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sers\jacobt\Documents\TY 2024\Valuation\Models\Inventory\"/>
    </mc:Choice>
  </mc:AlternateContent>
  <xr:revisionPtr revIDLastSave="0" documentId="13_ncr:1_{EC727A41-0E60-4957-B04F-9B1E51A6DFB2}" xr6:coauthVersionLast="47" xr6:coauthVersionMax="47" xr10:uidLastSave="{00000000-0000-0000-0000-000000000000}"/>
  <bookViews>
    <workbookView xWindow="-32175" yWindow="4590" windowWidth="28800" windowHeight="15345" xr2:uid="{E81F9765-5286-40CE-8813-2D1953756443}"/>
  </bookViews>
  <sheets>
    <sheet name="All Sales" sheetId="1" r:id="rId1"/>
    <sheet name="Lookups" sheetId="2" r:id="rId2"/>
    <sheet name="Pivot Tables" sheetId="3" r:id="rId3"/>
    <sheet name="Inventory" sheetId="5" r:id="rId4"/>
  </sheets>
  <calcPr calcId="191029"/>
  <pivotCaches>
    <pivotCache cacheId="1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295" i="1" l="1"/>
  <c r="BZ294" i="1"/>
  <c r="BZ293" i="1"/>
  <c r="CG2872" i="5"/>
  <c r="CG2871" i="5"/>
  <c r="CG2870" i="5"/>
  <c r="CG2869" i="5"/>
  <c r="CG2868" i="5"/>
  <c r="CG2867" i="5"/>
  <c r="CG2866" i="5"/>
  <c r="CG2865" i="5"/>
  <c r="CG2864" i="5"/>
  <c r="R2872" i="5"/>
  <c r="BH2872" i="5" s="1"/>
  <c r="BS2872" i="5" s="1"/>
  <c r="BZ2872" i="5" s="1"/>
  <c r="CA2872" i="5" s="1"/>
  <c r="R2871" i="5"/>
  <c r="R2870" i="5"/>
  <c r="R2869" i="5"/>
  <c r="R2868" i="5"/>
  <c r="R2867" i="5"/>
  <c r="R2866" i="5"/>
  <c r="R2865" i="5"/>
  <c r="R2864" i="5"/>
  <c r="L2872" i="5"/>
  <c r="L2871" i="5"/>
  <c r="L2870" i="5"/>
  <c r="L2869" i="5"/>
  <c r="L2868" i="5"/>
  <c r="L2867" i="5"/>
  <c r="L2866" i="5"/>
  <c r="L2865" i="5"/>
  <c r="L2864" i="5"/>
  <c r="BH2864" i="5"/>
  <c r="BS2864" i="5" s="1"/>
  <c r="BZ2864" i="5" s="1"/>
  <c r="CA2864" i="5" s="1"/>
  <c r="BH2865" i="5"/>
  <c r="BS2865" i="5" s="1"/>
  <c r="BZ2865" i="5" s="1"/>
  <c r="CA2865" i="5" s="1"/>
  <c r="BH2866" i="5"/>
  <c r="BS2866" i="5" s="1"/>
  <c r="BZ2866" i="5" s="1"/>
  <c r="CA2866" i="5" s="1"/>
  <c r="BH2867" i="5"/>
  <c r="BS2867" i="5" s="1"/>
  <c r="BZ2867" i="5" s="1"/>
  <c r="CA2867" i="5" s="1"/>
  <c r="BH2868" i="5"/>
  <c r="BS2868" i="5" s="1"/>
  <c r="BZ2868" i="5" s="1"/>
  <c r="CA2868" i="5" s="1"/>
  <c r="BH2869" i="5"/>
  <c r="BS2869" i="5" s="1"/>
  <c r="BZ2869" i="5" s="1"/>
  <c r="CA2869" i="5" s="1"/>
  <c r="BH2870" i="5"/>
  <c r="BS2870" i="5" s="1"/>
  <c r="BZ2870" i="5" s="1"/>
  <c r="CA2870" i="5" s="1"/>
  <c r="BH2871" i="5"/>
  <c r="BI2864" i="5"/>
  <c r="BR2864" i="5" s="1"/>
  <c r="BI2865" i="5"/>
  <c r="BR2865" i="5" s="1"/>
  <c r="BI2866" i="5"/>
  <c r="BI2867" i="5"/>
  <c r="BR2867" i="5" s="1"/>
  <c r="BI2868" i="5"/>
  <c r="BR2868" i="5" s="1"/>
  <c r="BI2869" i="5"/>
  <c r="BR2869" i="5" s="1"/>
  <c r="BY2869" i="5" s="1"/>
  <c r="CC2869" i="5" s="1"/>
  <c r="BI2870" i="5"/>
  <c r="BI2871" i="5"/>
  <c r="BI2872" i="5"/>
  <c r="BJ2864" i="5"/>
  <c r="BJ2865" i="5"/>
  <c r="BJ2866" i="5"/>
  <c r="BJ2867" i="5"/>
  <c r="BJ2868" i="5"/>
  <c r="BJ2869" i="5"/>
  <c r="BJ2870" i="5"/>
  <c r="BJ2871" i="5"/>
  <c r="BJ2872" i="5"/>
  <c r="BK2864" i="5"/>
  <c r="BK2865" i="5"/>
  <c r="BK2866" i="5"/>
  <c r="BR2866" i="5" s="1"/>
  <c r="BK2867" i="5"/>
  <c r="BK2868" i="5"/>
  <c r="BK2869" i="5"/>
  <c r="BK2870" i="5"/>
  <c r="BK2871" i="5"/>
  <c r="BK2872" i="5"/>
  <c r="BL2864" i="5"/>
  <c r="BL2865" i="5"/>
  <c r="BL2866" i="5"/>
  <c r="BL2867" i="5"/>
  <c r="BL2868" i="5"/>
  <c r="BL2869" i="5"/>
  <c r="BL2870" i="5"/>
  <c r="BL2871" i="5"/>
  <c r="BL2872" i="5"/>
  <c r="BM2864" i="5"/>
  <c r="BM2865" i="5"/>
  <c r="BM2866" i="5"/>
  <c r="BM2867" i="5"/>
  <c r="BM2868" i="5"/>
  <c r="BM2869" i="5"/>
  <c r="BM2870" i="5"/>
  <c r="BR2870" i="5" s="1"/>
  <c r="BM2871" i="5"/>
  <c r="BR2871" i="5" s="1"/>
  <c r="BM2872" i="5"/>
  <c r="BN2864" i="5"/>
  <c r="BN2865" i="5"/>
  <c r="BN2866" i="5"/>
  <c r="BN2867" i="5"/>
  <c r="BN2868" i="5"/>
  <c r="BN2869" i="5"/>
  <c r="BN2870" i="5"/>
  <c r="BN2871" i="5"/>
  <c r="BN2872" i="5"/>
  <c r="BO2864" i="5"/>
  <c r="BO2865" i="5"/>
  <c r="BO2866" i="5"/>
  <c r="BO2867" i="5"/>
  <c r="BO2868" i="5"/>
  <c r="BO2869" i="5"/>
  <c r="BO2870" i="5"/>
  <c r="BO2871" i="5"/>
  <c r="BO2872" i="5"/>
  <c r="BP2864" i="5"/>
  <c r="BP2865" i="5"/>
  <c r="BP2866" i="5"/>
  <c r="BP2867" i="5"/>
  <c r="BP2868" i="5"/>
  <c r="BP2869" i="5"/>
  <c r="BP2870" i="5"/>
  <c r="BP2871" i="5"/>
  <c r="BP2872" i="5"/>
  <c r="BQ2864" i="5"/>
  <c r="BQ2865" i="5"/>
  <c r="CB2865" i="5" s="1"/>
  <c r="BQ2866" i="5"/>
  <c r="BQ2867" i="5"/>
  <c r="BQ2868" i="5"/>
  <c r="BQ2869" i="5"/>
  <c r="BQ2870" i="5"/>
  <c r="CB2870" i="5" s="1"/>
  <c r="BQ2871" i="5"/>
  <c r="CB2871" i="5" s="1"/>
  <c r="BQ2872" i="5"/>
  <c r="CB2872" i="5" s="1"/>
  <c r="BR2872" i="5"/>
  <c r="BY2872" i="5" s="1"/>
  <c r="CC2872" i="5" s="1"/>
  <c r="BS2871" i="5"/>
  <c r="BZ2871" i="5" s="1"/>
  <c r="CA2871" i="5" s="1"/>
  <c r="BT2864" i="5"/>
  <c r="BT2865" i="5"/>
  <c r="BT2866" i="5"/>
  <c r="BT2867" i="5"/>
  <c r="BT2868" i="5"/>
  <c r="BT2869" i="5"/>
  <c r="BT2870" i="5"/>
  <c r="BT2871" i="5"/>
  <c r="BT2872" i="5"/>
  <c r="BU2864" i="5"/>
  <c r="BU2865" i="5"/>
  <c r="BU2866" i="5"/>
  <c r="BU2867" i="5"/>
  <c r="BU2868" i="5"/>
  <c r="BU2869" i="5"/>
  <c r="BX2869" i="5" s="1"/>
  <c r="BU2870" i="5"/>
  <c r="BX2870" i="5" s="1"/>
  <c r="BU2871" i="5"/>
  <c r="BX2871" i="5" s="1"/>
  <c r="BU2872" i="5"/>
  <c r="BX2872" i="5" s="1"/>
  <c r="BV2864" i="5"/>
  <c r="BV2865" i="5"/>
  <c r="BV2866" i="5"/>
  <c r="BV2867" i="5"/>
  <c r="BV2868" i="5"/>
  <c r="BV2869" i="5"/>
  <c r="BV2870" i="5"/>
  <c r="BV2871" i="5"/>
  <c r="BV2872" i="5"/>
  <c r="BW2864" i="5"/>
  <c r="BW2865" i="5"/>
  <c r="BW2866" i="5"/>
  <c r="BW2867" i="5"/>
  <c r="BW2868" i="5"/>
  <c r="BW2869" i="5"/>
  <c r="BW2870" i="5"/>
  <c r="BW2871" i="5"/>
  <c r="BW2872" i="5"/>
  <c r="BX2864" i="5"/>
  <c r="BX2865" i="5"/>
  <c r="BX2866" i="5"/>
  <c r="BX2867" i="5"/>
  <c r="BX2868" i="5"/>
  <c r="CB2864" i="5"/>
  <c r="CB2866" i="5"/>
  <c r="CB2867" i="5"/>
  <c r="CB2868" i="5"/>
  <c r="CB2869" i="5"/>
  <c r="L2517" i="5"/>
  <c r="R2517" i="5" s="1"/>
  <c r="BH2517" i="5" s="1"/>
  <c r="L2518" i="5"/>
  <c r="R2518" i="5" s="1"/>
  <c r="BH2518" i="5" s="1"/>
  <c r="L2519" i="5"/>
  <c r="R2519" i="5" s="1"/>
  <c r="L2520" i="5"/>
  <c r="R2520" i="5" s="1"/>
  <c r="L2521" i="5"/>
  <c r="R2521" i="5" s="1"/>
  <c r="L2522" i="5"/>
  <c r="R2522" i="5" s="1"/>
  <c r="L2523" i="5"/>
  <c r="R2523" i="5" s="1"/>
  <c r="L2524" i="5"/>
  <c r="R2524" i="5" s="1"/>
  <c r="L2525" i="5"/>
  <c r="R2525" i="5" s="1"/>
  <c r="L2526" i="5"/>
  <c r="R2526" i="5" s="1"/>
  <c r="L2527" i="5"/>
  <c r="R2527" i="5" s="1"/>
  <c r="L2528" i="5"/>
  <c r="R2528" i="5" s="1"/>
  <c r="L2529" i="5"/>
  <c r="R2529" i="5" s="1"/>
  <c r="L2530" i="5"/>
  <c r="R2530" i="5" s="1"/>
  <c r="L2531" i="5"/>
  <c r="R2531" i="5" s="1"/>
  <c r="L2532" i="5"/>
  <c r="R2532" i="5" s="1"/>
  <c r="L2533" i="5"/>
  <c r="R2533" i="5" s="1"/>
  <c r="L2534" i="5"/>
  <c r="R2534" i="5" s="1"/>
  <c r="L2535" i="5"/>
  <c r="R2535" i="5" s="1"/>
  <c r="L2536" i="5"/>
  <c r="R2536" i="5" s="1"/>
  <c r="L2537" i="5"/>
  <c r="R2537" i="5" s="1"/>
  <c r="L2538" i="5"/>
  <c r="R2538" i="5"/>
  <c r="L2539" i="5"/>
  <c r="R2539" i="5" s="1"/>
  <c r="L2540" i="5"/>
  <c r="R2540" i="5" s="1"/>
  <c r="L2541" i="5"/>
  <c r="R2541" i="5" s="1"/>
  <c r="L2542" i="5"/>
  <c r="R2542" i="5" s="1"/>
  <c r="L2543" i="5"/>
  <c r="R2543" i="5" s="1"/>
  <c r="L2544" i="5"/>
  <c r="R2544" i="5" s="1"/>
  <c r="L2545" i="5"/>
  <c r="R2545" i="5" s="1"/>
  <c r="L2546" i="5"/>
  <c r="R2546" i="5"/>
  <c r="L2547" i="5"/>
  <c r="R2547" i="5" s="1"/>
  <c r="L2548" i="5"/>
  <c r="R2548" i="5" s="1"/>
  <c r="L2549" i="5"/>
  <c r="R2549" i="5" s="1"/>
  <c r="L2550" i="5"/>
  <c r="R2550" i="5" s="1"/>
  <c r="L2551" i="5"/>
  <c r="R2551" i="5" s="1"/>
  <c r="L2552" i="5"/>
  <c r="R2552" i="5" s="1"/>
  <c r="L2553" i="5"/>
  <c r="R2553" i="5" s="1"/>
  <c r="L2554" i="5"/>
  <c r="R2554" i="5" s="1"/>
  <c r="L2555" i="5"/>
  <c r="R2555" i="5" s="1"/>
  <c r="L2556" i="5"/>
  <c r="R2556" i="5"/>
  <c r="L2557" i="5"/>
  <c r="R2557" i="5" s="1"/>
  <c r="L2558" i="5"/>
  <c r="R2558" i="5"/>
  <c r="L2559" i="5"/>
  <c r="R2559" i="5" s="1"/>
  <c r="L2560" i="5"/>
  <c r="R2560" i="5" s="1"/>
  <c r="L2561" i="5"/>
  <c r="R2561" i="5" s="1"/>
  <c r="L2562" i="5"/>
  <c r="R2562" i="5"/>
  <c r="L2563" i="5"/>
  <c r="R2563" i="5" s="1"/>
  <c r="L2564" i="5"/>
  <c r="R2564" i="5" s="1"/>
  <c r="L2565" i="5"/>
  <c r="R2565" i="5" s="1"/>
  <c r="L2566" i="5"/>
  <c r="R2566" i="5" s="1"/>
  <c r="L2567" i="5"/>
  <c r="R2567" i="5" s="1"/>
  <c r="L2568" i="5"/>
  <c r="R2568" i="5" s="1"/>
  <c r="L2569" i="5"/>
  <c r="R2569" i="5" s="1"/>
  <c r="L2570" i="5"/>
  <c r="R2570" i="5"/>
  <c r="L2571" i="5"/>
  <c r="R2571" i="5" s="1"/>
  <c r="L2572" i="5"/>
  <c r="R2572" i="5" s="1"/>
  <c r="L2573" i="5"/>
  <c r="R2573" i="5" s="1"/>
  <c r="L2574" i="5"/>
  <c r="R2574" i="5"/>
  <c r="L2575" i="5"/>
  <c r="R2575" i="5" s="1"/>
  <c r="L2576" i="5"/>
  <c r="R2576" i="5" s="1"/>
  <c r="L2577" i="5"/>
  <c r="R2577" i="5" s="1"/>
  <c r="L2578" i="5"/>
  <c r="R2578" i="5" s="1"/>
  <c r="L2579" i="5"/>
  <c r="R2579" i="5" s="1"/>
  <c r="L2580" i="5"/>
  <c r="R2580" i="5" s="1"/>
  <c r="L2581" i="5"/>
  <c r="R2581" i="5" s="1"/>
  <c r="L2582" i="5"/>
  <c r="R2582" i="5"/>
  <c r="L2583" i="5"/>
  <c r="R2583" i="5" s="1"/>
  <c r="L2584" i="5"/>
  <c r="R2584" i="5" s="1"/>
  <c r="L2585" i="5"/>
  <c r="R2585" i="5" s="1"/>
  <c r="L2586" i="5"/>
  <c r="R2586" i="5"/>
  <c r="L2587" i="5"/>
  <c r="R2587" i="5" s="1"/>
  <c r="L2588" i="5"/>
  <c r="R2588" i="5" s="1"/>
  <c r="L2589" i="5"/>
  <c r="R2589" i="5" s="1"/>
  <c r="L2590" i="5"/>
  <c r="R2590" i="5" s="1"/>
  <c r="L2591" i="5"/>
  <c r="R2591" i="5" s="1"/>
  <c r="L2592" i="5"/>
  <c r="R2592" i="5" s="1"/>
  <c r="L2593" i="5"/>
  <c r="R2593" i="5" s="1"/>
  <c r="L2594" i="5"/>
  <c r="R2594" i="5" s="1"/>
  <c r="L2595" i="5"/>
  <c r="R2595" i="5" s="1"/>
  <c r="L2596" i="5"/>
  <c r="R2596" i="5" s="1"/>
  <c r="L2597" i="5"/>
  <c r="R2597" i="5" s="1"/>
  <c r="L2598" i="5"/>
  <c r="R2598" i="5" s="1"/>
  <c r="L2599" i="5"/>
  <c r="R2599" i="5" s="1"/>
  <c r="L2600" i="5"/>
  <c r="R2600" i="5" s="1"/>
  <c r="L2601" i="5"/>
  <c r="R2601" i="5" s="1"/>
  <c r="L2602" i="5"/>
  <c r="R2602" i="5" s="1"/>
  <c r="L2603" i="5"/>
  <c r="R2603" i="5" s="1"/>
  <c r="L2604" i="5"/>
  <c r="R2604" i="5" s="1"/>
  <c r="L2605" i="5"/>
  <c r="R2605" i="5" s="1"/>
  <c r="L2606" i="5"/>
  <c r="R2606" i="5" s="1"/>
  <c r="L2607" i="5"/>
  <c r="R2607" i="5" s="1"/>
  <c r="L2608" i="5"/>
  <c r="R2608" i="5" s="1"/>
  <c r="L2609" i="5"/>
  <c r="R2609" i="5" s="1"/>
  <c r="L2610" i="5"/>
  <c r="R2610" i="5" s="1"/>
  <c r="L2611" i="5"/>
  <c r="R2611" i="5" s="1"/>
  <c r="L2612" i="5"/>
  <c r="R2612" i="5"/>
  <c r="L2613" i="5"/>
  <c r="R2613" i="5" s="1"/>
  <c r="L2614" i="5"/>
  <c r="R2614" i="5" s="1"/>
  <c r="L2615" i="5"/>
  <c r="R2615" i="5" s="1"/>
  <c r="L2616" i="5"/>
  <c r="R2616" i="5" s="1"/>
  <c r="L2617" i="5"/>
  <c r="R2617" i="5" s="1"/>
  <c r="L2618" i="5"/>
  <c r="R2618" i="5" s="1"/>
  <c r="L2619" i="5"/>
  <c r="R2619" i="5" s="1"/>
  <c r="L2620" i="5"/>
  <c r="R2620" i="5" s="1"/>
  <c r="L2621" i="5"/>
  <c r="R2621" i="5" s="1"/>
  <c r="L2622" i="5"/>
  <c r="R2622" i="5"/>
  <c r="L2623" i="5"/>
  <c r="R2623" i="5" s="1"/>
  <c r="L2624" i="5"/>
  <c r="R2624" i="5" s="1"/>
  <c r="L2625" i="5"/>
  <c r="R2625" i="5" s="1"/>
  <c r="L2626" i="5"/>
  <c r="R2626" i="5" s="1"/>
  <c r="L2627" i="5"/>
  <c r="R2627" i="5" s="1"/>
  <c r="L2628" i="5"/>
  <c r="R2628" i="5"/>
  <c r="L2629" i="5"/>
  <c r="R2629" i="5" s="1"/>
  <c r="L2630" i="5"/>
  <c r="R2630" i="5" s="1"/>
  <c r="L2631" i="5"/>
  <c r="R2631" i="5" s="1"/>
  <c r="L2632" i="5"/>
  <c r="R2632" i="5" s="1"/>
  <c r="L2633" i="5"/>
  <c r="R2633" i="5" s="1"/>
  <c r="L2634" i="5"/>
  <c r="R2634" i="5" s="1"/>
  <c r="L2635" i="5"/>
  <c r="R2635" i="5" s="1"/>
  <c r="L2636" i="5"/>
  <c r="R2636" i="5"/>
  <c r="L2637" i="5"/>
  <c r="R2637" i="5" s="1"/>
  <c r="L2638" i="5"/>
  <c r="R2638" i="5" s="1"/>
  <c r="L2639" i="5"/>
  <c r="R2639" i="5" s="1"/>
  <c r="L2640" i="5"/>
  <c r="R2640" i="5" s="1"/>
  <c r="L2641" i="5"/>
  <c r="R2641" i="5" s="1"/>
  <c r="L2642" i="5"/>
  <c r="R2642" i="5" s="1"/>
  <c r="L2643" i="5"/>
  <c r="R2643" i="5" s="1"/>
  <c r="L2644" i="5"/>
  <c r="R2644" i="5" s="1"/>
  <c r="L2645" i="5"/>
  <c r="R2645" i="5" s="1"/>
  <c r="L2646" i="5"/>
  <c r="R2646" i="5" s="1"/>
  <c r="L2647" i="5"/>
  <c r="R2647" i="5" s="1"/>
  <c r="L2648" i="5"/>
  <c r="R2648" i="5" s="1"/>
  <c r="L2649" i="5"/>
  <c r="R2649" i="5" s="1"/>
  <c r="L2650" i="5"/>
  <c r="R2650" i="5" s="1"/>
  <c r="L2651" i="5"/>
  <c r="R2651" i="5" s="1"/>
  <c r="L2652" i="5"/>
  <c r="R2652" i="5" s="1"/>
  <c r="L2653" i="5"/>
  <c r="R2653" i="5" s="1"/>
  <c r="L2654" i="5"/>
  <c r="R2654" i="5" s="1"/>
  <c r="L2655" i="5"/>
  <c r="R2655" i="5" s="1"/>
  <c r="L2656" i="5"/>
  <c r="R2656" i="5" s="1"/>
  <c r="L2657" i="5"/>
  <c r="R2657" i="5" s="1"/>
  <c r="L2658" i="5"/>
  <c r="R2658" i="5" s="1"/>
  <c r="L2659" i="5"/>
  <c r="R2659" i="5" s="1"/>
  <c r="L2660" i="5"/>
  <c r="R2660" i="5" s="1"/>
  <c r="L2661" i="5"/>
  <c r="R2661" i="5" s="1"/>
  <c r="L2662" i="5"/>
  <c r="R2662" i="5" s="1"/>
  <c r="L2663" i="5"/>
  <c r="R2663" i="5" s="1"/>
  <c r="L2664" i="5"/>
  <c r="R2664" i="5" s="1"/>
  <c r="L2665" i="5"/>
  <c r="R2665" i="5" s="1"/>
  <c r="L2666" i="5"/>
  <c r="R2666" i="5" s="1"/>
  <c r="L2667" i="5"/>
  <c r="R2667" i="5" s="1"/>
  <c r="L2668" i="5"/>
  <c r="R2668" i="5" s="1"/>
  <c r="L2669" i="5"/>
  <c r="R2669" i="5" s="1"/>
  <c r="L2670" i="5"/>
  <c r="R2670" i="5" s="1"/>
  <c r="L2671" i="5"/>
  <c r="R2671" i="5" s="1"/>
  <c r="L2672" i="5"/>
  <c r="R2672" i="5" s="1"/>
  <c r="L2673" i="5"/>
  <c r="R2673" i="5" s="1"/>
  <c r="L2674" i="5"/>
  <c r="R2674" i="5" s="1"/>
  <c r="L2675" i="5"/>
  <c r="R2675" i="5" s="1"/>
  <c r="L2676" i="5"/>
  <c r="R2676" i="5"/>
  <c r="L2677" i="5"/>
  <c r="R2677" i="5" s="1"/>
  <c r="L2678" i="5"/>
  <c r="R2678" i="5" s="1"/>
  <c r="L2679" i="5"/>
  <c r="R2679" i="5" s="1"/>
  <c r="L2680" i="5"/>
  <c r="R2680" i="5" s="1"/>
  <c r="L2681" i="5"/>
  <c r="R2681" i="5" s="1"/>
  <c r="L2682" i="5"/>
  <c r="R2682" i="5" s="1"/>
  <c r="L2683" i="5"/>
  <c r="R2683" i="5" s="1"/>
  <c r="L2684" i="5"/>
  <c r="R2684" i="5"/>
  <c r="L2685" i="5"/>
  <c r="R2685" i="5" s="1"/>
  <c r="L2686" i="5"/>
  <c r="R2686" i="5" s="1"/>
  <c r="L2687" i="5"/>
  <c r="R2687" i="5" s="1"/>
  <c r="L2688" i="5"/>
  <c r="R2688" i="5" s="1"/>
  <c r="L2689" i="5"/>
  <c r="R2689" i="5" s="1"/>
  <c r="L2690" i="5"/>
  <c r="R2690" i="5" s="1"/>
  <c r="L2691" i="5"/>
  <c r="R2691" i="5" s="1"/>
  <c r="L2692" i="5"/>
  <c r="R2692" i="5" s="1"/>
  <c r="L2693" i="5"/>
  <c r="R2693" i="5" s="1"/>
  <c r="L2694" i="5"/>
  <c r="R2694" i="5" s="1"/>
  <c r="L2695" i="5"/>
  <c r="R2695" i="5" s="1"/>
  <c r="L2696" i="5"/>
  <c r="R2696" i="5" s="1"/>
  <c r="L2697" i="5"/>
  <c r="R2697" i="5" s="1"/>
  <c r="L2698" i="5"/>
  <c r="R2698" i="5" s="1"/>
  <c r="L2699" i="5"/>
  <c r="R2699" i="5" s="1"/>
  <c r="L2700" i="5"/>
  <c r="R2700" i="5"/>
  <c r="L2701" i="5"/>
  <c r="R2701" i="5" s="1"/>
  <c r="L2702" i="5"/>
  <c r="R2702" i="5" s="1"/>
  <c r="L2703" i="5"/>
  <c r="R2703" i="5" s="1"/>
  <c r="L2704" i="5"/>
  <c r="R2704" i="5" s="1"/>
  <c r="L2705" i="5"/>
  <c r="R2705" i="5" s="1"/>
  <c r="L2706" i="5"/>
  <c r="R2706" i="5" s="1"/>
  <c r="L2707" i="5"/>
  <c r="R2707" i="5" s="1"/>
  <c r="L2708" i="5"/>
  <c r="R2708" i="5" s="1"/>
  <c r="L2709" i="5"/>
  <c r="R2709" i="5" s="1"/>
  <c r="L2710" i="5"/>
  <c r="R2710" i="5" s="1"/>
  <c r="L2711" i="5"/>
  <c r="R2711" i="5" s="1"/>
  <c r="L2712" i="5"/>
  <c r="R2712" i="5" s="1"/>
  <c r="L2713" i="5"/>
  <c r="R2713" i="5" s="1"/>
  <c r="L2714" i="5"/>
  <c r="R2714" i="5" s="1"/>
  <c r="L2715" i="5"/>
  <c r="R2715" i="5" s="1"/>
  <c r="L2716" i="5"/>
  <c r="R2716" i="5" s="1"/>
  <c r="L2717" i="5"/>
  <c r="R2717" i="5" s="1"/>
  <c r="L2718" i="5"/>
  <c r="R2718" i="5" s="1"/>
  <c r="L2719" i="5"/>
  <c r="R2719" i="5" s="1"/>
  <c r="L2720" i="5"/>
  <c r="R2720" i="5" s="1"/>
  <c r="L2721" i="5"/>
  <c r="R2721" i="5" s="1"/>
  <c r="L2722" i="5"/>
  <c r="R2722" i="5" s="1"/>
  <c r="L2723" i="5"/>
  <c r="R2723" i="5" s="1"/>
  <c r="L2724" i="5"/>
  <c r="R2724" i="5" s="1"/>
  <c r="L2725" i="5"/>
  <c r="R2725" i="5" s="1"/>
  <c r="L2726" i="5"/>
  <c r="R2726" i="5" s="1"/>
  <c r="L2727" i="5"/>
  <c r="R2727" i="5" s="1"/>
  <c r="L2728" i="5"/>
  <c r="R2728" i="5" s="1"/>
  <c r="L2729" i="5"/>
  <c r="R2729" i="5" s="1"/>
  <c r="L2730" i="5"/>
  <c r="R2730" i="5" s="1"/>
  <c r="L2731" i="5"/>
  <c r="R2731" i="5" s="1"/>
  <c r="L2732" i="5"/>
  <c r="R2732" i="5" s="1"/>
  <c r="L2733" i="5"/>
  <c r="R2733" i="5" s="1"/>
  <c r="L2734" i="5"/>
  <c r="R2734" i="5" s="1"/>
  <c r="L2735" i="5"/>
  <c r="R2735" i="5" s="1"/>
  <c r="L2736" i="5"/>
  <c r="R2736" i="5" s="1"/>
  <c r="L2737" i="5"/>
  <c r="R2737" i="5" s="1"/>
  <c r="L2738" i="5"/>
  <c r="R2738" i="5" s="1"/>
  <c r="L2739" i="5"/>
  <c r="R2739" i="5" s="1"/>
  <c r="L2740" i="5"/>
  <c r="R2740" i="5" s="1"/>
  <c r="L2741" i="5"/>
  <c r="R2741" i="5" s="1"/>
  <c r="L2742" i="5"/>
  <c r="R2742" i="5" s="1"/>
  <c r="L2743" i="5"/>
  <c r="R2743" i="5" s="1"/>
  <c r="L2744" i="5"/>
  <c r="R2744" i="5" s="1"/>
  <c r="L2745" i="5"/>
  <c r="R2745" i="5" s="1"/>
  <c r="L2746" i="5"/>
  <c r="R2746" i="5" s="1"/>
  <c r="L2747" i="5"/>
  <c r="R2747" i="5" s="1"/>
  <c r="L2748" i="5"/>
  <c r="R2748" i="5" s="1"/>
  <c r="L2749" i="5"/>
  <c r="R2749" i="5" s="1"/>
  <c r="L2750" i="5"/>
  <c r="R2750" i="5" s="1"/>
  <c r="L2751" i="5"/>
  <c r="R2751" i="5" s="1"/>
  <c r="L2752" i="5"/>
  <c r="R2752" i="5" s="1"/>
  <c r="L2753" i="5"/>
  <c r="R2753" i="5" s="1"/>
  <c r="L2754" i="5"/>
  <c r="R2754" i="5" s="1"/>
  <c r="L2755" i="5"/>
  <c r="R2755" i="5" s="1"/>
  <c r="L2756" i="5"/>
  <c r="R2756" i="5" s="1"/>
  <c r="L2757" i="5"/>
  <c r="R2757" i="5" s="1"/>
  <c r="L2758" i="5"/>
  <c r="R2758" i="5" s="1"/>
  <c r="L2759" i="5"/>
  <c r="R2759" i="5" s="1"/>
  <c r="L2760" i="5"/>
  <c r="R2760" i="5" s="1"/>
  <c r="L2761" i="5"/>
  <c r="R2761" i="5" s="1"/>
  <c r="L2762" i="5"/>
  <c r="R2762" i="5" s="1"/>
  <c r="L2763" i="5"/>
  <c r="R2763" i="5" s="1"/>
  <c r="L2764" i="5"/>
  <c r="R2764" i="5" s="1"/>
  <c r="L2765" i="5"/>
  <c r="R2765" i="5" s="1"/>
  <c r="L2766" i="5"/>
  <c r="R2766" i="5" s="1"/>
  <c r="L2767" i="5"/>
  <c r="R2767" i="5" s="1"/>
  <c r="L2768" i="5"/>
  <c r="R2768" i="5" s="1"/>
  <c r="L2769" i="5"/>
  <c r="R2769" i="5" s="1"/>
  <c r="L2770" i="5"/>
  <c r="R2770" i="5" s="1"/>
  <c r="L2771" i="5"/>
  <c r="R2771" i="5" s="1"/>
  <c r="L2772" i="5"/>
  <c r="R2772" i="5" s="1"/>
  <c r="L2773" i="5"/>
  <c r="R2773" i="5" s="1"/>
  <c r="L2774" i="5"/>
  <c r="R2774" i="5" s="1"/>
  <c r="L2775" i="5"/>
  <c r="R2775" i="5" s="1"/>
  <c r="L2776" i="5"/>
  <c r="R2776" i="5" s="1"/>
  <c r="L2777" i="5"/>
  <c r="R2777" i="5" s="1"/>
  <c r="L2778" i="5"/>
  <c r="R2778" i="5" s="1"/>
  <c r="L2779" i="5"/>
  <c r="R2779" i="5" s="1"/>
  <c r="L2780" i="5"/>
  <c r="R2780" i="5" s="1"/>
  <c r="L2781" i="5"/>
  <c r="R2781" i="5" s="1"/>
  <c r="L2782" i="5"/>
  <c r="R2782" i="5" s="1"/>
  <c r="L2783" i="5"/>
  <c r="R2783" i="5" s="1"/>
  <c r="L2784" i="5"/>
  <c r="R2784" i="5" s="1"/>
  <c r="L2785" i="5"/>
  <c r="R2785" i="5" s="1"/>
  <c r="L2786" i="5"/>
  <c r="R2786" i="5"/>
  <c r="L2787" i="5"/>
  <c r="R2787" i="5" s="1"/>
  <c r="L2788" i="5"/>
  <c r="R2788" i="5" s="1"/>
  <c r="L2789" i="5"/>
  <c r="R2789" i="5" s="1"/>
  <c r="L2790" i="5"/>
  <c r="R2790" i="5" s="1"/>
  <c r="L2791" i="5"/>
  <c r="R2791" i="5" s="1"/>
  <c r="L2792" i="5"/>
  <c r="R2792" i="5" s="1"/>
  <c r="L2793" i="5"/>
  <c r="R2793" i="5" s="1"/>
  <c r="L2794" i="5"/>
  <c r="R2794" i="5" s="1"/>
  <c r="L2795" i="5"/>
  <c r="R2795" i="5" s="1"/>
  <c r="L2796" i="5"/>
  <c r="R2796" i="5" s="1"/>
  <c r="L2797" i="5"/>
  <c r="R2797" i="5" s="1"/>
  <c r="L2798" i="5"/>
  <c r="R2798" i="5" s="1"/>
  <c r="L2799" i="5"/>
  <c r="R2799" i="5" s="1"/>
  <c r="L2800" i="5"/>
  <c r="R2800" i="5" s="1"/>
  <c r="L2801" i="5"/>
  <c r="R2801" i="5" s="1"/>
  <c r="L2802" i="5"/>
  <c r="R2802" i="5" s="1"/>
  <c r="L2803" i="5"/>
  <c r="R2803" i="5" s="1"/>
  <c r="L2804" i="5"/>
  <c r="R2804" i="5" s="1"/>
  <c r="L2805" i="5"/>
  <c r="R2805" i="5" s="1"/>
  <c r="L2806" i="5"/>
  <c r="R2806" i="5" s="1"/>
  <c r="L2807" i="5"/>
  <c r="R2807" i="5" s="1"/>
  <c r="L2808" i="5"/>
  <c r="R2808" i="5" s="1"/>
  <c r="L2809" i="5"/>
  <c r="R2809" i="5" s="1"/>
  <c r="L2810" i="5"/>
  <c r="R2810" i="5" s="1"/>
  <c r="L2811" i="5"/>
  <c r="R2811" i="5" s="1"/>
  <c r="L2812" i="5"/>
  <c r="R2812" i="5" s="1"/>
  <c r="L2813" i="5"/>
  <c r="R2813" i="5" s="1"/>
  <c r="L2814" i="5"/>
  <c r="R2814" i="5" s="1"/>
  <c r="L2815" i="5"/>
  <c r="R2815" i="5" s="1"/>
  <c r="L2816" i="5"/>
  <c r="R2816" i="5" s="1"/>
  <c r="L2817" i="5"/>
  <c r="R2817" i="5" s="1"/>
  <c r="L2818" i="5"/>
  <c r="R2818" i="5" s="1"/>
  <c r="L2819" i="5"/>
  <c r="R2819" i="5" s="1"/>
  <c r="L2820" i="5"/>
  <c r="R2820" i="5" s="1"/>
  <c r="L2821" i="5"/>
  <c r="R2821" i="5" s="1"/>
  <c r="L2822" i="5"/>
  <c r="R2822" i="5" s="1"/>
  <c r="L2823" i="5"/>
  <c r="R2823" i="5" s="1"/>
  <c r="L2824" i="5"/>
  <c r="R2824" i="5" s="1"/>
  <c r="L2825" i="5"/>
  <c r="R2825" i="5" s="1"/>
  <c r="L2826" i="5"/>
  <c r="R2826" i="5" s="1"/>
  <c r="L2827" i="5"/>
  <c r="R2827" i="5" s="1"/>
  <c r="L2828" i="5"/>
  <c r="R2828" i="5" s="1"/>
  <c r="L2829" i="5"/>
  <c r="R2829" i="5" s="1"/>
  <c r="L2830" i="5"/>
  <c r="R2830" i="5" s="1"/>
  <c r="L2831" i="5"/>
  <c r="R2831" i="5" s="1"/>
  <c r="L2832" i="5"/>
  <c r="R2832" i="5" s="1"/>
  <c r="L2833" i="5"/>
  <c r="R2833" i="5" s="1"/>
  <c r="L2834" i="5"/>
  <c r="R2834" i="5" s="1"/>
  <c r="L2835" i="5"/>
  <c r="R2835" i="5" s="1"/>
  <c r="L2836" i="5"/>
  <c r="R2836" i="5" s="1"/>
  <c r="L2837" i="5"/>
  <c r="R2837" i="5" s="1"/>
  <c r="L2838" i="5"/>
  <c r="R2838" i="5" s="1"/>
  <c r="L2839" i="5"/>
  <c r="R2839" i="5" s="1"/>
  <c r="L2840" i="5"/>
  <c r="R2840" i="5"/>
  <c r="L2841" i="5"/>
  <c r="R2841" i="5" s="1"/>
  <c r="L2842" i="5"/>
  <c r="R2842" i="5" s="1"/>
  <c r="L2843" i="5"/>
  <c r="R2843" i="5" s="1"/>
  <c r="L2844" i="5"/>
  <c r="R2844" i="5" s="1"/>
  <c r="L2845" i="5"/>
  <c r="R2845" i="5" s="1"/>
  <c r="L2846" i="5"/>
  <c r="R2846" i="5" s="1"/>
  <c r="L2847" i="5"/>
  <c r="R2847" i="5" s="1"/>
  <c r="L2848" i="5"/>
  <c r="R2848" i="5" s="1"/>
  <c r="L2849" i="5"/>
  <c r="R2849" i="5" s="1"/>
  <c r="L2850" i="5"/>
  <c r="R2850" i="5" s="1"/>
  <c r="L2851" i="5"/>
  <c r="R2851" i="5" s="1"/>
  <c r="L2852" i="5"/>
  <c r="R2852" i="5" s="1"/>
  <c r="L2853" i="5"/>
  <c r="R2853" i="5" s="1"/>
  <c r="L2854" i="5"/>
  <c r="R2854" i="5" s="1"/>
  <c r="L2855" i="5"/>
  <c r="R2855" i="5" s="1"/>
  <c r="L2856" i="5"/>
  <c r="R2856" i="5" s="1"/>
  <c r="L2857" i="5"/>
  <c r="R2857" i="5" s="1"/>
  <c r="L2858" i="5"/>
  <c r="R2858" i="5" s="1"/>
  <c r="L2859" i="5"/>
  <c r="R2859" i="5" s="1"/>
  <c r="L2860" i="5"/>
  <c r="R2860" i="5" s="1"/>
  <c r="L2861" i="5"/>
  <c r="R2861" i="5" s="1"/>
  <c r="L2862" i="5"/>
  <c r="R2862" i="5" s="1"/>
  <c r="L2863" i="5"/>
  <c r="R2863" i="5" s="1"/>
  <c r="L2" i="5"/>
  <c r="R2" i="5" s="1"/>
  <c r="BH2" i="5" s="1"/>
  <c r="L3" i="5"/>
  <c r="R3" i="5" s="1"/>
  <c r="L4" i="5"/>
  <c r="R4" i="5" s="1"/>
  <c r="L5" i="5"/>
  <c r="R5" i="5" s="1"/>
  <c r="L6" i="5"/>
  <c r="R6" i="5" s="1"/>
  <c r="L7" i="5"/>
  <c r="R7" i="5" s="1"/>
  <c r="L8" i="5"/>
  <c r="R8" i="5" s="1"/>
  <c r="BH8" i="5" s="1"/>
  <c r="L9" i="5"/>
  <c r="R9" i="5" s="1"/>
  <c r="BH9" i="5" s="1"/>
  <c r="L10" i="5"/>
  <c r="R10" i="5" s="1"/>
  <c r="L11" i="5"/>
  <c r="R11" i="5" s="1"/>
  <c r="L12" i="5"/>
  <c r="R12" i="5" s="1"/>
  <c r="BH12" i="5" s="1"/>
  <c r="L13" i="5"/>
  <c r="R13" i="5" s="1"/>
  <c r="L14" i="5"/>
  <c r="R14" i="5" s="1"/>
  <c r="L15" i="5"/>
  <c r="R15" i="5" s="1"/>
  <c r="L16" i="5"/>
  <c r="R16" i="5" s="1"/>
  <c r="L17" i="5"/>
  <c r="R17" i="5" s="1"/>
  <c r="L18" i="5"/>
  <c r="R18" i="5" s="1"/>
  <c r="L19" i="5"/>
  <c r="R19" i="5" s="1"/>
  <c r="L20" i="5"/>
  <c r="R20" i="5" s="1"/>
  <c r="BH20" i="5" s="1"/>
  <c r="L21" i="5"/>
  <c r="R21" i="5" s="1"/>
  <c r="BH21" i="5" s="1"/>
  <c r="L22" i="5"/>
  <c r="R22" i="5" s="1"/>
  <c r="BH22" i="5" s="1"/>
  <c r="L23" i="5"/>
  <c r="R23" i="5"/>
  <c r="BH23" i="5" s="1"/>
  <c r="L24" i="5"/>
  <c r="R24" i="5" s="1"/>
  <c r="BH24" i="5" s="1"/>
  <c r="L25" i="5"/>
  <c r="R25" i="5" s="1"/>
  <c r="L26" i="5"/>
  <c r="R26" i="5" s="1"/>
  <c r="L27" i="5"/>
  <c r="R27" i="5" s="1"/>
  <c r="L28" i="5"/>
  <c r="R28" i="5" s="1"/>
  <c r="L29" i="5"/>
  <c r="R29" i="5" s="1"/>
  <c r="L30" i="5"/>
  <c r="R30" i="5" s="1"/>
  <c r="L31" i="5"/>
  <c r="R31" i="5"/>
  <c r="BH31" i="5" s="1"/>
  <c r="L32" i="5"/>
  <c r="R32" i="5" s="1"/>
  <c r="BH32" i="5" s="1"/>
  <c r="L33" i="5"/>
  <c r="R33" i="5" s="1"/>
  <c r="BH33" i="5" s="1"/>
  <c r="L34" i="5"/>
  <c r="R34" i="5" s="1"/>
  <c r="L35" i="5"/>
  <c r="R35" i="5" s="1"/>
  <c r="L36" i="5"/>
  <c r="R36" i="5" s="1"/>
  <c r="L37" i="5"/>
  <c r="R37" i="5" s="1"/>
  <c r="L38" i="5"/>
  <c r="R38" i="5" s="1"/>
  <c r="L39" i="5"/>
  <c r="R39" i="5" s="1"/>
  <c r="L40" i="5"/>
  <c r="R40" i="5" s="1"/>
  <c r="L41" i="5"/>
  <c r="R41" i="5" s="1"/>
  <c r="L42" i="5"/>
  <c r="R42" i="5" s="1"/>
  <c r="BH42" i="5" s="1"/>
  <c r="L43" i="5"/>
  <c r="R43" i="5" s="1"/>
  <c r="BH43" i="5" s="1"/>
  <c r="L44" i="5"/>
  <c r="R44" i="5" s="1"/>
  <c r="BH44" i="5" s="1"/>
  <c r="L45" i="5"/>
  <c r="R45" i="5" s="1"/>
  <c r="L46" i="5"/>
  <c r="R46" i="5" s="1"/>
  <c r="BH46" i="5" s="1"/>
  <c r="L47" i="5"/>
  <c r="R47" i="5" s="1"/>
  <c r="L48" i="5"/>
  <c r="R48" i="5" s="1"/>
  <c r="L49" i="5"/>
  <c r="R49" i="5" s="1"/>
  <c r="L50" i="5"/>
  <c r="R50" i="5" s="1"/>
  <c r="BH50" i="5" s="1"/>
  <c r="L51" i="5"/>
  <c r="R51" i="5" s="1"/>
  <c r="L52" i="5"/>
  <c r="R52" i="5" s="1"/>
  <c r="L53" i="5"/>
  <c r="R53" i="5"/>
  <c r="L54" i="5"/>
  <c r="R54" i="5" s="1"/>
  <c r="L55" i="5"/>
  <c r="R55" i="5" s="1"/>
  <c r="L56" i="5"/>
  <c r="R56" i="5" s="1"/>
  <c r="BH56" i="5" s="1"/>
  <c r="L57" i="5"/>
  <c r="R57" i="5" s="1"/>
  <c r="L58" i="5"/>
  <c r="R58" i="5" s="1"/>
  <c r="L59" i="5"/>
  <c r="R59" i="5"/>
  <c r="L60" i="5"/>
  <c r="R60" i="5" s="1"/>
  <c r="L61" i="5"/>
  <c r="R61" i="5" s="1"/>
  <c r="BH61" i="5" s="1"/>
  <c r="L62" i="5"/>
  <c r="R62" i="5" s="1"/>
  <c r="L63" i="5"/>
  <c r="R63" i="5" s="1"/>
  <c r="BH63" i="5" s="1"/>
  <c r="L64" i="5"/>
  <c r="R64" i="5" s="1"/>
  <c r="BH64" i="5" s="1"/>
  <c r="L65" i="5"/>
  <c r="R65" i="5" s="1"/>
  <c r="BH65" i="5" s="1"/>
  <c r="L66" i="5"/>
  <c r="R66" i="5" s="1"/>
  <c r="BH66" i="5" s="1"/>
  <c r="L67" i="5"/>
  <c r="R67" i="5" s="1"/>
  <c r="L68" i="5"/>
  <c r="R68" i="5" s="1"/>
  <c r="L69" i="5"/>
  <c r="R69" i="5" s="1"/>
  <c r="L70" i="5"/>
  <c r="R70" i="5" s="1"/>
  <c r="L71" i="5"/>
  <c r="R71" i="5" s="1"/>
  <c r="L72" i="5"/>
  <c r="R72" i="5" s="1"/>
  <c r="L73" i="5"/>
  <c r="R73" i="5" s="1"/>
  <c r="BH73" i="5" s="1"/>
  <c r="L74" i="5"/>
  <c r="R74" i="5" s="1"/>
  <c r="BH74" i="5" s="1"/>
  <c r="L75" i="5"/>
  <c r="R75" i="5" s="1"/>
  <c r="L76" i="5"/>
  <c r="R76" i="5" s="1"/>
  <c r="L77" i="5"/>
  <c r="R77" i="5" s="1"/>
  <c r="BH77" i="5" s="1"/>
  <c r="L78" i="5"/>
  <c r="R78" i="5" s="1"/>
  <c r="L79" i="5"/>
  <c r="R79" i="5" s="1"/>
  <c r="L80" i="5"/>
  <c r="R80" i="5"/>
  <c r="L81" i="5"/>
  <c r="R81" i="5" s="1"/>
  <c r="L82" i="5"/>
  <c r="R82" i="5" s="1"/>
  <c r="L83" i="5"/>
  <c r="R83" i="5" s="1"/>
  <c r="L84" i="5"/>
  <c r="R84" i="5" s="1"/>
  <c r="BH84" i="5" s="1"/>
  <c r="L85" i="5"/>
  <c r="R85" i="5"/>
  <c r="BH85" i="5" s="1"/>
  <c r="L86" i="5"/>
  <c r="R86" i="5" s="1"/>
  <c r="BH86" i="5" s="1"/>
  <c r="L87" i="5"/>
  <c r="R87" i="5" s="1"/>
  <c r="BH87" i="5" s="1"/>
  <c r="L88" i="5"/>
  <c r="R88" i="5" s="1"/>
  <c r="L89" i="5"/>
  <c r="R89" i="5" s="1"/>
  <c r="L90" i="5"/>
  <c r="R90" i="5" s="1"/>
  <c r="L91" i="5"/>
  <c r="R91" i="5" s="1"/>
  <c r="L92" i="5"/>
  <c r="R92" i="5" s="1"/>
  <c r="L93" i="5"/>
  <c r="R93" i="5" s="1"/>
  <c r="L94" i="5"/>
  <c r="R94" i="5" s="1"/>
  <c r="L95" i="5"/>
  <c r="R95" i="5" s="1"/>
  <c r="BH95" i="5" s="1"/>
  <c r="L96" i="5"/>
  <c r="R96" i="5" s="1"/>
  <c r="L97" i="5"/>
  <c r="R97" i="5" s="1"/>
  <c r="L98" i="5"/>
  <c r="R98" i="5" s="1"/>
  <c r="BH98" i="5" s="1"/>
  <c r="L99" i="5"/>
  <c r="R99" i="5" s="1"/>
  <c r="L100" i="5"/>
  <c r="R100" i="5" s="1"/>
  <c r="L101" i="5"/>
  <c r="R101" i="5" s="1"/>
  <c r="L102" i="5"/>
  <c r="R102" i="5" s="1"/>
  <c r="L103" i="5"/>
  <c r="R103" i="5" s="1"/>
  <c r="L104" i="5"/>
  <c r="R104" i="5" s="1"/>
  <c r="BH104" i="5" s="1"/>
  <c r="L105" i="5"/>
  <c r="R105" i="5" s="1"/>
  <c r="L106" i="5"/>
  <c r="R106" i="5" s="1"/>
  <c r="BH106" i="5" s="1"/>
  <c r="L107" i="5"/>
  <c r="R107" i="5"/>
  <c r="BH107" i="5" s="1"/>
  <c r="L108" i="5"/>
  <c r="R108" i="5" s="1"/>
  <c r="BH108" i="5" s="1"/>
  <c r="L109" i="5"/>
  <c r="R109" i="5" s="1"/>
  <c r="BH109" i="5" s="1"/>
  <c r="L110" i="5"/>
  <c r="R110" i="5" s="1"/>
  <c r="L111" i="5"/>
  <c r="R111" i="5" s="1"/>
  <c r="L112" i="5"/>
  <c r="R112" i="5" s="1"/>
  <c r="L113" i="5"/>
  <c r="R113" i="5" s="1"/>
  <c r="L114" i="5"/>
  <c r="R114" i="5" s="1"/>
  <c r="L115" i="5"/>
  <c r="R115" i="5" s="1"/>
  <c r="BH115" i="5" s="1"/>
  <c r="L116" i="5"/>
  <c r="R116" i="5" s="1"/>
  <c r="BH116" i="5" s="1"/>
  <c r="L117" i="5"/>
  <c r="R117" i="5" s="1"/>
  <c r="L118" i="5"/>
  <c r="R118" i="5" s="1"/>
  <c r="L119" i="5"/>
  <c r="R119" i="5" s="1"/>
  <c r="BH119" i="5" s="1"/>
  <c r="L120" i="5"/>
  <c r="R120" i="5" s="1"/>
  <c r="L121" i="5"/>
  <c r="R121" i="5" s="1"/>
  <c r="BH121" i="5" s="1"/>
  <c r="L122" i="5"/>
  <c r="R122" i="5" s="1"/>
  <c r="BH122" i="5" s="1"/>
  <c r="L123" i="5"/>
  <c r="R123" i="5" s="1"/>
  <c r="L124" i="5"/>
  <c r="R124" i="5" s="1"/>
  <c r="L125" i="5"/>
  <c r="R125" i="5" s="1"/>
  <c r="BH125" i="5" s="1"/>
  <c r="L126" i="5"/>
  <c r="R126" i="5" s="1"/>
  <c r="BH126" i="5" s="1"/>
  <c r="L127" i="5"/>
  <c r="R127" i="5"/>
  <c r="BH127" i="5" s="1"/>
  <c r="L128" i="5"/>
  <c r="R128" i="5" s="1"/>
  <c r="BH128" i="5" s="1"/>
  <c r="L129" i="5"/>
  <c r="R129" i="5" s="1"/>
  <c r="BH129" i="5" s="1"/>
  <c r="L130" i="5"/>
  <c r="R130" i="5" s="1"/>
  <c r="L131" i="5"/>
  <c r="R131" i="5" s="1"/>
  <c r="L132" i="5"/>
  <c r="R132" i="5" s="1"/>
  <c r="L133" i="5"/>
  <c r="R133" i="5" s="1"/>
  <c r="BH133" i="5" s="1"/>
  <c r="L134" i="5"/>
  <c r="R134" i="5" s="1"/>
  <c r="L135" i="5"/>
  <c r="R135" i="5" s="1"/>
  <c r="L136" i="5"/>
  <c r="R136" i="5" s="1"/>
  <c r="L137" i="5"/>
  <c r="R137" i="5" s="1"/>
  <c r="BH137" i="5" s="1"/>
  <c r="L138" i="5"/>
  <c r="R138" i="5" s="1"/>
  <c r="L139" i="5"/>
  <c r="R139" i="5"/>
  <c r="L140" i="5"/>
  <c r="R140" i="5" s="1"/>
  <c r="L141" i="5"/>
  <c r="R141" i="5" s="1"/>
  <c r="L142" i="5"/>
  <c r="R142" i="5" s="1"/>
  <c r="L143" i="5"/>
  <c r="R143" i="5" s="1"/>
  <c r="L144" i="5"/>
  <c r="R144" i="5" s="1"/>
  <c r="L145" i="5"/>
  <c r="R145" i="5" s="1"/>
  <c r="L146" i="5"/>
  <c r="R146" i="5" s="1"/>
  <c r="L147" i="5"/>
  <c r="R147" i="5" s="1"/>
  <c r="L148" i="5"/>
  <c r="R148" i="5" s="1"/>
  <c r="BH148" i="5" s="1"/>
  <c r="L149" i="5"/>
  <c r="R149" i="5" s="1"/>
  <c r="BH149" i="5" s="1"/>
  <c r="L150" i="5"/>
  <c r="R150" i="5" s="1"/>
  <c r="BH150" i="5" s="1"/>
  <c r="L151" i="5"/>
  <c r="R151" i="5" s="1"/>
  <c r="BH151" i="5" s="1"/>
  <c r="L152" i="5"/>
  <c r="R152" i="5" s="1"/>
  <c r="BH152" i="5" s="1"/>
  <c r="L153" i="5"/>
  <c r="R153" i="5" s="1"/>
  <c r="L154" i="5"/>
  <c r="R154" i="5" s="1"/>
  <c r="L155" i="5"/>
  <c r="R155" i="5" s="1"/>
  <c r="L156" i="5"/>
  <c r="R156" i="5" s="1"/>
  <c r="L157" i="5"/>
  <c r="R157" i="5"/>
  <c r="L158" i="5"/>
  <c r="R158" i="5" s="1"/>
  <c r="L159" i="5"/>
  <c r="R159" i="5" s="1"/>
  <c r="BH159" i="5" s="1"/>
  <c r="L160" i="5"/>
  <c r="R160" i="5" s="1"/>
  <c r="L161" i="5"/>
  <c r="R161" i="5" s="1"/>
  <c r="L162" i="5"/>
  <c r="R162" i="5" s="1"/>
  <c r="BH162" i="5" s="1"/>
  <c r="L163" i="5"/>
  <c r="R163" i="5" s="1"/>
  <c r="L164" i="5"/>
  <c r="R164" i="5" s="1"/>
  <c r="L165" i="5"/>
  <c r="R165" i="5" s="1"/>
  <c r="L166" i="5"/>
  <c r="R166" i="5" s="1"/>
  <c r="L167" i="5"/>
  <c r="R167" i="5" s="1"/>
  <c r="L168" i="5"/>
  <c r="R168" i="5" s="1"/>
  <c r="L169" i="5"/>
  <c r="R169" i="5" s="1"/>
  <c r="L170" i="5"/>
  <c r="R170" i="5" s="1"/>
  <c r="L171" i="5"/>
  <c r="R171" i="5" s="1"/>
  <c r="L172" i="5"/>
  <c r="R172" i="5" s="1"/>
  <c r="L173" i="5"/>
  <c r="R173" i="5" s="1"/>
  <c r="BH173" i="5" s="1"/>
  <c r="L174" i="5"/>
  <c r="R174" i="5" s="1"/>
  <c r="BH174" i="5" s="1"/>
  <c r="L175" i="5"/>
  <c r="R175" i="5" s="1"/>
  <c r="BH175" i="5" s="1"/>
  <c r="L176" i="5"/>
  <c r="R176" i="5" s="1"/>
  <c r="L177" i="5"/>
  <c r="R177" i="5" s="1"/>
  <c r="L178" i="5"/>
  <c r="R178" i="5" s="1"/>
  <c r="L179" i="5"/>
  <c r="R179" i="5" s="1"/>
  <c r="L180" i="5"/>
  <c r="R180" i="5" s="1"/>
  <c r="L181" i="5"/>
  <c r="R181" i="5" s="1"/>
  <c r="BH181" i="5" s="1"/>
  <c r="L182" i="5"/>
  <c r="R182" i="5" s="1"/>
  <c r="BH182" i="5" s="1"/>
  <c r="L183" i="5"/>
  <c r="R183" i="5" s="1"/>
  <c r="L184" i="5"/>
  <c r="R184" i="5" s="1"/>
  <c r="L185" i="5"/>
  <c r="R185" i="5" s="1"/>
  <c r="BH185" i="5" s="1"/>
  <c r="L186" i="5"/>
  <c r="R186" i="5" s="1"/>
  <c r="L187" i="5"/>
  <c r="R187" i="5" s="1"/>
  <c r="L188" i="5"/>
  <c r="R188" i="5" s="1"/>
  <c r="L189" i="5"/>
  <c r="R189" i="5" s="1"/>
  <c r="L190" i="5"/>
  <c r="R190" i="5" s="1"/>
  <c r="L191" i="5"/>
  <c r="R191" i="5" s="1"/>
  <c r="L192" i="5"/>
  <c r="R192" i="5" s="1"/>
  <c r="L193" i="5"/>
  <c r="R193" i="5" s="1"/>
  <c r="BH193" i="5" s="1"/>
  <c r="L194" i="5"/>
  <c r="R194" i="5" s="1"/>
  <c r="BH194" i="5" s="1"/>
  <c r="L195" i="5"/>
  <c r="R195" i="5" s="1"/>
  <c r="BH195" i="5" s="1"/>
  <c r="L196" i="5"/>
  <c r="R196" i="5" s="1"/>
  <c r="BH196" i="5" s="1"/>
  <c r="L197" i="5"/>
  <c r="R197" i="5" s="1"/>
  <c r="L198" i="5"/>
  <c r="R198" i="5" s="1"/>
  <c r="BH198" i="5" s="1"/>
  <c r="L199" i="5"/>
  <c r="R199" i="5" s="1"/>
  <c r="L200" i="5"/>
  <c r="R200" i="5" s="1"/>
  <c r="L201" i="5"/>
  <c r="R201" i="5" s="1"/>
  <c r="L202" i="5"/>
  <c r="R202" i="5" s="1"/>
  <c r="L203" i="5"/>
  <c r="R203" i="5" s="1"/>
  <c r="L204" i="5"/>
  <c r="R204" i="5" s="1"/>
  <c r="L205" i="5"/>
  <c r="R205" i="5" s="1"/>
  <c r="BH205" i="5" s="1"/>
  <c r="L206" i="5"/>
  <c r="R206" i="5" s="1"/>
  <c r="L207" i="5"/>
  <c r="R207" i="5" s="1"/>
  <c r="L208" i="5"/>
  <c r="R208" i="5" s="1"/>
  <c r="L209" i="5"/>
  <c r="R209" i="5" s="1"/>
  <c r="BH209" i="5" s="1"/>
  <c r="L210" i="5"/>
  <c r="R210" i="5" s="1"/>
  <c r="L211" i="5"/>
  <c r="R211" i="5" s="1"/>
  <c r="L212" i="5"/>
  <c r="R212" i="5" s="1"/>
  <c r="L213" i="5"/>
  <c r="R213" i="5" s="1"/>
  <c r="L214" i="5"/>
  <c r="R214" i="5" s="1"/>
  <c r="L215" i="5"/>
  <c r="R215" i="5" s="1"/>
  <c r="L216" i="5"/>
  <c r="R216" i="5" s="1"/>
  <c r="L217" i="5"/>
  <c r="R217" i="5" s="1"/>
  <c r="BH217" i="5" s="1"/>
  <c r="L218" i="5"/>
  <c r="R218" i="5" s="1"/>
  <c r="BH218" i="5" s="1"/>
  <c r="L219" i="5"/>
  <c r="R219" i="5" s="1"/>
  <c r="BH219" i="5" s="1"/>
  <c r="L220" i="5"/>
  <c r="R220" i="5" s="1"/>
  <c r="BH220" i="5" s="1"/>
  <c r="L221" i="5"/>
  <c r="R221" i="5" s="1"/>
  <c r="BH221" i="5" s="1"/>
  <c r="L222" i="5"/>
  <c r="R222" i="5" s="1"/>
  <c r="BH222" i="5" s="1"/>
  <c r="L223" i="5"/>
  <c r="R223" i="5" s="1"/>
  <c r="L224" i="5"/>
  <c r="R224" i="5" s="1"/>
  <c r="L225" i="5"/>
  <c r="R225" i="5" s="1"/>
  <c r="L226" i="5"/>
  <c r="R226" i="5" s="1"/>
  <c r="L227" i="5"/>
  <c r="R227" i="5" s="1"/>
  <c r="L228" i="5"/>
  <c r="R228" i="5" s="1"/>
  <c r="L229" i="5"/>
  <c r="R229" i="5" s="1"/>
  <c r="BH229" i="5" s="1"/>
  <c r="L230" i="5"/>
  <c r="R230" i="5" s="1"/>
  <c r="BH230" i="5" s="1"/>
  <c r="L231" i="5"/>
  <c r="R231" i="5" s="1"/>
  <c r="L232" i="5"/>
  <c r="R232" i="5" s="1"/>
  <c r="L233" i="5"/>
  <c r="R233" i="5" s="1"/>
  <c r="BH233" i="5" s="1"/>
  <c r="L234" i="5"/>
  <c r="R234" i="5" s="1"/>
  <c r="L235" i="5"/>
  <c r="R235" i="5" s="1"/>
  <c r="L236" i="5"/>
  <c r="R236" i="5" s="1"/>
  <c r="L237" i="5"/>
  <c r="R237" i="5" s="1"/>
  <c r="L238" i="5"/>
  <c r="R238" i="5" s="1"/>
  <c r="L239" i="5"/>
  <c r="R239" i="5" s="1"/>
  <c r="L240" i="5"/>
  <c r="R240" i="5" s="1"/>
  <c r="L241" i="5"/>
  <c r="R241" i="5" s="1"/>
  <c r="BH241" i="5" s="1"/>
  <c r="L242" i="5"/>
  <c r="R242" i="5" s="1"/>
  <c r="BH242" i="5" s="1"/>
  <c r="L243" i="5"/>
  <c r="R243" i="5" s="1"/>
  <c r="BH243" i="5" s="1"/>
  <c r="L244" i="5"/>
  <c r="R244" i="5" s="1"/>
  <c r="BH244" i="5" s="1"/>
  <c r="L245" i="5"/>
  <c r="R245" i="5" s="1"/>
  <c r="BH245" i="5" s="1"/>
  <c r="L246" i="5"/>
  <c r="R246" i="5" s="1"/>
  <c r="BH246" i="5" s="1"/>
  <c r="L247" i="5"/>
  <c r="R247" i="5" s="1"/>
  <c r="L248" i="5"/>
  <c r="R248" i="5" s="1"/>
  <c r="L249" i="5"/>
  <c r="R249" i="5" s="1"/>
  <c r="L250" i="5"/>
  <c r="R250" i="5" s="1"/>
  <c r="L251" i="5"/>
  <c r="R251" i="5" s="1"/>
  <c r="L252" i="5"/>
  <c r="R252" i="5" s="1"/>
  <c r="L253" i="5"/>
  <c r="R253" i="5"/>
  <c r="BH253" i="5" s="1"/>
  <c r="L254" i="5"/>
  <c r="R254" i="5" s="1"/>
  <c r="L255" i="5"/>
  <c r="R255" i="5" s="1"/>
  <c r="L256" i="5"/>
  <c r="R256" i="5" s="1"/>
  <c r="L257" i="5"/>
  <c r="R257" i="5" s="1"/>
  <c r="L258" i="5"/>
  <c r="R258" i="5" s="1"/>
  <c r="L259" i="5"/>
  <c r="R259" i="5" s="1"/>
  <c r="L260" i="5"/>
  <c r="R260" i="5" s="1"/>
  <c r="L261" i="5"/>
  <c r="R261" i="5" s="1"/>
  <c r="L262" i="5"/>
  <c r="R262" i="5" s="1"/>
  <c r="L263" i="5"/>
  <c r="R263" i="5" s="1"/>
  <c r="L264" i="5"/>
  <c r="R264" i="5" s="1"/>
  <c r="BH264" i="5" s="1"/>
  <c r="L265" i="5"/>
  <c r="R265" i="5" s="1"/>
  <c r="L266" i="5"/>
  <c r="R266" i="5" s="1"/>
  <c r="L267" i="5"/>
  <c r="R267" i="5" s="1"/>
  <c r="BH267" i="5" s="1"/>
  <c r="L268" i="5"/>
  <c r="R268" i="5" s="1"/>
  <c r="BH268" i="5" s="1"/>
  <c r="L269" i="5"/>
  <c r="R269" i="5" s="1"/>
  <c r="BH269" i="5" s="1"/>
  <c r="L270" i="5"/>
  <c r="R270" i="5" s="1"/>
  <c r="L271" i="5"/>
  <c r="R271" i="5" s="1"/>
  <c r="L272" i="5"/>
  <c r="R272" i="5" s="1"/>
  <c r="L273" i="5"/>
  <c r="R273" i="5" s="1"/>
  <c r="L274" i="5"/>
  <c r="R274" i="5" s="1"/>
  <c r="L275" i="5"/>
  <c r="R275" i="5" s="1"/>
  <c r="L276" i="5"/>
  <c r="R276" i="5" s="1"/>
  <c r="L277" i="5"/>
  <c r="R277" i="5" s="1"/>
  <c r="L278" i="5"/>
  <c r="R278" i="5" s="1"/>
  <c r="L279" i="5"/>
  <c r="R279" i="5" s="1"/>
  <c r="L280" i="5"/>
  <c r="R280" i="5" s="1"/>
  <c r="BH280" i="5" s="1"/>
  <c r="L281" i="5"/>
  <c r="R281" i="5" s="1"/>
  <c r="L282" i="5"/>
  <c r="R282" i="5" s="1"/>
  <c r="L283" i="5"/>
  <c r="R283" i="5" s="1"/>
  <c r="L284" i="5"/>
  <c r="R284" i="5" s="1"/>
  <c r="L285" i="5"/>
  <c r="R285" i="5" s="1"/>
  <c r="L286" i="5"/>
  <c r="R286" i="5" s="1"/>
  <c r="L287" i="5"/>
  <c r="R287" i="5" s="1"/>
  <c r="L288" i="5"/>
  <c r="R288" i="5" s="1"/>
  <c r="L289" i="5"/>
  <c r="R289" i="5"/>
  <c r="BH289" i="5" s="1"/>
  <c r="L290" i="5"/>
  <c r="R290" i="5" s="1"/>
  <c r="L291" i="5"/>
  <c r="R291" i="5" s="1"/>
  <c r="BH291" i="5" s="1"/>
  <c r="L292" i="5"/>
  <c r="R292" i="5" s="1"/>
  <c r="BH292" i="5" s="1"/>
  <c r="L293" i="5"/>
  <c r="R293" i="5" s="1"/>
  <c r="L294" i="5"/>
  <c r="R294" i="5" s="1"/>
  <c r="L295" i="5"/>
  <c r="R295" i="5" s="1"/>
  <c r="L296" i="5"/>
  <c r="R296" i="5" s="1"/>
  <c r="L297" i="5"/>
  <c r="R297" i="5" s="1"/>
  <c r="L298" i="5"/>
  <c r="R298" i="5" s="1"/>
  <c r="L299" i="5"/>
  <c r="R299" i="5" s="1"/>
  <c r="L300" i="5"/>
  <c r="R300" i="5" s="1"/>
  <c r="BH300" i="5" s="1"/>
  <c r="L301" i="5"/>
  <c r="R301" i="5" s="1"/>
  <c r="L302" i="5"/>
  <c r="R302" i="5" s="1"/>
  <c r="L303" i="5"/>
  <c r="R303" i="5" s="1"/>
  <c r="BH303" i="5" s="1"/>
  <c r="L304" i="5"/>
  <c r="R304" i="5" s="1"/>
  <c r="L305" i="5"/>
  <c r="R305" i="5" s="1"/>
  <c r="L306" i="5"/>
  <c r="R306" i="5" s="1"/>
  <c r="L307" i="5"/>
  <c r="R307" i="5" s="1"/>
  <c r="L308" i="5"/>
  <c r="R308" i="5" s="1"/>
  <c r="L309" i="5"/>
  <c r="R309" i="5" s="1"/>
  <c r="L310" i="5"/>
  <c r="R310" i="5" s="1"/>
  <c r="L311" i="5"/>
  <c r="R311" i="5" s="1"/>
  <c r="L312" i="5"/>
  <c r="R312" i="5" s="1"/>
  <c r="BH312" i="5" s="1"/>
  <c r="L313" i="5"/>
  <c r="R313" i="5" s="1"/>
  <c r="BH313" i="5" s="1"/>
  <c r="L314" i="5"/>
  <c r="R314" i="5" s="1"/>
  <c r="BH314" i="5" s="1"/>
  <c r="L315" i="5"/>
  <c r="R315" i="5" s="1"/>
  <c r="L316" i="5"/>
  <c r="R316" i="5" s="1"/>
  <c r="BH316" i="5" s="1"/>
  <c r="L317" i="5"/>
  <c r="R317" i="5" s="1"/>
  <c r="L318" i="5"/>
  <c r="R318" i="5" s="1"/>
  <c r="L319" i="5"/>
  <c r="R319" i="5" s="1"/>
  <c r="L320" i="5"/>
  <c r="R320" i="5" s="1"/>
  <c r="L321" i="5"/>
  <c r="R321" i="5" s="1"/>
  <c r="L322" i="5"/>
  <c r="R322" i="5" s="1"/>
  <c r="L323" i="5"/>
  <c r="R323" i="5" s="1"/>
  <c r="L324" i="5"/>
  <c r="R324" i="5" s="1"/>
  <c r="BH324" i="5" s="1"/>
  <c r="L325" i="5"/>
  <c r="R325" i="5" s="1"/>
  <c r="L326" i="5"/>
  <c r="R326" i="5" s="1"/>
  <c r="L327" i="5"/>
  <c r="R327" i="5" s="1"/>
  <c r="BH327" i="5" s="1"/>
  <c r="L328" i="5"/>
  <c r="R328" i="5" s="1"/>
  <c r="L329" i="5"/>
  <c r="R329" i="5" s="1"/>
  <c r="L330" i="5"/>
  <c r="R330" i="5" s="1"/>
  <c r="L331" i="5"/>
  <c r="R331" i="5" s="1"/>
  <c r="L332" i="5"/>
  <c r="R332" i="5" s="1"/>
  <c r="L333" i="5"/>
  <c r="R333" i="5" s="1"/>
  <c r="L334" i="5"/>
  <c r="R334" i="5" s="1"/>
  <c r="L335" i="5"/>
  <c r="R335" i="5" s="1"/>
  <c r="L336" i="5"/>
  <c r="R336" i="5" s="1"/>
  <c r="BH336" i="5" s="1"/>
  <c r="L337" i="5"/>
  <c r="R337" i="5" s="1"/>
  <c r="BH337" i="5" s="1"/>
  <c r="L338" i="5"/>
  <c r="R338" i="5" s="1"/>
  <c r="BH338" i="5" s="1"/>
  <c r="L339" i="5"/>
  <c r="R339" i="5" s="1"/>
  <c r="BH339" i="5" s="1"/>
  <c r="L340" i="5"/>
  <c r="R340" i="5" s="1"/>
  <c r="BH340" i="5" s="1"/>
  <c r="L341" i="5"/>
  <c r="R341" i="5" s="1"/>
  <c r="L342" i="5"/>
  <c r="R342" i="5" s="1"/>
  <c r="L343" i="5"/>
  <c r="R343" i="5"/>
  <c r="L344" i="5"/>
  <c r="R344" i="5" s="1"/>
  <c r="L345" i="5"/>
  <c r="R345" i="5" s="1"/>
  <c r="L346" i="5"/>
  <c r="R346" i="5" s="1"/>
  <c r="L347" i="5"/>
  <c r="R347" i="5" s="1"/>
  <c r="BH347" i="5" s="1"/>
  <c r="L348" i="5"/>
  <c r="R348" i="5" s="1"/>
  <c r="L349" i="5"/>
  <c r="R349" i="5"/>
  <c r="L350" i="5"/>
  <c r="R350" i="5" s="1"/>
  <c r="L351" i="5"/>
  <c r="R351" i="5" s="1"/>
  <c r="L352" i="5"/>
  <c r="R352" i="5" s="1"/>
  <c r="L353" i="5"/>
  <c r="R353" i="5" s="1"/>
  <c r="L354" i="5"/>
  <c r="R354" i="5" s="1"/>
  <c r="L355" i="5"/>
  <c r="R355" i="5" s="1"/>
  <c r="BH355" i="5" s="1"/>
  <c r="L356" i="5"/>
  <c r="R356" i="5" s="1"/>
  <c r="L357" i="5"/>
  <c r="R357" i="5" s="1"/>
  <c r="L358" i="5"/>
  <c r="R358" i="5" s="1"/>
  <c r="BH358" i="5" s="1"/>
  <c r="L359" i="5"/>
  <c r="R359" i="5" s="1"/>
  <c r="BH359" i="5" s="1"/>
  <c r="L360" i="5"/>
  <c r="R360" i="5" s="1"/>
  <c r="BH360" i="5" s="1"/>
  <c r="L361" i="5"/>
  <c r="R361" i="5" s="1"/>
  <c r="BH361" i="5" s="1"/>
  <c r="L362" i="5"/>
  <c r="R362" i="5" s="1"/>
  <c r="L363" i="5"/>
  <c r="R363" i="5" s="1"/>
  <c r="L364" i="5"/>
  <c r="R364" i="5" s="1"/>
  <c r="L365" i="5"/>
  <c r="R365" i="5" s="1"/>
  <c r="L366" i="5"/>
  <c r="R366" i="5" s="1"/>
  <c r="L367" i="5"/>
  <c r="R367" i="5" s="1"/>
  <c r="L368" i="5"/>
  <c r="R368" i="5" s="1"/>
  <c r="L369" i="5"/>
  <c r="R369" i="5" s="1"/>
  <c r="BH369" i="5" s="1"/>
  <c r="L370" i="5"/>
  <c r="R370" i="5" s="1"/>
  <c r="L371" i="5"/>
  <c r="R371" i="5" s="1"/>
  <c r="L372" i="5"/>
  <c r="R372" i="5" s="1"/>
  <c r="BH372" i="5" s="1"/>
  <c r="L373" i="5"/>
  <c r="R373" i="5" s="1"/>
  <c r="L374" i="5"/>
  <c r="R374" i="5" s="1"/>
  <c r="L375" i="5"/>
  <c r="R375" i="5" s="1"/>
  <c r="L376" i="5"/>
  <c r="R376" i="5" s="1"/>
  <c r="L377" i="5"/>
  <c r="R377" i="5" s="1"/>
  <c r="L378" i="5"/>
  <c r="R378" i="5" s="1"/>
  <c r="L379" i="5"/>
  <c r="R379" i="5" s="1"/>
  <c r="BH379" i="5" s="1"/>
  <c r="L380" i="5"/>
  <c r="R380" i="5" s="1"/>
  <c r="L381" i="5"/>
  <c r="R381" i="5" s="1"/>
  <c r="L382" i="5"/>
  <c r="R382" i="5" s="1"/>
  <c r="L383" i="5"/>
  <c r="R383" i="5" s="1"/>
  <c r="BH383" i="5" s="1"/>
  <c r="L384" i="5"/>
  <c r="R384" i="5" s="1"/>
  <c r="BH384" i="5" s="1"/>
  <c r="L385" i="5"/>
  <c r="R385" i="5" s="1"/>
  <c r="BH385" i="5" s="1"/>
  <c r="L386" i="5"/>
  <c r="R386" i="5" s="1"/>
  <c r="L387" i="5"/>
  <c r="R387" i="5" s="1"/>
  <c r="L388" i="5"/>
  <c r="R388" i="5" s="1"/>
  <c r="L389" i="5"/>
  <c r="R389" i="5" s="1"/>
  <c r="L390" i="5"/>
  <c r="R390" i="5" s="1"/>
  <c r="L391" i="5"/>
  <c r="R391" i="5" s="1"/>
  <c r="BH391" i="5" s="1"/>
  <c r="L392" i="5"/>
  <c r="R392" i="5" s="1"/>
  <c r="BH392" i="5" s="1"/>
  <c r="L393" i="5"/>
  <c r="R393" i="5" s="1"/>
  <c r="L394" i="5"/>
  <c r="R394" i="5" s="1"/>
  <c r="L395" i="5"/>
  <c r="R395" i="5" s="1"/>
  <c r="BH395" i="5" s="1"/>
  <c r="L396" i="5"/>
  <c r="R396" i="5" s="1"/>
  <c r="L397" i="5"/>
  <c r="R397" i="5" s="1"/>
  <c r="L398" i="5"/>
  <c r="R398" i="5" s="1"/>
  <c r="L399" i="5"/>
  <c r="R399" i="5" s="1"/>
  <c r="L400" i="5"/>
  <c r="R400" i="5" s="1"/>
  <c r="L401" i="5"/>
  <c r="R401" i="5" s="1"/>
  <c r="L402" i="5"/>
  <c r="R402" i="5" s="1"/>
  <c r="L403" i="5"/>
  <c r="R403" i="5" s="1"/>
  <c r="BH403" i="5" s="1"/>
  <c r="L404" i="5"/>
  <c r="R404" i="5"/>
  <c r="BH404" i="5" s="1"/>
  <c r="L405" i="5"/>
  <c r="R405" i="5" s="1"/>
  <c r="BH405" i="5" s="1"/>
  <c r="L406" i="5"/>
  <c r="R406" i="5" s="1"/>
  <c r="BH406" i="5" s="1"/>
  <c r="L407" i="5"/>
  <c r="R407" i="5" s="1"/>
  <c r="BH407" i="5" s="1"/>
  <c r="L408" i="5"/>
  <c r="R408" i="5" s="1"/>
  <c r="L409" i="5"/>
  <c r="R409" i="5" s="1"/>
  <c r="L410" i="5"/>
  <c r="R410" i="5" s="1"/>
  <c r="L411" i="5"/>
  <c r="R411" i="5" s="1"/>
  <c r="L412" i="5"/>
  <c r="R412" i="5" s="1"/>
  <c r="L413" i="5"/>
  <c r="R413" i="5" s="1"/>
  <c r="BH413" i="5" s="1"/>
  <c r="L414" i="5"/>
  <c r="R414" i="5" s="1"/>
  <c r="BH414" i="5" s="1"/>
  <c r="L415" i="5"/>
  <c r="R415" i="5" s="1"/>
  <c r="BH415" i="5" s="1"/>
  <c r="L416" i="5"/>
  <c r="R416" i="5" s="1"/>
  <c r="BH416" i="5" s="1"/>
  <c r="L417" i="5"/>
  <c r="R417" i="5" s="1"/>
  <c r="L418" i="5"/>
  <c r="R418" i="5" s="1"/>
  <c r="L419" i="5"/>
  <c r="R419" i="5" s="1"/>
  <c r="L420" i="5"/>
  <c r="R420" i="5" s="1"/>
  <c r="L421" i="5"/>
  <c r="R421" i="5" s="1"/>
  <c r="BH421" i="5" s="1"/>
  <c r="L422" i="5"/>
  <c r="R422" i="5" s="1"/>
  <c r="L423" i="5"/>
  <c r="R423" i="5" s="1"/>
  <c r="L424" i="5"/>
  <c r="R424" i="5" s="1"/>
  <c r="L425" i="5"/>
  <c r="R425" i="5"/>
  <c r="L426" i="5"/>
  <c r="R426" i="5" s="1"/>
  <c r="BH426" i="5" s="1"/>
  <c r="L427" i="5"/>
  <c r="R427" i="5" s="1"/>
  <c r="BH427" i="5" s="1"/>
  <c r="L428" i="5"/>
  <c r="R428" i="5" s="1"/>
  <c r="L429" i="5"/>
  <c r="R429" i="5" s="1"/>
  <c r="L430" i="5"/>
  <c r="R430" i="5" s="1"/>
  <c r="L431" i="5"/>
  <c r="R431" i="5" s="1"/>
  <c r="BH431" i="5" s="1"/>
  <c r="L432" i="5"/>
  <c r="R432" i="5" s="1"/>
  <c r="L433" i="5"/>
  <c r="R433" i="5" s="1"/>
  <c r="L434" i="5"/>
  <c r="R434" i="5" s="1"/>
  <c r="BH434" i="5" s="1"/>
  <c r="L435" i="5"/>
  <c r="R435" i="5" s="1"/>
  <c r="L436" i="5"/>
  <c r="R436" i="5" s="1"/>
  <c r="L437" i="5"/>
  <c r="R437" i="5" s="1"/>
  <c r="L438" i="5"/>
  <c r="R438" i="5" s="1"/>
  <c r="L439" i="5"/>
  <c r="R439" i="5" s="1"/>
  <c r="L440" i="5"/>
  <c r="R440" i="5" s="1"/>
  <c r="L441" i="5"/>
  <c r="R441" i="5" s="1"/>
  <c r="L442" i="5"/>
  <c r="R442" i="5" s="1"/>
  <c r="L443" i="5"/>
  <c r="R443" i="5" s="1"/>
  <c r="BH443" i="5" s="1"/>
  <c r="L444" i="5"/>
  <c r="R444" i="5" s="1"/>
  <c r="L445" i="5"/>
  <c r="R445" i="5" s="1"/>
  <c r="BH445" i="5" s="1"/>
  <c r="L446" i="5"/>
  <c r="R446" i="5" s="1"/>
  <c r="BH446" i="5" s="1"/>
  <c r="L447" i="5"/>
  <c r="R447" i="5" s="1"/>
  <c r="BH447" i="5" s="1"/>
  <c r="L448" i="5"/>
  <c r="R448" i="5" s="1"/>
  <c r="BH448" i="5" s="1"/>
  <c r="L449" i="5"/>
  <c r="R449" i="5" s="1"/>
  <c r="BH449" i="5" s="1"/>
  <c r="L450" i="5"/>
  <c r="R450" i="5" s="1"/>
  <c r="L451" i="5"/>
  <c r="R451" i="5" s="1"/>
  <c r="L452" i="5"/>
  <c r="R452" i="5" s="1"/>
  <c r="L453" i="5"/>
  <c r="R453" i="5" s="1"/>
  <c r="L454" i="5"/>
  <c r="R454" i="5" s="1"/>
  <c r="L455" i="5"/>
  <c r="R455" i="5" s="1"/>
  <c r="L456" i="5"/>
  <c r="R456" i="5" s="1"/>
  <c r="L457" i="5"/>
  <c r="R457" i="5" s="1"/>
  <c r="L458" i="5"/>
  <c r="R458" i="5" s="1"/>
  <c r="L459" i="5"/>
  <c r="R459" i="5" s="1"/>
  <c r="L460" i="5"/>
  <c r="R460" i="5" s="1"/>
  <c r="BH460" i="5" s="1"/>
  <c r="L461" i="5"/>
  <c r="R461" i="5" s="1"/>
  <c r="BH461" i="5" s="1"/>
  <c r="L462" i="5"/>
  <c r="R462" i="5" s="1"/>
  <c r="L463" i="5"/>
  <c r="R463" i="5" s="1"/>
  <c r="L464" i="5"/>
  <c r="R464" i="5" s="1"/>
  <c r="L465" i="5"/>
  <c r="R465" i="5" s="1"/>
  <c r="L466" i="5"/>
  <c r="R466" i="5" s="1"/>
  <c r="L467" i="5"/>
  <c r="R467" i="5" s="1"/>
  <c r="L468" i="5"/>
  <c r="R468" i="5" s="1"/>
  <c r="BH468" i="5" s="1"/>
  <c r="L469" i="5"/>
  <c r="R469" i="5" s="1"/>
  <c r="BH469" i="5" s="1"/>
  <c r="L470" i="5"/>
  <c r="R470" i="5" s="1"/>
  <c r="BH470" i="5" s="1"/>
  <c r="L471" i="5"/>
  <c r="R471" i="5" s="1"/>
  <c r="BH471" i="5" s="1"/>
  <c r="L472" i="5"/>
  <c r="R472" i="5" s="1"/>
  <c r="BH472" i="5" s="1"/>
  <c r="L473" i="5"/>
  <c r="R473" i="5" s="1"/>
  <c r="L474" i="5"/>
  <c r="R474" i="5" s="1"/>
  <c r="L475" i="5"/>
  <c r="R475" i="5" s="1"/>
  <c r="L476" i="5"/>
  <c r="R476" i="5" s="1"/>
  <c r="L477" i="5"/>
  <c r="R477" i="5" s="1"/>
  <c r="L478" i="5"/>
  <c r="R478" i="5" s="1"/>
  <c r="L479" i="5"/>
  <c r="R479" i="5"/>
  <c r="BH479" i="5" s="1"/>
  <c r="L480" i="5"/>
  <c r="R480" i="5" s="1"/>
  <c r="L481" i="5"/>
  <c r="R481" i="5" s="1"/>
  <c r="L482" i="5"/>
  <c r="R482" i="5" s="1"/>
  <c r="BH482" i="5" s="1"/>
  <c r="L483" i="5"/>
  <c r="R483" i="5" s="1"/>
  <c r="L484" i="5"/>
  <c r="R484" i="5" s="1"/>
  <c r="L485" i="5"/>
  <c r="R485" i="5" s="1"/>
  <c r="L486" i="5"/>
  <c r="R486" i="5" s="1"/>
  <c r="L487" i="5"/>
  <c r="R487" i="5" s="1"/>
  <c r="L488" i="5"/>
  <c r="R488" i="5" s="1"/>
  <c r="L489" i="5"/>
  <c r="R489" i="5" s="1"/>
  <c r="BH489" i="5" s="1"/>
  <c r="L490" i="5"/>
  <c r="R490" i="5" s="1"/>
  <c r="L491" i="5"/>
  <c r="R491" i="5" s="1"/>
  <c r="L492" i="5"/>
  <c r="R492" i="5" s="1"/>
  <c r="BH492" i="5" s="1"/>
  <c r="L493" i="5"/>
  <c r="R493" i="5" s="1"/>
  <c r="BH493" i="5" s="1"/>
  <c r="L494" i="5"/>
  <c r="R494" i="5" s="1"/>
  <c r="BH494" i="5" s="1"/>
  <c r="L495" i="5"/>
  <c r="R495" i="5" s="1"/>
  <c r="L496" i="5"/>
  <c r="R496" i="5" s="1"/>
  <c r="L497" i="5"/>
  <c r="R497" i="5" s="1"/>
  <c r="L498" i="5"/>
  <c r="R498" i="5" s="1"/>
  <c r="L499" i="5"/>
  <c r="R499" i="5" s="1"/>
  <c r="L500" i="5"/>
  <c r="R500" i="5" s="1"/>
  <c r="BH500" i="5" s="1"/>
  <c r="L501" i="5"/>
  <c r="R501" i="5" s="1"/>
  <c r="L502" i="5"/>
  <c r="R502" i="5" s="1"/>
  <c r="BH502" i="5" s="1"/>
  <c r="L503" i="5"/>
  <c r="R503" i="5" s="1"/>
  <c r="L504" i="5"/>
  <c r="R504" i="5" s="1"/>
  <c r="L505" i="5"/>
  <c r="R505" i="5" s="1"/>
  <c r="BH505" i="5" s="1"/>
  <c r="L506" i="5"/>
  <c r="R506" i="5" s="1"/>
  <c r="L507" i="5"/>
  <c r="R507" i="5" s="1"/>
  <c r="BH507" i="5" s="1"/>
  <c r="L508" i="5"/>
  <c r="R508" i="5" s="1"/>
  <c r="L509" i="5"/>
  <c r="R509" i="5" s="1"/>
  <c r="L510" i="5"/>
  <c r="R510" i="5" s="1"/>
  <c r="L511" i="5"/>
  <c r="R511" i="5" s="1"/>
  <c r="L512" i="5"/>
  <c r="R512" i="5" s="1"/>
  <c r="L513" i="5"/>
  <c r="R513" i="5" s="1"/>
  <c r="BH513" i="5" s="1"/>
  <c r="L514" i="5"/>
  <c r="R514" i="5" s="1"/>
  <c r="BH514" i="5" s="1"/>
  <c r="L515" i="5"/>
  <c r="R515" i="5" s="1"/>
  <c r="BH515" i="5" s="1"/>
  <c r="L516" i="5"/>
  <c r="R516" i="5" s="1"/>
  <c r="L517" i="5"/>
  <c r="R517" i="5" s="1"/>
  <c r="BH517" i="5" s="1"/>
  <c r="L518" i="5"/>
  <c r="R518" i="5" s="1"/>
  <c r="L519" i="5"/>
  <c r="R519" i="5" s="1"/>
  <c r="L520" i="5"/>
  <c r="R520" i="5" s="1"/>
  <c r="L521" i="5"/>
  <c r="R521" i="5" s="1"/>
  <c r="L522" i="5"/>
  <c r="R522" i="5" s="1"/>
  <c r="L523" i="5"/>
  <c r="R523" i="5" s="1"/>
  <c r="L524" i="5"/>
  <c r="R524" i="5" s="1"/>
  <c r="L525" i="5"/>
  <c r="R525" i="5" s="1"/>
  <c r="BH525" i="5" s="1"/>
  <c r="L526" i="5"/>
  <c r="R526" i="5" s="1"/>
  <c r="L527" i="5"/>
  <c r="R527" i="5" s="1"/>
  <c r="L528" i="5"/>
  <c r="R528" i="5" s="1"/>
  <c r="BH528" i="5" s="1"/>
  <c r="L529" i="5"/>
  <c r="R529" i="5" s="1"/>
  <c r="L530" i="5"/>
  <c r="R530" i="5" s="1"/>
  <c r="L531" i="5"/>
  <c r="R531" i="5" s="1"/>
  <c r="L532" i="5"/>
  <c r="R532" i="5" s="1"/>
  <c r="BH532" i="5" s="1"/>
  <c r="L533" i="5"/>
  <c r="R533" i="5" s="1"/>
  <c r="L534" i="5"/>
  <c r="R534" i="5" s="1"/>
  <c r="L535" i="5"/>
  <c r="R535" i="5" s="1"/>
  <c r="L536" i="5"/>
  <c r="R536" i="5" s="1"/>
  <c r="L537" i="5"/>
  <c r="R537" i="5" s="1"/>
  <c r="BH537" i="5" s="1"/>
  <c r="L538" i="5"/>
  <c r="R538" i="5" s="1"/>
  <c r="BH538" i="5" s="1"/>
  <c r="L539" i="5"/>
  <c r="R539" i="5" s="1"/>
  <c r="BH539" i="5" s="1"/>
  <c r="L540" i="5"/>
  <c r="R540" i="5" s="1"/>
  <c r="L541" i="5"/>
  <c r="R541" i="5" s="1"/>
  <c r="BH541" i="5" s="1"/>
  <c r="L542" i="5"/>
  <c r="R542" i="5" s="1"/>
  <c r="L543" i="5"/>
  <c r="R543" i="5" s="1"/>
  <c r="L544" i="5"/>
  <c r="R544" i="5" s="1"/>
  <c r="L545" i="5"/>
  <c r="R545" i="5" s="1"/>
  <c r="L546" i="5"/>
  <c r="R546" i="5" s="1"/>
  <c r="L547" i="5"/>
  <c r="R547" i="5" s="1"/>
  <c r="BH547" i="5" s="1"/>
  <c r="L548" i="5"/>
  <c r="R548" i="5" s="1"/>
  <c r="L549" i="5"/>
  <c r="R549" i="5" s="1"/>
  <c r="BH549" i="5" s="1"/>
  <c r="L550" i="5"/>
  <c r="R550" i="5" s="1"/>
  <c r="L551" i="5"/>
  <c r="R551" i="5" s="1"/>
  <c r="L552" i="5"/>
  <c r="R552" i="5" s="1"/>
  <c r="BH552" i="5" s="1"/>
  <c r="L553" i="5"/>
  <c r="R553" i="5" s="1"/>
  <c r="L554" i="5"/>
  <c r="R554" i="5" s="1"/>
  <c r="L555" i="5"/>
  <c r="R555" i="5" s="1"/>
  <c r="L556" i="5"/>
  <c r="R556" i="5" s="1"/>
  <c r="L557" i="5"/>
  <c r="R557" i="5" s="1"/>
  <c r="L558" i="5"/>
  <c r="R558" i="5" s="1"/>
  <c r="L559" i="5"/>
  <c r="R559" i="5" s="1"/>
  <c r="L560" i="5"/>
  <c r="R560" i="5" s="1"/>
  <c r="L561" i="5"/>
  <c r="R561" i="5" s="1"/>
  <c r="BH561" i="5" s="1"/>
  <c r="L562" i="5"/>
  <c r="R562" i="5"/>
  <c r="BH562" i="5" s="1"/>
  <c r="L563" i="5"/>
  <c r="R563" i="5" s="1"/>
  <c r="BH563" i="5" s="1"/>
  <c r="L564" i="5"/>
  <c r="R564" i="5" s="1"/>
  <c r="BH564" i="5" s="1"/>
  <c r="L565" i="5"/>
  <c r="R565" i="5" s="1"/>
  <c r="BH565" i="5" s="1"/>
  <c r="L566" i="5"/>
  <c r="R566" i="5" s="1"/>
  <c r="L567" i="5"/>
  <c r="R567" i="5" s="1"/>
  <c r="L568" i="5"/>
  <c r="R568" i="5" s="1"/>
  <c r="L569" i="5"/>
  <c r="R569" i="5" s="1"/>
  <c r="L570" i="5"/>
  <c r="R570" i="5" s="1"/>
  <c r="L571" i="5"/>
  <c r="R571" i="5" s="1"/>
  <c r="BH571" i="5" s="1"/>
  <c r="L572" i="5"/>
  <c r="R572" i="5" s="1"/>
  <c r="L573" i="5"/>
  <c r="R573" i="5" s="1"/>
  <c r="L574" i="5"/>
  <c r="R574" i="5" s="1"/>
  <c r="L575" i="5"/>
  <c r="R575" i="5" s="1"/>
  <c r="L576" i="5"/>
  <c r="R576" i="5" s="1"/>
  <c r="L577" i="5"/>
  <c r="R577" i="5" s="1"/>
  <c r="L578" i="5"/>
  <c r="R578" i="5" s="1"/>
  <c r="L579" i="5"/>
  <c r="R579" i="5" s="1"/>
  <c r="L580" i="5"/>
  <c r="R580" i="5" s="1"/>
  <c r="L581" i="5"/>
  <c r="R581" i="5" s="1"/>
  <c r="BH581" i="5" s="1"/>
  <c r="L582" i="5"/>
  <c r="R582" i="5" s="1"/>
  <c r="L583" i="5"/>
  <c r="R583" i="5" s="1"/>
  <c r="BH583" i="5" s="1"/>
  <c r="L584" i="5"/>
  <c r="R584" i="5" s="1"/>
  <c r="BH584" i="5" s="1"/>
  <c r="L585" i="5"/>
  <c r="R585" i="5" s="1"/>
  <c r="BH585" i="5" s="1"/>
  <c r="L586" i="5"/>
  <c r="R586" i="5" s="1"/>
  <c r="BH586" i="5" s="1"/>
  <c r="L587" i="5"/>
  <c r="R587" i="5" s="1"/>
  <c r="L588" i="5"/>
  <c r="R588" i="5" s="1"/>
  <c r="L589" i="5"/>
  <c r="R589" i="5" s="1"/>
  <c r="L590" i="5"/>
  <c r="R590" i="5" s="1"/>
  <c r="L591" i="5"/>
  <c r="R591" i="5" s="1"/>
  <c r="L592" i="5"/>
  <c r="R592" i="5" s="1"/>
  <c r="L593" i="5"/>
  <c r="R593" i="5" s="1"/>
  <c r="L594" i="5"/>
  <c r="R594" i="5" s="1"/>
  <c r="BH594" i="5" s="1"/>
  <c r="L595" i="5"/>
  <c r="R595" i="5" s="1"/>
  <c r="L596" i="5"/>
  <c r="R596" i="5" s="1"/>
  <c r="L597" i="5"/>
  <c r="R597" i="5" s="1"/>
  <c r="BH597" i="5" s="1"/>
  <c r="L598" i="5"/>
  <c r="R598" i="5" s="1"/>
  <c r="BH598" i="5" s="1"/>
  <c r="L599" i="5"/>
  <c r="R599" i="5" s="1"/>
  <c r="L600" i="5"/>
  <c r="R600" i="5" s="1"/>
  <c r="L601" i="5"/>
  <c r="R601" i="5" s="1"/>
  <c r="L602" i="5"/>
  <c r="R602" i="5" s="1"/>
  <c r="L603" i="5"/>
  <c r="R603" i="5" s="1"/>
  <c r="L604" i="5"/>
  <c r="R604" i="5" s="1"/>
  <c r="BH604" i="5" s="1"/>
  <c r="L605" i="5"/>
  <c r="R605" i="5" s="1"/>
  <c r="BH605" i="5" s="1"/>
  <c r="L606" i="5"/>
  <c r="R606" i="5" s="1"/>
  <c r="BH606" i="5" s="1"/>
  <c r="L607" i="5"/>
  <c r="R607" i="5" s="1"/>
  <c r="BH607" i="5" s="1"/>
  <c r="L608" i="5"/>
  <c r="R608" i="5" s="1"/>
  <c r="BH608" i="5" s="1"/>
  <c r="L609" i="5"/>
  <c r="R609" i="5" s="1"/>
  <c r="BH609" i="5" s="1"/>
  <c r="L610" i="5"/>
  <c r="R610" i="5" s="1"/>
  <c r="L611" i="5"/>
  <c r="R611" i="5" s="1"/>
  <c r="L612" i="5"/>
  <c r="R612" i="5" s="1"/>
  <c r="L613" i="5"/>
  <c r="R613" i="5" s="1"/>
  <c r="L614" i="5"/>
  <c r="R614" i="5" s="1"/>
  <c r="L615" i="5"/>
  <c r="R615" i="5" s="1"/>
  <c r="L616" i="5"/>
  <c r="R616" i="5" s="1"/>
  <c r="L617" i="5"/>
  <c r="R617" i="5" s="1"/>
  <c r="BH617" i="5" s="1"/>
  <c r="L618" i="5"/>
  <c r="R618" i="5" s="1"/>
  <c r="L619" i="5"/>
  <c r="R619" i="5" s="1"/>
  <c r="L620" i="5"/>
  <c r="R620" i="5" s="1"/>
  <c r="BH620" i="5" s="1"/>
  <c r="L621" i="5"/>
  <c r="R621" i="5" s="1"/>
  <c r="L622" i="5"/>
  <c r="R622" i="5" s="1"/>
  <c r="L623" i="5"/>
  <c r="R623" i="5" s="1"/>
  <c r="L624" i="5"/>
  <c r="R624" i="5" s="1"/>
  <c r="L625" i="5"/>
  <c r="R625" i="5" s="1"/>
  <c r="L626" i="5"/>
  <c r="R626" i="5" s="1"/>
  <c r="L627" i="5"/>
  <c r="R627" i="5" s="1"/>
  <c r="L628" i="5"/>
  <c r="R628" i="5"/>
  <c r="BH628" i="5" s="1"/>
  <c r="L629" i="5"/>
  <c r="R629" i="5" s="1"/>
  <c r="BH629" i="5" s="1"/>
  <c r="L630" i="5"/>
  <c r="R630" i="5" s="1"/>
  <c r="BH630" i="5" s="1"/>
  <c r="L631" i="5"/>
  <c r="R631" i="5" s="1"/>
  <c r="BH631" i="5" s="1"/>
  <c r="L632" i="5"/>
  <c r="R632" i="5" s="1"/>
  <c r="BH632" i="5" s="1"/>
  <c r="L633" i="5"/>
  <c r="R633" i="5" s="1"/>
  <c r="L634" i="5"/>
  <c r="R634" i="5" s="1"/>
  <c r="BH634" i="5" s="1"/>
  <c r="L635" i="5"/>
  <c r="R635" i="5" s="1"/>
  <c r="L636" i="5"/>
  <c r="R636" i="5" s="1"/>
  <c r="L637" i="5"/>
  <c r="R637" i="5" s="1"/>
  <c r="L638" i="5"/>
  <c r="R638" i="5" s="1"/>
  <c r="L639" i="5"/>
  <c r="R639" i="5" s="1"/>
  <c r="BH639" i="5" s="1"/>
  <c r="L640" i="5"/>
  <c r="R640" i="5" s="1"/>
  <c r="L641" i="5"/>
  <c r="R641" i="5" s="1"/>
  <c r="L642" i="5"/>
  <c r="R642" i="5" s="1"/>
  <c r="BH642" i="5" s="1"/>
  <c r="L643" i="5"/>
  <c r="R643" i="5" s="1"/>
  <c r="L644" i="5"/>
  <c r="R644" i="5" s="1"/>
  <c r="L645" i="5"/>
  <c r="R645" i="5"/>
  <c r="L646" i="5"/>
  <c r="R646" i="5" s="1"/>
  <c r="L647" i="5"/>
  <c r="R647" i="5" s="1"/>
  <c r="L648" i="5"/>
  <c r="R648" i="5" s="1"/>
  <c r="L649" i="5"/>
  <c r="R649" i="5" s="1"/>
  <c r="L650" i="5"/>
  <c r="R650" i="5" s="1"/>
  <c r="BH650" i="5" s="1"/>
  <c r="L651" i="5"/>
  <c r="R651" i="5" s="1"/>
  <c r="BH651" i="5" s="1"/>
  <c r="L652" i="5"/>
  <c r="R652" i="5" s="1"/>
  <c r="BH652" i="5" s="1"/>
  <c r="L653" i="5"/>
  <c r="R653" i="5" s="1"/>
  <c r="BH653" i="5" s="1"/>
  <c r="L654" i="5"/>
  <c r="R654" i="5" s="1"/>
  <c r="BH654" i="5" s="1"/>
  <c r="L655" i="5"/>
  <c r="R655" i="5" s="1"/>
  <c r="L656" i="5"/>
  <c r="R656" i="5" s="1"/>
  <c r="L657" i="5"/>
  <c r="R657" i="5" s="1"/>
  <c r="L658" i="5"/>
  <c r="R658" i="5" s="1"/>
  <c r="BH658" i="5" s="1"/>
  <c r="L659" i="5"/>
  <c r="R659" i="5" s="1"/>
  <c r="L660" i="5"/>
  <c r="R660" i="5" s="1"/>
  <c r="L661" i="5"/>
  <c r="R661" i="5" s="1"/>
  <c r="BH661" i="5" s="1"/>
  <c r="L662" i="5"/>
  <c r="R662" i="5" s="1"/>
  <c r="L663" i="5"/>
  <c r="R663" i="5" s="1"/>
  <c r="L664" i="5"/>
  <c r="R664" i="5" s="1"/>
  <c r="BH664" i="5" s="1"/>
  <c r="L665" i="5"/>
  <c r="R665" i="5" s="1"/>
  <c r="L666" i="5"/>
  <c r="R666" i="5" s="1"/>
  <c r="L667" i="5"/>
  <c r="R667" i="5" s="1"/>
  <c r="L668" i="5"/>
  <c r="R668" i="5" s="1"/>
  <c r="L669" i="5"/>
  <c r="R669" i="5" s="1"/>
  <c r="L670" i="5"/>
  <c r="R670" i="5" s="1"/>
  <c r="L671" i="5"/>
  <c r="R671" i="5" s="1"/>
  <c r="L672" i="5"/>
  <c r="R672" i="5" s="1"/>
  <c r="L673" i="5"/>
  <c r="R673" i="5" s="1"/>
  <c r="L674" i="5"/>
  <c r="R674" i="5" s="1"/>
  <c r="BH674" i="5" s="1"/>
  <c r="L675" i="5"/>
  <c r="R675" i="5" s="1"/>
  <c r="BH675" i="5" s="1"/>
  <c r="L676" i="5"/>
  <c r="R676" i="5" s="1"/>
  <c r="BH676" i="5" s="1"/>
  <c r="L677" i="5"/>
  <c r="R677" i="5" s="1"/>
  <c r="BH677" i="5" s="1"/>
  <c r="L678" i="5"/>
  <c r="R678" i="5" s="1"/>
  <c r="L679" i="5"/>
  <c r="R679" i="5" s="1"/>
  <c r="L680" i="5"/>
  <c r="R680" i="5" s="1"/>
  <c r="L681" i="5"/>
  <c r="R681" i="5" s="1"/>
  <c r="L682" i="5"/>
  <c r="R682" i="5" s="1"/>
  <c r="L683" i="5"/>
  <c r="R683" i="5" s="1"/>
  <c r="L684" i="5"/>
  <c r="R684" i="5" s="1"/>
  <c r="L685" i="5"/>
  <c r="R685" i="5" s="1"/>
  <c r="BH685" i="5" s="1"/>
  <c r="L686" i="5"/>
  <c r="R686" i="5" s="1"/>
  <c r="L687" i="5"/>
  <c r="R687" i="5"/>
  <c r="L688" i="5"/>
  <c r="R688" i="5" s="1"/>
  <c r="L689" i="5"/>
  <c r="R689" i="5" s="1"/>
  <c r="L690" i="5"/>
  <c r="R690" i="5" s="1"/>
  <c r="L691" i="5"/>
  <c r="R691" i="5" s="1"/>
  <c r="L692" i="5"/>
  <c r="R692" i="5" s="1"/>
  <c r="L693" i="5"/>
  <c r="R693" i="5" s="1"/>
  <c r="L694" i="5"/>
  <c r="R694" i="5" s="1"/>
  <c r="L695" i="5"/>
  <c r="R695" i="5" s="1"/>
  <c r="L696" i="5"/>
  <c r="R696" i="5" s="1"/>
  <c r="BH696" i="5" s="1"/>
  <c r="L697" i="5"/>
  <c r="R697" i="5" s="1"/>
  <c r="BH697" i="5" s="1"/>
  <c r="L698" i="5"/>
  <c r="R698" i="5" s="1"/>
  <c r="BH698" i="5" s="1"/>
  <c r="L699" i="5"/>
  <c r="R699" i="5" s="1"/>
  <c r="BH699" i="5" s="1"/>
  <c r="L700" i="5"/>
  <c r="R700" i="5" s="1"/>
  <c r="BH700" i="5" s="1"/>
  <c r="L701" i="5"/>
  <c r="R701" i="5" s="1"/>
  <c r="L702" i="5"/>
  <c r="R702" i="5" s="1"/>
  <c r="L703" i="5"/>
  <c r="R703" i="5" s="1"/>
  <c r="L704" i="5"/>
  <c r="R704" i="5" s="1"/>
  <c r="L705" i="5"/>
  <c r="R705" i="5" s="1"/>
  <c r="L706" i="5"/>
  <c r="R706" i="5" s="1"/>
  <c r="L707" i="5"/>
  <c r="R707" i="5" s="1"/>
  <c r="L708" i="5"/>
  <c r="R708" i="5" s="1"/>
  <c r="L709" i="5"/>
  <c r="R709" i="5" s="1"/>
  <c r="L710" i="5"/>
  <c r="R710" i="5" s="1"/>
  <c r="L711" i="5"/>
  <c r="R711" i="5" s="1"/>
  <c r="BH711" i="5" s="1"/>
  <c r="L712" i="5"/>
  <c r="R712" i="5" s="1"/>
  <c r="L713" i="5"/>
  <c r="R713" i="5" s="1"/>
  <c r="L714" i="5"/>
  <c r="R714" i="5" s="1"/>
  <c r="L715" i="5"/>
  <c r="R715" i="5" s="1"/>
  <c r="L716" i="5"/>
  <c r="R716" i="5" s="1"/>
  <c r="L717" i="5"/>
  <c r="R717" i="5" s="1"/>
  <c r="BH717" i="5" s="1"/>
  <c r="L718" i="5"/>
  <c r="R718" i="5" s="1"/>
  <c r="BH718" i="5" s="1"/>
  <c r="L719" i="5"/>
  <c r="R719" i="5" s="1"/>
  <c r="BH719" i="5" s="1"/>
  <c r="L720" i="5"/>
  <c r="R720" i="5" s="1"/>
  <c r="BH720" i="5" s="1"/>
  <c r="L721" i="5"/>
  <c r="R721" i="5" s="1"/>
  <c r="BH721" i="5" s="1"/>
  <c r="L722" i="5"/>
  <c r="R722" i="5" s="1"/>
  <c r="BH722" i="5" s="1"/>
  <c r="L723" i="5"/>
  <c r="R723" i="5" s="1"/>
  <c r="L724" i="5"/>
  <c r="R724" i="5" s="1"/>
  <c r="L725" i="5"/>
  <c r="R725" i="5" s="1"/>
  <c r="L726" i="5"/>
  <c r="R726" i="5" s="1"/>
  <c r="L727" i="5"/>
  <c r="R727" i="5"/>
  <c r="L728" i="5"/>
  <c r="R728" i="5" s="1"/>
  <c r="L729" i="5"/>
  <c r="R729" i="5" s="1"/>
  <c r="BH729" i="5" s="1"/>
  <c r="L730" i="5"/>
  <c r="R730" i="5" s="1"/>
  <c r="L731" i="5"/>
  <c r="R731" i="5" s="1"/>
  <c r="L732" i="5"/>
  <c r="R732" i="5" s="1"/>
  <c r="L733" i="5"/>
  <c r="R733" i="5" s="1"/>
  <c r="BH733" i="5" s="1"/>
  <c r="L734" i="5"/>
  <c r="R734" i="5" s="1"/>
  <c r="L735" i="5"/>
  <c r="R735" i="5" s="1"/>
  <c r="L736" i="5"/>
  <c r="R736" i="5" s="1"/>
  <c r="L737" i="5"/>
  <c r="R737" i="5" s="1"/>
  <c r="L738" i="5"/>
  <c r="R738" i="5" s="1"/>
  <c r="L739" i="5"/>
  <c r="R739" i="5" s="1"/>
  <c r="L740" i="5"/>
  <c r="R740" i="5" s="1"/>
  <c r="L741" i="5"/>
  <c r="R741" i="5"/>
  <c r="BH741" i="5" s="1"/>
  <c r="L742" i="5"/>
  <c r="R742" i="5"/>
  <c r="BH742" i="5" s="1"/>
  <c r="L743" i="5"/>
  <c r="R743" i="5" s="1"/>
  <c r="L744" i="5"/>
  <c r="R744" i="5" s="1"/>
  <c r="L745" i="5"/>
  <c r="R745" i="5" s="1"/>
  <c r="L746" i="5"/>
  <c r="R746" i="5" s="1"/>
  <c r="L747" i="5"/>
  <c r="R747" i="5" s="1"/>
  <c r="L748" i="5"/>
  <c r="R748" i="5" s="1"/>
  <c r="L749" i="5"/>
  <c r="R749" i="5" s="1"/>
  <c r="L750" i="5"/>
  <c r="R750" i="5" s="1"/>
  <c r="BH750" i="5" s="1"/>
  <c r="L751" i="5"/>
  <c r="R751" i="5" s="1"/>
  <c r="L752" i="5"/>
  <c r="R752" i="5" s="1"/>
  <c r="L753" i="5"/>
  <c r="R753" i="5" s="1"/>
  <c r="BH753" i="5" s="1"/>
  <c r="L754" i="5"/>
  <c r="R754" i="5" s="1"/>
  <c r="L755" i="5"/>
  <c r="R755" i="5" s="1"/>
  <c r="L756" i="5"/>
  <c r="R756" i="5" s="1"/>
  <c r="L757" i="5"/>
  <c r="R757" i="5"/>
  <c r="L758" i="5"/>
  <c r="R758" i="5" s="1"/>
  <c r="L759" i="5"/>
  <c r="R759" i="5" s="1"/>
  <c r="L760" i="5"/>
  <c r="R760" i="5" s="1"/>
  <c r="L761" i="5"/>
  <c r="R761" i="5" s="1"/>
  <c r="BH761" i="5" s="1"/>
  <c r="L762" i="5"/>
  <c r="R762" i="5" s="1"/>
  <c r="BH762" i="5" s="1"/>
  <c r="L763" i="5"/>
  <c r="R763" i="5" s="1"/>
  <c r="BH763" i="5" s="1"/>
  <c r="L764" i="5"/>
  <c r="R764" i="5" s="1"/>
  <c r="BH764" i="5" s="1"/>
  <c r="L765" i="5"/>
  <c r="R765" i="5" s="1"/>
  <c r="BH765" i="5" s="1"/>
  <c r="L766" i="5"/>
  <c r="R766" i="5" s="1"/>
  <c r="BH766" i="5" s="1"/>
  <c r="L767" i="5"/>
  <c r="R767" i="5" s="1"/>
  <c r="L768" i="5"/>
  <c r="R768" i="5" s="1"/>
  <c r="L769" i="5"/>
  <c r="R769" i="5" s="1"/>
  <c r="L770" i="5"/>
  <c r="R770" i="5" s="1"/>
  <c r="L771" i="5"/>
  <c r="R771" i="5" s="1"/>
  <c r="L772" i="5"/>
  <c r="R772" i="5" s="1"/>
  <c r="L773" i="5"/>
  <c r="R773" i="5" s="1"/>
  <c r="L774" i="5"/>
  <c r="R774" i="5" s="1"/>
  <c r="L775" i="5"/>
  <c r="R775" i="5" s="1"/>
  <c r="BH775" i="5" s="1"/>
  <c r="L776" i="5"/>
  <c r="R776" i="5" s="1"/>
  <c r="L777" i="5"/>
  <c r="R777" i="5" s="1"/>
  <c r="L778" i="5"/>
  <c r="R778" i="5" s="1"/>
  <c r="L779" i="5"/>
  <c r="R779" i="5" s="1"/>
  <c r="L780" i="5"/>
  <c r="R780" i="5" s="1"/>
  <c r="L781" i="5"/>
  <c r="R781" i="5" s="1"/>
  <c r="L782" i="5"/>
  <c r="R782" i="5" s="1"/>
  <c r="L783" i="5"/>
  <c r="R783" i="5"/>
  <c r="BH783" i="5" s="1"/>
  <c r="L784" i="5"/>
  <c r="R784" i="5" s="1"/>
  <c r="BH784" i="5" s="1"/>
  <c r="L785" i="5"/>
  <c r="R785" i="5" s="1"/>
  <c r="BH785" i="5" s="1"/>
  <c r="L786" i="5"/>
  <c r="R786" i="5" s="1"/>
  <c r="BH786" i="5" s="1"/>
  <c r="L787" i="5"/>
  <c r="R787" i="5" s="1"/>
  <c r="BH787" i="5" s="1"/>
  <c r="L788" i="5"/>
  <c r="R788" i="5" s="1"/>
  <c r="L789" i="5"/>
  <c r="R789" i="5" s="1"/>
  <c r="L790" i="5"/>
  <c r="R790" i="5" s="1"/>
  <c r="L791" i="5"/>
  <c r="R791" i="5" s="1"/>
  <c r="L792" i="5"/>
  <c r="R792" i="5" s="1"/>
  <c r="L793" i="5"/>
  <c r="R793" i="5" s="1"/>
  <c r="L794" i="5"/>
  <c r="R794" i="5" s="1"/>
  <c r="L795" i="5"/>
  <c r="R795" i="5" s="1"/>
  <c r="BH795" i="5" s="1"/>
  <c r="L796" i="5"/>
  <c r="R796" i="5" s="1"/>
  <c r="L797" i="5"/>
  <c r="R797" i="5" s="1"/>
  <c r="L798" i="5"/>
  <c r="R798" i="5" s="1"/>
  <c r="BH798" i="5" s="1"/>
  <c r="L799" i="5"/>
  <c r="R799" i="5" s="1"/>
  <c r="L800" i="5"/>
  <c r="R800" i="5" s="1"/>
  <c r="L801" i="5"/>
  <c r="R801" i="5" s="1"/>
  <c r="L802" i="5"/>
  <c r="R802" i="5" s="1"/>
  <c r="L803" i="5"/>
  <c r="R803" i="5" s="1"/>
  <c r="L804" i="5"/>
  <c r="R804" i="5" s="1"/>
  <c r="L805" i="5"/>
  <c r="R805" i="5" s="1"/>
  <c r="BH805" i="5" s="1"/>
  <c r="L806" i="5"/>
  <c r="R806" i="5" s="1"/>
  <c r="L807" i="5"/>
  <c r="R807" i="5"/>
  <c r="BH807" i="5" s="1"/>
  <c r="L808" i="5"/>
  <c r="R808" i="5" s="1"/>
  <c r="BH808" i="5" s="1"/>
  <c r="L809" i="5"/>
  <c r="R809" i="5" s="1"/>
  <c r="BH809" i="5" s="1"/>
  <c r="L810" i="5"/>
  <c r="R810" i="5" s="1"/>
  <c r="BH810" i="5" s="1"/>
  <c r="L811" i="5"/>
  <c r="R811" i="5" s="1"/>
  <c r="L812" i="5"/>
  <c r="R812" i="5" s="1"/>
  <c r="L813" i="5"/>
  <c r="R813" i="5" s="1"/>
  <c r="L814" i="5"/>
  <c r="R814" i="5" s="1"/>
  <c r="BH814" i="5" s="1"/>
  <c r="L815" i="5"/>
  <c r="R815" i="5" s="1"/>
  <c r="BH815" i="5" s="1"/>
  <c r="L816" i="5"/>
  <c r="R816" i="5" s="1"/>
  <c r="BH816" i="5" s="1"/>
  <c r="L817" i="5"/>
  <c r="R817" i="5" s="1"/>
  <c r="BH817" i="5" s="1"/>
  <c r="L818" i="5"/>
  <c r="R818" i="5" s="1"/>
  <c r="L819" i="5"/>
  <c r="R819" i="5" s="1"/>
  <c r="L820" i="5"/>
  <c r="R820" i="5" s="1"/>
  <c r="L821" i="5"/>
  <c r="R821" i="5" s="1"/>
  <c r="L822" i="5"/>
  <c r="R822" i="5" s="1"/>
  <c r="L823" i="5"/>
  <c r="R823" i="5" s="1"/>
  <c r="L824" i="5"/>
  <c r="R824" i="5" s="1"/>
  <c r="L825" i="5"/>
  <c r="R825" i="5" s="1"/>
  <c r="L826" i="5"/>
  <c r="R826" i="5" s="1"/>
  <c r="BH826" i="5" s="1"/>
  <c r="L827" i="5"/>
  <c r="R827" i="5" s="1"/>
  <c r="BH827" i="5" s="1"/>
  <c r="L828" i="5"/>
  <c r="R828" i="5" s="1"/>
  <c r="BH828" i="5" s="1"/>
  <c r="L829" i="5"/>
  <c r="R829" i="5" s="1"/>
  <c r="BH829" i="5" s="1"/>
  <c r="L830" i="5"/>
  <c r="R830" i="5" s="1"/>
  <c r="BH830" i="5" s="1"/>
  <c r="L831" i="5"/>
  <c r="R831" i="5" s="1"/>
  <c r="L832" i="5"/>
  <c r="R832" i="5" s="1"/>
  <c r="L833" i="5"/>
  <c r="R833" i="5" s="1"/>
  <c r="L834" i="5"/>
  <c r="R834" i="5" s="1"/>
  <c r="L835" i="5"/>
  <c r="R835" i="5" s="1"/>
  <c r="L836" i="5"/>
  <c r="R836" i="5" s="1"/>
  <c r="L837" i="5"/>
  <c r="R837" i="5" s="1"/>
  <c r="L838" i="5"/>
  <c r="R838" i="5" s="1"/>
  <c r="BH838" i="5" s="1"/>
  <c r="L839" i="5"/>
  <c r="R839" i="5" s="1"/>
  <c r="L840" i="5"/>
  <c r="R840" i="5" s="1"/>
  <c r="L841" i="5"/>
  <c r="R841" i="5" s="1"/>
  <c r="BH841" i="5" s="1"/>
  <c r="L842" i="5"/>
  <c r="R842" i="5" s="1"/>
  <c r="L843" i="5"/>
  <c r="R843" i="5" s="1"/>
  <c r="L844" i="5"/>
  <c r="R844" i="5" s="1"/>
  <c r="L845" i="5"/>
  <c r="R845" i="5" s="1"/>
  <c r="L846" i="5"/>
  <c r="R846" i="5" s="1"/>
  <c r="BH846" i="5" s="1"/>
  <c r="L847" i="5"/>
  <c r="R847" i="5" s="1"/>
  <c r="L848" i="5"/>
  <c r="R848" i="5" s="1"/>
  <c r="L849" i="5"/>
  <c r="R849" i="5" s="1"/>
  <c r="BH849" i="5" s="1"/>
  <c r="L850" i="5"/>
  <c r="R850" i="5"/>
  <c r="BH850" i="5" s="1"/>
  <c r="L851" i="5"/>
  <c r="R851" i="5" s="1"/>
  <c r="BH851" i="5" s="1"/>
  <c r="L852" i="5"/>
  <c r="R852" i="5" s="1"/>
  <c r="BH852" i="5" s="1"/>
  <c r="L853" i="5"/>
  <c r="R853" i="5" s="1"/>
  <c r="L854" i="5"/>
  <c r="R854" i="5" s="1"/>
  <c r="L855" i="5"/>
  <c r="R855" i="5" s="1"/>
  <c r="L856" i="5"/>
  <c r="R856" i="5" s="1"/>
  <c r="L857" i="5"/>
  <c r="R857" i="5" s="1"/>
  <c r="L858" i="5"/>
  <c r="R858" i="5" s="1"/>
  <c r="L859" i="5"/>
  <c r="R859" i="5" s="1"/>
  <c r="L860" i="5"/>
  <c r="R860" i="5" s="1"/>
  <c r="L861" i="5"/>
  <c r="R861" i="5" s="1"/>
  <c r="L862" i="5"/>
  <c r="R862" i="5" s="1"/>
  <c r="L863" i="5"/>
  <c r="R863" i="5" s="1"/>
  <c r="L864" i="5"/>
  <c r="R864" i="5" s="1"/>
  <c r="L865" i="5"/>
  <c r="R865" i="5" s="1"/>
  <c r="L866" i="5"/>
  <c r="R866" i="5" s="1"/>
  <c r="L867" i="5"/>
  <c r="R867" i="5" s="1"/>
  <c r="L868" i="5"/>
  <c r="R868" i="5" s="1"/>
  <c r="L869" i="5"/>
  <c r="R869" i="5" s="1"/>
  <c r="L870" i="5"/>
  <c r="R870" i="5" s="1"/>
  <c r="BH870" i="5" s="1"/>
  <c r="L871" i="5"/>
  <c r="R871" i="5" s="1"/>
  <c r="L872" i="5"/>
  <c r="R872" i="5" s="1"/>
  <c r="L873" i="5"/>
  <c r="R873" i="5" s="1"/>
  <c r="BH873" i="5" s="1"/>
  <c r="L874" i="5"/>
  <c r="R874" i="5" s="1"/>
  <c r="BH874" i="5" s="1"/>
  <c r="L875" i="5"/>
  <c r="R875" i="5" s="1"/>
  <c r="BH875" i="5" s="1"/>
  <c r="L876" i="5"/>
  <c r="R876" i="5" s="1"/>
  <c r="L877" i="5"/>
  <c r="R877" i="5" s="1"/>
  <c r="L878" i="5"/>
  <c r="R878" i="5" s="1"/>
  <c r="L879" i="5"/>
  <c r="R879" i="5" s="1"/>
  <c r="L880" i="5"/>
  <c r="R880" i="5" s="1"/>
  <c r="L881" i="5"/>
  <c r="R881" i="5" s="1"/>
  <c r="L882" i="5"/>
  <c r="R882" i="5"/>
  <c r="BH882" i="5" s="1"/>
  <c r="L883" i="5"/>
  <c r="R883" i="5" s="1"/>
  <c r="L884" i="5"/>
  <c r="R884" i="5" s="1"/>
  <c r="L885" i="5"/>
  <c r="R885" i="5" s="1"/>
  <c r="BH885" i="5" s="1"/>
  <c r="L886" i="5"/>
  <c r="R886" i="5" s="1"/>
  <c r="BH886" i="5" s="1"/>
  <c r="L887" i="5"/>
  <c r="R887" i="5" s="1"/>
  <c r="L888" i="5"/>
  <c r="R888" i="5"/>
  <c r="L889" i="5"/>
  <c r="R889" i="5" s="1"/>
  <c r="L890" i="5"/>
  <c r="R890" i="5" s="1"/>
  <c r="L891" i="5"/>
  <c r="R891" i="5" s="1"/>
  <c r="L892" i="5"/>
  <c r="R892" i="5" s="1"/>
  <c r="L893" i="5"/>
  <c r="R893" i="5" s="1"/>
  <c r="BH893" i="5" s="1"/>
  <c r="L894" i="5"/>
  <c r="R894" i="5" s="1"/>
  <c r="BH894" i="5" s="1"/>
  <c r="L895" i="5"/>
  <c r="R895" i="5" s="1"/>
  <c r="BH895" i="5" s="1"/>
  <c r="L896" i="5"/>
  <c r="R896" i="5" s="1"/>
  <c r="BH896" i="5" s="1"/>
  <c r="L897" i="5"/>
  <c r="R897" i="5" s="1"/>
  <c r="L898" i="5"/>
  <c r="R898" i="5" s="1"/>
  <c r="L899" i="5"/>
  <c r="R899" i="5" s="1"/>
  <c r="L900" i="5"/>
  <c r="R900" i="5" s="1"/>
  <c r="L901" i="5"/>
  <c r="R901" i="5" s="1"/>
  <c r="L902" i="5"/>
  <c r="R902" i="5" s="1"/>
  <c r="L903" i="5"/>
  <c r="R903" i="5" s="1"/>
  <c r="L904" i="5"/>
  <c r="R904" i="5" s="1"/>
  <c r="L905" i="5"/>
  <c r="R905" i="5" s="1"/>
  <c r="L906" i="5"/>
  <c r="R906" i="5"/>
  <c r="BH906" i="5" s="1"/>
  <c r="L907" i="5"/>
  <c r="R907" i="5" s="1"/>
  <c r="L908" i="5"/>
  <c r="R908" i="5" s="1"/>
  <c r="L909" i="5"/>
  <c r="R909" i="5"/>
  <c r="L910" i="5"/>
  <c r="R910" i="5" s="1"/>
  <c r="L911" i="5"/>
  <c r="R911" i="5" s="1"/>
  <c r="L912" i="5"/>
  <c r="R912" i="5" s="1"/>
  <c r="L913" i="5"/>
  <c r="R913" i="5"/>
  <c r="BH913" i="5" s="1"/>
  <c r="L914" i="5"/>
  <c r="R914" i="5" s="1"/>
  <c r="BH914" i="5" s="1"/>
  <c r="L915" i="5"/>
  <c r="R915" i="5" s="1"/>
  <c r="BH915" i="5" s="1"/>
  <c r="L916" i="5"/>
  <c r="R916" i="5" s="1"/>
  <c r="BH916" i="5" s="1"/>
  <c r="L917" i="5"/>
  <c r="R917" i="5" s="1"/>
  <c r="BH917" i="5" s="1"/>
  <c r="L918" i="5"/>
  <c r="R918" i="5" s="1"/>
  <c r="BH918" i="5" s="1"/>
  <c r="L919" i="5"/>
  <c r="R919" i="5" s="1"/>
  <c r="L920" i="5"/>
  <c r="R920" i="5" s="1"/>
  <c r="BH920" i="5" s="1"/>
  <c r="L921" i="5"/>
  <c r="R921" i="5" s="1"/>
  <c r="L922" i="5"/>
  <c r="R922" i="5" s="1"/>
  <c r="L923" i="5"/>
  <c r="R923" i="5" s="1"/>
  <c r="L924" i="5"/>
  <c r="R924" i="5" s="1"/>
  <c r="L925" i="5"/>
  <c r="R925" i="5" s="1"/>
  <c r="L926" i="5"/>
  <c r="R926" i="5" s="1"/>
  <c r="L927" i="5"/>
  <c r="R927" i="5" s="1"/>
  <c r="BH927" i="5" s="1"/>
  <c r="L928" i="5"/>
  <c r="R928" i="5" s="1"/>
  <c r="L929" i="5"/>
  <c r="R929" i="5" s="1"/>
  <c r="L930" i="5"/>
  <c r="R930" i="5" s="1"/>
  <c r="L931" i="5"/>
  <c r="R931" i="5" s="1"/>
  <c r="L932" i="5"/>
  <c r="R932" i="5" s="1"/>
  <c r="L933" i="5"/>
  <c r="R933" i="5" s="1"/>
  <c r="L934" i="5"/>
  <c r="R934" i="5" s="1"/>
  <c r="L935" i="5"/>
  <c r="R935" i="5" s="1"/>
  <c r="L936" i="5"/>
  <c r="R936" i="5" s="1"/>
  <c r="BH936" i="5" s="1"/>
  <c r="L937" i="5"/>
  <c r="R937" i="5" s="1"/>
  <c r="L938" i="5"/>
  <c r="R938" i="5" s="1"/>
  <c r="BH938" i="5" s="1"/>
  <c r="L939" i="5"/>
  <c r="R939" i="5" s="1"/>
  <c r="BH939" i="5" s="1"/>
  <c r="L940" i="5"/>
  <c r="R940" i="5" s="1"/>
  <c r="BH940" i="5" s="1"/>
  <c r="L941" i="5"/>
  <c r="R941" i="5" s="1"/>
  <c r="L942" i="5"/>
  <c r="R942" i="5" s="1"/>
  <c r="L943" i="5"/>
  <c r="R943" i="5" s="1"/>
  <c r="L944" i="5"/>
  <c r="R944" i="5" s="1"/>
  <c r="L945" i="5"/>
  <c r="R945" i="5"/>
  <c r="L946" i="5"/>
  <c r="R946" i="5" s="1"/>
  <c r="L947" i="5"/>
  <c r="R947" i="5" s="1"/>
  <c r="BH947" i="5" s="1"/>
  <c r="L948" i="5"/>
  <c r="R948" i="5" s="1"/>
  <c r="L949" i="5"/>
  <c r="R949" i="5" s="1"/>
  <c r="L950" i="5"/>
  <c r="R950" i="5" s="1"/>
  <c r="BH950" i="5" s="1"/>
  <c r="L951" i="5"/>
  <c r="R951" i="5" s="1"/>
  <c r="BH951" i="5" s="1"/>
  <c r="L952" i="5"/>
  <c r="R952" i="5" s="1"/>
  <c r="L953" i="5"/>
  <c r="R953" i="5" s="1"/>
  <c r="L954" i="5"/>
  <c r="R954" i="5" s="1"/>
  <c r="L955" i="5"/>
  <c r="R955" i="5" s="1"/>
  <c r="L956" i="5"/>
  <c r="R956" i="5" s="1"/>
  <c r="BH956" i="5" s="1"/>
  <c r="L957" i="5"/>
  <c r="R957" i="5" s="1"/>
  <c r="L958" i="5"/>
  <c r="R958" i="5" s="1"/>
  <c r="L959" i="5"/>
  <c r="R959" i="5" s="1"/>
  <c r="BH959" i="5" s="1"/>
  <c r="L960" i="5"/>
  <c r="R960" i="5" s="1"/>
  <c r="BH960" i="5" s="1"/>
  <c r="L961" i="5"/>
  <c r="R961" i="5"/>
  <c r="BH961" i="5" s="1"/>
  <c r="L962" i="5"/>
  <c r="R962" i="5" s="1"/>
  <c r="L963" i="5"/>
  <c r="R963" i="5" s="1"/>
  <c r="BH963" i="5" s="1"/>
  <c r="L964" i="5"/>
  <c r="R964" i="5" s="1"/>
  <c r="L965" i="5"/>
  <c r="R965" i="5" s="1"/>
  <c r="L966" i="5"/>
  <c r="R966" i="5" s="1"/>
  <c r="BH966" i="5" s="1"/>
  <c r="L967" i="5"/>
  <c r="R967" i="5" s="1"/>
  <c r="BH967" i="5" s="1"/>
  <c r="L968" i="5"/>
  <c r="R968" i="5" s="1"/>
  <c r="BH968" i="5" s="1"/>
  <c r="L969" i="5"/>
  <c r="R969" i="5" s="1"/>
  <c r="L970" i="5"/>
  <c r="R970" i="5" s="1"/>
  <c r="L971" i="5"/>
  <c r="R971" i="5" s="1"/>
  <c r="L972" i="5"/>
  <c r="R972" i="5" s="1"/>
  <c r="L973" i="5"/>
  <c r="R973" i="5" s="1"/>
  <c r="L974" i="5"/>
  <c r="R974" i="5" s="1"/>
  <c r="L975" i="5"/>
  <c r="R975" i="5" s="1"/>
  <c r="L976" i="5"/>
  <c r="R976" i="5" s="1"/>
  <c r="L977" i="5"/>
  <c r="R977" i="5" s="1"/>
  <c r="L978" i="5"/>
  <c r="R978" i="5"/>
  <c r="L979" i="5"/>
  <c r="R979" i="5" s="1"/>
  <c r="BH979" i="5" s="1"/>
  <c r="L980" i="5"/>
  <c r="R980" i="5" s="1"/>
  <c r="BH980" i="5" s="1"/>
  <c r="L981" i="5"/>
  <c r="R981" i="5" s="1"/>
  <c r="BH981" i="5" s="1"/>
  <c r="L982" i="5"/>
  <c r="R982" i="5" s="1"/>
  <c r="L983" i="5"/>
  <c r="R983" i="5" s="1"/>
  <c r="L984" i="5"/>
  <c r="R984" i="5" s="1"/>
  <c r="L985" i="5"/>
  <c r="R985" i="5" s="1"/>
  <c r="BH985" i="5" s="1"/>
  <c r="L986" i="5"/>
  <c r="R986" i="5" s="1"/>
  <c r="L987" i="5"/>
  <c r="R987" i="5" s="1"/>
  <c r="L988" i="5"/>
  <c r="R988" i="5" s="1"/>
  <c r="BH988" i="5" s="1"/>
  <c r="L989" i="5"/>
  <c r="R989" i="5" s="1"/>
  <c r="L990" i="5"/>
  <c r="R990" i="5"/>
  <c r="L991" i="5"/>
  <c r="R991" i="5" s="1"/>
  <c r="L992" i="5"/>
  <c r="R992" i="5" s="1"/>
  <c r="L993" i="5"/>
  <c r="R993" i="5" s="1"/>
  <c r="L994" i="5"/>
  <c r="R994" i="5" s="1"/>
  <c r="L995" i="5"/>
  <c r="R995" i="5" s="1"/>
  <c r="L996" i="5"/>
  <c r="R996" i="5" s="1"/>
  <c r="L997" i="5"/>
  <c r="R997" i="5" s="1"/>
  <c r="BH997" i="5" s="1"/>
  <c r="L998" i="5"/>
  <c r="R998" i="5" s="1"/>
  <c r="BH998" i="5" s="1"/>
  <c r="L999" i="5"/>
  <c r="R999" i="5" s="1"/>
  <c r="BH999" i="5" s="1"/>
  <c r="L1000" i="5"/>
  <c r="R1000" i="5" s="1"/>
  <c r="BH1000" i="5" s="1"/>
  <c r="L1001" i="5"/>
  <c r="R1001" i="5" s="1"/>
  <c r="BH1001" i="5" s="1"/>
  <c r="L1002" i="5"/>
  <c r="R1002" i="5" s="1"/>
  <c r="BH1002" i="5" s="1"/>
  <c r="L1003" i="5"/>
  <c r="R1003" i="5" s="1"/>
  <c r="L1004" i="5"/>
  <c r="R1004" i="5" s="1"/>
  <c r="BH1004" i="5" s="1"/>
  <c r="L1005" i="5"/>
  <c r="R1005" i="5" s="1"/>
  <c r="L1006" i="5"/>
  <c r="R1006" i="5" s="1"/>
  <c r="BH1006" i="5" s="1"/>
  <c r="L1007" i="5"/>
  <c r="R1007" i="5" s="1"/>
  <c r="L1008" i="5"/>
  <c r="R1008" i="5" s="1"/>
  <c r="L1009" i="5"/>
  <c r="R1009" i="5"/>
  <c r="BH1009" i="5" s="1"/>
  <c r="L1010" i="5"/>
  <c r="R1010" i="5" s="1"/>
  <c r="L1011" i="5"/>
  <c r="R1011" i="5" s="1"/>
  <c r="L1012" i="5"/>
  <c r="R1012" i="5" s="1"/>
  <c r="BH1012" i="5" s="1"/>
  <c r="L1013" i="5"/>
  <c r="R1013" i="5" s="1"/>
  <c r="L1014" i="5"/>
  <c r="R1014" i="5" s="1"/>
  <c r="L1015" i="5"/>
  <c r="R1015" i="5" s="1"/>
  <c r="L1016" i="5"/>
  <c r="R1016" i="5" s="1"/>
  <c r="L1017" i="5"/>
  <c r="R1017" i="5" s="1"/>
  <c r="L1018" i="5"/>
  <c r="R1018" i="5" s="1"/>
  <c r="L1019" i="5"/>
  <c r="R1019" i="5" s="1"/>
  <c r="L1020" i="5"/>
  <c r="R1020" i="5" s="1"/>
  <c r="BH1020" i="5" s="1"/>
  <c r="L1021" i="5"/>
  <c r="R1021" i="5" s="1"/>
  <c r="BH1021" i="5" s="1"/>
  <c r="L1022" i="5"/>
  <c r="R1022" i="5"/>
  <c r="BH1022" i="5" s="1"/>
  <c r="L1023" i="5"/>
  <c r="R1023" i="5" s="1"/>
  <c r="BH1023" i="5" s="1"/>
  <c r="L1024" i="5"/>
  <c r="R1024" i="5" s="1"/>
  <c r="BH1024" i="5" s="1"/>
  <c r="L1025" i="5"/>
  <c r="R1025" i="5" s="1"/>
  <c r="L1026" i="5"/>
  <c r="R1026" i="5" s="1"/>
  <c r="L1027" i="5"/>
  <c r="R1027" i="5" s="1"/>
  <c r="L1028" i="5"/>
  <c r="R1028" i="5" s="1"/>
  <c r="L1029" i="5"/>
  <c r="R1029" i="5" s="1"/>
  <c r="L1030" i="5"/>
  <c r="R1030" i="5" s="1"/>
  <c r="L1031" i="5"/>
  <c r="R1031" i="5" s="1"/>
  <c r="L1032" i="5"/>
  <c r="R1032" i="5" s="1"/>
  <c r="L1033" i="5"/>
  <c r="R1033" i="5" s="1"/>
  <c r="BH1033" i="5" s="1"/>
  <c r="L1034" i="5"/>
  <c r="R1034" i="5" s="1"/>
  <c r="BH1034" i="5" s="1"/>
  <c r="L1035" i="5"/>
  <c r="R1035" i="5" s="1"/>
  <c r="L1036" i="5"/>
  <c r="R1036" i="5" s="1"/>
  <c r="L1037" i="5"/>
  <c r="R1037" i="5" s="1"/>
  <c r="L1038" i="5"/>
  <c r="R1038" i="5" s="1"/>
  <c r="L1039" i="5"/>
  <c r="R1039" i="5" s="1"/>
  <c r="L1040" i="5"/>
  <c r="R1040" i="5" s="1"/>
  <c r="L1041" i="5"/>
  <c r="R1041" i="5" s="1"/>
  <c r="L1042" i="5"/>
  <c r="R1042" i="5" s="1"/>
  <c r="BH1042" i="5" s="1"/>
  <c r="L1043" i="5"/>
  <c r="R1043" i="5" s="1"/>
  <c r="BH1043" i="5" s="1"/>
  <c r="L1044" i="5"/>
  <c r="R1044" i="5" s="1"/>
  <c r="L1045" i="5"/>
  <c r="R1045" i="5" s="1"/>
  <c r="BH1045" i="5" s="1"/>
  <c r="L1046" i="5"/>
  <c r="R1046" i="5"/>
  <c r="BH1046" i="5" s="1"/>
  <c r="L1047" i="5"/>
  <c r="R1047" i="5" s="1"/>
  <c r="L1048" i="5"/>
  <c r="R1048" i="5" s="1"/>
  <c r="L1049" i="5"/>
  <c r="R1049" i="5" s="1"/>
  <c r="L1050" i="5"/>
  <c r="R1050" i="5" s="1"/>
  <c r="L1051" i="5"/>
  <c r="R1051" i="5"/>
  <c r="L1052" i="5"/>
  <c r="R1052" i="5" s="1"/>
  <c r="BH1052" i="5" s="1"/>
  <c r="L1053" i="5"/>
  <c r="R1053" i="5" s="1"/>
  <c r="L1054" i="5"/>
  <c r="R1054" i="5" s="1"/>
  <c r="L1055" i="5"/>
  <c r="R1055" i="5" s="1"/>
  <c r="L1056" i="5"/>
  <c r="R1056" i="5" s="1"/>
  <c r="BH1056" i="5" s="1"/>
  <c r="L1057" i="5"/>
  <c r="R1057" i="5" s="1"/>
  <c r="L1058" i="5"/>
  <c r="R1058" i="5" s="1"/>
  <c r="L1059" i="5"/>
  <c r="R1059" i="5" s="1"/>
  <c r="L1060" i="5"/>
  <c r="R1060" i="5" s="1"/>
  <c r="L1061" i="5"/>
  <c r="R1061" i="5" s="1"/>
  <c r="L1062" i="5"/>
  <c r="R1062" i="5" s="1"/>
  <c r="L1063" i="5"/>
  <c r="R1063" i="5" s="1"/>
  <c r="BH1063" i="5" s="1"/>
  <c r="L1064" i="5"/>
  <c r="R1064" i="5"/>
  <c r="BH1064" i="5" s="1"/>
  <c r="L1065" i="5"/>
  <c r="R1065" i="5" s="1"/>
  <c r="BH1065" i="5" s="1"/>
  <c r="L1066" i="5"/>
  <c r="R1066" i="5" s="1"/>
  <c r="BH1066" i="5" s="1"/>
  <c r="L1067" i="5"/>
  <c r="R1067" i="5" s="1"/>
  <c r="BH1067" i="5" s="1"/>
  <c r="L1068" i="5"/>
  <c r="R1068" i="5" s="1"/>
  <c r="BH1068" i="5" s="1"/>
  <c r="L1069" i="5"/>
  <c r="R1069" i="5" s="1"/>
  <c r="BH1069" i="5" s="1"/>
  <c r="L1070" i="5"/>
  <c r="R1070" i="5" s="1"/>
  <c r="L1071" i="5"/>
  <c r="R1071" i="5" s="1"/>
  <c r="L1072" i="5"/>
  <c r="R1072" i="5" s="1"/>
  <c r="L1073" i="5"/>
  <c r="R1073" i="5" s="1"/>
  <c r="L1074" i="5"/>
  <c r="R1074" i="5" s="1"/>
  <c r="L1075" i="5"/>
  <c r="R1075" i="5" s="1"/>
  <c r="BH1075" i="5" s="1"/>
  <c r="L1076" i="5"/>
  <c r="R1076" i="5" s="1"/>
  <c r="L1077" i="5"/>
  <c r="R1077" i="5" s="1"/>
  <c r="L1078" i="5"/>
  <c r="R1078" i="5" s="1"/>
  <c r="L1079" i="5"/>
  <c r="R1079" i="5" s="1"/>
  <c r="L1080" i="5"/>
  <c r="R1080" i="5" s="1"/>
  <c r="L1081" i="5"/>
  <c r="R1081" i="5" s="1"/>
  <c r="L1082" i="5"/>
  <c r="R1082" i="5"/>
  <c r="L1083" i="5"/>
  <c r="R1083" i="5" s="1"/>
  <c r="L1084" i="5"/>
  <c r="R1084" i="5" s="1"/>
  <c r="L1085" i="5"/>
  <c r="R1085" i="5" s="1"/>
  <c r="L1086" i="5"/>
  <c r="R1086" i="5" s="1"/>
  <c r="L1087" i="5"/>
  <c r="R1087" i="5"/>
  <c r="BH1087" i="5" s="1"/>
  <c r="L1088" i="5"/>
  <c r="R1088" i="5" s="1"/>
  <c r="BH1088" i="5" s="1"/>
  <c r="L1089" i="5"/>
  <c r="R1089" i="5" s="1"/>
  <c r="BH1089" i="5" s="1"/>
  <c r="L1090" i="5"/>
  <c r="R1090" i="5" s="1"/>
  <c r="L1091" i="5"/>
  <c r="R1091" i="5" s="1"/>
  <c r="L1092" i="5"/>
  <c r="R1092" i="5" s="1"/>
  <c r="L1093" i="5"/>
  <c r="R1093" i="5" s="1"/>
  <c r="L1094" i="5"/>
  <c r="R1094" i="5" s="1"/>
  <c r="L1095" i="5"/>
  <c r="R1095" i="5" s="1"/>
  <c r="L1096" i="5"/>
  <c r="R1096" i="5" s="1"/>
  <c r="BH1096" i="5" s="1"/>
  <c r="L1097" i="5"/>
  <c r="R1097" i="5" s="1"/>
  <c r="L1098" i="5"/>
  <c r="R1098" i="5" s="1"/>
  <c r="L1099" i="5"/>
  <c r="R1099" i="5" s="1"/>
  <c r="L1100" i="5"/>
  <c r="R1100" i="5" s="1"/>
  <c r="BH1100" i="5" s="1"/>
  <c r="L1101" i="5"/>
  <c r="R1101" i="5" s="1"/>
  <c r="L1102" i="5"/>
  <c r="R1102" i="5" s="1"/>
  <c r="L1103" i="5"/>
  <c r="R1103" i="5" s="1"/>
  <c r="L1104" i="5"/>
  <c r="R1104" i="5" s="1"/>
  <c r="L1105" i="5"/>
  <c r="R1105" i="5" s="1"/>
  <c r="BH1105" i="5" s="1"/>
  <c r="L1106" i="5"/>
  <c r="R1106" i="5" s="1"/>
  <c r="BH1106" i="5" s="1"/>
  <c r="L1107" i="5"/>
  <c r="R1107" i="5" s="1"/>
  <c r="L1108" i="5"/>
  <c r="R1108" i="5" s="1"/>
  <c r="BH1108" i="5" s="1"/>
  <c r="L1109" i="5"/>
  <c r="R1109" i="5" s="1"/>
  <c r="BH1109" i="5" s="1"/>
  <c r="L1110" i="5"/>
  <c r="R1110" i="5" s="1"/>
  <c r="BH1110" i="5" s="1"/>
  <c r="L1111" i="5"/>
  <c r="R1111" i="5" s="1"/>
  <c r="BH1111" i="5" s="1"/>
  <c r="L1112" i="5"/>
  <c r="R1112" i="5" s="1"/>
  <c r="L1113" i="5"/>
  <c r="R1113" i="5" s="1"/>
  <c r="L1114" i="5"/>
  <c r="R1114" i="5" s="1"/>
  <c r="L1115" i="5"/>
  <c r="R1115" i="5" s="1"/>
  <c r="BH1115" i="5" s="1"/>
  <c r="L1116" i="5"/>
  <c r="R1116" i="5" s="1"/>
  <c r="L1117" i="5"/>
  <c r="R1117" i="5" s="1"/>
  <c r="BH1117" i="5" s="1"/>
  <c r="L1118" i="5"/>
  <c r="R1118" i="5" s="1"/>
  <c r="BH1118" i="5" s="1"/>
  <c r="L1119" i="5"/>
  <c r="R1119" i="5" s="1"/>
  <c r="L1120" i="5"/>
  <c r="R1120" i="5" s="1"/>
  <c r="L1121" i="5"/>
  <c r="R1121" i="5" s="1"/>
  <c r="BH1121" i="5" s="1"/>
  <c r="L1122" i="5"/>
  <c r="R1122" i="5" s="1"/>
  <c r="L1123" i="5"/>
  <c r="R1123" i="5" s="1"/>
  <c r="L1124" i="5"/>
  <c r="R1124" i="5" s="1"/>
  <c r="L1125" i="5"/>
  <c r="R1125" i="5" s="1"/>
  <c r="L1126" i="5"/>
  <c r="R1126" i="5" s="1"/>
  <c r="L1127" i="5"/>
  <c r="R1127" i="5" s="1"/>
  <c r="L1128" i="5"/>
  <c r="R1128" i="5" s="1"/>
  <c r="L1129" i="5"/>
  <c r="R1129" i="5" s="1"/>
  <c r="BH1129" i="5" s="1"/>
  <c r="L1130" i="5"/>
  <c r="R1130" i="5" s="1"/>
  <c r="BH1130" i="5" s="1"/>
  <c r="L1131" i="5"/>
  <c r="R1131" i="5" s="1"/>
  <c r="BH1131" i="5" s="1"/>
  <c r="L1132" i="5"/>
  <c r="R1132" i="5" s="1"/>
  <c r="BH1132" i="5" s="1"/>
  <c r="L1133" i="5"/>
  <c r="R1133" i="5" s="1"/>
  <c r="BH1133" i="5" s="1"/>
  <c r="L1134" i="5"/>
  <c r="R1134" i="5" s="1"/>
  <c r="BH1134" i="5" s="1"/>
  <c r="L1135" i="5"/>
  <c r="R1135" i="5" s="1"/>
  <c r="BH1135" i="5" s="1"/>
  <c r="L1136" i="5"/>
  <c r="R1136" i="5" s="1"/>
  <c r="L1137" i="5"/>
  <c r="R1137" i="5" s="1"/>
  <c r="L1138" i="5"/>
  <c r="R1138" i="5" s="1"/>
  <c r="L1139" i="5"/>
  <c r="R1139" i="5" s="1"/>
  <c r="L1140" i="5"/>
  <c r="R1140" i="5" s="1"/>
  <c r="L1141" i="5"/>
  <c r="R1141" i="5" s="1"/>
  <c r="BH1141" i="5" s="1"/>
  <c r="L1142" i="5"/>
  <c r="R1142" i="5" s="1"/>
  <c r="L1143" i="5"/>
  <c r="R1143" i="5" s="1"/>
  <c r="L1144" i="5"/>
  <c r="R1144" i="5" s="1"/>
  <c r="L1145" i="5"/>
  <c r="R1145" i="5" s="1"/>
  <c r="L1146" i="5"/>
  <c r="R1146" i="5" s="1"/>
  <c r="L1147" i="5"/>
  <c r="R1147" i="5" s="1"/>
  <c r="L1148" i="5"/>
  <c r="R1148" i="5" s="1"/>
  <c r="L1149" i="5"/>
  <c r="R1149" i="5" s="1"/>
  <c r="L1150" i="5"/>
  <c r="R1150" i="5" s="1"/>
  <c r="L1151" i="5"/>
  <c r="R1151" i="5" s="1"/>
  <c r="L1152" i="5"/>
  <c r="R1152" i="5" s="1"/>
  <c r="L1153" i="5"/>
  <c r="R1153" i="5" s="1"/>
  <c r="L1154" i="5"/>
  <c r="R1154" i="5" s="1"/>
  <c r="BH1154" i="5" s="1"/>
  <c r="L1155" i="5"/>
  <c r="R1155" i="5" s="1"/>
  <c r="BH1155" i="5" s="1"/>
  <c r="L1156" i="5"/>
  <c r="R1156" i="5" s="1"/>
  <c r="BH1156" i="5" s="1"/>
  <c r="L1157" i="5"/>
  <c r="R1157" i="5" s="1"/>
  <c r="BH1157" i="5" s="1"/>
  <c r="L1158" i="5"/>
  <c r="R1158" i="5" s="1"/>
  <c r="L1159" i="5"/>
  <c r="R1159" i="5" s="1"/>
  <c r="L1160" i="5"/>
  <c r="R1160" i="5" s="1"/>
  <c r="L1161" i="5"/>
  <c r="R1161" i="5" s="1"/>
  <c r="L1162" i="5"/>
  <c r="R1162" i="5" s="1"/>
  <c r="L1163" i="5"/>
  <c r="R1163" i="5" s="1"/>
  <c r="L1164" i="5"/>
  <c r="R1164" i="5" s="1"/>
  <c r="L1165" i="5"/>
  <c r="R1165" i="5" s="1"/>
  <c r="BH1165" i="5" s="1"/>
  <c r="L1166" i="5"/>
  <c r="R1166" i="5" s="1"/>
  <c r="L1167" i="5"/>
  <c r="R1167" i="5" s="1"/>
  <c r="BH1167" i="5" s="1"/>
  <c r="L1168" i="5"/>
  <c r="R1168" i="5" s="1"/>
  <c r="L1169" i="5"/>
  <c r="R1169" i="5" s="1"/>
  <c r="L1170" i="5"/>
  <c r="R1170" i="5" s="1"/>
  <c r="L1171" i="5"/>
  <c r="R1171" i="5"/>
  <c r="L1172" i="5"/>
  <c r="R1172" i="5" s="1"/>
  <c r="L1173" i="5"/>
  <c r="R1173" i="5" s="1"/>
  <c r="L1174" i="5"/>
  <c r="R1174" i="5" s="1"/>
  <c r="L1175" i="5"/>
  <c r="R1175" i="5" s="1"/>
  <c r="BH1175" i="5" s="1"/>
  <c r="L1176" i="5"/>
  <c r="R1176" i="5" s="1"/>
  <c r="BH1176" i="5" s="1"/>
  <c r="L1177" i="5"/>
  <c r="R1177" i="5" s="1"/>
  <c r="L1178" i="5"/>
  <c r="R1178" i="5" s="1"/>
  <c r="BH1178" i="5" s="1"/>
  <c r="L1179" i="5"/>
  <c r="R1179" i="5" s="1"/>
  <c r="BH1179" i="5" s="1"/>
  <c r="L1180" i="5"/>
  <c r="R1180" i="5" s="1"/>
  <c r="L1181" i="5"/>
  <c r="R1181" i="5" s="1"/>
  <c r="L1182" i="5"/>
  <c r="R1182" i="5" s="1"/>
  <c r="L1183" i="5"/>
  <c r="R1183" i="5" s="1"/>
  <c r="L1184" i="5"/>
  <c r="R1184" i="5" s="1"/>
  <c r="L1185" i="5"/>
  <c r="R1185" i="5" s="1"/>
  <c r="L1186" i="5"/>
  <c r="R1186" i="5" s="1"/>
  <c r="L1187" i="5"/>
  <c r="R1187" i="5" s="1"/>
  <c r="BH1187" i="5" s="1"/>
  <c r="L1188" i="5"/>
  <c r="R1188" i="5" s="1"/>
  <c r="L1189" i="5"/>
  <c r="R1189" i="5"/>
  <c r="BH1189" i="5" s="1"/>
  <c r="L1190" i="5"/>
  <c r="R1190" i="5" s="1"/>
  <c r="L1191" i="5"/>
  <c r="R1191" i="5" s="1"/>
  <c r="L1192" i="5"/>
  <c r="R1192" i="5" s="1"/>
  <c r="L1193" i="5"/>
  <c r="R1193" i="5" s="1"/>
  <c r="L1194" i="5"/>
  <c r="R1194" i="5" s="1"/>
  <c r="BH1194" i="5" s="1"/>
  <c r="L1195" i="5"/>
  <c r="R1195" i="5" s="1"/>
  <c r="L1196" i="5"/>
  <c r="R1196" i="5" s="1"/>
  <c r="L1197" i="5"/>
  <c r="R1197" i="5" s="1"/>
  <c r="BH1197" i="5" s="1"/>
  <c r="L1198" i="5"/>
  <c r="R1198" i="5" s="1"/>
  <c r="BH1198" i="5" s="1"/>
  <c r="L1199" i="5"/>
  <c r="R1199" i="5" s="1"/>
  <c r="BH1199" i="5" s="1"/>
  <c r="L1200" i="5"/>
  <c r="R1200" i="5" s="1"/>
  <c r="BH1200" i="5" s="1"/>
  <c r="L1201" i="5"/>
  <c r="R1201" i="5" s="1"/>
  <c r="BH1201" i="5" s="1"/>
  <c r="L1202" i="5"/>
  <c r="R1202" i="5" s="1"/>
  <c r="BH1202" i="5" s="1"/>
  <c r="L1203" i="5"/>
  <c r="R1203" i="5" s="1"/>
  <c r="L1204" i="5"/>
  <c r="R1204" i="5" s="1"/>
  <c r="L1205" i="5"/>
  <c r="R1205" i="5" s="1"/>
  <c r="L1206" i="5"/>
  <c r="R1206" i="5" s="1"/>
  <c r="L1207" i="5"/>
  <c r="R1207" i="5" s="1"/>
  <c r="BH1207" i="5" s="1"/>
  <c r="L1208" i="5"/>
  <c r="R1208" i="5" s="1"/>
  <c r="L1209" i="5"/>
  <c r="R1209" i="5" s="1"/>
  <c r="L1210" i="5"/>
  <c r="R1210" i="5" s="1"/>
  <c r="L1211" i="5"/>
  <c r="R1211" i="5" s="1"/>
  <c r="L1212" i="5"/>
  <c r="R1212" i="5" s="1"/>
  <c r="L1213" i="5"/>
  <c r="R1213" i="5" s="1"/>
  <c r="BH1213" i="5" s="1"/>
  <c r="L1214" i="5"/>
  <c r="R1214" i="5" s="1"/>
  <c r="L1215" i="5"/>
  <c r="R1215" i="5" s="1"/>
  <c r="L1216" i="5"/>
  <c r="R1216" i="5" s="1"/>
  <c r="L1217" i="5"/>
  <c r="R1217" i="5" s="1"/>
  <c r="L1218" i="5"/>
  <c r="R1218" i="5" s="1"/>
  <c r="L1219" i="5"/>
  <c r="R1219" i="5" s="1"/>
  <c r="L1220" i="5"/>
  <c r="R1220" i="5" s="1"/>
  <c r="L1221" i="5"/>
  <c r="R1221" i="5"/>
  <c r="BH1221" i="5" s="1"/>
  <c r="L1222" i="5"/>
  <c r="R1222" i="5" s="1"/>
  <c r="BH1222" i="5" s="1"/>
  <c r="L1223" i="5"/>
  <c r="R1223" i="5" s="1"/>
  <c r="BH1223" i="5" s="1"/>
  <c r="L1224" i="5"/>
  <c r="R1224" i="5" s="1"/>
  <c r="BH1224" i="5" s="1"/>
  <c r="L1225" i="5"/>
  <c r="R1225" i="5" s="1"/>
  <c r="BH1225" i="5" s="1"/>
  <c r="L1226" i="5"/>
  <c r="R1226" i="5" s="1"/>
  <c r="L1227" i="5"/>
  <c r="R1227" i="5" s="1"/>
  <c r="L1228" i="5"/>
  <c r="R1228" i="5" s="1"/>
  <c r="L1229" i="5"/>
  <c r="R1229" i="5" s="1"/>
  <c r="L1230" i="5"/>
  <c r="R1230" i="5" s="1"/>
  <c r="L1231" i="5"/>
  <c r="R1231" i="5"/>
  <c r="BH1231" i="5" s="1"/>
  <c r="L1232" i="5"/>
  <c r="R1232" i="5" s="1"/>
  <c r="L1233" i="5"/>
  <c r="R1233" i="5" s="1"/>
  <c r="L1234" i="5"/>
  <c r="R1234" i="5" s="1"/>
  <c r="BH1234" i="5" s="1"/>
  <c r="L1235" i="5"/>
  <c r="R1235" i="5" s="1"/>
  <c r="L1236" i="5"/>
  <c r="R1236" i="5" s="1"/>
  <c r="L1237" i="5"/>
  <c r="R1237" i="5" s="1"/>
  <c r="L1238" i="5"/>
  <c r="R1238" i="5" s="1"/>
  <c r="L1239" i="5"/>
  <c r="R1239" i="5" s="1"/>
  <c r="L1240" i="5"/>
  <c r="R1240" i="5" s="1"/>
  <c r="L1241" i="5"/>
  <c r="R1241" i="5" s="1"/>
  <c r="L1242" i="5"/>
  <c r="R1242" i="5" s="1"/>
  <c r="L1243" i="5"/>
  <c r="R1243" i="5" s="1"/>
  <c r="L1244" i="5"/>
  <c r="R1244" i="5" s="1"/>
  <c r="L1245" i="5"/>
  <c r="R1245" i="5" s="1"/>
  <c r="BH1245" i="5" s="1"/>
  <c r="L1246" i="5"/>
  <c r="R1246" i="5" s="1"/>
  <c r="BH1246" i="5" s="1"/>
  <c r="L1247" i="5"/>
  <c r="R1247" i="5" s="1"/>
  <c r="BH1247" i="5" s="1"/>
  <c r="L1248" i="5"/>
  <c r="R1248" i="5" s="1"/>
  <c r="L1249" i="5"/>
  <c r="R1249" i="5" s="1"/>
  <c r="L1250" i="5"/>
  <c r="R1250" i="5" s="1"/>
  <c r="L1251" i="5"/>
  <c r="R1251" i="5" s="1"/>
  <c r="L1252" i="5"/>
  <c r="R1252" i="5" s="1"/>
  <c r="L1253" i="5"/>
  <c r="R1253" i="5" s="1"/>
  <c r="L1254" i="5"/>
  <c r="R1254" i="5" s="1"/>
  <c r="L1255" i="5"/>
  <c r="R1255" i="5" s="1"/>
  <c r="BH1255" i="5" s="1"/>
  <c r="L1256" i="5"/>
  <c r="R1256" i="5" s="1"/>
  <c r="L1257" i="5"/>
  <c r="R1257" i="5" s="1"/>
  <c r="BH1257" i="5" s="1"/>
  <c r="L1258" i="5"/>
  <c r="R1258" i="5" s="1"/>
  <c r="L1259" i="5"/>
  <c r="R1259" i="5" s="1"/>
  <c r="L1260" i="5"/>
  <c r="R1260" i="5" s="1"/>
  <c r="L1261" i="5"/>
  <c r="R1261" i="5" s="1"/>
  <c r="L1262" i="5"/>
  <c r="R1262" i="5" s="1"/>
  <c r="L1263" i="5"/>
  <c r="R1263" i="5" s="1"/>
  <c r="L1264" i="5"/>
  <c r="R1264" i="5" s="1"/>
  <c r="L1265" i="5"/>
  <c r="R1265" i="5" s="1"/>
  <c r="L1266" i="5"/>
  <c r="R1266" i="5" s="1"/>
  <c r="BH1266" i="5" s="1"/>
  <c r="L1267" i="5"/>
  <c r="R1267" i="5" s="1"/>
  <c r="BH1267" i="5" s="1"/>
  <c r="L1268" i="5"/>
  <c r="R1268" i="5" s="1"/>
  <c r="BH1268" i="5" s="1"/>
  <c r="L1269" i="5"/>
  <c r="R1269" i="5"/>
  <c r="L1270" i="5"/>
  <c r="R1270" i="5" s="1"/>
  <c r="L1271" i="5"/>
  <c r="R1271" i="5" s="1"/>
  <c r="L1272" i="5"/>
  <c r="R1272" i="5" s="1"/>
  <c r="L1273" i="5"/>
  <c r="R1273" i="5" s="1"/>
  <c r="L1274" i="5"/>
  <c r="R1274" i="5" s="1"/>
  <c r="L1275" i="5"/>
  <c r="R1275" i="5" s="1"/>
  <c r="L1276" i="5"/>
  <c r="R1276" i="5" s="1"/>
  <c r="L1277" i="5"/>
  <c r="R1277" i="5" s="1"/>
  <c r="L1278" i="5"/>
  <c r="R1278" i="5" s="1"/>
  <c r="L1279" i="5"/>
  <c r="R1279" i="5" s="1"/>
  <c r="L1280" i="5"/>
  <c r="R1280" i="5" s="1"/>
  <c r="BH1280" i="5" s="1"/>
  <c r="L1281" i="5"/>
  <c r="R1281" i="5" s="1"/>
  <c r="L1282" i="5"/>
  <c r="R1282" i="5" s="1"/>
  <c r="L1283" i="5"/>
  <c r="R1283" i="5" s="1"/>
  <c r="L1284" i="5"/>
  <c r="R1284" i="5" s="1"/>
  <c r="L1285" i="5"/>
  <c r="R1285" i="5" s="1"/>
  <c r="BH1285" i="5" s="1"/>
  <c r="L1286" i="5"/>
  <c r="R1286" i="5" s="1"/>
  <c r="L1287" i="5"/>
  <c r="R1287" i="5" s="1"/>
  <c r="BH1287" i="5" s="1"/>
  <c r="L1288" i="5"/>
  <c r="R1288" i="5" s="1"/>
  <c r="BH1288" i="5" s="1"/>
  <c r="L1289" i="5"/>
  <c r="R1289" i="5" s="1"/>
  <c r="BH1289" i="5" s="1"/>
  <c r="L1290" i="5"/>
  <c r="R1290" i="5" s="1"/>
  <c r="BH1290" i="5" s="1"/>
  <c r="L1291" i="5"/>
  <c r="R1291" i="5" s="1"/>
  <c r="BH1291" i="5" s="1"/>
  <c r="L1292" i="5"/>
  <c r="R1292" i="5" s="1"/>
  <c r="BH1292" i="5" s="1"/>
  <c r="L1293" i="5"/>
  <c r="R1293" i="5" s="1"/>
  <c r="L1294" i="5"/>
  <c r="R1294" i="5" s="1"/>
  <c r="L1295" i="5"/>
  <c r="R1295" i="5" s="1"/>
  <c r="L1296" i="5"/>
  <c r="R1296" i="5" s="1"/>
  <c r="L1297" i="5"/>
  <c r="R1297" i="5" s="1"/>
  <c r="L1298" i="5"/>
  <c r="R1298" i="5" s="1"/>
  <c r="L1299" i="5"/>
  <c r="R1299" i="5" s="1"/>
  <c r="L1300" i="5"/>
  <c r="R1300" i="5" s="1"/>
  <c r="BH1300" i="5" s="1"/>
  <c r="L1301" i="5"/>
  <c r="R1301" i="5" s="1"/>
  <c r="L1302" i="5"/>
  <c r="R1302" i="5" s="1"/>
  <c r="L1303" i="5"/>
  <c r="R1303" i="5" s="1"/>
  <c r="BH1303" i="5" s="1"/>
  <c r="L1304" i="5"/>
  <c r="R1304" i="5" s="1"/>
  <c r="L1305" i="5"/>
  <c r="R1305" i="5" s="1"/>
  <c r="L1306" i="5"/>
  <c r="R1306" i="5" s="1"/>
  <c r="L1307" i="5"/>
  <c r="R1307" i="5" s="1"/>
  <c r="L1308" i="5"/>
  <c r="R1308" i="5" s="1"/>
  <c r="L1309" i="5"/>
  <c r="R1309" i="5" s="1"/>
  <c r="BH1309" i="5" s="1"/>
  <c r="L1310" i="5"/>
  <c r="R1310" i="5" s="1"/>
  <c r="L1311" i="5"/>
  <c r="R1311" i="5" s="1"/>
  <c r="BH1311" i="5" s="1"/>
  <c r="L1312" i="5"/>
  <c r="R1312" i="5" s="1"/>
  <c r="BH1312" i="5" s="1"/>
  <c r="L1313" i="5"/>
  <c r="R1313" i="5" s="1"/>
  <c r="BH1313" i="5" s="1"/>
  <c r="L1314" i="5"/>
  <c r="R1314" i="5" s="1"/>
  <c r="BH1314" i="5" s="1"/>
  <c r="L1315" i="5"/>
  <c r="R1315" i="5" s="1"/>
  <c r="BH1315" i="5" s="1"/>
  <c r="L1316" i="5"/>
  <c r="R1316" i="5" s="1"/>
  <c r="L1317" i="5"/>
  <c r="R1317" i="5" s="1"/>
  <c r="L1318" i="5"/>
  <c r="R1318" i="5" s="1"/>
  <c r="L1319" i="5"/>
  <c r="R1319" i="5" s="1"/>
  <c r="L1320" i="5"/>
  <c r="R1320" i="5" s="1"/>
  <c r="L1321" i="5"/>
  <c r="R1321" i="5" s="1"/>
  <c r="L1322" i="5"/>
  <c r="R1322" i="5" s="1"/>
  <c r="L1323" i="5"/>
  <c r="R1323" i="5" s="1"/>
  <c r="BH1323" i="5" s="1"/>
  <c r="L1324" i="5"/>
  <c r="R1324" i="5" s="1"/>
  <c r="L1325" i="5"/>
  <c r="R1325" i="5" s="1"/>
  <c r="L1326" i="5"/>
  <c r="R1326" i="5" s="1"/>
  <c r="L1327" i="5"/>
  <c r="R1327" i="5" s="1"/>
  <c r="L1328" i="5"/>
  <c r="R1328" i="5" s="1"/>
  <c r="L1329" i="5"/>
  <c r="R1329" i="5" s="1"/>
  <c r="L1330" i="5"/>
  <c r="R1330" i="5" s="1"/>
  <c r="L1331" i="5"/>
  <c r="R1331" i="5" s="1"/>
  <c r="L1332" i="5"/>
  <c r="R1332" i="5" s="1"/>
  <c r="L1333" i="5"/>
  <c r="R1333" i="5" s="1"/>
  <c r="BH1333" i="5" s="1"/>
  <c r="L1334" i="5"/>
  <c r="R1334" i="5" s="1"/>
  <c r="L1335" i="5"/>
  <c r="R1335" i="5" s="1"/>
  <c r="BH1335" i="5" s="1"/>
  <c r="L1336" i="5"/>
  <c r="R1336" i="5" s="1"/>
  <c r="BH1336" i="5" s="1"/>
  <c r="L1337" i="5"/>
  <c r="R1337" i="5" s="1"/>
  <c r="BH1337" i="5" s="1"/>
  <c r="L1338" i="5"/>
  <c r="R1338" i="5" s="1"/>
  <c r="BH1338" i="5" s="1"/>
  <c r="L1339" i="5"/>
  <c r="R1339" i="5" s="1"/>
  <c r="L1340" i="5"/>
  <c r="R1340" i="5" s="1"/>
  <c r="L1341" i="5"/>
  <c r="R1341" i="5" s="1"/>
  <c r="L1342" i="5"/>
  <c r="R1342" i="5" s="1"/>
  <c r="L1343" i="5"/>
  <c r="R1343" i="5" s="1"/>
  <c r="L1344" i="5"/>
  <c r="R1344" i="5"/>
  <c r="BH1344" i="5" s="1"/>
  <c r="L1345" i="5"/>
  <c r="R1345" i="5" s="1"/>
  <c r="L1346" i="5"/>
  <c r="R1346" i="5" s="1"/>
  <c r="L1347" i="5"/>
  <c r="R1347" i="5" s="1"/>
  <c r="BH1347" i="5" s="1"/>
  <c r="L1348" i="5"/>
  <c r="R1348" i="5" s="1"/>
  <c r="BH1348" i="5" s="1"/>
  <c r="L1349" i="5"/>
  <c r="R1349" i="5" s="1"/>
  <c r="L1350" i="5"/>
  <c r="R1350" i="5" s="1"/>
  <c r="L1351" i="5"/>
  <c r="R1351" i="5" s="1"/>
  <c r="L1352" i="5"/>
  <c r="R1352" i="5" s="1"/>
  <c r="L1353" i="5"/>
  <c r="R1353" i="5" s="1"/>
  <c r="L1354" i="5"/>
  <c r="R1354" i="5" s="1"/>
  <c r="BH1354" i="5" s="1"/>
  <c r="L1355" i="5"/>
  <c r="R1355" i="5" s="1"/>
  <c r="L1356" i="5"/>
  <c r="R1356" i="5" s="1"/>
  <c r="BH1356" i="5" s="1"/>
  <c r="L1357" i="5"/>
  <c r="R1357" i="5" s="1"/>
  <c r="BH1357" i="5" s="1"/>
  <c r="L1358" i="5"/>
  <c r="R1358" i="5" s="1"/>
  <c r="BH1358" i="5" s="1"/>
  <c r="L1359" i="5"/>
  <c r="R1359" i="5" s="1"/>
  <c r="BH1359" i="5" s="1"/>
  <c r="L1360" i="5"/>
  <c r="R1360" i="5" s="1"/>
  <c r="L1361" i="5"/>
  <c r="R1361" i="5" s="1"/>
  <c r="L1362" i="5"/>
  <c r="R1362" i="5"/>
  <c r="L1363" i="5"/>
  <c r="R1363" i="5" s="1"/>
  <c r="BH1363" i="5" s="1"/>
  <c r="L1364" i="5"/>
  <c r="R1364" i="5" s="1"/>
  <c r="L1365" i="5"/>
  <c r="R1365" i="5" s="1"/>
  <c r="L1366" i="5"/>
  <c r="R1366" i="5" s="1"/>
  <c r="BH1366" i="5" s="1"/>
  <c r="L1367" i="5"/>
  <c r="R1367" i="5" s="1"/>
  <c r="L1368" i="5"/>
  <c r="R1368" i="5" s="1"/>
  <c r="L1369" i="5"/>
  <c r="R1369" i="5" s="1"/>
  <c r="BH1369" i="5" s="1"/>
  <c r="L1370" i="5"/>
  <c r="R1370" i="5" s="1"/>
  <c r="L1371" i="5"/>
  <c r="R1371" i="5" s="1"/>
  <c r="L1372" i="5"/>
  <c r="R1372" i="5" s="1"/>
  <c r="L1373" i="5"/>
  <c r="R1373" i="5" s="1"/>
  <c r="L1374" i="5"/>
  <c r="R1374" i="5" s="1"/>
  <c r="L1375" i="5"/>
  <c r="R1375" i="5" s="1"/>
  <c r="L1376" i="5"/>
  <c r="R1376" i="5" s="1"/>
  <c r="L1377" i="5"/>
  <c r="R1377" i="5" s="1"/>
  <c r="L1378" i="5"/>
  <c r="R1378" i="5"/>
  <c r="BH1378" i="5" s="1"/>
  <c r="L1379" i="5"/>
  <c r="R1379" i="5" s="1"/>
  <c r="BH1379" i="5" s="1"/>
  <c r="L1380" i="5"/>
  <c r="R1380" i="5" s="1"/>
  <c r="BH1380" i="5" s="1"/>
  <c r="L1381" i="5"/>
  <c r="R1381" i="5" s="1"/>
  <c r="BH1381" i="5" s="1"/>
  <c r="L1382" i="5"/>
  <c r="R1382" i="5" s="1"/>
  <c r="L1383" i="5"/>
  <c r="R1383" i="5" s="1"/>
  <c r="L1384" i="5"/>
  <c r="R1384" i="5" s="1"/>
  <c r="L1385" i="5"/>
  <c r="R1385" i="5" s="1"/>
  <c r="L1386" i="5"/>
  <c r="R1386" i="5"/>
  <c r="L1387" i="5"/>
  <c r="R1387" i="5" s="1"/>
  <c r="L1388" i="5"/>
  <c r="R1388" i="5" s="1"/>
  <c r="BH1388" i="5" s="1"/>
  <c r="L1389" i="5"/>
  <c r="R1389" i="5" s="1"/>
  <c r="L1390" i="5"/>
  <c r="R1390" i="5" s="1"/>
  <c r="L1391" i="5"/>
  <c r="R1391" i="5" s="1"/>
  <c r="L1392" i="5"/>
  <c r="R1392" i="5" s="1"/>
  <c r="L1393" i="5"/>
  <c r="R1393" i="5" s="1"/>
  <c r="L1394" i="5"/>
  <c r="R1394" i="5" s="1"/>
  <c r="L1395" i="5"/>
  <c r="R1395" i="5" s="1"/>
  <c r="L1396" i="5"/>
  <c r="R1396" i="5" s="1"/>
  <c r="L1397" i="5"/>
  <c r="R1397" i="5" s="1"/>
  <c r="L1398" i="5"/>
  <c r="R1398" i="5" s="1"/>
  <c r="L1399" i="5"/>
  <c r="R1399" i="5" s="1"/>
  <c r="L1400" i="5"/>
  <c r="R1400" i="5" s="1"/>
  <c r="L1401" i="5"/>
  <c r="R1401" i="5"/>
  <c r="BH1401" i="5" s="1"/>
  <c r="L1402" i="5"/>
  <c r="R1402" i="5"/>
  <c r="BH1402" i="5" s="1"/>
  <c r="L1403" i="5"/>
  <c r="R1403" i="5" s="1"/>
  <c r="L1404" i="5"/>
  <c r="R1404" i="5" s="1"/>
  <c r="L1405" i="5"/>
  <c r="R1405" i="5" s="1"/>
  <c r="L1406" i="5"/>
  <c r="R1406" i="5" s="1"/>
  <c r="L1407" i="5"/>
  <c r="R1407" i="5"/>
  <c r="L1408" i="5"/>
  <c r="R1408" i="5" s="1"/>
  <c r="L1409" i="5"/>
  <c r="R1409" i="5" s="1"/>
  <c r="BH1409" i="5" s="1"/>
  <c r="L1410" i="5"/>
  <c r="R1410" i="5" s="1"/>
  <c r="BH1410" i="5" s="1"/>
  <c r="L1411" i="5"/>
  <c r="R1411" i="5" s="1"/>
  <c r="BH1411" i="5" s="1"/>
  <c r="L1412" i="5"/>
  <c r="R1412" i="5" s="1"/>
  <c r="L1413" i="5"/>
  <c r="R1413" i="5" s="1"/>
  <c r="L1414" i="5"/>
  <c r="R1414" i="5" s="1"/>
  <c r="L1415" i="5"/>
  <c r="R1415" i="5" s="1"/>
  <c r="L1416" i="5"/>
  <c r="R1416" i="5" s="1"/>
  <c r="L1417" i="5"/>
  <c r="R1417" i="5" s="1"/>
  <c r="L1418" i="5"/>
  <c r="R1418" i="5" s="1"/>
  <c r="L1419" i="5"/>
  <c r="R1419" i="5" s="1"/>
  <c r="BH1419" i="5" s="1"/>
  <c r="L1420" i="5"/>
  <c r="R1420" i="5" s="1"/>
  <c r="BH1420" i="5" s="1"/>
  <c r="L1421" i="5"/>
  <c r="R1421" i="5" s="1"/>
  <c r="BH1421" i="5" s="1"/>
  <c r="L1422" i="5"/>
  <c r="R1422" i="5" s="1"/>
  <c r="BH1422" i="5" s="1"/>
  <c r="L1423" i="5"/>
  <c r="R1423" i="5" s="1"/>
  <c r="BH1423" i="5" s="1"/>
  <c r="L1424" i="5"/>
  <c r="R1424" i="5" s="1"/>
  <c r="BH1424" i="5" s="1"/>
  <c r="L1425" i="5"/>
  <c r="R1425" i="5" s="1"/>
  <c r="L1426" i="5"/>
  <c r="R1426" i="5" s="1"/>
  <c r="L1427" i="5"/>
  <c r="R1427" i="5" s="1"/>
  <c r="L1428" i="5"/>
  <c r="R1428" i="5" s="1"/>
  <c r="L1429" i="5"/>
  <c r="R1429" i="5" s="1"/>
  <c r="L1430" i="5"/>
  <c r="R1430" i="5" s="1"/>
  <c r="L1431" i="5"/>
  <c r="R1431" i="5" s="1"/>
  <c r="L1432" i="5"/>
  <c r="R1432" i="5" s="1"/>
  <c r="L1433" i="5"/>
  <c r="R1433" i="5" s="1"/>
  <c r="L1434" i="5"/>
  <c r="R1434" i="5" s="1"/>
  <c r="L1435" i="5"/>
  <c r="R1435" i="5" s="1"/>
  <c r="BH1435" i="5" s="1"/>
  <c r="L1436" i="5"/>
  <c r="R1436" i="5" s="1"/>
  <c r="L1437" i="5"/>
  <c r="R1437" i="5" s="1"/>
  <c r="L1438" i="5"/>
  <c r="R1438" i="5" s="1"/>
  <c r="L1439" i="5"/>
  <c r="R1439" i="5" s="1"/>
  <c r="L1440" i="5"/>
  <c r="R1440" i="5" s="1"/>
  <c r="L1441" i="5"/>
  <c r="R1441" i="5" s="1"/>
  <c r="L1442" i="5"/>
  <c r="R1442" i="5" s="1"/>
  <c r="L1443" i="5"/>
  <c r="R1443" i="5" s="1"/>
  <c r="L1444" i="5"/>
  <c r="R1444" i="5" s="1"/>
  <c r="BH1444" i="5" s="1"/>
  <c r="L1445" i="5"/>
  <c r="R1445" i="5" s="1"/>
  <c r="BH1445" i="5" s="1"/>
  <c r="L1446" i="5"/>
  <c r="R1446" i="5"/>
  <c r="BH1446" i="5" s="1"/>
  <c r="L1447" i="5"/>
  <c r="R1447" i="5" s="1"/>
  <c r="BH1447" i="5" s="1"/>
  <c r="L1448" i="5"/>
  <c r="R1448" i="5" s="1"/>
  <c r="L1449" i="5"/>
  <c r="R1449" i="5" s="1"/>
  <c r="L1450" i="5"/>
  <c r="R1450" i="5" s="1"/>
  <c r="L1451" i="5"/>
  <c r="R1451" i="5" s="1"/>
  <c r="L1452" i="5"/>
  <c r="R1452" i="5"/>
  <c r="L1453" i="5"/>
  <c r="R1453" i="5" s="1"/>
  <c r="L1454" i="5"/>
  <c r="R1454" i="5" s="1"/>
  <c r="BH1454" i="5" s="1"/>
  <c r="L1455" i="5"/>
  <c r="R1455" i="5" s="1"/>
  <c r="L1456" i="5"/>
  <c r="R1456" i="5" s="1"/>
  <c r="L1457" i="5"/>
  <c r="R1457" i="5" s="1"/>
  <c r="L1458" i="5"/>
  <c r="R1458" i="5" s="1"/>
  <c r="L1459" i="5"/>
  <c r="R1459" i="5" s="1"/>
  <c r="L1460" i="5"/>
  <c r="R1460" i="5" s="1"/>
  <c r="L1461" i="5"/>
  <c r="R1461" i="5" s="1"/>
  <c r="L1462" i="5"/>
  <c r="R1462" i="5" s="1"/>
  <c r="L1463" i="5"/>
  <c r="R1463" i="5" s="1"/>
  <c r="L1464" i="5"/>
  <c r="R1464" i="5" s="1"/>
  <c r="L1465" i="5"/>
  <c r="R1465" i="5" s="1"/>
  <c r="L1466" i="5"/>
  <c r="R1466" i="5" s="1"/>
  <c r="BH1466" i="5" s="1"/>
  <c r="L1467" i="5"/>
  <c r="R1467" i="5" s="1"/>
  <c r="BH1467" i="5" s="1"/>
  <c r="L1468" i="5"/>
  <c r="R1468" i="5" s="1"/>
  <c r="BH1468" i="5" s="1"/>
  <c r="L1469" i="5"/>
  <c r="R1469" i="5" s="1"/>
  <c r="BH1469" i="5" s="1"/>
  <c r="L1470" i="5"/>
  <c r="R1470" i="5" s="1"/>
  <c r="BH1470" i="5" s="1"/>
  <c r="L1471" i="5"/>
  <c r="R1471" i="5" s="1"/>
  <c r="L1472" i="5"/>
  <c r="R1472" i="5" s="1"/>
  <c r="L1473" i="5"/>
  <c r="R1473" i="5" s="1"/>
  <c r="L1474" i="5"/>
  <c r="R1474" i="5" s="1"/>
  <c r="L1475" i="5"/>
  <c r="R1475" i="5" s="1"/>
  <c r="L1476" i="5"/>
  <c r="R1476" i="5" s="1"/>
  <c r="BH1476" i="5" s="1"/>
  <c r="L1477" i="5"/>
  <c r="R1477" i="5" s="1"/>
  <c r="BH1477" i="5" s="1"/>
  <c r="L1478" i="5"/>
  <c r="R1478" i="5" s="1"/>
  <c r="L1479" i="5"/>
  <c r="R1479" i="5" s="1"/>
  <c r="L1480" i="5"/>
  <c r="R1480" i="5" s="1"/>
  <c r="BH1480" i="5" s="1"/>
  <c r="L1481" i="5"/>
  <c r="R1481" i="5" s="1"/>
  <c r="L1482" i="5"/>
  <c r="R1482" i="5" s="1"/>
  <c r="L1483" i="5"/>
  <c r="R1483" i="5" s="1"/>
  <c r="L1484" i="5"/>
  <c r="R1484" i="5" s="1"/>
  <c r="L1485" i="5"/>
  <c r="R1485" i="5" s="1"/>
  <c r="L1486" i="5"/>
  <c r="R1486" i="5" s="1"/>
  <c r="L1487" i="5"/>
  <c r="R1487" i="5" s="1"/>
  <c r="L1488" i="5"/>
  <c r="R1488" i="5" s="1"/>
  <c r="L1489" i="5"/>
  <c r="R1489" i="5" s="1"/>
  <c r="L1490" i="5"/>
  <c r="R1490" i="5" s="1"/>
  <c r="BH1490" i="5" s="1"/>
  <c r="L1491" i="5"/>
  <c r="R1491" i="5" s="1"/>
  <c r="BH1491" i="5" s="1"/>
  <c r="L1492" i="5"/>
  <c r="R1492" i="5" s="1"/>
  <c r="BH1492" i="5" s="1"/>
  <c r="L1493" i="5"/>
  <c r="R1493" i="5" s="1"/>
  <c r="BH1493" i="5" s="1"/>
  <c r="L1494" i="5"/>
  <c r="R1494" i="5" s="1"/>
  <c r="L1495" i="5"/>
  <c r="R1495" i="5" s="1"/>
  <c r="L1496" i="5"/>
  <c r="R1496" i="5" s="1"/>
  <c r="L1497" i="5"/>
  <c r="R1497" i="5" s="1"/>
  <c r="L1498" i="5"/>
  <c r="R1498" i="5" s="1"/>
  <c r="L1499" i="5"/>
  <c r="R1499" i="5" s="1"/>
  <c r="L1500" i="5"/>
  <c r="R1500" i="5" s="1"/>
  <c r="L1501" i="5"/>
  <c r="R1501" i="5" s="1"/>
  <c r="BH1501" i="5" s="1"/>
  <c r="L1502" i="5"/>
  <c r="R1502" i="5" s="1"/>
  <c r="L1503" i="5"/>
  <c r="R1503" i="5" s="1"/>
  <c r="L1504" i="5"/>
  <c r="R1504" i="5" s="1"/>
  <c r="BH1504" i="5" s="1"/>
  <c r="L1505" i="5"/>
  <c r="R1505" i="5" s="1"/>
  <c r="L1506" i="5"/>
  <c r="R1506" i="5" s="1"/>
  <c r="L1507" i="5"/>
  <c r="R1507" i="5" s="1"/>
  <c r="L1508" i="5"/>
  <c r="R1508" i="5" s="1"/>
  <c r="L1509" i="5"/>
  <c r="R1509" i="5" s="1"/>
  <c r="L1510" i="5"/>
  <c r="R1510" i="5" s="1"/>
  <c r="L1511" i="5"/>
  <c r="R1511" i="5" s="1"/>
  <c r="L1512" i="5"/>
  <c r="R1512" i="5" s="1"/>
  <c r="L1513" i="5"/>
  <c r="R1513" i="5" s="1"/>
  <c r="BH1513" i="5" s="1"/>
  <c r="L1514" i="5"/>
  <c r="R1514" i="5" s="1"/>
  <c r="L1515" i="5"/>
  <c r="R1515" i="5" s="1"/>
  <c r="L1516" i="5"/>
  <c r="R1516" i="5" s="1"/>
  <c r="BH1516" i="5" s="1"/>
  <c r="L1517" i="5"/>
  <c r="R1517" i="5" s="1"/>
  <c r="BH1517" i="5" s="1"/>
  <c r="L1518" i="5"/>
  <c r="R1518" i="5" s="1"/>
  <c r="L1519" i="5"/>
  <c r="R1519" i="5" s="1"/>
  <c r="L1520" i="5"/>
  <c r="R1520" i="5" s="1"/>
  <c r="L1521" i="5"/>
  <c r="R1521" i="5" s="1"/>
  <c r="L1522" i="5"/>
  <c r="R1522" i="5" s="1"/>
  <c r="L1523" i="5"/>
  <c r="R1523" i="5" s="1"/>
  <c r="L1524" i="5"/>
  <c r="R1524" i="5" s="1"/>
  <c r="L1525" i="5"/>
  <c r="R1525" i="5" s="1"/>
  <c r="BH1525" i="5" s="1"/>
  <c r="L1526" i="5"/>
  <c r="R1526" i="5" s="1"/>
  <c r="L1527" i="5"/>
  <c r="R1527" i="5" s="1"/>
  <c r="L1528" i="5"/>
  <c r="R1528" i="5" s="1"/>
  <c r="BH1528" i="5" s="1"/>
  <c r="L1529" i="5"/>
  <c r="R1529" i="5" s="1"/>
  <c r="L1530" i="5"/>
  <c r="R1530" i="5" s="1"/>
  <c r="L1531" i="5"/>
  <c r="R1531" i="5" s="1"/>
  <c r="L1532" i="5"/>
  <c r="R1532" i="5" s="1"/>
  <c r="L1533" i="5"/>
  <c r="R1533" i="5" s="1"/>
  <c r="L1534" i="5"/>
  <c r="R1534" i="5" s="1"/>
  <c r="L1535" i="5"/>
  <c r="R1535" i="5" s="1"/>
  <c r="L1536" i="5"/>
  <c r="R1536" i="5" s="1"/>
  <c r="L1537" i="5"/>
  <c r="R1537" i="5" s="1"/>
  <c r="BH1537" i="5" s="1"/>
  <c r="L1538" i="5"/>
  <c r="R1538" i="5" s="1"/>
  <c r="BH1538" i="5" s="1"/>
  <c r="L1539" i="5"/>
  <c r="R1539" i="5" s="1"/>
  <c r="BH1539" i="5" s="1"/>
  <c r="L1540" i="5"/>
  <c r="R1540" i="5" s="1"/>
  <c r="L1541" i="5"/>
  <c r="R1541" i="5" s="1"/>
  <c r="BH1541" i="5" s="1"/>
  <c r="L1542" i="5"/>
  <c r="R1542" i="5" s="1"/>
  <c r="L1543" i="5"/>
  <c r="R1543" i="5" s="1"/>
  <c r="L1544" i="5"/>
  <c r="R1544" i="5" s="1"/>
  <c r="L1545" i="5"/>
  <c r="R1545" i="5" s="1"/>
  <c r="L1546" i="5"/>
  <c r="R1546" i="5" s="1"/>
  <c r="L1547" i="5"/>
  <c r="R1547" i="5" s="1"/>
  <c r="L1548" i="5"/>
  <c r="R1548" i="5" s="1"/>
  <c r="L1549" i="5"/>
  <c r="R1549" i="5" s="1"/>
  <c r="BH1549" i="5" s="1"/>
  <c r="L1550" i="5"/>
  <c r="R1550" i="5" s="1"/>
  <c r="L1551" i="5"/>
  <c r="R1551" i="5" s="1"/>
  <c r="L1552" i="5"/>
  <c r="R1552" i="5" s="1"/>
  <c r="L1553" i="5"/>
  <c r="R1553" i="5" s="1"/>
  <c r="L1554" i="5"/>
  <c r="R1554" i="5" s="1"/>
  <c r="L1555" i="5"/>
  <c r="R1555" i="5" s="1"/>
  <c r="L1556" i="5"/>
  <c r="R1556" i="5" s="1"/>
  <c r="L1557" i="5"/>
  <c r="R1557" i="5" s="1"/>
  <c r="L1558" i="5"/>
  <c r="R1558" i="5" s="1"/>
  <c r="L1559" i="5"/>
  <c r="R1559" i="5" s="1"/>
  <c r="L1560" i="5"/>
  <c r="R1560" i="5" s="1"/>
  <c r="L1561" i="5"/>
  <c r="R1561" i="5" s="1"/>
  <c r="BH1561" i="5" s="1"/>
  <c r="L1562" i="5"/>
  <c r="R1562" i="5" s="1"/>
  <c r="BH1562" i="5" s="1"/>
  <c r="L1563" i="5"/>
  <c r="R1563" i="5" s="1"/>
  <c r="BH1563" i="5" s="1"/>
  <c r="L1564" i="5"/>
  <c r="R1564" i="5" s="1"/>
  <c r="BH1564" i="5" s="1"/>
  <c r="L1565" i="5"/>
  <c r="R1565" i="5" s="1"/>
  <c r="BH1565" i="5" s="1"/>
  <c r="L1566" i="5"/>
  <c r="R1566" i="5" s="1"/>
  <c r="L1567" i="5"/>
  <c r="R1567" i="5" s="1"/>
  <c r="L1568" i="5"/>
  <c r="R1568" i="5" s="1"/>
  <c r="L1569" i="5"/>
  <c r="R1569" i="5" s="1"/>
  <c r="L1570" i="5"/>
  <c r="R1570" i="5" s="1"/>
  <c r="L1571" i="5"/>
  <c r="R1571" i="5" s="1"/>
  <c r="L1572" i="5"/>
  <c r="R1572" i="5" s="1"/>
  <c r="L1573" i="5"/>
  <c r="R1573" i="5" s="1"/>
  <c r="L1574" i="5"/>
  <c r="R1574" i="5" s="1"/>
  <c r="L1575" i="5"/>
  <c r="R1575" i="5" s="1"/>
  <c r="L1576" i="5"/>
  <c r="R1576" i="5" s="1"/>
  <c r="BH1576" i="5" s="1"/>
  <c r="L1577" i="5"/>
  <c r="R1577" i="5" s="1"/>
  <c r="L1578" i="5"/>
  <c r="R1578" i="5" s="1"/>
  <c r="L1579" i="5"/>
  <c r="R1579" i="5" s="1"/>
  <c r="L1580" i="5"/>
  <c r="R1580" i="5" s="1"/>
  <c r="L1581" i="5"/>
  <c r="R1581" i="5" s="1"/>
  <c r="L1582" i="5"/>
  <c r="R1582" i="5" s="1"/>
  <c r="L1583" i="5"/>
  <c r="R1583" i="5" s="1"/>
  <c r="L1584" i="5"/>
  <c r="R1584" i="5" s="1"/>
  <c r="L1585" i="5"/>
  <c r="R1585" i="5" s="1"/>
  <c r="BH1585" i="5" s="1"/>
  <c r="L1586" i="5"/>
  <c r="R1586" i="5" s="1"/>
  <c r="BH1586" i="5" s="1"/>
  <c r="L1587" i="5"/>
  <c r="R1587" i="5" s="1"/>
  <c r="BH1587" i="5" s="1"/>
  <c r="L1588" i="5"/>
  <c r="R1588" i="5" s="1"/>
  <c r="BH1588" i="5" s="1"/>
  <c r="L1589" i="5"/>
  <c r="R1589" i="5" s="1"/>
  <c r="BH1589" i="5" s="1"/>
  <c r="L1590" i="5"/>
  <c r="R1590" i="5" s="1"/>
  <c r="L1591" i="5"/>
  <c r="R1591" i="5" s="1"/>
  <c r="L1592" i="5"/>
  <c r="R1592" i="5" s="1"/>
  <c r="L1593" i="5"/>
  <c r="R1593" i="5" s="1"/>
  <c r="L1594" i="5"/>
  <c r="R1594" i="5" s="1"/>
  <c r="L1595" i="5"/>
  <c r="R1595" i="5" s="1"/>
  <c r="L1596" i="5"/>
  <c r="R1596" i="5" s="1"/>
  <c r="L1597" i="5"/>
  <c r="R1597" i="5" s="1"/>
  <c r="L1598" i="5"/>
  <c r="R1598" i="5" s="1"/>
  <c r="L1599" i="5"/>
  <c r="R1599" i="5" s="1"/>
  <c r="L1600" i="5"/>
  <c r="R1600" i="5" s="1"/>
  <c r="BH1600" i="5" s="1"/>
  <c r="L1601" i="5"/>
  <c r="R1601" i="5" s="1"/>
  <c r="L1602" i="5"/>
  <c r="R1602" i="5" s="1"/>
  <c r="L1603" i="5"/>
  <c r="R1603" i="5" s="1"/>
  <c r="L1604" i="5"/>
  <c r="R1604" i="5" s="1"/>
  <c r="L1605" i="5"/>
  <c r="R1605" i="5" s="1"/>
  <c r="L1606" i="5"/>
  <c r="R1606" i="5" s="1"/>
  <c r="L1607" i="5"/>
  <c r="R1607" i="5" s="1"/>
  <c r="L1608" i="5"/>
  <c r="R1608" i="5" s="1"/>
  <c r="L1609" i="5"/>
  <c r="R1609" i="5" s="1"/>
  <c r="BH1609" i="5" s="1"/>
  <c r="L1610" i="5"/>
  <c r="R1610" i="5" s="1"/>
  <c r="BH1610" i="5" s="1"/>
  <c r="L1611" i="5"/>
  <c r="R1611" i="5" s="1"/>
  <c r="BH1611" i="5" s="1"/>
  <c r="L1612" i="5"/>
  <c r="R1612" i="5" s="1"/>
  <c r="BH1612" i="5" s="1"/>
  <c r="L1613" i="5"/>
  <c r="R1613" i="5" s="1"/>
  <c r="BH1613" i="5" s="1"/>
  <c r="L1614" i="5"/>
  <c r="R1614" i="5" s="1"/>
  <c r="L1615" i="5"/>
  <c r="R1615" i="5" s="1"/>
  <c r="L1616" i="5"/>
  <c r="R1616" i="5" s="1"/>
  <c r="L1617" i="5"/>
  <c r="R1617" i="5" s="1"/>
  <c r="L1618" i="5"/>
  <c r="R1618" i="5" s="1"/>
  <c r="L1619" i="5"/>
  <c r="R1619" i="5" s="1"/>
  <c r="L1620" i="5"/>
  <c r="R1620" i="5" s="1"/>
  <c r="L1621" i="5"/>
  <c r="R1621" i="5" s="1"/>
  <c r="BH1621" i="5" s="1"/>
  <c r="L1622" i="5"/>
  <c r="R1622" i="5" s="1"/>
  <c r="L1623" i="5"/>
  <c r="R1623" i="5" s="1"/>
  <c r="L1624" i="5"/>
  <c r="R1624" i="5" s="1"/>
  <c r="BH1624" i="5" s="1"/>
  <c r="L1625" i="5"/>
  <c r="R1625" i="5" s="1"/>
  <c r="L1626" i="5"/>
  <c r="R1626" i="5" s="1"/>
  <c r="L1627" i="5"/>
  <c r="R1627" i="5" s="1"/>
  <c r="L1628" i="5"/>
  <c r="R1628" i="5" s="1"/>
  <c r="L1629" i="5"/>
  <c r="R1629" i="5" s="1"/>
  <c r="L1630" i="5"/>
  <c r="R1630" i="5" s="1"/>
  <c r="L1631" i="5"/>
  <c r="R1631" i="5" s="1"/>
  <c r="L1632" i="5"/>
  <c r="R1632" i="5" s="1"/>
  <c r="L1633" i="5"/>
  <c r="R1633" i="5" s="1"/>
  <c r="BH1633" i="5" s="1"/>
  <c r="L1634" i="5"/>
  <c r="R1634" i="5" s="1"/>
  <c r="BH1634" i="5" s="1"/>
  <c r="L1635" i="5"/>
  <c r="R1635" i="5" s="1"/>
  <c r="BH1635" i="5" s="1"/>
  <c r="L1636" i="5"/>
  <c r="R1636" i="5" s="1"/>
  <c r="BH1636" i="5" s="1"/>
  <c r="L1637" i="5"/>
  <c r="R1637" i="5" s="1"/>
  <c r="BH1637" i="5" s="1"/>
  <c r="L1638" i="5"/>
  <c r="R1638" i="5" s="1"/>
  <c r="L1639" i="5"/>
  <c r="R1639" i="5" s="1"/>
  <c r="L1640" i="5"/>
  <c r="R1640" i="5" s="1"/>
  <c r="L1641" i="5"/>
  <c r="R1641" i="5" s="1"/>
  <c r="L1642" i="5"/>
  <c r="R1642" i="5" s="1"/>
  <c r="L1643" i="5"/>
  <c r="R1643" i="5" s="1"/>
  <c r="L1644" i="5"/>
  <c r="R1644" i="5" s="1"/>
  <c r="L1645" i="5"/>
  <c r="R1645" i="5" s="1"/>
  <c r="BH1645" i="5" s="1"/>
  <c r="L1646" i="5"/>
  <c r="R1646" i="5" s="1"/>
  <c r="L1647" i="5"/>
  <c r="R1647" i="5" s="1"/>
  <c r="L1648" i="5"/>
  <c r="R1648" i="5" s="1"/>
  <c r="L1649" i="5"/>
  <c r="R1649" i="5" s="1"/>
  <c r="L1650" i="5"/>
  <c r="R1650" i="5" s="1"/>
  <c r="L1651" i="5"/>
  <c r="R1651" i="5" s="1"/>
  <c r="L1652" i="5"/>
  <c r="R1652" i="5" s="1"/>
  <c r="L1653" i="5"/>
  <c r="R1653" i="5" s="1"/>
  <c r="L1654" i="5"/>
  <c r="R1654" i="5" s="1"/>
  <c r="L1655" i="5"/>
  <c r="R1655" i="5" s="1"/>
  <c r="L1656" i="5"/>
  <c r="R1656" i="5" s="1"/>
  <c r="L1657" i="5"/>
  <c r="R1657" i="5" s="1"/>
  <c r="BH1657" i="5" s="1"/>
  <c r="L1658" i="5"/>
  <c r="R1658" i="5" s="1"/>
  <c r="BH1658" i="5" s="1"/>
  <c r="L1659" i="5"/>
  <c r="R1659" i="5" s="1"/>
  <c r="BH1659" i="5" s="1"/>
  <c r="L1660" i="5"/>
  <c r="R1660" i="5" s="1"/>
  <c r="BH1660" i="5" s="1"/>
  <c r="L1661" i="5"/>
  <c r="R1661" i="5" s="1"/>
  <c r="BH1661" i="5" s="1"/>
  <c r="L1662" i="5"/>
  <c r="R1662" i="5" s="1"/>
  <c r="L1663" i="5"/>
  <c r="R1663" i="5" s="1"/>
  <c r="L1664" i="5"/>
  <c r="R1664" i="5" s="1"/>
  <c r="L1665" i="5"/>
  <c r="R1665" i="5" s="1"/>
  <c r="L1666" i="5"/>
  <c r="R1666" i="5" s="1"/>
  <c r="L1667" i="5"/>
  <c r="R1667" i="5" s="1"/>
  <c r="BH1667" i="5" s="1"/>
  <c r="L1668" i="5"/>
  <c r="R1668" i="5" s="1"/>
  <c r="L1669" i="5"/>
  <c r="R1669" i="5" s="1"/>
  <c r="BH1669" i="5" s="1"/>
  <c r="L1670" i="5"/>
  <c r="R1670" i="5" s="1"/>
  <c r="L1671" i="5"/>
  <c r="R1671" i="5" s="1"/>
  <c r="L1672" i="5"/>
  <c r="R1672" i="5" s="1"/>
  <c r="BH1672" i="5" s="1"/>
  <c r="L1673" i="5"/>
  <c r="R1673" i="5" s="1"/>
  <c r="L1674" i="5"/>
  <c r="R1674" i="5" s="1"/>
  <c r="L1675" i="5"/>
  <c r="R1675" i="5" s="1"/>
  <c r="L1676" i="5"/>
  <c r="R1676" i="5" s="1"/>
  <c r="L1677" i="5"/>
  <c r="R1677" i="5" s="1"/>
  <c r="L1678" i="5"/>
  <c r="R1678" i="5" s="1"/>
  <c r="L1679" i="5"/>
  <c r="R1679" i="5" s="1"/>
  <c r="L1680" i="5"/>
  <c r="R1680" i="5" s="1"/>
  <c r="BH1680" i="5" s="1"/>
  <c r="L1681" i="5"/>
  <c r="R1681" i="5"/>
  <c r="BH1681" i="5" s="1"/>
  <c r="L1682" i="5"/>
  <c r="R1682" i="5" s="1"/>
  <c r="L1683" i="5"/>
  <c r="R1683" i="5" s="1"/>
  <c r="BH1683" i="5" s="1"/>
  <c r="L1684" i="5"/>
  <c r="R1684" i="5" s="1"/>
  <c r="BH1684" i="5" s="1"/>
  <c r="L1685" i="5"/>
  <c r="R1685" i="5" s="1"/>
  <c r="L1686" i="5"/>
  <c r="R1686" i="5" s="1"/>
  <c r="BH1686" i="5" s="1"/>
  <c r="L1687" i="5"/>
  <c r="R1687" i="5" s="1"/>
  <c r="L1688" i="5"/>
  <c r="R1688" i="5" s="1"/>
  <c r="L1689" i="5"/>
  <c r="R1689" i="5" s="1"/>
  <c r="L1690" i="5"/>
  <c r="R1690" i="5" s="1"/>
  <c r="L1691" i="5"/>
  <c r="R1691" i="5" s="1"/>
  <c r="L1692" i="5"/>
  <c r="R1692" i="5" s="1"/>
  <c r="L1693" i="5"/>
  <c r="R1693" i="5" s="1"/>
  <c r="L1694" i="5"/>
  <c r="R1694" i="5" s="1"/>
  <c r="BH1694" i="5" s="1"/>
  <c r="L1695" i="5"/>
  <c r="R1695" i="5" s="1"/>
  <c r="L1696" i="5"/>
  <c r="R1696" i="5" s="1"/>
  <c r="L1697" i="5"/>
  <c r="R1697" i="5" s="1"/>
  <c r="L1698" i="5"/>
  <c r="R1698" i="5" s="1"/>
  <c r="L1699" i="5"/>
  <c r="R1699" i="5" s="1"/>
  <c r="L1700" i="5"/>
  <c r="R1700" i="5" s="1"/>
  <c r="L1701" i="5"/>
  <c r="R1701" i="5" s="1"/>
  <c r="L1702" i="5"/>
  <c r="R1702" i="5" s="1"/>
  <c r="L1703" i="5"/>
  <c r="R1703" i="5" s="1"/>
  <c r="BH1703" i="5" s="1"/>
  <c r="L1704" i="5"/>
  <c r="R1704" i="5"/>
  <c r="BH1704" i="5" s="1"/>
  <c r="L1705" i="5"/>
  <c r="R1705" i="5" s="1"/>
  <c r="BH1705" i="5" s="1"/>
  <c r="L1706" i="5"/>
  <c r="R1706" i="5" s="1"/>
  <c r="BH1706" i="5" s="1"/>
  <c r="L1707" i="5"/>
  <c r="R1707" i="5" s="1"/>
  <c r="L1708" i="5"/>
  <c r="R1708" i="5" s="1"/>
  <c r="L1709" i="5"/>
  <c r="R1709" i="5" s="1"/>
  <c r="L1710" i="5"/>
  <c r="R1710" i="5" s="1"/>
  <c r="L1711" i="5"/>
  <c r="R1711" i="5"/>
  <c r="L1712" i="5"/>
  <c r="R1712" i="5" s="1"/>
  <c r="L1713" i="5"/>
  <c r="R1713" i="5" s="1"/>
  <c r="BH1713" i="5" s="1"/>
  <c r="L1714" i="5"/>
  <c r="R1714" i="5" s="1"/>
  <c r="L1715" i="5"/>
  <c r="R1715" i="5" s="1"/>
  <c r="L1716" i="5"/>
  <c r="R1716" i="5" s="1"/>
  <c r="BH1716" i="5" s="1"/>
  <c r="L1717" i="5"/>
  <c r="R1717" i="5" s="1"/>
  <c r="L1718" i="5"/>
  <c r="R1718" i="5" s="1"/>
  <c r="L1719" i="5"/>
  <c r="R1719" i="5" s="1"/>
  <c r="L1720" i="5"/>
  <c r="R1720" i="5" s="1"/>
  <c r="L1721" i="5"/>
  <c r="R1721" i="5" s="1"/>
  <c r="L1722" i="5"/>
  <c r="R1722" i="5" s="1"/>
  <c r="L1723" i="5"/>
  <c r="R1723" i="5" s="1"/>
  <c r="L1724" i="5"/>
  <c r="R1724" i="5" s="1"/>
  <c r="L1725" i="5"/>
  <c r="R1725" i="5" s="1"/>
  <c r="BH1725" i="5" s="1"/>
  <c r="L1726" i="5"/>
  <c r="R1726" i="5" s="1"/>
  <c r="BH1726" i="5" s="1"/>
  <c r="L1727" i="5"/>
  <c r="R1727" i="5" s="1"/>
  <c r="BH1727" i="5" s="1"/>
  <c r="L1728" i="5"/>
  <c r="R1728" i="5" s="1"/>
  <c r="BH1728" i="5" s="1"/>
  <c r="L1729" i="5"/>
  <c r="R1729" i="5" s="1"/>
  <c r="L1730" i="5"/>
  <c r="R1730" i="5" s="1"/>
  <c r="L1731" i="5"/>
  <c r="R1731" i="5" s="1"/>
  <c r="L1732" i="5"/>
  <c r="R1732" i="5" s="1"/>
  <c r="L1733" i="5"/>
  <c r="R1733" i="5" s="1"/>
  <c r="L1734" i="5"/>
  <c r="R1734" i="5" s="1"/>
  <c r="BH1734" i="5" s="1"/>
  <c r="L1735" i="5"/>
  <c r="R1735" i="5" s="1"/>
  <c r="BH1735" i="5" s="1"/>
  <c r="L1736" i="5"/>
  <c r="R1736" i="5" s="1"/>
  <c r="L1737" i="5"/>
  <c r="R1737" i="5" s="1"/>
  <c r="L1738" i="5"/>
  <c r="R1738" i="5" s="1"/>
  <c r="BH1738" i="5" s="1"/>
  <c r="L1739" i="5"/>
  <c r="R1739" i="5" s="1"/>
  <c r="L1740" i="5"/>
  <c r="R1740" i="5" s="1"/>
  <c r="BH1740" i="5" s="1"/>
  <c r="L1741" i="5"/>
  <c r="R1741" i="5" s="1"/>
  <c r="L1742" i="5"/>
  <c r="R1742" i="5" s="1"/>
  <c r="L1743" i="5"/>
  <c r="R1743" i="5" s="1"/>
  <c r="L1744" i="5"/>
  <c r="R1744" i="5" s="1"/>
  <c r="L1745" i="5"/>
  <c r="R1745" i="5" s="1"/>
  <c r="L1746" i="5"/>
  <c r="R1746" i="5"/>
  <c r="BH1746" i="5" s="1"/>
  <c r="L1747" i="5"/>
  <c r="R1747" i="5" s="1"/>
  <c r="BH1747" i="5" s="1"/>
  <c r="L1748" i="5"/>
  <c r="R1748" i="5" s="1"/>
  <c r="BH1748" i="5" s="1"/>
  <c r="L1749" i="5"/>
  <c r="R1749" i="5" s="1"/>
  <c r="BH1749" i="5" s="1"/>
  <c r="L1750" i="5"/>
  <c r="R1750" i="5" s="1"/>
  <c r="L1751" i="5"/>
  <c r="R1751" i="5" s="1"/>
  <c r="L1752" i="5"/>
  <c r="R1752" i="5"/>
  <c r="L1753" i="5"/>
  <c r="R1753" i="5" s="1"/>
  <c r="BH1753" i="5" s="1"/>
  <c r="L1754" i="5"/>
  <c r="R1754" i="5" s="1"/>
  <c r="L1755" i="5"/>
  <c r="R1755" i="5" s="1"/>
  <c r="BH1755" i="5" s="1"/>
  <c r="L1756" i="5"/>
  <c r="R1756" i="5" s="1"/>
  <c r="BH1756" i="5" s="1"/>
  <c r="L1757" i="5"/>
  <c r="R1757" i="5" s="1"/>
  <c r="L1758" i="5"/>
  <c r="R1758" i="5" s="1"/>
  <c r="L1759" i="5"/>
  <c r="R1759" i="5" s="1"/>
  <c r="L1760" i="5"/>
  <c r="R1760" i="5" s="1"/>
  <c r="L1761" i="5"/>
  <c r="R1761" i="5" s="1"/>
  <c r="L1762" i="5"/>
  <c r="R1762" i="5" s="1"/>
  <c r="L1763" i="5"/>
  <c r="R1763" i="5" s="1"/>
  <c r="L1764" i="5"/>
  <c r="R1764" i="5" s="1"/>
  <c r="BH1764" i="5" s="1"/>
  <c r="L1765" i="5"/>
  <c r="R1765" i="5" s="1"/>
  <c r="L1766" i="5"/>
  <c r="R1766" i="5" s="1"/>
  <c r="L1767" i="5"/>
  <c r="R1767" i="5" s="1"/>
  <c r="L1768" i="5"/>
  <c r="R1768" i="5" s="1"/>
  <c r="BH1768" i="5" s="1"/>
  <c r="L1769" i="5"/>
  <c r="R1769" i="5" s="1"/>
  <c r="L1770" i="5"/>
  <c r="R1770" i="5"/>
  <c r="BH1770" i="5" s="1"/>
  <c r="L1771" i="5"/>
  <c r="R1771" i="5" s="1"/>
  <c r="L1772" i="5"/>
  <c r="R1772" i="5" s="1"/>
  <c r="L1773" i="5"/>
  <c r="R1773" i="5" s="1"/>
  <c r="BH1773" i="5" s="1"/>
  <c r="L1774" i="5"/>
  <c r="R1774" i="5" s="1"/>
  <c r="L1775" i="5"/>
  <c r="R1775" i="5" s="1"/>
  <c r="L1776" i="5"/>
  <c r="R1776" i="5" s="1"/>
  <c r="BH1776" i="5" s="1"/>
  <c r="L1777" i="5"/>
  <c r="R1777" i="5"/>
  <c r="BH1777" i="5" s="1"/>
  <c r="L1778" i="5"/>
  <c r="R1778" i="5" s="1"/>
  <c r="L1779" i="5"/>
  <c r="R1779" i="5"/>
  <c r="BH1779" i="5" s="1"/>
  <c r="L1780" i="5"/>
  <c r="R1780" i="5" s="1"/>
  <c r="L1781" i="5"/>
  <c r="R1781" i="5" s="1"/>
  <c r="L1782" i="5"/>
  <c r="R1782" i="5" s="1"/>
  <c r="L1783" i="5"/>
  <c r="R1783" i="5" s="1"/>
  <c r="BH1783" i="5" s="1"/>
  <c r="L1784" i="5"/>
  <c r="R1784" i="5" s="1"/>
  <c r="L1785" i="5"/>
  <c r="R1785" i="5" s="1"/>
  <c r="BH1785" i="5" s="1"/>
  <c r="L1786" i="5"/>
  <c r="R1786" i="5" s="1"/>
  <c r="L1787" i="5"/>
  <c r="R1787" i="5" s="1"/>
  <c r="BH1787" i="5" s="1"/>
  <c r="L1788" i="5"/>
  <c r="R1788" i="5" s="1"/>
  <c r="BH1788" i="5" s="1"/>
  <c r="L1789" i="5"/>
  <c r="R1789" i="5" s="1"/>
  <c r="BH1789" i="5" s="1"/>
  <c r="L1790" i="5"/>
  <c r="R1790" i="5" s="1"/>
  <c r="BH1790" i="5" s="1"/>
  <c r="L1791" i="5"/>
  <c r="R1791" i="5" s="1"/>
  <c r="BH1791" i="5" s="1"/>
  <c r="L1792" i="5"/>
  <c r="R1792" i="5" s="1"/>
  <c r="L1793" i="5"/>
  <c r="R1793" i="5" s="1"/>
  <c r="L1794" i="5"/>
  <c r="R1794" i="5"/>
  <c r="L1795" i="5"/>
  <c r="R1795" i="5" s="1"/>
  <c r="L1796" i="5"/>
  <c r="R1796" i="5" s="1"/>
  <c r="L1797" i="5"/>
  <c r="R1797" i="5" s="1"/>
  <c r="L1798" i="5"/>
  <c r="R1798" i="5" s="1"/>
  <c r="BH1798" i="5" s="1"/>
  <c r="L1799" i="5"/>
  <c r="R1799" i="5" s="1"/>
  <c r="L1800" i="5"/>
  <c r="R1800" i="5" s="1"/>
  <c r="L1801" i="5"/>
  <c r="R1801" i="5" s="1"/>
  <c r="BH1801" i="5" s="1"/>
  <c r="L1802" i="5"/>
  <c r="R1802" i="5" s="1"/>
  <c r="L1803" i="5"/>
  <c r="R1803" i="5" s="1"/>
  <c r="BH1803" i="5" s="1"/>
  <c r="L1804" i="5"/>
  <c r="R1804" i="5" s="1"/>
  <c r="L1805" i="5"/>
  <c r="R1805" i="5" s="1"/>
  <c r="L1806" i="5"/>
  <c r="R1806" i="5" s="1"/>
  <c r="L1807" i="5"/>
  <c r="R1807" i="5" s="1"/>
  <c r="BH1807" i="5" s="1"/>
  <c r="L1808" i="5"/>
  <c r="R1808" i="5" s="1"/>
  <c r="BH1808" i="5" s="1"/>
  <c r="L1809" i="5"/>
  <c r="R1809" i="5" s="1"/>
  <c r="L1810" i="5"/>
  <c r="R1810" i="5" s="1"/>
  <c r="L1811" i="5"/>
  <c r="R1811" i="5" s="1"/>
  <c r="BH1811" i="5" s="1"/>
  <c r="L1812" i="5"/>
  <c r="R1812" i="5" s="1"/>
  <c r="BH1812" i="5" s="1"/>
  <c r="L1813" i="5"/>
  <c r="R1813" i="5" s="1"/>
  <c r="L1814" i="5"/>
  <c r="R1814" i="5" s="1"/>
  <c r="L1815" i="5"/>
  <c r="R1815" i="5" s="1"/>
  <c r="L1816" i="5"/>
  <c r="R1816" i="5" s="1"/>
  <c r="L1817" i="5"/>
  <c r="R1817" i="5"/>
  <c r="L1818" i="5"/>
  <c r="R1818" i="5" s="1"/>
  <c r="L1819" i="5"/>
  <c r="R1819" i="5" s="1"/>
  <c r="BH1819" i="5" s="1"/>
  <c r="L1820" i="5"/>
  <c r="R1820" i="5" s="1"/>
  <c r="L1821" i="5"/>
  <c r="R1821" i="5" s="1"/>
  <c r="L1822" i="5"/>
  <c r="R1822" i="5" s="1"/>
  <c r="BH1822" i="5" s="1"/>
  <c r="L1823" i="5"/>
  <c r="R1823" i="5" s="1"/>
  <c r="BH1823" i="5" s="1"/>
  <c r="L1824" i="5"/>
  <c r="R1824" i="5" s="1"/>
  <c r="L1825" i="5"/>
  <c r="R1825" i="5" s="1"/>
  <c r="L1826" i="5"/>
  <c r="R1826" i="5" s="1"/>
  <c r="L1827" i="5"/>
  <c r="R1827" i="5" s="1"/>
  <c r="BH1827" i="5" s="1"/>
  <c r="L1828" i="5"/>
  <c r="R1828" i="5" s="1"/>
  <c r="BH1828" i="5" s="1"/>
  <c r="L1829" i="5"/>
  <c r="R1829" i="5" s="1"/>
  <c r="BH1829" i="5" s="1"/>
  <c r="L1830" i="5"/>
  <c r="R1830" i="5" s="1"/>
  <c r="BH1830" i="5" s="1"/>
  <c r="L1831" i="5"/>
  <c r="R1831" i="5" s="1"/>
  <c r="BH1831" i="5" s="1"/>
  <c r="L1832" i="5"/>
  <c r="R1832" i="5" s="1"/>
  <c r="BH1832" i="5" s="1"/>
  <c r="L1833" i="5"/>
  <c r="R1833" i="5" s="1"/>
  <c r="BH1833" i="5" s="1"/>
  <c r="L1834" i="5"/>
  <c r="R1834" i="5" s="1"/>
  <c r="L1835" i="5"/>
  <c r="R1835" i="5" s="1"/>
  <c r="L1836" i="5"/>
  <c r="R1836" i="5" s="1"/>
  <c r="L1837" i="5"/>
  <c r="R1837" i="5" s="1"/>
  <c r="L1838" i="5"/>
  <c r="R1838" i="5" s="1"/>
  <c r="L1839" i="5"/>
  <c r="R1839" i="5" s="1"/>
  <c r="BH1839" i="5" s="1"/>
  <c r="L1840" i="5"/>
  <c r="R1840" i="5"/>
  <c r="BH1840" i="5" s="1"/>
  <c r="L1841" i="5"/>
  <c r="R1841" i="5" s="1"/>
  <c r="L1842" i="5"/>
  <c r="R1842" i="5" s="1"/>
  <c r="L1843" i="5"/>
  <c r="R1843" i="5" s="1"/>
  <c r="BH1843" i="5" s="1"/>
  <c r="L1844" i="5"/>
  <c r="R1844" i="5" s="1"/>
  <c r="L1845" i="5"/>
  <c r="R1845" i="5" s="1"/>
  <c r="L1846" i="5"/>
  <c r="R1846" i="5" s="1"/>
  <c r="L1847" i="5"/>
  <c r="R1847" i="5" s="1"/>
  <c r="L1848" i="5"/>
  <c r="R1848" i="5" s="1"/>
  <c r="L1849" i="5"/>
  <c r="R1849" i="5" s="1"/>
  <c r="BH1849" i="5" s="1"/>
  <c r="L1850" i="5"/>
  <c r="R1850" i="5" s="1"/>
  <c r="L1851" i="5"/>
  <c r="R1851" i="5" s="1"/>
  <c r="L1852" i="5"/>
  <c r="R1852" i="5" s="1"/>
  <c r="L1853" i="5"/>
  <c r="R1853" i="5" s="1"/>
  <c r="L1854" i="5"/>
  <c r="R1854" i="5" s="1"/>
  <c r="BH1854" i="5" s="1"/>
  <c r="L1855" i="5"/>
  <c r="R1855" i="5" s="1"/>
  <c r="BH1855" i="5" s="1"/>
  <c r="L1856" i="5"/>
  <c r="R1856" i="5" s="1"/>
  <c r="BH1856" i="5" s="1"/>
  <c r="L1857" i="5"/>
  <c r="R1857" i="5" s="1"/>
  <c r="BH1857" i="5" s="1"/>
  <c r="L1858" i="5"/>
  <c r="R1858" i="5" s="1"/>
  <c r="BH1858" i="5" s="1"/>
  <c r="L1859" i="5"/>
  <c r="R1859" i="5" s="1"/>
  <c r="L1860" i="5"/>
  <c r="R1860" i="5" s="1"/>
  <c r="L1861" i="5"/>
  <c r="R1861" i="5"/>
  <c r="L1862" i="5"/>
  <c r="R1862" i="5" s="1"/>
  <c r="L1863" i="5"/>
  <c r="R1863" i="5" s="1"/>
  <c r="BH1863" i="5" s="1"/>
  <c r="L1864" i="5"/>
  <c r="R1864" i="5" s="1"/>
  <c r="L1865" i="5"/>
  <c r="R1865" i="5" s="1"/>
  <c r="L1866" i="5"/>
  <c r="R1866" i="5" s="1"/>
  <c r="BH1866" i="5" s="1"/>
  <c r="L1867" i="5"/>
  <c r="R1867" i="5" s="1"/>
  <c r="BH1867" i="5" s="1"/>
  <c r="L1868" i="5"/>
  <c r="R1868" i="5" s="1"/>
  <c r="L1869" i="5"/>
  <c r="R1869" i="5" s="1"/>
  <c r="BH1869" i="5" s="1"/>
  <c r="L1870" i="5"/>
  <c r="R1870" i="5" s="1"/>
  <c r="BH1870" i="5" s="1"/>
  <c r="L1871" i="5"/>
  <c r="R1871" i="5" s="1"/>
  <c r="L1872" i="5"/>
  <c r="R1872" i="5" s="1"/>
  <c r="L1873" i="5"/>
  <c r="R1873" i="5" s="1"/>
  <c r="BH1873" i="5" s="1"/>
  <c r="L1874" i="5"/>
  <c r="R1874" i="5" s="1"/>
  <c r="BH1874" i="5" s="1"/>
  <c r="L1875" i="5"/>
  <c r="R1875" i="5" s="1"/>
  <c r="BH1875" i="5" s="1"/>
  <c r="L1876" i="5"/>
  <c r="R1876" i="5" s="1"/>
  <c r="BH1876" i="5" s="1"/>
  <c r="L1877" i="5"/>
  <c r="R1877" i="5" s="1"/>
  <c r="BH1877" i="5" s="1"/>
  <c r="L1878" i="5"/>
  <c r="R1878" i="5" s="1"/>
  <c r="BH1878" i="5" s="1"/>
  <c r="L1879" i="5"/>
  <c r="R1879" i="5" s="1"/>
  <c r="L1880" i="5"/>
  <c r="R1880" i="5" s="1"/>
  <c r="L1881" i="5"/>
  <c r="R1881" i="5" s="1"/>
  <c r="L1882" i="5"/>
  <c r="R1882" i="5" s="1"/>
  <c r="L1883" i="5"/>
  <c r="R1883" i="5" s="1"/>
  <c r="BH1883" i="5" s="1"/>
  <c r="L1884" i="5"/>
  <c r="R1884" i="5" s="1"/>
  <c r="L1885" i="5"/>
  <c r="R1885" i="5"/>
  <c r="L1886" i="5"/>
  <c r="R1886" i="5" s="1"/>
  <c r="L1887" i="5"/>
  <c r="R1887" i="5" s="1"/>
  <c r="L1888" i="5"/>
  <c r="R1888" i="5" s="1"/>
  <c r="L1889" i="5"/>
  <c r="R1889" i="5" s="1"/>
  <c r="L1890" i="5"/>
  <c r="R1890" i="5" s="1"/>
  <c r="L1891" i="5"/>
  <c r="R1891" i="5" s="1"/>
  <c r="L1892" i="5"/>
  <c r="R1892" i="5" s="1"/>
  <c r="L1893" i="5"/>
  <c r="R1893" i="5" s="1"/>
  <c r="BH1893" i="5" s="1"/>
  <c r="L1894" i="5"/>
  <c r="R1894" i="5" s="1"/>
  <c r="BH1894" i="5" s="1"/>
  <c r="L1895" i="5"/>
  <c r="R1895" i="5" s="1"/>
  <c r="L1896" i="5"/>
  <c r="R1896" i="5" s="1"/>
  <c r="L1897" i="5"/>
  <c r="R1897" i="5"/>
  <c r="BH1897" i="5" s="1"/>
  <c r="L1898" i="5"/>
  <c r="R1898" i="5" s="1"/>
  <c r="BH1898" i="5" s="1"/>
  <c r="L1899" i="5"/>
  <c r="R1899" i="5" s="1"/>
  <c r="BH1899" i="5" s="1"/>
  <c r="L1900" i="5"/>
  <c r="R1900" i="5" s="1"/>
  <c r="L1901" i="5"/>
  <c r="R1901" i="5" s="1"/>
  <c r="L1902" i="5"/>
  <c r="R1902" i="5" s="1"/>
  <c r="L1903" i="5"/>
  <c r="R1903" i="5" s="1"/>
  <c r="BH1903" i="5" s="1"/>
  <c r="L1904" i="5"/>
  <c r="R1904" i="5" s="1"/>
  <c r="L1905" i="5"/>
  <c r="R1905" i="5" s="1"/>
  <c r="L1906" i="5"/>
  <c r="R1906" i="5" s="1"/>
  <c r="BH1906" i="5" s="1"/>
  <c r="L1907" i="5"/>
  <c r="R1907" i="5" s="1"/>
  <c r="BH1907" i="5" s="1"/>
  <c r="L1908" i="5"/>
  <c r="R1908" i="5" s="1"/>
  <c r="L1909" i="5"/>
  <c r="R1909" i="5"/>
  <c r="BH1909" i="5" s="1"/>
  <c r="L1910" i="5"/>
  <c r="R1910" i="5" s="1"/>
  <c r="L1911" i="5"/>
  <c r="R1911" i="5" s="1"/>
  <c r="BH1911" i="5" s="1"/>
  <c r="L1912" i="5"/>
  <c r="R1912" i="5" s="1"/>
  <c r="L1913" i="5"/>
  <c r="R1913" i="5" s="1"/>
  <c r="L1914" i="5"/>
  <c r="R1914" i="5" s="1"/>
  <c r="L1915" i="5"/>
  <c r="R1915" i="5" s="1"/>
  <c r="L1916" i="5"/>
  <c r="R1916" i="5" s="1"/>
  <c r="L1917" i="5"/>
  <c r="R1917" i="5"/>
  <c r="BH1917" i="5" s="1"/>
  <c r="L1918" i="5"/>
  <c r="R1918" i="5" s="1"/>
  <c r="BH1918" i="5" s="1"/>
  <c r="L1919" i="5"/>
  <c r="R1919" i="5" s="1"/>
  <c r="BH1919" i="5" s="1"/>
  <c r="L1920" i="5"/>
  <c r="R1920" i="5" s="1"/>
  <c r="BH1920" i="5" s="1"/>
  <c r="L1921" i="5"/>
  <c r="R1921" i="5" s="1"/>
  <c r="BH1921" i="5" s="1"/>
  <c r="L1922" i="5"/>
  <c r="R1922" i="5" s="1"/>
  <c r="L1923" i="5"/>
  <c r="R1923" i="5" s="1"/>
  <c r="L1924" i="5"/>
  <c r="R1924" i="5" s="1"/>
  <c r="L1925" i="5"/>
  <c r="R1925" i="5" s="1"/>
  <c r="L1926" i="5"/>
  <c r="R1926" i="5" s="1"/>
  <c r="L1927" i="5"/>
  <c r="R1927" i="5" s="1"/>
  <c r="L1928" i="5"/>
  <c r="R1928" i="5" s="1"/>
  <c r="BH1928" i="5" s="1"/>
  <c r="L1929" i="5"/>
  <c r="R1929" i="5" s="1"/>
  <c r="BH1929" i="5" s="1"/>
  <c r="L1930" i="5"/>
  <c r="R1930" i="5" s="1"/>
  <c r="L1931" i="5"/>
  <c r="R1931" i="5" s="1"/>
  <c r="L1932" i="5"/>
  <c r="R1932" i="5" s="1"/>
  <c r="BH1932" i="5" s="1"/>
  <c r="L1933" i="5"/>
  <c r="R1933" i="5" s="1"/>
  <c r="BH1933" i="5" s="1"/>
  <c r="L1934" i="5"/>
  <c r="R1934" i="5" s="1"/>
  <c r="L1935" i="5"/>
  <c r="R1935" i="5" s="1"/>
  <c r="L1936" i="5"/>
  <c r="R1936" i="5" s="1"/>
  <c r="L1937" i="5"/>
  <c r="R1937" i="5" s="1"/>
  <c r="L1938" i="5"/>
  <c r="R1938" i="5" s="1"/>
  <c r="L1939" i="5"/>
  <c r="R1939" i="5" s="1"/>
  <c r="BH1939" i="5" s="1"/>
  <c r="L1940" i="5"/>
  <c r="R1940" i="5" s="1"/>
  <c r="BH1940" i="5" s="1"/>
  <c r="L1941" i="5"/>
  <c r="R1941" i="5"/>
  <c r="BH1941" i="5" s="1"/>
  <c r="L1942" i="5"/>
  <c r="R1942" i="5" s="1"/>
  <c r="BH1942" i="5" s="1"/>
  <c r="L1943" i="5"/>
  <c r="R1943" i="5" s="1"/>
  <c r="BH1943" i="5" s="1"/>
  <c r="L1944" i="5"/>
  <c r="R1944" i="5" s="1"/>
  <c r="L1945" i="5"/>
  <c r="R1945" i="5" s="1"/>
  <c r="BH1945" i="5" s="1"/>
  <c r="L1946" i="5"/>
  <c r="R1946" i="5" s="1"/>
  <c r="L1947" i="5"/>
  <c r="R1947" i="5" s="1"/>
  <c r="L1948" i="5"/>
  <c r="R1948" i="5" s="1"/>
  <c r="L1949" i="5"/>
  <c r="R1949" i="5" s="1"/>
  <c r="L1950" i="5"/>
  <c r="R1950" i="5" s="1"/>
  <c r="BH1950" i="5" s="1"/>
  <c r="L1951" i="5"/>
  <c r="R1951" i="5" s="1"/>
  <c r="L1952" i="5"/>
  <c r="R1952" i="5" s="1"/>
  <c r="L1953" i="5"/>
  <c r="R1953" i="5" s="1"/>
  <c r="BH1953" i="5" s="1"/>
  <c r="L1954" i="5"/>
  <c r="R1954" i="5" s="1"/>
  <c r="L1955" i="5"/>
  <c r="R1955" i="5" s="1"/>
  <c r="L1956" i="5"/>
  <c r="R1956" i="5" s="1"/>
  <c r="L1957" i="5"/>
  <c r="R1957" i="5" s="1"/>
  <c r="BH1957" i="5" s="1"/>
  <c r="L1958" i="5"/>
  <c r="R1958" i="5" s="1"/>
  <c r="L1959" i="5"/>
  <c r="R1959" i="5" s="1"/>
  <c r="BH1959" i="5" s="1"/>
  <c r="L1960" i="5"/>
  <c r="R1960" i="5" s="1"/>
  <c r="BH1960" i="5" s="1"/>
  <c r="L1961" i="5"/>
  <c r="R1961" i="5" s="1"/>
  <c r="BH1961" i="5" s="1"/>
  <c r="L1962" i="5"/>
  <c r="R1962" i="5" s="1"/>
  <c r="BH1962" i="5" s="1"/>
  <c r="L1963" i="5"/>
  <c r="R1963" i="5"/>
  <c r="BH1963" i="5" s="1"/>
  <c r="L1964" i="5"/>
  <c r="R1964" i="5" s="1"/>
  <c r="BH1964" i="5" s="1"/>
  <c r="L1965" i="5"/>
  <c r="R1965" i="5" s="1"/>
  <c r="BH1965" i="5" s="1"/>
  <c r="L1966" i="5"/>
  <c r="R1966" i="5" s="1"/>
  <c r="L1967" i="5"/>
  <c r="R1967" i="5" s="1"/>
  <c r="L1968" i="5"/>
  <c r="R1968" i="5" s="1"/>
  <c r="L1969" i="5"/>
  <c r="R1969" i="5" s="1"/>
  <c r="BH1969" i="5" s="1"/>
  <c r="L1970" i="5"/>
  <c r="R1970" i="5" s="1"/>
  <c r="L1971" i="5"/>
  <c r="R1971" i="5" s="1"/>
  <c r="BH1971" i="5" s="1"/>
  <c r="L1972" i="5"/>
  <c r="R1972" i="5" s="1"/>
  <c r="L1973" i="5"/>
  <c r="R1973" i="5" s="1"/>
  <c r="L1974" i="5"/>
  <c r="R1974" i="5" s="1"/>
  <c r="L1975" i="5"/>
  <c r="R1975" i="5" s="1"/>
  <c r="L1976" i="5"/>
  <c r="R1976" i="5" s="1"/>
  <c r="L1977" i="5"/>
  <c r="R1977" i="5" s="1"/>
  <c r="BH1977" i="5" s="1"/>
  <c r="L1978" i="5"/>
  <c r="R1978" i="5" s="1"/>
  <c r="L1979" i="5"/>
  <c r="R1979" i="5" s="1"/>
  <c r="L1980" i="5"/>
  <c r="R1980" i="5" s="1"/>
  <c r="L1981" i="5"/>
  <c r="R1981" i="5" s="1"/>
  <c r="BH1981" i="5" s="1"/>
  <c r="L1982" i="5"/>
  <c r="R1982" i="5" s="1"/>
  <c r="L1983" i="5"/>
  <c r="R1983" i="5" s="1"/>
  <c r="L1984" i="5"/>
  <c r="R1984" i="5" s="1"/>
  <c r="BH1984" i="5" s="1"/>
  <c r="L1985" i="5"/>
  <c r="R1985" i="5" s="1"/>
  <c r="BH1985" i="5" s="1"/>
  <c r="L1986" i="5"/>
  <c r="R1986" i="5" s="1"/>
  <c r="BH1986" i="5" s="1"/>
  <c r="L1987" i="5"/>
  <c r="R1987" i="5" s="1"/>
  <c r="L1988" i="5"/>
  <c r="R1988" i="5" s="1"/>
  <c r="L1989" i="5"/>
  <c r="R1989" i="5"/>
  <c r="L1990" i="5"/>
  <c r="R1990" i="5" s="1"/>
  <c r="L1991" i="5"/>
  <c r="R1991" i="5" s="1"/>
  <c r="BH1991" i="5" s="1"/>
  <c r="L1992" i="5"/>
  <c r="R1992" i="5" s="1"/>
  <c r="BH1992" i="5" s="1"/>
  <c r="L1993" i="5"/>
  <c r="R1993" i="5" s="1"/>
  <c r="BH1993" i="5" s="1"/>
  <c r="L1994" i="5"/>
  <c r="R1994" i="5" s="1"/>
  <c r="L1995" i="5"/>
  <c r="R1995" i="5" s="1"/>
  <c r="BH1995" i="5" s="1"/>
  <c r="L1996" i="5"/>
  <c r="R1996" i="5" s="1"/>
  <c r="BH1996" i="5" s="1"/>
  <c r="L1997" i="5"/>
  <c r="R1997" i="5" s="1"/>
  <c r="L1998" i="5"/>
  <c r="R1998" i="5" s="1"/>
  <c r="L1999" i="5"/>
  <c r="R1999" i="5" s="1"/>
  <c r="L2000" i="5"/>
  <c r="R2000" i="5" s="1"/>
  <c r="L2001" i="5"/>
  <c r="R2001" i="5" s="1"/>
  <c r="L2002" i="5"/>
  <c r="R2002" i="5" s="1"/>
  <c r="BH2002" i="5" s="1"/>
  <c r="L2003" i="5"/>
  <c r="R2003" i="5" s="1"/>
  <c r="L2004" i="5"/>
  <c r="R2004" i="5" s="1"/>
  <c r="L2005" i="5"/>
  <c r="R2005" i="5" s="1"/>
  <c r="L2006" i="5"/>
  <c r="R2006" i="5" s="1"/>
  <c r="BH2006" i="5" s="1"/>
  <c r="L2007" i="5"/>
  <c r="R2007" i="5"/>
  <c r="BH2007" i="5" s="1"/>
  <c r="L2008" i="5"/>
  <c r="R2008" i="5" s="1"/>
  <c r="L2009" i="5"/>
  <c r="R2009" i="5" s="1"/>
  <c r="BH2009" i="5" s="1"/>
  <c r="L2010" i="5"/>
  <c r="R2010" i="5" s="1"/>
  <c r="L2011" i="5"/>
  <c r="R2011" i="5" s="1"/>
  <c r="L2012" i="5"/>
  <c r="R2012" i="5" s="1"/>
  <c r="L2013" i="5"/>
  <c r="R2013" i="5" s="1"/>
  <c r="L2014" i="5"/>
  <c r="R2014" i="5" s="1"/>
  <c r="BH2014" i="5" s="1"/>
  <c r="L2015" i="5"/>
  <c r="R2015" i="5" s="1"/>
  <c r="BH2015" i="5" s="1"/>
  <c r="L2016" i="5"/>
  <c r="R2016" i="5" s="1"/>
  <c r="L2017" i="5"/>
  <c r="R2017" i="5" s="1"/>
  <c r="L2018" i="5"/>
  <c r="R2018" i="5" s="1"/>
  <c r="BH2018" i="5" s="1"/>
  <c r="L2019" i="5"/>
  <c r="R2019" i="5" s="1"/>
  <c r="BH2019" i="5" s="1"/>
  <c r="L2020" i="5"/>
  <c r="R2020" i="5" s="1"/>
  <c r="BH2020" i="5" s="1"/>
  <c r="L2021" i="5"/>
  <c r="R2021" i="5" s="1"/>
  <c r="L2022" i="5"/>
  <c r="R2022" i="5" s="1"/>
  <c r="L2023" i="5"/>
  <c r="R2023" i="5" s="1"/>
  <c r="L2024" i="5"/>
  <c r="R2024" i="5" s="1"/>
  <c r="L2025" i="5"/>
  <c r="R2025" i="5"/>
  <c r="L2026" i="5"/>
  <c r="R2026" i="5" s="1"/>
  <c r="BH2026" i="5" s="1"/>
  <c r="L2027" i="5"/>
  <c r="R2027" i="5" s="1"/>
  <c r="L2028" i="5"/>
  <c r="R2028" i="5" s="1"/>
  <c r="BH2028" i="5" s="1"/>
  <c r="L2029" i="5"/>
  <c r="R2029" i="5" s="1"/>
  <c r="BH2029" i="5" s="1"/>
  <c r="L2030" i="5"/>
  <c r="R2030" i="5" s="1"/>
  <c r="L2031" i="5"/>
  <c r="R2031" i="5" s="1"/>
  <c r="L2032" i="5"/>
  <c r="R2032" i="5" s="1"/>
  <c r="L2033" i="5"/>
  <c r="R2033" i="5" s="1"/>
  <c r="L2034" i="5"/>
  <c r="R2034" i="5" s="1"/>
  <c r="L2035" i="5"/>
  <c r="R2035" i="5" s="1"/>
  <c r="L2036" i="5"/>
  <c r="R2036" i="5" s="1"/>
  <c r="BH2036" i="5" s="1"/>
  <c r="L2037" i="5"/>
  <c r="R2037" i="5" s="1"/>
  <c r="BH2037" i="5" s="1"/>
  <c r="L2038" i="5"/>
  <c r="R2038" i="5" s="1"/>
  <c r="BH2038" i="5" s="1"/>
  <c r="L2039" i="5"/>
  <c r="R2039" i="5" s="1"/>
  <c r="BH2039" i="5" s="1"/>
  <c r="L2040" i="5"/>
  <c r="R2040" i="5" s="1"/>
  <c r="L2041" i="5"/>
  <c r="R2041" i="5" s="1"/>
  <c r="L2042" i="5"/>
  <c r="R2042" i="5" s="1"/>
  <c r="L2043" i="5"/>
  <c r="R2043" i="5" s="1"/>
  <c r="BH2043" i="5" s="1"/>
  <c r="L2044" i="5"/>
  <c r="R2044" i="5" s="1"/>
  <c r="L2045" i="5"/>
  <c r="R2045" i="5" s="1"/>
  <c r="BH2045" i="5" s="1"/>
  <c r="L2046" i="5"/>
  <c r="R2046" i="5" s="1"/>
  <c r="L2047" i="5"/>
  <c r="R2047" i="5" s="1"/>
  <c r="BH2047" i="5" s="1"/>
  <c r="L2048" i="5"/>
  <c r="R2048" i="5" s="1"/>
  <c r="BH2048" i="5" s="1"/>
  <c r="L2049" i="5"/>
  <c r="R2049" i="5" s="1"/>
  <c r="BH2049" i="5" s="1"/>
  <c r="L2050" i="5"/>
  <c r="R2050" i="5" s="1"/>
  <c r="BH2050" i="5" s="1"/>
  <c r="L2051" i="5"/>
  <c r="R2051" i="5" s="1"/>
  <c r="BH2051" i="5" s="1"/>
  <c r="L2052" i="5"/>
  <c r="R2052" i="5" s="1"/>
  <c r="L2053" i="5"/>
  <c r="R2053" i="5" s="1"/>
  <c r="L2054" i="5"/>
  <c r="R2054" i="5" s="1"/>
  <c r="L2055" i="5"/>
  <c r="R2055" i="5" s="1"/>
  <c r="BH2055" i="5" s="1"/>
  <c r="L2056" i="5"/>
  <c r="R2056" i="5"/>
  <c r="L2057" i="5"/>
  <c r="R2057" i="5" s="1"/>
  <c r="L2058" i="5"/>
  <c r="R2058" i="5" s="1"/>
  <c r="BH2058" i="5" s="1"/>
  <c r="L2059" i="5"/>
  <c r="R2059" i="5" s="1"/>
  <c r="L2060" i="5"/>
  <c r="R2060" i="5" s="1"/>
  <c r="L2061" i="5"/>
  <c r="R2061" i="5" s="1"/>
  <c r="BH2061" i="5" s="1"/>
  <c r="L2062" i="5"/>
  <c r="R2062" i="5" s="1"/>
  <c r="L2063" i="5"/>
  <c r="R2063" i="5" s="1"/>
  <c r="L2064" i="5"/>
  <c r="R2064" i="5" s="1"/>
  <c r="L2065" i="5"/>
  <c r="R2065" i="5" s="1"/>
  <c r="L2066" i="5"/>
  <c r="R2066" i="5" s="1"/>
  <c r="L2067" i="5"/>
  <c r="R2067" i="5" s="1"/>
  <c r="L2068" i="5"/>
  <c r="R2068" i="5" s="1"/>
  <c r="BH2068" i="5" s="1"/>
  <c r="L2069" i="5"/>
  <c r="R2069" i="5" s="1"/>
  <c r="BH2069" i="5" s="1"/>
  <c r="L2070" i="5"/>
  <c r="R2070" i="5" s="1"/>
  <c r="L2071" i="5"/>
  <c r="R2071" i="5" s="1"/>
  <c r="L2072" i="5"/>
  <c r="R2072" i="5" s="1"/>
  <c r="BH2072" i="5" s="1"/>
  <c r="L2073" i="5"/>
  <c r="R2073" i="5" s="1"/>
  <c r="BH2073" i="5" s="1"/>
  <c r="L2074" i="5"/>
  <c r="R2074" i="5" s="1"/>
  <c r="L2075" i="5"/>
  <c r="R2075" i="5" s="1"/>
  <c r="L2076" i="5"/>
  <c r="R2076" i="5" s="1"/>
  <c r="BH2076" i="5" s="1"/>
  <c r="L2077" i="5"/>
  <c r="R2077" i="5" s="1"/>
  <c r="L2078" i="5"/>
  <c r="R2078" i="5" s="1"/>
  <c r="BH2078" i="5" s="1"/>
  <c r="L2079" i="5"/>
  <c r="R2079" i="5" s="1"/>
  <c r="BH2079" i="5" s="1"/>
  <c r="L2080" i="5"/>
  <c r="R2080" i="5" s="1"/>
  <c r="L2081" i="5"/>
  <c r="R2081" i="5" s="1"/>
  <c r="L2082" i="5"/>
  <c r="R2082" i="5" s="1"/>
  <c r="L2083" i="5"/>
  <c r="R2083" i="5" s="1"/>
  <c r="BH2083" i="5" s="1"/>
  <c r="L2084" i="5"/>
  <c r="R2084" i="5" s="1"/>
  <c r="L2085" i="5"/>
  <c r="R2085" i="5" s="1"/>
  <c r="L2086" i="5"/>
  <c r="R2086" i="5" s="1"/>
  <c r="L2087" i="5"/>
  <c r="R2087" i="5" s="1"/>
  <c r="L2088" i="5"/>
  <c r="R2088" i="5" s="1"/>
  <c r="L2089" i="5"/>
  <c r="R2089" i="5" s="1"/>
  <c r="L2090" i="5"/>
  <c r="R2090" i="5" s="1"/>
  <c r="L2091" i="5"/>
  <c r="R2091" i="5" s="1"/>
  <c r="BH2091" i="5" s="1"/>
  <c r="L2092" i="5"/>
  <c r="R2092" i="5" s="1"/>
  <c r="BH2092" i="5" s="1"/>
  <c r="L2093" i="5"/>
  <c r="R2093" i="5" s="1"/>
  <c r="BH2093" i="5" s="1"/>
  <c r="L2094" i="5"/>
  <c r="R2094" i="5" s="1"/>
  <c r="BH2094" i="5" s="1"/>
  <c r="L2095" i="5"/>
  <c r="R2095" i="5" s="1"/>
  <c r="BH2095" i="5" s="1"/>
  <c r="L2096" i="5"/>
  <c r="R2096" i="5" s="1"/>
  <c r="BH2096" i="5" s="1"/>
  <c r="L2097" i="5"/>
  <c r="R2097" i="5" s="1"/>
  <c r="BH2097" i="5" s="1"/>
  <c r="L2098" i="5"/>
  <c r="R2098" i="5" s="1"/>
  <c r="L2099" i="5"/>
  <c r="R2099" i="5" s="1"/>
  <c r="L2100" i="5"/>
  <c r="R2100" i="5" s="1"/>
  <c r="L2101" i="5"/>
  <c r="R2101" i="5" s="1"/>
  <c r="BH2101" i="5" s="1"/>
  <c r="L2102" i="5"/>
  <c r="R2102" i="5" s="1"/>
  <c r="L2103" i="5"/>
  <c r="R2103" i="5" s="1"/>
  <c r="BH2103" i="5" s="1"/>
  <c r="L2104" i="5"/>
  <c r="R2104" i="5" s="1"/>
  <c r="BH2104" i="5" s="1"/>
  <c r="L2105" i="5"/>
  <c r="R2105" i="5" s="1"/>
  <c r="L2106" i="5"/>
  <c r="R2106" i="5" s="1"/>
  <c r="L2107" i="5"/>
  <c r="R2107" i="5" s="1"/>
  <c r="L2108" i="5"/>
  <c r="R2108" i="5" s="1"/>
  <c r="BH2108" i="5" s="1"/>
  <c r="L2109" i="5"/>
  <c r="R2109" i="5" s="1"/>
  <c r="L2110" i="5"/>
  <c r="R2110" i="5" s="1"/>
  <c r="BH2110" i="5" s="1"/>
  <c r="L2111" i="5"/>
  <c r="R2111" i="5" s="1"/>
  <c r="L2112" i="5"/>
  <c r="R2112" i="5" s="1"/>
  <c r="L2113" i="5"/>
  <c r="R2113" i="5" s="1"/>
  <c r="L2114" i="5"/>
  <c r="R2114" i="5" s="1"/>
  <c r="L2115" i="5"/>
  <c r="R2115" i="5" s="1"/>
  <c r="BH2115" i="5" s="1"/>
  <c r="L2116" i="5"/>
  <c r="R2116" i="5"/>
  <c r="L2117" i="5"/>
  <c r="R2117" i="5" s="1"/>
  <c r="L2118" i="5"/>
  <c r="R2118" i="5" s="1"/>
  <c r="BH2118" i="5" s="1"/>
  <c r="L2119" i="5"/>
  <c r="R2119" i="5" s="1"/>
  <c r="L2120" i="5"/>
  <c r="R2120" i="5" s="1"/>
  <c r="L2121" i="5"/>
  <c r="R2121" i="5" s="1"/>
  <c r="L2122" i="5"/>
  <c r="R2122" i="5" s="1"/>
  <c r="L2123" i="5"/>
  <c r="R2123" i="5" s="1"/>
  <c r="L2124" i="5"/>
  <c r="R2124" i="5" s="1"/>
  <c r="L2125" i="5"/>
  <c r="R2125" i="5" s="1"/>
  <c r="L2126" i="5"/>
  <c r="R2126" i="5" s="1"/>
  <c r="L2127" i="5"/>
  <c r="R2127" i="5" s="1"/>
  <c r="L2128" i="5"/>
  <c r="R2128" i="5"/>
  <c r="BH2128" i="5" s="1"/>
  <c r="L2129" i="5"/>
  <c r="R2129" i="5" s="1"/>
  <c r="L2130" i="5"/>
  <c r="R2130" i="5" s="1"/>
  <c r="L2131" i="5"/>
  <c r="R2131" i="5" s="1"/>
  <c r="L2132" i="5"/>
  <c r="R2132" i="5" s="1"/>
  <c r="L2133" i="5"/>
  <c r="R2133" i="5" s="1"/>
  <c r="L2134" i="5"/>
  <c r="R2134" i="5" s="1"/>
  <c r="L2135" i="5"/>
  <c r="R2135" i="5" s="1"/>
  <c r="L2136" i="5"/>
  <c r="R2136" i="5" s="1"/>
  <c r="L2137" i="5"/>
  <c r="R2137" i="5" s="1"/>
  <c r="BH2137" i="5" s="1"/>
  <c r="L2138" i="5"/>
  <c r="R2138" i="5" s="1"/>
  <c r="BH2138" i="5" s="1"/>
  <c r="L2139" i="5"/>
  <c r="R2139" i="5" s="1"/>
  <c r="BH2139" i="5" s="1"/>
  <c r="L2140" i="5"/>
  <c r="R2140" i="5" s="1"/>
  <c r="BH2140" i="5" s="1"/>
  <c r="L2141" i="5"/>
  <c r="R2141" i="5" s="1"/>
  <c r="BH2141" i="5" s="1"/>
  <c r="L2142" i="5"/>
  <c r="R2142" i="5" s="1"/>
  <c r="L2143" i="5"/>
  <c r="R2143" i="5" s="1"/>
  <c r="L2144" i="5"/>
  <c r="R2144" i="5" s="1"/>
  <c r="L2145" i="5"/>
  <c r="R2145" i="5" s="1"/>
  <c r="L2146" i="5"/>
  <c r="R2146" i="5"/>
  <c r="L2147" i="5"/>
  <c r="R2147" i="5" s="1"/>
  <c r="L2148" i="5"/>
  <c r="R2148" i="5" s="1"/>
  <c r="BH2148" i="5" s="1"/>
  <c r="L2149" i="5"/>
  <c r="R2149" i="5" s="1"/>
  <c r="L2150" i="5"/>
  <c r="R2150" i="5" s="1"/>
  <c r="L2151" i="5"/>
  <c r="R2151" i="5" s="1"/>
  <c r="BH2151" i="5" s="1"/>
  <c r="L2152" i="5"/>
  <c r="R2152" i="5" s="1"/>
  <c r="BH2152" i="5" s="1"/>
  <c r="L2153" i="5"/>
  <c r="R2153" i="5" s="1"/>
  <c r="L2154" i="5"/>
  <c r="R2154" i="5" s="1"/>
  <c r="L2155" i="5"/>
  <c r="R2155" i="5" s="1"/>
  <c r="L2156" i="5"/>
  <c r="R2156" i="5" s="1"/>
  <c r="L2157" i="5"/>
  <c r="R2157" i="5" s="1"/>
  <c r="L2158" i="5"/>
  <c r="R2158" i="5" s="1"/>
  <c r="L2159" i="5"/>
  <c r="R2159" i="5" s="1"/>
  <c r="BH2159" i="5" s="1"/>
  <c r="L2160" i="5"/>
  <c r="R2160" i="5" s="1"/>
  <c r="BH2160" i="5" s="1"/>
  <c r="L2161" i="5"/>
  <c r="R2161" i="5" s="1"/>
  <c r="BH2161" i="5" s="1"/>
  <c r="L2162" i="5"/>
  <c r="R2162" i="5" s="1"/>
  <c r="L2163" i="5"/>
  <c r="R2163" i="5" s="1"/>
  <c r="BH2163" i="5" s="1"/>
  <c r="L2164" i="5"/>
  <c r="R2164" i="5" s="1"/>
  <c r="BH2164" i="5" s="1"/>
  <c r="L2165" i="5"/>
  <c r="R2165" i="5" s="1"/>
  <c r="L2166" i="5"/>
  <c r="R2166" i="5" s="1"/>
  <c r="L2167" i="5"/>
  <c r="R2167" i="5" s="1"/>
  <c r="BH2167" i="5" s="1"/>
  <c r="L2168" i="5"/>
  <c r="R2168" i="5" s="1"/>
  <c r="L2169" i="5"/>
  <c r="R2169" i="5" s="1"/>
  <c r="BH2169" i="5" s="1"/>
  <c r="L2170" i="5"/>
  <c r="R2170" i="5" s="1"/>
  <c r="BH2170" i="5" s="1"/>
  <c r="L2171" i="5"/>
  <c r="R2171" i="5" s="1"/>
  <c r="L2172" i="5"/>
  <c r="R2172" i="5" s="1"/>
  <c r="L2173" i="5"/>
  <c r="R2173" i="5" s="1"/>
  <c r="L2174" i="5"/>
  <c r="R2174" i="5" s="1"/>
  <c r="BH2174" i="5" s="1"/>
  <c r="L2175" i="5"/>
  <c r="R2175" i="5" s="1"/>
  <c r="L2176" i="5"/>
  <c r="R2176" i="5" s="1"/>
  <c r="BH2176" i="5" s="1"/>
  <c r="L2177" i="5"/>
  <c r="R2177" i="5" s="1"/>
  <c r="L2178" i="5"/>
  <c r="R2178" i="5" s="1"/>
  <c r="L2179" i="5"/>
  <c r="R2179" i="5" s="1"/>
  <c r="BH2179" i="5" s="1"/>
  <c r="L2180" i="5"/>
  <c r="R2180" i="5" s="1"/>
  <c r="BH2180" i="5" s="1"/>
  <c r="L2181" i="5"/>
  <c r="R2181" i="5" s="1"/>
  <c r="L2182" i="5"/>
  <c r="R2182" i="5" s="1"/>
  <c r="BH2182" i="5" s="1"/>
  <c r="L2183" i="5"/>
  <c r="R2183" i="5" s="1"/>
  <c r="BH2183" i="5" s="1"/>
  <c r="L2184" i="5"/>
  <c r="R2184" i="5" s="1"/>
  <c r="BH2184" i="5" s="1"/>
  <c r="L2185" i="5"/>
  <c r="R2185" i="5" s="1"/>
  <c r="BH2185" i="5" s="1"/>
  <c r="L2186" i="5"/>
  <c r="R2186" i="5" s="1"/>
  <c r="BH2186" i="5" s="1"/>
  <c r="L2187" i="5"/>
  <c r="R2187" i="5" s="1"/>
  <c r="BH2187" i="5" s="1"/>
  <c r="L2188" i="5"/>
  <c r="R2188" i="5" s="1"/>
  <c r="BH2188" i="5" s="1"/>
  <c r="L2189" i="5"/>
  <c r="R2189" i="5" s="1"/>
  <c r="BH2189" i="5" s="1"/>
  <c r="L2190" i="5"/>
  <c r="R2190" i="5" s="1"/>
  <c r="L2191" i="5"/>
  <c r="R2191" i="5" s="1"/>
  <c r="BH2191" i="5" s="1"/>
  <c r="L2192" i="5"/>
  <c r="R2192" i="5" s="1"/>
  <c r="L2193" i="5"/>
  <c r="R2193" i="5" s="1"/>
  <c r="L2194" i="5"/>
  <c r="R2194" i="5" s="1"/>
  <c r="L2195" i="5"/>
  <c r="R2195" i="5" s="1"/>
  <c r="L2196" i="5"/>
  <c r="R2196" i="5" s="1"/>
  <c r="L2197" i="5"/>
  <c r="R2197" i="5" s="1"/>
  <c r="L2198" i="5"/>
  <c r="R2198" i="5" s="1"/>
  <c r="L2199" i="5"/>
  <c r="R2199" i="5" s="1"/>
  <c r="L2200" i="5"/>
  <c r="R2200" i="5" s="1"/>
  <c r="BH2200" i="5" s="1"/>
  <c r="L2201" i="5"/>
  <c r="R2201" i="5" s="1"/>
  <c r="L2202" i="5"/>
  <c r="R2202" i="5" s="1"/>
  <c r="L2203" i="5"/>
  <c r="R2203" i="5" s="1"/>
  <c r="L2204" i="5"/>
  <c r="R2204" i="5" s="1"/>
  <c r="L2205" i="5"/>
  <c r="R2205" i="5" s="1"/>
  <c r="BH2205" i="5" s="1"/>
  <c r="L2206" i="5"/>
  <c r="R2206" i="5" s="1"/>
  <c r="BH2206" i="5" s="1"/>
  <c r="L2207" i="5"/>
  <c r="R2207" i="5" s="1"/>
  <c r="BH2207" i="5" s="1"/>
  <c r="L2208" i="5"/>
  <c r="R2208" i="5" s="1"/>
  <c r="BH2208" i="5" s="1"/>
  <c r="L2209" i="5"/>
  <c r="R2209" i="5" s="1"/>
  <c r="BH2209" i="5" s="1"/>
  <c r="L2210" i="5"/>
  <c r="R2210" i="5" s="1"/>
  <c r="L2211" i="5"/>
  <c r="R2211" i="5" s="1"/>
  <c r="L2212" i="5"/>
  <c r="R2212" i="5" s="1"/>
  <c r="BH2212" i="5" s="1"/>
  <c r="L2213" i="5"/>
  <c r="R2213" i="5" s="1"/>
  <c r="BH2213" i="5" s="1"/>
  <c r="L2214" i="5"/>
  <c r="R2214" i="5" s="1"/>
  <c r="L2215" i="5"/>
  <c r="R2215" i="5" s="1"/>
  <c r="BH2215" i="5" s="1"/>
  <c r="L2216" i="5"/>
  <c r="R2216" i="5" s="1"/>
  <c r="L2217" i="5"/>
  <c r="R2217" i="5" s="1"/>
  <c r="BH2217" i="5" s="1"/>
  <c r="L2218" i="5"/>
  <c r="R2218" i="5" s="1"/>
  <c r="BH2218" i="5" s="1"/>
  <c r="L2219" i="5"/>
  <c r="R2219" i="5" s="1"/>
  <c r="BH2219" i="5" s="1"/>
  <c r="L2220" i="5"/>
  <c r="R2220" i="5" s="1"/>
  <c r="BH2220" i="5" s="1"/>
  <c r="L2221" i="5"/>
  <c r="R2221" i="5" s="1"/>
  <c r="L2222" i="5"/>
  <c r="R2222" i="5" s="1"/>
  <c r="L2223" i="5"/>
  <c r="R2223" i="5" s="1"/>
  <c r="L2224" i="5"/>
  <c r="R2224" i="5" s="1"/>
  <c r="BH2224" i="5" s="1"/>
  <c r="L2225" i="5"/>
  <c r="R2225" i="5" s="1"/>
  <c r="L2226" i="5"/>
  <c r="R2226" i="5" s="1"/>
  <c r="L2227" i="5"/>
  <c r="R2227" i="5" s="1"/>
  <c r="L2228" i="5"/>
  <c r="R2228" i="5" s="1"/>
  <c r="BH2228" i="5" s="1"/>
  <c r="L2229" i="5"/>
  <c r="R2229" i="5" s="1"/>
  <c r="BH2229" i="5" s="1"/>
  <c r="L2230" i="5"/>
  <c r="R2230" i="5" s="1"/>
  <c r="BH2230" i="5" s="1"/>
  <c r="L2231" i="5"/>
  <c r="R2231" i="5" s="1"/>
  <c r="BH2231" i="5" s="1"/>
  <c r="L2232" i="5"/>
  <c r="R2232" i="5" s="1"/>
  <c r="BH2232" i="5" s="1"/>
  <c r="L2233" i="5"/>
  <c r="R2233" i="5" s="1"/>
  <c r="BH2233" i="5" s="1"/>
  <c r="L2234" i="5"/>
  <c r="R2234" i="5" s="1"/>
  <c r="L2235" i="5"/>
  <c r="R2235" i="5" s="1"/>
  <c r="L2236" i="5"/>
  <c r="R2236" i="5" s="1"/>
  <c r="BH2236" i="5" s="1"/>
  <c r="L2237" i="5"/>
  <c r="R2237" i="5" s="1"/>
  <c r="BH2237" i="5" s="1"/>
  <c r="L2238" i="5"/>
  <c r="R2238" i="5" s="1"/>
  <c r="L2239" i="5"/>
  <c r="R2239" i="5" s="1"/>
  <c r="BH2239" i="5" s="1"/>
  <c r="L2240" i="5"/>
  <c r="R2240" i="5" s="1"/>
  <c r="L2241" i="5"/>
  <c r="R2241" i="5" s="1"/>
  <c r="BH2241" i="5" s="1"/>
  <c r="L2242" i="5"/>
  <c r="R2242" i="5" s="1"/>
  <c r="BH2242" i="5" s="1"/>
  <c r="L2243" i="5"/>
  <c r="R2243" i="5" s="1"/>
  <c r="BH2243" i="5" s="1"/>
  <c r="L2244" i="5"/>
  <c r="R2244" i="5" s="1"/>
  <c r="BH2244" i="5" s="1"/>
  <c r="L2245" i="5"/>
  <c r="R2245" i="5" s="1"/>
  <c r="L2246" i="5"/>
  <c r="R2246" i="5" s="1"/>
  <c r="L2247" i="5"/>
  <c r="R2247" i="5" s="1"/>
  <c r="L2248" i="5"/>
  <c r="R2248" i="5" s="1"/>
  <c r="BH2248" i="5" s="1"/>
  <c r="L2249" i="5"/>
  <c r="R2249" i="5" s="1"/>
  <c r="L2250" i="5"/>
  <c r="R2250" i="5" s="1"/>
  <c r="L2251" i="5"/>
  <c r="R2251" i="5" s="1"/>
  <c r="L2252" i="5"/>
  <c r="R2252" i="5" s="1"/>
  <c r="BH2252" i="5" s="1"/>
  <c r="L2253" i="5"/>
  <c r="R2253" i="5" s="1"/>
  <c r="BH2253" i="5" s="1"/>
  <c r="L2254" i="5"/>
  <c r="R2254" i="5" s="1"/>
  <c r="BH2254" i="5" s="1"/>
  <c r="L2255" i="5"/>
  <c r="R2255" i="5" s="1"/>
  <c r="L2256" i="5"/>
  <c r="R2256" i="5" s="1"/>
  <c r="L2257" i="5"/>
  <c r="R2257" i="5" s="1"/>
  <c r="L2258" i="5"/>
  <c r="R2258" i="5" s="1"/>
  <c r="L2259" i="5"/>
  <c r="R2259" i="5" s="1"/>
  <c r="L2260" i="5"/>
  <c r="R2260" i="5" s="1"/>
  <c r="BH2260" i="5" s="1"/>
  <c r="L2261" i="5"/>
  <c r="R2261" i="5" s="1"/>
  <c r="L2262" i="5"/>
  <c r="R2262" i="5" s="1"/>
  <c r="BH2262" i="5" s="1"/>
  <c r="L2263" i="5"/>
  <c r="R2263" i="5" s="1"/>
  <c r="L2264" i="5"/>
  <c r="R2264" i="5" s="1"/>
  <c r="L2265" i="5"/>
  <c r="R2265" i="5" s="1"/>
  <c r="BH2265" i="5" s="1"/>
  <c r="L2266" i="5"/>
  <c r="R2266" i="5" s="1"/>
  <c r="L2267" i="5"/>
  <c r="R2267" i="5" s="1"/>
  <c r="L2268" i="5"/>
  <c r="R2268" i="5" s="1"/>
  <c r="L2269" i="5"/>
  <c r="R2269" i="5" s="1"/>
  <c r="BH2269" i="5" s="1"/>
  <c r="L2270" i="5"/>
  <c r="R2270" i="5" s="1"/>
  <c r="L2271" i="5"/>
  <c r="R2271" i="5" s="1"/>
  <c r="BH2271" i="5" s="1"/>
  <c r="L2272" i="5"/>
  <c r="R2272" i="5" s="1"/>
  <c r="BH2272" i="5" s="1"/>
  <c r="L2273" i="5"/>
  <c r="R2273" i="5" s="1"/>
  <c r="BH2273" i="5" s="1"/>
  <c r="L2274" i="5"/>
  <c r="R2274" i="5" s="1"/>
  <c r="BH2274" i="5" s="1"/>
  <c r="L2275" i="5"/>
  <c r="R2275" i="5" s="1"/>
  <c r="BH2275" i="5" s="1"/>
  <c r="L2276" i="5"/>
  <c r="R2276" i="5" s="1"/>
  <c r="BH2276" i="5" s="1"/>
  <c r="L2277" i="5"/>
  <c r="R2277" i="5" s="1"/>
  <c r="BH2277" i="5" s="1"/>
  <c r="L2278" i="5"/>
  <c r="R2278" i="5" s="1"/>
  <c r="BH2278" i="5" s="1"/>
  <c r="L2279" i="5"/>
  <c r="R2279" i="5" s="1"/>
  <c r="L2280" i="5"/>
  <c r="R2280" i="5" s="1"/>
  <c r="BH2280" i="5" s="1"/>
  <c r="L2281" i="5"/>
  <c r="R2281" i="5" s="1"/>
  <c r="BH2281" i="5" s="1"/>
  <c r="L2282" i="5"/>
  <c r="R2282" i="5" s="1"/>
  <c r="L2283" i="5"/>
  <c r="R2283" i="5" s="1"/>
  <c r="L2284" i="5"/>
  <c r="R2284" i="5" s="1"/>
  <c r="BH2284" i="5" s="1"/>
  <c r="L2285" i="5"/>
  <c r="R2285" i="5" s="1"/>
  <c r="BH2285" i="5" s="1"/>
  <c r="L2286" i="5"/>
  <c r="R2286" i="5" s="1"/>
  <c r="L2287" i="5"/>
  <c r="R2287" i="5" s="1"/>
  <c r="BH2287" i="5" s="1"/>
  <c r="L2288" i="5"/>
  <c r="R2288" i="5" s="1"/>
  <c r="L2289" i="5"/>
  <c r="R2289" i="5" s="1"/>
  <c r="BH2289" i="5" s="1"/>
  <c r="L2290" i="5"/>
  <c r="R2290" i="5" s="1"/>
  <c r="L2291" i="5"/>
  <c r="R2291" i="5" s="1"/>
  <c r="L2292" i="5"/>
  <c r="R2292" i="5" s="1"/>
  <c r="L2293" i="5"/>
  <c r="R2293" i="5" s="1"/>
  <c r="BH2293" i="5" s="1"/>
  <c r="L2294" i="5"/>
  <c r="R2294" i="5" s="1"/>
  <c r="L2295" i="5"/>
  <c r="R2295" i="5" s="1"/>
  <c r="L2296" i="5"/>
  <c r="R2296" i="5"/>
  <c r="L2297" i="5"/>
  <c r="R2297" i="5" s="1"/>
  <c r="L2298" i="5"/>
  <c r="R2298" i="5" s="1"/>
  <c r="BH2298" i="5" s="1"/>
  <c r="L2299" i="5"/>
  <c r="R2299" i="5" s="1"/>
  <c r="L2300" i="5"/>
  <c r="R2300" i="5" s="1"/>
  <c r="L2301" i="5"/>
  <c r="R2301" i="5" s="1"/>
  <c r="L2302" i="5"/>
  <c r="R2302" i="5" s="1"/>
  <c r="BH2302" i="5" s="1"/>
  <c r="L2303" i="5"/>
  <c r="R2303" i="5" s="1"/>
  <c r="L2304" i="5"/>
  <c r="R2304" i="5" s="1"/>
  <c r="BH2304" i="5" s="1"/>
  <c r="L2305" i="5"/>
  <c r="R2305" i="5" s="1"/>
  <c r="L2306" i="5"/>
  <c r="R2306" i="5" s="1"/>
  <c r="BH2306" i="5" s="1"/>
  <c r="L2307" i="5"/>
  <c r="R2307" i="5" s="1"/>
  <c r="L2308" i="5"/>
  <c r="R2308" i="5" s="1"/>
  <c r="BH2308" i="5" s="1"/>
  <c r="L2309" i="5"/>
  <c r="R2309" i="5" s="1"/>
  <c r="BH2309" i="5" s="1"/>
  <c r="L2310" i="5"/>
  <c r="R2310" i="5" s="1"/>
  <c r="L2311" i="5"/>
  <c r="R2311" i="5" s="1"/>
  <c r="L2312" i="5"/>
  <c r="R2312" i="5" s="1"/>
  <c r="L2313" i="5"/>
  <c r="R2313" i="5" s="1"/>
  <c r="L2314" i="5"/>
  <c r="R2314" i="5"/>
  <c r="L2315" i="5"/>
  <c r="R2315" i="5" s="1"/>
  <c r="L2316" i="5"/>
  <c r="R2316" i="5" s="1"/>
  <c r="L2317" i="5"/>
  <c r="R2317" i="5" s="1"/>
  <c r="BH2317" i="5" s="1"/>
  <c r="L2318" i="5"/>
  <c r="R2318" i="5" s="1"/>
  <c r="BH2318" i="5" s="1"/>
  <c r="L2319" i="5"/>
  <c r="R2319" i="5" s="1"/>
  <c r="BH2319" i="5" s="1"/>
  <c r="L2320" i="5"/>
  <c r="R2320" i="5" s="1"/>
  <c r="BH2320" i="5" s="1"/>
  <c r="L2321" i="5"/>
  <c r="R2321" i="5" s="1"/>
  <c r="BH2321" i="5" s="1"/>
  <c r="L2322" i="5"/>
  <c r="R2322" i="5" s="1"/>
  <c r="L2323" i="5"/>
  <c r="R2323" i="5" s="1"/>
  <c r="L2324" i="5"/>
  <c r="R2324" i="5" s="1"/>
  <c r="L2325" i="5"/>
  <c r="R2325" i="5" s="1"/>
  <c r="BH2325" i="5" s="1"/>
  <c r="L2326" i="5"/>
  <c r="R2326" i="5" s="1"/>
  <c r="BH2326" i="5" s="1"/>
  <c r="L2327" i="5"/>
  <c r="R2327" i="5" s="1"/>
  <c r="BH2327" i="5" s="1"/>
  <c r="L2328" i="5"/>
  <c r="R2328" i="5"/>
  <c r="BH2328" i="5" s="1"/>
  <c r="L2329" i="5"/>
  <c r="R2329" i="5" s="1"/>
  <c r="BH2329" i="5" s="1"/>
  <c r="L2330" i="5"/>
  <c r="R2330" i="5" s="1"/>
  <c r="BH2330" i="5" s="1"/>
  <c r="L2331" i="5"/>
  <c r="R2331" i="5" s="1"/>
  <c r="BH2331" i="5" s="1"/>
  <c r="L2332" i="5"/>
  <c r="R2332" i="5" s="1"/>
  <c r="BH2332" i="5" s="1"/>
  <c r="L2333" i="5"/>
  <c r="R2333" i="5" s="1"/>
  <c r="BH2333" i="5" s="1"/>
  <c r="L2334" i="5"/>
  <c r="R2334" i="5" s="1"/>
  <c r="BH2334" i="5" s="1"/>
  <c r="L2335" i="5"/>
  <c r="R2335" i="5" s="1"/>
  <c r="BH2335" i="5" s="1"/>
  <c r="L2336" i="5"/>
  <c r="R2336" i="5" s="1"/>
  <c r="BH2336" i="5" s="1"/>
  <c r="L2337" i="5"/>
  <c r="R2337" i="5" s="1"/>
  <c r="BH2337" i="5" s="1"/>
  <c r="L2338" i="5"/>
  <c r="R2338" i="5" s="1"/>
  <c r="BH2338" i="5" s="1"/>
  <c r="L2339" i="5"/>
  <c r="R2339" i="5" s="1"/>
  <c r="BH2339" i="5" s="1"/>
  <c r="L2340" i="5"/>
  <c r="R2340" i="5"/>
  <c r="BH2340" i="5" s="1"/>
  <c r="L2341" i="5"/>
  <c r="R2341" i="5" s="1"/>
  <c r="BH2341" i="5" s="1"/>
  <c r="L2342" i="5"/>
  <c r="R2342" i="5" s="1"/>
  <c r="BH2342" i="5" s="1"/>
  <c r="L2343" i="5"/>
  <c r="R2343" i="5"/>
  <c r="BH2343" i="5" s="1"/>
  <c r="L2344" i="5"/>
  <c r="R2344" i="5" s="1"/>
  <c r="BH2344" i="5" s="1"/>
  <c r="L2345" i="5"/>
  <c r="R2345" i="5" s="1"/>
  <c r="BH2345" i="5" s="1"/>
  <c r="L2346" i="5"/>
  <c r="R2346" i="5"/>
  <c r="BH2346" i="5" s="1"/>
  <c r="L2347" i="5"/>
  <c r="R2347" i="5" s="1"/>
  <c r="BH2347" i="5" s="1"/>
  <c r="L2348" i="5"/>
  <c r="R2348" i="5" s="1"/>
  <c r="BH2348" i="5" s="1"/>
  <c r="L2349" i="5"/>
  <c r="R2349" i="5" s="1"/>
  <c r="BH2349" i="5" s="1"/>
  <c r="L2350" i="5"/>
  <c r="R2350" i="5" s="1"/>
  <c r="BH2350" i="5" s="1"/>
  <c r="L2351" i="5"/>
  <c r="R2351" i="5" s="1"/>
  <c r="BH2351" i="5" s="1"/>
  <c r="L2352" i="5"/>
  <c r="R2352" i="5" s="1"/>
  <c r="BH2352" i="5" s="1"/>
  <c r="L2353" i="5"/>
  <c r="R2353" i="5" s="1"/>
  <c r="BH2353" i="5" s="1"/>
  <c r="L2354" i="5"/>
  <c r="R2354" i="5" s="1"/>
  <c r="BH2354" i="5" s="1"/>
  <c r="L2355" i="5"/>
  <c r="R2355" i="5" s="1"/>
  <c r="BH2355" i="5" s="1"/>
  <c r="L2356" i="5"/>
  <c r="R2356" i="5" s="1"/>
  <c r="BH2356" i="5" s="1"/>
  <c r="L2357" i="5"/>
  <c r="R2357" i="5" s="1"/>
  <c r="BH2357" i="5" s="1"/>
  <c r="L2358" i="5"/>
  <c r="R2358" i="5" s="1"/>
  <c r="BH2358" i="5" s="1"/>
  <c r="L2359" i="5"/>
  <c r="R2359" i="5" s="1"/>
  <c r="BH2359" i="5" s="1"/>
  <c r="L2360" i="5"/>
  <c r="R2360" i="5" s="1"/>
  <c r="BH2360" i="5" s="1"/>
  <c r="L2361" i="5"/>
  <c r="R2361" i="5" s="1"/>
  <c r="BH2361" i="5" s="1"/>
  <c r="L2362" i="5"/>
  <c r="R2362" i="5" s="1"/>
  <c r="BH2362" i="5" s="1"/>
  <c r="L2363" i="5"/>
  <c r="R2363" i="5" s="1"/>
  <c r="BH2363" i="5" s="1"/>
  <c r="L2364" i="5"/>
  <c r="R2364" i="5" s="1"/>
  <c r="BH2364" i="5" s="1"/>
  <c r="L2365" i="5"/>
  <c r="R2365" i="5" s="1"/>
  <c r="BH2365" i="5" s="1"/>
  <c r="L2366" i="5"/>
  <c r="R2366" i="5" s="1"/>
  <c r="BH2366" i="5" s="1"/>
  <c r="L2367" i="5"/>
  <c r="R2367" i="5" s="1"/>
  <c r="BH2367" i="5" s="1"/>
  <c r="L2368" i="5"/>
  <c r="R2368" i="5" s="1"/>
  <c r="BH2368" i="5" s="1"/>
  <c r="L2369" i="5"/>
  <c r="R2369" i="5" s="1"/>
  <c r="BH2369" i="5" s="1"/>
  <c r="L2370" i="5"/>
  <c r="R2370" i="5" s="1"/>
  <c r="BH2370" i="5" s="1"/>
  <c r="L2371" i="5"/>
  <c r="R2371" i="5" s="1"/>
  <c r="BH2371" i="5" s="1"/>
  <c r="L2372" i="5"/>
  <c r="R2372" i="5" s="1"/>
  <c r="BH2372" i="5" s="1"/>
  <c r="L2373" i="5"/>
  <c r="R2373" i="5" s="1"/>
  <c r="BH2373" i="5" s="1"/>
  <c r="L2374" i="5"/>
  <c r="R2374" i="5" s="1"/>
  <c r="BH2374" i="5" s="1"/>
  <c r="L2375" i="5"/>
  <c r="R2375" i="5" s="1"/>
  <c r="BH2375" i="5" s="1"/>
  <c r="L2376" i="5"/>
  <c r="R2376" i="5" s="1"/>
  <c r="BH2376" i="5" s="1"/>
  <c r="L2377" i="5"/>
  <c r="R2377" i="5" s="1"/>
  <c r="BH2377" i="5" s="1"/>
  <c r="L2378" i="5"/>
  <c r="R2378" i="5" s="1"/>
  <c r="BH2378" i="5" s="1"/>
  <c r="L2379" i="5"/>
  <c r="R2379" i="5"/>
  <c r="BH2379" i="5" s="1"/>
  <c r="L2380" i="5"/>
  <c r="R2380" i="5" s="1"/>
  <c r="BH2380" i="5" s="1"/>
  <c r="L2381" i="5"/>
  <c r="R2381" i="5" s="1"/>
  <c r="BH2381" i="5" s="1"/>
  <c r="L2382" i="5"/>
  <c r="R2382" i="5" s="1"/>
  <c r="L2383" i="5"/>
  <c r="R2383" i="5" s="1"/>
  <c r="BH2383" i="5" s="1"/>
  <c r="L2384" i="5"/>
  <c r="R2384" i="5" s="1"/>
  <c r="BH2384" i="5" s="1"/>
  <c r="L2385" i="5"/>
  <c r="R2385" i="5" s="1"/>
  <c r="L2386" i="5"/>
  <c r="R2386" i="5" s="1"/>
  <c r="BH2386" i="5" s="1"/>
  <c r="L2387" i="5"/>
  <c r="R2387" i="5" s="1"/>
  <c r="BH2387" i="5" s="1"/>
  <c r="L2388" i="5"/>
  <c r="R2388" i="5"/>
  <c r="BH2388" i="5" s="1"/>
  <c r="L2389" i="5"/>
  <c r="R2389" i="5" s="1"/>
  <c r="BH2389" i="5" s="1"/>
  <c r="L2390" i="5"/>
  <c r="R2390" i="5" s="1"/>
  <c r="BH2390" i="5" s="1"/>
  <c r="L2391" i="5"/>
  <c r="R2391" i="5" s="1"/>
  <c r="BH2391" i="5" s="1"/>
  <c r="L2392" i="5"/>
  <c r="R2392" i="5" s="1"/>
  <c r="BH2392" i="5" s="1"/>
  <c r="L2393" i="5"/>
  <c r="R2393" i="5" s="1"/>
  <c r="BH2393" i="5" s="1"/>
  <c r="L2394" i="5"/>
  <c r="R2394" i="5" s="1"/>
  <c r="BH2394" i="5" s="1"/>
  <c r="L2395" i="5"/>
  <c r="R2395" i="5" s="1"/>
  <c r="BH2395" i="5" s="1"/>
  <c r="L2396" i="5"/>
  <c r="R2396" i="5" s="1"/>
  <c r="BH2396" i="5" s="1"/>
  <c r="L2397" i="5"/>
  <c r="R2397" i="5" s="1"/>
  <c r="BH2397" i="5" s="1"/>
  <c r="L2398" i="5"/>
  <c r="R2398" i="5" s="1"/>
  <c r="BH2398" i="5" s="1"/>
  <c r="L2399" i="5"/>
  <c r="R2399" i="5" s="1"/>
  <c r="BH2399" i="5" s="1"/>
  <c r="L2400" i="5"/>
  <c r="R2400" i="5" s="1"/>
  <c r="BH2400" i="5" s="1"/>
  <c r="L2401" i="5"/>
  <c r="R2401" i="5" s="1"/>
  <c r="BH2401" i="5" s="1"/>
  <c r="L2402" i="5"/>
  <c r="R2402" i="5" s="1"/>
  <c r="BH2402" i="5" s="1"/>
  <c r="L2403" i="5"/>
  <c r="R2403" i="5" s="1"/>
  <c r="BH2403" i="5" s="1"/>
  <c r="L2404" i="5"/>
  <c r="R2404" i="5" s="1"/>
  <c r="BH2404" i="5" s="1"/>
  <c r="L2405" i="5"/>
  <c r="R2405" i="5" s="1"/>
  <c r="BH2405" i="5" s="1"/>
  <c r="L2406" i="5"/>
  <c r="R2406" i="5"/>
  <c r="L2407" i="5"/>
  <c r="R2407" i="5" s="1"/>
  <c r="BH2407" i="5" s="1"/>
  <c r="L2408" i="5"/>
  <c r="R2408" i="5" s="1"/>
  <c r="BH2408" i="5" s="1"/>
  <c r="L2409" i="5"/>
  <c r="R2409" i="5" s="1"/>
  <c r="BH2409" i="5" s="1"/>
  <c r="L2410" i="5"/>
  <c r="R2410" i="5" s="1"/>
  <c r="BH2410" i="5" s="1"/>
  <c r="L2411" i="5"/>
  <c r="R2411" i="5" s="1"/>
  <c r="BH2411" i="5" s="1"/>
  <c r="L2412" i="5"/>
  <c r="R2412" i="5" s="1"/>
  <c r="BH2412" i="5" s="1"/>
  <c r="L2413" i="5"/>
  <c r="R2413" i="5" s="1"/>
  <c r="BH2413" i="5" s="1"/>
  <c r="L2414" i="5"/>
  <c r="R2414" i="5" s="1"/>
  <c r="BH2414" i="5" s="1"/>
  <c r="L2415" i="5"/>
  <c r="R2415" i="5" s="1"/>
  <c r="BH2415" i="5" s="1"/>
  <c r="L2416" i="5"/>
  <c r="R2416" i="5" s="1"/>
  <c r="BH2416" i="5" s="1"/>
  <c r="L2417" i="5"/>
  <c r="R2417" i="5" s="1"/>
  <c r="BH2417" i="5" s="1"/>
  <c r="L2418" i="5"/>
  <c r="R2418" i="5" s="1"/>
  <c r="BH2418" i="5" s="1"/>
  <c r="L2419" i="5"/>
  <c r="R2419" i="5" s="1"/>
  <c r="BH2419" i="5" s="1"/>
  <c r="L2420" i="5"/>
  <c r="R2420" i="5" s="1"/>
  <c r="BH2420" i="5" s="1"/>
  <c r="L2421" i="5"/>
  <c r="R2421" i="5" s="1"/>
  <c r="BH2421" i="5" s="1"/>
  <c r="L2422" i="5"/>
  <c r="R2422" i="5" s="1"/>
  <c r="BH2422" i="5" s="1"/>
  <c r="L2423" i="5"/>
  <c r="R2423" i="5" s="1"/>
  <c r="BH2423" i="5" s="1"/>
  <c r="L2424" i="5"/>
  <c r="R2424" i="5" s="1"/>
  <c r="BH2424" i="5" s="1"/>
  <c r="L2425" i="5"/>
  <c r="R2425" i="5" s="1"/>
  <c r="BH2425" i="5" s="1"/>
  <c r="L2426" i="5"/>
  <c r="R2426" i="5" s="1"/>
  <c r="BH2426" i="5" s="1"/>
  <c r="L2427" i="5"/>
  <c r="R2427" i="5" s="1"/>
  <c r="BH2427" i="5" s="1"/>
  <c r="L2428" i="5"/>
  <c r="R2428" i="5" s="1"/>
  <c r="BH2428" i="5" s="1"/>
  <c r="L2429" i="5"/>
  <c r="R2429" i="5" s="1"/>
  <c r="BH2429" i="5" s="1"/>
  <c r="L2430" i="5"/>
  <c r="R2430" i="5"/>
  <c r="BH2430" i="5" s="1"/>
  <c r="L2431" i="5"/>
  <c r="R2431" i="5" s="1"/>
  <c r="BH2431" i="5" s="1"/>
  <c r="L2432" i="5"/>
  <c r="R2432" i="5" s="1"/>
  <c r="BH2432" i="5" s="1"/>
  <c r="L2433" i="5"/>
  <c r="R2433" i="5" s="1"/>
  <c r="BH2433" i="5" s="1"/>
  <c r="L2434" i="5"/>
  <c r="R2434" i="5" s="1"/>
  <c r="BH2434" i="5" s="1"/>
  <c r="L2435" i="5"/>
  <c r="R2435" i="5" s="1"/>
  <c r="BH2435" i="5" s="1"/>
  <c r="L2436" i="5"/>
  <c r="R2436" i="5" s="1"/>
  <c r="BH2436" i="5" s="1"/>
  <c r="L2437" i="5"/>
  <c r="R2437" i="5" s="1"/>
  <c r="BH2437" i="5" s="1"/>
  <c r="L2438" i="5"/>
  <c r="R2438" i="5" s="1"/>
  <c r="BH2438" i="5" s="1"/>
  <c r="L2439" i="5"/>
  <c r="R2439" i="5" s="1"/>
  <c r="BH2439" i="5" s="1"/>
  <c r="L2440" i="5"/>
  <c r="R2440" i="5" s="1"/>
  <c r="BH2440" i="5" s="1"/>
  <c r="L2441" i="5"/>
  <c r="R2441" i="5" s="1"/>
  <c r="BH2441" i="5" s="1"/>
  <c r="L2442" i="5"/>
  <c r="R2442" i="5" s="1"/>
  <c r="BH2442" i="5" s="1"/>
  <c r="L2443" i="5"/>
  <c r="R2443" i="5" s="1"/>
  <c r="BH2443" i="5" s="1"/>
  <c r="L2444" i="5"/>
  <c r="R2444" i="5" s="1"/>
  <c r="BH2444" i="5" s="1"/>
  <c r="L2445" i="5"/>
  <c r="R2445" i="5" s="1"/>
  <c r="BH2445" i="5" s="1"/>
  <c r="L2446" i="5"/>
  <c r="R2446" i="5" s="1"/>
  <c r="BH2446" i="5" s="1"/>
  <c r="L2447" i="5"/>
  <c r="R2447" i="5" s="1"/>
  <c r="BH2447" i="5" s="1"/>
  <c r="L2448" i="5"/>
  <c r="R2448" i="5" s="1"/>
  <c r="BH2448" i="5" s="1"/>
  <c r="L2449" i="5"/>
  <c r="R2449" i="5" s="1"/>
  <c r="BH2449" i="5" s="1"/>
  <c r="L2450" i="5"/>
  <c r="R2450" i="5" s="1"/>
  <c r="BH2450" i="5" s="1"/>
  <c r="L2451" i="5"/>
  <c r="R2451" i="5" s="1"/>
  <c r="BH2451" i="5" s="1"/>
  <c r="L2452" i="5"/>
  <c r="R2452" i="5" s="1"/>
  <c r="BH2452" i="5" s="1"/>
  <c r="L2453" i="5"/>
  <c r="R2453" i="5" s="1"/>
  <c r="BH2453" i="5" s="1"/>
  <c r="L2454" i="5"/>
  <c r="R2454" i="5" s="1"/>
  <c r="BH2454" i="5" s="1"/>
  <c r="L2455" i="5"/>
  <c r="R2455" i="5" s="1"/>
  <c r="BH2455" i="5" s="1"/>
  <c r="L2456" i="5"/>
  <c r="R2456" i="5" s="1"/>
  <c r="BH2456" i="5" s="1"/>
  <c r="L2457" i="5"/>
  <c r="R2457" i="5" s="1"/>
  <c r="BH2457" i="5" s="1"/>
  <c r="L2458" i="5"/>
  <c r="R2458" i="5" s="1"/>
  <c r="BH2458" i="5" s="1"/>
  <c r="L2459" i="5"/>
  <c r="R2459" i="5" s="1"/>
  <c r="BH2459" i="5" s="1"/>
  <c r="L2460" i="5"/>
  <c r="R2460" i="5" s="1"/>
  <c r="BH2460" i="5" s="1"/>
  <c r="L2461" i="5"/>
  <c r="R2461" i="5" s="1"/>
  <c r="BH2461" i="5" s="1"/>
  <c r="L2462" i="5"/>
  <c r="R2462" i="5" s="1"/>
  <c r="BH2462" i="5" s="1"/>
  <c r="L2463" i="5"/>
  <c r="R2463" i="5" s="1"/>
  <c r="BH2463" i="5" s="1"/>
  <c r="L2464" i="5"/>
  <c r="R2464" i="5" s="1"/>
  <c r="BH2464" i="5" s="1"/>
  <c r="L2465" i="5"/>
  <c r="R2465" i="5" s="1"/>
  <c r="BH2465" i="5" s="1"/>
  <c r="L2466" i="5"/>
  <c r="R2466" i="5"/>
  <c r="BH2466" i="5" s="1"/>
  <c r="L2467" i="5"/>
  <c r="R2467" i="5" s="1"/>
  <c r="BH2467" i="5" s="1"/>
  <c r="L2468" i="5"/>
  <c r="R2468" i="5" s="1"/>
  <c r="BH2468" i="5" s="1"/>
  <c r="L2469" i="5"/>
  <c r="R2469" i="5" s="1"/>
  <c r="BH2469" i="5" s="1"/>
  <c r="L2470" i="5"/>
  <c r="R2470" i="5" s="1"/>
  <c r="BH2470" i="5" s="1"/>
  <c r="L2471" i="5"/>
  <c r="R2471" i="5" s="1"/>
  <c r="BH2471" i="5" s="1"/>
  <c r="L2472" i="5"/>
  <c r="R2472" i="5" s="1"/>
  <c r="L2473" i="5"/>
  <c r="R2473" i="5" s="1"/>
  <c r="BH2473" i="5" s="1"/>
  <c r="L2474" i="5"/>
  <c r="R2474" i="5" s="1"/>
  <c r="BH2474" i="5" s="1"/>
  <c r="L2475" i="5"/>
  <c r="R2475" i="5" s="1"/>
  <c r="BH2475" i="5" s="1"/>
  <c r="L2476" i="5"/>
  <c r="R2476" i="5" s="1"/>
  <c r="BH2476" i="5" s="1"/>
  <c r="L2477" i="5"/>
  <c r="R2477" i="5" s="1"/>
  <c r="BH2477" i="5" s="1"/>
  <c r="L2478" i="5"/>
  <c r="R2478" i="5" s="1"/>
  <c r="BH2478" i="5" s="1"/>
  <c r="L2479" i="5"/>
  <c r="R2479" i="5" s="1"/>
  <c r="BH2479" i="5" s="1"/>
  <c r="L2480" i="5"/>
  <c r="R2480" i="5" s="1"/>
  <c r="BH2480" i="5" s="1"/>
  <c r="L2481" i="5"/>
  <c r="R2481" i="5" s="1"/>
  <c r="BH2481" i="5" s="1"/>
  <c r="L2482" i="5"/>
  <c r="R2482" i="5" s="1"/>
  <c r="BH2482" i="5" s="1"/>
  <c r="L2483" i="5"/>
  <c r="R2483" i="5" s="1"/>
  <c r="BH2483" i="5" s="1"/>
  <c r="L2484" i="5"/>
  <c r="R2484" i="5"/>
  <c r="L2485" i="5"/>
  <c r="R2485" i="5" s="1"/>
  <c r="BH2485" i="5" s="1"/>
  <c r="L2486" i="5"/>
  <c r="R2486" i="5" s="1"/>
  <c r="BH2486" i="5" s="1"/>
  <c r="L2487" i="5"/>
  <c r="R2487" i="5" s="1"/>
  <c r="BH2487" i="5" s="1"/>
  <c r="L2488" i="5"/>
  <c r="R2488" i="5" s="1"/>
  <c r="BH2488" i="5" s="1"/>
  <c r="L2489" i="5"/>
  <c r="R2489" i="5" s="1"/>
  <c r="BH2489" i="5" s="1"/>
  <c r="L2490" i="5"/>
  <c r="R2490" i="5" s="1"/>
  <c r="BH2490" i="5" s="1"/>
  <c r="L2491" i="5"/>
  <c r="R2491" i="5" s="1"/>
  <c r="BH2491" i="5" s="1"/>
  <c r="L2492" i="5"/>
  <c r="R2492" i="5" s="1"/>
  <c r="BH2492" i="5" s="1"/>
  <c r="L2493" i="5"/>
  <c r="R2493" i="5" s="1"/>
  <c r="BH2493" i="5" s="1"/>
  <c r="L2494" i="5"/>
  <c r="R2494" i="5" s="1"/>
  <c r="BH2494" i="5" s="1"/>
  <c r="L2495" i="5"/>
  <c r="R2495" i="5" s="1"/>
  <c r="BH2495" i="5" s="1"/>
  <c r="L2496" i="5"/>
  <c r="R2496" i="5" s="1"/>
  <c r="L2497" i="5"/>
  <c r="R2497" i="5" s="1"/>
  <c r="BH2497" i="5" s="1"/>
  <c r="L2498" i="5"/>
  <c r="R2498" i="5" s="1"/>
  <c r="BH2498" i="5" s="1"/>
  <c r="L2499" i="5"/>
  <c r="R2499" i="5" s="1"/>
  <c r="BH2499" i="5" s="1"/>
  <c r="L2500" i="5"/>
  <c r="R2500" i="5" s="1"/>
  <c r="BH2500" i="5" s="1"/>
  <c r="L2501" i="5"/>
  <c r="R2501" i="5" s="1"/>
  <c r="BH2501" i="5" s="1"/>
  <c r="L2502" i="5"/>
  <c r="R2502" i="5" s="1"/>
  <c r="BH2502" i="5" s="1"/>
  <c r="L2503" i="5"/>
  <c r="R2503" i="5" s="1"/>
  <c r="BH2503" i="5" s="1"/>
  <c r="L2504" i="5"/>
  <c r="R2504" i="5" s="1"/>
  <c r="BH2504" i="5" s="1"/>
  <c r="L2505" i="5"/>
  <c r="R2505" i="5" s="1"/>
  <c r="BH2505" i="5" s="1"/>
  <c r="L2506" i="5"/>
  <c r="R2506" i="5" s="1"/>
  <c r="BH2506" i="5" s="1"/>
  <c r="L2507" i="5"/>
  <c r="R2507" i="5" s="1"/>
  <c r="BH2507" i="5" s="1"/>
  <c r="L2508" i="5"/>
  <c r="R2508" i="5" s="1"/>
  <c r="BH2508" i="5" s="1"/>
  <c r="L2509" i="5"/>
  <c r="R2509" i="5" s="1"/>
  <c r="BH2509" i="5" s="1"/>
  <c r="L2510" i="5"/>
  <c r="R2510" i="5" s="1"/>
  <c r="BH2510" i="5" s="1"/>
  <c r="L2511" i="5"/>
  <c r="R2511" i="5" s="1"/>
  <c r="BH2511" i="5" s="1"/>
  <c r="L2512" i="5"/>
  <c r="R2512" i="5" s="1"/>
  <c r="BH2512" i="5" s="1"/>
  <c r="L2513" i="5"/>
  <c r="R2513" i="5" s="1"/>
  <c r="BH2513" i="5" s="1"/>
  <c r="L2514" i="5"/>
  <c r="R2514" i="5" s="1"/>
  <c r="BH2514" i="5" s="1"/>
  <c r="L2515" i="5"/>
  <c r="R2515" i="5" s="1"/>
  <c r="BH2515" i="5" s="1"/>
  <c r="L2516" i="5"/>
  <c r="R2516" i="5" s="1"/>
  <c r="BH2516" i="5" s="1"/>
  <c r="BH54" i="5"/>
  <c r="BH70" i="5"/>
  <c r="BH78" i="5"/>
  <c r="BH94" i="5"/>
  <c r="BH102" i="5"/>
  <c r="BH103" i="5"/>
  <c r="BH118" i="5"/>
  <c r="BH142" i="5"/>
  <c r="BH166" i="5"/>
  <c r="BH190" i="5"/>
  <c r="BH197" i="5"/>
  <c r="BH207" i="5"/>
  <c r="BH214" i="5"/>
  <c r="BH224" i="5"/>
  <c r="BH260" i="5"/>
  <c r="BH261" i="5"/>
  <c r="BH279" i="5"/>
  <c r="BH308" i="5"/>
  <c r="BH309" i="5"/>
  <c r="BH317" i="5"/>
  <c r="BH326" i="5"/>
  <c r="BH335" i="5"/>
  <c r="BH351" i="5"/>
  <c r="BH388" i="5"/>
  <c r="BH399" i="5"/>
  <c r="BH401" i="5"/>
  <c r="BH410" i="5"/>
  <c r="BH422" i="5"/>
  <c r="BH439" i="5"/>
  <c r="BH440" i="5"/>
  <c r="BH459" i="5"/>
  <c r="BH501" i="5"/>
  <c r="BH512" i="5"/>
  <c r="BH551" i="5"/>
  <c r="BH626" i="5"/>
  <c r="BH627" i="5"/>
  <c r="BH644" i="5"/>
  <c r="BH645" i="5"/>
  <c r="BH656" i="5"/>
  <c r="BH681" i="5"/>
  <c r="BH682" i="5"/>
  <c r="BH683" i="5"/>
  <c r="BH691" i="5"/>
  <c r="BH701" i="5"/>
  <c r="BH745" i="5"/>
  <c r="BH848" i="5"/>
  <c r="BH867" i="5"/>
  <c r="BH884" i="5"/>
  <c r="BH910" i="5"/>
  <c r="BH921" i="5"/>
  <c r="BH928" i="5"/>
  <c r="BH1007" i="5"/>
  <c r="BH1015" i="5"/>
  <c r="BH1103" i="5"/>
  <c r="BH1104" i="5"/>
  <c r="BH1124" i="5"/>
  <c r="BH1151" i="5"/>
  <c r="BH1152" i="5"/>
  <c r="BH1188" i="5"/>
  <c r="BH1193" i="5"/>
  <c r="BH1226" i="5"/>
  <c r="BH1236" i="5"/>
  <c r="BH1237" i="5"/>
  <c r="BH1265" i="5"/>
  <c r="BH1331" i="5"/>
  <c r="BH1373" i="5"/>
  <c r="BH1393" i="5"/>
  <c r="BH1414" i="5"/>
  <c r="BH1457" i="5"/>
  <c r="BH1498" i="5"/>
  <c r="BH1505" i="5"/>
  <c r="BH1506" i="5"/>
  <c r="BH1507" i="5"/>
  <c r="BH1527" i="5"/>
  <c r="BH1534" i="5"/>
  <c r="BH1559" i="5"/>
  <c r="BH1569" i="5"/>
  <c r="BH1571" i="5"/>
  <c r="BH1579" i="5"/>
  <c r="BH1596" i="5"/>
  <c r="BH1605" i="5"/>
  <c r="BH1619" i="5"/>
  <c r="BH1623" i="5"/>
  <c r="BH1627" i="5"/>
  <c r="BH1632" i="5"/>
  <c r="BH1676" i="5"/>
  <c r="BH1677" i="5"/>
  <c r="BH1687" i="5"/>
  <c r="BH1688" i="5"/>
  <c r="BH1690" i="5"/>
  <c r="BH1697" i="5"/>
  <c r="BH1733" i="5"/>
  <c r="BH1744" i="5"/>
  <c r="BH1754" i="5"/>
  <c r="BH1769" i="5"/>
  <c r="BH1774" i="5"/>
  <c r="BH1802" i="5"/>
  <c r="BH1813" i="5"/>
  <c r="BH1885" i="5"/>
  <c r="BH1892" i="5"/>
  <c r="BH1901" i="5"/>
  <c r="BH1949" i="5"/>
  <c r="BH1970" i="5"/>
  <c r="BH1989" i="5"/>
  <c r="BH1999" i="5"/>
  <c r="BH2001" i="5"/>
  <c r="BH2005" i="5"/>
  <c r="BH2025" i="5"/>
  <c r="BH2042" i="5"/>
  <c r="BH2054" i="5"/>
  <c r="BH2059" i="5"/>
  <c r="BH2065" i="5"/>
  <c r="BH2075" i="5"/>
  <c r="BH2084" i="5"/>
  <c r="BH2085" i="5"/>
  <c r="BH2088" i="5"/>
  <c r="BH2102" i="5"/>
  <c r="BH2107" i="5"/>
  <c r="BH2112" i="5"/>
  <c r="BH2116" i="5"/>
  <c r="BH2119" i="5"/>
  <c r="BH2124" i="5"/>
  <c r="BH2131" i="5"/>
  <c r="BH2132" i="5"/>
  <c r="BH2136" i="5"/>
  <c r="BH2143" i="5"/>
  <c r="BH2144" i="5"/>
  <c r="BH2153" i="5"/>
  <c r="BH2156" i="5"/>
  <c r="BH2172" i="5"/>
  <c r="BH2173" i="5"/>
  <c r="BH2178" i="5"/>
  <c r="BH2194" i="5"/>
  <c r="BH2195" i="5"/>
  <c r="BH2196" i="5"/>
  <c r="BH2197" i="5"/>
  <c r="BH2201" i="5"/>
  <c r="BH2202" i="5"/>
  <c r="BH2214" i="5"/>
  <c r="BH2216" i="5"/>
  <c r="BH2225" i="5"/>
  <c r="BH2226" i="5"/>
  <c r="BH2238" i="5"/>
  <c r="BH2246" i="5"/>
  <c r="BH2247" i="5"/>
  <c r="BH2249" i="5"/>
  <c r="BH2250" i="5"/>
  <c r="BH2255" i="5"/>
  <c r="BH2259" i="5"/>
  <c r="BH2261" i="5"/>
  <c r="BH2263" i="5"/>
  <c r="BH2270" i="5"/>
  <c r="BH2279" i="5"/>
  <c r="BH2283" i="5"/>
  <c r="BH2286" i="5"/>
  <c r="BH2290" i="5"/>
  <c r="BH2291" i="5"/>
  <c r="BH2294" i="5"/>
  <c r="BH2295" i="5"/>
  <c r="BH2296" i="5"/>
  <c r="BH2297" i="5"/>
  <c r="BH2301" i="5"/>
  <c r="BH2303" i="5"/>
  <c r="BH2305" i="5"/>
  <c r="BH2307" i="5"/>
  <c r="BH2311" i="5"/>
  <c r="BH2312" i="5"/>
  <c r="BH2315" i="5"/>
  <c r="BH2323" i="5"/>
  <c r="BH2324" i="5"/>
  <c r="BH2385" i="5"/>
  <c r="BI2" i="5"/>
  <c r="BJ2" i="5"/>
  <c r="BH3" i="5"/>
  <c r="BI3" i="5"/>
  <c r="BJ3" i="5"/>
  <c r="BH4" i="5"/>
  <c r="BI4" i="5"/>
  <c r="BJ4" i="5"/>
  <c r="BH5" i="5"/>
  <c r="BI5" i="5"/>
  <c r="BJ5" i="5"/>
  <c r="BH6" i="5"/>
  <c r="BI6" i="5"/>
  <c r="BJ6" i="5"/>
  <c r="BH7" i="5"/>
  <c r="BI7" i="5"/>
  <c r="BJ7" i="5"/>
  <c r="BI8" i="5"/>
  <c r="BJ8" i="5"/>
  <c r="BI9" i="5"/>
  <c r="BJ9" i="5"/>
  <c r="BH10" i="5"/>
  <c r="BI10" i="5"/>
  <c r="BJ10" i="5"/>
  <c r="BH11" i="5"/>
  <c r="BI11" i="5"/>
  <c r="BJ11" i="5"/>
  <c r="BI12" i="5"/>
  <c r="BJ12" i="5"/>
  <c r="BH13" i="5"/>
  <c r="BI13" i="5"/>
  <c r="BJ13" i="5"/>
  <c r="BH14" i="5"/>
  <c r="BI14" i="5"/>
  <c r="BJ14" i="5"/>
  <c r="BH15" i="5"/>
  <c r="BI15" i="5"/>
  <c r="BJ15" i="5"/>
  <c r="BH16" i="5"/>
  <c r="BI16" i="5"/>
  <c r="BJ16" i="5"/>
  <c r="BH17" i="5"/>
  <c r="BI17" i="5"/>
  <c r="BJ17" i="5"/>
  <c r="BH18" i="5"/>
  <c r="BI18" i="5"/>
  <c r="BJ18" i="5"/>
  <c r="BH19" i="5"/>
  <c r="BI19" i="5"/>
  <c r="BJ19" i="5"/>
  <c r="BI20" i="5"/>
  <c r="BJ20" i="5"/>
  <c r="BI21" i="5"/>
  <c r="BJ21" i="5"/>
  <c r="BI22" i="5"/>
  <c r="BJ22" i="5"/>
  <c r="BI23" i="5"/>
  <c r="BJ23" i="5"/>
  <c r="BI24" i="5"/>
  <c r="BJ24" i="5"/>
  <c r="BH25" i="5"/>
  <c r="BI25" i="5"/>
  <c r="BJ25" i="5"/>
  <c r="BH26" i="5"/>
  <c r="BI26" i="5"/>
  <c r="BJ26" i="5"/>
  <c r="BH27" i="5"/>
  <c r="BI27" i="5"/>
  <c r="BJ27" i="5"/>
  <c r="BH28" i="5"/>
  <c r="BI28" i="5"/>
  <c r="BJ28" i="5"/>
  <c r="BH29" i="5"/>
  <c r="BI29" i="5"/>
  <c r="BJ29" i="5"/>
  <c r="BH30" i="5"/>
  <c r="BI30" i="5"/>
  <c r="BJ30" i="5"/>
  <c r="BI31" i="5"/>
  <c r="BJ31" i="5"/>
  <c r="BI32" i="5"/>
  <c r="BJ32" i="5"/>
  <c r="BI33" i="5"/>
  <c r="BJ33" i="5"/>
  <c r="BH34" i="5"/>
  <c r="BI34" i="5"/>
  <c r="BJ34" i="5"/>
  <c r="BH35" i="5"/>
  <c r="BI35" i="5"/>
  <c r="BJ35" i="5"/>
  <c r="BH36" i="5"/>
  <c r="BI36" i="5"/>
  <c r="BJ36" i="5"/>
  <c r="BH37" i="5"/>
  <c r="BI37" i="5"/>
  <c r="BJ37" i="5"/>
  <c r="BH38" i="5"/>
  <c r="BI38" i="5"/>
  <c r="BJ38" i="5"/>
  <c r="BH39" i="5"/>
  <c r="BI39" i="5"/>
  <c r="BJ39" i="5"/>
  <c r="BH40" i="5"/>
  <c r="BI40" i="5"/>
  <c r="BJ40" i="5"/>
  <c r="BH41" i="5"/>
  <c r="BI41" i="5"/>
  <c r="BJ41" i="5"/>
  <c r="BI42" i="5"/>
  <c r="BJ42" i="5"/>
  <c r="BI43" i="5"/>
  <c r="BJ43" i="5"/>
  <c r="BI44" i="5"/>
  <c r="BJ44" i="5"/>
  <c r="BH45" i="5"/>
  <c r="BI45" i="5"/>
  <c r="BJ45" i="5"/>
  <c r="BI46" i="5"/>
  <c r="BJ46" i="5"/>
  <c r="BH47" i="5"/>
  <c r="BI47" i="5"/>
  <c r="BJ47" i="5"/>
  <c r="BH48" i="5"/>
  <c r="BI48" i="5"/>
  <c r="BJ48" i="5"/>
  <c r="BH49" i="5"/>
  <c r="BI49" i="5"/>
  <c r="BJ49" i="5"/>
  <c r="BI50" i="5"/>
  <c r="BJ50" i="5"/>
  <c r="BH51" i="5"/>
  <c r="BI51" i="5"/>
  <c r="BJ51" i="5"/>
  <c r="BH52" i="5"/>
  <c r="BI52" i="5"/>
  <c r="BJ52" i="5"/>
  <c r="BH53" i="5"/>
  <c r="BI53" i="5"/>
  <c r="BJ53" i="5"/>
  <c r="BI54" i="5"/>
  <c r="BJ54" i="5"/>
  <c r="BH55" i="5"/>
  <c r="BI55" i="5"/>
  <c r="BJ55" i="5"/>
  <c r="BI56" i="5"/>
  <c r="BJ56" i="5"/>
  <c r="BH57" i="5"/>
  <c r="BI57" i="5"/>
  <c r="BJ57" i="5"/>
  <c r="BH58" i="5"/>
  <c r="BI58" i="5"/>
  <c r="BJ58" i="5"/>
  <c r="BH59" i="5"/>
  <c r="BI59" i="5"/>
  <c r="BJ59" i="5"/>
  <c r="BH60" i="5"/>
  <c r="BI60" i="5"/>
  <c r="BJ60" i="5"/>
  <c r="BI61" i="5"/>
  <c r="BJ61" i="5"/>
  <c r="BH62" i="5"/>
  <c r="BI62" i="5"/>
  <c r="BJ62" i="5"/>
  <c r="BI63" i="5"/>
  <c r="BJ63" i="5"/>
  <c r="BI64" i="5"/>
  <c r="BJ64" i="5"/>
  <c r="BI65" i="5"/>
  <c r="BJ65" i="5"/>
  <c r="BI66" i="5"/>
  <c r="BJ66" i="5"/>
  <c r="BH67" i="5"/>
  <c r="BI67" i="5"/>
  <c r="BJ67" i="5"/>
  <c r="BH68" i="5"/>
  <c r="BI68" i="5"/>
  <c r="BJ68" i="5"/>
  <c r="BH69" i="5"/>
  <c r="BI69" i="5"/>
  <c r="BJ69" i="5"/>
  <c r="BI70" i="5"/>
  <c r="BJ70" i="5"/>
  <c r="BH71" i="5"/>
  <c r="BI71" i="5"/>
  <c r="BJ71" i="5"/>
  <c r="BH72" i="5"/>
  <c r="BI72" i="5"/>
  <c r="BJ72" i="5"/>
  <c r="BI73" i="5"/>
  <c r="BJ73" i="5"/>
  <c r="BI74" i="5"/>
  <c r="BJ74" i="5"/>
  <c r="BH75" i="5"/>
  <c r="BI75" i="5"/>
  <c r="BJ75" i="5"/>
  <c r="BH76" i="5"/>
  <c r="BI76" i="5"/>
  <c r="BJ76" i="5"/>
  <c r="BI77" i="5"/>
  <c r="BJ77" i="5"/>
  <c r="BI78" i="5"/>
  <c r="BJ78" i="5"/>
  <c r="BH79" i="5"/>
  <c r="BI79" i="5"/>
  <c r="BJ79" i="5"/>
  <c r="BH80" i="5"/>
  <c r="BI80" i="5"/>
  <c r="BJ80" i="5"/>
  <c r="BH81" i="5"/>
  <c r="BI81" i="5"/>
  <c r="BJ81" i="5"/>
  <c r="BH82" i="5"/>
  <c r="BI82" i="5"/>
  <c r="BJ82" i="5"/>
  <c r="BH83" i="5"/>
  <c r="BI83" i="5"/>
  <c r="BJ83" i="5"/>
  <c r="BI84" i="5"/>
  <c r="BJ84" i="5"/>
  <c r="BI85" i="5"/>
  <c r="BJ85" i="5"/>
  <c r="BI86" i="5"/>
  <c r="BJ86" i="5"/>
  <c r="BI87" i="5"/>
  <c r="BJ87" i="5"/>
  <c r="BH88" i="5"/>
  <c r="BI88" i="5"/>
  <c r="BJ88" i="5"/>
  <c r="BH89" i="5"/>
  <c r="BI89" i="5"/>
  <c r="BJ89" i="5"/>
  <c r="BH90" i="5"/>
  <c r="BI90" i="5"/>
  <c r="BJ90" i="5"/>
  <c r="BH91" i="5"/>
  <c r="BI91" i="5"/>
  <c r="BJ91" i="5"/>
  <c r="BH92" i="5"/>
  <c r="BI92" i="5"/>
  <c r="BJ92" i="5"/>
  <c r="BH93" i="5"/>
  <c r="BI93" i="5"/>
  <c r="BJ93" i="5"/>
  <c r="BI94" i="5"/>
  <c r="BJ94" i="5"/>
  <c r="BI95" i="5"/>
  <c r="BJ95" i="5"/>
  <c r="BH96" i="5"/>
  <c r="BI96" i="5"/>
  <c r="BJ96" i="5"/>
  <c r="BH97" i="5"/>
  <c r="BI97" i="5"/>
  <c r="BJ97" i="5"/>
  <c r="BI98" i="5"/>
  <c r="BJ98" i="5"/>
  <c r="BH99" i="5"/>
  <c r="BI99" i="5"/>
  <c r="BJ99" i="5"/>
  <c r="BH100" i="5"/>
  <c r="BI100" i="5"/>
  <c r="BJ100" i="5"/>
  <c r="BH101" i="5"/>
  <c r="BI101" i="5"/>
  <c r="BJ101" i="5"/>
  <c r="BI102" i="5"/>
  <c r="BJ102" i="5"/>
  <c r="BI103" i="5"/>
  <c r="BJ103" i="5"/>
  <c r="BI104" i="5"/>
  <c r="BJ104" i="5"/>
  <c r="BH105" i="5"/>
  <c r="BI105" i="5"/>
  <c r="BJ105" i="5"/>
  <c r="BI106" i="5"/>
  <c r="BJ106" i="5"/>
  <c r="BI107" i="5"/>
  <c r="BJ107" i="5"/>
  <c r="BI108" i="5"/>
  <c r="BJ108" i="5"/>
  <c r="BI109" i="5"/>
  <c r="BJ109" i="5"/>
  <c r="BH110" i="5"/>
  <c r="BI110" i="5"/>
  <c r="BJ110" i="5"/>
  <c r="BH111" i="5"/>
  <c r="BI111" i="5"/>
  <c r="BJ111" i="5"/>
  <c r="BH112" i="5"/>
  <c r="BI112" i="5"/>
  <c r="BJ112" i="5"/>
  <c r="BH113" i="5"/>
  <c r="BI113" i="5"/>
  <c r="BJ113" i="5"/>
  <c r="BH114" i="5"/>
  <c r="BI114" i="5"/>
  <c r="BJ114" i="5"/>
  <c r="BI115" i="5"/>
  <c r="BJ115" i="5"/>
  <c r="BI116" i="5"/>
  <c r="BJ116" i="5"/>
  <c r="BH117" i="5"/>
  <c r="BI117" i="5"/>
  <c r="BJ117" i="5"/>
  <c r="BI118" i="5"/>
  <c r="BJ118" i="5"/>
  <c r="BI119" i="5"/>
  <c r="BJ119" i="5"/>
  <c r="BH120" i="5"/>
  <c r="BI120" i="5"/>
  <c r="BJ120" i="5"/>
  <c r="BI121" i="5"/>
  <c r="BJ121" i="5"/>
  <c r="BI122" i="5"/>
  <c r="BJ122" i="5"/>
  <c r="BH123" i="5"/>
  <c r="BI123" i="5"/>
  <c r="BJ123" i="5"/>
  <c r="BH124" i="5"/>
  <c r="BI124" i="5"/>
  <c r="BJ124" i="5"/>
  <c r="BI125" i="5"/>
  <c r="BJ125" i="5"/>
  <c r="BI126" i="5"/>
  <c r="BJ126" i="5"/>
  <c r="BI127" i="5"/>
  <c r="BJ127" i="5"/>
  <c r="BI128" i="5"/>
  <c r="BJ128" i="5"/>
  <c r="BI129" i="5"/>
  <c r="BJ129" i="5"/>
  <c r="BH130" i="5"/>
  <c r="BI130" i="5"/>
  <c r="BJ130" i="5"/>
  <c r="BH131" i="5"/>
  <c r="BI131" i="5"/>
  <c r="BJ131" i="5"/>
  <c r="BH132" i="5"/>
  <c r="BI132" i="5"/>
  <c r="BJ132" i="5"/>
  <c r="BI133" i="5"/>
  <c r="BJ133" i="5"/>
  <c r="BH134" i="5"/>
  <c r="BI134" i="5"/>
  <c r="BJ134" i="5"/>
  <c r="BH135" i="5"/>
  <c r="BI135" i="5"/>
  <c r="BJ135" i="5"/>
  <c r="BH136" i="5"/>
  <c r="BI136" i="5"/>
  <c r="BJ136" i="5"/>
  <c r="BI137" i="5"/>
  <c r="BJ137" i="5"/>
  <c r="BH138" i="5"/>
  <c r="BI138" i="5"/>
  <c r="BJ138" i="5"/>
  <c r="BH139" i="5"/>
  <c r="BI139" i="5"/>
  <c r="BJ139" i="5"/>
  <c r="BH140" i="5"/>
  <c r="BI140" i="5"/>
  <c r="BJ140" i="5"/>
  <c r="BH141" i="5"/>
  <c r="BI141" i="5"/>
  <c r="BJ141" i="5"/>
  <c r="BI142" i="5"/>
  <c r="BJ142" i="5"/>
  <c r="BH143" i="5"/>
  <c r="BI143" i="5"/>
  <c r="BJ143" i="5"/>
  <c r="BH144" i="5"/>
  <c r="BI144" i="5"/>
  <c r="BJ144" i="5"/>
  <c r="BH145" i="5"/>
  <c r="BI145" i="5"/>
  <c r="BJ145" i="5"/>
  <c r="BH146" i="5"/>
  <c r="BI146" i="5"/>
  <c r="BJ146" i="5"/>
  <c r="BH147" i="5"/>
  <c r="BI147" i="5"/>
  <c r="BJ147" i="5"/>
  <c r="BI148" i="5"/>
  <c r="BJ148" i="5"/>
  <c r="BI149" i="5"/>
  <c r="BJ149" i="5"/>
  <c r="BI150" i="5"/>
  <c r="BJ150" i="5"/>
  <c r="BI151" i="5"/>
  <c r="BJ151" i="5"/>
  <c r="BI152" i="5"/>
  <c r="BJ152" i="5"/>
  <c r="BH153" i="5"/>
  <c r="BI153" i="5"/>
  <c r="BJ153" i="5"/>
  <c r="BH154" i="5"/>
  <c r="BI154" i="5"/>
  <c r="BJ154" i="5"/>
  <c r="BH155" i="5"/>
  <c r="BI155" i="5"/>
  <c r="BJ155" i="5"/>
  <c r="BH156" i="5"/>
  <c r="BI156" i="5"/>
  <c r="BJ156" i="5"/>
  <c r="BH157" i="5"/>
  <c r="BI157" i="5"/>
  <c r="BJ157" i="5"/>
  <c r="BH158" i="5"/>
  <c r="BI158" i="5"/>
  <c r="BJ158" i="5"/>
  <c r="BI159" i="5"/>
  <c r="BJ159" i="5"/>
  <c r="BH160" i="5"/>
  <c r="BI160" i="5"/>
  <c r="BJ160" i="5"/>
  <c r="BH161" i="5"/>
  <c r="BI161" i="5"/>
  <c r="BJ161" i="5"/>
  <c r="BI162" i="5"/>
  <c r="BJ162" i="5"/>
  <c r="BH163" i="5"/>
  <c r="BI163" i="5"/>
  <c r="BJ163" i="5"/>
  <c r="BH164" i="5"/>
  <c r="BI164" i="5"/>
  <c r="BJ164" i="5"/>
  <c r="BH165" i="5"/>
  <c r="BI165" i="5"/>
  <c r="BJ165" i="5"/>
  <c r="BI166" i="5"/>
  <c r="BJ166" i="5"/>
  <c r="BH167" i="5"/>
  <c r="BI167" i="5"/>
  <c r="BJ167" i="5"/>
  <c r="BH168" i="5"/>
  <c r="BI168" i="5"/>
  <c r="BJ168" i="5"/>
  <c r="BH169" i="5"/>
  <c r="BI169" i="5"/>
  <c r="BJ169" i="5"/>
  <c r="BH170" i="5"/>
  <c r="BI170" i="5"/>
  <c r="BJ170" i="5"/>
  <c r="BH171" i="5"/>
  <c r="BI171" i="5"/>
  <c r="BJ171" i="5"/>
  <c r="BH172" i="5"/>
  <c r="BI172" i="5"/>
  <c r="BJ172" i="5"/>
  <c r="BI173" i="5"/>
  <c r="BJ173" i="5"/>
  <c r="BI174" i="5"/>
  <c r="BJ174" i="5"/>
  <c r="BI175" i="5"/>
  <c r="BJ175" i="5"/>
  <c r="BH176" i="5"/>
  <c r="BI176" i="5"/>
  <c r="BJ176" i="5"/>
  <c r="BH177" i="5"/>
  <c r="BI177" i="5"/>
  <c r="BJ177" i="5"/>
  <c r="BH178" i="5"/>
  <c r="BI178" i="5"/>
  <c r="BJ178" i="5"/>
  <c r="BH179" i="5"/>
  <c r="BI179" i="5"/>
  <c r="BJ179" i="5"/>
  <c r="BH180" i="5"/>
  <c r="BI180" i="5"/>
  <c r="BJ180" i="5"/>
  <c r="BI181" i="5"/>
  <c r="BJ181" i="5"/>
  <c r="BI182" i="5"/>
  <c r="BJ182" i="5"/>
  <c r="BH183" i="5"/>
  <c r="BI183" i="5"/>
  <c r="BJ183" i="5"/>
  <c r="BH184" i="5"/>
  <c r="BI184" i="5"/>
  <c r="BJ184" i="5"/>
  <c r="BI185" i="5"/>
  <c r="BJ185" i="5"/>
  <c r="BH186" i="5"/>
  <c r="BI186" i="5"/>
  <c r="BJ186" i="5"/>
  <c r="BH187" i="5"/>
  <c r="BI187" i="5"/>
  <c r="BJ187" i="5"/>
  <c r="BH188" i="5"/>
  <c r="BI188" i="5"/>
  <c r="BJ188" i="5"/>
  <c r="BH189" i="5"/>
  <c r="BI189" i="5"/>
  <c r="BJ189" i="5"/>
  <c r="BI190" i="5"/>
  <c r="BJ190" i="5"/>
  <c r="BH191" i="5"/>
  <c r="BI191" i="5"/>
  <c r="BJ191" i="5"/>
  <c r="BH192" i="5"/>
  <c r="BI192" i="5"/>
  <c r="BJ192" i="5"/>
  <c r="BI193" i="5"/>
  <c r="BJ193" i="5"/>
  <c r="BI194" i="5"/>
  <c r="BJ194" i="5"/>
  <c r="BI195" i="5"/>
  <c r="BJ195" i="5"/>
  <c r="BI196" i="5"/>
  <c r="BJ196" i="5"/>
  <c r="BI197" i="5"/>
  <c r="BJ197" i="5"/>
  <c r="BI198" i="5"/>
  <c r="BJ198" i="5"/>
  <c r="BH199" i="5"/>
  <c r="BI199" i="5"/>
  <c r="BJ199" i="5"/>
  <c r="BH200" i="5"/>
  <c r="BI200" i="5"/>
  <c r="BJ200" i="5"/>
  <c r="BH201" i="5"/>
  <c r="BI201" i="5"/>
  <c r="BJ201" i="5"/>
  <c r="BH202" i="5"/>
  <c r="BI202" i="5"/>
  <c r="BJ202" i="5"/>
  <c r="BH203" i="5"/>
  <c r="BI203" i="5"/>
  <c r="BJ203" i="5"/>
  <c r="BH204" i="5"/>
  <c r="BI204" i="5"/>
  <c r="BJ204" i="5"/>
  <c r="BI205" i="5"/>
  <c r="BJ205" i="5"/>
  <c r="BH206" i="5"/>
  <c r="BI206" i="5"/>
  <c r="BJ206" i="5"/>
  <c r="BI207" i="5"/>
  <c r="BJ207" i="5"/>
  <c r="BH208" i="5"/>
  <c r="BI208" i="5"/>
  <c r="BJ208" i="5"/>
  <c r="BI209" i="5"/>
  <c r="BJ209" i="5"/>
  <c r="BH210" i="5"/>
  <c r="BI210" i="5"/>
  <c r="BJ210" i="5"/>
  <c r="BH211" i="5"/>
  <c r="BI211" i="5"/>
  <c r="BJ211" i="5"/>
  <c r="BH212" i="5"/>
  <c r="BI212" i="5"/>
  <c r="BJ212" i="5"/>
  <c r="BH213" i="5"/>
  <c r="BI213" i="5"/>
  <c r="BJ213" i="5"/>
  <c r="BI214" i="5"/>
  <c r="BJ214" i="5"/>
  <c r="BH215" i="5"/>
  <c r="BI215" i="5"/>
  <c r="BJ215" i="5"/>
  <c r="BH216" i="5"/>
  <c r="BI216" i="5"/>
  <c r="BJ216" i="5"/>
  <c r="BI217" i="5"/>
  <c r="BJ217" i="5"/>
  <c r="BI218" i="5"/>
  <c r="BJ218" i="5"/>
  <c r="BI219" i="5"/>
  <c r="BJ219" i="5"/>
  <c r="BI220" i="5"/>
  <c r="BJ220" i="5"/>
  <c r="BI221" i="5"/>
  <c r="BJ221" i="5"/>
  <c r="BI222" i="5"/>
  <c r="BJ222" i="5"/>
  <c r="BH223" i="5"/>
  <c r="BI223" i="5"/>
  <c r="BJ223" i="5"/>
  <c r="BI224" i="5"/>
  <c r="BJ224" i="5"/>
  <c r="BH225" i="5"/>
  <c r="BI225" i="5"/>
  <c r="BJ225" i="5"/>
  <c r="BH226" i="5"/>
  <c r="BI226" i="5"/>
  <c r="BJ226" i="5"/>
  <c r="BH227" i="5"/>
  <c r="BI227" i="5"/>
  <c r="BJ227" i="5"/>
  <c r="BH228" i="5"/>
  <c r="BI228" i="5"/>
  <c r="BJ228" i="5"/>
  <c r="BI229" i="5"/>
  <c r="BJ229" i="5"/>
  <c r="BI230" i="5"/>
  <c r="BJ230" i="5"/>
  <c r="BH231" i="5"/>
  <c r="BI231" i="5"/>
  <c r="BJ231" i="5"/>
  <c r="BH232" i="5"/>
  <c r="BI232" i="5"/>
  <c r="BJ232" i="5"/>
  <c r="BI233" i="5"/>
  <c r="BJ233" i="5"/>
  <c r="BH234" i="5"/>
  <c r="BI234" i="5"/>
  <c r="BJ234" i="5"/>
  <c r="BH235" i="5"/>
  <c r="BI235" i="5"/>
  <c r="BJ235" i="5"/>
  <c r="BH236" i="5"/>
  <c r="BI236" i="5"/>
  <c r="BJ236" i="5"/>
  <c r="BH237" i="5"/>
  <c r="BI237" i="5"/>
  <c r="BJ237" i="5"/>
  <c r="BH238" i="5"/>
  <c r="BI238" i="5"/>
  <c r="BJ238" i="5"/>
  <c r="BH239" i="5"/>
  <c r="BI239" i="5"/>
  <c r="BJ239" i="5"/>
  <c r="BH240" i="5"/>
  <c r="BI240" i="5"/>
  <c r="BJ240" i="5"/>
  <c r="BI241" i="5"/>
  <c r="BJ241" i="5"/>
  <c r="BI242" i="5"/>
  <c r="BJ242" i="5"/>
  <c r="BI243" i="5"/>
  <c r="BJ243" i="5"/>
  <c r="BI244" i="5"/>
  <c r="BJ244" i="5"/>
  <c r="BI245" i="5"/>
  <c r="BJ245" i="5"/>
  <c r="BI246" i="5"/>
  <c r="BJ246" i="5"/>
  <c r="BH247" i="5"/>
  <c r="BI247" i="5"/>
  <c r="BJ247" i="5"/>
  <c r="BH248" i="5"/>
  <c r="BI248" i="5"/>
  <c r="BJ248" i="5"/>
  <c r="BH249" i="5"/>
  <c r="BI249" i="5"/>
  <c r="BJ249" i="5"/>
  <c r="BH250" i="5"/>
  <c r="BI250" i="5"/>
  <c r="BJ250" i="5"/>
  <c r="BH251" i="5"/>
  <c r="BI251" i="5"/>
  <c r="BJ251" i="5"/>
  <c r="BH252" i="5"/>
  <c r="BI252" i="5"/>
  <c r="BJ252" i="5"/>
  <c r="BI253" i="5"/>
  <c r="BJ253" i="5"/>
  <c r="BH254" i="5"/>
  <c r="BI254" i="5"/>
  <c r="BJ254" i="5"/>
  <c r="BH255" i="5"/>
  <c r="BI255" i="5"/>
  <c r="BJ255" i="5"/>
  <c r="BH256" i="5"/>
  <c r="BI256" i="5"/>
  <c r="BJ256" i="5"/>
  <c r="BH257" i="5"/>
  <c r="BI257" i="5"/>
  <c r="BJ257" i="5"/>
  <c r="BH258" i="5"/>
  <c r="BI258" i="5"/>
  <c r="BJ258" i="5"/>
  <c r="BH259" i="5"/>
  <c r="BI259" i="5"/>
  <c r="BJ259" i="5"/>
  <c r="BI260" i="5"/>
  <c r="BJ260" i="5"/>
  <c r="BI261" i="5"/>
  <c r="BJ261" i="5"/>
  <c r="BH262" i="5"/>
  <c r="BI262" i="5"/>
  <c r="BJ262" i="5"/>
  <c r="BH263" i="5"/>
  <c r="BI263" i="5"/>
  <c r="BJ263" i="5"/>
  <c r="BI264" i="5"/>
  <c r="BJ264" i="5"/>
  <c r="BH265" i="5"/>
  <c r="BI265" i="5"/>
  <c r="BJ265" i="5"/>
  <c r="BH266" i="5"/>
  <c r="BI266" i="5"/>
  <c r="BJ266" i="5"/>
  <c r="BI267" i="5"/>
  <c r="BJ267" i="5"/>
  <c r="BI268" i="5"/>
  <c r="BJ268" i="5"/>
  <c r="BI269" i="5"/>
  <c r="BJ269" i="5"/>
  <c r="BH270" i="5"/>
  <c r="BI270" i="5"/>
  <c r="BJ270" i="5"/>
  <c r="BH271" i="5"/>
  <c r="BI271" i="5"/>
  <c r="BJ271" i="5"/>
  <c r="BH272" i="5"/>
  <c r="BI272" i="5"/>
  <c r="BJ272" i="5"/>
  <c r="BH273" i="5"/>
  <c r="BI273" i="5"/>
  <c r="BJ273" i="5"/>
  <c r="BH274" i="5"/>
  <c r="BI274" i="5"/>
  <c r="BJ274" i="5"/>
  <c r="BH275" i="5"/>
  <c r="BI275" i="5"/>
  <c r="BJ275" i="5"/>
  <c r="BH276" i="5"/>
  <c r="BI276" i="5"/>
  <c r="BJ276" i="5"/>
  <c r="BH277" i="5"/>
  <c r="BI277" i="5"/>
  <c r="BJ277" i="5"/>
  <c r="BH278" i="5"/>
  <c r="BI278" i="5"/>
  <c r="BJ278" i="5"/>
  <c r="BI279" i="5"/>
  <c r="BJ279" i="5"/>
  <c r="BI280" i="5"/>
  <c r="BJ280" i="5"/>
  <c r="BH281" i="5"/>
  <c r="BI281" i="5"/>
  <c r="BJ281" i="5"/>
  <c r="BH282" i="5"/>
  <c r="BI282" i="5"/>
  <c r="BJ282" i="5"/>
  <c r="BH283" i="5"/>
  <c r="BI283" i="5"/>
  <c r="BJ283" i="5"/>
  <c r="BH284" i="5"/>
  <c r="BI284" i="5"/>
  <c r="BJ284" i="5"/>
  <c r="BH285" i="5"/>
  <c r="BI285" i="5"/>
  <c r="BJ285" i="5"/>
  <c r="BH286" i="5"/>
  <c r="BI286" i="5"/>
  <c r="BJ286" i="5"/>
  <c r="BH287" i="5"/>
  <c r="BI287" i="5"/>
  <c r="BJ287" i="5"/>
  <c r="BH288" i="5"/>
  <c r="BI288" i="5"/>
  <c r="BJ288" i="5"/>
  <c r="BI289" i="5"/>
  <c r="BJ289" i="5"/>
  <c r="BH290" i="5"/>
  <c r="BI290" i="5"/>
  <c r="BJ290" i="5"/>
  <c r="BI291" i="5"/>
  <c r="BJ291" i="5"/>
  <c r="BI292" i="5"/>
  <c r="BJ292" i="5"/>
  <c r="BH293" i="5"/>
  <c r="BI293" i="5"/>
  <c r="BJ293" i="5"/>
  <c r="BH294" i="5"/>
  <c r="BI294" i="5"/>
  <c r="BJ294" i="5"/>
  <c r="BH295" i="5"/>
  <c r="BI295" i="5"/>
  <c r="BJ295" i="5"/>
  <c r="BH296" i="5"/>
  <c r="BI296" i="5"/>
  <c r="BJ296" i="5"/>
  <c r="BH297" i="5"/>
  <c r="BI297" i="5"/>
  <c r="BJ297" i="5"/>
  <c r="BH298" i="5"/>
  <c r="BI298" i="5"/>
  <c r="BJ298" i="5"/>
  <c r="BH299" i="5"/>
  <c r="BI299" i="5"/>
  <c r="BJ299" i="5"/>
  <c r="BI300" i="5"/>
  <c r="BJ300" i="5"/>
  <c r="BH301" i="5"/>
  <c r="BI301" i="5"/>
  <c r="BJ301" i="5"/>
  <c r="BH302" i="5"/>
  <c r="BI302" i="5"/>
  <c r="BJ302" i="5"/>
  <c r="BI303" i="5"/>
  <c r="BJ303" i="5"/>
  <c r="BH304" i="5"/>
  <c r="BI304" i="5"/>
  <c r="BJ304" i="5"/>
  <c r="BH305" i="5"/>
  <c r="BI305" i="5"/>
  <c r="BJ305" i="5"/>
  <c r="BH306" i="5"/>
  <c r="BI306" i="5"/>
  <c r="BJ306" i="5"/>
  <c r="BH307" i="5"/>
  <c r="BI307" i="5"/>
  <c r="BJ307" i="5"/>
  <c r="BI308" i="5"/>
  <c r="BJ308" i="5"/>
  <c r="BI309" i="5"/>
  <c r="BJ309" i="5"/>
  <c r="BH310" i="5"/>
  <c r="BI310" i="5"/>
  <c r="BJ310" i="5"/>
  <c r="BH311" i="5"/>
  <c r="BI311" i="5"/>
  <c r="BJ311" i="5"/>
  <c r="BI312" i="5"/>
  <c r="BJ312" i="5"/>
  <c r="BI313" i="5"/>
  <c r="BJ313" i="5"/>
  <c r="BI314" i="5"/>
  <c r="BJ314" i="5"/>
  <c r="BH315" i="5"/>
  <c r="BI315" i="5"/>
  <c r="BJ315" i="5"/>
  <c r="BI316" i="5"/>
  <c r="BJ316" i="5"/>
  <c r="BI317" i="5"/>
  <c r="BJ317" i="5"/>
  <c r="BH318" i="5"/>
  <c r="BI318" i="5"/>
  <c r="BJ318" i="5"/>
  <c r="BH319" i="5"/>
  <c r="BI319" i="5"/>
  <c r="BJ319" i="5"/>
  <c r="BH320" i="5"/>
  <c r="BI320" i="5"/>
  <c r="BJ320" i="5"/>
  <c r="BH321" i="5"/>
  <c r="BI321" i="5"/>
  <c r="BJ321" i="5"/>
  <c r="BH322" i="5"/>
  <c r="BI322" i="5"/>
  <c r="BJ322" i="5"/>
  <c r="BH323" i="5"/>
  <c r="BI323" i="5"/>
  <c r="BJ323" i="5"/>
  <c r="BI324" i="5"/>
  <c r="BJ324" i="5"/>
  <c r="BH325" i="5"/>
  <c r="BI325" i="5"/>
  <c r="BJ325" i="5"/>
  <c r="BI326" i="5"/>
  <c r="BJ326" i="5"/>
  <c r="BI327" i="5"/>
  <c r="BJ327" i="5"/>
  <c r="BH328" i="5"/>
  <c r="BI328" i="5"/>
  <c r="BJ328" i="5"/>
  <c r="BH329" i="5"/>
  <c r="BI329" i="5"/>
  <c r="BJ329" i="5"/>
  <c r="BH330" i="5"/>
  <c r="BI330" i="5"/>
  <c r="BJ330" i="5"/>
  <c r="BH331" i="5"/>
  <c r="BI331" i="5"/>
  <c r="BJ331" i="5"/>
  <c r="BH332" i="5"/>
  <c r="BI332" i="5"/>
  <c r="BJ332" i="5"/>
  <c r="BH333" i="5"/>
  <c r="BI333" i="5"/>
  <c r="BJ333" i="5"/>
  <c r="BH334" i="5"/>
  <c r="BI334" i="5"/>
  <c r="BJ334" i="5"/>
  <c r="BI335" i="5"/>
  <c r="BJ335" i="5"/>
  <c r="BI336" i="5"/>
  <c r="BJ336" i="5"/>
  <c r="BI337" i="5"/>
  <c r="BJ337" i="5"/>
  <c r="BI338" i="5"/>
  <c r="BJ338" i="5"/>
  <c r="BI339" i="5"/>
  <c r="BJ339" i="5"/>
  <c r="BI340" i="5"/>
  <c r="BJ340" i="5"/>
  <c r="BH341" i="5"/>
  <c r="BI341" i="5"/>
  <c r="BJ341" i="5"/>
  <c r="BH342" i="5"/>
  <c r="BI342" i="5"/>
  <c r="BJ342" i="5"/>
  <c r="BH343" i="5"/>
  <c r="BI343" i="5"/>
  <c r="BJ343" i="5"/>
  <c r="BH344" i="5"/>
  <c r="BI344" i="5"/>
  <c r="BJ344" i="5"/>
  <c r="BH345" i="5"/>
  <c r="BI345" i="5"/>
  <c r="BJ345" i="5"/>
  <c r="BH346" i="5"/>
  <c r="BI346" i="5"/>
  <c r="BJ346" i="5"/>
  <c r="BI347" i="5"/>
  <c r="BJ347" i="5"/>
  <c r="BH348" i="5"/>
  <c r="BI348" i="5"/>
  <c r="BJ348" i="5"/>
  <c r="BH349" i="5"/>
  <c r="BI349" i="5"/>
  <c r="BJ349" i="5"/>
  <c r="BH350" i="5"/>
  <c r="BI350" i="5"/>
  <c r="BJ350" i="5"/>
  <c r="BI351" i="5"/>
  <c r="BJ351" i="5"/>
  <c r="BH352" i="5"/>
  <c r="BI352" i="5"/>
  <c r="BJ352" i="5"/>
  <c r="BH353" i="5"/>
  <c r="BI353" i="5"/>
  <c r="BJ353" i="5"/>
  <c r="BH354" i="5"/>
  <c r="BI354" i="5"/>
  <c r="BJ354" i="5"/>
  <c r="BI355" i="5"/>
  <c r="BJ355" i="5"/>
  <c r="BH356" i="5"/>
  <c r="BI356" i="5"/>
  <c r="BJ356" i="5"/>
  <c r="BH357" i="5"/>
  <c r="BI357" i="5"/>
  <c r="BJ357" i="5"/>
  <c r="BI358" i="5"/>
  <c r="BJ358" i="5"/>
  <c r="BI359" i="5"/>
  <c r="BJ359" i="5"/>
  <c r="BI360" i="5"/>
  <c r="BJ360" i="5"/>
  <c r="BI361" i="5"/>
  <c r="BJ361" i="5"/>
  <c r="BH362" i="5"/>
  <c r="BI362" i="5"/>
  <c r="BJ362" i="5"/>
  <c r="BH363" i="5"/>
  <c r="BI363" i="5"/>
  <c r="BJ363" i="5"/>
  <c r="BH364" i="5"/>
  <c r="BI364" i="5"/>
  <c r="BJ364" i="5"/>
  <c r="BH365" i="5"/>
  <c r="BI365" i="5"/>
  <c r="BJ365" i="5"/>
  <c r="BH366" i="5"/>
  <c r="BI366" i="5"/>
  <c r="BJ366" i="5"/>
  <c r="BH367" i="5"/>
  <c r="BI367" i="5"/>
  <c r="BJ367" i="5"/>
  <c r="BH368" i="5"/>
  <c r="BI368" i="5"/>
  <c r="BJ368" i="5"/>
  <c r="BI369" i="5"/>
  <c r="BJ369" i="5"/>
  <c r="BH370" i="5"/>
  <c r="BI370" i="5"/>
  <c r="BJ370" i="5"/>
  <c r="BH371" i="5"/>
  <c r="BI371" i="5"/>
  <c r="BJ371" i="5"/>
  <c r="BI372" i="5"/>
  <c r="BJ372" i="5"/>
  <c r="BH373" i="5"/>
  <c r="BI373" i="5"/>
  <c r="BJ373" i="5"/>
  <c r="BH374" i="5"/>
  <c r="BI374" i="5"/>
  <c r="BJ374" i="5"/>
  <c r="BH375" i="5"/>
  <c r="BI375" i="5"/>
  <c r="BJ375" i="5"/>
  <c r="BH376" i="5"/>
  <c r="BI376" i="5"/>
  <c r="BJ376" i="5"/>
  <c r="BH377" i="5"/>
  <c r="BI377" i="5"/>
  <c r="BJ377" i="5"/>
  <c r="BH378" i="5"/>
  <c r="BI378" i="5"/>
  <c r="BJ378" i="5"/>
  <c r="BI379" i="5"/>
  <c r="BJ379" i="5"/>
  <c r="BH380" i="5"/>
  <c r="BI380" i="5"/>
  <c r="BJ380" i="5"/>
  <c r="BH381" i="5"/>
  <c r="BI381" i="5"/>
  <c r="BJ381" i="5"/>
  <c r="BH382" i="5"/>
  <c r="BI382" i="5"/>
  <c r="BJ382" i="5"/>
  <c r="BI383" i="5"/>
  <c r="BJ383" i="5"/>
  <c r="BI384" i="5"/>
  <c r="BJ384" i="5"/>
  <c r="BI385" i="5"/>
  <c r="BJ385" i="5"/>
  <c r="BH386" i="5"/>
  <c r="BI386" i="5"/>
  <c r="BJ386" i="5"/>
  <c r="BH387" i="5"/>
  <c r="BI387" i="5"/>
  <c r="BJ387" i="5"/>
  <c r="BI388" i="5"/>
  <c r="BJ388" i="5"/>
  <c r="BH389" i="5"/>
  <c r="BI389" i="5"/>
  <c r="BJ389" i="5"/>
  <c r="BH390" i="5"/>
  <c r="BI390" i="5"/>
  <c r="BJ390" i="5"/>
  <c r="BI391" i="5"/>
  <c r="BJ391" i="5"/>
  <c r="BI392" i="5"/>
  <c r="BJ392" i="5"/>
  <c r="BH393" i="5"/>
  <c r="BI393" i="5"/>
  <c r="BJ393" i="5"/>
  <c r="BH394" i="5"/>
  <c r="BI394" i="5"/>
  <c r="BJ394" i="5"/>
  <c r="BI395" i="5"/>
  <c r="BJ395" i="5"/>
  <c r="BH396" i="5"/>
  <c r="BI396" i="5"/>
  <c r="BJ396" i="5"/>
  <c r="BH397" i="5"/>
  <c r="BI397" i="5"/>
  <c r="BJ397" i="5"/>
  <c r="BH398" i="5"/>
  <c r="BI398" i="5"/>
  <c r="BJ398" i="5"/>
  <c r="BI399" i="5"/>
  <c r="BJ399" i="5"/>
  <c r="BH400" i="5"/>
  <c r="BI400" i="5"/>
  <c r="BJ400" i="5"/>
  <c r="BI401" i="5"/>
  <c r="BJ401" i="5"/>
  <c r="BH402" i="5"/>
  <c r="BI402" i="5"/>
  <c r="BJ402" i="5"/>
  <c r="BI403" i="5"/>
  <c r="BJ403" i="5"/>
  <c r="BI404" i="5"/>
  <c r="BJ404" i="5"/>
  <c r="BI405" i="5"/>
  <c r="BJ405" i="5"/>
  <c r="BI406" i="5"/>
  <c r="BJ406" i="5"/>
  <c r="BI407" i="5"/>
  <c r="BJ407" i="5"/>
  <c r="BH408" i="5"/>
  <c r="BI408" i="5"/>
  <c r="BJ408" i="5"/>
  <c r="BH409" i="5"/>
  <c r="BI409" i="5"/>
  <c r="BJ409" i="5"/>
  <c r="BI410" i="5"/>
  <c r="BJ410" i="5"/>
  <c r="BH411" i="5"/>
  <c r="BI411" i="5"/>
  <c r="BJ411" i="5"/>
  <c r="BH412" i="5"/>
  <c r="BI412" i="5"/>
  <c r="BJ412" i="5"/>
  <c r="BI413" i="5"/>
  <c r="BJ413" i="5"/>
  <c r="BI414" i="5"/>
  <c r="BJ414" i="5"/>
  <c r="BI415" i="5"/>
  <c r="BJ415" i="5"/>
  <c r="BI416" i="5"/>
  <c r="BJ416" i="5"/>
  <c r="BH417" i="5"/>
  <c r="BI417" i="5"/>
  <c r="BJ417" i="5"/>
  <c r="BH418" i="5"/>
  <c r="BI418" i="5"/>
  <c r="BJ418" i="5"/>
  <c r="BH419" i="5"/>
  <c r="BI419" i="5"/>
  <c r="BJ419" i="5"/>
  <c r="BH420" i="5"/>
  <c r="BI420" i="5"/>
  <c r="BJ420" i="5"/>
  <c r="BI421" i="5"/>
  <c r="BJ421" i="5"/>
  <c r="BI422" i="5"/>
  <c r="BJ422" i="5"/>
  <c r="BH423" i="5"/>
  <c r="BI423" i="5"/>
  <c r="BJ423" i="5"/>
  <c r="BH424" i="5"/>
  <c r="BI424" i="5"/>
  <c r="BJ424" i="5"/>
  <c r="BH425" i="5"/>
  <c r="BI425" i="5"/>
  <c r="BJ425" i="5"/>
  <c r="BI426" i="5"/>
  <c r="BJ426" i="5"/>
  <c r="BI427" i="5"/>
  <c r="BJ427" i="5"/>
  <c r="BH428" i="5"/>
  <c r="BI428" i="5"/>
  <c r="BJ428" i="5"/>
  <c r="BH429" i="5"/>
  <c r="BI429" i="5"/>
  <c r="BJ429" i="5"/>
  <c r="BH430" i="5"/>
  <c r="BI430" i="5"/>
  <c r="BJ430" i="5"/>
  <c r="BI431" i="5"/>
  <c r="BJ431" i="5"/>
  <c r="BH432" i="5"/>
  <c r="BI432" i="5"/>
  <c r="BJ432" i="5"/>
  <c r="BH433" i="5"/>
  <c r="BI433" i="5"/>
  <c r="BJ433" i="5"/>
  <c r="BI434" i="5"/>
  <c r="BJ434" i="5"/>
  <c r="BH435" i="5"/>
  <c r="BI435" i="5"/>
  <c r="BJ435" i="5"/>
  <c r="BH436" i="5"/>
  <c r="BI436" i="5"/>
  <c r="BJ436" i="5"/>
  <c r="BH437" i="5"/>
  <c r="BI437" i="5"/>
  <c r="BJ437" i="5"/>
  <c r="BH438" i="5"/>
  <c r="BI438" i="5"/>
  <c r="BJ438" i="5"/>
  <c r="BI439" i="5"/>
  <c r="BJ439" i="5"/>
  <c r="BI440" i="5"/>
  <c r="BJ440" i="5"/>
  <c r="BH441" i="5"/>
  <c r="BI441" i="5"/>
  <c r="BJ441" i="5"/>
  <c r="BH442" i="5"/>
  <c r="BI442" i="5"/>
  <c r="BJ442" i="5"/>
  <c r="BI443" i="5"/>
  <c r="BJ443" i="5"/>
  <c r="BH444" i="5"/>
  <c r="BI444" i="5"/>
  <c r="BJ444" i="5"/>
  <c r="BI445" i="5"/>
  <c r="BJ445" i="5"/>
  <c r="BI446" i="5"/>
  <c r="BJ446" i="5"/>
  <c r="BI447" i="5"/>
  <c r="BJ447" i="5"/>
  <c r="BI448" i="5"/>
  <c r="BJ448" i="5"/>
  <c r="BI449" i="5"/>
  <c r="BJ449" i="5"/>
  <c r="BH450" i="5"/>
  <c r="BI450" i="5"/>
  <c r="BJ450" i="5"/>
  <c r="BH451" i="5"/>
  <c r="BI451" i="5"/>
  <c r="BJ451" i="5"/>
  <c r="BH452" i="5"/>
  <c r="BI452" i="5"/>
  <c r="BJ452" i="5"/>
  <c r="BH453" i="5"/>
  <c r="BI453" i="5"/>
  <c r="BJ453" i="5"/>
  <c r="BH454" i="5"/>
  <c r="BI454" i="5"/>
  <c r="BJ454" i="5"/>
  <c r="BH455" i="5"/>
  <c r="BI455" i="5"/>
  <c r="BJ455" i="5"/>
  <c r="BH456" i="5"/>
  <c r="BI456" i="5"/>
  <c r="BJ456" i="5"/>
  <c r="BH457" i="5"/>
  <c r="BI457" i="5"/>
  <c r="BJ457" i="5"/>
  <c r="BH458" i="5"/>
  <c r="BI458" i="5"/>
  <c r="BJ458" i="5"/>
  <c r="BI459" i="5"/>
  <c r="BJ459" i="5"/>
  <c r="BI460" i="5"/>
  <c r="BJ460" i="5"/>
  <c r="BI461" i="5"/>
  <c r="BJ461" i="5"/>
  <c r="BH462" i="5"/>
  <c r="BI462" i="5"/>
  <c r="BJ462" i="5"/>
  <c r="BH463" i="5"/>
  <c r="BI463" i="5"/>
  <c r="BJ463" i="5"/>
  <c r="BH464" i="5"/>
  <c r="BI464" i="5"/>
  <c r="BJ464" i="5"/>
  <c r="BH465" i="5"/>
  <c r="BI465" i="5"/>
  <c r="BJ465" i="5"/>
  <c r="BH466" i="5"/>
  <c r="BI466" i="5"/>
  <c r="BJ466" i="5"/>
  <c r="BH467" i="5"/>
  <c r="BI467" i="5"/>
  <c r="BJ467" i="5"/>
  <c r="BI468" i="5"/>
  <c r="BJ468" i="5"/>
  <c r="BI469" i="5"/>
  <c r="BJ469" i="5"/>
  <c r="BI470" i="5"/>
  <c r="BJ470" i="5"/>
  <c r="BI471" i="5"/>
  <c r="BJ471" i="5"/>
  <c r="BI472" i="5"/>
  <c r="BJ472" i="5"/>
  <c r="BH473" i="5"/>
  <c r="BI473" i="5"/>
  <c r="BJ473" i="5"/>
  <c r="BH474" i="5"/>
  <c r="BI474" i="5"/>
  <c r="BJ474" i="5"/>
  <c r="BH475" i="5"/>
  <c r="BI475" i="5"/>
  <c r="BJ475" i="5"/>
  <c r="BH476" i="5"/>
  <c r="BI476" i="5"/>
  <c r="BJ476" i="5"/>
  <c r="BH477" i="5"/>
  <c r="BI477" i="5"/>
  <c r="BJ477" i="5"/>
  <c r="BH478" i="5"/>
  <c r="BI478" i="5"/>
  <c r="BJ478" i="5"/>
  <c r="BI479" i="5"/>
  <c r="BJ479" i="5"/>
  <c r="BH480" i="5"/>
  <c r="BI480" i="5"/>
  <c r="BJ480" i="5"/>
  <c r="BH481" i="5"/>
  <c r="BI481" i="5"/>
  <c r="BJ481" i="5"/>
  <c r="BI482" i="5"/>
  <c r="BJ482" i="5"/>
  <c r="BH483" i="5"/>
  <c r="BI483" i="5"/>
  <c r="BJ483" i="5"/>
  <c r="BH484" i="5"/>
  <c r="BI484" i="5"/>
  <c r="BJ484" i="5"/>
  <c r="BH485" i="5"/>
  <c r="BI485" i="5"/>
  <c r="BJ485" i="5"/>
  <c r="BH486" i="5"/>
  <c r="BI486" i="5"/>
  <c r="BJ486" i="5"/>
  <c r="BH487" i="5"/>
  <c r="BI487" i="5"/>
  <c r="BJ487" i="5"/>
  <c r="BH488" i="5"/>
  <c r="BI488" i="5"/>
  <c r="BJ488" i="5"/>
  <c r="BI489" i="5"/>
  <c r="BJ489" i="5"/>
  <c r="BH490" i="5"/>
  <c r="BI490" i="5"/>
  <c r="BJ490" i="5"/>
  <c r="BH491" i="5"/>
  <c r="BI491" i="5"/>
  <c r="BJ491" i="5"/>
  <c r="BI492" i="5"/>
  <c r="BJ492" i="5"/>
  <c r="BI493" i="5"/>
  <c r="BJ493" i="5"/>
  <c r="BI494" i="5"/>
  <c r="BJ494" i="5"/>
  <c r="BH495" i="5"/>
  <c r="BI495" i="5"/>
  <c r="BJ495" i="5"/>
  <c r="BH496" i="5"/>
  <c r="BI496" i="5"/>
  <c r="BJ496" i="5"/>
  <c r="BH497" i="5"/>
  <c r="BI497" i="5"/>
  <c r="BJ497" i="5"/>
  <c r="BH498" i="5"/>
  <c r="BI498" i="5"/>
  <c r="BJ498" i="5"/>
  <c r="BH499" i="5"/>
  <c r="BI499" i="5"/>
  <c r="BJ499" i="5"/>
  <c r="BI500" i="5"/>
  <c r="BJ500" i="5"/>
  <c r="BI501" i="5"/>
  <c r="BJ501" i="5"/>
  <c r="BI502" i="5"/>
  <c r="BJ502" i="5"/>
  <c r="BH503" i="5"/>
  <c r="BI503" i="5"/>
  <c r="BJ503" i="5"/>
  <c r="BH504" i="5"/>
  <c r="BI504" i="5"/>
  <c r="BJ504" i="5"/>
  <c r="BI505" i="5"/>
  <c r="BJ505" i="5"/>
  <c r="BH506" i="5"/>
  <c r="BI506" i="5"/>
  <c r="BJ506" i="5"/>
  <c r="BI507" i="5"/>
  <c r="BJ507" i="5"/>
  <c r="BH508" i="5"/>
  <c r="BI508" i="5"/>
  <c r="BJ508" i="5"/>
  <c r="BH509" i="5"/>
  <c r="BI509" i="5"/>
  <c r="BJ509" i="5"/>
  <c r="BH510" i="5"/>
  <c r="BI510" i="5"/>
  <c r="BJ510" i="5"/>
  <c r="BH511" i="5"/>
  <c r="BI511" i="5"/>
  <c r="BJ511" i="5"/>
  <c r="BI512" i="5"/>
  <c r="BJ512" i="5"/>
  <c r="BI513" i="5"/>
  <c r="BJ513" i="5"/>
  <c r="BI514" i="5"/>
  <c r="BJ514" i="5"/>
  <c r="BI515" i="5"/>
  <c r="BJ515" i="5"/>
  <c r="BH516" i="5"/>
  <c r="BI516" i="5"/>
  <c r="BJ516" i="5"/>
  <c r="BI517" i="5"/>
  <c r="BJ517" i="5"/>
  <c r="BH518" i="5"/>
  <c r="BI518" i="5"/>
  <c r="BJ518" i="5"/>
  <c r="BH519" i="5"/>
  <c r="BI519" i="5"/>
  <c r="BJ519" i="5"/>
  <c r="BH520" i="5"/>
  <c r="BI520" i="5"/>
  <c r="BJ520" i="5"/>
  <c r="BH521" i="5"/>
  <c r="BI521" i="5"/>
  <c r="BJ521" i="5"/>
  <c r="BH522" i="5"/>
  <c r="BI522" i="5"/>
  <c r="BJ522" i="5"/>
  <c r="BH523" i="5"/>
  <c r="BI523" i="5"/>
  <c r="BJ523" i="5"/>
  <c r="BH524" i="5"/>
  <c r="BI524" i="5"/>
  <c r="BJ524" i="5"/>
  <c r="BI525" i="5"/>
  <c r="BJ525" i="5"/>
  <c r="BH526" i="5"/>
  <c r="BI526" i="5"/>
  <c r="BJ526" i="5"/>
  <c r="BH527" i="5"/>
  <c r="BI527" i="5"/>
  <c r="BJ527" i="5"/>
  <c r="BI528" i="5"/>
  <c r="BJ528" i="5"/>
  <c r="BH529" i="5"/>
  <c r="BI529" i="5"/>
  <c r="BJ529" i="5"/>
  <c r="BH530" i="5"/>
  <c r="BI530" i="5"/>
  <c r="BJ530" i="5"/>
  <c r="BH531" i="5"/>
  <c r="BI531" i="5"/>
  <c r="BJ531" i="5"/>
  <c r="BI532" i="5"/>
  <c r="BJ532" i="5"/>
  <c r="BH533" i="5"/>
  <c r="BI533" i="5"/>
  <c r="BJ533" i="5"/>
  <c r="BH534" i="5"/>
  <c r="BI534" i="5"/>
  <c r="BJ534" i="5"/>
  <c r="BH535" i="5"/>
  <c r="BI535" i="5"/>
  <c r="BJ535" i="5"/>
  <c r="BH536" i="5"/>
  <c r="BI536" i="5"/>
  <c r="BJ536" i="5"/>
  <c r="BI537" i="5"/>
  <c r="BJ537" i="5"/>
  <c r="BI538" i="5"/>
  <c r="BJ538" i="5"/>
  <c r="BI539" i="5"/>
  <c r="BJ539" i="5"/>
  <c r="BH540" i="5"/>
  <c r="BI540" i="5"/>
  <c r="BJ540" i="5"/>
  <c r="BI541" i="5"/>
  <c r="BJ541" i="5"/>
  <c r="BH542" i="5"/>
  <c r="BI542" i="5"/>
  <c r="BJ542" i="5"/>
  <c r="BH543" i="5"/>
  <c r="BI543" i="5"/>
  <c r="BJ543" i="5"/>
  <c r="BH544" i="5"/>
  <c r="BI544" i="5"/>
  <c r="BJ544" i="5"/>
  <c r="BH545" i="5"/>
  <c r="BI545" i="5"/>
  <c r="BJ545" i="5"/>
  <c r="BH546" i="5"/>
  <c r="BI546" i="5"/>
  <c r="BJ546" i="5"/>
  <c r="BI547" i="5"/>
  <c r="BJ547" i="5"/>
  <c r="BH548" i="5"/>
  <c r="BI548" i="5"/>
  <c r="BJ548" i="5"/>
  <c r="BI549" i="5"/>
  <c r="BJ549" i="5"/>
  <c r="BH550" i="5"/>
  <c r="BI550" i="5"/>
  <c r="BJ550" i="5"/>
  <c r="BI551" i="5"/>
  <c r="BJ551" i="5"/>
  <c r="BI552" i="5"/>
  <c r="BJ552" i="5"/>
  <c r="BH553" i="5"/>
  <c r="BI553" i="5"/>
  <c r="BJ553" i="5"/>
  <c r="BH554" i="5"/>
  <c r="BI554" i="5"/>
  <c r="BJ554" i="5"/>
  <c r="BH555" i="5"/>
  <c r="BI555" i="5"/>
  <c r="BJ555" i="5"/>
  <c r="BH556" i="5"/>
  <c r="BI556" i="5"/>
  <c r="BJ556" i="5"/>
  <c r="BH557" i="5"/>
  <c r="BI557" i="5"/>
  <c r="BJ557" i="5"/>
  <c r="BH558" i="5"/>
  <c r="BI558" i="5"/>
  <c r="BJ558" i="5"/>
  <c r="BH559" i="5"/>
  <c r="BI559" i="5"/>
  <c r="BJ559" i="5"/>
  <c r="BH560" i="5"/>
  <c r="BI560" i="5"/>
  <c r="BJ560" i="5"/>
  <c r="BI561" i="5"/>
  <c r="BJ561" i="5"/>
  <c r="BI562" i="5"/>
  <c r="BJ562" i="5"/>
  <c r="BI563" i="5"/>
  <c r="BJ563" i="5"/>
  <c r="BI564" i="5"/>
  <c r="BJ564" i="5"/>
  <c r="BI565" i="5"/>
  <c r="BJ565" i="5"/>
  <c r="BH566" i="5"/>
  <c r="BI566" i="5"/>
  <c r="BJ566" i="5"/>
  <c r="BH567" i="5"/>
  <c r="BI567" i="5"/>
  <c r="BJ567" i="5"/>
  <c r="BH568" i="5"/>
  <c r="BI568" i="5"/>
  <c r="BJ568" i="5"/>
  <c r="BH569" i="5"/>
  <c r="BI569" i="5"/>
  <c r="BJ569" i="5"/>
  <c r="BH570" i="5"/>
  <c r="BI570" i="5"/>
  <c r="BJ570" i="5"/>
  <c r="BI571" i="5"/>
  <c r="BJ571" i="5"/>
  <c r="BH572" i="5"/>
  <c r="BI572" i="5"/>
  <c r="BJ572" i="5"/>
  <c r="BH573" i="5"/>
  <c r="BI573" i="5"/>
  <c r="BJ573" i="5"/>
  <c r="BH574" i="5"/>
  <c r="BI574" i="5"/>
  <c r="BJ574" i="5"/>
  <c r="BH575" i="5"/>
  <c r="BI575" i="5"/>
  <c r="BJ575" i="5"/>
  <c r="BH576" i="5"/>
  <c r="BI576" i="5"/>
  <c r="BJ576" i="5"/>
  <c r="BH577" i="5"/>
  <c r="BI577" i="5"/>
  <c r="BJ577" i="5"/>
  <c r="BH578" i="5"/>
  <c r="BI578" i="5"/>
  <c r="BJ578" i="5"/>
  <c r="BH579" i="5"/>
  <c r="BI579" i="5"/>
  <c r="BJ579" i="5"/>
  <c r="BH580" i="5"/>
  <c r="BI580" i="5"/>
  <c r="BJ580" i="5"/>
  <c r="BI581" i="5"/>
  <c r="BJ581" i="5"/>
  <c r="BH582" i="5"/>
  <c r="BI582" i="5"/>
  <c r="BJ582" i="5"/>
  <c r="BI583" i="5"/>
  <c r="BJ583" i="5"/>
  <c r="BI584" i="5"/>
  <c r="BJ584" i="5"/>
  <c r="BI585" i="5"/>
  <c r="BJ585" i="5"/>
  <c r="BI586" i="5"/>
  <c r="BJ586" i="5"/>
  <c r="BH587" i="5"/>
  <c r="BI587" i="5"/>
  <c r="BJ587" i="5"/>
  <c r="BH588" i="5"/>
  <c r="BI588" i="5"/>
  <c r="BJ588" i="5"/>
  <c r="BH589" i="5"/>
  <c r="BI589" i="5"/>
  <c r="BJ589" i="5"/>
  <c r="BH590" i="5"/>
  <c r="BI590" i="5"/>
  <c r="BJ590" i="5"/>
  <c r="BH591" i="5"/>
  <c r="BI591" i="5"/>
  <c r="BJ591" i="5"/>
  <c r="BH592" i="5"/>
  <c r="BI592" i="5"/>
  <c r="BJ592" i="5"/>
  <c r="BH593" i="5"/>
  <c r="BI593" i="5"/>
  <c r="BJ593" i="5"/>
  <c r="BI594" i="5"/>
  <c r="BJ594" i="5"/>
  <c r="BH595" i="5"/>
  <c r="BI595" i="5"/>
  <c r="BJ595" i="5"/>
  <c r="BH596" i="5"/>
  <c r="BI596" i="5"/>
  <c r="BJ596" i="5"/>
  <c r="BI597" i="5"/>
  <c r="BJ597" i="5"/>
  <c r="BI598" i="5"/>
  <c r="BJ598" i="5"/>
  <c r="BH599" i="5"/>
  <c r="BI599" i="5"/>
  <c r="BJ599" i="5"/>
  <c r="BH600" i="5"/>
  <c r="BI600" i="5"/>
  <c r="BJ600" i="5"/>
  <c r="BH601" i="5"/>
  <c r="BI601" i="5"/>
  <c r="BJ601" i="5"/>
  <c r="BH602" i="5"/>
  <c r="BI602" i="5"/>
  <c r="BJ602" i="5"/>
  <c r="BH603" i="5"/>
  <c r="BI603" i="5"/>
  <c r="BJ603" i="5"/>
  <c r="BI604" i="5"/>
  <c r="BJ604" i="5"/>
  <c r="BI605" i="5"/>
  <c r="BJ605" i="5"/>
  <c r="BI606" i="5"/>
  <c r="BJ606" i="5"/>
  <c r="BI607" i="5"/>
  <c r="BJ607" i="5"/>
  <c r="BI608" i="5"/>
  <c r="BJ608" i="5"/>
  <c r="BI609" i="5"/>
  <c r="BJ609" i="5"/>
  <c r="BH610" i="5"/>
  <c r="BI610" i="5"/>
  <c r="BJ610" i="5"/>
  <c r="BH611" i="5"/>
  <c r="BI611" i="5"/>
  <c r="BJ611" i="5"/>
  <c r="BH612" i="5"/>
  <c r="BI612" i="5"/>
  <c r="BJ612" i="5"/>
  <c r="BH613" i="5"/>
  <c r="BI613" i="5"/>
  <c r="BJ613" i="5"/>
  <c r="BH614" i="5"/>
  <c r="BI614" i="5"/>
  <c r="BJ614" i="5"/>
  <c r="BH615" i="5"/>
  <c r="BI615" i="5"/>
  <c r="BJ615" i="5"/>
  <c r="BH616" i="5"/>
  <c r="BI616" i="5"/>
  <c r="BJ616" i="5"/>
  <c r="BI617" i="5"/>
  <c r="BJ617" i="5"/>
  <c r="BH618" i="5"/>
  <c r="BI618" i="5"/>
  <c r="BJ618" i="5"/>
  <c r="BH619" i="5"/>
  <c r="BI619" i="5"/>
  <c r="BJ619" i="5"/>
  <c r="BI620" i="5"/>
  <c r="BJ620" i="5"/>
  <c r="BH621" i="5"/>
  <c r="BI621" i="5"/>
  <c r="BJ621" i="5"/>
  <c r="BH622" i="5"/>
  <c r="BI622" i="5"/>
  <c r="BJ622" i="5"/>
  <c r="BH623" i="5"/>
  <c r="BI623" i="5"/>
  <c r="BJ623" i="5"/>
  <c r="BH624" i="5"/>
  <c r="BI624" i="5"/>
  <c r="BJ624" i="5"/>
  <c r="BH625" i="5"/>
  <c r="BI625" i="5"/>
  <c r="BJ625" i="5"/>
  <c r="BI626" i="5"/>
  <c r="BJ626" i="5"/>
  <c r="BI627" i="5"/>
  <c r="BJ627" i="5"/>
  <c r="BI628" i="5"/>
  <c r="BJ628" i="5"/>
  <c r="BI629" i="5"/>
  <c r="BJ629" i="5"/>
  <c r="BI630" i="5"/>
  <c r="BJ630" i="5"/>
  <c r="BI631" i="5"/>
  <c r="BJ631" i="5"/>
  <c r="BI632" i="5"/>
  <c r="BJ632" i="5"/>
  <c r="BH633" i="5"/>
  <c r="BI633" i="5"/>
  <c r="BJ633" i="5"/>
  <c r="BI634" i="5"/>
  <c r="BJ634" i="5"/>
  <c r="BH635" i="5"/>
  <c r="BI635" i="5"/>
  <c r="BJ635" i="5"/>
  <c r="BH636" i="5"/>
  <c r="BI636" i="5"/>
  <c r="BJ636" i="5"/>
  <c r="BH637" i="5"/>
  <c r="BI637" i="5"/>
  <c r="BJ637" i="5"/>
  <c r="BH638" i="5"/>
  <c r="BI638" i="5"/>
  <c r="BJ638" i="5"/>
  <c r="BI639" i="5"/>
  <c r="BJ639" i="5"/>
  <c r="BH640" i="5"/>
  <c r="BI640" i="5"/>
  <c r="BJ640" i="5"/>
  <c r="BH641" i="5"/>
  <c r="BI641" i="5"/>
  <c r="BJ641" i="5"/>
  <c r="BI642" i="5"/>
  <c r="BJ642" i="5"/>
  <c r="BH643" i="5"/>
  <c r="BI643" i="5"/>
  <c r="BJ643" i="5"/>
  <c r="BI644" i="5"/>
  <c r="BJ644" i="5"/>
  <c r="BI645" i="5"/>
  <c r="BJ645" i="5"/>
  <c r="BH646" i="5"/>
  <c r="BI646" i="5"/>
  <c r="BJ646" i="5"/>
  <c r="BH647" i="5"/>
  <c r="BI647" i="5"/>
  <c r="BJ647" i="5"/>
  <c r="BH648" i="5"/>
  <c r="BI648" i="5"/>
  <c r="BJ648" i="5"/>
  <c r="BH649" i="5"/>
  <c r="BI649" i="5"/>
  <c r="BJ649" i="5"/>
  <c r="BI650" i="5"/>
  <c r="BJ650" i="5"/>
  <c r="BI651" i="5"/>
  <c r="BJ651" i="5"/>
  <c r="BI652" i="5"/>
  <c r="BJ652" i="5"/>
  <c r="BI653" i="5"/>
  <c r="BJ653" i="5"/>
  <c r="BI654" i="5"/>
  <c r="BJ654" i="5"/>
  <c r="BH655" i="5"/>
  <c r="BI655" i="5"/>
  <c r="BJ655" i="5"/>
  <c r="BI656" i="5"/>
  <c r="BJ656" i="5"/>
  <c r="BH657" i="5"/>
  <c r="BI657" i="5"/>
  <c r="BJ657" i="5"/>
  <c r="BI658" i="5"/>
  <c r="BJ658" i="5"/>
  <c r="BH659" i="5"/>
  <c r="BI659" i="5"/>
  <c r="BJ659" i="5"/>
  <c r="BH660" i="5"/>
  <c r="BI660" i="5"/>
  <c r="BJ660" i="5"/>
  <c r="BI661" i="5"/>
  <c r="BJ661" i="5"/>
  <c r="BH662" i="5"/>
  <c r="BI662" i="5"/>
  <c r="BJ662" i="5"/>
  <c r="BH663" i="5"/>
  <c r="BI663" i="5"/>
  <c r="BJ663" i="5"/>
  <c r="BI664" i="5"/>
  <c r="BJ664" i="5"/>
  <c r="BH665" i="5"/>
  <c r="BI665" i="5"/>
  <c r="BJ665" i="5"/>
  <c r="BH666" i="5"/>
  <c r="BI666" i="5"/>
  <c r="BJ666" i="5"/>
  <c r="BH667" i="5"/>
  <c r="BI667" i="5"/>
  <c r="BJ667" i="5"/>
  <c r="BH668" i="5"/>
  <c r="BI668" i="5"/>
  <c r="BJ668" i="5"/>
  <c r="BH669" i="5"/>
  <c r="BI669" i="5"/>
  <c r="BJ669" i="5"/>
  <c r="BH670" i="5"/>
  <c r="BI670" i="5"/>
  <c r="BJ670" i="5"/>
  <c r="BH671" i="5"/>
  <c r="BI671" i="5"/>
  <c r="BJ671" i="5"/>
  <c r="BH672" i="5"/>
  <c r="BI672" i="5"/>
  <c r="BJ672" i="5"/>
  <c r="BH673" i="5"/>
  <c r="BI673" i="5"/>
  <c r="BJ673" i="5"/>
  <c r="BI674" i="5"/>
  <c r="BJ674" i="5"/>
  <c r="BI675" i="5"/>
  <c r="BJ675" i="5"/>
  <c r="BI676" i="5"/>
  <c r="BJ676" i="5"/>
  <c r="BI677" i="5"/>
  <c r="BJ677" i="5"/>
  <c r="BH678" i="5"/>
  <c r="BI678" i="5"/>
  <c r="BJ678" i="5"/>
  <c r="BH679" i="5"/>
  <c r="BI679" i="5"/>
  <c r="BJ679" i="5"/>
  <c r="BH680" i="5"/>
  <c r="BI680" i="5"/>
  <c r="BJ680" i="5"/>
  <c r="BI681" i="5"/>
  <c r="BJ681" i="5"/>
  <c r="BI682" i="5"/>
  <c r="BJ682" i="5"/>
  <c r="BI683" i="5"/>
  <c r="BJ683" i="5"/>
  <c r="BH684" i="5"/>
  <c r="BI684" i="5"/>
  <c r="BJ684" i="5"/>
  <c r="BI685" i="5"/>
  <c r="BJ685" i="5"/>
  <c r="BH686" i="5"/>
  <c r="BI686" i="5"/>
  <c r="BJ686" i="5"/>
  <c r="BH687" i="5"/>
  <c r="BI687" i="5"/>
  <c r="BJ687" i="5"/>
  <c r="BH688" i="5"/>
  <c r="BI688" i="5"/>
  <c r="BJ688" i="5"/>
  <c r="BH689" i="5"/>
  <c r="BI689" i="5"/>
  <c r="BJ689" i="5"/>
  <c r="BH690" i="5"/>
  <c r="BI690" i="5"/>
  <c r="BJ690" i="5"/>
  <c r="BI691" i="5"/>
  <c r="BJ691" i="5"/>
  <c r="BH692" i="5"/>
  <c r="BI692" i="5"/>
  <c r="BJ692" i="5"/>
  <c r="BH693" i="5"/>
  <c r="BI693" i="5"/>
  <c r="BJ693" i="5"/>
  <c r="BH694" i="5"/>
  <c r="BI694" i="5"/>
  <c r="BJ694" i="5"/>
  <c r="BH695" i="5"/>
  <c r="BI695" i="5"/>
  <c r="BJ695" i="5"/>
  <c r="BI696" i="5"/>
  <c r="BJ696" i="5"/>
  <c r="BI697" i="5"/>
  <c r="BJ697" i="5"/>
  <c r="BI698" i="5"/>
  <c r="BJ698" i="5"/>
  <c r="BI699" i="5"/>
  <c r="BJ699" i="5"/>
  <c r="BI700" i="5"/>
  <c r="BJ700" i="5"/>
  <c r="BI701" i="5"/>
  <c r="BJ701" i="5"/>
  <c r="BH702" i="5"/>
  <c r="BI702" i="5"/>
  <c r="BJ702" i="5"/>
  <c r="BH703" i="5"/>
  <c r="BI703" i="5"/>
  <c r="BJ703" i="5"/>
  <c r="BH704" i="5"/>
  <c r="BI704" i="5"/>
  <c r="BJ704" i="5"/>
  <c r="BH705" i="5"/>
  <c r="BI705" i="5"/>
  <c r="BJ705" i="5"/>
  <c r="BH706" i="5"/>
  <c r="BI706" i="5"/>
  <c r="BJ706" i="5"/>
  <c r="BH707" i="5"/>
  <c r="BI707" i="5"/>
  <c r="BJ707" i="5"/>
  <c r="BH708" i="5"/>
  <c r="BI708" i="5"/>
  <c r="BJ708" i="5"/>
  <c r="BH709" i="5"/>
  <c r="BI709" i="5"/>
  <c r="BJ709" i="5"/>
  <c r="BH710" i="5"/>
  <c r="BI710" i="5"/>
  <c r="BJ710" i="5"/>
  <c r="BI711" i="5"/>
  <c r="BJ711" i="5"/>
  <c r="BH712" i="5"/>
  <c r="BI712" i="5"/>
  <c r="BJ712" i="5"/>
  <c r="BH713" i="5"/>
  <c r="BI713" i="5"/>
  <c r="BJ713" i="5"/>
  <c r="BH714" i="5"/>
  <c r="BI714" i="5"/>
  <c r="BJ714" i="5"/>
  <c r="BH715" i="5"/>
  <c r="BI715" i="5"/>
  <c r="BJ715" i="5"/>
  <c r="BH716" i="5"/>
  <c r="BI716" i="5"/>
  <c r="BJ716" i="5"/>
  <c r="BI717" i="5"/>
  <c r="BJ717" i="5"/>
  <c r="BI718" i="5"/>
  <c r="BJ718" i="5"/>
  <c r="BI719" i="5"/>
  <c r="BJ719" i="5"/>
  <c r="BI720" i="5"/>
  <c r="BJ720" i="5"/>
  <c r="BI721" i="5"/>
  <c r="BJ721" i="5"/>
  <c r="BI722" i="5"/>
  <c r="BJ722" i="5"/>
  <c r="BH723" i="5"/>
  <c r="BI723" i="5"/>
  <c r="BJ723" i="5"/>
  <c r="BH724" i="5"/>
  <c r="BI724" i="5"/>
  <c r="BJ724" i="5"/>
  <c r="BH725" i="5"/>
  <c r="BI725" i="5"/>
  <c r="BJ725" i="5"/>
  <c r="BH726" i="5"/>
  <c r="BI726" i="5"/>
  <c r="BJ726" i="5"/>
  <c r="BH727" i="5"/>
  <c r="BI727" i="5"/>
  <c r="BJ727" i="5"/>
  <c r="BH728" i="5"/>
  <c r="BI728" i="5"/>
  <c r="BJ728" i="5"/>
  <c r="BI729" i="5"/>
  <c r="BJ729" i="5"/>
  <c r="BH730" i="5"/>
  <c r="BI730" i="5"/>
  <c r="BJ730" i="5"/>
  <c r="BH731" i="5"/>
  <c r="BI731" i="5"/>
  <c r="BJ731" i="5"/>
  <c r="BH732" i="5"/>
  <c r="BI732" i="5"/>
  <c r="BJ732" i="5"/>
  <c r="BI733" i="5"/>
  <c r="BJ733" i="5"/>
  <c r="BH734" i="5"/>
  <c r="BI734" i="5"/>
  <c r="BJ734" i="5"/>
  <c r="BH735" i="5"/>
  <c r="BI735" i="5"/>
  <c r="BJ735" i="5"/>
  <c r="BH736" i="5"/>
  <c r="BI736" i="5"/>
  <c r="BJ736" i="5"/>
  <c r="BH737" i="5"/>
  <c r="BI737" i="5"/>
  <c r="BJ737" i="5"/>
  <c r="BH738" i="5"/>
  <c r="BI738" i="5"/>
  <c r="BJ738" i="5"/>
  <c r="BH739" i="5"/>
  <c r="BI739" i="5"/>
  <c r="BJ739" i="5"/>
  <c r="BH740" i="5"/>
  <c r="BI740" i="5"/>
  <c r="BJ740" i="5"/>
  <c r="BI741" i="5"/>
  <c r="BJ741" i="5"/>
  <c r="BI742" i="5"/>
  <c r="BJ742" i="5"/>
  <c r="BH743" i="5"/>
  <c r="BI743" i="5"/>
  <c r="BJ743" i="5"/>
  <c r="BH744" i="5"/>
  <c r="BI744" i="5"/>
  <c r="BJ744" i="5"/>
  <c r="BI745" i="5"/>
  <c r="BJ745" i="5"/>
  <c r="BH746" i="5"/>
  <c r="BI746" i="5"/>
  <c r="BJ746" i="5"/>
  <c r="BH747" i="5"/>
  <c r="BI747" i="5"/>
  <c r="BJ747" i="5"/>
  <c r="BH748" i="5"/>
  <c r="BI748" i="5"/>
  <c r="BJ748" i="5"/>
  <c r="BH749" i="5"/>
  <c r="BI749" i="5"/>
  <c r="BJ749" i="5"/>
  <c r="BI750" i="5"/>
  <c r="BJ750" i="5"/>
  <c r="BH751" i="5"/>
  <c r="BI751" i="5"/>
  <c r="BJ751" i="5"/>
  <c r="BH752" i="5"/>
  <c r="BI752" i="5"/>
  <c r="BJ752" i="5"/>
  <c r="BI753" i="5"/>
  <c r="BJ753" i="5"/>
  <c r="BH754" i="5"/>
  <c r="BI754" i="5"/>
  <c r="BJ754" i="5"/>
  <c r="BH755" i="5"/>
  <c r="BI755" i="5"/>
  <c r="BJ755" i="5"/>
  <c r="BH756" i="5"/>
  <c r="BI756" i="5"/>
  <c r="BJ756" i="5"/>
  <c r="BH757" i="5"/>
  <c r="BI757" i="5"/>
  <c r="BJ757" i="5"/>
  <c r="BH758" i="5"/>
  <c r="BI758" i="5"/>
  <c r="BJ758" i="5"/>
  <c r="BH759" i="5"/>
  <c r="BI759" i="5"/>
  <c r="BJ759" i="5"/>
  <c r="BH760" i="5"/>
  <c r="BI760" i="5"/>
  <c r="BJ760" i="5"/>
  <c r="BI761" i="5"/>
  <c r="BJ761" i="5"/>
  <c r="BI762" i="5"/>
  <c r="BJ762" i="5"/>
  <c r="BI763" i="5"/>
  <c r="BJ763" i="5"/>
  <c r="BI764" i="5"/>
  <c r="BJ764" i="5"/>
  <c r="BI765" i="5"/>
  <c r="BJ765" i="5"/>
  <c r="BI766" i="5"/>
  <c r="BJ766" i="5"/>
  <c r="BH767" i="5"/>
  <c r="BI767" i="5"/>
  <c r="BJ767" i="5"/>
  <c r="BH768" i="5"/>
  <c r="BI768" i="5"/>
  <c r="BJ768" i="5"/>
  <c r="BH769" i="5"/>
  <c r="BI769" i="5"/>
  <c r="BJ769" i="5"/>
  <c r="BH770" i="5"/>
  <c r="BI770" i="5"/>
  <c r="BJ770" i="5"/>
  <c r="BH771" i="5"/>
  <c r="BI771" i="5"/>
  <c r="BJ771" i="5"/>
  <c r="BH772" i="5"/>
  <c r="BI772" i="5"/>
  <c r="BJ772" i="5"/>
  <c r="BH773" i="5"/>
  <c r="BI773" i="5"/>
  <c r="BJ773" i="5"/>
  <c r="BH774" i="5"/>
  <c r="BI774" i="5"/>
  <c r="BJ774" i="5"/>
  <c r="BI775" i="5"/>
  <c r="BJ775" i="5"/>
  <c r="BH776" i="5"/>
  <c r="BI776" i="5"/>
  <c r="BJ776" i="5"/>
  <c r="BH777" i="5"/>
  <c r="BI777" i="5"/>
  <c r="BJ777" i="5"/>
  <c r="BH778" i="5"/>
  <c r="BI778" i="5"/>
  <c r="BJ778" i="5"/>
  <c r="BH779" i="5"/>
  <c r="BI779" i="5"/>
  <c r="BJ779" i="5"/>
  <c r="BH780" i="5"/>
  <c r="BI780" i="5"/>
  <c r="BJ780" i="5"/>
  <c r="BH781" i="5"/>
  <c r="BI781" i="5"/>
  <c r="BJ781" i="5"/>
  <c r="BH782" i="5"/>
  <c r="BI782" i="5"/>
  <c r="BJ782" i="5"/>
  <c r="BI783" i="5"/>
  <c r="BJ783" i="5"/>
  <c r="BI784" i="5"/>
  <c r="BJ784" i="5"/>
  <c r="BI785" i="5"/>
  <c r="BJ785" i="5"/>
  <c r="BI786" i="5"/>
  <c r="BJ786" i="5"/>
  <c r="BI787" i="5"/>
  <c r="BJ787" i="5"/>
  <c r="BH788" i="5"/>
  <c r="BI788" i="5"/>
  <c r="BJ788" i="5"/>
  <c r="BH789" i="5"/>
  <c r="BI789" i="5"/>
  <c r="BJ789" i="5"/>
  <c r="BH790" i="5"/>
  <c r="BI790" i="5"/>
  <c r="BJ790" i="5"/>
  <c r="BH791" i="5"/>
  <c r="BI791" i="5"/>
  <c r="BJ791" i="5"/>
  <c r="BH792" i="5"/>
  <c r="BI792" i="5"/>
  <c r="BJ792" i="5"/>
  <c r="BH793" i="5"/>
  <c r="BI793" i="5"/>
  <c r="BJ793" i="5"/>
  <c r="BH794" i="5"/>
  <c r="BI794" i="5"/>
  <c r="BJ794" i="5"/>
  <c r="BI795" i="5"/>
  <c r="BJ795" i="5"/>
  <c r="BH796" i="5"/>
  <c r="BI796" i="5"/>
  <c r="BJ796" i="5"/>
  <c r="BH797" i="5"/>
  <c r="BI797" i="5"/>
  <c r="BJ797" i="5"/>
  <c r="BI798" i="5"/>
  <c r="BJ798" i="5"/>
  <c r="BH799" i="5"/>
  <c r="BI799" i="5"/>
  <c r="BJ799" i="5"/>
  <c r="BH800" i="5"/>
  <c r="BI800" i="5"/>
  <c r="BJ800" i="5"/>
  <c r="BH801" i="5"/>
  <c r="BI801" i="5"/>
  <c r="BJ801" i="5"/>
  <c r="BH802" i="5"/>
  <c r="BI802" i="5"/>
  <c r="BJ802" i="5"/>
  <c r="BH803" i="5"/>
  <c r="BI803" i="5"/>
  <c r="BJ803" i="5"/>
  <c r="BH804" i="5"/>
  <c r="BI804" i="5"/>
  <c r="BJ804" i="5"/>
  <c r="BI805" i="5"/>
  <c r="BJ805" i="5"/>
  <c r="BH806" i="5"/>
  <c r="BI806" i="5"/>
  <c r="BJ806" i="5"/>
  <c r="BI807" i="5"/>
  <c r="BJ807" i="5"/>
  <c r="BI808" i="5"/>
  <c r="BJ808" i="5"/>
  <c r="BI809" i="5"/>
  <c r="BJ809" i="5"/>
  <c r="BI810" i="5"/>
  <c r="BJ810" i="5"/>
  <c r="BH811" i="5"/>
  <c r="BI811" i="5"/>
  <c r="BJ811" i="5"/>
  <c r="BH812" i="5"/>
  <c r="BI812" i="5"/>
  <c r="BJ812" i="5"/>
  <c r="BH813" i="5"/>
  <c r="BI813" i="5"/>
  <c r="BJ813" i="5"/>
  <c r="BI814" i="5"/>
  <c r="BJ814" i="5"/>
  <c r="BI815" i="5"/>
  <c r="BJ815" i="5"/>
  <c r="BI816" i="5"/>
  <c r="BJ816" i="5"/>
  <c r="BI817" i="5"/>
  <c r="BJ817" i="5"/>
  <c r="BH818" i="5"/>
  <c r="BI818" i="5"/>
  <c r="BJ818" i="5"/>
  <c r="BH819" i="5"/>
  <c r="BI819" i="5"/>
  <c r="BJ819" i="5"/>
  <c r="BH820" i="5"/>
  <c r="BI820" i="5"/>
  <c r="BJ820" i="5"/>
  <c r="BH821" i="5"/>
  <c r="BI821" i="5"/>
  <c r="BJ821" i="5"/>
  <c r="BH822" i="5"/>
  <c r="BI822" i="5"/>
  <c r="BJ822" i="5"/>
  <c r="BH823" i="5"/>
  <c r="BI823" i="5"/>
  <c r="BJ823" i="5"/>
  <c r="BH824" i="5"/>
  <c r="BI824" i="5"/>
  <c r="BJ824" i="5"/>
  <c r="BH825" i="5"/>
  <c r="BI825" i="5"/>
  <c r="BJ825" i="5"/>
  <c r="BI826" i="5"/>
  <c r="BJ826" i="5"/>
  <c r="BI827" i="5"/>
  <c r="BJ827" i="5"/>
  <c r="BI828" i="5"/>
  <c r="BJ828" i="5"/>
  <c r="BI829" i="5"/>
  <c r="BJ829" i="5"/>
  <c r="BI830" i="5"/>
  <c r="BJ830" i="5"/>
  <c r="BH831" i="5"/>
  <c r="BI831" i="5"/>
  <c r="BJ831" i="5"/>
  <c r="BH832" i="5"/>
  <c r="BI832" i="5"/>
  <c r="BJ832" i="5"/>
  <c r="BH833" i="5"/>
  <c r="BI833" i="5"/>
  <c r="BJ833" i="5"/>
  <c r="BH834" i="5"/>
  <c r="BI834" i="5"/>
  <c r="BJ834" i="5"/>
  <c r="BH835" i="5"/>
  <c r="BI835" i="5"/>
  <c r="BJ835" i="5"/>
  <c r="BH836" i="5"/>
  <c r="BI836" i="5"/>
  <c r="BJ836" i="5"/>
  <c r="BH837" i="5"/>
  <c r="BI837" i="5"/>
  <c r="BJ837" i="5"/>
  <c r="BI838" i="5"/>
  <c r="BJ838" i="5"/>
  <c r="BH839" i="5"/>
  <c r="BI839" i="5"/>
  <c r="BJ839" i="5"/>
  <c r="BH840" i="5"/>
  <c r="BI840" i="5"/>
  <c r="BJ840" i="5"/>
  <c r="BI841" i="5"/>
  <c r="BJ841" i="5"/>
  <c r="BH842" i="5"/>
  <c r="BI842" i="5"/>
  <c r="BJ842" i="5"/>
  <c r="BH843" i="5"/>
  <c r="BI843" i="5"/>
  <c r="BJ843" i="5"/>
  <c r="BH844" i="5"/>
  <c r="BI844" i="5"/>
  <c r="BJ844" i="5"/>
  <c r="BH845" i="5"/>
  <c r="BI845" i="5"/>
  <c r="BJ845" i="5"/>
  <c r="BI846" i="5"/>
  <c r="BJ846" i="5"/>
  <c r="BH847" i="5"/>
  <c r="BI847" i="5"/>
  <c r="BJ847" i="5"/>
  <c r="BI848" i="5"/>
  <c r="BJ848" i="5"/>
  <c r="BI849" i="5"/>
  <c r="BJ849" i="5"/>
  <c r="BI850" i="5"/>
  <c r="BJ850" i="5"/>
  <c r="BI851" i="5"/>
  <c r="BJ851" i="5"/>
  <c r="BI852" i="5"/>
  <c r="BJ852" i="5"/>
  <c r="BH853" i="5"/>
  <c r="BI853" i="5"/>
  <c r="BJ853" i="5"/>
  <c r="BH854" i="5"/>
  <c r="BI854" i="5"/>
  <c r="BJ854" i="5"/>
  <c r="BH855" i="5"/>
  <c r="BI855" i="5"/>
  <c r="BJ855" i="5"/>
  <c r="BH856" i="5"/>
  <c r="BI856" i="5"/>
  <c r="BJ856" i="5"/>
  <c r="BH857" i="5"/>
  <c r="BI857" i="5"/>
  <c r="BJ857" i="5"/>
  <c r="BH858" i="5"/>
  <c r="BI858" i="5"/>
  <c r="BJ858" i="5"/>
  <c r="BH859" i="5"/>
  <c r="BI859" i="5"/>
  <c r="BJ859" i="5"/>
  <c r="BH860" i="5"/>
  <c r="BI860" i="5"/>
  <c r="BJ860" i="5"/>
  <c r="BH861" i="5"/>
  <c r="BI861" i="5"/>
  <c r="BJ861" i="5"/>
  <c r="BH862" i="5"/>
  <c r="BI862" i="5"/>
  <c r="BJ862" i="5"/>
  <c r="BH863" i="5"/>
  <c r="BI863" i="5"/>
  <c r="BJ863" i="5"/>
  <c r="BH864" i="5"/>
  <c r="BI864" i="5"/>
  <c r="BJ864" i="5"/>
  <c r="BH865" i="5"/>
  <c r="BI865" i="5"/>
  <c r="BJ865" i="5"/>
  <c r="BH866" i="5"/>
  <c r="BI866" i="5"/>
  <c r="BJ866" i="5"/>
  <c r="BI867" i="5"/>
  <c r="BJ867" i="5"/>
  <c r="BH868" i="5"/>
  <c r="BI868" i="5"/>
  <c r="BJ868" i="5"/>
  <c r="BH869" i="5"/>
  <c r="BI869" i="5"/>
  <c r="BJ869" i="5"/>
  <c r="BI870" i="5"/>
  <c r="BJ870" i="5"/>
  <c r="BH871" i="5"/>
  <c r="BI871" i="5"/>
  <c r="BJ871" i="5"/>
  <c r="BH872" i="5"/>
  <c r="BI872" i="5"/>
  <c r="BJ872" i="5"/>
  <c r="BI873" i="5"/>
  <c r="BJ873" i="5"/>
  <c r="BI874" i="5"/>
  <c r="BJ874" i="5"/>
  <c r="BI875" i="5"/>
  <c r="BJ875" i="5"/>
  <c r="BH876" i="5"/>
  <c r="BI876" i="5"/>
  <c r="BJ876" i="5"/>
  <c r="BH877" i="5"/>
  <c r="BI877" i="5"/>
  <c r="BJ877" i="5"/>
  <c r="BH878" i="5"/>
  <c r="BI878" i="5"/>
  <c r="BJ878" i="5"/>
  <c r="BH879" i="5"/>
  <c r="BI879" i="5"/>
  <c r="BJ879" i="5"/>
  <c r="BH880" i="5"/>
  <c r="BI880" i="5"/>
  <c r="BJ880" i="5"/>
  <c r="BH881" i="5"/>
  <c r="BI881" i="5"/>
  <c r="BJ881" i="5"/>
  <c r="BI882" i="5"/>
  <c r="BJ882" i="5"/>
  <c r="BH883" i="5"/>
  <c r="BI883" i="5"/>
  <c r="BJ883" i="5"/>
  <c r="BI884" i="5"/>
  <c r="BJ884" i="5"/>
  <c r="BI885" i="5"/>
  <c r="BJ885" i="5"/>
  <c r="BI886" i="5"/>
  <c r="BJ886" i="5"/>
  <c r="BH887" i="5"/>
  <c r="BI887" i="5"/>
  <c r="BJ887" i="5"/>
  <c r="BH888" i="5"/>
  <c r="BI888" i="5"/>
  <c r="BJ888" i="5"/>
  <c r="BH889" i="5"/>
  <c r="BI889" i="5"/>
  <c r="BJ889" i="5"/>
  <c r="BH890" i="5"/>
  <c r="BI890" i="5"/>
  <c r="BJ890" i="5"/>
  <c r="BH891" i="5"/>
  <c r="BI891" i="5"/>
  <c r="BJ891" i="5"/>
  <c r="BH892" i="5"/>
  <c r="BI892" i="5"/>
  <c r="BJ892" i="5"/>
  <c r="BI893" i="5"/>
  <c r="BJ893" i="5"/>
  <c r="BI894" i="5"/>
  <c r="BJ894" i="5"/>
  <c r="BI895" i="5"/>
  <c r="BJ895" i="5"/>
  <c r="BI896" i="5"/>
  <c r="BJ896" i="5"/>
  <c r="BH897" i="5"/>
  <c r="BI897" i="5"/>
  <c r="BJ897" i="5"/>
  <c r="BH898" i="5"/>
  <c r="BI898" i="5"/>
  <c r="BJ898" i="5"/>
  <c r="BH899" i="5"/>
  <c r="BI899" i="5"/>
  <c r="BJ899" i="5"/>
  <c r="BH900" i="5"/>
  <c r="BI900" i="5"/>
  <c r="BJ900" i="5"/>
  <c r="BH901" i="5"/>
  <c r="BI901" i="5"/>
  <c r="BJ901" i="5"/>
  <c r="BH902" i="5"/>
  <c r="BI902" i="5"/>
  <c r="BJ902" i="5"/>
  <c r="BH903" i="5"/>
  <c r="BI903" i="5"/>
  <c r="BJ903" i="5"/>
  <c r="BH904" i="5"/>
  <c r="BI904" i="5"/>
  <c r="BJ904" i="5"/>
  <c r="BH905" i="5"/>
  <c r="BI905" i="5"/>
  <c r="BJ905" i="5"/>
  <c r="BI906" i="5"/>
  <c r="BJ906" i="5"/>
  <c r="BH907" i="5"/>
  <c r="BI907" i="5"/>
  <c r="BJ907" i="5"/>
  <c r="BH908" i="5"/>
  <c r="BI908" i="5"/>
  <c r="BJ908" i="5"/>
  <c r="BH909" i="5"/>
  <c r="BI909" i="5"/>
  <c r="BJ909" i="5"/>
  <c r="BI910" i="5"/>
  <c r="BJ910" i="5"/>
  <c r="BH911" i="5"/>
  <c r="BI911" i="5"/>
  <c r="BJ911" i="5"/>
  <c r="BH912" i="5"/>
  <c r="BI912" i="5"/>
  <c r="BJ912" i="5"/>
  <c r="BI913" i="5"/>
  <c r="BJ913" i="5"/>
  <c r="BI914" i="5"/>
  <c r="BJ914" i="5"/>
  <c r="BI915" i="5"/>
  <c r="BJ915" i="5"/>
  <c r="BI916" i="5"/>
  <c r="BJ916" i="5"/>
  <c r="BI917" i="5"/>
  <c r="BJ917" i="5"/>
  <c r="BI918" i="5"/>
  <c r="BJ918" i="5"/>
  <c r="BH919" i="5"/>
  <c r="BI919" i="5"/>
  <c r="BJ919" i="5"/>
  <c r="BI920" i="5"/>
  <c r="BJ920" i="5"/>
  <c r="BI921" i="5"/>
  <c r="BJ921" i="5"/>
  <c r="BH922" i="5"/>
  <c r="BI922" i="5"/>
  <c r="BJ922" i="5"/>
  <c r="BH923" i="5"/>
  <c r="BI923" i="5"/>
  <c r="BJ923" i="5"/>
  <c r="BH924" i="5"/>
  <c r="BI924" i="5"/>
  <c r="BJ924" i="5"/>
  <c r="BH925" i="5"/>
  <c r="BI925" i="5"/>
  <c r="BJ925" i="5"/>
  <c r="BH926" i="5"/>
  <c r="BI926" i="5"/>
  <c r="BJ926" i="5"/>
  <c r="BI927" i="5"/>
  <c r="BJ927" i="5"/>
  <c r="BI928" i="5"/>
  <c r="BJ928" i="5"/>
  <c r="BH929" i="5"/>
  <c r="BI929" i="5"/>
  <c r="BJ929" i="5"/>
  <c r="BH930" i="5"/>
  <c r="BI930" i="5"/>
  <c r="BJ930" i="5"/>
  <c r="BH931" i="5"/>
  <c r="BI931" i="5"/>
  <c r="BJ931" i="5"/>
  <c r="BH932" i="5"/>
  <c r="BI932" i="5"/>
  <c r="BJ932" i="5"/>
  <c r="BH933" i="5"/>
  <c r="BI933" i="5"/>
  <c r="BJ933" i="5"/>
  <c r="BH934" i="5"/>
  <c r="BI934" i="5"/>
  <c r="BJ934" i="5"/>
  <c r="BH935" i="5"/>
  <c r="BI935" i="5"/>
  <c r="BJ935" i="5"/>
  <c r="BI936" i="5"/>
  <c r="BJ936" i="5"/>
  <c r="BH937" i="5"/>
  <c r="BI937" i="5"/>
  <c r="BJ937" i="5"/>
  <c r="BI938" i="5"/>
  <c r="BJ938" i="5"/>
  <c r="BI939" i="5"/>
  <c r="BJ939" i="5"/>
  <c r="BI940" i="5"/>
  <c r="BJ940" i="5"/>
  <c r="BH941" i="5"/>
  <c r="BI941" i="5"/>
  <c r="BJ941" i="5"/>
  <c r="BH942" i="5"/>
  <c r="BI942" i="5"/>
  <c r="BJ942" i="5"/>
  <c r="BH943" i="5"/>
  <c r="BI943" i="5"/>
  <c r="BJ943" i="5"/>
  <c r="BH944" i="5"/>
  <c r="BI944" i="5"/>
  <c r="BJ944" i="5"/>
  <c r="BH945" i="5"/>
  <c r="BI945" i="5"/>
  <c r="BJ945" i="5"/>
  <c r="BH946" i="5"/>
  <c r="BI946" i="5"/>
  <c r="BJ946" i="5"/>
  <c r="BI947" i="5"/>
  <c r="BJ947" i="5"/>
  <c r="BH948" i="5"/>
  <c r="BI948" i="5"/>
  <c r="BJ948" i="5"/>
  <c r="BH949" i="5"/>
  <c r="BI949" i="5"/>
  <c r="BJ949" i="5"/>
  <c r="BI950" i="5"/>
  <c r="BJ950" i="5"/>
  <c r="BI951" i="5"/>
  <c r="BJ951" i="5"/>
  <c r="BH952" i="5"/>
  <c r="BI952" i="5"/>
  <c r="BJ952" i="5"/>
  <c r="BH953" i="5"/>
  <c r="BI953" i="5"/>
  <c r="BJ953" i="5"/>
  <c r="BH954" i="5"/>
  <c r="BI954" i="5"/>
  <c r="BJ954" i="5"/>
  <c r="BH955" i="5"/>
  <c r="BI955" i="5"/>
  <c r="BJ955" i="5"/>
  <c r="BI956" i="5"/>
  <c r="BJ956" i="5"/>
  <c r="BH957" i="5"/>
  <c r="BI957" i="5"/>
  <c r="BJ957" i="5"/>
  <c r="BH958" i="5"/>
  <c r="BI958" i="5"/>
  <c r="BJ958" i="5"/>
  <c r="BI959" i="5"/>
  <c r="BJ959" i="5"/>
  <c r="BI960" i="5"/>
  <c r="BJ960" i="5"/>
  <c r="BI961" i="5"/>
  <c r="BJ961" i="5"/>
  <c r="BH962" i="5"/>
  <c r="BI962" i="5"/>
  <c r="BJ962" i="5"/>
  <c r="BI963" i="5"/>
  <c r="BJ963" i="5"/>
  <c r="BH964" i="5"/>
  <c r="BI964" i="5"/>
  <c r="BJ964" i="5"/>
  <c r="BH965" i="5"/>
  <c r="BI965" i="5"/>
  <c r="BJ965" i="5"/>
  <c r="BI966" i="5"/>
  <c r="BJ966" i="5"/>
  <c r="BI967" i="5"/>
  <c r="BJ967" i="5"/>
  <c r="BI968" i="5"/>
  <c r="BJ968" i="5"/>
  <c r="BH969" i="5"/>
  <c r="BI969" i="5"/>
  <c r="BJ969" i="5"/>
  <c r="BH970" i="5"/>
  <c r="BI970" i="5"/>
  <c r="BJ970" i="5"/>
  <c r="BH971" i="5"/>
  <c r="BI971" i="5"/>
  <c r="BJ971" i="5"/>
  <c r="BH972" i="5"/>
  <c r="BI972" i="5"/>
  <c r="BJ972" i="5"/>
  <c r="BH973" i="5"/>
  <c r="BI973" i="5"/>
  <c r="BJ973" i="5"/>
  <c r="BH974" i="5"/>
  <c r="BI974" i="5"/>
  <c r="BJ974" i="5"/>
  <c r="BH975" i="5"/>
  <c r="BI975" i="5"/>
  <c r="BJ975" i="5"/>
  <c r="BH976" i="5"/>
  <c r="BI976" i="5"/>
  <c r="BJ976" i="5"/>
  <c r="BH977" i="5"/>
  <c r="BI977" i="5"/>
  <c r="BJ977" i="5"/>
  <c r="BH978" i="5"/>
  <c r="BI978" i="5"/>
  <c r="BJ978" i="5"/>
  <c r="BI979" i="5"/>
  <c r="BJ979" i="5"/>
  <c r="BI980" i="5"/>
  <c r="BJ980" i="5"/>
  <c r="BI981" i="5"/>
  <c r="BJ981" i="5"/>
  <c r="BH982" i="5"/>
  <c r="BI982" i="5"/>
  <c r="BJ982" i="5"/>
  <c r="BH983" i="5"/>
  <c r="BI983" i="5"/>
  <c r="BJ983" i="5"/>
  <c r="BH984" i="5"/>
  <c r="BI984" i="5"/>
  <c r="BJ984" i="5"/>
  <c r="BI985" i="5"/>
  <c r="BJ985" i="5"/>
  <c r="BH986" i="5"/>
  <c r="BI986" i="5"/>
  <c r="BJ986" i="5"/>
  <c r="BH987" i="5"/>
  <c r="BI987" i="5"/>
  <c r="BJ987" i="5"/>
  <c r="BI988" i="5"/>
  <c r="BJ988" i="5"/>
  <c r="BH989" i="5"/>
  <c r="BI989" i="5"/>
  <c r="BJ989" i="5"/>
  <c r="BH990" i="5"/>
  <c r="BI990" i="5"/>
  <c r="BJ990" i="5"/>
  <c r="BH991" i="5"/>
  <c r="BI991" i="5"/>
  <c r="BJ991" i="5"/>
  <c r="BH992" i="5"/>
  <c r="BI992" i="5"/>
  <c r="BJ992" i="5"/>
  <c r="BH993" i="5"/>
  <c r="BI993" i="5"/>
  <c r="BJ993" i="5"/>
  <c r="BH994" i="5"/>
  <c r="BI994" i="5"/>
  <c r="BJ994" i="5"/>
  <c r="BH995" i="5"/>
  <c r="BI995" i="5"/>
  <c r="BJ995" i="5"/>
  <c r="BH996" i="5"/>
  <c r="BI996" i="5"/>
  <c r="BJ996" i="5"/>
  <c r="BI997" i="5"/>
  <c r="BJ997" i="5"/>
  <c r="BI998" i="5"/>
  <c r="BJ998" i="5"/>
  <c r="BI999" i="5"/>
  <c r="BJ999" i="5"/>
  <c r="BI1000" i="5"/>
  <c r="BJ1000" i="5"/>
  <c r="BI1001" i="5"/>
  <c r="BJ1001" i="5"/>
  <c r="BI1002" i="5"/>
  <c r="BJ1002" i="5"/>
  <c r="BH1003" i="5"/>
  <c r="BI1003" i="5"/>
  <c r="BJ1003" i="5"/>
  <c r="BI1004" i="5"/>
  <c r="BJ1004" i="5"/>
  <c r="BH1005" i="5"/>
  <c r="BI1005" i="5"/>
  <c r="BJ1005" i="5"/>
  <c r="BI1006" i="5"/>
  <c r="BJ1006" i="5"/>
  <c r="BI1007" i="5"/>
  <c r="BJ1007" i="5"/>
  <c r="BH1008" i="5"/>
  <c r="BI1008" i="5"/>
  <c r="BJ1008" i="5"/>
  <c r="BI1009" i="5"/>
  <c r="BJ1009" i="5"/>
  <c r="BH1010" i="5"/>
  <c r="BI1010" i="5"/>
  <c r="BJ1010" i="5"/>
  <c r="BH1011" i="5"/>
  <c r="BI1011" i="5"/>
  <c r="BJ1011" i="5"/>
  <c r="BI1012" i="5"/>
  <c r="BJ1012" i="5"/>
  <c r="BH1013" i="5"/>
  <c r="BI1013" i="5"/>
  <c r="BJ1013" i="5"/>
  <c r="BH1014" i="5"/>
  <c r="BI1014" i="5"/>
  <c r="BJ1014" i="5"/>
  <c r="BI1015" i="5"/>
  <c r="BJ1015" i="5"/>
  <c r="BH1016" i="5"/>
  <c r="BI1016" i="5"/>
  <c r="BJ1016" i="5"/>
  <c r="BH1017" i="5"/>
  <c r="BI1017" i="5"/>
  <c r="BJ1017" i="5"/>
  <c r="BH1018" i="5"/>
  <c r="BI1018" i="5"/>
  <c r="BJ1018" i="5"/>
  <c r="BH1019" i="5"/>
  <c r="BI1019" i="5"/>
  <c r="BJ1019" i="5"/>
  <c r="BI1020" i="5"/>
  <c r="BJ1020" i="5"/>
  <c r="BI1021" i="5"/>
  <c r="BJ1021" i="5"/>
  <c r="BI1022" i="5"/>
  <c r="BJ1022" i="5"/>
  <c r="BI1023" i="5"/>
  <c r="BJ1023" i="5"/>
  <c r="BI1024" i="5"/>
  <c r="BJ1024" i="5"/>
  <c r="BH1025" i="5"/>
  <c r="BI1025" i="5"/>
  <c r="BJ1025" i="5"/>
  <c r="BH1026" i="5"/>
  <c r="BI1026" i="5"/>
  <c r="BJ1026" i="5"/>
  <c r="BH1027" i="5"/>
  <c r="BI1027" i="5"/>
  <c r="BJ1027" i="5"/>
  <c r="BH1028" i="5"/>
  <c r="BI1028" i="5"/>
  <c r="BJ1028" i="5"/>
  <c r="BH1029" i="5"/>
  <c r="BI1029" i="5"/>
  <c r="BJ1029" i="5"/>
  <c r="BH1030" i="5"/>
  <c r="BI1030" i="5"/>
  <c r="BJ1030" i="5"/>
  <c r="BH1031" i="5"/>
  <c r="BI1031" i="5"/>
  <c r="BJ1031" i="5"/>
  <c r="BH1032" i="5"/>
  <c r="BI1032" i="5"/>
  <c r="BJ1032" i="5"/>
  <c r="BI1033" i="5"/>
  <c r="BJ1033" i="5"/>
  <c r="BI1034" i="5"/>
  <c r="BJ1034" i="5"/>
  <c r="BH1035" i="5"/>
  <c r="BI1035" i="5"/>
  <c r="BJ1035" i="5"/>
  <c r="BH1036" i="5"/>
  <c r="BI1036" i="5"/>
  <c r="BJ1036" i="5"/>
  <c r="BH1037" i="5"/>
  <c r="BI1037" i="5"/>
  <c r="BJ1037" i="5"/>
  <c r="BH1038" i="5"/>
  <c r="BI1038" i="5"/>
  <c r="BJ1038" i="5"/>
  <c r="BH1039" i="5"/>
  <c r="BI1039" i="5"/>
  <c r="BJ1039" i="5"/>
  <c r="BH1040" i="5"/>
  <c r="BI1040" i="5"/>
  <c r="BJ1040" i="5"/>
  <c r="BH1041" i="5"/>
  <c r="BI1041" i="5"/>
  <c r="BJ1041" i="5"/>
  <c r="BI1042" i="5"/>
  <c r="BJ1042" i="5"/>
  <c r="BI1043" i="5"/>
  <c r="BJ1043" i="5"/>
  <c r="BH1044" i="5"/>
  <c r="BI1044" i="5"/>
  <c r="BJ1044" i="5"/>
  <c r="BI1045" i="5"/>
  <c r="BJ1045" i="5"/>
  <c r="BI1046" i="5"/>
  <c r="BJ1046" i="5"/>
  <c r="BH1047" i="5"/>
  <c r="BI1047" i="5"/>
  <c r="BJ1047" i="5"/>
  <c r="BH1048" i="5"/>
  <c r="BI1048" i="5"/>
  <c r="BJ1048" i="5"/>
  <c r="BH1049" i="5"/>
  <c r="BI1049" i="5"/>
  <c r="BJ1049" i="5"/>
  <c r="BH1050" i="5"/>
  <c r="BI1050" i="5"/>
  <c r="BJ1050" i="5"/>
  <c r="BH1051" i="5"/>
  <c r="BI1051" i="5"/>
  <c r="BJ1051" i="5"/>
  <c r="BI1052" i="5"/>
  <c r="BJ1052" i="5"/>
  <c r="BH1053" i="5"/>
  <c r="BI1053" i="5"/>
  <c r="BJ1053" i="5"/>
  <c r="BH1054" i="5"/>
  <c r="BI1054" i="5"/>
  <c r="BJ1054" i="5"/>
  <c r="BH1055" i="5"/>
  <c r="BI1055" i="5"/>
  <c r="BJ1055" i="5"/>
  <c r="BI1056" i="5"/>
  <c r="BJ1056" i="5"/>
  <c r="BH1057" i="5"/>
  <c r="BI1057" i="5"/>
  <c r="BJ1057" i="5"/>
  <c r="BH1058" i="5"/>
  <c r="BI1058" i="5"/>
  <c r="BJ1058" i="5"/>
  <c r="BH1059" i="5"/>
  <c r="BI1059" i="5"/>
  <c r="BJ1059" i="5"/>
  <c r="BH1060" i="5"/>
  <c r="BI1060" i="5"/>
  <c r="BJ1060" i="5"/>
  <c r="BH1061" i="5"/>
  <c r="BI1061" i="5"/>
  <c r="BJ1061" i="5"/>
  <c r="BH1062" i="5"/>
  <c r="BI1062" i="5"/>
  <c r="BJ1062" i="5"/>
  <c r="BI1063" i="5"/>
  <c r="BJ1063" i="5"/>
  <c r="BI1064" i="5"/>
  <c r="BJ1064" i="5"/>
  <c r="BI1065" i="5"/>
  <c r="BJ1065" i="5"/>
  <c r="BI1066" i="5"/>
  <c r="BJ1066" i="5"/>
  <c r="BI1067" i="5"/>
  <c r="BJ1067" i="5"/>
  <c r="BI1068" i="5"/>
  <c r="BJ1068" i="5"/>
  <c r="BI1069" i="5"/>
  <c r="BJ1069" i="5"/>
  <c r="BH1070" i="5"/>
  <c r="BI1070" i="5"/>
  <c r="BJ1070" i="5"/>
  <c r="BH1071" i="5"/>
  <c r="BI1071" i="5"/>
  <c r="BJ1071" i="5"/>
  <c r="BH1072" i="5"/>
  <c r="BI1072" i="5"/>
  <c r="BJ1072" i="5"/>
  <c r="BH1073" i="5"/>
  <c r="BI1073" i="5"/>
  <c r="BJ1073" i="5"/>
  <c r="BH1074" i="5"/>
  <c r="BI1074" i="5"/>
  <c r="BJ1074" i="5"/>
  <c r="BI1075" i="5"/>
  <c r="BJ1075" i="5"/>
  <c r="BH1076" i="5"/>
  <c r="BI1076" i="5"/>
  <c r="BJ1076" i="5"/>
  <c r="BH1077" i="5"/>
  <c r="BI1077" i="5"/>
  <c r="BJ1077" i="5"/>
  <c r="BH1078" i="5"/>
  <c r="BI1078" i="5"/>
  <c r="BJ1078" i="5"/>
  <c r="BH1079" i="5"/>
  <c r="BI1079" i="5"/>
  <c r="BJ1079" i="5"/>
  <c r="BH1080" i="5"/>
  <c r="BI1080" i="5"/>
  <c r="BJ1080" i="5"/>
  <c r="BH1081" i="5"/>
  <c r="BI1081" i="5"/>
  <c r="BJ1081" i="5"/>
  <c r="BH1082" i="5"/>
  <c r="BI1082" i="5"/>
  <c r="BJ1082" i="5"/>
  <c r="BH1083" i="5"/>
  <c r="BI1083" i="5"/>
  <c r="BJ1083" i="5"/>
  <c r="BH1084" i="5"/>
  <c r="BI1084" i="5"/>
  <c r="BJ1084" i="5"/>
  <c r="BH1085" i="5"/>
  <c r="BI1085" i="5"/>
  <c r="BJ1085" i="5"/>
  <c r="BH1086" i="5"/>
  <c r="BI1086" i="5"/>
  <c r="BJ1086" i="5"/>
  <c r="BI1087" i="5"/>
  <c r="BJ1087" i="5"/>
  <c r="BI1088" i="5"/>
  <c r="BJ1088" i="5"/>
  <c r="BI1089" i="5"/>
  <c r="BJ1089" i="5"/>
  <c r="BH1090" i="5"/>
  <c r="BI1090" i="5"/>
  <c r="BJ1090" i="5"/>
  <c r="BH1091" i="5"/>
  <c r="BI1091" i="5"/>
  <c r="BJ1091" i="5"/>
  <c r="BH1092" i="5"/>
  <c r="BI1092" i="5"/>
  <c r="BJ1092" i="5"/>
  <c r="BH1093" i="5"/>
  <c r="BI1093" i="5"/>
  <c r="BJ1093" i="5"/>
  <c r="BH1094" i="5"/>
  <c r="BI1094" i="5"/>
  <c r="BJ1094" i="5"/>
  <c r="BH1095" i="5"/>
  <c r="BI1095" i="5"/>
  <c r="BJ1095" i="5"/>
  <c r="BI1096" i="5"/>
  <c r="BJ1096" i="5"/>
  <c r="BH1097" i="5"/>
  <c r="BI1097" i="5"/>
  <c r="BJ1097" i="5"/>
  <c r="BH1098" i="5"/>
  <c r="BI1098" i="5"/>
  <c r="BJ1098" i="5"/>
  <c r="BH1099" i="5"/>
  <c r="BI1099" i="5"/>
  <c r="BJ1099" i="5"/>
  <c r="BI1100" i="5"/>
  <c r="BJ1100" i="5"/>
  <c r="BH1101" i="5"/>
  <c r="BI1101" i="5"/>
  <c r="BJ1101" i="5"/>
  <c r="BH1102" i="5"/>
  <c r="BI1102" i="5"/>
  <c r="BJ1102" i="5"/>
  <c r="BI1103" i="5"/>
  <c r="BJ1103" i="5"/>
  <c r="BI1104" i="5"/>
  <c r="BJ1104" i="5"/>
  <c r="BI1105" i="5"/>
  <c r="BJ1105" i="5"/>
  <c r="BI1106" i="5"/>
  <c r="BJ1106" i="5"/>
  <c r="BH1107" i="5"/>
  <c r="BI1107" i="5"/>
  <c r="BJ1107" i="5"/>
  <c r="BI1108" i="5"/>
  <c r="BJ1108" i="5"/>
  <c r="BI1109" i="5"/>
  <c r="BJ1109" i="5"/>
  <c r="BI1110" i="5"/>
  <c r="BJ1110" i="5"/>
  <c r="BI1111" i="5"/>
  <c r="BJ1111" i="5"/>
  <c r="BH1112" i="5"/>
  <c r="BI1112" i="5"/>
  <c r="BJ1112" i="5"/>
  <c r="BH1113" i="5"/>
  <c r="BI1113" i="5"/>
  <c r="BJ1113" i="5"/>
  <c r="BH1114" i="5"/>
  <c r="BI1114" i="5"/>
  <c r="BJ1114" i="5"/>
  <c r="BI1115" i="5"/>
  <c r="BJ1115" i="5"/>
  <c r="BH1116" i="5"/>
  <c r="BI1116" i="5"/>
  <c r="BJ1116" i="5"/>
  <c r="BI1117" i="5"/>
  <c r="BJ1117" i="5"/>
  <c r="BI1118" i="5"/>
  <c r="BJ1118" i="5"/>
  <c r="BH1119" i="5"/>
  <c r="BI1119" i="5"/>
  <c r="BJ1119" i="5"/>
  <c r="BH1120" i="5"/>
  <c r="BI1120" i="5"/>
  <c r="BJ1120" i="5"/>
  <c r="BI1121" i="5"/>
  <c r="BJ1121" i="5"/>
  <c r="BH1122" i="5"/>
  <c r="BI1122" i="5"/>
  <c r="BJ1122" i="5"/>
  <c r="BH1123" i="5"/>
  <c r="BI1123" i="5"/>
  <c r="BJ1123" i="5"/>
  <c r="BI1124" i="5"/>
  <c r="BJ1124" i="5"/>
  <c r="BH1125" i="5"/>
  <c r="BI1125" i="5"/>
  <c r="BJ1125" i="5"/>
  <c r="BH1126" i="5"/>
  <c r="BI1126" i="5"/>
  <c r="BJ1126" i="5"/>
  <c r="BH1127" i="5"/>
  <c r="BI1127" i="5"/>
  <c r="BJ1127" i="5"/>
  <c r="BH1128" i="5"/>
  <c r="BI1128" i="5"/>
  <c r="BJ1128" i="5"/>
  <c r="BI1129" i="5"/>
  <c r="BJ1129" i="5"/>
  <c r="BI1130" i="5"/>
  <c r="BJ1130" i="5"/>
  <c r="BI1131" i="5"/>
  <c r="BJ1131" i="5"/>
  <c r="BI1132" i="5"/>
  <c r="BJ1132" i="5"/>
  <c r="BI1133" i="5"/>
  <c r="BJ1133" i="5"/>
  <c r="BI1134" i="5"/>
  <c r="BJ1134" i="5"/>
  <c r="BI1135" i="5"/>
  <c r="BJ1135" i="5"/>
  <c r="BH1136" i="5"/>
  <c r="BI1136" i="5"/>
  <c r="BJ1136" i="5"/>
  <c r="BH1137" i="5"/>
  <c r="BI1137" i="5"/>
  <c r="BJ1137" i="5"/>
  <c r="BH1138" i="5"/>
  <c r="BI1138" i="5"/>
  <c r="BJ1138" i="5"/>
  <c r="BH1139" i="5"/>
  <c r="BI1139" i="5"/>
  <c r="BJ1139" i="5"/>
  <c r="BH1140" i="5"/>
  <c r="BI1140" i="5"/>
  <c r="BJ1140" i="5"/>
  <c r="BI1141" i="5"/>
  <c r="BJ1141" i="5"/>
  <c r="BH1142" i="5"/>
  <c r="BI1142" i="5"/>
  <c r="BJ1142" i="5"/>
  <c r="BH1143" i="5"/>
  <c r="BI1143" i="5"/>
  <c r="BJ1143" i="5"/>
  <c r="BH1144" i="5"/>
  <c r="BI1144" i="5"/>
  <c r="BJ1144" i="5"/>
  <c r="BH1145" i="5"/>
  <c r="BI1145" i="5"/>
  <c r="BJ1145" i="5"/>
  <c r="BH1146" i="5"/>
  <c r="BI1146" i="5"/>
  <c r="BJ1146" i="5"/>
  <c r="BH1147" i="5"/>
  <c r="BI1147" i="5"/>
  <c r="BJ1147" i="5"/>
  <c r="BH1148" i="5"/>
  <c r="BI1148" i="5"/>
  <c r="BJ1148" i="5"/>
  <c r="BH1149" i="5"/>
  <c r="BI1149" i="5"/>
  <c r="BJ1149" i="5"/>
  <c r="BH1150" i="5"/>
  <c r="BI1150" i="5"/>
  <c r="BJ1150" i="5"/>
  <c r="BI1151" i="5"/>
  <c r="BJ1151" i="5"/>
  <c r="BI1152" i="5"/>
  <c r="BJ1152" i="5"/>
  <c r="BH1153" i="5"/>
  <c r="BI1153" i="5"/>
  <c r="BJ1153" i="5"/>
  <c r="BI1154" i="5"/>
  <c r="BJ1154" i="5"/>
  <c r="BI1155" i="5"/>
  <c r="BJ1155" i="5"/>
  <c r="BI1156" i="5"/>
  <c r="BJ1156" i="5"/>
  <c r="BI1157" i="5"/>
  <c r="BJ1157" i="5"/>
  <c r="BH1158" i="5"/>
  <c r="BI1158" i="5"/>
  <c r="BJ1158" i="5"/>
  <c r="BH1159" i="5"/>
  <c r="BI1159" i="5"/>
  <c r="BJ1159" i="5"/>
  <c r="BH1160" i="5"/>
  <c r="BI1160" i="5"/>
  <c r="BJ1160" i="5"/>
  <c r="BH1161" i="5"/>
  <c r="BI1161" i="5"/>
  <c r="BJ1161" i="5"/>
  <c r="BH1162" i="5"/>
  <c r="BI1162" i="5"/>
  <c r="BJ1162" i="5"/>
  <c r="BH1163" i="5"/>
  <c r="BI1163" i="5"/>
  <c r="BJ1163" i="5"/>
  <c r="BH1164" i="5"/>
  <c r="BI1164" i="5"/>
  <c r="BJ1164" i="5"/>
  <c r="BI1165" i="5"/>
  <c r="BJ1165" i="5"/>
  <c r="BH1166" i="5"/>
  <c r="BI1166" i="5"/>
  <c r="BJ1166" i="5"/>
  <c r="BI1167" i="5"/>
  <c r="BJ1167" i="5"/>
  <c r="BH1168" i="5"/>
  <c r="BI1168" i="5"/>
  <c r="BJ1168" i="5"/>
  <c r="BH1169" i="5"/>
  <c r="BI1169" i="5"/>
  <c r="BJ1169" i="5"/>
  <c r="BH1170" i="5"/>
  <c r="BI1170" i="5"/>
  <c r="BJ1170" i="5"/>
  <c r="BH1171" i="5"/>
  <c r="BI1171" i="5"/>
  <c r="BJ1171" i="5"/>
  <c r="BH1172" i="5"/>
  <c r="BI1172" i="5"/>
  <c r="BJ1172" i="5"/>
  <c r="BH1173" i="5"/>
  <c r="BI1173" i="5"/>
  <c r="BJ1173" i="5"/>
  <c r="BH1174" i="5"/>
  <c r="BI1174" i="5"/>
  <c r="BJ1174" i="5"/>
  <c r="BI1175" i="5"/>
  <c r="BJ1175" i="5"/>
  <c r="BI1176" i="5"/>
  <c r="BJ1176" i="5"/>
  <c r="BH1177" i="5"/>
  <c r="BI1177" i="5"/>
  <c r="BJ1177" i="5"/>
  <c r="BI1178" i="5"/>
  <c r="BJ1178" i="5"/>
  <c r="BI1179" i="5"/>
  <c r="BJ1179" i="5"/>
  <c r="BH1180" i="5"/>
  <c r="BI1180" i="5"/>
  <c r="BJ1180" i="5"/>
  <c r="BH1181" i="5"/>
  <c r="BI1181" i="5"/>
  <c r="BJ1181" i="5"/>
  <c r="BH1182" i="5"/>
  <c r="BI1182" i="5"/>
  <c r="BJ1182" i="5"/>
  <c r="BH1183" i="5"/>
  <c r="BI1183" i="5"/>
  <c r="BJ1183" i="5"/>
  <c r="BH1184" i="5"/>
  <c r="BI1184" i="5"/>
  <c r="BJ1184" i="5"/>
  <c r="BH1185" i="5"/>
  <c r="BI1185" i="5"/>
  <c r="BJ1185" i="5"/>
  <c r="BH1186" i="5"/>
  <c r="BI1186" i="5"/>
  <c r="BJ1186" i="5"/>
  <c r="BI1187" i="5"/>
  <c r="BJ1187" i="5"/>
  <c r="BI1188" i="5"/>
  <c r="BJ1188" i="5"/>
  <c r="BI1189" i="5"/>
  <c r="BJ1189" i="5"/>
  <c r="BH1190" i="5"/>
  <c r="BI1190" i="5"/>
  <c r="BJ1190" i="5"/>
  <c r="BH1191" i="5"/>
  <c r="BI1191" i="5"/>
  <c r="BJ1191" i="5"/>
  <c r="BH1192" i="5"/>
  <c r="BI1192" i="5"/>
  <c r="BJ1192" i="5"/>
  <c r="BI1193" i="5"/>
  <c r="BJ1193" i="5"/>
  <c r="BI1194" i="5"/>
  <c r="BJ1194" i="5"/>
  <c r="BH1195" i="5"/>
  <c r="BI1195" i="5"/>
  <c r="BJ1195" i="5"/>
  <c r="BH1196" i="5"/>
  <c r="BI1196" i="5"/>
  <c r="BJ1196" i="5"/>
  <c r="BI1197" i="5"/>
  <c r="BJ1197" i="5"/>
  <c r="BI1198" i="5"/>
  <c r="BJ1198" i="5"/>
  <c r="BI1199" i="5"/>
  <c r="BJ1199" i="5"/>
  <c r="BI1200" i="5"/>
  <c r="BJ1200" i="5"/>
  <c r="BI1201" i="5"/>
  <c r="BJ1201" i="5"/>
  <c r="BI1202" i="5"/>
  <c r="BJ1202" i="5"/>
  <c r="BH1203" i="5"/>
  <c r="BI1203" i="5"/>
  <c r="BJ1203" i="5"/>
  <c r="BH1204" i="5"/>
  <c r="BI1204" i="5"/>
  <c r="BJ1204" i="5"/>
  <c r="BH1205" i="5"/>
  <c r="BI1205" i="5"/>
  <c r="BJ1205" i="5"/>
  <c r="BH1206" i="5"/>
  <c r="BI1206" i="5"/>
  <c r="BJ1206" i="5"/>
  <c r="BI1207" i="5"/>
  <c r="BJ1207" i="5"/>
  <c r="BH1208" i="5"/>
  <c r="BI1208" i="5"/>
  <c r="BJ1208" i="5"/>
  <c r="BH1209" i="5"/>
  <c r="BI1209" i="5"/>
  <c r="BJ1209" i="5"/>
  <c r="BH1210" i="5"/>
  <c r="BI1210" i="5"/>
  <c r="BJ1210" i="5"/>
  <c r="BH1211" i="5"/>
  <c r="BI1211" i="5"/>
  <c r="BJ1211" i="5"/>
  <c r="BH1212" i="5"/>
  <c r="BI1212" i="5"/>
  <c r="BJ1212" i="5"/>
  <c r="BI1213" i="5"/>
  <c r="BJ1213" i="5"/>
  <c r="BH1214" i="5"/>
  <c r="BI1214" i="5"/>
  <c r="BJ1214" i="5"/>
  <c r="BH1215" i="5"/>
  <c r="BI1215" i="5"/>
  <c r="BJ1215" i="5"/>
  <c r="BH1216" i="5"/>
  <c r="BI1216" i="5"/>
  <c r="BJ1216" i="5"/>
  <c r="BH1217" i="5"/>
  <c r="BI1217" i="5"/>
  <c r="BJ1217" i="5"/>
  <c r="BH1218" i="5"/>
  <c r="BI1218" i="5"/>
  <c r="BJ1218" i="5"/>
  <c r="BH1219" i="5"/>
  <c r="BI1219" i="5"/>
  <c r="BJ1219" i="5"/>
  <c r="BH1220" i="5"/>
  <c r="BI1220" i="5"/>
  <c r="BJ1220" i="5"/>
  <c r="BI1221" i="5"/>
  <c r="BJ1221" i="5"/>
  <c r="BI1222" i="5"/>
  <c r="BJ1222" i="5"/>
  <c r="BI1223" i="5"/>
  <c r="BJ1223" i="5"/>
  <c r="BI1224" i="5"/>
  <c r="BJ1224" i="5"/>
  <c r="BI1225" i="5"/>
  <c r="BJ1225" i="5"/>
  <c r="BI1226" i="5"/>
  <c r="BJ1226" i="5"/>
  <c r="BH1227" i="5"/>
  <c r="BI1227" i="5"/>
  <c r="BJ1227" i="5"/>
  <c r="BH1228" i="5"/>
  <c r="BI1228" i="5"/>
  <c r="BJ1228" i="5"/>
  <c r="BH1229" i="5"/>
  <c r="BI1229" i="5"/>
  <c r="BJ1229" i="5"/>
  <c r="BH1230" i="5"/>
  <c r="BI1230" i="5"/>
  <c r="BJ1230" i="5"/>
  <c r="BI1231" i="5"/>
  <c r="BJ1231" i="5"/>
  <c r="BH1232" i="5"/>
  <c r="BI1232" i="5"/>
  <c r="BJ1232" i="5"/>
  <c r="BH1233" i="5"/>
  <c r="BI1233" i="5"/>
  <c r="BJ1233" i="5"/>
  <c r="BI1234" i="5"/>
  <c r="BJ1234" i="5"/>
  <c r="BH1235" i="5"/>
  <c r="BI1235" i="5"/>
  <c r="BJ1235" i="5"/>
  <c r="BI1236" i="5"/>
  <c r="BJ1236" i="5"/>
  <c r="BI1237" i="5"/>
  <c r="BJ1237" i="5"/>
  <c r="BH1238" i="5"/>
  <c r="BI1238" i="5"/>
  <c r="BJ1238" i="5"/>
  <c r="BH1239" i="5"/>
  <c r="BI1239" i="5"/>
  <c r="BJ1239" i="5"/>
  <c r="BH1240" i="5"/>
  <c r="BI1240" i="5"/>
  <c r="BJ1240" i="5"/>
  <c r="BH1241" i="5"/>
  <c r="BI1241" i="5"/>
  <c r="BJ1241" i="5"/>
  <c r="BH1242" i="5"/>
  <c r="BI1242" i="5"/>
  <c r="BJ1242" i="5"/>
  <c r="BH1243" i="5"/>
  <c r="BI1243" i="5"/>
  <c r="BJ1243" i="5"/>
  <c r="BH1244" i="5"/>
  <c r="BI1244" i="5"/>
  <c r="BJ1244" i="5"/>
  <c r="BI1245" i="5"/>
  <c r="BJ1245" i="5"/>
  <c r="BI1246" i="5"/>
  <c r="BJ1246" i="5"/>
  <c r="BI1247" i="5"/>
  <c r="BJ1247" i="5"/>
  <c r="BH1248" i="5"/>
  <c r="BI1248" i="5"/>
  <c r="BJ1248" i="5"/>
  <c r="BH1249" i="5"/>
  <c r="BI1249" i="5"/>
  <c r="BJ1249" i="5"/>
  <c r="BH1250" i="5"/>
  <c r="BI1250" i="5"/>
  <c r="BJ1250" i="5"/>
  <c r="BH1251" i="5"/>
  <c r="BI1251" i="5"/>
  <c r="BJ1251" i="5"/>
  <c r="BH1252" i="5"/>
  <c r="BI1252" i="5"/>
  <c r="BJ1252" i="5"/>
  <c r="BH1253" i="5"/>
  <c r="BI1253" i="5"/>
  <c r="BJ1253" i="5"/>
  <c r="BH1254" i="5"/>
  <c r="BI1254" i="5"/>
  <c r="BJ1254" i="5"/>
  <c r="BI1255" i="5"/>
  <c r="BJ1255" i="5"/>
  <c r="BH1256" i="5"/>
  <c r="BI1256" i="5"/>
  <c r="BJ1256" i="5"/>
  <c r="BI1257" i="5"/>
  <c r="BJ1257" i="5"/>
  <c r="BH1258" i="5"/>
  <c r="BI1258" i="5"/>
  <c r="BJ1258" i="5"/>
  <c r="BH1259" i="5"/>
  <c r="BI1259" i="5"/>
  <c r="BJ1259" i="5"/>
  <c r="BH1260" i="5"/>
  <c r="BI1260" i="5"/>
  <c r="BJ1260" i="5"/>
  <c r="BH1261" i="5"/>
  <c r="BI1261" i="5"/>
  <c r="BJ1261" i="5"/>
  <c r="BH1262" i="5"/>
  <c r="BI1262" i="5"/>
  <c r="BJ1262" i="5"/>
  <c r="BH1263" i="5"/>
  <c r="BI1263" i="5"/>
  <c r="BJ1263" i="5"/>
  <c r="BH1264" i="5"/>
  <c r="BI1264" i="5"/>
  <c r="BJ1264" i="5"/>
  <c r="BI1265" i="5"/>
  <c r="BJ1265" i="5"/>
  <c r="BI1266" i="5"/>
  <c r="BJ1266" i="5"/>
  <c r="BI1267" i="5"/>
  <c r="BJ1267" i="5"/>
  <c r="BI1268" i="5"/>
  <c r="BJ1268" i="5"/>
  <c r="BH1269" i="5"/>
  <c r="BI1269" i="5"/>
  <c r="BJ1269" i="5"/>
  <c r="BH1270" i="5"/>
  <c r="BI1270" i="5"/>
  <c r="BJ1270" i="5"/>
  <c r="BH1271" i="5"/>
  <c r="BI1271" i="5"/>
  <c r="BJ1271" i="5"/>
  <c r="BH1272" i="5"/>
  <c r="BI1272" i="5"/>
  <c r="BJ1272" i="5"/>
  <c r="BH1273" i="5"/>
  <c r="BI1273" i="5"/>
  <c r="BJ1273" i="5"/>
  <c r="BH1274" i="5"/>
  <c r="BI1274" i="5"/>
  <c r="BJ1274" i="5"/>
  <c r="BH1275" i="5"/>
  <c r="BI1275" i="5"/>
  <c r="BJ1275" i="5"/>
  <c r="BH1276" i="5"/>
  <c r="BI1276" i="5"/>
  <c r="BJ1276" i="5"/>
  <c r="BH1277" i="5"/>
  <c r="BI1277" i="5"/>
  <c r="BJ1277" i="5"/>
  <c r="BH1278" i="5"/>
  <c r="BI1278" i="5"/>
  <c r="BJ1278" i="5"/>
  <c r="BH1279" i="5"/>
  <c r="BI1279" i="5"/>
  <c r="BJ1279" i="5"/>
  <c r="BI1280" i="5"/>
  <c r="BJ1280" i="5"/>
  <c r="BH1281" i="5"/>
  <c r="BI1281" i="5"/>
  <c r="BJ1281" i="5"/>
  <c r="BH1282" i="5"/>
  <c r="BI1282" i="5"/>
  <c r="BJ1282" i="5"/>
  <c r="BH1283" i="5"/>
  <c r="BI1283" i="5"/>
  <c r="BJ1283" i="5"/>
  <c r="BH1284" i="5"/>
  <c r="BI1284" i="5"/>
  <c r="BJ1284" i="5"/>
  <c r="BI1285" i="5"/>
  <c r="BJ1285" i="5"/>
  <c r="BH1286" i="5"/>
  <c r="BI1286" i="5"/>
  <c r="BJ1286" i="5"/>
  <c r="BI1287" i="5"/>
  <c r="BJ1287" i="5"/>
  <c r="BI1288" i="5"/>
  <c r="BJ1288" i="5"/>
  <c r="BI1289" i="5"/>
  <c r="BJ1289" i="5"/>
  <c r="BI1290" i="5"/>
  <c r="BJ1290" i="5"/>
  <c r="BI1291" i="5"/>
  <c r="BJ1291" i="5"/>
  <c r="BI1292" i="5"/>
  <c r="BJ1292" i="5"/>
  <c r="BH1293" i="5"/>
  <c r="BI1293" i="5"/>
  <c r="BJ1293" i="5"/>
  <c r="BH1294" i="5"/>
  <c r="BI1294" i="5"/>
  <c r="BJ1294" i="5"/>
  <c r="BH1295" i="5"/>
  <c r="BI1295" i="5"/>
  <c r="BJ1295" i="5"/>
  <c r="BH1296" i="5"/>
  <c r="BI1296" i="5"/>
  <c r="BJ1296" i="5"/>
  <c r="BH1297" i="5"/>
  <c r="BI1297" i="5"/>
  <c r="BJ1297" i="5"/>
  <c r="BH1298" i="5"/>
  <c r="BI1298" i="5"/>
  <c r="BJ1298" i="5"/>
  <c r="BH1299" i="5"/>
  <c r="BI1299" i="5"/>
  <c r="BJ1299" i="5"/>
  <c r="BI1300" i="5"/>
  <c r="BJ1300" i="5"/>
  <c r="BH1301" i="5"/>
  <c r="BI1301" i="5"/>
  <c r="BJ1301" i="5"/>
  <c r="BH1302" i="5"/>
  <c r="BI1302" i="5"/>
  <c r="BJ1302" i="5"/>
  <c r="BI1303" i="5"/>
  <c r="BJ1303" i="5"/>
  <c r="BH1304" i="5"/>
  <c r="BI1304" i="5"/>
  <c r="BJ1304" i="5"/>
  <c r="BH1305" i="5"/>
  <c r="BI1305" i="5"/>
  <c r="BJ1305" i="5"/>
  <c r="BH1306" i="5"/>
  <c r="BI1306" i="5"/>
  <c r="BJ1306" i="5"/>
  <c r="BH1307" i="5"/>
  <c r="BI1307" i="5"/>
  <c r="BJ1307" i="5"/>
  <c r="BH1308" i="5"/>
  <c r="BI1308" i="5"/>
  <c r="BJ1308" i="5"/>
  <c r="BI1309" i="5"/>
  <c r="BJ1309" i="5"/>
  <c r="BH1310" i="5"/>
  <c r="BI1310" i="5"/>
  <c r="BJ1310" i="5"/>
  <c r="BI1311" i="5"/>
  <c r="BJ1311" i="5"/>
  <c r="BI1312" i="5"/>
  <c r="BJ1312" i="5"/>
  <c r="BI1313" i="5"/>
  <c r="BJ1313" i="5"/>
  <c r="BI1314" i="5"/>
  <c r="BJ1314" i="5"/>
  <c r="BI1315" i="5"/>
  <c r="BJ1315" i="5"/>
  <c r="BH1316" i="5"/>
  <c r="BI1316" i="5"/>
  <c r="BJ1316" i="5"/>
  <c r="BH1317" i="5"/>
  <c r="BI1317" i="5"/>
  <c r="BJ1317" i="5"/>
  <c r="BH1318" i="5"/>
  <c r="BI1318" i="5"/>
  <c r="BJ1318" i="5"/>
  <c r="BH1319" i="5"/>
  <c r="BI1319" i="5"/>
  <c r="BJ1319" i="5"/>
  <c r="BH1320" i="5"/>
  <c r="BI1320" i="5"/>
  <c r="BJ1320" i="5"/>
  <c r="BH1321" i="5"/>
  <c r="BI1321" i="5"/>
  <c r="BJ1321" i="5"/>
  <c r="BH1322" i="5"/>
  <c r="BI1322" i="5"/>
  <c r="BJ1322" i="5"/>
  <c r="BI1323" i="5"/>
  <c r="BJ1323" i="5"/>
  <c r="BH1324" i="5"/>
  <c r="BI1324" i="5"/>
  <c r="BJ1324" i="5"/>
  <c r="BH1325" i="5"/>
  <c r="BI1325" i="5"/>
  <c r="BJ1325" i="5"/>
  <c r="BH1326" i="5"/>
  <c r="BI1326" i="5"/>
  <c r="BJ1326" i="5"/>
  <c r="BH1327" i="5"/>
  <c r="BI1327" i="5"/>
  <c r="BJ1327" i="5"/>
  <c r="BH1328" i="5"/>
  <c r="BI1328" i="5"/>
  <c r="BJ1328" i="5"/>
  <c r="BH1329" i="5"/>
  <c r="BI1329" i="5"/>
  <c r="BJ1329" i="5"/>
  <c r="BH1330" i="5"/>
  <c r="BI1330" i="5"/>
  <c r="BJ1330" i="5"/>
  <c r="BI1331" i="5"/>
  <c r="BJ1331" i="5"/>
  <c r="BH1332" i="5"/>
  <c r="BI1332" i="5"/>
  <c r="BJ1332" i="5"/>
  <c r="BI1333" i="5"/>
  <c r="BJ1333" i="5"/>
  <c r="BH1334" i="5"/>
  <c r="BI1334" i="5"/>
  <c r="BJ1334" i="5"/>
  <c r="BI1335" i="5"/>
  <c r="BJ1335" i="5"/>
  <c r="BI1336" i="5"/>
  <c r="BJ1336" i="5"/>
  <c r="BI1337" i="5"/>
  <c r="BJ1337" i="5"/>
  <c r="BI1338" i="5"/>
  <c r="BJ1338" i="5"/>
  <c r="BH1339" i="5"/>
  <c r="BI1339" i="5"/>
  <c r="BJ1339" i="5"/>
  <c r="BH1340" i="5"/>
  <c r="BI1340" i="5"/>
  <c r="BJ1340" i="5"/>
  <c r="BH1341" i="5"/>
  <c r="BI1341" i="5"/>
  <c r="BJ1341" i="5"/>
  <c r="BH1342" i="5"/>
  <c r="BI1342" i="5"/>
  <c r="BJ1342" i="5"/>
  <c r="BH1343" i="5"/>
  <c r="BI1343" i="5"/>
  <c r="BJ1343" i="5"/>
  <c r="BI1344" i="5"/>
  <c r="BJ1344" i="5"/>
  <c r="BH1345" i="5"/>
  <c r="BI1345" i="5"/>
  <c r="BJ1345" i="5"/>
  <c r="BH1346" i="5"/>
  <c r="BI1346" i="5"/>
  <c r="BJ1346" i="5"/>
  <c r="BI1347" i="5"/>
  <c r="BJ1347" i="5"/>
  <c r="BI1348" i="5"/>
  <c r="BJ1348" i="5"/>
  <c r="BH1349" i="5"/>
  <c r="BI1349" i="5"/>
  <c r="BJ1349" i="5"/>
  <c r="BH1350" i="5"/>
  <c r="BI1350" i="5"/>
  <c r="BJ1350" i="5"/>
  <c r="BH1351" i="5"/>
  <c r="BI1351" i="5"/>
  <c r="BJ1351" i="5"/>
  <c r="BH1352" i="5"/>
  <c r="BI1352" i="5"/>
  <c r="BJ1352" i="5"/>
  <c r="BH1353" i="5"/>
  <c r="BI1353" i="5"/>
  <c r="BJ1353" i="5"/>
  <c r="BI1354" i="5"/>
  <c r="BJ1354" i="5"/>
  <c r="BH1355" i="5"/>
  <c r="BI1355" i="5"/>
  <c r="BJ1355" i="5"/>
  <c r="BI1356" i="5"/>
  <c r="BJ1356" i="5"/>
  <c r="BI1357" i="5"/>
  <c r="BJ1357" i="5"/>
  <c r="BI1358" i="5"/>
  <c r="BJ1358" i="5"/>
  <c r="BI1359" i="5"/>
  <c r="BJ1359" i="5"/>
  <c r="BH1360" i="5"/>
  <c r="BI1360" i="5"/>
  <c r="BJ1360" i="5"/>
  <c r="BH1361" i="5"/>
  <c r="BI1361" i="5"/>
  <c r="BJ1361" i="5"/>
  <c r="BH1362" i="5"/>
  <c r="BI1362" i="5"/>
  <c r="BJ1362" i="5"/>
  <c r="BI1363" i="5"/>
  <c r="BJ1363" i="5"/>
  <c r="BH1364" i="5"/>
  <c r="BI1364" i="5"/>
  <c r="BJ1364" i="5"/>
  <c r="BH1365" i="5"/>
  <c r="BI1365" i="5"/>
  <c r="BJ1365" i="5"/>
  <c r="BI1366" i="5"/>
  <c r="BJ1366" i="5"/>
  <c r="BH1367" i="5"/>
  <c r="BI1367" i="5"/>
  <c r="BJ1367" i="5"/>
  <c r="BH1368" i="5"/>
  <c r="BI1368" i="5"/>
  <c r="BJ1368" i="5"/>
  <c r="BI1369" i="5"/>
  <c r="BJ1369" i="5"/>
  <c r="BH1370" i="5"/>
  <c r="BI1370" i="5"/>
  <c r="BJ1370" i="5"/>
  <c r="BH1371" i="5"/>
  <c r="BI1371" i="5"/>
  <c r="BJ1371" i="5"/>
  <c r="BH1372" i="5"/>
  <c r="BI1372" i="5"/>
  <c r="BJ1372" i="5"/>
  <c r="BI1373" i="5"/>
  <c r="BJ1373" i="5"/>
  <c r="BH1374" i="5"/>
  <c r="BI1374" i="5"/>
  <c r="BJ1374" i="5"/>
  <c r="BH1375" i="5"/>
  <c r="BI1375" i="5"/>
  <c r="BJ1375" i="5"/>
  <c r="BH1376" i="5"/>
  <c r="BI1376" i="5"/>
  <c r="BJ1376" i="5"/>
  <c r="BH1377" i="5"/>
  <c r="BI1377" i="5"/>
  <c r="BJ1377" i="5"/>
  <c r="BI1378" i="5"/>
  <c r="BJ1378" i="5"/>
  <c r="BI1379" i="5"/>
  <c r="BJ1379" i="5"/>
  <c r="BI1380" i="5"/>
  <c r="BJ1380" i="5"/>
  <c r="BI1381" i="5"/>
  <c r="BJ1381" i="5"/>
  <c r="BH1382" i="5"/>
  <c r="BI1382" i="5"/>
  <c r="BJ1382" i="5"/>
  <c r="BH1383" i="5"/>
  <c r="BI1383" i="5"/>
  <c r="BJ1383" i="5"/>
  <c r="BH1384" i="5"/>
  <c r="BI1384" i="5"/>
  <c r="BJ1384" i="5"/>
  <c r="BH1385" i="5"/>
  <c r="BI1385" i="5"/>
  <c r="BJ1385" i="5"/>
  <c r="BH1386" i="5"/>
  <c r="BI1386" i="5"/>
  <c r="BJ1386" i="5"/>
  <c r="BH1387" i="5"/>
  <c r="BI1387" i="5"/>
  <c r="BJ1387" i="5"/>
  <c r="BI1388" i="5"/>
  <c r="BJ1388" i="5"/>
  <c r="BH1389" i="5"/>
  <c r="BI1389" i="5"/>
  <c r="BJ1389" i="5"/>
  <c r="BH1390" i="5"/>
  <c r="BI1390" i="5"/>
  <c r="BJ1390" i="5"/>
  <c r="BH1391" i="5"/>
  <c r="BI1391" i="5"/>
  <c r="BJ1391" i="5"/>
  <c r="BH1392" i="5"/>
  <c r="BI1392" i="5"/>
  <c r="BJ1392" i="5"/>
  <c r="BI1393" i="5"/>
  <c r="BJ1393" i="5"/>
  <c r="BH1394" i="5"/>
  <c r="BI1394" i="5"/>
  <c r="BJ1394" i="5"/>
  <c r="BH1395" i="5"/>
  <c r="BI1395" i="5"/>
  <c r="BJ1395" i="5"/>
  <c r="BH1396" i="5"/>
  <c r="BI1396" i="5"/>
  <c r="BJ1396" i="5"/>
  <c r="BH1397" i="5"/>
  <c r="BI1397" i="5"/>
  <c r="BJ1397" i="5"/>
  <c r="BH1398" i="5"/>
  <c r="BI1398" i="5"/>
  <c r="BJ1398" i="5"/>
  <c r="BH1399" i="5"/>
  <c r="BI1399" i="5"/>
  <c r="BJ1399" i="5"/>
  <c r="BH1400" i="5"/>
  <c r="BI1400" i="5"/>
  <c r="BJ1400" i="5"/>
  <c r="BI1401" i="5"/>
  <c r="BJ1401" i="5"/>
  <c r="BI1402" i="5"/>
  <c r="BJ1402" i="5"/>
  <c r="BH1403" i="5"/>
  <c r="BI1403" i="5"/>
  <c r="BJ1403" i="5"/>
  <c r="BH1404" i="5"/>
  <c r="BI1404" i="5"/>
  <c r="BJ1404" i="5"/>
  <c r="BH1405" i="5"/>
  <c r="BI1405" i="5"/>
  <c r="BJ1405" i="5"/>
  <c r="BH1406" i="5"/>
  <c r="BI1406" i="5"/>
  <c r="BJ1406" i="5"/>
  <c r="BH1407" i="5"/>
  <c r="BI1407" i="5"/>
  <c r="BJ1407" i="5"/>
  <c r="BH1408" i="5"/>
  <c r="BI1408" i="5"/>
  <c r="BJ1408" i="5"/>
  <c r="BI1409" i="5"/>
  <c r="BJ1409" i="5"/>
  <c r="BI1410" i="5"/>
  <c r="BJ1410" i="5"/>
  <c r="BI1411" i="5"/>
  <c r="BJ1411" i="5"/>
  <c r="BH1412" i="5"/>
  <c r="BI1412" i="5"/>
  <c r="BJ1412" i="5"/>
  <c r="BH1413" i="5"/>
  <c r="BI1413" i="5"/>
  <c r="BJ1413" i="5"/>
  <c r="BI1414" i="5"/>
  <c r="BJ1414" i="5"/>
  <c r="BH1415" i="5"/>
  <c r="BI1415" i="5"/>
  <c r="BJ1415" i="5"/>
  <c r="BH1416" i="5"/>
  <c r="BI1416" i="5"/>
  <c r="BJ1416" i="5"/>
  <c r="BH1417" i="5"/>
  <c r="BI1417" i="5"/>
  <c r="BJ1417" i="5"/>
  <c r="BH1418" i="5"/>
  <c r="BI1418" i="5"/>
  <c r="BJ1418" i="5"/>
  <c r="BI1419" i="5"/>
  <c r="BJ1419" i="5"/>
  <c r="BI1420" i="5"/>
  <c r="BJ1420" i="5"/>
  <c r="BI1421" i="5"/>
  <c r="BJ1421" i="5"/>
  <c r="BI1422" i="5"/>
  <c r="BJ1422" i="5"/>
  <c r="BI1423" i="5"/>
  <c r="BJ1423" i="5"/>
  <c r="BI1424" i="5"/>
  <c r="BJ1424" i="5"/>
  <c r="BH1425" i="5"/>
  <c r="BI1425" i="5"/>
  <c r="BJ1425" i="5"/>
  <c r="BH1426" i="5"/>
  <c r="BI1426" i="5"/>
  <c r="BJ1426" i="5"/>
  <c r="BH1427" i="5"/>
  <c r="BI1427" i="5"/>
  <c r="BJ1427" i="5"/>
  <c r="BH1428" i="5"/>
  <c r="BI1428" i="5"/>
  <c r="BJ1428" i="5"/>
  <c r="BH1429" i="5"/>
  <c r="BI1429" i="5"/>
  <c r="BJ1429" i="5"/>
  <c r="BH1430" i="5"/>
  <c r="BI1430" i="5"/>
  <c r="BJ1430" i="5"/>
  <c r="BH1431" i="5"/>
  <c r="BI1431" i="5"/>
  <c r="BJ1431" i="5"/>
  <c r="BH1432" i="5"/>
  <c r="BI1432" i="5"/>
  <c r="BJ1432" i="5"/>
  <c r="BH1433" i="5"/>
  <c r="BI1433" i="5"/>
  <c r="BJ1433" i="5"/>
  <c r="BH1434" i="5"/>
  <c r="BI1434" i="5"/>
  <c r="BJ1434" i="5"/>
  <c r="BI1435" i="5"/>
  <c r="BJ1435" i="5"/>
  <c r="BH1436" i="5"/>
  <c r="BI1436" i="5"/>
  <c r="BJ1436" i="5"/>
  <c r="BH1437" i="5"/>
  <c r="BI1437" i="5"/>
  <c r="BJ1437" i="5"/>
  <c r="BH1438" i="5"/>
  <c r="BI1438" i="5"/>
  <c r="BJ1438" i="5"/>
  <c r="BH1439" i="5"/>
  <c r="BI1439" i="5"/>
  <c r="BJ1439" i="5"/>
  <c r="BH1440" i="5"/>
  <c r="BI1440" i="5"/>
  <c r="BJ1440" i="5"/>
  <c r="BH1441" i="5"/>
  <c r="BI1441" i="5"/>
  <c r="BJ1441" i="5"/>
  <c r="BH1442" i="5"/>
  <c r="BI1442" i="5"/>
  <c r="BJ1442" i="5"/>
  <c r="BH1443" i="5"/>
  <c r="BI1443" i="5"/>
  <c r="BJ1443" i="5"/>
  <c r="BI1444" i="5"/>
  <c r="BJ1444" i="5"/>
  <c r="BI1445" i="5"/>
  <c r="BJ1445" i="5"/>
  <c r="BI1446" i="5"/>
  <c r="BJ1446" i="5"/>
  <c r="BI1447" i="5"/>
  <c r="BJ1447" i="5"/>
  <c r="BH1448" i="5"/>
  <c r="BI1448" i="5"/>
  <c r="BJ1448" i="5"/>
  <c r="BH1449" i="5"/>
  <c r="BI1449" i="5"/>
  <c r="BJ1449" i="5"/>
  <c r="BH1450" i="5"/>
  <c r="BI1450" i="5"/>
  <c r="BJ1450" i="5"/>
  <c r="BH1451" i="5"/>
  <c r="BI1451" i="5"/>
  <c r="BJ1451" i="5"/>
  <c r="BH1452" i="5"/>
  <c r="BI1452" i="5"/>
  <c r="BJ1452" i="5"/>
  <c r="BH1453" i="5"/>
  <c r="BI1453" i="5"/>
  <c r="BJ1453" i="5"/>
  <c r="BI1454" i="5"/>
  <c r="BJ1454" i="5"/>
  <c r="BH1455" i="5"/>
  <c r="BI1455" i="5"/>
  <c r="BJ1455" i="5"/>
  <c r="BH1456" i="5"/>
  <c r="BI1456" i="5"/>
  <c r="BJ1456" i="5"/>
  <c r="BI1457" i="5"/>
  <c r="BJ1457" i="5"/>
  <c r="BH1458" i="5"/>
  <c r="BI1458" i="5"/>
  <c r="BJ1458" i="5"/>
  <c r="BH1459" i="5"/>
  <c r="BI1459" i="5"/>
  <c r="BJ1459" i="5"/>
  <c r="BH1460" i="5"/>
  <c r="BI1460" i="5"/>
  <c r="BJ1460" i="5"/>
  <c r="BH1461" i="5"/>
  <c r="BI1461" i="5"/>
  <c r="BJ1461" i="5"/>
  <c r="BH1462" i="5"/>
  <c r="BI1462" i="5"/>
  <c r="BJ1462" i="5"/>
  <c r="BH1463" i="5"/>
  <c r="BI1463" i="5"/>
  <c r="BJ1463" i="5"/>
  <c r="BH1464" i="5"/>
  <c r="BI1464" i="5"/>
  <c r="BJ1464" i="5"/>
  <c r="BH1465" i="5"/>
  <c r="BI1465" i="5"/>
  <c r="BJ1465" i="5"/>
  <c r="BI1466" i="5"/>
  <c r="BJ1466" i="5"/>
  <c r="BI1467" i="5"/>
  <c r="BJ1467" i="5"/>
  <c r="BI1468" i="5"/>
  <c r="BJ1468" i="5"/>
  <c r="BI1469" i="5"/>
  <c r="BJ1469" i="5"/>
  <c r="BI1470" i="5"/>
  <c r="BJ1470" i="5"/>
  <c r="BH1471" i="5"/>
  <c r="BI1471" i="5"/>
  <c r="BJ1471" i="5"/>
  <c r="BH1472" i="5"/>
  <c r="BI1472" i="5"/>
  <c r="BJ1472" i="5"/>
  <c r="BH1473" i="5"/>
  <c r="BI1473" i="5"/>
  <c r="BJ1473" i="5"/>
  <c r="BH1474" i="5"/>
  <c r="BI1474" i="5"/>
  <c r="BJ1474" i="5"/>
  <c r="BH1475" i="5"/>
  <c r="BI1475" i="5"/>
  <c r="BJ1475" i="5"/>
  <c r="BI1476" i="5"/>
  <c r="BJ1476" i="5"/>
  <c r="BI1477" i="5"/>
  <c r="BJ1477" i="5"/>
  <c r="BH1478" i="5"/>
  <c r="BI1478" i="5"/>
  <c r="BJ1478" i="5"/>
  <c r="BH1479" i="5"/>
  <c r="BI1479" i="5"/>
  <c r="BJ1479" i="5"/>
  <c r="BI1480" i="5"/>
  <c r="BJ1480" i="5"/>
  <c r="BH1481" i="5"/>
  <c r="BI1481" i="5"/>
  <c r="BJ1481" i="5"/>
  <c r="BH1482" i="5"/>
  <c r="BI1482" i="5"/>
  <c r="BJ1482" i="5"/>
  <c r="BH1483" i="5"/>
  <c r="BI1483" i="5"/>
  <c r="BJ1483" i="5"/>
  <c r="BH1484" i="5"/>
  <c r="BI1484" i="5"/>
  <c r="BJ1484" i="5"/>
  <c r="BH1485" i="5"/>
  <c r="BI1485" i="5"/>
  <c r="BJ1485" i="5"/>
  <c r="BH1486" i="5"/>
  <c r="BI1486" i="5"/>
  <c r="BJ1486" i="5"/>
  <c r="BH1487" i="5"/>
  <c r="BI1487" i="5"/>
  <c r="BJ1487" i="5"/>
  <c r="BH1488" i="5"/>
  <c r="BI1488" i="5"/>
  <c r="BJ1488" i="5"/>
  <c r="BH1489" i="5"/>
  <c r="BI1489" i="5"/>
  <c r="BJ1489" i="5"/>
  <c r="BI1490" i="5"/>
  <c r="BJ1490" i="5"/>
  <c r="BI1491" i="5"/>
  <c r="BJ1491" i="5"/>
  <c r="BI1492" i="5"/>
  <c r="BJ1492" i="5"/>
  <c r="BI1493" i="5"/>
  <c r="BJ1493" i="5"/>
  <c r="BH1494" i="5"/>
  <c r="BI1494" i="5"/>
  <c r="BJ1494" i="5"/>
  <c r="BH1495" i="5"/>
  <c r="BI1495" i="5"/>
  <c r="BJ1495" i="5"/>
  <c r="BH1496" i="5"/>
  <c r="BI1496" i="5"/>
  <c r="BJ1496" i="5"/>
  <c r="BH1497" i="5"/>
  <c r="BI1497" i="5"/>
  <c r="BJ1497" i="5"/>
  <c r="BI1498" i="5"/>
  <c r="BJ1498" i="5"/>
  <c r="BH1499" i="5"/>
  <c r="BI1499" i="5"/>
  <c r="BJ1499" i="5"/>
  <c r="BH1500" i="5"/>
  <c r="BI1500" i="5"/>
  <c r="BJ1500" i="5"/>
  <c r="BI1501" i="5"/>
  <c r="BJ1501" i="5"/>
  <c r="BH1502" i="5"/>
  <c r="BI1502" i="5"/>
  <c r="BJ1502" i="5"/>
  <c r="BH1503" i="5"/>
  <c r="BI1503" i="5"/>
  <c r="BJ1503" i="5"/>
  <c r="BI1504" i="5"/>
  <c r="BJ1504" i="5"/>
  <c r="BI1505" i="5"/>
  <c r="BJ1505" i="5"/>
  <c r="BI1506" i="5"/>
  <c r="BJ1506" i="5"/>
  <c r="BI1507" i="5"/>
  <c r="BJ1507" i="5"/>
  <c r="BH1508" i="5"/>
  <c r="BI1508" i="5"/>
  <c r="BJ1508" i="5"/>
  <c r="BH1509" i="5"/>
  <c r="BI1509" i="5"/>
  <c r="BJ1509" i="5"/>
  <c r="BH1510" i="5"/>
  <c r="BI1510" i="5"/>
  <c r="BJ1510" i="5"/>
  <c r="BH1511" i="5"/>
  <c r="BI1511" i="5"/>
  <c r="BJ1511" i="5"/>
  <c r="BH1512" i="5"/>
  <c r="BI1512" i="5"/>
  <c r="BJ1512" i="5"/>
  <c r="BI1513" i="5"/>
  <c r="BJ1513" i="5"/>
  <c r="BH1514" i="5"/>
  <c r="BI1514" i="5"/>
  <c r="BJ1514" i="5"/>
  <c r="BH1515" i="5"/>
  <c r="BI1515" i="5"/>
  <c r="BJ1515" i="5"/>
  <c r="BI1516" i="5"/>
  <c r="BJ1516" i="5"/>
  <c r="BI1517" i="5"/>
  <c r="BJ1517" i="5"/>
  <c r="BH1518" i="5"/>
  <c r="BI1518" i="5"/>
  <c r="BJ1518" i="5"/>
  <c r="BH1519" i="5"/>
  <c r="BI1519" i="5"/>
  <c r="BJ1519" i="5"/>
  <c r="BH1520" i="5"/>
  <c r="BI1520" i="5"/>
  <c r="BJ1520" i="5"/>
  <c r="BH1521" i="5"/>
  <c r="BI1521" i="5"/>
  <c r="BJ1521" i="5"/>
  <c r="BH1522" i="5"/>
  <c r="BI1522" i="5"/>
  <c r="BJ1522" i="5"/>
  <c r="BH1523" i="5"/>
  <c r="BI1523" i="5"/>
  <c r="BJ1523" i="5"/>
  <c r="BH1524" i="5"/>
  <c r="BI1524" i="5"/>
  <c r="BJ1524" i="5"/>
  <c r="BI1525" i="5"/>
  <c r="BJ1525" i="5"/>
  <c r="BH1526" i="5"/>
  <c r="BI1526" i="5"/>
  <c r="BJ1526" i="5"/>
  <c r="BI1527" i="5"/>
  <c r="BJ1527" i="5"/>
  <c r="BI1528" i="5"/>
  <c r="BJ1528" i="5"/>
  <c r="BH1529" i="5"/>
  <c r="BI1529" i="5"/>
  <c r="BJ1529" i="5"/>
  <c r="BH1530" i="5"/>
  <c r="BI1530" i="5"/>
  <c r="BJ1530" i="5"/>
  <c r="BH1531" i="5"/>
  <c r="BI1531" i="5"/>
  <c r="BJ1531" i="5"/>
  <c r="BH1532" i="5"/>
  <c r="BI1532" i="5"/>
  <c r="BJ1532" i="5"/>
  <c r="BH1533" i="5"/>
  <c r="BI1533" i="5"/>
  <c r="BJ1533" i="5"/>
  <c r="BI1534" i="5"/>
  <c r="BJ1534" i="5"/>
  <c r="BH1535" i="5"/>
  <c r="BI1535" i="5"/>
  <c r="BJ1535" i="5"/>
  <c r="BH1536" i="5"/>
  <c r="BI1536" i="5"/>
  <c r="BJ1536" i="5"/>
  <c r="BI1537" i="5"/>
  <c r="BJ1537" i="5"/>
  <c r="BI1538" i="5"/>
  <c r="BJ1538" i="5"/>
  <c r="BI1539" i="5"/>
  <c r="BJ1539" i="5"/>
  <c r="BH1540" i="5"/>
  <c r="BI1540" i="5"/>
  <c r="BJ1540" i="5"/>
  <c r="BI1541" i="5"/>
  <c r="BJ1541" i="5"/>
  <c r="BH1542" i="5"/>
  <c r="BI1542" i="5"/>
  <c r="BJ1542" i="5"/>
  <c r="BH1543" i="5"/>
  <c r="BI1543" i="5"/>
  <c r="BJ1543" i="5"/>
  <c r="BH1544" i="5"/>
  <c r="BI1544" i="5"/>
  <c r="BJ1544" i="5"/>
  <c r="BH1545" i="5"/>
  <c r="BI1545" i="5"/>
  <c r="BJ1545" i="5"/>
  <c r="BH1546" i="5"/>
  <c r="BI1546" i="5"/>
  <c r="BJ1546" i="5"/>
  <c r="BH1547" i="5"/>
  <c r="BI1547" i="5"/>
  <c r="BJ1547" i="5"/>
  <c r="BH1548" i="5"/>
  <c r="BI1548" i="5"/>
  <c r="BJ1548" i="5"/>
  <c r="BI1549" i="5"/>
  <c r="BJ1549" i="5"/>
  <c r="BH1550" i="5"/>
  <c r="BI1550" i="5"/>
  <c r="BJ1550" i="5"/>
  <c r="BH1551" i="5"/>
  <c r="BI1551" i="5"/>
  <c r="BJ1551" i="5"/>
  <c r="BH1552" i="5"/>
  <c r="BI1552" i="5"/>
  <c r="BJ1552" i="5"/>
  <c r="BH1553" i="5"/>
  <c r="BI1553" i="5"/>
  <c r="BJ1553" i="5"/>
  <c r="BH1554" i="5"/>
  <c r="BI1554" i="5"/>
  <c r="BJ1554" i="5"/>
  <c r="BH1555" i="5"/>
  <c r="BI1555" i="5"/>
  <c r="BJ1555" i="5"/>
  <c r="BH1556" i="5"/>
  <c r="BI1556" i="5"/>
  <c r="BJ1556" i="5"/>
  <c r="BH1557" i="5"/>
  <c r="BI1557" i="5"/>
  <c r="BJ1557" i="5"/>
  <c r="BH1558" i="5"/>
  <c r="BI1558" i="5"/>
  <c r="BJ1558" i="5"/>
  <c r="BI1559" i="5"/>
  <c r="BJ1559" i="5"/>
  <c r="BH1560" i="5"/>
  <c r="BI1560" i="5"/>
  <c r="BJ1560" i="5"/>
  <c r="BI1561" i="5"/>
  <c r="BJ1561" i="5"/>
  <c r="BI1562" i="5"/>
  <c r="BJ1562" i="5"/>
  <c r="BI1563" i="5"/>
  <c r="BJ1563" i="5"/>
  <c r="BI1564" i="5"/>
  <c r="BJ1564" i="5"/>
  <c r="BI1565" i="5"/>
  <c r="BJ1565" i="5"/>
  <c r="BH1566" i="5"/>
  <c r="BI1566" i="5"/>
  <c r="BJ1566" i="5"/>
  <c r="BH1567" i="5"/>
  <c r="BI1567" i="5"/>
  <c r="BJ1567" i="5"/>
  <c r="BH1568" i="5"/>
  <c r="BI1568" i="5"/>
  <c r="BJ1568" i="5"/>
  <c r="BI1569" i="5"/>
  <c r="BJ1569" i="5"/>
  <c r="BH1570" i="5"/>
  <c r="BI1570" i="5"/>
  <c r="BJ1570" i="5"/>
  <c r="BI1571" i="5"/>
  <c r="BJ1571" i="5"/>
  <c r="BH1572" i="5"/>
  <c r="BI1572" i="5"/>
  <c r="BJ1572" i="5"/>
  <c r="BH1573" i="5"/>
  <c r="BI1573" i="5"/>
  <c r="BJ1573" i="5"/>
  <c r="BH1574" i="5"/>
  <c r="BI1574" i="5"/>
  <c r="BJ1574" i="5"/>
  <c r="BH1575" i="5"/>
  <c r="BI1575" i="5"/>
  <c r="BJ1575" i="5"/>
  <c r="BI1576" i="5"/>
  <c r="BJ1576" i="5"/>
  <c r="BH1577" i="5"/>
  <c r="BI1577" i="5"/>
  <c r="BJ1577" i="5"/>
  <c r="BH1578" i="5"/>
  <c r="BI1578" i="5"/>
  <c r="BJ1578" i="5"/>
  <c r="BI1579" i="5"/>
  <c r="BJ1579" i="5"/>
  <c r="BH1580" i="5"/>
  <c r="BI1580" i="5"/>
  <c r="BJ1580" i="5"/>
  <c r="BH1581" i="5"/>
  <c r="BI1581" i="5"/>
  <c r="BJ1581" i="5"/>
  <c r="BH1582" i="5"/>
  <c r="BI1582" i="5"/>
  <c r="BJ1582" i="5"/>
  <c r="BH1583" i="5"/>
  <c r="BI1583" i="5"/>
  <c r="BJ1583" i="5"/>
  <c r="BH1584" i="5"/>
  <c r="BI1584" i="5"/>
  <c r="BJ1584" i="5"/>
  <c r="BI1585" i="5"/>
  <c r="BJ1585" i="5"/>
  <c r="BI1586" i="5"/>
  <c r="BJ1586" i="5"/>
  <c r="BI1587" i="5"/>
  <c r="BJ1587" i="5"/>
  <c r="BI1588" i="5"/>
  <c r="BJ1588" i="5"/>
  <c r="BI1589" i="5"/>
  <c r="BJ1589" i="5"/>
  <c r="BH1590" i="5"/>
  <c r="BI1590" i="5"/>
  <c r="BJ1590" i="5"/>
  <c r="BH1591" i="5"/>
  <c r="BI1591" i="5"/>
  <c r="BJ1591" i="5"/>
  <c r="BH1592" i="5"/>
  <c r="BI1592" i="5"/>
  <c r="BJ1592" i="5"/>
  <c r="BH1593" i="5"/>
  <c r="BI1593" i="5"/>
  <c r="BJ1593" i="5"/>
  <c r="BH1594" i="5"/>
  <c r="BI1594" i="5"/>
  <c r="BJ1594" i="5"/>
  <c r="BH1595" i="5"/>
  <c r="BI1595" i="5"/>
  <c r="BJ1595" i="5"/>
  <c r="BI1596" i="5"/>
  <c r="BJ1596" i="5"/>
  <c r="BH1597" i="5"/>
  <c r="BI1597" i="5"/>
  <c r="BJ1597" i="5"/>
  <c r="BH1598" i="5"/>
  <c r="BI1598" i="5"/>
  <c r="BJ1598" i="5"/>
  <c r="BH1599" i="5"/>
  <c r="BI1599" i="5"/>
  <c r="BJ1599" i="5"/>
  <c r="BI1600" i="5"/>
  <c r="BJ1600" i="5"/>
  <c r="BH1601" i="5"/>
  <c r="BI1601" i="5"/>
  <c r="BJ1601" i="5"/>
  <c r="BH1602" i="5"/>
  <c r="BI1602" i="5"/>
  <c r="BJ1602" i="5"/>
  <c r="BH1603" i="5"/>
  <c r="BI1603" i="5"/>
  <c r="BJ1603" i="5"/>
  <c r="BH1604" i="5"/>
  <c r="BI1604" i="5"/>
  <c r="BJ1604" i="5"/>
  <c r="BI1605" i="5"/>
  <c r="BJ1605" i="5"/>
  <c r="BH1606" i="5"/>
  <c r="BI1606" i="5"/>
  <c r="BJ1606" i="5"/>
  <c r="BH1607" i="5"/>
  <c r="BI1607" i="5"/>
  <c r="BJ1607" i="5"/>
  <c r="BH1608" i="5"/>
  <c r="BI1608" i="5"/>
  <c r="BJ1608" i="5"/>
  <c r="BI1609" i="5"/>
  <c r="BJ1609" i="5"/>
  <c r="BI1610" i="5"/>
  <c r="BJ1610" i="5"/>
  <c r="BI1611" i="5"/>
  <c r="BJ1611" i="5"/>
  <c r="BI1612" i="5"/>
  <c r="BJ1612" i="5"/>
  <c r="BI1613" i="5"/>
  <c r="BJ1613" i="5"/>
  <c r="BH1614" i="5"/>
  <c r="BI1614" i="5"/>
  <c r="BJ1614" i="5"/>
  <c r="BH1615" i="5"/>
  <c r="BI1615" i="5"/>
  <c r="BJ1615" i="5"/>
  <c r="BH1616" i="5"/>
  <c r="BI1616" i="5"/>
  <c r="BJ1616" i="5"/>
  <c r="BH1617" i="5"/>
  <c r="BI1617" i="5"/>
  <c r="BJ1617" i="5"/>
  <c r="BH1618" i="5"/>
  <c r="BI1618" i="5"/>
  <c r="BJ1618" i="5"/>
  <c r="BI1619" i="5"/>
  <c r="BJ1619" i="5"/>
  <c r="BH1620" i="5"/>
  <c r="BI1620" i="5"/>
  <c r="BJ1620" i="5"/>
  <c r="BI1621" i="5"/>
  <c r="BJ1621" i="5"/>
  <c r="BH1622" i="5"/>
  <c r="BI1622" i="5"/>
  <c r="BJ1622" i="5"/>
  <c r="BI1623" i="5"/>
  <c r="BJ1623" i="5"/>
  <c r="BI1624" i="5"/>
  <c r="BJ1624" i="5"/>
  <c r="BH1625" i="5"/>
  <c r="BI1625" i="5"/>
  <c r="BJ1625" i="5"/>
  <c r="BH1626" i="5"/>
  <c r="BI1626" i="5"/>
  <c r="BJ1626" i="5"/>
  <c r="BI1627" i="5"/>
  <c r="BJ1627" i="5"/>
  <c r="BH1628" i="5"/>
  <c r="BI1628" i="5"/>
  <c r="BJ1628" i="5"/>
  <c r="BH1629" i="5"/>
  <c r="BI1629" i="5"/>
  <c r="BJ1629" i="5"/>
  <c r="BH1630" i="5"/>
  <c r="BI1630" i="5"/>
  <c r="BJ1630" i="5"/>
  <c r="BH1631" i="5"/>
  <c r="BI1631" i="5"/>
  <c r="BJ1631" i="5"/>
  <c r="BI1632" i="5"/>
  <c r="BJ1632" i="5"/>
  <c r="BI1633" i="5"/>
  <c r="BJ1633" i="5"/>
  <c r="BI1634" i="5"/>
  <c r="BJ1634" i="5"/>
  <c r="BI1635" i="5"/>
  <c r="BJ1635" i="5"/>
  <c r="BI1636" i="5"/>
  <c r="BJ1636" i="5"/>
  <c r="BI1637" i="5"/>
  <c r="BJ1637" i="5"/>
  <c r="BH1638" i="5"/>
  <c r="BI1638" i="5"/>
  <c r="BJ1638" i="5"/>
  <c r="BH1639" i="5"/>
  <c r="BI1639" i="5"/>
  <c r="BJ1639" i="5"/>
  <c r="BH1640" i="5"/>
  <c r="BI1640" i="5"/>
  <c r="BJ1640" i="5"/>
  <c r="BH1641" i="5"/>
  <c r="BI1641" i="5"/>
  <c r="BJ1641" i="5"/>
  <c r="BH1642" i="5"/>
  <c r="BI1642" i="5"/>
  <c r="BJ1642" i="5"/>
  <c r="BH1643" i="5"/>
  <c r="BI1643" i="5"/>
  <c r="BJ1643" i="5"/>
  <c r="BH1644" i="5"/>
  <c r="BI1644" i="5"/>
  <c r="BJ1644" i="5"/>
  <c r="BI1645" i="5"/>
  <c r="BJ1645" i="5"/>
  <c r="BH1646" i="5"/>
  <c r="BI1646" i="5"/>
  <c r="BJ1646" i="5"/>
  <c r="BH1647" i="5"/>
  <c r="BI1647" i="5"/>
  <c r="BJ1647" i="5"/>
  <c r="BH1648" i="5"/>
  <c r="BI1648" i="5"/>
  <c r="BJ1648" i="5"/>
  <c r="BH1649" i="5"/>
  <c r="BI1649" i="5"/>
  <c r="BJ1649" i="5"/>
  <c r="BH1650" i="5"/>
  <c r="BI1650" i="5"/>
  <c r="BJ1650" i="5"/>
  <c r="BH1651" i="5"/>
  <c r="BI1651" i="5"/>
  <c r="BJ1651" i="5"/>
  <c r="BH1652" i="5"/>
  <c r="BI1652" i="5"/>
  <c r="BJ1652" i="5"/>
  <c r="BH1653" i="5"/>
  <c r="BI1653" i="5"/>
  <c r="BJ1653" i="5"/>
  <c r="BH1654" i="5"/>
  <c r="BI1654" i="5"/>
  <c r="BJ1654" i="5"/>
  <c r="BH1655" i="5"/>
  <c r="BI1655" i="5"/>
  <c r="BJ1655" i="5"/>
  <c r="BH1656" i="5"/>
  <c r="BI1656" i="5"/>
  <c r="BJ1656" i="5"/>
  <c r="BI1657" i="5"/>
  <c r="BJ1657" i="5"/>
  <c r="BI1658" i="5"/>
  <c r="BJ1658" i="5"/>
  <c r="BI1659" i="5"/>
  <c r="BJ1659" i="5"/>
  <c r="BI1660" i="5"/>
  <c r="BJ1660" i="5"/>
  <c r="BI1661" i="5"/>
  <c r="BJ1661" i="5"/>
  <c r="BH1662" i="5"/>
  <c r="BI1662" i="5"/>
  <c r="BJ1662" i="5"/>
  <c r="BH1663" i="5"/>
  <c r="BI1663" i="5"/>
  <c r="BJ1663" i="5"/>
  <c r="BH1664" i="5"/>
  <c r="BI1664" i="5"/>
  <c r="BJ1664" i="5"/>
  <c r="BH1665" i="5"/>
  <c r="BI1665" i="5"/>
  <c r="BJ1665" i="5"/>
  <c r="BH1666" i="5"/>
  <c r="BI1666" i="5"/>
  <c r="BJ1666" i="5"/>
  <c r="BI1667" i="5"/>
  <c r="BJ1667" i="5"/>
  <c r="BH1668" i="5"/>
  <c r="BI1668" i="5"/>
  <c r="BJ1668" i="5"/>
  <c r="BI1669" i="5"/>
  <c r="BJ1669" i="5"/>
  <c r="BH1670" i="5"/>
  <c r="BI1670" i="5"/>
  <c r="BJ1670" i="5"/>
  <c r="BH1671" i="5"/>
  <c r="BI1671" i="5"/>
  <c r="BJ1671" i="5"/>
  <c r="BI1672" i="5"/>
  <c r="BJ1672" i="5"/>
  <c r="BH1673" i="5"/>
  <c r="BI1673" i="5"/>
  <c r="BJ1673" i="5"/>
  <c r="BH1674" i="5"/>
  <c r="BI1674" i="5"/>
  <c r="BJ1674" i="5"/>
  <c r="BH1675" i="5"/>
  <c r="BI1675" i="5"/>
  <c r="BJ1675" i="5"/>
  <c r="BI1676" i="5"/>
  <c r="BJ1676" i="5"/>
  <c r="BI1677" i="5"/>
  <c r="BJ1677" i="5"/>
  <c r="BH1678" i="5"/>
  <c r="BI1678" i="5"/>
  <c r="BJ1678" i="5"/>
  <c r="BH1679" i="5"/>
  <c r="BI1679" i="5"/>
  <c r="BJ1679" i="5"/>
  <c r="BI1680" i="5"/>
  <c r="BJ1680" i="5"/>
  <c r="BI1681" i="5"/>
  <c r="BJ1681" i="5"/>
  <c r="BH1682" i="5"/>
  <c r="BI1682" i="5"/>
  <c r="BJ1682" i="5"/>
  <c r="BI1683" i="5"/>
  <c r="BJ1683" i="5"/>
  <c r="BI1684" i="5"/>
  <c r="BJ1684" i="5"/>
  <c r="BH1685" i="5"/>
  <c r="BI1685" i="5"/>
  <c r="BJ1685" i="5"/>
  <c r="BI1686" i="5"/>
  <c r="BJ1686" i="5"/>
  <c r="BI1687" i="5"/>
  <c r="BJ1687" i="5"/>
  <c r="BI1688" i="5"/>
  <c r="BJ1688" i="5"/>
  <c r="BH1689" i="5"/>
  <c r="BI1689" i="5"/>
  <c r="BJ1689" i="5"/>
  <c r="BI1690" i="5"/>
  <c r="BJ1690" i="5"/>
  <c r="BH1691" i="5"/>
  <c r="BI1691" i="5"/>
  <c r="BJ1691" i="5"/>
  <c r="BH1692" i="5"/>
  <c r="BI1692" i="5"/>
  <c r="BJ1692" i="5"/>
  <c r="BH1693" i="5"/>
  <c r="BI1693" i="5"/>
  <c r="BJ1693" i="5"/>
  <c r="BI1694" i="5"/>
  <c r="BJ1694" i="5"/>
  <c r="BH1695" i="5"/>
  <c r="BI1695" i="5"/>
  <c r="BJ1695" i="5"/>
  <c r="BH1696" i="5"/>
  <c r="BI1696" i="5"/>
  <c r="BJ1696" i="5"/>
  <c r="BI1697" i="5"/>
  <c r="BJ1697" i="5"/>
  <c r="BH1698" i="5"/>
  <c r="BI1698" i="5"/>
  <c r="BJ1698" i="5"/>
  <c r="BH1699" i="5"/>
  <c r="BI1699" i="5"/>
  <c r="BJ1699" i="5"/>
  <c r="BH1700" i="5"/>
  <c r="BI1700" i="5"/>
  <c r="BJ1700" i="5"/>
  <c r="BH1701" i="5"/>
  <c r="BI1701" i="5"/>
  <c r="BJ1701" i="5"/>
  <c r="BH1702" i="5"/>
  <c r="BI1702" i="5"/>
  <c r="BJ1702" i="5"/>
  <c r="BI1703" i="5"/>
  <c r="BJ1703" i="5"/>
  <c r="BI1704" i="5"/>
  <c r="BJ1704" i="5"/>
  <c r="BI1705" i="5"/>
  <c r="BJ1705" i="5"/>
  <c r="BI1706" i="5"/>
  <c r="BJ1706" i="5"/>
  <c r="BH1707" i="5"/>
  <c r="BI1707" i="5"/>
  <c r="BJ1707" i="5"/>
  <c r="BH1708" i="5"/>
  <c r="BI1708" i="5"/>
  <c r="BJ1708" i="5"/>
  <c r="BH1709" i="5"/>
  <c r="BI1709" i="5"/>
  <c r="BJ1709" i="5"/>
  <c r="BH1710" i="5"/>
  <c r="BI1710" i="5"/>
  <c r="BJ1710" i="5"/>
  <c r="BH1711" i="5"/>
  <c r="BI1711" i="5"/>
  <c r="BJ1711" i="5"/>
  <c r="BH1712" i="5"/>
  <c r="BI1712" i="5"/>
  <c r="BJ1712" i="5"/>
  <c r="BI1713" i="5"/>
  <c r="BJ1713" i="5"/>
  <c r="BH1714" i="5"/>
  <c r="BI1714" i="5"/>
  <c r="BJ1714" i="5"/>
  <c r="BH1715" i="5"/>
  <c r="BI1715" i="5"/>
  <c r="BJ1715" i="5"/>
  <c r="BI1716" i="5"/>
  <c r="BJ1716" i="5"/>
  <c r="BH1717" i="5"/>
  <c r="BI1717" i="5"/>
  <c r="BJ1717" i="5"/>
  <c r="BH1718" i="5"/>
  <c r="BI1718" i="5"/>
  <c r="BJ1718" i="5"/>
  <c r="BH1719" i="5"/>
  <c r="BI1719" i="5"/>
  <c r="BJ1719" i="5"/>
  <c r="BH1720" i="5"/>
  <c r="BI1720" i="5"/>
  <c r="BJ1720" i="5"/>
  <c r="BH1721" i="5"/>
  <c r="BI1721" i="5"/>
  <c r="BJ1721" i="5"/>
  <c r="BH1722" i="5"/>
  <c r="BI1722" i="5"/>
  <c r="BJ1722" i="5"/>
  <c r="BH1723" i="5"/>
  <c r="BI1723" i="5"/>
  <c r="BJ1723" i="5"/>
  <c r="BH1724" i="5"/>
  <c r="BI1724" i="5"/>
  <c r="BJ1724" i="5"/>
  <c r="BI1725" i="5"/>
  <c r="BJ1725" i="5"/>
  <c r="BI1726" i="5"/>
  <c r="BJ1726" i="5"/>
  <c r="BI1727" i="5"/>
  <c r="BJ1727" i="5"/>
  <c r="BI1728" i="5"/>
  <c r="BJ1728" i="5"/>
  <c r="BH1729" i="5"/>
  <c r="BI1729" i="5"/>
  <c r="BJ1729" i="5"/>
  <c r="BH1730" i="5"/>
  <c r="BI1730" i="5"/>
  <c r="BJ1730" i="5"/>
  <c r="BH1731" i="5"/>
  <c r="BI1731" i="5"/>
  <c r="BJ1731" i="5"/>
  <c r="BH1732" i="5"/>
  <c r="BI1732" i="5"/>
  <c r="BJ1732" i="5"/>
  <c r="BI1733" i="5"/>
  <c r="BJ1733" i="5"/>
  <c r="BI1734" i="5"/>
  <c r="BJ1734" i="5"/>
  <c r="BI1735" i="5"/>
  <c r="BJ1735" i="5"/>
  <c r="BH1736" i="5"/>
  <c r="BI1736" i="5"/>
  <c r="BJ1736" i="5"/>
  <c r="BH1737" i="5"/>
  <c r="BI1737" i="5"/>
  <c r="BJ1737" i="5"/>
  <c r="BI1738" i="5"/>
  <c r="BJ1738" i="5"/>
  <c r="BH1739" i="5"/>
  <c r="BI1739" i="5"/>
  <c r="BJ1739" i="5"/>
  <c r="BI1740" i="5"/>
  <c r="BJ1740" i="5"/>
  <c r="BH1741" i="5"/>
  <c r="BI1741" i="5"/>
  <c r="BJ1741" i="5"/>
  <c r="BH1742" i="5"/>
  <c r="BI1742" i="5"/>
  <c r="BJ1742" i="5"/>
  <c r="BH1743" i="5"/>
  <c r="BI1743" i="5"/>
  <c r="BJ1743" i="5"/>
  <c r="BI1744" i="5"/>
  <c r="BJ1744" i="5"/>
  <c r="BH1745" i="5"/>
  <c r="BI1745" i="5"/>
  <c r="BJ1745" i="5"/>
  <c r="BI1746" i="5"/>
  <c r="BJ1746" i="5"/>
  <c r="BI1747" i="5"/>
  <c r="BJ1747" i="5"/>
  <c r="BI1748" i="5"/>
  <c r="BJ1748" i="5"/>
  <c r="BI1749" i="5"/>
  <c r="BJ1749" i="5"/>
  <c r="BH1750" i="5"/>
  <c r="BI1750" i="5"/>
  <c r="BJ1750" i="5"/>
  <c r="BH1751" i="5"/>
  <c r="BI1751" i="5"/>
  <c r="BJ1751" i="5"/>
  <c r="BH1752" i="5"/>
  <c r="BI1752" i="5"/>
  <c r="BJ1752" i="5"/>
  <c r="BI1753" i="5"/>
  <c r="BJ1753" i="5"/>
  <c r="BI1754" i="5"/>
  <c r="BJ1754" i="5"/>
  <c r="BI1755" i="5"/>
  <c r="BJ1755" i="5"/>
  <c r="BI1756" i="5"/>
  <c r="BJ1756" i="5"/>
  <c r="BH1757" i="5"/>
  <c r="BI1757" i="5"/>
  <c r="BJ1757" i="5"/>
  <c r="BH1758" i="5"/>
  <c r="BI1758" i="5"/>
  <c r="BJ1758" i="5"/>
  <c r="BH1759" i="5"/>
  <c r="BI1759" i="5"/>
  <c r="BJ1759" i="5"/>
  <c r="BH1760" i="5"/>
  <c r="BI1760" i="5"/>
  <c r="BJ1760" i="5"/>
  <c r="BH1761" i="5"/>
  <c r="BI1761" i="5"/>
  <c r="BJ1761" i="5"/>
  <c r="BH1762" i="5"/>
  <c r="BI1762" i="5"/>
  <c r="BJ1762" i="5"/>
  <c r="BH1763" i="5"/>
  <c r="BI1763" i="5"/>
  <c r="BJ1763" i="5"/>
  <c r="BI1764" i="5"/>
  <c r="BJ1764" i="5"/>
  <c r="BH1765" i="5"/>
  <c r="BI1765" i="5"/>
  <c r="BJ1765" i="5"/>
  <c r="BH1766" i="5"/>
  <c r="BI1766" i="5"/>
  <c r="BJ1766" i="5"/>
  <c r="BH1767" i="5"/>
  <c r="BI1767" i="5"/>
  <c r="BJ1767" i="5"/>
  <c r="BI1768" i="5"/>
  <c r="BJ1768" i="5"/>
  <c r="BI1769" i="5"/>
  <c r="BJ1769" i="5"/>
  <c r="BI1770" i="5"/>
  <c r="BJ1770" i="5"/>
  <c r="BH1771" i="5"/>
  <c r="BI1771" i="5"/>
  <c r="BJ1771" i="5"/>
  <c r="BH1772" i="5"/>
  <c r="BI1772" i="5"/>
  <c r="BJ1772" i="5"/>
  <c r="BI1773" i="5"/>
  <c r="BJ1773" i="5"/>
  <c r="BI1774" i="5"/>
  <c r="BJ1774" i="5"/>
  <c r="BH1775" i="5"/>
  <c r="BI1775" i="5"/>
  <c r="BJ1775" i="5"/>
  <c r="BI1776" i="5"/>
  <c r="BJ1776" i="5"/>
  <c r="BI1777" i="5"/>
  <c r="BJ1777" i="5"/>
  <c r="BH1778" i="5"/>
  <c r="BI1778" i="5"/>
  <c r="BJ1778" i="5"/>
  <c r="BI1779" i="5"/>
  <c r="BJ1779" i="5"/>
  <c r="BH1780" i="5"/>
  <c r="BI1780" i="5"/>
  <c r="BJ1780" i="5"/>
  <c r="BH1781" i="5"/>
  <c r="BI1781" i="5"/>
  <c r="BJ1781" i="5"/>
  <c r="BH1782" i="5"/>
  <c r="BI1782" i="5"/>
  <c r="BJ1782" i="5"/>
  <c r="BI1783" i="5"/>
  <c r="BJ1783" i="5"/>
  <c r="BH1784" i="5"/>
  <c r="BI1784" i="5"/>
  <c r="BJ1784" i="5"/>
  <c r="BI1785" i="5"/>
  <c r="BJ1785" i="5"/>
  <c r="BH1786" i="5"/>
  <c r="BI1786" i="5"/>
  <c r="BJ1786" i="5"/>
  <c r="BI1787" i="5"/>
  <c r="BJ1787" i="5"/>
  <c r="BI1788" i="5"/>
  <c r="BJ1788" i="5"/>
  <c r="BI1789" i="5"/>
  <c r="BJ1789" i="5"/>
  <c r="BI1790" i="5"/>
  <c r="BJ1790" i="5"/>
  <c r="BI1791" i="5"/>
  <c r="BJ1791" i="5"/>
  <c r="BH1792" i="5"/>
  <c r="BI1792" i="5"/>
  <c r="BJ1792" i="5"/>
  <c r="BH1793" i="5"/>
  <c r="BI1793" i="5"/>
  <c r="BJ1793" i="5"/>
  <c r="BH1794" i="5"/>
  <c r="BI1794" i="5"/>
  <c r="BJ1794" i="5"/>
  <c r="BH1795" i="5"/>
  <c r="BI1795" i="5"/>
  <c r="BJ1795" i="5"/>
  <c r="BH1796" i="5"/>
  <c r="BI1796" i="5"/>
  <c r="BJ1796" i="5"/>
  <c r="BH1797" i="5"/>
  <c r="BI1797" i="5"/>
  <c r="BJ1797" i="5"/>
  <c r="BI1798" i="5"/>
  <c r="BJ1798" i="5"/>
  <c r="BH1799" i="5"/>
  <c r="BI1799" i="5"/>
  <c r="BJ1799" i="5"/>
  <c r="BH1800" i="5"/>
  <c r="BI1800" i="5"/>
  <c r="BJ1800" i="5"/>
  <c r="BI1801" i="5"/>
  <c r="BJ1801" i="5"/>
  <c r="BI1802" i="5"/>
  <c r="BJ1802" i="5"/>
  <c r="BI1803" i="5"/>
  <c r="BJ1803" i="5"/>
  <c r="BH1804" i="5"/>
  <c r="BI1804" i="5"/>
  <c r="BJ1804" i="5"/>
  <c r="BH1805" i="5"/>
  <c r="BI1805" i="5"/>
  <c r="BJ1805" i="5"/>
  <c r="BH1806" i="5"/>
  <c r="BI1806" i="5"/>
  <c r="BJ1806" i="5"/>
  <c r="BI1807" i="5"/>
  <c r="BJ1807" i="5"/>
  <c r="BI1808" i="5"/>
  <c r="BJ1808" i="5"/>
  <c r="BH1809" i="5"/>
  <c r="BI1809" i="5"/>
  <c r="BJ1809" i="5"/>
  <c r="BH1810" i="5"/>
  <c r="BI1810" i="5"/>
  <c r="BJ1810" i="5"/>
  <c r="BI1811" i="5"/>
  <c r="BJ1811" i="5"/>
  <c r="BI1812" i="5"/>
  <c r="BJ1812" i="5"/>
  <c r="BI1813" i="5"/>
  <c r="BJ1813" i="5"/>
  <c r="BH1814" i="5"/>
  <c r="BI1814" i="5"/>
  <c r="BJ1814" i="5"/>
  <c r="BH1815" i="5"/>
  <c r="BI1815" i="5"/>
  <c r="BJ1815" i="5"/>
  <c r="BH1816" i="5"/>
  <c r="BI1816" i="5"/>
  <c r="BJ1816" i="5"/>
  <c r="BH1817" i="5"/>
  <c r="BI1817" i="5"/>
  <c r="BJ1817" i="5"/>
  <c r="BH1818" i="5"/>
  <c r="BI1818" i="5"/>
  <c r="BJ1818" i="5"/>
  <c r="BI1819" i="5"/>
  <c r="BJ1819" i="5"/>
  <c r="BH1820" i="5"/>
  <c r="BI1820" i="5"/>
  <c r="BJ1820" i="5"/>
  <c r="BH1821" i="5"/>
  <c r="BI1821" i="5"/>
  <c r="BJ1821" i="5"/>
  <c r="BI1822" i="5"/>
  <c r="BJ1822" i="5"/>
  <c r="BI1823" i="5"/>
  <c r="BJ1823" i="5"/>
  <c r="BH1824" i="5"/>
  <c r="BI1824" i="5"/>
  <c r="BJ1824" i="5"/>
  <c r="BH1825" i="5"/>
  <c r="BI1825" i="5"/>
  <c r="BJ1825" i="5"/>
  <c r="BH1826" i="5"/>
  <c r="BI1826" i="5"/>
  <c r="BJ1826" i="5"/>
  <c r="BI1827" i="5"/>
  <c r="BJ1827" i="5"/>
  <c r="BI1828" i="5"/>
  <c r="BJ1828" i="5"/>
  <c r="BI1829" i="5"/>
  <c r="BJ1829" i="5"/>
  <c r="BI1830" i="5"/>
  <c r="BJ1830" i="5"/>
  <c r="BI1831" i="5"/>
  <c r="BJ1831" i="5"/>
  <c r="BI1832" i="5"/>
  <c r="BJ1832" i="5"/>
  <c r="BI1833" i="5"/>
  <c r="BJ1833" i="5"/>
  <c r="BH1834" i="5"/>
  <c r="BI1834" i="5"/>
  <c r="BJ1834" i="5"/>
  <c r="BH1835" i="5"/>
  <c r="BI1835" i="5"/>
  <c r="BJ1835" i="5"/>
  <c r="BH1836" i="5"/>
  <c r="BI1836" i="5"/>
  <c r="BJ1836" i="5"/>
  <c r="BH1837" i="5"/>
  <c r="BI1837" i="5"/>
  <c r="BJ1837" i="5"/>
  <c r="BH1838" i="5"/>
  <c r="BI1838" i="5"/>
  <c r="BJ1838" i="5"/>
  <c r="BI1839" i="5"/>
  <c r="BJ1839" i="5"/>
  <c r="BI1840" i="5"/>
  <c r="BJ1840" i="5"/>
  <c r="BH1841" i="5"/>
  <c r="BI1841" i="5"/>
  <c r="BJ1841" i="5"/>
  <c r="BH1842" i="5"/>
  <c r="BI1842" i="5"/>
  <c r="BJ1842" i="5"/>
  <c r="BI1843" i="5"/>
  <c r="BJ1843" i="5"/>
  <c r="BH1844" i="5"/>
  <c r="BI1844" i="5"/>
  <c r="BJ1844" i="5"/>
  <c r="BH1845" i="5"/>
  <c r="BI1845" i="5"/>
  <c r="BJ1845" i="5"/>
  <c r="BH1846" i="5"/>
  <c r="BI1846" i="5"/>
  <c r="BJ1846" i="5"/>
  <c r="BH1847" i="5"/>
  <c r="BI1847" i="5"/>
  <c r="BJ1847" i="5"/>
  <c r="BH1848" i="5"/>
  <c r="BI1848" i="5"/>
  <c r="BJ1848" i="5"/>
  <c r="BI1849" i="5"/>
  <c r="BJ1849" i="5"/>
  <c r="BH1850" i="5"/>
  <c r="BI1850" i="5"/>
  <c r="BJ1850" i="5"/>
  <c r="BH1851" i="5"/>
  <c r="BI1851" i="5"/>
  <c r="BJ1851" i="5"/>
  <c r="BH1852" i="5"/>
  <c r="BI1852" i="5"/>
  <c r="BJ1852" i="5"/>
  <c r="BH1853" i="5"/>
  <c r="BI1853" i="5"/>
  <c r="BJ1853" i="5"/>
  <c r="BI1854" i="5"/>
  <c r="BJ1854" i="5"/>
  <c r="BI1855" i="5"/>
  <c r="BJ1855" i="5"/>
  <c r="BI1856" i="5"/>
  <c r="BJ1856" i="5"/>
  <c r="BI1857" i="5"/>
  <c r="BJ1857" i="5"/>
  <c r="BI1858" i="5"/>
  <c r="BJ1858" i="5"/>
  <c r="BH1859" i="5"/>
  <c r="BI1859" i="5"/>
  <c r="BJ1859" i="5"/>
  <c r="BH1860" i="5"/>
  <c r="BI1860" i="5"/>
  <c r="BJ1860" i="5"/>
  <c r="BH1861" i="5"/>
  <c r="BI1861" i="5"/>
  <c r="BJ1861" i="5"/>
  <c r="BH1862" i="5"/>
  <c r="BI1862" i="5"/>
  <c r="BJ1862" i="5"/>
  <c r="BI1863" i="5"/>
  <c r="BJ1863" i="5"/>
  <c r="BH1864" i="5"/>
  <c r="BI1864" i="5"/>
  <c r="BJ1864" i="5"/>
  <c r="BH1865" i="5"/>
  <c r="BI1865" i="5"/>
  <c r="BJ1865" i="5"/>
  <c r="BI1866" i="5"/>
  <c r="BJ1866" i="5"/>
  <c r="BI1867" i="5"/>
  <c r="BJ1867" i="5"/>
  <c r="BH1868" i="5"/>
  <c r="BI1868" i="5"/>
  <c r="BJ1868" i="5"/>
  <c r="BI1869" i="5"/>
  <c r="BJ1869" i="5"/>
  <c r="BI1870" i="5"/>
  <c r="BJ1870" i="5"/>
  <c r="BH1871" i="5"/>
  <c r="BI1871" i="5"/>
  <c r="BJ1871" i="5"/>
  <c r="BH1872" i="5"/>
  <c r="BI1872" i="5"/>
  <c r="BJ1872" i="5"/>
  <c r="BI1873" i="5"/>
  <c r="BJ1873" i="5"/>
  <c r="BI1874" i="5"/>
  <c r="BJ1874" i="5"/>
  <c r="BI1875" i="5"/>
  <c r="BJ1875" i="5"/>
  <c r="BI1876" i="5"/>
  <c r="BJ1876" i="5"/>
  <c r="BI1877" i="5"/>
  <c r="BJ1877" i="5"/>
  <c r="BI1878" i="5"/>
  <c r="BJ1878" i="5"/>
  <c r="BH1879" i="5"/>
  <c r="BI1879" i="5"/>
  <c r="BJ1879" i="5"/>
  <c r="BH1880" i="5"/>
  <c r="BI1880" i="5"/>
  <c r="BJ1880" i="5"/>
  <c r="BH1881" i="5"/>
  <c r="BI1881" i="5"/>
  <c r="BJ1881" i="5"/>
  <c r="BH1882" i="5"/>
  <c r="BI1882" i="5"/>
  <c r="BJ1882" i="5"/>
  <c r="BI1883" i="5"/>
  <c r="BJ1883" i="5"/>
  <c r="BH1884" i="5"/>
  <c r="BI1884" i="5"/>
  <c r="BJ1884" i="5"/>
  <c r="BI1885" i="5"/>
  <c r="BJ1885" i="5"/>
  <c r="BH1886" i="5"/>
  <c r="BI1886" i="5"/>
  <c r="BJ1886" i="5"/>
  <c r="BH1887" i="5"/>
  <c r="BI1887" i="5"/>
  <c r="BJ1887" i="5"/>
  <c r="BH1888" i="5"/>
  <c r="BI1888" i="5"/>
  <c r="BJ1888" i="5"/>
  <c r="BH1889" i="5"/>
  <c r="BI1889" i="5"/>
  <c r="BJ1889" i="5"/>
  <c r="BH1890" i="5"/>
  <c r="BI1890" i="5"/>
  <c r="BJ1890" i="5"/>
  <c r="BH1891" i="5"/>
  <c r="BI1891" i="5"/>
  <c r="BJ1891" i="5"/>
  <c r="BI1892" i="5"/>
  <c r="BJ1892" i="5"/>
  <c r="BI1893" i="5"/>
  <c r="BJ1893" i="5"/>
  <c r="BI1894" i="5"/>
  <c r="BJ1894" i="5"/>
  <c r="BH1895" i="5"/>
  <c r="BI1895" i="5"/>
  <c r="BJ1895" i="5"/>
  <c r="BH1896" i="5"/>
  <c r="BI1896" i="5"/>
  <c r="BJ1896" i="5"/>
  <c r="BI1897" i="5"/>
  <c r="BJ1897" i="5"/>
  <c r="BI1898" i="5"/>
  <c r="BJ1898" i="5"/>
  <c r="BI1899" i="5"/>
  <c r="BJ1899" i="5"/>
  <c r="BH1900" i="5"/>
  <c r="BI1900" i="5"/>
  <c r="BJ1900" i="5"/>
  <c r="BI1901" i="5"/>
  <c r="BJ1901" i="5"/>
  <c r="BH1902" i="5"/>
  <c r="BI1902" i="5"/>
  <c r="BJ1902" i="5"/>
  <c r="BI1903" i="5"/>
  <c r="BJ1903" i="5"/>
  <c r="BH1904" i="5"/>
  <c r="BI1904" i="5"/>
  <c r="BJ1904" i="5"/>
  <c r="BH1905" i="5"/>
  <c r="BI1905" i="5"/>
  <c r="BJ1905" i="5"/>
  <c r="BI1906" i="5"/>
  <c r="BJ1906" i="5"/>
  <c r="BI1907" i="5"/>
  <c r="BJ1907" i="5"/>
  <c r="BH1908" i="5"/>
  <c r="BI1908" i="5"/>
  <c r="BJ1908" i="5"/>
  <c r="BI1909" i="5"/>
  <c r="BJ1909" i="5"/>
  <c r="BH1910" i="5"/>
  <c r="BI1910" i="5"/>
  <c r="BJ1910" i="5"/>
  <c r="BI1911" i="5"/>
  <c r="BJ1911" i="5"/>
  <c r="BH1912" i="5"/>
  <c r="BI1912" i="5"/>
  <c r="BJ1912" i="5"/>
  <c r="BH1913" i="5"/>
  <c r="BI1913" i="5"/>
  <c r="BJ1913" i="5"/>
  <c r="BH1914" i="5"/>
  <c r="BI1914" i="5"/>
  <c r="BJ1914" i="5"/>
  <c r="BH1915" i="5"/>
  <c r="BI1915" i="5"/>
  <c r="BJ1915" i="5"/>
  <c r="BH1916" i="5"/>
  <c r="BI1916" i="5"/>
  <c r="BJ1916" i="5"/>
  <c r="BI1917" i="5"/>
  <c r="BJ1917" i="5"/>
  <c r="BI1918" i="5"/>
  <c r="BJ1918" i="5"/>
  <c r="BI1919" i="5"/>
  <c r="BJ1919" i="5"/>
  <c r="BI1920" i="5"/>
  <c r="BJ1920" i="5"/>
  <c r="BI1921" i="5"/>
  <c r="BJ1921" i="5"/>
  <c r="BH1922" i="5"/>
  <c r="BI1922" i="5"/>
  <c r="BJ1922" i="5"/>
  <c r="BH1923" i="5"/>
  <c r="BI1923" i="5"/>
  <c r="BJ1923" i="5"/>
  <c r="BH1924" i="5"/>
  <c r="BI1924" i="5"/>
  <c r="BJ1924" i="5"/>
  <c r="BH1925" i="5"/>
  <c r="BI1925" i="5"/>
  <c r="BJ1925" i="5"/>
  <c r="BH1926" i="5"/>
  <c r="BI1926" i="5"/>
  <c r="BJ1926" i="5"/>
  <c r="BH1927" i="5"/>
  <c r="BI1927" i="5"/>
  <c r="BJ1927" i="5"/>
  <c r="BI1928" i="5"/>
  <c r="BJ1928" i="5"/>
  <c r="BI1929" i="5"/>
  <c r="BJ1929" i="5"/>
  <c r="BH1930" i="5"/>
  <c r="BI1930" i="5"/>
  <c r="BJ1930" i="5"/>
  <c r="BH1931" i="5"/>
  <c r="BI1931" i="5"/>
  <c r="BJ1931" i="5"/>
  <c r="BI1932" i="5"/>
  <c r="BJ1932" i="5"/>
  <c r="BI1933" i="5"/>
  <c r="BJ1933" i="5"/>
  <c r="BH1934" i="5"/>
  <c r="BI1934" i="5"/>
  <c r="BJ1934" i="5"/>
  <c r="BH1935" i="5"/>
  <c r="BI1935" i="5"/>
  <c r="BJ1935" i="5"/>
  <c r="BH1936" i="5"/>
  <c r="BI1936" i="5"/>
  <c r="BJ1936" i="5"/>
  <c r="BH1937" i="5"/>
  <c r="BI1937" i="5"/>
  <c r="BJ1937" i="5"/>
  <c r="BH1938" i="5"/>
  <c r="BI1938" i="5"/>
  <c r="BJ1938" i="5"/>
  <c r="BI1939" i="5"/>
  <c r="BJ1939" i="5"/>
  <c r="BI1940" i="5"/>
  <c r="BJ1940" i="5"/>
  <c r="BI1941" i="5"/>
  <c r="BJ1941" i="5"/>
  <c r="BI1942" i="5"/>
  <c r="BJ1942" i="5"/>
  <c r="BI1943" i="5"/>
  <c r="BJ1943" i="5"/>
  <c r="BH1944" i="5"/>
  <c r="BI1944" i="5"/>
  <c r="BJ1944" i="5"/>
  <c r="BI1945" i="5"/>
  <c r="BJ1945" i="5"/>
  <c r="BH1946" i="5"/>
  <c r="BI1946" i="5"/>
  <c r="BJ1946" i="5"/>
  <c r="BH1947" i="5"/>
  <c r="BI1947" i="5"/>
  <c r="BJ1947" i="5"/>
  <c r="BH1948" i="5"/>
  <c r="BI1948" i="5"/>
  <c r="BJ1948" i="5"/>
  <c r="BI1949" i="5"/>
  <c r="BJ1949" i="5"/>
  <c r="BI1950" i="5"/>
  <c r="BJ1950" i="5"/>
  <c r="BH1951" i="5"/>
  <c r="BI1951" i="5"/>
  <c r="BJ1951" i="5"/>
  <c r="BH1952" i="5"/>
  <c r="BI1952" i="5"/>
  <c r="BJ1952" i="5"/>
  <c r="BI1953" i="5"/>
  <c r="BJ1953" i="5"/>
  <c r="BH1954" i="5"/>
  <c r="BI1954" i="5"/>
  <c r="BJ1954" i="5"/>
  <c r="BH1955" i="5"/>
  <c r="BI1955" i="5"/>
  <c r="BJ1955" i="5"/>
  <c r="BH1956" i="5"/>
  <c r="BI1956" i="5"/>
  <c r="BJ1956" i="5"/>
  <c r="BI1957" i="5"/>
  <c r="BJ1957" i="5"/>
  <c r="BH1958" i="5"/>
  <c r="BI1958" i="5"/>
  <c r="BJ1958" i="5"/>
  <c r="BI1959" i="5"/>
  <c r="BJ1959" i="5"/>
  <c r="BI1960" i="5"/>
  <c r="BJ1960" i="5"/>
  <c r="BI1961" i="5"/>
  <c r="BJ1961" i="5"/>
  <c r="BI1962" i="5"/>
  <c r="BJ1962" i="5"/>
  <c r="BI1963" i="5"/>
  <c r="BJ1963" i="5"/>
  <c r="BI1964" i="5"/>
  <c r="BJ1964" i="5"/>
  <c r="BI1965" i="5"/>
  <c r="BJ1965" i="5"/>
  <c r="BH1966" i="5"/>
  <c r="BI1966" i="5"/>
  <c r="BJ1966" i="5"/>
  <c r="BH1967" i="5"/>
  <c r="BI1967" i="5"/>
  <c r="BJ1967" i="5"/>
  <c r="BH1968" i="5"/>
  <c r="BI1968" i="5"/>
  <c r="BJ1968" i="5"/>
  <c r="BI1969" i="5"/>
  <c r="BJ1969" i="5"/>
  <c r="BI1970" i="5"/>
  <c r="BJ1970" i="5"/>
  <c r="BI1971" i="5"/>
  <c r="BJ1971" i="5"/>
  <c r="BH1972" i="5"/>
  <c r="BI1972" i="5"/>
  <c r="BJ1972" i="5"/>
  <c r="BH1973" i="5"/>
  <c r="BI1973" i="5"/>
  <c r="BJ1973" i="5"/>
  <c r="BH1974" i="5"/>
  <c r="BI1974" i="5"/>
  <c r="BJ1974" i="5"/>
  <c r="BH1975" i="5"/>
  <c r="BI1975" i="5"/>
  <c r="BJ1975" i="5"/>
  <c r="BH1976" i="5"/>
  <c r="BI1976" i="5"/>
  <c r="BJ1976" i="5"/>
  <c r="BI1977" i="5"/>
  <c r="BJ1977" i="5"/>
  <c r="BH1978" i="5"/>
  <c r="BI1978" i="5"/>
  <c r="BJ1978" i="5"/>
  <c r="BH1979" i="5"/>
  <c r="BI1979" i="5"/>
  <c r="BJ1979" i="5"/>
  <c r="BH1980" i="5"/>
  <c r="BI1980" i="5"/>
  <c r="BJ1980" i="5"/>
  <c r="BI1981" i="5"/>
  <c r="BJ1981" i="5"/>
  <c r="BH1982" i="5"/>
  <c r="BI1982" i="5"/>
  <c r="BJ1982" i="5"/>
  <c r="BH1983" i="5"/>
  <c r="BI1983" i="5"/>
  <c r="BJ1983" i="5"/>
  <c r="BI1984" i="5"/>
  <c r="BJ1984" i="5"/>
  <c r="BI1985" i="5"/>
  <c r="BJ1985" i="5"/>
  <c r="BI1986" i="5"/>
  <c r="BJ1986" i="5"/>
  <c r="BH1987" i="5"/>
  <c r="BI1987" i="5"/>
  <c r="BJ1987" i="5"/>
  <c r="BH1988" i="5"/>
  <c r="BI1988" i="5"/>
  <c r="BJ1988" i="5"/>
  <c r="BI1989" i="5"/>
  <c r="BJ1989" i="5"/>
  <c r="BH1990" i="5"/>
  <c r="BI1990" i="5"/>
  <c r="BJ1990" i="5"/>
  <c r="BI1991" i="5"/>
  <c r="BJ1991" i="5"/>
  <c r="BI1992" i="5"/>
  <c r="BJ1992" i="5"/>
  <c r="BI1993" i="5"/>
  <c r="BJ1993" i="5"/>
  <c r="BH1994" i="5"/>
  <c r="BI1994" i="5"/>
  <c r="BJ1994" i="5"/>
  <c r="BI1995" i="5"/>
  <c r="BJ1995" i="5"/>
  <c r="BI1996" i="5"/>
  <c r="BJ1996" i="5"/>
  <c r="BH1997" i="5"/>
  <c r="BI1997" i="5"/>
  <c r="BJ1997" i="5"/>
  <c r="BH1998" i="5"/>
  <c r="BI1998" i="5"/>
  <c r="BJ1998" i="5"/>
  <c r="BI1999" i="5"/>
  <c r="BJ1999" i="5"/>
  <c r="BH2000" i="5"/>
  <c r="BI2000" i="5"/>
  <c r="BJ2000" i="5"/>
  <c r="BI2001" i="5"/>
  <c r="BJ2001" i="5"/>
  <c r="BI2002" i="5"/>
  <c r="BJ2002" i="5"/>
  <c r="BH2003" i="5"/>
  <c r="BI2003" i="5"/>
  <c r="BJ2003" i="5"/>
  <c r="BH2004" i="5"/>
  <c r="BI2004" i="5"/>
  <c r="BJ2004" i="5"/>
  <c r="BI2005" i="5"/>
  <c r="BJ2005" i="5"/>
  <c r="BI2006" i="5"/>
  <c r="BJ2006" i="5"/>
  <c r="BI2007" i="5"/>
  <c r="BJ2007" i="5"/>
  <c r="BH2008" i="5"/>
  <c r="BI2008" i="5"/>
  <c r="BJ2008" i="5"/>
  <c r="BI2009" i="5"/>
  <c r="BJ2009" i="5"/>
  <c r="BH2010" i="5"/>
  <c r="BI2010" i="5"/>
  <c r="BJ2010" i="5"/>
  <c r="BH2011" i="5"/>
  <c r="BI2011" i="5"/>
  <c r="BJ2011" i="5"/>
  <c r="BH2012" i="5"/>
  <c r="BI2012" i="5"/>
  <c r="BJ2012" i="5"/>
  <c r="BH2013" i="5"/>
  <c r="BI2013" i="5"/>
  <c r="BJ2013" i="5"/>
  <c r="BI2014" i="5"/>
  <c r="BJ2014" i="5"/>
  <c r="BI2015" i="5"/>
  <c r="BJ2015" i="5"/>
  <c r="BH2016" i="5"/>
  <c r="BI2016" i="5"/>
  <c r="BJ2016" i="5"/>
  <c r="BH2017" i="5"/>
  <c r="BI2017" i="5"/>
  <c r="BJ2017" i="5"/>
  <c r="BI2018" i="5"/>
  <c r="BJ2018" i="5"/>
  <c r="BI2019" i="5"/>
  <c r="BJ2019" i="5"/>
  <c r="BI2020" i="5"/>
  <c r="BJ2020" i="5"/>
  <c r="BH2021" i="5"/>
  <c r="BI2021" i="5"/>
  <c r="BJ2021" i="5"/>
  <c r="BH2022" i="5"/>
  <c r="BI2022" i="5"/>
  <c r="BJ2022" i="5"/>
  <c r="BH2023" i="5"/>
  <c r="BI2023" i="5"/>
  <c r="BJ2023" i="5"/>
  <c r="BH2024" i="5"/>
  <c r="BI2024" i="5"/>
  <c r="BJ2024" i="5"/>
  <c r="BI2025" i="5"/>
  <c r="BJ2025" i="5"/>
  <c r="BI2026" i="5"/>
  <c r="BJ2026" i="5"/>
  <c r="BH2027" i="5"/>
  <c r="BI2027" i="5"/>
  <c r="BJ2027" i="5"/>
  <c r="BI2028" i="5"/>
  <c r="BJ2028" i="5"/>
  <c r="BI2029" i="5"/>
  <c r="BJ2029" i="5"/>
  <c r="BH2030" i="5"/>
  <c r="BI2030" i="5"/>
  <c r="BJ2030" i="5"/>
  <c r="BH2031" i="5"/>
  <c r="BI2031" i="5"/>
  <c r="BJ2031" i="5"/>
  <c r="BH2032" i="5"/>
  <c r="BI2032" i="5"/>
  <c r="BJ2032" i="5"/>
  <c r="BH2033" i="5"/>
  <c r="BI2033" i="5"/>
  <c r="BJ2033" i="5"/>
  <c r="BH2034" i="5"/>
  <c r="BI2034" i="5"/>
  <c r="BJ2034" i="5"/>
  <c r="BH2035" i="5"/>
  <c r="BI2035" i="5"/>
  <c r="BJ2035" i="5"/>
  <c r="BI2036" i="5"/>
  <c r="BJ2036" i="5"/>
  <c r="BI2037" i="5"/>
  <c r="BJ2037" i="5"/>
  <c r="BI2038" i="5"/>
  <c r="BJ2038" i="5"/>
  <c r="BI2039" i="5"/>
  <c r="BJ2039" i="5"/>
  <c r="BH2040" i="5"/>
  <c r="BI2040" i="5"/>
  <c r="BJ2040" i="5"/>
  <c r="BH2041" i="5"/>
  <c r="BI2041" i="5"/>
  <c r="BJ2041" i="5"/>
  <c r="BI2042" i="5"/>
  <c r="BJ2042" i="5"/>
  <c r="BI2043" i="5"/>
  <c r="BJ2043" i="5"/>
  <c r="BH2044" i="5"/>
  <c r="BI2044" i="5"/>
  <c r="BJ2044" i="5"/>
  <c r="BI2045" i="5"/>
  <c r="BJ2045" i="5"/>
  <c r="BH2046" i="5"/>
  <c r="BI2046" i="5"/>
  <c r="BJ2046" i="5"/>
  <c r="BI2047" i="5"/>
  <c r="BJ2047" i="5"/>
  <c r="BI2048" i="5"/>
  <c r="BJ2048" i="5"/>
  <c r="BI2049" i="5"/>
  <c r="BJ2049" i="5"/>
  <c r="BI2050" i="5"/>
  <c r="BJ2050" i="5"/>
  <c r="BI2051" i="5"/>
  <c r="BJ2051" i="5"/>
  <c r="BH2052" i="5"/>
  <c r="BI2052" i="5"/>
  <c r="BJ2052" i="5"/>
  <c r="BH2053" i="5"/>
  <c r="BI2053" i="5"/>
  <c r="BJ2053" i="5"/>
  <c r="BI2054" i="5"/>
  <c r="BJ2054" i="5"/>
  <c r="BI2055" i="5"/>
  <c r="BJ2055" i="5"/>
  <c r="BH2056" i="5"/>
  <c r="BI2056" i="5"/>
  <c r="BJ2056" i="5"/>
  <c r="BH2057" i="5"/>
  <c r="BI2057" i="5"/>
  <c r="BJ2057" i="5"/>
  <c r="BI2058" i="5"/>
  <c r="BJ2058" i="5"/>
  <c r="BI2059" i="5"/>
  <c r="BJ2059" i="5"/>
  <c r="BH2060" i="5"/>
  <c r="BI2060" i="5"/>
  <c r="BJ2060" i="5"/>
  <c r="BI2061" i="5"/>
  <c r="BJ2061" i="5"/>
  <c r="BH2062" i="5"/>
  <c r="BI2062" i="5"/>
  <c r="BJ2062" i="5"/>
  <c r="BH2063" i="5"/>
  <c r="BI2063" i="5"/>
  <c r="BJ2063" i="5"/>
  <c r="BH2064" i="5"/>
  <c r="BI2064" i="5"/>
  <c r="BJ2064" i="5"/>
  <c r="BI2065" i="5"/>
  <c r="BJ2065" i="5"/>
  <c r="BH2066" i="5"/>
  <c r="BI2066" i="5"/>
  <c r="BJ2066" i="5"/>
  <c r="BH2067" i="5"/>
  <c r="BI2067" i="5"/>
  <c r="BJ2067" i="5"/>
  <c r="BI2068" i="5"/>
  <c r="BJ2068" i="5"/>
  <c r="BI2069" i="5"/>
  <c r="BJ2069" i="5"/>
  <c r="BH2070" i="5"/>
  <c r="BI2070" i="5"/>
  <c r="BJ2070" i="5"/>
  <c r="BH2071" i="5"/>
  <c r="BI2071" i="5"/>
  <c r="BJ2071" i="5"/>
  <c r="BI2072" i="5"/>
  <c r="BJ2072" i="5"/>
  <c r="BI2073" i="5"/>
  <c r="BJ2073" i="5"/>
  <c r="BH2074" i="5"/>
  <c r="BI2074" i="5"/>
  <c r="BJ2074" i="5"/>
  <c r="BI2075" i="5"/>
  <c r="BJ2075" i="5"/>
  <c r="BI2076" i="5"/>
  <c r="BJ2076" i="5"/>
  <c r="BH2077" i="5"/>
  <c r="BI2077" i="5"/>
  <c r="BJ2077" i="5"/>
  <c r="BI2078" i="5"/>
  <c r="BJ2078" i="5"/>
  <c r="BI2079" i="5"/>
  <c r="BJ2079" i="5"/>
  <c r="BH2080" i="5"/>
  <c r="BI2080" i="5"/>
  <c r="BJ2080" i="5"/>
  <c r="BH2081" i="5"/>
  <c r="BI2081" i="5"/>
  <c r="BJ2081" i="5"/>
  <c r="BH2082" i="5"/>
  <c r="BI2082" i="5"/>
  <c r="BJ2082" i="5"/>
  <c r="BI2083" i="5"/>
  <c r="BJ2083" i="5"/>
  <c r="BI2084" i="5"/>
  <c r="BJ2084" i="5"/>
  <c r="BI2085" i="5"/>
  <c r="BJ2085" i="5"/>
  <c r="BH2086" i="5"/>
  <c r="BI2086" i="5"/>
  <c r="BJ2086" i="5"/>
  <c r="BH2087" i="5"/>
  <c r="BI2087" i="5"/>
  <c r="BJ2087" i="5"/>
  <c r="BI2088" i="5"/>
  <c r="BJ2088" i="5"/>
  <c r="BH2089" i="5"/>
  <c r="BI2089" i="5"/>
  <c r="BJ2089" i="5"/>
  <c r="BH2090" i="5"/>
  <c r="BI2090" i="5"/>
  <c r="BJ2090" i="5"/>
  <c r="BI2091" i="5"/>
  <c r="BJ2091" i="5"/>
  <c r="BI2092" i="5"/>
  <c r="BJ2092" i="5"/>
  <c r="BI2093" i="5"/>
  <c r="BJ2093" i="5"/>
  <c r="BI2094" i="5"/>
  <c r="BJ2094" i="5"/>
  <c r="BI2095" i="5"/>
  <c r="BJ2095" i="5"/>
  <c r="BI2096" i="5"/>
  <c r="BJ2096" i="5"/>
  <c r="BI2097" i="5"/>
  <c r="BJ2097" i="5"/>
  <c r="BH2098" i="5"/>
  <c r="BI2098" i="5"/>
  <c r="BJ2098" i="5"/>
  <c r="BH2099" i="5"/>
  <c r="BI2099" i="5"/>
  <c r="BJ2099" i="5"/>
  <c r="BH2100" i="5"/>
  <c r="BI2100" i="5"/>
  <c r="BJ2100" i="5"/>
  <c r="BI2101" i="5"/>
  <c r="BJ2101" i="5"/>
  <c r="BI2102" i="5"/>
  <c r="BJ2102" i="5"/>
  <c r="BI2103" i="5"/>
  <c r="BJ2103" i="5"/>
  <c r="BI2104" i="5"/>
  <c r="BJ2104" i="5"/>
  <c r="BH2105" i="5"/>
  <c r="BI2105" i="5"/>
  <c r="BJ2105" i="5"/>
  <c r="BH2106" i="5"/>
  <c r="BI2106" i="5"/>
  <c r="BJ2106" i="5"/>
  <c r="BI2107" i="5"/>
  <c r="BJ2107" i="5"/>
  <c r="BI2108" i="5"/>
  <c r="BJ2108" i="5"/>
  <c r="BH2109" i="5"/>
  <c r="BI2109" i="5"/>
  <c r="BJ2109" i="5"/>
  <c r="BI2110" i="5"/>
  <c r="BJ2110" i="5"/>
  <c r="BH2111" i="5"/>
  <c r="BI2111" i="5"/>
  <c r="BJ2111" i="5"/>
  <c r="BI2112" i="5"/>
  <c r="BJ2112" i="5"/>
  <c r="BH2113" i="5"/>
  <c r="BI2113" i="5"/>
  <c r="BJ2113" i="5"/>
  <c r="BH2114" i="5"/>
  <c r="BI2114" i="5"/>
  <c r="BJ2114" i="5"/>
  <c r="BI2115" i="5"/>
  <c r="BJ2115" i="5"/>
  <c r="BI2116" i="5"/>
  <c r="BJ2116" i="5"/>
  <c r="BH2117" i="5"/>
  <c r="BI2117" i="5"/>
  <c r="BJ2117" i="5"/>
  <c r="BI2118" i="5"/>
  <c r="BJ2118" i="5"/>
  <c r="BI2119" i="5"/>
  <c r="BJ2119" i="5"/>
  <c r="BH2120" i="5"/>
  <c r="BI2120" i="5"/>
  <c r="BJ2120" i="5"/>
  <c r="BH2121" i="5"/>
  <c r="BI2121" i="5"/>
  <c r="BJ2121" i="5"/>
  <c r="BH2122" i="5"/>
  <c r="BI2122" i="5"/>
  <c r="BJ2122" i="5"/>
  <c r="BH2123" i="5"/>
  <c r="BI2123" i="5"/>
  <c r="BJ2123" i="5"/>
  <c r="BI2124" i="5"/>
  <c r="BJ2124" i="5"/>
  <c r="BH2125" i="5"/>
  <c r="BI2125" i="5"/>
  <c r="BJ2125" i="5"/>
  <c r="BH2126" i="5"/>
  <c r="BI2126" i="5"/>
  <c r="BJ2126" i="5"/>
  <c r="BH2127" i="5"/>
  <c r="BI2127" i="5"/>
  <c r="BJ2127" i="5"/>
  <c r="BI2128" i="5"/>
  <c r="BJ2128" i="5"/>
  <c r="BH2129" i="5"/>
  <c r="BI2129" i="5"/>
  <c r="BJ2129" i="5"/>
  <c r="BH2130" i="5"/>
  <c r="BI2130" i="5"/>
  <c r="BJ2130" i="5"/>
  <c r="BI2131" i="5"/>
  <c r="BJ2131" i="5"/>
  <c r="BI2132" i="5"/>
  <c r="BJ2132" i="5"/>
  <c r="BH2133" i="5"/>
  <c r="BI2133" i="5"/>
  <c r="BJ2133" i="5"/>
  <c r="BH2134" i="5"/>
  <c r="BI2134" i="5"/>
  <c r="BJ2134" i="5"/>
  <c r="BH2135" i="5"/>
  <c r="BI2135" i="5"/>
  <c r="BJ2135" i="5"/>
  <c r="BI2136" i="5"/>
  <c r="BJ2136" i="5"/>
  <c r="BI2137" i="5"/>
  <c r="BJ2137" i="5"/>
  <c r="BI2138" i="5"/>
  <c r="BJ2138" i="5"/>
  <c r="BI2139" i="5"/>
  <c r="BJ2139" i="5"/>
  <c r="BI2140" i="5"/>
  <c r="BJ2140" i="5"/>
  <c r="BI2141" i="5"/>
  <c r="BJ2141" i="5"/>
  <c r="BH2142" i="5"/>
  <c r="BI2142" i="5"/>
  <c r="BJ2142" i="5"/>
  <c r="BI2143" i="5"/>
  <c r="BJ2143" i="5"/>
  <c r="BI2144" i="5"/>
  <c r="BJ2144" i="5"/>
  <c r="BH2145" i="5"/>
  <c r="BI2145" i="5"/>
  <c r="BJ2145" i="5"/>
  <c r="BH2146" i="5"/>
  <c r="BI2146" i="5"/>
  <c r="BJ2146" i="5"/>
  <c r="BH2147" i="5"/>
  <c r="BI2147" i="5"/>
  <c r="BJ2147" i="5"/>
  <c r="BI2148" i="5"/>
  <c r="BJ2148" i="5"/>
  <c r="BH2149" i="5"/>
  <c r="BI2149" i="5"/>
  <c r="BJ2149" i="5"/>
  <c r="BH2150" i="5"/>
  <c r="BI2150" i="5"/>
  <c r="BJ2150" i="5"/>
  <c r="BI2151" i="5"/>
  <c r="BJ2151" i="5"/>
  <c r="BI2152" i="5"/>
  <c r="BJ2152" i="5"/>
  <c r="BI2153" i="5"/>
  <c r="BJ2153" i="5"/>
  <c r="BH2154" i="5"/>
  <c r="BI2154" i="5"/>
  <c r="BJ2154" i="5"/>
  <c r="BH2155" i="5"/>
  <c r="BI2155" i="5"/>
  <c r="BJ2155" i="5"/>
  <c r="BI2156" i="5"/>
  <c r="BJ2156" i="5"/>
  <c r="BH2157" i="5"/>
  <c r="BI2157" i="5"/>
  <c r="BJ2157" i="5"/>
  <c r="BH2158" i="5"/>
  <c r="BI2158" i="5"/>
  <c r="BJ2158" i="5"/>
  <c r="BI2159" i="5"/>
  <c r="BJ2159" i="5"/>
  <c r="BI2160" i="5"/>
  <c r="BJ2160" i="5"/>
  <c r="BI2161" i="5"/>
  <c r="BJ2161" i="5"/>
  <c r="BH2162" i="5"/>
  <c r="BI2162" i="5"/>
  <c r="BJ2162" i="5"/>
  <c r="BI2163" i="5"/>
  <c r="BJ2163" i="5"/>
  <c r="BI2164" i="5"/>
  <c r="BJ2164" i="5"/>
  <c r="BH2165" i="5"/>
  <c r="BI2165" i="5"/>
  <c r="BJ2165" i="5"/>
  <c r="BH2166" i="5"/>
  <c r="BI2166" i="5"/>
  <c r="BJ2166" i="5"/>
  <c r="BI2167" i="5"/>
  <c r="BJ2167" i="5"/>
  <c r="BH2168" i="5"/>
  <c r="BI2168" i="5"/>
  <c r="BJ2168" i="5"/>
  <c r="BI2169" i="5"/>
  <c r="BJ2169" i="5"/>
  <c r="BI2170" i="5"/>
  <c r="BJ2170" i="5"/>
  <c r="BH2171" i="5"/>
  <c r="BI2171" i="5"/>
  <c r="BJ2171" i="5"/>
  <c r="BI2172" i="5"/>
  <c r="BJ2172" i="5"/>
  <c r="BI2173" i="5"/>
  <c r="BJ2173" i="5"/>
  <c r="BI2174" i="5"/>
  <c r="BJ2174" i="5"/>
  <c r="BH2175" i="5"/>
  <c r="BI2175" i="5"/>
  <c r="BJ2175" i="5"/>
  <c r="BI2176" i="5"/>
  <c r="BJ2176" i="5"/>
  <c r="BH2177" i="5"/>
  <c r="BI2177" i="5"/>
  <c r="BJ2177" i="5"/>
  <c r="BI2178" i="5"/>
  <c r="BJ2178" i="5"/>
  <c r="BI2179" i="5"/>
  <c r="BJ2179" i="5"/>
  <c r="BI2180" i="5"/>
  <c r="BJ2180" i="5"/>
  <c r="BH2181" i="5"/>
  <c r="BI2181" i="5"/>
  <c r="BJ2181" i="5"/>
  <c r="BI2182" i="5"/>
  <c r="BJ2182" i="5"/>
  <c r="BI2183" i="5"/>
  <c r="BJ2183" i="5"/>
  <c r="BI2184" i="5"/>
  <c r="BJ2184" i="5"/>
  <c r="BI2185" i="5"/>
  <c r="BJ2185" i="5"/>
  <c r="BI2186" i="5"/>
  <c r="BJ2186" i="5"/>
  <c r="BI2187" i="5"/>
  <c r="BJ2187" i="5"/>
  <c r="BI2188" i="5"/>
  <c r="BJ2188" i="5"/>
  <c r="BI2189" i="5"/>
  <c r="BJ2189" i="5"/>
  <c r="BH2190" i="5"/>
  <c r="BI2190" i="5"/>
  <c r="BJ2190" i="5"/>
  <c r="BI2191" i="5"/>
  <c r="BJ2191" i="5"/>
  <c r="BH2192" i="5"/>
  <c r="BI2192" i="5"/>
  <c r="BJ2192" i="5"/>
  <c r="BH2193" i="5"/>
  <c r="BI2193" i="5"/>
  <c r="BJ2193" i="5"/>
  <c r="BI2194" i="5"/>
  <c r="BJ2194" i="5"/>
  <c r="BI2195" i="5"/>
  <c r="BJ2195" i="5"/>
  <c r="BI2196" i="5"/>
  <c r="BJ2196" i="5"/>
  <c r="BI2197" i="5"/>
  <c r="BJ2197" i="5"/>
  <c r="BH2198" i="5"/>
  <c r="BI2198" i="5"/>
  <c r="BJ2198" i="5"/>
  <c r="BH2199" i="5"/>
  <c r="BI2199" i="5"/>
  <c r="BJ2199" i="5"/>
  <c r="BI2200" i="5"/>
  <c r="BJ2200" i="5"/>
  <c r="BI2201" i="5"/>
  <c r="BJ2201" i="5"/>
  <c r="BI2202" i="5"/>
  <c r="BJ2202" i="5"/>
  <c r="BH2203" i="5"/>
  <c r="BI2203" i="5"/>
  <c r="BJ2203" i="5"/>
  <c r="BH2204" i="5"/>
  <c r="BI2204" i="5"/>
  <c r="BJ2204" i="5"/>
  <c r="BI2205" i="5"/>
  <c r="BJ2205" i="5"/>
  <c r="BI2206" i="5"/>
  <c r="BJ2206" i="5"/>
  <c r="BI2207" i="5"/>
  <c r="BJ2207" i="5"/>
  <c r="BI2208" i="5"/>
  <c r="BJ2208" i="5"/>
  <c r="BI2209" i="5"/>
  <c r="BJ2209" i="5"/>
  <c r="BH2210" i="5"/>
  <c r="BI2210" i="5"/>
  <c r="BJ2210" i="5"/>
  <c r="BH2211" i="5"/>
  <c r="BI2211" i="5"/>
  <c r="BJ2211" i="5"/>
  <c r="BI2212" i="5"/>
  <c r="BJ2212" i="5"/>
  <c r="BI2213" i="5"/>
  <c r="BJ2213" i="5"/>
  <c r="BI2214" i="5"/>
  <c r="BJ2214" i="5"/>
  <c r="BI2215" i="5"/>
  <c r="BJ2215" i="5"/>
  <c r="BI2216" i="5"/>
  <c r="BJ2216" i="5"/>
  <c r="BI2217" i="5"/>
  <c r="BJ2217" i="5"/>
  <c r="BI2218" i="5"/>
  <c r="BJ2218" i="5"/>
  <c r="BI2219" i="5"/>
  <c r="BJ2219" i="5"/>
  <c r="BI2220" i="5"/>
  <c r="BJ2220" i="5"/>
  <c r="BH2221" i="5"/>
  <c r="BI2221" i="5"/>
  <c r="BJ2221" i="5"/>
  <c r="BH2222" i="5"/>
  <c r="BI2222" i="5"/>
  <c r="BJ2222" i="5"/>
  <c r="BH2223" i="5"/>
  <c r="BI2223" i="5"/>
  <c r="BJ2223" i="5"/>
  <c r="BI2224" i="5"/>
  <c r="BJ2224" i="5"/>
  <c r="BI2225" i="5"/>
  <c r="BJ2225" i="5"/>
  <c r="BI2226" i="5"/>
  <c r="BJ2226" i="5"/>
  <c r="BH2227" i="5"/>
  <c r="BI2227" i="5"/>
  <c r="BJ2227" i="5"/>
  <c r="BI2228" i="5"/>
  <c r="BJ2228" i="5"/>
  <c r="BI2229" i="5"/>
  <c r="BJ2229" i="5"/>
  <c r="BI2230" i="5"/>
  <c r="BJ2230" i="5"/>
  <c r="BI2231" i="5"/>
  <c r="BJ2231" i="5"/>
  <c r="BI2232" i="5"/>
  <c r="BJ2232" i="5"/>
  <c r="BI2233" i="5"/>
  <c r="BJ2233" i="5"/>
  <c r="BH2234" i="5"/>
  <c r="BI2234" i="5"/>
  <c r="BJ2234" i="5"/>
  <c r="BH2235" i="5"/>
  <c r="BI2235" i="5"/>
  <c r="BJ2235" i="5"/>
  <c r="BI2236" i="5"/>
  <c r="BJ2236" i="5"/>
  <c r="BI2237" i="5"/>
  <c r="BJ2237" i="5"/>
  <c r="BI2238" i="5"/>
  <c r="BJ2238" i="5"/>
  <c r="BI2239" i="5"/>
  <c r="BJ2239" i="5"/>
  <c r="BH2240" i="5"/>
  <c r="BI2240" i="5"/>
  <c r="BJ2240" i="5"/>
  <c r="BI2241" i="5"/>
  <c r="BJ2241" i="5"/>
  <c r="BI2242" i="5"/>
  <c r="BJ2242" i="5"/>
  <c r="BI2243" i="5"/>
  <c r="BJ2243" i="5"/>
  <c r="BI2244" i="5"/>
  <c r="BJ2244" i="5"/>
  <c r="BH2245" i="5"/>
  <c r="BI2245" i="5"/>
  <c r="BJ2245" i="5"/>
  <c r="BI2246" i="5"/>
  <c r="BJ2246" i="5"/>
  <c r="BI2247" i="5"/>
  <c r="BJ2247" i="5"/>
  <c r="BI2248" i="5"/>
  <c r="BJ2248" i="5"/>
  <c r="BI2249" i="5"/>
  <c r="BJ2249" i="5"/>
  <c r="BI2250" i="5"/>
  <c r="BJ2250" i="5"/>
  <c r="BH2251" i="5"/>
  <c r="BI2251" i="5"/>
  <c r="BJ2251" i="5"/>
  <c r="BI2252" i="5"/>
  <c r="BJ2252" i="5"/>
  <c r="BI2253" i="5"/>
  <c r="BJ2253" i="5"/>
  <c r="BI2254" i="5"/>
  <c r="BJ2254" i="5"/>
  <c r="BI2255" i="5"/>
  <c r="BJ2255" i="5"/>
  <c r="BH2256" i="5"/>
  <c r="BI2256" i="5"/>
  <c r="BJ2256" i="5"/>
  <c r="BH2257" i="5"/>
  <c r="BI2257" i="5"/>
  <c r="BJ2257" i="5"/>
  <c r="BH2258" i="5"/>
  <c r="BI2258" i="5"/>
  <c r="BJ2258" i="5"/>
  <c r="BI2259" i="5"/>
  <c r="BJ2259" i="5"/>
  <c r="BI2260" i="5"/>
  <c r="BJ2260" i="5"/>
  <c r="BI2261" i="5"/>
  <c r="BJ2261" i="5"/>
  <c r="BI2262" i="5"/>
  <c r="BJ2262" i="5"/>
  <c r="BI2263" i="5"/>
  <c r="BJ2263" i="5"/>
  <c r="BH2264" i="5"/>
  <c r="BI2264" i="5"/>
  <c r="BJ2264" i="5"/>
  <c r="BI2265" i="5"/>
  <c r="BJ2265" i="5"/>
  <c r="BH2266" i="5"/>
  <c r="BI2266" i="5"/>
  <c r="BJ2266" i="5"/>
  <c r="BH2267" i="5"/>
  <c r="BI2267" i="5"/>
  <c r="BJ2267" i="5"/>
  <c r="BH2268" i="5"/>
  <c r="BI2268" i="5"/>
  <c r="BJ2268" i="5"/>
  <c r="BI2269" i="5"/>
  <c r="BJ2269" i="5"/>
  <c r="BI2270" i="5"/>
  <c r="BJ2270" i="5"/>
  <c r="BI2271" i="5"/>
  <c r="BJ2271" i="5"/>
  <c r="BI2272" i="5"/>
  <c r="BJ2272" i="5"/>
  <c r="BI2273" i="5"/>
  <c r="BJ2273" i="5"/>
  <c r="BI2274" i="5"/>
  <c r="BJ2274" i="5"/>
  <c r="BI2275" i="5"/>
  <c r="BJ2275" i="5"/>
  <c r="BI2276" i="5"/>
  <c r="BJ2276" i="5"/>
  <c r="BI2277" i="5"/>
  <c r="BJ2277" i="5"/>
  <c r="BI2278" i="5"/>
  <c r="BJ2278" i="5"/>
  <c r="BI2279" i="5"/>
  <c r="BJ2279" i="5"/>
  <c r="BI2280" i="5"/>
  <c r="BJ2280" i="5"/>
  <c r="BI2281" i="5"/>
  <c r="BJ2281" i="5"/>
  <c r="BH2282" i="5"/>
  <c r="BI2282" i="5"/>
  <c r="BJ2282" i="5"/>
  <c r="BI2283" i="5"/>
  <c r="BJ2283" i="5"/>
  <c r="BI2284" i="5"/>
  <c r="BJ2284" i="5"/>
  <c r="BI2285" i="5"/>
  <c r="BJ2285" i="5"/>
  <c r="BI2286" i="5"/>
  <c r="BJ2286" i="5"/>
  <c r="BI2287" i="5"/>
  <c r="BJ2287" i="5"/>
  <c r="BH2288" i="5"/>
  <c r="BI2288" i="5"/>
  <c r="BJ2288" i="5"/>
  <c r="BI2289" i="5"/>
  <c r="BJ2289" i="5"/>
  <c r="BI2290" i="5"/>
  <c r="BJ2290" i="5"/>
  <c r="BI2291" i="5"/>
  <c r="BJ2291" i="5"/>
  <c r="BH2292" i="5"/>
  <c r="BI2292" i="5"/>
  <c r="BJ2292" i="5"/>
  <c r="BI2293" i="5"/>
  <c r="BJ2293" i="5"/>
  <c r="BI2294" i="5"/>
  <c r="BJ2294" i="5"/>
  <c r="BI2295" i="5"/>
  <c r="BJ2295" i="5"/>
  <c r="BI2296" i="5"/>
  <c r="BJ2296" i="5"/>
  <c r="BI2297" i="5"/>
  <c r="BJ2297" i="5"/>
  <c r="BI2298" i="5"/>
  <c r="BJ2298" i="5"/>
  <c r="BH2299" i="5"/>
  <c r="BI2299" i="5"/>
  <c r="BJ2299" i="5"/>
  <c r="BH2300" i="5"/>
  <c r="BI2300" i="5"/>
  <c r="BJ2300" i="5"/>
  <c r="BI2301" i="5"/>
  <c r="BJ2301" i="5"/>
  <c r="BI2302" i="5"/>
  <c r="BJ2302" i="5"/>
  <c r="BI2303" i="5"/>
  <c r="BJ2303" i="5"/>
  <c r="BI2304" i="5"/>
  <c r="BJ2304" i="5"/>
  <c r="BI2305" i="5"/>
  <c r="BJ2305" i="5"/>
  <c r="BI2306" i="5"/>
  <c r="BJ2306" i="5"/>
  <c r="BI2307" i="5"/>
  <c r="BJ2307" i="5"/>
  <c r="BI2308" i="5"/>
  <c r="BJ2308" i="5"/>
  <c r="BI2309" i="5"/>
  <c r="BJ2309" i="5"/>
  <c r="BH2310" i="5"/>
  <c r="BI2310" i="5"/>
  <c r="BJ2310" i="5"/>
  <c r="BI2311" i="5"/>
  <c r="BJ2311" i="5"/>
  <c r="BI2312" i="5"/>
  <c r="BJ2312" i="5"/>
  <c r="BH2313" i="5"/>
  <c r="BI2313" i="5"/>
  <c r="BJ2313" i="5"/>
  <c r="BH2314" i="5"/>
  <c r="BI2314" i="5"/>
  <c r="BJ2314" i="5"/>
  <c r="BI2315" i="5"/>
  <c r="BJ2315" i="5"/>
  <c r="BH2316" i="5"/>
  <c r="BI2316" i="5"/>
  <c r="BJ2316" i="5"/>
  <c r="BI2317" i="5"/>
  <c r="BJ2317" i="5"/>
  <c r="BI2318" i="5"/>
  <c r="BJ2318" i="5"/>
  <c r="BI2319" i="5"/>
  <c r="BJ2319" i="5"/>
  <c r="BI2320" i="5"/>
  <c r="BJ2320" i="5"/>
  <c r="BI2321" i="5"/>
  <c r="BJ2321" i="5"/>
  <c r="BH2322" i="5"/>
  <c r="BI2322" i="5"/>
  <c r="BJ2322" i="5"/>
  <c r="BI2323" i="5"/>
  <c r="BJ2323" i="5"/>
  <c r="BI2324" i="5"/>
  <c r="BJ2324" i="5"/>
  <c r="BI2325" i="5"/>
  <c r="BJ2325" i="5"/>
  <c r="BI2326" i="5"/>
  <c r="BJ2326" i="5"/>
  <c r="BI2327" i="5"/>
  <c r="BJ2327" i="5"/>
  <c r="BI2328" i="5"/>
  <c r="BJ2328" i="5"/>
  <c r="BI2329" i="5"/>
  <c r="BJ2329" i="5"/>
  <c r="BI2330" i="5"/>
  <c r="BJ2330" i="5"/>
  <c r="BI2331" i="5"/>
  <c r="BJ2331" i="5"/>
  <c r="BI2332" i="5"/>
  <c r="BJ2332" i="5"/>
  <c r="BI2333" i="5"/>
  <c r="BJ2333" i="5"/>
  <c r="BI2334" i="5"/>
  <c r="BJ2334" i="5"/>
  <c r="BI2335" i="5"/>
  <c r="BJ2335" i="5"/>
  <c r="BI2336" i="5"/>
  <c r="BJ2336" i="5"/>
  <c r="BI2337" i="5"/>
  <c r="BJ2337" i="5"/>
  <c r="BI2338" i="5"/>
  <c r="BJ2338" i="5"/>
  <c r="BI2339" i="5"/>
  <c r="BJ2339" i="5"/>
  <c r="BI2340" i="5"/>
  <c r="BJ2340" i="5"/>
  <c r="BI2341" i="5"/>
  <c r="BJ2341" i="5"/>
  <c r="BI2342" i="5"/>
  <c r="BJ2342" i="5"/>
  <c r="BI2343" i="5"/>
  <c r="BJ2343" i="5"/>
  <c r="BI2344" i="5"/>
  <c r="BJ2344" i="5"/>
  <c r="BI2345" i="5"/>
  <c r="BJ2345" i="5"/>
  <c r="BI2346" i="5"/>
  <c r="BJ2346" i="5"/>
  <c r="BI2347" i="5"/>
  <c r="BJ2347" i="5"/>
  <c r="BI2348" i="5"/>
  <c r="BJ2348" i="5"/>
  <c r="BI2349" i="5"/>
  <c r="BJ2349" i="5"/>
  <c r="BI2350" i="5"/>
  <c r="BJ2350" i="5"/>
  <c r="BI2351" i="5"/>
  <c r="BJ2351" i="5"/>
  <c r="BI2352" i="5"/>
  <c r="BJ2352" i="5"/>
  <c r="BI2353" i="5"/>
  <c r="BJ2353" i="5"/>
  <c r="BI2354" i="5"/>
  <c r="BJ2354" i="5"/>
  <c r="BI2355" i="5"/>
  <c r="BJ2355" i="5"/>
  <c r="BI2356" i="5"/>
  <c r="BJ2356" i="5"/>
  <c r="BI2357" i="5"/>
  <c r="BJ2357" i="5"/>
  <c r="BI2358" i="5"/>
  <c r="BJ2358" i="5"/>
  <c r="BI2359" i="5"/>
  <c r="BJ2359" i="5"/>
  <c r="BI2360" i="5"/>
  <c r="BJ2360" i="5"/>
  <c r="BI2361" i="5"/>
  <c r="BJ2361" i="5"/>
  <c r="BI2362" i="5"/>
  <c r="BJ2362" i="5"/>
  <c r="BI2363" i="5"/>
  <c r="BJ2363" i="5"/>
  <c r="BI2364" i="5"/>
  <c r="BJ2364" i="5"/>
  <c r="BI2365" i="5"/>
  <c r="BJ2365" i="5"/>
  <c r="BI2366" i="5"/>
  <c r="BJ2366" i="5"/>
  <c r="BI2367" i="5"/>
  <c r="BJ2367" i="5"/>
  <c r="BI2368" i="5"/>
  <c r="BJ2368" i="5"/>
  <c r="BI2369" i="5"/>
  <c r="BJ2369" i="5"/>
  <c r="BI2370" i="5"/>
  <c r="BJ2370" i="5"/>
  <c r="BI2371" i="5"/>
  <c r="BJ2371" i="5"/>
  <c r="BI2372" i="5"/>
  <c r="BJ2372" i="5"/>
  <c r="BI2373" i="5"/>
  <c r="BJ2373" i="5"/>
  <c r="BI2374" i="5"/>
  <c r="BJ2374" i="5"/>
  <c r="BI2375" i="5"/>
  <c r="BJ2375" i="5"/>
  <c r="BI2376" i="5"/>
  <c r="BJ2376" i="5"/>
  <c r="BI2377" i="5"/>
  <c r="BJ2377" i="5"/>
  <c r="BI2378" i="5"/>
  <c r="BJ2378" i="5"/>
  <c r="BI2379" i="5"/>
  <c r="BJ2379" i="5"/>
  <c r="BI2380" i="5"/>
  <c r="BJ2380" i="5"/>
  <c r="BI2381" i="5"/>
  <c r="BJ2381" i="5"/>
  <c r="BH2382" i="5"/>
  <c r="BI2382" i="5"/>
  <c r="BJ2382" i="5"/>
  <c r="BI2383" i="5"/>
  <c r="BJ2383" i="5"/>
  <c r="BI2384" i="5"/>
  <c r="BJ2384" i="5"/>
  <c r="BI2385" i="5"/>
  <c r="BJ2385" i="5"/>
  <c r="BI2386" i="5"/>
  <c r="BJ2386" i="5"/>
  <c r="BI2387" i="5"/>
  <c r="BJ2387" i="5"/>
  <c r="BI2388" i="5"/>
  <c r="BJ2388" i="5"/>
  <c r="BI2389" i="5"/>
  <c r="BJ2389" i="5"/>
  <c r="BI2390" i="5"/>
  <c r="BJ2390" i="5"/>
  <c r="BI2391" i="5"/>
  <c r="BJ2391" i="5"/>
  <c r="BI2392" i="5"/>
  <c r="BJ2392" i="5"/>
  <c r="BI2393" i="5"/>
  <c r="BJ2393" i="5"/>
  <c r="BI2394" i="5"/>
  <c r="BJ2394" i="5"/>
  <c r="BI2395" i="5"/>
  <c r="BJ2395" i="5"/>
  <c r="BI2396" i="5"/>
  <c r="BJ2396" i="5"/>
  <c r="BI2397" i="5"/>
  <c r="BJ2397" i="5"/>
  <c r="BI2398" i="5"/>
  <c r="BJ2398" i="5"/>
  <c r="BI2399" i="5"/>
  <c r="BJ2399" i="5"/>
  <c r="BI2400" i="5"/>
  <c r="BJ2400" i="5"/>
  <c r="BI2401" i="5"/>
  <c r="BJ2401" i="5"/>
  <c r="BI2402" i="5"/>
  <c r="BJ2402" i="5"/>
  <c r="BI2403" i="5"/>
  <c r="BJ2403" i="5"/>
  <c r="BI2404" i="5"/>
  <c r="BJ2404" i="5"/>
  <c r="BI2405" i="5"/>
  <c r="BJ2405" i="5"/>
  <c r="BH2406" i="5"/>
  <c r="BI2406" i="5"/>
  <c r="BJ2406" i="5"/>
  <c r="BI2407" i="5"/>
  <c r="BJ2407" i="5"/>
  <c r="BI2408" i="5"/>
  <c r="BJ2408" i="5"/>
  <c r="BI2409" i="5"/>
  <c r="BJ2409" i="5"/>
  <c r="BI2410" i="5"/>
  <c r="BJ2410" i="5"/>
  <c r="BI2411" i="5"/>
  <c r="BJ2411" i="5"/>
  <c r="BI2412" i="5"/>
  <c r="BJ2412" i="5"/>
  <c r="BI2413" i="5"/>
  <c r="BJ2413" i="5"/>
  <c r="BI2414" i="5"/>
  <c r="BJ2414" i="5"/>
  <c r="BI2415" i="5"/>
  <c r="BJ2415" i="5"/>
  <c r="BI2416" i="5"/>
  <c r="BJ2416" i="5"/>
  <c r="BI2417" i="5"/>
  <c r="BJ2417" i="5"/>
  <c r="BI2418" i="5"/>
  <c r="BJ2418" i="5"/>
  <c r="BI2419" i="5"/>
  <c r="BJ2419" i="5"/>
  <c r="BI2420" i="5"/>
  <c r="BJ2420" i="5"/>
  <c r="BI2421" i="5"/>
  <c r="BJ2421" i="5"/>
  <c r="BI2422" i="5"/>
  <c r="BJ2422" i="5"/>
  <c r="BI2423" i="5"/>
  <c r="BJ2423" i="5"/>
  <c r="BI2424" i="5"/>
  <c r="BJ2424" i="5"/>
  <c r="BI2425" i="5"/>
  <c r="BJ2425" i="5"/>
  <c r="BI2426" i="5"/>
  <c r="BJ2426" i="5"/>
  <c r="BI2427" i="5"/>
  <c r="BJ2427" i="5"/>
  <c r="BI2428" i="5"/>
  <c r="BJ2428" i="5"/>
  <c r="BI2429" i="5"/>
  <c r="BJ2429" i="5"/>
  <c r="BI2430" i="5"/>
  <c r="BJ2430" i="5"/>
  <c r="BI2431" i="5"/>
  <c r="BJ2431" i="5"/>
  <c r="BI2432" i="5"/>
  <c r="BJ2432" i="5"/>
  <c r="BI2433" i="5"/>
  <c r="BJ2433" i="5"/>
  <c r="BI2434" i="5"/>
  <c r="BJ2434" i="5"/>
  <c r="BI2435" i="5"/>
  <c r="BJ2435" i="5"/>
  <c r="BI2436" i="5"/>
  <c r="BJ2436" i="5"/>
  <c r="BI2437" i="5"/>
  <c r="BJ2437" i="5"/>
  <c r="BI2438" i="5"/>
  <c r="BJ2438" i="5"/>
  <c r="BI2439" i="5"/>
  <c r="BJ2439" i="5"/>
  <c r="BI2440" i="5"/>
  <c r="BJ2440" i="5"/>
  <c r="BI2441" i="5"/>
  <c r="BJ2441" i="5"/>
  <c r="BI2442" i="5"/>
  <c r="BJ2442" i="5"/>
  <c r="BI2443" i="5"/>
  <c r="BJ2443" i="5"/>
  <c r="BI2444" i="5"/>
  <c r="BJ2444" i="5"/>
  <c r="BI2445" i="5"/>
  <c r="BJ2445" i="5"/>
  <c r="BI2446" i="5"/>
  <c r="BJ2446" i="5"/>
  <c r="BI2447" i="5"/>
  <c r="BJ2447" i="5"/>
  <c r="BI2448" i="5"/>
  <c r="BJ2448" i="5"/>
  <c r="BI2449" i="5"/>
  <c r="BJ2449" i="5"/>
  <c r="BI2450" i="5"/>
  <c r="BJ2450" i="5"/>
  <c r="BI2451" i="5"/>
  <c r="BJ2451" i="5"/>
  <c r="BI2452" i="5"/>
  <c r="BJ2452" i="5"/>
  <c r="BI2453" i="5"/>
  <c r="BJ2453" i="5"/>
  <c r="BI2454" i="5"/>
  <c r="BJ2454" i="5"/>
  <c r="BI2455" i="5"/>
  <c r="BJ2455" i="5"/>
  <c r="BI2456" i="5"/>
  <c r="BJ2456" i="5"/>
  <c r="BI2457" i="5"/>
  <c r="BJ2457" i="5"/>
  <c r="BI2458" i="5"/>
  <c r="BJ2458" i="5"/>
  <c r="BI2459" i="5"/>
  <c r="BJ2459" i="5"/>
  <c r="BI2460" i="5"/>
  <c r="BJ2460" i="5"/>
  <c r="BI2461" i="5"/>
  <c r="BJ2461" i="5"/>
  <c r="BI2462" i="5"/>
  <c r="BJ2462" i="5"/>
  <c r="BI2463" i="5"/>
  <c r="BJ2463" i="5"/>
  <c r="BI2464" i="5"/>
  <c r="BJ2464" i="5"/>
  <c r="BI2465" i="5"/>
  <c r="BJ2465" i="5"/>
  <c r="BI2466" i="5"/>
  <c r="BJ2466" i="5"/>
  <c r="BI2467" i="5"/>
  <c r="BJ2467" i="5"/>
  <c r="BI2468" i="5"/>
  <c r="BJ2468" i="5"/>
  <c r="BI2469" i="5"/>
  <c r="BJ2469" i="5"/>
  <c r="BI2470" i="5"/>
  <c r="BJ2470" i="5"/>
  <c r="BI2471" i="5"/>
  <c r="BJ2471" i="5"/>
  <c r="BH2472" i="5"/>
  <c r="BI2472" i="5"/>
  <c r="BJ2472" i="5"/>
  <c r="BI2473" i="5"/>
  <c r="BJ2473" i="5"/>
  <c r="BI2474" i="5"/>
  <c r="BJ2474" i="5"/>
  <c r="BI2475" i="5"/>
  <c r="BJ2475" i="5"/>
  <c r="BI2476" i="5"/>
  <c r="BJ2476" i="5"/>
  <c r="BI2477" i="5"/>
  <c r="BJ2477" i="5"/>
  <c r="BI2478" i="5"/>
  <c r="BJ2478" i="5"/>
  <c r="BI2479" i="5"/>
  <c r="BJ2479" i="5"/>
  <c r="BI2480" i="5"/>
  <c r="BJ2480" i="5"/>
  <c r="BI2481" i="5"/>
  <c r="BJ2481" i="5"/>
  <c r="BI2482" i="5"/>
  <c r="BJ2482" i="5"/>
  <c r="BI2483" i="5"/>
  <c r="BJ2483" i="5"/>
  <c r="BH2484" i="5"/>
  <c r="BI2484" i="5"/>
  <c r="BJ2484" i="5"/>
  <c r="BI2485" i="5"/>
  <c r="BJ2485" i="5"/>
  <c r="BI2486" i="5"/>
  <c r="BJ2486" i="5"/>
  <c r="BI2487" i="5"/>
  <c r="BJ2487" i="5"/>
  <c r="BI2488" i="5"/>
  <c r="BJ2488" i="5"/>
  <c r="BI2489" i="5"/>
  <c r="BJ2489" i="5"/>
  <c r="BI2490" i="5"/>
  <c r="BJ2490" i="5"/>
  <c r="BI2491" i="5"/>
  <c r="BJ2491" i="5"/>
  <c r="BI2492" i="5"/>
  <c r="BJ2492" i="5"/>
  <c r="BI2493" i="5"/>
  <c r="BJ2493" i="5"/>
  <c r="BI2494" i="5"/>
  <c r="BJ2494" i="5"/>
  <c r="BI2495" i="5"/>
  <c r="BJ2495" i="5"/>
  <c r="BH2496" i="5"/>
  <c r="BI2496" i="5"/>
  <c r="BJ2496" i="5"/>
  <c r="BI2497" i="5"/>
  <c r="BJ2497" i="5"/>
  <c r="BI2498" i="5"/>
  <c r="BJ2498" i="5"/>
  <c r="BI2499" i="5"/>
  <c r="BJ2499" i="5"/>
  <c r="BI2500" i="5"/>
  <c r="BJ2500" i="5"/>
  <c r="BI2501" i="5"/>
  <c r="BJ2501" i="5"/>
  <c r="BI2502" i="5"/>
  <c r="BJ2502" i="5"/>
  <c r="BI2503" i="5"/>
  <c r="BJ2503" i="5"/>
  <c r="BI2504" i="5"/>
  <c r="BJ2504" i="5"/>
  <c r="BI2505" i="5"/>
  <c r="BJ2505" i="5"/>
  <c r="BI2506" i="5"/>
  <c r="BJ2506" i="5"/>
  <c r="BI2507" i="5"/>
  <c r="BJ2507" i="5"/>
  <c r="BI2508" i="5"/>
  <c r="BJ2508" i="5"/>
  <c r="BI2509" i="5"/>
  <c r="BJ2509" i="5"/>
  <c r="BI2510" i="5"/>
  <c r="BJ2510" i="5"/>
  <c r="BI2511" i="5"/>
  <c r="BJ2511" i="5"/>
  <c r="BI2512" i="5"/>
  <c r="BJ2512" i="5"/>
  <c r="BI2513" i="5"/>
  <c r="BJ2513" i="5"/>
  <c r="BI2514" i="5"/>
  <c r="BJ2514" i="5"/>
  <c r="BI2515" i="5"/>
  <c r="BJ2515" i="5"/>
  <c r="BI2516" i="5"/>
  <c r="BJ2516" i="5"/>
  <c r="BI2517" i="5"/>
  <c r="BJ2517" i="5"/>
  <c r="BI2518" i="5"/>
  <c r="BJ2518" i="5"/>
  <c r="BY2866" i="5" l="1"/>
  <c r="CC2866" i="5" s="1"/>
  <c r="CD2866" i="5" s="1"/>
  <c r="BY2864" i="5"/>
  <c r="CC2864" i="5" s="1"/>
  <c r="BY2868" i="5"/>
  <c r="CC2868" i="5" s="1"/>
  <c r="CD2868" i="5" s="1"/>
  <c r="CE2868" i="5" s="1"/>
  <c r="BY2867" i="5"/>
  <c r="CC2867" i="5" s="1"/>
  <c r="CD2867" i="5" s="1"/>
  <c r="CE2867" i="5" s="1"/>
  <c r="BY2865" i="5"/>
  <c r="CC2865" i="5" s="1"/>
  <c r="CD2865" i="5" s="1"/>
  <c r="CE2865" i="5" s="1"/>
  <c r="CD2864" i="5"/>
  <c r="CE2864" i="5" s="1"/>
  <c r="CD2869" i="5"/>
  <c r="CE2869" i="5" s="1"/>
  <c r="BY2871" i="5"/>
  <c r="CC2871" i="5" s="1"/>
  <c r="CD2871" i="5" s="1"/>
  <c r="CE2871" i="5" s="1"/>
  <c r="BY2870" i="5"/>
  <c r="CC2870" i="5" s="1"/>
  <c r="CD2870" i="5" s="1"/>
  <c r="CE2870" i="5" s="1"/>
  <c r="CE2866" i="5"/>
  <c r="CD2872" i="5"/>
  <c r="CE2872" i="5" s="1"/>
  <c r="BJ2519" i="5"/>
  <c r="BJ2520" i="5"/>
  <c r="BJ2521" i="5"/>
  <c r="BJ2522" i="5"/>
  <c r="BJ2523" i="5"/>
  <c r="BJ2524" i="5"/>
  <c r="BJ2525" i="5"/>
  <c r="BJ2526" i="5"/>
  <c r="BJ2527" i="5"/>
  <c r="BJ2528" i="5"/>
  <c r="BJ2529" i="5"/>
  <c r="BJ2530" i="5"/>
  <c r="BJ2531" i="5"/>
  <c r="BJ2532" i="5"/>
  <c r="BJ2533" i="5"/>
  <c r="BJ2534" i="5"/>
  <c r="BJ2535" i="5"/>
  <c r="BJ2536" i="5"/>
  <c r="BJ2537" i="5"/>
  <c r="BJ2538" i="5"/>
  <c r="BJ2539" i="5"/>
  <c r="BJ2540" i="5"/>
  <c r="BJ2541" i="5"/>
  <c r="BJ2542" i="5"/>
  <c r="BJ2543" i="5"/>
  <c r="BJ2544" i="5"/>
  <c r="BJ2545" i="5"/>
  <c r="BJ2546" i="5"/>
  <c r="BJ2547" i="5"/>
  <c r="BJ2548" i="5"/>
  <c r="BJ2549" i="5"/>
  <c r="BJ2550" i="5"/>
  <c r="BJ2551" i="5"/>
  <c r="BJ2552" i="5"/>
  <c r="BJ2553" i="5"/>
  <c r="BJ2554" i="5"/>
  <c r="BJ2555" i="5"/>
  <c r="BJ2556" i="5"/>
  <c r="BJ2557" i="5"/>
  <c r="BJ2558" i="5"/>
  <c r="BJ2559" i="5"/>
  <c r="BJ2560" i="5"/>
  <c r="BJ2561" i="5"/>
  <c r="BJ2562" i="5"/>
  <c r="BJ2563" i="5"/>
  <c r="BJ2564" i="5"/>
  <c r="BJ2565" i="5"/>
  <c r="BJ2566" i="5"/>
  <c r="BJ2567" i="5"/>
  <c r="BJ2568" i="5"/>
  <c r="BJ2569" i="5"/>
  <c r="BJ2570" i="5"/>
  <c r="BJ2571" i="5"/>
  <c r="BJ2572" i="5"/>
  <c r="BJ2573" i="5"/>
  <c r="BJ2574" i="5"/>
  <c r="BJ2575" i="5"/>
  <c r="BJ2576" i="5"/>
  <c r="BJ2577" i="5"/>
  <c r="BJ2578" i="5"/>
  <c r="BJ2579" i="5"/>
  <c r="BJ2580" i="5"/>
  <c r="BJ2581" i="5"/>
  <c r="BJ2582" i="5"/>
  <c r="BJ2583" i="5"/>
  <c r="BJ2584" i="5"/>
  <c r="BJ2585" i="5"/>
  <c r="BJ2586" i="5"/>
  <c r="BJ2587" i="5"/>
  <c r="BJ2588" i="5"/>
  <c r="BJ2589" i="5"/>
  <c r="BJ2590" i="5"/>
  <c r="BJ2591" i="5"/>
  <c r="BJ2592" i="5"/>
  <c r="BJ2593" i="5"/>
  <c r="BJ2594" i="5"/>
  <c r="BJ2595" i="5"/>
  <c r="BJ2596" i="5"/>
  <c r="BJ2597" i="5"/>
  <c r="BJ2598" i="5"/>
  <c r="BJ2599" i="5"/>
  <c r="BJ2600" i="5"/>
  <c r="BJ2601" i="5"/>
  <c r="BJ2602" i="5"/>
  <c r="BJ2603" i="5"/>
  <c r="BJ2604" i="5"/>
  <c r="BJ2605" i="5"/>
  <c r="BJ2606" i="5"/>
  <c r="BJ2607" i="5"/>
  <c r="BJ2608" i="5"/>
  <c r="BJ2609" i="5"/>
  <c r="BJ2610" i="5"/>
  <c r="BJ2611" i="5"/>
  <c r="BJ2612" i="5"/>
  <c r="BJ2613" i="5"/>
  <c r="BJ2614" i="5"/>
  <c r="BJ2615" i="5"/>
  <c r="BJ2616" i="5"/>
  <c r="BJ2617" i="5"/>
  <c r="BJ2618" i="5"/>
  <c r="BJ2619" i="5"/>
  <c r="BJ2620" i="5"/>
  <c r="BJ2621" i="5"/>
  <c r="BJ2622" i="5"/>
  <c r="BJ2623" i="5"/>
  <c r="BJ2624" i="5"/>
  <c r="BJ2625" i="5"/>
  <c r="BJ2626" i="5"/>
  <c r="BJ2627" i="5"/>
  <c r="BJ2628" i="5"/>
  <c r="BJ2629" i="5"/>
  <c r="BJ2630" i="5"/>
  <c r="BJ2631" i="5"/>
  <c r="BJ2632" i="5"/>
  <c r="BJ2633" i="5"/>
  <c r="BJ2634" i="5"/>
  <c r="BJ2635" i="5"/>
  <c r="BJ2636" i="5"/>
  <c r="BJ2637" i="5"/>
  <c r="BJ2638" i="5"/>
  <c r="BJ2639" i="5"/>
  <c r="BJ2640" i="5"/>
  <c r="BJ2641" i="5"/>
  <c r="BJ2642" i="5"/>
  <c r="BJ2643" i="5"/>
  <c r="BJ2644" i="5"/>
  <c r="BJ2645" i="5"/>
  <c r="BJ2646" i="5"/>
  <c r="BJ2647" i="5"/>
  <c r="BJ2648" i="5"/>
  <c r="BJ2649" i="5"/>
  <c r="BJ2650" i="5"/>
  <c r="BJ2651" i="5"/>
  <c r="BJ2652" i="5"/>
  <c r="BJ2653" i="5"/>
  <c r="BJ2654" i="5"/>
  <c r="BJ2655" i="5"/>
  <c r="BJ2656" i="5"/>
  <c r="BJ2657" i="5"/>
  <c r="BJ2658" i="5"/>
  <c r="BJ2659" i="5"/>
  <c r="BJ2660" i="5"/>
  <c r="BJ2661" i="5"/>
  <c r="BJ2662" i="5"/>
  <c r="BJ2663" i="5"/>
  <c r="BJ2664" i="5"/>
  <c r="BJ2665" i="5"/>
  <c r="BJ2666" i="5"/>
  <c r="BJ2667" i="5"/>
  <c r="BJ2668" i="5"/>
  <c r="BJ2669" i="5"/>
  <c r="BJ2670" i="5"/>
  <c r="BJ2671" i="5"/>
  <c r="BJ2672" i="5"/>
  <c r="BJ2673" i="5"/>
  <c r="BJ2674" i="5"/>
  <c r="BJ2675" i="5"/>
  <c r="BJ2676" i="5"/>
  <c r="BJ2677" i="5"/>
  <c r="BJ2678" i="5"/>
  <c r="BJ2679" i="5"/>
  <c r="BJ2680" i="5"/>
  <c r="BJ2681" i="5"/>
  <c r="BJ2682" i="5"/>
  <c r="BJ2683" i="5"/>
  <c r="BJ2684" i="5"/>
  <c r="BJ2685" i="5"/>
  <c r="BJ2686" i="5"/>
  <c r="BJ2687" i="5"/>
  <c r="BJ2688" i="5"/>
  <c r="BJ2689" i="5"/>
  <c r="BJ2690" i="5"/>
  <c r="BJ2691" i="5"/>
  <c r="BJ2692" i="5"/>
  <c r="BJ2693" i="5"/>
  <c r="BJ2694" i="5"/>
  <c r="BJ2695" i="5"/>
  <c r="BJ2696" i="5"/>
  <c r="BJ2697" i="5"/>
  <c r="BJ2698" i="5"/>
  <c r="BJ2699" i="5"/>
  <c r="BJ2700" i="5"/>
  <c r="BJ2701" i="5"/>
  <c r="BJ2702" i="5"/>
  <c r="BJ2703" i="5"/>
  <c r="BJ2704" i="5"/>
  <c r="BJ2705" i="5"/>
  <c r="BJ2706" i="5"/>
  <c r="BJ2707" i="5"/>
  <c r="BJ2708" i="5"/>
  <c r="BJ2709" i="5"/>
  <c r="BJ2710" i="5"/>
  <c r="BJ2711" i="5"/>
  <c r="BJ2712" i="5"/>
  <c r="BJ2713" i="5"/>
  <c r="BJ2714" i="5"/>
  <c r="BJ2715" i="5"/>
  <c r="BJ2716" i="5"/>
  <c r="BJ2717" i="5"/>
  <c r="BJ2718" i="5"/>
  <c r="BJ2719" i="5"/>
  <c r="BJ2720" i="5"/>
  <c r="BJ2721" i="5"/>
  <c r="BJ2722" i="5"/>
  <c r="BJ2723" i="5"/>
  <c r="BJ2724" i="5"/>
  <c r="BJ2725" i="5"/>
  <c r="BJ2726" i="5"/>
  <c r="BJ2727" i="5"/>
  <c r="BJ2728" i="5"/>
  <c r="BJ2729" i="5"/>
  <c r="BJ2730" i="5"/>
  <c r="BJ2731" i="5"/>
  <c r="BJ2732" i="5"/>
  <c r="BJ2733" i="5"/>
  <c r="BJ2734" i="5"/>
  <c r="BJ2735" i="5"/>
  <c r="BJ2736" i="5"/>
  <c r="BJ2737" i="5"/>
  <c r="BJ2738" i="5"/>
  <c r="BJ2739" i="5"/>
  <c r="BJ2740" i="5"/>
  <c r="BJ2741" i="5"/>
  <c r="BJ2742" i="5"/>
  <c r="BJ2743" i="5"/>
  <c r="BJ2744" i="5"/>
  <c r="BJ2745" i="5"/>
  <c r="BJ2746" i="5"/>
  <c r="BJ2747" i="5"/>
  <c r="BJ2748" i="5"/>
  <c r="BJ2749" i="5"/>
  <c r="BJ2750" i="5"/>
  <c r="BJ2751" i="5"/>
  <c r="BJ2752" i="5"/>
  <c r="BJ2753" i="5"/>
  <c r="BJ2754" i="5"/>
  <c r="BJ2755" i="5"/>
  <c r="BJ2756" i="5"/>
  <c r="BJ2757" i="5"/>
  <c r="BJ2758" i="5"/>
  <c r="BJ2759" i="5"/>
  <c r="BJ2760" i="5"/>
  <c r="BJ2761" i="5"/>
  <c r="BJ2762" i="5"/>
  <c r="BJ2763" i="5"/>
  <c r="BJ2764" i="5"/>
  <c r="BJ2765" i="5"/>
  <c r="BJ2766" i="5"/>
  <c r="BJ2767" i="5"/>
  <c r="BJ2768" i="5"/>
  <c r="BJ2769" i="5"/>
  <c r="BJ2770" i="5"/>
  <c r="BJ2771" i="5"/>
  <c r="BJ2772" i="5"/>
  <c r="BJ2773" i="5"/>
  <c r="BJ2774" i="5"/>
  <c r="BJ2775" i="5"/>
  <c r="BJ2776" i="5"/>
  <c r="BJ2777" i="5"/>
  <c r="BJ2778" i="5"/>
  <c r="BJ2779" i="5"/>
  <c r="BJ2780" i="5"/>
  <c r="BJ2781" i="5"/>
  <c r="BJ2782" i="5"/>
  <c r="BJ2783" i="5"/>
  <c r="BJ2784" i="5"/>
  <c r="BJ2785" i="5"/>
  <c r="BJ2786" i="5"/>
  <c r="BJ2787" i="5"/>
  <c r="BJ2788" i="5"/>
  <c r="BJ2789" i="5"/>
  <c r="BJ2790" i="5"/>
  <c r="BJ2791" i="5"/>
  <c r="BJ2792" i="5"/>
  <c r="BJ2793" i="5"/>
  <c r="BJ2794" i="5"/>
  <c r="BJ2795" i="5"/>
  <c r="BJ2796" i="5"/>
  <c r="BJ2797" i="5"/>
  <c r="BJ2798" i="5"/>
  <c r="BJ2799" i="5"/>
  <c r="BJ2800" i="5"/>
  <c r="BJ2801" i="5"/>
  <c r="BJ2802" i="5"/>
  <c r="BJ2803" i="5"/>
  <c r="BJ2804" i="5"/>
  <c r="BJ2805" i="5"/>
  <c r="BJ2806" i="5"/>
  <c r="BJ2807" i="5"/>
  <c r="BJ2808" i="5"/>
  <c r="BJ2809" i="5"/>
  <c r="BJ2810" i="5"/>
  <c r="BJ2811" i="5"/>
  <c r="BJ2812" i="5"/>
  <c r="BJ2813" i="5"/>
  <c r="BJ2814" i="5"/>
  <c r="BJ2815" i="5"/>
  <c r="BJ2816" i="5"/>
  <c r="BJ2817" i="5"/>
  <c r="BJ2818" i="5"/>
  <c r="BJ2819" i="5"/>
  <c r="BJ2820" i="5"/>
  <c r="BJ2821" i="5"/>
  <c r="BJ2822" i="5"/>
  <c r="BJ2823" i="5"/>
  <c r="BJ2824" i="5"/>
  <c r="BJ2825" i="5"/>
  <c r="BJ2826" i="5"/>
  <c r="BJ2827" i="5"/>
  <c r="BJ2828" i="5"/>
  <c r="BJ2829" i="5"/>
  <c r="BJ2830" i="5"/>
  <c r="BJ2831" i="5"/>
  <c r="BJ2832" i="5"/>
  <c r="BJ2833" i="5"/>
  <c r="BJ2834" i="5"/>
  <c r="BJ2835" i="5"/>
  <c r="BJ2836" i="5"/>
  <c r="BJ2837" i="5"/>
  <c r="BJ2838" i="5"/>
  <c r="BJ2839" i="5"/>
  <c r="BJ2840" i="5"/>
  <c r="BJ2841" i="5"/>
  <c r="BJ2842" i="5"/>
  <c r="BJ2843" i="5"/>
  <c r="BJ2844" i="5"/>
  <c r="BJ2845" i="5"/>
  <c r="BJ2846" i="5"/>
  <c r="BJ2847" i="5"/>
  <c r="BJ2848" i="5"/>
  <c r="BJ2849" i="5"/>
  <c r="BJ2850" i="5"/>
  <c r="BJ2851" i="5"/>
  <c r="BJ2852" i="5"/>
  <c r="BJ2853" i="5"/>
  <c r="BJ2854" i="5"/>
  <c r="BJ2855" i="5"/>
  <c r="BJ2856" i="5"/>
  <c r="BJ2857" i="5"/>
  <c r="BJ2858" i="5"/>
  <c r="BJ2859" i="5"/>
  <c r="BJ2860" i="5"/>
  <c r="BJ2861" i="5"/>
  <c r="BJ2862" i="5"/>
  <c r="BJ2863" i="5"/>
  <c r="J14" i="2"/>
  <c r="BH2744" i="5" l="1"/>
  <c r="BS2744" i="5" s="1"/>
  <c r="BZ2744" i="5" s="1"/>
  <c r="CA2744" i="5" s="1"/>
  <c r="BH2745" i="5"/>
  <c r="BS2745" i="5" s="1"/>
  <c r="BZ2745" i="5" s="1"/>
  <c r="CA2745" i="5" s="1"/>
  <c r="BH2746" i="5"/>
  <c r="BS2746" i="5" s="1"/>
  <c r="BZ2746" i="5" s="1"/>
  <c r="CA2746" i="5" s="1"/>
  <c r="BH2747" i="5"/>
  <c r="BS2747" i="5" s="1"/>
  <c r="BZ2747" i="5" s="1"/>
  <c r="CA2747" i="5" s="1"/>
  <c r="BH2748" i="5"/>
  <c r="BS2748" i="5" s="1"/>
  <c r="BZ2748" i="5" s="1"/>
  <c r="CA2748" i="5" s="1"/>
  <c r="BH2750" i="5"/>
  <c r="BS2750" i="5" s="1"/>
  <c r="BZ2750" i="5" s="1"/>
  <c r="CA2750" i="5" s="1"/>
  <c r="BH2751" i="5"/>
  <c r="BS2751" i="5" s="1"/>
  <c r="BZ2751" i="5" s="1"/>
  <c r="CA2751" i="5" s="1"/>
  <c r="BH2753" i="5"/>
  <c r="BS2753" i="5" s="1"/>
  <c r="BZ2753" i="5" s="1"/>
  <c r="CA2753" i="5" s="1"/>
  <c r="BH2754" i="5"/>
  <c r="BS2754" i="5" s="1"/>
  <c r="BZ2754" i="5" s="1"/>
  <c r="CA2754" i="5" s="1"/>
  <c r="BH2756" i="5"/>
  <c r="BS2756" i="5" s="1"/>
  <c r="BZ2756" i="5" s="1"/>
  <c r="CA2756" i="5" s="1"/>
  <c r="BH2757" i="5"/>
  <c r="BS2757" i="5" s="1"/>
  <c r="BZ2757" i="5" s="1"/>
  <c r="CA2757" i="5" s="1"/>
  <c r="BH2758" i="5"/>
  <c r="BS2758" i="5" s="1"/>
  <c r="BZ2758" i="5" s="1"/>
  <c r="CA2758" i="5" s="1"/>
  <c r="BH2759" i="5"/>
  <c r="BS2759" i="5" s="1"/>
  <c r="BZ2759" i="5" s="1"/>
  <c r="CA2759" i="5" s="1"/>
  <c r="BH2760" i="5"/>
  <c r="BS2760" i="5" s="1"/>
  <c r="BZ2760" i="5" s="1"/>
  <c r="CA2760" i="5" s="1"/>
  <c r="BH2762" i="5"/>
  <c r="BS2762" i="5" s="1"/>
  <c r="BZ2762" i="5" s="1"/>
  <c r="CA2762" i="5" s="1"/>
  <c r="BH2763" i="5"/>
  <c r="BS2763" i="5" s="1"/>
  <c r="BZ2763" i="5" s="1"/>
  <c r="CA2763" i="5" s="1"/>
  <c r="BH2764" i="5"/>
  <c r="BS2764" i="5" s="1"/>
  <c r="BZ2764" i="5" s="1"/>
  <c r="CA2764" i="5" s="1"/>
  <c r="BH2765" i="5"/>
  <c r="BS2765" i="5" s="1"/>
  <c r="BZ2765" i="5" s="1"/>
  <c r="CA2765" i="5" s="1"/>
  <c r="BH2766" i="5"/>
  <c r="BS2766" i="5" s="1"/>
  <c r="BZ2766" i="5" s="1"/>
  <c r="CA2766" i="5" s="1"/>
  <c r="BH2767" i="5"/>
  <c r="BS2767" i="5" s="1"/>
  <c r="BZ2767" i="5" s="1"/>
  <c r="CA2767" i="5" s="1"/>
  <c r="BH2768" i="5"/>
  <c r="BS2768" i="5" s="1"/>
  <c r="BZ2768" i="5" s="1"/>
  <c r="CA2768" i="5" s="1"/>
  <c r="BH2769" i="5"/>
  <c r="BS2769" i="5" s="1"/>
  <c r="BZ2769" i="5" s="1"/>
  <c r="CA2769" i="5" s="1"/>
  <c r="BH2770" i="5"/>
  <c r="BS2770" i="5" s="1"/>
  <c r="BZ2770" i="5" s="1"/>
  <c r="CA2770" i="5" s="1"/>
  <c r="BH2771" i="5"/>
  <c r="BS2771" i="5" s="1"/>
  <c r="BZ2771" i="5" s="1"/>
  <c r="CA2771" i="5" s="1"/>
  <c r="BH2772" i="5"/>
  <c r="BS2772" i="5" s="1"/>
  <c r="BZ2772" i="5" s="1"/>
  <c r="CA2772" i="5" s="1"/>
  <c r="BH2774" i="5"/>
  <c r="BS2774" i="5" s="1"/>
  <c r="BZ2774" i="5" s="1"/>
  <c r="CA2774" i="5" s="1"/>
  <c r="BH2775" i="5"/>
  <c r="BS2775" i="5" s="1"/>
  <c r="BZ2775" i="5" s="1"/>
  <c r="CA2775" i="5" s="1"/>
  <c r="BH2776" i="5"/>
  <c r="BS2776" i="5" s="1"/>
  <c r="BZ2776" i="5" s="1"/>
  <c r="CA2776" i="5" s="1"/>
  <c r="BH2777" i="5"/>
  <c r="BS2777" i="5" s="1"/>
  <c r="BZ2777" i="5" s="1"/>
  <c r="CA2777" i="5" s="1"/>
  <c r="BH2778" i="5"/>
  <c r="BS2778" i="5" s="1"/>
  <c r="BZ2778" i="5" s="1"/>
  <c r="CA2778" i="5" s="1"/>
  <c r="BH2779" i="5"/>
  <c r="BS2779" i="5" s="1"/>
  <c r="BZ2779" i="5" s="1"/>
  <c r="CA2779" i="5" s="1"/>
  <c r="BH2780" i="5"/>
  <c r="BS2780" i="5" s="1"/>
  <c r="BZ2780" i="5" s="1"/>
  <c r="CA2780" i="5" s="1"/>
  <c r="BH2781" i="5"/>
  <c r="BS2781" i="5" s="1"/>
  <c r="BZ2781" i="5" s="1"/>
  <c r="CA2781" i="5" s="1"/>
  <c r="BH2782" i="5"/>
  <c r="BS2782" i="5" s="1"/>
  <c r="BZ2782" i="5" s="1"/>
  <c r="CA2782" i="5" s="1"/>
  <c r="BH2783" i="5"/>
  <c r="BS2783" i="5" s="1"/>
  <c r="BZ2783" i="5" s="1"/>
  <c r="CA2783" i="5" s="1"/>
  <c r="BH2784" i="5"/>
  <c r="BS2784" i="5" s="1"/>
  <c r="BZ2784" i="5" s="1"/>
  <c r="CA2784" i="5" s="1"/>
  <c r="BH2785" i="5"/>
  <c r="BS2785" i="5" s="1"/>
  <c r="BZ2785" i="5" s="1"/>
  <c r="CA2785" i="5" s="1"/>
  <c r="BH2786" i="5"/>
  <c r="BS2786" i="5" s="1"/>
  <c r="BZ2786" i="5" s="1"/>
  <c r="CA2786" i="5" s="1"/>
  <c r="BH2787" i="5"/>
  <c r="BS2787" i="5" s="1"/>
  <c r="BZ2787" i="5" s="1"/>
  <c r="CA2787" i="5" s="1"/>
  <c r="BH2788" i="5"/>
  <c r="BS2788" i="5" s="1"/>
  <c r="BZ2788" i="5" s="1"/>
  <c r="CA2788" i="5" s="1"/>
  <c r="BH2789" i="5"/>
  <c r="BS2789" i="5" s="1"/>
  <c r="BZ2789" i="5" s="1"/>
  <c r="CA2789" i="5" s="1"/>
  <c r="BH2790" i="5"/>
  <c r="BS2790" i="5" s="1"/>
  <c r="BZ2790" i="5" s="1"/>
  <c r="CA2790" i="5" s="1"/>
  <c r="BH2791" i="5"/>
  <c r="BS2791" i="5" s="1"/>
  <c r="BZ2791" i="5" s="1"/>
  <c r="CA2791" i="5" s="1"/>
  <c r="BH2792" i="5"/>
  <c r="BS2792" i="5" s="1"/>
  <c r="BZ2792" i="5" s="1"/>
  <c r="CA2792" i="5" s="1"/>
  <c r="BH2793" i="5"/>
  <c r="BS2793" i="5" s="1"/>
  <c r="BZ2793" i="5" s="1"/>
  <c r="CA2793" i="5" s="1"/>
  <c r="BH2794" i="5"/>
  <c r="BS2794" i="5" s="1"/>
  <c r="BZ2794" i="5" s="1"/>
  <c r="CA2794" i="5" s="1"/>
  <c r="BH2795" i="5"/>
  <c r="BS2795" i="5" s="1"/>
  <c r="BZ2795" i="5" s="1"/>
  <c r="CA2795" i="5" s="1"/>
  <c r="BH2796" i="5"/>
  <c r="BS2796" i="5" s="1"/>
  <c r="BZ2796" i="5" s="1"/>
  <c r="CA2796" i="5" s="1"/>
  <c r="BH2797" i="5"/>
  <c r="BS2797" i="5" s="1"/>
  <c r="BZ2797" i="5" s="1"/>
  <c r="CA2797" i="5" s="1"/>
  <c r="BH2798" i="5"/>
  <c r="BS2798" i="5" s="1"/>
  <c r="BZ2798" i="5" s="1"/>
  <c r="CA2798" i="5" s="1"/>
  <c r="BH2799" i="5"/>
  <c r="BS2799" i="5" s="1"/>
  <c r="BZ2799" i="5" s="1"/>
  <c r="CA2799" i="5" s="1"/>
  <c r="BH2800" i="5"/>
  <c r="BS2800" i="5" s="1"/>
  <c r="BZ2800" i="5" s="1"/>
  <c r="CA2800" i="5" s="1"/>
  <c r="BH2801" i="5"/>
  <c r="BS2801" i="5" s="1"/>
  <c r="BZ2801" i="5" s="1"/>
  <c r="CA2801" i="5" s="1"/>
  <c r="BH2802" i="5"/>
  <c r="BS2802" i="5" s="1"/>
  <c r="BZ2802" i="5" s="1"/>
  <c r="CA2802" i="5" s="1"/>
  <c r="BH2803" i="5"/>
  <c r="BS2803" i="5" s="1"/>
  <c r="BZ2803" i="5" s="1"/>
  <c r="CA2803" i="5" s="1"/>
  <c r="BH2804" i="5"/>
  <c r="BS2804" i="5" s="1"/>
  <c r="BZ2804" i="5" s="1"/>
  <c r="CA2804" i="5" s="1"/>
  <c r="BH2805" i="5"/>
  <c r="BS2805" i="5" s="1"/>
  <c r="BZ2805" i="5" s="1"/>
  <c r="CA2805" i="5" s="1"/>
  <c r="BH2806" i="5"/>
  <c r="BS2806" i="5" s="1"/>
  <c r="BZ2806" i="5" s="1"/>
  <c r="CA2806" i="5" s="1"/>
  <c r="BH2807" i="5"/>
  <c r="BS2807" i="5" s="1"/>
  <c r="BZ2807" i="5" s="1"/>
  <c r="CA2807" i="5" s="1"/>
  <c r="BH2808" i="5"/>
  <c r="BS2808" i="5" s="1"/>
  <c r="BZ2808" i="5" s="1"/>
  <c r="CA2808" i="5" s="1"/>
  <c r="BH2809" i="5"/>
  <c r="BS2809" i="5" s="1"/>
  <c r="BZ2809" i="5" s="1"/>
  <c r="CA2809" i="5" s="1"/>
  <c r="BH2810" i="5"/>
  <c r="BS2810" i="5" s="1"/>
  <c r="BZ2810" i="5" s="1"/>
  <c r="CA2810" i="5" s="1"/>
  <c r="BH2811" i="5"/>
  <c r="BS2811" i="5" s="1"/>
  <c r="BZ2811" i="5" s="1"/>
  <c r="CA2811" i="5" s="1"/>
  <c r="BH2812" i="5"/>
  <c r="BS2812" i="5" s="1"/>
  <c r="BZ2812" i="5" s="1"/>
  <c r="CA2812" i="5" s="1"/>
  <c r="BH2813" i="5"/>
  <c r="BS2813" i="5" s="1"/>
  <c r="BZ2813" i="5" s="1"/>
  <c r="CA2813" i="5" s="1"/>
  <c r="BH2814" i="5"/>
  <c r="BS2814" i="5" s="1"/>
  <c r="BZ2814" i="5" s="1"/>
  <c r="CA2814" i="5" s="1"/>
  <c r="BH2815" i="5"/>
  <c r="BS2815" i="5" s="1"/>
  <c r="BZ2815" i="5" s="1"/>
  <c r="CA2815" i="5" s="1"/>
  <c r="BH2816" i="5"/>
  <c r="BS2816" i="5" s="1"/>
  <c r="BZ2816" i="5" s="1"/>
  <c r="CA2816" i="5" s="1"/>
  <c r="BH2817" i="5"/>
  <c r="BS2817" i="5" s="1"/>
  <c r="BZ2817" i="5" s="1"/>
  <c r="CA2817" i="5" s="1"/>
  <c r="BH2818" i="5"/>
  <c r="BS2818" i="5" s="1"/>
  <c r="BZ2818" i="5" s="1"/>
  <c r="CA2818" i="5" s="1"/>
  <c r="BH2819" i="5"/>
  <c r="BS2819" i="5" s="1"/>
  <c r="BZ2819" i="5" s="1"/>
  <c r="CA2819" i="5" s="1"/>
  <c r="BH2820" i="5"/>
  <c r="BS2820" i="5" s="1"/>
  <c r="BZ2820" i="5" s="1"/>
  <c r="CA2820" i="5" s="1"/>
  <c r="BH2821" i="5"/>
  <c r="BS2821" i="5" s="1"/>
  <c r="BZ2821" i="5" s="1"/>
  <c r="CA2821" i="5" s="1"/>
  <c r="BH2822" i="5"/>
  <c r="BS2822" i="5" s="1"/>
  <c r="BZ2822" i="5" s="1"/>
  <c r="CA2822" i="5" s="1"/>
  <c r="BH2823" i="5"/>
  <c r="BS2823" i="5" s="1"/>
  <c r="BZ2823" i="5" s="1"/>
  <c r="CA2823" i="5" s="1"/>
  <c r="BH2824" i="5"/>
  <c r="BS2824" i="5" s="1"/>
  <c r="BZ2824" i="5" s="1"/>
  <c r="CA2824" i="5" s="1"/>
  <c r="BH2825" i="5"/>
  <c r="BS2825" i="5" s="1"/>
  <c r="BZ2825" i="5" s="1"/>
  <c r="CA2825" i="5" s="1"/>
  <c r="BH2826" i="5"/>
  <c r="BS2826" i="5" s="1"/>
  <c r="BZ2826" i="5" s="1"/>
  <c r="CA2826" i="5" s="1"/>
  <c r="BH2827" i="5"/>
  <c r="BS2827" i="5" s="1"/>
  <c r="BZ2827" i="5" s="1"/>
  <c r="CA2827" i="5" s="1"/>
  <c r="BH2828" i="5"/>
  <c r="BS2828" i="5" s="1"/>
  <c r="BZ2828" i="5" s="1"/>
  <c r="CA2828" i="5" s="1"/>
  <c r="BH2829" i="5"/>
  <c r="BS2829" i="5" s="1"/>
  <c r="BZ2829" i="5" s="1"/>
  <c r="CA2829" i="5" s="1"/>
  <c r="BH2830" i="5"/>
  <c r="BS2830" i="5" s="1"/>
  <c r="BZ2830" i="5" s="1"/>
  <c r="CA2830" i="5" s="1"/>
  <c r="BH2831" i="5"/>
  <c r="BS2831" i="5" s="1"/>
  <c r="BZ2831" i="5" s="1"/>
  <c r="CA2831" i="5" s="1"/>
  <c r="BH2832" i="5"/>
  <c r="BS2832" i="5" s="1"/>
  <c r="BZ2832" i="5" s="1"/>
  <c r="CA2832" i="5" s="1"/>
  <c r="BH2833" i="5"/>
  <c r="BS2833" i="5" s="1"/>
  <c r="BZ2833" i="5" s="1"/>
  <c r="CA2833" i="5" s="1"/>
  <c r="BH2834" i="5"/>
  <c r="BS2834" i="5" s="1"/>
  <c r="BZ2834" i="5" s="1"/>
  <c r="CA2834" i="5" s="1"/>
  <c r="BH2835" i="5"/>
  <c r="BS2835" i="5" s="1"/>
  <c r="BZ2835" i="5" s="1"/>
  <c r="CA2835" i="5" s="1"/>
  <c r="BH2836" i="5"/>
  <c r="BS2836" i="5" s="1"/>
  <c r="BZ2836" i="5" s="1"/>
  <c r="CA2836" i="5" s="1"/>
  <c r="BH2837" i="5"/>
  <c r="BS2837" i="5" s="1"/>
  <c r="BZ2837" i="5" s="1"/>
  <c r="CA2837" i="5" s="1"/>
  <c r="BH2838" i="5"/>
  <c r="BS2838" i="5" s="1"/>
  <c r="BZ2838" i="5" s="1"/>
  <c r="CA2838" i="5" s="1"/>
  <c r="BH2839" i="5"/>
  <c r="BS2839" i="5" s="1"/>
  <c r="BZ2839" i="5" s="1"/>
  <c r="CA2839" i="5" s="1"/>
  <c r="BH2840" i="5"/>
  <c r="BS2840" i="5" s="1"/>
  <c r="BZ2840" i="5" s="1"/>
  <c r="CA2840" i="5" s="1"/>
  <c r="BH2841" i="5"/>
  <c r="BS2841" i="5" s="1"/>
  <c r="BZ2841" i="5" s="1"/>
  <c r="CA2841" i="5" s="1"/>
  <c r="BH2842" i="5"/>
  <c r="BS2842" i="5" s="1"/>
  <c r="BZ2842" i="5" s="1"/>
  <c r="CA2842" i="5" s="1"/>
  <c r="BH2843" i="5"/>
  <c r="BS2843" i="5" s="1"/>
  <c r="BZ2843" i="5" s="1"/>
  <c r="CA2843" i="5" s="1"/>
  <c r="BH2844" i="5"/>
  <c r="BS2844" i="5" s="1"/>
  <c r="BZ2844" i="5" s="1"/>
  <c r="CA2844" i="5" s="1"/>
  <c r="BH2845" i="5"/>
  <c r="BS2845" i="5" s="1"/>
  <c r="BZ2845" i="5" s="1"/>
  <c r="CA2845" i="5" s="1"/>
  <c r="BH2846" i="5"/>
  <c r="BS2846" i="5" s="1"/>
  <c r="BZ2846" i="5" s="1"/>
  <c r="CA2846" i="5" s="1"/>
  <c r="BH2847" i="5"/>
  <c r="BS2847" i="5" s="1"/>
  <c r="BZ2847" i="5" s="1"/>
  <c r="CA2847" i="5" s="1"/>
  <c r="BH2848" i="5"/>
  <c r="BS2848" i="5" s="1"/>
  <c r="BZ2848" i="5" s="1"/>
  <c r="CA2848" i="5" s="1"/>
  <c r="BH2849" i="5"/>
  <c r="BS2849" i="5" s="1"/>
  <c r="BZ2849" i="5" s="1"/>
  <c r="CA2849" i="5" s="1"/>
  <c r="BH2850" i="5"/>
  <c r="BS2850" i="5" s="1"/>
  <c r="BZ2850" i="5" s="1"/>
  <c r="CA2850" i="5" s="1"/>
  <c r="BH2851" i="5"/>
  <c r="BS2851" i="5" s="1"/>
  <c r="BZ2851" i="5" s="1"/>
  <c r="CA2851" i="5" s="1"/>
  <c r="BH2852" i="5"/>
  <c r="BS2852" i="5" s="1"/>
  <c r="BZ2852" i="5" s="1"/>
  <c r="CA2852" i="5" s="1"/>
  <c r="BH2853" i="5"/>
  <c r="BS2853" i="5" s="1"/>
  <c r="BZ2853" i="5" s="1"/>
  <c r="CA2853" i="5" s="1"/>
  <c r="BH2854" i="5"/>
  <c r="BS2854" i="5" s="1"/>
  <c r="BZ2854" i="5" s="1"/>
  <c r="CA2854" i="5" s="1"/>
  <c r="BH2855" i="5"/>
  <c r="BS2855" i="5" s="1"/>
  <c r="BZ2855" i="5" s="1"/>
  <c r="CA2855" i="5" s="1"/>
  <c r="BH2856" i="5"/>
  <c r="BS2856" i="5" s="1"/>
  <c r="BZ2856" i="5" s="1"/>
  <c r="CA2856" i="5" s="1"/>
  <c r="BH2857" i="5"/>
  <c r="BS2857" i="5" s="1"/>
  <c r="BZ2857" i="5" s="1"/>
  <c r="CA2857" i="5" s="1"/>
  <c r="BH2858" i="5"/>
  <c r="BS2858" i="5" s="1"/>
  <c r="BZ2858" i="5" s="1"/>
  <c r="CA2858" i="5" s="1"/>
  <c r="BH2859" i="5"/>
  <c r="BS2859" i="5" s="1"/>
  <c r="BZ2859" i="5" s="1"/>
  <c r="CA2859" i="5" s="1"/>
  <c r="BH2860" i="5"/>
  <c r="BS2860" i="5" s="1"/>
  <c r="BZ2860" i="5" s="1"/>
  <c r="CA2860" i="5" s="1"/>
  <c r="BH2861" i="5"/>
  <c r="BS2861" i="5" s="1"/>
  <c r="BZ2861" i="5" s="1"/>
  <c r="CA2861" i="5" s="1"/>
  <c r="BH2862" i="5"/>
  <c r="BS2862" i="5" s="1"/>
  <c r="BZ2862" i="5" s="1"/>
  <c r="CA2862" i="5" s="1"/>
  <c r="BH2863" i="5"/>
  <c r="BS2863" i="5" s="1"/>
  <c r="BZ2863" i="5" s="1"/>
  <c r="CA2863" i="5" s="1"/>
  <c r="BI2821" i="5"/>
  <c r="BI2822" i="5"/>
  <c r="BI2823" i="5"/>
  <c r="BI2824" i="5"/>
  <c r="BI2825" i="5"/>
  <c r="BI2826" i="5"/>
  <c r="BI2827" i="5"/>
  <c r="BI2828" i="5"/>
  <c r="BI2829" i="5"/>
  <c r="BI2830" i="5"/>
  <c r="BI2831" i="5"/>
  <c r="BI2832" i="5"/>
  <c r="BI2833" i="5"/>
  <c r="BI2834" i="5"/>
  <c r="BI2835" i="5"/>
  <c r="BI2836" i="5"/>
  <c r="BI2837" i="5"/>
  <c r="BI2838" i="5"/>
  <c r="BI2839" i="5"/>
  <c r="BI2840" i="5"/>
  <c r="BI2841" i="5"/>
  <c r="BI2842" i="5"/>
  <c r="BI2843" i="5"/>
  <c r="BI2844" i="5"/>
  <c r="BI2845" i="5"/>
  <c r="BI2846" i="5"/>
  <c r="BI2847" i="5"/>
  <c r="BI2848" i="5"/>
  <c r="BI2849" i="5"/>
  <c r="BI2850" i="5"/>
  <c r="BI2851" i="5"/>
  <c r="BI2852" i="5"/>
  <c r="BI2853" i="5"/>
  <c r="BI2854" i="5"/>
  <c r="BI2855" i="5"/>
  <c r="BI2856" i="5"/>
  <c r="BI2857" i="5"/>
  <c r="BI2858" i="5"/>
  <c r="BI2859" i="5"/>
  <c r="BI2860" i="5"/>
  <c r="BI2861" i="5"/>
  <c r="BI2862" i="5"/>
  <c r="BI2863" i="5"/>
  <c r="BK2821" i="5"/>
  <c r="BK2822" i="5"/>
  <c r="BK2823" i="5"/>
  <c r="BK2824" i="5"/>
  <c r="BK2825" i="5"/>
  <c r="BK2826" i="5"/>
  <c r="BK2827" i="5"/>
  <c r="BK2828" i="5"/>
  <c r="BK2829" i="5"/>
  <c r="BK2830" i="5"/>
  <c r="BK2831" i="5"/>
  <c r="BK2832" i="5"/>
  <c r="BK2833" i="5"/>
  <c r="BK2834" i="5"/>
  <c r="BK2835" i="5"/>
  <c r="BK2836" i="5"/>
  <c r="BK2837" i="5"/>
  <c r="BK2838" i="5"/>
  <c r="BK2839" i="5"/>
  <c r="BK2840" i="5"/>
  <c r="BK2841" i="5"/>
  <c r="BK2842" i="5"/>
  <c r="BK2843" i="5"/>
  <c r="BK2844" i="5"/>
  <c r="BK2845" i="5"/>
  <c r="BK2846" i="5"/>
  <c r="BK2847" i="5"/>
  <c r="BK2848" i="5"/>
  <c r="BK2849" i="5"/>
  <c r="BK2850" i="5"/>
  <c r="BK2851" i="5"/>
  <c r="BK2852" i="5"/>
  <c r="BK2853" i="5"/>
  <c r="BK2854" i="5"/>
  <c r="BK2855" i="5"/>
  <c r="BK2856" i="5"/>
  <c r="BK2857" i="5"/>
  <c r="BK2858" i="5"/>
  <c r="BK2859" i="5"/>
  <c r="BK2860" i="5"/>
  <c r="BK2861" i="5"/>
  <c r="BK2862" i="5"/>
  <c r="BK2863" i="5"/>
  <c r="BL2821" i="5"/>
  <c r="BL2822" i="5"/>
  <c r="BL2823" i="5"/>
  <c r="BL2824" i="5"/>
  <c r="BL2825" i="5"/>
  <c r="BL2826" i="5"/>
  <c r="BL2827" i="5"/>
  <c r="BL2828" i="5"/>
  <c r="BL2829" i="5"/>
  <c r="BL2830" i="5"/>
  <c r="BL2831" i="5"/>
  <c r="BL2832" i="5"/>
  <c r="BL2833" i="5"/>
  <c r="BL2834" i="5"/>
  <c r="BL2835" i="5"/>
  <c r="BL2836" i="5"/>
  <c r="BL2837" i="5"/>
  <c r="BL2838" i="5"/>
  <c r="BL2839" i="5"/>
  <c r="BL2840" i="5"/>
  <c r="BL2841" i="5"/>
  <c r="BL2842" i="5"/>
  <c r="BL2843" i="5"/>
  <c r="BL2844" i="5"/>
  <c r="BL2845" i="5"/>
  <c r="BL2846" i="5"/>
  <c r="BL2847" i="5"/>
  <c r="BL2848" i="5"/>
  <c r="BL2849" i="5"/>
  <c r="BL2850" i="5"/>
  <c r="BL2851" i="5"/>
  <c r="BL2852" i="5"/>
  <c r="BL2853" i="5"/>
  <c r="BL2854" i="5"/>
  <c r="BL2855" i="5"/>
  <c r="BL2856" i="5"/>
  <c r="BL2857" i="5"/>
  <c r="BL2858" i="5"/>
  <c r="BL2859" i="5"/>
  <c r="BL2860" i="5"/>
  <c r="BL2861" i="5"/>
  <c r="BL2862" i="5"/>
  <c r="BL2863" i="5"/>
  <c r="BM2821" i="5"/>
  <c r="BM2822" i="5"/>
  <c r="BM2823" i="5"/>
  <c r="BM2824" i="5"/>
  <c r="BM2825" i="5"/>
  <c r="BM2826" i="5"/>
  <c r="BM2827" i="5"/>
  <c r="BM2828" i="5"/>
  <c r="BM2829" i="5"/>
  <c r="BM2830" i="5"/>
  <c r="BM2831" i="5"/>
  <c r="BM2832" i="5"/>
  <c r="BM2833" i="5"/>
  <c r="BM2834" i="5"/>
  <c r="BM2835" i="5"/>
  <c r="BM2836" i="5"/>
  <c r="BM2837" i="5"/>
  <c r="BM2838" i="5"/>
  <c r="BM2839" i="5"/>
  <c r="BM2840" i="5"/>
  <c r="BM2841" i="5"/>
  <c r="BM2842" i="5"/>
  <c r="BM2843" i="5"/>
  <c r="BM2844" i="5"/>
  <c r="BM2845" i="5"/>
  <c r="BM2846" i="5"/>
  <c r="BM2847" i="5"/>
  <c r="BM2848" i="5"/>
  <c r="BM2849" i="5"/>
  <c r="BM2850" i="5"/>
  <c r="BM2851" i="5"/>
  <c r="BM2852" i="5"/>
  <c r="BM2853" i="5"/>
  <c r="BM2854" i="5"/>
  <c r="BM2855" i="5"/>
  <c r="BM2856" i="5"/>
  <c r="BM2857" i="5"/>
  <c r="BM2858" i="5"/>
  <c r="BM2859" i="5"/>
  <c r="BM2860" i="5"/>
  <c r="BM2861" i="5"/>
  <c r="BM2862" i="5"/>
  <c r="BM2863" i="5"/>
  <c r="BN2821" i="5"/>
  <c r="BN2822" i="5"/>
  <c r="BN2823" i="5"/>
  <c r="BN2824" i="5"/>
  <c r="BN2825" i="5"/>
  <c r="BN2826" i="5"/>
  <c r="BN2827" i="5"/>
  <c r="BN2828" i="5"/>
  <c r="BN2829" i="5"/>
  <c r="BN2830" i="5"/>
  <c r="BN2831" i="5"/>
  <c r="BN2832" i="5"/>
  <c r="BN2833" i="5"/>
  <c r="BN2834" i="5"/>
  <c r="BN2835" i="5"/>
  <c r="BN2836" i="5"/>
  <c r="BN2837" i="5"/>
  <c r="BN2838" i="5"/>
  <c r="BN2839" i="5"/>
  <c r="BN2840" i="5"/>
  <c r="BN2841" i="5"/>
  <c r="BN2842" i="5"/>
  <c r="BN2843" i="5"/>
  <c r="BN2844" i="5"/>
  <c r="BN2845" i="5"/>
  <c r="BN2846" i="5"/>
  <c r="BN2847" i="5"/>
  <c r="BN2848" i="5"/>
  <c r="BN2849" i="5"/>
  <c r="BN2850" i="5"/>
  <c r="BN2851" i="5"/>
  <c r="BN2852" i="5"/>
  <c r="BN2853" i="5"/>
  <c r="BN2854" i="5"/>
  <c r="BN2855" i="5"/>
  <c r="BN2856" i="5"/>
  <c r="BN2857" i="5"/>
  <c r="BN2858" i="5"/>
  <c r="BN2859" i="5"/>
  <c r="BN2860" i="5"/>
  <c r="BN2861" i="5"/>
  <c r="BN2862" i="5"/>
  <c r="BN2863" i="5"/>
  <c r="BO2821" i="5"/>
  <c r="BO2822" i="5"/>
  <c r="BO2823" i="5"/>
  <c r="BO2824" i="5"/>
  <c r="BO2825" i="5"/>
  <c r="BO2826" i="5"/>
  <c r="BO2827" i="5"/>
  <c r="BO2828" i="5"/>
  <c r="BO2829" i="5"/>
  <c r="BO2830" i="5"/>
  <c r="BO2831" i="5"/>
  <c r="BO2832" i="5"/>
  <c r="BO2833" i="5"/>
  <c r="BO2834" i="5"/>
  <c r="BO2835" i="5"/>
  <c r="BO2836" i="5"/>
  <c r="BO2837" i="5"/>
  <c r="BO2838" i="5"/>
  <c r="BO2839" i="5"/>
  <c r="BO2840" i="5"/>
  <c r="BO2841" i="5"/>
  <c r="BO2842" i="5"/>
  <c r="BO2843" i="5"/>
  <c r="BO2844" i="5"/>
  <c r="BO2845" i="5"/>
  <c r="BO2846" i="5"/>
  <c r="BO2847" i="5"/>
  <c r="BO2848" i="5"/>
  <c r="BO2849" i="5"/>
  <c r="BO2850" i="5"/>
  <c r="BO2851" i="5"/>
  <c r="BO2852" i="5"/>
  <c r="BO2853" i="5"/>
  <c r="BO2854" i="5"/>
  <c r="BO2855" i="5"/>
  <c r="BO2856" i="5"/>
  <c r="BO2857" i="5"/>
  <c r="BO2858" i="5"/>
  <c r="BO2859" i="5"/>
  <c r="BO2860" i="5"/>
  <c r="BO2861" i="5"/>
  <c r="BO2862" i="5"/>
  <c r="BO2863" i="5"/>
  <c r="BP2821" i="5"/>
  <c r="BP2822" i="5"/>
  <c r="BP2823" i="5"/>
  <c r="BP2824" i="5"/>
  <c r="BP2825" i="5"/>
  <c r="BP2826" i="5"/>
  <c r="BP2827" i="5"/>
  <c r="BP2828" i="5"/>
  <c r="BP2829" i="5"/>
  <c r="BP2830" i="5"/>
  <c r="BP2831" i="5"/>
  <c r="BP2832" i="5"/>
  <c r="BP2833" i="5"/>
  <c r="BP2834" i="5"/>
  <c r="BP2835" i="5"/>
  <c r="BP2836" i="5"/>
  <c r="BP2837" i="5"/>
  <c r="BP2838" i="5"/>
  <c r="BP2839" i="5"/>
  <c r="BP2840" i="5"/>
  <c r="BP2841" i="5"/>
  <c r="BP2842" i="5"/>
  <c r="BP2843" i="5"/>
  <c r="BP2844" i="5"/>
  <c r="BP2845" i="5"/>
  <c r="BP2846" i="5"/>
  <c r="BP2847" i="5"/>
  <c r="BP2848" i="5"/>
  <c r="BP2849" i="5"/>
  <c r="BP2850" i="5"/>
  <c r="BP2851" i="5"/>
  <c r="BP2852" i="5"/>
  <c r="BP2853" i="5"/>
  <c r="BP2854" i="5"/>
  <c r="BP2855" i="5"/>
  <c r="BP2856" i="5"/>
  <c r="BP2857" i="5"/>
  <c r="BP2858" i="5"/>
  <c r="BP2859" i="5"/>
  <c r="BP2860" i="5"/>
  <c r="BP2861" i="5"/>
  <c r="BP2862" i="5"/>
  <c r="BP2863" i="5"/>
  <c r="BQ2821" i="5"/>
  <c r="CB2821" i="5" s="1"/>
  <c r="BQ2822" i="5"/>
  <c r="CB2822" i="5" s="1"/>
  <c r="BQ2823" i="5"/>
  <c r="CB2823" i="5" s="1"/>
  <c r="BQ2824" i="5"/>
  <c r="CB2824" i="5" s="1"/>
  <c r="BQ2825" i="5"/>
  <c r="CB2825" i="5" s="1"/>
  <c r="BQ2826" i="5"/>
  <c r="CB2826" i="5" s="1"/>
  <c r="BQ2827" i="5"/>
  <c r="CB2827" i="5" s="1"/>
  <c r="BQ2828" i="5"/>
  <c r="CB2828" i="5" s="1"/>
  <c r="BQ2829" i="5"/>
  <c r="CB2829" i="5" s="1"/>
  <c r="BQ2830" i="5"/>
  <c r="CB2830" i="5" s="1"/>
  <c r="BQ2831" i="5"/>
  <c r="CB2831" i="5" s="1"/>
  <c r="BQ2832" i="5"/>
  <c r="CB2832" i="5" s="1"/>
  <c r="BQ2833" i="5"/>
  <c r="CB2833" i="5" s="1"/>
  <c r="BQ2834" i="5"/>
  <c r="CB2834" i="5" s="1"/>
  <c r="BQ2835" i="5"/>
  <c r="CB2835" i="5" s="1"/>
  <c r="BQ2836" i="5"/>
  <c r="CB2836" i="5" s="1"/>
  <c r="BQ2837" i="5"/>
  <c r="CB2837" i="5" s="1"/>
  <c r="BQ2838" i="5"/>
  <c r="CB2838" i="5" s="1"/>
  <c r="BQ2839" i="5"/>
  <c r="CB2839" i="5" s="1"/>
  <c r="BQ2840" i="5"/>
  <c r="CB2840" i="5" s="1"/>
  <c r="BQ2841" i="5"/>
  <c r="CB2841" i="5" s="1"/>
  <c r="BQ2842" i="5"/>
  <c r="CB2842" i="5" s="1"/>
  <c r="BQ2843" i="5"/>
  <c r="CB2843" i="5" s="1"/>
  <c r="BQ2844" i="5"/>
  <c r="CB2844" i="5" s="1"/>
  <c r="BQ2845" i="5"/>
  <c r="CB2845" i="5" s="1"/>
  <c r="BQ2846" i="5"/>
  <c r="CB2846" i="5" s="1"/>
  <c r="BQ2847" i="5"/>
  <c r="CB2847" i="5" s="1"/>
  <c r="BQ2848" i="5"/>
  <c r="CB2848" i="5" s="1"/>
  <c r="BQ2849" i="5"/>
  <c r="CB2849" i="5" s="1"/>
  <c r="BQ2850" i="5"/>
  <c r="CB2850" i="5" s="1"/>
  <c r="BQ2851" i="5"/>
  <c r="CB2851" i="5" s="1"/>
  <c r="BQ2852" i="5"/>
  <c r="CB2852" i="5" s="1"/>
  <c r="BQ2853" i="5"/>
  <c r="CB2853" i="5" s="1"/>
  <c r="BQ2854" i="5"/>
  <c r="CB2854" i="5" s="1"/>
  <c r="BQ2855" i="5"/>
  <c r="CB2855" i="5" s="1"/>
  <c r="BQ2856" i="5"/>
  <c r="CB2856" i="5" s="1"/>
  <c r="BQ2857" i="5"/>
  <c r="CB2857" i="5" s="1"/>
  <c r="BQ2858" i="5"/>
  <c r="CB2858" i="5" s="1"/>
  <c r="BQ2859" i="5"/>
  <c r="CB2859" i="5" s="1"/>
  <c r="BQ2860" i="5"/>
  <c r="CB2860" i="5" s="1"/>
  <c r="BQ2861" i="5"/>
  <c r="CB2861" i="5" s="1"/>
  <c r="BQ2862" i="5"/>
  <c r="CB2862" i="5" s="1"/>
  <c r="BQ2863" i="5"/>
  <c r="CB2863" i="5" s="1"/>
  <c r="BT2821" i="5"/>
  <c r="BT2822" i="5"/>
  <c r="BT2823" i="5"/>
  <c r="BT2824" i="5"/>
  <c r="BT2825" i="5"/>
  <c r="BT2826" i="5"/>
  <c r="BT2827" i="5"/>
  <c r="BT2828" i="5"/>
  <c r="BT2829" i="5"/>
  <c r="BT2830" i="5"/>
  <c r="BT2831" i="5"/>
  <c r="BT2832" i="5"/>
  <c r="BT2833" i="5"/>
  <c r="BT2834" i="5"/>
  <c r="BT2835" i="5"/>
  <c r="BT2836" i="5"/>
  <c r="BT2837" i="5"/>
  <c r="BT2838" i="5"/>
  <c r="BT2839" i="5"/>
  <c r="BT2840" i="5"/>
  <c r="BT2841" i="5"/>
  <c r="BT2842" i="5"/>
  <c r="BT2843" i="5"/>
  <c r="BT2844" i="5"/>
  <c r="BT2845" i="5"/>
  <c r="BT2846" i="5"/>
  <c r="BT2847" i="5"/>
  <c r="BT2848" i="5"/>
  <c r="BT2849" i="5"/>
  <c r="BT2850" i="5"/>
  <c r="BT2851" i="5"/>
  <c r="BT2852" i="5"/>
  <c r="BT2853" i="5"/>
  <c r="BT2854" i="5"/>
  <c r="BT2855" i="5"/>
  <c r="BT2856" i="5"/>
  <c r="BT2857" i="5"/>
  <c r="BT2858" i="5"/>
  <c r="BT2859" i="5"/>
  <c r="BT2860" i="5"/>
  <c r="BT2861" i="5"/>
  <c r="BT2862" i="5"/>
  <c r="BT2863" i="5"/>
  <c r="BU2821" i="5"/>
  <c r="BU2822" i="5"/>
  <c r="BU2823" i="5"/>
  <c r="BU2824" i="5"/>
  <c r="BU2825" i="5"/>
  <c r="BU2826" i="5"/>
  <c r="BU2827" i="5"/>
  <c r="BU2828" i="5"/>
  <c r="BU2829" i="5"/>
  <c r="BU2830" i="5"/>
  <c r="BU2831" i="5"/>
  <c r="BU2832" i="5"/>
  <c r="BU2833" i="5"/>
  <c r="BU2834" i="5"/>
  <c r="BU2835" i="5"/>
  <c r="BU2836" i="5"/>
  <c r="BU2837" i="5"/>
  <c r="BU2838" i="5"/>
  <c r="BU2839" i="5"/>
  <c r="BU2840" i="5"/>
  <c r="BU2841" i="5"/>
  <c r="BU2842" i="5"/>
  <c r="BU2843" i="5"/>
  <c r="BU2844" i="5"/>
  <c r="BU2845" i="5"/>
  <c r="BU2846" i="5"/>
  <c r="BU2847" i="5"/>
  <c r="BU2848" i="5"/>
  <c r="BU2849" i="5"/>
  <c r="BU2850" i="5"/>
  <c r="BU2851" i="5"/>
  <c r="BU2852" i="5"/>
  <c r="BU2853" i="5"/>
  <c r="BU2854" i="5"/>
  <c r="BU2855" i="5"/>
  <c r="BU2856" i="5"/>
  <c r="BU2857" i="5"/>
  <c r="BU2858" i="5"/>
  <c r="BU2859" i="5"/>
  <c r="BU2860" i="5"/>
  <c r="BU2861" i="5"/>
  <c r="BU2862" i="5"/>
  <c r="BU2863" i="5"/>
  <c r="BV2821" i="5"/>
  <c r="BV2822" i="5"/>
  <c r="BV2823" i="5"/>
  <c r="BV2824" i="5"/>
  <c r="BV2825" i="5"/>
  <c r="BV2826" i="5"/>
  <c r="BV2827" i="5"/>
  <c r="BV2828" i="5"/>
  <c r="BV2829" i="5"/>
  <c r="BV2830" i="5"/>
  <c r="BV2831" i="5"/>
  <c r="BV2832" i="5"/>
  <c r="BV2833" i="5"/>
  <c r="BV2834" i="5"/>
  <c r="BV2835" i="5"/>
  <c r="BV2836" i="5"/>
  <c r="BV2837" i="5"/>
  <c r="BV2838" i="5"/>
  <c r="BV2839" i="5"/>
  <c r="BV2840" i="5"/>
  <c r="BV2841" i="5"/>
  <c r="BV2842" i="5"/>
  <c r="BV2843" i="5"/>
  <c r="BV2844" i="5"/>
  <c r="BV2845" i="5"/>
  <c r="BV2846" i="5"/>
  <c r="BV2847" i="5"/>
  <c r="BV2848" i="5"/>
  <c r="BV2849" i="5"/>
  <c r="BV2850" i="5"/>
  <c r="BV2851" i="5"/>
  <c r="BV2852" i="5"/>
  <c r="BV2853" i="5"/>
  <c r="BV2854" i="5"/>
  <c r="BV2855" i="5"/>
  <c r="BV2856" i="5"/>
  <c r="BV2857" i="5"/>
  <c r="BV2858" i="5"/>
  <c r="BV2859" i="5"/>
  <c r="BV2860" i="5"/>
  <c r="BV2861" i="5"/>
  <c r="BV2862" i="5"/>
  <c r="BV2863" i="5"/>
  <c r="BW2821" i="5"/>
  <c r="BW2822" i="5"/>
  <c r="BW2823" i="5"/>
  <c r="BW2824" i="5"/>
  <c r="BW2825" i="5"/>
  <c r="BW2826" i="5"/>
  <c r="BW2827" i="5"/>
  <c r="BW2828" i="5"/>
  <c r="BW2829" i="5"/>
  <c r="BW2830" i="5"/>
  <c r="BW2831" i="5"/>
  <c r="BW2832" i="5"/>
  <c r="BW2833" i="5"/>
  <c r="BW2834" i="5"/>
  <c r="BW2835" i="5"/>
  <c r="BW2836" i="5"/>
  <c r="BW2837" i="5"/>
  <c r="BW2838" i="5"/>
  <c r="BW2839" i="5"/>
  <c r="BW2840" i="5"/>
  <c r="BW2841" i="5"/>
  <c r="BW2842" i="5"/>
  <c r="BW2843" i="5"/>
  <c r="BW2844" i="5"/>
  <c r="BW2845" i="5"/>
  <c r="BW2846" i="5"/>
  <c r="BW2847" i="5"/>
  <c r="BW2848" i="5"/>
  <c r="BW2849" i="5"/>
  <c r="BW2850" i="5"/>
  <c r="BW2851" i="5"/>
  <c r="BW2852" i="5"/>
  <c r="BW2853" i="5"/>
  <c r="BW2854" i="5"/>
  <c r="BW2855" i="5"/>
  <c r="BW2856" i="5"/>
  <c r="BW2857" i="5"/>
  <c r="BW2858" i="5"/>
  <c r="BW2859" i="5"/>
  <c r="BW2860" i="5"/>
  <c r="BW2861" i="5"/>
  <c r="BW2862" i="5"/>
  <c r="BW2863" i="5"/>
  <c r="BH2749" i="5"/>
  <c r="BS2749" i="5" s="1"/>
  <c r="BZ2749" i="5" s="1"/>
  <c r="CA2749" i="5" s="1"/>
  <c r="BH2752" i="5"/>
  <c r="BS2752" i="5" s="1"/>
  <c r="BZ2752" i="5" s="1"/>
  <c r="CA2752" i="5" s="1"/>
  <c r="BH2755" i="5"/>
  <c r="BS2755" i="5" s="1"/>
  <c r="BZ2755" i="5" s="1"/>
  <c r="CA2755" i="5" s="1"/>
  <c r="BH2761" i="5"/>
  <c r="BS2761" i="5" s="1"/>
  <c r="BZ2761" i="5" s="1"/>
  <c r="CA2761" i="5" s="1"/>
  <c r="BH2773" i="5"/>
  <c r="BS2773" i="5" s="1"/>
  <c r="BZ2773" i="5" s="1"/>
  <c r="CA2773" i="5" s="1"/>
  <c r="BI2807" i="5"/>
  <c r="BI2808" i="5"/>
  <c r="BI2809" i="5"/>
  <c r="BI2810" i="5"/>
  <c r="BI2811" i="5"/>
  <c r="BI2812" i="5"/>
  <c r="BI2813" i="5"/>
  <c r="BI2814" i="5"/>
  <c r="BI2815" i="5"/>
  <c r="BI2816" i="5"/>
  <c r="BI2817" i="5"/>
  <c r="BI2818" i="5"/>
  <c r="BI2819" i="5"/>
  <c r="BI2820" i="5"/>
  <c r="BK2807" i="5"/>
  <c r="BK2808" i="5"/>
  <c r="BK2809" i="5"/>
  <c r="BK2810" i="5"/>
  <c r="BK2811" i="5"/>
  <c r="BK2812" i="5"/>
  <c r="BK2813" i="5"/>
  <c r="BK2814" i="5"/>
  <c r="BK2815" i="5"/>
  <c r="BK2816" i="5"/>
  <c r="BK2817" i="5"/>
  <c r="BK2818" i="5"/>
  <c r="BK2819" i="5"/>
  <c r="BK2820" i="5"/>
  <c r="BL2807" i="5"/>
  <c r="BL2808" i="5"/>
  <c r="BL2809" i="5"/>
  <c r="BL2810" i="5"/>
  <c r="BL2811" i="5"/>
  <c r="BL2812" i="5"/>
  <c r="BL2813" i="5"/>
  <c r="BL2814" i="5"/>
  <c r="BL2815" i="5"/>
  <c r="BL2816" i="5"/>
  <c r="BL2817" i="5"/>
  <c r="BL2818" i="5"/>
  <c r="BL2819" i="5"/>
  <c r="BL2820" i="5"/>
  <c r="BM2807" i="5"/>
  <c r="BM2808" i="5"/>
  <c r="BM2809" i="5"/>
  <c r="BM2810" i="5"/>
  <c r="BM2811" i="5"/>
  <c r="BM2812" i="5"/>
  <c r="BM2813" i="5"/>
  <c r="BM2814" i="5"/>
  <c r="BM2815" i="5"/>
  <c r="BM2816" i="5"/>
  <c r="BM2817" i="5"/>
  <c r="BM2818" i="5"/>
  <c r="BM2819" i="5"/>
  <c r="BM2820" i="5"/>
  <c r="BN2807" i="5"/>
  <c r="BN2808" i="5"/>
  <c r="BN2809" i="5"/>
  <c r="BN2810" i="5"/>
  <c r="BN2811" i="5"/>
  <c r="BN2812" i="5"/>
  <c r="BN2813" i="5"/>
  <c r="BN2814" i="5"/>
  <c r="BN2815" i="5"/>
  <c r="BN2816" i="5"/>
  <c r="BN2817" i="5"/>
  <c r="BN2818" i="5"/>
  <c r="BN2819" i="5"/>
  <c r="BN2820" i="5"/>
  <c r="BO2807" i="5"/>
  <c r="BO2808" i="5"/>
  <c r="BO2809" i="5"/>
  <c r="BO2810" i="5"/>
  <c r="BO2811" i="5"/>
  <c r="BO2812" i="5"/>
  <c r="BO2813" i="5"/>
  <c r="BO2814" i="5"/>
  <c r="BO2815" i="5"/>
  <c r="BO2816" i="5"/>
  <c r="BO2817" i="5"/>
  <c r="BO2818" i="5"/>
  <c r="BO2819" i="5"/>
  <c r="BO2820" i="5"/>
  <c r="BP2807" i="5"/>
  <c r="BP2808" i="5"/>
  <c r="BP2809" i="5"/>
  <c r="BP2810" i="5"/>
  <c r="BP2811" i="5"/>
  <c r="BP2812" i="5"/>
  <c r="BP2813" i="5"/>
  <c r="BP2814" i="5"/>
  <c r="BP2815" i="5"/>
  <c r="BP2816" i="5"/>
  <c r="BP2817" i="5"/>
  <c r="BP2818" i="5"/>
  <c r="BP2819" i="5"/>
  <c r="BP2820" i="5"/>
  <c r="BQ2807" i="5"/>
  <c r="CB2807" i="5" s="1"/>
  <c r="BQ2808" i="5"/>
  <c r="CB2808" i="5" s="1"/>
  <c r="BQ2809" i="5"/>
  <c r="CB2809" i="5" s="1"/>
  <c r="BQ2810" i="5"/>
  <c r="CB2810" i="5" s="1"/>
  <c r="BQ2811" i="5"/>
  <c r="CB2811" i="5" s="1"/>
  <c r="BQ2812" i="5"/>
  <c r="CB2812" i="5" s="1"/>
  <c r="BQ2813" i="5"/>
  <c r="CB2813" i="5" s="1"/>
  <c r="BQ2814" i="5"/>
  <c r="CB2814" i="5" s="1"/>
  <c r="BQ2815" i="5"/>
  <c r="CB2815" i="5" s="1"/>
  <c r="BQ2816" i="5"/>
  <c r="CB2816" i="5" s="1"/>
  <c r="BQ2817" i="5"/>
  <c r="BQ2818" i="5"/>
  <c r="CB2818" i="5" s="1"/>
  <c r="BQ2819" i="5"/>
  <c r="CB2819" i="5" s="1"/>
  <c r="BQ2820" i="5"/>
  <c r="CB2820" i="5" s="1"/>
  <c r="BT2807" i="5"/>
  <c r="BT2808" i="5"/>
  <c r="BT2809" i="5"/>
  <c r="BT2810" i="5"/>
  <c r="BT2811" i="5"/>
  <c r="BT2812" i="5"/>
  <c r="BT2813" i="5"/>
  <c r="BT2814" i="5"/>
  <c r="BT2815" i="5"/>
  <c r="BT2816" i="5"/>
  <c r="BT2817" i="5"/>
  <c r="BT2818" i="5"/>
  <c r="BT2819" i="5"/>
  <c r="BT2820" i="5"/>
  <c r="BU2807" i="5"/>
  <c r="BU2808" i="5"/>
  <c r="BU2809" i="5"/>
  <c r="BU2810" i="5"/>
  <c r="BU2811" i="5"/>
  <c r="BU2812" i="5"/>
  <c r="BU2813" i="5"/>
  <c r="BU2814" i="5"/>
  <c r="BU2815" i="5"/>
  <c r="BU2816" i="5"/>
  <c r="BU2817" i="5"/>
  <c r="BU2818" i="5"/>
  <c r="BU2819" i="5"/>
  <c r="BU2820" i="5"/>
  <c r="BV2807" i="5"/>
  <c r="BV2808" i="5"/>
  <c r="BV2809" i="5"/>
  <c r="BV2810" i="5"/>
  <c r="BV2811" i="5"/>
  <c r="BV2812" i="5"/>
  <c r="BV2813" i="5"/>
  <c r="BV2814" i="5"/>
  <c r="BV2815" i="5"/>
  <c r="BV2816" i="5"/>
  <c r="BV2817" i="5"/>
  <c r="BV2818" i="5"/>
  <c r="BV2819" i="5"/>
  <c r="BV2820" i="5"/>
  <c r="BW2807" i="5"/>
  <c r="BW2808" i="5"/>
  <c r="BW2809" i="5"/>
  <c r="BW2810" i="5"/>
  <c r="BW2811" i="5"/>
  <c r="BW2812" i="5"/>
  <c r="BW2813" i="5"/>
  <c r="BW2814" i="5"/>
  <c r="BW2815" i="5"/>
  <c r="BW2816" i="5"/>
  <c r="BW2817" i="5"/>
  <c r="BW2818" i="5"/>
  <c r="BW2819" i="5"/>
  <c r="BW2820" i="5"/>
  <c r="CB2817" i="5"/>
  <c r="BI2744" i="5"/>
  <c r="BI2745" i="5"/>
  <c r="BI2746" i="5"/>
  <c r="BI2747" i="5"/>
  <c r="BI2748" i="5"/>
  <c r="BI2749" i="5"/>
  <c r="BI2750" i="5"/>
  <c r="BI2751" i="5"/>
  <c r="BI2752" i="5"/>
  <c r="BI2753" i="5"/>
  <c r="BI2754" i="5"/>
  <c r="BI2755" i="5"/>
  <c r="BI2756" i="5"/>
  <c r="BI2757" i="5"/>
  <c r="BI2758" i="5"/>
  <c r="BI2759" i="5"/>
  <c r="BI2760" i="5"/>
  <c r="BI2761" i="5"/>
  <c r="BI2762" i="5"/>
  <c r="BI2763" i="5"/>
  <c r="BI2764" i="5"/>
  <c r="BI2765" i="5"/>
  <c r="BI2766" i="5"/>
  <c r="BI2767" i="5"/>
  <c r="BI2768" i="5"/>
  <c r="BI2769" i="5"/>
  <c r="BI2770" i="5"/>
  <c r="BI2771" i="5"/>
  <c r="BI2772" i="5"/>
  <c r="BI2773" i="5"/>
  <c r="BI2774" i="5"/>
  <c r="BI2775" i="5"/>
  <c r="BI2776" i="5"/>
  <c r="BI2777" i="5"/>
  <c r="BI2778" i="5"/>
  <c r="BI2779" i="5"/>
  <c r="BI2780" i="5"/>
  <c r="BI2781" i="5"/>
  <c r="BI2782" i="5"/>
  <c r="BI2783" i="5"/>
  <c r="BI2784" i="5"/>
  <c r="BI2785" i="5"/>
  <c r="BI2786" i="5"/>
  <c r="BI2787" i="5"/>
  <c r="BI2788" i="5"/>
  <c r="BI2789" i="5"/>
  <c r="BI2790" i="5"/>
  <c r="BI2791" i="5"/>
  <c r="BI2792" i="5"/>
  <c r="BI2793" i="5"/>
  <c r="BI2794" i="5"/>
  <c r="BI2795" i="5"/>
  <c r="BI2796" i="5"/>
  <c r="BI2797" i="5"/>
  <c r="BI2798" i="5"/>
  <c r="BI2799" i="5"/>
  <c r="BI2800" i="5"/>
  <c r="BI2801" i="5"/>
  <c r="BI2802" i="5"/>
  <c r="BI2803" i="5"/>
  <c r="BI2804" i="5"/>
  <c r="BI2805" i="5"/>
  <c r="BI2806" i="5"/>
  <c r="BK2744" i="5"/>
  <c r="BK2745" i="5"/>
  <c r="BK2746" i="5"/>
  <c r="BK2747" i="5"/>
  <c r="BK2748" i="5"/>
  <c r="BK2749" i="5"/>
  <c r="BK2750" i="5"/>
  <c r="BK2751" i="5"/>
  <c r="BK2752" i="5"/>
  <c r="BK2753" i="5"/>
  <c r="BK2754" i="5"/>
  <c r="BK2755" i="5"/>
  <c r="BK2756" i="5"/>
  <c r="BK2757" i="5"/>
  <c r="BK2758" i="5"/>
  <c r="BK2759" i="5"/>
  <c r="BK2760" i="5"/>
  <c r="BK2761" i="5"/>
  <c r="BK2762" i="5"/>
  <c r="BK2763" i="5"/>
  <c r="BK2764" i="5"/>
  <c r="BK2765" i="5"/>
  <c r="BK2766" i="5"/>
  <c r="BK2767" i="5"/>
  <c r="BK2768" i="5"/>
  <c r="BK2769" i="5"/>
  <c r="BK2770" i="5"/>
  <c r="BK2771" i="5"/>
  <c r="BK2772" i="5"/>
  <c r="BK2773" i="5"/>
  <c r="BK2774" i="5"/>
  <c r="BK2775" i="5"/>
  <c r="BK2776" i="5"/>
  <c r="BK2777" i="5"/>
  <c r="BK2778" i="5"/>
  <c r="BK2779" i="5"/>
  <c r="BK2780" i="5"/>
  <c r="BK2781" i="5"/>
  <c r="BK2782" i="5"/>
  <c r="BK2783" i="5"/>
  <c r="BK2784" i="5"/>
  <c r="BK2785" i="5"/>
  <c r="BK2786" i="5"/>
  <c r="BK2787" i="5"/>
  <c r="BK2788" i="5"/>
  <c r="BK2789" i="5"/>
  <c r="BK2790" i="5"/>
  <c r="BK2791" i="5"/>
  <c r="BK2792" i="5"/>
  <c r="BK2793" i="5"/>
  <c r="BK2794" i="5"/>
  <c r="BK2795" i="5"/>
  <c r="BK2796" i="5"/>
  <c r="BK2797" i="5"/>
  <c r="BK2798" i="5"/>
  <c r="BK2799" i="5"/>
  <c r="BK2800" i="5"/>
  <c r="BK2801" i="5"/>
  <c r="BK2802" i="5"/>
  <c r="BK2803" i="5"/>
  <c r="BK2804" i="5"/>
  <c r="BK2805" i="5"/>
  <c r="BK2806" i="5"/>
  <c r="BL2744" i="5"/>
  <c r="BL2745" i="5"/>
  <c r="BL2746" i="5"/>
  <c r="BL2747" i="5"/>
  <c r="BL2748" i="5"/>
  <c r="BL2749" i="5"/>
  <c r="BL2750" i="5"/>
  <c r="BL2751" i="5"/>
  <c r="BL2752" i="5"/>
  <c r="BL2753" i="5"/>
  <c r="BL2754" i="5"/>
  <c r="BL2755" i="5"/>
  <c r="BL2756" i="5"/>
  <c r="BL2757" i="5"/>
  <c r="BL2758" i="5"/>
  <c r="BL2759" i="5"/>
  <c r="BL2760" i="5"/>
  <c r="BL2761" i="5"/>
  <c r="BL2762" i="5"/>
  <c r="BL2763" i="5"/>
  <c r="BL2764" i="5"/>
  <c r="BL2765" i="5"/>
  <c r="BL2766" i="5"/>
  <c r="BL2767" i="5"/>
  <c r="BL2768" i="5"/>
  <c r="BL2769" i="5"/>
  <c r="BL2770" i="5"/>
  <c r="BL2771" i="5"/>
  <c r="BL2772" i="5"/>
  <c r="BL2773" i="5"/>
  <c r="BL2774" i="5"/>
  <c r="BL2775" i="5"/>
  <c r="BL2776" i="5"/>
  <c r="BL2777" i="5"/>
  <c r="BL2778" i="5"/>
  <c r="BL2779" i="5"/>
  <c r="BL2780" i="5"/>
  <c r="BL2781" i="5"/>
  <c r="BL2782" i="5"/>
  <c r="BL2783" i="5"/>
  <c r="BL2784" i="5"/>
  <c r="BL2785" i="5"/>
  <c r="BL2786" i="5"/>
  <c r="BL2787" i="5"/>
  <c r="BL2788" i="5"/>
  <c r="BL2789" i="5"/>
  <c r="BL2790" i="5"/>
  <c r="BL2791" i="5"/>
  <c r="BL2792" i="5"/>
  <c r="BL2793" i="5"/>
  <c r="BL2794" i="5"/>
  <c r="BL2795" i="5"/>
  <c r="BL2796" i="5"/>
  <c r="BL2797" i="5"/>
  <c r="BL2798" i="5"/>
  <c r="BL2799" i="5"/>
  <c r="BL2800" i="5"/>
  <c r="BL2801" i="5"/>
  <c r="BL2802" i="5"/>
  <c r="BL2803" i="5"/>
  <c r="BL2804" i="5"/>
  <c r="BL2805" i="5"/>
  <c r="BL2806" i="5"/>
  <c r="BM2744" i="5"/>
  <c r="BM2745" i="5"/>
  <c r="BM2746" i="5"/>
  <c r="BM2747" i="5"/>
  <c r="BM2748" i="5"/>
  <c r="BM2749" i="5"/>
  <c r="BM2750" i="5"/>
  <c r="BM2751" i="5"/>
  <c r="BM2752" i="5"/>
  <c r="BM2753" i="5"/>
  <c r="BM2754" i="5"/>
  <c r="BM2755" i="5"/>
  <c r="BM2756" i="5"/>
  <c r="BM2757" i="5"/>
  <c r="BM2758" i="5"/>
  <c r="BM2759" i="5"/>
  <c r="BM2760" i="5"/>
  <c r="BM2761" i="5"/>
  <c r="BM2762" i="5"/>
  <c r="BM2763" i="5"/>
  <c r="BM2764" i="5"/>
  <c r="BM2765" i="5"/>
  <c r="BM2766" i="5"/>
  <c r="BM2767" i="5"/>
  <c r="BM2768" i="5"/>
  <c r="BM2769" i="5"/>
  <c r="BM2770" i="5"/>
  <c r="BM2771" i="5"/>
  <c r="BM2772" i="5"/>
  <c r="BM2773" i="5"/>
  <c r="BM2774" i="5"/>
  <c r="BM2775" i="5"/>
  <c r="BM2776" i="5"/>
  <c r="BM2777" i="5"/>
  <c r="BM2778" i="5"/>
  <c r="BM2779" i="5"/>
  <c r="BM2780" i="5"/>
  <c r="BM2781" i="5"/>
  <c r="BM2782" i="5"/>
  <c r="BM2783" i="5"/>
  <c r="BM2784" i="5"/>
  <c r="BM2785" i="5"/>
  <c r="BM2786" i="5"/>
  <c r="BM2787" i="5"/>
  <c r="BM2788" i="5"/>
  <c r="BM2789" i="5"/>
  <c r="BM2790" i="5"/>
  <c r="BM2791" i="5"/>
  <c r="BM2792" i="5"/>
  <c r="BM2793" i="5"/>
  <c r="BM2794" i="5"/>
  <c r="BM2795" i="5"/>
  <c r="BM2796" i="5"/>
  <c r="BM2797" i="5"/>
  <c r="BM2798" i="5"/>
  <c r="BM2799" i="5"/>
  <c r="BM2800" i="5"/>
  <c r="BM2801" i="5"/>
  <c r="BM2802" i="5"/>
  <c r="BM2803" i="5"/>
  <c r="BM2804" i="5"/>
  <c r="BM2805" i="5"/>
  <c r="BM2806" i="5"/>
  <c r="BN2744" i="5"/>
  <c r="BN2745" i="5"/>
  <c r="BN2746" i="5"/>
  <c r="BN2747" i="5"/>
  <c r="BN2748" i="5"/>
  <c r="BN2749" i="5"/>
  <c r="BN2750" i="5"/>
  <c r="BN2751" i="5"/>
  <c r="BN2752" i="5"/>
  <c r="BN2753" i="5"/>
  <c r="BN2754" i="5"/>
  <c r="BN2755" i="5"/>
  <c r="BN2756" i="5"/>
  <c r="BN2757" i="5"/>
  <c r="BN2758" i="5"/>
  <c r="BN2759" i="5"/>
  <c r="BN2760" i="5"/>
  <c r="BN2761" i="5"/>
  <c r="BN2762" i="5"/>
  <c r="BN2763" i="5"/>
  <c r="BN2764" i="5"/>
  <c r="BN2765" i="5"/>
  <c r="BN2766" i="5"/>
  <c r="BN2767" i="5"/>
  <c r="BN2768" i="5"/>
  <c r="BN2769" i="5"/>
  <c r="BN2770" i="5"/>
  <c r="BN2771" i="5"/>
  <c r="BN2772" i="5"/>
  <c r="BN2773" i="5"/>
  <c r="BN2774" i="5"/>
  <c r="BN2775" i="5"/>
  <c r="BN2776" i="5"/>
  <c r="BN2777" i="5"/>
  <c r="BN2778" i="5"/>
  <c r="BN2779" i="5"/>
  <c r="BN2780" i="5"/>
  <c r="BN2781" i="5"/>
  <c r="BN2782" i="5"/>
  <c r="BN2783" i="5"/>
  <c r="BN2784" i="5"/>
  <c r="BN2785" i="5"/>
  <c r="BN2786" i="5"/>
  <c r="BN2787" i="5"/>
  <c r="BN2788" i="5"/>
  <c r="BN2789" i="5"/>
  <c r="BN2790" i="5"/>
  <c r="BN2791" i="5"/>
  <c r="BN2792" i="5"/>
  <c r="BN2793" i="5"/>
  <c r="BN2794" i="5"/>
  <c r="BN2795" i="5"/>
  <c r="BN2796" i="5"/>
  <c r="BN2797" i="5"/>
  <c r="BN2798" i="5"/>
  <c r="BN2799" i="5"/>
  <c r="BN2800" i="5"/>
  <c r="BN2801" i="5"/>
  <c r="BN2802" i="5"/>
  <c r="BN2803" i="5"/>
  <c r="BN2804" i="5"/>
  <c r="BN2805" i="5"/>
  <c r="BN2806" i="5"/>
  <c r="BO2744" i="5"/>
  <c r="BO2745" i="5"/>
  <c r="BO2746" i="5"/>
  <c r="BO2747" i="5"/>
  <c r="BO2748" i="5"/>
  <c r="BO2749" i="5"/>
  <c r="BO2750" i="5"/>
  <c r="BO2751" i="5"/>
  <c r="BO2752" i="5"/>
  <c r="BO2753" i="5"/>
  <c r="BO2754" i="5"/>
  <c r="BO2755" i="5"/>
  <c r="BO2756" i="5"/>
  <c r="BO2757" i="5"/>
  <c r="BO2758" i="5"/>
  <c r="BO2759" i="5"/>
  <c r="BO2760" i="5"/>
  <c r="BO2761" i="5"/>
  <c r="BO2762" i="5"/>
  <c r="BO2763" i="5"/>
  <c r="BO2764" i="5"/>
  <c r="BO2765" i="5"/>
  <c r="BO2766" i="5"/>
  <c r="BO2767" i="5"/>
  <c r="BO2768" i="5"/>
  <c r="BO2769" i="5"/>
  <c r="BO2770" i="5"/>
  <c r="BO2771" i="5"/>
  <c r="BO2772" i="5"/>
  <c r="BO2773" i="5"/>
  <c r="BO2774" i="5"/>
  <c r="BO2775" i="5"/>
  <c r="BO2776" i="5"/>
  <c r="BO2777" i="5"/>
  <c r="BO2778" i="5"/>
  <c r="BO2779" i="5"/>
  <c r="BO2780" i="5"/>
  <c r="BO2781" i="5"/>
  <c r="BO2782" i="5"/>
  <c r="BO2783" i="5"/>
  <c r="BO2784" i="5"/>
  <c r="BO2785" i="5"/>
  <c r="BO2786" i="5"/>
  <c r="BO2787" i="5"/>
  <c r="BO2788" i="5"/>
  <c r="BO2789" i="5"/>
  <c r="BO2790" i="5"/>
  <c r="BO2791" i="5"/>
  <c r="BO2792" i="5"/>
  <c r="BO2793" i="5"/>
  <c r="BO2794" i="5"/>
  <c r="BO2795" i="5"/>
  <c r="BO2796" i="5"/>
  <c r="BO2797" i="5"/>
  <c r="BO2798" i="5"/>
  <c r="BO2799" i="5"/>
  <c r="BO2800" i="5"/>
  <c r="BO2801" i="5"/>
  <c r="BO2802" i="5"/>
  <c r="BO2803" i="5"/>
  <c r="BO2804" i="5"/>
  <c r="BO2805" i="5"/>
  <c r="BO2806" i="5"/>
  <c r="BP2744" i="5"/>
  <c r="BP2745" i="5"/>
  <c r="BP2746" i="5"/>
  <c r="BP2747" i="5"/>
  <c r="BP2748" i="5"/>
  <c r="BP2749" i="5"/>
  <c r="BP2750" i="5"/>
  <c r="BP2751" i="5"/>
  <c r="BP2752" i="5"/>
  <c r="BP2753" i="5"/>
  <c r="BP2754" i="5"/>
  <c r="BP2755" i="5"/>
  <c r="BP2756" i="5"/>
  <c r="BP2757" i="5"/>
  <c r="BP2758" i="5"/>
  <c r="BP2759" i="5"/>
  <c r="BP2760" i="5"/>
  <c r="BP2761" i="5"/>
  <c r="BP2762" i="5"/>
  <c r="BP2763" i="5"/>
  <c r="BP2764" i="5"/>
  <c r="BP2765" i="5"/>
  <c r="BP2766" i="5"/>
  <c r="BP2767" i="5"/>
  <c r="BP2768" i="5"/>
  <c r="BP2769" i="5"/>
  <c r="BP2770" i="5"/>
  <c r="BP2771" i="5"/>
  <c r="BP2772" i="5"/>
  <c r="BP2773" i="5"/>
  <c r="BP2774" i="5"/>
  <c r="BP2775" i="5"/>
  <c r="BP2776" i="5"/>
  <c r="BP2777" i="5"/>
  <c r="BP2778" i="5"/>
  <c r="BP2779" i="5"/>
  <c r="BP2780" i="5"/>
  <c r="BP2781" i="5"/>
  <c r="BP2782" i="5"/>
  <c r="BP2783" i="5"/>
  <c r="BP2784" i="5"/>
  <c r="BP2785" i="5"/>
  <c r="BP2786" i="5"/>
  <c r="BP2787" i="5"/>
  <c r="BP2788" i="5"/>
  <c r="BP2789" i="5"/>
  <c r="BP2790" i="5"/>
  <c r="BP2791" i="5"/>
  <c r="BP2792" i="5"/>
  <c r="BP2793" i="5"/>
  <c r="BP2794" i="5"/>
  <c r="BP2795" i="5"/>
  <c r="BP2796" i="5"/>
  <c r="BP2797" i="5"/>
  <c r="BP2798" i="5"/>
  <c r="BP2799" i="5"/>
  <c r="BP2800" i="5"/>
  <c r="BP2801" i="5"/>
  <c r="BP2802" i="5"/>
  <c r="BP2803" i="5"/>
  <c r="BP2804" i="5"/>
  <c r="BP2805" i="5"/>
  <c r="BP2806" i="5"/>
  <c r="BQ2744" i="5"/>
  <c r="CB2744" i="5" s="1"/>
  <c r="BQ2745" i="5"/>
  <c r="CB2745" i="5" s="1"/>
  <c r="BQ2746" i="5"/>
  <c r="CB2746" i="5" s="1"/>
  <c r="BQ2747" i="5"/>
  <c r="CB2747" i="5" s="1"/>
  <c r="BQ2748" i="5"/>
  <c r="CB2748" i="5" s="1"/>
  <c r="BQ2749" i="5"/>
  <c r="CB2749" i="5" s="1"/>
  <c r="BQ2750" i="5"/>
  <c r="CB2750" i="5" s="1"/>
  <c r="BQ2751" i="5"/>
  <c r="CB2751" i="5" s="1"/>
  <c r="BQ2752" i="5"/>
  <c r="CB2752" i="5" s="1"/>
  <c r="BQ2753" i="5"/>
  <c r="CB2753" i="5" s="1"/>
  <c r="BQ2754" i="5"/>
  <c r="CB2754" i="5" s="1"/>
  <c r="BQ2755" i="5"/>
  <c r="CB2755" i="5" s="1"/>
  <c r="BQ2756" i="5"/>
  <c r="CB2756" i="5" s="1"/>
  <c r="BQ2757" i="5"/>
  <c r="CB2757" i="5" s="1"/>
  <c r="BQ2758" i="5"/>
  <c r="CB2758" i="5" s="1"/>
  <c r="BQ2759" i="5"/>
  <c r="CB2759" i="5" s="1"/>
  <c r="BQ2760" i="5"/>
  <c r="CB2760" i="5" s="1"/>
  <c r="BQ2761" i="5"/>
  <c r="CB2761" i="5" s="1"/>
  <c r="BQ2762" i="5"/>
  <c r="CB2762" i="5" s="1"/>
  <c r="BQ2763" i="5"/>
  <c r="CB2763" i="5" s="1"/>
  <c r="BQ2764" i="5"/>
  <c r="CB2764" i="5" s="1"/>
  <c r="BQ2765" i="5"/>
  <c r="CB2765" i="5" s="1"/>
  <c r="BQ2766" i="5"/>
  <c r="CB2766" i="5" s="1"/>
  <c r="BQ2767" i="5"/>
  <c r="CB2767" i="5" s="1"/>
  <c r="BQ2768" i="5"/>
  <c r="CB2768" i="5" s="1"/>
  <c r="BQ2769" i="5"/>
  <c r="CB2769" i="5" s="1"/>
  <c r="BQ2770" i="5"/>
  <c r="CB2770" i="5" s="1"/>
  <c r="BQ2771" i="5"/>
  <c r="CB2771" i="5" s="1"/>
  <c r="BQ2772" i="5"/>
  <c r="CB2772" i="5" s="1"/>
  <c r="BQ2773" i="5"/>
  <c r="CB2773" i="5" s="1"/>
  <c r="BQ2774" i="5"/>
  <c r="CB2774" i="5" s="1"/>
  <c r="BQ2775" i="5"/>
  <c r="CB2775" i="5" s="1"/>
  <c r="BQ2776" i="5"/>
  <c r="CB2776" i="5" s="1"/>
  <c r="BQ2777" i="5"/>
  <c r="CB2777" i="5" s="1"/>
  <c r="BQ2778" i="5"/>
  <c r="CB2778" i="5" s="1"/>
  <c r="BQ2779" i="5"/>
  <c r="CB2779" i="5" s="1"/>
  <c r="BQ2780" i="5"/>
  <c r="CB2780" i="5" s="1"/>
  <c r="BQ2781" i="5"/>
  <c r="CB2781" i="5" s="1"/>
  <c r="BQ2782" i="5"/>
  <c r="CB2782" i="5" s="1"/>
  <c r="BQ2783" i="5"/>
  <c r="CB2783" i="5" s="1"/>
  <c r="BQ2784" i="5"/>
  <c r="CB2784" i="5" s="1"/>
  <c r="BQ2785" i="5"/>
  <c r="CB2785" i="5" s="1"/>
  <c r="BQ2786" i="5"/>
  <c r="CB2786" i="5" s="1"/>
  <c r="BQ2787" i="5"/>
  <c r="CB2787" i="5" s="1"/>
  <c r="BQ2788" i="5"/>
  <c r="CB2788" i="5" s="1"/>
  <c r="BQ2789" i="5"/>
  <c r="CB2789" i="5" s="1"/>
  <c r="BQ2790" i="5"/>
  <c r="CB2790" i="5" s="1"/>
  <c r="BQ2791" i="5"/>
  <c r="CB2791" i="5" s="1"/>
  <c r="BQ2792" i="5"/>
  <c r="CB2792" i="5" s="1"/>
  <c r="BQ2793" i="5"/>
  <c r="BQ2794" i="5"/>
  <c r="CB2794" i="5" s="1"/>
  <c r="BQ2795" i="5"/>
  <c r="CB2795" i="5" s="1"/>
  <c r="BQ2796" i="5"/>
  <c r="CB2796" i="5" s="1"/>
  <c r="BQ2797" i="5"/>
  <c r="CB2797" i="5" s="1"/>
  <c r="BQ2798" i="5"/>
  <c r="CB2798" i="5" s="1"/>
  <c r="BQ2799" i="5"/>
  <c r="CB2799" i="5" s="1"/>
  <c r="BQ2800" i="5"/>
  <c r="CB2800" i="5" s="1"/>
  <c r="BQ2801" i="5"/>
  <c r="CB2801" i="5" s="1"/>
  <c r="BQ2802" i="5"/>
  <c r="CB2802" i="5" s="1"/>
  <c r="BQ2803" i="5"/>
  <c r="CB2803" i="5" s="1"/>
  <c r="BQ2804" i="5"/>
  <c r="CB2804" i="5" s="1"/>
  <c r="BQ2805" i="5"/>
  <c r="CB2805" i="5" s="1"/>
  <c r="BQ2806" i="5"/>
  <c r="CB2806" i="5" s="1"/>
  <c r="BT2744" i="5"/>
  <c r="BT2745" i="5"/>
  <c r="BT2746" i="5"/>
  <c r="BT2747" i="5"/>
  <c r="BT2748" i="5"/>
  <c r="BT2749" i="5"/>
  <c r="BT2750" i="5"/>
  <c r="BT2751" i="5"/>
  <c r="BT2752" i="5"/>
  <c r="BT2753" i="5"/>
  <c r="BT2754" i="5"/>
  <c r="BT2755" i="5"/>
  <c r="BT2756" i="5"/>
  <c r="BT2757" i="5"/>
  <c r="BT2758" i="5"/>
  <c r="BT2759" i="5"/>
  <c r="BT2760" i="5"/>
  <c r="BT2761" i="5"/>
  <c r="BT2762" i="5"/>
  <c r="BT2763" i="5"/>
  <c r="BT2764" i="5"/>
  <c r="BT2765" i="5"/>
  <c r="BT2766" i="5"/>
  <c r="BT2767" i="5"/>
  <c r="BT2768" i="5"/>
  <c r="BT2769" i="5"/>
  <c r="BT2770" i="5"/>
  <c r="BT2771" i="5"/>
  <c r="BT2772" i="5"/>
  <c r="BT2773" i="5"/>
  <c r="BT2774" i="5"/>
  <c r="BT2775" i="5"/>
  <c r="BT2776" i="5"/>
  <c r="BT2777" i="5"/>
  <c r="BT2778" i="5"/>
  <c r="BT2779" i="5"/>
  <c r="BT2780" i="5"/>
  <c r="BT2781" i="5"/>
  <c r="BT2782" i="5"/>
  <c r="BT2783" i="5"/>
  <c r="BT2784" i="5"/>
  <c r="BT2785" i="5"/>
  <c r="BT2786" i="5"/>
  <c r="BT2787" i="5"/>
  <c r="BT2788" i="5"/>
  <c r="BT2789" i="5"/>
  <c r="BT2790" i="5"/>
  <c r="BT2791" i="5"/>
  <c r="BT2792" i="5"/>
  <c r="BT2793" i="5"/>
  <c r="BT2794" i="5"/>
  <c r="BT2795" i="5"/>
  <c r="BT2796" i="5"/>
  <c r="BT2797" i="5"/>
  <c r="BT2798" i="5"/>
  <c r="BT2799" i="5"/>
  <c r="BT2800" i="5"/>
  <c r="BT2801" i="5"/>
  <c r="BT2802" i="5"/>
  <c r="BT2803" i="5"/>
  <c r="BT2804" i="5"/>
  <c r="BT2805" i="5"/>
  <c r="BT2806" i="5"/>
  <c r="BU2744" i="5"/>
  <c r="BU2745" i="5"/>
  <c r="BU2746" i="5"/>
  <c r="BU2747" i="5"/>
  <c r="BU2748" i="5"/>
  <c r="BU2749" i="5"/>
  <c r="BU2750" i="5"/>
  <c r="BU2751" i="5"/>
  <c r="BU2752" i="5"/>
  <c r="BU2753" i="5"/>
  <c r="BU2754" i="5"/>
  <c r="BU2755" i="5"/>
  <c r="BU2756" i="5"/>
  <c r="BU2757" i="5"/>
  <c r="BU2758" i="5"/>
  <c r="BU2759" i="5"/>
  <c r="BU2760" i="5"/>
  <c r="BU2761" i="5"/>
  <c r="BU2762" i="5"/>
  <c r="BU2763" i="5"/>
  <c r="BU2764" i="5"/>
  <c r="BU2765" i="5"/>
  <c r="BU2766" i="5"/>
  <c r="BU2767" i="5"/>
  <c r="BU2768" i="5"/>
  <c r="BU2769" i="5"/>
  <c r="BU2770" i="5"/>
  <c r="BU2771" i="5"/>
  <c r="BU2772" i="5"/>
  <c r="BU2773" i="5"/>
  <c r="BU2774" i="5"/>
  <c r="BU2775" i="5"/>
  <c r="BU2776" i="5"/>
  <c r="BU2777" i="5"/>
  <c r="BU2778" i="5"/>
  <c r="BU2779" i="5"/>
  <c r="BU2780" i="5"/>
  <c r="BU2781" i="5"/>
  <c r="BU2782" i="5"/>
  <c r="BU2783" i="5"/>
  <c r="BU2784" i="5"/>
  <c r="BU2785" i="5"/>
  <c r="BU2786" i="5"/>
  <c r="BU2787" i="5"/>
  <c r="BU2788" i="5"/>
  <c r="BU2789" i="5"/>
  <c r="BU2790" i="5"/>
  <c r="BU2791" i="5"/>
  <c r="BU2792" i="5"/>
  <c r="BU2793" i="5"/>
  <c r="BU2794" i="5"/>
  <c r="BU2795" i="5"/>
  <c r="BU2796" i="5"/>
  <c r="BU2797" i="5"/>
  <c r="BU2798" i="5"/>
  <c r="BU2799" i="5"/>
  <c r="BU2800" i="5"/>
  <c r="BU2801" i="5"/>
  <c r="BU2802" i="5"/>
  <c r="BU2803" i="5"/>
  <c r="BU2804" i="5"/>
  <c r="BU2805" i="5"/>
  <c r="BU2806" i="5"/>
  <c r="BV2744" i="5"/>
  <c r="BV2745" i="5"/>
  <c r="BV2746" i="5"/>
  <c r="BV2747" i="5"/>
  <c r="BV2748" i="5"/>
  <c r="BV2749" i="5"/>
  <c r="BV2750" i="5"/>
  <c r="BV2751" i="5"/>
  <c r="BV2752" i="5"/>
  <c r="BV2753" i="5"/>
  <c r="BV2754" i="5"/>
  <c r="BV2755" i="5"/>
  <c r="BV2756" i="5"/>
  <c r="BV2757" i="5"/>
  <c r="BV2758" i="5"/>
  <c r="BV2759" i="5"/>
  <c r="BV2760" i="5"/>
  <c r="BV2761" i="5"/>
  <c r="BV2762" i="5"/>
  <c r="BV2763" i="5"/>
  <c r="BV2764" i="5"/>
  <c r="BV2765" i="5"/>
  <c r="BV2766" i="5"/>
  <c r="BV2767" i="5"/>
  <c r="BV2768" i="5"/>
  <c r="BV2769" i="5"/>
  <c r="BV2770" i="5"/>
  <c r="BV2771" i="5"/>
  <c r="BV2772" i="5"/>
  <c r="BV2773" i="5"/>
  <c r="BV2774" i="5"/>
  <c r="BV2775" i="5"/>
  <c r="BV2776" i="5"/>
  <c r="BV2777" i="5"/>
  <c r="BV2778" i="5"/>
  <c r="BV2779" i="5"/>
  <c r="BV2780" i="5"/>
  <c r="BV2781" i="5"/>
  <c r="BV2782" i="5"/>
  <c r="BV2783" i="5"/>
  <c r="BV2784" i="5"/>
  <c r="BV2785" i="5"/>
  <c r="BV2786" i="5"/>
  <c r="BV2787" i="5"/>
  <c r="BV2788" i="5"/>
  <c r="BV2789" i="5"/>
  <c r="BV2790" i="5"/>
  <c r="BV2791" i="5"/>
  <c r="BV2792" i="5"/>
  <c r="BV2793" i="5"/>
  <c r="BV2794" i="5"/>
  <c r="BV2795" i="5"/>
  <c r="BV2796" i="5"/>
  <c r="BV2797" i="5"/>
  <c r="BV2798" i="5"/>
  <c r="BV2799" i="5"/>
  <c r="BV2800" i="5"/>
  <c r="BV2801" i="5"/>
  <c r="BV2802" i="5"/>
  <c r="BV2803" i="5"/>
  <c r="BV2804" i="5"/>
  <c r="BV2805" i="5"/>
  <c r="BV2806" i="5"/>
  <c r="BW2744" i="5"/>
  <c r="BW2745" i="5"/>
  <c r="BW2746" i="5"/>
  <c r="BW2747" i="5"/>
  <c r="BW2748" i="5"/>
  <c r="BW2749" i="5"/>
  <c r="BW2750" i="5"/>
  <c r="BW2751" i="5"/>
  <c r="BW2752" i="5"/>
  <c r="BW2753" i="5"/>
  <c r="BW2754" i="5"/>
  <c r="BW2755" i="5"/>
  <c r="BW2756" i="5"/>
  <c r="BW2757" i="5"/>
  <c r="BW2758" i="5"/>
  <c r="BW2759" i="5"/>
  <c r="BW2760" i="5"/>
  <c r="BW2761" i="5"/>
  <c r="BW2762" i="5"/>
  <c r="BW2763" i="5"/>
  <c r="BW2764" i="5"/>
  <c r="BW2765" i="5"/>
  <c r="BW2766" i="5"/>
  <c r="BW2767" i="5"/>
  <c r="BW2768" i="5"/>
  <c r="BW2769" i="5"/>
  <c r="BW2770" i="5"/>
  <c r="BW2771" i="5"/>
  <c r="BW2772" i="5"/>
  <c r="BW2773" i="5"/>
  <c r="BW2774" i="5"/>
  <c r="BW2775" i="5"/>
  <c r="BW2776" i="5"/>
  <c r="BW2777" i="5"/>
  <c r="BW2778" i="5"/>
  <c r="BW2779" i="5"/>
  <c r="BW2780" i="5"/>
  <c r="BW2781" i="5"/>
  <c r="BW2782" i="5"/>
  <c r="BW2783" i="5"/>
  <c r="BW2784" i="5"/>
  <c r="BW2785" i="5"/>
  <c r="BW2786" i="5"/>
  <c r="BW2787" i="5"/>
  <c r="BW2788" i="5"/>
  <c r="BW2789" i="5"/>
  <c r="BW2790" i="5"/>
  <c r="BW2791" i="5"/>
  <c r="BW2792" i="5"/>
  <c r="BW2793" i="5"/>
  <c r="BW2794" i="5"/>
  <c r="BW2795" i="5"/>
  <c r="BW2796" i="5"/>
  <c r="BW2797" i="5"/>
  <c r="BW2798" i="5"/>
  <c r="BW2799" i="5"/>
  <c r="BW2800" i="5"/>
  <c r="BW2801" i="5"/>
  <c r="BW2802" i="5"/>
  <c r="BW2803" i="5"/>
  <c r="BW2804" i="5"/>
  <c r="BW2805" i="5"/>
  <c r="BW2806" i="5"/>
  <c r="CB2793" i="5"/>
  <c r="BO2" i="5"/>
  <c r="BO3" i="5"/>
  <c r="BO4" i="5"/>
  <c r="BO5" i="5"/>
  <c r="BO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O187" i="5"/>
  <c r="BO188" i="5"/>
  <c r="BO189" i="5"/>
  <c r="BO190" i="5"/>
  <c r="BO191" i="5"/>
  <c r="BO192" i="5"/>
  <c r="BO193" i="5"/>
  <c r="BO194" i="5"/>
  <c r="BO195" i="5"/>
  <c r="BO196" i="5"/>
  <c r="BO197" i="5"/>
  <c r="BO198" i="5"/>
  <c r="BO199" i="5"/>
  <c r="BO200" i="5"/>
  <c r="BO201" i="5"/>
  <c r="BO202" i="5"/>
  <c r="BO203" i="5"/>
  <c r="BO204" i="5"/>
  <c r="BO205" i="5"/>
  <c r="BO206" i="5"/>
  <c r="BO207" i="5"/>
  <c r="BO208" i="5"/>
  <c r="BO209" i="5"/>
  <c r="BO210" i="5"/>
  <c r="BO211" i="5"/>
  <c r="BO212" i="5"/>
  <c r="BO213" i="5"/>
  <c r="BO214" i="5"/>
  <c r="BO215" i="5"/>
  <c r="BO216" i="5"/>
  <c r="BO217" i="5"/>
  <c r="BO218" i="5"/>
  <c r="BO219" i="5"/>
  <c r="BO220" i="5"/>
  <c r="BO221" i="5"/>
  <c r="BO222" i="5"/>
  <c r="BO223" i="5"/>
  <c r="BO224" i="5"/>
  <c r="BO225" i="5"/>
  <c r="BO226" i="5"/>
  <c r="BO227" i="5"/>
  <c r="BO228" i="5"/>
  <c r="BO229" i="5"/>
  <c r="BO230" i="5"/>
  <c r="BO231" i="5"/>
  <c r="BO232" i="5"/>
  <c r="BO233" i="5"/>
  <c r="BO234" i="5"/>
  <c r="BO235" i="5"/>
  <c r="BO236" i="5"/>
  <c r="BO237" i="5"/>
  <c r="BO238" i="5"/>
  <c r="BO239" i="5"/>
  <c r="BO240" i="5"/>
  <c r="BO241" i="5"/>
  <c r="BO242" i="5"/>
  <c r="BO243" i="5"/>
  <c r="BO244" i="5"/>
  <c r="BO245" i="5"/>
  <c r="BO246" i="5"/>
  <c r="BO247" i="5"/>
  <c r="BO248" i="5"/>
  <c r="BO249" i="5"/>
  <c r="BO250" i="5"/>
  <c r="BO251" i="5"/>
  <c r="BO252" i="5"/>
  <c r="BO253" i="5"/>
  <c r="BO254" i="5"/>
  <c r="BO255" i="5"/>
  <c r="BO256" i="5"/>
  <c r="BO257" i="5"/>
  <c r="BO258" i="5"/>
  <c r="BO259" i="5"/>
  <c r="BO260" i="5"/>
  <c r="BO261" i="5"/>
  <c r="BO262" i="5"/>
  <c r="BO263" i="5"/>
  <c r="BO264" i="5"/>
  <c r="BO265" i="5"/>
  <c r="BO266" i="5"/>
  <c r="BO267" i="5"/>
  <c r="BO268" i="5"/>
  <c r="BO269" i="5"/>
  <c r="BO270" i="5"/>
  <c r="BO271" i="5"/>
  <c r="BO272" i="5"/>
  <c r="BO273" i="5"/>
  <c r="BO274" i="5"/>
  <c r="BO275" i="5"/>
  <c r="BO276" i="5"/>
  <c r="BO277" i="5"/>
  <c r="BO278" i="5"/>
  <c r="BO279" i="5"/>
  <c r="BO280" i="5"/>
  <c r="BO281" i="5"/>
  <c r="BO282" i="5"/>
  <c r="BO283" i="5"/>
  <c r="BO284" i="5"/>
  <c r="BO285" i="5"/>
  <c r="BO286" i="5"/>
  <c r="BO287" i="5"/>
  <c r="BO288" i="5"/>
  <c r="BO289" i="5"/>
  <c r="BO290" i="5"/>
  <c r="BO291" i="5"/>
  <c r="BO292" i="5"/>
  <c r="BO293" i="5"/>
  <c r="BO294" i="5"/>
  <c r="BO295" i="5"/>
  <c r="BO296" i="5"/>
  <c r="BO297" i="5"/>
  <c r="BO298" i="5"/>
  <c r="BO299" i="5"/>
  <c r="BO300" i="5"/>
  <c r="BO301" i="5"/>
  <c r="BO302" i="5"/>
  <c r="BO303" i="5"/>
  <c r="BO304" i="5"/>
  <c r="BO305" i="5"/>
  <c r="BO306" i="5"/>
  <c r="BO307" i="5"/>
  <c r="BO308" i="5"/>
  <c r="BO309" i="5"/>
  <c r="BO310" i="5"/>
  <c r="BO311" i="5"/>
  <c r="BO312" i="5"/>
  <c r="BO313" i="5"/>
  <c r="BO314" i="5"/>
  <c r="BO315" i="5"/>
  <c r="BO316" i="5"/>
  <c r="BO317" i="5"/>
  <c r="BO318" i="5"/>
  <c r="BO319" i="5"/>
  <c r="BO320" i="5"/>
  <c r="BO321" i="5"/>
  <c r="BO322" i="5"/>
  <c r="BO323" i="5"/>
  <c r="BO324" i="5"/>
  <c r="BO325" i="5"/>
  <c r="BO326" i="5"/>
  <c r="BO327" i="5"/>
  <c r="BO328" i="5"/>
  <c r="BO329" i="5"/>
  <c r="BO330" i="5"/>
  <c r="BO331" i="5"/>
  <c r="BO332" i="5"/>
  <c r="BO333" i="5"/>
  <c r="BO334" i="5"/>
  <c r="BO335" i="5"/>
  <c r="BO336" i="5"/>
  <c r="BO337" i="5"/>
  <c r="BO338" i="5"/>
  <c r="BO339" i="5"/>
  <c r="BO340" i="5"/>
  <c r="BO341" i="5"/>
  <c r="BO342" i="5"/>
  <c r="BO343" i="5"/>
  <c r="BO344" i="5"/>
  <c r="BO345" i="5"/>
  <c r="BO346" i="5"/>
  <c r="BO347" i="5"/>
  <c r="BO348" i="5"/>
  <c r="BO349" i="5"/>
  <c r="BO350" i="5"/>
  <c r="BO351" i="5"/>
  <c r="BO352" i="5"/>
  <c r="BO353" i="5"/>
  <c r="BO354" i="5"/>
  <c r="BO355" i="5"/>
  <c r="BO356" i="5"/>
  <c r="BO357" i="5"/>
  <c r="BO358" i="5"/>
  <c r="BO359" i="5"/>
  <c r="BO360" i="5"/>
  <c r="BO361" i="5"/>
  <c r="BO362" i="5"/>
  <c r="BO363" i="5"/>
  <c r="BO364" i="5"/>
  <c r="BO365" i="5"/>
  <c r="BO366" i="5"/>
  <c r="BO367" i="5"/>
  <c r="BO368" i="5"/>
  <c r="BO369" i="5"/>
  <c r="BO370" i="5"/>
  <c r="BO371" i="5"/>
  <c r="BO372" i="5"/>
  <c r="BO373" i="5"/>
  <c r="BO374" i="5"/>
  <c r="BO375" i="5"/>
  <c r="BO376" i="5"/>
  <c r="BO377" i="5"/>
  <c r="BO378" i="5"/>
  <c r="BO379" i="5"/>
  <c r="BO380" i="5"/>
  <c r="BO381" i="5"/>
  <c r="BO382" i="5"/>
  <c r="BO383" i="5"/>
  <c r="BO384" i="5"/>
  <c r="BO385" i="5"/>
  <c r="BO386" i="5"/>
  <c r="BO387" i="5"/>
  <c r="BO388" i="5"/>
  <c r="BO389" i="5"/>
  <c r="BO390" i="5"/>
  <c r="BO391" i="5"/>
  <c r="BO392" i="5"/>
  <c r="BO393" i="5"/>
  <c r="BO394" i="5"/>
  <c r="BO395" i="5"/>
  <c r="BO396" i="5"/>
  <c r="BO397" i="5"/>
  <c r="BO398" i="5"/>
  <c r="BO399" i="5"/>
  <c r="BO400" i="5"/>
  <c r="BO401" i="5"/>
  <c r="BO402" i="5"/>
  <c r="BO403" i="5"/>
  <c r="BO404" i="5"/>
  <c r="BO405" i="5"/>
  <c r="BO406" i="5"/>
  <c r="BO407" i="5"/>
  <c r="BO408" i="5"/>
  <c r="BO409" i="5"/>
  <c r="BO410" i="5"/>
  <c r="BO411" i="5"/>
  <c r="BO412" i="5"/>
  <c r="BO413" i="5"/>
  <c r="BO414" i="5"/>
  <c r="BO415" i="5"/>
  <c r="BO416" i="5"/>
  <c r="BO417" i="5"/>
  <c r="BO418" i="5"/>
  <c r="BO419" i="5"/>
  <c r="BO420" i="5"/>
  <c r="BO421" i="5"/>
  <c r="BO422" i="5"/>
  <c r="BO423" i="5"/>
  <c r="BO424" i="5"/>
  <c r="BO425" i="5"/>
  <c r="BO426" i="5"/>
  <c r="BO427" i="5"/>
  <c r="BO428" i="5"/>
  <c r="BO429" i="5"/>
  <c r="BO430" i="5"/>
  <c r="BO431" i="5"/>
  <c r="BO432" i="5"/>
  <c r="BO433" i="5"/>
  <c r="BO434" i="5"/>
  <c r="BO435" i="5"/>
  <c r="BO436" i="5"/>
  <c r="BO437" i="5"/>
  <c r="BO438" i="5"/>
  <c r="BO439" i="5"/>
  <c r="BO440" i="5"/>
  <c r="BO441" i="5"/>
  <c r="BO442" i="5"/>
  <c r="BO443" i="5"/>
  <c r="BO444" i="5"/>
  <c r="BO445" i="5"/>
  <c r="BO446" i="5"/>
  <c r="BO447" i="5"/>
  <c r="BO448" i="5"/>
  <c r="BO449" i="5"/>
  <c r="BO450" i="5"/>
  <c r="BO451" i="5"/>
  <c r="BO452" i="5"/>
  <c r="BO453" i="5"/>
  <c r="BO454" i="5"/>
  <c r="BO455" i="5"/>
  <c r="BO456" i="5"/>
  <c r="BO457" i="5"/>
  <c r="BO458" i="5"/>
  <c r="BO459" i="5"/>
  <c r="BO460" i="5"/>
  <c r="BO461" i="5"/>
  <c r="BO462" i="5"/>
  <c r="BO463" i="5"/>
  <c r="BO464" i="5"/>
  <c r="BO465" i="5"/>
  <c r="BO466" i="5"/>
  <c r="BO467" i="5"/>
  <c r="BO468" i="5"/>
  <c r="BO469" i="5"/>
  <c r="BO470" i="5"/>
  <c r="BO471" i="5"/>
  <c r="BO472" i="5"/>
  <c r="BO473" i="5"/>
  <c r="BO474" i="5"/>
  <c r="BO475" i="5"/>
  <c r="BO476" i="5"/>
  <c r="BO477" i="5"/>
  <c r="BO478" i="5"/>
  <c r="BO479" i="5"/>
  <c r="BO480" i="5"/>
  <c r="BO481" i="5"/>
  <c r="BO482" i="5"/>
  <c r="BO483" i="5"/>
  <c r="BO484" i="5"/>
  <c r="BO485" i="5"/>
  <c r="BO486" i="5"/>
  <c r="BO487" i="5"/>
  <c r="BO488" i="5"/>
  <c r="BO489" i="5"/>
  <c r="BO490" i="5"/>
  <c r="BO491" i="5"/>
  <c r="BO492" i="5"/>
  <c r="BO493" i="5"/>
  <c r="BO494" i="5"/>
  <c r="BO495" i="5"/>
  <c r="BO496" i="5"/>
  <c r="BO497" i="5"/>
  <c r="BO498" i="5"/>
  <c r="BO499" i="5"/>
  <c r="BO500" i="5"/>
  <c r="BO501" i="5"/>
  <c r="BO502" i="5"/>
  <c r="BO503" i="5"/>
  <c r="BO504" i="5"/>
  <c r="BO505" i="5"/>
  <c r="BO506" i="5"/>
  <c r="BO507" i="5"/>
  <c r="BO508" i="5"/>
  <c r="BO509" i="5"/>
  <c r="BO510" i="5"/>
  <c r="BO511" i="5"/>
  <c r="BO512" i="5"/>
  <c r="BO513" i="5"/>
  <c r="BO514" i="5"/>
  <c r="BO515" i="5"/>
  <c r="BO516" i="5"/>
  <c r="BO517" i="5"/>
  <c r="BO518" i="5"/>
  <c r="BO519" i="5"/>
  <c r="BO520" i="5"/>
  <c r="BO521" i="5"/>
  <c r="BO522" i="5"/>
  <c r="BO523" i="5"/>
  <c r="BO524" i="5"/>
  <c r="BO525" i="5"/>
  <c r="BO526" i="5"/>
  <c r="BO527" i="5"/>
  <c r="BO528" i="5"/>
  <c r="BO529" i="5"/>
  <c r="BO530" i="5"/>
  <c r="BO531" i="5"/>
  <c r="BO532" i="5"/>
  <c r="BO533" i="5"/>
  <c r="BO534" i="5"/>
  <c r="BO535" i="5"/>
  <c r="BO536" i="5"/>
  <c r="BO537" i="5"/>
  <c r="BO538" i="5"/>
  <c r="BO539" i="5"/>
  <c r="BO540" i="5"/>
  <c r="BO541" i="5"/>
  <c r="BO542" i="5"/>
  <c r="BO543" i="5"/>
  <c r="BO544" i="5"/>
  <c r="BO545" i="5"/>
  <c r="BO546" i="5"/>
  <c r="BO547" i="5"/>
  <c r="BO548" i="5"/>
  <c r="BO549" i="5"/>
  <c r="BO550" i="5"/>
  <c r="BO551" i="5"/>
  <c r="BO552" i="5"/>
  <c r="BO553" i="5"/>
  <c r="BO554" i="5"/>
  <c r="BO555" i="5"/>
  <c r="BO556" i="5"/>
  <c r="BO557" i="5"/>
  <c r="BO558" i="5"/>
  <c r="BO559" i="5"/>
  <c r="BO560" i="5"/>
  <c r="BO561" i="5"/>
  <c r="BO562" i="5"/>
  <c r="BO563" i="5"/>
  <c r="BO564" i="5"/>
  <c r="BO565" i="5"/>
  <c r="BO566" i="5"/>
  <c r="BO567" i="5"/>
  <c r="BO568" i="5"/>
  <c r="BO569" i="5"/>
  <c r="BO570" i="5"/>
  <c r="BO571" i="5"/>
  <c r="BO572" i="5"/>
  <c r="BO573" i="5"/>
  <c r="BO574" i="5"/>
  <c r="BO575" i="5"/>
  <c r="BO576" i="5"/>
  <c r="BO577" i="5"/>
  <c r="BO578" i="5"/>
  <c r="BO579" i="5"/>
  <c r="BO580" i="5"/>
  <c r="BO581" i="5"/>
  <c r="BO582" i="5"/>
  <c r="BO583" i="5"/>
  <c r="BO584" i="5"/>
  <c r="BO585" i="5"/>
  <c r="BO586" i="5"/>
  <c r="BO587" i="5"/>
  <c r="BO588" i="5"/>
  <c r="BO589" i="5"/>
  <c r="BO590" i="5"/>
  <c r="BO591" i="5"/>
  <c r="BO592" i="5"/>
  <c r="BO593" i="5"/>
  <c r="BO594" i="5"/>
  <c r="BO595" i="5"/>
  <c r="BO596" i="5"/>
  <c r="BO597" i="5"/>
  <c r="BO598" i="5"/>
  <c r="BO599" i="5"/>
  <c r="BO600" i="5"/>
  <c r="BO601" i="5"/>
  <c r="BO602" i="5"/>
  <c r="BO603" i="5"/>
  <c r="BO604" i="5"/>
  <c r="BO605" i="5"/>
  <c r="BO606" i="5"/>
  <c r="BO607" i="5"/>
  <c r="BO608" i="5"/>
  <c r="BO609" i="5"/>
  <c r="BO610" i="5"/>
  <c r="BO611" i="5"/>
  <c r="BO612" i="5"/>
  <c r="BO613" i="5"/>
  <c r="BO614" i="5"/>
  <c r="BO615" i="5"/>
  <c r="BO616" i="5"/>
  <c r="BO617" i="5"/>
  <c r="BO618" i="5"/>
  <c r="BO619" i="5"/>
  <c r="BO620" i="5"/>
  <c r="BO621" i="5"/>
  <c r="BO622" i="5"/>
  <c r="BO623" i="5"/>
  <c r="BO624" i="5"/>
  <c r="BO625" i="5"/>
  <c r="BO626" i="5"/>
  <c r="BO627" i="5"/>
  <c r="BO628" i="5"/>
  <c r="BO629" i="5"/>
  <c r="BO630" i="5"/>
  <c r="BO631" i="5"/>
  <c r="BO632" i="5"/>
  <c r="BO633" i="5"/>
  <c r="BO634" i="5"/>
  <c r="BO635" i="5"/>
  <c r="BO636" i="5"/>
  <c r="BO637" i="5"/>
  <c r="BO638" i="5"/>
  <c r="BO639" i="5"/>
  <c r="BO640" i="5"/>
  <c r="BO641" i="5"/>
  <c r="BO642" i="5"/>
  <c r="BO643" i="5"/>
  <c r="BO644" i="5"/>
  <c r="BO645" i="5"/>
  <c r="BO646" i="5"/>
  <c r="BO647" i="5"/>
  <c r="BO648" i="5"/>
  <c r="BO649" i="5"/>
  <c r="BO650" i="5"/>
  <c r="BO651" i="5"/>
  <c r="BO652" i="5"/>
  <c r="BO653" i="5"/>
  <c r="BO654" i="5"/>
  <c r="BO655" i="5"/>
  <c r="BO656" i="5"/>
  <c r="BO657" i="5"/>
  <c r="BO658" i="5"/>
  <c r="BO659" i="5"/>
  <c r="BO660" i="5"/>
  <c r="BO661" i="5"/>
  <c r="BO662" i="5"/>
  <c r="BO663" i="5"/>
  <c r="BO664" i="5"/>
  <c r="BO665" i="5"/>
  <c r="BO666" i="5"/>
  <c r="BO667" i="5"/>
  <c r="BO668" i="5"/>
  <c r="BO669" i="5"/>
  <c r="BO670" i="5"/>
  <c r="BO671" i="5"/>
  <c r="BO672" i="5"/>
  <c r="BO673" i="5"/>
  <c r="BO674" i="5"/>
  <c r="BO675" i="5"/>
  <c r="BO676" i="5"/>
  <c r="BO677" i="5"/>
  <c r="BO678" i="5"/>
  <c r="BO679" i="5"/>
  <c r="BO680" i="5"/>
  <c r="BO681" i="5"/>
  <c r="BO682" i="5"/>
  <c r="BO683" i="5"/>
  <c r="BO684" i="5"/>
  <c r="BO685" i="5"/>
  <c r="BO686" i="5"/>
  <c r="BO687" i="5"/>
  <c r="BO688" i="5"/>
  <c r="BO689" i="5"/>
  <c r="BO690" i="5"/>
  <c r="BO691" i="5"/>
  <c r="BO692" i="5"/>
  <c r="BO693" i="5"/>
  <c r="BO694" i="5"/>
  <c r="BO695" i="5"/>
  <c r="BO696" i="5"/>
  <c r="BO697" i="5"/>
  <c r="BO698" i="5"/>
  <c r="BO699" i="5"/>
  <c r="BO700" i="5"/>
  <c r="BO701" i="5"/>
  <c r="BO702" i="5"/>
  <c r="BO703" i="5"/>
  <c r="BO704" i="5"/>
  <c r="BO705" i="5"/>
  <c r="BO706" i="5"/>
  <c r="BO707" i="5"/>
  <c r="BO708" i="5"/>
  <c r="BO709" i="5"/>
  <c r="BO710" i="5"/>
  <c r="BO711" i="5"/>
  <c r="BO712" i="5"/>
  <c r="BO713" i="5"/>
  <c r="BO714" i="5"/>
  <c r="BO715" i="5"/>
  <c r="BO716" i="5"/>
  <c r="BO717" i="5"/>
  <c r="BO718" i="5"/>
  <c r="BO719" i="5"/>
  <c r="BO720" i="5"/>
  <c r="BO721" i="5"/>
  <c r="BO722" i="5"/>
  <c r="BO723" i="5"/>
  <c r="BO724" i="5"/>
  <c r="BO725" i="5"/>
  <c r="BO726" i="5"/>
  <c r="BO727" i="5"/>
  <c r="BO728" i="5"/>
  <c r="BO729" i="5"/>
  <c r="BO730" i="5"/>
  <c r="BO731" i="5"/>
  <c r="BO732" i="5"/>
  <c r="BO733" i="5"/>
  <c r="BO734" i="5"/>
  <c r="BO735" i="5"/>
  <c r="BO736" i="5"/>
  <c r="BO737" i="5"/>
  <c r="BO738" i="5"/>
  <c r="BO739" i="5"/>
  <c r="BO740" i="5"/>
  <c r="BO741" i="5"/>
  <c r="BO742" i="5"/>
  <c r="BO743" i="5"/>
  <c r="BO744" i="5"/>
  <c r="BO745" i="5"/>
  <c r="BO746" i="5"/>
  <c r="BO747" i="5"/>
  <c r="BO748" i="5"/>
  <c r="BO749" i="5"/>
  <c r="BO750" i="5"/>
  <c r="BO751" i="5"/>
  <c r="BO752" i="5"/>
  <c r="BO753" i="5"/>
  <c r="BO754" i="5"/>
  <c r="BO755" i="5"/>
  <c r="BO756" i="5"/>
  <c r="BO757" i="5"/>
  <c r="BO758" i="5"/>
  <c r="BO759" i="5"/>
  <c r="BO760" i="5"/>
  <c r="BO761" i="5"/>
  <c r="BO762" i="5"/>
  <c r="BO763" i="5"/>
  <c r="BO764" i="5"/>
  <c r="BO765" i="5"/>
  <c r="BO766" i="5"/>
  <c r="BO767" i="5"/>
  <c r="BO768" i="5"/>
  <c r="BO769" i="5"/>
  <c r="BO770" i="5"/>
  <c r="BO771" i="5"/>
  <c r="BO772" i="5"/>
  <c r="BO773" i="5"/>
  <c r="BO774" i="5"/>
  <c r="BO775" i="5"/>
  <c r="BO776" i="5"/>
  <c r="BO777" i="5"/>
  <c r="BO778" i="5"/>
  <c r="BO779" i="5"/>
  <c r="BO780" i="5"/>
  <c r="BO781" i="5"/>
  <c r="BO782" i="5"/>
  <c r="BO783" i="5"/>
  <c r="BO784" i="5"/>
  <c r="BO785" i="5"/>
  <c r="BO786" i="5"/>
  <c r="BO787" i="5"/>
  <c r="BO788" i="5"/>
  <c r="BO789" i="5"/>
  <c r="BO790" i="5"/>
  <c r="BO791" i="5"/>
  <c r="BO792" i="5"/>
  <c r="BO793" i="5"/>
  <c r="BO794" i="5"/>
  <c r="BO795" i="5"/>
  <c r="BO796" i="5"/>
  <c r="BO797" i="5"/>
  <c r="BO798" i="5"/>
  <c r="BO799" i="5"/>
  <c r="BO800" i="5"/>
  <c r="BO801" i="5"/>
  <c r="BO802" i="5"/>
  <c r="BO803" i="5"/>
  <c r="BO804" i="5"/>
  <c r="BO805" i="5"/>
  <c r="BO806" i="5"/>
  <c r="BO807" i="5"/>
  <c r="BO808" i="5"/>
  <c r="BO809" i="5"/>
  <c r="BO810" i="5"/>
  <c r="BO811" i="5"/>
  <c r="BO812" i="5"/>
  <c r="BO813" i="5"/>
  <c r="BO814" i="5"/>
  <c r="BO815" i="5"/>
  <c r="BO816" i="5"/>
  <c r="BO817" i="5"/>
  <c r="BO818" i="5"/>
  <c r="BO819" i="5"/>
  <c r="BO820" i="5"/>
  <c r="BO821" i="5"/>
  <c r="BO822" i="5"/>
  <c r="BO823" i="5"/>
  <c r="BO824" i="5"/>
  <c r="BO825" i="5"/>
  <c r="BO826" i="5"/>
  <c r="BO827" i="5"/>
  <c r="BO828" i="5"/>
  <c r="BO829" i="5"/>
  <c r="BO830" i="5"/>
  <c r="BO831" i="5"/>
  <c r="BO832" i="5"/>
  <c r="BO833" i="5"/>
  <c r="BO834" i="5"/>
  <c r="BO835" i="5"/>
  <c r="BO836" i="5"/>
  <c r="BO837" i="5"/>
  <c r="BO838" i="5"/>
  <c r="BO839" i="5"/>
  <c r="BO840" i="5"/>
  <c r="BO841" i="5"/>
  <c r="BO842" i="5"/>
  <c r="BO843" i="5"/>
  <c r="BO844" i="5"/>
  <c r="BO845" i="5"/>
  <c r="BO846" i="5"/>
  <c r="BO847" i="5"/>
  <c r="BO848" i="5"/>
  <c r="BO849" i="5"/>
  <c r="BO850" i="5"/>
  <c r="BO851" i="5"/>
  <c r="BO852" i="5"/>
  <c r="BO853" i="5"/>
  <c r="BO854" i="5"/>
  <c r="BO855" i="5"/>
  <c r="BO856" i="5"/>
  <c r="BO857" i="5"/>
  <c r="BO858" i="5"/>
  <c r="BO859" i="5"/>
  <c r="BO860" i="5"/>
  <c r="BO861" i="5"/>
  <c r="BO862" i="5"/>
  <c r="BO863" i="5"/>
  <c r="BO864" i="5"/>
  <c r="BO865" i="5"/>
  <c r="BO866" i="5"/>
  <c r="BO867" i="5"/>
  <c r="BO868" i="5"/>
  <c r="BO869" i="5"/>
  <c r="BO870" i="5"/>
  <c r="BO871" i="5"/>
  <c r="BO872" i="5"/>
  <c r="BO873" i="5"/>
  <c r="BO874" i="5"/>
  <c r="BO875" i="5"/>
  <c r="BO876" i="5"/>
  <c r="BO877" i="5"/>
  <c r="BO878" i="5"/>
  <c r="BO879" i="5"/>
  <c r="BO880" i="5"/>
  <c r="BO881" i="5"/>
  <c r="BO882" i="5"/>
  <c r="BO883" i="5"/>
  <c r="BO884" i="5"/>
  <c r="BO885" i="5"/>
  <c r="BO886" i="5"/>
  <c r="BO887" i="5"/>
  <c r="BO888" i="5"/>
  <c r="BO889" i="5"/>
  <c r="BO890" i="5"/>
  <c r="BO891" i="5"/>
  <c r="BO892" i="5"/>
  <c r="BO893" i="5"/>
  <c r="BO894" i="5"/>
  <c r="BO895" i="5"/>
  <c r="BO896" i="5"/>
  <c r="BO897" i="5"/>
  <c r="BO898" i="5"/>
  <c r="BO899" i="5"/>
  <c r="BO900" i="5"/>
  <c r="BO901" i="5"/>
  <c r="BO902" i="5"/>
  <c r="BO903" i="5"/>
  <c r="BO904" i="5"/>
  <c r="BO905" i="5"/>
  <c r="BO906" i="5"/>
  <c r="BO907" i="5"/>
  <c r="BO908" i="5"/>
  <c r="BO909" i="5"/>
  <c r="BO910" i="5"/>
  <c r="BO911" i="5"/>
  <c r="BO912" i="5"/>
  <c r="BO913" i="5"/>
  <c r="BO914" i="5"/>
  <c r="BO915" i="5"/>
  <c r="BO916" i="5"/>
  <c r="BO917" i="5"/>
  <c r="BO918" i="5"/>
  <c r="BO919" i="5"/>
  <c r="BO920" i="5"/>
  <c r="BO921" i="5"/>
  <c r="BO922" i="5"/>
  <c r="BO923" i="5"/>
  <c r="BO924" i="5"/>
  <c r="BO925" i="5"/>
  <c r="BO926" i="5"/>
  <c r="BO927" i="5"/>
  <c r="BO928" i="5"/>
  <c r="BO929" i="5"/>
  <c r="BO930" i="5"/>
  <c r="BO931" i="5"/>
  <c r="BO932" i="5"/>
  <c r="BO933" i="5"/>
  <c r="BO934" i="5"/>
  <c r="BO935" i="5"/>
  <c r="BO936" i="5"/>
  <c r="BO937" i="5"/>
  <c r="BO938" i="5"/>
  <c r="BO939" i="5"/>
  <c r="BO940" i="5"/>
  <c r="BO941" i="5"/>
  <c r="BO942" i="5"/>
  <c r="BO943" i="5"/>
  <c r="BO944" i="5"/>
  <c r="BO945" i="5"/>
  <c r="BO946" i="5"/>
  <c r="BO947" i="5"/>
  <c r="BO948" i="5"/>
  <c r="BO949" i="5"/>
  <c r="BO950" i="5"/>
  <c r="BO951" i="5"/>
  <c r="BO952" i="5"/>
  <c r="BO953" i="5"/>
  <c r="BO954" i="5"/>
  <c r="BO955" i="5"/>
  <c r="BO956" i="5"/>
  <c r="BO957" i="5"/>
  <c r="BO958" i="5"/>
  <c r="BO959" i="5"/>
  <c r="BO960" i="5"/>
  <c r="BO961" i="5"/>
  <c r="BO962" i="5"/>
  <c r="BO963" i="5"/>
  <c r="BO964" i="5"/>
  <c r="BO965" i="5"/>
  <c r="BO966" i="5"/>
  <c r="BO967" i="5"/>
  <c r="BO968" i="5"/>
  <c r="BO969" i="5"/>
  <c r="BO970" i="5"/>
  <c r="BO971" i="5"/>
  <c r="BO972" i="5"/>
  <c r="BO973" i="5"/>
  <c r="BO974" i="5"/>
  <c r="BO975" i="5"/>
  <c r="BO976" i="5"/>
  <c r="BO977" i="5"/>
  <c r="BO978" i="5"/>
  <c r="BO979" i="5"/>
  <c r="BO980" i="5"/>
  <c r="BO981" i="5"/>
  <c r="BO982" i="5"/>
  <c r="BO983" i="5"/>
  <c r="BO984" i="5"/>
  <c r="BO985" i="5"/>
  <c r="BO986" i="5"/>
  <c r="BO987" i="5"/>
  <c r="BO988" i="5"/>
  <c r="BO989" i="5"/>
  <c r="BO990" i="5"/>
  <c r="BO991" i="5"/>
  <c r="BO992" i="5"/>
  <c r="BO993" i="5"/>
  <c r="BO994" i="5"/>
  <c r="BO995" i="5"/>
  <c r="BO996" i="5"/>
  <c r="BO997" i="5"/>
  <c r="BO998" i="5"/>
  <c r="BO999" i="5"/>
  <c r="BO1000" i="5"/>
  <c r="BO1001" i="5"/>
  <c r="BO1002" i="5"/>
  <c r="BO1003" i="5"/>
  <c r="BO1004" i="5"/>
  <c r="BO1005" i="5"/>
  <c r="BO1006" i="5"/>
  <c r="BO1007" i="5"/>
  <c r="BO1008" i="5"/>
  <c r="BO1009" i="5"/>
  <c r="BO1010" i="5"/>
  <c r="BO1011" i="5"/>
  <c r="BO1012" i="5"/>
  <c r="BO1013" i="5"/>
  <c r="BO1014" i="5"/>
  <c r="BO1015" i="5"/>
  <c r="BO1016" i="5"/>
  <c r="BO1017" i="5"/>
  <c r="BO1018" i="5"/>
  <c r="BO1019" i="5"/>
  <c r="BO1020" i="5"/>
  <c r="BO1021" i="5"/>
  <c r="BO1022" i="5"/>
  <c r="BO1023" i="5"/>
  <c r="BO1024" i="5"/>
  <c r="BO1025" i="5"/>
  <c r="BO1026" i="5"/>
  <c r="BO1027" i="5"/>
  <c r="BO1028" i="5"/>
  <c r="BO1029" i="5"/>
  <c r="BO1030" i="5"/>
  <c r="BO1031" i="5"/>
  <c r="BO1032" i="5"/>
  <c r="BO1033" i="5"/>
  <c r="BO1034" i="5"/>
  <c r="BO1035" i="5"/>
  <c r="BO1036" i="5"/>
  <c r="BO1037" i="5"/>
  <c r="BO1038" i="5"/>
  <c r="BO1039" i="5"/>
  <c r="BO1040" i="5"/>
  <c r="BO1041" i="5"/>
  <c r="BO1042" i="5"/>
  <c r="BO1043" i="5"/>
  <c r="BO1044" i="5"/>
  <c r="BO1045" i="5"/>
  <c r="BO1046" i="5"/>
  <c r="BO1047" i="5"/>
  <c r="BO1048" i="5"/>
  <c r="BO1049" i="5"/>
  <c r="BO1050" i="5"/>
  <c r="BO1051" i="5"/>
  <c r="BO1052" i="5"/>
  <c r="BO1053" i="5"/>
  <c r="BO1054" i="5"/>
  <c r="BO1055" i="5"/>
  <c r="BO1056" i="5"/>
  <c r="BO1057" i="5"/>
  <c r="BO1058" i="5"/>
  <c r="BO1059" i="5"/>
  <c r="BO1060" i="5"/>
  <c r="BO1061" i="5"/>
  <c r="BO1062" i="5"/>
  <c r="BO1063" i="5"/>
  <c r="BO1064" i="5"/>
  <c r="BO1065" i="5"/>
  <c r="BO1066" i="5"/>
  <c r="BO1067" i="5"/>
  <c r="BO1068" i="5"/>
  <c r="BO1069" i="5"/>
  <c r="BO1070" i="5"/>
  <c r="BO1071" i="5"/>
  <c r="BO1072" i="5"/>
  <c r="BO1073" i="5"/>
  <c r="BO1074" i="5"/>
  <c r="BO1075" i="5"/>
  <c r="BO1076" i="5"/>
  <c r="BO1077" i="5"/>
  <c r="BO1078" i="5"/>
  <c r="BO1079" i="5"/>
  <c r="BO1080" i="5"/>
  <c r="BO1081" i="5"/>
  <c r="BO1082" i="5"/>
  <c r="BO1083" i="5"/>
  <c r="BO1084" i="5"/>
  <c r="BO1085" i="5"/>
  <c r="BO1086" i="5"/>
  <c r="BO1087" i="5"/>
  <c r="BO1088" i="5"/>
  <c r="BO1089" i="5"/>
  <c r="BO1090" i="5"/>
  <c r="BO1091" i="5"/>
  <c r="BO1092" i="5"/>
  <c r="BO1093" i="5"/>
  <c r="BO1094" i="5"/>
  <c r="BO1095" i="5"/>
  <c r="BO1096" i="5"/>
  <c r="BO1097" i="5"/>
  <c r="BO1098" i="5"/>
  <c r="BO1099" i="5"/>
  <c r="BO1100" i="5"/>
  <c r="BO1101" i="5"/>
  <c r="BO1102" i="5"/>
  <c r="BO1103" i="5"/>
  <c r="BO1104" i="5"/>
  <c r="BO1105" i="5"/>
  <c r="BO1106" i="5"/>
  <c r="BO1107" i="5"/>
  <c r="BO1108" i="5"/>
  <c r="BO1109" i="5"/>
  <c r="BO1110" i="5"/>
  <c r="BO1111" i="5"/>
  <c r="BO1112" i="5"/>
  <c r="BO1113" i="5"/>
  <c r="BO1114" i="5"/>
  <c r="BO1115" i="5"/>
  <c r="BO1116" i="5"/>
  <c r="BO1117" i="5"/>
  <c r="BO1118" i="5"/>
  <c r="BO1119" i="5"/>
  <c r="BO1120" i="5"/>
  <c r="BO1121" i="5"/>
  <c r="BO1122" i="5"/>
  <c r="BO1123" i="5"/>
  <c r="BO1124" i="5"/>
  <c r="BO1125" i="5"/>
  <c r="BO1126" i="5"/>
  <c r="BO1127" i="5"/>
  <c r="BO1128" i="5"/>
  <c r="BO1129" i="5"/>
  <c r="BO1130" i="5"/>
  <c r="BO1131" i="5"/>
  <c r="BO1132" i="5"/>
  <c r="BO1133" i="5"/>
  <c r="BO1134" i="5"/>
  <c r="BO1135" i="5"/>
  <c r="BO1136" i="5"/>
  <c r="BO1137" i="5"/>
  <c r="BO1138" i="5"/>
  <c r="BO1139" i="5"/>
  <c r="BO1140" i="5"/>
  <c r="BO1141" i="5"/>
  <c r="BO1142" i="5"/>
  <c r="BO1143" i="5"/>
  <c r="BO1144" i="5"/>
  <c r="BO1145" i="5"/>
  <c r="BO1146" i="5"/>
  <c r="BO1147" i="5"/>
  <c r="BO1148" i="5"/>
  <c r="BO1149" i="5"/>
  <c r="BO1150" i="5"/>
  <c r="BO1151" i="5"/>
  <c r="BO1152" i="5"/>
  <c r="BO1153" i="5"/>
  <c r="BO1154" i="5"/>
  <c r="BO1155" i="5"/>
  <c r="BO1156" i="5"/>
  <c r="BO1157" i="5"/>
  <c r="BO1158" i="5"/>
  <c r="BO1159" i="5"/>
  <c r="BO1160" i="5"/>
  <c r="BO1161" i="5"/>
  <c r="BO1162" i="5"/>
  <c r="BO1163" i="5"/>
  <c r="BO1164" i="5"/>
  <c r="BO1165" i="5"/>
  <c r="BO1166" i="5"/>
  <c r="BO1167" i="5"/>
  <c r="BO1168" i="5"/>
  <c r="BO1169" i="5"/>
  <c r="BO1170" i="5"/>
  <c r="BO1171" i="5"/>
  <c r="BO1172" i="5"/>
  <c r="BO1173" i="5"/>
  <c r="BO1174" i="5"/>
  <c r="BO1175" i="5"/>
  <c r="BO1176" i="5"/>
  <c r="BO1177" i="5"/>
  <c r="BO1178" i="5"/>
  <c r="BO1179" i="5"/>
  <c r="BO1180" i="5"/>
  <c r="BO1181" i="5"/>
  <c r="BO1182" i="5"/>
  <c r="BO1183" i="5"/>
  <c r="BO1184" i="5"/>
  <c r="BO1185" i="5"/>
  <c r="BO1186" i="5"/>
  <c r="BO1187" i="5"/>
  <c r="BO1188" i="5"/>
  <c r="BO1189" i="5"/>
  <c r="BO1190" i="5"/>
  <c r="BO1191" i="5"/>
  <c r="BO1192" i="5"/>
  <c r="BO1193" i="5"/>
  <c r="BO1194" i="5"/>
  <c r="BO1195" i="5"/>
  <c r="BO1196" i="5"/>
  <c r="BO1197" i="5"/>
  <c r="BO1198" i="5"/>
  <c r="BO1199" i="5"/>
  <c r="BO1200" i="5"/>
  <c r="BO1201" i="5"/>
  <c r="BO1202" i="5"/>
  <c r="BO1203" i="5"/>
  <c r="BO1204" i="5"/>
  <c r="BO1205" i="5"/>
  <c r="BO1206" i="5"/>
  <c r="BO1207" i="5"/>
  <c r="BO1208" i="5"/>
  <c r="BO1209" i="5"/>
  <c r="BO1210" i="5"/>
  <c r="BO1211" i="5"/>
  <c r="BO1212" i="5"/>
  <c r="BO1213" i="5"/>
  <c r="BO1214" i="5"/>
  <c r="BO1215" i="5"/>
  <c r="BO1216" i="5"/>
  <c r="BO1217" i="5"/>
  <c r="BO1218" i="5"/>
  <c r="BO1219" i="5"/>
  <c r="BO1220" i="5"/>
  <c r="BO1221" i="5"/>
  <c r="BO1222" i="5"/>
  <c r="BO1223" i="5"/>
  <c r="BO1224" i="5"/>
  <c r="BO1225" i="5"/>
  <c r="BO1226" i="5"/>
  <c r="BO1227" i="5"/>
  <c r="BO1228" i="5"/>
  <c r="BO1229" i="5"/>
  <c r="BO1230" i="5"/>
  <c r="BO1231" i="5"/>
  <c r="BO1232" i="5"/>
  <c r="BO1233" i="5"/>
  <c r="BO1234" i="5"/>
  <c r="BO1235" i="5"/>
  <c r="BO1236" i="5"/>
  <c r="BO1237" i="5"/>
  <c r="BO1238" i="5"/>
  <c r="BO1239" i="5"/>
  <c r="BO1240" i="5"/>
  <c r="BO1241" i="5"/>
  <c r="BO1242" i="5"/>
  <c r="BO1243" i="5"/>
  <c r="BO1244" i="5"/>
  <c r="BO1245" i="5"/>
  <c r="BO1246" i="5"/>
  <c r="BO1247" i="5"/>
  <c r="BO1248" i="5"/>
  <c r="BO1249" i="5"/>
  <c r="BO1250" i="5"/>
  <c r="BO1251" i="5"/>
  <c r="BO1252" i="5"/>
  <c r="BO1253" i="5"/>
  <c r="BO1254" i="5"/>
  <c r="BO1255" i="5"/>
  <c r="BO1256" i="5"/>
  <c r="BO1257" i="5"/>
  <c r="BO1258" i="5"/>
  <c r="BO1259" i="5"/>
  <c r="BO1260" i="5"/>
  <c r="BO1261" i="5"/>
  <c r="BO1262" i="5"/>
  <c r="BO1263" i="5"/>
  <c r="BO1264" i="5"/>
  <c r="BO1265" i="5"/>
  <c r="BO1266" i="5"/>
  <c r="BO1267" i="5"/>
  <c r="BO1268" i="5"/>
  <c r="BO1269" i="5"/>
  <c r="BO1270" i="5"/>
  <c r="BO1271" i="5"/>
  <c r="BO1272" i="5"/>
  <c r="BO1273" i="5"/>
  <c r="BO1274" i="5"/>
  <c r="BO1275" i="5"/>
  <c r="BO1276" i="5"/>
  <c r="BO1277" i="5"/>
  <c r="BO1278" i="5"/>
  <c r="BO1279" i="5"/>
  <c r="BO1280" i="5"/>
  <c r="BO1281" i="5"/>
  <c r="BO1282" i="5"/>
  <c r="BO1283" i="5"/>
  <c r="BO1284" i="5"/>
  <c r="BO1285" i="5"/>
  <c r="BO1286" i="5"/>
  <c r="BO1287" i="5"/>
  <c r="BO1288" i="5"/>
  <c r="BO1289" i="5"/>
  <c r="BO1290" i="5"/>
  <c r="BO1291" i="5"/>
  <c r="BO1292" i="5"/>
  <c r="BO1293" i="5"/>
  <c r="BO1294" i="5"/>
  <c r="BO1295" i="5"/>
  <c r="BO1296" i="5"/>
  <c r="BO1297" i="5"/>
  <c r="BO1298" i="5"/>
  <c r="BO1299" i="5"/>
  <c r="BO1300" i="5"/>
  <c r="BO1301" i="5"/>
  <c r="BO1302" i="5"/>
  <c r="BO1303" i="5"/>
  <c r="BO1304" i="5"/>
  <c r="BO1305" i="5"/>
  <c r="BO1306" i="5"/>
  <c r="BO1307" i="5"/>
  <c r="BO1308" i="5"/>
  <c r="BO1309" i="5"/>
  <c r="BO1310" i="5"/>
  <c r="BO1311" i="5"/>
  <c r="BO1312" i="5"/>
  <c r="BO1313" i="5"/>
  <c r="BO1314" i="5"/>
  <c r="BO1315" i="5"/>
  <c r="BO1316" i="5"/>
  <c r="BO1317" i="5"/>
  <c r="BO1318" i="5"/>
  <c r="BO1319" i="5"/>
  <c r="BO1320" i="5"/>
  <c r="BO1321" i="5"/>
  <c r="BO1322" i="5"/>
  <c r="BO1323" i="5"/>
  <c r="BO1324" i="5"/>
  <c r="BO1325" i="5"/>
  <c r="BO1326" i="5"/>
  <c r="BO1327" i="5"/>
  <c r="BO1328" i="5"/>
  <c r="BO1329" i="5"/>
  <c r="BO1330" i="5"/>
  <c r="BO1331" i="5"/>
  <c r="BO1332" i="5"/>
  <c r="BO1333" i="5"/>
  <c r="BO1334" i="5"/>
  <c r="BO1335" i="5"/>
  <c r="BO1336" i="5"/>
  <c r="BO1337" i="5"/>
  <c r="BO1338" i="5"/>
  <c r="BO1339" i="5"/>
  <c r="BO1340" i="5"/>
  <c r="BO1341" i="5"/>
  <c r="BO1342" i="5"/>
  <c r="BO1343" i="5"/>
  <c r="BO1344" i="5"/>
  <c r="BO1345" i="5"/>
  <c r="BO1346" i="5"/>
  <c r="BO1347" i="5"/>
  <c r="BO1348" i="5"/>
  <c r="BO1349" i="5"/>
  <c r="BO1350" i="5"/>
  <c r="BO1351" i="5"/>
  <c r="BO1352" i="5"/>
  <c r="BO1353" i="5"/>
  <c r="BO1354" i="5"/>
  <c r="BO1355" i="5"/>
  <c r="BO1356" i="5"/>
  <c r="BO1357" i="5"/>
  <c r="BO1358" i="5"/>
  <c r="BO1359" i="5"/>
  <c r="BO1360" i="5"/>
  <c r="BO1361" i="5"/>
  <c r="BO1362" i="5"/>
  <c r="BO1363" i="5"/>
  <c r="BO1364" i="5"/>
  <c r="BO1365" i="5"/>
  <c r="BO1366" i="5"/>
  <c r="BO1367" i="5"/>
  <c r="BO1368" i="5"/>
  <c r="BO1369" i="5"/>
  <c r="BO1370" i="5"/>
  <c r="BO1371" i="5"/>
  <c r="BO1372" i="5"/>
  <c r="BO1373" i="5"/>
  <c r="BO1374" i="5"/>
  <c r="BO1375" i="5"/>
  <c r="BO1376" i="5"/>
  <c r="BO1377" i="5"/>
  <c r="BO1378" i="5"/>
  <c r="BO1379" i="5"/>
  <c r="BO1380" i="5"/>
  <c r="BO1381" i="5"/>
  <c r="BO1382" i="5"/>
  <c r="BO1383" i="5"/>
  <c r="BO1384" i="5"/>
  <c r="BO1385" i="5"/>
  <c r="BO1386" i="5"/>
  <c r="BO1387" i="5"/>
  <c r="BO1388" i="5"/>
  <c r="BO1389" i="5"/>
  <c r="BO1390" i="5"/>
  <c r="BO1391" i="5"/>
  <c r="BO1392" i="5"/>
  <c r="BO1393" i="5"/>
  <c r="BO1394" i="5"/>
  <c r="BO1395" i="5"/>
  <c r="BO1396" i="5"/>
  <c r="BO1397" i="5"/>
  <c r="BO1398" i="5"/>
  <c r="BO1399" i="5"/>
  <c r="BO1400" i="5"/>
  <c r="BO1401" i="5"/>
  <c r="BO1402" i="5"/>
  <c r="BO1403" i="5"/>
  <c r="BO1404" i="5"/>
  <c r="BO1405" i="5"/>
  <c r="BO1406" i="5"/>
  <c r="BO1407" i="5"/>
  <c r="BO1408" i="5"/>
  <c r="BO1409" i="5"/>
  <c r="BO1410" i="5"/>
  <c r="BO1411" i="5"/>
  <c r="BO1412" i="5"/>
  <c r="BO1413" i="5"/>
  <c r="BO1414" i="5"/>
  <c r="BO1415" i="5"/>
  <c r="BO1416" i="5"/>
  <c r="BO1417" i="5"/>
  <c r="BO1418" i="5"/>
  <c r="BO1419" i="5"/>
  <c r="BO1420" i="5"/>
  <c r="BO1421" i="5"/>
  <c r="BO1422" i="5"/>
  <c r="BO1423" i="5"/>
  <c r="BO1424" i="5"/>
  <c r="BO1425" i="5"/>
  <c r="BO1426" i="5"/>
  <c r="BO1427" i="5"/>
  <c r="BO1428" i="5"/>
  <c r="BO1429" i="5"/>
  <c r="BO1430" i="5"/>
  <c r="BO1431" i="5"/>
  <c r="BO1432" i="5"/>
  <c r="BO1433" i="5"/>
  <c r="BO1434" i="5"/>
  <c r="BO1435" i="5"/>
  <c r="BO1436" i="5"/>
  <c r="BO1437" i="5"/>
  <c r="BO1438" i="5"/>
  <c r="BO1439" i="5"/>
  <c r="BO1440" i="5"/>
  <c r="BO1441" i="5"/>
  <c r="BO1442" i="5"/>
  <c r="BO1443" i="5"/>
  <c r="BO1444" i="5"/>
  <c r="BO1445" i="5"/>
  <c r="BO1446" i="5"/>
  <c r="BO1447" i="5"/>
  <c r="BO1448" i="5"/>
  <c r="BO1449" i="5"/>
  <c r="BO1450" i="5"/>
  <c r="BO1451" i="5"/>
  <c r="BO1452" i="5"/>
  <c r="BO1453" i="5"/>
  <c r="BO1454" i="5"/>
  <c r="BO1455" i="5"/>
  <c r="BO1456" i="5"/>
  <c r="BO1457" i="5"/>
  <c r="BO1458" i="5"/>
  <c r="BO1459" i="5"/>
  <c r="BO1460" i="5"/>
  <c r="BO1461" i="5"/>
  <c r="BO1462" i="5"/>
  <c r="BO1463" i="5"/>
  <c r="BO1464" i="5"/>
  <c r="BO1465" i="5"/>
  <c r="BO1466" i="5"/>
  <c r="BO1467" i="5"/>
  <c r="BO1468" i="5"/>
  <c r="BO1469" i="5"/>
  <c r="BO1470" i="5"/>
  <c r="BO1471" i="5"/>
  <c r="BO1472" i="5"/>
  <c r="BO1473" i="5"/>
  <c r="BO1474" i="5"/>
  <c r="BO1475" i="5"/>
  <c r="BO1476" i="5"/>
  <c r="BO1477" i="5"/>
  <c r="BO1478" i="5"/>
  <c r="BO1479" i="5"/>
  <c r="BO1480" i="5"/>
  <c r="BO1481" i="5"/>
  <c r="BO1482" i="5"/>
  <c r="BO1483" i="5"/>
  <c r="BO1484" i="5"/>
  <c r="BO1485" i="5"/>
  <c r="BO1486" i="5"/>
  <c r="BO1487" i="5"/>
  <c r="BO1488" i="5"/>
  <c r="BO1489" i="5"/>
  <c r="BO1490" i="5"/>
  <c r="BO1491" i="5"/>
  <c r="BO1492" i="5"/>
  <c r="BO1493" i="5"/>
  <c r="BO1494" i="5"/>
  <c r="BO1495" i="5"/>
  <c r="BO1496" i="5"/>
  <c r="BO1497" i="5"/>
  <c r="BO1498" i="5"/>
  <c r="BO1499" i="5"/>
  <c r="BO1500" i="5"/>
  <c r="BO1501" i="5"/>
  <c r="BO1502" i="5"/>
  <c r="BO1503" i="5"/>
  <c r="BO1504" i="5"/>
  <c r="BO1505" i="5"/>
  <c r="BO1506" i="5"/>
  <c r="BO1507" i="5"/>
  <c r="BO1508" i="5"/>
  <c r="BO1509" i="5"/>
  <c r="BO1510" i="5"/>
  <c r="BO1511" i="5"/>
  <c r="BO1512" i="5"/>
  <c r="BO1513" i="5"/>
  <c r="BO1514" i="5"/>
  <c r="BO1515" i="5"/>
  <c r="BO1516" i="5"/>
  <c r="BO1517" i="5"/>
  <c r="BO1518" i="5"/>
  <c r="BO1519" i="5"/>
  <c r="BO1520" i="5"/>
  <c r="BO1521" i="5"/>
  <c r="BO1522" i="5"/>
  <c r="BO1523" i="5"/>
  <c r="BO1524" i="5"/>
  <c r="BO1525" i="5"/>
  <c r="BO1526" i="5"/>
  <c r="BO1527" i="5"/>
  <c r="BO1528" i="5"/>
  <c r="BO1529" i="5"/>
  <c r="BO1530" i="5"/>
  <c r="BO1531" i="5"/>
  <c r="BO1532" i="5"/>
  <c r="BO1533" i="5"/>
  <c r="BO1534" i="5"/>
  <c r="BO1535" i="5"/>
  <c r="BO1536" i="5"/>
  <c r="BO1537" i="5"/>
  <c r="BO1538" i="5"/>
  <c r="BO1539" i="5"/>
  <c r="BO1540" i="5"/>
  <c r="BO1541" i="5"/>
  <c r="BO1542" i="5"/>
  <c r="BO1543" i="5"/>
  <c r="BO1544" i="5"/>
  <c r="BO1545" i="5"/>
  <c r="BO1546" i="5"/>
  <c r="BO1547" i="5"/>
  <c r="BO1548" i="5"/>
  <c r="BO1549" i="5"/>
  <c r="BO1550" i="5"/>
  <c r="BO1551" i="5"/>
  <c r="BO1552" i="5"/>
  <c r="BO1553" i="5"/>
  <c r="BO1554" i="5"/>
  <c r="BO1555" i="5"/>
  <c r="BO1556" i="5"/>
  <c r="BO1557" i="5"/>
  <c r="BO1558" i="5"/>
  <c r="BO1559" i="5"/>
  <c r="BO1560" i="5"/>
  <c r="BO1561" i="5"/>
  <c r="BO1562" i="5"/>
  <c r="BO1563" i="5"/>
  <c r="BO1564" i="5"/>
  <c r="BO1565" i="5"/>
  <c r="BO1566" i="5"/>
  <c r="BO1567" i="5"/>
  <c r="BO1568" i="5"/>
  <c r="BO1569" i="5"/>
  <c r="BO1570" i="5"/>
  <c r="BO1571" i="5"/>
  <c r="BO1572" i="5"/>
  <c r="BO1573" i="5"/>
  <c r="BO1574" i="5"/>
  <c r="BO1575" i="5"/>
  <c r="BO1576" i="5"/>
  <c r="BO1577" i="5"/>
  <c r="BO1578" i="5"/>
  <c r="BO1579" i="5"/>
  <c r="BO1580" i="5"/>
  <c r="BO1581" i="5"/>
  <c r="BO1582" i="5"/>
  <c r="BO1583" i="5"/>
  <c r="BO1584" i="5"/>
  <c r="BO1585" i="5"/>
  <c r="BO1586" i="5"/>
  <c r="BO1587" i="5"/>
  <c r="BO1588" i="5"/>
  <c r="BO1589" i="5"/>
  <c r="BO1590" i="5"/>
  <c r="BO1591" i="5"/>
  <c r="BO1592" i="5"/>
  <c r="BO1593" i="5"/>
  <c r="BO1594" i="5"/>
  <c r="BO1595" i="5"/>
  <c r="BO1596" i="5"/>
  <c r="BO1597" i="5"/>
  <c r="BO1598" i="5"/>
  <c r="BO1599" i="5"/>
  <c r="BO1600" i="5"/>
  <c r="BO1601" i="5"/>
  <c r="BO1602" i="5"/>
  <c r="BO1603" i="5"/>
  <c r="BO1604" i="5"/>
  <c r="BO1605" i="5"/>
  <c r="BO1606" i="5"/>
  <c r="BO1607" i="5"/>
  <c r="BO1608" i="5"/>
  <c r="BO1609" i="5"/>
  <c r="BO1610" i="5"/>
  <c r="BO1611" i="5"/>
  <c r="BO1612" i="5"/>
  <c r="BO1613" i="5"/>
  <c r="BO1614" i="5"/>
  <c r="BO1615" i="5"/>
  <c r="BO1616" i="5"/>
  <c r="BO1617" i="5"/>
  <c r="BO1618" i="5"/>
  <c r="BO1619" i="5"/>
  <c r="BO1620" i="5"/>
  <c r="BO1621" i="5"/>
  <c r="BO1622" i="5"/>
  <c r="BO1623" i="5"/>
  <c r="BO1624" i="5"/>
  <c r="BO1625" i="5"/>
  <c r="BO1626" i="5"/>
  <c r="BO1627" i="5"/>
  <c r="BO1628" i="5"/>
  <c r="BO1629" i="5"/>
  <c r="BO1630" i="5"/>
  <c r="BO1631" i="5"/>
  <c r="BO1632" i="5"/>
  <c r="BO1633" i="5"/>
  <c r="BO1634" i="5"/>
  <c r="BO1635" i="5"/>
  <c r="BO1636" i="5"/>
  <c r="BO1637" i="5"/>
  <c r="BO1638" i="5"/>
  <c r="BO1639" i="5"/>
  <c r="BO1640" i="5"/>
  <c r="BO1641" i="5"/>
  <c r="BO1642" i="5"/>
  <c r="BO1643" i="5"/>
  <c r="BO1644" i="5"/>
  <c r="BO1645" i="5"/>
  <c r="BO1646" i="5"/>
  <c r="BO1647" i="5"/>
  <c r="BO1648" i="5"/>
  <c r="BO1649" i="5"/>
  <c r="BO1650" i="5"/>
  <c r="BO1651" i="5"/>
  <c r="BO1652" i="5"/>
  <c r="BO1653" i="5"/>
  <c r="BO1654" i="5"/>
  <c r="BO1655" i="5"/>
  <c r="BO1656" i="5"/>
  <c r="BO1657" i="5"/>
  <c r="BO1658" i="5"/>
  <c r="BO1659" i="5"/>
  <c r="BO1660" i="5"/>
  <c r="BO1661" i="5"/>
  <c r="BO1662" i="5"/>
  <c r="BO1663" i="5"/>
  <c r="BO1664" i="5"/>
  <c r="BO1665" i="5"/>
  <c r="BO1666" i="5"/>
  <c r="BO1667" i="5"/>
  <c r="BO1668" i="5"/>
  <c r="BO1669" i="5"/>
  <c r="BO1670" i="5"/>
  <c r="BO1671" i="5"/>
  <c r="BO1672" i="5"/>
  <c r="BO1673" i="5"/>
  <c r="BO1674" i="5"/>
  <c r="BO1675" i="5"/>
  <c r="BO1676" i="5"/>
  <c r="BO1677" i="5"/>
  <c r="BO1678" i="5"/>
  <c r="BO1679" i="5"/>
  <c r="BO1680" i="5"/>
  <c r="BO1681" i="5"/>
  <c r="BO1682" i="5"/>
  <c r="BO1683" i="5"/>
  <c r="BO1684" i="5"/>
  <c r="BO1685" i="5"/>
  <c r="BO1686" i="5"/>
  <c r="BO1687" i="5"/>
  <c r="BO1688" i="5"/>
  <c r="BO1689" i="5"/>
  <c r="BO1690" i="5"/>
  <c r="BO1691" i="5"/>
  <c r="BO1692" i="5"/>
  <c r="BO1693" i="5"/>
  <c r="BO1694" i="5"/>
  <c r="BO1695" i="5"/>
  <c r="BO1696" i="5"/>
  <c r="BO1697" i="5"/>
  <c r="BO1698" i="5"/>
  <c r="BO1699" i="5"/>
  <c r="BO1700" i="5"/>
  <c r="BO1701" i="5"/>
  <c r="BO1702" i="5"/>
  <c r="BO1703" i="5"/>
  <c r="BO1704" i="5"/>
  <c r="BO1705" i="5"/>
  <c r="BO1706" i="5"/>
  <c r="BO1707" i="5"/>
  <c r="BO1708" i="5"/>
  <c r="BO1709" i="5"/>
  <c r="BO1710" i="5"/>
  <c r="BO1711" i="5"/>
  <c r="BO1712" i="5"/>
  <c r="BO1713" i="5"/>
  <c r="BO1714" i="5"/>
  <c r="BO1715" i="5"/>
  <c r="BO1716" i="5"/>
  <c r="BO1717" i="5"/>
  <c r="BO1718" i="5"/>
  <c r="BO1719" i="5"/>
  <c r="BO1720" i="5"/>
  <c r="BO1721" i="5"/>
  <c r="BO1722" i="5"/>
  <c r="BO1723" i="5"/>
  <c r="BO1724" i="5"/>
  <c r="BO1725" i="5"/>
  <c r="BO1726" i="5"/>
  <c r="BO1727" i="5"/>
  <c r="BO1728" i="5"/>
  <c r="BO1729" i="5"/>
  <c r="BO1730" i="5"/>
  <c r="BO1731" i="5"/>
  <c r="BO1732" i="5"/>
  <c r="BO1733" i="5"/>
  <c r="BO1734" i="5"/>
  <c r="BO1735" i="5"/>
  <c r="BO1736" i="5"/>
  <c r="BO1737" i="5"/>
  <c r="BO1738" i="5"/>
  <c r="BO1739" i="5"/>
  <c r="BO1740" i="5"/>
  <c r="BO1741" i="5"/>
  <c r="BO1742" i="5"/>
  <c r="BO1743" i="5"/>
  <c r="BO1744" i="5"/>
  <c r="BO1745" i="5"/>
  <c r="BO1746" i="5"/>
  <c r="BO1747" i="5"/>
  <c r="BO1748" i="5"/>
  <c r="BO1749" i="5"/>
  <c r="BO1750" i="5"/>
  <c r="BO1751" i="5"/>
  <c r="BO1752" i="5"/>
  <c r="BO1753" i="5"/>
  <c r="BO1754" i="5"/>
  <c r="BO1755" i="5"/>
  <c r="BO1756" i="5"/>
  <c r="BO1757" i="5"/>
  <c r="BO1758" i="5"/>
  <c r="BO1759" i="5"/>
  <c r="BO1760" i="5"/>
  <c r="BO1761" i="5"/>
  <c r="BO1762" i="5"/>
  <c r="BO1763" i="5"/>
  <c r="BO1764" i="5"/>
  <c r="BO1765" i="5"/>
  <c r="BO1766" i="5"/>
  <c r="BO1767" i="5"/>
  <c r="BO1768" i="5"/>
  <c r="BO1769" i="5"/>
  <c r="BO1770" i="5"/>
  <c r="BO1771" i="5"/>
  <c r="BO1772" i="5"/>
  <c r="BO1773" i="5"/>
  <c r="BO1774" i="5"/>
  <c r="BO1775" i="5"/>
  <c r="BO1776" i="5"/>
  <c r="BO1777" i="5"/>
  <c r="BO1778" i="5"/>
  <c r="BO1779" i="5"/>
  <c r="BO1780" i="5"/>
  <c r="BO1781" i="5"/>
  <c r="BO1782" i="5"/>
  <c r="BO1783" i="5"/>
  <c r="BO1784" i="5"/>
  <c r="BO1785" i="5"/>
  <c r="BO1786" i="5"/>
  <c r="BO1787" i="5"/>
  <c r="BO1788" i="5"/>
  <c r="BO1789" i="5"/>
  <c r="BO1790" i="5"/>
  <c r="BO1791" i="5"/>
  <c r="BO1792" i="5"/>
  <c r="BO1793" i="5"/>
  <c r="BO1794" i="5"/>
  <c r="BO1795" i="5"/>
  <c r="BO1796" i="5"/>
  <c r="BO1797" i="5"/>
  <c r="BO1798" i="5"/>
  <c r="BO1799" i="5"/>
  <c r="BO1800" i="5"/>
  <c r="BO1801" i="5"/>
  <c r="BO1802" i="5"/>
  <c r="BO1803" i="5"/>
  <c r="BO1804" i="5"/>
  <c r="BO1805" i="5"/>
  <c r="BO1806" i="5"/>
  <c r="BO1807" i="5"/>
  <c r="BO1808" i="5"/>
  <c r="BO1809" i="5"/>
  <c r="BO1810" i="5"/>
  <c r="BO1811" i="5"/>
  <c r="BO1812" i="5"/>
  <c r="BO1813" i="5"/>
  <c r="BO1814" i="5"/>
  <c r="BO1815" i="5"/>
  <c r="BO1816" i="5"/>
  <c r="BO1817" i="5"/>
  <c r="BO1818" i="5"/>
  <c r="BO1819" i="5"/>
  <c r="BO1820" i="5"/>
  <c r="BO1821" i="5"/>
  <c r="BO1822" i="5"/>
  <c r="BO1823" i="5"/>
  <c r="BO1824" i="5"/>
  <c r="BO1825" i="5"/>
  <c r="BO1826" i="5"/>
  <c r="BO1827" i="5"/>
  <c r="BO1828" i="5"/>
  <c r="BO1829" i="5"/>
  <c r="BO1830" i="5"/>
  <c r="BO1831" i="5"/>
  <c r="BO1832" i="5"/>
  <c r="BO1833" i="5"/>
  <c r="BO1834" i="5"/>
  <c r="BO1835" i="5"/>
  <c r="BO1836" i="5"/>
  <c r="BO1837" i="5"/>
  <c r="BO1838" i="5"/>
  <c r="BO1839" i="5"/>
  <c r="BO1840" i="5"/>
  <c r="BO1841" i="5"/>
  <c r="BO1842" i="5"/>
  <c r="BO1843" i="5"/>
  <c r="BO1844" i="5"/>
  <c r="BO1845" i="5"/>
  <c r="BO1846" i="5"/>
  <c r="BO1847" i="5"/>
  <c r="BO1848" i="5"/>
  <c r="BO1849" i="5"/>
  <c r="BO1850" i="5"/>
  <c r="BO1851" i="5"/>
  <c r="BO1852" i="5"/>
  <c r="BO1853" i="5"/>
  <c r="BO1854" i="5"/>
  <c r="BO1855" i="5"/>
  <c r="BO1856" i="5"/>
  <c r="BO1857" i="5"/>
  <c r="BO1858" i="5"/>
  <c r="BO1859" i="5"/>
  <c r="BO1860" i="5"/>
  <c r="BO1861" i="5"/>
  <c r="BO1862" i="5"/>
  <c r="BO1863" i="5"/>
  <c r="BO1864" i="5"/>
  <c r="BO1865" i="5"/>
  <c r="BO1866" i="5"/>
  <c r="BO1867" i="5"/>
  <c r="BO1868" i="5"/>
  <c r="BO1869" i="5"/>
  <c r="BO1870" i="5"/>
  <c r="BO1871" i="5"/>
  <c r="BO1872" i="5"/>
  <c r="BO1873" i="5"/>
  <c r="BO1874" i="5"/>
  <c r="BO1875" i="5"/>
  <c r="BO1876" i="5"/>
  <c r="BO1877" i="5"/>
  <c r="BO1878" i="5"/>
  <c r="BO1879" i="5"/>
  <c r="BO1880" i="5"/>
  <c r="BO1881" i="5"/>
  <c r="BO1882" i="5"/>
  <c r="BO1883" i="5"/>
  <c r="BO1884" i="5"/>
  <c r="BO1885" i="5"/>
  <c r="BO1886" i="5"/>
  <c r="BO1887" i="5"/>
  <c r="BO1888" i="5"/>
  <c r="BO1889" i="5"/>
  <c r="BO1890" i="5"/>
  <c r="BO1891" i="5"/>
  <c r="BO1892" i="5"/>
  <c r="BO1893" i="5"/>
  <c r="BO1894" i="5"/>
  <c r="BO1895" i="5"/>
  <c r="BO1896" i="5"/>
  <c r="BO1897" i="5"/>
  <c r="BO1898" i="5"/>
  <c r="BO1899" i="5"/>
  <c r="BO1900" i="5"/>
  <c r="BO1901" i="5"/>
  <c r="BO1902" i="5"/>
  <c r="BO1903" i="5"/>
  <c r="BO1904" i="5"/>
  <c r="BO1905" i="5"/>
  <c r="BO1906" i="5"/>
  <c r="BO1907" i="5"/>
  <c r="BO1908" i="5"/>
  <c r="BO1909" i="5"/>
  <c r="BO1910" i="5"/>
  <c r="BO1911" i="5"/>
  <c r="BO1912" i="5"/>
  <c r="BO1913" i="5"/>
  <c r="BO1914" i="5"/>
  <c r="BO1915" i="5"/>
  <c r="BO1916" i="5"/>
  <c r="BO1917" i="5"/>
  <c r="BO1918" i="5"/>
  <c r="BO1919" i="5"/>
  <c r="BO1920" i="5"/>
  <c r="BO1921" i="5"/>
  <c r="BO1922" i="5"/>
  <c r="BO1923" i="5"/>
  <c r="BO1924" i="5"/>
  <c r="BO1925" i="5"/>
  <c r="BO1926" i="5"/>
  <c r="BO1927" i="5"/>
  <c r="BO1928" i="5"/>
  <c r="BO1929" i="5"/>
  <c r="BO1930" i="5"/>
  <c r="BO1931" i="5"/>
  <c r="BO1932" i="5"/>
  <c r="BO1933" i="5"/>
  <c r="BO1934" i="5"/>
  <c r="BO1935" i="5"/>
  <c r="BO1936" i="5"/>
  <c r="BO1937" i="5"/>
  <c r="BO1938" i="5"/>
  <c r="BO1939" i="5"/>
  <c r="BO1940" i="5"/>
  <c r="BO1941" i="5"/>
  <c r="BO1942" i="5"/>
  <c r="BO1943" i="5"/>
  <c r="BO1944" i="5"/>
  <c r="BO1945" i="5"/>
  <c r="BO1946" i="5"/>
  <c r="BO1947" i="5"/>
  <c r="BO1948" i="5"/>
  <c r="BO1949" i="5"/>
  <c r="BO1950" i="5"/>
  <c r="BO1951" i="5"/>
  <c r="BO1952" i="5"/>
  <c r="BO1953" i="5"/>
  <c r="BO1954" i="5"/>
  <c r="BO1955" i="5"/>
  <c r="BO1956" i="5"/>
  <c r="BO1957" i="5"/>
  <c r="BO1958" i="5"/>
  <c r="BO1959" i="5"/>
  <c r="BO1960" i="5"/>
  <c r="BO1961" i="5"/>
  <c r="BO1962" i="5"/>
  <c r="BO1963" i="5"/>
  <c r="BO1964" i="5"/>
  <c r="BO1965" i="5"/>
  <c r="BO1966" i="5"/>
  <c r="BO1967" i="5"/>
  <c r="BO1968" i="5"/>
  <c r="BO1969" i="5"/>
  <c r="BO1970" i="5"/>
  <c r="BO1971" i="5"/>
  <c r="BO1972" i="5"/>
  <c r="BO1973" i="5"/>
  <c r="BO1974" i="5"/>
  <c r="BO1975" i="5"/>
  <c r="BO1976" i="5"/>
  <c r="BO1977" i="5"/>
  <c r="BO1978" i="5"/>
  <c r="BO1979" i="5"/>
  <c r="BO1980" i="5"/>
  <c r="BO1981" i="5"/>
  <c r="BO1982" i="5"/>
  <c r="BO1983" i="5"/>
  <c r="BO1984" i="5"/>
  <c r="BO1985" i="5"/>
  <c r="BO1986" i="5"/>
  <c r="BO1987" i="5"/>
  <c r="BO1988" i="5"/>
  <c r="BO1989" i="5"/>
  <c r="BO1990" i="5"/>
  <c r="BO1991" i="5"/>
  <c r="BO1992" i="5"/>
  <c r="BO1993" i="5"/>
  <c r="BO1994" i="5"/>
  <c r="BO1995" i="5"/>
  <c r="BO1996" i="5"/>
  <c r="BO1997" i="5"/>
  <c r="BO1998" i="5"/>
  <c r="BO1999" i="5"/>
  <c r="BO2000" i="5"/>
  <c r="BO2001" i="5"/>
  <c r="BO2002" i="5"/>
  <c r="BO2003" i="5"/>
  <c r="BO2004" i="5"/>
  <c r="BO2005" i="5"/>
  <c r="BO2006" i="5"/>
  <c r="BO2007" i="5"/>
  <c r="BO2008" i="5"/>
  <c r="BO2009" i="5"/>
  <c r="BO2010" i="5"/>
  <c r="BO2011" i="5"/>
  <c r="BO2012" i="5"/>
  <c r="BO2013" i="5"/>
  <c r="BO2014" i="5"/>
  <c r="BO2015" i="5"/>
  <c r="BO2016" i="5"/>
  <c r="BO2017" i="5"/>
  <c r="BO2018" i="5"/>
  <c r="BO2019" i="5"/>
  <c r="BO2020" i="5"/>
  <c r="BO2021" i="5"/>
  <c r="BO2022" i="5"/>
  <c r="BO2023" i="5"/>
  <c r="BO2024" i="5"/>
  <c r="BO2025" i="5"/>
  <c r="BO2026" i="5"/>
  <c r="BO2027" i="5"/>
  <c r="BO2028" i="5"/>
  <c r="BO2029" i="5"/>
  <c r="BO2030" i="5"/>
  <c r="BO2031" i="5"/>
  <c r="BO2032" i="5"/>
  <c r="BO2033" i="5"/>
  <c r="BO2034" i="5"/>
  <c r="BO2035" i="5"/>
  <c r="BO2036" i="5"/>
  <c r="BO2037" i="5"/>
  <c r="BO2038" i="5"/>
  <c r="BO2039" i="5"/>
  <c r="BO2040" i="5"/>
  <c r="BO2041" i="5"/>
  <c r="BO2042" i="5"/>
  <c r="BO2043" i="5"/>
  <c r="BO2044" i="5"/>
  <c r="BO2045" i="5"/>
  <c r="BO2046" i="5"/>
  <c r="BO2047" i="5"/>
  <c r="BO2048" i="5"/>
  <c r="BO2049" i="5"/>
  <c r="BO2050" i="5"/>
  <c r="BO2051" i="5"/>
  <c r="BO2052" i="5"/>
  <c r="BO2053" i="5"/>
  <c r="BO2054" i="5"/>
  <c r="BO2055" i="5"/>
  <c r="BO2056" i="5"/>
  <c r="BO2057" i="5"/>
  <c r="BO2058" i="5"/>
  <c r="BO2059" i="5"/>
  <c r="BO2060" i="5"/>
  <c r="BO2061" i="5"/>
  <c r="BO2062" i="5"/>
  <c r="BO2063" i="5"/>
  <c r="BO2064" i="5"/>
  <c r="BO2065" i="5"/>
  <c r="BO2066" i="5"/>
  <c r="BO2067" i="5"/>
  <c r="BO2068" i="5"/>
  <c r="BO2069" i="5"/>
  <c r="BO2070" i="5"/>
  <c r="BO2071" i="5"/>
  <c r="BO2072" i="5"/>
  <c r="BO2073" i="5"/>
  <c r="BO2074" i="5"/>
  <c r="BO2075" i="5"/>
  <c r="BO2076" i="5"/>
  <c r="BO2077" i="5"/>
  <c r="BO2078" i="5"/>
  <c r="BO2079" i="5"/>
  <c r="BO2080" i="5"/>
  <c r="BO2081" i="5"/>
  <c r="BO2082" i="5"/>
  <c r="BO2083" i="5"/>
  <c r="BO2084" i="5"/>
  <c r="BO2085" i="5"/>
  <c r="BO2086" i="5"/>
  <c r="BO2087" i="5"/>
  <c r="BO2088" i="5"/>
  <c r="BO2089" i="5"/>
  <c r="BO2090" i="5"/>
  <c r="BO2091" i="5"/>
  <c r="BO2092" i="5"/>
  <c r="BO2093" i="5"/>
  <c r="BO2094" i="5"/>
  <c r="BO2095" i="5"/>
  <c r="BO2096" i="5"/>
  <c r="BO2097" i="5"/>
  <c r="BO2098" i="5"/>
  <c r="BO2099" i="5"/>
  <c r="BO2100" i="5"/>
  <c r="BO2101" i="5"/>
  <c r="BO2102" i="5"/>
  <c r="BO2103" i="5"/>
  <c r="BO2104" i="5"/>
  <c r="BO2105" i="5"/>
  <c r="BO2106" i="5"/>
  <c r="BO2107" i="5"/>
  <c r="BO2108" i="5"/>
  <c r="BO2109" i="5"/>
  <c r="BO2110" i="5"/>
  <c r="BO2111" i="5"/>
  <c r="BO2112" i="5"/>
  <c r="BO2113" i="5"/>
  <c r="BO2114" i="5"/>
  <c r="BO2115" i="5"/>
  <c r="BO2116" i="5"/>
  <c r="BO2117" i="5"/>
  <c r="BO2118" i="5"/>
  <c r="BO2119" i="5"/>
  <c r="BO2120" i="5"/>
  <c r="BO2121" i="5"/>
  <c r="BO2122" i="5"/>
  <c r="BO2123" i="5"/>
  <c r="BO2124" i="5"/>
  <c r="BO2125" i="5"/>
  <c r="BO2126" i="5"/>
  <c r="BO2127" i="5"/>
  <c r="BO2128" i="5"/>
  <c r="BO2129" i="5"/>
  <c r="BO2130" i="5"/>
  <c r="BO2131" i="5"/>
  <c r="BO2132" i="5"/>
  <c r="BO2133" i="5"/>
  <c r="BO2134" i="5"/>
  <c r="BO2135" i="5"/>
  <c r="BO2136" i="5"/>
  <c r="BO2137" i="5"/>
  <c r="BO2138" i="5"/>
  <c r="BO2139" i="5"/>
  <c r="BO2140" i="5"/>
  <c r="BO2141" i="5"/>
  <c r="BO2142" i="5"/>
  <c r="BO2143" i="5"/>
  <c r="BO2144" i="5"/>
  <c r="BO2145" i="5"/>
  <c r="BO2146" i="5"/>
  <c r="BO2147" i="5"/>
  <c r="BO2148" i="5"/>
  <c r="BO2149" i="5"/>
  <c r="BO2150" i="5"/>
  <c r="BO2151" i="5"/>
  <c r="BO2152" i="5"/>
  <c r="BO2153" i="5"/>
  <c r="BO2154" i="5"/>
  <c r="BO2155" i="5"/>
  <c r="BO2156" i="5"/>
  <c r="BO2157" i="5"/>
  <c r="BO2158" i="5"/>
  <c r="BO2159" i="5"/>
  <c r="BO2160" i="5"/>
  <c r="BO2161" i="5"/>
  <c r="BO2162" i="5"/>
  <c r="BO2163" i="5"/>
  <c r="BO2164" i="5"/>
  <c r="BO2165" i="5"/>
  <c r="BO2166" i="5"/>
  <c r="BO2167" i="5"/>
  <c r="BO2168" i="5"/>
  <c r="BO2169" i="5"/>
  <c r="BO2170" i="5"/>
  <c r="BO2171" i="5"/>
  <c r="BO2172" i="5"/>
  <c r="BO2173" i="5"/>
  <c r="BO2174" i="5"/>
  <c r="BO2175" i="5"/>
  <c r="BO2176" i="5"/>
  <c r="BO2177" i="5"/>
  <c r="BO2178" i="5"/>
  <c r="BO2179" i="5"/>
  <c r="BO2180" i="5"/>
  <c r="BO2181" i="5"/>
  <c r="BO2182" i="5"/>
  <c r="BO2183" i="5"/>
  <c r="BO2184" i="5"/>
  <c r="BO2185" i="5"/>
  <c r="BO2186" i="5"/>
  <c r="BO2187" i="5"/>
  <c r="BO2188" i="5"/>
  <c r="BO2189" i="5"/>
  <c r="BO2190" i="5"/>
  <c r="BO2191" i="5"/>
  <c r="BO2192" i="5"/>
  <c r="BO2193" i="5"/>
  <c r="BO2194" i="5"/>
  <c r="BO2195" i="5"/>
  <c r="BO2196" i="5"/>
  <c r="BO2197" i="5"/>
  <c r="BO2198" i="5"/>
  <c r="BO2199" i="5"/>
  <c r="BO2200" i="5"/>
  <c r="BO2201" i="5"/>
  <c r="BO2202" i="5"/>
  <c r="BO2203" i="5"/>
  <c r="BO2204" i="5"/>
  <c r="BO2205" i="5"/>
  <c r="BO2206" i="5"/>
  <c r="BO2207" i="5"/>
  <c r="BO2208" i="5"/>
  <c r="BO2209" i="5"/>
  <c r="BO2210" i="5"/>
  <c r="BO2211" i="5"/>
  <c r="BO2212" i="5"/>
  <c r="BO2213" i="5"/>
  <c r="BO2214" i="5"/>
  <c r="BO2215" i="5"/>
  <c r="BO2216" i="5"/>
  <c r="BO2217" i="5"/>
  <c r="BO2218" i="5"/>
  <c r="BO2219" i="5"/>
  <c r="BO2220" i="5"/>
  <c r="BO2221" i="5"/>
  <c r="BO2222" i="5"/>
  <c r="BO2223" i="5"/>
  <c r="BO2224" i="5"/>
  <c r="BO2225" i="5"/>
  <c r="BO2226" i="5"/>
  <c r="BO2227" i="5"/>
  <c r="BO2228" i="5"/>
  <c r="BO2229" i="5"/>
  <c r="BO2230" i="5"/>
  <c r="BO2231" i="5"/>
  <c r="BO2232" i="5"/>
  <c r="BO2233" i="5"/>
  <c r="BO2234" i="5"/>
  <c r="BO2235" i="5"/>
  <c r="BO2236" i="5"/>
  <c r="BO2237" i="5"/>
  <c r="BO2238" i="5"/>
  <c r="BO2239" i="5"/>
  <c r="BO2240" i="5"/>
  <c r="BO2241" i="5"/>
  <c r="BO2242" i="5"/>
  <c r="BO2243" i="5"/>
  <c r="BO2244" i="5"/>
  <c r="BO2245" i="5"/>
  <c r="BO2246" i="5"/>
  <c r="BO2247" i="5"/>
  <c r="BO2248" i="5"/>
  <c r="BO2249" i="5"/>
  <c r="BO2250" i="5"/>
  <c r="BO2251" i="5"/>
  <c r="BO2252" i="5"/>
  <c r="BO2253" i="5"/>
  <c r="BO2254" i="5"/>
  <c r="BO2255" i="5"/>
  <c r="BO2256" i="5"/>
  <c r="BO2257" i="5"/>
  <c r="BO2258" i="5"/>
  <c r="BO2259" i="5"/>
  <c r="BO2260" i="5"/>
  <c r="BO2261" i="5"/>
  <c r="BO2262" i="5"/>
  <c r="BO2263" i="5"/>
  <c r="BO2264" i="5"/>
  <c r="BO2265" i="5"/>
  <c r="BO2266" i="5"/>
  <c r="BO2267" i="5"/>
  <c r="BO2268" i="5"/>
  <c r="BO2269" i="5"/>
  <c r="BO2270" i="5"/>
  <c r="BO2271" i="5"/>
  <c r="BO2272" i="5"/>
  <c r="BO2273" i="5"/>
  <c r="BO2274" i="5"/>
  <c r="BO2275" i="5"/>
  <c r="BO2276" i="5"/>
  <c r="BO2277" i="5"/>
  <c r="BO2278" i="5"/>
  <c r="BO2279" i="5"/>
  <c r="BO2280" i="5"/>
  <c r="BO2281" i="5"/>
  <c r="BO2282" i="5"/>
  <c r="BO2283" i="5"/>
  <c r="BO2284" i="5"/>
  <c r="BO2285" i="5"/>
  <c r="BO2286" i="5"/>
  <c r="BO2287" i="5"/>
  <c r="BO2288" i="5"/>
  <c r="BO2289" i="5"/>
  <c r="BO2290" i="5"/>
  <c r="BO2291" i="5"/>
  <c r="BO2292" i="5"/>
  <c r="BO2293" i="5"/>
  <c r="BO2294" i="5"/>
  <c r="BO2295" i="5"/>
  <c r="BO2296" i="5"/>
  <c r="BO2297" i="5"/>
  <c r="BO2298" i="5"/>
  <c r="BO2299" i="5"/>
  <c r="BO2300" i="5"/>
  <c r="BO2301" i="5"/>
  <c r="BO2302" i="5"/>
  <c r="BO2303" i="5"/>
  <c r="BO2304" i="5"/>
  <c r="BO2305" i="5"/>
  <c r="BO2306" i="5"/>
  <c r="BO2307" i="5"/>
  <c r="BO2308" i="5"/>
  <c r="BO2309" i="5"/>
  <c r="BO2310" i="5"/>
  <c r="BO2311" i="5"/>
  <c r="BO2312" i="5"/>
  <c r="BO2313" i="5"/>
  <c r="BO2314" i="5"/>
  <c r="BO2315" i="5"/>
  <c r="BO2316" i="5"/>
  <c r="BO2317" i="5"/>
  <c r="BO2318" i="5"/>
  <c r="BO2319" i="5"/>
  <c r="BO2320" i="5"/>
  <c r="BO2321" i="5"/>
  <c r="BO2322" i="5"/>
  <c r="BO2323" i="5"/>
  <c r="BO2324" i="5"/>
  <c r="BO2325" i="5"/>
  <c r="BO2326" i="5"/>
  <c r="BO2327" i="5"/>
  <c r="BO2328" i="5"/>
  <c r="BO2329" i="5"/>
  <c r="BO2330" i="5"/>
  <c r="BO2331" i="5"/>
  <c r="BO2332" i="5"/>
  <c r="BO2333" i="5"/>
  <c r="BO2334" i="5"/>
  <c r="BO2335" i="5"/>
  <c r="BO2336" i="5"/>
  <c r="BO2337" i="5"/>
  <c r="BO2338" i="5"/>
  <c r="BO2339" i="5"/>
  <c r="BO2340" i="5"/>
  <c r="BO2341" i="5"/>
  <c r="BO2342" i="5"/>
  <c r="BO2343" i="5"/>
  <c r="BO2344" i="5"/>
  <c r="BO2345" i="5"/>
  <c r="BO2346" i="5"/>
  <c r="BO2347" i="5"/>
  <c r="BO2348" i="5"/>
  <c r="BO2349" i="5"/>
  <c r="BO2350" i="5"/>
  <c r="BO2351" i="5"/>
  <c r="BO2352" i="5"/>
  <c r="BO2353" i="5"/>
  <c r="BO2354" i="5"/>
  <c r="BO2355" i="5"/>
  <c r="BO2356" i="5"/>
  <c r="BO2357" i="5"/>
  <c r="BO2358" i="5"/>
  <c r="BO2359" i="5"/>
  <c r="BO2360" i="5"/>
  <c r="BO2361" i="5"/>
  <c r="BO2362" i="5"/>
  <c r="BO2363" i="5"/>
  <c r="BO2364" i="5"/>
  <c r="BO2365" i="5"/>
  <c r="BO2366" i="5"/>
  <c r="BO2367" i="5"/>
  <c r="BO2368" i="5"/>
  <c r="BO2369" i="5"/>
  <c r="BO2370" i="5"/>
  <c r="BO2371" i="5"/>
  <c r="BO2372" i="5"/>
  <c r="BO2373" i="5"/>
  <c r="BO2374" i="5"/>
  <c r="BO2375" i="5"/>
  <c r="BO2376" i="5"/>
  <c r="BO2377" i="5"/>
  <c r="BO2378" i="5"/>
  <c r="BO2379" i="5"/>
  <c r="BO2380" i="5"/>
  <c r="BO2381" i="5"/>
  <c r="BO2382" i="5"/>
  <c r="BO2383" i="5"/>
  <c r="BO2384" i="5"/>
  <c r="BO2385" i="5"/>
  <c r="BO2386" i="5"/>
  <c r="BO2387" i="5"/>
  <c r="BO2388" i="5"/>
  <c r="BO2389" i="5"/>
  <c r="BO2390" i="5"/>
  <c r="BO2391" i="5"/>
  <c r="BO2392" i="5"/>
  <c r="BO2393" i="5"/>
  <c r="BO2394" i="5"/>
  <c r="BO2395" i="5"/>
  <c r="BO2396" i="5"/>
  <c r="BO2397" i="5"/>
  <c r="BO2398" i="5"/>
  <c r="BO2399" i="5"/>
  <c r="BO2400" i="5"/>
  <c r="BO2401" i="5"/>
  <c r="BO2402" i="5"/>
  <c r="BO2403" i="5"/>
  <c r="BO2404" i="5"/>
  <c r="BO2405" i="5"/>
  <c r="BO2406" i="5"/>
  <c r="BO2407" i="5"/>
  <c r="BO2408" i="5"/>
  <c r="BO2409" i="5"/>
  <c r="BO2410" i="5"/>
  <c r="BO2411" i="5"/>
  <c r="BO2412" i="5"/>
  <c r="BO2413" i="5"/>
  <c r="BO2414" i="5"/>
  <c r="BO2415" i="5"/>
  <c r="BO2416" i="5"/>
  <c r="BO2417" i="5"/>
  <c r="BO2418" i="5"/>
  <c r="BO2419" i="5"/>
  <c r="BO2420" i="5"/>
  <c r="BO2421" i="5"/>
  <c r="BO2422" i="5"/>
  <c r="BO2423" i="5"/>
  <c r="BO2424" i="5"/>
  <c r="BO2425" i="5"/>
  <c r="BO2426" i="5"/>
  <c r="BO2427" i="5"/>
  <c r="BO2428" i="5"/>
  <c r="BO2429" i="5"/>
  <c r="BO2430" i="5"/>
  <c r="BO2431" i="5"/>
  <c r="BO2432" i="5"/>
  <c r="BO2433" i="5"/>
  <c r="BO2434" i="5"/>
  <c r="BO2435" i="5"/>
  <c r="BO2436" i="5"/>
  <c r="BO2437" i="5"/>
  <c r="BO2438" i="5"/>
  <c r="BO2439" i="5"/>
  <c r="BO2440" i="5"/>
  <c r="BO2441" i="5"/>
  <c r="BO2442" i="5"/>
  <c r="BO2443" i="5"/>
  <c r="BO2444" i="5"/>
  <c r="BO2445" i="5"/>
  <c r="BO2446" i="5"/>
  <c r="BO2447" i="5"/>
  <c r="BO2448" i="5"/>
  <c r="BO2449" i="5"/>
  <c r="BO2450" i="5"/>
  <c r="BO2451" i="5"/>
  <c r="BO2452" i="5"/>
  <c r="BO2453" i="5"/>
  <c r="BO2454" i="5"/>
  <c r="BO2455" i="5"/>
  <c r="BO2456" i="5"/>
  <c r="BO2457" i="5"/>
  <c r="BO2458" i="5"/>
  <c r="BO2459" i="5"/>
  <c r="BO2460" i="5"/>
  <c r="BO2461" i="5"/>
  <c r="BO2462" i="5"/>
  <c r="BO2463" i="5"/>
  <c r="BO2464" i="5"/>
  <c r="BO2465" i="5"/>
  <c r="BO2466" i="5"/>
  <c r="BO2467" i="5"/>
  <c r="BO2468" i="5"/>
  <c r="BO2469" i="5"/>
  <c r="BO2470" i="5"/>
  <c r="BO2471" i="5"/>
  <c r="BO2472" i="5"/>
  <c r="BO2473" i="5"/>
  <c r="BO2474" i="5"/>
  <c r="BO2475" i="5"/>
  <c r="BO2476" i="5"/>
  <c r="BO2477" i="5"/>
  <c r="BO2478" i="5"/>
  <c r="BO2479" i="5"/>
  <c r="BO2480" i="5"/>
  <c r="BO2481" i="5"/>
  <c r="BO2482" i="5"/>
  <c r="BO2483" i="5"/>
  <c r="BO2484" i="5"/>
  <c r="BO2485" i="5"/>
  <c r="BO2486" i="5"/>
  <c r="BO2487" i="5"/>
  <c r="BO2488" i="5"/>
  <c r="BO2489" i="5"/>
  <c r="BO2490" i="5"/>
  <c r="BO2491" i="5"/>
  <c r="BO2492" i="5"/>
  <c r="BO2493" i="5"/>
  <c r="BO2494" i="5"/>
  <c r="BO2495" i="5"/>
  <c r="BO2496" i="5"/>
  <c r="BO2497" i="5"/>
  <c r="BO2498" i="5"/>
  <c r="BO2499" i="5"/>
  <c r="BO2500" i="5"/>
  <c r="BO2501" i="5"/>
  <c r="BO2502" i="5"/>
  <c r="BO2503" i="5"/>
  <c r="BO2504" i="5"/>
  <c r="BO2505" i="5"/>
  <c r="BO2506" i="5"/>
  <c r="BO2507" i="5"/>
  <c r="BO2508" i="5"/>
  <c r="BO2509" i="5"/>
  <c r="BO2510" i="5"/>
  <c r="BO2511" i="5"/>
  <c r="BO2512" i="5"/>
  <c r="BO2513" i="5"/>
  <c r="BO2514" i="5"/>
  <c r="BO2515" i="5"/>
  <c r="BO2516" i="5"/>
  <c r="BO2517" i="5"/>
  <c r="BO2518" i="5"/>
  <c r="BO2519" i="5"/>
  <c r="BO2520" i="5"/>
  <c r="BO2521" i="5"/>
  <c r="BO2522" i="5"/>
  <c r="BO2523" i="5"/>
  <c r="BO2524" i="5"/>
  <c r="BO2525" i="5"/>
  <c r="BO2526" i="5"/>
  <c r="BO2527" i="5"/>
  <c r="BO2528" i="5"/>
  <c r="BO2529" i="5"/>
  <c r="BO2530" i="5"/>
  <c r="BO2531" i="5"/>
  <c r="BO2532" i="5"/>
  <c r="BO2533" i="5"/>
  <c r="BO2534" i="5"/>
  <c r="BO2535" i="5"/>
  <c r="BO2536" i="5"/>
  <c r="BO2537" i="5"/>
  <c r="BO2538" i="5"/>
  <c r="BO2539" i="5"/>
  <c r="BO2540" i="5"/>
  <c r="BO2541" i="5"/>
  <c r="BO2542" i="5"/>
  <c r="BO2543" i="5"/>
  <c r="BO2544" i="5"/>
  <c r="BO2545" i="5"/>
  <c r="BO2546" i="5"/>
  <c r="BO2547" i="5"/>
  <c r="BO2548" i="5"/>
  <c r="BO2549" i="5"/>
  <c r="BO2550" i="5"/>
  <c r="BO2551" i="5"/>
  <c r="BO2552" i="5"/>
  <c r="BO2553" i="5"/>
  <c r="BO2554" i="5"/>
  <c r="BO2555" i="5"/>
  <c r="BO2556" i="5"/>
  <c r="BO2557" i="5"/>
  <c r="BO2558" i="5"/>
  <c r="BO2559" i="5"/>
  <c r="BO2560" i="5"/>
  <c r="BO2561" i="5"/>
  <c r="BO2562" i="5"/>
  <c r="BO2563" i="5"/>
  <c r="BO2564" i="5"/>
  <c r="BO2565" i="5"/>
  <c r="BO2566" i="5"/>
  <c r="BO2567" i="5"/>
  <c r="BO2568" i="5"/>
  <c r="BO2569" i="5"/>
  <c r="BO2570" i="5"/>
  <c r="BO2571" i="5"/>
  <c r="BO2572" i="5"/>
  <c r="BO2573" i="5"/>
  <c r="BO2574" i="5"/>
  <c r="BO2575" i="5"/>
  <c r="BO2576" i="5"/>
  <c r="BO2577" i="5"/>
  <c r="BO2578" i="5"/>
  <c r="BO2579" i="5"/>
  <c r="BO2580" i="5"/>
  <c r="BO2581" i="5"/>
  <c r="BO2582" i="5"/>
  <c r="BO2583" i="5"/>
  <c r="BO2584" i="5"/>
  <c r="BO2585" i="5"/>
  <c r="BO2586" i="5"/>
  <c r="BO2587" i="5"/>
  <c r="BO2588" i="5"/>
  <c r="BO2589" i="5"/>
  <c r="BO2590" i="5"/>
  <c r="BO2591" i="5"/>
  <c r="BO2592" i="5"/>
  <c r="BO2593" i="5"/>
  <c r="BO2594" i="5"/>
  <c r="BO2595" i="5"/>
  <c r="BO2596" i="5"/>
  <c r="BO2597" i="5"/>
  <c r="BO2598" i="5"/>
  <c r="BO2599" i="5"/>
  <c r="BO2600" i="5"/>
  <c r="BO2601" i="5"/>
  <c r="BO2602" i="5"/>
  <c r="BO2603" i="5"/>
  <c r="BO2604" i="5"/>
  <c r="BO2605" i="5"/>
  <c r="BO2606" i="5"/>
  <c r="BO2607" i="5"/>
  <c r="BO2608" i="5"/>
  <c r="BO2609" i="5"/>
  <c r="BO2610" i="5"/>
  <c r="BO2611" i="5"/>
  <c r="BO2612" i="5"/>
  <c r="BO2613" i="5"/>
  <c r="BO2614" i="5"/>
  <c r="BO2615" i="5"/>
  <c r="BO2616" i="5"/>
  <c r="BO2617" i="5"/>
  <c r="BO2618" i="5"/>
  <c r="BO2619" i="5"/>
  <c r="BO2620" i="5"/>
  <c r="BO2621" i="5"/>
  <c r="BO2622" i="5"/>
  <c r="BO2623" i="5"/>
  <c r="BO2624" i="5"/>
  <c r="BO2625" i="5"/>
  <c r="BO2626" i="5"/>
  <c r="BO2627" i="5"/>
  <c r="BO2628" i="5"/>
  <c r="BO2629" i="5"/>
  <c r="BO2630" i="5"/>
  <c r="BO2631" i="5"/>
  <c r="BO2632" i="5"/>
  <c r="BO2633" i="5"/>
  <c r="BO2634" i="5"/>
  <c r="BO2635" i="5"/>
  <c r="BO2636" i="5"/>
  <c r="BO2637" i="5"/>
  <c r="BO2638" i="5"/>
  <c r="BO2639" i="5"/>
  <c r="BO2640" i="5"/>
  <c r="BO2641" i="5"/>
  <c r="BO2642" i="5"/>
  <c r="BO2643" i="5"/>
  <c r="BO2644" i="5"/>
  <c r="BO2645" i="5"/>
  <c r="BO2646" i="5"/>
  <c r="BO2647" i="5"/>
  <c r="BO2648" i="5"/>
  <c r="BO2649" i="5"/>
  <c r="BO2650" i="5"/>
  <c r="BO2651" i="5"/>
  <c r="BO2652" i="5"/>
  <c r="BO2653" i="5"/>
  <c r="BO2654" i="5"/>
  <c r="BO2655" i="5"/>
  <c r="BO2656" i="5"/>
  <c r="BO2657" i="5"/>
  <c r="BO2658" i="5"/>
  <c r="BO2659" i="5"/>
  <c r="BO2660" i="5"/>
  <c r="BO2661" i="5"/>
  <c r="BO2662" i="5"/>
  <c r="BO2663" i="5"/>
  <c r="BO2664" i="5"/>
  <c r="BO2665" i="5"/>
  <c r="BO2666" i="5"/>
  <c r="BO2667" i="5"/>
  <c r="BO2668" i="5"/>
  <c r="BO2669" i="5"/>
  <c r="BO2670" i="5"/>
  <c r="BO2671" i="5"/>
  <c r="BO2672" i="5"/>
  <c r="BO2673" i="5"/>
  <c r="BO2674" i="5"/>
  <c r="BO2675" i="5"/>
  <c r="BO2676" i="5"/>
  <c r="BO2677" i="5"/>
  <c r="BO2678" i="5"/>
  <c r="BO2679" i="5"/>
  <c r="BO2680" i="5"/>
  <c r="BO2681" i="5"/>
  <c r="BO2682" i="5"/>
  <c r="BO2683" i="5"/>
  <c r="BO2684" i="5"/>
  <c r="BO2685" i="5"/>
  <c r="BO2686" i="5"/>
  <c r="BO2687" i="5"/>
  <c r="BO2688" i="5"/>
  <c r="BO2689" i="5"/>
  <c r="BO2690" i="5"/>
  <c r="BO2691" i="5"/>
  <c r="BO2692" i="5"/>
  <c r="BO2693" i="5"/>
  <c r="BO2694" i="5"/>
  <c r="BO2695" i="5"/>
  <c r="BO2696" i="5"/>
  <c r="BO2697" i="5"/>
  <c r="BO2698" i="5"/>
  <c r="BO2699" i="5"/>
  <c r="BO2700" i="5"/>
  <c r="BO2701" i="5"/>
  <c r="BO2702" i="5"/>
  <c r="BO2703" i="5"/>
  <c r="BO2704" i="5"/>
  <c r="BO2705" i="5"/>
  <c r="BO2706" i="5"/>
  <c r="BO2707" i="5"/>
  <c r="BO2708" i="5"/>
  <c r="BO2709" i="5"/>
  <c r="BO2710" i="5"/>
  <c r="BO2711" i="5"/>
  <c r="BO2712" i="5"/>
  <c r="BO2713" i="5"/>
  <c r="BO2714" i="5"/>
  <c r="BO2715" i="5"/>
  <c r="BO2716" i="5"/>
  <c r="BO2717" i="5"/>
  <c r="BO2718" i="5"/>
  <c r="BO2719" i="5"/>
  <c r="BO2720" i="5"/>
  <c r="BO2721" i="5"/>
  <c r="BO2722" i="5"/>
  <c r="BO2723" i="5"/>
  <c r="BO2724" i="5"/>
  <c r="BO2725" i="5"/>
  <c r="BO2726" i="5"/>
  <c r="BO2727" i="5"/>
  <c r="BO2728" i="5"/>
  <c r="BO2729" i="5"/>
  <c r="BO2730" i="5"/>
  <c r="BO2731" i="5"/>
  <c r="BO2732" i="5"/>
  <c r="BO2733" i="5"/>
  <c r="BO2734" i="5"/>
  <c r="BO2735" i="5"/>
  <c r="BO2736" i="5"/>
  <c r="BO2737" i="5"/>
  <c r="BO2738" i="5"/>
  <c r="BO2739" i="5"/>
  <c r="BO2740" i="5"/>
  <c r="BO2741" i="5"/>
  <c r="BO2742" i="5"/>
  <c r="BO2743" i="5"/>
  <c r="BX2852" i="5" l="1"/>
  <c r="BX2840" i="5"/>
  <c r="BX2859" i="5"/>
  <c r="BX2847" i="5"/>
  <c r="BX2835" i="5"/>
  <c r="BX2823" i="5"/>
  <c r="BX2854" i="5"/>
  <c r="BX2842" i="5"/>
  <c r="BX2830" i="5"/>
  <c r="BR2822" i="5"/>
  <c r="BX2863" i="5"/>
  <c r="BX2851" i="5"/>
  <c r="BX2839" i="5"/>
  <c r="BX2827" i="5"/>
  <c r="BR2862" i="5"/>
  <c r="BR2850" i="5"/>
  <c r="BR2838" i="5"/>
  <c r="BR2826" i="5"/>
  <c r="BR2857" i="5"/>
  <c r="BR2845" i="5"/>
  <c r="BR2833" i="5"/>
  <c r="BR2821" i="5"/>
  <c r="BX2853" i="5"/>
  <c r="BX2841" i="5"/>
  <c r="BX2829" i="5"/>
  <c r="BR2856" i="5"/>
  <c r="BR2844" i="5"/>
  <c r="BR2832" i="5"/>
  <c r="BR2863" i="5"/>
  <c r="BR2851" i="5"/>
  <c r="BR2839" i="5"/>
  <c r="BR2827" i="5"/>
  <c r="BR2858" i="5"/>
  <c r="BR2846" i="5"/>
  <c r="BR2834" i="5"/>
  <c r="BX2828" i="5"/>
  <c r="BX2861" i="5"/>
  <c r="BX2849" i="5"/>
  <c r="BX2837" i="5"/>
  <c r="BX2825" i="5"/>
  <c r="BX2856" i="5"/>
  <c r="BX2844" i="5"/>
  <c r="BX2832" i="5"/>
  <c r="BX2858" i="5"/>
  <c r="BX2846" i="5"/>
  <c r="BX2834" i="5"/>
  <c r="BX2822" i="5"/>
  <c r="BX2860" i="5"/>
  <c r="BX2848" i="5"/>
  <c r="BX2836" i="5"/>
  <c r="BX2824" i="5"/>
  <c r="BX2855" i="5"/>
  <c r="BX2843" i="5"/>
  <c r="BX2831" i="5"/>
  <c r="BX2862" i="5"/>
  <c r="BX2850" i="5"/>
  <c r="BX2838" i="5"/>
  <c r="BX2826" i="5"/>
  <c r="BX2857" i="5"/>
  <c r="BX2845" i="5"/>
  <c r="BX2833" i="5"/>
  <c r="BX2821" i="5"/>
  <c r="BR2852" i="5"/>
  <c r="BR2840" i="5"/>
  <c r="BR2828" i="5"/>
  <c r="BR2859" i="5"/>
  <c r="BR2847" i="5"/>
  <c r="BR2835" i="5"/>
  <c r="BR2823" i="5"/>
  <c r="BR2854" i="5"/>
  <c r="BR2842" i="5"/>
  <c r="BR2830" i="5"/>
  <c r="BR2861" i="5"/>
  <c r="BR2849" i="5"/>
  <c r="BR2837" i="5"/>
  <c r="BY2837" i="5" s="1"/>
  <c r="CC2837" i="5" s="1"/>
  <c r="CD2837" i="5" s="1"/>
  <c r="CE2837" i="5" s="1"/>
  <c r="BR2825" i="5"/>
  <c r="BR2836" i="5"/>
  <c r="BR2860" i="5"/>
  <c r="BR2853" i="5"/>
  <c r="BR2841" i="5"/>
  <c r="BX2810" i="5"/>
  <c r="BR2829" i="5"/>
  <c r="BR2855" i="5"/>
  <c r="BR2843" i="5"/>
  <c r="BR2831" i="5"/>
  <c r="BR2824" i="5"/>
  <c r="BX2808" i="5"/>
  <c r="BR2848" i="5"/>
  <c r="BR2771" i="5"/>
  <c r="BX2816" i="5"/>
  <c r="BR2810" i="5"/>
  <c r="BX2813" i="5"/>
  <c r="BR2817" i="5"/>
  <c r="BR2819" i="5"/>
  <c r="BR2807" i="5"/>
  <c r="BX2820" i="5"/>
  <c r="BR2818" i="5"/>
  <c r="BR2820" i="5"/>
  <c r="BR2808" i="5"/>
  <c r="BX2819" i="5"/>
  <c r="BX2807" i="5"/>
  <c r="BR2813" i="5"/>
  <c r="BX2812" i="5"/>
  <c r="BX2814" i="5"/>
  <c r="BX2818" i="5"/>
  <c r="BX2817" i="5"/>
  <c r="BR2797" i="5"/>
  <c r="BR2812" i="5"/>
  <c r="BR2814" i="5"/>
  <c r="BR2816" i="5"/>
  <c r="BX2811" i="5"/>
  <c r="BX2815" i="5"/>
  <c r="BR2815" i="5"/>
  <c r="BX2757" i="5"/>
  <c r="BR2809" i="5"/>
  <c r="BR2811" i="5"/>
  <c r="BX2801" i="5"/>
  <c r="BX2789" i="5"/>
  <c r="BX2777" i="5"/>
  <c r="BX2765" i="5"/>
  <c r="BX2753" i="5"/>
  <c r="BX2809" i="5"/>
  <c r="BR2761" i="5"/>
  <c r="BR2749" i="5"/>
  <c r="BR2789" i="5"/>
  <c r="BR2792" i="5"/>
  <c r="BR2773" i="5"/>
  <c r="BR2785" i="5"/>
  <c r="BX2799" i="5"/>
  <c r="BX2787" i="5"/>
  <c r="BX2775" i="5"/>
  <c r="BX2763" i="5"/>
  <c r="BX2751" i="5"/>
  <c r="BX2793" i="5"/>
  <c r="BX2769" i="5"/>
  <c r="BX2803" i="5"/>
  <c r="BX2779" i="5"/>
  <c r="BX2755" i="5"/>
  <c r="BR2805" i="5"/>
  <c r="BR2793" i="5"/>
  <c r="BR2781" i="5"/>
  <c r="BR2769" i="5"/>
  <c r="BR2757" i="5"/>
  <c r="BR2745" i="5"/>
  <c r="BR2799" i="5"/>
  <c r="BR2787" i="5"/>
  <c r="BR2775" i="5"/>
  <c r="BR2763" i="5"/>
  <c r="BR2751" i="5"/>
  <c r="BR2801" i="5"/>
  <c r="BR2777" i="5"/>
  <c r="BR2765" i="5"/>
  <c r="BR2753" i="5"/>
  <c r="BR2804" i="5"/>
  <c r="BR2780" i="5"/>
  <c r="BR2768" i="5"/>
  <c r="BR2756" i="5"/>
  <c r="BR2744" i="5"/>
  <c r="BR2795" i="5"/>
  <c r="BR2783" i="5"/>
  <c r="BR2759" i="5"/>
  <c r="BR2747" i="5"/>
  <c r="BR2798" i="5"/>
  <c r="BR2786" i="5"/>
  <c r="BR2774" i="5"/>
  <c r="BR2762" i="5"/>
  <c r="BX2802" i="5"/>
  <c r="BX2790" i="5"/>
  <c r="BX2778" i="5"/>
  <c r="BX2766" i="5"/>
  <c r="BX2754" i="5"/>
  <c r="BX2805" i="5"/>
  <c r="BX2781" i="5"/>
  <c r="BX2745" i="5"/>
  <c r="BX2796" i="5"/>
  <c r="BX2784" i="5"/>
  <c r="BX2772" i="5"/>
  <c r="BX2804" i="5"/>
  <c r="BX2792" i="5"/>
  <c r="BX2780" i="5"/>
  <c r="BX2768" i="5"/>
  <c r="BX2756" i="5"/>
  <c r="BX2744" i="5"/>
  <c r="BX2798" i="5"/>
  <c r="BX2786" i="5"/>
  <c r="BX2774" i="5"/>
  <c r="BX2762" i="5"/>
  <c r="BX2750" i="5"/>
  <c r="BR2750" i="5"/>
  <c r="BX2791" i="5"/>
  <c r="BX2767" i="5"/>
  <c r="BR2796" i="5"/>
  <c r="BR2784" i="5"/>
  <c r="BR2772" i="5"/>
  <c r="BR2760" i="5"/>
  <c r="BR2748" i="5"/>
  <c r="BR2802" i="5"/>
  <c r="BR2790" i="5"/>
  <c r="BR2778" i="5"/>
  <c r="BR2766" i="5"/>
  <c r="BR2754" i="5"/>
  <c r="BX2795" i="5"/>
  <c r="BX2783" i="5"/>
  <c r="BX2771" i="5"/>
  <c r="BX2759" i="5"/>
  <c r="BX2747" i="5"/>
  <c r="BX2806" i="5"/>
  <c r="BX2794" i="5"/>
  <c r="BX2782" i="5"/>
  <c r="BX2770" i="5"/>
  <c r="BX2758" i="5"/>
  <c r="BX2746" i="5"/>
  <c r="BX2797" i="5"/>
  <c r="BX2785" i="5"/>
  <c r="BX2773" i="5"/>
  <c r="BX2761" i="5"/>
  <c r="BX2749" i="5"/>
  <c r="BX2800" i="5"/>
  <c r="BX2788" i="5"/>
  <c r="BX2776" i="5"/>
  <c r="BX2764" i="5"/>
  <c r="BX2752" i="5"/>
  <c r="BX2760" i="5"/>
  <c r="BX2748" i="5"/>
  <c r="BR2803" i="5"/>
  <c r="BR2791" i="5"/>
  <c r="BR2779" i="5"/>
  <c r="BR2767" i="5"/>
  <c r="BR2755" i="5"/>
  <c r="BR2806" i="5"/>
  <c r="BR2794" i="5"/>
  <c r="BR2782" i="5"/>
  <c r="BR2770" i="5"/>
  <c r="BR2758" i="5"/>
  <c r="BR2746" i="5"/>
  <c r="BR2800" i="5"/>
  <c r="BR2788" i="5"/>
  <c r="BR2776" i="5"/>
  <c r="BR2764" i="5"/>
  <c r="BR2752" i="5"/>
  <c r="BH2521" i="5"/>
  <c r="BH2523" i="5"/>
  <c r="BH2528" i="5"/>
  <c r="BH2529" i="5"/>
  <c r="BH2533" i="5"/>
  <c r="BH2535" i="5"/>
  <c r="BH2540" i="5"/>
  <c r="BH2545" i="5"/>
  <c r="BH2547" i="5"/>
  <c r="BH2552" i="5"/>
  <c r="BH2557" i="5"/>
  <c r="BH2559" i="5"/>
  <c r="BH2564" i="5"/>
  <c r="BH2571" i="5"/>
  <c r="BH2576" i="5"/>
  <c r="BH2577" i="5"/>
  <c r="BH2581" i="5"/>
  <c r="BH2583" i="5"/>
  <c r="BH2588" i="5"/>
  <c r="BH2589" i="5"/>
  <c r="BH2595" i="5"/>
  <c r="BH2600" i="5"/>
  <c r="BH2605" i="5"/>
  <c r="BH2607" i="5"/>
  <c r="BH2612" i="5"/>
  <c r="BH2617" i="5"/>
  <c r="BH2619" i="5"/>
  <c r="BH2624" i="5"/>
  <c r="BH2629" i="5"/>
  <c r="BH2631" i="5"/>
  <c r="BH2637" i="5"/>
  <c r="BH2643" i="5"/>
  <c r="BH2648" i="5"/>
  <c r="BH2655" i="5"/>
  <c r="BH2660" i="5"/>
  <c r="BH2665" i="5"/>
  <c r="BH2667" i="5"/>
  <c r="BH2672" i="5"/>
  <c r="BH2677" i="5"/>
  <c r="BH2679" i="5"/>
  <c r="BH2684" i="5"/>
  <c r="BH2685" i="5"/>
  <c r="BH2689" i="5"/>
  <c r="BH2696" i="5"/>
  <c r="BH2703" i="5"/>
  <c r="BH2708" i="5"/>
  <c r="BH2709" i="5"/>
  <c r="BH2715" i="5"/>
  <c r="BH2720" i="5"/>
  <c r="BH2721" i="5"/>
  <c r="BH2725" i="5"/>
  <c r="BH2727" i="5"/>
  <c r="BH2732" i="5"/>
  <c r="BH2733" i="5"/>
  <c r="BH2737" i="5"/>
  <c r="BH2738" i="5"/>
  <c r="BH2739" i="5"/>
  <c r="BH2525" i="5"/>
  <c r="BH2536" i="5"/>
  <c r="BH2537" i="5"/>
  <c r="BH2548" i="5"/>
  <c r="BH2549" i="5"/>
  <c r="BH2550" i="5"/>
  <c r="BH2561" i="5"/>
  <c r="BH2573" i="5"/>
  <c r="BH2584" i="5"/>
  <c r="BH2585" i="5"/>
  <c r="BH2597" i="5"/>
  <c r="BH2608" i="5"/>
  <c r="BH2609" i="5"/>
  <c r="BH2621" i="5"/>
  <c r="BH2622" i="5"/>
  <c r="BH2633" i="5"/>
  <c r="BH2644" i="5"/>
  <c r="BH2645" i="5"/>
  <c r="BH2656" i="5"/>
  <c r="BH2657" i="5"/>
  <c r="BH2669" i="5"/>
  <c r="BH2681" i="5"/>
  <c r="BH2692" i="5"/>
  <c r="BH2693" i="5"/>
  <c r="BH2704" i="5"/>
  <c r="BH2705" i="5"/>
  <c r="BH2717" i="5"/>
  <c r="BH2728" i="5"/>
  <c r="BH2729" i="5"/>
  <c r="BH2740" i="5"/>
  <c r="BH2741" i="5"/>
  <c r="BH2743" i="5"/>
  <c r="BH2731" i="5"/>
  <c r="BH2719" i="5"/>
  <c r="BH2713" i="5"/>
  <c r="BH2701" i="5"/>
  <c r="BH2697" i="5"/>
  <c r="BH2695" i="5"/>
  <c r="BH2683" i="5"/>
  <c r="BH2673" i="5"/>
  <c r="BH2671" i="5"/>
  <c r="BH2661" i="5"/>
  <c r="BH2653" i="5"/>
  <c r="BH2649" i="5"/>
  <c r="BH2647" i="5"/>
  <c r="BH2641" i="5"/>
  <c r="BH2636" i="5"/>
  <c r="BH2635" i="5"/>
  <c r="BH2625" i="5"/>
  <c r="BH2623" i="5"/>
  <c r="BH2613" i="5"/>
  <c r="BH2601" i="5"/>
  <c r="BH2599" i="5"/>
  <c r="BH2593" i="5"/>
  <c r="BH2587" i="5"/>
  <c r="BH2575" i="5"/>
  <c r="BH2569" i="5"/>
  <c r="BH2565" i="5"/>
  <c r="BH2553" i="5"/>
  <c r="BH2551" i="5"/>
  <c r="BH2541" i="5"/>
  <c r="BH2539" i="5"/>
  <c r="BH2527" i="5"/>
  <c r="BH2742" i="5"/>
  <c r="BH2723" i="5"/>
  <c r="BH2722" i="5"/>
  <c r="BH2707" i="5"/>
  <c r="BH2688" i="5"/>
  <c r="BH2676" i="5"/>
  <c r="BH2652" i="5"/>
  <c r="BH2651" i="5"/>
  <c r="BH2640" i="5"/>
  <c r="BH2638" i="5"/>
  <c r="BH2614" i="5"/>
  <c r="BH2592" i="5"/>
  <c r="BH2580" i="5"/>
  <c r="BH2579" i="5"/>
  <c r="BH2578" i="5"/>
  <c r="BH2563" i="5"/>
  <c r="BH2556" i="5"/>
  <c r="BH2544" i="5"/>
  <c r="BH2542" i="5"/>
  <c r="BH2532" i="5"/>
  <c r="BH2530" i="5"/>
  <c r="BI2738" i="5"/>
  <c r="BI2739" i="5"/>
  <c r="BI2740" i="5"/>
  <c r="BI2741" i="5"/>
  <c r="BI2742" i="5"/>
  <c r="BI2743" i="5"/>
  <c r="BK2738" i="5"/>
  <c r="BK2739" i="5"/>
  <c r="BK2740" i="5"/>
  <c r="BK2741" i="5"/>
  <c r="BK2742" i="5"/>
  <c r="BK2743" i="5"/>
  <c r="BL2738" i="5"/>
  <c r="BL2739" i="5"/>
  <c r="BL2740" i="5"/>
  <c r="BL2741" i="5"/>
  <c r="BL2742" i="5"/>
  <c r="BL2743" i="5"/>
  <c r="BM2738" i="5"/>
  <c r="BM2739" i="5"/>
  <c r="BM2740" i="5"/>
  <c r="BM2741" i="5"/>
  <c r="BM2742" i="5"/>
  <c r="BM2743" i="5"/>
  <c r="BN2738" i="5"/>
  <c r="BN2739" i="5"/>
  <c r="BN2740" i="5"/>
  <c r="BN2741" i="5"/>
  <c r="BN2742" i="5"/>
  <c r="BN2743" i="5"/>
  <c r="BP2738" i="5"/>
  <c r="BP2739" i="5"/>
  <c r="BP2740" i="5"/>
  <c r="BP2741" i="5"/>
  <c r="BP2742" i="5"/>
  <c r="BP2743" i="5"/>
  <c r="BQ2738" i="5"/>
  <c r="CB2738" i="5" s="1"/>
  <c r="BQ2739" i="5"/>
  <c r="CB2739" i="5" s="1"/>
  <c r="BQ2740" i="5"/>
  <c r="CB2740" i="5" s="1"/>
  <c r="BQ2741" i="5"/>
  <c r="CB2741" i="5" s="1"/>
  <c r="BQ2742" i="5"/>
  <c r="CB2742" i="5" s="1"/>
  <c r="BQ2743" i="5"/>
  <c r="CB2743" i="5" s="1"/>
  <c r="BT2738" i="5"/>
  <c r="BT2739" i="5"/>
  <c r="BT2740" i="5"/>
  <c r="BT2741" i="5"/>
  <c r="BT2742" i="5"/>
  <c r="BT2743" i="5"/>
  <c r="BU2738" i="5"/>
  <c r="BU2739" i="5"/>
  <c r="BU2740" i="5"/>
  <c r="BU2741" i="5"/>
  <c r="BU2742" i="5"/>
  <c r="BU2743" i="5"/>
  <c r="BV2738" i="5"/>
  <c r="BV2739" i="5"/>
  <c r="BV2740" i="5"/>
  <c r="BV2741" i="5"/>
  <c r="BV2742" i="5"/>
  <c r="BV2743" i="5"/>
  <c r="BW2738" i="5"/>
  <c r="BW2739" i="5"/>
  <c r="BW2740" i="5"/>
  <c r="BW2741" i="5"/>
  <c r="BW2742" i="5"/>
  <c r="BW2743" i="5"/>
  <c r="BW2" i="5"/>
  <c r="BW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90" i="5"/>
  <c r="BW191" i="5"/>
  <c r="BW192" i="5"/>
  <c r="BW193" i="5"/>
  <c r="BW194" i="5"/>
  <c r="BW195" i="5"/>
  <c r="BW196" i="5"/>
  <c r="BW197" i="5"/>
  <c r="BW198" i="5"/>
  <c r="BW199" i="5"/>
  <c r="BW200" i="5"/>
  <c r="BW201" i="5"/>
  <c r="BW202" i="5"/>
  <c r="BW203" i="5"/>
  <c r="BW204" i="5"/>
  <c r="BW205" i="5"/>
  <c r="BW206" i="5"/>
  <c r="BW207" i="5"/>
  <c r="BW208" i="5"/>
  <c r="BW209" i="5"/>
  <c r="BW210" i="5"/>
  <c r="BW211" i="5"/>
  <c r="BW212" i="5"/>
  <c r="BW213" i="5"/>
  <c r="BW214" i="5"/>
  <c r="BW215" i="5"/>
  <c r="BW216" i="5"/>
  <c r="BW217" i="5"/>
  <c r="BW218" i="5"/>
  <c r="BW219" i="5"/>
  <c r="BW220" i="5"/>
  <c r="BW221" i="5"/>
  <c r="BW222" i="5"/>
  <c r="BW223" i="5"/>
  <c r="BW224" i="5"/>
  <c r="BW225" i="5"/>
  <c r="BW226" i="5"/>
  <c r="BW227" i="5"/>
  <c r="BW228" i="5"/>
  <c r="BW229" i="5"/>
  <c r="BW230" i="5"/>
  <c r="BW231" i="5"/>
  <c r="BW232" i="5"/>
  <c r="BW233" i="5"/>
  <c r="BW234" i="5"/>
  <c r="BW235" i="5"/>
  <c r="BW236" i="5"/>
  <c r="BW237" i="5"/>
  <c r="BW238" i="5"/>
  <c r="BW239" i="5"/>
  <c r="BW240" i="5"/>
  <c r="BW241" i="5"/>
  <c r="BW242" i="5"/>
  <c r="BW243" i="5"/>
  <c r="BW244" i="5"/>
  <c r="BW245" i="5"/>
  <c r="BW246" i="5"/>
  <c r="BW247" i="5"/>
  <c r="BW248" i="5"/>
  <c r="BW249" i="5"/>
  <c r="BW250" i="5"/>
  <c r="BW251" i="5"/>
  <c r="BW252" i="5"/>
  <c r="BW253" i="5"/>
  <c r="BW254" i="5"/>
  <c r="BW255" i="5"/>
  <c r="BW256" i="5"/>
  <c r="BW257" i="5"/>
  <c r="BW258" i="5"/>
  <c r="BW259" i="5"/>
  <c r="BW260" i="5"/>
  <c r="BW261" i="5"/>
  <c r="BW262" i="5"/>
  <c r="BW263" i="5"/>
  <c r="BW264" i="5"/>
  <c r="BW265" i="5"/>
  <c r="BW266" i="5"/>
  <c r="BW267" i="5"/>
  <c r="BW268" i="5"/>
  <c r="BW269" i="5"/>
  <c r="BW270" i="5"/>
  <c r="BW271" i="5"/>
  <c r="BW272" i="5"/>
  <c r="BW273" i="5"/>
  <c r="BW274" i="5"/>
  <c r="BW275" i="5"/>
  <c r="BW276" i="5"/>
  <c r="BW277" i="5"/>
  <c r="BW278" i="5"/>
  <c r="BW279" i="5"/>
  <c r="BW280" i="5"/>
  <c r="BW281" i="5"/>
  <c r="BW282" i="5"/>
  <c r="BW283" i="5"/>
  <c r="BW284" i="5"/>
  <c r="BW285" i="5"/>
  <c r="BW286" i="5"/>
  <c r="BW287" i="5"/>
  <c r="BW288" i="5"/>
  <c r="BW289" i="5"/>
  <c r="BW290" i="5"/>
  <c r="BW291" i="5"/>
  <c r="BW292" i="5"/>
  <c r="BW293" i="5"/>
  <c r="BW294" i="5"/>
  <c r="BW295" i="5"/>
  <c r="BW296" i="5"/>
  <c r="BW297" i="5"/>
  <c r="BW298" i="5"/>
  <c r="BW299" i="5"/>
  <c r="BW300" i="5"/>
  <c r="BW301" i="5"/>
  <c r="BW302" i="5"/>
  <c r="BW303" i="5"/>
  <c r="BW304" i="5"/>
  <c r="BW305" i="5"/>
  <c r="BW306" i="5"/>
  <c r="BW307" i="5"/>
  <c r="BW308" i="5"/>
  <c r="BW309" i="5"/>
  <c r="BW310" i="5"/>
  <c r="BW311" i="5"/>
  <c r="BW312" i="5"/>
  <c r="BW313" i="5"/>
  <c r="BW314" i="5"/>
  <c r="BW315" i="5"/>
  <c r="BW316" i="5"/>
  <c r="BW317" i="5"/>
  <c r="BW318" i="5"/>
  <c r="BW319" i="5"/>
  <c r="BW320" i="5"/>
  <c r="BW321" i="5"/>
  <c r="BW322" i="5"/>
  <c r="BW323" i="5"/>
  <c r="BW324" i="5"/>
  <c r="BW325" i="5"/>
  <c r="BW326" i="5"/>
  <c r="BW327" i="5"/>
  <c r="BW328" i="5"/>
  <c r="BW329" i="5"/>
  <c r="BW330" i="5"/>
  <c r="BW331" i="5"/>
  <c r="BW332" i="5"/>
  <c r="BW333" i="5"/>
  <c r="BW334" i="5"/>
  <c r="BW335" i="5"/>
  <c r="BW336" i="5"/>
  <c r="BW337" i="5"/>
  <c r="BW338" i="5"/>
  <c r="BW339" i="5"/>
  <c r="BW340" i="5"/>
  <c r="BW341" i="5"/>
  <c r="BW342" i="5"/>
  <c r="BW343" i="5"/>
  <c r="BW344" i="5"/>
  <c r="BW345" i="5"/>
  <c r="BW346" i="5"/>
  <c r="BW347" i="5"/>
  <c r="BW348" i="5"/>
  <c r="BW349" i="5"/>
  <c r="BW350" i="5"/>
  <c r="BW351" i="5"/>
  <c r="BW352" i="5"/>
  <c r="BW353" i="5"/>
  <c r="BW354" i="5"/>
  <c r="BW355" i="5"/>
  <c r="BW356" i="5"/>
  <c r="BW357" i="5"/>
  <c r="BW358" i="5"/>
  <c r="BW359" i="5"/>
  <c r="BW360" i="5"/>
  <c r="BW361" i="5"/>
  <c r="BW362" i="5"/>
  <c r="BW363" i="5"/>
  <c r="BW364" i="5"/>
  <c r="BW365" i="5"/>
  <c r="BW366" i="5"/>
  <c r="BW367" i="5"/>
  <c r="BW368" i="5"/>
  <c r="BW369" i="5"/>
  <c r="BW370" i="5"/>
  <c r="BW371" i="5"/>
  <c r="BW372" i="5"/>
  <c r="BW373" i="5"/>
  <c r="BW374" i="5"/>
  <c r="BW375" i="5"/>
  <c r="BW376" i="5"/>
  <c r="BW377" i="5"/>
  <c r="BW378" i="5"/>
  <c r="BW379" i="5"/>
  <c r="BW380" i="5"/>
  <c r="BW381" i="5"/>
  <c r="BW382" i="5"/>
  <c r="BW383" i="5"/>
  <c r="BW384" i="5"/>
  <c r="BW385" i="5"/>
  <c r="BW386" i="5"/>
  <c r="BW387" i="5"/>
  <c r="BW388" i="5"/>
  <c r="BW389" i="5"/>
  <c r="BW390" i="5"/>
  <c r="BW391" i="5"/>
  <c r="BW392" i="5"/>
  <c r="BW393" i="5"/>
  <c r="BW394" i="5"/>
  <c r="BW395" i="5"/>
  <c r="BW396" i="5"/>
  <c r="BW397" i="5"/>
  <c r="BW398" i="5"/>
  <c r="BW399" i="5"/>
  <c r="BW400" i="5"/>
  <c r="BW401" i="5"/>
  <c r="BW402" i="5"/>
  <c r="BW403" i="5"/>
  <c r="BW404" i="5"/>
  <c r="BW405" i="5"/>
  <c r="BW406" i="5"/>
  <c r="BW407" i="5"/>
  <c r="BW408" i="5"/>
  <c r="BW409" i="5"/>
  <c r="BW410" i="5"/>
  <c r="BW411" i="5"/>
  <c r="BW412" i="5"/>
  <c r="BW413" i="5"/>
  <c r="BW414" i="5"/>
  <c r="BW415" i="5"/>
  <c r="BW416" i="5"/>
  <c r="BW417" i="5"/>
  <c r="BW418" i="5"/>
  <c r="BW419" i="5"/>
  <c r="BW420" i="5"/>
  <c r="BW421" i="5"/>
  <c r="BW422" i="5"/>
  <c r="BW423" i="5"/>
  <c r="BW424" i="5"/>
  <c r="BW425" i="5"/>
  <c r="BW426" i="5"/>
  <c r="BW427" i="5"/>
  <c r="BW428" i="5"/>
  <c r="BW429" i="5"/>
  <c r="BW430" i="5"/>
  <c r="BW431" i="5"/>
  <c r="BW432" i="5"/>
  <c r="BW433" i="5"/>
  <c r="BW434" i="5"/>
  <c r="BW435" i="5"/>
  <c r="BW436" i="5"/>
  <c r="BW437" i="5"/>
  <c r="BW438" i="5"/>
  <c r="BW439" i="5"/>
  <c r="BW440" i="5"/>
  <c r="BW441" i="5"/>
  <c r="BW442" i="5"/>
  <c r="BW443" i="5"/>
  <c r="BW444" i="5"/>
  <c r="BW445" i="5"/>
  <c r="BW446" i="5"/>
  <c r="BW447" i="5"/>
  <c r="BW448" i="5"/>
  <c r="BW449" i="5"/>
  <c r="BW450" i="5"/>
  <c r="BW451" i="5"/>
  <c r="BW452" i="5"/>
  <c r="BW453" i="5"/>
  <c r="BW454" i="5"/>
  <c r="BW455" i="5"/>
  <c r="BW456" i="5"/>
  <c r="BW457" i="5"/>
  <c r="BW458" i="5"/>
  <c r="BW459" i="5"/>
  <c r="BW460" i="5"/>
  <c r="BW461" i="5"/>
  <c r="BW462" i="5"/>
  <c r="BW463" i="5"/>
  <c r="BW464" i="5"/>
  <c r="BW465" i="5"/>
  <c r="BW466" i="5"/>
  <c r="BW467" i="5"/>
  <c r="BW468" i="5"/>
  <c r="BW469" i="5"/>
  <c r="BW470" i="5"/>
  <c r="BW471" i="5"/>
  <c r="BW472" i="5"/>
  <c r="BW473" i="5"/>
  <c r="BW474" i="5"/>
  <c r="BW475" i="5"/>
  <c r="BW476" i="5"/>
  <c r="BW477" i="5"/>
  <c r="BW478" i="5"/>
  <c r="BW479" i="5"/>
  <c r="BW480" i="5"/>
  <c r="BW481" i="5"/>
  <c r="BW482" i="5"/>
  <c r="BW483" i="5"/>
  <c r="BW484" i="5"/>
  <c r="BW485" i="5"/>
  <c r="BW486" i="5"/>
  <c r="BW487" i="5"/>
  <c r="BW488" i="5"/>
  <c r="BW489" i="5"/>
  <c r="BW490" i="5"/>
  <c r="BW491" i="5"/>
  <c r="BW492" i="5"/>
  <c r="BW493" i="5"/>
  <c r="BW494" i="5"/>
  <c r="BW495" i="5"/>
  <c r="BW496" i="5"/>
  <c r="BW497" i="5"/>
  <c r="BW498" i="5"/>
  <c r="BW499" i="5"/>
  <c r="BW500" i="5"/>
  <c r="BW501" i="5"/>
  <c r="BW502" i="5"/>
  <c r="BW503" i="5"/>
  <c r="BW504" i="5"/>
  <c r="BW505" i="5"/>
  <c r="BW506" i="5"/>
  <c r="BW507" i="5"/>
  <c r="BW508" i="5"/>
  <c r="BW509" i="5"/>
  <c r="BW510" i="5"/>
  <c r="BW511" i="5"/>
  <c r="BW512" i="5"/>
  <c r="BW513" i="5"/>
  <c r="BW514" i="5"/>
  <c r="BW515" i="5"/>
  <c r="BW516" i="5"/>
  <c r="BW517" i="5"/>
  <c r="BW518" i="5"/>
  <c r="BW519" i="5"/>
  <c r="BW520" i="5"/>
  <c r="BW521" i="5"/>
  <c r="BW522" i="5"/>
  <c r="BW523" i="5"/>
  <c r="BW524" i="5"/>
  <c r="BW525" i="5"/>
  <c r="BW526" i="5"/>
  <c r="BW527" i="5"/>
  <c r="BW528" i="5"/>
  <c r="BW529" i="5"/>
  <c r="BW530" i="5"/>
  <c r="BW531" i="5"/>
  <c r="BW532" i="5"/>
  <c r="BW533" i="5"/>
  <c r="BW534" i="5"/>
  <c r="BW535" i="5"/>
  <c r="BW536" i="5"/>
  <c r="BW537" i="5"/>
  <c r="BW538" i="5"/>
  <c r="BW539" i="5"/>
  <c r="BW540" i="5"/>
  <c r="BW541" i="5"/>
  <c r="BW542" i="5"/>
  <c r="BW543" i="5"/>
  <c r="BW544" i="5"/>
  <c r="BW545" i="5"/>
  <c r="BW546" i="5"/>
  <c r="BW547" i="5"/>
  <c r="BW548" i="5"/>
  <c r="BW549" i="5"/>
  <c r="BW550" i="5"/>
  <c r="BW551" i="5"/>
  <c r="BW552" i="5"/>
  <c r="BW553" i="5"/>
  <c r="BW554" i="5"/>
  <c r="BW555" i="5"/>
  <c r="BW556" i="5"/>
  <c r="BW557" i="5"/>
  <c r="BW558" i="5"/>
  <c r="BW559" i="5"/>
  <c r="BW560" i="5"/>
  <c r="BW561" i="5"/>
  <c r="BW562" i="5"/>
  <c r="BW563" i="5"/>
  <c r="BW564" i="5"/>
  <c r="BW565" i="5"/>
  <c r="BW566" i="5"/>
  <c r="BW567" i="5"/>
  <c r="BW568" i="5"/>
  <c r="BW569" i="5"/>
  <c r="BW570" i="5"/>
  <c r="BW571" i="5"/>
  <c r="BW572" i="5"/>
  <c r="BW573" i="5"/>
  <c r="BW574" i="5"/>
  <c r="BW575" i="5"/>
  <c r="BW576" i="5"/>
  <c r="BW577" i="5"/>
  <c r="BW578" i="5"/>
  <c r="BW579" i="5"/>
  <c r="BW580" i="5"/>
  <c r="BW581" i="5"/>
  <c r="BW582" i="5"/>
  <c r="BW583" i="5"/>
  <c r="BW584" i="5"/>
  <c r="BW585" i="5"/>
  <c r="BW586" i="5"/>
  <c r="BW587" i="5"/>
  <c r="BW588" i="5"/>
  <c r="BW589" i="5"/>
  <c r="BW590" i="5"/>
  <c r="BW591" i="5"/>
  <c r="BW592" i="5"/>
  <c r="BW593" i="5"/>
  <c r="BW594" i="5"/>
  <c r="BW595" i="5"/>
  <c r="BW596" i="5"/>
  <c r="BW597" i="5"/>
  <c r="BW598" i="5"/>
  <c r="BW599" i="5"/>
  <c r="BW600" i="5"/>
  <c r="BW601" i="5"/>
  <c r="BW602" i="5"/>
  <c r="BW603" i="5"/>
  <c r="BW604" i="5"/>
  <c r="BW605" i="5"/>
  <c r="BW606" i="5"/>
  <c r="BW607" i="5"/>
  <c r="BW608" i="5"/>
  <c r="BW609" i="5"/>
  <c r="BW610" i="5"/>
  <c r="BW611" i="5"/>
  <c r="BW612" i="5"/>
  <c r="BW613" i="5"/>
  <c r="BW614" i="5"/>
  <c r="BW615" i="5"/>
  <c r="BW616" i="5"/>
  <c r="BW617" i="5"/>
  <c r="BW618" i="5"/>
  <c r="BW619" i="5"/>
  <c r="BW620" i="5"/>
  <c r="BW621" i="5"/>
  <c r="BW622" i="5"/>
  <c r="BW623" i="5"/>
  <c r="BW624" i="5"/>
  <c r="BW625" i="5"/>
  <c r="BW626" i="5"/>
  <c r="BW627" i="5"/>
  <c r="BW628" i="5"/>
  <c r="BW629" i="5"/>
  <c r="BW630" i="5"/>
  <c r="BW631" i="5"/>
  <c r="BW632" i="5"/>
  <c r="BW633" i="5"/>
  <c r="BW634" i="5"/>
  <c r="BW635" i="5"/>
  <c r="BW636" i="5"/>
  <c r="BW637" i="5"/>
  <c r="BW638" i="5"/>
  <c r="BW639" i="5"/>
  <c r="BW640" i="5"/>
  <c r="BW641" i="5"/>
  <c r="BW642" i="5"/>
  <c r="BW643" i="5"/>
  <c r="BW644" i="5"/>
  <c r="BW645" i="5"/>
  <c r="BW646" i="5"/>
  <c r="BW647" i="5"/>
  <c r="BW648" i="5"/>
  <c r="BW649" i="5"/>
  <c r="BW650" i="5"/>
  <c r="BW651" i="5"/>
  <c r="BW652" i="5"/>
  <c r="BW653" i="5"/>
  <c r="BW654" i="5"/>
  <c r="BW655" i="5"/>
  <c r="BW656" i="5"/>
  <c r="BW657" i="5"/>
  <c r="BW658" i="5"/>
  <c r="BW659" i="5"/>
  <c r="BW660" i="5"/>
  <c r="BW661" i="5"/>
  <c r="BW662" i="5"/>
  <c r="BW663" i="5"/>
  <c r="BW664" i="5"/>
  <c r="BW665" i="5"/>
  <c r="BW666" i="5"/>
  <c r="BW667" i="5"/>
  <c r="BW668" i="5"/>
  <c r="BW669" i="5"/>
  <c r="BW670" i="5"/>
  <c r="BW671" i="5"/>
  <c r="BW672" i="5"/>
  <c r="BW673" i="5"/>
  <c r="BW674" i="5"/>
  <c r="BW675" i="5"/>
  <c r="BW676" i="5"/>
  <c r="BW677" i="5"/>
  <c r="BW678" i="5"/>
  <c r="BW679" i="5"/>
  <c r="BW680" i="5"/>
  <c r="BW681" i="5"/>
  <c r="BW682" i="5"/>
  <c r="BW683" i="5"/>
  <c r="BW684" i="5"/>
  <c r="BW685" i="5"/>
  <c r="BW686" i="5"/>
  <c r="BW687" i="5"/>
  <c r="BW688" i="5"/>
  <c r="BW689" i="5"/>
  <c r="BW690" i="5"/>
  <c r="BW691" i="5"/>
  <c r="BW692" i="5"/>
  <c r="BW693" i="5"/>
  <c r="BW694" i="5"/>
  <c r="BW695" i="5"/>
  <c r="BW696" i="5"/>
  <c r="BW697" i="5"/>
  <c r="BW698" i="5"/>
  <c r="BW699" i="5"/>
  <c r="BW700" i="5"/>
  <c r="BW701" i="5"/>
  <c r="BW702" i="5"/>
  <c r="BW703" i="5"/>
  <c r="BW704" i="5"/>
  <c r="BW705" i="5"/>
  <c r="BW706" i="5"/>
  <c r="BW707" i="5"/>
  <c r="BW708" i="5"/>
  <c r="BW709" i="5"/>
  <c r="BW710" i="5"/>
  <c r="BW711" i="5"/>
  <c r="BW712" i="5"/>
  <c r="BW713" i="5"/>
  <c r="BW714" i="5"/>
  <c r="BW715" i="5"/>
  <c r="BW716" i="5"/>
  <c r="BW717" i="5"/>
  <c r="BW718" i="5"/>
  <c r="BW719" i="5"/>
  <c r="BW720" i="5"/>
  <c r="BW721" i="5"/>
  <c r="BW722" i="5"/>
  <c r="BW723" i="5"/>
  <c r="BW724" i="5"/>
  <c r="BW725" i="5"/>
  <c r="BW726" i="5"/>
  <c r="BW727" i="5"/>
  <c r="BW728" i="5"/>
  <c r="BW729" i="5"/>
  <c r="BW730" i="5"/>
  <c r="BW731" i="5"/>
  <c r="BW732" i="5"/>
  <c r="BW733" i="5"/>
  <c r="BW734" i="5"/>
  <c r="BW735" i="5"/>
  <c r="BW736" i="5"/>
  <c r="BW737" i="5"/>
  <c r="BW738" i="5"/>
  <c r="BW739" i="5"/>
  <c r="BW740" i="5"/>
  <c r="BW741" i="5"/>
  <c r="BW742" i="5"/>
  <c r="BW743" i="5"/>
  <c r="BW744" i="5"/>
  <c r="BW745" i="5"/>
  <c r="BW746" i="5"/>
  <c r="BW747" i="5"/>
  <c r="BW748" i="5"/>
  <c r="BW749" i="5"/>
  <c r="BW750" i="5"/>
  <c r="BW751" i="5"/>
  <c r="BW752" i="5"/>
  <c r="BW753" i="5"/>
  <c r="BW754" i="5"/>
  <c r="BW755" i="5"/>
  <c r="BW756" i="5"/>
  <c r="BW757" i="5"/>
  <c r="BW758" i="5"/>
  <c r="BW759" i="5"/>
  <c r="BW760" i="5"/>
  <c r="BW761" i="5"/>
  <c r="BW762" i="5"/>
  <c r="BW763" i="5"/>
  <c r="BW764" i="5"/>
  <c r="BW765" i="5"/>
  <c r="BW766" i="5"/>
  <c r="BW767" i="5"/>
  <c r="BW768" i="5"/>
  <c r="BW769" i="5"/>
  <c r="BW770" i="5"/>
  <c r="BW771" i="5"/>
  <c r="BW772" i="5"/>
  <c r="BW773" i="5"/>
  <c r="BW774" i="5"/>
  <c r="BW775" i="5"/>
  <c r="BW776" i="5"/>
  <c r="BW777" i="5"/>
  <c r="BW778" i="5"/>
  <c r="BW779" i="5"/>
  <c r="BW780" i="5"/>
  <c r="BW781" i="5"/>
  <c r="BW782" i="5"/>
  <c r="BW783" i="5"/>
  <c r="BW784" i="5"/>
  <c r="BW785" i="5"/>
  <c r="BW786" i="5"/>
  <c r="BW787" i="5"/>
  <c r="BW788" i="5"/>
  <c r="BW789" i="5"/>
  <c r="BW790" i="5"/>
  <c r="BW791" i="5"/>
  <c r="BW792" i="5"/>
  <c r="BW793" i="5"/>
  <c r="BW794" i="5"/>
  <c r="BW795" i="5"/>
  <c r="BW796" i="5"/>
  <c r="BW797" i="5"/>
  <c r="BW798" i="5"/>
  <c r="BW799" i="5"/>
  <c r="BW800" i="5"/>
  <c r="BW801" i="5"/>
  <c r="BW802" i="5"/>
  <c r="BW803" i="5"/>
  <c r="BW804" i="5"/>
  <c r="BW805" i="5"/>
  <c r="BW806" i="5"/>
  <c r="BW807" i="5"/>
  <c r="BW808" i="5"/>
  <c r="BW809" i="5"/>
  <c r="BW810" i="5"/>
  <c r="BW811" i="5"/>
  <c r="BW812" i="5"/>
  <c r="BW813" i="5"/>
  <c r="BW814" i="5"/>
  <c r="BW815" i="5"/>
  <c r="BW816" i="5"/>
  <c r="BW817" i="5"/>
  <c r="BW818" i="5"/>
  <c r="BW819" i="5"/>
  <c r="BW820" i="5"/>
  <c r="BW821" i="5"/>
  <c r="BW822" i="5"/>
  <c r="BW823" i="5"/>
  <c r="BW824" i="5"/>
  <c r="BW825" i="5"/>
  <c r="BW826" i="5"/>
  <c r="BW827" i="5"/>
  <c r="BW828" i="5"/>
  <c r="BW829" i="5"/>
  <c r="BW830" i="5"/>
  <c r="BW831" i="5"/>
  <c r="BW832" i="5"/>
  <c r="BW833" i="5"/>
  <c r="BW834" i="5"/>
  <c r="BW835" i="5"/>
  <c r="BW836" i="5"/>
  <c r="BW837" i="5"/>
  <c r="BW838" i="5"/>
  <c r="BW839" i="5"/>
  <c r="BW840" i="5"/>
  <c r="BW841" i="5"/>
  <c r="BW842" i="5"/>
  <c r="BW843" i="5"/>
  <c r="BW844" i="5"/>
  <c r="BW845" i="5"/>
  <c r="BW846" i="5"/>
  <c r="BW847" i="5"/>
  <c r="BW848" i="5"/>
  <c r="BW849" i="5"/>
  <c r="BW850" i="5"/>
  <c r="BW851" i="5"/>
  <c r="BW852" i="5"/>
  <c r="BW853" i="5"/>
  <c r="BW854" i="5"/>
  <c r="BW855" i="5"/>
  <c r="BW856" i="5"/>
  <c r="BW857" i="5"/>
  <c r="BW858" i="5"/>
  <c r="BW859" i="5"/>
  <c r="BW860" i="5"/>
  <c r="BW861" i="5"/>
  <c r="BW862" i="5"/>
  <c r="BW863" i="5"/>
  <c r="BW864" i="5"/>
  <c r="BW865" i="5"/>
  <c r="BW866" i="5"/>
  <c r="BW867" i="5"/>
  <c r="BW868" i="5"/>
  <c r="BW869" i="5"/>
  <c r="BW870" i="5"/>
  <c r="BW871" i="5"/>
  <c r="BW872" i="5"/>
  <c r="BW873" i="5"/>
  <c r="BW874" i="5"/>
  <c r="BW875" i="5"/>
  <c r="BW876" i="5"/>
  <c r="BW877" i="5"/>
  <c r="BW878" i="5"/>
  <c r="BW879" i="5"/>
  <c r="BW880" i="5"/>
  <c r="BW881" i="5"/>
  <c r="BW882" i="5"/>
  <c r="BW883" i="5"/>
  <c r="BW884" i="5"/>
  <c r="BW885" i="5"/>
  <c r="BW886" i="5"/>
  <c r="BW887" i="5"/>
  <c r="BW888" i="5"/>
  <c r="BW889" i="5"/>
  <c r="BW890" i="5"/>
  <c r="BW891" i="5"/>
  <c r="BW892" i="5"/>
  <c r="BW893" i="5"/>
  <c r="BW894" i="5"/>
  <c r="BW895" i="5"/>
  <c r="BW896" i="5"/>
  <c r="BW897" i="5"/>
  <c r="BW898" i="5"/>
  <c r="BW899" i="5"/>
  <c r="BW900" i="5"/>
  <c r="BW901" i="5"/>
  <c r="BW902" i="5"/>
  <c r="BW903" i="5"/>
  <c r="BW904" i="5"/>
  <c r="BW905" i="5"/>
  <c r="BW906" i="5"/>
  <c r="BW907" i="5"/>
  <c r="BW908" i="5"/>
  <c r="BW909" i="5"/>
  <c r="BW910" i="5"/>
  <c r="BW911" i="5"/>
  <c r="BW912" i="5"/>
  <c r="BW913" i="5"/>
  <c r="BW914" i="5"/>
  <c r="BW915" i="5"/>
  <c r="BW916" i="5"/>
  <c r="BW917" i="5"/>
  <c r="BW918" i="5"/>
  <c r="BW919" i="5"/>
  <c r="BW920" i="5"/>
  <c r="BW921" i="5"/>
  <c r="BW922" i="5"/>
  <c r="BW923" i="5"/>
  <c r="BW924" i="5"/>
  <c r="BW925" i="5"/>
  <c r="BW926" i="5"/>
  <c r="BW927" i="5"/>
  <c r="BW928" i="5"/>
  <c r="BW929" i="5"/>
  <c r="BW930" i="5"/>
  <c r="BW931" i="5"/>
  <c r="BW932" i="5"/>
  <c r="BW933" i="5"/>
  <c r="BW934" i="5"/>
  <c r="BW935" i="5"/>
  <c r="BW936" i="5"/>
  <c r="BW937" i="5"/>
  <c r="BW938" i="5"/>
  <c r="BW939" i="5"/>
  <c r="BW940" i="5"/>
  <c r="BW941" i="5"/>
  <c r="BW942" i="5"/>
  <c r="BW943" i="5"/>
  <c r="BW944" i="5"/>
  <c r="BW945" i="5"/>
  <c r="BW946" i="5"/>
  <c r="BW947" i="5"/>
  <c r="BW948" i="5"/>
  <c r="BW949" i="5"/>
  <c r="BW950" i="5"/>
  <c r="BW951" i="5"/>
  <c r="BW952" i="5"/>
  <c r="BW953" i="5"/>
  <c r="BW954" i="5"/>
  <c r="BW955" i="5"/>
  <c r="BW956" i="5"/>
  <c r="BW957" i="5"/>
  <c r="BW958" i="5"/>
  <c r="BW959" i="5"/>
  <c r="BW960" i="5"/>
  <c r="BW961" i="5"/>
  <c r="BW962" i="5"/>
  <c r="BW963" i="5"/>
  <c r="BW964" i="5"/>
  <c r="BW965" i="5"/>
  <c r="BW966" i="5"/>
  <c r="BW967" i="5"/>
  <c r="BW968" i="5"/>
  <c r="BW969" i="5"/>
  <c r="BW970" i="5"/>
  <c r="BW971" i="5"/>
  <c r="BW972" i="5"/>
  <c r="BW973" i="5"/>
  <c r="BW974" i="5"/>
  <c r="BW975" i="5"/>
  <c r="BW976" i="5"/>
  <c r="BW977" i="5"/>
  <c r="BW978" i="5"/>
  <c r="BW979" i="5"/>
  <c r="BW980" i="5"/>
  <c r="BW981" i="5"/>
  <c r="BW982" i="5"/>
  <c r="BW983" i="5"/>
  <c r="BW984" i="5"/>
  <c r="BW985" i="5"/>
  <c r="BW986" i="5"/>
  <c r="BW987" i="5"/>
  <c r="BW988" i="5"/>
  <c r="BW989" i="5"/>
  <c r="BW990" i="5"/>
  <c r="BW991" i="5"/>
  <c r="BW992" i="5"/>
  <c r="BW993" i="5"/>
  <c r="BW994" i="5"/>
  <c r="BW995" i="5"/>
  <c r="BW996" i="5"/>
  <c r="BW997" i="5"/>
  <c r="BW998" i="5"/>
  <c r="BW999" i="5"/>
  <c r="BW1000" i="5"/>
  <c r="BW1001" i="5"/>
  <c r="BW1002" i="5"/>
  <c r="BW1003" i="5"/>
  <c r="BW1004" i="5"/>
  <c r="BW1005" i="5"/>
  <c r="BW1006" i="5"/>
  <c r="BW1007" i="5"/>
  <c r="BW1008" i="5"/>
  <c r="BW1009" i="5"/>
  <c r="BW1010" i="5"/>
  <c r="BW1011" i="5"/>
  <c r="BW1012" i="5"/>
  <c r="BW1013" i="5"/>
  <c r="BW1014" i="5"/>
  <c r="BW1015" i="5"/>
  <c r="BW1016" i="5"/>
  <c r="BW1017" i="5"/>
  <c r="BW1018" i="5"/>
  <c r="BW1019" i="5"/>
  <c r="BW1020" i="5"/>
  <c r="BW1021" i="5"/>
  <c r="BW1022" i="5"/>
  <c r="BW1023" i="5"/>
  <c r="BW1024" i="5"/>
  <c r="BW1025" i="5"/>
  <c r="BW1026" i="5"/>
  <c r="BW1027" i="5"/>
  <c r="BW1028" i="5"/>
  <c r="BW1029" i="5"/>
  <c r="BW1030" i="5"/>
  <c r="BW1031" i="5"/>
  <c r="BW1032" i="5"/>
  <c r="BW1033" i="5"/>
  <c r="BW1034" i="5"/>
  <c r="BW1035" i="5"/>
  <c r="BW1036" i="5"/>
  <c r="BW1037" i="5"/>
  <c r="BW1038" i="5"/>
  <c r="BW1039" i="5"/>
  <c r="BW1040" i="5"/>
  <c r="BW1041" i="5"/>
  <c r="BW1042" i="5"/>
  <c r="BW1043" i="5"/>
  <c r="BW1044" i="5"/>
  <c r="BW1045" i="5"/>
  <c r="BW1046" i="5"/>
  <c r="BW1047" i="5"/>
  <c r="BW1048" i="5"/>
  <c r="BW1049" i="5"/>
  <c r="BW1050" i="5"/>
  <c r="BW1051" i="5"/>
  <c r="BW1052" i="5"/>
  <c r="BW1053" i="5"/>
  <c r="BW1054" i="5"/>
  <c r="BW1055" i="5"/>
  <c r="BW1056" i="5"/>
  <c r="BW1057" i="5"/>
  <c r="BW1058" i="5"/>
  <c r="BW1059" i="5"/>
  <c r="BW1060" i="5"/>
  <c r="BW1061" i="5"/>
  <c r="BW1062" i="5"/>
  <c r="BW1063" i="5"/>
  <c r="BW1064" i="5"/>
  <c r="BW1065" i="5"/>
  <c r="BW1066" i="5"/>
  <c r="BW1067" i="5"/>
  <c r="BW1068" i="5"/>
  <c r="BW1069" i="5"/>
  <c r="BW1070" i="5"/>
  <c r="BW1071" i="5"/>
  <c r="BW1072" i="5"/>
  <c r="BW1073" i="5"/>
  <c r="BW1074" i="5"/>
  <c r="BW1075" i="5"/>
  <c r="BW1076" i="5"/>
  <c r="BW1077" i="5"/>
  <c r="BW1078" i="5"/>
  <c r="BW1079" i="5"/>
  <c r="BW1080" i="5"/>
  <c r="BW1081" i="5"/>
  <c r="BW1082" i="5"/>
  <c r="BW1083" i="5"/>
  <c r="BW1084" i="5"/>
  <c r="BW1085" i="5"/>
  <c r="BW1086" i="5"/>
  <c r="BW1087" i="5"/>
  <c r="BW1088" i="5"/>
  <c r="BW1089" i="5"/>
  <c r="BW1090" i="5"/>
  <c r="BW1091" i="5"/>
  <c r="BW1092" i="5"/>
  <c r="BW1093" i="5"/>
  <c r="BW1094" i="5"/>
  <c r="BW1095" i="5"/>
  <c r="BW1096" i="5"/>
  <c r="BW1097" i="5"/>
  <c r="BW1098" i="5"/>
  <c r="BW1099" i="5"/>
  <c r="BW1100" i="5"/>
  <c r="BW1101" i="5"/>
  <c r="BW1102" i="5"/>
  <c r="BW1103" i="5"/>
  <c r="BW1104" i="5"/>
  <c r="BW1105" i="5"/>
  <c r="BW1106" i="5"/>
  <c r="BW1107" i="5"/>
  <c r="BW1108" i="5"/>
  <c r="BW1109" i="5"/>
  <c r="BW1110" i="5"/>
  <c r="BW1111" i="5"/>
  <c r="BW1112" i="5"/>
  <c r="BW1113" i="5"/>
  <c r="BW1114" i="5"/>
  <c r="BW1115" i="5"/>
  <c r="BW1116" i="5"/>
  <c r="BW1117" i="5"/>
  <c r="BW1118" i="5"/>
  <c r="BW1119" i="5"/>
  <c r="BW1120" i="5"/>
  <c r="BW1121" i="5"/>
  <c r="BW1122" i="5"/>
  <c r="BW1123" i="5"/>
  <c r="BW1124" i="5"/>
  <c r="BW1125" i="5"/>
  <c r="BW1126" i="5"/>
  <c r="BW1127" i="5"/>
  <c r="BW1128" i="5"/>
  <c r="BW1129" i="5"/>
  <c r="BW1130" i="5"/>
  <c r="BW1131" i="5"/>
  <c r="BW1132" i="5"/>
  <c r="BW1133" i="5"/>
  <c r="BW1134" i="5"/>
  <c r="BW1135" i="5"/>
  <c r="BW1136" i="5"/>
  <c r="BW1137" i="5"/>
  <c r="BW1138" i="5"/>
  <c r="BW1139" i="5"/>
  <c r="BW1140" i="5"/>
  <c r="BW1141" i="5"/>
  <c r="BW1142" i="5"/>
  <c r="BW1143" i="5"/>
  <c r="BW1144" i="5"/>
  <c r="BW1145" i="5"/>
  <c r="BW1146" i="5"/>
  <c r="BW1147" i="5"/>
  <c r="BW1148" i="5"/>
  <c r="BW1149" i="5"/>
  <c r="BW1150" i="5"/>
  <c r="BW1151" i="5"/>
  <c r="BW1152" i="5"/>
  <c r="BW1153" i="5"/>
  <c r="BW1154" i="5"/>
  <c r="BW1155" i="5"/>
  <c r="BW1156" i="5"/>
  <c r="BW1157" i="5"/>
  <c r="BW1158" i="5"/>
  <c r="BW1159" i="5"/>
  <c r="BW1160" i="5"/>
  <c r="BW1161" i="5"/>
  <c r="BW1162" i="5"/>
  <c r="BW1163" i="5"/>
  <c r="BW1164" i="5"/>
  <c r="BW1165" i="5"/>
  <c r="BW1166" i="5"/>
  <c r="BW1167" i="5"/>
  <c r="BW1168" i="5"/>
  <c r="BW1169" i="5"/>
  <c r="BW1170" i="5"/>
  <c r="BW1171" i="5"/>
  <c r="BW1172" i="5"/>
  <c r="BW1173" i="5"/>
  <c r="BW1174" i="5"/>
  <c r="BW1175" i="5"/>
  <c r="BW1176" i="5"/>
  <c r="BW1177" i="5"/>
  <c r="BW1178" i="5"/>
  <c r="BW1179" i="5"/>
  <c r="BW1180" i="5"/>
  <c r="BW1181" i="5"/>
  <c r="BW1182" i="5"/>
  <c r="BW1183" i="5"/>
  <c r="BW1184" i="5"/>
  <c r="BW1185" i="5"/>
  <c r="BW1186" i="5"/>
  <c r="BW1187" i="5"/>
  <c r="BW1188" i="5"/>
  <c r="BW1189" i="5"/>
  <c r="BW1190" i="5"/>
  <c r="BW1191" i="5"/>
  <c r="BW1192" i="5"/>
  <c r="BW1193" i="5"/>
  <c r="BW1194" i="5"/>
  <c r="BW1195" i="5"/>
  <c r="BW1196" i="5"/>
  <c r="BW1197" i="5"/>
  <c r="BW1198" i="5"/>
  <c r="BW1199" i="5"/>
  <c r="BW1200" i="5"/>
  <c r="BW1201" i="5"/>
  <c r="BW1202" i="5"/>
  <c r="BW1203" i="5"/>
  <c r="BW1204" i="5"/>
  <c r="BW1205" i="5"/>
  <c r="BW1206" i="5"/>
  <c r="BW1207" i="5"/>
  <c r="BW1208" i="5"/>
  <c r="BW1209" i="5"/>
  <c r="BW1210" i="5"/>
  <c r="BW1211" i="5"/>
  <c r="BW1212" i="5"/>
  <c r="BW1213" i="5"/>
  <c r="BW1214" i="5"/>
  <c r="BW1215" i="5"/>
  <c r="BW1216" i="5"/>
  <c r="BW1217" i="5"/>
  <c r="BW1218" i="5"/>
  <c r="BW1219" i="5"/>
  <c r="BW1220" i="5"/>
  <c r="BW1221" i="5"/>
  <c r="BW1222" i="5"/>
  <c r="BW1223" i="5"/>
  <c r="BW1224" i="5"/>
  <c r="BW1225" i="5"/>
  <c r="BW1226" i="5"/>
  <c r="BW1227" i="5"/>
  <c r="BW1228" i="5"/>
  <c r="BW1229" i="5"/>
  <c r="BW1230" i="5"/>
  <c r="BW1231" i="5"/>
  <c r="BW1232" i="5"/>
  <c r="BW1233" i="5"/>
  <c r="BW1234" i="5"/>
  <c r="BW1235" i="5"/>
  <c r="BW1236" i="5"/>
  <c r="BW1237" i="5"/>
  <c r="BW1238" i="5"/>
  <c r="BW1239" i="5"/>
  <c r="BW1240" i="5"/>
  <c r="BW1241" i="5"/>
  <c r="BW1242" i="5"/>
  <c r="BW1243" i="5"/>
  <c r="BW1244" i="5"/>
  <c r="BW1245" i="5"/>
  <c r="BW1246" i="5"/>
  <c r="BW1247" i="5"/>
  <c r="BW1248" i="5"/>
  <c r="BW1249" i="5"/>
  <c r="BW1250" i="5"/>
  <c r="BW1251" i="5"/>
  <c r="BW1252" i="5"/>
  <c r="BW1253" i="5"/>
  <c r="BW1254" i="5"/>
  <c r="BW1255" i="5"/>
  <c r="BW1256" i="5"/>
  <c r="BW1257" i="5"/>
  <c r="BW1258" i="5"/>
  <c r="BW1259" i="5"/>
  <c r="BW1260" i="5"/>
  <c r="BW1261" i="5"/>
  <c r="BW1262" i="5"/>
  <c r="BW1263" i="5"/>
  <c r="BW1264" i="5"/>
  <c r="BW1265" i="5"/>
  <c r="BW1266" i="5"/>
  <c r="BW1267" i="5"/>
  <c r="BW1268" i="5"/>
  <c r="BW1269" i="5"/>
  <c r="BW1270" i="5"/>
  <c r="BW1271" i="5"/>
  <c r="BW1272" i="5"/>
  <c r="BW1273" i="5"/>
  <c r="BW1274" i="5"/>
  <c r="BW1275" i="5"/>
  <c r="BW1276" i="5"/>
  <c r="BW1277" i="5"/>
  <c r="BW1278" i="5"/>
  <c r="BW1279" i="5"/>
  <c r="BW1280" i="5"/>
  <c r="BW1281" i="5"/>
  <c r="BW1282" i="5"/>
  <c r="BW1283" i="5"/>
  <c r="BW1284" i="5"/>
  <c r="BW1285" i="5"/>
  <c r="BW1286" i="5"/>
  <c r="BW1287" i="5"/>
  <c r="BW1288" i="5"/>
  <c r="BW1289" i="5"/>
  <c r="BW1290" i="5"/>
  <c r="BW1291" i="5"/>
  <c r="BW1292" i="5"/>
  <c r="BW1293" i="5"/>
  <c r="BW1294" i="5"/>
  <c r="BW1295" i="5"/>
  <c r="BW1296" i="5"/>
  <c r="BW1297" i="5"/>
  <c r="BW1298" i="5"/>
  <c r="BW1299" i="5"/>
  <c r="BW1300" i="5"/>
  <c r="BW1301" i="5"/>
  <c r="BW1302" i="5"/>
  <c r="BW1303" i="5"/>
  <c r="BW1304" i="5"/>
  <c r="BW1305" i="5"/>
  <c r="BW1306" i="5"/>
  <c r="BW1307" i="5"/>
  <c r="BW1308" i="5"/>
  <c r="BW1309" i="5"/>
  <c r="BW1310" i="5"/>
  <c r="BW1311" i="5"/>
  <c r="BW1312" i="5"/>
  <c r="BW1313" i="5"/>
  <c r="BW1314" i="5"/>
  <c r="BW1315" i="5"/>
  <c r="BW1316" i="5"/>
  <c r="BW1317" i="5"/>
  <c r="BW1318" i="5"/>
  <c r="BW1319" i="5"/>
  <c r="BW1320" i="5"/>
  <c r="BW1321" i="5"/>
  <c r="BW1322" i="5"/>
  <c r="BW1323" i="5"/>
  <c r="BW1324" i="5"/>
  <c r="BW1325" i="5"/>
  <c r="BW1326" i="5"/>
  <c r="BW1327" i="5"/>
  <c r="BW1328" i="5"/>
  <c r="BW1329" i="5"/>
  <c r="BW1330" i="5"/>
  <c r="BW1331" i="5"/>
  <c r="BW1332" i="5"/>
  <c r="BW1333" i="5"/>
  <c r="BW1334" i="5"/>
  <c r="BW1335" i="5"/>
  <c r="BW1336" i="5"/>
  <c r="BW1337" i="5"/>
  <c r="BW1338" i="5"/>
  <c r="BW1339" i="5"/>
  <c r="BW1340" i="5"/>
  <c r="BW1341" i="5"/>
  <c r="BW1342" i="5"/>
  <c r="BW1343" i="5"/>
  <c r="BW1344" i="5"/>
  <c r="BW1345" i="5"/>
  <c r="BW1346" i="5"/>
  <c r="BW1347" i="5"/>
  <c r="BW1348" i="5"/>
  <c r="BW1349" i="5"/>
  <c r="BW1350" i="5"/>
  <c r="BW1351" i="5"/>
  <c r="BW1352" i="5"/>
  <c r="BW1353" i="5"/>
  <c r="BW1354" i="5"/>
  <c r="BW1355" i="5"/>
  <c r="BW1356" i="5"/>
  <c r="BW1357" i="5"/>
  <c r="BW1358" i="5"/>
  <c r="BW1359" i="5"/>
  <c r="BW1360" i="5"/>
  <c r="BW1361" i="5"/>
  <c r="BW1362" i="5"/>
  <c r="BW1363" i="5"/>
  <c r="BW1364" i="5"/>
  <c r="BW1365" i="5"/>
  <c r="BW1366" i="5"/>
  <c r="BW1367" i="5"/>
  <c r="BW1368" i="5"/>
  <c r="BW1369" i="5"/>
  <c r="BW1370" i="5"/>
  <c r="BW1371" i="5"/>
  <c r="BW1372" i="5"/>
  <c r="BW1373" i="5"/>
  <c r="BW1374" i="5"/>
  <c r="BW1375" i="5"/>
  <c r="BW1376" i="5"/>
  <c r="BW1377" i="5"/>
  <c r="BW1378" i="5"/>
  <c r="BW1379" i="5"/>
  <c r="BW1380" i="5"/>
  <c r="BW1381" i="5"/>
  <c r="BW1382" i="5"/>
  <c r="BW1383" i="5"/>
  <c r="BW1384" i="5"/>
  <c r="BW1385" i="5"/>
  <c r="BW1386" i="5"/>
  <c r="BW1387" i="5"/>
  <c r="BW1388" i="5"/>
  <c r="BW1389" i="5"/>
  <c r="BW1390" i="5"/>
  <c r="BW1391" i="5"/>
  <c r="BW1392" i="5"/>
  <c r="BW1393" i="5"/>
  <c r="BW1394" i="5"/>
  <c r="BW1395" i="5"/>
  <c r="BW1396" i="5"/>
  <c r="BW1397" i="5"/>
  <c r="BW1398" i="5"/>
  <c r="BW1399" i="5"/>
  <c r="BW1400" i="5"/>
  <c r="BW1401" i="5"/>
  <c r="BW1402" i="5"/>
  <c r="BW1403" i="5"/>
  <c r="BW1404" i="5"/>
  <c r="BW1405" i="5"/>
  <c r="BW1406" i="5"/>
  <c r="BW1407" i="5"/>
  <c r="BW1408" i="5"/>
  <c r="BW1409" i="5"/>
  <c r="BW1410" i="5"/>
  <c r="BW1411" i="5"/>
  <c r="BW1412" i="5"/>
  <c r="BW1413" i="5"/>
  <c r="BW1414" i="5"/>
  <c r="BW1415" i="5"/>
  <c r="BW1416" i="5"/>
  <c r="BW1417" i="5"/>
  <c r="BW1418" i="5"/>
  <c r="BW1419" i="5"/>
  <c r="BW1420" i="5"/>
  <c r="BW1421" i="5"/>
  <c r="BW1422" i="5"/>
  <c r="BW1423" i="5"/>
  <c r="BW1424" i="5"/>
  <c r="BW1425" i="5"/>
  <c r="BW1426" i="5"/>
  <c r="BW1427" i="5"/>
  <c r="BW1428" i="5"/>
  <c r="BW1429" i="5"/>
  <c r="BW1430" i="5"/>
  <c r="BW1431" i="5"/>
  <c r="BW1432" i="5"/>
  <c r="BW1433" i="5"/>
  <c r="BW1434" i="5"/>
  <c r="BW1435" i="5"/>
  <c r="BW1436" i="5"/>
  <c r="BW1437" i="5"/>
  <c r="BW1438" i="5"/>
  <c r="BW1439" i="5"/>
  <c r="BW1440" i="5"/>
  <c r="BW1441" i="5"/>
  <c r="BW1442" i="5"/>
  <c r="BW1443" i="5"/>
  <c r="BW1444" i="5"/>
  <c r="BW1445" i="5"/>
  <c r="BW1446" i="5"/>
  <c r="BW1447" i="5"/>
  <c r="BW1448" i="5"/>
  <c r="BW1449" i="5"/>
  <c r="BW1450" i="5"/>
  <c r="BW1451" i="5"/>
  <c r="BW1452" i="5"/>
  <c r="BW1453" i="5"/>
  <c r="BW1454" i="5"/>
  <c r="BW1455" i="5"/>
  <c r="BW1456" i="5"/>
  <c r="BW1457" i="5"/>
  <c r="BW1458" i="5"/>
  <c r="BW1459" i="5"/>
  <c r="BW1460" i="5"/>
  <c r="BW1461" i="5"/>
  <c r="BW1462" i="5"/>
  <c r="BW1463" i="5"/>
  <c r="BW1464" i="5"/>
  <c r="BW1465" i="5"/>
  <c r="BW1466" i="5"/>
  <c r="BW1467" i="5"/>
  <c r="BW1468" i="5"/>
  <c r="BW1469" i="5"/>
  <c r="BW1470" i="5"/>
  <c r="BW1471" i="5"/>
  <c r="BW1472" i="5"/>
  <c r="BW1473" i="5"/>
  <c r="BW1474" i="5"/>
  <c r="BW1475" i="5"/>
  <c r="BW1476" i="5"/>
  <c r="BW1477" i="5"/>
  <c r="BW1478" i="5"/>
  <c r="BW1479" i="5"/>
  <c r="BW1480" i="5"/>
  <c r="BW1481" i="5"/>
  <c r="BW1482" i="5"/>
  <c r="BW1483" i="5"/>
  <c r="BW1484" i="5"/>
  <c r="BW1485" i="5"/>
  <c r="BW1486" i="5"/>
  <c r="BW1487" i="5"/>
  <c r="BW1488" i="5"/>
  <c r="BW1489" i="5"/>
  <c r="BW1490" i="5"/>
  <c r="BW1491" i="5"/>
  <c r="BW1492" i="5"/>
  <c r="BW1493" i="5"/>
  <c r="BW1494" i="5"/>
  <c r="BW1495" i="5"/>
  <c r="BW1496" i="5"/>
  <c r="BW1497" i="5"/>
  <c r="BW1498" i="5"/>
  <c r="BW1499" i="5"/>
  <c r="BW1500" i="5"/>
  <c r="BW1501" i="5"/>
  <c r="BW1502" i="5"/>
  <c r="BW1503" i="5"/>
  <c r="BW1504" i="5"/>
  <c r="BW1505" i="5"/>
  <c r="BW1506" i="5"/>
  <c r="BW1507" i="5"/>
  <c r="BW1508" i="5"/>
  <c r="BW1509" i="5"/>
  <c r="BW1510" i="5"/>
  <c r="BW1511" i="5"/>
  <c r="BW1512" i="5"/>
  <c r="BW1513" i="5"/>
  <c r="BW1514" i="5"/>
  <c r="BW1515" i="5"/>
  <c r="BW1516" i="5"/>
  <c r="BW1517" i="5"/>
  <c r="BW1518" i="5"/>
  <c r="BW1519" i="5"/>
  <c r="BW1520" i="5"/>
  <c r="BW1521" i="5"/>
  <c r="BW1522" i="5"/>
  <c r="BW1523" i="5"/>
  <c r="BW1524" i="5"/>
  <c r="BW1525" i="5"/>
  <c r="BW1526" i="5"/>
  <c r="BW1527" i="5"/>
  <c r="BW1528" i="5"/>
  <c r="BW1529" i="5"/>
  <c r="BW1530" i="5"/>
  <c r="BW1531" i="5"/>
  <c r="BW1532" i="5"/>
  <c r="BW1533" i="5"/>
  <c r="BW1534" i="5"/>
  <c r="BW1535" i="5"/>
  <c r="BW1536" i="5"/>
  <c r="BW1537" i="5"/>
  <c r="BW1538" i="5"/>
  <c r="BW1539" i="5"/>
  <c r="BW1540" i="5"/>
  <c r="BW1541" i="5"/>
  <c r="BW1542" i="5"/>
  <c r="BW1543" i="5"/>
  <c r="BW1544" i="5"/>
  <c r="BW1545" i="5"/>
  <c r="BW1546" i="5"/>
  <c r="BW1547" i="5"/>
  <c r="BW1548" i="5"/>
  <c r="BW1549" i="5"/>
  <c r="BW1550" i="5"/>
  <c r="BW1551" i="5"/>
  <c r="BW1552" i="5"/>
  <c r="BW1553" i="5"/>
  <c r="BW1554" i="5"/>
  <c r="BW1555" i="5"/>
  <c r="BW1556" i="5"/>
  <c r="BW1557" i="5"/>
  <c r="BW1558" i="5"/>
  <c r="BW1559" i="5"/>
  <c r="BW1560" i="5"/>
  <c r="BW1561" i="5"/>
  <c r="BW1562" i="5"/>
  <c r="BW1563" i="5"/>
  <c r="BW1564" i="5"/>
  <c r="BW1565" i="5"/>
  <c r="BW1566" i="5"/>
  <c r="BW1567" i="5"/>
  <c r="BW1568" i="5"/>
  <c r="BW1569" i="5"/>
  <c r="BW1570" i="5"/>
  <c r="BW1571" i="5"/>
  <c r="BW1572" i="5"/>
  <c r="BW1573" i="5"/>
  <c r="BW1574" i="5"/>
  <c r="BW1575" i="5"/>
  <c r="BW1576" i="5"/>
  <c r="BW1577" i="5"/>
  <c r="BW1578" i="5"/>
  <c r="BW1579" i="5"/>
  <c r="BW1580" i="5"/>
  <c r="BW1581" i="5"/>
  <c r="BW1582" i="5"/>
  <c r="BW1583" i="5"/>
  <c r="BW1584" i="5"/>
  <c r="BW1585" i="5"/>
  <c r="BW1586" i="5"/>
  <c r="BW1587" i="5"/>
  <c r="BW1588" i="5"/>
  <c r="BW1589" i="5"/>
  <c r="BW1590" i="5"/>
  <c r="BW1591" i="5"/>
  <c r="BW1592" i="5"/>
  <c r="BW1593" i="5"/>
  <c r="BW1594" i="5"/>
  <c r="BW1595" i="5"/>
  <c r="BW1596" i="5"/>
  <c r="BW1597" i="5"/>
  <c r="BW1598" i="5"/>
  <c r="BW1599" i="5"/>
  <c r="BW1600" i="5"/>
  <c r="BW1601" i="5"/>
  <c r="BW1602" i="5"/>
  <c r="BW1603" i="5"/>
  <c r="BW1604" i="5"/>
  <c r="BW1605" i="5"/>
  <c r="BW1606" i="5"/>
  <c r="BW1607" i="5"/>
  <c r="BW1608" i="5"/>
  <c r="BW1609" i="5"/>
  <c r="BW1610" i="5"/>
  <c r="BW1611" i="5"/>
  <c r="BW1612" i="5"/>
  <c r="BW1613" i="5"/>
  <c r="BW1614" i="5"/>
  <c r="BW1615" i="5"/>
  <c r="BW1616" i="5"/>
  <c r="BW1617" i="5"/>
  <c r="BW1618" i="5"/>
  <c r="BW1619" i="5"/>
  <c r="BW1620" i="5"/>
  <c r="BW1621" i="5"/>
  <c r="BW1622" i="5"/>
  <c r="BW1623" i="5"/>
  <c r="BW1624" i="5"/>
  <c r="BW1625" i="5"/>
  <c r="BW1626" i="5"/>
  <c r="BW1627" i="5"/>
  <c r="BW1628" i="5"/>
  <c r="BW1629" i="5"/>
  <c r="BW1630" i="5"/>
  <c r="BW1631" i="5"/>
  <c r="BW1632" i="5"/>
  <c r="BW1633" i="5"/>
  <c r="BW1634" i="5"/>
  <c r="BW1635" i="5"/>
  <c r="BW1636" i="5"/>
  <c r="BW1637" i="5"/>
  <c r="BW1638" i="5"/>
  <c r="BW1639" i="5"/>
  <c r="BW1640" i="5"/>
  <c r="BW1641" i="5"/>
  <c r="BW1642" i="5"/>
  <c r="BW1643" i="5"/>
  <c r="BW1644" i="5"/>
  <c r="BW1645" i="5"/>
  <c r="BW1646" i="5"/>
  <c r="BW1647" i="5"/>
  <c r="BW1648" i="5"/>
  <c r="BW1649" i="5"/>
  <c r="BW1650" i="5"/>
  <c r="BW1651" i="5"/>
  <c r="BW1652" i="5"/>
  <c r="BW1653" i="5"/>
  <c r="BW1654" i="5"/>
  <c r="BW1655" i="5"/>
  <c r="BW1656" i="5"/>
  <c r="BW1657" i="5"/>
  <c r="BW1658" i="5"/>
  <c r="BW1659" i="5"/>
  <c r="BW1660" i="5"/>
  <c r="BW1661" i="5"/>
  <c r="BW1662" i="5"/>
  <c r="BW1663" i="5"/>
  <c r="BW1664" i="5"/>
  <c r="BW1665" i="5"/>
  <c r="BW1666" i="5"/>
  <c r="BW1667" i="5"/>
  <c r="BW1668" i="5"/>
  <c r="BW1669" i="5"/>
  <c r="BW1670" i="5"/>
  <c r="BW1671" i="5"/>
  <c r="BW1672" i="5"/>
  <c r="BW1673" i="5"/>
  <c r="BW1674" i="5"/>
  <c r="BW1675" i="5"/>
  <c r="BW1676" i="5"/>
  <c r="BW1677" i="5"/>
  <c r="BW1678" i="5"/>
  <c r="BW1679" i="5"/>
  <c r="BW1680" i="5"/>
  <c r="BW1681" i="5"/>
  <c r="BW1682" i="5"/>
  <c r="BW1683" i="5"/>
  <c r="BW1684" i="5"/>
  <c r="BW1685" i="5"/>
  <c r="BW1686" i="5"/>
  <c r="BW1687" i="5"/>
  <c r="BW1688" i="5"/>
  <c r="BW1689" i="5"/>
  <c r="BW1690" i="5"/>
  <c r="BW1691" i="5"/>
  <c r="BW1692" i="5"/>
  <c r="BW1693" i="5"/>
  <c r="BW1694" i="5"/>
  <c r="BW1695" i="5"/>
  <c r="BW1696" i="5"/>
  <c r="BW1697" i="5"/>
  <c r="BW1698" i="5"/>
  <c r="BW1699" i="5"/>
  <c r="BW1700" i="5"/>
  <c r="BW1701" i="5"/>
  <c r="BW1702" i="5"/>
  <c r="BW1703" i="5"/>
  <c r="BW1704" i="5"/>
  <c r="BW1705" i="5"/>
  <c r="BW1706" i="5"/>
  <c r="BW1707" i="5"/>
  <c r="BW1708" i="5"/>
  <c r="BW1709" i="5"/>
  <c r="BW1710" i="5"/>
  <c r="BW1711" i="5"/>
  <c r="BW1712" i="5"/>
  <c r="BW1713" i="5"/>
  <c r="BW1714" i="5"/>
  <c r="BW1715" i="5"/>
  <c r="BW1716" i="5"/>
  <c r="BW1717" i="5"/>
  <c r="BW1718" i="5"/>
  <c r="BW1719" i="5"/>
  <c r="BW1720" i="5"/>
  <c r="BW1721" i="5"/>
  <c r="BW1722" i="5"/>
  <c r="BW1723" i="5"/>
  <c r="BW1724" i="5"/>
  <c r="BW1725" i="5"/>
  <c r="BW1726" i="5"/>
  <c r="BW1727" i="5"/>
  <c r="BW1728" i="5"/>
  <c r="BW1729" i="5"/>
  <c r="BW1730" i="5"/>
  <c r="BW1731" i="5"/>
  <c r="BW1732" i="5"/>
  <c r="BW1733" i="5"/>
  <c r="BW1734" i="5"/>
  <c r="BW1735" i="5"/>
  <c r="BW1736" i="5"/>
  <c r="BW1737" i="5"/>
  <c r="BW1738" i="5"/>
  <c r="BW1739" i="5"/>
  <c r="BW1740" i="5"/>
  <c r="BW1741" i="5"/>
  <c r="BW1742" i="5"/>
  <c r="BW1743" i="5"/>
  <c r="BW1744" i="5"/>
  <c r="BW1745" i="5"/>
  <c r="BW1746" i="5"/>
  <c r="BW1747" i="5"/>
  <c r="BW1748" i="5"/>
  <c r="BW1749" i="5"/>
  <c r="BW1750" i="5"/>
  <c r="BW1751" i="5"/>
  <c r="BW1752" i="5"/>
  <c r="BW1753" i="5"/>
  <c r="BW1754" i="5"/>
  <c r="BW1755" i="5"/>
  <c r="BW1756" i="5"/>
  <c r="BW1757" i="5"/>
  <c r="BW1758" i="5"/>
  <c r="BW1759" i="5"/>
  <c r="BW1760" i="5"/>
  <c r="BW1761" i="5"/>
  <c r="BW1762" i="5"/>
  <c r="BW1763" i="5"/>
  <c r="BW1764" i="5"/>
  <c r="BW1765" i="5"/>
  <c r="BW1766" i="5"/>
  <c r="BW1767" i="5"/>
  <c r="BW1768" i="5"/>
  <c r="BW1769" i="5"/>
  <c r="BW1770" i="5"/>
  <c r="BW1771" i="5"/>
  <c r="BW1772" i="5"/>
  <c r="BW1773" i="5"/>
  <c r="BW1774" i="5"/>
  <c r="BW1775" i="5"/>
  <c r="BW1776" i="5"/>
  <c r="BW1777" i="5"/>
  <c r="BW1778" i="5"/>
  <c r="BW1779" i="5"/>
  <c r="BW1780" i="5"/>
  <c r="BW1781" i="5"/>
  <c r="BW1782" i="5"/>
  <c r="BW1783" i="5"/>
  <c r="BW1784" i="5"/>
  <c r="BW1785" i="5"/>
  <c r="BW1786" i="5"/>
  <c r="BW1787" i="5"/>
  <c r="BW1788" i="5"/>
  <c r="BW1789" i="5"/>
  <c r="BW1790" i="5"/>
  <c r="BW1791" i="5"/>
  <c r="BW1792" i="5"/>
  <c r="BW1793" i="5"/>
  <c r="BW1794" i="5"/>
  <c r="BW1795" i="5"/>
  <c r="BW1796" i="5"/>
  <c r="BW1797" i="5"/>
  <c r="BW1798" i="5"/>
  <c r="BW1799" i="5"/>
  <c r="BW1800" i="5"/>
  <c r="BW1801" i="5"/>
  <c r="BW1802" i="5"/>
  <c r="BW1803" i="5"/>
  <c r="BW1804" i="5"/>
  <c r="BW1805" i="5"/>
  <c r="BW1806" i="5"/>
  <c r="BW1807" i="5"/>
  <c r="BW1808" i="5"/>
  <c r="BW1809" i="5"/>
  <c r="BW1810" i="5"/>
  <c r="BW1811" i="5"/>
  <c r="BW1812" i="5"/>
  <c r="BW1813" i="5"/>
  <c r="BW1814" i="5"/>
  <c r="BW1815" i="5"/>
  <c r="BW1816" i="5"/>
  <c r="BW1817" i="5"/>
  <c r="BW1818" i="5"/>
  <c r="BW1819" i="5"/>
  <c r="BW1820" i="5"/>
  <c r="BW1821" i="5"/>
  <c r="BW1822" i="5"/>
  <c r="BW1823" i="5"/>
  <c r="BW1824" i="5"/>
  <c r="BW1825" i="5"/>
  <c r="BW1826" i="5"/>
  <c r="BW1827" i="5"/>
  <c r="BW1828" i="5"/>
  <c r="BW1829" i="5"/>
  <c r="BW1830" i="5"/>
  <c r="BW1831" i="5"/>
  <c r="BW1832" i="5"/>
  <c r="BW1833" i="5"/>
  <c r="BW1834" i="5"/>
  <c r="BW1835" i="5"/>
  <c r="BW1836" i="5"/>
  <c r="BW1837" i="5"/>
  <c r="BW1838" i="5"/>
  <c r="BW1839" i="5"/>
  <c r="BW1840" i="5"/>
  <c r="BW1841" i="5"/>
  <c r="BW1842" i="5"/>
  <c r="BW1843" i="5"/>
  <c r="BW1844" i="5"/>
  <c r="BW1845" i="5"/>
  <c r="BW1846" i="5"/>
  <c r="BW1847" i="5"/>
  <c r="BW1848" i="5"/>
  <c r="BW1849" i="5"/>
  <c r="BW1850" i="5"/>
  <c r="BW1851" i="5"/>
  <c r="BW1852" i="5"/>
  <c r="BW1853" i="5"/>
  <c r="BW1854" i="5"/>
  <c r="BW1855" i="5"/>
  <c r="BW1856" i="5"/>
  <c r="BW1857" i="5"/>
  <c r="BW1858" i="5"/>
  <c r="BW1859" i="5"/>
  <c r="BW1860" i="5"/>
  <c r="BW1861" i="5"/>
  <c r="BW1862" i="5"/>
  <c r="BW1863" i="5"/>
  <c r="BW1864" i="5"/>
  <c r="BW1865" i="5"/>
  <c r="BW1866" i="5"/>
  <c r="BW1867" i="5"/>
  <c r="BW1868" i="5"/>
  <c r="BW1869" i="5"/>
  <c r="BW1870" i="5"/>
  <c r="BW1871" i="5"/>
  <c r="BW1872" i="5"/>
  <c r="BW1873" i="5"/>
  <c r="BW1874" i="5"/>
  <c r="BW1875" i="5"/>
  <c r="BW1876" i="5"/>
  <c r="BW1877" i="5"/>
  <c r="BW1878" i="5"/>
  <c r="BW1879" i="5"/>
  <c r="BW1880" i="5"/>
  <c r="BW1881" i="5"/>
  <c r="BW1882" i="5"/>
  <c r="BW1883" i="5"/>
  <c r="BW1884" i="5"/>
  <c r="BW1885" i="5"/>
  <c r="BW1886" i="5"/>
  <c r="BW1887" i="5"/>
  <c r="BW1888" i="5"/>
  <c r="BW1889" i="5"/>
  <c r="BW1890" i="5"/>
  <c r="BW1891" i="5"/>
  <c r="BW1892" i="5"/>
  <c r="BW1893" i="5"/>
  <c r="BW1894" i="5"/>
  <c r="BW1895" i="5"/>
  <c r="BW1896" i="5"/>
  <c r="BW1897" i="5"/>
  <c r="BW1898" i="5"/>
  <c r="BW1899" i="5"/>
  <c r="BW1900" i="5"/>
  <c r="BW1901" i="5"/>
  <c r="BW1902" i="5"/>
  <c r="BW1903" i="5"/>
  <c r="BW1904" i="5"/>
  <c r="BW1905" i="5"/>
  <c r="BW1906" i="5"/>
  <c r="BW1907" i="5"/>
  <c r="BW1908" i="5"/>
  <c r="BW1909" i="5"/>
  <c r="BW1910" i="5"/>
  <c r="BW1911" i="5"/>
  <c r="BW1912" i="5"/>
  <c r="BW1913" i="5"/>
  <c r="BW1914" i="5"/>
  <c r="BW1915" i="5"/>
  <c r="BW1916" i="5"/>
  <c r="BW1917" i="5"/>
  <c r="BW1918" i="5"/>
  <c r="BW1919" i="5"/>
  <c r="BW1920" i="5"/>
  <c r="BW1921" i="5"/>
  <c r="BW1922" i="5"/>
  <c r="BW1923" i="5"/>
  <c r="BW1924" i="5"/>
  <c r="BW1925" i="5"/>
  <c r="BW1926" i="5"/>
  <c r="BW1927" i="5"/>
  <c r="BW1928" i="5"/>
  <c r="BW1929" i="5"/>
  <c r="BW1930" i="5"/>
  <c r="BW1931" i="5"/>
  <c r="BW1932" i="5"/>
  <c r="BW1933" i="5"/>
  <c r="BW1934" i="5"/>
  <c r="BW1935" i="5"/>
  <c r="BW1936" i="5"/>
  <c r="BW1937" i="5"/>
  <c r="BW1938" i="5"/>
  <c r="BW1939" i="5"/>
  <c r="BW1940" i="5"/>
  <c r="BW1941" i="5"/>
  <c r="BW1942" i="5"/>
  <c r="BW1943" i="5"/>
  <c r="BW1944" i="5"/>
  <c r="BW1945" i="5"/>
  <c r="BW1946" i="5"/>
  <c r="BW1947" i="5"/>
  <c r="BW1948" i="5"/>
  <c r="BW1949" i="5"/>
  <c r="BW1950" i="5"/>
  <c r="BW1951" i="5"/>
  <c r="BW1952" i="5"/>
  <c r="BW1953" i="5"/>
  <c r="BW1954" i="5"/>
  <c r="BW1955" i="5"/>
  <c r="BW1956" i="5"/>
  <c r="BW1957" i="5"/>
  <c r="BW1958" i="5"/>
  <c r="BW1959" i="5"/>
  <c r="BW1960" i="5"/>
  <c r="BW1961" i="5"/>
  <c r="BW1962" i="5"/>
  <c r="BW1963" i="5"/>
  <c r="BW1964" i="5"/>
  <c r="BW1965" i="5"/>
  <c r="BW1966" i="5"/>
  <c r="BW1967" i="5"/>
  <c r="BW1968" i="5"/>
  <c r="BW1969" i="5"/>
  <c r="BW1970" i="5"/>
  <c r="BW1971" i="5"/>
  <c r="BW1972" i="5"/>
  <c r="BW1973" i="5"/>
  <c r="BW1974" i="5"/>
  <c r="BW1975" i="5"/>
  <c r="BW1976" i="5"/>
  <c r="BW1977" i="5"/>
  <c r="BW1978" i="5"/>
  <c r="BW1979" i="5"/>
  <c r="BW1980" i="5"/>
  <c r="BW1981" i="5"/>
  <c r="BW1982" i="5"/>
  <c r="BW1983" i="5"/>
  <c r="BW1984" i="5"/>
  <c r="BW1985" i="5"/>
  <c r="BW1986" i="5"/>
  <c r="BW1987" i="5"/>
  <c r="BW1988" i="5"/>
  <c r="BW1989" i="5"/>
  <c r="BW1990" i="5"/>
  <c r="BW1991" i="5"/>
  <c r="BW1992" i="5"/>
  <c r="BW1993" i="5"/>
  <c r="BW1994" i="5"/>
  <c r="BW1995" i="5"/>
  <c r="BW1996" i="5"/>
  <c r="BW1997" i="5"/>
  <c r="BW1998" i="5"/>
  <c r="BW1999" i="5"/>
  <c r="BW2000" i="5"/>
  <c r="BW2001" i="5"/>
  <c r="BW2002" i="5"/>
  <c r="BW2003" i="5"/>
  <c r="BW2004" i="5"/>
  <c r="BW2005" i="5"/>
  <c r="BW2006" i="5"/>
  <c r="BW2007" i="5"/>
  <c r="BW2008" i="5"/>
  <c r="BW2009" i="5"/>
  <c r="BW2010" i="5"/>
  <c r="BW2011" i="5"/>
  <c r="BW2012" i="5"/>
  <c r="BW2013" i="5"/>
  <c r="BW2014" i="5"/>
  <c r="BW2015" i="5"/>
  <c r="BW2016" i="5"/>
  <c r="BW2017" i="5"/>
  <c r="BW2018" i="5"/>
  <c r="BW2019" i="5"/>
  <c r="BW2020" i="5"/>
  <c r="BW2021" i="5"/>
  <c r="BW2022" i="5"/>
  <c r="BW2023" i="5"/>
  <c r="BW2024" i="5"/>
  <c r="BW2025" i="5"/>
  <c r="BW2026" i="5"/>
  <c r="BW2027" i="5"/>
  <c r="BW2028" i="5"/>
  <c r="BW2029" i="5"/>
  <c r="BW2030" i="5"/>
  <c r="BW2031" i="5"/>
  <c r="BW2032" i="5"/>
  <c r="BW2033" i="5"/>
  <c r="BW2034" i="5"/>
  <c r="BW2035" i="5"/>
  <c r="BW2036" i="5"/>
  <c r="BW2037" i="5"/>
  <c r="BW2038" i="5"/>
  <c r="BW2039" i="5"/>
  <c r="BW2040" i="5"/>
  <c r="BW2041" i="5"/>
  <c r="BW2042" i="5"/>
  <c r="BW2043" i="5"/>
  <c r="BW2044" i="5"/>
  <c r="BW2045" i="5"/>
  <c r="BW2046" i="5"/>
  <c r="BW2047" i="5"/>
  <c r="BW2048" i="5"/>
  <c r="BW2049" i="5"/>
  <c r="BW2050" i="5"/>
  <c r="BW2051" i="5"/>
  <c r="BW2052" i="5"/>
  <c r="BW2053" i="5"/>
  <c r="BW2054" i="5"/>
  <c r="BW2055" i="5"/>
  <c r="BW2056" i="5"/>
  <c r="BW2057" i="5"/>
  <c r="BW2058" i="5"/>
  <c r="BW2059" i="5"/>
  <c r="BW2060" i="5"/>
  <c r="BW2061" i="5"/>
  <c r="BW2062" i="5"/>
  <c r="BW2063" i="5"/>
  <c r="BW2064" i="5"/>
  <c r="BW2065" i="5"/>
  <c r="BW2066" i="5"/>
  <c r="BW2067" i="5"/>
  <c r="BW2068" i="5"/>
  <c r="BW2069" i="5"/>
  <c r="BW2070" i="5"/>
  <c r="BW2071" i="5"/>
  <c r="BW2072" i="5"/>
  <c r="BW2073" i="5"/>
  <c r="BW2074" i="5"/>
  <c r="BW2075" i="5"/>
  <c r="BW2076" i="5"/>
  <c r="BW2077" i="5"/>
  <c r="BW2078" i="5"/>
  <c r="BW2079" i="5"/>
  <c r="BW2080" i="5"/>
  <c r="BW2081" i="5"/>
  <c r="BW2082" i="5"/>
  <c r="BW2083" i="5"/>
  <c r="BW2084" i="5"/>
  <c r="BW2085" i="5"/>
  <c r="BW2086" i="5"/>
  <c r="BW2087" i="5"/>
  <c r="BW2088" i="5"/>
  <c r="BW2089" i="5"/>
  <c r="BW2090" i="5"/>
  <c r="BW2091" i="5"/>
  <c r="BW2092" i="5"/>
  <c r="BW2093" i="5"/>
  <c r="BW2094" i="5"/>
  <c r="BW2095" i="5"/>
  <c r="BW2096" i="5"/>
  <c r="BW2097" i="5"/>
  <c r="BW2098" i="5"/>
  <c r="BW2099" i="5"/>
  <c r="BW2100" i="5"/>
  <c r="BW2101" i="5"/>
  <c r="BW2102" i="5"/>
  <c r="BW2103" i="5"/>
  <c r="BW2104" i="5"/>
  <c r="BW2105" i="5"/>
  <c r="BW2106" i="5"/>
  <c r="BW2107" i="5"/>
  <c r="BW2108" i="5"/>
  <c r="BW2109" i="5"/>
  <c r="BW2110" i="5"/>
  <c r="BW2111" i="5"/>
  <c r="BW2112" i="5"/>
  <c r="BW2113" i="5"/>
  <c r="BW2114" i="5"/>
  <c r="BW2115" i="5"/>
  <c r="BW2116" i="5"/>
  <c r="BW2117" i="5"/>
  <c r="BW2118" i="5"/>
  <c r="BW2119" i="5"/>
  <c r="BW2120" i="5"/>
  <c r="BW2121" i="5"/>
  <c r="BW2122" i="5"/>
  <c r="BW2123" i="5"/>
  <c r="BW2124" i="5"/>
  <c r="BW2125" i="5"/>
  <c r="BW2126" i="5"/>
  <c r="BW2127" i="5"/>
  <c r="BW2128" i="5"/>
  <c r="BW2129" i="5"/>
  <c r="BW2130" i="5"/>
  <c r="BW2131" i="5"/>
  <c r="BW2132" i="5"/>
  <c r="BW2133" i="5"/>
  <c r="BW2134" i="5"/>
  <c r="BW2135" i="5"/>
  <c r="BW2136" i="5"/>
  <c r="BW2137" i="5"/>
  <c r="BW2138" i="5"/>
  <c r="BW2139" i="5"/>
  <c r="BW2140" i="5"/>
  <c r="BW2141" i="5"/>
  <c r="BW2142" i="5"/>
  <c r="BW2143" i="5"/>
  <c r="BW2144" i="5"/>
  <c r="BW2145" i="5"/>
  <c r="BW2146" i="5"/>
  <c r="BW2147" i="5"/>
  <c r="BW2148" i="5"/>
  <c r="BW2149" i="5"/>
  <c r="BW2150" i="5"/>
  <c r="BW2151" i="5"/>
  <c r="BW2152" i="5"/>
  <c r="BW2153" i="5"/>
  <c r="BW2154" i="5"/>
  <c r="BW2155" i="5"/>
  <c r="BW2156" i="5"/>
  <c r="BW2157" i="5"/>
  <c r="BW2158" i="5"/>
  <c r="BW2159" i="5"/>
  <c r="BW2160" i="5"/>
  <c r="BW2161" i="5"/>
  <c r="BW2162" i="5"/>
  <c r="BW2163" i="5"/>
  <c r="BW2164" i="5"/>
  <c r="BW2165" i="5"/>
  <c r="BW2166" i="5"/>
  <c r="BW2167" i="5"/>
  <c r="BW2168" i="5"/>
  <c r="BW2169" i="5"/>
  <c r="BW2170" i="5"/>
  <c r="BW2171" i="5"/>
  <c r="BW2172" i="5"/>
  <c r="BW2173" i="5"/>
  <c r="BW2174" i="5"/>
  <c r="BW2175" i="5"/>
  <c r="BW2176" i="5"/>
  <c r="BW2177" i="5"/>
  <c r="BW2178" i="5"/>
  <c r="BW2179" i="5"/>
  <c r="BW2180" i="5"/>
  <c r="BW2181" i="5"/>
  <c r="BW2182" i="5"/>
  <c r="BW2183" i="5"/>
  <c r="BW2184" i="5"/>
  <c r="BW2185" i="5"/>
  <c r="BW2186" i="5"/>
  <c r="BW2187" i="5"/>
  <c r="BW2188" i="5"/>
  <c r="BW2189" i="5"/>
  <c r="BW2190" i="5"/>
  <c r="BW2191" i="5"/>
  <c r="BW2192" i="5"/>
  <c r="BW2193" i="5"/>
  <c r="BW2194" i="5"/>
  <c r="BW2195" i="5"/>
  <c r="BW2196" i="5"/>
  <c r="BW2197" i="5"/>
  <c r="BW2198" i="5"/>
  <c r="BW2199" i="5"/>
  <c r="BW2200" i="5"/>
  <c r="BW2201" i="5"/>
  <c r="BW2202" i="5"/>
  <c r="BW2203" i="5"/>
  <c r="BW2204" i="5"/>
  <c r="BW2205" i="5"/>
  <c r="BW2206" i="5"/>
  <c r="BW2207" i="5"/>
  <c r="BW2208" i="5"/>
  <c r="BW2209" i="5"/>
  <c r="BW2210" i="5"/>
  <c r="BW2211" i="5"/>
  <c r="BW2212" i="5"/>
  <c r="BW2213" i="5"/>
  <c r="BW2214" i="5"/>
  <c r="BW2215" i="5"/>
  <c r="BW2216" i="5"/>
  <c r="BW2217" i="5"/>
  <c r="BW2218" i="5"/>
  <c r="BW2219" i="5"/>
  <c r="BW2220" i="5"/>
  <c r="BW2221" i="5"/>
  <c r="BW2222" i="5"/>
  <c r="BW2223" i="5"/>
  <c r="BW2224" i="5"/>
  <c r="BW2225" i="5"/>
  <c r="BW2226" i="5"/>
  <c r="BW2227" i="5"/>
  <c r="BW2228" i="5"/>
  <c r="BW2229" i="5"/>
  <c r="BW2230" i="5"/>
  <c r="BW2231" i="5"/>
  <c r="BW2232" i="5"/>
  <c r="BW2233" i="5"/>
  <c r="BW2234" i="5"/>
  <c r="BW2235" i="5"/>
  <c r="BW2236" i="5"/>
  <c r="BW2237" i="5"/>
  <c r="BW2238" i="5"/>
  <c r="BW2239" i="5"/>
  <c r="BW2240" i="5"/>
  <c r="BW2241" i="5"/>
  <c r="BW2242" i="5"/>
  <c r="BW2243" i="5"/>
  <c r="BW2244" i="5"/>
  <c r="BW2245" i="5"/>
  <c r="BW2246" i="5"/>
  <c r="BW2247" i="5"/>
  <c r="BW2248" i="5"/>
  <c r="BW2249" i="5"/>
  <c r="BW2250" i="5"/>
  <c r="BW2251" i="5"/>
  <c r="BW2252" i="5"/>
  <c r="BW2253" i="5"/>
  <c r="BW2254" i="5"/>
  <c r="BW2255" i="5"/>
  <c r="BW2256" i="5"/>
  <c r="BW2257" i="5"/>
  <c r="BW2258" i="5"/>
  <c r="BW2259" i="5"/>
  <c r="BW2260" i="5"/>
  <c r="BW2261" i="5"/>
  <c r="BW2262" i="5"/>
  <c r="BW2263" i="5"/>
  <c r="BW2264" i="5"/>
  <c r="BW2265" i="5"/>
  <c r="BW2266" i="5"/>
  <c r="BW2267" i="5"/>
  <c r="BW2268" i="5"/>
  <c r="BW2269" i="5"/>
  <c r="BW2270" i="5"/>
  <c r="BW2271" i="5"/>
  <c r="BW2272" i="5"/>
  <c r="BW2273" i="5"/>
  <c r="BW2274" i="5"/>
  <c r="BW2275" i="5"/>
  <c r="BW2276" i="5"/>
  <c r="BW2277" i="5"/>
  <c r="BW2278" i="5"/>
  <c r="BW2279" i="5"/>
  <c r="BW2280" i="5"/>
  <c r="BW2281" i="5"/>
  <c r="BW2282" i="5"/>
  <c r="BW2283" i="5"/>
  <c r="BW2284" i="5"/>
  <c r="BW2285" i="5"/>
  <c r="BW2286" i="5"/>
  <c r="BW2287" i="5"/>
  <c r="BW2288" i="5"/>
  <c r="BW2289" i="5"/>
  <c r="BW2290" i="5"/>
  <c r="BW2291" i="5"/>
  <c r="BW2292" i="5"/>
  <c r="BW2293" i="5"/>
  <c r="BW2294" i="5"/>
  <c r="BW2295" i="5"/>
  <c r="BW2296" i="5"/>
  <c r="BW2297" i="5"/>
  <c r="BW2298" i="5"/>
  <c r="BW2299" i="5"/>
  <c r="BW2300" i="5"/>
  <c r="BW2301" i="5"/>
  <c r="BW2302" i="5"/>
  <c r="BW2303" i="5"/>
  <c r="BW2304" i="5"/>
  <c r="BW2305" i="5"/>
  <c r="BW2306" i="5"/>
  <c r="BW2307" i="5"/>
  <c r="BW2308" i="5"/>
  <c r="BW2309" i="5"/>
  <c r="BW2310" i="5"/>
  <c r="BW2311" i="5"/>
  <c r="BW2312" i="5"/>
  <c r="BW2313" i="5"/>
  <c r="BW2314" i="5"/>
  <c r="BW2315" i="5"/>
  <c r="BW2316" i="5"/>
  <c r="BW2317" i="5"/>
  <c r="BW2318" i="5"/>
  <c r="BW2319" i="5"/>
  <c r="BW2320" i="5"/>
  <c r="BW2321" i="5"/>
  <c r="BW2322" i="5"/>
  <c r="BW2323" i="5"/>
  <c r="BW2324" i="5"/>
  <c r="BW2325" i="5"/>
  <c r="BW2326" i="5"/>
  <c r="BW2327" i="5"/>
  <c r="BW2328" i="5"/>
  <c r="BW2329" i="5"/>
  <c r="BW2330" i="5"/>
  <c r="BW2331" i="5"/>
  <c r="BW2332" i="5"/>
  <c r="BW2333" i="5"/>
  <c r="BW2334" i="5"/>
  <c r="BW2335" i="5"/>
  <c r="BW2336" i="5"/>
  <c r="BW2337" i="5"/>
  <c r="BW2338" i="5"/>
  <c r="BW2339" i="5"/>
  <c r="BW2340" i="5"/>
  <c r="BW2341" i="5"/>
  <c r="BW2342" i="5"/>
  <c r="BW2343" i="5"/>
  <c r="BW2344" i="5"/>
  <c r="BW2345" i="5"/>
  <c r="BW2346" i="5"/>
  <c r="BW2347" i="5"/>
  <c r="BW2348" i="5"/>
  <c r="BW2349" i="5"/>
  <c r="BW2350" i="5"/>
  <c r="BW2351" i="5"/>
  <c r="BW2352" i="5"/>
  <c r="BW2353" i="5"/>
  <c r="BW2354" i="5"/>
  <c r="BW2355" i="5"/>
  <c r="BW2356" i="5"/>
  <c r="BW2357" i="5"/>
  <c r="BW2358" i="5"/>
  <c r="BW2359" i="5"/>
  <c r="BW2360" i="5"/>
  <c r="BW2361" i="5"/>
  <c r="BW2362" i="5"/>
  <c r="BW2363" i="5"/>
  <c r="BW2364" i="5"/>
  <c r="BW2365" i="5"/>
  <c r="BW2366" i="5"/>
  <c r="BW2367" i="5"/>
  <c r="BW2368" i="5"/>
  <c r="BW2369" i="5"/>
  <c r="BW2370" i="5"/>
  <c r="BW2371" i="5"/>
  <c r="BW2372" i="5"/>
  <c r="BW2373" i="5"/>
  <c r="BW2374" i="5"/>
  <c r="BW2375" i="5"/>
  <c r="BW2376" i="5"/>
  <c r="BW2377" i="5"/>
  <c r="BW2378" i="5"/>
  <c r="BW2379" i="5"/>
  <c r="BW2380" i="5"/>
  <c r="BW2381" i="5"/>
  <c r="BW2382" i="5"/>
  <c r="BW2383" i="5"/>
  <c r="BW2384" i="5"/>
  <c r="BW2385" i="5"/>
  <c r="BW2386" i="5"/>
  <c r="BW2387" i="5"/>
  <c r="BW2388" i="5"/>
  <c r="BW2389" i="5"/>
  <c r="BW2390" i="5"/>
  <c r="BW2391" i="5"/>
  <c r="BW2392" i="5"/>
  <c r="BW2393" i="5"/>
  <c r="BW2394" i="5"/>
  <c r="BW2395" i="5"/>
  <c r="BW2396" i="5"/>
  <c r="BW2397" i="5"/>
  <c r="BW2398" i="5"/>
  <c r="BW2399" i="5"/>
  <c r="BW2400" i="5"/>
  <c r="BW2401" i="5"/>
  <c r="BW2402" i="5"/>
  <c r="BW2403" i="5"/>
  <c r="BW2404" i="5"/>
  <c r="BW2405" i="5"/>
  <c r="BW2406" i="5"/>
  <c r="BW2407" i="5"/>
  <c r="BW2408" i="5"/>
  <c r="BW2409" i="5"/>
  <c r="BW2410" i="5"/>
  <c r="BW2411" i="5"/>
  <c r="BW2412" i="5"/>
  <c r="BW2413" i="5"/>
  <c r="BW2414" i="5"/>
  <c r="BW2415" i="5"/>
  <c r="BW2416" i="5"/>
  <c r="BW2417" i="5"/>
  <c r="BW2418" i="5"/>
  <c r="BW2419" i="5"/>
  <c r="BW2420" i="5"/>
  <c r="BW2421" i="5"/>
  <c r="BW2422" i="5"/>
  <c r="BW2423" i="5"/>
  <c r="BW2424" i="5"/>
  <c r="BW2425" i="5"/>
  <c r="BW2426" i="5"/>
  <c r="BW2427" i="5"/>
  <c r="BW2428" i="5"/>
  <c r="BW2429" i="5"/>
  <c r="BW2430" i="5"/>
  <c r="BW2431" i="5"/>
  <c r="BW2432" i="5"/>
  <c r="BW2433" i="5"/>
  <c r="BW2434" i="5"/>
  <c r="BW2435" i="5"/>
  <c r="BW2436" i="5"/>
  <c r="BW2437" i="5"/>
  <c r="BW2438" i="5"/>
  <c r="BW2439" i="5"/>
  <c r="BW2440" i="5"/>
  <c r="BW2441" i="5"/>
  <c r="BW2442" i="5"/>
  <c r="BW2443" i="5"/>
  <c r="BW2444" i="5"/>
  <c r="BW2445" i="5"/>
  <c r="BW2446" i="5"/>
  <c r="BW2447" i="5"/>
  <c r="BW2448" i="5"/>
  <c r="BW2449" i="5"/>
  <c r="BW2450" i="5"/>
  <c r="BW2451" i="5"/>
  <c r="BW2452" i="5"/>
  <c r="BW2453" i="5"/>
  <c r="BW2454" i="5"/>
  <c r="BW2455" i="5"/>
  <c r="BW2456" i="5"/>
  <c r="BW2457" i="5"/>
  <c r="BW2458" i="5"/>
  <c r="BW2459" i="5"/>
  <c r="BW2460" i="5"/>
  <c r="BW2461" i="5"/>
  <c r="BW2462" i="5"/>
  <c r="BW2463" i="5"/>
  <c r="BW2464" i="5"/>
  <c r="BW2465" i="5"/>
  <c r="BW2466" i="5"/>
  <c r="BW2467" i="5"/>
  <c r="BW2468" i="5"/>
  <c r="BW2469" i="5"/>
  <c r="BW2470" i="5"/>
  <c r="BW2471" i="5"/>
  <c r="BW2472" i="5"/>
  <c r="BW2473" i="5"/>
  <c r="BW2474" i="5"/>
  <c r="BW2475" i="5"/>
  <c r="BW2476" i="5"/>
  <c r="BW2477" i="5"/>
  <c r="BW2478" i="5"/>
  <c r="BW2479" i="5"/>
  <c r="BW2480" i="5"/>
  <c r="BW2481" i="5"/>
  <c r="BW2482" i="5"/>
  <c r="BW2483" i="5"/>
  <c r="BW2484" i="5"/>
  <c r="BW2485" i="5"/>
  <c r="BW2486" i="5"/>
  <c r="BW2487" i="5"/>
  <c r="BW2488" i="5"/>
  <c r="BW2489" i="5"/>
  <c r="BW2490" i="5"/>
  <c r="BW2491" i="5"/>
  <c r="BW2492" i="5"/>
  <c r="BW2493" i="5"/>
  <c r="BW2494" i="5"/>
  <c r="BW2495" i="5"/>
  <c r="BW2496" i="5"/>
  <c r="BW2497" i="5"/>
  <c r="BW2498" i="5"/>
  <c r="BW2499" i="5"/>
  <c r="BW2500" i="5"/>
  <c r="BW2501" i="5"/>
  <c r="BW2502" i="5"/>
  <c r="BW2503" i="5"/>
  <c r="BW2504" i="5"/>
  <c r="BW2505" i="5"/>
  <c r="BW2506" i="5"/>
  <c r="BW2507" i="5"/>
  <c r="BW2508" i="5"/>
  <c r="BW2509" i="5"/>
  <c r="BW2510" i="5"/>
  <c r="BW2511" i="5"/>
  <c r="BW2512" i="5"/>
  <c r="BW2513" i="5"/>
  <c r="BW2514" i="5"/>
  <c r="BW2515" i="5"/>
  <c r="BW2516" i="5"/>
  <c r="BW2517" i="5"/>
  <c r="BW2518" i="5"/>
  <c r="BW2519" i="5"/>
  <c r="BW2520" i="5"/>
  <c r="BW2521" i="5"/>
  <c r="BW2522" i="5"/>
  <c r="BW2523" i="5"/>
  <c r="BW2524" i="5"/>
  <c r="BW2525" i="5"/>
  <c r="BW2526" i="5"/>
  <c r="BW2527" i="5"/>
  <c r="BW2528" i="5"/>
  <c r="BW2529" i="5"/>
  <c r="BW2530" i="5"/>
  <c r="BW2531" i="5"/>
  <c r="BW2532" i="5"/>
  <c r="BW2533" i="5"/>
  <c r="BW2534" i="5"/>
  <c r="BW2535" i="5"/>
  <c r="BW2536" i="5"/>
  <c r="BW2537" i="5"/>
  <c r="BW2538" i="5"/>
  <c r="BW2539" i="5"/>
  <c r="BW2540" i="5"/>
  <c r="BW2541" i="5"/>
  <c r="BW2542" i="5"/>
  <c r="BW2543" i="5"/>
  <c r="BW2544" i="5"/>
  <c r="BW2545" i="5"/>
  <c r="BW2546" i="5"/>
  <c r="BW2547" i="5"/>
  <c r="BW2548" i="5"/>
  <c r="BW2549" i="5"/>
  <c r="BW2550" i="5"/>
  <c r="BW2551" i="5"/>
  <c r="BW2552" i="5"/>
  <c r="BW2553" i="5"/>
  <c r="BW2554" i="5"/>
  <c r="BW2555" i="5"/>
  <c r="BW2556" i="5"/>
  <c r="BW2557" i="5"/>
  <c r="BW2558" i="5"/>
  <c r="BW2559" i="5"/>
  <c r="BW2560" i="5"/>
  <c r="BW2561" i="5"/>
  <c r="BW2562" i="5"/>
  <c r="BW2563" i="5"/>
  <c r="BW2564" i="5"/>
  <c r="BW2565" i="5"/>
  <c r="BW2566" i="5"/>
  <c r="BW2567" i="5"/>
  <c r="BW2568" i="5"/>
  <c r="BW2569" i="5"/>
  <c r="BW2570" i="5"/>
  <c r="BW2571" i="5"/>
  <c r="BW2572" i="5"/>
  <c r="BW2573" i="5"/>
  <c r="BW2574" i="5"/>
  <c r="BW2575" i="5"/>
  <c r="BW2576" i="5"/>
  <c r="BW2577" i="5"/>
  <c r="BW2578" i="5"/>
  <c r="BW2579" i="5"/>
  <c r="BW2580" i="5"/>
  <c r="BW2581" i="5"/>
  <c r="BW2582" i="5"/>
  <c r="BW2583" i="5"/>
  <c r="BW2584" i="5"/>
  <c r="BW2585" i="5"/>
  <c r="BW2586" i="5"/>
  <c r="BW2587" i="5"/>
  <c r="BW2588" i="5"/>
  <c r="BW2589" i="5"/>
  <c r="BW2590" i="5"/>
  <c r="BW2591" i="5"/>
  <c r="BW2592" i="5"/>
  <c r="BW2593" i="5"/>
  <c r="BW2594" i="5"/>
  <c r="BW2595" i="5"/>
  <c r="BW2596" i="5"/>
  <c r="BW2597" i="5"/>
  <c r="BW2598" i="5"/>
  <c r="BW2599" i="5"/>
  <c r="BW2600" i="5"/>
  <c r="BW2601" i="5"/>
  <c r="BW2602" i="5"/>
  <c r="BW2603" i="5"/>
  <c r="BW2604" i="5"/>
  <c r="BW2605" i="5"/>
  <c r="BW2606" i="5"/>
  <c r="BW2607" i="5"/>
  <c r="BW2608" i="5"/>
  <c r="BW2609" i="5"/>
  <c r="BW2610" i="5"/>
  <c r="BW2611" i="5"/>
  <c r="BW2612" i="5"/>
  <c r="BW2613" i="5"/>
  <c r="BW2614" i="5"/>
  <c r="BW2615" i="5"/>
  <c r="BW2616" i="5"/>
  <c r="BW2617" i="5"/>
  <c r="BW2618" i="5"/>
  <c r="BW2619" i="5"/>
  <c r="BW2620" i="5"/>
  <c r="BW2621" i="5"/>
  <c r="BW2622" i="5"/>
  <c r="BW2623" i="5"/>
  <c r="BW2624" i="5"/>
  <c r="BW2625" i="5"/>
  <c r="BW2626" i="5"/>
  <c r="BW2627" i="5"/>
  <c r="BW2628" i="5"/>
  <c r="BW2629" i="5"/>
  <c r="BW2630" i="5"/>
  <c r="BW2631" i="5"/>
  <c r="BW2632" i="5"/>
  <c r="BW2633" i="5"/>
  <c r="BW2634" i="5"/>
  <c r="BW2635" i="5"/>
  <c r="BW2636" i="5"/>
  <c r="BW2637" i="5"/>
  <c r="BW2638" i="5"/>
  <c r="BW2639" i="5"/>
  <c r="BW2640" i="5"/>
  <c r="BW2641" i="5"/>
  <c r="BW2642" i="5"/>
  <c r="BW2643" i="5"/>
  <c r="BW2644" i="5"/>
  <c r="BW2645" i="5"/>
  <c r="BW2646" i="5"/>
  <c r="BW2647" i="5"/>
  <c r="BW2648" i="5"/>
  <c r="BW2649" i="5"/>
  <c r="BW2650" i="5"/>
  <c r="BW2651" i="5"/>
  <c r="BW2652" i="5"/>
  <c r="BW2653" i="5"/>
  <c r="BW2654" i="5"/>
  <c r="BW2655" i="5"/>
  <c r="BW2656" i="5"/>
  <c r="BW2657" i="5"/>
  <c r="BW2658" i="5"/>
  <c r="BW2659" i="5"/>
  <c r="BW2660" i="5"/>
  <c r="BW2661" i="5"/>
  <c r="BW2662" i="5"/>
  <c r="BW2663" i="5"/>
  <c r="BW2664" i="5"/>
  <c r="BW2665" i="5"/>
  <c r="BW2666" i="5"/>
  <c r="BW2667" i="5"/>
  <c r="BW2668" i="5"/>
  <c r="BW2669" i="5"/>
  <c r="BW2670" i="5"/>
  <c r="BW2671" i="5"/>
  <c r="BW2672" i="5"/>
  <c r="BW2673" i="5"/>
  <c r="BW2674" i="5"/>
  <c r="BW2675" i="5"/>
  <c r="BW2676" i="5"/>
  <c r="BW2677" i="5"/>
  <c r="BW2678" i="5"/>
  <c r="BW2679" i="5"/>
  <c r="BW2680" i="5"/>
  <c r="BW2681" i="5"/>
  <c r="BW2682" i="5"/>
  <c r="BW2683" i="5"/>
  <c r="BW2684" i="5"/>
  <c r="BW2685" i="5"/>
  <c r="BW2686" i="5"/>
  <c r="BW2687" i="5"/>
  <c r="BW2688" i="5"/>
  <c r="BW2689" i="5"/>
  <c r="BW2690" i="5"/>
  <c r="BW2691" i="5"/>
  <c r="BW2692" i="5"/>
  <c r="BW2693" i="5"/>
  <c r="BW2694" i="5"/>
  <c r="BW2695" i="5"/>
  <c r="BW2696" i="5"/>
  <c r="BW2697" i="5"/>
  <c r="BW2698" i="5"/>
  <c r="BW2699" i="5"/>
  <c r="BW2700" i="5"/>
  <c r="BW2701" i="5"/>
  <c r="BW2702" i="5"/>
  <c r="BW2703" i="5"/>
  <c r="BW2704" i="5"/>
  <c r="BW2705" i="5"/>
  <c r="BW2706" i="5"/>
  <c r="BW2707" i="5"/>
  <c r="BW2708" i="5"/>
  <c r="BW2709" i="5"/>
  <c r="BW2710" i="5"/>
  <c r="BW2711" i="5"/>
  <c r="BW2712" i="5"/>
  <c r="BW2713" i="5"/>
  <c r="BW2714" i="5"/>
  <c r="BW2715" i="5"/>
  <c r="BW2716" i="5"/>
  <c r="BW2717" i="5"/>
  <c r="BW2718" i="5"/>
  <c r="BW2719" i="5"/>
  <c r="BW2720" i="5"/>
  <c r="BW2721" i="5"/>
  <c r="BW2722" i="5"/>
  <c r="BW2723" i="5"/>
  <c r="BW2724" i="5"/>
  <c r="BW2725" i="5"/>
  <c r="BW2726" i="5"/>
  <c r="BW2727" i="5"/>
  <c r="BW2728" i="5"/>
  <c r="BW2729" i="5"/>
  <c r="BW2730" i="5"/>
  <c r="BW2731" i="5"/>
  <c r="BW2732" i="5"/>
  <c r="BW2733" i="5"/>
  <c r="BW2734" i="5"/>
  <c r="BW2735" i="5"/>
  <c r="BW2736" i="5"/>
  <c r="BW2737" i="5"/>
  <c r="BV2" i="5"/>
  <c r="BV3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1" i="5"/>
  <c r="BV262" i="5"/>
  <c r="BV263" i="5"/>
  <c r="BV264" i="5"/>
  <c r="BV265" i="5"/>
  <c r="BV266" i="5"/>
  <c r="BV267" i="5"/>
  <c r="BV268" i="5"/>
  <c r="BV269" i="5"/>
  <c r="BV270" i="5"/>
  <c r="BV271" i="5"/>
  <c r="BV272" i="5"/>
  <c r="BV273" i="5"/>
  <c r="BV274" i="5"/>
  <c r="BV275" i="5"/>
  <c r="BV276" i="5"/>
  <c r="BV277" i="5"/>
  <c r="BV278" i="5"/>
  <c r="BV279" i="5"/>
  <c r="BV280" i="5"/>
  <c r="BV281" i="5"/>
  <c r="BV282" i="5"/>
  <c r="BV283" i="5"/>
  <c r="BV284" i="5"/>
  <c r="BV285" i="5"/>
  <c r="BV286" i="5"/>
  <c r="BV287" i="5"/>
  <c r="BV288" i="5"/>
  <c r="BV289" i="5"/>
  <c r="BV290" i="5"/>
  <c r="BV291" i="5"/>
  <c r="BV292" i="5"/>
  <c r="BV293" i="5"/>
  <c r="BV294" i="5"/>
  <c r="BV295" i="5"/>
  <c r="BV296" i="5"/>
  <c r="BV297" i="5"/>
  <c r="BV298" i="5"/>
  <c r="BV299" i="5"/>
  <c r="BV300" i="5"/>
  <c r="BV301" i="5"/>
  <c r="BV302" i="5"/>
  <c r="BV303" i="5"/>
  <c r="BV304" i="5"/>
  <c r="BV305" i="5"/>
  <c r="BV306" i="5"/>
  <c r="BV307" i="5"/>
  <c r="BV308" i="5"/>
  <c r="BV309" i="5"/>
  <c r="BV310" i="5"/>
  <c r="BV311" i="5"/>
  <c r="BV312" i="5"/>
  <c r="BV313" i="5"/>
  <c r="BV314" i="5"/>
  <c r="BV315" i="5"/>
  <c r="BV316" i="5"/>
  <c r="BV317" i="5"/>
  <c r="BV318" i="5"/>
  <c r="BV319" i="5"/>
  <c r="BV320" i="5"/>
  <c r="BV321" i="5"/>
  <c r="BV322" i="5"/>
  <c r="BV323" i="5"/>
  <c r="BV324" i="5"/>
  <c r="BV325" i="5"/>
  <c r="BV326" i="5"/>
  <c r="BV327" i="5"/>
  <c r="BV328" i="5"/>
  <c r="BV329" i="5"/>
  <c r="BV330" i="5"/>
  <c r="BV331" i="5"/>
  <c r="BV332" i="5"/>
  <c r="BV333" i="5"/>
  <c r="BV334" i="5"/>
  <c r="BV335" i="5"/>
  <c r="BV336" i="5"/>
  <c r="BV337" i="5"/>
  <c r="BV338" i="5"/>
  <c r="BV339" i="5"/>
  <c r="BV340" i="5"/>
  <c r="BV341" i="5"/>
  <c r="BV342" i="5"/>
  <c r="BV343" i="5"/>
  <c r="BV344" i="5"/>
  <c r="BV345" i="5"/>
  <c r="BV346" i="5"/>
  <c r="BV347" i="5"/>
  <c r="BV348" i="5"/>
  <c r="BV349" i="5"/>
  <c r="BV350" i="5"/>
  <c r="BV351" i="5"/>
  <c r="BV352" i="5"/>
  <c r="BV353" i="5"/>
  <c r="BV354" i="5"/>
  <c r="BV355" i="5"/>
  <c r="BV356" i="5"/>
  <c r="BV357" i="5"/>
  <c r="BV358" i="5"/>
  <c r="BV359" i="5"/>
  <c r="BV360" i="5"/>
  <c r="BV361" i="5"/>
  <c r="BV362" i="5"/>
  <c r="BV363" i="5"/>
  <c r="BV364" i="5"/>
  <c r="BV365" i="5"/>
  <c r="BV366" i="5"/>
  <c r="BV367" i="5"/>
  <c r="BV368" i="5"/>
  <c r="BV369" i="5"/>
  <c r="BV370" i="5"/>
  <c r="BV371" i="5"/>
  <c r="BV372" i="5"/>
  <c r="BV373" i="5"/>
  <c r="BV374" i="5"/>
  <c r="BV375" i="5"/>
  <c r="BV376" i="5"/>
  <c r="BV377" i="5"/>
  <c r="BV378" i="5"/>
  <c r="BV379" i="5"/>
  <c r="BV380" i="5"/>
  <c r="BV381" i="5"/>
  <c r="BV382" i="5"/>
  <c r="BV383" i="5"/>
  <c r="BV384" i="5"/>
  <c r="BV385" i="5"/>
  <c r="BV386" i="5"/>
  <c r="BV387" i="5"/>
  <c r="BV388" i="5"/>
  <c r="BV389" i="5"/>
  <c r="BV390" i="5"/>
  <c r="BV391" i="5"/>
  <c r="BV392" i="5"/>
  <c r="BV393" i="5"/>
  <c r="BV394" i="5"/>
  <c r="BV395" i="5"/>
  <c r="BV396" i="5"/>
  <c r="BV397" i="5"/>
  <c r="BV398" i="5"/>
  <c r="BV399" i="5"/>
  <c r="BV400" i="5"/>
  <c r="BV401" i="5"/>
  <c r="BV402" i="5"/>
  <c r="BV403" i="5"/>
  <c r="BV404" i="5"/>
  <c r="BV405" i="5"/>
  <c r="BV406" i="5"/>
  <c r="BV407" i="5"/>
  <c r="BV408" i="5"/>
  <c r="BV409" i="5"/>
  <c r="BV410" i="5"/>
  <c r="BV411" i="5"/>
  <c r="BV412" i="5"/>
  <c r="BV413" i="5"/>
  <c r="BV414" i="5"/>
  <c r="BV415" i="5"/>
  <c r="BV416" i="5"/>
  <c r="BV417" i="5"/>
  <c r="BV418" i="5"/>
  <c r="BV419" i="5"/>
  <c r="BV420" i="5"/>
  <c r="BV421" i="5"/>
  <c r="BV422" i="5"/>
  <c r="BV423" i="5"/>
  <c r="BV424" i="5"/>
  <c r="BV425" i="5"/>
  <c r="BV426" i="5"/>
  <c r="BV427" i="5"/>
  <c r="BV428" i="5"/>
  <c r="BV429" i="5"/>
  <c r="BV430" i="5"/>
  <c r="BV431" i="5"/>
  <c r="BV432" i="5"/>
  <c r="BV433" i="5"/>
  <c r="BV434" i="5"/>
  <c r="BV435" i="5"/>
  <c r="BV436" i="5"/>
  <c r="BV437" i="5"/>
  <c r="BV438" i="5"/>
  <c r="BV439" i="5"/>
  <c r="BV440" i="5"/>
  <c r="BV441" i="5"/>
  <c r="BV442" i="5"/>
  <c r="BV443" i="5"/>
  <c r="BV444" i="5"/>
  <c r="BV445" i="5"/>
  <c r="BV446" i="5"/>
  <c r="BV447" i="5"/>
  <c r="BV448" i="5"/>
  <c r="BV449" i="5"/>
  <c r="BV450" i="5"/>
  <c r="BV451" i="5"/>
  <c r="BV452" i="5"/>
  <c r="BV453" i="5"/>
  <c r="BV454" i="5"/>
  <c r="BV455" i="5"/>
  <c r="BV456" i="5"/>
  <c r="BV457" i="5"/>
  <c r="BV458" i="5"/>
  <c r="BV459" i="5"/>
  <c r="BV460" i="5"/>
  <c r="BV461" i="5"/>
  <c r="BV462" i="5"/>
  <c r="BV463" i="5"/>
  <c r="BV464" i="5"/>
  <c r="BV465" i="5"/>
  <c r="BV466" i="5"/>
  <c r="BV467" i="5"/>
  <c r="BV468" i="5"/>
  <c r="BV469" i="5"/>
  <c r="BV470" i="5"/>
  <c r="BV471" i="5"/>
  <c r="BV472" i="5"/>
  <c r="BV473" i="5"/>
  <c r="BV474" i="5"/>
  <c r="BV475" i="5"/>
  <c r="BV476" i="5"/>
  <c r="BV477" i="5"/>
  <c r="BV478" i="5"/>
  <c r="BV479" i="5"/>
  <c r="BV480" i="5"/>
  <c r="BV481" i="5"/>
  <c r="BV482" i="5"/>
  <c r="BV483" i="5"/>
  <c r="BV484" i="5"/>
  <c r="BV485" i="5"/>
  <c r="BV486" i="5"/>
  <c r="BV487" i="5"/>
  <c r="BV488" i="5"/>
  <c r="BV489" i="5"/>
  <c r="BV490" i="5"/>
  <c r="BV491" i="5"/>
  <c r="BV492" i="5"/>
  <c r="BV493" i="5"/>
  <c r="BV494" i="5"/>
  <c r="BV495" i="5"/>
  <c r="BV496" i="5"/>
  <c r="BV497" i="5"/>
  <c r="BV498" i="5"/>
  <c r="BV499" i="5"/>
  <c r="BV500" i="5"/>
  <c r="BV501" i="5"/>
  <c r="BV502" i="5"/>
  <c r="BV503" i="5"/>
  <c r="BV504" i="5"/>
  <c r="BV505" i="5"/>
  <c r="BV506" i="5"/>
  <c r="BV507" i="5"/>
  <c r="BV508" i="5"/>
  <c r="BV509" i="5"/>
  <c r="BV510" i="5"/>
  <c r="BV511" i="5"/>
  <c r="BV512" i="5"/>
  <c r="BV513" i="5"/>
  <c r="BV514" i="5"/>
  <c r="BV515" i="5"/>
  <c r="BV516" i="5"/>
  <c r="BV517" i="5"/>
  <c r="BV518" i="5"/>
  <c r="BV519" i="5"/>
  <c r="BV520" i="5"/>
  <c r="BV521" i="5"/>
  <c r="BV522" i="5"/>
  <c r="BV523" i="5"/>
  <c r="BV524" i="5"/>
  <c r="BV525" i="5"/>
  <c r="BV526" i="5"/>
  <c r="BV527" i="5"/>
  <c r="BV528" i="5"/>
  <c r="BV529" i="5"/>
  <c r="BV530" i="5"/>
  <c r="BV531" i="5"/>
  <c r="BV532" i="5"/>
  <c r="BV533" i="5"/>
  <c r="BV534" i="5"/>
  <c r="BV535" i="5"/>
  <c r="BV536" i="5"/>
  <c r="BV537" i="5"/>
  <c r="BV538" i="5"/>
  <c r="BV539" i="5"/>
  <c r="BV540" i="5"/>
  <c r="BV541" i="5"/>
  <c r="BV542" i="5"/>
  <c r="BV543" i="5"/>
  <c r="BV544" i="5"/>
  <c r="BV545" i="5"/>
  <c r="BV546" i="5"/>
  <c r="BV547" i="5"/>
  <c r="BV548" i="5"/>
  <c r="BV549" i="5"/>
  <c r="BV550" i="5"/>
  <c r="BV551" i="5"/>
  <c r="BV552" i="5"/>
  <c r="BV553" i="5"/>
  <c r="BV554" i="5"/>
  <c r="BV555" i="5"/>
  <c r="BV556" i="5"/>
  <c r="BV557" i="5"/>
  <c r="BV558" i="5"/>
  <c r="BV559" i="5"/>
  <c r="BV560" i="5"/>
  <c r="BV561" i="5"/>
  <c r="BV562" i="5"/>
  <c r="BV563" i="5"/>
  <c r="BV564" i="5"/>
  <c r="BV565" i="5"/>
  <c r="BV566" i="5"/>
  <c r="BV567" i="5"/>
  <c r="BV568" i="5"/>
  <c r="BV569" i="5"/>
  <c r="BV570" i="5"/>
  <c r="BV571" i="5"/>
  <c r="BV572" i="5"/>
  <c r="BV573" i="5"/>
  <c r="BV574" i="5"/>
  <c r="BV575" i="5"/>
  <c r="BV576" i="5"/>
  <c r="BV577" i="5"/>
  <c r="BV578" i="5"/>
  <c r="BV579" i="5"/>
  <c r="BV580" i="5"/>
  <c r="BV581" i="5"/>
  <c r="BV582" i="5"/>
  <c r="BV583" i="5"/>
  <c r="BV584" i="5"/>
  <c r="BV585" i="5"/>
  <c r="BV586" i="5"/>
  <c r="BV587" i="5"/>
  <c r="BV588" i="5"/>
  <c r="BV589" i="5"/>
  <c r="BV590" i="5"/>
  <c r="BV591" i="5"/>
  <c r="BV592" i="5"/>
  <c r="BV593" i="5"/>
  <c r="BV594" i="5"/>
  <c r="BV595" i="5"/>
  <c r="BV596" i="5"/>
  <c r="BV597" i="5"/>
  <c r="BV598" i="5"/>
  <c r="BV599" i="5"/>
  <c r="BV600" i="5"/>
  <c r="BV601" i="5"/>
  <c r="BV602" i="5"/>
  <c r="BV603" i="5"/>
  <c r="BV604" i="5"/>
  <c r="BV605" i="5"/>
  <c r="BV606" i="5"/>
  <c r="BV607" i="5"/>
  <c r="BV608" i="5"/>
  <c r="BV609" i="5"/>
  <c r="BV610" i="5"/>
  <c r="BV611" i="5"/>
  <c r="BV612" i="5"/>
  <c r="BV613" i="5"/>
  <c r="BV614" i="5"/>
  <c r="BV615" i="5"/>
  <c r="BV616" i="5"/>
  <c r="BV617" i="5"/>
  <c r="BV618" i="5"/>
  <c r="BV619" i="5"/>
  <c r="BV620" i="5"/>
  <c r="BV621" i="5"/>
  <c r="BV622" i="5"/>
  <c r="BV623" i="5"/>
  <c r="BV624" i="5"/>
  <c r="BV625" i="5"/>
  <c r="BV626" i="5"/>
  <c r="BV627" i="5"/>
  <c r="BV628" i="5"/>
  <c r="BV629" i="5"/>
  <c r="BV630" i="5"/>
  <c r="BV631" i="5"/>
  <c r="BV632" i="5"/>
  <c r="BV633" i="5"/>
  <c r="BV634" i="5"/>
  <c r="BV635" i="5"/>
  <c r="BV636" i="5"/>
  <c r="BV637" i="5"/>
  <c r="BV638" i="5"/>
  <c r="BV639" i="5"/>
  <c r="BV640" i="5"/>
  <c r="BV641" i="5"/>
  <c r="BV642" i="5"/>
  <c r="BV643" i="5"/>
  <c r="BV644" i="5"/>
  <c r="BV645" i="5"/>
  <c r="BV646" i="5"/>
  <c r="BV647" i="5"/>
  <c r="BV648" i="5"/>
  <c r="BV649" i="5"/>
  <c r="BV650" i="5"/>
  <c r="BV651" i="5"/>
  <c r="BV652" i="5"/>
  <c r="BV653" i="5"/>
  <c r="BV654" i="5"/>
  <c r="BV655" i="5"/>
  <c r="BV656" i="5"/>
  <c r="BV657" i="5"/>
  <c r="BV658" i="5"/>
  <c r="BV659" i="5"/>
  <c r="BV660" i="5"/>
  <c r="BV661" i="5"/>
  <c r="BV662" i="5"/>
  <c r="BV663" i="5"/>
  <c r="BV664" i="5"/>
  <c r="BV665" i="5"/>
  <c r="BV666" i="5"/>
  <c r="BV667" i="5"/>
  <c r="BV668" i="5"/>
  <c r="BV669" i="5"/>
  <c r="BV670" i="5"/>
  <c r="BV671" i="5"/>
  <c r="BV672" i="5"/>
  <c r="BV673" i="5"/>
  <c r="BV674" i="5"/>
  <c r="BV675" i="5"/>
  <c r="BV676" i="5"/>
  <c r="BV677" i="5"/>
  <c r="BV678" i="5"/>
  <c r="BV679" i="5"/>
  <c r="BV680" i="5"/>
  <c r="BV681" i="5"/>
  <c r="BV682" i="5"/>
  <c r="BV683" i="5"/>
  <c r="BV684" i="5"/>
  <c r="BV685" i="5"/>
  <c r="BV686" i="5"/>
  <c r="BV687" i="5"/>
  <c r="BV688" i="5"/>
  <c r="BV689" i="5"/>
  <c r="BV690" i="5"/>
  <c r="BV691" i="5"/>
  <c r="BV692" i="5"/>
  <c r="BV693" i="5"/>
  <c r="BV694" i="5"/>
  <c r="BV695" i="5"/>
  <c r="BV696" i="5"/>
  <c r="BV697" i="5"/>
  <c r="BV698" i="5"/>
  <c r="BV699" i="5"/>
  <c r="BV700" i="5"/>
  <c r="BV701" i="5"/>
  <c r="BV702" i="5"/>
  <c r="BV703" i="5"/>
  <c r="BV704" i="5"/>
  <c r="BV705" i="5"/>
  <c r="BV706" i="5"/>
  <c r="BV707" i="5"/>
  <c r="BV708" i="5"/>
  <c r="BV709" i="5"/>
  <c r="BV710" i="5"/>
  <c r="BV711" i="5"/>
  <c r="BV712" i="5"/>
  <c r="BV713" i="5"/>
  <c r="BV714" i="5"/>
  <c r="BV715" i="5"/>
  <c r="BV716" i="5"/>
  <c r="BV717" i="5"/>
  <c r="BV718" i="5"/>
  <c r="BV719" i="5"/>
  <c r="BV720" i="5"/>
  <c r="BV721" i="5"/>
  <c r="BV722" i="5"/>
  <c r="BV723" i="5"/>
  <c r="BV724" i="5"/>
  <c r="BV725" i="5"/>
  <c r="BV726" i="5"/>
  <c r="BV727" i="5"/>
  <c r="BV728" i="5"/>
  <c r="BV729" i="5"/>
  <c r="BV730" i="5"/>
  <c r="BV731" i="5"/>
  <c r="BV732" i="5"/>
  <c r="BV733" i="5"/>
  <c r="BV734" i="5"/>
  <c r="BV735" i="5"/>
  <c r="BV736" i="5"/>
  <c r="BV737" i="5"/>
  <c r="BV738" i="5"/>
  <c r="BV739" i="5"/>
  <c r="BV740" i="5"/>
  <c r="BV741" i="5"/>
  <c r="BV742" i="5"/>
  <c r="BV743" i="5"/>
  <c r="BV744" i="5"/>
  <c r="BV745" i="5"/>
  <c r="BV746" i="5"/>
  <c r="BV747" i="5"/>
  <c r="BV748" i="5"/>
  <c r="BV749" i="5"/>
  <c r="BV750" i="5"/>
  <c r="BV751" i="5"/>
  <c r="BV752" i="5"/>
  <c r="BV753" i="5"/>
  <c r="BV754" i="5"/>
  <c r="BV755" i="5"/>
  <c r="BV756" i="5"/>
  <c r="BV757" i="5"/>
  <c r="BV758" i="5"/>
  <c r="BV759" i="5"/>
  <c r="BV760" i="5"/>
  <c r="BV761" i="5"/>
  <c r="BV762" i="5"/>
  <c r="BV763" i="5"/>
  <c r="BV764" i="5"/>
  <c r="BV765" i="5"/>
  <c r="BV766" i="5"/>
  <c r="BV767" i="5"/>
  <c r="BV768" i="5"/>
  <c r="BV769" i="5"/>
  <c r="BV770" i="5"/>
  <c r="BV771" i="5"/>
  <c r="BV772" i="5"/>
  <c r="BV773" i="5"/>
  <c r="BV774" i="5"/>
  <c r="BV775" i="5"/>
  <c r="BV776" i="5"/>
  <c r="BV777" i="5"/>
  <c r="BV778" i="5"/>
  <c r="BV779" i="5"/>
  <c r="BV780" i="5"/>
  <c r="BV781" i="5"/>
  <c r="BV782" i="5"/>
  <c r="BV783" i="5"/>
  <c r="BV784" i="5"/>
  <c r="BV785" i="5"/>
  <c r="BV786" i="5"/>
  <c r="BV787" i="5"/>
  <c r="BV788" i="5"/>
  <c r="BV789" i="5"/>
  <c r="BV790" i="5"/>
  <c r="BV791" i="5"/>
  <c r="BV792" i="5"/>
  <c r="BV793" i="5"/>
  <c r="BV794" i="5"/>
  <c r="BV795" i="5"/>
  <c r="BV796" i="5"/>
  <c r="BV797" i="5"/>
  <c r="BV798" i="5"/>
  <c r="BV799" i="5"/>
  <c r="BV800" i="5"/>
  <c r="BV801" i="5"/>
  <c r="BV802" i="5"/>
  <c r="BV803" i="5"/>
  <c r="BV804" i="5"/>
  <c r="BV805" i="5"/>
  <c r="BV806" i="5"/>
  <c r="BV807" i="5"/>
  <c r="BV808" i="5"/>
  <c r="BV809" i="5"/>
  <c r="BV810" i="5"/>
  <c r="BV811" i="5"/>
  <c r="BV812" i="5"/>
  <c r="BV813" i="5"/>
  <c r="BV814" i="5"/>
  <c r="BV815" i="5"/>
  <c r="BV816" i="5"/>
  <c r="BV817" i="5"/>
  <c r="BV818" i="5"/>
  <c r="BV819" i="5"/>
  <c r="BV820" i="5"/>
  <c r="BV821" i="5"/>
  <c r="BV822" i="5"/>
  <c r="BV823" i="5"/>
  <c r="BV824" i="5"/>
  <c r="BV825" i="5"/>
  <c r="BV826" i="5"/>
  <c r="BV827" i="5"/>
  <c r="BV828" i="5"/>
  <c r="BV829" i="5"/>
  <c r="BV830" i="5"/>
  <c r="BV831" i="5"/>
  <c r="BV832" i="5"/>
  <c r="BV833" i="5"/>
  <c r="BV834" i="5"/>
  <c r="BV835" i="5"/>
  <c r="BV836" i="5"/>
  <c r="BV837" i="5"/>
  <c r="BV838" i="5"/>
  <c r="BV839" i="5"/>
  <c r="BV840" i="5"/>
  <c r="BV841" i="5"/>
  <c r="BV842" i="5"/>
  <c r="BV843" i="5"/>
  <c r="BV844" i="5"/>
  <c r="BV845" i="5"/>
  <c r="BV846" i="5"/>
  <c r="BV847" i="5"/>
  <c r="BV848" i="5"/>
  <c r="BV849" i="5"/>
  <c r="BV850" i="5"/>
  <c r="BV851" i="5"/>
  <c r="BV852" i="5"/>
  <c r="BV853" i="5"/>
  <c r="BV854" i="5"/>
  <c r="BV855" i="5"/>
  <c r="BV856" i="5"/>
  <c r="BV857" i="5"/>
  <c r="BV858" i="5"/>
  <c r="BV859" i="5"/>
  <c r="BV860" i="5"/>
  <c r="BV861" i="5"/>
  <c r="BV862" i="5"/>
  <c r="BV863" i="5"/>
  <c r="BV864" i="5"/>
  <c r="BV865" i="5"/>
  <c r="BV866" i="5"/>
  <c r="BV867" i="5"/>
  <c r="BV868" i="5"/>
  <c r="BV869" i="5"/>
  <c r="BV870" i="5"/>
  <c r="BV871" i="5"/>
  <c r="BV872" i="5"/>
  <c r="BV873" i="5"/>
  <c r="BV874" i="5"/>
  <c r="BV875" i="5"/>
  <c r="BV876" i="5"/>
  <c r="BV877" i="5"/>
  <c r="BV878" i="5"/>
  <c r="BV879" i="5"/>
  <c r="BV880" i="5"/>
  <c r="BV881" i="5"/>
  <c r="BV882" i="5"/>
  <c r="BV883" i="5"/>
  <c r="BV884" i="5"/>
  <c r="BV885" i="5"/>
  <c r="BV886" i="5"/>
  <c r="BV887" i="5"/>
  <c r="BV888" i="5"/>
  <c r="BV889" i="5"/>
  <c r="BV890" i="5"/>
  <c r="BV891" i="5"/>
  <c r="BV892" i="5"/>
  <c r="BV893" i="5"/>
  <c r="BV894" i="5"/>
  <c r="BV895" i="5"/>
  <c r="BV896" i="5"/>
  <c r="BV897" i="5"/>
  <c r="BV898" i="5"/>
  <c r="BV899" i="5"/>
  <c r="BV900" i="5"/>
  <c r="BV901" i="5"/>
  <c r="BV902" i="5"/>
  <c r="BV903" i="5"/>
  <c r="BV904" i="5"/>
  <c r="BV905" i="5"/>
  <c r="BV906" i="5"/>
  <c r="BV907" i="5"/>
  <c r="BV908" i="5"/>
  <c r="BV909" i="5"/>
  <c r="BV910" i="5"/>
  <c r="BV911" i="5"/>
  <c r="BV912" i="5"/>
  <c r="BV913" i="5"/>
  <c r="BV914" i="5"/>
  <c r="BV915" i="5"/>
  <c r="BV916" i="5"/>
  <c r="BV917" i="5"/>
  <c r="BV918" i="5"/>
  <c r="BV919" i="5"/>
  <c r="BV920" i="5"/>
  <c r="BV921" i="5"/>
  <c r="BV922" i="5"/>
  <c r="BV923" i="5"/>
  <c r="BV924" i="5"/>
  <c r="BV925" i="5"/>
  <c r="BV926" i="5"/>
  <c r="BV927" i="5"/>
  <c r="BV928" i="5"/>
  <c r="BV929" i="5"/>
  <c r="BV930" i="5"/>
  <c r="BV931" i="5"/>
  <c r="BV932" i="5"/>
  <c r="BV933" i="5"/>
  <c r="BV934" i="5"/>
  <c r="BV935" i="5"/>
  <c r="BV936" i="5"/>
  <c r="BV937" i="5"/>
  <c r="BV938" i="5"/>
  <c r="BV939" i="5"/>
  <c r="BV940" i="5"/>
  <c r="BV941" i="5"/>
  <c r="BV942" i="5"/>
  <c r="BV943" i="5"/>
  <c r="BV944" i="5"/>
  <c r="BV945" i="5"/>
  <c r="BV946" i="5"/>
  <c r="BV947" i="5"/>
  <c r="BV948" i="5"/>
  <c r="BV949" i="5"/>
  <c r="BV950" i="5"/>
  <c r="BV951" i="5"/>
  <c r="BV952" i="5"/>
  <c r="BV953" i="5"/>
  <c r="BV954" i="5"/>
  <c r="BV955" i="5"/>
  <c r="BV956" i="5"/>
  <c r="BV957" i="5"/>
  <c r="BV958" i="5"/>
  <c r="BV959" i="5"/>
  <c r="BV960" i="5"/>
  <c r="BV961" i="5"/>
  <c r="BV962" i="5"/>
  <c r="BV963" i="5"/>
  <c r="BV964" i="5"/>
  <c r="BV965" i="5"/>
  <c r="BV966" i="5"/>
  <c r="BV967" i="5"/>
  <c r="BV968" i="5"/>
  <c r="BV969" i="5"/>
  <c r="BV970" i="5"/>
  <c r="BV971" i="5"/>
  <c r="BV972" i="5"/>
  <c r="BV973" i="5"/>
  <c r="BV974" i="5"/>
  <c r="BV975" i="5"/>
  <c r="BV976" i="5"/>
  <c r="BV977" i="5"/>
  <c r="BV978" i="5"/>
  <c r="BV979" i="5"/>
  <c r="BV980" i="5"/>
  <c r="BV981" i="5"/>
  <c r="BV982" i="5"/>
  <c r="BV983" i="5"/>
  <c r="BV984" i="5"/>
  <c r="BV985" i="5"/>
  <c r="BV986" i="5"/>
  <c r="BV987" i="5"/>
  <c r="BV988" i="5"/>
  <c r="BV989" i="5"/>
  <c r="BV990" i="5"/>
  <c r="BV991" i="5"/>
  <c r="BV992" i="5"/>
  <c r="BV993" i="5"/>
  <c r="BV994" i="5"/>
  <c r="BV995" i="5"/>
  <c r="BV996" i="5"/>
  <c r="BV997" i="5"/>
  <c r="BV998" i="5"/>
  <c r="BV999" i="5"/>
  <c r="BV1000" i="5"/>
  <c r="BV1001" i="5"/>
  <c r="BV1002" i="5"/>
  <c r="BV1003" i="5"/>
  <c r="BV1004" i="5"/>
  <c r="BV1005" i="5"/>
  <c r="BV1006" i="5"/>
  <c r="BV1007" i="5"/>
  <c r="BV1008" i="5"/>
  <c r="BV1009" i="5"/>
  <c r="BV1010" i="5"/>
  <c r="BV1011" i="5"/>
  <c r="BV1012" i="5"/>
  <c r="BV1013" i="5"/>
  <c r="BV1014" i="5"/>
  <c r="BV1015" i="5"/>
  <c r="BV1016" i="5"/>
  <c r="BV1017" i="5"/>
  <c r="BV1018" i="5"/>
  <c r="BV1019" i="5"/>
  <c r="BV1020" i="5"/>
  <c r="BV1021" i="5"/>
  <c r="BV1022" i="5"/>
  <c r="BV1023" i="5"/>
  <c r="BV1024" i="5"/>
  <c r="BV1025" i="5"/>
  <c r="BV1026" i="5"/>
  <c r="BV1027" i="5"/>
  <c r="BV1028" i="5"/>
  <c r="BV1029" i="5"/>
  <c r="BV1030" i="5"/>
  <c r="BV1031" i="5"/>
  <c r="BV1032" i="5"/>
  <c r="BV1033" i="5"/>
  <c r="BV1034" i="5"/>
  <c r="BV1035" i="5"/>
  <c r="BV1036" i="5"/>
  <c r="BV1037" i="5"/>
  <c r="BV1038" i="5"/>
  <c r="BV1039" i="5"/>
  <c r="BV1040" i="5"/>
  <c r="BV1041" i="5"/>
  <c r="BV1042" i="5"/>
  <c r="BV1043" i="5"/>
  <c r="BV1044" i="5"/>
  <c r="BV1045" i="5"/>
  <c r="BV1046" i="5"/>
  <c r="BV1047" i="5"/>
  <c r="BV1048" i="5"/>
  <c r="BV1049" i="5"/>
  <c r="BV1050" i="5"/>
  <c r="BV1051" i="5"/>
  <c r="BV1052" i="5"/>
  <c r="BV1053" i="5"/>
  <c r="BV1054" i="5"/>
  <c r="BV1055" i="5"/>
  <c r="BV1056" i="5"/>
  <c r="BV1057" i="5"/>
  <c r="BV1058" i="5"/>
  <c r="BV1059" i="5"/>
  <c r="BV1060" i="5"/>
  <c r="BV1061" i="5"/>
  <c r="BV1062" i="5"/>
  <c r="BV1063" i="5"/>
  <c r="BV1064" i="5"/>
  <c r="BV1065" i="5"/>
  <c r="BV1066" i="5"/>
  <c r="BV1067" i="5"/>
  <c r="BV1068" i="5"/>
  <c r="BV1069" i="5"/>
  <c r="BV1070" i="5"/>
  <c r="BV1071" i="5"/>
  <c r="BV1072" i="5"/>
  <c r="BV1073" i="5"/>
  <c r="BV1074" i="5"/>
  <c r="BV1075" i="5"/>
  <c r="BV1076" i="5"/>
  <c r="BV1077" i="5"/>
  <c r="BV1078" i="5"/>
  <c r="BV1079" i="5"/>
  <c r="BV1080" i="5"/>
  <c r="BV1081" i="5"/>
  <c r="BV1082" i="5"/>
  <c r="BV1083" i="5"/>
  <c r="BV1084" i="5"/>
  <c r="BV1085" i="5"/>
  <c r="BV1086" i="5"/>
  <c r="BV1087" i="5"/>
  <c r="BV1088" i="5"/>
  <c r="BV1089" i="5"/>
  <c r="BV1090" i="5"/>
  <c r="BV1091" i="5"/>
  <c r="BV1092" i="5"/>
  <c r="BV1093" i="5"/>
  <c r="BV1094" i="5"/>
  <c r="BV1095" i="5"/>
  <c r="BV1096" i="5"/>
  <c r="BV1097" i="5"/>
  <c r="BV1098" i="5"/>
  <c r="BV1099" i="5"/>
  <c r="BV1100" i="5"/>
  <c r="BV1101" i="5"/>
  <c r="BV1102" i="5"/>
  <c r="BV1103" i="5"/>
  <c r="BV1104" i="5"/>
  <c r="BV1105" i="5"/>
  <c r="BV1106" i="5"/>
  <c r="BV1107" i="5"/>
  <c r="BV1108" i="5"/>
  <c r="BV1109" i="5"/>
  <c r="BV1110" i="5"/>
  <c r="BV1111" i="5"/>
  <c r="BV1112" i="5"/>
  <c r="BV1113" i="5"/>
  <c r="BV1114" i="5"/>
  <c r="BV1115" i="5"/>
  <c r="BV1116" i="5"/>
  <c r="BV1117" i="5"/>
  <c r="BV1118" i="5"/>
  <c r="BV1119" i="5"/>
  <c r="BV1120" i="5"/>
  <c r="BV1121" i="5"/>
  <c r="BV1122" i="5"/>
  <c r="BV1123" i="5"/>
  <c r="BV1124" i="5"/>
  <c r="BV1125" i="5"/>
  <c r="BV1126" i="5"/>
  <c r="BV1127" i="5"/>
  <c r="BV1128" i="5"/>
  <c r="BV1129" i="5"/>
  <c r="BV1130" i="5"/>
  <c r="BV1131" i="5"/>
  <c r="BV1132" i="5"/>
  <c r="BV1133" i="5"/>
  <c r="BV1134" i="5"/>
  <c r="BV1135" i="5"/>
  <c r="BV1136" i="5"/>
  <c r="BV1137" i="5"/>
  <c r="BV1138" i="5"/>
  <c r="BV1139" i="5"/>
  <c r="BV1140" i="5"/>
  <c r="BV1141" i="5"/>
  <c r="BV1142" i="5"/>
  <c r="BV1143" i="5"/>
  <c r="BV1144" i="5"/>
  <c r="BV1145" i="5"/>
  <c r="BV1146" i="5"/>
  <c r="BV1147" i="5"/>
  <c r="BV1148" i="5"/>
  <c r="BV1149" i="5"/>
  <c r="BV1150" i="5"/>
  <c r="BV1151" i="5"/>
  <c r="BV1152" i="5"/>
  <c r="BV1153" i="5"/>
  <c r="BV1154" i="5"/>
  <c r="BV1155" i="5"/>
  <c r="BV1156" i="5"/>
  <c r="BV1157" i="5"/>
  <c r="BV1158" i="5"/>
  <c r="BV1159" i="5"/>
  <c r="BV1160" i="5"/>
  <c r="BV1161" i="5"/>
  <c r="BV1162" i="5"/>
  <c r="BV1163" i="5"/>
  <c r="BV1164" i="5"/>
  <c r="BV1165" i="5"/>
  <c r="BV1166" i="5"/>
  <c r="BV1167" i="5"/>
  <c r="BV1168" i="5"/>
  <c r="BV1169" i="5"/>
  <c r="BV1170" i="5"/>
  <c r="BV1171" i="5"/>
  <c r="BV1172" i="5"/>
  <c r="BV1173" i="5"/>
  <c r="BV1174" i="5"/>
  <c r="BV1175" i="5"/>
  <c r="BV1176" i="5"/>
  <c r="BV1177" i="5"/>
  <c r="BV1178" i="5"/>
  <c r="BV1179" i="5"/>
  <c r="BV1180" i="5"/>
  <c r="BV1181" i="5"/>
  <c r="BV1182" i="5"/>
  <c r="BV1183" i="5"/>
  <c r="BV1184" i="5"/>
  <c r="BV1185" i="5"/>
  <c r="BV1186" i="5"/>
  <c r="BV1187" i="5"/>
  <c r="BV1188" i="5"/>
  <c r="BV1189" i="5"/>
  <c r="BV1190" i="5"/>
  <c r="BV1191" i="5"/>
  <c r="BV1192" i="5"/>
  <c r="BV1193" i="5"/>
  <c r="BV1194" i="5"/>
  <c r="BV1195" i="5"/>
  <c r="BV1196" i="5"/>
  <c r="BV1197" i="5"/>
  <c r="BV1198" i="5"/>
  <c r="BV1199" i="5"/>
  <c r="BV1200" i="5"/>
  <c r="BV1201" i="5"/>
  <c r="BV1202" i="5"/>
  <c r="BV1203" i="5"/>
  <c r="BV1204" i="5"/>
  <c r="BV1205" i="5"/>
  <c r="BV1206" i="5"/>
  <c r="BV1207" i="5"/>
  <c r="BV1208" i="5"/>
  <c r="BV1209" i="5"/>
  <c r="BV1210" i="5"/>
  <c r="BV1211" i="5"/>
  <c r="BV1212" i="5"/>
  <c r="BV1213" i="5"/>
  <c r="BV1214" i="5"/>
  <c r="BV1215" i="5"/>
  <c r="BV1216" i="5"/>
  <c r="BV1217" i="5"/>
  <c r="BV1218" i="5"/>
  <c r="BV1219" i="5"/>
  <c r="BV1220" i="5"/>
  <c r="BV1221" i="5"/>
  <c r="BV1222" i="5"/>
  <c r="BV1223" i="5"/>
  <c r="BV1224" i="5"/>
  <c r="BV1225" i="5"/>
  <c r="BV1226" i="5"/>
  <c r="BV1227" i="5"/>
  <c r="BV1228" i="5"/>
  <c r="BV1229" i="5"/>
  <c r="BV1230" i="5"/>
  <c r="BV1231" i="5"/>
  <c r="BV1232" i="5"/>
  <c r="BV1233" i="5"/>
  <c r="BV1234" i="5"/>
  <c r="BV1235" i="5"/>
  <c r="BV1236" i="5"/>
  <c r="BV1237" i="5"/>
  <c r="BV1238" i="5"/>
  <c r="BV1239" i="5"/>
  <c r="BV1240" i="5"/>
  <c r="BV1241" i="5"/>
  <c r="BV1242" i="5"/>
  <c r="BV1243" i="5"/>
  <c r="BV1244" i="5"/>
  <c r="BV1245" i="5"/>
  <c r="BV1246" i="5"/>
  <c r="BV1247" i="5"/>
  <c r="BV1248" i="5"/>
  <c r="BV1249" i="5"/>
  <c r="BV1250" i="5"/>
  <c r="BV1251" i="5"/>
  <c r="BV1252" i="5"/>
  <c r="BV1253" i="5"/>
  <c r="BV1254" i="5"/>
  <c r="BV1255" i="5"/>
  <c r="BV1256" i="5"/>
  <c r="BV1257" i="5"/>
  <c r="BV1258" i="5"/>
  <c r="BV1259" i="5"/>
  <c r="BV1260" i="5"/>
  <c r="BV1261" i="5"/>
  <c r="BV1262" i="5"/>
  <c r="BV1263" i="5"/>
  <c r="BV1264" i="5"/>
  <c r="BV1265" i="5"/>
  <c r="BV1266" i="5"/>
  <c r="BV1267" i="5"/>
  <c r="BV1268" i="5"/>
  <c r="BV1269" i="5"/>
  <c r="BV1270" i="5"/>
  <c r="BV1271" i="5"/>
  <c r="BV1272" i="5"/>
  <c r="BV1273" i="5"/>
  <c r="BV1274" i="5"/>
  <c r="BV1275" i="5"/>
  <c r="BV1276" i="5"/>
  <c r="BV1277" i="5"/>
  <c r="BV1278" i="5"/>
  <c r="BV1279" i="5"/>
  <c r="BV1280" i="5"/>
  <c r="BV1281" i="5"/>
  <c r="BV1282" i="5"/>
  <c r="BV1283" i="5"/>
  <c r="BV1284" i="5"/>
  <c r="BV1285" i="5"/>
  <c r="BV1286" i="5"/>
  <c r="BV1287" i="5"/>
  <c r="BV1288" i="5"/>
  <c r="BV1289" i="5"/>
  <c r="BV1290" i="5"/>
  <c r="BV1291" i="5"/>
  <c r="BV1292" i="5"/>
  <c r="BV1293" i="5"/>
  <c r="BV1294" i="5"/>
  <c r="BV1295" i="5"/>
  <c r="BV1296" i="5"/>
  <c r="BV1297" i="5"/>
  <c r="BV1298" i="5"/>
  <c r="BV1299" i="5"/>
  <c r="BV1300" i="5"/>
  <c r="BV1301" i="5"/>
  <c r="BV1302" i="5"/>
  <c r="BV1303" i="5"/>
  <c r="BV1304" i="5"/>
  <c r="BV1305" i="5"/>
  <c r="BV1306" i="5"/>
  <c r="BV1307" i="5"/>
  <c r="BV1308" i="5"/>
  <c r="BV1309" i="5"/>
  <c r="BV1310" i="5"/>
  <c r="BV1311" i="5"/>
  <c r="BV1312" i="5"/>
  <c r="BV1313" i="5"/>
  <c r="BV1314" i="5"/>
  <c r="BV1315" i="5"/>
  <c r="BV1316" i="5"/>
  <c r="BV1317" i="5"/>
  <c r="BV1318" i="5"/>
  <c r="BV1319" i="5"/>
  <c r="BV1320" i="5"/>
  <c r="BV1321" i="5"/>
  <c r="BV1322" i="5"/>
  <c r="BV1323" i="5"/>
  <c r="BV1324" i="5"/>
  <c r="BV1325" i="5"/>
  <c r="BV1326" i="5"/>
  <c r="BV1327" i="5"/>
  <c r="BV1328" i="5"/>
  <c r="BV1329" i="5"/>
  <c r="BV1330" i="5"/>
  <c r="BV1331" i="5"/>
  <c r="BV1332" i="5"/>
  <c r="BV1333" i="5"/>
  <c r="BV1334" i="5"/>
  <c r="BV1335" i="5"/>
  <c r="BV1336" i="5"/>
  <c r="BV1337" i="5"/>
  <c r="BV1338" i="5"/>
  <c r="BV1339" i="5"/>
  <c r="BV1340" i="5"/>
  <c r="BV1341" i="5"/>
  <c r="BV1342" i="5"/>
  <c r="BV1343" i="5"/>
  <c r="BV1344" i="5"/>
  <c r="BV1345" i="5"/>
  <c r="BV1346" i="5"/>
  <c r="BV1347" i="5"/>
  <c r="BV1348" i="5"/>
  <c r="BV1349" i="5"/>
  <c r="BV1350" i="5"/>
  <c r="BV1351" i="5"/>
  <c r="BV1352" i="5"/>
  <c r="BV1353" i="5"/>
  <c r="BV1354" i="5"/>
  <c r="BV1355" i="5"/>
  <c r="BV1356" i="5"/>
  <c r="BV1357" i="5"/>
  <c r="BV1358" i="5"/>
  <c r="BV1359" i="5"/>
  <c r="BV1360" i="5"/>
  <c r="BV1361" i="5"/>
  <c r="BV1362" i="5"/>
  <c r="BV1363" i="5"/>
  <c r="BV1364" i="5"/>
  <c r="BV1365" i="5"/>
  <c r="BV1366" i="5"/>
  <c r="BV1367" i="5"/>
  <c r="BV1368" i="5"/>
  <c r="BV1369" i="5"/>
  <c r="BV1370" i="5"/>
  <c r="BV1371" i="5"/>
  <c r="BV1372" i="5"/>
  <c r="BV1373" i="5"/>
  <c r="BV1374" i="5"/>
  <c r="BV1375" i="5"/>
  <c r="BV1376" i="5"/>
  <c r="BV1377" i="5"/>
  <c r="BV1378" i="5"/>
  <c r="BV1379" i="5"/>
  <c r="BV1380" i="5"/>
  <c r="BV1381" i="5"/>
  <c r="BV1382" i="5"/>
  <c r="BV1383" i="5"/>
  <c r="BV1384" i="5"/>
  <c r="BV1385" i="5"/>
  <c r="BV1386" i="5"/>
  <c r="BV1387" i="5"/>
  <c r="BV1388" i="5"/>
  <c r="BV1389" i="5"/>
  <c r="BV1390" i="5"/>
  <c r="BV1391" i="5"/>
  <c r="BV1392" i="5"/>
  <c r="BV1393" i="5"/>
  <c r="BV1394" i="5"/>
  <c r="BV1395" i="5"/>
  <c r="BV1396" i="5"/>
  <c r="BV1397" i="5"/>
  <c r="BV1398" i="5"/>
  <c r="BV1399" i="5"/>
  <c r="BV1400" i="5"/>
  <c r="BV1401" i="5"/>
  <c r="BV1402" i="5"/>
  <c r="BV1403" i="5"/>
  <c r="BV1404" i="5"/>
  <c r="BV1405" i="5"/>
  <c r="BV1406" i="5"/>
  <c r="BV1407" i="5"/>
  <c r="BV1408" i="5"/>
  <c r="BV1409" i="5"/>
  <c r="BV1410" i="5"/>
  <c r="BV1411" i="5"/>
  <c r="BV1412" i="5"/>
  <c r="BV1413" i="5"/>
  <c r="BV1414" i="5"/>
  <c r="BV1415" i="5"/>
  <c r="BV1416" i="5"/>
  <c r="BV1417" i="5"/>
  <c r="BV1418" i="5"/>
  <c r="BV1419" i="5"/>
  <c r="BV1420" i="5"/>
  <c r="BV1421" i="5"/>
  <c r="BV1422" i="5"/>
  <c r="BV1423" i="5"/>
  <c r="BV1424" i="5"/>
  <c r="BV1425" i="5"/>
  <c r="BV1426" i="5"/>
  <c r="BV1427" i="5"/>
  <c r="BV1428" i="5"/>
  <c r="BV1429" i="5"/>
  <c r="BV1430" i="5"/>
  <c r="BV1431" i="5"/>
  <c r="BV1432" i="5"/>
  <c r="BV1433" i="5"/>
  <c r="BV1434" i="5"/>
  <c r="BV1435" i="5"/>
  <c r="BV1436" i="5"/>
  <c r="BV1437" i="5"/>
  <c r="BV1438" i="5"/>
  <c r="BV1439" i="5"/>
  <c r="BV1440" i="5"/>
  <c r="BV1441" i="5"/>
  <c r="BV1442" i="5"/>
  <c r="BV1443" i="5"/>
  <c r="BV1444" i="5"/>
  <c r="BV1445" i="5"/>
  <c r="BV1446" i="5"/>
  <c r="BV1447" i="5"/>
  <c r="BV1448" i="5"/>
  <c r="BV1449" i="5"/>
  <c r="BV1450" i="5"/>
  <c r="BV1451" i="5"/>
  <c r="BV1452" i="5"/>
  <c r="BV1453" i="5"/>
  <c r="BV1454" i="5"/>
  <c r="BV1455" i="5"/>
  <c r="BV1456" i="5"/>
  <c r="BV1457" i="5"/>
  <c r="BV1458" i="5"/>
  <c r="BV1459" i="5"/>
  <c r="BV1460" i="5"/>
  <c r="BV1461" i="5"/>
  <c r="BV1462" i="5"/>
  <c r="BV1463" i="5"/>
  <c r="BV1464" i="5"/>
  <c r="BV1465" i="5"/>
  <c r="BV1466" i="5"/>
  <c r="BV1467" i="5"/>
  <c r="BV1468" i="5"/>
  <c r="BV1469" i="5"/>
  <c r="BV1470" i="5"/>
  <c r="BV1471" i="5"/>
  <c r="BV1472" i="5"/>
  <c r="BV1473" i="5"/>
  <c r="BV1474" i="5"/>
  <c r="BV1475" i="5"/>
  <c r="BV1476" i="5"/>
  <c r="BV1477" i="5"/>
  <c r="BV1478" i="5"/>
  <c r="BV1479" i="5"/>
  <c r="BV1480" i="5"/>
  <c r="BV1481" i="5"/>
  <c r="BV1482" i="5"/>
  <c r="BV1483" i="5"/>
  <c r="BV1484" i="5"/>
  <c r="BV1485" i="5"/>
  <c r="BV1486" i="5"/>
  <c r="BV1487" i="5"/>
  <c r="BV1488" i="5"/>
  <c r="BV1489" i="5"/>
  <c r="BV1490" i="5"/>
  <c r="BV1491" i="5"/>
  <c r="BV1492" i="5"/>
  <c r="BV1493" i="5"/>
  <c r="BV1494" i="5"/>
  <c r="BV1495" i="5"/>
  <c r="BV1496" i="5"/>
  <c r="BV1497" i="5"/>
  <c r="BV1498" i="5"/>
  <c r="BV1499" i="5"/>
  <c r="BV1500" i="5"/>
  <c r="BV1501" i="5"/>
  <c r="BV1502" i="5"/>
  <c r="BV1503" i="5"/>
  <c r="BV1504" i="5"/>
  <c r="BV1505" i="5"/>
  <c r="BV1506" i="5"/>
  <c r="BV1507" i="5"/>
  <c r="BV1508" i="5"/>
  <c r="BV1509" i="5"/>
  <c r="BV1510" i="5"/>
  <c r="BV1511" i="5"/>
  <c r="BV1512" i="5"/>
  <c r="BV1513" i="5"/>
  <c r="BV1514" i="5"/>
  <c r="BV1515" i="5"/>
  <c r="BV1516" i="5"/>
  <c r="BV1517" i="5"/>
  <c r="BV1518" i="5"/>
  <c r="BV1519" i="5"/>
  <c r="BV1520" i="5"/>
  <c r="BV1521" i="5"/>
  <c r="BV1522" i="5"/>
  <c r="BV1523" i="5"/>
  <c r="BV1524" i="5"/>
  <c r="BV1525" i="5"/>
  <c r="BV1526" i="5"/>
  <c r="BV1527" i="5"/>
  <c r="BV1528" i="5"/>
  <c r="BV1529" i="5"/>
  <c r="BV1530" i="5"/>
  <c r="BV1531" i="5"/>
  <c r="BV1532" i="5"/>
  <c r="BV1533" i="5"/>
  <c r="BV1534" i="5"/>
  <c r="BV1535" i="5"/>
  <c r="BV1536" i="5"/>
  <c r="BV1537" i="5"/>
  <c r="BV1538" i="5"/>
  <c r="BV1539" i="5"/>
  <c r="BV1540" i="5"/>
  <c r="BV1541" i="5"/>
  <c r="BV1542" i="5"/>
  <c r="BV1543" i="5"/>
  <c r="BV1544" i="5"/>
  <c r="BV1545" i="5"/>
  <c r="BV1546" i="5"/>
  <c r="BV1547" i="5"/>
  <c r="BV1548" i="5"/>
  <c r="BV1549" i="5"/>
  <c r="BV1550" i="5"/>
  <c r="BV1551" i="5"/>
  <c r="BV1552" i="5"/>
  <c r="BV1553" i="5"/>
  <c r="BV1554" i="5"/>
  <c r="BV1555" i="5"/>
  <c r="BV1556" i="5"/>
  <c r="BV1557" i="5"/>
  <c r="BV1558" i="5"/>
  <c r="BV1559" i="5"/>
  <c r="BV1560" i="5"/>
  <c r="BV1561" i="5"/>
  <c r="BV1562" i="5"/>
  <c r="BV1563" i="5"/>
  <c r="BV1564" i="5"/>
  <c r="BV1565" i="5"/>
  <c r="BV1566" i="5"/>
  <c r="BV1567" i="5"/>
  <c r="BV1568" i="5"/>
  <c r="BV1569" i="5"/>
  <c r="BV1570" i="5"/>
  <c r="BV1571" i="5"/>
  <c r="BV1572" i="5"/>
  <c r="BV1573" i="5"/>
  <c r="BV1574" i="5"/>
  <c r="BV1575" i="5"/>
  <c r="BV1576" i="5"/>
  <c r="BV1577" i="5"/>
  <c r="BV1578" i="5"/>
  <c r="BV1579" i="5"/>
  <c r="BV1580" i="5"/>
  <c r="BV1581" i="5"/>
  <c r="BV1582" i="5"/>
  <c r="BV1583" i="5"/>
  <c r="BV1584" i="5"/>
  <c r="BV1585" i="5"/>
  <c r="BV1586" i="5"/>
  <c r="BV1587" i="5"/>
  <c r="BV1588" i="5"/>
  <c r="BV1589" i="5"/>
  <c r="BV1590" i="5"/>
  <c r="BV1591" i="5"/>
  <c r="BV1592" i="5"/>
  <c r="BV1593" i="5"/>
  <c r="BV1594" i="5"/>
  <c r="BV1595" i="5"/>
  <c r="BV1596" i="5"/>
  <c r="BV1597" i="5"/>
  <c r="BV1598" i="5"/>
  <c r="BV1599" i="5"/>
  <c r="BV1600" i="5"/>
  <c r="BV1601" i="5"/>
  <c r="BV1602" i="5"/>
  <c r="BV1603" i="5"/>
  <c r="BV1604" i="5"/>
  <c r="BV1605" i="5"/>
  <c r="BV1606" i="5"/>
  <c r="BV1607" i="5"/>
  <c r="BV1608" i="5"/>
  <c r="BV1609" i="5"/>
  <c r="BV1610" i="5"/>
  <c r="BV1611" i="5"/>
  <c r="BV1612" i="5"/>
  <c r="BV1613" i="5"/>
  <c r="BV1614" i="5"/>
  <c r="BV1615" i="5"/>
  <c r="BV1616" i="5"/>
  <c r="BV1617" i="5"/>
  <c r="BV1618" i="5"/>
  <c r="BV1619" i="5"/>
  <c r="BV1620" i="5"/>
  <c r="BV1621" i="5"/>
  <c r="BV1622" i="5"/>
  <c r="BV1623" i="5"/>
  <c r="BV1624" i="5"/>
  <c r="BV1625" i="5"/>
  <c r="BV1626" i="5"/>
  <c r="BV1627" i="5"/>
  <c r="BV1628" i="5"/>
  <c r="BV1629" i="5"/>
  <c r="BV1630" i="5"/>
  <c r="BV1631" i="5"/>
  <c r="BV1632" i="5"/>
  <c r="BV1633" i="5"/>
  <c r="BV1634" i="5"/>
  <c r="BV1635" i="5"/>
  <c r="BV1636" i="5"/>
  <c r="BV1637" i="5"/>
  <c r="BV1638" i="5"/>
  <c r="BV1639" i="5"/>
  <c r="BV1640" i="5"/>
  <c r="BV1641" i="5"/>
  <c r="BV1642" i="5"/>
  <c r="BV1643" i="5"/>
  <c r="BV1644" i="5"/>
  <c r="BV1645" i="5"/>
  <c r="BV1646" i="5"/>
  <c r="BV1647" i="5"/>
  <c r="BV1648" i="5"/>
  <c r="BV1649" i="5"/>
  <c r="BV1650" i="5"/>
  <c r="BV1651" i="5"/>
  <c r="BV1652" i="5"/>
  <c r="BV1653" i="5"/>
  <c r="BV1654" i="5"/>
  <c r="BV1655" i="5"/>
  <c r="BV1656" i="5"/>
  <c r="BV1657" i="5"/>
  <c r="BV1658" i="5"/>
  <c r="BV1659" i="5"/>
  <c r="BV1660" i="5"/>
  <c r="BV1661" i="5"/>
  <c r="BV1662" i="5"/>
  <c r="BV1663" i="5"/>
  <c r="BV1664" i="5"/>
  <c r="BV1665" i="5"/>
  <c r="BV1666" i="5"/>
  <c r="BV1667" i="5"/>
  <c r="BV1668" i="5"/>
  <c r="BV1669" i="5"/>
  <c r="BV1670" i="5"/>
  <c r="BV1671" i="5"/>
  <c r="BV1672" i="5"/>
  <c r="BV1673" i="5"/>
  <c r="BV1674" i="5"/>
  <c r="BV1675" i="5"/>
  <c r="BV1676" i="5"/>
  <c r="BV1677" i="5"/>
  <c r="BV1678" i="5"/>
  <c r="BV1679" i="5"/>
  <c r="BV1680" i="5"/>
  <c r="BV1681" i="5"/>
  <c r="BV1682" i="5"/>
  <c r="BV1683" i="5"/>
  <c r="BV1684" i="5"/>
  <c r="BV1685" i="5"/>
  <c r="BV1686" i="5"/>
  <c r="BV1687" i="5"/>
  <c r="BV1688" i="5"/>
  <c r="BV1689" i="5"/>
  <c r="BV1690" i="5"/>
  <c r="BV1691" i="5"/>
  <c r="BV1692" i="5"/>
  <c r="BV1693" i="5"/>
  <c r="BV1694" i="5"/>
  <c r="BV1695" i="5"/>
  <c r="BV1696" i="5"/>
  <c r="BV1697" i="5"/>
  <c r="BV1698" i="5"/>
  <c r="BV1699" i="5"/>
  <c r="BV1700" i="5"/>
  <c r="BV1701" i="5"/>
  <c r="BV1702" i="5"/>
  <c r="BV1703" i="5"/>
  <c r="BV1704" i="5"/>
  <c r="BV1705" i="5"/>
  <c r="BV1706" i="5"/>
  <c r="BV1707" i="5"/>
  <c r="BV1708" i="5"/>
  <c r="BV1709" i="5"/>
  <c r="BV1710" i="5"/>
  <c r="BV1711" i="5"/>
  <c r="BV1712" i="5"/>
  <c r="BV1713" i="5"/>
  <c r="BV1714" i="5"/>
  <c r="BV1715" i="5"/>
  <c r="BV1716" i="5"/>
  <c r="BV1717" i="5"/>
  <c r="BV1718" i="5"/>
  <c r="BV1719" i="5"/>
  <c r="BV1720" i="5"/>
  <c r="BV1721" i="5"/>
  <c r="BV1722" i="5"/>
  <c r="BV1723" i="5"/>
  <c r="BV1724" i="5"/>
  <c r="BV1725" i="5"/>
  <c r="BV1726" i="5"/>
  <c r="BV1727" i="5"/>
  <c r="BV1728" i="5"/>
  <c r="BV1729" i="5"/>
  <c r="BV1730" i="5"/>
  <c r="BV1731" i="5"/>
  <c r="BV1732" i="5"/>
  <c r="BV1733" i="5"/>
  <c r="BV1734" i="5"/>
  <c r="BV1735" i="5"/>
  <c r="BV1736" i="5"/>
  <c r="BV1737" i="5"/>
  <c r="BV1738" i="5"/>
  <c r="BV1739" i="5"/>
  <c r="BV1740" i="5"/>
  <c r="BV1741" i="5"/>
  <c r="BV1742" i="5"/>
  <c r="BV1743" i="5"/>
  <c r="BV1744" i="5"/>
  <c r="BV1745" i="5"/>
  <c r="BV1746" i="5"/>
  <c r="BV1747" i="5"/>
  <c r="BV1748" i="5"/>
  <c r="BV1749" i="5"/>
  <c r="BV1750" i="5"/>
  <c r="BV1751" i="5"/>
  <c r="BV1752" i="5"/>
  <c r="BV1753" i="5"/>
  <c r="BV1754" i="5"/>
  <c r="BV1755" i="5"/>
  <c r="BV1756" i="5"/>
  <c r="BV1757" i="5"/>
  <c r="BV1758" i="5"/>
  <c r="BV1759" i="5"/>
  <c r="BV1760" i="5"/>
  <c r="BV1761" i="5"/>
  <c r="BV1762" i="5"/>
  <c r="BV1763" i="5"/>
  <c r="BV1764" i="5"/>
  <c r="BV1765" i="5"/>
  <c r="BV1766" i="5"/>
  <c r="BV1767" i="5"/>
  <c r="BV1768" i="5"/>
  <c r="BV1769" i="5"/>
  <c r="BV1770" i="5"/>
  <c r="BV1771" i="5"/>
  <c r="BV1772" i="5"/>
  <c r="BV1773" i="5"/>
  <c r="BV1774" i="5"/>
  <c r="BV1775" i="5"/>
  <c r="BV1776" i="5"/>
  <c r="BV1777" i="5"/>
  <c r="BV1778" i="5"/>
  <c r="BV1779" i="5"/>
  <c r="BV1780" i="5"/>
  <c r="BV1781" i="5"/>
  <c r="BV1782" i="5"/>
  <c r="BV1783" i="5"/>
  <c r="BV1784" i="5"/>
  <c r="BV1785" i="5"/>
  <c r="BV1786" i="5"/>
  <c r="BV1787" i="5"/>
  <c r="BV1788" i="5"/>
  <c r="BV1789" i="5"/>
  <c r="BV1790" i="5"/>
  <c r="BV1791" i="5"/>
  <c r="BV1792" i="5"/>
  <c r="BV1793" i="5"/>
  <c r="BV1794" i="5"/>
  <c r="BV1795" i="5"/>
  <c r="BV1796" i="5"/>
  <c r="BV1797" i="5"/>
  <c r="BV1798" i="5"/>
  <c r="BV1799" i="5"/>
  <c r="BV1800" i="5"/>
  <c r="BV1801" i="5"/>
  <c r="BV1802" i="5"/>
  <c r="BV1803" i="5"/>
  <c r="BV1804" i="5"/>
  <c r="BV1805" i="5"/>
  <c r="BV1806" i="5"/>
  <c r="BV1807" i="5"/>
  <c r="BV1808" i="5"/>
  <c r="BV1809" i="5"/>
  <c r="BV1810" i="5"/>
  <c r="BV1811" i="5"/>
  <c r="BV1812" i="5"/>
  <c r="BV1813" i="5"/>
  <c r="BV1814" i="5"/>
  <c r="BV1815" i="5"/>
  <c r="BV1816" i="5"/>
  <c r="BV1817" i="5"/>
  <c r="BV1818" i="5"/>
  <c r="BV1819" i="5"/>
  <c r="BV1820" i="5"/>
  <c r="BV1821" i="5"/>
  <c r="BV1822" i="5"/>
  <c r="BV1823" i="5"/>
  <c r="BV1824" i="5"/>
  <c r="BV1825" i="5"/>
  <c r="BV1826" i="5"/>
  <c r="BV1827" i="5"/>
  <c r="BV1828" i="5"/>
  <c r="BV1829" i="5"/>
  <c r="BV1830" i="5"/>
  <c r="BV1831" i="5"/>
  <c r="BV1832" i="5"/>
  <c r="BV1833" i="5"/>
  <c r="BV1834" i="5"/>
  <c r="BV1835" i="5"/>
  <c r="BV1836" i="5"/>
  <c r="BV1837" i="5"/>
  <c r="BV1838" i="5"/>
  <c r="BV1839" i="5"/>
  <c r="BV1840" i="5"/>
  <c r="BV1841" i="5"/>
  <c r="BV1842" i="5"/>
  <c r="BV1843" i="5"/>
  <c r="BV1844" i="5"/>
  <c r="BV1845" i="5"/>
  <c r="BV1846" i="5"/>
  <c r="BV1847" i="5"/>
  <c r="BV1848" i="5"/>
  <c r="BV1849" i="5"/>
  <c r="BV1850" i="5"/>
  <c r="BV1851" i="5"/>
  <c r="BV1852" i="5"/>
  <c r="BV1853" i="5"/>
  <c r="BV1854" i="5"/>
  <c r="BV1855" i="5"/>
  <c r="BV1856" i="5"/>
  <c r="BV1857" i="5"/>
  <c r="BV1858" i="5"/>
  <c r="BV1859" i="5"/>
  <c r="BV1860" i="5"/>
  <c r="BV1861" i="5"/>
  <c r="BV1862" i="5"/>
  <c r="BV1863" i="5"/>
  <c r="BV1864" i="5"/>
  <c r="BV1865" i="5"/>
  <c r="BV1866" i="5"/>
  <c r="BV1867" i="5"/>
  <c r="BV1868" i="5"/>
  <c r="BV1869" i="5"/>
  <c r="BV1870" i="5"/>
  <c r="BV1871" i="5"/>
  <c r="BV1872" i="5"/>
  <c r="BV1873" i="5"/>
  <c r="BV1874" i="5"/>
  <c r="BV1875" i="5"/>
  <c r="BV1876" i="5"/>
  <c r="BV1877" i="5"/>
  <c r="BV1878" i="5"/>
  <c r="BV1879" i="5"/>
  <c r="BV1880" i="5"/>
  <c r="BV1881" i="5"/>
  <c r="BV1882" i="5"/>
  <c r="BV1883" i="5"/>
  <c r="BV1884" i="5"/>
  <c r="BV1885" i="5"/>
  <c r="BV1886" i="5"/>
  <c r="BV1887" i="5"/>
  <c r="BV1888" i="5"/>
  <c r="BV1889" i="5"/>
  <c r="BV1890" i="5"/>
  <c r="BV1891" i="5"/>
  <c r="BV1892" i="5"/>
  <c r="BV1893" i="5"/>
  <c r="BV1894" i="5"/>
  <c r="BV1895" i="5"/>
  <c r="BV1896" i="5"/>
  <c r="BV1897" i="5"/>
  <c r="BV1898" i="5"/>
  <c r="BV1899" i="5"/>
  <c r="BV1900" i="5"/>
  <c r="BV1901" i="5"/>
  <c r="BV1902" i="5"/>
  <c r="BV1903" i="5"/>
  <c r="BV1904" i="5"/>
  <c r="BV1905" i="5"/>
  <c r="BV1906" i="5"/>
  <c r="BV1907" i="5"/>
  <c r="BV1908" i="5"/>
  <c r="BV1909" i="5"/>
  <c r="BV1910" i="5"/>
  <c r="BV1911" i="5"/>
  <c r="BV1912" i="5"/>
  <c r="BV1913" i="5"/>
  <c r="BV1914" i="5"/>
  <c r="BV1915" i="5"/>
  <c r="BV1916" i="5"/>
  <c r="BV1917" i="5"/>
  <c r="BV1918" i="5"/>
  <c r="BV1919" i="5"/>
  <c r="BV1920" i="5"/>
  <c r="BV1921" i="5"/>
  <c r="BV1922" i="5"/>
  <c r="BV1923" i="5"/>
  <c r="BV1924" i="5"/>
  <c r="BV1925" i="5"/>
  <c r="BV1926" i="5"/>
  <c r="BV1927" i="5"/>
  <c r="BV1928" i="5"/>
  <c r="BV1929" i="5"/>
  <c r="BV1930" i="5"/>
  <c r="BV1931" i="5"/>
  <c r="BV1932" i="5"/>
  <c r="BV1933" i="5"/>
  <c r="BV1934" i="5"/>
  <c r="BV1935" i="5"/>
  <c r="BV1936" i="5"/>
  <c r="BV1937" i="5"/>
  <c r="BV1938" i="5"/>
  <c r="BV1939" i="5"/>
  <c r="BV1940" i="5"/>
  <c r="BV1941" i="5"/>
  <c r="BV1942" i="5"/>
  <c r="BV1943" i="5"/>
  <c r="BV1944" i="5"/>
  <c r="BV1945" i="5"/>
  <c r="BV1946" i="5"/>
  <c r="BV1947" i="5"/>
  <c r="BV1948" i="5"/>
  <c r="BV1949" i="5"/>
  <c r="BV1950" i="5"/>
  <c r="BV1951" i="5"/>
  <c r="BV1952" i="5"/>
  <c r="BV1953" i="5"/>
  <c r="BV1954" i="5"/>
  <c r="BV1955" i="5"/>
  <c r="BV1956" i="5"/>
  <c r="BV1957" i="5"/>
  <c r="BV1958" i="5"/>
  <c r="BV1959" i="5"/>
  <c r="BV1960" i="5"/>
  <c r="BV1961" i="5"/>
  <c r="BV1962" i="5"/>
  <c r="BV1963" i="5"/>
  <c r="BV1964" i="5"/>
  <c r="BV1965" i="5"/>
  <c r="BV1966" i="5"/>
  <c r="BV1967" i="5"/>
  <c r="BV1968" i="5"/>
  <c r="BV1969" i="5"/>
  <c r="BV1970" i="5"/>
  <c r="BV1971" i="5"/>
  <c r="BV1972" i="5"/>
  <c r="BV1973" i="5"/>
  <c r="BV1974" i="5"/>
  <c r="BV1975" i="5"/>
  <c r="BV1976" i="5"/>
  <c r="BV1977" i="5"/>
  <c r="BV1978" i="5"/>
  <c r="BV1979" i="5"/>
  <c r="BV1980" i="5"/>
  <c r="BV1981" i="5"/>
  <c r="BV1982" i="5"/>
  <c r="BV1983" i="5"/>
  <c r="BV1984" i="5"/>
  <c r="BV1985" i="5"/>
  <c r="BV1986" i="5"/>
  <c r="BV1987" i="5"/>
  <c r="BV1988" i="5"/>
  <c r="BV1989" i="5"/>
  <c r="BV1990" i="5"/>
  <c r="BV1991" i="5"/>
  <c r="BV1992" i="5"/>
  <c r="BV1993" i="5"/>
  <c r="BV1994" i="5"/>
  <c r="BV1995" i="5"/>
  <c r="BV1996" i="5"/>
  <c r="BV1997" i="5"/>
  <c r="BV1998" i="5"/>
  <c r="BV1999" i="5"/>
  <c r="BV2000" i="5"/>
  <c r="BV2001" i="5"/>
  <c r="BV2002" i="5"/>
  <c r="BV2003" i="5"/>
  <c r="BV2004" i="5"/>
  <c r="BV2005" i="5"/>
  <c r="BV2006" i="5"/>
  <c r="BV2007" i="5"/>
  <c r="BV2008" i="5"/>
  <c r="BV2009" i="5"/>
  <c r="BV2010" i="5"/>
  <c r="BV2011" i="5"/>
  <c r="BV2012" i="5"/>
  <c r="BV2013" i="5"/>
  <c r="BV2014" i="5"/>
  <c r="BV2015" i="5"/>
  <c r="BV2016" i="5"/>
  <c r="BV2017" i="5"/>
  <c r="BV2018" i="5"/>
  <c r="BV2019" i="5"/>
  <c r="BV2020" i="5"/>
  <c r="BV2021" i="5"/>
  <c r="BV2022" i="5"/>
  <c r="BV2023" i="5"/>
  <c r="BV2024" i="5"/>
  <c r="BV2025" i="5"/>
  <c r="BV2026" i="5"/>
  <c r="BV2027" i="5"/>
  <c r="BV2028" i="5"/>
  <c r="BV2029" i="5"/>
  <c r="BV2030" i="5"/>
  <c r="BV2031" i="5"/>
  <c r="BV2032" i="5"/>
  <c r="BV2033" i="5"/>
  <c r="BV2034" i="5"/>
  <c r="BV2035" i="5"/>
  <c r="BV2036" i="5"/>
  <c r="BV2037" i="5"/>
  <c r="BV2038" i="5"/>
  <c r="BV2039" i="5"/>
  <c r="BV2040" i="5"/>
  <c r="BV2041" i="5"/>
  <c r="BV2042" i="5"/>
  <c r="BV2043" i="5"/>
  <c r="BV2044" i="5"/>
  <c r="BV2045" i="5"/>
  <c r="BV2046" i="5"/>
  <c r="BV2047" i="5"/>
  <c r="BV2048" i="5"/>
  <c r="BV2049" i="5"/>
  <c r="BV2050" i="5"/>
  <c r="BV2051" i="5"/>
  <c r="BV2052" i="5"/>
  <c r="BV2053" i="5"/>
  <c r="BV2054" i="5"/>
  <c r="BV2055" i="5"/>
  <c r="BV2056" i="5"/>
  <c r="BV2057" i="5"/>
  <c r="BV2058" i="5"/>
  <c r="BV2059" i="5"/>
  <c r="BV2060" i="5"/>
  <c r="BV2061" i="5"/>
  <c r="BV2062" i="5"/>
  <c r="BV2063" i="5"/>
  <c r="BV2064" i="5"/>
  <c r="BV2065" i="5"/>
  <c r="BV2066" i="5"/>
  <c r="BV2067" i="5"/>
  <c r="BV2068" i="5"/>
  <c r="BV2069" i="5"/>
  <c r="BV2070" i="5"/>
  <c r="BV2071" i="5"/>
  <c r="BV2072" i="5"/>
  <c r="BV2073" i="5"/>
  <c r="BV2074" i="5"/>
  <c r="BV2075" i="5"/>
  <c r="BV2076" i="5"/>
  <c r="BV2077" i="5"/>
  <c r="BV2078" i="5"/>
  <c r="BV2079" i="5"/>
  <c r="BV2080" i="5"/>
  <c r="BV2081" i="5"/>
  <c r="BV2082" i="5"/>
  <c r="BV2083" i="5"/>
  <c r="BV2084" i="5"/>
  <c r="BV2085" i="5"/>
  <c r="BV2086" i="5"/>
  <c r="BV2087" i="5"/>
  <c r="BV2088" i="5"/>
  <c r="BV2089" i="5"/>
  <c r="BV2090" i="5"/>
  <c r="BV2091" i="5"/>
  <c r="BV2092" i="5"/>
  <c r="BV2093" i="5"/>
  <c r="BV2094" i="5"/>
  <c r="BV2095" i="5"/>
  <c r="BV2096" i="5"/>
  <c r="BV2097" i="5"/>
  <c r="BV2098" i="5"/>
  <c r="BV2099" i="5"/>
  <c r="BV2100" i="5"/>
  <c r="BV2101" i="5"/>
  <c r="BV2102" i="5"/>
  <c r="BV2103" i="5"/>
  <c r="BV2104" i="5"/>
  <c r="BV2105" i="5"/>
  <c r="BV2106" i="5"/>
  <c r="BV2107" i="5"/>
  <c r="BV2108" i="5"/>
  <c r="BV2109" i="5"/>
  <c r="BV2110" i="5"/>
  <c r="BV2111" i="5"/>
  <c r="BV2112" i="5"/>
  <c r="BV2113" i="5"/>
  <c r="BV2114" i="5"/>
  <c r="BV2115" i="5"/>
  <c r="BV2116" i="5"/>
  <c r="BV2117" i="5"/>
  <c r="BV2118" i="5"/>
  <c r="BV2119" i="5"/>
  <c r="BV2120" i="5"/>
  <c r="BV2121" i="5"/>
  <c r="BV2122" i="5"/>
  <c r="BV2123" i="5"/>
  <c r="BV2124" i="5"/>
  <c r="BV2125" i="5"/>
  <c r="BV2126" i="5"/>
  <c r="BV2127" i="5"/>
  <c r="BV2128" i="5"/>
  <c r="BV2129" i="5"/>
  <c r="BV2130" i="5"/>
  <c r="BV2131" i="5"/>
  <c r="BV2132" i="5"/>
  <c r="BV2133" i="5"/>
  <c r="BV2134" i="5"/>
  <c r="BV2135" i="5"/>
  <c r="BV2136" i="5"/>
  <c r="BV2137" i="5"/>
  <c r="BV2138" i="5"/>
  <c r="BV2139" i="5"/>
  <c r="BV2140" i="5"/>
  <c r="BV2141" i="5"/>
  <c r="BV2142" i="5"/>
  <c r="BV2143" i="5"/>
  <c r="BV2144" i="5"/>
  <c r="BV2145" i="5"/>
  <c r="BV2146" i="5"/>
  <c r="BV2147" i="5"/>
  <c r="BV2148" i="5"/>
  <c r="BV2149" i="5"/>
  <c r="BV2150" i="5"/>
  <c r="BV2151" i="5"/>
  <c r="BV2152" i="5"/>
  <c r="BV2153" i="5"/>
  <c r="BV2154" i="5"/>
  <c r="BV2155" i="5"/>
  <c r="BV2156" i="5"/>
  <c r="BV2157" i="5"/>
  <c r="BV2158" i="5"/>
  <c r="BV2159" i="5"/>
  <c r="BV2160" i="5"/>
  <c r="BV2161" i="5"/>
  <c r="BV2162" i="5"/>
  <c r="BV2163" i="5"/>
  <c r="BV2164" i="5"/>
  <c r="BV2165" i="5"/>
  <c r="BV2166" i="5"/>
  <c r="BV2167" i="5"/>
  <c r="BV2168" i="5"/>
  <c r="BV2169" i="5"/>
  <c r="BV2170" i="5"/>
  <c r="BV2171" i="5"/>
  <c r="BV2172" i="5"/>
  <c r="BV2173" i="5"/>
  <c r="BV2174" i="5"/>
  <c r="BV2175" i="5"/>
  <c r="BV2176" i="5"/>
  <c r="BV2177" i="5"/>
  <c r="BV2178" i="5"/>
  <c r="BV2179" i="5"/>
  <c r="BV2180" i="5"/>
  <c r="BV2181" i="5"/>
  <c r="BV2182" i="5"/>
  <c r="BV2183" i="5"/>
  <c r="BV2184" i="5"/>
  <c r="BV2185" i="5"/>
  <c r="BV2186" i="5"/>
  <c r="BV2187" i="5"/>
  <c r="BV2188" i="5"/>
  <c r="BV2189" i="5"/>
  <c r="BV2190" i="5"/>
  <c r="BV2191" i="5"/>
  <c r="BV2192" i="5"/>
  <c r="BV2193" i="5"/>
  <c r="BV2194" i="5"/>
  <c r="BV2195" i="5"/>
  <c r="BV2196" i="5"/>
  <c r="BV2197" i="5"/>
  <c r="BV2198" i="5"/>
  <c r="BV2199" i="5"/>
  <c r="BV2200" i="5"/>
  <c r="BV2201" i="5"/>
  <c r="BV2202" i="5"/>
  <c r="BV2203" i="5"/>
  <c r="BV2204" i="5"/>
  <c r="BV2205" i="5"/>
  <c r="BV2206" i="5"/>
  <c r="BV2207" i="5"/>
  <c r="BV2208" i="5"/>
  <c r="BV2209" i="5"/>
  <c r="BV2210" i="5"/>
  <c r="BV2211" i="5"/>
  <c r="BV2212" i="5"/>
  <c r="BV2213" i="5"/>
  <c r="BV2214" i="5"/>
  <c r="BV2215" i="5"/>
  <c r="BV2216" i="5"/>
  <c r="BV2217" i="5"/>
  <c r="BV2218" i="5"/>
  <c r="BV2219" i="5"/>
  <c r="BV2220" i="5"/>
  <c r="BV2221" i="5"/>
  <c r="BV2222" i="5"/>
  <c r="BV2223" i="5"/>
  <c r="BV2224" i="5"/>
  <c r="BV2225" i="5"/>
  <c r="BV2226" i="5"/>
  <c r="BV2227" i="5"/>
  <c r="BV2228" i="5"/>
  <c r="BV2229" i="5"/>
  <c r="BV2230" i="5"/>
  <c r="BV2231" i="5"/>
  <c r="BV2232" i="5"/>
  <c r="BV2233" i="5"/>
  <c r="BV2234" i="5"/>
  <c r="BV2235" i="5"/>
  <c r="BV2236" i="5"/>
  <c r="BV2237" i="5"/>
  <c r="BV2238" i="5"/>
  <c r="BV2239" i="5"/>
  <c r="BV2240" i="5"/>
  <c r="BV2241" i="5"/>
  <c r="BV2242" i="5"/>
  <c r="BV2243" i="5"/>
  <c r="BV2244" i="5"/>
  <c r="BV2245" i="5"/>
  <c r="BV2246" i="5"/>
  <c r="BV2247" i="5"/>
  <c r="BV2248" i="5"/>
  <c r="BV2249" i="5"/>
  <c r="BV2250" i="5"/>
  <c r="BV2251" i="5"/>
  <c r="BV2252" i="5"/>
  <c r="BV2253" i="5"/>
  <c r="BV2254" i="5"/>
  <c r="BV2255" i="5"/>
  <c r="BV2256" i="5"/>
  <c r="BV2257" i="5"/>
  <c r="BV2258" i="5"/>
  <c r="BV2259" i="5"/>
  <c r="BV2260" i="5"/>
  <c r="BV2261" i="5"/>
  <c r="BV2262" i="5"/>
  <c r="BV2263" i="5"/>
  <c r="BV2264" i="5"/>
  <c r="BV2265" i="5"/>
  <c r="BV2266" i="5"/>
  <c r="BV2267" i="5"/>
  <c r="BV2268" i="5"/>
  <c r="BV2269" i="5"/>
  <c r="BV2270" i="5"/>
  <c r="BV2271" i="5"/>
  <c r="BV2272" i="5"/>
  <c r="BV2273" i="5"/>
  <c r="BV2274" i="5"/>
  <c r="BV2275" i="5"/>
  <c r="BV2276" i="5"/>
  <c r="BV2277" i="5"/>
  <c r="BV2278" i="5"/>
  <c r="BV2279" i="5"/>
  <c r="BV2280" i="5"/>
  <c r="BV2281" i="5"/>
  <c r="BV2282" i="5"/>
  <c r="BV2283" i="5"/>
  <c r="BV2284" i="5"/>
  <c r="BV2285" i="5"/>
  <c r="BV2286" i="5"/>
  <c r="BV2287" i="5"/>
  <c r="BV2288" i="5"/>
  <c r="BV2289" i="5"/>
  <c r="BV2290" i="5"/>
  <c r="BV2291" i="5"/>
  <c r="BV2292" i="5"/>
  <c r="BV2293" i="5"/>
  <c r="BV2294" i="5"/>
  <c r="BV2295" i="5"/>
  <c r="BV2296" i="5"/>
  <c r="BV2297" i="5"/>
  <c r="BV2298" i="5"/>
  <c r="BV2299" i="5"/>
  <c r="BV2300" i="5"/>
  <c r="BV2301" i="5"/>
  <c r="BV2302" i="5"/>
  <c r="BV2303" i="5"/>
  <c r="BV2304" i="5"/>
  <c r="BV2305" i="5"/>
  <c r="BV2306" i="5"/>
  <c r="BV2307" i="5"/>
  <c r="BV2308" i="5"/>
  <c r="BV2309" i="5"/>
  <c r="BV2310" i="5"/>
  <c r="BV2311" i="5"/>
  <c r="BV2312" i="5"/>
  <c r="BV2313" i="5"/>
  <c r="BV2314" i="5"/>
  <c r="BV2315" i="5"/>
  <c r="BV2316" i="5"/>
  <c r="BV2317" i="5"/>
  <c r="BV2318" i="5"/>
  <c r="BV2319" i="5"/>
  <c r="BV2320" i="5"/>
  <c r="BV2321" i="5"/>
  <c r="BV2322" i="5"/>
  <c r="BV2323" i="5"/>
  <c r="BV2324" i="5"/>
  <c r="BV2325" i="5"/>
  <c r="BV2326" i="5"/>
  <c r="BV2327" i="5"/>
  <c r="BV2328" i="5"/>
  <c r="BV2329" i="5"/>
  <c r="BV2330" i="5"/>
  <c r="BV2331" i="5"/>
  <c r="BV2332" i="5"/>
  <c r="BV2333" i="5"/>
  <c r="BV2334" i="5"/>
  <c r="BV2335" i="5"/>
  <c r="BV2336" i="5"/>
  <c r="BV2337" i="5"/>
  <c r="BV2338" i="5"/>
  <c r="BV2339" i="5"/>
  <c r="BV2340" i="5"/>
  <c r="BV2341" i="5"/>
  <c r="BV2342" i="5"/>
  <c r="BV2343" i="5"/>
  <c r="BV2344" i="5"/>
  <c r="BV2345" i="5"/>
  <c r="BV2346" i="5"/>
  <c r="BV2347" i="5"/>
  <c r="BV2348" i="5"/>
  <c r="BV2349" i="5"/>
  <c r="BV2350" i="5"/>
  <c r="BV2351" i="5"/>
  <c r="BV2352" i="5"/>
  <c r="BV2353" i="5"/>
  <c r="BV2354" i="5"/>
  <c r="BV2355" i="5"/>
  <c r="BV2356" i="5"/>
  <c r="BV2357" i="5"/>
  <c r="BV2358" i="5"/>
  <c r="BV2359" i="5"/>
  <c r="BV2360" i="5"/>
  <c r="BV2361" i="5"/>
  <c r="BV2362" i="5"/>
  <c r="BV2363" i="5"/>
  <c r="BV2364" i="5"/>
  <c r="BV2365" i="5"/>
  <c r="BV2366" i="5"/>
  <c r="BV2367" i="5"/>
  <c r="BV2368" i="5"/>
  <c r="BV2369" i="5"/>
  <c r="BV2370" i="5"/>
  <c r="BV2371" i="5"/>
  <c r="BV2372" i="5"/>
  <c r="BV2373" i="5"/>
  <c r="BV2374" i="5"/>
  <c r="BV2375" i="5"/>
  <c r="BV2376" i="5"/>
  <c r="BV2377" i="5"/>
  <c r="BV2378" i="5"/>
  <c r="BV2379" i="5"/>
  <c r="BV2380" i="5"/>
  <c r="BV2381" i="5"/>
  <c r="BV2382" i="5"/>
  <c r="BV2383" i="5"/>
  <c r="BV2384" i="5"/>
  <c r="BV2385" i="5"/>
  <c r="BV2386" i="5"/>
  <c r="BV2387" i="5"/>
  <c r="BV2388" i="5"/>
  <c r="BV2389" i="5"/>
  <c r="BV2390" i="5"/>
  <c r="BV2391" i="5"/>
  <c r="BV2392" i="5"/>
  <c r="BV2393" i="5"/>
  <c r="BV2394" i="5"/>
  <c r="BV2395" i="5"/>
  <c r="BV2396" i="5"/>
  <c r="BV2397" i="5"/>
  <c r="BV2398" i="5"/>
  <c r="BV2399" i="5"/>
  <c r="BV2400" i="5"/>
  <c r="BV2401" i="5"/>
  <c r="BV2402" i="5"/>
  <c r="BV2403" i="5"/>
  <c r="BV2404" i="5"/>
  <c r="BV2405" i="5"/>
  <c r="BV2406" i="5"/>
  <c r="BV2407" i="5"/>
  <c r="BV2408" i="5"/>
  <c r="BV2409" i="5"/>
  <c r="BV2410" i="5"/>
  <c r="BV2411" i="5"/>
  <c r="BV2412" i="5"/>
  <c r="BV2413" i="5"/>
  <c r="BV2414" i="5"/>
  <c r="BV2415" i="5"/>
  <c r="BV2416" i="5"/>
  <c r="BV2417" i="5"/>
  <c r="BV2418" i="5"/>
  <c r="BV2419" i="5"/>
  <c r="BV2420" i="5"/>
  <c r="BV2421" i="5"/>
  <c r="BV2422" i="5"/>
  <c r="BV2423" i="5"/>
  <c r="BV2424" i="5"/>
  <c r="BV2425" i="5"/>
  <c r="BV2426" i="5"/>
  <c r="BV2427" i="5"/>
  <c r="BV2428" i="5"/>
  <c r="BV2429" i="5"/>
  <c r="BV2430" i="5"/>
  <c r="BV2431" i="5"/>
  <c r="BV2432" i="5"/>
  <c r="BV2433" i="5"/>
  <c r="BV2434" i="5"/>
  <c r="BV2435" i="5"/>
  <c r="BV2436" i="5"/>
  <c r="BV2437" i="5"/>
  <c r="BV2438" i="5"/>
  <c r="BV2439" i="5"/>
  <c r="BV2440" i="5"/>
  <c r="BV2441" i="5"/>
  <c r="BV2442" i="5"/>
  <c r="BV2443" i="5"/>
  <c r="BV2444" i="5"/>
  <c r="BV2445" i="5"/>
  <c r="BV2446" i="5"/>
  <c r="BV2447" i="5"/>
  <c r="BV2448" i="5"/>
  <c r="BV2449" i="5"/>
  <c r="BV2450" i="5"/>
  <c r="BV2451" i="5"/>
  <c r="BV2452" i="5"/>
  <c r="BV2453" i="5"/>
  <c r="BV2454" i="5"/>
  <c r="BV2455" i="5"/>
  <c r="BV2456" i="5"/>
  <c r="BV2457" i="5"/>
  <c r="BV2458" i="5"/>
  <c r="BV2459" i="5"/>
  <c r="BV2460" i="5"/>
  <c r="BV2461" i="5"/>
  <c r="BV2462" i="5"/>
  <c r="BV2463" i="5"/>
  <c r="BV2464" i="5"/>
  <c r="BV2465" i="5"/>
  <c r="BV2466" i="5"/>
  <c r="BV2467" i="5"/>
  <c r="BV2468" i="5"/>
  <c r="BV2469" i="5"/>
  <c r="BV2470" i="5"/>
  <c r="BV2471" i="5"/>
  <c r="BV2472" i="5"/>
  <c r="BV2473" i="5"/>
  <c r="BV2474" i="5"/>
  <c r="BV2475" i="5"/>
  <c r="BV2476" i="5"/>
  <c r="BV2477" i="5"/>
  <c r="BV2478" i="5"/>
  <c r="BV2479" i="5"/>
  <c r="BV2480" i="5"/>
  <c r="BV2481" i="5"/>
  <c r="BV2482" i="5"/>
  <c r="BV2483" i="5"/>
  <c r="BV2484" i="5"/>
  <c r="BV2485" i="5"/>
  <c r="BV2486" i="5"/>
  <c r="BV2487" i="5"/>
  <c r="BV2488" i="5"/>
  <c r="BV2489" i="5"/>
  <c r="BV2490" i="5"/>
  <c r="BV2491" i="5"/>
  <c r="BV2492" i="5"/>
  <c r="BV2493" i="5"/>
  <c r="BV2494" i="5"/>
  <c r="BV2495" i="5"/>
  <c r="BV2496" i="5"/>
  <c r="BV2497" i="5"/>
  <c r="BV2498" i="5"/>
  <c r="BV2499" i="5"/>
  <c r="BV2500" i="5"/>
  <c r="BV2501" i="5"/>
  <c r="BV2502" i="5"/>
  <c r="BV2503" i="5"/>
  <c r="BV2504" i="5"/>
  <c r="BV2505" i="5"/>
  <c r="BV2506" i="5"/>
  <c r="BV2507" i="5"/>
  <c r="BV2508" i="5"/>
  <c r="BV2509" i="5"/>
  <c r="BV2510" i="5"/>
  <c r="BV2511" i="5"/>
  <c r="BV2512" i="5"/>
  <c r="BV2513" i="5"/>
  <c r="BV2514" i="5"/>
  <c r="BV2515" i="5"/>
  <c r="BV2516" i="5"/>
  <c r="BV2517" i="5"/>
  <c r="BV2518" i="5"/>
  <c r="BV2519" i="5"/>
  <c r="BV2520" i="5"/>
  <c r="BV2521" i="5"/>
  <c r="BV2522" i="5"/>
  <c r="BV2523" i="5"/>
  <c r="BV2524" i="5"/>
  <c r="BV2525" i="5"/>
  <c r="BV2526" i="5"/>
  <c r="BV2527" i="5"/>
  <c r="BV2528" i="5"/>
  <c r="BV2529" i="5"/>
  <c r="BV2530" i="5"/>
  <c r="BV2531" i="5"/>
  <c r="BV2532" i="5"/>
  <c r="BV2533" i="5"/>
  <c r="BV2534" i="5"/>
  <c r="BV2535" i="5"/>
  <c r="BV2536" i="5"/>
  <c r="BV2537" i="5"/>
  <c r="BV2538" i="5"/>
  <c r="BV2539" i="5"/>
  <c r="BV2540" i="5"/>
  <c r="BV2541" i="5"/>
  <c r="BV2542" i="5"/>
  <c r="BV2543" i="5"/>
  <c r="BV2544" i="5"/>
  <c r="BV2545" i="5"/>
  <c r="BV2546" i="5"/>
  <c r="BV2547" i="5"/>
  <c r="BV2548" i="5"/>
  <c r="BV2549" i="5"/>
  <c r="BV2550" i="5"/>
  <c r="BV2551" i="5"/>
  <c r="BV2552" i="5"/>
  <c r="BV2553" i="5"/>
  <c r="BV2554" i="5"/>
  <c r="BV2555" i="5"/>
  <c r="BV2556" i="5"/>
  <c r="BV2557" i="5"/>
  <c r="BV2558" i="5"/>
  <c r="BV2559" i="5"/>
  <c r="BV2560" i="5"/>
  <c r="BV2561" i="5"/>
  <c r="BV2562" i="5"/>
  <c r="BV2563" i="5"/>
  <c r="BV2564" i="5"/>
  <c r="BV2565" i="5"/>
  <c r="BV2566" i="5"/>
  <c r="BV2567" i="5"/>
  <c r="BV2568" i="5"/>
  <c r="BV2569" i="5"/>
  <c r="BV2570" i="5"/>
  <c r="BV2571" i="5"/>
  <c r="BV2572" i="5"/>
  <c r="BV2573" i="5"/>
  <c r="BV2574" i="5"/>
  <c r="BV2575" i="5"/>
  <c r="BV2576" i="5"/>
  <c r="BV2577" i="5"/>
  <c r="BV2578" i="5"/>
  <c r="BV2579" i="5"/>
  <c r="BV2580" i="5"/>
  <c r="BV2581" i="5"/>
  <c r="BV2582" i="5"/>
  <c r="BV2583" i="5"/>
  <c r="BV2584" i="5"/>
  <c r="BV2585" i="5"/>
  <c r="BV2586" i="5"/>
  <c r="BV2587" i="5"/>
  <c r="BV2588" i="5"/>
  <c r="BV2589" i="5"/>
  <c r="BV2590" i="5"/>
  <c r="BV2591" i="5"/>
  <c r="BV2592" i="5"/>
  <c r="BV2593" i="5"/>
  <c r="BV2594" i="5"/>
  <c r="BV2595" i="5"/>
  <c r="BV2596" i="5"/>
  <c r="BV2597" i="5"/>
  <c r="BV2598" i="5"/>
  <c r="BV2599" i="5"/>
  <c r="BV2600" i="5"/>
  <c r="BV2601" i="5"/>
  <c r="BV2602" i="5"/>
  <c r="BV2603" i="5"/>
  <c r="BV2604" i="5"/>
  <c r="BV2605" i="5"/>
  <c r="BV2606" i="5"/>
  <c r="BV2607" i="5"/>
  <c r="BV2608" i="5"/>
  <c r="BV2609" i="5"/>
  <c r="BV2610" i="5"/>
  <c r="BV2611" i="5"/>
  <c r="BV2612" i="5"/>
  <c r="BV2613" i="5"/>
  <c r="BV2614" i="5"/>
  <c r="BV2615" i="5"/>
  <c r="BV2616" i="5"/>
  <c r="BV2617" i="5"/>
  <c r="BV2618" i="5"/>
  <c r="BV2619" i="5"/>
  <c r="BV2620" i="5"/>
  <c r="BV2621" i="5"/>
  <c r="BV2622" i="5"/>
  <c r="BV2623" i="5"/>
  <c r="BV2624" i="5"/>
  <c r="BV2625" i="5"/>
  <c r="BV2626" i="5"/>
  <c r="BV2627" i="5"/>
  <c r="BV2628" i="5"/>
  <c r="BV2629" i="5"/>
  <c r="BV2630" i="5"/>
  <c r="BV2631" i="5"/>
  <c r="BV2632" i="5"/>
  <c r="BV2633" i="5"/>
  <c r="BV2634" i="5"/>
  <c r="BV2635" i="5"/>
  <c r="BV2636" i="5"/>
  <c r="BV2637" i="5"/>
  <c r="BV2638" i="5"/>
  <c r="BV2639" i="5"/>
  <c r="BV2640" i="5"/>
  <c r="BV2641" i="5"/>
  <c r="BV2642" i="5"/>
  <c r="BV2643" i="5"/>
  <c r="BV2644" i="5"/>
  <c r="BV2645" i="5"/>
  <c r="BV2646" i="5"/>
  <c r="BV2647" i="5"/>
  <c r="BV2648" i="5"/>
  <c r="BV2649" i="5"/>
  <c r="BV2650" i="5"/>
  <c r="BV2651" i="5"/>
  <c r="BV2652" i="5"/>
  <c r="BV2653" i="5"/>
  <c r="BV2654" i="5"/>
  <c r="BV2655" i="5"/>
  <c r="BV2656" i="5"/>
  <c r="BV2657" i="5"/>
  <c r="BV2658" i="5"/>
  <c r="BV2659" i="5"/>
  <c r="BV2660" i="5"/>
  <c r="BV2661" i="5"/>
  <c r="BV2662" i="5"/>
  <c r="BV2663" i="5"/>
  <c r="BV2664" i="5"/>
  <c r="BV2665" i="5"/>
  <c r="BV2666" i="5"/>
  <c r="BV2667" i="5"/>
  <c r="BV2668" i="5"/>
  <c r="BV2669" i="5"/>
  <c r="BV2670" i="5"/>
  <c r="BV2671" i="5"/>
  <c r="BV2672" i="5"/>
  <c r="BV2673" i="5"/>
  <c r="BV2674" i="5"/>
  <c r="BV2675" i="5"/>
  <c r="BV2676" i="5"/>
  <c r="BV2677" i="5"/>
  <c r="BV2678" i="5"/>
  <c r="BV2679" i="5"/>
  <c r="BV2680" i="5"/>
  <c r="BV2681" i="5"/>
  <c r="BV2682" i="5"/>
  <c r="BV2683" i="5"/>
  <c r="BV2684" i="5"/>
  <c r="BV2685" i="5"/>
  <c r="BV2686" i="5"/>
  <c r="BV2687" i="5"/>
  <c r="BV2688" i="5"/>
  <c r="BV2689" i="5"/>
  <c r="BV2690" i="5"/>
  <c r="BV2691" i="5"/>
  <c r="BV2692" i="5"/>
  <c r="BV2693" i="5"/>
  <c r="BV2694" i="5"/>
  <c r="BV2695" i="5"/>
  <c r="BV2696" i="5"/>
  <c r="BV2697" i="5"/>
  <c r="BV2698" i="5"/>
  <c r="BV2699" i="5"/>
  <c r="BV2700" i="5"/>
  <c r="BV2701" i="5"/>
  <c r="BV2702" i="5"/>
  <c r="BV2703" i="5"/>
  <c r="BV2704" i="5"/>
  <c r="BV2705" i="5"/>
  <c r="BV2706" i="5"/>
  <c r="BV2707" i="5"/>
  <c r="BV2708" i="5"/>
  <c r="BV2709" i="5"/>
  <c r="BV2710" i="5"/>
  <c r="BV2711" i="5"/>
  <c r="BV2712" i="5"/>
  <c r="BV2713" i="5"/>
  <c r="BV2714" i="5"/>
  <c r="BV2715" i="5"/>
  <c r="BV2716" i="5"/>
  <c r="BV2717" i="5"/>
  <c r="BV2718" i="5"/>
  <c r="BV2719" i="5"/>
  <c r="BV2720" i="5"/>
  <c r="BV2721" i="5"/>
  <c r="BV2722" i="5"/>
  <c r="BV2723" i="5"/>
  <c r="BV2724" i="5"/>
  <c r="BV2725" i="5"/>
  <c r="BV2726" i="5"/>
  <c r="BV2727" i="5"/>
  <c r="BV2728" i="5"/>
  <c r="BV2729" i="5"/>
  <c r="BV2730" i="5"/>
  <c r="BV2731" i="5"/>
  <c r="BV2732" i="5"/>
  <c r="BV2733" i="5"/>
  <c r="BV2734" i="5"/>
  <c r="BV2735" i="5"/>
  <c r="BV2736" i="5"/>
  <c r="BV2737" i="5"/>
  <c r="BU2" i="5"/>
  <c r="BU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252" i="5"/>
  <c r="BU253" i="5"/>
  <c r="BU254" i="5"/>
  <c r="BU255" i="5"/>
  <c r="BU256" i="5"/>
  <c r="BU257" i="5"/>
  <c r="BU258" i="5"/>
  <c r="BU259" i="5"/>
  <c r="BU260" i="5"/>
  <c r="BU261" i="5"/>
  <c r="BU262" i="5"/>
  <c r="BU263" i="5"/>
  <c r="BU264" i="5"/>
  <c r="BU265" i="5"/>
  <c r="BU266" i="5"/>
  <c r="BU267" i="5"/>
  <c r="BU268" i="5"/>
  <c r="BU269" i="5"/>
  <c r="BU270" i="5"/>
  <c r="BU271" i="5"/>
  <c r="BU272" i="5"/>
  <c r="BU273" i="5"/>
  <c r="BU274" i="5"/>
  <c r="BU275" i="5"/>
  <c r="BU276" i="5"/>
  <c r="BU277" i="5"/>
  <c r="BU278" i="5"/>
  <c r="BU279" i="5"/>
  <c r="BU280" i="5"/>
  <c r="BU281" i="5"/>
  <c r="BU282" i="5"/>
  <c r="BU283" i="5"/>
  <c r="BU284" i="5"/>
  <c r="BU285" i="5"/>
  <c r="BU286" i="5"/>
  <c r="BU287" i="5"/>
  <c r="BU288" i="5"/>
  <c r="BU289" i="5"/>
  <c r="BU290" i="5"/>
  <c r="BU291" i="5"/>
  <c r="BU292" i="5"/>
  <c r="BU293" i="5"/>
  <c r="BU294" i="5"/>
  <c r="BU295" i="5"/>
  <c r="BU296" i="5"/>
  <c r="BU297" i="5"/>
  <c r="BU298" i="5"/>
  <c r="BU299" i="5"/>
  <c r="BU300" i="5"/>
  <c r="BU301" i="5"/>
  <c r="BU302" i="5"/>
  <c r="BU303" i="5"/>
  <c r="BU304" i="5"/>
  <c r="BU305" i="5"/>
  <c r="BU306" i="5"/>
  <c r="BU307" i="5"/>
  <c r="BU308" i="5"/>
  <c r="BU309" i="5"/>
  <c r="BU310" i="5"/>
  <c r="BU311" i="5"/>
  <c r="BU312" i="5"/>
  <c r="BU313" i="5"/>
  <c r="BU314" i="5"/>
  <c r="BU315" i="5"/>
  <c r="BU316" i="5"/>
  <c r="BU317" i="5"/>
  <c r="BU318" i="5"/>
  <c r="BU319" i="5"/>
  <c r="BU320" i="5"/>
  <c r="BU321" i="5"/>
  <c r="BU322" i="5"/>
  <c r="BU323" i="5"/>
  <c r="BU324" i="5"/>
  <c r="BU325" i="5"/>
  <c r="BU326" i="5"/>
  <c r="BU327" i="5"/>
  <c r="BU328" i="5"/>
  <c r="BU329" i="5"/>
  <c r="BU330" i="5"/>
  <c r="BU331" i="5"/>
  <c r="BU332" i="5"/>
  <c r="BU333" i="5"/>
  <c r="BU334" i="5"/>
  <c r="BU335" i="5"/>
  <c r="BU336" i="5"/>
  <c r="BU337" i="5"/>
  <c r="BU338" i="5"/>
  <c r="BU339" i="5"/>
  <c r="BU340" i="5"/>
  <c r="BU341" i="5"/>
  <c r="BU342" i="5"/>
  <c r="BU343" i="5"/>
  <c r="BU344" i="5"/>
  <c r="BU345" i="5"/>
  <c r="BU346" i="5"/>
  <c r="BU347" i="5"/>
  <c r="BU348" i="5"/>
  <c r="BU349" i="5"/>
  <c r="BU350" i="5"/>
  <c r="BU351" i="5"/>
  <c r="BU352" i="5"/>
  <c r="BU353" i="5"/>
  <c r="BU354" i="5"/>
  <c r="BU355" i="5"/>
  <c r="BU356" i="5"/>
  <c r="BU357" i="5"/>
  <c r="BU358" i="5"/>
  <c r="BU359" i="5"/>
  <c r="BU360" i="5"/>
  <c r="BU361" i="5"/>
  <c r="BU362" i="5"/>
  <c r="BU363" i="5"/>
  <c r="BU364" i="5"/>
  <c r="BU365" i="5"/>
  <c r="BU366" i="5"/>
  <c r="BU367" i="5"/>
  <c r="BU368" i="5"/>
  <c r="BU369" i="5"/>
  <c r="BU370" i="5"/>
  <c r="BU371" i="5"/>
  <c r="BU372" i="5"/>
  <c r="BU373" i="5"/>
  <c r="BU374" i="5"/>
  <c r="BU375" i="5"/>
  <c r="BU376" i="5"/>
  <c r="BU377" i="5"/>
  <c r="BU378" i="5"/>
  <c r="BU379" i="5"/>
  <c r="BU380" i="5"/>
  <c r="BU381" i="5"/>
  <c r="BU382" i="5"/>
  <c r="BU383" i="5"/>
  <c r="BU384" i="5"/>
  <c r="BU385" i="5"/>
  <c r="BU386" i="5"/>
  <c r="BU387" i="5"/>
  <c r="BU388" i="5"/>
  <c r="BU389" i="5"/>
  <c r="BU390" i="5"/>
  <c r="BU391" i="5"/>
  <c r="BU392" i="5"/>
  <c r="BU393" i="5"/>
  <c r="BU394" i="5"/>
  <c r="BU395" i="5"/>
  <c r="BU396" i="5"/>
  <c r="BU397" i="5"/>
  <c r="BU398" i="5"/>
  <c r="BU399" i="5"/>
  <c r="BU400" i="5"/>
  <c r="BU401" i="5"/>
  <c r="BU402" i="5"/>
  <c r="BU403" i="5"/>
  <c r="BU404" i="5"/>
  <c r="BU405" i="5"/>
  <c r="BU406" i="5"/>
  <c r="BU407" i="5"/>
  <c r="BU408" i="5"/>
  <c r="BU409" i="5"/>
  <c r="BU410" i="5"/>
  <c r="BU411" i="5"/>
  <c r="BU412" i="5"/>
  <c r="BU413" i="5"/>
  <c r="BU414" i="5"/>
  <c r="BU415" i="5"/>
  <c r="BU416" i="5"/>
  <c r="BU417" i="5"/>
  <c r="BU418" i="5"/>
  <c r="BU419" i="5"/>
  <c r="BU420" i="5"/>
  <c r="BU421" i="5"/>
  <c r="BU422" i="5"/>
  <c r="BU423" i="5"/>
  <c r="BU424" i="5"/>
  <c r="BU425" i="5"/>
  <c r="BU426" i="5"/>
  <c r="BU427" i="5"/>
  <c r="BU428" i="5"/>
  <c r="BU429" i="5"/>
  <c r="BU430" i="5"/>
  <c r="BU431" i="5"/>
  <c r="BU432" i="5"/>
  <c r="BU433" i="5"/>
  <c r="BU434" i="5"/>
  <c r="BU435" i="5"/>
  <c r="BU436" i="5"/>
  <c r="BU437" i="5"/>
  <c r="BU438" i="5"/>
  <c r="BU439" i="5"/>
  <c r="BU440" i="5"/>
  <c r="BU441" i="5"/>
  <c r="BU442" i="5"/>
  <c r="BU443" i="5"/>
  <c r="BU444" i="5"/>
  <c r="BU445" i="5"/>
  <c r="BU446" i="5"/>
  <c r="BU447" i="5"/>
  <c r="BU448" i="5"/>
  <c r="BU449" i="5"/>
  <c r="BU450" i="5"/>
  <c r="BU451" i="5"/>
  <c r="BU452" i="5"/>
  <c r="BU453" i="5"/>
  <c r="BU454" i="5"/>
  <c r="BU455" i="5"/>
  <c r="BU456" i="5"/>
  <c r="BU457" i="5"/>
  <c r="BU458" i="5"/>
  <c r="BU459" i="5"/>
  <c r="BU460" i="5"/>
  <c r="BU461" i="5"/>
  <c r="BU462" i="5"/>
  <c r="BU463" i="5"/>
  <c r="BU464" i="5"/>
  <c r="BU465" i="5"/>
  <c r="BU466" i="5"/>
  <c r="BU467" i="5"/>
  <c r="BU468" i="5"/>
  <c r="BU469" i="5"/>
  <c r="BU470" i="5"/>
  <c r="BU471" i="5"/>
  <c r="BU472" i="5"/>
  <c r="BU473" i="5"/>
  <c r="BU474" i="5"/>
  <c r="BU475" i="5"/>
  <c r="BU476" i="5"/>
  <c r="BU477" i="5"/>
  <c r="BU478" i="5"/>
  <c r="BU479" i="5"/>
  <c r="BU480" i="5"/>
  <c r="BU481" i="5"/>
  <c r="BU482" i="5"/>
  <c r="BU483" i="5"/>
  <c r="BU484" i="5"/>
  <c r="BU485" i="5"/>
  <c r="BU486" i="5"/>
  <c r="BU487" i="5"/>
  <c r="BU488" i="5"/>
  <c r="BU489" i="5"/>
  <c r="BU490" i="5"/>
  <c r="BU491" i="5"/>
  <c r="BU492" i="5"/>
  <c r="BU493" i="5"/>
  <c r="BU494" i="5"/>
  <c r="BU495" i="5"/>
  <c r="BU496" i="5"/>
  <c r="BU497" i="5"/>
  <c r="BU498" i="5"/>
  <c r="BU499" i="5"/>
  <c r="BU500" i="5"/>
  <c r="BU501" i="5"/>
  <c r="BU502" i="5"/>
  <c r="BU503" i="5"/>
  <c r="BU504" i="5"/>
  <c r="BU505" i="5"/>
  <c r="BU506" i="5"/>
  <c r="BU507" i="5"/>
  <c r="BU508" i="5"/>
  <c r="BU509" i="5"/>
  <c r="BU510" i="5"/>
  <c r="BU511" i="5"/>
  <c r="BU512" i="5"/>
  <c r="BU513" i="5"/>
  <c r="BU514" i="5"/>
  <c r="BU515" i="5"/>
  <c r="BU516" i="5"/>
  <c r="BU517" i="5"/>
  <c r="BU518" i="5"/>
  <c r="BU519" i="5"/>
  <c r="BU520" i="5"/>
  <c r="BU521" i="5"/>
  <c r="BU522" i="5"/>
  <c r="BU523" i="5"/>
  <c r="BU524" i="5"/>
  <c r="BU525" i="5"/>
  <c r="BU526" i="5"/>
  <c r="BU527" i="5"/>
  <c r="BU528" i="5"/>
  <c r="BU529" i="5"/>
  <c r="BU530" i="5"/>
  <c r="BU531" i="5"/>
  <c r="BU532" i="5"/>
  <c r="BU533" i="5"/>
  <c r="BU534" i="5"/>
  <c r="BU535" i="5"/>
  <c r="BU536" i="5"/>
  <c r="BU537" i="5"/>
  <c r="BU538" i="5"/>
  <c r="BU539" i="5"/>
  <c r="BU540" i="5"/>
  <c r="BU541" i="5"/>
  <c r="BU542" i="5"/>
  <c r="BU543" i="5"/>
  <c r="BU544" i="5"/>
  <c r="BU545" i="5"/>
  <c r="BU546" i="5"/>
  <c r="BU547" i="5"/>
  <c r="BU548" i="5"/>
  <c r="BU549" i="5"/>
  <c r="BU550" i="5"/>
  <c r="BU551" i="5"/>
  <c r="BU552" i="5"/>
  <c r="BU553" i="5"/>
  <c r="BU554" i="5"/>
  <c r="BU555" i="5"/>
  <c r="BU556" i="5"/>
  <c r="BU557" i="5"/>
  <c r="BU558" i="5"/>
  <c r="BU559" i="5"/>
  <c r="BU560" i="5"/>
  <c r="BU561" i="5"/>
  <c r="BU562" i="5"/>
  <c r="BU563" i="5"/>
  <c r="BU564" i="5"/>
  <c r="BU565" i="5"/>
  <c r="BU566" i="5"/>
  <c r="BU567" i="5"/>
  <c r="BU568" i="5"/>
  <c r="BU569" i="5"/>
  <c r="BU570" i="5"/>
  <c r="BU571" i="5"/>
  <c r="BU572" i="5"/>
  <c r="BU573" i="5"/>
  <c r="BU574" i="5"/>
  <c r="BU575" i="5"/>
  <c r="BU576" i="5"/>
  <c r="BU577" i="5"/>
  <c r="BU578" i="5"/>
  <c r="BU579" i="5"/>
  <c r="BU580" i="5"/>
  <c r="BU581" i="5"/>
  <c r="BU582" i="5"/>
  <c r="BU583" i="5"/>
  <c r="BU584" i="5"/>
  <c r="BU585" i="5"/>
  <c r="BU586" i="5"/>
  <c r="BU587" i="5"/>
  <c r="BU588" i="5"/>
  <c r="BU589" i="5"/>
  <c r="BU590" i="5"/>
  <c r="BU591" i="5"/>
  <c r="BU592" i="5"/>
  <c r="BU593" i="5"/>
  <c r="BU594" i="5"/>
  <c r="BU595" i="5"/>
  <c r="BU596" i="5"/>
  <c r="BU597" i="5"/>
  <c r="BU598" i="5"/>
  <c r="BU599" i="5"/>
  <c r="BU600" i="5"/>
  <c r="BU601" i="5"/>
  <c r="BU602" i="5"/>
  <c r="BU603" i="5"/>
  <c r="BU604" i="5"/>
  <c r="BU605" i="5"/>
  <c r="BU606" i="5"/>
  <c r="BU607" i="5"/>
  <c r="BU608" i="5"/>
  <c r="BU609" i="5"/>
  <c r="BU610" i="5"/>
  <c r="BU611" i="5"/>
  <c r="BU612" i="5"/>
  <c r="BU613" i="5"/>
  <c r="BU614" i="5"/>
  <c r="BU615" i="5"/>
  <c r="BU616" i="5"/>
  <c r="BU617" i="5"/>
  <c r="BU618" i="5"/>
  <c r="BU619" i="5"/>
  <c r="BU620" i="5"/>
  <c r="BU621" i="5"/>
  <c r="BU622" i="5"/>
  <c r="BU623" i="5"/>
  <c r="BU624" i="5"/>
  <c r="BU625" i="5"/>
  <c r="BU626" i="5"/>
  <c r="BU627" i="5"/>
  <c r="BU628" i="5"/>
  <c r="BU629" i="5"/>
  <c r="BU630" i="5"/>
  <c r="BU631" i="5"/>
  <c r="BU632" i="5"/>
  <c r="BU633" i="5"/>
  <c r="BU634" i="5"/>
  <c r="BU635" i="5"/>
  <c r="BU636" i="5"/>
  <c r="BU637" i="5"/>
  <c r="BU638" i="5"/>
  <c r="BU639" i="5"/>
  <c r="BU640" i="5"/>
  <c r="BU641" i="5"/>
  <c r="BU642" i="5"/>
  <c r="BU643" i="5"/>
  <c r="BU644" i="5"/>
  <c r="BU645" i="5"/>
  <c r="BU646" i="5"/>
  <c r="BU647" i="5"/>
  <c r="BU648" i="5"/>
  <c r="BU649" i="5"/>
  <c r="BU650" i="5"/>
  <c r="BU651" i="5"/>
  <c r="BU652" i="5"/>
  <c r="BU653" i="5"/>
  <c r="BU654" i="5"/>
  <c r="BU655" i="5"/>
  <c r="BU656" i="5"/>
  <c r="BU657" i="5"/>
  <c r="BU658" i="5"/>
  <c r="BU659" i="5"/>
  <c r="BU660" i="5"/>
  <c r="BU661" i="5"/>
  <c r="BU662" i="5"/>
  <c r="BU663" i="5"/>
  <c r="BU664" i="5"/>
  <c r="BU665" i="5"/>
  <c r="BU666" i="5"/>
  <c r="BU667" i="5"/>
  <c r="BU668" i="5"/>
  <c r="BU669" i="5"/>
  <c r="BU670" i="5"/>
  <c r="BU671" i="5"/>
  <c r="BU672" i="5"/>
  <c r="BU673" i="5"/>
  <c r="BU674" i="5"/>
  <c r="BU675" i="5"/>
  <c r="BU676" i="5"/>
  <c r="BU677" i="5"/>
  <c r="BU678" i="5"/>
  <c r="BU679" i="5"/>
  <c r="BU680" i="5"/>
  <c r="BU681" i="5"/>
  <c r="BU682" i="5"/>
  <c r="BU683" i="5"/>
  <c r="BU684" i="5"/>
  <c r="BU685" i="5"/>
  <c r="BU686" i="5"/>
  <c r="BU687" i="5"/>
  <c r="BU688" i="5"/>
  <c r="BU689" i="5"/>
  <c r="BU690" i="5"/>
  <c r="BU691" i="5"/>
  <c r="BU692" i="5"/>
  <c r="BU693" i="5"/>
  <c r="BU694" i="5"/>
  <c r="BU695" i="5"/>
  <c r="BU696" i="5"/>
  <c r="BU697" i="5"/>
  <c r="BU698" i="5"/>
  <c r="BU699" i="5"/>
  <c r="BU700" i="5"/>
  <c r="BU701" i="5"/>
  <c r="BU702" i="5"/>
  <c r="BU703" i="5"/>
  <c r="BU704" i="5"/>
  <c r="BU705" i="5"/>
  <c r="BU706" i="5"/>
  <c r="BU707" i="5"/>
  <c r="BU708" i="5"/>
  <c r="BU709" i="5"/>
  <c r="BU710" i="5"/>
  <c r="BU711" i="5"/>
  <c r="BU712" i="5"/>
  <c r="BU713" i="5"/>
  <c r="BU714" i="5"/>
  <c r="BU715" i="5"/>
  <c r="BU716" i="5"/>
  <c r="BU717" i="5"/>
  <c r="BU718" i="5"/>
  <c r="BU719" i="5"/>
  <c r="BU720" i="5"/>
  <c r="BU721" i="5"/>
  <c r="BU722" i="5"/>
  <c r="BU723" i="5"/>
  <c r="BU724" i="5"/>
  <c r="BU725" i="5"/>
  <c r="BU726" i="5"/>
  <c r="BU727" i="5"/>
  <c r="BU728" i="5"/>
  <c r="BU729" i="5"/>
  <c r="BU730" i="5"/>
  <c r="BU731" i="5"/>
  <c r="BU732" i="5"/>
  <c r="BU733" i="5"/>
  <c r="BU734" i="5"/>
  <c r="BU735" i="5"/>
  <c r="BU736" i="5"/>
  <c r="BU737" i="5"/>
  <c r="BU738" i="5"/>
  <c r="BU739" i="5"/>
  <c r="BU740" i="5"/>
  <c r="BU741" i="5"/>
  <c r="BU742" i="5"/>
  <c r="BU743" i="5"/>
  <c r="BU744" i="5"/>
  <c r="BU745" i="5"/>
  <c r="BU746" i="5"/>
  <c r="BU747" i="5"/>
  <c r="BU748" i="5"/>
  <c r="BU749" i="5"/>
  <c r="BU750" i="5"/>
  <c r="BU751" i="5"/>
  <c r="BU752" i="5"/>
  <c r="BU753" i="5"/>
  <c r="BU754" i="5"/>
  <c r="BU755" i="5"/>
  <c r="BU756" i="5"/>
  <c r="BU757" i="5"/>
  <c r="BU758" i="5"/>
  <c r="BU759" i="5"/>
  <c r="BU760" i="5"/>
  <c r="BU761" i="5"/>
  <c r="BU762" i="5"/>
  <c r="BU763" i="5"/>
  <c r="BU764" i="5"/>
  <c r="BU765" i="5"/>
  <c r="BU766" i="5"/>
  <c r="BU767" i="5"/>
  <c r="BU768" i="5"/>
  <c r="BU769" i="5"/>
  <c r="BU770" i="5"/>
  <c r="BU771" i="5"/>
  <c r="BU772" i="5"/>
  <c r="BU773" i="5"/>
  <c r="BU774" i="5"/>
  <c r="BU775" i="5"/>
  <c r="BU776" i="5"/>
  <c r="BU777" i="5"/>
  <c r="BU778" i="5"/>
  <c r="BU779" i="5"/>
  <c r="BU780" i="5"/>
  <c r="BU781" i="5"/>
  <c r="BU782" i="5"/>
  <c r="BU783" i="5"/>
  <c r="BU784" i="5"/>
  <c r="BU785" i="5"/>
  <c r="BU786" i="5"/>
  <c r="BU787" i="5"/>
  <c r="BU788" i="5"/>
  <c r="BU789" i="5"/>
  <c r="BU790" i="5"/>
  <c r="BU791" i="5"/>
  <c r="BU792" i="5"/>
  <c r="BU793" i="5"/>
  <c r="BU794" i="5"/>
  <c r="BU795" i="5"/>
  <c r="BU796" i="5"/>
  <c r="BU797" i="5"/>
  <c r="BU798" i="5"/>
  <c r="BU799" i="5"/>
  <c r="BU800" i="5"/>
  <c r="BU801" i="5"/>
  <c r="BU802" i="5"/>
  <c r="BU803" i="5"/>
  <c r="BU804" i="5"/>
  <c r="BU805" i="5"/>
  <c r="BU806" i="5"/>
  <c r="BU807" i="5"/>
  <c r="BU808" i="5"/>
  <c r="BU809" i="5"/>
  <c r="BU810" i="5"/>
  <c r="BU811" i="5"/>
  <c r="BU812" i="5"/>
  <c r="BU813" i="5"/>
  <c r="BU814" i="5"/>
  <c r="BU815" i="5"/>
  <c r="BU816" i="5"/>
  <c r="BU817" i="5"/>
  <c r="BU818" i="5"/>
  <c r="BU819" i="5"/>
  <c r="BU820" i="5"/>
  <c r="BU821" i="5"/>
  <c r="BU822" i="5"/>
  <c r="BU823" i="5"/>
  <c r="BU824" i="5"/>
  <c r="BU825" i="5"/>
  <c r="BU826" i="5"/>
  <c r="BU827" i="5"/>
  <c r="BU828" i="5"/>
  <c r="BU829" i="5"/>
  <c r="BU830" i="5"/>
  <c r="BU831" i="5"/>
  <c r="BU832" i="5"/>
  <c r="BU833" i="5"/>
  <c r="BU834" i="5"/>
  <c r="BU835" i="5"/>
  <c r="BU836" i="5"/>
  <c r="BU837" i="5"/>
  <c r="BU838" i="5"/>
  <c r="BU839" i="5"/>
  <c r="BU840" i="5"/>
  <c r="BU841" i="5"/>
  <c r="BU842" i="5"/>
  <c r="BU843" i="5"/>
  <c r="BU844" i="5"/>
  <c r="BU845" i="5"/>
  <c r="BU846" i="5"/>
  <c r="BU847" i="5"/>
  <c r="BU848" i="5"/>
  <c r="BU849" i="5"/>
  <c r="BU850" i="5"/>
  <c r="BU851" i="5"/>
  <c r="BU852" i="5"/>
  <c r="BU853" i="5"/>
  <c r="BU854" i="5"/>
  <c r="BU855" i="5"/>
  <c r="BU856" i="5"/>
  <c r="BU857" i="5"/>
  <c r="BU858" i="5"/>
  <c r="BU859" i="5"/>
  <c r="BU860" i="5"/>
  <c r="BU861" i="5"/>
  <c r="BU862" i="5"/>
  <c r="BU863" i="5"/>
  <c r="BU864" i="5"/>
  <c r="BU865" i="5"/>
  <c r="BU866" i="5"/>
  <c r="BU867" i="5"/>
  <c r="BU868" i="5"/>
  <c r="BU869" i="5"/>
  <c r="BU870" i="5"/>
  <c r="BU871" i="5"/>
  <c r="BU872" i="5"/>
  <c r="BU873" i="5"/>
  <c r="BU874" i="5"/>
  <c r="BU875" i="5"/>
  <c r="BU876" i="5"/>
  <c r="BU877" i="5"/>
  <c r="BU878" i="5"/>
  <c r="BU879" i="5"/>
  <c r="BU880" i="5"/>
  <c r="BU881" i="5"/>
  <c r="BU882" i="5"/>
  <c r="BU883" i="5"/>
  <c r="BU884" i="5"/>
  <c r="BU885" i="5"/>
  <c r="BU886" i="5"/>
  <c r="BU887" i="5"/>
  <c r="BU888" i="5"/>
  <c r="BU889" i="5"/>
  <c r="BU890" i="5"/>
  <c r="BU891" i="5"/>
  <c r="BU892" i="5"/>
  <c r="BU893" i="5"/>
  <c r="BU894" i="5"/>
  <c r="BU895" i="5"/>
  <c r="BU896" i="5"/>
  <c r="BU897" i="5"/>
  <c r="BU898" i="5"/>
  <c r="BU899" i="5"/>
  <c r="BU900" i="5"/>
  <c r="BU901" i="5"/>
  <c r="BU902" i="5"/>
  <c r="BU903" i="5"/>
  <c r="BU904" i="5"/>
  <c r="BU905" i="5"/>
  <c r="BU906" i="5"/>
  <c r="BU907" i="5"/>
  <c r="BU908" i="5"/>
  <c r="BU909" i="5"/>
  <c r="BU910" i="5"/>
  <c r="BU911" i="5"/>
  <c r="BU912" i="5"/>
  <c r="BU913" i="5"/>
  <c r="BU914" i="5"/>
  <c r="BU915" i="5"/>
  <c r="BU916" i="5"/>
  <c r="BU917" i="5"/>
  <c r="BU918" i="5"/>
  <c r="BU919" i="5"/>
  <c r="BU920" i="5"/>
  <c r="BU921" i="5"/>
  <c r="BU922" i="5"/>
  <c r="BU923" i="5"/>
  <c r="BU924" i="5"/>
  <c r="BU925" i="5"/>
  <c r="BU926" i="5"/>
  <c r="BU927" i="5"/>
  <c r="BU928" i="5"/>
  <c r="BU929" i="5"/>
  <c r="BU930" i="5"/>
  <c r="BU931" i="5"/>
  <c r="BU932" i="5"/>
  <c r="BU933" i="5"/>
  <c r="BU934" i="5"/>
  <c r="BU935" i="5"/>
  <c r="BU936" i="5"/>
  <c r="BU937" i="5"/>
  <c r="BU938" i="5"/>
  <c r="BU939" i="5"/>
  <c r="BU940" i="5"/>
  <c r="BU941" i="5"/>
  <c r="BU942" i="5"/>
  <c r="BU943" i="5"/>
  <c r="BU944" i="5"/>
  <c r="BU945" i="5"/>
  <c r="BU946" i="5"/>
  <c r="BU947" i="5"/>
  <c r="BU948" i="5"/>
  <c r="BU949" i="5"/>
  <c r="BU950" i="5"/>
  <c r="BU951" i="5"/>
  <c r="BU952" i="5"/>
  <c r="BU953" i="5"/>
  <c r="BU954" i="5"/>
  <c r="BU955" i="5"/>
  <c r="BU956" i="5"/>
  <c r="BU957" i="5"/>
  <c r="BU958" i="5"/>
  <c r="BU959" i="5"/>
  <c r="BU960" i="5"/>
  <c r="BU961" i="5"/>
  <c r="BU962" i="5"/>
  <c r="BU963" i="5"/>
  <c r="BU964" i="5"/>
  <c r="BU965" i="5"/>
  <c r="BU966" i="5"/>
  <c r="BU967" i="5"/>
  <c r="BU968" i="5"/>
  <c r="BU969" i="5"/>
  <c r="BU970" i="5"/>
  <c r="BU971" i="5"/>
  <c r="BU972" i="5"/>
  <c r="BU973" i="5"/>
  <c r="BU974" i="5"/>
  <c r="BU975" i="5"/>
  <c r="BU976" i="5"/>
  <c r="BU977" i="5"/>
  <c r="BU978" i="5"/>
  <c r="BU979" i="5"/>
  <c r="BU980" i="5"/>
  <c r="BU981" i="5"/>
  <c r="BU982" i="5"/>
  <c r="BU983" i="5"/>
  <c r="BU984" i="5"/>
  <c r="BU985" i="5"/>
  <c r="BU986" i="5"/>
  <c r="BU987" i="5"/>
  <c r="BU988" i="5"/>
  <c r="BU989" i="5"/>
  <c r="BU990" i="5"/>
  <c r="BU991" i="5"/>
  <c r="BU992" i="5"/>
  <c r="BU993" i="5"/>
  <c r="BU994" i="5"/>
  <c r="BU995" i="5"/>
  <c r="BU996" i="5"/>
  <c r="BU997" i="5"/>
  <c r="BU998" i="5"/>
  <c r="BU999" i="5"/>
  <c r="BU1000" i="5"/>
  <c r="BU1001" i="5"/>
  <c r="BU1002" i="5"/>
  <c r="BU1003" i="5"/>
  <c r="BU1004" i="5"/>
  <c r="BU1005" i="5"/>
  <c r="BU1006" i="5"/>
  <c r="BU1007" i="5"/>
  <c r="BU1008" i="5"/>
  <c r="BU1009" i="5"/>
  <c r="BU1010" i="5"/>
  <c r="BU1011" i="5"/>
  <c r="BU1012" i="5"/>
  <c r="BU1013" i="5"/>
  <c r="BU1014" i="5"/>
  <c r="BU1015" i="5"/>
  <c r="BU1016" i="5"/>
  <c r="BU1017" i="5"/>
  <c r="BU1018" i="5"/>
  <c r="BU1019" i="5"/>
  <c r="BU1020" i="5"/>
  <c r="BU1021" i="5"/>
  <c r="BU1022" i="5"/>
  <c r="BU1023" i="5"/>
  <c r="BU1024" i="5"/>
  <c r="BU1025" i="5"/>
  <c r="BU1026" i="5"/>
  <c r="BU1027" i="5"/>
  <c r="BU1028" i="5"/>
  <c r="BU1029" i="5"/>
  <c r="BU1030" i="5"/>
  <c r="BU1031" i="5"/>
  <c r="BU1032" i="5"/>
  <c r="BU1033" i="5"/>
  <c r="BU1034" i="5"/>
  <c r="BU1035" i="5"/>
  <c r="BU1036" i="5"/>
  <c r="BU1037" i="5"/>
  <c r="BU1038" i="5"/>
  <c r="BU1039" i="5"/>
  <c r="BU1040" i="5"/>
  <c r="BU1041" i="5"/>
  <c r="BU1042" i="5"/>
  <c r="BU1043" i="5"/>
  <c r="BU1044" i="5"/>
  <c r="BU1045" i="5"/>
  <c r="BU1046" i="5"/>
  <c r="BU1047" i="5"/>
  <c r="BU1048" i="5"/>
  <c r="BU1049" i="5"/>
  <c r="BU1050" i="5"/>
  <c r="BU1051" i="5"/>
  <c r="BU1052" i="5"/>
  <c r="BU1053" i="5"/>
  <c r="BU1054" i="5"/>
  <c r="BU1055" i="5"/>
  <c r="BU1056" i="5"/>
  <c r="BU1057" i="5"/>
  <c r="BU1058" i="5"/>
  <c r="BU1059" i="5"/>
  <c r="BU1060" i="5"/>
  <c r="BU1061" i="5"/>
  <c r="BU1062" i="5"/>
  <c r="BU1063" i="5"/>
  <c r="BU1064" i="5"/>
  <c r="BU1065" i="5"/>
  <c r="BU1066" i="5"/>
  <c r="BU1067" i="5"/>
  <c r="BU1068" i="5"/>
  <c r="BU1069" i="5"/>
  <c r="BU1070" i="5"/>
  <c r="BU1071" i="5"/>
  <c r="BU1072" i="5"/>
  <c r="BU1073" i="5"/>
  <c r="BU1074" i="5"/>
  <c r="BU1075" i="5"/>
  <c r="BU1076" i="5"/>
  <c r="BU1077" i="5"/>
  <c r="BU1078" i="5"/>
  <c r="BU1079" i="5"/>
  <c r="BU1080" i="5"/>
  <c r="BU1081" i="5"/>
  <c r="BU1082" i="5"/>
  <c r="BU1083" i="5"/>
  <c r="BU1084" i="5"/>
  <c r="BU1085" i="5"/>
  <c r="BU1086" i="5"/>
  <c r="BU1087" i="5"/>
  <c r="BU1088" i="5"/>
  <c r="BU1089" i="5"/>
  <c r="BU1090" i="5"/>
  <c r="BU1091" i="5"/>
  <c r="BU1092" i="5"/>
  <c r="BU1093" i="5"/>
  <c r="BU1094" i="5"/>
  <c r="BU1095" i="5"/>
  <c r="BU1096" i="5"/>
  <c r="BU1097" i="5"/>
  <c r="BU1098" i="5"/>
  <c r="BU1099" i="5"/>
  <c r="BU1100" i="5"/>
  <c r="BU1101" i="5"/>
  <c r="BU1102" i="5"/>
  <c r="BU1103" i="5"/>
  <c r="BU1104" i="5"/>
  <c r="BU1105" i="5"/>
  <c r="BU1106" i="5"/>
  <c r="BU1107" i="5"/>
  <c r="BU1108" i="5"/>
  <c r="BU1109" i="5"/>
  <c r="BU1110" i="5"/>
  <c r="BU1111" i="5"/>
  <c r="BU1112" i="5"/>
  <c r="BU1113" i="5"/>
  <c r="BU1114" i="5"/>
  <c r="BU1115" i="5"/>
  <c r="BU1116" i="5"/>
  <c r="BU1117" i="5"/>
  <c r="BU1118" i="5"/>
  <c r="BU1119" i="5"/>
  <c r="BU1120" i="5"/>
  <c r="BU1121" i="5"/>
  <c r="BU1122" i="5"/>
  <c r="BU1123" i="5"/>
  <c r="BU1124" i="5"/>
  <c r="BU1125" i="5"/>
  <c r="BU1126" i="5"/>
  <c r="BU1127" i="5"/>
  <c r="BU1128" i="5"/>
  <c r="BU1129" i="5"/>
  <c r="BU1130" i="5"/>
  <c r="BU1131" i="5"/>
  <c r="BU1132" i="5"/>
  <c r="BU1133" i="5"/>
  <c r="BU1134" i="5"/>
  <c r="BU1135" i="5"/>
  <c r="BU1136" i="5"/>
  <c r="BU1137" i="5"/>
  <c r="BU1138" i="5"/>
  <c r="BU1139" i="5"/>
  <c r="BU1140" i="5"/>
  <c r="BU1141" i="5"/>
  <c r="BU1142" i="5"/>
  <c r="BU1143" i="5"/>
  <c r="BU1144" i="5"/>
  <c r="BU1145" i="5"/>
  <c r="BU1146" i="5"/>
  <c r="BU1147" i="5"/>
  <c r="BU1148" i="5"/>
  <c r="BU1149" i="5"/>
  <c r="BU1150" i="5"/>
  <c r="BU1151" i="5"/>
  <c r="BU1152" i="5"/>
  <c r="BU1153" i="5"/>
  <c r="BU1154" i="5"/>
  <c r="BU1155" i="5"/>
  <c r="BU1156" i="5"/>
  <c r="BU1157" i="5"/>
  <c r="BU1158" i="5"/>
  <c r="BU1159" i="5"/>
  <c r="BU1160" i="5"/>
  <c r="BU1161" i="5"/>
  <c r="BU1162" i="5"/>
  <c r="BU1163" i="5"/>
  <c r="BU1164" i="5"/>
  <c r="BU1165" i="5"/>
  <c r="BU1166" i="5"/>
  <c r="BU1167" i="5"/>
  <c r="BU1168" i="5"/>
  <c r="BU1169" i="5"/>
  <c r="BU1170" i="5"/>
  <c r="BU1171" i="5"/>
  <c r="BU1172" i="5"/>
  <c r="BU1173" i="5"/>
  <c r="BU1174" i="5"/>
  <c r="BU1175" i="5"/>
  <c r="BU1176" i="5"/>
  <c r="BU1177" i="5"/>
  <c r="BU1178" i="5"/>
  <c r="BU1179" i="5"/>
  <c r="BU1180" i="5"/>
  <c r="BU1181" i="5"/>
  <c r="BU1182" i="5"/>
  <c r="BU1183" i="5"/>
  <c r="BU1184" i="5"/>
  <c r="BU1185" i="5"/>
  <c r="BU1186" i="5"/>
  <c r="BU1187" i="5"/>
  <c r="BU1188" i="5"/>
  <c r="BU1189" i="5"/>
  <c r="BU1190" i="5"/>
  <c r="BU1191" i="5"/>
  <c r="BU1192" i="5"/>
  <c r="BU1193" i="5"/>
  <c r="BU1194" i="5"/>
  <c r="BU1195" i="5"/>
  <c r="BU1196" i="5"/>
  <c r="BU1197" i="5"/>
  <c r="BU1198" i="5"/>
  <c r="BU1199" i="5"/>
  <c r="BU1200" i="5"/>
  <c r="BU1201" i="5"/>
  <c r="BU1202" i="5"/>
  <c r="BU1203" i="5"/>
  <c r="BU1204" i="5"/>
  <c r="BU1205" i="5"/>
  <c r="BU1206" i="5"/>
  <c r="BU1207" i="5"/>
  <c r="BU1208" i="5"/>
  <c r="BU1209" i="5"/>
  <c r="BU1210" i="5"/>
  <c r="BU1211" i="5"/>
  <c r="BU1212" i="5"/>
  <c r="BU1213" i="5"/>
  <c r="BU1214" i="5"/>
  <c r="BU1215" i="5"/>
  <c r="BU1216" i="5"/>
  <c r="BU1217" i="5"/>
  <c r="BU1218" i="5"/>
  <c r="BU1219" i="5"/>
  <c r="BU1220" i="5"/>
  <c r="BU1221" i="5"/>
  <c r="BU1222" i="5"/>
  <c r="BU1223" i="5"/>
  <c r="BU1224" i="5"/>
  <c r="BU1225" i="5"/>
  <c r="BU1226" i="5"/>
  <c r="BU1227" i="5"/>
  <c r="BU1228" i="5"/>
  <c r="BU1229" i="5"/>
  <c r="BU1230" i="5"/>
  <c r="BU1231" i="5"/>
  <c r="BU1232" i="5"/>
  <c r="BU1233" i="5"/>
  <c r="BU1234" i="5"/>
  <c r="BU1235" i="5"/>
  <c r="BU1236" i="5"/>
  <c r="BU1237" i="5"/>
  <c r="BU1238" i="5"/>
  <c r="BU1239" i="5"/>
  <c r="BU1240" i="5"/>
  <c r="BU1241" i="5"/>
  <c r="BU1242" i="5"/>
  <c r="BU1243" i="5"/>
  <c r="BU1244" i="5"/>
  <c r="BU1245" i="5"/>
  <c r="BU1246" i="5"/>
  <c r="BU1247" i="5"/>
  <c r="BU1248" i="5"/>
  <c r="BU1249" i="5"/>
  <c r="BU1250" i="5"/>
  <c r="BU1251" i="5"/>
  <c r="BU1252" i="5"/>
  <c r="BU1253" i="5"/>
  <c r="BU1254" i="5"/>
  <c r="BU1255" i="5"/>
  <c r="BU1256" i="5"/>
  <c r="BU1257" i="5"/>
  <c r="BU1258" i="5"/>
  <c r="BU1259" i="5"/>
  <c r="BU1260" i="5"/>
  <c r="BU1261" i="5"/>
  <c r="BU1262" i="5"/>
  <c r="BU1263" i="5"/>
  <c r="BU1264" i="5"/>
  <c r="BU1265" i="5"/>
  <c r="BU1266" i="5"/>
  <c r="BU1267" i="5"/>
  <c r="BU1268" i="5"/>
  <c r="BU1269" i="5"/>
  <c r="BU1270" i="5"/>
  <c r="BU1271" i="5"/>
  <c r="BU1272" i="5"/>
  <c r="BU1273" i="5"/>
  <c r="BU1274" i="5"/>
  <c r="BU1275" i="5"/>
  <c r="BU1276" i="5"/>
  <c r="BU1277" i="5"/>
  <c r="BU1278" i="5"/>
  <c r="BU1279" i="5"/>
  <c r="BU1280" i="5"/>
  <c r="BU1281" i="5"/>
  <c r="BU1282" i="5"/>
  <c r="BU1283" i="5"/>
  <c r="BU1284" i="5"/>
  <c r="BU1285" i="5"/>
  <c r="BU1286" i="5"/>
  <c r="BU1287" i="5"/>
  <c r="BU1288" i="5"/>
  <c r="BU1289" i="5"/>
  <c r="BU1290" i="5"/>
  <c r="BU1291" i="5"/>
  <c r="BU1292" i="5"/>
  <c r="BU1293" i="5"/>
  <c r="BU1294" i="5"/>
  <c r="BU1295" i="5"/>
  <c r="BU1296" i="5"/>
  <c r="BU1297" i="5"/>
  <c r="BU1298" i="5"/>
  <c r="BU1299" i="5"/>
  <c r="BU1300" i="5"/>
  <c r="BU1301" i="5"/>
  <c r="BU1302" i="5"/>
  <c r="BU1303" i="5"/>
  <c r="BU1304" i="5"/>
  <c r="BU1305" i="5"/>
  <c r="BU1306" i="5"/>
  <c r="BU1307" i="5"/>
  <c r="BU1308" i="5"/>
  <c r="BU1309" i="5"/>
  <c r="BU1310" i="5"/>
  <c r="BU1311" i="5"/>
  <c r="BU1312" i="5"/>
  <c r="BU1313" i="5"/>
  <c r="BU1314" i="5"/>
  <c r="BU1315" i="5"/>
  <c r="BU1316" i="5"/>
  <c r="BU1317" i="5"/>
  <c r="BU1318" i="5"/>
  <c r="BU1319" i="5"/>
  <c r="BU1320" i="5"/>
  <c r="BU1321" i="5"/>
  <c r="BU1322" i="5"/>
  <c r="BU1323" i="5"/>
  <c r="BU1324" i="5"/>
  <c r="BU1325" i="5"/>
  <c r="BU1326" i="5"/>
  <c r="BU1327" i="5"/>
  <c r="BU1328" i="5"/>
  <c r="BU1329" i="5"/>
  <c r="BU1330" i="5"/>
  <c r="BU1331" i="5"/>
  <c r="BU1332" i="5"/>
  <c r="BU1333" i="5"/>
  <c r="BU1334" i="5"/>
  <c r="BU1335" i="5"/>
  <c r="BU1336" i="5"/>
  <c r="BU1337" i="5"/>
  <c r="BU1338" i="5"/>
  <c r="BU1339" i="5"/>
  <c r="BU1340" i="5"/>
  <c r="BU1341" i="5"/>
  <c r="BU1342" i="5"/>
  <c r="BU1343" i="5"/>
  <c r="BU1344" i="5"/>
  <c r="BU1345" i="5"/>
  <c r="BU1346" i="5"/>
  <c r="BU1347" i="5"/>
  <c r="BU1348" i="5"/>
  <c r="BU1349" i="5"/>
  <c r="BU1350" i="5"/>
  <c r="BU1351" i="5"/>
  <c r="BU1352" i="5"/>
  <c r="BU1353" i="5"/>
  <c r="BU1354" i="5"/>
  <c r="BU1355" i="5"/>
  <c r="BU1356" i="5"/>
  <c r="BU1357" i="5"/>
  <c r="BU1358" i="5"/>
  <c r="BU1359" i="5"/>
  <c r="BU1360" i="5"/>
  <c r="BU1361" i="5"/>
  <c r="BU1362" i="5"/>
  <c r="BU1363" i="5"/>
  <c r="BU1364" i="5"/>
  <c r="BU1365" i="5"/>
  <c r="BU1366" i="5"/>
  <c r="BU1367" i="5"/>
  <c r="BU1368" i="5"/>
  <c r="BU1369" i="5"/>
  <c r="BU1370" i="5"/>
  <c r="BU1371" i="5"/>
  <c r="BU1372" i="5"/>
  <c r="BU1373" i="5"/>
  <c r="BU1374" i="5"/>
  <c r="BU1375" i="5"/>
  <c r="BU1376" i="5"/>
  <c r="BU1377" i="5"/>
  <c r="BU1378" i="5"/>
  <c r="BU1379" i="5"/>
  <c r="BU1380" i="5"/>
  <c r="BU1381" i="5"/>
  <c r="BU1382" i="5"/>
  <c r="BU1383" i="5"/>
  <c r="BU1384" i="5"/>
  <c r="BU1385" i="5"/>
  <c r="BU1386" i="5"/>
  <c r="BU1387" i="5"/>
  <c r="BU1388" i="5"/>
  <c r="BU1389" i="5"/>
  <c r="BU1390" i="5"/>
  <c r="BU1391" i="5"/>
  <c r="BU1392" i="5"/>
  <c r="BU1393" i="5"/>
  <c r="BU1394" i="5"/>
  <c r="BU1395" i="5"/>
  <c r="BU1396" i="5"/>
  <c r="BU1397" i="5"/>
  <c r="BU1398" i="5"/>
  <c r="BU1399" i="5"/>
  <c r="BU1400" i="5"/>
  <c r="BU1401" i="5"/>
  <c r="BU1402" i="5"/>
  <c r="BU1403" i="5"/>
  <c r="BU1404" i="5"/>
  <c r="BU1405" i="5"/>
  <c r="BU1406" i="5"/>
  <c r="BU1407" i="5"/>
  <c r="BU1408" i="5"/>
  <c r="BU1409" i="5"/>
  <c r="BU1410" i="5"/>
  <c r="BU1411" i="5"/>
  <c r="BU1412" i="5"/>
  <c r="BU1413" i="5"/>
  <c r="BU1414" i="5"/>
  <c r="BU1415" i="5"/>
  <c r="BU1416" i="5"/>
  <c r="BU1417" i="5"/>
  <c r="BU1418" i="5"/>
  <c r="BU1419" i="5"/>
  <c r="BU1420" i="5"/>
  <c r="BU1421" i="5"/>
  <c r="BU1422" i="5"/>
  <c r="BU1423" i="5"/>
  <c r="BU1424" i="5"/>
  <c r="BU1425" i="5"/>
  <c r="BU1426" i="5"/>
  <c r="BU1427" i="5"/>
  <c r="BU1428" i="5"/>
  <c r="BU1429" i="5"/>
  <c r="BU1430" i="5"/>
  <c r="BU1431" i="5"/>
  <c r="BU1432" i="5"/>
  <c r="BU1433" i="5"/>
  <c r="BU1434" i="5"/>
  <c r="BU1435" i="5"/>
  <c r="BU1436" i="5"/>
  <c r="BU1437" i="5"/>
  <c r="BU1438" i="5"/>
  <c r="BU1439" i="5"/>
  <c r="BU1440" i="5"/>
  <c r="BU1441" i="5"/>
  <c r="BU1442" i="5"/>
  <c r="BU1443" i="5"/>
  <c r="BU1444" i="5"/>
  <c r="BU1445" i="5"/>
  <c r="BU1446" i="5"/>
  <c r="BU1447" i="5"/>
  <c r="BU1448" i="5"/>
  <c r="BU1449" i="5"/>
  <c r="BU1450" i="5"/>
  <c r="BU1451" i="5"/>
  <c r="BU1452" i="5"/>
  <c r="BU1453" i="5"/>
  <c r="BU1454" i="5"/>
  <c r="BU1455" i="5"/>
  <c r="BU1456" i="5"/>
  <c r="BU1457" i="5"/>
  <c r="BU1458" i="5"/>
  <c r="BU1459" i="5"/>
  <c r="BU1460" i="5"/>
  <c r="BU1461" i="5"/>
  <c r="BU1462" i="5"/>
  <c r="BU1463" i="5"/>
  <c r="BU1464" i="5"/>
  <c r="BU1465" i="5"/>
  <c r="BU1466" i="5"/>
  <c r="BU1467" i="5"/>
  <c r="BU1468" i="5"/>
  <c r="BU1469" i="5"/>
  <c r="BU1470" i="5"/>
  <c r="BU1471" i="5"/>
  <c r="BU1472" i="5"/>
  <c r="BU1473" i="5"/>
  <c r="BU1474" i="5"/>
  <c r="BU1475" i="5"/>
  <c r="BU1476" i="5"/>
  <c r="BU1477" i="5"/>
  <c r="BU1478" i="5"/>
  <c r="BU1479" i="5"/>
  <c r="BU1480" i="5"/>
  <c r="BU1481" i="5"/>
  <c r="BU1482" i="5"/>
  <c r="BU1483" i="5"/>
  <c r="BU1484" i="5"/>
  <c r="BU1485" i="5"/>
  <c r="BU1486" i="5"/>
  <c r="BU1487" i="5"/>
  <c r="BU1488" i="5"/>
  <c r="BU1489" i="5"/>
  <c r="BU1490" i="5"/>
  <c r="BU1491" i="5"/>
  <c r="BU1492" i="5"/>
  <c r="BU1493" i="5"/>
  <c r="BU1494" i="5"/>
  <c r="BU1495" i="5"/>
  <c r="BU1496" i="5"/>
  <c r="BU1497" i="5"/>
  <c r="BU1498" i="5"/>
  <c r="BU1499" i="5"/>
  <c r="BU1500" i="5"/>
  <c r="BU1501" i="5"/>
  <c r="BU1502" i="5"/>
  <c r="BU1503" i="5"/>
  <c r="BU1504" i="5"/>
  <c r="BU1505" i="5"/>
  <c r="BU1506" i="5"/>
  <c r="BU1507" i="5"/>
  <c r="BU1508" i="5"/>
  <c r="BU1509" i="5"/>
  <c r="BU1510" i="5"/>
  <c r="BU1511" i="5"/>
  <c r="BU1512" i="5"/>
  <c r="BU1513" i="5"/>
  <c r="BU1514" i="5"/>
  <c r="BU1515" i="5"/>
  <c r="BU1516" i="5"/>
  <c r="BU1517" i="5"/>
  <c r="BU1518" i="5"/>
  <c r="BU1519" i="5"/>
  <c r="BU1520" i="5"/>
  <c r="BU1521" i="5"/>
  <c r="BU1522" i="5"/>
  <c r="BU1523" i="5"/>
  <c r="BU1524" i="5"/>
  <c r="BU1525" i="5"/>
  <c r="BU1526" i="5"/>
  <c r="BU1527" i="5"/>
  <c r="BU1528" i="5"/>
  <c r="BU1529" i="5"/>
  <c r="BU1530" i="5"/>
  <c r="BU1531" i="5"/>
  <c r="BU1532" i="5"/>
  <c r="BU1533" i="5"/>
  <c r="BU1534" i="5"/>
  <c r="BU1535" i="5"/>
  <c r="BU1536" i="5"/>
  <c r="BU1537" i="5"/>
  <c r="BU1538" i="5"/>
  <c r="BU1539" i="5"/>
  <c r="BU1540" i="5"/>
  <c r="BU1541" i="5"/>
  <c r="BU1542" i="5"/>
  <c r="BU1543" i="5"/>
  <c r="BU1544" i="5"/>
  <c r="BU1545" i="5"/>
  <c r="BU1546" i="5"/>
  <c r="BU1547" i="5"/>
  <c r="BU1548" i="5"/>
  <c r="BU1549" i="5"/>
  <c r="BU1550" i="5"/>
  <c r="BU1551" i="5"/>
  <c r="BU1552" i="5"/>
  <c r="BU1553" i="5"/>
  <c r="BU1554" i="5"/>
  <c r="BU1555" i="5"/>
  <c r="BU1556" i="5"/>
  <c r="BU1557" i="5"/>
  <c r="BU1558" i="5"/>
  <c r="BU1559" i="5"/>
  <c r="BU1560" i="5"/>
  <c r="BU1561" i="5"/>
  <c r="BU1562" i="5"/>
  <c r="BU1563" i="5"/>
  <c r="BU1564" i="5"/>
  <c r="BU1565" i="5"/>
  <c r="BU1566" i="5"/>
  <c r="BU1567" i="5"/>
  <c r="BU1568" i="5"/>
  <c r="BU1569" i="5"/>
  <c r="BU1570" i="5"/>
  <c r="BU1571" i="5"/>
  <c r="BU1572" i="5"/>
  <c r="BU1573" i="5"/>
  <c r="BU1574" i="5"/>
  <c r="BU1575" i="5"/>
  <c r="BU1576" i="5"/>
  <c r="BU1577" i="5"/>
  <c r="BU1578" i="5"/>
  <c r="BU1579" i="5"/>
  <c r="BU1580" i="5"/>
  <c r="BU1581" i="5"/>
  <c r="BU1582" i="5"/>
  <c r="BU1583" i="5"/>
  <c r="BU1584" i="5"/>
  <c r="BU1585" i="5"/>
  <c r="BU1586" i="5"/>
  <c r="BU1587" i="5"/>
  <c r="BU1588" i="5"/>
  <c r="BU1589" i="5"/>
  <c r="BU1590" i="5"/>
  <c r="BU1591" i="5"/>
  <c r="BU1592" i="5"/>
  <c r="BU1593" i="5"/>
  <c r="BU1594" i="5"/>
  <c r="BU1595" i="5"/>
  <c r="BU1596" i="5"/>
  <c r="BU1597" i="5"/>
  <c r="BU1598" i="5"/>
  <c r="BU1599" i="5"/>
  <c r="BU1600" i="5"/>
  <c r="BU1601" i="5"/>
  <c r="BU1602" i="5"/>
  <c r="BU1603" i="5"/>
  <c r="BU1604" i="5"/>
  <c r="BU1605" i="5"/>
  <c r="BU1606" i="5"/>
  <c r="BU1607" i="5"/>
  <c r="BU1608" i="5"/>
  <c r="BU1609" i="5"/>
  <c r="BU1610" i="5"/>
  <c r="BU1611" i="5"/>
  <c r="BU1612" i="5"/>
  <c r="BU1613" i="5"/>
  <c r="BU1614" i="5"/>
  <c r="BU1615" i="5"/>
  <c r="BU1616" i="5"/>
  <c r="BU1617" i="5"/>
  <c r="BU1618" i="5"/>
  <c r="BU1619" i="5"/>
  <c r="BU1620" i="5"/>
  <c r="BU1621" i="5"/>
  <c r="BU1622" i="5"/>
  <c r="BU1623" i="5"/>
  <c r="BU1624" i="5"/>
  <c r="BU1625" i="5"/>
  <c r="BU1626" i="5"/>
  <c r="BU1627" i="5"/>
  <c r="BU1628" i="5"/>
  <c r="BU1629" i="5"/>
  <c r="BU1630" i="5"/>
  <c r="BU1631" i="5"/>
  <c r="BU1632" i="5"/>
  <c r="BU1633" i="5"/>
  <c r="BU1634" i="5"/>
  <c r="BU1635" i="5"/>
  <c r="BU1636" i="5"/>
  <c r="BU1637" i="5"/>
  <c r="BU1638" i="5"/>
  <c r="BU1639" i="5"/>
  <c r="BU1640" i="5"/>
  <c r="BU1641" i="5"/>
  <c r="BU1642" i="5"/>
  <c r="BU1643" i="5"/>
  <c r="BU1644" i="5"/>
  <c r="BU1645" i="5"/>
  <c r="BU1646" i="5"/>
  <c r="BU1647" i="5"/>
  <c r="BU1648" i="5"/>
  <c r="BU1649" i="5"/>
  <c r="BU1650" i="5"/>
  <c r="BU1651" i="5"/>
  <c r="BU1652" i="5"/>
  <c r="BU1653" i="5"/>
  <c r="BU1654" i="5"/>
  <c r="BU1655" i="5"/>
  <c r="BU1656" i="5"/>
  <c r="BU1657" i="5"/>
  <c r="BU1658" i="5"/>
  <c r="BU1659" i="5"/>
  <c r="BU1660" i="5"/>
  <c r="BU1661" i="5"/>
  <c r="BU1662" i="5"/>
  <c r="BU1663" i="5"/>
  <c r="BU1664" i="5"/>
  <c r="BU1665" i="5"/>
  <c r="BU1666" i="5"/>
  <c r="BU1667" i="5"/>
  <c r="BU1668" i="5"/>
  <c r="BU1669" i="5"/>
  <c r="BU1670" i="5"/>
  <c r="BU1671" i="5"/>
  <c r="BU1672" i="5"/>
  <c r="BU1673" i="5"/>
  <c r="BU1674" i="5"/>
  <c r="BU1675" i="5"/>
  <c r="BU1676" i="5"/>
  <c r="BU1677" i="5"/>
  <c r="BU1678" i="5"/>
  <c r="BU1679" i="5"/>
  <c r="BU1680" i="5"/>
  <c r="BU1681" i="5"/>
  <c r="BU1682" i="5"/>
  <c r="BU1683" i="5"/>
  <c r="BU1684" i="5"/>
  <c r="BU1685" i="5"/>
  <c r="BU1686" i="5"/>
  <c r="BU1687" i="5"/>
  <c r="BU1688" i="5"/>
  <c r="BU1689" i="5"/>
  <c r="BU1690" i="5"/>
  <c r="BU1691" i="5"/>
  <c r="BU1692" i="5"/>
  <c r="BU1693" i="5"/>
  <c r="BU1694" i="5"/>
  <c r="BU1695" i="5"/>
  <c r="BU1696" i="5"/>
  <c r="BU1697" i="5"/>
  <c r="BU1698" i="5"/>
  <c r="BU1699" i="5"/>
  <c r="BU1700" i="5"/>
  <c r="BU1701" i="5"/>
  <c r="BU1702" i="5"/>
  <c r="BU1703" i="5"/>
  <c r="BU1704" i="5"/>
  <c r="BU1705" i="5"/>
  <c r="BU1706" i="5"/>
  <c r="BU1707" i="5"/>
  <c r="BU1708" i="5"/>
  <c r="BU1709" i="5"/>
  <c r="BU1710" i="5"/>
  <c r="BU1711" i="5"/>
  <c r="BU1712" i="5"/>
  <c r="BU1713" i="5"/>
  <c r="BU1714" i="5"/>
  <c r="BU1715" i="5"/>
  <c r="BU1716" i="5"/>
  <c r="BU1717" i="5"/>
  <c r="BU1718" i="5"/>
  <c r="BU1719" i="5"/>
  <c r="BU1720" i="5"/>
  <c r="BU1721" i="5"/>
  <c r="BU1722" i="5"/>
  <c r="BU1723" i="5"/>
  <c r="BU1724" i="5"/>
  <c r="BU1725" i="5"/>
  <c r="BU1726" i="5"/>
  <c r="BU1727" i="5"/>
  <c r="BU1728" i="5"/>
  <c r="BU1729" i="5"/>
  <c r="BU1730" i="5"/>
  <c r="BU1731" i="5"/>
  <c r="BU1732" i="5"/>
  <c r="BU1733" i="5"/>
  <c r="BU1734" i="5"/>
  <c r="BU1735" i="5"/>
  <c r="BU1736" i="5"/>
  <c r="BU1737" i="5"/>
  <c r="BU1738" i="5"/>
  <c r="BU1739" i="5"/>
  <c r="BU1740" i="5"/>
  <c r="BU1741" i="5"/>
  <c r="BU1742" i="5"/>
  <c r="BU1743" i="5"/>
  <c r="BU1744" i="5"/>
  <c r="BU1745" i="5"/>
  <c r="BU1746" i="5"/>
  <c r="BU1747" i="5"/>
  <c r="BU1748" i="5"/>
  <c r="BU1749" i="5"/>
  <c r="BU1750" i="5"/>
  <c r="BU1751" i="5"/>
  <c r="BU1752" i="5"/>
  <c r="BU1753" i="5"/>
  <c r="BU1754" i="5"/>
  <c r="BU1755" i="5"/>
  <c r="BU1756" i="5"/>
  <c r="BU1757" i="5"/>
  <c r="BU1758" i="5"/>
  <c r="BU1759" i="5"/>
  <c r="BU1760" i="5"/>
  <c r="BU1761" i="5"/>
  <c r="BU1762" i="5"/>
  <c r="BU1763" i="5"/>
  <c r="BU1764" i="5"/>
  <c r="BU1765" i="5"/>
  <c r="BU1766" i="5"/>
  <c r="BU1767" i="5"/>
  <c r="BU1768" i="5"/>
  <c r="BU1769" i="5"/>
  <c r="BU1770" i="5"/>
  <c r="BU1771" i="5"/>
  <c r="BU1772" i="5"/>
  <c r="BU1773" i="5"/>
  <c r="BU1774" i="5"/>
  <c r="BU1775" i="5"/>
  <c r="BU1776" i="5"/>
  <c r="BU1777" i="5"/>
  <c r="BU1778" i="5"/>
  <c r="BU1779" i="5"/>
  <c r="BU1780" i="5"/>
  <c r="BU1781" i="5"/>
  <c r="BU1782" i="5"/>
  <c r="BU1783" i="5"/>
  <c r="BU1784" i="5"/>
  <c r="BU1785" i="5"/>
  <c r="BU1786" i="5"/>
  <c r="BU1787" i="5"/>
  <c r="BU1788" i="5"/>
  <c r="BU1789" i="5"/>
  <c r="BU1790" i="5"/>
  <c r="BU1791" i="5"/>
  <c r="BU1792" i="5"/>
  <c r="BU1793" i="5"/>
  <c r="BU1794" i="5"/>
  <c r="BU1795" i="5"/>
  <c r="BU1796" i="5"/>
  <c r="BU1797" i="5"/>
  <c r="BU1798" i="5"/>
  <c r="BU1799" i="5"/>
  <c r="BU1800" i="5"/>
  <c r="BU1801" i="5"/>
  <c r="BU1802" i="5"/>
  <c r="BU1803" i="5"/>
  <c r="BU1804" i="5"/>
  <c r="BU1805" i="5"/>
  <c r="BU1806" i="5"/>
  <c r="BU1807" i="5"/>
  <c r="BU1808" i="5"/>
  <c r="BU1809" i="5"/>
  <c r="BU1810" i="5"/>
  <c r="BU1811" i="5"/>
  <c r="BU1812" i="5"/>
  <c r="BU1813" i="5"/>
  <c r="BU1814" i="5"/>
  <c r="BU1815" i="5"/>
  <c r="BU1816" i="5"/>
  <c r="BU1817" i="5"/>
  <c r="BU1818" i="5"/>
  <c r="BU1819" i="5"/>
  <c r="BU1820" i="5"/>
  <c r="BU1821" i="5"/>
  <c r="BU1822" i="5"/>
  <c r="BU1823" i="5"/>
  <c r="BU1824" i="5"/>
  <c r="BU1825" i="5"/>
  <c r="BU1826" i="5"/>
  <c r="BU1827" i="5"/>
  <c r="BU1828" i="5"/>
  <c r="BU1829" i="5"/>
  <c r="BU1830" i="5"/>
  <c r="BU1831" i="5"/>
  <c r="BU1832" i="5"/>
  <c r="BU1833" i="5"/>
  <c r="BU1834" i="5"/>
  <c r="BU1835" i="5"/>
  <c r="BU1836" i="5"/>
  <c r="BU1837" i="5"/>
  <c r="BU1838" i="5"/>
  <c r="BU1839" i="5"/>
  <c r="BU1840" i="5"/>
  <c r="BU1841" i="5"/>
  <c r="BU1842" i="5"/>
  <c r="BU1843" i="5"/>
  <c r="BU1844" i="5"/>
  <c r="BU1845" i="5"/>
  <c r="BU1846" i="5"/>
  <c r="BU1847" i="5"/>
  <c r="BU1848" i="5"/>
  <c r="BU1849" i="5"/>
  <c r="BU1850" i="5"/>
  <c r="BU1851" i="5"/>
  <c r="BU1852" i="5"/>
  <c r="BU1853" i="5"/>
  <c r="BU1854" i="5"/>
  <c r="BU1855" i="5"/>
  <c r="BU1856" i="5"/>
  <c r="BU1857" i="5"/>
  <c r="BU1858" i="5"/>
  <c r="BU1859" i="5"/>
  <c r="BU1860" i="5"/>
  <c r="BU1861" i="5"/>
  <c r="BU1862" i="5"/>
  <c r="BU1863" i="5"/>
  <c r="BU1864" i="5"/>
  <c r="BU1865" i="5"/>
  <c r="BU1866" i="5"/>
  <c r="BU1867" i="5"/>
  <c r="BU1868" i="5"/>
  <c r="BU1869" i="5"/>
  <c r="BU1870" i="5"/>
  <c r="BU1871" i="5"/>
  <c r="BU1872" i="5"/>
  <c r="BU1873" i="5"/>
  <c r="BU1874" i="5"/>
  <c r="BU1875" i="5"/>
  <c r="BU1876" i="5"/>
  <c r="BU1877" i="5"/>
  <c r="BU1878" i="5"/>
  <c r="BU1879" i="5"/>
  <c r="BU1880" i="5"/>
  <c r="BU1881" i="5"/>
  <c r="BU1882" i="5"/>
  <c r="BU1883" i="5"/>
  <c r="BU1884" i="5"/>
  <c r="BU1885" i="5"/>
  <c r="BU1886" i="5"/>
  <c r="BU1887" i="5"/>
  <c r="BU1888" i="5"/>
  <c r="BU1889" i="5"/>
  <c r="BU1890" i="5"/>
  <c r="BU1891" i="5"/>
  <c r="BU1892" i="5"/>
  <c r="BU1893" i="5"/>
  <c r="BU1894" i="5"/>
  <c r="BU1895" i="5"/>
  <c r="BU1896" i="5"/>
  <c r="BU1897" i="5"/>
  <c r="BU1898" i="5"/>
  <c r="BU1899" i="5"/>
  <c r="BU1900" i="5"/>
  <c r="BU1901" i="5"/>
  <c r="BU1902" i="5"/>
  <c r="BU1903" i="5"/>
  <c r="BU1904" i="5"/>
  <c r="BU1905" i="5"/>
  <c r="BU1906" i="5"/>
  <c r="BU1907" i="5"/>
  <c r="BU1908" i="5"/>
  <c r="BU1909" i="5"/>
  <c r="BU1910" i="5"/>
  <c r="BU1911" i="5"/>
  <c r="BU1912" i="5"/>
  <c r="BU1913" i="5"/>
  <c r="BU1914" i="5"/>
  <c r="BU1915" i="5"/>
  <c r="BU1916" i="5"/>
  <c r="BU1917" i="5"/>
  <c r="BU1918" i="5"/>
  <c r="BU1919" i="5"/>
  <c r="BU1920" i="5"/>
  <c r="BU1921" i="5"/>
  <c r="BU1922" i="5"/>
  <c r="BU1923" i="5"/>
  <c r="BU1924" i="5"/>
  <c r="BU1925" i="5"/>
  <c r="BU1926" i="5"/>
  <c r="BU1927" i="5"/>
  <c r="BU1928" i="5"/>
  <c r="BU1929" i="5"/>
  <c r="BU1930" i="5"/>
  <c r="BU1931" i="5"/>
  <c r="BU1932" i="5"/>
  <c r="BU1933" i="5"/>
  <c r="BU1934" i="5"/>
  <c r="BU1935" i="5"/>
  <c r="BU1936" i="5"/>
  <c r="BU1937" i="5"/>
  <c r="BU1938" i="5"/>
  <c r="BU1939" i="5"/>
  <c r="BU1940" i="5"/>
  <c r="BU1941" i="5"/>
  <c r="BU1942" i="5"/>
  <c r="BU1943" i="5"/>
  <c r="BU1944" i="5"/>
  <c r="BU1945" i="5"/>
  <c r="BU1946" i="5"/>
  <c r="BU1947" i="5"/>
  <c r="BU1948" i="5"/>
  <c r="BU1949" i="5"/>
  <c r="BU1950" i="5"/>
  <c r="BU1951" i="5"/>
  <c r="BU1952" i="5"/>
  <c r="BU1953" i="5"/>
  <c r="BU1954" i="5"/>
  <c r="BU1955" i="5"/>
  <c r="BU1956" i="5"/>
  <c r="BU1957" i="5"/>
  <c r="BU1958" i="5"/>
  <c r="BU1959" i="5"/>
  <c r="BU1960" i="5"/>
  <c r="BU1961" i="5"/>
  <c r="BU1962" i="5"/>
  <c r="BU1963" i="5"/>
  <c r="BU1964" i="5"/>
  <c r="BU1965" i="5"/>
  <c r="BU1966" i="5"/>
  <c r="BU1967" i="5"/>
  <c r="BU1968" i="5"/>
  <c r="BU1969" i="5"/>
  <c r="BU1970" i="5"/>
  <c r="BU1971" i="5"/>
  <c r="BU1972" i="5"/>
  <c r="BU1973" i="5"/>
  <c r="BU1974" i="5"/>
  <c r="BU1975" i="5"/>
  <c r="BU1976" i="5"/>
  <c r="BU1977" i="5"/>
  <c r="BU1978" i="5"/>
  <c r="BU1979" i="5"/>
  <c r="BU1980" i="5"/>
  <c r="BU1981" i="5"/>
  <c r="BU1982" i="5"/>
  <c r="BU1983" i="5"/>
  <c r="BU1984" i="5"/>
  <c r="BU1985" i="5"/>
  <c r="BU1986" i="5"/>
  <c r="BU1987" i="5"/>
  <c r="BU1988" i="5"/>
  <c r="BU1989" i="5"/>
  <c r="BU1990" i="5"/>
  <c r="BU1991" i="5"/>
  <c r="BU1992" i="5"/>
  <c r="BU1993" i="5"/>
  <c r="BU1994" i="5"/>
  <c r="BU1995" i="5"/>
  <c r="BU1996" i="5"/>
  <c r="BU1997" i="5"/>
  <c r="BU1998" i="5"/>
  <c r="BU1999" i="5"/>
  <c r="BU2000" i="5"/>
  <c r="BU2001" i="5"/>
  <c r="BU2002" i="5"/>
  <c r="BU2003" i="5"/>
  <c r="BU2004" i="5"/>
  <c r="BU2005" i="5"/>
  <c r="BU2006" i="5"/>
  <c r="BU2007" i="5"/>
  <c r="BU2008" i="5"/>
  <c r="BU2009" i="5"/>
  <c r="BU2010" i="5"/>
  <c r="BU2011" i="5"/>
  <c r="BU2012" i="5"/>
  <c r="BU2013" i="5"/>
  <c r="BU2014" i="5"/>
  <c r="BU2015" i="5"/>
  <c r="BU2016" i="5"/>
  <c r="BU2017" i="5"/>
  <c r="BU2018" i="5"/>
  <c r="BU2019" i="5"/>
  <c r="BU2020" i="5"/>
  <c r="BU2021" i="5"/>
  <c r="BU2022" i="5"/>
  <c r="BU2023" i="5"/>
  <c r="BU2024" i="5"/>
  <c r="BU2025" i="5"/>
  <c r="BU2026" i="5"/>
  <c r="BU2027" i="5"/>
  <c r="BU2028" i="5"/>
  <c r="BU2029" i="5"/>
  <c r="BU2030" i="5"/>
  <c r="BU2031" i="5"/>
  <c r="BU2032" i="5"/>
  <c r="BU2033" i="5"/>
  <c r="BU2034" i="5"/>
  <c r="BU2035" i="5"/>
  <c r="BU2036" i="5"/>
  <c r="BU2037" i="5"/>
  <c r="BU2038" i="5"/>
  <c r="BU2039" i="5"/>
  <c r="BU2040" i="5"/>
  <c r="BU2041" i="5"/>
  <c r="BU2042" i="5"/>
  <c r="BU2043" i="5"/>
  <c r="BU2044" i="5"/>
  <c r="BU2045" i="5"/>
  <c r="BU2046" i="5"/>
  <c r="BU2047" i="5"/>
  <c r="BU2048" i="5"/>
  <c r="BU2049" i="5"/>
  <c r="BU2050" i="5"/>
  <c r="BU2051" i="5"/>
  <c r="BU2052" i="5"/>
  <c r="BU2053" i="5"/>
  <c r="BU2054" i="5"/>
  <c r="BU2055" i="5"/>
  <c r="BU2056" i="5"/>
  <c r="BU2057" i="5"/>
  <c r="BU2058" i="5"/>
  <c r="BU2059" i="5"/>
  <c r="BU2060" i="5"/>
  <c r="BU2061" i="5"/>
  <c r="BU2062" i="5"/>
  <c r="BU2063" i="5"/>
  <c r="BU2064" i="5"/>
  <c r="BU2065" i="5"/>
  <c r="BU2066" i="5"/>
  <c r="BU2067" i="5"/>
  <c r="BU2068" i="5"/>
  <c r="BU2069" i="5"/>
  <c r="BU2070" i="5"/>
  <c r="BU2071" i="5"/>
  <c r="BU2072" i="5"/>
  <c r="BU2073" i="5"/>
  <c r="BU2074" i="5"/>
  <c r="BU2075" i="5"/>
  <c r="BU2076" i="5"/>
  <c r="BU2077" i="5"/>
  <c r="BU2078" i="5"/>
  <c r="BU2079" i="5"/>
  <c r="BU2080" i="5"/>
  <c r="BU2081" i="5"/>
  <c r="BU2082" i="5"/>
  <c r="BU2083" i="5"/>
  <c r="BU2084" i="5"/>
  <c r="BU2085" i="5"/>
  <c r="BU2086" i="5"/>
  <c r="BU2087" i="5"/>
  <c r="BU2088" i="5"/>
  <c r="BU2089" i="5"/>
  <c r="BU2090" i="5"/>
  <c r="BU2091" i="5"/>
  <c r="BU2092" i="5"/>
  <c r="BU2093" i="5"/>
  <c r="BU2094" i="5"/>
  <c r="BU2095" i="5"/>
  <c r="BU2096" i="5"/>
  <c r="BU2097" i="5"/>
  <c r="BU2098" i="5"/>
  <c r="BU2099" i="5"/>
  <c r="BU2100" i="5"/>
  <c r="BU2101" i="5"/>
  <c r="BU2102" i="5"/>
  <c r="BU2103" i="5"/>
  <c r="BU2104" i="5"/>
  <c r="BU2105" i="5"/>
  <c r="BU2106" i="5"/>
  <c r="BU2107" i="5"/>
  <c r="BU2108" i="5"/>
  <c r="BU2109" i="5"/>
  <c r="BU2110" i="5"/>
  <c r="BU2111" i="5"/>
  <c r="BU2112" i="5"/>
  <c r="BU2113" i="5"/>
  <c r="BU2114" i="5"/>
  <c r="BU2115" i="5"/>
  <c r="BU2116" i="5"/>
  <c r="BU2117" i="5"/>
  <c r="BU2118" i="5"/>
  <c r="BU2119" i="5"/>
  <c r="BU2120" i="5"/>
  <c r="BU2121" i="5"/>
  <c r="BU2122" i="5"/>
  <c r="BU2123" i="5"/>
  <c r="BU2124" i="5"/>
  <c r="BU2125" i="5"/>
  <c r="BU2126" i="5"/>
  <c r="BU2127" i="5"/>
  <c r="BU2128" i="5"/>
  <c r="BU2129" i="5"/>
  <c r="BU2130" i="5"/>
  <c r="BU2131" i="5"/>
  <c r="BU2132" i="5"/>
  <c r="BU2133" i="5"/>
  <c r="BU2134" i="5"/>
  <c r="BU2135" i="5"/>
  <c r="BU2136" i="5"/>
  <c r="BU2137" i="5"/>
  <c r="BU2138" i="5"/>
  <c r="BU2139" i="5"/>
  <c r="BU2140" i="5"/>
  <c r="BU2141" i="5"/>
  <c r="BU2142" i="5"/>
  <c r="BU2143" i="5"/>
  <c r="BU2144" i="5"/>
  <c r="BU2145" i="5"/>
  <c r="BU2146" i="5"/>
  <c r="BU2147" i="5"/>
  <c r="BU2148" i="5"/>
  <c r="BU2149" i="5"/>
  <c r="BU2150" i="5"/>
  <c r="BU2151" i="5"/>
  <c r="BU2152" i="5"/>
  <c r="BU2153" i="5"/>
  <c r="BU2154" i="5"/>
  <c r="BU2155" i="5"/>
  <c r="BU2156" i="5"/>
  <c r="BU2157" i="5"/>
  <c r="BU2158" i="5"/>
  <c r="BU2159" i="5"/>
  <c r="BU2160" i="5"/>
  <c r="BU2161" i="5"/>
  <c r="BU2162" i="5"/>
  <c r="BU2163" i="5"/>
  <c r="BU2164" i="5"/>
  <c r="BU2165" i="5"/>
  <c r="BU2166" i="5"/>
  <c r="BU2167" i="5"/>
  <c r="BU2168" i="5"/>
  <c r="BU2169" i="5"/>
  <c r="BU2170" i="5"/>
  <c r="BU2171" i="5"/>
  <c r="BU2172" i="5"/>
  <c r="BU2173" i="5"/>
  <c r="BU2174" i="5"/>
  <c r="BU2175" i="5"/>
  <c r="BU2176" i="5"/>
  <c r="BU2177" i="5"/>
  <c r="BU2178" i="5"/>
  <c r="BU2179" i="5"/>
  <c r="BU2180" i="5"/>
  <c r="BU2181" i="5"/>
  <c r="BU2182" i="5"/>
  <c r="BU2183" i="5"/>
  <c r="BU2184" i="5"/>
  <c r="BU2185" i="5"/>
  <c r="BU2186" i="5"/>
  <c r="BU2187" i="5"/>
  <c r="BU2188" i="5"/>
  <c r="BU2189" i="5"/>
  <c r="BU2190" i="5"/>
  <c r="BU2191" i="5"/>
  <c r="BU2192" i="5"/>
  <c r="BU2193" i="5"/>
  <c r="BU2194" i="5"/>
  <c r="BU2195" i="5"/>
  <c r="BU2196" i="5"/>
  <c r="BU2197" i="5"/>
  <c r="BU2198" i="5"/>
  <c r="BU2199" i="5"/>
  <c r="BU2200" i="5"/>
  <c r="BU2201" i="5"/>
  <c r="BU2202" i="5"/>
  <c r="BU2203" i="5"/>
  <c r="BU2204" i="5"/>
  <c r="BU2205" i="5"/>
  <c r="BU2206" i="5"/>
  <c r="BU2207" i="5"/>
  <c r="BU2208" i="5"/>
  <c r="BU2209" i="5"/>
  <c r="BU2210" i="5"/>
  <c r="BU2211" i="5"/>
  <c r="BU2212" i="5"/>
  <c r="BU2213" i="5"/>
  <c r="BU2214" i="5"/>
  <c r="BU2215" i="5"/>
  <c r="BU2216" i="5"/>
  <c r="BU2217" i="5"/>
  <c r="BU2218" i="5"/>
  <c r="BU2219" i="5"/>
  <c r="BU2220" i="5"/>
  <c r="BU2221" i="5"/>
  <c r="BU2222" i="5"/>
  <c r="BU2223" i="5"/>
  <c r="BU2224" i="5"/>
  <c r="BU2225" i="5"/>
  <c r="BU2226" i="5"/>
  <c r="BU2227" i="5"/>
  <c r="BU2228" i="5"/>
  <c r="BU2229" i="5"/>
  <c r="BU2230" i="5"/>
  <c r="BU2231" i="5"/>
  <c r="BU2232" i="5"/>
  <c r="BU2233" i="5"/>
  <c r="BU2234" i="5"/>
  <c r="BU2235" i="5"/>
  <c r="BU2236" i="5"/>
  <c r="BU2237" i="5"/>
  <c r="BU2238" i="5"/>
  <c r="BU2239" i="5"/>
  <c r="BU2240" i="5"/>
  <c r="BU2241" i="5"/>
  <c r="BU2242" i="5"/>
  <c r="BU2243" i="5"/>
  <c r="BU2244" i="5"/>
  <c r="BU2245" i="5"/>
  <c r="BU2246" i="5"/>
  <c r="BU2247" i="5"/>
  <c r="BU2248" i="5"/>
  <c r="BU2249" i="5"/>
  <c r="BU2250" i="5"/>
  <c r="BU2251" i="5"/>
  <c r="BU2252" i="5"/>
  <c r="BU2253" i="5"/>
  <c r="BU2254" i="5"/>
  <c r="BU2255" i="5"/>
  <c r="BU2256" i="5"/>
  <c r="BU2257" i="5"/>
  <c r="BU2258" i="5"/>
  <c r="BU2259" i="5"/>
  <c r="BU2260" i="5"/>
  <c r="BU2261" i="5"/>
  <c r="BU2262" i="5"/>
  <c r="BU2263" i="5"/>
  <c r="BU2264" i="5"/>
  <c r="BU2265" i="5"/>
  <c r="BU2266" i="5"/>
  <c r="BU2267" i="5"/>
  <c r="BU2268" i="5"/>
  <c r="BU2269" i="5"/>
  <c r="BU2270" i="5"/>
  <c r="BU2271" i="5"/>
  <c r="BU2272" i="5"/>
  <c r="BU2273" i="5"/>
  <c r="BU2274" i="5"/>
  <c r="BU2275" i="5"/>
  <c r="BU2276" i="5"/>
  <c r="BU2277" i="5"/>
  <c r="BU2278" i="5"/>
  <c r="BU2279" i="5"/>
  <c r="BU2280" i="5"/>
  <c r="BU2281" i="5"/>
  <c r="BU2282" i="5"/>
  <c r="BU2283" i="5"/>
  <c r="BU2284" i="5"/>
  <c r="BU2285" i="5"/>
  <c r="BU2286" i="5"/>
  <c r="BU2287" i="5"/>
  <c r="BU2288" i="5"/>
  <c r="BU2289" i="5"/>
  <c r="BU2290" i="5"/>
  <c r="BU2291" i="5"/>
  <c r="BU2292" i="5"/>
  <c r="BU2293" i="5"/>
  <c r="BU2294" i="5"/>
  <c r="BU2295" i="5"/>
  <c r="BU2296" i="5"/>
  <c r="BU2297" i="5"/>
  <c r="BU2298" i="5"/>
  <c r="BU2299" i="5"/>
  <c r="BU2300" i="5"/>
  <c r="BU2301" i="5"/>
  <c r="BU2302" i="5"/>
  <c r="BU2303" i="5"/>
  <c r="BU2304" i="5"/>
  <c r="BU2305" i="5"/>
  <c r="BU2306" i="5"/>
  <c r="BU2307" i="5"/>
  <c r="BU2308" i="5"/>
  <c r="BU2309" i="5"/>
  <c r="BU2310" i="5"/>
  <c r="BU2311" i="5"/>
  <c r="BU2312" i="5"/>
  <c r="BU2313" i="5"/>
  <c r="BU2314" i="5"/>
  <c r="BU2315" i="5"/>
  <c r="BU2316" i="5"/>
  <c r="BU2317" i="5"/>
  <c r="BU2318" i="5"/>
  <c r="BU2319" i="5"/>
  <c r="BU2320" i="5"/>
  <c r="BU2321" i="5"/>
  <c r="BU2322" i="5"/>
  <c r="BU2323" i="5"/>
  <c r="BU2324" i="5"/>
  <c r="BU2325" i="5"/>
  <c r="BU2326" i="5"/>
  <c r="BU2327" i="5"/>
  <c r="BU2328" i="5"/>
  <c r="BU2329" i="5"/>
  <c r="BU2330" i="5"/>
  <c r="BU2331" i="5"/>
  <c r="BU2332" i="5"/>
  <c r="BU2333" i="5"/>
  <c r="BU2334" i="5"/>
  <c r="BU2335" i="5"/>
  <c r="BU2336" i="5"/>
  <c r="BU2337" i="5"/>
  <c r="BU2338" i="5"/>
  <c r="BU2339" i="5"/>
  <c r="BU2340" i="5"/>
  <c r="BU2341" i="5"/>
  <c r="BU2342" i="5"/>
  <c r="BU2343" i="5"/>
  <c r="BU2344" i="5"/>
  <c r="BU2345" i="5"/>
  <c r="BU2346" i="5"/>
  <c r="BU2347" i="5"/>
  <c r="BU2348" i="5"/>
  <c r="BU2349" i="5"/>
  <c r="BU2350" i="5"/>
  <c r="BU2351" i="5"/>
  <c r="BU2352" i="5"/>
  <c r="BU2353" i="5"/>
  <c r="BU2354" i="5"/>
  <c r="BU2355" i="5"/>
  <c r="BU2356" i="5"/>
  <c r="BU2357" i="5"/>
  <c r="BU2358" i="5"/>
  <c r="BU2359" i="5"/>
  <c r="BU2360" i="5"/>
  <c r="BU2361" i="5"/>
  <c r="BU2362" i="5"/>
  <c r="BU2363" i="5"/>
  <c r="BU2364" i="5"/>
  <c r="BU2365" i="5"/>
  <c r="BU2366" i="5"/>
  <c r="BU2367" i="5"/>
  <c r="BU2368" i="5"/>
  <c r="BU2369" i="5"/>
  <c r="BU2370" i="5"/>
  <c r="BU2371" i="5"/>
  <c r="BU2372" i="5"/>
  <c r="BU2373" i="5"/>
  <c r="BU2374" i="5"/>
  <c r="BU2375" i="5"/>
  <c r="BU2376" i="5"/>
  <c r="BU2377" i="5"/>
  <c r="BU2378" i="5"/>
  <c r="BU2379" i="5"/>
  <c r="BU2380" i="5"/>
  <c r="BU2381" i="5"/>
  <c r="BU2382" i="5"/>
  <c r="BU2383" i="5"/>
  <c r="BU2384" i="5"/>
  <c r="BU2385" i="5"/>
  <c r="BU2386" i="5"/>
  <c r="BU2387" i="5"/>
  <c r="BU2388" i="5"/>
  <c r="BU2389" i="5"/>
  <c r="BU2390" i="5"/>
  <c r="BU2391" i="5"/>
  <c r="BU2392" i="5"/>
  <c r="BU2393" i="5"/>
  <c r="BU2394" i="5"/>
  <c r="BU2395" i="5"/>
  <c r="BU2396" i="5"/>
  <c r="BU2397" i="5"/>
  <c r="BU2398" i="5"/>
  <c r="BU2399" i="5"/>
  <c r="BU2400" i="5"/>
  <c r="BU2401" i="5"/>
  <c r="BU2402" i="5"/>
  <c r="BU2403" i="5"/>
  <c r="BU2404" i="5"/>
  <c r="BU2405" i="5"/>
  <c r="BU2406" i="5"/>
  <c r="BU2407" i="5"/>
  <c r="BU2408" i="5"/>
  <c r="BU2409" i="5"/>
  <c r="BU2410" i="5"/>
  <c r="BU2411" i="5"/>
  <c r="BU2412" i="5"/>
  <c r="BU2413" i="5"/>
  <c r="BU2414" i="5"/>
  <c r="BU2415" i="5"/>
  <c r="BU2416" i="5"/>
  <c r="BU2417" i="5"/>
  <c r="BU2418" i="5"/>
  <c r="BU2419" i="5"/>
  <c r="BU2420" i="5"/>
  <c r="BU2421" i="5"/>
  <c r="BU2422" i="5"/>
  <c r="BU2423" i="5"/>
  <c r="BU2424" i="5"/>
  <c r="BU2425" i="5"/>
  <c r="BU2426" i="5"/>
  <c r="BU2427" i="5"/>
  <c r="BU2428" i="5"/>
  <c r="BU2429" i="5"/>
  <c r="BU2430" i="5"/>
  <c r="BU2431" i="5"/>
  <c r="BU2432" i="5"/>
  <c r="BU2433" i="5"/>
  <c r="BU2434" i="5"/>
  <c r="BU2435" i="5"/>
  <c r="BU2436" i="5"/>
  <c r="BU2437" i="5"/>
  <c r="BU2438" i="5"/>
  <c r="BU2439" i="5"/>
  <c r="BU2440" i="5"/>
  <c r="BU2441" i="5"/>
  <c r="BU2442" i="5"/>
  <c r="BU2443" i="5"/>
  <c r="BU2444" i="5"/>
  <c r="BU2445" i="5"/>
  <c r="BU2446" i="5"/>
  <c r="BU2447" i="5"/>
  <c r="BU2448" i="5"/>
  <c r="BU2449" i="5"/>
  <c r="BU2450" i="5"/>
  <c r="BU2451" i="5"/>
  <c r="BU2452" i="5"/>
  <c r="BU2453" i="5"/>
  <c r="BU2454" i="5"/>
  <c r="BU2455" i="5"/>
  <c r="BU2456" i="5"/>
  <c r="BU2457" i="5"/>
  <c r="BU2458" i="5"/>
  <c r="BU2459" i="5"/>
  <c r="BU2460" i="5"/>
  <c r="BU2461" i="5"/>
  <c r="BU2462" i="5"/>
  <c r="BU2463" i="5"/>
  <c r="BU2464" i="5"/>
  <c r="BU2465" i="5"/>
  <c r="BU2466" i="5"/>
  <c r="BU2467" i="5"/>
  <c r="BU2468" i="5"/>
  <c r="BU2469" i="5"/>
  <c r="BU2470" i="5"/>
  <c r="BU2471" i="5"/>
  <c r="BU2472" i="5"/>
  <c r="BU2473" i="5"/>
  <c r="BU2474" i="5"/>
  <c r="BU2475" i="5"/>
  <c r="BU2476" i="5"/>
  <c r="BU2477" i="5"/>
  <c r="BU2478" i="5"/>
  <c r="BU2479" i="5"/>
  <c r="BU2480" i="5"/>
  <c r="BU2481" i="5"/>
  <c r="BU2482" i="5"/>
  <c r="BU2483" i="5"/>
  <c r="BU2484" i="5"/>
  <c r="BU2485" i="5"/>
  <c r="BU2486" i="5"/>
  <c r="BU2487" i="5"/>
  <c r="BU2488" i="5"/>
  <c r="BU2489" i="5"/>
  <c r="BU2490" i="5"/>
  <c r="BU2491" i="5"/>
  <c r="BU2492" i="5"/>
  <c r="BU2493" i="5"/>
  <c r="BU2494" i="5"/>
  <c r="BU2495" i="5"/>
  <c r="BU2496" i="5"/>
  <c r="BU2497" i="5"/>
  <c r="BU2498" i="5"/>
  <c r="BU2499" i="5"/>
  <c r="BU2500" i="5"/>
  <c r="BU2501" i="5"/>
  <c r="BU2502" i="5"/>
  <c r="BU2503" i="5"/>
  <c r="BU2504" i="5"/>
  <c r="BU2505" i="5"/>
  <c r="BU2506" i="5"/>
  <c r="BU2507" i="5"/>
  <c r="BU2508" i="5"/>
  <c r="BU2509" i="5"/>
  <c r="BU2510" i="5"/>
  <c r="BU2511" i="5"/>
  <c r="BU2512" i="5"/>
  <c r="BU2513" i="5"/>
  <c r="BU2514" i="5"/>
  <c r="BU2515" i="5"/>
  <c r="BU2516" i="5"/>
  <c r="BU2517" i="5"/>
  <c r="BU2518" i="5"/>
  <c r="BU2519" i="5"/>
  <c r="BU2520" i="5"/>
  <c r="BU2521" i="5"/>
  <c r="BU2522" i="5"/>
  <c r="BU2523" i="5"/>
  <c r="BU2524" i="5"/>
  <c r="BU2525" i="5"/>
  <c r="BU2526" i="5"/>
  <c r="BU2527" i="5"/>
  <c r="BU2528" i="5"/>
  <c r="BU2529" i="5"/>
  <c r="BU2530" i="5"/>
  <c r="BU2531" i="5"/>
  <c r="BU2532" i="5"/>
  <c r="BU2533" i="5"/>
  <c r="BU2534" i="5"/>
  <c r="BU2535" i="5"/>
  <c r="BU2536" i="5"/>
  <c r="BU2537" i="5"/>
  <c r="BU2538" i="5"/>
  <c r="BU2539" i="5"/>
  <c r="BU2540" i="5"/>
  <c r="BU2541" i="5"/>
  <c r="BU2542" i="5"/>
  <c r="BU2543" i="5"/>
  <c r="BU2544" i="5"/>
  <c r="BU2545" i="5"/>
  <c r="BU2546" i="5"/>
  <c r="BU2547" i="5"/>
  <c r="BU2548" i="5"/>
  <c r="BU2549" i="5"/>
  <c r="BU2550" i="5"/>
  <c r="BU2551" i="5"/>
  <c r="BU2552" i="5"/>
  <c r="BU2553" i="5"/>
  <c r="BU2554" i="5"/>
  <c r="BU2555" i="5"/>
  <c r="BU2556" i="5"/>
  <c r="BU2557" i="5"/>
  <c r="BU2558" i="5"/>
  <c r="BU2559" i="5"/>
  <c r="BU2560" i="5"/>
  <c r="BU2561" i="5"/>
  <c r="BU2562" i="5"/>
  <c r="BU2563" i="5"/>
  <c r="BU2564" i="5"/>
  <c r="BU2565" i="5"/>
  <c r="BU2566" i="5"/>
  <c r="BU2567" i="5"/>
  <c r="BU2568" i="5"/>
  <c r="BU2569" i="5"/>
  <c r="BU2570" i="5"/>
  <c r="BU2571" i="5"/>
  <c r="BU2572" i="5"/>
  <c r="BU2573" i="5"/>
  <c r="BU2574" i="5"/>
  <c r="BU2575" i="5"/>
  <c r="BU2576" i="5"/>
  <c r="BU2577" i="5"/>
  <c r="BU2578" i="5"/>
  <c r="BU2579" i="5"/>
  <c r="BU2580" i="5"/>
  <c r="BU2581" i="5"/>
  <c r="BU2582" i="5"/>
  <c r="BU2583" i="5"/>
  <c r="BU2584" i="5"/>
  <c r="BU2585" i="5"/>
  <c r="BU2586" i="5"/>
  <c r="BU2587" i="5"/>
  <c r="BU2588" i="5"/>
  <c r="BU2589" i="5"/>
  <c r="BU2590" i="5"/>
  <c r="BU2591" i="5"/>
  <c r="BU2592" i="5"/>
  <c r="BU2593" i="5"/>
  <c r="BU2594" i="5"/>
  <c r="BU2595" i="5"/>
  <c r="BU2596" i="5"/>
  <c r="BU2597" i="5"/>
  <c r="BU2598" i="5"/>
  <c r="BU2599" i="5"/>
  <c r="BU2600" i="5"/>
  <c r="BU2601" i="5"/>
  <c r="BU2602" i="5"/>
  <c r="BU2603" i="5"/>
  <c r="BU2604" i="5"/>
  <c r="BU2605" i="5"/>
  <c r="BU2606" i="5"/>
  <c r="BU2607" i="5"/>
  <c r="BU2608" i="5"/>
  <c r="BU2609" i="5"/>
  <c r="BU2610" i="5"/>
  <c r="BU2611" i="5"/>
  <c r="BU2612" i="5"/>
  <c r="BU2613" i="5"/>
  <c r="BU2614" i="5"/>
  <c r="BU2615" i="5"/>
  <c r="BU2616" i="5"/>
  <c r="BU2617" i="5"/>
  <c r="BU2618" i="5"/>
  <c r="BU2619" i="5"/>
  <c r="BU2620" i="5"/>
  <c r="BU2621" i="5"/>
  <c r="BU2622" i="5"/>
  <c r="BU2623" i="5"/>
  <c r="BU2624" i="5"/>
  <c r="BU2625" i="5"/>
  <c r="BU2626" i="5"/>
  <c r="BU2627" i="5"/>
  <c r="BU2628" i="5"/>
  <c r="BU2629" i="5"/>
  <c r="BU2630" i="5"/>
  <c r="BU2631" i="5"/>
  <c r="BU2632" i="5"/>
  <c r="BU2633" i="5"/>
  <c r="BU2634" i="5"/>
  <c r="BU2635" i="5"/>
  <c r="BU2636" i="5"/>
  <c r="BU2637" i="5"/>
  <c r="BU2638" i="5"/>
  <c r="BU2639" i="5"/>
  <c r="BU2640" i="5"/>
  <c r="BU2641" i="5"/>
  <c r="BU2642" i="5"/>
  <c r="BU2643" i="5"/>
  <c r="BU2644" i="5"/>
  <c r="BU2645" i="5"/>
  <c r="BU2646" i="5"/>
  <c r="BU2647" i="5"/>
  <c r="BU2648" i="5"/>
  <c r="BU2649" i="5"/>
  <c r="BU2650" i="5"/>
  <c r="BU2651" i="5"/>
  <c r="BU2652" i="5"/>
  <c r="BU2653" i="5"/>
  <c r="BU2654" i="5"/>
  <c r="BU2655" i="5"/>
  <c r="BU2656" i="5"/>
  <c r="BU2657" i="5"/>
  <c r="BU2658" i="5"/>
  <c r="BU2659" i="5"/>
  <c r="BU2660" i="5"/>
  <c r="BU2661" i="5"/>
  <c r="BU2662" i="5"/>
  <c r="BU2663" i="5"/>
  <c r="BU2664" i="5"/>
  <c r="BU2665" i="5"/>
  <c r="BU2666" i="5"/>
  <c r="BU2667" i="5"/>
  <c r="BU2668" i="5"/>
  <c r="BU2669" i="5"/>
  <c r="BU2670" i="5"/>
  <c r="BU2671" i="5"/>
  <c r="BU2672" i="5"/>
  <c r="BU2673" i="5"/>
  <c r="BU2674" i="5"/>
  <c r="BU2675" i="5"/>
  <c r="BU2676" i="5"/>
  <c r="BU2677" i="5"/>
  <c r="BU2678" i="5"/>
  <c r="BU2679" i="5"/>
  <c r="BU2680" i="5"/>
  <c r="BU2681" i="5"/>
  <c r="BU2682" i="5"/>
  <c r="BU2683" i="5"/>
  <c r="BU2684" i="5"/>
  <c r="BU2685" i="5"/>
  <c r="BU2686" i="5"/>
  <c r="BU2687" i="5"/>
  <c r="BU2688" i="5"/>
  <c r="BU2689" i="5"/>
  <c r="BU2690" i="5"/>
  <c r="BU2691" i="5"/>
  <c r="BU2692" i="5"/>
  <c r="BU2693" i="5"/>
  <c r="BU2694" i="5"/>
  <c r="BU2695" i="5"/>
  <c r="BU2696" i="5"/>
  <c r="BU2697" i="5"/>
  <c r="BU2698" i="5"/>
  <c r="BU2699" i="5"/>
  <c r="BU2700" i="5"/>
  <c r="BU2701" i="5"/>
  <c r="BU2702" i="5"/>
  <c r="BU2703" i="5"/>
  <c r="BU2704" i="5"/>
  <c r="BU2705" i="5"/>
  <c r="BU2706" i="5"/>
  <c r="BU2707" i="5"/>
  <c r="BU2708" i="5"/>
  <c r="BU2709" i="5"/>
  <c r="BU2710" i="5"/>
  <c r="BU2711" i="5"/>
  <c r="BU2712" i="5"/>
  <c r="BU2713" i="5"/>
  <c r="BU2714" i="5"/>
  <c r="BU2715" i="5"/>
  <c r="BU2716" i="5"/>
  <c r="BU2717" i="5"/>
  <c r="BU2718" i="5"/>
  <c r="BU2719" i="5"/>
  <c r="BU2720" i="5"/>
  <c r="BU2721" i="5"/>
  <c r="BU2722" i="5"/>
  <c r="BU2723" i="5"/>
  <c r="BU2724" i="5"/>
  <c r="BU2725" i="5"/>
  <c r="BU2726" i="5"/>
  <c r="BU2727" i="5"/>
  <c r="BU2728" i="5"/>
  <c r="BU2729" i="5"/>
  <c r="BU2730" i="5"/>
  <c r="BU2731" i="5"/>
  <c r="BU2732" i="5"/>
  <c r="BU2733" i="5"/>
  <c r="BU2734" i="5"/>
  <c r="BU2735" i="5"/>
  <c r="BU2736" i="5"/>
  <c r="BU2737" i="5"/>
  <c r="BI2519" i="5"/>
  <c r="BI2520" i="5"/>
  <c r="BI2521" i="5"/>
  <c r="BI2522" i="5"/>
  <c r="BI2523" i="5"/>
  <c r="BI2524" i="5"/>
  <c r="BI2525" i="5"/>
  <c r="BI2526" i="5"/>
  <c r="BI2527" i="5"/>
  <c r="BI2528" i="5"/>
  <c r="BI2529" i="5"/>
  <c r="BI2530" i="5"/>
  <c r="BI2531" i="5"/>
  <c r="BI2532" i="5"/>
  <c r="BI2533" i="5"/>
  <c r="BI2534" i="5"/>
  <c r="BI2535" i="5"/>
  <c r="BI2536" i="5"/>
  <c r="BI2537" i="5"/>
  <c r="BI2538" i="5"/>
  <c r="BI2539" i="5"/>
  <c r="BI2540" i="5"/>
  <c r="BI2541" i="5"/>
  <c r="BI2542" i="5"/>
  <c r="BI2543" i="5"/>
  <c r="BI2544" i="5"/>
  <c r="BI2545" i="5"/>
  <c r="BI2546" i="5"/>
  <c r="BI2547" i="5"/>
  <c r="BI2548" i="5"/>
  <c r="BI2549" i="5"/>
  <c r="BI2550" i="5"/>
  <c r="BI2551" i="5"/>
  <c r="BI2552" i="5"/>
  <c r="BI2553" i="5"/>
  <c r="BI2554" i="5"/>
  <c r="BI2555" i="5"/>
  <c r="BI2556" i="5"/>
  <c r="BI2557" i="5"/>
  <c r="BI2558" i="5"/>
  <c r="BI2559" i="5"/>
  <c r="BI2560" i="5"/>
  <c r="BI2561" i="5"/>
  <c r="BI2562" i="5"/>
  <c r="BI2563" i="5"/>
  <c r="BI2564" i="5"/>
  <c r="BI2565" i="5"/>
  <c r="BI2566" i="5"/>
  <c r="BI2567" i="5"/>
  <c r="BI2568" i="5"/>
  <c r="BI2569" i="5"/>
  <c r="BI2570" i="5"/>
  <c r="BI2571" i="5"/>
  <c r="BI2572" i="5"/>
  <c r="BI2573" i="5"/>
  <c r="BI2574" i="5"/>
  <c r="BI2575" i="5"/>
  <c r="BI2576" i="5"/>
  <c r="BI2577" i="5"/>
  <c r="BI2578" i="5"/>
  <c r="BI2579" i="5"/>
  <c r="BI2580" i="5"/>
  <c r="BI2581" i="5"/>
  <c r="BI2582" i="5"/>
  <c r="BI2583" i="5"/>
  <c r="BI2584" i="5"/>
  <c r="BI2585" i="5"/>
  <c r="BI2586" i="5"/>
  <c r="BI2587" i="5"/>
  <c r="BI2588" i="5"/>
  <c r="BI2589" i="5"/>
  <c r="BI2590" i="5"/>
  <c r="BI2591" i="5"/>
  <c r="BI2592" i="5"/>
  <c r="BI2593" i="5"/>
  <c r="BI2594" i="5"/>
  <c r="BI2595" i="5"/>
  <c r="BI2596" i="5"/>
  <c r="BI2597" i="5"/>
  <c r="BI2598" i="5"/>
  <c r="BI2599" i="5"/>
  <c r="BI2600" i="5"/>
  <c r="BI2601" i="5"/>
  <c r="BI2602" i="5"/>
  <c r="BI2603" i="5"/>
  <c r="BI2604" i="5"/>
  <c r="BI2605" i="5"/>
  <c r="BI2606" i="5"/>
  <c r="BI2607" i="5"/>
  <c r="BI2608" i="5"/>
  <c r="BI2609" i="5"/>
  <c r="BI2610" i="5"/>
  <c r="BI2611" i="5"/>
  <c r="BI2612" i="5"/>
  <c r="BI2613" i="5"/>
  <c r="BI2614" i="5"/>
  <c r="BI2615" i="5"/>
  <c r="BI2616" i="5"/>
  <c r="BI2617" i="5"/>
  <c r="BI2618" i="5"/>
  <c r="BI2619" i="5"/>
  <c r="BI2620" i="5"/>
  <c r="BI2621" i="5"/>
  <c r="BI2622" i="5"/>
  <c r="BI2623" i="5"/>
  <c r="BI2624" i="5"/>
  <c r="BI2625" i="5"/>
  <c r="BI2626" i="5"/>
  <c r="BI2627" i="5"/>
  <c r="BI2628" i="5"/>
  <c r="BI2629" i="5"/>
  <c r="BI2630" i="5"/>
  <c r="BI2631" i="5"/>
  <c r="BI2632" i="5"/>
  <c r="BI2633" i="5"/>
  <c r="BI2634" i="5"/>
  <c r="BI2635" i="5"/>
  <c r="BI2636" i="5"/>
  <c r="BI2637" i="5"/>
  <c r="BI2638" i="5"/>
  <c r="BI2639" i="5"/>
  <c r="BI2640" i="5"/>
  <c r="BI2641" i="5"/>
  <c r="BI2642" i="5"/>
  <c r="BI2643" i="5"/>
  <c r="BI2644" i="5"/>
  <c r="BI2645" i="5"/>
  <c r="BI2646" i="5"/>
  <c r="BI2647" i="5"/>
  <c r="BI2648" i="5"/>
  <c r="BI2649" i="5"/>
  <c r="BI2650" i="5"/>
  <c r="BI2651" i="5"/>
  <c r="BI2652" i="5"/>
  <c r="BI2653" i="5"/>
  <c r="BI2654" i="5"/>
  <c r="BI2655" i="5"/>
  <c r="BI2656" i="5"/>
  <c r="BI2657" i="5"/>
  <c r="BI2658" i="5"/>
  <c r="BI2659" i="5"/>
  <c r="BI2660" i="5"/>
  <c r="BI2661" i="5"/>
  <c r="BI2662" i="5"/>
  <c r="BI2663" i="5"/>
  <c r="BI2664" i="5"/>
  <c r="BI2665" i="5"/>
  <c r="BI2666" i="5"/>
  <c r="BI2667" i="5"/>
  <c r="BI2668" i="5"/>
  <c r="BI2669" i="5"/>
  <c r="BI2670" i="5"/>
  <c r="BI2671" i="5"/>
  <c r="BI2672" i="5"/>
  <c r="BI2673" i="5"/>
  <c r="BI2674" i="5"/>
  <c r="BI2675" i="5"/>
  <c r="BI2676" i="5"/>
  <c r="BI2677" i="5"/>
  <c r="BI2678" i="5"/>
  <c r="BI2679" i="5"/>
  <c r="BI2680" i="5"/>
  <c r="BI2681" i="5"/>
  <c r="BI2682" i="5"/>
  <c r="BI2683" i="5"/>
  <c r="BI2684" i="5"/>
  <c r="BI2685" i="5"/>
  <c r="BI2686" i="5"/>
  <c r="BI2687" i="5"/>
  <c r="BI2688" i="5"/>
  <c r="BI2689" i="5"/>
  <c r="BI2690" i="5"/>
  <c r="BI2691" i="5"/>
  <c r="BI2692" i="5"/>
  <c r="BI2693" i="5"/>
  <c r="BI2694" i="5"/>
  <c r="BI2695" i="5"/>
  <c r="BI2696" i="5"/>
  <c r="BI2697" i="5"/>
  <c r="BI2698" i="5"/>
  <c r="BI2699" i="5"/>
  <c r="BI2700" i="5"/>
  <c r="BI2701" i="5"/>
  <c r="BI2702" i="5"/>
  <c r="BI2703" i="5"/>
  <c r="BI2704" i="5"/>
  <c r="BI2705" i="5"/>
  <c r="BI2706" i="5"/>
  <c r="BI2707" i="5"/>
  <c r="BI2708" i="5"/>
  <c r="BI2709" i="5"/>
  <c r="BI2710" i="5"/>
  <c r="BI2711" i="5"/>
  <c r="BI2712" i="5"/>
  <c r="BI2713" i="5"/>
  <c r="BI2714" i="5"/>
  <c r="BI2715" i="5"/>
  <c r="BI2716" i="5"/>
  <c r="BI2717" i="5"/>
  <c r="BI2718" i="5"/>
  <c r="BI2719" i="5"/>
  <c r="BI2720" i="5"/>
  <c r="BI2721" i="5"/>
  <c r="BI2722" i="5"/>
  <c r="BI2723" i="5"/>
  <c r="BI2724" i="5"/>
  <c r="BI2725" i="5"/>
  <c r="BI2726" i="5"/>
  <c r="BI2727" i="5"/>
  <c r="BI2728" i="5"/>
  <c r="BI2729" i="5"/>
  <c r="BI2730" i="5"/>
  <c r="BI2731" i="5"/>
  <c r="BI2732" i="5"/>
  <c r="BI2733" i="5"/>
  <c r="BI2734" i="5"/>
  <c r="BI2735" i="5"/>
  <c r="BI2736" i="5"/>
  <c r="BI2737" i="5"/>
  <c r="BK2" i="5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1" i="5"/>
  <c r="BK212" i="5"/>
  <c r="BK213" i="5"/>
  <c r="BK214" i="5"/>
  <c r="BK215" i="5"/>
  <c r="BK216" i="5"/>
  <c r="BK217" i="5"/>
  <c r="BK218" i="5"/>
  <c r="BK219" i="5"/>
  <c r="BK220" i="5"/>
  <c r="BK221" i="5"/>
  <c r="BK222" i="5"/>
  <c r="BK223" i="5"/>
  <c r="BK224" i="5"/>
  <c r="BK225" i="5"/>
  <c r="BK226" i="5"/>
  <c r="BK227" i="5"/>
  <c r="BK228" i="5"/>
  <c r="BK229" i="5"/>
  <c r="BK230" i="5"/>
  <c r="BK231" i="5"/>
  <c r="BK232" i="5"/>
  <c r="BK233" i="5"/>
  <c r="BK234" i="5"/>
  <c r="BK235" i="5"/>
  <c r="BK236" i="5"/>
  <c r="BK237" i="5"/>
  <c r="BK238" i="5"/>
  <c r="BK239" i="5"/>
  <c r="BK240" i="5"/>
  <c r="BK241" i="5"/>
  <c r="BK242" i="5"/>
  <c r="BK243" i="5"/>
  <c r="BK244" i="5"/>
  <c r="BK245" i="5"/>
  <c r="BK246" i="5"/>
  <c r="BK247" i="5"/>
  <c r="BK248" i="5"/>
  <c r="BK249" i="5"/>
  <c r="BK250" i="5"/>
  <c r="BK251" i="5"/>
  <c r="BK252" i="5"/>
  <c r="BK253" i="5"/>
  <c r="BK254" i="5"/>
  <c r="BK255" i="5"/>
  <c r="BK256" i="5"/>
  <c r="BK257" i="5"/>
  <c r="BK258" i="5"/>
  <c r="BK259" i="5"/>
  <c r="BK260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273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378" i="5"/>
  <c r="BK379" i="5"/>
  <c r="BK380" i="5"/>
  <c r="BK381" i="5"/>
  <c r="BK382" i="5"/>
  <c r="BK383" i="5"/>
  <c r="BK384" i="5"/>
  <c r="BK385" i="5"/>
  <c r="BK386" i="5"/>
  <c r="BK387" i="5"/>
  <c r="BK388" i="5"/>
  <c r="BK389" i="5"/>
  <c r="BK390" i="5"/>
  <c r="BK391" i="5"/>
  <c r="BK392" i="5"/>
  <c r="BK393" i="5"/>
  <c r="BK394" i="5"/>
  <c r="BK395" i="5"/>
  <c r="BK396" i="5"/>
  <c r="BK397" i="5"/>
  <c r="BK398" i="5"/>
  <c r="BK399" i="5"/>
  <c r="BK400" i="5"/>
  <c r="BK401" i="5"/>
  <c r="BK402" i="5"/>
  <c r="BK403" i="5"/>
  <c r="BK404" i="5"/>
  <c r="BK405" i="5"/>
  <c r="BK406" i="5"/>
  <c r="BK407" i="5"/>
  <c r="BK408" i="5"/>
  <c r="BK409" i="5"/>
  <c r="BK410" i="5"/>
  <c r="BK411" i="5"/>
  <c r="BK412" i="5"/>
  <c r="BK413" i="5"/>
  <c r="BK414" i="5"/>
  <c r="BK415" i="5"/>
  <c r="BK416" i="5"/>
  <c r="BK417" i="5"/>
  <c r="BK418" i="5"/>
  <c r="BK419" i="5"/>
  <c r="BK420" i="5"/>
  <c r="BK421" i="5"/>
  <c r="BK422" i="5"/>
  <c r="BK423" i="5"/>
  <c r="BK424" i="5"/>
  <c r="BK425" i="5"/>
  <c r="BK426" i="5"/>
  <c r="BK427" i="5"/>
  <c r="BK428" i="5"/>
  <c r="BK429" i="5"/>
  <c r="BK430" i="5"/>
  <c r="BK431" i="5"/>
  <c r="BK432" i="5"/>
  <c r="BK433" i="5"/>
  <c r="BK434" i="5"/>
  <c r="BK435" i="5"/>
  <c r="BK436" i="5"/>
  <c r="BK437" i="5"/>
  <c r="BK438" i="5"/>
  <c r="BK439" i="5"/>
  <c r="BK440" i="5"/>
  <c r="BK441" i="5"/>
  <c r="BK442" i="5"/>
  <c r="BK443" i="5"/>
  <c r="BK444" i="5"/>
  <c r="BK445" i="5"/>
  <c r="BK446" i="5"/>
  <c r="BK447" i="5"/>
  <c r="BK448" i="5"/>
  <c r="BK449" i="5"/>
  <c r="BK450" i="5"/>
  <c r="BK451" i="5"/>
  <c r="BK452" i="5"/>
  <c r="BK453" i="5"/>
  <c r="BK454" i="5"/>
  <c r="BK455" i="5"/>
  <c r="BK456" i="5"/>
  <c r="BK457" i="5"/>
  <c r="BK458" i="5"/>
  <c r="BK459" i="5"/>
  <c r="BK460" i="5"/>
  <c r="BK461" i="5"/>
  <c r="BK462" i="5"/>
  <c r="BK463" i="5"/>
  <c r="BK464" i="5"/>
  <c r="BK465" i="5"/>
  <c r="BK466" i="5"/>
  <c r="BK467" i="5"/>
  <c r="BK468" i="5"/>
  <c r="BK469" i="5"/>
  <c r="BK470" i="5"/>
  <c r="BK471" i="5"/>
  <c r="BK472" i="5"/>
  <c r="BK473" i="5"/>
  <c r="BK474" i="5"/>
  <c r="BK475" i="5"/>
  <c r="BK476" i="5"/>
  <c r="BK477" i="5"/>
  <c r="BK478" i="5"/>
  <c r="BK479" i="5"/>
  <c r="BK480" i="5"/>
  <c r="BK481" i="5"/>
  <c r="BK482" i="5"/>
  <c r="BK483" i="5"/>
  <c r="BK484" i="5"/>
  <c r="BK485" i="5"/>
  <c r="BK486" i="5"/>
  <c r="BK487" i="5"/>
  <c r="BK488" i="5"/>
  <c r="BK489" i="5"/>
  <c r="BK490" i="5"/>
  <c r="BK491" i="5"/>
  <c r="BK492" i="5"/>
  <c r="BK493" i="5"/>
  <c r="BK494" i="5"/>
  <c r="BK495" i="5"/>
  <c r="BK496" i="5"/>
  <c r="BK497" i="5"/>
  <c r="BK498" i="5"/>
  <c r="BK499" i="5"/>
  <c r="BK500" i="5"/>
  <c r="BK501" i="5"/>
  <c r="BK502" i="5"/>
  <c r="BK503" i="5"/>
  <c r="BK504" i="5"/>
  <c r="BK505" i="5"/>
  <c r="BK506" i="5"/>
  <c r="BK507" i="5"/>
  <c r="BK508" i="5"/>
  <c r="BK509" i="5"/>
  <c r="BK510" i="5"/>
  <c r="BK511" i="5"/>
  <c r="BK512" i="5"/>
  <c r="BK513" i="5"/>
  <c r="BK514" i="5"/>
  <c r="BK515" i="5"/>
  <c r="BK516" i="5"/>
  <c r="BK517" i="5"/>
  <c r="BK518" i="5"/>
  <c r="BK519" i="5"/>
  <c r="BK520" i="5"/>
  <c r="BK521" i="5"/>
  <c r="BK522" i="5"/>
  <c r="BK523" i="5"/>
  <c r="BK524" i="5"/>
  <c r="BK525" i="5"/>
  <c r="BK526" i="5"/>
  <c r="BK527" i="5"/>
  <c r="BK528" i="5"/>
  <c r="BK529" i="5"/>
  <c r="BK530" i="5"/>
  <c r="BK531" i="5"/>
  <c r="BK532" i="5"/>
  <c r="BK533" i="5"/>
  <c r="BK534" i="5"/>
  <c r="BK535" i="5"/>
  <c r="BK536" i="5"/>
  <c r="BK537" i="5"/>
  <c r="BK538" i="5"/>
  <c r="BK539" i="5"/>
  <c r="BK540" i="5"/>
  <c r="BK541" i="5"/>
  <c r="BK542" i="5"/>
  <c r="BK543" i="5"/>
  <c r="BK544" i="5"/>
  <c r="BK545" i="5"/>
  <c r="BK546" i="5"/>
  <c r="BK547" i="5"/>
  <c r="BK548" i="5"/>
  <c r="BK549" i="5"/>
  <c r="BK550" i="5"/>
  <c r="BK551" i="5"/>
  <c r="BK552" i="5"/>
  <c r="BK553" i="5"/>
  <c r="BK554" i="5"/>
  <c r="BK555" i="5"/>
  <c r="BK556" i="5"/>
  <c r="BK557" i="5"/>
  <c r="BK558" i="5"/>
  <c r="BK559" i="5"/>
  <c r="BK560" i="5"/>
  <c r="BK561" i="5"/>
  <c r="BK562" i="5"/>
  <c r="BK563" i="5"/>
  <c r="BK564" i="5"/>
  <c r="BK565" i="5"/>
  <c r="BK566" i="5"/>
  <c r="BK567" i="5"/>
  <c r="BK568" i="5"/>
  <c r="BK569" i="5"/>
  <c r="BK570" i="5"/>
  <c r="BK571" i="5"/>
  <c r="BK572" i="5"/>
  <c r="BK573" i="5"/>
  <c r="BK574" i="5"/>
  <c r="BK575" i="5"/>
  <c r="BK576" i="5"/>
  <c r="BK577" i="5"/>
  <c r="BK578" i="5"/>
  <c r="BK579" i="5"/>
  <c r="BK580" i="5"/>
  <c r="BK581" i="5"/>
  <c r="BK582" i="5"/>
  <c r="BK583" i="5"/>
  <c r="BK584" i="5"/>
  <c r="BK585" i="5"/>
  <c r="BK586" i="5"/>
  <c r="BK587" i="5"/>
  <c r="BK588" i="5"/>
  <c r="BK589" i="5"/>
  <c r="BK590" i="5"/>
  <c r="BK591" i="5"/>
  <c r="BK592" i="5"/>
  <c r="BK593" i="5"/>
  <c r="BK594" i="5"/>
  <c r="BK595" i="5"/>
  <c r="BK596" i="5"/>
  <c r="BK597" i="5"/>
  <c r="BK598" i="5"/>
  <c r="BK599" i="5"/>
  <c r="BK600" i="5"/>
  <c r="BK601" i="5"/>
  <c r="BK602" i="5"/>
  <c r="BK603" i="5"/>
  <c r="BK604" i="5"/>
  <c r="BK605" i="5"/>
  <c r="BK606" i="5"/>
  <c r="BK607" i="5"/>
  <c r="BK608" i="5"/>
  <c r="BK609" i="5"/>
  <c r="BK610" i="5"/>
  <c r="BK611" i="5"/>
  <c r="BK612" i="5"/>
  <c r="BK613" i="5"/>
  <c r="BK614" i="5"/>
  <c r="BK615" i="5"/>
  <c r="BK616" i="5"/>
  <c r="BK617" i="5"/>
  <c r="BK618" i="5"/>
  <c r="BK619" i="5"/>
  <c r="BK620" i="5"/>
  <c r="BK621" i="5"/>
  <c r="BK622" i="5"/>
  <c r="BK623" i="5"/>
  <c r="BK624" i="5"/>
  <c r="BK625" i="5"/>
  <c r="BK626" i="5"/>
  <c r="BK627" i="5"/>
  <c r="BK628" i="5"/>
  <c r="BK629" i="5"/>
  <c r="BK630" i="5"/>
  <c r="BK631" i="5"/>
  <c r="BK632" i="5"/>
  <c r="BK633" i="5"/>
  <c r="BK634" i="5"/>
  <c r="BK635" i="5"/>
  <c r="BK636" i="5"/>
  <c r="BK637" i="5"/>
  <c r="BK638" i="5"/>
  <c r="BK639" i="5"/>
  <c r="BK640" i="5"/>
  <c r="BK641" i="5"/>
  <c r="BK642" i="5"/>
  <c r="BK643" i="5"/>
  <c r="BK644" i="5"/>
  <c r="BK645" i="5"/>
  <c r="BK646" i="5"/>
  <c r="BK647" i="5"/>
  <c r="BK648" i="5"/>
  <c r="BK649" i="5"/>
  <c r="BK650" i="5"/>
  <c r="BK651" i="5"/>
  <c r="BK652" i="5"/>
  <c r="BK653" i="5"/>
  <c r="BK654" i="5"/>
  <c r="BK655" i="5"/>
  <c r="BK656" i="5"/>
  <c r="BK657" i="5"/>
  <c r="BK658" i="5"/>
  <c r="BK659" i="5"/>
  <c r="BK660" i="5"/>
  <c r="BK661" i="5"/>
  <c r="BK662" i="5"/>
  <c r="BK663" i="5"/>
  <c r="BK664" i="5"/>
  <c r="BK665" i="5"/>
  <c r="BK666" i="5"/>
  <c r="BK667" i="5"/>
  <c r="BK668" i="5"/>
  <c r="BK669" i="5"/>
  <c r="BK670" i="5"/>
  <c r="BK671" i="5"/>
  <c r="BK672" i="5"/>
  <c r="BK673" i="5"/>
  <c r="BK674" i="5"/>
  <c r="BK675" i="5"/>
  <c r="BK676" i="5"/>
  <c r="BK677" i="5"/>
  <c r="BK678" i="5"/>
  <c r="BK679" i="5"/>
  <c r="BK680" i="5"/>
  <c r="BK681" i="5"/>
  <c r="BK682" i="5"/>
  <c r="BK683" i="5"/>
  <c r="BK684" i="5"/>
  <c r="BK685" i="5"/>
  <c r="BK686" i="5"/>
  <c r="BK687" i="5"/>
  <c r="BK688" i="5"/>
  <c r="BK689" i="5"/>
  <c r="BK690" i="5"/>
  <c r="BK691" i="5"/>
  <c r="BK692" i="5"/>
  <c r="BK693" i="5"/>
  <c r="BK694" i="5"/>
  <c r="BK695" i="5"/>
  <c r="BK696" i="5"/>
  <c r="BK697" i="5"/>
  <c r="BK698" i="5"/>
  <c r="BK699" i="5"/>
  <c r="BK700" i="5"/>
  <c r="BK701" i="5"/>
  <c r="BK702" i="5"/>
  <c r="BK703" i="5"/>
  <c r="BK704" i="5"/>
  <c r="BK705" i="5"/>
  <c r="BK706" i="5"/>
  <c r="BK707" i="5"/>
  <c r="BK708" i="5"/>
  <c r="BK709" i="5"/>
  <c r="BK710" i="5"/>
  <c r="BK711" i="5"/>
  <c r="BK712" i="5"/>
  <c r="BK713" i="5"/>
  <c r="BK714" i="5"/>
  <c r="BK715" i="5"/>
  <c r="BK716" i="5"/>
  <c r="BK717" i="5"/>
  <c r="BK718" i="5"/>
  <c r="BK719" i="5"/>
  <c r="BK720" i="5"/>
  <c r="BK721" i="5"/>
  <c r="BK722" i="5"/>
  <c r="BK723" i="5"/>
  <c r="BK724" i="5"/>
  <c r="BK725" i="5"/>
  <c r="BK726" i="5"/>
  <c r="BK727" i="5"/>
  <c r="BK728" i="5"/>
  <c r="BK729" i="5"/>
  <c r="BK730" i="5"/>
  <c r="BK731" i="5"/>
  <c r="BK732" i="5"/>
  <c r="BK733" i="5"/>
  <c r="BK734" i="5"/>
  <c r="BK735" i="5"/>
  <c r="BK736" i="5"/>
  <c r="BK737" i="5"/>
  <c r="BK738" i="5"/>
  <c r="BK739" i="5"/>
  <c r="BK740" i="5"/>
  <c r="BK741" i="5"/>
  <c r="BK742" i="5"/>
  <c r="BK743" i="5"/>
  <c r="BK744" i="5"/>
  <c r="BK745" i="5"/>
  <c r="BK746" i="5"/>
  <c r="BK747" i="5"/>
  <c r="BK748" i="5"/>
  <c r="BK749" i="5"/>
  <c r="BK750" i="5"/>
  <c r="BK751" i="5"/>
  <c r="BK752" i="5"/>
  <c r="BK753" i="5"/>
  <c r="BK754" i="5"/>
  <c r="BK755" i="5"/>
  <c r="BK756" i="5"/>
  <c r="BK757" i="5"/>
  <c r="BK758" i="5"/>
  <c r="BK759" i="5"/>
  <c r="BK760" i="5"/>
  <c r="BK761" i="5"/>
  <c r="BK762" i="5"/>
  <c r="BK763" i="5"/>
  <c r="BK764" i="5"/>
  <c r="BK765" i="5"/>
  <c r="BK766" i="5"/>
  <c r="BK767" i="5"/>
  <c r="BK768" i="5"/>
  <c r="BK769" i="5"/>
  <c r="BK770" i="5"/>
  <c r="BK771" i="5"/>
  <c r="BK772" i="5"/>
  <c r="BK773" i="5"/>
  <c r="BK774" i="5"/>
  <c r="BK775" i="5"/>
  <c r="BK776" i="5"/>
  <c r="BK777" i="5"/>
  <c r="BK778" i="5"/>
  <c r="BK779" i="5"/>
  <c r="BK780" i="5"/>
  <c r="BK781" i="5"/>
  <c r="BK782" i="5"/>
  <c r="BK783" i="5"/>
  <c r="BK784" i="5"/>
  <c r="BK785" i="5"/>
  <c r="BK786" i="5"/>
  <c r="BK787" i="5"/>
  <c r="BK788" i="5"/>
  <c r="BK789" i="5"/>
  <c r="BK790" i="5"/>
  <c r="BK791" i="5"/>
  <c r="BK792" i="5"/>
  <c r="BK793" i="5"/>
  <c r="BK794" i="5"/>
  <c r="BK795" i="5"/>
  <c r="BK796" i="5"/>
  <c r="BK797" i="5"/>
  <c r="BK798" i="5"/>
  <c r="BK799" i="5"/>
  <c r="BK800" i="5"/>
  <c r="BK801" i="5"/>
  <c r="BK802" i="5"/>
  <c r="BK803" i="5"/>
  <c r="BK804" i="5"/>
  <c r="BK805" i="5"/>
  <c r="BK806" i="5"/>
  <c r="BK807" i="5"/>
  <c r="BK808" i="5"/>
  <c r="BK809" i="5"/>
  <c r="BK810" i="5"/>
  <c r="BK811" i="5"/>
  <c r="BK812" i="5"/>
  <c r="BK813" i="5"/>
  <c r="BK814" i="5"/>
  <c r="BK815" i="5"/>
  <c r="BK816" i="5"/>
  <c r="BK817" i="5"/>
  <c r="BK818" i="5"/>
  <c r="BK819" i="5"/>
  <c r="BK820" i="5"/>
  <c r="BK821" i="5"/>
  <c r="BK822" i="5"/>
  <c r="BK823" i="5"/>
  <c r="BK824" i="5"/>
  <c r="BK825" i="5"/>
  <c r="BK826" i="5"/>
  <c r="BK827" i="5"/>
  <c r="BK828" i="5"/>
  <c r="BK829" i="5"/>
  <c r="BK830" i="5"/>
  <c r="BK831" i="5"/>
  <c r="BK832" i="5"/>
  <c r="BK833" i="5"/>
  <c r="BK834" i="5"/>
  <c r="BK835" i="5"/>
  <c r="BK836" i="5"/>
  <c r="BK837" i="5"/>
  <c r="BK838" i="5"/>
  <c r="BK839" i="5"/>
  <c r="BK840" i="5"/>
  <c r="BK841" i="5"/>
  <c r="BK842" i="5"/>
  <c r="BK843" i="5"/>
  <c r="BK844" i="5"/>
  <c r="BK845" i="5"/>
  <c r="BK846" i="5"/>
  <c r="BK847" i="5"/>
  <c r="BK848" i="5"/>
  <c r="BK849" i="5"/>
  <c r="BK850" i="5"/>
  <c r="BK851" i="5"/>
  <c r="BK852" i="5"/>
  <c r="BK853" i="5"/>
  <c r="BK854" i="5"/>
  <c r="BK855" i="5"/>
  <c r="BK856" i="5"/>
  <c r="BK857" i="5"/>
  <c r="BK858" i="5"/>
  <c r="BK859" i="5"/>
  <c r="BK860" i="5"/>
  <c r="BK861" i="5"/>
  <c r="BK862" i="5"/>
  <c r="BK863" i="5"/>
  <c r="BK864" i="5"/>
  <c r="BK865" i="5"/>
  <c r="BK866" i="5"/>
  <c r="BK867" i="5"/>
  <c r="BK868" i="5"/>
  <c r="BK869" i="5"/>
  <c r="BK870" i="5"/>
  <c r="BK871" i="5"/>
  <c r="BK872" i="5"/>
  <c r="BK873" i="5"/>
  <c r="BK874" i="5"/>
  <c r="BK875" i="5"/>
  <c r="BK876" i="5"/>
  <c r="BK877" i="5"/>
  <c r="BK878" i="5"/>
  <c r="BK879" i="5"/>
  <c r="BK880" i="5"/>
  <c r="BK881" i="5"/>
  <c r="BK882" i="5"/>
  <c r="BK883" i="5"/>
  <c r="BK884" i="5"/>
  <c r="BK885" i="5"/>
  <c r="BK886" i="5"/>
  <c r="BK887" i="5"/>
  <c r="BK888" i="5"/>
  <c r="BK889" i="5"/>
  <c r="BK890" i="5"/>
  <c r="BK891" i="5"/>
  <c r="BK892" i="5"/>
  <c r="BK893" i="5"/>
  <c r="BK894" i="5"/>
  <c r="BK895" i="5"/>
  <c r="BK896" i="5"/>
  <c r="BK897" i="5"/>
  <c r="BK898" i="5"/>
  <c r="BK899" i="5"/>
  <c r="BK900" i="5"/>
  <c r="BK901" i="5"/>
  <c r="BK902" i="5"/>
  <c r="BK903" i="5"/>
  <c r="BK904" i="5"/>
  <c r="BK905" i="5"/>
  <c r="BK906" i="5"/>
  <c r="BK907" i="5"/>
  <c r="BK908" i="5"/>
  <c r="BK909" i="5"/>
  <c r="BK910" i="5"/>
  <c r="BK911" i="5"/>
  <c r="BK912" i="5"/>
  <c r="BK913" i="5"/>
  <c r="BK914" i="5"/>
  <c r="BK915" i="5"/>
  <c r="BK916" i="5"/>
  <c r="BK917" i="5"/>
  <c r="BK918" i="5"/>
  <c r="BK919" i="5"/>
  <c r="BK920" i="5"/>
  <c r="BK921" i="5"/>
  <c r="BK922" i="5"/>
  <c r="BK923" i="5"/>
  <c r="BK924" i="5"/>
  <c r="BK925" i="5"/>
  <c r="BK926" i="5"/>
  <c r="BK927" i="5"/>
  <c r="BK928" i="5"/>
  <c r="BK929" i="5"/>
  <c r="BK930" i="5"/>
  <c r="BK931" i="5"/>
  <c r="BK932" i="5"/>
  <c r="BK933" i="5"/>
  <c r="BK934" i="5"/>
  <c r="BK935" i="5"/>
  <c r="BK936" i="5"/>
  <c r="BK937" i="5"/>
  <c r="BK938" i="5"/>
  <c r="BK939" i="5"/>
  <c r="BK940" i="5"/>
  <c r="BK941" i="5"/>
  <c r="BK942" i="5"/>
  <c r="BK943" i="5"/>
  <c r="BK944" i="5"/>
  <c r="BK945" i="5"/>
  <c r="BK946" i="5"/>
  <c r="BK947" i="5"/>
  <c r="BK948" i="5"/>
  <c r="BK949" i="5"/>
  <c r="BK950" i="5"/>
  <c r="BK951" i="5"/>
  <c r="BK952" i="5"/>
  <c r="BK953" i="5"/>
  <c r="BK954" i="5"/>
  <c r="BK955" i="5"/>
  <c r="BK956" i="5"/>
  <c r="BK957" i="5"/>
  <c r="BK958" i="5"/>
  <c r="BK959" i="5"/>
  <c r="BK960" i="5"/>
  <c r="BK961" i="5"/>
  <c r="BK962" i="5"/>
  <c r="BK963" i="5"/>
  <c r="BK964" i="5"/>
  <c r="BK965" i="5"/>
  <c r="BK966" i="5"/>
  <c r="BK967" i="5"/>
  <c r="BK968" i="5"/>
  <c r="BK969" i="5"/>
  <c r="BK970" i="5"/>
  <c r="BK971" i="5"/>
  <c r="BK972" i="5"/>
  <c r="BK973" i="5"/>
  <c r="BK974" i="5"/>
  <c r="BK975" i="5"/>
  <c r="BK976" i="5"/>
  <c r="BK977" i="5"/>
  <c r="BK978" i="5"/>
  <c r="BK979" i="5"/>
  <c r="BK980" i="5"/>
  <c r="BK981" i="5"/>
  <c r="BK982" i="5"/>
  <c r="BK983" i="5"/>
  <c r="BK984" i="5"/>
  <c r="BK985" i="5"/>
  <c r="BK986" i="5"/>
  <c r="BK987" i="5"/>
  <c r="BK988" i="5"/>
  <c r="BK989" i="5"/>
  <c r="BK990" i="5"/>
  <c r="BK991" i="5"/>
  <c r="BK992" i="5"/>
  <c r="BK993" i="5"/>
  <c r="BK994" i="5"/>
  <c r="BK995" i="5"/>
  <c r="BK996" i="5"/>
  <c r="BK997" i="5"/>
  <c r="BK998" i="5"/>
  <c r="BK999" i="5"/>
  <c r="BK1000" i="5"/>
  <c r="BK1001" i="5"/>
  <c r="BK1002" i="5"/>
  <c r="BK1003" i="5"/>
  <c r="BK1004" i="5"/>
  <c r="BK1005" i="5"/>
  <c r="BK1006" i="5"/>
  <c r="BK1007" i="5"/>
  <c r="BK1008" i="5"/>
  <c r="BK1009" i="5"/>
  <c r="BK1010" i="5"/>
  <c r="BK1011" i="5"/>
  <c r="BK1012" i="5"/>
  <c r="BK1013" i="5"/>
  <c r="BK1014" i="5"/>
  <c r="BK1015" i="5"/>
  <c r="BK1016" i="5"/>
  <c r="BK1017" i="5"/>
  <c r="BK1018" i="5"/>
  <c r="BK1019" i="5"/>
  <c r="BK1020" i="5"/>
  <c r="BK1021" i="5"/>
  <c r="BK1022" i="5"/>
  <c r="BK1023" i="5"/>
  <c r="BK1024" i="5"/>
  <c r="BK1025" i="5"/>
  <c r="BK1026" i="5"/>
  <c r="BK1027" i="5"/>
  <c r="BK1028" i="5"/>
  <c r="BK1029" i="5"/>
  <c r="BK1030" i="5"/>
  <c r="BK1031" i="5"/>
  <c r="BK1032" i="5"/>
  <c r="BK1033" i="5"/>
  <c r="BK1034" i="5"/>
  <c r="BK1035" i="5"/>
  <c r="BK1036" i="5"/>
  <c r="BK1037" i="5"/>
  <c r="BK1038" i="5"/>
  <c r="BK1039" i="5"/>
  <c r="BK1040" i="5"/>
  <c r="BK1041" i="5"/>
  <c r="BK1042" i="5"/>
  <c r="BK1043" i="5"/>
  <c r="BK1044" i="5"/>
  <c r="BK1045" i="5"/>
  <c r="BK1046" i="5"/>
  <c r="BK1047" i="5"/>
  <c r="BK1048" i="5"/>
  <c r="BK1049" i="5"/>
  <c r="BK1050" i="5"/>
  <c r="BK1051" i="5"/>
  <c r="BK1052" i="5"/>
  <c r="BK1053" i="5"/>
  <c r="BK1054" i="5"/>
  <c r="BK1055" i="5"/>
  <c r="BK1056" i="5"/>
  <c r="BK1057" i="5"/>
  <c r="BK1058" i="5"/>
  <c r="BK1059" i="5"/>
  <c r="BK1060" i="5"/>
  <c r="BK1061" i="5"/>
  <c r="BK1062" i="5"/>
  <c r="BK1063" i="5"/>
  <c r="BK1064" i="5"/>
  <c r="BK1065" i="5"/>
  <c r="BK1066" i="5"/>
  <c r="BK1067" i="5"/>
  <c r="BK1068" i="5"/>
  <c r="BK1069" i="5"/>
  <c r="BK1070" i="5"/>
  <c r="BK1071" i="5"/>
  <c r="BK1072" i="5"/>
  <c r="BK1073" i="5"/>
  <c r="BK1074" i="5"/>
  <c r="BK1075" i="5"/>
  <c r="BK1076" i="5"/>
  <c r="BK1077" i="5"/>
  <c r="BK1078" i="5"/>
  <c r="BK1079" i="5"/>
  <c r="BK1080" i="5"/>
  <c r="BK1081" i="5"/>
  <c r="BK1082" i="5"/>
  <c r="BK1083" i="5"/>
  <c r="BK1084" i="5"/>
  <c r="BK1085" i="5"/>
  <c r="BK1086" i="5"/>
  <c r="BK1087" i="5"/>
  <c r="BK1088" i="5"/>
  <c r="BK1089" i="5"/>
  <c r="BK1090" i="5"/>
  <c r="BK1091" i="5"/>
  <c r="BK1092" i="5"/>
  <c r="BK1093" i="5"/>
  <c r="BK1094" i="5"/>
  <c r="BK1095" i="5"/>
  <c r="BK1096" i="5"/>
  <c r="BK1097" i="5"/>
  <c r="BK1098" i="5"/>
  <c r="BK1099" i="5"/>
  <c r="BK1100" i="5"/>
  <c r="BK1101" i="5"/>
  <c r="BK1102" i="5"/>
  <c r="BK1103" i="5"/>
  <c r="BK1104" i="5"/>
  <c r="BK1105" i="5"/>
  <c r="BK1106" i="5"/>
  <c r="BK1107" i="5"/>
  <c r="BK1108" i="5"/>
  <c r="BK1109" i="5"/>
  <c r="BK1110" i="5"/>
  <c r="BK1111" i="5"/>
  <c r="BK1112" i="5"/>
  <c r="BK1113" i="5"/>
  <c r="BK1114" i="5"/>
  <c r="BK1115" i="5"/>
  <c r="BK1116" i="5"/>
  <c r="BK1117" i="5"/>
  <c r="BK1118" i="5"/>
  <c r="BK1119" i="5"/>
  <c r="BK1120" i="5"/>
  <c r="BK1121" i="5"/>
  <c r="BK1122" i="5"/>
  <c r="BK1123" i="5"/>
  <c r="BK1124" i="5"/>
  <c r="BK1125" i="5"/>
  <c r="BK1126" i="5"/>
  <c r="BK1127" i="5"/>
  <c r="BK1128" i="5"/>
  <c r="BK1129" i="5"/>
  <c r="BK1130" i="5"/>
  <c r="BK1131" i="5"/>
  <c r="BK1132" i="5"/>
  <c r="BK1133" i="5"/>
  <c r="BK1134" i="5"/>
  <c r="BK1135" i="5"/>
  <c r="BK1136" i="5"/>
  <c r="BK1137" i="5"/>
  <c r="BK1138" i="5"/>
  <c r="BK1139" i="5"/>
  <c r="BK1140" i="5"/>
  <c r="BK1141" i="5"/>
  <c r="BK1142" i="5"/>
  <c r="BK1143" i="5"/>
  <c r="BK1144" i="5"/>
  <c r="BK1145" i="5"/>
  <c r="BK1146" i="5"/>
  <c r="BK1147" i="5"/>
  <c r="BK1148" i="5"/>
  <c r="BK1149" i="5"/>
  <c r="BK1150" i="5"/>
  <c r="BK1151" i="5"/>
  <c r="BK1152" i="5"/>
  <c r="BK1153" i="5"/>
  <c r="BK1154" i="5"/>
  <c r="BK1155" i="5"/>
  <c r="BK1156" i="5"/>
  <c r="BK1157" i="5"/>
  <c r="BK1158" i="5"/>
  <c r="BK1159" i="5"/>
  <c r="BK1160" i="5"/>
  <c r="BK1161" i="5"/>
  <c r="BK1162" i="5"/>
  <c r="BK1163" i="5"/>
  <c r="BK1164" i="5"/>
  <c r="BK1165" i="5"/>
  <c r="BK1166" i="5"/>
  <c r="BK1167" i="5"/>
  <c r="BK1168" i="5"/>
  <c r="BK1169" i="5"/>
  <c r="BK1170" i="5"/>
  <c r="BK1171" i="5"/>
  <c r="BK1172" i="5"/>
  <c r="BK1173" i="5"/>
  <c r="BK1174" i="5"/>
  <c r="BK1175" i="5"/>
  <c r="BK1176" i="5"/>
  <c r="BK1177" i="5"/>
  <c r="BK1178" i="5"/>
  <c r="BK1179" i="5"/>
  <c r="BK1180" i="5"/>
  <c r="BK1181" i="5"/>
  <c r="BK1182" i="5"/>
  <c r="BK1183" i="5"/>
  <c r="BK1184" i="5"/>
  <c r="BK1185" i="5"/>
  <c r="BK1186" i="5"/>
  <c r="BK1187" i="5"/>
  <c r="BK1188" i="5"/>
  <c r="BK1189" i="5"/>
  <c r="BK1190" i="5"/>
  <c r="BK1191" i="5"/>
  <c r="BK1192" i="5"/>
  <c r="BK1193" i="5"/>
  <c r="BK1194" i="5"/>
  <c r="BK1195" i="5"/>
  <c r="BK1196" i="5"/>
  <c r="BK1197" i="5"/>
  <c r="BK1198" i="5"/>
  <c r="BK1199" i="5"/>
  <c r="BK1200" i="5"/>
  <c r="BK1201" i="5"/>
  <c r="BK1202" i="5"/>
  <c r="BK1203" i="5"/>
  <c r="BK1204" i="5"/>
  <c r="BK1205" i="5"/>
  <c r="BK1206" i="5"/>
  <c r="BK1207" i="5"/>
  <c r="BK1208" i="5"/>
  <c r="BK1209" i="5"/>
  <c r="BK1210" i="5"/>
  <c r="BK1211" i="5"/>
  <c r="BK1212" i="5"/>
  <c r="BK1213" i="5"/>
  <c r="BK1214" i="5"/>
  <c r="BK1215" i="5"/>
  <c r="BK1216" i="5"/>
  <c r="BK1217" i="5"/>
  <c r="BK1218" i="5"/>
  <c r="BK1219" i="5"/>
  <c r="BK1220" i="5"/>
  <c r="BK1221" i="5"/>
  <c r="BK1222" i="5"/>
  <c r="BK1223" i="5"/>
  <c r="BK1224" i="5"/>
  <c r="BK1225" i="5"/>
  <c r="BK1226" i="5"/>
  <c r="BK1227" i="5"/>
  <c r="BK1228" i="5"/>
  <c r="BK1229" i="5"/>
  <c r="BK1230" i="5"/>
  <c r="BK1231" i="5"/>
  <c r="BK1232" i="5"/>
  <c r="BK1233" i="5"/>
  <c r="BK1234" i="5"/>
  <c r="BK1235" i="5"/>
  <c r="BK1236" i="5"/>
  <c r="BK1237" i="5"/>
  <c r="BK1238" i="5"/>
  <c r="BK1239" i="5"/>
  <c r="BK1240" i="5"/>
  <c r="BK1241" i="5"/>
  <c r="BK1242" i="5"/>
  <c r="BK1243" i="5"/>
  <c r="BK1244" i="5"/>
  <c r="BK1245" i="5"/>
  <c r="BK1246" i="5"/>
  <c r="BK1247" i="5"/>
  <c r="BK1248" i="5"/>
  <c r="BK1249" i="5"/>
  <c r="BK1250" i="5"/>
  <c r="BK1251" i="5"/>
  <c r="BK1252" i="5"/>
  <c r="BK1253" i="5"/>
  <c r="BK1254" i="5"/>
  <c r="BK1255" i="5"/>
  <c r="BK1256" i="5"/>
  <c r="BK1257" i="5"/>
  <c r="BK1258" i="5"/>
  <c r="BK1259" i="5"/>
  <c r="BK1260" i="5"/>
  <c r="BK1261" i="5"/>
  <c r="BK1262" i="5"/>
  <c r="BK1263" i="5"/>
  <c r="BK1264" i="5"/>
  <c r="BK1265" i="5"/>
  <c r="BK1266" i="5"/>
  <c r="BK1267" i="5"/>
  <c r="BK1268" i="5"/>
  <c r="BK1269" i="5"/>
  <c r="BK1270" i="5"/>
  <c r="BK1271" i="5"/>
  <c r="BK1272" i="5"/>
  <c r="BK1273" i="5"/>
  <c r="BK1274" i="5"/>
  <c r="BK1275" i="5"/>
  <c r="BK1276" i="5"/>
  <c r="BK1277" i="5"/>
  <c r="BK1278" i="5"/>
  <c r="BK1279" i="5"/>
  <c r="BK1280" i="5"/>
  <c r="BK1281" i="5"/>
  <c r="BK1282" i="5"/>
  <c r="BK1283" i="5"/>
  <c r="BK1284" i="5"/>
  <c r="BK1285" i="5"/>
  <c r="BK1286" i="5"/>
  <c r="BK1287" i="5"/>
  <c r="BK1288" i="5"/>
  <c r="BK1289" i="5"/>
  <c r="BK1290" i="5"/>
  <c r="BK1291" i="5"/>
  <c r="BK1292" i="5"/>
  <c r="BK1293" i="5"/>
  <c r="BK1294" i="5"/>
  <c r="BK1295" i="5"/>
  <c r="BK1296" i="5"/>
  <c r="BK1297" i="5"/>
  <c r="BK1298" i="5"/>
  <c r="BK1299" i="5"/>
  <c r="BK1300" i="5"/>
  <c r="BK1301" i="5"/>
  <c r="BK1302" i="5"/>
  <c r="BK1303" i="5"/>
  <c r="BK1304" i="5"/>
  <c r="BK1305" i="5"/>
  <c r="BK1306" i="5"/>
  <c r="BK1307" i="5"/>
  <c r="BK1308" i="5"/>
  <c r="BK1309" i="5"/>
  <c r="BK1310" i="5"/>
  <c r="BK1311" i="5"/>
  <c r="BK1312" i="5"/>
  <c r="BK1313" i="5"/>
  <c r="BK1314" i="5"/>
  <c r="BK1315" i="5"/>
  <c r="BK1316" i="5"/>
  <c r="BK1317" i="5"/>
  <c r="BK1318" i="5"/>
  <c r="BK1319" i="5"/>
  <c r="BK1320" i="5"/>
  <c r="BK1321" i="5"/>
  <c r="BK1322" i="5"/>
  <c r="BK1323" i="5"/>
  <c r="BK1324" i="5"/>
  <c r="BK1325" i="5"/>
  <c r="BK1326" i="5"/>
  <c r="BK1327" i="5"/>
  <c r="BK1328" i="5"/>
  <c r="BK1329" i="5"/>
  <c r="BK1330" i="5"/>
  <c r="BK1331" i="5"/>
  <c r="BK1332" i="5"/>
  <c r="BK1333" i="5"/>
  <c r="BK1334" i="5"/>
  <c r="BK1335" i="5"/>
  <c r="BK1336" i="5"/>
  <c r="BK1337" i="5"/>
  <c r="BK1338" i="5"/>
  <c r="BK1339" i="5"/>
  <c r="BK1340" i="5"/>
  <c r="BK1341" i="5"/>
  <c r="BK1342" i="5"/>
  <c r="BK1343" i="5"/>
  <c r="BK1344" i="5"/>
  <c r="BK1345" i="5"/>
  <c r="BK1346" i="5"/>
  <c r="BK1347" i="5"/>
  <c r="BK1348" i="5"/>
  <c r="BK1349" i="5"/>
  <c r="BK1350" i="5"/>
  <c r="BK1351" i="5"/>
  <c r="BK1352" i="5"/>
  <c r="BK1353" i="5"/>
  <c r="BK1354" i="5"/>
  <c r="BK1355" i="5"/>
  <c r="BK1356" i="5"/>
  <c r="BK1357" i="5"/>
  <c r="BK1358" i="5"/>
  <c r="BK1359" i="5"/>
  <c r="BK1360" i="5"/>
  <c r="BK1361" i="5"/>
  <c r="BK1362" i="5"/>
  <c r="BK1363" i="5"/>
  <c r="BK1364" i="5"/>
  <c r="BK1365" i="5"/>
  <c r="BK1366" i="5"/>
  <c r="BK1367" i="5"/>
  <c r="BK1368" i="5"/>
  <c r="BK1369" i="5"/>
  <c r="BK1370" i="5"/>
  <c r="BK1371" i="5"/>
  <c r="BK1372" i="5"/>
  <c r="BK1373" i="5"/>
  <c r="BK1374" i="5"/>
  <c r="BK1375" i="5"/>
  <c r="BK1376" i="5"/>
  <c r="BK1377" i="5"/>
  <c r="BK1378" i="5"/>
  <c r="BK1379" i="5"/>
  <c r="BK1380" i="5"/>
  <c r="BK1381" i="5"/>
  <c r="BK1382" i="5"/>
  <c r="BK1383" i="5"/>
  <c r="BK1384" i="5"/>
  <c r="BK1385" i="5"/>
  <c r="BK1386" i="5"/>
  <c r="BK1387" i="5"/>
  <c r="BK1388" i="5"/>
  <c r="BK1389" i="5"/>
  <c r="BK1390" i="5"/>
  <c r="BK1391" i="5"/>
  <c r="BK1392" i="5"/>
  <c r="BK1393" i="5"/>
  <c r="BK1394" i="5"/>
  <c r="BK1395" i="5"/>
  <c r="BK1396" i="5"/>
  <c r="BK1397" i="5"/>
  <c r="BK1398" i="5"/>
  <c r="BK1399" i="5"/>
  <c r="BK1400" i="5"/>
  <c r="BK1401" i="5"/>
  <c r="BK1402" i="5"/>
  <c r="BK1403" i="5"/>
  <c r="BK1404" i="5"/>
  <c r="BK1405" i="5"/>
  <c r="BK1406" i="5"/>
  <c r="BK1407" i="5"/>
  <c r="BK1408" i="5"/>
  <c r="BK1409" i="5"/>
  <c r="BK1410" i="5"/>
  <c r="BK1411" i="5"/>
  <c r="BK1412" i="5"/>
  <c r="BK1413" i="5"/>
  <c r="BK1414" i="5"/>
  <c r="BK1415" i="5"/>
  <c r="BK1416" i="5"/>
  <c r="BK1417" i="5"/>
  <c r="BK1418" i="5"/>
  <c r="BK1419" i="5"/>
  <c r="BK1420" i="5"/>
  <c r="BK1421" i="5"/>
  <c r="BK1422" i="5"/>
  <c r="BK1423" i="5"/>
  <c r="BK1424" i="5"/>
  <c r="BK1425" i="5"/>
  <c r="BK1426" i="5"/>
  <c r="BK1427" i="5"/>
  <c r="BK1428" i="5"/>
  <c r="BK1429" i="5"/>
  <c r="BK1430" i="5"/>
  <c r="BK1431" i="5"/>
  <c r="BK1432" i="5"/>
  <c r="BK1433" i="5"/>
  <c r="BK1434" i="5"/>
  <c r="BK1435" i="5"/>
  <c r="BK1436" i="5"/>
  <c r="BK1437" i="5"/>
  <c r="BK1438" i="5"/>
  <c r="BK1439" i="5"/>
  <c r="BK1440" i="5"/>
  <c r="BK1441" i="5"/>
  <c r="BK1442" i="5"/>
  <c r="BK1443" i="5"/>
  <c r="BK1444" i="5"/>
  <c r="BK1445" i="5"/>
  <c r="BK1446" i="5"/>
  <c r="BK1447" i="5"/>
  <c r="BK1448" i="5"/>
  <c r="BK1449" i="5"/>
  <c r="BK1450" i="5"/>
  <c r="BK1451" i="5"/>
  <c r="BK1452" i="5"/>
  <c r="BK1453" i="5"/>
  <c r="BK1454" i="5"/>
  <c r="BK1455" i="5"/>
  <c r="BK1456" i="5"/>
  <c r="BK1457" i="5"/>
  <c r="BK1458" i="5"/>
  <c r="BK1459" i="5"/>
  <c r="BK1460" i="5"/>
  <c r="BK1461" i="5"/>
  <c r="BK1462" i="5"/>
  <c r="BK1463" i="5"/>
  <c r="BK1464" i="5"/>
  <c r="BK1465" i="5"/>
  <c r="BK1466" i="5"/>
  <c r="BK1467" i="5"/>
  <c r="BK1468" i="5"/>
  <c r="BK1469" i="5"/>
  <c r="BK1470" i="5"/>
  <c r="BK1471" i="5"/>
  <c r="BK1472" i="5"/>
  <c r="BK1473" i="5"/>
  <c r="BK1474" i="5"/>
  <c r="BK1475" i="5"/>
  <c r="BK1476" i="5"/>
  <c r="BK1477" i="5"/>
  <c r="BK1478" i="5"/>
  <c r="BK1479" i="5"/>
  <c r="BK1480" i="5"/>
  <c r="BK1481" i="5"/>
  <c r="BK1482" i="5"/>
  <c r="BK1483" i="5"/>
  <c r="BK1484" i="5"/>
  <c r="BK1485" i="5"/>
  <c r="BK1486" i="5"/>
  <c r="BK1487" i="5"/>
  <c r="BK1488" i="5"/>
  <c r="BK1489" i="5"/>
  <c r="BK1490" i="5"/>
  <c r="BK1491" i="5"/>
  <c r="BK1492" i="5"/>
  <c r="BK1493" i="5"/>
  <c r="BK1494" i="5"/>
  <c r="BK1495" i="5"/>
  <c r="BK1496" i="5"/>
  <c r="BK1497" i="5"/>
  <c r="BK1498" i="5"/>
  <c r="BK1499" i="5"/>
  <c r="BK1500" i="5"/>
  <c r="BK1501" i="5"/>
  <c r="BK1502" i="5"/>
  <c r="BK1503" i="5"/>
  <c r="BK1504" i="5"/>
  <c r="BK1505" i="5"/>
  <c r="BK1506" i="5"/>
  <c r="BK1507" i="5"/>
  <c r="BK1508" i="5"/>
  <c r="BK1509" i="5"/>
  <c r="BK1510" i="5"/>
  <c r="BK1511" i="5"/>
  <c r="BK1512" i="5"/>
  <c r="BK1513" i="5"/>
  <c r="BK1514" i="5"/>
  <c r="BK1515" i="5"/>
  <c r="BK1516" i="5"/>
  <c r="BK1517" i="5"/>
  <c r="BK1518" i="5"/>
  <c r="BK1519" i="5"/>
  <c r="BK1520" i="5"/>
  <c r="BK1521" i="5"/>
  <c r="BK1522" i="5"/>
  <c r="BK1523" i="5"/>
  <c r="BK1524" i="5"/>
  <c r="BK1525" i="5"/>
  <c r="BK1526" i="5"/>
  <c r="BK1527" i="5"/>
  <c r="BK1528" i="5"/>
  <c r="BK1529" i="5"/>
  <c r="BK1530" i="5"/>
  <c r="BK1531" i="5"/>
  <c r="BK1532" i="5"/>
  <c r="BK1533" i="5"/>
  <c r="BK1534" i="5"/>
  <c r="BK1535" i="5"/>
  <c r="BK1536" i="5"/>
  <c r="BK1537" i="5"/>
  <c r="BK1538" i="5"/>
  <c r="BK1539" i="5"/>
  <c r="BK1540" i="5"/>
  <c r="BK1541" i="5"/>
  <c r="BK1542" i="5"/>
  <c r="BK1543" i="5"/>
  <c r="BK1544" i="5"/>
  <c r="BK1545" i="5"/>
  <c r="BK1546" i="5"/>
  <c r="BK1547" i="5"/>
  <c r="BK1548" i="5"/>
  <c r="BK1549" i="5"/>
  <c r="BK1550" i="5"/>
  <c r="BK1551" i="5"/>
  <c r="BK1552" i="5"/>
  <c r="BK1553" i="5"/>
  <c r="BK1554" i="5"/>
  <c r="BK1555" i="5"/>
  <c r="BK1556" i="5"/>
  <c r="BK1557" i="5"/>
  <c r="BK1558" i="5"/>
  <c r="BK1559" i="5"/>
  <c r="BK1560" i="5"/>
  <c r="BK1561" i="5"/>
  <c r="BK1562" i="5"/>
  <c r="BK1563" i="5"/>
  <c r="BK1564" i="5"/>
  <c r="BK1565" i="5"/>
  <c r="BK1566" i="5"/>
  <c r="BK1567" i="5"/>
  <c r="BK1568" i="5"/>
  <c r="BK1569" i="5"/>
  <c r="BK1570" i="5"/>
  <c r="BK1571" i="5"/>
  <c r="BK1572" i="5"/>
  <c r="BK1573" i="5"/>
  <c r="BK1574" i="5"/>
  <c r="BK1575" i="5"/>
  <c r="BK1576" i="5"/>
  <c r="BK1577" i="5"/>
  <c r="BK1578" i="5"/>
  <c r="BK1579" i="5"/>
  <c r="BK1580" i="5"/>
  <c r="BK1581" i="5"/>
  <c r="BK1582" i="5"/>
  <c r="BK1583" i="5"/>
  <c r="BK1584" i="5"/>
  <c r="BK1585" i="5"/>
  <c r="BK1586" i="5"/>
  <c r="BK1587" i="5"/>
  <c r="BK1588" i="5"/>
  <c r="BK1589" i="5"/>
  <c r="BK1590" i="5"/>
  <c r="BK1591" i="5"/>
  <c r="BK1592" i="5"/>
  <c r="BK1593" i="5"/>
  <c r="BK1594" i="5"/>
  <c r="BK1595" i="5"/>
  <c r="BK1596" i="5"/>
  <c r="BK1597" i="5"/>
  <c r="BK1598" i="5"/>
  <c r="BK1599" i="5"/>
  <c r="BK1600" i="5"/>
  <c r="BK1601" i="5"/>
  <c r="BK1602" i="5"/>
  <c r="BK1603" i="5"/>
  <c r="BK1604" i="5"/>
  <c r="BK1605" i="5"/>
  <c r="BK1606" i="5"/>
  <c r="BK1607" i="5"/>
  <c r="BK1608" i="5"/>
  <c r="BK1609" i="5"/>
  <c r="BK1610" i="5"/>
  <c r="BK1611" i="5"/>
  <c r="BK1612" i="5"/>
  <c r="BK1613" i="5"/>
  <c r="BK1614" i="5"/>
  <c r="BK1615" i="5"/>
  <c r="BK1616" i="5"/>
  <c r="BK1617" i="5"/>
  <c r="BK1618" i="5"/>
  <c r="BK1619" i="5"/>
  <c r="BK1620" i="5"/>
  <c r="BK1621" i="5"/>
  <c r="BK1622" i="5"/>
  <c r="BK1623" i="5"/>
  <c r="BK1624" i="5"/>
  <c r="BK1625" i="5"/>
  <c r="BK1626" i="5"/>
  <c r="BK1627" i="5"/>
  <c r="BK1628" i="5"/>
  <c r="BK1629" i="5"/>
  <c r="BK1630" i="5"/>
  <c r="BK1631" i="5"/>
  <c r="BK1632" i="5"/>
  <c r="BK1633" i="5"/>
  <c r="BK1634" i="5"/>
  <c r="BK1635" i="5"/>
  <c r="BK1636" i="5"/>
  <c r="BK1637" i="5"/>
  <c r="BK1638" i="5"/>
  <c r="BK1639" i="5"/>
  <c r="BK1640" i="5"/>
  <c r="BK1641" i="5"/>
  <c r="BK1642" i="5"/>
  <c r="BK1643" i="5"/>
  <c r="BK1644" i="5"/>
  <c r="BK1645" i="5"/>
  <c r="BK1646" i="5"/>
  <c r="BK1647" i="5"/>
  <c r="BK1648" i="5"/>
  <c r="BK1649" i="5"/>
  <c r="BK1650" i="5"/>
  <c r="BK1651" i="5"/>
  <c r="BK1652" i="5"/>
  <c r="BK1653" i="5"/>
  <c r="BK1654" i="5"/>
  <c r="BK1655" i="5"/>
  <c r="BK1656" i="5"/>
  <c r="BK1657" i="5"/>
  <c r="BK1658" i="5"/>
  <c r="BK1659" i="5"/>
  <c r="BK1660" i="5"/>
  <c r="BK1661" i="5"/>
  <c r="BK1662" i="5"/>
  <c r="BK1663" i="5"/>
  <c r="BK1664" i="5"/>
  <c r="BK1665" i="5"/>
  <c r="BK1666" i="5"/>
  <c r="BK1667" i="5"/>
  <c r="BK1668" i="5"/>
  <c r="BK1669" i="5"/>
  <c r="BK1670" i="5"/>
  <c r="BK1671" i="5"/>
  <c r="BK1672" i="5"/>
  <c r="BK1673" i="5"/>
  <c r="BK1674" i="5"/>
  <c r="BK1675" i="5"/>
  <c r="BK1676" i="5"/>
  <c r="BK1677" i="5"/>
  <c r="BK1678" i="5"/>
  <c r="BK1679" i="5"/>
  <c r="BK1680" i="5"/>
  <c r="BK1681" i="5"/>
  <c r="BK1682" i="5"/>
  <c r="BK1683" i="5"/>
  <c r="BK1684" i="5"/>
  <c r="BK1685" i="5"/>
  <c r="BK1686" i="5"/>
  <c r="BK1687" i="5"/>
  <c r="BK1688" i="5"/>
  <c r="BK1689" i="5"/>
  <c r="BK1690" i="5"/>
  <c r="BK1691" i="5"/>
  <c r="BK1692" i="5"/>
  <c r="BK1693" i="5"/>
  <c r="BK1694" i="5"/>
  <c r="BK1695" i="5"/>
  <c r="BK1696" i="5"/>
  <c r="BK1697" i="5"/>
  <c r="BK1698" i="5"/>
  <c r="BK1699" i="5"/>
  <c r="BK1700" i="5"/>
  <c r="BK1701" i="5"/>
  <c r="BK1702" i="5"/>
  <c r="BK1703" i="5"/>
  <c r="BK1704" i="5"/>
  <c r="BK1705" i="5"/>
  <c r="BK1706" i="5"/>
  <c r="BK1707" i="5"/>
  <c r="BK1708" i="5"/>
  <c r="BK1709" i="5"/>
  <c r="BK1710" i="5"/>
  <c r="BK1711" i="5"/>
  <c r="BK1712" i="5"/>
  <c r="BK1713" i="5"/>
  <c r="BK1714" i="5"/>
  <c r="BK1715" i="5"/>
  <c r="BK1716" i="5"/>
  <c r="BK1717" i="5"/>
  <c r="BK1718" i="5"/>
  <c r="BK1719" i="5"/>
  <c r="BK1720" i="5"/>
  <c r="BK1721" i="5"/>
  <c r="BK1722" i="5"/>
  <c r="BK1723" i="5"/>
  <c r="BK1724" i="5"/>
  <c r="BK1725" i="5"/>
  <c r="BK1726" i="5"/>
  <c r="BK1727" i="5"/>
  <c r="BK1728" i="5"/>
  <c r="BK1729" i="5"/>
  <c r="BK1730" i="5"/>
  <c r="BK1731" i="5"/>
  <c r="BK1732" i="5"/>
  <c r="BK1733" i="5"/>
  <c r="BK1734" i="5"/>
  <c r="BK1735" i="5"/>
  <c r="BK1736" i="5"/>
  <c r="BK1737" i="5"/>
  <c r="BK1738" i="5"/>
  <c r="BK1739" i="5"/>
  <c r="BK1740" i="5"/>
  <c r="BK1741" i="5"/>
  <c r="BK1742" i="5"/>
  <c r="BK1743" i="5"/>
  <c r="BK1744" i="5"/>
  <c r="BK1745" i="5"/>
  <c r="BK1746" i="5"/>
  <c r="BK1747" i="5"/>
  <c r="BK1748" i="5"/>
  <c r="BK1749" i="5"/>
  <c r="BK1750" i="5"/>
  <c r="BK1751" i="5"/>
  <c r="BK1752" i="5"/>
  <c r="BK1753" i="5"/>
  <c r="BK1754" i="5"/>
  <c r="BK1755" i="5"/>
  <c r="BK1756" i="5"/>
  <c r="BK1757" i="5"/>
  <c r="BK1758" i="5"/>
  <c r="BK1759" i="5"/>
  <c r="BK1760" i="5"/>
  <c r="BK1761" i="5"/>
  <c r="BK1762" i="5"/>
  <c r="BK1763" i="5"/>
  <c r="BK1764" i="5"/>
  <c r="BK1765" i="5"/>
  <c r="BK1766" i="5"/>
  <c r="BK1767" i="5"/>
  <c r="BK1768" i="5"/>
  <c r="BK1769" i="5"/>
  <c r="BK1770" i="5"/>
  <c r="BK1771" i="5"/>
  <c r="BK1772" i="5"/>
  <c r="BK1773" i="5"/>
  <c r="BK1774" i="5"/>
  <c r="BK1775" i="5"/>
  <c r="BK1776" i="5"/>
  <c r="BK1777" i="5"/>
  <c r="BK1778" i="5"/>
  <c r="BK1779" i="5"/>
  <c r="BK1780" i="5"/>
  <c r="BK1781" i="5"/>
  <c r="BK1782" i="5"/>
  <c r="BK1783" i="5"/>
  <c r="BK1784" i="5"/>
  <c r="BK1785" i="5"/>
  <c r="BK1786" i="5"/>
  <c r="BK1787" i="5"/>
  <c r="BK1788" i="5"/>
  <c r="BK1789" i="5"/>
  <c r="BK1790" i="5"/>
  <c r="BK1791" i="5"/>
  <c r="BK1792" i="5"/>
  <c r="BK1793" i="5"/>
  <c r="BK1794" i="5"/>
  <c r="BK1795" i="5"/>
  <c r="BK1796" i="5"/>
  <c r="BK1797" i="5"/>
  <c r="BK1798" i="5"/>
  <c r="BK1799" i="5"/>
  <c r="BK1800" i="5"/>
  <c r="BK1801" i="5"/>
  <c r="BK1802" i="5"/>
  <c r="BK1803" i="5"/>
  <c r="BK1804" i="5"/>
  <c r="BK1805" i="5"/>
  <c r="BK1806" i="5"/>
  <c r="BK1807" i="5"/>
  <c r="BK1808" i="5"/>
  <c r="BK1809" i="5"/>
  <c r="BK1810" i="5"/>
  <c r="BK1811" i="5"/>
  <c r="BK1812" i="5"/>
  <c r="BK1813" i="5"/>
  <c r="BK1814" i="5"/>
  <c r="BK1815" i="5"/>
  <c r="BK1816" i="5"/>
  <c r="BK1817" i="5"/>
  <c r="BK1818" i="5"/>
  <c r="BK1819" i="5"/>
  <c r="BK1820" i="5"/>
  <c r="BK1821" i="5"/>
  <c r="BK1822" i="5"/>
  <c r="BK1823" i="5"/>
  <c r="BK1824" i="5"/>
  <c r="BK1825" i="5"/>
  <c r="BK1826" i="5"/>
  <c r="BK1827" i="5"/>
  <c r="BK1828" i="5"/>
  <c r="BK1829" i="5"/>
  <c r="BK1830" i="5"/>
  <c r="BK1831" i="5"/>
  <c r="BK1832" i="5"/>
  <c r="BK1833" i="5"/>
  <c r="BK1834" i="5"/>
  <c r="BK1835" i="5"/>
  <c r="BK1836" i="5"/>
  <c r="BK1837" i="5"/>
  <c r="BK1838" i="5"/>
  <c r="BK1839" i="5"/>
  <c r="BK1840" i="5"/>
  <c r="BK1841" i="5"/>
  <c r="BK1842" i="5"/>
  <c r="BK1843" i="5"/>
  <c r="BK1844" i="5"/>
  <c r="BK1845" i="5"/>
  <c r="BK1846" i="5"/>
  <c r="BK1847" i="5"/>
  <c r="BK1848" i="5"/>
  <c r="BK1849" i="5"/>
  <c r="BK1850" i="5"/>
  <c r="BK1851" i="5"/>
  <c r="BK1852" i="5"/>
  <c r="BK1853" i="5"/>
  <c r="BK1854" i="5"/>
  <c r="BK1855" i="5"/>
  <c r="BK1856" i="5"/>
  <c r="BK1857" i="5"/>
  <c r="BK1858" i="5"/>
  <c r="BK1859" i="5"/>
  <c r="BK1860" i="5"/>
  <c r="BK1861" i="5"/>
  <c r="BK1862" i="5"/>
  <c r="BK1863" i="5"/>
  <c r="BK1864" i="5"/>
  <c r="BK1865" i="5"/>
  <c r="BK1866" i="5"/>
  <c r="BK1867" i="5"/>
  <c r="BK1868" i="5"/>
  <c r="BK1869" i="5"/>
  <c r="BK1870" i="5"/>
  <c r="BK1871" i="5"/>
  <c r="BK1872" i="5"/>
  <c r="BK1873" i="5"/>
  <c r="BK1874" i="5"/>
  <c r="BK1875" i="5"/>
  <c r="BK1876" i="5"/>
  <c r="BK1877" i="5"/>
  <c r="BK1878" i="5"/>
  <c r="BK1879" i="5"/>
  <c r="BK1880" i="5"/>
  <c r="BK1881" i="5"/>
  <c r="BK1882" i="5"/>
  <c r="BK1883" i="5"/>
  <c r="BK1884" i="5"/>
  <c r="BK1885" i="5"/>
  <c r="BK1886" i="5"/>
  <c r="BK1887" i="5"/>
  <c r="BK1888" i="5"/>
  <c r="BK1889" i="5"/>
  <c r="BK1890" i="5"/>
  <c r="BK1891" i="5"/>
  <c r="BK1892" i="5"/>
  <c r="BK1893" i="5"/>
  <c r="BK1894" i="5"/>
  <c r="BK1895" i="5"/>
  <c r="BK1896" i="5"/>
  <c r="BK1897" i="5"/>
  <c r="BK1898" i="5"/>
  <c r="BK1899" i="5"/>
  <c r="BK1900" i="5"/>
  <c r="BK1901" i="5"/>
  <c r="BK1902" i="5"/>
  <c r="BK1903" i="5"/>
  <c r="BK1904" i="5"/>
  <c r="BK1905" i="5"/>
  <c r="BK1906" i="5"/>
  <c r="BK1907" i="5"/>
  <c r="BK1908" i="5"/>
  <c r="BK1909" i="5"/>
  <c r="BK1910" i="5"/>
  <c r="BK1911" i="5"/>
  <c r="BK1912" i="5"/>
  <c r="BK1913" i="5"/>
  <c r="BK1914" i="5"/>
  <c r="BK1915" i="5"/>
  <c r="BK1916" i="5"/>
  <c r="BK1917" i="5"/>
  <c r="BK1918" i="5"/>
  <c r="BK1919" i="5"/>
  <c r="BK1920" i="5"/>
  <c r="BK1921" i="5"/>
  <c r="BK1922" i="5"/>
  <c r="BK1923" i="5"/>
  <c r="BK1924" i="5"/>
  <c r="BK1925" i="5"/>
  <c r="BK1926" i="5"/>
  <c r="BK1927" i="5"/>
  <c r="BK1928" i="5"/>
  <c r="BK1929" i="5"/>
  <c r="BK1930" i="5"/>
  <c r="BK1931" i="5"/>
  <c r="BK1932" i="5"/>
  <c r="BK1933" i="5"/>
  <c r="BK1934" i="5"/>
  <c r="BK1935" i="5"/>
  <c r="BK1936" i="5"/>
  <c r="BK1937" i="5"/>
  <c r="BK1938" i="5"/>
  <c r="BK1939" i="5"/>
  <c r="BK1940" i="5"/>
  <c r="BK1941" i="5"/>
  <c r="BK1942" i="5"/>
  <c r="BK1943" i="5"/>
  <c r="BK1944" i="5"/>
  <c r="BK1945" i="5"/>
  <c r="BK1946" i="5"/>
  <c r="BK1947" i="5"/>
  <c r="BK1948" i="5"/>
  <c r="BK1949" i="5"/>
  <c r="BK1950" i="5"/>
  <c r="BK1951" i="5"/>
  <c r="BK1952" i="5"/>
  <c r="BK1953" i="5"/>
  <c r="BK1954" i="5"/>
  <c r="BK1955" i="5"/>
  <c r="BK1956" i="5"/>
  <c r="BK1957" i="5"/>
  <c r="BK1958" i="5"/>
  <c r="BK1959" i="5"/>
  <c r="BK1960" i="5"/>
  <c r="BK1961" i="5"/>
  <c r="BK1962" i="5"/>
  <c r="BK1963" i="5"/>
  <c r="BK1964" i="5"/>
  <c r="BK1965" i="5"/>
  <c r="BK1966" i="5"/>
  <c r="BK1967" i="5"/>
  <c r="BK1968" i="5"/>
  <c r="BK1969" i="5"/>
  <c r="BK1970" i="5"/>
  <c r="BK1971" i="5"/>
  <c r="BK1972" i="5"/>
  <c r="BK1973" i="5"/>
  <c r="BK1974" i="5"/>
  <c r="BK1975" i="5"/>
  <c r="BK1976" i="5"/>
  <c r="BK1977" i="5"/>
  <c r="BK1978" i="5"/>
  <c r="BK1979" i="5"/>
  <c r="BK1980" i="5"/>
  <c r="BK1981" i="5"/>
  <c r="BK1982" i="5"/>
  <c r="BK1983" i="5"/>
  <c r="BK1984" i="5"/>
  <c r="BK1985" i="5"/>
  <c r="BK1986" i="5"/>
  <c r="BK1987" i="5"/>
  <c r="BK1988" i="5"/>
  <c r="BK1989" i="5"/>
  <c r="BK1990" i="5"/>
  <c r="BK1991" i="5"/>
  <c r="BK1992" i="5"/>
  <c r="BK1993" i="5"/>
  <c r="BK1994" i="5"/>
  <c r="BK1995" i="5"/>
  <c r="BK1996" i="5"/>
  <c r="BK1997" i="5"/>
  <c r="BK1998" i="5"/>
  <c r="BK1999" i="5"/>
  <c r="BK2000" i="5"/>
  <c r="BK2001" i="5"/>
  <c r="BK2002" i="5"/>
  <c r="BK2003" i="5"/>
  <c r="BK2004" i="5"/>
  <c r="BK2005" i="5"/>
  <c r="BK2006" i="5"/>
  <c r="BK2007" i="5"/>
  <c r="BK2008" i="5"/>
  <c r="BK2009" i="5"/>
  <c r="BK2010" i="5"/>
  <c r="BK2011" i="5"/>
  <c r="BK2012" i="5"/>
  <c r="BK2013" i="5"/>
  <c r="BK2014" i="5"/>
  <c r="BK2015" i="5"/>
  <c r="BK2016" i="5"/>
  <c r="BK2017" i="5"/>
  <c r="BK2018" i="5"/>
  <c r="BK2019" i="5"/>
  <c r="BK2020" i="5"/>
  <c r="BK2021" i="5"/>
  <c r="BK2022" i="5"/>
  <c r="BK2023" i="5"/>
  <c r="BK2024" i="5"/>
  <c r="BK2025" i="5"/>
  <c r="BK2026" i="5"/>
  <c r="BK2027" i="5"/>
  <c r="BK2028" i="5"/>
  <c r="BK2029" i="5"/>
  <c r="BK2030" i="5"/>
  <c r="BK2031" i="5"/>
  <c r="BK2032" i="5"/>
  <c r="BK2033" i="5"/>
  <c r="BK2034" i="5"/>
  <c r="BK2035" i="5"/>
  <c r="BK2036" i="5"/>
  <c r="BK2037" i="5"/>
  <c r="BK2038" i="5"/>
  <c r="BK2039" i="5"/>
  <c r="BK2040" i="5"/>
  <c r="BK2041" i="5"/>
  <c r="BK2042" i="5"/>
  <c r="BK2043" i="5"/>
  <c r="BK2044" i="5"/>
  <c r="BK2045" i="5"/>
  <c r="BK2046" i="5"/>
  <c r="BK2047" i="5"/>
  <c r="BK2048" i="5"/>
  <c r="BK2049" i="5"/>
  <c r="BK2050" i="5"/>
  <c r="BK2051" i="5"/>
  <c r="BK2052" i="5"/>
  <c r="BK2053" i="5"/>
  <c r="BK2054" i="5"/>
  <c r="BK2055" i="5"/>
  <c r="BK2056" i="5"/>
  <c r="BK2057" i="5"/>
  <c r="BK2058" i="5"/>
  <c r="BK2059" i="5"/>
  <c r="BK2060" i="5"/>
  <c r="BK2061" i="5"/>
  <c r="BK2062" i="5"/>
  <c r="BK2063" i="5"/>
  <c r="BK2064" i="5"/>
  <c r="BK2065" i="5"/>
  <c r="BK2066" i="5"/>
  <c r="BK2067" i="5"/>
  <c r="BK2068" i="5"/>
  <c r="BK2069" i="5"/>
  <c r="BK2070" i="5"/>
  <c r="BK2071" i="5"/>
  <c r="BK2072" i="5"/>
  <c r="BK2073" i="5"/>
  <c r="BK2074" i="5"/>
  <c r="BK2075" i="5"/>
  <c r="BK2076" i="5"/>
  <c r="BK2077" i="5"/>
  <c r="BK2078" i="5"/>
  <c r="BK2079" i="5"/>
  <c r="BK2080" i="5"/>
  <c r="BK2081" i="5"/>
  <c r="BK2082" i="5"/>
  <c r="BK2083" i="5"/>
  <c r="BK2084" i="5"/>
  <c r="BK2085" i="5"/>
  <c r="BK2086" i="5"/>
  <c r="BK2087" i="5"/>
  <c r="BK2088" i="5"/>
  <c r="BK2089" i="5"/>
  <c r="BK2090" i="5"/>
  <c r="BK2091" i="5"/>
  <c r="BK2092" i="5"/>
  <c r="BK2093" i="5"/>
  <c r="BK2094" i="5"/>
  <c r="BK2095" i="5"/>
  <c r="BK2096" i="5"/>
  <c r="BK2097" i="5"/>
  <c r="BK2098" i="5"/>
  <c r="BK2099" i="5"/>
  <c r="BK2100" i="5"/>
  <c r="BK2101" i="5"/>
  <c r="BK2102" i="5"/>
  <c r="BK2103" i="5"/>
  <c r="BK2104" i="5"/>
  <c r="BK2105" i="5"/>
  <c r="BK2106" i="5"/>
  <c r="BK2107" i="5"/>
  <c r="BK2108" i="5"/>
  <c r="BK2109" i="5"/>
  <c r="BK2110" i="5"/>
  <c r="BK2111" i="5"/>
  <c r="BK2112" i="5"/>
  <c r="BK2113" i="5"/>
  <c r="BK2114" i="5"/>
  <c r="BK2115" i="5"/>
  <c r="BK2116" i="5"/>
  <c r="BK2117" i="5"/>
  <c r="BK2118" i="5"/>
  <c r="BK2119" i="5"/>
  <c r="BK2120" i="5"/>
  <c r="BK2121" i="5"/>
  <c r="BK2122" i="5"/>
  <c r="BK2123" i="5"/>
  <c r="BK2124" i="5"/>
  <c r="BK2125" i="5"/>
  <c r="BK2126" i="5"/>
  <c r="BK2127" i="5"/>
  <c r="BK2128" i="5"/>
  <c r="BK2129" i="5"/>
  <c r="BK2130" i="5"/>
  <c r="BK2131" i="5"/>
  <c r="BK2132" i="5"/>
  <c r="BK2133" i="5"/>
  <c r="BK2134" i="5"/>
  <c r="BK2135" i="5"/>
  <c r="BK2136" i="5"/>
  <c r="BK2137" i="5"/>
  <c r="BK2138" i="5"/>
  <c r="BK2139" i="5"/>
  <c r="BK2140" i="5"/>
  <c r="BK2141" i="5"/>
  <c r="BK2142" i="5"/>
  <c r="BK2143" i="5"/>
  <c r="BK2144" i="5"/>
  <c r="BK2145" i="5"/>
  <c r="BK2146" i="5"/>
  <c r="BK2147" i="5"/>
  <c r="BK2148" i="5"/>
  <c r="BK2149" i="5"/>
  <c r="BK2150" i="5"/>
  <c r="BK2151" i="5"/>
  <c r="BK2152" i="5"/>
  <c r="BK2153" i="5"/>
  <c r="BK2154" i="5"/>
  <c r="BK2155" i="5"/>
  <c r="BK2156" i="5"/>
  <c r="BK2157" i="5"/>
  <c r="BK2158" i="5"/>
  <c r="BK2159" i="5"/>
  <c r="BK2160" i="5"/>
  <c r="BK2161" i="5"/>
  <c r="BK2162" i="5"/>
  <c r="BK2163" i="5"/>
  <c r="BK2164" i="5"/>
  <c r="BK2165" i="5"/>
  <c r="BK2166" i="5"/>
  <c r="BK2167" i="5"/>
  <c r="BK2168" i="5"/>
  <c r="BK2169" i="5"/>
  <c r="BK2170" i="5"/>
  <c r="BK2171" i="5"/>
  <c r="BK2172" i="5"/>
  <c r="BK2173" i="5"/>
  <c r="BK2174" i="5"/>
  <c r="BK2175" i="5"/>
  <c r="BK2176" i="5"/>
  <c r="BK2177" i="5"/>
  <c r="BK2178" i="5"/>
  <c r="BK2179" i="5"/>
  <c r="BK2180" i="5"/>
  <c r="BK2181" i="5"/>
  <c r="BK2182" i="5"/>
  <c r="BK2183" i="5"/>
  <c r="BK2184" i="5"/>
  <c r="BK2185" i="5"/>
  <c r="BK2186" i="5"/>
  <c r="BK2187" i="5"/>
  <c r="BK2188" i="5"/>
  <c r="BK2189" i="5"/>
  <c r="BK2190" i="5"/>
  <c r="BK2191" i="5"/>
  <c r="BK2192" i="5"/>
  <c r="BK2193" i="5"/>
  <c r="BK2194" i="5"/>
  <c r="BK2195" i="5"/>
  <c r="BK2196" i="5"/>
  <c r="BK2197" i="5"/>
  <c r="BK2198" i="5"/>
  <c r="BK2199" i="5"/>
  <c r="BK2200" i="5"/>
  <c r="BK2201" i="5"/>
  <c r="BK2202" i="5"/>
  <c r="BK2203" i="5"/>
  <c r="BK2204" i="5"/>
  <c r="BK2205" i="5"/>
  <c r="BK2206" i="5"/>
  <c r="BK2207" i="5"/>
  <c r="BK2208" i="5"/>
  <c r="BK2209" i="5"/>
  <c r="BK2210" i="5"/>
  <c r="BK2211" i="5"/>
  <c r="BK2212" i="5"/>
  <c r="BK2213" i="5"/>
  <c r="BK2214" i="5"/>
  <c r="BK2215" i="5"/>
  <c r="BK2216" i="5"/>
  <c r="BK2217" i="5"/>
  <c r="BK2218" i="5"/>
  <c r="BK2219" i="5"/>
  <c r="BK2220" i="5"/>
  <c r="BK2221" i="5"/>
  <c r="BK2222" i="5"/>
  <c r="BK2223" i="5"/>
  <c r="BK2224" i="5"/>
  <c r="BK2225" i="5"/>
  <c r="BK2226" i="5"/>
  <c r="BK2227" i="5"/>
  <c r="BK2228" i="5"/>
  <c r="BK2229" i="5"/>
  <c r="BK2230" i="5"/>
  <c r="BK2231" i="5"/>
  <c r="BK2232" i="5"/>
  <c r="BK2233" i="5"/>
  <c r="BK2234" i="5"/>
  <c r="BK2235" i="5"/>
  <c r="BK2236" i="5"/>
  <c r="BK2237" i="5"/>
  <c r="BK2238" i="5"/>
  <c r="BK2239" i="5"/>
  <c r="BK2240" i="5"/>
  <c r="BK2241" i="5"/>
  <c r="BK2242" i="5"/>
  <c r="BK2243" i="5"/>
  <c r="BK2244" i="5"/>
  <c r="BK2245" i="5"/>
  <c r="BK2246" i="5"/>
  <c r="BK2247" i="5"/>
  <c r="BK2248" i="5"/>
  <c r="BK2249" i="5"/>
  <c r="BK2250" i="5"/>
  <c r="BK2251" i="5"/>
  <c r="BK2252" i="5"/>
  <c r="BK2253" i="5"/>
  <c r="BK2254" i="5"/>
  <c r="BK2255" i="5"/>
  <c r="BK2256" i="5"/>
  <c r="BK2257" i="5"/>
  <c r="BK2258" i="5"/>
  <c r="BK2259" i="5"/>
  <c r="BK2260" i="5"/>
  <c r="BK2261" i="5"/>
  <c r="BK2262" i="5"/>
  <c r="BK2263" i="5"/>
  <c r="BK2264" i="5"/>
  <c r="BK2265" i="5"/>
  <c r="BK2266" i="5"/>
  <c r="BK2267" i="5"/>
  <c r="BK2268" i="5"/>
  <c r="BK2269" i="5"/>
  <c r="BK2270" i="5"/>
  <c r="BK2271" i="5"/>
  <c r="BK2272" i="5"/>
  <c r="BK2273" i="5"/>
  <c r="BK2274" i="5"/>
  <c r="BK2275" i="5"/>
  <c r="BK2276" i="5"/>
  <c r="BK2277" i="5"/>
  <c r="BK2278" i="5"/>
  <c r="BK2279" i="5"/>
  <c r="BK2280" i="5"/>
  <c r="BK2281" i="5"/>
  <c r="BK2282" i="5"/>
  <c r="BK2283" i="5"/>
  <c r="BK2284" i="5"/>
  <c r="BK2285" i="5"/>
  <c r="BK2286" i="5"/>
  <c r="BK2287" i="5"/>
  <c r="BK2288" i="5"/>
  <c r="BK2289" i="5"/>
  <c r="BK2290" i="5"/>
  <c r="BK2291" i="5"/>
  <c r="BK2292" i="5"/>
  <c r="BK2293" i="5"/>
  <c r="BK2294" i="5"/>
  <c r="BK2295" i="5"/>
  <c r="BK2296" i="5"/>
  <c r="BK2297" i="5"/>
  <c r="BK2298" i="5"/>
  <c r="BK2299" i="5"/>
  <c r="BK2300" i="5"/>
  <c r="BK2301" i="5"/>
  <c r="BK2302" i="5"/>
  <c r="BK2303" i="5"/>
  <c r="BK2304" i="5"/>
  <c r="BK2305" i="5"/>
  <c r="BK2306" i="5"/>
  <c r="BK2307" i="5"/>
  <c r="BK2308" i="5"/>
  <c r="BK2309" i="5"/>
  <c r="BK2310" i="5"/>
  <c r="BK2311" i="5"/>
  <c r="BK2312" i="5"/>
  <c r="BK2313" i="5"/>
  <c r="BK2314" i="5"/>
  <c r="BK2315" i="5"/>
  <c r="BK2316" i="5"/>
  <c r="BK2317" i="5"/>
  <c r="BK2318" i="5"/>
  <c r="BK2319" i="5"/>
  <c r="BK2320" i="5"/>
  <c r="BK2321" i="5"/>
  <c r="BK2322" i="5"/>
  <c r="BK2323" i="5"/>
  <c r="BK2324" i="5"/>
  <c r="BK2325" i="5"/>
  <c r="BK2326" i="5"/>
  <c r="BK2327" i="5"/>
  <c r="BK2328" i="5"/>
  <c r="BK2329" i="5"/>
  <c r="BK2330" i="5"/>
  <c r="BK2331" i="5"/>
  <c r="BK2332" i="5"/>
  <c r="BK2333" i="5"/>
  <c r="BK2334" i="5"/>
  <c r="BK2335" i="5"/>
  <c r="BK2336" i="5"/>
  <c r="BK2337" i="5"/>
  <c r="BK2338" i="5"/>
  <c r="BK2339" i="5"/>
  <c r="BK2340" i="5"/>
  <c r="BK2341" i="5"/>
  <c r="BK2342" i="5"/>
  <c r="BK2343" i="5"/>
  <c r="BK2344" i="5"/>
  <c r="BK2345" i="5"/>
  <c r="BK2346" i="5"/>
  <c r="BK2347" i="5"/>
  <c r="BK2348" i="5"/>
  <c r="BK2349" i="5"/>
  <c r="BK2350" i="5"/>
  <c r="BK2351" i="5"/>
  <c r="BK2352" i="5"/>
  <c r="BK2353" i="5"/>
  <c r="BK2354" i="5"/>
  <c r="BK2355" i="5"/>
  <c r="BK2356" i="5"/>
  <c r="BK2357" i="5"/>
  <c r="BK2358" i="5"/>
  <c r="BK2359" i="5"/>
  <c r="BK2360" i="5"/>
  <c r="BK2361" i="5"/>
  <c r="BK2362" i="5"/>
  <c r="BK2363" i="5"/>
  <c r="BK2364" i="5"/>
  <c r="BK2365" i="5"/>
  <c r="BK2366" i="5"/>
  <c r="BK2367" i="5"/>
  <c r="BK2368" i="5"/>
  <c r="BK2369" i="5"/>
  <c r="BK2370" i="5"/>
  <c r="BK2371" i="5"/>
  <c r="BK2372" i="5"/>
  <c r="BK2373" i="5"/>
  <c r="BK2374" i="5"/>
  <c r="BK2375" i="5"/>
  <c r="BK2376" i="5"/>
  <c r="BK2377" i="5"/>
  <c r="BK2378" i="5"/>
  <c r="BK2379" i="5"/>
  <c r="BK2380" i="5"/>
  <c r="BK2381" i="5"/>
  <c r="BK2382" i="5"/>
  <c r="BK2383" i="5"/>
  <c r="BK2384" i="5"/>
  <c r="BK2385" i="5"/>
  <c r="BK2386" i="5"/>
  <c r="BK2387" i="5"/>
  <c r="BK2388" i="5"/>
  <c r="BK2389" i="5"/>
  <c r="BK2390" i="5"/>
  <c r="BK2391" i="5"/>
  <c r="BK2392" i="5"/>
  <c r="BK2393" i="5"/>
  <c r="BK2394" i="5"/>
  <c r="BK2395" i="5"/>
  <c r="BK2396" i="5"/>
  <c r="BK2397" i="5"/>
  <c r="BK2398" i="5"/>
  <c r="BK2399" i="5"/>
  <c r="BK2400" i="5"/>
  <c r="BK2401" i="5"/>
  <c r="BK2402" i="5"/>
  <c r="BK2403" i="5"/>
  <c r="BK2404" i="5"/>
  <c r="BK2405" i="5"/>
  <c r="BK2406" i="5"/>
  <c r="BK2407" i="5"/>
  <c r="BK2408" i="5"/>
  <c r="BK2409" i="5"/>
  <c r="BK2410" i="5"/>
  <c r="BK2411" i="5"/>
  <c r="BK2412" i="5"/>
  <c r="BK2413" i="5"/>
  <c r="BK2414" i="5"/>
  <c r="BK2415" i="5"/>
  <c r="BK2416" i="5"/>
  <c r="BK2417" i="5"/>
  <c r="BK2418" i="5"/>
  <c r="BK2419" i="5"/>
  <c r="BK2420" i="5"/>
  <c r="BK2421" i="5"/>
  <c r="BK2422" i="5"/>
  <c r="BK2423" i="5"/>
  <c r="BK2424" i="5"/>
  <c r="BK2425" i="5"/>
  <c r="BK2426" i="5"/>
  <c r="BK2427" i="5"/>
  <c r="BK2428" i="5"/>
  <c r="BK2429" i="5"/>
  <c r="BK2430" i="5"/>
  <c r="BK2431" i="5"/>
  <c r="BK2432" i="5"/>
  <c r="BK2433" i="5"/>
  <c r="BK2434" i="5"/>
  <c r="BK2435" i="5"/>
  <c r="BK2436" i="5"/>
  <c r="BK2437" i="5"/>
  <c r="BK2438" i="5"/>
  <c r="BK2439" i="5"/>
  <c r="BK2440" i="5"/>
  <c r="BK2441" i="5"/>
  <c r="BK2442" i="5"/>
  <c r="BK2443" i="5"/>
  <c r="BK2444" i="5"/>
  <c r="BK2445" i="5"/>
  <c r="BK2446" i="5"/>
  <c r="BK2447" i="5"/>
  <c r="BK2448" i="5"/>
  <c r="BK2449" i="5"/>
  <c r="BK2450" i="5"/>
  <c r="BK2451" i="5"/>
  <c r="BK2452" i="5"/>
  <c r="BK2453" i="5"/>
  <c r="BK2454" i="5"/>
  <c r="BK2455" i="5"/>
  <c r="BK2456" i="5"/>
  <c r="BK2457" i="5"/>
  <c r="BK2458" i="5"/>
  <c r="BK2459" i="5"/>
  <c r="BK2460" i="5"/>
  <c r="BK2461" i="5"/>
  <c r="BK2462" i="5"/>
  <c r="BK2463" i="5"/>
  <c r="BK2464" i="5"/>
  <c r="BK2465" i="5"/>
  <c r="BK2466" i="5"/>
  <c r="BK2467" i="5"/>
  <c r="BK2468" i="5"/>
  <c r="BK2469" i="5"/>
  <c r="BK2470" i="5"/>
  <c r="BK2471" i="5"/>
  <c r="BK2472" i="5"/>
  <c r="BK2473" i="5"/>
  <c r="BK2474" i="5"/>
  <c r="BK2475" i="5"/>
  <c r="BK2476" i="5"/>
  <c r="BK2477" i="5"/>
  <c r="BK2478" i="5"/>
  <c r="BK2479" i="5"/>
  <c r="BK2480" i="5"/>
  <c r="BK2481" i="5"/>
  <c r="BK2482" i="5"/>
  <c r="BK2483" i="5"/>
  <c r="BK2484" i="5"/>
  <c r="BK2485" i="5"/>
  <c r="BK2486" i="5"/>
  <c r="BK2487" i="5"/>
  <c r="BK2488" i="5"/>
  <c r="BK2489" i="5"/>
  <c r="BK2490" i="5"/>
  <c r="BK2491" i="5"/>
  <c r="BK2492" i="5"/>
  <c r="BK2493" i="5"/>
  <c r="BK2494" i="5"/>
  <c r="BK2495" i="5"/>
  <c r="BK2496" i="5"/>
  <c r="BK2497" i="5"/>
  <c r="BK2498" i="5"/>
  <c r="BK2499" i="5"/>
  <c r="BK2500" i="5"/>
  <c r="BK2501" i="5"/>
  <c r="BK2502" i="5"/>
  <c r="BK2503" i="5"/>
  <c r="BK2504" i="5"/>
  <c r="BK2505" i="5"/>
  <c r="BK2506" i="5"/>
  <c r="BK2507" i="5"/>
  <c r="BK2508" i="5"/>
  <c r="BK2509" i="5"/>
  <c r="BK2510" i="5"/>
  <c r="BK2511" i="5"/>
  <c r="BK2512" i="5"/>
  <c r="BK2513" i="5"/>
  <c r="BK2514" i="5"/>
  <c r="BK2515" i="5"/>
  <c r="BK2516" i="5"/>
  <c r="BK2517" i="5"/>
  <c r="BK2518" i="5"/>
  <c r="BK2519" i="5"/>
  <c r="BK2520" i="5"/>
  <c r="BK2521" i="5"/>
  <c r="BK2522" i="5"/>
  <c r="BK2523" i="5"/>
  <c r="BK2524" i="5"/>
  <c r="BK2525" i="5"/>
  <c r="BK2526" i="5"/>
  <c r="BK2527" i="5"/>
  <c r="BK2528" i="5"/>
  <c r="BK2529" i="5"/>
  <c r="BK2530" i="5"/>
  <c r="BK2531" i="5"/>
  <c r="BK2532" i="5"/>
  <c r="BK2533" i="5"/>
  <c r="BK2534" i="5"/>
  <c r="BK2535" i="5"/>
  <c r="BK2536" i="5"/>
  <c r="BK2537" i="5"/>
  <c r="BK2538" i="5"/>
  <c r="BK2539" i="5"/>
  <c r="BK2540" i="5"/>
  <c r="BK2541" i="5"/>
  <c r="BK2542" i="5"/>
  <c r="BK2543" i="5"/>
  <c r="BK2544" i="5"/>
  <c r="BK2545" i="5"/>
  <c r="BK2546" i="5"/>
  <c r="BK2547" i="5"/>
  <c r="BK2548" i="5"/>
  <c r="BK2549" i="5"/>
  <c r="BK2550" i="5"/>
  <c r="BK2551" i="5"/>
  <c r="BK2552" i="5"/>
  <c r="BK2553" i="5"/>
  <c r="BK2554" i="5"/>
  <c r="BK2555" i="5"/>
  <c r="BK2556" i="5"/>
  <c r="BK2557" i="5"/>
  <c r="BK2558" i="5"/>
  <c r="BK2559" i="5"/>
  <c r="BK2560" i="5"/>
  <c r="BK2561" i="5"/>
  <c r="BK2562" i="5"/>
  <c r="BK2563" i="5"/>
  <c r="BK2564" i="5"/>
  <c r="BK2565" i="5"/>
  <c r="BK2566" i="5"/>
  <c r="BK2567" i="5"/>
  <c r="BK2568" i="5"/>
  <c r="BK2569" i="5"/>
  <c r="BK2570" i="5"/>
  <c r="BK2571" i="5"/>
  <c r="BK2572" i="5"/>
  <c r="BK2573" i="5"/>
  <c r="BK2574" i="5"/>
  <c r="BK2575" i="5"/>
  <c r="BK2576" i="5"/>
  <c r="BK2577" i="5"/>
  <c r="BK2578" i="5"/>
  <c r="BK2579" i="5"/>
  <c r="BK2580" i="5"/>
  <c r="BK2581" i="5"/>
  <c r="BK2582" i="5"/>
  <c r="BK2583" i="5"/>
  <c r="BK2584" i="5"/>
  <c r="BK2585" i="5"/>
  <c r="BK2586" i="5"/>
  <c r="BK2587" i="5"/>
  <c r="BK2588" i="5"/>
  <c r="BK2589" i="5"/>
  <c r="BK2590" i="5"/>
  <c r="BK2591" i="5"/>
  <c r="BK2592" i="5"/>
  <c r="BK2593" i="5"/>
  <c r="BK2594" i="5"/>
  <c r="BK2595" i="5"/>
  <c r="BK2596" i="5"/>
  <c r="BK2597" i="5"/>
  <c r="BK2598" i="5"/>
  <c r="BK2599" i="5"/>
  <c r="BK2600" i="5"/>
  <c r="BK2601" i="5"/>
  <c r="BK2602" i="5"/>
  <c r="BK2603" i="5"/>
  <c r="BK2604" i="5"/>
  <c r="BK2605" i="5"/>
  <c r="BK2606" i="5"/>
  <c r="BK2607" i="5"/>
  <c r="BK2608" i="5"/>
  <c r="BK2609" i="5"/>
  <c r="BK2610" i="5"/>
  <c r="BK2611" i="5"/>
  <c r="BK2612" i="5"/>
  <c r="BK2613" i="5"/>
  <c r="BK2614" i="5"/>
  <c r="BK2615" i="5"/>
  <c r="BK2616" i="5"/>
  <c r="BK2617" i="5"/>
  <c r="BK2618" i="5"/>
  <c r="BK2619" i="5"/>
  <c r="BK2620" i="5"/>
  <c r="BK2621" i="5"/>
  <c r="BK2622" i="5"/>
  <c r="BK2623" i="5"/>
  <c r="BK2624" i="5"/>
  <c r="BK2625" i="5"/>
  <c r="BK2626" i="5"/>
  <c r="BK2627" i="5"/>
  <c r="BK2628" i="5"/>
  <c r="BK2629" i="5"/>
  <c r="BK2630" i="5"/>
  <c r="BK2631" i="5"/>
  <c r="BK2632" i="5"/>
  <c r="BK2633" i="5"/>
  <c r="BK2634" i="5"/>
  <c r="BK2635" i="5"/>
  <c r="BK2636" i="5"/>
  <c r="BK2637" i="5"/>
  <c r="BK2638" i="5"/>
  <c r="BK2639" i="5"/>
  <c r="BK2640" i="5"/>
  <c r="BK2641" i="5"/>
  <c r="BK2642" i="5"/>
  <c r="BK2643" i="5"/>
  <c r="BK2644" i="5"/>
  <c r="BK2645" i="5"/>
  <c r="BK2646" i="5"/>
  <c r="BK2647" i="5"/>
  <c r="BK2648" i="5"/>
  <c r="BK2649" i="5"/>
  <c r="BK2650" i="5"/>
  <c r="BK2651" i="5"/>
  <c r="BK2652" i="5"/>
  <c r="BK2653" i="5"/>
  <c r="BK2654" i="5"/>
  <c r="BK2655" i="5"/>
  <c r="BK2656" i="5"/>
  <c r="BK2657" i="5"/>
  <c r="BK2658" i="5"/>
  <c r="BK2659" i="5"/>
  <c r="BK2660" i="5"/>
  <c r="BK2661" i="5"/>
  <c r="BK2662" i="5"/>
  <c r="BK2663" i="5"/>
  <c r="BK2664" i="5"/>
  <c r="BK2665" i="5"/>
  <c r="BK2666" i="5"/>
  <c r="BK2667" i="5"/>
  <c r="BK2668" i="5"/>
  <c r="BK2669" i="5"/>
  <c r="BK2670" i="5"/>
  <c r="BK2671" i="5"/>
  <c r="BK2672" i="5"/>
  <c r="BK2673" i="5"/>
  <c r="BK2674" i="5"/>
  <c r="BK2675" i="5"/>
  <c r="BK2676" i="5"/>
  <c r="BK2677" i="5"/>
  <c r="BK2678" i="5"/>
  <c r="BK2679" i="5"/>
  <c r="BK2680" i="5"/>
  <c r="BK2681" i="5"/>
  <c r="BK2682" i="5"/>
  <c r="BK2683" i="5"/>
  <c r="BK2684" i="5"/>
  <c r="BK2685" i="5"/>
  <c r="BK2686" i="5"/>
  <c r="BK2687" i="5"/>
  <c r="BK2688" i="5"/>
  <c r="BK2689" i="5"/>
  <c r="BK2690" i="5"/>
  <c r="BK2691" i="5"/>
  <c r="BK2692" i="5"/>
  <c r="BK2693" i="5"/>
  <c r="BK2694" i="5"/>
  <c r="BK2695" i="5"/>
  <c r="BK2696" i="5"/>
  <c r="BK2697" i="5"/>
  <c r="BK2698" i="5"/>
  <c r="BK2699" i="5"/>
  <c r="BK2700" i="5"/>
  <c r="BK2701" i="5"/>
  <c r="BK2702" i="5"/>
  <c r="BK2703" i="5"/>
  <c r="BK2704" i="5"/>
  <c r="BK2705" i="5"/>
  <c r="BK2706" i="5"/>
  <c r="BK2707" i="5"/>
  <c r="BK2708" i="5"/>
  <c r="BK2709" i="5"/>
  <c r="BK2710" i="5"/>
  <c r="BK2711" i="5"/>
  <c r="BK2712" i="5"/>
  <c r="BK2713" i="5"/>
  <c r="BK2714" i="5"/>
  <c r="BK2715" i="5"/>
  <c r="BK2716" i="5"/>
  <c r="BK2717" i="5"/>
  <c r="BK2718" i="5"/>
  <c r="BK2719" i="5"/>
  <c r="BK2720" i="5"/>
  <c r="BK2721" i="5"/>
  <c r="BK2722" i="5"/>
  <c r="BK2723" i="5"/>
  <c r="BK2724" i="5"/>
  <c r="BK2725" i="5"/>
  <c r="BK2726" i="5"/>
  <c r="BK2727" i="5"/>
  <c r="BK2728" i="5"/>
  <c r="BK2729" i="5"/>
  <c r="BK2730" i="5"/>
  <c r="BK2731" i="5"/>
  <c r="BK2732" i="5"/>
  <c r="BK2733" i="5"/>
  <c r="BK2734" i="5"/>
  <c r="BK2735" i="5"/>
  <c r="BK2736" i="5"/>
  <c r="BK2737" i="5"/>
  <c r="BH2730" i="5"/>
  <c r="BH2718" i="5"/>
  <c r="BH2716" i="5"/>
  <c r="BH2706" i="5"/>
  <c r="BH2700" i="5"/>
  <c r="BH2691" i="5"/>
  <c r="BH2682" i="5"/>
  <c r="BH2680" i="5"/>
  <c r="BH2668" i="5"/>
  <c r="BH2659" i="5"/>
  <c r="BH2634" i="5"/>
  <c r="BH2620" i="5"/>
  <c r="BH2611" i="5"/>
  <c r="BH2596" i="5"/>
  <c r="BH2572" i="5"/>
  <c r="BH2560" i="5"/>
  <c r="BH2538" i="5"/>
  <c r="BH2524" i="5"/>
  <c r="BS2" i="5"/>
  <c r="BZ2" i="5" s="1"/>
  <c r="CA2" i="5" s="1"/>
  <c r="BH2519" i="5"/>
  <c r="BH2520" i="5"/>
  <c r="BH2526" i="5"/>
  <c r="BH2531" i="5"/>
  <c r="BH2543" i="5"/>
  <c r="BH2554" i="5"/>
  <c r="BH2555" i="5"/>
  <c r="BH2562" i="5"/>
  <c r="BH2566" i="5"/>
  <c r="BH2567" i="5"/>
  <c r="BH2568" i="5"/>
  <c r="BH2574" i="5"/>
  <c r="BH2586" i="5"/>
  <c r="BH2590" i="5"/>
  <c r="BH2591" i="5"/>
  <c r="BH2598" i="5"/>
  <c r="BH2602" i="5"/>
  <c r="BH2603" i="5"/>
  <c r="BH2604" i="5"/>
  <c r="BH2610" i="5"/>
  <c r="BH2615" i="5"/>
  <c r="BH2616" i="5"/>
  <c r="BH2626" i="5"/>
  <c r="BH2627" i="5"/>
  <c r="BH2628" i="5"/>
  <c r="BH2632" i="5"/>
  <c r="BH2639" i="5"/>
  <c r="BH2646" i="5"/>
  <c r="BH2650" i="5"/>
  <c r="BH2658" i="5"/>
  <c r="BH2662" i="5"/>
  <c r="BH2663" i="5"/>
  <c r="BH2664" i="5"/>
  <c r="BH2670" i="5"/>
  <c r="BH2674" i="5"/>
  <c r="BH2675" i="5"/>
  <c r="BH2686" i="5"/>
  <c r="BH2687" i="5"/>
  <c r="BH2694" i="5"/>
  <c r="BH2698" i="5"/>
  <c r="BH2699" i="5"/>
  <c r="BH2710" i="5"/>
  <c r="BH2711" i="5"/>
  <c r="BH2712" i="5"/>
  <c r="BH2724" i="5"/>
  <c r="BH2734" i="5"/>
  <c r="BH2735" i="5"/>
  <c r="BH2736" i="5"/>
  <c r="BL2491" i="5"/>
  <c r="BL2492" i="5"/>
  <c r="BL2493" i="5"/>
  <c r="BL2494" i="5"/>
  <c r="BL2495" i="5"/>
  <c r="BL2496" i="5"/>
  <c r="BL2497" i="5"/>
  <c r="BL2498" i="5"/>
  <c r="BL2499" i="5"/>
  <c r="BL2500" i="5"/>
  <c r="BL2501" i="5"/>
  <c r="BL2502" i="5"/>
  <c r="BL2503" i="5"/>
  <c r="BL2504" i="5"/>
  <c r="BL2505" i="5"/>
  <c r="BL2506" i="5"/>
  <c r="BL2507" i="5"/>
  <c r="BL2508" i="5"/>
  <c r="BL2509" i="5"/>
  <c r="BL2510" i="5"/>
  <c r="BL2511" i="5"/>
  <c r="BL2512" i="5"/>
  <c r="BL2513" i="5"/>
  <c r="BL2514" i="5"/>
  <c r="BL2515" i="5"/>
  <c r="BL2516" i="5"/>
  <c r="BL2517" i="5"/>
  <c r="BL2518" i="5"/>
  <c r="BL2519" i="5"/>
  <c r="BL2520" i="5"/>
  <c r="BL2521" i="5"/>
  <c r="BL2522" i="5"/>
  <c r="BL2523" i="5"/>
  <c r="BL2524" i="5"/>
  <c r="BL2525" i="5"/>
  <c r="BL2526" i="5"/>
  <c r="BL2527" i="5"/>
  <c r="BL2528" i="5"/>
  <c r="BL2529" i="5"/>
  <c r="BL2530" i="5"/>
  <c r="BL2531" i="5"/>
  <c r="BL2532" i="5"/>
  <c r="BL2533" i="5"/>
  <c r="BL2534" i="5"/>
  <c r="BL2535" i="5"/>
  <c r="BL2536" i="5"/>
  <c r="BL2537" i="5"/>
  <c r="BL2538" i="5"/>
  <c r="BL2539" i="5"/>
  <c r="BL2540" i="5"/>
  <c r="BL2541" i="5"/>
  <c r="BL2542" i="5"/>
  <c r="BL2543" i="5"/>
  <c r="BL2544" i="5"/>
  <c r="BL2545" i="5"/>
  <c r="BL2546" i="5"/>
  <c r="BL2547" i="5"/>
  <c r="BL2548" i="5"/>
  <c r="BL2549" i="5"/>
  <c r="BL2550" i="5"/>
  <c r="BL2551" i="5"/>
  <c r="BL2552" i="5"/>
  <c r="BL2553" i="5"/>
  <c r="BL2554" i="5"/>
  <c r="BL2555" i="5"/>
  <c r="BL2556" i="5"/>
  <c r="BL2557" i="5"/>
  <c r="BL2558" i="5"/>
  <c r="BL2559" i="5"/>
  <c r="BL2560" i="5"/>
  <c r="BL2561" i="5"/>
  <c r="BL2562" i="5"/>
  <c r="BL2563" i="5"/>
  <c r="BL2564" i="5"/>
  <c r="BL2565" i="5"/>
  <c r="BL2566" i="5"/>
  <c r="BL2567" i="5"/>
  <c r="BL2568" i="5"/>
  <c r="BL2569" i="5"/>
  <c r="BL2570" i="5"/>
  <c r="BL2571" i="5"/>
  <c r="BL2572" i="5"/>
  <c r="BL2573" i="5"/>
  <c r="BL2574" i="5"/>
  <c r="BL2575" i="5"/>
  <c r="BL2576" i="5"/>
  <c r="BL2577" i="5"/>
  <c r="BL2578" i="5"/>
  <c r="BL2579" i="5"/>
  <c r="BL2580" i="5"/>
  <c r="BL2581" i="5"/>
  <c r="BL2582" i="5"/>
  <c r="BL2583" i="5"/>
  <c r="BL2584" i="5"/>
  <c r="BL2585" i="5"/>
  <c r="BL2586" i="5"/>
  <c r="BL2587" i="5"/>
  <c r="BL2588" i="5"/>
  <c r="BL2589" i="5"/>
  <c r="BL2590" i="5"/>
  <c r="BL2591" i="5"/>
  <c r="BL2592" i="5"/>
  <c r="BL2593" i="5"/>
  <c r="BL2594" i="5"/>
  <c r="BL2595" i="5"/>
  <c r="BL2596" i="5"/>
  <c r="BL2597" i="5"/>
  <c r="BL2598" i="5"/>
  <c r="BL2599" i="5"/>
  <c r="BL2600" i="5"/>
  <c r="BL2601" i="5"/>
  <c r="BL2602" i="5"/>
  <c r="BL2603" i="5"/>
  <c r="BL2604" i="5"/>
  <c r="BL2605" i="5"/>
  <c r="BL2606" i="5"/>
  <c r="BL2607" i="5"/>
  <c r="BL2608" i="5"/>
  <c r="BL2609" i="5"/>
  <c r="BL2610" i="5"/>
  <c r="BL2611" i="5"/>
  <c r="BL2612" i="5"/>
  <c r="BL2613" i="5"/>
  <c r="BL2614" i="5"/>
  <c r="BL2615" i="5"/>
  <c r="BL2616" i="5"/>
  <c r="BL2617" i="5"/>
  <c r="BL2618" i="5"/>
  <c r="BL2619" i="5"/>
  <c r="BL2620" i="5"/>
  <c r="BL2621" i="5"/>
  <c r="BL2622" i="5"/>
  <c r="BL2623" i="5"/>
  <c r="BL2624" i="5"/>
  <c r="BL2625" i="5"/>
  <c r="BL2626" i="5"/>
  <c r="BL2627" i="5"/>
  <c r="BL2628" i="5"/>
  <c r="BL2629" i="5"/>
  <c r="BL2630" i="5"/>
  <c r="BL2631" i="5"/>
  <c r="BL2632" i="5"/>
  <c r="BL2633" i="5"/>
  <c r="BL2634" i="5"/>
  <c r="BL2635" i="5"/>
  <c r="BL2636" i="5"/>
  <c r="BL2637" i="5"/>
  <c r="BL2638" i="5"/>
  <c r="BL2639" i="5"/>
  <c r="BL2640" i="5"/>
  <c r="BL2641" i="5"/>
  <c r="BL2642" i="5"/>
  <c r="BL2643" i="5"/>
  <c r="BL2644" i="5"/>
  <c r="BL2645" i="5"/>
  <c r="BL2646" i="5"/>
  <c r="BL2647" i="5"/>
  <c r="BL2648" i="5"/>
  <c r="BL2649" i="5"/>
  <c r="BL2650" i="5"/>
  <c r="BL2651" i="5"/>
  <c r="BL2652" i="5"/>
  <c r="BL2653" i="5"/>
  <c r="BL2654" i="5"/>
  <c r="BL2655" i="5"/>
  <c r="BL2656" i="5"/>
  <c r="BL2657" i="5"/>
  <c r="BL2658" i="5"/>
  <c r="BL2659" i="5"/>
  <c r="BL2660" i="5"/>
  <c r="BL2661" i="5"/>
  <c r="BL2662" i="5"/>
  <c r="BL2663" i="5"/>
  <c r="BL2664" i="5"/>
  <c r="BL2665" i="5"/>
  <c r="BL2666" i="5"/>
  <c r="BL2667" i="5"/>
  <c r="BL2668" i="5"/>
  <c r="BL2669" i="5"/>
  <c r="BL2670" i="5"/>
  <c r="BL2671" i="5"/>
  <c r="BL2672" i="5"/>
  <c r="BL2673" i="5"/>
  <c r="BL2674" i="5"/>
  <c r="BL2675" i="5"/>
  <c r="BL2676" i="5"/>
  <c r="BL2677" i="5"/>
  <c r="BL2678" i="5"/>
  <c r="BL2679" i="5"/>
  <c r="BL2680" i="5"/>
  <c r="BL2681" i="5"/>
  <c r="BL2682" i="5"/>
  <c r="BL2683" i="5"/>
  <c r="BL2684" i="5"/>
  <c r="BL2685" i="5"/>
  <c r="BL2686" i="5"/>
  <c r="BL2687" i="5"/>
  <c r="BL2688" i="5"/>
  <c r="BL2689" i="5"/>
  <c r="BL2690" i="5"/>
  <c r="BL2691" i="5"/>
  <c r="BL2692" i="5"/>
  <c r="BL2693" i="5"/>
  <c r="BL2694" i="5"/>
  <c r="BL2695" i="5"/>
  <c r="BL2696" i="5"/>
  <c r="BL2697" i="5"/>
  <c r="BL2698" i="5"/>
  <c r="BL2699" i="5"/>
  <c r="BL2700" i="5"/>
  <c r="BL2701" i="5"/>
  <c r="BL2702" i="5"/>
  <c r="BL2703" i="5"/>
  <c r="BL2704" i="5"/>
  <c r="BL2705" i="5"/>
  <c r="BL2706" i="5"/>
  <c r="BL2707" i="5"/>
  <c r="BL2708" i="5"/>
  <c r="BL2709" i="5"/>
  <c r="BL2710" i="5"/>
  <c r="BL2711" i="5"/>
  <c r="BL2712" i="5"/>
  <c r="BL2713" i="5"/>
  <c r="BL2714" i="5"/>
  <c r="BL2715" i="5"/>
  <c r="BL2716" i="5"/>
  <c r="BL2717" i="5"/>
  <c r="BL2718" i="5"/>
  <c r="BL2719" i="5"/>
  <c r="BL2720" i="5"/>
  <c r="BL2721" i="5"/>
  <c r="BL2722" i="5"/>
  <c r="BL2723" i="5"/>
  <c r="BL2724" i="5"/>
  <c r="BL2725" i="5"/>
  <c r="BL2726" i="5"/>
  <c r="BL2727" i="5"/>
  <c r="BL2728" i="5"/>
  <c r="BL2729" i="5"/>
  <c r="BL2730" i="5"/>
  <c r="BL2731" i="5"/>
  <c r="BL2732" i="5"/>
  <c r="BL2733" i="5"/>
  <c r="BL2734" i="5"/>
  <c r="BL2735" i="5"/>
  <c r="BL2736" i="5"/>
  <c r="BL2737" i="5"/>
  <c r="BM2491" i="5"/>
  <c r="BM2492" i="5"/>
  <c r="BM2493" i="5"/>
  <c r="BM2494" i="5"/>
  <c r="BM2495" i="5"/>
  <c r="BM2496" i="5"/>
  <c r="BM2497" i="5"/>
  <c r="BM2498" i="5"/>
  <c r="BM2499" i="5"/>
  <c r="BM2500" i="5"/>
  <c r="BM2501" i="5"/>
  <c r="BM2502" i="5"/>
  <c r="BM2503" i="5"/>
  <c r="BM2504" i="5"/>
  <c r="BM2505" i="5"/>
  <c r="BM2506" i="5"/>
  <c r="BM2507" i="5"/>
  <c r="BM2508" i="5"/>
  <c r="BM2509" i="5"/>
  <c r="BM2510" i="5"/>
  <c r="BM2511" i="5"/>
  <c r="BM2512" i="5"/>
  <c r="BM2513" i="5"/>
  <c r="BM2514" i="5"/>
  <c r="BM2515" i="5"/>
  <c r="BM2516" i="5"/>
  <c r="BM2517" i="5"/>
  <c r="BM2518" i="5"/>
  <c r="BM2519" i="5"/>
  <c r="BM2520" i="5"/>
  <c r="BM2521" i="5"/>
  <c r="BM2522" i="5"/>
  <c r="BM2523" i="5"/>
  <c r="BM2524" i="5"/>
  <c r="BM2525" i="5"/>
  <c r="BM2526" i="5"/>
  <c r="BM2527" i="5"/>
  <c r="BM2528" i="5"/>
  <c r="BM2529" i="5"/>
  <c r="BM2530" i="5"/>
  <c r="BM2531" i="5"/>
  <c r="BM2532" i="5"/>
  <c r="BM2533" i="5"/>
  <c r="BM2534" i="5"/>
  <c r="BM2535" i="5"/>
  <c r="BM2536" i="5"/>
  <c r="BM2537" i="5"/>
  <c r="BM2538" i="5"/>
  <c r="BM2539" i="5"/>
  <c r="BM2540" i="5"/>
  <c r="BM2541" i="5"/>
  <c r="BM2542" i="5"/>
  <c r="BM2543" i="5"/>
  <c r="BM2544" i="5"/>
  <c r="BM2545" i="5"/>
  <c r="BM2546" i="5"/>
  <c r="BM2547" i="5"/>
  <c r="BM2548" i="5"/>
  <c r="BM2549" i="5"/>
  <c r="BM2550" i="5"/>
  <c r="BM2551" i="5"/>
  <c r="BM2552" i="5"/>
  <c r="BM2553" i="5"/>
  <c r="BM2554" i="5"/>
  <c r="BM2555" i="5"/>
  <c r="BM2556" i="5"/>
  <c r="BM2557" i="5"/>
  <c r="BM2558" i="5"/>
  <c r="BM2559" i="5"/>
  <c r="BM2560" i="5"/>
  <c r="BM2561" i="5"/>
  <c r="BM2562" i="5"/>
  <c r="BM2563" i="5"/>
  <c r="BM2564" i="5"/>
  <c r="BM2565" i="5"/>
  <c r="BM2566" i="5"/>
  <c r="BM2567" i="5"/>
  <c r="BM2568" i="5"/>
  <c r="BM2569" i="5"/>
  <c r="BM2570" i="5"/>
  <c r="BM2571" i="5"/>
  <c r="BM2572" i="5"/>
  <c r="BM2573" i="5"/>
  <c r="BM2574" i="5"/>
  <c r="BM2575" i="5"/>
  <c r="BM2576" i="5"/>
  <c r="BM2577" i="5"/>
  <c r="BM2578" i="5"/>
  <c r="BM2579" i="5"/>
  <c r="BM2580" i="5"/>
  <c r="BM2581" i="5"/>
  <c r="BM2582" i="5"/>
  <c r="BM2583" i="5"/>
  <c r="BM2584" i="5"/>
  <c r="BM2585" i="5"/>
  <c r="BM2586" i="5"/>
  <c r="BM2587" i="5"/>
  <c r="BM2588" i="5"/>
  <c r="BM2589" i="5"/>
  <c r="BM2590" i="5"/>
  <c r="BM2591" i="5"/>
  <c r="BM2592" i="5"/>
  <c r="BM2593" i="5"/>
  <c r="BM2594" i="5"/>
  <c r="BM2595" i="5"/>
  <c r="BM2596" i="5"/>
  <c r="BM2597" i="5"/>
  <c r="BM2598" i="5"/>
  <c r="BM2599" i="5"/>
  <c r="BM2600" i="5"/>
  <c r="BM2601" i="5"/>
  <c r="BM2602" i="5"/>
  <c r="BM2603" i="5"/>
  <c r="BM2604" i="5"/>
  <c r="BM2605" i="5"/>
  <c r="BM2606" i="5"/>
  <c r="BM2607" i="5"/>
  <c r="BM2608" i="5"/>
  <c r="BM2609" i="5"/>
  <c r="BM2610" i="5"/>
  <c r="BM2611" i="5"/>
  <c r="BM2612" i="5"/>
  <c r="BM2613" i="5"/>
  <c r="BM2614" i="5"/>
  <c r="BM2615" i="5"/>
  <c r="BM2616" i="5"/>
  <c r="BM2617" i="5"/>
  <c r="BM2618" i="5"/>
  <c r="BM2619" i="5"/>
  <c r="BM2620" i="5"/>
  <c r="BM2621" i="5"/>
  <c r="BM2622" i="5"/>
  <c r="BM2623" i="5"/>
  <c r="BM2624" i="5"/>
  <c r="BM2625" i="5"/>
  <c r="BM2626" i="5"/>
  <c r="BM2627" i="5"/>
  <c r="BM2628" i="5"/>
  <c r="BM2629" i="5"/>
  <c r="BM2630" i="5"/>
  <c r="BM2631" i="5"/>
  <c r="BM2632" i="5"/>
  <c r="BM2633" i="5"/>
  <c r="BM2634" i="5"/>
  <c r="BM2635" i="5"/>
  <c r="BM2636" i="5"/>
  <c r="BM2637" i="5"/>
  <c r="BM2638" i="5"/>
  <c r="BM2639" i="5"/>
  <c r="BM2640" i="5"/>
  <c r="BM2641" i="5"/>
  <c r="BM2642" i="5"/>
  <c r="BM2643" i="5"/>
  <c r="BM2644" i="5"/>
  <c r="BM2645" i="5"/>
  <c r="BM2646" i="5"/>
  <c r="BM2647" i="5"/>
  <c r="BM2648" i="5"/>
  <c r="BM2649" i="5"/>
  <c r="BM2650" i="5"/>
  <c r="BM2651" i="5"/>
  <c r="BM2652" i="5"/>
  <c r="BM2653" i="5"/>
  <c r="BM2654" i="5"/>
  <c r="BM2655" i="5"/>
  <c r="BM2656" i="5"/>
  <c r="BM2657" i="5"/>
  <c r="BM2658" i="5"/>
  <c r="BM2659" i="5"/>
  <c r="BM2660" i="5"/>
  <c r="BM2661" i="5"/>
  <c r="BM2662" i="5"/>
  <c r="BM2663" i="5"/>
  <c r="BM2664" i="5"/>
  <c r="BM2665" i="5"/>
  <c r="BM2666" i="5"/>
  <c r="BM2667" i="5"/>
  <c r="BM2668" i="5"/>
  <c r="BM2669" i="5"/>
  <c r="BM2670" i="5"/>
  <c r="BM2671" i="5"/>
  <c r="BM2672" i="5"/>
  <c r="BM2673" i="5"/>
  <c r="BM2674" i="5"/>
  <c r="BM2675" i="5"/>
  <c r="BM2676" i="5"/>
  <c r="BM2677" i="5"/>
  <c r="BM2678" i="5"/>
  <c r="BM2679" i="5"/>
  <c r="BM2680" i="5"/>
  <c r="BM2681" i="5"/>
  <c r="BM2682" i="5"/>
  <c r="BM2683" i="5"/>
  <c r="BM2684" i="5"/>
  <c r="BM2685" i="5"/>
  <c r="BM2686" i="5"/>
  <c r="BM2687" i="5"/>
  <c r="BM2688" i="5"/>
  <c r="BM2689" i="5"/>
  <c r="BM2690" i="5"/>
  <c r="BM2691" i="5"/>
  <c r="BM2692" i="5"/>
  <c r="BM2693" i="5"/>
  <c r="BM2694" i="5"/>
  <c r="BM2695" i="5"/>
  <c r="BM2696" i="5"/>
  <c r="BM2697" i="5"/>
  <c r="BM2698" i="5"/>
  <c r="BM2699" i="5"/>
  <c r="BM2700" i="5"/>
  <c r="BM2701" i="5"/>
  <c r="BM2702" i="5"/>
  <c r="BM2703" i="5"/>
  <c r="BM2704" i="5"/>
  <c r="BM2705" i="5"/>
  <c r="BM2706" i="5"/>
  <c r="BM2707" i="5"/>
  <c r="BM2708" i="5"/>
  <c r="BM2709" i="5"/>
  <c r="BM2710" i="5"/>
  <c r="BM2711" i="5"/>
  <c r="BM2712" i="5"/>
  <c r="BM2713" i="5"/>
  <c r="BM2714" i="5"/>
  <c r="BM2715" i="5"/>
  <c r="BM2716" i="5"/>
  <c r="BM2717" i="5"/>
  <c r="BM2718" i="5"/>
  <c r="BM2719" i="5"/>
  <c r="BM2720" i="5"/>
  <c r="BM2721" i="5"/>
  <c r="BM2722" i="5"/>
  <c r="BM2723" i="5"/>
  <c r="BM2724" i="5"/>
  <c r="BM2725" i="5"/>
  <c r="BM2726" i="5"/>
  <c r="BM2727" i="5"/>
  <c r="BM2728" i="5"/>
  <c r="BM2729" i="5"/>
  <c r="BM2730" i="5"/>
  <c r="BM2731" i="5"/>
  <c r="BM2732" i="5"/>
  <c r="BM2733" i="5"/>
  <c r="BM2734" i="5"/>
  <c r="BM2735" i="5"/>
  <c r="BM2736" i="5"/>
  <c r="BM2737" i="5"/>
  <c r="BN2491" i="5"/>
  <c r="BN2492" i="5"/>
  <c r="BN2493" i="5"/>
  <c r="BN2494" i="5"/>
  <c r="BN2495" i="5"/>
  <c r="BN2496" i="5"/>
  <c r="BN2497" i="5"/>
  <c r="BN2498" i="5"/>
  <c r="BN2499" i="5"/>
  <c r="BN2500" i="5"/>
  <c r="BN2501" i="5"/>
  <c r="BN2502" i="5"/>
  <c r="BN2503" i="5"/>
  <c r="BN2504" i="5"/>
  <c r="BN2505" i="5"/>
  <c r="BN2506" i="5"/>
  <c r="BN2507" i="5"/>
  <c r="BN2508" i="5"/>
  <c r="BN2509" i="5"/>
  <c r="BN2510" i="5"/>
  <c r="BN2511" i="5"/>
  <c r="BN2512" i="5"/>
  <c r="BN2513" i="5"/>
  <c r="BN2514" i="5"/>
  <c r="BN2515" i="5"/>
  <c r="BN2516" i="5"/>
  <c r="BN2517" i="5"/>
  <c r="BN2518" i="5"/>
  <c r="BN2519" i="5"/>
  <c r="BN2520" i="5"/>
  <c r="BN2521" i="5"/>
  <c r="BN2522" i="5"/>
  <c r="BN2523" i="5"/>
  <c r="BN2524" i="5"/>
  <c r="BN2525" i="5"/>
  <c r="BN2526" i="5"/>
  <c r="BN2527" i="5"/>
  <c r="BN2528" i="5"/>
  <c r="BN2529" i="5"/>
  <c r="BN2530" i="5"/>
  <c r="BN2531" i="5"/>
  <c r="BN2532" i="5"/>
  <c r="BN2533" i="5"/>
  <c r="BN2534" i="5"/>
  <c r="BN2535" i="5"/>
  <c r="BN2536" i="5"/>
  <c r="BN2537" i="5"/>
  <c r="BN2538" i="5"/>
  <c r="BN2539" i="5"/>
  <c r="BN2540" i="5"/>
  <c r="BN2541" i="5"/>
  <c r="BN2542" i="5"/>
  <c r="BN2543" i="5"/>
  <c r="BN2544" i="5"/>
  <c r="BN2545" i="5"/>
  <c r="BN2546" i="5"/>
  <c r="BN2547" i="5"/>
  <c r="BN2548" i="5"/>
  <c r="BN2549" i="5"/>
  <c r="BN2550" i="5"/>
  <c r="BN2551" i="5"/>
  <c r="BN2552" i="5"/>
  <c r="BN2553" i="5"/>
  <c r="BN2554" i="5"/>
  <c r="BN2555" i="5"/>
  <c r="BN2556" i="5"/>
  <c r="BN2557" i="5"/>
  <c r="BN2558" i="5"/>
  <c r="BN2559" i="5"/>
  <c r="BN2560" i="5"/>
  <c r="BN2561" i="5"/>
  <c r="BN2562" i="5"/>
  <c r="BN2563" i="5"/>
  <c r="BN2564" i="5"/>
  <c r="BN2565" i="5"/>
  <c r="BN2566" i="5"/>
  <c r="BN2567" i="5"/>
  <c r="BN2568" i="5"/>
  <c r="BN2569" i="5"/>
  <c r="BN2570" i="5"/>
  <c r="BN2571" i="5"/>
  <c r="BN2572" i="5"/>
  <c r="BN2573" i="5"/>
  <c r="BN2574" i="5"/>
  <c r="BN2575" i="5"/>
  <c r="BN2576" i="5"/>
  <c r="BN2577" i="5"/>
  <c r="BN2578" i="5"/>
  <c r="BN2579" i="5"/>
  <c r="BN2580" i="5"/>
  <c r="BN2581" i="5"/>
  <c r="BN2582" i="5"/>
  <c r="BN2583" i="5"/>
  <c r="BN2584" i="5"/>
  <c r="BN2585" i="5"/>
  <c r="BN2586" i="5"/>
  <c r="BN2587" i="5"/>
  <c r="BN2588" i="5"/>
  <c r="BN2589" i="5"/>
  <c r="BN2590" i="5"/>
  <c r="BN2591" i="5"/>
  <c r="BN2592" i="5"/>
  <c r="BN2593" i="5"/>
  <c r="BN2594" i="5"/>
  <c r="BN2595" i="5"/>
  <c r="BN2596" i="5"/>
  <c r="BN2597" i="5"/>
  <c r="BN2598" i="5"/>
  <c r="BN2599" i="5"/>
  <c r="BN2600" i="5"/>
  <c r="BN2601" i="5"/>
  <c r="BN2602" i="5"/>
  <c r="BN2603" i="5"/>
  <c r="BN2604" i="5"/>
  <c r="BN2605" i="5"/>
  <c r="BN2606" i="5"/>
  <c r="BN2607" i="5"/>
  <c r="BN2608" i="5"/>
  <c r="BN2609" i="5"/>
  <c r="BN2610" i="5"/>
  <c r="BN2611" i="5"/>
  <c r="BN2612" i="5"/>
  <c r="BN2613" i="5"/>
  <c r="BN2614" i="5"/>
  <c r="BN2615" i="5"/>
  <c r="BN2616" i="5"/>
  <c r="BN2617" i="5"/>
  <c r="BN2618" i="5"/>
  <c r="BN2619" i="5"/>
  <c r="BN2620" i="5"/>
  <c r="BN2621" i="5"/>
  <c r="BN2622" i="5"/>
  <c r="BN2623" i="5"/>
  <c r="BN2624" i="5"/>
  <c r="BN2625" i="5"/>
  <c r="BN2626" i="5"/>
  <c r="BN2627" i="5"/>
  <c r="BN2628" i="5"/>
  <c r="BN2629" i="5"/>
  <c r="BN2630" i="5"/>
  <c r="BN2631" i="5"/>
  <c r="BN2632" i="5"/>
  <c r="BN2633" i="5"/>
  <c r="BN2634" i="5"/>
  <c r="BN2635" i="5"/>
  <c r="BN2636" i="5"/>
  <c r="BN2637" i="5"/>
  <c r="BN2638" i="5"/>
  <c r="BN2639" i="5"/>
  <c r="BN2640" i="5"/>
  <c r="BN2641" i="5"/>
  <c r="BN2642" i="5"/>
  <c r="BN2643" i="5"/>
  <c r="BN2644" i="5"/>
  <c r="BN2645" i="5"/>
  <c r="BN2646" i="5"/>
  <c r="BN2647" i="5"/>
  <c r="BN2648" i="5"/>
  <c r="BN2649" i="5"/>
  <c r="BN2650" i="5"/>
  <c r="BN2651" i="5"/>
  <c r="BN2652" i="5"/>
  <c r="BN2653" i="5"/>
  <c r="BN2654" i="5"/>
  <c r="BN2655" i="5"/>
  <c r="BN2656" i="5"/>
  <c r="BN2657" i="5"/>
  <c r="BN2658" i="5"/>
  <c r="BN2659" i="5"/>
  <c r="BN2660" i="5"/>
  <c r="BN2661" i="5"/>
  <c r="BN2662" i="5"/>
  <c r="BN2663" i="5"/>
  <c r="BN2664" i="5"/>
  <c r="BN2665" i="5"/>
  <c r="BN2666" i="5"/>
  <c r="BN2667" i="5"/>
  <c r="BN2668" i="5"/>
  <c r="BN2669" i="5"/>
  <c r="BN2670" i="5"/>
  <c r="BN2671" i="5"/>
  <c r="BN2672" i="5"/>
  <c r="BN2673" i="5"/>
  <c r="BN2674" i="5"/>
  <c r="BN2675" i="5"/>
  <c r="BN2676" i="5"/>
  <c r="BN2677" i="5"/>
  <c r="BN2678" i="5"/>
  <c r="BN2679" i="5"/>
  <c r="BN2680" i="5"/>
  <c r="BN2681" i="5"/>
  <c r="BN2682" i="5"/>
  <c r="BN2683" i="5"/>
  <c r="BN2684" i="5"/>
  <c r="BN2685" i="5"/>
  <c r="BN2686" i="5"/>
  <c r="BN2687" i="5"/>
  <c r="BN2688" i="5"/>
  <c r="BN2689" i="5"/>
  <c r="BN2690" i="5"/>
  <c r="BN2691" i="5"/>
  <c r="BN2692" i="5"/>
  <c r="BN2693" i="5"/>
  <c r="BN2694" i="5"/>
  <c r="BN2695" i="5"/>
  <c r="BN2696" i="5"/>
  <c r="BN2697" i="5"/>
  <c r="BN2698" i="5"/>
  <c r="BN2699" i="5"/>
  <c r="BN2700" i="5"/>
  <c r="BN2701" i="5"/>
  <c r="BN2702" i="5"/>
  <c r="BN2703" i="5"/>
  <c r="BN2704" i="5"/>
  <c r="BN2705" i="5"/>
  <c r="BN2706" i="5"/>
  <c r="BN2707" i="5"/>
  <c r="BN2708" i="5"/>
  <c r="BN2709" i="5"/>
  <c r="BN2710" i="5"/>
  <c r="BN2711" i="5"/>
  <c r="BN2712" i="5"/>
  <c r="BN2713" i="5"/>
  <c r="BN2714" i="5"/>
  <c r="BN2715" i="5"/>
  <c r="BN2716" i="5"/>
  <c r="BN2717" i="5"/>
  <c r="BN2718" i="5"/>
  <c r="BN2719" i="5"/>
  <c r="BN2720" i="5"/>
  <c r="BN2721" i="5"/>
  <c r="BN2722" i="5"/>
  <c r="BN2723" i="5"/>
  <c r="BN2724" i="5"/>
  <c r="BN2725" i="5"/>
  <c r="BN2726" i="5"/>
  <c r="BN2727" i="5"/>
  <c r="BN2728" i="5"/>
  <c r="BN2729" i="5"/>
  <c r="BN2730" i="5"/>
  <c r="BN2731" i="5"/>
  <c r="BN2732" i="5"/>
  <c r="BN2733" i="5"/>
  <c r="BN2734" i="5"/>
  <c r="BN2735" i="5"/>
  <c r="BN2736" i="5"/>
  <c r="BN2737" i="5"/>
  <c r="BP2491" i="5"/>
  <c r="BP2492" i="5"/>
  <c r="BP2493" i="5"/>
  <c r="BP2494" i="5"/>
  <c r="BP2495" i="5"/>
  <c r="BP2496" i="5"/>
  <c r="BP2497" i="5"/>
  <c r="BP2498" i="5"/>
  <c r="BP2499" i="5"/>
  <c r="BP2500" i="5"/>
  <c r="BP2501" i="5"/>
  <c r="BP2502" i="5"/>
  <c r="BP2503" i="5"/>
  <c r="BP2504" i="5"/>
  <c r="BP2505" i="5"/>
  <c r="BP2506" i="5"/>
  <c r="BP2507" i="5"/>
  <c r="BP2508" i="5"/>
  <c r="BP2509" i="5"/>
  <c r="BP2510" i="5"/>
  <c r="BP2511" i="5"/>
  <c r="BP2512" i="5"/>
  <c r="BP2513" i="5"/>
  <c r="BP2514" i="5"/>
  <c r="BP2515" i="5"/>
  <c r="BP2516" i="5"/>
  <c r="BP2517" i="5"/>
  <c r="BP2518" i="5"/>
  <c r="BP2519" i="5"/>
  <c r="BP2520" i="5"/>
  <c r="BP2521" i="5"/>
  <c r="BP2522" i="5"/>
  <c r="BP2523" i="5"/>
  <c r="BP2524" i="5"/>
  <c r="BP2525" i="5"/>
  <c r="BP2526" i="5"/>
  <c r="BP2527" i="5"/>
  <c r="BP2528" i="5"/>
  <c r="BP2529" i="5"/>
  <c r="BP2530" i="5"/>
  <c r="BP2531" i="5"/>
  <c r="BP2532" i="5"/>
  <c r="BP2533" i="5"/>
  <c r="BP2534" i="5"/>
  <c r="BP2535" i="5"/>
  <c r="BP2536" i="5"/>
  <c r="BP2537" i="5"/>
  <c r="BP2538" i="5"/>
  <c r="BP2539" i="5"/>
  <c r="BP2540" i="5"/>
  <c r="BP2541" i="5"/>
  <c r="BP2542" i="5"/>
  <c r="BP2543" i="5"/>
  <c r="BP2544" i="5"/>
  <c r="BP2545" i="5"/>
  <c r="BP2546" i="5"/>
  <c r="BP2547" i="5"/>
  <c r="BP2548" i="5"/>
  <c r="BP2549" i="5"/>
  <c r="BP2550" i="5"/>
  <c r="BP2551" i="5"/>
  <c r="BP2552" i="5"/>
  <c r="BP2553" i="5"/>
  <c r="BP2554" i="5"/>
  <c r="BP2555" i="5"/>
  <c r="BP2556" i="5"/>
  <c r="BP2557" i="5"/>
  <c r="BP2558" i="5"/>
  <c r="BP2559" i="5"/>
  <c r="BP2560" i="5"/>
  <c r="BP2561" i="5"/>
  <c r="BP2562" i="5"/>
  <c r="BP2563" i="5"/>
  <c r="BP2564" i="5"/>
  <c r="BP2565" i="5"/>
  <c r="BP2566" i="5"/>
  <c r="BP2567" i="5"/>
  <c r="BP2568" i="5"/>
  <c r="BP2569" i="5"/>
  <c r="BP2570" i="5"/>
  <c r="BP2571" i="5"/>
  <c r="BP2572" i="5"/>
  <c r="BP2573" i="5"/>
  <c r="BP2574" i="5"/>
  <c r="BP2575" i="5"/>
  <c r="BP2576" i="5"/>
  <c r="BP2577" i="5"/>
  <c r="BP2578" i="5"/>
  <c r="BP2579" i="5"/>
  <c r="BP2580" i="5"/>
  <c r="BP2581" i="5"/>
  <c r="BP2582" i="5"/>
  <c r="BP2583" i="5"/>
  <c r="BP2584" i="5"/>
  <c r="BP2585" i="5"/>
  <c r="BP2586" i="5"/>
  <c r="BP2587" i="5"/>
  <c r="BP2588" i="5"/>
  <c r="BP2589" i="5"/>
  <c r="BP2590" i="5"/>
  <c r="BP2591" i="5"/>
  <c r="BP2592" i="5"/>
  <c r="BP2593" i="5"/>
  <c r="BP2594" i="5"/>
  <c r="BP2595" i="5"/>
  <c r="BP2596" i="5"/>
  <c r="BP2597" i="5"/>
  <c r="BP2598" i="5"/>
  <c r="BP2599" i="5"/>
  <c r="BP2600" i="5"/>
  <c r="BP2601" i="5"/>
  <c r="BP2602" i="5"/>
  <c r="BP2603" i="5"/>
  <c r="BP2604" i="5"/>
  <c r="BP2605" i="5"/>
  <c r="BP2606" i="5"/>
  <c r="BP2607" i="5"/>
  <c r="BP2608" i="5"/>
  <c r="BP2609" i="5"/>
  <c r="BP2610" i="5"/>
  <c r="BP2611" i="5"/>
  <c r="BP2612" i="5"/>
  <c r="BP2613" i="5"/>
  <c r="BP2614" i="5"/>
  <c r="BP2615" i="5"/>
  <c r="BP2616" i="5"/>
  <c r="BP2617" i="5"/>
  <c r="BP2618" i="5"/>
  <c r="BP2619" i="5"/>
  <c r="BP2620" i="5"/>
  <c r="BP2621" i="5"/>
  <c r="BP2622" i="5"/>
  <c r="BP2623" i="5"/>
  <c r="BP2624" i="5"/>
  <c r="BP2625" i="5"/>
  <c r="BP2626" i="5"/>
  <c r="BP2627" i="5"/>
  <c r="BP2628" i="5"/>
  <c r="BP2629" i="5"/>
  <c r="BP2630" i="5"/>
  <c r="BP2631" i="5"/>
  <c r="BP2632" i="5"/>
  <c r="BP2633" i="5"/>
  <c r="BP2634" i="5"/>
  <c r="BP2635" i="5"/>
  <c r="BP2636" i="5"/>
  <c r="BP2637" i="5"/>
  <c r="BP2638" i="5"/>
  <c r="BP2639" i="5"/>
  <c r="BP2640" i="5"/>
  <c r="BP2641" i="5"/>
  <c r="BP2642" i="5"/>
  <c r="BP2643" i="5"/>
  <c r="BP2644" i="5"/>
  <c r="BP2645" i="5"/>
  <c r="BP2646" i="5"/>
  <c r="BP2647" i="5"/>
  <c r="BP2648" i="5"/>
  <c r="BP2649" i="5"/>
  <c r="BP2650" i="5"/>
  <c r="BP2651" i="5"/>
  <c r="BP2652" i="5"/>
  <c r="BP2653" i="5"/>
  <c r="BP2654" i="5"/>
  <c r="BP2655" i="5"/>
  <c r="BP2656" i="5"/>
  <c r="BP2657" i="5"/>
  <c r="BP2658" i="5"/>
  <c r="BP2659" i="5"/>
  <c r="BP2660" i="5"/>
  <c r="BP2661" i="5"/>
  <c r="BP2662" i="5"/>
  <c r="BP2663" i="5"/>
  <c r="BP2664" i="5"/>
  <c r="BP2665" i="5"/>
  <c r="BP2666" i="5"/>
  <c r="BP2667" i="5"/>
  <c r="BP2668" i="5"/>
  <c r="BP2669" i="5"/>
  <c r="BP2670" i="5"/>
  <c r="BP2671" i="5"/>
  <c r="BP2672" i="5"/>
  <c r="BP2673" i="5"/>
  <c r="BP2674" i="5"/>
  <c r="BP2675" i="5"/>
  <c r="BP2676" i="5"/>
  <c r="BP2677" i="5"/>
  <c r="BP2678" i="5"/>
  <c r="BP2679" i="5"/>
  <c r="BP2680" i="5"/>
  <c r="BP2681" i="5"/>
  <c r="BP2682" i="5"/>
  <c r="BP2683" i="5"/>
  <c r="BP2684" i="5"/>
  <c r="BP2685" i="5"/>
  <c r="BP2686" i="5"/>
  <c r="BP2687" i="5"/>
  <c r="BP2688" i="5"/>
  <c r="BP2689" i="5"/>
  <c r="BP2690" i="5"/>
  <c r="BP2691" i="5"/>
  <c r="BP2692" i="5"/>
  <c r="BP2693" i="5"/>
  <c r="BP2694" i="5"/>
  <c r="BP2695" i="5"/>
  <c r="BP2696" i="5"/>
  <c r="BP2697" i="5"/>
  <c r="BP2698" i="5"/>
  <c r="BP2699" i="5"/>
  <c r="BP2700" i="5"/>
  <c r="BP2701" i="5"/>
  <c r="BP2702" i="5"/>
  <c r="BP2703" i="5"/>
  <c r="BP2704" i="5"/>
  <c r="BP2705" i="5"/>
  <c r="BP2706" i="5"/>
  <c r="BP2707" i="5"/>
  <c r="BP2708" i="5"/>
  <c r="BP2709" i="5"/>
  <c r="BP2710" i="5"/>
  <c r="BP2711" i="5"/>
  <c r="BP2712" i="5"/>
  <c r="BP2713" i="5"/>
  <c r="BP2714" i="5"/>
  <c r="BP2715" i="5"/>
  <c r="BP2716" i="5"/>
  <c r="BP2717" i="5"/>
  <c r="BP2718" i="5"/>
  <c r="BP2719" i="5"/>
  <c r="BP2720" i="5"/>
  <c r="BP2721" i="5"/>
  <c r="BP2722" i="5"/>
  <c r="BP2723" i="5"/>
  <c r="BP2724" i="5"/>
  <c r="BP2725" i="5"/>
  <c r="BP2726" i="5"/>
  <c r="BP2727" i="5"/>
  <c r="BP2728" i="5"/>
  <c r="BP2729" i="5"/>
  <c r="BP2730" i="5"/>
  <c r="BP2731" i="5"/>
  <c r="BP2732" i="5"/>
  <c r="BP2733" i="5"/>
  <c r="BP2734" i="5"/>
  <c r="BP2735" i="5"/>
  <c r="BP2736" i="5"/>
  <c r="BP2737" i="5"/>
  <c r="BQ2491" i="5"/>
  <c r="CB2491" i="5" s="1"/>
  <c r="BQ2492" i="5"/>
  <c r="BQ2493" i="5"/>
  <c r="CB2493" i="5" s="1"/>
  <c r="BQ2494" i="5"/>
  <c r="CB2494" i="5" s="1"/>
  <c r="BQ2495" i="5"/>
  <c r="CB2495" i="5" s="1"/>
  <c r="BQ2496" i="5"/>
  <c r="CB2496" i="5" s="1"/>
  <c r="BQ2497" i="5"/>
  <c r="CB2497" i="5" s="1"/>
  <c r="BQ2498" i="5"/>
  <c r="CB2498" i="5" s="1"/>
  <c r="BQ2499" i="5"/>
  <c r="CB2499" i="5" s="1"/>
  <c r="BQ2500" i="5"/>
  <c r="CB2500" i="5" s="1"/>
  <c r="BQ2501" i="5"/>
  <c r="CB2501" i="5" s="1"/>
  <c r="BQ2502" i="5"/>
  <c r="CB2502" i="5" s="1"/>
  <c r="BQ2503" i="5"/>
  <c r="CB2503" i="5" s="1"/>
  <c r="BQ2504" i="5"/>
  <c r="CB2504" i="5" s="1"/>
  <c r="BQ2505" i="5"/>
  <c r="CB2505" i="5" s="1"/>
  <c r="BQ2506" i="5"/>
  <c r="CB2506" i="5" s="1"/>
  <c r="BQ2507" i="5"/>
  <c r="CB2507" i="5" s="1"/>
  <c r="BQ2508" i="5"/>
  <c r="CB2508" i="5" s="1"/>
  <c r="BQ2509" i="5"/>
  <c r="CB2509" i="5" s="1"/>
  <c r="BQ2510" i="5"/>
  <c r="CB2510" i="5" s="1"/>
  <c r="BQ2511" i="5"/>
  <c r="CB2511" i="5" s="1"/>
  <c r="BQ2512" i="5"/>
  <c r="CB2512" i="5" s="1"/>
  <c r="BQ2513" i="5"/>
  <c r="CB2513" i="5" s="1"/>
  <c r="BQ2514" i="5"/>
  <c r="CB2514" i="5" s="1"/>
  <c r="BQ2515" i="5"/>
  <c r="CB2515" i="5" s="1"/>
  <c r="BQ2516" i="5"/>
  <c r="CB2516" i="5" s="1"/>
  <c r="BQ2517" i="5"/>
  <c r="CB2517" i="5" s="1"/>
  <c r="BQ2518" i="5"/>
  <c r="CB2518" i="5" s="1"/>
  <c r="BQ2519" i="5"/>
  <c r="CB2519" i="5" s="1"/>
  <c r="BQ2520" i="5"/>
  <c r="CB2520" i="5" s="1"/>
  <c r="BQ2521" i="5"/>
  <c r="CB2521" i="5" s="1"/>
  <c r="BQ2522" i="5"/>
  <c r="CB2522" i="5" s="1"/>
  <c r="BQ2523" i="5"/>
  <c r="CB2523" i="5" s="1"/>
  <c r="BQ2524" i="5"/>
  <c r="CB2524" i="5" s="1"/>
  <c r="BQ2525" i="5"/>
  <c r="CB2525" i="5" s="1"/>
  <c r="BQ2526" i="5"/>
  <c r="CB2526" i="5" s="1"/>
  <c r="BQ2527" i="5"/>
  <c r="CB2527" i="5" s="1"/>
  <c r="BQ2528" i="5"/>
  <c r="CB2528" i="5" s="1"/>
  <c r="BQ2529" i="5"/>
  <c r="CB2529" i="5" s="1"/>
  <c r="BQ2530" i="5"/>
  <c r="CB2530" i="5" s="1"/>
  <c r="BQ2531" i="5"/>
  <c r="CB2531" i="5" s="1"/>
  <c r="BQ2532" i="5"/>
  <c r="CB2532" i="5" s="1"/>
  <c r="BQ2533" i="5"/>
  <c r="CB2533" i="5" s="1"/>
  <c r="BQ2534" i="5"/>
  <c r="CB2534" i="5" s="1"/>
  <c r="BQ2535" i="5"/>
  <c r="CB2535" i="5" s="1"/>
  <c r="BQ2536" i="5"/>
  <c r="CB2536" i="5" s="1"/>
  <c r="BQ2537" i="5"/>
  <c r="CB2537" i="5" s="1"/>
  <c r="BQ2538" i="5"/>
  <c r="CB2538" i="5" s="1"/>
  <c r="BQ2539" i="5"/>
  <c r="CB2539" i="5" s="1"/>
  <c r="BQ2540" i="5"/>
  <c r="CB2540" i="5" s="1"/>
  <c r="BQ2541" i="5"/>
  <c r="CB2541" i="5" s="1"/>
  <c r="BQ2542" i="5"/>
  <c r="CB2542" i="5" s="1"/>
  <c r="BQ2543" i="5"/>
  <c r="CB2543" i="5" s="1"/>
  <c r="BQ2544" i="5"/>
  <c r="CB2544" i="5" s="1"/>
  <c r="BQ2545" i="5"/>
  <c r="CB2545" i="5" s="1"/>
  <c r="BQ2546" i="5"/>
  <c r="CB2546" i="5" s="1"/>
  <c r="BQ2547" i="5"/>
  <c r="CB2547" i="5" s="1"/>
  <c r="BQ2548" i="5"/>
  <c r="CB2548" i="5" s="1"/>
  <c r="BQ2549" i="5"/>
  <c r="CB2549" i="5" s="1"/>
  <c r="BQ2550" i="5"/>
  <c r="CB2550" i="5" s="1"/>
  <c r="BQ2551" i="5"/>
  <c r="CB2551" i="5" s="1"/>
  <c r="BQ2552" i="5"/>
  <c r="CB2552" i="5" s="1"/>
  <c r="BQ2553" i="5"/>
  <c r="CB2553" i="5" s="1"/>
  <c r="BQ2554" i="5"/>
  <c r="CB2554" i="5" s="1"/>
  <c r="BQ2555" i="5"/>
  <c r="CB2555" i="5" s="1"/>
  <c r="BQ2556" i="5"/>
  <c r="CB2556" i="5" s="1"/>
  <c r="BQ2557" i="5"/>
  <c r="CB2557" i="5" s="1"/>
  <c r="BQ2558" i="5"/>
  <c r="CB2558" i="5" s="1"/>
  <c r="BQ2559" i="5"/>
  <c r="CB2559" i="5" s="1"/>
  <c r="BQ2560" i="5"/>
  <c r="CB2560" i="5" s="1"/>
  <c r="BQ2561" i="5"/>
  <c r="CB2561" i="5" s="1"/>
  <c r="BQ2562" i="5"/>
  <c r="CB2562" i="5" s="1"/>
  <c r="BQ2563" i="5"/>
  <c r="CB2563" i="5" s="1"/>
  <c r="BQ2564" i="5"/>
  <c r="CB2564" i="5" s="1"/>
  <c r="BQ2565" i="5"/>
  <c r="CB2565" i="5" s="1"/>
  <c r="BQ2566" i="5"/>
  <c r="CB2566" i="5" s="1"/>
  <c r="BQ2567" i="5"/>
  <c r="CB2567" i="5" s="1"/>
  <c r="BQ2568" i="5"/>
  <c r="CB2568" i="5" s="1"/>
  <c r="BQ2569" i="5"/>
  <c r="CB2569" i="5" s="1"/>
  <c r="BQ2570" i="5"/>
  <c r="CB2570" i="5" s="1"/>
  <c r="BQ2571" i="5"/>
  <c r="CB2571" i="5" s="1"/>
  <c r="BQ2572" i="5"/>
  <c r="CB2572" i="5" s="1"/>
  <c r="BQ2573" i="5"/>
  <c r="CB2573" i="5" s="1"/>
  <c r="BQ2574" i="5"/>
  <c r="CB2574" i="5" s="1"/>
  <c r="BQ2575" i="5"/>
  <c r="CB2575" i="5" s="1"/>
  <c r="BQ2576" i="5"/>
  <c r="CB2576" i="5" s="1"/>
  <c r="BQ2577" i="5"/>
  <c r="CB2577" i="5" s="1"/>
  <c r="BQ2578" i="5"/>
  <c r="CB2578" i="5" s="1"/>
  <c r="BQ2579" i="5"/>
  <c r="CB2579" i="5" s="1"/>
  <c r="BQ2580" i="5"/>
  <c r="CB2580" i="5" s="1"/>
  <c r="BQ2581" i="5"/>
  <c r="CB2581" i="5" s="1"/>
  <c r="BQ2582" i="5"/>
  <c r="CB2582" i="5" s="1"/>
  <c r="BQ2583" i="5"/>
  <c r="CB2583" i="5" s="1"/>
  <c r="BQ2584" i="5"/>
  <c r="CB2584" i="5" s="1"/>
  <c r="BQ2585" i="5"/>
  <c r="CB2585" i="5" s="1"/>
  <c r="BQ2586" i="5"/>
  <c r="CB2586" i="5" s="1"/>
  <c r="BQ2587" i="5"/>
  <c r="CB2587" i="5" s="1"/>
  <c r="BQ2588" i="5"/>
  <c r="CB2588" i="5" s="1"/>
  <c r="BQ2589" i="5"/>
  <c r="CB2589" i="5" s="1"/>
  <c r="BQ2590" i="5"/>
  <c r="CB2590" i="5" s="1"/>
  <c r="BQ2591" i="5"/>
  <c r="CB2591" i="5" s="1"/>
  <c r="BQ2592" i="5"/>
  <c r="CB2592" i="5" s="1"/>
  <c r="BQ2593" i="5"/>
  <c r="CB2593" i="5" s="1"/>
  <c r="BQ2594" i="5"/>
  <c r="CB2594" i="5" s="1"/>
  <c r="BQ2595" i="5"/>
  <c r="CB2595" i="5" s="1"/>
  <c r="BQ2596" i="5"/>
  <c r="CB2596" i="5" s="1"/>
  <c r="BQ2597" i="5"/>
  <c r="CB2597" i="5" s="1"/>
  <c r="BQ2598" i="5"/>
  <c r="CB2598" i="5" s="1"/>
  <c r="BQ2599" i="5"/>
  <c r="CB2599" i="5" s="1"/>
  <c r="BQ2600" i="5"/>
  <c r="CB2600" i="5" s="1"/>
  <c r="BQ2601" i="5"/>
  <c r="CB2601" i="5" s="1"/>
  <c r="BQ2602" i="5"/>
  <c r="CB2602" i="5" s="1"/>
  <c r="BQ2603" i="5"/>
  <c r="CB2603" i="5" s="1"/>
  <c r="BQ2604" i="5"/>
  <c r="CB2604" i="5" s="1"/>
  <c r="BQ2605" i="5"/>
  <c r="CB2605" i="5" s="1"/>
  <c r="BQ2606" i="5"/>
  <c r="CB2606" i="5" s="1"/>
  <c r="BQ2607" i="5"/>
  <c r="CB2607" i="5" s="1"/>
  <c r="BQ2608" i="5"/>
  <c r="CB2608" i="5" s="1"/>
  <c r="BQ2609" i="5"/>
  <c r="CB2609" i="5" s="1"/>
  <c r="BQ2610" i="5"/>
  <c r="CB2610" i="5" s="1"/>
  <c r="BQ2611" i="5"/>
  <c r="CB2611" i="5" s="1"/>
  <c r="BQ2612" i="5"/>
  <c r="CB2612" i="5" s="1"/>
  <c r="BQ2613" i="5"/>
  <c r="CB2613" i="5" s="1"/>
  <c r="BQ2614" i="5"/>
  <c r="CB2614" i="5" s="1"/>
  <c r="BQ2615" i="5"/>
  <c r="CB2615" i="5" s="1"/>
  <c r="BQ2616" i="5"/>
  <c r="CB2616" i="5" s="1"/>
  <c r="BQ2617" i="5"/>
  <c r="CB2617" i="5" s="1"/>
  <c r="BQ2618" i="5"/>
  <c r="CB2618" i="5" s="1"/>
  <c r="BQ2619" i="5"/>
  <c r="CB2619" i="5" s="1"/>
  <c r="BQ2620" i="5"/>
  <c r="CB2620" i="5" s="1"/>
  <c r="BQ2621" i="5"/>
  <c r="CB2621" i="5" s="1"/>
  <c r="BQ2622" i="5"/>
  <c r="CB2622" i="5" s="1"/>
  <c r="BQ2623" i="5"/>
  <c r="CB2623" i="5" s="1"/>
  <c r="BQ2624" i="5"/>
  <c r="CB2624" i="5" s="1"/>
  <c r="BQ2625" i="5"/>
  <c r="CB2625" i="5" s="1"/>
  <c r="BQ2626" i="5"/>
  <c r="CB2626" i="5" s="1"/>
  <c r="BQ2627" i="5"/>
  <c r="CB2627" i="5" s="1"/>
  <c r="BQ2628" i="5"/>
  <c r="CB2628" i="5" s="1"/>
  <c r="BQ2629" i="5"/>
  <c r="CB2629" i="5" s="1"/>
  <c r="BQ2630" i="5"/>
  <c r="CB2630" i="5" s="1"/>
  <c r="BQ2631" i="5"/>
  <c r="CB2631" i="5" s="1"/>
  <c r="BQ2632" i="5"/>
  <c r="CB2632" i="5" s="1"/>
  <c r="BQ2633" i="5"/>
  <c r="CB2633" i="5" s="1"/>
  <c r="BQ2634" i="5"/>
  <c r="CB2634" i="5" s="1"/>
  <c r="BQ2635" i="5"/>
  <c r="CB2635" i="5" s="1"/>
  <c r="BQ2636" i="5"/>
  <c r="CB2636" i="5" s="1"/>
  <c r="BQ2637" i="5"/>
  <c r="CB2637" i="5" s="1"/>
  <c r="BQ2638" i="5"/>
  <c r="CB2638" i="5" s="1"/>
  <c r="BQ2639" i="5"/>
  <c r="CB2639" i="5" s="1"/>
  <c r="BQ2640" i="5"/>
  <c r="CB2640" i="5" s="1"/>
  <c r="BQ2641" i="5"/>
  <c r="CB2641" i="5" s="1"/>
  <c r="BQ2642" i="5"/>
  <c r="CB2642" i="5" s="1"/>
  <c r="BQ2643" i="5"/>
  <c r="CB2643" i="5" s="1"/>
  <c r="BQ2644" i="5"/>
  <c r="CB2644" i="5" s="1"/>
  <c r="BQ2645" i="5"/>
  <c r="CB2645" i="5" s="1"/>
  <c r="BQ2646" i="5"/>
  <c r="CB2646" i="5" s="1"/>
  <c r="BQ2647" i="5"/>
  <c r="CB2647" i="5" s="1"/>
  <c r="BQ2648" i="5"/>
  <c r="CB2648" i="5" s="1"/>
  <c r="BQ2649" i="5"/>
  <c r="CB2649" i="5" s="1"/>
  <c r="BQ2650" i="5"/>
  <c r="CB2650" i="5" s="1"/>
  <c r="BQ2651" i="5"/>
  <c r="CB2651" i="5" s="1"/>
  <c r="BQ2652" i="5"/>
  <c r="CB2652" i="5" s="1"/>
  <c r="BQ2653" i="5"/>
  <c r="CB2653" i="5" s="1"/>
  <c r="BQ2654" i="5"/>
  <c r="CB2654" i="5" s="1"/>
  <c r="BQ2655" i="5"/>
  <c r="CB2655" i="5" s="1"/>
  <c r="BQ2656" i="5"/>
  <c r="CB2656" i="5" s="1"/>
  <c r="BQ2657" i="5"/>
  <c r="CB2657" i="5" s="1"/>
  <c r="BQ2658" i="5"/>
  <c r="CB2658" i="5" s="1"/>
  <c r="BQ2659" i="5"/>
  <c r="CB2659" i="5" s="1"/>
  <c r="BQ2660" i="5"/>
  <c r="CB2660" i="5" s="1"/>
  <c r="BQ2661" i="5"/>
  <c r="CB2661" i="5" s="1"/>
  <c r="BQ2662" i="5"/>
  <c r="CB2662" i="5" s="1"/>
  <c r="BQ2663" i="5"/>
  <c r="CB2663" i="5" s="1"/>
  <c r="BQ2664" i="5"/>
  <c r="CB2664" i="5" s="1"/>
  <c r="BQ2665" i="5"/>
  <c r="CB2665" i="5" s="1"/>
  <c r="BQ2666" i="5"/>
  <c r="CB2666" i="5" s="1"/>
  <c r="BQ2667" i="5"/>
  <c r="CB2667" i="5" s="1"/>
  <c r="BQ2668" i="5"/>
  <c r="CB2668" i="5" s="1"/>
  <c r="BQ2669" i="5"/>
  <c r="CB2669" i="5" s="1"/>
  <c r="BQ2670" i="5"/>
  <c r="CB2670" i="5" s="1"/>
  <c r="BQ2671" i="5"/>
  <c r="CB2671" i="5" s="1"/>
  <c r="BQ2672" i="5"/>
  <c r="CB2672" i="5" s="1"/>
  <c r="BQ2673" i="5"/>
  <c r="CB2673" i="5" s="1"/>
  <c r="BQ2674" i="5"/>
  <c r="CB2674" i="5" s="1"/>
  <c r="BQ2675" i="5"/>
  <c r="CB2675" i="5" s="1"/>
  <c r="BQ2676" i="5"/>
  <c r="CB2676" i="5" s="1"/>
  <c r="BQ2677" i="5"/>
  <c r="CB2677" i="5" s="1"/>
  <c r="BQ2678" i="5"/>
  <c r="CB2678" i="5" s="1"/>
  <c r="BQ2679" i="5"/>
  <c r="CB2679" i="5" s="1"/>
  <c r="BQ2680" i="5"/>
  <c r="CB2680" i="5" s="1"/>
  <c r="BQ2681" i="5"/>
  <c r="CB2681" i="5" s="1"/>
  <c r="BQ2682" i="5"/>
  <c r="CB2682" i="5" s="1"/>
  <c r="BQ2683" i="5"/>
  <c r="CB2683" i="5" s="1"/>
  <c r="BQ2684" i="5"/>
  <c r="CB2684" i="5" s="1"/>
  <c r="BQ2685" i="5"/>
  <c r="CB2685" i="5" s="1"/>
  <c r="BQ2686" i="5"/>
  <c r="CB2686" i="5" s="1"/>
  <c r="BQ2687" i="5"/>
  <c r="CB2687" i="5" s="1"/>
  <c r="BQ2688" i="5"/>
  <c r="CB2688" i="5" s="1"/>
  <c r="BQ2689" i="5"/>
  <c r="CB2689" i="5" s="1"/>
  <c r="BQ2690" i="5"/>
  <c r="CB2690" i="5" s="1"/>
  <c r="BQ2691" i="5"/>
  <c r="CB2691" i="5" s="1"/>
  <c r="BQ2692" i="5"/>
  <c r="CB2692" i="5" s="1"/>
  <c r="BQ2693" i="5"/>
  <c r="CB2693" i="5" s="1"/>
  <c r="BQ2694" i="5"/>
  <c r="CB2694" i="5" s="1"/>
  <c r="BQ2695" i="5"/>
  <c r="CB2695" i="5" s="1"/>
  <c r="BQ2696" i="5"/>
  <c r="CB2696" i="5" s="1"/>
  <c r="BQ2697" i="5"/>
  <c r="CB2697" i="5" s="1"/>
  <c r="BQ2698" i="5"/>
  <c r="CB2698" i="5" s="1"/>
  <c r="BQ2699" i="5"/>
  <c r="CB2699" i="5" s="1"/>
  <c r="BQ2700" i="5"/>
  <c r="CB2700" i="5" s="1"/>
  <c r="BQ2701" i="5"/>
  <c r="CB2701" i="5" s="1"/>
  <c r="BQ2702" i="5"/>
  <c r="CB2702" i="5" s="1"/>
  <c r="BQ2703" i="5"/>
  <c r="CB2703" i="5" s="1"/>
  <c r="BQ2704" i="5"/>
  <c r="CB2704" i="5" s="1"/>
  <c r="BQ2705" i="5"/>
  <c r="CB2705" i="5" s="1"/>
  <c r="BQ2706" i="5"/>
  <c r="CB2706" i="5" s="1"/>
  <c r="BQ2707" i="5"/>
  <c r="CB2707" i="5" s="1"/>
  <c r="BQ2708" i="5"/>
  <c r="CB2708" i="5" s="1"/>
  <c r="BQ2709" i="5"/>
  <c r="CB2709" i="5" s="1"/>
  <c r="BQ2710" i="5"/>
  <c r="CB2710" i="5" s="1"/>
  <c r="BQ2711" i="5"/>
  <c r="CB2711" i="5" s="1"/>
  <c r="BQ2712" i="5"/>
  <c r="CB2712" i="5" s="1"/>
  <c r="BQ2713" i="5"/>
  <c r="CB2713" i="5" s="1"/>
  <c r="BQ2714" i="5"/>
  <c r="CB2714" i="5" s="1"/>
  <c r="BQ2715" i="5"/>
  <c r="CB2715" i="5" s="1"/>
  <c r="BQ2716" i="5"/>
  <c r="CB2716" i="5" s="1"/>
  <c r="BQ2717" i="5"/>
  <c r="CB2717" i="5" s="1"/>
  <c r="BQ2718" i="5"/>
  <c r="CB2718" i="5" s="1"/>
  <c r="BQ2719" i="5"/>
  <c r="CB2719" i="5" s="1"/>
  <c r="BQ2720" i="5"/>
  <c r="CB2720" i="5" s="1"/>
  <c r="BQ2721" i="5"/>
  <c r="CB2721" i="5" s="1"/>
  <c r="BQ2722" i="5"/>
  <c r="CB2722" i="5" s="1"/>
  <c r="BQ2723" i="5"/>
  <c r="CB2723" i="5" s="1"/>
  <c r="BQ2724" i="5"/>
  <c r="CB2724" i="5" s="1"/>
  <c r="BQ2725" i="5"/>
  <c r="CB2725" i="5" s="1"/>
  <c r="BQ2726" i="5"/>
  <c r="CB2726" i="5" s="1"/>
  <c r="BQ2727" i="5"/>
  <c r="CB2727" i="5" s="1"/>
  <c r="BQ2728" i="5"/>
  <c r="CB2728" i="5" s="1"/>
  <c r="BQ2729" i="5"/>
  <c r="CB2729" i="5" s="1"/>
  <c r="BQ2730" i="5"/>
  <c r="CB2730" i="5" s="1"/>
  <c r="BQ2731" i="5"/>
  <c r="CB2731" i="5" s="1"/>
  <c r="BQ2732" i="5"/>
  <c r="CB2732" i="5" s="1"/>
  <c r="BQ2733" i="5"/>
  <c r="CB2733" i="5" s="1"/>
  <c r="BQ2734" i="5"/>
  <c r="CB2734" i="5" s="1"/>
  <c r="BQ2735" i="5"/>
  <c r="CB2735" i="5" s="1"/>
  <c r="BQ2736" i="5"/>
  <c r="CB2736" i="5" s="1"/>
  <c r="BQ2737" i="5"/>
  <c r="CB2737" i="5" s="1"/>
  <c r="BT2491" i="5"/>
  <c r="BT2492" i="5"/>
  <c r="BT2493" i="5"/>
  <c r="BX2493" i="5" s="1"/>
  <c r="BT2494" i="5"/>
  <c r="BT2495" i="5"/>
  <c r="BX2495" i="5" s="1"/>
  <c r="BT2496" i="5"/>
  <c r="BT2497" i="5"/>
  <c r="BX2497" i="5" s="1"/>
  <c r="BT2498" i="5"/>
  <c r="BT2499" i="5"/>
  <c r="BT2500" i="5"/>
  <c r="BT2501" i="5"/>
  <c r="BT2502" i="5"/>
  <c r="BT2503" i="5"/>
  <c r="BT2504" i="5"/>
  <c r="BT2505" i="5"/>
  <c r="BT2506" i="5"/>
  <c r="BT2507" i="5"/>
  <c r="BX2507" i="5" s="1"/>
  <c r="BT2508" i="5"/>
  <c r="BT2509" i="5"/>
  <c r="BX2509" i="5" s="1"/>
  <c r="BT2510" i="5"/>
  <c r="BT2511" i="5"/>
  <c r="BT2512" i="5"/>
  <c r="BX2512" i="5" s="1"/>
  <c r="BT2513" i="5"/>
  <c r="BX2513" i="5" s="1"/>
  <c r="BT2514" i="5"/>
  <c r="BX2514" i="5" s="1"/>
  <c r="BT2515" i="5"/>
  <c r="BT2516" i="5"/>
  <c r="BT2517" i="5"/>
  <c r="BT2518" i="5"/>
  <c r="BT2519" i="5"/>
  <c r="BT2520" i="5"/>
  <c r="BT2521" i="5"/>
  <c r="BX2521" i="5" s="1"/>
  <c r="BT2522" i="5"/>
  <c r="BT2523" i="5"/>
  <c r="BT2524" i="5"/>
  <c r="BT2525" i="5"/>
  <c r="BT2526" i="5"/>
  <c r="BT2527" i="5"/>
  <c r="BT2528" i="5"/>
  <c r="BT2529" i="5"/>
  <c r="BT2530" i="5"/>
  <c r="BT2531" i="5"/>
  <c r="BT2532" i="5"/>
  <c r="BT2533" i="5"/>
  <c r="BX2533" i="5" s="1"/>
  <c r="BT2534" i="5"/>
  <c r="BT2535" i="5"/>
  <c r="BT2536" i="5"/>
  <c r="BX2536" i="5" s="1"/>
  <c r="BT2537" i="5"/>
  <c r="BX2537" i="5" s="1"/>
  <c r="BT2538" i="5"/>
  <c r="BX2538" i="5" s="1"/>
  <c r="BT2539" i="5"/>
  <c r="BT2540" i="5"/>
  <c r="BT2541" i="5"/>
  <c r="BT2542" i="5"/>
  <c r="BT2543" i="5"/>
  <c r="BT2544" i="5"/>
  <c r="BT2545" i="5"/>
  <c r="BX2545" i="5" s="1"/>
  <c r="BT2546" i="5"/>
  <c r="BT2547" i="5"/>
  <c r="BT2548" i="5"/>
  <c r="BT2549" i="5"/>
  <c r="BT2550" i="5"/>
  <c r="BT2551" i="5"/>
  <c r="BT2552" i="5"/>
  <c r="BT2553" i="5"/>
  <c r="BT2554" i="5"/>
  <c r="BT2555" i="5"/>
  <c r="BT2556" i="5"/>
  <c r="BT2557" i="5"/>
  <c r="BX2557" i="5" s="1"/>
  <c r="BT2558" i="5"/>
  <c r="BT2559" i="5"/>
  <c r="BT2560" i="5"/>
  <c r="BX2560" i="5" s="1"/>
  <c r="BT2561" i="5"/>
  <c r="BX2561" i="5" s="1"/>
  <c r="BT2562" i="5"/>
  <c r="BX2562" i="5" s="1"/>
  <c r="BT2563" i="5"/>
  <c r="BT2564" i="5"/>
  <c r="BT2565" i="5"/>
  <c r="BT2566" i="5"/>
  <c r="BT2567" i="5"/>
  <c r="BT2568" i="5"/>
  <c r="BT2569" i="5"/>
  <c r="BX2569" i="5" s="1"/>
  <c r="BT2570" i="5"/>
  <c r="BT2571" i="5"/>
  <c r="BT2572" i="5"/>
  <c r="BT2573" i="5"/>
  <c r="BT2574" i="5"/>
  <c r="BT2575" i="5"/>
  <c r="BT2576" i="5"/>
  <c r="BT2577" i="5"/>
  <c r="BT2578" i="5"/>
  <c r="BT2579" i="5"/>
  <c r="BT2580" i="5"/>
  <c r="BT2581" i="5"/>
  <c r="BX2581" i="5" s="1"/>
  <c r="BT2582" i="5"/>
  <c r="BT2583" i="5"/>
  <c r="BT2584" i="5"/>
  <c r="BX2584" i="5" s="1"/>
  <c r="BT2585" i="5"/>
  <c r="BX2585" i="5" s="1"/>
  <c r="BT2586" i="5"/>
  <c r="BX2586" i="5" s="1"/>
  <c r="BT2587" i="5"/>
  <c r="BT2588" i="5"/>
  <c r="BT2589" i="5"/>
  <c r="BT2590" i="5"/>
  <c r="BT2591" i="5"/>
  <c r="BT2592" i="5"/>
  <c r="BT2593" i="5"/>
  <c r="BX2593" i="5" s="1"/>
  <c r="BT2594" i="5"/>
  <c r="BT2595" i="5"/>
  <c r="BT2596" i="5"/>
  <c r="BT2597" i="5"/>
  <c r="BT2598" i="5"/>
  <c r="BT2599" i="5"/>
  <c r="BT2600" i="5"/>
  <c r="BT2601" i="5"/>
  <c r="BT2602" i="5"/>
  <c r="BT2603" i="5"/>
  <c r="BT2604" i="5"/>
  <c r="BT2605" i="5"/>
  <c r="BX2605" i="5" s="1"/>
  <c r="BT2606" i="5"/>
  <c r="BT2607" i="5"/>
  <c r="BT2608" i="5"/>
  <c r="BX2608" i="5" s="1"/>
  <c r="BT2609" i="5"/>
  <c r="BX2609" i="5" s="1"/>
  <c r="BT2610" i="5"/>
  <c r="BX2610" i="5" s="1"/>
  <c r="BT2611" i="5"/>
  <c r="BT2612" i="5"/>
  <c r="BT2613" i="5"/>
  <c r="BT2614" i="5"/>
  <c r="BT2615" i="5"/>
  <c r="BT2616" i="5"/>
  <c r="BT2617" i="5"/>
  <c r="BX2617" i="5" s="1"/>
  <c r="BT2618" i="5"/>
  <c r="BT2619" i="5"/>
  <c r="BT2620" i="5"/>
  <c r="BT2621" i="5"/>
  <c r="BT2622" i="5"/>
  <c r="BT2623" i="5"/>
  <c r="BT2624" i="5"/>
  <c r="BT2625" i="5"/>
  <c r="BT2626" i="5"/>
  <c r="BT2627" i="5"/>
  <c r="BT2628" i="5"/>
  <c r="BT2629" i="5"/>
  <c r="BX2629" i="5" s="1"/>
  <c r="BT2630" i="5"/>
  <c r="BT2631" i="5"/>
  <c r="BT2632" i="5"/>
  <c r="BX2632" i="5" s="1"/>
  <c r="BT2633" i="5"/>
  <c r="BX2633" i="5" s="1"/>
  <c r="BT2634" i="5"/>
  <c r="BX2634" i="5" s="1"/>
  <c r="BT2635" i="5"/>
  <c r="BT2636" i="5"/>
  <c r="BT2637" i="5"/>
  <c r="BT2638" i="5"/>
  <c r="BT2639" i="5"/>
  <c r="BT2640" i="5"/>
  <c r="BT2641" i="5"/>
  <c r="BX2641" i="5" s="1"/>
  <c r="BT2642" i="5"/>
  <c r="BT2643" i="5"/>
  <c r="BT2644" i="5"/>
  <c r="BT2645" i="5"/>
  <c r="BT2646" i="5"/>
  <c r="BT2647" i="5"/>
  <c r="BT2648" i="5"/>
  <c r="BT2649" i="5"/>
  <c r="BT2650" i="5"/>
  <c r="BT2651" i="5"/>
  <c r="BT2652" i="5"/>
  <c r="BT2653" i="5"/>
  <c r="BX2653" i="5" s="1"/>
  <c r="BT2654" i="5"/>
  <c r="BT2655" i="5"/>
  <c r="BT2656" i="5"/>
  <c r="BX2656" i="5" s="1"/>
  <c r="BT2657" i="5"/>
  <c r="BX2657" i="5" s="1"/>
  <c r="BT2658" i="5"/>
  <c r="BX2658" i="5" s="1"/>
  <c r="BT2659" i="5"/>
  <c r="BT2660" i="5"/>
  <c r="BT2661" i="5"/>
  <c r="BT2662" i="5"/>
  <c r="BT2663" i="5"/>
  <c r="BT2664" i="5"/>
  <c r="BT2665" i="5"/>
  <c r="BX2665" i="5" s="1"/>
  <c r="BT2666" i="5"/>
  <c r="BT2667" i="5"/>
  <c r="BT2668" i="5"/>
  <c r="BT2669" i="5"/>
  <c r="BT2670" i="5"/>
  <c r="BT2671" i="5"/>
  <c r="BT2672" i="5"/>
  <c r="BT2673" i="5"/>
  <c r="BT2674" i="5"/>
  <c r="BT2675" i="5"/>
  <c r="BT2676" i="5"/>
  <c r="BT2677" i="5"/>
  <c r="BX2677" i="5" s="1"/>
  <c r="BT2678" i="5"/>
  <c r="BT2679" i="5"/>
  <c r="BT2680" i="5"/>
  <c r="BX2680" i="5" s="1"/>
  <c r="BT2681" i="5"/>
  <c r="BX2681" i="5" s="1"/>
  <c r="BT2682" i="5"/>
  <c r="BX2682" i="5" s="1"/>
  <c r="BT2683" i="5"/>
  <c r="BT2684" i="5"/>
  <c r="BT2685" i="5"/>
  <c r="BT2686" i="5"/>
  <c r="BT2687" i="5"/>
  <c r="BT2688" i="5"/>
  <c r="BT2689" i="5"/>
  <c r="BX2689" i="5" s="1"/>
  <c r="BT2690" i="5"/>
  <c r="BT2691" i="5"/>
  <c r="BT2692" i="5"/>
  <c r="BT2693" i="5"/>
  <c r="BT2694" i="5"/>
  <c r="BT2695" i="5"/>
  <c r="BT2696" i="5"/>
  <c r="BT2697" i="5"/>
  <c r="BT2698" i="5"/>
  <c r="BT2699" i="5"/>
  <c r="BT2700" i="5"/>
  <c r="BT2701" i="5"/>
  <c r="BX2701" i="5" s="1"/>
  <c r="BT2702" i="5"/>
  <c r="BT2703" i="5"/>
  <c r="BT2704" i="5"/>
  <c r="BX2704" i="5" s="1"/>
  <c r="BT2705" i="5"/>
  <c r="BX2705" i="5" s="1"/>
  <c r="BT2706" i="5"/>
  <c r="BX2706" i="5" s="1"/>
  <c r="BT2707" i="5"/>
  <c r="BT2708" i="5"/>
  <c r="BT2709" i="5"/>
  <c r="BT2710" i="5"/>
  <c r="BT2711" i="5"/>
  <c r="BT2712" i="5"/>
  <c r="BT2713" i="5"/>
  <c r="BX2713" i="5" s="1"/>
  <c r="BT2714" i="5"/>
  <c r="BT2715" i="5"/>
  <c r="BT2716" i="5"/>
  <c r="BT2717" i="5"/>
  <c r="BT2718" i="5"/>
  <c r="BT2719" i="5"/>
  <c r="BT2720" i="5"/>
  <c r="BT2721" i="5"/>
  <c r="BT2722" i="5"/>
  <c r="BT2723" i="5"/>
  <c r="BT2724" i="5"/>
  <c r="BT2725" i="5"/>
  <c r="BX2725" i="5" s="1"/>
  <c r="BT2726" i="5"/>
  <c r="BT2727" i="5"/>
  <c r="BT2728" i="5"/>
  <c r="BX2728" i="5" s="1"/>
  <c r="BT2729" i="5"/>
  <c r="BX2729" i="5" s="1"/>
  <c r="BT2730" i="5"/>
  <c r="BX2730" i="5" s="1"/>
  <c r="BT2731" i="5"/>
  <c r="BT2732" i="5"/>
  <c r="BT2733" i="5"/>
  <c r="BT2734" i="5"/>
  <c r="BT2735" i="5"/>
  <c r="BT2736" i="5"/>
  <c r="BT2737" i="5"/>
  <c r="BX2737" i="5" s="1"/>
  <c r="BQ2" i="5"/>
  <c r="CB2" i="5" s="1"/>
  <c r="BH2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T210" i="5"/>
  <c r="BX210" i="5" s="1"/>
  <c r="BT232" i="5"/>
  <c r="BX232" i="5" s="1"/>
  <c r="BT2438" i="5"/>
  <c r="BT2481" i="5"/>
  <c r="BT2488" i="5"/>
  <c r="BT2489" i="5"/>
  <c r="BX2489" i="5" s="1"/>
  <c r="BT2490" i="5"/>
  <c r="BQ3" i="5"/>
  <c r="CB3" i="5" s="1"/>
  <c r="BQ4" i="5"/>
  <c r="CB4" i="5" s="1"/>
  <c r="BQ5" i="5"/>
  <c r="CB5" i="5" s="1"/>
  <c r="BQ6" i="5"/>
  <c r="CB6" i="5" s="1"/>
  <c r="BQ7" i="5"/>
  <c r="CB7" i="5" s="1"/>
  <c r="BQ8" i="5"/>
  <c r="CB8" i="5" s="1"/>
  <c r="BQ9" i="5"/>
  <c r="CB9" i="5" s="1"/>
  <c r="BQ10" i="5"/>
  <c r="CB10" i="5" s="1"/>
  <c r="BQ11" i="5"/>
  <c r="CB11" i="5" s="1"/>
  <c r="BQ12" i="5"/>
  <c r="CB12" i="5" s="1"/>
  <c r="BQ13" i="5"/>
  <c r="CB13" i="5" s="1"/>
  <c r="BQ14" i="5"/>
  <c r="CB14" i="5" s="1"/>
  <c r="BQ15" i="5"/>
  <c r="CB15" i="5" s="1"/>
  <c r="BQ16" i="5"/>
  <c r="CB16" i="5" s="1"/>
  <c r="BQ17" i="5"/>
  <c r="CB17" i="5" s="1"/>
  <c r="BQ18" i="5"/>
  <c r="CB18" i="5" s="1"/>
  <c r="BQ19" i="5"/>
  <c r="CB19" i="5" s="1"/>
  <c r="BQ20" i="5"/>
  <c r="CB20" i="5" s="1"/>
  <c r="BQ21" i="5"/>
  <c r="CB21" i="5" s="1"/>
  <c r="BQ22" i="5"/>
  <c r="CB22" i="5" s="1"/>
  <c r="BQ23" i="5"/>
  <c r="CB23" i="5" s="1"/>
  <c r="BQ24" i="5"/>
  <c r="CB24" i="5" s="1"/>
  <c r="BQ25" i="5"/>
  <c r="CB25" i="5" s="1"/>
  <c r="BQ26" i="5"/>
  <c r="CB26" i="5" s="1"/>
  <c r="BQ27" i="5"/>
  <c r="CB27" i="5" s="1"/>
  <c r="BQ28" i="5"/>
  <c r="CB28" i="5" s="1"/>
  <c r="BQ29" i="5"/>
  <c r="CB29" i="5" s="1"/>
  <c r="BQ30" i="5"/>
  <c r="CB30" i="5" s="1"/>
  <c r="BQ31" i="5"/>
  <c r="CB31" i="5" s="1"/>
  <c r="BQ32" i="5"/>
  <c r="CB32" i="5" s="1"/>
  <c r="BQ33" i="5"/>
  <c r="CB33" i="5" s="1"/>
  <c r="BQ34" i="5"/>
  <c r="CB34" i="5" s="1"/>
  <c r="BQ35" i="5"/>
  <c r="CB35" i="5" s="1"/>
  <c r="BQ36" i="5"/>
  <c r="CB36" i="5" s="1"/>
  <c r="BQ37" i="5"/>
  <c r="CB37" i="5" s="1"/>
  <c r="BQ38" i="5"/>
  <c r="CB38" i="5" s="1"/>
  <c r="BQ39" i="5"/>
  <c r="CB39" i="5" s="1"/>
  <c r="BQ40" i="5"/>
  <c r="CB40" i="5" s="1"/>
  <c r="BQ41" i="5"/>
  <c r="CB41" i="5" s="1"/>
  <c r="BQ42" i="5"/>
  <c r="CB42" i="5" s="1"/>
  <c r="BQ43" i="5"/>
  <c r="CB43" i="5" s="1"/>
  <c r="BQ44" i="5"/>
  <c r="CB44" i="5" s="1"/>
  <c r="BQ45" i="5"/>
  <c r="CB45" i="5" s="1"/>
  <c r="BQ46" i="5"/>
  <c r="CB46" i="5" s="1"/>
  <c r="BQ47" i="5"/>
  <c r="CB47" i="5" s="1"/>
  <c r="BQ48" i="5"/>
  <c r="CB48" i="5" s="1"/>
  <c r="BQ49" i="5"/>
  <c r="CB49" i="5" s="1"/>
  <c r="BQ50" i="5"/>
  <c r="CB50" i="5" s="1"/>
  <c r="BQ51" i="5"/>
  <c r="CB51" i="5" s="1"/>
  <c r="BQ52" i="5"/>
  <c r="CB52" i="5" s="1"/>
  <c r="BQ53" i="5"/>
  <c r="CB53" i="5" s="1"/>
  <c r="BQ54" i="5"/>
  <c r="CB54" i="5" s="1"/>
  <c r="BQ55" i="5"/>
  <c r="CB55" i="5" s="1"/>
  <c r="BQ56" i="5"/>
  <c r="CB56" i="5" s="1"/>
  <c r="BQ57" i="5"/>
  <c r="CB57" i="5" s="1"/>
  <c r="BQ58" i="5"/>
  <c r="CB58" i="5" s="1"/>
  <c r="BQ59" i="5"/>
  <c r="CB59" i="5" s="1"/>
  <c r="BQ60" i="5"/>
  <c r="CB60" i="5" s="1"/>
  <c r="BQ61" i="5"/>
  <c r="CB61" i="5" s="1"/>
  <c r="BQ62" i="5"/>
  <c r="CB62" i="5" s="1"/>
  <c r="BQ63" i="5"/>
  <c r="CB63" i="5" s="1"/>
  <c r="BQ64" i="5"/>
  <c r="CB64" i="5" s="1"/>
  <c r="BQ65" i="5"/>
  <c r="CB65" i="5" s="1"/>
  <c r="BQ66" i="5"/>
  <c r="CB66" i="5" s="1"/>
  <c r="BQ67" i="5"/>
  <c r="CB67" i="5" s="1"/>
  <c r="BQ68" i="5"/>
  <c r="CB68" i="5" s="1"/>
  <c r="BQ69" i="5"/>
  <c r="CB69" i="5" s="1"/>
  <c r="BQ70" i="5"/>
  <c r="CB70" i="5" s="1"/>
  <c r="BQ71" i="5"/>
  <c r="CB71" i="5" s="1"/>
  <c r="BQ72" i="5"/>
  <c r="CB72" i="5" s="1"/>
  <c r="BQ73" i="5"/>
  <c r="CB73" i="5" s="1"/>
  <c r="BQ74" i="5"/>
  <c r="CB74" i="5" s="1"/>
  <c r="BQ75" i="5"/>
  <c r="CB75" i="5" s="1"/>
  <c r="BQ76" i="5"/>
  <c r="CB76" i="5" s="1"/>
  <c r="BQ77" i="5"/>
  <c r="CB77" i="5" s="1"/>
  <c r="BQ78" i="5"/>
  <c r="CB78" i="5" s="1"/>
  <c r="BQ79" i="5"/>
  <c r="CB79" i="5" s="1"/>
  <c r="BQ80" i="5"/>
  <c r="CB80" i="5" s="1"/>
  <c r="BQ81" i="5"/>
  <c r="CB81" i="5" s="1"/>
  <c r="BQ82" i="5"/>
  <c r="CB82" i="5" s="1"/>
  <c r="BQ83" i="5"/>
  <c r="CB83" i="5" s="1"/>
  <c r="BQ84" i="5"/>
  <c r="CB84" i="5" s="1"/>
  <c r="BQ85" i="5"/>
  <c r="CB85" i="5" s="1"/>
  <c r="BQ86" i="5"/>
  <c r="CB86" i="5" s="1"/>
  <c r="BQ87" i="5"/>
  <c r="CB87" i="5" s="1"/>
  <c r="BQ88" i="5"/>
  <c r="CB88" i="5" s="1"/>
  <c r="BQ89" i="5"/>
  <c r="CB89" i="5" s="1"/>
  <c r="BQ90" i="5"/>
  <c r="CB90" i="5" s="1"/>
  <c r="BQ91" i="5"/>
  <c r="CB91" i="5" s="1"/>
  <c r="BQ92" i="5"/>
  <c r="CB92" i="5" s="1"/>
  <c r="BQ93" i="5"/>
  <c r="CB93" i="5" s="1"/>
  <c r="BQ94" i="5"/>
  <c r="CB94" i="5" s="1"/>
  <c r="BQ95" i="5"/>
  <c r="CB95" i="5" s="1"/>
  <c r="BQ96" i="5"/>
  <c r="CB96" i="5" s="1"/>
  <c r="BQ97" i="5"/>
  <c r="CB97" i="5" s="1"/>
  <c r="BQ98" i="5"/>
  <c r="CB98" i="5" s="1"/>
  <c r="BQ99" i="5"/>
  <c r="CB99" i="5" s="1"/>
  <c r="BQ100" i="5"/>
  <c r="CB100" i="5" s="1"/>
  <c r="BQ101" i="5"/>
  <c r="CB101" i="5" s="1"/>
  <c r="BQ102" i="5"/>
  <c r="CB102" i="5" s="1"/>
  <c r="BQ103" i="5"/>
  <c r="CB103" i="5" s="1"/>
  <c r="BQ104" i="5"/>
  <c r="CB104" i="5" s="1"/>
  <c r="BQ105" i="5"/>
  <c r="CB105" i="5" s="1"/>
  <c r="BQ106" i="5"/>
  <c r="CB106" i="5" s="1"/>
  <c r="BQ107" i="5"/>
  <c r="CB107" i="5" s="1"/>
  <c r="BQ108" i="5"/>
  <c r="CB108" i="5" s="1"/>
  <c r="BQ109" i="5"/>
  <c r="CB109" i="5" s="1"/>
  <c r="BQ110" i="5"/>
  <c r="CB110" i="5" s="1"/>
  <c r="BQ111" i="5"/>
  <c r="CB111" i="5" s="1"/>
  <c r="BQ112" i="5"/>
  <c r="CB112" i="5" s="1"/>
  <c r="BQ113" i="5"/>
  <c r="CB113" i="5" s="1"/>
  <c r="BQ114" i="5"/>
  <c r="CB114" i="5" s="1"/>
  <c r="BQ115" i="5"/>
  <c r="CB115" i="5" s="1"/>
  <c r="BQ116" i="5"/>
  <c r="CB116" i="5" s="1"/>
  <c r="BQ117" i="5"/>
  <c r="CB117" i="5" s="1"/>
  <c r="BQ118" i="5"/>
  <c r="CB118" i="5" s="1"/>
  <c r="BQ119" i="5"/>
  <c r="CB119" i="5" s="1"/>
  <c r="BQ120" i="5"/>
  <c r="CB120" i="5" s="1"/>
  <c r="BQ121" i="5"/>
  <c r="CB121" i="5" s="1"/>
  <c r="BQ122" i="5"/>
  <c r="CB122" i="5" s="1"/>
  <c r="BQ123" i="5"/>
  <c r="CB123" i="5" s="1"/>
  <c r="BQ124" i="5"/>
  <c r="CB124" i="5" s="1"/>
  <c r="BQ125" i="5"/>
  <c r="CB125" i="5" s="1"/>
  <c r="BQ126" i="5"/>
  <c r="CB126" i="5" s="1"/>
  <c r="BQ127" i="5"/>
  <c r="CB127" i="5" s="1"/>
  <c r="BQ128" i="5"/>
  <c r="CB128" i="5" s="1"/>
  <c r="BQ129" i="5"/>
  <c r="CB129" i="5" s="1"/>
  <c r="BQ130" i="5"/>
  <c r="CB130" i="5" s="1"/>
  <c r="BQ131" i="5"/>
  <c r="CB131" i="5" s="1"/>
  <c r="BQ132" i="5"/>
  <c r="CB132" i="5" s="1"/>
  <c r="BQ133" i="5"/>
  <c r="CB133" i="5" s="1"/>
  <c r="BQ134" i="5"/>
  <c r="CB134" i="5" s="1"/>
  <c r="BQ135" i="5"/>
  <c r="CB135" i="5" s="1"/>
  <c r="BQ136" i="5"/>
  <c r="CB136" i="5" s="1"/>
  <c r="BQ137" i="5"/>
  <c r="CB137" i="5" s="1"/>
  <c r="BQ138" i="5"/>
  <c r="CB138" i="5" s="1"/>
  <c r="BQ139" i="5"/>
  <c r="CB139" i="5" s="1"/>
  <c r="BQ140" i="5"/>
  <c r="CB140" i="5" s="1"/>
  <c r="BQ141" i="5"/>
  <c r="CB141" i="5" s="1"/>
  <c r="BQ142" i="5"/>
  <c r="CB142" i="5" s="1"/>
  <c r="BQ143" i="5"/>
  <c r="CB143" i="5" s="1"/>
  <c r="BQ144" i="5"/>
  <c r="CB144" i="5" s="1"/>
  <c r="BQ145" i="5"/>
  <c r="CB145" i="5" s="1"/>
  <c r="BQ146" i="5"/>
  <c r="CB146" i="5" s="1"/>
  <c r="BQ147" i="5"/>
  <c r="CB147" i="5" s="1"/>
  <c r="BQ148" i="5"/>
  <c r="CB148" i="5" s="1"/>
  <c r="BQ149" i="5"/>
  <c r="CB149" i="5" s="1"/>
  <c r="BQ150" i="5"/>
  <c r="CB150" i="5" s="1"/>
  <c r="BQ151" i="5"/>
  <c r="CB151" i="5" s="1"/>
  <c r="BQ152" i="5"/>
  <c r="CB152" i="5" s="1"/>
  <c r="BQ153" i="5"/>
  <c r="CB153" i="5" s="1"/>
  <c r="BQ154" i="5"/>
  <c r="CB154" i="5" s="1"/>
  <c r="BQ155" i="5"/>
  <c r="CB155" i="5" s="1"/>
  <c r="BQ156" i="5"/>
  <c r="CB156" i="5" s="1"/>
  <c r="BQ157" i="5"/>
  <c r="CB157" i="5" s="1"/>
  <c r="BQ158" i="5"/>
  <c r="CB158" i="5" s="1"/>
  <c r="BQ159" i="5"/>
  <c r="CB159" i="5" s="1"/>
  <c r="BQ160" i="5"/>
  <c r="CB160" i="5" s="1"/>
  <c r="BQ161" i="5"/>
  <c r="CB161" i="5" s="1"/>
  <c r="BQ162" i="5"/>
  <c r="CB162" i="5" s="1"/>
  <c r="BQ163" i="5"/>
  <c r="CB163" i="5" s="1"/>
  <c r="BQ164" i="5"/>
  <c r="CB164" i="5" s="1"/>
  <c r="BQ165" i="5"/>
  <c r="CB165" i="5" s="1"/>
  <c r="BQ166" i="5"/>
  <c r="CB166" i="5" s="1"/>
  <c r="BQ167" i="5"/>
  <c r="CB167" i="5" s="1"/>
  <c r="BQ168" i="5"/>
  <c r="CB168" i="5" s="1"/>
  <c r="BQ169" i="5"/>
  <c r="CB169" i="5" s="1"/>
  <c r="BQ170" i="5"/>
  <c r="CB170" i="5" s="1"/>
  <c r="BQ171" i="5"/>
  <c r="CB171" i="5" s="1"/>
  <c r="BQ172" i="5"/>
  <c r="CB172" i="5" s="1"/>
  <c r="BQ173" i="5"/>
  <c r="CB173" i="5" s="1"/>
  <c r="BQ174" i="5"/>
  <c r="CB174" i="5" s="1"/>
  <c r="BQ175" i="5"/>
  <c r="CB175" i="5" s="1"/>
  <c r="BQ176" i="5"/>
  <c r="CB176" i="5" s="1"/>
  <c r="BQ177" i="5"/>
  <c r="CB177" i="5" s="1"/>
  <c r="BQ178" i="5"/>
  <c r="CB178" i="5" s="1"/>
  <c r="BQ179" i="5"/>
  <c r="CB179" i="5" s="1"/>
  <c r="BQ180" i="5"/>
  <c r="CB180" i="5" s="1"/>
  <c r="BQ181" i="5"/>
  <c r="CB181" i="5" s="1"/>
  <c r="BQ182" i="5"/>
  <c r="CB182" i="5" s="1"/>
  <c r="BQ183" i="5"/>
  <c r="CB183" i="5" s="1"/>
  <c r="BQ184" i="5"/>
  <c r="CB184" i="5" s="1"/>
  <c r="BQ185" i="5"/>
  <c r="CB185" i="5" s="1"/>
  <c r="BQ186" i="5"/>
  <c r="CB186" i="5" s="1"/>
  <c r="BQ187" i="5"/>
  <c r="CB187" i="5" s="1"/>
  <c r="BQ188" i="5"/>
  <c r="CB188" i="5" s="1"/>
  <c r="BQ189" i="5"/>
  <c r="CB189" i="5" s="1"/>
  <c r="BQ190" i="5"/>
  <c r="CB190" i="5" s="1"/>
  <c r="BQ191" i="5"/>
  <c r="CB191" i="5" s="1"/>
  <c r="BQ192" i="5"/>
  <c r="CB192" i="5" s="1"/>
  <c r="BQ193" i="5"/>
  <c r="CB193" i="5" s="1"/>
  <c r="BQ194" i="5"/>
  <c r="CB194" i="5" s="1"/>
  <c r="BQ195" i="5"/>
  <c r="CB195" i="5" s="1"/>
  <c r="BQ196" i="5"/>
  <c r="CB196" i="5" s="1"/>
  <c r="BQ197" i="5"/>
  <c r="CB197" i="5" s="1"/>
  <c r="BQ198" i="5"/>
  <c r="CB198" i="5" s="1"/>
  <c r="BQ199" i="5"/>
  <c r="CB199" i="5" s="1"/>
  <c r="BQ200" i="5"/>
  <c r="CB200" i="5" s="1"/>
  <c r="BQ201" i="5"/>
  <c r="CB201" i="5" s="1"/>
  <c r="BQ202" i="5"/>
  <c r="CB202" i="5" s="1"/>
  <c r="BQ203" i="5"/>
  <c r="CB203" i="5" s="1"/>
  <c r="BQ204" i="5"/>
  <c r="CB204" i="5" s="1"/>
  <c r="BQ205" i="5"/>
  <c r="CB205" i="5" s="1"/>
  <c r="BQ206" i="5"/>
  <c r="CB206" i="5" s="1"/>
  <c r="BQ207" i="5"/>
  <c r="CB207" i="5" s="1"/>
  <c r="BQ208" i="5"/>
  <c r="CB208" i="5" s="1"/>
  <c r="BQ209" i="5"/>
  <c r="CB209" i="5" s="1"/>
  <c r="BQ210" i="5"/>
  <c r="CB210" i="5" s="1"/>
  <c r="BQ211" i="5"/>
  <c r="CB211" i="5" s="1"/>
  <c r="BQ212" i="5"/>
  <c r="CB212" i="5" s="1"/>
  <c r="BQ213" i="5"/>
  <c r="CB213" i="5" s="1"/>
  <c r="BQ214" i="5"/>
  <c r="CB214" i="5" s="1"/>
  <c r="BQ215" i="5"/>
  <c r="CB215" i="5" s="1"/>
  <c r="BQ216" i="5"/>
  <c r="CB216" i="5" s="1"/>
  <c r="BQ217" i="5"/>
  <c r="CB217" i="5" s="1"/>
  <c r="BQ218" i="5"/>
  <c r="CB218" i="5" s="1"/>
  <c r="BQ219" i="5"/>
  <c r="CB219" i="5" s="1"/>
  <c r="BQ220" i="5"/>
  <c r="CB220" i="5" s="1"/>
  <c r="BQ221" i="5"/>
  <c r="CB221" i="5" s="1"/>
  <c r="BQ222" i="5"/>
  <c r="CB222" i="5" s="1"/>
  <c r="BQ223" i="5"/>
  <c r="CB223" i="5" s="1"/>
  <c r="BQ224" i="5"/>
  <c r="CB224" i="5" s="1"/>
  <c r="BQ225" i="5"/>
  <c r="CB225" i="5" s="1"/>
  <c r="BQ226" i="5"/>
  <c r="CB226" i="5" s="1"/>
  <c r="BQ227" i="5"/>
  <c r="CB227" i="5" s="1"/>
  <c r="BQ228" i="5"/>
  <c r="CB228" i="5" s="1"/>
  <c r="BQ229" i="5"/>
  <c r="CB229" i="5" s="1"/>
  <c r="BQ230" i="5"/>
  <c r="CB230" i="5" s="1"/>
  <c r="BQ231" i="5"/>
  <c r="CB231" i="5" s="1"/>
  <c r="BQ232" i="5"/>
  <c r="CB232" i="5" s="1"/>
  <c r="BQ233" i="5"/>
  <c r="CB233" i="5" s="1"/>
  <c r="BQ234" i="5"/>
  <c r="CB234" i="5" s="1"/>
  <c r="BQ235" i="5"/>
  <c r="CB235" i="5" s="1"/>
  <c r="BQ236" i="5"/>
  <c r="CB236" i="5" s="1"/>
  <c r="BQ237" i="5"/>
  <c r="CB237" i="5" s="1"/>
  <c r="BQ238" i="5"/>
  <c r="CB238" i="5" s="1"/>
  <c r="BQ239" i="5"/>
  <c r="CB239" i="5" s="1"/>
  <c r="BQ240" i="5"/>
  <c r="CB240" i="5" s="1"/>
  <c r="BQ241" i="5"/>
  <c r="CB241" i="5" s="1"/>
  <c r="BQ242" i="5"/>
  <c r="CB242" i="5" s="1"/>
  <c r="BQ243" i="5"/>
  <c r="CB243" i="5" s="1"/>
  <c r="BQ244" i="5"/>
  <c r="CB244" i="5" s="1"/>
  <c r="BQ245" i="5"/>
  <c r="CB245" i="5" s="1"/>
  <c r="BQ246" i="5"/>
  <c r="CB246" i="5" s="1"/>
  <c r="BQ247" i="5"/>
  <c r="CB247" i="5" s="1"/>
  <c r="BQ248" i="5"/>
  <c r="CB248" i="5" s="1"/>
  <c r="BQ249" i="5"/>
  <c r="CB249" i="5" s="1"/>
  <c r="BQ250" i="5"/>
  <c r="CB250" i="5" s="1"/>
  <c r="BQ251" i="5"/>
  <c r="CB251" i="5" s="1"/>
  <c r="BQ252" i="5"/>
  <c r="CB252" i="5" s="1"/>
  <c r="BQ253" i="5"/>
  <c r="CB253" i="5" s="1"/>
  <c r="BQ254" i="5"/>
  <c r="CB254" i="5" s="1"/>
  <c r="BQ255" i="5"/>
  <c r="CB255" i="5" s="1"/>
  <c r="BQ256" i="5"/>
  <c r="CB256" i="5" s="1"/>
  <c r="BQ257" i="5"/>
  <c r="CB257" i="5" s="1"/>
  <c r="BQ258" i="5"/>
  <c r="CB258" i="5" s="1"/>
  <c r="BQ259" i="5"/>
  <c r="CB259" i="5" s="1"/>
  <c r="BQ260" i="5"/>
  <c r="CB260" i="5" s="1"/>
  <c r="BQ261" i="5"/>
  <c r="CB261" i="5" s="1"/>
  <c r="BQ262" i="5"/>
  <c r="CB262" i="5" s="1"/>
  <c r="BQ263" i="5"/>
  <c r="CB263" i="5" s="1"/>
  <c r="BQ264" i="5"/>
  <c r="CB264" i="5" s="1"/>
  <c r="BQ265" i="5"/>
  <c r="CB265" i="5" s="1"/>
  <c r="BQ266" i="5"/>
  <c r="CB266" i="5" s="1"/>
  <c r="BQ267" i="5"/>
  <c r="CB267" i="5" s="1"/>
  <c r="BQ268" i="5"/>
  <c r="CB268" i="5" s="1"/>
  <c r="BQ269" i="5"/>
  <c r="CB269" i="5" s="1"/>
  <c r="BQ270" i="5"/>
  <c r="CB270" i="5" s="1"/>
  <c r="BQ271" i="5"/>
  <c r="CB271" i="5" s="1"/>
  <c r="BQ272" i="5"/>
  <c r="CB272" i="5" s="1"/>
  <c r="BQ273" i="5"/>
  <c r="CB273" i="5" s="1"/>
  <c r="BQ274" i="5"/>
  <c r="CB274" i="5" s="1"/>
  <c r="BQ275" i="5"/>
  <c r="CB275" i="5" s="1"/>
  <c r="BQ276" i="5"/>
  <c r="CB276" i="5" s="1"/>
  <c r="BQ277" i="5"/>
  <c r="CB277" i="5" s="1"/>
  <c r="BQ278" i="5"/>
  <c r="CB278" i="5" s="1"/>
  <c r="BQ279" i="5"/>
  <c r="CB279" i="5" s="1"/>
  <c r="BQ280" i="5"/>
  <c r="CB280" i="5" s="1"/>
  <c r="BQ281" i="5"/>
  <c r="CB281" i="5" s="1"/>
  <c r="BQ282" i="5"/>
  <c r="CB282" i="5" s="1"/>
  <c r="BQ283" i="5"/>
  <c r="CB283" i="5" s="1"/>
  <c r="BQ284" i="5"/>
  <c r="CB284" i="5" s="1"/>
  <c r="BQ285" i="5"/>
  <c r="CB285" i="5" s="1"/>
  <c r="BQ286" i="5"/>
  <c r="CB286" i="5" s="1"/>
  <c r="BQ287" i="5"/>
  <c r="CB287" i="5" s="1"/>
  <c r="BQ288" i="5"/>
  <c r="CB288" i="5" s="1"/>
  <c r="BQ289" i="5"/>
  <c r="CB289" i="5" s="1"/>
  <c r="BQ290" i="5"/>
  <c r="CB290" i="5" s="1"/>
  <c r="BQ291" i="5"/>
  <c r="CB291" i="5" s="1"/>
  <c r="BQ292" i="5"/>
  <c r="CB292" i="5" s="1"/>
  <c r="BQ293" i="5"/>
  <c r="CB293" i="5" s="1"/>
  <c r="BQ294" i="5"/>
  <c r="CB294" i="5" s="1"/>
  <c r="BQ295" i="5"/>
  <c r="CB295" i="5" s="1"/>
  <c r="BQ296" i="5"/>
  <c r="CB296" i="5" s="1"/>
  <c r="BQ297" i="5"/>
  <c r="CB297" i="5" s="1"/>
  <c r="BQ298" i="5"/>
  <c r="CB298" i="5" s="1"/>
  <c r="BQ299" i="5"/>
  <c r="CB299" i="5" s="1"/>
  <c r="BQ300" i="5"/>
  <c r="CB300" i="5" s="1"/>
  <c r="BQ301" i="5"/>
  <c r="CB301" i="5" s="1"/>
  <c r="BQ302" i="5"/>
  <c r="CB302" i="5" s="1"/>
  <c r="BQ303" i="5"/>
  <c r="CB303" i="5" s="1"/>
  <c r="BQ304" i="5"/>
  <c r="CB304" i="5" s="1"/>
  <c r="BQ305" i="5"/>
  <c r="CB305" i="5" s="1"/>
  <c r="BQ306" i="5"/>
  <c r="CB306" i="5" s="1"/>
  <c r="BQ307" i="5"/>
  <c r="CB307" i="5" s="1"/>
  <c r="BQ308" i="5"/>
  <c r="CB308" i="5" s="1"/>
  <c r="BQ309" i="5"/>
  <c r="CB309" i="5" s="1"/>
  <c r="BQ310" i="5"/>
  <c r="CB310" i="5" s="1"/>
  <c r="BQ311" i="5"/>
  <c r="CB311" i="5" s="1"/>
  <c r="BQ312" i="5"/>
  <c r="CB312" i="5" s="1"/>
  <c r="BQ313" i="5"/>
  <c r="CB313" i="5" s="1"/>
  <c r="BQ314" i="5"/>
  <c r="CB314" i="5" s="1"/>
  <c r="BQ315" i="5"/>
  <c r="CB315" i="5" s="1"/>
  <c r="BQ316" i="5"/>
  <c r="CB316" i="5" s="1"/>
  <c r="BQ317" i="5"/>
  <c r="CB317" i="5" s="1"/>
  <c r="BQ318" i="5"/>
  <c r="CB318" i="5" s="1"/>
  <c r="BQ319" i="5"/>
  <c r="CB319" i="5" s="1"/>
  <c r="BQ320" i="5"/>
  <c r="CB320" i="5" s="1"/>
  <c r="BQ321" i="5"/>
  <c r="CB321" i="5" s="1"/>
  <c r="BQ322" i="5"/>
  <c r="CB322" i="5" s="1"/>
  <c r="BQ323" i="5"/>
  <c r="CB323" i="5" s="1"/>
  <c r="BQ324" i="5"/>
  <c r="CB324" i="5" s="1"/>
  <c r="BQ325" i="5"/>
  <c r="CB325" i="5" s="1"/>
  <c r="BQ326" i="5"/>
  <c r="CB326" i="5" s="1"/>
  <c r="BQ327" i="5"/>
  <c r="CB327" i="5" s="1"/>
  <c r="BQ328" i="5"/>
  <c r="CB328" i="5" s="1"/>
  <c r="BQ329" i="5"/>
  <c r="CB329" i="5" s="1"/>
  <c r="BQ330" i="5"/>
  <c r="CB330" i="5" s="1"/>
  <c r="BQ331" i="5"/>
  <c r="CB331" i="5" s="1"/>
  <c r="BQ332" i="5"/>
  <c r="CB332" i="5" s="1"/>
  <c r="BQ333" i="5"/>
  <c r="CB333" i="5" s="1"/>
  <c r="BQ334" i="5"/>
  <c r="CB334" i="5" s="1"/>
  <c r="BQ335" i="5"/>
  <c r="CB335" i="5" s="1"/>
  <c r="BQ336" i="5"/>
  <c r="CB336" i="5" s="1"/>
  <c r="BQ337" i="5"/>
  <c r="CB337" i="5" s="1"/>
  <c r="BQ338" i="5"/>
  <c r="CB338" i="5" s="1"/>
  <c r="BQ339" i="5"/>
  <c r="CB339" i="5" s="1"/>
  <c r="BQ340" i="5"/>
  <c r="CB340" i="5" s="1"/>
  <c r="BQ341" i="5"/>
  <c r="CB341" i="5" s="1"/>
  <c r="BQ342" i="5"/>
  <c r="CB342" i="5" s="1"/>
  <c r="BQ343" i="5"/>
  <c r="CB343" i="5" s="1"/>
  <c r="BQ344" i="5"/>
  <c r="CB344" i="5" s="1"/>
  <c r="BQ345" i="5"/>
  <c r="CB345" i="5" s="1"/>
  <c r="BQ346" i="5"/>
  <c r="CB346" i="5" s="1"/>
  <c r="BQ347" i="5"/>
  <c r="CB347" i="5" s="1"/>
  <c r="BQ348" i="5"/>
  <c r="CB348" i="5" s="1"/>
  <c r="BQ349" i="5"/>
  <c r="CB349" i="5" s="1"/>
  <c r="BQ350" i="5"/>
  <c r="CB350" i="5" s="1"/>
  <c r="BQ351" i="5"/>
  <c r="CB351" i="5" s="1"/>
  <c r="BQ352" i="5"/>
  <c r="CB352" i="5" s="1"/>
  <c r="BQ353" i="5"/>
  <c r="CB353" i="5" s="1"/>
  <c r="BQ354" i="5"/>
  <c r="CB354" i="5" s="1"/>
  <c r="BQ355" i="5"/>
  <c r="CB355" i="5" s="1"/>
  <c r="BQ356" i="5"/>
  <c r="CB356" i="5" s="1"/>
  <c r="BQ357" i="5"/>
  <c r="CB357" i="5" s="1"/>
  <c r="BQ358" i="5"/>
  <c r="CB358" i="5" s="1"/>
  <c r="BQ359" i="5"/>
  <c r="CB359" i="5" s="1"/>
  <c r="BQ360" i="5"/>
  <c r="CB360" i="5" s="1"/>
  <c r="BQ361" i="5"/>
  <c r="CB361" i="5" s="1"/>
  <c r="BQ362" i="5"/>
  <c r="CB362" i="5" s="1"/>
  <c r="BQ363" i="5"/>
  <c r="CB363" i="5" s="1"/>
  <c r="BQ364" i="5"/>
  <c r="CB364" i="5" s="1"/>
  <c r="BQ365" i="5"/>
  <c r="CB365" i="5" s="1"/>
  <c r="BQ366" i="5"/>
  <c r="CB366" i="5" s="1"/>
  <c r="BQ367" i="5"/>
  <c r="CB367" i="5" s="1"/>
  <c r="BQ368" i="5"/>
  <c r="CB368" i="5" s="1"/>
  <c r="BQ369" i="5"/>
  <c r="CB369" i="5" s="1"/>
  <c r="BQ370" i="5"/>
  <c r="CB370" i="5" s="1"/>
  <c r="BQ371" i="5"/>
  <c r="CB371" i="5" s="1"/>
  <c r="BQ372" i="5"/>
  <c r="CB372" i="5" s="1"/>
  <c r="BQ373" i="5"/>
  <c r="CB373" i="5" s="1"/>
  <c r="BQ374" i="5"/>
  <c r="CB374" i="5" s="1"/>
  <c r="BQ375" i="5"/>
  <c r="CB375" i="5" s="1"/>
  <c r="BQ376" i="5"/>
  <c r="CB376" i="5" s="1"/>
  <c r="BQ377" i="5"/>
  <c r="CB377" i="5" s="1"/>
  <c r="BQ378" i="5"/>
  <c r="CB378" i="5" s="1"/>
  <c r="BQ379" i="5"/>
  <c r="CB379" i="5" s="1"/>
  <c r="BQ380" i="5"/>
  <c r="CB380" i="5" s="1"/>
  <c r="BQ381" i="5"/>
  <c r="CB381" i="5" s="1"/>
  <c r="BQ382" i="5"/>
  <c r="CB382" i="5" s="1"/>
  <c r="BQ383" i="5"/>
  <c r="CB383" i="5" s="1"/>
  <c r="BQ384" i="5"/>
  <c r="CB384" i="5" s="1"/>
  <c r="BQ385" i="5"/>
  <c r="CB385" i="5" s="1"/>
  <c r="BQ386" i="5"/>
  <c r="CB386" i="5" s="1"/>
  <c r="BQ387" i="5"/>
  <c r="CB387" i="5" s="1"/>
  <c r="BQ388" i="5"/>
  <c r="CB388" i="5" s="1"/>
  <c r="BQ389" i="5"/>
  <c r="CB389" i="5" s="1"/>
  <c r="BQ390" i="5"/>
  <c r="CB390" i="5" s="1"/>
  <c r="BQ391" i="5"/>
  <c r="CB391" i="5" s="1"/>
  <c r="BQ392" i="5"/>
  <c r="CB392" i="5" s="1"/>
  <c r="BQ393" i="5"/>
  <c r="CB393" i="5" s="1"/>
  <c r="BQ394" i="5"/>
  <c r="CB394" i="5" s="1"/>
  <c r="BQ395" i="5"/>
  <c r="CB395" i="5" s="1"/>
  <c r="BQ396" i="5"/>
  <c r="CB396" i="5" s="1"/>
  <c r="BQ397" i="5"/>
  <c r="CB397" i="5" s="1"/>
  <c r="BQ398" i="5"/>
  <c r="CB398" i="5" s="1"/>
  <c r="BQ399" i="5"/>
  <c r="CB399" i="5" s="1"/>
  <c r="BQ400" i="5"/>
  <c r="CB400" i="5" s="1"/>
  <c r="BQ401" i="5"/>
  <c r="CB401" i="5" s="1"/>
  <c r="BQ402" i="5"/>
  <c r="CB402" i="5" s="1"/>
  <c r="BQ403" i="5"/>
  <c r="CB403" i="5" s="1"/>
  <c r="BQ404" i="5"/>
  <c r="CB404" i="5" s="1"/>
  <c r="BQ405" i="5"/>
  <c r="CB405" i="5" s="1"/>
  <c r="BQ406" i="5"/>
  <c r="CB406" i="5" s="1"/>
  <c r="BQ407" i="5"/>
  <c r="CB407" i="5" s="1"/>
  <c r="BQ408" i="5"/>
  <c r="CB408" i="5" s="1"/>
  <c r="BQ409" i="5"/>
  <c r="CB409" i="5" s="1"/>
  <c r="BQ410" i="5"/>
  <c r="CB410" i="5" s="1"/>
  <c r="BQ411" i="5"/>
  <c r="CB411" i="5" s="1"/>
  <c r="BQ412" i="5"/>
  <c r="CB412" i="5" s="1"/>
  <c r="BQ413" i="5"/>
  <c r="CB413" i="5" s="1"/>
  <c r="BQ414" i="5"/>
  <c r="CB414" i="5" s="1"/>
  <c r="BQ415" i="5"/>
  <c r="CB415" i="5" s="1"/>
  <c r="BQ416" i="5"/>
  <c r="CB416" i="5" s="1"/>
  <c r="BQ417" i="5"/>
  <c r="CB417" i="5" s="1"/>
  <c r="BQ418" i="5"/>
  <c r="CB418" i="5" s="1"/>
  <c r="BQ419" i="5"/>
  <c r="CB419" i="5" s="1"/>
  <c r="BQ420" i="5"/>
  <c r="CB420" i="5" s="1"/>
  <c r="BQ421" i="5"/>
  <c r="CB421" i="5" s="1"/>
  <c r="BQ422" i="5"/>
  <c r="CB422" i="5" s="1"/>
  <c r="BQ423" i="5"/>
  <c r="CB423" i="5" s="1"/>
  <c r="BQ424" i="5"/>
  <c r="CB424" i="5" s="1"/>
  <c r="BQ425" i="5"/>
  <c r="CB425" i="5" s="1"/>
  <c r="BQ426" i="5"/>
  <c r="CB426" i="5" s="1"/>
  <c r="BQ427" i="5"/>
  <c r="CB427" i="5" s="1"/>
  <c r="BQ428" i="5"/>
  <c r="CB428" i="5" s="1"/>
  <c r="BQ429" i="5"/>
  <c r="CB429" i="5" s="1"/>
  <c r="BQ430" i="5"/>
  <c r="CB430" i="5" s="1"/>
  <c r="BQ431" i="5"/>
  <c r="CB431" i="5" s="1"/>
  <c r="BQ432" i="5"/>
  <c r="CB432" i="5" s="1"/>
  <c r="BQ433" i="5"/>
  <c r="CB433" i="5" s="1"/>
  <c r="BQ434" i="5"/>
  <c r="CB434" i="5" s="1"/>
  <c r="BQ435" i="5"/>
  <c r="CB435" i="5" s="1"/>
  <c r="BQ436" i="5"/>
  <c r="CB436" i="5" s="1"/>
  <c r="BQ437" i="5"/>
  <c r="CB437" i="5" s="1"/>
  <c r="BQ438" i="5"/>
  <c r="CB438" i="5" s="1"/>
  <c r="BQ439" i="5"/>
  <c r="CB439" i="5" s="1"/>
  <c r="BQ440" i="5"/>
  <c r="CB440" i="5" s="1"/>
  <c r="BQ441" i="5"/>
  <c r="CB441" i="5" s="1"/>
  <c r="BQ442" i="5"/>
  <c r="CB442" i="5" s="1"/>
  <c r="BQ443" i="5"/>
  <c r="CB443" i="5" s="1"/>
  <c r="BQ444" i="5"/>
  <c r="CB444" i="5" s="1"/>
  <c r="BQ445" i="5"/>
  <c r="CB445" i="5" s="1"/>
  <c r="BQ446" i="5"/>
  <c r="CB446" i="5" s="1"/>
  <c r="BQ447" i="5"/>
  <c r="CB447" i="5" s="1"/>
  <c r="BQ448" i="5"/>
  <c r="CB448" i="5" s="1"/>
  <c r="BQ449" i="5"/>
  <c r="CB449" i="5" s="1"/>
  <c r="BQ450" i="5"/>
  <c r="CB450" i="5" s="1"/>
  <c r="BQ451" i="5"/>
  <c r="CB451" i="5" s="1"/>
  <c r="BQ452" i="5"/>
  <c r="CB452" i="5" s="1"/>
  <c r="BQ453" i="5"/>
  <c r="CB453" i="5" s="1"/>
  <c r="BQ454" i="5"/>
  <c r="CB454" i="5" s="1"/>
  <c r="BQ455" i="5"/>
  <c r="CB455" i="5" s="1"/>
  <c r="BQ456" i="5"/>
  <c r="CB456" i="5" s="1"/>
  <c r="BQ457" i="5"/>
  <c r="CB457" i="5" s="1"/>
  <c r="BQ458" i="5"/>
  <c r="CB458" i="5" s="1"/>
  <c r="BQ459" i="5"/>
  <c r="CB459" i="5" s="1"/>
  <c r="BQ460" i="5"/>
  <c r="CB460" i="5" s="1"/>
  <c r="BQ461" i="5"/>
  <c r="CB461" i="5" s="1"/>
  <c r="BQ462" i="5"/>
  <c r="CB462" i="5" s="1"/>
  <c r="BQ463" i="5"/>
  <c r="CB463" i="5" s="1"/>
  <c r="BQ464" i="5"/>
  <c r="CB464" i="5" s="1"/>
  <c r="BQ465" i="5"/>
  <c r="CB465" i="5" s="1"/>
  <c r="BQ466" i="5"/>
  <c r="CB466" i="5" s="1"/>
  <c r="BQ467" i="5"/>
  <c r="CB467" i="5" s="1"/>
  <c r="BQ468" i="5"/>
  <c r="CB468" i="5" s="1"/>
  <c r="BQ469" i="5"/>
  <c r="CB469" i="5" s="1"/>
  <c r="BQ470" i="5"/>
  <c r="CB470" i="5" s="1"/>
  <c r="BQ471" i="5"/>
  <c r="CB471" i="5" s="1"/>
  <c r="BQ472" i="5"/>
  <c r="CB472" i="5" s="1"/>
  <c r="BQ473" i="5"/>
  <c r="CB473" i="5" s="1"/>
  <c r="BQ474" i="5"/>
  <c r="CB474" i="5" s="1"/>
  <c r="BQ475" i="5"/>
  <c r="CB475" i="5" s="1"/>
  <c r="BQ476" i="5"/>
  <c r="CB476" i="5" s="1"/>
  <c r="BQ477" i="5"/>
  <c r="CB477" i="5" s="1"/>
  <c r="BQ478" i="5"/>
  <c r="CB478" i="5" s="1"/>
  <c r="BQ479" i="5"/>
  <c r="CB479" i="5" s="1"/>
  <c r="BQ480" i="5"/>
  <c r="CB480" i="5" s="1"/>
  <c r="BQ481" i="5"/>
  <c r="CB481" i="5" s="1"/>
  <c r="BQ482" i="5"/>
  <c r="CB482" i="5" s="1"/>
  <c r="BQ483" i="5"/>
  <c r="CB483" i="5" s="1"/>
  <c r="BQ484" i="5"/>
  <c r="CB484" i="5" s="1"/>
  <c r="BQ485" i="5"/>
  <c r="CB485" i="5" s="1"/>
  <c r="BQ486" i="5"/>
  <c r="CB486" i="5" s="1"/>
  <c r="BQ487" i="5"/>
  <c r="CB487" i="5" s="1"/>
  <c r="BQ488" i="5"/>
  <c r="CB488" i="5" s="1"/>
  <c r="BQ489" i="5"/>
  <c r="CB489" i="5" s="1"/>
  <c r="BQ490" i="5"/>
  <c r="CB490" i="5" s="1"/>
  <c r="BQ491" i="5"/>
  <c r="CB491" i="5" s="1"/>
  <c r="BQ492" i="5"/>
  <c r="CB492" i="5" s="1"/>
  <c r="BQ493" i="5"/>
  <c r="CB493" i="5" s="1"/>
  <c r="BQ494" i="5"/>
  <c r="CB494" i="5" s="1"/>
  <c r="BQ495" i="5"/>
  <c r="CB495" i="5" s="1"/>
  <c r="BQ496" i="5"/>
  <c r="CB496" i="5" s="1"/>
  <c r="BQ497" i="5"/>
  <c r="CB497" i="5" s="1"/>
  <c r="BQ498" i="5"/>
  <c r="CB498" i="5" s="1"/>
  <c r="BQ499" i="5"/>
  <c r="CB499" i="5" s="1"/>
  <c r="BQ500" i="5"/>
  <c r="CB500" i="5" s="1"/>
  <c r="BQ501" i="5"/>
  <c r="CB501" i="5" s="1"/>
  <c r="BQ502" i="5"/>
  <c r="CB502" i="5" s="1"/>
  <c r="BQ503" i="5"/>
  <c r="CB503" i="5" s="1"/>
  <c r="BQ504" i="5"/>
  <c r="CB504" i="5" s="1"/>
  <c r="BQ505" i="5"/>
  <c r="CB505" i="5" s="1"/>
  <c r="BQ506" i="5"/>
  <c r="CB506" i="5" s="1"/>
  <c r="BQ507" i="5"/>
  <c r="CB507" i="5" s="1"/>
  <c r="BQ508" i="5"/>
  <c r="CB508" i="5" s="1"/>
  <c r="BQ509" i="5"/>
  <c r="CB509" i="5" s="1"/>
  <c r="BQ510" i="5"/>
  <c r="CB510" i="5" s="1"/>
  <c r="BQ511" i="5"/>
  <c r="CB511" i="5" s="1"/>
  <c r="BQ512" i="5"/>
  <c r="CB512" i="5" s="1"/>
  <c r="BQ513" i="5"/>
  <c r="CB513" i="5" s="1"/>
  <c r="BQ514" i="5"/>
  <c r="CB514" i="5" s="1"/>
  <c r="BQ515" i="5"/>
  <c r="CB515" i="5" s="1"/>
  <c r="BQ516" i="5"/>
  <c r="CB516" i="5" s="1"/>
  <c r="BQ517" i="5"/>
  <c r="CB517" i="5" s="1"/>
  <c r="BQ518" i="5"/>
  <c r="CB518" i="5" s="1"/>
  <c r="BQ519" i="5"/>
  <c r="CB519" i="5" s="1"/>
  <c r="BQ520" i="5"/>
  <c r="CB520" i="5" s="1"/>
  <c r="BQ521" i="5"/>
  <c r="CB521" i="5" s="1"/>
  <c r="BQ522" i="5"/>
  <c r="CB522" i="5" s="1"/>
  <c r="BQ523" i="5"/>
  <c r="CB523" i="5" s="1"/>
  <c r="BQ524" i="5"/>
  <c r="CB524" i="5" s="1"/>
  <c r="BQ525" i="5"/>
  <c r="CB525" i="5" s="1"/>
  <c r="BQ526" i="5"/>
  <c r="CB526" i="5" s="1"/>
  <c r="BQ527" i="5"/>
  <c r="CB527" i="5" s="1"/>
  <c r="BQ528" i="5"/>
  <c r="CB528" i="5" s="1"/>
  <c r="BQ529" i="5"/>
  <c r="CB529" i="5" s="1"/>
  <c r="BQ530" i="5"/>
  <c r="CB530" i="5" s="1"/>
  <c r="BQ531" i="5"/>
  <c r="CB531" i="5" s="1"/>
  <c r="BQ532" i="5"/>
  <c r="CB532" i="5" s="1"/>
  <c r="BQ533" i="5"/>
  <c r="CB533" i="5" s="1"/>
  <c r="BQ534" i="5"/>
  <c r="CB534" i="5" s="1"/>
  <c r="BQ535" i="5"/>
  <c r="CB535" i="5" s="1"/>
  <c r="BQ536" i="5"/>
  <c r="CB536" i="5" s="1"/>
  <c r="BQ537" i="5"/>
  <c r="CB537" i="5" s="1"/>
  <c r="BQ538" i="5"/>
  <c r="CB538" i="5" s="1"/>
  <c r="BQ539" i="5"/>
  <c r="CB539" i="5" s="1"/>
  <c r="BQ540" i="5"/>
  <c r="CB540" i="5" s="1"/>
  <c r="BQ541" i="5"/>
  <c r="CB541" i="5" s="1"/>
  <c r="BQ542" i="5"/>
  <c r="CB542" i="5" s="1"/>
  <c r="BQ543" i="5"/>
  <c r="CB543" i="5" s="1"/>
  <c r="BQ544" i="5"/>
  <c r="CB544" i="5" s="1"/>
  <c r="BQ545" i="5"/>
  <c r="CB545" i="5" s="1"/>
  <c r="BQ546" i="5"/>
  <c r="CB546" i="5" s="1"/>
  <c r="BQ547" i="5"/>
  <c r="CB547" i="5" s="1"/>
  <c r="BQ548" i="5"/>
  <c r="CB548" i="5" s="1"/>
  <c r="BQ549" i="5"/>
  <c r="CB549" i="5" s="1"/>
  <c r="BQ550" i="5"/>
  <c r="CB550" i="5" s="1"/>
  <c r="BQ551" i="5"/>
  <c r="CB551" i="5" s="1"/>
  <c r="BQ552" i="5"/>
  <c r="CB552" i="5" s="1"/>
  <c r="BQ553" i="5"/>
  <c r="CB553" i="5" s="1"/>
  <c r="BQ554" i="5"/>
  <c r="CB554" i="5" s="1"/>
  <c r="BQ555" i="5"/>
  <c r="CB555" i="5" s="1"/>
  <c r="BQ556" i="5"/>
  <c r="CB556" i="5" s="1"/>
  <c r="BQ557" i="5"/>
  <c r="CB557" i="5" s="1"/>
  <c r="BQ558" i="5"/>
  <c r="CB558" i="5" s="1"/>
  <c r="BQ559" i="5"/>
  <c r="CB559" i="5" s="1"/>
  <c r="BQ560" i="5"/>
  <c r="CB560" i="5" s="1"/>
  <c r="BQ561" i="5"/>
  <c r="CB561" i="5" s="1"/>
  <c r="BQ562" i="5"/>
  <c r="CB562" i="5" s="1"/>
  <c r="BQ563" i="5"/>
  <c r="CB563" i="5" s="1"/>
  <c r="BQ564" i="5"/>
  <c r="CB564" i="5" s="1"/>
  <c r="BQ565" i="5"/>
  <c r="CB565" i="5" s="1"/>
  <c r="BQ566" i="5"/>
  <c r="CB566" i="5" s="1"/>
  <c r="BQ567" i="5"/>
  <c r="CB567" i="5" s="1"/>
  <c r="BQ568" i="5"/>
  <c r="CB568" i="5" s="1"/>
  <c r="BQ569" i="5"/>
  <c r="CB569" i="5" s="1"/>
  <c r="BQ570" i="5"/>
  <c r="CB570" i="5" s="1"/>
  <c r="BQ571" i="5"/>
  <c r="CB571" i="5" s="1"/>
  <c r="BQ572" i="5"/>
  <c r="CB572" i="5" s="1"/>
  <c r="BQ573" i="5"/>
  <c r="CB573" i="5" s="1"/>
  <c r="BQ574" i="5"/>
  <c r="CB574" i="5" s="1"/>
  <c r="BQ575" i="5"/>
  <c r="CB575" i="5" s="1"/>
  <c r="BQ576" i="5"/>
  <c r="CB576" i="5" s="1"/>
  <c r="BQ577" i="5"/>
  <c r="CB577" i="5" s="1"/>
  <c r="BQ578" i="5"/>
  <c r="CB578" i="5" s="1"/>
  <c r="BQ579" i="5"/>
  <c r="CB579" i="5" s="1"/>
  <c r="BQ580" i="5"/>
  <c r="CB580" i="5" s="1"/>
  <c r="BQ581" i="5"/>
  <c r="CB581" i="5" s="1"/>
  <c r="BQ582" i="5"/>
  <c r="CB582" i="5" s="1"/>
  <c r="BQ583" i="5"/>
  <c r="CB583" i="5" s="1"/>
  <c r="BQ584" i="5"/>
  <c r="CB584" i="5" s="1"/>
  <c r="BQ585" i="5"/>
  <c r="CB585" i="5" s="1"/>
  <c r="BQ586" i="5"/>
  <c r="CB586" i="5" s="1"/>
  <c r="BQ587" i="5"/>
  <c r="CB587" i="5" s="1"/>
  <c r="BQ588" i="5"/>
  <c r="CB588" i="5" s="1"/>
  <c r="BQ589" i="5"/>
  <c r="CB589" i="5" s="1"/>
  <c r="BQ590" i="5"/>
  <c r="CB590" i="5" s="1"/>
  <c r="BQ591" i="5"/>
  <c r="CB591" i="5" s="1"/>
  <c r="BQ592" i="5"/>
  <c r="CB592" i="5" s="1"/>
  <c r="BQ593" i="5"/>
  <c r="CB593" i="5" s="1"/>
  <c r="BQ594" i="5"/>
  <c r="CB594" i="5" s="1"/>
  <c r="BQ595" i="5"/>
  <c r="CB595" i="5" s="1"/>
  <c r="BQ596" i="5"/>
  <c r="CB596" i="5" s="1"/>
  <c r="BQ597" i="5"/>
  <c r="CB597" i="5" s="1"/>
  <c r="BQ598" i="5"/>
  <c r="CB598" i="5" s="1"/>
  <c r="BQ599" i="5"/>
  <c r="CB599" i="5" s="1"/>
  <c r="BQ600" i="5"/>
  <c r="CB600" i="5" s="1"/>
  <c r="BQ601" i="5"/>
  <c r="CB601" i="5" s="1"/>
  <c r="BQ602" i="5"/>
  <c r="CB602" i="5" s="1"/>
  <c r="BQ603" i="5"/>
  <c r="CB603" i="5" s="1"/>
  <c r="BQ604" i="5"/>
  <c r="CB604" i="5" s="1"/>
  <c r="BQ605" i="5"/>
  <c r="CB605" i="5" s="1"/>
  <c r="BQ606" i="5"/>
  <c r="CB606" i="5" s="1"/>
  <c r="BQ607" i="5"/>
  <c r="CB607" i="5" s="1"/>
  <c r="BQ608" i="5"/>
  <c r="CB608" i="5" s="1"/>
  <c r="BQ609" i="5"/>
  <c r="CB609" i="5" s="1"/>
  <c r="BQ610" i="5"/>
  <c r="CB610" i="5" s="1"/>
  <c r="BQ611" i="5"/>
  <c r="CB611" i="5" s="1"/>
  <c r="BQ612" i="5"/>
  <c r="CB612" i="5" s="1"/>
  <c r="BQ613" i="5"/>
  <c r="CB613" i="5" s="1"/>
  <c r="BQ614" i="5"/>
  <c r="CB614" i="5" s="1"/>
  <c r="BQ615" i="5"/>
  <c r="CB615" i="5" s="1"/>
  <c r="BQ616" i="5"/>
  <c r="CB616" i="5" s="1"/>
  <c r="BQ617" i="5"/>
  <c r="CB617" i="5" s="1"/>
  <c r="BQ618" i="5"/>
  <c r="CB618" i="5" s="1"/>
  <c r="BQ619" i="5"/>
  <c r="CB619" i="5" s="1"/>
  <c r="BQ620" i="5"/>
  <c r="CB620" i="5" s="1"/>
  <c r="BQ621" i="5"/>
  <c r="CB621" i="5" s="1"/>
  <c r="BQ622" i="5"/>
  <c r="CB622" i="5" s="1"/>
  <c r="BQ623" i="5"/>
  <c r="CB623" i="5" s="1"/>
  <c r="BQ624" i="5"/>
  <c r="CB624" i="5" s="1"/>
  <c r="BQ625" i="5"/>
  <c r="CB625" i="5" s="1"/>
  <c r="BQ626" i="5"/>
  <c r="CB626" i="5" s="1"/>
  <c r="BQ627" i="5"/>
  <c r="CB627" i="5" s="1"/>
  <c r="BQ628" i="5"/>
  <c r="CB628" i="5" s="1"/>
  <c r="BQ629" i="5"/>
  <c r="CB629" i="5" s="1"/>
  <c r="BQ630" i="5"/>
  <c r="CB630" i="5" s="1"/>
  <c r="BQ631" i="5"/>
  <c r="CB631" i="5" s="1"/>
  <c r="BQ632" i="5"/>
  <c r="CB632" i="5" s="1"/>
  <c r="BQ633" i="5"/>
  <c r="CB633" i="5" s="1"/>
  <c r="BQ634" i="5"/>
  <c r="CB634" i="5" s="1"/>
  <c r="BQ635" i="5"/>
  <c r="CB635" i="5" s="1"/>
  <c r="BQ636" i="5"/>
  <c r="CB636" i="5" s="1"/>
  <c r="BQ637" i="5"/>
  <c r="CB637" i="5" s="1"/>
  <c r="BQ638" i="5"/>
  <c r="CB638" i="5" s="1"/>
  <c r="BQ639" i="5"/>
  <c r="CB639" i="5" s="1"/>
  <c r="BQ640" i="5"/>
  <c r="CB640" i="5" s="1"/>
  <c r="BQ641" i="5"/>
  <c r="CB641" i="5" s="1"/>
  <c r="BQ642" i="5"/>
  <c r="CB642" i="5" s="1"/>
  <c r="BQ643" i="5"/>
  <c r="CB643" i="5" s="1"/>
  <c r="BQ644" i="5"/>
  <c r="CB644" i="5" s="1"/>
  <c r="BQ645" i="5"/>
  <c r="CB645" i="5" s="1"/>
  <c r="BQ646" i="5"/>
  <c r="CB646" i="5" s="1"/>
  <c r="BQ647" i="5"/>
  <c r="CB647" i="5" s="1"/>
  <c r="BQ648" i="5"/>
  <c r="CB648" i="5" s="1"/>
  <c r="BQ649" i="5"/>
  <c r="CB649" i="5" s="1"/>
  <c r="BQ650" i="5"/>
  <c r="CB650" i="5" s="1"/>
  <c r="BQ651" i="5"/>
  <c r="CB651" i="5" s="1"/>
  <c r="BQ652" i="5"/>
  <c r="CB652" i="5" s="1"/>
  <c r="BQ653" i="5"/>
  <c r="CB653" i="5" s="1"/>
  <c r="BQ654" i="5"/>
  <c r="CB654" i="5" s="1"/>
  <c r="BQ655" i="5"/>
  <c r="CB655" i="5" s="1"/>
  <c r="BQ656" i="5"/>
  <c r="CB656" i="5" s="1"/>
  <c r="BQ657" i="5"/>
  <c r="CB657" i="5" s="1"/>
  <c r="BQ658" i="5"/>
  <c r="CB658" i="5" s="1"/>
  <c r="BQ659" i="5"/>
  <c r="CB659" i="5" s="1"/>
  <c r="BQ660" i="5"/>
  <c r="CB660" i="5" s="1"/>
  <c r="BQ661" i="5"/>
  <c r="CB661" i="5" s="1"/>
  <c r="BQ662" i="5"/>
  <c r="CB662" i="5" s="1"/>
  <c r="BQ663" i="5"/>
  <c r="CB663" i="5" s="1"/>
  <c r="BQ664" i="5"/>
  <c r="CB664" i="5" s="1"/>
  <c r="BQ665" i="5"/>
  <c r="CB665" i="5" s="1"/>
  <c r="BQ666" i="5"/>
  <c r="CB666" i="5" s="1"/>
  <c r="BQ667" i="5"/>
  <c r="CB667" i="5" s="1"/>
  <c r="BQ668" i="5"/>
  <c r="CB668" i="5" s="1"/>
  <c r="BQ669" i="5"/>
  <c r="CB669" i="5" s="1"/>
  <c r="BQ670" i="5"/>
  <c r="CB670" i="5" s="1"/>
  <c r="BQ671" i="5"/>
  <c r="CB671" i="5" s="1"/>
  <c r="BQ672" i="5"/>
  <c r="CB672" i="5" s="1"/>
  <c r="BQ673" i="5"/>
  <c r="CB673" i="5" s="1"/>
  <c r="BQ674" i="5"/>
  <c r="CB674" i="5" s="1"/>
  <c r="BQ675" i="5"/>
  <c r="CB675" i="5" s="1"/>
  <c r="BQ676" i="5"/>
  <c r="CB676" i="5" s="1"/>
  <c r="BQ677" i="5"/>
  <c r="CB677" i="5" s="1"/>
  <c r="BQ678" i="5"/>
  <c r="CB678" i="5" s="1"/>
  <c r="BQ679" i="5"/>
  <c r="CB679" i="5" s="1"/>
  <c r="BQ680" i="5"/>
  <c r="CB680" i="5" s="1"/>
  <c r="BQ681" i="5"/>
  <c r="CB681" i="5" s="1"/>
  <c r="BQ682" i="5"/>
  <c r="CB682" i="5" s="1"/>
  <c r="BQ683" i="5"/>
  <c r="CB683" i="5" s="1"/>
  <c r="BQ684" i="5"/>
  <c r="CB684" i="5" s="1"/>
  <c r="BQ685" i="5"/>
  <c r="CB685" i="5" s="1"/>
  <c r="BQ686" i="5"/>
  <c r="CB686" i="5" s="1"/>
  <c r="BQ687" i="5"/>
  <c r="CB687" i="5" s="1"/>
  <c r="BQ688" i="5"/>
  <c r="CB688" i="5" s="1"/>
  <c r="BQ689" i="5"/>
  <c r="CB689" i="5" s="1"/>
  <c r="BQ690" i="5"/>
  <c r="CB690" i="5" s="1"/>
  <c r="BQ691" i="5"/>
  <c r="CB691" i="5" s="1"/>
  <c r="BQ692" i="5"/>
  <c r="CB692" i="5" s="1"/>
  <c r="BQ693" i="5"/>
  <c r="CB693" i="5" s="1"/>
  <c r="BQ694" i="5"/>
  <c r="CB694" i="5" s="1"/>
  <c r="BQ695" i="5"/>
  <c r="CB695" i="5" s="1"/>
  <c r="BQ696" i="5"/>
  <c r="CB696" i="5" s="1"/>
  <c r="BQ697" i="5"/>
  <c r="CB697" i="5" s="1"/>
  <c r="BQ698" i="5"/>
  <c r="CB698" i="5" s="1"/>
  <c r="BQ699" i="5"/>
  <c r="CB699" i="5" s="1"/>
  <c r="BQ700" i="5"/>
  <c r="CB700" i="5" s="1"/>
  <c r="BQ701" i="5"/>
  <c r="CB701" i="5" s="1"/>
  <c r="BQ702" i="5"/>
  <c r="CB702" i="5" s="1"/>
  <c r="BQ703" i="5"/>
  <c r="CB703" i="5" s="1"/>
  <c r="BQ704" i="5"/>
  <c r="CB704" i="5" s="1"/>
  <c r="BQ705" i="5"/>
  <c r="CB705" i="5" s="1"/>
  <c r="BQ706" i="5"/>
  <c r="CB706" i="5" s="1"/>
  <c r="BQ707" i="5"/>
  <c r="CB707" i="5" s="1"/>
  <c r="BQ708" i="5"/>
  <c r="CB708" i="5" s="1"/>
  <c r="BQ709" i="5"/>
  <c r="CB709" i="5" s="1"/>
  <c r="BQ710" i="5"/>
  <c r="CB710" i="5" s="1"/>
  <c r="BQ711" i="5"/>
  <c r="CB711" i="5" s="1"/>
  <c r="BQ712" i="5"/>
  <c r="CB712" i="5" s="1"/>
  <c r="BQ713" i="5"/>
  <c r="CB713" i="5" s="1"/>
  <c r="BQ714" i="5"/>
  <c r="CB714" i="5" s="1"/>
  <c r="BQ715" i="5"/>
  <c r="CB715" i="5" s="1"/>
  <c r="BQ716" i="5"/>
  <c r="CB716" i="5" s="1"/>
  <c r="BQ717" i="5"/>
  <c r="CB717" i="5" s="1"/>
  <c r="BQ718" i="5"/>
  <c r="CB718" i="5" s="1"/>
  <c r="BQ719" i="5"/>
  <c r="CB719" i="5" s="1"/>
  <c r="BQ720" i="5"/>
  <c r="CB720" i="5" s="1"/>
  <c r="BQ721" i="5"/>
  <c r="CB721" i="5" s="1"/>
  <c r="BQ722" i="5"/>
  <c r="CB722" i="5" s="1"/>
  <c r="BQ723" i="5"/>
  <c r="CB723" i="5" s="1"/>
  <c r="BQ724" i="5"/>
  <c r="CB724" i="5" s="1"/>
  <c r="BQ725" i="5"/>
  <c r="CB725" i="5" s="1"/>
  <c r="BQ726" i="5"/>
  <c r="CB726" i="5" s="1"/>
  <c r="BQ727" i="5"/>
  <c r="CB727" i="5" s="1"/>
  <c r="BQ728" i="5"/>
  <c r="CB728" i="5" s="1"/>
  <c r="BQ729" i="5"/>
  <c r="CB729" i="5" s="1"/>
  <c r="BQ730" i="5"/>
  <c r="CB730" i="5" s="1"/>
  <c r="BQ731" i="5"/>
  <c r="CB731" i="5" s="1"/>
  <c r="BQ732" i="5"/>
  <c r="CB732" i="5" s="1"/>
  <c r="BQ733" i="5"/>
  <c r="CB733" i="5" s="1"/>
  <c r="BQ734" i="5"/>
  <c r="CB734" i="5" s="1"/>
  <c r="BQ735" i="5"/>
  <c r="CB735" i="5" s="1"/>
  <c r="BQ736" i="5"/>
  <c r="CB736" i="5" s="1"/>
  <c r="BQ737" i="5"/>
  <c r="CB737" i="5" s="1"/>
  <c r="BQ738" i="5"/>
  <c r="CB738" i="5" s="1"/>
  <c r="BQ739" i="5"/>
  <c r="CB739" i="5" s="1"/>
  <c r="BQ740" i="5"/>
  <c r="CB740" i="5" s="1"/>
  <c r="BQ741" i="5"/>
  <c r="CB741" i="5" s="1"/>
  <c r="BQ742" i="5"/>
  <c r="CB742" i="5" s="1"/>
  <c r="BQ743" i="5"/>
  <c r="CB743" i="5" s="1"/>
  <c r="BQ744" i="5"/>
  <c r="CB744" i="5" s="1"/>
  <c r="BQ745" i="5"/>
  <c r="CB745" i="5" s="1"/>
  <c r="BQ746" i="5"/>
  <c r="CB746" i="5" s="1"/>
  <c r="BQ747" i="5"/>
  <c r="CB747" i="5" s="1"/>
  <c r="BQ748" i="5"/>
  <c r="CB748" i="5" s="1"/>
  <c r="BQ749" i="5"/>
  <c r="CB749" i="5" s="1"/>
  <c r="BQ750" i="5"/>
  <c r="CB750" i="5" s="1"/>
  <c r="BQ751" i="5"/>
  <c r="CB751" i="5" s="1"/>
  <c r="BQ752" i="5"/>
  <c r="CB752" i="5" s="1"/>
  <c r="BQ753" i="5"/>
  <c r="CB753" i="5" s="1"/>
  <c r="BQ754" i="5"/>
  <c r="CB754" i="5" s="1"/>
  <c r="BQ755" i="5"/>
  <c r="CB755" i="5" s="1"/>
  <c r="BQ756" i="5"/>
  <c r="CB756" i="5" s="1"/>
  <c r="BQ757" i="5"/>
  <c r="CB757" i="5" s="1"/>
  <c r="BQ758" i="5"/>
  <c r="CB758" i="5" s="1"/>
  <c r="BQ759" i="5"/>
  <c r="CB759" i="5" s="1"/>
  <c r="BQ760" i="5"/>
  <c r="CB760" i="5" s="1"/>
  <c r="BQ761" i="5"/>
  <c r="CB761" i="5" s="1"/>
  <c r="BQ762" i="5"/>
  <c r="CB762" i="5" s="1"/>
  <c r="BQ763" i="5"/>
  <c r="CB763" i="5" s="1"/>
  <c r="BQ764" i="5"/>
  <c r="CB764" i="5" s="1"/>
  <c r="BQ765" i="5"/>
  <c r="CB765" i="5" s="1"/>
  <c r="BQ766" i="5"/>
  <c r="CB766" i="5" s="1"/>
  <c r="BQ767" i="5"/>
  <c r="CB767" i="5" s="1"/>
  <c r="BQ768" i="5"/>
  <c r="CB768" i="5" s="1"/>
  <c r="BQ769" i="5"/>
  <c r="CB769" i="5" s="1"/>
  <c r="BQ770" i="5"/>
  <c r="CB770" i="5" s="1"/>
  <c r="BQ771" i="5"/>
  <c r="CB771" i="5" s="1"/>
  <c r="BQ772" i="5"/>
  <c r="CB772" i="5" s="1"/>
  <c r="BQ773" i="5"/>
  <c r="CB773" i="5" s="1"/>
  <c r="BQ774" i="5"/>
  <c r="CB774" i="5" s="1"/>
  <c r="BQ775" i="5"/>
  <c r="CB775" i="5" s="1"/>
  <c r="BQ776" i="5"/>
  <c r="CB776" i="5" s="1"/>
  <c r="BQ777" i="5"/>
  <c r="CB777" i="5" s="1"/>
  <c r="BQ778" i="5"/>
  <c r="CB778" i="5" s="1"/>
  <c r="BQ779" i="5"/>
  <c r="CB779" i="5" s="1"/>
  <c r="BQ780" i="5"/>
  <c r="CB780" i="5" s="1"/>
  <c r="BQ781" i="5"/>
  <c r="CB781" i="5" s="1"/>
  <c r="BQ782" i="5"/>
  <c r="CB782" i="5" s="1"/>
  <c r="BQ783" i="5"/>
  <c r="CB783" i="5" s="1"/>
  <c r="BQ784" i="5"/>
  <c r="CB784" i="5" s="1"/>
  <c r="BQ785" i="5"/>
  <c r="CB785" i="5" s="1"/>
  <c r="BQ786" i="5"/>
  <c r="CB786" i="5" s="1"/>
  <c r="BQ787" i="5"/>
  <c r="CB787" i="5" s="1"/>
  <c r="BQ788" i="5"/>
  <c r="CB788" i="5" s="1"/>
  <c r="BQ789" i="5"/>
  <c r="CB789" i="5" s="1"/>
  <c r="BQ790" i="5"/>
  <c r="CB790" i="5" s="1"/>
  <c r="BQ791" i="5"/>
  <c r="CB791" i="5" s="1"/>
  <c r="BQ792" i="5"/>
  <c r="CB792" i="5" s="1"/>
  <c r="BQ793" i="5"/>
  <c r="CB793" i="5" s="1"/>
  <c r="BQ794" i="5"/>
  <c r="CB794" i="5" s="1"/>
  <c r="BQ795" i="5"/>
  <c r="CB795" i="5" s="1"/>
  <c r="BQ796" i="5"/>
  <c r="CB796" i="5" s="1"/>
  <c r="BQ797" i="5"/>
  <c r="CB797" i="5" s="1"/>
  <c r="BQ798" i="5"/>
  <c r="CB798" i="5" s="1"/>
  <c r="BQ799" i="5"/>
  <c r="CB799" i="5" s="1"/>
  <c r="BQ800" i="5"/>
  <c r="CB800" i="5" s="1"/>
  <c r="BQ801" i="5"/>
  <c r="CB801" i="5" s="1"/>
  <c r="BQ802" i="5"/>
  <c r="CB802" i="5" s="1"/>
  <c r="BQ803" i="5"/>
  <c r="CB803" i="5" s="1"/>
  <c r="BQ804" i="5"/>
  <c r="CB804" i="5" s="1"/>
  <c r="BQ805" i="5"/>
  <c r="CB805" i="5" s="1"/>
  <c r="BQ806" i="5"/>
  <c r="CB806" i="5" s="1"/>
  <c r="BQ807" i="5"/>
  <c r="CB807" i="5" s="1"/>
  <c r="BQ808" i="5"/>
  <c r="CB808" i="5" s="1"/>
  <c r="BQ809" i="5"/>
  <c r="CB809" i="5" s="1"/>
  <c r="BQ810" i="5"/>
  <c r="CB810" i="5" s="1"/>
  <c r="BQ811" i="5"/>
  <c r="CB811" i="5" s="1"/>
  <c r="BQ812" i="5"/>
  <c r="CB812" i="5" s="1"/>
  <c r="BQ813" i="5"/>
  <c r="CB813" i="5" s="1"/>
  <c r="BQ814" i="5"/>
  <c r="CB814" i="5" s="1"/>
  <c r="BQ815" i="5"/>
  <c r="CB815" i="5" s="1"/>
  <c r="BQ816" i="5"/>
  <c r="CB816" i="5" s="1"/>
  <c r="BQ817" i="5"/>
  <c r="CB817" i="5" s="1"/>
  <c r="BQ818" i="5"/>
  <c r="CB818" i="5" s="1"/>
  <c r="BQ819" i="5"/>
  <c r="CB819" i="5" s="1"/>
  <c r="BQ820" i="5"/>
  <c r="CB820" i="5" s="1"/>
  <c r="BQ821" i="5"/>
  <c r="CB821" i="5" s="1"/>
  <c r="BQ822" i="5"/>
  <c r="CB822" i="5" s="1"/>
  <c r="BQ823" i="5"/>
  <c r="CB823" i="5" s="1"/>
  <c r="BQ824" i="5"/>
  <c r="CB824" i="5" s="1"/>
  <c r="BQ825" i="5"/>
  <c r="CB825" i="5" s="1"/>
  <c r="BQ826" i="5"/>
  <c r="CB826" i="5" s="1"/>
  <c r="BQ827" i="5"/>
  <c r="CB827" i="5" s="1"/>
  <c r="BQ828" i="5"/>
  <c r="CB828" i="5" s="1"/>
  <c r="BQ829" i="5"/>
  <c r="CB829" i="5" s="1"/>
  <c r="BQ830" i="5"/>
  <c r="CB830" i="5" s="1"/>
  <c r="BQ831" i="5"/>
  <c r="CB831" i="5" s="1"/>
  <c r="BQ832" i="5"/>
  <c r="CB832" i="5" s="1"/>
  <c r="BQ833" i="5"/>
  <c r="CB833" i="5" s="1"/>
  <c r="BQ834" i="5"/>
  <c r="CB834" i="5" s="1"/>
  <c r="BQ835" i="5"/>
  <c r="CB835" i="5" s="1"/>
  <c r="BQ836" i="5"/>
  <c r="CB836" i="5" s="1"/>
  <c r="BQ837" i="5"/>
  <c r="CB837" i="5" s="1"/>
  <c r="BQ838" i="5"/>
  <c r="CB838" i="5" s="1"/>
  <c r="BQ839" i="5"/>
  <c r="CB839" i="5" s="1"/>
  <c r="BQ840" i="5"/>
  <c r="CB840" i="5" s="1"/>
  <c r="BQ841" i="5"/>
  <c r="CB841" i="5" s="1"/>
  <c r="BQ842" i="5"/>
  <c r="CB842" i="5" s="1"/>
  <c r="BQ843" i="5"/>
  <c r="CB843" i="5" s="1"/>
  <c r="BQ844" i="5"/>
  <c r="CB844" i="5" s="1"/>
  <c r="BQ845" i="5"/>
  <c r="CB845" i="5" s="1"/>
  <c r="BQ846" i="5"/>
  <c r="CB846" i="5" s="1"/>
  <c r="BQ847" i="5"/>
  <c r="CB847" i="5" s="1"/>
  <c r="BQ848" i="5"/>
  <c r="CB848" i="5" s="1"/>
  <c r="BQ849" i="5"/>
  <c r="CB849" i="5" s="1"/>
  <c r="BQ850" i="5"/>
  <c r="CB850" i="5" s="1"/>
  <c r="BQ851" i="5"/>
  <c r="CB851" i="5" s="1"/>
  <c r="BQ852" i="5"/>
  <c r="CB852" i="5" s="1"/>
  <c r="BQ853" i="5"/>
  <c r="CB853" i="5" s="1"/>
  <c r="BQ854" i="5"/>
  <c r="CB854" i="5" s="1"/>
  <c r="BQ855" i="5"/>
  <c r="CB855" i="5" s="1"/>
  <c r="BQ856" i="5"/>
  <c r="CB856" i="5" s="1"/>
  <c r="BQ857" i="5"/>
  <c r="CB857" i="5" s="1"/>
  <c r="BQ858" i="5"/>
  <c r="CB858" i="5" s="1"/>
  <c r="BQ859" i="5"/>
  <c r="CB859" i="5" s="1"/>
  <c r="BQ860" i="5"/>
  <c r="CB860" i="5" s="1"/>
  <c r="BQ861" i="5"/>
  <c r="CB861" i="5" s="1"/>
  <c r="BQ862" i="5"/>
  <c r="CB862" i="5" s="1"/>
  <c r="BQ863" i="5"/>
  <c r="CB863" i="5" s="1"/>
  <c r="BQ864" i="5"/>
  <c r="CB864" i="5" s="1"/>
  <c r="BQ865" i="5"/>
  <c r="CB865" i="5" s="1"/>
  <c r="BQ866" i="5"/>
  <c r="CB866" i="5" s="1"/>
  <c r="BQ867" i="5"/>
  <c r="CB867" i="5" s="1"/>
  <c r="BQ868" i="5"/>
  <c r="CB868" i="5" s="1"/>
  <c r="BQ869" i="5"/>
  <c r="CB869" i="5" s="1"/>
  <c r="BQ870" i="5"/>
  <c r="CB870" i="5" s="1"/>
  <c r="BQ871" i="5"/>
  <c r="CB871" i="5" s="1"/>
  <c r="BQ872" i="5"/>
  <c r="CB872" i="5" s="1"/>
  <c r="BQ873" i="5"/>
  <c r="CB873" i="5" s="1"/>
  <c r="BQ874" i="5"/>
  <c r="CB874" i="5" s="1"/>
  <c r="BQ875" i="5"/>
  <c r="CB875" i="5" s="1"/>
  <c r="BQ876" i="5"/>
  <c r="CB876" i="5" s="1"/>
  <c r="BQ877" i="5"/>
  <c r="CB877" i="5" s="1"/>
  <c r="BQ878" i="5"/>
  <c r="CB878" i="5" s="1"/>
  <c r="BQ879" i="5"/>
  <c r="CB879" i="5" s="1"/>
  <c r="BQ880" i="5"/>
  <c r="CB880" i="5" s="1"/>
  <c r="BQ881" i="5"/>
  <c r="CB881" i="5" s="1"/>
  <c r="BQ882" i="5"/>
  <c r="CB882" i="5" s="1"/>
  <c r="BQ883" i="5"/>
  <c r="CB883" i="5" s="1"/>
  <c r="BQ884" i="5"/>
  <c r="CB884" i="5" s="1"/>
  <c r="BQ885" i="5"/>
  <c r="CB885" i="5" s="1"/>
  <c r="BQ886" i="5"/>
  <c r="CB886" i="5" s="1"/>
  <c r="BQ887" i="5"/>
  <c r="CB887" i="5" s="1"/>
  <c r="BQ888" i="5"/>
  <c r="CB888" i="5" s="1"/>
  <c r="BQ889" i="5"/>
  <c r="CB889" i="5" s="1"/>
  <c r="BQ890" i="5"/>
  <c r="CB890" i="5" s="1"/>
  <c r="BQ891" i="5"/>
  <c r="CB891" i="5" s="1"/>
  <c r="BQ892" i="5"/>
  <c r="CB892" i="5" s="1"/>
  <c r="BQ893" i="5"/>
  <c r="CB893" i="5" s="1"/>
  <c r="BQ894" i="5"/>
  <c r="CB894" i="5" s="1"/>
  <c r="BQ895" i="5"/>
  <c r="CB895" i="5" s="1"/>
  <c r="BQ896" i="5"/>
  <c r="CB896" i="5" s="1"/>
  <c r="BQ897" i="5"/>
  <c r="CB897" i="5" s="1"/>
  <c r="BQ898" i="5"/>
  <c r="CB898" i="5" s="1"/>
  <c r="BQ899" i="5"/>
  <c r="CB899" i="5" s="1"/>
  <c r="BQ900" i="5"/>
  <c r="CB900" i="5" s="1"/>
  <c r="BQ901" i="5"/>
  <c r="CB901" i="5" s="1"/>
  <c r="BQ902" i="5"/>
  <c r="CB902" i="5" s="1"/>
  <c r="BQ903" i="5"/>
  <c r="CB903" i="5" s="1"/>
  <c r="BQ904" i="5"/>
  <c r="CB904" i="5" s="1"/>
  <c r="BQ905" i="5"/>
  <c r="CB905" i="5" s="1"/>
  <c r="BQ906" i="5"/>
  <c r="CB906" i="5" s="1"/>
  <c r="BQ907" i="5"/>
  <c r="CB907" i="5" s="1"/>
  <c r="BQ908" i="5"/>
  <c r="CB908" i="5" s="1"/>
  <c r="BQ909" i="5"/>
  <c r="CB909" i="5" s="1"/>
  <c r="BQ910" i="5"/>
  <c r="CB910" i="5" s="1"/>
  <c r="BQ911" i="5"/>
  <c r="CB911" i="5" s="1"/>
  <c r="BQ912" i="5"/>
  <c r="CB912" i="5" s="1"/>
  <c r="BQ913" i="5"/>
  <c r="CB913" i="5" s="1"/>
  <c r="BQ914" i="5"/>
  <c r="CB914" i="5" s="1"/>
  <c r="BQ915" i="5"/>
  <c r="CB915" i="5" s="1"/>
  <c r="BQ916" i="5"/>
  <c r="CB916" i="5" s="1"/>
  <c r="BQ917" i="5"/>
  <c r="CB917" i="5" s="1"/>
  <c r="BQ918" i="5"/>
  <c r="CB918" i="5" s="1"/>
  <c r="BQ919" i="5"/>
  <c r="CB919" i="5" s="1"/>
  <c r="BQ920" i="5"/>
  <c r="CB920" i="5" s="1"/>
  <c r="BQ921" i="5"/>
  <c r="CB921" i="5" s="1"/>
  <c r="BQ922" i="5"/>
  <c r="CB922" i="5" s="1"/>
  <c r="BQ923" i="5"/>
  <c r="CB923" i="5" s="1"/>
  <c r="BQ924" i="5"/>
  <c r="CB924" i="5" s="1"/>
  <c r="BQ925" i="5"/>
  <c r="CB925" i="5" s="1"/>
  <c r="BQ926" i="5"/>
  <c r="CB926" i="5" s="1"/>
  <c r="BQ927" i="5"/>
  <c r="CB927" i="5" s="1"/>
  <c r="BQ928" i="5"/>
  <c r="CB928" i="5" s="1"/>
  <c r="BQ929" i="5"/>
  <c r="CB929" i="5" s="1"/>
  <c r="BQ930" i="5"/>
  <c r="CB930" i="5" s="1"/>
  <c r="BQ931" i="5"/>
  <c r="CB931" i="5" s="1"/>
  <c r="BQ932" i="5"/>
  <c r="CB932" i="5" s="1"/>
  <c r="BQ933" i="5"/>
  <c r="CB933" i="5" s="1"/>
  <c r="BQ934" i="5"/>
  <c r="CB934" i="5" s="1"/>
  <c r="BQ935" i="5"/>
  <c r="CB935" i="5" s="1"/>
  <c r="BQ936" i="5"/>
  <c r="CB936" i="5" s="1"/>
  <c r="BQ937" i="5"/>
  <c r="CB937" i="5" s="1"/>
  <c r="BQ938" i="5"/>
  <c r="CB938" i="5" s="1"/>
  <c r="BQ939" i="5"/>
  <c r="CB939" i="5" s="1"/>
  <c r="BQ940" i="5"/>
  <c r="CB940" i="5" s="1"/>
  <c r="BQ941" i="5"/>
  <c r="CB941" i="5" s="1"/>
  <c r="BQ942" i="5"/>
  <c r="CB942" i="5" s="1"/>
  <c r="BQ943" i="5"/>
  <c r="CB943" i="5" s="1"/>
  <c r="BQ944" i="5"/>
  <c r="CB944" i="5" s="1"/>
  <c r="BQ945" i="5"/>
  <c r="CB945" i="5" s="1"/>
  <c r="BQ946" i="5"/>
  <c r="CB946" i="5" s="1"/>
  <c r="BQ947" i="5"/>
  <c r="CB947" i="5" s="1"/>
  <c r="BQ948" i="5"/>
  <c r="CB948" i="5" s="1"/>
  <c r="BQ949" i="5"/>
  <c r="CB949" i="5" s="1"/>
  <c r="BQ950" i="5"/>
  <c r="CB950" i="5" s="1"/>
  <c r="BQ951" i="5"/>
  <c r="CB951" i="5" s="1"/>
  <c r="BQ952" i="5"/>
  <c r="CB952" i="5" s="1"/>
  <c r="BQ953" i="5"/>
  <c r="CB953" i="5" s="1"/>
  <c r="BQ954" i="5"/>
  <c r="CB954" i="5" s="1"/>
  <c r="BQ955" i="5"/>
  <c r="CB955" i="5" s="1"/>
  <c r="BQ956" i="5"/>
  <c r="CB956" i="5" s="1"/>
  <c r="BQ957" i="5"/>
  <c r="CB957" i="5" s="1"/>
  <c r="BQ958" i="5"/>
  <c r="CB958" i="5" s="1"/>
  <c r="BQ959" i="5"/>
  <c r="CB959" i="5" s="1"/>
  <c r="BQ960" i="5"/>
  <c r="CB960" i="5" s="1"/>
  <c r="BQ961" i="5"/>
  <c r="CB961" i="5" s="1"/>
  <c r="BQ962" i="5"/>
  <c r="CB962" i="5" s="1"/>
  <c r="BQ963" i="5"/>
  <c r="CB963" i="5" s="1"/>
  <c r="BQ964" i="5"/>
  <c r="CB964" i="5" s="1"/>
  <c r="BQ965" i="5"/>
  <c r="CB965" i="5" s="1"/>
  <c r="BQ966" i="5"/>
  <c r="CB966" i="5" s="1"/>
  <c r="BQ967" i="5"/>
  <c r="CB967" i="5" s="1"/>
  <c r="BQ968" i="5"/>
  <c r="CB968" i="5" s="1"/>
  <c r="BQ969" i="5"/>
  <c r="CB969" i="5" s="1"/>
  <c r="BQ970" i="5"/>
  <c r="CB970" i="5" s="1"/>
  <c r="BQ971" i="5"/>
  <c r="CB971" i="5" s="1"/>
  <c r="BQ972" i="5"/>
  <c r="CB972" i="5" s="1"/>
  <c r="BQ973" i="5"/>
  <c r="CB973" i="5" s="1"/>
  <c r="BQ974" i="5"/>
  <c r="CB974" i="5" s="1"/>
  <c r="BQ975" i="5"/>
  <c r="CB975" i="5" s="1"/>
  <c r="BQ976" i="5"/>
  <c r="CB976" i="5" s="1"/>
  <c r="BQ977" i="5"/>
  <c r="CB977" i="5" s="1"/>
  <c r="BQ978" i="5"/>
  <c r="CB978" i="5" s="1"/>
  <c r="BQ979" i="5"/>
  <c r="CB979" i="5" s="1"/>
  <c r="BQ980" i="5"/>
  <c r="CB980" i="5" s="1"/>
  <c r="BQ981" i="5"/>
  <c r="CB981" i="5" s="1"/>
  <c r="BQ982" i="5"/>
  <c r="CB982" i="5" s="1"/>
  <c r="BQ983" i="5"/>
  <c r="CB983" i="5" s="1"/>
  <c r="BQ984" i="5"/>
  <c r="CB984" i="5" s="1"/>
  <c r="BQ985" i="5"/>
  <c r="CB985" i="5" s="1"/>
  <c r="BQ986" i="5"/>
  <c r="CB986" i="5" s="1"/>
  <c r="BQ987" i="5"/>
  <c r="CB987" i="5" s="1"/>
  <c r="BQ988" i="5"/>
  <c r="CB988" i="5" s="1"/>
  <c r="BQ989" i="5"/>
  <c r="CB989" i="5" s="1"/>
  <c r="BQ990" i="5"/>
  <c r="CB990" i="5" s="1"/>
  <c r="BQ991" i="5"/>
  <c r="CB991" i="5" s="1"/>
  <c r="BQ992" i="5"/>
  <c r="CB992" i="5" s="1"/>
  <c r="BQ993" i="5"/>
  <c r="CB993" i="5" s="1"/>
  <c r="BQ994" i="5"/>
  <c r="CB994" i="5" s="1"/>
  <c r="BQ995" i="5"/>
  <c r="CB995" i="5" s="1"/>
  <c r="BQ996" i="5"/>
  <c r="CB996" i="5" s="1"/>
  <c r="BQ997" i="5"/>
  <c r="CB997" i="5" s="1"/>
  <c r="BQ998" i="5"/>
  <c r="CB998" i="5" s="1"/>
  <c r="BQ999" i="5"/>
  <c r="CB999" i="5" s="1"/>
  <c r="BQ1000" i="5"/>
  <c r="CB1000" i="5" s="1"/>
  <c r="BQ1001" i="5"/>
  <c r="CB1001" i="5" s="1"/>
  <c r="BQ1002" i="5"/>
  <c r="CB1002" i="5" s="1"/>
  <c r="BQ1003" i="5"/>
  <c r="CB1003" i="5" s="1"/>
  <c r="BQ1004" i="5"/>
  <c r="CB1004" i="5" s="1"/>
  <c r="BQ1005" i="5"/>
  <c r="CB1005" i="5" s="1"/>
  <c r="BQ1006" i="5"/>
  <c r="CB1006" i="5" s="1"/>
  <c r="BQ1007" i="5"/>
  <c r="CB1007" i="5" s="1"/>
  <c r="BQ1008" i="5"/>
  <c r="CB1008" i="5" s="1"/>
  <c r="BQ1009" i="5"/>
  <c r="CB1009" i="5" s="1"/>
  <c r="BQ1010" i="5"/>
  <c r="CB1010" i="5" s="1"/>
  <c r="BQ1011" i="5"/>
  <c r="CB1011" i="5" s="1"/>
  <c r="BQ1012" i="5"/>
  <c r="CB1012" i="5" s="1"/>
  <c r="BQ1013" i="5"/>
  <c r="CB1013" i="5" s="1"/>
  <c r="BQ1014" i="5"/>
  <c r="CB1014" i="5" s="1"/>
  <c r="BQ1015" i="5"/>
  <c r="CB1015" i="5" s="1"/>
  <c r="BQ1016" i="5"/>
  <c r="CB1016" i="5" s="1"/>
  <c r="BQ1017" i="5"/>
  <c r="CB1017" i="5" s="1"/>
  <c r="BQ1018" i="5"/>
  <c r="CB1018" i="5" s="1"/>
  <c r="BQ1019" i="5"/>
  <c r="CB1019" i="5" s="1"/>
  <c r="BQ1020" i="5"/>
  <c r="CB1020" i="5" s="1"/>
  <c r="BQ1021" i="5"/>
  <c r="CB1021" i="5" s="1"/>
  <c r="BQ1022" i="5"/>
  <c r="CB1022" i="5" s="1"/>
  <c r="BQ1023" i="5"/>
  <c r="CB1023" i="5" s="1"/>
  <c r="BQ1024" i="5"/>
  <c r="CB1024" i="5" s="1"/>
  <c r="BQ1025" i="5"/>
  <c r="CB1025" i="5" s="1"/>
  <c r="BQ1026" i="5"/>
  <c r="CB1026" i="5" s="1"/>
  <c r="BQ1027" i="5"/>
  <c r="CB1027" i="5" s="1"/>
  <c r="BQ1028" i="5"/>
  <c r="CB1028" i="5" s="1"/>
  <c r="BQ1029" i="5"/>
  <c r="CB1029" i="5" s="1"/>
  <c r="BQ1030" i="5"/>
  <c r="CB1030" i="5" s="1"/>
  <c r="BQ1031" i="5"/>
  <c r="CB1031" i="5" s="1"/>
  <c r="BQ1032" i="5"/>
  <c r="CB1032" i="5" s="1"/>
  <c r="BQ1033" i="5"/>
  <c r="CB1033" i="5" s="1"/>
  <c r="BQ1034" i="5"/>
  <c r="CB1034" i="5" s="1"/>
  <c r="BQ1035" i="5"/>
  <c r="CB1035" i="5" s="1"/>
  <c r="BQ1036" i="5"/>
  <c r="CB1036" i="5" s="1"/>
  <c r="BQ1037" i="5"/>
  <c r="CB1037" i="5" s="1"/>
  <c r="BQ1038" i="5"/>
  <c r="CB1038" i="5" s="1"/>
  <c r="BQ1039" i="5"/>
  <c r="CB1039" i="5" s="1"/>
  <c r="BQ1040" i="5"/>
  <c r="CB1040" i="5" s="1"/>
  <c r="BQ1041" i="5"/>
  <c r="CB1041" i="5" s="1"/>
  <c r="BQ1042" i="5"/>
  <c r="CB1042" i="5" s="1"/>
  <c r="BQ1043" i="5"/>
  <c r="CB1043" i="5" s="1"/>
  <c r="BQ1044" i="5"/>
  <c r="CB1044" i="5" s="1"/>
  <c r="BQ1045" i="5"/>
  <c r="CB1045" i="5" s="1"/>
  <c r="BQ1046" i="5"/>
  <c r="CB1046" i="5" s="1"/>
  <c r="BQ1047" i="5"/>
  <c r="CB1047" i="5" s="1"/>
  <c r="BQ1048" i="5"/>
  <c r="CB1048" i="5" s="1"/>
  <c r="BQ1049" i="5"/>
  <c r="CB1049" i="5" s="1"/>
  <c r="BQ1050" i="5"/>
  <c r="CB1050" i="5" s="1"/>
  <c r="BQ1051" i="5"/>
  <c r="CB1051" i="5" s="1"/>
  <c r="BQ1052" i="5"/>
  <c r="CB1052" i="5" s="1"/>
  <c r="BQ1053" i="5"/>
  <c r="CB1053" i="5" s="1"/>
  <c r="BQ1054" i="5"/>
  <c r="CB1054" i="5" s="1"/>
  <c r="BQ1055" i="5"/>
  <c r="CB1055" i="5" s="1"/>
  <c r="BQ1056" i="5"/>
  <c r="CB1056" i="5" s="1"/>
  <c r="BQ1057" i="5"/>
  <c r="CB1057" i="5" s="1"/>
  <c r="BQ1058" i="5"/>
  <c r="CB1058" i="5" s="1"/>
  <c r="BQ1059" i="5"/>
  <c r="CB1059" i="5" s="1"/>
  <c r="BQ1060" i="5"/>
  <c r="CB1060" i="5" s="1"/>
  <c r="BQ1061" i="5"/>
  <c r="CB1061" i="5" s="1"/>
  <c r="BQ1062" i="5"/>
  <c r="CB1062" i="5" s="1"/>
  <c r="BQ1063" i="5"/>
  <c r="CB1063" i="5" s="1"/>
  <c r="BQ1064" i="5"/>
  <c r="CB1064" i="5" s="1"/>
  <c r="BQ1065" i="5"/>
  <c r="CB1065" i="5" s="1"/>
  <c r="BQ1066" i="5"/>
  <c r="CB1066" i="5" s="1"/>
  <c r="BQ1067" i="5"/>
  <c r="CB1067" i="5" s="1"/>
  <c r="BQ1068" i="5"/>
  <c r="CB1068" i="5" s="1"/>
  <c r="BQ1069" i="5"/>
  <c r="CB1069" i="5" s="1"/>
  <c r="BQ1070" i="5"/>
  <c r="CB1070" i="5" s="1"/>
  <c r="BQ1071" i="5"/>
  <c r="CB1071" i="5" s="1"/>
  <c r="BQ1072" i="5"/>
  <c r="CB1072" i="5" s="1"/>
  <c r="BQ1073" i="5"/>
  <c r="CB1073" i="5" s="1"/>
  <c r="BQ1074" i="5"/>
  <c r="CB1074" i="5" s="1"/>
  <c r="BQ1075" i="5"/>
  <c r="CB1075" i="5" s="1"/>
  <c r="BQ1076" i="5"/>
  <c r="CB1076" i="5" s="1"/>
  <c r="BQ1077" i="5"/>
  <c r="CB1077" i="5" s="1"/>
  <c r="BQ1078" i="5"/>
  <c r="CB1078" i="5" s="1"/>
  <c r="BQ1079" i="5"/>
  <c r="CB1079" i="5" s="1"/>
  <c r="BQ1080" i="5"/>
  <c r="CB1080" i="5" s="1"/>
  <c r="BQ1081" i="5"/>
  <c r="CB1081" i="5" s="1"/>
  <c r="BQ1082" i="5"/>
  <c r="CB1082" i="5" s="1"/>
  <c r="BQ1083" i="5"/>
  <c r="CB1083" i="5" s="1"/>
  <c r="BQ1084" i="5"/>
  <c r="CB1084" i="5" s="1"/>
  <c r="BQ1085" i="5"/>
  <c r="CB1085" i="5" s="1"/>
  <c r="BQ1086" i="5"/>
  <c r="CB1086" i="5" s="1"/>
  <c r="BQ1087" i="5"/>
  <c r="CB1087" i="5" s="1"/>
  <c r="BQ1088" i="5"/>
  <c r="CB1088" i="5" s="1"/>
  <c r="BQ1089" i="5"/>
  <c r="CB1089" i="5" s="1"/>
  <c r="BQ1090" i="5"/>
  <c r="CB1090" i="5" s="1"/>
  <c r="BQ1091" i="5"/>
  <c r="CB1091" i="5" s="1"/>
  <c r="BQ1092" i="5"/>
  <c r="CB1092" i="5" s="1"/>
  <c r="BQ1093" i="5"/>
  <c r="CB1093" i="5" s="1"/>
  <c r="BQ1094" i="5"/>
  <c r="CB1094" i="5" s="1"/>
  <c r="BQ1095" i="5"/>
  <c r="CB1095" i="5" s="1"/>
  <c r="BQ1096" i="5"/>
  <c r="CB1096" i="5" s="1"/>
  <c r="BQ1097" i="5"/>
  <c r="CB1097" i="5" s="1"/>
  <c r="BQ1098" i="5"/>
  <c r="CB1098" i="5" s="1"/>
  <c r="BQ1099" i="5"/>
  <c r="CB1099" i="5" s="1"/>
  <c r="BQ1100" i="5"/>
  <c r="CB1100" i="5" s="1"/>
  <c r="BQ1101" i="5"/>
  <c r="CB1101" i="5" s="1"/>
  <c r="BQ1102" i="5"/>
  <c r="CB1102" i="5" s="1"/>
  <c r="BQ1103" i="5"/>
  <c r="CB1103" i="5" s="1"/>
  <c r="BQ1104" i="5"/>
  <c r="CB1104" i="5" s="1"/>
  <c r="BQ1105" i="5"/>
  <c r="CB1105" i="5" s="1"/>
  <c r="BQ1106" i="5"/>
  <c r="CB1106" i="5" s="1"/>
  <c r="BQ1107" i="5"/>
  <c r="CB1107" i="5" s="1"/>
  <c r="BQ1108" i="5"/>
  <c r="CB1108" i="5" s="1"/>
  <c r="BQ1109" i="5"/>
  <c r="CB1109" i="5" s="1"/>
  <c r="BQ1110" i="5"/>
  <c r="CB1110" i="5" s="1"/>
  <c r="BQ1111" i="5"/>
  <c r="CB1111" i="5" s="1"/>
  <c r="BQ1112" i="5"/>
  <c r="CB1112" i="5" s="1"/>
  <c r="BQ1113" i="5"/>
  <c r="CB1113" i="5" s="1"/>
  <c r="BQ1114" i="5"/>
  <c r="CB1114" i="5" s="1"/>
  <c r="BQ1115" i="5"/>
  <c r="CB1115" i="5" s="1"/>
  <c r="BQ1116" i="5"/>
  <c r="CB1116" i="5" s="1"/>
  <c r="BQ1117" i="5"/>
  <c r="CB1117" i="5" s="1"/>
  <c r="BQ1118" i="5"/>
  <c r="CB1118" i="5" s="1"/>
  <c r="BQ1119" i="5"/>
  <c r="CB1119" i="5" s="1"/>
  <c r="BQ1120" i="5"/>
  <c r="CB1120" i="5" s="1"/>
  <c r="BQ1121" i="5"/>
  <c r="CB1121" i="5" s="1"/>
  <c r="BQ1122" i="5"/>
  <c r="CB1122" i="5" s="1"/>
  <c r="BQ1123" i="5"/>
  <c r="CB1123" i="5" s="1"/>
  <c r="BQ1124" i="5"/>
  <c r="CB1124" i="5" s="1"/>
  <c r="BQ1125" i="5"/>
  <c r="CB1125" i="5" s="1"/>
  <c r="BQ1126" i="5"/>
  <c r="CB1126" i="5" s="1"/>
  <c r="BQ1127" i="5"/>
  <c r="CB1127" i="5" s="1"/>
  <c r="BQ1128" i="5"/>
  <c r="CB1128" i="5" s="1"/>
  <c r="BQ1129" i="5"/>
  <c r="CB1129" i="5" s="1"/>
  <c r="BQ1130" i="5"/>
  <c r="CB1130" i="5" s="1"/>
  <c r="BQ1131" i="5"/>
  <c r="CB1131" i="5" s="1"/>
  <c r="BQ1132" i="5"/>
  <c r="CB1132" i="5" s="1"/>
  <c r="BQ1133" i="5"/>
  <c r="CB1133" i="5" s="1"/>
  <c r="BQ1134" i="5"/>
  <c r="CB1134" i="5" s="1"/>
  <c r="BQ1135" i="5"/>
  <c r="CB1135" i="5" s="1"/>
  <c r="BQ1136" i="5"/>
  <c r="CB1136" i="5" s="1"/>
  <c r="BQ1137" i="5"/>
  <c r="CB1137" i="5" s="1"/>
  <c r="BQ1138" i="5"/>
  <c r="CB1138" i="5" s="1"/>
  <c r="BQ1139" i="5"/>
  <c r="CB1139" i="5" s="1"/>
  <c r="BQ1140" i="5"/>
  <c r="CB1140" i="5" s="1"/>
  <c r="BQ1141" i="5"/>
  <c r="CB1141" i="5" s="1"/>
  <c r="BQ1142" i="5"/>
  <c r="CB1142" i="5" s="1"/>
  <c r="BQ1143" i="5"/>
  <c r="CB1143" i="5" s="1"/>
  <c r="BQ1144" i="5"/>
  <c r="CB1144" i="5" s="1"/>
  <c r="BQ1145" i="5"/>
  <c r="CB1145" i="5" s="1"/>
  <c r="BQ1146" i="5"/>
  <c r="CB1146" i="5" s="1"/>
  <c r="BQ1147" i="5"/>
  <c r="CB1147" i="5" s="1"/>
  <c r="BQ1148" i="5"/>
  <c r="CB1148" i="5" s="1"/>
  <c r="BQ1149" i="5"/>
  <c r="CB1149" i="5" s="1"/>
  <c r="BQ1150" i="5"/>
  <c r="CB1150" i="5" s="1"/>
  <c r="BQ1151" i="5"/>
  <c r="CB1151" i="5" s="1"/>
  <c r="BQ1152" i="5"/>
  <c r="CB1152" i="5" s="1"/>
  <c r="BQ1153" i="5"/>
  <c r="CB1153" i="5" s="1"/>
  <c r="BQ1154" i="5"/>
  <c r="CB1154" i="5" s="1"/>
  <c r="BQ1155" i="5"/>
  <c r="CB1155" i="5" s="1"/>
  <c r="BQ1156" i="5"/>
  <c r="CB1156" i="5" s="1"/>
  <c r="BQ1157" i="5"/>
  <c r="CB1157" i="5" s="1"/>
  <c r="BQ1158" i="5"/>
  <c r="CB1158" i="5" s="1"/>
  <c r="BQ1159" i="5"/>
  <c r="CB1159" i="5" s="1"/>
  <c r="BQ1160" i="5"/>
  <c r="CB1160" i="5" s="1"/>
  <c r="BQ1161" i="5"/>
  <c r="CB1161" i="5" s="1"/>
  <c r="BQ1162" i="5"/>
  <c r="CB1162" i="5" s="1"/>
  <c r="BQ1163" i="5"/>
  <c r="CB1163" i="5" s="1"/>
  <c r="BQ1164" i="5"/>
  <c r="CB1164" i="5" s="1"/>
  <c r="BQ1165" i="5"/>
  <c r="CB1165" i="5" s="1"/>
  <c r="BQ1166" i="5"/>
  <c r="CB1166" i="5" s="1"/>
  <c r="BQ1167" i="5"/>
  <c r="CB1167" i="5" s="1"/>
  <c r="BQ1168" i="5"/>
  <c r="CB1168" i="5" s="1"/>
  <c r="BQ1169" i="5"/>
  <c r="CB1169" i="5" s="1"/>
  <c r="BQ1170" i="5"/>
  <c r="CB1170" i="5" s="1"/>
  <c r="BQ1171" i="5"/>
  <c r="CB1171" i="5" s="1"/>
  <c r="BQ1172" i="5"/>
  <c r="CB1172" i="5" s="1"/>
  <c r="BQ1173" i="5"/>
  <c r="CB1173" i="5" s="1"/>
  <c r="BQ1174" i="5"/>
  <c r="CB1174" i="5" s="1"/>
  <c r="BQ1175" i="5"/>
  <c r="CB1175" i="5" s="1"/>
  <c r="BQ1176" i="5"/>
  <c r="CB1176" i="5" s="1"/>
  <c r="BQ1177" i="5"/>
  <c r="CB1177" i="5" s="1"/>
  <c r="BQ1178" i="5"/>
  <c r="CB1178" i="5" s="1"/>
  <c r="BQ1179" i="5"/>
  <c r="CB1179" i="5" s="1"/>
  <c r="BQ1180" i="5"/>
  <c r="CB1180" i="5" s="1"/>
  <c r="BQ1181" i="5"/>
  <c r="CB1181" i="5" s="1"/>
  <c r="BQ1182" i="5"/>
  <c r="CB1182" i="5" s="1"/>
  <c r="BQ1183" i="5"/>
  <c r="CB1183" i="5" s="1"/>
  <c r="BQ1184" i="5"/>
  <c r="CB1184" i="5" s="1"/>
  <c r="BQ1185" i="5"/>
  <c r="CB1185" i="5" s="1"/>
  <c r="BQ1186" i="5"/>
  <c r="CB1186" i="5" s="1"/>
  <c r="BQ1187" i="5"/>
  <c r="CB1187" i="5" s="1"/>
  <c r="BQ1188" i="5"/>
  <c r="CB1188" i="5" s="1"/>
  <c r="BQ1189" i="5"/>
  <c r="CB1189" i="5" s="1"/>
  <c r="BQ1190" i="5"/>
  <c r="CB1190" i="5" s="1"/>
  <c r="BQ1191" i="5"/>
  <c r="CB1191" i="5" s="1"/>
  <c r="BQ1192" i="5"/>
  <c r="CB1192" i="5" s="1"/>
  <c r="BQ1193" i="5"/>
  <c r="CB1193" i="5" s="1"/>
  <c r="BQ1194" i="5"/>
  <c r="CB1194" i="5" s="1"/>
  <c r="BQ1195" i="5"/>
  <c r="CB1195" i="5" s="1"/>
  <c r="BQ1196" i="5"/>
  <c r="CB1196" i="5" s="1"/>
  <c r="BQ1197" i="5"/>
  <c r="CB1197" i="5" s="1"/>
  <c r="BQ1198" i="5"/>
  <c r="CB1198" i="5" s="1"/>
  <c r="BQ1199" i="5"/>
  <c r="CB1199" i="5" s="1"/>
  <c r="BQ1200" i="5"/>
  <c r="CB1200" i="5" s="1"/>
  <c r="BQ1201" i="5"/>
  <c r="CB1201" i="5" s="1"/>
  <c r="BQ1202" i="5"/>
  <c r="CB1202" i="5" s="1"/>
  <c r="BQ1203" i="5"/>
  <c r="CB1203" i="5" s="1"/>
  <c r="BQ1204" i="5"/>
  <c r="CB1204" i="5" s="1"/>
  <c r="BQ1205" i="5"/>
  <c r="CB1205" i="5" s="1"/>
  <c r="BQ1206" i="5"/>
  <c r="CB1206" i="5" s="1"/>
  <c r="BQ1207" i="5"/>
  <c r="CB1207" i="5" s="1"/>
  <c r="BQ1208" i="5"/>
  <c r="CB1208" i="5" s="1"/>
  <c r="BQ1209" i="5"/>
  <c r="CB1209" i="5" s="1"/>
  <c r="BQ1210" i="5"/>
  <c r="CB1210" i="5" s="1"/>
  <c r="BQ1211" i="5"/>
  <c r="CB1211" i="5" s="1"/>
  <c r="BQ1212" i="5"/>
  <c r="CB1212" i="5" s="1"/>
  <c r="BQ1213" i="5"/>
  <c r="CB1213" i="5" s="1"/>
  <c r="BQ1214" i="5"/>
  <c r="CB1214" i="5" s="1"/>
  <c r="BQ1215" i="5"/>
  <c r="CB1215" i="5" s="1"/>
  <c r="BQ1216" i="5"/>
  <c r="CB1216" i="5" s="1"/>
  <c r="BQ1217" i="5"/>
  <c r="CB1217" i="5" s="1"/>
  <c r="BQ1218" i="5"/>
  <c r="CB1218" i="5" s="1"/>
  <c r="BQ1219" i="5"/>
  <c r="CB1219" i="5" s="1"/>
  <c r="BQ1220" i="5"/>
  <c r="CB1220" i="5" s="1"/>
  <c r="BQ1221" i="5"/>
  <c r="CB1221" i="5" s="1"/>
  <c r="BQ1222" i="5"/>
  <c r="CB1222" i="5" s="1"/>
  <c r="BQ1223" i="5"/>
  <c r="CB1223" i="5" s="1"/>
  <c r="BQ1224" i="5"/>
  <c r="CB1224" i="5" s="1"/>
  <c r="BQ1225" i="5"/>
  <c r="CB1225" i="5" s="1"/>
  <c r="BQ1226" i="5"/>
  <c r="CB1226" i="5" s="1"/>
  <c r="BQ1227" i="5"/>
  <c r="CB1227" i="5" s="1"/>
  <c r="BQ1228" i="5"/>
  <c r="CB1228" i="5" s="1"/>
  <c r="BQ1229" i="5"/>
  <c r="CB1229" i="5" s="1"/>
  <c r="BQ1230" i="5"/>
  <c r="CB1230" i="5" s="1"/>
  <c r="BQ1231" i="5"/>
  <c r="CB1231" i="5" s="1"/>
  <c r="BQ1232" i="5"/>
  <c r="CB1232" i="5" s="1"/>
  <c r="BQ1233" i="5"/>
  <c r="CB1233" i="5" s="1"/>
  <c r="BQ1234" i="5"/>
  <c r="CB1234" i="5" s="1"/>
  <c r="BQ1235" i="5"/>
  <c r="CB1235" i="5" s="1"/>
  <c r="BQ1236" i="5"/>
  <c r="CB1236" i="5" s="1"/>
  <c r="BQ1237" i="5"/>
  <c r="CB1237" i="5" s="1"/>
  <c r="BQ1238" i="5"/>
  <c r="CB1238" i="5" s="1"/>
  <c r="BQ1239" i="5"/>
  <c r="CB1239" i="5" s="1"/>
  <c r="BQ1240" i="5"/>
  <c r="CB1240" i="5" s="1"/>
  <c r="BQ1241" i="5"/>
  <c r="CB1241" i="5" s="1"/>
  <c r="BQ1242" i="5"/>
  <c r="CB1242" i="5" s="1"/>
  <c r="BQ1243" i="5"/>
  <c r="CB1243" i="5" s="1"/>
  <c r="BQ1244" i="5"/>
  <c r="CB1244" i="5" s="1"/>
  <c r="BQ1245" i="5"/>
  <c r="CB1245" i="5" s="1"/>
  <c r="BQ1246" i="5"/>
  <c r="CB1246" i="5" s="1"/>
  <c r="BQ1247" i="5"/>
  <c r="CB1247" i="5" s="1"/>
  <c r="BQ1248" i="5"/>
  <c r="CB1248" i="5" s="1"/>
  <c r="BQ1249" i="5"/>
  <c r="CB1249" i="5" s="1"/>
  <c r="BQ1250" i="5"/>
  <c r="CB1250" i="5" s="1"/>
  <c r="BQ1251" i="5"/>
  <c r="CB1251" i="5" s="1"/>
  <c r="BQ1252" i="5"/>
  <c r="CB1252" i="5" s="1"/>
  <c r="BQ1253" i="5"/>
  <c r="CB1253" i="5" s="1"/>
  <c r="BQ1254" i="5"/>
  <c r="CB1254" i="5" s="1"/>
  <c r="BQ1255" i="5"/>
  <c r="CB1255" i="5" s="1"/>
  <c r="BQ1256" i="5"/>
  <c r="CB1256" i="5" s="1"/>
  <c r="BQ1257" i="5"/>
  <c r="CB1257" i="5" s="1"/>
  <c r="BQ1258" i="5"/>
  <c r="CB1258" i="5" s="1"/>
  <c r="BQ1259" i="5"/>
  <c r="CB1259" i="5" s="1"/>
  <c r="BQ1260" i="5"/>
  <c r="CB1260" i="5" s="1"/>
  <c r="BQ1261" i="5"/>
  <c r="CB1261" i="5" s="1"/>
  <c r="BQ1262" i="5"/>
  <c r="CB1262" i="5" s="1"/>
  <c r="BQ1263" i="5"/>
  <c r="CB1263" i="5" s="1"/>
  <c r="BQ1264" i="5"/>
  <c r="CB1264" i="5" s="1"/>
  <c r="BQ1265" i="5"/>
  <c r="CB1265" i="5" s="1"/>
  <c r="BQ1266" i="5"/>
  <c r="CB1266" i="5" s="1"/>
  <c r="BQ1267" i="5"/>
  <c r="CB1267" i="5" s="1"/>
  <c r="BQ1268" i="5"/>
  <c r="CB1268" i="5" s="1"/>
  <c r="BQ1269" i="5"/>
  <c r="CB1269" i="5" s="1"/>
  <c r="BQ1270" i="5"/>
  <c r="CB1270" i="5" s="1"/>
  <c r="BQ1271" i="5"/>
  <c r="CB1271" i="5" s="1"/>
  <c r="BQ1272" i="5"/>
  <c r="CB1272" i="5" s="1"/>
  <c r="BQ1273" i="5"/>
  <c r="CB1273" i="5" s="1"/>
  <c r="BQ1274" i="5"/>
  <c r="CB1274" i="5" s="1"/>
  <c r="BQ1275" i="5"/>
  <c r="CB1275" i="5" s="1"/>
  <c r="BQ1276" i="5"/>
  <c r="CB1276" i="5" s="1"/>
  <c r="BQ1277" i="5"/>
  <c r="CB1277" i="5" s="1"/>
  <c r="BQ1278" i="5"/>
  <c r="CB1278" i="5" s="1"/>
  <c r="BQ1279" i="5"/>
  <c r="CB1279" i="5" s="1"/>
  <c r="BQ1280" i="5"/>
  <c r="CB1280" i="5" s="1"/>
  <c r="BQ1281" i="5"/>
  <c r="CB1281" i="5" s="1"/>
  <c r="BQ1282" i="5"/>
  <c r="CB1282" i="5" s="1"/>
  <c r="BQ1283" i="5"/>
  <c r="CB1283" i="5" s="1"/>
  <c r="BQ1284" i="5"/>
  <c r="CB1284" i="5" s="1"/>
  <c r="BQ1285" i="5"/>
  <c r="CB1285" i="5" s="1"/>
  <c r="BQ1286" i="5"/>
  <c r="CB1286" i="5" s="1"/>
  <c r="BQ1287" i="5"/>
  <c r="CB1287" i="5" s="1"/>
  <c r="BQ1288" i="5"/>
  <c r="CB1288" i="5" s="1"/>
  <c r="BQ1289" i="5"/>
  <c r="CB1289" i="5" s="1"/>
  <c r="BQ1290" i="5"/>
  <c r="CB1290" i="5" s="1"/>
  <c r="BQ1291" i="5"/>
  <c r="CB1291" i="5" s="1"/>
  <c r="BQ1292" i="5"/>
  <c r="CB1292" i="5" s="1"/>
  <c r="BQ1293" i="5"/>
  <c r="CB1293" i="5" s="1"/>
  <c r="BQ1294" i="5"/>
  <c r="CB1294" i="5" s="1"/>
  <c r="BQ1295" i="5"/>
  <c r="CB1295" i="5" s="1"/>
  <c r="BQ1296" i="5"/>
  <c r="CB1296" i="5" s="1"/>
  <c r="BQ1297" i="5"/>
  <c r="CB1297" i="5" s="1"/>
  <c r="BQ1298" i="5"/>
  <c r="CB1298" i="5" s="1"/>
  <c r="BQ1299" i="5"/>
  <c r="CB1299" i="5" s="1"/>
  <c r="BQ1300" i="5"/>
  <c r="CB1300" i="5" s="1"/>
  <c r="BQ1301" i="5"/>
  <c r="CB1301" i="5" s="1"/>
  <c r="BQ1302" i="5"/>
  <c r="CB1302" i="5" s="1"/>
  <c r="BQ1303" i="5"/>
  <c r="CB1303" i="5" s="1"/>
  <c r="BQ1304" i="5"/>
  <c r="CB1304" i="5" s="1"/>
  <c r="BQ1305" i="5"/>
  <c r="CB1305" i="5" s="1"/>
  <c r="BQ1306" i="5"/>
  <c r="CB1306" i="5" s="1"/>
  <c r="BQ1307" i="5"/>
  <c r="CB1307" i="5" s="1"/>
  <c r="BQ1308" i="5"/>
  <c r="CB1308" i="5" s="1"/>
  <c r="BQ1309" i="5"/>
  <c r="CB1309" i="5" s="1"/>
  <c r="BQ1310" i="5"/>
  <c r="CB1310" i="5" s="1"/>
  <c r="BQ1311" i="5"/>
  <c r="CB1311" i="5" s="1"/>
  <c r="BQ1312" i="5"/>
  <c r="CB1312" i="5" s="1"/>
  <c r="BQ1313" i="5"/>
  <c r="CB1313" i="5" s="1"/>
  <c r="BQ1314" i="5"/>
  <c r="CB1314" i="5" s="1"/>
  <c r="BQ1315" i="5"/>
  <c r="CB1315" i="5" s="1"/>
  <c r="BQ1316" i="5"/>
  <c r="CB1316" i="5" s="1"/>
  <c r="BQ1317" i="5"/>
  <c r="CB1317" i="5" s="1"/>
  <c r="BQ1318" i="5"/>
  <c r="CB1318" i="5" s="1"/>
  <c r="BQ1319" i="5"/>
  <c r="CB1319" i="5" s="1"/>
  <c r="BQ1320" i="5"/>
  <c r="CB1320" i="5" s="1"/>
  <c r="BQ1321" i="5"/>
  <c r="CB1321" i="5" s="1"/>
  <c r="BQ1322" i="5"/>
  <c r="CB1322" i="5" s="1"/>
  <c r="BQ1323" i="5"/>
  <c r="CB1323" i="5" s="1"/>
  <c r="BQ1324" i="5"/>
  <c r="CB1324" i="5" s="1"/>
  <c r="BQ1325" i="5"/>
  <c r="CB1325" i="5" s="1"/>
  <c r="BQ1326" i="5"/>
  <c r="CB1326" i="5" s="1"/>
  <c r="BQ1327" i="5"/>
  <c r="CB1327" i="5" s="1"/>
  <c r="BQ1328" i="5"/>
  <c r="CB1328" i="5" s="1"/>
  <c r="BQ1329" i="5"/>
  <c r="CB1329" i="5" s="1"/>
  <c r="BQ1330" i="5"/>
  <c r="CB1330" i="5" s="1"/>
  <c r="BQ1331" i="5"/>
  <c r="CB1331" i="5" s="1"/>
  <c r="BQ1332" i="5"/>
  <c r="CB1332" i="5" s="1"/>
  <c r="BQ1333" i="5"/>
  <c r="CB1333" i="5" s="1"/>
  <c r="BQ1334" i="5"/>
  <c r="CB1334" i="5" s="1"/>
  <c r="BQ1335" i="5"/>
  <c r="CB1335" i="5" s="1"/>
  <c r="BQ1336" i="5"/>
  <c r="CB1336" i="5" s="1"/>
  <c r="BQ1337" i="5"/>
  <c r="CB1337" i="5" s="1"/>
  <c r="BQ1338" i="5"/>
  <c r="CB1338" i="5" s="1"/>
  <c r="BQ1339" i="5"/>
  <c r="CB1339" i="5" s="1"/>
  <c r="BQ1340" i="5"/>
  <c r="CB1340" i="5" s="1"/>
  <c r="BQ1341" i="5"/>
  <c r="CB1341" i="5" s="1"/>
  <c r="BQ1342" i="5"/>
  <c r="CB1342" i="5" s="1"/>
  <c r="BQ1343" i="5"/>
  <c r="CB1343" i="5" s="1"/>
  <c r="BQ1344" i="5"/>
  <c r="CB1344" i="5" s="1"/>
  <c r="BQ1345" i="5"/>
  <c r="CB1345" i="5" s="1"/>
  <c r="BQ1346" i="5"/>
  <c r="CB1346" i="5" s="1"/>
  <c r="BQ1347" i="5"/>
  <c r="CB1347" i="5" s="1"/>
  <c r="BQ1348" i="5"/>
  <c r="CB1348" i="5" s="1"/>
  <c r="BQ1349" i="5"/>
  <c r="CB1349" i="5" s="1"/>
  <c r="BQ1350" i="5"/>
  <c r="CB1350" i="5" s="1"/>
  <c r="BQ1351" i="5"/>
  <c r="CB1351" i="5" s="1"/>
  <c r="BQ1352" i="5"/>
  <c r="CB1352" i="5" s="1"/>
  <c r="BQ1353" i="5"/>
  <c r="CB1353" i="5" s="1"/>
  <c r="BQ1354" i="5"/>
  <c r="CB1354" i="5" s="1"/>
  <c r="BQ1355" i="5"/>
  <c r="CB1355" i="5" s="1"/>
  <c r="BQ1356" i="5"/>
  <c r="CB1356" i="5" s="1"/>
  <c r="BQ1357" i="5"/>
  <c r="CB1357" i="5" s="1"/>
  <c r="BQ1358" i="5"/>
  <c r="CB1358" i="5" s="1"/>
  <c r="BQ1359" i="5"/>
  <c r="CB1359" i="5" s="1"/>
  <c r="BQ1360" i="5"/>
  <c r="CB1360" i="5" s="1"/>
  <c r="BQ1361" i="5"/>
  <c r="CB1361" i="5" s="1"/>
  <c r="BQ1362" i="5"/>
  <c r="CB1362" i="5" s="1"/>
  <c r="BQ1363" i="5"/>
  <c r="CB1363" i="5" s="1"/>
  <c r="BQ1364" i="5"/>
  <c r="CB1364" i="5" s="1"/>
  <c r="BQ1365" i="5"/>
  <c r="CB1365" i="5" s="1"/>
  <c r="BQ1366" i="5"/>
  <c r="CB1366" i="5" s="1"/>
  <c r="BQ1367" i="5"/>
  <c r="CB1367" i="5" s="1"/>
  <c r="BQ1368" i="5"/>
  <c r="CB1368" i="5" s="1"/>
  <c r="BQ1369" i="5"/>
  <c r="CB1369" i="5" s="1"/>
  <c r="BQ1370" i="5"/>
  <c r="CB1370" i="5" s="1"/>
  <c r="BQ1371" i="5"/>
  <c r="CB1371" i="5" s="1"/>
  <c r="BQ1372" i="5"/>
  <c r="CB1372" i="5" s="1"/>
  <c r="BQ1373" i="5"/>
  <c r="CB1373" i="5" s="1"/>
  <c r="BQ1374" i="5"/>
  <c r="CB1374" i="5" s="1"/>
  <c r="BQ1375" i="5"/>
  <c r="CB1375" i="5" s="1"/>
  <c r="BQ1376" i="5"/>
  <c r="CB1376" i="5" s="1"/>
  <c r="BQ1377" i="5"/>
  <c r="CB1377" i="5" s="1"/>
  <c r="BQ1378" i="5"/>
  <c r="CB1378" i="5" s="1"/>
  <c r="BQ1379" i="5"/>
  <c r="CB1379" i="5" s="1"/>
  <c r="BQ1380" i="5"/>
  <c r="CB1380" i="5" s="1"/>
  <c r="BQ1381" i="5"/>
  <c r="CB1381" i="5" s="1"/>
  <c r="BQ1382" i="5"/>
  <c r="CB1382" i="5" s="1"/>
  <c r="BQ1383" i="5"/>
  <c r="CB1383" i="5" s="1"/>
  <c r="BQ1384" i="5"/>
  <c r="CB1384" i="5" s="1"/>
  <c r="BQ1385" i="5"/>
  <c r="CB1385" i="5" s="1"/>
  <c r="BQ1386" i="5"/>
  <c r="CB1386" i="5" s="1"/>
  <c r="BQ1387" i="5"/>
  <c r="CB1387" i="5" s="1"/>
  <c r="BQ1388" i="5"/>
  <c r="CB1388" i="5" s="1"/>
  <c r="BQ1389" i="5"/>
  <c r="CB1389" i="5" s="1"/>
  <c r="BQ1390" i="5"/>
  <c r="CB1390" i="5" s="1"/>
  <c r="BQ1391" i="5"/>
  <c r="CB1391" i="5" s="1"/>
  <c r="BQ1392" i="5"/>
  <c r="CB1392" i="5" s="1"/>
  <c r="BQ1393" i="5"/>
  <c r="CB1393" i="5" s="1"/>
  <c r="BQ1394" i="5"/>
  <c r="CB1394" i="5" s="1"/>
  <c r="BQ1395" i="5"/>
  <c r="CB1395" i="5" s="1"/>
  <c r="BQ1396" i="5"/>
  <c r="CB1396" i="5" s="1"/>
  <c r="BQ1397" i="5"/>
  <c r="CB1397" i="5" s="1"/>
  <c r="BQ1398" i="5"/>
  <c r="CB1398" i="5" s="1"/>
  <c r="BQ1399" i="5"/>
  <c r="CB1399" i="5" s="1"/>
  <c r="BQ1400" i="5"/>
  <c r="CB1400" i="5" s="1"/>
  <c r="BQ1401" i="5"/>
  <c r="CB1401" i="5" s="1"/>
  <c r="BQ1402" i="5"/>
  <c r="CB1402" i="5" s="1"/>
  <c r="BQ1403" i="5"/>
  <c r="CB1403" i="5" s="1"/>
  <c r="BQ1404" i="5"/>
  <c r="CB1404" i="5" s="1"/>
  <c r="BQ1405" i="5"/>
  <c r="CB1405" i="5" s="1"/>
  <c r="BQ1406" i="5"/>
  <c r="CB1406" i="5" s="1"/>
  <c r="BQ1407" i="5"/>
  <c r="CB1407" i="5" s="1"/>
  <c r="BQ1408" i="5"/>
  <c r="CB1408" i="5" s="1"/>
  <c r="BQ1409" i="5"/>
  <c r="CB1409" i="5" s="1"/>
  <c r="BQ1410" i="5"/>
  <c r="CB1410" i="5" s="1"/>
  <c r="BQ1411" i="5"/>
  <c r="CB1411" i="5" s="1"/>
  <c r="BQ1412" i="5"/>
  <c r="CB1412" i="5" s="1"/>
  <c r="BQ1413" i="5"/>
  <c r="CB1413" i="5" s="1"/>
  <c r="BQ1414" i="5"/>
  <c r="CB1414" i="5" s="1"/>
  <c r="BQ1415" i="5"/>
  <c r="CB1415" i="5" s="1"/>
  <c r="BQ1416" i="5"/>
  <c r="CB1416" i="5" s="1"/>
  <c r="BQ1417" i="5"/>
  <c r="CB1417" i="5" s="1"/>
  <c r="BQ1418" i="5"/>
  <c r="CB1418" i="5" s="1"/>
  <c r="BQ1419" i="5"/>
  <c r="CB1419" i="5" s="1"/>
  <c r="BQ1420" i="5"/>
  <c r="CB1420" i="5" s="1"/>
  <c r="BQ1421" i="5"/>
  <c r="CB1421" i="5" s="1"/>
  <c r="BQ1422" i="5"/>
  <c r="CB1422" i="5" s="1"/>
  <c r="BQ1423" i="5"/>
  <c r="CB1423" i="5" s="1"/>
  <c r="BQ1424" i="5"/>
  <c r="CB1424" i="5" s="1"/>
  <c r="BQ1425" i="5"/>
  <c r="CB1425" i="5" s="1"/>
  <c r="BQ1426" i="5"/>
  <c r="CB1426" i="5" s="1"/>
  <c r="BQ1427" i="5"/>
  <c r="CB1427" i="5" s="1"/>
  <c r="BQ1428" i="5"/>
  <c r="CB1428" i="5" s="1"/>
  <c r="BQ1429" i="5"/>
  <c r="CB1429" i="5" s="1"/>
  <c r="BQ1430" i="5"/>
  <c r="CB1430" i="5" s="1"/>
  <c r="BQ1431" i="5"/>
  <c r="CB1431" i="5" s="1"/>
  <c r="BQ1432" i="5"/>
  <c r="CB1432" i="5" s="1"/>
  <c r="BQ1433" i="5"/>
  <c r="CB1433" i="5" s="1"/>
  <c r="BQ1434" i="5"/>
  <c r="CB1434" i="5" s="1"/>
  <c r="BQ1435" i="5"/>
  <c r="CB1435" i="5" s="1"/>
  <c r="BQ1436" i="5"/>
  <c r="CB1436" i="5" s="1"/>
  <c r="BQ1437" i="5"/>
  <c r="CB1437" i="5" s="1"/>
  <c r="BQ1438" i="5"/>
  <c r="CB1438" i="5" s="1"/>
  <c r="BQ1439" i="5"/>
  <c r="CB1439" i="5" s="1"/>
  <c r="BQ1440" i="5"/>
  <c r="CB1440" i="5" s="1"/>
  <c r="BQ1441" i="5"/>
  <c r="CB1441" i="5" s="1"/>
  <c r="BQ1442" i="5"/>
  <c r="CB1442" i="5" s="1"/>
  <c r="BQ1443" i="5"/>
  <c r="CB1443" i="5" s="1"/>
  <c r="BQ1444" i="5"/>
  <c r="CB1444" i="5" s="1"/>
  <c r="BQ1445" i="5"/>
  <c r="CB1445" i="5" s="1"/>
  <c r="BQ1446" i="5"/>
  <c r="CB1446" i="5" s="1"/>
  <c r="BQ1447" i="5"/>
  <c r="CB1447" i="5" s="1"/>
  <c r="BQ1448" i="5"/>
  <c r="CB1448" i="5" s="1"/>
  <c r="BQ1449" i="5"/>
  <c r="CB1449" i="5" s="1"/>
  <c r="BQ1450" i="5"/>
  <c r="CB1450" i="5" s="1"/>
  <c r="BQ1451" i="5"/>
  <c r="CB1451" i="5" s="1"/>
  <c r="BQ1452" i="5"/>
  <c r="CB1452" i="5" s="1"/>
  <c r="BQ1453" i="5"/>
  <c r="CB1453" i="5" s="1"/>
  <c r="BQ1454" i="5"/>
  <c r="CB1454" i="5" s="1"/>
  <c r="BQ1455" i="5"/>
  <c r="CB1455" i="5" s="1"/>
  <c r="BQ1456" i="5"/>
  <c r="CB1456" i="5" s="1"/>
  <c r="BQ1457" i="5"/>
  <c r="CB1457" i="5" s="1"/>
  <c r="BQ1458" i="5"/>
  <c r="CB1458" i="5" s="1"/>
  <c r="BQ1459" i="5"/>
  <c r="CB1459" i="5" s="1"/>
  <c r="BQ1460" i="5"/>
  <c r="CB1460" i="5" s="1"/>
  <c r="BQ1461" i="5"/>
  <c r="CB1461" i="5" s="1"/>
  <c r="BQ1462" i="5"/>
  <c r="CB1462" i="5" s="1"/>
  <c r="BQ1463" i="5"/>
  <c r="CB1463" i="5" s="1"/>
  <c r="BQ1464" i="5"/>
  <c r="CB1464" i="5" s="1"/>
  <c r="BQ1465" i="5"/>
  <c r="CB1465" i="5" s="1"/>
  <c r="BQ1466" i="5"/>
  <c r="CB1466" i="5" s="1"/>
  <c r="BQ1467" i="5"/>
  <c r="CB1467" i="5" s="1"/>
  <c r="BQ1468" i="5"/>
  <c r="CB1468" i="5" s="1"/>
  <c r="BQ1469" i="5"/>
  <c r="CB1469" i="5" s="1"/>
  <c r="BQ1470" i="5"/>
  <c r="CB1470" i="5" s="1"/>
  <c r="BQ1471" i="5"/>
  <c r="CB1471" i="5" s="1"/>
  <c r="BQ1472" i="5"/>
  <c r="CB1472" i="5" s="1"/>
  <c r="BQ1473" i="5"/>
  <c r="CB1473" i="5" s="1"/>
  <c r="BQ1474" i="5"/>
  <c r="CB1474" i="5" s="1"/>
  <c r="BQ1475" i="5"/>
  <c r="CB1475" i="5" s="1"/>
  <c r="BQ1476" i="5"/>
  <c r="CB1476" i="5" s="1"/>
  <c r="BQ1477" i="5"/>
  <c r="CB1477" i="5" s="1"/>
  <c r="BQ1478" i="5"/>
  <c r="CB1478" i="5" s="1"/>
  <c r="BQ1479" i="5"/>
  <c r="CB1479" i="5" s="1"/>
  <c r="BQ1480" i="5"/>
  <c r="CB1480" i="5" s="1"/>
  <c r="BQ1481" i="5"/>
  <c r="CB1481" i="5" s="1"/>
  <c r="BQ1482" i="5"/>
  <c r="CB1482" i="5" s="1"/>
  <c r="BQ1483" i="5"/>
  <c r="CB1483" i="5" s="1"/>
  <c r="BQ1484" i="5"/>
  <c r="CB1484" i="5" s="1"/>
  <c r="BQ1485" i="5"/>
  <c r="CB1485" i="5" s="1"/>
  <c r="BQ1486" i="5"/>
  <c r="CB1486" i="5" s="1"/>
  <c r="BQ1487" i="5"/>
  <c r="CB1487" i="5" s="1"/>
  <c r="BQ1488" i="5"/>
  <c r="CB1488" i="5" s="1"/>
  <c r="BQ1489" i="5"/>
  <c r="CB1489" i="5" s="1"/>
  <c r="BQ1490" i="5"/>
  <c r="CB1490" i="5" s="1"/>
  <c r="BQ1491" i="5"/>
  <c r="CB1491" i="5" s="1"/>
  <c r="BQ1492" i="5"/>
  <c r="CB1492" i="5" s="1"/>
  <c r="BQ1493" i="5"/>
  <c r="CB1493" i="5" s="1"/>
  <c r="BQ1494" i="5"/>
  <c r="CB1494" i="5" s="1"/>
  <c r="BQ1495" i="5"/>
  <c r="CB1495" i="5" s="1"/>
  <c r="BQ1496" i="5"/>
  <c r="CB1496" i="5" s="1"/>
  <c r="BQ1497" i="5"/>
  <c r="CB1497" i="5" s="1"/>
  <c r="BQ1498" i="5"/>
  <c r="CB1498" i="5" s="1"/>
  <c r="BQ1499" i="5"/>
  <c r="CB1499" i="5" s="1"/>
  <c r="BQ1500" i="5"/>
  <c r="CB1500" i="5" s="1"/>
  <c r="BQ1501" i="5"/>
  <c r="CB1501" i="5" s="1"/>
  <c r="BQ1502" i="5"/>
  <c r="CB1502" i="5" s="1"/>
  <c r="BQ1503" i="5"/>
  <c r="CB1503" i="5" s="1"/>
  <c r="BQ1504" i="5"/>
  <c r="CB1504" i="5" s="1"/>
  <c r="BQ1505" i="5"/>
  <c r="CB1505" i="5" s="1"/>
  <c r="BQ1506" i="5"/>
  <c r="CB1506" i="5" s="1"/>
  <c r="BQ1507" i="5"/>
  <c r="CB1507" i="5" s="1"/>
  <c r="BQ1508" i="5"/>
  <c r="CB1508" i="5" s="1"/>
  <c r="BQ1509" i="5"/>
  <c r="CB1509" i="5" s="1"/>
  <c r="BQ1510" i="5"/>
  <c r="CB1510" i="5" s="1"/>
  <c r="BQ1511" i="5"/>
  <c r="CB1511" i="5" s="1"/>
  <c r="BQ1512" i="5"/>
  <c r="CB1512" i="5" s="1"/>
  <c r="BQ1513" i="5"/>
  <c r="CB1513" i="5" s="1"/>
  <c r="BQ1514" i="5"/>
  <c r="CB1514" i="5" s="1"/>
  <c r="BQ1515" i="5"/>
  <c r="CB1515" i="5" s="1"/>
  <c r="BQ1516" i="5"/>
  <c r="CB1516" i="5" s="1"/>
  <c r="BQ1517" i="5"/>
  <c r="CB1517" i="5" s="1"/>
  <c r="BQ1518" i="5"/>
  <c r="CB1518" i="5" s="1"/>
  <c r="BQ1519" i="5"/>
  <c r="CB1519" i="5" s="1"/>
  <c r="BQ1520" i="5"/>
  <c r="CB1520" i="5" s="1"/>
  <c r="BQ1521" i="5"/>
  <c r="CB1521" i="5" s="1"/>
  <c r="BQ1522" i="5"/>
  <c r="CB1522" i="5" s="1"/>
  <c r="BQ1523" i="5"/>
  <c r="CB1523" i="5" s="1"/>
  <c r="BQ1524" i="5"/>
  <c r="CB1524" i="5" s="1"/>
  <c r="BQ1525" i="5"/>
  <c r="CB1525" i="5" s="1"/>
  <c r="BQ1526" i="5"/>
  <c r="CB1526" i="5" s="1"/>
  <c r="BQ1527" i="5"/>
  <c r="CB1527" i="5" s="1"/>
  <c r="BQ1528" i="5"/>
  <c r="CB1528" i="5" s="1"/>
  <c r="BQ1529" i="5"/>
  <c r="CB1529" i="5" s="1"/>
  <c r="BQ1530" i="5"/>
  <c r="CB1530" i="5" s="1"/>
  <c r="BQ1531" i="5"/>
  <c r="CB1531" i="5" s="1"/>
  <c r="BQ1532" i="5"/>
  <c r="CB1532" i="5" s="1"/>
  <c r="BQ1533" i="5"/>
  <c r="CB1533" i="5" s="1"/>
  <c r="BQ1534" i="5"/>
  <c r="CB1534" i="5" s="1"/>
  <c r="BQ1535" i="5"/>
  <c r="CB1535" i="5" s="1"/>
  <c r="BQ1536" i="5"/>
  <c r="CB1536" i="5" s="1"/>
  <c r="BQ1537" i="5"/>
  <c r="CB1537" i="5" s="1"/>
  <c r="BQ1538" i="5"/>
  <c r="CB1538" i="5" s="1"/>
  <c r="BQ1539" i="5"/>
  <c r="CB1539" i="5" s="1"/>
  <c r="BQ1540" i="5"/>
  <c r="CB1540" i="5" s="1"/>
  <c r="BQ1541" i="5"/>
  <c r="CB1541" i="5" s="1"/>
  <c r="BQ1542" i="5"/>
  <c r="CB1542" i="5" s="1"/>
  <c r="BQ1543" i="5"/>
  <c r="CB1543" i="5" s="1"/>
  <c r="BQ1544" i="5"/>
  <c r="CB1544" i="5" s="1"/>
  <c r="BQ1545" i="5"/>
  <c r="CB1545" i="5" s="1"/>
  <c r="BQ1546" i="5"/>
  <c r="CB1546" i="5" s="1"/>
  <c r="BQ1547" i="5"/>
  <c r="CB1547" i="5" s="1"/>
  <c r="BQ1548" i="5"/>
  <c r="CB1548" i="5" s="1"/>
  <c r="BQ1549" i="5"/>
  <c r="CB1549" i="5" s="1"/>
  <c r="BQ1550" i="5"/>
  <c r="CB1550" i="5" s="1"/>
  <c r="BQ1551" i="5"/>
  <c r="CB1551" i="5" s="1"/>
  <c r="BQ1552" i="5"/>
  <c r="CB1552" i="5" s="1"/>
  <c r="BQ1553" i="5"/>
  <c r="CB1553" i="5" s="1"/>
  <c r="BQ1554" i="5"/>
  <c r="CB1554" i="5" s="1"/>
  <c r="BQ1555" i="5"/>
  <c r="CB1555" i="5" s="1"/>
  <c r="BQ1556" i="5"/>
  <c r="CB1556" i="5" s="1"/>
  <c r="BQ1557" i="5"/>
  <c r="CB1557" i="5" s="1"/>
  <c r="BQ1558" i="5"/>
  <c r="CB1558" i="5" s="1"/>
  <c r="BQ1559" i="5"/>
  <c r="CB1559" i="5" s="1"/>
  <c r="BQ1560" i="5"/>
  <c r="CB1560" i="5" s="1"/>
  <c r="BQ1561" i="5"/>
  <c r="CB1561" i="5" s="1"/>
  <c r="BQ1562" i="5"/>
  <c r="CB1562" i="5" s="1"/>
  <c r="BQ1563" i="5"/>
  <c r="CB1563" i="5" s="1"/>
  <c r="BQ1564" i="5"/>
  <c r="CB1564" i="5" s="1"/>
  <c r="BQ1565" i="5"/>
  <c r="CB1565" i="5" s="1"/>
  <c r="BQ1566" i="5"/>
  <c r="CB1566" i="5" s="1"/>
  <c r="BQ1567" i="5"/>
  <c r="CB1567" i="5" s="1"/>
  <c r="BQ1568" i="5"/>
  <c r="CB1568" i="5" s="1"/>
  <c r="BQ1569" i="5"/>
  <c r="CB1569" i="5" s="1"/>
  <c r="BQ1570" i="5"/>
  <c r="CB1570" i="5" s="1"/>
  <c r="BQ1571" i="5"/>
  <c r="CB1571" i="5" s="1"/>
  <c r="BQ1572" i="5"/>
  <c r="CB1572" i="5" s="1"/>
  <c r="BQ1573" i="5"/>
  <c r="CB1573" i="5" s="1"/>
  <c r="BQ1574" i="5"/>
  <c r="CB1574" i="5" s="1"/>
  <c r="BQ1575" i="5"/>
  <c r="CB1575" i="5" s="1"/>
  <c r="BQ1576" i="5"/>
  <c r="CB1576" i="5" s="1"/>
  <c r="BQ1577" i="5"/>
  <c r="CB1577" i="5" s="1"/>
  <c r="BQ1578" i="5"/>
  <c r="CB1578" i="5" s="1"/>
  <c r="BQ1579" i="5"/>
  <c r="CB1579" i="5" s="1"/>
  <c r="BQ1580" i="5"/>
  <c r="CB1580" i="5" s="1"/>
  <c r="BQ1581" i="5"/>
  <c r="CB1581" i="5" s="1"/>
  <c r="BQ1582" i="5"/>
  <c r="CB1582" i="5" s="1"/>
  <c r="BQ1583" i="5"/>
  <c r="CB1583" i="5" s="1"/>
  <c r="BQ1584" i="5"/>
  <c r="CB1584" i="5" s="1"/>
  <c r="BQ1585" i="5"/>
  <c r="CB1585" i="5" s="1"/>
  <c r="BQ1586" i="5"/>
  <c r="CB1586" i="5" s="1"/>
  <c r="BQ1587" i="5"/>
  <c r="CB1587" i="5" s="1"/>
  <c r="BQ1588" i="5"/>
  <c r="CB1588" i="5" s="1"/>
  <c r="BQ1589" i="5"/>
  <c r="CB1589" i="5" s="1"/>
  <c r="BQ1590" i="5"/>
  <c r="CB1590" i="5" s="1"/>
  <c r="BQ1591" i="5"/>
  <c r="CB1591" i="5" s="1"/>
  <c r="BQ1592" i="5"/>
  <c r="CB1592" i="5" s="1"/>
  <c r="BQ1593" i="5"/>
  <c r="CB1593" i="5" s="1"/>
  <c r="BQ1594" i="5"/>
  <c r="CB1594" i="5" s="1"/>
  <c r="BQ1595" i="5"/>
  <c r="CB1595" i="5" s="1"/>
  <c r="BQ1596" i="5"/>
  <c r="CB1596" i="5" s="1"/>
  <c r="BQ1597" i="5"/>
  <c r="CB1597" i="5" s="1"/>
  <c r="BQ1598" i="5"/>
  <c r="CB1598" i="5" s="1"/>
  <c r="BQ1599" i="5"/>
  <c r="CB1599" i="5" s="1"/>
  <c r="BQ1600" i="5"/>
  <c r="CB1600" i="5" s="1"/>
  <c r="BQ1601" i="5"/>
  <c r="CB1601" i="5" s="1"/>
  <c r="BQ1602" i="5"/>
  <c r="CB1602" i="5" s="1"/>
  <c r="BQ1603" i="5"/>
  <c r="CB1603" i="5" s="1"/>
  <c r="BQ1604" i="5"/>
  <c r="CB1604" i="5" s="1"/>
  <c r="BQ1605" i="5"/>
  <c r="CB1605" i="5" s="1"/>
  <c r="BQ1606" i="5"/>
  <c r="CB1606" i="5" s="1"/>
  <c r="BQ1607" i="5"/>
  <c r="CB1607" i="5" s="1"/>
  <c r="BQ1608" i="5"/>
  <c r="CB1608" i="5" s="1"/>
  <c r="BQ1609" i="5"/>
  <c r="CB1609" i="5" s="1"/>
  <c r="BQ1610" i="5"/>
  <c r="CB1610" i="5" s="1"/>
  <c r="BQ1611" i="5"/>
  <c r="CB1611" i="5" s="1"/>
  <c r="BQ1612" i="5"/>
  <c r="CB1612" i="5" s="1"/>
  <c r="BQ1613" i="5"/>
  <c r="CB1613" i="5" s="1"/>
  <c r="BQ1614" i="5"/>
  <c r="CB1614" i="5" s="1"/>
  <c r="BQ1615" i="5"/>
  <c r="CB1615" i="5" s="1"/>
  <c r="BQ1616" i="5"/>
  <c r="CB1616" i="5" s="1"/>
  <c r="BQ1617" i="5"/>
  <c r="CB1617" i="5" s="1"/>
  <c r="BQ1618" i="5"/>
  <c r="CB1618" i="5" s="1"/>
  <c r="BQ1619" i="5"/>
  <c r="CB1619" i="5" s="1"/>
  <c r="BQ1620" i="5"/>
  <c r="CB1620" i="5" s="1"/>
  <c r="BQ1621" i="5"/>
  <c r="CB1621" i="5" s="1"/>
  <c r="BQ1622" i="5"/>
  <c r="CB1622" i="5" s="1"/>
  <c r="BQ1623" i="5"/>
  <c r="CB1623" i="5" s="1"/>
  <c r="BQ1624" i="5"/>
  <c r="CB1624" i="5" s="1"/>
  <c r="BQ1625" i="5"/>
  <c r="CB1625" i="5" s="1"/>
  <c r="BQ1626" i="5"/>
  <c r="CB1626" i="5" s="1"/>
  <c r="BQ1627" i="5"/>
  <c r="CB1627" i="5" s="1"/>
  <c r="BQ1628" i="5"/>
  <c r="CB1628" i="5" s="1"/>
  <c r="BQ1629" i="5"/>
  <c r="CB1629" i="5" s="1"/>
  <c r="BQ1630" i="5"/>
  <c r="CB1630" i="5" s="1"/>
  <c r="BQ1631" i="5"/>
  <c r="CB1631" i="5" s="1"/>
  <c r="BQ1632" i="5"/>
  <c r="CB1632" i="5" s="1"/>
  <c r="BQ1633" i="5"/>
  <c r="CB1633" i="5" s="1"/>
  <c r="BQ1634" i="5"/>
  <c r="CB1634" i="5" s="1"/>
  <c r="BQ1635" i="5"/>
  <c r="CB1635" i="5" s="1"/>
  <c r="BQ1636" i="5"/>
  <c r="CB1636" i="5" s="1"/>
  <c r="BQ1637" i="5"/>
  <c r="CB1637" i="5" s="1"/>
  <c r="BQ1638" i="5"/>
  <c r="CB1638" i="5" s="1"/>
  <c r="BQ1639" i="5"/>
  <c r="CB1639" i="5" s="1"/>
  <c r="BQ1640" i="5"/>
  <c r="CB1640" i="5" s="1"/>
  <c r="BQ1641" i="5"/>
  <c r="CB1641" i="5" s="1"/>
  <c r="BQ1642" i="5"/>
  <c r="CB1642" i="5" s="1"/>
  <c r="BQ1643" i="5"/>
  <c r="CB1643" i="5" s="1"/>
  <c r="BQ1644" i="5"/>
  <c r="CB1644" i="5" s="1"/>
  <c r="BQ1645" i="5"/>
  <c r="CB1645" i="5" s="1"/>
  <c r="BQ1646" i="5"/>
  <c r="CB1646" i="5" s="1"/>
  <c r="BQ1647" i="5"/>
  <c r="CB1647" i="5" s="1"/>
  <c r="BQ1648" i="5"/>
  <c r="CB1648" i="5" s="1"/>
  <c r="BQ1649" i="5"/>
  <c r="CB1649" i="5" s="1"/>
  <c r="BQ1650" i="5"/>
  <c r="CB1650" i="5" s="1"/>
  <c r="BQ1651" i="5"/>
  <c r="CB1651" i="5" s="1"/>
  <c r="BQ1652" i="5"/>
  <c r="CB1652" i="5" s="1"/>
  <c r="BQ1653" i="5"/>
  <c r="CB1653" i="5" s="1"/>
  <c r="BQ1654" i="5"/>
  <c r="CB1654" i="5" s="1"/>
  <c r="BQ1655" i="5"/>
  <c r="CB1655" i="5" s="1"/>
  <c r="BQ1656" i="5"/>
  <c r="CB1656" i="5" s="1"/>
  <c r="BQ1657" i="5"/>
  <c r="CB1657" i="5" s="1"/>
  <c r="BQ1658" i="5"/>
  <c r="CB1658" i="5" s="1"/>
  <c r="BQ1659" i="5"/>
  <c r="CB1659" i="5" s="1"/>
  <c r="BQ1660" i="5"/>
  <c r="CB1660" i="5" s="1"/>
  <c r="BQ1661" i="5"/>
  <c r="CB1661" i="5" s="1"/>
  <c r="BQ1662" i="5"/>
  <c r="CB1662" i="5" s="1"/>
  <c r="BQ1663" i="5"/>
  <c r="CB1663" i="5" s="1"/>
  <c r="BQ1664" i="5"/>
  <c r="CB1664" i="5" s="1"/>
  <c r="BQ1665" i="5"/>
  <c r="CB1665" i="5" s="1"/>
  <c r="BQ1666" i="5"/>
  <c r="CB1666" i="5" s="1"/>
  <c r="BQ1667" i="5"/>
  <c r="CB1667" i="5" s="1"/>
  <c r="BQ1668" i="5"/>
  <c r="CB1668" i="5" s="1"/>
  <c r="BQ1669" i="5"/>
  <c r="CB1669" i="5" s="1"/>
  <c r="BQ1670" i="5"/>
  <c r="CB1670" i="5" s="1"/>
  <c r="BQ1671" i="5"/>
  <c r="CB1671" i="5" s="1"/>
  <c r="BQ1672" i="5"/>
  <c r="CB1672" i="5" s="1"/>
  <c r="BQ1673" i="5"/>
  <c r="CB1673" i="5" s="1"/>
  <c r="BQ1674" i="5"/>
  <c r="CB1674" i="5" s="1"/>
  <c r="BQ1675" i="5"/>
  <c r="CB1675" i="5" s="1"/>
  <c r="BQ1676" i="5"/>
  <c r="CB1676" i="5" s="1"/>
  <c r="BQ1677" i="5"/>
  <c r="CB1677" i="5" s="1"/>
  <c r="BQ1678" i="5"/>
  <c r="CB1678" i="5" s="1"/>
  <c r="BQ1679" i="5"/>
  <c r="CB1679" i="5" s="1"/>
  <c r="BQ1680" i="5"/>
  <c r="CB1680" i="5" s="1"/>
  <c r="BQ1681" i="5"/>
  <c r="CB1681" i="5" s="1"/>
  <c r="BQ1682" i="5"/>
  <c r="CB1682" i="5" s="1"/>
  <c r="BQ1683" i="5"/>
  <c r="CB1683" i="5" s="1"/>
  <c r="BQ1684" i="5"/>
  <c r="CB1684" i="5" s="1"/>
  <c r="BQ1685" i="5"/>
  <c r="CB1685" i="5" s="1"/>
  <c r="BQ1686" i="5"/>
  <c r="CB1686" i="5" s="1"/>
  <c r="BQ1687" i="5"/>
  <c r="CB1687" i="5" s="1"/>
  <c r="BQ1688" i="5"/>
  <c r="CB1688" i="5" s="1"/>
  <c r="BQ1689" i="5"/>
  <c r="CB1689" i="5" s="1"/>
  <c r="BQ1690" i="5"/>
  <c r="CB1690" i="5" s="1"/>
  <c r="BQ1691" i="5"/>
  <c r="CB1691" i="5" s="1"/>
  <c r="BQ1692" i="5"/>
  <c r="CB1692" i="5" s="1"/>
  <c r="BQ1693" i="5"/>
  <c r="CB1693" i="5" s="1"/>
  <c r="BQ1694" i="5"/>
  <c r="CB1694" i="5" s="1"/>
  <c r="BQ1695" i="5"/>
  <c r="CB1695" i="5" s="1"/>
  <c r="BQ1696" i="5"/>
  <c r="CB1696" i="5" s="1"/>
  <c r="BQ1697" i="5"/>
  <c r="CB1697" i="5" s="1"/>
  <c r="BQ1698" i="5"/>
  <c r="CB1698" i="5" s="1"/>
  <c r="BQ1699" i="5"/>
  <c r="CB1699" i="5" s="1"/>
  <c r="BQ1700" i="5"/>
  <c r="CB1700" i="5" s="1"/>
  <c r="BQ1701" i="5"/>
  <c r="CB1701" i="5" s="1"/>
  <c r="BQ1702" i="5"/>
  <c r="CB1702" i="5" s="1"/>
  <c r="BQ1703" i="5"/>
  <c r="CB1703" i="5" s="1"/>
  <c r="BQ1704" i="5"/>
  <c r="CB1704" i="5" s="1"/>
  <c r="BQ1705" i="5"/>
  <c r="CB1705" i="5" s="1"/>
  <c r="BQ1706" i="5"/>
  <c r="CB1706" i="5" s="1"/>
  <c r="BQ1707" i="5"/>
  <c r="CB1707" i="5" s="1"/>
  <c r="BQ1708" i="5"/>
  <c r="CB1708" i="5" s="1"/>
  <c r="BQ1709" i="5"/>
  <c r="CB1709" i="5" s="1"/>
  <c r="BQ1710" i="5"/>
  <c r="CB1710" i="5" s="1"/>
  <c r="BQ1711" i="5"/>
  <c r="CB1711" i="5" s="1"/>
  <c r="BQ1712" i="5"/>
  <c r="CB1712" i="5" s="1"/>
  <c r="BQ1713" i="5"/>
  <c r="CB1713" i="5" s="1"/>
  <c r="BQ1714" i="5"/>
  <c r="CB1714" i="5" s="1"/>
  <c r="BQ1715" i="5"/>
  <c r="CB1715" i="5" s="1"/>
  <c r="BQ1716" i="5"/>
  <c r="CB1716" i="5" s="1"/>
  <c r="BQ1717" i="5"/>
  <c r="CB1717" i="5" s="1"/>
  <c r="BQ1718" i="5"/>
  <c r="CB1718" i="5" s="1"/>
  <c r="BQ1719" i="5"/>
  <c r="CB1719" i="5" s="1"/>
  <c r="BQ1720" i="5"/>
  <c r="CB1720" i="5" s="1"/>
  <c r="BQ1721" i="5"/>
  <c r="CB1721" i="5" s="1"/>
  <c r="BQ1722" i="5"/>
  <c r="CB1722" i="5" s="1"/>
  <c r="BQ1723" i="5"/>
  <c r="CB1723" i="5" s="1"/>
  <c r="BQ1724" i="5"/>
  <c r="CB1724" i="5" s="1"/>
  <c r="BQ1725" i="5"/>
  <c r="CB1725" i="5" s="1"/>
  <c r="BQ1726" i="5"/>
  <c r="CB1726" i="5" s="1"/>
  <c r="BQ1727" i="5"/>
  <c r="CB1727" i="5" s="1"/>
  <c r="BQ1728" i="5"/>
  <c r="CB1728" i="5" s="1"/>
  <c r="BQ1729" i="5"/>
  <c r="CB1729" i="5" s="1"/>
  <c r="BQ1730" i="5"/>
  <c r="CB1730" i="5" s="1"/>
  <c r="BQ1731" i="5"/>
  <c r="CB1731" i="5" s="1"/>
  <c r="BQ1732" i="5"/>
  <c r="CB1732" i="5" s="1"/>
  <c r="BQ1733" i="5"/>
  <c r="CB1733" i="5" s="1"/>
  <c r="BQ1734" i="5"/>
  <c r="CB1734" i="5" s="1"/>
  <c r="BQ1735" i="5"/>
  <c r="CB1735" i="5" s="1"/>
  <c r="BQ1736" i="5"/>
  <c r="CB1736" i="5" s="1"/>
  <c r="BQ1737" i="5"/>
  <c r="CB1737" i="5" s="1"/>
  <c r="BQ1738" i="5"/>
  <c r="CB1738" i="5" s="1"/>
  <c r="BQ1739" i="5"/>
  <c r="CB1739" i="5" s="1"/>
  <c r="BQ1740" i="5"/>
  <c r="CB1740" i="5" s="1"/>
  <c r="BQ1741" i="5"/>
  <c r="CB1741" i="5" s="1"/>
  <c r="BQ1742" i="5"/>
  <c r="CB1742" i="5" s="1"/>
  <c r="BQ1743" i="5"/>
  <c r="CB1743" i="5" s="1"/>
  <c r="BQ1744" i="5"/>
  <c r="CB1744" i="5" s="1"/>
  <c r="BQ1745" i="5"/>
  <c r="CB1745" i="5" s="1"/>
  <c r="BQ1746" i="5"/>
  <c r="CB1746" i="5" s="1"/>
  <c r="BQ1747" i="5"/>
  <c r="CB1747" i="5" s="1"/>
  <c r="BQ1748" i="5"/>
  <c r="CB1748" i="5" s="1"/>
  <c r="BQ1749" i="5"/>
  <c r="CB1749" i="5" s="1"/>
  <c r="BQ1750" i="5"/>
  <c r="CB1750" i="5" s="1"/>
  <c r="BQ1751" i="5"/>
  <c r="CB1751" i="5" s="1"/>
  <c r="BQ1752" i="5"/>
  <c r="CB1752" i="5" s="1"/>
  <c r="BQ1753" i="5"/>
  <c r="CB1753" i="5" s="1"/>
  <c r="BQ1754" i="5"/>
  <c r="CB1754" i="5" s="1"/>
  <c r="BQ1755" i="5"/>
  <c r="CB1755" i="5" s="1"/>
  <c r="BQ1756" i="5"/>
  <c r="CB1756" i="5" s="1"/>
  <c r="BQ1757" i="5"/>
  <c r="CB1757" i="5" s="1"/>
  <c r="BQ1758" i="5"/>
  <c r="CB1758" i="5" s="1"/>
  <c r="BQ1759" i="5"/>
  <c r="CB1759" i="5" s="1"/>
  <c r="BQ1760" i="5"/>
  <c r="CB1760" i="5" s="1"/>
  <c r="BQ1761" i="5"/>
  <c r="CB1761" i="5" s="1"/>
  <c r="BQ1762" i="5"/>
  <c r="CB1762" i="5" s="1"/>
  <c r="BQ1763" i="5"/>
  <c r="CB1763" i="5" s="1"/>
  <c r="BQ1764" i="5"/>
  <c r="CB1764" i="5" s="1"/>
  <c r="BQ1765" i="5"/>
  <c r="CB1765" i="5" s="1"/>
  <c r="BQ1766" i="5"/>
  <c r="CB1766" i="5" s="1"/>
  <c r="BQ1767" i="5"/>
  <c r="CB1767" i="5" s="1"/>
  <c r="BQ1768" i="5"/>
  <c r="CB1768" i="5" s="1"/>
  <c r="BQ1769" i="5"/>
  <c r="CB1769" i="5" s="1"/>
  <c r="BQ1770" i="5"/>
  <c r="CB1770" i="5" s="1"/>
  <c r="BQ1771" i="5"/>
  <c r="CB1771" i="5" s="1"/>
  <c r="BQ1772" i="5"/>
  <c r="CB1772" i="5" s="1"/>
  <c r="BQ1773" i="5"/>
  <c r="CB1773" i="5" s="1"/>
  <c r="BQ1774" i="5"/>
  <c r="CB1774" i="5" s="1"/>
  <c r="BQ1775" i="5"/>
  <c r="CB1775" i="5" s="1"/>
  <c r="BQ1776" i="5"/>
  <c r="CB1776" i="5" s="1"/>
  <c r="BQ1777" i="5"/>
  <c r="CB1777" i="5" s="1"/>
  <c r="BQ1778" i="5"/>
  <c r="CB1778" i="5" s="1"/>
  <c r="BQ1779" i="5"/>
  <c r="CB1779" i="5" s="1"/>
  <c r="BQ1780" i="5"/>
  <c r="CB1780" i="5" s="1"/>
  <c r="BQ1781" i="5"/>
  <c r="CB1781" i="5" s="1"/>
  <c r="BQ1782" i="5"/>
  <c r="CB1782" i="5" s="1"/>
  <c r="BQ1783" i="5"/>
  <c r="CB1783" i="5" s="1"/>
  <c r="BQ1784" i="5"/>
  <c r="CB1784" i="5" s="1"/>
  <c r="BQ1785" i="5"/>
  <c r="CB1785" i="5" s="1"/>
  <c r="BQ1786" i="5"/>
  <c r="CB1786" i="5" s="1"/>
  <c r="BQ1787" i="5"/>
  <c r="CB1787" i="5" s="1"/>
  <c r="BQ1788" i="5"/>
  <c r="CB1788" i="5" s="1"/>
  <c r="BQ1789" i="5"/>
  <c r="CB1789" i="5" s="1"/>
  <c r="BQ1790" i="5"/>
  <c r="CB1790" i="5" s="1"/>
  <c r="BQ1791" i="5"/>
  <c r="CB1791" i="5" s="1"/>
  <c r="BQ1792" i="5"/>
  <c r="CB1792" i="5" s="1"/>
  <c r="BQ1793" i="5"/>
  <c r="CB1793" i="5" s="1"/>
  <c r="BQ1794" i="5"/>
  <c r="CB1794" i="5" s="1"/>
  <c r="BQ1795" i="5"/>
  <c r="CB1795" i="5" s="1"/>
  <c r="BQ1796" i="5"/>
  <c r="CB1796" i="5" s="1"/>
  <c r="BQ1797" i="5"/>
  <c r="CB1797" i="5" s="1"/>
  <c r="BQ1798" i="5"/>
  <c r="CB1798" i="5" s="1"/>
  <c r="BQ1799" i="5"/>
  <c r="CB1799" i="5" s="1"/>
  <c r="BQ1800" i="5"/>
  <c r="CB1800" i="5" s="1"/>
  <c r="BQ1801" i="5"/>
  <c r="CB1801" i="5" s="1"/>
  <c r="BQ1802" i="5"/>
  <c r="CB1802" i="5" s="1"/>
  <c r="BQ1803" i="5"/>
  <c r="CB1803" i="5" s="1"/>
  <c r="BQ1804" i="5"/>
  <c r="CB1804" i="5" s="1"/>
  <c r="BQ1805" i="5"/>
  <c r="CB1805" i="5" s="1"/>
  <c r="BQ1806" i="5"/>
  <c r="CB1806" i="5" s="1"/>
  <c r="BQ1807" i="5"/>
  <c r="CB1807" i="5" s="1"/>
  <c r="BQ1808" i="5"/>
  <c r="CB1808" i="5" s="1"/>
  <c r="BQ1809" i="5"/>
  <c r="CB1809" i="5" s="1"/>
  <c r="BQ1810" i="5"/>
  <c r="CB1810" i="5" s="1"/>
  <c r="BQ1811" i="5"/>
  <c r="CB1811" i="5" s="1"/>
  <c r="BQ1812" i="5"/>
  <c r="CB1812" i="5" s="1"/>
  <c r="BQ1813" i="5"/>
  <c r="CB1813" i="5" s="1"/>
  <c r="BQ1814" i="5"/>
  <c r="CB1814" i="5" s="1"/>
  <c r="BQ1815" i="5"/>
  <c r="CB1815" i="5" s="1"/>
  <c r="BQ1816" i="5"/>
  <c r="CB1816" i="5" s="1"/>
  <c r="BQ1817" i="5"/>
  <c r="CB1817" i="5" s="1"/>
  <c r="BQ1818" i="5"/>
  <c r="CB1818" i="5" s="1"/>
  <c r="BQ1819" i="5"/>
  <c r="CB1819" i="5" s="1"/>
  <c r="BQ1820" i="5"/>
  <c r="CB1820" i="5" s="1"/>
  <c r="BQ1821" i="5"/>
  <c r="CB1821" i="5" s="1"/>
  <c r="BQ1822" i="5"/>
  <c r="CB1822" i="5" s="1"/>
  <c r="BQ1823" i="5"/>
  <c r="CB1823" i="5" s="1"/>
  <c r="BQ1824" i="5"/>
  <c r="CB1824" i="5" s="1"/>
  <c r="BQ1825" i="5"/>
  <c r="CB1825" i="5" s="1"/>
  <c r="BQ1826" i="5"/>
  <c r="CB1826" i="5" s="1"/>
  <c r="BQ1827" i="5"/>
  <c r="CB1827" i="5" s="1"/>
  <c r="BQ1828" i="5"/>
  <c r="CB1828" i="5" s="1"/>
  <c r="BQ1829" i="5"/>
  <c r="CB1829" i="5" s="1"/>
  <c r="BQ1830" i="5"/>
  <c r="CB1830" i="5" s="1"/>
  <c r="BQ1831" i="5"/>
  <c r="CB1831" i="5" s="1"/>
  <c r="BQ1832" i="5"/>
  <c r="CB1832" i="5" s="1"/>
  <c r="BQ1833" i="5"/>
  <c r="CB1833" i="5" s="1"/>
  <c r="BQ1834" i="5"/>
  <c r="CB1834" i="5" s="1"/>
  <c r="BQ1835" i="5"/>
  <c r="CB1835" i="5" s="1"/>
  <c r="BQ1836" i="5"/>
  <c r="CB1836" i="5" s="1"/>
  <c r="BQ1837" i="5"/>
  <c r="CB1837" i="5" s="1"/>
  <c r="BQ1838" i="5"/>
  <c r="CB1838" i="5" s="1"/>
  <c r="BQ1839" i="5"/>
  <c r="CB1839" i="5" s="1"/>
  <c r="BQ1840" i="5"/>
  <c r="CB1840" i="5" s="1"/>
  <c r="BQ1841" i="5"/>
  <c r="CB1841" i="5" s="1"/>
  <c r="BQ1842" i="5"/>
  <c r="CB1842" i="5" s="1"/>
  <c r="BQ1843" i="5"/>
  <c r="CB1843" i="5" s="1"/>
  <c r="BQ1844" i="5"/>
  <c r="CB1844" i="5" s="1"/>
  <c r="BQ1845" i="5"/>
  <c r="CB1845" i="5" s="1"/>
  <c r="BQ1846" i="5"/>
  <c r="CB1846" i="5" s="1"/>
  <c r="BQ1847" i="5"/>
  <c r="CB1847" i="5" s="1"/>
  <c r="BQ1848" i="5"/>
  <c r="CB1848" i="5" s="1"/>
  <c r="BQ1849" i="5"/>
  <c r="CB1849" i="5" s="1"/>
  <c r="BQ1850" i="5"/>
  <c r="CB1850" i="5" s="1"/>
  <c r="BQ1851" i="5"/>
  <c r="CB1851" i="5" s="1"/>
  <c r="BQ1852" i="5"/>
  <c r="CB1852" i="5" s="1"/>
  <c r="BQ1853" i="5"/>
  <c r="CB1853" i="5" s="1"/>
  <c r="BQ1854" i="5"/>
  <c r="CB1854" i="5" s="1"/>
  <c r="BQ1855" i="5"/>
  <c r="CB1855" i="5" s="1"/>
  <c r="BQ1856" i="5"/>
  <c r="CB1856" i="5" s="1"/>
  <c r="BQ1857" i="5"/>
  <c r="CB1857" i="5" s="1"/>
  <c r="BQ1858" i="5"/>
  <c r="CB1858" i="5" s="1"/>
  <c r="BQ1859" i="5"/>
  <c r="CB1859" i="5" s="1"/>
  <c r="BQ1860" i="5"/>
  <c r="CB1860" i="5" s="1"/>
  <c r="BQ1861" i="5"/>
  <c r="CB1861" i="5" s="1"/>
  <c r="BQ1862" i="5"/>
  <c r="CB1862" i="5" s="1"/>
  <c r="BQ1863" i="5"/>
  <c r="CB1863" i="5" s="1"/>
  <c r="BQ1864" i="5"/>
  <c r="CB1864" i="5" s="1"/>
  <c r="BQ1865" i="5"/>
  <c r="CB1865" i="5" s="1"/>
  <c r="BQ1866" i="5"/>
  <c r="CB1866" i="5" s="1"/>
  <c r="BQ1867" i="5"/>
  <c r="CB1867" i="5" s="1"/>
  <c r="BQ1868" i="5"/>
  <c r="CB1868" i="5" s="1"/>
  <c r="BQ1869" i="5"/>
  <c r="CB1869" i="5" s="1"/>
  <c r="BQ1870" i="5"/>
  <c r="CB1870" i="5" s="1"/>
  <c r="BQ1871" i="5"/>
  <c r="CB1871" i="5" s="1"/>
  <c r="BQ1872" i="5"/>
  <c r="CB1872" i="5" s="1"/>
  <c r="BQ1873" i="5"/>
  <c r="CB1873" i="5" s="1"/>
  <c r="BQ1874" i="5"/>
  <c r="CB1874" i="5" s="1"/>
  <c r="BQ1875" i="5"/>
  <c r="CB1875" i="5" s="1"/>
  <c r="BQ1876" i="5"/>
  <c r="CB1876" i="5" s="1"/>
  <c r="BQ1877" i="5"/>
  <c r="CB1877" i="5" s="1"/>
  <c r="BQ1878" i="5"/>
  <c r="CB1878" i="5" s="1"/>
  <c r="BQ1879" i="5"/>
  <c r="CB1879" i="5" s="1"/>
  <c r="BQ1880" i="5"/>
  <c r="CB1880" i="5" s="1"/>
  <c r="BQ1881" i="5"/>
  <c r="CB1881" i="5" s="1"/>
  <c r="BQ1882" i="5"/>
  <c r="CB1882" i="5" s="1"/>
  <c r="BQ1883" i="5"/>
  <c r="CB1883" i="5" s="1"/>
  <c r="BQ1884" i="5"/>
  <c r="CB1884" i="5" s="1"/>
  <c r="BQ1885" i="5"/>
  <c r="CB1885" i="5" s="1"/>
  <c r="BQ1886" i="5"/>
  <c r="CB1886" i="5" s="1"/>
  <c r="BQ1887" i="5"/>
  <c r="CB1887" i="5" s="1"/>
  <c r="BQ1888" i="5"/>
  <c r="CB1888" i="5" s="1"/>
  <c r="BQ1889" i="5"/>
  <c r="CB1889" i="5" s="1"/>
  <c r="BQ1890" i="5"/>
  <c r="CB1890" i="5" s="1"/>
  <c r="BQ1891" i="5"/>
  <c r="CB1891" i="5" s="1"/>
  <c r="BQ1892" i="5"/>
  <c r="CB1892" i="5" s="1"/>
  <c r="BQ1893" i="5"/>
  <c r="CB1893" i="5" s="1"/>
  <c r="BQ1894" i="5"/>
  <c r="CB1894" i="5" s="1"/>
  <c r="BQ1895" i="5"/>
  <c r="CB1895" i="5" s="1"/>
  <c r="BQ1896" i="5"/>
  <c r="CB1896" i="5" s="1"/>
  <c r="BQ1897" i="5"/>
  <c r="CB1897" i="5" s="1"/>
  <c r="BQ1898" i="5"/>
  <c r="CB1898" i="5" s="1"/>
  <c r="BQ1899" i="5"/>
  <c r="CB1899" i="5" s="1"/>
  <c r="BQ1900" i="5"/>
  <c r="CB1900" i="5" s="1"/>
  <c r="BQ1901" i="5"/>
  <c r="CB1901" i="5" s="1"/>
  <c r="BQ1902" i="5"/>
  <c r="CB1902" i="5" s="1"/>
  <c r="BQ1903" i="5"/>
  <c r="CB1903" i="5" s="1"/>
  <c r="BQ1904" i="5"/>
  <c r="CB1904" i="5" s="1"/>
  <c r="BQ1905" i="5"/>
  <c r="CB1905" i="5" s="1"/>
  <c r="BQ1906" i="5"/>
  <c r="CB1906" i="5" s="1"/>
  <c r="BQ1907" i="5"/>
  <c r="CB1907" i="5" s="1"/>
  <c r="BQ1908" i="5"/>
  <c r="CB1908" i="5" s="1"/>
  <c r="BQ1909" i="5"/>
  <c r="CB1909" i="5" s="1"/>
  <c r="BQ1910" i="5"/>
  <c r="CB1910" i="5" s="1"/>
  <c r="BQ1911" i="5"/>
  <c r="CB1911" i="5" s="1"/>
  <c r="BQ1912" i="5"/>
  <c r="CB1912" i="5" s="1"/>
  <c r="BQ1913" i="5"/>
  <c r="CB1913" i="5" s="1"/>
  <c r="BQ1914" i="5"/>
  <c r="CB1914" i="5" s="1"/>
  <c r="BQ1915" i="5"/>
  <c r="CB1915" i="5" s="1"/>
  <c r="BQ1916" i="5"/>
  <c r="CB1916" i="5" s="1"/>
  <c r="BQ1917" i="5"/>
  <c r="CB1917" i="5" s="1"/>
  <c r="BQ1918" i="5"/>
  <c r="CB1918" i="5" s="1"/>
  <c r="BQ1919" i="5"/>
  <c r="CB1919" i="5" s="1"/>
  <c r="BQ1920" i="5"/>
  <c r="CB1920" i="5" s="1"/>
  <c r="BQ1921" i="5"/>
  <c r="CB1921" i="5" s="1"/>
  <c r="BQ1922" i="5"/>
  <c r="CB1922" i="5" s="1"/>
  <c r="BQ1923" i="5"/>
  <c r="CB1923" i="5" s="1"/>
  <c r="BQ1924" i="5"/>
  <c r="CB1924" i="5" s="1"/>
  <c r="BQ1925" i="5"/>
  <c r="CB1925" i="5" s="1"/>
  <c r="BQ1926" i="5"/>
  <c r="CB1926" i="5" s="1"/>
  <c r="BQ1927" i="5"/>
  <c r="CB1927" i="5" s="1"/>
  <c r="BQ1928" i="5"/>
  <c r="CB1928" i="5" s="1"/>
  <c r="BQ1929" i="5"/>
  <c r="CB1929" i="5" s="1"/>
  <c r="BQ1930" i="5"/>
  <c r="CB1930" i="5" s="1"/>
  <c r="BQ1931" i="5"/>
  <c r="CB1931" i="5" s="1"/>
  <c r="BQ1932" i="5"/>
  <c r="CB1932" i="5" s="1"/>
  <c r="BQ1933" i="5"/>
  <c r="CB1933" i="5" s="1"/>
  <c r="BQ1934" i="5"/>
  <c r="CB1934" i="5" s="1"/>
  <c r="BQ1935" i="5"/>
  <c r="CB1935" i="5" s="1"/>
  <c r="BQ1936" i="5"/>
  <c r="CB1936" i="5" s="1"/>
  <c r="BQ1937" i="5"/>
  <c r="CB1937" i="5" s="1"/>
  <c r="BQ1938" i="5"/>
  <c r="CB1938" i="5" s="1"/>
  <c r="BQ1939" i="5"/>
  <c r="CB1939" i="5" s="1"/>
  <c r="BQ1940" i="5"/>
  <c r="CB1940" i="5" s="1"/>
  <c r="BQ1941" i="5"/>
  <c r="CB1941" i="5" s="1"/>
  <c r="BQ1942" i="5"/>
  <c r="CB1942" i="5" s="1"/>
  <c r="BQ1943" i="5"/>
  <c r="CB1943" i="5" s="1"/>
  <c r="BQ1944" i="5"/>
  <c r="CB1944" i="5" s="1"/>
  <c r="BQ1945" i="5"/>
  <c r="CB1945" i="5" s="1"/>
  <c r="BQ1946" i="5"/>
  <c r="CB1946" i="5" s="1"/>
  <c r="BQ1947" i="5"/>
  <c r="CB1947" i="5" s="1"/>
  <c r="BQ1948" i="5"/>
  <c r="CB1948" i="5" s="1"/>
  <c r="BQ1949" i="5"/>
  <c r="CB1949" i="5" s="1"/>
  <c r="BQ1950" i="5"/>
  <c r="CB1950" i="5" s="1"/>
  <c r="BQ1951" i="5"/>
  <c r="CB1951" i="5" s="1"/>
  <c r="BQ1952" i="5"/>
  <c r="CB1952" i="5" s="1"/>
  <c r="BQ1953" i="5"/>
  <c r="CB1953" i="5" s="1"/>
  <c r="BQ1954" i="5"/>
  <c r="CB1954" i="5" s="1"/>
  <c r="BQ1955" i="5"/>
  <c r="CB1955" i="5" s="1"/>
  <c r="BQ1956" i="5"/>
  <c r="CB1956" i="5" s="1"/>
  <c r="BQ1957" i="5"/>
  <c r="CB1957" i="5" s="1"/>
  <c r="BQ1958" i="5"/>
  <c r="CB1958" i="5" s="1"/>
  <c r="BQ1959" i="5"/>
  <c r="CB1959" i="5" s="1"/>
  <c r="BQ1960" i="5"/>
  <c r="CB1960" i="5" s="1"/>
  <c r="BQ1961" i="5"/>
  <c r="CB1961" i="5" s="1"/>
  <c r="BQ1962" i="5"/>
  <c r="CB1962" i="5" s="1"/>
  <c r="BQ1963" i="5"/>
  <c r="CB1963" i="5" s="1"/>
  <c r="BQ1964" i="5"/>
  <c r="CB1964" i="5" s="1"/>
  <c r="BQ1965" i="5"/>
  <c r="CB1965" i="5" s="1"/>
  <c r="BQ1966" i="5"/>
  <c r="CB1966" i="5" s="1"/>
  <c r="BQ1967" i="5"/>
  <c r="CB1967" i="5" s="1"/>
  <c r="BQ1968" i="5"/>
  <c r="CB1968" i="5" s="1"/>
  <c r="BQ1969" i="5"/>
  <c r="CB1969" i="5" s="1"/>
  <c r="BQ1970" i="5"/>
  <c r="CB1970" i="5" s="1"/>
  <c r="BQ1971" i="5"/>
  <c r="CB1971" i="5" s="1"/>
  <c r="BQ1972" i="5"/>
  <c r="CB1972" i="5" s="1"/>
  <c r="BQ1973" i="5"/>
  <c r="CB1973" i="5" s="1"/>
  <c r="BQ1974" i="5"/>
  <c r="CB1974" i="5" s="1"/>
  <c r="BQ1975" i="5"/>
  <c r="CB1975" i="5" s="1"/>
  <c r="BQ1976" i="5"/>
  <c r="CB1976" i="5" s="1"/>
  <c r="BQ1977" i="5"/>
  <c r="CB1977" i="5" s="1"/>
  <c r="BQ1978" i="5"/>
  <c r="CB1978" i="5" s="1"/>
  <c r="BQ1979" i="5"/>
  <c r="CB1979" i="5" s="1"/>
  <c r="BQ1980" i="5"/>
  <c r="CB1980" i="5" s="1"/>
  <c r="BQ1981" i="5"/>
  <c r="CB1981" i="5" s="1"/>
  <c r="BQ1982" i="5"/>
  <c r="CB1982" i="5" s="1"/>
  <c r="BQ1983" i="5"/>
  <c r="CB1983" i="5" s="1"/>
  <c r="BQ1984" i="5"/>
  <c r="CB1984" i="5" s="1"/>
  <c r="BQ1985" i="5"/>
  <c r="CB1985" i="5" s="1"/>
  <c r="BQ1986" i="5"/>
  <c r="CB1986" i="5" s="1"/>
  <c r="BQ1987" i="5"/>
  <c r="CB1987" i="5" s="1"/>
  <c r="BQ1988" i="5"/>
  <c r="CB1988" i="5" s="1"/>
  <c r="BQ1989" i="5"/>
  <c r="CB1989" i="5" s="1"/>
  <c r="BQ1990" i="5"/>
  <c r="CB1990" i="5" s="1"/>
  <c r="BQ1991" i="5"/>
  <c r="CB1991" i="5" s="1"/>
  <c r="BQ1992" i="5"/>
  <c r="CB1992" i="5" s="1"/>
  <c r="BQ1993" i="5"/>
  <c r="CB1993" i="5" s="1"/>
  <c r="BQ1994" i="5"/>
  <c r="CB1994" i="5" s="1"/>
  <c r="BQ1995" i="5"/>
  <c r="CB1995" i="5" s="1"/>
  <c r="BQ1996" i="5"/>
  <c r="CB1996" i="5" s="1"/>
  <c r="BQ1997" i="5"/>
  <c r="CB1997" i="5" s="1"/>
  <c r="BQ1998" i="5"/>
  <c r="CB1998" i="5" s="1"/>
  <c r="BQ1999" i="5"/>
  <c r="CB1999" i="5" s="1"/>
  <c r="BQ2000" i="5"/>
  <c r="CB2000" i="5" s="1"/>
  <c r="BQ2001" i="5"/>
  <c r="CB2001" i="5" s="1"/>
  <c r="BQ2002" i="5"/>
  <c r="CB2002" i="5" s="1"/>
  <c r="BQ2003" i="5"/>
  <c r="CB2003" i="5" s="1"/>
  <c r="BQ2004" i="5"/>
  <c r="CB2004" i="5" s="1"/>
  <c r="BQ2005" i="5"/>
  <c r="CB2005" i="5" s="1"/>
  <c r="BQ2006" i="5"/>
  <c r="CB2006" i="5" s="1"/>
  <c r="BQ2007" i="5"/>
  <c r="CB2007" i="5" s="1"/>
  <c r="BQ2008" i="5"/>
  <c r="CB2008" i="5" s="1"/>
  <c r="BQ2009" i="5"/>
  <c r="CB2009" i="5" s="1"/>
  <c r="BQ2010" i="5"/>
  <c r="CB2010" i="5" s="1"/>
  <c r="BQ2011" i="5"/>
  <c r="CB2011" i="5" s="1"/>
  <c r="BQ2012" i="5"/>
  <c r="CB2012" i="5" s="1"/>
  <c r="BQ2013" i="5"/>
  <c r="CB2013" i="5" s="1"/>
  <c r="BQ2014" i="5"/>
  <c r="CB2014" i="5" s="1"/>
  <c r="BQ2015" i="5"/>
  <c r="CB2015" i="5" s="1"/>
  <c r="BQ2016" i="5"/>
  <c r="CB2016" i="5" s="1"/>
  <c r="BQ2017" i="5"/>
  <c r="CB2017" i="5" s="1"/>
  <c r="BQ2018" i="5"/>
  <c r="CB2018" i="5" s="1"/>
  <c r="BQ2019" i="5"/>
  <c r="CB2019" i="5" s="1"/>
  <c r="BQ2020" i="5"/>
  <c r="CB2020" i="5" s="1"/>
  <c r="BQ2021" i="5"/>
  <c r="CB2021" i="5" s="1"/>
  <c r="BQ2022" i="5"/>
  <c r="CB2022" i="5" s="1"/>
  <c r="BQ2023" i="5"/>
  <c r="CB2023" i="5" s="1"/>
  <c r="BQ2024" i="5"/>
  <c r="CB2024" i="5" s="1"/>
  <c r="BQ2025" i="5"/>
  <c r="CB2025" i="5" s="1"/>
  <c r="BQ2026" i="5"/>
  <c r="CB2026" i="5" s="1"/>
  <c r="BQ2027" i="5"/>
  <c r="CB2027" i="5" s="1"/>
  <c r="BQ2028" i="5"/>
  <c r="CB2028" i="5" s="1"/>
  <c r="BQ2029" i="5"/>
  <c r="CB2029" i="5" s="1"/>
  <c r="BQ2030" i="5"/>
  <c r="CB2030" i="5" s="1"/>
  <c r="BQ2031" i="5"/>
  <c r="CB2031" i="5" s="1"/>
  <c r="BQ2032" i="5"/>
  <c r="CB2032" i="5" s="1"/>
  <c r="BQ2033" i="5"/>
  <c r="CB2033" i="5" s="1"/>
  <c r="BQ2034" i="5"/>
  <c r="CB2034" i="5" s="1"/>
  <c r="BQ2035" i="5"/>
  <c r="CB2035" i="5" s="1"/>
  <c r="BQ2036" i="5"/>
  <c r="CB2036" i="5" s="1"/>
  <c r="BQ2037" i="5"/>
  <c r="CB2037" i="5" s="1"/>
  <c r="BQ2038" i="5"/>
  <c r="CB2038" i="5" s="1"/>
  <c r="BQ2039" i="5"/>
  <c r="CB2039" i="5" s="1"/>
  <c r="BQ2040" i="5"/>
  <c r="CB2040" i="5" s="1"/>
  <c r="BQ2041" i="5"/>
  <c r="CB2041" i="5" s="1"/>
  <c r="BQ2042" i="5"/>
  <c r="CB2042" i="5" s="1"/>
  <c r="BQ2043" i="5"/>
  <c r="CB2043" i="5" s="1"/>
  <c r="BQ2044" i="5"/>
  <c r="CB2044" i="5" s="1"/>
  <c r="BQ2045" i="5"/>
  <c r="CB2045" i="5" s="1"/>
  <c r="BQ2046" i="5"/>
  <c r="CB2046" i="5" s="1"/>
  <c r="BQ2047" i="5"/>
  <c r="CB2047" i="5" s="1"/>
  <c r="BQ2048" i="5"/>
  <c r="CB2048" i="5" s="1"/>
  <c r="BQ2049" i="5"/>
  <c r="CB2049" i="5" s="1"/>
  <c r="BQ2050" i="5"/>
  <c r="CB2050" i="5" s="1"/>
  <c r="BQ2051" i="5"/>
  <c r="CB2051" i="5" s="1"/>
  <c r="BQ2052" i="5"/>
  <c r="CB2052" i="5" s="1"/>
  <c r="BQ2053" i="5"/>
  <c r="CB2053" i="5" s="1"/>
  <c r="BQ2054" i="5"/>
  <c r="CB2054" i="5" s="1"/>
  <c r="BQ2055" i="5"/>
  <c r="CB2055" i="5" s="1"/>
  <c r="BQ2056" i="5"/>
  <c r="CB2056" i="5" s="1"/>
  <c r="BQ2057" i="5"/>
  <c r="CB2057" i="5" s="1"/>
  <c r="BQ2058" i="5"/>
  <c r="CB2058" i="5" s="1"/>
  <c r="BQ2059" i="5"/>
  <c r="CB2059" i="5" s="1"/>
  <c r="BQ2060" i="5"/>
  <c r="CB2060" i="5" s="1"/>
  <c r="BQ2061" i="5"/>
  <c r="CB2061" i="5" s="1"/>
  <c r="BQ2062" i="5"/>
  <c r="CB2062" i="5" s="1"/>
  <c r="BQ2063" i="5"/>
  <c r="CB2063" i="5" s="1"/>
  <c r="BQ2064" i="5"/>
  <c r="CB2064" i="5" s="1"/>
  <c r="BQ2065" i="5"/>
  <c r="CB2065" i="5" s="1"/>
  <c r="BQ2066" i="5"/>
  <c r="CB2066" i="5" s="1"/>
  <c r="BQ2067" i="5"/>
  <c r="CB2067" i="5" s="1"/>
  <c r="BQ2068" i="5"/>
  <c r="CB2068" i="5" s="1"/>
  <c r="BQ2069" i="5"/>
  <c r="CB2069" i="5" s="1"/>
  <c r="BQ2070" i="5"/>
  <c r="CB2070" i="5" s="1"/>
  <c r="BQ2071" i="5"/>
  <c r="CB2071" i="5" s="1"/>
  <c r="BQ2072" i="5"/>
  <c r="CB2072" i="5" s="1"/>
  <c r="BQ2073" i="5"/>
  <c r="CB2073" i="5" s="1"/>
  <c r="BQ2074" i="5"/>
  <c r="CB2074" i="5" s="1"/>
  <c r="BQ2075" i="5"/>
  <c r="CB2075" i="5" s="1"/>
  <c r="BQ2076" i="5"/>
  <c r="CB2076" i="5" s="1"/>
  <c r="BQ2077" i="5"/>
  <c r="CB2077" i="5" s="1"/>
  <c r="BQ2078" i="5"/>
  <c r="CB2078" i="5" s="1"/>
  <c r="BQ2079" i="5"/>
  <c r="CB2079" i="5" s="1"/>
  <c r="BQ2080" i="5"/>
  <c r="CB2080" i="5" s="1"/>
  <c r="BQ2081" i="5"/>
  <c r="CB2081" i="5" s="1"/>
  <c r="BQ2082" i="5"/>
  <c r="CB2082" i="5" s="1"/>
  <c r="BQ2083" i="5"/>
  <c r="CB2083" i="5" s="1"/>
  <c r="BQ2084" i="5"/>
  <c r="CB2084" i="5" s="1"/>
  <c r="BQ2085" i="5"/>
  <c r="CB2085" i="5" s="1"/>
  <c r="BQ2086" i="5"/>
  <c r="CB2086" i="5" s="1"/>
  <c r="BQ2087" i="5"/>
  <c r="CB2087" i="5" s="1"/>
  <c r="BQ2088" i="5"/>
  <c r="CB2088" i="5" s="1"/>
  <c r="BQ2089" i="5"/>
  <c r="CB2089" i="5" s="1"/>
  <c r="BQ2090" i="5"/>
  <c r="CB2090" i="5" s="1"/>
  <c r="BQ2091" i="5"/>
  <c r="CB2091" i="5" s="1"/>
  <c r="BQ2092" i="5"/>
  <c r="CB2092" i="5" s="1"/>
  <c r="BQ2093" i="5"/>
  <c r="CB2093" i="5" s="1"/>
  <c r="BQ2094" i="5"/>
  <c r="CB2094" i="5" s="1"/>
  <c r="BQ2095" i="5"/>
  <c r="CB2095" i="5" s="1"/>
  <c r="BQ2096" i="5"/>
  <c r="CB2096" i="5" s="1"/>
  <c r="BQ2097" i="5"/>
  <c r="CB2097" i="5" s="1"/>
  <c r="BQ2098" i="5"/>
  <c r="CB2098" i="5" s="1"/>
  <c r="BQ2099" i="5"/>
  <c r="CB2099" i="5" s="1"/>
  <c r="BQ2100" i="5"/>
  <c r="CB2100" i="5" s="1"/>
  <c r="BQ2101" i="5"/>
  <c r="CB2101" i="5" s="1"/>
  <c r="BQ2102" i="5"/>
  <c r="CB2102" i="5" s="1"/>
  <c r="BQ2103" i="5"/>
  <c r="CB2103" i="5" s="1"/>
  <c r="BQ2104" i="5"/>
  <c r="CB2104" i="5" s="1"/>
  <c r="BQ2105" i="5"/>
  <c r="CB2105" i="5" s="1"/>
  <c r="BQ2106" i="5"/>
  <c r="CB2106" i="5" s="1"/>
  <c r="BQ2107" i="5"/>
  <c r="CB2107" i="5" s="1"/>
  <c r="BQ2108" i="5"/>
  <c r="CB2108" i="5" s="1"/>
  <c r="BQ2109" i="5"/>
  <c r="CB2109" i="5" s="1"/>
  <c r="BQ2110" i="5"/>
  <c r="CB2110" i="5" s="1"/>
  <c r="BQ2111" i="5"/>
  <c r="CB2111" i="5" s="1"/>
  <c r="BQ2112" i="5"/>
  <c r="CB2112" i="5" s="1"/>
  <c r="BQ2113" i="5"/>
  <c r="CB2113" i="5" s="1"/>
  <c r="BQ2114" i="5"/>
  <c r="CB2114" i="5" s="1"/>
  <c r="BQ2115" i="5"/>
  <c r="CB2115" i="5" s="1"/>
  <c r="BQ2116" i="5"/>
  <c r="CB2116" i="5" s="1"/>
  <c r="BQ2117" i="5"/>
  <c r="CB2117" i="5" s="1"/>
  <c r="BQ2118" i="5"/>
  <c r="CB2118" i="5" s="1"/>
  <c r="BQ2119" i="5"/>
  <c r="CB2119" i="5" s="1"/>
  <c r="BQ2120" i="5"/>
  <c r="CB2120" i="5" s="1"/>
  <c r="BQ2121" i="5"/>
  <c r="CB2121" i="5" s="1"/>
  <c r="BQ2122" i="5"/>
  <c r="CB2122" i="5" s="1"/>
  <c r="BQ2123" i="5"/>
  <c r="CB2123" i="5" s="1"/>
  <c r="BQ2124" i="5"/>
  <c r="CB2124" i="5" s="1"/>
  <c r="BQ2125" i="5"/>
  <c r="CB2125" i="5" s="1"/>
  <c r="BQ2126" i="5"/>
  <c r="CB2126" i="5" s="1"/>
  <c r="BQ2127" i="5"/>
  <c r="CB2127" i="5" s="1"/>
  <c r="BQ2128" i="5"/>
  <c r="CB2128" i="5" s="1"/>
  <c r="BQ2129" i="5"/>
  <c r="CB2129" i="5" s="1"/>
  <c r="BQ2130" i="5"/>
  <c r="CB2130" i="5" s="1"/>
  <c r="BQ2131" i="5"/>
  <c r="CB2131" i="5" s="1"/>
  <c r="BQ2132" i="5"/>
  <c r="CB2132" i="5" s="1"/>
  <c r="BQ2133" i="5"/>
  <c r="CB2133" i="5" s="1"/>
  <c r="BQ2134" i="5"/>
  <c r="CB2134" i="5" s="1"/>
  <c r="BQ2135" i="5"/>
  <c r="CB2135" i="5" s="1"/>
  <c r="BQ2136" i="5"/>
  <c r="CB2136" i="5" s="1"/>
  <c r="BQ2137" i="5"/>
  <c r="CB2137" i="5" s="1"/>
  <c r="BQ2138" i="5"/>
  <c r="CB2138" i="5" s="1"/>
  <c r="BQ2139" i="5"/>
  <c r="CB2139" i="5" s="1"/>
  <c r="BQ2140" i="5"/>
  <c r="CB2140" i="5" s="1"/>
  <c r="BQ2141" i="5"/>
  <c r="CB2141" i="5" s="1"/>
  <c r="BQ2142" i="5"/>
  <c r="CB2142" i="5" s="1"/>
  <c r="BQ2143" i="5"/>
  <c r="CB2143" i="5" s="1"/>
  <c r="BQ2144" i="5"/>
  <c r="CB2144" i="5" s="1"/>
  <c r="BQ2145" i="5"/>
  <c r="CB2145" i="5" s="1"/>
  <c r="BQ2146" i="5"/>
  <c r="CB2146" i="5" s="1"/>
  <c r="BQ2147" i="5"/>
  <c r="CB2147" i="5" s="1"/>
  <c r="BQ2148" i="5"/>
  <c r="CB2148" i="5" s="1"/>
  <c r="BQ2149" i="5"/>
  <c r="CB2149" i="5" s="1"/>
  <c r="BQ2150" i="5"/>
  <c r="CB2150" i="5" s="1"/>
  <c r="BQ2151" i="5"/>
  <c r="CB2151" i="5" s="1"/>
  <c r="BQ2152" i="5"/>
  <c r="CB2152" i="5" s="1"/>
  <c r="BQ2153" i="5"/>
  <c r="CB2153" i="5" s="1"/>
  <c r="BQ2154" i="5"/>
  <c r="CB2154" i="5" s="1"/>
  <c r="BQ2155" i="5"/>
  <c r="CB2155" i="5" s="1"/>
  <c r="BQ2156" i="5"/>
  <c r="CB2156" i="5" s="1"/>
  <c r="BQ2157" i="5"/>
  <c r="CB2157" i="5" s="1"/>
  <c r="BQ2158" i="5"/>
  <c r="CB2158" i="5" s="1"/>
  <c r="BQ2159" i="5"/>
  <c r="CB2159" i="5" s="1"/>
  <c r="BQ2160" i="5"/>
  <c r="CB2160" i="5" s="1"/>
  <c r="BQ2161" i="5"/>
  <c r="CB2161" i="5" s="1"/>
  <c r="BQ2162" i="5"/>
  <c r="CB2162" i="5" s="1"/>
  <c r="BQ2163" i="5"/>
  <c r="CB2163" i="5" s="1"/>
  <c r="BQ2164" i="5"/>
  <c r="CB2164" i="5" s="1"/>
  <c r="BQ2165" i="5"/>
  <c r="CB2165" i="5" s="1"/>
  <c r="BQ2166" i="5"/>
  <c r="CB2166" i="5" s="1"/>
  <c r="BQ2167" i="5"/>
  <c r="CB2167" i="5" s="1"/>
  <c r="BQ2168" i="5"/>
  <c r="CB2168" i="5" s="1"/>
  <c r="BQ2169" i="5"/>
  <c r="CB2169" i="5" s="1"/>
  <c r="BQ2170" i="5"/>
  <c r="CB2170" i="5" s="1"/>
  <c r="BQ2171" i="5"/>
  <c r="CB2171" i="5" s="1"/>
  <c r="BQ2172" i="5"/>
  <c r="CB2172" i="5" s="1"/>
  <c r="BQ2173" i="5"/>
  <c r="CB2173" i="5" s="1"/>
  <c r="BQ2174" i="5"/>
  <c r="CB2174" i="5" s="1"/>
  <c r="BQ2175" i="5"/>
  <c r="CB2175" i="5" s="1"/>
  <c r="BQ2176" i="5"/>
  <c r="CB2176" i="5" s="1"/>
  <c r="BQ2177" i="5"/>
  <c r="CB2177" i="5" s="1"/>
  <c r="BQ2178" i="5"/>
  <c r="CB2178" i="5" s="1"/>
  <c r="BQ2179" i="5"/>
  <c r="CB2179" i="5" s="1"/>
  <c r="BQ2180" i="5"/>
  <c r="CB2180" i="5" s="1"/>
  <c r="BQ2181" i="5"/>
  <c r="CB2181" i="5" s="1"/>
  <c r="BQ2182" i="5"/>
  <c r="CB2182" i="5" s="1"/>
  <c r="BQ2183" i="5"/>
  <c r="CB2183" i="5" s="1"/>
  <c r="BQ2184" i="5"/>
  <c r="CB2184" i="5" s="1"/>
  <c r="BQ2185" i="5"/>
  <c r="CB2185" i="5" s="1"/>
  <c r="BQ2186" i="5"/>
  <c r="CB2186" i="5" s="1"/>
  <c r="BQ2187" i="5"/>
  <c r="CB2187" i="5" s="1"/>
  <c r="BQ2188" i="5"/>
  <c r="CB2188" i="5" s="1"/>
  <c r="BQ2189" i="5"/>
  <c r="CB2189" i="5" s="1"/>
  <c r="BQ2190" i="5"/>
  <c r="CB2190" i="5" s="1"/>
  <c r="BQ2191" i="5"/>
  <c r="CB2191" i="5" s="1"/>
  <c r="BQ2192" i="5"/>
  <c r="CB2192" i="5" s="1"/>
  <c r="BQ2193" i="5"/>
  <c r="CB2193" i="5" s="1"/>
  <c r="BQ2194" i="5"/>
  <c r="CB2194" i="5" s="1"/>
  <c r="BQ2195" i="5"/>
  <c r="CB2195" i="5" s="1"/>
  <c r="BQ2196" i="5"/>
  <c r="CB2196" i="5" s="1"/>
  <c r="BQ2197" i="5"/>
  <c r="CB2197" i="5" s="1"/>
  <c r="BQ2198" i="5"/>
  <c r="CB2198" i="5" s="1"/>
  <c r="BQ2199" i="5"/>
  <c r="CB2199" i="5" s="1"/>
  <c r="BQ2200" i="5"/>
  <c r="CB2200" i="5" s="1"/>
  <c r="BQ2201" i="5"/>
  <c r="CB2201" i="5" s="1"/>
  <c r="BQ2202" i="5"/>
  <c r="CB2202" i="5" s="1"/>
  <c r="BQ2203" i="5"/>
  <c r="CB2203" i="5" s="1"/>
  <c r="BQ2204" i="5"/>
  <c r="CB2204" i="5" s="1"/>
  <c r="BQ2205" i="5"/>
  <c r="CB2205" i="5" s="1"/>
  <c r="BQ2206" i="5"/>
  <c r="CB2206" i="5" s="1"/>
  <c r="BQ2207" i="5"/>
  <c r="CB2207" i="5" s="1"/>
  <c r="BQ2208" i="5"/>
  <c r="CB2208" i="5" s="1"/>
  <c r="BQ2209" i="5"/>
  <c r="CB2209" i="5" s="1"/>
  <c r="BQ2210" i="5"/>
  <c r="CB2210" i="5" s="1"/>
  <c r="BQ2211" i="5"/>
  <c r="CB2211" i="5" s="1"/>
  <c r="BQ2212" i="5"/>
  <c r="CB2212" i="5" s="1"/>
  <c r="BQ2213" i="5"/>
  <c r="CB2213" i="5" s="1"/>
  <c r="BQ2214" i="5"/>
  <c r="CB2214" i="5" s="1"/>
  <c r="BQ2215" i="5"/>
  <c r="CB2215" i="5" s="1"/>
  <c r="BQ2216" i="5"/>
  <c r="CB2216" i="5" s="1"/>
  <c r="BQ2217" i="5"/>
  <c r="CB2217" i="5" s="1"/>
  <c r="BQ2218" i="5"/>
  <c r="CB2218" i="5" s="1"/>
  <c r="BQ2219" i="5"/>
  <c r="CB2219" i="5" s="1"/>
  <c r="BQ2220" i="5"/>
  <c r="CB2220" i="5" s="1"/>
  <c r="BQ2221" i="5"/>
  <c r="CB2221" i="5" s="1"/>
  <c r="BQ2222" i="5"/>
  <c r="CB2222" i="5" s="1"/>
  <c r="BQ2223" i="5"/>
  <c r="CB2223" i="5" s="1"/>
  <c r="BQ2224" i="5"/>
  <c r="CB2224" i="5" s="1"/>
  <c r="BQ2225" i="5"/>
  <c r="CB2225" i="5" s="1"/>
  <c r="BQ2226" i="5"/>
  <c r="CB2226" i="5" s="1"/>
  <c r="BQ2227" i="5"/>
  <c r="CB2227" i="5" s="1"/>
  <c r="BQ2228" i="5"/>
  <c r="CB2228" i="5" s="1"/>
  <c r="BQ2229" i="5"/>
  <c r="CB2229" i="5" s="1"/>
  <c r="BQ2230" i="5"/>
  <c r="CB2230" i="5" s="1"/>
  <c r="BQ2231" i="5"/>
  <c r="CB2231" i="5" s="1"/>
  <c r="BQ2232" i="5"/>
  <c r="CB2232" i="5" s="1"/>
  <c r="BQ2233" i="5"/>
  <c r="CB2233" i="5" s="1"/>
  <c r="BQ2234" i="5"/>
  <c r="CB2234" i="5" s="1"/>
  <c r="BQ2235" i="5"/>
  <c r="CB2235" i="5" s="1"/>
  <c r="BQ2236" i="5"/>
  <c r="CB2236" i="5" s="1"/>
  <c r="BQ2237" i="5"/>
  <c r="CB2237" i="5" s="1"/>
  <c r="BQ2238" i="5"/>
  <c r="CB2238" i="5" s="1"/>
  <c r="BQ2239" i="5"/>
  <c r="CB2239" i="5" s="1"/>
  <c r="BQ2240" i="5"/>
  <c r="CB2240" i="5" s="1"/>
  <c r="BQ2241" i="5"/>
  <c r="CB2241" i="5" s="1"/>
  <c r="BQ2242" i="5"/>
  <c r="CB2242" i="5" s="1"/>
  <c r="BQ2243" i="5"/>
  <c r="CB2243" i="5" s="1"/>
  <c r="BQ2244" i="5"/>
  <c r="CB2244" i="5" s="1"/>
  <c r="BQ2245" i="5"/>
  <c r="CB2245" i="5" s="1"/>
  <c r="BQ2246" i="5"/>
  <c r="CB2246" i="5" s="1"/>
  <c r="BQ2247" i="5"/>
  <c r="CB2247" i="5" s="1"/>
  <c r="BQ2248" i="5"/>
  <c r="CB2248" i="5" s="1"/>
  <c r="BQ2249" i="5"/>
  <c r="CB2249" i="5" s="1"/>
  <c r="BQ2250" i="5"/>
  <c r="CB2250" i="5" s="1"/>
  <c r="BQ2251" i="5"/>
  <c r="CB2251" i="5" s="1"/>
  <c r="BQ2252" i="5"/>
  <c r="CB2252" i="5" s="1"/>
  <c r="BQ2253" i="5"/>
  <c r="CB2253" i="5" s="1"/>
  <c r="BQ2254" i="5"/>
  <c r="CB2254" i="5" s="1"/>
  <c r="BQ2255" i="5"/>
  <c r="CB2255" i="5" s="1"/>
  <c r="BQ2256" i="5"/>
  <c r="CB2256" i="5" s="1"/>
  <c r="BQ2257" i="5"/>
  <c r="CB2257" i="5" s="1"/>
  <c r="BQ2258" i="5"/>
  <c r="CB2258" i="5" s="1"/>
  <c r="BQ2259" i="5"/>
  <c r="CB2259" i="5" s="1"/>
  <c r="BQ2260" i="5"/>
  <c r="CB2260" i="5" s="1"/>
  <c r="BQ2261" i="5"/>
  <c r="CB2261" i="5" s="1"/>
  <c r="BQ2262" i="5"/>
  <c r="CB2262" i="5" s="1"/>
  <c r="BQ2263" i="5"/>
  <c r="CB2263" i="5" s="1"/>
  <c r="BQ2264" i="5"/>
  <c r="CB2264" i="5" s="1"/>
  <c r="BQ2265" i="5"/>
  <c r="CB2265" i="5" s="1"/>
  <c r="BQ2266" i="5"/>
  <c r="CB2266" i="5" s="1"/>
  <c r="BQ2267" i="5"/>
  <c r="CB2267" i="5" s="1"/>
  <c r="BQ2268" i="5"/>
  <c r="CB2268" i="5" s="1"/>
  <c r="BQ2269" i="5"/>
  <c r="CB2269" i="5" s="1"/>
  <c r="BQ2270" i="5"/>
  <c r="CB2270" i="5" s="1"/>
  <c r="BQ2271" i="5"/>
  <c r="CB2271" i="5" s="1"/>
  <c r="BQ2272" i="5"/>
  <c r="CB2272" i="5" s="1"/>
  <c r="BQ2273" i="5"/>
  <c r="CB2273" i="5" s="1"/>
  <c r="BQ2274" i="5"/>
  <c r="CB2274" i="5" s="1"/>
  <c r="BQ2275" i="5"/>
  <c r="CB2275" i="5" s="1"/>
  <c r="BQ2276" i="5"/>
  <c r="CB2276" i="5" s="1"/>
  <c r="BQ2277" i="5"/>
  <c r="CB2277" i="5" s="1"/>
  <c r="BQ2278" i="5"/>
  <c r="CB2278" i="5" s="1"/>
  <c r="BQ2279" i="5"/>
  <c r="CB2279" i="5" s="1"/>
  <c r="BQ2280" i="5"/>
  <c r="CB2280" i="5" s="1"/>
  <c r="BQ2281" i="5"/>
  <c r="CB2281" i="5" s="1"/>
  <c r="BQ2282" i="5"/>
  <c r="CB2282" i="5" s="1"/>
  <c r="BQ2283" i="5"/>
  <c r="CB2283" i="5" s="1"/>
  <c r="BQ2284" i="5"/>
  <c r="CB2284" i="5" s="1"/>
  <c r="BQ2285" i="5"/>
  <c r="CB2285" i="5" s="1"/>
  <c r="BQ2286" i="5"/>
  <c r="CB2286" i="5" s="1"/>
  <c r="BQ2287" i="5"/>
  <c r="CB2287" i="5" s="1"/>
  <c r="BQ2288" i="5"/>
  <c r="CB2288" i="5" s="1"/>
  <c r="BQ2289" i="5"/>
  <c r="CB2289" i="5" s="1"/>
  <c r="BQ2290" i="5"/>
  <c r="CB2290" i="5" s="1"/>
  <c r="BQ2291" i="5"/>
  <c r="CB2291" i="5" s="1"/>
  <c r="BQ2292" i="5"/>
  <c r="CB2292" i="5" s="1"/>
  <c r="BQ2293" i="5"/>
  <c r="CB2293" i="5" s="1"/>
  <c r="BQ2294" i="5"/>
  <c r="CB2294" i="5" s="1"/>
  <c r="BQ2295" i="5"/>
  <c r="CB2295" i="5" s="1"/>
  <c r="BQ2296" i="5"/>
  <c r="CB2296" i="5" s="1"/>
  <c r="BQ2297" i="5"/>
  <c r="CB2297" i="5" s="1"/>
  <c r="BQ2298" i="5"/>
  <c r="CB2298" i="5" s="1"/>
  <c r="BQ2299" i="5"/>
  <c r="CB2299" i="5" s="1"/>
  <c r="BQ2300" i="5"/>
  <c r="CB2300" i="5" s="1"/>
  <c r="BQ2301" i="5"/>
  <c r="CB2301" i="5" s="1"/>
  <c r="BQ2302" i="5"/>
  <c r="CB2302" i="5" s="1"/>
  <c r="BQ2303" i="5"/>
  <c r="CB2303" i="5" s="1"/>
  <c r="BQ2304" i="5"/>
  <c r="CB2304" i="5" s="1"/>
  <c r="BQ2305" i="5"/>
  <c r="CB2305" i="5" s="1"/>
  <c r="BQ2306" i="5"/>
  <c r="CB2306" i="5" s="1"/>
  <c r="BQ2307" i="5"/>
  <c r="CB2307" i="5" s="1"/>
  <c r="BQ2308" i="5"/>
  <c r="CB2308" i="5" s="1"/>
  <c r="BQ2309" i="5"/>
  <c r="CB2309" i="5" s="1"/>
  <c r="BQ2310" i="5"/>
  <c r="CB2310" i="5" s="1"/>
  <c r="BQ2311" i="5"/>
  <c r="CB2311" i="5" s="1"/>
  <c r="BQ2312" i="5"/>
  <c r="CB2312" i="5" s="1"/>
  <c r="BQ2313" i="5"/>
  <c r="CB2313" i="5" s="1"/>
  <c r="BQ2314" i="5"/>
  <c r="CB2314" i="5" s="1"/>
  <c r="BQ2315" i="5"/>
  <c r="CB2315" i="5" s="1"/>
  <c r="BQ2316" i="5"/>
  <c r="CB2316" i="5" s="1"/>
  <c r="BQ2317" i="5"/>
  <c r="CB2317" i="5" s="1"/>
  <c r="BQ2318" i="5"/>
  <c r="CB2318" i="5" s="1"/>
  <c r="BQ2319" i="5"/>
  <c r="CB2319" i="5" s="1"/>
  <c r="BQ2320" i="5"/>
  <c r="CB2320" i="5" s="1"/>
  <c r="BQ2321" i="5"/>
  <c r="CB2321" i="5" s="1"/>
  <c r="BQ2322" i="5"/>
  <c r="CB2322" i="5" s="1"/>
  <c r="BQ2323" i="5"/>
  <c r="CB2323" i="5" s="1"/>
  <c r="BQ2324" i="5"/>
  <c r="CB2324" i="5" s="1"/>
  <c r="BQ2325" i="5"/>
  <c r="CB2325" i="5" s="1"/>
  <c r="BQ2326" i="5"/>
  <c r="CB2326" i="5" s="1"/>
  <c r="BQ2327" i="5"/>
  <c r="CB2327" i="5" s="1"/>
  <c r="BQ2328" i="5"/>
  <c r="CB2328" i="5" s="1"/>
  <c r="BQ2329" i="5"/>
  <c r="CB2329" i="5" s="1"/>
  <c r="BQ2330" i="5"/>
  <c r="CB2330" i="5" s="1"/>
  <c r="BQ2331" i="5"/>
  <c r="CB2331" i="5" s="1"/>
  <c r="BQ2332" i="5"/>
  <c r="CB2332" i="5" s="1"/>
  <c r="BQ2333" i="5"/>
  <c r="CB2333" i="5" s="1"/>
  <c r="BQ2334" i="5"/>
  <c r="CB2334" i="5" s="1"/>
  <c r="BQ2335" i="5"/>
  <c r="CB2335" i="5" s="1"/>
  <c r="BQ2336" i="5"/>
  <c r="CB2336" i="5" s="1"/>
  <c r="BQ2337" i="5"/>
  <c r="CB2337" i="5" s="1"/>
  <c r="BQ2338" i="5"/>
  <c r="CB2338" i="5" s="1"/>
  <c r="BQ2339" i="5"/>
  <c r="CB2339" i="5" s="1"/>
  <c r="BQ2340" i="5"/>
  <c r="CB2340" i="5" s="1"/>
  <c r="BQ2341" i="5"/>
  <c r="CB2341" i="5" s="1"/>
  <c r="BQ2342" i="5"/>
  <c r="CB2342" i="5" s="1"/>
  <c r="BQ2343" i="5"/>
  <c r="CB2343" i="5" s="1"/>
  <c r="BQ2344" i="5"/>
  <c r="CB2344" i="5" s="1"/>
  <c r="BQ2345" i="5"/>
  <c r="CB2345" i="5" s="1"/>
  <c r="BQ2346" i="5"/>
  <c r="CB2346" i="5" s="1"/>
  <c r="BQ2347" i="5"/>
  <c r="CB2347" i="5" s="1"/>
  <c r="BQ2348" i="5"/>
  <c r="CB2348" i="5" s="1"/>
  <c r="BQ2349" i="5"/>
  <c r="CB2349" i="5" s="1"/>
  <c r="BQ2350" i="5"/>
  <c r="CB2350" i="5" s="1"/>
  <c r="BQ2351" i="5"/>
  <c r="CB2351" i="5" s="1"/>
  <c r="BQ2352" i="5"/>
  <c r="CB2352" i="5" s="1"/>
  <c r="BQ2353" i="5"/>
  <c r="CB2353" i="5" s="1"/>
  <c r="BQ2354" i="5"/>
  <c r="CB2354" i="5" s="1"/>
  <c r="BQ2355" i="5"/>
  <c r="CB2355" i="5" s="1"/>
  <c r="BQ2356" i="5"/>
  <c r="CB2356" i="5" s="1"/>
  <c r="BQ2357" i="5"/>
  <c r="CB2357" i="5" s="1"/>
  <c r="BQ2358" i="5"/>
  <c r="CB2358" i="5" s="1"/>
  <c r="BQ2359" i="5"/>
  <c r="CB2359" i="5" s="1"/>
  <c r="BQ2360" i="5"/>
  <c r="CB2360" i="5" s="1"/>
  <c r="BQ2361" i="5"/>
  <c r="CB2361" i="5" s="1"/>
  <c r="BQ2362" i="5"/>
  <c r="CB2362" i="5" s="1"/>
  <c r="BQ2363" i="5"/>
  <c r="CB2363" i="5" s="1"/>
  <c r="BQ2364" i="5"/>
  <c r="CB2364" i="5" s="1"/>
  <c r="BQ2365" i="5"/>
  <c r="CB2365" i="5" s="1"/>
  <c r="BQ2366" i="5"/>
  <c r="CB2366" i="5" s="1"/>
  <c r="BQ2367" i="5"/>
  <c r="CB2367" i="5" s="1"/>
  <c r="BQ2368" i="5"/>
  <c r="CB2368" i="5" s="1"/>
  <c r="BQ2369" i="5"/>
  <c r="CB2369" i="5" s="1"/>
  <c r="BQ2370" i="5"/>
  <c r="CB2370" i="5" s="1"/>
  <c r="BQ2371" i="5"/>
  <c r="CB2371" i="5" s="1"/>
  <c r="BQ2372" i="5"/>
  <c r="CB2372" i="5" s="1"/>
  <c r="BQ2373" i="5"/>
  <c r="CB2373" i="5" s="1"/>
  <c r="BQ2374" i="5"/>
  <c r="CB2374" i="5" s="1"/>
  <c r="BQ2375" i="5"/>
  <c r="CB2375" i="5" s="1"/>
  <c r="BQ2376" i="5"/>
  <c r="CB2376" i="5" s="1"/>
  <c r="BQ2377" i="5"/>
  <c r="CB2377" i="5" s="1"/>
  <c r="BQ2378" i="5"/>
  <c r="CB2378" i="5" s="1"/>
  <c r="BQ2379" i="5"/>
  <c r="CB2379" i="5" s="1"/>
  <c r="BQ2380" i="5"/>
  <c r="CB2380" i="5" s="1"/>
  <c r="BQ2381" i="5"/>
  <c r="CB2381" i="5" s="1"/>
  <c r="BQ2382" i="5"/>
  <c r="CB2382" i="5" s="1"/>
  <c r="BQ2383" i="5"/>
  <c r="CB2383" i="5" s="1"/>
  <c r="BQ2384" i="5"/>
  <c r="CB2384" i="5" s="1"/>
  <c r="BQ2385" i="5"/>
  <c r="CB2385" i="5" s="1"/>
  <c r="BQ2386" i="5"/>
  <c r="CB2386" i="5" s="1"/>
  <c r="BQ2387" i="5"/>
  <c r="CB2387" i="5" s="1"/>
  <c r="BQ2388" i="5"/>
  <c r="CB2388" i="5" s="1"/>
  <c r="BQ2389" i="5"/>
  <c r="CB2389" i="5" s="1"/>
  <c r="BQ2390" i="5"/>
  <c r="CB2390" i="5" s="1"/>
  <c r="BQ2391" i="5"/>
  <c r="CB2391" i="5" s="1"/>
  <c r="BQ2392" i="5"/>
  <c r="CB2392" i="5" s="1"/>
  <c r="BQ2393" i="5"/>
  <c r="CB2393" i="5" s="1"/>
  <c r="BQ2394" i="5"/>
  <c r="CB2394" i="5" s="1"/>
  <c r="BQ2395" i="5"/>
  <c r="CB2395" i="5" s="1"/>
  <c r="BQ2396" i="5"/>
  <c r="CB2396" i="5" s="1"/>
  <c r="BQ2397" i="5"/>
  <c r="CB2397" i="5" s="1"/>
  <c r="BQ2398" i="5"/>
  <c r="CB2398" i="5" s="1"/>
  <c r="BQ2399" i="5"/>
  <c r="CB2399" i="5" s="1"/>
  <c r="BQ2400" i="5"/>
  <c r="CB2400" i="5" s="1"/>
  <c r="BQ2401" i="5"/>
  <c r="CB2401" i="5" s="1"/>
  <c r="BQ2402" i="5"/>
  <c r="CB2402" i="5" s="1"/>
  <c r="BQ2403" i="5"/>
  <c r="CB2403" i="5" s="1"/>
  <c r="BQ2404" i="5"/>
  <c r="CB2404" i="5" s="1"/>
  <c r="BQ2405" i="5"/>
  <c r="CB2405" i="5" s="1"/>
  <c r="BQ2406" i="5"/>
  <c r="CB2406" i="5" s="1"/>
  <c r="BQ2407" i="5"/>
  <c r="CB2407" i="5" s="1"/>
  <c r="BQ2408" i="5"/>
  <c r="CB2408" i="5" s="1"/>
  <c r="BQ2409" i="5"/>
  <c r="CB2409" i="5" s="1"/>
  <c r="BQ2410" i="5"/>
  <c r="CB2410" i="5" s="1"/>
  <c r="BQ2411" i="5"/>
  <c r="CB2411" i="5" s="1"/>
  <c r="BQ2412" i="5"/>
  <c r="CB2412" i="5" s="1"/>
  <c r="BQ2413" i="5"/>
  <c r="CB2413" i="5" s="1"/>
  <c r="BQ2414" i="5"/>
  <c r="CB2414" i="5" s="1"/>
  <c r="BQ2415" i="5"/>
  <c r="CB2415" i="5" s="1"/>
  <c r="BQ2416" i="5"/>
  <c r="CB2416" i="5" s="1"/>
  <c r="BQ2417" i="5"/>
  <c r="CB2417" i="5" s="1"/>
  <c r="BQ2418" i="5"/>
  <c r="CB2418" i="5" s="1"/>
  <c r="BQ2419" i="5"/>
  <c r="CB2419" i="5" s="1"/>
  <c r="BQ2420" i="5"/>
  <c r="CB2420" i="5" s="1"/>
  <c r="BQ2421" i="5"/>
  <c r="CB2421" i="5" s="1"/>
  <c r="BQ2422" i="5"/>
  <c r="CB2422" i="5" s="1"/>
  <c r="BQ2423" i="5"/>
  <c r="CB2423" i="5" s="1"/>
  <c r="BQ2424" i="5"/>
  <c r="CB2424" i="5" s="1"/>
  <c r="BQ2425" i="5"/>
  <c r="CB2425" i="5" s="1"/>
  <c r="BQ2426" i="5"/>
  <c r="CB2426" i="5" s="1"/>
  <c r="BQ2427" i="5"/>
  <c r="CB2427" i="5" s="1"/>
  <c r="BQ2428" i="5"/>
  <c r="CB2428" i="5" s="1"/>
  <c r="BQ2429" i="5"/>
  <c r="CB2429" i="5" s="1"/>
  <c r="BQ2430" i="5"/>
  <c r="CB2430" i="5" s="1"/>
  <c r="BQ2431" i="5"/>
  <c r="CB2431" i="5" s="1"/>
  <c r="BQ2432" i="5"/>
  <c r="CB2432" i="5" s="1"/>
  <c r="BQ2433" i="5"/>
  <c r="CB2433" i="5" s="1"/>
  <c r="BQ2434" i="5"/>
  <c r="CB2434" i="5" s="1"/>
  <c r="BQ2435" i="5"/>
  <c r="CB2435" i="5" s="1"/>
  <c r="BQ2436" i="5"/>
  <c r="CB2436" i="5" s="1"/>
  <c r="BQ2437" i="5"/>
  <c r="CB2437" i="5" s="1"/>
  <c r="BQ2438" i="5"/>
  <c r="CB2438" i="5" s="1"/>
  <c r="BQ2439" i="5"/>
  <c r="CB2439" i="5" s="1"/>
  <c r="BQ2440" i="5"/>
  <c r="CB2440" i="5" s="1"/>
  <c r="BQ2441" i="5"/>
  <c r="CB2441" i="5" s="1"/>
  <c r="BQ2442" i="5"/>
  <c r="CB2442" i="5" s="1"/>
  <c r="BQ2443" i="5"/>
  <c r="CB2443" i="5" s="1"/>
  <c r="BQ2444" i="5"/>
  <c r="CB2444" i="5" s="1"/>
  <c r="BQ2445" i="5"/>
  <c r="CB2445" i="5" s="1"/>
  <c r="BQ2446" i="5"/>
  <c r="CB2446" i="5" s="1"/>
  <c r="BQ2447" i="5"/>
  <c r="CB2447" i="5" s="1"/>
  <c r="BQ2448" i="5"/>
  <c r="CB2448" i="5" s="1"/>
  <c r="BQ2449" i="5"/>
  <c r="CB2449" i="5" s="1"/>
  <c r="BQ2450" i="5"/>
  <c r="CB2450" i="5" s="1"/>
  <c r="BQ2451" i="5"/>
  <c r="CB2451" i="5" s="1"/>
  <c r="BQ2452" i="5"/>
  <c r="CB2452" i="5" s="1"/>
  <c r="BQ2453" i="5"/>
  <c r="CB2453" i="5" s="1"/>
  <c r="BQ2454" i="5"/>
  <c r="CB2454" i="5" s="1"/>
  <c r="BQ2455" i="5"/>
  <c r="CB2455" i="5" s="1"/>
  <c r="BQ2456" i="5"/>
  <c r="CB2456" i="5" s="1"/>
  <c r="BQ2457" i="5"/>
  <c r="CB2457" i="5" s="1"/>
  <c r="BQ2458" i="5"/>
  <c r="CB2458" i="5" s="1"/>
  <c r="BQ2459" i="5"/>
  <c r="CB2459" i="5" s="1"/>
  <c r="BQ2460" i="5"/>
  <c r="CB2460" i="5" s="1"/>
  <c r="BQ2461" i="5"/>
  <c r="CB2461" i="5" s="1"/>
  <c r="BQ2462" i="5"/>
  <c r="CB2462" i="5" s="1"/>
  <c r="BQ2463" i="5"/>
  <c r="CB2463" i="5" s="1"/>
  <c r="BQ2464" i="5"/>
  <c r="CB2464" i="5" s="1"/>
  <c r="BQ2465" i="5"/>
  <c r="CB2465" i="5" s="1"/>
  <c r="BQ2466" i="5"/>
  <c r="CB2466" i="5" s="1"/>
  <c r="BQ2467" i="5"/>
  <c r="CB2467" i="5" s="1"/>
  <c r="BQ2468" i="5"/>
  <c r="CB2468" i="5" s="1"/>
  <c r="BQ2469" i="5"/>
  <c r="CB2469" i="5" s="1"/>
  <c r="BQ2470" i="5"/>
  <c r="CB2470" i="5" s="1"/>
  <c r="BQ2471" i="5"/>
  <c r="CB2471" i="5" s="1"/>
  <c r="BQ2472" i="5"/>
  <c r="CB2472" i="5" s="1"/>
  <c r="BQ2473" i="5"/>
  <c r="CB2473" i="5" s="1"/>
  <c r="BQ2474" i="5"/>
  <c r="CB2474" i="5" s="1"/>
  <c r="BQ2475" i="5"/>
  <c r="CB2475" i="5" s="1"/>
  <c r="BQ2476" i="5"/>
  <c r="CB2476" i="5" s="1"/>
  <c r="BQ2477" i="5"/>
  <c r="CB2477" i="5" s="1"/>
  <c r="BQ2478" i="5"/>
  <c r="CB2478" i="5" s="1"/>
  <c r="BQ2479" i="5"/>
  <c r="CB2479" i="5" s="1"/>
  <c r="BQ2480" i="5"/>
  <c r="CB2480" i="5" s="1"/>
  <c r="BQ2481" i="5"/>
  <c r="CB2481" i="5" s="1"/>
  <c r="BQ2482" i="5"/>
  <c r="CB2482" i="5" s="1"/>
  <c r="BQ2483" i="5"/>
  <c r="CB2483" i="5" s="1"/>
  <c r="BQ2484" i="5"/>
  <c r="CB2484" i="5" s="1"/>
  <c r="BQ2485" i="5"/>
  <c r="CB2485" i="5" s="1"/>
  <c r="BQ2486" i="5"/>
  <c r="CB2486" i="5" s="1"/>
  <c r="BQ2487" i="5"/>
  <c r="CB2487" i="5" s="1"/>
  <c r="BQ2488" i="5"/>
  <c r="CB2488" i="5" s="1"/>
  <c r="BQ2489" i="5"/>
  <c r="CB2489" i="5" s="1"/>
  <c r="BQ2490" i="5"/>
  <c r="CB2490" i="5" s="1"/>
  <c r="BP2" i="5"/>
  <c r="BP3" i="5"/>
  <c r="BP4" i="5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P187" i="5"/>
  <c r="BP188" i="5"/>
  <c r="BP189" i="5"/>
  <c r="BP190" i="5"/>
  <c r="BP191" i="5"/>
  <c r="BP192" i="5"/>
  <c r="BP193" i="5"/>
  <c r="BP194" i="5"/>
  <c r="BP195" i="5"/>
  <c r="BP196" i="5"/>
  <c r="BP197" i="5"/>
  <c r="BP198" i="5"/>
  <c r="BP199" i="5"/>
  <c r="BP200" i="5"/>
  <c r="BP201" i="5"/>
  <c r="BP202" i="5"/>
  <c r="BP203" i="5"/>
  <c r="BP204" i="5"/>
  <c r="BP205" i="5"/>
  <c r="BP206" i="5"/>
  <c r="BP207" i="5"/>
  <c r="BP208" i="5"/>
  <c r="BP209" i="5"/>
  <c r="BP210" i="5"/>
  <c r="BP211" i="5"/>
  <c r="BP212" i="5"/>
  <c r="BP213" i="5"/>
  <c r="BP214" i="5"/>
  <c r="BP215" i="5"/>
  <c r="BP216" i="5"/>
  <c r="BP217" i="5"/>
  <c r="BP218" i="5"/>
  <c r="BP219" i="5"/>
  <c r="BP220" i="5"/>
  <c r="BP221" i="5"/>
  <c r="BP222" i="5"/>
  <c r="BP223" i="5"/>
  <c r="BP224" i="5"/>
  <c r="BP225" i="5"/>
  <c r="BP226" i="5"/>
  <c r="BP227" i="5"/>
  <c r="BP228" i="5"/>
  <c r="BP229" i="5"/>
  <c r="BP230" i="5"/>
  <c r="BP231" i="5"/>
  <c r="BP232" i="5"/>
  <c r="BP233" i="5"/>
  <c r="BP234" i="5"/>
  <c r="BP235" i="5"/>
  <c r="BP236" i="5"/>
  <c r="BP237" i="5"/>
  <c r="BP238" i="5"/>
  <c r="BP239" i="5"/>
  <c r="BP240" i="5"/>
  <c r="BP241" i="5"/>
  <c r="BP242" i="5"/>
  <c r="BP243" i="5"/>
  <c r="BP244" i="5"/>
  <c r="BP245" i="5"/>
  <c r="BP246" i="5"/>
  <c r="BP247" i="5"/>
  <c r="BP248" i="5"/>
  <c r="BP249" i="5"/>
  <c r="BP250" i="5"/>
  <c r="BP251" i="5"/>
  <c r="BP252" i="5"/>
  <c r="BP253" i="5"/>
  <c r="BP254" i="5"/>
  <c r="BP255" i="5"/>
  <c r="BP256" i="5"/>
  <c r="BP257" i="5"/>
  <c r="BP258" i="5"/>
  <c r="BP259" i="5"/>
  <c r="BP260" i="5"/>
  <c r="BP261" i="5"/>
  <c r="BP262" i="5"/>
  <c r="BP263" i="5"/>
  <c r="BP264" i="5"/>
  <c r="BP265" i="5"/>
  <c r="BP266" i="5"/>
  <c r="BP267" i="5"/>
  <c r="BP268" i="5"/>
  <c r="BP269" i="5"/>
  <c r="BP270" i="5"/>
  <c r="BP271" i="5"/>
  <c r="BP272" i="5"/>
  <c r="BP273" i="5"/>
  <c r="BP274" i="5"/>
  <c r="BP275" i="5"/>
  <c r="BP276" i="5"/>
  <c r="BP277" i="5"/>
  <c r="BP278" i="5"/>
  <c r="BP279" i="5"/>
  <c r="BP280" i="5"/>
  <c r="BP281" i="5"/>
  <c r="BP282" i="5"/>
  <c r="BP283" i="5"/>
  <c r="BP284" i="5"/>
  <c r="BP285" i="5"/>
  <c r="BP286" i="5"/>
  <c r="BP287" i="5"/>
  <c r="BP288" i="5"/>
  <c r="BP289" i="5"/>
  <c r="BP290" i="5"/>
  <c r="BP291" i="5"/>
  <c r="BP292" i="5"/>
  <c r="BP293" i="5"/>
  <c r="BP294" i="5"/>
  <c r="BP295" i="5"/>
  <c r="BP296" i="5"/>
  <c r="BP297" i="5"/>
  <c r="BP298" i="5"/>
  <c r="BP299" i="5"/>
  <c r="BP300" i="5"/>
  <c r="BP301" i="5"/>
  <c r="BP302" i="5"/>
  <c r="BP303" i="5"/>
  <c r="BP304" i="5"/>
  <c r="BP305" i="5"/>
  <c r="BP306" i="5"/>
  <c r="BP307" i="5"/>
  <c r="BP308" i="5"/>
  <c r="BP309" i="5"/>
  <c r="BP310" i="5"/>
  <c r="BP311" i="5"/>
  <c r="BP312" i="5"/>
  <c r="BP313" i="5"/>
  <c r="BP314" i="5"/>
  <c r="BP315" i="5"/>
  <c r="BP316" i="5"/>
  <c r="BP317" i="5"/>
  <c r="BP318" i="5"/>
  <c r="BP319" i="5"/>
  <c r="BP320" i="5"/>
  <c r="BP321" i="5"/>
  <c r="BP322" i="5"/>
  <c r="BP323" i="5"/>
  <c r="BP324" i="5"/>
  <c r="BP325" i="5"/>
  <c r="BP326" i="5"/>
  <c r="BP327" i="5"/>
  <c r="BP328" i="5"/>
  <c r="BP329" i="5"/>
  <c r="BP330" i="5"/>
  <c r="BP331" i="5"/>
  <c r="BP332" i="5"/>
  <c r="BP333" i="5"/>
  <c r="BP334" i="5"/>
  <c r="BP335" i="5"/>
  <c r="BP336" i="5"/>
  <c r="BP337" i="5"/>
  <c r="BP338" i="5"/>
  <c r="BP339" i="5"/>
  <c r="BP340" i="5"/>
  <c r="BP341" i="5"/>
  <c r="BP342" i="5"/>
  <c r="BP343" i="5"/>
  <c r="BP344" i="5"/>
  <c r="BP345" i="5"/>
  <c r="BP346" i="5"/>
  <c r="BP347" i="5"/>
  <c r="BP348" i="5"/>
  <c r="BP349" i="5"/>
  <c r="BP350" i="5"/>
  <c r="BP351" i="5"/>
  <c r="BP352" i="5"/>
  <c r="BP353" i="5"/>
  <c r="BP354" i="5"/>
  <c r="BP355" i="5"/>
  <c r="BP356" i="5"/>
  <c r="BP357" i="5"/>
  <c r="BP358" i="5"/>
  <c r="BP359" i="5"/>
  <c r="BP360" i="5"/>
  <c r="BP361" i="5"/>
  <c r="BP362" i="5"/>
  <c r="BP363" i="5"/>
  <c r="BP364" i="5"/>
  <c r="BP365" i="5"/>
  <c r="BP366" i="5"/>
  <c r="BP367" i="5"/>
  <c r="BP368" i="5"/>
  <c r="BP369" i="5"/>
  <c r="BP370" i="5"/>
  <c r="BP371" i="5"/>
  <c r="BP372" i="5"/>
  <c r="BP373" i="5"/>
  <c r="BP374" i="5"/>
  <c r="BP375" i="5"/>
  <c r="BP376" i="5"/>
  <c r="BP377" i="5"/>
  <c r="BP378" i="5"/>
  <c r="BP379" i="5"/>
  <c r="BP380" i="5"/>
  <c r="BP381" i="5"/>
  <c r="BP382" i="5"/>
  <c r="BP383" i="5"/>
  <c r="BP384" i="5"/>
  <c r="BP385" i="5"/>
  <c r="BP386" i="5"/>
  <c r="BP387" i="5"/>
  <c r="BP388" i="5"/>
  <c r="BP389" i="5"/>
  <c r="BP390" i="5"/>
  <c r="BP391" i="5"/>
  <c r="BP392" i="5"/>
  <c r="BP393" i="5"/>
  <c r="BP394" i="5"/>
  <c r="BP395" i="5"/>
  <c r="BP396" i="5"/>
  <c r="BP397" i="5"/>
  <c r="BP398" i="5"/>
  <c r="BP399" i="5"/>
  <c r="BP400" i="5"/>
  <c r="BP401" i="5"/>
  <c r="BP402" i="5"/>
  <c r="BP403" i="5"/>
  <c r="BP404" i="5"/>
  <c r="BP405" i="5"/>
  <c r="BP406" i="5"/>
  <c r="BP407" i="5"/>
  <c r="BP408" i="5"/>
  <c r="BP409" i="5"/>
  <c r="BP410" i="5"/>
  <c r="BP411" i="5"/>
  <c r="BP412" i="5"/>
  <c r="BP413" i="5"/>
  <c r="BP414" i="5"/>
  <c r="BP415" i="5"/>
  <c r="BP416" i="5"/>
  <c r="BP417" i="5"/>
  <c r="BP418" i="5"/>
  <c r="BP419" i="5"/>
  <c r="BP420" i="5"/>
  <c r="BP421" i="5"/>
  <c r="BP422" i="5"/>
  <c r="BP423" i="5"/>
  <c r="BP424" i="5"/>
  <c r="BP425" i="5"/>
  <c r="BP426" i="5"/>
  <c r="BP427" i="5"/>
  <c r="BP428" i="5"/>
  <c r="BP429" i="5"/>
  <c r="BP430" i="5"/>
  <c r="BP431" i="5"/>
  <c r="BP432" i="5"/>
  <c r="BP433" i="5"/>
  <c r="BP434" i="5"/>
  <c r="BP435" i="5"/>
  <c r="BP436" i="5"/>
  <c r="BP437" i="5"/>
  <c r="BP438" i="5"/>
  <c r="BP439" i="5"/>
  <c r="BP440" i="5"/>
  <c r="BP441" i="5"/>
  <c r="BP442" i="5"/>
  <c r="BP443" i="5"/>
  <c r="BP444" i="5"/>
  <c r="BP445" i="5"/>
  <c r="BP446" i="5"/>
  <c r="BP447" i="5"/>
  <c r="BP448" i="5"/>
  <c r="BP449" i="5"/>
  <c r="BP450" i="5"/>
  <c r="BP451" i="5"/>
  <c r="BP452" i="5"/>
  <c r="BP453" i="5"/>
  <c r="BP454" i="5"/>
  <c r="BP455" i="5"/>
  <c r="BP456" i="5"/>
  <c r="BP457" i="5"/>
  <c r="BP458" i="5"/>
  <c r="BP459" i="5"/>
  <c r="BP460" i="5"/>
  <c r="BP461" i="5"/>
  <c r="BP462" i="5"/>
  <c r="BP463" i="5"/>
  <c r="BP464" i="5"/>
  <c r="BP465" i="5"/>
  <c r="BP466" i="5"/>
  <c r="BP467" i="5"/>
  <c r="BP468" i="5"/>
  <c r="BP469" i="5"/>
  <c r="BP470" i="5"/>
  <c r="BP471" i="5"/>
  <c r="BP472" i="5"/>
  <c r="BP473" i="5"/>
  <c r="BP474" i="5"/>
  <c r="BP475" i="5"/>
  <c r="BP476" i="5"/>
  <c r="BP477" i="5"/>
  <c r="BP478" i="5"/>
  <c r="BP479" i="5"/>
  <c r="BP480" i="5"/>
  <c r="BP481" i="5"/>
  <c r="BP482" i="5"/>
  <c r="BP483" i="5"/>
  <c r="BP484" i="5"/>
  <c r="BP485" i="5"/>
  <c r="BP486" i="5"/>
  <c r="BP487" i="5"/>
  <c r="BP488" i="5"/>
  <c r="BP489" i="5"/>
  <c r="BP490" i="5"/>
  <c r="BP491" i="5"/>
  <c r="BP492" i="5"/>
  <c r="BP493" i="5"/>
  <c r="BP494" i="5"/>
  <c r="BP495" i="5"/>
  <c r="BP496" i="5"/>
  <c r="BP497" i="5"/>
  <c r="BP498" i="5"/>
  <c r="BP499" i="5"/>
  <c r="BP500" i="5"/>
  <c r="BP501" i="5"/>
  <c r="BP502" i="5"/>
  <c r="BP503" i="5"/>
  <c r="BP504" i="5"/>
  <c r="BP505" i="5"/>
  <c r="BP506" i="5"/>
  <c r="BP507" i="5"/>
  <c r="BP508" i="5"/>
  <c r="BP509" i="5"/>
  <c r="BP510" i="5"/>
  <c r="BP511" i="5"/>
  <c r="BP512" i="5"/>
  <c r="BP513" i="5"/>
  <c r="BP514" i="5"/>
  <c r="BP515" i="5"/>
  <c r="BP516" i="5"/>
  <c r="BP517" i="5"/>
  <c r="BP518" i="5"/>
  <c r="BP519" i="5"/>
  <c r="BP520" i="5"/>
  <c r="BP521" i="5"/>
  <c r="BP522" i="5"/>
  <c r="BP523" i="5"/>
  <c r="BP524" i="5"/>
  <c r="BP525" i="5"/>
  <c r="BP526" i="5"/>
  <c r="BP527" i="5"/>
  <c r="BP528" i="5"/>
  <c r="BP529" i="5"/>
  <c r="BP530" i="5"/>
  <c r="BP531" i="5"/>
  <c r="BP532" i="5"/>
  <c r="BP533" i="5"/>
  <c r="BP534" i="5"/>
  <c r="BP535" i="5"/>
  <c r="BP536" i="5"/>
  <c r="BP537" i="5"/>
  <c r="BP538" i="5"/>
  <c r="BP539" i="5"/>
  <c r="BP540" i="5"/>
  <c r="BP541" i="5"/>
  <c r="BP542" i="5"/>
  <c r="BP543" i="5"/>
  <c r="BP544" i="5"/>
  <c r="BP545" i="5"/>
  <c r="BP546" i="5"/>
  <c r="BP547" i="5"/>
  <c r="BP548" i="5"/>
  <c r="BP549" i="5"/>
  <c r="BP550" i="5"/>
  <c r="BP551" i="5"/>
  <c r="BP552" i="5"/>
  <c r="BP553" i="5"/>
  <c r="BP554" i="5"/>
  <c r="BP555" i="5"/>
  <c r="BP556" i="5"/>
  <c r="BP557" i="5"/>
  <c r="BP558" i="5"/>
  <c r="BP559" i="5"/>
  <c r="BP560" i="5"/>
  <c r="BP561" i="5"/>
  <c r="BP562" i="5"/>
  <c r="BP563" i="5"/>
  <c r="BP564" i="5"/>
  <c r="BP565" i="5"/>
  <c r="BP566" i="5"/>
  <c r="BP567" i="5"/>
  <c r="BP568" i="5"/>
  <c r="BP569" i="5"/>
  <c r="BP570" i="5"/>
  <c r="BP571" i="5"/>
  <c r="BP572" i="5"/>
  <c r="BP573" i="5"/>
  <c r="BP574" i="5"/>
  <c r="BP575" i="5"/>
  <c r="BP576" i="5"/>
  <c r="BP577" i="5"/>
  <c r="BP578" i="5"/>
  <c r="BP579" i="5"/>
  <c r="BP580" i="5"/>
  <c r="BP581" i="5"/>
  <c r="BP582" i="5"/>
  <c r="BP583" i="5"/>
  <c r="BP584" i="5"/>
  <c r="BP585" i="5"/>
  <c r="BP586" i="5"/>
  <c r="BP587" i="5"/>
  <c r="BP588" i="5"/>
  <c r="BP589" i="5"/>
  <c r="BP590" i="5"/>
  <c r="BP591" i="5"/>
  <c r="BP592" i="5"/>
  <c r="BP593" i="5"/>
  <c r="BP594" i="5"/>
  <c r="BP595" i="5"/>
  <c r="BP596" i="5"/>
  <c r="BP597" i="5"/>
  <c r="BP598" i="5"/>
  <c r="BP599" i="5"/>
  <c r="BP600" i="5"/>
  <c r="BP601" i="5"/>
  <c r="BP602" i="5"/>
  <c r="BP603" i="5"/>
  <c r="BP604" i="5"/>
  <c r="BP605" i="5"/>
  <c r="BP606" i="5"/>
  <c r="BP607" i="5"/>
  <c r="BP608" i="5"/>
  <c r="BP609" i="5"/>
  <c r="BP610" i="5"/>
  <c r="BP611" i="5"/>
  <c r="BP612" i="5"/>
  <c r="BP613" i="5"/>
  <c r="BP614" i="5"/>
  <c r="BP615" i="5"/>
  <c r="BP616" i="5"/>
  <c r="BP617" i="5"/>
  <c r="BP618" i="5"/>
  <c r="BP619" i="5"/>
  <c r="BP620" i="5"/>
  <c r="BP621" i="5"/>
  <c r="BP622" i="5"/>
  <c r="BP623" i="5"/>
  <c r="BP624" i="5"/>
  <c r="BP625" i="5"/>
  <c r="BP626" i="5"/>
  <c r="BP627" i="5"/>
  <c r="BP628" i="5"/>
  <c r="BP629" i="5"/>
  <c r="BP630" i="5"/>
  <c r="BP631" i="5"/>
  <c r="BP632" i="5"/>
  <c r="BP633" i="5"/>
  <c r="BP634" i="5"/>
  <c r="BP635" i="5"/>
  <c r="BP636" i="5"/>
  <c r="BP637" i="5"/>
  <c r="BP638" i="5"/>
  <c r="BP639" i="5"/>
  <c r="BP640" i="5"/>
  <c r="BP641" i="5"/>
  <c r="BP642" i="5"/>
  <c r="BP643" i="5"/>
  <c r="BP644" i="5"/>
  <c r="BP645" i="5"/>
  <c r="BP646" i="5"/>
  <c r="BP647" i="5"/>
  <c r="BP648" i="5"/>
  <c r="BP649" i="5"/>
  <c r="BP650" i="5"/>
  <c r="BP651" i="5"/>
  <c r="BP652" i="5"/>
  <c r="BP653" i="5"/>
  <c r="BP654" i="5"/>
  <c r="BP655" i="5"/>
  <c r="BP656" i="5"/>
  <c r="BP657" i="5"/>
  <c r="BP658" i="5"/>
  <c r="BP659" i="5"/>
  <c r="BP660" i="5"/>
  <c r="BP661" i="5"/>
  <c r="BP662" i="5"/>
  <c r="BP663" i="5"/>
  <c r="BP664" i="5"/>
  <c r="BP665" i="5"/>
  <c r="BP666" i="5"/>
  <c r="BP667" i="5"/>
  <c r="BP668" i="5"/>
  <c r="BP669" i="5"/>
  <c r="BP670" i="5"/>
  <c r="BP671" i="5"/>
  <c r="BP672" i="5"/>
  <c r="BP673" i="5"/>
  <c r="BP674" i="5"/>
  <c r="BP675" i="5"/>
  <c r="BP676" i="5"/>
  <c r="BP677" i="5"/>
  <c r="BP678" i="5"/>
  <c r="BP679" i="5"/>
  <c r="BP680" i="5"/>
  <c r="BP681" i="5"/>
  <c r="BP682" i="5"/>
  <c r="BP683" i="5"/>
  <c r="BP684" i="5"/>
  <c r="BP685" i="5"/>
  <c r="BP686" i="5"/>
  <c r="BP687" i="5"/>
  <c r="BP688" i="5"/>
  <c r="BP689" i="5"/>
  <c r="BP690" i="5"/>
  <c r="BP691" i="5"/>
  <c r="BP692" i="5"/>
  <c r="BP693" i="5"/>
  <c r="BP694" i="5"/>
  <c r="BP695" i="5"/>
  <c r="BP696" i="5"/>
  <c r="BP697" i="5"/>
  <c r="BP698" i="5"/>
  <c r="BP699" i="5"/>
  <c r="BP700" i="5"/>
  <c r="BP701" i="5"/>
  <c r="BP702" i="5"/>
  <c r="BP703" i="5"/>
  <c r="BP704" i="5"/>
  <c r="BP705" i="5"/>
  <c r="BP706" i="5"/>
  <c r="BP707" i="5"/>
  <c r="BP708" i="5"/>
  <c r="BP709" i="5"/>
  <c r="BP710" i="5"/>
  <c r="BP711" i="5"/>
  <c r="BP712" i="5"/>
  <c r="BP713" i="5"/>
  <c r="BP714" i="5"/>
  <c r="BP715" i="5"/>
  <c r="BP716" i="5"/>
  <c r="BP717" i="5"/>
  <c r="BP718" i="5"/>
  <c r="BP719" i="5"/>
  <c r="BP720" i="5"/>
  <c r="BP721" i="5"/>
  <c r="BP722" i="5"/>
  <c r="BP723" i="5"/>
  <c r="BP724" i="5"/>
  <c r="BP725" i="5"/>
  <c r="BP726" i="5"/>
  <c r="BP727" i="5"/>
  <c r="BP728" i="5"/>
  <c r="BP729" i="5"/>
  <c r="BP730" i="5"/>
  <c r="BP731" i="5"/>
  <c r="BP732" i="5"/>
  <c r="BP733" i="5"/>
  <c r="BP734" i="5"/>
  <c r="BP735" i="5"/>
  <c r="BP736" i="5"/>
  <c r="BP737" i="5"/>
  <c r="BP738" i="5"/>
  <c r="BP739" i="5"/>
  <c r="BP740" i="5"/>
  <c r="BP741" i="5"/>
  <c r="BP742" i="5"/>
  <c r="BP743" i="5"/>
  <c r="BP744" i="5"/>
  <c r="BP745" i="5"/>
  <c r="BP746" i="5"/>
  <c r="BP747" i="5"/>
  <c r="BP748" i="5"/>
  <c r="BP749" i="5"/>
  <c r="BP750" i="5"/>
  <c r="BP751" i="5"/>
  <c r="BP752" i="5"/>
  <c r="BP753" i="5"/>
  <c r="BP754" i="5"/>
  <c r="BP755" i="5"/>
  <c r="BP756" i="5"/>
  <c r="BP757" i="5"/>
  <c r="BP758" i="5"/>
  <c r="BP759" i="5"/>
  <c r="BP760" i="5"/>
  <c r="BP761" i="5"/>
  <c r="BP762" i="5"/>
  <c r="BP763" i="5"/>
  <c r="BP764" i="5"/>
  <c r="BP765" i="5"/>
  <c r="BP766" i="5"/>
  <c r="BP767" i="5"/>
  <c r="BP768" i="5"/>
  <c r="BP769" i="5"/>
  <c r="BP770" i="5"/>
  <c r="BP771" i="5"/>
  <c r="BP772" i="5"/>
  <c r="BP773" i="5"/>
  <c r="BP774" i="5"/>
  <c r="BP775" i="5"/>
  <c r="BP776" i="5"/>
  <c r="BP777" i="5"/>
  <c r="BP778" i="5"/>
  <c r="BP779" i="5"/>
  <c r="BP780" i="5"/>
  <c r="BP781" i="5"/>
  <c r="BP782" i="5"/>
  <c r="BP783" i="5"/>
  <c r="BP784" i="5"/>
  <c r="BP785" i="5"/>
  <c r="BP786" i="5"/>
  <c r="BP787" i="5"/>
  <c r="BP788" i="5"/>
  <c r="BP789" i="5"/>
  <c r="BP790" i="5"/>
  <c r="BP791" i="5"/>
  <c r="BP792" i="5"/>
  <c r="BP793" i="5"/>
  <c r="BP794" i="5"/>
  <c r="BP795" i="5"/>
  <c r="BP796" i="5"/>
  <c r="BP797" i="5"/>
  <c r="BP798" i="5"/>
  <c r="BP799" i="5"/>
  <c r="BP800" i="5"/>
  <c r="BP801" i="5"/>
  <c r="BP802" i="5"/>
  <c r="BP803" i="5"/>
  <c r="BP804" i="5"/>
  <c r="BP805" i="5"/>
  <c r="BP806" i="5"/>
  <c r="BP807" i="5"/>
  <c r="BP808" i="5"/>
  <c r="BP809" i="5"/>
  <c r="BP810" i="5"/>
  <c r="BP811" i="5"/>
  <c r="BP812" i="5"/>
  <c r="BP813" i="5"/>
  <c r="BP814" i="5"/>
  <c r="BP815" i="5"/>
  <c r="BP816" i="5"/>
  <c r="BP817" i="5"/>
  <c r="BP818" i="5"/>
  <c r="BP819" i="5"/>
  <c r="BP820" i="5"/>
  <c r="BP821" i="5"/>
  <c r="BP822" i="5"/>
  <c r="BP823" i="5"/>
  <c r="BP824" i="5"/>
  <c r="BP825" i="5"/>
  <c r="BP826" i="5"/>
  <c r="BP827" i="5"/>
  <c r="BP828" i="5"/>
  <c r="BP829" i="5"/>
  <c r="BP830" i="5"/>
  <c r="BP831" i="5"/>
  <c r="BP832" i="5"/>
  <c r="BP833" i="5"/>
  <c r="BP834" i="5"/>
  <c r="BP835" i="5"/>
  <c r="BP836" i="5"/>
  <c r="BP837" i="5"/>
  <c r="BP838" i="5"/>
  <c r="BP839" i="5"/>
  <c r="BP840" i="5"/>
  <c r="BP841" i="5"/>
  <c r="BP842" i="5"/>
  <c r="BP843" i="5"/>
  <c r="BP844" i="5"/>
  <c r="BP845" i="5"/>
  <c r="BP846" i="5"/>
  <c r="BP847" i="5"/>
  <c r="BP848" i="5"/>
  <c r="BP849" i="5"/>
  <c r="BP850" i="5"/>
  <c r="BP851" i="5"/>
  <c r="BP852" i="5"/>
  <c r="BP853" i="5"/>
  <c r="BP854" i="5"/>
  <c r="BP855" i="5"/>
  <c r="BP856" i="5"/>
  <c r="BP857" i="5"/>
  <c r="BP858" i="5"/>
  <c r="BP859" i="5"/>
  <c r="BP860" i="5"/>
  <c r="BP861" i="5"/>
  <c r="BP862" i="5"/>
  <c r="BP863" i="5"/>
  <c r="BP864" i="5"/>
  <c r="BP865" i="5"/>
  <c r="BP866" i="5"/>
  <c r="BP867" i="5"/>
  <c r="BP868" i="5"/>
  <c r="BP869" i="5"/>
  <c r="BP870" i="5"/>
  <c r="BP871" i="5"/>
  <c r="BP872" i="5"/>
  <c r="BP873" i="5"/>
  <c r="BP874" i="5"/>
  <c r="BP875" i="5"/>
  <c r="BP876" i="5"/>
  <c r="BP877" i="5"/>
  <c r="BP878" i="5"/>
  <c r="BP879" i="5"/>
  <c r="BP880" i="5"/>
  <c r="BP881" i="5"/>
  <c r="BP882" i="5"/>
  <c r="BP883" i="5"/>
  <c r="BP884" i="5"/>
  <c r="BP885" i="5"/>
  <c r="BP886" i="5"/>
  <c r="BP887" i="5"/>
  <c r="BP888" i="5"/>
  <c r="BP889" i="5"/>
  <c r="BP890" i="5"/>
  <c r="BP891" i="5"/>
  <c r="BP892" i="5"/>
  <c r="BP893" i="5"/>
  <c r="BP894" i="5"/>
  <c r="BP895" i="5"/>
  <c r="BP896" i="5"/>
  <c r="BP897" i="5"/>
  <c r="BP898" i="5"/>
  <c r="BP899" i="5"/>
  <c r="BP900" i="5"/>
  <c r="BP901" i="5"/>
  <c r="BP902" i="5"/>
  <c r="BP903" i="5"/>
  <c r="BP904" i="5"/>
  <c r="BP905" i="5"/>
  <c r="BP906" i="5"/>
  <c r="BP907" i="5"/>
  <c r="BP908" i="5"/>
  <c r="BP909" i="5"/>
  <c r="BP910" i="5"/>
  <c r="BP911" i="5"/>
  <c r="BP912" i="5"/>
  <c r="BP913" i="5"/>
  <c r="BP914" i="5"/>
  <c r="BP915" i="5"/>
  <c r="BP916" i="5"/>
  <c r="BP917" i="5"/>
  <c r="BP918" i="5"/>
  <c r="BP919" i="5"/>
  <c r="BP920" i="5"/>
  <c r="BP921" i="5"/>
  <c r="BP922" i="5"/>
  <c r="BP923" i="5"/>
  <c r="BP924" i="5"/>
  <c r="BP925" i="5"/>
  <c r="BP926" i="5"/>
  <c r="BP927" i="5"/>
  <c r="BP928" i="5"/>
  <c r="BP929" i="5"/>
  <c r="BP930" i="5"/>
  <c r="BP931" i="5"/>
  <c r="BP932" i="5"/>
  <c r="BP933" i="5"/>
  <c r="BP934" i="5"/>
  <c r="BP935" i="5"/>
  <c r="BP936" i="5"/>
  <c r="BP937" i="5"/>
  <c r="BP938" i="5"/>
  <c r="BP939" i="5"/>
  <c r="BP940" i="5"/>
  <c r="BP941" i="5"/>
  <c r="BP942" i="5"/>
  <c r="BP943" i="5"/>
  <c r="BP944" i="5"/>
  <c r="BP945" i="5"/>
  <c r="BP946" i="5"/>
  <c r="BP947" i="5"/>
  <c r="BP948" i="5"/>
  <c r="BP949" i="5"/>
  <c r="BP950" i="5"/>
  <c r="BP951" i="5"/>
  <c r="BP952" i="5"/>
  <c r="BP953" i="5"/>
  <c r="BP954" i="5"/>
  <c r="BP955" i="5"/>
  <c r="BP956" i="5"/>
  <c r="BP957" i="5"/>
  <c r="BP958" i="5"/>
  <c r="BP959" i="5"/>
  <c r="BP960" i="5"/>
  <c r="BP961" i="5"/>
  <c r="BP962" i="5"/>
  <c r="BP963" i="5"/>
  <c r="BP964" i="5"/>
  <c r="BP965" i="5"/>
  <c r="BP966" i="5"/>
  <c r="BP967" i="5"/>
  <c r="BP968" i="5"/>
  <c r="BP969" i="5"/>
  <c r="BP970" i="5"/>
  <c r="BP971" i="5"/>
  <c r="BP972" i="5"/>
  <c r="BP973" i="5"/>
  <c r="BP974" i="5"/>
  <c r="BP975" i="5"/>
  <c r="BP976" i="5"/>
  <c r="BP977" i="5"/>
  <c r="BP978" i="5"/>
  <c r="BP979" i="5"/>
  <c r="BP980" i="5"/>
  <c r="BP981" i="5"/>
  <c r="BP982" i="5"/>
  <c r="BP983" i="5"/>
  <c r="BP984" i="5"/>
  <c r="BP985" i="5"/>
  <c r="BP986" i="5"/>
  <c r="BP987" i="5"/>
  <c r="BP988" i="5"/>
  <c r="BP989" i="5"/>
  <c r="BP990" i="5"/>
  <c r="BP991" i="5"/>
  <c r="BP992" i="5"/>
  <c r="BP993" i="5"/>
  <c r="BP994" i="5"/>
  <c r="BP995" i="5"/>
  <c r="BP996" i="5"/>
  <c r="BP997" i="5"/>
  <c r="BP998" i="5"/>
  <c r="BP999" i="5"/>
  <c r="BP1000" i="5"/>
  <c r="BP1001" i="5"/>
  <c r="BP1002" i="5"/>
  <c r="BP1003" i="5"/>
  <c r="BP1004" i="5"/>
  <c r="BP1005" i="5"/>
  <c r="BP1006" i="5"/>
  <c r="BP1007" i="5"/>
  <c r="BP1008" i="5"/>
  <c r="BP1009" i="5"/>
  <c r="BP1010" i="5"/>
  <c r="BP1011" i="5"/>
  <c r="BP1012" i="5"/>
  <c r="BP1013" i="5"/>
  <c r="BP1014" i="5"/>
  <c r="BP1015" i="5"/>
  <c r="BP1016" i="5"/>
  <c r="BP1017" i="5"/>
  <c r="BP1018" i="5"/>
  <c r="BP1019" i="5"/>
  <c r="BP1020" i="5"/>
  <c r="BP1021" i="5"/>
  <c r="BP1022" i="5"/>
  <c r="BP1023" i="5"/>
  <c r="BP1024" i="5"/>
  <c r="BP1025" i="5"/>
  <c r="BP1026" i="5"/>
  <c r="BP1027" i="5"/>
  <c r="BP1028" i="5"/>
  <c r="BP1029" i="5"/>
  <c r="BP1030" i="5"/>
  <c r="BP1031" i="5"/>
  <c r="BP1032" i="5"/>
  <c r="BP1033" i="5"/>
  <c r="BP1034" i="5"/>
  <c r="BP1035" i="5"/>
  <c r="BP1036" i="5"/>
  <c r="BP1037" i="5"/>
  <c r="BP1038" i="5"/>
  <c r="BP1039" i="5"/>
  <c r="BP1040" i="5"/>
  <c r="BP1041" i="5"/>
  <c r="BP1042" i="5"/>
  <c r="BP1043" i="5"/>
  <c r="BP1044" i="5"/>
  <c r="BP1045" i="5"/>
  <c r="BP1046" i="5"/>
  <c r="BP1047" i="5"/>
  <c r="BP1048" i="5"/>
  <c r="BP1049" i="5"/>
  <c r="BP1050" i="5"/>
  <c r="BP1051" i="5"/>
  <c r="BP1052" i="5"/>
  <c r="BP1053" i="5"/>
  <c r="BP1054" i="5"/>
  <c r="BP1055" i="5"/>
  <c r="BP1056" i="5"/>
  <c r="BP1057" i="5"/>
  <c r="BP1058" i="5"/>
  <c r="BP1059" i="5"/>
  <c r="BP1060" i="5"/>
  <c r="BP1061" i="5"/>
  <c r="BP1062" i="5"/>
  <c r="BP1063" i="5"/>
  <c r="BP1064" i="5"/>
  <c r="BP1065" i="5"/>
  <c r="BP1066" i="5"/>
  <c r="BP1067" i="5"/>
  <c r="BP1068" i="5"/>
  <c r="BP1069" i="5"/>
  <c r="BP1070" i="5"/>
  <c r="BP1071" i="5"/>
  <c r="BP1072" i="5"/>
  <c r="BP1073" i="5"/>
  <c r="BP1074" i="5"/>
  <c r="BP1075" i="5"/>
  <c r="BP1076" i="5"/>
  <c r="BP1077" i="5"/>
  <c r="BP1078" i="5"/>
  <c r="BP1079" i="5"/>
  <c r="BP1080" i="5"/>
  <c r="BP1081" i="5"/>
  <c r="BP1082" i="5"/>
  <c r="BP1083" i="5"/>
  <c r="BP1084" i="5"/>
  <c r="BP1085" i="5"/>
  <c r="BP1086" i="5"/>
  <c r="BP1087" i="5"/>
  <c r="BP1088" i="5"/>
  <c r="BP1089" i="5"/>
  <c r="BP1090" i="5"/>
  <c r="BP1091" i="5"/>
  <c r="BP1092" i="5"/>
  <c r="BP1093" i="5"/>
  <c r="BP1094" i="5"/>
  <c r="BP1095" i="5"/>
  <c r="BP1096" i="5"/>
  <c r="BP1097" i="5"/>
  <c r="BP1098" i="5"/>
  <c r="BP1099" i="5"/>
  <c r="BP1100" i="5"/>
  <c r="BP1101" i="5"/>
  <c r="BP1102" i="5"/>
  <c r="BP1103" i="5"/>
  <c r="BP1104" i="5"/>
  <c r="BP1105" i="5"/>
  <c r="BP1106" i="5"/>
  <c r="BP1107" i="5"/>
  <c r="BP1108" i="5"/>
  <c r="BP1109" i="5"/>
  <c r="BP1110" i="5"/>
  <c r="BP1111" i="5"/>
  <c r="BP1112" i="5"/>
  <c r="BP1113" i="5"/>
  <c r="BP1114" i="5"/>
  <c r="BP1115" i="5"/>
  <c r="BP1116" i="5"/>
  <c r="BP1117" i="5"/>
  <c r="BP1118" i="5"/>
  <c r="BP1119" i="5"/>
  <c r="BP1120" i="5"/>
  <c r="BP1121" i="5"/>
  <c r="BP1122" i="5"/>
  <c r="BP1123" i="5"/>
  <c r="BP1124" i="5"/>
  <c r="BP1125" i="5"/>
  <c r="BP1126" i="5"/>
  <c r="BP1127" i="5"/>
  <c r="BP1128" i="5"/>
  <c r="BP1129" i="5"/>
  <c r="BP1130" i="5"/>
  <c r="BP1131" i="5"/>
  <c r="BP1132" i="5"/>
  <c r="BP1133" i="5"/>
  <c r="BP1134" i="5"/>
  <c r="BP1135" i="5"/>
  <c r="BP1136" i="5"/>
  <c r="BP1137" i="5"/>
  <c r="BP1138" i="5"/>
  <c r="BP1139" i="5"/>
  <c r="BP1140" i="5"/>
  <c r="BP1141" i="5"/>
  <c r="BP1142" i="5"/>
  <c r="BP1143" i="5"/>
  <c r="BP1144" i="5"/>
  <c r="BP1145" i="5"/>
  <c r="BP1146" i="5"/>
  <c r="BP1147" i="5"/>
  <c r="BP1148" i="5"/>
  <c r="BP1149" i="5"/>
  <c r="BP1150" i="5"/>
  <c r="BP1151" i="5"/>
  <c r="BP1152" i="5"/>
  <c r="BP1153" i="5"/>
  <c r="BP1154" i="5"/>
  <c r="BP1155" i="5"/>
  <c r="BP1156" i="5"/>
  <c r="BP1157" i="5"/>
  <c r="BP1158" i="5"/>
  <c r="BP1159" i="5"/>
  <c r="BP1160" i="5"/>
  <c r="BP1161" i="5"/>
  <c r="BP1162" i="5"/>
  <c r="BP1163" i="5"/>
  <c r="BP1164" i="5"/>
  <c r="BP1165" i="5"/>
  <c r="BP1166" i="5"/>
  <c r="BP1167" i="5"/>
  <c r="BP1168" i="5"/>
  <c r="BP1169" i="5"/>
  <c r="BP1170" i="5"/>
  <c r="BP1171" i="5"/>
  <c r="BP1172" i="5"/>
  <c r="BP1173" i="5"/>
  <c r="BP1174" i="5"/>
  <c r="BP1175" i="5"/>
  <c r="BP1176" i="5"/>
  <c r="BP1177" i="5"/>
  <c r="BP1178" i="5"/>
  <c r="BP1179" i="5"/>
  <c r="BP1180" i="5"/>
  <c r="BP1181" i="5"/>
  <c r="BP1182" i="5"/>
  <c r="BP1183" i="5"/>
  <c r="BP1184" i="5"/>
  <c r="BP1185" i="5"/>
  <c r="BP1186" i="5"/>
  <c r="BP1187" i="5"/>
  <c r="BP1188" i="5"/>
  <c r="BP1189" i="5"/>
  <c r="BP1190" i="5"/>
  <c r="BP1191" i="5"/>
  <c r="BP1192" i="5"/>
  <c r="BP1193" i="5"/>
  <c r="BP1194" i="5"/>
  <c r="BP1195" i="5"/>
  <c r="BP1196" i="5"/>
  <c r="BP1197" i="5"/>
  <c r="BP1198" i="5"/>
  <c r="BP1199" i="5"/>
  <c r="BP1200" i="5"/>
  <c r="BP1201" i="5"/>
  <c r="BP1202" i="5"/>
  <c r="BP1203" i="5"/>
  <c r="BP1204" i="5"/>
  <c r="BP1205" i="5"/>
  <c r="BP1206" i="5"/>
  <c r="BP1207" i="5"/>
  <c r="BP1208" i="5"/>
  <c r="BP1209" i="5"/>
  <c r="BP1210" i="5"/>
  <c r="BP1211" i="5"/>
  <c r="BP1212" i="5"/>
  <c r="BP1213" i="5"/>
  <c r="BP1214" i="5"/>
  <c r="BP1215" i="5"/>
  <c r="BP1216" i="5"/>
  <c r="BP1217" i="5"/>
  <c r="BP1218" i="5"/>
  <c r="BP1219" i="5"/>
  <c r="BP1220" i="5"/>
  <c r="BP1221" i="5"/>
  <c r="BP1222" i="5"/>
  <c r="BP1223" i="5"/>
  <c r="BP1224" i="5"/>
  <c r="BP1225" i="5"/>
  <c r="BP1226" i="5"/>
  <c r="BP1227" i="5"/>
  <c r="BP1228" i="5"/>
  <c r="BP1229" i="5"/>
  <c r="BP1230" i="5"/>
  <c r="BP1231" i="5"/>
  <c r="BP1232" i="5"/>
  <c r="BP1233" i="5"/>
  <c r="BP1234" i="5"/>
  <c r="BP1235" i="5"/>
  <c r="BP1236" i="5"/>
  <c r="BP1237" i="5"/>
  <c r="BP1238" i="5"/>
  <c r="BP1239" i="5"/>
  <c r="BP1240" i="5"/>
  <c r="BP1241" i="5"/>
  <c r="BP1242" i="5"/>
  <c r="BP1243" i="5"/>
  <c r="BP1244" i="5"/>
  <c r="BP1245" i="5"/>
  <c r="BP1246" i="5"/>
  <c r="BP1247" i="5"/>
  <c r="BP1248" i="5"/>
  <c r="BP1249" i="5"/>
  <c r="BP1250" i="5"/>
  <c r="BP1251" i="5"/>
  <c r="BP1252" i="5"/>
  <c r="BP1253" i="5"/>
  <c r="BP1254" i="5"/>
  <c r="BP1255" i="5"/>
  <c r="BP1256" i="5"/>
  <c r="BP1257" i="5"/>
  <c r="BP1258" i="5"/>
  <c r="BP1259" i="5"/>
  <c r="BP1260" i="5"/>
  <c r="BP1261" i="5"/>
  <c r="BP1262" i="5"/>
  <c r="BP1263" i="5"/>
  <c r="BP1264" i="5"/>
  <c r="BP1265" i="5"/>
  <c r="BP1266" i="5"/>
  <c r="BP1267" i="5"/>
  <c r="BP1268" i="5"/>
  <c r="BP1269" i="5"/>
  <c r="BP1270" i="5"/>
  <c r="BP1271" i="5"/>
  <c r="BP1272" i="5"/>
  <c r="BP1273" i="5"/>
  <c r="BP1274" i="5"/>
  <c r="BP1275" i="5"/>
  <c r="BP1276" i="5"/>
  <c r="BP1277" i="5"/>
  <c r="BP1278" i="5"/>
  <c r="BP1279" i="5"/>
  <c r="BP1280" i="5"/>
  <c r="BP1281" i="5"/>
  <c r="BP1282" i="5"/>
  <c r="BP1283" i="5"/>
  <c r="BP1284" i="5"/>
  <c r="BP1285" i="5"/>
  <c r="BP1286" i="5"/>
  <c r="BP1287" i="5"/>
  <c r="BP1288" i="5"/>
  <c r="BP1289" i="5"/>
  <c r="BP1290" i="5"/>
  <c r="BP1291" i="5"/>
  <c r="BP1292" i="5"/>
  <c r="BP1293" i="5"/>
  <c r="BP1294" i="5"/>
  <c r="BP1295" i="5"/>
  <c r="BP1296" i="5"/>
  <c r="BP1297" i="5"/>
  <c r="BP1298" i="5"/>
  <c r="BP1299" i="5"/>
  <c r="BP1300" i="5"/>
  <c r="BP1301" i="5"/>
  <c r="BP1302" i="5"/>
  <c r="BP1303" i="5"/>
  <c r="BP1304" i="5"/>
  <c r="BP1305" i="5"/>
  <c r="BP1306" i="5"/>
  <c r="BP1307" i="5"/>
  <c r="BP1308" i="5"/>
  <c r="BP1309" i="5"/>
  <c r="BP1310" i="5"/>
  <c r="BP1311" i="5"/>
  <c r="BP1312" i="5"/>
  <c r="BP1313" i="5"/>
  <c r="BP1314" i="5"/>
  <c r="BP1315" i="5"/>
  <c r="BP1316" i="5"/>
  <c r="BP1317" i="5"/>
  <c r="BP1318" i="5"/>
  <c r="BP1319" i="5"/>
  <c r="BP1320" i="5"/>
  <c r="BP1321" i="5"/>
  <c r="BP1322" i="5"/>
  <c r="BP1323" i="5"/>
  <c r="BP1324" i="5"/>
  <c r="BP1325" i="5"/>
  <c r="BP1326" i="5"/>
  <c r="BP1327" i="5"/>
  <c r="BP1328" i="5"/>
  <c r="BP1329" i="5"/>
  <c r="BP1330" i="5"/>
  <c r="BP1331" i="5"/>
  <c r="BP1332" i="5"/>
  <c r="BP1333" i="5"/>
  <c r="BP1334" i="5"/>
  <c r="BP1335" i="5"/>
  <c r="BP1336" i="5"/>
  <c r="BP1337" i="5"/>
  <c r="BP1338" i="5"/>
  <c r="BP1339" i="5"/>
  <c r="BP1340" i="5"/>
  <c r="BP1341" i="5"/>
  <c r="BP1342" i="5"/>
  <c r="BP1343" i="5"/>
  <c r="BP1344" i="5"/>
  <c r="BP1345" i="5"/>
  <c r="BP1346" i="5"/>
  <c r="BP1347" i="5"/>
  <c r="BP1348" i="5"/>
  <c r="BP1349" i="5"/>
  <c r="BP1350" i="5"/>
  <c r="BP1351" i="5"/>
  <c r="BP1352" i="5"/>
  <c r="BP1353" i="5"/>
  <c r="BP1354" i="5"/>
  <c r="BP1355" i="5"/>
  <c r="BP1356" i="5"/>
  <c r="BP1357" i="5"/>
  <c r="BP1358" i="5"/>
  <c r="BP1359" i="5"/>
  <c r="BP1360" i="5"/>
  <c r="BP1361" i="5"/>
  <c r="BP1362" i="5"/>
  <c r="BP1363" i="5"/>
  <c r="BP1364" i="5"/>
  <c r="BP1365" i="5"/>
  <c r="BP1366" i="5"/>
  <c r="BP1367" i="5"/>
  <c r="BP1368" i="5"/>
  <c r="BP1369" i="5"/>
  <c r="BP1370" i="5"/>
  <c r="BP1371" i="5"/>
  <c r="BP1372" i="5"/>
  <c r="BP1373" i="5"/>
  <c r="BP1374" i="5"/>
  <c r="BP1375" i="5"/>
  <c r="BP1376" i="5"/>
  <c r="BP1377" i="5"/>
  <c r="BP1378" i="5"/>
  <c r="BP1379" i="5"/>
  <c r="BP1380" i="5"/>
  <c r="BP1381" i="5"/>
  <c r="BP1382" i="5"/>
  <c r="BP1383" i="5"/>
  <c r="BP1384" i="5"/>
  <c r="BP1385" i="5"/>
  <c r="BP1386" i="5"/>
  <c r="BP1387" i="5"/>
  <c r="BP1388" i="5"/>
  <c r="BP1389" i="5"/>
  <c r="BP1390" i="5"/>
  <c r="BP1391" i="5"/>
  <c r="BP1392" i="5"/>
  <c r="BP1393" i="5"/>
  <c r="BP1394" i="5"/>
  <c r="BP1395" i="5"/>
  <c r="BP1396" i="5"/>
  <c r="BP1397" i="5"/>
  <c r="BP1398" i="5"/>
  <c r="BP1399" i="5"/>
  <c r="BP1400" i="5"/>
  <c r="BP1401" i="5"/>
  <c r="BP1402" i="5"/>
  <c r="BP1403" i="5"/>
  <c r="BP1404" i="5"/>
  <c r="BP1405" i="5"/>
  <c r="BP1406" i="5"/>
  <c r="BP1407" i="5"/>
  <c r="BP1408" i="5"/>
  <c r="BP1409" i="5"/>
  <c r="BP1410" i="5"/>
  <c r="BP1411" i="5"/>
  <c r="BP1412" i="5"/>
  <c r="BP1413" i="5"/>
  <c r="BP1414" i="5"/>
  <c r="BP1415" i="5"/>
  <c r="BP1416" i="5"/>
  <c r="BP1417" i="5"/>
  <c r="BP1418" i="5"/>
  <c r="BP1419" i="5"/>
  <c r="BP1420" i="5"/>
  <c r="BP1421" i="5"/>
  <c r="BP1422" i="5"/>
  <c r="BP1423" i="5"/>
  <c r="BP1424" i="5"/>
  <c r="BP1425" i="5"/>
  <c r="BP1426" i="5"/>
  <c r="BP1427" i="5"/>
  <c r="BP1428" i="5"/>
  <c r="BP1429" i="5"/>
  <c r="BP1430" i="5"/>
  <c r="BP1431" i="5"/>
  <c r="BP1432" i="5"/>
  <c r="BP1433" i="5"/>
  <c r="BP1434" i="5"/>
  <c r="BP1435" i="5"/>
  <c r="BP1436" i="5"/>
  <c r="BP1437" i="5"/>
  <c r="BP1438" i="5"/>
  <c r="BP1439" i="5"/>
  <c r="BP1440" i="5"/>
  <c r="BP1441" i="5"/>
  <c r="BP1442" i="5"/>
  <c r="BP1443" i="5"/>
  <c r="BP1444" i="5"/>
  <c r="BP1445" i="5"/>
  <c r="BP1446" i="5"/>
  <c r="BP1447" i="5"/>
  <c r="BP1448" i="5"/>
  <c r="BP1449" i="5"/>
  <c r="BP1450" i="5"/>
  <c r="BP1451" i="5"/>
  <c r="BP1452" i="5"/>
  <c r="BP1453" i="5"/>
  <c r="BP1454" i="5"/>
  <c r="BP1455" i="5"/>
  <c r="BP1456" i="5"/>
  <c r="BP1457" i="5"/>
  <c r="BP1458" i="5"/>
  <c r="BP1459" i="5"/>
  <c r="BP1460" i="5"/>
  <c r="BP1461" i="5"/>
  <c r="BP1462" i="5"/>
  <c r="BP1463" i="5"/>
  <c r="BP1464" i="5"/>
  <c r="BP1465" i="5"/>
  <c r="BP1466" i="5"/>
  <c r="BP1467" i="5"/>
  <c r="BP1468" i="5"/>
  <c r="BP1469" i="5"/>
  <c r="BP1470" i="5"/>
  <c r="BP1471" i="5"/>
  <c r="BP1472" i="5"/>
  <c r="BP1473" i="5"/>
  <c r="BP1474" i="5"/>
  <c r="BP1475" i="5"/>
  <c r="BP1476" i="5"/>
  <c r="BP1477" i="5"/>
  <c r="BP1478" i="5"/>
  <c r="BP1479" i="5"/>
  <c r="BP1480" i="5"/>
  <c r="BP1481" i="5"/>
  <c r="BP1482" i="5"/>
  <c r="BP1483" i="5"/>
  <c r="BP1484" i="5"/>
  <c r="BP1485" i="5"/>
  <c r="BP1486" i="5"/>
  <c r="BP1487" i="5"/>
  <c r="BP1488" i="5"/>
  <c r="BP1489" i="5"/>
  <c r="BP1490" i="5"/>
  <c r="BP1491" i="5"/>
  <c r="BP1492" i="5"/>
  <c r="BP1493" i="5"/>
  <c r="BP1494" i="5"/>
  <c r="BP1495" i="5"/>
  <c r="BP1496" i="5"/>
  <c r="BP1497" i="5"/>
  <c r="BP1498" i="5"/>
  <c r="BP1499" i="5"/>
  <c r="BP1500" i="5"/>
  <c r="BP1501" i="5"/>
  <c r="BP1502" i="5"/>
  <c r="BP1503" i="5"/>
  <c r="BP1504" i="5"/>
  <c r="BP1505" i="5"/>
  <c r="BP1506" i="5"/>
  <c r="BP1507" i="5"/>
  <c r="BP1508" i="5"/>
  <c r="BP1509" i="5"/>
  <c r="BP1510" i="5"/>
  <c r="BP1511" i="5"/>
  <c r="BP1512" i="5"/>
  <c r="BP1513" i="5"/>
  <c r="BP1514" i="5"/>
  <c r="BP1515" i="5"/>
  <c r="BP1516" i="5"/>
  <c r="BP1517" i="5"/>
  <c r="BP1518" i="5"/>
  <c r="BP1519" i="5"/>
  <c r="BP1520" i="5"/>
  <c r="BP1521" i="5"/>
  <c r="BP1522" i="5"/>
  <c r="BP1523" i="5"/>
  <c r="BP1524" i="5"/>
  <c r="BP1525" i="5"/>
  <c r="BP1526" i="5"/>
  <c r="BP1527" i="5"/>
  <c r="BP1528" i="5"/>
  <c r="BP1529" i="5"/>
  <c r="BP1530" i="5"/>
  <c r="BP1531" i="5"/>
  <c r="BP1532" i="5"/>
  <c r="BP1533" i="5"/>
  <c r="BP1534" i="5"/>
  <c r="BP1535" i="5"/>
  <c r="BP1536" i="5"/>
  <c r="BP1537" i="5"/>
  <c r="BP1538" i="5"/>
  <c r="BP1539" i="5"/>
  <c r="BP1540" i="5"/>
  <c r="BP1541" i="5"/>
  <c r="BP1542" i="5"/>
  <c r="BP1543" i="5"/>
  <c r="BP1544" i="5"/>
  <c r="BP1545" i="5"/>
  <c r="BP1546" i="5"/>
  <c r="BP1547" i="5"/>
  <c r="BP1548" i="5"/>
  <c r="BP1549" i="5"/>
  <c r="BP1550" i="5"/>
  <c r="BP1551" i="5"/>
  <c r="BP1552" i="5"/>
  <c r="BP1553" i="5"/>
  <c r="BP1554" i="5"/>
  <c r="BP1555" i="5"/>
  <c r="BP1556" i="5"/>
  <c r="BP1557" i="5"/>
  <c r="BP1558" i="5"/>
  <c r="BP1559" i="5"/>
  <c r="BP1560" i="5"/>
  <c r="BP1561" i="5"/>
  <c r="BP1562" i="5"/>
  <c r="BP1563" i="5"/>
  <c r="BP1564" i="5"/>
  <c r="BP1565" i="5"/>
  <c r="BP1566" i="5"/>
  <c r="BP1567" i="5"/>
  <c r="BP1568" i="5"/>
  <c r="BP1569" i="5"/>
  <c r="BP1570" i="5"/>
  <c r="BP1571" i="5"/>
  <c r="BP1572" i="5"/>
  <c r="BP1573" i="5"/>
  <c r="BP1574" i="5"/>
  <c r="BP1575" i="5"/>
  <c r="BP1576" i="5"/>
  <c r="BP1577" i="5"/>
  <c r="BP1578" i="5"/>
  <c r="BP1579" i="5"/>
  <c r="BP1580" i="5"/>
  <c r="BP1581" i="5"/>
  <c r="BP1582" i="5"/>
  <c r="BP1583" i="5"/>
  <c r="BP1584" i="5"/>
  <c r="BP1585" i="5"/>
  <c r="BP1586" i="5"/>
  <c r="BP1587" i="5"/>
  <c r="BP1588" i="5"/>
  <c r="BP1589" i="5"/>
  <c r="BP1590" i="5"/>
  <c r="BP1591" i="5"/>
  <c r="BP1592" i="5"/>
  <c r="BP1593" i="5"/>
  <c r="BP1594" i="5"/>
  <c r="BP1595" i="5"/>
  <c r="BP1596" i="5"/>
  <c r="BP1597" i="5"/>
  <c r="BP1598" i="5"/>
  <c r="BP1599" i="5"/>
  <c r="BP1600" i="5"/>
  <c r="BP1601" i="5"/>
  <c r="BP1602" i="5"/>
  <c r="BP1603" i="5"/>
  <c r="BP1604" i="5"/>
  <c r="BP1605" i="5"/>
  <c r="BP1606" i="5"/>
  <c r="BP1607" i="5"/>
  <c r="BP1608" i="5"/>
  <c r="BP1609" i="5"/>
  <c r="BP1610" i="5"/>
  <c r="BP1611" i="5"/>
  <c r="BP1612" i="5"/>
  <c r="BP1613" i="5"/>
  <c r="BP1614" i="5"/>
  <c r="BP1615" i="5"/>
  <c r="BP1616" i="5"/>
  <c r="BP1617" i="5"/>
  <c r="BP1618" i="5"/>
  <c r="BP1619" i="5"/>
  <c r="BP1620" i="5"/>
  <c r="BP1621" i="5"/>
  <c r="BP1622" i="5"/>
  <c r="BP1623" i="5"/>
  <c r="BP1624" i="5"/>
  <c r="BP1625" i="5"/>
  <c r="BP1626" i="5"/>
  <c r="BP1627" i="5"/>
  <c r="BP1628" i="5"/>
  <c r="BP1629" i="5"/>
  <c r="BP1630" i="5"/>
  <c r="BP1631" i="5"/>
  <c r="BP1632" i="5"/>
  <c r="BP1633" i="5"/>
  <c r="BP1634" i="5"/>
  <c r="BP1635" i="5"/>
  <c r="BP1636" i="5"/>
  <c r="BP1637" i="5"/>
  <c r="BP1638" i="5"/>
  <c r="BP1639" i="5"/>
  <c r="BP1640" i="5"/>
  <c r="BP1641" i="5"/>
  <c r="BP1642" i="5"/>
  <c r="BP1643" i="5"/>
  <c r="BP1644" i="5"/>
  <c r="BP1645" i="5"/>
  <c r="BP1646" i="5"/>
  <c r="BP1647" i="5"/>
  <c r="BP1648" i="5"/>
  <c r="BP1649" i="5"/>
  <c r="BP1650" i="5"/>
  <c r="BP1651" i="5"/>
  <c r="BP1652" i="5"/>
  <c r="BP1653" i="5"/>
  <c r="BP1654" i="5"/>
  <c r="BP1655" i="5"/>
  <c r="BP1656" i="5"/>
  <c r="BP1657" i="5"/>
  <c r="BP1658" i="5"/>
  <c r="BP1659" i="5"/>
  <c r="BP1660" i="5"/>
  <c r="BP1661" i="5"/>
  <c r="BP1662" i="5"/>
  <c r="BP1663" i="5"/>
  <c r="BP1664" i="5"/>
  <c r="BP1665" i="5"/>
  <c r="BP1666" i="5"/>
  <c r="BP1667" i="5"/>
  <c r="BP1668" i="5"/>
  <c r="BP1669" i="5"/>
  <c r="BP1670" i="5"/>
  <c r="BP1671" i="5"/>
  <c r="BP1672" i="5"/>
  <c r="BP1673" i="5"/>
  <c r="BP1674" i="5"/>
  <c r="BP1675" i="5"/>
  <c r="BP1676" i="5"/>
  <c r="BP1677" i="5"/>
  <c r="BP1678" i="5"/>
  <c r="BP1679" i="5"/>
  <c r="BP1680" i="5"/>
  <c r="BP1681" i="5"/>
  <c r="BP1682" i="5"/>
  <c r="BP1683" i="5"/>
  <c r="BP1684" i="5"/>
  <c r="BP1685" i="5"/>
  <c r="BP1686" i="5"/>
  <c r="BP1687" i="5"/>
  <c r="BP1688" i="5"/>
  <c r="BP1689" i="5"/>
  <c r="BP1690" i="5"/>
  <c r="BP1691" i="5"/>
  <c r="BP1692" i="5"/>
  <c r="BP1693" i="5"/>
  <c r="BP1694" i="5"/>
  <c r="BP1695" i="5"/>
  <c r="BP1696" i="5"/>
  <c r="BP1697" i="5"/>
  <c r="BP1698" i="5"/>
  <c r="BP1699" i="5"/>
  <c r="BP1700" i="5"/>
  <c r="BP1701" i="5"/>
  <c r="BP1702" i="5"/>
  <c r="BP1703" i="5"/>
  <c r="BP1704" i="5"/>
  <c r="BP1705" i="5"/>
  <c r="BP1706" i="5"/>
  <c r="BP1707" i="5"/>
  <c r="BP1708" i="5"/>
  <c r="BP1709" i="5"/>
  <c r="BP1710" i="5"/>
  <c r="BP1711" i="5"/>
  <c r="BP1712" i="5"/>
  <c r="BP1713" i="5"/>
  <c r="BP1714" i="5"/>
  <c r="BP1715" i="5"/>
  <c r="BP1716" i="5"/>
  <c r="BP1717" i="5"/>
  <c r="BP1718" i="5"/>
  <c r="BP1719" i="5"/>
  <c r="BP1720" i="5"/>
  <c r="BP1721" i="5"/>
  <c r="BP1722" i="5"/>
  <c r="BP1723" i="5"/>
  <c r="BP1724" i="5"/>
  <c r="BP1725" i="5"/>
  <c r="BP1726" i="5"/>
  <c r="BP1727" i="5"/>
  <c r="BP1728" i="5"/>
  <c r="BP1729" i="5"/>
  <c r="BP1730" i="5"/>
  <c r="BP1731" i="5"/>
  <c r="BP1732" i="5"/>
  <c r="BP1733" i="5"/>
  <c r="BP1734" i="5"/>
  <c r="BP1735" i="5"/>
  <c r="BP1736" i="5"/>
  <c r="BP1737" i="5"/>
  <c r="BP1738" i="5"/>
  <c r="BP1739" i="5"/>
  <c r="BP1740" i="5"/>
  <c r="BP1741" i="5"/>
  <c r="BP1742" i="5"/>
  <c r="BP1743" i="5"/>
  <c r="BP1744" i="5"/>
  <c r="BP1745" i="5"/>
  <c r="BP1746" i="5"/>
  <c r="BP1747" i="5"/>
  <c r="BP1748" i="5"/>
  <c r="BP1749" i="5"/>
  <c r="BP1750" i="5"/>
  <c r="BP1751" i="5"/>
  <c r="BP1752" i="5"/>
  <c r="BP1753" i="5"/>
  <c r="BP1754" i="5"/>
  <c r="BP1755" i="5"/>
  <c r="BP1756" i="5"/>
  <c r="BP1757" i="5"/>
  <c r="BP1758" i="5"/>
  <c r="BP1759" i="5"/>
  <c r="BP1760" i="5"/>
  <c r="BP1761" i="5"/>
  <c r="BP1762" i="5"/>
  <c r="BP1763" i="5"/>
  <c r="BP1764" i="5"/>
  <c r="BP1765" i="5"/>
  <c r="BP1766" i="5"/>
  <c r="BP1767" i="5"/>
  <c r="BP1768" i="5"/>
  <c r="BP1769" i="5"/>
  <c r="BP1770" i="5"/>
  <c r="BP1771" i="5"/>
  <c r="BP1772" i="5"/>
  <c r="BP1773" i="5"/>
  <c r="BP1774" i="5"/>
  <c r="BP1775" i="5"/>
  <c r="BP1776" i="5"/>
  <c r="BP1777" i="5"/>
  <c r="BP1778" i="5"/>
  <c r="BP1779" i="5"/>
  <c r="BP1780" i="5"/>
  <c r="BP1781" i="5"/>
  <c r="BP1782" i="5"/>
  <c r="BP1783" i="5"/>
  <c r="BP1784" i="5"/>
  <c r="BP1785" i="5"/>
  <c r="BP1786" i="5"/>
  <c r="BP1787" i="5"/>
  <c r="BP1788" i="5"/>
  <c r="BP1789" i="5"/>
  <c r="BP1790" i="5"/>
  <c r="BP1791" i="5"/>
  <c r="BP1792" i="5"/>
  <c r="BP1793" i="5"/>
  <c r="BP1794" i="5"/>
  <c r="BP1795" i="5"/>
  <c r="BP1796" i="5"/>
  <c r="BP1797" i="5"/>
  <c r="BP1798" i="5"/>
  <c r="BP1799" i="5"/>
  <c r="BP1800" i="5"/>
  <c r="BP1801" i="5"/>
  <c r="BP1802" i="5"/>
  <c r="BP1803" i="5"/>
  <c r="BP1804" i="5"/>
  <c r="BP1805" i="5"/>
  <c r="BP1806" i="5"/>
  <c r="BP1807" i="5"/>
  <c r="BP1808" i="5"/>
  <c r="BP1809" i="5"/>
  <c r="BP1810" i="5"/>
  <c r="BP1811" i="5"/>
  <c r="BP1812" i="5"/>
  <c r="BP1813" i="5"/>
  <c r="BP1814" i="5"/>
  <c r="BP1815" i="5"/>
  <c r="BP1816" i="5"/>
  <c r="BP1817" i="5"/>
  <c r="BP1818" i="5"/>
  <c r="BP1819" i="5"/>
  <c r="BP1820" i="5"/>
  <c r="BP1821" i="5"/>
  <c r="BP1822" i="5"/>
  <c r="BP1823" i="5"/>
  <c r="BP1824" i="5"/>
  <c r="BP1825" i="5"/>
  <c r="BP1826" i="5"/>
  <c r="BP1827" i="5"/>
  <c r="BP1828" i="5"/>
  <c r="BP1829" i="5"/>
  <c r="BP1830" i="5"/>
  <c r="BP1831" i="5"/>
  <c r="BP1832" i="5"/>
  <c r="BP1833" i="5"/>
  <c r="BP1834" i="5"/>
  <c r="BP1835" i="5"/>
  <c r="BP1836" i="5"/>
  <c r="BP1837" i="5"/>
  <c r="BP1838" i="5"/>
  <c r="BP1839" i="5"/>
  <c r="BP1840" i="5"/>
  <c r="BP1841" i="5"/>
  <c r="BP1842" i="5"/>
  <c r="BP1843" i="5"/>
  <c r="BP1844" i="5"/>
  <c r="BP1845" i="5"/>
  <c r="BP1846" i="5"/>
  <c r="BP1847" i="5"/>
  <c r="BP1848" i="5"/>
  <c r="BP1849" i="5"/>
  <c r="BP1850" i="5"/>
  <c r="BP1851" i="5"/>
  <c r="BP1852" i="5"/>
  <c r="BP1853" i="5"/>
  <c r="BP1854" i="5"/>
  <c r="BP1855" i="5"/>
  <c r="BP1856" i="5"/>
  <c r="BP1857" i="5"/>
  <c r="BP1858" i="5"/>
  <c r="BP1859" i="5"/>
  <c r="BP1860" i="5"/>
  <c r="BP1861" i="5"/>
  <c r="BP1862" i="5"/>
  <c r="BP1863" i="5"/>
  <c r="BP1864" i="5"/>
  <c r="BP1865" i="5"/>
  <c r="BP1866" i="5"/>
  <c r="BP1867" i="5"/>
  <c r="BP1868" i="5"/>
  <c r="BP1869" i="5"/>
  <c r="BP1870" i="5"/>
  <c r="BP1871" i="5"/>
  <c r="BP1872" i="5"/>
  <c r="BP1873" i="5"/>
  <c r="BP1874" i="5"/>
  <c r="BP1875" i="5"/>
  <c r="BP1876" i="5"/>
  <c r="BP1877" i="5"/>
  <c r="BP1878" i="5"/>
  <c r="BP1879" i="5"/>
  <c r="BP1880" i="5"/>
  <c r="BP1881" i="5"/>
  <c r="BP1882" i="5"/>
  <c r="BP1883" i="5"/>
  <c r="BP1884" i="5"/>
  <c r="BP1885" i="5"/>
  <c r="BP1886" i="5"/>
  <c r="BP1887" i="5"/>
  <c r="BP1888" i="5"/>
  <c r="BP1889" i="5"/>
  <c r="BP1890" i="5"/>
  <c r="BP1891" i="5"/>
  <c r="BP1892" i="5"/>
  <c r="BP1893" i="5"/>
  <c r="BP1894" i="5"/>
  <c r="BP1895" i="5"/>
  <c r="BP1896" i="5"/>
  <c r="BP1897" i="5"/>
  <c r="BP1898" i="5"/>
  <c r="BP1899" i="5"/>
  <c r="BP1900" i="5"/>
  <c r="BP1901" i="5"/>
  <c r="BP1902" i="5"/>
  <c r="BP1903" i="5"/>
  <c r="BP1904" i="5"/>
  <c r="BP1905" i="5"/>
  <c r="BP1906" i="5"/>
  <c r="BP1907" i="5"/>
  <c r="BP1908" i="5"/>
  <c r="BP1909" i="5"/>
  <c r="BP1910" i="5"/>
  <c r="BP1911" i="5"/>
  <c r="BP1912" i="5"/>
  <c r="BP1913" i="5"/>
  <c r="BP1914" i="5"/>
  <c r="BP1915" i="5"/>
  <c r="BP1916" i="5"/>
  <c r="BP1917" i="5"/>
  <c r="BP1918" i="5"/>
  <c r="BP1919" i="5"/>
  <c r="BP1920" i="5"/>
  <c r="BP1921" i="5"/>
  <c r="BP1922" i="5"/>
  <c r="BP1923" i="5"/>
  <c r="BP1924" i="5"/>
  <c r="BP1925" i="5"/>
  <c r="BP1926" i="5"/>
  <c r="BP1927" i="5"/>
  <c r="BP1928" i="5"/>
  <c r="BP1929" i="5"/>
  <c r="BP1930" i="5"/>
  <c r="BP1931" i="5"/>
  <c r="BP1932" i="5"/>
  <c r="BP1933" i="5"/>
  <c r="BP1934" i="5"/>
  <c r="BP1935" i="5"/>
  <c r="BP1936" i="5"/>
  <c r="BP1937" i="5"/>
  <c r="BP1938" i="5"/>
  <c r="BP1939" i="5"/>
  <c r="BP1940" i="5"/>
  <c r="BP1941" i="5"/>
  <c r="BP1942" i="5"/>
  <c r="BP1943" i="5"/>
  <c r="BP1944" i="5"/>
  <c r="BP1945" i="5"/>
  <c r="BP1946" i="5"/>
  <c r="BP1947" i="5"/>
  <c r="BP1948" i="5"/>
  <c r="BP1949" i="5"/>
  <c r="BP1950" i="5"/>
  <c r="BP1951" i="5"/>
  <c r="BP1952" i="5"/>
  <c r="BP1953" i="5"/>
  <c r="BP1954" i="5"/>
  <c r="BP1955" i="5"/>
  <c r="BP1956" i="5"/>
  <c r="BP1957" i="5"/>
  <c r="BP1958" i="5"/>
  <c r="BP1959" i="5"/>
  <c r="BP1960" i="5"/>
  <c r="BP1961" i="5"/>
  <c r="BP1962" i="5"/>
  <c r="BP1963" i="5"/>
  <c r="BP1964" i="5"/>
  <c r="BP1965" i="5"/>
  <c r="BP1966" i="5"/>
  <c r="BP1967" i="5"/>
  <c r="BP1968" i="5"/>
  <c r="BP1969" i="5"/>
  <c r="BP1970" i="5"/>
  <c r="BP1971" i="5"/>
  <c r="BP1972" i="5"/>
  <c r="BP1973" i="5"/>
  <c r="BP1974" i="5"/>
  <c r="BP1975" i="5"/>
  <c r="BP1976" i="5"/>
  <c r="BP1977" i="5"/>
  <c r="BP1978" i="5"/>
  <c r="BP1979" i="5"/>
  <c r="BP1980" i="5"/>
  <c r="BP1981" i="5"/>
  <c r="BP1982" i="5"/>
  <c r="BP1983" i="5"/>
  <c r="BP1984" i="5"/>
  <c r="BP1985" i="5"/>
  <c r="BP1986" i="5"/>
  <c r="BP1987" i="5"/>
  <c r="BP1988" i="5"/>
  <c r="BP1989" i="5"/>
  <c r="BP1990" i="5"/>
  <c r="BP1991" i="5"/>
  <c r="BP1992" i="5"/>
  <c r="BP1993" i="5"/>
  <c r="BP1994" i="5"/>
  <c r="BP1995" i="5"/>
  <c r="BP1996" i="5"/>
  <c r="BP1997" i="5"/>
  <c r="BP1998" i="5"/>
  <c r="BP1999" i="5"/>
  <c r="BP2000" i="5"/>
  <c r="BP2001" i="5"/>
  <c r="BP2002" i="5"/>
  <c r="BP2003" i="5"/>
  <c r="BP2004" i="5"/>
  <c r="BP2005" i="5"/>
  <c r="BP2006" i="5"/>
  <c r="BP2007" i="5"/>
  <c r="BP2008" i="5"/>
  <c r="BP2009" i="5"/>
  <c r="BP2010" i="5"/>
  <c r="BP2011" i="5"/>
  <c r="BP2012" i="5"/>
  <c r="BP2013" i="5"/>
  <c r="BP2014" i="5"/>
  <c r="BP2015" i="5"/>
  <c r="BP2016" i="5"/>
  <c r="BP2017" i="5"/>
  <c r="BP2018" i="5"/>
  <c r="BP2019" i="5"/>
  <c r="BP2020" i="5"/>
  <c r="BP2021" i="5"/>
  <c r="BP2022" i="5"/>
  <c r="BP2023" i="5"/>
  <c r="BP2024" i="5"/>
  <c r="BP2025" i="5"/>
  <c r="BP2026" i="5"/>
  <c r="BP2027" i="5"/>
  <c r="BP2028" i="5"/>
  <c r="BP2029" i="5"/>
  <c r="BP2030" i="5"/>
  <c r="BP2031" i="5"/>
  <c r="BP2032" i="5"/>
  <c r="BP2033" i="5"/>
  <c r="BP2034" i="5"/>
  <c r="BP2035" i="5"/>
  <c r="BP2036" i="5"/>
  <c r="BP2037" i="5"/>
  <c r="BP2038" i="5"/>
  <c r="BP2039" i="5"/>
  <c r="BP2040" i="5"/>
  <c r="BP2041" i="5"/>
  <c r="BP2042" i="5"/>
  <c r="BP2043" i="5"/>
  <c r="BP2044" i="5"/>
  <c r="BP2045" i="5"/>
  <c r="BP2046" i="5"/>
  <c r="BP2047" i="5"/>
  <c r="BP2048" i="5"/>
  <c r="BP2049" i="5"/>
  <c r="BP2050" i="5"/>
  <c r="BP2051" i="5"/>
  <c r="BP2052" i="5"/>
  <c r="BP2053" i="5"/>
  <c r="BP2054" i="5"/>
  <c r="BP2055" i="5"/>
  <c r="BP2056" i="5"/>
  <c r="BP2057" i="5"/>
  <c r="BP2058" i="5"/>
  <c r="BP2059" i="5"/>
  <c r="BP2060" i="5"/>
  <c r="BP2061" i="5"/>
  <c r="BP2062" i="5"/>
  <c r="BP2063" i="5"/>
  <c r="BP2064" i="5"/>
  <c r="BP2065" i="5"/>
  <c r="BP2066" i="5"/>
  <c r="BP2067" i="5"/>
  <c r="BP2068" i="5"/>
  <c r="BP2069" i="5"/>
  <c r="BP2070" i="5"/>
  <c r="BP2071" i="5"/>
  <c r="BP2072" i="5"/>
  <c r="BP2073" i="5"/>
  <c r="BP2074" i="5"/>
  <c r="BP2075" i="5"/>
  <c r="BP2076" i="5"/>
  <c r="BP2077" i="5"/>
  <c r="BP2078" i="5"/>
  <c r="BP2079" i="5"/>
  <c r="BP2080" i="5"/>
  <c r="BP2081" i="5"/>
  <c r="BP2082" i="5"/>
  <c r="BP2083" i="5"/>
  <c r="BP2084" i="5"/>
  <c r="BP2085" i="5"/>
  <c r="BP2086" i="5"/>
  <c r="BP2087" i="5"/>
  <c r="BP2088" i="5"/>
  <c r="BP2089" i="5"/>
  <c r="BP2090" i="5"/>
  <c r="BP2091" i="5"/>
  <c r="BP2092" i="5"/>
  <c r="BP2093" i="5"/>
  <c r="BP2094" i="5"/>
  <c r="BP2095" i="5"/>
  <c r="BP2096" i="5"/>
  <c r="BP2097" i="5"/>
  <c r="BP2098" i="5"/>
  <c r="BP2099" i="5"/>
  <c r="BP2100" i="5"/>
  <c r="BP2101" i="5"/>
  <c r="BP2102" i="5"/>
  <c r="BP2103" i="5"/>
  <c r="BP2104" i="5"/>
  <c r="BP2105" i="5"/>
  <c r="BP2106" i="5"/>
  <c r="BP2107" i="5"/>
  <c r="BP2108" i="5"/>
  <c r="BP2109" i="5"/>
  <c r="BP2110" i="5"/>
  <c r="BP2111" i="5"/>
  <c r="BP2112" i="5"/>
  <c r="BP2113" i="5"/>
  <c r="BP2114" i="5"/>
  <c r="BP2115" i="5"/>
  <c r="BP2116" i="5"/>
  <c r="BP2117" i="5"/>
  <c r="BP2118" i="5"/>
  <c r="BP2119" i="5"/>
  <c r="BP2120" i="5"/>
  <c r="BP2121" i="5"/>
  <c r="BP2122" i="5"/>
  <c r="BP2123" i="5"/>
  <c r="BP2124" i="5"/>
  <c r="BP2125" i="5"/>
  <c r="BP2126" i="5"/>
  <c r="BP2127" i="5"/>
  <c r="BP2128" i="5"/>
  <c r="BP2129" i="5"/>
  <c r="BP2130" i="5"/>
  <c r="BP2131" i="5"/>
  <c r="BP2132" i="5"/>
  <c r="BP2133" i="5"/>
  <c r="BP2134" i="5"/>
  <c r="BP2135" i="5"/>
  <c r="BP2136" i="5"/>
  <c r="BP2137" i="5"/>
  <c r="BP2138" i="5"/>
  <c r="BP2139" i="5"/>
  <c r="BP2140" i="5"/>
  <c r="BP2141" i="5"/>
  <c r="BP2142" i="5"/>
  <c r="BP2143" i="5"/>
  <c r="BP2144" i="5"/>
  <c r="BP2145" i="5"/>
  <c r="BP2146" i="5"/>
  <c r="BP2147" i="5"/>
  <c r="BP2148" i="5"/>
  <c r="BP2149" i="5"/>
  <c r="BP2150" i="5"/>
  <c r="BP2151" i="5"/>
  <c r="BP2152" i="5"/>
  <c r="BP2153" i="5"/>
  <c r="BP2154" i="5"/>
  <c r="BP2155" i="5"/>
  <c r="BP2156" i="5"/>
  <c r="BP2157" i="5"/>
  <c r="BP2158" i="5"/>
  <c r="BP2159" i="5"/>
  <c r="BP2160" i="5"/>
  <c r="BP2161" i="5"/>
  <c r="BP2162" i="5"/>
  <c r="BP2163" i="5"/>
  <c r="BP2164" i="5"/>
  <c r="BP2165" i="5"/>
  <c r="BP2166" i="5"/>
  <c r="BP2167" i="5"/>
  <c r="BP2168" i="5"/>
  <c r="BP2169" i="5"/>
  <c r="BP2170" i="5"/>
  <c r="BP2171" i="5"/>
  <c r="BP2172" i="5"/>
  <c r="BP2173" i="5"/>
  <c r="BP2174" i="5"/>
  <c r="BP2175" i="5"/>
  <c r="BP2176" i="5"/>
  <c r="BP2177" i="5"/>
  <c r="BP2178" i="5"/>
  <c r="BP2179" i="5"/>
  <c r="BP2180" i="5"/>
  <c r="BP2181" i="5"/>
  <c r="BP2182" i="5"/>
  <c r="BP2183" i="5"/>
  <c r="BP2184" i="5"/>
  <c r="BP2185" i="5"/>
  <c r="BP2186" i="5"/>
  <c r="BP2187" i="5"/>
  <c r="BP2188" i="5"/>
  <c r="BP2189" i="5"/>
  <c r="BP2190" i="5"/>
  <c r="BP2191" i="5"/>
  <c r="BP2192" i="5"/>
  <c r="BP2193" i="5"/>
  <c r="BP2194" i="5"/>
  <c r="BP2195" i="5"/>
  <c r="BP2196" i="5"/>
  <c r="BP2197" i="5"/>
  <c r="BP2198" i="5"/>
  <c r="BP2199" i="5"/>
  <c r="BP2200" i="5"/>
  <c r="BP2201" i="5"/>
  <c r="BP2202" i="5"/>
  <c r="BP2203" i="5"/>
  <c r="BP2204" i="5"/>
  <c r="BP2205" i="5"/>
  <c r="BP2206" i="5"/>
  <c r="BP2207" i="5"/>
  <c r="BP2208" i="5"/>
  <c r="BP2209" i="5"/>
  <c r="BP2210" i="5"/>
  <c r="BP2211" i="5"/>
  <c r="BP2212" i="5"/>
  <c r="BP2213" i="5"/>
  <c r="BP2214" i="5"/>
  <c r="BP2215" i="5"/>
  <c r="BP2216" i="5"/>
  <c r="BP2217" i="5"/>
  <c r="BP2218" i="5"/>
  <c r="BP2219" i="5"/>
  <c r="BP2220" i="5"/>
  <c r="BP2221" i="5"/>
  <c r="BP2222" i="5"/>
  <c r="BP2223" i="5"/>
  <c r="BP2224" i="5"/>
  <c r="BP2225" i="5"/>
  <c r="BP2226" i="5"/>
  <c r="BP2227" i="5"/>
  <c r="BP2228" i="5"/>
  <c r="BP2229" i="5"/>
  <c r="BP2230" i="5"/>
  <c r="BP2231" i="5"/>
  <c r="BP2232" i="5"/>
  <c r="BP2233" i="5"/>
  <c r="BP2234" i="5"/>
  <c r="BP2235" i="5"/>
  <c r="BP2236" i="5"/>
  <c r="BP2237" i="5"/>
  <c r="BP2238" i="5"/>
  <c r="BP2239" i="5"/>
  <c r="BP2240" i="5"/>
  <c r="BP2241" i="5"/>
  <c r="BP2242" i="5"/>
  <c r="BP2243" i="5"/>
  <c r="BP2244" i="5"/>
  <c r="BP2245" i="5"/>
  <c r="BP2246" i="5"/>
  <c r="BP2247" i="5"/>
  <c r="BP2248" i="5"/>
  <c r="BP2249" i="5"/>
  <c r="BP2250" i="5"/>
  <c r="BP2251" i="5"/>
  <c r="BP2252" i="5"/>
  <c r="BP2253" i="5"/>
  <c r="BP2254" i="5"/>
  <c r="BP2255" i="5"/>
  <c r="BP2256" i="5"/>
  <c r="BP2257" i="5"/>
  <c r="BP2258" i="5"/>
  <c r="BP2259" i="5"/>
  <c r="BP2260" i="5"/>
  <c r="BP2261" i="5"/>
  <c r="BP2262" i="5"/>
  <c r="BP2263" i="5"/>
  <c r="BP2264" i="5"/>
  <c r="BP2265" i="5"/>
  <c r="BP2266" i="5"/>
  <c r="BP2267" i="5"/>
  <c r="BP2268" i="5"/>
  <c r="BP2269" i="5"/>
  <c r="BP2270" i="5"/>
  <c r="BP2271" i="5"/>
  <c r="BP2272" i="5"/>
  <c r="BP2273" i="5"/>
  <c r="BP2274" i="5"/>
  <c r="BP2275" i="5"/>
  <c r="BP2276" i="5"/>
  <c r="BP2277" i="5"/>
  <c r="BP2278" i="5"/>
  <c r="BP2279" i="5"/>
  <c r="BP2280" i="5"/>
  <c r="BP2281" i="5"/>
  <c r="BP2282" i="5"/>
  <c r="BP2283" i="5"/>
  <c r="BP2284" i="5"/>
  <c r="BP2285" i="5"/>
  <c r="BP2286" i="5"/>
  <c r="BP2287" i="5"/>
  <c r="BP2288" i="5"/>
  <c r="BP2289" i="5"/>
  <c r="BP2290" i="5"/>
  <c r="BP2291" i="5"/>
  <c r="BP2292" i="5"/>
  <c r="BP2293" i="5"/>
  <c r="BP2294" i="5"/>
  <c r="BP2295" i="5"/>
  <c r="BP2296" i="5"/>
  <c r="BP2297" i="5"/>
  <c r="BP2298" i="5"/>
  <c r="BP2299" i="5"/>
  <c r="BP2300" i="5"/>
  <c r="BP2301" i="5"/>
  <c r="BP2302" i="5"/>
  <c r="BP2303" i="5"/>
  <c r="BP2304" i="5"/>
  <c r="BP2305" i="5"/>
  <c r="BP2306" i="5"/>
  <c r="BP2307" i="5"/>
  <c r="BP2308" i="5"/>
  <c r="BP2309" i="5"/>
  <c r="BP2310" i="5"/>
  <c r="BP2311" i="5"/>
  <c r="BP2312" i="5"/>
  <c r="BP2313" i="5"/>
  <c r="BP2314" i="5"/>
  <c r="BP2315" i="5"/>
  <c r="BP2316" i="5"/>
  <c r="BP2317" i="5"/>
  <c r="BP2318" i="5"/>
  <c r="BP2319" i="5"/>
  <c r="BP2320" i="5"/>
  <c r="BP2321" i="5"/>
  <c r="BP2322" i="5"/>
  <c r="BP2323" i="5"/>
  <c r="BP2324" i="5"/>
  <c r="BP2325" i="5"/>
  <c r="BP2326" i="5"/>
  <c r="BP2327" i="5"/>
  <c r="BP2328" i="5"/>
  <c r="BP2329" i="5"/>
  <c r="BP2330" i="5"/>
  <c r="BP2331" i="5"/>
  <c r="BP2332" i="5"/>
  <c r="BP2333" i="5"/>
  <c r="BP2334" i="5"/>
  <c r="BP2335" i="5"/>
  <c r="BP2336" i="5"/>
  <c r="BP2337" i="5"/>
  <c r="BP2338" i="5"/>
  <c r="BP2339" i="5"/>
  <c r="BP2340" i="5"/>
  <c r="BP2341" i="5"/>
  <c r="BP2342" i="5"/>
  <c r="BP2343" i="5"/>
  <c r="BP2344" i="5"/>
  <c r="BP2345" i="5"/>
  <c r="BP2346" i="5"/>
  <c r="BP2347" i="5"/>
  <c r="BP2348" i="5"/>
  <c r="BP2349" i="5"/>
  <c r="BP2350" i="5"/>
  <c r="BP2351" i="5"/>
  <c r="BP2352" i="5"/>
  <c r="BP2353" i="5"/>
  <c r="BP2354" i="5"/>
  <c r="BP2355" i="5"/>
  <c r="BP2356" i="5"/>
  <c r="BP2357" i="5"/>
  <c r="BP2358" i="5"/>
  <c r="BP2359" i="5"/>
  <c r="BP2360" i="5"/>
  <c r="BP2361" i="5"/>
  <c r="BP2362" i="5"/>
  <c r="BP2363" i="5"/>
  <c r="BP2364" i="5"/>
  <c r="BP2365" i="5"/>
  <c r="BP2366" i="5"/>
  <c r="BP2367" i="5"/>
  <c r="BP2368" i="5"/>
  <c r="BP2369" i="5"/>
  <c r="BP2370" i="5"/>
  <c r="BP2371" i="5"/>
  <c r="BP2372" i="5"/>
  <c r="BP2373" i="5"/>
  <c r="BP2374" i="5"/>
  <c r="BP2375" i="5"/>
  <c r="BP2376" i="5"/>
  <c r="BP2377" i="5"/>
  <c r="BP2378" i="5"/>
  <c r="BP2379" i="5"/>
  <c r="BP2380" i="5"/>
  <c r="BP2381" i="5"/>
  <c r="BP2382" i="5"/>
  <c r="BP2383" i="5"/>
  <c r="BP2384" i="5"/>
  <c r="BP2385" i="5"/>
  <c r="BP2386" i="5"/>
  <c r="BP2387" i="5"/>
  <c r="BP2388" i="5"/>
  <c r="BP2389" i="5"/>
  <c r="BP2390" i="5"/>
  <c r="BP2391" i="5"/>
  <c r="BP2392" i="5"/>
  <c r="BP2393" i="5"/>
  <c r="BP2394" i="5"/>
  <c r="BP2395" i="5"/>
  <c r="BP2396" i="5"/>
  <c r="BP2397" i="5"/>
  <c r="BP2398" i="5"/>
  <c r="BP2399" i="5"/>
  <c r="BP2400" i="5"/>
  <c r="BP2401" i="5"/>
  <c r="BP2402" i="5"/>
  <c r="BP2403" i="5"/>
  <c r="BP2404" i="5"/>
  <c r="BP2405" i="5"/>
  <c r="BP2406" i="5"/>
  <c r="BP2407" i="5"/>
  <c r="BP2408" i="5"/>
  <c r="BP2409" i="5"/>
  <c r="BP2410" i="5"/>
  <c r="BP2411" i="5"/>
  <c r="BP2412" i="5"/>
  <c r="BP2413" i="5"/>
  <c r="BP2414" i="5"/>
  <c r="BP2415" i="5"/>
  <c r="BP2416" i="5"/>
  <c r="BP2417" i="5"/>
  <c r="BP2418" i="5"/>
  <c r="BP2419" i="5"/>
  <c r="BP2420" i="5"/>
  <c r="BP2421" i="5"/>
  <c r="BP2422" i="5"/>
  <c r="BP2423" i="5"/>
  <c r="BP2424" i="5"/>
  <c r="BP2425" i="5"/>
  <c r="BP2426" i="5"/>
  <c r="BP2427" i="5"/>
  <c r="BP2428" i="5"/>
  <c r="BP2429" i="5"/>
  <c r="BP2430" i="5"/>
  <c r="BP2431" i="5"/>
  <c r="BP2432" i="5"/>
  <c r="BP2433" i="5"/>
  <c r="BP2434" i="5"/>
  <c r="BP2435" i="5"/>
  <c r="BP2436" i="5"/>
  <c r="BP2437" i="5"/>
  <c r="BP2438" i="5"/>
  <c r="BP2439" i="5"/>
  <c r="BP2440" i="5"/>
  <c r="BP2441" i="5"/>
  <c r="BP2442" i="5"/>
  <c r="BP2443" i="5"/>
  <c r="BP2444" i="5"/>
  <c r="BP2445" i="5"/>
  <c r="BP2446" i="5"/>
  <c r="BP2447" i="5"/>
  <c r="BP2448" i="5"/>
  <c r="BP2449" i="5"/>
  <c r="BP2450" i="5"/>
  <c r="BP2451" i="5"/>
  <c r="BP2452" i="5"/>
  <c r="BP2453" i="5"/>
  <c r="BP2454" i="5"/>
  <c r="BP2455" i="5"/>
  <c r="BP2456" i="5"/>
  <c r="BP2457" i="5"/>
  <c r="BP2458" i="5"/>
  <c r="BP2459" i="5"/>
  <c r="BP2460" i="5"/>
  <c r="BP2461" i="5"/>
  <c r="BP2462" i="5"/>
  <c r="BP2463" i="5"/>
  <c r="BP2464" i="5"/>
  <c r="BP2465" i="5"/>
  <c r="BP2466" i="5"/>
  <c r="BP2467" i="5"/>
  <c r="BP2468" i="5"/>
  <c r="BP2469" i="5"/>
  <c r="BP2470" i="5"/>
  <c r="BP2471" i="5"/>
  <c r="BP2472" i="5"/>
  <c r="BP2473" i="5"/>
  <c r="BP2474" i="5"/>
  <c r="BP2475" i="5"/>
  <c r="BP2476" i="5"/>
  <c r="BP2477" i="5"/>
  <c r="BP2478" i="5"/>
  <c r="BP2479" i="5"/>
  <c r="BP2480" i="5"/>
  <c r="BP2481" i="5"/>
  <c r="BP2482" i="5"/>
  <c r="BP2483" i="5"/>
  <c r="BP2484" i="5"/>
  <c r="BP2485" i="5"/>
  <c r="BP2486" i="5"/>
  <c r="BP2487" i="5"/>
  <c r="BP2488" i="5"/>
  <c r="BP2489" i="5"/>
  <c r="BP2490" i="5"/>
  <c r="BN2" i="5"/>
  <c r="BN3" i="5"/>
  <c r="BN4" i="5"/>
  <c r="BN5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0" i="5"/>
  <c r="BN201" i="5"/>
  <c r="BN202" i="5"/>
  <c r="BN203" i="5"/>
  <c r="BN204" i="5"/>
  <c r="BN205" i="5"/>
  <c r="BN206" i="5"/>
  <c r="BN207" i="5"/>
  <c r="BN208" i="5"/>
  <c r="BN209" i="5"/>
  <c r="BN210" i="5"/>
  <c r="BN211" i="5"/>
  <c r="BN212" i="5"/>
  <c r="BN213" i="5"/>
  <c r="BN214" i="5"/>
  <c r="BN215" i="5"/>
  <c r="BN216" i="5"/>
  <c r="BN217" i="5"/>
  <c r="BN218" i="5"/>
  <c r="BN219" i="5"/>
  <c r="BN220" i="5"/>
  <c r="BN221" i="5"/>
  <c r="BN222" i="5"/>
  <c r="BN223" i="5"/>
  <c r="BN224" i="5"/>
  <c r="BN225" i="5"/>
  <c r="BN226" i="5"/>
  <c r="BN227" i="5"/>
  <c r="BN228" i="5"/>
  <c r="BN229" i="5"/>
  <c r="BN230" i="5"/>
  <c r="BN231" i="5"/>
  <c r="BN232" i="5"/>
  <c r="BN233" i="5"/>
  <c r="BN234" i="5"/>
  <c r="BN235" i="5"/>
  <c r="BN236" i="5"/>
  <c r="BN237" i="5"/>
  <c r="BN238" i="5"/>
  <c r="BN239" i="5"/>
  <c r="BN240" i="5"/>
  <c r="BN241" i="5"/>
  <c r="BN242" i="5"/>
  <c r="BN243" i="5"/>
  <c r="BN244" i="5"/>
  <c r="BN245" i="5"/>
  <c r="BN246" i="5"/>
  <c r="BN247" i="5"/>
  <c r="BN248" i="5"/>
  <c r="BN249" i="5"/>
  <c r="BN250" i="5"/>
  <c r="BN251" i="5"/>
  <c r="BN252" i="5"/>
  <c r="BN253" i="5"/>
  <c r="BN254" i="5"/>
  <c r="BN255" i="5"/>
  <c r="BN256" i="5"/>
  <c r="BN257" i="5"/>
  <c r="BN258" i="5"/>
  <c r="BN259" i="5"/>
  <c r="BN260" i="5"/>
  <c r="BN261" i="5"/>
  <c r="BN262" i="5"/>
  <c r="BN263" i="5"/>
  <c r="BN264" i="5"/>
  <c r="BN265" i="5"/>
  <c r="BN266" i="5"/>
  <c r="BN267" i="5"/>
  <c r="BN268" i="5"/>
  <c r="BN269" i="5"/>
  <c r="BN270" i="5"/>
  <c r="BN271" i="5"/>
  <c r="BN272" i="5"/>
  <c r="BN273" i="5"/>
  <c r="BN274" i="5"/>
  <c r="BN275" i="5"/>
  <c r="BN276" i="5"/>
  <c r="BN277" i="5"/>
  <c r="BN278" i="5"/>
  <c r="BN279" i="5"/>
  <c r="BN280" i="5"/>
  <c r="BN281" i="5"/>
  <c r="BN282" i="5"/>
  <c r="BN283" i="5"/>
  <c r="BN284" i="5"/>
  <c r="BN285" i="5"/>
  <c r="BN286" i="5"/>
  <c r="BN287" i="5"/>
  <c r="BN288" i="5"/>
  <c r="BN289" i="5"/>
  <c r="BN290" i="5"/>
  <c r="BN291" i="5"/>
  <c r="BN292" i="5"/>
  <c r="BN293" i="5"/>
  <c r="BN294" i="5"/>
  <c r="BN295" i="5"/>
  <c r="BN296" i="5"/>
  <c r="BN297" i="5"/>
  <c r="BN298" i="5"/>
  <c r="BN299" i="5"/>
  <c r="BN300" i="5"/>
  <c r="BN301" i="5"/>
  <c r="BN302" i="5"/>
  <c r="BN303" i="5"/>
  <c r="BN304" i="5"/>
  <c r="BN305" i="5"/>
  <c r="BN306" i="5"/>
  <c r="BN307" i="5"/>
  <c r="BN308" i="5"/>
  <c r="BN309" i="5"/>
  <c r="BN310" i="5"/>
  <c r="BN311" i="5"/>
  <c r="BN312" i="5"/>
  <c r="BN313" i="5"/>
  <c r="BN314" i="5"/>
  <c r="BN315" i="5"/>
  <c r="BN316" i="5"/>
  <c r="BN317" i="5"/>
  <c r="BN318" i="5"/>
  <c r="BN319" i="5"/>
  <c r="BN320" i="5"/>
  <c r="BN321" i="5"/>
  <c r="BN322" i="5"/>
  <c r="BN323" i="5"/>
  <c r="BN324" i="5"/>
  <c r="BN325" i="5"/>
  <c r="BN326" i="5"/>
  <c r="BN327" i="5"/>
  <c r="BN328" i="5"/>
  <c r="BN329" i="5"/>
  <c r="BN330" i="5"/>
  <c r="BN331" i="5"/>
  <c r="BN332" i="5"/>
  <c r="BN333" i="5"/>
  <c r="BN334" i="5"/>
  <c r="BN335" i="5"/>
  <c r="BN336" i="5"/>
  <c r="BN337" i="5"/>
  <c r="BN338" i="5"/>
  <c r="BN339" i="5"/>
  <c r="BN340" i="5"/>
  <c r="BN341" i="5"/>
  <c r="BN342" i="5"/>
  <c r="BN343" i="5"/>
  <c r="BN344" i="5"/>
  <c r="BN345" i="5"/>
  <c r="BN346" i="5"/>
  <c r="BN347" i="5"/>
  <c r="BN348" i="5"/>
  <c r="BN349" i="5"/>
  <c r="BN350" i="5"/>
  <c r="BN351" i="5"/>
  <c r="BN352" i="5"/>
  <c r="BN353" i="5"/>
  <c r="BN354" i="5"/>
  <c r="BN355" i="5"/>
  <c r="BN356" i="5"/>
  <c r="BN357" i="5"/>
  <c r="BN358" i="5"/>
  <c r="BN359" i="5"/>
  <c r="BN360" i="5"/>
  <c r="BN361" i="5"/>
  <c r="BN362" i="5"/>
  <c r="BN363" i="5"/>
  <c r="BN364" i="5"/>
  <c r="BN365" i="5"/>
  <c r="BN366" i="5"/>
  <c r="BN367" i="5"/>
  <c r="BN368" i="5"/>
  <c r="BN369" i="5"/>
  <c r="BN370" i="5"/>
  <c r="BN371" i="5"/>
  <c r="BN372" i="5"/>
  <c r="BN373" i="5"/>
  <c r="BN374" i="5"/>
  <c r="BN375" i="5"/>
  <c r="BN376" i="5"/>
  <c r="BN377" i="5"/>
  <c r="BN378" i="5"/>
  <c r="BN379" i="5"/>
  <c r="BN380" i="5"/>
  <c r="BN381" i="5"/>
  <c r="BN382" i="5"/>
  <c r="BN383" i="5"/>
  <c r="BN384" i="5"/>
  <c r="BN385" i="5"/>
  <c r="BN386" i="5"/>
  <c r="BN387" i="5"/>
  <c r="BN388" i="5"/>
  <c r="BN389" i="5"/>
  <c r="BN390" i="5"/>
  <c r="BN391" i="5"/>
  <c r="BN392" i="5"/>
  <c r="BN393" i="5"/>
  <c r="BN394" i="5"/>
  <c r="BN395" i="5"/>
  <c r="BN396" i="5"/>
  <c r="BN397" i="5"/>
  <c r="BN398" i="5"/>
  <c r="BN399" i="5"/>
  <c r="BN400" i="5"/>
  <c r="BN401" i="5"/>
  <c r="BN402" i="5"/>
  <c r="BN403" i="5"/>
  <c r="BN404" i="5"/>
  <c r="BN405" i="5"/>
  <c r="BN406" i="5"/>
  <c r="BN407" i="5"/>
  <c r="BN408" i="5"/>
  <c r="BN409" i="5"/>
  <c r="BN410" i="5"/>
  <c r="BN411" i="5"/>
  <c r="BN412" i="5"/>
  <c r="BN413" i="5"/>
  <c r="BN414" i="5"/>
  <c r="BN415" i="5"/>
  <c r="BN416" i="5"/>
  <c r="BN417" i="5"/>
  <c r="BN418" i="5"/>
  <c r="BN419" i="5"/>
  <c r="BN420" i="5"/>
  <c r="BN421" i="5"/>
  <c r="BN422" i="5"/>
  <c r="BN423" i="5"/>
  <c r="BN424" i="5"/>
  <c r="BN425" i="5"/>
  <c r="BN426" i="5"/>
  <c r="BN427" i="5"/>
  <c r="BN428" i="5"/>
  <c r="BN429" i="5"/>
  <c r="BN430" i="5"/>
  <c r="BN431" i="5"/>
  <c r="BN432" i="5"/>
  <c r="BN433" i="5"/>
  <c r="BN434" i="5"/>
  <c r="BN435" i="5"/>
  <c r="BN436" i="5"/>
  <c r="BN437" i="5"/>
  <c r="BN438" i="5"/>
  <c r="BN439" i="5"/>
  <c r="BN440" i="5"/>
  <c r="BN441" i="5"/>
  <c r="BN442" i="5"/>
  <c r="BN443" i="5"/>
  <c r="BN444" i="5"/>
  <c r="BN445" i="5"/>
  <c r="BN446" i="5"/>
  <c r="BN447" i="5"/>
  <c r="BN448" i="5"/>
  <c r="BN449" i="5"/>
  <c r="BN450" i="5"/>
  <c r="BN451" i="5"/>
  <c r="BN452" i="5"/>
  <c r="BN453" i="5"/>
  <c r="BN454" i="5"/>
  <c r="BN455" i="5"/>
  <c r="BN456" i="5"/>
  <c r="BN457" i="5"/>
  <c r="BN458" i="5"/>
  <c r="BN459" i="5"/>
  <c r="BN460" i="5"/>
  <c r="BN461" i="5"/>
  <c r="BN462" i="5"/>
  <c r="BN463" i="5"/>
  <c r="BN464" i="5"/>
  <c r="BN465" i="5"/>
  <c r="BN466" i="5"/>
  <c r="BN467" i="5"/>
  <c r="BN468" i="5"/>
  <c r="BN469" i="5"/>
  <c r="BN470" i="5"/>
  <c r="BN471" i="5"/>
  <c r="BN472" i="5"/>
  <c r="BN473" i="5"/>
  <c r="BN474" i="5"/>
  <c r="BN475" i="5"/>
  <c r="BN476" i="5"/>
  <c r="BN477" i="5"/>
  <c r="BN478" i="5"/>
  <c r="BN479" i="5"/>
  <c r="BN480" i="5"/>
  <c r="BN481" i="5"/>
  <c r="BN482" i="5"/>
  <c r="BN483" i="5"/>
  <c r="BN484" i="5"/>
  <c r="BN485" i="5"/>
  <c r="BN486" i="5"/>
  <c r="BN487" i="5"/>
  <c r="BN488" i="5"/>
  <c r="BN489" i="5"/>
  <c r="BN490" i="5"/>
  <c r="BN491" i="5"/>
  <c r="BN492" i="5"/>
  <c r="BN493" i="5"/>
  <c r="BN494" i="5"/>
  <c r="BN495" i="5"/>
  <c r="BN496" i="5"/>
  <c r="BN497" i="5"/>
  <c r="BN498" i="5"/>
  <c r="BN499" i="5"/>
  <c r="BN500" i="5"/>
  <c r="BN501" i="5"/>
  <c r="BN502" i="5"/>
  <c r="BN503" i="5"/>
  <c r="BN504" i="5"/>
  <c r="BN505" i="5"/>
  <c r="BN506" i="5"/>
  <c r="BN507" i="5"/>
  <c r="BN508" i="5"/>
  <c r="BN509" i="5"/>
  <c r="BN510" i="5"/>
  <c r="BN511" i="5"/>
  <c r="BN512" i="5"/>
  <c r="BN513" i="5"/>
  <c r="BN514" i="5"/>
  <c r="BN515" i="5"/>
  <c r="BN516" i="5"/>
  <c r="BN517" i="5"/>
  <c r="BN518" i="5"/>
  <c r="BN519" i="5"/>
  <c r="BN520" i="5"/>
  <c r="BN521" i="5"/>
  <c r="BN522" i="5"/>
  <c r="BN523" i="5"/>
  <c r="BN524" i="5"/>
  <c r="BN525" i="5"/>
  <c r="BN526" i="5"/>
  <c r="BN527" i="5"/>
  <c r="BN528" i="5"/>
  <c r="BN529" i="5"/>
  <c r="BN530" i="5"/>
  <c r="BN531" i="5"/>
  <c r="BN532" i="5"/>
  <c r="BN533" i="5"/>
  <c r="BN534" i="5"/>
  <c r="BN535" i="5"/>
  <c r="BN536" i="5"/>
  <c r="BN537" i="5"/>
  <c r="BN538" i="5"/>
  <c r="BN539" i="5"/>
  <c r="BN540" i="5"/>
  <c r="BN541" i="5"/>
  <c r="BN542" i="5"/>
  <c r="BN543" i="5"/>
  <c r="BN544" i="5"/>
  <c r="BN545" i="5"/>
  <c r="BN546" i="5"/>
  <c r="BN547" i="5"/>
  <c r="BN548" i="5"/>
  <c r="BN549" i="5"/>
  <c r="BN550" i="5"/>
  <c r="BN551" i="5"/>
  <c r="BN552" i="5"/>
  <c r="BN553" i="5"/>
  <c r="BN554" i="5"/>
  <c r="BN555" i="5"/>
  <c r="BN556" i="5"/>
  <c r="BN557" i="5"/>
  <c r="BN558" i="5"/>
  <c r="BN559" i="5"/>
  <c r="BN560" i="5"/>
  <c r="BN561" i="5"/>
  <c r="BN562" i="5"/>
  <c r="BN563" i="5"/>
  <c r="BN564" i="5"/>
  <c r="BN565" i="5"/>
  <c r="BN566" i="5"/>
  <c r="BN567" i="5"/>
  <c r="BN568" i="5"/>
  <c r="BN569" i="5"/>
  <c r="BN570" i="5"/>
  <c r="BN571" i="5"/>
  <c r="BN572" i="5"/>
  <c r="BN573" i="5"/>
  <c r="BN574" i="5"/>
  <c r="BN575" i="5"/>
  <c r="BN576" i="5"/>
  <c r="BN577" i="5"/>
  <c r="BN578" i="5"/>
  <c r="BN579" i="5"/>
  <c r="BN580" i="5"/>
  <c r="BN581" i="5"/>
  <c r="BN582" i="5"/>
  <c r="BN583" i="5"/>
  <c r="BN584" i="5"/>
  <c r="BN585" i="5"/>
  <c r="BN586" i="5"/>
  <c r="BN587" i="5"/>
  <c r="BN588" i="5"/>
  <c r="BN589" i="5"/>
  <c r="BN590" i="5"/>
  <c r="BN591" i="5"/>
  <c r="BN592" i="5"/>
  <c r="BN593" i="5"/>
  <c r="BN594" i="5"/>
  <c r="BN595" i="5"/>
  <c r="BN596" i="5"/>
  <c r="BN597" i="5"/>
  <c r="BN598" i="5"/>
  <c r="BN599" i="5"/>
  <c r="BN600" i="5"/>
  <c r="BN601" i="5"/>
  <c r="BN602" i="5"/>
  <c r="BN603" i="5"/>
  <c r="BN604" i="5"/>
  <c r="BN605" i="5"/>
  <c r="BN606" i="5"/>
  <c r="BN607" i="5"/>
  <c r="BN608" i="5"/>
  <c r="BN609" i="5"/>
  <c r="BN610" i="5"/>
  <c r="BN611" i="5"/>
  <c r="BN612" i="5"/>
  <c r="BN613" i="5"/>
  <c r="BN614" i="5"/>
  <c r="BN615" i="5"/>
  <c r="BN616" i="5"/>
  <c r="BN617" i="5"/>
  <c r="BN618" i="5"/>
  <c r="BN619" i="5"/>
  <c r="BN620" i="5"/>
  <c r="BN621" i="5"/>
  <c r="BN622" i="5"/>
  <c r="BN623" i="5"/>
  <c r="BN624" i="5"/>
  <c r="BN625" i="5"/>
  <c r="BN626" i="5"/>
  <c r="BN627" i="5"/>
  <c r="BN628" i="5"/>
  <c r="BN629" i="5"/>
  <c r="BN630" i="5"/>
  <c r="BN631" i="5"/>
  <c r="BN632" i="5"/>
  <c r="BN633" i="5"/>
  <c r="BN634" i="5"/>
  <c r="BN635" i="5"/>
  <c r="BN636" i="5"/>
  <c r="BN637" i="5"/>
  <c r="BN638" i="5"/>
  <c r="BN639" i="5"/>
  <c r="BN640" i="5"/>
  <c r="BN641" i="5"/>
  <c r="BN642" i="5"/>
  <c r="BN643" i="5"/>
  <c r="BN644" i="5"/>
  <c r="BN645" i="5"/>
  <c r="BN646" i="5"/>
  <c r="BN647" i="5"/>
  <c r="BN648" i="5"/>
  <c r="BN649" i="5"/>
  <c r="BN650" i="5"/>
  <c r="BN651" i="5"/>
  <c r="BN652" i="5"/>
  <c r="BN653" i="5"/>
  <c r="BN654" i="5"/>
  <c r="BN655" i="5"/>
  <c r="BN656" i="5"/>
  <c r="BN657" i="5"/>
  <c r="BN658" i="5"/>
  <c r="BN659" i="5"/>
  <c r="BN660" i="5"/>
  <c r="BN661" i="5"/>
  <c r="BN662" i="5"/>
  <c r="BN663" i="5"/>
  <c r="BN664" i="5"/>
  <c r="BN665" i="5"/>
  <c r="BN666" i="5"/>
  <c r="BN667" i="5"/>
  <c r="BN668" i="5"/>
  <c r="BN669" i="5"/>
  <c r="BN670" i="5"/>
  <c r="BN671" i="5"/>
  <c r="BN672" i="5"/>
  <c r="BN673" i="5"/>
  <c r="BN674" i="5"/>
  <c r="BN675" i="5"/>
  <c r="BN676" i="5"/>
  <c r="BN677" i="5"/>
  <c r="BN678" i="5"/>
  <c r="BN679" i="5"/>
  <c r="BN680" i="5"/>
  <c r="BN681" i="5"/>
  <c r="BN682" i="5"/>
  <c r="BN683" i="5"/>
  <c r="BN684" i="5"/>
  <c r="BN685" i="5"/>
  <c r="BN686" i="5"/>
  <c r="BN687" i="5"/>
  <c r="BN688" i="5"/>
  <c r="BN689" i="5"/>
  <c r="BN690" i="5"/>
  <c r="BN691" i="5"/>
  <c r="BN692" i="5"/>
  <c r="BN693" i="5"/>
  <c r="BN694" i="5"/>
  <c r="BN695" i="5"/>
  <c r="BN696" i="5"/>
  <c r="BN697" i="5"/>
  <c r="BN698" i="5"/>
  <c r="BN699" i="5"/>
  <c r="BN700" i="5"/>
  <c r="BN701" i="5"/>
  <c r="BN702" i="5"/>
  <c r="BN703" i="5"/>
  <c r="BN704" i="5"/>
  <c r="BN705" i="5"/>
  <c r="BN706" i="5"/>
  <c r="BN707" i="5"/>
  <c r="BN708" i="5"/>
  <c r="BN709" i="5"/>
  <c r="BN710" i="5"/>
  <c r="BN711" i="5"/>
  <c r="BN712" i="5"/>
  <c r="BN713" i="5"/>
  <c r="BN714" i="5"/>
  <c r="BN715" i="5"/>
  <c r="BN716" i="5"/>
  <c r="BN717" i="5"/>
  <c r="BN718" i="5"/>
  <c r="BN719" i="5"/>
  <c r="BN720" i="5"/>
  <c r="BN721" i="5"/>
  <c r="BN722" i="5"/>
  <c r="BN723" i="5"/>
  <c r="BN724" i="5"/>
  <c r="BN725" i="5"/>
  <c r="BN726" i="5"/>
  <c r="BN727" i="5"/>
  <c r="BN728" i="5"/>
  <c r="BN729" i="5"/>
  <c r="BN730" i="5"/>
  <c r="BN731" i="5"/>
  <c r="BN732" i="5"/>
  <c r="BN733" i="5"/>
  <c r="BN734" i="5"/>
  <c r="BN735" i="5"/>
  <c r="BN736" i="5"/>
  <c r="BN737" i="5"/>
  <c r="BN738" i="5"/>
  <c r="BN739" i="5"/>
  <c r="BN740" i="5"/>
  <c r="BN741" i="5"/>
  <c r="BN742" i="5"/>
  <c r="BN743" i="5"/>
  <c r="BN744" i="5"/>
  <c r="BN745" i="5"/>
  <c r="BN746" i="5"/>
  <c r="BN747" i="5"/>
  <c r="BN748" i="5"/>
  <c r="BN749" i="5"/>
  <c r="BN750" i="5"/>
  <c r="BN751" i="5"/>
  <c r="BN752" i="5"/>
  <c r="BN753" i="5"/>
  <c r="BN754" i="5"/>
  <c r="BN755" i="5"/>
  <c r="BN756" i="5"/>
  <c r="BN757" i="5"/>
  <c r="BN758" i="5"/>
  <c r="BN759" i="5"/>
  <c r="BN760" i="5"/>
  <c r="BN761" i="5"/>
  <c r="BN762" i="5"/>
  <c r="BN763" i="5"/>
  <c r="BN764" i="5"/>
  <c r="BN765" i="5"/>
  <c r="BN766" i="5"/>
  <c r="BN767" i="5"/>
  <c r="BN768" i="5"/>
  <c r="BN769" i="5"/>
  <c r="BN770" i="5"/>
  <c r="BN771" i="5"/>
  <c r="BN772" i="5"/>
  <c r="BN773" i="5"/>
  <c r="BN774" i="5"/>
  <c r="BN775" i="5"/>
  <c r="BN776" i="5"/>
  <c r="BN777" i="5"/>
  <c r="BN778" i="5"/>
  <c r="BN779" i="5"/>
  <c r="BN780" i="5"/>
  <c r="BN781" i="5"/>
  <c r="BN782" i="5"/>
  <c r="BN783" i="5"/>
  <c r="BN784" i="5"/>
  <c r="BN785" i="5"/>
  <c r="BN786" i="5"/>
  <c r="BN787" i="5"/>
  <c r="BN788" i="5"/>
  <c r="BN789" i="5"/>
  <c r="BN790" i="5"/>
  <c r="BN791" i="5"/>
  <c r="BN792" i="5"/>
  <c r="BN793" i="5"/>
  <c r="BN794" i="5"/>
  <c r="BN795" i="5"/>
  <c r="BN796" i="5"/>
  <c r="BN797" i="5"/>
  <c r="BN798" i="5"/>
  <c r="BN799" i="5"/>
  <c r="BN800" i="5"/>
  <c r="BN801" i="5"/>
  <c r="BN802" i="5"/>
  <c r="BN803" i="5"/>
  <c r="BN804" i="5"/>
  <c r="BN805" i="5"/>
  <c r="BN806" i="5"/>
  <c r="BN807" i="5"/>
  <c r="BN808" i="5"/>
  <c r="BN809" i="5"/>
  <c r="BN810" i="5"/>
  <c r="BN811" i="5"/>
  <c r="BN812" i="5"/>
  <c r="BN813" i="5"/>
  <c r="BN814" i="5"/>
  <c r="BN815" i="5"/>
  <c r="BN816" i="5"/>
  <c r="BN817" i="5"/>
  <c r="BN818" i="5"/>
  <c r="BN819" i="5"/>
  <c r="BN820" i="5"/>
  <c r="BN821" i="5"/>
  <c r="BN822" i="5"/>
  <c r="BN823" i="5"/>
  <c r="BN824" i="5"/>
  <c r="BN825" i="5"/>
  <c r="BN826" i="5"/>
  <c r="BN827" i="5"/>
  <c r="BN828" i="5"/>
  <c r="BN829" i="5"/>
  <c r="BN830" i="5"/>
  <c r="BN831" i="5"/>
  <c r="BN832" i="5"/>
  <c r="BN833" i="5"/>
  <c r="BN834" i="5"/>
  <c r="BN835" i="5"/>
  <c r="BN836" i="5"/>
  <c r="BN837" i="5"/>
  <c r="BN838" i="5"/>
  <c r="BN839" i="5"/>
  <c r="BN840" i="5"/>
  <c r="BN841" i="5"/>
  <c r="BN842" i="5"/>
  <c r="BN843" i="5"/>
  <c r="BN844" i="5"/>
  <c r="BN845" i="5"/>
  <c r="BN846" i="5"/>
  <c r="BN847" i="5"/>
  <c r="BN848" i="5"/>
  <c r="BN849" i="5"/>
  <c r="BN850" i="5"/>
  <c r="BN851" i="5"/>
  <c r="BN852" i="5"/>
  <c r="BN853" i="5"/>
  <c r="BN854" i="5"/>
  <c r="BN855" i="5"/>
  <c r="BN856" i="5"/>
  <c r="BN857" i="5"/>
  <c r="BN858" i="5"/>
  <c r="BN859" i="5"/>
  <c r="BN860" i="5"/>
  <c r="BN861" i="5"/>
  <c r="BN862" i="5"/>
  <c r="BN863" i="5"/>
  <c r="BN864" i="5"/>
  <c r="BN865" i="5"/>
  <c r="BN866" i="5"/>
  <c r="BN867" i="5"/>
  <c r="BN868" i="5"/>
  <c r="BN869" i="5"/>
  <c r="BN870" i="5"/>
  <c r="BN871" i="5"/>
  <c r="BN872" i="5"/>
  <c r="BN873" i="5"/>
  <c r="BN874" i="5"/>
  <c r="BN875" i="5"/>
  <c r="BN876" i="5"/>
  <c r="BN877" i="5"/>
  <c r="BN878" i="5"/>
  <c r="BN879" i="5"/>
  <c r="BN880" i="5"/>
  <c r="BN881" i="5"/>
  <c r="BN882" i="5"/>
  <c r="BN883" i="5"/>
  <c r="BN884" i="5"/>
  <c r="BN885" i="5"/>
  <c r="BN886" i="5"/>
  <c r="BN887" i="5"/>
  <c r="BN888" i="5"/>
  <c r="BN889" i="5"/>
  <c r="BN890" i="5"/>
  <c r="BN891" i="5"/>
  <c r="BN892" i="5"/>
  <c r="BN893" i="5"/>
  <c r="BN894" i="5"/>
  <c r="BN895" i="5"/>
  <c r="BN896" i="5"/>
  <c r="BN897" i="5"/>
  <c r="BN898" i="5"/>
  <c r="BN899" i="5"/>
  <c r="BN900" i="5"/>
  <c r="BN901" i="5"/>
  <c r="BN902" i="5"/>
  <c r="BN903" i="5"/>
  <c r="BN904" i="5"/>
  <c r="BN905" i="5"/>
  <c r="BN906" i="5"/>
  <c r="BN907" i="5"/>
  <c r="BN908" i="5"/>
  <c r="BN909" i="5"/>
  <c r="BN910" i="5"/>
  <c r="BN911" i="5"/>
  <c r="BN912" i="5"/>
  <c r="BN913" i="5"/>
  <c r="BN914" i="5"/>
  <c r="BN915" i="5"/>
  <c r="BN916" i="5"/>
  <c r="BN917" i="5"/>
  <c r="BN918" i="5"/>
  <c r="BN919" i="5"/>
  <c r="BN920" i="5"/>
  <c r="BN921" i="5"/>
  <c r="BN922" i="5"/>
  <c r="BN923" i="5"/>
  <c r="BN924" i="5"/>
  <c r="BN925" i="5"/>
  <c r="BN926" i="5"/>
  <c r="BN927" i="5"/>
  <c r="BN928" i="5"/>
  <c r="BN929" i="5"/>
  <c r="BN930" i="5"/>
  <c r="BN931" i="5"/>
  <c r="BN932" i="5"/>
  <c r="BN933" i="5"/>
  <c r="BN934" i="5"/>
  <c r="BN935" i="5"/>
  <c r="BN936" i="5"/>
  <c r="BN937" i="5"/>
  <c r="BN938" i="5"/>
  <c r="BN939" i="5"/>
  <c r="BN940" i="5"/>
  <c r="BN941" i="5"/>
  <c r="BN942" i="5"/>
  <c r="BN943" i="5"/>
  <c r="BN944" i="5"/>
  <c r="BN945" i="5"/>
  <c r="BN946" i="5"/>
  <c r="BN947" i="5"/>
  <c r="BN948" i="5"/>
  <c r="BN949" i="5"/>
  <c r="BN950" i="5"/>
  <c r="BN951" i="5"/>
  <c r="BN952" i="5"/>
  <c r="BN953" i="5"/>
  <c r="BN954" i="5"/>
  <c r="BN955" i="5"/>
  <c r="BN956" i="5"/>
  <c r="BN957" i="5"/>
  <c r="BN958" i="5"/>
  <c r="BN959" i="5"/>
  <c r="BN960" i="5"/>
  <c r="BN961" i="5"/>
  <c r="BN962" i="5"/>
  <c r="BN963" i="5"/>
  <c r="BN964" i="5"/>
  <c r="BN965" i="5"/>
  <c r="BN966" i="5"/>
  <c r="BN967" i="5"/>
  <c r="BN968" i="5"/>
  <c r="BN969" i="5"/>
  <c r="BN970" i="5"/>
  <c r="BN971" i="5"/>
  <c r="BN972" i="5"/>
  <c r="BN973" i="5"/>
  <c r="BN974" i="5"/>
  <c r="BN975" i="5"/>
  <c r="BN976" i="5"/>
  <c r="BN977" i="5"/>
  <c r="BN978" i="5"/>
  <c r="BN979" i="5"/>
  <c r="BN980" i="5"/>
  <c r="BN981" i="5"/>
  <c r="BN982" i="5"/>
  <c r="BN983" i="5"/>
  <c r="BN984" i="5"/>
  <c r="BN985" i="5"/>
  <c r="BN986" i="5"/>
  <c r="BN987" i="5"/>
  <c r="BN988" i="5"/>
  <c r="BN989" i="5"/>
  <c r="BN990" i="5"/>
  <c r="BN991" i="5"/>
  <c r="BN992" i="5"/>
  <c r="BN993" i="5"/>
  <c r="BN994" i="5"/>
  <c r="BN995" i="5"/>
  <c r="BN996" i="5"/>
  <c r="BN997" i="5"/>
  <c r="BN998" i="5"/>
  <c r="BN999" i="5"/>
  <c r="BN1000" i="5"/>
  <c r="BN1001" i="5"/>
  <c r="BN1002" i="5"/>
  <c r="BN1003" i="5"/>
  <c r="BN1004" i="5"/>
  <c r="BN1005" i="5"/>
  <c r="BN1006" i="5"/>
  <c r="BN1007" i="5"/>
  <c r="BN1008" i="5"/>
  <c r="BN1009" i="5"/>
  <c r="BN1010" i="5"/>
  <c r="BN1011" i="5"/>
  <c r="BN1012" i="5"/>
  <c r="BN1013" i="5"/>
  <c r="BN1014" i="5"/>
  <c r="BN1015" i="5"/>
  <c r="BN1016" i="5"/>
  <c r="BN1017" i="5"/>
  <c r="BN1018" i="5"/>
  <c r="BN1019" i="5"/>
  <c r="BN1020" i="5"/>
  <c r="BN1021" i="5"/>
  <c r="BN1022" i="5"/>
  <c r="BN1023" i="5"/>
  <c r="BN1024" i="5"/>
  <c r="BN1025" i="5"/>
  <c r="BN1026" i="5"/>
  <c r="BN1027" i="5"/>
  <c r="BN1028" i="5"/>
  <c r="BN1029" i="5"/>
  <c r="BN1030" i="5"/>
  <c r="BN1031" i="5"/>
  <c r="BN1032" i="5"/>
  <c r="BN1033" i="5"/>
  <c r="BN1034" i="5"/>
  <c r="BN1035" i="5"/>
  <c r="BN1036" i="5"/>
  <c r="BN1037" i="5"/>
  <c r="BN1038" i="5"/>
  <c r="BN1039" i="5"/>
  <c r="BN1040" i="5"/>
  <c r="BN1041" i="5"/>
  <c r="BN1042" i="5"/>
  <c r="BN1043" i="5"/>
  <c r="BN1044" i="5"/>
  <c r="BN1045" i="5"/>
  <c r="BN1046" i="5"/>
  <c r="BN1047" i="5"/>
  <c r="BN1048" i="5"/>
  <c r="BN1049" i="5"/>
  <c r="BN1050" i="5"/>
  <c r="BN1051" i="5"/>
  <c r="BN1052" i="5"/>
  <c r="BN1053" i="5"/>
  <c r="BN1054" i="5"/>
  <c r="BN1055" i="5"/>
  <c r="BN1056" i="5"/>
  <c r="BN1057" i="5"/>
  <c r="BN1058" i="5"/>
  <c r="BN1059" i="5"/>
  <c r="BN1060" i="5"/>
  <c r="BN1061" i="5"/>
  <c r="BN1062" i="5"/>
  <c r="BN1063" i="5"/>
  <c r="BN1064" i="5"/>
  <c r="BN1065" i="5"/>
  <c r="BN1066" i="5"/>
  <c r="BN1067" i="5"/>
  <c r="BN1068" i="5"/>
  <c r="BN1069" i="5"/>
  <c r="BN1070" i="5"/>
  <c r="BN1071" i="5"/>
  <c r="BN1072" i="5"/>
  <c r="BN1073" i="5"/>
  <c r="BN1074" i="5"/>
  <c r="BN1075" i="5"/>
  <c r="BN1076" i="5"/>
  <c r="BN1077" i="5"/>
  <c r="BN1078" i="5"/>
  <c r="BN1079" i="5"/>
  <c r="BN1080" i="5"/>
  <c r="BN1081" i="5"/>
  <c r="BN1082" i="5"/>
  <c r="BN1083" i="5"/>
  <c r="BN1084" i="5"/>
  <c r="BN1085" i="5"/>
  <c r="BN1086" i="5"/>
  <c r="BN1087" i="5"/>
  <c r="BN1088" i="5"/>
  <c r="BN1089" i="5"/>
  <c r="BN1090" i="5"/>
  <c r="BN1091" i="5"/>
  <c r="BN1092" i="5"/>
  <c r="BN1093" i="5"/>
  <c r="BN1094" i="5"/>
  <c r="BN1095" i="5"/>
  <c r="BN1096" i="5"/>
  <c r="BN1097" i="5"/>
  <c r="BN1098" i="5"/>
  <c r="BN1099" i="5"/>
  <c r="BN1100" i="5"/>
  <c r="BN1101" i="5"/>
  <c r="BN1102" i="5"/>
  <c r="BN1103" i="5"/>
  <c r="BN1104" i="5"/>
  <c r="BN1105" i="5"/>
  <c r="BN1106" i="5"/>
  <c r="BN1107" i="5"/>
  <c r="BN1108" i="5"/>
  <c r="BN1109" i="5"/>
  <c r="BN1110" i="5"/>
  <c r="BN1111" i="5"/>
  <c r="BN1112" i="5"/>
  <c r="BN1113" i="5"/>
  <c r="BN1114" i="5"/>
  <c r="BN1115" i="5"/>
  <c r="BN1116" i="5"/>
  <c r="BN1117" i="5"/>
  <c r="BN1118" i="5"/>
  <c r="BN1119" i="5"/>
  <c r="BN1120" i="5"/>
  <c r="BN1121" i="5"/>
  <c r="BN1122" i="5"/>
  <c r="BN1123" i="5"/>
  <c r="BN1124" i="5"/>
  <c r="BN1125" i="5"/>
  <c r="BN1126" i="5"/>
  <c r="BN1127" i="5"/>
  <c r="BN1128" i="5"/>
  <c r="BN1129" i="5"/>
  <c r="BN1130" i="5"/>
  <c r="BN1131" i="5"/>
  <c r="BN1132" i="5"/>
  <c r="BN1133" i="5"/>
  <c r="BN1134" i="5"/>
  <c r="BN1135" i="5"/>
  <c r="BN1136" i="5"/>
  <c r="BN1137" i="5"/>
  <c r="BN1138" i="5"/>
  <c r="BN1139" i="5"/>
  <c r="BN1140" i="5"/>
  <c r="BN1141" i="5"/>
  <c r="BN1142" i="5"/>
  <c r="BN1143" i="5"/>
  <c r="BN1144" i="5"/>
  <c r="BN1145" i="5"/>
  <c r="BN1146" i="5"/>
  <c r="BN1147" i="5"/>
  <c r="BN1148" i="5"/>
  <c r="BN1149" i="5"/>
  <c r="BN1150" i="5"/>
  <c r="BN1151" i="5"/>
  <c r="BN1152" i="5"/>
  <c r="BN1153" i="5"/>
  <c r="BN1154" i="5"/>
  <c r="BN1155" i="5"/>
  <c r="BN1156" i="5"/>
  <c r="BN1157" i="5"/>
  <c r="BN1158" i="5"/>
  <c r="BN1159" i="5"/>
  <c r="BN1160" i="5"/>
  <c r="BN1161" i="5"/>
  <c r="BN1162" i="5"/>
  <c r="BN1163" i="5"/>
  <c r="BN1164" i="5"/>
  <c r="BN1165" i="5"/>
  <c r="BN1166" i="5"/>
  <c r="BN1167" i="5"/>
  <c r="BN1168" i="5"/>
  <c r="BN1169" i="5"/>
  <c r="BN1170" i="5"/>
  <c r="BN1171" i="5"/>
  <c r="BN1172" i="5"/>
  <c r="BN1173" i="5"/>
  <c r="BN1174" i="5"/>
  <c r="BN1175" i="5"/>
  <c r="BN1176" i="5"/>
  <c r="BN1177" i="5"/>
  <c r="BN1178" i="5"/>
  <c r="BN1179" i="5"/>
  <c r="BN1180" i="5"/>
  <c r="BN1181" i="5"/>
  <c r="BN1182" i="5"/>
  <c r="BN1183" i="5"/>
  <c r="BN1184" i="5"/>
  <c r="BN1185" i="5"/>
  <c r="BN1186" i="5"/>
  <c r="BN1187" i="5"/>
  <c r="BN1188" i="5"/>
  <c r="BN1189" i="5"/>
  <c r="BN1190" i="5"/>
  <c r="BN1191" i="5"/>
  <c r="BN1192" i="5"/>
  <c r="BN1193" i="5"/>
  <c r="BN1194" i="5"/>
  <c r="BN1195" i="5"/>
  <c r="BN1196" i="5"/>
  <c r="BN1197" i="5"/>
  <c r="BN1198" i="5"/>
  <c r="BN1199" i="5"/>
  <c r="BN1200" i="5"/>
  <c r="BN1201" i="5"/>
  <c r="BN1202" i="5"/>
  <c r="BN1203" i="5"/>
  <c r="BN1204" i="5"/>
  <c r="BN1205" i="5"/>
  <c r="BN1206" i="5"/>
  <c r="BN1207" i="5"/>
  <c r="BN1208" i="5"/>
  <c r="BN1209" i="5"/>
  <c r="BN1210" i="5"/>
  <c r="BN1211" i="5"/>
  <c r="BN1212" i="5"/>
  <c r="BN1213" i="5"/>
  <c r="BN1214" i="5"/>
  <c r="BN1215" i="5"/>
  <c r="BN1216" i="5"/>
  <c r="BN1217" i="5"/>
  <c r="BN1218" i="5"/>
  <c r="BN1219" i="5"/>
  <c r="BN1220" i="5"/>
  <c r="BN1221" i="5"/>
  <c r="BN1222" i="5"/>
  <c r="BN1223" i="5"/>
  <c r="BN1224" i="5"/>
  <c r="BN1225" i="5"/>
  <c r="BN1226" i="5"/>
  <c r="BN1227" i="5"/>
  <c r="BN1228" i="5"/>
  <c r="BN1229" i="5"/>
  <c r="BN1230" i="5"/>
  <c r="BN1231" i="5"/>
  <c r="BN1232" i="5"/>
  <c r="BN1233" i="5"/>
  <c r="BN1234" i="5"/>
  <c r="BN1235" i="5"/>
  <c r="BN1236" i="5"/>
  <c r="BN1237" i="5"/>
  <c r="BN1238" i="5"/>
  <c r="BN1239" i="5"/>
  <c r="BN1240" i="5"/>
  <c r="BN1241" i="5"/>
  <c r="BN1242" i="5"/>
  <c r="BN1243" i="5"/>
  <c r="BN1244" i="5"/>
  <c r="BN1245" i="5"/>
  <c r="BN1246" i="5"/>
  <c r="BN1247" i="5"/>
  <c r="BN1248" i="5"/>
  <c r="BN1249" i="5"/>
  <c r="BN1250" i="5"/>
  <c r="BN1251" i="5"/>
  <c r="BN1252" i="5"/>
  <c r="BN1253" i="5"/>
  <c r="BN1254" i="5"/>
  <c r="BN1255" i="5"/>
  <c r="BN1256" i="5"/>
  <c r="BN1257" i="5"/>
  <c r="BN1258" i="5"/>
  <c r="BN1259" i="5"/>
  <c r="BN1260" i="5"/>
  <c r="BN1261" i="5"/>
  <c r="BN1262" i="5"/>
  <c r="BN1263" i="5"/>
  <c r="BN1264" i="5"/>
  <c r="BN1265" i="5"/>
  <c r="BN1266" i="5"/>
  <c r="BN1267" i="5"/>
  <c r="BN1268" i="5"/>
  <c r="BN1269" i="5"/>
  <c r="BN1270" i="5"/>
  <c r="BN1271" i="5"/>
  <c r="BN1272" i="5"/>
  <c r="BN1273" i="5"/>
  <c r="BN1274" i="5"/>
  <c r="BN1275" i="5"/>
  <c r="BN1276" i="5"/>
  <c r="BN1277" i="5"/>
  <c r="BN1278" i="5"/>
  <c r="BN1279" i="5"/>
  <c r="BN1280" i="5"/>
  <c r="BN1281" i="5"/>
  <c r="BN1282" i="5"/>
  <c r="BN1283" i="5"/>
  <c r="BN1284" i="5"/>
  <c r="BN1285" i="5"/>
  <c r="BN1286" i="5"/>
  <c r="BN1287" i="5"/>
  <c r="BN1288" i="5"/>
  <c r="BN1289" i="5"/>
  <c r="BN1290" i="5"/>
  <c r="BN1291" i="5"/>
  <c r="BN1292" i="5"/>
  <c r="BN1293" i="5"/>
  <c r="BN1294" i="5"/>
  <c r="BN1295" i="5"/>
  <c r="BN1296" i="5"/>
  <c r="BN1297" i="5"/>
  <c r="BN1298" i="5"/>
  <c r="BN1299" i="5"/>
  <c r="BN1300" i="5"/>
  <c r="BN1301" i="5"/>
  <c r="BN1302" i="5"/>
  <c r="BN1303" i="5"/>
  <c r="BN1304" i="5"/>
  <c r="BN1305" i="5"/>
  <c r="BN1306" i="5"/>
  <c r="BN1307" i="5"/>
  <c r="BN1308" i="5"/>
  <c r="BN1309" i="5"/>
  <c r="BN1310" i="5"/>
  <c r="BN1311" i="5"/>
  <c r="BN1312" i="5"/>
  <c r="BN1313" i="5"/>
  <c r="BN1314" i="5"/>
  <c r="BN1315" i="5"/>
  <c r="BN1316" i="5"/>
  <c r="BN1317" i="5"/>
  <c r="BN1318" i="5"/>
  <c r="BN1319" i="5"/>
  <c r="BN1320" i="5"/>
  <c r="BN1321" i="5"/>
  <c r="BN1322" i="5"/>
  <c r="BN1323" i="5"/>
  <c r="BN1324" i="5"/>
  <c r="BN1325" i="5"/>
  <c r="BN1326" i="5"/>
  <c r="BN1327" i="5"/>
  <c r="BN1328" i="5"/>
  <c r="BN1329" i="5"/>
  <c r="BN1330" i="5"/>
  <c r="BN1331" i="5"/>
  <c r="BN1332" i="5"/>
  <c r="BN1333" i="5"/>
  <c r="BN1334" i="5"/>
  <c r="BN1335" i="5"/>
  <c r="BN1336" i="5"/>
  <c r="BN1337" i="5"/>
  <c r="BN1338" i="5"/>
  <c r="BN1339" i="5"/>
  <c r="BN1340" i="5"/>
  <c r="BN1341" i="5"/>
  <c r="BN1342" i="5"/>
  <c r="BN1343" i="5"/>
  <c r="BN1344" i="5"/>
  <c r="BN1345" i="5"/>
  <c r="BN1346" i="5"/>
  <c r="BN1347" i="5"/>
  <c r="BN1348" i="5"/>
  <c r="BN1349" i="5"/>
  <c r="BN1350" i="5"/>
  <c r="BN1351" i="5"/>
  <c r="BN1352" i="5"/>
  <c r="BN1353" i="5"/>
  <c r="BN1354" i="5"/>
  <c r="BN1355" i="5"/>
  <c r="BN1356" i="5"/>
  <c r="BN1357" i="5"/>
  <c r="BN1358" i="5"/>
  <c r="BN1359" i="5"/>
  <c r="BN1360" i="5"/>
  <c r="BN1361" i="5"/>
  <c r="BN1362" i="5"/>
  <c r="BN1363" i="5"/>
  <c r="BN1364" i="5"/>
  <c r="BN1365" i="5"/>
  <c r="BN1366" i="5"/>
  <c r="BN1367" i="5"/>
  <c r="BN1368" i="5"/>
  <c r="BN1369" i="5"/>
  <c r="BN1370" i="5"/>
  <c r="BN1371" i="5"/>
  <c r="BN1372" i="5"/>
  <c r="BN1373" i="5"/>
  <c r="BN1374" i="5"/>
  <c r="BN1375" i="5"/>
  <c r="BN1376" i="5"/>
  <c r="BN1377" i="5"/>
  <c r="BN1378" i="5"/>
  <c r="BN1379" i="5"/>
  <c r="BN1380" i="5"/>
  <c r="BN1381" i="5"/>
  <c r="BN1382" i="5"/>
  <c r="BN1383" i="5"/>
  <c r="BN1384" i="5"/>
  <c r="BN1385" i="5"/>
  <c r="BN1386" i="5"/>
  <c r="BN1387" i="5"/>
  <c r="BN1388" i="5"/>
  <c r="BN1389" i="5"/>
  <c r="BN1390" i="5"/>
  <c r="BN1391" i="5"/>
  <c r="BN1392" i="5"/>
  <c r="BN1393" i="5"/>
  <c r="BN1394" i="5"/>
  <c r="BN1395" i="5"/>
  <c r="BN1396" i="5"/>
  <c r="BN1397" i="5"/>
  <c r="BN1398" i="5"/>
  <c r="BN1399" i="5"/>
  <c r="BN1400" i="5"/>
  <c r="BN1401" i="5"/>
  <c r="BN1402" i="5"/>
  <c r="BN1403" i="5"/>
  <c r="BN1404" i="5"/>
  <c r="BN1405" i="5"/>
  <c r="BN1406" i="5"/>
  <c r="BN1407" i="5"/>
  <c r="BN1408" i="5"/>
  <c r="BN1409" i="5"/>
  <c r="BN1410" i="5"/>
  <c r="BN1411" i="5"/>
  <c r="BN1412" i="5"/>
  <c r="BN1413" i="5"/>
  <c r="BN1414" i="5"/>
  <c r="BN1415" i="5"/>
  <c r="BN1416" i="5"/>
  <c r="BN1417" i="5"/>
  <c r="BN1418" i="5"/>
  <c r="BN1419" i="5"/>
  <c r="BN1420" i="5"/>
  <c r="BN1421" i="5"/>
  <c r="BN1422" i="5"/>
  <c r="BN1423" i="5"/>
  <c r="BN1424" i="5"/>
  <c r="BN1425" i="5"/>
  <c r="BN1426" i="5"/>
  <c r="BN1427" i="5"/>
  <c r="BN1428" i="5"/>
  <c r="BN1429" i="5"/>
  <c r="BN1430" i="5"/>
  <c r="BN1431" i="5"/>
  <c r="BN1432" i="5"/>
  <c r="BN1433" i="5"/>
  <c r="BN1434" i="5"/>
  <c r="BN1435" i="5"/>
  <c r="BN1436" i="5"/>
  <c r="BN1437" i="5"/>
  <c r="BN1438" i="5"/>
  <c r="BN1439" i="5"/>
  <c r="BN1440" i="5"/>
  <c r="BN1441" i="5"/>
  <c r="BN1442" i="5"/>
  <c r="BN1443" i="5"/>
  <c r="BN1444" i="5"/>
  <c r="BN1445" i="5"/>
  <c r="BN1446" i="5"/>
  <c r="BN1447" i="5"/>
  <c r="BN1448" i="5"/>
  <c r="BN1449" i="5"/>
  <c r="BN1450" i="5"/>
  <c r="BN1451" i="5"/>
  <c r="BN1452" i="5"/>
  <c r="BN1453" i="5"/>
  <c r="BN1454" i="5"/>
  <c r="BN1455" i="5"/>
  <c r="BN1456" i="5"/>
  <c r="BN1457" i="5"/>
  <c r="BN1458" i="5"/>
  <c r="BN1459" i="5"/>
  <c r="BN1460" i="5"/>
  <c r="BN1461" i="5"/>
  <c r="BN1462" i="5"/>
  <c r="BN1463" i="5"/>
  <c r="BN1464" i="5"/>
  <c r="BN1465" i="5"/>
  <c r="BN1466" i="5"/>
  <c r="BN1467" i="5"/>
  <c r="BN1468" i="5"/>
  <c r="BN1469" i="5"/>
  <c r="BN1470" i="5"/>
  <c r="BN1471" i="5"/>
  <c r="BN1472" i="5"/>
  <c r="BN1473" i="5"/>
  <c r="BN1474" i="5"/>
  <c r="BN1475" i="5"/>
  <c r="BN1476" i="5"/>
  <c r="BN1477" i="5"/>
  <c r="BN1478" i="5"/>
  <c r="BN1479" i="5"/>
  <c r="BN1480" i="5"/>
  <c r="BN1481" i="5"/>
  <c r="BN1482" i="5"/>
  <c r="BN1483" i="5"/>
  <c r="BN1484" i="5"/>
  <c r="BN1485" i="5"/>
  <c r="BN1486" i="5"/>
  <c r="BN1487" i="5"/>
  <c r="BN1488" i="5"/>
  <c r="BN1489" i="5"/>
  <c r="BN1490" i="5"/>
  <c r="BN1491" i="5"/>
  <c r="BN1492" i="5"/>
  <c r="BN1493" i="5"/>
  <c r="BN1494" i="5"/>
  <c r="BN1495" i="5"/>
  <c r="BN1496" i="5"/>
  <c r="BN1497" i="5"/>
  <c r="BN1498" i="5"/>
  <c r="BN1499" i="5"/>
  <c r="BN1500" i="5"/>
  <c r="BN1501" i="5"/>
  <c r="BN1502" i="5"/>
  <c r="BN1503" i="5"/>
  <c r="BN1504" i="5"/>
  <c r="BN1505" i="5"/>
  <c r="BN1506" i="5"/>
  <c r="BN1507" i="5"/>
  <c r="BN1508" i="5"/>
  <c r="BN1509" i="5"/>
  <c r="BN1510" i="5"/>
  <c r="BN1511" i="5"/>
  <c r="BN1512" i="5"/>
  <c r="BN1513" i="5"/>
  <c r="BN1514" i="5"/>
  <c r="BN1515" i="5"/>
  <c r="BN1516" i="5"/>
  <c r="BN1517" i="5"/>
  <c r="BN1518" i="5"/>
  <c r="BN1519" i="5"/>
  <c r="BN1520" i="5"/>
  <c r="BN1521" i="5"/>
  <c r="BN1522" i="5"/>
  <c r="BN1523" i="5"/>
  <c r="BN1524" i="5"/>
  <c r="BN1525" i="5"/>
  <c r="BN1526" i="5"/>
  <c r="BN1527" i="5"/>
  <c r="BN1528" i="5"/>
  <c r="BN1529" i="5"/>
  <c r="BN1530" i="5"/>
  <c r="BN1531" i="5"/>
  <c r="BN1532" i="5"/>
  <c r="BN1533" i="5"/>
  <c r="BN1534" i="5"/>
  <c r="BN1535" i="5"/>
  <c r="BN1536" i="5"/>
  <c r="BN1537" i="5"/>
  <c r="BN1538" i="5"/>
  <c r="BN1539" i="5"/>
  <c r="BN1540" i="5"/>
  <c r="BN1541" i="5"/>
  <c r="BN1542" i="5"/>
  <c r="BN1543" i="5"/>
  <c r="BN1544" i="5"/>
  <c r="BN1545" i="5"/>
  <c r="BN1546" i="5"/>
  <c r="BN1547" i="5"/>
  <c r="BN1548" i="5"/>
  <c r="BN1549" i="5"/>
  <c r="BN1550" i="5"/>
  <c r="BN1551" i="5"/>
  <c r="BN1552" i="5"/>
  <c r="BN1553" i="5"/>
  <c r="BN1554" i="5"/>
  <c r="BN1555" i="5"/>
  <c r="BN1556" i="5"/>
  <c r="BN1557" i="5"/>
  <c r="BN1558" i="5"/>
  <c r="BN1559" i="5"/>
  <c r="BN1560" i="5"/>
  <c r="BN1561" i="5"/>
  <c r="BN1562" i="5"/>
  <c r="BN1563" i="5"/>
  <c r="BN1564" i="5"/>
  <c r="BN1565" i="5"/>
  <c r="BN1566" i="5"/>
  <c r="BN1567" i="5"/>
  <c r="BN1568" i="5"/>
  <c r="BN1569" i="5"/>
  <c r="BN1570" i="5"/>
  <c r="BN1571" i="5"/>
  <c r="BN1572" i="5"/>
  <c r="BN1573" i="5"/>
  <c r="BN1574" i="5"/>
  <c r="BN1575" i="5"/>
  <c r="BN1576" i="5"/>
  <c r="BN1577" i="5"/>
  <c r="BN1578" i="5"/>
  <c r="BN1579" i="5"/>
  <c r="BN1580" i="5"/>
  <c r="BN1581" i="5"/>
  <c r="BN1582" i="5"/>
  <c r="BN1583" i="5"/>
  <c r="BN1584" i="5"/>
  <c r="BN1585" i="5"/>
  <c r="BN1586" i="5"/>
  <c r="BN1587" i="5"/>
  <c r="BN1588" i="5"/>
  <c r="BN1589" i="5"/>
  <c r="BN1590" i="5"/>
  <c r="BN1591" i="5"/>
  <c r="BN1592" i="5"/>
  <c r="BN1593" i="5"/>
  <c r="BN1594" i="5"/>
  <c r="BN1595" i="5"/>
  <c r="BN1596" i="5"/>
  <c r="BN1597" i="5"/>
  <c r="BN1598" i="5"/>
  <c r="BN1599" i="5"/>
  <c r="BN1600" i="5"/>
  <c r="BN1601" i="5"/>
  <c r="BN1602" i="5"/>
  <c r="BN1603" i="5"/>
  <c r="BN1604" i="5"/>
  <c r="BN1605" i="5"/>
  <c r="BN1606" i="5"/>
  <c r="BN1607" i="5"/>
  <c r="BN1608" i="5"/>
  <c r="BN1609" i="5"/>
  <c r="BN1610" i="5"/>
  <c r="BN1611" i="5"/>
  <c r="BN1612" i="5"/>
  <c r="BN1613" i="5"/>
  <c r="BN1614" i="5"/>
  <c r="BN1615" i="5"/>
  <c r="BN1616" i="5"/>
  <c r="BN1617" i="5"/>
  <c r="BN1618" i="5"/>
  <c r="BN1619" i="5"/>
  <c r="BN1620" i="5"/>
  <c r="BN1621" i="5"/>
  <c r="BN1622" i="5"/>
  <c r="BN1623" i="5"/>
  <c r="BN1624" i="5"/>
  <c r="BN1625" i="5"/>
  <c r="BN1626" i="5"/>
  <c r="BN1627" i="5"/>
  <c r="BN1628" i="5"/>
  <c r="BN1629" i="5"/>
  <c r="BN1630" i="5"/>
  <c r="BN1631" i="5"/>
  <c r="BN1632" i="5"/>
  <c r="BN1633" i="5"/>
  <c r="BN1634" i="5"/>
  <c r="BN1635" i="5"/>
  <c r="BN1636" i="5"/>
  <c r="BN1637" i="5"/>
  <c r="BN1638" i="5"/>
  <c r="BN1639" i="5"/>
  <c r="BN1640" i="5"/>
  <c r="BN1641" i="5"/>
  <c r="BN1642" i="5"/>
  <c r="BN1643" i="5"/>
  <c r="BN1644" i="5"/>
  <c r="BN1645" i="5"/>
  <c r="BN1646" i="5"/>
  <c r="BN1647" i="5"/>
  <c r="BN1648" i="5"/>
  <c r="BN1649" i="5"/>
  <c r="BN1650" i="5"/>
  <c r="BN1651" i="5"/>
  <c r="BN1652" i="5"/>
  <c r="BN1653" i="5"/>
  <c r="BN1654" i="5"/>
  <c r="BN1655" i="5"/>
  <c r="BN1656" i="5"/>
  <c r="BN1657" i="5"/>
  <c r="BN1658" i="5"/>
  <c r="BN1659" i="5"/>
  <c r="BN1660" i="5"/>
  <c r="BN1661" i="5"/>
  <c r="BN1662" i="5"/>
  <c r="BN1663" i="5"/>
  <c r="BN1664" i="5"/>
  <c r="BN1665" i="5"/>
  <c r="BN1666" i="5"/>
  <c r="BN1667" i="5"/>
  <c r="BN1668" i="5"/>
  <c r="BN1669" i="5"/>
  <c r="BN1670" i="5"/>
  <c r="BN1671" i="5"/>
  <c r="BN1672" i="5"/>
  <c r="BN1673" i="5"/>
  <c r="BN1674" i="5"/>
  <c r="BN1675" i="5"/>
  <c r="BN1676" i="5"/>
  <c r="BN1677" i="5"/>
  <c r="BN1678" i="5"/>
  <c r="BN1679" i="5"/>
  <c r="BN1680" i="5"/>
  <c r="BN1681" i="5"/>
  <c r="BN1682" i="5"/>
  <c r="BN1683" i="5"/>
  <c r="BN1684" i="5"/>
  <c r="BN1685" i="5"/>
  <c r="BN1686" i="5"/>
  <c r="BN1687" i="5"/>
  <c r="BN1688" i="5"/>
  <c r="BN1689" i="5"/>
  <c r="BN1690" i="5"/>
  <c r="BN1691" i="5"/>
  <c r="BN1692" i="5"/>
  <c r="BN1693" i="5"/>
  <c r="BN1694" i="5"/>
  <c r="BN1695" i="5"/>
  <c r="BN1696" i="5"/>
  <c r="BN1697" i="5"/>
  <c r="BN1698" i="5"/>
  <c r="BN1699" i="5"/>
  <c r="BN1700" i="5"/>
  <c r="BN1701" i="5"/>
  <c r="BN1702" i="5"/>
  <c r="BN1703" i="5"/>
  <c r="BN1704" i="5"/>
  <c r="BN1705" i="5"/>
  <c r="BN1706" i="5"/>
  <c r="BN1707" i="5"/>
  <c r="BN1708" i="5"/>
  <c r="BN1709" i="5"/>
  <c r="BN1710" i="5"/>
  <c r="BN1711" i="5"/>
  <c r="BN1712" i="5"/>
  <c r="BN1713" i="5"/>
  <c r="BN1714" i="5"/>
  <c r="BN1715" i="5"/>
  <c r="BN1716" i="5"/>
  <c r="BN1717" i="5"/>
  <c r="BN1718" i="5"/>
  <c r="BN1719" i="5"/>
  <c r="BN1720" i="5"/>
  <c r="BN1721" i="5"/>
  <c r="BN1722" i="5"/>
  <c r="BN1723" i="5"/>
  <c r="BN1724" i="5"/>
  <c r="BN1725" i="5"/>
  <c r="BN1726" i="5"/>
  <c r="BN1727" i="5"/>
  <c r="BN1728" i="5"/>
  <c r="BN1729" i="5"/>
  <c r="BN1730" i="5"/>
  <c r="BN1731" i="5"/>
  <c r="BN1732" i="5"/>
  <c r="BN1733" i="5"/>
  <c r="BN1734" i="5"/>
  <c r="BN1735" i="5"/>
  <c r="BN1736" i="5"/>
  <c r="BN1737" i="5"/>
  <c r="BN1738" i="5"/>
  <c r="BN1739" i="5"/>
  <c r="BN1740" i="5"/>
  <c r="BN1741" i="5"/>
  <c r="BN1742" i="5"/>
  <c r="BN1743" i="5"/>
  <c r="BN1744" i="5"/>
  <c r="BN1745" i="5"/>
  <c r="BN1746" i="5"/>
  <c r="BN1747" i="5"/>
  <c r="BN1748" i="5"/>
  <c r="BN1749" i="5"/>
  <c r="BN1750" i="5"/>
  <c r="BN1751" i="5"/>
  <c r="BN1752" i="5"/>
  <c r="BN1753" i="5"/>
  <c r="BN1754" i="5"/>
  <c r="BN1755" i="5"/>
  <c r="BN1756" i="5"/>
  <c r="BN1757" i="5"/>
  <c r="BN1758" i="5"/>
  <c r="BN1759" i="5"/>
  <c r="BN1760" i="5"/>
  <c r="BN1761" i="5"/>
  <c r="BN1762" i="5"/>
  <c r="BN1763" i="5"/>
  <c r="BN1764" i="5"/>
  <c r="BN1765" i="5"/>
  <c r="BN1766" i="5"/>
  <c r="BN1767" i="5"/>
  <c r="BN1768" i="5"/>
  <c r="BN1769" i="5"/>
  <c r="BN1770" i="5"/>
  <c r="BN1771" i="5"/>
  <c r="BN1772" i="5"/>
  <c r="BN1773" i="5"/>
  <c r="BN1774" i="5"/>
  <c r="BN1775" i="5"/>
  <c r="BN1776" i="5"/>
  <c r="BN1777" i="5"/>
  <c r="BN1778" i="5"/>
  <c r="BN1779" i="5"/>
  <c r="BN1780" i="5"/>
  <c r="BN1781" i="5"/>
  <c r="BN1782" i="5"/>
  <c r="BN1783" i="5"/>
  <c r="BN1784" i="5"/>
  <c r="BN1785" i="5"/>
  <c r="BN1786" i="5"/>
  <c r="BN1787" i="5"/>
  <c r="BN1788" i="5"/>
  <c r="BN1789" i="5"/>
  <c r="BN1790" i="5"/>
  <c r="BN1791" i="5"/>
  <c r="BN1792" i="5"/>
  <c r="BN1793" i="5"/>
  <c r="BN1794" i="5"/>
  <c r="BN1795" i="5"/>
  <c r="BN1796" i="5"/>
  <c r="BN1797" i="5"/>
  <c r="BN1798" i="5"/>
  <c r="BN1799" i="5"/>
  <c r="BN1800" i="5"/>
  <c r="BN1801" i="5"/>
  <c r="BN1802" i="5"/>
  <c r="BN1803" i="5"/>
  <c r="BN1804" i="5"/>
  <c r="BN1805" i="5"/>
  <c r="BN1806" i="5"/>
  <c r="BN1807" i="5"/>
  <c r="BN1808" i="5"/>
  <c r="BN1809" i="5"/>
  <c r="BN1810" i="5"/>
  <c r="BN1811" i="5"/>
  <c r="BN1812" i="5"/>
  <c r="BN1813" i="5"/>
  <c r="BN1814" i="5"/>
  <c r="BN1815" i="5"/>
  <c r="BN1816" i="5"/>
  <c r="BN1817" i="5"/>
  <c r="BN1818" i="5"/>
  <c r="BN1819" i="5"/>
  <c r="BN1820" i="5"/>
  <c r="BN1821" i="5"/>
  <c r="BN1822" i="5"/>
  <c r="BN1823" i="5"/>
  <c r="BN1824" i="5"/>
  <c r="BN1825" i="5"/>
  <c r="BN1826" i="5"/>
  <c r="BN1827" i="5"/>
  <c r="BN1828" i="5"/>
  <c r="BN1829" i="5"/>
  <c r="BN1830" i="5"/>
  <c r="BN1831" i="5"/>
  <c r="BN1832" i="5"/>
  <c r="BN1833" i="5"/>
  <c r="BN1834" i="5"/>
  <c r="BN1835" i="5"/>
  <c r="BN1836" i="5"/>
  <c r="BN1837" i="5"/>
  <c r="BN1838" i="5"/>
  <c r="BN1839" i="5"/>
  <c r="BN1840" i="5"/>
  <c r="BN1841" i="5"/>
  <c r="BN1842" i="5"/>
  <c r="BN1843" i="5"/>
  <c r="BN1844" i="5"/>
  <c r="BN1845" i="5"/>
  <c r="BN1846" i="5"/>
  <c r="BN1847" i="5"/>
  <c r="BN1848" i="5"/>
  <c r="BN1849" i="5"/>
  <c r="BN1850" i="5"/>
  <c r="BN1851" i="5"/>
  <c r="BN1852" i="5"/>
  <c r="BN1853" i="5"/>
  <c r="BN1854" i="5"/>
  <c r="BN1855" i="5"/>
  <c r="BN1856" i="5"/>
  <c r="BN1857" i="5"/>
  <c r="BN1858" i="5"/>
  <c r="BN1859" i="5"/>
  <c r="BN1860" i="5"/>
  <c r="BN1861" i="5"/>
  <c r="BN1862" i="5"/>
  <c r="BN1863" i="5"/>
  <c r="BN1864" i="5"/>
  <c r="BN1865" i="5"/>
  <c r="BN1866" i="5"/>
  <c r="BN1867" i="5"/>
  <c r="BN1868" i="5"/>
  <c r="BN1869" i="5"/>
  <c r="BN1870" i="5"/>
  <c r="BN1871" i="5"/>
  <c r="BN1872" i="5"/>
  <c r="BN1873" i="5"/>
  <c r="BN1874" i="5"/>
  <c r="BN1875" i="5"/>
  <c r="BN1876" i="5"/>
  <c r="BN1877" i="5"/>
  <c r="BN1878" i="5"/>
  <c r="BN1879" i="5"/>
  <c r="BN1880" i="5"/>
  <c r="BN1881" i="5"/>
  <c r="BN1882" i="5"/>
  <c r="BN1883" i="5"/>
  <c r="BN1884" i="5"/>
  <c r="BN1885" i="5"/>
  <c r="BN1886" i="5"/>
  <c r="BN1887" i="5"/>
  <c r="BN1888" i="5"/>
  <c r="BN1889" i="5"/>
  <c r="BN1890" i="5"/>
  <c r="BN1891" i="5"/>
  <c r="BN1892" i="5"/>
  <c r="BN1893" i="5"/>
  <c r="BN1894" i="5"/>
  <c r="BN1895" i="5"/>
  <c r="BN1896" i="5"/>
  <c r="BN1897" i="5"/>
  <c r="BN1898" i="5"/>
  <c r="BN1899" i="5"/>
  <c r="BN1900" i="5"/>
  <c r="BN1901" i="5"/>
  <c r="BN1902" i="5"/>
  <c r="BN1903" i="5"/>
  <c r="BN1904" i="5"/>
  <c r="BN1905" i="5"/>
  <c r="BN1906" i="5"/>
  <c r="BN1907" i="5"/>
  <c r="BN1908" i="5"/>
  <c r="BN1909" i="5"/>
  <c r="BN1910" i="5"/>
  <c r="BN1911" i="5"/>
  <c r="BN1912" i="5"/>
  <c r="BN1913" i="5"/>
  <c r="BN1914" i="5"/>
  <c r="BN1915" i="5"/>
  <c r="BN1916" i="5"/>
  <c r="BN1917" i="5"/>
  <c r="BN1918" i="5"/>
  <c r="BN1919" i="5"/>
  <c r="BN1920" i="5"/>
  <c r="BN1921" i="5"/>
  <c r="BN1922" i="5"/>
  <c r="BN1923" i="5"/>
  <c r="BN1924" i="5"/>
  <c r="BN1925" i="5"/>
  <c r="BN1926" i="5"/>
  <c r="BN1927" i="5"/>
  <c r="BN1928" i="5"/>
  <c r="BN1929" i="5"/>
  <c r="BN1930" i="5"/>
  <c r="BN1931" i="5"/>
  <c r="BN1932" i="5"/>
  <c r="BN1933" i="5"/>
  <c r="BN1934" i="5"/>
  <c r="BN1935" i="5"/>
  <c r="BN1936" i="5"/>
  <c r="BN1937" i="5"/>
  <c r="BN1938" i="5"/>
  <c r="BN1939" i="5"/>
  <c r="BN1940" i="5"/>
  <c r="BN1941" i="5"/>
  <c r="BN1942" i="5"/>
  <c r="BN1943" i="5"/>
  <c r="BN1944" i="5"/>
  <c r="BN1945" i="5"/>
  <c r="BN1946" i="5"/>
  <c r="BN1947" i="5"/>
  <c r="BN1948" i="5"/>
  <c r="BN1949" i="5"/>
  <c r="BN1950" i="5"/>
  <c r="BN1951" i="5"/>
  <c r="BN1952" i="5"/>
  <c r="BN1953" i="5"/>
  <c r="BN1954" i="5"/>
  <c r="BN1955" i="5"/>
  <c r="BN1956" i="5"/>
  <c r="BN1957" i="5"/>
  <c r="BN1958" i="5"/>
  <c r="BN1959" i="5"/>
  <c r="BN1960" i="5"/>
  <c r="BN1961" i="5"/>
  <c r="BN1962" i="5"/>
  <c r="BN1963" i="5"/>
  <c r="BN1964" i="5"/>
  <c r="BN1965" i="5"/>
  <c r="BN1966" i="5"/>
  <c r="BN1967" i="5"/>
  <c r="BN1968" i="5"/>
  <c r="BN1969" i="5"/>
  <c r="BN1970" i="5"/>
  <c r="BN1971" i="5"/>
  <c r="BN1972" i="5"/>
  <c r="BN1973" i="5"/>
  <c r="BN1974" i="5"/>
  <c r="BN1975" i="5"/>
  <c r="BN1976" i="5"/>
  <c r="BN1977" i="5"/>
  <c r="BN1978" i="5"/>
  <c r="BN1979" i="5"/>
  <c r="BN1980" i="5"/>
  <c r="BN1981" i="5"/>
  <c r="BN1982" i="5"/>
  <c r="BN1983" i="5"/>
  <c r="BN1984" i="5"/>
  <c r="BN1985" i="5"/>
  <c r="BN1986" i="5"/>
  <c r="BN1987" i="5"/>
  <c r="BN1988" i="5"/>
  <c r="BN1989" i="5"/>
  <c r="BN1990" i="5"/>
  <c r="BN1991" i="5"/>
  <c r="BN1992" i="5"/>
  <c r="BN1993" i="5"/>
  <c r="BN1994" i="5"/>
  <c r="BN1995" i="5"/>
  <c r="BN1996" i="5"/>
  <c r="BN1997" i="5"/>
  <c r="BN1998" i="5"/>
  <c r="BN1999" i="5"/>
  <c r="BN2000" i="5"/>
  <c r="BN2001" i="5"/>
  <c r="BN2002" i="5"/>
  <c r="BN2003" i="5"/>
  <c r="BN2004" i="5"/>
  <c r="BN2005" i="5"/>
  <c r="BN2006" i="5"/>
  <c r="BN2007" i="5"/>
  <c r="BN2008" i="5"/>
  <c r="BN2009" i="5"/>
  <c r="BN2010" i="5"/>
  <c r="BN2011" i="5"/>
  <c r="BN2012" i="5"/>
  <c r="BN2013" i="5"/>
  <c r="BN2014" i="5"/>
  <c r="BN2015" i="5"/>
  <c r="BN2016" i="5"/>
  <c r="BN2017" i="5"/>
  <c r="BN2018" i="5"/>
  <c r="BN2019" i="5"/>
  <c r="BN2020" i="5"/>
  <c r="BN2021" i="5"/>
  <c r="BN2022" i="5"/>
  <c r="BN2023" i="5"/>
  <c r="BN2024" i="5"/>
  <c r="BN2025" i="5"/>
  <c r="BN2026" i="5"/>
  <c r="BN2027" i="5"/>
  <c r="BN2028" i="5"/>
  <c r="BN2029" i="5"/>
  <c r="BN2030" i="5"/>
  <c r="BN2031" i="5"/>
  <c r="BN2032" i="5"/>
  <c r="BN2033" i="5"/>
  <c r="BN2034" i="5"/>
  <c r="BN2035" i="5"/>
  <c r="BN2036" i="5"/>
  <c r="BN2037" i="5"/>
  <c r="BN2038" i="5"/>
  <c r="BN2039" i="5"/>
  <c r="BN2040" i="5"/>
  <c r="BN2041" i="5"/>
  <c r="BN2042" i="5"/>
  <c r="BN2043" i="5"/>
  <c r="BN2044" i="5"/>
  <c r="BN2045" i="5"/>
  <c r="BN2046" i="5"/>
  <c r="BN2047" i="5"/>
  <c r="BN2048" i="5"/>
  <c r="BN2049" i="5"/>
  <c r="BN2050" i="5"/>
  <c r="BN2051" i="5"/>
  <c r="BN2052" i="5"/>
  <c r="BN2053" i="5"/>
  <c r="BN2054" i="5"/>
  <c r="BN2055" i="5"/>
  <c r="BN2056" i="5"/>
  <c r="BN2057" i="5"/>
  <c r="BN2058" i="5"/>
  <c r="BN2059" i="5"/>
  <c r="BN2060" i="5"/>
  <c r="BN2061" i="5"/>
  <c r="BN2062" i="5"/>
  <c r="BN2063" i="5"/>
  <c r="BN2064" i="5"/>
  <c r="BN2065" i="5"/>
  <c r="BN2066" i="5"/>
  <c r="BN2067" i="5"/>
  <c r="BN2068" i="5"/>
  <c r="BN2069" i="5"/>
  <c r="BN2070" i="5"/>
  <c r="BN2071" i="5"/>
  <c r="BN2072" i="5"/>
  <c r="BN2073" i="5"/>
  <c r="BN2074" i="5"/>
  <c r="BN2075" i="5"/>
  <c r="BN2076" i="5"/>
  <c r="BN2077" i="5"/>
  <c r="BN2078" i="5"/>
  <c r="BN2079" i="5"/>
  <c r="BN2080" i="5"/>
  <c r="BN2081" i="5"/>
  <c r="BN2082" i="5"/>
  <c r="BN2083" i="5"/>
  <c r="BN2084" i="5"/>
  <c r="BN2085" i="5"/>
  <c r="BN2086" i="5"/>
  <c r="BN2087" i="5"/>
  <c r="BN2088" i="5"/>
  <c r="BN2089" i="5"/>
  <c r="BN2090" i="5"/>
  <c r="BN2091" i="5"/>
  <c r="BN2092" i="5"/>
  <c r="BN2093" i="5"/>
  <c r="BN2094" i="5"/>
  <c r="BN2095" i="5"/>
  <c r="BN2096" i="5"/>
  <c r="BN2097" i="5"/>
  <c r="BN2098" i="5"/>
  <c r="BN2099" i="5"/>
  <c r="BN2100" i="5"/>
  <c r="BN2101" i="5"/>
  <c r="BN2102" i="5"/>
  <c r="BN2103" i="5"/>
  <c r="BN2104" i="5"/>
  <c r="BN2105" i="5"/>
  <c r="BN2106" i="5"/>
  <c r="BN2107" i="5"/>
  <c r="BN2108" i="5"/>
  <c r="BN2109" i="5"/>
  <c r="BN2110" i="5"/>
  <c r="BN2111" i="5"/>
  <c r="BN2112" i="5"/>
  <c r="BN2113" i="5"/>
  <c r="BN2114" i="5"/>
  <c r="BN2115" i="5"/>
  <c r="BN2116" i="5"/>
  <c r="BN2117" i="5"/>
  <c r="BN2118" i="5"/>
  <c r="BN2119" i="5"/>
  <c r="BN2120" i="5"/>
  <c r="BN2121" i="5"/>
  <c r="BN2122" i="5"/>
  <c r="BN2123" i="5"/>
  <c r="BN2124" i="5"/>
  <c r="BN2125" i="5"/>
  <c r="BN2126" i="5"/>
  <c r="BN2127" i="5"/>
  <c r="BN2128" i="5"/>
  <c r="BN2129" i="5"/>
  <c r="BN2130" i="5"/>
  <c r="BN2131" i="5"/>
  <c r="BN2132" i="5"/>
  <c r="BN2133" i="5"/>
  <c r="BN2134" i="5"/>
  <c r="BN2135" i="5"/>
  <c r="BN2136" i="5"/>
  <c r="BN2137" i="5"/>
  <c r="BN2138" i="5"/>
  <c r="BN2139" i="5"/>
  <c r="BN2140" i="5"/>
  <c r="BN2141" i="5"/>
  <c r="BN2142" i="5"/>
  <c r="BN2143" i="5"/>
  <c r="BN2144" i="5"/>
  <c r="BN2145" i="5"/>
  <c r="BN2146" i="5"/>
  <c r="BN2147" i="5"/>
  <c r="BN2148" i="5"/>
  <c r="BN2149" i="5"/>
  <c r="BN2150" i="5"/>
  <c r="BN2151" i="5"/>
  <c r="BN2152" i="5"/>
  <c r="BN2153" i="5"/>
  <c r="BN2154" i="5"/>
  <c r="BN2155" i="5"/>
  <c r="BN2156" i="5"/>
  <c r="BN2157" i="5"/>
  <c r="BN2158" i="5"/>
  <c r="BN2159" i="5"/>
  <c r="BN2160" i="5"/>
  <c r="BN2161" i="5"/>
  <c r="BN2162" i="5"/>
  <c r="BN2163" i="5"/>
  <c r="BN2164" i="5"/>
  <c r="BN2165" i="5"/>
  <c r="BN2166" i="5"/>
  <c r="BN2167" i="5"/>
  <c r="BN2168" i="5"/>
  <c r="BN2169" i="5"/>
  <c r="BN2170" i="5"/>
  <c r="BN2171" i="5"/>
  <c r="BN2172" i="5"/>
  <c r="BN2173" i="5"/>
  <c r="BN2174" i="5"/>
  <c r="BN2175" i="5"/>
  <c r="BN2176" i="5"/>
  <c r="BN2177" i="5"/>
  <c r="BN2178" i="5"/>
  <c r="BN2179" i="5"/>
  <c r="BN2180" i="5"/>
  <c r="BN2181" i="5"/>
  <c r="BN2182" i="5"/>
  <c r="BN2183" i="5"/>
  <c r="BN2184" i="5"/>
  <c r="BN2185" i="5"/>
  <c r="BN2186" i="5"/>
  <c r="BN2187" i="5"/>
  <c r="BN2188" i="5"/>
  <c r="BN2189" i="5"/>
  <c r="BN2190" i="5"/>
  <c r="BN2191" i="5"/>
  <c r="BN2192" i="5"/>
  <c r="BN2193" i="5"/>
  <c r="BN2194" i="5"/>
  <c r="BN2195" i="5"/>
  <c r="BN2196" i="5"/>
  <c r="BN2197" i="5"/>
  <c r="BN2198" i="5"/>
  <c r="BN2199" i="5"/>
  <c r="BN2200" i="5"/>
  <c r="BN2201" i="5"/>
  <c r="BN2202" i="5"/>
  <c r="BN2203" i="5"/>
  <c r="BN2204" i="5"/>
  <c r="BN2205" i="5"/>
  <c r="BN2206" i="5"/>
  <c r="BN2207" i="5"/>
  <c r="BN2208" i="5"/>
  <c r="BN2209" i="5"/>
  <c r="BN2210" i="5"/>
  <c r="BN2211" i="5"/>
  <c r="BN2212" i="5"/>
  <c r="BN2213" i="5"/>
  <c r="BN2214" i="5"/>
  <c r="BN2215" i="5"/>
  <c r="BN2216" i="5"/>
  <c r="BN2217" i="5"/>
  <c r="BN2218" i="5"/>
  <c r="BN2219" i="5"/>
  <c r="BN2220" i="5"/>
  <c r="BN2221" i="5"/>
  <c r="BN2222" i="5"/>
  <c r="BN2223" i="5"/>
  <c r="BN2224" i="5"/>
  <c r="BN2225" i="5"/>
  <c r="BN2226" i="5"/>
  <c r="BN2227" i="5"/>
  <c r="BN2228" i="5"/>
  <c r="BN2229" i="5"/>
  <c r="BN2230" i="5"/>
  <c r="BN2231" i="5"/>
  <c r="BN2232" i="5"/>
  <c r="BN2233" i="5"/>
  <c r="BN2234" i="5"/>
  <c r="BN2235" i="5"/>
  <c r="BN2236" i="5"/>
  <c r="BN2237" i="5"/>
  <c r="BN2238" i="5"/>
  <c r="BN2239" i="5"/>
  <c r="BN2240" i="5"/>
  <c r="BN2241" i="5"/>
  <c r="BN2242" i="5"/>
  <c r="BN2243" i="5"/>
  <c r="BN2244" i="5"/>
  <c r="BN2245" i="5"/>
  <c r="BN2246" i="5"/>
  <c r="BN2247" i="5"/>
  <c r="BN2248" i="5"/>
  <c r="BN2249" i="5"/>
  <c r="BN2250" i="5"/>
  <c r="BN2251" i="5"/>
  <c r="BN2252" i="5"/>
  <c r="BN2253" i="5"/>
  <c r="BN2254" i="5"/>
  <c r="BN2255" i="5"/>
  <c r="BN2256" i="5"/>
  <c r="BN2257" i="5"/>
  <c r="BN2258" i="5"/>
  <c r="BN2259" i="5"/>
  <c r="BN2260" i="5"/>
  <c r="BN2261" i="5"/>
  <c r="BN2262" i="5"/>
  <c r="BN2263" i="5"/>
  <c r="BN2264" i="5"/>
  <c r="BN2265" i="5"/>
  <c r="BN2266" i="5"/>
  <c r="BN2267" i="5"/>
  <c r="BN2268" i="5"/>
  <c r="BN2269" i="5"/>
  <c r="BN2270" i="5"/>
  <c r="BN2271" i="5"/>
  <c r="BN2272" i="5"/>
  <c r="BN2273" i="5"/>
  <c r="BN2274" i="5"/>
  <c r="BN2275" i="5"/>
  <c r="BN2276" i="5"/>
  <c r="BN2277" i="5"/>
  <c r="BN2278" i="5"/>
  <c r="BN2279" i="5"/>
  <c r="BN2280" i="5"/>
  <c r="BN2281" i="5"/>
  <c r="BN2282" i="5"/>
  <c r="BN2283" i="5"/>
  <c r="BN2284" i="5"/>
  <c r="BN2285" i="5"/>
  <c r="BN2286" i="5"/>
  <c r="BN2287" i="5"/>
  <c r="BN2288" i="5"/>
  <c r="BN2289" i="5"/>
  <c r="BN2290" i="5"/>
  <c r="BN2291" i="5"/>
  <c r="BN2292" i="5"/>
  <c r="BN2293" i="5"/>
  <c r="BN2294" i="5"/>
  <c r="BN2295" i="5"/>
  <c r="BN2296" i="5"/>
  <c r="BN2297" i="5"/>
  <c r="BN2298" i="5"/>
  <c r="BN2299" i="5"/>
  <c r="BN2300" i="5"/>
  <c r="BN2301" i="5"/>
  <c r="BN2302" i="5"/>
  <c r="BN2303" i="5"/>
  <c r="BN2304" i="5"/>
  <c r="BN2305" i="5"/>
  <c r="BN2306" i="5"/>
  <c r="BN2307" i="5"/>
  <c r="BN2308" i="5"/>
  <c r="BN2309" i="5"/>
  <c r="BN2310" i="5"/>
  <c r="BN2311" i="5"/>
  <c r="BN2312" i="5"/>
  <c r="BN2313" i="5"/>
  <c r="BN2314" i="5"/>
  <c r="BN2315" i="5"/>
  <c r="BN2316" i="5"/>
  <c r="BN2317" i="5"/>
  <c r="BN2318" i="5"/>
  <c r="BN2319" i="5"/>
  <c r="BN2320" i="5"/>
  <c r="BN2321" i="5"/>
  <c r="BN2322" i="5"/>
  <c r="BN2323" i="5"/>
  <c r="BN2324" i="5"/>
  <c r="BN2325" i="5"/>
  <c r="BN2326" i="5"/>
  <c r="BN2327" i="5"/>
  <c r="BN2328" i="5"/>
  <c r="BN2329" i="5"/>
  <c r="BN2330" i="5"/>
  <c r="BN2331" i="5"/>
  <c r="BN2332" i="5"/>
  <c r="BN2333" i="5"/>
  <c r="BN2334" i="5"/>
  <c r="BN2335" i="5"/>
  <c r="BN2336" i="5"/>
  <c r="BN2337" i="5"/>
  <c r="BN2338" i="5"/>
  <c r="BN2339" i="5"/>
  <c r="BN2340" i="5"/>
  <c r="BN2341" i="5"/>
  <c r="BN2342" i="5"/>
  <c r="BN2343" i="5"/>
  <c r="BN2344" i="5"/>
  <c r="BN2345" i="5"/>
  <c r="BN2346" i="5"/>
  <c r="BN2347" i="5"/>
  <c r="BN2348" i="5"/>
  <c r="BN2349" i="5"/>
  <c r="BN2350" i="5"/>
  <c r="BN2351" i="5"/>
  <c r="BN2352" i="5"/>
  <c r="BN2353" i="5"/>
  <c r="BN2354" i="5"/>
  <c r="BN2355" i="5"/>
  <c r="BN2356" i="5"/>
  <c r="BN2357" i="5"/>
  <c r="BN2358" i="5"/>
  <c r="BN2359" i="5"/>
  <c r="BN2360" i="5"/>
  <c r="BN2361" i="5"/>
  <c r="BN2362" i="5"/>
  <c r="BN2363" i="5"/>
  <c r="BN2364" i="5"/>
  <c r="BN2365" i="5"/>
  <c r="BN2366" i="5"/>
  <c r="BN2367" i="5"/>
  <c r="BN2368" i="5"/>
  <c r="BN2369" i="5"/>
  <c r="BN2370" i="5"/>
  <c r="BN2371" i="5"/>
  <c r="BN2372" i="5"/>
  <c r="BN2373" i="5"/>
  <c r="BN2374" i="5"/>
  <c r="BN2375" i="5"/>
  <c r="BN2376" i="5"/>
  <c r="BN2377" i="5"/>
  <c r="BN2378" i="5"/>
  <c r="BN2379" i="5"/>
  <c r="BN2380" i="5"/>
  <c r="BN2381" i="5"/>
  <c r="BN2382" i="5"/>
  <c r="BN2383" i="5"/>
  <c r="BN2384" i="5"/>
  <c r="BN2385" i="5"/>
  <c r="BN2386" i="5"/>
  <c r="BN2387" i="5"/>
  <c r="BN2388" i="5"/>
  <c r="BN2389" i="5"/>
  <c r="BN2390" i="5"/>
  <c r="BN2391" i="5"/>
  <c r="BN2392" i="5"/>
  <c r="BN2393" i="5"/>
  <c r="BN2394" i="5"/>
  <c r="BN2395" i="5"/>
  <c r="BN2396" i="5"/>
  <c r="BN2397" i="5"/>
  <c r="BN2398" i="5"/>
  <c r="BN2399" i="5"/>
  <c r="BN2400" i="5"/>
  <c r="BN2401" i="5"/>
  <c r="BN2402" i="5"/>
  <c r="BN2403" i="5"/>
  <c r="BN2404" i="5"/>
  <c r="BN2405" i="5"/>
  <c r="BN2406" i="5"/>
  <c r="BN2407" i="5"/>
  <c r="BN2408" i="5"/>
  <c r="BN2409" i="5"/>
  <c r="BN2410" i="5"/>
  <c r="BN2411" i="5"/>
  <c r="BN2412" i="5"/>
  <c r="BN2413" i="5"/>
  <c r="BN2414" i="5"/>
  <c r="BN2415" i="5"/>
  <c r="BN2416" i="5"/>
  <c r="BN2417" i="5"/>
  <c r="BN2418" i="5"/>
  <c r="BN2419" i="5"/>
  <c r="BN2420" i="5"/>
  <c r="BN2421" i="5"/>
  <c r="BN2422" i="5"/>
  <c r="BN2423" i="5"/>
  <c r="BN2424" i="5"/>
  <c r="BN2425" i="5"/>
  <c r="BN2426" i="5"/>
  <c r="BN2427" i="5"/>
  <c r="BN2428" i="5"/>
  <c r="BN2429" i="5"/>
  <c r="BN2430" i="5"/>
  <c r="BN2431" i="5"/>
  <c r="BN2432" i="5"/>
  <c r="BN2433" i="5"/>
  <c r="BN2434" i="5"/>
  <c r="BN2435" i="5"/>
  <c r="BN2436" i="5"/>
  <c r="BN2437" i="5"/>
  <c r="BN2438" i="5"/>
  <c r="BN2439" i="5"/>
  <c r="BN2440" i="5"/>
  <c r="BN2441" i="5"/>
  <c r="BN2442" i="5"/>
  <c r="BN2443" i="5"/>
  <c r="BN2444" i="5"/>
  <c r="BN2445" i="5"/>
  <c r="BN2446" i="5"/>
  <c r="BN2447" i="5"/>
  <c r="BN2448" i="5"/>
  <c r="BN2449" i="5"/>
  <c r="BN2450" i="5"/>
  <c r="BN2451" i="5"/>
  <c r="BN2452" i="5"/>
  <c r="BN2453" i="5"/>
  <c r="BN2454" i="5"/>
  <c r="BN2455" i="5"/>
  <c r="BN2456" i="5"/>
  <c r="BN2457" i="5"/>
  <c r="BN2458" i="5"/>
  <c r="BN2459" i="5"/>
  <c r="BN2460" i="5"/>
  <c r="BN2461" i="5"/>
  <c r="BN2462" i="5"/>
  <c r="BN2463" i="5"/>
  <c r="BN2464" i="5"/>
  <c r="BN2465" i="5"/>
  <c r="BN2466" i="5"/>
  <c r="BN2467" i="5"/>
  <c r="BN2468" i="5"/>
  <c r="BN2469" i="5"/>
  <c r="BN2470" i="5"/>
  <c r="BN2471" i="5"/>
  <c r="BN2472" i="5"/>
  <c r="BN2473" i="5"/>
  <c r="BN2474" i="5"/>
  <c r="BN2475" i="5"/>
  <c r="BN2476" i="5"/>
  <c r="BN2477" i="5"/>
  <c r="BN2478" i="5"/>
  <c r="BN2479" i="5"/>
  <c r="BN2480" i="5"/>
  <c r="BN2481" i="5"/>
  <c r="BN2482" i="5"/>
  <c r="BN2483" i="5"/>
  <c r="BN2484" i="5"/>
  <c r="BN2485" i="5"/>
  <c r="BN2486" i="5"/>
  <c r="BN2487" i="5"/>
  <c r="BN2488" i="5"/>
  <c r="BN2489" i="5"/>
  <c r="BN2490" i="5"/>
  <c r="BM2" i="5"/>
  <c r="BM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M187" i="5"/>
  <c r="BM188" i="5"/>
  <c r="BM189" i="5"/>
  <c r="BM190" i="5"/>
  <c r="BM191" i="5"/>
  <c r="BM192" i="5"/>
  <c r="BM193" i="5"/>
  <c r="BM194" i="5"/>
  <c r="BM195" i="5"/>
  <c r="BM196" i="5"/>
  <c r="BM197" i="5"/>
  <c r="BM198" i="5"/>
  <c r="BM199" i="5"/>
  <c r="BM200" i="5"/>
  <c r="BM201" i="5"/>
  <c r="BM202" i="5"/>
  <c r="BM203" i="5"/>
  <c r="BM204" i="5"/>
  <c r="BM205" i="5"/>
  <c r="BM206" i="5"/>
  <c r="BM207" i="5"/>
  <c r="BM208" i="5"/>
  <c r="BM209" i="5"/>
  <c r="BM210" i="5"/>
  <c r="BM211" i="5"/>
  <c r="BM212" i="5"/>
  <c r="BM213" i="5"/>
  <c r="BM214" i="5"/>
  <c r="BM215" i="5"/>
  <c r="BM216" i="5"/>
  <c r="BM217" i="5"/>
  <c r="BM218" i="5"/>
  <c r="BM219" i="5"/>
  <c r="BM220" i="5"/>
  <c r="BM221" i="5"/>
  <c r="BM222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261" i="5"/>
  <c r="BM262" i="5"/>
  <c r="BM263" i="5"/>
  <c r="BM264" i="5"/>
  <c r="BM265" i="5"/>
  <c r="BM266" i="5"/>
  <c r="BM267" i="5"/>
  <c r="BM268" i="5"/>
  <c r="BM269" i="5"/>
  <c r="BM270" i="5"/>
  <c r="BM271" i="5"/>
  <c r="BM272" i="5"/>
  <c r="BM273" i="5"/>
  <c r="BM274" i="5"/>
  <c r="BM275" i="5"/>
  <c r="BM276" i="5"/>
  <c r="BM277" i="5"/>
  <c r="BM278" i="5"/>
  <c r="BM279" i="5"/>
  <c r="BM280" i="5"/>
  <c r="BM281" i="5"/>
  <c r="BM282" i="5"/>
  <c r="BM283" i="5"/>
  <c r="BM284" i="5"/>
  <c r="BM285" i="5"/>
  <c r="BM286" i="5"/>
  <c r="BM287" i="5"/>
  <c r="BM288" i="5"/>
  <c r="BM289" i="5"/>
  <c r="BM290" i="5"/>
  <c r="BM291" i="5"/>
  <c r="BM292" i="5"/>
  <c r="BM293" i="5"/>
  <c r="BM294" i="5"/>
  <c r="BM295" i="5"/>
  <c r="BM296" i="5"/>
  <c r="BM297" i="5"/>
  <c r="BM298" i="5"/>
  <c r="BM299" i="5"/>
  <c r="BM300" i="5"/>
  <c r="BM301" i="5"/>
  <c r="BM302" i="5"/>
  <c r="BM303" i="5"/>
  <c r="BM304" i="5"/>
  <c r="BM305" i="5"/>
  <c r="BM306" i="5"/>
  <c r="BM307" i="5"/>
  <c r="BM308" i="5"/>
  <c r="BM309" i="5"/>
  <c r="BM310" i="5"/>
  <c r="BM311" i="5"/>
  <c r="BM312" i="5"/>
  <c r="BM313" i="5"/>
  <c r="BM314" i="5"/>
  <c r="BM315" i="5"/>
  <c r="BM316" i="5"/>
  <c r="BM317" i="5"/>
  <c r="BM318" i="5"/>
  <c r="BM319" i="5"/>
  <c r="BM320" i="5"/>
  <c r="BM321" i="5"/>
  <c r="BM322" i="5"/>
  <c r="BM323" i="5"/>
  <c r="BM324" i="5"/>
  <c r="BM325" i="5"/>
  <c r="BM326" i="5"/>
  <c r="BM327" i="5"/>
  <c r="BM328" i="5"/>
  <c r="BM329" i="5"/>
  <c r="BM330" i="5"/>
  <c r="BM331" i="5"/>
  <c r="BM332" i="5"/>
  <c r="BM333" i="5"/>
  <c r="BM334" i="5"/>
  <c r="BM335" i="5"/>
  <c r="BM336" i="5"/>
  <c r="BM337" i="5"/>
  <c r="BM338" i="5"/>
  <c r="BM339" i="5"/>
  <c r="BM340" i="5"/>
  <c r="BM341" i="5"/>
  <c r="BM342" i="5"/>
  <c r="BM343" i="5"/>
  <c r="BM344" i="5"/>
  <c r="BM345" i="5"/>
  <c r="BM346" i="5"/>
  <c r="BM347" i="5"/>
  <c r="BM348" i="5"/>
  <c r="BM349" i="5"/>
  <c r="BM350" i="5"/>
  <c r="BM351" i="5"/>
  <c r="BM352" i="5"/>
  <c r="BM353" i="5"/>
  <c r="BM354" i="5"/>
  <c r="BM355" i="5"/>
  <c r="BM356" i="5"/>
  <c r="BM357" i="5"/>
  <c r="BM358" i="5"/>
  <c r="BM359" i="5"/>
  <c r="BM360" i="5"/>
  <c r="BM361" i="5"/>
  <c r="BM362" i="5"/>
  <c r="BM363" i="5"/>
  <c r="BM364" i="5"/>
  <c r="BM365" i="5"/>
  <c r="BM366" i="5"/>
  <c r="BM367" i="5"/>
  <c r="BM368" i="5"/>
  <c r="BM369" i="5"/>
  <c r="BM370" i="5"/>
  <c r="BM371" i="5"/>
  <c r="BM372" i="5"/>
  <c r="BM373" i="5"/>
  <c r="BM374" i="5"/>
  <c r="BM375" i="5"/>
  <c r="BM376" i="5"/>
  <c r="BM377" i="5"/>
  <c r="BM378" i="5"/>
  <c r="BM379" i="5"/>
  <c r="BM380" i="5"/>
  <c r="BM381" i="5"/>
  <c r="BM382" i="5"/>
  <c r="BM383" i="5"/>
  <c r="BM384" i="5"/>
  <c r="BM385" i="5"/>
  <c r="BM386" i="5"/>
  <c r="BM387" i="5"/>
  <c r="BM388" i="5"/>
  <c r="BM389" i="5"/>
  <c r="BM390" i="5"/>
  <c r="BM391" i="5"/>
  <c r="BM392" i="5"/>
  <c r="BM393" i="5"/>
  <c r="BM394" i="5"/>
  <c r="BM395" i="5"/>
  <c r="BM396" i="5"/>
  <c r="BM397" i="5"/>
  <c r="BM398" i="5"/>
  <c r="BM399" i="5"/>
  <c r="BM400" i="5"/>
  <c r="BM401" i="5"/>
  <c r="BM402" i="5"/>
  <c r="BM403" i="5"/>
  <c r="BM404" i="5"/>
  <c r="BM405" i="5"/>
  <c r="BM406" i="5"/>
  <c r="BM407" i="5"/>
  <c r="BM408" i="5"/>
  <c r="BM409" i="5"/>
  <c r="BM410" i="5"/>
  <c r="BM411" i="5"/>
  <c r="BM412" i="5"/>
  <c r="BM413" i="5"/>
  <c r="BM414" i="5"/>
  <c r="BM415" i="5"/>
  <c r="BM416" i="5"/>
  <c r="BM417" i="5"/>
  <c r="BM418" i="5"/>
  <c r="BM419" i="5"/>
  <c r="BM420" i="5"/>
  <c r="BM421" i="5"/>
  <c r="BM422" i="5"/>
  <c r="BM423" i="5"/>
  <c r="BM424" i="5"/>
  <c r="BM425" i="5"/>
  <c r="BM426" i="5"/>
  <c r="BM427" i="5"/>
  <c r="BM428" i="5"/>
  <c r="BM429" i="5"/>
  <c r="BM430" i="5"/>
  <c r="BM431" i="5"/>
  <c r="BM432" i="5"/>
  <c r="BM433" i="5"/>
  <c r="BM434" i="5"/>
  <c r="BM435" i="5"/>
  <c r="BM436" i="5"/>
  <c r="BM437" i="5"/>
  <c r="BM438" i="5"/>
  <c r="BM439" i="5"/>
  <c r="BM440" i="5"/>
  <c r="BM441" i="5"/>
  <c r="BM442" i="5"/>
  <c r="BM443" i="5"/>
  <c r="BM444" i="5"/>
  <c r="BM445" i="5"/>
  <c r="BM446" i="5"/>
  <c r="BM447" i="5"/>
  <c r="BM448" i="5"/>
  <c r="BM449" i="5"/>
  <c r="BM450" i="5"/>
  <c r="BM451" i="5"/>
  <c r="BM452" i="5"/>
  <c r="BM453" i="5"/>
  <c r="BM454" i="5"/>
  <c r="BM455" i="5"/>
  <c r="BM456" i="5"/>
  <c r="BM457" i="5"/>
  <c r="BM458" i="5"/>
  <c r="BM459" i="5"/>
  <c r="BM460" i="5"/>
  <c r="BM461" i="5"/>
  <c r="BM462" i="5"/>
  <c r="BM463" i="5"/>
  <c r="BM464" i="5"/>
  <c r="BM465" i="5"/>
  <c r="BM466" i="5"/>
  <c r="BM467" i="5"/>
  <c r="BM468" i="5"/>
  <c r="BM469" i="5"/>
  <c r="BM470" i="5"/>
  <c r="BM471" i="5"/>
  <c r="BM472" i="5"/>
  <c r="BM473" i="5"/>
  <c r="BM474" i="5"/>
  <c r="BM475" i="5"/>
  <c r="BM476" i="5"/>
  <c r="BM477" i="5"/>
  <c r="BM478" i="5"/>
  <c r="BM479" i="5"/>
  <c r="BM480" i="5"/>
  <c r="BM481" i="5"/>
  <c r="BM482" i="5"/>
  <c r="BM483" i="5"/>
  <c r="BM484" i="5"/>
  <c r="BM485" i="5"/>
  <c r="BM486" i="5"/>
  <c r="BM487" i="5"/>
  <c r="BM488" i="5"/>
  <c r="BM489" i="5"/>
  <c r="BM490" i="5"/>
  <c r="BM491" i="5"/>
  <c r="BM492" i="5"/>
  <c r="BM493" i="5"/>
  <c r="BM494" i="5"/>
  <c r="BM495" i="5"/>
  <c r="BM496" i="5"/>
  <c r="BM497" i="5"/>
  <c r="BM498" i="5"/>
  <c r="BM499" i="5"/>
  <c r="BM500" i="5"/>
  <c r="BM501" i="5"/>
  <c r="BM502" i="5"/>
  <c r="BM503" i="5"/>
  <c r="BM504" i="5"/>
  <c r="BM505" i="5"/>
  <c r="BM506" i="5"/>
  <c r="BM507" i="5"/>
  <c r="BM508" i="5"/>
  <c r="BM509" i="5"/>
  <c r="BM510" i="5"/>
  <c r="BM511" i="5"/>
  <c r="BM512" i="5"/>
  <c r="BM513" i="5"/>
  <c r="BM514" i="5"/>
  <c r="BM515" i="5"/>
  <c r="BM516" i="5"/>
  <c r="BM517" i="5"/>
  <c r="BM518" i="5"/>
  <c r="BM519" i="5"/>
  <c r="BM520" i="5"/>
  <c r="BM521" i="5"/>
  <c r="BM522" i="5"/>
  <c r="BM523" i="5"/>
  <c r="BM524" i="5"/>
  <c r="BM525" i="5"/>
  <c r="BM526" i="5"/>
  <c r="BM527" i="5"/>
  <c r="BM528" i="5"/>
  <c r="BM529" i="5"/>
  <c r="BM530" i="5"/>
  <c r="BM531" i="5"/>
  <c r="BM532" i="5"/>
  <c r="BM533" i="5"/>
  <c r="BM534" i="5"/>
  <c r="BM535" i="5"/>
  <c r="BM536" i="5"/>
  <c r="BM537" i="5"/>
  <c r="BM538" i="5"/>
  <c r="BM539" i="5"/>
  <c r="BM540" i="5"/>
  <c r="BM541" i="5"/>
  <c r="BM542" i="5"/>
  <c r="BM543" i="5"/>
  <c r="BM544" i="5"/>
  <c r="BM545" i="5"/>
  <c r="BM546" i="5"/>
  <c r="BM547" i="5"/>
  <c r="BM548" i="5"/>
  <c r="BM549" i="5"/>
  <c r="BM550" i="5"/>
  <c r="BM551" i="5"/>
  <c r="BM552" i="5"/>
  <c r="BM553" i="5"/>
  <c r="BM554" i="5"/>
  <c r="BM555" i="5"/>
  <c r="BM556" i="5"/>
  <c r="BM557" i="5"/>
  <c r="BM558" i="5"/>
  <c r="BM559" i="5"/>
  <c r="BM560" i="5"/>
  <c r="BM561" i="5"/>
  <c r="BM562" i="5"/>
  <c r="BM563" i="5"/>
  <c r="BM564" i="5"/>
  <c r="BM565" i="5"/>
  <c r="BM566" i="5"/>
  <c r="BM567" i="5"/>
  <c r="BM568" i="5"/>
  <c r="BM569" i="5"/>
  <c r="BM570" i="5"/>
  <c r="BM571" i="5"/>
  <c r="BM572" i="5"/>
  <c r="BM573" i="5"/>
  <c r="BM574" i="5"/>
  <c r="BM575" i="5"/>
  <c r="BM576" i="5"/>
  <c r="BM577" i="5"/>
  <c r="BM578" i="5"/>
  <c r="BM579" i="5"/>
  <c r="BM580" i="5"/>
  <c r="BM581" i="5"/>
  <c r="BM582" i="5"/>
  <c r="BM583" i="5"/>
  <c r="BM584" i="5"/>
  <c r="BM585" i="5"/>
  <c r="BM586" i="5"/>
  <c r="BM587" i="5"/>
  <c r="BM588" i="5"/>
  <c r="BM589" i="5"/>
  <c r="BM590" i="5"/>
  <c r="BM591" i="5"/>
  <c r="BM592" i="5"/>
  <c r="BM593" i="5"/>
  <c r="BM594" i="5"/>
  <c r="BM595" i="5"/>
  <c r="BM596" i="5"/>
  <c r="BM597" i="5"/>
  <c r="BM598" i="5"/>
  <c r="BM599" i="5"/>
  <c r="BM600" i="5"/>
  <c r="BM601" i="5"/>
  <c r="BM602" i="5"/>
  <c r="BM603" i="5"/>
  <c r="BM604" i="5"/>
  <c r="BM605" i="5"/>
  <c r="BM606" i="5"/>
  <c r="BM607" i="5"/>
  <c r="BM608" i="5"/>
  <c r="BM609" i="5"/>
  <c r="BM610" i="5"/>
  <c r="BM611" i="5"/>
  <c r="BM612" i="5"/>
  <c r="BM613" i="5"/>
  <c r="BM614" i="5"/>
  <c r="BM615" i="5"/>
  <c r="BM616" i="5"/>
  <c r="BM617" i="5"/>
  <c r="BM618" i="5"/>
  <c r="BM619" i="5"/>
  <c r="BM620" i="5"/>
  <c r="BM621" i="5"/>
  <c r="BM622" i="5"/>
  <c r="BM623" i="5"/>
  <c r="BM624" i="5"/>
  <c r="BM625" i="5"/>
  <c r="BM626" i="5"/>
  <c r="BM627" i="5"/>
  <c r="BM628" i="5"/>
  <c r="BM629" i="5"/>
  <c r="BM630" i="5"/>
  <c r="BM631" i="5"/>
  <c r="BM632" i="5"/>
  <c r="BM633" i="5"/>
  <c r="BM634" i="5"/>
  <c r="BM635" i="5"/>
  <c r="BM636" i="5"/>
  <c r="BM637" i="5"/>
  <c r="BM638" i="5"/>
  <c r="BM639" i="5"/>
  <c r="BM640" i="5"/>
  <c r="BM641" i="5"/>
  <c r="BM642" i="5"/>
  <c r="BM643" i="5"/>
  <c r="BM644" i="5"/>
  <c r="BM645" i="5"/>
  <c r="BM646" i="5"/>
  <c r="BM647" i="5"/>
  <c r="BM648" i="5"/>
  <c r="BM649" i="5"/>
  <c r="BM650" i="5"/>
  <c r="BM651" i="5"/>
  <c r="BM652" i="5"/>
  <c r="BM653" i="5"/>
  <c r="BM654" i="5"/>
  <c r="BM655" i="5"/>
  <c r="BM656" i="5"/>
  <c r="BM657" i="5"/>
  <c r="BM658" i="5"/>
  <c r="BM659" i="5"/>
  <c r="BM660" i="5"/>
  <c r="BM661" i="5"/>
  <c r="BM662" i="5"/>
  <c r="BM663" i="5"/>
  <c r="BM664" i="5"/>
  <c r="BM665" i="5"/>
  <c r="BM666" i="5"/>
  <c r="BM667" i="5"/>
  <c r="BM668" i="5"/>
  <c r="BM669" i="5"/>
  <c r="BM670" i="5"/>
  <c r="BM671" i="5"/>
  <c r="BM672" i="5"/>
  <c r="BM673" i="5"/>
  <c r="BM674" i="5"/>
  <c r="BM675" i="5"/>
  <c r="BM676" i="5"/>
  <c r="BM677" i="5"/>
  <c r="BM678" i="5"/>
  <c r="BM679" i="5"/>
  <c r="BM680" i="5"/>
  <c r="BM681" i="5"/>
  <c r="BM682" i="5"/>
  <c r="BM683" i="5"/>
  <c r="BM684" i="5"/>
  <c r="BM685" i="5"/>
  <c r="BM686" i="5"/>
  <c r="BM687" i="5"/>
  <c r="BM688" i="5"/>
  <c r="BM689" i="5"/>
  <c r="BM690" i="5"/>
  <c r="BM691" i="5"/>
  <c r="BM692" i="5"/>
  <c r="BM693" i="5"/>
  <c r="BM694" i="5"/>
  <c r="BM695" i="5"/>
  <c r="BM696" i="5"/>
  <c r="BM697" i="5"/>
  <c r="BM698" i="5"/>
  <c r="BM699" i="5"/>
  <c r="BM700" i="5"/>
  <c r="BM701" i="5"/>
  <c r="BM702" i="5"/>
  <c r="BM703" i="5"/>
  <c r="BM704" i="5"/>
  <c r="BM705" i="5"/>
  <c r="BM706" i="5"/>
  <c r="BM707" i="5"/>
  <c r="BM708" i="5"/>
  <c r="BM709" i="5"/>
  <c r="BM710" i="5"/>
  <c r="BM711" i="5"/>
  <c r="BM712" i="5"/>
  <c r="BM713" i="5"/>
  <c r="BM714" i="5"/>
  <c r="BM715" i="5"/>
  <c r="BM716" i="5"/>
  <c r="BM717" i="5"/>
  <c r="BM718" i="5"/>
  <c r="BM719" i="5"/>
  <c r="BM720" i="5"/>
  <c r="BM721" i="5"/>
  <c r="BM722" i="5"/>
  <c r="BM723" i="5"/>
  <c r="BM724" i="5"/>
  <c r="BM725" i="5"/>
  <c r="BM726" i="5"/>
  <c r="BM727" i="5"/>
  <c r="BM728" i="5"/>
  <c r="BM729" i="5"/>
  <c r="BM730" i="5"/>
  <c r="BM731" i="5"/>
  <c r="BM732" i="5"/>
  <c r="BM733" i="5"/>
  <c r="BM734" i="5"/>
  <c r="BM735" i="5"/>
  <c r="BM736" i="5"/>
  <c r="BM737" i="5"/>
  <c r="BM738" i="5"/>
  <c r="BM739" i="5"/>
  <c r="BM740" i="5"/>
  <c r="BM741" i="5"/>
  <c r="BM742" i="5"/>
  <c r="BM743" i="5"/>
  <c r="BM744" i="5"/>
  <c r="BM745" i="5"/>
  <c r="BM746" i="5"/>
  <c r="BM747" i="5"/>
  <c r="BM748" i="5"/>
  <c r="BM749" i="5"/>
  <c r="BM750" i="5"/>
  <c r="BM751" i="5"/>
  <c r="BM752" i="5"/>
  <c r="BM753" i="5"/>
  <c r="BM754" i="5"/>
  <c r="BM755" i="5"/>
  <c r="BM756" i="5"/>
  <c r="BM757" i="5"/>
  <c r="BM758" i="5"/>
  <c r="BM759" i="5"/>
  <c r="BM760" i="5"/>
  <c r="BM761" i="5"/>
  <c r="BM762" i="5"/>
  <c r="BM763" i="5"/>
  <c r="BM764" i="5"/>
  <c r="BM765" i="5"/>
  <c r="BM766" i="5"/>
  <c r="BM767" i="5"/>
  <c r="BM768" i="5"/>
  <c r="BM769" i="5"/>
  <c r="BM770" i="5"/>
  <c r="BM771" i="5"/>
  <c r="BM772" i="5"/>
  <c r="BM773" i="5"/>
  <c r="BM774" i="5"/>
  <c r="BM775" i="5"/>
  <c r="BM776" i="5"/>
  <c r="BM777" i="5"/>
  <c r="BM778" i="5"/>
  <c r="BM779" i="5"/>
  <c r="BM780" i="5"/>
  <c r="BM781" i="5"/>
  <c r="BM782" i="5"/>
  <c r="BM783" i="5"/>
  <c r="BM784" i="5"/>
  <c r="BM785" i="5"/>
  <c r="BM786" i="5"/>
  <c r="BM787" i="5"/>
  <c r="BM788" i="5"/>
  <c r="BM789" i="5"/>
  <c r="BM790" i="5"/>
  <c r="BM791" i="5"/>
  <c r="BM792" i="5"/>
  <c r="BM793" i="5"/>
  <c r="BM794" i="5"/>
  <c r="BM795" i="5"/>
  <c r="BM796" i="5"/>
  <c r="BM797" i="5"/>
  <c r="BM798" i="5"/>
  <c r="BM799" i="5"/>
  <c r="BM800" i="5"/>
  <c r="BM801" i="5"/>
  <c r="BM802" i="5"/>
  <c r="BM803" i="5"/>
  <c r="BM804" i="5"/>
  <c r="BM805" i="5"/>
  <c r="BM806" i="5"/>
  <c r="BM807" i="5"/>
  <c r="BM808" i="5"/>
  <c r="BM809" i="5"/>
  <c r="BM810" i="5"/>
  <c r="BM811" i="5"/>
  <c r="BM812" i="5"/>
  <c r="BM813" i="5"/>
  <c r="BM814" i="5"/>
  <c r="BM815" i="5"/>
  <c r="BM816" i="5"/>
  <c r="BM817" i="5"/>
  <c r="BM818" i="5"/>
  <c r="BM819" i="5"/>
  <c r="BM820" i="5"/>
  <c r="BM821" i="5"/>
  <c r="BM822" i="5"/>
  <c r="BM823" i="5"/>
  <c r="BM824" i="5"/>
  <c r="BM825" i="5"/>
  <c r="BM826" i="5"/>
  <c r="BM827" i="5"/>
  <c r="BM828" i="5"/>
  <c r="BM829" i="5"/>
  <c r="BM830" i="5"/>
  <c r="BM831" i="5"/>
  <c r="BM832" i="5"/>
  <c r="BM833" i="5"/>
  <c r="BM834" i="5"/>
  <c r="BM835" i="5"/>
  <c r="BM836" i="5"/>
  <c r="BM837" i="5"/>
  <c r="BM838" i="5"/>
  <c r="BM839" i="5"/>
  <c r="BM840" i="5"/>
  <c r="BM841" i="5"/>
  <c r="BM842" i="5"/>
  <c r="BM843" i="5"/>
  <c r="BM844" i="5"/>
  <c r="BM845" i="5"/>
  <c r="BM846" i="5"/>
  <c r="BM847" i="5"/>
  <c r="BM848" i="5"/>
  <c r="BM849" i="5"/>
  <c r="BM850" i="5"/>
  <c r="BM851" i="5"/>
  <c r="BM852" i="5"/>
  <c r="BM853" i="5"/>
  <c r="BM854" i="5"/>
  <c r="BM855" i="5"/>
  <c r="BM856" i="5"/>
  <c r="BM857" i="5"/>
  <c r="BM858" i="5"/>
  <c r="BM859" i="5"/>
  <c r="BM860" i="5"/>
  <c r="BM861" i="5"/>
  <c r="BM862" i="5"/>
  <c r="BM863" i="5"/>
  <c r="BM864" i="5"/>
  <c r="BM865" i="5"/>
  <c r="BM866" i="5"/>
  <c r="BM867" i="5"/>
  <c r="BM868" i="5"/>
  <c r="BM869" i="5"/>
  <c r="BM870" i="5"/>
  <c r="BM871" i="5"/>
  <c r="BM872" i="5"/>
  <c r="BM873" i="5"/>
  <c r="BM874" i="5"/>
  <c r="BM875" i="5"/>
  <c r="BM876" i="5"/>
  <c r="BM877" i="5"/>
  <c r="BM878" i="5"/>
  <c r="BM879" i="5"/>
  <c r="BM880" i="5"/>
  <c r="BM881" i="5"/>
  <c r="BM882" i="5"/>
  <c r="BM883" i="5"/>
  <c r="BM884" i="5"/>
  <c r="BM885" i="5"/>
  <c r="BM886" i="5"/>
  <c r="BM887" i="5"/>
  <c r="BM888" i="5"/>
  <c r="BM889" i="5"/>
  <c r="BM890" i="5"/>
  <c r="BM891" i="5"/>
  <c r="BM892" i="5"/>
  <c r="BM893" i="5"/>
  <c r="BM894" i="5"/>
  <c r="BM895" i="5"/>
  <c r="BM896" i="5"/>
  <c r="BM897" i="5"/>
  <c r="BM898" i="5"/>
  <c r="BM899" i="5"/>
  <c r="BM900" i="5"/>
  <c r="BM901" i="5"/>
  <c r="BM902" i="5"/>
  <c r="BM903" i="5"/>
  <c r="BM904" i="5"/>
  <c r="BM905" i="5"/>
  <c r="BM906" i="5"/>
  <c r="BM907" i="5"/>
  <c r="BM908" i="5"/>
  <c r="BM909" i="5"/>
  <c r="BM910" i="5"/>
  <c r="BM911" i="5"/>
  <c r="BM912" i="5"/>
  <c r="BM913" i="5"/>
  <c r="BM914" i="5"/>
  <c r="BM915" i="5"/>
  <c r="BM916" i="5"/>
  <c r="BM917" i="5"/>
  <c r="BM918" i="5"/>
  <c r="BM919" i="5"/>
  <c r="BM920" i="5"/>
  <c r="BM921" i="5"/>
  <c r="BM922" i="5"/>
  <c r="BM923" i="5"/>
  <c r="BM924" i="5"/>
  <c r="BM925" i="5"/>
  <c r="BM926" i="5"/>
  <c r="BM927" i="5"/>
  <c r="BM928" i="5"/>
  <c r="BM929" i="5"/>
  <c r="BM930" i="5"/>
  <c r="BM931" i="5"/>
  <c r="BM932" i="5"/>
  <c r="BM933" i="5"/>
  <c r="BM934" i="5"/>
  <c r="BM935" i="5"/>
  <c r="BM936" i="5"/>
  <c r="BM937" i="5"/>
  <c r="BM938" i="5"/>
  <c r="BM939" i="5"/>
  <c r="BM940" i="5"/>
  <c r="BM941" i="5"/>
  <c r="BM942" i="5"/>
  <c r="BM943" i="5"/>
  <c r="BM944" i="5"/>
  <c r="BM945" i="5"/>
  <c r="BM946" i="5"/>
  <c r="BM947" i="5"/>
  <c r="BM948" i="5"/>
  <c r="BM949" i="5"/>
  <c r="BM950" i="5"/>
  <c r="BM951" i="5"/>
  <c r="BM952" i="5"/>
  <c r="BM953" i="5"/>
  <c r="BM954" i="5"/>
  <c r="BM955" i="5"/>
  <c r="BM956" i="5"/>
  <c r="BM957" i="5"/>
  <c r="BM958" i="5"/>
  <c r="BM959" i="5"/>
  <c r="BM960" i="5"/>
  <c r="BM961" i="5"/>
  <c r="BM962" i="5"/>
  <c r="BM963" i="5"/>
  <c r="BM964" i="5"/>
  <c r="BM965" i="5"/>
  <c r="BM966" i="5"/>
  <c r="BM967" i="5"/>
  <c r="BM968" i="5"/>
  <c r="BM969" i="5"/>
  <c r="BM970" i="5"/>
  <c r="BM971" i="5"/>
  <c r="BM972" i="5"/>
  <c r="BM973" i="5"/>
  <c r="BM974" i="5"/>
  <c r="BM975" i="5"/>
  <c r="BM976" i="5"/>
  <c r="BM977" i="5"/>
  <c r="BM978" i="5"/>
  <c r="BM979" i="5"/>
  <c r="BM980" i="5"/>
  <c r="BM981" i="5"/>
  <c r="BM982" i="5"/>
  <c r="BM983" i="5"/>
  <c r="BM984" i="5"/>
  <c r="BM985" i="5"/>
  <c r="BM986" i="5"/>
  <c r="BM987" i="5"/>
  <c r="BM988" i="5"/>
  <c r="BM989" i="5"/>
  <c r="BM990" i="5"/>
  <c r="BM991" i="5"/>
  <c r="BM992" i="5"/>
  <c r="BM993" i="5"/>
  <c r="BM994" i="5"/>
  <c r="BM995" i="5"/>
  <c r="BM996" i="5"/>
  <c r="BM997" i="5"/>
  <c r="BM998" i="5"/>
  <c r="BM999" i="5"/>
  <c r="BM1000" i="5"/>
  <c r="BM1001" i="5"/>
  <c r="BM1002" i="5"/>
  <c r="BM1003" i="5"/>
  <c r="BM1004" i="5"/>
  <c r="BM1005" i="5"/>
  <c r="BM1006" i="5"/>
  <c r="BM1007" i="5"/>
  <c r="BM1008" i="5"/>
  <c r="BM1009" i="5"/>
  <c r="BM1010" i="5"/>
  <c r="BM1011" i="5"/>
  <c r="BM1012" i="5"/>
  <c r="BM1013" i="5"/>
  <c r="BM1014" i="5"/>
  <c r="BM1015" i="5"/>
  <c r="BM1016" i="5"/>
  <c r="BM1017" i="5"/>
  <c r="BM1018" i="5"/>
  <c r="BM1019" i="5"/>
  <c r="BM1020" i="5"/>
  <c r="BM1021" i="5"/>
  <c r="BM1022" i="5"/>
  <c r="BM1023" i="5"/>
  <c r="BM1024" i="5"/>
  <c r="BM1025" i="5"/>
  <c r="BM1026" i="5"/>
  <c r="BM1027" i="5"/>
  <c r="BM1028" i="5"/>
  <c r="BM1029" i="5"/>
  <c r="BM1030" i="5"/>
  <c r="BM1031" i="5"/>
  <c r="BM1032" i="5"/>
  <c r="BM1033" i="5"/>
  <c r="BM1034" i="5"/>
  <c r="BM1035" i="5"/>
  <c r="BM1036" i="5"/>
  <c r="BM1037" i="5"/>
  <c r="BM1038" i="5"/>
  <c r="BM1039" i="5"/>
  <c r="BM1040" i="5"/>
  <c r="BM1041" i="5"/>
  <c r="BM1042" i="5"/>
  <c r="BM1043" i="5"/>
  <c r="BM1044" i="5"/>
  <c r="BM1045" i="5"/>
  <c r="BM1046" i="5"/>
  <c r="BM1047" i="5"/>
  <c r="BM1048" i="5"/>
  <c r="BM1049" i="5"/>
  <c r="BM1050" i="5"/>
  <c r="BM1051" i="5"/>
  <c r="BM1052" i="5"/>
  <c r="BM1053" i="5"/>
  <c r="BM1054" i="5"/>
  <c r="BM1055" i="5"/>
  <c r="BM1056" i="5"/>
  <c r="BM1057" i="5"/>
  <c r="BM1058" i="5"/>
  <c r="BM1059" i="5"/>
  <c r="BM1060" i="5"/>
  <c r="BM1061" i="5"/>
  <c r="BM1062" i="5"/>
  <c r="BM1063" i="5"/>
  <c r="BM1064" i="5"/>
  <c r="BM1065" i="5"/>
  <c r="BM1066" i="5"/>
  <c r="BM1067" i="5"/>
  <c r="BM1068" i="5"/>
  <c r="BM1069" i="5"/>
  <c r="BM1070" i="5"/>
  <c r="BM1071" i="5"/>
  <c r="BM1072" i="5"/>
  <c r="BM1073" i="5"/>
  <c r="BM1074" i="5"/>
  <c r="BM1075" i="5"/>
  <c r="BM1076" i="5"/>
  <c r="BM1077" i="5"/>
  <c r="BM1078" i="5"/>
  <c r="BM1079" i="5"/>
  <c r="BM1080" i="5"/>
  <c r="BM1081" i="5"/>
  <c r="BM1082" i="5"/>
  <c r="BM1083" i="5"/>
  <c r="BM1084" i="5"/>
  <c r="BM1085" i="5"/>
  <c r="BM1086" i="5"/>
  <c r="BM1087" i="5"/>
  <c r="BM1088" i="5"/>
  <c r="BM1089" i="5"/>
  <c r="BM1090" i="5"/>
  <c r="BM1091" i="5"/>
  <c r="BM1092" i="5"/>
  <c r="BM1093" i="5"/>
  <c r="BM1094" i="5"/>
  <c r="BM1095" i="5"/>
  <c r="BM1096" i="5"/>
  <c r="BM1097" i="5"/>
  <c r="BM1098" i="5"/>
  <c r="BM1099" i="5"/>
  <c r="BM1100" i="5"/>
  <c r="BM1101" i="5"/>
  <c r="BM1102" i="5"/>
  <c r="BM1103" i="5"/>
  <c r="BM1104" i="5"/>
  <c r="BM1105" i="5"/>
  <c r="BM1106" i="5"/>
  <c r="BM1107" i="5"/>
  <c r="BM1108" i="5"/>
  <c r="BM1109" i="5"/>
  <c r="BM1110" i="5"/>
  <c r="BM1111" i="5"/>
  <c r="BM1112" i="5"/>
  <c r="BM1113" i="5"/>
  <c r="BM1114" i="5"/>
  <c r="BM1115" i="5"/>
  <c r="BM1116" i="5"/>
  <c r="BM1117" i="5"/>
  <c r="BM1118" i="5"/>
  <c r="BM1119" i="5"/>
  <c r="BM1120" i="5"/>
  <c r="BM1121" i="5"/>
  <c r="BM1122" i="5"/>
  <c r="BM1123" i="5"/>
  <c r="BM1124" i="5"/>
  <c r="BM1125" i="5"/>
  <c r="BM1126" i="5"/>
  <c r="BM1127" i="5"/>
  <c r="BM1128" i="5"/>
  <c r="BM1129" i="5"/>
  <c r="BM1130" i="5"/>
  <c r="BM1131" i="5"/>
  <c r="BM1132" i="5"/>
  <c r="BM1133" i="5"/>
  <c r="BM1134" i="5"/>
  <c r="BM1135" i="5"/>
  <c r="BM1136" i="5"/>
  <c r="BM1137" i="5"/>
  <c r="BM1138" i="5"/>
  <c r="BM1139" i="5"/>
  <c r="BM1140" i="5"/>
  <c r="BM1141" i="5"/>
  <c r="BM1142" i="5"/>
  <c r="BM1143" i="5"/>
  <c r="BM1144" i="5"/>
  <c r="BM1145" i="5"/>
  <c r="BM1146" i="5"/>
  <c r="BM1147" i="5"/>
  <c r="BM1148" i="5"/>
  <c r="BM1149" i="5"/>
  <c r="BM1150" i="5"/>
  <c r="BM1151" i="5"/>
  <c r="BM1152" i="5"/>
  <c r="BM1153" i="5"/>
  <c r="BM1154" i="5"/>
  <c r="BM1155" i="5"/>
  <c r="BM1156" i="5"/>
  <c r="BM1157" i="5"/>
  <c r="BM1158" i="5"/>
  <c r="BM1159" i="5"/>
  <c r="BM1160" i="5"/>
  <c r="BM1161" i="5"/>
  <c r="BM1162" i="5"/>
  <c r="BM1163" i="5"/>
  <c r="BM1164" i="5"/>
  <c r="BM1165" i="5"/>
  <c r="BM1166" i="5"/>
  <c r="BM1167" i="5"/>
  <c r="BM1168" i="5"/>
  <c r="BM1169" i="5"/>
  <c r="BM1170" i="5"/>
  <c r="BM1171" i="5"/>
  <c r="BM1172" i="5"/>
  <c r="BM1173" i="5"/>
  <c r="BM1174" i="5"/>
  <c r="BM1175" i="5"/>
  <c r="BM1176" i="5"/>
  <c r="BM1177" i="5"/>
  <c r="BM1178" i="5"/>
  <c r="BM1179" i="5"/>
  <c r="BM1180" i="5"/>
  <c r="BM1181" i="5"/>
  <c r="BM1182" i="5"/>
  <c r="BM1183" i="5"/>
  <c r="BM1184" i="5"/>
  <c r="BM1185" i="5"/>
  <c r="BM1186" i="5"/>
  <c r="BM1187" i="5"/>
  <c r="BM1188" i="5"/>
  <c r="BM1189" i="5"/>
  <c r="BM1190" i="5"/>
  <c r="BM1191" i="5"/>
  <c r="BM1192" i="5"/>
  <c r="BM1193" i="5"/>
  <c r="BM1194" i="5"/>
  <c r="BM1195" i="5"/>
  <c r="BM1196" i="5"/>
  <c r="BM1197" i="5"/>
  <c r="BM1198" i="5"/>
  <c r="BM1199" i="5"/>
  <c r="BM1200" i="5"/>
  <c r="BM1201" i="5"/>
  <c r="BM1202" i="5"/>
  <c r="BM1203" i="5"/>
  <c r="BM1204" i="5"/>
  <c r="BM1205" i="5"/>
  <c r="BM1206" i="5"/>
  <c r="BM1207" i="5"/>
  <c r="BM1208" i="5"/>
  <c r="BM1209" i="5"/>
  <c r="BM1210" i="5"/>
  <c r="BM1211" i="5"/>
  <c r="BM1212" i="5"/>
  <c r="BM1213" i="5"/>
  <c r="BM1214" i="5"/>
  <c r="BM1215" i="5"/>
  <c r="BM1216" i="5"/>
  <c r="BM1217" i="5"/>
  <c r="BM1218" i="5"/>
  <c r="BM1219" i="5"/>
  <c r="BM1220" i="5"/>
  <c r="BM1221" i="5"/>
  <c r="BM1222" i="5"/>
  <c r="BM1223" i="5"/>
  <c r="BM1224" i="5"/>
  <c r="BM1225" i="5"/>
  <c r="BM1226" i="5"/>
  <c r="BM1227" i="5"/>
  <c r="BM1228" i="5"/>
  <c r="BM1229" i="5"/>
  <c r="BM1230" i="5"/>
  <c r="BM1231" i="5"/>
  <c r="BM1232" i="5"/>
  <c r="BM1233" i="5"/>
  <c r="BM1234" i="5"/>
  <c r="BM1235" i="5"/>
  <c r="BM1236" i="5"/>
  <c r="BM1237" i="5"/>
  <c r="BM1238" i="5"/>
  <c r="BM1239" i="5"/>
  <c r="BM1240" i="5"/>
  <c r="BM1241" i="5"/>
  <c r="BM1242" i="5"/>
  <c r="BM1243" i="5"/>
  <c r="BM1244" i="5"/>
  <c r="BM1245" i="5"/>
  <c r="BM1246" i="5"/>
  <c r="BM1247" i="5"/>
  <c r="BM1248" i="5"/>
  <c r="BM1249" i="5"/>
  <c r="BM1250" i="5"/>
  <c r="BM1251" i="5"/>
  <c r="BM1252" i="5"/>
  <c r="BM1253" i="5"/>
  <c r="BM1254" i="5"/>
  <c r="BM1255" i="5"/>
  <c r="BM1256" i="5"/>
  <c r="BM1257" i="5"/>
  <c r="BM1258" i="5"/>
  <c r="BM1259" i="5"/>
  <c r="BM1260" i="5"/>
  <c r="BM1261" i="5"/>
  <c r="BM1262" i="5"/>
  <c r="BM1263" i="5"/>
  <c r="BM1264" i="5"/>
  <c r="BM1265" i="5"/>
  <c r="BM1266" i="5"/>
  <c r="BM1267" i="5"/>
  <c r="BM1268" i="5"/>
  <c r="BM1269" i="5"/>
  <c r="BM1270" i="5"/>
  <c r="BM1271" i="5"/>
  <c r="BM1272" i="5"/>
  <c r="BM1273" i="5"/>
  <c r="BM1274" i="5"/>
  <c r="BM1275" i="5"/>
  <c r="BM1276" i="5"/>
  <c r="BM1277" i="5"/>
  <c r="BM1278" i="5"/>
  <c r="BM1279" i="5"/>
  <c r="BM1280" i="5"/>
  <c r="BM1281" i="5"/>
  <c r="BM1282" i="5"/>
  <c r="BM1283" i="5"/>
  <c r="BM1284" i="5"/>
  <c r="BM1285" i="5"/>
  <c r="BM1286" i="5"/>
  <c r="BM1287" i="5"/>
  <c r="BM1288" i="5"/>
  <c r="BM1289" i="5"/>
  <c r="BM1290" i="5"/>
  <c r="BM1291" i="5"/>
  <c r="BM1292" i="5"/>
  <c r="BM1293" i="5"/>
  <c r="BM1294" i="5"/>
  <c r="BM1295" i="5"/>
  <c r="BM1296" i="5"/>
  <c r="BM1297" i="5"/>
  <c r="BM1298" i="5"/>
  <c r="BM1299" i="5"/>
  <c r="BM1300" i="5"/>
  <c r="BM1301" i="5"/>
  <c r="BM1302" i="5"/>
  <c r="BM1303" i="5"/>
  <c r="BM1304" i="5"/>
  <c r="BM1305" i="5"/>
  <c r="BM1306" i="5"/>
  <c r="BM1307" i="5"/>
  <c r="BM1308" i="5"/>
  <c r="BM1309" i="5"/>
  <c r="BM1310" i="5"/>
  <c r="BM1311" i="5"/>
  <c r="BM1312" i="5"/>
  <c r="BM1313" i="5"/>
  <c r="BM1314" i="5"/>
  <c r="BM1315" i="5"/>
  <c r="BM1316" i="5"/>
  <c r="BM1317" i="5"/>
  <c r="BM1318" i="5"/>
  <c r="BM1319" i="5"/>
  <c r="BM1320" i="5"/>
  <c r="BM1321" i="5"/>
  <c r="BM1322" i="5"/>
  <c r="BM1323" i="5"/>
  <c r="BM1324" i="5"/>
  <c r="BM1325" i="5"/>
  <c r="BM1326" i="5"/>
  <c r="BM1327" i="5"/>
  <c r="BM1328" i="5"/>
  <c r="BM1329" i="5"/>
  <c r="BM1330" i="5"/>
  <c r="BM1331" i="5"/>
  <c r="BM1332" i="5"/>
  <c r="BM1333" i="5"/>
  <c r="BM1334" i="5"/>
  <c r="BM1335" i="5"/>
  <c r="BM1336" i="5"/>
  <c r="BM1337" i="5"/>
  <c r="BM1338" i="5"/>
  <c r="BM1339" i="5"/>
  <c r="BM1340" i="5"/>
  <c r="BM1341" i="5"/>
  <c r="BM1342" i="5"/>
  <c r="BM1343" i="5"/>
  <c r="BM1344" i="5"/>
  <c r="BM1345" i="5"/>
  <c r="BM1346" i="5"/>
  <c r="BM1347" i="5"/>
  <c r="BM1348" i="5"/>
  <c r="BM1349" i="5"/>
  <c r="BM1350" i="5"/>
  <c r="BM1351" i="5"/>
  <c r="BM1352" i="5"/>
  <c r="BM1353" i="5"/>
  <c r="BM1354" i="5"/>
  <c r="BM1355" i="5"/>
  <c r="BM1356" i="5"/>
  <c r="BM1357" i="5"/>
  <c r="BM1358" i="5"/>
  <c r="BM1359" i="5"/>
  <c r="BM1360" i="5"/>
  <c r="BM1361" i="5"/>
  <c r="BM1362" i="5"/>
  <c r="BM1363" i="5"/>
  <c r="BM1364" i="5"/>
  <c r="BM1365" i="5"/>
  <c r="BM1366" i="5"/>
  <c r="BM1367" i="5"/>
  <c r="BM1368" i="5"/>
  <c r="BM1369" i="5"/>
  <c r="BM1370" i="5"/>
  <c r="BM1371" i="5"/>
  <c r="BM1372" i="5"/>
  <c r="BM1373" i="5"/>
  <c r="BM1374" i="5"/>
  <c r="BM1375" i="5"/>
  <c r="BM1376" i="5"/>
  <c r="BM1377" i="5"/>
  <c r="BM1378" i="5"/>
  <c r="BM1379" i="5"/>
  <c r="BM1380" i="5"/>
  <c r="BM1381" i="5"/>
  <c r="BM1382" i="5"/>
  <c r="BM1383" i="5"/>
  <c r="BM1384" i="5"/>
  <c r="BM1385" i="5"/>
  <c r="BM1386" i="5"/>
  <c r="BM1387" i="5"/>
  <c r="BM1388" i="5"/>
  <c r="BM1389" i="5"/>
  <c r="BM1390" i="5"/>
  <c r="BM1391" i="5"/>
  <c r="BM1392" i="5"/>
  <c r="BM1393" i="5"/>
  <c r="BM1394" i="5"/>
  <c r="BM1395" i="5"/>
  <c r="BM1396" i="5"/>
  <c r="BM1397" i="5"/>
  <c r="BM1398" i="5"/>
  <c r="BM1399" i="5"/>
  <c r="BM1400" i="5"/>
  <c r="BM1401" i="5"/>
  <c r="BM1402" i="5"/>
  <c r="BM1403" i="5"/>
  <c r="BM1404" i="5"/>
  <c r="BM1405" i="5"/>
  <c r="BM1406" i="5"/>
  <c r="BM1407" i="5"/>
  <c r="BM1408" i="5"/>
  <c r="BM1409" i="5"/>
  <c r="BM1410" i="5"/>
  <c r="BM1411" i="5"/>
  <c r="BM1412" i="5"/>
  <c r="BM1413" i="5"/>
  <c r="BM1414" i="5"/>
  <c r="BM1415" i="5"/>
  <c r="BM1416" i="5"/>
  <c r="BM1417" i="5"/>
  <c r="BM1418" i="5"/>
  <c r="BM1419" i="5"/>
  <c r="BM1420" i="5"/>
  <c r="BM1421" i="5"/>
  <c r="BM1422" i="5"/>
  <c r="BM1423" i="5"/>
  <c r="BM1424" i="5"/>
  <c r="BM1425" i="5"/>
  <c r="BM1426" i="5"/>
  <c r="BM1427" i="5"/>
  <c r="BM1428" i="5"/>
  <c r="BM1429" i="5"/>
  <c r="BM1430" i="5"/>
  <c r="BM1431" i="5"/>
  <c r="BM1432" i="5"/>
  <c r="BM1433" i="5"/>
  <c r="BM1434" i="5"/>
  <c r="BM1435" i="5"/>
  <c r="BM1436" i="5"/>
  <c r="BM1437" i="5"/>
  <c r="BM1438" i="5"/>
  <c r="BM1439" i="5"/>
  <c r="BM1440" i="5"/>
  <c r="BM1441" i="5"/>
  <c r="BM1442" i="5"/>
  <c r="BM1443" i="5"/>
  <c r="BM1444" i="5"/>
  <c r="BM1445" i="5"/>
  <c r="BM1446" i="5"/>
  <c r="BM1447" i="5"/>
  <c r="BM1448" i="5"/>
  <c r="BM1449" i="5"/>
  <c r="BM1450" i="5"/>
  <c r="BM1451" i="5"/>
  <c r="BM1452" i="5"/>
  <c r="BM1453" i="5"/>
  <c r="BM1454" i="5"/>
  <c r="BM1455" i="5"/>
  <c r="BM1456" i="5"/>
  <c r="BM1457" i="5"/>
  <c r="BM1458" i="5"/>
  <c r="BM1459" i="5"/>
  <c r="BM1460" i="5"/>
  <c r="BM1461" i="5"/>
  <c r="BM1462" i="5"/>
  <c r="BM1463" i="5"/>
  <c r="BM1464" i="5"/>
  <c r="BM1465" i="5"/>
  <c r="BM1466" i="5"/>
  <c r="BM1467" i="5"/>
  <c r="BM1468" i="5"/>
  <c r="BM1469" i="5"/>
  <c r="BM1470" i="5"/>
  <c r="BM1471" i="5"/>
  <c r="BM1472" i="5"/>
  <c r="BM1473" i="5"/>
  <c r="BM1474" i="5"/>
  <c r="BM1475" i="5"/>
  <c r="BM1476" i="5"/>
  <c r="BM1477" i="5"/>
  <c r="BM1478" i="5"/>
  <c r="BM1479" i="5"/>
  <c r="BM1480" i="5"/>
  <c r="BM1481" i="5"/>
  <c r="BM1482" i="5"/>
  <c r="BM1483" i="5"/>
  <c r="BM1484" i="5"/>
  <c r="BM1485" i="5"/>
  <c r="BM1486" i="5"/>
  <c r="BM1487" i="5"/>
  <c r="BM1488" i="5"/>
  <c r="BM1489" i="5"/>
  <c r="BM1490" i="5"/>
  <c r="BM1491" i="5"/>
  <c r="BM1492" i="5"/>
  <c r="BM1493" i="5"/>
  <c r="BM1494" i="5"/>
  <c r="BM1495" i="5"/>
  <c r="BM1496" i="5"/>
  <c r="BM1497" i="5"/>
  <c r="BM1498" i="5"/>
  <c r="BM1499" i="5"/>
  <c r="BM1500" i="5"/>
  <c r="BM1501" i="5"/>
  <c r="BM1502" i="5"/>
  <c r="BM1503" i="5"/>
  <c r="BM1504" i="5"/>
  <c r="BM1505" i="5"/>
  <c r="BM1506" i="5"/>
  <c r="BM1507" i="5"/>
  <c r="BM1508" i="5"/>
  <c r="BM1509" i="5"/>
  <c r="BM1510" i="5"/>
  <c r="BM1511" i="5"/>
  <c r="BM1512" i="5"/>
  <c r="BM1513" i="5"/>
  <c r="BM1514" i="5"/>
  <c r="BM1515" i="5"/>
  <c r="BM1516" i="5"/>
  <c r="BM1517" i="5"/>
  <c r="BM1518" i="5"/>
  <c r="BM1519" i="5"/>
  <c r="BM1520" i="5"/>
  <c r="BM1521" i="5"/>
  <c r="BM1522" i="5"/>
  <c r="BM1523" i="5"/>
  <c r="BM1524" i="5"/>
  <c r="BM1525" i="5"/>
  <c r="BM1526" i="5"/>
  <c r="BM1527" i="5"/>
  <c r="BM1528" i="5"/>
  <c r="BM1529" i="5"/>
  <c r="BM1530" i="5"/>
  <c r="BM1531" i="5"/>
  <c r="BM1532" i="5"/>
  <c r="BM1533" i="5"/>
  <c r="BM1534" i="5"/>
  <c r="BM1535" i="5"/>
  <c r="BM1536" i="5"/>
  <c r="BM1537" i="5"/>
  <c r="BM1538" i="5"/>
  <c r="BM1539" i="5"/>
  <c r="BM1540" i="5"/>
  <c r="BM1541" i="5"/>
  <c r="BM1542" i="5"/>
  <c r="BM1543" i="5"/>
  <c r="BM1544" i="5"/>
  <c r="BM1545" i="5"/>
  <c r="BM1546" i="5"/>
  <c r="BM1547" i="5"/>
  <c r="BM1548" i="5"/>
  <c r="BM1549" i="5"/>
  <c r="BM1550" i="5"/>
  <c r="BM1551" i="5"/>
  <c r="BM1552" i="5"/>
  <c r="BM1553" i="5"/>
  <c r="BM1554" i="5"/>
  <c r="BM1555" i="5"/>
  <c r="BM1556" i="5"/>
  <c r="BM1557" i="5"/>
  <c r="BM1558" i="5"/>
  <c r="BM1559" i="5"/>
  <c r="BM1560" i="5"/>
  <c r="BM1561" i="5"/>
  <c r="BM1562" i="5"/>
  <c r="BM1563" i="5"/>
  <c r="BM1564" i="5"/>
  <c r="BM1565" i="5"/>
  <c r="BM1566" i="5"/>
  <c r="BM1567" i="5"/>
  <c r="BM1568" i="5"/>
  <c r="BM1569" i="5"/>
  <c r="BM1570" i="5"/>
  <c r="BM1571" i="5"/>
  <c r="BM1572" i="5"/>
  <c r="BM1573" i="5"/>
  <c r="BM1574" i="5"/>
  <c r="BM1575" i="5"/>
  <c r="BM1576" i="5"/>
  <c r="BM1577" i="5"/>
  <c r="BM1578" i="5"/>
  <c r="BM1579" i="5"/>
  <c r="BM1580" i="5"/>
  <c r="BM1581" i="5"/>
  <c r="BM1582" i="5"/>
  <c r="BM1583" i="5"/>
  <c r="BM1584" i="5"/>
  <c r="BM1585" i="5"/>
  <c r="BM1586" i="5"/>
  <c r="BM1587" i="5"/>
  <c r="BM1588" i="5"/>
  <c r="BM1589" i="5"/>
  <c r="BM1590" i="5"/>
  <c r="BM1591" i="5"/>
  <c r="BM1592" i="5"/>
  <c r="BM1593" i="5"/>
  <c r="BM1594" i="5"/>
  <c r="BM1595" i="5"/>
  <c r="BM1596" i="5"/>
  <c r="BM1597" i="5"/>
  <c r="BM1598" i="5"/>
  <c r="BM1599" i="5"/>
  <c r="BM1600" i="5"/>
  <c r="BM1601" i="5"/>
  <c r="BM1602" i="5"/>
  <c r="BM1603" i="5"/>
  <c r="BM1604" i="5"/>
  <c r="BM1605" i="5"/>
  <c r="BM1606" i="5"/>
  <c r="BM1607" i="5"/>
  <c r="BM1608" i="5"/>
  <c r="BM1609" i="5"/>
  <c r="BM1610" i="5"/>
  <c r="BM1611" i="5"/>
  <c r="BM1612" i="5"/>
  <c r="BM1613" i="5"/>
  <c r="BM1614" i="5"/>
  <c r="BM1615" i="5"/>
  <c r="BM1616" i="5"/>
  <c r="BM1617" i="5"/>
  <c r="BM1618" i="5"/>
  <c r="BM1619" i="5"/>
  <c r="BM1620" i="5"/>
  <c r="BM1621" i="5"/>
  <c r="BM1622" i="5"/>
  <c r="BM1623" i="5"/>
  <c r="BM1624" i="5"/>
  <c r="BM1625" i="5"/>
  <c r="BM1626" i="5"/>
  <c r="BM1627" i="5"/>
  <c r="BM1628" i="5"/>
  <c r="BM1629" i="5"/>
  <c r="BM1630" i="5"/>
  <c r="BM1631" i="5"/>
  <c r="BM1632" i="5"/>
  <c r="BM1633" i="5"/>
  <c r="BM1634" i="5"/>
  <c r="BM1635" i="5"/>
  <c r="BM1636" i="5"/>
  <c r="BM1637" i="5"/>
  <c r="BM1638" i="5"/>
  <c r="BM1639" i="5"/>
  <c r="BM1640" i="5"/>
  <c r="BM1641" i="5"/>
  <c r="BM1642" i="5"/>
  <c r="BM1643" i="5"/>
  <c r="BM1644" i="5"/>
  <c r="BM1645" i="5"/>
  <c r="BM1646" i="5"/>
  <c r="BM1647" i="5"/>
  <c r="BM1648" i="5"/>
  <c r="BM1649" i="5"/>
  <c r="BM1650" i="5"/>
  <c r="BM1651" i="5"/>
  <c r="BM1652" i="5"/>
  <c r="BM1653" i="5"/>
  <c r="BM1654" i="5"/>
  <c r="BM1655" i="5"/>
  <c r="BM1656" i="5"/>
  <c r="BM1657" i="5"/>
  <c r="BM1658" i="5"/>
  <c r="BM1659" i="5"/>
  <c r="BM1660" i="5"/>
  <c r="BM1661" i="5"/>
  <c r="BM1662" i="5"/>
  <c r="BM1663" i="5"/>
  <c r="BM1664" i="5"/>
  <c r="BM1665" i="5"/>
  <c r="BM1666" i="5"/>
  <c r="BM1667" i="5"/>
  <c r="BM1668" i="5"/>
  <c r="BM1669" i="5"/>
  <c r="BM1670" i="5"/>
  <c r="BM1671" i="5"/>
  <c r="BM1672" i="5"/>
  <c r="BM1673" i="5"/>
  <c r="BM1674" i="5"/>
  <c r="BM1675" i="5"/>
  <c r="BM1676" i="5"/>
  <c r="BM1677" i="5"/>
  <c r="BM1678" i="5"/>
  <c r="BM1679" i="5"/>
  <c r="BM1680" i="5"/>
  <c r="BM1681" i="5"/>
  <c r="BM1682" i="5"/>
  <c r="BM1683" i="5"/>
  <c r="BM1684" i="5"/>
  <c r="BM1685" i="5"/>
  <c r="BM1686" i="5"/>
  <c r="BM1687" i="5"/>
  <c r="BM1688" i="5"/>
  <c r="BM1689" i="5"/>
  <c r="BM1690" i="5"/>
  <c r="BM1691" i="5"/>
  <c r="BM1692" i="5"/>
  <c r="BM1693" i="5"/>
  <c r="BM1694" i="5"/>
  <c r="BM1695" i="5"/>
  <c r="BM1696" i="5"/>
  <c r="BM1697" i="5"/>
  <c r="BM1698" i="5"/>
  <c r="BM1699" i="5"/>
  <c r="BM1700" i="5"/>
  <c r="BM1701" i="5"/>
  <c r="BM1702" i="5"/>
  <c r="BM1703" i="5"/>
  <c r="BM1704" i="5"/>
  <c r="BM1705" i="5"/>
  <c r="BM1706" i="5"/>
  <c r="BM1707" i="5"/>
  <c r="BM1708" i="5"/>
  <c r="BM1709" i="5"/>
  <c r="BM1710" i="5"/>
  <c r="BM1711" i="5"/>
  <c r="BM1712" i="5"/>
  <c r="BM1713" i="5"/>
  <c r="BM1714" i="5"/>
  <c r="BM1715" i="5"/>
  <c r="BM1716" i="5"/>
  <c r="BM1717" i="5"/>
  <c r="BM1718" i="5"/>
  <c r="BM1719" i="5"/>
  <c r="BM1720" i="5"/>
  <c r="BM1721" i="5"/>
  <c r="BM1722" i="5"/>
  <c r="BM1723" i="5"/>
  <c r="BM1724" i="5"/>
  <c r="BM1725" i="5"/>
  <c r="BM1726" i="5"/>
  <c r="BM1727" i="5"/>
  <c r="BM1728" i="5"/>
  <c r="BM1729" i="5"/>
  <c r="BM1730" i="5"/>
  <c r="BM1731" i="5"/>
  <c r="BM1732" i="5"/>
  <c r="BM1733" i="5"/>
  <c r="BM1734" i="5"/>
  <c r="BM1735" i="5"/>
  <c r="BM1736" i="5"/>
  <c r="BM1737" i="5"/>
  <c r="BM1738" i="5"/>
  <c r="BM1739" i="5"/>
  <c r="BM1740" i="5"/>
  <c r="BM1741" i="5"/>
  <c r="BM1742" i="5"/>
  <c r="BM1743" i="5"/>
  <c r="BM1744" i="5"/>
  <c r="BM1745" i="5"/>
  <c r="BM1746" i="5"/>
  <c r="BM1747" i="5"/>
  <c r="BM1748" i="5"/>
  <c r="BM1749" i="5"/>
  <c r="BM1750" i="5"/>
  <c r="BM1751" i="5"/>
  <c r="BM1752" i="5"/>
  <c r="BM1753" i="5"/>
  <c r="BM1754" i="5"/>
  <c r="BM1755" i="5"/>
  <c r="BM1756" i="5"/>
  <c r="BM1757" i="5"/>
  <c r="BM1758" i="5"/>
  <c r="BM1759" i="5"/>
  <c r="BM1760" i="5"/>
  <c r="BM1761" i="5"/>
  <c r="BM1762" i="5"/>
  <c r="BM1763" i="5"/>
  <c r="BM1764" i="5"/>
  <c r="BM1765" i="5"/>
  <c r="BM1766" i="5"/>
  <c r="BM1767" i="5"/>
  <c r="BM1768" i="5"/>
  <c r="BM1769" i="5"/>
  <c r="BM1770" i="5"/>
  <c r="BM1771" i="5"/>
  <c r="BM1772" i="5"/>
  <c r="BM1773" i="5"/>
  <c r="BM1774" i="5"/>
  <c r="BM1775" i="5"/>
  <c r="BM1776" i="5"/>
  <c r="BM1777" i="5"/>
  <c r="BM1778" i="5"/>
  <c r="BM1779" i="5"/>
  <c r="BM1780" i="5"/>
  <c r="BM1781" i="5"/>
  <c r="BM1782" i="5"/>
  <c r="BM1783" i="5"/>
  <c r="BM1784" i="5"/>
  <c r="BM1785" i="5"/>
  <c r="BM1786" i="5"/>
  <c r="BM1787" i="5"/>
  <c r="BM1788" i="5"/>
  <c r="BM1789" i="5"/>
  <c r="BM1790" i="5"/>
  <c r="BM1791" i="5"/>
  <c r="BM1792" i="5"/>
  <c r="BM1793" i="5"/>
  <c r="BM1794" i="5"/>
  <c r="BM1795" i="5"/>
  <c r="BM1796" i="5"/>
  <c r="BM1797" i="5"/>
  <c r="BM1798" i="5"/>
  <c r="BM1799" i="5"/>
  <c r="BM1800" i="5"/>
  <c r="BM1801" i="5"/>
  <c r="BM1802" i="5"/>
  <c r="BM1803" i="5"/>
  <c r="BM1804" i="5"/>
  <c r="BM1805" i="5"/>
  <c r="BM1806" i="5"/>
  <c r="BM1807" i="5"/>
  <c r="BM1808" i="5"/>
  <c r="BM1809" i="5"/>
  <c r="BM1810" i="5"/>
  <c r="BM1811" i="5"/>
  <c r="BM1812" i="5"/>
  <c r="BM1813" i="5"/>
  <c r="BM1814" i="5"/>
  <c r="BM1815" i="5"/>
  <c r="BM1816" i="5"/>
  <c r="BM1817" i="5"/>
  <c r="BM1818" i="5"/>
  <c r="BM1819" i="5"/>
  <c r="BM1820" i="5"/>
  <c r="BM1821" i="5"/>
  <c r="BM1822" i="5"/>
  <c r="BM1823" i="5"/>
  <c r="BM1824" i="5"/>
  <c r="BM1825" i="5"/>
  <c r="BM1826" i="5"/>
  <c r="BM1827" i="5"/>
  <c r="BM1828" i="5"/>
  <c r="BM1829" i="5"/>
  <c r="BM1830" i="5"/>
  <c r="BM1831" i="5"/>
  <c r="BM1832" i="5"/>
  <c r="BM1833" i="5"/>
  <c r="BM1834" i="5"/>
  <c r="BM1835" i="5"/>
  <c r="BM1836" i="5"/>
  <c r="BM1837" i="5"/>
  <c r="BM1838" i="5"/>
  <c r="BM1839" i="5"/>
  <c r="BM1840" i="5"/>
  <c r="BM1841" i="5"/>
  <c r="BM1842" i="5"/>
  <c r="BM1843" i="5"/>
  <c r="BM1844" i="5"/>
  <c r="BM1845" i="5"/>
  <c r="BM1846" i="5"/>
  <c r="BM1847" i="5"/>
  <c r="BM1848" i="5"/>
  <c r="BM1849" i="5"/>
  <c r="BM1850" i="5"/>
  <c r="BM1851" i="5"/>
  <c r="BM1852" i="5"/>
  <c r="BM1853" i="5"/>
  <c r="BM1854" i="5"/>
  <c r="BM1855" i="5"/>
  <c r="BM1856" i="5"/>
  <c r="BM1857" i="5"/>
  <c r="BM1858" i="5"/>
  <c r="BM1859" i="5"/>
  <c r="BM1860" i="5"/>
  <c r="BM1861" i="5"/>
  <c r="BM1862" i="5"/>
  <c r="BM1863" i="5"/>
  <c r="BM1864" i="5"/>
  <c r="BM1865" i="5"/>
  <c r="BM1866" i="5"/>
  <c r="BM1867" i="5"/>
  <c r="BM1868" i="5"/>
  <c r="BM1869" i="5"/>
  <c r="BM1870" i="5"/>
  <c r="BM1871" i="5"/>
  <c r="BM1872" i="5"/>
  <c r="BM1873" i="5"/>
  <c r="BM1874" i="5"/>
  <c r="BM1875" i="5"/>
  <c r="BM1876" i="5"/>
  <c r="BM1877" i="5"/>
  <c r="BM1878" i="5"/>
  <c r="BM1879" i="5"/>
  <c r="BM1880" i="5"/>
  <c r="BM1881" i="5"/>
  <c r="BM1882" i="5"/>
  <c r="BM1883" i="5"/>
  <c r="BM1884" i="5"/>
  <c r="BM1885" i="5"/>
  <c r="BM1886" i="5"/>
  <c r="BM1887" i="5"/>
  <c r="BM1888" i="5"/>
  <c r="BM1889" i="5"/>
  <c r="BM1890" i="5"/>
  <c r="BM1891" i="5"/>
  <c r="BM1892" i="5"/>
  <c r="BM1893" i="5"/>
  <c r="BM1894" i="5"/>
  <c r="BM1895" i="5"/>
  <c r="BM1896" i="5"/>
  <c r="BM1897" i="5"/>
  <c r="BM1898" i="5"/>
  <c r="BM1899" i="5"/>
  <c r="BM1900" i="5"/>
  <c r="BM1901" i="5"/>
  <c r="BM1902" i="5"/>
  <c r="BM1903" i="5"/>
  <c r="BM1904" i="5"/>
  <c r="BM1905" i="5"/>
  <c r="BM1906" i="5"/>
  <c r="BM1907" i="5"/>
  <c r="BM1908" i="5"/>
  <c r="BM1909" i="5"/>
  <c r="BM1910" i="5"/>
  <c r="BM1911" i="5"/>
  <c r="BM1912" i="5"/>
  <c r="BM1913" i="5"/>
  <c r="BM1914" i="5"/>
  <c r="BM1915" i="5"/>
  <c r="BM1916" i="5"/>
  <c r="BM1917" i="5"/>
  <c r="BM1918" i="5"/>
  <c r="BM1919" i="5"/>
  <c r="BM1920" i="5"/>
  <c r="BM1921" i="5"/>
  <c r="BM1922" i="5"/>
  <c r="BM1923" i="5"/>
  <c r="BM1924" i="5"/>
  <c r="BM1925" i="5"/>
  <c r="BM1926" i="5"/>
  <c r="BM1927" i="5"/>
  <c r="BM1928" i="5"/>
  <c r="BM1929" i="5"/>
  <c r="BM1930" i="5"/>
  <c r="BM1931" i="5"/>
  <c r="BM1932" i="5"/>
  <c r="BM1933" i="5"/>
  <c r="BM1934" i="5"/>
  <c r="BM1935" i="5"/>
  <c r="BM1936" i="5"/>
  <c r="BM1937" i="5"/>
  <c r="BM1938" i="5"/>
  <c r="BM1939" i="5"/>
  <c r="BM1940" i="5"/>
  <c r="BM1941" i="5"/>
  <c r="BM1942" i="5"/>
  <c r="BM1943" i="5"/>
  <c r="BM1944" i="5"/>
  <c r="BM1945" i="5"/>
  <c r="BM1946" i="5"/>
  <c r="BM1947" i="5"/>
  <c r="BM1948" i="5"/>
  <c r="BM1949" i="5"/>
  <c r="BM1950" i="5"/>
  <c r="BM1951" i="5"/>
  <c r="BM1952" i="5"/>
  <c r="BM1953" i="5"/>
  <c r="BM1954" i="5"/>
  <c r="BM1955" i="5"/>
  <c r="BM1956" i="5"/>
  <c r="BM1957" i="5"/>
  <c r="BM1958" i="5"/>
  <c r="BM1959" i="5"/>
  <c r="BM1960" i="5"/>
  <c r="BM1961" i="5"/>
  <c r="BM1962" i="5"/>
  <c r="BM1963" i="5"/>
  <c r="BM1964" i="5"/>
  <c r="BM1965" i="5"/>
  <c r="BM1966" i="5"/>
  <c r="BM1967" i="5"/>
  <c r="BM1968" i="5"/>
  <c r="BM1969" i="5"/>
  <c r="BM1970" i="5"/>
  <c r="BM1971" i="5"/>
  <c r="BM1972" i="5"/>
  <c r="BM1973" i="5"/>
  <c r="BM1974" i="5"/>
  <c r="BM1975" i="5"/>
  <c r="BM1976" i="5"/>
  <c r="BM1977" i="5"/>
  <c r="BM1978" i="5"/>
  <c r="BM1979" i="5"/>
  <c r="BM1980" i="5"/>
  <c r="BM1981" i="5"/>
  <c r="BM1982" i="5"/>
  <c r="BM1983" i="5"/>
  <c r="BM1984" i="5"/>
  <c r="BM1985" i="5"/>
  <c r="BM1986" i="5"/>
  <c r="BM1987" i="5"/>
  <c r="BM1988" i="5"/>
  <c r="BM1989" i="5"/>
  <c r="BM1990" i="5"/>
  <c r="BM1991" i="5"/>
  <c r="BM1992" i="5"/>
  <c r="BM1993" i="5"/>
  <c r="BM1994" i="5"/>
  <c r="BM1995" i="5"/>
  <c r="BM1996" i="5"/>
  <c r="BM1997" i="5"/>
  <c r="BM1998" i="5"/>
  <c r="BM1999" i="5"/>
  <c r="BM2000" i="5"/>
  <c r="BM2001" i="5"/>
  <c r="BM2002" i="5"/>
  <c r="BM2003" i="5"/>
  <c r="BM2004" i="5"/>
  <c r="BM2005" i="5"/>
  <c r="BM2006" i="5"/>
  <c r="BM2007" i="5"/>
  <c r="BM2008" i="5"/>
  <c r="BM2009" i="5"/>
  <c r="BM2010" i="5"/>
  <c r="BM2011" i="5"/>
  <c r="BM2012" i="5"/>
  <c r="BM2013" i="5"/>
  <c r="BM2014" i="5"/>
  <c r="BM2015" i="5"/>
  <c r="BM2016" i="5"/>
  <c r="BM2017" i="5"/>
  <c r="BM2018" i="5"/>
  <c r="BM2019" i="5"/>
  <c r="BM2020" i="5"/>
  <c r="BM2021" i="5"/>
  <c r="BM2022" i="5"/>
  <c r="BM2023" i="5"/>
  <c r="BM2024" i="5"/>
  <c r="BM2025" i="5"/>
  <c r="BM2026" i="5"/>
  <c r="BM2027" i="5"/>
  <c r="BM2028" i="5"/>
  <c r="BM2029" i="5"/>
  <c r="BM2030" i="5"/>
  <c r="BM2031" i="5"/>
  <c r="BM2032" i="5"/>
  <c r="BM2033" i="5"/>
  <c r="BM2034" i="5"/>
  <c r="BM2035" i="5"/>
  <c r="BM2036" i="5"/>
  <c r="BM2037" i="5"/>
  <c r="BM2038" i="5"/>
  <c r="BM2039" i="5"/>
  <c r="BM2040" i="5"/>
  <c r="BM2041" i="5"/>
  <c r="BM2042" i="5"/>
  <c r="BM2043" i="5"/>
  <c r="BM2044" i="5"/>
  <c r="BM2045" i="5"/>
  <c r="BM2046" i="5"/>
  <c r="BM2047" i="5"/>
  <c r="BM2048" i="5"/>
  <c r="BM2049" i="5"/>
  <c r="BM2050" i="5"/>
  <c r="BM2051" i="5"/>
  <c r="BM2052" i="5"/>
  <c r="BM2053" i="5"/>
  <c r="BM2054" i="5"/>
  <c r="BM2055" i="5"/>
  <c r="BM2056" i="5"/>
  <c r="BM2057" i="5"/>
  <c r="BM2058" i="5"/>
  <c r="BM2059" i="5"/>
  <c r="BM2060" i="5"/>
  <c r="BM2061" i="5"/>
  <c r="BM2062" i="5"/>
  <c r="BM2063" i="5"/>
  <c r="BM2064" i="5"/>
  <c r="BM2065" i="5"/>
  <c r="BM2066" i="5"/>
  <c r="BM2067" i="5"/>
  <c r="BM2068" i="5"/>
  <c r="BM2069" i="5"/>
  <c r="BM2070" i="5"/>
  <c r="BM2071" i="5"/>
  <c r="BM2072" i="5"/>
  <c r="BM2073" i="5"/>
  <c r="BM2074" i="5"/>
  <c r="BM2075" i="5"/>
  <c r="BM2076" i="5"/>
  <c r="BM2077" i="5"/>
  <c r="BM2078" i="5"/>
  <c r="BM2079" i="5"/>
  <c r="BM2080" i="5"/>
  <c r="BM2081" i="5"/>
  <c r="BM2082" i="5"/>
  <c r="BM2083" i="5"/>
  <c r="BM2084" i="5"/>
  <c r="BM2085" i="5"/>
  <c r="BM2086" i="5"/>
  <c r="BM2087" i="5"/>
  <c r="BM2088" i="5"/>
  <c r="BM2089" i="5"/>
  <c r="BM2090" i="5"/>
  <c r="BM2091" i="5"/>
  <c r="BM2092" i="5"/>
  <c r="BM2093" i="5"/>
  <c r="BM2094" i="5"/>
  <c r="BM2095" i="5"/>
  <c r="BM2096" i="5"/>
  <c r="BM2097" i="5"/>
  <c r="BM2098" i="5"/>
  <c r="BM2099" i="5"/>
  <c r="BM2100" i="5"/>
  <c r="BM2101" i="5"/>
  <c r="BM2102" i="5"/>
  <c r="BM2103" i="5"/>
  <c r="BM2104" i="5"/>
  <c r="BM2105" i="5"/>
  <c r="BM2106" i="5"/>
  <c r="BM2107" i="5"/>
  <c r="BM2108" i="5"/>
  <c r="BM2109" i="5"/>
  <c r="BM2110" i="5"/>
  <c r="BM2111" i="5"/>
  <c r="BM2112" i="5"/>
  <c r="BM2113" i="5"/>
  <c r="BM2114" i="5"/>
  <c r="BM2115" i="5"/>
  <c r="BM2116" i="5"/>
  <c r="BM2117" i="5"/>
  <c r="BM2118" i="5"/>
  <c r="BM2119" i="5"/>
  <c r="BM2120" i="5"/>
  <c r="BM2121" i="5"/>
  <c r="BM2122" i="5"/>
  <c r="BM2123" i="5"/>
  <c r="BM2124" i="5"/>
  <c r="BM2125" i="5"/>
  <c r="BM2126" i="5"/>
  <c r="BM2127" i="5"/>
  <c r="BM2128" i="5"/>
  <c r="BM2129" i="5"/>
  <c r="BM2130" i="5"/>
  <c r="BM2131" i="5"/>
  <c r="BM2132" i="5"/>
  <c r="BM2133" i="5"/>
  <c r="BM2134" i="5"/>
  <c r="BM2135" i="5"/>
  <c r="BM2136" i="5"/>
  <c r="BM2137" i="5"/>
  <c r="BM2138" i="5"/>
  <c r="BM2139" i="5"/>
  <c r="BM2140" i="5"/>
  <c r="BM2141" i="5"/>
  <c r="BM2142" i="5"/>
  <c r="BM2143" i="5"/>
  <c r="BM2144" i="5"/>
  <c r="BM2145" i="5"/>
  <c r="BM2146" i="5"/>
  <c r="BM2147" i="5"/>
  <c r="BM2148" i="5"/>
  <c r="BM2149" i="5"/>
  <c r="BM2150" i="5"/>
  <c r="BM2151" i="5"/>
  <c r="BM2152" i="5"/>
  <c r="BM2153" i="5"/>
  <c r="BM2154" i="5"/>
  <c r="BM2155" i="5"/>
  <c r="BM2156" i="5"/>
  <c r="BM2157" i="5"/>
  <c r="BM2158" i="5"/>
  <c r="BM2159" i="5"/>
  <c r="BM2160" i="5"/>
  <c r="BM2161" i="5"/>
  <c r="BM2162" i="5"/>
  <c r="BM2163" i="5"/>
  <c r="BM2164" i="5"/>
  <c r="BM2165" i="5"/>
  <c r="BM2166" i="5"/>
  <c r="BM2167" i="5"/>
  <c r="BM2168" i="5"/>
  <c r="BM2169" i="5"/>
  <c r="BM2170" i="5"/>
  <c r="BM2171" i="5"/>
  <c r="BM2172" i="5"/>
  <c r="BM2173" i="5"/>
  <c r="BM2174" i="5"/>
  <c r="BM2175" i="5"/>
  <c r="BM2176" i="5"/>
  <c r="BM2177" i="5"/>
  <c r="BM2178" i="5"/>
  <c r="BM2179" i="5"/>
  <c r="BM2180" i="5"/>
  <c r="BM2181" i="5"/>
  <c r="BM2182" i="5"/>
  <c r="BM2183" i="5"/>
  <c r="BM2184" i="5"/>
  <c r="BM2185" i="5"/>
  <c r="BM2186" i="5"/>
  <c r="BM2187" i="5"/>
  <c r="BM2188" i="5"/>
  <c r="BM2189" i="5"/>
  <c r="BM2190" i="5"/>
  <c r="BM2191" i="5"/>
  <c r="BM2192" i="5"/>
  <c r="BM2193" i="5"/>
  <c r="BM2194" i="5"/>
  <c r="BM2195" i="5"/>
  <c r="BM2196" i="5"/>
  <c r="BM2197" i="5"/>
  <c r="BM2198" i="5"/>
  <c r="BM2199" i="5"/>
  <c r="BM2200" i="5"/>
  <c r="BM2201" i="5"/>
  <c r="BM2202" i="5"/>
  <c r="BM2203" i="5"/>
  <c r="BM2204" i="5"/>
  <c r="BM2205" i="5"/>
  <c r="BM2206" i="5"/>
  <c r="BM2207" i="5"/>
  <c r="BM2208" i="5"/>
  <c r="BM2209" i="5"/>
  <c r="BM2210" i="5"/>
  <c r="BM2211" i="5"/>
  <c r="BM2212" i="5"/>
  <c r="BM2213" i="5"/>
  <c r="BM2214" i="5"/>
  <c r="BM2215" i="5"/>
  <c r="BM2216" i="5"/>
  <c r="BM2217" i="5"/>
  <c r="BM2218" i="5"/>
  <c r="BM2219" i="5"/>
  <c r="BM2220" i="5"/>
  <c r="BM2221" i="5"/>
  <c r="BM2222" i="5"/>
  <c r="BM2223" i="5"/>
  <c r="BM2224" i="5"/>
  <c r="BM2225" i="5"/>
  <c r="BM2226" i="5"/>
  <c r="BM2227" i="5"/>
  <c r="BM2228" i="5"/>
  <c r="BM2229" i="5"/>
  <c r="BM2230" i="5"/>
  <c r="BM2231" i="5"/>
  <c r="BM2232" i="5"/>
  <c r="BM2233" i="5"/>
  <c r="BM2234" i="5"/>
  <c r="BM2235" i="5"/>
  <c r="BM2236" i="5"/>
  <c r="BM2237" i="5"/>
  <c r="BM2238" i="5"/>
  <c r="BM2239" i="5"/>
  <c r="BM2240" i="5"/>
  <c r="BM2241" i="5"/>
  <c r="BM2242" i="5"/>
  <c r="BM2243" i="5"/>
  <c r="BM2244" i="5"/>
  <c r="BM2245" i="5"/>
  <c r="BM2246" i="5"/>
  <c r="BM2247" i="5"/>
  <c r="BM2248" i="5"/>
  <c r="BM2249" i="5"/>
  <c r="BM2250" i="5"/>
  <c r="BM2251" i="5"/>
  <c r="BM2252" i="5"/>
  <c r="BM2253" i="5"/>
  <c r="BM2254" i="5"/>
  <c r="BM2255" i="5"/>
  <c r="BM2256" i="5"/>
  <c r="BM2257" i="5"/>
  <c r="BM2258" i="5"/>
  <c r="BM2259" i="5"/>
  <c r="BM2260" i="5"/>
  <c r="BM2261" i="5"/>
  <c r="BM2262" i="5"/>
  <c r="BM2263" i="5"/>
  <c r="BM2264" i="5"/>
  <c r="BM2265" i="5"/>
  <c r="BM2266" i="5"/>
  <c r="BM2267" i="5"/>
  <c r="BM2268" i="5"/>
  <c r="BM2269" i="5"/>
  <c r="BM2270" i="5"/>
  <c r="BM2271" i="5"/>
  <c r="BM2272" i="5"/>
  <c r="BM2273" i="5"/>
  <c r="BM2274" i="5"/>
  <c r="BM2275" i="5"/>
  <c r="BM2276" i="5"/>
  <c r="BM2277" i="5"/>
  <c r="BM2278" i="5"/>
  <c r="BM2279" i="5"/>
  <c r="BM2280" i="5"/>
  <c r="BM2281" i="5"/>
  <c r="BM2282" i="5"/>
  <c r="BM2283" i="5"/>
  <c r="BM2284" i="5"/>
  <c r="BM2285" i="5"/>
  <c r="BM2286" i="5"/>
  <c r="BM2287" i="5"/>
  <c r="BM2288" i="5"/>
  <c r="BM2289" i="5"/>
  <c r="BM2290" i="5"/>
  <c r="BM2291" i="5"/>
  <c r="BM2292" i="5"/>
  <c r="BM2293" i="5"/>
  <c r="BM2294" i="5"/>
  <c r="BM2295" i="5"/>
  <c r="BM2296" i="5"/>
  <c r="BM2297" i="5"/>
  <c r="BM2298" i="5"/>
  <c r="BM2299" i="5"/>
  <c r="BM2300" i="5"/>
  <c r="BM2301" i="5"/>
  <c r="BM2302" i="5"/>
  <c r="BM2303" i="5"/>
  <c r="BM2304" i="5"/>
  <c r="BM2305" i="5"/>
  <c r="BM2306" i="5"/>
  <c r="BM2307" i="5"/>
  <c r="BM2308" i="5"/>
  <c r="BM2309" i="5"/>
  <c r="BM2310" i="5"/>
  <c r="BM2311" i="5"/>
  <c r="BM2312" i="5"/>
  <c r="BM2313" i="5"/>
  <c r="BM2314" i="5"/>
  <c r="BM2315" i="5"/>
  <c r="BM2316" i="5"/>
  <c r="BM2317" i="5"/>
  <c r="BM2318" i="5"/>
  <c r="BM2319" i="5"/>
  <c r="BM2320" i="5"/>
  <c r="BM2321" i="5"/>
  <c r="BM2322" i="5"/>
  <c r="BM2323" i="5"/>
  <c r="BM2324" i="5"/>
  <c r="BM2325" i="5"/>
  <c r="BM2326" i="5"/>
  <c r="BM2327" i="5"/>
  <c r="BM2328" i="5"/>
  <c r="BM2329" i="5"/>
  <c r="BM2330" i="5"/>
  <c r="BM2331" i="5"/>
  <c r="BM2332" i="5"/>
  <c r="BM2333" i="5"/>
  <c r="BM2334" i="5"/>
  <c r="BM2335" i="5"/>
  <c r="BM2336" i="5"/>
  <c r="BM2337" i="5"/>
  <c r="BM2338" i="5"/>
  <c r="BM2339" i="5"/>
  <c r="BM2340" i="5"/>
  <c r="BM2341" i="5"/>
  <c r="BM2342" i="5"/>
  <c r="BM2343" i="5"/>
  <c r="BM2344" i="5"/>
  <c r="BM2345" i="5"/>
  <c r="BM2346" i="5"/>
  <c r="BM2347" i="5"/>
  <c r="BM2348" i="5"/>
  <c r="BM2349" i="5"/>
  <c r="BM2350" i="5"/>
  <c r="BM2351" i="5"/>
  <c r="BM2352" i="5"/>
  <c r="BM2353" i="5"/>
  <c r="BM2354" i="5"/>
  <c r="BM2355" i="5"/>
  <c r="BM2356" i="5"/>
  <c r="BM2357" i="5"/>
  <c r="BM2358" i="5"/>
  <c r="BM2359" i="5"/>
  <c r="BM2360" i="5"/>
  <c r="BM2361" i="5"/>
  <c r="BM2362" i="5"/>
  <c r="BM2363" i="5"/>
  <c r="BM2364" i="5"/>
  <c r="BM2365" i="5"/>
  <c r="BM2366" i="5"/>
  <c r="BM2367" i="5"/>
  <c r="BM2368" i="5"/>
  <c r="BM2369" i="5"/>
  <c r="BM2370" i="5"/>
  <c r="BM2371" i="5"/>
  <c r="BM2372" i="5"/>
  <c r="BM2373" i="5"/>
  <c r="BM2374" i="5"/>
  <c r="BM2375" i="5"/>
  <c r="BM2376" i="5"/>
  <c r="BM2377" i="5"/>
  <c r="BM2378" i="5"/>
  <c r="BM2379" i="5"/>
  <c r="BM2380" i="5"/>
  <c r="BM2381" i="5"/>
  <c r="BM2382" i="5"/>
  <c r="BM2383" i="5"/>
  <c r="BM2384" i="5"/>
  <c r="BM2385" i="5"/>
  <c r="BM2386" i="5"/>
  <c r="BM2387" i="5"/>
  <c r="BM2388" i="5"/>
  <c r="BM2389" i="5"/>
  <c r="BM2390" i="5"/>
  <c r="BM2391" i="5"/>
  <c r="BM2392" i="5"/>
  <c r="BM2393" i="5"/>
  <c r="BM2394" i="5"/>
  <c r="BM2395" i="5"/>
  <c r="BM2396" i="5"/>
  <c r="BM2397" i="5"/>
  <c r="BM2398" i="5"/>
  <c r="BM2399" i="5"/>
  <c r="BM2400" i="5"/>
  <c r="BM2401" i="5"/>
  <c r="BM2402" i="5"/>
  <c r="BM2403" i="5"/>
  <c r="BM2404" i="5"/>
  <c r="BM2405" i="5"/>
  <c r="BM2406" i="5"/>
  <c r="BM2407" i="5"/>
  <c r="BM2408" i="5"/>
  <c r="BM2409" i="5"/>
  <c r="BM2410" i="5"/>
  <c r="BM2411" i="5"/>
  <c r="BM2412" i="5"/>
  <c r="BM2413" i="5"/>
  <c r="BM2414" i="5"/>
  <c r="BM2415" i="5"/>
  <c r="BM2416" i="5"/>
  <c r="BM2417" i="5"/>
  <c r="BM2418" i="5"/>
  <c r="BM2419" i="5"/>
  <c r="BM2420" i="5"/>
  <c r="BM2421" i="5"/>
  <c r="BM2422" i="5"/>
  <c r="BM2423" i="5"/>
  <c r="BM2424" i="5"/>
  <c r="BM2425" i="5"/>
  <c r="BM2426" i="5"/>
  <c r="BM2427" i="5"/>
  <c r="BM2428" i="5"/>
  <c r="BM2429" i="5"/>
  <c r="BM2430" i="5"/>
  <c r="BM2431" i="5"/>
  <c r="BM2432" i="5"/>
  <c r="BM2433" i="5"/>
  <c r="BM2434" i="5"/>
  <c r="BM2435" i="5"/>
  <c r="BM2436" i="5"/>
  <c r="BM2437" i="5"/>
  <c r="BM2438" i="5"/>
  <c r="BM2439" i="5"/>
  <c r="BM2440" i="5"/>
  <c r="BM2441" i="5"/>
  <c r="BM2442" i="5"/>
  <c r="BM2443" i="5"/>
  <c r="BM2444" i="5"/>
  <c r="BM2445" i="5"/>
  <c r="BM2446" i="5"/>
  <c r="BM2447" i="5"/>
  <c r="BM2448" i="5"/>
  <c r="BM2449" i="5"/>
  <c r="BM2450" i="5"/>
  <c r="BM2451" i="5"/>
  <c r="BM2452" i="5"/>
  <c r="BM2453" i="5"/>
  <c r="BM2454" i="5"/>
  <c r="BM2455" i="5"/>
  <c r="BM2456" i="5"/>
  <c r="BM2457" i="5"/>
  <c r="BM2458" i="5"/>
  <c r="BM2459" i="5"/>
  <c r="BM2460" i="5"/>
  <c r="BM2461" i="5"/>
  <c r="BM2462" i="5"/>
  <c r="BM2463" i="5"/>
  <c r="BM2464" i="5"/>
  <c r="BM2465" i="5"/>
  <c r="BM2466" i="5"/>
  <c r="BM2467" i="5"/>
  <c r="BM2468" i="5"/>
  <c r="BM2469" i="5"/>
  <c r="BM2470" i="5"/>
  <c r="BM2471" i="5"/>
  <c r="BM2472" i="5"/>
  <c r="BM2473" i="5"/>
  <c r="BM2474" i="5"/>
  <c r="BM2475" i="5"/>
  <c r="BM2476" i="5"/>
  <c r="BM2477" i="5"/>
  <c r="BM2478" i="5"/>
  <c r="BM2479" i="5"/>
  <c r="BM2480" i="5"/>
  <c r="BM2481" i="5"/>
  <c r="BM2482" i="5"/>
  <c r="BM2483" i="5"/>
  <c r="BM2484" i="5"/>
  <c r="BM2485" i="5"/>
  <c r="BM2486" i="5"/>
  <c r="BM2487" i="5"/>
  <c r="BM2488" i="5"/>
  <c r="BM2489" i="5"/>
  <c r="BM2490" i="5"/>
  <c r="BL2" i="5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355" i="5"/>
  <c r="BL356" i="5"/>
  <c r="BL357" i="5"/>
  <c r="BL358" i="5"/>
  <c r="BL359" i="5"/>
  <c r="BL360" i="5"/>
  <c r="BL361" i="5"/>
  <c r="BL362" i="5"/>
  <c r="BL363" i="5"/>
  <c r="BL364" i="5"/>
  <c r="BL365" i="5"/>
  <c r="BL366" i="5"/>
  <c r="BL367" i="5"/>
  <c r="BL368" i="5"/>
  <c r="BL369" i="5"/>
  <c r="BL370" i="5"/>
  <c r="BL371" i="5"/>
  <c r="BL372" i="5"/>
  <c r="BL373" i="5"/>
  <c r="BL374" i="5"/>
  <c r="BL375" i="5"/>
  <c r="BL376" i="5"/>
  <c r="BL377" i="5"/>
  <c r="BL378" i="5"/>
  <c r="BL379" i="5"/>
  <c r="BL380" i="5"/>
  <c r="BL381" i="5"/>
  <c r="BL382" i="5"/>
  <c r="BL383" i="5"/>
  <c r="BL384" i="5"/>
  <c r="BL385" i="5"/>
  <c r="BL386" i="5"/>
  <c r="BL387" i="5"/>
  <c r="BL388" i="5"/>
  <c r="BL389" i="5"/>
  <c r="BL390" i="5"/>
  <c r="BL391" i="5"/>
  <c r="BL392" i="5"/>
  <c r="BL393" i="5"/>
  <c r="BL394" i="5"/>
  <c r="BL395" i="5"/>
  <c r="BL396" i="5"/>
  <c r="BL397" i="5"/>
  <c r="BL398" i="5"/>
  <c r="BL399" i="5"/>
  <c r="BL400" i="5"/>
  <c r="BL401" i="5"/>
  <c r="BL402" i="5"/>
  <c r="BL403" i="5"/>
  <c r="BL404" i="5"/>
  <c r="BL405" i="5"/>
  <c r="BL406" i="5"/>
  <c r="BL407" i="5"/>
  <c r="BL408" i="5"/>
  <c r="BL409" i="5"/>
  <c r="BL410" i="5"/>
  <c r="BL411" i="5"/>
  <c r="BL412" i="5"/>
  <c r="BL413" i="5"/>
  <c r="BL414" i="5"/>
  <c r="BL415" i="5"/>
  <c r="BL416" i="5"/>
  <c r="BL417" i="5"/>
  <c r="BL418" i="5"/>
  <c r="BL419" i="5"/>
  <c r="BL420" i="5"/>
  <c r="BL421" i="5"/>
  <c r="BL422" i="5"/>
  <c r="BL423" i="5"/>
  <c r="BL424" i="5"/>
  <c r="BL425" i="5"/>
  <c r="BL426" i="5"/>
  <c r="BL427" i="5"/>
  <c r="BL428" i="5"/>
  <c r="BL429" i="5"/>
  <c r="BL430" i="5"/>
  <c r="BL431" i="5"/>
  <c r="BL432" i="5"/>
  <c r="BL433" i="5"/>
  <c r="BL434" i="5"/>
  <c r="BL435" i="5"/>
  <c r="BL436" i="5"/>
  <c r="BL437" i="5"/>
  <c r="BL438" i="5"/>
  <c r="BL439" i="5"/>
  <c r="BL440" i="5"/>
  <c r="BL441" i="5"/>
  <c r="BL442" i="5"/>
  <c r="BL443" i="5"/>
  <c r="BL444" i="5"/>
  <c r="BL445" i="5"/>
  <c r="BL446" i="5"/>
  <c r="BL447" i="5"/>
  <c r="BL448" i="5"/>
  <c r="BL449" i="5"/>
  <c r="BL450" i="5"/>
  <c r="BL451" i="5"/>
  <c r="BL452" i="5"/>
  <c r="BL453" i="5"/>
  <c r="BL454" i="5"/>
  <c r="BL455" i="5"/>
  <c r="BL456" i="5"/>
  <c r="BL457" i="5"/>
  <c r="BL458" i="5"/>
  <c r="BL459" i="5"/>
  <c r="BL460" i="5"/>
  <c r="BL461" i="5"/>
  <c r="BL462" i="5"/>
  <c r="BL463" i="5"/>
  <c r="BL464" i="5"/>
  <c r="BL465" i="5"/>
  <c r="BL466" i="5"/>
  <c r="BL467" i="5"/>
  <c r="BL468" i="5"/>
  <c r="BL469" i="5"/>
  <c r="BL470" i="5"/>
  <c r="BL471" i="5"/>
  <c r="BL472" i="5"/>
  <c r="BL473" i="5"/>
  <c r="BL474" i="5"/>
  <c r="BL475" i="5"/>
  <c r="BL476" i="5"/>
  <c r="BL477" i="5"/>
  <c r="BL478" i="5"/>
  <c r="BL479" i="5"/>
  <c r="BL480" i="5"/>
  <c r="BL481" i="5"/>
  <c r="BL482" i="5"/>
  <c r="BL483" i="5"/>
  <c r="BL484" i="5"/>
  <c r="BL485" i="5"/>
  <c r="BL486" i="5"/>
  <c r="BL487" i="5"/>
  <c r="BL488" i="5"/>
  <c r="BL489" i="5"/>
  <c r="BL490" i="5"/>
  <c r="BL491" i="5"/>
  <c r="BL492" i="5"/>
  <c r="BL493" i="5"/>
  <c r="BL494" i="5"/>
  <c r="BL495" i="5"/>
  <c r="BL496" i="5"/>
  <c r="BL497" i="5"/>
  <c r="BL498" i="5"/>
  <c r="BL499" i="5"/>
  <c r="BL500" i="5"/>
  <c r="BL501" i="5"/>
  <c r="BL502" i="5"/>
  <c r="BL503" i="5"/>
  <c r="BL504" i="5"/>
  <c r="BL505" i="5"/>
  <c r="BL506" i="5"/>
  <c r="BL507" i="5"/>
  <c r="BL508" i="5"/>
  <c r="BL509" i="5"/>
  <c r="BL510" i="5"/>
  <c r="BL511" i="5"/>
  <c r="BL512" i="5"/>
  <c r="BL513" i="5"/>
  <c r="BL514" i="5"/>
  <c r="BL515" i="5"/>
  <c r="BL516" i="5"/>
  <c r="BL517" i="5"/>
  <c r="BL518" i="5"/>
  <c r="BL519" i="5"/>
  <c r="BL520" i="5"/>
  <c r="BL521" i="5"/>
  <c r="BL522" i="5"/>
  <c r="BL523" i="5"/>
  <c r="BL524" i="5"/>
  <c r="BL525" i="5"/>
  <c r="BL526" i="5"/>
  <c r="BL527" i="5"/>
  <c r="BL528" i="5"/>
  <c r="BL529" i="5"/>
  <c r="BL530" i="5"/>
  <c r="BL531" i="5"/>
  <c r="BL532" i="5"/>
  <c r="BL533" i="5"/>
  <c r="BL534" i="5"/>
  <c r="BL535" i="5"/>
  <c r="BL536" i="5"/>
  <c r="BL537" i="5"/>
  <c r="BL538" i="5"/>
  <c r="BL539" i="5"/>
  <c r="BL540" i="5"/>
  <c r="BL541" i="5"/>
  <c r="BL542" i="5"/>
  <c r="BL543" i="5"/>
  <c r="BL544" i="5"/>
  <c r="BL545" i="5"/>
  <c r="BL546" i="5"/>
  <c r="BL547" i="5"/>
  <c r="BL548" i="5"/>
  <c r="BL549" i="5"/>
  <c r="BL550" i="5"/>
  <c r="BL551" i="5"/>
  <c r="BL552" i="5"/>
  <c r="BL553" i="5"/>
  <c r="BL554" i="5"/>
  <c r="BL555" i="5"/>
  <c r="BL556" i="5"/>
  <c r="BL557" i="5"/>
  <c r="BL558" i="5"/>
  <c r="BL559" i="5"/>
  <c r="BL560" i="5"/>
  <c r="BL561" i="5"/>
  <c r="BL562" i="5"/>
  <c r="BL563" i="5"/>
  <c r="BL564" i="5"/>
  <c r="BL565" i="5"/>
  <c r="BL566" i="5"/>
  <c r="BL567" i="5"/>
  <c r="BL568" i="5"/>
  <c r="BL569" i="5"/>
  <c r="BL570" i="5"/>
  <c r="BL571" i="5"/>
  <c r="BL572" i="5"/>
  <c r="BL573" i="5"/>
  <c r="BL574" i="5"/>
  <c r="BL575" i="5"/>
  <c r="BL576" i="5"/>
  <c r="BL577" i="5"/>
  <c r="BL578" i="5"/>
  <c r="BL579" i="5"/>
  <c r="BL580" i="5"/>
  <c r="BL581" i="5"/>
  <c r="BL582" i="5"/>
  <c r="BL583" i="5"/>
  <c r="BL584" i="5"/>
  <c r="BL585" i="5"/>
  <c r="BL586" i="5"/>
  <c r="BL587" i="5"/>
  <c r="BL588" i="5"/>
  <c r="BL589" i="5"/>
  <c r="BL590" i="5"/>
  <c r="BL591" i="5"/>
  <c r="BL592" i="5"/>
  <c r="BL593" i="5"/>
  <c r="BL594" i="5"/>
  <c r="BL595" i="5"/>
  <c r="BL596" i="5"/>
  <c r="BL597" i="5"/>
  <c r="BL598" i="5"/>
  <c r="BL599" i="5"/>
  <c r="BL600" i="5"/>
  <c r="BL601" i="5"/>
  <c r="BL602" i="5"/>
  <c r="BL603" i="5"/>
  <c r="BL604" i="5"/>
  <c r="BL605" i="5"/>
  <c r="BL606" i="5"/>
  <c r="BL607" i="5"/>
  <c r="BL608" i="5"/>
  <c r="BL609" i="5"/>
  <c r="BL610" i="5"/>
  <c r="BL611" i="5"/>
  <c r="BL612" i="5"/>
  <c r="BL613" i="5"/>
  <c r="BL614" i="5"/>
  <c r="BL615" i="5"/>
  <c r="BL616" i="5"/>
  <c r="BL617" i="5"/>
  <c r="BL618" i="5"/>
  <c r="BL619" i="5"/>
  <c r="BL620" i="5"/>
  <c r="BL621" i="5"/>
  <c r="BL622" i="5"/>
  <c r="BL623" i="5"/>
  <c r="BL624" i="5"/>
  <c r="BL625" i="5"/>
  <c r="BL626" i="5"/>
  <c r="BL627" i="5"/>
  <c r="BL628" i="5"/>
  <c r="BL629" i="5"/>
  <c r="BL630" i="5"/>
  <c r="BL631" i="5"/>
  <c r="BL632" i="5"/>
  <c r="BL633" i="5"/>
  <c r="BL634" i="5"/>
  <c r="BL635" i="5"/>
  <c r="BL636" i="5"/>
  <c r="BL637" i="5"/>
  <c r="BL638" i="5"/>
  <c r="BL639" i="5"/>
  <c r="BL640" i="5"/>
  <c r="BL641" i="5"/>
  <c r="BL642" i="5"/>
  <c r="BL643" i="5"/>
  <c r="BL644" i="5"/>
  <c r="BL645" i="5"/>
  <c r="BL646" i="5"/>
  <c r="BL647" i="5"/>
  <c r="BL648" i="5"/>
  <c r="BL649" i="5"/>
  <c r="BL650" i="5"/>
  <c r="BL651" i="5"/>
  <c r="BL652" i="5"/>
  <c r="BL653" i="5"/>
  <c r="BL654" i="5"/>
  <c r="BL655" i="5"/>
  <c r="BL656" i="5"/>
  <c r="BL657" i="5"/>
  <c r="BL658" i="5"/>
  <c r="BL659" i="5"/>
  <c r="BL660" i="5"/>
  <c r="BL661" i="5"/>
  <c r="BL662" i="5"/>
  <c r="BL663" i="5"/>
  <c r="BL664" i="5"/>
  <c r="BL665" i="5"/>
  <c r="BL666" i="5"/>
  <c r="BL667" i="5"/>
  <c r="BL668" i="5"/>
  <c r="BL669" i="5"/>
  <c r="BL670" i="5"/>
  <c r="BL671" i="5"/>
  <c r="BL672" i="5"/>
  <c r="BL673" i="5"/>
  <c r="BL674" i="5"/>
  <c r="BL675" i="5"/>
  <c r="BL676" i="5"/>
  <c r="BL677" i="5"/>
  <c r="BL678" i="5"/>
  <c r="BL679" i="5"/>
  <c r="BL680" i="5"/>
  <c r="BL681" i="5"/>
  <c r="BL682" i="5"/>
  <c r="BL683" i="5"/>
  <c r="BL684" i="5"/>
  <c r="BL685" i="5"/>
  <c r="BL686" i="5"/>
  <c r="BL687" i="5"/>
  <c r="BL688" i="5"/>
  <c r="BL689" i="5"/>
  <c r="BL690" i="5"/>
  <c r="BL691" i="5"/>
  <c r="BL692" i="5"/>
  <c r="BL693" i="5"/>
  <c r="BL694" i="5"/>
  <c r="BL695" i="5"/>
  <c r="BL696" i="5"/>
  <c r="BL697" i="5"/>
  <c r="BL698" i="5"/>
  <c r="BL699" i="5"/>
  <c r="BL700" i="5"/>
  <c r="BL701" i="5"/>
  <c r="BL702" i="5"/>
  <c r="BL703" i="5"/>
  <c r="BL704" i="5"/>
  <c r="BL705" i="5"/>
  <c r="BL706" i="5"/>
  <c r="BL707" i="5"/>
  <c r="BL708" i="5"/>
  <c r="BL709" i="5"/>
  <c r="BL710" i="5"/>
  <c r="BL711" i="5"/>
  <c r="BL712" i="5"/>
  <c r="BL713" i="5"/>
  <c r="BL714" i="5"/>
  <c r="BL715" i="5"/>
  <c r="BL716" i="5"/>
  <c r="BL717" i="5"/>
  <c r="BL718" i="5"/>
  <c r="BL719" i="5"/>
  <c r="BL720" i="5"/>
  <c r="BL721" i="5"/>
  <c r="BL722" i="5"/>
  <c r="BL723" i="5"/>
  <c r="BL724" i="5"/>
  <c r="BL725" i="5"/>
  <c r="BL726" i="5"/>
  <c r="BL727" i="5"/>
  <c r="BL728" i="5"/>
  <c r="BL729" i="5"/>
  <c r="BL730" i="5"/>
  <c r="BL731" i="5"/>
  <c r="BL732" i="5"/>
  <c r="BL733" i="5"/>
  <c r="BL734" i="5"/>
  <c r="BL735" i="5"/>
  <c r="BL736" i="5"/>
  <c r="BL737" i="5"/>
  <c r="BL738" i="5"/>
  <c r="BL739" i="5"/>
  <c r="BL740" i="5"/>
  <c r="BL741" i="5"/>
  <c r="BL742" i="5"/>
  <c r="BL743" i="5"/>
  <c r="BL744" i="5"/>
  <c r="BL745" i="5"/>
  <c r="BL746" i="5"/>
  <c r="BL747" i="5"/>
  <c r="BL748" i="5"/>
  <c r="BL749" i="5"/>
  <c r="BL750" i="5"/>
  <c r="BL751" i="5"/>
  <c r="BL752" i="5"/>
  <c r="BL753" i="5"/>
  <c r="BL754" i="5"/>
  <c r="BL755" i="5"/>
  <c r="BL756" i="5"/>
  <c r="BL757" i="5"/>
  <c r="BL758" i="5"/>
  <c r="BL759" i="5"/>
  <c r="BL760" i="5"/>
  <c r="BL761" i="5"/>
  <c r="BL762" i="5"/>
  <c r="BL763" i="5"/>
  <c r="BL764" i="5"/>
  <c r="BL765" i="5"/>
  <c r="BL766" i="5"/>
  <c r="BL767" i="5"/>
  <c r="BL768" i="5"/>
  <c r="BL769" i="5"/>
  <c r="BL770" i="5"/>
  <c r="BL771" i="5"/>
  <c r="BL772" i="5"/>
  <c r="BL773" i="5"/>
  <c r="BL774" i="5"/>
  <c r="BL775" i="5"/>
  <c r="BL776" i="5"/>
  <c r="BL777" i="5"/>
  <c r="BL778" i="5"/>
  <c r="BL779" i="5"/>
  <c r="BL780" i="5"/>
  <c r="BL781" i="5"/>
  <c r="BL782" i="5"/>
  <c r="BL783" i="5"/>
  <c r="BL784" i="5"/>
  <c r="BL785" i="5"/>
  <c r="BL786" i="5"/>
  <c r="BL787" i="5"/>
  <c r="BL788" i="5"/>
  <c r="BL789" i="5"/>
  <c r="BL790" i="5"/>
  <c r="BL791" i="5"/>
  <c r="BL792" i="5"/>
  <c r="BL793" i="5"/>
  <c r="BL794" i="5"/>
  <c r="BL795" i="5"/>
  <c r="BL796" i="5"/>
  <c r="BL797" i="5"/>
  <c r="BL798" i="5"/>
  <c r="BL799" i="5"/>
  <c r="BL800" i="5"/>
  <c r="BL801" i="5"/>
  <c r="BL802" i="5"/>
  <c r="BL803" i="5"/>
  <c r="BL804" i="5"/>
  <c r="BL805" i="5"/>
  <c r="BL806" i="5"/>
  <c r="BL807" i="5"/>
  <c r="BL808" i="5"/>
  <c r="BL809" i="5"/>
  <c r="BL810" i="5"/>
  <c r="BL811" i="5"/>
  <c r="BL812" i="5"/>
  <c r="BL813" i="5"/>
  <c r="BL814" i="5"/>
  <c r="BL815" i="5"/>
  <c r="BL816" i="5"/>
  <c r="BL817" i="5"/>
  <c r="BL818" i="5"/>
  <c r="BL819" i="5"/>
  <c r="BL820" i="5"/>
  <c r="BL821" i="5"/>
  <c r="BL822" i="5"/>
  <c r="BL823" i="5"/>
  <c r="BL824" i="5"/>
  <c r="BL825" i="5"/>
  <c r="BL826" i="5"/>
  <c r="BL827" i="5"/>
  <c r="BL828" i="5"/>
  <c r="BL829" i="5"/>
  <c r="BL830" i="5"/>
  <c r="BL831" i="5"/>
  <c r="BL832" i="5"/>
  <c r="BL833" i="5"/>
  <c r="BL834" i="5"/>
  <c r="BL835" i="5"/>
  <c r="BL836" i="5"/>
  <c r="BL837" i="5"/>
  <c r="BL838" i="5"/>
  <c r="BL839" i="5"/>
  <c r="BL840" i="5"/>
  <c r="BL841" i="5"/>
  <c r="BL842" i="5"/>
  <c r="BL843" i="5"/>
  <c r="BL844" i="5"/>
  <c r="BL845" i="5"/>
  <c r="BL846" i="5"/>
  <c r="BL847" i="5"/>
  <c r="BL848" i="5"/>
  <c r="BL849" i="5"/>
  <c r="BL850" i="5"/>
  <c r="BL851" i="5"/>
  <c r="BL852" i="5"/>
  <c r="BL853" i="5"/>
  <c r="BL854" i="5"/>
  <c r="BL855" i="5"/>
  <c r="BL856" i="5"/>
  <c r="BL857" i="5"/>
  <c r="BL858" i="5"/>
  <c r="BL859" i="5"/>
  <c r="BL860" i="5"/>
  <c r="BL861" i="5"/>
  <c r="BL862" i="5"/>
  <c r="BL863" i="5"/>
  <c r="BL864" i="5"/>
  <c r="BL865" i="5"/>
  <c r="BL866" i="5"/>
  <c r="BL867" i="5"/>
  <c r="BL868" i="5"/>
  <c r="BL869" i="5"/>
  <c r="BL870" i="5"/>
  <c r="BL871" i="5"/>
  <c r="BL872" i="5"/>
  <c r="BL873" i="5"/>
  <c r="BL874" i="5"/>
  <c r="BL875" i="5"/>
  <c r="BL876" i="5"/>
  <c r="BL877" i="5"/>
  <c r="BL878" i="5"/>
  <c r="BL879" i="5"/>
  <c r="BL880" i="5"/>
  <c r="BL881" i="5"/>
  <c r="BL882" i="5"/>
  <c r="BL883" i="5"/>
  <c r="BL884" i="5"/>
  <c r="BL885" i="5"/>
  <c r="BL886" i="5"/>
  <c r="BL887" i="5"/>
  <c r="BL888" i="5"/>
  <c r="BL889" i="5"/>
  <c r="BL890" i="5"/>
  <c r="BL891" i="5"/>
  <c r="BL892" i="5"/>
  <c r="BL893" i="5"/>
  <c r="BL894" i="5"/>
  <c r="BL895" i="5"/>
  <c r="BL896" i="5"/>
  <c r="BL897" i="5"/>
  <c r="BL898" i="5"/>
  <c r="BL899" i="5"/>
  <c r="BL900" i="5"/>
  <c r="BL901" i="5"/>
  <c r="BL902" i="5"/>
  <c r="BL903" i="5"/>
  <c r="BL904" i="5"/>
  <c r="BL905" i="5"/>
  <c r="BL906" i="5"/>
  <c r="BL907" i="5"/>
  <c r="BL908" i="5"/>
  <c r="BL909" i="5"/>
  <c r="BL910" i="5"/>
  <c r="BL911" i="5"/>
  <c r="BL912" i="5"/>
  <c r="BL913" i="5"/>
  <c r="BL914" i="5"/>
  <c r="BL915" i="5"/>
  <c r="BL916" i="5"/>
  <c r="BL917" i="5"/>
  <c r="BL918" i="5"/>
  <c r="BL919" i="5"/>
  <c r="BL920" i="5"/>
  <c r="BL921" i="5"/>
  <c r="BL922" i="5"/>
  <c r="BL923" i="5"/>
  <c r="BL924" i="5"/>
  <c r="BL925" i="5"/>
  <c r="BL926" i="5"/>
  <c r="BL927" i="5"/>
  <c r="BL928" i="5"/>
  <c r="BL929" i="5"/>
  <c r="BL930" i="5"/>
  <c r="BL931" i="5"/>
  <c r="BL932" i="5"/>
  <c r="BL933" i="5"/>
  <c r="BL934" i="5"/>
  <c r="BL935" i="5"/>
  <c r="BL936" i="5"/>
  <c r="BL937" i="5"/>
  <c r="BL938" i="5"/>
  <c r="BL939" i="5"/>
  <c r="BL940" i="5"/>
  <c r="BL941" i="5"/>
  <c r="BL942" i="5"/>
  <c r="BL943" i="5"/>
  <c r="BL944" i="5"/>
  <c r="BL945" i="5"/>
  <c r="BL946" i="5"/>
  <c r="BL947" i="5"/>
  <c r="BL948" i="5"/>
  <c r="BL949" i="5"/>
  <c r="BL950" i="5"/>
  <c r="BL951" i="5"/>
  <c r="BL952" i="5"/>
  <c r="BL953" i="5"/>
  <c r="BL954" i="5"/>
  <c r="BL955" i="5"/>
  <c r="BL956" i="5"/>
  <c r="BL957" i="5"/>
  <c r="BL958" i="5"/>
  <c r="BL959" i="5"/>
  <c r="BL960" i="5"/>
  <c r="BL961" i="5"/>
  <c r="BL962" i="5"/>
  <c r="BL963" i="5"/>
  <c r="BL964" i="5"/>
  <c r="BL965" i="5"/>
  <c r="BL966" i="5"/>
  <c r="BL967" i="5"/>
  <c r="BL968" i="5"/>
  <c r="BL969" i="5"/>
  <c r="BL970" i="5"/>
  <c r="BL971" i="5"/>
  <c r="BL972" i="5"/>
  <c r="BL973" i="5"/>
  <c r="BL974" i="5"/>
  <c r="BL975" i="5"/>
  <c r="BL976" i="5"/>
  <c r="BL977" i="5"/>
  <c r="BL978" i="5"/>
  <c r="BL979" i="5"/>
  <c r="BL980" i="5"/>
  <c r="BL981" i="5"/>
  <c r="BL982" i="5"/>
  <c r="BL983" i="5"/>
  <c r="BL984" i="5"/>
  <c r="BL985" i="5"/>
  <c r="BL986" i="5"/>
  <c r="BL987" i="5"/>
  <c r="BL988" i="5"/>
  <c r="BL989" i="5"/>
  <c r="BL990" i="5"/>
  <c r="BL991" i="5"/>
  <c r="BL992" i="5"/>
  <c r="BL993" i="5"/>
  <c r="BL994" i="5"/>
  <c r="BL995" i="5"/>
  <c r="BL996" i="5"/>
  <c r="BL997" i="5"/>
  <c r="BL998" i="5"/>
  <c r="BL999" i="5"/>
  <c r="BL1000" i="5"/>
  <c r="BL1001" i="5"/>
  <c r="BL1002" i="5"/>
  <c r="BL1003" i="5"/>
  <c r="BL1004" i="5"/>
  <c r="BL1005" i="5"/>
  <c r="BL1006" i="5"/>
  <c r="BL1007" i="5"/>
  <c r="BL1008" i="5"/>
  <c r="BL1009" i="5"/>
  <c r="BL1010" i="5"/>
  <c r="BL1011" i="5"/>
  <c r="BL1012" i="5"/>
  <c r="BL1013" i="5"/>
  <c r="BL1014" i="5"/>
  <c r="BL1015" i="5"/>
  <c r="BL1016" i="5"/>
  <c r="BL1017" i="5"/>
  <c r="BL1018" i="5"/>
  <c r="BL1019" i="5"/>
  <c r="BL1020" i="5"/>
  <c r="BL1021" i="5"/>
  <c r="BL1022" i="5"/>
  <c r="BL1023" i="5"/>
  <c r="BL1024" i="5"/>
  <c r="BL1025" i="5"/>
  <c r="BL1026" i="5"/>
  <c r="BL1027" i="5"/>
  <c r="BL1028" i="5"/>
  <c r="BL1029" i="5"/>
  <c r="BL1030" i="5"/>
  <c r="BL1031" i="5"/>
  <c r="BL1032" i="5"/>
  <c r="BL1033" i="5"/>
  <c r="BL1034" i="5"/>
  <c r="BL1035" i="5"/>
  <c r="BL1036" i="5"/>
  <c r="BL1037" i="5"/>
  <c r="BL1038" i="5"/>
  <c r="BL1039" i="5"/>
  <c r="BL1040" i="5"/>
  <c r="BL1041" i="5"/>
  <c r="BL1042" i="5"/>
  <c r="BL1043" i="5"/>
  <c r="BL1044" i="5"/>
  <c r="BL1045" i="5"/>
  <c r="BL1046" i="5"/>
  <c r="BL1047" i="5"/>
  <c r="BL1048" i="5"/>
  <c r="BL1049" i="5"/>
  <c r="BL1050" i="5"/>
  <c r="BL1051" i="5"/>
  <c r="BL1052" i="5"/>
  <c r="BL1053" i="5"/>
  <c r="BL1054" i="5"/>
  <c r="BL1055" i="5"/>
  <c r="BL1056" i="5"/>
  <c r="BL1057" i="5"/>
  <c r="BL1058" i="5"/>
  <c r="BL1059" i="5"/>
  <c r="BL1060" i="5"/>
  <c r="BL1061" i="5"/>
  <c r="BL1062" i="5"/>
  <c r="BL1063" i="5"/>
  <c r="BL1064" i="5"/>
  <c r="BL1065" i="5"/>
  <c r="BL1066" i="5"/>
  <c r="BL1067" i="5"/>
  <c r="BL1068" i="5"/>
  <c r="BL1069" i="5"/>
  <c r="BL1070" i="5"/>
  <c r="BL1071" i="5"/>
  <c r="BL1072" i="5"/>
  <c r="BL1073" i="5"/>
  <c r="BL1074" i="5"/>
  <c r="BL1075" i="5"/>
  <c r="BL1076" i="5"/>
  <c r="BL1077" i="5"/>
  <c r="BL1078" i="5"/>
  <c r="BL1079" i="5"/>
  <c r="BL1080" i="5"/>
  <c r="BL1081" i="5"/>
  <c r="BL1082" i="5"/>
  <c r="BL1083" i="5"/>
  <c r="BL1084" i="5"/>
  <c r="BL1085" i="5"/>
  <c r="BL1086" i="5"/>
  <c r="BL1087" i="5"/>
  <c r="BL1088" i="5"/>
  <c r="BL1089" i="5"/>
  <c r="BL1090" i="5"/>
  <c r="BL1091" i="5"/>
  <c r="BL1092" i="5"/>
  <c r="BL1093" i="5"/>
  <c r="BL1094" i="5"/>
  <c r="BL1095" i="5"/>
  <c r="BL1096" i="5"/>
  <c r="BL1097" i="5"/>
  <c r="BL1098" i="5"/>
  <c r="BL1099" i="5"/>
  <c r="BL1100" i="5"/>
  <c r="BL1101" i="5"/>
  <c r="BL1102" i="5"/>
  <c r="BL1103" i="5"/>
  <c r="BL1104" i="5"/>
  <c r="BL1105" i="5"/>
  <c r="BL1106" i="5"/>
  <c r="BL1107" i="5"/>
  <c r="BL1108" i="5"/>
  <c r="BL1109" i="5"/>
  <c r="BL1110" i="5"/>
  <c r="BL1111" i="5"/>
  <c r="BL1112" i="5"/>
  <c r="BL1113" i="5"/>
  <c r="BL1114" i="5"/>
  <c r="BL1115" i="5"/>
  <c r="BL1116" i="5"/>
  <c r="BL1117" i="5"/>
  <c r="BL1118" i="5"/>
  <c r="BL1119" i="5"/>
  <c r="BL1120" i="5"/>
  <c r="BL1121" i="5"/>
  <c r="BL1122" i="5"/>
  <c r="BL1123" i="5"/>
  <c r="BL1124" i="5"/>
  <c r="BL1125" i="5"/>
  <c r="BL1126" i="5"/>
  <c r="BL1127" i="5"/>
  <c r="BL1128" i="5"/>
  <c r="BL1129" i="5"/>
  <c r="BL1130" i="5"/>
  <c r="BL1131" i="5"/>
  <c r="BL1132" i="5"/>
  <c r="BL1133" i="5"/>
  <c r="BL1134" i="5"/>
  <c r="BL1135" i="5"/>
  <c r="BL1136" i="5"/>
  <c r="BL1137" i="5"/>
  <c r="BL1138" i="5"/>
  <c r="BL1139" i="5"/>
  <c r="BL1140" i="5"/>
  <c r="BL1141" i="5"/>
  <c r="BL1142" i="5"/>
  <c r="BL1143" i="5"/>
  <c r="BL1144" i="5"/>
  <c r="BL1145" i="5"/>
  <c r="BL1146" i="5"/>
  <c r="BL1147" i="5"/>
  <c r="BL1148" i="5"/>
  <c r="BL1149" i="5"/>
  <c r="BL1150" i="5"/>
  <c r="BL1151" i="5"/>
  <c r="BL1152" i="5"/>
  <c r="BL1153" i="5"/>
  <c r="BL1154" i="5"/>
  <c r="BL1155" i="5"/>
  <c r="BL1156" i="5"/>
  <c r="BL1157" i="5"/>
  <c r="BL1158" i="5"/>
  <c r="BL1159" i="5"/>
  <c r="BL1160" i="5"/>
  <c r="BL1161" i="5"/>
  <c r="BL1162" i="5"/>
  <c r="BL1163" i="5"/>
  <c r="BL1164" i="5"/>
  <c r="BL1165" i="5"/>
  <c r="BL1166" i="5"/>
  <c r="BL1167" i="5"/>
  <c r="BL1168" i="5"/>
  <c r="BL1169" i="5"/>
  <c r="BL1170" i="5"/>
  <c r="BL1171" i="5"/>
  <c r="BL1172" i="5"/>
  <c r="BL1173" i="5"/>
  <c r="BL1174" i="5"/>
  <c r="BL1175" i="5"/>
  <c r="BL1176" i="5"/>
  <c r="BL1177" i="5"/>
  <c r="BL1178" i="5"/>
  <c r="BL1179" i="5"/>
  <c r="BL1180" i="5"/>
  <c r="BL1181" i="5"/>
  <c r="BL1182" i="5"/>
  <c r="BL1183" i="5"/>
  <c r="BL1184" i="5"/>
  <c r="BL1185" i="5"/>
  <c r="BL1186" i="5"/>
  <c r="BL1187" i="5"/>
  <c r="BL1188" i="5"/>
  <c r="BL1189" i="5"/>
  <c r="BL1190" i="5"/>
  <c r="BL1191" i="5"/>
  <c r="BL1192" i="5"/>
  <c r="BL1193" i="5"/>
  <c r="BL1194" i="5"/>
  <c r="BL1195" i="5"/>
  <c r="BL1196" i="5"/>
  <c r="BL1197" i="5"/>
  <c r="BL1198" i="5"/>
  <c r="BL1199" i="5"/>
  <c r="BL1200" i="5"/>
  <c r="BL1201" i="5"/>
  <c r="BL1202" i="5"/>
  <c r="BL1203" i="5"/>
  <c r="BL1204" i="5"/>
  <c r="BL1205" i="5"/>
  <c r="BL1206" i="5"/>
  <c r="BL1207" i="5"/>
  <c r="BL1208" i="5"/>
  <c r="BL1209" i="5"/>
  <c r="BL1210" i="5"/>
  <c r="BL1211" i="5"/>
  <c r="BL1212" i="5"/>
  <c r="BL1213" i="5"/>
  <c r="BL1214" i="5"/>
  <c r="BL1215" i="5"/>
  <c r="BL1216" i="5"/>
  <c r="BL1217" i="5"/>
  <c r="BL1218" i="5"/>
  <c r="BL1219" i="5"/>
  <c r="BL1220" i="5"/>
  <c r="BL1221" i="5"/>
  <c r="BL1222" i="5"/>
  <c r="BL1223" i="5"/>
  <c r="BL1224" i="5"/>
  <c r="BL1225" i="5"/>
  <c r="BL1226" i="5"/>
  <c r="BL1227" i="5"/>
  <c r="BL1228" i="5"/>
  <c r="BL1229" i="5"/>
  <c r="BL1230" i="5"/>
  <c r="BL1231" i="5"/>
  <c r="BL1232" i="5"/>
  <c r="BL1233" i="5"/>
  <c r="BL1234" i="5"/>
  <c r="BL1235" i="5"/>
  <c r="BL1236" i="5"/>
  <c r="BL1237" i="5"/>
  <c r="BL1238" i="5"/>
  <c r="BL1239" i="5"/>
  <c r="BL1240" i="5"/>
  <c r="BL1241" i="5"/>
  <c r="BL1242" i="5"/>
  <c r="BL1243" i="5"/>
  <c r="BL1244" i="5"/>
  <c r="BL1245" i="5"/>
  <c r="BL1246" i="5"/>
  <c r="BL1247" i="5"/>
  <c r="BL1248" i="5"/>
  <c r="BL1249" i="5"/>
  <c r="BL1250" i="5"/>
  <c r="BL1251" i="5"/>
  <c r="BL1252" i="5"/>
  <c r="BL1253" i="5"/>
  <c r="BL1254" i="5"/>
  <c r="BL1255" i="5"/>
  <c r="BL1256" i="5"/>
  <c r="BL1257" i="5"/>
  <c r="BL1258" i="5"/>
  <c r="BL1259" i="5"/>
  <c r="BL1260" i="5"/>
  <c r="BL1261" i="5"/>
  <c r="BL1262" i="5"/>
  <c r="BL1263" i="5"/>
  <c r="BL1264" i="5"/>
  <c r="BL1265" i="5"/>
  <c r="BL1266" i="5"/>
  <c r="BL1267" i="5"/>
  <c r="BL1268" i="5"/>
  <c r="BL1269" i="5"/>
  <c r="BL1270" i="5"/>
  <c r="BL1271" i="5"/>
  <c r="BL1272" i="5"/>
  <c r="BL1273" i="5"/>
  <c r="BL1274" i="5"/>
  <c r="BL1275" i="5"/>
  <c r="BL1276" i="5"/>
  <c r="BL1277" i="5"/>
  <c r="BL1278" i="5"/>
  <c r="BL1279" i="5"/>
  <c r="BL1280" i="5"/>
  <c r="BL1281" i="5"/>
  <c r="BL1282" i="5"/>
  <c r="BL1283" i="5"/>
  <c r="BL1284" i="5"/>
  <c r="BL1285" i="5"/>
  <c r="BL1286" i="5"/>
  <c r="BL1287" i="5"/>
  <c r="BL1288" i="5"/>
  <c r="BL1289" i="5"/>
  <c r="BL1290" i="5"/>
  <c r="BL1291" i="5"/>
  <c r="BL1292" i="5"/>
  <c r="BL1293" i="5"/>
  <c r="BL1294" i="5"/>
  <c r="BL1295" i="5"/>
  <c r="BL1296" i="5"/>
  <c r="BL1297" i="5"/>
  <c r="BL1298" i="5"/>
  <c r="BL1299" i="5"/>
  <c r="BL1300" i="5"/>
  <c r="BL1301" i="5"/>
  <c r="BL1302" i="5"/>
  <c r="BL1303" i="5"/>
  <c r="BL1304" i="5"/>
  <c r="BL1305" i="5"/>
  <c r="BL1306" i="5"/>
  <c r="BL1307" i="5"/>
  <c r="BL1308" i="5"/>
  <c r="BL1309" i="5"/>
  <c r="BL1310" i="5"/>
  <c r="BL1311" i="5"/>
  <c r="BL1312" i="5"/>
  <c r="BL1313" i="5"/>
  <c r="BL1314" i="5"/>
  <c r="BL1315" i="5"/>
  <c r="BL1316" i="5"/>
  <c r="BL1317" i="5"/>
  <c r="BL1318" i="5"/>
  <c r="BL1319" i="5"/>
  <c r="BL1320" i="5"/>
  <c r="BL1321" i="5"/>
  <c r="BL1322" i="5"/>
  <c r="BL1323" i="5"/>
  <c r="BL1324" i="5"/>
  <c r="BL1325" i="5"/>
  <c r="BL1326" i="5"/>
  <c r="BL1327" i="5"/>
  <c r="BL1328" i="5"/>
  <c r="BL1329" i="5"/>
  <c r="BL1330" i="5"/>
  <c r="BL1331" i="5"/>
  <c r="BL1332" i="5"/>
  <c r="BL1333" i="5"/>
  <c r="BL1334" i="5"/>
  <c r="BL1335" i="5"/>
  <c r="BL1336" i="5"/>
  <c r="BL1337" i="5"/>
  <c r="BL1338" i="5"/>
  <c r="BL1339" i="5"/>
  <c r="BL1340" i="5"/>
  <c r="BL1341" i="5"/>
  <c r="BL1342" i="5"/>
  <c r="BL1343" i="5"/>
  <c r="BL1344" i="5"/>
  <c r="BL1345" i="5"/>
  <c r="BL1346" i="5"/>
  <c r="BL1347" i="5"/>
  <c r="BL1348" i="5"/>
  <c r="BL1349" i="5"/>
  <c r="BL1350" i="5"/>
  <c r="BL1351" i="5"/>
  <c r="BL1352" i="5"/>
  <c r="BL1353" i="5"/>
  <c r="BL1354" i="5"/>
  <c r="BL1355" i="5"/>
  <c r="BL1356" i="5"/>
  <c r="BL1357" i="5"/>
  <c r="BL1358" i="5"/>
  <c r="BL1359" i="5"/>
  <c r="BL1360" i="5"/>
  <c r="BL1361" i="5"/>
  <c r="BL1362" i="5"/>
  <c r="BL1363" i="5"/>
  <c r="BL1364" i="5"/>
  <c r="BL1365" i="5"/>
  <c r="BL1366" i="5"/>
  <c r="BL1367" i="5"/>
  <c r="BL1368" i="5"/>
  <c r="BL1369" i="5"/>
  <c r="BL1370" i="5"/>
  <c r="BL1371" i="5"/>
  <c r="BL1372" i="5"/>
  <c r="BL1373" i="5"/>
  <c r="BL1374" i="5"/>
  <c r="BL1375" i="5"/>
  <c r="BL1376" i="5"/>
  <c r="BL1377" i="5"/>
  <c r="BL1378" i="5"/>
  <c r="BL1379" i="5"/>
  <c r="BL1380" i="5"/>
  <c r="BL1381" i="5"/>
  <c r="BL1382" i="5"/>
  <c r="BL1383" i="5"/>
  <c r="BL1384" i="5"/>
  <c r="BL1385" i="5"/>
  <c r="BL1386" i="5"/>
  <c r="BL1387" i="5"/>
  <c r="BL1388" i="5"/>
  <c r="BL1389" i="5"/>
  <c r="BL1390" i="5"/>
  <c r="BL1391" i="5"/>
  <c r="BL1392" i="5"/>
  <c r="BL1393" i="5"/>
  <c r="BL1394" i="5"/>
  <c r="BL1395" i="5"/>
  <c r="BL1396" i="5"/>
  <c r="BL1397" i="5"/>
  <c r="BL1398" i="5"/>
  <c r="BL1399" i="5"/>
  <c r="BL1400" i="5"/>
  <c r="BL1401" i="5"/>
  <c r="BL1402" i="5"/>
  <c r="BL1403" i="5"/>
  <c r="BL1404" i="5"/>
  <c r="BL1405" i="5"/>
  <c r="BL1406" i="5"/>
  <c r="BL1407" i="5"/>
  <c r="BL1408" i="5"/>
  <c r="BL1409" i="5"/>
  <c r="BL1410" i="5"/>
  <c r="BL1411" i="5"/>
  <c r="BL1412" i="5"/>
  <c r="BL1413" i="5"/>
  <c r="BL1414" i="5"/>
  <c r="BL1415" i="5"/>
  <c r="BL1416" i="5"/>
  <c r="BL1417" i="5"/>
  <c r="BL1418" i="5"/>
  <c r="BL1419" i="5"/>
  <c r="BL1420" i="5"/>
  <c r="BL1421" i="5"/>
  <c r="BL1422" i="5"/>
  <c r="BL1423" i="5"/>
  <c r="BL1424" i="5"/>
  <c r="BL1425" i="5"/>
  <c r="BL1426" i="5"/>
  <c r="BL1427" i="5"/>
  <c r="BL1428" i="5"/>
  <c r="BL1429" i="5"/>
  <c r="BL1430" i="5"/>
  <c r="BL1431" i="5"/>
  <c r="BL1432" i="5"/>
  <c r="BL1433" i="5"/>
  <c r="BL1434" i="5"/>
  <c r="BL1435" i="5"/>
  <c r="BL1436" i="5"/>
  <c r="BL1437" i="5"/>
  <c r="BL1438" i="5"/>
  <c r="BL1439" i="5"/>
  <c r="BL1440" i="5"/>
  <c r="BL1441" i="5"/>
  <c r="BL1442" i="5"/>
  <c r="BL1443" i="5"/>
  <c r="BL1444" i="5"/>
  <c r="BL1445" i="5"/>
  <c r="BL1446" i="5"/>
  <c r="BL1447" i="5"/>
  <c r="BL1448" i="5"/>
  <c r="BL1449" i="5"/>
  <c r="BL1450" i="5"/>
  <c r="BL1451" i="5"/>
  <c r="BL1452" i="5"/>
  <c r="BL1453" i="5"/>
  <c r="BL1454" i="5"/>
  <c r="BL1455" i="5"/>
  <c r="BL1456" i="5"/>
  <c r="BL1457" i="5"/>
  <c r="BL1458" i="5"/>
  <c r="BL1459" i="5"/>
  <c r="BL1460" i="5"/>
  <c r="BL1461" i="5"/>
  <c r="BL1462" i="5"/>
  <c r="BL1463" i="5"/>
  <c r="BL1464" i="5"/>
  <c r="BL1465" i="5"/>
  <c r="BL1466" i="5"/>
  <c r="BL1467" i="5"/>
  <c r="BL1468" i="5"/>
  <c r="BL1469" i="5"/>
  <c r="BL1470" i="5"/>
  <c r="BL1471" i="5"/>
  <c r="BL1472" i="5"/>
  <c r="BL1473" i="5"/>
  <c r="BL1474" i="5"/>
  <c r="BL1475" i="5"/>
  <c r="BL1476" i="5"/>
  <c r="BL1477" i="5"/>
  <c r="BL1478" i="5"/>
  <c r="BL1479" i="5"/>
  <c r="BL1480" i="5"/>
  <c r="BL1481" i="5"/>
  <c r="BL1482" i="5"/>
  <c r="BL1483" i="5"/>
  <c r="BL1484" i="5"/>
  <c r="BL1485" i="5"/>
  <c r="BL1486" i="5"/>
  <c r="BL1487" i="5"/>
  <c r="BL1488" i="5"/>
  <c r="BL1489" i="5"/>
  <c r="BL1490" i="5"/>
  <c r="BL1491" i="5"/>
  <c r="BL1492" i="5"/>
  <c r="BL1493" i="5"/>
  <c r="BL1494" i="5"/>
  <c r="BL1495" i="5"/>
  <c r="BL1496" i="5"/>
  <c r="BL1497" i="5"/>
  <c r="BL1498" i="5"/>
  <c r="BL1499" i="5"/>
  <c r="BL1500" i="5"/>
  <c r="BL1501" i="5"/>
  <c r="BL1502" i="5"/>
  <c r="BL1503" i="5"/>
  <c r="BL1504" i="5"/>
  <c r="BL1505" i="5"/>
  <c r="BL1506" i="5"/>
  <c r="BL1507" i="5"/>
  <c r="BL1508" i="5"/>
  <c r="BL1509" i="5"/>
  <c r="BL1510" i="5"/>
  <c r="BL1511" i="5"/>
  <c r="BL1512" i="5"/>
  <c r="BL1513" i="5"/>
  <c r="BL1514" i="5"/>
  <c r="BL1515" i="5"/>
  <c r="BL1516" i="5"/>
  <c r="BL1517" i="5"/>
  <c r="BL1518" i="5"/>
  <c r="BL1519" i="5"/>
  <c r="BL1520" i="5"/>
  <c r="BL1521" i="5"/>
  <c r="BL1522" i="5"/>
  <c r="BL1523" i="5"/>
  <c r="BL1524" i="5"/>
  <c r="BL1525" i="5"/>
  <c r="BL1526" i="5"/>
  <c r="BL1527" i="5"/>
  <c r="BL1528" i="5"/>
  <c r="BL1529" i="5"/>
  <c r="BL1530" i="5"/>
  <c r="BL1531" i="5"/>
  <c r="BL1532" i="5"/>
  <c r="BL1533" i="5"/>
  <c r="BL1534" i="5"/>
  <c r="BL1535" i="5"/>
  <c r="BL1536" i="5"/>
  <c r="BL1537" i="5"/>
  <c r="BL1538" i="5"/>
  <c r="BL1539" i="5"/>
  <c r="BL1540" i="5"/>
  <c r="BL1541" i="5"/>
  <c r="BL1542" i="5"/>
  <c r="BL1543" i="5"/>
  <c r="BL1544" i="5"/>
  <c r="BL1545" i="5"/>
  <c r="BL1546" i="5"/>
  <c r="BL1547" i="5"/>
  <c r="BL1548" i="5"/>
  <c r="BL1549" i="5"/>
  <c r="BL1550" i="5"/>
  <c r="BL1551" i="5"/>
  <c r="BL1552" i="5"/>
  <c r="BL1553" i="5"/>
  <c r="BL1554" i="5"/>
  <c r="BL1555" i="5"/>
  <c r="BL1556" i="5"/>
  <c r="BL1557" i="5"/>
  <c r="BL1558" i="5"/>
  <c r="BL1559" i="5"/>
  <c r="BL1560" i="5"/>
  <c r="BL1561" i="5"/>
  <c r="BL1562" i="5"/>
  <c r="BL1563" i="5"/>
  <c r="BL1564" i="5"/>
  <c r="BL1565" i="5"/>
  <c r="BL1566" i="5"/>
  <c r="BL1567" i="5"/>
  <c r="BL1568" i="5"/>
  <c r="BL1569" i="5"/>
  <c r="BL1570" i="5"/>
  <c r="BL1571" i="5"/>
  <c r="BL1572" i="5"/>
  <c r="BL1573" i="5"/>
  <c r="BL1574" i="5"/>
  <c r="BL1575" i="5"/>
  <c r="BL1576" i="5"/>
  <c r="BL1577" i="5"/>
  <c r="BL1578" i="5"/>
  <c r="BL1579" i="5"/>
  <c r="BL1580" i="5"/>
  <c r="BL1581" i="5"/>
  <c r="BL1582" i="5"/>
  <c r="BL1583" i="5"/>
  <c r="BL1584" i="5"/>
  <c r="BL1585" i="5"/>
  <c r="BL1586" i="5"/>
  <c r="BL1587" i="5"/>
  <c r="BL1588" i="5"/>
  <c r="BL1589" i="5"/>
  <c r="BL1590" i="5"/>
  <c r="BL1591" i="5"/>
  <c r="BL1592" i="5"/>
  <c r="BL1593" i="5"/>
  <c r="BL1594" i="5"/>
  <c r="BL1595" i="5"/>
  <c r="BL1596" i="5"/>
  <c r="BL1597" i="5"/>
  <c r="BL1598" i="5"/>
  <c r="BL1599" i="5"/>
  <c r="BL1600" i="5"/>
  <c r="BL1601" i="5"/>
  <c r="BL1602" i="5"/>
  <c r="BL1603" i="5"/>
  <c r="BL1604" i="5"/>
  <c r="BL1605" i="5"/>
  <c r="BL1606" i="5"/>
  <c r="BL1607" i="5"/>
  <c r="BL1608" i="5"/>
  <c r="BL1609" i="5"/>
  <c r="BL1610" i="5"/>
  <c r="BL1611" i="5"/>
  <c r="BL1612" i="5"/>
  <c r="BL1613" i="5"/>
  <c r="BL1614" i="5"/>
  <c r="BL1615" i="5"/>
  <c r="BL1616" i="5"/>
  <c r="BL1617" i="5"/>
  <c r="BL1618" i="5"/>
  <c r="BL1619" i="5"/>
  <c r="BL1620" i="5"/>
  <c r="BL1621" i="5"/>
  <c r="BL1622" i="5"/>
  <c r="BL1623" i="5"/>
  <c r="BL1624" i="5"/>
  <c r="BL1625" i="5"/>
  <c r="BL1626" i="5"/>
  <c r="BL1627" i="5"/>
  <c r="BL1628" i="5"/>
  <c r="BL1629" i="5"/>
  <c r="BL1630" i="5"/>
  <c r="BL1631" i="5"/>
  <c r="BL1632" i="5"/>
  <c r="BL1633" i="5"/>
  <c r="BL1634" i="5"/>
  <c r="BL1635" i="5"/>
  <c r="BL1636" i="5"/>
  <c r="BL1637" i="5"/>
  <c r="BL1638" i="5"/>
  <c r="BL1639" i="5"/>
  <c r="BL1640" i="5"/>
  <c r="BL1641" i="5"/>
  <c r="BL1642" i="5"/>
  <c r="BL1643" i="5"/>
  <c r="BL1644" i="5"/>
  <c r="BL1645" i="5"/>
  <c r="BL1646" i="5"/>
  <c r="BL1647" i="5"/>
  <c r="BL1648" i="5"/>
  <c r="BL1649" i="5"/>
  <c r="BL1650" i="5"/>
  <c r="BL1651" i="5"/>
  <c r="BL1652" i="5"/>
  <c r="BL1653" i="5"/>
  <c r="BL1654" i="5"/>
  <c r="BL1655" i="5"/>
  <c r="BL1656" i="5"/>
  <c r="BL1657" i="5"/>
  <c r="BL1658" i="5"/>
  <c r="BL1659" i="5"/>
  <c r="BL1660" i="5"/>
  <c r="BL1661" i="5"/>
  <c r="BL1662" i="5"/>
  <c r="BL1663" i="5"/>
  <c r="BL1664" i="5"/>
  <c r="BL1665" i="5"/>
  <c r="BL1666" i="5"/>
  <c r="BL1667" i="5"/>
  <c r="BL1668" i="5"/>
  <c r="BL1669" i="5"/>
  <c r="BL1670" i="5"/>
  <c r="BL1671" i="5"/>
  <c r="BL1672" i="5"/>
  <c r="BL1673" i="5"/>
  <c r="BL1674" i="5"/>
  <c r="BL1675" i="5"/>
  <c r="BL1676" i="5"/>
  <c r="BL1677" i="5"/>
  <c r="BL1678" i="5"/>
  <c r="BL1679" i="5"/>
  <c r="BL1680" i="5"/>
  <c r="BL1681" i="5"/>
  <c r="BL1682" i="5"/>
  <c r="BL1683" i="5"/>
  <c r="BL1684" i="5"/>
  <c r="BL1685" i="5"/>
  <c r="BL1686" i="5"/>
  <c r="BL1687" i="5"/>
  <c r="BL1688" i="5"/>
  <c r="BL1689" i="5"/>
  <c r="BL1690" i="5"/>
  <c r="BL1691" i="5"/>
  <c r="BL1692" i="5"/>
  <c r="BL1693" i="5"/>
  <c r="BL1694" i="5"/>
  <c r="BL1695" i="5"/>
  <c r="BL1696" i="5"/>
  <c r="BL1697" i="5"/>
  <c r="BL1698" i="5"/>
  <c r="BL1699" i="5"/>
  <c r="BL1700" i="5"/>
  <c r="BL1701" i="5"/>
  <c r="BL1702" i="5"/>
  <c r="BL1703" i="5"/>
  <c r="BL1704" i="5"/>
  <c r="BL1705" i="5"/>
  <c r="BL1706" i="5"/>
  <c r="BL1707" i="5"/>
  <c r="BL1708" i="5"/>
  <c r="BL1709" i="5"/>
  <c r="BL1710" i="5"/>
  <c r="BL1711" i="5"/>
  <c r="BL1712" i="5"/>
  <c r="BL1713" i="5"/>
  <c r="BL1714" i="5"/>
  <c r="BL1715" i="5"/>
  <c r="BL1716" i="5"/>
  <c r="BL1717" i="5"/>
  <c r="BL1718" i="5"/>
  <c r="BL1719" i="5"/>
  <c r="BL1720" i="5"/>
  <c r="BL1721" i="5"/>
  <c r="BL1722" i="5"/>
  <c r="BL1723" i="5"/>
  <c r="BL1724" i="5"/>
  <c r="BL1725" i="5"/>
  <c r="BL1726" i="5"/>
  <c r="BL1727" i="5"/>
  <c r="BL1728" i="5"/>
  <c r="BL1729" i="5"/>
  <c r="BL1730" i="5"/>
  <c r="BL1731" i="5"/>
  <c r="BL1732" i="5"/>
  <c r="BL1733" i="5"/>
  <c r="BL1734" i="5"/>
  <c r="BL1735" i="5"/>
  <c r="BL1736" i="5"/>
  <c r="BL1737" i="5"/>
  <c r="BL1738" i="5"/>
  <c r="BL1739" i="5"/>
  <c r="BL1740" i="5"/>
  <c r="BL1741" i="5"/>
  <c r="BL1742" i="5"/>
  <c r="BL1743" i="5"/>
  <c r="BL1744" i="5"/>
  <c r="BL1745" i="5"/>
  <c r="BL1746" i="5"/>
  <c r="BL1747" i="5"/>
  <c r="BL1748" i="5"/>
  <c r="BL1749" i="5"/>
  <c r="BL1750" i="5"/>
  <c r="BL1751" i="5"/>
  <c r="BL1752" i="5"/>
  <c r="BL1753" i="5"/>
  <c r="BL1754" i="5"/>
  <c r="BL1755" i="5"/>
  <c r="BL1756" i="5"/>
  <c r="BL1757" i="5"/>
  <c r="BL1758" i="5"/>
  <c r="BL1759" i="5"/>
  <c r="BL1760" i="5"/>
  <c r="BL1761" i="5"/>
  <c r="BL1762" i="5"/>
  <c r="BL1763" i="5"/>
  <c r="BL1764" i="5"/>
  <c r="BL1765" i="5"/>
  <c r="BL1766" i="5"/>
  <c r="BL1767" i="5"/>
  <c r="BL1768" i="5"/>
  <c r="BL1769" i="5"/>
  <c r="BL1770" i="5"/>
  <c r="BL1771" i="5"/>
  <c r="BL1772" i="5"/>
  <c r="BL1773" i="5"/>
  <c r="BL1774" i="5"/>
  <c r="BL1775" i="5"/>
  <c r="BL1776" i="5"/>
  <c r="BL1777" i="5"/>
  <c r="BL1778" i="5"/>
  <c r="BL1779" i="5"/>
  <c r="BL1780" i="5"/>
  <c r="BL1781" i="5"/>
  <c r="BL1782" i="5"/>
  <c r="BL1783" i="5"/>
  <c r="BL1784" i="5"/>
  <c r="BL1785" i="5"/>
  <c r="BL1786" i="5"/>
  <c r="BL1787" i="5"/>
  <c r="BL1788" i="5"/>
  <c r="BL1789" i="5"/>
  <c r="BL1790" i="5"/>
  <c r="BL1791" i="5"/>
  <c r="BL1792" i="5"/>
  <c r="BL1793" i="5"/>
  <c r="BL1794" i="5"/>
  <c r="BL1795" i="5"/>
  <c r="BL1796" i="5"/>
  <c r="BL1797" i="5"/>
  <c r="BL1798" i="5"/>
  <c r="BL1799" i="5"/>
  <c r="BL1800" i="5"/>
  <c r="BL1801" i="5"/>
  <c r="BL1802" i="5"/>
  <c r="BL1803" i="5"/>
  <c r="BL1804" i="5"/>
  <c r="BL1805" i="5"/>
  <c r="BL1806" i="5"/>
  <c r="BL1807" i="5"/>
  <c r="BL1808" i="5"/>
  <c r="BL1809" i="5"/>
  <c r="BL1810" i="5"/>
  <c r="BL1811" i="5"/>
  <c r="BL1812" i="5"/>
  <c r="BL1813" i="5"/>
  <c r="BL1814" i="5"/>
  <c r="BL1815" i="5"/>
  <c r="BL1816" i="5"/>
  <c r="BL1817" i="5"/>
  <c r="BL1818" i="5"/>
  <c r="BL1819" i="5"/>
  <c r="BL1820" i="5"/>
  <c r="BL1821" i="5"/>
  <c r="BL1822" i="5"/>
  <c r="BL1823" i="5"/>
  <c r="BL1824" i="5"/>
  <c r="BL1825" i="5"/>
  <c r="BL1826" i="5"/>
  <c r="BL1827" i="5"/>
  <c r="BL1828" i="5"/>
  <c r="BL1829" i="5"/>
  <c r="BL1830" i="5"/>
  <c r="BL1831" i="5"/>
  <c r="BL1832" i="5"/>
  <c r="BL1833" i="5"/>
  <c r="BL1834" i="5"/>
  <c r="BL1835" i="5"/>
  <c r="BL1836" i="5"/>
  <c r="BL1837" i="5"/>
  <c r="BL1838" i="5"/>
  <c r="BL1839" i="5"/>
  <c r="BL1840" i="5"/>
  <c r="BL1841" i="5"/>
  <c r="BL1842" i="5"/>
  <c r="BL1843" i="5"/>
  <c r="BL1844" i="5"/>
  <c r="BL1845" i="5"/>
  <c r="BL1846" i="5"/>
  <c r="BL1847" i="5"/>
  <c r="BL1848" i="5"/>
  <c r="BL1849" i="5"/>
  <c r="BL1850" i="5"/>
  <c r="BL1851" i="5"/>
  <c r="BL1852" i="5"/>
  <c r="BL1853" i="5"/>
  <c r="BL1854" i="5"/>
  <c r="BL1855" i="5"/>
  <c r="BL1856" i="5"/>
  <c r="BL1857" i="5"/>
  <c r="BL1858" i="5"/>
  <c r="BL1859" i="5"/>
  <c r="BL1860" i="5"/>
  <c r="BL1861" i="5"/>
  <c r="BL1862" i="5"/>
  <c r="BL1863" i="5"/>
  <c r="BL1864" i="5"/>
  <c r="BL1865" i="5"/>
  <c r="BL1866" i="5"/>
  <c r="BL1867" i="5"/>
  <c r="BL1868" i="5"/>
  <c r="BL1869" i="5"/>
  <c r="BL1870" i="5"/>
  <c r="BL1871" i="5"/>
  <c r="BL1872" i="5"/>
  <c r="BL1873" i="5"/>
  <c r="BL1874" i="5"/>
  <c r="BL1875" i="5"/>
  <c r="BL1876" i="5"/>
  <c r="BL1877" i="5"/>
  <c r="BL1878" i="5"/>
  <c r="BL1879" i="5"/>
  <c r="BL1880" i="5"/>
  <c r="BL1881" i="5"/>
  <c r="BL1882" i="5"/>
  <c r="BL1883" i="5"/>
  <c r="BL1884" i="5"/>
  <c r="BL1885" i="5"/>
  <c r="BL1886" i="5"/>
  <c r="BL1887" i="5"/>
  <c r="BL1888" i="5"/>
  <c r="BL1889" i="5"/>
  <c r="BL1890" i="5"/>
  <c r="BL1891" i="5"/>
  <c r="BL1892" i="5"/>
  <c r="BL1893" i="5"/>
  <c r="BL1894" i="5"/>
  <c r="BL1895" i="5"/>
  <c r="BL1896" i="5"/>
  <c r="BL1897" i="5"/>
  <c r="BL1898" i="5"/>
  <c r="BL1899" i="5"/>
  <c r="BL1900" i="5"/>
  <c r="BL1901" i="5"/>
  <c r="BL1902" i="5"/>
  <c r="BL1903" i="5"/>
  <c r="BL1904" i="5"/>
  <c r="BL1905" i="5"/>
  <c r="BL1906" i="5"/>
  <c r="BL1907" i="5"/>
  <c r="BL1908" i="5"/>
  <c r="BL1909" i="5"/>
  <c r="BL1910" i="5"/>
  <c r="BL1911" i="5"/>
  <c r="BL1912" i="5"/>
  <c r="BL1913" i="5"/>
  <c r="BL1914" i="5"/>
  <c r="BL1915" i="5"/>
  <c r="BL1916" i="5"/>
  <c r="BL1917" i="5"/>
  <c r="BL1918" i="5"/>
  <c r="BL1919" i="5"/>
  <c r="BL1920" i="5"/>
  <c r="BL1921" i="5"/>
  <c r="BL1922" i="5"/>
  <c r="BL1923" i="5"/>
  <c r="BL1924" i="5"/>
  <c r="BL1925" i="5"/>
  <c r="BL1926" i="5"/>
  <c r="BL1927" i="5"/>
  <c r="BL1928" i="5"/>
  <c r="BL1929" i="5"/>
  <c r="BL1930" i="5"/>
  <c r="BL1931" i="5"/>
  <c r="BL1932" i="5"/>
  <c r="BL1933" i="5"/>
  <c r="BL1934" i="5"/>
  <c r="BL1935" i="5"/>
  <c r="BL1936" i="5"/>
  <c r="BL1937" i="5"/>
  <c r="BL1938" i="5"/>
  <c r="BL1939" i="5"/>
  <c r="BL1940" i="5"/>
  <c r="BL1941" i="5"/>
  <c r="BL1942" i="5"/>
  <c r="BL1943" i="5"/>
  <c r="BL1944" i="5"/>
  <c r="BL1945" i="5"/>
  <c r="BL1946" i="5"/>
  <c r="BL1947" i="5"/>
  <c r="BL1948" i="5"/>
  <c r="BL1949" i="5"/>
  <c r="BL1950" i="5"/>
  <c r="BL1951" i="5"/>
  <c r="BL1952" i="5"/>
  <c r="BL1953" i="5"/>
  <c r="BL1954" i="5"/>
  <c r="BL1955" i="5"/>
  <c r="BL1956" i="5"/>
  <c r="BL1957" i="5"/>
  <c r="BL1958" i="5"/>
  <c r="BL1959" i="5"/>
  <c r="BL1960" i="5"/>
  <c r="BL1961" i="5"/>
  <c r="BL1962" i="5"/>
  <c r="BL1963" i="5"/>
  <c r="BL1964" i="5"/>
  <c r="BL1965" i="5"/>
  <c r="BL1966" i="5"/>
  <c r="BL1967" i="5"/>
  <c r="BL1968" i="5"/>
  <c r="BL1969" i="5"/>
  <c r="BL1970" i="5"/>
  <c r="BL1971" i="5"/>
  <c r="BL1972" i="5"/>
  <c r="BL1973" i="5"/>
  <c r="BL1974" i="5"/>
  <c r="BL1975" i="5"/>
  <c r="BL1976" i="5"/>
  <c r="BL1977" i="5"/>
  <c r="BL1978" i="5"/>
  <c r="BL1979" i="5"/>
  <c r="BL1980" i="5"/>
  <c r="BL1981" i="5"/>
  <c r="BL1982" i="5"/>
  <c r="BL1983" i="5"/>
  <c r="BL1984" i="5"/>
  <c r="BL1985" i="5"/>
  <c r="BL1986" i="5"/>
  <c r="BL1987" i="5"/>
  <c r="BL1988" i="5"/>
  <c r="BL1989" i="5"/>
  <c r="BL1990" i="5"/>
  <c r="BL1991" i="5"/>
  <c r="BL1992" i="5"/>
  <c r="BL1993" i="5"/>
  <c r="BL1994" i="5"/>
  <c r="BL1995" i="5"/>
  <c r="BL1996" i="5"/>
  <c r="BL1997" i="5"/>
  <c r="BL1998" i="5"/>
  <c r="BL1999" i="5"/>
  <c r="BL2000" i="5"/>
  <c r="BL2001" i="5"/>
  <c r="BL2002" i="5"/>
  <c r="BL2003" i="5"/>
  <c r="BL2004" i="5"/>
  <c r="BL2005" i="5"/>
  <c r="BL2006" i="5"/>
  <c r="BL2007" i="5"/>
  <c r="BL2008" i="5"/>
  <c r="BL2009" i="5"/>
  <c r="BL2010" i="5"/>
  <c r="BL2011" i="5"/>
  <c r="BL2012" i="5"/>
  <c r="BL2013" i="5"/>
  <c r="BL2014" i="5"/>
  <c r="BL2015" i="5"/>
  <c r="BL2016" i="5"/>
  <c r="BL2017" i="5"/>
  <c r="BL2018" i="5"/>
  <c r="BL2019" i="5"/>
  <c r="BL2020" i="5"/>
  <c r="BL2021" i="5"/>
  <c r="BL2022" i="5"/>
  <c r="BL2023" i="5"/>
  <c r="BL2024" i="5"/>
  <c r="BL2025" i="5"/>
  <c r="BL2026" i="5"/>
  <c r="BL2027" i="5"/>
  <c r="BL2028" i="5"/>
  <c r="BL2029" i="5"/>
  <c r="BL2030" i="5"/>
  <c r="BL2031" i="5"/>
  <c r="BL2032" i="5"/>
  <c r="BL2033" i="5"/>
  <c r="BL2034" i="5"/>
  <c r="BL2035" i="5"/>
  <c r="BL2036" i="5"/>
  <c r="BL2037" i="5"/>
  <c r="BL2038" i="5"/>
  <c r="BL2039" i="5"/>
  <c r="BL2040" i="5"/>
  <c r="BL2041" i="5"/>
  <c r="BL2042" i="5"/>
  <c r="BL2043" i="5"/>
  <c r="BL2044" i="5"/>
  <c r="BL2045" i="5"/>
  <c r="BL2046" i="5"/>
  <c r="BL2047" i="5"/>
  <c r="BL2048" i="5"/>
  <c r="BL2049" i="5"/>
  <c r="BL2050" i="5"/>
  <c r="BL2051" i="5"/>
  <c r="BL2052" i="5"/>
  <c r="BL2053" i="5"/>
  <c r="BL2054" i="5"/>
  <c r="BL2055" i="5"/>
  <c r="BL2056" i="5"/>
  <c r="BL2057" i="5"/>
  <c r="BL2058" i="5"/>
  <c r="BL2059" i="5"/>
  <c r="BL2060" i="5"/>
  <c r="BL2061" i="5"/>
  <c r="BL2062" i="5"/>
  <c r="BL2063" i="5"/>
  <c r="BL2064" i="5"/>
  <c r="BL2065" i="5"/>
  <c r="BL2066" i="5"/>
  <c r="BL2067" i="5"/>
  <c r="BL2068" i="5"/>
  <c r="BL2069" i="5"/>
  <c r="BL2070" i="5"/>
  <c r="BL2071" i="5"/>
  <c r="BL2072" i="5"/>
  <c r="BL2073" i="5"/>
  <c r="BL2074" i="5"/>
  <c r="BL2075" i="5"/>
  <c r="BL2076" i="5"/>
  <c r="BL2077" i="5"/>
  <c r="BL2078" i="5"/>
  <c r="BL2079" i="5"/>
  <c r="BL2080" i="5"/>
  <c r="BL2081" i="5"/>
  <c r="BL2082" i="5"/>
  <c r="BL2083" i="5"/>
  <c r="BL2084" i="5"/>
  <c r="BL2085" i="5"/>
  <c r="BL2086" i="5"/>
  <c r="BL2087" i="5"/>
  <c r="BL2088" i="5"/>
  <c r="BL2089" i="5"/>
  <c r="BL2090" i="5"/>
  <c r="BL2091" i="5"/>
  <c r="BL2092" i="5"/>
  <c r="BL2093" i="5"/>
  <c r="BL2094" i="5"/>
  <c r="BL2095" i="5"/>
  <c r="BL2096" i="5"/>
  <c r="BL2097" i="5"/>
  <c r="BL2098" i="5"/>
  <c r="BL2099" i="5"/>
  <c r="BL2100" i="5"/>
  <c r="BL2101" i="5"/>
  <c r="BL2102" i="5"/>
  <c r="BL2103" i="5"/>
  <c r="BL2104" i="5"/>
  <c r="BL2105" i="5"/>
  <c r="BL2106" i="5"/>
  <c r="BL2107" i="5"/>
  <c r="BL2108" i="5"/>
  <c r="BL2109" i="5"/>
  <c r="BL2110" i="5"/>
  <c r="BL2111" i="5"/>
  <c r="BL2112" i="5"/>
  <c r="BL2113" i="5"/>
  <c r="BL2114" i="5"/>
  <c r="BL2115" i="5"/>
  <c r="BL2116" i="5"/>
  <c r="BL2117" i="5"/>
  <c r="BL2118" i="5"/>
  <c r="BL2119" i="5"/>
  <c r="BL2120" i="5"/>
  <c r="BL2121" i="5"/>
  <c r="BL2122" i="5"/>
  <c r="BL2123" i="5"/>
  <c r="BL2124" i="5"/>
  <c r="BL2125" i="5"/>
  <c r="BL2126" i="5"/>
  <c r="BL2127" i="5"/>
  <c r="BL2128" i="5"/>
  <c r="BL2129" i="5"/>
  <c r="BL2130" i="5"/>
  <c r="BL2131" i="5"/>
  <c r="BL2132" i="5"/>
  <c r="BL2133" i="5"/>
  <c r="BL2134" i="5"/>
  <c r="BL2135" i="5"/>
  <c r="BL2136" i="5"/>
  <c r="BL2137" i="5"/>
  <c r="BL2138" i="5"/>
  <c r="BL2139" i="5"/>
  <c r="BL2140" i="5"/>
  <c r="BL2141" i="5"/>
  <c r="BL2142" i="5"/>
  <c r="BL2143" i="5"/>
  <c r="BL2144" i="5"/>
  <c r="BL2145" i="5"/>
  <c r="BL2146" i="5"/>
  <c r="BL2147" i="5"/>
  <c r="BL2148" i="5"/>
  <c r="BL2149" i="5"/>
  <c r="BL2150" i="5"/>
  <c r="BL2151" i="5"/>
  <c r="BL2152" i="5"/>
  <c r="BL2153" i="5"/>
  <c r="BL2154" i="5"/>
  <c r="BL2155" i="5"/>
  <c r="BL2156" i="5"/>
  <c r="BL2157" i="5"/>
  <c r="BL2158" i="5"/>
  <c r="BL2159" i="5"/>
  <c r="BL2160" i="5"/>
  <c r="BL2161" i="5"/>
  <c r="BL2162" i="5"/>
  <c r="BL2163" i="5"/>
  <c r="BL2164" i="5"/>
  <c r="BL2165" i="5"/>
  <c r="BL2166" i="5"/>
  <c r="BL2167" i="5"/>
  <c r="BL2168" i="5"/>
  <c r="BL2169" i="5"/>
  <c r="BL2170" i="5"/>
  <c r="BL2171" i="5"/>
  <c r="BL2172" i="5"/>
  <c r="BL2173" i="5"/>
  <c r="BL2174" i="5"/>
  <c r="BL2175" i="5"/>
  <c r="BL2176" i="5"/>
  <c r="BL2177" i="5"/>
  <c r="BL2178" i="5"/>
  <c r="BL2179" i="5"/>
  <c r="BL2180" i="5"/>
  <c r="BL2181" i="5"/>
  <c r="BL2182" i="5"/>
  <c r="BL2183" i="5"/>
  <c r="BL2184" i="5"/>
  <c r="BL2185" i="5"/>
  <c r="BL2186" i="5"/>
  <c r="BL2187" i="5"/>
  <c r="BL2188" i="5"/>
  <c r="BL2189" i="5"/>
  <c r="BL2190" i="5"/>
  <c r="BL2191" i="5"/>
  <c r="BL2192" i="5"/>
  <c r="BL2193" i="5"/>
  <c r="BL2194" i="5"/>
  <c r="BL2195" i="5"/>
  <c r="BL2196" i="5"/>
  <c r="BL2197" i="5"/>
  <c r="BL2198" i="5"/>
  <c r="BL2199" i="5"/>
  <c r="BL2200" i="5"/>
  <c r="BL2201" i="5"/>
  <c r="BL2202" i="5"/>
  <c r="BL2203" i="5"/>
  <c r="BL2204" i="5"/>
  <c r="BL2205" i="5"/>
  <c r="BL2206" i="5"/>
  <c r="BL2207" i="5"/>
  <c r="BL2208" i="5"/>
  <c r="BL2209" i="5"/>
  <c r="BL2210" i="5"/>
  <c r="BL2211" i="5"/>
  <c r="BL2212" i="5"/>
  <c r="BL2213" i="5"/>
  <c r="BL2214" i="5"/>
  <c r="BL2215" i="5"/>
  <c r="BL2216" i="5"/>
  <c r="BL2217" i="5"/>
  <c r="BL2218" i="5"/>
  <c r="BL2219" i="5"/>
  <c r="BL2220" i="5"/>
  <c r="BL2221" i="5"/>
  <c r="BL2222" i="5"/>
  <c r="BL2223" i="5"/>
  <c r="BL2224" i="5"/>
  <c r="BL2225" i="5"/>
  <c r="BL2226" i="5"/>
  <c r="BL2227" i="5"/>
  <c r="BL2228" i="5"/>
  <c r="BL2229" i="5"/>
  <c r="BL2230" i="5"/>
  <c r="BL2231" i="5"/>
  <c r="BL2232" i="5"/>
  <c r="BL2233" i="5"/>
  <c r="BL2234" i="5"/>
  <c r="BL2235" i="5"/>
  <c r="BL2236" i="5"/>
  <c r="BL2237" i="5"/>
  <c r="BL2238" i="5"/>
  <c r="BL2239" i="5"/>
  <c r="BL2240" i="5"/>
  <c r="BL2241" i="5"/>
  <c r="BL2242" i="5"/>
  <c r="BL2243" i="5"/>
  <c r="BL2244" i="5"/>
  <c r="BL2245" i="5"/>
  <c r="BL2246" i="5"/>
  <c r="BL2247" i="5"/>
  <c r="BL2248" i="5"/>
  <c r="BL2249" i="5"/>
  <c r="BL2250" i="5"/>
  <c r="BL2251" i="5"/>
  <c r="BL2252" i="5"/>
  <c r="BL2253" i="5"/>
  <c r="BL2254" i="5"/>
  <c r="BL2255" i="5"/>
  <c r="BL2256" i="5"/>
  <c r="BL2257" i="5"/>
  <c r="BL2258" i="5"/>
  <c r="BL2259" i="5"/>
  <c r="BL2260" i="5"/>
  <c r="BL2261" i="5"/>
  <c r="BL2262" i="5"/>
  <c r="BL2263" i="5"/>
  <c r="BL2264" i="5"/>
  <c r="BL2265" i="5"/>
  <c r="BL2266" i="5"/>
  <c r="BL2267" i="5"/>
  <c r="BL2268" i="5"/>
  <c r="BL2269" i="5"/>
  <c r="BL2270" i="5"/>
  <c r="BL2271" i="5"/>
  <c r="BL2272" i="5"/>
  <c r="BL2273" i="5"/>
  <c r="BL2274" i="5"/>
  <c r="BL2275" i="5"/>
  <c r="BL2276" i="5"/>
  <c r="BL2277" i="5"/>
  <c r="BL2278" i="5"/>
  <c r="BL2279" i="5"/>
  <c r="BL2280" i="5"/>
  <c r="BL2281" i="5"/>
  <c r="BL2282" i="5"/>
  <c r="BL2283" i="5"/>
  <c r="BL2284" i="5"/>
  <c r="BL2285" i="5"/>
  <c r="BL2286" i="5"/>
  <c r="BL2287" i="5"/>
  <c r="BL2288" i="5"/>
  <c r="BL2289" i="5"/>
  <c r="BL2290" i="5"/>
  <c r="BL2291" i="5"/>
  <c r="BL2292" i="5"/>
  <c r="BL2293" i="5"/>
  <c r="BL2294" i="5"/>
  <c r="BL2295" i="5"/>
  <c r="BL2296" i="5"/>
  <c r="BL2297" i="5"/>
  <c r="BL2298" i="5"/>
  <c r="BL2299" i="5"/>
  <c r="BL2300" i="5"/>
  <c r="BL2301" i="5"/>
  <c r="BL2302" i="5"/>
  <c r="BL2303" i="5"/>
  <c r="BL2304" i="5"/>
  <c r="BL2305" i="5"/>
  <c r="BL2306" i="5"/>
  <c r="BL2307" i="5"/>
  <c r="BL2308" i="5"/>
  <c r="BL2309" i="5"/>
  <c r="BL2310" i="5"/>
  <c r="BL2311" i="5"/>
  <c r="BL2312" i="5"/>
  <c r="BL2313" i="5"/>
  <c r="BL2314" i="5"/>
  <c r="BL2315" i="5"/>
  <c r="BL2316" i="5"/>
  <c r="BL2317" i="5"/>
  <c r="BL2318" i="5"/>
  <c r="BL2319" i="5"/>
  <c r="BL2320" i="5"/>
  <c r="BL2321" i="5"/>
  <c r="BL2322" i="5"/>
  <c r="BL2323" i="5"/>
  <c r="BL2324" i="5"/>
  <c r="BL2325" i="5"/>
  <c r="BL2326" i="5"/>
  <c r="BL2327" i="5"/>
  <c r="BL2328" i="5"/>
  <c r="BL2329" i="5"/>
  <c r="BL2330" i="5"/>
  <c r="BL2331" i="5"/>
  <c r="BL2332" i="5"/>
  <c r="BL2333" i="5"/>
  <c r="BL2334" i="5"/>
  <c r="BL2335" i="5"/>
  <c r="BL2336" i="5"/>
  <c r="BL2337" i="5"/>
  <c r="BL2338" i="5"/>
  <c r="BL2339" i="5"/>
  <c r="BL2340" i="5"/>
  <c r="BL2341" i="5"/>
  <c r="BL2342" i="5"/>
  <c r="BL2343" i="5"/>
  <c r="BL2344" i="5"/>
  <c r="BL2345" i="5"/>
  <c r="BL2346" i="5"/>
  <c r="BL2347" i="5"/>
  <c r="BL2348" i="5"/>
  <c r="BL2349" i="5"/>
  <c r="BL2350" i="5"/>
  <c r="BL2351" i="5"/>
  <c r="BL2352" i="5"/>
  <c r="BL2353" i="5"/>
  <c r="BL2354" i="5"/>
  <c r="BL2355" i="5"/>
  <c r="BL2356" i="5"/>
  <c r="BL2357" i="5"/>
  <c r="BL2358" i="5"/>
  <c r="BL2359" i="5"/>
  <c r="BL2360" i="5"/>
  <c r="BL2361" i="5"/>
  <c r="BL2362" i="5"/>
  <c r="BL2363" i="5"/>
  <c r="BL2364" i="5"/>
  <c r="BL2365" i="5"/>
  <c r="BL2366" i="5"/>
  <c r="BL2367" i="5"/>
  <c r="BL2368" i="5"/>
  <c r="BL2369" i="5"/>
  <c r="BL2370" i="5"/>
  <c r="BL2371" i="5"/>
  <c r="BL2372" i="5"/>
  <c r="BL2373" i="5"/>
  <c r="BL2374" i="5"/>
  <c r="BL2375" i="5"/>
  <c r="BL2376" i="5"/>
  <c r="BL2377" i="5"/>
  <c r="BL2378" i="5"/>
  <c r="BL2379" i="5"/>
  <c r="BL2380" i="5"/>
  <c r="BL2381" i="5"/>
  <c r="BL2382" i="5"/>
  <c r="BL2383" i="5"/>
  <c r="BL2384" i="5"/>
  <c r="BL2385" i="5"/>
  <c r="BL2386" i="5"/>
  <c r="BL2387" i="5"/>
  <c r="BL2388" i="5"/>
  <c r="BL2389" i="5"/>
  <c r="BL2390" i="5"/>
  <c r="BL2391" i="5"/>
  <c r="BL2392" i="5"/>
  <c r="BL2393" i="5"/>
  <c r="BL2394" i="5"/>
  <c r="BL2395" i="5"/>
  <c r="BL2396" i="5"/>
  <c r="BL2397" i="5"/>
  <c r="BL2398" i="5"/>
  <c r="BL2399" i="5"/>
  <c r="BL2400" i="5"/>
  <c r="BL2401" i="5"/>
  <c r="BL2402" i="5"/>
  <c r="BL2403" i="5"/>
  <c r="BL2404" i="5"/>
  <c r="BL2405" i="5"/>
  <c r="BL2406" i="5"/>
  <c r="BL2407" i="5"/>
  <c r="BL2408" i="5"/>
  <c r="BL2409" i="5"/>
  <c r="BL2410" i="5"/>
  <c r="BL2411" i="5"/>
  <c r="BL2412" i="5"/>
  <c r="BL2413" i="5"/>
  <c r="BL2414" i="5"/>
  <c r="BL2415" i="5"/>
  <c r="BL2416" i="5"/>
  <c r="BL2417" i="5"/>
  <c r="BL2418" i="5"/>
  <c r="BL2419" i="5"/>
  <c r="BL2420" i="5"/>
  <c r="BL2421" i="5"/>
  <c r="BL2422" i="5"/>
  <c r="BL2423" i="5"/>
  <c r="BL2424" i="5"/>
  <c r="BL2425" i="5"/>
  <c r="BL2426" i="5"/>
  <c r="BL2427" i="5"/>
  <c r="BL2428" i="5"/>
  <c r="BL2429" i="5"/>
  <c r="BL2430" i="5"/>
  <c r="BL2431" i="5"/>
  <c r="BL2432" i="5"/>
  <c r="BL2433" i="5"/>
  <c r="BL2434" i="5"/>
  <c r="BL2435" i="5"/>
  <c r="BL2436" i="5"/>
  <c r="BL2437" i="5"/>
  <c r="BL2438" i="5"/>
  <c r="BL2439" i="5"/>
  <c r="BL2440" i="5"/>
  <c r="BL2441" i="5"/>
  <c r="BL2442" i="5"/>
  <c r="BL2443" i="5"/>
  <c r="BL2444" i="5"/>
  <c r="BL2445" i="5"/>
  <c r="BL2446" i="5"/>
  <c r="BL2447" i="5"/>
  <c r="BL2448" i="5"/>
  <c r="BL2449" i="5"/>
  <c r="BL2450" i="5"/>
  <c r="BL2451" i="5"/>
  <c r="BL2452" i="5"/>
  <c r="BL2453" i="5"/>
  <c r="BL2454" i="5"/>
  <c r="BL2455" i="5"/>
  <c r="BL2456" i="5"/>
  <c r="BL2457" i="5"/>
  <c r="BL2458" i="5"/>
  <c r="BL2459" i="5"/>
  <c r="BL2460" i="5"/>
  <c r="BL2461" i="5"/>
  <c r="BL2462" i="5"/>
  <c r="BL2463" i="5"/>
  <c r="BL2464" i="5"/>
  <c r="BL2465" i="5"/>
  <c r="BL2466" i="5"/>
  <c r="BL2467" i="5"/>
  <c r="BL2468" i="5"/>
  <c r="BL2469" i="5"/>
  <c r="BL2470" i="5"/>
  <c r="BL2471" i="5"/>
  <c r="BL2472" i="5"/>
  <c r="BL2473" i="5"/>
  <c r="BL2474" i="5"/>
  <c r="BL2475" i="5"/>
  <c r="BL2476" i="5"/>
  <c r="BL2477" i="5"/>
  <c r="BL2478" i="5"/>
  <c r="BL2479" i="5"/>
  <c r="BL2480" i="5"/>
  <c r="BL2481" i="5"/>
  <c r="BL2482" i="5"/>
  <c r="BL2483" i="5"/>
  <c r="BL2484" i="5"/>
  <c r="BL2485" i="5"/>
  <c r="BL2486" i="5"/>
  <c r="BL2487" i="5"/>
  <c r="BL2488" i="5"/>
  <c r="BL2489" i="5"/>
  <c r="BL2490" i="5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M2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L2" i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K2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J2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I2" i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G2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F2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E2" i="1"/>
  <c r="BD2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J13" i="2"/>
  <c r="J12" i="2"/>
  <c r="J11" i="2"/>
  <c r="J19" i="2"/>
  <c r="J18" i="2"/>
  <c r="J17" i="2"/>
  <c r="BO2" i="1" l="1"/>
  <c r="BX2505" i="5"/>
  <c r="BX2720" i="5"/>
  <c r="BX2696" i="5"/>
  <c r="BX2672" i="5"/>
  <c r="BX2648" i="5"/>
  <c r="BX2624" i="5"/>
  <c r="BX2600" i="5"/>
  <c r="BX2576" i="5"/>
  <c r="BX2552" i="5"/>
  <c r="BX2528" i="5"/>
  <c r="BX2504" i="5"/>
  <c r="BX2481" i="5"/>
  <c r="BX2718" i="5"/>
  <c r="BX2694" i="5"/>
  <c r="BX2670" i="5"/>
  <c r="BX2646" i="5"/>
  <c r="BX2622" i="5"/>
  <c r="BX2598" i="5"/>
  <c r="BX2574" i="5"/>
  <c r="BX2550" i="5"/>
  <c r="BX2526" i="5"/>
  <c r="BX2502" i="5"/>
  <c r="BX2717" i="5"/>
  <c r="BX2693" i="5"/>
  <c r="BX2669" i="5"/>
  <c r="BX2645" i="5"/>
  <c r="BX2621" i="5"/>
  <c r="BX2597" i="5"/>
  <c r="BX2573" i="5"/>
  <c r="BX2549" i="5"/>
  <c r="BX2525" i="5"/>
  <c r="BX2501" i="5"/>
  <c r="BX2716" i="5"/>
  <c r="BX2692" i="5"/>
  <c r="BX2668" i="5"/>
  <c r="BX2644" i="5"/>
  <c r="BX2620" i="5"/>
  <c r="BX2596" i="5"/>
  <c r="BX2572" i="5"/>
  <c r="BX2548" i="5"/>
  <c r="BX2524" i="5"/>
  <c r="BX2500" i="5"/>
  <c r="BX2732" i="5"/>
  <c r="BX2708" i="5"/>
  <c r="BX2684" i="5"/>
  <c r="BX2660" i="5"/>
  <c r="BX2636" i="5"/>
  <c r="BX2612" i="5"/>
  <c r="BX2588" i="5"/>
  <c r="BX2564" i="5"/>
  <c r="BX2540" i="5"/>
  <c r="BX2516" i="5"/>
  <c r="BX2492" i="5"/>
  <c r="BX2733" i="5"/>
  <c r="BX2721" i="5"/>
  <c r="BX2709" i="5"/>
  <c r="BX2697" i="5"/>
  <c r="BX2685" i="5"/>
  <c r="BX2673" i="5"/>
  <c r="BX2661" i="5"/>
  <c r="BX2649" i="5"/>
  <c r="BX2637" i="5"/>
  <c r="BX2625" i="5"/>
  <c r="BX2613" i="5"/>
  <c r="BX2601" i="5"/>
  <c r="BX2589" i="5"/>
  <c r="BX2577" i="5"/>
  <c r="BX2565" i="5"/>
  <c r="BX2553" i="5"/>
  <c r="BX2541" i="5"/>
  <c r="BX2529" i="5"/>
  <c r="BX2517" i="5"/>
  <c r="BY2829" i="5"/>
  <c r="CC2829" i="5" s="1"/>
  <c r="CD2829" i="5" s="1"/>
  <c r="CE2829" i="5" s="1"/>
  <c r="BX2490" i="5"/>
  <c r="BY2851" i="5"/>
  <c r="CC2851" i="5" s="1"/>
  <c r="CD2851" i="5" s="1"/>
  <c r="CE2851" i="5" s="1"/>
  <c r="BY2834" i="5"/>
  <c r="CC2834" i="5" s="1"/>
  <c r="CD2834" i="5" s="1"/>
  <c r="CE2834" i="5" s="1"/>
  <c r="BY2838" i="5"/>
  <c r="CC2838" i="5" s="1"/>
  <c r="CD2838" i="5" s="1"/>
  <c r="CE2838" i="5" s="1"/>
  <c r="BY2835" i="5"/>
  <c r="CC2835" i="5" s="1"/>
  <c r="CD2835" i="5" s="1"/>
  <c r="CE2835" i="5" s="1"/>
  <c r="BY2824" i="5"/>
  <c r="CC2824" i="5" s="1"/>
  <c r="CD2824" i="5" s="1"/>
  <c r="CE2824" i="5" s="1"/>
  <c r="BY2822" i="5"/>
  <c r="CC2822" i="5" s="1"/>
  <c r="CD2822" i="5" s="1"/>
  <c r="CE2822" i="5" s="1"/>
  <c r="BY2847" i="5"/>
  <c r="CC2847" i="5" s="1"/>
  <c r="CD2847" i="5" s="1"/>
  <c r="CE2847" i="5" s="1"/>
  <c r="BY2854" i="5"/>
  <c r="CC2854" i="5" s="1"/>
  <c r="CD2854" i="5" s="1"/>
  <c r="CE2854" i="5" s="1"/>
  <c r="CG2854" i="5" s="1"/>
  <c r="BY2826" i="5"/>
  <c r="CC2826" i="5" s="1"/>
  <c r="CD2826" i="5" s="1"/>
  <c r="CE2826" i="5" s="1"/>
  <c r="BY2823" i="5"/>
  <c r="CC2823" i="5" s="1"/>
  <c r="CD2823" i="5" s="1"/>
  <c r="CE2823" i="5" s="1"/>
  <c r="BX2494" i="5"/>
  <c r="BY2842" i="5"/>
  <c r="CC2842" i="5" s="1"/>
  <c r="CD2842" i="5" s="1"/>
  <c r="CE2842" i="5" s="1"/>
  <c r="BY2833" i="5"/>
  <c r="CC2833" i="5" s="1"/>
  <c r="CD2833" i="5" s="1"/>
  <c r="CE2833" i="5" s="1"/>
  <c r="CG2833" i="5" s="1"/>
  <c r="BY2863" i="5"/>
  <c r="CC2863" i="5" s="1"/>
  <c r="CD2863" i="5" s="1"/>
  <c r="CE2863" i="5" s="1"/>
  <c r="BY2787" i="5"/>
  <c r="CC2787" i="5" s="1"/>
  <c r="CD2787" i="5" s="1"/>
  <c r="CE2787" i="5" s="1"/>
  <c r="CG2787" i="5" s="1"/>
  <c r="BY2840" i="5"/>
  <c r="CC2840" i="5" s="1"/>
  <c r="CD2840" i="5" s="1"/>
  <c r="CE2840" i="5" s="1"/>
  <c r="BY2832" i="5"/>
  <c r="CC2832" i="5" s="1"/>
  <c r="CD2832" i="5" s="1"/>
  <c r="CE2832" i="5" s="1"/>
  <c r="CG2832" i="5" s="1"/>
  <c r="BY2850" i="5"/>
  <c r="CC2850" i="5" s="1"/>
  <c r="CD2850" i="5" s="1"/>
  <c r="CE2850" i="5" s="1"/>
  <c r="CG2850" i="5" s="1"/>
  <c r="BY2852" i="5"/>
  <c r="CC2852" i="5" s="1"/>
  <c r="CD2852" i="5" s="1"/>
  <c r="CE2852" i="5" s="1"/>
  <c r="BY2853" i="5"/>
  <c r="CC2853" i="5" s="1"/>
  <c r="CD2853" i="5" s="1"/>
  <c r="CE2853" i="5" s="1"/>
  <c r="BY2861" i="5"/>
  <c r="CC2861" i="5" s="1"/>
  <c r="CD2861" i="5" s="1"/>
  <c r="CE2861" i="5" s="1"/>
  <c r="CG2861" i="5" s="1"/>
  <c r="BY2830" i="5"/>
  <c r="CC2830" i="5" s="1"/>
  <c r="CD2830" i="5" s="1"/>
  <c r="CE2830" i="5" s="1"/>
  <c r="CG2830" i="5" s="1"/>
  <c r="BY2815" i="5"/>
  <c r="CC2815" i="5" s="1"/>
  <c r="CD2815" i="5" s="1"/>
  <c r="CE2815" i="5" s="1"/>
  <c r="BY2846" i="5"/>
  <c r="CC2846" i="5" s="1"/>
  <c r="CD2846" i="5" s="1"/>
  <c r="CE2846" i="5" s="1"/>
  <c r="BY2858" i="5"/>
  <c r="CC2858" i="5" s="1"/>
  <c r="CD2858" i="5" s="1"/>
  <c r="CE2858" i="5" s="1"/>
  <c r="BY2827" i="5"/>
  <c r="CC2827" i="5" s="1"/>
  <c r="CD2827" i="5" s="1"/>
  <c r="CE2827" i="5" s="1"/>
  <c r="BY2843" i="5"/>
  <c r="CC2843" i="5" s="1"/>
  <c r="CD2843" i="5" s="1"/>
  <c r="CE2843" i="5" s="1"/>
  <c r="BY2859" i="5"/>
  <c r="CC2859" i="5" s="1"/>
  <c r="CD2859" i="5" s="1"/>
  <c r="CE2859" i="5" s="1"/>
  <c r="CG2859" i="5" s="1"/>
  <c r="BY2862" i="5"/>
  <c r="CC2862" i="5" s="1"/>
  <c r="CD2862" i="5" s="1"/>
  <c r="CE2862" i="5" s="1"/>
  <c r="CG2862" i="5" s="1"/>
  <c r="BY2839" i="5"/>
  <c r="CC2839" i="5" s="1"/>
  <c r="CD2839" i="5" s="1"/>
  <c r="CE2839" i="5" s="1"/>
  <c r="BY2807" i="5"/>
  <c r="CC2807" i="5" s="1"/>
  <c r="CD2807" i="5" s="1"/>
  <c r="CE2807" i="5" s="1"/>
  <c r="BY2855" i="5"/>
  <c r="CC2855" i="5" s="1"/>
  <c r="CD2855" i="5" s="1"/>
  <c r="CE2855" i="5" s="1"/>
  <c r="BY2828" i="5"/>
  <c r="CC2828" i="5" s="1"/>
  <c r="CD2828" i="5" s="1"/>
  <c r="CE2828" i="5" s="1"/>
  <c r="BY2844" i="5"/>
  <c r="CC2844" i="5" s="1"/>
  <c r="CD2844" i="5" s="1"/>
  <c r="CE2844" i="5" s="1"/>
  <c r="CG2844" i="5" s="1"/>
  <c r="BY2766" i="5"/>
  <c r="CC2766" i="5" s="1"/>
  <c r="CD2766" i="5" s="1"/>
  <c r="CE2766" i="5" s="1"/>
  <c r="CG2766" i="5" s="1"/>
  <c r="BY2813" i="5"/>
  <c r="CC2813" i="5" s="1"/>
  <c r="CD2813" i="5" s="1"/>
  <c r="CE2813" i="5" s="1"/>
  <c r="BY2841" i="5"/>
  <c r="CC2841" i="5" s="1"/>
  <c r="CD2841" i="5" s="1"/>
  <c r="CE2841" i="5" s="1"/>
  <c r="BY2810" i="5"/>
  <c r="CC2810" i="5" s="1"/>
  <c r="CD2810" i="5" s="1"/>
  <c r="CE2810" i="5" s="1"/>
  <c r="BY2845" i="5"/>
  <c r="CC2845" i="5" s="1"/>
  <c r="CD2845" i="5" s="1"/>
  <c r="CE2845" i="5" s="1"/>
  <c r="BY2821" i="5"/>
  <c r="CC2821" i="5" s="1"/>
  <c r="CD2821" i="5" s="1"/>
  <c r="CE2821" i="5" s="1"/>
  <c r="BY2819" i="5"/>
  <c r="CC2819" i="5" s="1"/>
  <c r="CD2819" i="5" s="1"/>
  <c r="CE2819" i="5" s="1"/>
  <c r="CG2819" i="5" s="1"/>
  <c r="BY2744" i="5"/>
  <c r="CC2744" i="5" s="1"/>
  <c r="CD2744" i="5" s="1"/>
  <c r="CE2744" i="5" s="1"/>
  <c r="CG2744" i="5" s="1"/>
  <c r="BY2769" i="5"/>
  <c r="CC2769" i="5" s="1"/>
  <c r="CD2769" i="5" s="1"/>
  <c r="CE2769" i="5" s="1"/>
  <c r="CG2769" i="5" s="1"/>
  <c r="BY2848" i="5"/>
  <c r="CC2848" i="5" s="1"/>
  <c r="CD2848" i="5" s="1"/>
  <c r="CE2848" i="5" s="1"/>
  <c r="BY2860" i="5"/>
  <c r="CC2860" i="5" s="1"/>
  <c r="CD2860" i="5" s="1"/>
  <c r="CE2860" i="5" s="1"/>
  <c r="BY2811" i="5"/>
  <c r="CC2811" i="5" s="1"/>
  <c r="CD2811" i="5" s="1"/>
  <c r="CE2811" i="5" s="1"/>
  <c r="BY2836" i="5"/>
  <c r="CC2836" i="5" s="1"/>
  <c r="CD2836" i="5" s="1"/>
  <c r="CE2836" i="5" s="1"/>
  <c r="BY2831" i="5"/>
  <c r="CC2831" i="5" s="1"/>
  <c r="CD2831" i="5" s="1"/>
  <c r="CE2831" i="5" s="1"/>
  <c r="BY2849" i="5"/>
  <c r="CC2849" i="5" s="1"/>
  <c r="CD2849" i="5" s="1"/>
  <c r="BY2856" i="5"/>
  <c r="CC2856" i="5" s="1"/>
  <c r="CD2856" i="5" s="1"/>
  <c r="CE2856" i="5" s="1"/>
  <c r="CG2856" i="5" s="1"/>
  <c r="BY2825" i="5"/>
  <c r="CC2825" i="5" s="1"/>
  <c r="CD2825" i="5" s="1"/>
  <c r="CE2825" i="5" s="1"/>
  <c r="CG2825" i="5" s="1"/>
  <c r="BY2817" i="5"/>
  <c r="CC2817" i="5" s="1"/>
  <c r="CD2817" i="5" s="1"/>
  <c r="CE2817" i="5" s="1"/>
  <c r="CG2817" i="5" s="1"/>
  <c r="BY2786" i="5"/>
  <c r="CC2786" i="5" s="1"/>
  <c r="CD2786" i="5" s="1"/>
  <c r="CE2786" i="5" s="1"/>
  <c r="CG2786" i="5" s="1"/>
  <c r="BY2857" i="5"/>
  <c r="CC2857" i="5" s="1"/>
  <c r="CD2857" i="5" s="1"/>
  <c r="CE2857" i="5" s="1"/>
  <c r="BY2809" i="5"/>
  <c r="CC2809" i="5" s="1"/>
  <c r="CD2809" i="5" s="1"/>
  <c r="CE2809" i="5" s="1"/>
  <c r="BY2818" i="5"/>
  <c r="CC2818" i="5" s="1"/>
  <c r="CD2818" i="5" s="1"/>
  <c r="CE2818" i="5" s="1"/>
  <c r="CG2842" i="5"/>
  <c r="BY2801" i="5"/>
  <c r="CC2801" i="5" s="1"/>
  <c r="CD2801" i="5" s="1"/>
  <c r="CE2801" i="5" s="1"/>
  <c r="CG2801" i="5" s="1"/>
  <c r="CG2847" i="5"/>
  <c r="CG2826" i="5"/>
  <c r="CG2829" i="5"/>
  <c r="CG2837" i="5"/>
  <c r="BY2752" i="5"/>
  <c r="CC2752" i="5" s="1"/>
  <c r="CD2752" i="5" s="1"/>
  <c r="CE2752" i="5" s="1"/>
  <c r="CG2821" i="5"/>
  <c r="BY2749" i="5"/>
  <c r="CC2749" i="5" s="1"/>
  <c r="CD2749" i="5" s="1"/>
  <c r="CE2749" i="5" s="1"/>
  <c r="CG2749" i="5" s="1"/>
  <c r="BY2812" i="5"/>
  <c r="CC2812" i="5" s="1"/>
  <c r="CD2812" i="5" s="1"/>
  <c r="BY2797" i="5"/>
  <c r="CC2797" i="5" s="1"/>
  <c r="CD2797" i="5" s="1"/>
  <c r="CE2797" i="5" s="1"/>
  <c r="BX2727" i="5"/>
  <c r="BX2715" i="5"/>
  <c r="BX2703" i="5"/>
  <c r="BX2691" i="5"/>
  <c r="BX2679" i="5"/>
  <c r="BX2667" i="5"/>
  <c r="BX2655" i="5"/>
  <c r="BX2643" i="5"/>
  <c r="BX2631" i="5"/>
  <c r="BX2619" i="5"/>
  <c r="BX2607" i="5"/>
  <c r="BX2595" i="5"/>
  <c r="BX2583" i="5"/>
  <c r="BX2571" i="5"/>
  <c r="BX2559" i="5"/>
  <c r="BX2547" i="5"/>
  <c r="BX2535" i="5"/>
  <c r="BX2523" i="5"/>
  <c r="BX2511" i="5"/>
  <c r="BX2499" i="5"/>
  <c r="BY2750" i="5"/>
  <c r="CC2750" i="5" s="1"/>
  <c r="CD2750" i="5" s="1"/>
  <c r="CE2750" i="5" s="1"/>
  <c r="CG2750" i="5" s="1"/>
  <c r="BY2753" i="5"/>
  <c r="CC2753" i="5" s="1"/>
  <c r="CD2753" i="5" s="1"/>
  <c r="CE2753" i="5" s="1"/>
  <c r="CG2753" i="5" s="1"/>
  <c r="BY2808" i="5"/>
  <c r="CC2808" i="5" s="1"/>
  <c r="CD2808" i="5" s="1"/>
  <c r="CE2808" i="5" s="1"/>
  <c r="CG2808" i="5" s="1"/>
  <c r="BY2816" i="5"/>
  <c r="CC2816" i="5" s="1"/>
  <c r="CD2816" i="5" s="1"/>
  <c r="BY2820" i="5"/>
  <c r="CC2820" i="5" s="1"/>
  <c r="CD2820" i="5" s="1"/>
  <c r="CE2820" i="5" s="1"/>
  <c r="CG2820" i="5" s="1"/>
  <c r="BY2771" i="5"/>
  <c r="CC2771" i="5" s="1"/>
  <c r="CD2771" i="5" s="1"/>
  <c r="CE2771" i="5" s="1"/>
  <c r="CG2771" i="5" s="1"/>
  <c r="BY2792" i="5"/>
  <c r="CC2792" i="5" s="1"/>
  <c r="CD2792" i="5" s="1"/>
  <c r="CE2792" i="5" s="1"/>
  <c r="CG2792" i="5" s="1"/>
  <c r="BY2780" i="5"/>
  <c r="CC2780" i="5" s="1"/>
  <c r="CD2780" i="5" s="1"/>
  <c r="CE2780" i="5" s="1"/>
  <c r="CG2780" i="5" s="1"/>
  <c r="BY2765" i="5"/>
  <c r="CC2765" i="5" s="1"/>
  <c r="CD2765" i="5" s="1"/>
  <c r="CE2765" i="5" s="1"/>
  <c r="BY2778" i="5"/>
  <c r="CC2778" i="5" s="1"/>
  <c r="CD2778" i="5" s="1"/>
  <c r="CE2778" i="5" s="1"/>
  <c r="BY2796" i="5"/>
  <c r="CC2796" i="5" s="1"/>
  <c r="CD2796" i="5" s="1"/>
  <c r="CE2796" i="5" s="1"/>
  <c r="CG2796" i="5" s="1"/>
  <c r="BY2777" i="5"/>
  <c r="CC2777" i="5" s="1"/>
  <c r="CD2777" i="5" s="1"/>
  <c r="CE2777" i="5" s="1"/>
  <c r="CG2777" i="5" s="1"/>
  <c r="BY2814" i="5"/>
  <c r="CC2814" i="5" s="1"/>
  <c r="CD2814" i="5" s="1"/>
  <c r="BY2802" i="5"/>
  <c r="CC2802" i="5" s="1"/>
  <c r="CD2802" i="5" s="1"/>
  <c r="CE2802" i="5" s="1"/>
  <c r="CG2802" i="5" s="1"/>
  <c r="BY2789" i="5"/>
  <c r="CC2789" i="5" s="1"/>
  <c r="CD2789" i="5" s="1"/>
  <c r="CE2789" i="5" s="1"/>
  <c r="CG2789" i="5" s="1"/>
  <c r="BY2799" i="5"/>
  <c r="CC2799" i="5" s="1"/>
  <c r="CD2799" i="5" s="1"/>
  <c r="CE2799" i="5" s="1"/>
  <c r="CG2799" i="5" s="1"/>
  <c r="BX2726" i="5"/>
  <c r="BX2714" i="5"/>
  <c r="BX2702" i="5"/>
  <c r="BX2690" i="5"/>
  <c r="BX2678" i="5"/>
  <c r="BX2666" i="5"/>
  <c r="BX2654" i="5"/>
  <c r="BX2642" i="5"/>
  <c r="BX2630" i="5"/>
  <c r="BX2618" i="5"/>
  <c r="BX2606" i="5"/>
  <c r="BX2594" i="5"/>
  <c r="BX2582" i="5"/>
  <c r="BX2570" i="5"/>
  <c r="BX2558" i="5"/>
  <c r="BX2546" i="5"/>
  <c r="BX2534" i="5"/>
  <c r="BX2522" i="5"/>
  <c r="BX2510" i="5"/>
  <c r="BX2498" i="5"/>
  <c r="BY2757" i="5"/>
  <c r="CC2757" i="5" s="1"/>
  <c r="CD2757" i="5" s="1"/>
  <c r="CE2757" i="5" s="1"/>
  <c r="CG2757" i="5" s="1"/>
  <c r="BY2758" i="5"/>
  <c r="CC2758" i="5" s="1"/>
  <c r="CD2758" i="5" s="1"/>
  <c r="CE2758" i="5" s="1"/>
  <c r="BY2784" i="5"/>
  <c r="CC2784" i="5" s="1"/>
  <c r="CD2784" i="5" s="1"/>
  <c r="CE2784" i="5" s="1"/>
  <c r="BY2782" i="5"/>
  <c r="CC2782" i="5" s="1"/>
  <c r="CD2782" i="5" s="1"/>
  <c r="CE2782" i="5" s="1"/>
  <c r="CG2782" i="5" s="1"/>
  <c r="BY2794" i="5"/>
  <c r="CC2794" i="5" s="1"/>
  <c r="CD2794" i="5" s="1"/>
  <c r="CE2794" i="5" s="1"/>
  <c r="BY2781" i="5"/>
  <c r="CC2781" i="5" s="1"/>
  <c r="CD2781" i="5" s="1"/>
  <c r="CE2781" i="5" s="1"/>
  <c r="CG2781" i="5" s="1"/>
  <c r="BY2751" i="5"/>
  <c r="CC2751" i="5" s="1"/>
  <c r="CD2751" i="5" s="1"/>
  <c r="CE2751" i="5" s="1"/>
  <c r="BY2806" i="5"/>
  <c r="CC2806" i="5" s="1"/>
  <c r="CD2806" i="5" s="1"/>
  <c r="CE2806" i="5" s="1"/>
  <c r="BY2800" i="5"/>
  <c r="CC2800" i="5" s="1"/>
  <c r="CD2800" i="5" s="1"/>
  <c r="CE2800" i="5" s="1"/>
  <c r="BX2438" i="5"/>
  <c r="BY2748" i="5"/>
  <c r="CC2748" i="5" s="1"/>
  <c r="CD2748" i="5" s="1"/>
  <c r="CE2748" i="5" s="1"/>
  <c r="CG2748" i="5" s="1"/>
  <c r="BY2763" i="5"/>
  <c r="CC2763" i="5" s="1"/>
  <c r="CD2763" i="5" s="1"/>
  <c r="CE2763" i="5" s="1"/>
  <c r="CG2763" i="5" s="1"/>
  <c r="BY2767" i="5"/>
  <c r="CC2767" i="5" s="1"/>
  <c r="CD2767" i="5" s="1"/>
  <c r="CE2767" i="5" s="1"/>
  <c r="BY2754" i="5"/>
  <c r="CC2754" i="5" s="1"/>
  <c r="CD2754" i="5" s="1"/>
  <c r="CE2754" i="5" s="1"/>
  <c r="CG2754" i="5" s="1"/>
  <c r="BY2775" i="5"/>
  <c r="CC2775" i="5" s="1"/>
  <c r="CD2775" i="5" s="1"/>
  <c r="CE2775" i="5" s="1"/>
  <c r="CG2775" i="5" s="1"/>
  <c r="BY2764" i="5"/>
  <c r="CC2764" i="5" s="1"/>
  <c r="CD2764" i="5" s="1"/>
  <c r="CE2764" i="5" s="1"/>
  <c r="CG2764" i="5" s="1"/>
  <c r="BY2772" i="5"/>
  <c r="CC2772" i="5" s="1"/>
  <c r="CD2772" i="5" s="1"/>
  <c r="CE2772" i="5" s="1"/>
  <c r="BY2756" i="5"/>
  <c r="CC2756" i="5" s="1"/>
  <c r="CD2756" i="5" s="1"/>
  <c r="CE2756" i="5" s="1"/>
  <c r="CG2756" i="5" s="1"/>
  <c r="BY2776" i="5"/>
  <c r="CC2776" i="5" s="1"/>
  <c r="CD2776" i="5" s="1"/>
  <c r="CE2776" i="5" s="1"/>
  <c r="BY2768" i="5"/>
  <c r="CC2768" i="5" s="1"/>
  <c r="CD2768" i="5" s="1"/>
  <c r="CE2768" i="5" s="1"/>
  <c r="BY2746" i="5"/>
  <c r="CC2746" i="5" s="1"/>
  <c r="CD2746" i="5" s="1"/>
  <c r="CE2746" i="5" s="1"/>
  <c r="CG2746" i="5" s="1"/>
  <c r="CG2807" i="5"/>
  <c r="BY2774" i="5"/>
  <c r="CC2774" i="5" s="1"/>
  <c r="CD2774" i="5" s="1"/>
  <c r="CE2774" i="5" s="1"/>
  <c r="CG2774" i="5" s="1"/>
  <c r="BY2779" i="5"/>
  <c r="CC2779" i="5" s="1"/>
  <c r="CD2779" i="5" s="1"/>
  <c r="CE2779" i="5" s="1"/>
  <c r="CG2779" i="5" s="1"/>
  <c r="BY2803" i="5"/>
  <c r="CC2803" i="5" s="1"/>
  <c r="CD2803" i="5" s="1"/>
  <c r="CE2803" i="5" s="1"/>
  <c r="BY2785" i="5"/>
  <c r="CC2785" i="5" s="1"/>
  <c r="CD2785" i="5" s="1"/>
  <c r="CE2785" i="5" s="1"/>
  <c r="BY2759" i="5"/>
  <c r="CC2759" i="5" s="1"/>
  <c r="CD2759" i="5" s="1"/>
  <c r="CE2759" i="5" s="1"/>
  <c r="CG2759" i="5" s="1"/>
  <c r="BY2783" i="5"/>
  <c r="CC2783" i="5" s="1"/>
  <c r="CD2783" i="5" s="1"/>
  <c r="CE2783" i="5" s="1"/>
  <c r="CG2783" i="5" s="1"/>
  <c r="BY2793" i="5"/>
  <c r="CC2793" i="5" s="1"/>
  <c r="CD2793" i="5" s="1"/>
  <c r="CE2793" i="5" s="1"/>
  <c r="BY2798" i="5"/>
  <c r="CC2798" i="5" s="1"/>
  <c r="CD2798" i="5" s="1"/>
  <c r="CE2798" i="5" s="1"/>
  <c r="CG2798" i="5" s="1"/>
  <c r="BY2805" i="5"/>
  <c r="CC2805" i="5" s="1"/>
  <c r="CD2805" i="5" s="1"/>
  <c r="CE2805" i="5" s="1"/>
  <c r="CG2805" i="5" s="1"/>
  <c r="BY2795" i="5"/>
  <c r="CC2795" i="5" s="1"/>
  <c r="CD2795" i="5" s="1"/>
  <c r="CE2795" i="5" s="1"/>
  <c r="CG2795" i="5" s="1"/>
  <c r="BY2790" i="5"/>
  <c r="CC2790" i="5" s="1"/>
  <c r="CD2790" i="5" s="1"/>
  <c r="CE2790" i="5" s="1"/>
  <c r="CG2790" i="5" s="1"/>
  <c r="BY2745" i="5"/>
  <c r="CC2745" i="5" s="1"/>
  <c r="CD2745" i="5" s="1"/>
  <c r="CE2745" i="5" s="1"/>
  <c r="CG2745" i="5" s="1"/>
  <c r="BY2770" i="5"/>
  <c r="CC2770" i="5" s="1"/>
  <c r="CD2770" i="5" s="1"/>
  <c r="CE2770" i="5" s="1"/>
  <c r="CG2770" i="5" s="1"/>
  <c r="BY2788" i="5"/>
  <c r="CC2788" i="5" s="1"/>
  <c r="CD2788" i="5" s="1"/>
  <c r="CE2788" i="5" s="1"/>
  <c r="CG2788" i="5" s="1"/>
  <c r="BY2761" i="5"/>
  <c r="CC2761" i="5" s="1"/>
  <c r="CD2761" i="5" s="1"/>
  <c r="CE2761" i="5" s="1"/>
  <c r="CG2761" i="5" s="1"/>
  <c r="BY2791" i="5"/>
  <c r="CC2791" i="5" s="1"/>
  <c r="CD2791" i="5" s="1"/>
  <c r="CE2791" i="5" s="1"/>
  <c r="CG2791" i="5" s="1"/>
  <c r="BY2773" i="5"/>
  <c r="CC2773" i="5" s="1"/>
  <c r="CD2773" i="5" s="1"/>
  <c r="CE2773" i="5" s="1"/>
  <c r="BY2747" i="5"/>
  <c r="CC2747" i="5" s="1"/>
  <c r="CD2747" i="5" s="1"/>
  <c r="CE2747" i="5" s="1"/>
  <c r="CG2747" i="5" s="1"/>
  <c r="BY2760" i="5"/>
  <c r="CC2760" i="5" s="1"/>
  <c r="CD2760" i="5" s="1"/>
  <c r="CE2760" i="5" s="1"/>
  <c r="BY2755" i="5"/>
  <c r="CC2755" i="5" s="1"/>
  <c r="CD2755" i="5" s="1"/>
  <c r="CE2755" i="5" s="1"/>
  <c r="CG2755" i="5" s="1"/>
  <c r="BY2804" i="5"/>
  <c r="CC2804" i="5" s="1"/>
  <c r="CD2804" i="5" s="1"/>
  <c r="CE2804" i="5" s="1"/>
  <c r="CG2804" i="5" s="1"/>
  <c r="BX2735" i="5"/>
  <c r="BX2723" i="5"/>
  <c r="BX2711" i="5"/>
  <c r="BX2699" i="5"/>
  <c r="BX2687" i="5"/>
  <c r="BX2675" i="5"/>
  <c r="BX2663" i="5"/>
  <c r="BX2651" i="5"/>
  <c r="BX2639" i="5"/>
  <c r="BX2627" i="5"/>
  <c r="BX2615" i="5"/>
  <c r="BX2603" i="5"/>
  <c r="BX2591" i="5"/>
  <c r="BX2579" i="5"/>
  <c r="BX2567" i="5"/>
  <c r="BX2555" i="5"/>
  <c r="BX2543" i="5"/>
  <c r="BX2531" i="5"/>
  <c r="BX2519" i="5"/>
  <c r="BY2762" i="5"/>
  <c r="CC2762" i="5" s="1"/>
  <c r="CD2762" i="5" s="1"/>
  <c r="CG2806" i="5"/>
  <c r="BX2488" i="5"/>
  <c r="BX2731" i="5"/>
  <c r="BX2719" i="5"/>
  <c r="BX2707" i="5"/>
  <c r="BX2695" i="5"/>
  <c r="BX2683" i="5"/>
  <c r="BX2671" i="5"/>
  <c r="BX2659" i="5"/>
  <c r="BX2647" i="5"/>
  <c r="BX2635" i="5"/>
  <c r="BX2623" i="5"/>
  <c r="BX2611" i="5"/>
  <c r="BX2599" i="5"/>
  <c r="BX2587" i="5"/>
  <c r="BX2575" i="5"/>
  <c r="BX2563" i="5"/>
  <c r="BX2551" i="5"/>
  <c r="BX2539" i="5"/>
  <c r="BX2527" i="5"/>
  <c r="BX2515" i="5"/>
  <c r="BX2503" i="5"/>
  <c r="BX2491" i="5"/>
  <c r="BX2736" i="5"/>
  <c r="BX2724" i="5"/>
  <c r="BX2712" i="5"/>
  <c r="BX2700" i="5"/>
  <c r="BX2688" i="5"/>
  <c r="BX2676" i="5"/>
  <c r="BX2664" i="5"/>
  <c r="BX2652" i="5"/>
  <c r="BX2640" i="5"/>
  <c r="BX2628" i="5"/>
  <c r="BX2616" i="5"/>
  <c r="BX2604" i="5"/>
  <c r="BX2592" i="5"/>
  <c r="BX2580" i="5"/>
  <c r="BX2568" i="5"/>
  <c r="BX2556" i="5"/>
  <c r="BX2544" i="5"/>
  <c r="BX2532" i="5"/>
  <c r="BX2520" i="5"/>
  <c r="BX2508" i="5"/>
  <c r="BX2496" i="5"/>
  <c r="BX2734" i="5"/>
  <c r="BX2722" i="5"/>
  <c r="BX2710" i="5"/>
  <c r="BX2698" i="5"/>
  <c r="BX2686" i="5"/>
  <c r="BX2674" i="5"/>
  <c r="BX2662" i="5"/>
  <c r="BX2650" i="5"/>
  <c r="BX2638" i="5"/>
  <c r="BX2626" i="5"/>
  <c r="BX2614" i="5"/>
  <c r="BX2602" i="5"/>
  <c r="BX2590" i="5"/>
  <c r="BX2578" i="5"/>
  <c r="BX2566" i="5"/>
  <c r="BX2554" i="5"/>
  <c r="BX2542" i="5"/>
  <c r="BX2530" i="5"/>
  <c r="BX2518" i="5"/>
  <c r="BX2506" i="5"/>
  <c r="BS2476" i="5"/>
  <c r="BZ2476" i="5" s="1"/>
  <c r="CA2476" i="5" s="1"/>
  <c r="BS2446" i="5"/>
  <c r="BZ2446" i="5" s="1"/>
  <c r="CA2446" i="5" s="1"/>
  <c r="BS2405" i="5"/>
  <c r="BZ2405" i="5" s="1"/>
  <c r="CA2405" i="5" s="1"/>
  <c r="BS2376" i="5"/>
  <c r="BZ2376" i="5" s="1"/>
  <c r="CA2376" i="5" s="1"/>
  <c r="BS2344" i="5"/>
  <c r="BZ2344" i="5" s="1"/>
  <c r="CA2344" i="5" s="1"/>
  <c r="BS2305" i="5"/>
  <c r="BZ2305" i="5" s="1"/>
  <c r="CA2305" i="5" s="1"/>
  <c r="BS2267" i="5"/>
  <c r="BZ2267" i="5" s="1"/>
  <c r="CA2267" i="5" s="1"/>
  <c r="BS2232" i="5"/>
  <c r="BZ2232" i="5" s="1"/>
  <c r="CA2232" i="5" s="1"/>
  <c r="BS2196" i="5"/>
  <c r="BZ2196" i="5" s="1"/>
  <c r="CA2196" i="5" s="1"/>
  <c r="BS2153" i="5"/>
  <c r="BZ2153" i="5" s="1"/>
  <c r="CA2153" i="5" s="1"/>
  <c r="BS2118" i="5"/>
  <c r="BZ2118" i="5" s="1"/>
  <c r="CA2118" i="5" s="1"/>
  <c r="BS2086" i="5"/>
  <c r="BZ2086" i="5" s="1"/>
  <c r="CA2086" i="5" s="1"/>
  <c r="BS2046" i="5"/>
  <c r="BZ2046" i="5" s="1"/>
  <c r="CA2046" i="5" s="1"/>
  <c r="BS2014" i="5"/>
  <c r="BZ2014" i="5" s="1"/>
  <c r="CA2014" i="5" s="1"/>
  <c r="BS1973" i="5"/>
  <c r="BZ1973" i="5" s="1"/>
  <c r="CA1973" i="5" s="1"/>
  <c r="BS1944" i="5"/>
  <c r="BZ1944" i="5" s="1"/>
  <c r="CA1944" i="5" s="1"/>
  <c r="BS1914" i="5"/>
  <c r="BZ1914" i="5" s="1"/>
  <c r="CA1914" i="5" s="1"/>
  <c r="BS1882" i="5"/>
  <c r="BZ1882" i="5" s="1"/>
  <c r="CA1882" i="5" s="1"/>
  <c r="BS1852" i="5"/>
  <c r="BZ1852" i="5" s="1"/>
  <c r="CA1852" i="5" s="1"/>
  <c r="BS1811" i="5"/>
  <c r="BZ1811" i="5" s="1"/>
  <c r="CA1811" i="5" s="1"/>
  <c r="BS1780" i="5"/>
  <c r="BZ1780" i="5" s="1"/>
  <c r="CA1780" i="5" s="1"/>
  <c r="BS1746" i="5"/>
  <c r="BZ1746" i="5" s="1"/>
  <c r="CA1746" i="5" s="1"/>
  <c r="BS1720" i="5"/>
  <c r="BZ1720" i="5" s="1"/>
  <c r="CA1720" i="5" s="1"/>
  <c r="BS1684" i="5"/>
  <c r="BZ1684" i="5" s="1"/>
  <c r="CA1684" i="5" s="1"/>
  <c r="BS1648" i="5"/>
  <c r="BZ1648" i="5" s="1"/>
  <c r="CA1648" i="5" s="1"/>
  <c r="BS1612" i="5"/>
  <c r="BZ1612" i="5" s="1"/>
  <c r="CA1612" i="5" s="1"/>
  <c r="BS1571" i="5"/>
  <c r="BZ1571" i="5" s="1"/>
  <c r="CA1571" i="5" s="1"/>
  <c r="BS1535" i="5"/>
  <c r="BZ1535" i="5" s="1"/>
  <c r="CA1535" i="5" s="1"/>
  <c r="BS1504" i="5"/>
  <c r="BZ1504" i="5" s="1"/>
  <c r="CA1504" i="5" s="1"/>
  <c r="BS1470" i="5"/>
  <c r="BZ1470" i="5" s="1"/>
  <c r="CA1470" i="5" s="1"/>
  <c r="BS1433" i="5"/>
  <c r="BZ1433" i="5" s="1"/>
  <c r="CA1433" i="5" s="1"/>
  <c r="BS1396" i="5"/>
  <c r="BZ1396" i="5" s="1"/>
  <c r="CA1396" i="5" s="1"/>
  <c r="BS1360" i="5"/>
  <c r="BZ1360" i="5" s="1"/>
  <c r="CA1360" i="5" s="1"/>
  <c r="BS1324" i="5"/>
  <c r="BZ1324" i="5" s="1"/>
  <c r="CA1324" i="5" s="1"/>
  <c r="BS1282" i="5"/>
  <c r="BZ1282" i="5" s="1"/>
  <c r="CA1282" i="5" s="1"/>
  <c r="BS1241" i="5"/>
  <c r="BZ1241" i="5" s="1"/>
  <c r="CA1241" i="5" s="1"/>
  <c r="BS1205" i="5"/>
  <c r="BZ1205" i="5" s="1"/>
  <c r="CA1205" i="5" s="1"/>
  <c r="BS1168" i="5"/>
  <c r="BZ1168" i="5" s="1"/>
  <c r="CA1168" i="5" s="1"/>
  <c r="BS1139" i="5"/>
  <c r="BZ1139" i="5" s="1"/>
  <c r="CA1139" i="5" s="1"/>
  <c r="BS1103" i="5"/>
  <c r="BZ1103" i="5" s="1"/>
  <c r="CA1103" i="5" s="1"/>
  <c r="BS1050" i="5"/>
  <c r="BZ1050" i="5" s="1"/>
  <c r="CA1050" i="5" s="1"/>
  <c r="BS990" i="5"/>
  <c r="BZ990" i="5" s="1"/>
  <c r="CA990" i="5" s="1"/>
  <c r="BS948" i="5"/>
  <c r="BZ948" i="5" s="1"/>
  <c r="CA948" i="5" s="1"/>
  <c r="BS911" i="5"/>
  <c r="BZ911" i="5" s="1"/>
  <c r="CA911" i="5" s="1"/>
  <c r="BS870" i="5"/>
  <c r="BZ870" i="5" s="1"/>
  <c r="CA870" i="5" s="1"/>
  <c r="BS826" i="5"/>
  <c r="BZ826" i="5" s="1"/>
  <c r="CA826" i="5" s="1"/>
  <c r="BS780" i="5"/>
  <c r="BZ780" i="5" s="1"/>
  <c r="CA780" i="5" s="1"/>
  <c r="BS731" i="5"/>
  <c r="BZ731" i="5" s="1"/>
  <c r="CA731" i="5" s="1"/>
  <c r="BS682" i="5"/>
  <c r="BZ682" i="5" s="1"/>
  <c r="CA682" i="5" s="1"/>
  <c r="BS634" i="5"/>
  <c r="BZ634" i="5" s="1"/>
  <c r="CA634" i="5" s="1"/>
  <c r="BS576" i="5"/>
  <c r="BZ576" i="5" s="1"/>
  <c r="CA576" i="5" s="1"/>
  <c r="BS539" i="5"/>
  <c r="BZ539" i="5" s="1"/>
  <c r="CA539" i="5" s="1"/>
  <c r="BS486" i="5"/>
  <c r="BZ486" i="5" s="1"/>
  <c r="CA486" i="5" s="1"/>
  <c r="BS426" i="5"/>
  <c r="BZ426" i="5" s="1"/>
  <c r="CA426" i="5" s="1"/>
  <c r="BS370" i="5"/>
  <c r="BZ370" i="5" s="1"/>
  <c r="CA370" i="5" s="1"/>
  <c r="BS300" i="5"/>
  <c r="BZ300" i="5" s="1"/>
  <c r="CA300" i="5" s="1"/>
  <c r="BS250" i="5"/>
  <c r="BZ250" i="5" s="1"/>
  <c r="CA250" i="5" s="1"/>
  <c r="BS66" i="5"/>
  <c r="BZ66" i="5" s="1"/>
  <c r="CA66" i="5" s="1"/>
  <c r="BS2686" i="5"/>
  <c r="BZ2686" i="5" s="1"/>
  <c r="CA2686" i="5" s="1"/>
  <c r="BS2628" i="5"/>
  <c r="BZ2628" i="5" s="1"/>
  <c r="CA2628" i="5" s="1"/>
  <c r="BS2586" i="5"/>
  <c r="BZ2586" i="5" s="1"/>
  <c r="CA2586" i="5" s="1"/>
  <c r="BS2519" i="5"/>
  <c r="BZ2519" i="5" s="1"/>
  <c r="CA2519" i="5" s="1"/>
  <c r="BS22" i="5"/>
  <c r="BZ22" i="5" s="1"/>
  <c r="CA22" i="5" s="1"/>
  <c r="BS175" i="5"/>
  <c r="BZ175" i="5" s="1"/>
  <c r="CA175" i="5" s="1"/>
  <c r="BS288" i="5"/>
  <c r="BZ288" i="5" s="1"/>
  <c r="CA288" i="5" s="1"/>
  <c r="BS377" i="5"/>
  <c r="BZ377" i="5" s="1"/>
  <c r="CA377" i="5" s="1"/>
  <c r="BS479" i="5"/>
  <c r="BZ479" i="5" s="1"/>
  <c r="CA479" i="5" s="1"/>
  <c r="BS603" i="5"/>
  <c r="BZ603" i="5" s="1"/>
  <c r="CA603" i="5" s="1"/>
  <c r="BS737" i="5"/>
  <c r="BZ737" i="5" s="1"/>
  <c r="CA737" i="5" s="1"/>
  <c r="BS814" i="5"/>
  <c r="BZ814" i="5" s="1"/>
  <c r="CA814" i="5" s="1"/>
  <c r="BS887" i="5"/>
  <c r="BZ887" i="5" s="1"/>
  <c r="CA887" i="5" s="1"/>
  <c r="BS1001" i="5"/>
  <c r="BZ1001" i="5" s="1"/>
  <c r="CA1001" i="5" s="1"/>
  <c r="BS1067" i="5"/>
  <c r="BZ1067" i="5" s="1"/>
  <c r="CA1067" i="5" s="1"/>
  <c r="BS1131" i="5"/>
  <c r="BZ1131" i="5" s="1"/>
  <c r="CA1131" i="5" s="1"/>
  <c r="BS1203" i="5"/>
  <c r="BZ1203" i="5" s="1"/>
  <c r="CA1203" i="5" s="1"/>
  <c r="BS1291" i="5"/>
  <c r="BZ1291" i="5" s="1"/>
  <c r="CA1291" i="5" s="1"/>
  <c r="BS1371" i="5"/>
  <c r="BZ1371" i="5" s="1"/>
  <c r="CA1371" i="5" s="1"/>
  <c r="BS1483" i="5"/>
  <c r="BZ1483" i="5" s="1"/>
  <c r="CA1483" i="5" s="1"/>
  <c r="BS1615" i="5"/>
  <c r="BZ1615" i="5" s="1"/>
  <c r="CA1615" i="5" s="1"/>
  <c r="BS1707" i="5"/>
  <c r="BZ1707" i="5" s="1"/>
  <c r="CA1707" i="5" s="1"/>
  <c r="BS1800" i="5"/>
  <c r="BZ1800" i="5" s="1"/>
  <c r="CA1800" i="5" s="1"/>
  <c r="BS1872" i="5"/>
  <c r="BZ1872" i="5" s="1"/>
  <c r="CA1872" i="5" s="1"/>
  <c r="BS1947" i="5"/>
  <c r="BZ1947" i="5" s="1"/>
  <c r="CA1947" i="5" s="1"/>
  <c r="BS2034" i="5"/>
  <c r="BZ2034" i="5" s="1"/>
  <c r="CA2034" i="5" s="1"/>
  <c r="BS2106" i="5"/>
  <c r="BZ2106" i="5" s="1"/>
  <c r="CA2106" i="5" s="1"/>
  <c r="BS2191" i="5"/>
  <c r="BZ2191" i="5" s="1"/>
  <c r="CA2191" i="5" s="1"/>
  <c r="BS2295" i="5"/>
  <c r="BZ2295" i="5" s="1"/>
  <c r="CA2295" i="5" s="1"/>
  <c r="BS2395" i="5"/>
  <c r="BZ2395" i="5" s="1"/>
  <c r="CA2395" i="5" s="1"/>
  <c r="BS2475" i="5"/>
  <c r="BZ2475" i="5" s="1"/>
  <c r="CA2475" i="5" s="1"/>
  <c r="BS2659" i="5"/>
  <c r="BZ2659" i="5" s="1"/>
  <c r="CA2659" i="5" s="1"/>
  <c r="BS2478" i="5"/>
  <c r="BZ2478" i="5" s="1"/>
  <c r="CA2478" i="5" s="1"/>
  <c r="BS2419" i="5"/>
  <c r="BZ2419" i="5" s="1"/>
  <c r="CA2419" i="5" s="1"/>
  <c r="BS2363" i="5"/>
  <c r="BZ2363" i="5" s="1"/>
  <c r="CA2363" i="5" s="1"/>
  <c r="BS2298" i="5"/>
  <c r="BZ2298" i="5" s="1"/>
  <c r="CA2298" i="5" s="1"/>
  <c r="BS2246" i="5"/>
  <c r="BZ2246" i="5" s="1"/>
  <c r="CA2246" i="5" s="1"/>
  <c r="BS2198" i="5"/>
  <c r="BZ2198" i="5" s="1"/>
  <c r="CA2198" i="5" s="1"/>
  <c r="BS2142" i="5"/>
  <c r="BZ2142" i="5" s="1"/>
  <c r="CA2142" i="5" s="1"/>
  <c r="BS2092" i="5"/>
  <c r="BZ2092" i="5" s="1"/>
  <c r="CA2092" i="5" s="1"/>
  <c r="BS2032" i="5"/>
  <c r="BZ2032" i="5" s="1"/>
  <c r="CA2032" i="5" s="1"/>
  <c r="BS1984" i="5"/>
  <c r="BZ1984" i="5" s="1"/>
  <c r="CA1984" i="5" s="1"/>
  <c r="BS1898" i="5"/>
  <c r="BZ1898" i="5" s="1"/>
  <c r="CA1898" i="5" s="1"/>
  <c r="BS1814" i="5"/>
  <c r="BZ1814" i="5" s="1"/>
  <c r="CA1814" i="5" s="1"/>
  <c r="BS1733" i="5"/>
  <c r="BZ1733" i="5" s="1"/>
  <c r="CA1733" i="5" s="1"/>
  <c r="BS1646" i="5"/>
  <c r="BZ1646" i="5" s="1"/>
  <c r="CA1646" i="5" s="1"/>
  <c r="BS1586" i="5"/>
  <c r="BZ1586" i="5" s="1"/>
  <c r="CA1586" i="5" s="1"/>
  <c r="BS1514" i="5"/>
  <c r="BZ1514" i="5" s="1"/>
  <c r="CA1514" i="5" s="1"/>
  <c r="BS1432" i="5"/>
  <c r="BZ1432" i="5" s="1"/>
  <c r="CA1432" i="5" s="1"/>
  <c r="BS1370" i="5"/>
  <c r="BZ1370" i="5" s="1"/>
  <c r="CA1370" i="5" s="1"/>
  <c r="BS1310" i="5"/>
  <c r="BZ1310" i="5" s="1"/>
  <c r="CA1310" i="5" s="1"/>
  <c r="BS1254" i="5"/>
  <c r="BZ1254" i="5" s="1"/>
  <c r="CA1254" i="5" s="1"/>
  <c r="BS1206" i="5"/>
  <c r="BZ1206" i="5" s="1"/>
  <c r="CA1206" i="5" s="1"/>
  <c r="BS1142" i="5"/>
  <c r="BZ1142" i="5" s="1"/>
  <c r="CA1142" i="5" s="1"/>
  <c r="BS1070" i="5"/>
  <c r="BZ1070" i="5" s="1"/>
  <c r="CA1070" i="5" s="1"/>
  <c r="BS998" i="5"/>
  <c r="BZ998" i="5" s="1"/>
  <c r="CA998" i="5" s="1"/>
  <c r="BS854" i="5"/>
  <c r="BZ854" i="5" s="1"/>
  <c r="CA854" i="5" s="1"/>
  <c r="BS755" i="5"/>
  <c r="BZ755" i="5" s="1"/>
  <c r="CA755" i="5" s="1"/>
  <c r="BS630" i="5"/>
  <c r="BZ630" i="5" s="1"/>
  <c r="CA630" i="5" s="1"/>
  <c r="BS515" i="5"/>
  <c r="BZ515" i="5" s="1"/>
  <c r="CA515" i="5" s="1"/>
  <c r="BS383" i="5"/>
  <c r="BZ383" i="5" s="1"/>
  <c r="CA383" i="5" s="1"/>
  <c r="BS222" i="5"/>
  <c r="BZ222" i="5" s="1"/>
  <c r="CA222" i="5" s="1"/>
  <c r="BS353" i="5"/>
  <c r="BZ353" i="5" s="1"/>
  <c r="CA353" i="5" s="1"/>
  <c r="BS653" i="5"/>
  <c r="BZ653" i="5" s="1"/>
  <c r="CA653" i="5" s="1"/>
  <c r="BS2556" i="5"/>
  <c r="BZ2556" i="5" s="1"/>
  <c r="CA2556" i="5" s="1"/>
  <c r="BS2688" i="5"/>
  <c r="BZ2688" i="5" s="1"/>
  <c r="CA2688" i="5" s="1"/>
  <c r="BS150" i="5"/>
  <c r="BZ150" i="5" s="1"/>
  <c r="CA150" i="5" s="1"/>
  <c r="BS337" i="5"/>
  <c r="BZ337" i="5" s="1"/>
  <c r="CA337" i="5" s="1"/>
  <c r="BS469" i="5"/>
  <c r="BZ469" i="5" s="1"/>
  <c r="CA469" i="5" s="1"/>
  <c r="BS602" i="5"/>
  <c r="BZ602" i="5" s="1"/>
  <c r="CA602" i="5" s="1"/>
  <c r="BS769" i="5"/>
  <c r="BZ769" i="5" s="1"/>
  <c r="CA769" i="5" s="1"/>
  <c r="BS890" i="5"/>
  <c r="BZ890" i="5" s="1"/>
  <c r="CA890" i="5" s="1"/>
  <c r="BS997" i="5"/>
  <c r="BZ997" i="5" s="1"/>
  <c r="CA997" i="5" s="1"/>
  <c r="BS1129" i="5"/>
  <c r="BZ1129" i="5" s="1"/>
  <c r="CA1129" i="5" s="1"/>
  <c r="BS1273" i="5"/>
  <c r="BZ1273" i="5" s="1"/>
  <c r="CA1273" i="5" s="1"/>
  <c r="BS1417" i="5"/>
  <c r="BZ1417" i="5" s="1"/>
  <c r="CA1417" i="5" s="1"/>
  <c r="BS1573" i="5"/>
  <c r="BZ1573" i="5" s="1"/>
  <c r="CA1573" i="5" s="1"/>
  <c r="BS1717" i="5"/>
  <c r="BZ1717" i="5" s="1"/>
  <c r="CA1717" i="5" s="1"/>
  <c r="BS1861" i="5"/>
  <c r="BZ1861" i="5" s="1"/>
  <c r="CA1861" i="5" s="1"/>
  <c r="BS2053" i="5"/>
  <c r="BZ2053" i="5" s="1"/>
  <c r="CA2053" i="5" s="1"/>
  <c r="BS2257" i="5"/>
  <c r="BZ2257" i="5" s="1"/>
  <c r="CA2257" i="5" s="1"/>
  <c r="BS2527" i="5"/>
  <c r="BZ2527" i="5" s="1"/>
  <c r="CA2527" i="5" s="1"/>
  <c r="BS2613" i="5"/>
  <c r="BZ2613" i="5" s="1"/>
  <c r="CA2613" i="5" s="1"/>
  <c r="BS2683" i="5"/>
  <c r="BZ2683" i="5" s="1"/>
  <c r="CA2683" i="5" s="1"/>
  <c r="BS2472" i="5"/>
  <c r="BZ2472" i="5" s="1"/>
  <c r="CA2472" i="5" s="1"/>
  <c r="BS2302" i="5"/>
  <c r="BZ2302" i="5" s="1"/>
  <c r="CA2302" i="5" s="1"/>
  <c r="BS2122" i="5"/>
  <c r="BZ2122" i="5" s="1"/>
  <c r="CA2122" i="5" s="1"/>
  <c r="BS1850" i="5"/>
  <c r="BZ1850" i="5" s="1"/>
  <c r="CA1850" i="5" s="1"/>
  <c r="BS1632" i="5"/>
  <c r="BZ1632" i="5" s="1"/>
  <c r="CA1632" i="5" s="1"/>
  <c r="BS1416" i="5"/>
  <c r="BZ1416" i="5" s="1"/>
  <c r="CA1416" i="5" s="1"/>
  <c r="BS1068" i="5"/>
  <c r="BZ1068" i="5" s="1"/>
  <c r="CA1068" i="5" s="1"/>
  <c r="BS936" i="5"/>
  <c r="BZ936" i="5" s="1"/>
  <c r="CA936" i="5" s="1"/>
  <c r="BS789" i="5"/>
  <c r="BZ789" i="5" s="1"/>
  <c r="CA789" i="5" s="1"/>
  <c r="BS676" i="5"/>
  <c r="BZ676" i="5" s="1"/>
  <c r="CA676" i="5" s="1"/>
  <c r="BS589" i="5"/>
  <c r="BZ589" i="5" s="1"/>
  <c r="CA589" i="5" s="1"/>
  <c r="BS458" i="5"/>
  <c r="BZ458" i="5" s="1"/>
  <c r="CA458" i="5" s="1"/>
  <c r="BS340" i="5"/>
  <c r="BZ340" i="5" s="1"/>
  <c r="CA340" i="5" s="1"/>
  <c r="BS182" i="5"/>
  <c r="BZ182" i="5" s="1"/>
  <c r="CA182" i="5" s="1"/>
  <c r="BS2740" i="5"/>
  <c r="BZ2740" i="5" s="1"/>
  <c r="CA2740" i="5" s="1"/>
  <c r="BS2645" i="5"/>
  <c r="BZ2645" i="5" s="1"/>
  <c r="CA2645" i="5" s="1"/>
  <c r="BS2550" i="5"/>
  <c r="BZ2550" i="5" s="1"/>
  <c r="CA2550" i="5" s="1"/>
  <c r="BS721" i="5"/>
  <c r="BZ721" i="5" s="1"/>
  <c r="CA721" i="5" s="1"/>
  <c r="BS2445" i="5"/>
  <c r="BZ2445" i="5" s="1"/>
  <c r="CA2445" i="5" s="1"/>
  <c r="BS2384" i="5"/>
  <c r="BZ2384" i="5" s="1"/>
  <c r="CA2384" i="5" s="1"/>
  <c r="BS2325" i="5"/>
  <c r="BZ2325" i="5" s="1"/>
  <c r="CA2325" i="5" s="1"/>
  <c r="BS2276" i="5"/>
  <c r="BZ2276" i="5" s="1"/>
  <c r="CA2276" i="5" s="1"/>
  <c r="BS2205" i="5"/>
  <c r="BZ2205" i="5" s="1"/>
  <c r="CA2205" i="5" s="1"/>
  <c r="BS2145" i="5"/>
  <c r="BZ2145" i="5" s="1"/>
  <c r="CA2145" i="5" s="1"/>
  <c r="BS2096" i="5"/>
  <c r="BZ2096" i="5" s="1"/>
  <c r="CA2096" i="5" s="1"/>
  <c r="BS2031" i="5"/>
  <c r="BZ2031" i="5" s="1"/>
  <c r="CA2031" i="5" s="1"/>
  <c r="BS1964" i="5"/>
  <c r="BZ1964" i="5" s="1"/>
  <c r="CA1964" i="5" s="1"/>
  <c r="BS1904" i="5"/>
  <c r="BZ1904" i="5" s="1"/>
  <c r="CA1904" i="5" s="1"/>
  <c r="BS1845" i="5"/>
  <c r="BZ1845" i="5" s="1"/>
  <c r="CA1845" i="5" s="1"/>
  <c r="BS1796" i="5"/>
  <c r="BZ1796" i="5" s="1"/>
  <c r="CA1796" i="5" s="1"/>
  <c r="BS1736" i="5"/>
  <c r="BZ1736" i="5" s="1"/>
  <c r="CA1736" i="5" s="1"/>
  <c r="BS1687" i="5"/>
  <c r="BZ1687" i="5" s="1"/>
  <c r="CA1687" i="5" s="1"/>
  <c r="BS1629" i="5"/>
  <c r="BZ1629" i="5" s="1"/>
  <c r="CA1629" i="5" s="1"/>
  <c r="BS1592" i="5"/>
  <c r="BZ1592" i="5" s="1"/>
  <c r="CA1592" i="5" s="1"/>
  <c r="BS1545" i="5"/>
  <c r="BZ1545" i="5" s="1"/>
  <c r="CA1545" i="5" s="1"/>
  <c r="BS1497" i="5"/>
  <c r="BZ1497" i="5" s="1"/>
  <c r="CA1497" i="5" s="1"/>
  <c r="BS1459" i="5"/>
  <c r="BZ1459" i="5" s="1"/>
  <c r="CA1459" i="5" s="1"/>
  <c r="BS1401" i="5"/>
  <c r="BZ1401" i="5" s="1"/>
  <c r="CA1401" i="5" s="1"/>
  <c r="BS1359" i="5"/>
  <c r="BZ1359" i="5" s="1"/>
  <c r="CA1359" i="5" s="1"/>
  <c r="BS1292" i="5"/>
  <c r="BZ1292" i="5" s="1"/>
  <c r="CA1292" i="5" s="1"/>
  <c r="BS1244" i="5"/>
  <c r="BZ1244" i="5" s="1"/>
  <c r="CA1244" i="5" s="1"/>
  <c r="BS1184" i="5"/>
  <c r="BZ1184" i="5" s="1"/>
  <c r="CA1184" i="5" s="1"/>
  <c r="BS1124" i="5"/>
  <c r="BZ1124" i="5" s="1"/>
  <c r="CA1124" i="5" s="1"/>
  <c r="BS1065" i="5"/>
  <c r="BZ1065" i="5" s="1"/>
  <c r="CA1065" i="5" s="1"/>
  <c r="BS1028" i="5"/>
  <c r="BZ1028" i="5" s="1"/>
  <c r="CA1028" i="5" s="1"/>
  <c r="BS981" i="5"/>
  <c r="BZ981" i="5" s="1"/>
  <c r="CA981" i="5" s="1"/>
  <c r="BS943" i="5"/>
  <c r="BZ943" i="5" s="1"/>
  <c r="CA943" i="5" s="1"/>
  <c r="BS897" i="5"/>
  <c r="BZ897" i="5" s="1"/>
  <c r="CA897" i="5" s="1"/>
  <c r="BS855" i="5"/>
  <c r="BZ855" i="5" s="1"/>
  <c r="CA855" i="5" s="1"/>
  <c r="BS813" i="5"/>
  <c r="BZ813" i="5" s="1"/>
  <c r="CA813" i="5" s="1"/>
  <c r="BS765" i="5"/>
  <c r="BZ765" i="5" s="1"/>
  <c r="CA765" i="5" s="1"/>
  <c r="BS728" i="5"/>
  <c r="BZ728" i="5" s="1"/>
  <c r="CA728" i="5" s="1"/>
  <c r="BS691" i="5"/>
  <c r="BZ691" i="5" s="1"/>
  <c r="CA691" i="5" s="1"/>
  <c r="BS655" i="5"/>
  <c r="BZ655" i="5" s="1"/>
  <c r="CA655" i="5" s="1"/>
  <c r="BS616" i="5"/>
  <c r="BZ616" i="5" s="1"/>
  <c r="CA616" i="5" s="1"/>
  <c r="BS579" i="5"/>
  <c r="BZ579" i="5" s="1"/>
  <c r="CA579" i="5" s="1"/>
  <c r="BS543" i="5"/>
  <c r="BZ543" i="5" s="1"/>
  <c r="CA543" i="5" s="1"/>
  <c r="BS507" i="5"/>
  <c r="BZ507" i="5" s="1"/>
  <c r="CA507" i="5" s="1"/>
  <c r="BS476" i="5"/>
  <c r="BZ476" i="5" s="1"/>
  <c r="CA476" i="5" s="1"/>
  <c r="BS441" i="5"/>
  <c r="BZ441" i="5" s="1"/>
  <c r="CA441" i="5" s="1"/>
  <c r="BS411" i="5"/>
  <c r="BZ411" i="5" s="1"/>
  <c r="CA411" i="5" s="1"/>
  <c r="BS379" i="5"/>
  <c r="BZ379" i="5" s="1"/>
  <c r="CA379" i="5" s="1"/>
  <c r="BS344" i="5"/>
  <c r="BZ344" i="5" s="1"/>
  <c r="CA344" i="5" s="1"/>
  <c r="BS308" i="5"/>
  <c r="BZ308" i="5" s="1"/>
  <c r="CA308" i="5" s="1"/>
  <c r="BS268" i="5"/>
  <c r="BZ268" i="5" s="1"/>
  <c r="CA268" i="5" s="1"/>
  <c r="BS241" i="5"/>
  <c r="BZ241" i="5" s="1"/>
  <c r="CA241" i="5" s="1"/>
  <c r="BS225" i="5"/>
  <c r="BZ225" i="5" s="1"/>
  <c r="CA225" i="5" s="1"/>
  <c r="BS209" i="5"/>
  <c r="BZ209" i="5" s="1"/>
  <c r="CA209" i="5" s="1"/>
  <c r="BS191" i="5"/>
  <c r="BZ191" i="5" s="1"/>
  <c r="CA191" i="5" s="1"/>
  <c r="BS170" i="5"/>
  <c r="BZ170" i="5" s="1"/>
  <c r="CA170" i="5" s="1"/>
  <c r="BS155" i="5"/>
  <c r="BZ155" i="5" s="1"/>
  <c r="CA155" i="5" s="1"/>
  <c r="BS140" i="5"/>
  <c r="BZ140" i="5" s="1"/>
  <c r="CA140" i="5" s="1"/>
  <c r="BS120" i="5"/>
  <c r="BZ120" i="5" s="1"/>
  <c r="CA120" i="5" s="1"/>
  <c r="BS103" i="5"/>
  <c r="BZ103" i="5" s="1"/>
  <c r="CA103" i="5" s="1"/>
  <c r="BS84" i="5"/>
  <c r="BZ84" i="5" s="1"/>
  <c r="CA84" i="5" s="1"/>
  <c r="BS69" i="5"/>
  <c r="BZ69" i="5" s="1"/>
  <c r="CA69" i="5" s="1"/>
  <c r="BS52" i="5"/>
  <c r="BZ52" i="5" s="1"/>
  <c r="CA52" i="5" s="1"/>
  <c r="BS36" i="5"/>
  <c r="BZ36" i="5" s="1"/>
  <c r="CA36" i="5" s="1"/>
  <c r="BS20" i="5"/>
  <c r="BZ20" i="5" s="1"/>
  <c r="CA20" i="5" s="1"/>
  <c r="BS2737" i="5"/>
  <c r="BZ2737" i="5" s="1"/>
  <c r="CA2737" i="5" s="1"/>
  <c r="BS2689" i="5"/>
  <c r="BZ2689" i="5" s="1"/>
  <c r="CA2689" i="5" s="1"/>
  <c r="BS2637" i="5"/>
  <c r="BZ2637" i="5" s="1"/>
  <c r="CA2637" i="5" s="1"/>
  <c r="BS2588" i="5"/>
  <c r="BZ2588" i="5" s="1"/>
  <c r="CA2588" i="5" s="1"/>
  <c r="BS2540" i="5"/>
  <c r="BZ2540" i="5" s="1"/>
  <c r="CA2540" i="5" s="1"/>
  <c r="BS2471" i="5"/>
  <c r="BZ2471" i="5" s="1"/>
  <c r="CA2471" i="5" s="1"/>
  <c r="BS2440" i="5"/>
  <c r="BZ2440" i="5" s="1"/>
  <c r="CA2440" i="5" s="1"/>
  <c r="BS2404" i="5"/>
  <c r="BZ2404" i="5" s="1"/>
  <c r="CA2404" i="5" s="1"/>
  <c r="BS2375" i="5"/>
  <c r="BZ2375" i="5" s="1"/>
  <c r="CA2375" i="5" s="1"/>
  <c r="BS2340" i="5"/>
  <c r="BZ2340" i="5" s="1"/>
  <c r="CA2340" i="5" s="1"/>
  <c r="BS2304" i="5"/>
  <c r="BZ2304" i="5" s="1"/>
  <c r="CA2304" i="5" s="1"/>
  <c r="BS2262" i="5"/>
  <c r="BZ2262" i="5" s="1"/>
  <c r="CA2262" i="5" s="1"/>
  <c r="BS2231" i="5"/>
  <c r="BZ2231" i="5" s="1"/>
  <c r="CA2231" i="5" s="1"/>
  <c r="BS2195" i="5"/>
  <c r="BZ2195" i="5" s="1"/>
  <c r="CA2195" i="5" s="1"/>
  <c r="BS2152" i="5"/>
  <c r="BZ2152" i="5" s="1"/>
  <c r="CA2152" i="5" s="1"/>
  <c r="BS2117" i="5"/>
  <c r="BZ2117" i="5" s="1"/>
  <c r="CA2117" i="5" s="1"/>
  <c r="BS2082" i="5"/>
  <c r="BZ2082" i="5" s="1"/>
  <c r="CA2082" i="5" s="1"/>
  <c r="BS2045" i="5"/>
  <c r="BZ2045" i="5" s="1"/>
  <c r="CA2045" i="5" s="1"/>
  <c r="BS2010" i="5"/>
  <c r="BZ2010" i="5" s="1"/>
  <c r="CA2010" i="5" s="1"/>
  <c r="BS1972" i="5"/>
  <c r="BZ1972" i="5" s="1"/>
  <c r="CA1972" i="5" s="1"/>
  <c r="BS1943" i="5"/>
  <c r="BZ1943" i="5" s="1"/>
  <c r="CA1943" i="5" s="1"/>
  <c r="BS1913" i="5"/>
  <c r="BZ1913" i="5" s="1"/>
  <c r="CA1913" i="5" s="1"/>
  <c r="BS1878" i="5"/>
  <c r="BZ1878" i="5" s="1"/>
  <c r="CA1878" i="5" s="1"/>
  <c r="BS1842" i="5"/>
  <c r="BZ1842" i="5" s="1"/>
  <c r="CA1842" i="5" s="1"/>
  <c r="BS1810" i="5"/>
  <c r="BZ1810" i="5" s="1"/>
  <c r="CA1810" i="5" s="1"/>
  <c r="BS1775" i="5"/>
  <c r="BZ1775" i="5" s="1"/>
  <c r="CA1775" i="5" s="1"/>
  <c r="BS1745" i="5"/>
  <c r="BZ1745" i="5" s="1"/>
  <c r="CA1745" i="5" s="1"/>
  <c r="BS1715" i="5"/>
  <c r="BZ1715" i="5" s="1"/>
  <c r="CA1715" i="5" s="1"/>
  <c r="BS1679" i="5"/>
  <c r="BZ1679" i="5" s="1"/>
  <c r="CA1679" i="5" s="1"/>
  <c r="BS1643" i="5"/>
  <c r="BZ1643" i="5" s="1"/>
  <c r="CA1643" i="5" s="1"/>
  <c r="BS1606" i="5"/>
  <c r="BZ1606" i="5" s="1"/>
  <c r="CA1606" i="5" s="1"/>
  <c r="BS1570" i="5"/>
  <c r="BZ1570" i="5" s="1"/>
  <c r="CA1570" i="5" s="1"/>
  <c r="BS1534" i="5"/>
  <c r="BZ1534" i="5" s="1"/>
  <c r="CA1534" i="5" s="1"/>
  <c r="BS1498" i="5"/>
  <c r="BZ1498" i="5" s="1"/>
  <c r="CA1498" i="5" s="1"/>
  <c r="BS1469" i="5"/>
  <c r="BZ1469" i="5" s="1"/>
  <c r="CA1469" i="5" s="1"/>
  <c r="BS1428" i="5"/>
  <c r="BZ1428" i="5" s="1"/>
  <c r="CA1428" i="5" s="1"/>
  <c r="BS1392" i="5"/>
  <c r="BZ1392" i="5" s="1"/>
  <c r="CA1392" i="5" s="1"/>
  <c r="BS1356" i="5"/>
  <c r="BZ1356" i="5" s="1"/>
  <c r="CA1356" i="5" s="1"/>
  <c r="BS1313" i="5"/>
  <c r="BZ1313" i="5" s="1"/>
  <c r="CA1313" i="5" s="1"/>
  <c r="BS1276" i="5"/>
  <c r="BZ1276" i="5" s="1"/>
  <c r="CA1276" i="5" s="1"/>
  <c r="BS1236" i="5"/>
  <c r="BZ1236" i="5" s="1"/>
  <c r="CA1236" i="5" s="1"/>
  <c r="BS1200" i="5"/>
  <c r="BZ1200" i="5" s="1"/>
  <c r="CA1200" i="5" s="1"/>
  <c r="BS1164" i="5"/>
  <c r="BZ1164" i="5" s="1"/>
  <c r="CA1164" i="5" s="1"/>
  <c r="BS1134" i="5"/>
  <c r="BZ1134" i="5" s="1"/>
  <c r="CA1134" i="5" s="1"/>
  <c r="BS1098" i="5"/>
  <c r="BZ1098" i="5" s="1"/>
  <c r="CA1098" i="5" s="1"/>
  <c r="BS1043" i="5"/>
  <c r="BZ1043" i="5" s="1"/>
  <c r="CA1043" i="5" s="1"/>
  <c r="BS989" i="5"/>
  <c r="BZ989" i="5" s="1"/>
  <c r="CA989" i="5" s="1"/>
  <c r="BS947" i="5"/>
  <c r="BZ947" i="5" s="1"/>
  <c r="CA947" i="5" s="1"/>
  <c r="BS906" i="5"/>
  <c r="BZ906" i="5" s="1"/>
  <c r="CA906" i="5" s="1"/>
  <c r="BS864" i="5"/>
  <c r="BZ864" i="5" s="1"/>
  <c r="CA864" i="5" s="1"/>
  <c r="BS822" i="5"/>
  <c r="BZ822" i="5" s="1"/>
  <c r="CA822" i="5" s="1"/>
  <c r="BS778" i="5"/>
  <c r="BZ778" i="5" s="1"/>
  <c r="CA778" i="5" s="1"/>
  <c r="BS726" i="5"/>
  <c r="BZ726" i="5" s="1"/>
  <c r="CA726" i="5" s="1"/>
  <c r="BS678" i="5"/>
  <c r="BZ678" i="5" s="1"/>
  <c r="CA678" i="5" s="1"/>
  <c r="BS624" i="5"/>
  <c r="BZ624" i="5" s="1"/>
  <c r="CA624" i="5" s="1"/>
  <c r="BS575" i="5"/>
  <c r="BZ575" i="5" s="1"/>
  <c r="CA575" i="5" s="1"/>
  <c r="BS538" i="5"/>
  <c r="BZ538" i="5" s="1"/>
  <c r="CA538" i="5" s="1"/>
  <c r="BS480" i="5"/>
  <c r="BZ480" i="5" s="1"/>
  <c r="CA480" i="5" s="1"/>
  <c r="BS414" i="5"/>
  <c r="BZ414" i="5" s="1"/>
  <c r="CA414" i="5" s="1"/>
  <c r="BS366" i="5"/>
  <c r="BZ366" i="5" s="1"/>
  <c r="CA366" i="5" s="1"/>
  <c r="BS299" i="5"/>
  <c r="BZ299" i="5" s="1"/>
  <c r="CA299" i="5" s="1"/>
  <c r="BS226" i="5"/>
  <c r="BZ226" i="5" s="1"/>
  <c r="CA226" i="5" s="1"/>
  <c r="BS54" i="5"/>
  <c r="BZ54" i="5" s="1"/>
  <c r="CA54" i="5" s="1"/>
  <c r="BS2736" i="5"/>
  <c r="BZ2736" i="5" s="1"/>
  <c r="CA2736" i="5" s="1"/>
  <c r="BS2675" i="5"/>
  <c r="BZ2675" i="5" s="1"/>
  <c r="CA2675" i="5" s="1"/>
  <c r="BS2627" i="5"/>
  <c r="BZ2627" i="5" s="1"/>
  <c r="CA2627" i="5" s="1"/>
  <c r="BS2574" i="5"/>
  <c r="BZ2574" i="5" s="1"/>
  <c r="CA2574" i="5" s="1"/>
  <c r="BS2518" i="5"/>
  <c r="BZ2518" i="5" s="1"/>
  <c r="CA2518" i="5" s="1"/>
  <c r="BS43" i="5"/>
  <c r="BZ43" i="5" s="1"/>
  <c r="CA43" i="5" s="1"/>
  <c r="BS187" i="5"/>
  <c r="BZ187" i="5" s="1"/>
  <c r="CA187" i="5" s="1"/>
  <c r="BS295" i="5"/>
  <c r="BZ295" i="5" s="1"/>
  <c r="CA295" i="5" s="1"/>
  <c r="BS382" i="5"/>
  <c r="BZ382" i="5" s="1"/>
  <c r="CA382" i="5" s="1"/>
  <c r="BS491" i="5"/>
  <c r="BZ491" i="5" s="1"/>
  <c r="CA491" i="5" s="1"/>
  <c r="BS629" i="5"/>
  <c r="BZ629" i="5" s="1"/>
  <c r="CA629" i="5" s="1"/>
  <c r="BS747" i="5"/>
  <c r="BZ747" i="5" s="1"/>
  <c r="CA747" i="5" s="1"/>
  <c r="BS832" i="5"/>
  <c r="BZ832" i="5" s="1"/>
  <c r="CA832" i="5" s="1"/>
  <c r="BS898" i="5"/>
  <c r="BZ898" i="5" s="1"/>
  <c r="CA898" i="5" s="1"/>
  <c r="BS1003" i="5"/>
  <c r="BZ1003" i="5" s="1"/>
  <c r="CA1003" i="5" s="1"/>
  <c r="BS1071" i="5"/>
  <c r="BZ1071" i="5" s="1"/>
  <c r="CA1071" i="5" s="1"/>
  <c r="BS1133" i="5"/>
  <c r="BZ1133" i="5" s="1"/>
  <c r="CA1133" i="5" s="1"/>
  <c r="BS1207" i="5"/>
  <c r="BZ1207" i="5" s="1"/>
  <c r="CA1207" i="5" s="1"/>
  <c r="BS1299" i="5"/>
  <c r="BZ1299" i="5" s="1"/>
  <c r="CA1299" i="5" s="1"/>
  <c r="BS1375" i="5"/>
  <c r="BZ1375" i="5" s="1"/>
  <c r="CA1375" i="5" s="1"/>
  <c r="BS1499" i="5"/>
  <c r="BZ1499" i="5" s="1"/>
  <c r="CA1499" i="5" s="1"/>
  <c r="BS1627" i="5"/>
  <c r="BZ1627" i="5" s="1"/>
  <c r="CA1627" i="5" s="1"/>
  <c r="BS1711" i="5"/>
  <c r="BZ1711" i="5" s="1"/>
  <c r="CA1711" i="5" s="1"/>
  <c r="BS1803" i="5"/>
  <c r="BZ1803" i="5" s="1"/>
  <c r="CA1803" i="5" s="1"/>
  <c r="BS1879" i="5"/>
  <c r="BZ1879" i="5" s="1"/>
  <c r="CA1879" i="5" s="1"/>
  <c r="BS1951" i="5"/>
  <c r="BZ1951" i="5" s="1"/>
  <c r="CA1951" i="5" s="1"/>
  <c r="BS2035" i="5"/>
  <c r="BZ2035" i="5" s="1"/>
  <c r="CA2035" i="5" s="1"/>
  <c r="BS2107" i="5"/>
  <c r="BZ2107" i="5" s="1"/>
  <c r="CA2107" i="5" s="1"/>
  <c r="BS2199" i="5"/>
  <c r="BZ2199" i="5" s="1"/>
  <c r="CA2199" i="5" s="1"/>
  <c r="BS2307" i="5"/>
  <c r="BZ2307" i="5" s="1"/>
  <c r="CA2307" i="5" s="1"/>
  <c r="BS2403" i="5"/>
  <c r="BZ2403" i="5" s="1"/>
  <c r="CA2403" i="5" s="1"/>
  <c r="BS2479" i="5"/>
  <c r="BZ2479" i="5" s="1"/>
  <c r="CA2479" i="5" s="1"/>
  <c r="BS2668" i="5"/>
  <c r="BZ2668" i="5" s="1"/>
  <c r="CA2668" i="5" s="1"/>
  <c r="BS2474" i="5"/>
  <c r="BZ2474" i="5" s="1"/>
  <c r="CA2474" i="5" s="1"/>
  <c r="BS2418" i="5"/>
  <c r="BZ2418" i="5" s="1"/>
  <c r="CA2418" i="5" s="1"/>
  <c r="BS2358" i="5"/>
  <c r="BZ2358" i="5" s="1"/>
  <c r="CA2358" i="5" s="1"/>
  <c r="BS2294" i="5"/>
  <c r="BZ2294" i="5" s="1"/>
  <c r="CA2294" i="5" s="1"/>
  <c r="BS2237" i="5"/>
  <c r="BZ2237" i="5" s="1"/>
  <c r="CA2237" i="5" s="1"/>
  <c r="BS2190" i="5"/>
  <c r="BZ2190" i="5" s="1"/>
  <c r="CA2190" i="5" s="1"/>
  <c r="BS2140" i="5"/>
  <c r="BZ2140" i="5" s="1"/>
  <c r="CA2140" i="5" s="1"/>
  <c r="BS2090" i="5"/>
  <c r="BZ2090" i="5" s="1"/>
  <c r="CA2090" i="5" s="1"/>
  <c r="BS2030" i="5"/>
  <c r="BZ2030" i="5" s="1"/>
  <c r="CA2030" i="5" s="1"/>
  <c r="BS1982" i="5"/>
  <c r="BZ1982" i="5" s="1"/>
  <c r="CA1982" i="5" s="1"/>
  <c r="BS1890" i="5"/>
  <c r="BZ1890" i="5" s="1"/>
  <c r="CA1890" i="5" s="1"/>
  <c r="BS1804" i="5"/>
  <c r="BZ1804" i="5" s="1"/>
  <c r="CA1804" i="5" s="1"/>
  <c r="BS1730" i="5"/>
  <c r="BZ1730" i="5" s="1"/>
  <c r="CA1730" i="5" s="1"/>
  <c r="BS1638" i="5"/>
  <c r="BZ1638" i="5" s="1"/>
  <c r="CA1638" i="5" s="1"/>
  <c r="BS1576" i="5"/>
  <c r="BZ1576" i="5" s="1"/>
  <c r="CA1576" i="5" s="1"/>
  <c r="BS1511" i="5"/>
  <c r="BZ1511" i="5" s="1"/>
  <c r="CA1511" i="5" s="1"/>
  <c r="BS1430" i="5"/>
  <c r="BZ1430" i="5" s="1"/>
  <c r="CA1430" i="5" s="1"/>
  <c r="BS1358" i="5"/>
  <c r="BZ1358" i="5" s="1"/>
  <c r="CA1358" i="5" s="1"/>
  <c r="BS1303" i="5"/>
  <c r="BZ1303" i="5" s="1"/>
  <c r="CA1303" i="5" s="1"/>
  <c r="BS1252" i="5"/>
  <c r="BZ1252" i="5" s="1"/>
  <c r="CA1252" i="5" s="1"/>
  <c r="BS1204" i="5"/>
  <c r="BZ1204" i="5" s="1"/>
  <c r="CA1204" i="5" s="1"/>
  <c r="BS1130" i="5"/>
  <c r="BZ1130" i="5" s="1"/>
  <c r="CA1130" i="5" s="1"/>
  <c r="BS1062" i="5"/>
  <c r="BZ1062" i="5" s="1"/>
  <c r="CA1062" i="5" s="1"/>
  <c r="BS995" i="5"/>
  <c r="BZ995" i="5" s="1"/>
  <c r="CA995" i="5" s="1"/>
  <c r="BS846" i="5"/>
  <c r="BZ846" i="5" s="1"/>
  <c r="CA846" i="5" s="1"/>
  <c r="BS748" i="5"/>
  <c r="BZ748" i="5" s="1"/>
  <c r="CA748" i="5" s="1"/>
  <c r="BS623" i="5"/>
  <c r="BZ623" i="5" s="1"/>
  <c r="CA623" i="5" s="1"/>
  <c r="BS471" i="5"/>
  <c r="BZ471" i="5" s="1"/>
  <c r="CA471" i="5" s="1"/>
  <c r="BS375" i="5"/>
  <c r="BZ375" i="5" s="1"/>
  <c r="CA375" i="5" s="1"/>
  <c r="BS207" i="5"/>
  <c r="BZ207" i="5" s="1"/>
  <c r="CA207" i="5" s="1"/>
  <c r="BS365" i="5"/>
  <c r="BZ365" i="5" s="1"/>
  <c r="CA365" i="5" s="1"/>
  <c r="BS677" i="5"/>
  <c r="BZ677" i="5" s="1"/>
  <c r="CA677" i="5" s="1"/>
  <c r="BS2563" i="5"/>
  <c r="BZ2563" i="5" s="1"/>
  <c r="CA2563" i="5" s="1"/>
  <c r="BS2707" i="5"/>
  <c r="BZ2707" i="5" s="1"/>
  <c r="CA2707" i="5" s="1"/>
  <c r="BS174" i="5"/>
  <c r="BZ174" i="5" s="1"/>
  <c r="CA174" i="5" s="1"/>
  <c r="BS338" i="5"/>
  <c r="BZ338" i="5" s="1"/>
  <c r="CA338" i="5" s="1"/>
  <c r="BS481" i="5"/>
  <c r="BZ481" i="5" s="1"/>
  <c r="CA481" i="5" s="1"/>
  <c r="BS613" i="5"/>
  <c r="BZ613" i="5" s="1"/>
  <c r="CA613" i="5" s="1"/>
  <c r="BS781" i="5"/>
  <c r="BZ781" i="5" s="1"/>
  <c r="CA781" i="5" s="1"/>
  <c r="BS901" i="5"/>
  <c r="BZ901" i="5" s="1"/>
  <c r="CA901" i="5" s="1"/>
  <c r="BS1009" i="5"/>
  <c r="BZ1009" i="5" s="1"/>
  <c r="CA1009" i="5" s="1"/>
  <c r="BS1141" i="5"/>
  <c r="BZ1141" i="5" s="1"/>
  <c r="CA1141" i="5" s="1"/>
  <c r="BS1285" i="5"/>
  <c r="BZ1285" i="5" s="1"/>
  <c r="CA1285" i="5" s="1"/>
  <c r="BS1429" i="5"/>
  <c r="BZ1429" i="5" s="1"/>
  <c r="CA1429" i="5" s="1"/>
  <c r="BS1585" i="5"/>
  <c r="BZ1585" i="5" s="1"/>
  <c r="CA1585" i="5" s="1"/>
  <c r="BS1729" i="5"/>
  <c r="BZ1729" i="5" s="1"/>
  <c r="CA1729" i="5" s="1"/>
  <c r="BS1885" i="5"/>
  <c r="BZ1885" i="5" s="1"/>
  <c r="CA1885" i="5" s="1"/>
  <c r="BS2065" i="5"/>
  <c r="BZ2065" i="5" s="1"/>
  <c r="CA2065" i="5" s="1"/>
  <c r="BS2269" i="5"/>
  <c r="BZ2269" i="5" s="1"/>
  <c r="CA2269" i="5" s="1"/>
  <c r="BS2539" i="5"/>
  <c r="BZ2539" i="5" s="1"/>
  <c r="CA2539" i="5" s="1"/>
  <c r="BS2623" i="5"/>
  <c r="BZ2623" i="5" s="1"/>
  <c r="CA2623" i="5" s="1"/>
  <c r="BS2695" i="5"/>
  <c r="BZ2695" i="5" s="1"/>
  <c r="CA2695" i="5" s="1"/>
  <c r="BS2461" i="5"/>
  <c r="BZ2461" i="5" s="1"/>
  <c r="CA2461" i="5" s="1"/>
  <c r="BS2292" i="5"/>
  <c r="BZ2292" i="5" s="1"/>
  <c r="CA2292" i="5" s="1"/>
  <c r="BS2064" i="5"/>
  <c r="BZ2064" i="5" s="1"/>
  <c r="CA2064" i="5" s="1"/>
  <c r="BS1834" i="5"/>
  <c r="BZ1834" i="5" s="1"/>
  <c r="CA1834" i="5" s="1"/>
  <c r="BS1596" i="5"/>
  <c r="BZ1596" i="5" s="1"/>
  <c r="CA1596" i="5" s="1"/>
  <c r="BS1414" i="5"/>
  <c r="BZ1414" i="5" s="1"/>
  <c r="CA1414" i="5" s="1"/>
  <c r="BS1056" i="5"/>
  <c r="BZ1056" i="5" s="1"/>
  <c r="CA1056" i="5" s="1"/>
  <c r="BS934" i="5"/>
  <c r="BZ934" i="5" s="1"/>
  <c r="CA934" i="5" s="1"/>
  <c r="BS768" i="5"/>
  <c r="BZ768" i="5" s="1"/>
  <c r="CA768" i="5" s="1"/>
  <c r="BS673" i="5"/>
  <c r="BZ673" i="5" s="1"/>
  <c r="CA673" i="5" s="1"/>
  <c r="BS577" i="5"/>
  <c r="BZ577" i="5" s="1"/>
  <c r="CA577" i="5" s="1"/>
  <c r="BS457" i="5"/>
  <c r="BZ457" i="5" s="1"/>
  <c r="CA457" i="5" s="1"/>
  <c r="BS326" i="5"/>
  <c r="BZ326" i="5" s="1"/>
  <c r="CA326" i="5" s="1"/>
  <c r="BS172" i="5"/>
  <c r="BZ172" i="5" s="1"/>
  <c r="CA172" i="5" s="1"/>
  <c r="BS2729" i="5"/>
  <c r="BZ2729" i="5" s="1"/>
  <c r="CA2729" i="5" s="1"/>
  <c r="BS2644" i="5"/>
  <c r="BZ2644" i="5" s="1"/>
  <c r="CA2644" i="5" s="1"/>
  <c r="BS2549" i="5"/>
  <c r="BZ2549" i="5" s="1"/>
  <c r="CA2549" i="5" s="1"/>
  <c r="BS902" i="5"/>
  <c r="BZ902" i="5" s="1"/>
  <c r="CA902" i="5" s="1"/>
  <c r="BS2444" i="5"/>
  <c r="BZ2444" i="5" s="1"/>
  <c r="CA2444" i="5" s="1"/>
  <c r="BS2379" i="5"/>
  <c r="BZ2379" i="5" s="1"/>
  <c r="CA2379" i="5" s="1"/>
  <c r="BS2324" i="5"/>
  <c r="BZ2324" i="5" s="1"/>
  <c r="CA2324" i="5" s="1"/>
  <c r="BS2265" i="5"/>
  <c r="BZ2265" i="5" s="1"/>
  <c r="CA2265" i="5" s="1"/>
  <c r="BS2204" i="5"/>
  <c r="BZ2204" i="5" s="1"/>
  <c r="CA2204" i="5" s="1"/>
  <c r="BS2144" i="5"/>
  <c r="BZ2144" i="5" s="1"/>
  <c r="CA2144" i="5" s="1"/>
  <c r="BS2091" i="5"/>
  <c r="BZ2091" i="5" s="1"/>
  <c r="CA2091" i="5" s="1"/>
  <c r="BS2025" i="5"/>
  <c r="BZ2025" i="5" s="1"/>
  <c r="CA2025" i="5" s="1"/>
  <c r="BS1959" i="5"/>
  <c r="BZ1959" i="5" s="1"/>
  <c r="CA1959" i="5" s="1"/>
  <c r="BS1893" i="5"/>
  <c r="BZ1893" i="5" s="1"/>
  <c r="CA1893" i="5" s="1"/>
  <c r="BS1844" i="5"/>
  <c r="BZ1844" i="5" s="1"/>
  <c r="CA1844" i="5" s="1"/>
  <c r="BS1791" i="5"/>
  <c r="BZ1791" i="5" s="1"/>
  <c r="CA1791" i="5" s="1"/>
  <c r="BS1735" i="5"/>
  <c r="BZ1735" i="5" s="1"/>
  <c r="CA1735" i="5" s="1"/>
  <c r="BS1677" i="5"/>
  <c r="BZ1677" i="5" s="1"/>
  <c r="CA1677" i="5" s="1"/>
  <c r="BS1628" i="5"/>
  <c r="BZ1628" i="5" s="1"/>
  <c r="CA1628" i="5" s="1"/>
  <c r="BS1581" i="5"/>
  <c r="BZ1581" i="5" s="1"/>
  <c r="CA1581" i="5" s="1"/>
  <c r="BS1544" i="5"/>
  <c r="BZ1544" i="5" s="1"/>
  <c r="CA1544" i="5" s="1"/>
  <c r="BS1496" i="5"/>
  <c r="BZ1496" i="5" s="1"/>
  <c r="CA1496" i="5" s="1"/>
  <c r="BS1449" i="5"/>
  <c r="BZ1449" i="5" s="1"/>
  <c r="CA1449" i="5" s="1"/>
  <c r="BS1400" i="5"/>
  <c r="BZ1400" i="5" s="1"/>
  <c r="CA1400" i="5" s="1"/>
  <c r="BS1353" i="5"/>
  <c r="BZ1353" i="5" s="1"/>
  <c r="CA1353" i="5" s="1"/>
  <c r="BS1281" i="5"/>
  <c r="BZ1281" i="5" s="1"/>
  <c r="CA1281" i="5" s="1"/>
  <c r="BS1233" i="5"/>
  <c r="BZ1233" i="5" s="1"/>
  <c r="CA1233" i="5" s="1"/>
  <c r="BS1176" i="5"/>
  <c r="BZ1176" i="5" s="1"/>
  <c r="CA1176" i="5" s="1"/>
  <c r="BS1113" i="5"/>
  <c r="BZ1113" i="5" s="1"/>
  <c r="CA1113" i="5" s="1"/>
  <c r="BS1064" i="5"/>
  <c r="BZ1064" i="5" s="1"/>
  <c r="CA1064" i="5" s="1"/>
  <c r="BS1027" i="5"/>
  <c r="BZ1027" i="5" s="1"/>
  <c r="CA1027" i="5" s="1"/>
  <c r="BS980" i="5"/>
  <c r="BZ980" i="5" s="1"/>
  <c r="CA980" i="5" s="1"/>
  <c r="BS940" i="5"/>
  <c r="BZ940" i="5" s="1"/>
  <c r="CA940" i="5" s="1"/>
  <c r="BS896" i="5"/>
  <c r="BZ896" i="5" s="1"/>
  <c r="CA896" i="5" s="1"/>
  <c r="BS849" i="5"/>
  <c r="BZ849" i="5" s="1"/>
  <c r="CA849" i="5" s="1"/>
  <c r="BS812" i="5"/>
  <c r="BZ812" i="5" s="1"/>
  <c r="CA812" i="5" s="1"/>
  <c r="BS764" i="5"/>
  <c r="BZ764" i="5" s="1"/>
  <c r="CA764" i="5" s="1"/>
  <c r="BS727" i="5"/>
  <c r="BZ727" i="5" s="1"/>
  <c r="CA727" i="5" s="1"/>
  <c r="BS688" i="5"/>
  <c r="BZ688" i="5" s="1"/>
  <c r="CA688" i="5" s="1"/>
  <c r="BS652" i="5"/>
  <c r="BZ652" i="5" s="1"/>
  <c r="CA652" i="5" s="1"/>
  <c r="BS615" i="5"/>
  <c r="BZ615" i="5" s="1"/>
  <c r="CA615" i="5" s="1"/>
  <c r="BS574" i="5"/>
  <c r="BZ574" i="5" s="1"/>
  <c r="CA574" i="5" s="1"/>
  <c r="BS537" i="5"/>
  <c r="BZ537" i="5" s="1"/>
  <c r="CA537" i="5" s="1"/>
  <c r="BS501" i="5"/>
  <c r="BZ501" i="5" s="1"/>
  <c r="CA501" i="5" s="1"/>
  <c r="BS475" i="5"/>
  <c r="BZ475" i="5" s="1"/>
  <c r="CA475" i="5" s="1"/>
  <c r="BS440" i="5"/>
  <c r="BZ440" i="5" s="1"/>
  <c r="CA440" i="5" s="1"/>
  <c r="BS405" i="5"/>
  <c r="BZ405" i="5" s="1"/>
  <c r="CA405" i="5" s="1"/>
  <c r="BS376" i="5"/>
  <c r="BZ376" i="5" s="1"/>
  <c r="CA376" i="5" s="1"/>
  <c r="BS339" i="5"/>
  <c r="BZ339" i="5" s="1"/>
  <c r="CA339" i="5" s="1"/>
  <c r="BS307" i="5"/>
  <c r="BZ307" i="5" s="1"/>
  <c r="CA307" i="5" s="1"/>
  <c r="BS267" i="5"/>
  <c r="BZ267" i="5" s="1"/>
  <c r="CA267" i="5" s="1"/>
  <c r="BS240" i="5"/>
  <c r="BZ240" i="5" s="1"/>
  <c r="CA240" i="5" s="1"/>
  <c r="BS224" i="5"/>
  <c r="BZ224" i="5" s="1"/>
  <c r="CA224" i="5" s="1"/>
  <c r="BS205" i="5"/>
  <c r="BZ205" i="5" s="1"/>
  <c r="CA205" i="5" s="1"/>
  <c r="BS189" i="5"/>
  <c r="BZ189" i="5" s="1"/>
  <c r="CA189" i="5" s="1"/>
  <c r="BS169" i="5"/>
  <c r="BZ169" i="5" s="1"/>
  <c r="CA169" i="5" s="1"/>
  <c r="BS154" i="5"/>
  <c r="BZ154" i="5" s="1"/>
  <c r="CA154" i="5" s="1"/>
  <c r="BS137" i="5"/>
  <c r="BZ137" i="5" s="1"/>
  <c r="CA137" i="5" s="1"/>
  <c r="BS119" i="5"/>
  <c r="BZ119" i="5" s="1"/>
  <c r="CA119" i="5" s="1"/>
  <c r="BS101" i="5"/>
  <c r="BZ101" i="5" s="1"/>
  <c r="CA101" i="5" s="1"/>
  <c r="BS83" i="5"/>
  <c r="BZ83" i="5" s="1"/>
  <c r="CA83" i="5" s="1"/>
  <c r="BS68" i="5"/>
  <c r="BZ68" i="5" s="1"/>
  <c r="CA68" i="5" s="1"/>
  <c r="BS51" i="5"/>
  <c r="BZ51" i="5" s="1"/>
  <c r="CA51" i="5" s="1"/>
  <c r="BS35" i="5"/>
  <c r="BZ35" i="5" s="1"/>
  <c r="CA35" i="5" s="1"/>
  <c r="BS19" i="5"/>
  <c r="BZ19" i="5" s="1"/>
  <c r="CA19" i="5" s="1"/>
  <c r="BS2733" i="5"/>
  <c r="BZ2733" i="5" s="1"/>
  <c r="CA2733" i="5" s="1"/>
  <c r="BS2685" i="5"/>
  <c r="BZ2685" i="5" s="1"/>
  <c r="CA2685" i="5" s="1"/>
  <c r="BS2631" i="5"/>
  <c r="BZ2631" i="5" s="1"/>
  <c r="CA2631" i="5" s="1"/>
  <c r="BS2583" i="5"/>
  <c r="BZ2583" i="5" s="1"/>
  <c r="CA2583" i="5" s="1"/>
  <c r="BS2535" i="5"/>
  <c r="BZ2535" i="5" s="1"/>
  <c r="CA2535" i="5" s="1"/>
  <c r="BS2470" i="5"/>
  <c r="BZ2470" i="5" s="1"/>
  <c r="CA2470" i="5" s="1"/>
  <c r="BS2436" i="5"/>
  <c r="BZ2436" i="5" s="1"/>
  <c r="CA2436" i="5" s="1"/>
  <c r="BS2400" i="5"/>
  <c r="BZ2400" i="5" s="1"/>
  <c r="CA2400" i="5" s="1"/>
  <c r="BS2374" i="5"/>
  <c r="BZ2374" i="5" s="1"/>
  <c r="CA2374" i="5" s="1"/>
  <c r="BS2339" i="5"/>
  <c r="BZ2339" i="5" s="1"/>
  <c r="CA2339" i="5" s="1"/>
  <c r="BS2303" i="5"/>
  <c r="BZ2303" i="5" s="1"/>
  <c r="CA2303" i="5" s="1"/>
  <c r="BS2261" i="5"/>
  <c r="BZ2261" i="5" s="1"/>
  <c r="CA2261" i="5" s="1"/>
  <c r="BS2230" i="5"/>
  <c r="BZ2230" i="5" s="1"/>
  <c r="CA2230" i="5" s="1"/>
  <c r="BS2184" i="5"/>
  <c r="BZ2184" i="5" s="1"/>
  <c r="CA2184" i="5" s="1"/>
  <c r="BS2148" i="5"/>
  <c r="BZ2148" i="5" s="1"/>
  <c r="CA2148" i="5" s="1"/>
  <c r="BS2112" i="5"/>
  <c r="BZ2112" i="5" s="1"/>
  <c r="CA2112" i="5" s="1"/>
  <c r="BS2076" i="5"/>
  <c r="BZ2076" i="5" s="1"/>
  <c r="CA2076" i="5" s="1"/>
  <c r="BS2040" i="5"/>
  <c r="BZ2040" i="5" s="1"/>
  <c r="CA2040" i="5" s="1"/>
  <c r="BS2009" i="5"/>
  <c r="BZ2009" i="5" s="1"/>
  <c r="CA2009" i="5" s="1"/>
  <c r="BS1968" i="5"/>
  <c r="BZ1968" i="5" s="1"/>
  <c r="CA1968" i="5" s="1"/>
  <c r="BS1942" i="5"/>
  <c r="BZ1942" i="5" s="1"/>
  <c r="CA1942" i="5" s="1"/>
  <c r="BS1912" i="5"/>
  <c r="BZ1912" i="5" s="1"/>
  <c r="CA1912" i="5" s="1"/>
  <c r="BS1877" i="5"/>
  <c r="BZ1877" i="5" s="1"/>
  <c r="CA1877" i="5" s="1"/>
  <c r="BS1841" i="5"/>
  <c r="BZ1841" i="5" s="1"/>
  <c r="CA1841" i="5" s="1"/>
  <c r="BS1806" i="5"/>
  <c r="BZ1806" i="5" s="1"/>
  <c r="CA1806" i="5" s="1"/>
  <c r="BS1774" i="5"/>
  <c r="BZ1774" i="5" s="1"/>
  <c r="CA1774" i="5" s="1"/>
  <c r="BS1744" i="5"/>
  <c r="BZ1744" i="5" s="1"/>
  <c r="CA1744" i="5" s="1"/>
  <c r="BS1714" i="5"/>
  <c r="BZ1714" i="5" s="1"/>
  <c r="CA1714" i="5" s="1"/>
  <c r="BS1678" i="5"/>
  <c r="BZ1678" i="5" s="1"/>
  <c r="CA1678" i="5" s="1"/>
  <c r="BS1642" i="5"/>
  <c r="BZ1642" i="5" s="1"/>
  <c r="CA1642" i="5" s="1"/>
  <c r="BS1602" i="5"/>
  <c r="BZ1602" i="5" s="1"/>
  <c r="CA1602" i="5" s="1"/>
  <c r="BS1566" i="5"/>
  <c r="BZ1566" i="5" s="1"/>
  <c r="CA1566" i="5" s="1"/>
  <c r="BS1530" i="5"/>
  <c r="BZ1530" i="5" s="1"/>
  <c r="CA1530" i="5" s="1"/>
  <c r="BS1493" i="5"/>
  <c r="BZ1493" i="5" s="1"/>
  <c r="CA1493" i="5" s="1"/>
  <c r="BS1468" i="5"/>
  <c r="BZ1468" i="5" s="1"/>
  <c r="CA1468" i="5" s="1"/>
  <c r="BS1427" i="5"/>
  <c r="BZ1427" i="5" s="1"/>
  <c r="CA1427" i="5" s="1"/>
  <c r="BS1391" i="5"/>
  <c r="BZ1391" i="5" s="1"/>
  <c r="CA1391" i="5" s="1"/>
  <c r="BS1355" i="5"/>
  <c r="BZ1355" i="5" s="1"/>
  <c r="CA1355" i="5" s="1"/>
  <c r="BS1312" i="5"/>
  <c r="BZ1312" i="5" s="1"/>
  <c r="CA1312" i="5" s="1"/>
  <c r="BS1270" i="5"/>
  <c r="BZ1270" i="5" s="1"/>
  <c r="CA1270" i="5" s="1"/>
  <c r="BS1235" i="5"/>
  <c r="BZ1235" i="5" s="1"/>
  <c r="CA1235" i="5" s="1"/>
  <c r="BS1199" i="5"/>
  <c r="BZ1199" i="5" s="1"/>
  <c r="CA1199" i="5" s="1"/>
  <c r="BS1163" i="5"/>
  <c r="BZ1163" i="5" s="1"/>
  <c r="CA1163" i="5" s="1"/>
  <c r="BS1132" i="5"/>
  <c r="BZ1132" i="5" s="1"/>
  <c r="CA1132" i="5" s="1"/>
  <c r="BS1097" i="5"/>
  <c r="BZ1097" i="5" s="1"/>
  <c r="CA1097" i="5" s="1"/>
  <c r="BS1042" i="5"/>
  <c r="BZ1042" i="5" s="1"/>
  <c r="CA1042" i="5" s="1"/>
  <c r="BS984" i="5"/>
  <c r="BZ984" i="5" s="1"/>
  <c r="CA984" i="5" s="1"/>
  <c r="BS942" i="5"/>
  <c r="BZ942" i="5" s="1"/>
  <c r="CA942" i="5" s="1"/>
  <c r="BS905" i="5"/>
  <c r="BZ905" i="5" s="1"/>
  <c r="CA905" i="5" s="1"/>
  <c r="BS863" i="5"/>
  <c r="BZ863" i="5" s="1"/>
  <c r="CA863" i="5" s="1"/>
  <c r="BS821" i="5"/>
  <c r="BZ821" i="5" s="1"/>
  <c r="CA821" i="5" s="1"/>
  <c r="BS774" i="5"/>
  <c r="BZ774" i="5" s="1"/>
  <c r="CA774" i="5" s="1"/>
  <c r="BS720" i="5"/>
  <c r="BZ720" i="5" s="1"/>
  <c r="CA720" i="5" s="1"/>
  <c r="BS672" i="5"/>
  <c r="BZ672" i="5" s="1"/>
  <c r="CA672" i="5" s="1"/>
  <c r="BS622" i="5"/>
  <c r="BZ622" i="5" s="1"/>
  <c r="CA622" i="5" s="1"/>
  <c r="BS570" i="5"/>
  <c r="BZ570" i="5" s="1"/>
  <c r="CA570" i="5" s="1"/>
  <c r="BS533" i="5"/>
  <c r="BZ533" i="5" s="1"/>
  <c r="CA533" i="5" s="1"/>
  <c r="BS474" i="5"/>
  <c r="BZ474" i="5" s="1"/>
  <c r="CA474" i="5" s="1"/>
  <c r="BS408" i="5"/>
  <c r="BZ408" i="5" s="1"/>
  <c r="CA408" i="5" s="1"/>
  <c r="BS359" i="5"/>
  <c r="BZ359" i="5" s="1"/>
  <c r="CA359" i="5" s="1"/>
  <c r="BS298" i="5"/>
  <c r="BZ298" i="5" s="1"/>
  <c r="CA298" i="5" s="1"/>
  <c r="BS214" i="5"/>
  <c r="BZ214" i="5" s="1"/>
  <c r="CA214" i="5" s="1"/>
  <c r="BS46" i="5"/>
  <c r="BZ46" i="5" s="1"/>
  <c r="CA46" i="5" s="1"/>
  <c r="BS2735" i="5"/>
  <c r="BZ2735" i="5" s="1"/>
  <c r="CA2735" i="5" s="1"/>
  <c r="BS2674" i="5"/>
  <c r="BZ2674" i="5" s="1"/>
  <c r="CA2674" i="5" s="1"/>
  <c r="BS2626" i="5"/>
  <c r="BZ2626" i="5" s="1"/>
  <c r="CA2626" i="5" s="1"/>
  <c r="BS2568" i="5"/>
  <c r="BZ2568" i="5" s="1"/>
  <c r="CA2568" i="5" s="1"/>
  <c r="BS2514" i="5"/>
  <c r="BZ2514" i="5" s="1"/>
  <c r="CA2514" i="5" s="1"/>
  <c r="BS55" i="5"/>
  <c r="BZ55" i="5" s="1"/>
  <c r="CA55" i="5" s="1"/>
  <c r="BS199" i="5"/>
  <c r="BZ199" i="5" s="1"/>
  <c r="CA199" i="5" s="1"/>
  <c r="BS303" i="5"/>
  <c r="BZ303" i="5" s="1"/>
  <c r="CA303" i="5" s="1"/>
  <c r="BS387" i="5"/>
  <c r="BZ387" i="5" s="1"/>
  <c r="CA387" i="5" s="1"/>
  <c r="BS495" i="5"/>
  <c r="BZ495" i="5" s="1"/>
  <c r="CA495" i="5" s="1"/>
  <c r="BS635" i="5"/>
  <c r="BZ635" i="5" s="1"/>
  <c r="CA635" i="5" s="1"/>
  <c r="BS749" i="5"/>
  <c r="BZ749" i="5" s="1"/>
  <c r="CA749" i="5" s="1"/>
  <c r="BS833" i="5"/>
  <c r="BZ833" i="5" s="1"/>
  <c r="CA833" i="5" s="1"/>
  <c r="BS916" i="5"/>
  <c r="BZ916" i="5" s="1"/>
  <c r="CA916" i="5" s="1"/>
  <c r="BS1006" i="5"/>
  <c r="BZ1006" i="5" s="1"/>
  <c r="CA1006" i="5" s="1"/>
  <c r="BS1075" i="5"/>
  <c r="BZ1075" i="5" s="1"/>
  <c r="CA1075" i="5" s="1"/>
  <c r="BS1135" i="5"/>
  <c r="BZ1135" i="5" s="1"/>
  <c r="CA1135" i="5" s="1"/>
  <c r="BS1215" i="5"/>
  <c r="BZ1215" i="5" s="1"/>
  <c r="CA1215" i="5" s="1"/>
  <c r="BS1306" i="5"/>
  <c r="BZ1306" i="5" s="1"/>
  <c r="CA1306" i="5" s="1"/>
  <c r="BS1383" i="5"/>
  <c r="BZ1383" i="5" s="1"/>
  <c r="CA1383" i="5" s="1"/>
  <c r="BS1506" i="5"/>
  <c r="BZ1506" i="5" s="1"/>
  <c r="CA1506" i="5" s="1"/>
  <c r="BS1635" i="5"/>
  <c r="BZ1635" i="5" s="1"/>
  <c r="CA1635" i="5" s="1"/>
  <c r="BS1723" i="5"/>
  <c r="BZ1723" i="5" s="1"/>
  <c r="CA1723" i="5" s="1"/>
  <c r="BS1807" i="5"/>
  <c r="BZ1807" i="5" s="1"/>
  <c r="CA1807" i="5" s="1"/>
  <c r="BS1887" i="5"/>
  <c r="BZ1887" i="5" s="1"/>
  <c r="CA1887" i="5" s="1"/>
  <c r="BS1963" i="5"/>
  <c r="BZ1963" i="5" s="1"/>
  <c r="CA1963" i="5" s="1"/>
  <c r="BS2043" i="5"/>
  <c r="BZ2043" i="5" s="1"/>
  <c r="CA2043" i="5" s="1"/>
  <c r="BS2115" i="5"/>
  <c r="BZ2115" i="5" s="1"/>
  <c r="CA2115" i="5" s="1"/>
  <c r="BS2211" i="5"/>
  <c r="BZ2211" i="5" s="1"/>
  <c r="CA2211" i="5" s="1"/>
  <c r="BS2311" i="5"/>
  <c r="BZ2311" i="5" s="1"/>
  <c r="CA2311" i="5" s="1"/>
  <c r="BS2407" i="5"/>
  <c r="BZ2407" i="5" s="1"/>
  <c r="CA2407" i="5" s="1"/>
  <c r="BS2487" i="5"/>
  <c r="BZ2487" i="5" s="1"/>
  <c r="CA2487" i="5" s="1"/>
  <c r="BS2680" i="5"/>
  <c r="BZ2680" i="5" s="1"/>
  <c r="CA2680" i="5" s="1"/>
  <c r="BS2466" i="5"/>
  <c r="BZ2466" i="5" s="1"/>
  <c r="CA2466" i="5" s="1"/>
  <c r="BS2411" i="5"/>
  <c r="BZ2411" i="5" s="1"/>
  <c r="CA2411" i="5" s="1"/>
  <c r="BS2354" i="5"/>
  <c r="BZ2354" i="5" s="1"/>
  <c r="CA2354" i="5" s="1"/>
  <c r="BS2286" i="5"/>
  <c r="BZ2286" i="5" s="1"/>
  <c r="CA2286" i="5" s="1"/>
  <c r="BS2236" i="5"/>
  <c r="BZ2236" i="5" s="1"/>
  <c r="CA2236" i="5" s="1"/>
  <c r="BS2189" i="5"/>
  <c r="BZ2189" i="5" s="1"/>
  <c r="CA2189" i="5" s="1"/>
  <c r="BS2138" i="5"/>
  <c r="BZ2138" i="5" s="1"/>
  <c r="CA2138" i="5" s="1"/>
  <c r="BS2081" i="5"/>
  <c r="BZ2081" i="5" s="1"/>
  <c r="CA2081" i="5" s="1"/>
  <c r="BS2020" i="5"/>
  <c r="BZ2020" i="5" s="1"/>
  <c r="CA2020" i="5" s="1"/>
  <c r="BS1970" i="5"/>
  <c r="BZ1970" i="5" s="1"/>
  <c r="CA1970" i="5" s="1"/>
  <c r="BS1886" i="5"/>
  <c r="BZ1886" i="5" s="1"/>
  <c r="CA1886" i="5" s="1"/>
  <c r="BS1802" i="5"/>
  <c r="BZ1802" i="5" s="1"/>
  <c r="CA1802" i="5" s="1"/>
  <c r="BS1718" i="5"/>
  <c r="BZ1718" i="5" s="1"/>
  <c r="CA1718" i="5" s="1"/>
  <c r="BS1634" i="5"/>
  <c r="BZ1634" i="5" s="1"/>
  <c r="CA1634" i="5" s="1"/>
  <c r="BS1574" i="5"/>
  <c r="BZ1574" i="5" s="1"/>
  <c r="CA1574" i="5" s="1"/>
  <c r="BS1502" i="5"/>
  <c r="BZ1502" i="5" s="1"/>
  <c r="CA1502" i="5" s="1"/>
  <c r="BS1418" i="5"/>
  <c r="BZ1418" i="5" s="1"/>
  <c r="CA1418" i="5" s="1"/>
  <c r="BS1350" i="5"/>
  <c r="BZ1350" i="5" s="1"/>
  <c r="CA1350" i="5" s="1"/>
  <c r="BS1302" i="5"/>
  <c r="BZ1302" i="5" s="1"/>
  <c r="CA1302" i="5" s="1"/>
  <c r="BS1250" i="5"/>
  <c r="BZ1250" i="5" s="1"/>
  <c r="CA1250" i="5" s="1"/>
  <c r="BS1202" i="5"/>
  <c r="BZ1202" i="5" s="1"/>
  <c r="CA1202" i="5" s="1"/>
  <c r="BS1127" i="5"/>
  <c r="BZ1127" i="5" s="1"/>
  <c r="CA1127" i="5" s="1"/>
  <c r="BS1058" i="5"/>
  <c r="BZ1058" i="5" s="1"/>
  <c r="CA1058" i="5" s="1"/>
  <c r="BS986" i="5"/>
  <c r="BZ986" i="5" s="1"/>
  <c r="CA986" i="5" s="1"/>
  <c r="BS834" i="5"/>
  <c r="BZ834" i="5" s="1"/>
  <c r="CA834" i="5" s="1"/>
  <c r="BS743" i="5"/>
  <c r="BZ743" i="5" s="1"/>
  <c r="CA743" i="5" s="1"/>
  <c r="BS614" i="5"/>
  <c r="BZ614" i="5" s="1"/>
  <c r="CA614" i="5" s="1"/>
  <c r="BS470" i="5"/>
  <c r="BZ470" i="5" s="1"/>
  <c r="CA470" i="5" s="1"/>
  <c r="BS354" i="5"/>
  <c r="BZ354" i="5" s="1"/>
  <c r="CA354" i="5" s="1"/>
  <c r="BS195" i="5"/>
  <c r="BZ195" i="5" s="1"/>
  <c r="CA195" i="5" s="1"/>
  <c r="BS389" i="5"/>
  <c r="BZ389" i="5" s="1"/>
  <c r="CA389" i="5" s="1"/>
  <c r="BS701" i="5"/>
  <c r="BZ701" i="5" s="1"/>
  <c r="CA701" i="5" s="1"/>
  <c r="BS2578" i="5"/>
  <c r="BZ2578" i="5" s="1"/>
  <c r="CA2578" i="5" s="1"/>
  <c r="BS2722" i="5"/>
  <c r="BZ2722" i="5" s="1"/>
  <c r="CA2722" i="5" s="1"/>
  <c r="BS208" i="5"/>
  <c r="BZ208" i="5" s="1"/>
  <c r="CA208" i="5" s="1"/>
  <c r="BS349" i="5"/>
  <c r="BZ349" i="5" s="1"/>
  <c r="CA349" i="5" s="1"/>
  <c r="BS482" i="5"/>
  <c r="BZ482" i="5" s="1"/>
  <c r="CA482" i="5" s="1"/>
  <c r="BS625" i="5"/>
  <c r="BZ625" i="5" s="1"/>
  <c r="CA625" i="5" s="1"/>
  <c r="BS782" i="5"/>
  <c r="BZ782" i="5" s="1"/>
  <c r="CA782" i="5" s="1"/>
  <c r="BS914" i="5"/>
  <c r="BZ914" i="5" s="1"/>
  <c r="CA914" i="5" s="1"/>
  <c r="BS1010" i="5"/>
  <c r="BZ1010" i="5" s="1"/>
  <c r="CA1010" i="5" s="1"/>
  <c r="BS1153" i="5"/>
  <c r="BZ1153" i="5" s="1"/>
  <c r="CA1153" i="5" s="1"/>
  <c r="BS1297" i="5"/>
  <c r="BZ1297" i="5" s="1"/>
  <c r="CA1297" i="5" s="1"/>
  <c r="BS1441" i="5"/>
  <c r="BZ1441" i="5" s="1"/>
  <c r="CA1441" i="5" s="1"/>
  <c r="BS1597" i="5"/>
  <c r="BZ1597" i="5" s="1"/>
  <c r="CA1597" i="5" s="1"/>
  <c r="BS1741" i="5"/>
  <c r="BZ1741" i="5" s="1"/>
  <c r="CA1741" i="5" s="1"/>
  <c r="BS1897" i="5"/>
  <c r="BZ1897" i="5" s="1"/>
  <c r="CA1897" i="5" s="1"/>
  <c r="BS2077" i="5"/>
  <c r="BZ2077" i="5" s="1"/>
  <c r="CA2077" i="5" s="1"/>
  <c r="BS2281" i="5"/>
  <c r="BZ2281" i="5" s="1"/>
  <c r="CA2281" i="5" s="1"/>
  <c r="BS2541" i="5"/>
  <c r="BZ2541" i="5" s="1"/>
  <c r="CA2541" i="5" s="1"/>
  <c r="BS2625" i="5"/>
  <c r="BZ2625" i="5" s="1"/>
  <c r="CA2625" i="5" s="1"/>
  <c r="BS2697" i="5"/>
  <c r="BZ2697" i="5" s="1"/>
  <c r="CA2697" i="5" s="1"/>
  <c r="BS2437" i="5"/>
  <c r="BZ2437" i="5" s="1"/>
  <c r="CA2437" i="5" s="1"/>
  <c r="BS2280" i="5"/>
  <c r="BZ2280" i="5" s="1"/>
  <c r="CA2280" i="5" s="1"/>
  <c r="BS2050" i="5"/>
  <c r="BZ2050" i="5" s="1"/>
  <c r="CA2050" i="5" s="1"/>
  <c r="BS1812" i="5"/>
  <c r="BZ1812" i="5" s="1"/>
  <c r="CA1812" i="5" s="1"/>
  <c r="BS1584" i="5"/>
  <c r="BZ1584" i="5" s="1"/>
  <c r="CA1584" i="5" s="1"/>
  <c r="BS1379" i="5"/>
  <c r="BZ1379" i="5" s="1"/>
  <c r="CA1379" i="5" s="1"/>
  <c r="BS1044" i="5"/>
  <c r="BZ1044" i="5" s="1"/>
  <c r="CA1044" i="5" s="1"/>
  <c r="BS913" i="5"/>
  <c r="BZ913" i="5" s="1"/>
  <c r="CA913" i="5" s="1"/>
  <c r="BS762" i="5"/>
  <c r="BZ762" i="5" s="1"/>
  <c r="CA762" i="5" s="1"/>
  <c r="BS662" i="5"/>
  <c r="BZ662" i="5" s="1"/>
  <c r="CA662" i="5" s="1"/>
  <c r="BS556" i="5"/>
  <c r="BZ556" i="5" s="1"/>
  <c r="CA556" i="5" s="1"/>
  <c r="BS456" i="5"/>
  <c r="BZ456" i="5" s="1"/>
  <c r="CA456" i="5" s="1"/>
  <c r="BS314" i="5"/>
  <c r="BZ314" i="5" s="1"/>
  <c r="CA314" i="5" s="1"/>
  <c r="BS134" i="5"/>
  <c r="BZ134" i="5" s="1"/>
  <c r="CA134" i="5" s="1"/>
  <c r="BS2728" i="5"/>
  <c r="BZ2728" i="5" s="1"/>
  <c r="CA2728" i="5" s="1"/>
  <c r="BS2633" i="5"/>
  <c r="BZ2633" i="5" s="1"/>
  <c r="CA2633" i="5" s="1"/>
  <c r="BS2548" i="5"/>
  <c r="BZ2548" i="5" s="1"/>
  <c r="CA2548" i="5" s="1"/>
  <c r="BS2493" i="5"/>
  <c r="BZ2493" i="5" s="1"/>
  <c r="CA2493" i="5" s="1"/>
  <c r="BS2433" i="5"/>
  <c r="BZ2433" i="5" s="1"/>
  <c r="CA2433" i="5" s="1"/>
  <c r="BS2373" i="5"/>
  <c r="BZ2373" i="5" s="1"/>
  <c r="CA2373" i="5" s="1"/>
  <c r="BS2313" i="5"/>
  <c r="BZ2313" i="5" s="1"/>
  <c r="CA2313" i="5" s="1"/>
  <c r="BS2264" i="5"/>
  <c r="BZ2264" i="5" s="1"/>
  <c r="CA2264" i="5" s="1"/>
  <c r="BS2193" i="5"/>
  <c r="BZ2193" i="5" s="1"/>
  <c r="CA2193" i="5" s="1"/>
  <c r="BS2143" i="5"/>
  <c r="BZ2143" i="5" s="1"/>
  <c r="CA2143" i="5" s="1"/>
  <c r="BS2085" i="5"/>
  <c r="BZ2085" i="5" s="1"/>
  <c r="CA2085" i="5" s="1"/>
  <c r="BS2024" i="5"/>
  <c r="BZ2024" i="5" s="1"/>
  <c r="CA2024" i="5" s="1"/>
  <c r="BS1953" i="5"/>
  <c r="BZ1953" i="5" s="1"/>
  <c r="CA1953" i="5" s="1"/>
  <c r="BS1892" i="5"/>
  <c r="BZ1892" i="5" s="1"/>
  <c r="CA1892" i="5" s="1"/>
  <c r="BS1843" i="5"/>
  <c r="BZ1843" i="5" s="1"/>
  <c r="CA1843" i="5" s="1"/>
  <c r="BS1785" i="5"/>
  <c r="BZ1785" i="5" s="1"/>
  <c r="CA1785" i="5" s="1"/>
  <c r="BS1725" i="5"/>
  <c r="BZ1725" i="5" s="1"/>
  <c r="CA1725" i="5" s="1"/>
  <c r="BS1676" i="5"/>
  <c r="BZ1676" i="5" s="1"/>
  <c r="CA1676" i="5" s="1"/>
  <c r="BS1623" i="5"/>
  <c r="BZ1623" i="5" s="1"/>
  <c r="CA1623" i="5" s="1"/>
  <c r="BS1580" i="5"/>
  <c r="BZ1580" i="5" s="1"/>
  <c r="CA1580" i="5" s="1"/>
  <c r="BS1533" i="5"/>
  <c r="BZ1533" i="5" s="1"/>
  <c r="CA1533" i="5" s="1"/>
  <c r="BS1495" i="5"/>
  <c r="BZ1495" i="5" s="1"/>
  <c r="CA1495" i="5" s="1"/>
  <c r="BS1448" i="5"/>
  <c r="BZ1448" i="5" s="1"/>
  <c r="CA1448" i="5" s="1"/>
  <c r="BS1395" i="5"/>
  <c r="BZ1395" i="5" s="1"/>
  <c r="CA1395" i="5" s="1"/>
  <c r="BS1352" i="5"/>
  <c r="BZ1352" i="5" s="1"/>
  <c r="CA1352" i="5" s="1"/>
  <c r="BS1280" i="5"/>
  <c r="BZ1280" i="5" s="1"/>
  <c r="CA1280" i="5" s="1"/>
  <c r="BS1232" i="5"/>
  <c r="BZ1232" i="5" s="1"/>
  <c r="CA1232" i="5" s="1"/>
  <c r="BS1175" i="5"/>
  <c r="BZ1175" i="5" s="1"/>
  <c r="CA1175" i="5" s="1"/>
  <c r="BS1112" i="5"/>
  <c r="BZ1112" i="5" s="1"/>
  <c r="CA1112" i="5" s="1"/>
  <c r="BS1063" i="5"/>
  <c r="BZ1063" i="5" s="1"/>
  <c r="CA1063" i="5" s="1"/>
  <c r="BS1017" i="5"/>
  <c r="BZ1017" i="5" s="1"/>
  <c r="CA1017" i="5" s="1"/>
  <c r="BS979" i="5"/>
  <c r="BZ979" i="5" s="1"/>
  <c r="CA979" i="5" s="1"/>
  <c r="BS939" i="5"/>
  <c r="BZ939" i="5" s="1"/>
  <c r="CA939" i="5" s="1"/>
  <c r="BS895" i="5"/>
  <c r="BZ895" i="5" s="1"/>
  <c r="CA895" i="5" s="1"/>
  <c r="BS848" i="5"/>
  <c r="BZ848" i="5" s="1"/>
  <c r="CA848" i="5" s="1"/>
  <c r="BS801" i="5"/>
  <c r="BZ801" i="5" s="1"/>
  <c r="CA801" i="5" s="1"/>
  <c r="BS763" i="5"/>
  <c r="BZ763" i="5" s="1"/>
  <c r="CA763" i="5" s="1"/>
  <c r="BS724" i="5"/>
  <c r="BZ724" i="5" s="1"/>
  <c r="CA724" i="5" s="1"/>
  <c r="BS687" i="5"/>
  <c r="BZ687" i="5" s="1"/>
  <c r="CA687" i="5" s="1"/>
  <c r="BS651" i="5"/>
  <c r="BZ651" i="5" s="1"/>
  <c r="CA651" i="5" s="1"/>
  <c r="BS609" i="5"/>
  <c r="BZ609" i="5" s="1"/>
  <c r="CA609" i="5" s="1"/>
  <c r="BS573" i="5"/>
  <c r="BZ573" i="5" s="1"/>
  <c r="CA573" i="5" s="1"/>
  <c r="BS536" i="5"/>
  <c r="BZ536" i="5" s="1"/>
  <c r="CA536" i="5" s="1"/>
  <c r="BS500" i="5"/>
  <c r="BZ500" i="5" s="1"/>
  <c r="CA500" i="5" s="1"/>
  <c r="BS472" i="5"/>
  <c r="BZ472" i="5" s="1"/>
  <c r="CA472" i="5" s="1"/>
  <c r="BS436" i="5"/>
  <c r="BZ436" i="5" s="1"/>
  <c r="CA436" i="5" s="1"/>
  <c r="BS404" i="5"/>
  <c r="BZ404" i="5" s="1"/>
  <c r="CA404" i="5" s="1"/>
  <c r="BS369" i="5"/>
  <c r="BZ369" i="5" s="1"/>
  <c r="CA369" i="5" s="1"/>
  <c r="BS334" i="5"/>
  <c r="BZ334" i="5" s="1"/>
  <c r="CA334" i="5" s="1"/>
  <c r="BS304" i="5"/>
  <c r="BZ304" i="5" s="1"/>
  <c r="CA304" i="5" s="1"/>
  <c r="BS261" i="5"/>
  <c r="BZ261" i="5" s="1"/>
  <c r="CA261" i="5" s="1"/>
  <c r="BS239" i="5"/>
  <c r="BZ239" i="5" s="1"/>
  <c r="CA239" i="5" s="1"/>
  <c r="BS223" i="5"/>
  <c r="BZ223" i="5" s="1"/>
  <c r="CA223" i="5" s="1"/>
  <c r="BS204" i="5"/>
  <c r="BZ204" i="5" s="1"/>
  <c r="CA204" i="5" s="1"/>
  <c r="BS188" i="5"/>
  <c r="BZ188" i="5" s="1"/>
  <c r="CA188" i="5" s="1"/>
  <c r="BS168" i="5"/>
  <c r="BZ168" i="5" s="1"/>
  <c r="CA168" i="5" s="1"/>
  <c r="BS153" i="5"/>
  <c r="BZ153" i="5" s="1"/>
  <c r="CA153" i="5" s="1"/>
  <c r="BS136" i="5"/>
  <c r="BZ136" i="5" s="1"/>
  <c r="CA136" i="5" s="1"/>
  <c r="BS117" i="5"/>
  <c r="BZ117" i="5" s="1"/>
  <c r="CA117" i="5" s="1"/>
  <c r="BS100" i="5"/>
  <c r="BZ100" i="5" s="1"/>
  <c r="CA100" i="5" s="1"/>
  <c r="BS82" i="5"/>
  <c r="BZ82" i="5" s="1"/>
  <c r="CA82" i="5" s="1"/>
  <c r="BS65" i="5"/>
  <c r="BZ65" i="5" s="1"/>
  <c r="CA65" i="5" s="1"/>
  <c r="BS49" i="5"/>
  <c r="BZ49" i="5" s="1"/>
  <c r="CA49" i="5" s="1"/>
  <c r="BS33" i="5"/>
  <c r="BZ33" i="5" s="1"/>
  <c r="CA33" i="5" s="1"/>
  <c r="BS17" i="5"/>
  <c r="BZ17" i="5" s="1"/>
  <c r="CA17" i="5" s="1"/>
  <c r="BS2732" i="5"/>
  <c r="BZ2732" i="5" s="1"/>
  <c r="CA2732" i="5" s="1"/>
  <c r="BS2684" i="5"/>
  <c r="BZ2684" i="5" s="1"/>
  <c r="CA2684" i="5" s="1"/>
  <c r="BS2629" i="5"/>
  <c r="BZ2629" i="5" s="1"/>
  <c r="CA2629" i="5" s="1"/>
  <c r="BS2581" i="5"/>
  <c r="BZ2581" i="5" s="1"/>
  <c r="CA2581" i="5" s="1"/>
  <c r="BS2533" i="5"/>
  <c r="BZ2533" i="5" s="1"/>
  <c r="CA2533" i="5" s="1"/>
  <c r="BS2465" i="5"/>
  <c r="BZ2465" i="5" s="1"/>
  <c r="CA2465" i="5" s="1"/>
  <c r="BS2435" i="5"/>
  <c r="BZ2435" i="5" s="1"/>
  <c r="CA2435" i="5" s="1"/>
  <c r="BS2399" i="5"/>
  <c r="BZ2399" i="5" s="1"/>
  <c r="CA2399" i="5" s="1"/>
  <c r="BS2369" i="5"/>
  <c r="BZ2369" i="5" s="1"/>
  <c r="CA2369" i="5" s="1"/>
  <c r="BS2333" i="5"/>
  <c r="BZ2333" i="5" s="1"/>
  <c r="CA2333" i="5" s="1"/>
  <c r="BS2297" i="5"/>
  <c r="BZ2297" i="5" s="1"/>
  <c r="CA2297" i="5" s="1"/>
  <c r="BS2259" i="5"/>
  <c r="BZ2259" i="5" s="1"/>
  <c r="CA2259" i="5" s="1"/>
  <c r="BS2226" i="5"/>
  <c r="BZ2226" i="5" s="1"/>
  <c r="CA2226" i="5" s="1"/>
  <c r="BS2183" i="5"/>
  <c r="BZ2183" i="5" s="1"/>
  <c r="CA2183" i="5" s="1"/>
  <c r="BS2147" i="5"/>
  <c r="BZ2147" i="5" s="1"/>
  <c r="CA2147" i="5" s="1"/>
  <c r="BS2110" i="5"/>
  <c r="BZ2110" i="5" s="1"/>
  <c r="CA2110" i="5" s="1"/>
  <c r="BS2075" i="5"/>
  <c r="BZ2075" i="5" s="1"/>
  <c r="CA2075" i="5" s="1"/>
  <c r="BS2039" i="5"/>
  <c r="BZ2039" i="5" s="1"/>
  <c r="CA2039" i="5" s="1"/>
  <c r="BS2004" i="5"/>
  <c r="BZ2004" i="5" s="1"/>
  <c r="CA2004" i="5" s="1"/>
  <c r="BS1967" i="5"/>
  <c r="BZ1967" i="5" s="1"/>
  <c r="CA1967" i="5" s="1"/>
  <c r="BS1938" i="5"/>
  <c r="BZ1938" i="5" s="1"/>
  <c r="CA1938" i="5" s="1"/>
  <c r="BS1902" i="5"/>
  <c r="BZ1902" i="5" s="1"/>
  <c r="CA1902" i="5" s="1"/>
  <c r="BS1873" i="5"/>
  <c r="BZ1873" i="5" s="1"/>
  <c r="CA1873" i="5" s="1"/>
  <c r="BS1840" i="5"/>
  <c r="BZ1840" i="5" s="1"/>
  <c r="CA1840" i="5" s="1"/>
  <c r="BS1805" i="5"/>
  <c r="BZ1805" i="5" s="1"/>
  <c r="CA1805" i="5" s="1"/>
  <c r="BS1770" i="5"/>
  <c r="BZ1770" i="5" s="1"/>
  <c r="CA1770" i="5" s="1"/>
  <c r="BS1740" i="5"/>
  <c r="BZ1740" i="5" s="1"/>
  <c r="CA1740" i="5" s="1"/>
  <c r="BS1710" i="5"/>
  <c r="BZ1710" i="5" s="1"/>
  <c r="CA1710" i="5" s="1"/>
  <c r="BS1674" i="5"/>
  <c r="BZ1674" i="5" s="1"/>
  <c r="CA1674" i="5" s="1"/>
  <c r="BS1637" i="5"/>
  <c r="BZ1637" i="5" s="1"/>
  <c r="CA1637" i="5" s="1"/>
  <c r="BS1601" i="5"/>
  <c r="BZ1601" i="5" s="1"/>
  <c r="CA1601" i="5" s="1"/>
  <c r="BS1565" i="5"/>
  <c r="BZ1565" i="5" s="1"/>
  <c r="CA1565" i="5" s="1"/>
  <c r="BS1529" i="5"/>
  <c r="BZ1529" i="5" s="1"/>
  <c r="CA1529" i="5" s="1"/>
  <c r="BS1492" i="5"/>
  <c r="BZ1492" i="5" s="1"/>
  <c r="CA1492" i="5" s="1"/>
  <c r="BS1458" i="5"/>
  <c r="BZ1458" i="5" s="1"/>
  <c r="CA1458" i="5" s="1"/>
  <c r="BS1422" i="5"/>
  <c r="BZ1422" i="5" s="1"/>
  <c r="CA1422" i="5" s="1"/>
  <c r="BS1390" i="5"/>
  <c r="BZ1390" i="5" s="1"/>
  <c r="CA1390" i="5" s="1"/>
  <c r="BS1354" i="5"/>
  <c r="BZ1354" i="5" s="1"/>
  <c r="CA1354" i="5" s="1"/>
  <c r="BS1308" i="5"/>
  <c r="BZ1308" i="5" s="1"/>
  <c r="CA1308" i="5" s="1"/>
  <c r="BS1266" i="5"/>
  <c r="BZ1266" i="5" s="1"/>
  <c r="CA1266" i="5" s="1"/>
  <c r="BS1234" i="5"/>
  <c r="BZ1234" i="5" s="1"/>
  <c r="CA1234" i="5" s="1"/>
  <c r="BS1198" i="5"/>
  <c r="BZ1198" i="5" s="1"/>
  <c r="CA1198" i="5" s="1"/>
  <c r="BS1162" i="5"/>
  <c r="BZ1162" i="5" s="1"/>
  <c r="CA1162" i="5" s="1"/>
  <c r="BS1126" i="5"/>
  <c r="BZ1126" i="5" s="1"/>
  <c r="CA1126" i="5" s="1"/>
  <c r="BS1092" i="5"/>
  <c r="BZ1092" i="5" s="1"/>
  <c r="CA1092" i="5" s="1"/>
  <c r="BS1038" i="5"/>
  <c r="BZ1038" i="5" s="1"/>
  <c r="CA1038" i="5" s="1"/>
  <c r="BS978" i="5"/>
  <c r="BZ978" i="5" s="1"/>
  <c r="CA978" i="5" s="1"/>
  <c r="BS941" i="5"/>
  <c r="BZ941" i="5" s="1"/>
  <c r="CA941" i="5" s="1"/>
  <c r="BS903" i="5"/>
  <c r="BZ903" i="5" s="1"/>
  <c r="CA903" i="5" s="1"/>
  <c r="BS856" i="5"/>
  <c r="BZ856" i="5" s="1"/>
  <c r="CA856" i="5" s="1"/>
  <c r="BS816" i="5"/>
  <c r="BZ816" i="5" s="1"/>
  <c r="CA816" i="5" s="1"/>
  <c r="BS772" i="5"/>
  <c r="BZ772" i="5" s="1"/>
  <c r="CA772" i="5" s="1"/>
  <c r="BS719" i="5"/>
  <c r="BZ719" i="5" s="1"/>
  <c r="CA719" i="5" s="1"/>
  <c r="BS666" i="5"/>
  <c r="BZ666" i="5" s="1"/>
  <c r="CA666" i="5" s="1"/>
  <c r="BS612" i="5"/>
  <c r="BZ612" i="5" s="1"/>
  <c r="CA612" i="5" s="1"/>
  <c r="BS564" i="5"/>
  <c r="BZ564" i="5" s="1"/>
  <c r="CA564" i="5" s="1"/>
  <c r="BS528" i="5"/>
  <c r="BZ528" i="5" s="1"/>
  <c r="CA528" i="5" s="1"/>
  <c r="BS473" i="5"/>
  <c r="BZ473" i="5" s="1"/>
  <c r="CA473" i="5" s="1"/>
  <c r="BS406" i="5"/>
  <c r="BZ406" i="5" s="1"/>
  <c r="CA406" i="5" s="1"/>
  <c r="BS358" i="5"/>
  <c r="BZ358" i="5" s="1"/>
  <c r="CA358" i="5" s="1"/>
  <c r="BS294" i="5"/>
  <c r="BZ294" i="5" s="1"/>
  <c r="CA294" i="5" s="1"/>
  <c r="BS198" i="5"/>
  <c r="BZ198" i="5" s="1"/>
  <c r="CA198" i="5" s="1"/>
  <c r="BS34" i="5"/>
  <c r="BZ34" i="5" s="1"/>
  <c r="CA34" i="5" s="1"/>
  <c r="BS2734" i="5"/>
  <c r="BZ2734" i="5" s="1"/>
  <c r="CA2734" i="5" s="1"/>
  <c r="BS2670" i="5"/>
  <c r="BZ2670" i="5" s="1"/>
  <c r="CA2670" i="5" s="1"/>
  <c r="BS2616" i="5"/>
  <c r="BZ2616" i="5" s="1"/>
  <c r="CA2616" i="5" s="1"/>
  <c r="BS2567" i="5"/>
  <c r="BZ2567" i="5" s="1"/>
  <c r="CA2567" i="5" s="1"/>
  <c r="BS2508" i="5"/>
  <c r="BZ2508" i="5" s="1"/>
  <c r="CA2508" i="5" s="1"/>
  <c r="BS58" i="5"/>
  <c r="BZ58" i="5" s="1"/>
  <c r="CA58" i="5" s="1"/>
  <c r="BS219" i="5"/>
  <c r="BZ219" i="5" s="1"/>
  <c r="CA219" i="5" s="1"/>
  <c r="BS305" i="5"/>
  <c r="BZ305" i="5" s="1"/>
  <c r="CA305" i="5" s="1"/>
  <c r="BS401" i="5"/>
  <c r="BZ401" i="5" s="1"/>
  <c r="CA401" i="5" s="1"/>
  <c r="BS497" i="5"/>
  <c r="BZ497" i="5" s="1"/>
  <c r="CA497" i="5" s="1"/>
  <c r="BS641" i="5"/>
  <c r="BZ641" i="5" s="1"/>
  <c r="CA641" i="5" s="1"/>
  <c r="BS751" i="5"/>
  <c r="BZ751" i="5" s="1"/>
  <c r="CA751" i="5" s="1"/>
  <c r="BS835" i="5"/>
  <c r="BZ835" i="5" s="1"/>
  <c r="CA835" i="5" s="1"/>
  <c r="BS929" i="5"/>
  <c r="BZ929" i="5" s="1"/>
  <c r="CA929" i="5" s="1"/>
  <c r="BS1012" i="5"/>
  <c r="BZ1012" i="5" s="1"/>
  <c r="CA1012" i="5" s="1"/>
  <c r="BS1078" i="5"/>
  <c r="BZ1078" i="5" s="1"/>
  <c r="CA1078" i="5" s="1"/>
  <c r="BS1138" i="5"/>
  <c r="BZ1138" i="5" s="1"/>
  <c r="CA1138" i="5" s="1"/>
  <c r="BS1219" i="5"/>
  <c r="BZ1219" i="5" s="1"/>
  <c r="CA1219" i="5" s="1"/>
  <c r="BS1311" i="5"/>
  <c r="BZ1311" i="5" s="1"/>
  <c r="CA1311" i="5" s="1"/>
  <c r="BS1407" i="5"/>
  <c r="BZ1407" i="5" s="1"/>
  <c r="CA1407" i="5" s="1"/>
  <c r="BS1507" i="5"/>
  <c r="BZ1507" i="5" s="1"/>
  <c r="CA1507" i="5" s="1"/>
  <c r="BS1639" i="5"/>
  <c r="BZ1639" i="5" s="1"/>
  <c r="CA1639" i="5" s="1"/>
  <c r="BS1731" i="5"/>
  <c r="BZ1731" i="5" s="1"/>
  <c r="CA1731" i="5" s="1"/>
  <c r="BS1827" i="5"/>
  <c r="BZ1827" i="5" s="1"/>
  <c r="CA1827" i="5" s="1"/>
  <c r="BS1896" i="5"/>
  <c r="BZ1896" i="5" s="1"/>
  <c r="CA1896" i="5" s="1"/>
  <c r="BS1971" i="5"/>
  <c r="BZ1971" i="5" s="1"/>
  <c r="CA1971" i="5" s="1"/>
  <c r="BS2047" i="5"/>
  <c r="BZ2047" i="5" s="1"/>
  <c r="CA2047" i="5" s="1"/>
  <c r="BS2119" i="5"/>
  <c r="BZ2119" i="5" s="1"/>
  <c r="CA2119" i="5" s="1"/>
  <c r="BS2215" i="5"/>
  <c r="BZ2215" i="5" s="1"/>
  <c r="CA2215" i="5" s="1"/>
  <c r="BS2323" i="5"/>
  <c r="BZ2323" i="5" s="1"/>
  <c r="CA2323" i="5" s="1"/>
  <c r="BS2414" i="5"/>
  <c r="BZ2414" i="5" s="1"/>
  <c r="CA2414" i="5" s="1"/>
  <c r="BS2511" i="5"/>
  <c r="BZ2511" i="5" s="1"/>
  <c r="CA2511" i="5" s="1"/>
  <c r="BS2682" i="5"/>
  <c r="BZ2682" i="5" s="1"/>
  <c r="CA2682" i="5" s="1"/>
  <c r="BS2462" i="5"/>
  <c r="BZ2462" i="5" s="1"/>
  <c r="CA2462" i="5" s="1"/>
  <c r="BS2406" i="5"/>
  <c r="BZ2406" i="5" s="1"/>
  <c r="CA2406" i="5" s="1"/>
  <c r="BS2346" i="5"/>
  <c r="BZ2346" i="5" s="1"/>
  <c r="CA2346" i="5" s="1"/>
  <c r="BS2285" i="5"/>
  <c r="BZ2285" i="5" s="1"/>
  <c r="CA2285" i="5" s="1"/>
  <c r="BS2234" i="5"/>
  <c r="BZ2234" i="5" s="1"/>
  <c r="CA2234" i="5" s="1"/>
  <c r="BS2186" i="5"/>
  <c r="BZ2186" i="5" s="1"/>
  <c r="CA2186" i="5" s="1"/>
  <c r="BS2131" i="5"/>
  <c r="BZ2131" i="5" s="1"/>
  <c r="CA2131" i="5" s="1"/>
  <c r="BS2080" i="5"/>
  <c r="BZ2080" i="5" s="1"/>
  <c r="CA2080" i="5" s="1"/>
  <c r="BS2018" i="5"/>
  <c r="BZ2018" i="5" s="1"/>
  <c r="CA2018" i="5" s="1"/>
  <c r="BS1962" i="5"/>
  <c r="BZ1962" i="5" s="1"/>
  <c r="CA1962" i="5" s="1"/>
  <c r="BS1876" i="5"/>
  <c r="BZ1876" i="5" s="1"/>
  <c r="CA1876" i="5" s="1"/>
  <c r="BS1790" i="5"/>
  <c r="BZ1790" i="5" s="1"/>
  <c r="CA1790" i="5" s="1"/>
  <c r="BS1706" i="5"/>
  <c r="BZ1706" i="5" s="1"/>
  <c r="CA1706" i="5" s="1"/>
  <c r="BS1624" i="5"/>
  <c r="BZ1624" i="5" s="1"/>
  <c r="CA1624" i="5" s="1"/>
  <c r="BS1563" i="5"/>
  <c r="BZ1563" i="5" s="1"/>
  <c r="CA1563" i="5" s="1"/>
  <c r="BS1500" i="5"/>
  <c r="BZ1500" i="5" s="1"/>
  <c r="CA1500" i="5" s="1"/>
  <c r="BS1406" i="5"/>
  <c r="BZ1406" i="5" s="1"/>
  <c r="CA1406" i="5" s="1"/>
  <c r="BS1346" i="5"/>
  <c r="BZ1346" i="5" s="1"/>
  <c r="CA1346" i="5" s="1"/>
  <c r="BS1298" i="5"/>
  <c r="BZ1298" i="5" s="1"/>
  <c r="CA1298" i="5" s="1"/>
  <c r="BS1240" i="5"/>
  <c r="BZ1240" i="5" s="1"/>
  <c r="CA1240" i="5" s="1"/>
  <c r="BS1195" i="5"/>
  <c r="BZ1195" i="5" s="1"/>
  <c r="CA1195" i="5" s="1"/>
  <c r="BS1118" i="5"/>
  <c r="BZ1118" i="5" s="1"/>
  <c r="CA1118" i="5" s="1"/>
  <c r="BS1048" i="5"/>
  <c r="BZ1048" i="5" s="1"/>
  <c r="CA1048" i="5" s="1"/>
  <c r="BS983" i="5"/>
  <c r="BZ983" i="5" s="1"/>
  <c r="CA983" i="5" s="1"/>
  <c r="BS820" i="5"/>
  <c r="BZ820" i="5" s="1"/>
  <c r="CA820" i="5" s="1"/>
  <c r="BS734" i="5"/>
  <c r="BZ734" i="5" s="1"/>
  <c r="CA734" i="5" s="1"/>
  <c r="BS611" i="5"/>
  <c r="BZ611" i="5" s="1"/>
  <c r="CA611" i="5" s="1"/>
  <c r="BS467" i="5"/>
  <c r="BZ467" i="5" s="1"/>
  <c r="CA467" i="5" s="1"/>
  <c r="BS343" i="5"/>
  <c r="BZ343" i="5" s="1"/>
  <c r="CA343" i="5" s="1"/>
  <c r="BS183" i="5"/>
  <c r="BZ183" i="5" s="1"/>
  <c r="CA183" i="5" s="1"/>
  <c r="BS437" i="5"/>
  <c r="BZ437" i="5" s="1"/>
  <c r="CA437" i="5" s="1"/>
  <c r="BS725" i="5"/>
  <c r="BZ725" i="5" s="1"/>
  <c r="CA725" i="5" s="1"/>
  <c r="BS2579" i="5"/>
  <c r="BZ2579" i="5" s="1"/>
  <c r="CA2579" i="5" s="1"/>
  <c r="BS2723" i="5"/>
  <c r="BZ2723" i="5" s="1"/>
  <c r="CA2723" i="5" s="1"/>
  <c r="BS210" i="5"/>
  <c r="BZ210" i="5" s="1"/>
  <c r="CA210" i="5" s="1"/>
  <c r="BS350" i="5"/>
  <c r="BZ350" i="5" s="1"/>
  <c r="CA350" i="5" s="1"/>
  <c r="BS496" i="5"/>
  <c r="BZ496" i="5" s="1"/>
  <c r="CA496" i="5" s="1"/>
  <c r="BS628" i="5"/>
  <c r="BZ628" i="5" s="1"/>
  <c r="CA628" i="5" s="1"/>
  <c r="BS793" i="5"/>
  <c r="BZ793" i="5" s="1"/>
  <c r="CA793" i="5" s="1"/>
  <c r="BS921" i="5"/>
  <c r="BZ921" i="5" s="1"/>
  <c r="CA921" i="5" s="1"/>
  <c r="BS1021" i="5"/>
  <c r="BZ1021" i="5" s="1"/>
  <c r="CA1021" i="5" s="1"/>
  <c r="BS1165" i="5"/>
  <c r="BZ1165" i="5" s="1"/>
  <c r="CA1165" i="5" s="1"/>
  <c r="BS1309" i="5"/>
  <c r="BZ1309" i="5" s="1"/>
  <c r="CA1309" i="5" s="1"/>
  <c r="BS1465" i="5"/>
  <c r="BZ1465" i="5" s="1"/>
  <c r="CA1465" i="5" s="1"/>
  <c r="BS1609" i="5"/>
  <c r="BZ1609" i="5" s="1"/>
  <c r="CA1609" i="5" s="1"/>
  <c r="BS1753" i="5"/>
  <c r="BZ1753" i="5" s="1"/>
  <c r="CA1753" i="5" s="1"/>
  <c r="BS1909" i="5"/>
  <c r="BZ1909" i="5" s="1"/>
  <c r="CA1909" i="5" s="1"/>
  <c r="BS2101" i="5"/>
  <c r="BZ2101" i="5" s="1"/>
  <c r="CA2101" i="5" s="1"/>
  <c r="BS2293" i="5"/>
  <c r="BZ2293" i="5" s="1"/>
  <c r="CA2293" i="5" s="1"/>
  <c r="BS2551" i="5"/>
  <c r="BZ2551" i="5" s="1"/>
  <c r="CA2551" i="5" s="1"/>
  <c r="BS2635" i="5"/>
  <c r="BZ2635" i="5" s="1"/>
  <c r="CA2635" i="5" s="1"/>
  <c r="BS2701" i="5"/>
  <c r="BZ2701" i="5" s="1"/>
  <c r="CA2701" i="5" s="1"/>
  <c r="BS2425" i="5"/>
  <c r="BZ2425" i="5" s="1"/>
  <c r="CA2425" i="5" s="1"/>
  <c r="BS2266" i="5"/>
  <c r="BZ2266" i="5" s="1"/>
  <c r="CA2266" i="5" s="1"/>
  <c r="BS2041" i="5"/>
  <c r="BZ2041" i="5" s="1"/>
  <c r="CA2041" i="5" s="1"/>
  <c r="BS1776" i="5"/>
  <c r="BZ1776" i="5" s="1"/>
  <c r="CA1776" i="5" s="1"/>
  <c r="BS1548" i="5"/>
  <c r="BZ1548" i="5" s="1"/>
  <c r="CA1548" i="5" s="1"/>
  <c r="BS1332" i="5"/>
  <c r="BZ1332" i="5" s="1"/>
  <c r="CA1332" i="5" s="1"/>
  <c r="BS1034" i="5"/>
  <c r="BZ1034" i="5" s="1"/>
  <c r="CA1034" i="5" s="1"/>
  <c r="BS910" i="5"/>
  <c r="BZ910" i="5" s="1"/>
  <c r="CA910" i="5" s="1"/>
  <c r="BS757" i="5"/>
  <c r="BZ757" i="5" s="1"/>
  <c r="CA757" i="5" s="1"/>
  <c r="BS649" i="5"/>
  <c r="BZ649" i="5" s="1"/>
  <c r="CA649" i="5" s="1"/>
  <c r="BS541" i="5"/>
  <c r="BZ541" i="5" s="1"/>
  <c r="CA541" i="5" s="1"/>
  <c r="BS444" i="5"/>
  <c r="BZ444" i="5" s="1"/>
  <c r="CA444" i="5" s="1"/>
  <c r="BS302" i="5"/>
  <c r="BZ302" i="5" s="1"/>
  <c r="CA302" i="5" s="1"/>
  <c r="BS130" i="5"/>
  <c r="BZ130" i="5" s="1"/>
  <c r="CA130" i="5" s="1"/>
  <c r="BS2717" i="5"/>
  <c r="BZ2717" i="5" s="1"/>
  <c r="CA2717" i="5" s="1"/>
  <c r="BS2622" i="5"/>
  <c r="BZ2622" i="5" s="1"/>
  <c r="CA2622" i="5" s="1"/>
  <c r="BS2537" i="5"/>
  <c r="BZ2537" i="5" s="1"/>
  <c r="CA2537" i="5" s="1"/>
  <c r="BS2492" i="5"/>
  <c r="BZ2492" i="5" s="1"/>
  <c r="CA2492" i="5" s="1"/>
  <c r="BS2432" i="5"/>
  <c r="BZ2432" i="5" s="1"/>
  <c r="CA2432" i="5" s="1"/>
  <c r="BS2372" i="5"/>
  <c r="BZ2372" i="5" s="1"/>
  <c r="CA2372" i="5" s="1"/>
  <c r="BS2312" i="5"/>
  <c r="BZ2312" i="5" s="1"/>
  <c r="CA2312" i="5" s="1"/>
  <c r="BS2253" i="5"/>
  <c r="BZ2253" i="5" s="1"/>
  <c r="CA2253" i="5" s="1"/>
  <c r="BS2192" i="5"/>
  <c r="BZ2192" i="5" s="1"/>
  <c r="CA2192" i="5" s="1"/>
  <c r="BS2133" i="5"/>
  <c r="BZ2133" i="5" s="1"/>
  <c r="CA2133" i="5" s="1"/>
  <c r="BS2084" i="5"/>
  <c r="BZ2084" i="5" s="1"/>
  <c r="CA2084" i="5" s="1"/>
  <c r="BS2013" i="5"/>
  <c r="BZ2013" i="5" s="1"/>
  <c r="CA2013" i="5" s="1"/>
  <c r="BS1952" i="5"/>
  <c r="BZ1952" i="5" s="1"/>
  <c r="CA1952" i="5" s="1"/>
  <c r="BS1891" i="5"/>
  <c r="BZ1891" i="5" s="1"/>
  <c r="CA1891" i="5" s="1"/>
  <c r="BS1833" i="5"/>
  <c r="BZ1833" i="5" s="1"/>
  <c r="CA1833" i="5" s="1"/>
  <c r="BS1784" i="5"/>
  <c r="BZ1784" i="5" s="1"/>
  <c r="CA1784" i="5" s="1"/>
  <c r="BS1724" i="5"/>
  <c r="BZ1724" i="5" s="1"/>
  <c r="CA1724" i="5" s="1"/>
  <c r="BS1675" i="5"/>
  <c r="BZ1675" i="5" s="1"/>
  <c r="CA1675" i="5" s="1"/>
  <c r="BS1620" i="5"/>
  <c r="BZ1620" i="5" s="1"/>
  <c r="CA1620" i="5" s="1"/>
  <c r="BS1575" i="5"/>
  <c r="BZ1575" i="5" s="1"/>
  <c r="CA1575" i="5" s="1"/>
  <c r="BS1532" i="5"/>
  <c r="BZ1532" i="5" s="1"/>
  <c r="CA1532" i="5" s="1"/>
  <c r="BS1485" i="5"/>
  <c r="BZ1485" i="5" s="1"/>
  <c r="CA1485" i="5" s="1"/>
  <c r="BS1447" i="5"/>
  <c r="BZ1447" i="5" s="1"/>
  <c r="CA1447" i="5" s="1"/>
  <c r="BS1389" i="5"/>
  <c r="BZ1389" i="5" s="1"/>
  <c r="CA1389" i="5" s="1"/>
  <c r="BS1341" i="5"/>
  <c r="BZ1341" i="5" s="1"/>
  <c r="CA1341" i="5" s="1"/>
  <c r="BS1272" i="5"/>
  <c r="BZ1272" i="5" s="1"/>
  <c r="CA1272" i="5" s="1"/>
  <c r="BS1221" i="5"/>
  <c r="BZ1221" i="5" s="1"/>
  <c r="CA1221" i="5" s="1"/>
  <c r="BS1173" i="5"/>
  <c r="BZ1173" i="5" s="1"/>
  <c r="CA1173" i="5" s="1"/>
  <c r="BS1111" i="5"/>
  <c r="BZ1111" i="5" s="1"/>
  <c r="CA1111" i="5" s="1"/>
  <c r="BS1053" i="5"/>
  <c r="BZ1053" i="5" s="1"/>
  <c r="CA1053" i="5" s="1"/>
  <c r="BS1016" i="5"/>
  <c r="BZ1016" i="5" s="1"/>
  <c r="CA1016" i="5" s="1"/>
  <c r="BS969" i="5"/>
  <c r="BZ969" i="5" s="1"/>
  <c r="CA969" i="5" s="1"/>
  <c r="BS933" i="5"/>
  <c r="BZ933" i="5" s="1"/>
  <c r="CA933" i="5" s="1"/>
  <c r="BS892" i="5"/>
  <c r="BZ892" i="5" s="1"/>
  <c r="CA892" i="5" s="1"/>
  <c r="BS847" i="5"/>
  <c r="BZ847" i="5" s="1"/>
  <c r="CA847" i="5" s="1"/>
  <c r="BS800" i="5"/>
  <c r="BZ800" i="5" s="1"/>
  <c r="CA800" i="5" s="1"/>
  <c r="BS760" i="5"/>
  <c r="BZ760" i="5" s="1"/>
  <c r="CA760" i="5" s="1"/>
  <c r="BS723" i="5"/>
  <c r="BZ723" i="5" s="1"/>
  <c r="CA723" i="5" s="1"/>
  <c r="BS681" i="5"/>
  <c r="BZ681" i="5" s="1"/>
  <c r="CA681" i="5" s="1"/>
  <c r="BS644" i="5"/>
  <c r="BZ644" i="5" s="1"/>
  <c r="CA644" i="5" s="1"/>
  <c r="BS608" i="5"/>
  <c r="BZ608" i="5" s="1"/>
  <c r="CA608" i="5" s="1"/>
  <c r="BS572" i="5"/>
  <c r="BZ572" i="5" s="1"/>
  <c r="CA572" i="5" s="1"/>
  <c r="BS535" i="5"/>
  <c r="BZ535" i="5" s="1"/>
  <c r="CA535" i="5" s="1"/>
  <c r="BS499" i="5"/>
  <c r="BZ499" i="5" s="1"/>
  <c r="CA499" i="5" s="1"/>
  <c r="BS465" i="5"/>
  <c r="BZ465" i="5" s="1"/>
  <c r="CA465" i="5" s="1"/>
  <c r="BS435" i="5"/>
  <c r="BZ435" i="5" s="1"/>
  <c r="CA435" i="5" s="1"/>
  <c r="BS400" i="5"/>
  <c r="BZ400" i="5" s="1"/>
  <c r="CA400" i="5" s="1"/>
  <c r="BS368" i="5"/>
  <c r="BZ368" i="5" s="1"/>
  <c r="CA368" i="5" s="1"/>
  <c r="BS333" i="5"/>
  <c r="BZ333" i="5" s="1"/>
  <c r="CA333" i="5" s="1"/>
  <c r="BS297" i="5"/>
  <c r="BZ297" i="5" s="1"/>
  <c r="CA297" i="5" s="1"/>
  <c r="BS260" i="5"/>
  <c r="BZ260" i="5" s="1"/>
  <c r="CA260" i="5" s="1"/>
  <c r="BS237" i="5"/>
  <c r="BZ237" i="5" s="1"/>
  <c r="CA237" i="5" s="1"/>
  <c r="BS221" i="5"/>
  <c r="BZ221" i="5" s="1"/>
  <c r="CA221" i="5" s="1"/>
  <c r="BS203" i="5"/>
  <c r="BZ203" i="5" s="1"/>
  <c r="CA203" i="5" s="1"/>
  <c r="BS186" i="5"/>
  <c r="BZ186" i="5" s="1"/>
  <c r="CA186" i="5" s="1"/>
  <c r="BS167" i="5"/>
  <c r="BZ167" i="5" s="1"/>
  <c r="CA167" i="5" s="1"/>
  <c r="BS152" i="5"/>
  <c r="BZ152" i="5" s="1"/>
  <c r="CA152" i="5" s="1"/>
  <c r="BS133" i="5"/>
  <c r="BZ133" i="5" s="1"/>
  <c r="CA133" i="5" s="1"/>
  <c r="BS116" i="5"/>
  <c r="BZ116" i="5" s="1"/>
  <c r="CA116" i="5" s="1"/>
  <c r="BS99" i="5"/>
  <c r="BZ99" i="5" s="1"/>
  <c r="CA99" i="5" s="1"/>
  <c r="BS81" i="5"/>
  <c r="BZ81" i="5" s="1"/>
  <c r="CA81" i="5" s="1"/>
  <c r="BS64" i="5"/>
  <c r="BZ64" i="5" s="1"/>
  <c r="CA64" i="5" s="1"/>
  <c r="BS48" i="5"/>
  <c r="BZ48" i="5" s="1"/>
  <c r="CA48" i="5" s="1"/>
  <c r="BS32" i="5"/>
  <c r="BZ32" i="5" s="1"/>
  <c r="CA32" i="5" s="1"/>
  <c r="BS16" i="5"/>
  <c r="BZ16" i="5" s="1"/>
  <c r="CA16" i="5" s="1"/>
  <c r="BS2727" i="5"/>
  <c r="BZ2727" i="5" s="1"/>
  <c r="CA2727" i="5" s="1"/>
  <c r="BS2679" i="5"/>
  <c r="BZ2679" i="5" s="1"/>
  <c r="CA2679" i="5" s="1"/>
  <c r="BS2624" i="5"/>
  <c r="BZ2624" i="5" s="1"/>
  <c r="CA2624" i="5" s="1"/>
  <c r="BS2577" i="5"/>
  <c r="BZ2577" i="5" s="1"/>
  <c r="CA2577" i="5" s="1"/>
  <c r="BS2529" i="5"/>
  <c r="BZ2529" i="5" s="1"/>
  <c r="CA2529" i="5" s="1"/>
  <c r="BS2464" i="5"/>
  <c r="BZ2464" i="5" s="1"/>
  <c r="CA2464" i="5" s="1"/>
  <c r="BS2434" i="5"/>
  <c r="BZ2434" i="5" s="1"/>
  <c r="CA2434" i="5" s="1"/>
  <c r="BS2398" i="5"/>
  <c r="BZ2398" i="5" s="1"/>
  <c r="CA2398" i="5" s="1"/>
  <c r="BS2368" i="5"/>
  <c r="BZ2368" i="5" s="1"/>
  <c r="CA2368" i="5" s="1"/>
  <c r="BS2332" i="5"/>
  <c r="BZ2332" i="5" s="1"/>
  <c r="CA2332" i="5" s="1"/>
  <c r="BS2296" i="5"/>
  <c r="BZ2296" i="5" s="1"/>
  <c r="CA2296" i="5" s="1"/>
  <c r="BS2256" i="5"/>
  <c r="BZ2256" i="5" s="1"/>
  <c r="CA2256" i="5" s="1"/>
  <c r="BS2225" i="5"/>
  <c r="BZ2225" i="5" s="1"/>
  <c r="CA2225" i="5" s="1"/>
  <c r="BS2182" i="5"/>
  <c r="BZ2182" i="5" s="1"/>
  <c r="CA2182" i="5" s="1"/>
  <c r="BS2146" i="5"/>
  <c r="BZ2146" i="5" s="1"/>
  <c r="CA2146" i="5" s="1"/>
  <c r="BS2105" i="5"/>
  <c r="BZ2105" i="5" s="1"/>
  <c r="CA2105" i="5" s="1"/>
  <c r="BS2074" i="5"/>
  <c r="BZ2074" i="5" s="1"/>
  <c r="CA2074" i="5" s="1"/>
  <c r="BS2038" i="5"/>
  <c r="BZ2038" i="5" s="1"/>
  <c r="CA2038" i="5" s="1"/>
  <c r="BS1998" i="5"/>
  <c r="BZ1998" i="5" s="1"/>
  <c r="CA1998" i="5" s="1"/>
  <c r="BS1966" i="5"/>
  <c r="BZ1966" i="5" s="1"/>
  <c r="CA1966" i="5" s="1"/>
  <c r="BS1937" i="5"/>
  <c r="BZ1937" i="5" s="1"/>
  <c r="CA1937" i="5" s="1"/>
  <c r="BS1901" i="5"/>
  <c r="BZ1901" i="5" s="1"/>
  <c r="CA1901" i="5" s="1"/>
  <c r="BS1871" i="5"/>
  <c r="BZ1871" i="5" s="1"/>
  <c r="CA1871" i="5" s="1"/>
  <c r="BS1836" i="5"/>
  <c r="BZ1836" i="5" s="1"/>
  <c r="CA1836" i="5" s="1"/>
  <c r="BS1801" i="5"/>
  <c r="BZ1801" i="5" s="1"/>
  <c r="CA1801" i="5" s="1"/>
  <c r="BS1769" i="5"/>
  <c r="BZ1769" i="5" s="1"/>
  <c r="CA1769" i="5" s="1"/>
  <c r="BS1739" i="5"/>
  <c r="BZ1739" i="5" s="1"/>
  <c r="CA1739" i="5" s="1"/>
  <c r="BS1709" i="5"/>
  <c r="BZ1709" i="5" s="1"/>
  <c r="CA1709" i="5" s="1"/>
  <c r="BS1673" i="5"/>
  <c r="BZ1673" i="5" s="1"/>
  <c r="CA1673" i="5" s="1"/>
  <c r="BS1636" i="5"/>
  <c r="BZ1636" i="5" s="1"/>
  <c r="CA1636" i="5" s="1"/>
  <c r="BS1600" i="5"/>
  <c r="BZ1600" i="5" s="1"/>
  <c r="CA1600" i="5" s="1"/>
  <c r="BS1564" i="5"/>
  <c r="BZ1564" i="5" s="1"/>
  <c r="CA1564" i="5" s="1"/>
  <c r="BS1528" i="5"/>
  <c r="BZ1528" i="5" s="1"/>
  <c r="CA1528" i="5" s="1"/>
  <c r="BS1491" i="5"/>
  <c r="BZ1491" i="5" s="1"/>
  <c r="CA1491" i="5" s="1"/>
  <c r="BS1457" i="5"/>
  <c r="BZ1457" i="5" s="1"/>
  <c r="CA1457" i="5" s="1"/>
  <c r="BS1421" i="5"/>
  <c r="BZ1421" i="5" s="1"/>
  <c r="CA1421" i="5" s="1"/>
  <c r="BS1386" i="5"/>
  <c r="BZ1386" i="5" s="1"/>
  <c r="CA1386" i="5" s="1"/>
  <c r="BS1349" i="5"/>
  <c r="BZ1349" i="5" s="1"/>
  <c r="CA1349" i="5" s="1"/>
  <c r="BS1307" i="5"/>
  <c r="BZ1307" i="5" s="1"/>
  <c r="CA1307" i="5" s="1"/>
  <c r="BS1265" i="5"/>
  <c r="BZ1265" i="5" s="1"/>
  <c r="CA1265" i="5" s="1"/>
  <c r="BS1229" i="5"/>
  <c r="BZ1229" i="5" s="1"/>
  <c r="CA1229" i="5" s="1"/>
  <c r="BS1194" i="5"/>
  <c r="BZ1194" i="5" s="1"/>
  <c r="CA1194" i="5" s="1"/>
  <c r="BS1157" i="5"/>
  <c r="BZ1157" i="5" s="1"/>
  <c r="CA1157" i="5" s="1"/>
  <c r="BS1122" i="5"/>
  <c r="BZ1122" i="5" s="1"/>
  <c r="CA1122" i="5" s="1"/>
  <c r="BS1091" i="5"/>
  <c r="BZ1091" i="5" s="1"/>
  <c r="CA1091" i="5" s="1"/>
  <c r="BS1026" i="5"/>
  <c r="BZ1026" i="5" s="1"/>
  <c r="CA1026" i="5" s="1"/>
  <c r="BS972" i="5"/>
  <c r="BZ972" i="5" s="1"/>
  <c r="CA972" i="5" s="1"/>
  <c r="BS935" i="5"/>
  <c r="BZ935" i="5" s="1"/>
  <c r="CA935" i="5" s="1"/>
  <c r="BS900" i="5"/>
  <c r="BZ900" i="5" s="1"/>
  <c r="CA900" i="5" s="1"/>
  <c r="BS852" i="5"/>
  <c r="BZ852" i="5" s="1"/>
  <c r="CA852" i="5" s="1"/>
  <c r="BS815" i="5"/>
  <c r="BZ815" i="5" s="1"/>
  <c r="CA815" i="5" s="1"/>
  <c r="BS767" i="5"/>
  <c r="BZ767" i="5" s="1"/>
  <c r="CA767" i="5" s="1"/>
  <c r="BS714" i="5"/>
  <c r="BZ714" i="5" s="1"/>
  <c r="CA714" i="5" s="1"/>
  <c r="BS660" i="5"/>
  <c r="BZ660" i="5" s="1"/>
  <c r="CA660" i="5" s="1"/>
  <c r="BS610" i="5"/>
  <c r="BZ610" i="5" s="1"/>
  <c r="CA610" i="5" s="1"/>
  <c r="BS562" i="5"/>
  <c r="BZ562" i="5" s="1"/>
  <c r="CA562" i="5" s="1"/>
  <c r="BS522" i="5"/>
  <c r="BZ522" i="5" s="1"/>
  <c r="CA522" i="5" s="1"/>
  <c r="BS468" i="5"/>
  <c r="BZ468" i="5" s="1"/>
  <c r="CA468" i="5" s="1"/>
  <c r="BS402" i="5"/>
  <c r="BZ402" i="5" s="1"/>
  <c r="CA402" i="5" s="1"/>
  <c r="BS348" i="5"/>
  <c r="BZ348" i="5" s="1"/>
  <c r="CA348" i="5" s="1"/>
  <c r="BS287" i="5"/>
  <c r="BZ287" i="5" s="1"/>
  <c r="CA287" i="5" s="1"/>
  <c r="BS190" i="5"/>
  <c r="BZ190" i="5" s="1"/>
  <c r="CA190" i="5" s="1"/>
  <c r="BS10" i="5"/>
  <c r="BZ10" i="5" s="1"/>
  <c r="CA10" i="5" s="1"/>
  <c r="BS2724" i="5"/>
  <c r="BZ2724" i="5" s="1"/>
  <c r="CA2724" i="5" s="1"/>
  <c r="BS2664" i="5"/>
  <c r="BZ2664" i="5" s="1"/>
  <c r="CA2664" i="5" s="1"/>
  <c r="BS2615" i="5"/>
  <c r="BZ2615" i="5" s="1"/>
  <c r="CA2615" i="5" s="1"/>
  <c r="BS2566" i="5"/>
  <c r="BZ2566" i="5" s="1"/>
  <c r="CA2566" i="5" s="1"/>
  <c r="BS2506" i="5"/>
  <c r="BZ2506" i="5" s="1"/>
  <c r="CA2506" i="5" s="1"/>
  <c r="BS79" i="5"/>
  <c r="BZ79" i="5" s="1"/>
  <c r="CA79" i="5" s="1"/>
  <c r="BS235" i="5"/>
  <c r="BZ235" i="5" s="1"/>
  <c r="CA235" i="5" s="1"/>
  <c r="BS310" i="5"/>
  <c r="BZ310" i="5" s="1"/>
  <c r="CA310" i="5" s="1"/>
  <c r="BS403" i="5"/>
  <c r="BZ403" i="5" s="1"/>
  <c r="CA403" i="5" s="1"/>
  <c r="BS519" i="5"/>
  <c r="BZ519" i="5" s="1"/>
  <c r="CA519" i="5" s="1"/>
  <c r="BS664" i="5"/>
  <c r="BZ664" i="5" s="1"/>
  <c r="CA664" i="5" s="1"/>
  <c r="BS761" i="5"/>
  <c r="BZ761" i="5" s="1"/>
  <c r="CA761" i="5" s="1"/>
  <c r="BS859" i="5"/>
  <c r="BZ859" i="5" s="1"/>
  <c r="CA859" i="5" s="1"/>
  <c r="BS931" i="5"/>
  <c r="BZ931" i="5" s="1"/>
  <c r="CA931" i="5" s="1"/>
  <c r="BS1015" i="5"/>
  <c r="BZ1015" i="5" s="1"/>
  <c r="CA1015" i="5" s="1"/>
  <c r="BS1083" i="5"/>
  <c r="BZ1083" i="5" s="1"/>
  <c r="CA1083" i="5" s="1"/>
  <c r="BS1143" i="5"/>
  <c r="BZ1143" i="5" s="1"/>
  <c r="CA1143" i="5" s="1"/>
  <c r="BS1227" i="5"/>
  <c r="BZ1227" i="5" s="1"/>
  <c r="CA1227" i="5" s="1"/>
  <c r="BS1315" i="5"/>
  <c r="BZ1315" i="5" s="1"/>
  <c r="CA1315" i="5" s="1"/>
  <c r="BS1411" i="5"/>
  <c r="BZ1411" i="5" s="1"/>
  <c r="CA1411" i="5" s="1"/>
  <c r="BS1515" i="5"/>
  <c r="BZ1515" i="5" s="1"/>
  <c r="CA1515" i="5" s="1"/>
  <c r="BS1650" i="5"/>
  <c r="BZ1650" i="5" s="1"/>
  <c r="CA1650" i="5" s="1"/>
  <c r="BS1743" i="5"/>
  <c r="BZ1743" i="5" s="1"/>
  <c r="CA1743" i="5" s="1"/>
  <c r="BS1830" i="5"/>
  <c r="BZ1830" i="5" s="1"/>
  <c r="CA1830" i="5" s="1"/>
  <c r="BS1899" i="5"/>
  <c r="BZ1899" i="5" s="1"/>
  <c r="CA1899" i="5" s="1"/>
  <c r="BS1975" i="5"/>
  <c r="BZ1975" i="5" s="1"/>
  <c r="CA1975" i="5" s="1"/>
  <c r="BS2055" i="5"/>
  <c r="BZ2055" i="5" s="1"/>
  <c r="CA2055" i="5" s="1"/>
  <c r="BS2124" i="5"/>
  <c r="BZ2124" i="5" s="1"/>
  <c r="CA2124" i="5" s="1"/>
  <c r="BS2227" i="5"/>
  <c r="BZ2227" i="5" s="1"/>
  <c r="CA2227" i="5" s="1"/>
  <c r="BS2330" i="5"/>
  <c r="BZ2330" i="5" s="1"/>
  <c r="CA2330" i="5" s="1"/>
  <c r="BS2415" i="5"/>
  <c r="BZ2415" i="5" s="1"/>
  <c r="CA2415" i="5" s="1"/>
  <c r="BS2524" i="5"/>
  <c r="BZ2524" i="5" s="1"/>
  <c r="CA2524" i="5" s="1"/>
  <c r="BS2691" i="5"/>
  <c r="BZ2691" i="5" s="1"/>
  <c r="CA2691" i="5" s="1"/>
  <c r="BS2454" i="5"/>
  <c r="BZ2454" i="5" s="1"/>
  <c r="CA2454" i="5" s="1"/>
  <c r="BS2402" i="5"/>
  <c r="BZ2402" i="5" s="1"/>
  <c r="CA2402" i="5" s="1"/>
  <c r="BS2342" i="5"/>
  <c r="BZ2342" i="5" s="1"/>
  <c r="CA2342" i="5" s="1"/>
  <c r="BS2284" i="5"/>
  <c r="BZ2284" i="5" s="1"/>
  <c r="CA2284" i="5" s="1"/>
  <c r="BS2224" i="5"/>
  <c r="BZ2224" i="5" s="1"/>
  <c r="CA2224" i="5" s="1"/>
  <c r="BS2178" i="5"/>
  <c r="BZ2178" i="5" s="1"/>
  <c r="CA2178" i="5" s="1"/>
  <c r="BS2128" i="5"/>
  <c r="BZ2128" i="5" s="1"/>
  <c r="CA2128" i="5" s="1"/>
  <c r="BS2078" i="5"/>
  <c r="BZ2078" i="5" s="1"/>
  <c r="CA2078" i="5" s="1"/>
  <c r="BS2017" i="5"/>
  <c r="BZ2017" i="5" s="1"/>
  <c r="CA2017" i="5" s="1"/>
  <c r="BS1958" i="5"/>
  <c r="BZ1958" i="5" s="1"/>
  <c r="CA1958" i="5" s="1"/>
  <c r="BS1874" i="5"/>
  <c r="BZ1874" i="5" s="1"/>
  <c r="CA1874" i="5" s="1"/>
  <c r="BS1782" i="5"/>
  <c r="BZ1782" i="5" s="1"/>
  <c r="CA1782" i="5" s="1"/>
  <c r="BS1703" i="5"/>
  <c r="BZ1703" i="5" s="1"/>
  <c r="CA1703" i="5" s="1"/>
  <c r="BS1622" i="5"/>
  <c r="BZ1622" i="5" s="1"/>
  <c r="CA1622" i="5" s="1"/>
  <c r="BS1562" i="5"/>
  <c r="BZ1562" i="5" s="1"/>
  <c r="CA1562" i="5" s="1"/>
  <c r="BS1494" i="5"/>
  <c r="BZ1494" i="5" s="1"/>
  <c r="CA1494" i="5" s="1"/>
  <c r="BS1403" i="5"/>
  <c r="BZ1403" i="5" s="1"/>
  <c r="CA1403" i="5" s="1"/>
  <c r="BS1338" i="5"/>
  <c r="BZ1338" i="5" s="1"/>
  <c r="CA1338" i="5" s="1"/>
  <c r="BS1290" i="5"/>
  <c r="BZ1290" i="5" s="1"/>
  <c r="CA1290" i="5" s="1"/>
  <c r="BS1239" i="5"/>
  <c r="BZ1239" i="5" s="1"/>
  <c r="CA1239" i="5" s="1"/>
  <c r="BS1192" i="5"/>
  <c r="BZ1192" i="5" s="1"/>
  <c r="CA1192" i="5" s="1"/>
  <c r="BS1110" i="5"/>
  <c r="BZ1110" i="5" s="1"/>
  <c r="CA1110" i="5" s="1"/>
  <c r="BS1046" i="5"/>
  <c r="BZ1046" i="5" s="1"/>
  <c r="CA1046" i="5" s="1"/>
  <c r="BS964" i="5"/>
  <c r="BZ964" i="5" s="1"/>
  <c r="CA964" i="5" s="1"/>
  <c r="BS809" i="5"/>
  <c r="BZ809" i="5" s="1"/>
  <c r="CA809" i="5" s="1"/>
  <c r="BS710" i="5"/>
  <c r="BZ710" i="5" s="1"/>
  <c r="CA710" i="5" s="1"/>
  <c r="BS599" i="5"/>
  <c r="BZ599" i="5" s="1"/>
  <c r="CA599" i="5" s="1"/>
  <c r="BS455" i="5"/>
  <c r="BZ455" i="5" s="1"/>
  <c r="CA455" i="5" s="1"/>
  <c r="BS342" i="5"/>
  <c r="BZ342" i="5" s="1"/>
  <c r="CA342" i="5" s="1"/>
  <c r="BS162" i="5"/>
  <c r="BZ162" i="5" s="1"/>
  <c r="CA162" i="5" s="1"/>
  <c r="BS485" i="5"/>
  <c r="BZ485" i="5" s="1"/>
  <c r="CA485" i="5" s="1"/>
  <c r="BS736" i="5"/>
  <c r="BZ736" i="5" s="1"/>
  <c r="CA736" i="5" s="1"/>
  <c r="BS2580" i="5"/>
  <c r="BZ2580" i="5" s="1"/>
  <c r="CA2580" i="5" s="1"/>
  <c r="BS2742" i="5"/>
  <c r="BZ2742" i="5" s="1"/>
  <c r="CA2742" i="5" s="1"/>
  <c r="BS234" i="5"/>
  <c r="BZ234" i="5" s="1"/>
  <c r="CA234" i="5" s="1"/>
  <c r="BS352" i="5"/>
  <c r="BZ352" i="5" s="1"/>
  <c r="CA352" i="5" s="1"/>
  <c r="BS505" i="5"/>
  <c r="BZ505" i="5" s="1"/>
  <c r="CA505" i="5" s="1"/>
  <c r="BS637" i="5"/>
  <c r="BZ637" i="5" s="1"/>
  <c r="CA637" i="5" s="1"/>
  <c r="BS817" i="5"/>
  <c r="BZ817" i="5" s="1"/>
  <c r="CA817" i="5" s="1"/>
  <c r="BS925" i="5"/>
  <c r="BZ925" i="5" s="1"/>
  <c r="CA925" i="5" s="1"/>
  <c r="BS1033" i="5"/>
  <c r="BZ1033" i="5" s="1"/>
  <c r="CA1033" i="5" s="1"/>
  <c r="BS1177" i="5"/>
  <c r="BZ1177" i="5" s="1"/>
  <c r="CA1177" i="5" s="1"/>
  <c r="BS1321" i="5"/>
  <c r="BZ1321" i="5" s="1"/>
  <c r="CA1321" i="5" s="1"/>
  <c r="BS1477" i="5"/>
  <c r="BZ1477" i="5" s="1"/>
  <c r="CA1477" i="5" s="1"/>
  <c r="BS1621" i="5"/>
  <c r="BZ1621" i="5" s="1"/>
  <c r="CA1621" i="5" s="1"/>
  <c r="BS1765" i="5"/>
  <c r="BZ1765" i="5" s="1"/>
  <c r="CA1765" i="5" s="1"/>
  <c r="BS1921" i="5"/>
  <c r="BZ1921" i="5" s="1"/>
  <c r="CA1921" i="5" s="1"/>
  <c r="BS2113" i="5"/>
  <c r="BZ2113" i="5" s="1"/>
  <c r="CA2113" i="5" s="1"/>
  <c r="BS2317" i="5"/>
  <c r="BZ2317" i="5" s="1"/>
  <c r="CA2317" i="5" s="1"/>
  <c r="BS2553" i="5"/>
  <c r="BZ2553" i="5" s="1"/>
  <c r="CA2553" i="5" s="1"/>
  <c r="BS2636" i="5"/>
  <c r="BZ2636" i="5" s="1"/>
  <c r="CA2636" i="5" s="1"/>
  <c r="BS2713" i="5"/>
  <c r="BZ2713" i="5" s="1"/>
  <c r="CA2713" i="5" s="1"/>
  <c r="BS2424" i="5"/>
  <c r="BZ2424" i="5" s="1"/>
  <c r="CA2424" i="5" s="1"/>
  <c r="BS2254" i="5"/>
  <c r="BZ2254" i="5" s="1"/>
  <c r="CA2254" i="5" s="1"/>
  <c r="BS2002" i="5"/>
  <c r="BZ2002" i="5" s="1"/>
  <c r="CA2002" i="5" s="1"/>
  <c r="BS1762" i="5"/>
  <c r="BZ1762" i="5" s="1"/>
  <c r="CA1762" i="5" s="1"/>
  <c r="BS1536" i="5"/>
  <c r="BZ1536" i="5" s="1"/>
  <c r="CA1536" i="5" s="1"/>
  <c r="BS1320" i="5"/>
  <c r="BZ1320" i="5" s="1"/>
  <c r="CA1320" i="5" s="1"/>
  <c r="BS1030" i="5"/>
  <c r="BZ1030" i="5" s="1"/>
  <c r="CA1030" i="5" s="1"/>
  <c r="BS888" i="5"/>
  <c r="BZ888" i="5" s="1"/>
  <c r="CA888" i="5" s="1"/>
  <c r="BS746" i="5"/>
  <c r="BZ746" i="5" s="1"/>
  <c r="CA746" i="5" s="1"/>
  <c r="BS648" i="5"/>
  <c r="BZ648" i="5" s="1"/>
  <c r="CA648" i="5" s="1"/>
  <c r="BS529" i="5"/>
  <c r="BZ529" i="5" s="1"/>
  <c r="CA529" i="5" s="1"/>
  <c r="BS434" i="5"/>
  <c r="BZ434" i="5" s="1"/>
  <c r="CA434" i="5" s="1"/>
  <c r="BS292" i="5"/>
  <c r="BZ292" i="5" s="1"/>
  <c r="CA292" i="5" s="1"/>
  <c r="BS124" i="5"/>
  <c r="BZ124" i="5" s="1"/>
  <c r="CA124" i="5" s="1"/>
  <c r="BS2705" i="5"/>
  <c r="BZ2705" i="5" s="1"/>
  <c r="CA2705" i="5" s="1"/>
  <c r="BS2621" i="5"/>
  <c r="BZ2621" i="5" s="1"/>
  <c r="CA2621" i="5" s="1"/>
  <c r="BS2536" i="5"/>
  <c r="BZ2536" i="5" s="1"/>
  <c r="CA2536" i="5" s="1"/>
  <c r="BS2491" i="5"/>
  <c r="BZ2491" i="5" s="1"/>
  <c r="CA2491" i="5" s="1"/>
  <c r="BS2421" i="5"/>
  <c r="BZ2421" i="5" s="1"/>
  <c r="CA2421" i="5" s="1"/>
  <c r="BS2361" i="5"/>
  <c r="BZ2361" i="5" s="1"/>
  <c r="CA2361" i="5" s="1"/>
  <c r="BS2306" i="5"/>
  <c r="BZ2306" i="5" s="1"/>
  <c r="CA2306" i="5" s="1"/>
  <c r="BS2252" i="5"/>
  <c r="BZ2252" i="5" s="1"/>
  <c r="CA2252" i="5" s="1"/>
  <c r="BS2181" i="5"/>
  <c r="BZ2181" i="5" s="1"/>
  <c r="CA2181" i="5" s="1"/>
  <c r="BS2132" i="5"/>
  <c r="BZ2132" i="5" s="1"/>
  <c r="CA2132" i="5" s="1"/>
  <c r="BS2073" i="5"/>
  <c r="BZ2073" i="5" s="1"/>
  <c r="CA2073" i="5" s="1"/>
  <c r="BS2012" i="5"/>
  <c r="BZ2012" i="5" s="1"/>
  <c r="CA2012" i="5" s="1"/>
  <c r="BS1941" i="5"/>
  <c r="BZ1941" i="5" s="1"/>
  <c r="CA1941" i="5" s="1"/>
  <c r="BS1881" i="5"/>
  <c r="BZ1881" i="5" s="1"/>
  <c r="CA1881" i="5" s="1"/>
  <c r="BS1832" i="5"/>
  <c r="BZ1832" i="5" s="1"/>
  <c r="CA1832" i="5" s="1"/>
  <c r="BS1773" i="5"/>
  <c r="BZ1773" i="5" s="1"/>
  <c r="CA1773" i="5" s="1"/>
  <c r="BS1719" i="5"/>
  <c r="BZ1719" i="5" s="1"/>
  <c r="CA1719" i="5" s="1"/>
  <c r="BS1668" i="5"/>
  <c r="BZ1668" i="5" s="1"/>
  <c r="CA1668" i="5" s="1"/>
  <c r="BS1617" i="5"/>
  <c r="BZ1617" i="5" s="1"/>
  <c r="CA1617" i="5" s="1"/>
  <c r="BS1572" i="5"/>
  <c r="BZ1572" i="5" s="1"/>
  <c r="CA1572" i="5" s="1"/>
  <c r="BS1531" i="5"/>
  <c r="BZ1531" i="5" s="1"/>
  <c r="CA1531" i="5" s="1"/>
  <c r="BS1484" i="5"/>
  <c r="BZ1484" i="5" s="1"/>
  <c r="CA1484" i="5" s="1"/>
  <c r="BS1437" i="5"/>
  <c r="BZ1437" i="5" s="1"/>
  <c r="CA1437" i="5" s="1"/>
  <c r="BS1388" i="5"/>
  <c r="BZ1388" i="5" s="1"/>
  <c r="CA1388" i="5" s="1"/>
  <c r="BS1340" i="5"/>
  <c r="BZ1340" i="5" s="1"/>
  <c r="CA1340" i="5" s="1"/>
  <c r="BS1271" i="5"/>
  <c r="BZ1271" i="5" s="1"/>
  <c r="CA1271" i="5" s="1"/>
  <c r="BS1220" i="5"/>
  <c r="BZ1220" i="5" s="1"/>
  <c r="CA1220" i="5" s="1"/>
  <c r="BS1172" i="5"/>
  <c r="BZ1172" i="5" s="1"/>
  <c r="CA1172" i="5" s="1"/>
  <c r="BS1101" i="5"/>
  <c r="BZ1101" i="5" s="1"/>
  <c r="CA1101" i="5" s="1"/>
  <c r="BS1052" i="5"/>
  <c r="BZ1052" i="5" s="1"/>
  <c r="CA1052" i="5" s="1"/>
  <c r="BS1011" i="5"/>
  <c r="BZ1011" i="5" s="1"/>
  <c r="CA1011" i="5" s="1"/>
  <c r="BS968" i="5"/>
  <c r="BZ968" i="5" s="1"/>
  <c r="CA968" i="5" s="1"/>
  <c r="BS932" i="5"/>
  <c r="BZ932" i="5" s="1"/>
  <c r="CA932" i="5" s="1"/>
  <c r="BS891" i="5"/>
  <c r="BZ891" i="5" s="1"/>
  <c r="CA891" i="5" s="1"/>
  <c r="BS844" i="5"/>
  <c r="BZ844" i="5" s="1"/>
  <c r="CA844" i="5" s="1"/>
  <c r="BS799" i="5"/>
  <c r="BZ799" i="5" s="1"/>
  <c r="CA799" i="5" s="1"/>
  <c r="BS759" i="5"/>
  <c r="BZ759" i="5" s="1"/>
  <c r="CA759" i="5" s="1"/>
  <c r="BS717" i="5"/>
  <c r="BZ717" i="5" s="1"/>
  <c r="CA717" i="5" s="1"/>
  <c r="BS680" i="5"/>
  <c r="BZ680" i="5" s="1"/>
  <c r="CA680" i="5" s="1"/>
  <c r="BS640" i="5"/>
  <c r="BZ640" i="5" s="1"/>
  <c r="CA640" i="5" s="1"/>
  <c r="BS607" i="5"/>
  <c r="BZ607" i="5" s="1"/>
  <c r="CA607" i="5" s="1"/>
  <c r="BS571" i="5"/>
  <c r="BZ571" i="5" s="1"/>
  <c r="CA571" i="5" s="1"/>
  <c r="BS532" i="5"/>
  <c r="BZ532" i="5" s="1"/>
  <c r="CA532" i="5" s="1"/>
  <c r="BS490" i="5"/>
  <c r="BZ490" i="5" s="1"/>
  <c r="CA490" i="5" s="1"/>
  <c r="BS464" i="5"/>
  <c r="BZ464" i="5" s="1"/>
  <c r="CA464" i="5" s="1"/>
  <c r="BS429" i="5"/>
  <c r="BZ429" i="5" s="1"/>
  <c r="CA429" i="5" s="1"/>
  <c r="BS399" i="5"/>
  <c r="BZ399" i="5" s="1"/>
  <c r="CA399" i="5" s="1"/>
  <c r="BS367" i="5"/>
  <c r="BZ367" i="5" s="1"/>
  <c r="CA367" i="5" s="1"/>
  <c r="BS332" i="5"/>
  <c r="BZ332" i="5" s="1"/>
  <c r="CA332" i="5" s="1"/>
  <c r="BS296" i="5"/>
  <c r="BZ296" i="5" s="1"/>
  <c r="CA296" i="5" s="1"/>
  <c r="BS256" i="5"/>
  <c r="BZ256" i="5" s="1"/>
  <c r="CA256" i="5" s="1"/>
  <c r="BS236" i="5"/>
  <c r="BZ236" i="5" s="1"/>
  <c r="CA236" i="5" s="1"/>
  <c r="BS220" i="5"/>
  <c r="BZ220" i="5" s="1"/>
  <c r="CA220" i="5" s="1"/>
  <c r="BS202" i="5"/>
  <c r="BZ202" i="5" s="1"/>
  <c r="CA202" i="5" s="1"/>
  <c r="BS185" i="5"/>
  <c r="BZ185" i="5" s="1"/>
  <c r="CA185" i="5" s="1"/>
  <c r="BS166" i="5"/>
  <c r="BZ166" i="5" s="1"/>
  <c r="CA166" i="5" s="1"/>
  <c r="BS149" i="5"/>
  <c r="BZ149" i="5" s="1"/>
  <c r="CA149" i="5" s="1"/>
  <c r="BS132" i="5"/>
  <c r="BZ132" i="5" s="1"/>
  <c r="CA132" i="5" s="1"/>
  <c r="BS113" i="5"/>
  <c r="BZ113" i="5" s="1"/>
  <c r="CA113" i="5" s="1"/>
  <c r="BS97" i="5"/>
  <c r="BZ97" i="5" s="1"/>
  <c r="CA97" i="5" s="1"/>
  <c r="BS80" i="5"/>
  <c r="BZ80" i="5" s="1"/>
  <c r="CA80" i="5" s="1"/>
  <c r="BS63" i="5"/>
  <c r="BZ63" i="5" s="1"/>
  <c r="CA63" i="5" s="1"/>
  <c r="BS47" i="5"/>
  <c r="BZ47" i="5" s="1"/>
  <c r="CA47" i="5" s="1"/>
  <c r="BS29" i="5"/>
  <c r="BZ29" i="5" s="1"/>
  <c r="CA29" i="5" s="1"/>
  <c r="BS13" i="5"/>
  <c r="BZ13" i="5" s="1"/>
  <c r="CA13" i="5" s="1"/>
  <c r="BS2725" i="5"/>
  <c r="BZ2725" i="5" s="1"/>
  <c r="CA2725" i="5" s="1"/>
  <c r="BS2677" i="5"/>
  <c r="BZ2677" i="5" s="1"/>
  <c r="CA2677" i="5" s="1"/>
  <c r="BS2619" i="5"/>
  <c r="BZ2619" i="5" s="1"/>
  <c r="CA2619" i="5" s="1"/>
  <c r="BS2576" i="5"/>
  <c r="BZ2576" i="5" s="1"/>
  <c r="CA2576" i="5" s="1"/>
  <c r="BS2528" i="5"/>
  <c r="BZ2528" i="5" s="1"/>
  <c r="CA2528" i="5" s="1"/>
  <c r="BS2460" i="5"/>
  <c r="BZ2460" i="5" s="1"/>
  <c r="CA2460" i="5" s="1"/>
  <c r="BS2429" i="5"/>
  <c r="BZ2429" i="5" s="1"/>
  <c r="CA2429" i="5" s="1"/>
  <c r="BS2393" i="5"/>
  <c r="BZ2393" i="5" s="1"/>
  <c r="CA2393" i="5" s="1"/>
  <c r="BS2364" i="5"/>
  <c r="BZ2364" i="5" s="1"/>
  <c r="CA2364" i="5" s="1"/>
  <c r="BS2328" i="5"/>
  <c r="BZ2328" i="5" s="1"/>
  <c r="CA2328" i="5" s="1"/>
  <c r="BS2291" i="5"/>
  <c r="BZ2291" i="5" s="1"/>
  <c r="CA2291" i="5" s="1"/>
  <c r="BS2255" i="5"/>
  <c r="BZ2255" i="5" s="1"/>
  <c r="CA2255" i="5" s="1"/>
  <c r="BS2220" i="5"/>
  <c r="BZ2220" i="5" s="1"/>
  <c r="CA2220" i="5" s="1"/>
  <c r="BS2177" i="5"/>
  <c r="BZ2177" i="5" s="1"/>
  <c r="CA2177" i="5" s="1"/>
  <c r="BS2141" i="5"/>
  <c r="BZ2141" i="5" s="1"/>
  <c r="CA2141" i="5" s="1"/>
  <c r="BS2100" i="5"/>
  <c r="BZ2100" i="5" s="1"/>
  <c r="CA2100" i="5" s="1"/>
  <c r="BS2069" i="5"/>
  <c r="BZ2069" i="5" s="1"/>
  <c r="CA2069" i="5" s="1"/>
  <c r="BS2028" i="5"/>
  <c r="BZ2028" i="5" s="1"/>
  <c r="CA2028" i="5" s="1"/>
  <c r="BS1997" i="5"/>
  <c r="BZ1997" i="5" s="1"/>
  <c r="CA1997" i="5" s="1"/>
  <c r="BS1961" i="5"/>
  <c r="BZ1961" i="5" s="1"/>
  <c r="CA1961" i="5" s="1"/>
  <c r="BS1936" i="5"/>
  <c r="BZ1936" i="5" s="1"/>
  <c r="CA1936" i="5" s="1"/>
  <c r="BS1900" i="5"/>
  <c r="BZ1900" i="5" s="1"/>
  <c r="CA1900" i="5" s="1"/>
  <c r="BS1870" i="5"/>
  <c r="BZ1870" i="5" s="1"/>
  <c r="CA1870" i="5" s="1"/>
  <c r="BS1835" i="5"/>
  <c r="BZ1835" i="5" s="1"/>
  <c r="CA1835" i="5" s="1"/>
  <c r="BS1799" i="5"/>
  <c r="BZ1799" i="5" s="1"/>
  <c r="CA1799" i="5" s="1"/>
  <c r="BS1768" i="5"/>
  <c r="BZ1768" i="5" s="1"/>
  <c r="CA1768" i="5" s="1"/>
  <c r="BS1738" i="5"/>
  <c r="BZ1738" i="5" s="1"/>
  <c r="CA1738" i="5" s="1"/>
  <c r="BS1708" i="5"/>
  <c r="BZ1708" i="5" s="1"/>
  <c r="CA1708" i="5" s="1"/>
  <c r="BS1667" i="5"/>
  <c r="BZ1667" i="5" s="1"/>
  <c r="CA1667" i="5" s="1"/>
  <c r="BS1631" i="5"/>
  <c r="BZ1631" i="5" s="1"/>
  <c r="CA1631" i="5" s="1"/>
  <c r="BS1595" i="5"/>
  <c r="BZ1595" i="5" s="1"/>
  <c r="CA1595" i="5" s="1"/>
  <c r="BS1558" i="5"/>
  <c r="BZ1558" i="5" s="1"/>
  <c r="CA1558" i="5" s="1"/>
  <c r="BS1524" i="5"/>
  <c r="BZ1524" i="5" s="1"/>
  <c r="CA1524" i="5" s="1"/>
  <c r="BS1487" i="5"/>
  <c r="BZ1487" i="5" s="1"/>
  <c r="CA1487" i="5" s="1"/>
  <c r="BS1452" i="5"/>
  <c r="BZ1452" i="5" s="1"/>
  <c r="CA1452" i="5" s="1"/>
  <c r="BS1415" i="5"/>
  <c r="BZ1415" i="5" s="1"/>
  <c r="CA1415" i="5" s="1"/>
  <c r="BS1385" i="5"/>
  <c r="BZ1385" i="5" s="1"/>
  <c r="CA1385" i="5" s="1"/>
  <c r="BS1348" i="5"/>
  <c r="BZ1348" i="5" s="1"/>
  <c r="CA1348" i="5" s="1"/>
  <c r="BS1301" i="5"/>
  <c r="BZ1301" i="5" s="1"/>
  <c r="CA1301" i="5" s="1"/>
  <c r="BS1264" i="5"/>
  <c r="BZ1264" i="5" s="1"/>
  <c r="CA1264" i="5" s="1"/>
  <c r="BS1224" i="5"/>
  <c r="BZ1224" i="5" s="1"/>
  <c r="CA1224" i="5" s="1"/>
  <c r="BS1193" i="5"/>
  <c r="BZ1193" i="5" s="1"/>
  <c r="CA1193" i="5" s="1"/>
  <c r="BS1156" i="5"/>
  <c r="BZ1156" i="5" s="1"/>
  <c r="CA1156" i="5" s="1"/>
  <c r="BS1121" i="5"/>
  <c r="BZ1121" i="5" s="1"/>
  <c r="CA1121" i="5" s="1"/>
  <c r="BS1090" i="5"/>
  <c r="BZ1090" i="5" s="1"/>
  <c r="CA1090" i="5" s="1"/>
  <c r="BS1024" i="5"/>
  <c r="BZ1024" i="5" s="1"/>
  <c r="CA1024" i="5" s="1"/>
  <c r="BS971" i="5"/>
  <c r="BZ971" i="5" s="1"/>
  <c r="CA971" i="5" s="1"/>
  <c r="BS930" i="5"/>
  <c r="BZ930" i="5" s="1"/>
  <c r="CA930" i="5" s="1"/>
  <c r="BS899" i="5"/>
  <c r="BZ899" i="5" s="1"/>
  <c r="CA899" i="5" s="1"/>
  <c r="BS851" i="5"/>
  <c r="BZ851" i="5" s="1"/>
  <c r="CA851" i="5" s="1"/>
  <c r="BS810" i="5"/>
  <c r="BZ810" i="5" s="1"/>
  <c r="CA810" i="5" s="1"/>
  <c r="BS756" i="5"/>
  <c r="BZ756" i="5" s="1"/>
  <c r="CA756" i="5" s="1"/>
  <c r="BS713" i="5"/>
  <c r="BZ713" i="5" s="1"/>
  <c r="CA713" i="5" s="1"/>
  <c r="BS659" i="5"/>
  <c r="BZ659" i="5" s="1"/>
  <c r="CA659" i="5" s="1"/>
  <c r="BS606" i="5"/>
  <c r="BZ606" i="5" s="1"/>
  <c r="CA606" i="5" s="1"/>
  <c r="BS558" i="5"/>
  <c r="BZ558" i="5" s="1"/>
  <c r="CA558" i="5" s="1"/>
  <c r="BS516" i="5"/>
  <c r="BZ516" i="5" s="1"/>
  <c r="CA516" i="5" s="1"/>
  <c r="BS462" i="5"/>
  <c r="BZ462" i="5" s="1"/>
  <c r="CA462" i="5" s="1"/>
  <c r="BS396" i="5"/>
  <c r="BZ396" i="5" s="1"/>
  <c r="CA396" i="5" s="1"/>
  <c r="BS341" i="5"/>
  <c r="BZ341" i="5" s="1"/>
  <c r="CA341" i="5" s="1"/>
  <c r="BS286" i="5"/>
  <c r="BZ286" i="5" s="1"/>
  <c r="CA286" i="5" s="1"/>
  <c r="BS178" i="5"/>
  <c r="BZ178" i="5" s="1"/>
  <c r="CA178" i="5" s="1"/>
  <c r="BS6" i="5"/>
  <c r="BZ6" i="5" s="1"/>
  <c r="CA6" i="5" s="1"/>
  <c r="BS2712" i="5"/>
  <c r="BZ2712" i="5" s="1"/>
  <c r="CA2712" i="5" s="1"/>
  <c r="BS2663" i="5"/>
  <c r="BZ2663" i="5" s="1"/>
  <c r="CA2663" i="5" s="1"/>
  <c r="BS2610" i="5"/>
  <c r="BZ2610" i="5" s="1"/>
  <c r="CA2610" i="5" s="1"/>
  <c r="BS2562" i="5"/>
  <c r="BZ2562" i="5" s="1"/>
  <c r="CA2562" i="5" s="1"/>
  <c r="BS2502" i="5"/>
  <c r="BZ2502" i="5" s="1"/>
  <c r="CA2502" i="5" s="1"/>
  <c r="BS91" i="5"/>
  <c r="BZ91" i="5" s="1"/>
  <c r="CA91" i="5" s="1"/>
  <c r="BS238" i="5"/>
  <c r="BZ238" i="5" s="1"/>
  <c r="CA238" i="5" s="1"/>
  <c r="BS312" i="5"/>
  <c r="BZ312" i="5" s="1"/>
  <c r="CA312" i="5" s="1"/>
  <c r="BS407" i="5"/>
  <c r="BZ407" i="5" s="1"/>
  <c r="CA407" i="5" s="1"/>
  <c r="BS521" i="5"/>
  <c r="BZ521" i="5" s="1"/>
  <c r="CA521" i="5" s="1"/>
  <c r="BS665" i="5"/>
  <c r="BZ665" i="5" s="1"/>
  <c r="CA665" i="5" s="1"/>
  <c r="BS766" i="5"/>
  <c r="BZ766" i="5" s="1"/>
  <c r="CA766" i="5" s="1"/>
  <c r="BS862" i="5"/>
  <c r="BZ862" i="5" s="1"/>
  <c r="CA862" i="5" s="1"/>
  <c r="BS951" i="5"/>
  <c r="BZ951" i="5" s="1"/>
  <c r="CA951" i="5" s="1"/>
  <c r="BS1022" i="5"/>
  <c r="BZ1022" i="5" s="1"/>
  <c r="CA1022" i="5" s="1"/>
  <c r="BS1084" i="5"/>
  <c r="BZ1084" i="5" s="1"/>
  <c r="CA1084" i="5" s="1"/>
  <c r="BS1147" i="5"/>
  <c r="BZ1147" i="5" s="1"/>
  <c r="CA1147" i="5" s="1"/>
  <c r="BS1231" i="5"/>
  <c r="BZ1231" i="5" s="1"/>
  <c r="CA1231" i="5" s="1"/>
  <c r="BS1323" i="5"/>
  <c r="BZ1323" i="5" s="1"/>
  <c r="CA1323" i="5" s="1"/>
  <c r="BS1420" i="5"/>
  <c r="BZ1420" i="5" s="1"/>
  <c r="CA1420" i="5" s="1"/>
  <c r="BS1527" i="5"/>
  <c r="BZ1527" i="5" s="1"/>
  <c r="CA1527" i="5" s="1"/>
  <c r="BS1651" i="5"/>
  <c r="BZ1651" i="5" s="1"/>
  <c r="CA1651" i="5" s="1"/>
  <c r="BS1754" i="5"/>
  <c r="BZ1754" i="5" s="1"/>
  <c r="CA1754" i="5" s="1"/>
  <c r="BS1831" i="5"/>
  <c r="BZ1831" i="5" s="1"/>
  <c r="CA1831" i="5" s="1"/>
  <c r="BS1903" i="5"/>
  <c r="BZ1903" i="5" s="1"/>
  <c r="CA1903" i="5" s="1"/>
  <c r="BS1987" i="5"/>
  <c r="BZ1987" i="5" s="1"/>
  <c r="CA1987" i="5" s="1"/>
  <c r="BS2059" i="5"/>
  <c r="BZ2059" i="5" s="1"/>
  <c r="CA2059" i="5" s="1"/>
  <c r="BS2151" i="5"/>
  <c r="BZ2151" i="5" s="1"/>
  <c r="CA2151" i="5" s="1"/>
  <c r="BS2235" i="5"/>
  <c r="BZ2235" i="5" s="1"/>
  <c r="CA2235" i="5" s="1"/>
  <c r="BS2335" i="5"/>
  <c r="BZ2335" i="5" s="1"/>
  <c r="CA2335" i="5" s="1"/>
  <c r="BS2427" i="5"/>
  <c r="BZ2427" i="5" s="1"/>
  <c r="CA2427" i="5" s="1"/>
  <c r="BS2538" i="5"/>
  <c r="BZ2538" i="5" s="1"/>
  <c r="CA2538" i="5" s="1"/>
  <c r="BS2700" i="5"/>
  <c r="BZ2700" i="5" s="1"/>
  <c r="CA2700" i="5" s="1"/>
  <c r="BS2452" i="5"/>
  <c r="BZ2452" i="5" s="1"/>
  <c r="CA2452" i="5" s="1"/>
  <c r="BS2394" i="5"/>
  <c r="BZ2394" i="5" s="1"/>
  <c r="CA2394" i="5" s="1"/>
  <c r="BS2334" i="5"/>
  <c r="BZ2334" i="5" s="1"/>
  <c r="CA2334" i="5" s="1"/>
  <c r="BS2282" i="5"/>
  <c r="BZ2282" i="5" s="1"/>
  <c r="CA2282" i="5" s="1"/>
  <c r="BS2223" i="5"/>
  <c r="BZ2223" i="5" s="1"/>
  <c r="CA2223" i="5" s="1"/>
  <c r="BS2176" i="5"/>
  <c r="BZ2176" i="5" s="1"/>
  <c r="CA2176" i="5" s="1"/>
  <c r="BS2126" i="5"/>
  <c r="BZ2126" i="5" s="1"/>
  <c r="CA2126" i="5" s="1"/>
  <c r="BS2068" i="5"/>
  <c r="BZ2068" i="5" s="1"/>
  <c r="CA2068" i="5" s="1"/>
  <c r="BS2008" i="5"/>
  <c r="BZ2008" i="5" s="1"/>
  <c r="CA2008" i="5" s="1"/>
  <c r="BS1948" i="5"/>
  <c r="BZ1948" i="5" s="1"/>
  <c r="CA1948" i="5" s="1"/>
  <c r="BS1862" i="5"/>
  <c r="BZ1862" i="5" s="1"/>
  <c r="CA1862" i="5" s="1"/>
  <c r="BS1781" i="5"/>
  <c r="BZ1781" i="5" s="1"/>
  <c r="CA1781" i="5" s="1"/>
  <c r="BS1694" i="5"/>
  <c r="BZ1694" i="5" s="1"/>
  <c r="CA1694" i="5" s="1"/>
  <c r="BS1619" i="5"/>
  <c r="BZ1619" i="5" s="1"/>
  <c r="CA1619" i="5" s="1"/>
  <c r="BS1550" i="5"/>
  <c r="BZ1550" i="5" s="1"/>
  <c r="CA1550" i="5" s="1"/>
  <c r="BS1490" i="5"/>
  <c r="BZ1490" i="5" s="1"/>
  <c r="CA1490" i="5" s="1"/>
  <c r="BS1399" i="5"/>
  <c r="BZ1399" i="5" s="1"/>
  <c r="CA1399" i="5" s="1"/>
  <c r="BS1336" i="5"/>
  <c r="BZ1336" i="5" s="1"/>
  <c r="CA1336" i="5" s="1"/>
  <c r="BS1288" i="5"/>
  <c r="BZ1288" i="5" s="1"/>
  <c r="CA1288" i="5" s="1"/>
  <c r="BS1238" i="5"/>
  <c r="BZ1238" i="5" s="1"/>
  <c r="CA1238" i="5" s="1"/>
  <c r="BS1190" i="5"/>
  <c r="BZ1190" i="5" s="1"/>
  <c r="CA1190" i="5" s="1"/>
  <c r="BS1106" i="5"/>
  <c r="BZ1106" i="5" s="1"/>
  <c r="CA1106" i="5" s="1"/>
  <c r="BS1032" i="5"/>
  <c r="BZ1032" i="5" s="1"/>
  <c r="CA1032" i="5" s="1"/>
  <c r="BS928" i="5"/>
  <c r="BZ928" i="5" s="1"/>
  <c r="CA928" i="5" s="1"/>
  <c r="BS807" i="5"/>
  <c r="BZ807" i="5" s="1"/>
  <c r="CA807" i="5" s="1"/>
  <c r="BS707" i="5"/>
  <c r="BZ707" i="5" s="1"/>
  <c r="CA707" i="5" s="1"/>
  <c r="BS590" i="5"/>
  <c r="BZ590" i="5" s="1"/>
  <c r="CA590" i="5" s="1"/>
  <c r="BS446" i="5"/>
  <c r="BZ446" i="5" s="1"/>
  <c r="CA446" i="5" s="1"/>
  <c r="BS323" i="5"/>
  <c r="BZ323" i="5" s="1"/>
  <c r="CA323" i="5" s="1"/>
  <c r="BS139" i="5"/>
  <c r="BZ139" i="5" s="1"/>
  <c r="CA139" i="5" s="1"/>
  <c r="BS509" i="5"/>
  <c r="BZ509" i="5" s="1"/>
  <c r="CA509" i="5" s="1"/>
  <c r="BS797" i="5"/>
  <c r="BZ797" i="5" s="1"/>
  <c r="CA797" i="5" s="1"/>
  <c r="BS2592" i="5"/>
  <c r="BZ2592" i="5" s="1"/>
  <c r="CA2592" i="5" s="1"/>
  <c r="BS4" i="5"/>
  <c r="BZ4" i="5" s="1"/>
  <c r="CA4" i="5" s="1"/>
  <c r="BS265" i="5"/>
  <c r="BZ265" i="5" s="1"/>
  <c r="CA265" i="5" s="1"/>
  <c r="BS373" i="5"/>
  <c r="BZ373" i="5" s="1"/>
  <c r="CA373" i="5" s="1"/>
  <c r="BS517" i="5"/>
  <c r="BZ517" i="5" s="1"/>
  <c r="CA517" i="5" s="1"/>
  <c r="BS650" i="5"/>
  <c r="BZ650" i="5" s="1"/>
  <c r="CA650" i="5" s="1"/>
  <c r="BS818" i="5"/>
  <c r="BZ818" i="5" s="1"/>
  <c r="CA818" i="5" s="1"/>
  <c r="BS926" i="5"/>
  <c r="BZ926" i="5" s="1"/>
  <c r="CA926" i="5" s="1"/>
  <c r="BS1045" i="5"/>
  <c r="BZ1045" i="5" s="1"/>
  <c r="CA1045" i="5" s="1"/>
  <c r="BS1189" i="5"/>
  <c r="BZ1189" i="5" s="1"/>
  <c r="CA1189" i="5" s="1"/>
  <c r="BS1333" i="5"/>
  <c r="BZ1333" i="5" s="1"/>
  <c r="CA1333" i="5" s="1"/>
  <c r="BS1489" i="5"/>
  <c r="BZ1489" i="5" s="1"/>
  <c r="CA1489" i="5" s="1"/>
  <c r="BS1633" i="5"/>
  <c r="BZ1633" i="5" s="1"/>
  <c r="CA1633" i="5" s="1"/>
  <c r="BS1772" i="5"/>
  <c r="BZ1772" i="5" s="1"/>
  <c r="CA1772" i="5" s="1"/>
  <c r="BS1933" i="5"/>
  <c r="BZ1933" i="5" s="1"/>
  <c r="CA1933" i="5" s="1"/>
  <c r="BS2125" i="5"/>
  <c r="BZ2125" i="5" s="1"/>
  <c r="CA2125" i="5" s="1"/>
  <c r="BS2329" i="5"/>
  <c r="BZ2329" i="5" s="1"/>
  <c r="CA2329" i="5" s="1"/>
  <c r="BS2565" i="5"/>
  <c r="BZ2565" i="5" s="1"/>
  <c r="CA2565" i="5" s="1"/>
  <c r="BS2641" i="5"/>
  <c r="BZ2641" i="5" s="1"/>
  <c r="CA2641" i="5" s="1"/>
  <c r="BS2719" i="5"/>
  <c r="BZ2719" i="5" s="1"/>
  <c r="CA2719" i="5" s="1"/>
  <c r="BS2413" i="5"/>
  <c r="BZ2413" i="5" s="1"/>
  <c r="CA2413" i="5" s="1"/>
  <c r="BS2208" i="5"/>
  <c r="BZ2208" i="5" s="1"/>
  <c r="CA2208" i="5" s="1"/>
  <c r="BS1992" i="5"/>
  <c r="BZ1992" i="5" s="1"/>
  <c r="CA1992" i="5" s="1"/>
  <c r="BS1750" i="5"/>
  <c r="BZ1750" i="5" s="1"/>
  <c r="CA1750" i="5" s="1"/>
  <c r="BS1488" i="5"/>
  <c r="BZ1488" i="5" s="1"/>
  <c r="CA1488" i="5" s="1"/>
  <c r="BS1318" i="5"/>
  <c r="BZ1318" i="5" s="1"/>
  <c r="CA1318" i="5" s="1"/>
  <c r="BS996" i="5"/>
  <c r="BZ996" i="5" s="1"/>
  <c r="CA996" i="5" s="1"/>
  <c r="BS874" i="5"/>
  <c r="BZ874" i="5" s="1"/>
  <c r="CA874" i="5" s="1"/>
  <c r="BS745" i="5"/>
  <c r="BZ745" i="5" s="1"/>
  <c r="CA745" i="5" s="1"/>
  <c r="BS645" i="5"/>
  <c r="BZ645" i="5" s="1"/>
  <c r="CA645" i="5" s="1"/>
  <c r="BS526" i="5"/>
  <c r="BZ526" i="5" s="1"/>
  <c r="CA526" i="5" s="1"/>
  <c r="BS433" i="5"/>
  <c r="BZ433" i="5" s="1"/>
  <c r="CA433" i="5" s="1"/>
  <c r="BS290" i="5"/>
  <c r="BZ290" i="5" s="1"/>
  <c r="CA290" i="5" s="1"/>
  <c r="BS123" i="5"/>
  <c r="BZ123" i="5" s="1"/>
  <c r="CA123" i="5" s="1"/>
  <c r="BS2704" i="5"/>
  <c r="BZ2704" i="5" s="1"/>
  <c r="CA2704" i="5" s="1"/>
  <c r="BS2609" i="5"/>
  <c r="BZ2609" i="5" s="1"/>
  <c r="CA2609" i="5" s="1"/>
  <c r="BS2525" i="5"/>
  <c r="BZ2525" i="5" s="1"/>
  <c r="CA2525" i="5" s="1"/>
  <c r="BS2481" i="5"/>
  <c r="BZ2481" i="5" s="1"/>
  <c r="CA2481" i="5" s="1"/>
  <c r="BS2420" i="5"/>
  <c r="BZ2420" i="5" s="1"/>
  <c r="CA2420" i="5" s="1"/>
  <c r="BS2360" i="5"/>
  <c r="BZ2360" i="5" s="1"/>
  <c r="CA2360" i="5" s="1"/>
  <c r="BS2301" i="5"/>
  <c r="BZ2301" i="5" s="1"/>
  <c r="CA2301" i="5" s="1"/>
  <c r="BS2247" i="5"/>
  <c r="BZ2247" i="5" s="1"/>
  <c r="CA2247" i="5" s="1"/>
  <c r="BS2180" i="5"/>
  <c r="BZ2180" i="5" s="1"/>
  <c r="CA2180" i="5" s="1"/>
  <c r="BS2127" i="5"/>
  <c r="BZ2127" i="5" s="1"/>
  <c r="CA2127" i="5" s="1"/>
  <c r="BS2072" i="5"/>
  <c r="BZ2072" i="5" s="1"/>
  <c r="CA2072" i="5" s="1"/>
  <c r="BS2001" i="5"/>
  <c r="BZ2001" i="5" s="1"/>
  <c r="CA2001" i="5" s="1"/>
  <c r="BS1940" i="5"/>
  <c r="BZ1940" i="5" s="1"/>
  <c r="CA1940" i="5" s="1"/>
  <c r="BS1880" i="5"/>
  <c r="BZ1880" i="5" s="1"/>
  <c r="CA1880" i="5" s="1"/>
  <c r="BS1821" i="5"/>
  <c r="BZ1821" i="5" s="1"/>
  <c r="CA1821" i="5" s="1"/>
  <c r="BS1771" i="5"/>
  <c r="BZ1771" i="5" s="1"/>
  <c r="CA1771" i="5" s="1"/>
  <c r="BS1713" i="5"/>
  <c r="BZ1713" i="5" s="1"/>
  <c r="CA1713" i="5" s="1"/>
  <c r="BS1665" i="5"/>
  <c r="BZ1665" i="5" s="1"/>
  <c r="CA1665" i="5" s="1"/>
  <c r="BS1616" i="5"/>
  <c r="BZ1616" i="5" s="1"/>
  <c r="CA1616" i="5" s="1"/>
  <c r="BS1569" i="5"/>
  <c r="BZ1569" i="5" s="1"/>
  <c r="CA1569" i="5" s="1"/>
  <c r="BS1521" i="5"/>
  <c r="BZ1521" i="5" s="1"/>
  <c r="CA1521" i="5" s="1"/>
  <c r="BS1473" i="5"/>
  <c r="BZ1473" i="5" s="1"/>
  <c r="CA1473" i="5" s="1"/>
  <c r="BS1436" i="5"/>
  <c r="BZ1436" i="5" s="1"/>
  <c r="CA1436" i="5" s="1"/>
  <c r="BS1380" i="5"/>
  <c r="BZ1380" i="5" s="1"/>
  <c r="CA1380" i="5" s="1"/>
  <c r="BS1329" i="5"/>
  <c r="BZ1329" i="5" s="1"/>
  <c r="CA1329" i="5" s="1"/>
  <c r="BS1269" i="5"/>
  <c r="BZ1269" i="5" s="1"/>
  <c r="CA1269" i="5" s="1"/>
  <c r="BS1209" i="5"/>
  <c r="BZ1209" i="5" s="1"/>
  <c r="CA1209" i="5" s="1"/>
  <c r="BS1161" i="5"/>
  <c r="BZ1161" i="5" s="1"/>
  <c r="CA1161" i="5" s="1"/>
  <c r="BS1100" i="5"/>
  <c r="BZ1100" i="5" s="1"/>
  <c r="CA1100" i="5" s="1"/>
  <c r="BS1051" i="5"/>
  <c r="BZ1051" i="5" s="1"/>
  <c r="CA1051" i="5" s="1"/>
  <c r="BS1005" i="5"/>
  <c r="BZ1005" i="5" s="1"/>
  <c r="CA1005" i="5" s="1"/>
  <c r="BS967" i="5"/>
  <c r="BZ967" i="5" s="1"/>
  <c r="CA967" i="5" s="1"/>
  <c r="BS927" i="5"/>
  <c r="BZ927" i="5" s="1"/>
  <c r="CA927" i="5" s="1"/>
  <c r="BS885" i="5"/>
  <c r="BZ885" i="5" s="1"/>
  <c r="CA885" i="5" s="1"/>
  <c r="BS843" i="5"/>
  <c r="BZ843" i="5" s="1"/>
  <c r="CA843" i="5" s="1"/>
  <c r="BS796" i="5"/>
  <c r="BZ796" i="5" s="1"/>
  <c r="CA796" i="5" s="1"/>
  <c r="BS753" i="5"/>
  <c r="BZ753" i="5" s="1"/>
  <c r="CA753" i="5" s="1"/>
  <c r="BS716" i="5"/>
  <c r="BZ716" i="5" s="1"/>
  <c r="CA716" i="5" s="1"/>
  <c r="BS679" i="5"/>
  <c r="BZ679" i="5" s="1"/>
  <c r="CA679" i="5" s="1"/>
  <c r="BS633" i="5"/>
  <c r="BZ633" i="5" s="1"/>
  <c r="CA633" i="5" s="1"/>
  <c r="BS597" i="5"/>
  <c r="BZ597" i="5" s="1"/>
  <c r="CA597" i="5" s="1"/>
  <c r="BS561" i="5"/>
  <c r="BZ561" i="5" s="1"/>
  <c r="CA561" i="5" s="1"/>
  <c r="BS525" i="5"/>
  <c r="BZ525" i="5" s="1"/>
  <c r="CA525" i="5" s="1"/>
  <c r="BS489" i="5"/>
  <c r="BZ489" i="5" s="1"/>
  <c r="CA489" i="5" s="1"/>
  <c r="BS463" i="5"/>
  <c r="BZ463" i="5" s="1"/>
  <c r="CA463" i="5" s="1"/>
  <c r="BS428" i="5"/>
  <c r="BZ428" i="5" s="1"/>
  <c r="CA428" i="5" s="1"/>
  <c r="BS394" i="5"/>
  <c r="BZ394" i="5" s="1"/>
  <c r="CA394" i="5" s="1"/>
  <c r="BS364" i="5"/>
  <c r="BZ364" i="5" s="1"/>
  <c r="CA364" i="5" s="1"/>
  <c r="BS331" i="5"/>
  <c r="BZ331" i="5" s="1"/>
  <c r="CA331" i="5" s="1"/>
  <c r="BS291" i="5"/>
  <c r="BZ291" i="5" s="1"/>
  <c r="CA291" i="5" s="1"/>
  <c r="BS253" i="5"/>
  <c r="BZ253" i="5" s="1"/>
  <c r="CA253" i="5" s="1"/>
  <c r="BS233" i="5"/>
  <c r="BZ233" i="5" s="1"/>
  <c r="CA233" i="5" s="1"/>
  <c r="BS218" i="5"/>
  <c r="BZ218" i="5" s="1"/>
  <c r="CA218" i="5" s="1"/>
  <c r="BS201" i="5"/>
  <c r="BZ201" i="5" s="1"/>
  <c r="CA201" i="5" s="1"/>
  <c r="BS184" i="5"/>
  <c r="BZ184" i="5" s="1"/>
  <c r="CA184" i="5" s="1"/>
  <c r="BS165" i="5"/>
  <c r="BZ165" i="5" s="1"/>
  <c r="CA165" i="5" s="1"/>
  <c r="BS148" i="5"/>
  <c r="BZ148" i="5" s="1"/>
  <c r="CA148" i="5" s="1"/>
  <c r="BS131" i="5"/>
  <c r="BZ131" i="5" s="1"/>
  <c r="CA131" i="5" s="1"/>
  <c r="BS111" i="5"/>
  <c r="BZ111" i="5" s="1"/>
  <c r="CA111" i="5" s="1"/>
  <c r="BS96" i="5"/>
  <c r="BZ96" i="5" s="1"/>
  <c r="CA96" i="5" s="1"/>
  <c r="BS77" i="5"/>
  <c r="BZ77" i="5" s="1"/>
  <c r="CA77" i="5" s="1"/>
  <c r="BS62" i="5"/>
  <c r="BZ62" i="5" s="1"/>
  <c r="CA62" i="5" s="1"/>
  <c r="BS45" i="5"/>
  <c r="BZ45" i="5" s="1"/>
  <c r="CA45" i="5" s="1"/>
  <c r="BS28" i="5"/>
  <c r="BZ28" i="5" s="1"/>
  <c r="CA28" i="5" s="1"/>
  <c r="BS12" i="5"/>
  <c r="BZ12" i="5" s="1"/>
  <c r="CA12" i="5" s="1"/>
  <c r="BS2721" i="5"/>
  <c r="BZ2721" i="5" s="1"/>
  <c r="CA2721" i="5" s="1"/>
  <c r="BS2672" i="5"/>
  <c r="BZ2672" i="5" s="1"/>
  <c r="CA2672" i="5" s="1"/>
  <c r="BS2617" i="5"/>
  <c r="BZ2617" i="5" s="1"/>
  <c r="CA2617" i="5" s="1"/>
  <c r="BS2571" i="5"/>
  <c r="BZ2571" i="5" s="1"/>
  <c r="CA2571" i="5" s="1"/>
  <c r="BS2523" i="5"/>
  <c r="BZ2523" i="5" s="1"/>
  <c r="CA2523" i="5" s="1"/>
  <c r="BS2459" i="5"/>
  <c r="BZ2459" i="5" s="1"/>
  <c r="CA2459" i="5" s="1"/>
  <c r="BS2428" i="5"/>
  <c r="BZ2428" i="5" s="1"/>
  <c r="CA2428" i="5" s="1"/>
  <c r="BS2392" i="5"/>
  <c r="BZ2392" i="5" s="1"/>
  <c r="CA2392" i="5" s="1"/>
  <c r="BS2362" i="5"/>
  <c r="BZ2362" i="5" s="1"/>
  <c r="CA2362" i="5" s="1"/>
  <c r="BS2327" i="5"/>
  <c r="BZ2327" i="5" s="1"/>
  <c r="CA2327" i="5" s="1"/>
  <c r="BS2290" i="5"/>
  <c r="BZ2290" i="5" s="1"/>
  <c r="CA2290" i="5" s="1"/>
  <c r="BS2249" i="5"/>
  <c r="BZ2249" i="5" s="1"/>
  <c r="CA2249" i="5" s="1"/>
  <c r="BS2219" i="5"/>
  <c r="BZ2219" i="5" s="1"/>
  <c r="CA2219" i="5" s="1"/>
  <c r="BS2172" i="5"/>
  <c r="BZ2172" i="5" s="1"/>
  <c r="CA2172" i="5" s="1"/>
  <c r="BS2139" i="5"/>
  <c r="BZ2139" i="5" s="1"/>
  <c r="CA2139" i="5" s="1"/>
  <c r="BS2099" i="5"/>
  <c r="BZ2099" i="5" s="1"/>
  <c r="CA2099" i="5" s="1"/>
  <c r="BS2063" i="5"/>
  <c r="BZ2063" i="5" s="1"/>
  <c r="CA2063" i="5" s="1"/>
  <c r="BS2027" i="5"/>
  <c r="BZ2027" i="5" s="1"/>
  <c r="CA2027" i="5" s="1"/>
  <c r="BS1991" i="5"/>
  <c r="BZ1991" i="5" s="1"/>
  <c r="CA1991" i="5" s="1"/>
  <c r="BS1960" i="5"/>
  <c r="BZ1960" i="5" s="1"/>
  <c r="CA1960" i="5" s="1"/>
  <c r="BS1931" i="5"/>
  <c r="BZ1931" i="5" s="1"/>
  <c r="CA1931" i="5" s="1"/>
  <c r="BS1895" i="5"/>
  <c r="BZ1895" i="5" s="1"/>
  <c r="CA1895" i="5" s="1"/>
  <c r="BS1866" i="5"/>
  <c r="BZ1866" i="5" s="1"/>
  <c r="CA1866" i="5" s="1"/>
  <c r="BS1824" i="5"/>
  <c r="BZ1824" i="5" s="1"/>
  <c r="CA1824" i="5" s="1"/>
  <c r="BS1798" i="5"/>
  <c r="BZ1798" i="5" s="1"/>
  <c r="CA1798" i="5" s="1"/>
  <c r="BS1764" i="5"/>
  <c r="BZ1764" i="5" s="1"/>
  <c r="CA1764" i="5" s="1"/>
  <c r="BS1732" i="5"/>
  <c r="BZ1732" i="5" s="1"/>
  <c r="CA1732" i="5" s="1"/>
  <c r="BS1702" i="5"/>
  <c r="BZ1702" i="5" s="1"/>
  <c r="CA1702" i="5" s="1"/>
  <c r="BS1666" i="5"/>
  <c r="BZ1666" i="5" s="1"/>
  <c r="CA1666" i="5" s="1"/>
  <c r="BS1630" i="5"/>
  <c r="BZ1630" i="5" s="1"/>
  <c r="CA1630" i="5" s="1"/>
  <c r="BS1594" i="5"/>
  <c r="BZ1594" i="5" s="1"/>
  <c r="CA1594" i="5" s="1"/>
  <c r="BS1554" i="5"/>
  <c r="BZ1554" i="5" s="1"/>
  <c r="CA1554" i="5" s="1"/>
  <c r="BS1523" i="5"/>
  <c r="BZ1523" i="5" s="1"/>
  <c r="CA1523" i="5" s="1"/>
  <c r="BS1486" i="5"/>
  <c r="BZ1486" i="5" s="1"/>
  <c r="CA1486" i="5" s="1"/>
  <c r="BS1451" i="5"/>
  <c r="BZ1451" i="5" s="1"/>
  <c r="CA1451" i="5" s="1"/>
  <c r="BS1410" i="5"/>
  <c r="BZ1410" i="5" s="1"/>
  <c r="CA1410" i="5" s="1"/>
  <c r="BS1378" i="5"/>
  <c r="BZ1378" i="5" s="1"/>
  <c r="CA1378" i="5" s="1"/>
  <c r="BS1344" i="5"/>
  <c r="BZ1344" i="5" s="1"/>
  <c r="CA1344" i="5" s="1"/>
  <c r="BS1300" i="5"/>
  <c r="BZ1300" i="5" s="1"/>
  <c r="CA1300" i="5" s="1"/>
  <c r="BS1259" i="5"/>
  <c r="BZ1259" i="5" s="1"/>
  <c r="CA1259" i="5" s="1"/>
  <c r="BS1222" i="5"/>
  <c r="BZ1222" i="5" s="1"/>
  <c r="CA1222" i="5" s="1"/>
  <c r="BS1187" i="5"/>
  <c r="BZ1187" i="5" s="1"/>
  <c r="CA1187" i="5" s="1"/>
  <c r="BS1152" i="5"/>
  <c r="BZ1152" i="5" s="1"/>
  <c r="CA1152" i="5" s="1"/>
  <c r="BS1120" i="5"/>
  <c r="BZ1120" i="5" s="1"/>
  <c r="CA1120" i="5" s="1"/>
  <c r="BS1074" i="5"/>
  <c r="BZ1074" i="5" s="1"/>
  <c r="CA1074" i="5" s="1"/>
  <c r="BS1020" i="5"/>
  <c r="BZ1020" i="5" s="1"/>
  <c r="CA1020" i="5" s="1"/>
  <c r="BS970" i="5"/>
  <c r="BZ970" i="5" s="1"/>
  <c r="CA970" i="5" s="1"/>
  <c r="BS924" i="5"/>
  <c r="BZ924" i="5" s="1"/>
  <c r="CA924" i="5" s="1"/>
  <c r="BS894" i="5"/>
  <c r="BZ894" i="5" s="1"/>
  <c r="CA894" i="5" s="1"/>
  <c r="BS850" i="5"/>
  <c r="BZ850" i="5" s="1"/>
  <c r="CA850" i="5" s="1"/>
  <c r="BS804" i="5"/>
  <c r="BZ804" i="5" s="1"/>
  <c r="CA804" i="5" s="1"/>
  <c r="BS754" i="5"/>
  <c r="BZ754" i="5" s="1"/>
  <c r="CA754" i="5" s="1"/>
  <c r="BS708" i="5"/>
  <c r="BZ708" i="5" s="1"/>
  <c r="CA708" i="5" s="1"/>
  <c r="BS658" i="5"/>
  <c r="BZ658" i="5" s="1"/>
  <c r="CA658" i="5" s="1"/>
  <c r="BS600" i="5"/>
  <c r="BZ600" i="5" s="1"/>
  <c r="CA600" i="5" s="1"/>
  <c r="BS557" i="5"/>
  <c r="BZ557" i="5" s="1"/>
  <c r="CA557" i="5" s="1"/>
  <c r="BS514" i="5"/>
  <c r="BZ514" i="5" s="1"/>
  <c r="CA514" i="5" s="1"/>
  <c r="BS461" i="5"/>
  <c r="BZ461" i="5" s="1"/>
  <c r="CA461" i="5" s="1"/>
  <c r="BS395" i="5"/>
  <c r="BZ395" i="5" s="1"/>
  <c r="CA395" i="5" s="1"/>
  <c r="BS336" i="5"/>
  <c r="BZ336" i="5" s="1"/>
  <c r="CA336" i="5" s="1"/>
  <c r="BS276" i="5"/>
  <c r="BZ276" i="5" s="1"/>
  <c r="CA276" i="5" s="1"/>
  <c r="BS147" i="5"/>
  <c r="BZ147" i="5" s="1"/>
  <c r="CA147" i="5" s="1"/>
  <c r="BS2711" i="5"/>
  <c r="BZ2711" i="5" s="1"/>
  <c r="CA2711" i="5" s="1"/>
  <c r="BS2662" i="5"/>
  <c r="BZ2662" i="5" s="1"/>
  <c r="CA2662" i="5" s="1"/>
  <c r="BS2604" i="5"/>
  <c r="BZ2604" i="5" s="1"/>
  <c r="CA2604" i="5" s="1"/>
  <c r="BS2555" i="5"/>
  <c r="BZ2555" i="5" s="1"/>
  <c r="CA2555" i="5" s="1"/>
  <c r="BS2495" i="5"/>
  <c r="BZ2495" i="5" s="1"/>
  <c r="CA2495" i="5" s="1"/>
  <c r="BS115" i="5"/>
  <c r="BZ115" i="5" s="1"/>
  <c r="CA115" i="5" s="1"/>
  <c r="BS243" i="5"/>
  <c r="BZ243" i="5" s="1"/>
  <c r="CA243" i="5" s="1"/>
  <c r="BS315" i="5"/>
  <c r="BZ315" i="5" s="1"/>
  <c r="CA315" i="5" s="1"/>
  <c r="BS413" i="5"/>
  <c r="BZ413" i="5" s="1"/>
  <c r="CA413" i="5" s="1"/>
  <c r="BS531" i="5"/>
  <c r="BZ531" i="5" s="1"/>
  <c r="CA531" i="5" s="1"/>
  <c r="BS670" i="5"/>
  <c r="BZ670" i="5" s="1"/>
  <c r="CA670" i="5" s="1"/>
  <c r="BS779" i="5"/>
  <c r="BZ779" i="5" s="1"/>
  <c r="CA779" i="5" s="1"/>
  <c r="BS866" i="5"/>
  <c r="BZ866" i="5" s="1"/>
  <c r="CA866" i="5" s="1"/>
  <c r="BS953" i="5"/>
  <c r="BZ953" i="5" s="1"/>
  <c r="CA953" i="5" s="1"/>
  <c r="BS1025" i="5"/>
  <c r="BZ1025" i="5" s="1"/>
  <c r="CA1025" i="5" s="1"/>
  <c r="BS1085" i="5"/>
  <c r="BZ1085" i="5" s="1"/>
  <c r="CA1085" i="5" s="1"/>
  <c r="BS1155" i="5"/>
  <c r="BZ1155" i="5" s="1"/>
  <c r="CA1155" i="5" s="1"/>
  <c r="BS1243" i="5"/>
  <c r="BZ1243" i="5" s="1"/>
  <c r="CA1243" i="5" s="1"/>
  <c r="BS1327" i="5"/>
  <c r="BZ1327" i="5" s="1"/>
  <c r="CA1327" i="5" s="1"/>
  <c r="BS1423" i="5"/>
  <c r="BZ1423" i="5" s="1"/>
  <c r="CA1423" i="5" s="1"/>
  <c r="BS1539" i="5"/>
  <c r="BZ1539" i="5" s="1"/>
  <c r="CA1539" i="5" s="1"/>
  <c r="BS1659" i="5"/>
  <c r="BZ1659" i="5" s="1"/>
  <c r="CA1659" i="5" s="1"/>
  <c r="BS1755" i="5"/>
  <c r="BZ1755" i="5" s="1"/>
  <c r="CA1755" i="5" s="1"/>
  <c r="BS1839" i="5"/>
  <c r="BZ1839" i="5" s="1"/>
  <c r="CA1839" i="5" s="1"/>
  <c r="BS1910" i="5"/>
  <c r="BZ1910" i="5" s="1"/>
  <c r="CA1910" i="5" s="1"/>
  <c r="BS1995" i="5"/>
  <c r="BZ1995" i="5" s="1"/>
  <c r="CA1995" i="5" s="1"/>
  <c r="BS2067" i="5"/>
  <c r="BZ2067" i="5" s="1"/>
  <c r="CA2067" i="5" s="1"/>
  <c r="BS2154" i="5"/>
  <c r="BZ2154" i="5" s="1"/>
  <c r="CA2154" i="5" s="1"/>
  <c r="BS2239" i="5"/>
  <c r="BZ2239" i="5" s="1"/>
  <c r="CA2239" i="5" s="1"/>
  <c r="BS2343" i="5"/>
  <c r="BZ2343" i="5" s="1"/>
  <c r="CA2343" i="5" s="1"/>
  <c r="BS2431" i="5"/>
  <c r="BZ2431" i="5" s="1"/>
  <c r="CA2431" i="5" s="1"/>
  <c r="BS2560" i="5"/>
  <c r="BZ2560" i="5" s="1"/>
  <c r="CA2560" i="5" s="1"/>
  <c r="BS2706" i="5"/>
  <c r="BZ2706" i="5" s="1"/>
  <c r="CA2706" i="5" s="1"/>
  <c r="BS2450" i="5"/>
  <c r="BZ2450" i="5" s="1"/>
  <c r="CA2450" i="5" s="1"/>
  <c r="BS2390" i="5"/>
  <c r="BZ2390" i="5" s="1"/>
  <c r="CA2390" i="5" s="1"/>
  <c r="BS2322" i="5"/>
  <c r="BZ2322" i="5" s="1"/>
  <c r="CA2322" i="5" s="1"/>
  <c r="BS2272" i="5"/>
  <c r="BZ2272" i="5" s="1"/>
  <c r="CA2272" i="5" s="1"/>
  <c r="BS2222" i="5"/>
  <c r="BZ2222" i="5" s="1"/>
  <c r="CA2222" i="5" s="1"/>
  <c r="BS2175" i="5"/>
  <c r="BZ2175" i="5" s="1"/>
  <c r="CA2175" i="5" s="1"/>
  <c r="BS2116" i="5"/>
  <c r="BZ2116" i="5" s="1"/>
  <c r="CA2116" i="5" s="1"/>
  <c r="BS2066" i="5"/>
  <c r="BZ2066" i="5" s="1"/>
  <c r="CA2066" i="5" s="1"/>
  <c r="BS2006" i="5"/>
  <c r="BZ2006" i="5" s="1"/>
  <c r="CA2006" i="5" s="1"/>
  <c r="BS1946" i="5"/>
  <c r="BZ1946" i="5" s="1"/>
  <c r="CA1946" i="5" s="1"/>
  <c r="BS1848" i="5"/>
  <c r="BZ1848" i="5" s="1"/>
  <c r="CA1848" i="5" s="1"/>
  <c r="BS1778" i="5"/>
  <c r="BZ1778" i="5" s="1"/>
  <c r="CA1778" i="5" s="1"/>
  <c r="BS1691" i="5"/>
  <c r="BZ1691" i="5" s="1"/>
  <c r="CA1691" i="5" s="1"/>
  <c r="BS1610" i="5"/>
  <c r="BZ1610" i="5" s="1"/>
  <c r="CA1610" i="5" s="1"/>
  <c r="BS1547" i="5"/>
  <c r="BZ1547" i="5" s="1"/>
  <c r="CA1547" i="5" s="1"/>
  <c r="BS1478" i="5"/>
  <c r="BZ1478" i="5" s="1"/>
  <c r="CA1478" i="5" s="1"/>
  <c r="BS1398" i="5"/>
  <c r="BZ1398" i="5" s="1"/>
  <c r="CA1398" i="5" s="1"/>
  <c r="BS1335" i="5"/>
  <c r="BZ1335" i="5" s="1"/>
  <c r="CA1335" i="5" s="1"/>
  <c r="BS1286" i="5"/>
  <c r="BZ1286" i="5" s="1"/>
  <c r="CA1286" i="5" s="1"/>
  <c r="BS1230" i="5"/>
  <c r="BZ1230" i="5" s="1"/>
  <c r="CA1230" i="5" s="1"/>
  <c r="BS1178" i="5"/>
  <c r="BZ1178" i="5" s="1"/>
  <c r="CA1178" i="5" s="1"/>
  <c r="BS1096" i="5"/>
  <c r="BZ1096" i="5" s="1"/>
  <c r="CA1096" i="5" s="1"/>
  <c r="BS1031" i="5"/>
  <c r="BZ1031" i="5" s="1"/>
  <c r="CA1031" i="5" s="1"/>
  <c r="BS904" i="5"/>
  <c r="BZ904" i="5" s="1"/>
  <c r="CA904" i="5" s="1"/>
  <c r="BS806" i="5"/>
  <c r="BZ806" i="5" s="1"/>
  <c r="CA806" i="5" s="1"/>
  <c r="BS699" i="5"/>
  <c r="BZ699" i="5" s="1"/>
  <c r="CA699" i="5" s="1"/>
  <c r="BS567" i="5"/>
  <c r="BZ567" i="5" s="1"/>
  <c r="CA567" i="5" s="1"/>
  <c r="BS443" i="5"/>
  <c r="BZ443" i="5" s="1"/>
  <c r="CA443" i="5" s="1"/>
  <c r="BS311" i="5"/>
  <c r="BZ311" i="5" s="1"/>
  <c r="CA311" i="5" s="1"/>
  <c r="BS102" i="5"/>
  <c r="BZ102" i="5" s="1"/>
  <c r="CA102" i="5" s="1"/>
  <c r="BS520" i="5"/>
  <c r="BZ520" i="5" s="1"/>
  <c r="CA520" i="5" s="1"/>
  <c r="BS2507" i="5"/>
  <c r="BZ2507" i="5" s="1"/>
  <c r="CA2507" i="5" s="1"/>
  <c r="BS2614" i="5"/>
  <c r="BZ2614" i="5" s="1"/>
  <c r="CA2614" i="5" s="1"/>
  <c r="BS14" i="5"/>
  <c r="BZ14" i="5" s="1"/>
  <c r="CA14" i="5" s="1"/>
  <c r="BS273" i="5"/>
  <c r="BZ273" i="5" s="1"/>
  <c r="CA273" i="5" s="1"/>
  <c r="BS385" i="5"/>
  <c r="BZ385" i="5" s="1"/>
  <c r="CA385" i="5" s="1"/>
  <c r="BS530" i="5"/>
  <c r="BZ530" i="5" s="1"/>
  <c r="CA530" i="5" s="1"/>
  <c r="BS674" i="5"/>
  <c r="BZ674" i="5" s="1"/>
  <c r="CA674" i="5" s="1"/>
  <c r="BS830" i="5"/>
  <c r="BZ830" i="5" s="1"/>
  <c r="CA830" i="5" s="1"/>
  <c r="BS937" i="5"/>
  <c r="BZ937" i="5" s="1"/>
  <c r="CA937" i="5" s="1"/>
  <c r="BS1057" i="5"/>
  <c r="BZ1057" i="5" s="1"/>
  <c r="CA1057" i="5" s="1"/>
  <c r="BS1201" i="5"/>
  <c r="BZ1201" i="5" s="1"/>
  <c r="CA1201" i="5" s="1"/>
  <c r="BS1345" i="5"/>
  <c r="BZ1345" i="5" s="1"/>
  <c r="CA1345" i="5" s="1"/>
  <c r="BS1501" i="5"/>
  <c r="BZ1501" i="5" s="1"/>
  <c r="CA1501" i="5" s="1"/>
  <c r="BS1645" i="5"/>
  <c r="BZ1645" i="5" s="1"/>
  <c r="CA1645" i="5" s="1"/>
  <c r="BS1777" i="5"/>
  <c r="BZ1777" i="5" s="1"/>
  <c r="CA1777" i="5" s="1"/>
  <c r="BS1957" i="5"/>
  <c r="BZ1957" i="5" s="1"/>
  <c r="CA1957" i="5" s="1"/>
  <c r="BS2137" i="5"/>
  <c r="BZ2137" i="5" s="1"/>
  <c r="CA2137" i="5" s="1"/>
  <c r="BS2341" i="5"/>
  <c r="BZ2341" i="5" s="1"/>
  <c r="CA2341" i="5" s="1"/>
  <c r="BS2569" i="5"/>
  <c r="BZ2569" i="5" s="1"/>
  <c r="CA2569" i="5" s="1"/>
  <c r="BS2647" i="5"/>
  <c r="BZ2647" i="5" s="1"/>
  <c r="CA2647" i="5" s="1"/>
  <c r="BS2731" i="5"/>
  <c r="BZ2731" i="5" s="1"/>
  <c r="CA2731" i="5" s="1"/>
  <c r="BS2410" i="5"/>
  <c r="BZ2410" i="5" s="1"/>
  <c r="CA2410" i="5" s="1"/>
  <c r="BS2206" i="5"/>
  <c r="BZ2206" i="5" s="1"/>
  <c r="CA2206" i="5" s="1"/>
  <c r="BS1978" i="5"/>
  <c r="BZ1978" i="5" s="1"/>
  <c r="CA1978" i="5" s="1"/>
  <c r="BS1716" i="5"/>
  <c r="BZ1716" i="5" s="1"/>
  <c r="CA1716" i="5" s="1"/>
  <c r="BS1466" i="5"/>
  <c r="BZ1466" i="5" s="1"/>
  <c r="CA1466" i="5" s="1"/>
  <c r="BS1260" i="5"/>
  <c r="BZ1260" i="5" s="1"/>
  <c r="CA1260" i="5" s="1"/>
  <c r="BS982" i="5"/>
  <c r="BZ982" i="5" s="1"/>
  <c r="CA982" i="5" s="1"/>
  <c r="BS865" i="5"/>
  <c r="BZ865" i="5" s="1"/>
  <c r="CA865" i="5" s="1"/>
  <c r="BS744" i="5"/>
  <c r="BZ744" i="5" s="1"/>
  <c r="CA744" i="5" s="1"/>
  <c r="BS642" i="5"/>
  <c r="BZ642" i="5" s="1"/>
  <c r="CA642" i="5" s="1"/>
  <c r="BS518" i="5"/>
  <c r="BZ518" i="5" s="1"/>
  <c r="CA518" i="5" s="1"/>
  <c r="BS421" i="5"/>
  <c r="BZ421" i="5" s="1"/>
  <c r="CA421" i="5" s="1"/>
  <c r="BS278" i="5"/>
  <c r="BZ278" i="5" s="1"/>
  <c r="CA278" i="5" s="1"/>
  <c r="BS112" i="5"/>
  <c r="BZ112" i="5" s="1"/>
  <c r="CA112" i="5" s="1"/>
  <c r="BS2693" i="5"/>
  <c r="BZ2693" i="5" s="1"/>
  <c r="CA2693" i="5" s="1"/>
  <c r="BS2608" i="5"/>
  <c r="BZ2608" i="5" s="1"/>
  <c r="CA2608" i="5" s="1"/>
  <c r="BS2513" i="5"/>
  <c r="BZ2513" i="5" s="1"/>
  <c r="CA2513" i="5" s="1"/>
  <c r="BS2480" i="5"/>
  <c r="BZ2480" i="5" s="1"/>
  <c r="CA2480" i="5" s="1"/>
  <c r="BS2409" i="5"/>
  <c r="BZ2409" i="5" s="1"/>
  <c r="CA2409" i="5" s="1"/>
  <c r="BS2349" i="5"/>
  <c r="BZ2349" i="5" s="1"/>
  <c r="CA2349" i="5" s="1"/>
  <c r="BS2300" i="5"/>
  <c r="BZ2300" i="5" s="1"/>
  <c r="CA2300" i="5" s="1"/>
  <c r="BS2241" i="5"/>
  <c r="BZ2241" i="5" s="1"/>
  <c r="CA2241" i="5" s="1"/>
  <c r="BS2169" i="5"/>
  <c r="BZ2169" i="5" s="1"/>
  <c r="CA2169" i="5" s="1"/>
  <c r="BS2121" i="5"/>
  <c r="BZ2121" i="5" s="1"/>
  <c r="CA2121" i="5" s="1"/>
  <c r="BS2061" i="5"/>
  <c r="BZ2061" i="5" s="1"/>
  <c r="CA2061" i="5" s="1"/>
  <c r="BS2000" i="5"/>
  <c r="BZ2000" i="5" s="1"/>
  <c r="CA2000" i="5" s="1"/>
  <c r="BS1929" i="5"/>
  <c r="BZ1929" i="5" s="1"/>
  <c r="CA1929" i="5" s="1"/>
  <c r="BS1875" i="5"/>
  <c r="BZ1875" i="5" s="1"/>
  <c r="CA1875" i="5" s="1"/>
  <c r="BS1820" i="5"/>
  <c r="BZ1820" i="5" s="1"/>
  <c r="CA1820" i="5" s="1"/>
  <c r="BS1761" i="5"/>
  <c r="BZ1761" i="5" s="1"/>
  <c r="CA1761" i="5" s="1"/>
  <c r="BS1712" i="5"/>
  <c r="BZ1712" i="5" s="1"/>
  <c r="CA1712" i="5" s="1"/>
  <c r="BS1664" i="5"/>
  <c r="BZ1664" i="5" s="1"/>
  <c r="CA1664" i="5" s="1"/>
  <c r="BS1608" i="5"/>
  <c r="BZ1608" i="5" s="1"/>
  <c r="CA1608" i="5" s="1"/>
  <c r="BS1568" i="5"/>
  <c r="BZ1568" i="5" s="1"/>
  <c r="CA1568" i="5" s="1"/>
  <c r="BS1520" i="5"/>
  <c r="BZ1520" i="5" s="1"/>
  <c r="CA1520" i="5" s="1"/>
  <c r="BS1472" i="5"/>
  <c r="BZ1472" i="5" s="1"/>
  <c r="CA1472" i="5" s="1"/>
  <c r="BS1431" i="5"/>
  <c r="BZ1431" i="5" s="1"/>
  <c r="CA1431" i="5" s="1"/>
  <c r="BS1377" i="5"/>
  <c r="BZ1377" i="5" s="1"/>
  <c r="CA1377" i="5" s="1"/>
  <c r="BS1328" i="5"/>
  <c r="BZ1328" i="5" s="1"/>
  <c r="CA1328" i="5" s="1"/>
  <c r="BS1268" i="5"/>
  <c r="BZ1268" i="5" s="1"/>
  <c r="CA1268" i="5" s="1"/>
  <c r="BS1208" i="5"/>
  <c r="BZ1208" i="5" s="1"/>
  <c r="CA1208" i="5" s="1"/>
  <c r="BS1160" i="5"/>
  <c r="BZ1160" i="5" s="1"/>
  <c r="CA1160" i="5" s="1"/>
  <c r="BS1089" i="5"/>
  <c r="BZ1089" i="5" s="1"/>
  <c r="CA1089" i="5" s="1"/>
  <c r="BS1041" i="5"/>
  <c r="BZ1041" i="5" s="1"/>
  <c r="CA1041" i="5" s="1"/>
  <c r="BS1004" i="5"/>
  <c r="BZ1004" i="5" s="1"/>
  <c r="CA1004" i="5" s="1"/>
  <c r="BS963" i="5"/>
  <c r="BZ963" i="5" s="1"/>
  <c r="CA963" i="5" s="1"/>
  <c r="BS920" i="5"/>
  <c r="BZ920" i="5" s="1"/>
  <c r="CA920" i="5" s="1"/>
  <c r="BS884" i="5"/>
  <c r="BZ884" i="5" s="1"/>
  <c r="CA884" i="5" s="1"/>
  <c r="BS837" i="5"/>
  <c r="BZ837" i="5" s="1"/>
  <c r="CA837" i="5" s="1"/>
  <c r="BS795" i="5"/>
  <c r="BZ795" i="5" s="1"/>
  <c r="CA795" i="5" s="1"/>
  <c r="BS752" i="5"/>
  <c r="BZ752" i="5" s="1"/>
  <c r="CA752" i="5" s="1"/>
  <c r="BS715" i="5"/>
  <c r="BZ715" i="5" s="1"/>
  <c r="CA715" i="5" s="1"/>
  <c r="BS669" i="5"/>
  <c r="BZ669" i="5" s="1"/>
  <c r="CA669" i="5" s="1"/>
  <c r="BS632" i="5"/>
  <c r="BZ632" i="5" s="1"/>
  <c r="CA632" i="5" s="1"/>
  <c r="BS596" i="5"/>
  <c r="BZ596" i="5" s="1"/>
  <c r="CA596" i="5" s="1"/>
  <c r="BS560" i="5"/>
  <c r="BZ560" i="5" s="1"/>
  <c r="CA560" i="5" s="1"/>
  <c r="BS524" i="5"/>
  <c r="BZ524" i="5" s="1"/>
  <c r="CA524" i="5" s="1"/>
  <c r="BS488" i="5"/>
  <c r="BZ488" i="5" s="1"/>
  <c r="CA488" i="5" s="1"/>
  <c r="BS460" i="5"/>
  <c r="BZ460" i="5" s="1"/>
  <c r="CA460" i="5" s="1"/>
  <c r="BS424" i="5"/>
  <c r="BZ424" i="5" s="1"/>
  <c r="CA424" i="5" s="1"/>
  <c r="BS393" i="5"/>
  <c r="BZ393" i="5" s="1"/>
  <c r="CA393" i="5" s="1"/>
  <c r="BS363" i="5"/>
  <c r="BZ363" i="5" s="1"/>
  <c r="CA363" i="5" s="1"/>
  <c r="BS328" i="5"/>
  <c r="BZ328" i="5" s="1"/>
  <c r="CA328" i="5" s="1"/>
  <c r="BS285" i="5"/>
  <c r="BZ285" i="5" s="1"/>
  <c r="CA285" i="5" s="1"/>
  <c r="BS252" i="5"/>
  <c r="BZ252" i="5" s="1"/>
  <c r="CA252" i="5" s="1"/>
  <c r="BS232" i="5"/>
  <c r="BZ232" i="5" s="1"/>
  <c r="CA232" i="5" s="1"/>
  <c r="BS217" i="5"/>
  <c r="BZ217" i="5" s="1"/>
  <c r="CA217" i="5" s="1"/>
  <c r="BS200" i="5"/>
  <c r="BZ200" i="5" s="1"/>
  <c r="CA200" i="5" s="1"/>
  <c r="BS181" i="5"/>
  <c r="BZ181" i="5" s="1"/>
  <c r="CA181" i="5" s="1"/>
  <c r="BS164" i="5"/>
  <c r="BZ164" i="5" s="1"/>
  <c r="CA164" i="5" s="1"/>
  <c r="BS146" i="5"/>
  <c r="BZ146" i="5" s="1"/>
  <c r="CA146" i="5" s="1"/>
  <c r="BS129" i="5"/>
  <c r="BZ129" i="5" s="1"/>
  <c r="CA129" i="5" s="1"/>
  <c r="BS110" i="5"/>
  <c r="BZ110" i="5" s="1"/>
  <c r="CA110" i="5" s="1"/>
  <c r="BS95" i="5"/>
  <c r="BZ95" i="5" s="1"/>
  <c r="CA95" i="5" s="1"/>
  <c r="BS76" i="5"/>
  <c r="BZ76" i="5" s="1"/>
  <c r="CA76" i="5" s="1"/>
  <c r="BS61" i="5"/>
  <c r="BZ61" i="5" s="1"/>
  <c r="CA61" i="5" s="1"/>
  <c r="BS44" i="5"/>
  <c r="BZ44" i="5" s="1"/>
  <c r="CA44" i="5" s="1"/>
  <c r="BS27" i="5"/>
  <c r="BZ27" i="5" s="1"/>
  <c r="CA27" i="5" s="1"/>
  <c r="BS11" i="5"/>
  <c r="BZ11" i="5" s="1"/>
  <c r="CA11" i="5" s="1"/>
  <c r="BS2720" i="5"/>
  <c r="BZ2720" i="5" s="1"/>
  <c r="CA2720" i="5" s="1"/>
  <c r="BS2667" i="5"/>
  <c r="BZ2667" i="5" s="1"/>
  <c r="CA2667" i="5" s="1"/>
  <c r="BS2612" i="5"/>
  <c r="BZ2612" i="5" s="1"/>
  <c r="CA2612" i="5" s="1"/>
  <c r="BS2564" i="5"/>
  <c r="BZ2564" i="5" s="1"/>
  <c r="CA2564" i="5" s="1"/>
  <c r="BS2521" i="5"/>
  <c r="BZ2521" i="5" s="1"/>
  <c r="CA2521" i="5" s="1"/>
  <c r="BS2489" i="5"/>
  <c r="BZ2489" i="5" s="1"/>
  <c r="CA2489" i="5" s="1"/>
  <c r="BS2458" i="5"/>
  <c r="BZ2458" i="5" s="1"/>
  <c r="CA2458" i="5" s="1"/>
  <c r="BS2423" i="5"/>
  <c r="BZ2423" i="5" s="1"/>
  <c r="CA2423" i="5" s="1"/>
  <c r="BS2388" i="5"/>
  <c r="BZ2388" i="5" s="1"/>
  <c r="CA2388" i="5" s="1"/>
  <c r="BS2357" i="5"/>
  <c r="BZ2357" i="5" s="1"/>
  <c r="CA2357" i="5" s="1"/>
  <c r="BS2326" i="5"/>
  <c r="BZ2326" i="5" s="1"/>
  <c r="CA2326" i="5" s="1"/>
  <c r="BS2279" i="5"/>
  <c r="BZ2279" i="5" s="1"/>
  <c r="CA2279" i="5" s="1"/>
  <c r="BS2244" i="5"/>
  <c r="BZ2244" i="5" s="1"/>
  <c r="CA2244" i="5" s="1"/>
  <c r="BS2218" i="5"/>
  <c r="BZ2218" i="5" s="1"/>
  <c r="CA2218" i="5" s="1"/>
  <c r="BS2171" i="5"/>
  <c r="BZ2171" i="5" s="1"/>
  <c r="CA2171" i="5" s="1"/>
  <c r="BS2135" i="5"/>
  <c r="BZ2135" i="5" s="1"/>
  <c r="CA2135" i="5" s="1"/>
  <c r="BS2098" i="5"/>
  <c r="BZ2098" i="5" s="1"/>
  <c r="CA2098" i="5" s="1"/>
  <c r="BS2062" i="5"/>
  <c r="BZ2062" i="5" s="1"/>
  <c r="CA2062" i="5" s="1"/>
  <c r="BS2026" i="5"/>
  <c r="BZ2026" i="5" s="1"/>
  <c r="CA2026" i="5" s="1"/>
  <c r="BS1990" i="5"/>
  <c r="BZ1990" i="5" s="1"/>
  <c r="CA1990" i="5" s="1"/>
  <c r="BS1956" i="5"/>
  <c r="BZ1956" i="5" s="1"/>
  <c r="CA1956" i="5" s="1"/>
  <c r="BS1930" i="5"/>
  <c r="BZ1930" i="5" s="1"/>
  <c r="CA1930" i="5" s="1"/>
  <c r="BS1894" i="5"/>
  <c r="BZ1894" i="5" s="1"/>
  <c r="CA1894" i="5" s="1"/>
  <c r="BS1865" i="5"/>
  <c r="BZ1865" i="5" s="1"/>
  <c r="CA1865" i="5" s="1"/>
  <c r="BS1823" i="5"/>
  <c r="BZ1823" i="5" s="1"/>
  <c r="CA1823" i="5" s="1"/>
  <c r="BS1793" i="5"/>
  <c r="BZ1793" i="5" s="1"/>
  <c r="CA1793" i="5" s="1"/>
  <c r="BS1763" i="5"/>
  <c r="BZ1763" i="5" s="1"/>
  <c r="CA1763" i="5" s="1"/>
  <c r="BS1728" i="5"/>
  <c r="BZ1728" i="5" s="1"/>
  <c r="CA1728" i="5" s="1"/>
  <c r="BS1697" i="5"/>
  <c r="BZ1697" i="5" s="1"/>
  <c r="CA1697" i="5" s="1"/>
  <c r="BS1662" i="5"/>
  <c r="BZ1662" i="5" s="1"/>
  <c r="CA1662" i="5" s="1"/>
  <c r="BS1626" i="5"/>
  <c r="BZ1626" i="5" s="1"/>
  <c r="CA1626" i="5" s="1"/>
  <c r="BS1588" i="5"/>
  <c r="BZ1588" i="5" s="1"/>
  <c r="CA1588" i="5" s="1"/>
  <c r="BS1553" i="5"/>
  <c r="BZ1553" i="5" s="1"/>
  <c r="CA1553" i="5" s="1"/>
  <c r="BS1522" i="5"/>
  <c r="BZ1522" i="5" s="1"/>
  <c r="CA1522" i="5" s="1"/>
  <c r="BS1482" i="5"/>
  <c r="BZ1482" i="5" s="1"/>
  <c r="CA1482" i="5" s="1"/>
  <c r="BS1446" i="5"/>
  <c r="BZ1446" i="5" s="1"/>
  <c r="CA1446" i="5" s="1"/>
  <c r="BS1409" i="5"/>
  <c r="BZ1409" i="5" s="1"/>
  <c r="CA1409" i="5" s="1"/>
  <c r="BS1374" i="5"/>
  <c r="BZ1374" i="5" s="1"/>
  <c r="CA1374" i="5" s="1"/>
  <c r="BS1342" i="5"/>
  <c r="BZ1342" i="5" s="1"/>
  <c r="CA1342" i="5" s="1"/>
  <c r="BS1296" i="5"/>
  <c r="BZ1296" i="5" s="1"/>
  <c r="CA1296" i="5" s="1"/>
  <c r="BS1258" i="5"/>
  <c r="BZ1258" i="5" s="1"/>
  <c r="CA1258" i="5" s="1"/>
  <c r="BS1218" i="5"/>
  <c r="BZ1218" i="5" s="1"/>
  <c r="CA1218" i="5" s="1"/>
  <c r="BS1186" i="5"/>
  <c r="BZ1186" i="5" s="1"/>
  <c r="CA1186" i="5" s="1"/>
  <c r="BS1151" i="5"/>
  <c r="BZ1151" i="5" s="1"/>
  <c r="CA1151" i="5" s="1"/>
  <c r="BS1115" i="5"/>
  <c r="BZ1115" i="5" s="1"/>
  <c r="CA1115" i="5" s="1"/>
  <c r="BS1073" i="5"/>
  <c r="BZ1073" i="5" s="1"/>
  <c r="CA1073" i="5" s="1"/>
  <c r="BS1018" i="5"/>
  <c r="BZ1018" i="5" s="1"/>
  <c r="CA1018" i="5" s="1"/>
  <c r="BS966" i="5"/>
  <c r="BZ966" i="5" s="1"/>
  <c r="CA966" i="5" s="1"/>
  <c r="BS923" i="5"/>
  <c r="BZ923" i="5" s="1"/>
  <c r="CA923" i="5" s="1"/>
  <c r="BS893" i="5"/>
  <c r="BZ893" i="5" s="1"/>
  <c r="CA893" i="5" s="1"/>
  <c r="BS845" i="5"/>
  <c r="BZ845" i="5" s="1"/>
  <c r="CA845" i="5" s="1"/>
  <c r="BS803" i="5"/>
  <c r="BZ803" i="5" s="1"/>
  <c r="CA803" i="5" s="1"/>
  <c r="BS750" i="5"/>
  <c r="BZ750" i="5" s="1"/>
  <c r="CA750" i="5" s="1"/>
  <c r="BS706" i="5"/>
  <c r="BZ706" i="5" s="1"/>
  <c r="CA706" i="5" s="1"/>
  <c r="BS654" i="5"/>
  <c r="BZ654" i="5" s="1"/>
  <c r="CA654" i="5" s="1"/>
  <c r="BS594" i="5"/>
  <c r="BZ594" i="5" s="1"/>
  <c r="CA594" i="5" s="1"/>
  <c r="BS552" i="5"/>
  <c r="BZ552" i="5" s="1"/>
  <c r="CA552" i="5" s="1"/>
  <c r="BS510" i="5"/>
  <c r="BZ510" i="5" s="1"/>
  <c r="CA510" i="5" s="1"/>
  <c r="BS450" i="5"/>
  <c r="BZ450" i="5" s="1"/>
  <c r="CA450" i="5" s="1"/>
  <c r="BS390" i="5"/>
  <c r="BZ390" i="5" s="1"/>
  <c r="CA390" i="5" s="1"/>
  <c r="BS330" i="5"/>
  <c r="BZ330" i="5" s="1"/>
  <c r="CA330" i="5" s="1"/>
  <c r="BS270" i="5"/>
  <c r="BZ270" i="5" s="1"/>
  <c r="CA270" i="5" s="1"/>
  <c r="BS138" i="5"/>
  <c r="BZ138" i="5" s="1"/>
  <c r="CA138" i="5" s="1"/>
  <c r="BS2710" i="5"/>
  <c r="BZ2710" i="5" s="1"/>
  <c r="CA2710" i="5" s="1"/>
  <c r="BS2658" i="5"/>
  <c r="BZ2658" i="5" s="1"/>
  <c r="CA2658" i="5" s="1"/>
  <c r="BS2603" i="5"/>
  <c r="BZ2603" i="5" s="1"/>
  <c r="CA2603" i="5" s="1"/>
  <c r="BS2554" i="5"/>
  <c r="BZ2554" i="5" s="1"/>
  <c r="CA2554" i="5" s="1"/>
  <c r="BS2494" i="5"/>
  <c r="BZ2494" i="5" s="1"/>
  <c r="CA2494" i="5" s="1"/>
  <c r="BS135" i="5"/>
  <c r="BZ135" i="5" s="1"/>
  <c r="CA135" i="5" s="1"/>
  <c r="BS247" i="5"/>
  <c r="BZ247" i="5" s="1"/>
  <c r="CA247" i="5" s="1"/>
  <c r="BS327" i="5"/>
  <c r="BZ327" i="5" s="1"/>
  <c r="CA327" i="5" s="1"/>
  <c r="BS425" i="5"/>
  <c r="BZ425" i="5" s="1"/>
  <c r="CA425" i="5" s="1"/>
  <c r="BS551" i="5"/>
  <c r="BZ551" i="5" s="1"/>
  <c r="CA551" i="5" s="1"/>
  <c r="BS675" i="5"/>
  <c r="BZ675" i="5" s="1"/>
  <c r="CA675" i="5" s="1"/>
  <c r="BS783" i="5"/>
  <c r="BZ783" i="5" s="1"/>
  <c r="CA783" i="5" s="1"/>
  <c r="BS869" i="5"/>
  <c r="BZ869" i="5" s="1"/>
  <c r="CA869" i="5" s="1"/>
  <c r="BS955" i="5"/>
  <c r="BZ955" i="5" s="1"/>
  <c r="CA955" i="5" s="1"/>
  <c r="BS1037" i="5"/>
  <c r="BZ1037" i="5" s="1"/>
  <c r="CA1037" i="5" s="1"/>
  <c r="BS1087" i="5"/>
  <c r="BZ1087" i="5" s="1"/>
  <c r="CA1087" i="5" s="1"/>
  <c r="BS1167" i="5"/>
  <c r="BZ1167" i="5" s="1"/>
  <c r="CA1167" i="5" s="1"/>
  <c r="BS1263" i="5"/>
  <c r="BZ1263" i="5" s="1"/>
  <c r="CA1263" i="5" s="1"/>
  <c r="BS1339" i="5"/>
  <c r="BZ1339" i="5" s="1"/>
  <c r="CA1339" i="5" s="1"/>
  <c r="BS1435" i="5"/>
  <c r="BZ1435" i="5" s="1"/>
  <c r="CA1435" i="5" s="1"/>
  <c r="BS1555" i="5"/>
  <c r="BZ1555" i="5" s="1"/>
  <c r="CA1555" i="5" s="1"/>
  <c r="BS1663" i="5"/>
  <c r="BZ1663" i="5" s="1"/>
  <c r="CA1663" i="5" s="1"/>
  <c r="BS1759" i="5"/>
  <c r="BZ1759" i="5" s="1"/>
  <c r="CA1759" i="5" s="1"/>
  <c r="BS1851" i="5"/>
  <c r="BZ1851" i="5" s="1"/>
  <c r="CA1851" i="5" s="1"/>
  <c r="BS1911" i="5"/>
  <c r="BZ1911" i="5" s="1"/>
  <c r="CA1911" i="5" s="1"/>
  <c r="BS1999" i="5"/>
  <c r="BZ1999" i="5" s="1"/>
  <c r="CA1999" i="5" s="1"/>
  <c r="BS2070" i="5"/>
  <c r="BZ2070" i="5" s="1"/>
  <c r="CA2070" i="5" s="1"/>
  <c r="BS2166" i="5"/>
  <c r="BZ2166" i="5" s="1"/>
  <c r="CA2166" i="5" s="1"/>
  <c r="BS2251" i="5"/>
  <c r="BZ2251" i="5" s="1"/>
  <c r="CA2251" i="5" s="1"/>
  <c r="BS2355" i="5"/>
  <c r="BZ2355" i="5" s="1"/>
  <c r="CA2355" i="5" s="1"/>
  <c r="BS2439" i="5"/>
  <c r="BZ2439" i="5" s="1"/>
  <c r="CA2439" i="5" s="1"/>
  <c r="BS2572" i="5"/>
  <c r="BZ2572" i="5" s="1"/>
  <c r="CA2572" i="5" s="1"/>
  <c r="BS2716" i="5"/>
  <c r="BZ2716" i="5" s="1"/>
  <c r="CA2716" i="5" s="1"/>
  <c r="BS2442" i="5"/>
  <c r="BZ2442" i="5" s="1"/>
  <c r="CA2442" i="5" s="1"/>
  <c r="BS2382" i="5"/>
  <c r="BZ2382" i="5" s="1"/>
  <c r="CA2382" i="5" s="1"/>
  <c r="BS2319" i="5"/>
  <c r="BZ2319" i="5" s="1"/>
  <c r="CA2319" i="5" s="1"/>
  <c r="BS2270" i="5"/>
  <c r="BZ2270" i="5" s="1"/>
  <c r="CA2270" i="5" s="1"/>
  <c r="BS2212" i="5"/>
  <c r="BZ2212" i="5" s="1"/>
  <c r="CA2212" i="5" s="1"/>
  <c r="BS2174" i="5"/>
  <c r="BZ2174" i="5" s="1"/>
  <c r="CA2174" i="5" s="1"/>
  <c r="BS2114" i="5"/>
  <c r="BZ2114" i="5" s="1"/>
  <c r="CA2114" i="5" s="1"/>
  <c r="BS2056" i="5"/>
  <c r="BZ2056" i="5" s="1"/>
  <c r="CA2056" i="5" s="1"/>
  <c r="BS2003" i="5"/>
  <c r="BZ2003" i="5" s="1"/>
  <c r="CA2003" i="5" s="1"/>
  <c r="BS1934" i="5"/>
  <c r="BZ1934" i="5" s="1"/>
  <c r="CA1934" i="5" s="1"/>
  <c r="BS1846" i="5"/>
  <c r="BZ1846" i="5" s="1"/>
  <c r="CA1846" i="5" s="1"/>
  <c r="BS1767" i="5"/>
  <c r="BZ1767" i="5" s="1"/>
  <c r="CA1767" i="5" s="1"/>
  <c r="BS1682" i="5"/>
  <c r="BZ1682" i="5" s="1"/>
  <c r="CA1682" i="5" s="1"/>
  <c r="BS1607" i="5"/>
  <c r="BZ1607" i="5" s="1"/>
  <c r="CA1607" i="5" s="1"/>
  <c r="BS1543" i="5"/>
  <c r="BZ1543" i="5" s="1"/>
  <c r="CA1543" i="5" s="1"/>
  <c r="BS1475" i="5"/>
  <c r="BZ1475" i="5" s="1"/>
  <c r="CA1475" i="5" s="1"/>
  <c r="BS1394" i="5"/>
  <c r="BZ1394" i="5" s="1"/>
  <c r="CA1394" i="5" s="1"/>
  <c r="BS1334" i="5"/>
  <c r="BZ1334" i="5" s="1"/>
  <c r="CA1334" i="5" s="1"/>
  <c r="BS1283" i="5"/>
  <c r="BZ1283" i="5" s="1"/>
  <c r="CA1283" i="5" s="1"/>
  <c r="BS1228" i="5"/>
  <c r="BZ1228" i="5" s="1"/>
  <c r="CA1228" i="5" s="1"/>
  <c r="BS1166" i="5"/>
  <c r="BZ1166" i="5" s="1"/>
  <c r="CA1166" i="5" s="1"/>
  <c r="BS1095" i="5"/>
  <c r="BZ1095" i="5" s="1"/>
  <c r="CA1095" i="5" s="1"/>
  <c r="BS1023" i="5"/>
  <c r="BZ1023" i="5" s="1"/>
  <c r="CA1023" i="5" s="1"/>
  <c r="BS878" i="5"/>
  <c r="BZ878" i="5" s="1"/>
  <c r="CA878" i="5" s="1"/>
  <c r="BS805" i="5"/>
  <c r="BZ805" i="5" s="1"/>
  <c r="CA805" i="5" s="1"/>
  <c r="BS686" i="5"/>
  <c r="BZ686" i="5" s="1"/>
  <c r="CA686" i="5" s="1"/>
  <c r="BS566" i="5"/>
  <c r="BZ566" i="5" s="1"/>
  <c r="CA566" i="5" s="1"/>
  <c r="BS438" i="5"/>
  <c r="BZ438" i="5" s="1"/>
  <c r="CA438" i="5" s="1"/>
  <c r="BS283" i="5"/>
  <c r="BZ283" i="5" s="1"/>
  <c r="CA283" i="5" s="1"/>
  <c r="BS78" i="5"/>
  <c r="BZ78" i="5" s="1"/>
  <c r="CA78" i="5" s="1"/>
  <c r="BS581" i="5"/>
  <c r="BZ581" i="5" s="1"/>
  <c r="CA581" i="5" s="1"/>
  <c r="BS2515" i="5"/>
  <c r="BZ2515" i="5" s="1"/>
  <c r="CA2515" i="5" s="1"/>
  <c r="BS2638" i="5"/>
  <c r="BZ2638" i="5" s="1"/>
  <c r="CA2638" i="5" s="1"/>
  <c r="BS18" i="5"/>
  <c r="BZ18" i="5" s="1"/>
  <c r="CA18" i="5" s="1"/>
  <c r="BS277" i="5"/>
  <c r="BZ277" i="5" s="1"/>
  <c r="CA277" i="5" s="1"/>
  <c r="BS386" i="5"/>
  <c r="BZ386" i="5" s="1"/>
  <c r="CA386" i="5" s="1"/>
  <c r="BS553" i="5"/>
  <c r="BZ553" i="5" s="1"/>
  <c r="CA553" i="5" s="1"/>
  <c r="BS697" i="5"/>
  <c r="BZ697" i="5" s="1"/>
  <c r="CA697" i="5" s="1"/>
  <c r="BS841" i="5"/>
  <c r="BZ841" i="5" s="1"/>
  <c r="CA841" i="5" s="1"/>
  <c r="BS938" i="5"/>
  <c r="BZ938" i="5" s="1"/>
  <c r="CA938" i="5" s="1"/>
  <c r="BS1069" i="5"/>
  <c r="BZ1069" i="5" s="1"/>
  <c r="CA1069" i="5" s="1"/>
  <c r="BS1213" i="5"/>
  <c r="BZ1213" i="5" s="1"/>
  <c r="CA1213" i="5" s="1"/>
  <c r="BS1357" i="5"/>
  <c r="BZ1357" i="5" s="1"/>
  <c r="CA1357" i="5" s="1"/>
  <c r="BS1513" i="5"/>
  <c r="BZ1513" i="5" s="1"/>
  <c r="CA1513" i="5" s="1"/>
  <c r="BS1657" i="5"/>
  <c r="BZ1657" i="5" s="1"/>
  <c r="CA1657" i="5" s="1"/>
  <c r="BS1789" i="5"/>
  <c r="BZ1789" i="5" s="1"/>
  <c r="CA1789" i="5" s="1"/>
  <c r="BS1969" i="5"/>
  <c r="BZ1969" i="5" s="1"/>
  <c r="CA1969" i="5" s="1"/>
  <c r="BS2173" i="5"/>
  <c r="BZ2173" i="5" s="1"/>
  <c r="CA2173" i="5" s="1"/>
  <c r="BS2353" i="5"/>
  <c r="BZ2353" i="5" s="1"/>
  <c r="CA2353" i="5" s="1"/>
  <c r="BS2575" i="5"/>
  <c r="BZ2575" i="5" s="1"/>
  <c r="CA2575" i="5" s="1"/>
  <c r="BS2649" i="5"/>
  <c r="BZ2649" i="5" s="1"/>
  <c r="CA2649" i="5" s="1"/>
  <c r="BS2743" i="5"/>
  <c r="BZ2743" i="5" s="1"/>
  <c r="CA2743" i="5" s="1"/>
  <c r="BS2401" i="5"/>
  <c r="BZ2401" i="5" s="1"/>
  <c r="CA2401" i="5" s="1"/>
  <c r="BS2194" i="5"/>
  <c r="BZ2194" i="5" s="1"/>
  <c r="CA2194" i="5" s="1"/>
  <c r="BS1954" i="5"/>
  <c r="BZ1954" i="5" s="1"/>
  <c r="CA1954" i="5" s="1"/>
  <c r="BS1704" i="5"/>
  <c r="BZ1704" i="5" s="1"/>
  <c r="CA1704" i="5" s="1"/>
  <c r="BS1462" i="5"/>
  <c r="BZ1462" i="5" s="1"/>
  <c r="CA1462" i="5" s="1"/>
  <c r="BS1246" i="5"/>
  <c r="BZ1246" i="5" s="1"/>
  <c r="CA1246" i="5" s="1"/>
  <c r="BS974" i="5"/>
  <c r="BZ974" i="5" s="1"/>
  <c r="CA974" i="5" s="1"/>
  <c r="BS829" i="5"/>
  <c r="BZ829" i="5" s="1"/>
  <c r="CA829" i="5" s="1"/>
  <c r="BS712" i="5"/>
  <c r="BZ712" i="5" s="1"/>
  <c r="CA712" i="5" s="1"/>
  <c r="BS638" i="5"/>
  <c r="BZ638" i="5" s="1"/>
  <c r="CA638" i="5" s="1"/>
  <c r="BS506" i="5"/>
  <c r="BZ506" i="5" s="1"/>
  <c r="CA506" i="5" s="1"/>
  <c r="BS420" i="5"/>
  <c r="BZ420" i="5" s="1"/>
  <c r="CA420" i="5" s="1"/>
  <c r="BS266" i="5"/>
  <c r="BZ266" i="5" s="1"/>
  <c r="CA266" i="5" s="1"/>
  <c r="BS98" i="5"/>
  <c r="BZ98" i="5" s="1"/>
  <c r="CA98" i="5" s="1"/>
  <c r="BS2692" i="5"/>
  <c r="BZ2692" i="5" s="1"/>
  <c r="CA2692" i="5" s="1"/>
  <c r="BS2597" i="5"/>
  <c r="BZ2597" i="5" s="1"/>
  <c r="CA2597" i="5" s="1"/>
  <c r="BS2512" i="5"/>
  <c r="BZ2512" i="5" s="1"/>
  <c r="CA2512" i="5" s="1"/>
  <c r="BS2469" i="5"/>
  <c r="BZ2469" i="5" s="1"/>
  <c r="CA2469" i="5" s="1"/>
  <c r="BS2408" i="5"/>
  <c r="BZ2408" i="5" s="1"/>
  <c r="CA2408" i="5" s="1"/>
  <c r="BS2348" i="5"/>
  <c r="BZ2348" i="5" s="1"/>
  <c r="CA2348" i="5" s="1"/>
  <c r="BS2299" i="5"/>
  <c r="BZ2299" i="5" s="1"/>
  <c r="CA2299" i="5" s="1"/>
  <c r="BS2240" i="5"/>
  <c r="BZ2240" i="5" s="1"/>
  <c r="CA2240" i="5" s="1"/>
  <c r="BS2168" i="5"/>
  <c r="BZ2168" i="5" s="1"/>
  <c r="CA2168" i="5" s="1"/>
  <c r="BS2120" i="5"/>
  <c r="BZ2120" i="5" s="1"/>
  <c r="CA2120" i="5" s="1"/>
  <c r="BS2060" i="5"/>
  <c r="BZ2060" i="5" s="1"/>
  <c r="CA2060" i="5" s="1"/>
  <c r="BS1989" i="5"/>
  <c r="BZ1989" i="5" s="1"/>
  <c r="CA1989" i="5" s="1"/>
  <c r="BS1928" i="5"/>
  <c r="BZ1928" i="5" s="1"/>
  <c r="CA1928" i="5" s="1"/>
  <c r="BS1869" i="5"/>
  <c r="BZ1869" i="5" s="1"/>
  <c r="CA1869" i="5" s="1"/>
  <c r="BS1819" i="5"/>
  <c r="BZ1819" i="5" s="1"/>
  <c r="CA1819" i="5" s="1"/>
  <c r="BS1760" i="5"/>
  <c r="BZ1760" i="5" s="1"/>
  <c r="CA1760" i="5" s="1"/>
  <c r="BS1701" i="5"/>
  <c r="BZ1701" i="5" s="1"/>
  <c r="CA1701" i="5" s="1"/>
  <c r="BS1655" i="5"/>
  <c r="BZ1655" i="5" s="1"/>
  <c r="CA1655" i="5" s="1"/>
  <c r="BS1605" i="5"/>
  <c r="BZ1605" i="5" s="1"/>
  <c r="CA1605" i="5" s="1"/>
  <c r="BS1560" i="5"/>
  <c r="BZ1560" i="5" s="1"/>
  <c r="CA1560" i="5" s="1"/>
  <c r="BS1519" i="5"/>
  <c r="BZ1519" i="5" s="1"/>
  <c r="CA1519" i="5" s="1"/>
  <c r="BS1471" i="5"/>
  <c r="BZ1471" i="5" s="1"/>
  <c r="CA1471" i="5" s="1"/>
  <c r="BS1425" i="5"/>
  <c r="BZ1425" i="5" s="1"/>
  <c r="CA1425" i="5" s="1"/>
  <c r="BS1376" i="5"/>
  <c r="BZ1376" i="5" s="1"/>
  <c r="CA1376" i="5" s="1"/>
  <c r="BS1317" i="5"/>
  <c r="BZ1317" i="5" s="1"/>
  <c r="CA1317" i="5" s="1"/>
  <c r="BS1267" i="5"/>
  <c r="BZ1267" i="5" s="1"/>
  <c r="CA1267" i="5" s="1"/>
  <c r="BS1197" i="5"/>
  <c r="BZ1197" i="5" s="1"/>
  <c r="CA1197" i="5" s="1"/>
  <c r="BS1149" i="5"/>
  <c r="BZ1149" i="5" s="1"/>
  <c r="CA1149" i="5" s="1"/>
  <c r="BS1088" i="5"/>
  <c r="BZ1088" i="5" s="1"/>
  <c r="CA1088" i="5" s="1"/>
  <c r="BS1040" i="5"/>
  <c r="BZ1040" i="5" s="1"/>
  <c r="CA1040" i="5" s="1"/>
  <c r="BS993" i="5"/>
  <c r="BZ993" i="5" s="1"/>
  <c r="CA993" i="5" s="1"/>
  <c r="BS957" i="5"/>
  <c r="BZ957" i="5" s="1"/>
  <c r="CA957" i="5" s="1"/>
  <c r="BS919" i="5"/>
  <c r="BZ919" i="5" s="1"/>
  <c r="CA919" i="5" s="1"/>
  <c r="BS873" i="5"/>
  <c r="BZ873" i="5" s="1"/>
  <c r="CA873" i="5" s="1"/>
  <c r="BS836" i="5"/>
  <c r="BZ836" i="5" s="1"/>
  <c r="CA836" i="5" s="1"/>
  <c r="BS788" i="5"/>
  <c r="BZ788" i="5" s="1"/>
  <c r="CA788" i="5" s="1"/>
  <c r="BS741" i="5"/>
  <c r="BZ741" i="5" s="1"/>
  <c r="CA741" i="5" s="1"/>
  <c r="BS705" i="5"/>
  <c r="BZ705" i="5" s="1"/>
  <c r="CA705" i="5" s="1"/>
  <c r="BS668" i="5"/>
  <c r="BZ668" i="5" s="1"/>
  <c r="CA668" i="5" s="1"/>
  <c r="BS631" i="5"/>
  <c r="BZ631" i="5" s="1"/>
  <c r="CA631" i="5" s="1"/>
  <c r="BS595" i="5"/>
  <c r="BZ595" i="5" s="1"/>
  <c r="CA595" i="5" s="1"/>
  <c r="BS559" i="5"/>
  <c r="BZ559" i="5" s="1"/>
  <c r="CA559" i="5" s="1"/>
  <c r="BS523" i="5"/>
  <c r="BZ523" i="5" s="1"/>
  <c r="CA523" i="5" s="1"/>
  <c r="BS487" i="5"/>
  <c r="BZ487" i="5" s="1"/>
  <c r="CA487" i="5" s="1"/>
  <c r="BS454" i="5"/>
  <c r="BZ454" i="5" s="1"/>
  <c r="CA454" i="5" s="1"/>
  <c r="BS423" i="5"/>
  <c r="BZ423" i="5" s="1"/>
  <c r="CA423" i="5" s="1"/>
  <c r="BS392" i="5"/>
  <c r="BZ392" i="5" s="1"/>
  <c r="CA392" i="5" s="1"/>
  <c r="BS357" i="5"/>
  <c r="BZ357" i="5" s="1"/>
  <c r="CA357" i="5" s="1"/>
  <c r="BS321" i="5"/>
  <c r="BZ321" i="5" s="1"/>
  <c r="CA321" i="5" s="1"/>
  <c r="BS284" i="5"/>
  <c r="BZ284" i="5" s="1"/>
  <c r="CA284" i="5" s="1"/>
  <c r="BS251" i="5"/>
  <c r="BZ251" i="5" s="1"/>
  <c r="CA251" i="5" s="1"/>
  <c r="BS231" i="5"/>
  <c r="BZ231" i="5" s="1"/>
  <c r="CA231" i="5" s="1"/>
  <c r="BS216" i="5"/>
  <c r="BZ216" i="5" s="1"/>
  <c r="CA216" i="5" s="1"/>
  <c r="BS197" i="5"/>
  <c r="BZ197" i="5" s="1"/>
  <c r="CA197" i="5" s="1"/>
  <c r="BS180" i="5"/>
  <c r="BZ180" i="5" s="1"/>
  <c r="CA180" i="5" s="1"/>
  <c r="BS161" i="5"/>
  <c r="BZ161" i="5" s="1"/>
  <c r="CA161" i="5" s="1"/>
  <c r="BS145" i="5"/>
  <c r="BZ145" i="5" s="1"/>
  <c r="CA145" i="5" s="1"/>
  <c r="BS128" i="5"/>
  <c r="BZ128" i="5" s="1"/>
  <c r="CA128" i="5" s="1"/>
  <c r="BS109" i="5"/>
  <c r="BZ109" i="5" s="1"/>
  <c r="CA109" i="5" s="1"/>
  <c r="BS93" i="5"/>
  <c r="BZ93" i="5" s="1"/>
  <c r="CA93" i="5" s="1"/>
  <c r="BS75" i="5"/>
  <c r="BZ75" i="5" s="1"/>
  <c r="CA75" i="5" s="1"/>
  <c r="BS60" i="5"/>
  <c r="BZ60" i="5" s="1"/>
  <c r="CA60" i="5" s="1"/>
  <c r="BS41" i="5"/>
  <c r="BZ41" i="5" s="1"/>
  <c r="CA41" i="5" s="1"/>
  <c r="BS26" i="5"/>
  <c r="BZ26" i="5" s="1"/>
  <c r="CA26" i="5" s="1"/>
  <c r="BS9" i="5"/>
  <c r="BZ9" i="5" s="1"/>
  <c r="CA9" i="5" s="1"/>
  <c r="BS2715" i="5"/>
  <c r="BZ2715" i="5" s="1"/>
  <c r="CA2715" i="5" s="1"/>
  <c r="BS2665" i="5"/>
  <c r="BZ2665" i="5" s="1"/>
  <c r="CA2665" i="5" s="1"/>
  <c r="BS2607" i="5"/>
  <c r="BZ2607" i="5" s="1"/>
  <c r="CA2607" i="5" s="1"/>
  <c r="BS2559" i="5"/>
  <c r="BZ2559" i="5" s="1"/>
  <c r="CA2559" i="5" s="1"/>
  <c r="BS2516" i="5"/>
  <c r="BZ2516" i="5" s="1"/>
  <c r="CA2516" i="5" s="1"/>
  <c r="BS2488" i="5"/>
  <c r="BZ2488" i="5" s="1"/>
  <c r="CA2488" i="5" s="1"/>
  <c r="BS2453" i="5"/>
  <c r="BZ2453" i="5" s="1"/>
  <c r="CA2453" i="5" s="1"/>
  <c r="BS2422" i="5"/>
  <c r="BZ2422" i="5" s="1"/>
  <c r="CA2422" i="5" s="1"/>
  <c r="BS2387" i="5"/>
  <c r="BZ2387" i="5" s="1"/>
  <c r="CA2387" i="5" s="1"/>
  <c r="BS2356" i="5"/>
  <c r="BZ2356" i="5" s="1"/>
  <c r="CA2356" i="5" s="1"/>
  <c r="BS2321" i="5"/>
  <c r="BZ2321" i="5" s="1"/>
  <c r="CA2321" i="5" s="1"/>
  <c r="BS2278" i="5"/>
  <c r="BZ2278" i="5" s="1"/>
  <c r="CA2278" i="5" s="1"/>
  <c r="BS2243" i="5"/>
  <c r="BZ2243" i="5" s="1"/>
  <c r="CA2243" i="5" s="1"/>
  <c r="BS2214" i="5"/>
  <c r="BZ2214" i="5" s="1"/>
  <c r="CA2214" i="5" s="1"/>
  <c r="BS2170" i="5"/>
  <c r="BZ2170" i="5" s="1"/>
  <c r="CA2170" i="5" s="1"/>
  <c r="BS2134" i="5"/>
  <c r="BZ2134" i="5" s="1"/>
  <c r="CA2134" i="5" s="1"/>
  <c r="BS2093" i="5"/>
  <c r="BZ2093" i="5" s="1"/>
  <c r="CA2093" i="5" s="1"/>
  <c r="BS2058" i="5"/>
  <c r="BZ2058" i="5" s="1"/>
  <c r="CA2058" i="5" s="1"/>
  <c r="BS2022" i="5"/>
  <c r="BZ2022" i="5" s="1"/>
  <c r="CA2022" i="5" s="1"/>
  <c r="BS1983" i="5"/>
  <c r="BZ1983" i="5" s="1"/>
  <c r="CA1983" i="5" s="1"/>
  <c r="BS1955" i="5"/>
  <c r="BZ1955" i="5" s="1"/>
  <c r="CA1955" i="5" s="1"/>
  <c r="BS1926" i="5"/>
  <c r="BZ1926" i="5" s="1"/>
  <c r="CA1926" i="5" s="1"/>
  <c r="BS1889" i="5"/>
  <c r="BZ1889" i="5" s="1"/>
  <c r="CA1889" i="5" s="1"/>
  <c r="BS1864" i="5"/>
  <c r="BZ1864" i="5" s="1"/>
  <c r="CA1864" i="5" s="1"/>
  <c r="BS1822" i="5"/>
  <c r="BZ1822" i="5" s="1"/>
  <c r="CA1822" i="5" s="1"/>
  <c r="BS1792" i="5"/>
  <c r="BZ1792" i="5" s="1"/>
  <c r="CA1792" i="5" s="1"/>
  <c r="BS1758" i="5"/>
  <c r="BZ1758" i="5" s="1"/>
  <c r="CA1758" i="5" s="1"/>
  <c r="BS1727" i="5"/>
  <c r="BZ1727" i="5" s="1"/>
  <c r="CA1727" i="5" s="1"/>
  <c r="BS1696" i="5"/>
  <c r="BZ1696" i="5" s="1"/>
  <c r="CA1696" i="5" s="1"/>
  <c r="BS1661" i="5"/>
  <c r="BZ1661" i="5" s="1"/>
  <c r="CA1661" i="5" s="1"/>
  <c r="BS1625" i="5"/>
  <c r="BZ1625" i="5" s="1"/>
  <c r="CA1625" i="5" s="1"/>
  <c r="BS1583" i="5"/>
  <c r="BZ1583" i="5" s="1"/>
  <c r="CA1583" i="5" s="1"/>
  <c r="BS1552" i="5"/>
  <c r="BZ1552" i="5" s="1"/>
  <c r="CA1552" i="5" s="1"/>
  <c r="BS1518" i="5"/>
  <c r="BZ1518" i="5" s="1"/>
  <c r="CA1518" i="5" s="1"/>
  <c r="BS1481" i="5"/>
  <c r="BZ1481" i="5" s="1"/>
  <c r="CA1481" i="5" s="1"/>
  <c r="BS1444" i="5"/>
  <c r="BZ1444" i="5" s="1"/>
  <c r="CA1444" i="5" s="1"/>
  <c r="BS1408" i="5"/>
  <c r="BZ1408" i="5" s="1"/>
  <c r="CA1408" i="5" s="1"/>
  <c r="BS1372" i="5"/>
  <c r="BZ1372" i="5" s="1"/>
  <c r="CA1372" i="5" s="1"/>
  <c r="BS1337" i="5"/>
  <c r="BZ1337" i="5" s="1"/>
  <c r="CA1337" i="5" s="1"/>
  <c r="BS1295" i="5"/>
  <c r="BZ1295" i="5" s="1"/>
  <c r="CA1295" i="5" s="1"/>
  <c r="BS1253" i="5"/>
  <c r="BZ1253" i="5" s="1"/>
  <c r="CA1253" i="5" s="1"/>
  <c r="BS1217" i="5"/>
  <c r="BZ1217" i="5" s="1"/>
  <c r="CA1217" i="5" s="1"/>
  <c r="BS1182" i="5"/>
  <c r="BZ1182" i="5" s="1"/>
  <c r="CA1182" i="5" s="1"/>
  <c r="BS1150" i="5"/>
  <c r="BZ1150" i="5" s="1"/>
  <c r="CA1150" i="5" s="1"/>
  <c r="BS1114" i="5"/>
  <c r="BZ1114" i="5" s="1"/>
  <c r="CA1114" i="5" s="1"/>
  <c r="BS1066" i="5"/>
  <c r="BZ1066" i="5" s="1"/>
  <c r="CA1066" i="5" s="1"/>
  <c r="BS1008" i="5"/>
  <c r="BZ1008" i="5" s="1"/>
  <c r="CA1008" i="5" s="1"/>
  <c r="BS965" i="5"/>
  <c r="BZ965" i="5" s="1"/>
  <c r="CA965" i="5" s="1"/>
  <c r="BS922" i="5"/>
  <c r="BZ922" i="5" s="1"/>
  <c r="CA922" i="5" s="1"/>
  <c r="BS886" i="5"/>
  <c r="BZ886" i="5" s="1"/>
  <c r="CA886" i="5" s="1"/>
  <c r="BS840" i="5"/>
  <c r="BZ840" i="5" s="1"/>
  <c r="CA840" i="5" s="1"/>
  <c r="BS798" i="5"/>
  <c r="BZ798" i="5" s="1"/>
  <c r="CA798" i="5" s="1"/>
  <c r="BS742" i="5"/>
  <c r="BZ742" i="5" s="1"/>
  <c r="CA742" i="5" s="1"/>
  <c r="BS702" i="5"/>
  <c r="BZ702" i="5" s="1"/>
  <c r="CA702" i="5" s="1"/>
  <c r="BS647" i="5"/>
  <c r="BZ647" i="5" s="1"/>
  <c r="CA647" i="5" s="1"/>
  <c r="BS588" i="5"/>
  <c r="BZ588" i="5" s="1"/>
  <c r="CA588" i="5" s="1"/>
  <c r="BS550" i="5"/>
  <c r="BZ550" i="5" s="1"/>
  <c r="CA550" i="5" s="1"/>
  <c r="BS504" i="5"/>
  <c r="BZ504" i="5" s="1"/>
  <c r="CA504" i="5" s="1"/>
  <c r="BS442" i="5"/>
  <c r="BZ442" i="5" s="1"/>
  <c r="CA442" i="5" s="1"/>
  <c r="BS384" i="5"/>
  <c r="BZ384" i="5" s="1"/>
  <c r="CA384" i="5" s="1"/>
  <c r="BS324" i="5"/>
  <c r="BZ324" i="5" s="1"/>
  <c r="CA324" i="5" s="1"/>
  <c r="BS264" i="5"/>
  <c r="BZ264" i="5" s="1"/>
  <c r="CA264" i="5" s="1"/>
  <c r="BS118" i="5"/>
  <c r="BZ118" i="5" s="1"/>
  <c r="CA118" i="5" s="1"/>
  <c r="BS2699" i="5"/>
  <c r="BZ2699" i="5" s="1"/>
  <c r="CA2699" i="5" s="1"/>
  <c r="BS2650" i="5"/>
  <c r="BZ2650" i="5" s="1"/>
  <c r="CA2650" i="5" s="1"/>
  <c r="BS2602" i="5"/>
  <c r="BZ2602" i="5" s="1"/>
  <c r="CA2602" i="5" s="1"/>
  <c r="BS2543" i="5"/>
  <c r="BZ2543" i="5" s="1"/>
  <c r="CA2543" i="5" s="1"/>
  <c r="BS151" i="5"/>
  <c r="BZ151" i="5" s="1"/>
  <c r="CA151" i="5" s="1"/>
  <c r="BS255" i="5"/>
  <c r="BZ255" i="5" s="1"/>
  <c r="CA255" i="5" s="1"/>
  <c r="BS329" i="5"/>
  <c r="BZ329" i="5" s="1"/>
  <c r="CA329" i="5" s="1"/>
  <c r="BS439" i="5"/>
  <c r="BZ439" i="5" s="1"/>
  <c r="CA439" i="5" s="1"/>
  <c r="BS563" i="5"/>
  <c r="BZ563" i="5" s="1"/>
  <c r="CA563" i="5" s="1"/>
  <c r="BS689" i="5"/>
  <c r="BZ689" i="5" s="1"/>
  <c r="CA689" i="5" s="1"/>
  <c r="BS787" i="5"/>
  <c r="BZ787" i="5" s="1"/>
  <c r="CA787" i="5" s="1"/>
  <c r="BS871" i="5"/>
  <c r="BZ871" i="5" s="1"/>
  <c r="CA871" i="5" s="1"/>
  <c r="BS975" i="5"/>
  <c r="BZ975" i="5" s="1"/>
  <c r="CA975" i="5" s="1"/>
  <c r="BS1047" i="5"/>
  <c r="BZ1047" i="5" s="1"/>
  <c r="CA1047" i="5" s="1"/>
  <c r="BS1099" i="5"/>
  <c r="BZ1099" i="5" s="1"/>
  <c r="CA1099" i="5" s="1"/>
  <c r="BS1171" i="5"/>
  <c r="BZ1171" i="5" s="1"/>
  <c r="CA1171" i="5" s="1"/>
  <c r="BS1275" i="5"/>
  <c r="BZ1275" i="5" s="1"/>
  <c r="CA1275" i="5" s="1"/>
  <c r="BS1343" i="5"/>
  <c r="BZ1343" i="5" s="1"/>
  <c r="CA1343" i="5" s="1"/>
  <c r="BS1443" i="5"/>
  <c r="BZ1443" i="5" s="1"/>
  <c r="CA1443" i="5" s="1"/>
  <c r="BS1567" i="5"/>
  <c r="BZ1567" i="5" s="1"/>
  <c r="CA1567" i="5" s="1"/>
  <c r="BS1671" i="5"/>
  <c r="BZ1671" i="5" s="1"/>
  <c r="CA1671" i="5" s="1"/>
  <c r="BS1779" i="5"/>
  <c r="BZ1779" i="5" s="1"/>
  <c r="CA1779" i="5" s="1"/>
  <c r="BS1854" i="5"/>
  <c r="BZ1854" i="5" s="1"/>
  <c r="CA1854" i="5" s="1"/>
  <c r="BS1927" i="5"/>
  <c r="BZ1927" i="5" s="1"/>
  <c r="CA1927" i="5" s="1"/>
  <c r="BS2007" i="5"/>
  <c r="BZ2007" i="5" s="1"/>
  <c r="CA2007" i="5" s="1"/>
  <c r="BS2071" i="5"/>
  <c r="BZ2071" i="5" s="1"/>
  <c r="CA2071" i="5" s="1"/>
  <c r="BS2167" i="5"/>
  <c r="BZ2167" i="5" s="1"/>
  <c r="CA2167" i="5" s="1"/>
  <c r="BS2263" i="5"/>
  <c r="BZ2263" i="5" s="1"/>
  <c r="CA2263" i="5" s="1"/>
  <c r="BS2359" i="5"/>
  <c r="BZ2359" i="5" s="1"/>
  <c r="CA2359" i="5" s="1"/>
  <c r="BS2443" i="5"/>
  <c r="BZ2443" i="5" s="1"/>
  <c r="CA2443" i="5" s="1"/>
  <c r="BS2596" i="5"/>
  <c r="BZ2596" i="5" s="1"/>
  <c r="CA2596" i="5" s="1"/>
  <c r="BS2718" i="5"/>
  <c r="BZ2718" i="5" s="1"/>
  <c r="CA2718" i="5" s="1"/>
  <c r="BS2441" i="5"/>
  <c r="BZ2441" i="5" s="1"/>
  <c r="CA2441" i="5" s="1"/>
  <c r="BS2380" i="5"/>
  <c r="BZ2380" i="5" s="1"/>
  <c r="CA2380" i="5" s="1"/>
  <c r="BS2318" i="5"/>
  <c r="BZ2318" i="5" s="1"/>
  <c r="CA2318" i="5" s="1"/>
  <c r="BS2260" i="5"/>
  <c r="BZ2260" i="5" s="1"/>
  <c r="CA2260" i="5" s="1"/>
  <c r="BS2210" i="5"/>
  <c r="BZ2210" i="5" s="1"/>
  <c r="CA2210" i="5" s="1"/>
  <c r="BS2164" i="5"/>
  <c r="BZ2164" i="5" s="1"/>
  <c r="CA2164" i="5" s="1"/>
  <c r="BS2111" i="5"/>
  <c r="BZ2111" i="5" s="1"/>
  <c r="CA2111" i="5" s="1"/>
  <c r="BS2054" i="5"/>
  <c r="BZ2054" i="5" s="1"/>
  <c r="CA2054" i="5" s="1"/>
  <c r="BS1996" i="5"/>
  <c r="BZ1996" i="5" s="1"/>
  <c r="CA1996" i="5" s="1"/>
  <c r="BS1924" i="5"/>
  <c r="BZ1924" i="5" s="1"/>
  <c r="CA1924" i="5" s="1"/>
  <c r="BS1838" i="5"/>
  <c r="BZ1838" i="5" s="1"/>
  <c r="CA1838" i="5" s="1"/>
  <c r="BS1766" i="5"/>
  <c r="BZ1766" i="5" s="1"/>
  <c r="CA1766" i="5" s="1"/>
  <c r="BS1672" i="5"/>
  <c r="BZ1672" i="5" s="1"/>
  <c r="CA1672" i="5" s="1"/>
  <c r="BS1598" i="5"/>
  <c r="BZ1598" i="5" s="1"/>
  <c r="CA1598" i="5" s="1"/>
  <c r="BS1542" i="5"/>
  <c r="BZ1542" i="5" s="1"/>
  <c r="CA1542" i="5" s="1"/>
  <c r="BS1456" i="5"/>
  <c r="BZ1456" i="5" s="1"/>
  <c r="CA1456" i="5" s="1"/>
  <c r="BS1387" i="5"/>
  <c r="BZ1387" i="5" s="1"/>
  <c r="CA1387" i="5" s="1"/>
  <c r="BS1326" i="5"/>
  <c r="BZ1326" i="5" s="1"/>
  <c r="CA1326" i="5" s="1"/>
  <c r="BS1278" i="5"/>
  <c r="BZ1278" i="5" s="1"/>
  <c r="CA1278" i="5" s="1"/>
  <c r="BS1226" i="5"/>
  <c r="BZ1226" i="5" s="1"/>
  <c r="CA1226" i="5" s="1"/>
  <c r="BS1159" i="5"/>
  <c r="BZ1159" i="5" s="1"/>
  <c r="CA1159" i="5" s="1"/>
  <c r="BS1094" i="5"/>
  <c r="BZ1094" i="5" s="1"/>
  <c r="CA1094" i="5" s="1"/>
  <c r="BS1019" i="5"/>
  <c r="BZ1019" i="5" s="1"/>
  <c r="CA1019" i="5" s="1"/>
  <c r="BS875" i="5"/>
  <c r="BZ875" i="5" s="1"/>
  <c r="CA875" i="5" s="1"/>
  <c r="BS785" i="5"/>
  <c r="BZ785" i="5" s="1"/>
  <c r="CA785" i="5" s="1"/>
  <c r="BS683" i="5"/>
  <c r="BZ683" i="5" s="1"/>
  <c r="CA683" i="5" s="1"/>
  <c r="BS555" i="5"/>
  <c r="BZ555" i="5" s="1"/>
  <c r="CA555" i="5" s="1"/>
  <c r="BS427" i="5"/>
  <c r="BZ427" i="5" s="1"/>
  <c r="CA427" i="5" s="1"/>
  <c r="BS282" i="5"/>
  <c r="BZ282" i="5" s="1"/>
  <c r="CA282" i="5" s="1"/>
  <c r="BS67" i="5"/>
  <c r="BZ67" i="5" s="1"/>
  <c r="CA67" i="5" s="1"/>
  <c r="BS592" i="5"/>
  <c r="BZ592" i="5" s="1"/>
  <c r="CA592" i="5" s="1"/>
  <c r="BS2530" i="5"/>
  <c r="BZ2530" i="5" s="1"/>
  <c r="CA2530" i="5" s="1"/>
  <c r="BS2640" i="5"/>
  <c r="BZ2640" i="5" s="1"/>
  <c r="CA2640" i="5" s="1"/>
  <c r="BS30" i="5"/>
  <c r="BZ30" i="5" s="1"/>
  <c r="CA30" i="5" s="1"/>
  <c r="BS289" i="5"/>
  <c r="BZ289" i="5" s="1"/>
  <c r="CA289" i="5" s="1"/>
  <c r="BS397" i="5"/>
  <c r="BZ397" i="5" s="1"/>
  <c r="CA397" i="5" s="1"/>
  <c r="BS554" i="5"/>
  <c r="BZ554" i="5" s="1"/>
  <c r="CA554" i="5" s="1"/>
  <c r="BS709" i="5"/>
  <c r="BZ709" i="5" s="1"/>
  <c r="CA709" i="5" s="1"/>
  <c r="BS842" i="5"/>
  <c r="BZ842" i="5" s="1"/>
  <c r="CA842" i="5" s="1"/>
  <c r="BS950" i="5"/>
  <c r="BZ950" i="5" s="1"/>
  <c r="CA950" i="5" s="1"/>
  <c r="BS1081" i="5"/>
  <c r="BZ1081" i="5" s="1"/>
  <c r="CA1081" i="5" s="1"/>
  <c r="BS1225" i="5"/>
  <c r="BZ1225" i="5" s="1"/>
  <c r="CA1225" i="5" s="1"/>
  <c r="BS1369" i="5"/>
  <c r="BZ1369" i="5" s="1"/>
  <c r="CA1369" i="5" s="1"/>
  <c r="BS1525" i="5"/>
  <c r="BZ1525" i="5" s="1"/>
  <c r="CA1525" i="5" s="1"/>
  <c r="BS1669" i="5"/>
  <c r="BZ1669" i="5" s="1"/>
  <c r="CA1669" i="5" s="1"/>
  <c r="BS1813" i="5"/>
  <c r="BZ1813" i="5" s="1"/>
  <c r="CA1813" i="5" s="1"/>
  <c r="BS1981" i="5"/>
  <c r="BZ1981" i="5" s="1"/>
  <c r="CA1981" i="5" s="1"/>
  <c r="BS2197" i="5"/>
  <c r="BZ2197" i="5" s="1"/>
  <c r="CA2197" i="5" s="1"/>
  <c r="BS2365" i="5"/>
  <c r="BZ2365" i="5" s="1"/>
  <c r="CA2365" i="5" s="1"/>
  <c r="BS2587" i="5"/>
  <c r="BZ2587" i="5" s="1"/>
  <c r="CA2587" i="5" s="1"/>
  <c r="BS2653" i="5"/>
  <c r="BZ2653" i="5" s="1"/>
  <c r="CA2653" i="5" s="1"/>
  <c r="BS2496" i="5"/>
  <c r="BZ2496" i="5" s="1"/>
  <c r="CA2496" i="5" s="1"/>
  <c r="BS2389" i="5"/>
  <c r="BZ2389" i="5" s="1"/>
  <c r="CA2389" i="5" s="1"/>
  <c r="BS2185" i="5"/>
  <c r="BZ2185" i="5" s="1"/>
  <c r="CA2185" i="5" s="1"/>
  <c r="BS1920" i="5"/>
  <c r="BZ1920" i="5" s="1"/>
  <c r="CA1920" i="5" s="1"/>
  <c r="BS1692" i="5"/>
  <c r="BZ1692" i="5" s="1"/>
  <c r="CA1692" i="5" s="1"/>
  <c r="BS1453" i="5"/>
  <c r="BZ1453" i="5" s="1"/>
  <c r="CA1453" i="5" s="1"/>
  <c r="BS1174" i="5"/>
  <c r="BZ1174" i="5" s="1"/>
  <c r="CA1174" i="5" s="1"/>
  <c r="BS973" i="5"/>
  <c r="BZ973" i="5" s="1"/>
  <c r="CA973" i="5" s="1"/>
  <c r="BS828" i="5"/>
  <c r="BZ828" i="5" s="1"/>
  <c r="CA828" i="5" s="1"/>
  <c r="BS700" i="5"/>
  <c r="BZ700" i="5" s="1"/>
  <c r="CA700" i="5" s="1"/>
  <c r="BS626" i="5"/>
  <c r="BZ626" i="5" s="1"/>
  <c r="CA626" i="5" s="1"/>
  <c r="BS498" i="5"/>
  <c r="BZ498" i="5" s="1"/>
  <c r="CA498" i="5" s="1"/>
  <c r="BS409" i="5"/>
  <c r="BZ409" i="5" s="1"/>
  <c r="CA409" i="5" s="1"/>
  <c r="BS254" i="5"/>
  <c r="BZ254" i="5" s="1"/>
  <c r="CA254" i="5" s="1"/>
  <c r="BS94" i="5"/>
  <c r="BZ94" i="5" s="1"/>
  <c r="CA94" i="5" s="1"/>
  <c r="BS2681" i="5"/>
  <c r="BZ2681" i="5" s="1"/>
  <c r="CA2681" i="5" s="1"/>
  <c r="BS2585" i="5"/>
  <c r="BZ2585" i="5" s="1"/>
  <c r="CA2585" i="5" s="1"/>
  <c r="BS2501" i="5"/>
  <c r="BZ2501" i="5" s="1"/>
  <c r="CA2501" i="5" s="1"/>
  <c r="BS2468" i="5"/>
  <c r="BZ2468" i="5" s="1"/>
  <c r="CA2468" i="5" s="1"/>
  <c r="BS2397" i="5"/>
  <c r="BZ2397" i="5" s="1"/>
  <c r="CA2397" i="5" s="1"/>
  <c r="BS2347" i="5"/>
  <c r="BZ2347" i="5" s="1"/>
  <c r="CA2347" i="5" s="1"/>
  <c r="BS2289" i="5"/>
  <c r="BZ2289" i="5" s="1"/>
  <c r="CA2289" i="5" s="1"/>
  <c r="BS2229" i="5"/>
  <c r="BZ2229" i="5" s="1"/>
  <c r="CA2229" i="5" s="1"/>
  <c r="BS2163" i="5"/>
  <c r="BZ2163" i="5" s="1"/>
  <c r="CA2163" i="5" s="1"/>
  <c r="BS2109" i="5"/>
  <c r="BZ2109" i="5" s="1"/>
  <c r="CA2109" i="5" s="1"/>
  <c r="BS2049" i="5"/>
  <c r="BZ2049" i="5" s="1"/>
  <c r="CA2049" i="5" s="1"/>
  <c r="BS1988" i="5"/>
  <c r="BZ1988" i="5" s="1"/>
  <c r="CA1988" i="5" s="1"/>
  <c r="BS1917" i="5"/>
  <c r="BZ1917" i="5" s="1"/>
  <c r="CA1917" i="5" s="1"/>
  <c r="BS1868" i="5"/>
  <c r="BZ1868" i="5" s="1"/>
  <c r="CA1868" i="5" s="1"/>
  <c r="BS1815" i="5"/>
  <c r="BZ1815" i="5" s="1"/>
  <c r="CA1815" i="5" s="1"/>
  <c r="BS1749" i="5"/>
  <c r="BZ1749" i="5" s="1"/>
  <c r="CA1749" i="5" s="1"/>
  <c r="BS1700" i="5"/>
  <c r="BZ1700" i="5" s="1"/>
  <c r="CA1700" i="5" s="1"/>
  <c r="BS1653" i="5"/>
  <c r="BZ1653" i="5" s="1"/>
  <c r="CA1653" i="5" s="1"/>
  <c r="BS1604" i="5"/>
  <c r="BZ1604" i="5" s="1"/>
  <c r="CA1604" i="5" s="1"/>
  <c r="BS1559" i="5"/>
  <c r="BZ1559" i="5" s="1"/>
  <c r="CA1559" i="5" s="1"/>
  <c r="BS1512" i="5"/>
  <c r="BZ1512" i="5" s="1"/>
  <c r="CA1512" i="5" s="1"/>
  <c r="BS1464" i="5"/>
  <c r="BZ1464" i="5" s="1"/>
  <c r="CA1464" i="5" s="1"/>
  <c r="BS1424" i="5"/>
  <c r="BZ1424" i="5" s="1"/>
  <c r="CA1424" i="5" s="1"/>
  <c r="BS1368" i="5"/>
  <c r="BZ1368" i="5" s="1"/>
  <c r="CA1368" i="5" s="1"/>
  <c r="BS1316" i="5"/>
  <c r="BZ1316" i="5" s="1"/>
  <c r="CA1316" i="5" s="1"/>
  <c r="BS1257" i="5"/>
  <c r="BZ1257" i="5" s="1"/>
  <c r="CA1257" i="5" s="1"/>
  <c r="BS1196" i="5"/>
  <c r="BZ1196" i="5" s="1"/>
  <c r="CA1196" i="5" s="1"/>
  <c r="BS1148" i="5"/>
  <c r="BZ1148" i="5" s="1"/>
  <c r="CA1148" i="5" s="1"/>
  <c r="BS1080" i="5"/>
  <c r="BZ1080" i="5" s="1"/>
  <c r="CA1080" i="5" s="1"/>
  <c r="BS1039" i="5"/>
  <c r="BZ1039" i="5" s="1"/>
  <c r="CA1039" i="5" s="1"/>
  <c r="BS992" i="5"/>
  <c r="BZ992" i="5" s="1"/>
  <c r="CA992" i="5" s="1"/>
  <c r="BS956" i="5"/>
  <c r="BZ956" i="5" s="1"/>
  <c r="CA956" i="5" s="1"/>
  <c r="BS915" i="5"/>
  <c r="BZ915" i="5" s="1"/>
  <c r="CA915" i="5" s="1"/>
  <c r="BS872" i="5"/>
  <c r="BZ872" i="5" s="1"/>
  <c r="CA872" i="5" s="1"/>
  <c r="BS825" i="5"/>
  <c r="BZ825" i="5" s="1"/>
  <c r="CA825" i="5" s="1"/>
  <c r="BS777" i="5"/>
  <c r="BZ777" i="5" s="1"/>
  <c r="CA777" i="5" s="1"/>
  <c r="BS740" i="5"/>
  <c r="BZ740" i="5" s="1"/>
  <c r="CA740" i="5" s="1"/>
  <c r="BS704" i="5"/>
  <c r="BZ704" i="5" s="1"/>
  <c r="CA704" i="5" s="1"/>
  <c r="BS667" i="5"/>
  <c r="BZ667" i="5" s="1"/>
  <c r="CA667" i="5" s="1"/>
  <c r="BS627" i="5"/>
  <c r="BZ627" i="5" s="1"/>
  <c r="CA627" i="5" s="1"/>
  <c r="BS585" i="5"/>
  <c r="BZ585" i="5" s="1"/>
  <c r="CA585" i="5" s="1"/>
  <c r="BS549" i="5"/>
  <c r="BZ549" i="5" s="1"/>
  <c r="CA549" i="5" s="1"/>
  <c r="BS513" i="5"/>
  <c r="BZ513" i="5" s="1"/>
  <c r="CA513" i="5" s="1"/>
  <c r="BS484" i="5"/>
  <c r="BZ484" i="5" s="1"/>
  <c r="CA484" i="5" s="1"/>
  <c r="BS453" i="5"/>
  <c r="BZ453" i="5" s="1"/>
  <c r="CA453" i="5" s="1"/>
  <c r="BS418" i="5"/>
  <c r="BZ418" i="5" s="1"/>
  <c r="CA418" i="5" s="1"/>
  <c r="BS391" i="5"/>
  <c r="BZ391" i="5" s="1"/>
  <c r="CA391" i="5" s="1"/>
  <c r="BS356" i="5"/>
  <c r="BZ356" i="5" s="1"/>
  <c r="CA356" i="5" s="1"/>
  <c r="BS320" i="5"/>
  <c r="BZ320" i="5" s="1"/>
  <c r="CA320" i="5" s="1"/>
  <c r="BS280" i="5"/>
  <c r="BZ280" i="5" s="1"/>
  <c r="CA280" i="5" s="1"/>
  <c r="BS249" i="5"/>
  <c r="BZ249" i="5" s="1"/>
  <c r="CA249" i="5" s="1"/>
  <c r="BS230" i="5"/>
  <c r="BZ230" i="5" s="1"/>
  <c r="CA230" i="5" s="1"/>
  <c r="BS215" i="5"/>
  <c r="BZ215" i="5" s="1"/>
  <c r="CA215" i="5" s="1"/>
  <c r="BS196" i="5"/>
  <c r="BZ196" i="5" s="1"/>
  <c r="CA196" i="5" s="1"/>
  <c r="BS179" i="5"/>
  <c r="BZ179" i="5" s="1"/>
  <c r="CA179" i="5" s="1"/>
  <c r="BS160" i="5"/>
  <c r="BZ160" i="5" s="1"/>
  <c r="CA160" i="5" s="1"/>
  <c r="BS144" i="5"/>
  <c r="BZ144" i="5" s="1"/>
  <c r="CA144" i="5" s="1"/>
  <c r="BS127" i="5"/>
  <c r="BZ127" i="5" s="1"/>
  <c r="CA127" i="5" s="1"/>
  <c r="BS108" i="5"/>
  <c r="BZ108" i="5" s="1"/>
  <c r="CA108" i="5" s="1"/>
  <c r="BS92" i="5"/>
  <c r="BZ92" i="5" s="1"/>
  <c r="CA92" i="5" s="1"/>
  <c r="BS74" i="5"/>
  <c r="BZ74" i="5" s="1"/>
  <c r="CA74" i="5" s="1"/>
  <c r="BS59" i="5"/>
  <c r="BZ59" i="5" s="1"/>
  <c r="CA59" i="5" s="1"/>
  <c r="BS40" i="5"/>
  <c r="BZ40" i="5" s="1"/>
  <c r="CA40" i="5" s="1"/>
  <c r="BS25" i="5"/>
  <c r="BZ25" i="5" s="1"/>
  <c r="CA25" i="5" s="1"/>
  <c r="BS8" i="5"/>
  <c r="BZ8" i="5" s="1"/>
  <c r="CA8" i="5" s="1"/>
  <c r="BS2709" i="5"/>
  <c r="BZ2709" i="5" s="1"/>
  <c r="CA2709" i="5" s="1"/>
  <c r="BS2660" i="5"/>
  <c r="BZ2660" i="5" s="1"/>
  <c r="CA2660" i="5" s="1"/>
  <c r="BS2605" i="5"/>
  <c r="BZ2605" i="5" s="1"/>
  <c r="CA2605" i="5" s="1"/>
  <c r="BS2557" i="5"/>
  <c r="BZ2557" i="5" s="1"/>
  <c r="CA2557" i="5" s="1"/>
  <c r="BS2505" i="5"/>
  <c r="BZ2505" i="5" s="1"/>
  <c r="CA2505" i="5" s="1"/>
  <c r="BS2484" i="5"/>
  <c r="BZ2484" i="5" s="1"/>
  <c r="CA2484" i="5" s="1"/>
  <c r="BS2449" i="5"/>
  <c r="BZ2449" i="5" s="1"/>
  <c r="CA2449" i="5" s="1"/>
  <c r="BS2417" i="5"/>
  <c r="BZ2417" i="5" s="1"/>
  <c r="CA2417" i="5" s="1"/>
  <c r="BS2386" i="5"/>
  <c r="BZ2386" i="5" s="1"/>
  <c r="CA2386" i="5" s="1"/>
  <c r="BS2351" i="5"/>
  <c r="BZ2351" i="5" s="1"/>
  <c r="CA2351" i="5" s="1"/>
  <c r="BS2320" i="5"/>
  <c r="BZ2320" i="5" s="1"/>
  <c r="CA2320" i="5" s="1"/>
  <c r="BS2274" i="5"/>
  <c r="BZ2274" i="5" s="1"/>
  <c r="CA2274" i="5" s="1"/>
  <c r="BS2242" i="5"/>
  <c r="BZ2242" i="5" s="1"/>
  <c r="CA2242" i="5" s="1"/>
  <c r="BS2213" i="5"/>
  <c r="BZ2213" i="5" s="1"/>
  <c r="CA2213" i="5" s="1"/>
  <c r="BS2165" i="5"/>
  <c r="BZ2165" i="5" s="1"/>
  <c r="CA2165" i="5" s="1"/>
  <c r="BS2130" i="5"/>
  <c r="BZ2130" i="5" s="1"/>
  <c r="CA2130" i="5" s="1"/>
  <c r="BS2089" i="5"/>
  <c r="BZ2089" i="5" s="1"/>
  <c r="CA2089" i="5" s="1"/>
  <c r="BS2057" i="5"/>
  <c r="BZ2057" i="5" s="1"/>
  <c r="CA2057" i="5" s="1"/>
  <c r="BS2021" i="5"/>
  <c r="BZ2021" i="5" s="1"/>
  <c r="CA2021" i="5" s="1"/>
  <c r="BS1980" i="5"/>
  <c r="BZ1980" i="5" s="1"/>
  <c r="CA1980" i="5" s="1"/>
  <c r="BS1950" i="5"/>
  <c r="BZ1950" i="5" s="1"/>
  <c r="CA1950" i="5" s="1"/>
  <c r="BS1925" i="5"/>
  <c r="BZ1925" i="5" s="1"/>
  <c r="CA1925" i="5" s="1"/>
  <c r="BS1888" i="5"/>
  <c r="BZ1888" i="5" s="1"/>
  <c r="CA1888" i="5" s="1"/>
  <c r="BS1859" i="5"/>
  <c r="BZ1859" i="5" s="1"/>
  <c r="CA1859" i="5" s="1"/>
  <c r="BS1818" i="5"/>
  <c r="BZ1818" i="5" s="1"/>
  <c r="CA1818" i="5" s="1"/>
  <c r="BS1788" i="5"/>
  <c r="BZ1788" i="5" s="1"/>
  <c r="CA1788" i="5" s="1"/>
  <c r="BS1757" i="5"/>
  <c r="BZ1757" i="5" s="1"/>
  <c r="CA1757" i="5" s="1"/>
  <c r="BS1726" i="5"/>
  <c r="BZ1726" i="5" s="1"/>
  <c r="CA1726" i="5" s="1"/>
  <c r="BS1690" i="5"/>
  <c r="BZ1690" i="5" s="1"/>
  <c r="CA1690" i="5" s="1"/>
  <c r="BS1660" i="5"/>
  <c r="BZ1660" i="5" s="1"/>
  <c r="CA1660" i="5" s="1"/>
  <c r="BS1618" i="5"/>
  <c r="BZ1618" i="5" s="1"/>
  <c r="CA1618" i="5" s="1"/>
  <c r="BS1582" i="5"/>
  <c r="BZ1582" i="5" s="1"/>
  <c r="CA1582" i="5" s="1"/>
  <c r="BS1546" i="5"/>
  <c r="BZ1546" i="5" s="1"/>
  <c r="CA1546" i="5" s="1"/>
  <c r="BS1516" i="5"/>
  <c r="BZ1516" i="5" s="1"/>
  <c r="CA1516" i="5" s="1"/>
  <c r="BS1480" i="5"/>
  <c r="BZ1480" i="5" s="1"/>
  <c r="CA1480" i="5" s="1"/>
  <c r="BS1440" i="5"/>
  <c r="BZ1440" i="5" s="1"/>
  <c r="CA1440" i="5" s="1"/>
  <c r="BS1404" i="5"/>
  <c r="BZ1404" i="5" s="1"/>
  <c r="CA1404" i="5" s="1"/>
  <c r="BS1366" i="5"/>
  <c r="BZ1366" i="5" s="1"/>
  <c r="CA1366" i="5" s="1"/>
  <c r="BS1331" i="5"/>
  <c r="BZ1331" i="5" s="1"/>
  <c r="CA1331" i="5" s="1"/>
  <c r="BS1294" i="5"/>
  <c r="BZ1294" i="5" s="1"/>
  <c r="CA1294" i="5" s="1"/>
  <c r="BS1248" i="5"/>
  <c r="BZ1248" i="5" s="1"/>
  <c r="CA1248" i="5" s="1"/>
  <c r="BS1212" i="5"/>
  <c r="BZ1212" i="5" s="1"/>
  <c r="CA1212" i="5" s="1"/>
  <c r="BS1180" i="5"/>
  <c r="BZ1180" i="5" s="1"/>
  <c r="CA1180" i="5" s="1"/>
  <c r="BS1146" i="5"/>
  <c r="BZ1146" i="5" s="1"/>
  <c r="CA1146" i="5" s="1"/>
  <c r="BS1109" i="5"/>
  <c r="BZ1109" i="5" s="1"/>
  <c r="CA1109" i="5" s="1"/>
  <c r="BS1060" i="5"/>
  <c r="BZ1060" i="5" s="1"/>
  <c r="CA1060" i="5" s="1"/>
  <c r="BS1002" i="5"/>
  <c r="BZ1002" i="5" s="1"/>
  <c r="CA1002" i="5" s="1"/>
  <c r="BS960" i="5"/>
  <c r="BZ960" i="5" s="1"/>
  <c r="CA960" i="5" s="1"/>
  <c r="BS918" i="5"/>
  <c r="BZ918" i="5" s="1"/>
  <c r="CA918" i="5" s="1"/>
  <c r="BS882" i="5"/>
  <c r="BZ882" i="5" s="1"/>
  <c r="CA882" i="5" s="1"/>
  <c r="BS839" i="5"/>
  <c r="BZ839" i="5" s="1"/>
  <c r="CA839" i="5" s="1"/>
  <c r="BS791" i="5"/>
  <c r="BZ791" i="5" s="1"/>
  <c r="CA791" i="5" s="1"/>
  <c r="BS738" i="5"/>
  <c r="BZ738" i="5" s="1"/>
  <c r="CA738" i="5" s="1"/>
  <c r="BS696" i="5"/>
  <c r="BZ696" i="5" s="1"/>
  <c r="CA696" i="5" s="1"/>
  <c r="BS646" i="5"/>
  <c r="BZ646" i="5" s="1"/>
  <c r="CA646" i="5" s="1"/>
  <c r="BS587" i="5"/>
  <c r="BZ587" i="5" s="1"/>
  <c r="CA587" i="5" s="1"/>
  <c r="BS546" i="5"/>
  <c r="BZ546" i="5" s="1"/>
  <c r="CA546" i="5" s="1"/>
  <c r="BS503" i="5"/>
  <c r="BZ503" i="5" s="1"/>
  <c r="CA503" i="5" s="1"/>
  <c r="BS432" i="5"/>
  <c r="BZ432" i="5" s="1"/>
  <c r="CA432" i="5" s="1"/>
  <c r="BS378" i="5"/>
  <c r="BZ378" i="5" s="1"/>
  <c r="CA378" i="5" s="1"/>
  <c r="BS322" i="5"/>
  <c r="BZ322" i="5" s="1"/>
  <c r="CA322" i="5" s="1"/>
  <c r="BS262" i="5"/>
  <c r="BZ262" i="5" s="1"/>
  <c r="CA262" i="5" s="1"/>
  <c r="BS114" i="5"/>
  <c r="BZ114" i="5" s="1"/>
  <c r="CA114" i="5" s="1"/>
  <c r="BS2698" i="5"/>
  <c r="BZ2698" i="5" s="1"/>
  <c r="CA2698" i="5" s="1"/>
  <c r="BS2646" i="5"/>
  <c r="BZ2646" i="5" s="1"/>
  <c r="CA2646" i="5" s="1"/>
  <c r="BS2598" i="5"/>
  <c r="BZ2598" i="5" s="1"/>
  <c r="CA2598" i="5" s="1"/>
  <c r="BS2531" i="5"/>
  <c r="BZ2531" i="5" s="1"/>
  <c r="CA2531" i="5" s="1"/>
  <c r="BS3" i="5"/>
  <c r="BZ3" i="5" s="1"/>
  <c r="CA3" i="5" s="1"/>
  <c r="BS159" i="5"/>
  <c r="BZ159" i="5" s="1"/>
  <c r="CA159" i="5" s="1"/>
  <c r="BS269" i="5"/>
  <c r="BZ269" i="5" s="1"/>
  <c r="CA269" i="5" s="1"/>
  <c r="BS335" i="5"/>
  <c r="BZ335" i="5" s="1"/>
  <c r="CA335" i="5" s="1"/>
  <c r="BS447" i="5"/>
  <c r="BZ447" i="5" s="1"/>
  <c r="CA447" i="5" s="1"/>
  <c r="BS569" i="5"/>
  <c r="BZ569" i="5" s="1"/>
  <c r="CA569" i="5" s="1"/>
  <c r="BS694" i="5"/>
  <c r="BZ694" i="5" s="1"/>
  <c r="CA694" i="5" s="1"/>
  <c r="BS802" i="5"/>
  <c r="BZ802" i="5" s="1"/>
  <c r="CA802" i="5" s="1"/>
  <c r="BS879" i="5"/>
  <c r="BZ879" i="5" s="1"/>
  <c r="CA879" i="5" s="1"/>
  <c r="BS976" i="5"/>
  <c r="BZ976" i="5" s="1"/>
  <c r="CA976" i="5" s="1"/>
  <c r="BS1049" i="5"/>
  <c r="BZ1049" i="5" s="1"/>
  <c r="CA1049" i="5" s="1"/>
  <c r="BS1107" i="5"/>
  <c r="BZ1107" i="5" s="1"/>
  <c r="CA1107" i="5" s="1"/>
  <c r="BS1179" i="5"/>
  <c r="BZ1179" i="5" s="1"/>
  <c r="CA1179" i="5" s="1"/>
  <c r="BS1277" i="5"/>
  <c r="BZ1277" i="5" s="1"/>
  <c r="CA1277" i="5" s="1"/>
  <c r="BS1347" i="5"/>
  <c r="BZ1347" i="5" s="1"/>
  <c r="CA1347" i="5" s="1"/>
  <c r="BS1455" i="5"/>
  <c r="BZ1455" i="5" s="1"/>
  <c r="CA1455" i="5" s="1"/>
  <c r="BS1579" i="5"/>
  <c r="BZ1579" i="5" s="1"/>
  <c r="CA1579" i="5" s="1"/>
  <c r="BS1683" i="5"/>
  <c r="BZ1683" i="5" s="1"/>
  <c r="CA1683" i="5" s="1"/>
  <c r="BS1783" i="5"/>
  <c r="BZ1783" i="5" s="1"/>
  <c r="CA1783" i="5" s="1"/>
  <c r="BS1855" i="5"/>
  <c r="BZ1855" i="5" s="1"/>
  <c r="CA1855" i="5" s="1"/>
  <c r="BS1932" i="5"/>
  <c r="BZ1932" i="5" s="1"/>
  <c r="CA1932" i="5" s="1"/>
  <c r="BS2011" i="5"/>
  <c r="BZ2011" i="5" s="1"/>
  <c r="CA2011" i="5" s="1"/>
  <c r="BS2079" i="5"/>
  <c r="BZ2079" i="5" s="1"/>
  <c r="CA2079" i="5" s="1"/>
  <c r="BS2179" i="5"/>
  <c r="BZ2179" i="5" s="1"/>
  <c r="CA2179" i="5" s="1"/>
  <c r="BS2271" i="5"/>
  <c r="BZ2271" i="5" s="1"/>
  <c r="CA2271" i="5" s="1"/>
  <c r="BS2367" i="5"/>
  <c r="BZ2367" i="5" s="1"/>
  <c r="CA2367" i="5" s="1"/>
  <c r="BS2451" i="5"/>
  <c r="BZ2451" i="5" s="1"/>
  <c r="CA2451" i="5" s="1"/>
  <c r="BS2611" i="5"/>
  <c r="BZ2611" i="5" s="1"/>
  <c r="CA2611" i="5" s="1"/>
  <c r="BS2730" i="5"/>
  <c r="BZ2730" i="5" s="1"/>
  <c r="CA2730" i="5" s="1"/>
  <c r="BR2" i="5"/>
  <c r="BS2438" i="5"/>
  <c r="BZ2438" i="5" s="1"/>
  <c r="CA2438" i="5" s="1"/>
  <c r="BS2378" i="5"/>
  <c r="BZ2378" i="5" s="1"/>
  <c r="CA2378" i="5" s="1"/>
  <c r="BS2315" i="5"/>
  <c r="BZ2315" i="5" s="1"/>
  <c r="CA2315" i="5" s="1"/>
  <c r="BS2258" i="5"/>
  <c r="BZ2258" i="5" s="1"/>
  <c r="CA2258" i="5" s="1"/>
  <c r="BS2207" i="5"/>
  <c r="BZ2207" i="5" s="1"/>
  <c r="CA2207" i="5" s="1"/>
  <c r="BS2162" i="5"/>
  <c r="BZ2162" i="5" s="1"/>
  <c r="CA2162" i="5" s="1"/>
  <c r="BS2104" i="5"/>
  <c r="BZ2104" i="5" s="1"/>
  <c r="CA2104" i="5" s="1"/>
  <c r="BS2044" i="5"/>
  <c r="BZ2044" i="5" s="1"/>
  <c r="CA2044" i="5" s="1"/>
  <c r="BS1994" i="5"/>
  <c r="BZ1994" i="5" s="1"/>
  <c r="CA1994" i="5" s="1"/>
  <c r="BS1923" i="5"/>
  <c r="BZ1923" i="5" s="1"/>
  <c r="CA1923" i="5" s="1"/>
  <c r="BS1829" i="5"/>
  <c r="BZ1829" i="5" s="1"/>
  <c r="CA1829" i="5" s="1"/>
  <c r="BS1751" i="5"/>
  <c r="BZ1751" i="5" s="1"/>
  <c r="CA1751" i="5" s="1"/>
  <c r="BS1670" i="5"/>
  <c r="BZ1670" i="5" s="1"/>
  <c r="CA1670" i="5" s="1"/>
  <c r="BS1591" i="5"/>
  <c r="BZ1591" i="5" s="1"/>
  <c r="CA1591" i="5" s="1"/>
  <c r="BS1538" i="5"/>
  <c r="BZ1538" i="5" s="1"/>
  <c r="CA1538" i="5" s="1"/>
  <c r="BS1454" i="5"/>
  <c r="BZ1454" i="5" s="1"/>
  <c r="CA1454" i="5" s="1"/>
  <c r="BS1384" i="5"/>
  <c r="BZ1384" i="5" s="1"/>
  <c r="CA1384" i="5" s="1"/>
  <c r="BS1322" i="5"/>
  <c r="BZ1322" i="5" s="1"/>
  <c r="CA1322" i="5" s="1"/>
  <c r="BS1274" i="5"/>
  <c r="BZ1274" i="5" s="1"/>
  <c r="CA1274" i="5" s="1"/>
  <c r="BS1223" i="5"/>
  <c r="BZ1223" i="5" s="1"/>
  <c r="CA1223" i="5" s="1"/>
  <c r="BS1158" i="5"/>
  <c r="BZ1158" i="5" s="1"/>
  <c r="CA1158" i="5" s="1"/>
  <c r="BS1086" i="5"/>
  <c r="BZ1086" i="5" s="1"/>
  <c r="CA1086" i="5" s="1"/>
  <c r="BS1014" i="5"/>
  <c r="BZ1014" i="5" s="1"/>
  <c r="CA1014" i="5" s="1"/>
  <c r="BS868" i="5"/>
  <c r="BZ868" i="5" s="1"/>
  <c r="CA868" i="5" s="1"/>
  <c r="BS784" i="5"/>
  <c r="BZ784" i="5" s="1"/>
  <c r="CA784" i="5" s="1"/>
  <c r="BS671" i="5"/>
  <c r="BZ671" i="5" s="1"/>
  <c r="CA671" i="5" s="1"/>
  <c r="BS542" i="5"/>
  <c r="BZ542" i="5" s="1"/>
  <c r="CA542" i="5" s="1"/>
  <c r="BS422" i="5"/>
  <c r="BZ422" i="5" s="1"/>
  <c r="CA422" i="5" s="1"/>
  <c r="BS275" i="5"/>
  <c r="BZ275" i="5" s="1"/>
  <c r="CA275" i="5" s="1"/>
  <c r="BS31" i="5"/>
  <c r="BZ31" i="5" s="1"/>
  <c r="CA31" i="5" s="1"/>
  <c r="BS593" i="5"/>
  <c r="BZ593" i="5" s="1"/>
  <c r="CA593" i="5" s="1"/>
  <c r="BS2532" i="5"/>
  <c r="BZ2532" i="5" s="1"/>
  <c r="CA2532" i="5" s="1"/>
  <c r="BS2651" i="5"/>
  <c r="BZ2651" i="5" s="1"/>
  <c r="CA2651" i="5" s="1"/>
  <c r="BS42" i="5"/>
  <c r="BZ42" i="5" s="1"/>
  <c r="CA42" i="5" s="1"/>
  <c r="BS301" i="5"/>
  <c r="BZ301" i="5" s="1"/>
  <c r="CA301" i="5" s="1"/>
  <c r="BS410" i="5"/>
  <c r="BZ410" i="5" s="1"/>
  <c r="CA410" i="5" s="1"/>
  <c r="BS565" i="5"/>
  <c r="BZ565" i="5" s="1"/>
  <c r="CA565" i="5" s="1"/>
  <c r="BS722" i="5"/>
  <c r="BZ722" i="5" s="1"/>
  <c r="CA722" i="5" s="1"/>
  <c r="BS853" i="5"/>
  <c r="BZ853" i="5" s="1"/>
  <c r="CA853" i="5" s="1"/>
  <c r="BS961" i="5"/>
  <c r="BZ961" i="5" s="1"/>
  <c r="CA961" i="5" s="1"/>
  <c r="BS1093" i="5"/>
  <c r="BZ1093" i="5" s="1"/>
  <c r="CA1093" i="5" s="1"/>
  <c r="BS1237" i="5"/>
  <c r="BZ1237" i="5" s="1"/>
  <c r="CA1237" i="5" s="1"/>
  <c r="BS1381" i="5"/>
  <c r="BZ1381" i="5" s="1"/>
  <c r="CA1381" i="5" s="1"/>
  <c r="BS1537" i="5"/>
  <c r="BZ1537" i="5" s="1"/>
  <c r="CA1537" i="5" s="1"/>
  <c r="BS1681" i="5"/>
  <c r="BZ1681" i="5" s="1"/>
  <c r="CA1681" i="5" s="1"/>
  <c r="BS1825" i="5"/>
  <c r="BZ1825" i="5" s="1"/>
  <c r="CA1825" i="5" s="1"/>
  <c r="BS1993" i="5"/>
  <c r="BZ1993" i="5" s="1"/>
  <c r="CA1993" i="5" s="1"/>
  <c r="BS2209" i="5"/>
  <c r="BZ2209" i="5" s="1"/>
  <c r="CA2209" i="5" s="1"/>
  <c r="BS2503" i="5"/>
  <c r="BZ2503" i="5" s="1"/>
  <c r="CA2503" i="5" s="1"/>
  <c r="BS2593" i="5"/>
  <c r="BZ2593" i="5" s="1"/>
  <c r="CA2593" i="5" s="1"/>
  <c r="BS2661" i="5"/>
  <c r="BZ2661" i="5" s="1"/>
  <c r="CA2661" i="5" s="1"/>
  <c r="BS2485" i="5"/>
  <c r="BZ2485" i="5" s="1"/>
  <c r="CA2485" i="5" s="1"/>
  <c r="BS2352" i="5"/>
  <c r="BZ2352" i="5" s="1"/>
  <c r="CA2352" i="5" s="1"/>
  <c r="BS2160" i="5"/>
  <c r="BZ2160" i="5" s="1"/>
  <c r="CA2160" i="5" s="1"/>
  <c r="BS1908" i="5"/>
  <c r="BZ1908" i="5" s="1"/>
  <c r="CA1908" i="5" s="1"/>
  <c r="BS1680" i="5"/>
  <c r="BZ1680" i="5" s="1"/>
  <c r="CA1680" i="5" s="1"/>
  <c r="BS1450" i="5"/>
  <c r="BZ1450" i="5" s="1"/>
  <c r="CA1450" i="5" s="1"/>
  <c r="BS1128" i="5"/>
  <c r="BZ1128" i="5" s="1"/>
  <c r="CA1128" i="5" s="1"/>
  <c r="BS958" i="5"/>
  <c r="BZ958" i="5" s="1"/>
  <c r="CA958" i="5" s="1"/>
  <c r="BS827" i="5"/>
  <c r="BZ827" i="5" s="1"/>
  <c r="CA827" i="5" s="1"/>
  <c r="BS698" i="5"/>
  <c r="BZ698" i="5" s="1"/>
  <c r="CA698" i="5" s="1"/>
  <c r="BS618" i="5"/>
  <c r="BZ618" i="5" s="1"/>
  <c r="CA618" i="5" s="1"/>
  <c r="BS494" i="5"/>
  <c r="BZ494" i="5" s="1"/>
  <c r="CA494" i="5" s="1"/>
  <c r="BS374" i="5"/>
  <c r="BZ374" i="5" s="1"/>
  <c r="CA374" i="5" s="1"/>
  <c r="BS244" i="5"/>
  <c r="BZ244" i="5" s="1"/>
  <c r="CA244" i="5" s="1"/>
  <c r="BS88" i="5"/>
  <c r="BZ88" i="5" s="1"/>
  <c r="CA88" i="5" s="1"/>
  <c r="BS2669" i="5"/>
  <c r="BZ2669" i="5" s="1"/>
  <c r="CA2669" i="5" s="1"/>
  <c r="BS2584" i="5"/>
  <c r="BZ2584" i="5" s="1"/>
  <c r="CA2584" i="5" s="1"/>
  <c r="BS2500" i="5"/>
  <c r="BZ2500" i="5" s="1"/>
  <c r="CA2500" i="5" s="1"/>
  <c r="BS2463" i="5"/>
  <c r="BZ2463" i="5" s="1"/>
  <c r="CA2463" i="5" s="1"/>
  <c r="BS2396" i="5"/>
  <c r="BZ2396" i="5" s="1"/>
  <c r="CA2396" i="5" s="1"/>
  <c r="BS2337" i="5"/>
  <c r="BZ2337" i="5" s="1"/>
  <c r="CA2337" i="5" s="1"/>
  <c r="BS2288" i="5"/>
  <c r="BZ2288" i="5" s="1"/>
  <c r="CA2288" i="5" s="1"/>
  <c r="BS2228" i="5"/>
  <c r="BZ2228" i="5" s="1"/>
  <c r="CA2228" i="5" s="1"/>
  <c r="BS2157" i="5"/>
  <c r="BZ2157" i="5" s="1"/>
  <c r="CA2157" i="5" s="1"/>
  <c r="BS2108" i="5"/>
  <c r="BZ2108" i="5" s="1"/>
  <c r="CA2108" i="5" s="1"/>
  <c r="BS2048" i="5"/>
  <c r="BZ2048" i="5" s="1"/>
  <c r="CA2048" i="5" s="1"/>
  <c r="BS1977" i="5"/>
  <c r="BZ1977" i="5" s="1"/>
  <c r="CA1977" i="5" s="1"/>
  <c r="BS1916" i="5"/>
  <c r="BZ1916" i="5" s="1"/>
  <c r="CA1916" i="5" s="1"/>
  <c r="BS1857" i="5"/>
  <c r="BZ1857" i="5" s="1"/>
  <c r="CA1857" i="5" s="1"/>
  <c r="BS1809" i="5"/>
  <c r="BZ1809" i="5" s="1"/>
  <c r="CA1809" i="5" s="1"/>
  <c r="BS1748" i="5"/>
  <c r="BZ1748" i="5" s="1"/>
  <c r="CA1748" i="5" s="1"/>
  <c r="BS1695" i="5"/>
  <c r="BZ1695" i="5" s="1"/>
  <c r="CA1695" i="5" s="1"/>
  <c r="BS1652" i="5"/>
  <c r="BZ1652" i="5" s="1"/>
  <c r="CA1652" i="5" s="1"/>
  <c r="BS1603" i="5"/>
  <c r="BZ1603" i="5" s="1"/>
  <c r="CA1603" i="5" s="1"/>
  <c r="BS1557" i="5"/>
  <c r="BZ1557" i="5" s="1"/>
  <c r="CA1557" i="5" s="1"/>
  <c r="BS1509" i="5"/>
  <c r="BZ1509" i="5" s="1"/>
  <c r="CA1509" i="5" s="1"/>
  <c r="BS1463" i="5"/>
  <c r="BZ1463" i="5" s="1"/>
  <c r="CA1463" i="5" s="1"/>
  <c r="BS1419" i="5"/>
  <c r="BZ1419" i="5" s="1"/>
  <c r="CA1419" i="5" s="1"/>
  <c r="BS1367" i="5"/>
  <c r="BZ1367" i="5" s="1"/>
  <c r="CA1367" i="5" s="1"/>
  <c r="BS1305" i="5"/>
  <c r="BZ1305" i="5" s="1"/>
  <c r="CA1305" i="5" s="1"/>
  <c r="BS1256" i="5"/>
  <c r="BZ1256" i="5" s="1"/>
  <c r="CA1256" i="5" s="1"/>
  <c r="BS1191" i="5"/>
  <c r="BZ1191" i="5" s="1"/>
  <c r="CA1191" i="5" s="1"/>
  <c r="BS1137" i="5"/>
  <c r="BZ1137" i="5" s="1"/>
  <c r="CA1137" i="5" s="1"/>
  <c r="BS1079" i="5"/>
  <c r="BZ1079" i="5" s="1"/>
  <c r="CA1079" i="5" s="1"/>
  <c r="BS1036" i="5"/>
  <c r="BZ1036" i="5" s="1"/>
  <c r="CA1036" i="5" s="1"/>
  <c r="BS991" i="5"/>
  <c r="BZ991" i="5" s="1"/>
  <c r="CA991" i="5" s="1"/>
  <c r="BS952" i="5"/>
  <c r="BZ952" i="5" s="1"/>
  <c r="CA952" i="5" s="1"/>
  <c r="BS909" i="5"/>
  <c r="BZ909" i="5" s="1"/>
  <c r="CA909" i="5" s="1"/>
  <c r="BS867" i="5"/>
  <c r="BZ867" i="5" s="1"/>
  <c r="CA867" i="5" s="1"/>
  <c r="BS824" i="5"/>
  <c r="BZ824" i="5" s="1"/>
  <c r="CA824" i="5" s="1"/>
  <c r="BS776" i="5"/>
  <c r="BZ776" i="5" s="1"/>
  <c r="CA776" i="5" s="1"/>
  <c r="BS739" i="5"/>
  <c r="BZ739" i="5" s="1"/>
  <c r="CA739" i="5" s="1"/>
  <c r="BS703" i="5"/>
  <c r="BZ703" i="5" s="1"/>
  <c r="CA703" i="5" s="1"/>
  <c r="BS663" i="5"/>
  <c r="BZ663" i="5" s="1"/>
  <c r="CA663" i="5" s="1"/>
  <c r="BS621" i="5"/>
  <c r="BZ621" i="5" s="1"/>
  <c r="CA621" i="5" s="1"/>
  <c r="BS584" i="5"/>
  <c r="BZ584" i="5" s="1"/>
  <c r="CA584" i="5" s="1"/>
  <c r="BS548" i="5"/>
  <c r="BZ548" i="5" s="1"/>
  <c r="CA548" i="5" s="1"/>
  <c r="BS512" i="5"/>
  <c r="BZ512" i="5" s="1"/>
  <c r="CA512" i="5" s="1"/>
  <c r="BS483" i="5"/>
  <c r="BZ483" i="5" s="1"/>
  <c r="CA483" i="5" s="1"/>
  <c r="BS452" i="5"/>
  <c r="BZ452" i="5" s="1"/>
  <c r="CA452" i="5" s="1"/>
  <c r="BS417" i="5"/>
  <c r="BZ417" i="5" s="1"/>
  <c r="CA417" i="5" s="1"/>
  <c r="BS388" i="5"/>
  <c r="BZ388" i="5" s="1"/>
  <c r="CA388" i="5" s="1"/>
  <c r="BS355" i="5"/>
  <c r="BZ355" i="5" s="1"/>
  <c r="CA355" i="5" s="1"/>
  <c r="BS319" i="5"/>
  <c r="BZ319" i="5" s="1"/>
  <c r="CA319" i="5" s="1"/>
  <c r="BS279" i="5"/>
  <c r="BZ279" i="5" s="1"/>
  <c r="CA279" i="5" s="1"/>
  <c r="BS248" i="5"/>
  <c r="BZ248" i="5" s="1"/>
  <c r="CA248" i="5" s="1"/>
  <c r="BS229" i="5"/>
  <c r="BZ229" i="5" s="1"/>
  <c r="CA229" i="5" s="1"/>
  <c r="BS213" i="5"/>
  <c r="BZ213" i="5" s="1"/>
  <c r="CA213" i="5" s="1"/>
  <c r="BS194" i="5"/>
  <c r="BZ194" i="5" s="1"/>
  <c r="CA194" i="5" s="1"/>
  <c r="BS177" i="5"/>
  <c r="BZ177" i="5" s="1"/>
  <c r="CA177" i="5" s="1"/>
  <c r="BS158" i="5"/>
  <c r="BZ158" i="5" s="1"/>
  <c r="CA158" i="5" s="1"/>
  <c r="BS143" i="5"/>
  <c r="BZ143" i="5" s="1"/>
  <c r="CA143" i="5" s="1"/>
  <c r="BS125" i="5"/>
  <c r="BZ125" i="5" s="1"/>
  <c r="CA125" i="5" s="1"/>
  <c r="BS107" i="5"/>
  <c r="BZ107" i="5" s="1"/>
  <c r="CA107" i="5" s="1"/>
  <c r="BS89" i="5"/>
  <c r="BZ89" i="5" s="1"/>
  <c r="CA89" i="5" s="1"/>
  <c r="BS73" i="5"/>
  <c r="BZ73" i="5" s="1"/>
  <c r="CA73" i="5" s="1"/>
  <c r="BS57" i="5"/>
  <c r="BZ57" i="5" s="1"/>
  <c r="CA57" i="5" s="1"/>
  <c r="BS39" i="5"/>
  <c r="BZ39" i="5" s="1"/>
  <c r="CA39" i="5" s="1"/>
  <c r="BS24" i="5"/>
  <c r="BZ24" i="5" s="1"/>
  <c r="CA24" i="5" s="1"/>
  <c r="BS5" i="5"/>
  <c r="BZ5" i="5" s="1"/>
  <c r="CA5" i="5" s="1"/>
  <c r="BS2708" i="5"/>
  <c r="BZ2708" i="5" s="1"/>
  <c r="CA2708" i="5" s="1"/>
  <c r="BS2655" i="5"/>
  <c r="BZ2655" i="5" s="1"/>
  <c r="CA2655" i="5" s="1"/>
  <c r="BS2600" i="5"/>
  <c r="BZ2600" i="5" s="1"/>
  <c r="CA2600" i="5" s="1"/>
  <c r="BS2552" i="5"/>
  <c r="BZ2552" i="5" s="1"/>
  <c r="CA2552" i="5" s="1"/>
  <c r="BS2504" i="5"/>
  <c r="BZ2504" i="5" s="1"/>
  <c r="CA2504" i="5" s="1"/>
  <c r="BS2483" i="5"/>
  <c r="BZ2483" i="5" s="1"/>
  <c r="CA2483" i="5" s="1"/>
  <c r="BS2448" i="5"/>
  <c r="BZ2448" i="5" s="1"/>
  <c r="CA2448" i="5" s="1"/>
  <c r="BS2416" i="5"/>
  <c r="BZ2416" i="5" s="1"/>
  <c r="CA2416" i="5" s="1"/>
  <c r="BS2381" i="5"/>
  <c r="BZ2381" i="5" s="1"/>
  <c r="CA2381" i="5" s="1"/>
  <c r="BS2350" i="5"/>
  <c r="BZ2350" i="5" s="1"/>
  <c r="CA2350" i="5" s="1"/>
  <c r="BS2314" i="5"/>
  <c r="BZ2314" i="5" s="1"/>
  <c r="CA2314" i="5" s="1"/>
  <c r="BS2273" i="5"/>
  <c r="BZ2273" i="5" s="1"/>
  <c r="CA2273" i="5" s="1"/>
  <c r="BS2238" i="5"/>
  <c r="BZ2238" i="5" s="1"/>
  <c r="CA2238" i="5" s="1"/>
  <c r="BS2202" i="5"/>
  <c r="BZ2202" i="5" s="1"/>
  <c r="CA2202" i="5" s="1"/>
  <c r="BS2161" i="5"/>
  <c r="BZ2161" i="5" s="1"/>
  <c r="CA2161" i="5" s="1"/>
  <c r="BS2129" i="5"/>
  <c r="BZ2129" i="5" s="1"/>
  <c r="CA2129" i="5" s="1"/>
  <c r="BS2088" i="5"/>
  <c r="BZ2088" i="5" s="1"/>
  <c r="CA2088" i="5" s="1"/>
  <c r="BS2052" i="5"/>
  <c r="BZ2052" i="5" s="1"/>
  <c r="CA2052" i="5" s="1"/>
  <c r="BS2016" i="5"/>
  <c r="BZ2016" i="5" s="1"/>
  <c r="CA2016" i="5" s="1"/>
  <c r="BS1979" i="5"/>
  <c r="BZ1979" i="5" s="1"/>
  <c r="CA1979" i="5" s="1"/>
  <c r="BS1949" i="5"/>
  <c r="BZ1949" i="5" s="1"/>
  <c r="CA1949" i="5" s="1"/>
  <c r="BS1919" i="5"/>
  <c r="BZ1919" i="5" s="1"/>
  <c r="CA1919" i="5" s="1"/>
  <c r="BS1884" i="5"/>
  <c r="BZ1884" i="5" s="1"/>
  <c r="CA1884" i="5" s="1"/>
  <c r="BS1858" i="5"/>
  <c r="BZ1858" i="5" s="1"/>
  <c r="CA1858" i="5" s="1"/>
  <c r="BS1817" i="5"/>
  <c r="BZ1817" i="5" s="1"/>
  <c r="CA1817" i="5" s="1"/>
  <c r="BS1787" i="5"/>
  <c r="BZ1787" i="5" s="1"/>
  <c r="CA1787" i="5" s="1"/>
  <c r="BS1756" i="5"/>
  <c r="BZ1756" i="5" s="1"/>
  <c r="CA1756" i="5" s="1"/>
  <c r="BS1722" i="5"/>
  <c r="BZ1722" i="5" s="1"/>
  <c r="CA1722" i="5" s="1"/>
  <c r="BS1686" i="5"/>
  <c r="BZ1686" i="5" s="1"/>
  <c r="CA1686" i="5" s="1"/>
  <c r="BS1654" i="5"/>
  <c r="BZ1654" i="5" s="1"/>
  <c r="CA1654" i="5" s="1"/>
  <c r="BS1614" i="5"/>
  <c r="BZ1614" i="5" s="1"/>
  <c r="CA1614" i="5" s="1"/>
  <c r="BS1578" i="5"/>
  <c r="BZ1578" i="5" s="1"/>
  <c r="CA1578" i="5" s="1"/>
  <c r="BS1541" i="5"/>
  <c r="BZ1541" i="5" s="1"/>
  <c r="CA1541" i="5" s="1"/>
  <c r="BS1510" i="5"/>
  <c r="BZ1510" i="5" s="1"/>
  <c r="CA1510" i="5" s="1"/>
  <c r="BS1476" i="5"/>
  <c r="BZ1476" i="5" s="1"/>
  <c r="CA1476" i="5" s="1"/>
  <c r="BS1439" i="5"/>
  <c r="BZ1439" i="5" s="1"/>
  <c r="CA1439" i="5" s="1"/>
  <c r="BS1402" i="5"/>
  <c r="BZ1402" i="5" s="1"/>
  <c r="CA1402" i="5" s="1"/>
  <c r="BS1362" i="5"/>
  <c r="BZ1362" i="5" s="1"/>
  <c r="CA1362" i="5" s="1"/>
  <c r="BS1330" i="5"/>
  <c r="BZ1330" i="5" s="1"/>
  <c r="CA1330" i="5" s="1"/>
  <c r="BS1289" i="5"/>
  <c r="BZ1289" i="5" s="1"/>
  <c r="CA1289" i="5" s="1"/>
  <c r="BS1247" i="5"/>
  <c r="BZ1247" i="5" s="1"/>
  <c r="CA1247" i="5" s="1"/>
  <c r="BS1211" i="5"/>
  <c r="BZ1211" i="5" s="1"/>
  <c r="CA1211" i="5" s="1"/>
  <c r="BS1170" i="5"/>
  <c r="BZ1170" i="5" s="1"/>
  <c r="CA1170" i="5" s="1"/>
  <c r="BS1145" i="5"/>
  <c r="BZ1145" i="5" s="1"/>
  <c r="CA1145" i="5" s="1"/>
  <c r="BS1108" i="5"/>
  <c r="BZ1108" i="5" s="1"/>
  <c r="CA1108" i="5" s="1"/>
  <c r="BS1055" i="5"/>
  <c r="BZ1055" i="5" s="1"/>
  <c r="CA1055" i="5" s="1"/>
  <c r="BS1000" i="5"/>
  <c r="BZ1000" i="5" s="1"/>
  <c r="CA1000" i="5" s="1"/>
  <c r="BS959" i="5"/>
  <c r="BZ959" i="5" s="1"/>
  <c r="CA959" i="5" s="1"/>
  <c r="BS917" i="5"/>
  <c r="BZ917" i="5" s="1"/>
  <c r="CA917" i="5" s="1"/>
  <c r="BS881" i="5"/>
  <c r="BZ881" i="5" s="1"/>
  <c r="CA881" i="5" s="1"/>
  <c r="BS838" i="5"/>
  <c r="BZ838" i="5" s="1"/>
  <c r="CA838" i="5" s="1"/>
  <c r="BS790" i="5"/>
  <c r="BZ790" i="5" s="1"/>
  <c r="CA790" i="5" s="1"/>
  <c r="BS735" i="5"/>
  <c r="BZ735" i="5" s="1"/>
  <c r="CA735" i="5" s="1"/>
  <c r="BS695" i="5"/>
  <c r="BZ695" i="5" s="1"/>
  <c r="CA695" i="5" s="1"/>
  <c r="BS639" i="5"/>
  <c r="BZ639" i="5" s="1"/>
  <c r="CA639" i="5" s="1"/>
  <c r="BS586" i="5"/>
  <c r="BZ586" i="5" s="1"/>
  <c r="CA586" i="5" s="1"/>
  <c r="BS545" i="5"/>
  <c r="BZ545" i="5" s="1"/>
  <c r="CA545" i="5" s="1"/>
  <c r="BS502" i="5"/>
  <c r="BZ502" i="5" s="1"/>
  <c r="CA502" i="5" s="1"/>
  <c r="BS431" i="5"/>
  <c r="BZ431" i="5" s="1"/>
  <c r="CA431" i="5" s="1"/>
  <c r="BS372" i="5"/>
  <c r="BZ372" i="5" s="1"/>
  <c r="CA372" i="5" s="1"/>
  <c r="BS318" i="5"/>
  <c r="BZ318" i="5" s="1"/>
  <c r="CA318" i="5" s="1"/>
  <c r="BS258" i="5"/>
  <c r="BZ258" i="5" s="1"/>
  <c r="CA258" i="5" s="1"/>
  <c r="BS106" i="5"/>
  <c r="BZ106" i="5" s="1"/>
  <c r="CA106" i="5" s="1"/>
  <c r="BS2694" i="5"/>
  <c r="BZ2694" i="5" s="1"/>
  <c r="CA2694" i="5" s="1"/>
  <c r="BS2639" i="5"/>
  <c r="BZ2639" i="5" s="1"/>
  <c r="CA2639" i="5" s="1"/>
  <c r="BS2591" i="5"/>
  <c r="BZ2591" i="5" s="1"/>
  <c r="CA2591" i="5" s="1"/>
  <c r="BS2526" i="5"/>
  <c r="BZ2526" i="5" s="1"/>
  <c r="CA2526" i="5" s="1"/>
  <c r="BS7" i="5"/>
  <c r="BZ7" i="5" s="1"/>
  <c r="CA7" i="5" s="1"/>
  <c r="BS163" i="5"/>
  <c r="BZ163" i="5" s="1"/>
  <c r="CA163" i="5" s="1"/>
  <c r="BS271" i="5"/>
  <c r="BZ271" i="5" s="1"/>
  <c r="CA271" i="5" s="1"/>
  <c r="BS347" i="5"/>
  <c r="BZ347" i="5" s="1"/>
  <c r="CA347" i="5" s="1"/>
  <c r="BS449" i="5"/>
  <c r="BZ449" i="5" s="1"/>
  <c r="CA449" i="5" s="1"/>
  <c r="BS591" i="5"/>
  <c r="BZ591" i="5" s="1"/>
  <c r="CA591" i="5" s="1"/>
  <c r="BS711" i="5"/>
  <c r="BZ711" i="5" s="1"/>
  <c r="CA711" i="5" s="1"/>
  <c r="BS808" i="5"/>
  <c r="BZ808" i="5" s="1"/>
  <c r="CA808" i="5" s="1"/>
  <c r="BS880" i="5"/>
  <c r="BZ880" i="5" s="1"/>
  <c r="CA880" i="5" s="1"/>
  <c r="BS977" i="5"/>
  <c r="BZ977" i="5" s="1"/>
  <c r="CA977" i="5" s="1"/>
  <c r="BS1059" i="5"/>
  <c r="BZ1059" i="5" s="1"/>
  <c r="CA1059" i="5" s="1"/>
  <c r="BS1119" i="5"/>
  <c r="BZ1119" i="5" s="1"/>
  <c r="CA1119" i="5" s="1"/>
  <c r="BS1181" i="5"/>
  <c r="BZ1181" i="5" s="1"/>
  <c r="CA1181" i="5" s="1"/>
  <c r="BS1279" i="5"/>
  <c r="BZ1279" i="5" s="1"/>
  <c r="CA1279" i="5" s="1"/>
  <c r="BS1351" i="5"/>
  <c r="BZ1351" i="5" s="1"/>
  <c r="CA1351" i="5" s="1"/>
  <c r="BS1467" i="5"/>
  <c r="BZ1467" i="5" s="1"/>
  <c r="CA1467" i="5" s="1"/>
  <c r="BS1587" i="5"/>
  <c r="BZ1587" i="5" s="1"/>
  <c r="CA1587" i="5" s="1"/>
  <c r="BS1698" i="5"/>
  <c r="BZ1698" i="5" s="1"/>
  <c r="CA1698" i="5" s="1"/>
  <c r="BS1794" i="5"/>
  <c r="BZ1794" i="5" s="1"/>
  <c r="CA1794" i="5" s="1"/>
  <c r="BS1863" i="5"/>
  <c r="BZ1863" i="5" s="1"/>
  <c r="CA1863" i="5" s="1"/>
  <c r="BS1935" i="5"/>
  <c r="BZ1935" i="5" s="1"/>
  <c r="CA1935" i="5" s="1"/>
  <c r="BS2019" i="5"/>
  <c r="BZ2019" i="5" s="1"/>
  <c r="CA2019" i="5" s="1"/>
  <c r="BS2083" i="5"/>
  <c r="BZ2083" i="5" s="1"/>
  <c r="CA2083" i="5" s="1"/>
  <c r="BS2187" i="5"/>
  <c r="BZ2187" i="5" s="1"/>
  <c r="CA2187" i="5" s="1"/>
  <c r="BS2275" i="5"/>
  <c r="BZ2275" i="5" s="1"/>
  <c r="CA2275" i="5" s="1"/>
  <c r="BS2371" i="5"/>
  <c r="BZ2371" i="5" s="1"/>
  <c r="CA2371" i="5" s="1"/>
  <c r="BS2455" i="5"/>
  <c r="BZ2455" i="5" s="1"/>
  <c r="CA2455" i="5" s="1"/>
  <c r="BS2620" i="5"/>
  <c r="BZ2620" i="5" s="1"/>
  <c r="CA2620" i="5" s="1"/>
  <c r="BS2490" i="5"/>
  <c r="BZ2490" i="5" s="1"/>
  <c r="CA2490" i="5" s="1"/>
  <c r="BS2430" i="5"/>
  <c r="BZ2430" i="5" s="1"/>
  <c r="CA2430" i="5" s="1"/>
  <c r="BS2370" i="5"/>
  <c r="BZ2370" i="5" s="1"/>
  <c r="CA2370" i="5" s="1"/>
  <c r="BS2310" i="5"/>
  <c r="BZ2310" i="5" s="1"/>
  <c r="CA2310" i="5" s="1"/>
  <c r="BS2250" i="5"/>
  <c r="BZ2250" i="5" s="1"/>
  <c r="CA2250" i="5" s="1"/>
  <c r="BS2203" i="5"/>
  <c r="BZ2203" i="5" s="1"/>
  <c r="CA2203" i="5" s="1"/>
  <c r="BS2159" i="5"/>
  <c r="BZ2159" i="5" s="1"/>
  <c r="CA2159" i="5" s="1"/>
  <c r="BS2102" i="5"/>
  <c r="BZ2102" i="5" s="1"/>
  <c r="CA2102" i="5" s="1"/>
  <c r="BS2042" i="5"/>
  <c r="BZ2042" i="5" s="1"/>
  <c r="CA2042" i="5" s="1"/>
  <c r="BS1986" i="5"/>
  <c r="BZ1986" i="5" s="1"/>
  <c r="CA1986" i="5" s="1"/>
  <c r="BS1922" i="5"/>
  <c r="BZ1922" i="5" s="1"/>
  <c r="CA1922" i="5" s="1"/>
  <c r="BS1828" i="5"/>
  <c r="BZ1828" i="5" s="1"/>
  <c r="CA1828" i="5" s="1"/>
  <c r="BS1742" i="5"/>
  <c r="BZ1742" i="5" s="1"/>
  <c r="CA1742" i="5" s="1"/>
  <c r="BS1658" i="5"/>
  <c r="BZ1658" i="5" s="1"/>
  <c r="CA1658" i="5" s="1"/>
  <c r="BS1590" i="5"/>
  <c r="BZ1590" i="5" s="1"/>
  <c r="CA1590" i="5" s="1"/>
  <c r="BS1526" i="5"/>
  <c r="BZ1526" i="5" s="1"/>
  <c r="CA1526" i="5" s="1"/>
  <c r="BS1445" i="5"/>
  <c r="BZ1445" i="5" s="1"/>
  <c r="CA1445" i="5" s="1"/>
  <c r="BS1382" i="5"/>
  <c r="BZ1382" i="5" s="1"/>
  <c r="CA1382" i="5" s="1"/>
  <c r="BS1319" i="5"/>
  <c r="BZ1319" i="5" s="1"/>
  <c r="CA1319" i="5" s="1"/>
  <c r="BS1262" i="5"/>
  <c r="BZ1262" i="5" s="1"/>
  <c r="CA1262" i="5" s="1"/>
  <c r="BS1216" i="5"/>
  <c r="BZ1216" i="5" s="1"/>
  <c r="CA1216" i="5" s="1"/>
  <c r="BS1154" i="5"/>
  <c r="BZ1154" i="5" s="1"/>
  <c r="CA1154" i="5" s="1"/>
  <c r="BS1082" i="5"/>
  <c r="BZ1082" i="5" s="1"/>
  <c r="CA1082" i="5" s="1"/>
  <c r="BS1013" i="5"/>
  <c r="BZ1013" i="5" s="1"/>
  <c r="CA1013" i="5" s="1"/>
  <c r="BS858" i="5"/>
  <c r="BZ858" i="5" s="1"/>
  <c r="CA858" i="5" s="1"/>
  <c r="BS773" i="5"/>
  <c r="BZ773" i="5" s="1"/>
  <c r="CA773" i="5" s="1"/>
  <c r="BS661" i="5"/>
  <c r="BZ661" i="5" s="1"/>
  <c r="CA661" i="5" s="1"/>
  <c r="BS534" i="5"/>
  <c r="BZ534" i="5" s="1"/>
  <c r="CA534" i="5" s="1"/>
  <c r="BS419" i="5"/>
  <c r="BZ419" i="5" s="1"/>
  <c r="CA419" i="5" s="1"/>
  <c r="BS263" i="5"/>
  <c r="BZ263" i="5" s="1"/>
  <c r="CA263" i="5" s="1"/>
  <c r="BS293" i="5"/>
  <c r="BZ293" i="5" s="1"/>
  <c r="CA293" i="5" s="1"/>
  <c r="BS605" i="5"/>
  <c r="BZ605" i="5" s="1"/>
  <c r="CA605" i="5" s="1"/>
  <c r="BS2542" i="5"/>
  <c r="BZ2542" i="5" s="1"/>
  <c r="CA2542" i="5" s="1"/>
  <c r="BS2652" i="5"/>
  <c r="BZ2652" i="5" s="1"/>
  <c r="CA2652" i="5" s="1"/>
  <c r="BS90" i="5"/>
  <c r="BZ90" i="5" s="1"/>
  <c r="CA90" i="5" s="1"/>
  <c r="BS313" i="5"/>
  <c r="BZ313" i="5" s="1"/>
  <c r="CA313" i="5" s="1"/>
  <c r="BS416" i="5"/>
  <c r="BZ416" i="5" s="1"/>
  <c r="CA416" i="5" s="1"/>
  <c r="BS568" i="5"/>
  <c r="BZ568" i="5" s="1"/>
  <c r="CA568" i="5" s="1"/>
  <c r="BS733" i="5"/>
  <c r="BZ733" i="5" s="1"/>
  <c r="CA733" i="5" s="1"/>
  <c r="BS877" i="5"/>
  <c r="BZ877" i="5" s="1"/>
  <c r="CA877" i="5" s="1"/>
  <c r="BS962" i="5"/>
  <c r="BZ962" i="5" s="1"/>
  <c r="CA962" i="5" s="1"/>
  <c r="BS1105" i="5"/>
  <c r="BZ1105" i="5" s="1"/>
  <c r="CA1105" i="5" s="1"/>
  <c r="BS1249" i="5"/>
  <c r="BZ1249" i="5" s="1"/>
  <c r="CA1249" i="5" s="1"/>
  <c r="BS1393" i="5"/>
  <c r="BZ1393" i="5" s="1"/>
  <c r="CA1393" i="5" s="1"/>
  <c r="BS1549" i="5"/>
  <c r="BZ1549" i="5" s="1"/>
  <c r="CA1549" i="5" s="1"/>
  <c r="BS1693" i="5"/>
  <c r="BZ1693" i="5" s="1"/>
  <c r="CA1693" i="5" s="1"/>
  <c r="BS1837" i="5"/>
  <c r="BZ1837" i="5" s="1"/>
  <c r="CA1837" i="5" s="1"/>
  <c r="BS2005" i="5"/>
  <c r="BZ2005" i="5" s="1"/>
  <c r="CA2005" i="5" s="1"/>
  <c r="BS2221" i="5"/>
  <c r="BZ2221" i="5" s="1"/>
  <c r="CA2221" i="5" s="1"/>
  <c r="BS2509" i="5"/>
  <c r="BZ2509" i="5" s="1"/>
  <c r="CA2509" i="5" s="1"/>
  <c r="BS2599" i="5"/>
  <c r="BZ2599" i="5" s="1"/>
  <c r="CA2599" i="5" s="1"/>
  <c r="BS2671" i="5"/>
  <c r="BZ2671" i="5" s="1"/>
  <c r="CA2671" i="5" s="1"/>
  <c r="BS2482" i="5"/>
  <c r="BZ2482" i="5" s="1"/>
  <c r="CA2482" i="5" s="1"/>
  <c r="BS2338" i="5"/>
  <c r="BZ2338" i="5" s="1"/>
  <c r="CA2338" i="5" s="1"/>
  <c r="BS2149" i="5"/>
  <c r="BZ2149" i="5" s="1"/>
  <c r="CA2149" i="5" s="1"/>
  <c r="BS1906" i="5"/>
  <c r="BZ1906" i="5" s="1"/>
  <c r="CA1906" i="5" s="1"/>
  <c r="BS1656" i="5"/>
  <c r="BZ1656" i="5" s="1"/>
  <c r="CA1656" i="5" s="1"/>
  <c r="BS1438" i="5"/>
  <c r="BZ1438" i="5" s="1"/>
  <c r="CA1438" i="5" s="1"/>
  <c r="BS1116" i="5"/>
  <c r="BZ1116" i="5" s="1"/>
  <c r="CA1116" i="5" s="1"/>
  <c r="BS949" i="5"/>
  <c r="BZ949" i="5" s="1"/>
  <c r="CA949" i="5" s="1"/>
  <c r="BS794" i="5"/>
  <c r="BZ794" i="5" s="1"/>
  <c r="CA794" i="5" s="1"/>
  <c r="BS685" i="5"/>
  <c r="BZ685" i="5" s="1"/>
  <c r="CA685" i="5" s="1"/>
  <c r="BS604" i="5"/>
  <c r="BZ604" i="5" s="1"/>
  <c r="CA604" i="5" s="1"/>
  <c r="BS493" i="5"/>
  <c r="BZ493" i="5" s="1"/>
  <c r="CA493" i="5" s="1"/>
  <c r="BS361" i="5"/>
  <c r="BZ361" i="5" s="1"/>
  <c r="CA361" i="5" s="1"/>
  <c r="BS242" i="5"/>
  <c r="BZ242" i="5" s="1"/>
  <c r="CA242" i="5" s="1"/>
  <c r="BS50" i="5"/>
  <c r="BZ50" i="5" s="1"/>
  <c r="CA50" i="5" s="1"/>
  <c r="BS2657" i="5"/>
  <c r="BZ2657" i="5" s="1"/>
  <c r="CA2657" i="5" s="1"/>
  <c r="BS2573" i="5"/>
  <c r="BZ2573" i="5" s="1"/>
  <c r="CA2573" i="5" s="1"/>
  <c r="BS87" i="5"/>
  <c r="BZ87" i="5" s="1"/>
  <c r="CA87" i="5" s="1"/>
  <c r="BS2457" i="5"/>
  <c r="BZ2457" i="5" s="1"/>
  <c r="CA2457" i="5" s="1"/>
  <c r="BS2391" i="5"/>
  <c r="BZ2391" i="5" s="1"/>
  <c r="CA2391" i="5" s="1"/>
  <c r="BS2336" i="5"/>
  <c r="BZ2336" i="5" s="1"/>
  <c r="CA2336" i="5" s="1"/>
  <c r="BS2287" i="5"/>
  <c r="BZ2287" i="5" s="1"/>
  <c r="CA2287" i="5" s="1"/>
  <c r="BS2217" i="5"/>
  <c r="BZ2217" i="5" s="1"/>
  <c r="CA2217" i="5" s="1"/>
  <c r="BS2156" i="5"/>
  <c r="BZ2156" i="5" s="1"/>
  <c r="CA2156" i="5" s="1"/>
  <c r="BS2103" i="5"/>
  <c r="BZ2103" i="5" s="1"/>
  <c r="CA2103" i="5" s="1"/>
  <c r="BS2037" i="5"/>
  <c r="BZ2037" i="5" s="1"/>
  <c r="CA2037" i="5" s="1"/>
  <c r="BS1976" i="5"/>
  <c r="BZ1976" i="5" s="1"/>
  <c r="CA1976" i="5" s="1"/>
  <c r="BS1915" i="5"/>
  <c r="BZ1915" i="5" s="1"/>
  <c r="CA1915" i="5" s="1"/>
  <c r="BS1856" i="5"/>
  <c r="BZ1856" i="5" s="1"/>
  <c r="CA1856" i="5" s="1"/>
  <c r="BS1808" i="5"/>
  <c r="BZ1808" i="5" s="1"/>
  <c r="CA1808" i="5" s="1"/>
  <c r="BS1747" i="5"/>
  <c r="BZ1747" i="5" s="1"/>
  <c r="CA1747" i="5" s="1"/>
  <c r="BS1689" i="5"/>
  <c r="BZ1689" i="5" s="1"/>
  <c r="CA1689" i="5" s="1"/>
  <c r="BS1641" i="5"/>
  <c r="BZ1641" i="5" s="1"/>
  <c r="CA1641" i="5" s="1"/>
  <c r="BS1599" i="5"/>
  <c r="BZ1599" i="5" s="1"/>
  <c r="CA1599" i="5" s="1"/>
  <c r="BS1556" i="5"/>
  <c r="BZ1556" i="5" s="1"/>
  <c r="CA1556" i="5" s="1"/>
  <c r="BS1508" i="5"/>
  <c r="BZ1508" i="5" s="1"/>
  <c r="CA1508" i="5" s="1"/>
  <c r="BS1461" i="5"/>
  <c r="BZ1461" i="5" s="1"/>
  <c r="CA1461" i="5" s="1"/>
  <c r="BS1413" i="5"/>
  <c r="BZ1413" i="5" s="1"/>
  <c r="CA1413" i="5" s="1"/>
  <c r="BS1365" i="5"/>
  <c r="BZ1365" i="5" s="1"/>
  <c r="CA1365" i="5" s="1"/>
  <c r="BS1304" i="5"/>
  <c r="BZ1304" i="5" s="1"/>
  <c r="CA1304" i="5" s="1"/>
  <c r="BS1251" i="5"/>
  <c r="BZ1251" i="5" s="1"/>
  <c r="CA1251" i="5" s="1"/>
  <c r="BS1188" i="5"/>
  <c r="BZ1188" i="5" s="1"/>
  <c r="CA1188" i="5" s="1"/>
  <c r="BS1136" i="5"/>
  <c r="BZ1136" i="5" s="1"/>
  <c r="CA1136" i="5" s="1"/>
  <c r="BS1077" i="5"/>
  <c r="BZ1077" i="5" s="1"/>
  <c r="CA1077" i="5" s="1"/>
  <c r="BS1035" i="5"/>
  <c r="BZ1035" i="5" s="1"/>
  <c r="CA1035" i="5" s="1"/>
  <c r="BS988" i="5"/>
  <c r="BZ988" i="5" s="1"/>
  <c r="CA988" i="5" s="1"/>
  <c r="BS945" i="5"/>
  <c r="BZ945" i="5" s="1"/>
  <c r="CA945" i="5" s="1"/>
  <c r="BS908" i="5"/>
  <c r="BZ908" i="5" s="1"/>
  <c r="CA908" i="5" s="1"/>
  <c r="BS861" i="5"/>
  <c r="BZ861" i="5" s="1"/>
  <c r="CA861" i="5" s="1"/>
  <c r="BS823" i="5"/>
  <c r="BZ823" i="5" s="1"/>
  <c r="CA823" i="5" s="1"/>
  <c r="BS775" i="5"/>
  <c r="BZ775" i="5" s="1"/>
  <c r="CA775" i="5" s="1"/>
  <c r="BS730" i="5"/>
  <c r="BZ730" i="5" s="1"/>
  <c r="CA730" i="5" s="1"/>
  <c r="BS693" i="5"/>
  <c r="BZ693" i="5" s="1"/>
  <c r="CA693" i="5" s="1"/>
  <c r="BS657" i="5"/>
  <c r="BZ657" i="5" s="1"/>
  <c r="CA657" i="5" s="1"/>
  <c r="BS620" i="5"/>
  <c r="BZ620" i="5" s="1"/>
  <c r="CA620" i="5" s="1"/>
  <c r="BS583" i="5"/>
  <c r="BZ583" i="5" s="1"/>
  <c r="CA583" i="5" s="1"/>
  <c r="BS547" i="5"/>
  <c r="BZ547" i="5" s="1"/>
  <c r="CA547" i="5" s="1"/>
  <c r="BS511" i="5"/>
  <c r="BZ511" i="5" s="1"/>
  <c r="CA511" i="5" s="1"/>
  <c r="BS478" i="5"/>
  <c r="BZ478" i="5" s="1"/>
  <c r="CA478" i="5" s="1"/>
  <c r="BS451" i="5"/>
  <c r="BZ451" i="5" s="1"/>
  <c r="CA451" i="5" s="1"/>
  <c r="BS415" i="5"/>
  <c r="BZ415" i="5" s="1"/>
  <c r="CA415" i="5" s="1"/>
  <c r="BS381" i="5"/>
  <c r="BZ381" i="5" s="1"/>
  <c r="CA381" i="5" s="1"/>
  <c r="BS346" i="5"/>
  <c r="BZ346" i="5" s="1"/>
  <c r="CA346" i="5" s="1"/>
  <c r="BS316" i="5"/>
  <c r="BZ316" i="5" s="1"/>
  <c r="CA316" i="5" s="1"/>
  <c r="BS274" i="5"/>
  <c r="BZ274" i="5" s="1"/>
  <c r="CA274" i="5" s="1"/>
  <c r="BS246" i="5"/>
  <c r="BZ246" i="5" s="1"/>
  <c r="CA246" i="5" s="1"/>
  <c r="BS228" i="5"/>
  <c r="BZ228" i="5" s="1"/>
  <c r="CA228" i="5" s="1"/>
  <c r="BS212" i="5"/>
  <c r="BZ212" i="5" s="1"/>
  <c r="CA212" i="5" s="1"/>
  <c r="BS193" i="5"/>
  <c r="BZ193" i="5" s="1"/>
  <c r="CA193" i="5" s="1"/>
  <c r="BS176" i="5"/>
  <c r="BZ176" i="5" s="1"/>
  <c r="CA176" i="5" s="1"/>
  <c r="BS157" i="5"/>
  <c r="BZ157" i="5" s="1"/>
  <c r="CA157" i="5" s="1"/>
  <c r="BS142" i="5"/>
  <c r="BZ142" i="5" s="1"/>
  <c r="CA142" i="5" s="1"/>
  <c r="BS122" i="5"/>
  <c r="BZ122" i="5" s="1"/>
  <c r="CA122" i="5" s="1"/>
  <c r="BS105" i="5"/>
  <c r="BZ105" i="5" s="1"/>
  <c r="CA105" i="5" s="1"/>
  <c r="BS86" i="5"/>
  <c r="BZ86" i="5" s="1"/>
  <c r="CA86" i="5" s="1"/>
  <c r="BS72" i="5"/>
  <c r="BZ72" i="5" s="1"/>
  <c r="CA72" i="5" s="1"/>
  <c r="BS56" i="5"/>
  <c r="BZ56" i="5" s="1"/>
  <c r="CA56" i="5" s="1"/>
  <c r="BS38" i="5"/>
  <c r="BZ38" i="5" s="1"/>
  <c r="CA38" i="5" s="1"/>
  <c r="BS23" i="5"/>
  <c r="BZ23" i="5" s="1"/>
  <c r="CA23" i="5" s="1"/>
  <c r="BS2739" i="5"/>
  <c r="BZ2739" i="5" s="1"/>
  <c r="CA2739" i="5" s="1"/>
  <c r="BS2703" i="5"/>
  <c r="BZ2703" i="5" s="1"/>
  <c r="CA2703" i="5" s="1"/>
  <c r="BS2648" i="5"/>
  <c r="BZ2648" i="5" s="1"/>
  <c r="CA2648" i="5" s="1"/>
  <c r="BS2595" i="5"/>
  <c r="BZ2595" i="5" s="1"/>
  <c r="CA2595" i="5" s="1"/>
  <c r="BS2547" i="5"/>
  <c r="BZ2547" i="5" s="1"/>
  <c r="CA2547" i="5" s="1"/>
  <c r="BS2499" i="5"/>
  <c r="BZ2499" i="5" s="1"/>
  <c r="CA2499" i="5" s="1"/>
  <c r="BS2477" i="5"/>
  <c r="BZ2477" i="5" s="1"/>
  <c r="CA2477" i="5" s="1"/>
  <c r="BS2447" i="5"/>
  <c r="BZ2447" i="5" s="1"/>
  <c r="CA2447" i="5" s="1"/>
  <c r="BS2412" i="5"/>
  <c r="BZ2412" i="5" s="1"/>
  <c r="CA2412" i="5" s="1"/>
  <c r="BS2377" i="5"/>
  <c r="BZ2377" i="5" s="1"/>
  <c r="CA2377" i="5" s="1"/>
  <c r="BS2345" i="5"/>
  <c r="BZ2345" i="5" s="1"/>
  <c r="CA2345" i="5" s="1"/>
  <c r="BS2309" i="5"/>
  <c r="BZ2309" i="5" s="1"/>
  <c r="CA2309" i="5" s="1"/>
  <c r="BS2268" i="5"/>
  <c r="BZ2268" i="5" s="1"/>
  <c r="CA2268" i="5" s="1"/>
  <c r="BS2233" i="5"/>
  <c r="BZ2233" i="5" s="1"/>
  <c r="CA2233" i="5" s="1"/>
  <c r="BS2201" i="5"/>
  <c r="BZ2201" i="5" s="1"/>
  <c r="CA2201" i="5" s="1"/>
  <c r="BS2158" i="5"/>
  <c r="BZ2158" i="5" s="1"/>
  <c r="CA2158" i="5" s="1"/>
  <c r="BS2123" i="5"/>
  <c r="BZ2123" i="5" s="1"/>
  <c r="CA2123" i="5" s="1"/>
  <c r="BS2087" i="5"/>
  <c r="BZ2087" i="5" s="1"/>
  <c r="CA2087" i="5" s="1"/>
  <c r="BS2051" i="5"/>
  <c r="BZ2051" i="5" s="1"/>
  <c r="CA2051" i="5" s="1"/>
  <c r="BS2015" i="5"/>
  <c r="BZ2015" i="5" s="1"/>
  <c r="CA2015" i="5" s="1"/>
  <c r="BS1974" i="5"/>
  <c r="BZ1974" i="5" s="1"/>
  <c r="CA1974" i="5" s="1"/>
  <c r="BS1945" i="5"/>
  <c r="BZ1945" i="5" s="1"/>
  <c r="CA1945" i="5" s="1"/>
  <c r="BS1918" i="5"/>
  <c r="BZ1918" i="5" s="1"/>
  <c r="CA1918" i="5" s="1"/>
  <c r="BS1883" i="5"/>
  <c r="BZ1883" i="5" s="1"/>
  <c r="CA1883" i="5" s="1"/>
  <c r="BS1853" i="5"/>
  <c r="BZ1853" i="5" s="1"/>
  <c r="CA1853" i="5" s="1"/>
  <c r="BS1816" i="5"/>
  <c r="BZ1816" i="5" s="1"/>
  <c r="CA1816" i="5" s="1"/>
  <c r="BS1786" i="5"/>
  <c r="BZ1786" i="5" s="1"/>
  <c r="CA1786" i="5" s="1"/>
  <c r="BS1752" i="5"/>
  <c r="BZ1752" i="5" s="1"/>
  <c r="CA1752" i="5" s="1"/>
  <c r="BS1721" i="5"/>
  <c r="BZ1721" i="5" s="1"/>
  <c r="CA1721" i="5" s="1"/>
  <c r="BS1685" i="5"/>
  <c r="BZ1685" i="5" s="1"/>
  <c r="CA1685" i="5" s="1"/>
  <c r="BS1649" i="5"/>
  <c r="BZ1649" i="5" s="1"/>
  <c r="CA1649" i="5" s="1"/>
  <c r="BS1613" i="5"/>
  <c r="BZ1613" i="5" s="1"/>
  <c r="CA1613" i="5" s="1"/>
  <c r="BS1577" i="5"/>
  <c r="BZ1577" i="5" s="1"/>
  <c r="CA1577" i="5" s="1"/>
  <c r="BS1540" i="5"/>
  <c r="BZ1540" i="5" s="1"/>
  <c r="CA1540" i="5" s="1"/>
  <c r="BS1505" i="5"/>
  <c r="BZ1505" i="5" s="1"/>
  <c r="CA1505" i="5" s="1"/>
  <c r="BS1474" i="5"/>
  <c r="BZ1474" i="5" s="1"/>
  <c r="CA1474" i="5" s="1"/>
  <c r="BS1434" i="5"/>
  <c r="BZ1434" i="5" s="1"/>
  <c r="CA1434" i="5" s="1"/>
  <c r="BS1397" i="5"/>
  <c r="BZ1397" i="5" s="1"/>
  <c r="CA1397" i="5" s="1"/>
  <c r="BS1361" i="5"/>
  <c r="BZ1361" i="5" s="1"/>
  <c r="CA1361" i="5" s="1"/>
  <c r="BS1325" i="5"/>
  <c r="BZ1325" i="5" s="1"/>
  <c r="CA1325" i="5" s="1"/>
  <c r="BS1284" i="5"/>
  <c r="BZ1284" i="5" s="1"/>
  <c r="CA1284" i="5" s="1"/>
  <c r="BS1242" i="5"/>
  <c r="BZ1242" i="5" s="1"/>
  <c r="CA1242" i="5" s="1"/>
  <c r="BS1210" i="5"/>
  <c r="BZ1210" i="5" s="1"/>
  <c r="CA1210" i="5" s="1"/>
  <c r="BS1169" i="5"/>
  <c r="BZ1169" i="5" s="1"/>
  <c r="CA1169" i="5" s="1"/>
  <c r="BS1140" i="5"/>
  <c r="BZ1140" i="5" s="1"/>
  <c r="CA1140" i="5" s="1"/>
  <c r="BS1104" i="5"/>
  <c r="BZ1104" i="5" s="1"/>
  <c r="CA1104" i="5" s="1"/>
  <c r="BS1054" i="5"/>
  <c r="BZ1054" i="5" s="1"/>
  <c r="CA1054" i="5" s="1"/>
  <c r="BS994" i="5"/>
  <c r="BZ994" i="5" s="1"/>
  <c r="CA994" i="5" s="1"/>
  <c r="BS954" i="5"/>
  <c r="BZ954" i="5" s="1"/>
  <c r="CA954" i="5" s="1"/>
  <c r="BS912" i="5"/>
  <c r="BZ912" i="5" s="1"/>
  <c r="CA912" i="5" s="1"/>
  <c r="BS876" i="5"/>
  <c r="BZ876" i="5" s="1"/>
  <c r="CA876" i="5" s="1"/>
  <c r="BS831" i="5"/>
  <c r="BZ831" i="5" s="1"/>
  <c r="CA831" i="5" s="1"/>
  <c r="BS786" i="5"/>
  <c r="BZ786" i="5" s="1"/>
  <c r="CA786" i="5" s="1"/>
  <c r="BS732" i="5"/>
  <c r="BZ732" i="5" s="1"/>
  <c r="CA732" i="5" s="1"/>
  <c r="BS690" i="5"/>
  <c r="BZ690" i="5" s="1"/>
  <c r="CA690" i="5" s="1"/>
  <c r="BS636" i="5"/>
  <c r="BZ636" i="5" s="1"/>
  <c r="CA636" i="5" s="1"/>
  <c r="BS582" i="5"/>
  <c r="BZ582" i="5" s="1"/>
  <c r="CA582" i="5" s="1"/>
  <c r="BS540" i="5"/>
  <c r="BZ540" i="5" s="1"/>
  <c r="CA540" i="5" s="1"/>
  <c r="BS492" i="5"/>
  <c r="BZ492" i="5" s="1"/>
  <c r="CA492" i="5" s="1"/>
  <c r="BS430" i="5"/>
  <c r="BZ430" i="5" s="1"/>
  <c r="CA430" i="5" s="1"/>
  <c r="BS371" i="5"/>
  <c r="BZ371" i="5" s="1"/>
  <c r="CA371" i="5" s="1"/>
  <c r="BS306" i="5"/>
  <c r="BZ306" i="5" s="1"/>
  <c r="CA306" i="5" s="1"/>
  <c r="BS257" i="5"/>
  <c r="BZ257" i="5" s="1"/>
  <c r="CA257" i="5" s="1"/>
  <c r="BS70" i="5"/>
  <c r="BZ70" i="5" s="1"/>
  <c r="CA70" i="5" s="1"/>
  <c r="BS2687" i="5"/>
  <c r="BZ2687" i="5" s="1"/>
  <c r="CA2687" i="5" s="1"/>
  <c r="BS2632" i="5"/>
  <c r="BZ2632" i="5" s="1"/>
  <c r="CA2632" i="5" s="1"/>
  <c r="BS2590" i="5"/>
  <c r="BZ2590" i="5" s="1"/>
  <c r="CA2590" i="5" s="1"/>
  <c r="BS2520" i="5"/>
  <c r="BZ2520" i="5" s="1"/>
  <c r="CA2520" i="5" s="1"/>
  <c r="BS15" i="5"/>
  <c r="BZ15" i="5" s="1"/>
  <c r="CA15" i="5" s="1"/>
  <c r="BS171" i="5"/>
  <c r="BZ171" i="5" s="1"/>
  <c r="CA171" i="5" s="1"/>
  <c r="BS281" i="5"/>
  <c r="BZ281" i="5" s="1"/>
  <c r="CA281" i="5" s="1"/>
  <c r="BS351" i="5"/>
  <c r="BZ351" i="5" s="1"/>
  <c r="CA351" i="5" s="1"/>
  <c r="BS459" i="5"/>
  <c r="BZ459" i="5" s="1"/>
  <c r="CA459" i="5" s="1"/>
  <c r="BS598" i="5"/>
  <c r="BZ598" i="5" s="1"/>
  <c r="CA598" i="5" s="1"/>
  <c r="BS718" i="5"/>
  <c r="BZ718" i="5" s="1"/>
  <c r="CA718" i="5" s="1"/>
  <c r="BS811" i="5"/>
  <c r="BZ811" i="5" s="1"/>
  <c r="CA811" i="5" s="1"/>
  <c r="BS883" i="5"/>
  <c r="BZ883" i="5" s="1"/>
  <c r="CA883" i="5" s="1"/>
  <c r="BS999" i="5"/>
  <c r="BZ999" i="5" s="1"/>
  <c r="CA999" i="5" s="1"/>
  <c r="BS1061" i="5"/>
  <c r="BZ1061" i="5" s="1"/>
  <c r="CA1061" i="5" s="1"/>
  <c r="BS1123" i="5"/>
  <c r="BZ1123" i="5" s="1"/>
  <c r="CA1123" i="5" s="1"/>
  <c r="BS1183" i="5"/>
  <c r="BZ1183" i="5" s="1"/>
  <c r="CA1183" i="5" s="1"/>
  <c r="BS1287" i="5"/>
  <c r="BZ1287" i="5" s="1"/>
  <c r="CA1287" i="5" s="1"/>
  <c r="BS1363" i="5"/>
  <c r="BZ1363" i="5" s="1"/>
  <c r="CA1363" i="5" s="1"/>
  <c r="BS1479" i="5"/>
  <c r="BZ1479" i="5" s="1"/>
  <c r="CA1479" i="5" s="1"/>
  <c r="BS1611" i="5"/>
  <c r="BZ1611" i="5" s="1"/>
  <c r="CA1611" i="5" s="1"/>
  <c r="BS1699" i="5"/>
  <c r="BZ1699" i="5" s="1"/>
  <c r="CA1699" i="5" s="1"/>
  <c r="BS1795" i="5"/>
  <c r="BZ1795" i="5" s="1"/>
  <c r="CA1795" i="5" s="1"/>
  <c r="BS1867" i="5"/>
  <c r="BZ1867" i="5" s="1"/>
  <c r="CA1867" i="5" s="1"/>
  <c r="BS1939" i="5"/>
  <c r="BZ1939" i="5" s="1"/>
  <c r="CA1939" i="5" s="1"/>
  <c r="BS2023" i="5"/>
  <c r="BZ2023" i="5" s="1"/>
  <c r="CA2023" i="5" s="1"/>
  <c r="BS2095" i="5"/>
  <c r="BZ2095" i="5" s="1"/>
  <c r="CA2095" i="5" s="1"/>
  <c r="BS2188" i="5"/>
  <c r="BZ2188" i="5" s="1"/>
  <c r="CA2188" i="5" s="1"/>
  <c r="BS2283" i="5"/>
  <c r="BZ2283" i="5" s="1"/>
  <c r="CA2283" i="5" s="1"/>
  <c r="BS2383" i="5"/>
  <c r="BZ2383" i="5" s="1"/>
  <c r="CA2383" i="5" s="1"/>
  <c r="BS2467" i="5"/>
  <c r="BZ2467" i="5" s="1"/>
  <c r="CA2467" i="5" s="1"/>
  <c r="BS2634" i="5"/>
  <c r="BZ2634" i="5" s="1"/>
  <c r="CA2634" i="5" s="1"/>
  <c r="BS2486" i="5"/>
  <c r="BZ2486" i="5" s="1"/>
  <c r="CA2486" i="5" s="1"/>
  <c r="BS2426" i="5"/>
  <c r="BZ2426" i="5" s="1"/>
  <c r="CA2426" i="5" s="1"/>
  <c r="BS2366" i="5"/>
  <c r="BZ2366" i="5" s="1"/>
  <c r="CA2366" i="5" s="1"/>
  <c r="BS2308" i="5"/>
  <c r="BZ2308" i="5" s="1"/>
  <c r="CA2308" i="5" s="1"/>
  <c r="BS2248" i="5"/>
  <c r="BZ2248" i="5" s="1"/>
  <c r="CA2248" i="5" s="1"/>
  <c r="BS2200" i="5"/>
  <c r="BZ2200" i="5" s="1"/>
  <c r="CA2200" i="5" s="1"/>
  <c r="BS2150" i="5"/>
  <c r="BZ2150" i="5" s="1"/>
  <c r="CA2150" i="5" s="1"/>
  <c r="BS2094" i="5"/>
  <c r="BZ2094" i="5" s="1"/>
  <c r="CA2094" i="5" s="1"/>
  <c r="BS2033" i="5"/>
  <c r="BZ2033" i="5" s="1"/>
  <c r="CA2033" i="5" s="1"/>
  <c r="BS1985" i="5"/>
  <c r="BZ1985" i="5" s="1"/>
  <c r="CA1985" i="5" s="1"/>
  <c r="BS1907" i="5"/>
  <c r="BZ1907" i="5" s="1"/>
  <c r="CA1907" i="5" s="1"/>
  <c r="BS1826" i="5"/>
  <c r="BZ1826" i="5" s="1"/>
  <c r="CA1826" i="5" s="1"/>
  <c r="BS1734" i="5"/>
  <c r="BZ1734" i="5" s="1"/>
  <c r="CA1734" i="5" s="1"/>
  <c r="BS1647" i="5"/>
  <c r="BZ1647" i="5" s="1"/>
  <c r="CA1647" i="5" s="1"/>
  <c r="BS1589" i="5"/>
  <c r="BZ1589" i="5" s="1"/>
  <c r="CA1589" i="5" s="1"/>
  <c r="BS1517" i="5"/>
  <c r="BZ1517" i="5" s="1"/>
  <c r="CA1517" i="5" s="1"/>
  <c r="BS1442" i="5"/>
  <c r="BZ1442" i="5" s="1"/>
  <c r="CA1442" i="5" s="1"/>
  <c r="BS1373" i="5"/>
  <c r="BZ1373" i="5" s="1"/>
  <c r="CA1373" i="5" s="1"/>
  <c r="BS1314" i="5"/>
  <c r="BZ1314" i="5" s="1"/>
  <c r="CA1314" i="5" s="1"/>
  <c r="BS1255" i="5"/>
  <c r="BZ1255" i="5" s="1"/>
  <c r="CA1255" i="5" s="1"/>
  <c r="BS1214" i="5"/>
  <c r="BZ1214" i="5" s="1"/>
  <c r="CA1214" i="5" s="1"/>
  <c r="BS1144" i="5"/>
  <c r="BZ1144" i="5" s="1"/>
  <c r="CA1144" i="5" s="1"/>
  <c r="BS1072" i="5"/>
  <c r="BZ1072" i="5" s="1"/>
  <c r="CA1072" i="5" s="1"/>
  <c r="BS1007" i="5"/>
  <c r="BZ1007" i="5" s="1"/>
  <c r="CA1007" i="5" s="1"/>
  <c r="BS857" i="5"/>
  <c r="BZ857" i="5" s="1"/>
  <c r="CA857" i="5" s="1"/>
  <c r="BS770" i="5"/>
  <c r="BZ770" i="5" s="1"/>
  <c r="CA770" i="5" s="1"/>
  <c r="BS643" i="5"/>
  <c r="BZ643" i="5" s="1"/>
  <c r="CA643" i="5" s="1"/>
  <c r="BS527" i="5"/>
  <c r="BZ527" i="5" s="1"/>
  <c r="CA527" i="5" s="1"/>
  <c r="BS398" i="5"/>
  <c r="BZ398" i="5" s="1"/>
  <c r="CA398" i="5" s="1"/>
  <c r="BS259" i="5"/>
  <c r="BZ259" i="5" s="1"/>
  <c r="CA259" i="5" s="1"/>
  <c r="BS317" i="5"/>
  <c r="BZ317" i="5" s="1"/>
  <c r="CA317" i="5" s="1"/>
  <c r="BS617" i="5"/>
  <c r="BZ617" i="5" s="1"/>
  <c r="CA617" i="5" s="1"/>
  <c r="BS2544" i="5"/>
  <c r="BZ2544" i="5" s="1"/>
  <c r="CA2544" i="5" s="1"/>
  <c r="BS2676" i="5"/>
  <c r="BZ2676" i="5" s="1"/>
  <c r="CA2676" i="5" s="1"/>
  <c r="BS126" i="5"/>
  <c r="BZ126" i="5" s="1"/>
  <c r="CA126" i="5" s="1"/>
  <c r="BS325" i="5"/>
  <c r="BZ325" i="5" s="1"/>
  <c r="CA325" i="5" s="1"/>
  <c r="BS445" i="5"/>
  <c r="BZ445" i="5" s="1"/>
  <c r="CA445" i="5" s="1"/>
  <c r="BS578" i="5"/>
  <c r="BZ578" i="5" s="1"/>
  <c r="CA578" i="5" s="1"/>
  <c r="BS758" i="5"/>
  <c r="BZ758" i="5" s="1"/>
  <c r="CA758" i="5" s="1"/>
  <c r="BS889" i="5"/>
  <c r="BZ889" i="5" s="1"/>
  <c r="CA889" i="5" s="1"/>
  <c r="BS985" i="5"/>
  <c r="BZ985" i="5" s="1"/>
  <c r="CA985" i="5" s="1"/>
  <c r="BS1117" i="5"/>
  <c r="BZ1117" i="5" s="1"/>
  <c r="CA1117" i="5" s="1"/>
  <c r="BS1261" i="5"/>
  <c r="BZ1261" i="5" s="1"/>
  <c r="CA1261" i="5" s="1"/>
  <c r="BS1405" i="5"/>
  <c r="BZ1405" i="5" s="1"/>
  <c r="CA1405" i="5" s="1"/>
  <c r="BS1561" i="5"/>
  <c r="BZ1561" i="5" s="1"/>
  <c r="CA1561" i="5" s="1"/>
  <c r="BS1705" i="5"/>
  <c r="BZ1705" i="5" s="1"/>
  <c r="CA1705" i="5" s="1"/>
  <c r="BS1849" i="5"/>
  <c r="BZ1849" i="5" s="1"/>
  <c r="CA1849" i="5" s="1"/>
  <c r="BS2029" i="5"/>
  <c r="BZ2029" i="5" s="1"/>
  <c r="CA2029" i="5" s="1"/>
  <c r="BS2245" i="5"/>
  <c r="BZ2245" i="5" s="1"/>
  <c r="CA2245" i="5" s="1"/>
  <c r="BS2517" i="5"/>
  <c r="BZ2517" i="5" s="1"/>
  <c r="CA2517" i="5" s="1"/>
  <c r="BS2601" i="5"/>
  <c r="BZ2601" i="5" s="1"/>
  <c r="CA2601" i="5" s="1"/>
  <c r="BS2673" i="5"/>
  <c r="BZ2673" i="5" s="1"/>
  <c r="CA2673" i="5" s="1"/>
  <c r="BS2473" i="5"/>
  <c r="BZ2473" i="5" s="1"/>
  <c r="CA2473" i="5" s="1"/>
  <c r="BS2316" i="5"/>
  <c r="BZ2316" i="5" s="1"/>
  <c r="CA2316" i="5" s="1"/>
  <c r="BS2136" i="5"/>
  <c r="BZ2136" i="5" s="1"/>
  <c r="CA2136" i="5" s="1"/>
  <c r="BS1860" i="5"/>
  <c r="BZ1860" i="5" s="1"/>
  <c r="CA1860" i="5" s="1"/>
  <c r="BS1644" i="5"/>
  <c r="BZ1644" i="5" s="1"/>
  <c r="CA1644" i="5" s="1"/>
  <c r="BS1426" i="5"/>
  <c r="BZ1426" i="5" s="1"/>
  <c r="CA1426" i="5" s="1"/>
  <c r="BS1102" i="5"/>
  <c r="BZ1102" i="5" s="1"/>
  <c r="CA1102" i="5" s="1"/>
  <c r="BS946" i="5"/>
  <c r="BZ946" i="5" s="1"/>
  <c r="CA946" i="5" s="1"/>
  <c r="BS792" i="5"/>
  <c r="BZ792" i="5" s="1"/>
  <c r="CA792" i="5" s="1"/>
  <c r="BS684" i="5"/>
  <c r="BZ684" i="5" s="1"/>
  <c r="CA684" i="5" s="1"/>
  <c r="BS601" i="5"/>
  <c r="BZ601" i="5" s="1"/>
  <c r="CA601" i="5" s="1"/>
  <c r="BS466" i="5"/>
  <c r="BZ466" i="5" s="1"/>
  <c r="CA466" i="5" s="1"/>
  <c r="BS360" i="5"/>
  <c r="BZ360" i="5" s="1"/>
  <c r="CA360" i="5" s="1"/>
  <c r="BS206" i="5"/>
  <c r="BZ206" i="5" s="1"/>
  <c r="CA206" i="5" s="1"/>
  <c r="BS2741" i="5"/>
  <c r="BZ2741" i="5" s="1"/>
  <c r="CA2741" i="5" s="1"/>
  <c r="BS2656" i="5"/>
  <c r="BZ2656" i="5" s="1"/>
  <c r="CA2656" i="5" s="1"/>
  <c r="BS2561" i="5"/>
  <c r="BZ2561" i="5" s="1"/>
  <c r="CA2561" i="5" s="1"/>
  <c r="BS362" i="5"/>
  <c r="BZ362" i="5" s="1"/>
  <c r="CA362" i="5" s="1"/>
  <c r="BS2456" i="5"/>
  <c r="BZ2456" i="5" s="1"/>
  <c r="CA2456" i="5" s="1"/>
  <c r="BS2385" i="5"/>
  <c r="BZ2385" i="5" s="1"/>
  <c r="CA2385" i="5" s="1"/>
  <c r="BS2331" i="5"/>
  <c r="BZ2331" i="5" s="1"/>
  <c r="CA2331" i="5" s="1"/>
  <c r="BS2277" i="5"/>
  <c r="BZ2277" i="5" s="1"/>
  <c r="CA2277" i="5" s="1"/>
  <c r="BS2216" i="5"/>
  <c r="BZ2216" i="5" s="1"/>
  <c r="CA2216" i="5" s="1"/>
  <c r="BS2155" i="5"/>
  <c r="BZ2155" i="5" s="1"/>
  <c r="CA2155" i="5" s="1"/>
  <c r="BS2097" i="5"/>
  <c r="BZ2097" i="5" s="1"/>
  <c r="CA2097" i="5" s="1"/>
  <c r="BS2036" i="5"/>
  <c r="BZ2036" i="5" s="1"/>
  <c r="CA2036" i="5" s="1"/>
  <c r="BS1965" i="5"/>
  <c r="BZ1965" i="5" s="1"/>
  <c r="CA1965" i="5" s="1"/>
  <c r="BS1905" i="5"/>
  <c r="BZ1905" i="5" s="1"/>
  <c r="CA1905" i="5" s="1"/>
  <c r="BS1847" i="5"/>
  <c r="BZ1847" i="5" s="1"/>
  <c r="CA1847" i="5" s="1"/>
  <c r="BS1797" i="5"/>
  <c r="BZ1797" i="5" s="1"/>
  <c r="CA1797" i="5" s="1"/>
  <c r="BS1737" i="5"/>
  <c r="BZ1737" i="5" s="1"/>
  <c r="CA1737" i="5" s="1"/>
  <c r="BS1688" i="5"/>
  <c r="BZ1688" i="5" s="1"/>
  <c r="CA1688" i="5" s="1"/>
  <c r="BS1640" i="5"/>
  <c r="BZ1640" i="5" s="1"/>
  <c r="CA1640" i="5" s="1"/>
  <c r="BS1593" i="5"/>
  <c r="BZ1593" i="5" s="1"/>
  <c r="CA1593" i="5" s="1"/>
  <c r="BS1551" i="5"/>
  <c r="BZ1551" i="5" s="1"/>
  <c r="CA1551" i="5" s="1"/>
  <c r="BS1503" i="5"/>
  <c r="BZ1503" i="5" s="1"/>
  <c r="CA1503" i="5" s="1"/>
  <c r="BS1460" i="5"/>
  <c r="BZ1460" i="5" s="1"/>
  <c r="CA1460" i="5" s="1"/>
  <c r="BS1412" i="5"/>
  <c r="BZ1412" i="5" s="1"/>
  <c r="CA1412" i="5" s="1"/>
  <c r="BS1364" i="5"/>
  <c r="BZ1364" i="5" s="1"/>
  <c r="CA1364" i="5" s="1"/>
  <c r="BS1293" i="5"/>
  <c r="BZ1293" i="5" s="1"/>
  <c r="CA1293" i="5" s="1"/>
  <c r="BS1245" i="5"/>
  <c r="BZ1245" i="5" s="1"/>
  <c r="CA1245" i="5" s="1"/>
  <c r="BS1185" i="5"/>
  <c r="BZ1185" i="5" s="1"/>
  <c r="CA1185" i="5" s="1"/>
  <c r="BS1125" i="5"/>
  <c r="BZ1125" i="5" s="1"/>
  <c r="CA1125" i="5" s="1"/>
  <c r="BS1076" i="5"/>
  <c r="BZ1076" i="5" s="1"/>
  <c r="CA1076" i="5" s="1"/>
  <c r="BS1029" i="5"/>
  <c r="BZ1029" i="5" s="1"/>
  <c r="CA1029" i="5" s="1"/>
  <c r="BS987" i="5"/>
  <c r="BZ987" i="5" s="1"/>
  <c r="CA987" i="5" s="1"/>
  <c r="BS944" i="5"/>
  <c r="BZ944" i="5" s="1"/>
  <c r="CA944" i="5" s="1"/>
  <c r="BS907" i="5"/>
  <c r="BZ907" i="5" s="1"/>
  <c r="CA907" i="5" s="1"/>
  <c r="BS860" i="5"/>
  <c r="BZ860" i="5" s="1"/>
  <c r="CA860" i="5" s="1"/>
  <c r="BS819" i="5"/>
  <c r="BZ819" i="5" s="1"/>
  <c r="CA819" i="5" s="1"/>
  <c r="BS771" i="5"/>
  <c r="BZ771" i="5" s="1"/>
  <c r="CA771" i="5" s="1"/>
  <c r="BS729" i="5"/>
  <c r="BZ729" i="5" s="1"/>
  <c r="CA729" i="5" s="1"/>
  <c r="BS692" i="5"/>
  <c r="BZ692" i="5" s="1"/>
  <c r="CA692" i="5" s="1"/>
  <c r="BS656" i="5"/>
  <c r="BZ656" i="5" s="1"/>
  <c r="CA656" i="5" s="1"/>
  <c r="BS619" i="5"/>
  <c r="BZ619" i="5" s="1"/>
  <c r="CA619" i="5" s="1"/>
  <c r="BS580" i="5"/>
  <c r="BZ580" i="5" s="1"/>
  <c r="CA580" i="5" s="1"/>
  <c r="BS544" i="5"/>
  <c r="BZ544" i="5" s="1"/>
  <c r="CA544" i="5" s="1"/>
  <c r="BS508" i="5"/>
  <c r="BZ508" i="5" s="1"/>
  <c r="CA508" i="5" s="1"/>
  <c r="BS477" i="5"/>
  <c r="BZ477" i="5" s="1"/>
  <c r="CA477" i="5" s="1"/>
  <c r="BS448" i="5"/>
  <c r="BZ448" i="5" s="1"/>
  <c r="CA448" i="5" s="1"/>
  <c r="BS412" i="5"/>
  <c r="BZ412" i="5" s="1"/>
  <c r="CA412" i="5" s="1"/>
  <c r="BS380" i="5"/>
  <c r="BZ380" i="5" s="1"/>
  <c r="CA380" i="5" s="1"/>
  <c r="BS345" i="5"/>
  <c r="BZ345" i="5" s="1"/>
  <c r="CA345" i="5" s="1"/>
  <c r="BS309" i="5"/>
  <c r="BZ309" i="5" s="1"/>
  <c r="CA309" i="5" s="1"/>
  <c r="BS272" i="5"/>
  <c r="BZ272" i="5" s="1"/>
  <c r="CA272" i="5" s="1"/>
  <c r="BS245" i="5"/>
  <c r="BZ245" i="5" s="1"/>
  <c r="CA245" i="5" s="1"/>
  <c r="BS227" i="5"/>
  <c r="BZ227" i="5" s="1"/>
  <c r="CA227" i="5" s="1"/>
  <c r="BS211" i="5"/>
  <c r="BZ211" i="5" s="1"/>
  <c r="CA211" i="5" s="1"/>
  <c r="BS192" i="5"/>
  <c r="BZ192" i="5" s="1"/>
  <c r="CA192" i="5" s="1"/>
  <c r="BS173" i="5"/>
  <c r="BZ173" i="5" s="1"/>
  <c r="CA173" i="5" s="1"/>
  <c r="BS156" i="5"/>
  <c r="BZ156" i="5" s="1"/>
  <c r="CA156" i="5" s="1"/>
  <c r="BS141" i="5"/>
  <c r="BZ141" i="5" s="1"/>
  <c r="CA141" i="5" s="1"/>
  <c r="BS121" i="5"/>
  <c r="BZ121" i="5" s="1"/>
  <c r="CA121" i="5" s="1"/>
  <c r="BS104" i="5"/>
  <c r="BZ104" i="5" s="1"/>
  <c r="CA104" i="5" s="1"/>
  <c r="BS85" i="5"/>
  <c r="BZ85" i="5" s="1"/>
  <c r="CA85" i="5" s="1"/>
  <c r="BS71" i="5"/>
  <c r="BZ71" i="5" s="1"/>
  <c r="CA71" i="5" s="1"/>
  <c r="BS53" i="5"/>
  <c r="BZ53" i="5" s="1"/>
  <c r="CA53" i="5" s="1"/>
  <c r="BS37" i="5"/>
  <c r="BZ37" i="5" s="1"/>
  <c r="CA37" i="5" s="1"/>
  <c r="BS21" i="5"/>
  <c r="BZ21" i="5" s="1"/>
  <c r="CA21" i="5" s="1"/>
  <c r="BS2738" i="5"/>
  <c r="BZ2738" i="5" s="1"/>
  <c r="CA2738" i="5" s="1"/>
  <c r="BS2696" i="5"/>
  <c r="BZ2696" i="5" s="1"/>
  <c r="CA2696" i="5" s="1"/>
  <c r="BS2643" i="5"/>
  <c r="BZ2643" i="5" s="1"/>
  <c r="CA2643" i="5" s="1"/>
  <c r="BS2589" i="5"/>
  <c r="BZ2589" i="5" s="1"/>
  <c r="CA2589" i="5" s="1"/>
  <c r="BS2545" i="5"/>
  <c r="BZ2545" i="5" s="1"/>
  <c r="CA2545" i="5" s="1"/>
  <c r="BS2497" i="5"/>
  <c r="BZ2497" i="5" s="1"/>
  <c r="CA2497" i="5" s="1"/>
  <c r="BX2739" i="5"/>
  <c r="BX2738" i="5"/>
  <c r="BX2743" i="5"/>
  <c r="BX2742" i="5"/>
  <c r="BX2741" i="5"/>
  <c r="BX2740" i="5"/>
  <c r="BR2728" i="5"/>
  <c r="BY2728" i="5" s="1"/>
  <c r="CC2728" i="5" s="1"/>
  <c r="BR2716" i="5"/>
  <c r="BY2716" i="5" s="1"/>
  <c r="CC2716" i="5" s="1"/>
  <c r="BR2704" i="5"/>
  <c r="BY2704" i="5" s="1"/>
  <c r="CC2704" i="5" s="1"/>
  <c r="BR2692" i="5"/>
  <c r="BY2692" i="5" s="1"/>
  <c r="CC2692" i="5" s="1"/>
  <c r="BR2680" i="5"/>
  <c r="BY2680" i="5" s="1"/>
  <c r="CC2680" i="5" s="1"/>
  <c r="BR2668" i="5"/>
  <c r="BY2668" i="5" s="1"/>
  <c r="CC2668" i="5" s="1"/>
  <c r="BR2656" i="5"/>
  <c r="BY2656" i="5" s="1"/>
  <c r="CC2656" i="5" s="1"/>
  <c r="BR2644" i="5"/>
  <c r="BY2644" i="5" s="1"/>
  <c r="CC2644" i="5" s="1"/>
  <c r="BR2632" i="5"/>
  <c r="BY2632" i="5" s="1"/>
  <c r="CC2632" i="5" s="1"/>
  <c r="BR2620" i="5"/>
  <c r="BY2620" i="5" s="1"/>
  <c r="CC2620" i="5" s="1"/>
  <c r="BR2608" i="5"/>
  <c r="BR2596" i="5"/>
  <c r="BR2584" i="5"/>
  <c r="BY2584" i="5" s="1"/>
  <c r="CC2584" i="5" s="1"/>
  <c r="BR2572" i="5"/>
  <c r="BY2572" i="5" s="1"/>
  <c r="CC2572" i="5" s="1"/>
  <c r="BR2560" i="5"/>
  <c r="BY2560" i="5" s="1"/>
  <c r="CC2560" i="5" s="1"/>
  <c r="BR2548" i="5"/>
  <c r="BY2548" i="5" s="1"/>
  <c r="CC2548" i="5" s="1"/>
  <c r="BR2536" i="5"/>
  <c r="BY2536" i="5" s="1"/>
  <c r="CC2536" i="5" s="1"/>
  <c r="BR2524" i="5"/>
  <c r="BY2524" i="5" s="1"/>
  <c r="CC2524" i="5" s="1"/>
  <c r="BR2512" i="5"/>
  <c r="BY2512" i="5" s="1"/>
  <c r="CC2512" i="5" s="1"/>
  <c r="BR2500" i="5"/>
  <c r="BY2500" i="5" s="1"/>
  <c r="CC2500" i="5" s="1"/>
  <c r="BR2488" i="5"/>
  <c r="BR2476" i="5"/>
  <c r="BR2464" i="5"/>
  <c r="BR2452" i="5"/>
  <c r="BR2440" i="5"/>
  <c r="BR2428" i="5"/>
  <c r="BR2416" i="5"/>
  <c r="BR2404" i="5"/>
  <c r="BR2392" i="5"/>
  <c r="BR2380" i="5"/>
  <c r="BR2368" i="5"/>
  <c r="BR2356" i="5"/>
  <c r="BR2344" i="5"/>
  <c r="BR2332" i="5"/>
  <c r="BR2320" i="5"/>
  <c r="BR2308" i="5"/>
  <c r="BR2296" i="5"/>
  <c r="BR2284" i="5"/>
  <c r="BR2272" i="5"/>
  <c r="BR2260" i="5"/>
  <c r="BR2248" i="5"/>
  <c r="BR2236" i="5"/>
  <c r="BR2224" i="5"/>
  <c r="BR2212" i="5"/>
  <c r="BR2200" i="5"/>
  <c r="BR2188" i="5"/>
  <c r="BR2176" i="5"/>
  <c r="BR2164" i="5"/>
  <c r="BR2152" i="5"/>
  <c r="BR2140" i="5"/>
  <c r="BR2128" i="5"/>
  <c r="BR2116" i="5"/>
  <c r="BR2104" i="5"/>
  <c r="BR2092" i="5"/>
  <c r="BR2080" i="5"/>
  <c r="BR2068" i="5"/>
  <c r="BR2056" i="5"/>
  <c r="BR2044" i="5"/>
  <c r="BR2032" i="5"/>
  <c r="BR2020" i="5"/>
  <c r="BR2008" i="5"/>
  <c r="BR2726" i="5"/>
  <c r="BY2726" i="5" s="1"/>
  <c r="CC2726" i="5" s="1"/>
  <c r="BR2714" i="5"/>
  <c r="BY2714" i="5" s="1"/>
  <c r="CC2714" i="5" s="1"/>
  <c r="BR2702" i="5"/>
  <c r="BY2702" i="5" s="1"/>
  <c r="CC2702" i="5" s="1"/>
  <c r="BR2690" i="5"/>
  <c r="BY2690" i="5" s="1"/>
  <c r="CC2690" i="5" s="1"/>
  <c r="BR2678" i="5"/>
  <c r="BR2666" i="5"/>
  <c r="BY2666" i="5" s="1"/>
  <c r="CC2666" i="5" s="1"/>
  <c r="BR2654" i="5"/>
  <c r="BR2642" i="5"/>
  <c r="BR2630" i="5"/>
  <c r="BR2618" i="5"/>
  <c r="BR2606" i="5"/>
  <c r="BR2594" i="5"/>
  <c r="BR2582" i="5"/>
  <c r="BY2582" i="5" s="1"/>
  <c r="CC2582" i="5" s="1"/>
  <c r="BR2570" i="5"/>
  <c r="BY2570" i="5" s="1"/>
  <c r="CC2570" i="5" s="1"/>
  <c r="BR2558" i="5"/>
  <c r="BY2558" i="5" s="1"/>
  <c r="CC2558" i="5" s="1"/>
  <c r="BR2546" i="5"/>
  <c r="BY2546" i="5" s="1"/>
  <c r="CC2546" i="5" s="1"/>
  <c r="BR2534" i="5"/>
  <c r="BR2522" i="5"/>
  <c r="BY2522" i="5" s="1"/>
  <c r="CC2522" i="5" s="1"/>
  <c r="BR2510" i="5"/>
  <c r="BY2510" i="5" s="1"/>
  <c r="CC2510" i="5" s="1"/>
  <c r="BR2498" i="5"/>
  <c r="BR2486" i="5"/>
  <c r="BR2474" i="5"/>
  <c r="BR2462" i="5"/>
  <c r="BR2450" i="5"/>
  <c r="BR2438" i="5"/>
  <c r="BY2438" i="5" s="1"/>
  <c r="CC2438" i="5" s="1"/>
  <c r="BR2426" i="5"/>
  <c r="BR2414" i="5"/>
  <c r="BR2402" i="5"/>
  <c r="BR2390" i="5"/>
  <c r="BR2378" i="5"/>
  <c r="BR2366" i="5"/>
  <c r="BR2354" i="5"/>
  <c r="BR2342" i="5"/>
  <c r="BR2330" i="5"/>
  <c r="BR2318" i="5"/>
  <c r="BR2306" i="5"/>
  <c r="BR2294" i="5"/>
  <c r="BR2282" i="5"/>
  <c r="BR2270" i="5"/>
  <c r="BR2258" i="5"/>
  <c r="BR2246" i="5"/>
  <c r="BR2234" i="5"/>
  <c r="BR2222" i="5"/>
  <c r="BR2210" i="5"/>
  <c r="BR2198" i="5"/>
  <c r="BR2186" i="5"/>
  <c r="BR2174" i="5"/>
  <c r="BR2162" i="5"/>
  <c r="BR2150" i="5"/>
  <c r="BR2138" i="5"/>
  <c r="BR2126" i="5"/>
  <c r="BR2114" i="5"/>
  <c r="BR2102" i="5"/>
  <c r="BR2090" i="5"/>
  <c r="BR2078" i="5"/>
  <c r="BR2066" i="5"/>
  <c r="BR2054" i="5"/>
  <c r="BR2042" i="5"/>
  <c r="BR2030" i="5"/>
  <c r="BR2018" i="5"/>
  <c r="BR2006" i="5"/>
  <c r="BR1994" i="5"/>
  <c r="BR1982" i="5"/>
  <c r="BR1970" i="5"/>
  <c r="BR1958" i="5"/>
  <c r="BR1946" i="5"/>
  <c r="BR1934" i="5"/>
  <c r="BR1922" i="5"/>
  <c r="BR1910" i="5"/>
  <c r="BR1898" i="5"/>
  <c r="BR1886" i="5"/>
  <c r="BR1874" i="5"/>
  <c r="BR1862" i="5"/>
  <c r="BR1850" i="5"/>
  <c r="BR1838" i="5"/>
  <c r="BR1826" i="5"/>
  <c r="BR1814" i="5"/>
  <c r="BR1802" i="5"/>
  <c r="BR1790" i="5"/>
  <c r="BR1778" i="5"/>
  <c r="BR1766" i="5"/>
  <c r="BR1754" i="5"/>
  <c r="BR1742" i="5"/>
  <c r="BR1730" i="5"/>
  <c r="BR1718" i="5"/>
  <c r="BR1706" i="5"/>
  <c r="BR1694" i="5"/>
  <c r="BR1682" i="5"/>
  <c r="BR1670" i="5"/>
  <c r="BR1658" i="5"/>
  <c r="BR1646" i="5"/>
  <c r="BR1634" i="5"/>
  <c r="BR1622" i="5"/>
  <c r="BR1610" i="5"/>
  <c r="BR1598" i="5"/>
  <c r="BR1586" i="5"/>
  <c r="BR1574" i="5"/>
  <c r="BR1562" i="5"/>
  <c r="BR1550" i="5"/>
  <c r="BR1538" i="5"/>
  <c r="BR1526" i="5"/>
  <c r="BR1514" i="5"/>
  <c r="BR1502" i="5"/>
  <c r="BR1490" i="5"/>
  <c r="BR1478" i="5"/>
  <c r="BR1466" i="5"/>
  <c r="BR1454" i="5"/>
  <c r="BR1442" i="5"/>
  <c r="BR1430" i="5"/>
  <c r="BR1418" i="5"/>
  <c r="BR1406" i="5"/>
  <c r="BR1394" i="5"/>
  <c r="BR1382" i="5"/>
  <c r="BR1370" i="5"/>
  <c r="BR1358" i="5"/>
  <c r="BR1346" i="5"/>
  <c r="BR1334" i="5"/>
  <c r="BR1322" i="5"/>
  <c r="BR1310" i="5"/>
  <c r="BR1298" i="5"/>
  <c r="BR1286" i="5"/>
  <c r="BR1274" i="5"/>
  <c r="BR1262" i="5"/>
  <c r="BR1250" i="5"/>
  <c r="BR1238" i="5"/>
  <c r="BR1226" i="5"/>
  <c r="BR1214" i="5"/>
  <c r="BR1202" i="5"/>
  <c r="BR1190" i="5"/>
  <c r="BR1178" i="5"/>
  <c r="BR1166" i="5"/>
  <c r="BR1154" i="5"/>
  <c r="BR1142" i="5"/>
  <c r="BR1130" i="5"/>
  <c r="BR1118" i="5"/>
  <c r="BR2737" i="5"/>
  <c r="BY2737" i="5" s="1"/>
  <c r="CC2737" i="5" s="1"/>
  <c r="BR2725" i="5"/>
  <c r="BY2725" i="5" s="1"/>
  <c r="CC2725" i="5" s="1"/>
  <c r="BR2713" i="5"/>
  <c r="BY2713" i="5" s="1"/>
  <c r="CC2713" i="5" s="1"/>
  <c r="BR2701" i="5"/>
  <c r="BY2701" i="5" s="1"/>
  <c r="CC2701" i="5" s="1"/>
  <c r="BR2689" i="5"/>
  <c r="BY2689" i="5" s="1"/>
  <c r="CC2689" i="5" s="1"/>
  <c r="BR2677" i="5"/>
  <c r="BY2677" i="5" s="1"/>
  <c r="CC2677" i="5" s="1"/>
  <c r="BR2665" i="5"/>
  <c r="BY2665" i="5" s="1"/>
  <c r="CC2665" i="5" s="1"/>
  <c r="BR2653" i="5"/>
  <c r="BY2653" i="5" s="1"/>
  <c r="CC2653" i="5" s="1"/>
  <c r="BR2641" i="5"/>
  <c r="BY2641" i="5" s="1"/>
  <c r="CC2641" i="5" s="1"/>
  <c r="BR2629" i="5"/>
  <c r="BY2629" i="5" s="1"/>
  <c r="CC2629" i="5" s="1"/>
  <c r="BR2617" i="5"/>
  <c r="BY2617" i="5" s="1"/>
  <c r="CC2617" i="5" s="1"/>
  <c r="BR2605" i="5"/>
  <c r="BY2605" i="5" s="1"/>
  <c r="CC2605" i="5" s="1"/>
  <c r="BR2593" i="5"/>
  <c r="BY2593" i="5" s="1"/>
  <c r="CC2593" i="5" s="1"/>
  <c r="BR2581" i="5"/>
  <c r="BY2581" i="5" s="1"/>
  <c r="CC2581" i="5" s="1"/>
  <c r="BR2569" i="5"/>
  <c r="BY2569" i="5" s="1"/>
  <c r="CC2569" i="5" s="1"/>
  <c r="BR2557" i="5"/>
  <c r="BY2557" i="5" s="1"/>
  <c r="CC2557" i="5" s="1"/>
  <c r="BR2545" i="5"/>
  <c r="BY2545" i="5" s="1"/>
  <c r="CC2545" i="5" s="1"/>
  <c r="BR2533" i="5"/>
  <c r="BY2533" i="5" s="1"/>
  <c r="CC2533" i="5" s="1"/>
  <c r="BR2521" i="5"/>
  <c r="BY2521" i="5" s="1"/>
  <c r="CC2521" i="5" s="1"/>
  <c r="BR2509" i="5"/>
  <c r="BY2509" i="5" s="1"/>
  <c r="CC2509" i="5" s="1"/>
  <c r="BR2497" i="5"/>
  <c r="BY2497" i="5" s="1"/>
  <c r="CC2497" i="5" s="1"/>
  <c r="BR2485" i="5"/>
  <c r="BR2473" i="5"/>
  <c r="BR2461" i="5"/>
  <c r="BR2449" i="5"/>
  <c r="BR2437" i="5"/>
  <c r="BR2425" i="5"/>
  <c r="BR2413" i="5"/>
  <c r="BR2401" i="5"/>
  <c r="BR2389" i="5"/>
  <c r="BR2377" i="5"/>
  <c r="BR2365" i="5"/>
  <c r="BR2353" i="5"/>
  <c r="BR2341" i="5"/>
  <c r="BR2329" i="5"/>
  <c r="BR2317" i="5"/>
  <c r="BR2305" i="5"/>
  <c r="BR2293" i="5"/>
  <c r="BR2281" i="5"/>
  <c r="BR2269" i="5"/>
  <c r="BR2257" i="5"/>
  <c r="BR2245" i="5"/>
  <c r="BR2233" i="5"/>
  <c r="BR2221" i="5"/>
  <c r="BR2209" i="5"/>
  <c r="BR2197" i="5"/>
  <c r="BR2185" i="5"/>
  <c r="BR2173" i="5"/>
  <c r="BR2161" i="5"/>
  <c r="BR2149" i="5"/>
  <c r="BR2137" i="5"/>
  <c r="BR2125" i="5"/>
  <c r="BR2113" i="5"/>
  <c r="BR2101" i="5"/>
  <c r="BR2089" i="5"/>
  <c r="BR2077" i="5"/>
  <c r="BR2065" i="5"/>
  <c r="BR2053" i="5"/>
  <c r="BR2041" i="5"/>
  <c r="BR2029" i="5"/>
  <c r="BR2017" i="5"/>
  <c r="BR2005" i="5"/>
  <c r="BR1993" i="5"/>
  <c r="BR1981" i="5"/>
  <c r="BR1969" i="5"/>
  <c r="BR1957" i="5"/>
  <c r="BR1945" i="5"/>
  <c r="BR1933" i="5"/>
  <c r="BR1921" i="5"/>
  <c r="BR1909" i="5"/>
  <c r="BR1897" i="5"/>
  <c r="BR1885" i="5"/>
  <c r="BR1873" i="5"/>
  <c r="BR1861" i="5"/>
  <c r="BR1849" i="5"/>
  <c r="BR1837" i="5"/>
  <c r="BR1825" i="5"/>
  <c r="BR1813" i="5"/>
  <c r="BR1801" i="5"/>
  <c r="BR1789" i="5"/>
  <c r="BR1777" i="5"/>
  <c r="BR1765" i="5"/>
  <c r="BR1753" i="5"/>
  <c r="BR1741" i="5"/>
  <c r="BR1729" i="5"/>
  <c r="BR1717" i="5"/>
  <c r="BR1705" i="5"/>
  <c r="BR1693" i="5"/>
  <c r="BR1681" i="5"/>
  <c r="BR1669" i="5"/>
  <c r="BR1657" i="5"/>
  <c r="BR1645" i="5"/>
  <c r="BR1633" i="5"/>
  <c r="BR1621" i="5"/>
  <c r="BR1609" i="5"/>
  <c r="BR1597" i="5"/>
  <c r="BR1585" i="5"/>
  <c r="BR1573" i="5"/>
  <c r="BR1561" i="5"/>
  <c r="BR1549" i="5"/>
  <c r="BR1537" i="5"/>
  <c r="BR1525" i="5"/>
  <c r="BR1513" i="5"/>
  <c r="BR1501" i="5"/>
  <c r="BR1489" i="5"/>
  <c r="BR1477" i="5"/>
  <c r="BR1465" i="5"/>
  <c r="BR1453" i="5"/>
  <c r="BR1441" i="5"/>
  <c r="BR1429" i="5"/>
  <c r="BR1417" i="5"/>
  <c r="BR1405" i="5"/>
  <c r="BR1393" i="5"/>
  <c r="BR1381" i="5"/>
  <c r="BR1369" i="5"/>
  <c r="BR1357" i="5"/>
  <c r="BR1345" i="5"/>
  <c r="BR1333" i="5"/>
  <c r="BR1321" i="5"/>
  <c r="BR1309" i="5"/>
  <c r="BR1297" i="5"/>
  <c r="BR1285" i="5"/>
  <c r="BR1273" i="5"/>
  <c r="BR1261" i="5"/>
  <c r="BR1249" i="5"/>
  <c r="BR1237" i="5"/>
  <c r="BR1225" i="5"/>
  <c r="BR1213" i="5"/>
  <c r="BR1201" i="5"/>
  <c r="BR1189" i="5"/>
  <c r="BR1177" i="5"/>
  <c r="BR1165" i="5"/>
  <c r="BR1153" i="5"/>
  <c r="BR1141" i="5"/>
  <c r="BR1129" i="5"/>
  <c r="BR1117" i="5"/>
  <c r="BR1105" i="5"/>
  <c r="BR1093" i="5"/>
  <c r="BR1081" i="5"/>
  <c r="BR1069" i="5"/>
  <c r="BR1057" i="5"/>
  <c r="BR2736" i="5"/>
  <c r="BR2724" i="5"/>
  <c r="BR2712" i="5"/>
  <c r="BR2700" i="5"/>
  <c r="BY2700" i="5" s="1"/>
  <c r="CC2700" i="5" s="1"/>
  <c r="BR2688" i="5"/>
  <c r="BY2688" i="5" s="1"/>
  <c r="CC2688" i="5" s="1"/>
  <c r="BR2676" i="5"/>
  <c r="BR2664" i="5"/>
  <c r="BY2664" i="5" s="1"/>
  <c r="CC2664" i="5" s="1"/>
  <c r="BR2652" i="5"/>
  <c r="BR2640" i="5"/>
  <c r="BY2640" i="5" s="1"/>
  <c r="CC2640" i="5" s="1"/>
  <c r="BR2628" i="5"/>
  <c r="BR2616" i="5"/>
  <c r="BR2604" i="5"/>
  <c r="BY2604" i="5" s="1"/>
  <c r="CC2604" i="5" s="1"/>
  <c r="BR2592" i="5"/>
  <c r="BY2592" i="5" s="1"/>
  <c r="CC2592" i="5" s="1"/>
  <c r="BR2580" i="5"/>
  <c r="BR2568" i="5"/>
  <c r="BR2556" i="5"/>
  <c r="BY2556" i="5" s="1"/>
  <c r="CC2556" i="5" s="1"/>
  <c r="BR2544" i="5"/>
  <c r="BY2544" i="5" s="1"/>
  <c r="CC2544" i="5" s="1"/>
  <c r="BR2532" i="5"/>
  <c r="BR2520" i="5"/>
  <c r="BY2520" i="5" s="1"/>
  <c r="CC2520" i="5" s="1"/>
  <c r="BR2508" i="5"/>
  <c r="BR2496" i="5"/>
  <c r="BY2496" i="5" s="1"/>
  <c r="CC2496" i="5" s="1"/>
  <c r="BR2484" i="5"/>
  <c r="BR2472" i="5"/>
  <c r="BR2460" i="5"/>
  <c r="BR2448" i="5"/>
  <c r="BR2436" i="5"/>
  <c r="BR2424" i="5"/>
  <c r="BR2412" i="5"/>
  <c r="BR2400" i="5"/>
  <c r="BR2388" i="5"/>
  <c r="BR2376" i="5"/>
  <c r="BR2364" i="5"/>
  <c r="BR2352" i="5"/>
  <c r="BR2340" i="5"/>
  <c r="BR2328" i="5"/>
  <c r="BR2316" i="5"/>
  <c r="BR2304" i="5"/>
  <c r="BR2292" i="5"/>
  <c r="BR2280" i="5"/>
  <c r="BR2268" i="5"/>
  <c r="BR2256" i="5"/>
  <c r="BR2244" i="5"/>
  <c r="BR2232" i="5"/>
  <c r="BR2220" i="5"/>
  <c r="BR2208" i="5"/>
  <c r="BR2196" i="5"/>
  <c r="BR2184" i="5"/>
  <c r="BR2172" i="5"/>
  <c r="BR2160" i="5"/>
  <c r="BR2148" i="5"/>
  <c r="BR2136" i="5"/>
  <c r="BR2124" i="5"/>
  <c r="BR2112" i="5"/>
  <c r="BR2100" i="5"/>
  <c r="BR2088" i="5"/>
  <c r="BR2076" i="5"/>
  <c r="BR2064" i="5"/>
  <c r="BR2052" i="5"/>
  <c r="BR2040" i="5"/>
  <c r="BR2028" i="5"/>
  <c r="BR2016" i="5"/>
  <c r="BR2004" i="5"/>
  <c r="BR1992" i="5"/>
  <c r="BR1980" i="5"/>
  <c r="BR1968" i="5"/>
  <c r="BR1956" i="5"/>
  <c r="BR1944" i="5"/>
  <c r="BR1932" i="5"/>
  <c r="BR1920" i="5"/>
  <c r="BR1908" i="5"/>
  <c r="BR1896" i="5"/>
  <c r="BR1884" i="5"/>
  <c r="BR1872" i="5"/>
  <c r="BR1860" i="5"/>
  <c r="BR1848" i="5"/>
  <c r="BR1836" i="5"/>
  <c r="BR1824" i="5"/>
  <c r="BR1812" i="5"/>
  <c r="BR1800" i="5"/>
  <c r="BR1788" i="5"/>
  <c r="BR1776" i="5"/>
  <c r="BR1764" i="5"/>
  <c r="BR1752" i="5"/>
  <c r="BR1740" i="5"/>
  <c r="BR1728" i="5"/>
  <c r="BR1716" i="5"/>
  <c r="BR1704" i="5"/>
  <c r="BR2735" i="5"/>
  <c r="BR2723" i="5"/>
  <c r="BY2723" i="5" s="1"/>
  <c r="CC2723" i="5" s="1"/>
  <c r="BR2711" i="5"/>
  <c r="BR2699" i="5"/>
  <c r="BR2687" i="5"/>
  <c r="BY2687" i="5" s="1"/>
  <c r="CC2687" i="5" s="1"/>
  <c r="BR2675" i="5"/>
  <c r="BY2675" i="5" s="1"/>
  <c r="CC2675" i="5" s="1"/>
  <c r="BR2663" i="5"/>
  <c r="BR2651" i="5"/>
  <c r="BR2639" i="5"/>
  <c r="BY2639" i="5" s="1"/>
  <c r="CC2639" i="5" s="1"/>
  <c r="BR2627" i="5"/>
  <c r="BR2615" i="5"/>
  <c r="BY2615" i="5" s="1"/>
  <c r="CC2615" i="5" s="1"/>
  <c r="BR2603" i="5"/>
  <c r="BY2603" i="5" s="1"/>
  <c r="CC2603" i="5" s="1"/>
  <c r="BR2591" i="5"/>
  <c r="BR2579" i="5"/>
  <c r="BY2579" i="5" s="1"/>
  <c r="CC2579" i="5" s="1"/>
  <c r="BR2567" i="5"/>
  <c r="BY2567" i="5" s="1"/>
  <c r="CC2567" i="5" s="1"/>
  <c r="BR2555" i="5"/>
  <c r="BR2543" i="5"/>
  <c r="BY2543" i="5" s="1"/>
  <c r="CC2543" i="5" s="1"/>
  <c r="BR2531" i="5"/>
  <c r="BR2519" i="5"/>
  <c r="BR2507" i="5"/>
  <c r="BR2495" i="5"/>
  <c r="BY2495" i="5" s="1"/>
  <c r="CC2495" i="5" s="1"/>
  <c r="BR2483" i="5"/>
  <c r="BR2471" i="5"/>
  <c r="BR2459" i="5"/>
  <c r="BR2447" i="5"/>
  <c r="BR2435" i="5"/>
  <c r="BR2423" i="5"/>
  <c r="BR2411" i="5"/>
  <c r="BR2399" i="5"/>
  <c r="BR2387" i="5"/>
  <c r="BR2375" i="5"/>
  <c r="BR2363" i="5"/>
  <c r="BR2351" i="5"/>
  <c r="BR2339" i="5"/>
  <c r="BR2327" i="5"/>
  <c r="BR2315" i="5"/>
  <c r="BR2303" i="5"/>
  <c r="BR2291" i="5"/>
  <c r="BR2279" i="5"/>
  <c r="BR2267" i="5"/>
  <c r="BR2255" i="5"/>
  <c r="BR2243" i="5"/>
  <c r="BR2231" i="5"/>
  <c r="BR2219" i="5"/>
  <c r="BR2207" i="5"/>
  <c r="BR2195" i="5"/>
  <c r="BR2183" i="5"/>
  <c r="BR2171" i="5"/>
  <c r="BR2159" i="5"/>
  <c r="BR2147" i="5"/>
  <c r="BR2135" i="5"/>
  <c r="BR2123" i="5"/>
  <c r="BR2111" i="5"/>
  <c r="BR2099" i="5"/>
  <c r="BR2087" i="5"/>
  <c r="BR2075" i="5"/>
  <c r="BR2063" i="5"/>
  <c r="BR2051" i="5"/>
  <c r="BR2039" i="5"/>
  <c r="BR2027" i="5"/>
  <c r="BR2015" i="5"/>
  <c r="BR2003" i="5"/>
  <c r="BR1991" i="5"/>
  <c r="BR1979" i="5"/>
  <c r="BR1967" i="5"/>
  <c r="BR1955" i="5"/>
  <c r="BR1943" i="5"/>
  <c r="BR1931" i="5"/>
  <c r="BR1919" i="5"/>
  <c r="BR1907" i="5"/>
  <c r="BR1895" i="5"/>
  <c r="BR1883" i="5"/>
  <c r="BR1871" i="5"/>
  <c r="BR1859" i="5"/>
  <c r="BR1847" i="5"/>
  <c r="BR1835" i="5"/>
  <c r="BR1823" i="5"/>
  <c r="BR1811" i="5"/>
  <c r="BR1799" i="5"/>
  <c r="BR1787" i="5"/>
  <c r="BR1775" i="5"/>
  <c r="BR1763" i="5"/>
  <c r="BR1751" i="5"/>
  <c r="BR1739" i="5"/>
  <c r="BR1727" i="5"/>
  <c r="BR1715" i="5"/>
  <c r="BR1703" i="5"/>
  <c r="BR1691" i="5"/>
  <c r="BR1679" i="5"/>
  <c r="BR1667" i="5"/>
  <c r="BR1655" i="5"/>
  <c r="BR1643" i="5"/>
  <c r="BR1631" i="5"/>
  <c r="BR1619" i="5"/>
  <c r="BR1607" i="5"/>
  <c r="BR1595" i="5"/>
  <c r="BR1583" i="5"/>
  <c r="BR1571" i="5"/>
  <c r="BR1559" i="5"/>
  <c r="BR1547" i="5"/>
  <c r="BR1535" i="5"/>
  <c r="BR1523" i="5"/>
  <c r="BR1511" i="5"/>
  <c r="BR1499" i="5"/>
  <c r="BR1487" i="5"/>
  <c r="BR1475" i="5"/>
  <c r="BR1463" i="5"/>
  <c r="BR1451" i="5"/>
  <c r="BR1439" i="5"/>
  <c r="BR1427" i="5"/>
  <c r="BR1415" i="5"/>
  <c r="BR1403" i="5"/>
  <c r="BR1391" i="5"/>
  <c r="BR1379" i="5"/>
  <c r="BR1367" i="5"/>
  <c r="BR1355" i="5"/>
  <c r="BR1343" i="5"/>
  <c r="BR1331" i="5"/>
  <c r="BR1319" i="5"/>
  <c r="BR1307" i="5"/>
  <c r="BR1295" i="5"/>
  <c r="BR1283" i="5"/>
  <c r="BR1271" i="5"/>
  <c r="BR1259" i="5"/>
  <c r="BR1247" i="5"/>
  <c r="BR1235" i="5"/>
  <c r="BR1223" i="5"/>
  <c r="BR1211" i="5"/>
  <c r="BR1199" i="5"/>
  <c r="BR1187" i="5"/>
  <c r="BR1175" i="5"/>
  <c r="BR1163" i="5"/>
  <c r="BR1151" i="5"/>
  <c r="BR1139" i="5"/>
  <c r="BR1127" i="5"/>
  <c r="BR1115" i="5"/>
  <c r="BR1103" i="5"/>
  <c r="BR1091" i="5"/>
  <c r="BR1079" i="5"/>
  <c r="BR1067" i="5"/>
  <c r="BR1055" i="5"/>
  <c r="BR1692" i="5"/>
  <c r="BR1680" i="5"/>
  <c r="BR1668" i="5"/>
  <c r="BR1656" i="5"/>
  <c r="BR1644" i="5"/>
  <c r="BR1632" i="5"/>
  <c r="BR1620" i="5"/>
  <c r="BR1608" i="5"/>
  <c r="BR1596" i="5"/>
  <c r="BR1584" i="5"/>
  <c r="BR1572" i="5"/>
  <c r="BR1560" i="5"/>
  <c r="BR1548" i="5"/>
  <c r="BR1536" i="5"/>
  <c r="BR1524" i="5"/>
  <c r="BR1512" i="5"/>
  <c r="BR1500" i="5"/>
  <c r="BR1488" i="5"/>
  <c r="BR1476" i="5"/>
  <c r="BR1464" i="5"/>
  <c r="BR1452" i="5"/>
  <c r="BR1440" i="5"/>
  <c r="BR1428" i="5"/>
  <c r="BR1416" i="5"/>
  <c r="BR1404" i="5"/>
  <c r="BR1392" i="5"/>
  <c r="BR1380" i="5"/>
  <c r="BR1368" i="5"/>
  <c r="BR1356" i="5"/>
  <c r="BR1344" i="5"/>
  <c r="BR1332" i="5"/>
  <c r="BR1320" i="5"/>
  <c r="BR1308" i="5"/>
  <c r="BR1296" i="5"/>
  <c r="BR1284" i="5"/>
  <c r="BR1272" i="5"/>
  <c r="BR1260" i="5"/>
  <c r="BR1248" i="5"/>
  <c r="BR1236" i="5"/>
  <c r="BR1224" i="5"/>
  <c r="BR1212" i="5"/>
  <c r="BR1200" i="5"/>
  <c r="BR1188" i="5"/>
  <c r="BR1176" i="5"/>
  <c r="BR1164" i="5"/>
  <c r="BR1152" i="5"/>
  <c r="BR1140" i="5"/>
  <c r="BR1128" i="5"/>
  <c r="BR1116" i="5"/>
  <c r="BR1104" i="5"/>
  <c r="BR1092" i="5"/>
  <c r="BR1080" i="5"/>
  <c r="BR1068" i="5"/>
  <c r="BR1056" i="5"/>
  <c r="BR1044" i="5"/>
  <c r="BR1032" i="5"/>
  <c r="BR1020" i="5"/>
  <c r="BR1008" i="5"/>
  <c r="BR996" i="5"/>
  <c r="BR984" i="5"/>
  <c r="BR972" i="5"/>
  <c r="BR960" i="5"/>
  <c r="BR948" i="5"/>
  <c r="BR936" i="5"/>
  <c r="BR924" i="5"/>
  <c r="BR912" i="5"/>
  <c r="BR900" i="5"/>
  <c r="BR888" i="5"/>
  <c r="BR876" i="5"/>
  <c r="BR864" i="5"/>
  <c r="BR852" i="5"/>
  <c r="BR840" i="5"/>
  <c r="BR828" i="5"/>
  <c r="BR816" i="5"/>
  <c r="BR804" i="5"/>
  <c r="BR792" i="5"/>
  <c r="BR780" i="5"/>
  <c r="BR768" i="5"/>
  <c r="BR756" i="5"/>
  <c r="BR744" i="5"/>
  <c r="BR732" i="5"/>
  <c r="BR720" i="5"/>
  <c r="BR708" i="5"/>
  <c r="BR696" i="5"/>
  <c r="BR684" i="5"/>
  <c r="BR672" i="5"/>
  <c r="BR660" i="5"/>
  <c r="BR648" i="5"/>
  <c r="BR636" i="5"/>
  <c r="BR624" i="5"/>
  <c r="BR612" i="5"/>
  <c r="BR600" i="5"/>
  <c r="BR588" i="5"/>
  <c r="BR576" i="5"/>
  <c r="BR564" i="5"/>
  <c r="BR552" i="5"/>
  <c r="BR540" i="5"/>
  <c r="BR528" i="5"/>
  <c r="BR516" i="5"/>
  <c r="BR504" i="5"/>
  <c r="BR492" i="5"/>
  <c r="BR480" i="5"/>
  <c r="BR468" i="5"/>
  <c r="BR456" i="5"/>
  <c r="BR444" i="5"/>
  <c r="BR432" i="5"/>
  <c r="BR420" i="5"/>
  <c r="BR408" i="5"/>
  <c r="BR396" i="5"/>
  <c r="BR384" i="5"/>
  <c r="BR372" i="5"/>
  <c r="BR360" i="5"/>
  <c r="BR348" i="5"/>
  <c r="BR336" i="5"/>
  <c r="BR324" i="5"/>
  <c r="BR312" i="5"/>
  <c r="BR300" i="5"/>
  <c r="BR288" i="5"/>
  <c r="BR276" i="5"/>
  <c r="BR264" i="5"/>
  <c r="BR252" i="5"/>
  <c r="BR240" i="5"/>
  <c r="BR228" i="5"/>
  <c r="BR216" i="5"/>
  <c r="BR204" i="5"/>
  <c r="BR192" i="5"/>
  <c r="BR180" i="5"/>
  <c r="BR168" i="5"/>
  <c r="BR156" i="5"/>
  <c r="BR144" i="5"/>
  <c r="BR132" i="5"/>
  <c r="BR120" i="5"/>
  <c r="BR108" i="5"/>
  <c r="BR96" i="5"/>
  <c r="BR84" i="5"/>
  <c r="BR72" i="5"/>
  <c r="BR60" i="5"/>
  <c r="BR48" i="5"/>
  <c r="BR36" i="5"/>
  <c r="BR24" i="5"/>
  <c r="BR12" i="5"/>
  <c r="BR2734" i="5"/>
  <c r="BR2722" i="5"/>
  <c r="BR2710" i="5"/>
  <c r="BR2698" i="5"/>
  <c r="BR2686" i="5"/>
  <c r="BR2674" i="5"/>
  <c r="BR2662" i="5"/>
  <c r="BY2662" i="5" s="1"/>
  <c r="CC2662" i="5" s="1"/>
  <c r="BR2650" i="5"/>
  <c r="BR2638" i="5"/>
  <c r="BR2626" i="5"/>
  <c r="BY2626" i="5" s="1"/>
  <c r="CC2626" i="5" s="1"/>
  <c r="BR2614" i="5"/>
  <c r="BR2602" i="5"/>
  <c r="BY2602" i="5" s="1"/>
  <c r="CC2602" i="5" s="1"/>
  <c r="BR2590" i="5"/>
  <c r="BR2578" i="5"/>
  <c r="BR2566" i="5"/>
  <c r="BY2566" i="5" s="1"/>
  <c r="CC2566" i="5" s="1"/>
  <c r="BR2554" i="5"/>
  <c r="BY2554" i="5" s="1"/>
  <c r="CC2554" i="5" s="1"/>
  <c r="BR2542" i="5"/>
  <c r="BR2530" i="5"/>
  <c r="BR2518" i="5"/>
  <c r="BY2518" i="5" s="1"/>
  <c r="CC2518" i="5" s="1"/>
  <c r="BR2506" i="5"/>
  <c r="BR2494" i="5"/>
  <c r="BR2482" i="5"/>
  <c r="BR2470" i="5"/>
  <c r="BR2458" i="5"/>
  <c r="BR2446" i="5"/>
  <c r="BR2434" i="5"/>
  <c r="BR2422" i="5"/>
  <c r="BR2410" i="5"/>
  <c r="BR2398" i="5"/>
  <c r="BR2386" i="5"/>
  <c r="BR2374" i="5"/>
  <c r="BR2362" i="5"/>
  <c r="BR2350" i="5"/>
  <c r="BR2338" i="5"/>
  <c r="BR2326" i="5"/>
  <c r="BR2314" i="5"/>
  <c r="BR2302" i="5"/>
  <c r="BR2290" i="5"/>
  <c r="BR2278" i="5"/>
  <c r="BR2266" i="5"/>
  <c r="BR2254" i="5"/>
  <c r="BR2242" i="5"/>
  <c r="BR2230" i="5"/>
  <c r="BR2218" i="5"/>
  <c r="BR2206" i="5"/>
  <c r="BR2194" i="5"/>
  <c r="BR2182" i="5"/>
  <c r="BR2170" i="5"/>
  <c r="BR2158" i="5"/>
  <c r="BR2146" i="5"/>
  <c r="BR2134" i="5"/>
  <c r="BR2122" i="5"/>
  <c r="BR2110" i="5"/>
  <c r="BR2098" i="5"/>
  <c r="BR2086" i="5"/>
  <c r="BR2074" i="5"/>
  <c r="BR2062" i="5"/>
  <c r="BR2050" i="5"/>
  <c r="BR2038" i="5"/>
  <c r="BR2026" i="5"/>
  <c r="BR2014" i="5"/>
  <c r="BR2002" i="5"/>
  <c r="BR1990" i="5"/>
  <c r="BR1978" i="5"/>
  <c r="BR1966" i="5"/>
  <c r="BR1954" i="5"/>
  <c r="BR1942" i="5"/>
  <c r="BR1930" i="5"/>
  <c r="BR1918" i="5"/>
  <c r="BR1906" i="5"/>
  <c r="BR1894" i="5"/>
  <c r="BR1882" i="5"/>
  <c r="BR1870" i="5"/>
  <c r="BR1858" i="5"/>
  <c r="BR1846" i="5"/>
  <c r="BR1834" i="5"/>
  <c r="BR1822" i="5"/>
  <c r="BR1810" i="5"/>
  <c r="BR1798" i="5"/>
  <c r="BR1786" i="5"/>
  <c r="BR1774" i="5"/>
  <c r="BR1762" i="5"/>
  <c r="BR1750" i="5"/>
  <c r="BR1738" i="5"/>
  <c r="BR1726" i="5"/>
  <c r="BR1714" i="5"/>
  <c r="BR1702" i="5"/>
  <c r="BR1690" i="5"/>
  <c r="BR1678" i="5"/>
  <c r="BR1666" i="5"/>
  <c r="BR1654" i="5"/>
  <c r="BR1642" i="5"/>
  <c r="BR1630" i="5"/>
  <c r="BR1618" i="5"/>
  <c r="BR1606" i="5"/>
  <c r="BR1594" i="5"/>
  <c r="BR1582" i="5"/>
  <c r="BR1570" i="5"/>
  <c r="BR1558" i="5"/>
  <c r="BR1546" i="5"/>
  <c r="BR1534" i="5"/>
  <c r="BR1522" i="5"/>
  <c r="BR1510" i="5"/>
  <c r="BR1498" i="5"/>
  <c r="BR1486" i="5"/>
  <c r="BR1474" i="5"/>
  <c r="BR1462" i="5"/>
  <c r="BR1450" i="5"/>
  <c r="BR1438" i="5"/>
  <c r="BR1426" i="5"/>
  <c r="BR1414" i="5"/>
  <c r="BR1402" i="5"/>
  <c r="BR1390" i="5"/>
  <c r="BR1378" i="5"/>
  <c r="BR1366" i="5"/>
  <c r="BR1354" i="5"/>
  <c r="BR1342" i="5"/>
  <c r="BR1330" i="5"/>
  <c r="BR1318" i="5"/>
  <c r="BR1306" i="5"/>
  <c r="BR1294" i="5"/>
  <c r="BR1282" i="5"/>
  <c r="BR1270" i="5"/>
  <c r="BR1258" i="5"/>
  <c r="BR1246" i="5"/>
  <c r="BR1234" i="5"/>
  <c r="BR1222" i="5"/>
  <c r="BR1210" i="5"/>
  <c r="BR1198" i="5"/>
  <c r="BR1186" i="5"/>
  <c r="BR1174" i="5"/>
  <c r="BR1162" i="5"/>
  <c r="BR1150" i="5"/>
  <c r="BR1138" i="5"/>
  <c r="BR1126" i="5"/>
  <c r="BR1114" i="5"/>
  <c r="BR1102" i="5"/>
  <c r="BR1090" i="5"/>
  <c r="BR1078" i="5"/>
  <c r="BR1066" i="5"/>
  <c r="BR1054" i="5"/>
  <c r="BR1042" i="5"/>
  <c r="BR1030" i="5"/>
  <c r="BR1018" i="5"/>
  <c r="BR1006" i="5"/>
  <c r="BR994" i="5"/>
  <c r="BR982" i="5"/>
  <c r="BR970" i="5"/>
  <c r="BR958" i="5"/>
  <c r="BR946" i="5"/>
  <c r="BR934" i="5"/>
  <c r="BR922" i="5"/>
  <c r="BR910" i="5"/>
  <c r="BR898" i="5"/>
  <c r="BR886" i="5"/>
  <c r="BR874" i="5"/>
  <c r="BR862" i="5"/>
  <c r="BR850" i="5"/>
  <c r="BR2733" i="5"/>
  <c r="BY2733" i="5" s="1"/>
  <c r="CC2733" i="5" s="1"/>
  <c r="BR2721" i="5"/>
  <c r="BY2721" i="5" s="1"/>
  <c r="CC2721" i="5" s="1"/>
  <c r="BR2709" i="5"/>
  <c r="BY2709" i="5" s="1"/>
  <c r="CC2709" i="5" s="1"/>
  <c r="BR2697" i="5"/>
  <c r="BY2697" i="5" s="1"/>
  <c r="CC2697" i="5" s="1"/>
  <c r="BR2685" i="5"/>
  <c r="BY2685" i="5" s="1"/>
  <c r="CC2685" i="5" s="1"/>
  <c r="BR2673" i="5"/>
  <c r="BY2673" i="5" s="1"/>
  <c r="CC2673" i="5" s="1"/>
  <c r="BR2661" i="5"/>
  <c r="BR2649" i="5"/>
  <c r="BY2649" i="5" s="1"/>
  <c r="CC2649" i="5" s="1"/>
  <c r="BR2637" i="5"/>
  <c r="BY2637" i="5" s="1"/>
  <c r="CC2637" i="5" s="1"/>
  <c r="BR2625" i="5"/>
  <c r="BY2625" i="5" s="1"/>
  <c r="CC2625" i="5" s="1"/>
  <c r="BR2613" i="5"/>
  <c r="BR2601" i="5"/>
  <c r="BR2589" i="5"/>
  <c r="BY2589" i="5" s="1"/>
  <c r="CC2589" i="5" s="1"/>
  <c r="BR2577" i="5"/>
  <c r="BY2577" i="5" s="1"/>
  <c r="CC2577" i="5" s="1"/>
  <c r="BR2565" i="5"/>
  <c r="BY2565" i="5" s="1"/>
  <c r="CC2565" i="5" s="1"/>
  <c r="BR2553" i="5"/>
  <c r="BY2553" i="5" s="1"/>
  <c r="CC2553" i="5" s="1"/>
  <c r="BR2541" i="5"/>
  <c r="BY2541" i="5" s="1"/>
  <c r="CC2541" i="5" s="1"/>
  <c r="BR2529" i="5"/>
  <c r="BR2517" i="5"/>
  <c r="BR2505" i="5"/>
  <c r="BY2505" i="5" s="1"/>
  <c r="CC2505" i="5" s="1"/>
  <c r="BR2493" i="5"/>
  <c r="BY2493" i="5" s="1"/>
  <c r="CC2493" i="5" s="1"/>
  <c r="BR2481" i="5"/>
  <c r="BY2481" i="5" s="1"/>
  <c r="CC2481" i="5" s="1"/>
  <c r="BR2469" i="5"/>
  <c r="BR2457" i="5"/>
  <c r="BR2445" i="5"/>
  <c r="BR2433" i="5"/>
  <c r="BR2421" i="5"/>
  <c r="BR2409" i="5"/>
  <c r="BR2397" i="5"/>
  <c r="BR2385" i="5"/>
  <c r="BR2373" i="5"/>
  <c r="BR2361" i="5"/>
  <c r="BR2349" i="5"/>
  <c r="BR2337" i="5"/>
  <c r="BR2325" i="5"/>
  <c r="BR2313" i="5"/>
  <c r="BR2301" i="5"/>
  <c r="BR2289" i="5"/>
  <c r="BR2277" i="5"/>
  <c r="BR2265" i="5"/>
  <c r="BR2253" i="5"/>
  <c r="BR2241" i="5"/>
  <c r="BR2229" i="5"/>
  <c r="BR2217" i="5"/>
  <c r="BR2205" i="5"/>
  <c r="BR2193" i="5"/>
  <c r="BR2181" i="5"/>
  <c r="BR2169" i="5"/>
  <c r="BR2157" i="5"/>
  <c r="BR2145" i="5"/>
  <c r="BR2133" i="5"/>
  <c r="BR2121" i="5"/>
  <c r="BR2109" i="5"/>
  <c r="BR2097" i="5"/>
  <c r="BR2085" i="5"/>
  <c r="BR2073" i="5"/>
  <c r="BR2061" i="5"/>
  <c r="BR2049" i="5"/>
  <c r="BR2037" i="5"/>
  <c r="BR2025" i="5"/>
  <c r="BR2013" i="5"/>
  <c r="BR2001" i="5"/>
  <c r="BR1989" i="5"/>
  <c r="BR1977" i="5"/>
  <c r="BR1965" i="5"/>
  <c r="BR1953" i="5"/>
  <c r="BR1941" i="5"/>
  <c r="BR1929" i="5"/>
  <c r="BR1917" i="5"/>
  <c r="BR1905" i="5"/>
  <c r="BR1893" i="5"/>
  <c r="BR1881" i="5"/>
  <c r="BR1869" i="5"/>
  <c r="BR1857" i="5"/>
  <c r="BR1845" i="5"/>
  <c r="BR1833" i="5"/>
  <c r="BR1821" i="5"/>
  <c r="BR1809" i="5"/>
  <c r="BR1797" i="5"/>
  <c r="BR1785" i="5"/>
  <c r="BR1773" i="5"/>
  <c r="BR1761" i="5"/>
  <c r="BR1749" i="5"/>
  <c r="BR1737" i="5"/>
  <c r="BR1725" i="5"/>
  <c r="BR1713" i="5"/>
  <c r="BR1701" i="5"/>
  <c r="BR1689" i="5"/>
  <c r="BR1677" i="5"/>
  <c r="BR1665" i="5"/>
  <c r="BR1653" i="5"/>
  <c r="BR1641" i="5"/>
  <c r="BR1629" i="5"/>
  <c r="BR1617" i="5"/>
  <c r="BR1605" i="5"/>
  <c r="BR1593" i="5"/>
  <c r="BR1581" i="5"/>
  <c r="BR1569" i="5"/>
  <c r="BR1557" i="5"/>
  <c r="BR1545" i="5"/>
  <c r="BR1533" i="5"/>
  <c r="BR1521" i="5"/>
  <c r="BR1509" i="5"/>
  <c r="BR1497" i="5"/>
  <c r="BR1485" i="5"/>
  <c r="BR1473" i="5"/>
  <c r="BR1461" i="5"/>
  <c r="BR1449" i="5"/>
  <c r="BR1437" i="5"/>
  <c r="BR1425" i="5"/>
  <c r="BR1413" i="5"/>
  <c r="BR1401" i="5"/>
  <c r="BR1389" i="5"/>
  <c r="BR1377" i="5"/>
  <c r="BR1365" i="5"/>
  <c r="BR1353" i="5"/>
  <c r="BR1341" i="5"/>
  <c r="BR1329" i="5"/>
  <c r="BR1317" i="5"/>
  <c r="BR1305" i="5"/>
  <c r="BR1293" i="5"/>
  <c r="BR1281" i="5"/>
  <c r="BR1269" i="5"/>
  <c r="BR1257" i="5"/>
  <c r="BR1245" i="5"/>
  <c r="BR1233" i="5"/>
  <c r="BR1221" i="5"/>
  <c r="BR1209" i="5"/>
  <c r="BR1197" i="5"/>
  <c r="BR1185" i="5"/>
  <c r="BR1173" i="5"/>
  <c r="BR1161" i="5"/>
  <c r="BR1149" i="5"/>
  <c r="BR1137" i="5"/>
  <c r="BR1125" i="5"/>
  <c r="BR1113" i="5"/>
  <c r="BR1101" i="5"/>
  <c r="BR1089" i="5"/>
  <c r="BR1077" i="5"/>
  <c r="BR1065" i="5"/>
  <c r="BR1053" i="5"/>
  <c r="BR2732" i="5"/>
  <c r="BY2732" i="5" s="1"/>
  <c r="CC2732" i="5" s="1"/>
  <c r="BR2720" i="5"/>
  <c r="BY2720" i="5" s="1"/>
  <c r="CC2720" i="5" s="1"/>
  <c r="BR2708" i="5"/>
  <c r="BY2708" i="5" s="1"/>
  <c r="CC2708" i="5" s="1"/>
  <c r="BR2696" i="5"/>
  <c r="BY2696" i="5" s="1"/>
  <c r="CC2696" i="5" s="1"/>
  <c r="BR2684" i="5"/>
  <c r="BR2672" i="5"/>
  <c r="BY2672" i="5" s="1"/>
  <c r="CC2672" i="5" s="1"/>
  <c r="BR2660" i="5"/>
  <c r="BR2648" i="5"/>
  <c r="BY2648" i="5" s="1"/>
  <c r="CC2648" i="5" s="1"/>
  <c r="BR2636" i="5"/>
  <c r="BR2624" i="5"/>
  <c r="BY2624" i="5" s="1"/>
  <c r="CC2624" i="5" s="1"/>
  <c r="BR2612" i="5"/>
  <c r="BR2600" i="5"/>
  <c r="BY2600" i="5" s="1"/>
  <c r="CC2600" i="5" s="1"/>
  <c r="BR2588" i="5"/>
  <c r="BY2588" i="5" s="1"/>
  <c r="CC2588" i="5" s="1"/>
  <c r="BR2576" i="5"/>
  <c r="BY2576" i="5" s="1"/>
  <c r="CC2576" i="5" s="1"/>
  <c r="BR2564" i="5"/>
  <c r="BY2564" i="5" s="1"/>
  <c r="CC2564" i="5" s="1"/>
  <c r="BR2552" i="5"/>
  <c r="BY2552" i="5" s="1"/>
  <c r="CC2552" i="5" s="1"/>
  <c r="BR2540" i="5"/>
  <c r="BY2540" i="5" s="1"/>
  <c r="CC2540" i="5" s="1"/>
  <c r="BR2528" i="5"/>
  <c r="BY2528" i="5" s="1"/>
  <c r="CC2528" i="5" s="1"/>
  <c r="BR2516" i="5"/>
  <c r="BY2516" i="5" s="1"/>
  <c r="CC2516" i="5" s="1"/>
  <c r="BR2504" i="5"/>
  <c r="BY2504" i="5" s="1"/>
  <c r="CC2504" i="5" s="1"/>
  <c r="BR2492" i="5"/>
  <c r="BY2492" i="5" s="1"/>
  <c r="CC2492" i="5" s="1"/>
  <c r="BR2480" i="5"/>
  <c r="BR2468" i="5"/>
  <c r="BR2456" i="5"/>
  <c r="BR2444" i="5"/>
  <c r="BR2432" i="5"/>
  <c r="BR2420" i="5"/>
  <c r="BR2408" i="5"/>
  <c r="BR2396" i="5"/>
  <c r="BR2384" i="5"/>
  <c r="BR2372" i="5"/>
  <c r="BR2360" i="5"/>
  <c r="BR2348" i="5"/>
  <c r="BR2336" i="5"/>
  <c r="BR2324" i="5"/>
  <c r="BR2312" i="5"/>
  <c r="BR2300" i="5"/>
  <c r="BR2288" i="5"/>
  <c r="BR2276" i="5"/>
  <c r="BR2264" i="5"/>
  <c r="BR2252" i="5"/>
  <c r="BR2240" i="5"/>
  <c r="BR2228" i="5"/>
  <c r="BR2216" i="5"/>
  <c r="BR2204" i="5"/>
  <c r="BR2192" i="5"/>
  <c r="BR2180" i="5"/>
  <c r="BR2168" i="5"/>
  <c r="BR2156" i="5"/>
  <c r="BR2144" i="5"/>
  <c r="BR2132" i="5"/>
  <c r="BR2120" i="5"/>
  <c r="BR2108" i="5"/>
  <c r="BR2096" i="5"/>
  <c r="BR2084" i="5"/>
  <c r="BR2072" i="5"/>
  <c r="BR2060" i="5"/>
  <c r="BR2048" i="5"/>
  <c r="BR2036" i="5"/>
  <c r="BR2024" i="5"/>
  <c r="BR2012" i="5"/>
  <c r="BR2000" i="5"/>
  <c r="BR1988" i="5"/>
  <c r="BR1976" i="5"/>
  <c r="BR1964" i="5"/>
  <c r="BR1952" i="5"/>
  <c r="BR1940" i="5"/>
  <c r="BR1928" i="5"/>
  <c r="BR1916" i="5"/>
  <c r="BR1904" i="5"/>
  <c r="BR1892" i="5"/>
  <c r="BR1880" i="5"/>
  <c r="BR1868" i="5"/>
  <c r="BR1856" i="5"/>
  <c r="BR1844" i="5"/>
  <c r="BR1832" i="5"/>
  <c r="BR1820" i="5"/>
  <c r="BR1808" i="5"/>
  <c r="BR1796" i="5"/>
  <c r="BR1784" i="5"/>
  <c r="BR1772" i="5"/>
  <c r="BR1760" i="5"/>
  <c r="BR1748" i="5"/>
  <c r="BR1736" i="5"/>
  <c r="BR1724" i="5"/>
  <c r="BR1712" i="5"/>
  <c r="BR1700" i="5"/>
  <c r="BR1688" i="5"/>
  <c r="BR1676" i="5"/>
  <c r="BR1664" i="5"/>
  <c r="BR1652" i="5"/>
  <c r="BR1640" i="5"/>
  <c r="BR1628" i="5"/>
  <c r="BR1616" i="5"/>
  <c r="BR1604" i="5"/>
  <c r="BR1592" i="5"/>
  <c r="BR1580" i="5"/>
  <c r="BR1568" i="5"/>
  <c r="BR1556" i="5"/>
  <c r="BR1544" i="5"/>
  <c r="BR1532" i="5"/>
  <c r="BR1520" i="5"/>
  <c r="BR1508" i="5"/>
  <c r="BR1496" i="5"/>
  <c r="BR1484" i="5"/>
  <c r="BR1472" i="5"/>
  <c r="BR1460" i="5"/>
  <c r="BR1448" i="5"/>
  <c r="BR1436" i="5"/>
  <c r="BR1424" i="5"/>
  <c r="BR1412" i="5"/>
  <c r="BR1400" i="5"/>
  <c r="BR1388" i="5"/>
  <c r="BR1376" i="5"/>
  <c r="BR1364" i="5"/>
  <c r="BR1352" i="5"/>
  <c r="BR1340" i="5"/>
  <c r="BR1328" i="5"/>
  <c r="BR1316" i="5"/>
  <c r="BR1304" i="5"/>
  <c r="BR1292" i="5"/>
  <c r="BR1280" i="5"/>
  <c r="BR1268" i="5"/>
  <c r="BR1256" i="5"/>
  <c r="BR1244" i="5"/>
  <c r="BR1232" i="5"/>
  <c r="BR1220" i="5"/>
  <c r="BR1208" i="5"/>
  <c r="BR1196" i="5"/>
  <c r="BR1184" i="5"/>
  <c r="BR1172" i="5"/>
  <c r="BR1160" i="5"/>
  <c r="BR1148" i="5"/>
  <c r="BR1136" i="5"/>
  <c r="BR1124" i="5"/>
  <c r="BR1112" i="5"/>
  <c r="BR1100" i="5"/>
  <c r="BR1088" i="5"/>
  <c r="BR1076" i="5"/>
  <c r="BR1064" i="5"/>
  <c r="BR1052" i="5"/>
  <c r="BR2731" i="5"/>
  <c r="BY2731" i="5" s="1"/>
  <c r="CC2731" i="5" s="1"/>
  <c r="BR2719" i="5"/>
  <c r="BY2719" i="5" s="1"/>
  <c r="CC2719" i="5" s="1"/>
  <c r="BR2707" i="5"/>
  <c r="BR2695" i="5"/>
  <c r="BY2695" i="5" s="1"/>
  <c r="CC2695" i="5" s="1"/>
  <c r="BR2683" i="5"/>
  <c r="BR2671" i="5"/>
  <c r="BY2671" i="5" s="1"/>
  <c r="CC2671" i="5" s="1"/>
  <c r="BR2659" i="5"/>
  <c r="BR2647" i="5"/>
  <c r="BR2635" i="5"/>
  <c r="BY2635" i="5" s="1"/>
  <c r="CC2635" i="5" s="1"/>
  <c r="BR2623" i="5"/>
  <c r="BY2623" i="5" s="1"/>
  <c r="CC2623" i="5" s="1"/>
  <c r="BR2611" i="5"/>
  <c r="BY2611" i="5" s="1"/>
  <c r="CC2611" i="5" s="1"/>
  <c r="BR2599" i="5"/>
  <c r="BY2599" i="5" s="1"/>
  <c r="CC2599" i="5" s="1"/>
  <c r="BR2587" i="5"/>
  <c r="BY2587" i="5" s="1"/>
  <c r="CC2587" i="5" s="1"/>
  <c r="BR2575" i="5"/>
  <c r="BY2575" i="5" s="1"/>
  <c r="CC2575" i="5" s="1"/>
  <c r="BR2563" i="5"/>
  <c r="BR2551" i="5"/>
  <c r="BY2551" i="5" s="1"/>
  <c r="CC2551" i="5" s="1"/>
  <c r="BR2539" i="5"/>
  <c r="BR2527" i="5"/>
  <c r="BY2527" i="5" s="1"/>
  <c r="CC2527" i="5" s="1"/>
  <c r="BR2515" i="5"/>
  <c r="BR2503" i="5"/>
  <c r="BR2491" i="5"/>
  <c r="BY2491" i="5" s="1"/>
  <c r="CC2491" i="5" s="1"/>
  <c r="BR2479" i="5"/>
  <c r="BR2467" i="5"/>
  <c r="BR2455" i="5"/>
  <c r="BR2443" i="5"/>
  <c r="BR2431" i="5"/>
  <c r="BR2419" i="5"/>
  <c r="BR2407" i="5"/>
  <c r="BR2395" i="5"/>
  <c r="BR2383" i="5"/>
  <c r="BR2371" i="5"/>
  <c r="BR2359" i="5"/>
  <c r="BR2347" i="5"/>
  <c r="BR2335" i="5"/>
  <c r="BR2323" i="5"/>
  <c r="BR2311" i="5"/>
  <c r="BR2299" i="5"/>
  <c r="BR2287" i="5"/>
  <c r="BR2275" i="5"/>
  <c r="BR2263" i="5"/>
  <c r="BR2251" i="5"/>
  <c r="BR2239" i="5"/>
  <c r="BR2227" i="5"/>
  <c r="BR2215" i="5"/>
  <c r="BR2203" i="5"/>
  <c r="BR2191" i="5"/>
  <c r="BR2179" i="5"/>
  <c r="BR2167" i="5"/>
  <c r="BR2155" i="5"/>
  <c r="BR2143" i="5"/>
  <c r="BR2131" i="5"/>
  <c r="BR2119" i="5"/>
  <c r="BR2107" i="5"/>
  <c r="BR2095" i="5"/>
  <c r="BR2083" i="5"/>
  <c r="BR2071" i="5"/>
  <c r="BR2059" i="5"/>
  <c r="BR2047" i="5"/>
  <c r="BR2035" i="5"/>
  <c r="BR2023" i="5"/>
  <c r="BR2011" i="5"/>
  <c r="BR1999" i="5"/>
  <c r="BR1987" i="5"/>
  <c r="BR1975" i="5"/>
  <c r="BR1963" i="5"/>
  <c r="BR1951" i="5"/>
  <c r="BR1939" i="5"/>
  <c r="BR1927" i="5"/>
  <c r="BR1915" i="5"/>
  <c r="BR1903" i="5"/>
  <c r="BR1891" i="5"/>
  <c r="BR1879" i="5"/>
  <c r="BR1867" i="5"/>
  <c r="BR1855" i="5"/>
  <c r="BR1843" i="5"/>
  <c r="BR1831" i="5"/>
  <c r="BR1819" i="5"/>
  <c r="BR1807" i="5"/>
  <c r="BR1795" i="5"/>
  <c r="BR1783" i="5"/>
  <c r="BR1771" i="5"/>
  <c r="BR1759" i="5"/>
  <c r="BR1747" i="5"/>
  <c r="BR1735" i="5"/>
  <c r="BR1723" i="5"/>
  <c r="BR1711" i="5"/>
  <c r="BR1699" i="5"/>
  <c r="BR1687" i="5"/>
  <c r="BR1675" i="5"/>
  <c r="BR1663" i="5"/>
  <c r="BR1651" i="5"/>
  <c r="BR1639" i="5"/>
  <c r="BR1627" i="5"/>
  <c r="BR1615" i="5"/>
  <c r="BR1603" i="5"/>
  <c r="BR1591" i="5"/>
  <c r="BR1579" i="5"/>
  <c r="BR1567" i="5"/>
  <c r="BR1555" i="5"/>
  <c r="BR1543" i="5"/>
  <c r="BR1531" i="5"/>
  <c r="BR1519" i="5"/>
  <c r="BR1507" i="5"/>
  <c r="BR1495" i="5"/>
  <c r="BR1483" i="5"/>
  <c r="BR1471" i="5"/>
  <c r="BR1459" i="5"/>
  <c r="BR1447" i="5"/>
  <c r="BR1435" i="5"/>
  <c r="BR1423" i="5"/>
  <c r="BR1411" i="5"/>
  <c r="BR1399" i="5"/>
  <c r="BR1387" i="5"/>
  <c r="BR1375" i="5"/>
  <c r="BR1363" i="5"/>
  <c r="BR1351" i="5"/>
  <c r="BR1339" i="5"/>
  <c r="BR1327" i="5"/>
  <c r="BR1315" i="5"/>
  <c r="BR1303" i="5"/>
  <c r="BR1291" i="5"/>
  <c r="BR1279" i="5"/>
  <c r="BR1267" i="5"/>
  <c r="BR1255" i="5"/>
  <c r="BR1243" i="5"/>
  <c r="BR1231" i="5"/>
  <c r="BR1219" i="5"/>
  <c r="BR1207" i="5"/>
  <c r="BR1195" i="5"/>
  <c r="BR1183" i="5"/>
  <c r="BR1171" i="5"/>
  <c r="BR1159" i="5"/>
  <c r="BR1147" i="5"/>
  <c r="BR1135" i="5"/>
  <c r="BR1123" i="5"/>
  <c r="BR1111" i="5"/>
  <c r="BR1099" i="5"/>
  <c r="BR1087" i="5"/>
  <c r="BR1075" i="5"/>
  <c r="BR1063" i="5"/>
  <c r="BR1051" i="5"/>
  <c r="BR2730" i="5"/>
  <c r="BY2730" i="5" s="1"/>
  <c r="CC2730" i="5" s="1"/>
  <c r="BR2718" i="5"/>
  <c r="BY2718" i="5" s="1"/>
  <c r="CC2718" i="5" s="1"/>
  <c r="BR2706" i="5"/>
  <c r="BY2706" i="5" s="1"/>
  <c r="CC2706" i="5" s="1"/>
  <c r="BR2694" i="5"/>
  <c r="BY2694" i="5" s="1"/>
  <c r="CC2694" i="5" s="1"/>
  <c r="BR2682" i="5"/>
  <c r="BY2682" i="5" s="1"/>
  <c r="CC2682" i="5" s="1"/>
  <c r="BR2670" i="5"/>
  <c r="BY2670" i="5" s="1"/>
  <c r="CC2670" i="5" s="1"/>
  <c r="BR2658" i="5"/>
  <c r="BY2658" i="5" s="1"/>
  <c r="CC2658" i="5" s="1"/>
  <c r="BR2646" i="5"/>
  <c r="BR2634" i="5"/>
  <c r="BY2634" i="5" s="1"/>
  <c r="CC2634" i="5" s="1"/>
  <c r="BR2622" i="5"/>
  <c r="BY2622" i="5" s="1"/>
  <c r="CC2622" i="5" s="1"/>
  <c r="BR2610" i="5"/>
  <c r="BY2610" i="5" s="1"/>
  <c r="CC2610" i="5" s="1"/>
  <c r="BR2598" i="5"/>
  <c r="BY2598" i="5" s="1"/>
  <c r="CC2598" i="5" s="1"/>
  <c r="BR2586" i="5"/>
  <c r="BY2586" i="5" s="1"/>
  <c r="CC2586" i="5" s="1"/>
  <c r="BR2574" i="5"/>
  <c r="BR2562" i="5"/>
  <c r="BY2562" i="5" s="1"/>
  <c r="CC2562" i="5" s="1"/>
  <c r="BR2550" i="5"/>
  <c r="BY2550" i="5" s="1"/>
  <c r="CC2550" i="5" s="1"/>
  <c r="BR2538" i="5"/>
  <c r="BY2538" i="5" s="1"/>
  <c r="CC2538" i="5" s="1"/>
  <c r="BR2526" i="5"/>
  <c r="BR2514" i="5"/>
  <c r="BY2514" i="5" s="1"/>
  <c r="CC2514" i="5" s="1"/>
  <c r="BR2502" i="5"/>
  <c r="BR2490" i="5"/>
  <c r="BY2490" i="5" s="1"/>
  <c r="CC2490" i="5" s="1"/>
  <c r="BR2478" i="5"/>
  <c r="BR2466" i="5"/>
  <c r="BR2454" i="5"/>
  <c r="BR2442" i="5"/>
  <c r="BR2430" i="5"/>
  <c r="BR2418" i="5"/>
  <c r="BR2406" i="5"/>
  <c r="BR2394" i="5"/>
  <c r="BR2382" i="5"/>
  <c r="BR2370" i="5"/>
  <c r="BR2358" i="5"/>
  <c r="BR2346" i="5"/>
  <c r="BR2334" i="5"/>
  <c r="BR2322" i="5"/>
  <c r="BR2310" i="5"/>
  <c r="BR2298" i="5"/>
  <c r="BR2286" i="5"/>
  <c r="BR2274" i="5"/>
  <c r="BR2262" i="5"/>
  <c r="BR2250" i="5"/>
  <c r="BR2238" i="5"/>
  <c r="BR2226" i="5"/>
  <c r="BR2214" i="5"/>
  <c r="BR2202" i="5"/>
  <c r="BR2190" i="5"/>
  <c r="BR2178" i="5"/>
  <c r="BR2166" i="5"/>
  <c r="BR2154" i="5"/>
  <c r="BR2142" i="5"/>
  <c r="BR2130" i="5"/>
  <c r="BR2118" i="5"/>
  <c r="BR2106" i="5"/>
  <c r="BR2094" i="5"/>
  <c r="BR2082" i="5"/>
  <c r="BR2070" i="5"/>
  <c r="BR2058" i="5"/>
  <c r="BR2046" i="5"/>
  <c r="BR2034" i="5"/>
  <c r="BR2022" i="5"/>
  <c r="BR2010" i="5"/>
  <c r="BR1998" i="5"/>
  <c r="BR1986" i="5"/>
  <c r="BR1974" i="5"/>
  <c r="BR1962" i="5"/>
  <c r="BR1950" i="5"/>
  <c r="BR1938" i="5"/>
  <c r="BR1926" i="5"/>
  <c r="BR1914" i="5"/>
  <c r="BR1902" i="5"/>
  <c r="BR1890" i="5"/>
  <c r="BR1878" i="5"/>
  <c r="BR1866" i="5"/>
  <c r="BR1854" i="5"/>
  <c r="BR1842" i="5"/>
  <c r="BR1830" i="5"/>
  <c r="BR1818" i="5"/>
  <c r="BR1806" i="5"/>
  <c r="BR1794" i="5"/>
  <c r="BR1782" i="5"/>
  <c r="BR1770" i="5"/>
  <c r="BR1758" i="5"/>
  <c r="BR1746" i="5"/>
  <c r="BR1734" i="5"/>
  <c r="BR1722" i="5"/>
  <c r="BR1710" i="5"/>
  <c r="BR1698" i="5"/>
  <c r="BR1686" i="5"/>
  <c r="BR1674" i="5"/>
  <c r="BR1662" i="5"/>
  <c r="BR1650" i="5"/>
  <c r="BR1638" i="5"/>
  <c r="BR1626" i="5"/>
  <c r="BR1614" i="5"/>
  <c r="BR1602" i="5"/>
  <c r="BR1590" i="5"/>
  <c r="BR1578" i="5"/>
  <c r="BR1566" i="5"/>
  <c r="BR1554" i="5"/>
  <c r="BR1542" i="5"/>
  <c r="BR1530" i="5"/>
  <c r="BR1518" i="5"/>
  <c r="BR1506" i="5"/>
  <c r="BR1494" i="5"/>
  <c r="BR1482" i="5"/>
  <c r="BR1470" i="5"/>
  <c r="BR1458" i="5"/>
  <c r="BR1446" i="5"/>
  <c r="BR1434" i="5"/>
  <c r="BR1422" i="5"/>
  <c r="BR1410" i="5"/>
  <c r="BR1398" i="5"/>
  <c r="BR1386" i="5"/>
  <c r="BR1374" i="5"/>
  <c r="BR1362" i="5"/>
  <c r="BR1350" i="5"/>
  <c r="BR1338" i="5"/>
  <c r="BR1326" i="5"/>
  <c r="BR1314" i="5"/>
  <c r="BR1302" i="5"/>
  <c r="BR1290" i="5"/>
  <c r="BR1278" i="5"/>
  <c r="BR1266" i="5"/>
  <c r="BR1254" i="5"/>
  <c r="BR1242" i="5"/>
  <c r="BR1230" i="5"/>
  <c r="BR1218" i="5"/>
  <c r="BR1206" i="5"/>
  <c r="BR1194" i="5"/>
  <c r="BR1182" i="5"/>
  <c r="BR1170" i="5"/>
  <c r="BR1158" i="5"/>
  <c r="BR1146" i="5"/>
  <c r="BR1134" i="5"/>
  <c r="BR1122" i="5"/>
  <c r="BR1110" i="5"/>
  <c r="BR1098" i="5"/>
  <c r="BR1086" i="5"/>
  <c r="BR1074" i="5"/>
  <c r="BR1062" i="5"/>
  <c r="BR1050" i="5"/>
  <c r="BR2729" i="5"/>
  <c r="BY2729" i="5" s="1"/>
  <c r="CC2729" i="5" s="1"/>
  <c r="BR2717" i="5"/>
  <c r="BR2705" i="5"/>
  <c r="BY2705" i="5" s="1"/>
  <c r="CC2705" i="5" s="1"/>
  <c r="BR2693" i="5"/>
  <c r="BR2681" i="5"/>
  <c r="BY2681" i="5" s="1"/>
  <c r="CC2681" i="5" s="1"/>
  <c r="BR2669" i="5"/>
  <c r="BY2669" i="5" s="1"/>
  <c r="CC2669" i="5" s="1"/>
  <c r="BR2657" i="5"/>
  <c r="BR2645" i="5"/>
  <c r="BY2645" i="5" s="1"/>
  <c r="CC2645" i="5" s="1"/>
  <c r="BR2633" i="5"/>
  <c r="BY2633" i="5" s="1"/>
  <c r="CC2633" i="5" s="1"/>
  <c r="BR2621" i="5"/>
  <c r="BY2621" i="5" s="1"/>
  <c r="CC2621" i="5" s="1"/>
  <c r="BR2609" i="5"/>
  <c r="BR2597" i="5"/>
  <c r="BR2585" i="5"/>
  <c r="BY2585" i="5" s="1"/>
  <c r="CC2585" i="5" s="1"/>
  <c r="BR2573" i="5"/>
  <c r="BY2573" i="5" s="1"/>
  <c r="CC2573" i="5" s="1"/>
  <c r="BR2561" i="5"/>
  <c r="BY2561" i="5" s="1"/>
  <c r="CC2561" i="5" s="1"/>
  <c r="BR2549" i="5"/>
  <c r="BY2549" i="5" s="1"/>
  <c r="CC2549" i="5" s="1"/>
  <c r="BR2537" i="5"/>
  <c r="BY2537" i="5" s="1"/>
  <c r="CC2537" i="5" s="1"/>
  <c r="BR2525" i="5"/>
  <c r="BY2525" i="5" s="1"/>
  <c r="CC2525" i="5" s="1"/>
  <c r="BR2513" i="5"/>
  <c r="BR2501" i="5"/>
  <c r="BY2501" i="5" s="1"/>
  <c r="CC2501" i="5" s="1"/>
  <c r="BR2489" i="5"/>
  <c r="BY2489" i="5" s="1"/>
  <c r="CC2489" i="5" s="1"/>
  <c r="BR2477" i="5"/>
  <c r="BR2465" i="5"/>
  <c r="BR2453" i="5"/>
  <c r="BR2441" i="5"/>
  <c r="BR2429" i="5"/>
  <c r="BR2417" i="5"/>
  <c r="BR2405" i="5"/>
  <c r="BR2393" i="5"/>
  <c r="BR2381" i="5"/>
  <c r="BR2369" i="5"/>
  <c r="BR2357" i="5"/>
  <c r="BR2345" i="5"/>
  <c r="BR2333" i="5"/>
  <c r="BR2321" i="5"/>
  <c r="BR2309" i="5"/>
  <c r="BR2297" i="5"/>
  <c r="BR2285" i="5"/>
  <c r="BR2273" i="5"/>
  <c r="BR2261" i="5"/>
  <c r="BR2249" i="5"/>
  <c r="BR2237" i="5"/>
  <c r="BR2225" i="5"/>
  <c r="BR2213" i="5"/>
  <c r="BR2201" i="5"/>
  <c r="BR2189" i="5"/>
  <c r="BR2177" i="5"/>
  <c r="BR2165" i="5"/>
  <c r="BR2153" i="5"/>
  <c r="BR2141" i="5"/>
  <c r="BR2129" i="5"/>
  <c r="BR2117" i="5"/>
  <c r="BR2105" i="5"/>
  <c r="BR2093" i="5"/>
  <c r="BR2081" i="5"/>
  <c r="BR2069" i="5"/>
  <c r="BR2057" i="5"/>
  <c r="BR2045" i="5"/>
  <c r="BR2033" i="5"/>
  <c r="BR2021" i="5"/>
  <c r="BR2009" i="5"/>
  <c r="BR1997" i="5"/>
  <c r="BR1985" i="5"/>
  <c r="BR1973" i="5"/>
  <c r="BR1961" i="5"/>
  <c r="BR1949" i="5"/>
  <c r="BR1937" i="5"/>
  <c r="BR1925" i="5"/>
  <c r="BR1913" i="5"/>
  <c r="BR1901" i="5"/>
  <c r="BR1889" i="5"/>
  <c r="BR1877" i="5"/>
  <c r="BR1865" i="5"/>
  <c r="BR1853" i="5"/>
  <c r="BR1841" i="5"/>
  <c r="BR1829" i="5"/>
  <c r="BR1817" i="5"/>
  <c r="BR1805" i="5"/>
  <c r="BR1793" i="5"/>
  <c r="BR1781" i="5"/>
  <c r="BR1769" i="5"/>
  <c r="BR1757" i="5"/>
  <c r="BR1745" i="5"/>
  <c r="BR1733" i="5"/>
  <c r="BR1721" i="5"/>
  <c r="BR1709" i="5"/>
  <c r="BR1697" i="5"/>
  <c r="BR1685" i="5"/>
  <c r="BR1673" i="5"/>
  <c r="BR1661" i="5"/>
  <c r="BR1649" i="5"/>
  <c r="BR1637" i="5"/>
  <c r="BR1625" i="5"/>
  <c r="BR1613" i="5"/>
  <c r="BR1601" i="5"/>
  <c r="BR1589" i="5"/>
  <c r="BR1577" i="5"/>
  <c r="BR1565" i="5"/>
  <c r="BR1553" i="5"/>
  <c r="BR1541" i="5"/>
  <c r="BR1529" i="5"/>
  <c r="BR1517" i="5"/>
  <c r="BR1505" i="5"/>
  <c r="BR1493" i="5"/>
  <c r="BR1481" i="5"/>
  <c r="BR1469" i="5"/>
  <c r="BR1457" i="5"/>
  <c r="BR1445" i="5"/>
  <c r="BR1433" i="5"/>
  <c r="BR1421" i="5"/>
  <c r="BR1409" i="5"/>
  <c r="BR1397" i="5"/>
  <c r="BR1385" i="5"/>
  <c r="BR1373" i="5"/>
  <c r="BR1361" i="5"/>
  <c r="BR1349" i="5"/>
  <c r="BR1337" i="5"/>
  <c r="BR1325" i="5"/>
  <c r="BR1313" i="5"/>
  <c r="BR1301" i="5"/>
  <c r="BR1289" i="5"/>
  <c r="BR1277" i="5"/>
  <c r="BR1265" i="5"/>
  <c r="BR1253" i="5"/>
  <c r="BR1241" i="5"/>
  <c r="BR1229" i="5"/>
  <c r="BR1217" i="5"/>
  <c r="BR1205" i="5"/>
  <c r="BR1193" i="5"/>
  <c r="BR1181" i="5"/>
  <c r="BR1169" i="5"/>
  <c r="BR1157" i="5"/>
  <c r="BR1145" i="5"/>
  <c r="BR1133" i="5"/>
  <c r="BR1121" i="5"/>
  <c r="BR1109" i="5"/>
  <c r="BR1097" i="5"/>
  <c r="BR1085" i="5"/>
  <c r="BR1073" i="5"/>
  <c r="BR1061" i="5"/>
  <c r="BR1049" i="5"/>
  <c r="BR1996" i="5"/>
  <c r="BR1984" i="5"/>
  <c r="BR1972" i="5"/>
  <c r="BR1960" i="5"/>
  <c r="BR1948" i="5"/>
  <c r="BR1936" i="5"/>
  <c r="BR1924" i="5"/>
  <c r="BR1912" i="5"/>
  <c r="BR1900" i="5"/>
  <c r="BR1888" i="5"/>
  <c r="BR1876" i="5"/>
  <c r="BR1864" i="5"/>
  <c r="BR1852" i="5"/>
  <c r="BR1840" i="5"/>
  <c r="BR1828" i="5"/>
  <c r="BR1816" i="5"/>
  <c r="BR1804" i="5"/>
  <c r="BR1792" i="5"/>
  <c r="BR1780" i="5"/>
  <c r="BR1768" i="5"/>
  <c r="BR1756" i="5"/>
  <c r="BR1744" i="5"/>
  <c r="BR1732" i="5"/>
  <c r="BR1720" i="5"/>
  <c r="BR1708" i="5"/>
  <c r="BR1696" i="5"/>
  <c r="BR1684" i="5"/>
  <c r="BR1672" i="5"/>
  <c r="BR1660" i="5"/>
  <c r="BR1648" i="5"/>
  <c r="BR1636" i="5"/>
  <c r="BR1624" i="5"/>
  <c r="BR1612" i="5"/>
  <c r="BR1600" i="5"/>
  <c r="BR1588" i="5"/>
  <c r="BR1576" i="5"/>
  <c r="BR1564" i="5"/>
  <c r="BR1552" i="5"/>
  <c r="BR1540" i="5"/>
  <c r="BR1528" i="5"/>
  <c r="BR1516" i="5"/>
  <c r="BR1504" i="5"/>
  <c r="BR1492" i="5"/>
  <c r="BR1480" i="5"/>
  <c r="BR1468" i="5"/>
  <c r="BR1456" i="5"/>
  <c r="BR1444" i="5"/>
  <c r="BR1432" i="5"/>
  <c r="BR1420" i="5"/>
  <c r="BR1408" i="5"/>
  <c r="BR1396" i="5"/>
  <c r="BR1384" i="5"/>
  <c r="BR1372" i="5"/>
  <c r="BR1360" i="5"/>
  <c r="BR1348" i="5"/>
  <c r="BR1336" i="5"/>
  <c r="BR1324" i="5"/>
  <c r="BR1312" i="5"/>
  <c r="BR1300" i="5"/>
  <c r="BR1288" i="5"/>
  <c r="BR1276" i="5"/>
  <c r="BR1264" i="5"/>
  <c r="BR1252" i="5"/>
  <c r="BR1240" i="5"/>
  <c r="BR1228" i="5"/>
  <c r="BR1216" i="5"/>
  <c r="BR1204" i="5"/>
  <c r="BR1192" i="5"/>
  <c r="BR1180" i="5"/>
  <c r="BR1168" i="5"/>
  <c r="BR1156" i="5"/>
  <c r="BR1144" i="5"/>
  <c r="BR1132" i="5"/>
  <c r="BR1120" i="5"/>
  <c r="BR1108" i="5"/>
  <c r="BR1096" i="5"/>
  <c r="BR1084" i="5"/>
  <c r="BR1072" i="5"/>
  <c r="BR1060" i="5"/>
  <c r="BR1048" i="5"/>
  <c r="BR1036" i="5"/>
  <c r="BR1024" i="5"/>
  <c r="BR1012" i="5"/>
  <c r="BR1000" i="5"/>
  <c r="BR988" i="5"/>
  <c r="BR976" i="5"/>
  <c r="BR964" i="5"/>
  <c r="BR952" i="5"/>
  <c r="BR940" i="5"/>
  <c r="BR928" i="5"/>
  <c r="BR916" i="5"/>
  <c r="BR904" i="5"/>
  <c r="BR892" i="5"/>
  <c r="BR880" i="5"/>
  <c r="BR868" i="5"/>
  <c r="BR856" i="5"/>
  <c r="BR844" i="5"/>
  <c r="BR832" i="5"/>
  <c r="BR820" i="5"/>
  <c r="BR808" i="5"/>
  <c r="BR796" i="5"/>
  <c r="BR784" i="5"/>
  <c r="BR772" i="5"/>
  <c r="BR760" i="5"/>
  <c r="BR748" i="5"/>
  <c r="BR736" i="5"/>
  <c r="BR724" i="5"/>
  <c r="BR712" i="5"/>
  <c r="BR700" i="5"/>
  <c r="BR688" i="5"/>
  <c r="BR676" i="5"/>
  <c r="BR664" i="5"/>
  <c r="BR652" i="5"/>
  <c r="BR640" i="5"/>
  <c r="BR628" i="5"/>
  <c r="BR616" i="5"/>
  <c r="BR604" i="5"/>
  <c r="BR592" i="5"/>
  <c r="BR580" i="5"/>
  <c r="BR568" i="5"/>
  <c r="BR556" i="5"/>
  <c r="BR544" i="5"/>
  <c r="BR532" i="5"/>
  <c r="BR520" i="5"/>
  <c r="BR508" i="5"/>
  <c r="BR496" i="5"/>
  <c r="BR484" i="5"/>
  <c r="BR472" i="5"/>
  <c r="BR460" i="5"/>
  <c r="BR448" i="5"/>
  <c r="BR436" i="5"/>
  <c r="BR424" i="5"/>
  <c r="BR412" i="5"/>
  <c r="BR400" i="5"/>
  <c r="BR388" i="5"/>
  <c r="BR376" i="5"/>
  <c r="BR364" i="5"/>
  <c r="BR352" i="5"/>
  <c r="BR340" i="5"/>
  <c r="BR328" i="5"/>
  <c r="BR316" i="5"/>
  <c r="BR304" i="5"/>
  <c r="BR292" i="5"/>
  <c r="BR280" i="5"/>
  <c r="BR268" i="5"/>
  <c r="BR256" i="5"/>
  <c r="BR244" i="5"/>
  <c r="BR232" i="5"/>
  <c r="BY232" i="5" s="1"/>
  <c r="CC232" i="5" s="1"/>
  <c r="BR220" i="5"/>
  <c r="BR208" i="5"/>
  <c r="BR196" i="5"/>
  <c r="BR184" i="5"/>
  <c r="BR172" i="5"/>
  <c r="BR160" i="5"/>
  <c r="BR148" i="5"/>
  <c r="BR136" i="5"/>
  <c r="BR124" i="5"/>
  <c r="BR112" i="5"/>
  <c r="BR100" i="5"/>
  <c r="BR88" i="5"/>
  <c r="BR76" i="5"/>
  <c r="BR64" i="5"/>
  <c r="BR52" i="5"/>
  <c r="BR40" i="5"/>
  <c r="BR28" i="5"/>
  <c r="BR16" i="5"/>
  <c r="BR4" i="5"/>
  <c r="BR2727" i="5"/>
  <c r="BR2715" i="5"/>
  <c r="BY2715" i="5" s="1"/>
  <c r="CC2715" i="5" s="1"/>
  <c r="BR2703" i="5"/>
  <c r="BY2703" i="5" s="1"/>
  <c r="CC2703" i="5" s="1"/>
  <c r="BR2691" i="5"/>
  <c r="BY2691" i="5" s="1"/>
  <c r="CC2691" i="5" s="1"/>
  <c r="BR2679" i="5"/>
  <c r="BY2679" i="5" s="1"/>
  <c r="CC2679" i="5" s="1"/>
  <c r="BR2667" i="5"/>
  <c r="BR2655" i="5"/>
  <c r="BY2655" i="5" s="1"/>
  <c r="CC2655" i="5" s="1"/>
  <c r="BR2643" i="5"/>
  <c r="BY2643" i="5" s="1"/>
  <c r="CC2643" i="5" s="1"/>
  <c r="BR2631" i="5"/>
  <c r="BR2619" i="5"/>
  <c r="BY2619" i="5" s="1"/>
  <c r="CC2619" i="5" s="1"/>
  <c r="BR2607" i="5"/>
  <c r="BY2607" i="5" s="1"/>
  <c r="CC2607" i="5" s="1"/>
  <c r="BR2595" i="5"/>
  <c r="BY2595" i="5" s="1"/>
  <c r="CC2595" i="5" s="1"/>
  <c r="BR2583" i="5"/>
  <c r="BY2583" i="5" s="1"/>
  <c r="CC2583" i="5" s="1"/>
  <c r="BR2571" i="5"/>
  <c r="BY2571" i="5" s="1"/>
  <c r="CC2571" i="5" s="1"/>
  <c r="BR2559" i="5"/>
  <c r="BY2559" i="5" s="1"/>
  <c r="CC2559" i="5" s="1"/>
  <c r="BR2547" i="5"/>
  <c r="BY2547" i="5" s="1"/>
  <c r="CC2547" i="5" s="1"/>
  <c r="BR2535" i="5"/>
  <c r="BY2535" i="5" s="1"/>
  <c r="CC2535" i="5" s="1"/>
  <c r="BR2523" i="5"/>
  <c r="BR2511" i="5"/>
  <c r="BY2511" i="5" s="1"/>
  <c r="CC2511" i="5" s="1"/>
  <c r="BR2499" i="5"/>
  <c r="BY2499" i="5" s="1"/>
  <c r="CC2499" i="5" s="1"/>
  <c r="BR2487" i="5"/>
  <c r="BR2475" i="5"/>
  <c r="BR2463" i="5"/>
  <c r="BR2451" i="5"/>
  <c r="BR2439" i="5"/>
  <c r="BR2427" i="5"/>
  <c r="BR2415" i="5"/>
  <c r="BR2403" i="5"/>
  <c r="BR2391" i="5"/>
  <c r="BR2379" i="5"/>
  <c r="BR2367" i="5"/>
  <c r="BR2355" i="5"/>
  <c r="BR2343" i="5"/>
  <c r="BR2331" i="5"/>
  <c r="BR2319" i="5"/>
  <c r="BR2307" i="5"/>
  <c r="BR2295" i="5"/>
  <c r="BR2283" i="5"/>
  <c r="BR2271" i="5"/>
  <c r="BR2259" i="5"/>
  <c r="BR2247" i="5"/>
  <c r="BR2235" i="5"/>
  <c r="BR2223" i="5"/>
  <c r="BR2211" i="5"/>
  <c r="BR2199" i="5"/>
  <c r="BR2187" i="5"/>
  <c r="BR2175" i="5"/>
  <c r="BR2163" i="5"/>
  <c r="BR2151" i="5"/>
  <c r="BR2139" i="5"/>
  <c r="BR2127" i="5"/>
  <c r="BR2115" i="5"/>
  <c r="BR2103" i="5"/>
  <c r="BR2091" i="5"/>
  <c r="BR2079" i="5"/>
  <c r="BR2067" i="5"/>
  <c r="BR2055" i="5"/>
  <c r="BR2043" i="5"/>
  <c r="BR2031" i="5"/>
  <c r="BR2019" i="5"/>
  <c r="BR2007" i="5"/>
  <c r="BR1995" i="5"/>
  <c r="BR1983" i="5"/>
  <c r="BR1971" i="5"/>
  <c r="BR1959" i="5"/>
  <c r="BR1947" i="5"/>
  <c r="BR1935" i="5"/>
  <c r="BR1923" i="5"/>
  <c r="BR1911" i="5"/>
  <c r="BR1899" i="5"/>
  <c r="BR1887" i="5"/>
  <c r="BR1875" i="5"/>
  <c r="BR1863" i="5"/>
  <c r="BR1851" i="5"/>
  <c r="BR1839" i="5"/>
  <c r="BR1827" i="5"/>
  <c r="BR1815" i="5"/>
  <c r="BR1803" i="5"/>
  <c r="BR1791" i="5"/>
  <c r="BR1779" i="5"/>
  <c r="BR1767" i="5"/>
  <c r="BR1755" i="5"/>
  <c r="BR1743" i="5"/>
  <c r="BR1731" i="5"/>
  <c r="BR1719" i="5"/>
  <c r="BR1707" i="5"/>
  <c r="BR1695" i="5"/>
  <c r="BR1683" i="5"/>
  <c r="BR1671" i="5"/>
  <c r="BR1659" i="5"/>
  <c r="BR1647" i="5"/>
  <c r="BR1635" i="5"/>
  <c r="BR1623" i="5"/>
  <c r="BR1611" i="5"/>
  <c r="BR1599" i="5"/>
  <c r="BR1587" i="5"/>
  <c r="BR1575" i="5"/>
  <c r="BR1563" i="5"/>
  <c r="BR1551" i="5"/>
  <c r="BR1539" i="5"/>
  <c r="BR1527" i="5"/>
  <c r="BR1515" i="5"/>
  <c r="BR1503" i="5"/>
  <c r="BR1491" i="5"/>
  <c r="BR1479" i="5"/>
  <c r="BR1467" i="5"/>
  <c r="BR1455" i="5"/>
  <c r="BR1443" i="5"/>
  <c r="BR1431" i="5"/>
  <c r="BR1419" i="5"/>
  <c r="BR1407" i="5"/>
  <c r="BR1395" i="5"/>
  <c r="BR1383" i="5"/>
  <c r="BR1371" i="5"/>
  <c r="BR1359" i="5"/>
  <c r="BR1347" i="5"/>
  <c r="BR1335" i="5"/>
  <c r="BR1323" i="5"/>
  <c r="BR1311" i="5"/>
  <c r="BR1299" i="5"/>
  <c r="BR1287" i="5"/>
  <c r="BR1275" i="5"/>
  <c r="BR1263" i="5"/>
  <c r="BR1251" i="5"/>
  <c r="BR1239" i="5"/>
  <c r="BR1227" i="5"/>
  <c r="BR1215" i="5"/>
  <c r="BR1203" i="5"/>
  <c r="BR1191" i="5"/>
  <c r="BR1179" i="5"/>
  <c r="BR1167" i="5"/>
  <c r="BR1155" i="5"/>
  <c r="BR1143" i="5"/>
  <c r="BR1131" i="5"/>
  <c r="BR1119" i="5"/>
  <c r="BR1107" i="5"/>
  <c r="BR1095" i="5"/>
  <c r="BR1083" i="5"/>
  <c r="BR1071" i="5"/>
  <c r="BR1059" i="5"/>
  <c r="BR1047" i="5"/>
  <c r="BR1035" i="5"/>
  <c r="BR1023" i="5"/>
  <c r="BR1011" i="5"/>
  <c r="BR999" i="5"/>
  <c r="BR987" i="5"/>
  <c r="BR975" i="5"/>
  <c r="BR963" i="5"/>
  <c r="BR951" i="5"/>
  <c r="BR939" i="5"/>
  <c r="BR927" i="5"/>
  <c r="BR915" i="5"/>
  <c r="BR1106" i="5"/>
  <c r="BR1094" i="5"/>
  <c r="BR1082" i="5"/>
  <c r="BR1070" i="5"/>
  <c r="BR1058" i="5"/>
  <c r="BR1046" i="5"/>
  <c r="BR1034" i="5"/>
  <c r="BR1022" i="5"/>
  <c r="BR1010" i="5"/>
  <c r="BR998" i="5"/>
  <c r="BR986" i="5"/>
  <c r="BR974" i="5"/>
  <c r="BR962" i="5"/>
  <c r="BR950" i="5"/>
  <c r="BR938" i="5"/>
  <c r="BR926" i="5"/>
  <c r="BR914" i="5"/>
  <c r="BR902" i="5"/>
  <c r="BR890" i="5"/>
  <c r="BR878" i="5"/>
  <c r="BR866" i="5"/>
  <c r="BR854" i="5"/>
  <c r="BR842" i="5"/>
  <c r="BR830" i="5"/>
  <c r="BR818" i="5"/>
  <c r="BR806" i="5"/>
  <c r="BR794" i="5"/>
  <c r="BR782" i="5"/>
  <c r="BR770" i="5"/>
  <c r="BR758" i="5"/>
  <c r="BR746" i="5"/>
  <c r="BR734" i="5"/>
  <c r="BR722" i="5"/>
  <c r="BR710" i="5"/>
  <c r="BR698" i="5"/>
  <c r="BR686" i="5"/>
  <c r="BR674" i="5"/>
  <c r="BR662" i="5"/>
  <c r="BR650" i="5"/>
  <c r="BR638" i="5"/>
  <c r="BR626" i="5"/>
  <c r="BR614" i="5"/>
  <c r="BR602" i="5"/>
  <c r="BR590" i="5"/>
  <c r="BR578" i="5"/>
  <c r="BR566" i="5"/>
  <c r="BR554" i="5"/>
  <c r="BR542" i="5"/>
  <c r="BR530" i="5"/>
  <c r="BR518" i="5"/>
  <c r="BR506" i="5"/>
  <c r="BR494" i="5"/>
  <c r="BR482" i="5"/>
  <c r="BR470" i="5"/>
  <c r="BR458" i="5"/>
  <c r="BR446" i="5"/>
  <c r="BR434" i="5"/>
  <c r="BR422" i="5"/>
  <c r="BR410" i="5"/>
  <c r="BR398" i="5"/>
  <c r="BR386" i="5"/>
  <c r="BR374" i="5"/>
  <c r="BR362" i="5"/>
  <c r="BR350" i="5"/>
  <c r="BR338" i="5"/>
  <c r="BR326" i="5"/>
  <c r="BR314" i="5"/>
  <c r="BR302" i="5"/>
  <c r="BR290" i="5"/>
  <c r="BR278" i="5"/>
  <c r="BR266" i="5"/>
  <c r="BR254" i="5"/>
  <c r="BR242" i="5"/>
  <c r="BR230" i="5"/>
  <c r="BR218" i="5"/>
  <c r="BR206" i="5"/>
  <c r="BR194" i="5"/>
  <c r="BR182" i="5"/>
  <c r="BR170" i="5"/>
  <c r="BR158" i="5"/>
  <c r="BR146" i="5"/>
  <c r="BR134" i="5"/>
  <c r="BR122" i="5"/>
  <c r="BR110" i="5"/>
  <c r="BR98" i="5"/>
  <c r="BR86" i="5"/>
  <c r="BR74" i="5"/>
  <c r="BR62" i="5"/>
  <c r="BR50" i="5"/>
  <c r="BR38" i="5"/>
  <c r="BR26" i="5"/>
  <c r="BR14" i="5"/>
  <c r="BR903" i="5"/>
  <c r="BR891" i="5"/>
  <c r="BR879" i="5"/>
  <c r="BR867" i="5"/>
  <c r="BR855" i="5"/>
  <c r="BR843" i="5"/>
  <c r="BR831" i="5"/>
  <c r="BR819" i="5"/>
  <c r="BR807" i="5"/>
  <c r="BR795" i="5"/>
  <c r="BR783" i="5"/>
  <c r="BR771" i="5"/>
  <c r="BR759" i="5"/>
  <c r="BR747" i="5"/>
  <c r="BR735" i="5"/>
  <c r="BR723" i="5"/>
  <c r="BR711" i="5"/>
  <c r="BR699" i="5"/>
  <c r="BR687" i="5"/>
  <c r="BR675" i="5"/>
  <c r="BR663" i="5"/>
  <c r="BR651" i="5"/>
  <c r="BR639" i="5"/>
  <c r="BR627" i="5"/>
  <c r="BR615" i="5"/>
  <c r="BR603" i="5"/>
  <c r="BR591" i="5"/>
  <c r="BR579" i="5"/>
  <c r="BR567" i="5"/>
  <c r="BR555" i="5"/>
  <c r="BR543" i="5"/>
  <c r="BR531" i="5"/>
  <c r="BR519" i="5"/>
  <c r="BR507" i="5"/>
  <c r="BR495" i="5"/>
  <c r="BR483" i="5"/>
  <c r="BR471" i="5"/>
  <c r="BR459" i="5"/>
  <c r="BR447" i="5"/>
  <c r="BR435" i="5"/>
  <c r="BR423" i="5"/>
  <c r="BR411" i="5"/>
  <c r="BR399" i="5"/>
  <c r="BR387" i="5"/>
  <c r="BR375" i="5"/>
  <c r="BR363" i="5"/>
  <c r="BR351" i="5"/>
  <c r="BR339" i="5"/>
  <c r="BR327" i="5"/>
  <c r="BR315" i="5"/>
  <c r="BR303" i="5"/>
  <c r="BR291" i="5"/>
  <c r="BR279" i="5"/>
  <c r="BR267" i="5"/>
  <c r="BR255" i="5"/>
  <c r="BR243" i="5"/>
  <c r="BR231" i="5"/>
  <c r="BR219" i="5"/>
  <c r="BR207" i="5"/>
  <c r="BR195" i="5"/>
  <c r="BR183" i="5"/>
  <c r="BR171" i="5"/>
  <c r="BR159" i="5"/>
  <c r="BR147" i="5"/>
  <c r="BR135" i="5"/>
  <c r="BR123" i="5"/>
  <c r="BR111" i="5"/>
  <c r="BR99" i="5"/>
  <c r="BR87" i="5"/>
  <c r="BR75" i="5"/>
  <c r="BR63" i="5"/>
  <c r="BR51" i="5"/>
  <c r="BR39" i="5"/>
  <c r="BR27" i="5"/>
  <c r="BR15" i="5"/>
  <c r="BR3" i="5"/>
  <c r="BR1045" i="5"/>
  <c r="BR1033" i="5"/>
  <c r="BR1021" i="5"/>
  <c r="BR1009" i="5"/>
  <c r="BR997" i="5"/>
  <c r="BR985" i="5"/>
  <c r="BR973" i="5"/>
  <c r="BR961" i="5"/>
  <c r="BR949" i="5"/>
  <c r="BR937" i="5"/>
  <c r="BR925" i="5"/>
  <c r="BR913" i="5"/>
  <c r="BR901" i="5"/>
  <c r="BR889" i="5"/>
  <c r="BR877" i="5"/>
  <c r="BR865" i="5"/>
  <c r="BR853" i="5"/>
  <c r="BR841" i="5"/>
  <c r="BR829" i="5"/>
  <c r="BR817" i="5"/>
  <c r="BR805" i="5"/>
  <c r="BR793" i="5"/>
  <c r="BR781" i="5"/>
  <c r="BR769" i="5"/>
  <c r="BR757" i="5"/>
  <c r="BR745" i="5"/>
  <c r="BR733" i="5"/>
  <c r="BR721" i="5"/>
  <c r="BR709" i="5"/>
  <c r="BR697" i="5"/>
  <c r="BR685" i="5"/>
  <c r="BR673" i="5"/>
  <c r="BR661" i="5"/>
  <c r="BR649" i="5"/>
  <c r="BR637" i="5"/>
  <c r="BR625" i="5"/>
  <c r="BR613" i="5"/>
  <c r="BR601" i="5"/>
  <c r="BR589" i="5"/>
  <c r="BR577" i="5"/>
  <c r="BR565" i="5"/>
  <c r="BR553" i="5"/>
  <c r="BR541" i="5"/>
  <c r="BR529" i="5"/>
  <c r="BR517" i="5"/>
  <c r="BR505" i="5"/>
  <c r="BR493" i="5"/>
  <c r="BR481" i="5"/>
  <c r="BR469" i="5"/>
  <c r="BR457" i="5"/>
  <c r="BR445" i="5"/>
  <c r="BR433" i="5"/>
  <c r="BR421" i="5"/>
  <c r="BR409" i="5"/>
  <c r="BR397" i="5"/>
  <c r="BR385" i="5"/>
  <c r="BR373" i="5"/>
  <c r="BR361" i="5"/>
  <c r="BR349" i="5"/>
  <c r="BR337" i="5"/>
  <c r="BR325" i="5"/>
  <c r="BR313" i="5"/>
  <c r="BR301" i="5"/>
  <c r="BR289" i="5"/>
  <c r="BR277" i="5"/>
  <c r="BR265" i="5"/>
  <c r="BR253" i="5"/>
  <c r="BR241" i="5"/>
  <c r="BR229" i="5"/>
  <c r="BR217" i="5"/>
  <c r="BR205" i="5"/>
  <c r="BR193" i="5"/>
  <c r="BR181" i="5"/>
  <c r="BR169" i="5"/>
  <c r="BR157" i="5"/>
  <c r="BR145" i="5"/>
  <c r="BR133" i="5"/>
  <c r="BR121" i="5"/>
  <c r="BR109" i="5"/>
  <c r="BR97" i="5"/>
  <c r="BR85" i="5"/>
  <c r="BR73" i="5"/>
  <c r="BR61" i="5"/>
  <c r="BR49" i="5"/>
  <c r="BR37" i="5"/>
  <c r="BR25" i="5"/>
  <c r="BR13" i="5"/>
  <c r="BR1043" i="5"/>
  <c r="BR1031" i="5"/>
  <c r="BR1019" i="5"/>
  <c r="BR1007" i="5"/>
  <c r="BR995" i="5"/>
  <c r="BR983" i="5"/>
  <c r="BR971" i="5"/>
  <c r="BR959" i="5"/>
  <c r="BR947" i="5"/>
  <c r="BR935" i="5"/>
  <c r="BR923" i="5"/>
  <c r="BR911" i="5"/>
  <c r="BR899" i="5"/>
  <c r="BR887" i="5"/>
  <c r="BR875" i="5"/>
  <c r="BR863" i="5"/>
  <c r="BR851" i="5"/>
  <c r="BR839" i="5"/>
  <c r="BR827" i="5"/>
  <c r="BR815" i="5"/>
  <c r="BR803" i="5"/>
  <c r="BR791" i="5"/>
  <c r="BR779" i="5"/>
  <c r="BR767" i="5"/>
  <c r="BR755" i="5"/>
  <c r="BR743" i="5"/>
  <c r="BR731" i="5"/>
  <c r="BR719" i="5"/>
  <c r="BR707" i="5"/>
  <c r="BR695" i="5"/>
  <c r="BR683" i="5"/>
  <c r="BR671" i="5"/>
  <c r="BR659" i="5"/>
  <c r="BR647" i="5"/>
  <c r="BR635" i="5"/>
  <c r="BR623" i="5"/>
  <c r="BR611" i="5"/>
  <c r="BR599" i="5"/>
  <c r="BR587" i="5"/>
  <c r="BR575" i="5"/>
  <c r="BR563" i="5"/>
  <c r="BR551" i="5"/>
  <c r="BR539" i="5"/>
  <c r="BR527" i="5"/>
  <c r="BR515" i="5"/>
  <c r="BR503" i="5"/>
  <c r="BR491" i="5"/>
  <c r="BR479" i="5"/>
  <c r="BR467" i="5"/>
  <c r="BR455" i="5"/>
  <c r="BR443" i="5"/>
  <c r="BR431" i="5"/>
  <c r="BR419" i="5"/>
  <c r="BR407" i="5"/>
  <c r="BR395" i="5"/>
  <c r="BR383" i="5"/>
  <c r="BR371" i="5"/>
  <c r="BR359" i="5"/>
  <c r="BR347" i="5"/>
  <c r="BR335" i="5"/>
  <c r="BR323" i="5"/>
  <c r="BR311" i="5"/>
  <c r="BR299" i="5"/>
  <c r="BR287" i="5"/>
  <c r="BR275" i="5"/>
  <c r="BR263" i="5"/>
  <c r="BR251" i="5"/>
  <c r="BR239" i="5"/>
  <c r="BR227" i="5"/>
  <c r="BR215" i="5"/>
  <c r="BR203" i="5"/>
  <c r="BR191" i="5"/>
  <c r="BR179" i="5"/>
  <c r="BR167" i="5"/>
  <c r="BR155" i="5"/>
  <c r="BR143" i="5"/>
  <c r="BR131" i="5"/>
  <c r="BR119" i="5"/>
  <c r="BR107" i="5"/>
  <c r="BR95" i="5"/>
  <c r="BR83" i="5"/>
  <c r="BR71" i="5"/>
  <c r="BR59" i="5"/>
  <c r="BR47" i="5"/>
  <c r="BR35" i="5"/>
  <c r="BR23" i="5"/>
  <c r="BR11" i="5"/>
  <c r="BR2743" i="5"/>
  <c r="BR838" i="5"/>
  <c r="BR826" i="5"/>
  <c r="BR814" i="5"/>
  <c r="BR802" i="5"/>
  <c r="BR790" i="5"/>
  <c r="BR778" i="5"/>
  <c r="BR766" i="5"/>
  <c r="BR754" i="5"/>
  <c r="BR742" i="5"/>
  <c r="BR730" i="5"/>
  <c r="BR718" i="5"/>
  <c r="BR706" i="5"/>
  <c r="BR694" i="5"/>
  <c r="BR682" i="5"/>
  <c r="BR670" i="5"/>
  <c r="BR658" i="5"/>
  <c r="BR646" i="5"/>
  <c r="BR634" i="5"/>
  <c r="BR622" i="5"/>
  <c r="BR610" i="5"/>
  <c r="BR598" i="5"/>
  <c r="BR586" i="5"/>
  <c r="BR574" i="5"/>
  <c r="BR562" i="5"/>
  <c r="BR550" i="5"/>
  <c r="BR538" i="5"/>
  <c r="BR526" i="5"/>
  <c r="BR514" i="5"/>
  <c r="BR502" i="5"/>
  <c r="BR490" i="5"/>
  <c r="BR478" i="5"/>
  <c r="BR466" i="5"/>
  <c r="BR454" i="5"/>
  <c r="BR442" i="5"/>
  <c r="BR430" i="5"/>
  <c r="BR418" i="5"/>
  <c r="BR406" i="5"/>
  <c r="BR394" i="5"/>
  <c r="BR382" i="5"/>
  <c r="BR370" i="5"/>
  <c r="BR358" i="5"/>
  <c r="BR346" i="5"/>
  <c r="BR334" i="5"/>
  <c r="BR322" i="5"/>
  <c r="BR310" i="5"/>
  <c r="BR298" i="5"/>
  <c r="BR286" i="5"/>
  <c r="BR274" i="5"/>
  <c r="BR262" i="5"/>
  <c r="BR250" i="5"/>
  <c r="BR238" i="5"/>
  <c r="BR226" i="5"/>
  <c r="BR214" i="5"/>
  <c r="BR202" i="5"/>
  <c r="BR190" i="5"/>
  <c r="BR178" i="5"/>
  <c r="BR166" i="5"/>
  <c r="BR154" i="5"/>
  <c r="BR142" i="5"/>
  <c r="BR130" i="5"/>
  <c r="BR118" i="5"/>
  <c r="BR106" i="5"/>
  <c r="BR94" i="5"/>
  <c r="BR82" i="5"/>
  <c r="BR70" i="5"/>
  <c r="BR58" i="5"/>
  <c r="BR46" i="5"/>
  <c r="BR34" i="5"/>
  <c r="BR22" i="5"/>
  <c r="BR10" i="5"/>
  <c r="BR2742" i="5"/>
  <c r="BR1041" i="5"/>
  <c r="BR1029" i="5"/>
  <c r="BR1017" i="5"/>
  <c r="BR1005" i="5"/>
  <c r="BR993" i="5"/>
  <c r="BR981" i="5"/>
  <c r="BR969" i="5"/>
  <c r="BR957" i="5"/>
  <c r="BR945" i="5"/>
  <c r="BR933" i="5"/>
  <c r="BR921" i="5"/>
  <c r="BR909" i="5"/>
  <c r="BR897" i="5"/>
  <c r="BR885" i="5"/>
  <c r="BR873" i="5"/>
  <c r="BR861" i="5"/>
  <c r="BR849" i="5"/>
  <c r="BR837" i="5"/>
  <c r="BR825" i="5"/>
  <c r="BR813" i="5"/>
  <c r="BR801" i="5"/>
  <c r="BR789" i="5"/>
  <c r="BR777" i="5"/>
  <c r="BR765" i="5"/>
  <c r="BR753" i="5"/>
  <c r="BR741" i="5"/>
  <c r="BR729" i="5"/>
  <c r="BR717" i="5"/>
  <c r="BR705" i="5"/>
  <c r="BR693" i="5"/>
  <c r="BR681" i="5"/>
  <c r="BR669" i="5"/>
  <c r="BR657" i="5"/>
  <c r="BR645" i="5"/>
  <c r="BR633" i="5"/>
  <c r="BR621" i="5"/>
  <c r="BR609" i="5"/>
  <c r="BR597" i="5"/>
  <c r="BR585" i="5"/>
  <c r="BR573" i="5"/>
  <c r="BR561" i="5"/>
  <c r="BR549" i="5"/>
  <c r="BR537" i="5"/>
  <c r="BR525" i="5"/>
  <c r="BR513" i="5"/>
  <c r="BR501" i="5"/>
  <c r="BR489" i="5"/>
  <c r="BR477" i="5"/>
  <c r="BR465" i="5"/>
  <c r="BR453" i="5"/>
  <c r="BR441" i="5"/>
  <c r="BR429" i="5"/>
  <c r="BR417" i="5"/>
  <c r="BR405" i="5"/>
  <c r="BR393" i="5"/>
  <c r="BR381" i="5"/>
  <c r="BR369" i="5"/>
  <c r="BR357" i="5"/>
  <c r="BR345" i="5"/>
  <c r="BR333" i="5"/>
  <c r="BR321" i="5"/>
  <c r="BR309" i="5"/>
  <c r="BR297" i="5"/>
  <c r="BR285" i="5"/>
  <c r="BR273" i="5"/>
  <c r="BR261" i="5"/>
  <c r="BR249" i="5"/>
  <c r="BR237" i="5"/>
  <c r="BR225" i="5"/>
  <c r="BR213" i="5"/>
  <c r="BR201" i="5"/>
  <c r="BR189" i="5"/>
  <c r="BR177" i="5"/>
  <c r="BR165" i="5"/>
  <c r="BR153" i="5"/>
  <c r="BR141" i="5"/>
  <c r="BR129" i="5"/>
  <c r="BR117" i="5"/>
  <c r="BR105" i="5"/>
  <c r="BR93" i="5"/>
  <c r="BR81" i="5"/>
  <c r="BR69" i="5"/>
  <c r="BR57" i="5"/>
  <c r="BR45" i="5"/>
  <c r="BR33" i="5"/>
  <c r="BR21" i="5"/>
  <c r="BR9" i="5"/>
  <c r="BR2741" i="5"/>
  <c r="BR1040" i="5"/>
  <c r="BR1028" i="5"/>
  <c r="BR1016" i="5"/>
  <c r="BR1004" i="5"/>
  <c r="BR992" i="5"/>
  <c r="BR980" i="5"/>
  <c r="BR968" i="5"/>
  <c r="BR956" i="5"/>
  <c r="BR944" i="5"/>
  <c r="BR932" i="5"/>
  <c r="BR920" i="5"/>
  <c r="BR908" i="5"/>
  <c r="BR896" i="5"/>
  <c r="BR884" i="5"/>
  <c r="BR872" i="5"/>
  <c r="BR860" i="5"/>
  <c r="BR848" i="5"/>
  <c r="BR836" i="5"/>
  <c r="BR824" i="5"/>
  <c r="BR812" i="5"/>
  <c r="BR800" i="5"/>
  <c r="BR788" i="5"/>
  <c r="BR776" i="5"/>
  <c r="BR764" i="5"/>
  <c r="BR752" i="5"/>
  <c r="BR740" i="5"/>
  <c r="BR728" i="5"/>
  <c r="BR716" i="5"/>
  <c r="BR704" i="5"/>
  <c r="BR692" i="5"/>
  <c r="BR680" i="5"/>
  <c r="BR668" i="5"/>
  <c r="BR656" i="5"/>
  <c r="BR644" i="5"/>
  <c r="BR632" i="5"/>
  <c r="BR620" i="5"/>
  <c r="BR608" i="5"/>
  <c r="BR596" i="5"/>
  <c r="BR584" i="5"/>
  <c r="BR572" i="5"/>
  <c r="BR560" i="5"/>
  <c r="BR548" i="5"/>
  <c r="BR536" i="5"/>
  <c r="BR524" i="5"/>
  <c r="BR512" i="5"/>
  <c r="BR500" i="5"/>
  <c r="BR488" i="5"/>
  <c r="BR476" i="5"/>
  <c r="BR464" i="5"/>
  <c r="BR452" i="5"/>
  <c r="BR440" i="5"/>
  <c r="BR428" i="5"/>
  <c r="BR416" i="5"/>
  <c r="BR404" i="5"/>
  <c r="BR392" i="5"/>
  <c r="BR380" i="5"/>
  <c r="BR368" i="5"/>
  <c r="BR356" i="5"/>
  <c r="BR344" i="5"/>
  <c r="BR332" i="5"/>
  <c r="BR320" i="5"/>
  <c r="BR308" i="5"/>
  <c r="BR296" i="5"/>
  <c r="BR284" i="5"/>
  <c r="BR272" i="5"/>
  <c r="BR260" i="5"/>
  <c r="BR248" i="5"/>
  <c r="BR236" i="5"/>
  <c r="BR224" i="5"/>
  <c r="BR212" i="5"/>
  <c r="BR200" i="5"/>
  <c r="BR188" i="5"/>
  <c r="BR176" i="5"/>
  <c r="BR164" i="5"/>
  <c r="BR152" i="5"/>
  <c r="BR140" i="5"/>
  <c r="BR128" i="5"/>
  <c r="BR116" i="5"/>
  <c r="BR104" i="5"/>
  <c r="BR92" i="5"/>
  <c r="BR80" i="5"/>
  <c r="BR68" i="5"/>
  <c r="BR56" i="5"/>
  <c r="BR44" i="5"/>
  <c r="BR32" i="5"/>
  <c r="BR20" i="5"/>
  <c r="BR8" i="5"/>
  <c r="BR2740" i="5"/>
  <c r="BR1039" i="5"/>
  <c r="BR1027" i="5"/>
  <c r="BR1015" i="5"/>
  <c r="BR1003" i="5"/>
  <c r="BR991" i="5"/>
  <c r="BR979" i="5"/>
  <c r="BR967" i="5"/>
  <c r="BR955" i="5"/>
  <c r="BR943" i="5"/>
  <c r="BR931" i="5"/>
  <c r="BR919" i="5"/>
  <c r="BR907" i="5"/>
  <c r="BR895" i="5"/>
  <c r="BR883" i="5"/>
  <c r="BR871" i="5"/>
  <c r="BR859" i="5"/>
  <c r="BR847" i="5"/>
  <c r="BR835" i="5"/>
  <c r="BR823" i="5"/>
  <c r="BR811" i="5"/>
  <c r="BR799" i="5"/>
  <c r="BR787" i="5"/>
  <c r="BR775" i="5"/>
  <c r="BR763" i="5"/>
  <c r="BR751" i="5"/>
  <c r="BR739" i="5"/>
  <c r="BR727" i="5"/>
  <c r="BR715" i="5"/>
  <c r="BR703" i="5"/>
  <c r="BR691" i="5"/>
  <c r="BR679" i="5"/>
  <c r="BR667" i="5"/>
  <c r="BR655" i="5"/>
  <c r="BR643" i="5"/>
  <c r="BR631" i="5"/>
  <c r="BR619" i="5"/>
  <c r="BR607" i="5"/>
  <c r="BR595" i="5"/>
  <c r="BR583" i="5"/>
  <c r="BR571" i="5"/>
  <c r="BR559" i="5"/>
  <c r="BR547" i="5"/>
  <c r="BR535" i="5"/>
  <c r="BR523" i="5"/>
  <c r="BR511" i="5"/>
  <c r="BR499" i="5"/>
  <c r="BR487" i="5"/>
  <c r="BR475" i="5"/>
  <c r="BR463" i="5"/>
  <c r="BR451" i="5"/>
  <c r="BR439" i="5"/>
  <c r="BR427" i="5"/>
  <c r="BR415" i="5"/>
  <c r="BR403" i="5"/>
  <c r="BR391" i="5"/>
  <c r="BR379" i="5"/>
  <c r="BR367" i="5"/>
  <c r="BR355" i="5"/>
  <c r="BR343" i="5"/>
  <c r="BR331" i="5"/>
  <c r="BR319" i="5"/>
  <c r="BR307" i="5"/>
  <c r="BR295" i="5"/>
  <c r="BR283" i="5"/>
  <c r="BR271" i="5"/>
  <c r="BR259" i="5"/>
  <c r="BR247" i="5"/>
  <c r="BR235" i="5"/>
  <c r="BR223" i="5"/>
  <c r="BR211" i="5"/>
  <c r="BR199" i="5"/>
  <c r="BR187" i="5"/>
  <c r="BR175" i="5"/>
  <c r="BR163" i="5"/>
  <c r="BR151" i="5"/>
  <c r="BR139" i="5"/>
  <c r="BR127" i="5"/>
  <c r="BR115" i="5"/>
  <c r="BR103" i="5"/>
  <c r="BR91" i="5"/>
  <c r="BR79" i="5"/>
  <c r="BR67" i="5"/>
  <c r="BR55" i="5"/>
  <c r="BR43" i="5"/>
  <c r="BR31" i="5"/>
  <c r="BR19" i="5"/>
  <c r="BR7" i="5"/>
  <c r="BR2739" i="5"/>
  <c r="BR1038" i="5"/>
  <c r="BR1026" i="5"/>
  <c r="BR1014" i="5"/>
  <c r="BR1002" i="5"/>
  <c r="BR990" i="5"/>
  <c r="BR978" i="5"/>
  <c r="BR966" i="5"/>
  <c r="BR954" i="5"/>
  <c r="BR942" i="5"/>
  <c r="BR930" i="5"/>
  <c r="BR918" i="5"/>
  <c r="BR906" i="5"/>
  <c r="BR894" i="5"/>
  <c r="BR882" i="5"/>
  <c r="BR870" i="5"/>
  <c r="BR858" i="5"/>
  <c r="BR846" i="5"/>
  <c r="BR834" i="5"/>
  <c r="BR822" i="5"/>
  <c r="BR810" i="5"/>
  <c r="BR798" i="5"/>
  <c r="BR786" i="5"/>
  <c r="BR774" i="5"/>
  <c r="BR762" i="5"/>
  <c r="BR750" i="5"/>
  <c r="BR738" i="5"/>
  <c r="BR726" i="5"/>
  <c r="BR714" i="5"/>
  <c r="BR702" i="5"/>
  <c r="BR690" i="5"/>
  <c r="BR678" i="5"/>
  <c r="BR666" i="5"/>
  <c r="BR654" i="5"/>
  <c r="BR642" i="5"/>
  <c r="BR630" i="5"/>
  <c r="BR618" i="5"/>
  <c r="BR606" i="5"/>
  <c r="BR594" i="5"/>
  <c r="BR582" i="5"/>
  <c r="BR570" i="5"/>
  <c r="BR558" i="5"/>
  <c r="BR546" i="5"/>
  <c r="BR534" i="5"/>
  <c r="BR522" i="5"/>
  <c r="BR510" i="5"/>
  <c r="BR498" i="5"/>
  <c r="BR486" i="5"/>
  <c r="BR474" i="5"/>
  <c r="BR462" i="5"/>
  <c r="BR450" i="5"/>
  <c r="BR438" i="5"/>
  <c r="BR426" i="5"/>
  <c r="BR414" i="5"/>
  <c r="BR402" i="5"/>
  <c r="BR390" i="5"/>
  <c r="BR378" i="5"/>
  <c r="BR366" i="5"/>
  <c r="BR354" i="5"/>
  <c r="BR342" i="5"/>
  <c r="BR330" i="5"/>
  <c r="BR318" i="5"/>
  <c r="BR306" i="5"/>
  <c r="BR294" i="5"/>
  <c r="BR282" i="5"/>
  <c r="BR270" i="5"/>
  <c r="BR258" i="5"/>
  <c r="BR246" i="5"/>
  <c r="BR234" i="5"/>
  <c r="BR222" i="5"/>
  <c r="BR210" i="5"/>
  <c r="BY210" i="5" s="1"/>
  <c r="CC210" i="5" s="1"/>
  <c r="BR198" i="5"/>
  <c r="BR186" i="5"/>
  <c r="BR174" i="5"/>
  <c r="BR162" i="5"/>
  <c r="BR150" i="5"/>
  <c r="BR138" i="5"/>
  <c r="BR126" i="5"/>
  <c r="BR114" i="5"/>
  <c r="BR102" i="5"/>
  <c r="BR90" i="5"/>
  <c r="BR78" i="5"/>
  <c r="BR66" i="5"/>
  <c r="BR54" i="5"/>
  <c r="BR42" i="5"/>
  <c r="BR30" i="5"/>
  <c r="BR18" i="5"/>
  <c r="BR6" i="5"/>
  <c r="BR2738" i="5"/>
  <c r="BR1037" i="5"/>
  <c r="BR1025" i="5"/>
  <c r="BR1013" i="5"/>
  <c r="BR1001" i="5"/>
  <c r="BR989" i="5"/>
  <c r="BR977" i="5"/>
  <c r="BR965" i="5"/>
  <c r="BR953" i="5"/>
  <c r="BR941" i="5"/>
  <c r="BR929" i="5"/>
  <c r="BR917" i="5"/>
  <c r="BR905" i="5"/>
  <c r="BR893" i="5"/>
  <c r="BR881" i="5"/>
  <c r="BR869" i="5"/>
  <c r="BR857" i="5"/>
  <c r="BR845" i="5"/>
  <c r="BR833" i="5"/>
  <c r="BR821" i="5"/>
  <c r="BR809" i="5"/>
  <c r="BR797" i="5"/>
  <c r="BR785" i="5"/>
  <c r="BR773" i="5"/>
  <c r="BR761" i="5"/>
  <c r="BR749" i="5"/>
  <c r="BR737" i="5"/>
  <c r="BR725" i="5"/>
  <c r="BR713" i="5"/>
  <c r="BR701" i="5"/>
  <c r="BR689" i="5"/>
  <c r="BR677" i="5"/>
  <c r="BR665" i="5"/>
  <c r="BR653" i="5"/>
  <c r="BR641" i="5"/>
  <c r="BR629" i="5"/>
  <c r="BR617" i="5"/>
  <c r="BR605" i="5"/>
  <c r="BR593" i="5"/>
  <c r="BR581" i="5"/>
  <c r="BR569" i="5"/>
  <c r="BR557" i="5"/>
  <c r="BR545" i="5"/>
  <c r="BR533" i="5"/>
  <c r="BR521" i="5"/>
  <c r="BR509" i="5"/>
  <c r="BR497" i="5"/>
  <c r="BR485" i="5"/>
  <c r="BR473" i="5"/>
  <c r="BR461" i="5"/>
  <c r="BR449" i="5"/>
  <c r="BR437" i="5"/>
  <c r="BR425" i="5"/>
  <c r="BR413" i="5"/>
  <c r="BR401" i="5"/>
  <c r="BR389" i="5"/>
  <c r="BR377" i="5"/>
  <c r="BR365" i="5"/>
  <c r="BR353" i="5"/>
  <c r="BR341" i="5"/>
  <c r="BR329" i="5"/>
  <c r="BR317" i="5"/>
  <c r="BR305" i="5"/>
  <c r="BR293" i="5"/>
  <c r="BR281" i="5"/>
  <c r="BR269" i="5"/>
  <c r="BR257" i="5"/>
  <c r="BR245" i="5"/>
  <c r="BR233" i="5"/>
  <c r="BR221" i="5"/>
  <c r="BR209" i="5"/>
  <c r="BR197" i="5"/>
  <c r="BR185" i="5"/>
  <c r="BR173" i="5"/>
  <c r="BR161" i="5"/>
  <c r="BR149" i="5"/>
  <c r="BR137" i="5"/>
  <c r="BR125" i="5"/>
  <c r="BR113" i="5"/>
  <c r="BR101" i="5"/>
  <c r="BR89" i="5"/>
  <c r="BR77" i="5"/>
  <c r="BR65" i="5"/>
  <c r="BR53" i="5"/>
  <c r="BR41" i="5"/>
  <c r="BR29" i="5"/>
  <c r="BR17" i="5"/>
  <c r="BR5" i="5"/>
  <c r="CB2492" i="5"/>
  <c r="BH2522" i="5"/>
  <c r="BH2534" i="5"/>
  <c r="BH2546" i="5"/>
  <c r="BH2558" i="5"/>
  <c r="BH2570" i="5"/>
  <c r="BH2582" i="5"/>
  <c r="BH2594" i="5"/>
  <c r="BH2606" i="5"/>
  <c r="BH2618" i="5"/>
  <c r="BH2630" i="5"/>
  <c r="BH2642" i="5"/>
  <c r="BH2654" i="5"/>
  <c r="BH2666" i="5"/>
  <c r="BH2678" i="5"/>
  <c r="BH2690" i="5"/>
  <c r="BH2702" i="5"/>
  <c r="BH2714" i="5"/>
  <c r="BH2726" i="5"/>
  <c r="H54" i="2"/>
  <c r="H52" i="2"/>
  <c r="H51" i="2"/>
  <c r="H50" i="2"/>
  <c r="H49" i="2"/>
  <c r="H48" i="2"/>
  <c r="G47" i="2"/>
  <c r="H47" i="2" s="1"/>
  <c r="BY2710" i="5" l="1"/>
  <c r="CC2710" i="5" s="1"/>
  <c r="BY2698" i="5"/>
  <c r="CC2698" i="5" s="1"/>
  <c r="BY2717" i="5"/>
  <c r="CC2717" i="5" s="1"/>
  <c r="BY2531" i="5"/>
  <c r="CC2531" i="5" s="1"/>
  <c r="BY2727" i="5"/>
  <c r="CC2727" i="5" s="1"/>
  <c r="BY2526" i="5"/>
  <c r="CC2526" i="5" s="1"/>
  <c r="BY2612" i="5"/>
  <c r="CC2612" i="5" s="1"/>
  <c r="CG2838" i="5"/>
  <c r="BY2636" i="5"/>
  <c r="CC2636" i="5" s="1"/>
  <c r="BY2574" i="5"/>
  <c r="CC2574" i="5" s="1"/>
  <c r="BY2660" i="5"/>
  <c r="CC2660" i="5" s="1"/>
  <c r="BY2684" i="5"/>
  <c r="CC2684" i="5" s="1"/>
  <c r="BY2736" i="5"/>
  <c r="CC2736" i="5" s="1"/>
  <c r="BY2594" i="5"/>
  <c r="CC2594" i="5" s="1"/>
  <c r="BY2606" i="5"/>
  <c r="CC2606" i="5" s="1"/>
  <c r="CD2606" i="5" s="1"/>
  <c r="BY2618" i="5"/>
  <c r="CC2618" i="5" s="1"/>
  <c r="BY2693" i="5"/>
  <c r="CC2693" i="5" s="1"/>
  <c r="CD2693" i="5" s="1"/>
  <c r="BY2630" i="5"/>
  <c r="CC2630" i="5" s="1"/>
  <c r="CD2630" i="5" s="1"/>
  <c r="BY2654" i="5"/>
  <c r="CC2654" i="5" s="1"/>
  <c r="CD2654" i="5" s="1"/>
  <c r="BY2529" i="5"/>
  <c r="CC2529" i="5" s="1"/>
  <c r="CG2810" i="5"/>
  <c r="CG2827" i="5"/>
  <c r="CG2834" i="5"/>
  <c r="CG2858" i="5"/>
  <c r="CG2843" i="5"/>
  <c r="CG2772" i="5"/>
  <c r="CG2836" i="5"/>
  <c r="CG2851" i="5"/>
  <c r="CG2823" i="5"/>
  <c r="CG2809" i="5"/>
  <c r="CG2835" i="5"/>
  <c r="CG2822" i="5"/>
  <c r="CG2839" i="5"/>
  <c r="CG2824" i="5"/>
  <c r="CG2828" i="5"/>
  <c r="CG2845" i="5"/>
  <c r="CG2840" i="5"/>
  <c r="CG2855" i="5"/>
  <c r="CG2846" i="5"/>
  <c r="CG2752" i="5"/>
  <c r="CG2863" i="5"/>
  <c r="CG2776" i="5"/>
  <c r="CG2751" i="5"/>
  <c r="CG2852" i="5"/>
  <c r="CG2853" i="5"/>
  <c r="CG2841" i="5"/>
  <c r="CG2860" i="5"/>
  <c r="CG2811" i="5"/>
  <c r="CG2815" i="5"/>
  <c r="CG2848" i="5"/>
  <c r="CG2778" i="5"/>
  <c r="CG2813" i="5"/>
  <c r="CG2794" i="5"/>
  <c r="CG2768" i="5"/>
  <c r="CG2758" i="5"/>
  <c r="CG2831" i="5"/>
  <c r="CE2849" i="5"/>
  <c r="CG2849" i="5" s="1"/>
  <c r="CG2857" i="5"/>
  <c r="BY2542" i="5"/>
  <c r="CC2542" i="5" s="1"/>
  <c r="CD2542" i="5" s="1"/>
  <c r="BY2686" i="5"/>
  <c r="CC2686" i="5" s="1"/>
  <c r="CD2686" i="5" s="1"/>
  <c r="BY2580" i="5"/>
  <c r="CC2580" i="5" s="1"/>
  <c r="CD2580" i="5" s="1"/>
  <c r="BY2724" i="5"/>
  <c r="CC2724" i="5" s="1"/>
  <c r="CD2724" i="5" s="1"/>
  <c r="CG2800" i="5"/>
  <c r="BY2523" i="5"/>
  <c r="CC2523" i="5" s="1"/>
  <c r="CD2523" i="5" s="1"/>
  <c r="BY2667" i="5"/>
  <c r="CC2667" i="5" s="1"/>
  <c r="CD2667" i="5" s="1"/>
  <c r="BY2627" i="5"/>
  <c r="CC2627" i="5" s="1"/>
  <c r="CD2627" i="5" s="1"/>
  <c r="CE2816" i="5"/>
  <c r="CG2816" i="5" s="1"/>
  <c r="CE2812" i="5"/>
  <c r="CG2812" i="5" s="1"/>
  <c r="CE2814" i="5"/>
  <c r="CG2814" i="5" s="1"/>
  <c r="CG2818" i="5"/>
  <c r="BY2534" i="5"/>
  <c r="CC2534" i="5" s="1"/>
  <c r="CD2534" i="5" s="1"/>
  <c r="BY2678" i="5"/>
  <c r="CC2678" i="5" s="1"/>
  <c r="CD2678" i="5" s="1"/>
  <c r="CG2784" i="5"/>
  <c r="BY2530" i="5"/>
  <c r="CC2530" i="5" s="1"/>
  <c r="CD2530" i="5" s="1"/>
  <c r="BY2674" i="5"/>
  <c r="CC2674" i="5" s="1"/>
  <c r="CD2674" i="5" s="1"/>
  <c r="BY2568" i="5"/>
  <c r="CC2568" i="5" s="1"/>
  <c r="CD2568" i="5" s="1"/>
  <c r="BY2712" i="5"/>
  <c r="CC2712" i="5" s="1"/>
  <c r="CD2712" i="5" s="1"/>
  <c r="CG2797" i="5"/>
  <c r="CG2765" i="5"/>
  <c r="BY2631" i="5"/>
  <c r="CC2631" i="5" s="1"/>
  <c r="CD2631" i="5" s="1"/>
  <c r="CG2767" i="5"/>
  <c r="CG2803" i="5"/>
  <c r="BY2498" i="5"/>
  <c r="CC2498" i="5" s="1"/>
  <c r="CD2498" i="5" s="1"/>
  <c r="BY2642" i="5"/>
  <c r="CC2642" i="5" s="1"/>
  <c r="CD2642" i="5" s="1"/>
  <c r="BY2488" i="5"/>
  <c r="CC2488" i="5" s="1"/>
  <c r="BY2555" i="5"/>
  <c r="CC2555" i="5" s="1"/>
  <c r="CD2555" i="5" s="1"/>
  <c r="BY2699" i="5"/>
  <c r="CC2699" i="5" s="1"/>
  <c r="CD2699" i="5" s="1"/>
  <c r="CG2773" i="5"/>
  <c r="BY2741" i="5"/>
  <c r="CC2741" i="5" s="1"/>
  <c r="CD2741" i="5" s="1"/>
  <c r="CG2793" i="5"/>
  <c r="CG2785" i="5"/>
  <c r="BY2563" i="5"/>
  <c r="CC2563" i="5" s="1"/>
  <c r="CD2563" i="5" s="1"/>
  <c r="BY2707" i="5"/>
  <c r="CC2707" i="5" s="1"/>
  <c r="CD2707" i="5" s="1"/>
  <c r="CG2760" i="5"/>
  <c r="BY2638" i="5"/>
  <c r="CC2638" i="5" s="1"/>
  <c r="CD2638" i="5" s="1"/>
  <c r="BY2532" i="5"/>
  <c r="CC2532" i="5" s="1"/>
  <c r="CD2532" i="5" s="1"/>
  <c r="BY2676" i="5"/>
  <c r="CC2676" i="5" s="1"/>
  <c r="CD2676" i="5" s="1"/>
  <c r="BY2591" i="5"/>
  <c r="CC2591" i="5" s="1"/>
  <c r="CD2591" i="5" s="1"/>
  <c r="BY2735" i="5"/>
  <c r="CC2735" i="5" s="1"/>
  <c r="CD2735" i="5" s="1"/>
  <c r="CE2762" i="5"/>
  <c r="CG2762" i="5" s="1"/>
  <c r="BY2503" i="5"/>
  <c r="CC2503" i="5" s="1"/>
  <c r="CD2503" i="5" s="1"/>
  <c r="BY2515" i="5"/>
  <c r="CC2515" i="5" s="1"/>
  <c r="CD2515" i="5" s="1"/>
  <c r="BY2659" i="5"/>
  <c r="CC2659" i="5" s="1"/>
  <c r="CD2659" i="5" s="1"/>
  <c r="BY2647" i="5"/>
  <c r="CC2647" i="5" s="1"/>
  <c r="CD2647" i="5" s="1"/>
  <c r="BY2539" i="5"/>
  <c r="CC2539" i="5" s="1"/>
  <c r="CD2539" i="5" s="1"/>
  <c r="BY2683" i="5"/>
  <c r="CC2683" i="5" s="1"/>
  <c r="CD2683" i="5" s="1"/>
  <c r="BY2614" i="5"/>
  <c r="CC2614" i="5" s="1"/>
  <c r="CD2614" i="5" s="1"/>
  <c r="BY2508" i="5"/>
  <c r="CC2508" i="5" s="1"/>
  <c r="CD2508" i="5" s="1"/>
  <c r="BY2652" i="5"/>
  <c r="CC2652" i="5" s="1"/>
  <c r="CD2652" i="5" s="1"/>
  <c r="BY2506" i="5"/>
  <c r="CC2506" i="5" s="1"/>
  <c r="CD2506" i="5" s="1"/>
  <c r="BY2650" i="5"/>
  <c r="CC2650" i="5" s="1"/>
  <c r="CD2650" i="5" s="1"/>
  <c r="BS2546" i="5"/>
  <c r="BZ2546" i="5" s="1"/>
  <c r="CA2546" i="5" s="1"/>
  <c r="BS2630" i="5"/>
  <c r="BZ2630" i="5" s="1"/>
  <c r="CA2630" i="5" s="1"/>
  <c r="BS2618" i="5"/>
  <c r="BZ2618" i="5" s="1"/>
  <c r="CA2618" i="5" s="1"/>
  <c r="BS2606" i="5"/>
  <c r="BZ2606" i="5" s="1"/>
  <c r="CA2606" i="5" s="1"/>
  <c r="BS2594" i="5"/>
  <c r="BZ2594" i="5" s="1"/>
  <c r="CA2594" i="5" s="1"/>
  <c r="BS2582" i="5"/>
  <c r="BZ2582" i="5" s="1"/>
  <c r="CA2582" i="5" s="1"/>
  <c r="BS2726" i="5"/>
  <c r="BZ2726" i="5" s="1"/>
  <c r="CA2726" i="5" s="1"/>
  <c r="BS2714" i="5"/>
  <c r="BZ2714" i="5" s="1"/>
  <c r="CA2714" i="5" s="1"/>
  <c r="BS2570" i="5"/>
  <c r="BZ2570" i="5" s="1"/>
  <c r="CA2570" i="5" s="1"/>
  <c r="BS2702" i="5"/>
  <c r="BZ2702" i="5" s="1"/>
  <c r="CA2702" i="5" s="1"/>
  <c r="BS2558" i="5"/>
  <c r="BZ2558" i="5" s="1"/>
  <c r="CA2558" i="5" s="1"/>
  <c r="BS2534" i="5"/>
  <c r="BZ2534" i="5" s="1"/>
  <c r="CA2534" i="5" s="1"/>
  <c r="BS2666" i="5"/>
  <c r="BZ2666" i="5" s="1"/>
  <c r="CA2666" i="5" s="1"/>
  <c r="BS2522" i="5"/>
  <c r="BZ2522" i="5" s="1"/>
  <c r="CA2522" i="5" s="1"/>
  <c r="BS2690" i="5"/>
  <c r="BZ2690" i="5" s="1"/>
  <c r="CA2690" i="5" s="1"/>
  <c r="BS2678" i="5"/>
  <c r="BZ2678" i="5" s="1"/>
  <c r="CA2678" i="5" s="1"/>
  <c r="BS2654" i="5"/>
  <c r="BZ2654" i="5" s="1"/>
  <c r="CA2654" i="5" s="1"/>
  <c r="BS2510" i="5"/>
  <c r="BZ2510" i="5" s="1"/>
  <c r="CA2510" i="5" s="1"/>
  <c r="BS2642" i="5"/>
  <c r="BZ2642" i="5" s="1"/>
  <c r="CA2642" i="5" s="1"/>
  <c r="BS2498" i="5"/>
  <c r="BZ2498" i="5" s="1"/>
  <c r="CA2498" i="5" s="1"/>
  <c r="BY2743" i="5"/>
  <c r="CC2743" i="5" s="1"/>
  <c r="BY2609" i="5"/>
  <c r="CC2609" i="5" s="1"/>
  <c r="BY2502" i="5"/>
  <c r="CC2502" i="5" s="1"/>
  <c r="BY2646" i="5"/>
  <c r="CC2646" i="5" s="1"/>
  <c r="BY2613" i="5"/>
  <c r="BY2590" i="5"/>
  <c r="CC2590" i="5" s="1"/>
  <c r="BY2734" i="5"/>
  <c r="CC2734" i="5" s="1"/>
  <c r="BY2519" i="5"/>
  <c r="CC2519" i="5" s="1"/>
  <c r="CD2519" i="5" s="1"/>
  <c r="BY2663" i="5"/>
  <c r="CC2663" i="5" s="1"/>
  <c r="CD2663" i="5" s="1"/>
  <c r="BY2628" i="5"/>
  <c r="CC2628" i="5" s="1"/>
  <c r="BY2608" i="5"/>
  <c r="BY2739" i="5"/>
  <c r="CC2739" i="5" s="1"/>
  <c r="BY2742" i="5"/>
  <c r="CC2742" i="5" s="1"/>
  <c r="BY2513" i="5"/>
  <c r="CC2513" i="5" s="1"/>
  <c r="CD2513" i="5" s="1"/>
  <c r="BY2657" i="5"/>
  <c r="CC2657" i="5" s="1"/>
  <c r="CD2657" i="5" s="1"/>
  <c r="BY2517" i="5"/>
  <c r="CC2517" i="5" s="1"/>
  <c r="BY2661" i="5"/>
  <c r="CC2661" i="5" s="1"/>
  <c r="CD2661" i="5" s="1"/>
  <c r="BY2494" i="5"/>
  <c r="CC2494" i="5" s="1"/>
  <c r="BY2711" i="5"/>
  <c r="CC2711" i="5" s="1"/>
  <c r="BY2740" i="5"/>
  <c r="BY2738" i="5"/>
  <c r="CC2738" i="5" s="1"/>
  <c r="CD2738" i="5" s="1"/>
  <c r="BY2597" i="5"/>
  <c r="CC2597" i="5" s="1"/>
  <c r="BY2601" i="5"/>
  <c r="CC2601" i="5" s="1"/>
  <c r="CD2601" i="5" s="1"/>
  <c r="BY2578" i="5"/>
  <c r="CC2578" i="5" s="1"/>
  <c r="BY2722" i="5"/>
  <c r="CC2722" i="5" s="1"/>
  <c r="BY2507" i="5"/>
  <c r="CC2507" i="5" s="1"/>
  <c r="CD2507" i="5" s="1"/>
  <c r="BY2651" i="5"/>
  <c r="CC2651" i="5" s="1"/>
  <c r="CD2651" i="5" s="1"/>
  <c r="BY2616" i="5"/>
  <c r="CC2616" i="5" s="1"/>
  <c r="BY2596" i="5"/>
  <c r="CC2596" i="5" s="1"/>
  <c r="CD2596" i="5" s="1"/>
  <c r="CD2516" i="5"/>
  <c r="CD2571" i="5"/>
  <c r="CD2684" i="5"/>
  <c r="CD2666" i="5"/>
  <c r="CD2584" i="5"/>
  <c r="CD2658" i="5"/>
  <c r="CD2544" i="5"/>
  <c r="CD2595" i="5"/>
  <c r="CD2540" i="5"/>
  <c r="CD2696" i="5"/>
  <c r="CD2641" i="5"/>
  <c r="CD2702" i="5"/>
  <c r="CD2670" i="5"/>
  <c r="CD2592" i="5"/>
  <c r="CD2547" i="5"/>
  <c r="CD2691" i="5"/>
  <c r="CD2634" i="5"/>
  <c r="CD2527" i="5"/>
  <c r="CD2671" i="5"/>
  <c r="CD2564" i="5"/>
  <c r="CD2708" i="5"/>
  <c r="CD2509" i="5"/>
  <c r="CD2653" i="5"/>
  <c r="CD2491" i="5"/>
  <c r="CD2559" i="5"/>
  <c r="CD2703" i="5"/>
  <c r="CD2720" i="5"/>
  <c r="CD2521" i="5"/>
  <c r="CD2618" i="5"/>
  <c r="CD2620" i="5"/>
  <c r="CD2497" i="5"/>
  <c r="CD2677" i="5"/>
  <c r="CD2611" i="5"/>
  <c r="CD2576" i="5"/>
  <c r="CD2643" i="5"/>
  <c r="CD2588" i="5"/>
  <c r="CD2533" i="5"/>
  <c r="CD2689" i="5"/>
  <c r="CD2599" i="5"/>
  <c r="CD2635" i="5"/>
  <c r="CD2690" i="5"/>
  <c r="CD2623" i="5"/>
  <c r="CD2551" i="5"/>
  <c r="CD2522" i="5"/>
  <c r="CD2714" i="5"/>
  <c r="CD2705" i="5"/>
  <c r="CD2552" i="5"/>
  <c r="CD2500" i="5"/>
  <c r="CD2679" i="5"/>
  <c r="CD2557" i="5"/>
  <c r="CD2607" i="5"/>
  <c r="CD2550" i="5"/>
  <c r="CD2694" i="5"/>
  <c r="CD2587" i="5"/>
  <c r="CD2731" i="5"/>
  <c r="CD2619" i="5"/>
  <c r="CD2655" i="5"/>
  <c r="CD2612" i="5"/>
  <c r="CD2713" i="5"/>
  <c r="CD2668" i="5"/>
  <c r="CD2726" i="5"/>
  <c r="CD2715" i="5"/>
  <c r="CD2624" i="5"/>
  <c r="CD2569" i="5"/>
  <c r="CD2725" i="5"/>
  <c r="CD2524" i="5"/>
  <c r="CD2680" i="5"/>
  <c r="CD2546" i="5"/>
  <c r="CD2583" i="5"/>
  <c r="CD2575" i="5"/>
  <c r="CD2600" i="5"/>
  <c r="CD2518" i="5"/>
  <c r="CD2695" i="5"/>
  <c r="CD2558" i="5"/>
  <c r="CD2665" i="5"/>
  <c r="CD2545" i="5"/>
  <c r="CD2727" i="5"/>
  <c r="CD2581" i="5"/>
  <c r="CD2492" i="5"/>
  <c r="CD2593" i="5"/>
  <c r="CD2570" i="5"/>
  <c r="CD2538" i="5"/>
  <c r="CD2701" i="5"/>
  <c r="CD2499" i="5"/>
  <c r="CD2636" i="5"/>
  <c r="CD2737" i="5"/>
  <c r="CD2622" i="5"/>
  <c r="CD2692" i="5"/>
  <c r="CD2511" i="5"/>
  <c r="CD2648" i="5"/>
  <c r="CD2504" i="5"/>
  <c r="CD2660" i="5"/>
  <c r="CD2605" i="5"/>
  <c r="CD2716" i="5"/>
  <c r="CD2719" i="5"/>
  <c r="CD2582" i="5"/>
  <c r="CD2535" i="5"/>
  <c r="CD2617" i="5"/>
  <c r="CD2594" i="5"/>
  <c r="CD2732" i="5"/>
  <c r="CD2672" i="5"/>
  <c r="CD2572" i="5"/>
  <c r="CD2528" i="5"/>
  <c r="CD2629" i="5"/>
  <c r="CD2526" i="5"/>
  <c r="CD2556" i="5"/>
  <c r="CD2579" i="5"/>
  <c r="CD2525" i="5"/>
  <c r="CD2565" i="5"/>
  <c r="CD2682" i="5"/>
  <c r="CD2664" i="5"/>
  <c r="CD2566" i="5"/>
  <c r="CD2537" i="5"/>
  <c r="CD2562" i="5"/>
  <c r="CD2632" i="5"/>
  <c r="CD2577" i="5"/>
  <c r="CD2706" i="5"/>
  <c r="CD2736" i="5"/>
  <c r="CD2561" i="5"/>
  <c r="CD2604" i="5"/>
  <c r="CD2589" i="5"/>
  <c r="CD2510" i="5"/>
  <c r="CD2633" i="5"/>
  <c r="CD2574" i="5"/>
  <c r="CD2644" i="5"/>
  <c r="CD2718" i="5"/>
  <c r="CD2662" i="5"/>
  <c r="CD2615" i="5"/>
  <c r="CD2573" i="5"/>
  <c r="CD2586" i="5"/>
  <c r="CD2640" i="5"/>
  <c r="CD2656" i="5"/>
  <c r="CD2625" i="5"/>
  <c r="CD2730" i="5"/>
  <c r="CD2621" i="5"/>
  <c r="CD2710" i="5"/>
  <c r="CD2639" i="5"/>
  <c r="CD2645" i="5"/>
  <c r="CD2610" i="5"/>
  <c r="CD2649" i="5"/>
  <c r="CD2681" i="5"/>
  <c r="CD2698" i="5"/>
  <c r="CD2585" i="5"/>
  <c r="CD2675" i="5"/>
  <c r="CD2669" i="5"/>
  <c r="CD2688" i="5"/>
  <c r="CD2536" i="5"/>
  <c r="CD2673" i="5"/>
  <c r="CD2529" i="5"/>
  <c r="CD2501" i="5"/>
  <c r="CD2553" i="5"/>
  <c r="CD2603" i="5"/>
  <c r="CD2598" i="5"/>
  <c r="CD2637" i="5"/>
  <c r="CD2495" i="5"/>
  <c r="CD2687" i="5"/>
  <c r="CD2554" i="5"/>
  <c r="CD2700" i="5"/>
  <c r="CD2548" i="5"/>
  <c r="CD2704" i="5"/>
  <c r="CD2685" i="5"/>
  <c r="CD2709" i="5"/>
  <c r="CD2512" i="5"/>
  <c r="CD2493" i="5"/>
  <c r="CD2531" i="5"/>
  <c r="CD2717" i="5"/>
  <c r="CD2626" i="5"/>
  <c r="CD2560" i="5"/>
  <c r="CD2697" i="5"/>
  <c r="CD2733" i="5"/>
  <c r="CD2567" i="5"/>
  <c r="CD2602" i="5"/>
  <c r="CD2505" i="5"/>
  <c r="CD2723" i="5"/>
  <c r="CD2728" i="5"/>
  <c r="CD2721" i="5"/>
  <c r="CD2520" i="5"/>
  <c r="CD2496" i="5"/>
  <c r="CD2549" i="5"/>
  <c r="CD2543" i="5"/>
  <c r="CD2729" i="5"/>
  <c r="CD2514" i="5"/>
  <c r="CD2541" i="5"/>
  <c r="BT2" i="1"/>
  <c r="BT37" i="1"/>
  <c r="BT48" i="1"/>
  <c r="BT120" i="1"/>
  <c r="BT156" i="1"/>
  <c r="BT168" i="1"/>
  <c r="BT180" i="1"/>
  <c r="BT192" i="1"/>
  <c r="BT228" i="1"/>
  <c r="BT264" i="1"/>
  <c r="BT276" i="1"/>
  <c r="BT25" i="1"/>
  <c r="BT61" i="1"/>
  <c r="BT73" i="1"/>
  <c r="BT109" i="1"/>
  <c r="BT121" i="1"/>
  <c r="BT133" i="1"/>
  <c r="BT157" i="1"/>
  <c r="BT181" i="1"/>
  <c r="BT193" i="1"/>
  <c r="BT241" i="1"/>
  <c r="BT253" i="1"/>
  <c r="BT265" i="1"/>
  <c r="BT277" i="1"/>
  <c r="BT50" i="1"/>
  <c r="BT122" i="1"/>
  <c r="BT134" i="1"/>
  <c r="BT146" i="1"/>
  <c r="BT170" i="1"/>
  <c r="BT206" i="1"/>
  <c r="BT254" i="1"/>
  <c r="BT3" i="1"/>
  <c r="BT27" i="1"/>
  <c r="BT39" i="1"/>
  <c r="BT75" i="1"/>
  <c r="BT99" i="1"/>
  <c r="BT123" i="1"/>
  <c r="BT147" i="1"/>
  <c r="BT159" i="1"/>
  <c r="BT171" i="1"/>
  <c r="BT183" i="1"/>
  <c r="BT195" i="1"/>
  <c r="BT219" i="1"/>
  <c r="BT52" i="1"/>
  <c r="BT64" i="1"/>
  <c r="BT136" i="1"/>
  <c r="BT160" i="1"/>
  <c r="BT172" i="1"/>
  <c r="BT184" i="1"/>
  <c r="BT208" i="1"/>
  <c r="BT268" i="1"/>
  <c r="BT41" i="1"/>
  <c r="BT53" i="1"/>
  <c r="BT89" i="1"/>
  <c r="BT101" i="1"/>
  <c r="BT137" i="1"/>
  <c r="BT149" i="1"/>
  <c r="BT185" i="1"/>
  <c r="BT197" i="1"/>
  <c r="BT221" i="1"/>
  <c r="BT269" i="1"/>
  <c r="BT6" i="1"/>
  <c r="BT66" i="1"/>
  <c r="BT78" i="1"/>
  <c r="BT126" i="1"/>
  <c r="BT138" i="1"/>
  <c r="BT150" i="1"/>
  <c r="BT246" i="1"/>
  <c r="BT258" i="1"/>
  <c r="BT270" i="1"/>
  <c r="BT55" i="1"/>
  <c r="BT67" i="1"/>
  <c r="BT79" i="1"/>
  <c r="BT91" i="1"/>
  <c r="BT139" i="1"/>
  <c r="BT151" i="1"/>
  <c r="BT187" i="1"/>
  <c r="BT259" i="1"/>
  <c r="BT20" i="1"/>
  <c r="BT32" i="1"/>
  <c r="BT44" i="1"/>
  <c r="BT80" i="1"/>
  <c r="BT92" i="1"/>
  <c r="BT140" i="1"/>
  <c r="BT152" i="1"/>
  <c r="BT164" i="1"/>
  <c r="BT188" i="1"/>
  <c r="BT200" i="1"/>
  <c r="BT272" i="1"/>
  <c r="BT9" i="1"/>
  <c r="BT21" i="1"/>
  <c r="BT45" i="1"/>
  <c r="BT69" i="1"/>
  <c r="BT81" i="1"/>
  <c r="BT141" i="1"/>
  <c r="BT165" i="1"/>
  <c r="BT225" i="1"/>
  <c r="BT249" i="1"/>
  <c r="BT273" i="1"/>
  <c r="BT70" i="1"/>
  <c r="BT94" i="1"/>
  <c r="BT130" i="1"/>
  <c r="BT166" i="1"/>
  <c r="BT178" i="1"/>
  <c r="BT214" i="1"/>
  <c r="BT238" i="1"/>
  <c r="BT286" i="1"/>
  <c r="BT23" i="1"/>
  <c r="BT35" i="1"/>
  <c r="BT47" i="1"/>
  <c r="BT179" i="1"/>
  <c r="BT275" i="1"/>
  <c r="BT218" i="1"/>
  <c r="BT266" i="1"/>
  <c r="BT278" i="1"/>
  <c r="BT243" i="1"/>
  <c r="BT256" i="1"/>
  <c r="BT280" i="1"/>
  <c r="BT282" i="1"/>
  <c r="BT247" i="1"/>
  <c r="BT271" i="1"/>
  <c r="BT283" i="1"/>
  <c r="BT189" i="1"/>
  <c r="BT285" i="1"/>
  <c r="BT287" i="1"/>
  <c r="BT12" i="1"/>
  <c r="BT24" i="1"/>
  <c r="BT96" i="1"/>
  <c r="BT108" i="1"/>
  <c r="BT132" i="1"/>
  <c r="BT144" i="1"/>
  <c r="BT252" i="1"/>
  <c r="BT288" i="1"/>
  <c r="BT49" i="1"/>
  <c r="BT97" i="1"/>
  <c r="BT145" i="1"/>
  <c r="BT62" i="1"/>
  <c r="BT86" i="1"/>
  <c r="BT158" i="1"/>
  <c r="BT182" i="1"/>
  <c r="BT242" i="1"/>
  <c r="BT15" i="1"/>
  <c r="BT87" i="1"/>
  <c r="BT135" i="1"/>
  <c r="BT231" i="1"/>
  <c r="BT255" i="1"/>
  <c r="BT267" i="1"/>
  <c r="BT279" i="1"/>
  <c r="BT4" i="1"/>
  <c r="BT40" i="1"/>
  <c r="BT76" i="1"/>
  <c r="BT124" i="1"/>
  <c r="BT148" i="1"/>
  <c r="BT232" i="1"/>
  <c r="BT5" i="1"/>
  <c r="BT17" i="1"/>
  <c r="BT77" i="1"/>
  <c r="BT125" i="1"/>
  <c r="BT161" i="1"/>
  <c r="BT173" i="1"/>
  <c r="BT209" i="1"/>
  <c r="BT233" i="1"/>
  <c r="BT257" i="1"/>
  <c r="BT18" i="1"/>
  <c r="BT42" i="1"/>
  <c r="BT90" i="1"/>
  <c r="BT162" i="1"/>
  <c r="BT174" i="1"/>
  <c r="BT210" i="1"/>
  <c r="BT7" i="1"/>
  <c r="BT31" i="1"/>
  <c r="BT43" i="1"/>
  <c r="BT115" i="1"/>
  <c r="BT127" i="1"/>
  <c r="BT175" i="1"/>
  <c r="BT8" i="1"/>
  <c r="BT56" i="1"/>
  <c r="BT68" i="1"/>
  <c r="BT176" i="1"/>
  <c r="BT212" i="1"/>
  <c r="BT224" i="1"/>
  <c r="BT236" i="1"/>
  <c r="BT248" i="1"/>
  <c r="BT260" i="1"/>
  <c r="BT33" i="1"/>
  <c r="BT57" i="1"/>
  <c r="BT93" i="1"/>
  <c r="BT105" i="1"/>
  <c r="BT117" i="1"/>
  <c r="BT129" i="1"/>
  <c r="BT153" i="1"/>
  <c r="BT177" i="1"/>
  <c r="BT201" i="1"/>
  <c r="BT213" i="1"/>
  <c r="BT10" i="1"/>
  <c r="BT58" i="1"/>
  <c r="BT106" i="1"/>
  <c r="BT142" i="1"/>
  <c r="BT154" i="1"/>
  <c r="BT190" i="1"/>
  <c r="BT226" i="1"/>
  <c r="BT262" i="1"/>
  <c r="BT274" i="1"/>
  <c r="BT95" i="1"/>
  <c r="BT107" i="1"/>
  <c r="BT119" i="1"/>
  <c r="BT131" i="1"/>
  <c r="BT143" i="1"/>
  <c r="BT155" i="1"/>
  <c r="BT227" i="1"/>
  <c r="BT251" i="1"/>
  <c r="BT239" i="1"/>
  <c r="BT215" i="1"/>
  <c r="BT203" i="1"/>
  <c r="BT191" i="1"/>
  <c r="BT167" i="1"/>
  <c r="BT83" i="1"/>
  <c r="BT71" i="1"/>
  <c r="BT59" i="1"/>
  <c r="BT11" i="1"/>
  <c r="BT202" i="1"/>
  <c r="BT118" i="1"/>
  <c r="BT82" i="1"/>
  <c r="BT46" i="1"/>
  <c r="BT34" i="1"/>
  <c r="BT22" i="1"/>
  <c r="BT261" i="1"/>
  <c r="BT284" i="1"/>
  <c r="BT116" i="1"/>
  <c r="BT104" i="1"/>
  <c r="BT235" i="1"/>
  <c r="BT223" i="1"/>
  <c r="BT211" i="1"/>
  <c r="BT199" i="1"/>
  <c r="BT163" i="1"/>
  <c r="BT103" i="1"/>
  <c r="BT19" i="1"/>
  <c r="BT234" i="1"/>
  <c r="BT198" i="1"/>
  <c r="BT186" i="1"/>
  <c r="BT114" i="1"/>
  <c r="BT102" i="1"/>
  <c r="BT54" i="1"/>
  <c r="BT30" i="1"/>
  <c r="BT281" i="1"/>
  <c r="BT245" i="1"/>
  <c r="BT113" i="1"/>
  <c r="BT65" i="1"/>
  <c r="BT29" i="1"/>
  <c r="BT244" i="1"/>
  <c r="BT220" i="1"/>
  <c r="BT196" i="1"/>
  <c r="BT112" i="1"/>
  <c r="BT100" i="1"/>
  <c r="BT88" i="1"/>
  <c r="BT28" i="1"/>
  <c r="BT16" i="1"/>
  <c r="BT111" i="1"/>
  <c r="BT63" i="1"/>
  <c r="BT51" i="1"/>
  <c r="BT230" i="1"/>
  <c r="BT194" i="1"/>
  <c r="BT110" i="1"/>
  <c r="BT98" i="1"/>
  <c r="BT74" i="1"/>
  <c r="BT38" i="1"/>
  <c r="BT26" i="1"/>
  <c r="BT14" i="1"/>
  <c r="BT289" i="1"/>
  <c r="BT229" i="1"/>
  <c r="BT217" i="1"/>
  <c r="BT169" i="1"/>
  <c r="BT85" i="1"/>
  <c r="BT13" i="1"/>
  <c r="BT240" i="1"/>
  <c r="BT216" i="1"/>
  <c r="BT84" i="1"/>
  <c r="BT72" i="1"/>
  <c r="BT36" i="1"/>
  <c r="G56" i="2"/>
  <c r="H56" i="2" s="1"/>
  <c r="G55" i="2"/>
  <c r="H55" i="2" s="1"/>
  <c r="H53" i="2"/>
  <c r="B42" i="2"/>
  <c r="C42" i="2" s="1"/>
  <c r="H41" i="2"/>
  <c r="H40" i="2"/>
  <c r="H42" i="2"/>
  <c r="C41" i="2"/>
  <c r="C40" i="2"/>
  <c r="C39" i="2"/>
  <c r="C38" i="2"/>
  <c r="C37" i="2"/>
  <c r="B43" i="2"/>
  <c r="C43" i="2" s="1"/>
  <c r="C33" i="2"/>
  <c r="C32" i="2"/>
  <c r="C31" i="2"/>
  <c r="C30" i="2"/>
  <c r="C29" i="2"/>
  <c r="C28" i="2"/>
  <c r="C27" i="2"/>
  <c r="C26" i="2"/>
  <c r="H43" i="2"/>
  <c r="H39" i="2"/>
  <c r="H38" i="2"/>
  <c r="H37" i="2"/>
  <c r="H36" i="2"/>
  <c r="H35" i="2"/>
  <c r="H34" i="2"/>
  <c r="H33" i="2"/>
  <c r="H32" i="2"/>
  <c r="H31" i="2"/>
  <c r="H30" i="2"/>
  <c r="H29" i="2"/>
  <c r="CE2654" i="5" l="1"/>
  <c r="CE2690" i="5"/>
  <c r="CG2690" i="5" s="1"/>
  <c r="CE2726" i="5"/>
  <c r="CG2726" i="5" s="1"/>
  <c r="CE2534" i="5"/>
  <c r="CG2534" i="5" s="1"/>
  <c r="CE2702" i="5"/>
  <c r="CG2702" i="5" s="1"/>
  <c r="CE2570" i="5"/>
  <c r="CG2570" i="5" s="1"/>
  <c r="CE2618" i="5"/>
  <c r="CG2618" i="5" s="1"/>
  <c r="CE2594" i="5"/>
  <c r="CG2594" i="5" s="1"/>
  <c r="CE2546" i="5"/>
  <c r="CE2498" i="5"/>
  <c r="CE2714" i="5"/>
  <c r="CG2714" i="5" s="1"/>
  <c r="CE2678" i="5"/>
  <c r="CG2678" i="5" s="1"/>
  <c r="CE2522" i="5"/>
  <c r="CE2582" i="5"/>
  <c r="CG2582" i="5" s="1"/>
  <c r="CE2642" i="5"/>
  <c r="CG2642" i="5" s="1"/>
  <c r="CE2510" i="5"/>
  <c r="CG2510" i="5" s="1"/>
  <c r="CE2630" i="5"/>
  <c r="CG2630" i="5" s="1"/>
  <c r="CE2558" i="5"/>
  <c r="CG2558" i="5" s="1"/>
  <c r="CE2606" i="5"/>
  <c r="CG2606" i="5" s="1"/>
  <c r="CE2666" i="5"/>
  <c r="CG2666" i="5" s="1"/>
  <c r="CE2738" i="5"/>
  <c r="CG2738" i="5" s="1"/>
  <c r="CE2651" i="5"/>
  <c r="CG2651" i="5" s="1"/>
  <c r="CE2507" i="5"/>
  <c r="CG2507" i="5" s="1"/>
  <c r="CE2513" i="5"/>
  <c r="CG2513" i="5" s="1"/>
  <c r="CE2515" i="5"/>
  <c r="CG2515" i="5" s="1"/>
  <c r="CE2514" i="5"/>
  <c r="CG2514" i="5" s="1"/>
  <c r="CE2554" i="5"/>
  <c r="CG2554" i="5" s="1"/>
  <c r="CE2519" i="5"/>
  <c r="CG2519" i="5" s="1"/>
  <c r="CE2677" i="5"/>
  <c r="CG2677" i="5" s="1"/>
  <c r="CE2723" i="5"/>
  <c r="CG2723" i="5" s="1"/>
  <c r="CE2687" i="5"/>
  <c r="CG2687" i="5" s="1"/>
  <c r="CE2669" i="5"/>
  <c r="CG2669" i="5" s="1"/>
  <c r="CE2741" i="5"/>
  <c r="CG2741" i="5" s="1"/>
  <c r="CE2573" i="5"/>
  <c r="CG2573" i="5" s="1"/>
  <c r="CE2664" i="5"/>
  <c r="CG2664" i="5" s="1"/>
  <c r="CE2572" i="5"/>
  <c r="CG2572" i="5" s="1"/>
  <c r="CE2504" i="5"/>
  <c r="CG2504" i="5" s="1"/>
  <c r="CE2600" i="5"/>
  <c r="CG2600" i="5" s="1"/>
  <c r="CE2659" i="5"/>
  <c r="CG2659" i="5" s="1"/>
  <c r="CE2599" i="5"/>
  <c r="CG2599" i="5" s="1"/>
  <c r="CE2631" i="5"/>
  <c r="CG2631" i="5" s="1"/>
  <c r="CE2708" i="5"/>
  <c r="CG2708" i="5" s="1"/>
  <c r="CE2641" i="5"/>
  <c r="CG2641" i="5" s="1"/>
  <c r="CE2516" i="5"/>
  <c r="CG2516" i="5" s="1"/>
  <c r="CE2729" i="5"/>
  <c r="CG2729" i="5" s="1"/>
  <c r="CE2493" i="5"/>
  <c r="CG2493" i="5" s="1"/>
  <c r="CE2637" i="5"/>
  <c r="CG2637" i="5" s="1"/>
  <c r="CE2585" i="5"/>
  <c r="CG2585" i="5" s="1"/>
  <c r="CE2662" i="5"/>
  <c r="CG2662" i="5" s="1"/>
  <c r="CE2577" i="5"/>
  <c r="CG2577" i="5" s="1"/>
  <c r="CE2565" i="5"/>
  <c r="CG2565" i="5" s="1"/>
  <c r="CE2732" i="5"/>
  <c r="CG2732" i="5" s="1"/>
  <c r="CE2648" i="5"/>
  <c r="CG2648" i="5" s="1"/>
  <c r="CE2614" i="5"/>
  <c r="CG2614" i="5" s="1"/>
  <c r="CE2583" i="5"/>
  <c r="CG2583" i="5" s="1"/>
  <c r="CE2713" i="5"/>
  <c r="CG2713" i="5" s="1"/>
  <c r="CE2500" i="5"/>
  <c r="CG2500" i="5" s="1"/>
  <c r="CE2533" i="5"/>
  <c r="CG2533" i="5" s="1"/>
  <c r="CE2671" i="5"/>
  <c r="CG2671" i="5" s="1"/>
  <c r="CE2540" i="5"/>
  <c r="CG2540" i="5" s="1"/>
  <c r="CE2598" i="5"/>
  <c r="CG2598" i="5" s="1"/>
  <c r="CE2612" i="5"/>
  <c r="CG2612" i="5" s="1"/>
  <c r="CE2521" i="5"/>
  <c r="CG2521" i="5" s="1"/>
  <c r="CE2595" i="5"/>
  <c r="CG2595" i="5" s="1"/>
  <c r="CE2549" i="5"/>
  <c r="CG2549" i="5" s="1"/>
  <c r="CE2661" i="5"/>
  <c r="CG2661" i="5" s="1"/>
  <c r="CE2683" i="5"/>
  <c r="CG2683" i="5" s="1"/>
  <c r="CE2705" i="5"/>
  <c r="CG2705" i="5" s="1"/>
  <c r="CE2720" i="5"/>
  <c r="CG2720" i="5" s="1"/>
  <c r="CE2532" i="5"/>
  <c r="CG2532" i="5" s="1"/>
  <c r="CE2681" i="5"/>
  <c r="CG2681" i="5" s="1"/>
  <c r="CE2619" i="5"/>
  <c r="CG2619" i="5" s="1"/>
  <c r="CE2712" i="5"/>
  <c r="CG2712" i="5" s="1"/>
  <c r="CE2543" i="5"/>
  <c r="CG2543" i="5" s="1"/>
  <c r="CE2718" i="5"/>
  <c r="CG2718" i="5" s="1"/>
  <c r="CE2588" i="5"/>
  <c r="CG2588" i="5" s="1"/>
  <c r="CE2698" i="5"/>
  <c r="CG2698" i="5" s="1"/>
  <c r="CE2580" i="5"/>
  <c r="CG2580" i="5" s="1"/>
  <c r="CE2634" i="5"/>
  <c r="CG2634" i="5" s="1"/>
  <c r="CE2656" i="5"/>
  <c r="CG2656" i="5" s="1"/>
  <c r="CE2512" i="5"/>
  <c r="CG2512" i="5" s="1"/>
  <c r="CE2601" i="5"/>
  <c r="CG2601" i="5" s="1"/>
  <c r="CE2511" i="5"/>
  <c r="CG2511" i="5" s="1"/>
  <c r="CE2508" i="5"/>
  <c r="CG2508" i="5" s="1"/>
  <c r="CE2553" i="5"/>
  <c r="CG2553" i="5" s="1"/>
  <c r="CE2537" i="5"/>
  <c r="CG2537" i="5" s="1"/>
  <c r="CE2737" i="5"/>
  <c r="CG2737" i="5" s="1"/>
  <c r="CG2654" i="5"/>
  <c r="CE2643" i="5"/>
  <c r="CG2643" i="5" s="1"/>
  <c r="CE2520" i="5"/>
  <c r="CG2520" i="5" s="1"/>
  <c r="CE2697" i="5"/>
  <c r="CG2697" i="5" s="1"/>
  <c r="CE2704" i="5"/>
  <c r="CG2704" i="5" s="1"/>
  <c r="CE2501" i="5"/>
  <c r="CG2501" i="5" s="1"/>
  <c r="CE2676" i="5"/>
  <c r="CG2676" i="5" s="1"/>
  <c r="CE2633" i="5"/>
  <c r="CG2633" i="5" s="1"/>
  <c r="CE2591" i="5"/>
  <c r="CG2591" i="5" s="1"/>
  <c r="CE2556" i="5"/>
  <c r="CG2556" i="5" s="1"/>
  <c r="CE2636" i="5"/>
  <c r="CG2636" i="5" s="1"/>
  <c r="CE2545" i="5"/>
  <c r="CG2545" i="5" s="1"/>
  <c r="CE2725" i="5"/>
  <c r="CG2725" i="5" s="1"/>
  <c r="CE2587" i="5"/>
  <c r="CG2587" i="5" s="1"/>
  <c r="CE2647" i="5"/>
  <c r="CG2647" i="5" s="1"/>
  <c r="CE2667" i="5"/>
  <c r="CG2667" i="5" s="1"/>
  <c r="CE2559" i="5"/>
  <c r="CG2559" i="5" s="1"/>
  <c r="CE2658" i="5"/>
  <c r="CG2658" i="5" s="1"/>
  <c r="CG2498" i="5"/>
  <c r="CE2567" i="5"/>
  <c r="CG2567" i="5" s="1"/>
  <c r="CE2652" i="5"/>
  <c r="CG2652" i="5" s="1"/>
  <c r="CE2568" i="5"/>
  <c r="CG2568" i="5" s="1"/>
  <c r="CE2593" i="5"/>
  <c r="CG2593" i="5" s="1"/>
  <c r="CE2552" i="5"/>
  <c r="CG2552" i="5" s="1"/>
  <c r="CE2603" i="5"/>
  <c r="CG2603" i="5" s="1"/>
  <c r="CE2525" i="5"/>
  <c r="CG2525" i="5" s="1"/>
  <c r="CE2692" i="5"/>
  <c r="CG2692" i="5" s="1"/>
  <c r="CE2492" i="5"/>
  <c r="CG2492" i="5" s="1"/>
  <c r="CE2655" i="5"/>
  <c r="CG2655" i="5" s="1"/>
  <c r="CE2733" i="5"/>
  <c r="CG2733" i="5" s="1"/>
  <c r="CE2709" i="5"/>
  <c r="CG2709" i="5" s="1"/>
  <c r="CE2574" i="5"/>
  <c r="CG2574" i="5" s="1"/>
  <c r="CE2562" i="5"/>
  <c r="CG2562" i="5" s="1"/>
  <c r="CE2617" i="5"/>
  <c r="CG2617" i="5" s="1"/>
  <c r="CE2622" i="5"/>
  <c r="CG2622" i="5" s="1"/>
  <c r="CE2581" i="5"/>
  <c r="CG2581" i="5" s="1"/>
  <c r="CE2680" i="5"/>
  <c r="CG2680" i="5" s="1"/>
  <c r="CE2539" i="5"/>
  <c r="CG2539" i="5" s="1"/>
  <c r="CE2691" i="5"/>
  <c r="CG2691" i="5" s="1"/>
  <c r="CE2544" i="5"/>
  <c r="CG2544" i="5" s="1"/>
  <c r="CE2527" i="5"/>
  <c r="CG2527" i="5" s="1"/>
  <c r="CE2638" i="5"/>
  <c r="CG2638" i="5" s="1"/>
  <c r="CE2685" i="5"/>
  <c r="CG2685" i="5" s="1"/>
  <c r="CE2649" i="5"/>
  <c r="CG2649" i="5" s="1"/>
  <c r="CE2530" i="5"/>
  <c r="CG2530" i="5" s="1"/>
  <c r="CE2542" i="5"/>
  <c r="CG2542" i="5" s="1"/>
  <c r="CE2535" i="5"/>
  <c r="CG2535" i="5" s="1"/>
  <c r="CE2727" i="5"/>
  <c r="CG2727" i="5" s="1"/>
  <c r="CE2524" i="5"/>
  <c r="CG2524" i="5" s="1"/>
  <c r="CE2731" i="5"/>
  <c r="CG2731" i="5" s="1"/>
  <c r="CE2576" i="5"/>
  <c r="CG2576" i="5" s="1"/>
  <c r="CE2703" i="5"/>
  <c r="CG2703" i="5" s="1"/>
  <c r="CE2547" i="5"/>
  <c r="CG2547" i="5" s="1"/>
  <c r="CE2503" i="5"/>
  <c r="CG2503" i="5" s="1"/>
  <c r="CG2546" i="5"/>
  <c r="CE2686" i="5"/>
  <c r="CG2686" i="5" s="1"/>
  <c r="CE2560" i="5"/>
  <c r="CG2560" i="5" s="1"/>
  <c r="CE2548" i="5"/>
  <c r="CG2548" i="5" s="1"/>
  <c r="CE2625" i="5"/>
  <c r="CG2625" i="5" s="1"/>
  <c r="CE2566" i="5"/>
  <c r="CG2566" i="5" s="1"/>
  <c r="CE2526" i="5"/>
  <c r="CG2526" i="5" s="1"/>
  <c r="CE2719" i="5"/>
  <c r="CG2719" i="5" s="1"/>
  <c r="CE2499" i="5"/>
  <c r="CG2499" i="5" s="1"/>
  <c r="CE2665" i="5"/>
  <c r="CG2665" i="5" s="1"/>
  <c r="CE2569" i="5"/>
  <c r="CG2569" i="5" s="1"/>
  <c r="CE2694" i="5"/>
  <c r="CG2694" i="5" s="1"/>
  <c r="CE2551" i="5"/>
  <c r="CG2551" i="5" s="1"/>
  <c r="CE2611" i="5"/>
  <c r="CG2611" i="5" s="1"/>
  <c r="CE2491" i="5"/>
  <c r="CG2491" i="5" s="1"/>
  <c r="CE2592" i="5"/>
  <c r="CG2592" i="5" s="1"/>
  <c r="CE2584" i="5"/>
  <c r="CG2584" i="5" s="1"/>
  <c r="CG2522" i="5"/>
  <c r="CE2624" i="5"/>
  <c r="CG2624" i="5" s="1"/>
  <c r="CE2550" i="5"/>
  <c r="CG2550" i="5" s="1"/>
  <c r="CE2563" i="5"/>
  <c r="CG2563" i="5" s="1"/>
  <c r="CE2674" i="5"/>
  <c r="CG2674" i="5" s="1"/>
  <c r="CE2701" i="5"/>
  <c r="CG2701" i="5" s="1"/>
  <c r="CE2639" i="5"/>
  <c r="CG2639" i="5" s="1"/>
  <c r="CE2629" i="5"/>
  <c r="CG2629" i="5" s="1"/>
  <c r="CE2715" i="5"/>
  <c r="CG2715" i="5" s="1"/>
  <c r="CE2653" i="5"/>
  <c r="CG2653" i="5" s="1"/>
  <c r="CE2684" i="5"/>
  <c r="CG2684" i="5" s="1"/>
  <c r="CE2645" i="5"/>
  <c r="CG2645" i="5" s="1"/>
  <c r="CE2716" i="5"/>
  <c r="CG2716" i="5" s="1"/>
  <c r="CE2623" i="5"/>
  <c r="CG2623" i="5" s="1"/>
  <c r="CE2728" i="5"/>
  <c r="CG2728" i="5" s="1"/>
  <c r="CE2536" i="5"/>
  <c r="CG2536" i="5" s="1"/>
  <c r="CE2604" i="5"/>
  <c r="CG2604" i="5" s="1"/>
  <c r="CE2607" i="5"/>
  <c r="CG2607" i="5" s="1"/>
  <c r="CE2724" i="5"/>
  <c r="CG2724" i="5" s="1"/>
  <c r="CE2721" i="5"/>
  <c r="CG2721" i="5" s="1"/>
  <c r="CE2663" i="5"/>
  <c r="CG2663" i="5" s="1"/>
  <c r="CE2605" i="5"/>
  <c r="CG2605" i="5" s="1"/>
  <c r="CE2695" i="5"/>
  <c r="CG2695" i="5" s="1"/>
  <c r="CE2670" i="5"/>
  <c r="CG2670" i="5" s="1"/>
  <c r="CE2589" i="5"/>
  <c r="CG2589" i="5" s="1"/>
  <c r="CE2693" i="5"/>
  <c r="CG2693" i="5" s="1"/>
  <c r="CE2688" i="5"/>
  <c r="CG2688" i="5" s="1"/>
  <c r="CE2710" i="5"/>
  <c r="CG2710" i="5" s="1"/>
  <c r="CE2586" i="5"/>
  <c r="CG2586" i="5" s="1"/>
  <c r="CE2561" i="5"/>
  <c r="CG2561" i="5" s="1"/>
  <c r="CE2528" i="5"/>
  <c r="CG2528" i="5" s="1"/>
  <c r="CE2660" i="5"/>
  <c r="CG2660" i="5" s="1"/>
  <c r="CE2538" i="5"/>
  <c r="CG2538" i="5" s="1"/>
  <c r="CE2518" i="5"/>
  <c r="CG2518" i="5" s="1"/>
  <c r="CE2635" i="5"/>
  <c r="CG2635" i="5" s="1"/>
  <c r="CE2497" i="5"/>
  <c r="CG2497" i="5" s="1"/>
  <c r="CE2509" i="5"/>
  <c r="CG2509" i="5" s="1"/>
  <c r="CE2571" i="5"/>
  <c r="CG2571" i="5" s="1"/>
  <c r="CE2555" i="5"/>
  <c r="CG2555" i="5" s="1"/>
  <c r="CE2699" i="5"/>
  <c r="CG2699" i="5" s="1"/>
  <c r="CE2557" i="5"/>
  <c r="CG2557" i="5" s="1"/>
  <c r="CE2506" i="5"/>
  <c r="CG2506" i="5" s="1"/>
  <c r="CE2505" i="5"/>
  <c r="CG2505" i="5" s="1"/>
  <c r="CE2495" i="5"/>
  <c r="CG2495" i="5" s="1"/>
  <c r="CE2675" i="5"/>
  <c r="CG2675" i="5" s="1"/>
  <c r="CE2621" i="5"/>
  <c r="CG2621" i="5" s="1"/>
  <c r="CE2615" i="5"/>
  <c r="CG2615" i="5" s="1"/>
  <c r="CE2706" i="5"/>
  <c r="CG2706" i="5" s="1"/>
  <c r="CE2682" i="5"/>
  <c r="CG2682" i="5" s="1"/>
  <c r="CE2672" i="5"/>
  <c r="CG2672" i="5" s="1"/>
  <c r="CE2523" i="5"/>
  <c r="CG2523" i="5" s="1"/>
  <c r="CE2707" i="5"/>
  <c r="CG2707" i="5" s="1"/>
  <c r="CE2575" i="5"/>
  <c r="CG2575" i="5" s="1"/>
  <c r="CE2668" i="5"/>
  <c r="CG2668" i="5" s="1"/>
  <c r="CE2679" i="5"/>
  <c r="CG2679" i="5" s="1"/>
  <c r="CE2689" i="5"/>
  <c r="CG2689" i="5" s="1"/>
  <c r="CE2620" i="5"/>
  <c r="CG2620" i="5" s="1"/>
  <c r="CE2564" i="5"/>
  <c r="CG2564" i="5" s="1"/>
  <c r="CE2696" i="5"/>
  <c r="CG2696" i="5" s="1"/>
  <c r="CE2596" i="5"/>
  <c r="CG2596" i="5" s="1"/>
  <c r="CC2608" i="5"/>
  <c r="CD2608" i="5" s="1"/>
  <c r="CC2740" i="5"/>
  <c r="CD2740" i="5" s="1"/>
  <c r="CC2613" i="5"/>
  <c r="CD2613" i="5" s="1"/>
  <c r="CD2609" i="5"/>
  <c r="CD2597" i="5"/>
  <c r="CD2628" i="5"/>
  <c r="CD2711" i="5"/>
  <c r="CD2734" i="5"/>
  <c r="CD2494" i="5"/>
  <c r="CD2590" i="5"/>
  <c r="CD2616" i="5"/>
  <c r="CD2517" i="5"/>
  <c r="CD2646" i="5"/>
  <c r="CD2502" i="5"/>
  <c r="CD2722" i="5"/>
  <c r="CD2742" i="5"/>
  <c r="CD2578" i="5"/>
  <c r="CD2739" i="5"/>
  <c r="CD2743" i="5"/>
  <c r="CE2717" i="5"/>
  <c r="CG2717" i="5" s="1"/>
  <c r="CE2541" i="5"/>
  <c r="CG2541" i="5" s="1"/>
  <c r="CE2673" i="5"/>
  <c r="CG2673" i="5" s="1"/>
  <c r="CE2736" i="5"/>
  <c r="CG2736" i="5" s="1"/>
  <c r="CE2531" i="5"/>
  <c r="CG2531" i="5" s="1"/>
  <c r="CE2730" i="5"/>
  <c r="CG2730" i="5" s="1"/>
  <c r="CE2602" i="5"/>
  <c r="CG2602" i="5" s="1"/>
  <c r="CE2496" i="5"/>
  <c r="CG2496" i="5" s="1"/>
  <c r="CE2650" i="5"/>
  <c r="CG2650" i="5" s="1"/>
  <c r="CE2626" i="5"/>
  <c r="CG2626" i="5" s="1"/>
  <c r="CE2627" i="5"/>
  <c r="CG2627" i="5" s="1"/>
  <c r="CE2700" i="5"/>
  <c r="CG2700" i="5" s="1"/>
  <c r="CE2529" i="5"/>
  <c r="CG2529" i="5" s="1"/>
  <c r="CE2610" i="5"/>
  <c r="CG2610" i="5" s="1"/>
  <c r="CE2657" i="5"/>
  <c r="CG2657" i="5" s="1"/>
  <c r="CE2640" i="5"/>
  <c r="CG2640" i="5" s="1"/>
  <c r="CE2644" i="5"/>
  <c r="CG2644" i="5" s="1"/>
  <c r="CE2632" i="5"/>
  <c r="CG2632" i="5" s="1"/>
  <c r="CE2579" i="5"/>
  <c r="CG2579" i="5" s="1"/>
  <c r="CE2735" i="5"/>
  <c r="CG2735" i="5" s="1"/>
  <c r="BS2" i="1"/>
  <c r="BR2" i="1"/>
  <c r="BT126" i="5"/>
  <c r="BX126" i="5" s="1"/>
  <c r="BY126" i="5" s="1"/>
  <c r="CC126" i="5" s="1"/>
  <c r="BT186" i="5"/>
  <c r="BX186" i="5" s="1"/>
  <c r="BY186" i="5" s="1"/>
  <c r="CC186" i="5" s="1"/>
  <c r="BT198" i="5"/>
  <c r="BX198" i="5" s="1"/>
  <c r="BY198" i="5" s="1"/>
  <c r="CC198" i="5" s="1"/>
  <c r="BT294" i="5"/>
  <c r="BX294" i="5" s="1"/>
  <c r="BY294" i="5" s="1"/>
  <c r="CC294" i="5" s="1"/>
  <c r="BT450" i="5"/>
  <c r="BX450" i="5" s="1"/>
  <c r="BY450" i="5" s="1"/>
  <c r="CC450" i="5" s="1"/>
  <c r="BT510" i="5"/>
  <c r="BX510" i="5" s="1"/>
  <c r="BY510" i="5" s="1"/>
  <c r="CC510" i="5" s="1"/>
  <c r="BT570" i="5"/>
  <c r="BX570" i="5" s="1"/>
  <c r="BY570" i="5" s="1"/>
  <c r="CC570" i="5" s="1"/>
  <c r="BT690" i="5"/>
  <c r="BX690" i="5" s="1"/>
  <c r="BY690" i="5" s="1"/>
  <c r="CC690" i="5" s="1"/>
  <c r="BT19" i="5"/>
  <c r="BX19" i="5" s="1"/>
  <c r="BY19" i="5" s="1"/>
  <c r="CC19" i="5" s="1"/>
  <c r="BT151" i="5"/>
  <c r="BX151" i="5" s="1"/>
  <c r="BY151" i="5" s="1"/>
  <c r="CC151" i="5" s="1"/>
  <c r="BT247" i="5"/>
  <c r="BX247" i="5" s="1"/>
  <c r="BY247" i="5" s="1"/>
  <c r="CC247" i="5" s="1"/>
  <c r="BT331" i="5"/>
  <c r="BX331" i="5" s="1"/>
  <c r="BY331" i="5" s="1"/>
  <c r="CC331" i="5" s="1"/>
  <c r="BT379" i="5"/>
  <c r="BX379" i="5" s="1"/>
  <c r="BY379" i="5" s="1"/>
  <c r="CC379" i="5" s="1"/>
  <c r="BT511" i="5"/>
  <c r="BX511" i="5" s="1"/>
  <c r="BY511" i="5" s="1"/>
  <c r="CC511" i="5" s="1"/>
  <c r="BT571" i="5"/>
  <c r="BX571" i="5" s="1"/>
  <c r="BY571" i="5" s="1"/>
  <c r="CC571" i="5" s="1"/>
  <c r="BT607" i="5"/>
  <c r="BX607" i="5" s="1"/>
  <c r="BY607" i="5" s="1"/>
  <c r="CC607" i="5" s="1"/>
  <c r="BT727" i="5"/>
  <c r="BX727" i="5" s="1"/>
  <c r="BY727" i="5" s="1"/>
  <c r="CC727" i="5" s="1"/>
  <c r="BT763" i="5"/>
  <c r="BX763" i="5" s="1"/>
  <c r="BY763" i="5" s="1"/>
  <c r="CC763" i="5" s="1"/>
  <c r="BT799" i="5"/>
  <c r="BX799" i="5" s="1"/>
  <c r="BY799" i="5" s="1"/>
  <c r="CC799" i="5" s="1"/>
  <c r="BT871" i="5"/>
  <c r="BX871" i="5" s="1"/>
  <c r="BY871" i="5" s="1"/>
  <c r="CC871" i="5" s="1"/>
  <c r="BT68" i="5"/>
  <c r="BX68" i="5" s="1"/>
  <c r="BY68" i="5" s="1"/>
  <c r="CC68" i="5" s="1"/>
  <c r="BT104" i="5"/>
  <c r="BX104" i="5" s="1"/>
  <c r="BY104" i="5" s="1"/>
  <c r="CC104" i="5" s="1"/>
  <c r="BT212" i="5"/>
  <c r="BX212" i="5" s="1"/>
  <c r="BY212" i="5" s="1"/>
  <c r="CC212" i="5" s="1"/>
  <c r="BT356" i="5"/>
  <c r="BX356" i="5" s="1"/>
  <c r="BY356" i="5" s="1"/>
  <c r="CC356" i="5" s="1"/>
  <c r="BT392" i="5"/>
  <c r="BX392" i="5" s="1"/>
  <c r="BY392" i="5" s="1"/>
  <c r="CC392" i="5" s="1"/>
  <c r="BT440" i="5"/>
  <c r="BX440" i="5" s="1"/>
  <c r="BY440" i="5" s="1"/>
  <c r="CC440" i="5" s="1"/>
  <c r="BT452" i="5"/>
  <c r="BX452" i="5" s="1"/>
  <c r="BY452" i="5" s="1"/>
  <c r="CC452" i="5" s="1"/>
  <c r="BT464" i="5"/>
  <c r="BX464" i="5" s="1"/>
  <c r="BY464" i="5" s="1"/>
  <c r="CC464" i="5" s="1"/>
  <c r="BT500" i="5"/>
  <c r="BX500" i="5" s="1"/>
  <c r="BY500" i="5" s="1"/>
  <c r="CC500" i="5" s="1"/>
  <c r="BT512" i="5"/>
  <c r="BX512" i="5" s="1"/>
  <c r="BY512" i="5" s="1"/>
  <c r="CC512" i="5" s="1"/>
  <c r="BT524" i="5"/>
  <c r="BX524" i="5" s="1"/>
  <c r="BY524" i="5" s="1"/>
  <c r="CC524" i="5" s="1"/>
  <c r="BT728" i="5"/>
  <c r="BX728" i="5" s="1"/>
  <c r="BY728" i="5" s="1"/>
  <c r="CC728" i="5" s="1"/>
  <c r="BT764" i="5"/>
  <c r="BX764" i="5" s="1"/>
  <c r="BY764" i="5" s="1"/>
  <c r="CC764" i="5" s="1"/>
  <c r="BT788" i="5"/>
  <c r="BX788" i="5" s="1"/>
  <c r="BY788" i="5" s="1"/>
  <c r="CC788" i="5" s="1"/>
  <c r="BT213" i="5"/>
  <c r="BX213" i="5" s="1"/>
  <c r="BY213" i="5" s="1"/>
  <c r="CC213" i="5" s="1"/>
  <c r="BT225" i="5"/>
  <c r="BX225" i="5" s="1"/>
  <c r="BY225" i="5" s="1"/>
  <c r="CC225" i="5" s="1"/>
  <c r="BT513" i="5"/>
  <c r="BX513" i="5" s="1"/>
  <c r="BY513" i="5" s="1"/>
  <c r="CC513" i="5" s="1"/>
  <c r="BT609" i="5"/>
  <c r="BX609" i="5" s="1"/>
  <c r="BY609" i="5" s="1"/>
  <c r="CC609" i="5" s="1"/>
  <c r="BT681" i="5"/>
  <c r="BX681" i="5" s="1"/>
  <c r="BY681" i="5" s="1"/>
  <c r="CC681" i="5" s="1"/>
  <c r="BT777" i="5"/>
  <c r="BX777" i="5" s="1"/>
  <c r="BY777" i="5" s="1"/>
  <c r="CC777" i="5" s="1"/>
  <c r="BT801" i="5"/>
  <c r="BX801" i="5" s="1"/>
  <c r="BY801" i="5" s="1"/>
  <c r="CC801" i="5" s="1"/>
  <c r="BT873" i="5"/>
  <c r="BX873" i="5" s="1"/>
  <c r="BY873" i="5" s="1"/>
  <c r="CC873" i="5" s="1"/>
  <c r="BT897" i="5"/>
  <c r="BX897" i="5" s="1"/>
  <c r="BY897" i="5" s="1"/>
  <c r="CC897" i="5" s="1"/>
  <c r="BT58" i="5"/>
  <c r="BX58" i="5" s="1"/>
  <c r="BY58" i="5" s="1"/>
  <c r="CC58" i="5" s="1"/>
  <c r="BT70" i="5"/>
  <c r="BX70" i="5" s="1"/>
  <c r="BY70" i="5" s="1"/>
  <c r="CC70" i="5" s="1"/>
  <c r="BT250" i="5"/>
  <c r="BX250" i="5" s="1"/>
  <c r="BY250" i="5" s="1"/>
  <c r="CC250" i="5" s="1"/>
  <c r="BT346" i="5"/>
  <c r="BX346" i="5" s="1"/>
  <c r="BY346" i="5" s="1"/>
  <c r="CC346" i="5" s="1"/>
  <c r="BT418" i="5"/>
  <c r="BX418" i="5" s="1"/>
  <c r="BY418" i="5" s="1"/>
  <c r="CC418" i="5" s="1"/>
  <c r="BT622" i="5"/>
  <c r="BX622" i="5" s="1"/>
  <c r="BY622" i="5" s="1"/>
  <c r="CC622" i="5" s="1"/>
  <c r="BT790" i="5"/>
  <c r="BX790" i="5" s="1"/>
  <c r="BY790" i="5" s="1"/>
  <c r="CC790" i="5" s="1"/>
  <c r="BT886" i="5"/>
  <c r="BX886" i="5" s="1"/>
  <c r="BY886" i="5" s="1"/>
  <c r="CC886" i="5" s="1"/>
  <c r="BT47" i="5"/>
  <c r="BX47" i="5" s="1"/>
  <c r="BY47" i="5" s="1"/>
  <c r="CC47" i="5" s="1"/>
  <c r="BT83" i="5"/>
  <c r="BX83" i="5" s="1"/>
  <c r="BY83" i="5" s="1"/>
  <c r="CC83" i="5" s="1"/>
  <c r="BT131" i="5"/>
  <c r="BX131" i="5" s="1"/>
  <c r="BY131" i="5" s="1"/>
  <c r="CC131" i="5" s="1"/>
  <c r="BT143" i="5"/>
  <c r="BX143" i="5" s="1"/>
  <c r="BY143" i="5" s="1"/>
  <c r="CC143" i="5" s="1"/>
  <c r="BT179" i="5"/>
  <c r="BX179" i="5" s="1"/>
  <c r="BY179" i="5" s="1"/>
  <c r="CC179" i="5" s="1"/>
  <c r="BT215" i="5"/>
  <c r="BX215" i="5" s="1"/>
  <c r="BY215" i="5" s="1"/>
  <c r="CC215" i="5" s="1"/>
  <c r="BT275" i="5"/>
  <c r="BX275" i="5" s="1"/>
  <c r="BY275" i="5" s="1"/>
  <c r="CC275" i="5" s="1"/>
  <c r="BT311" i="5"/>
  <c r="BX311" i="5" s="1"/>
  <c r="BY311" i="5" s="1"/>
  <c r="CC311" i="5" s="1"/>
  <c r="BT323" i="5"/>
  <c r="BX323" i="5" s="1"/>
  <c r="BY323" i="5" s="1"/>
  <c r="CC323" i="5" s="1"/>
  <c r="BT371" i="5"/>
  <c r="BX371" i="5" s="1"/>
  <c r="BY371" i="5" s="1"/>
  <c r="CC371" i="5" s="1"/>
  <c r="BT611" i="5"/>
  <c r="BX611" i="5" s="1"/>
  <c r="BY611" i="5" s="1"/>
  <c r="CC611" i="5" s="1"/>
  <c r="BT695" i="5"/>
  <c r="BX695" i="5" s="1"/>
  <c r="BY695" i="5" s="1"/>
  <c r="CC695" i="5" s="1"/>
  <c r="BT755" i="5"/>
  <c r="BX755" i="5" s="1"/>
  <c r="BY755" i="5" s="1"/>
  <c r="CC755" i="5" s="1"/>
  <c r="BT767" i="5"/>
  <c r="BX767" i="5" s="1"/>
  <c r="BY767" i="5" s="1"/>
  <c r="CC767" i="5" s="1"/>
  <c r="BT779" i="5"/>
  <c r="BX779" i="5" s="1"/>
  <c r="BY779" i="5" s="1"/>
  <c r="CC779" i="5" s="1"/>
  <c r="BT60" i="5"/>
  <c r="BX60" i="5" s="1"/>
  <c r="BY60" i="5" s="1"/>
  <c r="CC60" i="5" s="1"/>
  <c r="BT180" i="5"/>
  <c r="BX180" i="5" s="1"/>
  <c r="BY180" i="5" s="1"/>
  <c r="CC180" i="5" s="1"/>
  <c r="BT192" i="5"/>
  <c r="BX192" i="5" s="1"/>
  <c r="BY192" i="5" s="1"/>
  <c r="CC192" i="5" s="1"/>
  <c r="BT204" i="5"/>
  <c r="BX204" i="5" s="1"/>
  <c r="BY204" i="5" s="1"/>
  <c r="CC204" i="5" s="1"/>
  <c r="BT444" i="5"/>
  <c r="BX444" i="5" s="1"/>
  <c r="BY444" i="5" s="1"/>
  <c r="CC444" i="5" s="1"/>
  <c r="BT600" i="5"/>
  <c r="BX600" i="5" s="1"/>
  <c r="BY600" i="5" s="1"/>
  <c r="CC600" i="5" s="1"/>
  <c r="BT756" i="5"/>
  <c r="BX756" i="5" s="1"/>
  <c r="BY756" i="5" s="1"/>
  <c r="CC756" i="5" s="1"/>
  <c r="BT25" i="5"/>
  <c r="BX25" i="5" s="1"/>
  <c r="BY25" i="5" s="1"/>
  <c r="CC25" i="5" s="1"/>
  <c r="BT61" i="5"/>
  <c r="BX61" i="5" s="1"/>
  <c r="BY61" i="5" s="1"/>
  <c r="CC61" i="5" s="1"/>
  <c r="BT97" i="5"/>
  <c r="BX97" i="5" s="1"/>
  <c r="BY97" i="5" s="1"/>
  <c r="CC97" i="5" s="1"/>
  <c r="BT109" i="5"/>
  <c r="BX109" i="5" s="1"/>
  <c r="BY109" i="5" s="1"/>
  <c r="CC109" i="5" s="1"/>
  <c r="BT193" i="5"/>
  <c r="BX193" i="5" s="1"/>
  <c r="BY193" i="5" s="1"/>
  <c r="CC193" i="5" s="1"/>
  <c r="BT265" i="5"/>
  <c r="BX265" i="5" s="1"/>
  <c r="BY265" i="5" s="1"/>
  <c r="CC265" i="5" s="1"/>
  <c r="BT301" i="5"/>
  <c r="BX301" i="5" s="1"/>
  <c r="BY301" i="5" s="1"/>
  <c r="CC301" i="5" s="1"/>
  <c r="BT589" i="5"/>
  <c r="BX589" i="5" s="1"/>
  <c r="BY589" i="5" s="1"/>
  <c r="CC589" i="5" s="1"/>
  <c r="BT853" i="5"/>
  <c r="BX853" i="5" s="1"/>
  <c r="BY853" i="5" s="1"/>
  <c r="CC853" i="5" s="1"/>
  <c r="BT877" i="5"/>
  <c r="BX877" i="5" s="1"/>
  <c r="BY877" i="5" s="1"/>
  <c r="CC877" i="5" s="1"/>
  <c r="BT913" i="5"/>
  <c r="BX913" i="5" s="1"/>
  <c r="BY913" i="5" s="1"/>
  <c r="CC913" i="5" s="1"/>
  <c r="BT925" i="5"/>
  <c r="BX925" i="5" s="1"/>
  <c r="BY925" i="5" s="1"/>
  <c r="CC925" i="5" s="1"/>
  <c r="BT26" i="5"/>
  <c r="BX26" i="5" s="1"/>
  <c r="BY26" i="5" s="1"/>
  <c r="CC26" i="5" s="1"/>
  <c r="BT86" i="5"/>
  <c r="BX86" i="5" s="1"/>
  <c r="BY86" i="5" s="1"/>
  <c r="CC86" i="5" s="1"/>
  <c r="BT170" i="5"/>
  <c r="BX170" i="5" s="1"/>
  <c r="BY170" i="5" s="1"/>
  <c r="CC170" i="5" s="1"/>
  <c r="BT194" i="5"/>
  <c r="BX194" i="5" s="1"/>
  <c r="BY194" i="5" s="1"/>
  <c r="CC194" i="5" s="1"/>
  <c r="BT350" i="5"/>
  <c r="BX350" i="5" s="1"/>
  <c r="BY350" i="5" s="1"/>
  <c r="CC350" i="5" s="1"/>
  <c r="BT398" i="5"/>
  <c r="BX398" i="5" s="1"/>
  <c r="BY398" i="5" s="1"/>
  <c r="CC398" i="5" s="1"/>
  <c r="BT458" i="5"/>
  <c r="BX458" i="5" s="1"/>
  <c r="BY458" i="5" s="1"/>
  <c r="CC458" i="5" s="1"/>
  <c r="BT518" i="5"/>
  <c r="BX518" i="5" s="1"/>
  <c r="BY518" i="5" s="1"/>
  <c r="CC518" i="5" s="1"/>
  <c r="BT566" i="5"/>
  <c r="BX566" i="5" s="1"/>
  <c r="BY566" i="5" s="1"/>
  <c r="CC566" i="5" s="1"/>
  <c r="BT590" i="5"/>
  <c r="BX590" i="5" s="1"/>
  <c r="BY590" i="5" s="1"/>
  <c r="CC590" i="5" s="1"/>
  <c r="BT602" i="5"/>
  <c r="BX602" i="5" s="1"/>
  <c r="BY602" i="5" s="1"/>
  <c r="CC602" i="5" s="1"/>
  <c r="BT866" i="5"/>
  <c r="BX866" i="5" s="1"/>
  <c r="BY866" i="5" s="1"/>
  <c r="CC866" i="5" s="1"/>
  <c r="BT87" i="5"/>
  <c r="BX87" i="5" s="1"/>
  <c r="BY87" i="5" s="1"/>
  <c r="CC87" i="5" s="1"/>
  <c r="BT147" i="5"/>
  <c r="BX147" i="5" s="1"/>
  <c r="BY147" i="5" s="1"/>
  <c r="CC147" i="5" s="1"/>
  <c r="BT231" i="5"/>
  <c r="BX231" i="5" s="1"/>
  <c r="BY231" i="5" s="1"/>
  <c r="CC231" i="5" s="1"/>
  <c r="BT315" i="5"/>
  <c r="BX315" i="5" s="1"/>
  <c r="BY315" i="5" s="1"/>
  <c r="CC315" i="5" s="1"/>
  <c r="BT351" i="5"/>
  <c r="BX351" i="5" s="1"/>
  <c r="BY351" i="5" s="1"/>
  <c r="CC351" i="5" s="1"/>
  <c r="BT447" i="5"/>
  <c r="BX447" i="5" s="1"/>
  <c r="BY447" i="5" s="1"/>
  <c r="CC447" i="5" s="1"/>
  <c r="BT459" i="5"/>
  <c r="BX459" i="5" s="1"/>
  <c r="BY459" i="5" s="1"/>
  <c r="CC459" i="5" s="1"/>
  <c r="BT483" i="5"/>
  <c r="BX483" i="5" s="1"/>
  <c r="BY483" i="5" s="1"/>
  <c r="CC483" i="5" s="1"/>
  <c r="BT519" i="5"/>
  <c r="BX519" i="5" s="1"/>
  <c r="BY519" i="5" s="1"/>
  <c r="CC519" i="5" s="1"/>
  <c r="BT603" i="5"/>
  <c r="BX603" i="5" s="1"/>
  <c r="BY603" i="5" s="1"/>
  <c r="CC603" i="5" s="1"/>
  <c r="BT723" i="5"/>
  <c r="BX723" i="5" s="1"/>
  <c r="BY723" i="5" s="1"/>
  <c r="CC723" i="5" s="1"/>
  <c r="BT783" i="5"/>
  <c r="BX783" i="5" s="1"/>
  <c r="BY783" i="5" s="1"/>
  <c r="CC783" i="5" s="1"/>
  <c r="BT903" i="5"/>
  <c r="BX903" i="5" s="1"/>
  <c r="BY903" i="5" s="1"/>
  <c r="CC903" i="5" s="1"/>
  <c r="BT184" i="5"/>
  <c r="BX184" i="5" s="1"/>
  <c r="BY184" i="5" s="1"/>
  <c r="CC184" i="5" s="1"/>
  <c r="BT605" i="5"/>
  <c r="BX605" i="5" s="1"/>
  <c r="BY605" i="5" s="1"/>
  <c r="CC605" i="5" s="1"/>
  <c r="BT1052" i="5"/>
  <c r="BX1052" i="5" s="1"/>
  <c r="BY1052" i="5" s="1"/>
  <c r="CC1052" i="5" s="1"/>
  <c r="BT1148" i="5"/>
  <c r="BX1148" i="5" s="1"/>
  <c r="BY1148" i="5" s="1"/>
  <c r="CC1148" i="5" s="1"/>
  <c r="BT1316" i="5"/>
  <c r="BX1316" i="5" s="1"/>
  <c r="BY1316" i="5" s="1"/>
  <c r="CC1316" i="5" s="1"/>
  <c r="BT1376" i="5"/>
  <c r="BX1376" i="5" s="1"/>
  <c r="BY1376" i="5" s="1"/>
  <c r="CC1376" i="5" s="1"/>
  <c r="BT113" i="5"/>
  <c r="BX113" i="5" s="1"/>
  <c r="BY113" i="5" s="1"/>
  <c r="CC113" i="5" s="1"/>
  <c r="BT1113" i="5"/>
  <c r="BX1113" i="5" s="1"/>
  <c r="BY1113" i="5" s="1"/>
  <c r="CC1113" i="5" s="1"/>
  <c r="BT1317" i="5"/>
  <c r="BX1317" i="5" s="1"/>
  <c r="BY1317" i="5" s="1"/>
  <c r="CC1317" i="5" s="1"/>
  <c r="BT1425" i="5"/>
  <c r="BX1425" i="5" s="1"/>
  <c r="BY1425" i="5" s="1"/>
  <c r="CC1425" i="5" s="1"/>
  <c r="BT1605" i="5"/>
  <c r="BX1605" i="5" s="1"/>
  <c r="BY1605" i="5" s="1"/>
  <c r="CC1605" i="5" s="1"/>
  <c r="BT1629" i="5"/>
  <c r="BX1629" i="5" s="1"/>
  <c r="BY1629" i="5" s="1"/>
  <c r="CC1629" i="5" s="1"/>
  <c r="BT196" i="5"/>
  <c r="BX196" i="5" s="1"/>
  <c r="BY196" i="5" s="1"/>
  <c r="CC196" i="5" s="1"/>
  <c r="BT401" i="5"/>
  <c r="BX401" i="5" s="1"/>
  <c r="BY401" i="5" s="1"/>
  <c r="CC401" i="5" s="1"/>
  <c r="BT473" i="5"/>
  <c r="BX473" i="5" s="1"/>
  <c r="BY473" i="5" s="1"/>
  <c r="CC473" i="5" s="1"/>
  <c r="BT809" i="5"/>
  <c r="BX809" i="5" s="1"/>
  <c r="BY809" i="5" s="1"/>
  <c r="CC809" i="5" s="1"/>
  <c r="BT905" i="5"/>
  <c r="BX905" i="5" s="1"/>
  <c r="BY905" i="5" s="1"/>
  <c r="CC905" i="5" s="1"/>
  <c r="BT994" i="5"/>
  <c r="BX994" i="5" s="1"/>
  <c r="BY994" i="5" s="1"/>
  <c r="CC994" i="5" s="1"/>
  <c r="BT1078" i="5"/>
  <c r="BX1078" i="5" s="1"/>
  <c r="BY1078" i="5" s="1"/>
  <c r="CC1078" i="5" s="1"/>
  <c r="BT1210" i="5"/>
  <c r="BX1210" i="5" s="1"/>
  <c r="BY1210" i="5" s="1"/>
  <c r="CC1210" i="5" s="1"/>
  <c r="BT1354" i="5"/>
  <c r="BX1354" i="5" s="1"/>
  <c r="BY1354" i="5" s="1"/>
  <c r="CC1354" i="5" s="1"/>
  <c r="BT197" i="5"/>
  <c r="BX197" i="5" s="1"/>
  <c r="BY197" i="5" s="1"/>
  <c r="CC197" i="5" s="1"/>
  <c r="BT768" i="5"/>
  <c r="BX768" i="5" s="1"/>
  <c r="BY768" i="5" s="1"/>
  <c r="CC768" i="5" s="1"/>
  <c r="BT1019" i="5"/>
  <c r="BX1019" i="5" s="1"/>
  <c r="BY1019" i="5" s="1"/>
  <c r="CC1019" i="5" s="1"/>
  <c r="BT1392" i="5"/>
  <c r="BX1392" i="5" s="1"/>
  <c r="BY1392" i="5" s="1"/>
  <c r="CC1392" i="5" s="1"/>
  <c r="BT1524" i="5"/>
  <c r="BX1524" i="5" s="1"/>
  <c r="BY1524" i="5" s="1"/>
  <c r="CC1524" i="5" s="1"/>
  <c r="BT209" i="5"/>
  <c r="BX209" i="5" s="1"/>
  <c r="BY209" i="5" s="1"/>
  <c r="CC209" i="5" s="1"/>
  <c r="BT568" i="5"/>
  <c r="BX568" i="5" s="1"/>
  <c r="BY568" i="5" s="1"/>
  <c r="CC568" i="5" s="1"/>
  <c r="BT712" i="5"/>
  <c r="BX712" i="5" s="1"/>
  <c r="BY712" i="5" s="1"/>
  <c r="CC712" i="5" s="1"/>
  <c r="BT1069" i="5"/>
  <c r="BX1069" i="5" s="1"/>
  <c r="BY1069" i="5" s="1"/>
  <c r="CC1069" i="5" s="1"/>
  <c r="BT1093" i="5"/>
  <c r="BX1093" i="5" s="1"/>
  <c r="BY1093" i="5" s="1"/>
  <c r="CC1093" i="5" s="1"/>
  <c r="BT1189" i="5"/>
  <c r="BX1189" i="5" s="1"/>
  <c r="BY1189" i="5" s="1"/>
  <c r="CC1189" i="5" s="1"/>
  <c r="BT1297" i="5"/>
  <c r="BX1297" i="5" s="1"/>
  <c r="BY1297" i="5" s="1"/>
  <c r="CC1297" i="5" s="1"/>
  <c r="BT1405" i="5"/>
  <c r="BX1405" i="5" s="1"/>
  <c r="BY1405" i="5" s="1"/>
  <c r="CC1405" i="5" s="1"/>
  <c r="BT1489" i="5"/>
  <c r="BX1489" i="5" s="1"/>
  <c r="BY1489" i="5" s="1"/>
  <c r="CC1489" i="5" s="1"/>
  <c r="BT1609" i="5"/>
  <c r="BX1609" i="5" s="1"/>
  <c r="BY1609" i="5" s="1"/>
  <c r="CC1609" i="5" s="1"/>
  <c r="BT497" i="5"/>
  <c r="BX497" i="5" s="1"/>
  <c r="BY497" i="5" s="1"/>
  <c r="CC497" i="5" s="1"/>
  <c r="BT876" i="5"/>
  <c r="BX876" i="5" s="1"/>
  <c r="BY876" i="5" s="1"/>
  <c r="CC876" i="5" s="1"/>
  <c r="BT986" i="5"/>
  <c r="BX986" i="5" s="1"/>
  <c r="BY986" i="5" s="1"/>
  <c r="CC986" i="5" s="1"/>
  <c r="BT1010" i="5"/>
  <c r="BX1010" i="5" s="1"/>
  <c r="BY1010" i="5" s="1"/>
  <c r="CC1010" i="5" s="1"/>
  <c r="BT1178" i="5"/>
  <c r="BX1178" i="5" s="1"/>
  <c r="BY1178" i="5" s="1"/>
  <c r="CC1178" i="5" s="1"/>
  <c r="BT1286" i="5"/>
  <c r="BX1286" i="5" s="1"/>
  <c r="BY1286" i="5" s="1"/>
  <c r="CC1286" i="5" s="1"/>
  <c r="BT1298" i="5"/>
  <c r="BX1298" i="5" s="1"/>
  <c r="BY1298" i="5" s="1"/>
  <c r="CC1298" i="5" s="1"/>
  <c r="BT1406" i="5"/>
  <c r="BX1406" i="5" s="1"/>
  <c r="BY1406" i="5" s="1"/>
  <c r="CC1406" i="5" s="1"/>
  <c r="BT1418" i="5"/>
  <c r="BX1418" i="5" s="1"/>
  <c r="BY1418" i="5" s="1"/>
  <c r="CC1418" i="5" s="1"/>
  <c r="BT1514" i="5"/>
  <c r="BX1514" i="5" s="1"/>
  <c r="BY1514" i="5" s="1"/>
  <c r="CC1514" i="5" s="1"/>
  <c r="BT1694" i="5"/>
  <c r="BX1694" i="5" s="1"/>
  <c r="BY1694" i="5" s="1"/>
  <c r="CC1694" i="5" s="1"/>
  <c r="BT364" i="5"/>
  <c r="BX364" i="5" s="1"/>
  <c r="BY364" i="5" s="1"/>
  <c r="CC364" i="5" s="1"/>
  <c r="BT784" i="5"/>
  <c r="BX784" i="5" s="1"/>
  <c r="BY784" i="5" s="1"/>
  <c r="CC784" i="5" s="1"/>
  <c r="BT1071" i="5"/>
  <c r="BX1071" i="5" s="1"/>
  <c r="BY1071" i="5" s="1"/>
  <c r="CC1071" i="5" s="1"/>
  <c r="BT1155" i="5"/>
  <c r="BX1155" i="5" s="1"/>
  <c r="BY1155" i="5" s="1"/>
  <c r="CC1155" i="5" s="1"/>
  <c r="BT1167" i="5"/>
  <c r="BX1167" i="5" s="1"/>
  <c r="BY1167" i="5" s="1"/>
  <c r="CC1167" i="5" s="1"/>
  <c r="BT1311" i="5"/>
  <c r="BX1311" i="5" s="1"/>
  <c r="BY1311" i="5" s="1"/>
  <c r="CC1311" i="5" s="1"/>
  <c r="BT1383" i="5"/>
  <c r="BX1383" i="5" s="1"/>
  <c r="BY1383" i="5" s="1"/>
  <c r="CC1383" i="5" s="1"/>
  <c r="BT1671" i="5"/>
  <c r="BX1671" i="5" s="1"/>
  <c r="BY1671" i="5" s="1"/>
  <c r="CC1671" i="5" s="1"/>
  <c r="BT952" i="5"/>
  <c r="BX952" i="5" s="1"/>
  <c r="BY952" i="5" s="1"/>
  <c r="CC952" i="5" s="1"/>
  <c r="BT988" i="5"/>
  <c r="BX988" i="5" s="1"/>
  <c r="BY988" i="5" s="1"/>
  <c r="CC988" i="5" s="1"/>
  <c r="BT1000" i="5"/>
  <c r="BX1000" i="5" s="1"/>
  <c r="BY1000" i="5" s="1"/>
  <c r="CC1000" i="5" s="1"/>
  <c r="BT1204" i="5"/>
  <c r="BX1204" i="5" s="1"/>
  <c r="BY1204" i="5" s="1"/>
  <c r="CC1204" i="5" s="1"/>
  <c r="BT1552" i="5"/>
  <c r="BX1552" i="5" s="1"/>
  <c r="BY1552" i="5" s="1"/>
  <c r="CC1552" i="5" s="1"/>
  <c r="BT376" i="5"/>
  <c r="BX376" i="5" s="1"/>
  <c r="BY376" i="5" s="1"/>
  <c r="CC376" i="5" s="1"/>
  <c r="BT592" i="5"/>
  <c r="BX592" i="5" s="1"/>
  <c r="BY592" i="5" s="1"/>
  <c r="CC592" i="5" s="1"/>
  <c r="BT792" i="5"/>
  <c r="BX792" i="5" s="1"/>
  <c r="BY792" i="5" s="1"/>
  <c r="CC792" i="5" s="1"/>
  <c r="BT1001" i="5"/>
  <c r="BX1001" i="5" s="1"/>
  <c r="BY1001" i="5" s="1"/>
  <c r="CC1001" i="5" s="1"/>
  <c r="BT1193" i="5"/>
  <c r="BX1193" i="5" s="1"/>
  <c r="BY1193" i="5" s="1"/>
  <c r="CC1193" i="5" s="1"/>
  <c r="BT1373" i="5"/>
  <c r="BX1373" i="5" s="1"/>
  <c r="BY1373" i="5" s="1"/>
  <c r="CC1373" i="5" s="1"/>
  <c r="BT1385" i="5"/>
  <c r="BX1385" i="5" s="1"/>
  <c r="BY1385" i="5" s="1"/>
  <c r="CC1385" i="5" s="1"/>
  <c r="BT1421" i="5"/>
  <c r="BX1421" i="5" s="1"/>
  <c r="BY1421" i="5" s="1"/>
  <c r="CC1421" i="5" s="1"/>
  <c r="BT1445" i="5"/>
  <c r="BX1445" i="5" s="1"/>
  <c r="BY1445" i="5" s="1"/>
  <c r="CC1445" i="5" s="1"/>
  <c r="BT1517" i="5"/>
  <c r="BX1517" i="5" s="1"/>
  <c r="BY1517" i="5" s="1"/>
  <c r="CC1517" i="5" s="1"/>
  <c r="BT1589" i="5"/>
  <c r="BX1589" i="5" s="1"/>
  <c r="BY1589" i="5" s="1"/>
  <c r="CC1589" i="5" s="1"/>
  <c r="BT1685" i="5"/>
  <c r="BX1685" i="5" s="1"/>
  <c r="BY1685" i="5" s="1"/>
  <c r="CC1685" i="5" s="1"/>
  <c r="BT665" i="5"/>
  <c r="BX665" i="5" s="1"/>
  <c r="BY665" i="5" s="1"/>
  <c r="CC665" i="5" s="1"/>
  <c r="BT1206" i="5"/>
  <c r="BX1206" i="5" s="1"/>
  <c r="BY1206" i="5" s="1"/>
  <c r="CC1206" i="5" s="1"/>
  <c r="BT1302" i="5"/>
  <c r="BX1302" i="5" s="1"/>
  <c r="BY1302" i="5" s="1"/>
  <c r="CC1302" i="5" s="1"/>
  <c r="BT460" i="5"/>
  <c r="BX460" i="5" s="1"/>
  <c r="BY460" i="5" s="1"/>
  <c r="CC460" i="5" s="1"/>
  <c r="BT979" i="5"/>
  <c r="BX979" i="5" s="1"/>
  <c r="BY979" i="5" s="1"/>
  <c r="CC979" i="5" s="1"/>
  <c r="BT1411" i="5"/>
  <c r="BX1411" i="5" s="1"/>
  <c r="BY1411" i="5" s="1"/>
  <c r="CC1411" i="5" s="1"/>
  <c r="BT2138" i="5"/>
  <c r="BX2138" i="5" s="1"/>
  <c r="BY2138" i="5" s="1"/>
  <c r="CC2138" i="5" s="1"/>
  <c r="BT1423" i="5"/>
  <c r="BX1423" i="5" s="1"/>
  <c r="BY1423" i="5" s="1"/>
  <c r="CC1423" i="5" s="1"/>
  <c r="BT2295" i="5"/>
  <c r="BX2295" i="5" s="1"/>
  <c r="BY2295" i="5" s="1"/>
  <c r="CC2295" i="5" s="1"/>
  <c r="BT604" i="5"/>
  <c r="BX604" i="5" s="1"/>
  <c r="BY604" i="5" s="1"/>
  <c r="CC604" i="5" s="1"/>
  <c r="BT676" i="5"/>
  <c r="BX676" i="5" s="1"/>
  <c r="BY676" i="5" s="1"/>
  <c r="CC676" i="5" s="1"/>
  <c r="BT1159" i="5"/>
  <c r="BX1159" i="5" s="1"/>
  <c r="BY1159" i="5" s="1"/>
  <c r="CC1159" i="5" s="1"/>
  <c r="BT2261" i="5"/>
  <c r="BX2261" i="5" s="1"/>
  <c r="BY2261" i="5" s="1"/>
  <c r="CC2261" i="5" s="1"/>
  <c r="BT1603" i="5"/>
  <c r="BX1603" i="5" s="1"/>
  <c r="BY1603" i="5" s="1"/>
  <c r="CC1603" i="5" s="1"/>
  <c r="BT2012" i="5"/>
  <c r="BX2012" i="5" s="1"/>
  <c r="BY2012" i="5" s="1"/>
  <c r="CC2012" i="5" s="1"/>
  <c r="BT2457" i="5"/>
  <c r="BX2457" i="5" s="1"/>
  <c r="BY2457" i="5" s="1"/>
  <c r="CC2457" i="5" s="1"/>
  <c r="BT1219" i="5"/>
  <c r="BX1219" i="5" s="1"/>
  <c r="BY1219" i="5" s="1"/>
  <c r="CC1219" i="5" s="1"/>
  <c r="BT1822" i="5"/>
  <c r="BX1822" i="5" s="1"/>
  <c r="BY1822" i="5" s="1"/>
  <c r="CC1822" i="5" s="1"/>
  <c r="BT1519" i="5"/>
  <c r="BX1519" i="5" s="1"/>
  <c r="BY1519" i="5" s="1"/>
  <c r="CC1519" i="5" s="1"/>
  <c r="BQ2" i="1"/>
  <c r="BT366" i="5"/>
  <c r="BX366" i="5" s="1"/>
  <c r="BY366" i="5" s="1"/>
  <c r="CC366" i="5" s="1"/>
  <c r="BT666" i="5"/>
  <c r="BX666" i="5" s="1"/>
  <c r="BY666" i="5" s="1"/>
  <c r="CC666" i="5" s="1"/>
  <c r="BT224" i="5"/>
  <c r="BX224" i="5" s="1"/>
  <c r="BY224" i="5" s="1"/>
  <c r="CC224" i="5" s="1"/>
  <c r="BT872" i="5"/>
  <c r="BX872" i="5" s="1"/>
  <c r="BY872" i="5" s="1"/>
  <c r="CC872" i="5" s="1"/>
  <c r="BT645" i="5"/>
  <c r="BX645" i="5" s="1"/>
  <c r="BY645" i="5" s="1"/>
  <c r="CC645" i="5" s="1"/>
  <c r="BT753" i="5"/>
  <c r="BX753" i="5" s="1"/>
  <c r="BY753" i="5" s="1"/>
  <c r="CC753" i="5" s="1"/>
  <c r="BT322" i="5"/>
  <c r="BX322" i="5" s="1"/>
  <c r="BY322" i="5" s="1"/>
  <c r="CC322" i="5" s="1"/>
  <c r="BT95" i="5"/>
  <c r="BX95" i="5" s="1"/>
  <c r="BY95" i="5" s="1"/>
  <c r="CC95" i="5" s="1"/>
  <c r="BT227" i="5"/>
  <c r="BX227" i="5" s="1"/>
  <c r="BY227" i="5" s="1"/>
  <c r="CC227" i="5" s="1"/>
  <c r="BT121" i="5"/>
  <c r="BX121" i="5" s="1"/>
  <c r="BY121" i="5" s="1"/>
  <c r="CC121" i="5" s="1"/>
  <c r="BT206" i="5"/>
  <c r="BX206" i="5" s="1"/>
  <c r="BY206" i="5" s="1"/>
  <c r="CC206" i="5" s="1"/>
  <c r="BT279" i="5"/>
  <c r="BX279" i="5" s="1"/>
  <c r="BY279" i="5" s="1"/>
  <c r="CC279" i="5" s="1"/>
  <c r="BT507" i="5"/>
  <c r="BX507" i="5" s="1"/>
  <c r="BY507" i="5" s="1"/>
  <c r="CC507" i="5" s="1"/>
  <c r="BT400" i="5"/>
  <c r="BX400" i="5" s="1"/>
  <c r="BY400" i="5" s="1"/>
  <c r="CC400" i="5" s="1"/>
  <c r="BT280" i="5"/>
  <c r="BX280" i="5" s="1"/>
  <c r="BY280" i="5" s="1"/>
  <c r="CC280" i="5" s="1"/>
  <c r="BT713" i="5"/>
  <c r="BX713" i="5" s="1"/>
  <c r="BY713" i="5" s="1"/>
  <c r="CC713" i="5" s="1"/>
  <c r="BT828" i="5"/>
  <c r="BX828" i="5" s="1"/>
  <c r="BY828" i="5" s="1"/>
  <c r="CC828" i="5" s="1"/>
  <c r="BT1754" i="5"/>
  <c r="BX1754" i="5" s="1"/>
  <c r="BY1754" i="5" s="1"/>
  <c r="CC1754" i="5" s="1"/>
  <c r="BT951" i="5"/>
  <c r="BX951" i="5" s="1"/>
  <c r="BY951" i="5" s="1"/>
  <c r="CC951" i="5" s="1"/>
  <c r="BT1443" i="5"/>
  <c r="BX1443" i="5" s="1"/>
  <c r="BY1443" i="5" s="1"/>
  <c r="CC1443" i="5" s="1"/>
  <c r="BT89" i="5"/>
  <c r="BX89" i="5" s="1"/>
  <c r="BY89" i="5" s="1"/>
  <c r="CC89" i="5" s="1"/>
  <c r="BT1301" i="5"/>
  <c r="BX1301" i="5" s="1"/>
  <c r="BY1301" i="5" s="1"/>
  <c r="CC1301" i="5" s="1"/>
  <c r="BT377" i="5"/>
  <c r="BX377" i="5" s="1"/>
  <c r="BY377" i="5" s="1"/>
  <c r="CC377" i="5" s="1"/>
  <c r="BT1170" i="5"/>
  <c r="BX1170" i="5" s="1"/>
  <c r="BY1170" i="5" s="1"/>
  <c r="CC1170" i="5" s="1"/>
  <c r="BT2249" i="5"/>
  <c r="BX2249" i="5" s="1"/>
  <c r="BY2249" i="5" s="1"/>
  <c r="CC2249" i="5" s="1"/>
  <c r="BT658" i="5"/>
  <c r="BX658" i="5" s="1"/>
  <c r="BY658" i="5" s="1"/>
  <c r="CC658" i="5" s="1"/>
  <c r="BT136" i="5"/>
  <c r="BX136" i="5" s="1"/>
  <c r="BY136" i="5" s="1"/>
  <c r="CC136" i="5" s="1"/>
  <c r="BT1296" i="5"/>
  <c r="BX1296" i="5" s="1"/>
  <c r="BY1296" i="5" s="1"/>
  <c r="CC1296" i="5" s="1"/>
  <c r="BT222" i="5"/>
  <c r="BX222" i="5" s="1"/>
  <c r="BY222" i="5" s="1"/>
  <c r="CC222" i="5" s="1"/>
  <c r="BT246" i="5"/>
  <c r="BX246" i="5" s="1"/>
  <c r="BY246" i="5" s="1"/>
  <c r="CC246" i="5" s="1"/>
  <c r="BT258" i="5"/>
  <c r="BX258" i="5" s="1"/>
  <c r="BY258" i="5" s="1"/>
  <c r="CC258" i="5" s="1"/>
  <c r="BT318" i="5"/>
  <c r="BX318" i="5" s="1"/>
  <c r="BY318" i="5" s="1"/>
  <c r="CC318" i="5" s="1"/>
  <c r="BT402" i="5"/>
  <c r="BX402" i="5" s="1"/>
  <c r="BY402" i="5" s="1"/>
  <c r="CC402" i="5" s="1"/>
  <c r="BT414" i="5"/>
  <c r="BX414" i="5" s="1"/>
  <c r="BY414" i="5" s="1"/>
  <c r="CC414" i="5" s="1"/>
  <c r="BT426" i="5"/>
  <c r="BX426" i="5" s="1"/>
  <c r="BY426" i="5" s="1"/>
  <c r="CC426" i="5" s="1"/>
  <c r="BT438" i="5"/>
  <c r="BX438" i="5" s="1"/>
  <c r="BY438" i="5" s="1"/>
  <c r="CC438" i="5" s="1"/>
  <c r="BT498" i="5"/>
  <c r="BX498" i="5" s="1"/>
  <c r="BY498" i="5" s="1"/>
  <c r="CC498" i="5" s="1"/>
  <c r="BT522" i="5"/>
  <c r="BX522" i="5" s="1"/>
  <c r="BY522" i="5" s="1"/>
  <c r="CC522" i="5" s="1"/>
  <c r="BT582" i="5"/>
  <c r="BX582" i="5" s="1"/>
  <c r="BY582" i="5" s="1"/>
  <c r="CC582" i="5" s="1"/>
  <c r="BT594" i="5"/>
  <c r="BX594" i="5" s="1"/>
  <c r="BY594" i="5" s="1"/>
  <c r="CC594" i="5" s="1"/>
  <c r="BT618" i="5"/>
  <c r="BX618" i="5" s="1"/>
  <c r="BY618" i="5" s="1"/>
  <c r="CC618" i="5" s="1"/>
  <c r="BT630" i="5"/>
  <c r="BX630" i="5" s="1"/>
  <c r="BY630" i="5" s="1"/>
  <c r="CC630" i="5" s="1"/>
  <c r="BT642" i="5"/>
  <c r="BX642" i="5" s="1"/>
  <c r="BY642" i="5" s="1"/>
  <c r="CC642" i="5" s="1"/>
  <c r="BT654" i="5"/>
  <c r="BX654" i="5" s="1"/>
  <c r="BY654" i="5" s="1"/>
  <c r="CC654" i="5" s="1"/>
  <c r="BT678" i="5"/>
  <c r="BX678" i="5" s="1"/>
  <c r="BY678" i="5" s="1"/>
  <c r="CC678" i="5" s="1"/>
  <c r="BT702" i="5"/>
  <c r="BX702" i="5" s="1"/>
  <c r="BY702" i="5" s="1"/>
  <c r="CC702" i="5" s="1"/>
  <c r="BT750" i="5"/>
  <c r="BX750" i="5" s="1"/>
  <c r="BY750" i="5" s="1"/>
  <c r="CC750" i="5" s="1"/>
  <c r="BT762" i="5"/>
  <c r="BX762" i="5" s="1"/>
  <c r="BY762" i="5" s="1"/>
  <c r="CC762" i="5" s="1"/>
  <c r="BT774" i="5"/>
  <c r="BX774" i="5" s="1"/>
  <c r="BY774" i="5" s="1"/>
  <c r="CC774" i="5" s="1"/>
  <c r="BT786" i="5"/>
  <c r="BX786" i="5" s="1"/>
  <c r="BY786" i="5" s="1"/>
  <c r="CC786" i="5" s="1"/>
  <c r="BT798" i="5"/>
  <c r="BX798" i="5" s="1"/>
  <c r="BY798" i="5" s="1"/>
  <c r="CC798" i="5" s="1"/>
  <c r="BT834" i="5"/>
  <c r="BX834" i="5" s="1"/>
  <c r="BY834" i="5" s="1"/>
  <c r="CC834" i="5" s="1"/>
  <c r="BT846" i="5"/>
  <c r="BX846" i="5" s="1"/>
  <c r="BY846" i="5" s="1"/>
  <c r="CC846" i="5" s="1"/>
  <c r="BT882" i="5"/>
  <c r="BX882" i="5" s="1"/>
  <c r="BY882" i="5" s="1"/>
  <c r="CC882" i="5" s="1"/>
  <c r="BT930" i="5"/>
  <c r="BX930" i="5" s="1"/>
  <c r="BY930" i="5" s="1"/>
  <c r="CC930" i="5" s="1"/>
  <c r="BT7" i="5"/>
  <c r="BX7" i="5" s="1"/>
  <c r="BY7" i="5" s="1"/>
  <c r="CC7" i="5" s="1"/>
  <c r="BT31" i="5"/>
  <c r="BX31" i="5" s="1"/>
  <c r="BY31" i="5" s="1"/>
  <c r="CC31" i="5" s="1"/>
  <c r="BT211" i="5"/>
  <c r="BX211" i="5" s="1"/>
  <c r="BY211" i="5" s="1"/>
  <c r="CC211" i="5" s="1"/>
  <c r="BT307" i="5"/>
  <c r="BX307" i="5" s="1"/>
  <c r="BY307" i="5" s="1"/>
  <c r="CC307" i="5" s="1"/>
  <c r="BT319" i="5"/>
  <c r="BX319" i="5" s="1"/>
  <c r="BY319" i="5" s="1"/>
  <c r="CC319" i="5" s="1"/>
  <c r="BT343" i="5"/>
  <c r="BX343" i="5" s="1"/>
  <c r="BY343" i="5" s="1"/>
  <c r="CC343" i="5" s="1"/>
  <c r="BT403" i="5"/>
  <c r="BX403" i="5" s="1"/>
  <c r="BY403" i="5" s="1"/>
  <c r="CC403" i="5" s="1"/>
  <c r="BT415" i="5"/>
  <c r="BX415" i="5" s="1"/>
  <c r="BY415" i="5" s="1"/>
  <c r="CC415" i="5" s="1"/>
  <c r="BT427" i="5"/>
  <c r="BX427" i="5" s="1"/>
  <c r="BY427" i="5" s="1"/>
  <c r="CC427" i="5" s="1"/>
  <c r="BT439" i="5"/>
  <c r="BX439" i="5" s="1"/>
  <c r="BY439" i="5" s="1"/>
  <c r="CC439" i="5" s="1"/>
  <c r="BT475" i="5"/>
  <c r="BX475" i="5" s="1"/>
  <c r="BY475" i="5" s="1"/>
  <c r="CC475" i="5" s="1"/>
  <c r="BT499" i="5"/>
  <c r="BX499" i="5" s="1"/>
  <c r="BY499" i="5" s="1"/>
  <c r="CC499" i="5" s="1"/>
  <c r="BT583" i="5"/>
  <c r="BX583" i="5" s="1"/>
  <c r="BY583" i="5" s="1"/>
  <c r="CC583" i="5" s="1"/>
  <c r="BT631" i="5"/>
  <c r="BX631" i="5" s="1"/>
  <c r="BY631" i="5" s="1"/>
  <c r="CC631" i="5" s="1"/>
  <c r="BT643" i="5"/>
  <c r="BX643" i="5" s="1"/>
  <c r="BY643" i="5" s="1"/>
  <c r="CC643" i="5" s="1"/>
  <c r="BT667" i="5"/>
  <c r="BX667" i="5" s="1"/>
  <c r="BY667" i="5" s="1"/>
  <c r="CC667" i="5" s="1"/>
  <c r="BT679" i="5"/>
  <c r="BX679" i="5" s="1"/>
  <c r="BY679" i="5" s="1"/>
  <c r="CC679" i="5" s="1"/>
  <c r="BT847" i="5"/>
  <c r="BX847" i="5" s="1"/>
  <c r="BY847" i="5" s="1"/>
  <c r="CC847" i="5" s="1"/>
  <c r="BT883" i="5"/>
  <c r="BX883" i="5" s="1"/>
  <c r="BY883" i="5" s="1"/>
  <c r="CC883" i="5" s="1"/>
  <c r="BT907" i="5"/>
  <c r="BX907" i="5" s="1"/>
  <c r="BY907" i="5" s="1"/>
  <c r="CC907" i="5" s="1"/>
  <c r="BT260" i="5"/>
  <c r="BX260" i="5" s="1"/>
  <c r="BY260" i="5" s="1"/>
  <c r="CC260" i="5" s="1"/>
  <c r="BT332" i="5"/>
  <c r="BX332" i="5" s="1"/>
  <c r="BY332" i="5" s="1"/>
  <c r="CC332" i="5" s="1"/>
  <c r="BT368" i="5"/>
  <c r="BX368" i="5" s="1"/>
  <c r="BY368" i="5" s="1"/>
  <c r="CC368" i="5" s="1"/>
  <c r="BT476" i="5"/>
  <c r="BX476" i="5" s="1"/>
  <c r="BY476" i="5" s="1"/>
  <c r="CC476" i="5" s="1"/>
  <c r="BT488" i="5"/>
  <c r="BX488" i="5" s="1"/>
  <c r="BY488" i="5" s="1"/>
  <c r="CC488" i="5" s="1"/>
  <c r="BT584" i="5"/>
  <c r="BX584" i="5" s="1"/>
  <c r="BY584" i="5" s="1"/>
  <c r="CC584" i="5" s="1"/>
  <c r="BT596" i="5"/>
  <c r="BX596" i="5" s="1"/>
  <c r="BY596" i="5" s="1"/>
  <c r="CC596" i="5" s="1"/>
  <c r="BT644" i="5"/>
  <c r="BX644" i="5" s="1"/>
  <c r="BY644" i="5" s="1"/>
  <c r="CC644" i="5" s="1"/>
  <c r="BT668" i="5"/>
  <c r="BX668" i="5" s="1"/>
  <c r="BY668" i="5" s="1"/>
  <c r="CC668" i="5" s="1"/>
  <c r="BT692" i="5"/>
  <c r="BX692" i="5" s="1"/>
  <c r="BY692" i="5" s="1"/>
  <c r="CC692" i="5" s="1"/>
  <c r="BT704" i="5"/>
  <c r="BX704" i="5" s="1"/>
  <c r="BY704" i="5" s="1"/>
  <c r="CC704" i="5" s="1"/>
  <c r="BT752" i="5"/>
  <c r="BX752" i="5" s="1"/>
  <c r="BY752" i="5" s="1"/>
  <c r="CC752" i="5" s="1"/>
  <c r="BT776" i="5"/>
  <c r="BX776" i="5" s="1"/>
  <c r="BY776" i="5" s="1"/>
  <c r="CC776" i="5" s="1"/>
  <c r="BT9" i="5"/>
  <c r="BX9" i="5" s="1"/>
  <c r="BY9" i="5" s="1"/>
  <c r="CC9" i="5" s="1"/>
  <c r="BT45" i="5"/>
  <c r="BX45" i="5" s="1"/>
  <c r="BY45" i="5" s="1"/>
  <c r="CC45" i="5" s="1"/>
  <c r="BT273" i="5"/>
  <c r="BX273" i="5" s="1"/>
  <c r="BY273" i="5" s="1"/>
  <c r="CC273" i="5" s="1"/>
  <c r="BT297" i="5"/>
  <c r="BX297" i="5" s="1"/>
  <c r="BY297" i="5" s="1"/>
  <c r="CC297" i="5" s="1"/>
  <c r="BT345" i="5"/>
  <c r="BX345" i="5" s="1"/>
  <c r="BY345" i="5" s="1"/>
  <c r="CC345" i="5" s="1"/>
  <c r="BT369" i="5"/>
  <c r="BX369" i="5" s="1"/>
  <c r="BY369" i="5" s="1"/>
  <c r="CC369" i="5" s="1"/>
  <c r="BT381" i="5"/>
  <c r="BX381" i="5" s="1"/>
  <c r="BY381" i="5" s="1"/>
  <c r="CC381" i="5" s="1"/>
  <c r="BT405" i="5"/>
  <c r="BX405" i="5" s="1"/>
  <c r="BY405" i="5" s="1"/>
  <c r="CC405" i="5" s="1"/>
  <c r="BT417" i="5"/>
  <c r="BX417" i="5" s="1"/>
  <c r="BY417" i="5" s="1"/>
  <c r="CC417" i="5" s="1"/>
  <c r="BT441" i="5"/>
  <c r="BX441" i="5" s="1"/>
  <c r="BY441" i="5" s="1"/>
  <c r="CC441" i="5" s="1"/>
  <c r="BT453" i="5"/>
  <c r="BX453" i="5" s="1"/>
  <c r="BY453" i="5" s="1"/>
  <c r="CC453" i="5" s="1"/>
  <c r="BT465" i="5"/>
  <c r="BX465" i="5" s="1"/>
  <c r="BY465" i="5" s="1"/>
  <c r="CC465" i="5" s="1"/>
  <c r="BT501" i="5"/>
  <c r="BX501" i="5" s="1"/>
  <c r="BY501" i="5" s="1"/>
  <c r="CC501" i="5" s="1"/>
  <c r="BT585" i="5"/>
  <c r="BX585" i="5" s="1"/>
  <c r="BY585" i="5" s="1"/>
  <c r="CC585" i="5" s="1"/>
  <c r="BT621" i="5"/>
  <c r="BX621" i="5" s="1"/>
  <c r="BY621" i="5" s="1"/>
  <c r="CC621" i="5" s="1"/>
  <c r="BT633" i="5"/>
  <c r="BX633" i="5" s="1"/>
  <c r="BY633" i="5" s="1"/>
  <c r="CC633" i="5" s="1"/>
  <c r="BT705" i="5"/>
  <c r="BX705" i="5" s="1"/>
  <c r="BY705" i="5" s="1"/>
  <c r="CC705" i="5" s="1"/>
  <c r="BT849" i="5"/>
  <c r="BX849" i="5" s="1"/>
  <c r="BY849" i="5" s="1"/>
  <c r="CC849" i="5" s="1"/>
  <c r="BT885" i="5"/>
  <c r="BX885" i="5" s="1"/>
  <c r="BY885" i="5" s="1"/>
  <c r="CC885" i="5" s="1"/>
  <c r="BT909" i="5"/>
  <c r="BX909" i="5" s="1"/>
  <c r="BY909" i="5" s="1"/>
  <c r="CC909" i="5" s="1"/>
  <c r="BT274" i="5"/>
  <c r="BX274" i="5" s="1"/>
  <c r="BY274" i="5" s="1"/>
  <c r="CC274" i="5" s="1"/>
  <c r="BT286" i="5"/>
  <c r="BX286" i="5" s="1"/>
  <c r="BY286" i="5" s="1"/>
  <c r="CC286" i="5" s="1"/>
  <c r="BT310" i="5"/>
  <c r="BX310" i="5" s="1"/>
  <c r="BY310" i="5" s="1"/>
  <c r="CC310" i="5" s="1"/>
  <c r="BT334" i="5"/>
  <c r="BX334" i="5" s="1"/>
  <c r="BY334" i="5" s="1"/>
  <c r="CC334" i="5" s="1"/>
  <c r="BT370" i="5"/>
  <c r="BX370" i="5" s="1"/>
  <c r="BY370" i="5" s="1"/>
  <c r="CC370" i="5" s="1"/>
  <c r="BT406" i="5"/>
  <c r="BX406" i="5" s="1"/>
  <c r="BY406" i="5" s="1"/>
  <c r="CC406" i="5" s="1"/>
  <c r="BT430" i="5"/>
  <c r="BX430" i="5" s="1"/>
  <c r="BY430" i="5" s="1"/>
  <c r="CC430" i="5" s="1"/>
  <c r="BT442" i="5"/>
  <c r="BX442" i="5" s="1"/>
  <c r="BY442" i="5" s="1"/>
  <c r="CC442" i="5" s="1"/>
  <c r="BT454" i="5"/>
  <c r="BX454" i="5" s="1"/>
  <c r="BY454" i="5" s="1"/>
  <c r="CC454" i="5" s="1"/>
  <c r="BT490" i="5"/>
  <c r="BX490" i="5" s="1"/>
  <c r="BY490" i="5" s="1"/>
  <c r="CC490" i="5" s="1"/>
  <c r="BT502" i="5"/>
  <c r="BX502" i="5" s="1"/>
  <c r="BY502" i="5" s="1"/>
  <c r="CC502" i="5" s="1"/>
  <c r="BT514" i="5"/>
  <c r="BX514" i="5" s="1"/>
  <c r="BY514" i="5" s="1"/>
  <c r="CC514" i="5" s="1"/>
  <c r="BT562" i="5"/>
  <c r="BX562" i="5" s="1"/>
  <c r="BY562" i="5" s="1"/>
  <c r="CC562" i="5" s="1"/>
  <c r="BT586" i="5"/>
  <c r="BX586" i="5" s="1"/>
  <c r="BY586" i="5" s="1"/>
  <c r="CC586" i="5" s="1"/>
  <c r="BT598" i="5"/>
  <c r="BX598" i="5" s="1"/>
  <c r="BY598" i="5" s="1"/>
  <c r="CC598" i="5" s="1"/>
  <c r="BT634" i="5"/>
  <c r="BX634" i="5" s="1"/>
  <c r="BY634" i="5" s="1"/>
  <c r="CC634" i="5" s="1"/>
  <c r="BT646" i="5"/>
  <c r="BX646" i="5" s="1"/>
  <c r="BY646" i="5" s="1"/>
  <c r="CC646" i="5" s="1"/>
  <c r="BT670" i="5"/>
  <c r="BX670" i="5" s="1"/>
  <c r="BY670" i="5" s="1"/>
  <c r="CC670" i="5" s="1"/>
  <c r="BT694" i="5"/>
  <c r="BX694" i="5" s="1"/>
  <c r="BY694" i="5" s="1"/>
  <c r="CC694" i="5" s="1"/>
  <c r="BT706" i="5"/>
  <c r="BX706" i="5" s="1"/>
  <c r="BY706" i="5" s="1"/>
  <c r="CC706" i="5" s="1"/>
  <c r="BT778" i="5"/>
  <c r="BX778" i="5" s="1"/>
  <c r="BY778" i="5" s="1"/>
  <c r="CC778" i="5" s="1"/>
  <c r="BT814" i="5"/>
  <c r="BX814" i="5" s="1"/>
  <c r="BY814" i="5" s="1"/>
  <c r="CC814" i="5" s="1"/>
  <c r="BT239" i="5"/>
  <c r="BX239" i="5" s="1"/>
  <c r="BY239" i="5" s="1"/>
  <c r="CC239" i="5" s="1"/>
  <c r="BT287" i="5"/>
  <c r="BX287" i="5" s="1"/>
  <c r="BY287" i="5" s="1"/>
  <c r="CC287" i="5" s="1"/>
  <c r="BT335" i="5"/>
  <c r="BX335" i="5" s="1"/>
  <c r="BY335" i="5" s="1"/>
  <c r="CC335" i="5" s="1"/>
  <c r="BT431" i="5"/>
  <c r="BX431" i="5" s="1"/>
  <c r="BY431" i="5" s="1"/>
  <c r="CC431" i="5" s="1"/>
  <c r="BT491" i="5"/>
  <c r="BX491" i="5" s="1"/>
  <c r="BY491" i="5" s="1"/>
  <c r="CC491" i="5" s="1"/>
  <c r="BT503" i="5"/>
  <c r="BX503" i="5" s="1"/>
  <c r="BY503" i="5" s="1"/>
  <c r="CC503" i="5" s="1"/>
  <c r="BT539" i="5"/>
  <c r="BX539" i="5" s="1"/>
  <c r="BY539" i="5" s="1"/>
  <c r="CC539" i="5" s="1"/>
  <c r="BT575" i="5"/>
  <c r="BX575" i="5" s="1"/>
  <c r="BY575" i="5" s="1"/>
  <c r="CC575" i="5" s="1"/>
  <c r="BT587" i="5"/>
  <c r="BX587" i="5" s="1"/>
  <c r="BY587" i="5" s="1"/>
  <c r="CC587" i="5" s="1"/>
  <c r="BT623" i="5"/>
  <c r="BX623" i="5" s="1"/>
  <c r="BY623" i="5" s="1"/>
  <c r="CC623" i="5" s="1"/>
  <c r="BT647" i="5"/>
  <c r="BX647" i="5" s="1"/>
  <c r="BY647" i="5" s="1"/>
  <c r="CC647" i="5" s="1"/>
  <c r="BT659" i="5"/>
  <c r="BX659" i="5" s="1"/>
  <c r="BY659" i="5" s="1"/>
  <c r="CC659" i="5" s="1"/>
  <c r="BT671" i="5"/>
  <c r="BX671" i="5" s="1"/>
  <c r="BY671" i="5" s="1"/>
  <c r="CC671" i="5" s="1"/>
  <c r="BT683" i="5"/>
  <c r="BX683" i="5" s="1"/>
  <c r="BY683" i="5" s="1"/>
  <c r="CC683" i="5" s="1"/>
  <c r="BT839" i="5"/>
  <c r="BX839" i="5" s="1"/>
  <c r="BY839" i="5" s="1"/>
  <c r="CC839" i="5" s="1"/>
  <c r="BT863" i="5"/>
  <c r="BX863" i="5" s="1"/>
  <c r="BY863" i="5" s="1"/>
  <c r="CC863" i="5" s="1"/>
  <c r="BT875" i="5"/>
  <c r="BX875" i="5" s="1"/>
  <c r="BY875" i="5" s="1"/>
  <c r="CC875" i="5" s="1"/>
  <c r="BT228" i="5"/>
  <c r="BX228" i="5" s="1"/>
  <c r="BY228" i="5" s="1"/>
  <c r="CC228" i="5" s="1"/>
  <c r="BT264" i="5"/>
  <c r="BX264" i="5" s="1"/>
  <c r="BY264" i="5" s="1"/>
  <c r="CC264" i="5" s="1"/>
  <c r="BT288" i="5"/>
  <c r="BX288" i="5" s="1"/>
  <c r="BY288" i="5" s="1"/>
  <c r="CC288" i="5" s="1"/>
  <c r="BT300" i="5"/>
  <c r="BX300" i="5" s="1"/>
  <c r="BY300" i="5" s="1"/>
  <c r="CC300" i="5" s="1"/>
  <c r="BT312" i="5"/>
  <c r="BX312" i="5" s="1"/>
  <c r="BY312" i="5" s="1"/>
  <c r="CC312" i="5" s="1"/>
  <c r="BT360" i="5"/>
  <c r="BX360" i="5" s="1"/>
  <c r="BY360" i="5" s="1"/>
  <c r="CC360" i="5" s="1"/>
  <c r="BT372" i="5"/>
  <c r="BX372" i="5" s="1"/>
  <c r="BY372" i="5" s="1"/>
  <c r="CC372" i="5" s="1"/>
  <c r="BT396" i="5"/>
  <c r="BX396" i="5" s="1"/>
  <c r="BY396" i="5" s="1"/>
  <c r="CC396" i="5" s="1"/>
  <c r="BT432" i="5"/>
  <c r="BX432" i="5" s="1"/>
  <c r="BY432" i="5" s="1"/>
  <c r="CC432" i="5" s="1"/>
  <c r="BT480" i="5"/>
  <c r="BX480" i="5" s="1"/>
  <c r="BY480" i="5" s="1"/>
  <c r="CC480" i="5" s="1"/>
  <c r="BT504" i="5"/>
  <c r="BX504" i="5" s="1"/>
  <c r="BY504" i="5" s="1"/>
  <c r="CC504" i="5" s="1"/>
  <c r="BT528" i="5"/>
  <c r="BX528" i="5" s="1"/>
  <c r="BY528" i="5" s="1"/>
  <c r="CC528" i="5" s="1"/>
  <c r="BT588" i="5"/>
  <c r="BX588" i="5" s="1"/>
  <c r="BY588" i="5" s="1"/>
  <c r="CC588" i="5" s="1"/>
  <c r="BT612" i="5"/>
  <c r="BX612" i="5" s="1"/>
  <c r="BY612" i="5" s="1"/>
  <c r="CC612" i="5" s="1"/>
  <c r="BT624" i="5"/>
  <c r="BX624" i="5" s="1"/>
  <c r="BY624" i="5" s="1"/>
  <c r="CC624" i="5" s="1"/>
  <c r="BT636" i="5"/>
  <c r="BX636" i="5" s="1"/>
  <c r="BY636" i="5" s="1"/>
  <c r="CC636" i="5" s="1"/>
  <c r="BT672" i="5"/>
  <c r="BX672" i="5" s="1"/>
  <c r="BY672" i="5" s="1"/>
  <c r="CC672" i="5" s="1"/>
  <c r="BT696" i="5"/>
  <c r="BX696" i="5" s="1"/>
  <c r="BY696" i="5" s="1"/>
  <c r="CC696" i="5" s="1"/>
  <c r="BT708" i="5"/>
  <c r="BX708" i="5" s="1"/>
  <c r="BY708" i="5" s="1"/>
  <c r="CC708" i="5" s="1"/>
  <c r="BT720" i="5"/>
  <c r="BX720" i="5" s="1"/>
  <c r="BY720" i="5" s="1"/>
  <c r="CC720" i="5" s="1"/>
  <c r="BT744" i="5"/>
  <c r="BX744" i="5" s="1"/>
  <c r="BY744" i="5" s="1"/>
  <c r="CC744" i="5" s="1"/>
  <c r="BT13" i="5"/>
  <c r="BX13" i="5" s="1"/>
  <c r="BY13" i="5" s="1"/>
  <c r="CC13" i="5" s="1"/>
  <c r="BT205" i="5"/>
  <c r="BX205" i="5" s="1"/>
  <c r="BY205" i="5" s="1"/>
  <c r="CC205" i="5" s="1"/>
  <c r="BT253" i="5"/>
  <c r="BX253" i="5" s="1"/>
  <c r="BY253" i="5" s="1"/>
  <c r="CC253" i="5" s="1"/>
  <c r="BT325" i="5"/>
  <c r="BX325" i="5" s="1"/>
  <c r="BY325" i="5" s="1"/>
  <c r="CC325" i="5" s="1"/>
  <c r="BT337" i="5"/>
  <c r="BX337" i="5" s="1"/>
  <c r="BY337" i="5" s="1"/>
  <c r="CC337" i="5" s="1"/>
  <c r="BT409" i="5"/>
  <c r="BX409" i="5" s="1"/>
  <c r="BY409" i="5" s="1"/>
  <c r="CC409" i="5" s="1"/>
  <c r="BT421" i="5"/>
  <c r="BX421" i="5" s="1"/>
  <c r="BY421" i="5" s="1"/>
  <c r="CC421" i="5" s="1"/>
  <c r="BT433" i="5"/>
  <c r="BX433" i="5" s="1"/>
  <c r="BY433" i="5" s="1"/>
  <c r="CC433" i="5" s="1"/>
  <c r="BT469" i="5"/>
  <c r="BX469" i="5" s="1"/>
  <c r="BY469" i="5" s="1"/>
  <c r="CC469" i="5" s="1"/>
  <c r="BT505" i="5"/>
  <c r="BX505" i="5" s="1"/>
  <c r="BY505" i="5" s="1"/>
  <c r="CC505" i="5" s="1"/>
  <c r="BT529" i="5"/>
  <c r="BX529" i="5" s="1"/>
  <c r="BY529" i="5" s="1"/>
  <c r="CC529" i="5" s="1"/>
  <c r="BT541" i="5"/>
  <c r="BX541" i="5" s="1"/>
  <c r="BY541" i="5" s="1"/>
  <c r="CC541" i="5" s="1"/>
  <c r="BT577" i="5"/>
  <c r="BX577" i="5" s="1"/>
  <c r="BY577" i="5" s="1"/>
  <c r="CC577" i="5" s="1"/>
  <c r="BT613" i="5"/>
  <c r="BX613" i="5" s="1"/>
  <c r="BY613" i="5" s="1"/>
  <c r="CC613" i="5" s="1"/>
  <c r="BT625" i="5"/>
  <c r="BX625" i="5" s="1"/>
  <c r="BY625" i="5" s="1"/>
  <c r="CC625" i="5" s="1"/>
  <c r="BT637" i="5"/>
  <c r="BX637" i="5" s="1"/>
  <c r="BY637" i="5" s="1"/>
  <c r="CC637" i="5" s="1"/>
  <c r="BT661" i="5"/>
  <c r="BX661" i="5" s="1"/>
  <c r="BY661" i="5" s="1"/>
  <c r="CC661" i="5" s="1"/>
  <c r="BT673" i="5"/>
  <c r="BX673" i="5" s="1"/>
  <c r="BY673" i="5" s="1"/>
  <c r="CC673" i="5" s="1"/>
  <c r="BT685" i="5"/>
  <c r="BX685" i="5" s="1"/>
  <c r="BY685" i="5" s="1"/>
  <c r="CC685" i="5" s="1"/>
  <c r="BT697" i="5"/>
  <c r="BX697" i="5" s="1"/>
  <c r="BY697" i="5" s="1"/>
  <c r="CC697" i="5" s="1"/>
  <c r="BT721" i="5"/>
  <c r="BX721" i="5" s="1"/>
  <c r="BY721" i="5" s="1"/>
  <c r="CC721" i="5" s="1"/>
  <c r="BT745" i="5"/>
  <c r="BX745" i="5" s="1"/>
  <c r="BY745" i="5" s="1"/>
  <c r="CC745" i="5" s="1"/>
  <c r="BT757" i="5"/>
  <c r="BX757" i="5" s="1"/>
  <c r="BY757" i="5" s="1"/>
  <c r="CC757" i="5" s="1"/>
  <c r="BT781" i="5"/>
  <c r="BX781" i="5" s="1"/>
  <c r="BY781" i="5" s="1"/>
  <c r="CC781" i="5" s="1"/>
  <c r="BT817" i="5"/>
  <c r="BX817" i="5" s="1"/>
  <c r="BY817" i="5" s="1"/>
  <c r="CC817" i="5" s="1"/>
  <c r="BT829" i="5"/>
  <c r="BX829" i="5" s="1"/>
  <c r="BY829" i="5" s="1"/>
  <c r="CC829" i="5" s="1"/>
  <c r="BT865" i="5"/>
  <c r="BX865" i="5" s="1"/>
  <c r="BY865" i="5" s="1"/>
  <c r="CC865" i="5" s="1"/>
  <c r="BT14" i="5"/>
  <c r="BX14" i="5" s="1"/>
  <c r="BY14" i="5" s="1"/>
  <c r="CC14" i="5" s="1"/>
  <c r="BT218" i="5"/>
  <c r="BX218" i="5" s="1"/>
  <c r="BY218" i="5" s="1"/>
  <c r="CC218" i="5" s="1"/>
  <c r="BT242" i="5"/>
  <c r="BX242" i="5" s="1"/>
  <c r="BY242" i="5" s="1"/>
  <c r="CC242" i="5" s="1"/>
  <c r="BT302" i="5"/>
  <c r="BX302" i="5" s="1"/>
  <c r="BY302" i="5" s="1"/>
  <c r="CC302" i="5" s="1"/>
  <c r="BT314" i="5"/>
  <c r="BX314" i="5" s="1"/>
  <c r="BY314" i="5" s="1"/>
  <c r="CC314" i="5" s="1"/>
  <c r="BT374" i="5"/>
  <c r="BX374" i="5" s="1"/>
  <c r="BY374" i="5" s="1"/>
  <c r="CC374" i="5" s="1"/>
  <c r="BT386" i="5"/>
  <c r="BX386" i="5" s="1"/>
  <c r="BY386" i="5" s="1"/>
  <c r="CC386" i="5" s="1"/>
  <c r="BT410" i="5"/>
  <c r="BX410" i="5" s="1"/>
  <c r="BY410" i="5" s="1"/>
  <c r="CC410" i="5" s="1"/>
  <c r="BT422" i="5"/>
  <c r="BX422" i="5" s="1"/>
  <c r="BY422" i="5" s="1"/>
  <c r="CC422" i="5" s="1"/>
  <c r="BT434" i="5"/>
  <c r="BX434" i="5" s="1"/>
  <c r="BY434" i="5" s="1"/>
  <c r="CC434" i="5" s="1"/>
  <c r="BT470" i="5"/>
  <c r="BX470" i="5" s="1"/>
  <c r="BY470" i="5" s="1"/>
  <c r="CC470" i="5" s="1"/>
  <c r="BT494" i="5"/>
  <c r="BX494" i="5" s="1"/>
  <c r="BY494" i="5" s="1"/>
  <c r="CC494" i="5" s="1"/>
  <c r="BT506" i="5"/>
  <c r="BX506" i="5" s="1"/>
  <c r="BY506" i="5" s="1"/>
  <c r="CC506" i="5" s="1"/>
  <c r="BT578" i="5"/>
  <c r="BX578" i="5" s="1"/>
  <c r="BY578" i="5" s="1"/>
  <c r="CC578" i="5" s="1"/>
  <c r="BT614" i="5"/>
  <c r="BX614" i="5" s="1"/>
  <c r="BY614" i="5" s="1"/>
  <c r="CC614" i="5" s="1"/>
  <c r="BT626" i="5"/>
  <c r="BX626" i="5" s="1"/>
  <c r="BY626" i="5" s="1"/>
  <c r="CC626" i="5" s="1"/>
  <c r="BT638" i="5"/>
  <c r="BX638" i="5" s="1"/>
  <c r="BY638" i="5" s="1"/>
  <c r="CC638" i="5" s="1"/>
  <c r="BT650" i="5"/>
  <c r="BX650" i="5" s="1"/>
  <c r="BY650" i="5" s="1"/>
  <c r="CC650" i="5" s="1"/>
  <c r="BT662" i="5"/>
  <c r="BX662" i="5" s="1"/>
  <c r="BY662" i="5" s="1"/>
  <c r="CC662" i="5" s="1"/>
  <c r="BT686" i="5"/>
  <c r="BX686" i="5" s="1"/>
  <c r="BY686" i="5" s="1"/>
  <c r="CC686" i="5" s="1"/>
  <c r="BT698" i="5"/>
  <c r="BX698" i="5" s="1"/>
  <c r="BY698" i="5" s="1"/>
  <c r="CC698" i="5" s="1"/>
  <c r="BT746" i="5"/>
  <c r="BX746" i="5" s="1"/>
  <c r="BY746" i="5" s="1"/>
  <c r="CC746" i="5" s="1"/>
  <c r="BT770" i="5"/>
  <c r="BX770" i="5" s="1"/>
  <c r="BY770" i="5" s="1"/>
  <c r="CC770" i="5" s="1"/>
  <c r="BT806" i="5"/>
  <c r="BX806" i="5" s="1"/>
  <c r="BY806" i="5" s="1"/>
  <c r="CC806" i="5" s="1"/>
  <c r="BT878" i="5"/>
  <c r="BX878" i="5" s="1"/>
  <c r="BY878" i="5" s="1"/>
  <c r="CC878" i="5" s="1"/>
  <c r="BT890" i="5"/>
  <c r="BX890" i="5" s="1"/>
  <c r="BY890" i="5" s="1"/>
  <c r="CC890" i="5" s="1"/>
  <c r="BT902" i="5"/>
  <c r="BX902" i="5" s="1"/>
  <c r="BY902" i="5" s="1"/>
  <c r="CC902" i="5" s="1"/>
  <c r="BT15" i="5"/>
  <c r="BX15" i="5" s="1"/>
  <c r="BY15" i="5" s="1"/>
  <c r="CC15" i="5" s="1"/>
  <c r="BT111" i="5"/>
  <c r="BX111" i="5" s="1"/>
  <c r="BY111" i="5" s="1"/>
  <c r="CC111" i="5" s="1"/>
  <c r="BT219" i="5"/>
  <c r="BX219" i="5" s="1"/>
  <c r="BY219" i="5" s="1"/>
  <c r="CC219" i="5" s="1"/>
  <c r="BT243" i="5"/>
  <c r="BX243" i="5" s="1"/>
  <c r="BY243" i="5" s="1"/>
  <c r="CC243" i="5" s="1"/>
  <c r="BT255" i="5"/>
  <c r="BX255" i="5" s="1"/>
  <c r="BY255" i="5" s="1"/>
  <c r="CC255" i="5" s="1"/>
  <c r="BT267" i="5"/>
  <c r="BX267" i="5" s="1"/>
  <c r="BY267" i="5" s="1"/>
  <c r="CC267" i="5" s="1"/>
  <c r="BT291" i="5"/>
  <c r="BX291" i="5" s="1"/>
  <c r="BY291" i="5" s="1"/>
  <c r="CC291" i="5" s="1"/>
  <c r="BT327" i="5"/>
  <c r="BX327" i="5" s="1"/>
  <c r="BY327" i="5" s="1"/>
  <c r="CC327" i="5" s="1"/>
  <c r="BT339" i="5"/>
  <c r="BX339" i="5" s="1"/>
  <c r="BY339" i="5" s="1"/>
  <c r="CC339" i="5" s="1"/>
  <c r="BT387" i="5"/>
  <c r="BX387" i="5" s="1"/>
  <c r="BY387" i="5" s="1"/>
  <c r="CC387" i="5" s="1"/>
  <c r="BT423" i="5"/>
  <c r="BX423" i="5" s="1"/>
  <c r="BY423" i="5" s="1"/>
  <c r="CC423" i="5" s="1"/>
  <c r="BT495" i="5"/>
  <c r="BX495" i="5" s="1"/>
  <c r="BY495" i="5" s="1"/>
  <c r="CC495" i="5" s="1"/>
  <c r="BT543" i="5"/>
  <c r="BX543" i="5" s="1"/>
  <c r="BY543" i="5" s="1"/>
  <c r="CC543" i="5" s="1"/>
  <c r="BT615" i="5"/>
  <c r="BX615" i="5" s="1"/>
  <c r="BY615" i="5" s="1"/>
  <c r="CC615" i="5" s="1"/>
  <c r="BT627" i="5"/>
  <c r="BX627" i="5" s="1"/>
  <c r="BY627" i="5" s="1"/>
  <c r="CC627" i="5" s="1"/>
  <c r="BT639" i="5"/>
  <c r="BX639" i="5" s="1"/>
  <c r="BY639" i="5" s="1"/>
  <c r="CC639" i="5" s="1"/>
  <c r="BT663" i="5"/>
  <c r="BX663" i="5" s="1"/>
  <c r="BY663" i="5" s="1"/>
  <c r="CC663" i="5" s="1"/>
  <c r="BT675" i="5"/>
  <c r="BX675" i="5" s="1"/>
  <c r="BY675" i="5" s="1"/>
  <c r="CC675" i="5" s="1"/>
  <c r="BT687" i="5"/>
  <c r="BX687" i="5" s="1"/>
  <c r="BY687" i="5" s="1"/>
  <c r="CC687" i="5" s="1"/>
  <c r="BT711" i="5"/>
  <c r="BX711" i="5" s="1"/>
  <c r="BY711" i="5" s="1"/>
  <c r="CC711" i="5" s="1"/>
  <c r="BT735" i="5"/>
  <c r="BX735" i="5" s="1"/>
  <c r="BY735" i="5" s="1"/>
  <c r="CC735" i="5" s="1"/>
  <c r="BT747" i="5"/>
  <c r="BX747" i="5" s="1"/>
  <c r="BY747" i="5" s="1"/>
  <c r="CC747" i="5" s="1"/>
  <c r="BT40" i="5"/>
  <c r="BX40" i="5" s="1"/>
  <c r="BY40" i="5" s="1"/>
  <c r="CC40" i="5" s="1"/>
  <c r="BT245" i="5"/>
  <c r="BX245" i="5" s="1"/>
  <c r="BY245" i="5" s="1"/>
  <c r="CC245" i="5" s="1"/>
  <c r="BT461" i="5"/>
  <c r="BX461" i="5" s="1"/>
  <c r="BY461" i="5" s="1"/>
  <c r="CC461" i="5" s="1"/>
  <c r="BT804" i="5"/>
  <c r="BX804" i="5" s="1"/>
  <c r="BY804" i="5" s="1"/>
  <c r="CC804" i="5" s="1"/>
  <c r="BT852" i="5"/>
  <c r="BX852" i="5" s="1"/>
  <c r="BY852" i="5" s="1"/>
  <c r="CC852" i="5" s="1"/>
  <c r="BT900" i="5"/>
  <c r="BX900" i="5" s="1"/>
  <c r="BY900" i="5" s="1"/>
  <c r="CC900" i="5" s="1"/>
  <c r="BT944" i="5"/>
  <c r="BX944" i="5" s="1"/>
  <c r="BY944" i="5" s="1"/>
  <c r="CC944" i="5" s="1"/>
  <c r="BT968" i="5"/>
  <c r="BX968" i="5" s="1"/>
  <c r="BY968" i="5" s="1"/>
  <c r="CC968" i="5" s="1"/>
  <c r="BT1004" i="5"/>
  <c r="BX1004" i="5" s="1"/>
  <c r="BY1004" i="5" s="1"/>
  <c r="CC1004" i="5" s="1"/>
  <c r="BT1016" i="5"/>
  <c r="BX1016" i="5" s="1"/>
  <c r="BY1016" i="5" s="1"/>
  <c r="CC1016" i="5" s="1"/>
  <c r="BT1028" i="5"/>
  <c r="BX1028" i="5" s="1"/>
  <c r="BY1028" i="5" s="1"/>
  <c r="CC1028" i="5" s="1"/>
  <c r="BT1040" i="5"/>
  <c r="BX1040" i="5" s="1"/>
  <c r="BY1040" i="5" s="1"/>
  <c r="CC1040" i="5" s="1"/>
  <c r="BT1064" i="5"/>
  <c r="BX1064" i="5" s="1"/>
  <c r="BY1064" i="5" s="1"/>
  <c r="CC1064" i="5" s="1"/>
  <c r="BT1100" i="5"/>
  <c r="BX1100" i="5" s="1"/>
  <c r="BY1100" i="5" s="1"/>
  <c r="CC1100" i="5" s="1"/>
  <c r="BT1112" i="5"/>
  <c r="BX1112" i="5" s="1"/>
  <c r="BY1112" i="5" s="1"/>
  <c r="CC1112" i="5" s="1"/>
  <c r="BT1136" i="5"/>
  <c r="BX1136" i="5" s="1"/>
  <c r="BY1136" i="5" s="1"/>
  <c r="CC1136" i="5" s="1"/>
  <c r="BT1160" i="5"/>
  <c r="BX1160" i="5" s="1"/>
  <c r="BY1160" i="5" s="1"/>
  <c r="CC1160" i="5" s="1"/>
  <c r="BT1184" i="5"/>
  <c r="BX1184" i="5" s="1"/>
  <c r="BY1184" i="5" s="1"/>
  <c r="CC1184" i="5" s="1"/>
  <c r="BT1220" i="5"/>
  <c r="BX1220" i="5" s="1"/>
  <c r="BY1220" i="5" s="1"/>
  <c r="CC1220" i="5" s="1"/>
  <c r="BT1232" i="5"/>
  <c r="BX1232" i="5" s="1"/>
  <c r="BY1232" i="5" s="1"/>
  <c r="CC1232" i="5" s="1"/>
  <c r="BT1256" i="5"/>
  <c r="BX1256" i="5" s="1"/>
  <c r="BY1256" i="5" s="1"/>
  <c r="CC1256" i="5" s="1"/>
  <c r="BT1268" i="5"/>
  <c r="BX1268" i="5" s="1"/>
  <c r="BY1268" i="5" s="1"/>
  <c r="CC1268" i="5" s="1"/>
  <c r="BT1292" i="5"/>
  <c r="BX1292" i="5" s="1"/>
  <c r="BY1292" i="5" s="1"/>
  <c r="CC1292" i="5" s="1"/>
  <c r="BT1328" i="5"/>
  <c r="BX1328" i="5" s="1"/>
  <c r="BY1328" i="5" s="1"/>
  <c r="CC1328" i="5" s="1"/>
  <c r="BT1364" i="5"/>
  <c r="BX1364" i="5" s="1"/>
  <c r="BY1364" i="5" s="1"/>
  <c r="CC1364" i="5" s="1"/>
  <c r="BT1388" i="5"/>
  <c r="BX1388" i="5" s="1"/>
  <c r="BY1388" i="5" s="1"/>
  <c r="CC1388" i="5" s="1"/>
  <c r="BT1400" i="5"/>
  <c r="BX1400" i="5" s="1"/>
  <c r="BY1400" i="5" s="1"/>
  <c r="CC1400" i="5" s="1"/>
  <c r="BT1448" i="5"/>
  <c r="BX1448" i="5" s="1"/>
  <c r="BY1448" i="5" s="1"/>
  <c r="CC1448" i="5" s="1"/>
  <c r="BT1460" i="5"/>
  <c r="BX1460" i="5" s="1"/>
  <c r="BY1460" i="5" s="1"/>
  <c r="CC1460" i="5" s="1"/>
  <c r="BT1472" i="5"/>
  <c r="BX1472" i="5" s="1"/>
  <c r="BY1472" i="5" s="1"/>
  <c r="CC1472" i="5" s="1"/>
  <c r="BT1496" i="5"/>
  <c r="BX1496" i="5" s="1"/>
  <c r="BY1496" i="5" s="1"/>
  <c r="CC1496" i="5" s="1"/>
  <c r="BT1520" i="5"/>
  <c r="BX1520" i="5" s="1"/>
  <c r="BY1520" i="5" s="1"/>
  <c r="CC1520" i="5" s="1"/>
  <c r="BT1544" i="5"/>
  <c r="BX1544" i="5" s="1"/>
  <c r="BY1544" i="5" s="1"/>
  <c r="CC1544" i="5" s="1"/>
  <c r="BT1568" i="5"/>
  <c r="BX1568" i="5" s="1"/>
  <c r="BY1568" i="5" s="1"/>
  <c r="CC1568" i="5" s="1"/>
  <c r="BT1580" i="5"/>
  <c r="BX1580" i="5" s="1"/>
  <c r="BY1580" i="5" s="1"/>
  <c r="CC1580" i="5" s="1"/>
  <c r="BT1604" i="5"/>
  <c r="BX1604" i="5" s="1"/>
  <c r="BY1604" i="5" s="1"/>
  <c r="CC1604" i="5" s="1"/>
  <c r="BT1616" i="5"/>
  <c r="BX1616" i="5" s="1"/>
  <c r="BY1616" i="5" s="1"/>
  <c r="CC1616" i="5" s="1"/>
  <c r="BT1664" i="5"/>
  <c r="BX1664" i="5" s="1"/>
  <c r="BY1664" i="5" s="1"/>
  <c r="CC1664" i="5" s="1"/>
  <c r="BT1724" i="5"/>
  <c r="BX1724" i="5" s="1"/>
  <c r="BY1724" i="5" s="1"/>
  <c r="CC1724" i="5" s="1"/>
  <c r="BT328" i="5"/>
  <c r="BX328" i="5" s="1"/>
  <c r="BY328" i="5" s="1"/>
  <c r="CC328" i="5" s="1"/>
  <c r="BT472" i="5"/>
  <c r="BX472" i="5" s="1"/>
  <c r="BY472" i="5" s="1"/>
  <c r="CC472" i="5" s="1"/>
  <c r="BT616" i="5"/>
  <c r="BX616" i="5" s="1"/>
  <c r="BY616" i="5" s="1"/>
  <c r="CC616" i="5" s="1"/>
  <c r="BT688" i="5"/>
  <c r="BX688" i="5" s="1"/>
  <c r="BY688" i="5" s="1"/>
  <c r="CC688" i="5" s="1"/>
  <c r="BT808" i="5"/>
  <c r="BX808" i="5" s="1"/>
  <c r="BY808" i="5" s="1"/>
  <c r="CC808" i="5" s="1"/>
  <c r="BT904" i="5"/>
  <c r="BX904" i="5" s="1"/>
  <c r="BY904" i="5" s="1"/>
  <c r="CC904" i="5" s="1"/>
  <c r="BT933" i="5"/>
  <c r="BX933" i="5" s="1"/>
  <c r="BY933" i="5" s="1"/>
  <c r="CC933" i="5" s="1"/>
  <c r="BT945" i="5"/>
  <c r="BX945" i="5" s="1"/>
  <c r="BY945" i="5" s="1"/>
  <c r="CC945" i="5" s="1"/>
  <c r="BT969" i="5"/>
  <c r="BX969" i="5" s="1"/>
  <c r="BY969" i="5" s="1"/>
  <c r="CC969" i="5" s="1"/>
  <c r="BT993" i="5"/>
  <c r="BX993" i="5" s="1"/>
  <c r="BY993" i="5" s="1"/>
  <c r="CC993" i="5" s="1"/>
  <c r="BT1005" i="5"/>
  <c r="BX1005" i="5" s="1"/>
  <c r="BY1005" i="5" s="1"/>
  <c r="CC1005" i="5" s="1"/>
  <c r="BT1017" i="5"/>
  <c r="BX1017" i="5" s="1"/>
  <c r="BY1017" i="5" s="1"/>
  <c r="CC1017" i="5" s="1"/>
  <c r="BT1041" i="5"/>
  <c r="BX1041" i="5" s="1"/>
  <c r="BY1041" i="5" s="1"/>
  <c r="CC1041" i="5" s="1"/>
  <c r="BT1065" i="5"/>
  <c r="BX1065" i="5" s="1"/>
  <c r="BY1065" i="5" s="1"/>
  <c r="CC1065" i="5" s="1"/>
  <c r="BT1101" i="5"/>
  <c r="BX1101" i="5" s="1"/>
  <c r="BY1101" i="5" s="1"/>
  <c r="CC1101" i="5" s="1"/>
  <c r="BT1125" i="5"/>
  <c r="BX1125" i="5" s="1"/>
  <c r="BY1125" i="5" s="1"/>
  <c r="CC1125" i="5" s="1"/>
  <c r="BT1137" i="5"/>
  <c r="BX1137" i="5" s="1"/>
  <c r="BY1137" i="5" s="1"/>
  <c r="CC1137" i="5" s="1"/>
  <c r="BT1173" i="5"/>
  <c r="BX1173" i="5" s="1"/>
  <c r="BY1173" i="5" s="1"/>
  <c r="CC1173" i="5" s="1"/>
  <c r="BT1185" i="5"/>
  <c r="BX1185" i="5" s="1"/>
  <c r="BY1185" i="5" s="1"/>
  <c r="CC1185" i="5" s="1"/>
  <c r="BT1197" i="5"/>
  <c r="BX1197" i="5" s="1"/>
  <c r="BY1197" i="5" s="1"/>
  <c r="CC1197" i="5" s="1"/>
  <c r="BT1209" i="5"/>
  <c r="BX1209" i="5" s="1"/>
  <c r="BY1209" i="5" s="1"/>
  <c r="CC1209" i="5" s="1"/>
  <c r="BT1221" i="5"/>
  <c r="BX1221" i="5" s="1"/>
  <c r="BY1221" i="5" s="1"/>
  <c r="CC1221" i="5" s="1"/>
  <c r="BT1233" i="5"/>
  <c r="BX1233" i="5" s="1"/>
  <c r="BY1233" i="5" s="1"/>
  <c r="CC1233" i="5" s="1"/>
  <c r="BT1245" i="5"/>
  <c r="BX1245" i="5" s="1"/>
  <c r="BY1245" i="5" s="1"/>
  <c r="CC1245" i="5" s="1"/>
  <c r="BT1257" i="5"/>
  <c r="BX1257" i="5" s="1"/>
  <c r="BY1257" i="5" s="1"/>
  <c r="CC1257" i="5" s="1"/>
  <c r="BT1293" i="5"/>
  <c r="BX1293" i="5" s="1"/>
  <c r="BY1293" i="5" s="1"/>
  <c r="CC1293" i="5" s="1"/>
  <c r="BT1329" i="5"/>
  <c r="BX1329" i="5" s="1"/>
  <c r="BY1329" i="5" s="1"/>
  <c r="CC1329" i="5" s="1"/>
  <c r="BT1365" i="5"/>
  <c r="BX1365" i="5" s="1"/>
  <c r="BY1365" i="5" s="1"/>
  <c r="CC1365" i="5" s="1"/>
  <c r="BT1377" i="5"/>
  <c r="BX1377" i="5" s="1"/>
  <c r="BY1377" i="5" s="1"/>
  <c r="CC1377" i="5" s="1"/>
  <c r="BT1389" i="5"/>
  <c r="BX1389" i="5" s="1"/>
  <c r="BY1389" i="5" s="1"/>
  <c r="CC1389" i="5" s="1"/>
  <c r="BT1401" i="5"/>
  <c r="BX1401" i="5" s="1"/>
  <c r="BY1401" i="5" s="1"/>
  <c r="CC1401" i="5" s="1"/>
  <c r="BT1413" i="5"/>
  <c r="BX1413" i="5" s="1"/>
  <c r="BY1413" i="5" s="1"/>
  <c r="CC1413" i="5" s="1"/>
  <c r="BT1449" i="5"/>
  <c r="BX1449" i="5" s="1"/>
  <c r="BY1449" i="5" s="1"/>
  <c r="CC1449" i="5" s="1"/>
  <c r="BT1461" i="5"/>
  <c r="BX1461" i="5" s="1"/>
  <c r="BY1461" i="5" s="1"/>
  <c r="CC1461" i="5" s="1"/>
  <c r="BT1473" i="5"/>
  <c r="BX1473" i="5" s="1"/>
  <c r="BY1473" i="5" s="1"/>
  <c r="CC1473" i="5" s="1"/>
  <c r="BT1509" i="5"/>
  <c r="BX1509" i="5" s="1"/>
  <c r="BY1509" i="5" s="1"/>
  <c r="CC1509" i="5" s="1"/>
  <c r="BT1521" i="5"/>
  <c r="BX1521" i="5" s="1"/>
  <c r="BY1521" i="5" s="1"/>
  <c r="CC1521" i="5" s="1"/>
  <c r="BT1533" i="5"/>
  <c r="BX1533" i="5" s="1"/>
  <c r="BY1533" i="5" s="1"/>
  <c r="CC1533" i="5" s="1"/>
  <c r="BT1545" i="5"/>
  <c r="BX1545" i="5" s="1"/>
  <c r="BY1545" i="5" s="1"/>
  <c r="CC1545" i="5" s="1"/>
  <c r="BT1593" i="5"/>
  <c r="BX1593" i="5" s="1"/>
  <c r="BY1593" i="5" s="1"/>
  <c r="CC1593" i="5" s="1"/>
  <c r="BT1617" i="5"/>
  <c r="BX1617" i="5" s="1"/>
  <c r="BY1617" i="5" s="1"/>
  <c r="CC1617" i="5" s="1"/>
  <c r="BT1641" i="5"/>
  <c r="BX1641" i="5" s="1"/>
  <c r="BY1641" i="5" s="1"/>
  <c r="CC1641" i="5" s="1"/>
  <c r="BT1653" i="5"/>
  <c r="BX1653" i="5" s="1"/>
  <c r="BY1653" i="5" s="1"/>
  <c r="CC1653" i="5" s="1"/>
  <c r="BT1665" i="5"/>
  <c r="BX1665" i="5" s="1"/>
  <c r="BY1665" i="5" s="1"/>
  <c r="CC1665" i="5" s="1"/>
  <c r="BT1689" i="5"/>
  <c r="BX1689" i="5" s="1"/>
  <c r="BY1689" i="5" s="1"/>
  <c r="CC1689" i="5" s="1"/>
  <c r="BT1725" i="5"/>
  <c r="BX1725" i="5" s="1"/>
  <c r="BY1725" i="5" s="1"/>
  <c r="CC1725" i="5" s="1"/>
  <c r="BT617" i="5"/>
  <c r="BX617" i="5" s="1"/>
  <c r="BY617" i="5" s="1"/>
  <c r="CC617" i="5" s="1"/>
  <c r="BT689" i="5"/>
  <c r="BX689" i="5" s="1"/>
  <c r="BY689" i="5" s="1"/>
  <c r="CC689" i="5" s="1"/>
  <c r="BT946" i="5"/>
  <c r="BX946" i="5" s="1"/>
  <c r="BY946" i="5" s="1"/>
  <c r="CC946" i="5" s="1"/>
  <c r="BT1006" i="5"/>
  <c r="BX1006" i="5" s="1"/>
  <c r="BY1006" i="5" s="1"/>
  <c r="CC1006" i="5" s="1"/>
  <c r="BT1018" i="5"/>
  <c r="BX1018" i="5" s="1"/>
  <c r="BY1018" i="5" s="1"/>
  <c r="CC1018" i="5" s="1"/>
  <c r="BT1030" i="5"/>
  <c r="BX1030" i="5" s="1"/>
  <c r="BY1030" i="5" s="1"/>
  <c r="CC1030" i="5" s="1"/>
  <c r="BT1054" i="5"/>
  <c r="BX1054" i="5" s="1"/>
  <c r="BY1054" i="5" s="1"/>
  <c r="CC1054" i="5" s="1"/>
  <c r="BT1066" i="5"/>
  <c r="BX1066" i="5" s="1"/>
  <c r="BY1066" i="5" s="1"/>
  <c r="CC1066" i="5" s="1"/>
  <c r="BT1090" i="5"/>
  <c r="BX1090" i="5" s="1"/>
  <c r="BY1090" i="5" s="1"/>
  <c r="CC1090" i="5" s="1"/>
  <c r="BT1102" i="5"/>
  <c r="BX1102" i="5" s="1"/>
  <c r="BY1102" i="5" s="1"/>
  <c r="CC1102" i="5" s="1"/>
  <c r="BT1114" i="5"/>
  <c r="BX1114" i="5" s="1"/>
  <c r="BY1114" i="5" s="1"/>
  <c r="CC1114" i="5" s="1"/>
  <c r="BT1126" i="5"/>
  <c r="BX1126" i="5" s="1"/>
  <c r="BY1126" i="5" s="1"/>
  <c r="CC1126" i="5" s="1"/>
  <c r="BT1174" i="5"/>
  <c r="BX1174" i="5" s="1"/>
  <c r="BY1174" i="5" s="1"/>
  <c r="CC1174" i="5" s="1"/>
  <c r="BT1186" i="5"/>
  <c r="BX1186" i="5" s="1"/>
  <c r="BY1186" i="5" s="1"/>
  <c r="CC1186" i="5" s="1"/>
  <c r="BT1234" i="5"/>
  <c r="BX1234" i="5" s="1"/>
  <c r="BY1234" i="5" s="1"/>
  <c r="CC1234" i="5" s="1"/>
  <c r="BT1246" i="5"/>
  <c r="BX1246" i="5" s="1"/>
  <c r="BY1246" i="5" s="1"/>
  <c r="CC1246" i="5" s="1"/>
  <c r="BT1258" i="5"/>
  <c r="BX1258" i="5" s="1"/>
  <c r="BY1258" i="5" s="1"/>
  <c r="CC1258" i="5" s="1"/>
  <c r="BT1282" i="5"/>
  <c r="BX1282" i="5" s="1"/>
  <c r="BY1282" i="5" s="1"/>
  <c r="CC1282" i="5" s="1"/>
  <c r="BT1294" i="5"/>
  <c r="BX1294" i="5" s="1"/>
  <c r="BY1294" i="5" s="1"/>
  <c r="CC1294" i="5" s="1"/>
  <c r="BT1306" i="5"/>
  <c r="BX1306" i="5" s="1"/>
  <c r="BY1306" i="5" s="1"/>
  <c r="CC1306" i="5" s="1"/>
  <c r="BT1342" i="5"/>
  <c r="BX1342" i="5" s="1"/>
  <c r="BY1342" i="5" s="1"/>
  <c r="CC1342" i="5" s="1"/>
  <c r="BT1378" i="5"/>
  <c r="BX1378" i="5" s="1"/>
  <c r="BY1378" i="5" s="1"/>
  <c r="CC1378" i="5" s="1"/>
  <c r="BT1414" i="5"/>
  <c r="BX1414" i="5" s="1"/>
  <c r="BY1414" i="5" s="1"/>
  <c r="CC1414" i="5" s="1"/>
  <c r="BT1426" i="5"/>
  <c r="BX1426" i="5" s="1"/>
  <c r="BY1426" i="5" s="1"/>
  <c r="CC1426" i="5" s="1"/>
  <c r="BT1438" i="5"/>
  <c r="BX1438" i="5" s="1"/>
  <c r="BY1438" i="5" s="1"/>
  <c r="CC1438" i="5" s="1"/>
  <c r="BT1450" i="5"/>
  <c r="BX1450" i="5" s="1"/>
  <c r="BY1450" i="5" s="1"/>
  <c r="CC1450" i="5" s="1"/>
  <c r="BT1474" i="5"/>
  <c r="BX1474" i="5" s="1"/>
  <c r="BY1474" i="5" s="1"/>
  <c r="CC1474" i="5" s="1"/>
  <c r="BT1486" i="5"/>
  <c r="BX1486" i="5" s="1"/>
  <c r="BY1486" i="5" s="1"/>
  <c r="CC1486" i="5" s="1"/>
  <c r="BT1510" i="5"/>
  <c r="BX1510" i="5" s="1"/>
  <c r="BY1510" i="5" s="1"/>
  <c r="CC1510" i="5" s="1"/>
  <c r="BT1558" i="5"/>
  <c r="BX1558" i="5" s="1"/>
  <c r="BY1558" i="5" s="1"/>
  <c r="CC1558" i="5" s="1"/>
  <c r="BT1570" i="5"/>
  <c r="BX1570" i="5" s="1"/>
  <c r="BY1570" i="5" s="1"/>
  <c r="CC1570" i="5" s="1"/>
  <c r="BT1582" i="5"/>
  <c r="BX1582" i="5" s="1"/>
  <c r="BY1582" i="5" s="1"/>
  <c r="CC1582" i="5" s="1"/>
  <c r="BT1594" i="5"/>
  <c r="BX1594" i="5" s="1"/>
  <c r="BY1594" i="5" s="1"/>
  <c r="CC1594" i="5" s="1"/>
  <c r="BT1606" i="5"/>
  <c r="BX1606" i="5" s="1"/>
  <c r="BY1606" i="5" s="1"/>
  <c r="CC1606" i="5" s="1"/>
  <c r="BT1642" i="5"/>
  <c r="BX1642" i="5" s="1"/>
  <c r="BY1642" i="5" s="1"/>
  <c r="CC1642" i="5" s="1"/>
  <c r="BT1654" i="5"/>
  <c r="BX1654" i="5" s="1"/>
  <c r="BY1654" i="5" s="1"/>
  <c r="CC1654" i="5" s="1"/>
  <c r="BT1666" i="5"/>
  <c r="BX1666" i="5" s="1"/>
  <c r="BY1666" i="5" s="1"/>
  <c r="CC1666" i="5" s="1"/>
  <c r="BT1702" i="5"/>
  <c r="BX1702" i="5" s="1"/>
  <c r="BY1702" i="5" s="1"/>
  <c r="CC1702" i="5" s="1"/>
  <c r="BT1726" i="5"/>
  <c r="BX1726" i="5" s="1"/>
  <c r="BY1726" i="5" s="1"/>
  <c r="CC1726" i="5" s="1"/>
  <c r="BT53" i="5"/>
  <c r="BX53" i="5" s="1"/>
  <c r="BY53" i="5" s="1"/>
  <c r="CC53" i="5" s="1"/>
  <c r="BT412" i="5"/>
  <c r="BX412" i="5" s="1"/>
  <c r="BY412" i="5" s="1"/>
  <c r="CC412" i="5" s="1"/>
  <c r="BT484" i="5"/>
  <c r="BX484" i="5" s="1"/>
  <c r="BY484" i="5" s="1"/>
  <c r="CC484" i="5" s="1"/>
  <c r="BT628" i="5"/>
  <c r="BX628" i="5" s="1"/>
  <c r="BY628" i="5" s="1"/>
  <c r="CC628" i="5" s="1"/>
  <c r="BT700" i="5"/>
  <c r="BX700" i="5" s="1"/>
  <c r="BY700" i="5" s="1"/>
  <c r="CC700" i="5" s="1"/>
  <c r="BT959" i="5"/>
  <c r="BX959" i="5" s="1"/>
  <c r="BY959" i="5" s="1"/>
  <c r="CC959" i="5" s="1"/>
  <c r="BT1031" i="5"/>
  <c r="BX1031" i="5" s="1"/>
  <c r="BY1031" i="5" s="1"/>
  <c r="CC1031" i="5" s="1"/>
  <c r="BT1055" i="5"/>
  <c r="BX1055" i="5" s="1"/>
  <c r="BY1055" i="5" s="1"/>
  <c r="CC1055" i="5" s="1"/>
  <c r="BT1079" i="5"/>
  <c r="BX1079" i="5" s="1"/>
  <c r="BY1079" i="5" s="1"/>
  <c r="CC1079" i="5" s="1"/>
  <c r="BT1091" i="5"/>
  <c r="BX1091" i="5" s="1"/>
  <c r="BY1091" i="5" s="1"/>
  <c r="CC1091" i="5" s="1"/>
  <c r="BT1103" i="5"/>
  <c r="BX1103" i="5" s="1"/>
  <c r="BY1103" i="5" s="1"/>
  <c r="CC1103" i="5" s="1"/>
  <c r="BT1139" i="5"/>
  <c r="BX1139" i="5" s="1"/>
  <c r="BY1139" i="5" s="1"/>
  <c r="CC1139" i="5" s="1"/>
  <c r="BT1163" i="5"/>
  <c r="BX1163" i="5" s="1"/>
  <c r="BY1163" i="5" s="1"/>
  <c r="CC1163" i="5" s="1"/>
  <c r="BT1175" i="5"/>
  <c r="BX1175" i="5" s="1"/>
  <c r="BY1175" i="5" s="1"/>
  <c r="CC1175" i="5" s="1"/>
  <c r="BT1211" i="5"/>
  <c r="BX1211" i="5" s="1"/>
  <c r="BY1211" i="5" s="1"/>
  <c r="CC1211" i="5" s="1"/>
  <c r="BT1223" i="5"/>
  <c r="BX1223" i="5" s="1"/>
  <c r="BY1223" i="5" s="1"/>
  <c r="CC1223" i="5" s="1"/>
  <c r="BT1235" i="5"/>
  <c r="BX1235" i="5" s="1"/>
  <c r="BY1235" i="5" s="1"/>
  <c r="CC1235" i="5" s="1"/>
  <c r="BT1247" i="5"/>
  <c r="BX1247" i="5" s="1"/>
  <c r="BY1247" i="5" s="1"/>
  <c r="CC1247" i="5" s="1"/>
  <c r="BT1259" i="5"/>
  <c r="BX1259" i="5" s="1"/>
  <c r="BY1259" i="5" s="1"/>
  <c r="CC1259" i="5" s="1"/>
  <c r="BT1271" i="5"/>
  <c r="BX1271" i="5" s="1"/>
  <c r="BY1271" i="5" s="1"/>
  <c r="CC1271" i="5" s="1"/>
  <c r="BT1283" i="5"/>
  <c r="BX1283" i="5" s="1"/>
  <c r="BY1283" i="5" s="1"/>
  <c r="CC1283" i="5" s="1"/>
  <c r="BT1307" i="5"/>
  <c r="BX1307" i="5" s="1"/>
  <c r="BY1307" i="5" s="1"/>
  <c r="CC1307" i="5" s="1"/>
  <c r="BT1319" i="5"/>
  <c r="BX1319" i="5" s="1"/>
  <c r="BY1319" i="5" s="1"/>
  <c r="CC1319" i="5" s="1"/>
  <c r="BT1403" i="5"/>
  <c r="BX1403" i="5" s="1"/>
  <c r="BY1403" i="5" s="1"/>
  <c r="CC1403" i="5" s="1"/>
  <c r="BT1427" i="5"/>
  <c r="BX1427" i="5" s="1"/>
  <c r="BY1427" i="5" s="1"/>
  <c r="CC1427" i="5" s="1"/>
  <c r="BT1439" i="5"/>
  <c r="BX1439" i="5" s="1"/>
  <c r="BY1439" i="5" s="1"/>
  <c r="CC1439" i="5" s="1"/>
  <c r="BT1475" i="5"/>
  <c r="BX1475" i="5" s="1"/>
  <c r="BY1475" i="5" s="1"/>
  <c r="CC1475" i="5" s="1"/>
  <c r="BT1499" i="5"/>
  <c r="BX1499" i="5" s="1"/>
  <c r="BY1499" i="5" s="1"/>
  <c r="CC1499" i="5" s="1"/>
  <c r="BT1511" i="5"/>
  <c r="BX1511" i="5" s="1"/>
  <c r="BY1511" i="5" s="1"/>
  <c r="CC1511" i="5" s="1"/>
  <c r="BT1523" i="5"/>
  <c r="BX1523" i="5" s="1"/>
  <c r="BY1523" i="5" s="1"/>
  <c r="CC1523" i="5" s="1"/>
  <c r="BT1547" i="5"/>
  <c r="BX1547" i="5" s="1"/>
  <c r="BY1547" i="5" s="1"/>
  <c r="CC1547" i="5" s="1"/>
  <c r="BT1559" i="5"/>
  <c r="BX1559" i="5" s="1"/>
  <c r="BY1559" i="5" s="1"/>
  <c r="CC1559" i="5" s="1"/>
  <c r="BT1571" i="5"/>
  <c r="BX1571" i="5" s="1"/>
  <c r="BY1571" i="5" s="1"/>
  <c r="CC1571" i="5" s="1"/>
  <c r="BT1583" i="5"/>
  <c r="BX1583" i="5" s="1"/>
  <c r="BY1583" i="5" s="1"/>
  <c r="CC1583" i="5" s="1"/>
  <c r="BT1607" i="5"/>
  <c r="BX1607" i="5" s="1"/>
  <c r="BY1607" i="5" s="1"/>
  <c r="CC1607" i="5" s="1"/>
  <c r="BT1631" i="5"/>
  <c r="BX1631" i="5" s="1"/>
  <c r="BY1631" i="5" s="1"/>
  <c r="CC1631" i="5" s="1"/>
  <c r="BT1655" i="5"/>
  <c r="BX1655" i="5" s="1"/>
  <c r="BY1655" i="5" s="1"/>
  <c r="CC1655" i="5" s="1"/>
  <c r="BT557" i="5"/>
  <c r="BX557" i="5" s="1"/>
  <c r="BY557" i="5" s="1"/>
  <c r="CC557" i="5" s="1"/>
  <c r="BT701" i="5"/>
  <c r="BX701" i="5" s="1"/>
  <c r="BY701" i="5" s="1"/>
  <c r="CC701" i="5" s="1"/>
  <c r="BT772" i="5"/>
  <c r="BX772" i="5" s="1"/>
  <c r="BY772" i="5" s="1"/>
  <c r="CC772" i="5" s="1"/>
  <c r="BT868" i="5"/>
  <c r="BX868" i="5" s="1"/>
  <c r="BY868" i="5" s="1"/>
  <c r="CC868" i="5" s="1"/>
  <c r="BT936" i="5"/>
  <c r="BX936" i="5" s="1"/>
  <c r="BY936" i="5" s="1"/>
  <c r="CC936" i="5" s="1"/>
  <c r="BT948" i="5"/>
  <c r="BX948" i="5" s="1"/>
  <c r="BY948" i="5" s="1"/>
  <c r="CC948" i="5" s="1"/>
  <c r="BT960" i="5"/>
  <c r="BX960" i="5" s="1"/>
  <c r="BY960" i="5" s="1"/>
  <c r="CC960" i="5" s="1"/>
  <c r="BT972" i="5"/>
  <c r="BX972" i="5" s="1"/>
  <c r="BY972" i="5" s="1"/>
  <c r="CC972" i="5" s="1"/>
  <c r="BT1008" i="5"/>
  <c r="BX1008" i="5" s="1"/>
  <c r="BY1008" i="5" s="1"/>
  <c r="CC1008" i="5" s="1"/>
  <c r="BT1020" i="5"/>
  <c r="BX1020" i="5" s="1"/>
  <c r="BY1020" i="5" s="1"/>
  <c r="CC1020" i="5" s="1"/>
  <c r="BT1032" i="5"/>
  <c r="BX1032" i="5" s="1"/>
  <c r="BY1032" i="5" s="1"/>
  <c r="CC1032" i="5" s="1"/>
  <c r="BT1056" i="5"/>
  <c r="BX1056" i="5" s="1"/>
  <c r="BY1056" i="5" s="1"/>
  <c r="CC1056" i="5" s="1"/>
  <c r="BT1068" i="5"/>
  <c r="BX1068" i="5" s="1"/>
  <c r="BY1068" i="5" s="1"/>
  <c r="CC1068" i="5" s="1"/>
  <c r="BT1080" i="5"/>
  <c r="BX1080" i="5" s="1"/>
  <c r="BY1080" i="5" s="1"/>
  <c r="CC1080" i="5" s="1"/>
  <c r="BT1116" i="5"/>
  <c r="BX1116" i="5" s="1"/>
  <c r="BY1116" i="5" s="1"/>
  <c r="CC1116" i="5" s="1"/>
  <c r="BT1128" i="5"/>
  <c r="BX1128" i="5" s="1"/>
  <c r="BY1128" i="5" s="1"/>
  <c r="CC1128" i="5" s="1"/>
  <c r="BT1164" i="5"/>
  <c r="BX1164" i="5" s="1"/>
  <c r="BY1164" i="5" s="1"/>
  <c r="CC1164" i="5" s="1"/>
  <c r="BT1176" i="5"/>
  <c r="BX1176" i="5" s="1"/>
  <c r="BY1176" i="5" s="1"/>
  <c r="CC1176" i="5" s="1"/>
  <c r="BT1200" i="5"/>
  <c r="BX1200" i="5" s="1"/>
  <c r="BY1200" i="5" s="1"/>
  <c r="CC1200" i="5" s="1"/>
  <c r="BT1212" i="5"/>
  <c r="BX1212" i="5" s="1"/>
  <c r="BY1212" i="5" s="1"/>
  <c r="CC1212" i="5" s="1"/>
  <c r="BT1224" i="5"/>
  <c r="BX1224" i="5" s="1"/>
  <c r="BY1224" i="5" s="1"/>
  <c r="CC1224" i="5" s="1"/>
  <c r="BT1248" i="5"/>
  <c r="BX1248" i="5" s="1"/>
  <c r="BY1248" i="5" s="1"/>
  <c r="CC1248" i="5" s="1"/>
  <c r="BT1260" i="5"/>
  <c r="BX1260" i="5" s="1"/>
  <c r="BY1260" i="5" s="1"/>
  <c r="CC1260" i="5" s="1"/>
  <c r="BT1272" i="5"/>
  <c r="BX1272" i="5" s="1"/>
  <c r="BY1272" i="5" s="1"/>
  <c r="CC1272" i="5" s="1"/>
  <c r="BT1284" i="5"/>
  <c r="BX1284" i="5" s="1"/>
  <c r="BY1284" i="5" s="1"/>
  <c r="CC1284" i="5" s="1"/>
  <c r="BT1320" i="5"/>
  <c r="BX1320" i="5" s="1"/>
  <c r="BY1320" i="5" s="1"/>
  <c r="CC1320" i="5" s="1"/>
  <c r="BT1344" i="5"/>
  <c r="BX1344" i="5" s="1"/>
  <c r="BY1344" i="5" s="1"/>
  <c r="CC1344" i="5" s="1"/>
  <c r="BT1356" i="5"/>
  <c r="BX1356" i="5" s="1"/>
  <c r="BY1356" i="5" s="1"/>
  <c r="CC1356" i="5" s="1"/>
  <c r="BT1380" i="5"/>
  <c r="BX1380" i="5" s="1"/>
  <c r="BY1380" i="5" s="1"/>
  <c r="CC1380" i="5" s="1"/>
  <c r="BT1440" i="5"/>
  <c r="BX1440" i="5" s="1"/>
  <c r="BY1440" i="5" s="1"/>
  <c r="CC1440" i="5" s="1"/>
  <c r="BT1452" i="5"/>
  <c r="BX1452" i="5" s="1"/>
  <c r="BY1452" i="5" s="1"/>
  <c r="CC1452" i="5" s="1"/>
  <c r="BT1464" i="5"/>
  <c r="BX1464" i="5" s="1"/>
  <c r="BY1464" i="5" s="1"/>
  <c r="CC1464" i="5" s="1"/>
  <c r="BT1500" i="5"/>
  <c r="BX1500" i="5" s="1"/>
  <c r="BY1500" i="5" s="1"/>
  <c r="CC1500" i="5" s="1"/>
  <c r="BT1596" i="5"/>
  <c r="BX1596" i="5" s="1"/>
  <c r="BY1596" i="5" s="1"/>
  <c r="CC1596" i="5" s="1"/>
  <c r="BT424" i="5"/>
  <c r="BX424" i="5" s="1"/>
  <c r="BY424" i="5" s="1"/>
  <c r="CC424" i="5" s="1"/>
  <c r="BT640" i="5"/>
  <c r="BX640" i="5" s="1"/>
  <c r="BY640" i="5" s="1"/>
  <c r="CC640" i="5" s="1"/>
  <c r="BT821" i="5"/>
  <c r="BX821" i="5" s="1"/>
  <c r="BY821" i="5" s="1"/>
  <c r="CC821" i="5" s="1"/>
  <c r="BT916" i="5"/>
  <c r="BX916" i="5" s="1"/>
  <c r="BY916" i="5" s="1"/>
  <c r="CC916" i="5" s="1"/>
  <c r="BT973" i="5"/>
  <c r="BX973" i="5" s="1"/>
  <c r="BY973" i="5" s="1"/>
  <c r="CC973" i="5" s="1"/>
  <c r="BT985" i="5"/>
  <c r="BX985" i="5" s="1"/>
  <c r="BY985" i="5" s="1"/>
  <c r="CC985" i="5" s="1"/>
  <c r="BT1009" i="5"/>
  <c r="BX1009" i="5" s="1"/>
  <c r="BY1009" i="5" s="1"/>
  <c r="CC1009" i="5" s="1"/>
  <c r="BT1057" i="5"/>
  <c r="BX1057" i="5" s="1"/>
  <c r="BY1057" i="5" s="1"/>
  <c r="CC1057" i="5" s="1"/>
  <c r="BT1081" i="5"/>
  <c r="BX1081" i="5" s="1"/>
  <c r="BY1081" i="5" s="1"/>
  <c r="CC1081" i="5" s="1"/>
  <c r="BT1105" i="5"/>
  <c r="BX1105" i="5" s="1"/>
  <c r="BY1105" i="5" s="1"/>
  <c r="CC1105" i="5" s="1"/>
  <c r="BT1129" i="5"/>
  <c r="BX1129" i="5" s="1"/>
  <c r="BY1129" i="5" s="1"/>
  <c r="CC1129" i="5" s="1"/>
  <c r="BT1165" i="5"/>
  <c r="BX1165" i="5" s="1"/>
  <c r="BY1165" i="5" s="1"/>
  <c r="CC1165" i="5" s="1"/>
  <c r="BT1177" i="5"/>
  <c r="BX1177" i="5" s="1"/>
  <c r="BY1177" i="5" s="1"/>
  <c r="CC1177" i="5" s="1"/>
  <c r="BT1201" i="5"/>
  <c r="BX1201" i="5" s="1"/>
  <c r="BY1201" i="5" s="1"/>
  <c r="CC1201" i="5" s="1"/>
  <c r="BT1213" i="5"/>
  <c r="BX1213" i="5" s="1"/>
  <c r="BY1213" i="5" s="1"/>
  <c r="CC1213" i="5" s="1"/>
  <c r="BT1225" i="5"/>
  <c r="BX1225" i="5" s="1"/>
  <c r="BY1225" i="5" s="1"/>
  <c r="CC1225" i="5" s="1"/>
  <c r="BT1237" i="5"/>
  <c r="BX1237" i="5" s="1"/>
  <c r="BY1237" i="5" s="1"/>
  <c r="CC1237" i="5" s="1"/>
  <c r="BT1261" i="5"/>
  <c r="BX1261" i="5" s="1"/>
  <c r="BY1261" i="5" s="1"/>
  <c r="CC1261" i="5" s="1"/>
  <c r="BT1285" i="5"/>
  <c r="BX1285" i="5" s="1"/>
  <c r="BY1285" i="5" s="1"/>
  <c r="CC1285" i="5" s="1"/>
  <c r="BT1309" i="5"/>
  <c r="BX1309" i="5" s="1"/>
  <c r="BY1309" i="5" s="1"/>
  <c r="CC1309" i="5" s="1"/>
  <c r="BT1321" i="5"/>
  <c r="BX1321" i="5" s="1"/>
  <c r="BY1321" i="5" s="1"/>
  <c r="CC1321" i="5" s="1"/>
  <c r="BT1381" i="5"/>
  <c r="BX1381" i="5" s="1"/>
  <c r="BY1381" i="5" s="1"/>
  <c r="CC1381" i="5" s="1"/>
  <c r="BT1393" i="5"/>
  <c r="BX1393" i="5" s="1"/>
  <c r="BY1393" i="5" s="1"/>
  <c r="CC1393" i="5" s="1"/>
  <c r="BT1417" i="5"/>
  <c r="BX1417" i="5" s="1"/>
  <c r="BY1417" i="5" s="1"/>
  <c r="CC1417" i="5" s="1"/>
  <c r="BT1429" i="5"/>
  <c r="BX1429" i="5" s="1"/>
  <c r="BY1429" i="5" s="1"/>
  <c r="CC1429" i="5" s="1"/>
  <c r="BT1441" i="5"/>
  <c r="BX1441" i="5" s="1"/>
  <c r="BY1441" i="5" s="1"/>
  <c r="CC1441" i="5" s="1"/>
  <c r="BT1453" i="5"/>
  <c r="BX1453" i="5" s="1"/>
  <c r="BY1453" i="5" s="1"/>
  <c r="CC1453" i="5" s="1"/>
  <c r="BT1465" i="5"/>
  <c r="BX1465" i="5" s="1"/>
  <c r="BY1465" i="5" s="1"/>
  <c r="CC1465" i="5" s="1"/>
  <c r="BT1477" i="5"/>
  <c r="BX1477" i="5" s="1"/>
  <c r="BY1477" i="5" s="1"/>
  <c r="CC1477" i="5" s="1"/>
  <c r="BT1525" i="5"/>
  <c r="BX1525" i="5" s="1"/>
  <c r="BY1525" i="5" s="1"/>
  <c r="CC1525" i="5" s="1"/>
  <c r="BT1585" i="5"/>
  <c r="BX1585" i="5" s="1"/>
  <c r="BY1585" i="5" s="1"/>
  <c r="CC1585" i="5" s="1"/>
  <c r="BT1633" i="5"/>
  <c r="BX1633" i="5" s="1"/>
  <c r="BY1633" i="5" s="1"/>
  <c r="CC1633" i="5" s="1"/>
  <c r="BT353" i="5"/>
  <c r="BX353" i="5" s="1"/>
  <c r="BY353" i="5" s="1"/>
  <c r="CC353" i="5" s="1"/>
  <c r="BT425" i="5"/>
  <c r="BX425" i="5" s="1"/>
  <c r="BY425" i="5" s="1"/>
  <c r="CC425" i="5" s="1"/>
  <c r="BT641" i="5"/>
  <c r="BX641" i="5" s="1"/>
  <c r="BY641" i="5" s="1"/>
  <c r="CC641" i="5" s="1"/>
  <c r="BT917" i="5"/>
  <c r="BX917" i="5" s="1"/>
  <c r="BY917" i="5" s="1"/>
  <c r="CC917" i="5" s="1"/>
  <c r="BT938" i="5"/>
  <c r="BX938" i="5" s="1"/>
  <c r="BY938" i="5" s="1"/>
  <c r="CC938" i="5" s="1"/>
  <c r="BT962" i="5"/>
  <c r="BX962" i="5" s="1"/>
  <c r="BY962" i="5" s="1"/>
  <c r="CC962" i="5" s="1"/>
  <c r="BT974" i="5"/>
  <c r="BX974" i="5" s="1"/>
  <c r="BY974" i="5" s="1"/>
  <c r="CC974" i="5" s="1"/>
  <c r="BT998" i="5"/>
  <c r="BX998" i="5" s="1"/>
  <c r="BY998" i="5" s="1"/>
  <c r="CC998" i="5" s="1"/>
  <c r="BT1022" i="5"/>
  <c r="BX1022" i="5" s="1"/>
  <c r="BY1022" i="5" s="1"/>
  <c r="CC1022" i="5" s="1"/>
  <c r="BT1034" i="5"/>
  <c r="BX1034" i="5" s="1"/>
  <c r="BY1034" i="5" s="1"/>
  <c r="CC1034" i="5" s="1"/>
  <c r="BT1046" i="5"/>
  <c r="BX1046" i="5" s="1"/>
  <c r="BY1046" i="5" s="1"/>
  <c r="CC1046" i="5" s="1"/>
  <c r="BT1058" i="5"/>
  <c r="BX1058" i="5" s="1"/>
  <c r="BY1058" i="5" s="1"/>
  <c r="CC1058" i="5" s="1"/>
  <c r="BT1082" i="5"/>
  <c r="BX1082" i="5" s="1"/>
  <c r="BY1082" i="5" s="1"/>
  <c r="CC1082" i="5" s="1"/>
  <c r="BT1106" i="5"/>
  <c r="BX1106" i="5" s="1"/>
  <c r="BY1106" i="5" s="1"/>
  <c r="CC1106" i="5" s="1"/>
  <c r="BT1118" i="5"/>
  <c r="BX1118" i="5" s="1"/>
  <c r="BY1118" i="5" s="1"/>
  <c r="CC1118" i="5" s="1"/>
  <c r="BT1142" i="5"/>
  <c r="BX1142" i="5" s="1"/>
  <c r="BY1142" i="5" s="1"/>
  <c r="CC1142" i="5" s="1"/>
  <c r="BT1154" i="5"/>
  <c r="BX1154" i="5" s="1"/>
  <c r="BY1154" i="5" s="1"/>
  <c r="CC1154" i="5" s="1"/>
  <c r="BT1190" i="5"/>
  <c r="BX1190" i="5" s="1"/>
  <c r="BY1190" i="5" s="1"/>
  <c r="CC1190" i="5" s="1"/>
  <c r="BT1202" i="5"/>
  <c r="BX1202" i="5" s="1"/>
  <c r="BY1202" i="5" s="1"/>
  <c r="CC1202" i="5" s="1"/>
  <c r="BT1214" i="5"/>
  <c r="BX1214" i="5" s="1"/>
  <c r="BY1214" i="5" s="1"/>
  <c r="CC1214" i="5" s="1"/>
  <c r="BT1226" i="5"/>
  <c r="BX1226" i="5" s="1"/>
  <c r="BY1226" i="5" s="1"/>
  <c r="CC1226" i="5" s="1"/>
  <c r="BT1238" i="5"/>
  <c r="BX1238" i="5" s="1"/>
  <c r="BY1238" i="5" s="1"/>
  <c r="CC1238" i="5" s="1"/>
  <c r="BT1250" i="5"/>
  <c r="BX1250" i="5" s="1"/>
  <c r="BY1250" i="5" s="1"/>
  <c r="CC1250" i="5" s="1"/>
  <c r="BT1262" i="5"/>
  <c r="BX1262" i="5" s="1"/>
  <c r="BY1262" i="5" s="1"/>
  <c r="CC1262" i="5" s="1"/>
  <c r="BT1274" i="5"/>
  <c r="BX1274" i="5" s="1"/>
  <c r="BY1274" i="5" s="1"/>
  <c r="CC1274" i="5" s="1"/>
  <c r="BT1322" i="5"/>
  <c r="BX1322" i="5" s="1"/>
  <c r="BY1322" i="5" s="1"/>
  <c r="CC1322" i="5" s="1"/>
  <c r="BT1346" i="5"/>
  <c r="BX1346" i="5" s="1"/>
  <c r="BY1346" i="5" s="1"/>
  <c r="CC1346" i="5" s="1"/>
  <c r="BT1358" i="5"/>
  <c r="BX1358" i="5" s="1"/>
  <c r="BY1358" i="5" s="1"/>
  <c r="CC1358" i="5" s="1"/>
  <c r="BT1382" i="5"/>
  <c r="BX1382" i="5" s="1"/>
  <c r="BY1382" i="5" s="1"/>
  <c r="CC1382" i="5" s="1"/>
  <c r="BT1394" i="5"/>
  <c r="BX1394" i="5" s="1"/>
  <c r="BY1394" i="5" s="1"/>
  <c r="CC1394" i="5" s="1"/>
  <c r="BT1430" i="5"/>
  <c r="BX1430" i="5" s="1"/>
  <c r="BY1430" i="5" s="1"/>
  <c r="CC1430" i="5" s="1"/>
  <c r="BT1442" i="5"/>
  <c r="BX1442" i="5" s="1"/>
  <c r="BY1442" i="5" s="1"/>
  <c r="CC1442" i="5" s="1"/>
  <c r="BT1466" i="5"/>
  <c r="BX1466" i="5" s="1"/>
  <c r="BY1466" i="5" s="1"/>
  <c r="CC1466" i="5" s="1"/>
  <c r="BT1478" i="5"/>
  <c r="BX1478" i="5" s="1"/>
  <c r="BY1478" i="5" s="1"/>
  <c r="CC1478" i="5" s="1"/>
  <c r="BT1490" i="5"/>
  <c r="BX1490" i="5" s="1"/>
  <c r="BY1490" i="5" s="1"/>
  <c r="CC1490" i="5" s="1"/>
  <c r="BT1502" i="5"/>
  <c r="BX1502" i="5" s="1"/>
  <c r="BY1502" i="5" s="1"/>
  <c r="CC1502" i="5" s="1"/>
  <c r="BT1538" i="5"/>
  <c r="BX1538" i="5" s="1"/>
  <c r="BY1538" i="5" s="1"/>
  <c r="CC1538" i="5" s="1"/>
  <c r="BT1586" i="5"/>
  <c r="BX1586" i="5" s="1"/>
  <c r="BY1586" i="5" s="1"/>
  <c r="CC1586" i="5" s="1"/>
  <c r="BT1610" i="5"/>
  <c r="BX1610" i="5" s="1"/>
  <c r="BY1610" i="5" s="1"/>
  <c r="CC1610" i="5" s="1"/>
  <c r="BT1670" i="5"/>
  <c r="BX1670" i="5" s="1"/>
  <c r="BY1670" i="5" s="1"/>
  <c r="CC1670" i="5" s="1"/>
  <c r="BT1718" i="5"/>
  <c r="BX1718" i="5" s="1"/>
  <c r="BY1718" i="5" s="1"/>
  <c r="CC1718" i="5" s="1"/>
  <c r="BT1730" i="5"/>
  <c r="BX1730" i="5" s="1"/>
  <c r="BY1730" i="5" s="1"/>
  <c r="CC1730" i="5" s="1"/>
  <c r="BT220" i="5"/>
  <c r="BX220" i="5" s="1"/>
  <c r="BY220" i="5" s="1"/>
  <c r="CC220" i="5" s="1"/>
  <c r="BT436" i="5"/>
  <c r="BX436" i="5" s="1"/>
  <c r="BY436" i="5" s="1"/>
  <c r="CC436" i="5" s="1"/>
  <c r="BT580" i="5"/>
  <c r="BX580" i="5" s="1"/>
  <c r="BY580" i="5" s="1"/>
  <c r="CC580" i="5" s="1"/>
  <c r="BT652" i="5"/>
  <c r="BX652" i="5" s="1"/>
  <c r="BY652" i="5" s="1"/>
  <c r="CC652" i="5" s="1"/>
  <c r="BT922" i="5"/>
  <c r="BX922" i="5" s="1"/>
  <c r="BY922" i="5" s="1"/>
  <c r="CC922" i="5" s="1"/>
  <c r="BT963" i="5"/>
  <c r="BX963" i="5" s="1"/>
  <c r="BY963" i="5" s="1"/>
  <c r="CC963" i="5" s="1"/>
  <c r="BT999" i="5"/>
  <c r="BX999" i="5" s="1"/>
  <c r="BY999" i="5" s="1"/>
  <c r="CC999" i="5" s="1"/>
  <c r="BT1023" i="5"/>
  <c r="BX1023" i="5" s="1"/>
  <c r="BY1023" i="5" s="1"/>
  <c r="CC1023" i="5" s="1"/>
  <c r="BT1035" i="5"/>
  <c r="BX1035" i="5" s="1"/>
  <c r="BY1035" i="5" s="1"/>
  <c r="CC1035" i="5" s="1"/>
  <c r="BT1047" i="5"/>
  <c r="BX1047" i="5" s="1"/>
  <c r="BY1047" i="5" s="1"/>
  <c r="CC1047" i="5" s="1"/>
  <c r="BT1083" i="5"/>
  <c r="BX1083" i="5" s="1"/>
  <c r="BY1083" i="5" s="1"/>
  <c r="CC1083" i="5" s="1"/>
  <c r="BT1095" i="5"/>
  <c r="BX1095" i="5" s="1"/>
  <c r="BY1095" i="5" s="1"/>
  <c r="CC1095" i="5" s="1"/>
  <c r="BT1107" i="5"/>
  <c r="BX1107" i="5" s="1"/>
  <c r="BY1107" i="5" s="1"/>
  <c r="CC1107" i="5" s="1"/>
  <c r="BT1143" i="5"/>
  <c r="BX1143" i="5" s="1"/>
  <c r="BY1143" i="5" s="1"/>
  <c r="CC1143" i="5" s="1"/>
  <c r="BT1179" i="5"/>
  <c r="BX1179" i="5" s="1"/>
  <c r="BY1179" i="5" s="1"/>
  <c r="CC1179" i="5" s="1"/>
  <c r="BT1215" i="5"/>
  <c r="BX1215" i="5" s="1"/>
  <c r="BY1215" i="5" s="1"/>
  <c r="CC1215" i="5" s="1"/>
  <c r="BT1227" i="5"/>
  <c r="BX1227" i="5" s="1"/>
  <c r="BY1227" i="5" s="1"/>
  <c r="CC1227" i="5" s="1"/>
  <c r="BT1239" i="5"/>
  <c r="BX1239" i="5" s="1"/>
  <c r="BY1239" i="5" s="1"/>
  <c r="CC1239" i="5" s="1"/>
  <c r="BT1251" i="5"/>
  <c r="BX1251" i="5" s="1"/>
  <c r="BY1251" i="5" s="1"/>
  <c r="CC1251" i="5" s="1"/>
  <c r="BT1263" i="5"/>
  <c r="BX1263" i="5" s="1"/>
  <c r="BY1263" i="5" s="1"/>
  <c r="CC1263" i="5" s="1"/>
  <c r="BT1287" i="5"/>
  <c r="BX1287" i="5" s="1"/>
  <c r="BY1287" i="5" s="1"/>
  <c r="CC1287" i="5" s="1"/>
  <c r="BT1299" i="5"/>
  <c r="BX1299" i="5" s="1"/>
  <c r="BY1299" i="5" s="1"/>
  <c r="CC1299" i="5" s="1"/>
  <c r="BT1323" i="5"/>
  <c r="BX1323" i="5" s="1"/>
  <c r="BY1323" i="5" s="1"/>
  <c r="CC1323" i="5" s="1"/>
  <c r="BT1371" i="5"/>
  <c r="BX1371" i="5" s="1"/>
  <c r="BY1371" i="5" s="1"/>
  <c r="CC1371" i="5" s="1"/>
  <c r="BT1395" i="5"/>
  <c r="BX1395" i="5" s="1"/>
  <c r="BY1395" i="5" s="1"/>
  <c r="CC1395" i="5" s="1"/>
  <c r="BT1431" i="5"/>
  <c r="BX1431" i="5" s="1"/>
  <c r="BY1431" i="5" s="1"/>
  <c r="CC1431" i="5" s="1"/>
  <c r="BT1467" i="5"/>
  <c r="BX1467" i="5" s="1"/>
  <c r="BY1467" i="5" s="1"/>
  <c r="CC1467" i="5" s="1"/>
  <c r="BT1479" i="5"/>
  <c r="BX1479" i="5" s="1"/>
  <c r="BY1479" i="5" s="1"/>
  <c r="CC1479" i="5" s="1"/>
  <c r="BT1491" i="5"/>
  <c r="BX1491" i="5" s="1"/>
  <c r="BY1491" i="5" s="1"/>
  <c r="CC1491" i="5" s="1"/>
  <c r="BT1515" i="5"/>
  <c r="BX1515" i="5" s="1"/>
  <c r="BY1515" i="5" s="1"/>
  <c r="CC1515" i="5" s="1"/>
  <c r="BT1551" i="5"/>
  <c r="BX1551" i="5" s="1"/>
  <c r="BY1551" i="5" s="1"/>
  <c r="CC1551" i="5" s="1"/>
  <c r="BT1563" i="5"/>
  <c r="BX1563" i="5" s="1"/>
  <c r="BY1563" i="5" s="1"/>
  <c r="CC1563" i="5" s="1"/>
  <c r="BT1575" i="5"/>
  <c r="BX1575" i="5" s="1"/>
  <c r="BY1575" i="5" s="1"/>
  <c r="CC1575" i="5" s="1"/>
  <c r="BT1587" i="5"/>
  <c r="BX1587" i="5" s="1"/>
  <c r="BY1587" i="5" s="1"/>
  <c r="CC1587" i="5" s="1"/>
  <c r="BT1611" i="5"/>
  <c r="BX1611" i="5" s="1"/>
  <c r="BY1611" i="5" s="1"/>
  <c r="CC1611" i="5" s="1"/>
  <c r="BT1623" i="5"/>
  <c r="BX1623" i="5" s="1"/>
  <c r="BY1623" i="5" s="1"/>
  <c r="CC1623" i="5" s="1"/>
  <c r="BT1635" i="5"/>
  <c r="BX1635" i="5" s="1"/>
  <c r="BY1635" i="5" s="1"/>
  <c r="CC1635" i="5" s="1"/>
  <c r="BT1647" i="5"/>
  <c r="BX1647" i="5" s="1"/>
  <c r="BY1647" i="5" s="1"/>
  <c r="CC1647" i="5" s="1"/>
  <c r="BT16" i="5"/>
  <c r="BX16" i="5" s="1"/>
  <c r="BY16" i="5" s="1"/>
  <c r="CC16" i="5" s="1"/>
  <c r="BT221" i="5"/>
  <c r="BX221" i="5" s="1"/>
  <c r="BY221" i="5" s="1"/>
  <c r="CC221" i="5" s="1"/>
  <c r="BT365" i="5"/>
  <c r="BX365" i="5" s="1"/>
  <c r="BY365" i="5" s="1"/>
  <c r="CC365" i="5" s="1"/>
  <c r="BT437" i="5"/>
  <c r="BX437" i="5" s="1"/>
  <c r="BY437" i="5" s="1"/>
  <c r="CC437" i="5" s="1"/>
  <c r="BT653" i="5"/>
  <c r="BX653" i="5" s="1"/>
  <c r="BY653" i="5" s="1"/>
  <c r="CC653" i="5" s="1"/>
  <c r="BT924" i="5"/>
  <c r="BX924" i="5" s="1"/>
  <c r="BY924" i="5" s="1"/>
  <c r="CC924" i="5" s="1"/>
  <c r="BT964" i="5"/>
  <c r="BX964" i="5" s="1"/>
  <c r="BY964" i="5" s="1"/>
  <c r="CC964" i="5" s="1"/>
  <c r="BT976" i="5"/>
  <c r="BX976" i="5" s="1"/>
  <c r="BY976" i="5" s="1"/>
  <c r="CC976" i="5" s="1"/>
  <c r="BT1024" i="5"/>
  <c r="BX1024" i="5" s="1"/>
  <c r="BY1024" i="5" s="1"/>
  <c r="CC1024" i="5" s="1"/>
  <c r="BT1036" i="5"/>
  <c r="BX1036" i="5" s="1"/>
  <c r="BY1036" i="5" s="1"/>
  <c r="CC1036" i="5" s="1"/>
  <c r="BT1048" i="5"/>
  <c r="BX1048" i="5" s="1"/>
  <c r="BY1048" i="5" s="1"/>
  <c r="CC1048" i="5" s="1"/>
  <c r="BT1060" i="5"/>
  <c r="BX1060" i="5" s="1"/>
  <c r="BY1060" i="5" s="1"/>
  <c r="CC1060" i="5" s="1"/>
  <c r="BT1072" i="5"/>
  <c r="BX1072" i="5" s="1"/>
  <c r="BY1072" i="5" s="1"/>
  <c r="CC1072" i="5" s="1"/>
  <c r="BT1084" i="5"/>
  <c r="BX1084" i="5" s="1"/>
  <c r="BY1084" i="5" s="1"/>
  <c r="CC1084" i="5" s="1"/>
  <c r="BT1096" i="5"/>
  <c r="BX1096" i="5" s="1"/>
  <c r="BY1096" i="5" s="1"/>
  <c r="CC1096" i="5" s="1"/>
  <c r="BT1132" i="5"/>
  <c r="BX1132" i="5" s="1"/>
  <c r="BY1132" i="5" s="1"/>
  <c r="CC1132" i="5" s="1"/>
  <c r="BT1144" i="5"/>
  <c r="BX1144" i="5" s="1"/>
  <c r="BY1144" i="5" s="1"/>
  <c r="CC1144" i="5" s="1"/>
  <c r="BT1156" i="5"/>
  <c r="BX1156" i="5" s="1"/>
  <c r="BY1156" i="5" s="1"/>
  <c r="CC1156" i="5" s="1"/>
  <c r="BT1180" i="5"/>
  <c r="BX1180" i="5" s="1"/>
  <c r="BY1180" i="5" s="1"/>
  <c r="CC1180" i="5" s="1"/>
  <c r="BT1192" i="5"/>
  <c r="BX1192" i="5" s="1"/>
  <c r="BY1192" i="5" s="1"/>
  <c r="CC1192" i="5" s="1"/>
  <c r="BT1216" i="5"/>
  <c r="BX1216" i="5" s="1"/>
  <c r="BY1216" i="5" s="1"/>
  <c r="CC1216" i="5" s="1"/>
  <c r="BT1228" i="5"/>
  <c r="BX1228" i="5" s="1"/>
  <c r="BY1228" i="5" s="1"/>
  <c r="CC1228" i="5" s="1"/>
  <c r="BT1252" i="5"/>
  <c r="BX1252" i="5" s="1"/>
  <c r="BY1252" i="5" s="1"/>
  <c r="CC1252" i="5" s="1"/>
  <c r="BT1264" i="5"/>
  <c r="BX1264" i="5" s="1"/>
  <c r="BY1264" i="5" s="1"/>
  <c r="CC1264" i="5" s="1"/>
  <c r="BT1276" i="5"/>
  <c r="BX1276" i="5" s="1"/>
  <c r="BY1276" i="5" s="1"/>
  <c r="CC1276" i="5" s="1"/>
  <c r="BT1324" i="5"/>
  <c r="BX1324" i="5" s="1"/>
  <c r="BY1324" i="5" s="1"/>
  <c r="CC1324" i="5" s="1"/>
  <c r="BT1336" i="5"/>
  <c r="BX1336" i="5" s="1"/>
  <c r="BY1336" i="5" s="1"/>
  <c r="CC1336" i="5" s="1"/>
  <c r="BT1348" i="5"/>
  <c r="BX1348" i="5" s="1"/>
  <c r="BY1348" i="5" s="1"/>
  <c r="CC1348" i="5" s="1"/>
  <c r="BT1360" i="5"/>
  <c r="BX1360" i="5" s="1"/>
  <c r="BY1360" i="5" s="1"/>
  <c r="CC1360" i="5" s="1"/>
  <c r="BT1372" i="5"/>
  <c r="BX1372" i="5" s="1"/>
  <c r="BY1372" i="5" s="1"/>
  <c r="CC1372" i="5" s="1"/>
  <c r="BT1384" i="5"/>
  <c r="BX1384" i="5" s="1"/>
  <c r="BY1384" i="5" s="1"/>
  <c r="CC1384" i="5" s="1"/>
  <c r="BT1396" i="5"/>
  <c r="BX1396" i="5" s="1"/>
  <c r="BY1396" i="5" s="1"/>
  <c r="CC1396" i="5" s="1"/>
  <c r="BT1420" i="5"/>
  <c r="BX1420" i="5" s="1"/>
  <c r="BY1420" i="5" s="1"/>
  <c r="CC1420" i="5" s="1"/>
  <c r="BT1468" i="5"/>
  <c r="BX1468" i="5" s="1"/>
  <c r="BY1468" i="5" s="1"/>
  <c r="CC1468" i="5" s="1"/>
  <c r="BT1516" i="5"/>
  <c r="BX1516" i="5" s="1"/>
  <c r="BY1516" i="5" s="1"/>
  <c r="CC1516" i="5" s="1"/>
  <c r="BT1528" i="5"/>
  <c r="BX1528" i="5" s="1"/>
  <c r="BY1528" i="5" s="1"/>
  <c r="CC1528" i="5" s="1"/>
  <c r="BT1564" i="5"/>
  <c r="BX1564" i="5" s="1"/>
  <c r="BY1564" i="5" s="1"/>
  <c r="CC1564" i="5" s="1"/>
  <c r="BT1588" i="5"/>
  <c r="BX1588" i="5" s="1"/>
  <c r="BY1588" i="5" s="1"/>
  <c r="CC1588" i="5" s="1"/>
  <c r="BT1600" i="5"/>
  <c r="BX1600" i="5" s="1"/>
  <c r="BY1600" i="5" s="1"/>
  <c r="CC1600" i="5" s="1"/>
  <c r="BT1612" i="5"/>
  <c r="BX1612" i="5" s="1"/>
  <c r="BY1612" i="5" s="1"/>
  <c r="CC1612" i="5" s="1"/>
  <c r="BT1684" i="5"/>
  <c r="BX1684" i="5" s="1"/>
  <c r="BY1684" i="5" s="1"/>
  <c r="CC1684" i="5" s="1"/>
  <c r="BT1708" i="5"/>
  <c r="BX1708" i="5" s="1"/>
  <c r="BY1708" i="5" s="1"/>
  <c r="CC1708" i="5" s="1"/>
  <c r="BT1744" i="5"/>
  <c r="BX1744" i="5" s="1"/>
  <c r="BY1744" i="5" s="1"/>
  <c r="CC1744" i="5" s="1"/>
  <c r="BT520" i="5"/>
  <c r="BX520" i="5" s="1"/>
  <c r="BY520" i="5" s="1"/>
  <c r="CC520" i="5" s="1"/>
  <c r="BT664" i="5"/>
  <c r="BX664" i="5" s="1"/>
  <c r="BY664" i="5" s="1"/>
  <c r="CC664" i="5" s="1"/>
  <c r="BT888" i="5"/>
  <c r="BX888" i="5" s="1"/>
  <c r="BY888" i="5" s="1"/>
  <c r="CC888" i="5" s="1"/>
  <c r="BT977" i="5"/>
  <c r="BX977" i="5" s="1"/>
  <c r="BY977" i="5" s="1"/>
  <c r="CC977" i="5" s="1"/>
  <c r="BT1025" i="5"/>
  <c r="BX1025" i="5" s="1"/>
  <c r="BY1025" i="5" s="1"/>
  <c r="CC1025" i="5" s="1"/>
  <c r="BT1049" i="5"/>
  <c r="BX1049" i="5" s="1"/>
  <c r="BY1049" i="5" s="1"/>
  <c r="CC1049" i="5" s="1"/>
  <c r="BT1085" i="5"/>
  <c r="BX1085" i="5" s="1"/>
  <c r="BY1085" i="5" s="1"/>
  <c r="CC1085" i="5" s="1"/>
  <c r="BT1097" i="5"/>
  <c r="BX1097" i="5" s="1"/>
  <c r="BY1097" i="5" s="1"/>
  <c r="CC1097" i="5" s="1"/>
  <c r="BT1121" i="5"/>
  <c r="BX1121" i="5" s="1"/>
  <c r="BY1121" i="5" s="1"/>
  <c r="CC1121" i="5" s="1"/>
  <c r="BT1133" i="5"/>
  <c r="BX1133" i="5" s="1"/>
  <c r="BY1133" i="5" s="1"/>
  <c r="CC1133" i="5" s="1"/>
  <c r="BT1145" i="5"/>
  <c r="BX1145" i="5" s="1"/>
  <c r="BY1145" i="5" s="1"/>
  <c r="CC1145" i="5" s="1"/>
  <c r="BT1157" i="5"/>
  <c r="BX1157" i="5" s="1"/>
  <c r="BY1157" i="5" s="1"/>
  <c r="CC1157" i="5" s="1"/>
  <c r="BT1205" i="5"/>
  <c r="BX1205" i="5" s="1"/>
  <c r="BY1205" i="5" s="1"/>
  <c r="CC1205" i="5" s="1"/>
  <c r="BT1229" i="5"/>
  <c r="BX1229" i="5" s="1"/>
  <c r="BY1229" i="5" s="1"/>
  <c r="CC1229" i="5" s="1"/>
  <c r="BT1265" i="5"/>
  <c r="BX1265" i="5" s="1"/>
  <c r="BY1265" i="5" s="1"/>
  <c r="CC1265" i="5" s="1"/>
  <c r="BT1277" i="5"/>
  <c r="BX1277" i="5" s="1"/>
  <c r="BY1277" i="5" s="1"/>
  <c r="CC1277" i="5" s="1"/>
  <c r="BT1289" i="5"/>
  <c r="BX1289" i="5" s="1"/>
  <c r="BY1289" i="5" s="1"/>
  <c r="CC1289" i="5" s="1"/>
  <c r="BT1313" i="5"/>
  <c r="BX1313" i="5" s="1"/>
  <c r="BY1313" i="5" s="1"/>
  <c r="CC1313" i="5" s="1"/>
  <c r="BT1325" i="5"/>
  <c r="BX1325" i="5" s="1"/>
  <c r="BY1325" i="5" s="1"/>
  <c r="CC1325" i="5" s="1"/>
  <c r="BT1397" i="5"/>
  <c r="BX1397" i="5" s="1"/>
  <c r="BY1397" i="5" s="1"/>
  <c r="CC1397" i="5" s="1"/>
  <c r="BT1409" i="5"/>
  <c r="BX1409" i="5" s="1"/>
  <c r="BY1409" i="5" s="1"/>
  <c r="CC1409" i="5" s="1"/>
  <c r="BT1457" i="5"/>
  <c r="BX1457" i="5" s="1"/>
  <c r="BY1457" i="5" s="1"/>
  <c r="CC1457" i="5" s="1"/>
  <c r="BT1469" i="5"/>
  <c r="BX1469" i="5" s="1"/>
  <c r="BY1469" i="5" s="1"/>
  <c r="CC1469" i="5" s="1"/>
  <c r="BT1481" i="5"/>
  <c r="BX1481" i="5" s="1"/>
  <c r="BY1481" i="5" s="1"/>
  <c r="CC1481" i="5" s="1"/>
  <c r="BT1493" i="5"/>
  <c r="BX1493" i="5" s="1"/>
  <c r="BY1493" i="5" s="1"/>
  <c r="CC1493" i="5" s="1"/>
  <c r="BT1505" i="5"/>
  <c r="BX1505" i="5" s="1"/>
  <c r="BY1505" i="5" s="1"/>
  <c r="CC1505" i="5" s="1"/>
  <c r="BT1529" i="5"/>
  <c r="BX1529" i="5" s="1"/>
  <c r="BY1529" i="5" s="1"/>
  <c r="CC1529" i="5" s="1"/>
  <c r="BT1541" i="5"/>
  <c r="BX1541" i="5" s="1"/>
  <c r="BY1541" i="5" s="1"/>
  <c r="CC1541" i="5" s="1"/>
  <c r="BT1553" i="5"/>
  <c r="BX1553" i="5" s="1"/>
  <c r="BY1553" i="5" s="1"/>
  <c r="CC1553" i="5" s="1"/>
  <c r="BT1577" i="5"/>
  <c r="BX1577" i="5" s="1"/>
  <c r="BY1577" i="5" s="1"/>
  <c r="CC1577" i="5" s="1"/>
  <c r="BT1613" i="5"/>
  <c r="BX1613" i="5" s="1"/>
  <c r="BY1613" i="5" s="1"/>
  <c r="CC1613" i="5" s="1"/>
  <c r="BT1625" i="5"/>
  <c r="BX1625" i="5" s="1"/>
  <c r="BY1625" i="5" s="1"/>
  <c r="CC1625" i="5" s="1"/>
  <c r="BT1661" i="5"/>
  <c r="BX1661" i="5" s="1"/>
  <c r="BY1661" i="5" s="1"/>
  <c r="CC1661" i="5" s="1"/>
  <c r="BT305" i="5"/>
  <c r="BX305" i="5" s="1"/>
  <c r="BY305" i="5" s="1"/>
  <c r="CC305" i="5" s="1"/>
  <c r="BT593" i="5"/>
  <c r="BX593" i="5" s="1"/>
  <c r="BY593" i="5" s="1"/>
  <c r="CC593" i="5" s="1"/>
  <c r="BT796" i="5"/>
  <c r="BX796" i="5" s="1"/>
  <c r="BY796" i="5" s="1"/>
  <c r="CC796" i="5" s="1"/>
  <c r="BT844" i="5"/>
  <c r="BX844" i="5" s="1"/>
  <c r="BY844" i="5" s="1"/>
  <c r="CC844" i="5" s="1"/>
  <c r="BT929" i="5"/>
  <c r="BX929" i="5" s="1"/>
  <c r="BY929" i="5" s="1"/>
  <c r="CC929" i="5" s="1"/>
  <c r="BT954" i="5"/>
  <c r="BX954" i="5" s="1"/>
  <c r="BY954" i="5" s="1"/>
  <c r="CC954" i="5" s="1"/>
  <c r="BT966" i="5"/>
  <c r="BX966" i="5" s="1"/>
  <c r="BY966" i="5" s="1"/>
  <c r="CC966" i="5" s="1"/>
  <c r="BT1002" i="5"/>
  <c r="BX1002" i="5" s="1"/>
  <c r="BY1002" i="5" s="1"/>
  <c r="CC1002" i="5" s="1"/>
  <c r="BT1038" i="5"/>
  <c r="BX1038" i="5" s="1"/>
  <c r="BY1038" i="5" s="1"/>
  <c r="CC1038" i="5" s="1"/>
  <c r="BT1074" i="5"/>
  <c r="BX1074" i="5" s="1"/>
  <c r="BY1074" i="5" s="1"/>
  <c r="CC1074" i="5" s="1"/>
  <c r="BT1098" i="5"/>
  <c r="BX1098" i="5" s="1"/>
  <c r="BY1098" i="5" s="1"/>
  <c r="CC1098" i="5" s="1"/>
  <c r="BT1122" i="5"/>
  <c r="BX1122" i="5" s="1"/>
  <c r="BY1122" i="5" s="1"/>
  <c r="CC1122" i="5" s="1"/>
  <c r="BT1146" i="5"/>
  <c r="BX1146" i="5" s="1"/>
  <c r="BY1146" i="5" s="1"/>
  <c r="CC1146" i="5" s="1"/>
  <c r="BT1158" i="5"/>
  <c r="BX1158" i="5" s="1"/>
  <c r="BY1158" i="5" s="1"/>
  <c r="CC1158" i="5" s="1"/>
  <c r="BT1182" i="5"/>
  <c r="BX1182" i="5" s="1"/>
  <c r="BY1182" i="5" s="1"/>
  <c r="CC1182" i="5" s="1"/>
  <c r="BT1194" i="5"/>
  <c r="BX1194" i="5" s="1"/>
  <c r="BY1194" i="5" s="1"/>
  <c r="CC1194" i="5" s="1"/>
  <c r="BT1230" i="5"/>
  <c r="BX1230" i="5" s="1"/>
  <c r="BY1230" i="5" s="1"/>
  <c r="CC1230" i="5" s="1"/>
  <c r="BT1242" i="5"/>
  <c r="BX1242" i="5" s="1"/>
  <c r="BY1242" i="5" s="1"/>
  <c r="CC1242" i="5" s="1"/>
  <c r="BT1254" i="5"/>
  <c r="BX1254" i="5" s="1"/>
  <c r="BY1254" i="5" s="1"/>
  <c r="CC1254" i="5" s="1"/>
  <c r="BT1266" i="5"/>
  <c r="BX1266" i="5" s="1"/>
  <c r="BY1266" i="5" s="1"/>
  <c r="CC1266" i="5" s="1"/>
  <c r="BT1290" i="5"/>
  <c r="BX1290" i="5" s="1"/>
  <c r="BY1290" i="5" s="1"/>
  <c r="CC1290" i="5" s="1"/>
  <c r="BT1314" i="5"/>
  <c r="BX1314" i="5" s="1"/>
  <c r="BY1314" i="5" s="1"/>
  <c r="CC1314" i="5" s="1"/>
  <c r="BT1326" i="5"/>
  <c r="BX1326" i="5" s="1"/>
  <c r="BY1326" i="5" s="1"/>
  <c r="CC1326" i="5" s="1"/>
  <c r="BT1338" i="5"/>
  <c r="BX1338" i="5" s="1"/>
  <c r="BY1338" i="5" s="1"/>
  <c r="CC1338" i="5" s="1"/>
  <c r="BT1362" i="5"/>
  <c r="BX1362" i="5" s="1"/>
  <c r="BY1362" i="5" s="1"/>
  <c r="CC1362" i="5" s="1"/>
  <c r="BT1374" i="5"/>
  <c r="BX1374" i="5" s="1"/>
  <c r="BY1374" i="5" s="1"/>
  <c r="CC1374" i="5" s="1"/>
  <c r="BT1458" i="5"/>
  <c r="BX1458" i="5" s="1"/>
  <c r="BY1458" i="5" s="1"/>
  <c r="CC1458" i="5" s="1"/>
  <c r="BT1470" i="5"/>
  <c r="BX1470" i="5" s="1"/>
  <c r="BY1470" i="5" s="1"/>
  <c r="CC1470" i="5" s="1"/>
  <c r="BT1482" i="5"/>
  <c r="BX1482" i="5" s="1"/>
  <c r="BY1482" i="5" s="1"/>
  <c r="CC1482" i="5" s="1"/>
  <c r="BT1506" i="5"/>
  <c r="BX1506" i="5" s="1"/>
  <c r="BY1506" i="5" s="1"/>
  <c r="CC1506" i="5" s="1"/>
  <c r="BT1542" i="5"/>
  <c r="BX1542" i="5" s="1"/>
  <c r="BY1542" i="5" s="1"/>
  <c r="CC1542" i="5" s="1"/>
  <c r="BT1554" i="5"/>
  <c r="BX1554" i="5" s="1"/>
  <c r="BY1554" i="5" s="1"/>
  <c r="CC1554" i="5" s="1"/>
  <c r="BT1566" i="5"/>
  <c r="BX1566" i="5" s="1"/>
  <c r="BY1566" i="5" s="1"/>
  <c r="CC1566" i="5" s="1"/>
  <c r="BT1590" i="5"/>
  <c r="BX1590" i="5" s="1"/>
  <c r="BY1590" i="5" s="1"/>
  <c r="CC1590" i="5" s="1"/>
  <c r="BT1614" i="5"/>
  <c r="BX1614" i="5" s="1"/>
  <c r="BY1614" i="5" s="1"/>
  <c r="CC1614" i="5" s="1"/>
  <c r="BT1626" i="5"/>
  <c r="BX1626" i="5" s="1"/>
  <c r="BY1626" i="5" s="1"/>
  <c r="CC1626" i="5" s="1"/>
  <c r="BT1662" i="5"/>
  <c r="BX1662" i="5" s="1"/>
  <c r="BY1662" i="5" s="1"/>
  <c r="CC1662" i="5" s="1"/>
  <c r="BT1674" i="5"/>
  <c r="BX1674" i="5" s="1"/>
  <c r="BY1674" i="5" s="1"/>
  <c r="CC1674" i="5" s="1"/>
  <c r="BT1698" i="5"/>
  <c r="BX1698" i="5" s="1"/>
  <c r="BY1698" i="5" s="1"/>
  <c r="CC1698" i="5" s="1"/>
  <c r="BT1111" i="5"/>
  <c r="BX1111" i="5" s="1"/>
  <c r="BY1111" i="5" s="1"/>
  <c r="CC1111" i="5" s="1"/>
  <c r="BT1255" i="5"/>
  <c r="BX1255" i="5" s="1"/>
  <c r="BY1255" i="5" s="1"/>
  <c r="CC1255" i="5" s="1"/>
  <c r="BT1399" i="5"/>
  <c r="BX1399" i="5" s="1"/>
  <c r="BY1399" i="5" s="1"/>
  <c r="CC1399" i="5" s="1"/>
  <c r="BT1691" i="5"/>
  <c r="BX1691" i="5" s="1"/>
  <c r="BY1691" i="5" s="1"/>
  <c r="CC1691" i="5" s="1"/>
  <c r="BT1727" i="5"/>
  <c r="BX1727" i="5" s="1"/>
  <c r="BY1727" i="5" s="1"/>
  <c r="CC1727" i="5" s="1"/>
  <c r="BT1777" i="5"/>
  <c r="BX1777" i="5" s="1"/>
  <c r="BY1777" i="5" s="1"/>
  <c r="CC1777" i="5" s="1"/>
  <c r="BT1837" i="5"/>
  <c r="BX1837" i="5" s="1"/>
  <c r="BY1837" i="5" s="1"/>
  <c r="CC1837" i="5" s="1"/>
  <c r="BT1945" i="5"/>
  <c r="BX1945" i="5" s="1"/>
  <c r="BY1945" i="5" s="1"/>
  <c r="CC1945" i="5" s="1"/>
  <c r="BT1993" i="5"/>
  <c r="BX1993" i="5" s="1"/>
  <c r="BY1993" i="5" s="1"/>
  <c r="CC1993" i="5" s="1"/>
  <c r="BT2005" i="5"/>
  <c r="BX2005" i="5" s="1"/>
  <c r="BY2005" i="5" s="1"/>
  <c r="CC2005" i="5" s="1"/>
  <c r="BT2089" i="5"/>
  <c r="BX2089" i="5" s="1"/>
  <c r="BY2089" i="5" s="1"/>
  <c r="CC2089" i="5" s="1"/>
  <c r="BT2101" i="5"/>
  <c r="BX2101" i="5" s="1"/>
  <c r="BY2101" i="5" s="1"/>
  <c r="CC2101" i="5" s="1"/>
  <c r="BT2113" i="5"/>
  <c r="BX2113" i="5" s="1"/>
  <c r="BY2113" i="5" s="1"/>
  <c r="CC2113" i="5" s="1"/>
  <c r="BT2173" i="5"/>
  <c r="BX2173" i="5" s="1"/>
  <c r="BY2173" i="5" s="1"/>
  <c r="CC2173" i="5" s="1"/>
  <c r="BT2197" i="5"/>
  <c r="BX2197" i="5" s="1"/>
  <c r="BY2197" i="5" s="1"/>
  <c r="CC2197" i="5" s="1"/>
  <c r="BT2221" i="5"/>
  <c r="BX2221" i="5" s="1"/>
  <c r="BY2221" i="5" s="1"/>
  <c r="CC2221" i="5" s="1"/>
  <c r="BT2269" i="5"/>
  <c r="BX2269" i="5" s="1"/>
  <c r="BY2269" i="5" s="1"/>
  <c r="CC2269" i="5" s="1"/>
  <c r="BT2341" i="5"/>
  <c r="BX2341" i="5" s="1"/>
  <c r="BY2341" i="5" s="1"/>
  <c r="CC2341" i="5" s="1"/>
  <c r="BT2389" i="5"/>
  <c r="BX2389" i="5" s="1"/>
  <c r="BY2389" i="5" s="1"/>
  <c r="CC2389" i="5" s="1"/>
  <c r="BT2401" i="5"/>
  <c r="BX2401" i="5" s="1"/>
  <c r="BY2401" i="5" s="1"/>
  <c r="CC2401" i="5" s="1"/>
  <c r="BT2413" i="5"/>
  <c r="BX2413" i="5" s="1"/>
  <c r="BY2413" i="5" s="1"/>
  <c r="CC2413" i="5" s="1"/>
  <c r="BT2449" i="5"/>
  <c r="BX2449" i="5" s="1"/>
  <c r="BY2449" i="5" s="1"/>
  <c r="CC2449" i="5" s="1"/>
  <c r="BT2461" i="5"/>
  <c r="BX2461" i="5" s="1"/>
  <c r="BY2461" i="5" s="1"/>
  <c r="CC2461" i="5" s="1"/>
  <c r="BT1267" i="5"/>
  <c r="BX1267" i="5" s="1"/>
  <c r="BY1267" i="5" s="1"/>
  <c r="CC1267" i="5" s="1"/>
  <c r="BT1555" i="5"/>
  <c r="BX1555" i="5" s="1"/>
  <c r="BY1555" i="5" s="1"/>
  <c r="CC1555" i="5" s="1"/>
  <c r="BT1692" i="5"/>
  <c r="BX1692" i="5" s="1"/>
  <c r="BY1692" i="5" s="1"/>
  <c r="CC1692" i="5" s="1"/>
  <c r="BT1728" i="5"/>
  <c r="BX1728" i="5" s="1"/>
  <c r="BY1728" i="5" s="1"/>
  <c r="CC1728" i="5" s="1"/>
  <c r="BT1790" i="5"/>
  <c r="BX1790" i="5" s="1"/>
  <c r="BY1790" i="5" s="1"/>
  <c r="CC1790" i="5" s="1"/>
  <c r="BT1802" i="5"/>
  <c r="BX1802" i="5" s="1"/>
  <c r="BY1802" i="5" s="1"/>
  <c r="CC1802" i="5" s="1"/>
  <c r="BT1814" i="5"/>
  <c r="BX1814" i="5" s="1"/>
  <c r="BY1814" i="5" s="1"/>
  <c r="CC1814" i="5" s="1"/>
  <c r="BT1874" i="5"/>
  <c r="BX1874" i="5" s="1"/>
  <c r="BY1874" i="5" s="1"/>
  <c r="CC1874" i="5" s="1"/>
  <c r="BT1910" i="5"/>
  <c r="BX1910" i="5" s="1"/>
  <c r="BY1910" i="5" s="1"/>
  <c r="CC1910" i="5" s="1"/>
  <c r="BT1922" i="5"/>
  <c r="BX1922" i="5" s="1"/>
  <c r="BY1922" i="5" s="1"/>
  <c r="CC1922" i="5" s="1"/>
  <c r="BT1934" i="5"/>
  <c r="BX1934" i="5" s="1"/>
  <c r="BY1934" i="5" s="1"/>
  <c r="CC1934" i="5" s="1"/>
  <c r="BT1994" i="5"/>
  <c r="BX1994" i="5" s="1"/>
  <c r="BY1994" i="5" s="1"/>
  <c r="CC1994" i="5" s="1"/>
  <c r="BT2006" i="5"/>
  <c r="BX2006" i="5" s="1"/>
  <c r="BY2006" i="5" s="1"/>
  <c r="CC2006" i="5" s="1"/>
  <c r="BT2054" i="5"/>
  <c r="BX2054" i="5" s="1"/>
  <c r="BY2054" i="5" s="1"/>
  <c r="CC2054" i="5" s="1"/>
  <c r="BT2078" i="5"/>
  <c r="BX2078" i="5" s="1"/>
  <c r="BY2078" i="5" s="1"/>
  <c r="CC2078" i="5" s="1"/>
  <c r="BT2114" i="5"/>
  <c r="BX2114" i="5" s="1"/>
  <c r="BY2114" i="5" s="1"/>
  <c r="CC2114" i="5" s="1"/>
  <c r="BT2162" i="5"/>
  <c r="BX2162" i="5" s="1"/>
  <c r="BY2162" i="5" s="1"/>
  <c r="CC2162" i="5" s="1"/>
  <c r="BT2210" i="5"/>
  <c r="BX2210" i="5" s="1"/>
  <c r="BY2210" i="5" s="1"/>
  <c r="CC2210" i="5" s="1"/>
  <c r="BT2222" i="5"/>
  <c r="BX2222" i="5" s="1"/>
  <c r="BY2222" i="5" s="1"/>
  <c r="CC2222" i="5" s="1"/>
  <c r="BT2282" i="5"/>
  <c r="BX2282" i="5" s="1"/>
  <c r="BY2282" i="5" s="1"/>
  <c r="CC2282" i="5" s="1"/>
  <c r="BT2330" i="5"/>
  <c r="BX2330" i="5" s="1"/>
  <c r="BY2330" i="5" s="1"/>
  <c r="CC2330" i="5" s="1"/>
  <c r="BT2342" i="5"/>
  <c r="BX2342" i="5" s="1"/>
  <c r="BY2342" i="5" s="1"/>
  <c r="CC2342" i="5" s="1"/>
  <c r="BT2354" i="5"/>
  <c r="BX2354" i="5" s="1"/>
  <c r="BY2354" i="5" s="1"/>
  <c r="CC2354" i="5" s="1"/>
  <c r="BT2378" i="5"/>
  <c r="BX2378" i="5" s="1"/>
  <c r="BY2378" i="5" s="1"/>
  <c r="CC2378" i="5" s="1"/>
  <c r="BT2402" i="5"/>
  <c r="BX2402" i="5" s="1"/>
  <c r="BY2402" i="5" s="1"/>
  <c r="CC2402" i="5" s="1"/>
  <c r="BT2414" i="5"/>
  <c r="BX2414" i="5" s="1"/>
  <c r="BY2414" i="5" s="1"/>
  <c r="CC2414" i="5" s="1"/>
  <c r="BT2486" i="5"/>
  <c r="BX2486" i="5" s="1"/>
  <c r="BY2486" i="5" s="1"/>
  <c r="CC2486" i="5" s="1"/>
  <c r="BT1135" i="5"/>
  <c r="BX1135" i="5" s="1"/>
  <c r="BY1135" i="5" s="1"/>
  <c r="CC1135" i="5" s="1"/>
  <c r="BT1279" i="5"/>
  <c r="BX1279" i="5" s="1"/>
  <c r="BY1279" i="5" s="1"/>
  <c r="CC1279" i="5" s="1"/>
  <c r="BT1567" i="5"/>
  <c r="BX1567" i="5" s="1"/>
  <c r="BY1567" i="5" s="1"/>
  <c r="CC1567" i="5" s="1"/>
  <c r="BT1693" i="5"/>
  <c r="BX1693" i="5" s="1"/>
  <c r="BY1693" i="5" s="1"/>
  <c r="CC1693" i="5" s="1"/>
  <c r="BT1729" i="5"/>
  <c r="BX1729" i="5" s="1"/>
  <c r="BY1729" i="5" s="1"/>
  <c r="CC1729" i="5" s="1"/>
  <c r="BT1791" i="5"/>
  <c r="BX1791" i="5" s="1"/>
  <c r="BY1791" i="5" s="1"/>
  <c r="CC1791" i="5" s="1"/>
  <c r="BT1827" i="5"/>
  <c r="BX1827" i="5" s="1"/>
  <c r="BY1827" i="5" s="1"/>
  <c r="CC1827" i="5" s="1"/>
  <c r="BT1851" i="5"/>
  <c r="BX1851" i="5" s="1"/>
  <c r="BY1851" i="5" s="1"/>
  <c r="CC1851" i="5" s="1"/>
  <c r="BT1863" i="5"/>
  <c r="BX1863" i="5" s="1"/>
  <c r="BY1863" i="5" s="1"/>
  <c r="CC1863" i="5" s="1"/>
  <c r="BT1971" i="5"/>
  <c r="BX1971" i="5" s="1"/>
  <c r="BY1971" i="5" s="1"/>
  <c r="CC1971" i="5" s="1"/>
  <c r="BT2031" i="5"/>
  <c r="BX2031" i="5" s="1"/>
  <c r="BY2031" i="5" s="1"/>
  <c r="CC2031" i="5" s="1"/>
  <c r="BT2127" i="5"/>
  <c r="BX2127" i="5" s="1"/>
  <c r="BY2127" i="5" s="1"/>
  <c r="CC2127" i="5" s="1"/>
  <c r="BT2175" i="5"/>
  <c r="BX2175" i="5" s="1"/>
  <c r="BY2175" i="5" s="1"/>
  <c r="CC2175" i="5" s="1"/>
  <c r="BT2379" i="5"/>
  <c r="BX2379" i="5" s="1"/>
  <c r="BY2379" i="5" s="1"/>
  <c r="CC2379" i="5" s="1"/>
  <c r="BT2391" i="5"/>
  <c r="BX2391" i="5" s="1"/>
  <c r="BY2391" i="5" s="1"/>
  <c r="CC2391" i="5" s="1"/>
  <c r="BT2403" i="5"/>
  <c r="BX2403" i="5" s="1"/>
  <c r="BY2403" i="5" s="1"/>
  <c r="CC2403" i="5" s="1"/>
  <c r="BT2415" i="5"/>
  <c r="BX2415" i="5" s="1"/>
  <c r="BY2415" i="5" s="1"/>
  <c r="CC2415" i="5" s="1"/>
  <c r="BT2439" i="5"/>
  <c r="BX2439" i="5" s="1"/>
  <c r="BY2439" i="5" s="1"/>
  <c r="CC2439" i="5" s="1"/>
  <c r="BT2463" i="5"/>
  <c r="BX2463" i="5" s="1"/>
  <c r="BY2463" i="5" s="1"/>
  <c r="CC2463" i="5" s="1"/>
  <c r="BT2475" i="5"/>
  <c r="BX2475" i="5" s="1"/>
  <c r="BY2475" i="5" s="1"/>
  <c r="CC2475" i="5" s="1"/>
  <c r="BT1147" i="5"/>
  <c r="BX1147" i="5" s="1"/>
  <c r="BY1147" i="5" s="1"/>
  <c r="CC1147" i="5" s="1"/>
  <c r="BT1435" i="5"/>
  <c r="BX1435" i="5" s="1"/>
  <c r="BY1435" i="5" s="1"/>
  <c r="CC1435" i="5" s="1"/>
  <c r="BT1579" i="5"/>
  <c r="BX1579" i="5" s="1"/>
  <c r="BY1579" i="5" s="1"/>
  <c r="CC1579" i="5" s="1"/>
  <c r="BT1663" i="5"/>
  <c r="BX1663" i="5" s="1"/>
  <c r="BY1663" i="5" s="1"/>
  <c r="CC1663" i="5" s="1"/>
  <c r="BT1731" i="5"/>
  <c r="BX1731" i="5" s="1"/>
  <c r="BY1731" i="5" s="1"/>
  <c r="CC1731" i="5" s="1"/>
  <c r="BT1756" i="5"/>
  <c r="BX1756" i="5" s="1"/>
  <c r="BY1756" i="5" s="1"/>
  <c r="CC1756" i="5" s="1"/>
  <c r="BT1768" i="5"/>
  <c r="BX1768" i="5" s="1"/>
  <c r="BY1768" i="5" s="1"/>
  <c r="CC1768" i="5" s="1"/>
  <c r="BT1792" i="5"/>
  <c r="BX1792" i="5" s="1"/>
  <c r="BY1792" i="5" s="1"/>
  <c r="CC1792" i="5" s="1"/>
  <c r="BT1804" i="5"/>
  <c r="BX1804" i="5" s="1"/>
  <c r="BY1804" i="5" s="1"/>
  <c r="CC1804" i="5" s="1"/>
  <c r="BT1828" i="5"/>
  <c r="BX1828" i="5" s="1"/>
  <c r="BY1828" i="5" s="1"/>
  <c r="CC1828" i="5" s="1"/>
  <c r="BT1840" i="5"/>
  <c r="BX1840" i="5" s="1"/>
  <c r="BY1840" i="5" s="1"/>
  <c r="CC1840" i="5" s="1"/>
  <c r="BT1852" i="5"/>
  <c r="BX1852" i="5" s="1"/>
  <c r="BY1852" i="5" s="1"/>
  <c r="CC1852" i="5" s="1"/>
  <c r="BT1864" i="5"/>
  <c r="BX1864" i="5" s="1"/>
  <c r="BY1864" i="5" s="1"/>
  <c r="CC1864" i="5" s="1"/>
  <c r="BT1948" i="5"/>
  <c r="BX1948" i="5" s="1"/>
  <c r="BY1948" i="5" s="1"/>
  <c r="CC1948" i="5" s="1"/>
  <c r="BT1960" i="5"/>
  <c r="BX1960" i="5" s="1"/>
  <c r="BY1960" i="5" s="1"/>
  <c r="CC1960" i="5" s="1"/>
  <c r="BT1996" i="5"/>
  <c r="BX1996" i="5" s="1"/>
  <c r="BY1996" i="5" s="1"/>
  <c r="CC1996" i="5" s="1"/>
  <c r="BT2044" i="5"/>
  <c r="BX2044" i="5" s="1"/>
  <c r="BY2044" i="5" s="1"/>
  <c r="CC2044" i="5" s="1"/>
  <c r="BT2152" i="5"/>
  <c r="BX2152" i="5" s="1"/>
  <c r="BY2152" i="5" s="1"/>
  <c r="CC2152" i="5" s="1"/>
  <c r="BT2212" i="5"/>
  <c r="BX2212" i="5" s="1"/>
  <c r="BY2212" i="5" s="1"/>
  <c r="CC2212" i="5" s="1"/>
  <c r="BT2248" i="5"/>
  <c r="BX2248" i="5" s="1"/>
  <c r="BY2248" i="5" s="1"/>
  <c r="CC2248" i="5" s="1"/>
  <c r="BT2296" i="5"/>
  <c r="BX2296" i="5" s="1"/>
  <c r="BY2296" i="5" s="1"/>
  <c r="CC2296" i="5" s="1"/>
  <c r="BT2344" i="5"/>
  <c r="BX2344" i="5" s="1"/>
  <c r="BY2344" i="5" s="1"/>
  <c r="CC2344" i="5" s="1"/>
  <c r="BT2380" i="5"/>
  <c r="BX2380" i="5" s="1"/>
  <c r="BY2380" i="5" s="1"/>
  <c r="CC2380" i="5" s="1"/>
  <c r="BT2440" i="5"/>
  <c r="BX2440" i="5" s="1"/>
  <c r="BY2440" i="5" s="1"/>
  <c r="CC2440" i="5" s="1"/>
  <c r="BT2464" i="5"/>
  <c r="BX2464" i="5" s="1"/>
  <c r="BY2464" i="5" s="1"/>
  <c r="CC2464" i="5" s="1"/>
  <c r="BT1015" i="5"/>
  <c r="BX1015" i="5" s="1"/>
  <c r="BY1015" i="5" s="1"/>
  <c r="CC1015" i="5" s="1"/>
  <c r="BT1303" i="5"/>
  <c r="BX1303" i="5" s="1"/>
  <c r="BY1303" i="5" s="1"/>
  <c r="CC1303" i="5" s="1"/>
  <c r="BT1447" i="5"/>
  <c r="BX1447" i="5" s="1"/>
  <c r="BY1447" i="5" s="1"/>
  <c r="CC1447" i="5" s="1"/>
  <c r="BT1591" i="5"/>
  <c r="BX1591" i="5" s="1"/>
  <c r="BY1591" i="5" s="1"/>
  <c r="CC1591" i="5" s="1"/>
  <c r="BT1667" i="5"/>
  <c r="BX1667" i="5" s="1"/>
  <c r="BY1667" i="5" s="1"/>
  <c r="CC1667" i="5" s="1"/>
  <c r="BT1703" i="5"/>
  <c r="BX1703" i="5" s="1"/>
  <c r="BY1703" i="5" s="1"/>
  <c r="CC1703" i="5" s="1"/>
  <c r="BT1757" i="5"/>
  <c r="BX1757" i="5" s="1"/>
  <c r="BY1757" i="5" s="1"/>
  <c r="CC1757" i="5" s="1"/>
  <c r="BT1781" i="5"/>
  <c r="BX1781" i="5" s="1"/>
  <c r="BY1781" i="5" s="1"/>
  <c r="CC1781" i="5" s="1"/>
  <c r="BT1805" i="5"/>
  <c r="BX1805" i="5" s="1"/>
  <c r="BY1805" i="5" s="1"/>
  <c r="CC1805" i="5" s="1"/>
  <c r="BT1829" i="5"/>
  <c r="BX1829" i="5" s="1"/>
  <c r="BY1829" i="5" s="1"/>
  <c r="CC1829" i="5" s="1"/>
  <c r="BT1877" i="5"/>
  <c r="BX1877" i="5" s="1"/>
  <c r="BY1877" i="5" s="1"/>
  <c r="CC1877" i="5" s="1"/>
  <c r="BT1901" i="5"/>
  <c r="BX1901" i="5" s="1"/>
  <c r="BY1901" i="5" s="1"/>
  <c r="CC1901" i="5" s="1"/>
  <c r="BT1925" i="5"/>
  <c r="BX1925" i="5" s="1"/>
  <c r="BY1925" i="5" s="1"/>
  <c r="CC1925" i="5" s="1"/>
  <c r="BT2033" i="5"/>
  <c r="BX2033" i="5" s="1"/>
  <c r="BY2033" i="5" s="1"/>
  <c r="CC2033" i="5" s="1"/>
  <c r="BT2117" i="5"/>
  <c r="BX2117" i="5" s="1"/>
  <c r="BY2117" i="5" s="1"/>
  <c r="CC2117" i="5" s="1"/>
  <c r="BT2141" i="5"/>
  <c r="BX2141" i="5" s="1"/>
  <c r="BY2141" i="5" s="1"/>
  <c r="CC2141" i="5" s="1"/>
  <c r="BT2201" i="5"/>
  <c r="BX2201" i="5" s="1"/>
  <c r="BY2201" i="5" s="1"/>
  <c r="CC2201" i="5" s="1"/>
  <c r="BT2273" i="5"/>
  <c r="BX2273" i="5" s="1"/>
  <c r="BY2273" i="5" s="1"/>
  <c r="CC2273" i="5" s="1"/>
  <c r="BT2285" i="5"/>
  <c r="BX2285" i="5" s="1"/>
  <c r="BY2285" i="5" s="1"/>
  <c r="CC2285" i="5" s="1"/>
  <c r="BT2297" i="5"/>
  <c r="BX2297" i="5" s="1"/>
  <c r="BY2297" i="5" s="1"/>
  <c r="CC2297" i="5" s="1"/>
  <c r="BT2345" i="5"/>
  <c r="BX2345" i="5" s="1"/>
  <c r="BY2345" i="5" s="1"/>
  <c r="CC2345" i="5" s="1"/>
  <c r="BT2405" i="5"/>
  <c r="BX2405" i="5" s="1"/>
  <c r="BY2405" i="5" s="1"/>
  <c r="CC2405" i="5" s="1"/>
  <c r="BT2453" i="5"/>
  <c r="BX2453" i="5" s="1"/>
  <c r="BY2453" i="5" s="1"/>
  <c r="CC2453" i="5" s="1"/>
  <c r="BT2465" i="5"/>
  <c r="BX2465" i="5" s="1"/>
  <c r="BY2465" i="5" s="1"/>
  <c r="CC2465" i="5" s="1"/>
  <c r="BT2477" i="5"/>
  <c r="BX2477" i="5" s="1"/>
  <c r="BY2477" i="5" s="1"/>
  <c r="CC2477" i="5" s="1"/>
  <c r="BT1027" i="5"/>
  <c r="BX1027" i="5" s="1"/>
  <c r="BY1027" i="5" s="1"/>
  <c r="CC1027" i="5" s="1"/>
  <c r="BT1171" i="5"/>
  <c r="BX1171" i="5" s="1"/>
  <c r="BY1171" i="5" s="1"/>
  <c r="CC1171" i="5" s="1"/>
  <c r="BT1459" i="5"/>
  <c r="BX1459" i="5" s="1"/>
  <c r="BY1459" i="5" s="1"/>
  <c r="CC1459" i="5" s="1"/>
  <c r="BT1668" i="5"/>
  <c r="BX1668" i="5" s="1"/>
  <c r="BY1668" i="5" s="1"/>
  <c r="CC1668" i="5" s="1"/>
  <c r="BT1704" i="5"/>
  <c r="BX1704" i="5" s="1"/>
  <c r="BY1704" i="5" s="1"/>
  <c r="CC1704" i="5" s="1"/>
  <c r="BT1770" i="5"/>
  <c r="BX1770" i="5" s="1"/>
  <c r="BY1770" i="5" s="1"/>
  <c r="CC1770" i="5" s="1"/>
  <c r="BT1818" i="5"/>
  <c r="BX1818" i="5" s="1"/>
  <c r="BY1818" i="5" s="1"/>
  <c r="CC1818" i="5" s="1"/>
  <c r="BT1938" i="5"/>
  <c r="BX1938" i="5" s="1"/>
  <c r="BY1938" i="5" s="1"/>
  <c r="CC1938" i="5" s="1"/>
  <c r="BT2010" i="5"/>
  <c r="BX2010" i="5" s="1"/>
  <c r="BY2010" i="5" s="1"/>
  <c r="CC2010" i="5" s="1"/>
  <c r="BT2022" i="5"/>
  <c r="BX2022" i="5" s="1"/>
  <c r="BY2022" i="5" s="1"/>
  <c r="CC2022" i="5" s="1"/>
  <c r="BT2058" i="5"/>
  <c r="BX2058" i="5" s="1"/>
  <c r="BY2058" i="5" s="1"/>
  <c r="CC2058" i="5" s="1"/>
  <c r="BT2226" i="5"/>
  <c r="BX2226" i="5" s="1"/>
  <c r="BY2226" i="5" s="1"/>
  <c r="CC2226" i="5" s="1"/>
  <c r="BT2238" i="5"/>
  <c r="BX2238" i="5" s="1"/>
  <c r="BY2238" i="5" s="1"/>
  <c r="CC2238" i="5" s="1"/>
  <c r="BT2286" i="5"/>
  <c r="BX2286" i="5" s="1"/>
  <c r="BY2286" i="5" s="1"/>
  <c r="CC2286" i="5" s="1"/>
  <c r="BT2322" i="5"/>
  <c r="BX2322" i="5" s="1"/>
  <c r="BY2322" i="5" s="1"/>
  <c r="CC2322" i="5" s="1"/>
  <c r="BT2418" i="5"/>
  <c r="BX2418" i="5" s="1"/>
  <c r="BY2418" i="5" s="1"/>
  <c r="CC2418" i="5" s="1"/>
  <c r="BT2430" i="5"/>
  <c r="BX2430" i="5" s="1"/>
  <c r="BY2430" i="5" s="1"/>
  <c r="CC2430" i="5" s="1"/>
  <c r="BT2442" i="5"/>
  <c r="BX2442" i="5" s="1"/>
  <c r="BY2442" i="5" s="1"/>
  <c r="CC2442" i="5" s="1"/>
  <c r="BT2478" i="5"/>
  <c r="BX2478" i="5" s="1"/>
  <c r="BY2478" i="5" s="1"/>
  <c r="CC2478" i="5" s="1"/>
  <c r="BT797" i="5"/>
  <c r="BX797" i="5" s="1"/>
  <c r="BY797" i="5" s="1"/>
  <c r="CC797" i="5" s="1"/>
  <c r="BT1039" i="5"/>
  <c r="BX1039" i="5" s="1"/>
  <c r="BY1039" i="5" s="1"/>
  <c r="CC1039" i="5" s="1"/>
  <c r="BT1327" i="5"/>
  <c r="BX1327" i="5" s="1"/>
  <c r="BY1327" i="5" s="1"/>
  <c r="CC1327" i="5" s="1"/>
  <c r="BT1608" i="5"/>
  <c r="BX1608" i="5" s="1"/>
  <c r="BY1608" i="5" s="1"/>
  <c r="CC1608" i="5" s="1"/>
  <c r="BT1669" i="5"/>
  <c r="BX1669" i="5" s="1"/>
  <c r="BY1669" i="5" s="1"/>
  <c r="CC1669" i="5" s="1"/>
  <c r="BT1740" i="5"/>
  <c r="BX1740" i="5" s="1"/>
  <c r="BY1740" i="5" s="1"/>
  <c r="CC1740" i="5" s="1"/>
  <c r="BT1759" i="5"/>
  <c r="BX1759" i="5" s="1"/>
  <c r="BY1759" i="5" s="1"/>
  <c r="CC1759" i="5" s="1"/>
  <c r="BT1771" i="5"/>
  <c r="BX1771" i="5" s="1"/>
  <c r="BY1771" i="5" s="1"/>
  <c r="CC1771" i="5" s="1"/>
  <c r="BT1783" i="5"/>
  <c r="BX1783" i="5" s="1"/>
  <c r="BY1783" i="5" s="1"/>
  <c r="CC1783" i="5" s="1"/>
  <c r="BT1795" i="5"/>
  <c r="BX1795" i="5" s="1"/>
  <c r="BY1795" i="5" s="1"/>
  <c r="CC1795" i="5" s="1"/>
  <c r="BT1843" i="5"/>
  <c r="BX1843" i="5" s="1"/>
  <c r="BY1843" i="5" s="1"/>
  <c r="CC1843" i="5" s="1"/>
  <c r="BT1855" i="5"/>
  <c r="BX1855" i="5" s="1"/>
  <c r="BY1855" i="5" s="1"/>
  <c r="CC1855" i="5" s="1"/>
  <c r="BT1867" i="5"/>
  <c r="BX1867" i="5" s="1"/>
  <c r="BY1867" i="5" s="1"/>
  <c r="CC1867" i="5" s="1"/>
  <c r="BT1891" i="5"/>
  <c r="BX1891" i="5" s="1"/>
  <c r="BY1891" i="5" s="1"/>
  <c r="CC1891" i="5" s="1"/>
  <c r="BT2047" i="5"/>
  <c r="BX2047" i="5" s="1"/>
  <c r="BY2047" i="5" s="1"/>
  <c r="CC2047" i="5" s="1"/>
  <c r="BT2059" i="5"/>
  <c r="BX2059" i="5" s="1"/>
  <c r="BY2059" i="5" s="1"/>
  <c r="CC2059" i="5" s="1"/>
  <c r="BT2071" i="5"/>
  <c r="BX2071" i="5" s="1"/>
  <c r="BY2071" i="5" s="1"/>
  <c r="CC2071" i="5" s="1"/>
  <c r="BT2095" i="5"/>
  <c r="BX2095" i="5" s="1"/>
  <c r="BY2095" i="5" s="1"/>
  <c r="CC2095" i="5" s="1"/>
  <c r="BT2131" i="5"/>
  <c r="BX2131" i="5" s="1"/>
  <c r="BY2131" i="5" s="1"/>
  <c r="CC2131" i="5" s="1"/>
  <c r="BT2167" i="5"/>
  <c r="BX2167" i="5" s="1"/>
  <c r="BY2167" i="5" s="1"/>
  <c r="CC2167" i="5" s="1"/>
  <c r="BT2227" i="5"/>
  <c r="BX2227" i="5" s="1"/>
  <c r="BY2227" i="5" s="1"/>
  <c r="CC2227" i="5" s="1"/>
  <c r="BT2287" i="5"/>
  <c r="BX2287" i="5" s="1"/>
  <c r="BY2287" i="5" s="1"/>
  <c r="CC2287" i="5" s="1"/>
  <c r="BT2311" i="5"/>
  <c r="BX2311" i="5" s="1"/>
  <c r="BY2311" i="5" s="1"/>
  <c r="CC2311" i="5" s="1"/>
  <c r="BT2323" i="5"/>
  <c r="BX2323" i="5" s="1"/>
  <c r="BY2323" i="5" s="1"/>
  <c r="CC2323" i="5" s="1"/>
  <c r="BT2335" i="5"/>
  <c r="BX2335" i="5" s="1"/>
  <c r="BY2335" i="5" s="1"/>
  <c r="CC2335" i="5" s="1"/>
  <c r="BT2371" i="5"/>
  <c r="BX2371" i="5" s="1"/>
  <c r="BY2371" i="5" s="1"/>
  <c r="CC2371" i="5" s="1"/>
  <c r="BT2383" i="5"/>
  <c r="BX2383" i="5" s="1"/>
  <c r="BY2383" i="5" s="1"/>
  <c r="CC2383" i="5" s="1"/>
  <c r="BT2395" i="5"/>
  <c r="BX2395" i="5" s="1"/>
  <c r="BY2395" i="5" s="1"/>
  <c r="CC2395" i="5" s="1"/>
  <c r="BT2419" i="5"/>
  <c r="BX2419" i="5" s="1"/>
  <c r="BY2419" i="5" s="1"/>
  <c r="CC2419" i="5" s="1"/>
  <c r="BT2455" i="5"/>
  <c r="BX2455" i="5" s="1"/>
  <c r="BY2455" i="5" s="1"/>
  <c r="CC2455" i="5" s="1"/>
  <c r="BT2467" i="5"/>
  <c r="BX2467" i="5" s="1"/>
  <c r="BY2467" i="5" s="1"/>
  <c r="CC2467" i="5" s="1"/>
  <c r="BT845" i="5"/>
  <c r="BX845" i="5" s="1"/>
  <c r="BY845" i="5" s="1"/>
  <c r="CC845" i="5" s="1"/>
  <c r="BT1339" i="5"/>
  <c r="BX1339" i="5" s="1"/>
  <c r="BY1339" i="5" s="1"/>
  <c r="CC1339" i="5" s="1"/>
  <c r="BT1483" i="5"/>
  <c r="BX1483" i="5" s="1"/>
  <c r="BY1483" i="5" s="1"/>
  <c r="CC1483" i="5" s="1"/>
  <c r="BT1615" i="5"/>
  <c r="BX1615" i="5" s="1"/>
  <c r="BY1615" i="5" s="1"/>
  <c r="CC1615" i="5" s="1"/>
  <c r="BT1675" i="5"/>
  <c r="BX1675" i="5" s="1"/>
  <c r="BY1675" i="5" s="1"/>
  <c r="CC1675" i="5" s="1"/>
  <c r="BT1711" i="5"/>
  <c r="BX1711" i="5" s="1"/>
  <c r="BY1711" i="5" s="1"/>
  <c r="CC1711" i="5" s="1"/>
  <c r="BT1760" i="5"/>
  <c r="BX1760" i="5" s="1"/>
  <c r="BY1760" i="5" s="1"/>
  <c r="CC1760" i="5" s="1"/>
  <c r="BT1772" i="5"/>
  <c r="BX1772" i="5" s="1"/>
  <c r="BY1772" i="5" s="1"/>
  <c r="CC1772" i="5" s="1"/>
  <c r="BT1784" i="5"/>
  <c r="BX1784" i="5" s="1"/>
  <c r="BY1784" i="5" s="1"/>
  <c r="CC1784" i="5" s="1"/>
  <c r="BT1820" i="5"/>
  <c r="BX1820" i="5" s="1"/>
  <c r="BY1820" i="5" s="1"/>
  <c r="CC1820" i="5" s="1"/>
  <c r="BT1832" i="5"/>
  <c r="BX1832" i="5" s="1"/>
  <c r="BY1832" i="5" s="1"/>
  <c r="CC1832" i="5" s="1"/>
  <c r="BT1856" i="5"/>
  <c r="BX1856" i="5" s="1"/>
  <c r="BY1856" i="5" s="1"/>
  <c r="CC1856" i="5" s="1"/>
  <c r="BT1880" i="5"/>
  <c r="BX1880" i="5" s="1"/>
  <c r="BY1880" i="5" s="1"/>
  <c r="CC1880" i="5" s="1"/>
  <c r="BT1988" i="5"/>
  <c r="BX1988" i="5" s="1"/>
  <c r="BY1988" i="5" s="1"/>
  <c r="CC1988" i="5" s="1"/>
  <c r="BT2000" i="5"/>
  <c r="BX2000" i="5" s="1"/>
  <c r="BY2000" i="5" s="1"/>
  <c r="CC2000" i="5" s="1"/>
  <c r="BT2024" i="5"/>
  <c r="BX2024" i="5" s="1"/>
  <c r="BY2024" i="5" s="1"/>
  <c r="CC2024" i="5" s="1"/>
  <c r="BT2228" i="5"/>
  <c r="BX2228" i="5" s="1"/>
  <c r="BY2228" i="5" s="1"/>
  <c r="CC2228" i="5" s="1"/>
  <c r="BT2300" i="5"/>
  <c r="BX2300" i="5" s="1"/>
  <c r="BY2300" i="5" s="1"/>
  <c r="CC2300" i="5" s="1"/>
  <c r="BT2348" i="5"/>
  <c r="BX2348" i="5" s="1"/>
  <c r="BY2348" i="5" s="1"/>
  <c r="CC2348" i="5" s="1"/>
  <c r="BT2384" i="5"/>
  <c r="BX2384" i="5" s="1"/>
  <c r="BY2384" i="5" s="1"/>
  <c r="CC2384" i="5" s="1"/>
  <c r="BT2396" i="5"/>
  <c r="BX2396" i="5" s="1"/>
  <c r="BY2396" i="5" s="1"/>
  <c r="CC2396" i="5" s="1"/>
  <c r="BT2408" i="5"/>
  <c r="BX2408" i="5" s="1"/>
  <c r="BY2408" i="5" s="1"/>
  <c r="CC2408" i="5" s="1"/>
  <c r="BT2420" i="5"/>
  <c r="BX2420" i="5" s="1"/>
  <c r="BY2420" i="5" s="1"/>
  <c r="CC2420" i="5" s="1"/>
  <c r="BT2432" i="5"/>
  <c r="BX2432" i="5" s="1"/>
  <c r="BY2432" i="5" s="1"/>
  <c r="CC2432" i="5" s="1"/>
  <c r="BT893" i="5"/>
  <c r="BX893" i="5" s="1"/>
  <c r="BY893" i="5" s="1"/>
  <c r="CC893" i="5" s="1"/>
  <c r="BT1063" i="5"/>
  <c r="BX1063" i="5" s="1"/>
  <c r="BY1063" i="5" s="1"/>
  <c r="CC1063" i="5" s="1"/>
  <c r="BT1351" i="5"/>
  <c r="BX1351" i="5" s="1"/>
  <c r="BY1351" i="5" s="1"/>
  <c r="CC1351" i="5" s="1"/>
  <c r="BT1495" i="5"/>
  <c r="BX1495" i="5" s="1"/>
  <c r="BY1495" i="5" s="1"/>
  <c r="CC1495" i="5" s="1"/>
  <c r="BT1679" i="5"/>
  <c r="BX1679" i="5" s="1"/>
  <c r="BY1679" i="5" s="1"/>
  <c r="CC1679" i="5" s="1"/>
  <c r="BT1785" i="5"/>
  <c r="BX1785" i="5" s="1"/>
  <c r="BY1785" i="5" s="1"/>
  <c r="CC1785" i="5" s="1"/>
  <c r="BT1821" i="5"/>
  <c r="BX1821" i="5" s="1"/>
  <c r="BY1821" i="5" s="1"/>
  <c r="CC1821" i="5" s="1"/>
  <c r="BT1857" i="5"/>
  <c r="BX1857" i="5" s="1"/>
  <c r="BY1857" i="5" s="1"/>
  <c r="CC1857" i="5" s="1"/>
  <c r="BT1893" i="5"/>
  <c r="BX1893" i="5" s="1"/>
  <c r="BY1893" i="5" s="1"/>
  <c r="CC1893" i="5" s="1"/>
  <c r="BT1905" i="5"/>
  <c r="BX1905" i="5" s="1"/>
  <c r="BY1905" i="5" s="1"/>
  <c r="CC1905" i="5" s="1"/>
  <c r="BT1929" i="5"/>
  <c r="BX1929" i="5" s="1"/>
  <c r="BY1929" i="5" s="1"/>
  <c r="CC1929" i="5" s="1"/>
  <c r="BT1989" i="5"/>
  <c r="BX1989" i="5" s="1"/>
  <c r="BY1989" i="5" s="1"/>
  <c r="CC1989" i="5" s="1"/>
  <c r="BT2025" i="5"/>
  <c r="BX2025" i="5" s="1"/>
  <c r="BY2025" i="5" s="1"/>
  <c r="CC2025" i="5" s="1"/>
  <c r="BT2037" i="5"/>
  <c r="BX2037" i="5" s="1"/>
  <c r="BY2037" i="5" s="1"/>
  <c r="CC2037" i="5" s="1"/>
  <c r="BT2049" i="5"/>
  <c r="BX2049" i="5" s="1"/>
  <c r="BY2049" i="5" s="1"/>
  <c r="CC2049" i="5" s="1"/>
  <c r="BT2061" i="5"/>
  <c r="BX2061" i="5" s="1"/>
  <c r="BY2061" i="5" s="1"/>
  <c r="CC2061" i="5" s="1"/>
  <c r="BT2097" i="5"/>
  <c r="BX2097" i="5" s="1"/>
  <c r="BY2097" i="5" s="1"/>
  <c r="CC2097" i="5" s="1"/>
  <c r="BT2109" i="5"/>
  <c r="BX2109" i="5" s="1"/>
  <c r="BY2109" i="5" s="1"/>
  <c r="CC2109" i="5" s="1"/>
  <c r="BT2121" i="5"/>
  <c r="BX2121" i="5" s="1"/>
  <c r="BY2121" i="5" s="1"/>
  <c r="CC2121" i="5" s="1"/>
  <c r="BT2145" i="5"/>
  <c r="BX2145" i="5" s="1"/>
  <c r="BY2145" i="5" s="1"/>
  <c r="CC2145" i="5" s="1"/>
  <c r="BT2205" i="5"/>
  <c r="BX2205" i="5" s="1"/>
  <c r="BY2205" i="5" s="1"/>
  <c r="CC2205" i="5" s="1"/>
  <c r="BT2229" i="5"/>
  <c r="BX2229" i="5" s="1"/>
  <c r="BY2229" i="5" s="1"/>
  <c r="CC2229" i="5" s="1"/>
  <c r="BT2289" i="5"/>
  <c r="BX2289" i="5" s="1"/>
  <c r="BY2289" i="5" s="1"/>
  <c r="CC2289" i="5" s="1"/>
  <c r="BT2325" i="5"/>
  <c r="BX2325" i="5" s="1"/>
  <c r="BY2325" i="5" s="1"/>
  <c r="CC2325" i="5" s="1"/>
  <c r="BT2337" i="5"/>
  <c r="BX2337" i="5" s="1"/>
  <c r="BY2337" i="5" s="1"/>
  <c r="CC2337" i="5" s="1"/>
  <c r="BT2397" i="5"/>
  <c r="BX2397" i="5" s="1"/>
  <c r="BY2397" i="5" s="1"/>
  <c r="CC2397" i="5" s="1"/>
  <c r="BT2433" i="5"/>
  <c r="BX2433" i="5" s="1"/>
  <c r="BY2433" i="5" s="1"/>
  <c r="CC2433" i="5" s="1"/>
  <c r="BT1075" i="5"/>
  <c r="BX1075" i="5" s="1"/>
  <c r="BY1075" i="5" s="1"/>
  <c r="CC1075" i="5" s="1"/>
  <c r="BT1363" i="5"/>
  <c r="BX1363" i="5" s="1"/>
  <c r="BY1363" i="5" s="1"/>
  <c r="CC1363" i="5" s="1"/>
  <c r="BT1507" i="5"/>
  <c r="BX1507" i="5" s="1"/>
  <c r="BY1507" i="5" s="1"/>
  <c r="CC1507" i="5" s="1"/>
  <c r="BT1680" i="5"/>
  <c r="BX1680" i="5" s="1"/>
  <c r="BY1680" i="5" s="1"/>
  <c r="CC1680" i="5" s="1"/>
  <c r="BT1716" i="5"/>
  <c r="BX1716" i="5" s="1"/>
  <c r="BY1716" i="5" s="1"/>
  <c r="CC1716" i="5" s="1"/>
  <c r="BT1745" i="5"/>
  <c r="BX1745" i="5" s="1"/>
  <c r="BY1745" i="5" s="1"/>
  <c r="CC1745" i="5" s="1"/>
  <c r="BT1786" i="5"/>
  <c r="BX1786" i="5" s="1"/>
  <c r="BY1786" i="5" s="1"/>
  <c r="CC1786" i="5" s="1"/>
  <c r="BT1810" i="5"/>
  <c r="BX1810" i="5" s="1"/>
  <c r="BY1810" i="5" s="1"/>
  <c r="CC1810" i="5" s="1"/>
  <c r="BT1846" i="5"/>
  <c r="BX1846" i="5" s="1"/>
  <c r="BY1846" i="5" s="1"/>
  <c r="CC1846" i="5" s="1"/>
  <c r="BT1858" i="5"/>
  <c r="BX1858" i="5" s="1"/>
  <c r="BY1858" i="5" s="1"/>
  <c r="CC1858" i="5" s="1"/>
  <c r="BT1870" i="5"/>
  <c r="BX1870" i="5" s="1"/>
  <c r="BY1870" i="5" s="1"/>
  <c r="CC1870" i="5" s="1"/>
  <c r="BT1918" i="5"/>
  <c r="BX1918" i="5" s="1"/>
  <c r="BY1918" i="5" s="1"/>
  <c r="CC1918" i="5" s="1"/>
  <c r="BT1930" i="5"/>
  <c r="BX1930" i="5" s="1"/>
  <c r="BY1930" i="5" s="1"/>
  <c r="CC1930" i="5" s="1"/>
  <c r="BT1990" i="5"/>
  <c r="BX1990" i="5" s="1"/>
  <c r="BY1990" i="5" s="1"/>
  <c r="CC1990" i="5" s="1"/>
  <c r="BT2014" i="5"/>
  <c r="BX2014" i="5" s="1"/>
  <c r="BY2014" i="5" s="1"/>
  <c r="CC2014" i="5" s="1"/>
  <c r="BT2050" i="5"/>
  <c r="BX2050" i="5" s="1"/>
  <c r="BY2050" i="5" s="1"/>
  <c r="CC2050" i="5" s="1"/>
  <c r="BT2098" i="5"/>
  <c r="BX2098" i="5" s="1"/>
  <c r="BY2098" i="5" s="1"/>
  <c r="CC2098" i="5" s="1"/>
  <c r="BT2182" i="5"/>
  <c r="BX2182" i="5" s="1"/>
  <c r="BY2182" i="5" s="1"/>
  <c r="CC2182" i="5" s="1"/>
  <c r="BT2254" i="5"/>
  <c r="BX2254" i="5" s="1"/>
  <c r="BY2254" i="5" s="1"/>
  <c r="CC2254" i="5" s="1"/>
  <c r="BT2338" i="5"/>
  <c r="BX2338" i="5" s="1"/>
  <c r="BY2338" i="5" s="1"/>
  <c r="CC2338" i="5" s="1"/>
  <c r="BT2350" i="5"/>
  <c r="BX2350" i="5" s="1"/>
  <c r="BY2350" i="5" s="1"/>
  <c r="CC2350" i="5" s="1"/>
  <c r="BT2374" i="5"/>
  <c r="BX2374" i="5" s="1"/>
  <c r="BY2374" i="5" s="1"/>
  <c r="CC2374" i="5" s="1"/>
  <c r="BT2422" i="5"/>
  <c r="BX2422" i="5" s="1"/>
  <c r="BY2422" i="5" s="1"/>
  <c r="CC2422" i="5" s="1"/>
  <c r="BT2434" i="5"/>
  <c r="BX2434" i="5" s="1"/>
  <c r="BY2434" i="5" s="1"/>
  <c r="CC2434" i="5" s="1"/>
  <c r="BT2470" i="5"/>
  <c r="BX2470" i="5" s="1"/>
  <c r="BY2470" i="5" s="1"/>
  <c r="CC2470" i="5" s="1"/>
  <c r="BT1087" i="5"/>
  <c r="BX1087" i="5" s="1"/>
  <c r="BY1087" i="5" s="1"/>
  <c r="CC1087" i="5" s="1"/>
  <c r="BT1231" i="5"/>
  <c r="BX1231" i="5" s="1"/>
  <c r="BY1231" i="5" s="1"/>
  <c r="CC1231" i="5" s="1"/>
  <c r="BT1681" i="5"/>
  <c r="BX1681" i="5" s="1"/>
  <c r="BY1681" i="5" s="1"/>
  <c r="CC1681" i="5" s="1"/>
  <c r="BT1787" i="5"/>
  <c r="BX1787" i="5" s="1"/>
  <c r="BY1787" i="5" s="1"/>
  <c r="CC1787" i="5" s="1"/>
  <c r="BT1823" i="5"/>
  <c r="BX1823" i="5" s="1"/>
  <c r="BY1823" i="5" s="1"/>
  <c r="CC1823" i="5" s="1"/>
  <c r="BT1835" i="5"/>
  <c r="BX1835" i="5" s="1"/>
  <c r="BY1835" i="5" s="1"/>
  <c r="CC1835" i="5" s="1"/>
  <c r="BT1847" i="5"/>
  <c r="BX1847" i="5" s="1"/>
  <c r="BY1847" i="5" s="1"/>
  <c r="CC1847" i="5" s="1"/>
  <c r="BT1967" i="5"/>
  <c r="BX1967" i="5" s="1"/>
  <c r="BY1967" i="5" s="1"/>
  <c r="CC1967" i="5" s="1"/>
  <c r="BT1979" i="5"/>
  <c r="BX1979" i="5" s="1"/>
  <c r="BY1979" i="5" s="1"/>
  <c r="CC1979" i="5" s="1"/>
  <c r="BT2039" i="5"/>
  <c r="BX2039" i="5" s="1"/>
  <c r="BY2039" i="5" s="1"/>
  <c r="CC2039" i="5" s="1"/>
  <c r="BT2063" i="5"/>
  <c r="BX2063" i="5" s="1"/>
  <c r="BY2063" i="5" s="1"/>
  <c r="CC2063" i="5" s="1"/>
  <c r="BT2111" i="5"/>
  <c r="BX2111" i="5" s="1"/>
  <c r="BY2111" i="5" s="1"/>
  <c r="CC2111" i="5" s="1"/>
  <c r="BT2291" i="5"/>
  <c r="BX2291" i="5" s="1"/>
  <c r="BY2291" i="5" s="1"/>
  <c r="CC2291" i="5" s="1"/>
  <c r="BT2339" i="5"/>
  <c r="BX2339" i="5" s="1"/>
  <c r="BY2339" i="5" s="1"/>
  <c r="CC2339" i="5" s="1"/>
  <c r="BT2351" i="5"/>
  <c r="BX2351" i="5" s="1"/>
  <c r="BY2351" i="5" s="1"/>
  <c r="CC2351" i="5" s="1"/>
  <c r="BT2375" i="5"/>
  <c r="BX2375" i="5" s="1"/>
  <c r="BY2375" i="5" s="1"/>
  <c r="CC2375" i="5" s="1"/>
  <c r="BT2399" i="5"/>
  <c r="BX2399" i="5" s="1"/>
  <c r="BY2399" i="5" s="1"/>
  <c r="CC2399" i="5" s="1"/>
  <c r="BT2423" i="5"/>
  <c r="BX2423" i="5" s="1"/>
  <c r="BY2423" i="5" s="1"/>
  <c r="CC2423" i="5" s="1"/>
  <c r="BT2459" i="5"/>
  <c r="BX2459" i="5" s="1"/>
  <c r="BY2459" i="5" s="1"/>
  <c r="CC2459" i="5" s="1"/>
  <c r="BT2483" i="5"/>
  <c r="BX2483" i="5" s="1"/>
  <c r="BY2483" i="5" s="1"/>
  <c r="CC2483" i="5" s="1"/>
  <c r="BT955" i="5"/>
  <c r="BX955" i="5" s="1"/>
  <c r="BY955" i="5" s="1"/>
  <c r="CC955" i="5" s="1"/>
  <c r="BT1099" i="5"/>
  <c r="BX1099" i="5" s="1"/>
  <c r="BY1099" i="5" s="1"/>
  <c r="CC1099" i="5" s="1"/>
  <c r="BT1531" i="5"/>
  <c r="BX1531" i="5" s="1"/>
  <c r="BY1531" i="5" s="1"/>
  <c r="CC1531" i="5" s="1"/>
  <c r="BT1764" i="5"/>
  <c r="BX1764" i="5" s="1"/>
  <c r="BY1764" i="5" s="1"/>
  <c r="CC1764" i="5" s="1"/>
  <c r="BT1788" i="5"/>
  <c r="BX1788" i="5" s="1"/>
  <c r="BY1788" i="5" s="1"/>
  <c r="CC1788" i="5" s="1"/>
  <c r="BT1800" i="5"/>
  <c r="BX1800" i="5" s="1"/>
  <c r="BY1800" i="5" s="1"/>
  <c r="CC1800" i="5" s="1"/>
  <c r="BT1812" i="5"/>
  <c r="BX1812" i="5" s="1"/>
  <c r="BY1812" i="5" s="1"/>
  <c r="CC1812" i="5" s="1"/>
  <c r="BT1884" i="5"/>
  <c r="BX1884" i="5" s="1"/>
  <c r="BY1884" i="5" s="1"/>
  <c r="CC1884" i="5" s="1"/>
  <c r="BT1956" i="5"/>
  <c r="BX1956" i="5" s="1"/>
  <c r="BY1956" i="5" s="1"/>
  <c r="CC1956" i="5" s="1"/>
  <c r="BT1992" i="5"/>
  <c r="BX1992" i="5" s="1"/>
  <c r="BY1992" i="5" s="1"/>
  <c r="CC1992" i="5" s="1"/>
  <c r="BT2124" i="5"/>
  <c r="BX2124" i="5" s="1"/>
  <c r="BY2124" i="5" s="1"/>
  <c r="CC2124" i="5" s="1"/>
  <c r="BT2148" i="5"/>
  <c r="BX2148" i="5" s="1"/>
  <c r="BY2148" i="5" s="1"/>
  <c r="CC2148" i="5" s="1"/>
  <c r="BT2172" i="5"/>
  <c r="BX2172" i="5" s="1"/>
  <c r="BY2172" i="5" s="1"/>
  <c r="CC2172" i="5" s="1"/>
  <c r="BT2256" i="5"/>
  <c r="BX2256" i="5" s="1"/>
  <c r="BY2256" i="5" s="1"/>
  <c r="CC2256" i="5" s="1"/>
  <c r="BT2280" i="5"/>
  <c r="BX2280" i="5" s="1"/>
  <c r="BY2280" i="5" s="1"/>
  <c r="CC2280" i="5" s="1"/>
  <c r="BT2340" i="5"/>
  <c r="BX2340" i="5" s="1"/>
  <c r="BY2340" i="5" s="1"/>
  <c r="CC2340" i="5" s="1"/>
  <c r="BT2376" i="5"/>
  <c r="BX2376" i="5" s="1"/>
  <c r="BY2376" i="5" s="1"/>
  <c r="CC2376" i="5" s="1"/>
  <c r="BT2400" i="5"/>
  <c r="BX2400" i="5" s="1"/>
  <c r="BY2400" i="5" s="1"/>
  <c r="CC2400" i="5" s="1"/>
  <c r="BT2424" i="5"/>
  <c r="BX2424" i="5" s="1"/>
  <c r="BY2424" i="5" s="1"/>
  <c r="CC2424" i="5" s="1"/>
  <c r="BT2436" i="5"/>
  <c r="BX2436" i="5" s="1"/>
  <c r="BY2436" i="5" s="1"/>
  <c r="CC2436" i="5" s="1"/>
  <c r="BT2448" i="5"/>
  <c r="BX2448" i="5" s="1"/>
  <c r="BY2448" i="5" s="1"/>
  <c r="CC2448" i="5" s="1"/>
  <c r="BT2484" i="5"/>
  <c r="BX2484" i="5" s="1"/>
  <c r="BY2484" i="5" s="1"/>
  <c r="CC2484" i="5" s="1"/>
  <c r="BT6" i="5"/>
  <c r="BX6" i="5" s="1"/>
  <c r="BY6" i="5" s="1"/>
  <c r="CC6" i="5" s="1"/>
  <c r="BT18" i="5"/>
  <c r="BX18" i="5" s="1"/>
  <c r="BY18" i="5" s="1"/>
  <c r="CC18" i="5" s="1"/>
  <c r="BT30" i="5"/>
  <c r="BX30" i="5" s="1"/>
  <c r="BY30" i="5" s="1"/>
  <c r="CC30" i="5" s="1"/>
  <c r="BT42" i="5"/>
  <c r="BX42" i="5" s="1"/>
  <c r="BY42" i="5" s="1"/>
  <c r="CC42" i="5" s="1"/>
  <c r="BT54" i="5"/>
  <c r="BX54" i="5" s="1"/>
  <c r="BY54" i="5" s="1"/>
  <c r="CC54" i="5" s="1"/>
  <c r="BT66" i="5"/>
  <c r="BX66" i="5" s="1"/>
  <c r="BY66" i="5" s="1"/>
  <c r="CC66" i="5" s="1"/>
  <c r="BT78" i="5"/>
  <c r="BX78" i="5" s="1"/>
  <c r="BY78" i="5" s="1"/>
  <c r="CC78" i="5" s="1"/>
  <c r="BT90" i="5"/>
  <c r="BX90" i="5" s="1"/>
  <c r="BY90" i="5" s="1"/>
  <c r="CC90" i="5" s="1"/>
  <c r="BT102" i="5"/>
  <c r="BX102" i="5" s="1"/>
  <c r="BY102" i="5" s="1"/>
  <c r="CC102" i="5" s="1"/>
  <c r="BT114" i="5"/>
  <c r="BX114" i="5" s="1"/>
  <c r="BY114" i="5" s="1"/>
  <c r="CC114" i="5" s="1"/>
  <c r="BT138" i="5"/>
  <c r="BX138" i="5" s="1"/>
  <c r="BY138" i="5" s="1"/>
  <c r="CC138" i="5" s="1"/>
  <c r="BT150" i="5"/>
  <c r="BX150" i="5" s="1"/>
  <c r="BY150" i="5" s="1"/>
  <c r="CC150" i="5" s="1"/>
  <c r="BT162" i="5"/>
  <c r="BX162" i="5" s="1"/>
  <c r="BY162" i="5" s="1"/>
  <c r="CC162" i="5" s="1"/>
  <c r="BT174" i="5"/>
  <c r="BX174" i="5" s="1"/>
  <c r="BY174" i="5" s="1"/>
  <c r="CC174" i="5" s="1"/>
  <c r="BT234" i="5"/>
  <c r="BX234" i="5" s="1"/>
  <c r="BY234" i="5" s="1"/>
  <c r="CC234" i="5" s="1"/>
  <c r="BT270" i="5"/>
  <c r="BX270" i="5" s="1"/>
  <c r="BY270" i="5" s="1"/>
  <c r="CC270" i="5" s="1"/>
  <c r="BT282" i="5"/>
  <c r="BX282" i="5" s="1"/>
  <c r="BY282" i="5" s="1"/>
  <c r="CC282" i="5" s="1"/>
  <c r="BT306" i="5"/>
  <c r="BX306" i="5" s="1"/>
  <c r="BY306" i="5" s="1"/>
  <c r="CC306" i="5" s="1"/>
  <c r="BT330" i="5"/>
  <c r="BX330" i="5" s="1"/>
  <c r="BY330" i="5" s="1"/>
  <c r="CC330" i="5" s="1"/>
  <c r="BT342" i="5"/>
  <c r="BX342" i="5" s="1"/>
  <c r="BY342" i="5" s="1"/>
  <c r="CC342" i="5" s="1"/>
  <c r="BT354" i="5"/>
  <c r="BX354" i="5" s="1"/>
  <c r="BY354" i="5" s="1"/>
  <c r="CC354" i="5" s="1"/>
  <c r="BT378" i="5"/>
  <c r="BX378" i="5" s="1"/>
  <c r="BY378" i="5" s="1"/>
  <c r="CC378" i="5" s="1"/>
  <c r="BT390" i="5"/>
  <c r="BX390" i="5" s="1"/>
  <c r="BY390" i="5" s="1"/>
  <c r="CC390" i="5" s="1"/>
  <c r="BT462" i="5"/>
  <c r="BX462" i="5" s="1"/>
  <c r="BY462" i="5" s="1"/>
  <c r="CC462" i="5" s="1"/>
  <c r="BT474" i="5"/>
  <c r="BX474" i="5" s="1"/>
  <c r="BY474" i="5" s="1"/>
  <c r="CC474" i="5" s="1"/>
  <c r="BT486" i="5"/>
  <c r="BX486" i="5" s="1"/>
  <c r="BY486" i="5" s="1"/>
  <c r="CC486" i="5" s="1"/>
  <c r="BT534" i="5"/>
  <c r="BX534" i="5" s="1"/>
  <c r="BY534" i="5" s="1"/>
  <c r="CC534" i="5" s="1"/>
  <c r="BT546" i="5"/>
  <c r="BX546" i="5" s="1"/>
  <c r="BY546" i="5" s="1"/>
  <c r="CC546" i="5" s="1"/>
  <c r="BT558" i="5"/>
  <c r="BX558" i="5" s="1"/>
  <c r="BY558" i="5" s="1"/>
  <c r="CC558" i="5" s="1"/>
  <c r="BT714" i="5"/>
  <c r="BX714" i="5" s="1"/>
  <c r="BY714" i="5" s="1"/>
  <c r="CC714" i="5" s="1"/>
  <c r="BT726" i="5"/>
  <c r="BX726" i="5" s="1"/>
  <c r="BY726" i="5" s="1"/>
  <c r="CC726" i="5" s="1"/>
  <c r="BT738" i="5"/>
  <c r="BX738" i="5" s="1"/>
  <c r="BY738" i="5" s="1"/>
  <c r="CC738" i="5" s="1"/>
  <c r="BT810" i="5"/>
  <c r="BX810" i="5" s="1"/>
  <c r="BY810" i="5" s="1"/>
  <c r="CC810" i="5" s="1"/>
  <c r="BT894" i="5"/>
  <c r="BX894" i="5" s="1"/>
  <c r="BY894" i="5" s="1"/>
  <c r="CC894" i="5" s="1"/>
  <c r="BT43" i="5"/>
  <c r="BX43" i="5" s="1"/>
  <c r="BY43" i="5" s="1"/>
  <c r="CC43" i="5" s="1"/>
  <c r="BT55" i="5"/>
  <c r="BX55" i="5" s="1"/>
  <c r="BY55" i="5" s="1"/>
  <c r="CC55" i="5" s="1"/>
  <c r="BT67" i="5"/>
  <c r="BX67" i="5" s="1"/>
  <c r="BY67" i="5" s="1"/>
  <c r="CC67" i="5" s="1"/>
  <c r="BT79" i="5"/>
  <c r="BX79" i="5" s="1"/>
  <c r="BY79" i="5" s="1"/>
  <c r="CC79" i="5" s="1"/>
  <c r="BT91" i="5"/>
  <c r="BX91" i="5" s="1"/>
  <c r="BY91" i="5" s="1"/>
  <c r="CC91" i="5" s="1"/>
  <c r="BT103" i="5"/>
  <c r="BX103" i="5" s="1"/>
  <c r="BY103" i="5" s="1"/>
  <c r="CC103" i="5" s="1"/>
  <c r="BT115" i="5"/>
  <c r="BX115" i="5" s="1"/>
  <c r="BY115" i="5" s="1"/>
  <c r="CC115" i="5" s="1"/>
  <c r="BT127" i="5"/>
  <c r="BX127" i="5" s="1"/>
  <c r="BY127" i="5" s="1"/>
  <c r="CC127" i="5" s="1"/>
  <c r="BT139" i="5"/>
  <c r="BX139" i="5" s="1"/>
  <c r="BY139" i="5" s="1"/>
  <c r="CC139" i="5" s="1"/>
  <c r="BT163" i="5"/>
  <c r="BX163" i="5" s="1"/>
  <c r="BY163" i="5" s="1"/>
  <c r="CC163" i="5" s="1"/>
  <c r="BT175" i="5"/>
  <c r="BX175" i="5" s="1"/>
  <c r="BY175" i="5" s="1"/>
  <c r="CC175" i="5" s="1"/>
  <c r="BT187" i="5"/>
  <c r="BX187" i="5" s="1"/>
  <c r="BY187" i="5" s="1"/>
  <c r="CC187" i="5" s="1"/>
  <c r="BT199" i="5"/>
  <c r="BX199" i="5" s="1"/>
  <c r="BY199" i="5" s="1"/>
  <c r="CC199" i="5" s="1"/>
  <c r="BT223" i="5"/>
  <c r="BX223" i="5" s="1"/>
  <c r="BY223" i="5" s="1"/>
  <c r="CC223" i="5" s="1"/>
  <c r="BT235" i="5"/>
  <c r="BX235" i="5" s="1"/>
  <c r="BY235" i="5" s="1"/>
  <c r="CC235" i="5" s="1"/>
  <c r="BT259" i="5"/>
  <c r="BX259" i="5" s="1"/>
  <c r="BY259" i="5" s="1"/>
  <c r="CC259" i="5" s="1"/>
  <c r="BT271" i="5"/>
  <c r="BX271" i="5" s="1"/>
  <c r="BY271" i="5" s="1"/>
  <c r="CC271" i="5" s="1"/>
  <c r="BT295" i="5"/>
  <c r="BX295" i="5" s="1"/>
  <c r="BY295" i="5" s="1"/>
  <c r="CC295" i="5" s="1"/>
  <c r="BT355" i="5"/>
  <c r="BX355" i="5" s="1"/>
  <c r="BY355" i="5" s="1"/>
  <c r="CC355" i="5" s="1"/>
  <c r="BT367" i="5"/>
  <c r="BX367" i="5" s="1"/>
  <c r="BY367" i="5" s="1"/>
  <c r="CC367" i="5" s="1"/>
  <c r="BT391" i="5"/>
  <c r="BX391" i="5" s="1"/>
  <c r="BY391" i="5" s="1"/>
  <c r="CC391" i="5" s="1"/>
  <c r="BT451" i="5"/>
  <c r="BX451" i="5" s="1"/>
  <c r="BY451" i="5" s="1"/>
  <c r="CC451" i="5" s="1"/>
  <c r="BT463" i="5"/>
  <c r="BX463" i="5" s="1"/>
  <c r="BY463" i="5" s="1"/>
  <c r="CC463" i="5" s="1"/>
  <c r="BT487" i="5"/>
  <c r="BX487" i="5" s="1"/>
  <c r="BY487" i="5" s="1"/>
  <c r="CC487" i="5" s="1"/>
  <c r="BT523" i="5"/>
  <c r="BX523" i="5" s="1"/>
  <c r="BY523" i="5" s="1"/>
  <c r="CC523" i="5" s="1"/>
  <c r="BT535" i="5"/>
  <c r="BX535" i="5" s="1"/>
  <c r="BY535" i="5" s="1"/>
  <c r="CC535" i="5" s="1"/>
  <c r="BT547" i="5"/>
  <c r="BX547" i="5" s="1"/>
  <c r="BY547" i="5" s="1"/>
  <c r="CC547" i="5" s="1"/>
  <c r="BT559" i="5"/>
  <c r="BX559" i="5" s="1"/>
  <c r="BY559" i="5" s="1"/>
  <c r="CC559" i="5" s="1"/>
  <c r="BT595" i="5"/>
  <c r="BX595" i="5" s="1"/>
  <c r="BY595" i="5" s="1"/>
  <c r="CC595" i="5" s="1"/>
  <c r="BT619" i="5"/>
  <c r="BX619" i="5" s="1"/>
  <c r="BY619" i="5" s="1"/>
  <c r="CC619" i="5" s="1"/>
  <c r="BT655" i="5"/>
  <c r="BX655" i="5" s="1"/>
  <c r="BY655" i="5" s="1"/>
  <c r="CC655" i="5" s="1"/>
  <c r="BT691" i="5"/>
  <c r="BX691" i="5" s="1"/>
  <c r="BY691" i="5" s="1"/>
  <c r="CC691" i="5" s="1"/>
  <c r="BT715" i="5"/>
  <c r="BX715" i="5" s="1"/>
  <c r="BY715" i="5" s="1"/>
  <c r="CC715" i="5" s="1"/>
  <c r="BT751" i="5"/>
  <c r="BX751" i="5" s="1"/>
  <c r="BY751" i="5" s="1"/>
  <c r="CC751" i="5" s="1"/>
  <c r="BT787" i="5"/>
  <c r="BX787" i="5" s="1"/>
  <c r="BY787" i="5" s="1"/>
  <c r="CC787" i="5" s="1"/>
  <c r="BT811" i="5"/>
  <c r="BX811" i="5" s="1"/>
  <c r="BY811" i="5" s="1"/>
  <c r="CC811" i="5" s="1"/>
  <c r="BT835" i="5"/>
  <c r="BX835" i="5" s="1"/>
  <c r="BY835" i="5" s="1"/>
  <c r="CC835" i="5" s="1"/>
  <c r="BT8" i="5"/>
  <c r="BX8" i="5" s="1"/>
  <c r="BY8" i="5" s="1"/>
  <c r="CC8" i="5" s="1"/>
  <c r="BT20" i="5"/>
  <c r="BX20" i="5" s="1"/>
  <c r="BY20" i="5" s="1"/>
  <c r="CC20" i="5" s="1"/>
  <c r="BT32" i="5"/>
  <c r="BX32" i="5" s="1"/>
  <c r="BY32" i="5" s="1"/>
  <c r="CC32" i="5" s="1"/>
  <c r="BT44" i="5"/>
  <c r="BX44" i="5" s="1"/>
  <c r="BY44" i="5" s="1"/>
  <c r="CC44" i="5" s="1"/>
  <c r="BT56" i="5"/>
  <c r="BX56" i="5" s="1"/>
  <c r="BY56" i="5" s="1"/>
  <c r="CC56" i="5" s="1"/>
  <c r="BT80" i="5"/>
  <c r="BX80" i="5" s="1"/>
  <c r="BY80" i="5" s="1"/>
  <c r="CC80" i="5" s="1"/>
  <c r="BT92" i="5"/>
  <c r="BX92" i="5" s="1"/>
  <c r="BY92" i="5" s="1"/>
  <c r="CC92" i="5" s="1"/>
  <c r="BT116" i="5"/>
  <c r="BX116" i="5" s="1"/>
  <c r="BY116" i="5" s="1"/>
  <c r="CC116" i="5" s="1"/>
  <c r="BT128" i="5"/>
  <c r="BX128" i="5" s="1"/>
  <c r="BY128" i="5" s="1"/>
  <c r="CC128" i="5" s="1"/>
  <c r="BT140" i="5"/>
  <c r="BX140" i="5" s="1"/>
  <c r="BY140" i="5" s="1"/>
  <c r="CC140" i="5" s="1"/>
  <c r="BT152" i="5"/>
  <c r="BX152" i="5" s="1"/>
  <c r="BY152" i="5" s="1"/>
  <c r="CC152" i="5" s="1"/>
  <c r="BT164" i="5"/>
  <c r="BX164" i="5" s="1"/>
  <c r="BY164" i="5" s="1"/>
  <c r="CC164" i="5" s="1"/>
  <c r="BT176" i="5"/>
  <c r="BX176" i="5" s="1"/>
  <c r="BY176" i="5" s="1"/>
  <c r="CC176" i="5" s="1"/>
  <c r="BT188" i="5"/>
  <c r="BX188" i="5" s="1"/>
  <c r="BY188" i="5" s="1"/>
  <c r="CC188" i="5" s="1"/>
  <c r="BT200" i="5"/>
  <c r="BX200" i="5" s="1"/>
  <c r="BY200" i="5" s="1"/>
  <c r="CC200" i="5" s="1"/>
  <c r="BT236" i="5"/>
  <c r="BX236" i="5" s="1"/>
  <c r="BY236" i="5" s="1"/>
  <c r="CC236" i="5" s="1"/>
  <c r="BT248" i="5"/>
  <c r="BX248" i="5" s="1"/>
  <c r="BY248" i="5" s="1"/>
  <c r="CC248" i="5" s="1"/>
  <c r="BT272" i="5"/>
  <c r="BX272" i="5" s="1"/>
  <c r="BY272" i="5" s="1"/>
  <c r="CC272" i="5" s="1"/>
  <c r="BT284" i="5"/>
  <c r="BX284" i="5" s="1"/>
  <c r="BY284" i="5" s="1"/>
  <c r="CC284" i="5" s="1"/>
  <c r="BT296" i="5"/>
  <c r="BX296" i="5" s="1"/>
  <c r="BY296" i="5" s="1"/>
  <c r="CC296" i="5" s="1"/>
  <c r="BT308" i="5"/>
  <c r="BX308" i="5" s="1"/>
  <c r="BY308" i="5" s="1"/>
  <c r="CC308" i="5" s="1"/>
  <c r="BT320" i="5"/>
  <c r="BX320" i="5" s="1"/>
  <c r="BY320" i="5" s="1"/>
  <c r="CC320" i="5" s="1"/>
  <c r="BT344" i="5"/>
  <c r="BX344" i="5" s="1"/>
  <c r="BY344" i="5" s="1"/>
  <c r="CC344" i="5" s="1"/>
  <c r="BT380" i="5"/>
  <c r="BX380" i="5" s="1"/>
  <c r="BY380" i="5" s="1"/>
  <c r="CC380" i="5" s="1"/>
  <c r="BT404" i="5"/>
  <c r="BX404" i="5" s="1"/>
  <c r="BY404" i="5" s="1"/>
  <c r="CC404" i="5" s="1"/>
  <c r="BT416" i="5"/>
  <c r="BX416" i="5" s="1"/>
  <c r="BY416" i="5" s="1"/>
  <c r="CC416" i="5" s="1"/>
  <c r="BT428" i="5"/>
  <c r="BX428" i="5" s="1"/>
  <c r="BY428" i="5" s="1"/>
  <c r="CC428" i="5" s="1"/>
  <c r="BT536" i="5"/>
  <c r="BX536" i="5" s="1"/>
  <c r="BY536" i="5" s="1"/>
  <c r="CC536" i="5" s="1"/>
  <c r="BT548" i="5"/>
  <c r="BX548" i="5" s="1"/>
  <c r="BY548" i="5" s="1"/>
  <c r="CC548" i="5" s="1"/>
  <c r="BT560" i="5"/>
  <c r="BX560" i="5" s="1"/>
  <c r="BY560" i="5" s="1"/>
  <c r="CC560" i="5" s="1"/>
  <c r="BT608" i="5"/>
  <c r="BX608" i="5" s="1"/>
  <c r="BY608" i="5" s="1"/>
  <c r="CC608" i="5" s="1"/>
  <c r="BT620" i="5"/>
  <c r="BX620" i="5" s="1"/>
  <c r="BY620" i="5" s="1"/>
  <c r="CC620" i="5" s="1"/>
  <c r="BT680" i="5"/>
  <c r="BX680" i="5" s="1"/>
  <c r="BY680" i="5" s="1"/>
  <c r="CC680" i="5" s="1"/>
  <c r="BT716" i="5"/>
  <c r="BX716" i="5" s="1"/>
  <c r="BY716" i="5" s="1"/>
  <c r="CC716" i="5" s="1"/>
  <c r="BT812" i="5"/>
  <c r="BX812" i="5" s="1"/>
  <c r="BY812" i="5" s="1"/>
  <c r="CC812" i="5" s="1"/>
  <c r="BT884" i="5"/>
  <c r="BX884" i="5" s="1"/>
  <c r="BY884" i="5" s="1"/>
  <c r="CC884" i="5" s="1"/>
  <c r="BT908" i="5"/>
  <c r="BX908" i="5" s="1"/>
  <c r="BY908" i="5" s="1"/>
  <c r="CC908" i="5" s="1"/>
  <c r="BT920" i="5"/>
  <c r="BX920" i="5" s="1"/>
  <c r="BY920" i="5" s="1"/>
  <c r="CC920" i="5" s="1"/>
  <c r="BT21" i="5"/>
  <c r="BX21" i="5" s="1"/>
  <c r="BY21" i="5" s="1"/>
  <c r="CC21" i="5" s="1"/>
  <c r="BT33" i="5"/>
  <c r="BX33" i="5" s="1"/>
  <c r="BY33" i="5" s="1"/>
  <c r="CC33" i="5" s="1"/>
  <c r="BT57" i="5"/>
  <c r="BX57" i="5" s="1"/>
  <c r="BY57" i="5" s="1"/>
  <c r="CC57" i="5" s="1"/>
  <c r="BT69" i="5"/>
  <c r="BX69" i="5" s="1"/>
  <c r="BY69" i="5" s="1"/>
  <c r="CC69" i="5" s="1"/>
  <c r="BT81" i="5"/>
  <c r="BX81" i="5" s="1"/>
  <c r="BY81" i="5" s="1"/>
  <c r="CC81" i="5" s="1"/>
  <c r="BT93" i="5"/>
  <c r="BX93" i="5" s="1"/>
  <c r="BY93" i="5" s="1"/>
  <c r="CC93" i="5" s="1"/>
  <c r="BT105" i="5"/>
  <c r="BX105" i="5" s="1"/>
  <c r="BY105" i="5" s="1"/>
  <c r="CC105" i="5" s="1"/>
  <c r="BT117" i="5"/>
  <c r="BX117" i="5" s="1"/>
  <c r="BY117" i="5" s="1"/>
  <c r="CC117" i="5" s="1"/>
  <c r="BT129" i="5"/>
  <c r="BX129" i="5" s="1"/>
  <c r="BY129" i="5" s="1"/>
  <c r="CC129" i="5" s="1"/>
  <c r="BT141" i="5"/>
  <c r="BX141" i="5" s="1"/>
  <c r="BY141" i="5" s="1"/>
  <c r="CC141" i="5" s="1"/>
  <c r="BT153" i="5"/>
  <c r="BX153" i="5" s="1"/>
  <c r="BY153" i="5" s="1"/>
  <c r="CC153" i="5" s="1"/>
  <c r="BT165" i="5"/>
  <c r="BX165" i="5" s="1"/>
  <c r="BY165" i="5" s="1"/>
  <c r="CC165" i="5" s="1"/>
  <c r="BT177" i="5"/>
  <c r="BX177" i="5" s="1"/>
  <c r="BY177" i="5" s="1"/>
  <c r="CC177" i="5" s="1"/>
  <c r="BT189" i="5"/>
  <c r="BX189" i="5" s="1"/>
  <c r="BY189" i="5" s="1"/>
  <c r="CC189" i="5" s="1"/>
  <c r="BT201" i="5"/>
  <c r="BX201" i="5" s="1"/>
  <c r="BY201" i="5" s="1"/>
  <c r="CC201" i="5" s="1"/>
  <c r="BT237" i="5"/>
  <c r="BX237" i="5" s="1"/>
  <c r="BY237" i="5" s="1"/>
  <c r="CC237" i="5" s="1"/>
  <c r="BT249" i="5"/>
  <c r="BX249" i="5" s="1"/>
  <c r="BY249" i="5" s="1"/>
  <c r="CC249" i="5" s="1"/>
  <c r="BT285" i="5"/>
  <c r="BX285" i="5" s="1"/>
  <c r="BY285" i="5" s="1"/>
  <c r="CC285" i="5" s="1"/>
  <c r="BT309" i="5"/>
  <c r="BX309" i="5" s="1"/>
  <c r="BY309" i="5" s="1"/>
  <c r="CC309" i="5" s="1"/>
  <c r="BT321" i="5"/>
  <c r="BX321" i="5" s="1"/>
  <c r="BY321" i="5" s="1"/>
  <c r="CC321" i="5" s="1"/>
  <c r="BT333" i="5"/>
  <c r="BX333" i="5" s="1"/>
  <c r="BY333" i="5" s="1"/>
  <c r="CC333" i="5" s="1"/>
  <c r="BT357" i="5"/>
  <c r="BX357" i="5" s="1"/>
  <c r="BY357" i="5" s="1"/>
  <c r="CC357" i="5" s="1"/>
  <c r="BT393" i="5"/>
  <c r="BX393" i="5" s="1"/>
  <c r="BY393" i="5" s="1"/>
  <c r="CC393" i="5" s="1"/>
  <c r="BT429" i="5"/>
  <c r="BX429" i="5" s="1"/>
  <c r="BY429" i="5" s="1"/>
  <c r="CC429" i="5" s="1"/>
  <c r="BT477" i="5"/>
  <c r="BX477" i="5" s="1"/>
  <c r="BY477" i="5" s="1"/>
  <c r="CC477" i="5" s="1"/>
  <c r="BT489" i="5"/>
  <c r="BX489" i="5" s="1"/>
  <c r="BY489" i="5" s="1"/>
  <c r="CC489" i="5" s="1"/>
  <c r="BT525" i="5"/>
  <c r="BX525" i="5" s="1"/>
  <c r="BY525" i="5" s="1"/>
  <c r="CC525" i="5" s="1"/>
  <c r="BT537" i="5"/>
  <c r="BX537" i="5" s="1"/>
  <c r="BY537" i="5" s="1"/>
  <c r="CC537" i="5" s="1"/>
  <c r="BT549" i="5"/>
  <c r="BX549" i="5" s="1"/>
  <c r="BY549" i="5" s="1"/>
  <c r="CC549" i="5" s="1"/>
  <c r="BT561" i="5"/>
  <c r="BX561" i="5" s="1"/>
  <c r="BY561" i="5" s="1"/>
  <c r="CC561" i="5" s="1"/>
  <c r="BT657" i="5"/>
  <c r="BX657" i="5" s="1"/>
  <c r="BY657" i="5" s="1"/>
  <c r="CC657" i="5" s="1"/>
  <c r="BT669" i="5"/>
  <c r="BX669" i="5" s="1"/>
  <c r="BY669" i="5" s="1"/>
  <c r="CC669" i="5" s="1"/>
  <c r="BT693" i="5"/>
  <c r="BX693" i="5" s="1"/>
  <c r="BY693" i="5" s="1"/>
  <c r="CC693" i="5" s="1"/>
  <c r="BT717" i="5"/>
  <c r="BX717" i="5" s="1"/>
  <c r="BY717" i="5" s="1"/>
  <c r="CC717" i="5" s="1"/>
  <c r="BT765" i="5"/>
  <c r="BX765" i="5" s="1"/>
  <c r="BY765" i="5" s="1"/>
  <c r="CC765" i="5" s="1"/>
  <c r="BT789" i="5"/>
  <c r="BX789" i="5" s="1"/>
  <c r="BY789" i="5" s="1"/>
  <c r="CC789" i="5" s="1"/>
  <c r="BT861" i="5"/>
  <c r="BX861" i="5" s="1"/>
  <c r="BY861" i="5" s="1"/>
  <c r="CC861" i="5" s="1"/>
  <c r="BT10" i="5"/>
  <c r="BX10" i="5" s="1"/>
  <c r="BY10" i="5" s="1"/>
  <c r="CC10" i="5" s="1"/>
  <c r="BT22" i="5"/>
  <c r="BX22" i="5" s="1"/>
  <c r="BY22" i="5" s="1"/>
  <c r="CC22" i="5" s="1"/>
  <c r="BT34" i="5"/>
  <c r="BX34" i="5" s="1"/>
  <c r="BY34" i="5" s="1"/>
  <c r="CC34" i="5" s="1"/>
  <c r="BT46" i="5"/>
  <c r="BX46" i="5" s="1"/>
  <c r="BY46" i="5" s="1"/>
  <c r="CC46" i="5" s="1"/>
  <c r="BT82" i="5"/>
  <c r="BX82" i="5" s="1"/>
  <c r="BY82" i="5" s="1"/>
  <c r="CC82" i="5" s="1"/>
  <c r="BT94" i="5"/>
  <c r="BX94" i="5" s="1"/>
  <c r="BY94" i="5" s="1"/>
  <c r="CC94" i="5" s="1"/>
  <c r="BT106" i="5"/>
  <c r="BX106" i="5" s="1"/>
  <c r="BY106" i="5" s="1"/>
  <c r="CC106" i="5" s="1"/>
  <c r="BT118" i="5"/>
  <c r="BX118" i="5" s="1"/>
  <c r="BY118" i="5" s="1"/>
  <c r="CC118" i="5" s="1"/>
  <c r="BT130" i="5"/>
  <c r="BX130" i="5" s="1"/>
  <c r="BY130" i="5" s="1"/>
  <c r="CC130" i="5" s="1"/>
  <c r="BT142" i="5"/>
  <c r="BX142" i="5" s="1"/>
  <c r="BY142" i="5" s="1"/>
  <c r="CC142" i="5" s="1"/>
  <c r="BT154" i="5"/>
  <c r="BX154" i="5" s="1"/>
  <c r="BY154" i="5" s="1"/>
  <c r="CC154" i="5" s="1"/>
  <c r="BT166" i="5"/>
  <c r="BX166" i="5" s="1"/>
  <c r="BY166" i="5" s="1"/>
  <c r="CC166" i="5" s="1"/>
  <c r="BT178" i="5"/>
  <c r="BX178" i="5" s="1"/>
  <c r="BY178" i="5" s="1"/>
  <c r="CC178" i="5" s="1"/>
  <c r="BT190" i="5"/>
  <c r="BX190" i="5" s="1"/>
  <c r="BY190" i="5" s="1"/>
  <c r="CC190" i="5" s="1"/>
  <c r="BT202" i="5"/>
  <c r="BX202" i="5" s="1"/>
  <c r="BY202" i="5" s="1"/>
  <c r="CC202" i="5" s="1"/>
  <c r="BT214" i="5"/>
  <c r="BX214" i="5" s="1"/>
  <c r="BY214" i="5" s="1"/>
  <c r="CC214" i="5" s="1"/>
  <c r="BT226" i="5"/>
  <c r="BX226" i="5" s="1"/>
  <c r="BY226" i="5" s="1"/>
  <c r="CC226" i="5" s="1"/>
  <c r="BT238" i="5"/>
  <c r="BX238" i="5" s="1"/>
  <c r="BY238" i="5" s="1"/>
  <c r="CC238" i="5" s="1"/>
  <c r="BT262" i="5"/>
  <c r="BX262" i="5" s="1"/>
  <c r="BY262" i="5" s="1"/>
  <c r="CC262" i="5" s="1"/>
  <c r="BT298" i="5"/>
  <c r="BX298" i="5" s="1"/>
  <c r="BY298" i="5" s="1"/>
  <c r="CC298" i="5" s="1"/>
  <c r="BT358" i="5"/>
  <c r="BX358" i="5" s="1"/>
  <c r="BY358" i="5" s="1"/>
  <c r="CC358" i="5" s="1"/>
  <c r="BT394" i="5"/>
  <c r="BX394" i="5" s="1"/>
  <c r="BY394" i="5" s="1"/>
  <c r="CC394" i="5" s="1"/>
  <c r="BT466" i="5"/>
  <c r="BX466" i="5" s="1"/>
  <c r="BY466" i="5" s="1"/>
  <c r="CC466" i="5" s="1"/>
  <c r="BT478" i="5"/>
  <c r="BX478" i="5" s="1"/>
  <c r="BY478" i="5" s="1"/>
  <c r="CC478" i="5" s="1"/>
  <c r="BT526" i="5"/>
  <c r="BX526" i="5" s="1"/>
  <c r="BY526" i="5" s="1"/>
  <c r="CC526" i="5" s="1"/>
  <c r="BT538" i="5"/>
  <c r="BX538" i="5" s="1"/>
  <c r="BY538" i="5" s="1"/>
  <c r="CC538" i="5" s="1"/>
  <c r="BT550" i="5"/>
  <c r="BX550" i="5" s="1"/>
  <c r="BY550" i="5" s="1"/>
  <c r="CC550" i="5" s="1"/>
  <c r="BT682" i="5"/>
  <c r="BX682" i="5" s="1"/>
  <c r="BY682" i="5" s="1"/>
  <c r="CC682" i="5" s="1"/>
  <c r="BT718" i="5"/>
  <c r="BX718" i="5" s="1"/>
  <c r="BY718" i="5" s="1"/>
  <c r="CC718" i="5" s="1"/>
  <c r="BT742" i="5"/>
  <c r="BX742" i="5" s="1"/>
  <c r="BY742" i="5" s="1"/>
  <c r="CC742" i="5" s="1"/>
  <c r="BT754" i="5"/>
  <c r="BX754" i="5" s="1"/>
  <c r="BY754" i="5" s="1"/>
  <c r="CC754" i="5" s="1"/>
  <c r="BT766" i="5"/>
  <c r="BX766" i="5" s="1"/>
  <c r="BY766" i="5" s="1"/>
  <c r="CC766" i="5" s="1"/>
  <c r="BT11" i="5"/>
  <c r="BX11" i="5" s="1"/>
  <c r="BY11" i="5" s="1"/>
  <c r="CC11" i="5" s="1"/>
  <c r="BT23" i="5"/>
  <c r="BX23" i="5" s="1"/>
  <c r="BY23" i="5" s="1"/>
  <c r="CC23" i="5" s="1"/>
  <c r="BT35" i="5"/>
  <c r="BX35" i="5" s="1"/>
  <c r="BY35" i="5" s="1"/>
  <c r="CC35" i="5" s="1"/>
  <c r="BT59" i="5"/>
  <c r="BX59" i="5" s="1"/>
  <c r="BY59" i="5" s="1"/>
  <c r="CC59" i="5" s="1"/>
  <c r="BT71" i="5"/>
  <c r="BX71" i="5" s="1"/>
  <c r="BY71" i="5" s="1"/>
  <c r="CC71" i="5" s="1"/>
  <c r="BT107" i="5"/>
  <c r="BX107" i="5" s="1"/>
  <c r="BY107" i="5" s="1"/>
  <c r="CC107" i="5" s="1"/>
  <c r="BT119" i="5"/>
  <c r="BX119" i="5" s="1"/>
  <c r="BY119" i="5" s="1"/>
  <c r="CC119" i="5" s="1"/>
  <c r="BT155" i="5"/>
  <c r="BX155" i="5" s="1"/>
  <c r="BY155" i="5" s="1"/>
  <c r="CC155" i="5" s="1"/>
  <c r="BT167" i="5"/>
  <c r="BX167" i="5" s="1"/>
  <c r="BY167" i="5" s="1"/>
  <c r="CC167" i="5" s="1"/>
  <c r="BT191" i="5"/>
  <c r="BX191" i="5" s="1"/>
  <c r="BY191" i="5" s="1"/>
  <c r="CC191" i="5" s="1"/>
  <c r="BT203" i="5"/>
  <c r="BX203" i="5" s="1"/>
  <c r="BY203" i="5" s="1"/>
  <c r="CC203" i="5" s="1"/>
  <c r="BT251" i="5"/>
  <c r="BX251" i="5" s="1"/>
  <c r="BY251" i="5" s="1"/>
  <c r="CC251" i="5" s="1"/>
  <c r="BT263" i="5"/>
  <c r="BX263" i="5" s="1"/>
  <c r="BY263" i="5" s="1"/>
  <c r="CC263" i="5" s="1"/>
  <c r="BT299" i="5"/>
  <c r="BX299" i="5" s="1"/>
  <c r="BY299" i="5" s="1"/>
  <c r="CC299" i="5" s="1"/>
  <c r="BT347" i="5"/>
  <c r="BX347" i="5" s="1"/>
  <c r="BY347" i="5" s="1"/>
  <c r="CC347" i="5" s="1"/>
  <c r="BT359" i="5"/>
  <c r="BX359" i="5" s="1"/>
  <c r="BY359" i="5" s="1"/>
  <c r="CC359" i="5" s="1"/>
  <c r="BT383" i="5"/>
  <c r="BX383" i="5" s="1"/>
  <c r="BY383" i="5" s="1"/>
  <c r="CC383" i="5" s="1"/>
  <c r="BT395" i="5"/>
  <c r="BX395" i="5" s="1"/>
  <c r="BY395" i="5" s="1"/>
  <c r="CC395" i="5" s="1"/>
  <c r="BT407" i="5"/>
  <c r="BX407" i="5" s="1"/>
  <c r="BY407" i="5" s="1"/>
  <c r="CC407" i="5" s="1"/>
  <c r="BT419" i="5"/>
  <c r="BX419" i="5" s="1"/>
  <c r="BY419" i="5" s="1"/>
  <c r="CC419" i="5" s="1"/>
  <c r="BT443" i="5"/>
  <c r="BX443" i="5" s="1"/>
  <c r="BY443" i="5" s="1"/>
  <c r="CC443" i="5" s="1"/>
  <c r="BT455" i="5"/>
  <c r="BX455" i="5" s="1"/>
  <c r="BY455" i="5" s="1"/>
  <c r="CC455" i="5" s="1"/>
  <c r="BT467" i="5"/>
  <c r="BX467" i="5" s="1"/>
  <c r="BY467" i="5" s="1"/>
  <c r="CC467" i="5" s="1"/>
  <c r="BT479" i="5"/>
  <c r="BX479" i="5" s="1"/>
  <c r="BY479" i="5" s="1"/>
  <c r="CC479" i="5" s="1"/>
  <c r="BT515" i="5"/>
  <c r="BX515" i="5" s="1"/>
  <c r="BY515" i="5" s="1"/>
  <c r="CC515" i="5" s="1"/>
  <c r="BT527" i="5"/>
  <c r="BX527" i="5" s="1"/>
  <c r="BY527" i="5" s="1"/>
  <c r="CC527" i="5" s="1"/>
  <c r="BT551" i="5"/>
  <c r="BX551" i="5" s="1"/>
  <c r="BY551" i="5" s="1"/>
  <c r="CC551" i="5" s="1"/>
  <c r="BT563" i="5"/>
  <c r="BX563" i="5" s="1"/>
  <c r="BY563" i="5" s="1"/>
  <c r="CC563" i="5" s="1"/>
  <c r="BT599" i="5"/>
  <c r="BX599" i="5" s="1"/>
  <c r="BY599" i="5" s="1"/>
  <c r="CC599" i="5" s="1"/>
  <c r="BT707" i="5"/>
  <c r="BX707" i="5" s="1"/>
  <c r="BY707" i="5" s="1"/>
  <c r="CC707" i="5" s="1"/>
  <c r="BT719" i="5"/>
  <c r="BX719" i="5" s="1"/>
  <c r="BY719" i="5" s="1"/>
  <c r="CC719" i="5" s="1"/>
  <c r="BT731" i="5"/>
  <c r="BX731" i="5" s="1"/>
  <c r="BY731" i="5" s="1"/>
  <c r="CC731" i="5" s="1"/>
  <c r="BT743" i="5"/>
  <c r="BX743" i="5" s="1"/>
  <c r="BY743" i="5" s="1"/>
  <c r="CC743" i="5" s="1"/>
  <c r="BT803" i="5"/>
  <c r="BX803" i="5" s="1"/>
  <c r="BY803" i="5" s="1"/>
  <c r="CC803" i="5" s="1"/>
  <c r="BT815" i="5"/>
  <c r="BX815" i="5" s="1"/>
  <c r="BY815" i="5" s="1"/>
  <c r="CC815" i="5" s="1"/>
  <c r="BT911" i="5"/>
  <c r="BX911" i="5" s="1"/>
  <c r="BY911" i="5" s="1"/>
  <c r="CC911" i="5" s="1"/>
  <c r="BT12" i="5"/>
  <c r="BX12" i="5" s="1"/>
  <c r="BY12" i="5" s="1"/>
  <c r="CC12" i="5" s="1"/>
  <c r="BT24" i="5"/>
  <c r="BX24" i="5" s="1"/>
  <c r="BY24" i="5" s="1"/>
  <c r="CC24" i="5" s="1"/>
  <c r="BT36" i="5"/>
  <c r="BX36" i="5" s="1"/>
  <c r="BY36" i="5" s="1"/>
  <c r="CC36" i="5" s="1"/>
  <c r="BT48" i="5"/>
  <c r="BX48" i="5" s="1"/>
  <c r="BY48" i="5" s="1"/>
  <c r="CC48" i="5" s="1"/>
  <c r="BT72" i="5"/>
  <c r="BX72" i="5" s="1"/>
  <c r="BY72" i="5" s="1"/>
  <c r="CC72" i="5" s="1"/>
  <c r="BT84" i="5"/>
  <c r="BX84" i="5" s="1"/>
  <c r="BY84" i="5" s="1"/>
  <c r="CC84" i="5" s="1"/>
  <c r="BT96" i="5"/>
  <c r="BX96" i="5" s="1"/>
  <c r="BY96" i="5" s="1"/>
  <c r="CC96" i="5" s="1"/>
  <c r="BT108" i="5"/>
  <c r="BX108" i="5" s="1"/>
  <c r="BY108" i="5" s="1"/>
  <c r="CC108" i="5" s="1"/>
  <c r="BT120" i="5"/>
  <c r="BX120" i="5" s="1"/>
  <c r="BY120" i="5" s="1"/>
  <c r="CC120" i="5" s="1"/>
  <c r="BT132" i="5"/>
  <c r="BX132" i="5" s="1"/>
  <c r="BY132" i="5" s="1"/>
  <c r="CC132" i="5" s="1"/>
  <c r="BT144" i="5"/>
  <c r="BX144" i="5" s="1"/>
  <c r="BY144" i="5" s="1"/>
  <c r="CC144" i="5" s="1"/>
  <c r="BT156" i="5"/>
  <c r="BX156" i="5" s="1"/>
  <c r="BY156" i="5" s="1"/>
  <c r="CC156" i="5" s="1"/>
  <c r="BT168" i="5"/>
  <c r="BX168" i="5" s="1"/>
  <c r="BY168" i="5" s="1"/>
  <c r="CC168" i="5" s="1"/>
  <c r="BT216" i="5"/>
  <c r="BX216" i="5" s="1"/>
  <c r="BY216" i="5" s="1"/>
  <c r="CC216" i="5" s="1"/>
  <c r="BT240" i="5"/>
  <c r="BX240" i="5" s="1"/>
  <c r="BY240" i="5" s="1"/>
  <c r="CC240" i="5" s="1"/>
  <c r="BT252" i="5"/>
  <c r="BX252" i="5" s="1"/>
  <c r="BY252" i="5" s="1"/>
  <c r="CC252" i="5" s="1"/>
  <c r="BT276" i="5"/>
  <c r="BX276" i="5" s="1"/>
  <c r="BY276" i="5" s="1"/>
  <c r="CC276" i="5" s="1"/>
  <c r="BT324" i="5"/>
  <c r="BX324" i="5" s="1"/>
  <c r="BY324" i="5" s="1"/>
  <c r="CC324" i="5" s="1"/>
  <c r="BT336" i="5"/>
  <c r="BX336" i="5" s="1"/>
  <c r="BY336" i="5" s="1"/>
  <c r="CC336" i="5" s="1"/>
  <c r="BT348" i="5"/>
  <c r="BX348" i="5" s="1"/>
  <c r="BY348" i="5" s="1"/>
  <c r="CC348" i="5" s="1"/>
  <c r="BT384" i="5"/>
  <c r="BX384" i="5" s="1"/>
  <c r="BY384" i="5" s="1"/>
  <c r="CC384" i="5" s="1"/>
  <c r="BT408" i="5"/>
  <c r="BX408" i="5" s="1"/>
  <c r="BY408" i="5" s="1"/>
  <c r="CC408" i="5" s="1"/>
  <c r="BT420" i="5"/>
  <c r="BX420" i="5" s="1"/>
  <c r="BY420" i="5" s="1"/>
  <c r="CC420" i="5" s="1"/>
  <c r="BT456" i="5"/>
  <c r="BX456" i="5" s="1"/>
  <c r="BY456" i="5" s="1"/>
  <c r="CC456" i="5" s="1"/>
  <c r="BT468" i="5"/>
  <c r="BX468" i="5" s="1"/>
  <c r="BY468" i="5" s="1"/>
  <c r="CC468" i="5" s="1"/>
  <c r="BT492" i="5"/>
  <c r="BX492" i="5" s="1"/>
  <c r="BY492" i="5" s="1"/>
  <c r="CC492" i="5" s="1"/>
  <c r="BT516" i="5"/>
  <c r="BX516" i="5" s="1"/>
  <c r="BY516" i="5" s="1"/>
  <c r="CC516" i="5" s="1"/>
  <c r="BT540" i="5"/>
  <c r="BX540" i="5" s="1"/>
  <c r="BY540" i="5" s="1"/>
  <c r="CC540" i="5" s="1"/>
  <c r="BT552" i="5"/>
  <c r="BX552" i="5" s="1"/>
  <c r="BY552" i="5" s="1"/>
  <c r="CC552" i="5" s="1"/>
  <c r="BT564" i="5"/>
  <c r="BX564" i="5" s="1"/>
  <c r="BY564" i="5" s="1"/>
  <c r="CC564" i="5" s="1"/>
  <c r="BT576" i="5"/>
  <c r="BX576" i="5" s="1"/>
  <c r="BY576" i="5" s="1"/>
  <c r="CC576" i="5" s="1"/>
  <c r="BT660" i="5"/>
  <c r="BX660" i="5" s="1"/>
  <c r="BY660" i="5" s="1"/>
  <c r="CC660" i="5" s="1"/>
  <c r="BT37" i="5"/>
  <c r="BX37" i="5" s="1"/>
  <c r="BY37" i="5" s="1"/>
  <c r="CC37" i="5" s="1"/>
  <c r="BT49" i="5"/>
  <c r="BX49" i="5" s="1"/>
  <c r="BY49" i="5" s="1"/>
  <c r="CC49" i="5" s="1"/>
  <c r="BT73" i="5"/>
  <c r="BX73" i="5" s="1"/>
  <c r="BY73" i="5" s="1"/>
  <c r="CC73" i="5" s="1"/>
  <c r="BT85" i="5"/>
  <c r="BX85" i="5" s="1"/>
  <c r="BY85" i="5" s="1"/>
  <c r="CC85" i="5" s="1"/>
  <c r="BT133" i="5"/>
  <c r="BX133" i="5" s="1"/>
  <c r="BY133" i="5" s="1"/>
  <c r="CC133" i="5" s="1"/>
  <c r="BT145" i="5"/>
  <c r="BX145" i="5" s="1"/>
  <c r="BY145" i="5" s="1"/>
  <c r="CC145" i="5" s="1"/>
  <c r="BT157" i="5"/>
  <c r="BX157" i="5" s="1"/>
  <c r="BY157" i="5" s="1"/>
  <c r="CC157" i="5" s="1"/>
  <c r="BT169" i="5"/>
  <c r="BX169" i="5" s="1"/>
  <c r="BY169" i="5" s="1"/>
  <c r="CC169" i="5" s="1"/>
  <c r="BT181" i="5"/>
  <c r="BX181" i="5" s="1"/>
  <c r="BY181" i="5" s="1"/>
  <c r="CC181" i="5" s="1"/>
  <c r="BT217" i="5"/>
  <c r="BX217" i="5" s="1"/>
  <c r="BY217" i="5" s="1"/>
  <c r="CC217" i="5" s="1"/>
  <c r="BT229" i="5"/>
  <c r="BX229" i="5" s="1"/>
  <c r="BY229" i="5" s="1"/>
  <c r="CC229" i="5" s="1"/>
  <c r="BT241" i="5"/>
  <c r="BX241" i="5" s="1"/>
  <c r="BY241" i="5" s="1"/>
  <c r="CC241" i="5" s="1"/>
  <c r="BT277" i="5"/>
  <c r="BX277" i="5" s="1"/>
  <c r="BY277" i="5" s="1"/>
  <c r="CC277" i="5" s="1"/>
  <c r="BT289" i="5"/>
  <c r="BX289" i="5" s="1"/>
  <c r="BY289" i="5" s="1"/>
  <c r="CC289" i="5" s="1"/>
  <c r="BT349" i="5"/>
  <c r="BX349" i="5" s="1"/>
  <c r="BY349" i="5" s="1"/>
  <c r="CC349" i="5" s="1"/>
  <c r="BT361" i="5"/>
  <c r="BX361" i="5" s="1"/>
  <c r="BY361" i="5" s="1"/>
  <c r="CC361" i="5" s="1"/>
  <c r="BT373" i="5"/>
  <c r="BX373" i="5" s="1"/>
  <c r="BY373" i="5" s="1"/>
  <c r="CC373" i="5" s="1"/>
  <c r="BT385" i="5"/>
  <c r="BX385" i="5" s="1"/>
  <c r="BY385" i="5" s="1"/>
  <c r="CC385" i="5" s="1"/>
  <c r="BT397" i="5"/>
  <c r="BX397" i="5" s="1"/>
  <c r="BY397" i="5" s="1"/>
  <c r="CC397" i="5" s="1"/>
  <c r="BT445" i="5"/>
  <c r="BX445" i="5" s="1"/>
  <c r="BY445" i="5" s="1"/>
  <c r="CC445" i="5" s="1"/>
  <c r="BT457" i="5"/>
  <c r="BX457" i="5" s="1"/>
  <c r="BY457" i="5" s="1"/>
  <c r="CC457" i="5" s="1"/>
  <c r="BT481" i="5"/>
  <c r="BX481" i="5" s="1"/>
  <c r="BY481" i="5" s="1"/>
  <c r="CC481" i="5" s="1"/>
  <c r="BT493" i="5"/>
  <c r="BX493" i="5" s="1"/>
  <c r="BY493" i="5" s="1"/>
  <c r="CC493" i="5" s="1"/>
  <c r="BT517" i="5"/>
  <c r="BX517" i="5" s="1"/>
  <c r="BY517" i="5" s="1"/>
  <c r="CC517" i="5" s="1"/>
  <c r="BT553" i="5"/>
  <c r="BX553" i="5" s="1"/>
  <c r="BY553" i="5" s="1"/>
  <c r="CC553" i="5" s="1"/>
  <c r="BT565" i="5"/>
  <c r="BX565" i="5" s="1"/>
  <c r="BY565" i="5" s="1"/>
  <c r="CC565" i="5" s="1"/>
  <c r="BT601" i="5"/>
  <c r="BX601" i="5" s="1"/>
  <c r="BY601" i="5" s="1"/>
  <c r="CC601" i="5" s="1"/>
  <c r="BT649" i="5"/>
  <c r="BX649" i="5" s="1"/>
  <c r="BY649" i="5" s="1"/>
  <c r="CC649" i="5" s="1"/>
  <c r="BT709" i="5"/>
  <c r="BX709" i="5" s="1"/>
  <c r="BY709" i="5" s="1"/>
  <c r="CC709" i="5" s="1"/>
  <c r="BT733" i="5"/>
  <c r="BX733" i="5" s="1"/>
  <c r="BY733" i="5" s="1"/>
  <c r="CC733" i="5" s="1"/>
  <c r="BT793" i="5"/>
  <c r="BX793" i="5" s="1"/>
  <c r="BY793" i="5" s="1"/>
  <c r="CC793" i="5" s="1"/>
  <c r="BT2" i="5"/>
  <c r="BX2" i="5" s="1"/>
  <c r="BT38" i="5"/>
  <c r="BX38" i="5" s="1"/>
  <c r="BY38" i="5" s="1"/>
  <c r="CC38" i="5" s="1"/>
  <c r="BT50" i="5"/>
  <c r="BX50" i="5" s="1"/>
  <c r="BY50" i="5" s="1"/>
  <c r="CC50" i="5" s="1"/>
  <c r="BT62" i="5"/>
  <c r="BX62" i="5" s="1"/>
  <c r="BY62" i="5" s="1"/>
  <c r="CC62" i="5" s="1"/>
  <c r="BT74" i="5"/>
  <c r="BX74" i="5" s="1"/>
  <c r="BY74" i="5" s="1"/>
  <c r="CC74" i="5" s="1"/>
  <c r="BT98" i="5"/>
  <c r="BX98" i="5" s="1"/>
  <c r="BY98" i="5" s="1"/>
  <c r="CC98" i="5" s="1"/>
  <c r="BT110" i="5"/>
  <c r="BX110" i="5" s="1"/>
  <c r="BY110" i="5" s="1"/>
  <c r="CC110" i="5" s="1"/>
  <c r="BT122" i="5"/>
  <c r="BX122" i="5" s="1"/>
  <c r="BY122" i="5" s="1"/>
  <c r="CC122" i="5" s="1"/>
  <c r="BT134" i="5"/>
  <c r="BX134" i="5" s="1"/>
  <c r="BY134" i="5" s="1"/>
  <c r="CC134" i="5" s="1"/>
  <c r="BT146" i="5"/>
  <c r="BX146" i="5" s="1"/>
  <c r="BY146" i="5" s="1"/>
  <c r="CC146" i="5" s="1"/>
  <c r="BT158" i="5"/>
  <c r="BX158" i="5" s="1"/>
  <c r="BY158" i="5" s="1"/>
  <c r="CC158" i="5" s="1"/>
  <c r="BT182" i="5"/>
  <c r="BX182" i="5" s="1"/>
  <c r="BY182" i="5" s="1"/>
  <c r="CC182" i="5" s="1"/>
  <c r="BT230" i="5"/>
  <c r="BX230" i="5" s="1"/>
  <c r="BY230" i="5" s="1"/>
  <c r="CC230" i="5" s="1"/>
  <c r="BT254" i="5"/>
  <c r="BX254" i="5" s="1"/>
  <c r="BY254" i="5" s="1"/>
  <c r="CC254" i="5" s="1"/>
  <c r="BT278" i="5"/>
  <c r="BX278" i="5" s="1"/>
  <c r="BY278" i="5" s="1"/>
  <c r="CC278" i="5" s="1"/>
  <c r="BT290" i="5"/>
  <c r="BX290" i="5" s="1"/>
  <c r="BY290" i="5" s="1"/>
  <c r="CC290" i="5" s="1"/>
  <c r="BT338" i="5"/>
  <c r="BX338" i="5" s="1"/>
  <c r="BY338" i="5" s="1"/>
  <c r="CC338" i="5" s="1"/>
  <c r="BT362" i="5"/>
  <c r="BX362" i="5" s="1"/>
  <c r="BY362" i="5" s="1"/>
  <c r="CC362" i="5" s="1"/>
  <c r="BT446" i="5"/>
  <c r="BX446" i="5" s="1"/>
  <c r="BY446" i="5" s="1"/>
  <c r="CC446" i="5" s="1"/>
  <c r="BT482" i="5"/>
  <c r="BX482" i="5" s="1"/>
  <c r="BY482" i="5" s="1"/>
  <c r="CC482" i="5" s="1"/>
  <c r="BT530" i="5"/>
  <c r="BX530" i="5" s="1"/>
  <c r="BY530" i="5" s="1"/>
  <c r="CC530" i="5" s="1"/>
  <c r="BT542" i="5"/>
  <c r="BX542" i="5" s="1"/>
  <c r="BY542" i="5" s="1"/>
  <c r="CC542" i="5" s="1"/>
  <c r="BT554" i="5"/>
  <c r="BX554" i="5" s="1"/>
  <c r="BY554" i="5" s="1"/>
  <c r="CC554" i="5" s="1"/>
  <c r="BT722" i="5"/>
  <c r="BX722" i="5" s="1"/>
  <c r="BY722" i="5" s="1"/>
  <c r="CC722" i="5" s="1"/>
  <c r="BT758" i="5"/>
  <c r="BX758" i="5" s="1"/>
  <c r="BY758" i="5" s="1"/>
  <c r="CC758" i="5" s="1"/>
  <c r="BT782" i="5"/>
  <c r="BX782" i="5" s="1"/>
  <c r="BY782" i="5" s="1"/>
  <c r="CC782" i="5" s="1"/>
  <c r="BT794" i="5"/>
  <c r="BX794" i="5" s="1"/>
  <c r="BY794" i="5" s="1"/>
  <c r="CC794" i="5" s="1"/>
  <c r="BT818" i="5"/>
  <c r="BX818" i="5" s="1"/>
  <c r="BY818" i="5" s="1"/>
  <c r="CC818" i="5" s="1"/>
  <c r="BT914" i="5"/>
  <c r="BX914" i="5" s="1"/>
  <c r="BY914" i="5" s="1"/>
  <c r="CC914" i="5" s="1"/>
  <c r="BT3" i="5"/>
  <c r="BX3" i="5" s="1"/>
  <c r="BY3" i="5" s="1"/>
  <c r="CC3" i="5" s="1"/>
  <c r="BT27" i="5"/>
  <c r="BX27" i="5" s="1"/>
  <c r="BY27" i="5" s="1"/>
  <c r="CC27" i="5" s="1"/>
  <c r="BT39" i="5"/>
  <c r="BX39" i="5" s="1"/>
  <c r="BY39" i="5" s="1"/>
  <c r="CC39" i="5" s="1"/>
  <c r="BT51" i="5"/>
  <c r="BX51" i="5" s="1"/>
  <c r="BY51" i="5" s="1"/>
  <c r="CC51" i="5" s="1"/>
  <c r="BT63" i="5"/>
  <c r="BX63" i="5" s="1"/>
  <c r="BY63" i="5" s="1"/>
  <c r="CC63" i="5" s="1"/>
  <c r="BT75" i="5"/>
  <c r="BX75" i="5" s="1"/>
  <c r="BY75" i="5" s="1"/>
  <c r="CC75" i="5" s="1"/>
  <c r="BT99" i="5"/>
  <c r="BX99" i="5" s="1"/>
  <c r="BY99" i="5" s="1"/>
  <c r="CC99" i="5" s="1"/>
  <c r="BT123" i="5"/>
  <c r="BX123" i="5" s="1"/>
  <c r="BY123" i="5" s="1"/>
  <c r="CC123" i="5" s="1"/>
  <c r="BT135" i="5"/>
  <c r="BX135" i="5" s="1"/>
  <c r="BY135" i="5" s="1"/>
  <c r="CC135" i="5" s="1"/>
  <c r="BT159" i="5"/>
  <c r="BX159" i="5" s="1"/>
  <c r="BY159" i="5" s="1"/>
  <c r="CC159" i="5" s="1"/>
  <c r="BT171" i="5"/>
  <c r="BX171" i="5" s="1"/>
  <c r="BY171" i="5" s="1"/>
  <c r="CC171" i="5" s="1"/>
  <c r="BT183" i="5"/>
  <c r="BX183" i="5" s="1"/>
  <c r="BY183" i="5" s="1"/>
  <c r="CC183" i="5" s="1"/>
  <c r="BT195" i="5"/>
  <c r="BX195" i="5" s="1"/>
  <c r="BY195" i="5" s="1"/>
  <c r="CC195" i="5" s="1"/>
  <c r="BT207" i="5"/>
  <c r="BX207" i="5" s="1"/>
  <c r="BY207" i="5" s="1"/>
  <c r="CC207" i="5" s="1"/>
  <c r="BT303" i="5"/>
  <c r="BX303" i="5" s="1"/>
  <c r="BY303" i="5" s="1"/>
  <c r="CC303" i="5" s="1"/>
  <c r="BT363" i="5"/>
  <c r="BX363" i="5" s="1"/>
  <c r="BY363" i="5" s="1"/>
  <c r="CC363" i="5" s="1"/>
  <c r="BT375" i="5"/>
  <c r="BX375" i="5" s="1"/>
  <c r="BY375" i="5" s="1"/>
  <c r="CC375" i="5" s="1"/>
  <c r="BT399" i="5"/>
  <c r="BX399" i="5" s="1"/>
  <c r="BY399" i="5" s="1"/>
  <c r="CC399" i="5" s="1"/>
  <c r="BT411" i="5"/>
  <c r="BX411" i="5" s="1"/>
  <c r="BY411" i="5" s="1"/>
  <c r="CC411" i="5" s="1"/>
  <c r="BT435" i="5"/>
  <c r="BX435" i="5" s="1"/>
  <c r="BY435" i="5" s="1"/>
  <c r="CC435" i="5" s="1"/>
  <c r="BT471" i="5"/>
  <c r="BX471" i="5" s="1"/>
  <c r="BY471" i="5" s="1"/>
  <c r="CC471" i="5" s="1"/>
  <c r="BT531" i="5"/>
  <c r="BX531" i="5" s="1"/>
  <c r="BY531" i="5" s="1"/>
  <c r="CC531" i="5" s="1"/>
  <c r="BT555" i="5"/>
  <c r="BX555" i="5" s="1"/>
  <c r="BY555" i="5" s="1"/>
  <c r="CC555" i="5" s="1"/>
  <c r="BT567" i="5"/>
  <c r="BX567" i="5" s="1"/>
  <c r="BY567" i="5" s="1"/>
  <c r="CC567" i="5" s="1"/>
  <c r="BT579" i="5"/>
  <c r="BX579" i="5" s="1"/>
  <c r="BY579" i="5" s="1"/>
  <c r="CC579" i="5" s="1"/>
  <c r="BT651" i="5"/>
  <c r="BX651" i="5" s="1"/>
  <c r="BY651" i="5" s="1"/>
  <c r="CC651" i="5" s="1"/>
  <c r="BT699" i="5"/>
  <c r="BX699" i="5" s="1"/>
  <c r="BY699" i="5" s="1"/>
  <c r="CC699" i="5" s="1"/>
  <c r="BT771" i="5"/>
  <c r="BX771" i="5" s="1"/>
  <c r="BY771" i="5" s="1"/>
  <c r="CC771" i="5" s="1"/>
  <c r="BT819" i="5"/>
  <c r="BX819" i="5" s="1"/>
  <c r="BY819" i="5" s="1"/>
  <c r="CC819" i="5" s="1"/>
  <c r="BT879" i="5"/>
  <c r="BX879" i="5" s="1"/>
  <c r="BY879" i="5" s="1"/>
  <c r="CC879" i="5" s="1"/>
  <c r="BT112" i="5"/>
  <c r="BX112" i="5" s="1"/>
  <c r="BY112" i="5" s="1"/>
  <c r="CC112" i="5" s="1"/>
  <c r="BT317" i="5"/>
  <c r="BX317" i="5" s="1"/>
  <c r="BY317" i="5" s="1"/>
  <c r="CC317" i="5" s="1"/>
  <c r="BT389" i="5"/>
  <c r="BX389" i="5" s="1"/>
  <c r="BY389" i="5" s="1"/>
  <c r="CC389" i="5" s="1"/>
  <c r="BT533" i="5"/>
  <c r="BX533" i="5" s="1"/>
  <c r="BY533" i="5" s="1"/>
  <c r="CC533" i="5" s="1"/>
  <c r="BT677" i="5"/>
  <c r="BX677" i="5" s="1"/>
  <c r="BY677" i="5" s="1"/>
  <c r="CC677" i="5" s="1"/>
  <c r="BT749" i="5"/>
  <c r="BX749" i="5" s="1"/>
  <c r="BY749" i="5" s="1"/>
  <c r="CC749" i="5" s="1"/>
  <c r="BT1076" i="5"/>
  <c r="BX1076" i="5" s="1"/>
  <c r="BY1076" i="5" s="1"/>
  <c r="CC1076" i="5" s="1"/>
  <c r="BT1340" i="5"/>
  <c r="BX1340" i="5" s="1"/>
  <c r="BY1340" i="5" s="1"/>
  <c r="CC1340" i="5" s="1"/>
  <c r="BT1424" i="5"/>
  <c r="BX1424" i="5" s="1"/>
  <c r="BY1424" i="5" s="1"/>
  <c r="CC1424" i="5" s="1"/>
  <c r="BT1532" i="5"/>
  <c r="BX1532" i="5" s="1"/>
  <c r="BY1532" i="5" s="1"/>
  <c r="CC1532" i="5" s="1"/>
  <c r="BT1556" i="5"/>
  <c r="BX1556" i="5" s="1"/>
  <c r="BY1556" i="5" s="1"/>
  <c r="CC1556" i="5" s="1"/>
  <c r="BT1628" i="5"/>
  <c r="BX1628" i="5" s="1"/>
  <c r="BY1628" i="5" s="1"/>
  <c r="CC1628" i="5" s="1"/>
  <c r="BT41" i="5"/>
  <c r="BX41" i="5" s="1"/>
  <c r="BY41" i="5" s="1"/>
  <c r="CC41" i="5" s="1"/>
  <c r="BT185" i="5"/>
  <c r="BX185" i="5" s="1"/>
  <c r="BY185" i="5" s="1"/>
  <c r="CC185" i="5" s="1"/>
  <c r="BT256" i="5"/>
  <c r="BX256" i="5" s="1"/>
  <c r="BY256" i="5" s="1"/>
  <c r="CC256" i="5" s="1"/>
  <c r="BT544" i="5"/>
  <c r="BX544" i="5" s="1"/>
  <c r="BY544" i="5" s="1"/>
  <c r="CC544" i="5" s="1"/>
  <c r="BT760" i="5"/>
  <c r="BX760" i="5" s="1"/>
  <c r="BY760" i="5" s="1"/>
  <c r="CC760" i="5" s="1"/>
  <c r="BT957" i="5"/>
  <c r="BX957" i="5" s="1"/>
  <c r="BY957" i="5" s="1"/>
  <c r="CC957" i="5" s="1"/>
  <c r="BT1053" i="5"/>
  <c r="BX1053" i="5" s="1"/>
  <c r="BY1053" i="5" s="1"/>
  <c r="CC1053" i="5" s="1"/>
  <c r="BT1149" i="5"/>
  <c r="BX1149" i="5" s="1"/>
  <c r="BY1149" i="5" s="1"/>
  <c r="CC1149" i="5" s="1"/>
  <c r="BT1269" i="5"/>
  <c r="BX1269" i="5" s="1"/>
  <c r="BY1269" i="5" s="1"/>
  <c r="CC1269" i="5" s="1"/>
  <c r="BT1305" i="5"/>
  <c r="BX1305" i="5" s="1"/>
  <c r="BY1305" i="5" s="1"/>
  <c r="CC1305" i="5" s="1"/>
  <c r="BT1341" i="5"/>
  <c r="BX1341" i="5" s="1"/>
  <c r="BY1341" i="5" s="1"/>
  <c r="CC1341" i="5" s="1"/>
  <c r="BT1701" i="5"/>
  <c r="BX1701" i="5" s="1"/>
  <c r="BY1701" i="5" s="1"/>
  <c r="CC1701" i="5" s="1"/>
  <c r="BT52" i="5"/>
  <c r="BX52" i="5" s="1"/>
  <c r="BY52" i="5" s="1"/>
  <c r="CC52" i="5" s="1"/>
  <c r="BT124" i="5"/>
  <c r="BX124" i="5" s="1"/>
  <c r="BY124" i="5" s="1"/>
  <c r="CC124" i="5" s="1"/>
  <c r="BT257" i="5"/>
  <c r="BX257" i="5" s="1"/>
  <c r="BY257" i="5" s="1"/>
  <c r="CC257" i="5" s="1"/>
  <c r="BT329" i="5"/>
  <c r="BX329" i="5" s="1"/>
  <c r="BY329" i="5" s="1"/>
  <c r="CC329" i="5" s="1"/>
  <c r="BT545" i="5"/>
  <c r="BX545" i="5" s="1"/>
  <c r="BY545" i="5" s="1"/>
  <c r="CC545" i="5" s="1"/>
  <c r="BT1138" i="5"/>
  <c r="BX1138" i="5" s="1"/>
  <c r="BY1138" i="5" s="1"/>
  <c r="CC1138" i="5" s="1"/>
  <c r="BT1150" i="5"/>
  <c r="BX1150" i="5" s="1"/>
  <c r="BY1150" i="5" s="1"/>
  <c r="CC1150" i="5" s="1"/>
  <c r="BT1198" i="5"/>
  <c r="BX1198" i="5" s="1"/>
  <c r="BY1198" i="5" s="1"/>
  <c r="CC1198" i="5" s="1"/>
  <c r="BT1222" i="5"/>
  <c r="BX1222" i="5" s="1"/>
  <c r="BY1222" i="5" s="1"/>
  <c r="CC1222" i="5" s="1"/>
  <c r="BT1318" i="5"/>
  <c r="BX1318" i="5" s="1"/>
  <c r="BY1318" i="5" s="1"/>
  <c r="CC1318" i="5" s="1"/>
  <c r="BT1330" i="5"/>
  <c r="BX1330" i="5" s="1"/>
  <c r="BY1330" i="5" s="1"/>
  <c r="CC1330" i="5" s="1"/>
  <c r="BT1402" i="5"/>
  <c r="BX1402" i="5" s="1"/>
  <c r="BY1402" i="5" s="1"/>
  <c r="CC1402" i="5" s="1"/>
  <c r="BT1534" i="5"/>
  <c r="BX1534" i="5" s="1"/>
  <c r="BY1534" i="5" s="1"/>
  <c r="CC1534" i="5" s="1"/>
  <c r="BT1678" i="5"/>
  <c r="BX1678" i="5" s="1"/>
  <c r="BY1678" i="5" s="1"/>
  <c r="CC1678" i="5" s="1"/>
  <c r="BT1690" i="5"/>
  <c r="BX1690" i="5" s="1"/>
  <c r="BY1690" i="5" s="1"/>
  <c r="CC1690" i="5" s="1"/>
  <c r="BT125" i="5"/>
  <c r="BX125" i="5" s="1"/>
  <c r="BY125" i="5" s="1"/>
  <c r="CC125" i="5" s="1"/>
  <c r="BT268" i="5"/>
  <c r="BX268" i="5" s="1"/>
  <c r="BY268" i="5" s="1"/>
  <c r="CC268" i="5" s="1"/>
  <c r="BT340" i="5"/>
  <c r="BX340" i="5" s="1"/>
  <c r="BY340" i="5" s="1"/>
  <c r="CC340" i="5" s="1"/>
  <c r="BT556" i="5"/>
  <c r="BX556" i="5" s="1"/>
  <c r="BY556" i="5" s="1"/>
  <c r="CC556" i="5" s="1"/>
  <c r="BT816" i="5"/>
  <c r="BX816" i="5" s="1"/>
  <c r="BY816" i="5" s="1"/>
  <c r="CC816" i="5" s="1"/>
  <c r="BT947" i="5"/>
  <c r="BX947" i="5" s="1"/>
  <c r="BY947" i="5" s="1"/>
  <c r="CC947" i="5" s="1"/>
  <c r="BT995" i="5"/>
  <c r="BX995" i="5" s="1"/>
  <c r="BY995" i="5" s="1"/>
  <c r="CC995" i="5" s="1"/>
  <c r="BT1067" i="5"/>
  <c r="BX1067" i="5" s="1"/>
  <c r="BY1067" i="5" s="1"/>
  <c r="CC1067" i="5" s="1"/>
  <c r="BT1127" i="5"/>
  <c r="BX1127" i="5" s="1"/>
  <c r="BY1127" i="5" s="1"/>
  <c r="CC1127" i="5" s="1"/>
  <c r="BT1151" i="5"/>
  <c r="BX1151" i="5" s="1"/>
  <c r="BY1151" i="5" s="1"/>
  <c r="CC1151" i="5" s="1"/>
  <c r="BT1343" i="5"/>
  <c r="BX1343" i="5" s="1"/>
  <c r="BY1343" i="5" s="1"/>
  <c r="CC1343" i="5" s="1"/>
  <c r="BT1355" i="5"/>
  <c r="BX1355" i="5" s="1"/>
  <c r="BY1355" i="5" s="1"/>
  <c r="CC1355" i="5" s="1"/>
  <c r="BT1367" i="5"/>
  <c r="BX1367" i="5" s="1"/>
  <c r="BY1367" i="5" s="1"/>
  <c r="CC1367" i="5" s="1"/>
  <c r="BT64" i="5"/>
  <c r="BX64" i="5" s="1"/>
  <c r="BY64" i="5" s="1"/>
  <c r="CC64" i="5" s="1"/>
  <c r="BT208" i="5"/>
  <c r="BX208" i="5" s="1"/>
  <c r="BY208" i="5" s="1"/>
  <c r="CC208" i="5" s="1"/>
  <c r="BT269" i="5"/>
  <c r="BX269" i="5" s="1"/>
  <c r="BY269" i="5" s="1"/>
  <c r="CC269" i="5" s="1"/>
  <c r="BT341" i="5"/>
  <c r="BX341" i="5" s="1"/>
  <c r="BY341" i="5" s="1"/>
  <c r="CC341" i="5" s="1"/>
  <c r="BT413" i="5"/>
  <c r="BX413" i="5" s="1"/>
  <c r="BY413" i="5" s="1"/>
  <c r="CC413" i="5" s="1"/>
  <c r="BT485" i="5"/>
  <c r="BX485" i="5" s="1"/>
  <c r="BY485" i="5" s="1"/>
  <c r="CC485" i="5" s="1"/>
  <c r="BT629" i="5"/>
  <c r="BX629" i="5" s="1"/>
  <c r="BY629" i="5" s="1"/>
  <c r="CC629" i="5" s="1"/>
  <c r="BT984" i="5"/>
  <c r="BX984" i="5" s="1"/>
  <c r="BY984" i="5" s="1"/>
  <c r="CC984" i="5" s="1"/>
  <c r="BT996" i="5"/>
  <c r="BX996" i="5" s="1"/>
  <c r="BY996" i="5" s="1"/>
  <c r="CC996" i="5" s="1"/>
  <c r="BT1044" i="5"/>
  <c r="BX1044" i="5" s="1"/>
  <c r="BY1044" i="5" s="1"/>
  <c r="CC1044" i="5" s="1"/>
  <c r="BT1092" i="5"/>
  <c r="BX1092" i="5" s="1"/>
  <c r="BY1092" i="5" s="1"/>
  <c r="CC1092" i="5" s="1"/>
  <c r="BT1104" i="5"/>
  <c r="BX1104" i="5" s="1"/>
  <c r="BY1104" i="5" s="1"/>
  <c r="CC1104" i="5" s="1"/>
  <c r="BT1332" i="5"/>
  <c r="BX1332" i="5" s="1"/>
  <c r="BY1332" i="5" s="1"/>
  <c r="CC1332" i="5" s="1"/>
  <c r="BT1404" i="5"/>
  <c r="BX1404" i="5" s="1"/>
  <c r="BY1404" i="5" s="1"/>
  <c r="CC1404" i="5" s="1"/>
  <c r="BT1416" i="5"/>
  <c r="BX1416" i="5" s="1"/>
  <c r="BY1416" i="5" s="1"/>
  <c r="CC1416" i="5" s="1"/>
  <c r="BT1428" i="5"/>
  <c r="BX1428" i="5" s="1"/>
  <c r="BY1428" i="5" s="1"/>
  <c r="CC1428" i="5" s="1"/>
  <c r="BT1488" i="5"/>
  <c r="BX1488" i="5" s="1"/>
  <c r="BY1488" i="5" s="1"/>
  <c r="CC1488" i="5" s="1"/>
  <c r="BT1512" i="5"/>
  <c r="BX1512" i="5" s="1"/>
  <c r="BY1512" i="5" s="1"/>
  <c r="CC1512" i="5" s="1"/>
  <c r="BT65" i="5"/>
  <c r="BX65" i="5" s="1"/>
  <c r="BY65" i="5" s="1"/>
  <c r="CC65" i="5" s="1"/>
  <c r="BT137" i="5"/>
  <c r="BX137" i="5" s="1"/>
  <c r="BY137" i="5" s="1"/>
  <c r="CC137" i="5" s="1"/>
  <c r="BT352" i="5"/>
  <c r="BX352" i="5" s="1"/>
  <c r="BY352" i="5" s="1"/>
  <c r="CC352" i="5" s="1"/>
  <c r="BT496" i="5"/>
  <c r="BX496" i="5" s="1"/>
  <c r="BY496" i="5" s="1"/>
  <c r="CC496" i="5" s="1"/>
  <c r="BT961" i="5"/>
  <c r="BX961" i="5" s="1"/>
  <c r="BY961" i="5" s="1"/>
  <c r="CC961" i="5" s="1"/>
  <c r="BT997" i="5"/>
  <c r="BX997" i="5" s="1"/>
  <c r="BY997" i="5" s="1"/>
  <c r="CC997" i="5" s="1"/>
  <c r="BT1117" i="5"/>
  <c r="BX1117" i="5" s="1"/>
  <c r="BY1117" i="5" s="1"/>
  <c r="CC1117" i="5" s="1"/>
  <c r="BT1561" i="5"/>
  <c r="BX1561" i="5" s="1"/>
  <c r="BY1561" i="5" s="1"/>
  <c r="CC1561" i="5" s="1"/>
  <c r="BT4" i="5"/>
  <c r="BX4" i="5" s="1"/>
  <c r="BY4" i="5" s="1"/>
  <c r="CC4" i="5" s="1"/>
  <c r="BT76" i="5"/>
  <c r="BX76" i="5" s="1"/>
  <c r="BY76" i="5" s="1"/>
  <c r="CC76" i="5" s="1"/>
  <c r="BT148" i="5"/>
  <c r="BX148" i="5" s="1"/>
  <c r="BY148" i="5" s="1"/>
  <c r="CC148" i="5" s="1"/>
  <c r="BT281" i="5"/>
  <c r="BX281" i="5" s="1"/>
  <c r="BY281" i="5" s="1"/>
  <c r="CC281" i="5" s="1"/>
  <c r="BT569" i="5"/>
  <c r="BX569" i="5" s="1"/>
  <c r="BY569" i="5" s="1"/>
  <c r="CC569" i="5" s="1"/>
  <c r="BT780" i="5"/>
  <c r="BX780" i="5" s="1"/>
  <c r="BY780" i="5" s="1"/>
  <c r="CC780" i="5" s="1"/>
  <c r="BT950" i="5"/>
  <c r="BX950" i="5" s="1"/>
  <c r="BY950" i="5" s="1"/>
  <c r="CC950" i="5" s="1"/>
  <c r="BT1310" i="5"/>
  <c r="BX1310" i="5" s="1"/>
  <c r="BY1310" i="5" s="1"/>
  <c r="CC1310" i="5" s="1"/>
  <c r="BT1370" i="5"/>
  <c r="BX1370" i="5" s="1"/>
  <c r="BY1370" i="5" s="1"/>
  <c r="CC1370" i="5" s="1"/>
  <c r="BT1526" i="5"/>
  <c r="BX1526" i="5" s="1"/>
  <c r="BY1526" i="5" s="1"/>
  <c r="CC1526" i="5" s="1"/>
  <c r="BT1562" i="5"/>
  <c r="BX1562" i="5" s="1"/>
  <c r="BY1562" i="5" s="1"/>
  <c r="CC1562" i="5" s="1"/>
  <c r="BT1646" i="5"/>
  <c r="BX1646" i="5" s="1"/>
  <c r="BY1646" i="5" s="1"/>
  <c r="CC1646" i="5" s="1"/>
  <c r="BT1706" i="5"/>
  <c r="BX1706" i="5" s="1"/>
  <c r="BY1706" i="5" s="1"/>
  <c r="CC1706" i="5" s="1"/>
  <c r="BT5" i="5"/>
  <c r="BX5" i="5" s="1"/>
  <c r="BY5" i="5" s="1"/>
  <c r="CC5" i="5" s="1"/>
  <c r="BT77" i="5"/>
  <c r="BX77" i="5" s="1"/>
  <c r="BY77" i="5" s="1"/>
  <c r="CC77" i="5" s="1"/>
  <c r="BT149" i="5"/>
  <c r="BX149" i="5" s="1"/>
  <c r="BY149" i="5" s="1"/>
  <c r="CC149" i="5" s="1"/>
  <c r="BT292" i="5"/>
  <c r="BX292" i="5" s="1"/>
  <c r="BY292" i="5" s="1"/>
  <c r="CC292" i="5" s="1"/>
  <c r="BT508" i="5"/>
  <c r="BX508" i="5" s="1"/>
  <c r="BY508" i="5" s="1"/>
  <c r="CC508" i="5" s="1"/>
  <c r="BT880" i="5"/>
  <c r="BX880" i="5" s="1"/>
  <c r="BY880" i="5" s="1"/>
  <c r="CC880" i="5" s="1"/>
  <c r="BT987" i="5"/>
  <c r="BX987" i="5" s="1"/>
  <c r="BY987" i="5" s="1"/>
  <c r="CC987" i="5" s="1"/>
  <c r="BT1131" i="5"/>
  <c r="BX1131" i="5" s="1"/>
  <c r="BY1131" i="5" s="1"/>
  <c r="CC1131" i="5" s="1"/>
  <c r="BT1275" i="5"/>
  <c r="BX1275" i="5" s="1"/>
  <c r="BY1275" i="5" s="1"/>
  <c r="CC1275" i="5" s="1"/>
  <c r="BT1347" i="5"/>
  <c r="BX1347" i="5" s="1"/>
  <c r="BY1347" i="5" s="1"/>
  <c r="CC1347" i="5" s="1"/>
  <c r="BT1359" i="5"/>
  <c r="BX1359" i="5" s="1"/>
  <c r="BY1359" i="5" s="1"/>
  <c r="CC1359" i="5" s="1"/>
  <c r="BT1659" i="5"/>
  <c r="BX1659" i="5" s="1"/>
  <c r="BY1659" i="5" s="1"/>
  <c r="CC1659" i="5" s="1"/>
  <c r="BT88" i="5"/>
  <c r="BX88" i="5" s="1"/>
  <c r="BY88" i="5" s="1"/>
  <c r="CC88" i="5" s="1"/>
  <c r="BT160" i="5"/>
  <c r="BX160" i="5" s="1"/>
  <c r="BY160" i="5" s="1"/>
  <c r="CC160" i="5" s="1"/>
  <c r="BT293" i="5"/>
  <c r="BX293" i="5" s="1"/>
  <c r="BY293" i="5" s="1"/>
  <c r="CC293" i="5" s="1"/>
  <c r="BT509" i="5"/>
  <c r="BX509" i="5" s="1"/>
  <c r="BY509" i="5" s="1"/>
  <c r="CC509" i="5" s="1"/>
  <c r="BT581" i="5"/>
  <c r="BX581" i="5" s="1"/>
  <c r="BY581" i="5" s="1"/>
  <c r="CC581" i="5" s="1"/>
  <c r="BT785" i="5"/>
  <c r="BX785" i="5" s="1"/>
  <c r="BY785" i="5" s="1"/>
  <c r="CC785" i="5" s="1"/>
  <c r="BT881" i="5"/>
  <c r="BX881" i="5" s="1"/>
  <c r="BY881" i="5" s="1"/>
  <c r="CC881" i="5" s="1"/>
  <c r="BT1288" i="5"/>
  <c r="BX1288" i="5" s="1"/>
  <c r="BY1288" i="5" s="1"/>
  <c r="CC1288" i="5" s="1"/>
  <c r="BT1300" i="5"/>
  <c r="BX1300" i="5" s="1"/>
  <c r="BY1300" i="5" s="1"/>
  <c r="CC1300" i="5" s="1"/>
  <c r="BT1432" i="5"/>
  <c r="BX1432" i="5" s="1"/>
  <c r="BY1432" i="5" s="1"/>
  <c r="CC1432" i="5" s="1"/>
  <c r="BT1492" i="5"/>
  <c r="BX1492" i="5" s="1"/>
  <c r="BY1492" i="5" s="1"/>
  <c r="CC1492" i="5" s="1"/>
  <c r="BT17" i="5"/>
  <c r="BX17" i="5" s="1"/>
  <c r="BY17" i="5" s="1"/>
  <c r="CC17" i="5" s="1"/>
  <c r="BT161" i="5"/>
  <c r="BX161" i="5" s="1"/>
  <c r="BY161" i="5" s="1"/>
  <c r="CC161" i="5" s="1"/>
  <c r="BT304" i="5"/>
  <c r="BX304" i="5" s="1"/>
  <c r="BY304" i="5" s="1"/>
  <c r="CC304" i="5" s="1"/>
  <c r="BT448" i="5"/>
  <c r="BX448" i="5" s="1"/>
  <c r="BY448" i="5" s="1"/>
  <c r="CC448" i="5" s="1"/>
  <c r="BT953" i="5"/>
  <c r="BX953" i="5" s="1"/>
  <c r="BY953" i="5" s="1"/>
  <c r="CC953" i="5" s="1"/>
  <c r="BT1061" i="5"/>
  <c r="BX1061" i="5" s="1"/>
  <c r="BY1061" i="5" s="1"/>
  <c r="CC1061" i="5" s="1"/>
  <c r="BT1109" i="5"/>
  <c r="BX1109" i="5" s="1"/>
  <c r="BY1109" i="5" s="1"/>
  <c r="CC1109" i="5" s="1"/>
  <c r="BT1217" i="5"/>
  <c r="BX1217" i="5" s="1"/>
  <c r="BY1217" i="5" s="1"/>
  <c r="CC1217" i="5" s="1"/>
  <c r="BT1253" i="5"/>
  <c r="BX1253" i="5" s="1"/>
  <c r="BY1253" i="5" s="1"/>
  <c r="CC1253" i="5" s="1"/>
  <c r="BT1337" i="5"/>
  <c r="BX1337" i="5" s="1"/>
  <c r="BY1337" i="5" s="1"/>
  <c r="CC1337" i="5" s="1"/>
  <c r="BT1361" i="5"/>
  <c r="BX1361" i="5" s="1"/>
  <c r="BY1361" i="5" s="1"/>
  <c r="CC1361" i="5" s="1"/>
  <c r="BT1433" i="5"/>
  <c r="BX1433" i="5" s="1"/>
  <c r="BY1433" i="5" s="1"/>
  <c r="CC1433" i="5" s="1"/>
  <c r="BT1601" i="5"/>
  <c r="BX1601" i="5" s="1"/>
  <c r="BY1601" i="5" s="1"/>
  <c r="CC1601" i="5" s="1"/>
  <c r="BT28" i="5"/>
  <c r="BX28" i="5" s="1"/>
  <c r="BY28" i="5" s="1"/>
  <c r="CC28" i="5" s="1"/>
  <c r="BT100" i="5"/>
  <c r="BX100" i="5" s="1"/>
  <c r="BY100" i="5" s="1"/>
  <c r="CC100" i="5" s="1"/>
  <c r="BT172" i="5"/>
  <c r="BX172" i="5" s="1"/>
  <c r="BY172" i="5" s="1"/>
  <c r="CC172" i="5" s="1"/>
  <c r="BT233" i="5"/>
  <c r="BX233" i="5" s="1"/>
  <c r="BY233" i="5" s="1"/>
  <c r="CC233" i="5" s="1"/>
  <c r="BT449" i="5"/>
  <c r="BX449" i="5" s="1"/>
  <c r="BY449" i="5" s="1"/>
  <c r="CC449" i="5" s="1"/>
  <c r="BT521" i="5"/>
  <c r="BX521" i="5" s="1"/>
  <c r="BY521" i="5" s="1"/>
  <c r="CC521" i="5" s="1"/>
  <c r="BT942" i="5"/>
  <c r="BX942" i="5" s="1"/>
  <c r="BY942" i="5" s="1"/>
  <c r="CC942" i="5" s="1"/>
  <c r="BT990" i="5"/>
  <c r="BX990" i="5" s="1"/>
  <c r="BY990" i="5" s="1"/>
  <c r="CC990" i="5" s="1"/>
  <c r="BT1086" i="5"/>
  <c r="BX1086" i="5" s="1"/>
  <c r="BY1086" i="5" s="1"/>
  <c r="CC1086" i="5" s="1"/>
  <c r="BT1134" i="5"/>
  <c r="BX1134" i="5" s="1"/>
  <c r="BY1134" i="5" s="1"/>
  <c r="CC1134" i="5" s="1"/>
  <c r="BT1278" i="5"/>
  <c r="BX1278" i="5" s="1"/>
  <c r="BY1278" i="5" s="1"/>
  <c r="CC1278" i="5" s="1"/>
  <c r="BT1350" i="5"/>
  <c r="BX1350" i="5" s="1"/>
  <c r="BY1350" i="5" s="1"/>
  <c r="CC1350" i="5" s="1"/>
  <c r="BT1386" i="5"/>
  <c r="BX1386" i="5" s="1"/>
  <c r="BY1386" i="5" s="1"/>
  <c r="CC1386" i="5" s="1"/>
  <c r="BT1494" i="5"/>
  <c r="BX1494" i="5" s="1"/>
  <c r="BY1494" i="5" s="1"/>
  <c r="CC1494" i="5" s="1"/>
  <c r="BT1734" i="5"/>
  <c r="BX1734" i="5" s="1"/>
  <c r="BY1734" i="5" s="1"/>
  <c r="CC1734" i="5" s="1"/>
  <c r="BT388" i="5"/>
  <c r="BX388" i="5" s="1"/>
  <c r="BY388" i="5" s="1"/>
  <c r="CC388" i="5" s="1"/>
  <c r="BT967" i="5"/>
  <c r="BX967" i="5" s="1"/>
  <c r="BY967" i="5" s="1"/>
  <c r="CC967" i="5" s="1"/>
  <c r="BT1543" i="5"/>
  <c r="BX1543" i="5" s="1"/>
  <c r="BY1543" i="5" s="1"/>
  <c r="CC1543" i="5" s="1"/>
  <c r="BT1644" i="5"/>
  <c r="BX1644" i="5" s="1"/>
  <c r="BY1644" i="5" s="1"/>
  <c r="CC1644" i="5" s="1"/>
  <c r="BT2473" i="5"/>
  <c r="BX2473" i="5" s="1"/>
  <c r="BY2473" i="5" s="1"/>
  <c r="CC2473" i="5" s="1"/>
  <c r="BT2485" i="5"/>
  <c r="BX2485" i="5" s="1"/>
  <c r="BY2485" i="5" s="1"/>
  <c r="CC2485" i="5" s="1"/>
  <c r="BT2030" i="5"/>
  <c r="BX2030" i="5" s="1"/>
  <c r="BY2030" i="5" s="1"/>
  <c r="CC2030" i="5" s="1"/>
  <c r="BT2066" i="5"/>
  <c r="BX2066" i="5" s="1"/>
  <c r="BY2066" i="5" s="1"/>
  <c r="CC2066" i="5" s="1"/>
  <c r="BT532" i="5"/>
  <c r="BX532" i="5" s="1"/>
  <c r="BY532" i="5" s="1"/>
  <c r="CC532" i="5" s="1"/>
  <c r="BT1923" i="5"/>
  <c r="BX1923" i="5" s="1"/>
  <c r="BY1923" i="5" s="1"/>
  <c r="CC1923" i="5" s="1"/>
  <c r="BT2235" i="5"/>
  <c r="BX2235" i="5" s="1"/>
  <c r="BY2235" i="5" s="1"/>
  <c r="CC2235" i="5" s="1"/>
  <c r="BT2427" i="5"/>
  <c r="BX2427" i="5" s="1"/>
  <c r="BY2427" i="5" s="1"/>
  <c r="CC2427" i="5" s="1"/>
  <c r="BT2451" i="5"/>
  <c r="BX2451" i="5" s="1"/>
  <c r="BY2451" i="5" s="1"/>
  <c r="CC2451" i="5" s="1"/>
  <c r="BT1003" i="5"/>
  <c r="BX1003" i="5" s="1"/>
  <c r="BY1003" i="5" s="1"/>
  <c r="CC1003" i="5" s="1"/>
  <c r="BT1291" i="5"/>
  <c r="BX1291" i="5" s="1"/>
  <c r="BY1291" i="5" s="1"/>
  <c r="CC1291" i="5" s="1"/>
  <c r="BT1780" i="5"/>
  <c r="BX1780" i="5" s="1"/>
  <c r="BY1780" i="5" s="1"/>
  <c r="CC1780" i="5" s="1"/>
  <c r="BT2452" i="5"/>
  <c r="BX2452" i="5" s="1"/>
  <c r="BY2452" i="5" s="1"/>
  <c r="CC2452" i="5" s="1"/>
  <c r="BT1769" i="5"/>
  <c r="BX1769" i="5" s="1"/>
  <c r="BY1769" i="5" s="1"/>
  <c r="CC1769" i="5" s="1"/>
  <c r="BT2105" i="5"/>
  <c r="BX2105" i="5" s="1"/>
  <c r="BY2105" i="5" s="1"/>
  <c r="CC2105" i="5" s="1"/>
  <c r="BT29" i="5"/>
  <c r="BX29" i="5" s="1"/>
  <c r="BY29" i="5" s="1"/>
  <c r="CC29" i="5" s="1"/>
  <c r="BT748" i="5"/>
  <c r="BX748" i="5" s="1"/>
  <c r="BY748" i="5" s="1"/>
  <c r="CC748" i="5" s="1"/>
  <c r="BT1315" i="5"/>
  <c r="BX1315" i="5" s="1"/>
  <c r="BY1315" i="5" s="1"/>
  <c r="CC1315" i="5" s="1"/>
  <c r="BT1914" i="5"/>
  <c r="BX1914" i="5" s="1"/>
  <c r="BY1914" i="5" s="1"/>
  <c r="CC1914" i="5" s="1"/>
  <c r="BT1926" i="5"/>
  <c r="BX1926" i="5" s="1"/>
  <c r="BY1926" i="5" s="1"/>
  <c r="CC1926" i="5" s="1"/>
  <c r="BT2094" i="5"/>
  <c r="BX2094" i="5" s="1"/>
  <c r="BY2094" i="5" s="1"/>
  <c r="CC2094" i="5" s="1"/>
  <c r="BT2202" i="5"/>
  <c r="BX2202" i="5" s="1"/>
  <c r="BY2202" i="5" s="1"/>
  <c r="CC2202" i="5" s="1"/>
  <c r="BT2406" i="5"/>
  <c r="BX2406" i="5" s="1"/>
  <c r="BY2406" i="5" s="1"/>
  <c r="CC2406" i="5" s="1"/>
  <c r="BT2454" i="5"/>
  <c r="BX2454" i="5" s="1"/>
  <c r="BY2454" i="5" s="1"/>
  <c r="CC2454" i="5" s="1"/>
  <c r="BT2466" i="5"/>
  <c r="BX2466" i="5" s="1"/>
  <c r="BY2466" i="5" s="1"/>
  <c r="CC2466" i="5" s="1"/>
  <c r="BT101" i="5"/>
  <c r="BX101" i="5" s="1"/>
  <c r="BY101" i="5" s="1"/>
  <c r="CC101" i="5" s="1"/>
  <c r="BT2239" i="5"/>
  <c r="BX2239" i="5" s="1"/>
  <c r="BY2239" i="5" s="1"/>
  <c r="CC2239" i="5" s="1"/>
  <c r="BT2407" i="5"/>
  <c r="BX2407" i="5" s="1"/>
  <c r="BY2407" i="5" s="1"/>
  <c r="CC2407" i="5" s="1"/>
  <c r="BT173" i="5"/>
  <c r="BX173" i="5" s="1"/>
  <c r="BY173" i="5" s="1"/>
  <c r="CC173" i="5" s="1"/>
  <c r="BT1051" i="5"/>
  <c r="BX1051" i="5" s="1"/>
  <c r="BY1051" i="5" s="1"/>
  <c r="CC1051" i="5" s="1"/>
  <c r="BT1904" i="5"/>
  <c r="BX1904" i="5" s="1"/>
  <c r="BY1904" i="5" s="1"/>
  <c r="CC1904" i="5" s="1"/>
  <c r="BT2048" i="5"/>
  <c r="BX2048" i="5" s="1"/>
  <c r="BY2048" i="5" s="1"/>
  <c r="CC2048" i="5" s="1"/>
  <c r="BT1207" i="5"/>
  <c r="BX1207" i="5" s="1"/>
  <c r="BY1207" i="5" s="1"/>
  <c r="CC1207" i="5" s="1"/>
  <c r="BT1761" i="5"/>
  <c r="BX1761" i="5" s="1"/>
  <c r="BY1761" i="5" s="1"/>
  <c r="CC1761" i="5" s="1"/>
  <c r="BT931" i="5"/>
  <c r="BX931" i="5" s="1"/>
  <c r="BY931" i="5" s="1"/>
  <c r="CC931" i="5" s="1"/>
  <c r="BT2038" i="5"/>
  <c r="BX2038" i="5" s="1"/>
  <c r="BY2038" i="5" s="1"/>
  <c r="CC2038" i="5" s="1"/>
  <c r="BT2290" i="5"/>
  <c r="BX2290" i="5" s="1"/>
  <c r="BY2290" i="5" s="1"/>
  <c r="CC2290" i="5" s="1"/>
  <c r="BT244" i="5"/>
  <c r="BX244" i="5" s="1"/>
  <c r="BY244" i="5" s="1"/>
  <c r="CC244" i="5" s="1"/>
  <c r="BT1375" i="5"/>
  <c r="BX1375" i="5" s="1"/>
  <c r="BY1375" i="5" s="1"/>
  <c r="CC1375" i="5" s="1"/>
  <c r="BT316" i="5"/>
  <c r="BX316" i="5" s="1"/>
  <c r="BY316" i="5" s="1"/>
  <c r="CC316" i="5" s="1"/>
  <c r="BT1387" i="5"/>
  <c r="BX1387" i="5" s="1"/>
  <c r="BY1387" i="5" s="1"/>
  <c r="CC1387" i="5" s="1"/>
  <c r="BT1848" i="5"/>
  <c r="BX1848" i="5" s="1"/>
  <c r="BY1848" i="5" s="1"/>
  <c r="CC1848" i="5" s="1"/>
  <c r="BT2232" i="5"/>
  <c r="BX2232" i="5" s="1"/>
  <c r="BY2232" i="5" s="1"/>
  <c r="CC2232" i="5" s="1"/>
  <c r="BT2328" i="5"/>
  <c r="BX2328" i="5" s="1"/>
  <c r="BY2328" i="5" s="1"/>
  <c r="CC2328" i="5" s="1"/>
  <c r="BT2412" i="5"/>
  <c r="BX2412" i="5" s="1"/>
  <c r="BY2412" i="5" s="1"/>
  <c r="CC2412" i="5" s="1"/>
  <c r="BT2460" i="5"/>
  <c r="BX2460" i="5" s="1"/>
  <c r="BY2460" i="5" s="1"/>
  <c r="CC2460" i="5" s="1"/>
  <c r="BT896" i="5"/>
  <c r="BX896" i="5" s="1"/>
  <c r="BY896" i="5" s="1"/>
  <c r="CC896" i="5" s="1"/>
  <c r="BT574" i="5"/>
  <c r="BX574" i="5" s="1"/>
  <c r="BY574" i="5" s="1"/>
  <c r="CC574" i="5" s="1"/>
  <c r="BT802" i="5"/>
  <c r="BX802" i="5" s="1"/>
  <c r="BY802" i="5" s="1"/>
  <c r="CC802" i="5" s="1"/>
  <c r="BT874" i="5"/>
  <c r="BX874" i="5" s="1"/>
  <c r="BY874" i="5" s="1"/>
  <c r="CC874" i="5" s="1"/>
  <c r="BT759" i="5"/>
  <c r="BX759" i="5" s="1"/>
  <c r="BY759" i="5" s="1"/>
  <c r="CC759" i="5" s="1"/>
  <c r="BT980" i="5"/>
  <c r="BX980" i="5" s="1"/>
  <c r="BY980" i="5" s="1"/>
  <c r="CC980" i="5" s="1"/>
  <c r="BT1280" i="5"/>
  <c r="BX1280" i="5" s="1"/>
  <c r="BY1280" i="5" s="1"/>
  <c r="CC1280" i="5" s="1"/>
  <c r="BT1700" i="5"/>
  <c r="BX1700" i="5" s="1"/>
  <c r="BY1700" i="5" s="1"/>
  <c r="CC1700" i="5" s="1"/>
  <c r="BT1736" i="5"/>
  <c r="BX1736" i="5" s="1"/>
  <c r="BY1736" i="5" s="1"/>
  <c r="CC1736" i="5" s="1"/>
  <c r="BT981" i="5"/>
  <c r="BX981" i="5" s="1"/>
  <c r="BY981" i="5" s="1"/>
  <c r="CC981" i="5" s="1"/>
  <c r="BT1029" i="5"/>
  <c r="BX1029" i="5" s="1"/>
  <c r="BY1029" i="5" s="1"/>
  <c r="CC1029" i="5" s="1"/>
  <c r="BT1089" i="5"/>
  <c r="BX1089" i="5" s="1"/>
  <c r="BY1089" i="5" s="1"/>
  <c r="CC1089" i="5" s="1"/>
  <c r="BT1437" i="5"/>
  <c r="BX1437" i="5" s="1"/>
  <c r="BY1437" i="5" s="1"/>
  <c r="CC1437" i="5" s="1"/>
  <c r="BT1497" i="5"/>
  <c r="BX1497" i="5" s="1"/>
  <c r="BY1497" i="5" s="1"/>
  <c r="CC1497" i="5" s="1"/>
  <c r="BT1270" i="5"/>
  <c r="BX1270" i="5" s="1"/>
  <c r="BY1270" i="5" s="1"/>
  <c r="CC1270" i="5" s="1"/>
  <c r="BT1630" i="5"/>
  <c r="BX1630" i="5" s="1"/>
  <c r="BY1630" i="5" s="1"/>
  <c r="CC1630" i="5" s="1"/>
  <c r="BT1295" i="5"/>
  <c r="BX1295" i="5" s="1"/>
  <c r="BY1295" i="5" s="1"/>
  <c r="CC1295" i="5" s="1"/>
  <c r="BT1415" i="5"/>
  <c r="BX1415" i="5" s="1"/>
  <c r="BY1415" i="5" s="1"/>
  <c r="CC1415" i="5" s="1"/>
  <c r="BT1451" i="5"/>
  <c r="BX1451" i="5" s="1"/>
  <c r="BY1451" i="5" s="1"/>
  <c r="CC1451" i="5" s="1"/>
  <c r="BT1487" i="5"/>
  <c r="BX1487" i="5" s="1"/>
  <c r="BY1487" i="5" s="1"/>
  <c r="CC1487" i="5" s="1"/>
  <c r="BT1619" i="5"/>
  <c r="BX1619" i="5" s="1"/>
  <c r="BY1619" i="5" s="1"/>
  <c r="CC1619" i="5" s="1"/>
  <c r="BT1140" i="5"/>
  <c r="BX1140" i="5" s="1"/>
  <c r="BY1140" i="5" s="1"/>
  <c r="CC1140" i="5" s="1"/>
  <c r="BT1152" i="5"/>
  <c r="BX1152" i="5" s="1"/>
  <c r="BY1152" i="5" s="1"/>
  <c r="CC1152" i="5" s="1"/>
  <c r="BT1560" i="5"/>
  <c r="BX1560" i="5" s="1"/>
  <c r="BY1560" i="5" s="1"/>
  <c r="CC1560" i="5" s="1"/>
  <c r="BT1033" i="5"/>
  <c r="BX1033" i="5" s="1"/>
  <c r="BY1033" i="5" s="1"/>
  <c r="CC1033" i="5" s="1"/>
  <c r="BT1249" i="5"/>
  <c r="BX1249" i="5" s="1"/>
  <c r="BY1249" i="5" s="1"/>
  <c r="CC1249" i="5" s="1"/>
  <c r="BT1597" i="5"/>
  <c r="BX1597" i="5" s="1"/>
  <c r="BY1597" i="5" s="1"/>
  <c r="CC1597" i="5" s="1"/>
  <c r="BT1070" i="5"/>
  <c r="BX1070" i="5" s="1"/>
  <c r="BY1070" i="5" s="1"/>
  <c r="CC1070" i="5" s="1"/>
  <c r="BT1334" i="5"/>
  <c r="BX1334" i="5" s="1"/>
  <c r="BY1334" i="5" s="1"/>
  <c r="CC1334" i="5" s="1"/>
  <c r="BT1742" i="5"/>
  <c r="BX1742" i="5" s="1"/>
  <c r="BY1742" i="5" s="1"/>
  <c r="CC1742" i="5" s="1"/>
  <c r="BT1707" i="5"/>
  <c r="BX1707" i="5" s="1"/>
  <c r="BY1707" i="5" s="1"/>
  <c r="CC1707" i="5" s="1"/>
  <c r="BT1719" i="5"/>
  <c r="BX1719" i="5" s="1"/>
  <c r="BY1719" i="5" s="1"/>
  <c r="CC1719" i="5" s="1"/>
  <c r="BT1624" i="5"/>
  <c r="BX1624" i="5" s="1"/>
  <c r="BY1624" i="5" s="1"/>
  <c r="CC1624" i="5" s="1"/>
  <c r="BT1720" i="5"/>
  <c r="BX1720" i="5" s="1"/>
  <c r="BY1720" i="5" s="1"/>
  <c r="CC1720" i="5" s="1"/>
  <c r="BT965" i="5"/>
  <c r="BX965" i="5" s="1"/>
  <c r="BY965" i="5" s="1"/>
  <c r="CC965" i="5" s="1"/>
  <c r="BT1037" i="5"/>
  <c r="BX1037" i="5" s="1"/>
  <c r="BY1037" i="5" s="1"/>
  <c r="CC1037" i="5" s="1"/>
  <c r="BT1349" i="5"/>
  <c r="BX1349" i="5" s="1"/>
  <c r="BY1349" i="5" s="1"/>
  <c r="CC1349" i="5" s="1"/>
  <c r="BT1218" i="5"/>
  <c r="BX1218" i="5" s="1"/>
  <c r="BY1218" i="5" s="1"/>
  <c r="CC1218" i="5" s="1"/>
  <c r="BT1410" i="5"/>
  <c r="BX1410" i="5" s="1"/>
  <c r="BY1410" i="5" s="1"/>
  <c r="CC1410" i="5" s="1"/>
  <c r="BT1434" i="5"/>
  <c r="BX1434" i="5" s="1"/>
  <c r="BY1434" i="5" s="1"/>
  <c r="CC1434" i="5" s="1"/>
  <c r="BT1650" i="5"/>
  <c r="BX1650" i="5" s="1"/>
  <c r="BY1650" i="5" s="1"/>
  <c r="CC1650" i="5" s="1"/>
  <c r="BT1801" i="5"/>
  <c r="BX1801" i="5" s="1"/>
  <c r="BY1801" i="5" s="1"/>
  <c r="CC1801" i="5" s="1"/>
  <c r="BT1909" i="5"/>
  <c r="BX1909" i="5" s="1"/>
  <c r="BY1909" i="5" s="1"/>
  <c r="CC1909" i="5" s="1"/>
  <c r="BT2029" i="5"/>
  <c r="BX2029" i="5" s="1"/>
  <c r="BY2029" i="5" s="1"/>
  <c r="CC2029" i="5" s="1"/>
  <c r="BT2041" i="5"/>
  <c r="BX2041" i="5" s="1"/>
  <c r="BY2041" i="5" s="1"/>
  <c r="CC2041" i="5" s="1"/>
  <c r="BT2053" i="5"/>
  <c r="BX2053" i="5" s="1"/>
  <c r="BY2053" i="5" s="1"/>
  <c r="CC2053" i="5" s="1"/>
  <c r="BT2137" i="5"/>
  <c r="BX2137" i="5" s="1"/>
  <c r="BY2137" i="5" s="1"/>
  <c r="CC2137" i="5" s="1"/>
  <c r="BT2149" i="5"/>
  <c r="BX2149" i="5" s="1"/>
  <c r="BY2149" i="5" s="1"/>
  <c r="CC2149" i="5" s="1"/>
  <c r="BT2161" i="5"/>
  <c r="BX2161" i="5" s="1"/>
  <c r="BY2161" i="5" s="1"/>
  <c r="CC2161" i="5" s="1"/>
  <c r="BT2245" i="5"/>
  <c r="BX2245" i="5" s="1"/>
  <c r="BY2245" i="5" s="1"/>
  <c r="CC2245" i="5" s="1"/>
  <c r="BT2257" i="5"/>
  <c r="BX2257" i="5" s="1"/>
  <c r="BY2257" i="5" s="1"/>
  <c r="CC2257" i="5" s="1"/>
  <c r="BT2281" i="5"/>
  <c r="BX2281" i="5" s="1"/>
  <c r="BY2281" i="5" s="1"/>
  <c r="CC2281" i="5" s="1"/>
  <c r="BT2293" i="5"/>
  <c r="BX2293" i="5" s="1"/>
  <c r="BY2293" i="5" s="1"/>
  <c r="CC2293" i="5" s="1"/>
  <c r="BT2317" i="5"/>
  <c r="BX2317" i="5" s="1"/>
  <c r="BY2317" i="5" s="1"/>
  <c r="CC2317" i="5" s="1"/>
  <c r="BT2353" i="5"/>
  <c r="BX2353" i="5" s="1"/>
  <c r="BY2353" i="5" s="1"/>
  <c r="CC2353" i="5" s="1"/>
  <c r="BT2365" i="5"/>
  <c r="BX2365" i="5" s="1"/>
  <c r="BY2365" i="5" s="1"/>
  <c r="CC2365" i="5" s="1"/>
  <c r="BT2377" i="5"/>
  <c r="BX2377" i="5" s="1"/>
  <c r="BY2377" i="5" s="1"/>
  <c r="CC2377" i="5" s="1"/>
  <c r="BT1838" i="5"/>
  <c r="BX1838" i="5" s="1"/>
  <c r="BY1838" i="5" s="1"/>
  <c r="CC1838" i="5" s="1"/>
  <c r="BT1946" i="5"/>
  <c r="BX1946" i="5" s="1"/>
  <c r="BY1946" i="5" s="1"/>
  <c r="CC1946" i="5" s="1"/>
  <c r="BT1982" i="5"/>
  <c r="BX1982" i="5" s="1"/>
  <c r="BY1982" i="5" s="1"/>
  <c r="CC1982" i="5" s="1"/>
  <c r="BT2018" i="5"/>
  <c r="BX2018" i="5" s="1"/>
  <c r="BY2018" i="5" s="1"/>
  <c r="CC2018" i="5" s="1"/>
  <c r="BT2042" i="5"/>
  <c r="BX2042" i="5" s="1"/>
  <c r="BY2042" i="5" s="1"/>
  <c r="CC2042" i="5" s="1"/>
  <c r="BT2174" i="5"/>
  <c r="BX2174" i="5" s="1"/>
  <c r="BY2174" i="5" s="1"/>
  <c r="CC2174" i="5" s="1"/>
  <c r="BT2186" i="5"/>
  <c r="BX2186" i="5" s="1"/>
  <c r="BY2186" i="5" s="1"/>
  <c r="CC2186" i="5" s="1"/>
  <c r="BT2198" i="5"/>
  <c r="BX2198" i="5" s="1"/>
  <c r="BY2198" i="5" s="1"/>
  <c r="CC2198" i="5" s="1"/>
  <c r="BT2234" i="5"/>
  <c r="BX2234" i="5" s="1"/>
  <c r="BY2234" i="5" s="1"/>
  <c r="CC2234" i="5" s="1"/>
  <c r="BT1779" i="5"/>
  <c r="BX1779" i="5" s="1"/>
  <c r="BY1779" i="5" s="1"/>
  <c r="CC1779" i="5" s="1"/>
  <c r="BT1803" i="5"/>
  <c r="BX1803" i="5" s="1"/>
  <c r="BY1803" i="5" s="1"/>
  <c r="CC1803" i="5" s="1"/>
  <c r="BT1815" i="5"/>
  <c r="BX1815" i="5" s="1"/>
  <c r="BY1815" i="5" s="1"/>
  <c r="CC1815" i="5" s="1"/>
  <c r="BT1887" i="5"/>
  <c r="BX1887" i="5" s="1"/>
  <c r="BY1887" i="5" s="1"/>
  <c r="CC1887" i="5" s="1"/>
  <c r="BT1935" i="5"/>
  <c r="BX1935" i="5" s="1"/>
  <c r="BY1935" i="5" s="1"/>
  <c r="CC1935" i="5" s="1"/>
  <c r="BT2007" i="5"/>
  <c r="BX2007" i="5" s="1"/>
  <c r="BY2007" i="5" s="1"/>
  <c r="CC2007" i="5" s="1"/>
  <c r="BT2055" i="5"/>
  <c r="BX2055" i="5" s="1"/>
  <c r="BY2055" i="5" s="1"/>
  <c r="CC2055" i="5" s="1"/>
  <c r="BT2079" i="5"/>
  <c r="BX2079" i="5" s="1"/>
  <c r="BY2079" i="5" s="1"/>
  <c r="CC2079" i="5" s="1"/>
  <c r="BT2091" i="5"/>
  <c r="BX2091" i="5" s="1"/>
  <c r="BY2091" i="5" s="1"/>
  <c r="CC2091" i="5" s="1"/>
  <c r="BT2139" i="5"/>
  <c r="BX2139" i="5" s="1"/>
  <c r="BY2139" i="5" s="1"/>
  <c r="CC2139" i="5" s="1"/>
  <c r="BT2151" i="5"/>
  <c r="BX2151" i="5" s="1"/>
  <c r="BY2151" i="5" s="1"/>
  <c r="CC2151" i="5" s="1"/>
  <c r="BT2187" i="5"/>
  <c r="BX2187" i="5" s="1"/>
  <c r="BY2187" i="5" s="1"/>
  <c r="CC2187" i="5" s="1"/>
  <c r="BT2199" i="5"/>
  <c r="BX2199" i="5" s="1"/>
  <c r="BY2199" i="5" s="1"/>
  <c r="CC2199" i="5" s="1"/>
  <c r="BT2211" i="5"/>
  <c r="BX2211" i="5" s="1"/>
  <c r="BY2211" i="5" s="1"/>
  <c r="CC2211" i="5" s="1"/>
  <c r="BT2223" i="5"/>
  <c r="BX2223" i="5" s="1"/>
  <c r="BY2223" i="5" s="1"/>
  <c r="CC2223" i="5" s="1"/>
  <c r="BT2271" i="5"/>
  <c r="BX2271" i="5" s="1"/>
  <c r="BY2271" i="5" s="1"/>
  <c r="CC2271" i="5" s="1"/>
  <c r="BT2283" i="5"/>
  <c r="BX2283" i="5" s="1"/>
  <c r="BY2283" i="5" s="1"/>
  <c r="CC2283" i="5" s="1"/>
  <c r="BT2307" i="5"/>
  <c r="BX2307" i="5" s="1"/>
  <c r="BY2307" i="5" s="1"/>
  <c r="CC2307" i="5" s="1"/>
  <c r="BT2331" i="5"/>
  <c r="BX2331" i="5" s="1"/>
  <c r="BY2331" i="5" s="1"/>
  <c r="CC2331" i="5" s="1"/>
  <c r="BT2367" i="5"/>
  <c r="BX2367" i="5" s="1"/>
  <c r="BY2367" i="5" s="1"/>
  <c r="CC2367" i="5" s="1"/>
  <c r="BT1912" i="5"/>
  <c r="BX1912" i="5" s="1"/>
  <c r="BY1912" i="5" s="1"/>
  <c r="CC1912" i="5" s="1"/>
  <c r="BT1984" i="5"/>
  <c r="BX1984" i="5" s="1"/>
  <c r="BY1984" i="5" s="1"/>
  <c r="CC1984" i="5" s="1"/>
  <c r="BT2032" i="5"/>
  <c r="BX2032" i="5" s="1"/>
  <c r="BY2032" i="5" s="1"/>
  <c r="CC2032" i="5" s="1"/>
  <c r="BT2080" i="5"/>
  <c r="BX2080" i="5" s="1"/>
  <c r="BY2080" i="5" s="1"/>
  <c r="CC2080" i="5" s="1"/>
  <c r="BT2128" i="5"/>
  <c r="BX2128" i="5" s="1"/>
  <c r="BY2128" i="5" s="1"/>
  <c r="CC2128" i="5" s="1"/>
  <c r="BT2140" i="5"/>
  <c r="BX2140" i="5" s="1"/>
  <c r="BY2140" i="5" s="1"/>
  <c r="CC2140" i="5" s="1"/>
  <c r="BT2176" i="5"/>
  <c r="BX2176" i="5" s="1"/>
  <c r="BY2176" i="5" s="1"/>
  <c r="CC2176" i="5" s="1"/>
  <c r="BT2188" i="5"/>
  <c r="BX2188" i="5" s="1"/>
  <c r="BY2188" i="5" s="1"/>
  <c r="CC2188" i="5" s="1"/>
  <c r="BT2200" i="5"/>
  <c r="BX2200" i="5" s="1"/>
  <c r="BY2200" i="5" s="1"/>
  <c r="CC2200" i="5" s="1"/>
  <c r="BT2272" i="5"/>
  <c r="BX2272" i="5" s="1"/>
  <c r="BY2272" i="5" s="1"/>
  <c r="CC2272" i="5" s="1"/>
  <c r="BT2320" i="5"/>
  <c r="BX2320" i="5" s="1"/>
  <c r="BY2320" i="5" s="1"/>
  <c r="CC2320" i="5" s="1"/>
  <c r="BT2392" i="5"/>
  <c r="BX2392" i="5" s="1"/>
  <c r="BY2392" i="5" s="1"/>
  <c r="CC2392" i="5" s="1"/>
  <c r="BT2416" i="5"/>
  <c r="BX2416" i="5" s="1"/>
  <c r="BY2416" i="5" s="1"/>
  <c r="CC2416" i="5" s="1"/>
  <c r="BT2428" i="5"/>
  <c r="BX2428" i="5" s="1"/>
  <c r="BY2428" i="5" s="1"/>
  <c r="CC2428" i="5" s="1"/>
  <c r="BT1853" i="5"/>
  <c r="BX1853" i="5" s="1"/>
  <c r="BY1853" i="5" s="1"/>
  <c r="CC1853" i="5" s="1"/>
  <c r="BT1985" i="5"/>
  <c r="BX1985" i="5" s="1"/>
  <c r="BY1985" i="5" s="1"/>
  <c r="CC1985" i="5" s="1"/>
  <c r="BT2021" i="5"/>
  <c r="BX2021" i="5" s="1"/>
  <c r="BY2021" i="5" s="1"/>
  <c r="CC2021" i="5" s="1"/>
  <c r="BT2057" i="5"/>
  <c r="BX2057" i="5" s="1"/>
  <c r="BY2057" i="5" s="1"/>
  <c r="CC2057" i="5" s="1"/>
  <c r="BT2189" i="5"/>
  <c r="BX2189" i="5" s="1"/>
  <c r="BY2189" i="5" s="1"/>
  <c r="CC2189" i="5" s="1"/>
  <c r="BT2225" i="5"/>
  <c r="BX2225" i="5" s="1"/>
  <c r="BY2225" i="5" s="1"/>
  <c r="CC2225" i="5" s="1"/>
  <c r="BT2357" i="5"/>
  <c r="BX2357" i="5" s="1"/>
  <c r="BY2357" i="5" s="1"/>
  <c r="CC2357" i="5" s="1"/>
  <c r="BT2369" i="5"/>
  <c r="BX2369" i="5" s="1"/>
  <c r="BY2369" i="5" s="1"/>
  <c r="CC2369" i="5" s="1"/>
  <c r="BT1758" i="5"/>
  <c r="BX1758" i="5" s="1"/>
  <c r="BY1758" i="5" s="1"/>
  <c r="CC1758" i="5" s="1"/>
  <c r="BT1866" i="5"/>
  <c r="BX1866" i="5" s="1"/>
  <c r="BY1866" i="5" s="1"/>
  <c r="CC1866" i="5" s="1"/>
  <c r="BT1974" i="5"/>
  <c r="BX1974" i="5" s="1"/>
  <c r="BY1974" i="5" s="1"/>
  <c r="CC1974" i="5" s="1"/>
  <c r="BT1986" i="5"/>
  <c r="BX1986" i="5" s="1"/>
  <c r="BY1986" i="5" s="1"/>
  <c r="CC1986" i="5" s="1"/>
  <c r="BT2070" i="5"/>
  <c r="BX2070" i="5" s="1"/>
  <c r="BY2070" i="5" s="1"/>
  <c r="CC2070" i="5" s="1"/>
  <c r="BT2130" i="5"/>
  <c r="BX2130" i="5" s="1"/>
  <c r="BY2130" i="5" s="1"/>
  <c r="CC2130" i="5" s="1"/>
  <c r="BT2154" i="5"/>
  <c r="BX2154" i="5" s="1"/>
  <c r="BY2154" i="5" s="1"/>
  <c r="CC2154" i="5" s="1"/>
  <c r="BT2178" i="5"/>
  <c r="BX2178" i="5" s="1"/>
  <c r="BY2178" i="5" s="1"/>
  <c r="CC2178" i="5" s="1"/>
  <c r="BT2250" i="5"/>
  <c r="BX2250" i="5" s="1"/>
  <c r="BY2250" i="5" s="1"/>
  <c r="CC2250" i="5" s="1"/>
  <c r="BT2262" i="5"/>
  <c r="BX2262" i="5" s="1"/>
  <c r="BY2262" i="5" s="1"/>
  <c r="CC2262" i="5" s="1"/>
  <c r="BT2370" i="5"/>
  <c r="BX2370" i="5" s="1"/>
  <c r="BY2370" i="5" s="1"/>
  <c r="CC2370" i="5" s="1"/>
  <c r="BT2382" i="5"/>
  <c r="BX2382" i="5" s="1"/>
  <c r="BY2382" i="5" s="1"/>
  <c r="CC2382" i="5" s="1"/>
  <c r="BT1831" i="5"/>
  <c r="BX1831" i="5" s="1"/>
  <c r="BY1831" i="5" s="1"/>
  <c r="CC1831" i="5" s="1"/>
  <c r="BT1879" i="5"/>
  <c r="BX1879" i="5" s="1"/>
  <c r="BY1879" i="5" s="1"/>
  <c r="CC1879" i="5" s="1"/>
  <c r="BT1927" i="5"/>
  <c r="BX1927" i="5" s="1"/>
  <c r="BY1927" i="5" s="1"/>
  <c r="CC1927" i="5" s="1"/>
  <c r="BT1951" i="5"/>
  <c r="BX1951" i="5" s="1"/>
  <c r="BY1951" i="5" s="1"/>
  <c r="CC1951" i="5" s="1"/>
  <c r="BT1999" i="5"/>
  <c r="BX1999" i="5" s="1"/>
  <c r="BY1999" i="5" s="1"/>
  <c r="CC1999" i="5" s="1"/>
  <c r="BT2035" i="5"/>
  <c r="BX2035" i="5" s="1"/>
  <c r="BY2035" i="5" s="1"/>
  <c r="CC2035" i="5" s="1"/>
  <c r="BT2119" i="5"/>
  <c r="BX2119" i="5" s="1"/>
  <c r="BY2119" i="5" s="1"/>
  <c r="CC2119" i="5" s="1"/>
  <c r="BT2179" i="5"/>
  <c r="BX2179" i="5" s="1"/>
  <c r="BY2179" i="5" s="1"/>
  <c r="CC2179" i="5" s="1"/>
  <c r="BT2191" i="5"/>
  <c r="BX2191" i="5" s="1"/>
  <c r="BY2191" i="5" s="1"/>
  <c r="CC2191" i="5" s="1"/>
  <c r="BT2215" i="5"/>
  <c r="BX2215" i="5" s="1"/>
  <c r="BY2215" i="5" s="1"/>
  <c r="CC2215" i="5" s="1"/>
  <c r="BT2275" i="5"/>
  <c r="BX2275" i="5" s="1"/>
  <c r="BY2275" i="5" s="1"/>
  <c r="CC2275" i="5" s="1"/>
  <c r="BT2431" i="5"/>
  <c r="BX2431" i="5" s="1"/>
  <c r="BY2431" i="5" s="1"/>
  <c r="CC2431" i="5" s="1"/>
  <c r="BT2443" i="5"/>
  <c r="BX2443" i="5" s="1"/>
  <c r="BY2443" i="5" s="1"/>
  <c r="CC2443" i="5" s="1"/>
  <c r="BT2479" i="5"/>
  <c r="BX2479" i="5" s="1"/>
  <c r="BY2479" i="5" s="1"/>
  <c r="CC2479" i="5" s="1"/>
  <c r="BT1796" i="5"/>
  <c r="BX1796" i="5" s="1"/>
  <c r="BY1796" i="5" s="1"/>
  <c r="CC1796" i="5" s="1"/>
  <c r="BT1892" i="5"/>
  <c r="BX1892" i="5" s="1"/>
  <c r="BY1892" i="5" s="1"/>
  <c r="CC1892" i="5" s="1"/>
  <c r="BT1928" i="5"/>
  <c r="BX1928" i="5" s="1"/>
  <c r="BY1928" i="5" s="1"/>
  <c r="CC1928" i="5" s="1"/>
  <c r="BT1976" i="5"/>
  <c r="BX1976" i="5" s="1"/>
  <c r="BY1976" i="5" s="1"/>
  <c r="CC1976" i="5" s="1"/>
  <c r="BT2036" i="5"/>
  <c r="BX2036" i="5" s="1"/>
  <c r="BY2036" i="5" s="1"/>
  <c r="CC2036" i="5" s="1"/>
  <c r="BT2060" i="5"/>
  <c r="BX2060" i="5" s="1"/>
  <c r="BY2060" i="5" s="1"/>
  <c r="CC2060" i="5" s="1"/>
  <c r="BT2072" i="5"/>
  <c r="BX2072" i="5" s="1"/>
  <c r="BY2072" i="5" s="1"/>
  <c r="CC2072" i="5" s="1"/>
  <c r="BT2096" i="5"/>
  <c r="BX2096" i="5" s="1"/>
  <c r="BY2096" i="5" s="1"/>
  <c r="CC2096" i="5" s="1"/>
  <c r="BT2108" i="5"/>
  <c r="BX2108" i="5" s="1"/>
  <c r="BY2108" i="5" s="1"/>
  <c r="CC2108" i="5" s="1"/>
  <c r="BT2120" i="5"/>
  <c r="BX2120" i="5" s="1"/>
  <c r="BY2120" i="5" s="1"/>
  <c r="CC2120" i="5" s="1"/>
  <c r="BT2264" i="5"/>
  <c r="BX2264" i="5" s="1"/>
  <c r="BY2264" i="5" s="1"/>
  <c r="CC2264" i="5" s="1"/>
  <c r="BT2288" i="5"/>
  <c r="BX2288" i="5" s="1"/>
  <c r="BY2288" i="5" s="1"/>
  <c r="CC2288" i="5" s="1"/>
  <c r="BT2336" i="5"/>
  <c r="BX2336" i="5" s="1"/>
  <c r="BY2336" i="5" s="1"/>
  <c r="CC2336" i="5" s="1"/>
  <c r="BT2360" i="5"/>
  <c r="BX2360" i="5" s="1"/>
  <c r="BY2360" i="5" s="1"/>
  <c r="CC2360" i="5" s="1"/>
  <c r="BT2456" i="5"/>
  <c r="BX2456" i="5" s="1"/>
  <c r="BY2456" i="5" s="1"/>
  <c r="CC2456" i="5" s="1"/>
  <c r="BT2468" i="5"/>
  <c r="BX2468" i="5" s="1"/>
  <c r="BY2468" i="5" s="1"/>
  <c r="CC2468" i="5" s="1"/>
  <c r="BT1797" i="5"/>
  <c r="BX1797" i="5" s="1"/>
  <c r="BY1797" i="5" s="1"/>
  <c r="CC1797" i="5" s="1"/>
  <c r="BT2157" i="5"/>
  <c r="BX2157" i="5" s="1"/>
  <c r="BY2157" i="5" s="1"/>
  <c r="CC2157" i="5" s="1"/>
  <c r="BT2169" i="5"/>
  <c r="BX2169" i="5" s="1"/>
  <c r="BY2169" i="5" s="1"/>
  <c r="CC2169" i="5" s="1"/>
  <c r="BT2253" i="5"/>
  <c r="BX2253" i="5" s="1"/>
  <c r="BY2253" i="5" s="1"/>
  <c r="CC2253" i="5" s="1"/>
  <c r="BT2313" i="5"/>
  <c r="BX2313" i="5" s="1"/>
  <c r="BY2313" i="5" s="1"/>
  <c r="CC2313" i="5" s="1"/>
  <c r="BT2421" i="5"/>
  <c r="BX2421" i="5" s="1"/>
  <c r="BY2421" i="5" s="1"/>
  <c r="CC2421" i="5" s="1"/>
  <c r="BT1954" i="5"/>
  <c r="BX1954" i="5" s="1"/>
  <c r="BY1954" i="5" s="1"/>
  <c r="CC1954" i="5" s="1"/>
  <c r="BT1978" i="5"/>
  <c r="BX1978" i="5" s="1"/>
  <c r="BY1978" i="5" s="1"/>
  <c r="CC1978" i="5" s="1"/>
  <c r="BT2026" i="5"/>
  <c r="BX2026" i="5" s="1"/>
  <c r="BY2026" i="5" s="1"/>
  <c r="CC2026" i="5" s="1"/>
  <c r="BT2062" i="5"/>
  <c r="BX2062" i="5" s="1"/>
  <c r="BY2062" i="5" s="1"/>
  <c r="CC2062" i="5" s="1"/>
  <c r="BT2074" i="5"/>
  <c r="BX2074" i="5" s="1"/>
  <c r="BY2074" i="5" s="1"/>
  <c r="CC2074" i="5" s="1"/>
  <c r="BT2086" i="5"/>
  <c r="BX2086" i="5" s="1"/>
  <c r="BY2086" i="5" s="1"/>
  <c r="CC2086" i="5" s="1"/>
  <c r="BT2110" i="5"/>
  <c r="BX2110" i="5" s="1"/>
  <c r="BY2110" i="5" s="1"/>
  <c r="CC2110" i="5" s="1"/>
  <c r="BT2134" i="5"/>
  <c r="BX2134" i="5" s="1"/>
  <c r="BY2134" i="5" s="1"/>
  <c r="CC2134" i="5" s="1"/>
  <c r="BT2146" i="5"/>
  <c r="BX2146" i="5" s="1"/>
  <c r="BY2146" i="5" s="1"/>
  <c r="CC2146" i="5" s="1"/>
  <c r="BT2158" i="5"/>
  <c r="BX2158" i="5" s="1"/>
  <c r="BY2158" i="5" s="1"/>
  <c r="CC2158" i="5" s="1"/>
  <c r="BT2170" i="5"/>
  <c r="BX2170" i="5" s="1"/>
  <c r="BY2170" i="5" s="1"/>
  <c r="CC2170" i="5" s="1"/>
  <c r="BT2206" i="5"/>
  <c r="BX2206" i="5" s="1"/>
  <c r="BY2206" i="5" s="1"/>
  <c r="CC2206" i="5" s="1"/>
  <c r="BT2218" i="5"/>
  <c r="BX2218" i="5" s="1"/>
  <c r="BY2218" i="5" s="1"/>
  <c r="CC2218" i="5" s="1"/>
  <c r="BT2266" i="5"/>
  <c r="BX2266" i="5" s="1"/>
  <c r="BY2266" i="5" s="1"/>
  <c r="CC2266" i="5" s="1"/>
  <c r="BT2362" i="5"/>
  <c r="BX2362" i="5" s="1"/>
  <c r="BY2362" i="5" s="1"/>
  <c r="CC2362" i="5" s="1"/>
  <c r="BT2398" i="5"/>
  <c r="BX2398" i="5" s="1"/>
  <c r="BY2398" i="5" s="1"/>
  <c r="CC2398" i="5" s="1"/>
  <c r="BT2458" i="5"/>
  <c r="BX2458" i="5" s="1"/>
  <c r="BY2458" i="5" s="1"/>
  <c r="CC2458" i="5" s="1"/>
  <c r="BT1919" i="5"/>
  <c r="BX1919" i="5" s="1"/>
  <c r="BY1919" i="5" s="1"/>
  <c r="CC1919" i="5" s="1"/>
  <c r="BT1931" i="5"/>
  <c r="BX1931" i="5" s="1"/>
  <c r="BY1931" i="5" s="1"/>
  <c r="CC1931" i="5" s="1"/>
  <c r="BT1943" i="5"/>
  <c r="BX1943" i="5" s="1"/>
  <c r="BY1943" i="5" s="1"/>
  <c r="CC1943" i="5" s="1"/>
  <c r="BT1991" i="5"/>
  <c r="BX1991" i="5" s="1"/>
  <c r="BY1991" i="5" s="1"/>
  <c r="CC1991" i="5" s="1"/>
  <c r="BT2003" i="5"/>
  <c r="BX2003" i="5" s="1"/>
  <c r="BY2003" i="5" s="1"/>
  <c r="CC2003" i="5" s="1"/>
  <c r="BT2027" i="5"/>
  <c r="BX2027" i="5" s="1"/>
  <c r="BY2027" i="5" s="1"/>
  <c r="CC2027" i="5" s="1"/>
  <c r="BT2075" i="5"/>
  <c r="BX2075" i="5" s="1"/>
  <c r="BY2075" i="5" s="1"/>
  <c r="CC2075" i="5" s="1"/>
  <c r="BT2099" i="5"/>
  <c r="BX2099" i="5" s="1"/>
  <c r="BY2099" i="5" s="1"/>
  <c r="CC2099" i="5" s="1"/>
  <c r="BT2147" i="5"/>
  <c r="BX2147" i="5" s="1"/>
  <c r="BY2147" i="5" s="1"/>
  <c r="CC2147" i="5" s="1"/>
  <c r="BT2159" i="5"/>
  <c r="BX2159" i="5" s="1"/>
  <c r="BY2159" i="5" s="1"/>
  <c r="CC2159" i="5" s="1"/>
  <c r="BT2183" i="5"/>
  <c r="BX2183" i="5" s="1"/>
  <c r="BY2183" i="5" s="1"/>
  <c r="CC2183" i="5" s="1"/>
  <c r="BT2207" i="5"/>
  <c r="BX2207" i="5" s="1"/>
  <c r="BY2207" i="5" s="1"/>
  <c r="CC2207" i="5" s="1"/>
  <c r="BT2255" i="5"/>
  <c r="BX2255" i="5" s="1"/>
  <c r="BY2255" i="5" s="1"/>
  <c r="CC2255" i="5" s="1"/>
  <c r="BT2279" i="5"/>
  <c r="BX2279" i="5" s="1"/>
  <c r="BY2279" i="5" s="1"/>
  <c r="CC2279" i="5" s="1"/>
  <c r="BT2303" i="5"/>
  <c r="BX2303" i="5" s="1"/>
  <c r="BY2303" i="5" s="1"/>
  <c r="CC2303" i="5" s="1"/>
  <c r="BT2315" i="5"/>
  <c r="BX2315" i="5" s="1"/>
  <c r="BY2315" i="5" s="1"/>
  <c r="CC2315" i="5" s="1"/>
  <c r="BT2363" i="5"/>
  <c r="BX2363" i="5" s="1"/>
  <c r="BY2363" i="5" s="1"/>
  <c r="CC2363" i="5" s="1"/>
  <c r="BT2387" i="5"/>
  <c r="BX2387" i="5" s="1"/>
  <c r="BY2387" i="5" s="1"/>
  <c r="CC2387" i="5" s="1"/>
  <c r="BT2435" i="5"/>
  <c r="BX2435" i="5" s="1"/>
  <c r="BY2435" i="5" s="1"/>
  <c r="CC2435" i="5" s="1"/>
  <c r="BT1751" i="5"/>
  <c r="BX1751" i="5" s="1"/>
  <c r="BY1751" i="5" s="1"/>
  <c r="CC1751" i="5" s="1"/>
  <c r="BT1776" i="5"/>
  <c r="BX1776" i="5" s="1"/>
  <c r="BY1776" i="5" s="1"/>
  <c r="CC1776" i="5" s="1"/>
  <c r="BT1872" i="5"/>
  <c r="BX1872" i="5" s="1"/>
  <c r="BY1872" i="5" s="1"/>
  <c r="CC1872" i="5" s="1"/>
  <c r="BT1896" i="5"/>
  <c r="BX1896" i="5" s="1"/>
  <c r="BY1896" i="5" s="1"/>
  <c r="CC1896" i="5" s="1"/>
  <c r="BT1944" i="5"/>
  <c r="BX1944" i="5" s="1"/>
  <c r="BY1944" i="5" s="1"/>
  <c r="CC1944" i="5" s="1"/>
  <c r="BT1980" i="5"/>
  <c r="BX1980" i="5" s="1"/>
  <c r="BY1980" i="5" s="1"/>
  <c r="CC1980" i="5" s="1"/>
  <c r="BT2040" i="5"/>
  <c r="BX2040" i="5" s="1"/>
  <c r="BY2040" i="5" s="1"/>
  <c r="CC2040" i="5" s="1"/>
  <c r="BT2088" i="5"/>
  <c r="BX2088" i="5" s="1"/>
  <c r="BY2088" i="5" s="1"/>
  <c r="CC2088" i="5" s="1"/>
  <c r="BT2100" i="5"/>
  <c r="BX2100" i="5" s="1"/>
  <c r="BY2100" i="5" s="1"/>
  <c r="CC2100" i="5" s="1"/>
  <c r="BT2208" i="5"/>
  <c r="BX2208" i="5" s="1"/>
  <c r="BY2208" i="5" s="1"/>
  <c r="CC2208" i="5" s="1"/>
  <c r="BT2220" i="5"/>
  <c r="BX2220" i="5" s="1"/>
  <c r="BY2220" i="5" s="1"/>
  <c r="CC2220" i="5" s="1"/>
  <c r="BT2316" i="5"/>
  <c r="BX2316" i="5" s="1"/>
  <c r="BY2316" i="5" s="1"/>
  <c r="CC2316" i="5" s="1"/>
  <c r="BT2352" i="5"/>
  <c r="BX2352" i="5" s="1"/>
  <c r="BY2352" i="5" s="1"/>
  <c r="CC2352" i="5" s="1"/>
  <c r="BT2364" i="5"/>
  <c r="BX2364" i="5" s="1"/>
  <c r="BY2364" i="5" s="1"/>
  <c r="CC2364" i="5" s="1"/>
  <c r="BT1304" i="5"/>
  <c r="BX1304" i="5" s="1"/>
  <c r="BY1304" i="5" s="1"/>
  <c r="CC1304" i="5" s="1"/>
  <c r="BT1379" i="5"/>
  <c r="BX1379" i="5" s="1"/>
  <c r="BY1379" i="5" s="1"/>
  <c r="CC1379" i="5" s="1"/>
  <c r="BT1574" i="5"/>
  <c r="BX1574" i="5" s="1"/>
  <c r="BY1574" i="5" s="1"/>
  <c r="CC1574" i="5" s="1"/>
  <c r="BT1849" i="5"/>
  <c r="BX1849" i="5" s="1"/>
  <c r="BY1849" i="5" s="1"/>
  <c r="CC1849" i="5" s="1"/>
  <c r="BT1933" i="5"/>
  <c r="BX1933" i="5" s="1"/>
  <c r="BY1933" i="5" s="1"/>
  <c r="CC1933" i="5" s="1"/>
  <c r="BT1981" i="5"/>
  <c r="BX1981" i="5" s="1"/>
  <c r="BY1981" i="5" s="1"/>
  <c r="CC1981" i="5" s="1"/>
  <c r="BT2065" i="5"/>
  <c r="BX2065" i="5" s="1"/>
  <c r="BY2065" i="5" s="1"/>
  <c r="CC2065" i="5" s="1"/>
  <c r="BT2305" i="5"/>
  <c r="BX2305" i="5" s="1"/>
  <c r="BY2305" i="5" s="1"/>
  <c r="CC2305" i="5" s="1"/>
  <c r="BT2329" i="5"/>
  <c r="BX2329" i="5" s="1"/>
  <c r="BY2329" i="5" s="1"/>
  <c r="CC2329" i="5" s="1"/>
  <c r="BT2437" i="5"/>
  <c r="BX2437" i="5" s="1"/>
  <c r="BY2437" i="5" s="1"/>
  <c r="CC2437" i="5" s="1"/>
  <c r="BT1826" i="5"/>
  <c r="BX1826" i="5" s="1"/>
  <c r="BY1826" i="5" s="1"/>
  <c r="CC1826" i="5" s="1"/>
  <c r="BT2390" i="5"/>
  <c r="BX2390" i="5" s="1"/>
  <c r="BY2390" i="5" s="1"/>
  <c r="CC2390" i="5" s="1"/>
  <c r="BT2450" i="5"/>
  <c r="BX2450" i="5" s="1"/>
  <c r="BY2450" i="5" s="1"/>
  <c r="CC2450" i="5" s="1"/>
  <c r="BT2487" i="5"/>
  <c r="BX2487" i="5" s="1"/>
  <c r="BY2487" i="5" s="1"/>
  <c r="CC2487" i="5" s="1"/>
  <c r="BT2008" i="5"/>
  <c r="BX2008" i="5" s="1"/>
  <c r="BY2008" i="5" s="1"/>
  <c r="CC2008" i="5" s="1"/>
  <c r="BT2056" i="5"/>
  <c r="BX2056" i="5" s="1"/>
  <c r="BY2056" i="5" s="1"/>
  <c r="CC2056" i="5" s="1"/>
  <c r="BT2356" i="5"/>
  <c r="BX2356" i="5" s="1"/>
  <c r="BY2356" i="5" s="1"/>
  <c r="CC2356" i="5" s="1"/>
  <c r="BT2081" i="5"/>
  <c r="BX2081" i="5" s="1"/>
  <c r="BY2081" i="5" s="1"/>
  <c r="CC2081" i="5" s="1"/>
  <c r="BT2093" i="5"/>
  <c r="BX2093" i="5" s="1"/>
  <c r="BY2093" i="5" s="1"/>
  <c r="CC2093" i="5" s="1"/>
  <c r="BT2381" i="5"/>
  <c r="BX2381" i="5" s="1"/>
  <c r="BY2381" i="5" s="1"/>
  <c r="CC2381" i="5" s="1"/>
  <c r="BT1890" i="5"/>
  <c r="BX1890" i="5" s="1"/>
  <c r="BY1890" i="5" s="1"/>
  <c r="CC1890" i="5" s="1"/>
  <c r="BT1902" i="5"/>
  <c r="BX1902" i="5" s="1"/>
  <c r="BY1902" i="5" s="1"/>
  <c r="CC1902" i="5" s="1"/>
  <c r="BT2082" i="5"/>
  <c r="BX2082" i="5" s="1"/>
  <c r="BY2082" i="5" s="1"/>
  <c r="CC2082" i="5" s="1"/>
  <c r="BT2298" i="5"/>
  <c r="BX2298" i="5" s="1"/>
  <c r="BY2298" i="5" s="1"/>
  <c r="CC2298" i="5" s="1"/>
  <c r="BT2310" i="5"/>
  <c r="BX2310" i="5" s="1"/>
  <c r="BY2310" i="5" s="1"/>
  <c r="CC2310" i="5" s="1"/>
  <c r="BT2251" i="5"/>
  <c r="BX2251" i="5" s="1"/>
  <c r="BY2251" i="5" s="1"/>
  <c r="CC2251" i="5" s="1"/>
  <c r="BT1940" i="5"/>
  <c r="BX1940" i="5" s="1"/>
  <c r="BY1940" i="5" s="1"/>
  <c r="CC1940" i="5" s="1"/>
  <c r="BT2252" i="5"/>
  <c r="BX2252" i="5" s="1"/>
  <c r="BY2252" i="5" s="1"/>
  <c r="CC2252" i="5" s="1"/>
  <c r="BT2480" i="5"/>
  <c r="BX2480" i="5" s="1"/>
  <c r="BY2480" i="5" s="1"/>
  <c r="CC2480" i="5" s="1"/>
  <c r="BT2217" i="5"/>
  <c r="BX2217" i="5" s="1"/>
  <c r="BY2217" i="5" s="1"/>
  <c r="CC2217" i="5" s="1"/>
  <c r="BT1762" i="5"/>
  <c r="BX1762" i="5" s="1"/>
  <c r="BY1762" i="5" s="1"/>
  <c r="CC1762" i="5" s="1"/>
  <c r="BT1942" i="5"/>
  <c r="BX1942" i="5" s="1"/>
  <c r="BY1942" i="5" s="1"/>
  <c r="CC1942" i="5" s="1"/>
  <c r="BT2230" i="5"/>
  <c r="BX2230" i="5" s="1"/>
  <c r="BY2230" i="5" s="1"/>
  <c r="CC2230" i="5" s="1"/>
  <c r="BT2242" i="5"/>
  <c r="BX2242" i="5" s="1"/>
  <c r="BY2242" i="5" s="1"/>
  <c r="CC2242" i="5" s="1"/>
  <c r="BT2314" i="5"/>
  <c r="BX2314" i="5" s="1"/>
  <c r="BY2314" i="5" s="1"/>
  <c r="CC2314" i="5" s="1"/>
  <c r="BT2482" i="5"/>
  <c r="BX2482" i="5" s="1"/>
  <c r="BY2482" i="5" s="1"/>
  <c r="CC2482" i="5" s="1"/>
  <c r="BT2135" i="5"/>
  <c r="BX2135" i="5" s="1"/>
  <c r="BY2135" i="5" s="1"/>
  <c r="CC2135" i="5" s="1"/>
  <c r="BT2327" i="5"/>
  <c r="BX2327" i="5" s="1"/>
  <c r="BY2327" i="5" s="1"/>
  <c r="CC2327" i="5" s="1"/>
  <c r="BT606" i="5"/>
  <c r="BX606" i="5" s="1"/>
  <c r="BY606" i="5" s="1"/>
  <c r="CC606" i="5" s="1"/>
  <c r="BT822" i="5"/>
  <c r="BX822" i="5" s="1"/>
  <c r="BY822" i="5" s="1"/>
  <c r="CC822" i="5" s="1"/>
  <c r="BT858" i="5"/>
  <c r="BX858" i="5" s="1"/>
  <c r="BY858" i="5" s="1"/>
  <c r="CC858" i="5" s="1"/>
  <c r="BT870" i="5"/>
  <c r="BX870" i="5" s="1"/>
  <c r="BY870" i="5" s="1"/>
  <c r="CC870" i="5" s="1"/>
  <c r="BT906" i="5"/>
  <c r="BX906" i="5" s="1"/>
  <c r="BY906" i="5" s="1"/>
  <c r="CC906" i="5" s="1"/>
  <c r="BT918" i="5"/>
  <c r="BX918" i="5" s="1"/>
  <c r="BY918" i="5" s="1"/>
  <c r="CC918" i="5" s="1"/>
  <c r="BT283" i="5"/>
  <c r="BX283" i="5" s="1"/>
  <c r="BY283" i="5" s="1"/>
  <c r="CC283" i="5" s="1"/>
  <c r="BT703" i="5"/>
  <c r="BX703" i="5" s="1"/>
  <c r="BY703" i="5" s="1"/>
  <c r="CC703" i="5" s="1"/>
  <c r="BT739" i="5"/>
  <c r="BX739" i="5" s="1"/>
  <c r="BY739" i="5" s="1"/>
  <c r="CC739" i="5" s="1"/>
  <c r="BT775" i="5"/>
  <c r="BX775" i="5" s="1"/>
  <c r="BY775" i="5" s="1"/>
  <c r="CC775" i="5" s="1"/>
  <c r="BT823" i="5"/>
  <c r="BX823" i="5" s="1"/>
  <c r="BY823" i="5" s="1"/>
  <c r="CC823" i="5" s="1"/>
  <c r="BT859" i="5"/>
  <c r="BX859" i="5" s="1"/>
  <c r="BY859" i="5" s="1"/>
  <c r="CC859" i="5" s="1"/>
  <c r="BT895" i="5"/>
  <c r="BX895" i="5" s="1"/>
  <c r="BY895" i="5" s="1"/>
  <c r="CC895" i="5" s="1"/>
  <c r="BT919" i="5"/>
  <c r="BX919" i="5" s="1"/>
  <c r="BY919" i="5" s="1"/>
  <c r="CC919" i="5" s="1"/>
  <c r="BT572" i="5"/>
  <c r="BX572" i="5" s="1"/>
  <c r="BY572" i="5" s="1"/>
  <c r="CC572" i="5" s="1"/>
  <c r="BT632" i="5"/>
  <c r="BX632" i="5" s="1"/>
  <c r="BY632" i="5" s="1"/>
  <c r="CC632" i="5" s="1"/>
  <c r="BT656" i="5"/>
  <c r="BX656" i="5" s="1"/>
  <c r="BY656" i="5" s="1"/>
  <c r="CC656" i="5" s="1"/>
  <c r="BT740" i="5"/>
  <c r="BX740" i="5" s="1"/>
  <c r="BY740" i="5" s="1"/>
  <c r="CC740" i="5" s="1"/>
  <c r="BT800" i="5"/>
  <c r="BX800" i="5" s="1"/>
  <c r="BY800" i="5" s="1"/>
  <c r="CC800" i="5" s="1"/>
  <c r="BT824" i="5"/>
  <c r="BX824" i="5" s="1"/>
  <c r="BY824" i="5" s="1"/>
  <c r="CC824" i="5" s="1"/>
  <c r="BT836" i="5"/>
  <c r="BX836" i="5" s="1"/>
  <c r="BY836" i="5" s="1"/>
  <c r="CC836" i="5" s="1"/>
  <c r="BT848" i="5"/>
  <c r="BX848" i="5" s="1"/>
  <c r="BY848" i="5" s="1"/>
  <c r="CC848" i="5" s="1"/>
  <c r="BT860" i="5"/>
  <c r="BX860" i="5" s="1"/>
  <c r="BY860" i="5" s="1"/>
  <c r="CC860" i="5" s="1"/>
  <c r="BT261" i="5"/>
  <c r="BX261" i="5" s="1"/>
  <c r="BY261" i="5" s="1"/>
  <c r="CC261" i="5" s="1"/>
  <c r="BT573" i="5"/>
  <c r="BX573" i="5" s="1"/>
  <c r="BY573" i="5" s="1"/>
  <c r="CC573" i="5" s="1"/>
  <c r="BT597" i="5"/>
  <c r="BX597" i="5" s="1"/>
  <c r="BY597" i="5" s="1"/>
  <c r="CC597" i="5" s="1"/>
  <c r="BT729" i="5"/>
  <c r="BX729" i="5" s="1"/>
  <c r="BY729" i="5" s="1"/>
  <c r="CC729" i="5" s="1"/>
  <c r="BT741" i="5"/>
  <c r="BX741" i="5" s="1"/>
  <c r="BY741" i="5" s="1"/>
  <c r="CC741" i="5" s="1"/>
  <c r="BT813" i="5"/>
  <c r="BX813" i="5" s="1"/>
  <c r="BY813" i="5" s="1"/>
  <c r="CC813" i="5" s="1"/>
  <c r="BT825" i="5"/>
  <c r="BX825" i="5" s="1"/>
  <c r="BY825" i="5" s="1"/>
  <c r="CC825" i="5" s="1"/>
  <c r="BT837" i="5"/>
  <c r="BX837" i="5" s="1"/>
  <c r="BY837" i="5" s="1"/>
  <c r="CC837" i="5" s="1"/>
  <c r="BT921" i="5"/>
  <c r="BX921" i="5" s="1"/>
  <c r="BY921" i="5" s="1"/>
  <c r="CC921" i="5" s="1"/>
  <c r="BT382" i="5"/>
  <c r="BX382" i="5" s="1"/>
  <c r="BY382" i="5" s="1"/>
  <c r="CC382" i="5" s="1"/>
  <c r="BT610" i="5"/>
  <c r="BX610" i="5" s="1"/>
  <c r="BY610" i="5" s="1"/>
  <c r="CC610" i="5" s="1"/>
  <c r="BT730" i="5"/>
  <c r="BX730" i="5" s="1"/>
  <c r="BY730" i="5" s="1"/>
  <c r="CC730" i="5" s="1"/>
  <c r="BT826" i="5"/>
  <c r="BX826" i="5" s="1"/>
  <c r="BY826" i="5" s="1"/>
  <c r="CC826" i="5" s="1"/>
  <c r="BT838" i="5"/>
  <c r="BX838" i="5" s="1"/>
  <c r="BY838" i="5" s="1"/>
  <c r="CC838" i="5" s="1"/>
  <c r="BT850" i="5"/>
  <c r="BX850" i="5" s="1"/>
  <c r="BY850" i="5" s="1"/>
  <c r="CC850" i="5" s="1"/>
  <c r="BT862" i="5"/>
  <c r="BX862" i="5" s="1"/>
  <c r="BY862" i="5" s="1"/>
  <c r="CC862" i="5" s="1"/>
  <c r="BT898" i="5"/>
  <c r="BX898" i="5" s="1"/>
  <c r="BY898" i="5" s="1"/>
  <c r="CC898" i="5" s="1"/>
  <c r="BT635" i="5"/>
  <c r="BX635" i="5" s="1"/>
  <c r="BY635" i="5" s="1"/>
  <c r="CC635" i="5" s="1"/>
  <c r="BT791" i="5"/>
  <c r="BX791" i="5" s="1"/>
  <c r="BY791" i="5" s="1"/>
  <c r="CC791" i="5" s="1"/>
  <c r="BT827" i="5"/>
  <c r="BX827" i="5" s="1"/>
  <c r="BY827" i="5" s="1"/>
  <c r="CC827" i="5" s="1"/>
  <c r="BT851" i="5"/>
  <c r="BX851" i="5" s="1"/>
  <c r="BY851" i="5" s="1"/>
  <c r="CC851" i="5" s="1"/>
  <c r="BT887" i="5"/>
  <c r="BX887" i="5" s="1"/>
  <c r="BY887" i="5" s="1"/>
  <c r="CC887" i="5" s="1"/>
  <c r="BT899" i="5"/>
  <c r="BX899" i="5" s="1"/>
  <c r="BY899" i="5" s="1"/>
  <c r="CC899" i="5" s="1"/>
  <c r="BT923" i="5"/>
  <c r="BX923" i="5" s="1"/>
  <c r="BY923" i="5" s="1"/>
  <c r="CC923" i="5" s="1"/>
  <c r="BT648" i="5"/>
  <c r="BX648" i="5" s="1"/>
  <c r="BY648" i="5" s="1"/>
  <c r="CC648" i="5" s="1"/>
  <c r="BT684" i="5"/>
  <c r="BX684" i="5" s="1"/>
  <c r="BY684" i="5" s="1"/>
  <c r="CC684" i="5" s="1"/>
  <c r="BT732" i="5"/>
  <c r="BX732" i="5" s="1"/>
  <c r="BY732" i="5" s="1"/>
  <c r="CC732" i="5" s="1"/>
  <c r="BT313" i="5"/>
  <c r="BX313" i="5" s="1"/>
  <c r="BY313" i="5" s="1"/>
  <c r="CC313" i="5" s="1"/>
  <c r="BT769" i="5"/>
  <c r="BX769" i="5" s="1"/>
  <c r="BY769" i="5" s="1"/>
  <c r="CC769" i="5" s="1"/>
  <c r="BT805" i="5"/>
  <c r="BX805" i="5" s="1"/>
  <c r="BY805" i="5" s="1"/>
  <c r="CC805" i="5" s="1"/>
  <c r="BT841" i="5"/>
  <c r="BX841" i="5" s="1"/>
  <c r="BY841" i="5" s="1"/>
  <c r="CC841" i="5" s="1"/>
  <c r="BT889" i="5"/>
  <c r="BX889" i="5" s="1"/>
  <c r="BY889" i="5" s="1"/>
  <c r="CC889" i="5" s="1"/>
  <c r="BT901" i="5"/>
  <c r="BX901" i="5" s="1"/>
  <c r="BY901" i="5" s="1"/>
  <c r="CC901" i="5" s="1"/>
  <c r="BT266" i="5"/>
  <c r="BX266" i="5" s="1"/>
  <c r="BY266" i="5" s="1"/>
  <c r="CC266" i="5" s="1"/>
  <c r="BT326" i="5"/>
  <c r="BX326" i="5" s="1"/>
  <c r="BY326" i="5" s="1"/>
  <c r="CC326" i="5" s="1"/>
  <c r="BT674" i="5"/>
  <c r="BX674" i="5" s="1"/>
  <c r="BY674" i="5" s="1"/>
  <c r="CC674" i="5" s="1"/>
  <c r="BT710" i="5"/>
  <c r="BX710" i="5" s="1"/>
  <c r="BY710" i="5" s="1"/>
  <c r="CC710" i="5" s="1"/>
  <c r="BT734" i="5"/>
  <c r="BX734" i="5" s="1"/>
  <c r="BY734" i="5" s="1"/>
  <c r="CC734" i="5" s="1"/>
  <c r="BT830" i="5"/>
  <c r="BX830" i="5" s="1"/>
  <c r="BY830" i="5" s="1"/>
  <c r="CC830" i="5" s="1"/>
  <c r="BT842" i="5"/>
  <c r="BX842" i="5" s="1"/>
  <c r="BY842" i="5" s="1"/>
  <c r="CC842" i="5" s="1"/>
  <c r="BT854" i="5"/>
  <c r="BX854" i="5" s="1"/>
  <c r="BY854" i="5" s="1"/>
  <c r="CC854" i="5" s="1"/>
  <c r="BT926" i="5"/>
  <c r="BX926" i="5" s="1"/>
  <c r="BY926" i="5" s="1"/>
  <c r="CC926" i="5" s="1"/>
  <c r="BT591" i="5"/>
  <c r="BX591" i="5" s="1"/>
  <c r="BY591" i="5" s="1"/>
  <c r="CC591" i="5" s="1"/>
  <c r="BT795" i="5"/>
  <c r="BX795" i="5" s="1"/>
  <c r="BY795" i="5" s="1"/>
  <c r="CC795" i="5" s="1"/>
  <c r="BT807" i="5"/>
  <c r="BX807" i="5" s="1"/>
  <c r="BY807" i="5" s="1"/>
  <c r="CC807" i="5" s="1"/>
  <c r="BT831" i="5"/>
  <c r="BX831" i="5" s="1"/>
  <c r="BY831" i="5" s="1"/>
  <c r="CC831" i="5" s="1"/>
  <c r="BT843" i="5"/>
  <c r="BX843" i="5" s="1"/>
  <c r="BY843" i="5" s="1"/>
  <c r="CC843" i="5" s="1"/>
  <c r="BT855" i="5"/>
  <c r="BX855" i="5" s="1"/>
  <c r="BY855" i="5" s="1"/>
  <c r="CC855" i="5" s="1"/>
  <c r="BT867" i="5"/>
  <c r="BX867" i="5" s="1"/>
  <c r="BY867" i="5" s="1"/>
  <c r="CC867" i="5" s="1"/>
  <c r="BT891" i="5"/>
  <c r="BX891" i="5" s="1"/>
  <c r="BY891" i="5" s="1"/>
  <c r="CC891" i="5" s="1"/>
  <c r="BT915" i="5"/>
  <c r="BX915" i="5" s="1"/>
  <c r="BY915" i="5" s="1"/>
  <c r="CC915" i="5" s="1"/>
  <c r="BT927" i="5"/>
  <c r="BX927" i="5" s="1"/>
  <c r="BY927" i="5" s="1"/>
  <c r="CC927" i="5" s="1"/>
  <c r="BT932" i="5"/>
  <c r="BX932" i="5" s="1"/>
  <c r="BY932" i="5" s="1"/>
  <c r="CC932" i="5" s="1"/>
  <c r="BT956" i="5"/>
  <c r="BX956" i="5" s="1"/>
  <c r="BY956" i="5" s="1"/>
  <c r="CC956" i="5" s="1"/>
  <c r="BT992" i="5"/>
  <c r="BX992" i="5" s="1"/>
  <c r="BY992" i="5" s="1"/>
  <c r="CC992" i="5" s="1"/>
  <c r="BT1088" i="5"/>
  <c r="BX1088" i="5" s="1"/>
  <c r="BY1088" i="5" s="1"/>
  <c r="CC1088" i="5" s="1"/>
  <c r="BT1124" i="5"/>
  <c r="BX1124" i="5" s="1"/>
  <c r="BY1124" i="5" s="1"/>
  <c r="CC1124" i="5" s="1"/>
  <c r="BT1172" i="5"/>
  <c r="BX1172" i="5" s="1"/>
  <c r="BY1172" i="5" s="1"/>
  <c r="CC1172" i="5" s="1"/>
  <c r="BT1196" i="5"/>
  <c r="BX1196" i="5" s="1"/>
  <c r="BY1196" i="5" s="1"/>
  <c r="CC1196" i="5" s="1"/>
  <c r="BT1208" i="5"/>
  <c r="BX1208" i="5" s="1"/>
  <c r="BY1208" i="5" s="1"/>
  <c r="CC1208" i="5" s="1"/>
  <c r="BT1244" i="5"/>
  <c r="BX1244" i="5" s="1"/>
  <c r="BY1244" i="5" s="1"/>
  <c r="CC1244" i="5" s="1"/>
  <c r="BT1352" i="5"/>
  <c r="BX1352" i="5" s="1"/>
  <c r="BY1352" i="5" s="1"/>
  <c r="CC1352" i="5" s="1"/>
  <c r="BT1412" i="5"/>
  <c r="BX1412" i="5" s="1"/>
  <c r="BY1412" i="5" s="1"/>
  <c r="CC1412" i="5" s="1"/>
  <c r="BT1436" i="5"/>
  <c r="BX1436" i="5" s="1"/>
  <c r="BY1436" i="5" s="1"/>
  <c r="CC1436" i="5" s="1"/>
  <c r="BT1484" i="5"/>
  <c r="BX1484" i="5" s="1"/>
  <c r="BY1484" i="5" s="1"/>
  <c r="CC1484" i="5" s="1"/>
  <c r="BT1508" i="5"/>
  <c r="BX1508" i="5" s="1"/>
  <c r="BY1508" i="5" s="1"/>
  <c r="CC1508" i="5" s="1"/>
  <c r="BT1592" i="5"/>
  <c r="BX1592" i="5" s="1"/>
  <c r="BY1592" i="5" s="1"/>
  <c r="CC1592" i="5" s="1"/>
  <c r="BT1640" i="5"/>
  <c r="BX1640" i="5" s="1"/>
  <c r="BY1640" i="5" s="1"/>
  <c r="CC1640" i="5" s="1"/>
  <c r="BT1652" i="5"/>
  <c r="BX1652" i="5" s="1"/>
  <c r="BY1652" i="5" s="1"/>
  <c r="CC1652" i="5" s="1"/>
  <c r="BT1676" i="5"/>
  <c r="BX1676" i="5" s="1"/>
  <c r="BY1676" i="5" s="1"/>
  <c r="CC1676" i="5" s="1"/>
  <c r="BT1688" i="5"/>
  <c r="BX1688" i="5" s="1"/>
  <c r="BY1688" i="5" s="1"/>
  <c r="CC1688" i="5" s="1"/>
  <c r="BT1712" i="5"/>
  <c r="BX1712" i="5" s="1"/>
  <c r="BY1712" i="5" s="1"/>
  <c r="CC1712" i="5" s="1"/>
  <c r="BT1748" i="5"/>
  <c r="BX1748" i="5" s="1"/>
  <c r="BY1748" i="5" s="1"/>
  <c r="CC1748" i="5" s="1"/>
  <c r="BT856" i="5"/>
  <c r="BX856" i="5" s="1"/>
  <c r="BY856" i="5" s="1"/>
  <c r="CC856" i="5" s="1"/>
  <c r="BT1077" i="5"/>
  <c r="BX1077" i="5" s="1"/>
  <c r="BY1077" i="5" s="1"/>
  <c r="CC1077" i="5" s="1"/>
  <c r="BT1161" i="5"/>
  <c r="BX1161" i="5" s="1"/>
  <c r="BY1161" i="5" s="1"/>
  <c r="CC1161" i="5" s="1"/>
  <c r="BT1281" i="5"/>
  <c r="BX1281" i="5" s="1"/>
  <c r="BY1281" i="5" s="1"/>
  <c r="CC1281" i="5" s="1"/>
  <c r="BT1353" i="5"/>
  <c r="BX1353" i="5" s="1"/>
  <c r="BY1353" i="5" s="1"/>
  <c r="CC1353" i="5" s="1"/>
  <c r="BT1485" i="5"/>
  <c r="BX1485" i="5" s="1"/>
  <c r="BY1485" i="5" s="1"/>
  <c r="CC1485" i="5" s="1"/>
  <c r="BT1557" i="5"/>
  <c r="BX1557" i="5" s="1"/>
  <c r="BY1557" i="5" s="1"/>
  <c r="CC1557" i="5" s="1"/>
  <c r="BT1569" i="5"/>
  <c r="BX1569" i="5" s="1"/>
  <c r="BY1569" i="5" s="1"/>
  <c r="CC1569" i="5" s="1"/>
  <c r="BT1581" i="5"/>
  <c r="BX1581" i="5" s="1"/>
  <c r="BY1581" i="5" s="1"/>
  <c r="CC1581" i="5" s="1"/>
  <c r="BT1677" i="5"/>
  <c r="BX1677" i="5" s="1"/>
  <c r="BY1677" i="5" s="1"/>
  <c r="CC1677" i="5" s="1"/>
  <c r="BT1713" i="5"/>
  <c r="BX1713" i="5" s="1"/>
  <c r="BY1713" i="5" s="1"/>
  <c r="CC1713" i="5" s="1"/>
  <c r="BT1737" i="5"/>
  <c r="BX1737" i="5" s="1"/>
  <c r="BY1737" i="5" s="1"/>
  <c r="CC1737" i="5" s="1"/>
  <c r="BT1749" i="5"/>
  <c r="BX1749" i="5" s="1"/>
  <c r="BY1749" i="5" s="1"/>
  <c r="CC1749" i="5" s="1"/>
  <c r="BT761" i="5"/>
  <c r="BX761" i="5" s="1"/>
  <c r="BY761" i="5" s="1"/>
  <c r="CC761" i="5" s="1"/>
  <c r="BT857" i="5"/>
  <c r="BX857" i="5" s="1"/>
  <c r="BY857" i="5" s="1"/>
  <c r="CC857" i="5" s="1"/>
  <c r="BT934" i="5"/>
  <c r="BX934" i="5" s="1"/>
  <c r="BY934" i="5" s="1"/>
  <c r="CC934" i="5" s="1"/>
  <c r="BT958" i="5"/>
  <c r="BX958" i="5" s="1"/>
  <c r="BY958" i="5" s="1"/>
  <c r="CC958" i="5" s="1"/>
  <c r="BT970" i="5"/>
  <c r="BX970" i="5" s="1"/>
  <c r="BY970" i="5" s="1"/>
  <c r="CC970" i="5" s="1"/>
  <c r="BT982" i="5"/>
  <c r="BX982" i="5" s="1"/>
  <c r="BY982" i="5" s="1"/>
  <c r="CC982" i="5" s="1"/>
  <c r="BT1042" i="5"/>
  <c r="BX1042" i="5" s="1"/>
  <c r="BY1042" i="5" s="1"/>
  <c r="CC1042" i="5" s="1"/>
  <c r="BT1162" i="5"/>
  <c r="BX1162" i="5" s="1"/>
  <c r="BY1162" i="5" s="1"/>
  <c r="CC1162" i="5" s="1"/>
  <c r="BT1366" i="5"/>
  <c r="BX1366" i="5" s="1"/>
  <c r="BY1366" i="5" s="1"/>
  <c r="CC1366" i="5" s="1"/>
  <c r="BT1390" i="5"/>
  <c r="BX1390" i="5" s="1"/>
  <c r="BY1390" i="5" s="1"/>
  <c r="CC1390" i="5" s="1"/>
  <c r="BT1462" i="5"/>
  <c r="BX1462" i="5" s="1"/>
  <c r="BY1462" i="5" s="1"/>
  <c r="CC1462" i="5" s="1"/>
  <c r="BT1498" i="5"/>
  <c r="BX1498" i="5" s="1"/>
  <c r="BY1498" i="5" s="1"/>
  <c r="CC1498" i="5" s="1"/>
  <c r="BT1522" i="5"/>
  <c r="BX1522" i="5" s="1"/>
  <c r="BY1522" i="5" s="1"/>
  <c r="CC1522" i="5" s="1"/>
  <c r="BT1546" i="5"/>
  <c r="BX1546" i="5" s="1"/>
  <c r="BY1546" i="5" s="1"/>
  <c r="CC1546" i="5" s="1"/>
  <c r="BT1618" i="5"/>
  <c r="BX1618" i="5" s="1"/>
  <c r="BY1618" i="5" s="1"/>
  <c r="CC1618" i="5" s="1"/>
  <c r="BT1714" i="5"/>
  <c r="BX1714" i="5" s="1"/>
  <c r="BY1714" i="5" s="1"/>
  <c r="CC1714" i="5" s="1"/>
  <c r="BT1738" i="5"/>
  <c r="BX1738" i="5" s="1"/>
  <c r="BY1738" i="5" s="1"/>
  <c r="CC1738" i="5" s="1"/>
  <c r="BT1750" i="5"/>
  <c r="BX1750" i="5" s="1"/>
  <c r="BY1750" i="5" s="1"/>
  <c r="CC1750" i="5" s="1"/>
  <c r="BT864" i="5"/>
  <c r="BX864" i="5" s="1"/>
  <c r="BY864" i="5" s="1"/>
  <c r="CC864" i="5" s="1"/>
  <c r="BT910" i="5"/>
  <c r="BX910" i="5" s="1"/>
  <c r="BY910" i="5" s="1"/>
  <c r="CC910" i="5" s="1"/>
  <c r="BT935" i="5"/>
  <c r="BX935" i="5" s="1"/>
  <c r="BY935" i="5" s="1"/>
  <c r="CC935" i="5" s="1"/>
  <c r="BT971" i="5"/>
  <c r="BX971" i="5" s="1"/>
  <c r="BY971" i="5" s="1"/>
  <c r="CC971" i="5" s="1"/>
  <c r="BT983" i="5"/>
  <c r="BX983" i="5" s="1"/>
  <c r="BY983" i="5" s="1"/>
  <c r="CC983" i="5" s="1"/>
  <c r="BT1007" i="5"/>
  <c r="BX1007" i="5" s="1"/>
  <c r="BY1007" i="5" s="1"/>
  <c r="CC1007" i="5" s="1"/>
  <c r="BT1043" i="5"/>
  <c r="BX1043" i="5" s="1"/>
  <c r="BY1043" i="5" s="1"/>
  <c r="CC1043" i="5" s="1"/>
  <c r="BT1115" i="5"/>
  <c r="BX1115" i="5" s="1"/>
  <c r="BY1115" i="5" s="1"/>
  <c r="CC1115" i="5" s="1"/>
  <c r="BT1187" i="5"/>
  <c r="BX1187" i="5" s="1"/>
  <c r="BY1187" i="5" s="1"/>
  <c r="CC1187" i="5" s="1"/>
  <c r="BT1199" i="5"/>
  <c r="BX1199" i="5" s="1"/>
  <c r="BY1199" i="5" s="1"/>
  <c r="CC1199" i="5" s="1"/>
  <c r="BT1331" i="5"/>
  <c r="BX1331" i="5" s="1"/>
  <c r="BY1331" i="5" s="1"/>
  <c r="CC1331" i="5" s="1"/>
  <c r="BT1391" i="5"/>
  <c r="BX1391" i="5" s="1"/>
  <c r="BY1391" i="5" s="1"/>
  <c r="CC1391" i="5" s="1"/>
  <c r="BT1463" i="5"/>
  <c r="BX1463" i="5" s="1"/>
  <c r="BY1463" i="5" s="1"/>
  <c r="CC1463" i="5" s="1"/>
  <c r="BT1535" i="5"/>
  <c r="BX1535" i="5" s="1"/>
  <c r="BY1535" i="5" s="1"/>
  <c r="CC1535" i="5" s="1"/>
  <c r="BT1595" i="5"/>
  <c r="BX1595" i="5" s="1"/>
  <c r="BY1595" i="5" s="1"/>
  <c r="CC1595" i="5" s="1"/>
  <c r="BT1643" i="5"/>
  <c r="BX1643" i="5" s="1"/>
  <c r="BY1643" i="5" s="1"/>
  <c r="CC1643" i="5" s="1"/>
  <c r="BT820" i="5"/>
  <c r="BX820" i="5" s="1"/>
  <c r="BY820" i="5" s="1"/>
  <c r="CC820" i="5" s="1"/>
  <c r="BT912" i="5"/>
  <c r="BX912" i="5" s="1"/>
  <c r="BY912" i="5" s="1"/>
  <c r="CC912" i="5" s="1"/>
  <c r="BT1188" i="5"/>
  <c r="BX1188" i="5" s="1"/>
  <c r="BY1188" i="5" s="1"/>
  <c r="CC1188" i="5" s="1"/>
  <c r="BT1236" i="5"/>
  <c r="BX1236" i="5" s="1"/>
  <c r="BY1236" i="5" s="1"/>
  <c r="CC1236" i="5" s="1"/>
  <c r="BT1308" i="5"/>
  <c r="BX1308" i="5" s="1"/>
  <c r="BY1308" i="5" s="1"/>
  <c r="CC1308" i="5" s="1"/>
  <c r="BT1368" i="5"/>
  <c r="BX1368" i="5" s="1"/>
  <c r="BY1368" i="5" s="1"/>
  <c r="CC1368" i="5" s="1"/>
  <c r="BT1476" i="5"/>
  <c r="BX1476" i="5" s="1"/>
  <c r="BY1476" i="5" s="1"/>
  <c r="CC1476" i="5" s="1"/>
  <c r="BT1536" i="5"/>
  <c r="BX1536" i="5" s="1"/>
  <c r="BY1536" i="5" s="1"/>
  <c r="CC1536" i="5" s="1"/>
  <c r="BT1548" i="5"/>
  <c r="BX1548" i="5" s="1"/>
  <c r="BY1548" i="5" s="1"/>
  <c r="CC1548" i="5" s="1"/>
  <c r="BT1572" i="5"/>
  <c r="BX1572" i="5" s="1"/>
  <c r="BY1572" i="5" s="1"/>
  <c r="CC1572" i="5" s="1"/>
  <c r="BT1584" i="5"/>
  <c r="BX1584" i="5" s="1"/>
  <c r="BY1584" i="5" s="1"/>
  <c r="CC1584" i="5" s="1"/>
  <c r="BT773" i="5"/>
  <c r="BX773" i="5" s="1"/>
  <c r="BY773" i="5" s="1"/>
  <c r="CC773" i="5" s="1"/>
  <c r="BT869" i="5"/>
  <c r="BX869" i="5" s="1"/>
  <c r="BY869" i="5" s="1"/>
  <c r="CC869" i="5" s="1"/>
  <c r="BT937" i="5"/>
  <c r="BX937" i="5" s="1"/>
  <c r="BY937" i="5" s="1"/>
  <c r="CC937" i="5" s="1"/>
  <c r="BT949" i="5"/>
  <c r="BX949" i="5" s="1"/>
  <c r="BY949" i="5" s="1"/>
  <c r="CC949" i="5" s="1"/>
  <c r="BT1021" i="5"/>
  <c r="BX1021" i="5" s="1"/>
  <c r="BY1021" i="5" s="1"/>
  <c r="CC1021" i="5" s="1"/>
  <c r="BT1045" i="5"/>
  <c r="BX1045" i="5" s="1"/>
  <c r="BY1045" i="5" s="1"/>
  <c r="CC1045" i="5" s="1"/>
  <c r="BT1141" i="5"/>
  <c r="BX1141" i="5" s="1"/>
  <c r="BY1141" i="5" s="1"/>
  <c r="CC1141" i="5" s="1"/>
  <c r="BT1153" i="5"/>
  <c r="BX1153" i="5" s="1"/>
  <c r="BY1153" i="5" s="1"/>
  <c r="CC1153" i="5" s="1"/>
  <c r="BT1273" i="5"/>
  <c r="BX1273" i="5" s="1"/>
  <c r="BY1273" i="5" s="1"/>
  <c r="CC1273" i="5" s="1"/>
  <c r="BT1333" i="5"/>
  <c r="BX1333" i="5" s="1"/>
  <c r="BY1333" i="5" s="1"/>
  <c r="CC1333" i="5" s="1"/>
  <c r="BT1345" i="5"/>
  <c r="BX1345" i="5" s="1"/>
  <c r="BY1345" i="5" s="1"/>
  <c r="CC1345" i="5" s="1"/>
  <c r="BT1357" i="5"/>
  <c r="BX1357" i="5" s="1"/>
  <c r="BY1357" i="5" s="1"/>
  <c r="CC1357" i="5" s="1"/>
  <c r="BT1369" i="5"/>
  <c r="BX1369" i="5" s="1"/>
  <c r="BY1369" i="5" s="1"/>
  <c r="CC1369" i="5" s="1"/>
  <c r="BT1501" i="5"/>
  <c r="BX1501" i="5" s="1"/>
  <c r="BY1501" i="5" s="1"/>
  <c r="CC1501" i="5" s="1"/>
  <c r="BT1513" i="5"/>
  <c r="BX1513" i="5" s="1"/>
  <c r="BY1513" i="5" s="1"/>
  <c r="CC1513" i="5" s="1"/>
  <c r="BT1537" i="5"/>
  <c r="BX1537" i="5" s="1"/>
  <c r="BY1537" i="5" s="1"/>
  <c r="CC1537" i="5" s="1"/>
  <c r="BT1549" i="5"/>
  <c r="BX1549" i="5" s="1"/>
  <c r="BY1549" i="5" s="1"/>
  <c r="CC1549" i="5" s="1"/>
  <c r="BT1573" i="5"/>
  <c r="BX1573" i="5" s="1"/>
  <c r="BY1573" i="5" s="1"/>
  <c r="CC1573" i="5" s="1"/>
  <c r="BT1621" i="5"/>
  <c r="BX1621" i="5" s="1"/>
  <c r="BY1621" i="5" s="1"/>
  <c r="CC1621" i="5" s="1"/>
  <c r="BT1645" i="5"/>
  <c r="BX1645" i="5" s="1"/>
  <c r="BY1645" i="5" s="1"/>
  <c r="CC1645" i="5" s="1"/>
  <c r="BT1657" i="5"/>
  <c r="BX1657" i="5" s="1"/>
  <c r="BY1657" i="5" s="1"/>
  <c r="CC1657" i="5" s="1"/>
  <c r="BT1094" i="5"/>
  <c r="BX1094" i="5" s="1"/>
  <c r="BY1094" i="5" s="1"/>
  <c r="CC1094" i="5" s="1"/>
  <c r="BT1130" i="5"/>
  <c r="BX1130" i="5" s="1"/>
  <c r="BY1130" i="5" s="1"/>
  <c r="CC1130" i="5" s="1"/>
  <c r="BT1166" i="5"/>
  <c r="BX1166" i="5" s="1"/>
  <c r="BY1166" i="5" s="1"/>
  <c r="CC1166" i="5" s="1"/>
  <c r="BT1454" i="5"/>
  <c r="BX1454" i="5" s="1"/>
  <c r="BY1454" i="5" s="1"/>
  <c r="CC1454" i="5" s="1"/>
  <c r="BT1550" i="5"/>
  <c r="BX1550" i="5" s="1"/>
  <c r="BY1550" i="5" s="1"/>
  <c r="CC1550" i="5" s="1"/>
  <c r="BT1598" i="5"/>
  <c r="BX1598" i="5" s="1"/>
  <c r="BY1598" i="5" s="1"/>
  <c r="CC1598" i="5" s="1"/>
  <c r="BT1622" i="5"/>
  <c r="BX1622" i="5" s="1"/>
  <c r="BY1622" i="5" s="1"/>
  <c r="CC1622" i="5" s="1"/>
  <c r="BT1634" i="5"/>
  <c r="BX1634" i="5" s="1"/>
  <c r="BY1634" i="5" s="1"/>
  <c r="CC1634" i="5" s="1"/>
  <c r="BT1658" i="5"/>
  <c r="BX1658" i="5" s="1"/>
  <c r="BY1658" i="5" s="1"/>
  <c r="CC1658" i="5" s="1"/>
  <c r="BT1682" i="5"/>
  <c r="BX1682" i="5" s="1"/>
  <c r="BY1682" i="5" s="1"/>
  <c r="CC1682" i="5" s="1"/>
  <c r="BT724" i="5"/>
  <c r="BX724" i="5" s="1"/>
  <c r="BY724" i="5" s="1"/>
  <c r="CC724" i="5" s="1"/>
  <c r="BT832" i="5"/>
  <c r="BX832" i="5" s="1"/>
  <c r="BY832" i="5" s="1"/>
  <c r="CC832" i="5" s="1"/>
  <c r="BT939" i="5"/>
  <c r="BX939" i="5" s="1"/>
  <c r="BY939" i="5" s="1"/>
  <c r="CC939" i="5" s="1"/>
  <c r="BT975" i="5"/>
  <c r="BX975" i="5" s="1"/>
  <c r="BY975" i="5" s="1"/>
  <c r="CC975" i="5" s="1"/>
  <c r="BT1011" i="5"/>
  <c r="BX1011" i="5" s="1"/>
  <c r="BY1011" i="5" s="1"/>
  <c r="CC1011" i="5" s="1"/>
  <c r="BT1059" i="5"/>
  <c r="BX1059" i="5" s="1"/>
  <c r="BY1059" i="5" s="1"/>
  <c r="CC1059" i="5" s="1"/>
  <c r="BT1119" i="5"/>
  <c r="BX1119" i="5" s="1"/>
  <c r="BY1119" i="5" s="1"/>
  <c r="CC1119" i="5" s="1"/>
  <c r="BT1191" i="5"/>
  <c r="BX1191" i="5" s="1"/>
  <c r="BY1191" i="5" s="1"/>
  <c r="CC1191" i="5" s="1"/>
  <c r="BT1203" i="5"/>
  <c r="BX1203" i="5" s="1"/>
  <c r="BY1203" i="5" s="1"/>
  <c r="CC1203" i="5" s="1"/>
  <c r="BT1335" i="5"/>
  <c r="BX1335" i="5" s="1"/>
  <c r="BY1335" i="5" s="1"/>
  <c r="CC1335" i="5" s="1"/>
  <c r="BT1407" i="5"/>
  <c r="BX1407" i="5" s="1"/>
  <c r="BY1407" i="5" s="1"/>
  <c r="CC1407" i="5" s="1"/>
  <c r="BT1419" i="5"/>
  <c r="BX1419" i="5" s="1"/>
  <c r="BY1419" i="5" s="1"/>
  <c r="CC1419" i="5" s="1"/>
  <c r="BT1455" i="5"/>
  <c r="BX1455" i="5" s="1"/>
  <c r="BY1455" i="5" s="1"/>
  <c r="CC1455" i="5" s="1"/>
  <c r="BT1503" i="5"/>
  <c r="BX1503" i="5" s="1"/>
  <c r="BY1503" i="5" s="1"/>
  <c r="CC1503" i="5" s="1"/>
  <c r="BT1527" i="5"/>
  <c r="BX1527" i="5" s="1"/>
  <c r="BY1527" i="5" s="1"/>
  <c r="CC1527" i="5" s="1"/>
  <c r="BT1539" i="5"/>
  <c r="BX1539" i="5" s="1"/>
  <c r="BY1539" i="5" s="1"/>
  <c r="CC1539" i="5" s="1"/>
  <c r="BT1599" i="5"/>
  <c r="BX1599" i="5" s="1"/>
  <c r="BY1599" i="5" s="1"/>
  <c r="CC1599" i="5" s="1"/>
  <c r="BT1683" i="5"/>
  <c r="BX1683" i="5" s="1"/>
  <c r="BY1683" i="5" s="1"/>
  <c r="CC1683" i="5" s="1"/>
  <c r="BT1695" i="5"/>
  <c r="BX1695" i="5" s="1"/>
  <c r="BY1695" i="5" s="1"/>
  <c r="CC1695" i="5" s="1"/>
  <c r="BT725" i="5"/>
  <c r="BX725" i="5" s="1"/>
  <c r="BY725" i="5" s="1"/>
  <c r="CC725" i="5" s="1"/>
  <c r="BT833" i="5"/>
  <c r="BX833" i="5" s="1"/>
  <c r="BY833" i="5" s="1"/>
  <c r="CC833" i="5" s="1"/>
  <c r="BT940" i="5"/>
  <c r="BX940" i="5" s="1"/>
  <c r="BY940" i="5" s="1"/>
  <c r="CC940" i="5" s="1"/>
  <c r="BT1012" i="5"/>
  <c r="BX1012" i="5" s="1"/>
  <c r="BY1012" i="5" s="1"/>
  <c r="CC1012" i="5" s="1"/>
  <c r="BT1108" i="5"/>
  <c r="BX1108" i="5" s="1"/>
  <c r="BY1108" i="5" s="1"/>
  <c r="CC1108" i="5" s="1"/>
  <c r="BT1120" i="5"/>
  <c r="BX1120" i="5" s="1"/>
  <c r="BY1120" i="5" s="1"/>
  <c r="CC1120" i="5" s="1"/>
  <c r="BT1168" i="5"/>
  <c r="BX1168" i="5" s="1"/>
  <c r="BY1168" i="5" s="1"/>
  <c r="CC1168" i="5" s="1"/>
  <c r="BT1240" i="5"/>
  <c r="BX1240" i="5" s="1"/>
  <c r="BY1240" i="5" s="1"/>
  <c r="CC1240" i="5" s="1"/>
  <c r="BT1312" i="5"/>
  <c r="BX1312" i="5" s="1"/>
  <c r="BY1312" i="5" s="1"/>
  <c r="CC1312" i="5" s="1"/>
  <c r="BT1408" i="5"/>
  <c r="BX1408" i="5" s="1"/>
  <c r="BY1408" i="5" s="1"/>
  <c r="CC1408" i="5" s="1"/>
  <c r="BT1444" i="5"/>
  <c r="BX1444" i="5" s="1"/>
  <c r="BY1444" i="5" s="1"/>
  <c r="CC1444" i="5" s="1"/>
  <c r="BT1456" i="5"/>
  <c r="BX1456" i="5" s="1"/>
  <c r="BY1456" i="5" s="1"/>
  <c r="CC1456" i="5" s="1"/>
  <c r="BT1480" i="5"/>
  <c r="BX1480" i="5" s="1"/>
  <c r="BY1480" i="5" s="1"/>
  <c r="CC1480" i="5" s="1"/>
  <c r="BT1504" i="5"/>
  <c r="BX1504" i="5" s="1"/>
  <c r="BY1504" i="5" s="1"/>
  <c r="CC1504" i="5" s="1"/>
  <c r="BT1540" i="5"/>
  <c r="BX1540" i="5" s="1"/>
  <c r="BY1540" i="5" s="1"/>
  <c r="CC1540" i="5" s="1"/>
  <c r="BT1576" i="5"/>
  <c r="BX1576" i="5" s="1"/>
  <c r="BY1576" i="5" s="1"/>
  <c r="CC1576" i="5" s="1"/>
  <c r="BT1636" i="5"/>
  <c r="BX1636" i="5" s="1"/>
  <c r="BY1636" i="5" s="1"/>
  <c r="CC1636" i="5" s="1"/>
  <c r="BT1648" i="5"/>
  <c r="BX1648" i="5" s="1"/>
  <c r="BY1648" i="5" s="1"/>
  <c r="CC1648" i="5" s="1"/>
  <c r="BT1660" i="5"/>
  <c r="BX1660" i="5" s="1"/>
  <c r="BY1660" i="5" s="1"/>
  <c r="CC1660" i="5" s="1"/>
  <c r="BT1672" i="5"/>
  <c r="BX1672" i="5" s="1"/>
  <c r="BY1672" i="5" s="1"/>
  <c r="CC1672" i="5" s="1"/>
  <c r="BT1696" i="5"/>
  <c r="BX1696" i="5" s="1"/>
  <c r="BY1696" i="5" s="1"/>
  <c r="CC1696" i="5" s="1"/>
  <c r="BT1732" i="5"/>
  <c r="BX1732" i="5" s="1"/>
  <c r="BY1732" i="5" s="1"/>
  <c r="CC1732" i="5" s="1"/>
  <c r="BT736" i="5"/>
  <c r="BX736" i="5" s="1"/>
  <c r="BY736" i="5" s="1"/>
  <c r="CC736" i="5" s="1"/>
  <c r="BT840" i="5"/>
  <c r="BX840" i="5" s="1"/>
  <c r="BY840" i="5" s="1"/>
  <c r="CC840" i="5" s="1"/>
  <c r="BT928" i="5"/>
  <c r="BX928" i="5" s="1"/>
  <c r="BY928" i="5" s="1"/>
  <c r="CC928" i="5" s="1"/>
  <c r="BT941" i="5"/>
  <c r="BX941" i="5" s="1"/>
  <c r="BY941" i="5" s="1"/>
  <c r="CC941" i="5" s="1"/>
  <c r="BT989" i="5"/>
  <c r="BX989" i="5" s="1"/>
  <c r="BY989" i="5" s="1"/>
  <c r="CC989" i="5" s="1"/>
  <c r="BT1013" i="5"/>
  <c r="BX1013" i="5" s="1"/>
  <c r="BY1013" i="5" s="1"/>
  <c r="CC1013" i="5" s="1"/>
  <c r="BT1073" i="5"/>
  <c r="BX1073" i="5" s="1"/>
  <c r="BY1073" i="5" s="1"/>
  <c r="CC1073" i="5" s="1"/>
  <c r="BT1169" i="5"/>
  <c r="BX1169" i="5" s="1"/>
  <c r="BY1169" i="5" s="1"/>
  <c r="CC1169" i="5" s="1"/>
  <c r="BT1181" i="5"/>
  <c r="BX1181" i="5" s="1"/>
  <c r="BY1181" i="5" s="1"/>
  <c r="CC1181" i="5" s="1"/>
  <c r="BT1241" i="5"/>
  <c r="BX1241" i="5" s="1"/>
  <c r="BY1241" i="5" s="1"/>
  <c r="CC1241" i="5" s="1"/>
  <c r="BT1565" i="5"/>
  <c r="BX1565" i="5" s="1"/>
  <c r="BY1565" i="5" s="1"/>
  <c r="CC1565" i="5" s="1"/>
  <c r="BT1637" i="5"/>
  <c r="BX1637" i="5" s="1"/>
  <c r="BY1637" i="5" s="1"/>
  <c r="CC1637" i="5" s="1"/>
  <c r="BT1649" i="5"/>
  <c r="BX1649" i="5" s="1"/>
  <c r="BY1649" i="5" s="1"/>
  <c r="CC1649" i="5" s="1"/>
  <c r="BT1673" i="5"/>
  <c r="BX1673" i="5" s="1"/>
  <c r="BY1673" i="5" s="1"/>
  <c r="CC1673" i="5" s="1"/>
  <c r="BT1697" i="5"/>
  <c r="BX1697" i="5" s="1"/>
  <c r="BY1697" i="5" s="1"/>
  <c r="CC1697" i="5" s="1"/>
  <c r="BT1709" i="5"/>
  <c r="BX1709" i="5" s="1"/>
  <c r="BY1709" i="5" s="1"/>
  <c r="CC1709" i="5" s="1"/>
  <c r="BT1721" i="5"/>
  <c r="BX1721" i="5" s="1"/>
  <c r="BY1721" i="5" s="1"/>
  <c r="CC1721" i="5" s="1"/>
  <c r="BT1733" i="5"/>
  <c r="BX1733" i="5" s="1"/>
  <c r="BY1733" i="5" s="1"/>
  <c r="CC1733" i="5" s="1"/>
  <c r="BT737" i="5"/>
  <c r="BX737" i="5" s="1"/>
  <c r="BY737" i="5" s="1"/>
  <c r="CC737" i="5" s="1"/>
  <c r="BT892" i="5"/>
  <c r="BX892" i="5" s="1"/>
  <c r="BY892" i="5" s="1"/>
  <c r="CC892" i="5" s="1"/>
  <c r="BT978" i="5"/>
  <c r="BX978" i="5" s="1"/>
  <c r="BY978" i="5" s="1"/>
  <c r="CC978" i="5" s="1"/>
  <c r="BT1014" i="5"/>
  <c r="BX1014" i="5" s="1"/>
  <c r="BY1014" i="5" s="1"/>
  <c r="CC1014" i="5" s="1"/>
  <c r="BT1026" i="5"/>
  <c r="BX1026" i="5" s="1"/>
  <c r="BY1026" i="5" s="1"/>
  <c r="CC1026" i="5" s="1"/>
  <c r="BT1050" i="5"/>
  <c r="BX1050" i="5" s="1"/>
  <c r="BY1050" i="5" s="1"/>
  <c r="CC1050" i="5" s="1"/>
  <c r="BT1062" i="5"/>
  <c r="BX1062" i="5" s="1"/>
  <c r="BY1062" i="5" s="1"/>
  <c r="CC1062" i="5" s="1"/>
  <c r="BT1110" i="5"/>
  <c r="BX1110" i="5" s="1"/>
  <c r="BY1110" i="5" s="1"/>
  <c r="CC1110" i="5" s="1"/>
  <c r="BT1398" i="5"/>
  <c r="BX1398" i="5" s="1"/>
  <c r="BY1398" i="5" s="1"/>
  <c r="CC1398" i="5" s="1"/>
  <c r="BT1422" i="5"/>
  <c r="BX1422" i="5" s="1"/>
  <c r="BY1422" i="5" s="1"/>
  <c r="CC1422" i="5" s="1"/>
  <c r="BT1446" i="5"/>
  <c r="BX1446" i="5" s="1"/>
  <c r="BY1446" i="5" s="1"/>
  <c r="CC1446" i="5" s="1"/>
  <c r="BT1518" i="5"/>
  <c r="BX1518" i="5" s="1"/>
  <c r="BY1518" i="5" s="1"/>
  <c r="CC1518" i="5" s="1"/>
  <c r="BT1530" i="5"/>
  <c r="BX1530" i="5" s="1"/>
  <c r="BY1530" i="5" s="1"/>
  <c r="CC1530" i="5" s="1"/>
  <c r="BT1578" i="5"/>
  <c r="BX1578" i="5" s="1"/>
  <c r="BY1578" i="5" s="1"/>
  <c r="CC1578" i="5" s="1"/>
  <c r="BT1602" i="5"/>
  <c r="BX1602" i="5" s="1"/>
  <c r="BY1602" i="5" s="1"/>
  <c r="CC1602" i="5" s="1"/>
  <c r="BT1638" i="5"/>
  <c r="BX1638" i="5" s="1"/>
  <c r="BY1638" i="5" s="1"/>
  <c r="CC1638" i="5" s="1"/>
  <c r="BT1686" i="5"/>
  <c r="BX1686" i="5" s="1"/>
  <c r="BY1686" i="5" s="1"/>
  <c r="CC1686" i="5" s="1"/>
  <c r="BT1710" i="5"/>
  <c r="BX1710" i="5" s="1"/>
  <c r="BY1710" i="5" s="1"/>
  <c r="CC1710" i="5" s="1"/>
  <c r="BT1722" i="5"/>
  <c r="BX1722" i="5" s="1"/>
  <c r="BY1722" i="5" s="1"/>
  <c r="CC1722" i="5" s="1"/>
  <c r="BT1746" i="5"/>
  <c r="BX1746" i="5" s="1"/>
  <c r="BY1746" i="5" s="1"/>
  <c r="CC1746" i="5" s="1"/>
  <c r="BT1752" i="5"/>
  <c r="BX1752" i="5" s="1"/>
  <c r="BY1752" i="5" s="1"/>
  <c r="CC1752" i="5" s="1"/>
  <c r="BT1765" i="5"/>
  <c r="BX1765" i="5" s="1"/>
  <c r="BY1765" i="5" s="1"/>
  <c r="CC1765" i="5" s="1"/>
  <c r="BT1789" i="5"/>
  <c r="BX1789" i="5" s="1"/>
  <c r="BY1789" i="5" s="1"/>
  <c r="CC1789" i="5" s="1"/>
  <c r="BT1813" i="5"/>
  <c r="BX1813" i="5" s="1"/>
  <c r="BY1813" i="5" s="1"/>
  <c r="CC1813" i="5" s="1"/>
  <c r="BT1825" i="5"/>
  <c r="BX1825" i="5" s="1"/>
  <c r="BY1825" i="5" s="1"/>
  <c r="CC1825" i="5" s="1"/>
  <c r="BT1861" i="5"/>
  <c r="BX1861" i="5" s="1"/>
  <c r="BY1861" i="5" s="1"/>
  <c r="CC1861" i="5" s="1"/>
  <c r="BT1873" i="5"/>
  <c r="BX1873" i="5" s="1"/>
  <c r="BY1873" i="5" s="1"/>
  <c r="CC1873" i="5" s="1"/>
  <c r="BT1885" i="5"/>
  <c r="BX1885" i="5" s="1"/>
  <c r="BY1885" i="5" s="1"/>
  <c r="CC1885" i="5" s="1"/>
  <c r="BT1897" i="5"/>
  <c r="BX1897" i="5" s="1"/>
  <c r="BY1897" i="5" s="1"/>
  <c r="CC1897" i="5" s="1"/>
  <c r="BT1921" i="5"/>
  <c r="BX1921" i="5" s="1"/>
  <c r="BY1921" i="5" s="1"/>
  <c r="CC1921" i="5" s="1"/>
  <c r="BT1957" i="5"/>
  <c r="BX1957" i="5" s="1"/>
  <c r="BY1957" i="5" s="1"/>
  <c r="CC1957" i="5" s="1"/>
  <c r="BT1969" i="5"/>
  <c r="BX1969" i="5" s="1"/>
  <c r="BY1969" i="5" s="1"/>
  <c r="CC1969" i="5" s="1"/>
  <c r="BT2017" i="5"/>
  <c r="BX2017" i="5" s="1"/>
  <c r="BY2017" i="5" s="1"/>
  <c r="CC2017" i="5" s="1"/>
  <c r="BT2077" i="5"/>
  <c r="BX2077" i="5" s="1"/>
  <c r="BY2077" i="5" s="1"/>
  <c r="CC2077" i="5" s="1"/>
  <c r="BT2125" i="5"/>
  <c r="BX2125" i="5" s="1"/>
  <c r="BY2125" i="5" s="1"/>
  <c r="CC2125" i="5" s="1"/>
  <c r="BT2185" i="5"/>
  <c r="BX2185" i="5" s="1"/>
  <c r="BY2185" i="5" s="1"/>
  <c r="CC2185" i="5" s="1"/>
  <c r="BT2209" i="5"/>
  <c r="BX2209" i="5" s="1"/>
  <c r="BY2209" i="5" s="1"/>
  <c r="CC2209" i="5" s="1"/>
  <c r="BT2233" i="5"/>
  <c r="BX2233" i="5" s="1"/>
  <c r="BY2233" i="5" s="1"/>
  <c r="CC2233" i="5" s="1"/>
  <c r="BT2425" i="5"/>
  <c r="BX2425" i="5" s="1"/>
  <c r="BY2425" i="5" s="1"/>
  <c r="CC2425" i="5" s="1"/>
  <c r="BT1123" i="5"/>
  <c r="BX1123" i="5" s="1"/>
  <c r="BY1123" i="5" s="1"/>
  <c r="CC1123" i="5" s="1"/>
  <c r="BT1651" i="5"/>
  <c r="BX1651" i="5" s="1"/>
  <c r="BY1651" i="5" s="1"/>
  <c r="CC1651" i="5" s="1"/>
  <c r="BT1753" i="5"/>
  <c r="BX1753" i="5" s="1"/>
  <c r="BY1753" i="5" s="1"/>
  <c r="CC1753" i="5" s="1"/>
  <c r="BT1766" i="5"/>
  <c r="BX1766" i="5" s="1"/>
  <c r="BY1766" i="5" s="1"/>
  <c r="CC1766" i="5" s="1"/>
  <c r="BT1778" i="5"/>
  <c r="BX1778" i="5" s="1"/>
  <c r="BY1778" i="5" s="1"/>
  <c r="CC1778" i="5" s="1"/>
  <c r="BT1850" i="5"/>
  <c r="BX1850" i="5" s="1"/>
  <c r="BY1850" i="5" s="1"/>
  <c r="CC1850" i="5" s="1"/>
  <c r="BT1862" i="5"/>
  <c r="BX1862" i="5" s="1"/>
  <c r="BY1862" i="5" s="1"/>
  <c r="CC1862" i="5" s="1"/>
  <c r="BT1886" i="5"/>
  <c r="BX1886" i="5" s="1"/>
  <c r="BY1886" i="5" s="1"/>
  <c r="CC1886" i="5" s="1"/>
  <c r="BT1898" i="5"/>
  <c r="BX1898" i="5" s="1"/>
  <c r="BY1898" i="5" s="1"/>
  <c r="CC1898" i="5" s="1"/>
  <c r="BT1958" i="5"/>
  <c r="BX1958" i="5" s="1"/>
  <c r="BY1958" i="5" s="1"/>
  <c r="CC1958" i="5" s="1"/>
  <c r="BT1970" i="5"/>
  <c r="BX1970" i="5" s="1"/>
  <c r="BY1970" i="5" s="1"/>
  <c r="CC1970" i="5" s="1"/>
  <c r="BT2090" i="5"/>
  <c r="BX2090" i="5" s="1"/>
  <c r="BY2090" i="5" s="1"/>
  <c r="CC2090" i="5" s="1"/>
  <c r="BT2102" i="5"/>
  <c r="BX2102" i="5" s="1"/>
  <c r="BY2102" i="5" s="1"/>
  <c r="CC2102" i="5" s="1"/>
  <c r="BT2126" i="5"/>
  <c r="BX2126" i="5" s="1"/>
  <c r="BY2126" i="5" s="1"/>
  <c r="CC2126" i="5" s="1"/>
  <c r="BT2150" i="5"/>
  <c r="BX2150" i="5" s="1"/>
  <c r="BY2150" i="5" s="1"/>
  <c r="CC2150" i="5" s="1"/>
  <c r="BT2246" i="5"/>
  <c r="BX2246" i="5" s="1"/>
  <c r="BY2246" i="5" s="1"/>
  <c r="CC2246" i="5" s="1"/>
  <c r="BT2258" i="5"/>
  <c r="BX2258" i="5" s="1"/>
  <c r="BY2258" i="5" s="1"/>
  <c r="CC2258" i="5" s="1"/>
  <c r="BT2270" i="5"/>
  <c r="BX2270" i="5" s="1"/>
  <c r="BY2270" i="5" s="1"/>
  <c r="CC2270" i="5" s="1"/>
  <c r="BT2294" i="5"/>
  <c r="BX2294" i="5" s="1"/>
  <c r="BY2294" i="5" s="1"/>
  <c r="CC2294" i="5" s="1"/>
  <c r="BT2306" i="5"/>
  <c r="BX2306" i="5" s="1"/>
  <c r="BY2306" i="5" s="1"/>
  <c r="CC2306" i="5" s="1"/>
  <c r="BT2318" i="5"/>
  <c r="BX2318" i="5" s="1"/>
  <c r="BY2318" i="5" s="1"/>
  <c r="CC2318" i="5" s="1"/>
  <c r="BT2366" i="5"/>
  <c r="BX2366" i="5" s="1"/>
  <c r="BY2366" i="5" s="1"/>
  <c r="CC2366" i="5" s="1"/>
  <c r="BT2426" i="5"/>
  <c r="BX2426" i="5" s="1"/>
  <c r="BY2426" i="5" s="1"/>
  <c r="CC2426" i="5" s="1"/>
  <c r="BT2462" i="5"/>
  <c r="BX2462" i="5" s="1"/>
  <c r="BY2462" i="5" s="1"/>
  <c r="CC2462" i="5" s="1"/>
  <c r="BT2474" i="5"/>
  <c r="BX2474" i="5" s="1"/>
  <c r="BY2474" i="5" s="1"/>
  <c r="CC2474" i="5" s="1"/>
  <c r="BT991" i="5"/>
  <c r="BX991" i="5" s="1"/>
  <c r="BY991" i="5" s="1"/>
  <c r="CC991" i="5" s="1"/>
  <c r="BT1656" i="5"/>
  <c r="BX1656" i="5" s="1"/>
  <c r="BY1656" i="5" s="1"/>
  <c r="CC1656" i="5" s="1"/>
  <c r="BT1755" i="5"/>
  <c r="BX1755" i="5" s="1"/>
  <c r="BY1755" i="5" s="1"/>
  <c r="CC1755" i="5" s="1"/>
  <c r="BT1767" i="5"/>
  <c r="BX1767" i="5" s="1"/>
  <c r="BY1767" i="5" s="1"/>
  <c r="CC1767" i="5" s="1"/>
  <c r="BT1839" i="5"/>
  <c r="BX1839" i="5" s="1"/>
  <c r="BY1839" i="5" s="1"/>
  <c r="CC1839" i="5" s="1"/>
  <c r="BT1875" i="5"/>
  <c r="BX1875" i="5" s="1"/>
  <c r="BY1875" i="5" s="1"/>
  <c r="CC1875" i="5" s="1"/>
  <c r="BT1899" i="5"/>
  <c r="BX1899" i="5" s="1"/>
  <c r="BY1899" i="5" s="1"/>
  <c r="CC1899" i="5" s="1"/>
  <c r="BT1911" i="5"/>
  <c r="BX1911" i="5" s="1"/>
  <c r="BY1911" i="5" s="1"/>
  <c r="CC1911" i="5" s="1"/>
  <c r="BT1947" i="5"/>
  <c r="BX1947" i="5" s="1"/>
  <c r="BY1947" i="5" s="1"/>
  <c r="CC1947" i="5" s="1"/>
  <c r="BT1959" i="5"/>
  <c r="BX1959" i="5" s="1"/>
  <c r="BY1959" i="5" s="1"/>
  <c r="CC1959" i="5" s="1"/>
  <c r="BT1983" i="5"/>
  <c r="BX1983" i="5" s="1"/>
  <c r="BY1983" i="5" s="1"/>
  <c r="CC1983" i="5" s="1"/>
  <c r="BT1995" i="5"/>
  <c r="BX1995" i="5" s="1"/>
  <c r="BY1995" i="5" s="1"/>
  <c r="CC1995" i="5" s="1"/>
  <c r="BT2019" i="5"/>
  <c r="BX2019" i="5" s="1"/>
  <c r="BY2019" i="5" s="1"/>
  <c r="CC2019" i="5" s="1"/>
  <c r="BT2043" i="5"/>
  <c r="BX2043" i="5" s="1"/>
  <c r="BY2043" i="5" s="1"/>
  <c r="CC2043" i="5" s="1"/>
  <c r="BT2067" i="5"/>
  <c r="BX2067" i="5" s="1"/>
  <c r="BY2067" i="5" s="1"/>
  <c r="CC2067" i="5" s="1"/>
  <c r="BT2103" i="5"/>
  <c r="BX2103" i="5" s="1"/>
  <c r="BY2103" i="5" s="1"/>
  <c r="CC2103" i="5" s="1"/>
  <c r="BT2115" i="5"/>
  <c r="BX2115" i="5" s="1"/>
  <c r="BY2115" i="5" s="1"/>
  <c r="CC2115" i="5" s="1"/>
  <c r="BT2163" i="5"/>
  <c r="BX2163" i="5" s="1"/>
  <c r="BY2163" i="5" s="1"/>
  <c r="CC2163" i="5" s="1"/>
  <c r="BT2247" i="5"/>
  <c r="BX2247" i="5" s="1"/>
  <c r="BY2247" i="5" s="1"/>
  <c r="CC2247" i="5" s="1"/>
  <c r="BT2259" i="5"/>
  <c r="BX2259" i="5" s="1"/>
  <c r="BY2259" i="5" s="1"/>
  <c r="CC2259" i="5" s="1"/>
  <c r="BT2319" i="5"/>
  <c r="BX2319" i="5" s="1"/>
  <c r="BY2319" i="5" s="1"/>
  <c r="CC2319" i="5" s="1"/>
  <c r="BT2343" i="5"/>
  <c r="BX2343" i="5" s="1"/>
  <c r="BY2343" i="5" s="1"/>
  <c r="CC2343" i="5" s="1"/>
  <c r="BT2355" i="5"/>
  <c r="BX2355" i="5" s="1"/>
  <c r="BY2355" i="5" s="1"/>
  <c r="CC2355" i="5" s="1"/>
  <c r="BT1699" i="5"/>
  <c r="BX1699" i="5" s="1"/>
  <c r="BY1699" i="5" s="1"/>
  <c r="CC1699" i="5" s="1"/>
  <c r="BT1816" i="5"/>
  <c r="BX1816" i="5" s="1"/>
  <c r="BY1816" i="5" s="1"/>
  <c r="CC1816" i="5" s="1"/>
  <c r="BT1876" i="5"/>
  <c r="BX1876" i="5" s="1"/>
  <c r="BY1876" i="5" s="1"/>
  <c r="CC1876" i="5" s="1"/>
  <c r="BT1888" i="5"/>
  <c r="BX1888" i="5" s="1"/>
  <c r="BY1888" i="5" s="1"/>
  <c r="CC1888" i="5" s="1"/>
  <c r="BT1900" i="5"/>
  <c r="BX1900" i="5" s="1"/>
  <c r="BY1900" i="5" s="1"/>
  <c r="CC1900" i="5" s="1"/>
  <c r="BT1924" i="5"/>
  <c r="BX1924" i="5" s="1"/>
  <c r="BY1924" i="5" s="1"/>
  <c r="CC1924" i="5" s="1"/>
  <c r="BT1936" i="5"/>
  <c r="BX1936" i="5" s="1"/>
  <c r="BY1936" i="5" s="1"/>
  <c r="CC1936" i="5" s="1"/>
  <c r="BT1972" i="5"/>
  <c r="BX1972" i="5" s="1"/>
  <c r="BY1972" i="5" s="1"/>
  <c r="CC1972" i="5" s="1"/>
  <c r="BT2020" i="5"/>
  <c r="BX2020" i="5" s="1"/>
  <c r="BY2020" i="5" s="1"/>
  <c r="CC2020" i="5" s="1"/>
  <c r="BT2068" i="5"/>
  <c r="BX2068" i="5" s="1"/>
  <c r="BY2068" i="5" s="1"/>
  <c r="CC2068" i="5" s="1"/>
  <c r="BT2092" i="5"/>
  <c r="BX2092" i="5" s="1"/>
  <c r="BY2092" i="5" s="1"/>
  <c r="CC2092" i="5" s="1"/>
  <c r="BT2104" i="5"/>
  <c r="BX2104" i="5" s="1"/>
  <c r="BY2104" i="5" s="1"/>
  <c r="CC2104" i="5" s="1"/>
  <c r="BT2116" i="5"/>
  <c r="BX2116" i="5" s="1"/>
  <c r="BY2116" i="5" s="1"/>
  <c r="CC2116" i="5" s="1"/>
  <c r="BT2164" i="5"/>
  <c r="BX2164" i="5" s="1"/>
  <c r="BY2164" i="5" s="1"/>
  <c r="CC2164" i="5" s="1"/>
  <c r="BT2224" i="5"/>
  <c r="BX2224" i="5" s="1"/>
  <c r="BY2224" i="5" s="1"/>
  <c r="CC2224" i="5" s="1"/>
  <c r="BT2236" i="5"/>
  <c r="BX2236" i="5" s="1"/>
  <c r="BY2236" i="5" s="1"/>
  <c r="CC2236" i="5" s="1"/>
  <c r="BT2260" i="5"/>
  <c r="BX2260" i="5" s="1"/>
  <c r="BY2260" i="5" s="1"/>
  <c r="CC2260" i="5" s="1"/>
  <c r="BT2284" i="5"/>
  <c r="BX2284" i="5" s="1"/>
  <c r="BY2284" i="5" s="1"/>
  <c r="CC2284" i="5" s="1"/>
  <c r="BT2308" i="5"/>
  <c r="BX2308" i="5" s="1"/>
  <c r="BY2308" i="5" s="1"/>
  <c r="CC2308" i="5" s="1"/>
  <c r="BT2332" i="5"/>
  <c r="BX2332" i="5" s="1"/>
  <c r="BY2332" i="5" s="1"/>
  <c r="CC2332" i="5" s="1"/>
  <c r="BT2368" i="5"/>
  <c r="BX2368" i="5" s="1"/>
  <c r="BY2368" i="5" s="1"/>
  <c r="CC2368" i="5" s="1"/>
  <c r="BT2404" i="5"/>
  <c r="BX2404" i="5" s="1"/>
  <c r="BY2404" i="5" s="1"/>
  <c r="CC2404" i="5" s="1"/>
  <c r="BT2476" i="5"/>
  <c r="BX2476" i="5" s="1"/>
  <c r="BY2476" i="5" s="1"/>
  <c r="CC2476" i="5" s="1"/>
  <c r="BT1735" i="5"/>
  <c r="BX1735" i="5" s="1"/>
  <c r="BY1735" i="5" s="1"/>
  <c r="CC1735" i="5" s="1"/>
  <c r="BT1793" i="5"/>
  <c r="BX1793" i="5" s="1"/>
  <c r="BY1793" i="5" s="1"/>
  <c r="CC1793" i="5" s="1"/>
  <c r="BT1817" i="5"/>
  <c r="BX1817" i="5" s="1"/>
  <c r="BY1817" i="5" s="1"/>
  <c r="CC1817" i="5" s="1"/>
  <c r="BT1841" i="5"/>
  <c r="BX1841" i="5" s="1"/>
  <c r="BY1841" i="5" s="1"/>
  <c r="CC1841" i="5" s="1"/>
  <c r="BT1865" i="5"/>
  <c r="BX1865" i="5" s="1"/>
  <c r="BY1865" i="5" s="1"/>
  <c r="CC1865" i="5" s="1"/>
  <c r="BT1889" i="5"/>
  <c r="BX1889" i="5" s="1"/>
  <c r="BY1889" i="5" s="1"/>
  <c r="CC1889" i="5" s="1"/>
  <c r="BT1913" i="5"/>
  <c r="BX1913" i="5" s="1"/>
  <c r="BY1913" i="5" s="1"/>
  <c r="CC1913" i="5" s="1"/>
  <c r="BT1937" i="5"/>
  <c r="BX1937" i="5" s="1"/>
  <c r="BY1937" i="5" s="1"/>
  <c r="CC1937" i="5" s="1"/>
  <c r="BT1949" i="5"/>
  <c r="BX1949" i="5" s="1"/>
  <c r="BY1949" i="5" s="1"/>
  <c r="CC1949" i="5" s="1"/>
  <c r="BT1961" i="5"/>
  <c r="BX1961" i="5" s="1"/>
  <c r="BY1961" i="5" s="1"/>
  <c r="CC1961" i="5" s="1"/>
  <c r="BT1973" i="5"/>
  <c r="BX1973" i="5" s="1"/>
  <c r="BY1973" i="5" s="1"/>
  <c r="CC1973" i="5" s="1"/>
  <c r="BT1997" i="5"/>
  <c r="BX1997" i="5" s="1"/>
  <c r="BY1997" i="5" s="1"/>
  <c r="CC1997" i="5" s="1"/>
  <c r="BT2009" i="5"/>
  <c r="BX2009" i="5" s="1"/>
  <c r="BY2009" i="5" s="1"/>
  <c r="CC2009" i="5" s="1"/>
  <c r="BT2045" i="5"/>
  <c r="BX2045" i="5" s="1"/>
  <c r="BY2045" i="5" s="1"/>
  <c r="CC2045" i="5" s="1"/>
  <c r="BT2069" i="5"/>
  <c r="BX2069" i="5" s="1"/>
  <c r="BY2069" i="5" s="1"/>
  <c r="CC2069" i="5" s="1"/>
  <c r="BT2129" i="5"/>
  <c r="BX2129" i="5" s="1"/>
  <c r="BY2129" i="5" s="1"/>
  <c r="CC2129" i="5" s="1"/>
  <c r="BT2153" i="5"/>
  <c r="BX2153" i="5" s="1"/>
  <c r="BY2153" i="5" s="1"/>
  <c r="CC2153" i="5" s="1"/>
  <c r="BT2165" i="5"/>
  <c r="BX2165" i="5" s="1"/>
  <c r="BY2165" i="5" s="1"/>
  <c r="CC2165" i="5" s="1"/>
  <c r="BT2177" i="5"/>
  <c r="BX2177" i="5" s="1"/>
  <c r="BY2177" i="5" s="1"/>
  <c r="CC2177" i="5" s="1"/>
  <c r="BT2213" i="5"/>
  <c r="BX2213" i="5" s="1"/>
  <c r="BY2213" i="5" s="1"/>
  <c r="CC2213" i="5" s="1"/>
  <c r="BT2237" i="5"/>
  <c r="BX2237" i="5" s="1"/>
  <c r="BY2237" i="5" s="1"/>
  <c r="CC2237" i="5" s="1"/>
  <c r="BT2309" i="5"/>
  <c r="BX2309" i="5" s="1"/>
  <c r="BY2309" i="5" s="1"/>
  <c r="CC2309" i="5" s="1"/>
  <c r="BT2321" i="5"/>
  <c r="BX2321" i="5" s="1"/>
  <c r="BY2321" i="5" s="1"/>
  <c r="CC2321" i="5" s="1"/>
  <c r="BT2333" i="5"/>
  <c r="BX2333" i="5" s="1"/>
  <c r="BY2333" i="5" s="1"/>
  <c r="CC2333" i="5" s="1"/>
  <c r="BT2393" i="5"/>
  <c r="BX2393" i="5" s="1"/>
  <c r="BY2393" i="5" s="1"/>
  <c r="CC2393" i="5" s="1"/>
  <c r="BT2417" i="5"/>
  <c r="BX2417" i="5" s="1"/>
  <c r="BY2417" i="5" s="1"/>
  <c r="CC2417" i="5" s="1"/>
  <c r="BT2429" i="5"/>
  <c r="BX2429" i="5" s="1"/>
  <c r="BY2429" i="5" s="1"/>
  <c r="CC2429" i="5" s="1"/>
  <c r="BT2441" i="5"/>
  <c r="BX2441" i="5" s="1"/>
  <c r="BY2441" i="5" s="1"/>
  <c r="CC2441" i="5" s="1"/>
  <c r="BT1739" i="5"/>
  <c r="BX1739" i="5" s="1"/>
  <c r="BY1739" i="5" s="1"/>
  <c r="CC1739" i="5" s="1"/>
  <c r="BT1782" i="5"/>
  <c r="BX1782" i="5" s="1"/>
  <c r="BY1782" i="5" s="1"/>
  <c r="CC1782" i="5" s="1"/>
  <c r="BT1794" i="5"/>
  <c r="BX1794" i="5" s="1"/>
  <c r="BY1794" i="5" s="1"/>
  <c r="CC1794" i="5" s="1"/>
  <c r="BT1806" i="5"/>
  <c r="BX1806" i="5" s="1"/>
  <c r="BY1806" i="5" s="1"/>
  <c r="CC1806" i="5" s="1"/>
  <c r="BT1830" i="5"/>
  <c r="BX1830" i="5" s="1"/>
  <c r="BY1830" i="5" s="1"/>
  <c r="CC1830" i="5" s="1"/>
  <c r="BT1842" i="5"/>
  <c r="BX1842" i="5" s="1"/>
  <c r="BY1842" i="5" s="1"/>
  <c r="CC1842" i="5" s="1"/>
  <c r="BT1854" i="5"/>
  <c r="BX1854" i="5" s="1"/>
  <c r="BY1854" i="5" s="1"/>
  <c r="CC1854" i="5" s="1"/>
  <c r="BT1878" i="5"/>
  <c r="BX1878" i="5" s="1"/>
  <c r="BY1878" i="5" s="1"/>
  <c r="CC1878" i="5" s="1"/>
  <c r="BT1950" i="5"/>
  <c r="BX1950" i="5" s="1"/>
  <c r="BY1950" i="5" s="1"/>
  <c r="CC1950" i="5" s="1"/>
  <c r="BT1962" i="5"/>
  <c r="BX1962" i="5" s="1"/>
  <c r="BY1962" i="5" s="1"/>
  <c r="CC1962" i="5" s="1"/>
  <c r="BT1998" i="5"/>
  <c r="BX1998" i="5" s="1"/>
  <c r="BY1998" i="5" s="1"/>
  <c r="CC1998" i="5" s="1"/>
  <c r="BT2034" i="5"/>
  <c r="BX2034" i="5" s="1"/>
  <c r="BY2034" i="5" s="1"/>
  <c r="CC2034" i="5" s="1"/>
  <c r="BT2046" i="5"/>
  <c r="BX2046" i="5" s="1"/>
  <c r="BY2046" i="5" s="1"/>
  <c r="CC2046" i="5" s="1"/>
  <c r="BT2106" i="5"/>
  <c r="BX2106" i="5" s="1"/>
  <c r="BY2106" i="5" s="1"/>
  <c r="CC2106" i="5" s="1"/>
  <c r="BT2118" i="5"/>
  <c r="BX2118" i="5" s="1"/>
  <c r="BY2118" i="5" s="1"/>
  <c r="CC2118" i="5" s="1"/>
  <c r="BT2142" i="5"/>
  <c r="BX2142" i="5" s="1"/>
  <c r="BY2142" i="5" s="1"/>
  <c r="CC2142" i="5" s="1"/>
  <c r="BT2166" i="5"/>
  <c r="BX2166" i="5" s="1"/>
  <c r="BY2166" i="5" s="1"/>
  <c r="CC2166" i="5" s="1"/>
  <c r="BT2190" i="5"/>
  <c r="BX2190" i="5" s="1"/>
  <c r="BY2190" i="5" s="1"/>
  <c r="CC2190" i="5" s="1"/>
  <c r="BT2214" i="5"/>
  <c r="BX2214" i="5" s="1"/>
  <c r="BY2214" i="5" s="1"/>
  <c r="CC2214" i="5" s="1"/>
  <c r="BT2274" i="5"/>
  <c r="BX2274" i="5" s="1"/>
  <c r="BY2274" i="5" s="1"/>
  <c r="CC2274" i="5" s="1"/>
  <c r="BT2334" i="5"/>
  <c r="BX2334" i="5" s="1"/>
  <c r="BY2334" i="5" s="1"/>
  <c r="CC2334" i="5" s="1"/>
  <c r="BT2346" i="5"/>
  <c r="BX2346" i="5" s="1"/>
  <c r="BY2346" i="5" s="1"/>
  <c r="CC2346" i="5" s="1"/>
  <c r="BT2358" i="5"/>
  <c r="BX2358" i="5" s="1"/>
  <c r="BY2358" i="5" s="1"/>
  <c r="CC2358" i="5" s="1"/>
  <c r="BT2394" i="5"/>
  <c r="BX2394" i="5" s="1"/>
  <c r="BY2394" i="5" s="1"/>
  <c r="CC2394" i="5" s="1"/>
  <c r="BT1183" i="5"/>
  <c r="BX1183" i="5" s="1"/>
  <c r="BY1183" i="5" s="1"/>
  <c r="CC1183" i="5" s="1"/>
  <c r="BT1471" i="5"/>
  <c r="BX1471" i="5" s="1"/>
  <c r="BY1471" i="5" s="1"/>
  <c r="CC1471" i="5" s="1"/>
  <c r="BT1705" i="5"/>
  <c r="BX1705" i="5" s="1"/>
  <c r="BY1705" i="5" s="1"/>
  <c r="CC1705" i="5" s="1"/>
  <c r="BT1807" i="5"/>
  <c r="BX1807" i="5" s="1"/>
  <c r="BY1807" i="5" s="1"/>
  <c r="CC1807" i="5" s="1"/>
  <c r="BT1819" i="5"/>
  <c r="BX1819" i="5" s="1"/>
  <c r="BY1819" i="5" s="1"/>
  <c r="CC1819" i="5" s="1"/>
  <c r="BT1903" i="5"/>
  <c r="BX1903" i="5" s="1"/>
  <c r="BY1903" i="5" s="1"/>
  <c r="CC1903" i="5" s="1"/>
  <c r="BT1915" i="5"/>
  <c r="BX1915" i="5" s="1"/>
  <c r="BY1915" i="5" s="1"/>
  <c r="CC1915" i="5" s="1"/>
  <c r="BT1939" i="5"/>
  <c r="BX1939" i="5" s="1"/>
  <c r="BY1939" i="5" s="1"/>
  <c r="CC1939" i="5" s="1"/>
  <c r="BT1963" i="5"/>
  <c r="BX1963" i="5" s="1"/>
  <c r="BY1963" i="5" s="1"/>
  <c r="CC1963" i="5" s="1"/>
  <c r="BT1975" i="5"/>
  <c r="BX1975" i="5" s="1"/>
  <c r="BY1975" i="5" s="1"/>
  <c r="CC1975" i="5" s="1"/>
  <c r="BT1987" i="5"/>
  <c r="BX1987" i="5" s="1"/>
  <c r="BY1987" i="5" s="1"/>
  <c r="CC1987" i="5" s="1"/>
  <c r="BT2011" i="5"/>
  <c r="BX2011" i="5" s="1"/>
  <c r="BY2011" i="5" s="1"/>
  <c r="CC2011" i="5" s="1"/>
  <c r="BT2023" i="5"/>
  <c r="BX2023" i="5" s="1"/>
  <c r="BY2023" i="5" s="1"/>
  <c r="CC2023" i="5" s="1"/>
  <c r="BT2083" i="5"/>
  <c r="BX2083" i="5" s="1"/>
  <c r="BY2083" i="5" s="1"/>
  <c r="CC2083" i="5" s="1"/>
  <c r="BT2107" i="5"/>
  <c r="BX2107" i="5" s="1"/>
  <c r="BY2107" i="5" s="1"/>
  <c r="CC2107" i="5" s="1"/>
  <c r="BT2143" i="5"/>
  <c r="BX2143" i="5" s="1"/>
  <c r="BY2143" i="5" s="1"/>
  <c r="CC2143" i="5" s="1"/>
  <c r="BT2155" i="5"/>
  <c r="BX2155" i="5" s="1"/>
  <c r="BY2155" i="5" s="1"/>
  <c r="CC2155" i="5" s="1"/>
  <c r="BT2203" i="5"/>
  <c r="BX2203" i="5" s="1"/>
  <c r="BY2203" i="5" s="1"/>
  <c r="CC2203" i="5" s="1"/>
  <c r="BT2263" i="5"/>
  <c r="BX2263" i="5" s="1"/>
  <c r="BY2263" i="5" s="1"/>
  <c r="CC2263" i="5" s="1"/>
  <c r="BT2299" i="5"/>
  <c r="BX2299" i="5" s="1"/>
  <c r="BY2299" i="5" s="1"/>
  <c r="CC2299" i="5" s="1"/>
  <c r="BT2347" i="5"/>
  <c r="BX2347" i="5" s="1"/>
  <c r="BY2347" i="5" s="1"/>
  <c r="CC2347" i="5" s="1"/>
  <c r="BT2359" i="5"/>
  <c r="BX2359" i="5" s="1"/>
  <c r="BY2359" i="5" s="1"/>
  <c r="CC2359" i="5" s="1"/>
  <c r="BT1195" i="5"/>
  <c r="BX1195" i="5" s="1"/>
  <c r="BY1195" i="5" s="1"/>
  <c r="CC1195" i="5" s="1"/>
  <c r="BT1741" i="5"/>
  <c r="BX1741" i="5" s="1"/>
  <c r="BY1741" i="5" s="1"/>
  <c r="CC1741" i="5" s="1"/>
  <c r="BT1808" i="5"/>
  <c r="BX1808" i="5" s="1"/>
  <c r="BY1808" i="5" s="1"/>
  <c r="CC1808" i="5" s="1"/>
  <c r="BT1844" i="5"/>
  <c r="BX1844" i="5" s="1"/>
  <c r="BY1844" i="5" s="1"/>
  <c r="CC1844" i="5" s="1"/>
  <c r="BT1868" i="5"/>
  <c r="BX1868" i="5" s="1"/>
  <c r="BY1868" i="5" s="1"/>
  <c r="CC1868" i="5" s="1"/>
  <c r="BT1916" i="5"/>
  <c r="BX1916" i="5" s="1"/>
  <c r="BY1916" i="5" s="1"/>
  <c r="CC1916" i="5" s="1"/>
  <c r="BT1952" i="5"/>
  <c r="BX1952" i="5" s="1"/>
  <c r="BY1952" i="5" s="1"/>
  <c r="CC1952" i="5" s="1"/>
  <c r="BT1964" i="5"/>
  <c r="BX1964" i="5" s="1"/>
  <c r="BY1964" i="5" s="1"/>
  <c r="CC1964" i="5" s="1"/>
  <c r="BT2084" i="5"/>
  <c r="BX2084" i="5" s="1"/>
  <c r="BY2084" i="5" s="1"/>
  <c r="CC2084" i="5" s="1"/>
  <c r="BT2132" i="5"/>
  <c r="BX2132" i="5" s="1"/>
  <c r="BY2132" i="5" s="1"/>
  <c r="CC2132" i="5" s="1"/>
  <c r="BT2144" i="5"/>
  <c r="BX2144" i="5" s="1"/>
  <c r="BY2144" i="5" s="1"/>
  <c r="CC2144" i="5" s="1"/>
  <c r="BT2156" i="5"/>
  <c r="BX2156" i="5" s="1"/>
  <c r="BY2156" i="5" s="1"/>
  <c r="CC2156" i="5" s="1"/>
  <c r="BT2168" i="5"/>
  <c r="BX2168" i="5" s="1"/>
  <c r="BY2168" i="5" s="1"/>
  <c r="CC2168" i="5" s="1"/>
  <c r="BT2180" i="5"/>
  <c r="BX2180" i="5" s="1"/>
  <c r="BY2180" i="5" s="1"/>
  <c r="CC2180" i="5" s="1"/>
  <c r="BT2192" i="5"/>
  <c r="BX2192" i="5" s="1"/>
  <c r="BY2192" i="5" s="1"/>
  <c r="CC2192" i="5" s="1"/>
  <c r="BT2204" i="5"/>
  <c r="BX2204" i="5" s="1"/>
  <c r="BY2204" i="5" s="1"/>
  <c r="CC2204" i="5" s="1"/>
  <c r="BT2216" i="5"/>
  <c r="BX2216" i="5" s="1"/>
  <c r="BY2216" i="5" s="1"/>
  <c r="CC2216" i="5" s="1"/>
  <c r="BT2240" i="5"/>
  <c r="BX2240" i="5" s="1"/>
  <c r="BY2240" i="5" s="1"/>
  <c r="CC2240" i="5" s="1"/>
  <c r="BT2276" i="5"/>
  <c r="BX2276" i="5" s="1"/>
  <c r="BY2276" i="5" s="1"/>
  <c r="CC2276" i="5" s="1"/>
  <c r="BT2312" i="5"/>
  <c r="BX2312" i="5" s="1"/>
  <c r="BY2312" i="5" s="1"/>
  <c r="CC2312" i="5" s="1"/>
  <c r="BT2324" i="5"/>
  <c r="BX2324" i="5" s="1"/>
  <c r="BY2324" i="5" s="1"/>
  <c r="CC2324" i="5" s="1"/>
  <c r="BT2372" i="5"/>
  <c r="BX2372" i="5" s="1"/>
  <c r="BY2372" i="5" s="1"/>
  <c r="CC2372" i="5" s="1"/>
  <c r="BT2444" i="5"/>
  <c r="BX2444" i="5" s="1"/>
  <c r="BY2444" i="5" s="1"/>
  <c r="CC2444" i="5" s="1"/>
  <c r="BT1620" i="5"/>
  <c r="BX1620" i="5" s="1"/>
  <c r="BY1620" i="5" s="1"/>
  <c r="CC1620" i="5" s="1"/>
  <c r="BT1715" i="5"/>
  <c r="BX1715" i="5" s="1"/>
  <c r="BY1715" i="5" s="1"/>
  <c r="CC1715" i="5" s="1"/>
  <c r="BT1743" i="5"/>
  <c r="BX1743" i="5" s="1"/>
  <c r="BY1743" i="5" s="1"/>
  <c r="CC1743" i="5" s="1"/>
  <c r="BT1773" i="5"/>
  <c r="BX1773" i="5" s="1"/>
  <c r="BY1773" i="5" s="1"/>
  <c r="CC1773" i="5" s="1"/>
  <c r="BT1809" i="5"/>
  <c r="BX1809" i="5" s="1"/>
  <c r="BY1809" i="5" s="1"/>
  <c r="CC1809" i="5" s="1"/>
  <c r="BT1833" i="5"/>
  <c r="BX1833" i="5" s="1"/>
  <c r="BY1833" i="5" s="1"/>
  <c r="CC1833" i="5" s="1"/>
  <c r="BT1845" i="5"/>
  <c r="BX1845" i="5" s="1"/>
  <c r="BY1845" i="5" s="1"/>
  <c r="CC1845" i="5" s="1"/>
  <c r="BT1869" i="5"/>
  <c r="BX1869" i="5" s="1"/>
  <c r="BY1869" i="5" s="1"/>
  <c r="CC1869" i="5" s="1"/>
  <c r="BT1881" i="5"/>
  <c r="BX1881" i="5" s="1"/>
  <c r="BY1881" i="5" s="1"/>
  <c r="CC1881" i="5" s="1"/>
  <c r="BT1917" i="5"/>
  <c r="BX1917" i="5" s="1"/>
  <c r="BY1917" i="5" s="1"/>
  <c r="CC1917" i="5" s="1"/>
  <c r="BT1941" i="5"/>
  <c r="BX1941" i="5" s="1"/>
  <c r="BY1941" i="5" s="1"/>
  <c r="CC1941" i="5" s="1"/>
  <c r="BT1953" i="5"/>
  <c r="BX1953" i="5" s="1"/>
  <c r="BY1953" i="5" s="1"/>
  <c r="CC1953" i="5" s="1"/>
  <c r="BT1965" i="5"/>
  <c r="BX1965" i="5" s="1"/>
  <c r="BY1965" i="5" s="1"/>
  <c r="CC1965" i="5" s="1"/>
  <c r="BT1977" i="5"/>
  <c r="BX1977" i="5" s="1"/>
  <c r="BY1977" i="5" s="1"/>
  <c r="CC1977" i="5" s="1"/>
  <c r="BT2001" i="5"/>
  <c r="BX2001" i="5" s="1"/>
  <c r="BY2001" i="5" s="1"/>
  <c r="CC2001" i="5" s="1"/>
  <c r="BT2013" i="5"/>
  <c r="BX2013" i="5" s="1"/>
  <c r="BY2013" i="5" s="1"/>
  <c r="CC2013" i="5" s="1"/>
  <c r="BT2073" i="5"/>
  <c r="BX2073" i="5" s="1"/>
  <c r="BY2073" i="5" s="1"/>
  <c r="CC2073" i="5" s="1"/>
  <c r="BT2085" i="5"/>
  <c r="BX2085" i="5" s="1"/>
  <c r="BY2085" i="5" s="1"/>
  <c r="CC2085" i="5" s="1"/>
  <c r="BT2133" i="5"/>
  <c r="BX2133" i="5" s="1"/>
  <c r="BY2133" i="5" s="1"/>
  <c r="CC2133" i="5" s="1"/>
  <c r="BT2181" i="5"/>
  <c r="BX2181" i="5" s="1"/>
  <c r="BY2181" i="5" s="1"/>
  <c r="CC2181" i="5" s="1"/>
  <c r="BT2193" i="5"/>
  <c r="BX2193" i="5" s="1"/>
  <c r="BY2193" i="5" s="1"/>
  <c r="CC2193" i="5" s="1"/>
  <c r="BT2241" i="5"/>
  <c r="BX2241" i="5" s="1"/>
  <c r="BY2241" i="5" s="1"/>
  <c r="CC2241" i="5" s="1"/>
  <c r="BT2265" i="5"/>
  <c r="BX2265" i="5" s="1"/>
  <c r="BY2265" i="5" s="1"/>
  <c r="CC2265" i="5" s="1"/>
  <c r="BT2277" i="5"/>
  <c r="BX2277" i="5" s="1"/>
  <c r="BY2277" i="5" s="1"/>
  <c r="CC2277" i="5" s="1"/>
  <c r="BT2301" i="5"/>
  <c r="BX2301" i="5" s="1"/>
  <c r="BY2301" i="5" s="1"/>
  <c r="CC2301" i="5" s="1"/>
  <c r="BT2349" i="5"/>
  <c r="BX2349" i="5" s="1"/>
  <c r="BY2349" i="5" s="1"/>
  <c r="CC2349" i="5" s="1"/>
  <c r="BT2361" i="5"/>
  <c r="BX2361" i="5" s="1"/>
  <c r="BY2361" i="5" s="1"/>
  <c r="CC2361" i="5" s="1"/>
  <c r="BT2373" i="5"/>
  <c r="BX2373" i="5" s="1"/>
  <c r="BY2373" i="5" s="1"/>
  <c r="CC2373" i="5" s="1"/>
  <c r="BT2385" i="5"/>
  <c r="BX2385" i="5" s="1"/>
  <c r="BY2385" i="5" s="1"/>
  <c r="CC2385" i="5" s="1"/>
  <c r="BT2409" i="5"/>
  <c r="BX2409" i="5" s="1"/>
  <c r="BY2409" i="5" s="1"/>
  <c r="CC2409" i="5" s="1"/>
  <c r="BT2445" i="5"/>
  <c r="BX2445" i="5" s="1"/>
  <c r="BY2445" i="5" s="1"/>
  <c r="CC2445" i="5" s="1"/>
  <c r="BT2469" i="5"/>
  <c r="BX2469" i="5" s="1"/>
  <c r="BY2469" i="5" s="1"/>
  <c r="CC2469" i="5" s="1"/>
  <c r="BT1627" i="5"/>
  <c r="BX1627" i="5" s="1"/>
  <c r="BY1627" i="5" s="1"/>
  <c r="CC1627" i="5" s="1"/>
  <c r="BT1774" i="5"/>
  <c r="BX1774" i="5" s="1"/>
  <c r="BY1774" i="5" s="1"/>
  <c r="CC1774" i="5" s="1"/>
  <c r="BT1798" i="5"/>
  <c r="BX1798" i="5" s="1"/>
  <c r="BY1798" i="5" s="1"/>
  <c r="CC1798" i="5" s="1"/>
  <c r="BT1834" i="5"/>
  <c r="BX1834" i="5" s="1"/>
  <c r="BY1834" i="5" s="1"/>
  <c r="CC1834" i="5" s="1"/>
  <c r="BT1882" i="5"/>
  <c r="BX1882" i="5" s="1"/>
  <c r="BY1882" i="5" s="1"/>
  <c r="CC1882" i="5" s="1"/>
  <c r="BT1894" i="5"/>
  <c r="BX1894" i="5" s="1"/>
  <c r="BY1894" i="5" s="1"/>
  <c r="CC1894" i="5" s="1"/>
  <c r="BT1906" i="5"/>
  <c r="BX1906" i="5" s="1"/>
  <c r="BY1906" i="5" s="1"/>
  <c r="CC1906" i="5" s="1"/>
  <c r="BT1966" i="5"/>
  <c r="BX1966" i="5" s="1"/>
  <c r="BY1966" i="5" s="1"/>
  <c r="CC1966" i="5" s="1"/>
  <c r="BT2002" i="5"/>
  <c r="BX2002" i="5" s="1"/>
  <c r="BY2002" i="5" s="1"/>
  <c r="CC2002" i="5" s="1"/>
  <c r="BT2122" i="5"/>
  <c r="BX2122" i="5" s="1"/>
  <c r="BY2122" i="5" s="1"/>
  <c r="CC2122" i="5" s="1"/>
  <c r="BT2194" i="5"/>
  <c r="BX2194" i="5" s="1"/>
  <c r="BY2194" i="5" s="1"/>
  <c r="CC2194" i="5" s="1"/>
  <c r="BT2278" i="5"/>
  <c r="BX2278" i="5" s="1"/>
  <c r="BY2278" i="5" s="1"/>
  <c r="CC2278" i="5" s="1"/>
  <c r="BT2302" i="5"/>
  <c r="BX2302" i="5" s="1"/>
  <c r="BY2302" i="5" s="1"/>
  <c r="CC2302" i="5" s="1"/>
  <c r="BT2326" i="5"/>
  <c r="BX2326" i="5" s="1"/>
  <c r="BY2326" i="5" s="1"/>
  <c r="CC2326" i="5" s="1"/>
  <c r="BT2386" i="5"/>
  <c r="BX2386" i="5" s="1"/>
  <c r="BY2386" i="5" s="1"/>
  <c r="CC2386" i="5" s="1"/>
  <c r="BT2410" i="5"/>
  <c r="BX2410" i="5" s="1"/>
  <c r="BY2410" i="5" s="1"/>
  <c r="CC2410" i="5" s="1"/>
  <c r="BT2446" i="5"/>
  <c r="BX2446" i="5" s="1"/>
  <c r="BY2446" i="5" s="1"/>
  <c r="CC2446" i="5" s="1"/>
  <c r="BT943" i="5"/>
  <c r="BX943" i="5" s="1"/>
  <c r="BY943" i="5" s="1"/>
  <c r="CC943" i="5" s="1"/>
  <c r="BT1632" i="5"/>
  <c r="BX1632" i="5" s="1"/>
  <c r="BY1632" i="5" s="1"/>
  <c r="CC1632" i="5" s="1"/>
  <c r="BT1717" i="5"/>
  <c r="BX1717" i="5" s="1"/>
  <c r="BY1717" i="5" s="1"/>
  <c r="CC1717" i="5" s="1"/>
  <c r="BT1747" i="5"/>
  <c r="BX1747" i="5" s="1"/>
  <c r="BY1747" i="5" s="1"/>
  <c r="CC1747" i="5" s="1"/>
  <c r="BT1763" i="5"/>
  <c r="BX1763" i="5" s="1"/>
  <c r="BY1763" i="5" s="1"/>
  <c r="CC1763" i="5" s="1"/>
  <c r="BT1775" i="5"/>
  <c r="BX1775" i="5" s="1"/>
  <c r="BY1775" i="5" s="1"/>
  <c r="CC1775" i="5" s="1"/>
  <c r="BT1799" i="5"/>
  <c r="BX1799" i="5" s="1"/>
  <c r="BY1799" i="5" s="1"/>
  <c r="CC1799" i="5" s="1"/>
  <c r="BT1811" i="5"/>
  <c r="BX1811" i="5" s="1"/>
  <c r="BY1811" i="5" s="1"/>
  <c r="CC1811" i="5" s="1"/>
  <c r="BT1859" i="5"/>
  <c r="BX1859" i="5" s="1"/>
  <c r="BY1859" i="5" s="1"/>
  <c r="CC1859" i="5" s="1"/>
  <c r="BT1871" i="5"/>
  <c r="BX1871" i="5" s="1"/>
  <c r="BY1871" i="5" s="1"/>
  <c r="CC1871" i="5" s="1"/>
  <c r="BT1883" i="5"/>
  <c r="BX1883" i="5" s="1"/>
  <c r="BY1883" i="5" s="1"/>
  <c r="CC1883" i="5" s="1"/>
  <c r="BT1895" i="5"/>
  <c r="BX1895" i="5" s="1"/>
  <c r="BY1895" i="5" s="1"/>
  <c r="CC1895" i="5" s="1"/>
  <c r="BT1907" i="5"/>
  <c r="BX1907" i="5" s="1"/>
  <c r="BY1907" i="5" s="1"/>
  <c r="CC1907" i="5" s="1"/>
  <c r="BT1955" i="5"/>
  <c r="BX1955" i="5" s="1"/>
  <c r="BY1955" i="5" s="1"/>
  <c r="CC1955" i="5" s="1"/>
  <c r="BT2015" i="5"/>
  <c r="BX2015" i="5" s="1"/>
  <c r="BY2015" i="5" s="1"/>
  <c r="CC2015" i="5" s="1"/>
  <c r="BT2051" i="5"/>
  <c r="BX2051" i="5" s="1"/>
  <c r="BY2051" i="5" s="1"/>
  <c r="CC2051" i="5" s="1"/>
  <c r="BT2087" i="5"/>
  <c r="BX2087" i="5" s="1"/>
  <c r="BY2087" i="5" s="1"/>
  <c r="CC2087" i="5" s="1"/>
  <c r="BT2123" i="5"/>
  <c r="BX2123" i="5" s="1"/>
  <c r="BY2123" i="5" s="1"/>
  <c r="CC2123" i="5" s="1"/>
  <c r="BT2171" i="5"/>
  <c r="BX2171" i="5" s="1"/>
  <c r="BY2171" i="5" s="1"/>
  <c r="CC2171" i="5" s="1"/>
  <c r="BT2195" i="5"/>
  <c r="BX2195" i="5" s="1"/>
  <c r="BY2195" i="5" s="1"/>
  <c r="CC2195" i="5" s="1"/>
  <c r="BT2219" i="5"/>
  <c r="BX2219" i="5" s="1"/>
  <c r="BY2219" i="5" s="1"/>
  <c r="CC2219" i="5" s="1"/>
  <c r="BT2231" i="5"/>
  <c r="BX2231" i="5" s="1"/>
  <c r="BY2231" i="5" s="1"/>
  <c r="CC2231" i="5" s="1"/>
  <c r="BT2243" i="5"/>
  <c r="BX2243" i="5" s="1"/>
  <c r="BY2243" i="5" s="1"/>
  <c r="CC2243" i="5" s="1"/>
  <c r="BT2267" i="5"/>
  <c r="BX2267" i="5" s="1"/>
  <c r="BY2267" i="5" s="1"/>
  <c r="CC2267" i="5" s="1"/>
  <c r="BT2411" i="5"/>
  <c r="BX2411" i="5" s="1"/>
  <c r="BY2411" i="5" s="1"/>
  <c r="CC2411" i="5" s="1"/>
  <c r="BT2447" i="5"/>
  <c r="BX2447" i="5" s="1"/>
  <c r="BY2447" i="5" s="1"/>
  <c r="CC2447" i="5" s="1"/>
  <c r="BT2471" i="5"/>
  <c r="BX2471" i="5" s="1"/>
  <c r="BY2471" i="5" s="1"/>
  <c r="CC2471" i="5" s="1"/>
  <c r="BT1243" i="5"/>
  <c r="BX1243" i="5" s="1"/>
  <c r="BY1243" i="5" s="1"/>
  <c r="CC1243" i="5" s="1"/>
  <c r="BT1639" i="5"/>
  <c r="BX1639" i="5" s="1"/>
  <c r="BY1639" i="5" s="1"/>
  <c r="CC1639" i="5" s="1"/>
  <c r="BT1687" i="5"/>
  <c r="BX1687" i="5" s="1"/>
  <c r="BY1687" i="5" s="1"/>
  <c r="CC1687" i="5" s="1"/>
  <c r="BT1723" i="5"/>
  <c r="BX1723" i="5" s="1"/>
  <c r="BY1723" i="5" s="1"/>
  <c r="CC1723" i="5" s="1"/>
  <c r="BT1824" i="5"/>
  <c r="BX1824" i="5" s="1"/>
  <c r="BY1824" i="5" s="1"/>
  <c r="CC1824" i="5" s="1"/>
  <c r="BT1836" i="5"/>
  <c r="BX1836" i="5" s="1"/>
  <c r="BY1836" i="5" s="1"/>
  <c r="CC1836" i="5" s="1"/>
  <c r="BT1860" i="5"/>
  <c r="BX1860" i="5" s="1"/>
  <c r="BY1860" i="5" s="1"/>
  <c r="CC1860" i="5" s="1"/>
  <c r="BT1908" i="5"/>
  <c r="BX1908" i="5" s="1"/>
  <c r="BY1908" i="5" s="1"/>
  <c r="CC1908" i="5" s="1"/>
  <c r="BT1920" i="5"/>
  <c r="BX1920" i="5" s="1"/>
  <c r="BY1920" i="5" s="1"/>
  <c r="CC1920" i="5" s="1"/>
  <c r="BT1932" i="5"/>
  <c r="BX1932" i="5" s="1"/>
  <c r="BY1932" i="5" s="1"/>
  <c r="CC1932" i="5" s="1"/>
  <c r="BT1968" i="5"/>
  <c r="BX1968" i="5" s="1"/>
  <c r="BY1968" i="5" s="1"/>
  <c r="CC1968" i="5" s="1"/>
  <c r="BT2004" i="5"/>
  <c r="BX2004" i="5" s="1"/>
  <c r="BY2004" i="5" s="1"/>
  <c r="CC2004" i="5" s="1"/>
  <c r="BT2016" i="5"/>
  <c r="BX2016" i="5" s="1"/>
  <c r="BY2016" i="5" s="1"/>
  <c r="CC2016" i="5" s="1"/>
  <c r="BT2028" i="5"/>
  <c r="BX2028" i="5" s="1"/>
  <c r="BY2028" i="5" s="1"/>
  <c r="CC2028" i="5" s="1"/>
  <c r="BT2052" i="5"/>
  <c r="BX2052" i="5" s="1"/>
  <c r="BY2052" i="5" s="1"/>
  <c r="CC2052" i="5" s="1"/>
  <c r="BT2064" i="5"/>
  <c r="BX2064" i="5" s="1"/>
  <c r="BY2064" i="5" s="1"/>
  <c r="CC2064" i="5" s="1"/>
  <c r="BT2076" i="5"/>
  <c r="BX2076" i="5" s="1"/>
  <c r="BY2076" i="5" s="1"/>
  <c r="CC2076" i="5" s="1"/>
  <c r="BT2112" i="5"/>
  <c r="BX2112" i="5" s="1"/>
  <c r="BY2112" i="5" s="1"/>
  <c r="CC2112" i="5" s="1"/>
  <c r="BT2136" i="5"/>
  <c r="BX2136" i="5" s="1"/>
  <c r="BY2136" i="5" s="1"/>
  <c r="CC2136" i="5" s="1"/>
  <c r="BT2160" i="5"/>
  <c r="BX2160" i="5" s="1"/>
  <c r="BY2160" i="5" s="1"/>
  <c r="CC2160" i="5" s="1"/>
  <c r="BT2184" i="5"/>
  <c r="BX2184" i="5" s="1"/>
  <c r="BY2184" i="5" s="1"/>
  <c r="CC2184" i="5" s="1"/>
  <c r="BT2196" i="5"/>
  <c r="BX2196" i="5" s="1"/>
  <c r="BY2196" i="5" s="1"/>
  <c r="CC2196" i="5" s="1"/>
  <c r="BT2244" i="5"/>
  <c r="BX2244" i="5" s="1"/>
  <c r="BY2244" i="5" s="1"/>
  <c r="CC2244" i="5" s="1"/>
  <c r="BT2268" i="5"/>
  <c r="BX2268" i="5" s="1"/>
  <c r="BY2268" i="5" s="1"/>
  <c r="CC2268" i="5" s="1"/>
  <c r="BT2292" i="5"/>
  <c r="BX2292" i="5" s="1"/>
  <c r="BY2292" i="5" s="1"/>
  <c r="CC2292" i="5" s="1"/>
  <c r="BT2304" i="5"/>
  <c r="BX2304" i="5" s="1"/>
  <c r="BY2304" i="5" s="1"/>
  <c r="CC2304" i="5" s="1"/>
  <c r="BT2388" i="5"/>
  <c r="BX2388" i="5" s="1"/>
  <c r="BY2388" i="5" s="1"/>
  <c r="CC2388" i="5" s="1"/>
  <c r="BT2472" i="5"/>
  <c r="BX2472" i="5" s="1"/>
  <c r="BY2472" i="5" s="1"/>
  <c r="CC2472" i="5" s="1"/>
  <c r="BT60" i="1"/>
  <c r="BT128" i="1"/>
  <c r="BT222" i="1"/>
  <c r="BT237" i="1"/>
  <c r="BT207" i="1"/>
  <c r="BT250" i="1"/>
  <c r="BS14" i="1"/>
  <c r="BS26" i="1"/>
  <c r="BS38" i="1"/>
  <c r="BS50" i="1"/>
  <c r="BS62" i="1"/>
  <c r="BS74" i="1"/>
  <c r="BS86" i="1"/>
  <c r="BS98" i="1"/>
  <c r="BS110" i="1"/>
  <c r="BS122" i="1"/>
  <c r="BS101" i="1"/>
  <c r="BS3" i="1"/>
  <c r="BS15" i="1"/>
  <c r="BS27" i="1"/>
  <c r="BS39" i="1"/>
  <c r="BS51" i="1"/>
  <c r="BS63" i="1"/>
  <c r="BS75" i="1"/>
  <c r="BS87" i="1"/>
  <c r="BS99" i="1"/>
  <c r="BS111" i="1"/>
  <c r="BS123" i="1"/>
  <c r="BS89" i="1"/>
  <c r="BS13" i="1"/>
  <c r="BS4" i="1"/>
  <c r="BS16" i="1"/>
  <c r="BS28" i="1"/>
  <c r="BS40" i="1"/>
  <c r="BS52" i="1"/>
  <c r="BS64" i="1"/>
  <c r="BS76" i="1"/>
  <c r="BS88" i="1"/>
  <c r="BS100" i="1"/>
  <c r="BS112" i="1"/>
  <c r="BS124" i="1"/>
  <c r="BS113" i="1"/>
  <c r="BS37" i="1"/>
  <c r="BS5" i="1"/>
  <c r="BS17" i="1"/>
  <c r="BS29" i="1"/>
  <c r="BS41" i="1"/>
  <c r="BS53" i="1"/>
  <c r="BS65" i="1"/>
  <c r="BS77" i="1"/>
  <c r="BS125" i="1"/>
  <c r="BS25" i="1"/>
  <c r="BS6" i="1"/>
  <c r="BS18" i="1"/>
  <c r="BS30" i="1"/>
  <c r="BS42" i="1"/>
  <c r="BS54" i="1"/>
  <c r="BS66" i="1"/>
  <c r="BS78" i="1"/>
  <c r="BS90" i="1"/>
  <c r="BS102" i="1"/>
  <c r="BS114" i="1"/>
  <c r="BS92" i="1"/>
  <c r="BS97" i="1"/>
  <c r="BS7" i="1"/>
  <c r="BS19" i="1"/>
  <c r="BS31" i="1"/>
  <c r="BS43" i="1"/>
  <c r="BS55" i="1"/>
  <c r="BS67" i="1"/>
  <c r="BS79" i="1"/>
  <c r="BS91" i="1"/>
  <c r="BS103" i="1"/>
  <c r="BS115" i="1"/>
  <c r="BS104" i="1"/>
  <c r="BS73" i="1"/>
  <c r="BS8" i="1"/>
  <c r="BS20" i="1"/>
  <c r="BS32" i="1"/>
  <c r="BS44" i="1"/>
  <c r="BS56" i="1"/>
  <c r="BS68" i="1"/>
  <c r="BS80" i="1"/>
  <c r="BS116" i="1"/>
  <c r="BS61" i="1"/>
  <c r="BS9" i="1"/>
  <c r="BS21" i="1"/>
  <c r="BS33" i="1"/>
  <c r="BS45" i="1"/>
  <c r="BS57" i="1"/>
  <c r="BS69" i="1"/>
  <c r="BS81" i="1"/>
  <c r="BS93" i="1"/>
  <c r="BS105" i="1"/>
  <c r="BS117" i="1"/>
  <c r="BS49" i="1"/>
  <c r="BS10" i="1"/>
  <c r="BS22" i="1"/>
  <c r="BS34" i="1"/>
  <c r="BS46" i="1"/>
  <c r="BS58" i="1"/>
  <c r="BS70" i="1"/>
  <c r="BS82" i="1"/>
  <c r="BS94" i="1"/>
  <c r="BS106" i="1"/>
  <c r="BS118" i="1"/>
  <c r="BS85" i="1"/>
  <c r="BS11" i="1"/>
  <c r="BS23" i="1"/>
  <c r="BS35" i="1"/>
  <c r="BS47" i="1"/>
  <c r="BS59" i="1"/>
  <c r="BS71" i="1"/>
  <c r="BS83" i="1"/>
  <c r="BS95" i="1"/>
  <c r="BS107" i="1"/>
  <c r="BS119" i="1"/>
  <c r="BS109" i="1"/>
  <c r="BS12" i="1"/>
  <c r="BS24" i="1"/>
  <c r="BS36" i="1"/>
  <c r="BS48" i="1"/>
  <c r="BS60" i="1"/>
  <c r="BS72" i="1"/>
  <c r="BS84" i="1"/>
  <c r="BS96" i="1"/>
  <c r="BS108" i="1"/>
  <c r="BS120" i="1"/>
  <c r="BS121" i="1"/>
  <c r="BR17" i="1"/>
  <c r="BS150" i="1"/>
  <c r="BS162" i="1"/>
  <c r="BS151" i="1"/>
  <c r="BS140" i="1"/>
  <c r="BS152" i="1"/>
  <c r="BS164" i="1"/>
  <c r="BS141" i="1"/>
  <c r="BS153" i="1"/>
  <c r="BS165" i="1"/>
  <c r="BS142" i="1"/>
  <c r="BS154" i="1"/>
  <c r="BS166" i="1"/>
  <c r="BS143" i="1"/>
  <c r="BS155" i="1"/>
  <c r="BS167" i="1"/>
  <c r="BS144" i="1"/>
  <c r="BS156" i="1"/>
  <c r="BS168" i="1"/>
  <c r="BS145" i="1"/>
  <c r="BS157" i="1"/>
  <c r="BS169" i="1"/>
  <c r="BS146" i="1"/>
  <c r="BS158" i="1"/>
  <c r="BS147" i="1"/>
  <c r="BS159" i="1"/>
  <c r="BS148" i="1"/>
  <c r="BS160" i="1"/>
  <c r="BS149" i="1"/>
  <c r="BS161" i="1"/>
  <c r="BR126" i="1"/>
  <c r="BS174" i="1"/>
  <c r="BS175" i="1"/>
  <c r="BS176" i="1"/>
  <c r="BS170" i="1"/>
  <c r="BS172" i="1"/>
  <c r="BS173" i="1"/>
  <c r="BQ287" i="1"/>
  <c r="BS198" i="1"/>
  <c r="BS187" i="1"/>
  <c r="BS199" i="1"/>
  <c r="BS188" i="1"/>
  <c r="BS177" i="1"/>
  <c r="BS189" i="1"/>
  <c r="BS201" i="1"/>
  <c r="BS178" i="1"/>
  <c r="BS190" i="1"/>
  <c r="BS179" i="1"/>
  <c r="BS191" i="1"/>
  <c r="BS180" i="1"/>
  <c r="BS181" i="1"/>
  <c r="BS182" i="1"/>
  <c r="BS194" i="1"/>
  <c r="BS196" i="1"/>
  <c r="BS185" i="1"/>
  <c r="BS126" i="1"/>
  <c r="BS138" i="1"/>
  <c r="BS127" i="1"/>
  <c r="BS128" i="1"/>
  <c r="BS129" i="1"/>
  <c r="BS130" i="1"/>
  <c r="BS131" i="1"/>
  <c r="BS132" i="1"/>
  <c r="BS133" i="1"/>
  <c r="BS134" i="1"/>
  <c r="BS135" i="1"/>
  <c r="BS136" i="1"/>
  <c r="BS137" i="1"/>
  <c r="BS186" i="1"/>
  <c r="BS211" i="1"/>
  <c r="BS200" i="1"/>
  <c r="BS212" i="1"/>
  <c r="BS213" i="1"/>
  <c r="BS202" i="1"/>
  <c r="BS214" i="1"/>
  <c r="BS203" i="1"/>
  <c r="BS192" i="1"/>
  <c r="BS204" i="1"/>
  <c r="BS193" i="1"/>
  <c r="BS205" i="1"/>
  <c r="BS217" i="1"/>
  <c r="BS206" i="1"/>
  <c r="BS218" i="1"/>
  <c r="BS183" i="1"/>
  <c r="BS195" i="1"/>
  <c r="BS207" i="1"/>
  <c r="BS219" i="1"/>
  <c r="BS184" i="1"/>
  <c r="BS208" i="1"/>
  <c r="BS220" i="1"/>
  <c r="BS210" i="1"/>
  <c r="BS197" i="1"/>
  <c r="BS209" i="1"/>
  <c r="BS221" i="1"/>
  <c r="BS222" i="1"/>
  <c r="BS234" i="1"/>
  <c r="BS223" i="1"/>
  <c r="BS235" i="1"/>
  <c r="BS224" i="1"/>
  <c r="BS236" i="1"/>
  <c r="BS225" i="1"/>
  <c r="BS237" i="1"/>
  <c r="BS226" i="1"/>
  <c r="BS238" i="1"/>
  <c r="BS227" i="1"/>
  <c r="BS239" i="1"/>
  <c r="BS216" i="1"/>
  <c r="BS240" i="1"/>
  <c r="BS228" i="1"/>
  <c r="BS229" i="1"/>
  <c r="BS230" i="1"/>
  <c r="BS231" i="1"/>
  <c r="BS232" i="1"/>
  <c r="BS233" i="1"/>
  <c r="BS246" i="1"/>
  <c r="BS258" i="1"/>
  <c r="BS247" i="1"/>
  <c r="BS259" i="1"/>
  <c r="BS271" i="1"/>
  <c r="BS248" i="1"/>
  <c r="BS272" i="1"/>
  <c r="BS260" i="1"/>
  <c r="BS249" i="1"/>
  <c r="BS261" i="1"/>
  <c r="BS273" i="1"/>
  <c r="BS250" i="1"/>
  <c r="BS262" i="1"/>
  <c r="BS251" i="1"/>
  <c r="BS263" i="1"/>
  <c r="BS275" i="1"/>
  <c r="BS264" i="1"/>
  <c r="BS252" i="1"/>
  <c r="BS276" i="1"/>
  <c r="BS241" i="1"/>
  <c r="BS253" i="1"/>
  <c r="BS265" i="1"/>
  <c r="BS242" i="1"/>
  <c r="BS254" i="1"/>
  <c r="BS243" i="1"/>
  <c r="BS255" i="1"/>
  <c r="BS267" i="1"/>
  <c r="BS244" i="1"/>
  <c r="BS256" i="1"/>
  <c r="BS245" i="1"/>
  <c r="BS257" i="1"/>
  <c r="BS269" i="1"/>
  <c r="BS270" i="1"/>
  <c r="BS283" i="1"/>
  <c r="BS284" i="1"/>
  <c r="BS285" i="1"/>
  <c r="BS274" i="1"/>
  <c r="BS286" i="1"/>
  <c r="BS287" i="1"/>
  <c r="BS288" i="1"/>
  <c r="BS277" i="1"/>
  <c r="BS289" i="1"/>
  <c r="BS266" i="1"/>
  <c r="BS278" i="1"/>
  <c r="BS171" i="1"/>
  <c r="BS279" i="1"/>
  <c r="BS268" i="1"/>
  <c r="BS280" i="1"/>
  <c r="BS282" i="1"/>
  <c r="BS281" i="1"/>
  <c r="BS139" i="1"/>
  <c r="BS163" i="1"/>
  <c r="BS215" i="1"/>
  <c r="BT204" i="1"/>
  <c r="BT205" i="1"/>
  <c r="BT263" i="1"/>
  <c r="BR276" i="1"/>
  <c r="BR240" i="1"/>
  <c r="BR208" i="1"/>
  <c r="BR167" i="1"/>
  <c r="BR128" i="1"/>
  <c r="BQ182" i="1"/>
  <c r="BR275" i="1"/>
  <c r="BR239" i="1"/>
  <c r="BR207" i="1"/>
  <c r="BR160" i="1"/>
  <c r="BR114" i="1"/>
  <c r="BQ288" i="1"/>
  <c r="BQ179" i="1"/>
  <c r="BR268" i="1"/>
  <c r="BR232" i="1"/>
  <c r="BR204" i="1"/>
  <c r="BR159" i="1"/>
  <c r="BR113" i="1"/>
  <c r="BQ167" i="1"/>
  <c r="BR267" i="1"/>
  <c r="BR231" i="1"/>
  <c r="BR196" i="1"/>
  <c r="BR156" i="1"/>
  <c r="BR88" i="1"/>
  <c r="BQ278" i="1"/>
  <c r="BQ134" i="1"/>
  <c r="BR264" i="1"/>
  <c r="BR229" i="1"/>
  <c r="BR195" i="1"/>
  <c r="BR155" i="1"/>
  <c r="BR81" i="1"/>
  <c r="BQ276" i="1"/>
  <c r="BQ131" i="1"/>
  <c r="BR263" i="1"/>
  <c r="BR228" i="1"/>
  <c r="BR192" i="1"/>
  <c r="BR148" i="1"/>
  <c r="BR56" i="1"/>
  <c r="BQ255" i="1"/>
  <c r="BQ86" i="1"/>
  <c r="BR257" i="1"/>
  <c r="BR227" i="1"/>
  <c r="BR184" i="1"/>
  <c r="BR147" i="1"/>
  <c r="BR54" i="1"/>
  <c r="BQ254" i="1"/>
  <c r="BQ83" i="1"/>
  <c r="BQ51" i="1"/>
  <c r="BR289" i="1"/>
  <c r="BR256" i="1"/>
  <c r="BR221" i="1"/>
  <c r="BR183" i="1"/>
  <c r="BR144" i="1"/>
  <c r="BR29" i="1"/>
  <c r="BQ243" i="1"/>
  <c r="BQ15" i="1"/>
  <c r="BR288" i="1"/>
  <c r="BR255" i="1"/>
  <c r="BR220" i="1"/>
  <c r="BR180" i="1"/>
  <c r="BR143" i="1"/>
  <c r="BR28" i="1"/>
  <c r="BQ242" i="1"/>
  <c r="BQ14" i="1"/>
  <c r="BR287" i="1"/>
  <c r="BR252" i="1"/>
  <c r="BR219" i="1"/>
  <c r="BR172" i="1"/>
  <c r="BR136" i="1"/>
  <c r="BQ219" i="1"/>
  <c r="BR280" i="1"/>
  <c r="BR244" i="1"/>
  <c r="BR216" i="1"/>
  <c r="BR171" i="1"/>
  <c r="BR135" i="1"/>
  <c r="BQ218" i="1"/>
  <c r="BQ38" i="1"/>
  <c r="BR279" i="1"/>
  <c r="BR243" i="1"/>
  <c r="BR215" i="1"/>
  <c r="BR168" i="1"/>
  <c r="BR129" i="1"/>
  <c r="BQ207" i="1"/>
  <c r="BR278" i="1"/>
  <c r="BR266" i="1"/>
  <c r="BR254" i="1"/>
  <c r="BR242" i="1"/>
  <c r="BR230" i="1"/>
  <c r="BR218" i="1"/>
  <c r="BR206" i="1"/>
  <c r="BR194" i="1"/>
  <c r="BR182" i="1"/>
  <c r="BR170" i="1"/>
  <c r="BR158" i="1"/>
  <c r="BR146" i="1"/>
  <c r="BR134" i="1"/>
  <c r="BR112" i="1"/>
  <c r="BR80" i="1"/>
  <c r="BR53" i="1"/>
  <c r="BR21" i="1"/>
  <c r="BQ286" i="1"/>
  <c r="BQ251" i="1"/>
  <c r="BQ215" i="1"/>
  <c r="BQ171" i="1"/>
  <c r="BQ123" i="1"/>
  <c r="BQ75" i="1"/>
  <c r="BQ3" i="1"/>
  <c r="BR277" i="1"/>
  <c r="BR265" i="1"/>
  <c r="BR253" i="1"/>
  <c r="BR241" i="1"/>
  <c r="BR217" i="1"/>
  <c r="BR205" i="1"/>
  <c r="BR193" i="1"/>
  <c r="BR181" i="1"/>
  <c r="BR169" i="1"/>
  <c r="BR157" i="1"/>
  <c r="BR145" i="1"/>
  <c r="BR130" i="1"/>
  <c r="BR105" i="1"/>
  <c r="BR78" i="1"/>
  <c r="BR52" i="1"/>
  <c r="BR20" i="1"/>
  <c r="BQ279" i="1"/>
  <c r="BQ250" i="1"/>
  <c r="BQ214" i="1"/>
  <c r="BQ170" i="1"/>
  <c r="BQ122" i="1"/>
  <c r="BQ74" i="1"/>
  <c r="BR104" i="1"/>
  <c r="BR77" i="1"/>
  <c r="BR45" i="1"/>
  <c r="BR18" i="1"/>
  <c r="BQ119" i="1"/>
  <c r="BQ63" i="1"/>
  <c r="BQ206" i="1"/>
  <c r="BQ159" i="1"/>
  <c r="BQ111" i="1"/>
  <c r="BQ62" i="1"/>
  <c r="BQ169" i="1"/>
  <c r="BR10" i="1"/>
  <c r="BR22" i="1"/>
  <c r="BR34" i="1"/>
  <c r="BR46" i="1"/>
  <c r="BR58" i="1"/>
  <c r="BR70" i="1"/>
  <c r="BR82" i="1"/>
  <c r="BR94" i="1"/>
  <c r="BR106" i="1"/>
  <c r="BR11" i="1"/>
  <c r="BR23" i="1"/>
  <c r="BR35" i="1"/>
  <c r="BR47" i="1"/>
  <c r="BR59" i="1"/>
  <c r="BR71" i="1"/>
  <c r="BR83" i="1"/>
  <c r="BR95" i="1"/>
  <c r="BR107" i="1"/>
  <c r="BR119" i="1"/>
  <c r="BR131" i="1"/>
  <c r="BR12" i="1"/>
  <c r="BR24" i="1"/>
  <c r="BR36" i="1"/>
  <c r="BR48" i="1"/>
  <c r="BR60" i="1"/>
  <c r="BR72" i="1"/>
  <c r="BR84" i="1"/>
  <c r="BR96" i="1"/>
  <c r="BR108" i="1"/>
  <c r="BR120" i="1"/>
  <c r="BR132" i="1"/>
  <c r="BR13" i="1"/>
  <c r="BR25" i="1"/>
  <c r="BR37" i="1"/>
  <c r="BR49" i="1"/>
  <c r="BR61" i="1"/>
  <c r="BR73" i="1"/>
  <c r="BR85" i="1"/>
  <c r="BR97" i="1"/>
  <c r="BR109" i="1"/>
  <c r="BR121" i="1"/>
  <c r="BR14" i="1"/>
  <c r="BR26" i="1"/>
  <c r="BR38" i="1"/>
  <c r="BR50" i="1"/>
  <c r="BR62" i="1"/>
  <c r="BR74" i="1"/>
  <c r="BR86" i="1"/>
  <c r="BR98" i="1"/>
  <c r="BR110" i="1"/>
  <c r="BR122" i="1"/>
  <c r="BR3" i="1"/>
  <c r="BR15" i="1"/>
  <c r="BR27" i="1"/>
  <c r="BR39" i="1"/>
  <c r="BR51" i="1"/>
  <c r="BR63" i="1"/>
  <c r="BR75" i="1"/>
  <c r="BR87" i="1"/>
  <c r="BR99" i="1"/>
  <c r="BR111" i="1"/>
  <c r="BR123" i="1"/>
  <c r="BR7" i="1"/>
  <c r="BR19" i="1"/>
  <c r="BR31" i="1"/>
  <c r="BR43" i="1"/>
  <c r="BR55" i="1"/>
  <c r="BR67" i="1"/>
  <c r="BR79" i="1"/>
  <c r="BR91" i="1"/>
  <c r="BR103" i="1"/>
  <c r="BR115" i="1"/>
  <c r="BR179" i="1"/>
  <c r="BR76" i="1"/>
  <c r="BQ136" i="1"/>
  <c r="BQ160" i="1"/>
  <c r="BQ184" i="1"/>
  <c r="BQ208" i="1"/>
  <c r="BQ256" i="1"/>
  <c r="BQ268" i="1"/>
  <c r="BQ149" i="1"/>
  <c r="BQ185" i="1"/>
  <c r="BQ197" i="1"/>
  <c r="BQ209" i="1"/>
  <c r="BQ233" i="1"/>
  <c r="BQ245" i="1"/>
  <c r="BQ257" i="1"/>
  <c r="BQ269" i="1"/>
  <c r="BQ281" i="1"/>
  <c r="BQ126" i="1"/>
  <c r="BQ174" i="1"/>
  <c r="BQ234" i="1"/>
  <c r="BQ270" i="1"/>
  <c r="BQ31" i="1"/>
  <c r="BQ139" i="1"/>
  <c r="BQ151" i="1"/>
  <c r="BQ187" i="1"/>
  <c r="BQ259" i="1"/>
  <c r="BQ164" i="1"/>
  <c r="BQ212" i="1"/>
  <c r="BQ248" i="1"/>
  <c r="BQ260" i="1"/>
  <c r="BQ272" i="1"/>
  <c r="BQ284" i="1"/>
  <c r="BQ165" i="1"/>
  <c r="BQ273" i="1"/>
  <c r="BQ166" i="1"/>
  <c r="BQ178" i="1"/>
  <c r="BQ168" i="1"/>
  <c r="BQ180" i="1"/>
  <c r="BQ192" i="1"/>
  <c r="BQ216" i="1"/>
  <c r="BQ240" i="1"/>
  <c r="BQ252" i="1"/>
  <c r="BQ157" i="1"/>
  <c r="BQ181" i="1"/>
  <c r="BQ217" i="1"/>
  <c r="BQ229" i="1"/>
  <c r="BQ241" i="1"/>
  <c r="BQ253" i="1"/>
  <c r="BQ289" i="1"/>
  <c r="BR133" i="1"/>
  <c r="BR286" i="1"/>
  <c r="BR274" i="1"/>
  <c r="BR262" i="1"/>
  <c r="BR250" i="1"/>
  <c r="BR238" i="1"/>
  <c r="BR226" i="1"/>
  <c r="BR214" i="1"/>
  <c r="BR202" i="1"/>
  <c r="BR190" i="1"/>
  <c r="BR178" i="1"/>
  <c r="BR166" i="1"/>
  <c r="BR154" i="1"/>
  <c r="BR142" i="1"/>
  <c r="BR101" i="1"/>
  <c r="BR69" i="1"/>
  <c r="BR42" i="1"/>
  <c r="BR16" i="1"/>
  <c r="BQ275" i="1"/>
  <c r="BQ239" i="1"/>
  <c r="BQ203" i="1"/>
  <c r="BQ158" i="1"/>
  <c r="BQ110" i="1"/>
  <c r="BQ223" i="1"/>
  <c r="BR203" i="1"/>
  <c r="BQ4" i="1"/>
  <c r="BQ28" i="1"/>
  <c r="BQ40" i="1"/>
  <c r="BQ52" i="1"/>
  <c r="BQ64" i="1"/>
  <c r="BQ76" i="1"/>
  <c r="BQ88" i="1"/>
  <c r="BQ100" i="1"/>
  <c r="BQ196" i="1"/>
  <c r="BQ5" i="1"/>
  <c r="BQ17" i="1"/>
  <c r="BQ29" i="1"/>
  <c r="BQ41" i="1"/>
  <c r="BQ53" i="1"/>
  <c r="BQ77" i="1"/>
  <c r="BQ89" i="1"/>
  <c r="BQ101" i="1"/>
  <c r="BQ113" i="1"/>
  <c r="BQ137" i="1"/>
  <c r="BQ161" i="1"/>
  <c r="BQ173" i="1"/>
  <c r="BQ6" i="1"/>
  <c r="BQ18" i="1"/>
  <c r="BQ30" i="1"/>
  <c r="BQ42" i="1"/>
  <c r="BQ54" i="1"/>
  <c r="BQ66" i="1"/>
  <c r="BQ78" i="1"/>
  <c r="BQ90" i="1"/>
  <c r="BQ102" i="1"/>
  <c r="BQ138" i="1"/>
  <c r="BQ150" i="1"/>
  <c r="BQ186" i="1"/>
  <c r="BQ222" i="1"/>
  <c r="BQ258" i="1"/>
  <c r="BQ19" i="1"/>
  <c r="BQ43" i="1"/>
  <c r="BQ55" i="1"/>
  <c r="BQ67" i="1"/>
  <c r="BQ79" i="1"/>
  <c r="BQ91" i="1"/>
  <c r="BQ103" i="1"/>
  <c r="BQ115" i="1"/>
  <c r="BQ127" i="1"/>
  <c r="BQ199" i="1"/>
  <c r="BQ8" i="1"/>
  <c r="BQ20" i="1"/>
  <c r="BQ32" i="1"/>
  <c r="BQ44" i="1"/>
  <c r="BQ56" i="1"/>
  <c r="BQ68" i="1"/>
  <c r="BQ80" i="1"/>
  <c r="BQ92" i="1"/>
  <c r="BQ104" i="1"/>
  <c r="BQ128" i="1"/>
  <c r="BQ140" i="1"/>
  <c r="BQ152" i="1"/>
  <c r="BQ200" i="1"/>
  <c r="BQ224" i="1"/>
  <c r="BQ9" i="1"/>
  <c r="BQ21" i="1"/>
  <c r="BQ45" i="1"/>
  <c r="BQ57" i="1"/>
  <c r="BQ69" i="1"/>
  <c r="BQ81" i="1"/>
  <c r="BQ93" i="1"/>
  <c r="BQ105" i="1"/>
  <c r="BQ117" i="1"/>
  <c r="BQ141" i="1"/>
  <c r="BQ177" i="1"/>
  <c r="BQ213" i="1"/>
  <c r="BQ261" i="1"/>
  <c r="BQ10" i="1"/>
  <c r="BQ22" i="1"/>
  <c r="BQ46" i="1"/>
  <c r="BQ58" i="1"/>
  <c r="BQ70" i="1"/>
  <c r="BQ94" i="1"/>
  <c r="BQ106" i="1"/>
  <c r="BQ130" i="1"/>
  <c r="BQ190" i="1"/>
  <c r="BQ23" i="1"/>
  <c r="BQ35" i="1"/>
  <c r="BQ47" i="1"/>
  <c r="BQ59" i="1"/>
  <c r="BQ12" i="1"/>
  <c r="BQ24" i="1"/>
  <c r="BQ36" i="1"/>
  <c r="BQ48" i="1"/>
  <c r="BQ60" i="1"/>
  <c r="BQ72" i="1"/>
  <c r="BQ96" i="1"/>
  <c r="BQ108" i="1"/>
  <c r="BQ120" i="1"/>
  <c r="BQ132" i="1"/>
  <c r="BQ144" i="1"/>
  <c r="BQ156" i="1"/>
  <c r="BQ25" i="1"/>
  <c r="BQ37" i="1"/>
  <c r="BQ61" i="1"/>
  <c r="BQ73" i="1"/>
  <c r="BQ85" i="1"/>
  <c r="BQ97" i="1"/>
  <c r="BQ109" i="1"/>
  <c r="BQ133" i="1"/>
  <c r="BR127" i="1"/>
  <c r="BR285" i="1"/>
  <c r="BR273" i="1"/>
  <c r="BR261" i="1"/>
  <c r="BR249" i="1"/>
  <c r="BR237" i="1"/>
  <c r="BR225" i="1"/>
  <c r="BR213" i="1"/>
  <c r="BR201" i="1"/>
  <c r="BR189" i="1"/>
  <c r="BR177" i="1"/>
  <c r="BR165" i="1"/>
  <c r="BR153" i="1"/>
  <c r="BR141" i="1"/>
  <c r="BR125" i="1"/>
  <c r="BR100" i="1"/>
  <c r="BR68" i="1"/>
  <c r="BR41" i="1"/>
  <c r="BR9" i="1"/>
  <c r="BQ274" i="1"/>
  <c r="BQ238" i="1"/>
  <c r="BQ202" i="1"/>
  <c r="BQ155" i="1"/>
  <c r="BQ107" i="1"/>
  <c r="BQ50" i="1"/>
  <c r="BR44" i="1"/>
  <c r="BQ282" i="1"/>
  <c r="BQ283" i="1"/>
  <c r="BQ277" i="1"/>
  <c r="BR284" i="1"/>
  <c r="BR272" i="1"/>
  <c r="BR260" i="1"/>
  <c r="BR248" i="1"/>
  <c r="BR236" i="1"/>
  <c r="BR224" i="1"/>
  <c r="BR212" i="1"/>
  <c r="BR200" i="1"/>
  <c r="BR188" i="1"/>
  <c r="BR176" i="1"/>
  <c r="BR164" i="1"/>
  <c r="BR152" i="1"/>
  <c r="BR140" i="1"/>
  <c r="BR124" i="1"/>
  <c r="BR93" i="1"/>
  <c r="BR66" i="1"/>
  <c r="BR40" i="1"/>
  <c r="BR8" i="1"/>
  <c r="BQ267" i="1"/>
  <c r="BQ231" i="1"/>
  <c r="BQ195" i="1"/>
  <c r="BQ147" i="1"/>
  <c r="BQ99" i="1"/>
  <c r="BQ39" i="1"/>
  <c r="BR191" i="1"/>
  <c r="BR283" i="1"/>
  <c r="BR271" i="1"/>
  <c r="BR259" i="1"/>
  <c r="BR247" i="1"/>
  <c r="BR235" i="1"/>
  <c r="BR223" i="1"/>
  <c r="BR211" i="1"/>
  <c r="BR199" i="1"/>
  <c r="BR187" i="1"/>
  <c r="BR175" i="1"/>
  <c r="BR163" i="1"/>
  <c r="BR151" i="1"/>
  <c r="BR139" i="1"/>
  <c r="BR118" i="1"/>
  <c r="BR92" i="1"/>
  <c r="BR65" i="1"/>
  <c r="BR33" i="1"/>
  <c r="BR6" i="1"/>
  <c r="BQ266" i="1"/>
  <c r="BQ230" i="1"/>
  <c r="BQ194" i="1"/>
  <c r="BQ146" i="1"/>
  <c r="BQ98" i="1"/>
  <c r="BR251" i="1"/>
  <c r="BR102" i="1"/>
  <c r="BQ232" i="1"/>
  <c r="BQ244" i="1"/>
  <c r="BQ280" i="1"/>
  <c r="BQ221" i="1"/>
  <c r="BQ246" i="1"/>
  <c r="BQ163" i="1"/>
  <c r="BQ247" i="1"/>
  <c r="BQ271" i="1"/>
  <c r="BQ188" i="1"/>
  <c r="BQ236" i="1"/>
  <c r="BQ189" i="1"/>
  <c r="BQ225" i="1"/>
  <c r="BQ249" i="1"/>
  <c r="BQ285" i="1"/>
  <c r="BQ228" i="1"/>
  <c r="BQ264" i="1"/>
  <c r="BQ193" i="1"/>
  <c r="BQ265" i="1"/>
  <c r="BR282" i="1"/>
  <c r="BR270" i="1"/>
  <c r="BR258" i="1"/>
  <c r="BR246" i="1"/>
  <c r="BR234" i="1"/>
  <c r="BR222" i="1"/>
  <c r="BR210" i="1"/>
  <c r="BR198" i="1"/>
  <c r="BR186" i="1"/>
  <c r="BR174" i="1"/>
  <c r="BR162" i="1"/>
  <c r="BR150" i="1"/>
  <c r="BR138" i="1"/>
  <c r="BR117" i="1"/>
  <c r="BR90" i="1"/>
  <c r="BR64" i="1"/>
  <c r="BR32" i="1"/>
  <c r="BR5" i="1"/>
  <c r="BQ263" i="1"/>
  <c r="BQ227" i="1"/>
  <c r="BQ191" i="1"/>
  <c r="BQ143" i="1"/>
  <c r="BQ95" i="1"/>
  <c r="BQ27" i="1"/>
  <c r="BQ16" i="1"/>
  <c r="BQ112" i="1"/>
  <c r="BQ124" i="1"/>
  <c r="BQ148" i="1"/>
  <c r="BQ172" i="1"/>
  <c r="BQ220" i="1"/>
  <c r="BQ65" i="1"/>
  <c r="BQ125" i="1"/>
  <c r="BQ114" i="1"/>
  <c r="BQ162" i="1"/>
  <c r="BQ198" i="1"/>
  <c r="BQ210" i="1"/>
  <c r="BQ7" i="1"/>
  <c r="BQ175" i="1"/>
  <c r="BQ211" i="1"/>
  <c r="BQ235" i="1"/>
  <c r="BQ116" i="1"/>
  <c r="BQ176" i="1"/>
  <c r="BQ33" i="1"/>
  <c r="BQ129" i="1"/>
  <c r="BQ153" i="1"/>
  <c r="BQ201" i="1"/>
  <c r="BQ237" i="1"/>
  <c r="BQ34" i="1"/>
  <c r="BQ82" i="1"/>
  <c r="BQ118" i="1"/>
  <c r="BQ142" i="1"/>
  <c r="BQ154" i="1"/>
  <c r="BQ11" i="1"/>
  <c r="BQ71" i="1"/>
  <c r="BQ84" i="1"/>
  <c r="BQ204" i="1"/>
  <c r="BQ13" i="1"/>
  <c r="BQ49" i="1"/>
  <c r="BQ121" i="1"/>
  <c r="BQ145" i="1"/>
  <c r="BQ205" i="1"/>
  <c r="BR281" i="1"/>
  <c r="BR269" i="1"/>
  <c r="BR245" i="1"/>
  <c r="BR233" i="1"/>
  <c r="BR209" i="1"/>
  <c r="BR197" i="1"/>
  <c r="BR185" i="1"/>
  <c r="BR173" i="1"/>
  <c r="BR161" i="1"/>
  <c r="BR149" i="1"/>
  <c r="BR137" i="1"/>
  <c r="BR116" i="1"/>
  <c r="BR89" i="1"/>
  <c r="BR57" i="1"/>
  <c r="BR30" i="1"/>
  <c r="BR4" i="1"/>
  <c r="BQ262" i="1"/>
  <c r="BQ226" i="1"/>
  <c r="BQ183" i="1"/>
  <c r="BQ135" i="1"/>
  <c r="BQ87" i="1"/>
  <c r="BQ26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U2" i="1" l="1"/>
  <c r="BX2" i="1" s="1"/>
  <c r="BY2" i="5"/>
  <c r="CE2494" i="5"/>
  <c r="CG2494" i="5" s="1"/>
  <c r="CE2734" i="5"/>
  <c r="CG2734" i="5" s="1"/>
  <c r="CE2743" i="5"/>
  <c r="CG2743" i="5" s="1"/>
  <c r="CE2711" i="5"/>
  <c r="CG2711" i="5" s="1"/>
  <c r="CE2739" i="5"/>
  <c r="CG2739" i="5" s="1"/>
  <c r="CE2628" i="5"/>
  <c r="CG2628" i="5" s="1"/>
  <c r="CE2578" i="5"/>
  <c r="CG2578" i="5" s="1"/>
  <c r="CE2597" i="5"/>
  <c r="CG2597" i="5" s="1"/>
  <c r="CE2609" i="5"/>
  <c r="CG2609" i="5" s="1"/>
  <c r="CE2722" i="5"/>
  <c r="CG2722" i="5" s="1"/>
  <c r="CE2502" i="5"/>
  <c r="CG2502" i="5" s="1"/>
  <c r="CE2613" i="5"/>
  <c r="CG2613" i="5" s="1"/>
  <c r="CE2646" i="5"/>
  <c r="CG2646" i="5" s="1"/>
  <c r="CE2740" i="5"/>
  <c r="CG2740" i="5" s="1"/>
  <c r="CE2608" i="5"/>
  <c r="CG2608" i="5" s="1"/>
  <c r="CE2616" i="5"/>
  <c r="CG2616" i="5" s="1"/>
  <c r="CE2590" i="5"/>
  <c r="CG2590" i="5" s="1"/>
  <c r="CE2517" i="5"/>
  <c r="CG2517" i="5" s="1"/>
  <c r="CE2742" i="5"/>
  <c r="CG2742" i="5" s="1"/>
  <c r="CD2160" i="5"/>
  <c r="CD2136" i="5"/>
  <c r="CD1860" i="5"/>
  <c r="CD1871" i="5"/>
  <c r="CD2386" i="5"/>
  <c r="CD1798" i="5"/>
  <c r="CD2265" i="5"/>
  <c r="CD1941" i="5"/>
  <c r="CD2372" i="5"/>
  <c r="CD2132" i="5"/>
  <c r="CD2299" i="5"/>
  <c r="CD1939" i="5"/>
  <c r="CE1939" i="5" s="1"/>
  <c r="CD2274" i="5"/>
  <c r="CD1878" i="5"/>
  <c r="CD2333" i="5"/>
  <c r="CD2092" i="5"/>
  <c r="CD2343" i="5"/>
  <c r="CD1959" i="5"/>
  <c r="CD2426" i="5"/>
  <c r="CD1970" i="5"/>
  <c r="CD2233" i="5"/>
  <c r="CE2233" i="5" s="1"/>
  <c r="CD1861" i="5"/>
  <c r="CD1578" i="5"/>
  <c r="CD892" i="5"/>
  <c r="CD1169" i="5"/>
  <c r="CD1648" i="5"/>
  <c r="CD1120" i="5"/>
  <c r="CD1455" i="5"/>
  <c r="CE1455" i="5" s="1"/>
  <c r="CD724" i="5"/>
  <c r="CD1645" i="5"/>
  <c r="CD1153" i="5"/>
  <c r="CD1476" i="5"/>
  <c r="CD970" i="5"/>
  <c r="CD1485" i="5"/>
  <c r="CD591" i="5"/>
  <c r="CD791" i="5"/>
  <c r="CE791" i="5" s="1"/>
  <c r="CD825" i="5"/>
  <c r="CD918" i="5"/>
  <c r="CD1942" i="5"/>
  <c r="CD2381" i="5"/>
  <c r="CD2305" i="5"/>
  <c r="CD2208" i="5"/>
  <c r="CD2003" i="5"/>
  <c r="CD2158" i="5"/>
  <c r="CD2253" i="5"/>
  <c r="CD2096" i="5"/>
  <c r="CD2215" i="5"/>
  <c r="CD2262" i="5"/>
  <c r="CD2225" i="5"/>
  <c r="CD2271" i="5"/>
  <c r="CD1887" i="5"/>
  <c r="CD1838" i="5"/>
  <c r="CD2053" i="5"/>
  <c r="CD1720" i="5"/>
  <c r="CD981" i="5"/>
  <c r="CD2328" i="5"/>
  <c r="CD2048" i="5"/>
  <c r="CD1926" i="5"/>
  <c r="CD1734" i="5"/>
  <c r="CE1734" i="5" s="1"/>
  <c r="CD172" i="5"/>
  <c r="CD448" i="5"/>
  <c r="CD293" i="5"/>
  <c r="CD149" i="5"/>
  <c r="CD281" i="5"/>
  <c r="CE281" i="5" s="1"/>
  <c r="CD1512" i="5"/>
  <c r="CD485" i="5"/>
  <c r="CD1318" i="5"/>
  <c r="CD1532" i="5"/>
  <c r="CD771" i="5"/>
  <c r="CE771" i="5" s="1"/>
  <c r="CD363" i="5"/>
  <c r="CD51" i="5"/>
  <c r="CE51" i="5" s="1"/>
  <c r="CD530" i="5"/>
  <c r="CE530" i="5" s="1"/>
  <c r="CD134" i="5"/>
  <c r="CD361" i="5"/>
  <c r="CD456" i="5"/>
  <c r="CD156" i="5"/>
  <c r="CE156" i="5" s="1"/>
  <c r="CD911" i="5"/>
  <c r="CD251" i="5"/>
  <c r="CD766" i="5"/>
  <c r="CD118" i="5"/>
  <c r="CD693" i="5"/>
  <c r="CD333" i="5"/>
  <c r="CD129" i="5"/>
  <c r="CD812" i="5"/>
  <c r="CD344" i="5"/>
  <c r="CD152" i="5"/>
  <c r="CD811" i="5"/>
  <c r="CD487" i="5"/>
  <c r="CE487" i="5" s="1"/>
  <c r="CD187" i="5"/>
  <c r="CD894" i="5"/>
  <c r="CD378" i="5"/>
  <c r="CD114" i="5"/>
  <c r="CD2436" i="5"/>
  <c r="CD1884" i="5"/>
  <c r="CE1884" i="5" s="1"/>
  <c r="CD2375" i="5"/>
  <c r="CD1787" i="5"/>
  <c r="CE1787" i="5" s="1"/>
  <c r="CD2098" i="5"/>
  <c r="CD1716" i="5"/>
  <c r="CD2384" i="5"/>
  <c r="CE2384" i="5" s="1"/>
  <c r="CD1772" i="5"/>
  <c r="CD2383" i="5"/>
  <c r="CD2047" i="5"/>
  <c r="CD1327" i="5"/>
  <c r="CD2022" i="5"/>
  <c r="CD2453" i="5"/>
  <c r="CE2453" i="5" s="1"/>
  <c r="CD2440" i="5"/>
  <c r="CE2440" i="5" s="1"/>
  <c r="CD1852" i="5"/>
  <c r="CD2475" i="5"/>
  <c r="CD1851" i="5"/>
  <c r="CD2354" i="5"/>
  <c r="CD1934" i="5"/>
  <c r="CD2449" i="5"/>
  <c r="CE2449" i="5" s="1"/>
  <c r="CD2005" i="5"/>
  <c r="CD1662" i="5"/>
  <c r="CE1662" i="5" s="1"/>
  <c r="CD1362" i="5"/>
  <c r="CD1146" i="5"/>
  <c r="CD305" i="5"/>
  <c r="CD1457" i="5"/>
  <c r="CD1684" i="5"/>
  <c r="CD1360" i="5"/>
  <c r="CD1144" i="5"/>
  <c r="CD653" i="5"/>
  <c r="CD1551" i="5"/>
  <c r="CE1551" i="5" s="1"/>
  <c r="CD1251" i="5"/>
  <c r="CE1251" i="5" s="1"/>
  <c r="CD999" i="5"/>
  <c r="CD1538" i="5"/>
  <c r="CD1274" i="5"/>
  <c r="CD1082" i="5"/>
  <c r="CD353" i="5"/>
  <c r="CE353" i="5" s="1"/>
  <c r="CD1321" i="5"/>
  <c r="CD1081" i="5"/>
  <c r="CD1452" i="5"/>
  <c r="CD1200" i="5"/>
  <c r="CD960" i="5"/>
  <c r="CD1055" i="5"/>
  <c r="CD1414" i="5"/>
  <c r="CD1114" i="5"/>
  <c r="CD1449" i="5"/>
  <c r="CD1209" i="5"/>
  <c r="CD969" i="5"/>
  <c r="CD1604" i="5"/>
  <c r="CD1328" i="5"/>
  <c r="CE1328" i="5" s="1"/>
  <c r="CD1040" i="5"/>
  <c r="CE1040" i="5" s="1"/>
  <c r="CD387" i="5"/>
  <c r="CD878" i="5"/>
  <c r="CD506" i="5"/>
  <c r="CD14" i="5"/>
  <c r="CD637" i="5"/>
  <c r="CE637" i="5" s="1"/>
  <c r="CD325" i="5"/>
  <c r="CD588" i="5"/>
  <c r="CD503" i="5"/>
  <c r="CD634" i="5"/>
  <c r="CD465" i="5"/>
  <c r="CD776" i="5"/>
  <c r="CD427" i="5"/>
  <c r="CE427" i="5" s="1"/>
  <c r="CD594" i="5"/>
  <c r="CD1296" i="5"/>
  <c r="CD713" i="5"/>
  <c r="CD872" i="5"/>
  <c r="CD364" i="5"/>
  <c r="CD1609" i="5"/>
  <c r="CD1019" i="5"/>
  <c r="CD1629" i="5"/>
  <c r="CD903" i="5"/>
  <c r="CD26" i="5"/>
  <c r="CD25" i="5"/>
  <c r="CE25" i="5" s="1"/>
  <c r="CD611" i="5"/>
  <c r="CD790" i="5"/>
  <c r="CD511" i="5"/>
  <c r="CD186" i="5"/>
  <c r="CD2112" i="5"/>
  <c r="CE2112" i="5" s="1"/>
  <c r="CD1836" i="5"/>
  <c r="CE1836" i="5" s="1"/>
  <c r="CD2219" i="5"/>
  <c r="CD2326" i="5"/>
  <c r="CD1917" i="5"/>
  <c r="CD2324" i="5"/>
  <c r="CD2084" i="5"/>
  <c r="CE2084" i="5" s="1"/>
  <c r="CD1915" i="5"/>
  <c r="CE1915" i="5" s="1"/>
  <c r="CD2214" i="5"/>
  <c r="CD1854" i="5"/>
  <c r="CD2321" i="5"/>
  <c r="CD1973" i="5"/>
  <c r="CD2404" i="5"/>
  <c r="CD2068" i="5"/>
  <c r="CD2319" i="5"/>
  <c r="CD1947" i="5"/>
  <c r="CE1947" i="5" s="1"/>
  <c r="CD2366" i="5"/>
  <c r="CD1825" i="5"/>
  <c r="CD1530" i="5"/>
  <c r="CE1530" i="5" s="1"/>
  <c r="CD1636" i="5"/>
  <c r="CD1108" i="5"/>
  <c r="CD1419" i="5"/>
  <c r="CD1682" i="5"/>
  <c r="CD1621" i="5"/>
  <c r="CD1141" i="5"/>
  <c r="CD1368" i="5"/>
  <c r="CD1199" i="5"/>
  <c r="CD1714" i="5"/>
  <c r="CD958" i="5"/>
  <c r="CD1353" i="5"/>
  <c r="CD1508" i="5"/>
  <c r="CD956" i="5"/>
  <c r="CD926" i="5"/>
  <c r="CD805" i="5"/>
  <c r="CD813" i="5"/>
  <c r="CD656" i="5"/>
  <c r="CD906" i="5"/>
  <c r="CD1762" i="5"/>
  <c r="CD2093" i="5"/>
  <c r="CD2100" i="5"/>
  <c r="CD2315" i="5"/>
  <c r="CD1991" i="5"/>
  <c r="CD2146" i="5"/>
  <c r="CE2146" i="5" s="1"/>
  <c r="CD2169" i="5"/>
  <c r="CE2169" i="5" s="1"/>
  <c r="CD2072" i="5"/>
  <c r="CD2191" i="5"/>
  <c r="CD2250" i="5"/>
  <c r="CD2189" i="5"/>
  <c r="CD2223" i="5"/>
  <c r="CD1815" i="5"/>
  <c r="CD2377" i="5"/>
  <c r="CD2041" i="5"/>
  <c r="CD1624" i="5"/>
  <c r="CD1619" i="5"/>
  <c r="CD1736" i="5"/>
  <c r="CD2232" i="5"/>
  <c r="CD1914" i="5"/>
  <c r="CE1914" i="5" s="1"/>
  <c r="CD2235" i="5"/>
  <c r="CD1494" i="5"/>
  <c r="CD304" i="5"/>
  <c r="CD148" i="5"/>
  <c r="CD1488" i="5"/>
  <c r="CD413" i="5"/>
  <c r="CD1222" i="5"/>
  <c r="CD1269" i="5"/>
  <c r="CD699" i="5"/>
  <c r="CD303" i="5"/>
  <c r="CD39" i="5"/>
  <c r="CD482" i="5"/>
  <c r="CE482" i="5" s="1"/>
  <c r="CD122" i="5"/>
  <c r="CE122" i="5" s="1"/>
  <c r="CD601" i="5"/>
  <c r="CD349" i="5"/>
  <c r="CD73" i="5"/>
  <c r="CD420" i="5"/>
  <c r="CE420" i="5" s="1"/>
  <c r="CD815" i="5"/>
  <c r="CD467" i="5"/>
  <c r="CD754" i="5"/>
  <c r="CD262" i="5"/>
  <c r="CD106" i="5"/>
  <c r="CE106" i="5" s="1"/>
  <c r="CD669" i="5"/>
  <c r="CD321" i="5"/>
  <c r="CD117" i="5"/>
  <c r="CD716" i="5"/>
  <c r="CD320" i="5"/>
  <c r="CD140" i="5"/>
  <c r="CD787" i="5"/>
  <c r="CE787" i="5" s="1"/>
  <c r="CD175" i="5"/>
  <c r="CD810" i="5"/>
  <c r="CD354" i="5"/>
  <c r="CD102" i="5"/>
  <c r="CD2424" i="5"/>
  <c r="CD1812" i="5"/>
  <c r="CD2351" i="5"/>
  <c r="CD1681" i="5"/>
  <c r="CD2050" i="5"/>
  <c r="CD1680" i="5"/>
  <c r="CD2121" i="5"/>
  <c r="CD1821" i="5"/>
  <c r="CE1821" i="5" s="1"/>
  <c r="CD1760" i="5"/>
  <c r="CD2371" i="5"/>
  <c r="CD1891" i="5"/>
  <c r="CD1039" i="5"/>
  <c r="CD2010" i="5"/>
  <c r="CE2010" i="5" s="1"/>
  <c r="CD2405" i="5"/>
  <c r="CE2405" i="5" s="1"/>
  <c r="CD1829" i="5"/>
  <c r="CD1840" i="5"/>
  <c r="CD2463" i="5"/>
  <c r="CD1827" i="5"/>
  <c r="CD2342" i="5"/>
  <c r="CD1922" i="5"/>
  <c r="CE1922" i="5" s="1"/>
  <c r="CD1993" i="5"/>
  <c r="CD1626" i="5"/>
  <c r="CD1338" i="5"/>
  <c r="CD1122" i="5"/>
  <c r="CD1661" i="5"/>
  <c r="CD1409" i="5"/>
  <c r="CE1409" i="5" s="1"/>
  <c r="CD1121" i="5"/>
  <c r="CD1612" i="5"/>
  <c r="CE1612" i="5" s="1"/>
  <c r="CD1348" i="5"/>
  <c r="CD1132" i="5"/>
  <c r="CD437" i="5"/>
  <c r="CD1515" i="5"/>
  <c r="CE1515" i="5" s="1"/>
  <c r="CD1239" i="5"/>
  <c r="CD963" i="5"/>
  <c r="CD1262" i="5"/>
  <c r="CD1058" i="5"/>
  <c r="CD1309" i="5"/>
  <c r="CD1440" i="5"/>
  <c r="CE1440" i="5" s="1"/>
  <c r="CD1176" i="5"/>
  <c r="CE1176" i="5" s="1"/>
  <c r="CD948" i="5"/>
  <c r="CE948" i="5" s="1"/>
  <c r="CD1547" i="5"/>
  <c r="CD1259" i="5"/>
  <c r="CD1031" i="5"/>
  <c r="CD1606" i="5"/>
  <c r="CD1378" i="5"/>
  <c r="CD1102" i="5"/>
  <c r="CD1665" i="5"/>
  <c r="CD1197" i="5"/>
  <c r="CD945" i="5"/>
  <c r="CD1580" i="5"/>
  <c r="CD1292" i="5"/>
  <c r="CD1028" i="5"/>
  <c r="CD735" i="5"/>
  <c r="CD339" i="5"/>
  <c r="CD806" i="5"/>
  <c r="CD625" i="5"/>
  <c r="CD253" i="5"/>
  <c r="CD528" i="5"/>
  <c r="CE528" i="5" s="1"/>
  <c r="CD875" i="5"/>
  <c r="CD491" i="5"/>
  <c r="CD598" i="5"/>
  <c r="CD310" i="5"/>
  <c r="CD453" i="5"/>
  <c r="CD752" i="5"/>
  <c r="CD907" i="5"/>
  <c r="CD415" i="5"/>
  <c r="CD798" i="5"/>
  <c r="CD582" i="5"/>
  <c r="CD136" i="5"/>
  <c r="CD224" i="5"/>
  <c r="CD676" i="5"/>
  <c r="CD1589" i="5"/>
  <c r="CD1489" i="5"/>
  <c r="CD768" i="5"/>
  <c r="CD1605" i="5"/>
  <c r="CE1605" i="5" s="1"/>
  <c r="CD783" i="5"/>
  <c r="CD866" i="5"/>
  <c r="CD756" i="5"/>
  <c r="CD379" i="5"/>
  <c r="CD126" i="5"/>
  <c r="CE126" i="5" s="1"/>
  <c r="CD2076" i="5"/>
  <c r="CD2195" i="5"/>
  <c r="CD1811" i="5"/>
  <c r="CD2302" i="5"/>
  <c r="CD1627" i="5"/>
  <c r="CD2193" i="5"/>
  <c r="CD1881" i="5"/>
  <c r="CD2312" i="5"/>
  <c r="CD1964" i="5"/>
  <c r="CD1903" i="5"/>
  <c r="CD1842" i="5"/>
  <c r="CD2309" i="5"/>
  <c r="CE2309" i="5" s="1"/>
  <c r="CD1961" i="5"/>
  <c r="CD2020" i="5"/>
  <c r="CD2259" i="5"/>
  <c r="CD1911" i="5"/>
  <c r="CD2318" i="5"/>
  <c r="CE2318" i="5" s="1"/>
  <c r="CD2185" i="5"/>
  <c r="CE2185" i="5" s="1"/>
  <c r="CD1813" i="5"/>
  <c r="CD1518" i="5"/>
  <c r="CD1733" i="5"/>
  <c r="CD1013" i="5"/>
  <c r="CD1576" i="5"/>
  <c r="CD1012" i="5"/>
  <c r="CD1658" i="5"/>
  <c r="CD1573" i="5"/>
  <c r="CD1045" i="5"/>
  <c r="CD1187" i="5"/>
  <c r="CD1618" i="5"/>
  <c r="CD934" i="5"/>
  <c r="CD1281" i="5"/>
  <c r="CD1484" i="5"/>
  <c r="CD932" i="5"/>
  <c r="CD854" i="5"/>
  <c r="CD769" i="5"/>
  <c r="CD898" i="5"/>
  <c r="CD741" i="5"/>
  <c r="CD632" i="5"/>
  <c r="CE632" i="5" s="1"/>
  <c r="CD870" i="5"/>
  <c r="CD2217" i="5"/>
  <c r="CD2081" i="5"/>
  <c r="CD1981" i="5"/>
  <c r="CD2088" i="5"/>
  <c r="CD2303" i="5"/>
  <c r="CD1943" i="5"/>
  <c r="CD2134" i="5"/>
  <c r="CD2157" i="5"/>
  <c r="CE2157" i="5" s="1"/>
  <c r="CD2060" i="5"/>
  <c r="CE2060" i="5" s="1"/>
  <c r="CD2179" i="5"/>
  <c r="CD2178" i="5"/>
  <c r="CE2178" i="5" s="1"/>
  <c r="CD2057" i="5"/>
  <c r="CD2140" i="5"/>
  <c r="CD2211" i="5"/>
  <c r="CD1803" i="5"/>
  <c r="CD2365" i="5"/>
  <c r="CD2029" i="5"/>
  <c r="CD1487" i="5"/>
  <c r="CD1700" i="5"/>
  <c r="CD1848" i="5"/>
  <c r="CD1051" i="5"/>
  <c r="CD1315" i="5"/>
  <c r="CD1386" i="5"/>
  <c r="CE1386" i="5" s="1"/>
  <c r="CD28" i="5"/>
  <c r="CD161" i="5"/>
  <c r="CD88" i="5"/>
  <c r="CD5" i="5"/>
  <c r="CD76" i="5"/>
  <c r="CD816" i="5"/>
  <c r="CD1198" i="5"/>
  <c r="CD1149" i="5"/>
  <c r="CD651" i="5"/>
  <c r="CD207" i="5"/>
  <c r="CE207" i="5" s="1"/>
  <c r="CD446" i="5"/>
  <c r="CD110" i="5"/>
  <c r="CD565" i="5"/>
  <c r="CD49" i="5"/>
  <c r="CD408" i="5"/>
  <c r="CD132" i="5"/>
  <c r="CD803" i="5"/>
  <c r="CD455" i="5"/>
  <c r="CD191" i="5"/>
  <c r="CD742" i="5"/>
  <c r="CD238" i="5"/>
  <c r="CD94" i="5"/>
  <c r="CD657" i="5"/>
  <c r="CD309" i="5"/>
  <c r="CE309" i="5" s="1"/>
  <c r="CD105" i="5"/>
  <c r="CD680" i="5"/>
  <c r="CD308" i="5"/>
  <c r="CE308" i="5" s="1"/>
  <c r="CD751" i="5"/>
  <c r="CE751" i="5" s="1"/>
  <c r="CD738" i="5"/>
  <c r="CD90" i="5"/>
  <c r="CD2400" i="5"/>
  <c r="CD1800" i="5"/>
  <c r="CD2339" i="5"/>
  <c r="CE2339" i="5" s="1"/>
  <c r="CD1231" i="5"/>
  <c r="CE1231" i="5" s="1"/>
  <c r="CD2014" i="5"/>
  <c r="CD1507" i="5"/>
  <c r="CD2109" i="5"/>
  <c r="CD1785" i="5"/>
  <c r="CD2300" i="5"/>
  <c r="CD1711" i="5"/>
  <c r="CD2335" i="5"/>
  <c r="CE2335" i="5" s="1"/>
  <c r="CD1867" i="5"/>
  <c r="CD797" i="5"/>
  <c r="CD1938" i="5"/>
  <c r="CD1805" i="5"/>
  <c r="CD2344" i="5"/>
  <c r="CD1828" i="5"/>
  <c r="CD2439" i="5"/>
  <c r="CE2439" i="5" s="1"/>
  <c r="CD2330" i="5"/>
  <c r="CD1910" i="5"/>
  <c r="CD2401" i="5"/>
  <c r="CE2401" i="5" s="1"/>
  <c r="CD1614" i="5"/>
  <c r="CD1326" i="5"/>
  <c r="CD1098" i="5"/>
  <c r="CD1625" i="5"/>
  <c r="CD1397" i="5"/>
  <c r="CD1097" i="5"/>
  <c r="CE1097" i="5" s="1"/>
  <c r="CD1600" i="5"/>
  <c r="CD1336" i="5"/>
  <c r="CD1096" i="5"/>
  <c r="CE1096" i="5" s="1"/>
  <c r="CD1227" i="5"/>
  <c r="CD922" i="5"/>
  <c r="CD1490" i="5"/>
  <c r="CD1250" i="5"/>
  <c r="CD1046" i="5"/>
  <c r="CD1585" i="5"/>
  <c r="CD1285" i="5"/>
  <c r="CD1380" i="5"/>
  <c r="CD936" i="5"/>
  <c r="CD1523" i="5"/>
  <c r="CE1523" i="5" s="1"/>
  <c r="CD1247" i="5"/>
  <c r="CD959" i="5"/>
  <c r="CE959" i="5" s="1"/>
  <c r="CD1594" i="5"/>
  <c r="CD1342" i="5"/>
  <c r="CD1653" i="5"/>
  <c r="CE1653" i="5" s="1"/>
  <c r="CD1401" i="5"/>
  <c r="CD1185" i="5"/>
  <c r="CD933" i="5"/>
  <c r="CD1568" i="5"/>
  <c r="CD1016" i="5"/>
  <c r="CD770" i="5"/>
  <c r="CD470" i="5"/>
  <c r="CE470" i="5" s="1"/>
  <c r="CD829" i="5"/>
  <c r="CD863" i="5"/>
  <c r="CD431" i="5"/>
  <c r="CD441" i="5"/>
  <c r="CD704" i="5"/>
  <c r="CD883" i="5"/>
  <c r="CD786" i="5"/>
  <c r="CD1000" i="5"/>
  <c r="CD1514" i="5"/>
  <c r="CD197" i="5"/>
  <c r="CD723" i="5"/>
  <c r="CD602" i="5"/>
  <c r="CD913" i="5"/>
  <c r="CD418" i="5"/>
  <c r="CE418" i="5" s="1"/>
  <c r="CD225" i="5"/>
  <c r="CD356" i="5"/>
  <c r="CD232" i="5"/>
  <c r="CD2472" i="5"/>
  <c r="CD2064" i="5"/>
  <c r="CD1723" i="5"/>
  <c r="CD2171" i="5"/>
  <c r="CD2278" i="5"/>
  <c r="CD2469" i="5"/>
  <c r="CD2181" i="5"/>
  <c r="CD1869" i="5"/>
  <c r="CD2276" i="5"/>
  <c r="CE2276" i="5" s="1"/>
  <c r="CD1952" i="5"/>
  <c r="CD2155" i="5"/>
  <c r="CD1819" i="5"/>
  <c r="CD2166" i="5"/>
  <c r="CD1830" i="5"/>
  <c r="CD2237" i="5"/>
  <c r="CE2237" i="5" s="1"/>
  <c r="CD1949" i="5"/>
  <c r="CD2332" i="5"/>
  <c r="CD2247" i="5"/>
  <c r="CD1886" i="5"/>
  <c r="CD2125" i="5"/>
  <c r="CD1789" i="5"/>
  <c r="CD1446" i="5"/>
  <c r="CD1721" i="5"/>
  <c r="CD989" i="5"/>
  <c r="CE989" i="5" s="1"/>
  <c r="CD1540" i="5"/>
  <c r="CD940" i="5"/>
  <c r="CD1335" i="5"/>
  <c r="CE1335" i="5" s="1"/>
  <c r="CD1549" i="5"/>
  <c r="CD1021" i="5"/>
  <c r="CD1236" i="5"/>
  <c r="CE1236" i="5" s="1"/>
  <c r="CD1546" i="5"/>
  <c r="CD857" i="5"/>
  <c r="CD1161" i="5"/>
  <c r="CD1436" i="5"/>
  <c r="CD842" i="5"/>
  <c r="CD862" i="5"/>
  <c r="CD729" i="5"/>
  <c r="CE729" i="5" s="1"/>
  <c r="CD572" i="5"/>
  <c r="CD858" i="5"/>
  <c r="CE858" i="5" s="1"/>
  <c r="CD2480" i="5"/>
  <c r="CD2356" i="5"/>
  <c r="CD1933" i="5"/>
  <c r="CD2279" i="5"/>
  <c r="CD1931" i="5"/>
  <c r="CD1797" i="5"/>
  <c r="CD2036" i="5"/>
  <c r="CD2119" i="5"/>
  <c r="CD2154" i="5"/>
  <c r="CD2021" i="5"/>
  <c r="CD2128" i="5"/>
  <c r="CD2199" i="5"/>
  <c r="CE2199" i="5" s="1"/>
  <c r="CD1779" i="5"/>
  <c r="CD2353" i="5"/>
  <c r="CD1909" i="5"/>
  <c r="CE1909" i="5" s="1"/>
  <c r="CD1707" i="5"/>
  <c r="CE1707" i="5" s="1"/>
  <c r="CD1451" i="5"/>
  <c r="CD1280" i="5"/>
  <c r="CD173" i="5"/>
  <c r="CD748" i="5"/>
  <c r="CD532" i="5"/>
  <c r="CD1601" i="5"/>
  <c r="CD17" i="5"/>
  <c r="CD1659" i="5"/>
  <c r="CD1706" i="5"/>
  <c r="CD4" i="5"/>
  <c r="CD1416" i="5"/>
  <c r="CD269" i="5"/>
  <c r="CD556" i="5"/>
  <c r="CD1150" i="5"/>
  <c r="CD1076" i="5"/>
  <c r="CD579" i="5"/>
  <c r="CD195" i="5"/>
  <c r="CE195" i="5" s="1"/>
  <c r="CD3" i="5"/>
  <c r="CE3" i="5" s="1"/>
  <c r="CD98" i="5"/>
  <c r="CD553" i="5"/>
  <c r="CD277" i="5"/>
  <c r="CD37" i="5"/>
  <c r="CD120" i="5"/>
  <c r="CD743" i="5"/>
  <c r="CD443" i="5"/>
  <c r="CD167" i="5"/>
  <c r="CD718" i="5"/>
  <c r="CD285" i="5"/>
  <c r="CD93" i="5"/>
  <c r="CD620" i="5"/>
  <c r="CD116" i="5"/>
  <c r="CE116" i="5" s="1"/>
  <c r="CD715" i="5"/>
  <c r="CD391" i="5"/>
  <c r="CD139" i="5"/>
  <c r="CD726" i="5"/>
  <c r="CD330" i="5"/>
  <c r="CD78" i="5"/>
  <c r="CD2376" i="5"/>
  <c r="CD1788" i="5"/>
  <c r="CD2291" i="5"/>
  <c r="CD1087" i="5"/>
  <c r="CE1087" i="5" s="1"/>
  <c r="CD1990" i="5"/>
  <c r="CD1363" i="5"/>
  <c r="CD2097" i="5"/>
  <c r="CD2228" i="5"/>
  <c r="CD1675" i="5"/>
  <c r="CD2323" i="5"/>
  <c r="CD1855" i="5"/>
  <c r="CE1855" i="5" s="1"/>
  <c r="CD1818" i="5"/>
  <c r="CD2297" i="5"/>
  <c r="CD1781" i="5"/>
  <c r="CD2296" i="5"/>
  <c r="CD1804" i="5"/>
  <c r="CD2415" i="5"/>
  <c r="CE2415" i="5" s="1"/>
  <c r="CD1729" i="5"/>
  <c r="CD2282" i="5"/>
  <c r="CE2282" i="5" s="1"/>
  <c r="CD1874" i="5"/>
  <c r="CD1590" i="5"/>
  <c r="CD1314" i="5"/>
  <c r="CD1074" i="5"/>
  <c r="CE1074" i="5" s="1"/>
  <c r="CD1613" i="5"/>
  <c r="CD1085" i="5"/>
  <c r="CD1588" i="5"/>
  <c r="CD1324" i="5"/>
  <c r="CD1479" i="5"/>
  <c r="CE1479" i="5" s="1"/>
  <c r="CD1215" i="5"/>
  <c r="CE1215" i="5" s="1"/>
  <c r="CD652" i="5"/>
  <c r="CE652" i="5" s="1"/>
  <c r="CD1478" i="5"/>
  <c r="CE1478" i="5" s="1"/>
  <c r="CD1238" i="5"/>
  <c r="CD1034" i="5"/>
  <c r="CD1525" i="5"/>
  <c r="CD1261" i="5"/>
  <c r="CD985" i="5"/>
  <c r="CD1128" i="5"/>
  <c r="CE1128" i="5" s="1"/>
  <c r="CD868" i="5"/>
  <c r="CD1511" i="5"/>
  <c r="CD1235" i="5"/>
  <c r="CD700" i="5"/>
  <c r="CD1582" i="5"/>
  <c r="CD1641" i="5"/>
  <c r="CD1389" i="5"/>
  <c r="CD1173" i="5"/>
  <c r="CD904" i="5"/>
  <c r="CD1544" i="5"/>
  <c r="CD1256" i="5"/>
  <c r="CD1004" i="5"/>
  <c r="CD687" i="5"/>
  <c r="CD291" i="5"/>
  <c r="CD746" i="5"/>
  <c r="CD434" i="5"/>
  <c r="CD817" i="5"/>
  <c r="CD13" i="5"/>
  <c r="CE13" i="5" s="1"/>
  <c r="CD480" i="5"/>
  <c r="CD839" i="5"/>
  <c r="CD335" i="5"/>
  <c r="CD562" i="5"/>
  <c r="CD274" i="5"/>
  <c r="CD692" i="5"/>
  <c r="CD774" i="5"/>
  <c r="CD498" i="5"/>
  <c r="CD507" i="5"/>
  <c r="CD366" i="5"/>
  <c r="CE366" i="5" s="1"/>
  <c r="CD2295" i="5"/>
  <c r="CD1297" i="5"/>
  <c r="CD1354" i="5"/>
  <c r="CD1317" i="5"/>
  <c r="CD603" i="5"/>
  <c r="CD590" i="5"/>
  <c r="CD877" i="5"/>
  <c r="CD311" i="5"/>
  <c r="CD346" i="5"/>
  <c r="CD213" i="5"/>
  <c r="CD212" i="5"/>
  <c r="CD2481" i="5"/>
  <c r="CD2388" i="5"/>
  <c r="CD2052" i="5"/>
  <c r="CD1687" i="5"/>
  <c r="CD2123" i="5"/>
  <c r="CD1775" i="5"/>
  <c r="CE1775" i="5" s="1"/>
  <c r="CD2194" i="5"/>
  <c r="CE2194" i="5" s="1"/>
  <c r="CD2445" i="5"/>
  <c r="CD2133" i="5"/>
  <c r="CE2133" i="5" s="1"/>
  <c r="CD1845" i="5"/>
  <c r="CD2240" i="5"/>
  <c r="CD1916" i="5"/>
  <c r="CD2143" i="5"/>
  <c r="CD1807" i="5"/>
  <c r="CD2142" i="5"/>
  <c r="CD1806" i="5"/>
  <c r="CD2213" i="5"/>
  <c r="CD1937" i="5"/>
  <c r="CD2308" i="5"/>
  <c r="CE2308" i="5" s="1"/>
  <c r="CD1936" i="5"/>
  <c r="CD2163" i="5"/>
  <c r="CD1875" i="5"/>
  <c r="CD2294" i="5"/>
  <c r="CD1862" i="5"/>
  <c r="CD2077" i="5"/>
  <c r="CE2077" i="5" s="1"/>
  <c r="CD1765" i="5"/>
  <c r="CE1765" i="5" s="1"/>
  <c r="CD1422" i="5"/>
  <c r="CD1709" i="5"/>
  <c r="CD941" i="5"/>
  <c r="CD1504" i="5"/>
  <c r="CD833" i="5"/>
  <c r="CD1203" i="5"/>
  <c r="CD1622" i="5"/>
  <c r="CE1622" i="5" s="1"/>
  <c r="CD1537" i="5"/>
  <c r="CD949" i="5"/>
  <c r="CD1188" i="5"/>
  <c r="CD1043" i="5"/>
  <c r="CE1043" i="5" s="1"/>
  <c r="CD1522" i="5"/>
  <c r="CD761" i="5"/>
  <c r="CE761" i="5" s="1"/>
  <c r="CD1077" i="5"/>
  <c r="CD1412" i="5"/>
  <c r="CD915" i="5"/>
  <c r="CD830" i="5"/>
  <c r="CD732" i="5"/>
  <c r="CD850" i="5"/>
  <c r="CD597" i="5"/>
  <c r="CD919" i="5"/>
  <c r="CD822" i="5"/>
  <c r="CD2252" i="5"/>
  <c r="CD2056" i="5"/>
  <c r="CD1849" i="5"/>
  <c r="CD1980" i="5"/>
  <c r="CD2255" i="5"/>
  <c r="CD1919" i="5"/>
  <c r="CD2086" i="5"/>
  <c r="CE2086" i="5" s="1"/>
  <c r="CD2468" i="5"/>
  <c r="CD1976" i="5"/>
  <c r="CD2035" i="5"/>
  <c r="CD2130" i="5"/>
  <c r="CD1985" i="5"/>
  <c r="CE1985" i="5" s="1"/>
  <c r="CD2080" i="5"/>
  <c r="CD2187" i="5"/>
  <c r="CE2187" i="5" s="1"/>
  <c r="CD2234" i="5"/>
  <c r="CE2234" i="5" s="1"/>
  <c r="CD2317" i="5"/>
  <c r="CD1801" i="5"/>
  <c r="CD1742" i="5"/>
  <c r="CD1415" i="5"/>
  <c r="CD980" i="5"/>
  <c r="CD316" i="5"/>
  <c r="CD2407" i="5"/>
  <c r="CD29" i="5"/>
  <c r="CD2066" i="5"/>
  <c r="CE2066" i="5" s="1"/>
  <c r="CD1278" i="5"/>
  <c r="CE1278" i="5" s="1"/>
  <c r="CD1433" i="5"/>
  <c r="CD1492" i="5"/>
  <c r="CD1359" i="5"/>
  <c r="CD1646" i="5"/>
  <c r="CD1561" i="5"/>
  <c r="CE1561" i="5" s="1"/>
  <c r="CD1404" i="5"/>
  <c r="CD208" i="5"/>
  <c r="CD1138" i="5"/>
  <c r="CE1138" i="5" s="1"/>
  <c r="CD957" i="5"/>
  <c r="CD749" i="5"/>
  <c r="CD567" i="5"/>
  <c r="CD183" i="5"/>
  <c r="CD914" i="5"/>
  <c r="CD338" i="5"/>
  <c r="CD74" i="5"/>
  <c r="CD517" i="5"/>
  <c r="CD241" i="5"/>
  <c r="CD660" i="5"/>
  <c r="CD348" i="5"/>
  <c r="CD108" i="5"/>
  <c r="CE108" i="5" s="1"/>
  <c r="CD731" i="5"/>
  <c r="CD419" i="5"/>
  <c r="CD155" i="5"/>
  <c r="CE155" i="5" s="1"/>
  <c r="CD682" i="5"/>
  <c r="CD214" i="5"/>
  <c r="CD46" i="5"/>
  <c r="CD549" i="5"/>
  <c r="CD81" i="5"/>
  <c r="CD608" i="5"/>
  <c r="CD284" i="5"/>
  <c r="CD92" i="5"/>
  <c r="CD691" i="5"/>
  <c r="CD367" i="5"/>
  <c r="CD127" i="5"/>
  <c r="CD714" i="5"/>
  <c r="CD306" i="5"/>
  <c r="CD66" i="5"/>
  <c r="CD2340" i="5"/>
  <c r="CD1764" i="5"/>
  <c r="CD2111" i="5"/>
  <c r="CD1930" i="5"/>
  <c r="CD1075" i="5"/>
  <c r="CD2061" i="5"/>
  <c r="CD1495" i="5"/>
  <c r="CD2024" i="5"/>
  <c r="CD1615" i="5"/>
  <c r="CD1843" i="5"/>
  <c r="CE1843" i="5" s="1"/>
  <c r="CD2442" i="5"/>
  <c r="CD1770" i="5"/>
  <c r="CD2285" i="5"/>
  <c r="CE2285" i="5" s="1"/>
  <c r="CD1757" i="5"/>
  <c r="CD2248" i="5"/>
  <c r="CD1792" i="5"/>
  <c r="CD2403" i="5"/>
  <c r="CD1693" i="5"/>
  <c r="CD2222" i="5"/>
  <c r="CD1814" i="5"/>
  <c r="CD2341" i="5"/>
  <c r="CD1777" i="5"/>
  <c r="CD1566" i="5"/>
  <c r="CE1566" i="5" s="1"/>
  <c r="CD1290" i="5"/>
  <c r="CD1038" i="5"/>
  <c r="CE1038" i="5" s="1"/>
  <c r="CD1577" i="5"/>
  <c r="CD1313" i="5"/>
  <c r="CD1049" i="5"/>
  <c r="CD1564" i="5"/>
  <c r="CD1276" i="5"/>
  <c r="CD1072" i="5"/>
  <c r="CD16" i="5"/>
  <c r="CD1467" i="5"/>
  <c r="CD1179" i="5"/>
  <c r="CD580" i="5"/>
  <c r="CE580" i="5" s="1"/>
  <c r="CD1466" i="5"/>
  <c r="CD1226" i="5"/>
  <c r="CE1226" i="5" s="1"/>
  <c r="CD1022" i="5"/>
  <c r="CD1477" i="5"/>
  <c r="CD1237" i="5"/>
  <c r="CE1237" i="5" s="1"/>
  <c r="CD973" i="5"/>
  <c r="CE973" i="5" s="1"/>
  <c r="CD1344" i="5"/>
  <c r="CD1116" i="5"/>
  <c r="CD772" i="5"/>
  <c r="CD1570" i="5"/>
  <c r="CD1294" i="5"/>
  <c r="CD1054" i="5"/>
  <c r="CD1617" i="5"/>
  <c r="CD1377" i="5"/>
  <c r="CD808" i="5"/>
  <c r="CD1520" i="5"/>
  <c r="CD1232" i="5"/>
  <c r="CD968" i="5"/>
  <c r="CE968" i="5" s="1"/>
  <c r="CD675" i="5"/>
  <c r="CD267" i="5"/>
  <c r="CE267" i="5" s="1"/>
  <c r="CD698" i="5"/>
  <c r="CD422" i="5"/>
  <c r="CD781" i="5"/>
  <c r="CD541" i="5"/>
  <c r="CE541" i="5" s="1"/>
  <c r="CD744" i="5"/>
  <c r="CD432" i="5"/>
  <c r="CE432" i="5" s="1"/>
  <c r="CD683" i="5"/>
  <c r="CD287" i="5"/>
  <c r="CD514" i="5"/>
  <c r="CD909" i="5"/>
  <c r="CD405" i="5"/>
  <c r="CD668" i="5"/>
  <c r="CD679" i="5"/>
  <c r="CD319" i="5"/>
  <c r="CD762" i="5"/>
  <c r="CE762" i="5" s="1"/>
  <c r="CD1170" i="5"/>
  <c r="CD279" i="5"/>
  <c r="CD1423" i="5"/>
  <c r="CD1421" i="5"/>
  <c r="CD952" i="5"/>
  <c r="CD1406" i="5"/>
  <c r="CD1189" i="5"/>
  <c r="CD1210" i="5"/>
  <c r="CD1113" i="5"/>
  <c r="CE1113" i="5" s="1"/>
  <c r="CD519" i="5"/>
  <c r="CD853" i="5"/>
  <c r="CD204" i="5"/>
  <c r="CE204" i="5" s="1"/>
  <c r="CD275" i="5"/>
  <c r="CD250" i="5"/>
  <c r="CE250" i="5" s="1"/>
  <c r="CD788" i="5"/>
  <c r="CD104" i="5"/>
  <c r="CD151" i="5"/>
  <c r="CD2304" i="5"/>
  <c r="CE2304" i="5" s="1"/>
  <c r="CD2028" i="5"/>
  <c r="CD1639" i="5"/>
  <c r="CD2087" i="5"/>
  <c r="CE2087" i="5" s="1"/>
  <c r="CD1763" i="5"/>
  <c r="CD2122" i="5"/>
  <c r="CD2409" i="5"/>
  <c r="CD2085" i="5"/>
  <c r="CD1833" i="5"/>
  <c r="CD1868" i="5"/>
  <c r="CD1705" i="5"/>
  <c r="CD2118" i="5"/>
  <c r="CD2177" i="5"/>
  <c r="CD2284" i="5"/>
  <c r="CD1924" i="5"/>
  <c r="CD2115" i="5"/>
  <c r="CE2115" i="5" s="1"/>
  <c r="CD1839" i="5"/>
  <c r="CD2270" i="5"/>
  <c r="CD1850" i="5"/>
  <c r="CD1752" i="5"/>
  <c r="CE1752" i="5" s="1"/>
  <c r="CD1398" i="5"/>
  <c r="CD1697" i="5"/>
  <c r="CE1697" i="5" s="1"/>
  <c r="CD928" i="5"/>
  <c r="CD1480" i="5"/>
  <c r="CD725" i="5"/>
  <c r="CD1191" i="5"/>
  <c r="CE1191" i="5" s="1"/>
  <c r="CD1598" i="5"/>
  <c r="CD1513" i="5"/>
  <c r="CD937" i="5"/>
  <c r="CD1007" i="5"/>
  <c r="CD1749" i="5"/>
  <c r="CD856" i="5"/>
  <c r="CD1352" i="5"/>
  <c r="CD891" i="5"/>
  <c r="CD734" i="5"/>
  <c r="CD838" i="5"/>
  <c r="CD573" i="5"/>
  <c r="CD895" i="5"/>
  <c r="CD1940" i="5"/>
  <c r="CD2008" i="5"/>
  <c r="CD1574" i="5"/>
  <c r="CD1944" i="5"/>
  <c r="CD2207" i="5"/>
  <c r="CD2456" i="5"/>
  <c r="CD1928" i="5"/>
  <c r="CD1999" i="5"/>
  <c r="CD2070" i="5"/>
  <c r="CD1853" i="5"/>
  <c r="CD2032" i="5"/>
  <c r="CE2032" i="5" s="1"/>
  <c r="CD2151" i="5"/>
  <c r="CD2198" i="5"/>
  <c r="CD2293" i="5"/>
  <c r="CE2293" i="5" s="1"/>
  <c r="CD1650" i="5"/>
  <c r="CD1334" i="5"/>
  <c r="CD1295" i="5"/>
  <c r="CD759" i="5"/>
  <c r="CD1375" i="5"/>
  <c r="CD2239" i="5"/>
  <c r="CD2030" i="5"/>
  <c r="CD1134" i="5"/>
  <c r="CD1361" i="5"/>
  <c r="CD1432" i="5"/>
  <c r="CD1347" i="5"/>
  <c r="CD1117" i="5"/>
  <c r="CD1332" i="5"/>
  <c r="CD64" i="5"/>
  <c r="CD268" i="5"/>
  <c r="CD545" i="5"/>
  <c r="CD760" i="5"/>
  <c r="CD677" i="5"/>
  <c r="CD555" i="5"/>
  <c r="CD171" i="5"/>
  <c r="CD290" i="5"/>
  <c r="CE290" i="5" s="1"/>
  <c r="CD576" i="5"/>
  <c r="CD336" i="5"/>
  <c r="CD96" i="5"/>
  <c r="CD719" i="5"/>
  <c r="CD119" i="5"/>
  <c r="CD202" i="5"/>
  <c r="CD34" i="5"/>
  <c r="CD537" i="5"/>
  <c r="CE537" i="5" s="1"/>
  <c r="CD237" i="5"/>
  <c r="CD69" i="5"/>
  <c r="CD272" i="5"/>
  <c r="CD80" i="5"/>
  <c r="CD115" i="5"/>
  <c r="CE115" i="5" s="1"/>
  <c r="CD282" i="5"/>
  <c r="CD54" i="5"/>
  <c r="CD2280" i="5"/>
  <c r="CD1531" i="5"/>
  <c r="CD2063" i="5"/>
  <c r="CD2434" i="5"/>
  <c r="CD1918" i="5"/>
  <c r="CE1918" i="5" s="1"/>
  <c r="CD2433" i="5"/>
  <c r="CE2433" i="5" s="1"/>
  <c r="CD2049" i="5"/>
  <c r="CD2000" i="5"/>
  <c r="CD1483" i="5"/>
  <c r="CD2287" i="5"/>
  <c r="CE2287" i="5" s="1"/>
  <c r="CD1795" i="5"/>
  <c r="CD1704" i="5"/>
  <c r="CD2273" i="5"/>
  <c r="CD1768" i="5"/>
  <c r="CD2391" i="5"/>
  <c r="CD1567" i="5"/>
  <c r="CD2210" i="5"/>
  <c r="CD1802" i="5"/>
  <c r="CE1802" i="5" s="1"/>
  <c r="CD1554" i="5"/>
  <c r="CD1266" i="5"/>
  <c r="CD1002" i="5"/>
  <c r="CD1553" i="5"/>
  <c r="CD1289" i="5"/>
  <c r="CD1025" i="5"/>
  <c r="CD1528" i="5"/>
  <c r="CD1264" i="5"/>
  <c r="CD1060" i="5"/>
  <c r="CD1647" i="5"/>
  <c r="CD1431" i="5"/>
  <c r="CD1214" i="5"/>
  <c r="CE1214" i="5" s="1"/>
  <c r="CD998" i="5"/>
  <c r="CD1465" i="5"/>
  <c r="CD1225" i="5"/>
  <c r="CE1225" i="5" s="1"/>
  <c r="CD1320" i="5"/>
  <c r="CD1080" i="5"/>
  <c r="CD701" i="5"/>
  <c r="CD1475" i="5"/>
  <c r="CD1211" i="5"/>
  <c r="CD484" i="5"/>
  <c r="CD1558" i="5"/>
  <c r="CD1282" i="5"/>
  <c r="CD1030" i="5"/>
  <c r="CD1593" i="5"/>
  <c r="CD1365" i="5"/>
  <c r="CD1125" i="5"/>
  <c r="CD688" i="5"/>
  <c r="CE688" i="5" s="1"/>
  <c r="CD1496" i="5"/>
  <c r="CD1220" i="5"/>
  <c r="CD944" i="5"/>
  <c r="CD663" i="5"/>
  <c r="CD255" i="5"/>
  <c r="CD410" i="5"/>
  <c r="CD757" i="5"/>
  <c r="CD529" i="5"/>
  <c r="CD720" i="5"/>
  <c r="CD396" i="5"/>
  <c r="CD671" i="5"/>
  <c r="CD239" i="5"/>
  <c r="CD502" i="5"/>
  <c r="CD885" i="5"/>
  <c r="CD644" i="5"/>
  <c r="CD667" i="5"/>
  <c r="CD307" i="5"/>
  <c r="CD426" i="5"/>
  <c r="CD377" i="5"/>
  <c r="CD206" i="5"/>
  <c r="CE206" i="5" s="1"/>
  <c r="CD2138" i="5"/>
  <c r="CD1385" i="5"/>
  <c r="CD1671" i="5"/>
  <c r="CD1298" i="5"/>
  <c r="CE1298" i="5" s="1"/>
  <c r="CD1093" i="5"/>
  <c r="CD1078" i="5"/>
  <c r="CD113" i="5"/>
  <c r="CD589" i="5"/>
  <c r="CD192" i="5"/>
  <c r="CD215" i="5"/>
  <c r="CD70" i="5"/>
  <c r="CE70" i="5" s="1"/>
  <c r="CD764" i="5"/>
  <c r="CD68" i="5"/>
  <c r="CD210" i="5"/>
  <c r="CD2016" i="5"/>
  <c r="CE2016" i="5" s="1"/>
  <c r="CD1243" i="5"/>
  <c r="CD1747" i="5"/>
  <c r="CD2002" i="5"/>
  <c r="CD2073" i="5"/>
  <c r="CD1809" i="5"/>
  <c r="CD2204" i="5"/>
  <c r="CD1844" i="5"/>
  <c r="CD2083" i="5"/>
  <c r="CD1471" i="5"/>
  <c r="CD2106" i="5"/>
  <c r="CD1782" i="5"/>
  <c r="CD2165" i="5"/>
  <c r="CD1889" i="5"/>
  <c r="CE1889" i="5" s="1"/>
  <c r="CD2260" i="5"/>
  <c r="CD1900" i="5"/>
  <c r="CD2103" i="5"/>
  <c r="CD1767" i="5"/>
  <c r="CD2258" i="5"/>
  <c r="CD1746" i="5"/>
  <c r="CD1110" i="5"/>
  <c r="CD840" i="5"/>
  <c r="CE840" i="5" s="1"/>
  <c r="CD1456" i="5"/>
  <c r="CD1695" i="5"/>
  <c r="CD1119" i="5"/>
  <c r="CE1119" i="5" s="1"/>
  <c r="CD1550" i="5"/>
  <c r="CE1550" i="5" s="1"/>
  <c r="CD1501" i="5"/>
  <c r="CD869" i="5"/>
  <c r="CD820" i="5"/>
  <c r="CD983" i="5"/>
  <c r="CD1462" i="5"/>
  <c r="CD1737" i="5"/>
  <c r="CE1737" i="5" s="1"/>
  <c r="CD1748" i="5"/>
  <c r="CD1244" i="5"/>
  <c r="CD867" i="5"/>
  <c r="CD710" i="5"/>
  <c r="CD648" i="5"/>
  <c r="CD261" i="5"/>
  <c r="CD859" i="5"/>
  <c r="CD2327" i="5"/>
  <c r="CD2251" i="5"/>
  <c r="CD2487" i="5"/>
  <c r="CD1379" i="5"/>
  <c r="CD1896" i="5"/>
  <c r="CE1896" i="5" s="1"/>
  <c r="CD2183" i="5"/>
  <c r="CE2183" i="5" s="1"/>
  <c r="CD2398" i="5"/>
  <c r="CD2062" i="5"/>
  <c r="CD2360" i="5"/>
  <c r="CD1892" i="5"/>
  <c r="CD1951" i="5"/>
  <c r="CE1951" i="5" s="1"/>
  <c r="CD1986" i="5"/>
  <c r="CD2428" i="5"/>
  <c r="CD1984" i="5"/>
  <c r="CD2139" i="5"/>
  <c r="CD2186" i="5"/>
  <c r="CD2281" i="5"/>
  <c r="CD1434" i="5"/>
  <c r="CD1070" i="5"/>
  <c r="CD874" i="5"/>
  <c r="CD244" i="5"/>
  <c r="CD101" i="5"/>
  <c r="CD2485" i="5"/>
  <c r="CD1086" i="5"/>
  <c r="CD1300" i="5"/>
  <c r="CD1275" i="5"/>
  <c r="CD1526" i="5"/>
  <c r="CD997" i="5"/>
  <c r="CD1104" i="5"/>
  <c r="CD125" i="5"/>
  <c r="CE125" i="5" s="1"/>
  <c r="CD329" i="5"/>
  <c r="CE329" i="5" s="1"/>
  <c r="CD544" i="5"/>
  <c r="CD533" i="5"/>
  <c r="CD531" i="5"/>
  <c r="CD159" i="5"/>
  <c r="CE159" i="5" s="1"/>
  <c r="CD794" i="5"/>
  <c r="CD50" i="5"/>
  <c r="CD481" i="5"/>
  <c r="CD217" i="5"/>
  <c r="CD564" i="5"/>
  <c r="CD324" i="5"/>
  <c r="CE324" i="5" s="1"/>
  <c r="CD84" i="5"/>
  <c r="CD707" i="5"/>
  <c r="CD538" i="5"/>
  <c r="CD190" i="5"/>
  <c r="CD22" i="5"/>
  <c r="CD525" i="5"/>
  <c r="CD548" i="5"/>
  <c r="CD248" i="5"/>
  <c r="CD56" i="5"/>
  <c r="CD619" i="5"/>
  <c r="CD295" i="5"/>
  <c r="CD546" i="5"/>
  <c r="CE546" i="5" s="1"/>
  <c r="CD42" i="5"/>
  <c r="CD2256" i="5"/>
  <c r="CD1099" i="5"/>
  <c r="CD2039" i="5"/>
  <c r="CD1870" i="5"/>
  <c r="CD2037" i="5"/>
  <c r="CD1063" i="5"/>
  <c r="CD2227" i="5"/>
  <c r="CE2227" i="5" s="1"/>
  <c r="CD1783" i="5"/>
  <c r="CD2418" i="5"/>
  <c r="CD1668" i="5"/>
  <c r="CD1667" i="5"/>
  <c r="CE1667" i="5" s="1"/>
  <c r="CD2152" i="5"/>
  <c r="CE2152" i="5" s="1"/>
  <c r="CD1756" i="5"/>
  <c r="CE1756" i="5" s="1"/>
  <c r="CD2379" i="5"/>
  <c r="CD2221" i="5"/>
  <c r="CD1691" i="5"/>
  <c r="CD1542" i="5"/>
  <c r="CE1542" i="5" s="1"/>
  <c r="CD1254" i="5"/>
  <c r="CD1541" i="5"/>
  <c r="CD1277" i="5"/>
  <c r="CD977" i="5"/>
  <c r="CD1252" i="5"/>
  <c r="CD1048" i="5"/>
  <c r="CE1048" i="5" s="1"/>
  <c r="CD1635" i="5"/>
  <c r="CE1635" i="5" s="1"/>
  <c r="CD1395" i="5"/>
  <c r="CD1107" i="5"/>
  <c r="CD220" i="5"/>
  <c r="CD1202" i="5"/>
  <c r="CE1202" i="5" s="1"/>
  <c r="CD974" i="5"/>
  <c r="CE974" i="5" s="1"/>
  <c r="CD1213" i="5"/>
  <c r="CD1284" i="5"/>
  <c r="CD1068" i="5"/>
  <c r="CD557" i="5"/>
  <c r="CD1439" i="5"/>
  <c r="CD412" i="5"/>
  <c r="CD1510" i="5"/>
  <c r="CD1258" i="5"/>
  <c r="CD1018" i="5"/>
  <c r="CD1545" i="5"/>
  <c r="CD1329" i="5"/>
  <c r="CD1101" i="5"/>
  <c r="CE1101" i="5" s="1"/>
  <c r="CD616" i="5"/>
  <c r="CD1472" i="5"/>
  <c r="CD1184" i="5"/>
  <c r="CD900" i="5"/>
  <c r="CD639" i="5"/>
  <c r="CD243" i="5"/>
  <c r="CD662" i="5"/>
  <c r="CD386" i="5"/>
  <c r="CD745" i="5"/>
  <c r="CD505" i="5"/>
  <c r="CD372" i="5"/>
  <c r="CD659" i="5"/>
  <c r="CD814" i="5"/>
  <c r="CD490" i="5"/>
  <c r="CD849" i="5"/>
  <c r="CD369" i="5"/>
  <c r="CD596" i="5"/>
  <c r="CD643" i="5"/>
  <c r="CD211" i="5"/>
  <c r="CD702" i="5"/>
  <c r="CE702" i="5" s="1"/>
  <c r="CD121" i="5"/>
  <c r="CD1822" i="5"/>
  <c r="CD1411" i="5"/>
  <c r="CD1373" i="5"/>
  <c r="CD1383" i="5"/>
  <c r="CD1286" i="5"/>
  <c r="CD1069" i="5"/>
  <c r="CD994" i="5"/>
  <c r="CD459" i="5"/>
  <c r="CD180" i="5"/>
  <c r="CD179" i="5"/>
  <c r="CE179" i="5" s="1"/>
  <c r="CD58" i="5"/>
  <c r="CD871" i="5"/>
  <c r="CD690" i="5"/>
  <c r="CD2268" i="5"/>
  <c r="CD2471" i="5"/>
  <c r="CD2015" i="5"/>
  <c r="CD1717" i="5"/>
  <c r="CD2373" i="5"/>
  <c r="CD2192" i="5"/>
  <c r="CD2023" i="5"/>
  <c r="CD1183" i="5"/>
  <c r="CE1183" i="5" s="1"/>
  <c r="CD2046" i="5"/>
  <c r="CD2153" i="5"/>
  <c r="CE2153" i="5" s="1"/>
  <c r="CD1865" i="5"/>
  <c r="CD2236" i="5"/>
  <c r="CD1888" i="5"/>
  <c r="CD2067" i="5"/>
  <c r="CE2067" i="5" s="1"/>
  <c r="CD1755" i="5"/>
  <c r="CD2246" i="5"/>
  <c r="CD1957" i="5"/>
  <c r="CD1722" i="5"/>
  <c r="CD1062" i="5"/>
  <c r="CD1649" i="5"/>
  <c r="CD1444" i="5"/>
  <c r="CD1683" i="5"/>
  <c r="CD1454" i="5"/>
  <c r="CD1369" i="5"/>
  <c r="CD773" i="5"/>
  <c r="CE773" i="5" s="1"/>
  <c r="CD1643" i="5"/>
  <c r="CD1390" i="5"/>
  <c r="CD1712" i="5"/>
  <c r="CD1208" i="5"/>
  <c r="CD855" i="5"/>
  <c r="CD674" i="5"/>
  <c r="CD923" i="5"/>
  <c r="CE923" i="5" s="1"/>
  <c r="CD730" i="5"/>
  <c r="CE730" i="5" s="1"/>
  <c r="CD860" i="5"/>
  <c r="CE860" i="5" s="1"/>
  <c r="CD823" i="5"/>
  <c r="CD2310" i="5"/>
  <c r="CD2450" i="5"/>
  <c r="CD1304" i="5"/>
  <c r="CD1872" i="5"/>
  <c r="CD2159" i="5"/>
  <c r="CD2362" i="5"/>
  <c r="CD2026" i="5"/>
  <c r="CD2336" i="5"/>
  <c r="CD1927" i="5"/>
  <c r="CE1927" i="5" s="1"/>
  <c r="CD1974" i="5"/>
  <c r="CD2416" i="5"/>
  <c r="CE2416" i="5" s="1"/>
  <c r="CD1912" i="5"/>
  <c r="CD2091" i="5"/>
  <c r="CD2174" i="5"/>
  <c r="CD2257" i="5"/>
  <c r="CE2257" i="5" s="1"/>
  <c r="CD1410" i="5"/>
  <c r="CD1270" i="5"/>
  <c r="CD802" i="5"/>
  <c r="CD2290" i="5"/>
  <c r="CD2466" i="5"/>
  <c r="CD2452" i="5"/>
  <c r="CE2452" i="5" s="1"/>
  <c r="CD2473" i="5"/>
  <c r="CD990" i="5"/>
  <c r="CE990" i="5" s="1"/>
  <c r="CD1253" i="5"/>
  <c r="CD1288" i="5"/>
  <c r="CD1131" i="5"/>
  <c r="CD1370" i="5"/>
  <c r="CD961" i="5"/>
  <c r="CD1092" i="5"/>
  <c r="CD1355" i="5"/>
  <c r="CD1690" i="5"/>
  <c r="CD257" i="5"/>
  <c r="CD389" i="5"/>
  <c r="CE389" i="5" s="1"/>
  <c r="CD135" i="5"/>
  <c r="CD782" i="5"/>
  <c r="CE782" i="5" s="1"/>
  <c r="CD254" i="5"/>
  <c r="CD38" i="5"/>
  <c r="CD457" i="5"/>
  <c r="CE457" i="5" s="1"/>
  <c r="CD181" i="5"/>
  <c r="CE181" i="5" s="1"/>
  <c r="CD552" i="5"/>
  <c r="CD72" i="5"/>
  <c r="CD599" i="5"/>
  <c r="CD71" i="5"/>
  <c r="CD178" i="5"/>
  <c r="CD10" i="5"/>
  <c r="CD189" i="5"/>
  <c r="CD33" i="5"/>
  <c r="CD536" i="5"/>
  <c r="CD236" i="5"/>
  <c r="CD44" i="5"/>
  <c r="CD271" i="5"/>
  <c r="CD91" i="5"/>
  <c r="CD534" i="5"/>
  <c r="CD30" i="5"/>
  <c r="CD2172" i="5"/>
  <c r="CD955" i="5"/>
  <c r="CD1979" i="5"/>
  <c r="CD2374" i="5"/>
  <c r="CE2374" i="5" s="1"/>
  <c r="CD1858" i="5"/>
  <c r="CD2337" i="5"/>
  <c r="CD2025" i="5"/>
  <c r="CD893" i="5"/>
  <c r="CE893" i="5" s="1"/>
  <c r="CD1880" i="5"/>
  <c r="CE1880" i="5" s="1"/>
  <c r="CD845" i="5"/>
  <c r="CD2167" i="5"/>
  <c r="CD1771" i="5"/>
  <c r="CD2322" i="5"/>
  <c r="CD1459" i="5"/>
  <c r="CD1591" i="5"/>
  <c r="CE1591" i="5" s="1"/>
  <c r="CD2044" i="5"/>
  <c r="CD1731" i="5"/>
  <c r="CD2175" i="5"/>
  <c r="CD1135" i="5"/>
  <c r="CD2114" i="5"/>
  <c r="CD2197" i="5"/>
  <c r="CD1399" i="5"/>
  <c r="CD1242" i="5"/>
  <c r="CD954" i="5"/>
  <c r="CD1265" i="5"/>
  <c r="CD888" i="5"/>
  <c r="CD1468" i="5"/>
  <c r="CD1228" i="5"/>
  <c r="CE1228" i="5" s="1"/>
  <c r="CD1036" i="5"/>
  <c r="CE1036" i="5" s="1"/>
  <c r="CD1623" i="5"/>
  <c r="CD1371" i="5"/>
  <c r="CD1095" i="5"/>
  <c r="CE1095" i="5" s="1"/>
  <c r="CD1730" i="5"/>
  <c r="CD1394" i="5"/>
  <c r="CD1190" i="5"/>
  <c r="CD1201" i="5"/>
  <c r="CD640" i="5"/>
  <c r="CD1272" i="5"/>
  <c r="CD1056" i="5"/>
  <c r="CD1655" i="5"/>
  <c r="CD1427" i="5"/>
  <c r="CD53" i="5"/>
  <c r="CE53" i="5" s="1"/>
  <c r="CD1246" i="5"/>
  <c r="CD1006" i="5"/>
  <c r="CD1533" i="5"/>
  <c r="CD1293" i="5"/>
  <c r="CD1065" i="5"/>
  <c r="CD472" i="5"/>
  <c r="CD1460" i="5"/>
  <c r="CD1160" i="5"/>
  <c r="CD852" i="5"/>
  <c r="CD721" i="5"/>
  <c r="CE721" i="5" s="1"/>
  <c r="CD696" i="5"/>
  <c r="CE696" i="5" s="1"/>
  <c r="CD778" i="5"/>
  <c r="CD31" i="5"/>
  <c r="CD402" i="5"/>
  <c r="CE402" i="5" s="1"/>
  <c r="CD89" i="5"/>
  <c r="CD227" i="5"/>
  <c r="CD1193" i="5"/>
  <c r="CD1311" i="5"/>
  <c r="CD1178" i="5"/>
  <c r="CD712" i="5"/>
  <c r="CD905" i="5"/>
  <c r="CD1316" i="5"/>
  <c r="CD265" i="5"/>
  <c r="CD60" i="5"/>
  <c r="CD143" i="5"/>
  <c r="CD897" i="5"/>
  <c r="CD524" i="5"/>
  <c r="CD799" i="5"/>
  <c r="CD1968" i="5"/>
  <c r="CD2447" i="5"/>
  <c r="CD1955" i="5"/>
  <c r="CD1906" i="5"/>
  <c r="CD2361" i="5"/>
  <c r="CD1743" i="5"/>
  <c r="CE1743" i="5" s="1"/>
  <c r="CD2011" i="5"/>
  <c r="CE2011" i="5" s="1"/>
  <c r="CD2394" i="5"/>
  <c r="CD2034" i="5"/>
  <c r="CD2441" i="5"/>
  <c r="CD2129" i="5"/>
  <c r="CD1841" i="5"/>
  <c r="CD2224" i="5"/>
  <c r="CD2043" i="5"/>
  <c r="CD1656" i="5"/>
  <c r="CD2150" i="5"/>
  <c r="CD1753" i="5"/>
  <c r="CD1921" i="5"/>
  <c r="CD1710" i="5"/>
  <c r="CD1050" i="5"/>
  <c r="CD1637" i="5"/>
  <c r="CD1732" i="5"/>
  <c r="CE1732" i="5" s="1"/>
  <c r="CD1408" i="5"/>
  <c r="CD1599" i="5"/>
  <c r="CD1011" i="5"/>
  <c r="CD1166" i="5"/>
  <c r="CD1357" i="5"/>
  <c r="CD1584" i="5"/>
  <c r="CE1584" i="5" s="1"/>
  <c r="CD1595" i="5"/>
  <c r="CE1595" i="5" s="1"/>
  <c r="CD935" i="5"/>
  <c r="CE935" i="5" s="1"/>
  <c r="CD1366" i="5"/>
  <c r="CE1366" i="5" s="1"/>
  <c r="CD1677" i="5"/>
  <c r="CD1688" i="5"/>
  <c r="CD843" i="5"/>
  <c r="CD899" i="5"/>
  <c r="CD848" i="5"/>
  <c r="CD2482" i="5"/>
  <c r="CD2298" i="5"/>
  <c r="CD2390" i="5"/>
  <c r="CD2364" i="5"/>
  <c r="CD1776" i="5"/>
  <c r="CE1776" i="5" s="1"/>
  <c r="CD2147" i="5"/>
  <c r="CE2147" i="5" s="1"/>
  <c r="CD2266" i="5"/>
  <c r="CE2266" i="5" s="1"/>
  <c r="CD1978" i="5"/>
  <c r="CD2479" i="5"/>
  <c r="CD1879" i="5"/>
  <c r="CD1866" i="5"/>
  <c r="CD2392" i="5"/>
  <c r="CD2367" i="5"/>
  <c r="CD2079" i="5"/>
  <c r="CD2042" i="5"/>
  <c r="CD2245" i="5"/>
  <c r="CE2245" i="5" s="1"/>
  <c r="CD1218" i="5"/>
  <c r="CE1218" i="5" s="1"/>
  <c r="CD1249" i="5"/>
  <c r="CD574" i="5"/>
  <c r="CE574" i="5" s="1"/>
  <c r="CD2038" i="5"/>
  <c r="CD2454" i="5"/>
  <c r="CD1780" i="5"/>
  <c r="CD942" i="5"/>
  <c r="CE942" i="5" s="1"/>
  <c r="CD1217" i="5"/>
  <c r="CD881" i="5"/>
  <c r="CD987" i="5"/>
  <c r="CD1310" i="5"/>
  <c r="CD496" i="5"/>
  <c r="CD1044" i="5"/>
  <c r="CD1343" i="5"/>
  <c r="CD1678" i="5"/>
  <c r="CE1678" i="5" s="1"/>
  <c r="CD124" i="5"/>
  <c r="CD185" i="5"/>
  <c r="CD317" i="5"/>
  <c r="CD435" i="5"/>
  <c r="CD123" i="5"/>
  <c r="CD230" i="5"/>
  <c r="CD445" i="5"/>
  <c r="CD169" i="5"/>
  <c r="CD540" i="5"/>
  <c r="CE540" i="5" s="1"/>
  <c r="CD252" i="5"/>
  <c r="CD48" i="5"/>
  <c r="CD563" i="5"/>
  <c r="CD359" i="5"/>
  <c r="CD478" i="5"/>
  <c r="CD861" i="5"/>
  <c r="CD477" i="5"/>
  <c r="CE477" i="5" s="1"/>
  <c r="CD177" i="5"/>
  <c r="CD21" i="5"/>
  <c r="CD200" i="5"/>
  <c r="CD559" i="5"/>
  <c r="CD259" i="5"/>
  <c r="CE259" i="5" s="1"/>
  <c r="CD79" i="5"/>
  <c r="CE79" i="5" s="1"/>
  <c r="CD174" i="5"/>
  <c r="CE174" i="5" s="1"/>
  <c r="CD18" i="5"/>
  <c r="CE18" i="5" s="1"/>
  <c r="CD2148" i="5"/>
  <c r="CD2483" i="5"/>
  <c r="CD1967" i="5"/>
  <c r="CD2350" i="5"/>
  <c r="CD1846" i="5"/>
  <c r="CD2325" i="5"/>
  <c r="CD1989" i="5"/>
  <c r="CD2432" i="5"/>
  <c r="CD1856" i="5"/>
  <c r="CD2467" i="5"/>
  <c r="CD2131" i="5"/>
  <c r="CE2131" i="5" s="1"/>
  <c r="CD1759" i="5"/>
  <c r="CD2286" i="5"/>
  <c r="CD1171" i="5"/>
  <c r="CD2117" i="5"/>
  <c r="CD1447" i="5"/>
  <c r="CD1996" i="5"/>
  <c r="CD1663" i="5"/>
  <c r="CD2127" i="5"/>
  <c r="CD2486" i="5"/>
  <c r="CD2078" i="5"/>
  <c r="CD1692" i="5"/>
  <c r="CE1692" i="5" s="1"/>
  <c r="CD2173" i="5"/>
  <c r="CD1255" i="5"/>
  <c r="CD1482" i="5"/>
  <c r="CD1230" i="5"/>
  <c r="CD929" i="5"/>
  <c r="CE929" i="5" s="1"/>
  <c r="CD1505" i="5"/>
  <c r="CD1229" i="5"/>
  <c r="CD664" i="5"/>
  <c r="CD1420" i="5"/>
  <c r="CD1323" i="5"/>
  <c r="CD1083" i="5"/>
  <c r="CD1382" i="5"/>
  <c r="CD938" i="5"/>
  <c r="CD1429" i="5"/>
  <c r="CE1429" i="5" s="1"/>
  <c r="CD1177" i="5"/>
  <c r="CD424" i="5"/>
  <c r="CD1260" i="5"/>
  <c r="CD1032" i="5"/>
  <c r="CE1032" i="5" s="1"/>
  <c r="CD1631" i="5"/>
  <c r="CD1139" i="5"/>
  <c r="CD1726" i="5"/>
  <c r="CD1474" i="5"/>
  <c r="CD946" i="5"/>
  <c r="CD1521" i="5"/>
  <c r="CD1257" i="5"/>
  <c r="CD1041" i="5"/>
  <c r="CE1041" i="5" s="1"/>
  <c r="CD328" i="5"/>
  <c r="CE328" i="5" s="1"/>
  <c r="CD1136" i="5"/>
  <c r="CD804" i="5"/>
  <c r="CD615" i="5"/>
  <c r="CE615" i="5" s="1"/>
  <c r="CD111" i="5"/>
  <c r="CD697" i="5"/>
  <c r="CE697" i="5" s="1"/>
  <c r="CD672" i="5"/>
  <c r="CD312" i="5"/>
  <c r="CD623" i="5"/>
  <c r="CE623" i="5" s="1"/>
  <c r="CD633" i="5"/>
  <c r="CE633" i="5" s="1"/>
  <c r="CD297" i="5"/>
  <c r="CE297" i="5" s="1"/>
  <c r="CD488" i="5"/>
  <c r="CD583" i="5"/>
  <c r="CD7" i="5"/>
  <c r="CE7" i="5" s="1"/>
  <c r="CD654" i="5"/>
  <c r="CE654" i="5" s="1"/>
  <c r="CD318" i="5"/>
  <c r="CD95" i="5"/>
  <c r="CD2457" i="5"/>
  <c r="CE2457" i="5" s="1"/>
  <c r="CD1001" i="5"/>
  <c r="CD1167" i="5"/>
  <c r="CD1010" i="5"/>
  <c r="CD568" i="5"/>
  <c r="CD1148" i="5"/>
  <c r="CD351" i="5"/>
  <c r="CD193" i="5"/>
  <c r="CD779" i="5"/>
  <c r="CD873" i="5"/>
  <c r="CD2196" i="5"/>
  <c r="CD1932" i="5"/>
  <c r="CD1907" i="5"/>
  <c r="CD1894" i="5"/>
  <c r="CD2349" i="5"/>
  <c r="CD1977" i="5"/>
  <c r="CD1715" i="5"/>
  <c r="CD2168" i="5"/>
  <c r="CE2168" i="5" s="1"/>
  <c r="CD1987" i="5"/>
  <c r="CD2358" i="5"/>
  <c r="CD2429" i="5"/>
  <c r="CD2069" i="5"/>
  <c r="CD1817" i="5"/>
  <c r="CE1817" i="5" s="1"/>
  <c r="CD2164" i="5"/>
  <c r="CD1816" i="5"/>
  <c r="CD2019" i="5"/>
  <c r="CD991" i="5"/>
  <c r="CD1651" i="5"/>
  <c r="CD1897" i="5"/>
  <c r="CE1897" i="5" s="1"/>
  <c r="CD1686" i="5"/>
  <c r="CD1026" i="5"/>
  <c r="CD1565" i="5"/>
  <c r="CD1696" i="5"/>
  <c r="CD1539" i="5"/>
  <c r="CD1130" i="5"/>
  <c r="CD1345" i="5"/>
  <c r="CD1572" i="5"/>
  <c r="CD1535" i="5"/>
  <c r="CD910" i="5"/>
  <c r="CD1162" i="5"/>
  <c r="CE1162" i="5" s="1"/>
  <c r="CD1581" i="5"/>
  <c r="CD1172" i="5"/>
  <c r="CD831" i="5"/>
  <c r="CD266" i="5"/>
  <c r="CE266" i="5" s="1"/>
  <c r="CD887" i="5"/>
  <c r="CD382" i="5"/>
  <c r="CD836" i="5"/>
  <c r="CD739" i="5"/>
  <c r="CD2314" i="5"/>
  <c r="CD2082" i="5"/>
  <c r="CD1826" i="5"/>
  <c r="CD2352" i="5"/>
  <c r="CD1751" i="5"/>
  <c r="CD2099" i="5"/>
  <c r="CD2218" i="5"/>
  <c r="CE2218" i="5" s="1"/>
  <c r="CD1954" i="5"/>
  <c r="CD2264" i="5"/>
  <c r="CD2443" i="5"/>
  <c r="CD1831" i="5"/>
  <c r="CD1758" i="5"/>
  <c r="CD2320" i="5"/>
  <c r="CE2320" i="5" s="1"/>
  <c r="CD2055" i="5"/>
  <c r="CD2018" i="5"/>
  <c r="CD2161" i="5"/>
  <c r="CD1033" i="5"/>
  <c r="CE1033" i="5" s="1"/>
  <c r="CD896" i="5"/>
  <c r="CD931" i="5"/>
  <c r="CE931" i="5" s="1"/>
  <c r="CD1291" i="5"/>
  <c r="CD1543" i="5"/>
  <c r="CD521" i="5"/>
  <c r="CD1109" i="5"/>
  <c r="CD785" i="5"/>
  <c r="CD880" i="5"/>
  <c r="CE880" i="5" s="1"/>
  <c r="CD950" i="5"/>
  <c r="CD352" i="5"/>
  <c r="CD996" i="5"/>
  <c r="CD1151" i="5"/>
  <c r="CD1534" i="5"/>
  <c r="CD52" i="5"/>
  <c r="CE52" i="5" s="1"/>
  <c r="CD41" i="5"/>
  <c r="CD112" i="5"/>
  <c r="CD411" i="5"/>
  <c r="CD99" i="5"/>
  <c r="CD722" i="5"/>
  <c r="CD182" i="5"/>
  <c r="CD793" i="5"/>
  <c r="CD397" i="5"/>
  <c r="CD157" i="5"/>
  <c r="CD516" i="5"/>
  <c r="CD240" i="5"/>
  <c r="CD36" i="5"/>
  <c r="CD551" i="5"/>
  <c r="CD347" i="5"/>
  <c r="CD35" i="5"/>
  <c r="CE35" i="5" s="1"/>
  <c r="CD466" i="5"/>
  <c r="CE466" i="5" s="1"/>
  <c r="CD154" i="5"/>
  <c r="CD789" i="5"/>
  <c r="CD429" i="5"/>
  <c r="CD165" i="5"/>
  <c r="CD920" i="5"/>
  <c r="CD416" i="5"/>
  <c r="CE416" i="5" s="1"/>
  <c r="CD188" i="5"/>
  <c r="CD20" i="5"/>
  <c r="CD547" i="5"/>
  <c r="CD235" i="5"/>
  <c r="CE235" i="5" s="1"/>
  <c r="CD67" i="5"/>
  <c r="CE67" i="5" s="1"/>
  <c r="CD474" i="5"/>
  <c r="CE474" i="5" s="1"/>
  <c r="CD162" i="5"/>
  <c r="CD2124" i="5"/>
  <c r="CD2459" i="5"/>
  <c r="CD2338" i="5"/>
  <c r="CD1810" i="5"/>
  <c r="CD2289" i="5"/>
  <c r="CD1929" i="5"/>
  <c r="CD2420" i="5"/>
  <c r="CD1832" i="5"/>
  <c r="CD2455" i="5"/>
  <c r="CD2095" i="5"/>
  <c r="CD1740" i="5"/>
  <c r="CE1740" i="5" s="1"/>
  <c r="CD1027" i="5"/>
  <c r="CD2033" i="5"/>
  <c r="CD1579" i="5"/>
  <c r="CD2414" i="5"/>
  <c r="CD2054" i="5"/>
  <c r="CD1555" i="5"/>
  <c r="CE1555" i="5" s="1"/>
  <c r="CD2113" i="5"/>
  <c r="CD1470" i="5"/>
  <c r="CD1194" i="5"/>
  <c r="CD1493" i="5"/>
  <c r="CD1205" i="5"/>
  <c r="CD1192" i="5"/>
  <c r="CD1587" i="5"/>
  <c r="CD1299" i="5"/>
  <c r="CE1299" i="5" s="1"/>
  <c r="CD1047" i="5"/>
  <c r="CD1670" i="5"/>
  <c r="CD1142" i="5"/>
  <c r="CD1417" i="5"/>
  <c r="CD1165" i="5"/>
  <c r="CD1596" i="5"/>
  <c r="CD1248" i="5"/>
  <c r="CD1607" i="5"/>
  <c r="CD1319" i="5"/>
  <c r="CE1319" i="5" s="1"/>
  <c r="CD1103" i="5"/>
  <c r="CD1702" i="5"/>
  <c r="CD1450" i="5"/>
  <c r="CD1186" i="5"/>
  <c r="CD689" i="5"/>
  <c r="CD1509" i="5"/>
  <c r="CD1245" i="5"/>
  <c r="CE1245" i="5" s="1"/>
  <c r="CD1017" i="5"/>
  <c r="CD1724" i="5"/>
  <c r="CE1724" i="5" s="1"/>
  <c r="CD1400" i="5"/>
  <c r="CE1400" i="5" s="1"/>
  <c r="CD1112" i="5"/>
  <c r="CD461" i="5"/>
  <c r="CE461" i="5" s="1"/>
  <c r="CD15" i="5"/>
  <c r="CD626" i="5"/>
  <c r="CD302" i="5"/>
  <c r="CD685" i="5"/>
  <c r="CD421" i="5"/>
  <c r="CD636" i="5"/>
  <c r="CD300" i="5"/>
  <c r="CD694" i="5"/>
  <c r="CD430" i="5"/>
  <c r="CD621" i="5"/>
  <c r="CE621" i="5" s="1"/>
  <c r="CD476" i="5"/>
  <c r="CD930" i="5"/>
  <c r="CD642" i="5"/>
  <c r="CD258" i="5"/>
  <c r="CD951" i="5"/>
  <c r="CE951" i="5" s="1"/>
  <c r="CD322" i="5"/>
  <c r="CD792" i="5"/>
  <c r="CD1155" i="5"/>
  <c r="CD986" i="5"/>
  <c r="CD209" i="5"/>
  <c r="CD473" i="5"/>
  <c r="CD1052" i="5"/>
  <c r="CE1052" i="5" s="1"/>
  <c r="CD315" i="5"/>
  <c r="CD194" i="5"/>
  <c r="CD109" i="5"/>
  <c r="CD83" i="5"/>
  <c r="CD801" i="5"/>
  <c r="CE801" i="5" s="1"/>
  <c r="CD500" i="5"/>
  <c r="CD727" i="5"/>
  <c r="CD450" i="5"/>
  <c r="CD2184" i="5"/>
  <c r="CD2267" i="5"/>
  <c r="CD1895" i="5"/>
  <c r="CD2301" i="5"/>
  <c r="CD1965" i="5"/>
  <c r="CD1620" i="5"/>
  <c r="CE1620" i="5" s="1"/>
  <c r="CD2156" i="5"/>
  <c r="CD2346" i="5"/>
  <c r="CD1962" i="5"/>
  <c r="CE1962" i="5" s="1"/>
  <c r="CD2417" i="5"/>
  <c r="CE2417" i="5" s="1"/>
  <c r="CD2045" i="5"/>
  <c r="CD1793" i="5"/>
  <c r="CD2116" i="5"/>
  <c r="CE2116" i="5" s="1"/>
  <c r="CD1699" i="5"/>
  <c r="CD1995" i="5"/>
  <c r="CE1995" i="5" s="1"/>
  <c r="CD2474" i="5"/>
  <c r="CD2102" i="5"/>
  <c r="CE2102" i="5" s="1"/>
  <c r="CD1123" i="5"/>
  <c r="CD1885" i="5"/>
  <c r="CD1638" i="5"/>
  <c r="CD1014" i="5"/>
  <c r="CE1014" i="5" s="1"/>
  <c r="CD1241" i="5"/>
  <c r="CD1672" i="5"/>
  <c r="CD1527" i="5"/>
  <c r="CD939" i="5"/>
  <c r="CD1094" i="5"/>
  <c r="CD1333" i="5"/>
  <c r="CD1548" i="5"/>
  <c r="CD1463" i="5"/>
  <c r="CD864" i="5"/>
  <c r="CD1042" i="5"/>
  <c r="CD1569" i="5"/>
  <c r="CD1652" i="5"/>
  <c r="CD1124" i="5"/>
  <c r="CD807" i="5"/>
  <c r="CD901" i="5"/>
  <c r="CD851" i="5"/>
  <c r="CE851" i="5" s="1"/>
  <c r="CD921" i="5"/>
  <c r="CD824" i="5"/>
  <c r="CD703" i="5"/>
  <c r="CD1902" i="5"/>
  <c r="CD2316" i="5"/>
  <c r="CD2075" i="5"/>
  <c r="CD2421" i="5"/>
  <c r="CD2120" i="5"/>
  <c r="CD2382" i="5"/>
  <c r="CD2369" i="5"/>
  <c r="CD2272" i="5"/>
  <c r="CD2307" i="5"/>
  <c r="CD2149" i="5"/>
  <c r="CD1037" i="5"/>
  <c r="CE1037" i="5" s="1"/>
  <c r="CD1560" i="5"/>
  <c r="CD2460" i="5"/>
  <c r="CE2460" i="5" s="1"/>
  <c r="CD1761" i="5"/>
  <c r="CD2202" i="5"/>
  <c r="CD1003" i="5"/>
  <c r="CD967" i="5"/>
  <c r="CD449" i="5"/>
  <c r="CD1061" i="5"/>
  <c r="CD581" i="5"/>
  <c r="CD508" i="5"/>
  <c r="CE508" i="5" s="1"/>
  <c r="CD780" i="5"/>
  <c r="CD984" i="5"/>
  <c r="CE984" i="5" s="1"/>
  <c r="CD1127" i="5"/>
  <c r="CD1402" i="5"/>
  <c r="CD1701" i="5"/>
  <c r="CD1628" i="5"/>
  <c r="CD879" i="5"/>
  <c r="CD554" i="5"/>
  <c r="CD385" i="5"/>
  <c r="CD145" i="5"/>
  <c r="CD492" i="5"/>
  <c r="CD216" i="5"/>
  <c r="CE216" i="5" s="1"/>
  <c r="CD24" i="5"/>
  <c r="CD527" i="5"/>
  <c r="CD299" i="5"/>
  <c r="CE299" i="5" s="1"/>
  <c r="CD23" i="5"/>
  <c r="CD394" i="5"/>
  <c r="CE394" i="5" s="1"/>
  <c r="CD142" i="5"/>
  <c r="CD393" i="5"/>
  <c r="CD153" i="5"/>
  <c r="CE153" i="5" s="1"/>
  <c r="CD404" i="5"/>
  <c r="CD8" i="5"/>
  <c r="CD535" i="5"/>
  <c r="CD223" i="5"/>
  <c r="CE223" i="5" s="1"/>
  <c r="CD462" i="5"/>
  <c r="CD2484" i="5"/>
  <c r="CD1992" i="5"/>
  <c r="CD2423" i="5"/>
  <c r="CD1835" i="5"/>
  <c r="CD1786" i="5"/>
  <c r="CD1905" i="5"/>
  <c r="CD2408" i="5"/>
  <c r="CD1820" i="5"/>
  <c r="CD2419" i="5"/>
  <c r="CD2071" i="5"/>
  <c r="CD1669" i="5"/>
  <c r="CD2226" i="5"/>
  <c r="CD2477" i="5"/>
  <c r="CD1925" i="5"/>
  <c r="CD1015" i="5"/>
  <c r="CD1948" i="5"/>
  <c r="CE1948" i="5" s="1"/>
  <c r="CD1435" i="5"/>
  <c r="CD1971" i="5"/>
  <c r="CD2402" i="5"/>
  <c r="CD2006" i="5"/>
  <c r="CD1267" i="5"/>
  <c r="CD2101" i="5"/>
  <c r="CD1698" i="5"/>
  <c r="CD1458" i="5"/>
  <c r="CD1182" i="5"/>
  <c r="CE1182" i="5" s="1"/>
  <c r="CD796" i="5"/>
  <c r="CD1481" i="5"/>
  <c r="CD1157" i="5"/>
  <c r="CD1744" i="5"/>
  <c r="CD1384" i="5"/>
  <c r="CD1180" i="5"/>
  <c r="CD964" i="5"/>
  <c r="CD1575" i="5"/>
  <c r="CD1035" i="5"/>
  <c r="CD641" i="5"/>
  <c r="CE641" i="5" s="1"/>
  <c r="CD1393" i="5"/>
  <c r="CD1129" i="5"/>
  <c r="CD1224" i="5"/>
  <c r="CD1008" i="5"/>
  <c r="CD1583" i="5"/>
  <c r="CD1307" i="5"/>
  <c r="CD1091" i="5"/>
  <c r="CD1666" i="5"/>
  <c r="CD1438" i="5"/>
  <c r="CD1174" i="5"/>
  <c r="CD617" i="5"/>
  <c r="CD1473" i="5"/>
  <c r="CD1664" i="5"/>
  <c r="CD1388" i="5"/>
  <c r="CD1100" i="5"/>
  <c r="CD245" i="5"/>
  <c r="CD495" i="5"/>
  <c r="CD902" i="5"/>
  <c r="CD614" i="5"/>
  <c r="CD673" i="5"/>
  <c r="CD409" i="5"/>
  <c r="CD624" i="5"/>
  <c r="CD288" i="5"/>
  <c r="CD575" i="5"/>
  <c r="CD670" i="5"/>
  <c r="CD585" i="5"/>
  <c r="CD45" i="5"/>
  <c r="CD368" i="5"/>
  <c r="CD882" i="5"/>
  <c r="CE882" i="5" s="1"/>
  <c r="CD630" i="5"/>
  <c r="CD246" i="5"/>
  <c r="CD1754" i="5"/>
  <c r="CE1754" i="5" s="1"/>
  <c r="CD753" i="5"/>
  <c r="CD1603" i="5"/>
  <c r="CD1206" i="5"/>
  <c r="CD592" i="5"/>
  <c r="CD1071" i="5"/>
  <c r="CD876" i="5"/>
  <c r="CD401" i="5"/>
  <c r="CD97" i="5"/>
  <c r="CD777" i="5"/>
  <c r="CE777" i="5" s="1"/>
  <c r="CD464" i="5"/>
  <c r="CD607" i="5"/>
  <c r="CD1908" i="5"/>
  <c r="CD2243" i="5"/>
  <c r="CD1883" i="5"/>
  <c r="CD2410" i="5"/>
  <c r="CD1834" i="5"/>
  <c r="CD2277" i="5"/>
  <c r="CD1953" i="5"/>
  <c r="CD2444" i="5"/>
  <c r="CD2144" i="5"/>
  <c r="CD2347" i="5"/>
  <c r="CD1963" i="5"/>
  <c r="CD2334" i="5"/>
  <c r="CD1950" i="5"/>
  <c r="CD2393" i="5"/>
  <c r="CD2009" i="5"/>
  <c r="CD2355" i="5"/>
  <c r="CD1983" i="5"/>
  <c r="CD2462" i="5"/>
  <c r="CD2090" i="5"/>
  <c r="CD2425" i="5"/>
  <c r="CD1873" i="5"/>
  <c r="CD1602" i="5"/>
  <c r="CD978" i="5"/>
  <c r="CD1660" i="5"/>
  <c r="CD1168" i="5"/>
  <c r="CD1503" i="5"/>
  <c r="CD832" i="5"/>
  <c r="CD1657" i="5"/>
  <c r="CD1273" i="5"/>
  <c r="CE1273" i="5" s="1"/>
  <c r="CD1536" i="5"/>
  <c r="CD1391" i="5"/>
  <c r="CD1750" i="5"/>
  <c r="CE1750" i="5" s="1"/>
  <c r="CD982" i="5"/>
  <c r="CD795" i="5"/>
  <c r="CD889" i="5"/>
  <c r="CE889" i="5" s="1"/>
  <c r="CD837" i="5"/>
  <c r="CD800" i="5"/>
  <c r="CD283" i="5"/>
  <c r="CD2230" i="5"/>
  <c r="CD1890" i="5"/>
  <c r="CD2329" i="5"/>
  <c r="CD2220" i="5"/>
  <c r="CD2387" i="5"/>
  <c r="CD2027" i="5"/>
  <c r="CD2170" i="5"/>
  <c r="CE2170" i="5" s="1"/>
  <c r="CD2313" i="5"/>
  <c r="CE2313" i="5" s="1"/>
  <c r="CD2108" i="5"/>
  <c r="CD2275" i="5"/>
  <c r="CD2370" i="5"/>
  <c r="CD2357" i="5"/>
  <c r="CD2200" i="5"/>
  <c r="CD2137" i="5"/>
  <c r="CD965" i="5"/>
  <c r="CD1152" i="5"/>
  <c r="CE1152" i="5" s="1"/>
  <c r="CD1029" i="5"/>
  <c r="CD2412" i="5"/>
  <c r="CD2094" i="5"/>
  <c r="CD2451" i="5"/>
  <c r="CD388" i="5"/>
  <c r="CE388" i="5" s="1"/>
  <c r="CD233" i="5"/>
  <c r="CD953" i="5"/>
  <c r="CD292" i="5"/>
  <c r="CD569" i="5"/>
  <c r="CD65" i="5"/>
  <c r="CE65" i="5" s="1"/>
  <c r="CD629" i="5"/>
  <c r="CD1067" i="5"/>
  <c r="CD1330" i="5"/>
  <c r="CE1330" i="5" s="1"/>
  <c r="CD1341" i="5"/>
  <c r="CE1341" i="5" s="1"/>
  <c r="CD819" i="5"/>
  <c r="CD375" i="5"/>
  <c r="CD63" i="5"/>
  <c r="CD542" i="5"/>
  <c r="CD146" i="5"/>
  <c r="CD709" i="5"/>
  <c r="CD373" i="5"/>
  <c r="CD133" i="5"/>
  <c r="CD168" i="5"/>
  <c r="CD515" i="5"/>
  <c r="CD263" i="5"/>
  <c r="CD11" i="5"/>
  <c r="CD358" i="5"/>
  <c r="CE358" i="5" s="1"/>
  <c r="CD357" i="5"/>
  <c r="CE357" i="5" s="1"/>
  <c r="CD884" i="5"/>
  <c r="CD164" i="5"/>
  <c r="CD523" i="5"/>
  <c r="CD43" i="5"/>
  <c r="CD2448" i="5"/>
  <c r="CD1956" i="5"/>
  <c r="CE1956" i="5" s="1"/>
  <c r="CD2399" i="5"/>
  <c r="CD1823" i="5"/>
  <c r="CD2182" i="5"/>
  <c r="CD1745" i="5"/>
  <c r="CD2205" i="5"/>
  <c r="CE2205" i="5" s="1"/>
  <c r="CD1893" i="5"/>
  <c r="CD2396" i="5"/>
  <c r="CE2396" i="5" s="1"/>
  <c r="CD1784" i="5"/>
  <c r="CD2395" i="5"/>
  <c r="CD2059" i="5"/>
  <c r="CD1608" i="5"/>
  <c r="CD2058" i="5"/>
  <c r="CD2465" i="5"/>
  <c r="CD1901" i="5"/>
  <c r="CD2464" i="5"/>
  <c r="CD1864" i="5"/>
  <c r="CD1147" i="5"/>
  <c r="CE1147" i="5" s="1"/>
  <c r="CD1994" i="5"/>
  <c r="CD2461" i="5"/>
  <c r="CD2089" i="5"/>
  <c r="CD1674" i="5"/>
  <c r="CD1374" i="5"/>
  <c r="CD1158" i="5"/>
  <c r="CD1469" i="5"/>
  <c r="CE1469" i="5" s="1"/>
  <c r="CD1145" i="5"/>
  <c r="CD1372" i="5"/>
  <c r="CD1156" i="5"/>
  <c r="CD1563" i="5"/>
  <c r="CD1263" i="5"/>
  <c r="CD1023" i="5"/>
  <c r="CD1586" i="5"/>
  <c r="CD1322" i="5"/>
  <c r="CD425" i="5"/>
  <c r="CE425" i="5" s="1"/>
  <c r="CD1381" i="5"/>
  <c r="CD1105" i="5"/>
  <c r="CD1464" i="5"/>
  <c r="CE1464" i="5" s="1"/>
  <c r="CD1212" i="5"/>
  <c r="CE1212" i="5" s="1"/>
  <c r="CD972" i="5"/>
  <c r="CD1283" i="5"/>
  <c r="CD1079" i="5"/>
  <c r="CD1654" i="5"/>
  <c r="CE1654" i="5" s="1"/>
  <c r="CD1426" i="5"/>
  <c r="CD1126" i="5"/>
  <c r="CD1725" i="5"/>
  <c r="CD1461" i="5"/>
  <c r="CE1461" i="5" s="1"/>
  <c r="CD1221" i="5"/>
  <c r="CD993" i="5"/>
  <c r="CD1616" i="5"/>
  <c r="CD1364" i="5"/>
  <c r="CD1064" i="5"/>
  <c r="CD890" i="5"/>
  <c r="CD578" i="5"/>
  <c r="CD218" i="5"/>
  <c r="CD661" i="5"/>
  <c r="CD337" i="5"/>
  <c r="CD612" i="5"/>
  <c r="CD646" i="5"/>
  <c r="CD370" i="5"/>
  <c r="CD501" i="5"/>
  <c r="CD332" i="5"/>
  <c r="CD439" i="5"/>
  <c r="CD846" i="5"/>
  <c r="CD618" i="5"/>
  <c r="CD222" i="5"/>
  <c r="CD828" i="5"/>
  <c r="CD645" i="5"/>
  <c r="CE645" i="5" s="1"/>
  <c r="CD2261" i="5"/>
  <c r="CD784" i="5"/>
  <c r="CD497" i="5"/>
  <c r="CD1392" i="5"/>
  <c r="CD196" i="5"/>
  <c r="CD147" i="5"/>
  <c r="CD86" i="5"/>
  <c r="CD695" i="5"/>
  <c r="CE695" i="5" s="1"/>
  <c r="CD886" i="5"/>
  <c r="CD681" i="5"/>
  <c r="CD452" i="5"/>
  <c r="CD571" i="5"/>
  <c r="CD198" i="5"/>
  <c r="CD2458" i="5"/>
  <c r="CD2490" i="5"/>
  <c r="CE814" i="5"/>
  <c r="CE794" i="5"/>
  <c r="CE1397" i="5"/>
  <c r="CE74" i="5"/>
  <c r="CE739" i="5"/>
  <c r="CE1554" i="5"/>
  <c r="CE1805" i="5"/>
  <c r="CE220" i="5"/>
  <c r="CE2160" i="5"/>
  <c r="CE2426" i="5"/>
  <c r="CE1798" i="5"/>
  <c r="CE1465" i="5"/>
  <c r="CE1256" i="5"/>
  <c r="CE1456" i="5"/>
  <c r="CE555" i="5"/>
  <c r="CE1588" i="5"/>
  <c r="CE506" i="5"/>
  <c r="CE431" i="5"/>
  <c r="CE2034" i="5"/>
  <c r="CE1246" i="5"/>
  <c r="CE1371" i="5"/>
  <c r="CE2114" i="5"/>
  <c r="CE1931" i="5"/>
  <c r="CE2432" i="5"/>
  <c r="CE1451" i="5"/>
  <c r="CE1924" i="5"/>
  <c r="CE2450" i="5"/>
  <c r="CE1942" i="5"/>
  <c r="CE2310" i="5"/>
  <c r="CE1940" i="5"/>
  <c r="CE2305" i="5"/>
  <c r="CE69" i="5"/>
  <c r="CE1795" i="5"/>
  <c r="CE1338" i="5"/>
  <c r="CE76" i="5"/>
  <c r="CE2061" i="5"/>
  <c r="CE2445" i="5"/>
  <c r="CE2463" i="5"/>
  <c r="CE2455" i="5"/>
  <c r="CE2454" i="5"/>
  <c r="CE2136" i="5"/>
  <c r="CE2070" i="5"/>
  <c r="CE28" i="5"/>
  <c r="CE538" i="5"/>
  <c r="CE872" i="5"/>
  <c r="CE1577" i="5"/>
  <c r="CE1125" i="5"/>
  <c r="CE2429" i="5"/>
  <c r="CE904" i="5"/>
  <c r="CE162" i="5"/>
  <c r="CE2003" i="5"/>
  <c r="CE37" i="5"/>
  <c r="CE1436" i="5"/>
  <c r="CE1978" i="5"/>
  <c r="CE2333" i="5"/>
  <c r="CE1598" i="5"/>
  <c r="CE786" i="5"/>
  <c r="CE1614" i="5"/>
  <c r="CE1599" i="5"/>
  <c r="CE1018" i="5"/>
  <c r="CE1289" i="5"/>
  <c r="CE1045" i="5"/>
  <c r="CE1385" i="5"/>
  <c r="CE980" i="5"/>
  <c r="CE845" i="5"/>
  <c r="CE336" i="5"/>
  <c r="CE1077" i="5"/>
  <c r="CE1003" i="5"/>
  <c r="CE1230" i="5"/>
  <c r="CE2088" i="5"/>
  <c r="CE2219" i="5"/>
  <c r="CE1613" i="5"/>
  <c r="CE2221" i="5"/>
  <c r="CE2179" i="5"/>
  <c r="CE1691" i="5"/>
  <c r="CE1961" i="5"/>
  <c r="CE915" i="5"/>
  <c r="CE38" i="5"/>
  <c r="CE339" i="5"/>
  <c r="CE1891" i="5"/>
  <c r="CE603" i="5"/>
  <c r="CE2255" i="5"/>
  <c r="CE2365" i="5"/>
  <c r="CE873" i="5"/>
  <c r="CE985" i="5"/>
  <c r="CE549" i="5"/>
  <c r="CE227" i="5"/>
  <c r="CE2014" i="5"/>
  <c r="CE1954" i="5"/>
  <c r="CE1818" i="5"/>
  <c r="CE2424" i="5"/>
  <c r="CE121" i="5"/>
  <c r="CE1153" i="5"/>
  <c r="CE2015" i="5"/>
  <c r="CE616" i="5"/>
  <c r="CE1986" i="5"/>
  <c r="CE879" i="5"/>
  <c r="CE241" i="5"/>
  <c r="CE699" i="5"/>
  <c r="CE2259" i="5"/>
  <c r="CE619" i="5"/>
  <c r="CE2076" i="5"/>
  <c r="CE2321" i="5"/>
  <c r="CE999" i="5"/>
  <c r="CE1842" i="5"/>
  <c r="CE1638" i="5"/>
  <c r="CE1770" i="5"/>
  <c r="CE676" i="5"/>
  <c r="CE1781" i="5"/>
  <c r="CE653" i="5"/>
  <c r="CE1693" i="5"/>
  <c r="CE60" i="5"/>
  <c r="CE293" i="5"/>
  <c r="CE347" i="5"/>
  <c r="CE1131" i="5"/>
  <c r="CE1637" i="5"/>
  <c r="CE952" i="5"/>
  <c r="CE1648" i="5"/>
  <c r="CE1016" i="5"/>
  <c r="CE258" i="5"/>
  <c r="CE742" i="5"/>
  <c r="CE1262" i="5"/>
  <c r="CE2098" i="5"/>
  <c r="CE2236" i="5"/>
  <c r="CE2317" i="5"/>
  <c r="CE2111" i="5"/>
  <c r="CE722" i="5"/>
  <c r="CE2273" i="5"/>
  <c r="CE813" i="5"/>
  <c r="CE870" i="5"/>
  <c r="CE1276" i="5"/>
  <c r="CE683" i="5"/>
  <c r="CE905" i="5"/>
  <c r="CE186" i="5"/>
  <c r="CE1411" i="5"/>
  <c r="CE1706" i="5"/>
  <c r="CE480" i="5"/>
  <c r="CE78" i="5"/>
  <c r="CE1006" i="5"/>
  <c r="CE1410" i="5"/>
  <c r="CE503" i="5"/>
  <c r="CE359" i="5"/>
  <c r="CE2122" i="5"/>
  <c r="CE81" i="5"/>
  <c r="CE1477" i="5"/>
  <c r="CE1200" i="5"/>
  <c r="CE2030" i="5"/>
  <c r="CE1209" i="5"/>
  <c r="CE1514" i="5"/>
  <c r="CE687" i="5"/>
  <c r="CE1965" i="5"/>
  <c r="CE134" i="5"/>
  <c r="CE1800" i="5"/>
  <c r="CE716" i="5"/>
  <c r="CE2049" i="5"/>
  <c r="CE732" i="5"/>
  <c r="CE1621" i="5"/>
  <c r="CE2332" i="5"/>
  <c r="CE361" i="5"/>
  <c r="CE1665" i="5"/>
  <c r="CE1709" i="5"/>
  <c r="CE1324" i="5"/>
  <c r="CE1336" i="5"/>
  <c r="CE190" i="5"/>
  <c r="CE757" i="5"/>
  <c r="CE139" i="5"/>
  <c r="CE713" i="5"/>
  <c r="CE1293" i="5"/>
  <c r="CE1828" i="5"/>
  <c r="CE2346" i="5"/>
  <c r="CE778" i="5"/>
  <c r="CE907" i="5"/>
  <c r="CE601" i="5"/>
  <c r="CE411" i="5"/>
  <c r="CE2386" i="5"/>
  <c r="CE91" i="5"/>
  <c r="CE1001" i="5"/>
  <c r="CE80" i="5"/>
  <c r="CE958" i="5"/>
  <c r="CE225" i="5"/>
  <c r="CE838" i="5"/>
  <c r="CE344" i="5"/>
  <c r="CE476" i="5"/>
  <c r="CE232" i="5"/>
  <c r="CE669" i="5"/>
  <c r="CE906" i="5"/>
  <c r="CE1266" i="5"/>
  <c r="CE1695" i="5"/>
  <c r="CE2402" i="5"/>
  <c r="CE875" i="5"/>
  <c r="CE377" i="5"/>
  <c r="CE1063" i="5"/>
  <c r="CE1326" i="5"/>
  <c r="CE1291" i="5"/>
  <c r="CE1399" i="5"/>
  <c r="CE1872" i="5"/>
  <c r="CE22" i="5"/>
  <c r="CE349" i="5"/>
  <c r="CE1253" i="5"/>
  <c r="CE1852" i="5"/>
  <c r="CE2062" i="5"/>
  <c r="CE1127" i="5"/>
  <c r="CE690" i="5"/>
  <c r="CE1682" i="5"/>
  <c r="CE648" i="5"/>
  <c r="CE152" i="5"/>
  <c r="CE1845" i="5"/>
  <c r="CE1916" i="5"/>
  <c r="CE2189" i="5"/>
  <c r="CE149" i="5"/>
  <c r="CE1296" i="5"/>
  <c r="CE1238" i="5"/>
  <c r="CE644" i="5"/>
  <c r="CE143" i="5"/>
  <c r="BO184" i="1"/>
  <c r="BO11" i="1"/>
  <c r="BO23" i="1"/>
  <c r="BO107" i="1"/>
  <c r="BO6" i="1"/>
  <c r="BO238" i="1"/>
  <c r="BO240" i="1"/>
  <c r="BW2" i="1" l="1"/>
  <c r="BY2" i="1" s="1"/>
  <c r="BU6" i="1"/>
  <c r="BX6" i="1" s="1"/>
  <c r="BU107" i="1"/>
  <c r="BX107" i="1" s="1"/>
  <c r="BU23" i="1"/>
  <c r="BX23" i="1" s="1"/>
  <c r="BU11" i="1"/>
  <c r="BX11" i="1" s="1"/>
  <c r="BU184" i="1"/>
  <c r="BX184" i="1" s="1"/>
  <c r="BU238" i="1"/>
  <c r="BX238" i="1" s="1"/>
  <c r="BU240" i="1"/>
  <c r="BX240" i="1" s="1"/>
  <c r="CC2" i="5"/>
  <c r="CD2" i="5" s="1"/>
  <c r="CE2" i="5" s="1"/>
  <c r="CG2" i="5" s="1"/>
  <c r="CE1221" i="5"/>
  <c r="CG1221" i="5" s="1"/>
  <c r="CE1374" i="5"/>
  <c r="CG1374" i="5" s="1"/>
  <c r="CE292" i="5"/>
  <c r="CG292" i="5" s="1"/>
  <c r="CE2357" i="5"/>
  <c r="CG2357" i="5" s="1"/>
  <c r="CE1503" i="5"/>
  <c r="CG1503" i="5" s="1"/>
  <c r="CE2490" i="5"/>
  <c r="CG2490" i="5" s="1"/>
  <c r="CG1461" i="5"/>
  <c r="CG425" i="5"/>
  <c r="CE1674" i="5"/>
  <c r="CG1674" i="5" s="1"/>
  <c r="CE523" i="5"/>
  <c r="CG523" i="5" s="1"/>
  <c r="CE11" i="5"/>
  <c r="CG11" i="5" s="1"/>
  <c r="CG1341" i="5"/>
  <c r="CG1750" i="5"/>
  <c r="CE45" i="5"/>
  <c r="CG45" i="5" s="1"/>
  <c r="CE1100" i="5"/>
  <c r="CG1100" i="5" s="1"/>
  <c r="CG299" i="5"/>
  <c r="CG1127" i="5"/>
  <c r="CE1560" i="5"/>
  <c r="CG1560" i="5" s="1"/>
  <c r="CE1283" i="5"/>
  <c r="CG1283" i="5" s="1"/>
  <c r="CE2464" i="5"/>
  <c r="CG2464" i="5" s="1"/>
  <c r="CE263" i="5"/>
  <c r="CG263" i="5" s="1"/>
  <c r="CE886" i="5"/>
  <c r="CG886" i="5" s="1"/>
  <c r="CG1212" i="5"/>
  <c r="CE2465" i="5"/>
  <c r="CG2465" i="5" s="1"/>
  <c r="CE629" i="5"/>
  <c r="CG629" i="5" s="1"/>
  <c r="CG1273" i="5"/>
  <c r="CG641" i="5"/>
  <c r="CG223" i="5"/>
  <c r="CG216" i="5"/>
  <c r="CG508" i="5"/>
  <c r="CG851" i="5"/>
  <c r="CG2116" i="5"/>
  <c r="CG1245" i="5"/>
  <c r="CG1555" i="5"/>
  <c r="CG416" i="5"/>
  <c r="CG1033" i="5"/>
  <c r="CE1751" i="5"/>
  <c r="CG1751" i="5" s="1"/>
  <c r="CE1581" i="5"/>
  <c r="CG1581" i="5" s="1"/>
  <c r="CG1897" i="5"/>
  <c r="CG633" i="5"/>
  <c r="CG1692" i="5"/>
  <c r="CG79" i="5"/>
  <c r="CG1218" i="5"/>
  <c r="CG1776" i="5"/>
  <c r="CG1595" i="5"/>
  <c r="CE2361" i="5"/>
  <c r="CG2361" i="5" s="1"/>
  <c r="CG905" i="5"/>
  <c r="CG1591" i="5"/>
  <c r="CG389" i="5"/>
  <c r="CG2452" i="5"/>
  <c r="CG1927" i="5"/>
  <c r="CG923" i="5"/>
  <c r="CG1183" i="5"/>
  <c r="CG1048" i="5"/>
  <c r="CG1667" i="5"/>
  <c r="CG546" i="5"/>
  <c r="CG324" i="5"/>
  <c r="CG1896" i="5"/>
  <c r="CG1737" i="5"/>
  <c r="CE1567" i="5"/>
  <c r="CG1567" i="5" s="1"/>
  <c r="CE2456" i="5"/>
  <c r="CG2456" i="5" s="1"/>
  <c r="CE856" i="5"/>
  <c r="CG856" i="5" s="1"/>
  <c r="CG1752" i="5"/>
  <c r="CG541" i="5"/>
  <c r="CG580" i="5"/>
  <c r="CG1566" i="5"/>
  <c r="CE183" i="5"/>
  <c r="CG183" i="5" s="1"/>
  <c r="CG1278" i="5"/>
  <c r="CE2080" i="5"/>
  <c r="CG2080" i="5" s="1"/>
  <c r="CG1043" i="5"/>
  <c r="CG2077" i="5"/>
  <c r="CG366" i="5"/>
  <c r="CG1215" i="5"/>
  <c r="CG2415" i="5"/>
  <c r="CE1990" i="5"/>
  <c r="CG1990" i="5" s="1"/>
  <c r="CG3" i="5"/>
  <c r="CG729" i="5"/>
  <c r="CE2166" i="5"/>
  <c r="CG2166" i="5" s="1"/>
  <c r="CG1614" i="5"/>
  <c r="CG751" i="5"/>
  <c r="CE5" i="5"/>
  <c r="CG5" i="5" s="1"/>
  <c r="CE934" i="5"/>
  <c r="CG934" i="5" s="1"/>
  <c r="CG2185" i="5"/>
  <c r="CG1440" i="5"/>
  <c r="CG1409" i="5"/>
  <c r="CG2405" i="5"/>
  <c r="CG669" i="5"/>
  <c r="CG2169" i="5"/>
  <c r="CG1915" i="5"/>
  <c r="CG25" i="5"/>
  <c r="CG1328" i="5"/>
  <c r="CG2440" i="5"/>
  <c r="CG1884" i="5"/>
  <c r="CE363" i="5"/>
  <c r="CG363" i="5" s="1"/>
  <c r="CE1926" i="5"/>
  <c r="CG1926" i="5" s="1"/>
  <c r="CE2096" i="5"/>
  <c r="CG2096" i="5" s="1"/>
  <c r="CE147" i="5"/>
  <c r="CG147" i="5" s="1"/>
  <c r="CE332" i="5"/>
  <c r="CG332" i="5" s="1"/>
  <c r="CG1464" i="5"/>
  <c r="CG1469" i="5"/>
  <c r="CG1956" i="5"/>
  <c r="CG65" i="5"/>
  <c r="CE1890" i="5"/>
  <c r="CG1890" i="5" s="1"/>
  <c r="CE1657" i="5"/>
  <c r="CG1657" i="5" s="1"/>
  <c r="CE2071" i="5"/>
  <c r="CG2071" i="5" s="1"/>
  <c r="CE2272" i="5"/>
  <c r="CG2272" i="5" s="1"/>
  <c r="CE1793" i="5"/>
  <c r="CG1793" i="5" s="1"/>
  <c r="CE1155" i="5"/>
  <c r="CG1155" i="5" s="1"/>
  <c r="CE636" i="5"/>
  <c r="CG636" i="5" s="1"/>
  <c r="CE1509" i="5"/>
  <c r="CG1509" i="5" s="1"/>
  <c r="CE2054" i="5"/>
  <c r="CG2054" i="5" s="1"/>
  <c r="CE2161" i="5"/>
  <c r="CG2161" i="5" s="1"/>
  <c r="CE2352" i="5"/>
  <c r="CG2352" i="5" s="1"/>
  <c r="CG1162" i="5"/>
  <c r="CG623" i="5"/>
  <c r="CE2078" i="5"/>
  <c r="CG2078" i="5" s="1"/>
  <c r="CG259" i="5"/>
  <c r="CG540" i="5"/>
  <c r="CG2245" i="5"/>
  <c r="CG1584" i="5"/>
  <c r="CE1906" i="5"/>
  <c r="CG1906" i="5" s="1"/>
  <c r="CE1160" i="5"/>
  <c r="CG1160" i="5" s="1"/>
  <c r="CE1272" i="5"/>
  <c r="CG1272" i="5" s="1"/>
  <c r="CE674" i="5"/>
  <c r="CG674" i="5" s="1"/>
  <c r="CE1062" i="5"/>
  <c r="CG1062" i="5" s="1"/>
  <c r="CE596" i="5"/>
  <c r="CG596" i="5" s="1"/>
  <c r="CE1668" i="5"/>
  <c r="CG1668" i="5" s="1"/>
  <c r="CE295" i="5"/>
  <c r="CG295" i="5" s="1"/>
  <c r="CE997" i="5"/>
  <c r="CG997" i="5" s="1"/>
  <c r="CE2258" i="5"/>
  <c r="CG2258" i="5" s="1"/>
  <c r="CE192" i="5"/>
  <c r="CG192" i="5" s="1"/>
  <c r="CE255" i="5"/>
  <c r="CG255" i="5" s="1"/>
  <c r="CE202" i="5"/>
  <c r="CG202" i="5" s="1"/>
  <c r="CE1295" i="5"/>
  <c r="CG1295" i="5" s="1"/>
  <c r="CG204" i="5"/>
  <c r="CG762" i="5"/>
  <c r="CE1294" i="5"/>
  <c r="CG1294" i="5" s="1"/>
  <c r="CG1843" i="5"/>
  <c r="CG155" i="5"/>
  <c r="CG2066" i="5"/>
  <c r="CG1985" i="5"/>
  <c r="CG1916" i="5"/>
  <c r="CG1479" i="5"/>
  <c r="CG1087" i="5"/>
  <c r="CG195" i="5"/>
  <c r="CE532" i="5"/>
  <c r="CG532" i="5" s="1"/>
  <c r="CE2154" i="5"/>
  <c r="CG2154" i="5" s="1"/>
  <c r="CG989" i="5"/>
  <c r="CG232" i="5"/>
  <c r="CG1653" i="5"/>
  <c r="CG2401" i="5"/>
  <c r="CG308" i="5"/>
  <c r="CG2318" i="5"/>
  <c r="CG2010" i="5"/>
  <c r="CG2424" i="5"/>
  <c r="CG106" i="5"/>
  <c r="CG2146" i="5"/>
  <c r="CG1530" i="5"/>
  <c r="CG2084" i="5"/>
  <c r="CG353" i="5"/>
  <c r="CG2453" i="5"/>
  <c r="CE693" i="5"/>
  <c r="CG693" i="5" s="1"/>
  <c r="CG771" i="5"/>
  <c r="CG2233" i="5"/>
  <c r="CE2372" i="5"/>
  <c r="CG2372" i="5" s="1"/>
  <c r="CE196" i="5"/>
  <c r="CG196" i="5" s="1"/>
  <c r="CE993" i="5"/>
  <c r="CG993" i="5" s="1"/>
  <c r="CE1105" i="5"/>
  <c r="CG1105" i="5" s="1"/>
  <c r="CE1158" i="5"/>
  <c r="CG1158" i="5" s="1"/>
  <c r="CE1608" i="5"/>
  <c r="CG1608" i="5" s="1"/>
  <c r="CE2448" i="5"/>
  <c r="CG2448" i="5" s="1"/>
  <c r="CE2009" i="5"/>
  <c r="CG2009" i="5" s="1"/>
  <c r="CE1883" i="5"/>
  <c r="CG1883" i="5" s="1"/>
  <c r="CE1603" i="5"/>
  <c r="CG1603" i="5" s="1"/>
  <c r="CE624" i="5"/>
  <c r="CG624" i="5" s="1"/>
  <c r="CE1575" i="5"/>
  <c r="CG1575" i="5" s="1"/>
  <c r="CE1061" i="5"/>
  <c r="CG1061" i="5" s="1"/>
  <c r="CE807" i="5"/>
  <c r="CG807" i="5" s="1"/>
  <c r="CE689" i="5"/>
  <c r="CG689" i="5" s="1"/>
  <c r="CE1670" i="5"/>
  <c r="CG1670" i="5" s="1"/>
  <c r="CE2018" i="5"/>
  <c r="CG2018" i="5" s="1"/>
  <c r="CE910" i="5"/>
  <c r="CG910" i="5" s="1"/>
  <c r="CE1167" i="5"/>
  <c r="CG1167" i="5" s="1"/>
  <c r="CE1474" i="5"/>
  <c r="CG1474" i="5" s="1"/>
  <c r="CE1323" i="5"/>
  <c r="CG1323" i="5" s="1"/>
  <c r="CG2432" i="5"/>
  <c r="CE2390" i="5"/>
  <c r="CG2390" i="5" s="1"/>
  <c r="CE1357" i="5"/>
  <c r="CG1357" i="5" s="1"/>
  <c r="CE1955" i="5"/>
  <c r="CG1955" i="5" s="1"/>
  <c r="CE640" i="5"/>
  <c r="CG640" i="5" s="1"/>
  <c r="CE1265" i="5"/>
  <c r="CG1265" i="5" s="1"/>
  <c r="CE2172" i="5"/>
  <c r="CG2172" i="5" s="1"/>
  <c r="CE71" i="5"/>
  <c r="CG71" i="5" s="1"/>
  <c r="CE2290" i="5"/>
  <c r="CG2290" i="5" s="1"/>
  <c r="CE994" i="5"/>
  <c r="CG994" i="5" s="1"/>
  <c r="CE557" i="5"/>
  <c r="CG557" i="5" s="1"/>
  <c r="CE977" i="5"/>
  <c r="CG977" i="5" s="1"/>
  <c r="CG619" i="5"/>
  <c r="CE217" i="5"/>
  <c r="CG217" i="5" s="1"/>
  <c r="CE2139" i="5"/>
  <c r="CG2139" i="5" s="1"/>
  <c r="CE1767" i="5"/>
  <c r="CG1767" i="5" s="1"/>
  <c r="CE1809" i="5"/>
  <c r="CG1809" i="5" s="1"/>
  <c r="CE667" i="5"/>
  <c r="CG667" i="5" s="1"/>
  <c r="CE1211" i="5"/>
  <c r="CG1211" i="5" s="1"/>
  <c r="CE1768" i="5"/>
  <c r="CG1768" i="5" s="1"/>
  <c r="CE1531" i="5"/>
  <c r="CG1531" i="5" s="1"/>
  <c r="CE64" i="5"/>
  <c r="CG64" i="5" s="1"/>
  <c r="CE1944" i="5"/>
  <c r="CG1944" i="5" s="1"/>
  <c r="CG2122" i="5"/>
  <c r="CE853" i="5"/>
  <c r="CG853" i="5" s="1"/>
  <c r="CE319" i="5"/>
  <c r="CG319" i="5" s="1"/>
  <c r="CE1467" i="5"/>
  <c r="CG1467" i="5" s="1"/>
  <c r="CE1615" i="5"/>
  <c r="CG1615" i="5" s="1"/>
  <c r="CE127" i="5"/>
  <c r="CG127" i="5" s="1"/>
  <c r="CE29" i="5"/>
  <c r="CG29" i="5" s="1"/>
  <c r="CE2130" i="5"/>
  <c r="CG2130" i="5" s="1"/>
  <c r="CE919" i="5"/>
  <c r="CG919" i="5" s="1"/>
  <c r="CE2240" i="5"/>
  <c r="CG2240" i="5" s="1"/>
  <c r="CE291" i="5"/>
  <c r="CG291" i="5" s="1"/>
  <c r="CG1324" i="5"/>
  <c r="CE2291" i="5"/>
  <c r="CG2291" i="5" s="1"/>
  <c r="CE285" i="5"/>
  <c r="CG285" i="5" s="1"/>
  <c r="CE748" i="5"/>
  <c r="CG748" i="5" s="1"/>
  <c r="CE2119" i="5"/>
  <c r="CG2119" i="5" s="1"/>
  <c r="CE842" i="5"/>
  <c r="CG842" i="5" s="1"/>
  <c r="CE1721" i="5"/>
  <c r="CG1721" i="5" s="1"/>
  <c r="CE922" i="5"/>
  <c r="CG922" i="5" s="1"/>
  <c r="CE49" i="5"/>
  <c r="CG49" i="5" s="1"/>
  <c r="CE1187" i="5"/>
  <c r="CG1187" i="5" s="1"/>
  <c r="CE1911" i="5"/>
  <c r="CG1911" i="5" s="1"/>
  <c r="CE2302" i="5"/>
  <c r="CG2302" i="5" s="1"/>
  <c r="CE491" i="5"/>
  <c r="CG491" i="5" s="1"/>
  <c r="CE1197" i="5"/>
  <c r="CG1197" i="5" s="1"/>
  <c r="CG699" i="5"/>
  <c r="CE634" i="5"/>
  <c r="CG634" i="5" s="1"/>
  <c r="CE969" i="5"/>
  <c r="CG969" i="5" s="1"/>
  <c r="CE1082" i="5"/>
  <c r="CG1082" i="5" s="1"/>
  <c r="CE1146" i="5"/>
  <c r="CG1146" i="5" s="1"/>
  <c r="CE114" i="5"/>
  <c r="CG114" i="5" s="1"/>
  <c r="CE2158" i="5"/>
  <c r="CG2158" i="5" s="1"/>
  <c r="CE1476" i="5"/>
  <c r="CG1476" i="5" s="1"/>
  <c r="CE964" i="5"/>
  <c r="CG964" i="5" s="1"/>
  <c r="CE1820" i="5"/>
  <c r="CG1820" i="5" s="1"/>
  <c r="CE404" i="5"/>
  <c r="CG404" i="5" s="1"/>
  <c r="CE1241" i="5"/>
  <c r="CG1241" i="5" s="1"/>
  <c r="CG2417" i="5"/>
  <c r="CE685" i="5"/>
  <c r="CG685" i="5" s="1"/>
  <c r="CE1579" i="5"/>
  <c r="CG1579" i="5" s="1"/>
  <c r="CE2459" i="5"/>
  <c r="CG2459" i="5" s="1"/>
  <c r="CE429" i="5"/>
  <c r="CG429" i="5" s="1"/>
  <c r="CE950" i="5"/>
  <c r="CG950" i="5" s="1"/>
  <c r="CE2055" i="5"/>
  <c r="CG2055" i="5" s="1"/>
  <c r="CE1535" i="5"/>
  <c r="CG1535" i="5" s="1"/>
  <c r="CE2019" i="5"/>
  <c r="CG2019" i="5" s="1"/>
  <c r="CG1001" i="5"/>
  <c r="CE1726" i="5"/>
  <c r="CG1726" i="5" s="1"/>
  <c r="CE2127" i="5"/>
  <c r="CG2127" i="5" s="1"/>
  <c r="CE1989" i="5"/>
  <c r="CG1989" i="5" s="1"/>
  <c r="CE200" i="5"/>
  <c r="CG200" i="5" s="1"/>
  <c r="CE445" i="5"/>
  <c r="CG445" i="5" s="1"/>
  <c r="CE987" i="5"/>
  <c r="CG987" i="5" s="1"/>
  <c r="CE2447" i="5"/>
  <c r="CG2447" i="5" s="1"/>
  <c r="CE1311" i="5"/>
  <c r="CG1311" i="5" s="1"/>
  <c r="CE599" i="5"/>
  <c r="CG599" i="5" s="1"/>
  <c r="CE1355" i="5"/>
  <c r="CG1355" i="5" s="1"/>
  <c r="CE802" i="5"/>
  <c r="CG802" i="5" s="1"/>
  <c r="CE1208" i="5"/>
  <c r="CG1208" i="5" s="1"/>
  <c r="CE1069" i="5"/>
  <c r="CG1069" i="5" s="1"/>
  <c r="CE2251" i="5"/>
  <c r="CG2251" i="5" s="1"/>
  <c r="CE820" i="5"/>
  <c r="CG820" i="5" s="1"/>
  <c r="CG644" i="5"/>
  <c r="CE944" i="5"/>
  <c r="CG944" i="5" s="1"/>
  <c r="CG2273" i="5"/>
  <c r="CE2280" i="5"/>
  <c r="CG2280" i="5" s="1"/>
  <c r="CE1332" i="5"/>
  <c r="CG1332" i="5" s="1"/>
  <c r="CE1574" i="5"/>
  <c r="CG1574" i="5" s="1"/>
  <c r="CE679" i="5"/>
  <c r="CG679" i="5" s="1"/>
  <c r="CE698" i="5"/>
  <c r="CG698" i="5" s="1"/>
  <c r="CE1814" i="5"/>
  <c r="CG1814" i="5" s="1"/>
  <c r="CE367" i="5"/>
  <c r="CG367" i="5" s="1"/>
  <c r="CE957" i="5"/>
  <c r="CG957" i="5" s="1"/>
  <c r="CE2035" i="5"/>
  <c r="CG2035" i="5" s="1"/>
  <c r="CG1845" i="5"/>
  <c r="CE346" i="5"/>
  <c r="CG346" i="5" s="1"/>
  <c r="CG687" i="5"/>
  <c r="CG1588" i="5"/>
  <c r="CG1781" i="5"/>
  <c r="CE173" i="5"/>
  <c r="CG173" i="5" s="1"/>
  <c r="CE2036" i="5"/>
  <c r="CG2036" i="5" s="1"/>
  <c r="CG1436" i="5"/>
  <c r="CE1446" i="5"/>
  <c r="CG1446" i="5" s="1"/>
  <c r="CG225" i="5"/>
  <c r="CG431" i="5"/>
  <c r="CG28" i="5"/>
  <c r="CG870" i="5"/>
  <c r="CG1045" i="5"/>
  <c r="CG2259" i="5"/>
  <c r="CG676" i="5"/>
  <c r="CG875" i="5"/>
  <c r="CG1665" i="5"/>
  <c r="CG1262" i="5"/>
  <c r="CG1338" i="5"/>
  <c r="CG1891" i="5"/>
  <c r="CE1269" i="5"/>
  <c r="CG1269" i="5" s="1"/>
  <c r="CE1624" i="5"/>
  <c r="CG1624" i="5" s="1"/>
  <c r="CE2315" i="5"/>
  <c r="CG2315" i="5" s="1"/>
  <c r="CG958" i="5"/>
  <c r="CG503" i="5"/>
  <c r="CG1209" i="5"/>
  <c r="CG2003" i="5"/>
  <c r="CG1153" i="5"/>
  <c r="CG2426" i="5"/>
  <c r="CE1168" i="5"/>
  <c r="CG1168" i="5" s="1"/>
  <c r="CE1908" i="5"/>
  <c r="CG1908" i="5" s="1"/>
  <c r="CG1754" i="5"/>
  <c r="CG2402" i="5"/>
  <c r="CG153" i="5"/>
  <c r="CG1014" i="5"/>
  <c r="CG1962" i="5"/>
  <c r="CG801" i="5"/>
  <c r="CG951" i="5"/>
  <c r="CG1299" i="5"/>
  <c r="CG880" i="5"/>
  <c r="CG2320" i="5"/>
  <c r="CG2457" i="5"/>
  <c r="CG697" i="5"/>
  <c r="CE881" i="5"/>
  <c r="CG881" i="5" s="1"/>
  <c r="CE1193" i="5"/>
  <c r="CG1193" i="5" s="1"/>
  <c r="CE1242" i="5"/>
  <c r="CG1242" i="5" s="1"/>
  <c r="CE1270" i="5"/>
  <c r="CG1270" i="5" s="1"/>
  <c r="CE1286" i="5"/>
  <c r="CG1286" i="5" s="1"/>
  <c r="CE1472" i="5"/>
  <c r="CG1472" i="5" s="1"/>
  <c r="CE1541" i="5"/>
  <c r="CG1541" i="5" s="1"/>
  <c r="CG2227" i="5"/>
  <c r="CE1300" i="5"/>
  <c r="CG1300" i="5" s="1"/>
  <c r="CE2428" i="5"/>
  <c r="CG2428" i="5" s="1"/>
  <c r="CE1078" i="5"/>
  <c r="CG1078" i="5" s="1"/>
  <c r="CE1220" i="5"/>
  <c r="CG1220" i="5" s="1"/>
  <c r="CE701" i="5"/>
  <c r="CG701" i="5" s="1"/>
  <c r="CG2293" i="5"/>
  <c r="CG2115" i="5"/>
  <c r="CG2087" i="5"/>
  <c r="CG1113" i="5"/>
  <c r="CG267" i="5"/>
  <c r="CE1072" i="5"/>
  <c r="CG1072" i="5" s="1"/>
  <c r="CG108" i="5"/>
  <c r="CG1138" i="5"/>
  <c r="CE1976" i="5"/>
  <c r="CG1976" i="5" s="1"/>
  <c r="CE850" i="5"/>
  <c r="CG850" i="5" s="1"/>
  <c r="CG1622" i="5"/>
  <c r="CG2133" i="5"/>
  <c r="CG1128" i="5"/>
  <c r="CE1789" i="5"/>
  <c r="CG1789" i="5" s="1"/>
  <c r="CG2276" i="5"/>
  <c r="CG418" i="5"/>
  <c r="CG959" i="5"/>
  <c r="CG1096" i="5"/>
  <c r="CG2439" i="5"/>
  <c r="CG309" i="5"/>
  <c r="CG1386" i="5"/>
  <c r="CG2178" i="5"/>
  <c r="CG632" i="5"/>
  <c r="CG528" i="5"/>
  <c r="CE467" i="5"/>
  <c r="CG467" i="5" s="1"/>
  <c r="CE2041" i="5"/>
  <c r="CG2041" i="5" s="1"/>
  <c r="CG1947" i="5"/>
  <c r="CE2326" i="5"/>
  <c r="CG2326" i="5" s="1"/>
  <c r="CE588" i="5"/>
  <c r="CG588" i="5" s="1"/>
  <c r="CG1662" i="5"/>
  <c r="CE485" i="5"/>
  <c r="CG485" i="5" s="1"/>
  <c r="CE1645" i="5"/>
  <c r="CG1645" i="5" s="1"/>
  <c r="CG1798" i="5"/>
  <c r="CE2458" i="5"/>
  <c r="CG2458" i="5" s="1"/>
  <c r="CE784" i="5"/>
  <c r="CG784" i="5" s="1"/>
  <c r="CE1725" i="5"/>
  <c r="CG1725" i="5" s="1"/>
  <c r="CE1322" i="5"/>
  <c r="CG1322" i="5" s="1"/>
  <c r="CE2275" i="5"/>
  <c r="CG2275" i="5" s="1"/>
  <c r="CG879" i="5"/>
  <c r="CG1003" i="5"/>
  <c r="CG1638" i="5"/>
  <c r="CG2346" i="5"/>
  <c r="CG258" i="5"/>
  <c r="CG162" i="5"/>
  <c r="CG722" i="5"/>
  <c r="CG739" i="5"/>
  <c r="CE2164" i="5"/>
  <c r="CG2164" i="5" s="1"/>
  <c r="CE111" i="5"/>
  <c r="CG111" i="5" s="1"/>
  <c r="CE1996" i="5"/>
  <c r="CG1996" i="5" s="1"/>
  <c r="CE1846" i="5"/>
  <c r="CG1846" i="5" s="1"/>
  <c r="CE848" i="5"/>
  <c r="CG848" i="5" s="1"/>
  <c r="CG1599" i="5"/>
  <c r="CG227" i="5"/>
  <c r="CG1293" i="5"/>
  <c r="CG1399" i="5"/>
  <c r="CG845" i="5"/>
  <c r="CG91" i="5"/>
  <c r="CG1410" i="5"/>
  <c r="CG1872" i="5"/>
  <c r="CG2015" i="5"/>
  <c r="CG814" i="5"/>
  <c r="CG616" i="5"/>
  <c r="CG1063" i="5"/>
  <c r="CG794" i="5"/>
  <c r="CG1986" i="5"/>
  <c r="CG1289" i="5"/>
  <c r="CG1795" i="5"/>
  <c r="CG336" i="5"/>
  <c r="CG1940" i="5"/>
  <c r="CG1598" i="5"/>
  <c r="CG1924" i="5"/>
  <c r="CE1210" i="5"/>
  <c r="CG1210" i="5" s="1"/>
  <c r="CE405" i="5"/>
  <c r="CG405" i="5" s="1"/>
  <c r="CE1344" i="5"/>
  <c r="CG1344" i="5" s="1"/>
  <c r="CG1276" i="5"/>
  <c r="CG1693" i="5"/>
  <c r="CG2061" i="5"/>
  <c r="CG980" i="5"/>
  <c r="CG732" i="5"/>
  <c r="CE1203" i="5"/>
  <c r="CG1203" i="5" s="1"/>
  <c r="CE1936" i="5"/>
  <c r="CG1936" i="5" s="1"/>
  <c r="CG2445" i="5"/>
  <c r="CG1256" i="5"/>
  <c r="CG985" i="5"/>
  <c r="CG1613" i="5"/>
  <c r="CG1818" i="5"/>
  <c r="CG78" i="5"/>
  <c r="CE443" i="5"/>
  <c r="CG443" i="5" s="1"/>
  <c r="CG1451" i="5"/>
  <c r="CG1931" i="5"/>
  <c r="CE1869" i="5"/>
  <c r="CG1869" i="5" s="1"/>
  <c r="CG1336" i="5"/>
  <c r="CG1828" i="5"/>
  <c r="CG2014" i="5"/>
  <c r="CG2179" i="5"/>
  <c r="CG1961" i="5"/>
  <c r="CG2076" i="5"/>
  <c r="CE1760" i="5"/>
  <c r="CG1760" i="5" s="1"/>
  <c r="CG2219" i="5"/>
  <c r="CG999" i="5"/>
  <c r="CG2305" i="5"/>
  <c r="CG2386" i="5"/>
  <c r="CE554" i="5"/>
  <c r="CG554" i="5" s="1"/>
  <c r="CE198" i="5"/>
  <c r="CG198" i="5" s="1"/>
  <c r="CE2461" i="5"/>
  <c r="CG2461" i="5" s="1"/>
  <c r="CG2396" i="5"/>
  <c r="CE884" i="5"/>
  <c r="CG884" i="5" s="1"/>
  <c r="CG388" i="5"/>
  <c r="CG889" i="5"/>
  <c r="CE1628" i="5"/>
  <c r="CG1628" i="5" s="1"/>
  <c r="CG1740" i="5"/>
  <c r="CG474" i="5"/>
  <c r="CG466" i="5"/>
  <c r="CE1130" i="5"/>
  <c r="CG1130" i="5" s="1"/>
  <c r="CG1817" i="5"/>
  <c r="CG615" i="5"/>
  <c r="CG1032" i="5"/>
  <c r="CG477" i="5"/>
  <c r="CG942" i="5"/>
  <c r="CG1880" i="5"/>
  <c r="CG181" i="5"/>
  <c r="CG2257" i="5"/>
  <c r="CG2067" i="5"/>
  <c r="CG1101" i="5"/>
  <c r="CG974" i="5"/>
  <c r="CG1542" i="5"/>
  <c r="CG159" i="5"/>
  <c r="CG1951" i="5"/>
  <c r="CG1550" i="5"/>
  <c r="CG1889" i="5"/>
  <c r="CG1298" i="5"/>
  <c r="CG688" i="5"/>
  <c r="CG2287" i="5"/>
  <c r="CG115" i="5"/>
  <c r="CG1191" i="5"/>
  <c r="CE909" i="5"/>
  <c r="CG909" i="5" s="1"/>
  <c r="CG968" i="5"/>
  <c r="CG973" i="5"/>
  <c r="CG2086" i="5"/>
  <c r="CE833" i="5"/>
  <c r="CG833" i="5" s="1"/>
  <c r="CG2308" i="5"/>
  <c r="CG2194" i="5"/>
  <c r="CG1074" i="5"/>
  <c r="CG1855" i="5"/>
  <c r="CE330" i="5"/>
  <c r="CG330" i="5" s="1"/>
  <c r="CE269" i="5"/>
  <c r="CG269" i="5" s="1"/>
  <c r="CG1707" i="5"/>
  <c r="CG470" i="5"/>
  <c r="CG1523" i="5"/>
  <c r="CG1231" i="5"/>
  <c r="CG207" i="5"/>
  <c r="CG2060" i="5"/>
  <c r="CG2309" i="5"/>
  <c r="CG126" i="5"/>
  <c r="CG1515" i="5"/>
  <c r="CG1922" i="5"/>
  <c r="CG1821" i="5"/>
  <c r="CG787" i="5"/>
  <c r="CG420" i="5"/>
  <c r="CE1762" i="5"/>
  <c r="CG1762" i="5" s="1"/>
  <c r="CG1836" i="5"/>
  <c r="CG637" i="5"/>
  <c r="CG1251" i="5"/>
  <c r="CG2449" i="5"/>
  <c r="CG487" i="5"/>
  <c r="CG156" i="5"/>
  <c r="CG281" i="5"/>
  <c r="CG1455" i="5"/>
  <c r="CG645" i="5"/>
  <c r="CE1893" i="5"/>
  <c r="CG1893" i="5" s="1"/>
  <c r="CG357" i="5"/>
  <c r="CE375" i="5"/>
  <c r="CG375" i="5" s="1"/>
  <c r="CE2451" i="5"/>
  <c r="CG2451" i="5" s="1"/>
  <c r="CG2313" i="5"/>
  <c r="CE1602" i="5"/>
  <c r="CG1602" i="5" s="1"/>
  <c r="CG777" i="5"/>
  <c r="CG882" i="5"/>
  <c r="CG1948" i="5"/>
  <c r="CG394" i="5"/>
  <c r="CG1620" i="5"/>
  <c r="CG461" i="5"/>
  <c r="CG1319" i="5"/>
  <c r="CG67" i="5"/>
  <c r="CG35" i="5"/>
  <c r="CG411" i="5"/>
  <c r="CG873" i="5"/>
  <c r="CG654" i="5"/>
  <c r="CG929" i="5"/>
  <c r="CE861" i="5"/>
  <c r="CG861" i="5" s="1"/>
  <c r="CE317" i="5"/>
  <c r="CG317" i="5" s="1"/>
  <c r="CE1879" i="5"/>
  <c r="CG1879" i="5" s="1"/>
  <c r="CE843" i="5"/>
  <c r="CG843" i="5" s="1"/>
  <c r="CG1732" i="5"/>
  <c r="CG402" i="5"/>
  <c r="CG1006" i="5"/>
  <c r="CG1095" i="5"/>
  <c r="CG2114" i="5"/>
  <c r="CG893" i="5"/>
  <c r="CG457" i="5"/>
  <c r="CG1131" i="5"/>
  <c r="CG2450" i="5"/>
  <c r="CG773" i="5"/>
  <c r="CG1411" i="5"/>
  <c r="CG1202" i="5"/>
  <c r="CG1691" i="5"/>
  <c r="CG22" i="5"/>
  <c r="CG648" i="5"/>
  <c r="CG1119" i="5"/>
  <c r="CG2016" i="5"/>
  <c r="CG1125" i="5"/>
  <c r="CG1225" i="5"/>
  <c r="CG80" i="5"/>
  <c r="CG290" i="5"/>
  <c r="CG2032" i="5"/>
  <c r="CG2304" i="5"/>
  <c r="CE1232" i="5"/>
  <c r="CG1232" i="5" s="1"/>
  <c r="CG1237" i="5"/>
  <c r="CE608" i="5"/>
  <c r="CG608" i="5" s="1"/>
  <c r="CG241" i="5"/>
  <c r="CG1561" i="5"/>
  <c r="CG915" i="5"/>
  <c r="CG1775" i="5"/>
  <c r="CG603" i="5"/>
  <c r="CE335" i="5"/>
  <c r="CG335" i="5" s="1"/>
  <c r="CG904" i="5"/>
  <c r="CE2323" i="5"/>
  <c r="CG2323" i="5" s="1"/>
  <c r="CG1909" i="5"/>
  <c r="CG1236" i="5"/>
  <c r="CG1097" i="5"/>
  <c r="CG1805" i="5"/>
  <c r="CG2339" i="5"/>
  <c r="CG2157" i="5"/>
  <c r="CG1842" i="5"/>
  <c r="CE806" i="5"/>
  <c r="CG806" i="5" s="1"/>
  <c r="CE1031" i="5"/>
  <c r="CG1031" i="5" s="1"/>
  <c r="CE437" i="5"/>
  <c r="CG437" i="5" s="1"/>
  <c r="CE2342" i="5"/>
  <c r="CG2342" i="5" s="1"/>
  <c r="CE2121" i="5"/>
  <c r="CG2121" i="5" s="1"/>
  <c r="CE140" i="5"/>
  <c r="CG140" i="5" s="1"/>
  <c r="CE73" i="5"/>
  <c r="CG73" i="5" s="1"/>
  <c r="CG906" i="5"/>
  <c r="CG2112" i="5"/>
  <c r="CG872" i="5"/>
  <c r="CG1551" i="5"/>
  <c r="CG2384" i="5"/>
  <c r="CG149" i="5"/>
  <c r="CG1942" i="5"/>
  <c r="CG2333" i="5"/>
  <c r="CE218" i="5"/>
  <c r="CG218" i="5" s="1"/>
  <c r="CG1654" i="5"/>
  <c r="CG1147" i="5"/>
  <c r="CG2205" i="5"/>
  <c r="CG358" i="5"/>
  <c r="CE819" i="5"/>
  <c r="CG819" i="5" s="1"/>
  <c r="CG2170" i="5"/>
  <c r="CG2460" i="5"/>
  <c r="CG2102" i="5"/>
  <c r="CG1965" i="5"/>
  <c r="CG476" i="5"/>
  <c r="CG2455" i="5"/>
  <c r="CG235" i="5"/>
  <c r="CG347" i="5"/>
  <c r="CG2429" i="5"/>
  <c r="CG7" i="5"/>
  <c r="CE1136" i="5"/>
  <c r="CG1136" i="5" s="1"/>
  <c r="CG1230" i="5"/>
  <c r="CG2454" i="5"/>
  <c r="CG1637" i="5"/>
  <c r="CG2034" i="5"/>
  <c r="CG143" i="5"/>
  <c r="CG1246" i="5"/>
  <c r="CG1371" i="5"/>
  <c r="CG38" i="5"/>
  <c r="CG2310" i="5"/>
  <c r="CG2236" i="5"/>
  <c r="CG690" i="5"/>
  <c r="CG220" i="5"/>
  <c r="CG2221" i="5"/>
  <c r="CG190" i="5"/>
  <c r="CG1695" i="5"/>
  <c r="CG1385" i="5"/>
  <c r="CG1465" i="5"/>
  <c r="CG1266" i="5"/>
  <c r="CG838" i="5"/>
  <c r="CG952" i="5"/>
  <c r="CG1477" i="5"/>
  <c r="CE1313" i="5"/>
  <c r="CG1313" i="5" s="1"/>
  <c r="CG2111" i="5"/>
  <c r="CG81" i="5"/>
  <c r="CE1801" i="5"/>
  <c r="CG1801" i="5" s="1"/>
  <c r="CG2255" i="5"/>
  <c r="CE1412" i="5"/>
  <c r="CG1412" i="5" s="1"/>
  <c r="CE1173" i="5"/>
  <c r="CG1173" i="5" s="1"/>
  <c r="CE1034" i="5"/>
  <c r="CG1034" i="5" s="1"/>
  <c r="CE1675" i="5"/>
  <c r="CG1675" i="5" s="1"/>
  <c r="CG139" i="5"/>
  <c r="CG37" i="5"/>
  <c r="CG2332" i="5"/>
  <c r="CE2278" i="5"/>
  <c r="CG2278" i="5" s="1"/>
  <c r="CG1016" i="5"/>
  <c r="CG1397" i="5"/>
  <c r="CG1800" i="5"/>
  <c r="CG742" i="5"/>
  <c r="CG339" i="5"/>
  <c r="CE1680" i="5"/>
  <c r="CG1680" i="5" s="1"/>
  <c r="CE320" i="5"/>
  <c r="CG320" i="5" s="1"/>
  <c r="CG349" i="5"/>
  <c r="CG2189" i="5"/>
  <c r="CG1621" i="5"/>
  <c r="CG186" i="5"/>
  <c r="CG713" i="5"/>
  <c r="CG506" i="5"/>
  <c r="CG653" i="5"/>
  <c r="CG152" i="5"/>
  <c r="CG361" i="5"/>
  <c r="CG293" i="5"/>
  <c r="CG1648" i="5"/>
  <c r="CG2136" i="5"/>
  <c r="CG1052" i="5"/>
  <c r="CG621" i="5"/>
  <c r="CG1400" i="5"/>
  <c r="CE1194" i="5"/>
  <c r="CG1194" i="5" s="1"/>
  <c r="CG1291" i="5"/>
  <c r="CG1954" i="5"/>
  <c r="CG266" i="5"/>
  <c r="CE2358" i="5"/>
  <c r="CG2358" i="5" s="1"/>
  <c r="CG328" i="5"/>
  <c r="CG359" i="5"/>
  <c r="CG1978" i="5"/>
  <c r="CG60" i="5"/>
  <c r="CG778" i="5"/>
  <c r="CG53" i="5"/>
  <c r="CG1253" i="5"/>
  <c r="CG121" i="5"/>
  <c r="CG1018" i="5"/>
  <c r="CG538" i="5"/>
  <c r="CG2062" i="5"/>
  <c r="CG1456" i="5"/>
  <c r="CG1554" i="5"/>
  <c r="CG2049" i="5"/>
  <c r="CG69" i="5"/>
  <c r="CG555" i="5"/>
  <c r="CG2030" i="5"/>
  <c r="CG2070" i="5"/>
  <c r="CE928" i="5"/>
  <c r="CG928" i="5" s="1"/>
  <c r="CE1421" i="5"/>
  <c r="CG1421" i="5" s="1"/>
  <c r="CG683" i="5"/>
  <c r="CG1577" i="5"/>
  <c r="CG549" i="5"/>
  <c r="CG74" i="5"/>
  <c r="CG2317" i="5"/>
  <c r="CG1077" i="5"/>
  <c r="CG1709" i="5"/>
  <c r="CG480" i="5"/>
  <c r="CG1238" i="5"/>
  <c r="CG1706" i="5"/>
  <c r="CE1549" i="5"/>
  <c r="CG1549" i="5" s="1"/>
  <c r="CG1514" i="5"/>
  <c r="CE1568" i="5"/>
  <c r="CG1568" i="5" s="1"/>
  <c r="CE1198" i="5"/>
  <c r="CG1198" i="5" s="1"/>
  <c r="CE1487" i="5"/>
  <c r="CG1487" i="5" s="1"/>
  <c r="CE1943" i="5"/>
  <c r="CG1943" i="5" s="1"/>
  <c r="CE1733" i="5"/>
  <c r="CG1733" i="5" s="1"/>
  <c r="CE1964" i="5"/>
  <c r="CG1964" i="5" s="1"/>
  <c r="CE866" i="5"/>
  <c r="CG866" i="5" s="1"/>
  <c r="CG907" i="5"/>
  <c r="CE735" i="5"/>
  <c r="CG735" i="5" s="1"/>
  <c r="CE1547" i="5"/>
  <c r="CG1547" i="5" s="1"/>
  <c r="CG2463" i="5"/>
  <c r="CG716" i="5"/>
  <c r="CG601" i="5"/>
  <c r="CG813" i="5"/>
  <c r="CG1682" i="5"/>
  <c r="CG2321" i="5"/>
  <c r="CG1296" i="5"/>
  <c r="CG1200" i="5"/>
  <c r="CG2098" i="5"/>
  <c r="CG344" i="5"/>
  <c r="CG134" i="5"/>
  <c r="CG2160" i="5"/>
  <c r="CG1330" i="5"/>
  <c r="CE1029" i="5"/>
  <c r="CG1029" i="5" s="1"/>
  <c r="CE1953" i="5"/>
  <c r="CG1953" i="5" s="1"/>
  <c r="CG1182" i="5"/>
  <c r="CG984" i="5"/>
  <c r="CG1037" i="5"/>
  <c r="CE824" i="5"/>
  <c r="CG824" i="5" s="1"/>
  <c r="CE1333" i="5"/>
  <c r="CG1333" i="5" s="1"/>
  <c r="CG1995" i="5"/>
  <c r="CG1724" i="5"/>
  <c r="CE1470" i="5"/>
  <c r="CG1470" i="5" s="1"/>
  <c r="CG52" i="5"/>
  <c r="CG931" i="5"/>
  <c r="CG2218" i="5"/>
  <c r="CE351" i="5"/>
  <c r="CG351" i="5" s="1"/>
  <c r="CG1041" i="5"/>
  <c r="CG1429" i="5"/>
  <c r="CG18" i="5"/>
  <c r="CG1678" i="5"/>
  <c r="CG574" i="5"/>
  <c r="CG2266" i="5"/>
  <c r="CG1366" i="5"/>
  <c r="CG2011" i="5"/>
  <c r="CG696" i="5"/>
  <c r="CG1036" i="5"/>
  <c r="CG782" i="5"/>
  <c r="CG990" i="5"/>
  <c r="CG2416" i="5"/>
  <c r="CG860" i="5"/>
  <c r="CG2153" i="5"/>
  <c r="CG702" i="5"/>
  <c r="CG1756" i="5"/>
  <c r="CG329" i="5"/>
  <c r="CG840" i="5"/>
  <c r="CG206" i="5"/>
  <c r="CG1214" i="5"/>
  <c r="CG1802" i="5"/>
  <c r="CG2433" i="5"/>
  <c r="CG1697" i="5"/>
  <c r="CG432" i="5"/>
  <c r="CG1226" i="5"/>
  <c r="CG1038" i="5"/>
  <c r="CG2285" i="5"/>
  <c r="CG2234" i="5"/>
  <c r="CG761" i="5"/>
  <c r="CE1422" i="5"/>
  <c r="CG1422" i="5" s="1"/>
  <c r="CG13" i="5"/>
  <c r="CG1478" i="5"/>
  <c r="CG2282" i="5"/>
  <c r="CG2199" i="5"/>
  <c r="CG858" i="5"/>
  <c r="CG1335" i="5"/>
  <c r="CG2237" i="5"/>
  <c r="CE1000" i="5"/>
  <c r="CG1000" i="5" s="1"/>
  <c r="CE1585" i="5"/>
  <c r="CG1585" i="5" s="1"/>
  <c r="CE1098" i="5"/>
  <c r="CG1098" i="5" s="1"/>
  <c r="CE1867" i="5"/>
  <c r="CG1867" i="5" s="1"/>
  <c r="CE2029" i="5"/>
  <c r="CG2029" i="5" s="1"/>
  <c r="CE2303" i="5"/>
  <c r="CG2303" i="5" s="1"/>
  <c r="CE1518" i="5"/>
  <c r="CG1518" i="5" s="1"/>
  <c r="CE783" i="5"/>
  <c r="CG783" i="5" s="1"/>
  <c r="CE752" i="5"/>
  <c r="CG752" i="5" s="1"/>
  <c r="CG948" i="5"/>
  <c r="CG1612" i="5"/>
  <c r="CG122" i="5"/>
  <c r="CE1854" i="5"/>
  <c r="CG1854" i="5" s="1"/>
  <c r="CE790" i="5"/>
  <c r="CG790" i="5" s="1"/>
  <c r="CE387" i="5"/>
  <c r="CG387" i="5" s="1"/>
  <c r="CE1452" i="5"/>
  <c r="CG1452" i="5" s="1"/>
  <c r="CG1787" i="5"/>
  <c r="CG530" i="5"/>
  <c r="CE172" i="5"/>
  <c r="CG172" i="5" s="1"/>
  <c r="CG791" i="5"/>
  <c r="CG1939" i="5"/>
  <c r="CG695" i="5"/>
  <c r="CE846" i="5"/>
  <c r="CG846" i="5" s="1"/>
  <c r="CE515" i="5"/>
  <c r="CG515" i="5" s="1"/>
  <c r="CE1067" i="5"/>
  <c r="CG1067" i="5" s="1"/>
  <c r="CG1152" i="5"/>
  <c r="CE2220" i="5"/>
  <c r="CG2220" i="5" s="1"/>
  <c r="CE2462" i="5"/>
  <c r="CG2462" i="5" s="1"/>
  <c r="CE1664" i="5"/>
  <c r="CG1664" i="5" s="1"/>
  <c r="CE1393" i="5"/>
  <c r="CG1393" i="5" s="1"/>
  <c r="CE1458" i="5"/>
  <c r="CG1458" i="5" s="1"/>
  <c r="CE462" i="5"/>
  <c r="CG462" i="5" s="1"/>
  <c r="CE780" i="5"/>
  <c r="CG780" i="5" s="1"/>
  <c r="CE921" i="5"/>
  <c r="CG921" i="5" s="1"/>
  <c r="CE1094" i="5"/>
  <c r="CG1094" i="5" s="1"/>
  <c r="CE1699" i="5"/>
  <c r="CG1699" i="5" s="1"/>
  <c r="CE694" i="5"/>
  <c r="CG694" i="5" s="1"/>
  <c r="CE188" i="5"/>
  <c r="CG188" i="5" s="1"/>
  <c r="CE1534" i="5"/>
  <c r="CG1534" i="5" s="1"/>
  <c r="CE896" i="5"/>
  <c r="CG896" i="5" s="1"/>
  <c r="CE2099" i="5"/>
  <c r="CG2099" i="5" s="1"/>
  <c r="CE1172" i="5"/>
  <c r="CG1172" i="5" s="1"/>
  <c r="CE1686" i="5"/>
  <c r="CG1686" i="5" s="1"/>
  <c r="CG2168" i="5"/>
  <c r="CE1148" i="5"/>
  <c r="CG1148" i="5" s="1"/>
  <c r="CG297" i="5"/>
  <c r="CE2173" i="5"/>
  <c r="CG2173" i="5" s="1"/>
  <c r="CG2131" i="5"/>
  <c r="CG174" i="5"/>
  <c r="CG2147" i="5"/>
  <c r="CG935" i="5"/>
  <c r="CG1743" i="5"/>
  <c r="CG721" i="5"/>
  <c r="CG1228" i="5"/>
  <c r="CG2374" i="5"/>
  <c r="CG730" i="5"/>
  <c r="CG179" i="5"/>
  <c r="CG1635" i="5"/>
  <c r="CG2152" i="5"/>
  <c r="CG125" i="5"/>
  <c r="CG2183" i="5"/>
  <c r="CG70" i="5"/>
  <c r="CG377" i="5"/>
  <c r="CG757" i="5"/>
  <c r="CG1918" i="5"/>
  <c r="CG537" i="5"/>
  <c r="CE1398" i="5"/>
  <c r="CG1398" i="5" s="1"/>
  <c r="CG250" i="5"/>
  <c r="CG1770" i="5"/>
  <c r="CE1433" i="5"/>
  <c r="CG1433" i="5" s="1"/>
  <c r="CG2187" i="5"/>
  <c r="CE1522" i="5"/>
  <c r="CG1522" i="5" s="1"/>
  <c r="CG1765" i="5"/>
  <c r="CG652" i="5"/>
  <c r="CG116" i="5"/>
  <c r="CE1830" i="5"/>
  <c r="CG1830" i="5" s="1"/>
  <c r="CG786" i="5"/>
  <c r="CG1326" i="5"/>
  <c r="CG2335" i="5"/>
  <c r="CG76" i="5"/>
  <c r="CG2365" i="5"/>
  <c r="CG2088" i="5"/>
  <c r="CG1605" i="5"/>
  <c r="CG1176" i="5"/>
  <c r="CG482" i="5"/>
  <c r="CG1914" i="5"/>
  <c r="CG427" i="5"/>
  <c r="CG1040" i="5"/>
  <c r="CG1852" i="5"/>
  <c r="CG51" i="5"/>
  <c r="CG1734" i="5"/>
  <c r="CE1578" i="5"/>
  <c r="CG1578" i="5" s="1"/>
  <c r="CD510" i="5"/>
  <c r="CD1405" i="5"/>
  <c r="CD1084" i="5"/>
  <c r="CD1799" i="5"/>
  <c r="CD289" i="5"/>
  <c r="CD2203" i="5"/>
  <c r="CD2348" i="5"/>
  <c r="CD635" i="5"/>
  <c r="CD1159" i="5"/>
  <c r="CD1997" i="5"/>
  <c r="CD593" i="5"/>
  <c r="CD1207" i="5"/>
  <c r="CD605" i="5"/>
  <c r="CD55" i="5"/>
  <c r="CD2206" i="5"/>
  <c r="CD2012" i="5"/>
  <c r="CD1111" i="5"/>
  <c r="CD975" i="5"/>
  <c r="CD1234" i="5"/>
  <c r="CD775" i="5"/>
  <c r="CE775" i="5" s="1"/>
  <c r="CD678" i="5"/>
  <c r="CD2141" i="5"/>
  <c r="CD1808" i="5"/>
  <c r="CD1453" i="5"/>
  <c r="CD57" i="5"/>
  <c r="CE57" i="5" s="1"/>
  <c r="CD1778" i="5"/>
  <c r="CD2430" i="5"/>
  <c r="CD606" i="5"/>
  <c r="CD343" i="5"/>
  <c r="CD40" i="5"/>
  <c r="CD2254" i="5"/>
  <c r="CD489" i="5"/>
  <c r="CD750" i="5"/>
  <c r="CD1499" i="5"/>
  <c r="CD331" i="5"/>
  <c r="CD666" i="5"/>
  <c r="CD1350" i="5"/>
  <c r="CD27" i="5"/>
  <c r="CD1824" i="5"/>
  <c r="CD463" i="5"/>
  <c r="CD1073" i="5"/>
  <c r="CD834" i="5"/>
  <c r="CD2231" i="5"/>
  <c r="CD2378" i="5"/>
  <c r="CD1946" i="5"/>
  <c r="CD1524" i="5"/>
  <c r="CD176" i="5"/>
  <c r="CE176" i="5" s="1"/>
  <c r="CD2435" i="5"/>
  <c r="CD499" i="5"/>
  <c r="CD2031" i="5"/>
  <c r="CD1312" i="5"/>
  <c r="CD1403" i="5"/>
  <c r="CD610" i="5"/>
  <c r="CD584" i="5"/>
  <c r="CD595" i="5"/>
  <c r="CD1773" i="5"/>
  <c r="CD1516" i="5"/>
  <c r="CD201" i="5"/>
  <c r="CD2385" i="5"/>
  <c r="CD1351" i="5"/>
  <c r="CD684" i="5"/>
  <c r="CD280" i="5"/>
  <c r="CD1571" i="5"/>
  <c r="CD733" i="5"/>
  <c r="CD526" i="5"/>
  <c r="CD686" i="5"/>
  <c r="CD2311" i="5"/>
  <c r="CD600" i="5"/>
  <c r="CD1418" i="5"/>
  <c r="CD1387" i="5"/>
  <c r="CD323" i="5"/>
  <c r="CE323" i="5" s="1"/>
  <c r="CD1340" i="5"/>
  <c r="CD622" i="5"/>
  <c r="CD203" i="5"/>
  <c r="CD737" i="5"/>
  <c r="CD747" i="5"/>
  <c r="CD1140" i="5"/>
  <c r="CD61" i="5"/>
  <c r="CD1863" i="5"/>
  <c r="CD1935" i="5"/>
  <c r="CD406" i="5"/>
  <c r="CD908" i="5"/>
  <c r="CD2437" i="5"/>
  <c r="CD273" i="5"/>
  <c r="CD1960" i="5"/>
  <c r="CE1960" i="5" s="1"/>
  <c r="CD2126" i="5"/>
  <c r="CD1154" i="5"/>
  <c r="CD326" i="5"/>
  <c r="CD705" i="5"/>
  <c r="CE705" i="5" s="1"/>
  <c r="CD256" i="5"/>
  <c r="CD2013" i="5"/>
  <c r="CD966" i="5"/>
  <c r="CD107" i="5"/>
  <c r="CD2051" i="5"/>
  <c r="CD655" i="5"/>
  <c r="CD1498" i="5"/>
  <c r="CD609" i="5"/>
  <c r="CD390" i="5"/>
  <c r="CD131" i="5"/>
  <c r="CD383" i="5"/>
  <c r="CD1442" i="5"/>
  <c r="CD2470" i="5"/>
  <c r="CD1425" i="5"/>
  <c r="CD988" i="5"/>
  <c r="CD2389" i="5"/>
  <c r="CD2110" i="5"/>
  <c r="CD1491" i="5"/>
  <c r="CD341" i="5"/>
  <c r="CD144" i="5"/>
  <c r="CD2209" i="5"/>
  <c r="CD1689" i="5"/>
  <c r="CD2188" i="5"/>
  <c r="CD376" i="5"/>
  <c r="CE376" i="5" s="1"/>
  <c r="CD138" i="5"/>
  <c r="CD2283" i="5"/>
  <c r="CD1005" i="5"/>
  <c r="CD765" i="5"/>
  <c r="CD2242" i="5"/>
  <c r="CD587" i="5"/>
  <c r="CD1303" i="5"/>
  <c r="CD1998" i="5"/>
  <c r="CD1611" i="5"/>
  <c r="CD1196" i="5"/>
  <c r="CD647" i="5"/>
  <c r="CD1597" i="5"/>
  <c r="CD1966" i="5"/>
  <c r="CD1790" i="5"/>
  <c r="CD395" i="5"/>
  <c r="CD19" i="5"/>
  <c r="CD560" i="5"/>
  <c r="CD912" i="5"/>
  <c r="CD1685" i="5"/>
  <c r="CD141" i="5"/>
  <c r="CD1718" i="5"/>
  <c r="CD276" i="5"/>
  <c r="CD1727" i="5"/>
  <c r="CD249" i="5"/>
  <c r="CD442" i="5"/>
  <c r="CD604" i="5"/>
  <c r="CD1445" i="5"/>
  <c r="CD2478" i="5"/>
  <c r="CD522" i="5"/>
  <c r="CD365" i="5"/>
  <c r="CD1424" i="5"/>
  <c r="CD1958" i="5"/>
  <c r="CD1642" i="5"/>
  <c r="CD2363" i="5"/>
  <c r="CD665" i="5"/>
  <c r="CD827" i="5"/>
  <c r="CD158" i="5"/>
  <c r="CD1240" i="5"/>
  <c r="CD543" i="5"/>
  <c r="CD2238" i="5"/>
  <c r="CD1195" i="5"/>
  <c r="CD1024" i="5"/>
  <c r="CD1876" i="5"/>
  <c r="CD219" i="5"/>
  <c r="CD1796" i="5"/>
  <c r="CD2004" i="5"/>
  <c r="CD2162" i="5"/>
  <c r="CD278" i="5"/>
  <c r="CD1519" i="5"/>
  <c r="CD550" i="5"/>
  <c r="CD2017" i="5"/>
  <c r="CD260" i="5"/>
  <c r="CD717" i="5"/>
  <c r="CD1216" i="5"/>
  <c r="CD471" i="5"/>
  <c r="CD558" i="5"/>
  <c r="CE558" i="5" s="1"/>
  <c r="CD340" i="5"/>
  <c r="CD314" i="5"/>
  <c r="CD847" i="5"/>
  <c r="CD313" i="5"/>
  <c r="CD586" i="5"/>
  <c r="CD1945" i="5"/>
  <c r="CD2263" i="5"/>
  <c r="CD1559" i="5"/>
  <c r="CD740" i="5"/>
  <c r="CD9" i="5"/>
  <c r="CD835" i="5"/>
  <c r="CD1500" i="5"/>
  <c r="CD1975" i="5"/>
  <c r="CD1847" i="5"/>
  <c r="CD943" i="5"/>
  <c r="CD486" i="5"/>
  <c r="CD627" i="5"/>
  <c r="CD1367" i="5"/>
  <c r="CD1913" i="5"/>
  <c r="CD334" i="5"/>
  <c r="CD2488" i="5"/>
  <c r="CD428" i="5"/>
  <c r="CD458" i="5"/>
  <c r="CD355" i="5"/>
  <c r="CD658" i="5"/>
  <c r="CD927" i="5"/>
  <c r="CD504" i="5"/>
  <c r="CD1791" i="5"/>
  <c r="CD1719" i="5"/>
  <c r="CD1413" i="5"/>
  <c r="CD2241" i="5"/>
  <c r="CD1877" i="5"/>
  <c r="CD380" i="5"/>
  <c r="CE380" i="5" s="1"/>
  <c r="CD1640" i="5"/>
  <c r="CD399" i="5"/>
  <c r="CD2359" i="5"/>
  <c r="CD2411" i="5"/>
  <c r="CD32" i="5"/>
  <c r="CD1486" i="5"/>
  <c r="CD1713" i="5"/>
  <c r="CD2201" i="5"/>
  <c r="CD1794" i="5"/>
  <c r="CD294" i="5"/>
  <c r="CD821" i="5"/>
  <c r="CD493" i="5"/>
  <c r="CD403" i="5"/>
  <c r="CD561" i="5"/>
  <c r="CD1115" i="5"/>
  <c r="CD205" i="5"/>
  <c r="CD1308" i="5"/>
  <c r="CD1057" i="5"/>
  <c r="CD160" i="5"/>
  <c r="CD1857" i="5"/>
  <c r="CD992" i="5"/>
  <c r="CD264" i="5"/>
  <c r="CD1346" i="5"/>
  <c r="CD137" i="5"/>
  <c r="CD1358" i="5"/>
  <c r="CD59" i="5"/>
  <c r="CD2001" i="5"/>
  <c r="CD1441" i="5"/>
  <c r="CD971" i="5"/>
  <c r="CD1376" i="5"/>
  <c r="CD1339" i="5"/>
  <c r="CE1339" i="5" s="1"/>
  <c r="CD62" i="5"/>
  <c r="CD2107" i="5"/>
  <c r="CD345" i="5"/>
  <c r="CD566" i="5"/>
  <c r="CD447" i="5"/>
  <c r="CD286" i="5"/>
  <c r="CD1066" i="5"/>
  <c r="CD1634" i="5"/>
  <c r="CD1407" i="5"/>
  <c r="CD100" i="5"/>
  <c r="CD1859" i="5"/>
  <c r="CD423" i="5"/>
  <c r="CE423" i="5" s="1"/>
  <c r="CD1181" i="5"/>
  <c r="CD1610" i="5"/>
  <c r="CD1089" i="5"/>
  <c r="CD1920" i="5"/>
  <c r="CD976" i="5"/>
  <c r="CD706" i="5"/>
  <c r="CD758" i="5"/>
  <c r="CD1632" i="5"/>
  <c r="CD962" i="5"/>
  <c r="CD1059" i="5"/>
  <c r="CD1988" i="5"/>
  <c r="CD1143" i="5"/>
  <c r="CE1143" i="5" s="1"/>
  <c r="CD2216" i="5"/>
  <c r="CD103" i="5"/>
  <c r="CD513" i="5"/>
  <c r="CD925" i="5"/>
  <c r="CD1306" i="5"/>
  <c r="CD226" i="5"/>
  <c r="CE226" i="5" s="1"/>
  <c r="CD1502" i="5"/>
  <c r="CD298" i="5"/>
  <c r="CD1106" i="5"/>
  <c r="CD468" i="5"/>
  <c r="CD2104" i="5"/>
  <c r="CD1349" i="5"/>
  <c r="CD1644" i="5"/>
  <c r="CD1529" i="5"/>
  <c r="CD736" i="5"/>
  <c r="CD826" i="5"/>
  <c r="CD247" i="5"/>
  <c r="CD995" i="5"/>
  <c r="CD170" i="5"/>
  <c r="CD2489" i="5"/>
  <c r="CD371" i="5"/>
  <c r="CD809" i="5"/>
  <c r="CD1356" i="5"/>
  <c r="CD1899" i="5"/>
  <c r="CD711" i="5"/>
  <c r="CD2413" i="5"/>
  <c r="CD1331" i="5"/>
  <c r="CD924" i="5"/>
  <c r="CD1735" i="5"/>
  <c r="CD2229" i="5"/>
  <c r="CD2007" i="5"/>
  <c r="CD767" i="5"/>
  <c r="CD520" i="5"/>
  <c r="CD638" i="5"/>
  <c r="CD1497" i="5"/>
  <c r="CD979" i="5"/>
  <c r="CD1506" i="5"/>
  <c r="CD1766" i="5"/>
  <c r="CD2422" i="5"/>
  <c r="CD1673" i="5"/>
  <c r="CD444" i="5"/>
  <c r="CD475" i="5"/>
  <c r="CD1163" i="5"/>
  <c r="CD518" i="5"/>
  <c r="CD1694" i="5"/>
  <c r="CD469" i="5"/>
  <c r="CD128" i="5"/>
  <c r="CD2190" i="5"/>
  <c r="CE2190" i="5" s="1"/>
  <c r="CD2380" i="5"/>
  <c r="CD2065" i="5"/>
  <c r="CD1552" i="5"/>
  <c r="CD85" i="5"/>
  <c r="CD2476" i="5"/>
  <c r="CD509" i="5"/>
  <c r="CD231" i="5"/>
  <c r="CD150" i="5"/>
  <c r="CD2431" i="5"/>
  <c r="CD1302" i="5"/>
  <c r="CD844" i="5"/>
  <c r="CD1676" i="5"/>
  <c r="CD1448" i="5"/>
  <c r="CD2288" i="5"/>
  <c r="CD1219" i="5"/>
  <c r="CD1728" i="5"/>
  <c r="CD1739" i="5"/>
  <c r="CD1175" i="5"/>
  <c r="CD270" i="5"/>
  <c r="CD1969" i="5"/>
  <c r="CD1703" i="5"/>
  <c r="CD2074" i="5"/>
  <c r="CD2249" i="5"/>
  <c r="CD184" i="5"/>
  <c r="CD242" i="5"/>
  <c r="CD234" i="5"/>
  <c r="CD483" i="5"/>
  <c r="CD1223" i="5"/>
  <c r="CD1053" i="5"/>
  <c r="CD1090" i="5"/>
  <c r="CD649" i="5"/>
  <c r="CD1325" i="5"/>
  <c r="CD2438" i="5"/>
  <c r="CD1164" i="5"/>
  <c r="CD1305" i="5"/>
  <c r="CD400" i="5"/>
  <c r="CD1837" i="5"/>
  <c r="CD1009" i="5"/>
  <c r="CD570" i="5"/>
  <c r="CD1517" i="5"/>
  <c r="CD1204" i="5"/>
  <c r="CD398" i="5"/>
  <c r="CD2040" i="5"/>
  <c r="CD1428" i="5"/>
  <c r="CD865" i="5"/>
  <c r="CD199" i="5"/>
  <c r="CD1233" i="5"/>
  <c r="CD392" i="5"/>
  <c r="CD1679" i="5"/>
  <c r="CD1923" i="5"/>
  <c r="CD494" i="5"/>
  <c r="CD947" i="5"/>
  <c r="CD1088" i="5"/>
  <c r="CD75" i="5"/>
  <c r="CD1020" i="5"/>
  <c r="CD1741" i="5"/>
  <c r="CD2135" i="5"/>
  <c r="CD728" i="5"/>
  <c r="CD1279" i="5"/>
  <c r="CD381" i="5"/>
  <c r="CD407" i="5"/>
  <c r="CD631" i="5"/>
  <c r="CD417" i="5"/>
  <c r="CD296" i="5"/>
  <c r="CD77" i="5"/>
  <c r="CD841" i="5"/>
  <c r="CD539" i="5"/>
  <c r="CD1118" i="5"/>
  <c r="CD917" i="5"/>
  <c r="CD6" i="5"/>
  <c r="CD2180" i="5"/>
  <c r="CD301" i="5"/>
  <c r="CD1337" i="5"/>
  <c r="CD916" i="5"/>
  <c r="CD229" i="5"/>
  <c r="CD228" i="5"/>
  <c r="CD166" i="5"/>
  <c r="CD454" i="5"/>
  <c r="CD577" i="5"/>
  <c r="CD2345" i="5"/>
  <c r="CD1774" i="5"/>
  <c r="CD130" i="5"/>
  <c r="CD1557" i="5"/>
  <c r="CD1882" i="5"/>
  <c r="CD2406" i="5"/>
  <c r="CD763" i="5"/>
  <c r="CD1769" i="5"/>
  <c r="CD436" i="5"/>
  <c r="CD1271" i="5"/>
  <c r="CD47" i="5"/>
  <c r="CD1430" i="5"/>
  <c r="CD1443" i="5"/>
  <c r="CD82" i="5"/>
  <c r="CD613" i="5"/>
  <c r="CD342" i="5"/>
  <c r="CD1633" i="5"/>
  <c r="CD2145" i="5"/>
  <c r="CD1592" i="5"/>
  <c r="CD12" i="5"/>
  <c r="CD1437" i="5"/>
  <c r="CD1301" i="5"/>
  <c r="CD1630" i="5"/>
  <c r="CD818" i="5"/>
  <c r="CD1133" i="5"/>
  <c r="CD755" i="5"/>
  <c r="CD360" i="5"/>
  <c r="CD438" i="5"/>
  <c r="CD374" i="5"/>
  <c r="CD2306" i="5"/>
  <c r="CD327" i="5"/>
  <c r="CD163" i="5"/>
  <c r="CD1898" i="5"/>
  <c r="CD1904" i="5"/>
  <c r="CD440" i="5"/>
  <c r="CD1738" i="5"/>
  <c r="CD1287" i="5"/>
  <c r="CD1982" i="5"/>
  <c r="CD2292" i="5"/>
  <c r="CD1396" i="5"/>
  <c r="CD433" i="5"/>
  <c r="CD2244" i="5"/>
  <c r="CD414" i="5"/>
  <c r="CD2397" i="5"/>
  <c r="CD2269" i="5"/>
  <c r="CD1562" i="5"/>
  <c r="CD650" i="5"/>
  <c r="CD1137" i="5"/>
  <c r="CD512" i="5"/>
  <c r="CD384" i="5"/>
  <c r="CD451" i="5"/>
  <c r="CD2368" i="5"/>
  <c r="CD2176" i="5"/>
  <c r="CD87" i="5"/>
  <c r="CD479" i="5"/>
  <c r="CD1556" i="5"/>
  <c r="CD2331" i="5"/>
  <c r="CD708" i="5"/>
  <c r="CD2212" i="5"/>
  <c r="CD2105" i="5"/>
  <c r="CD2427" i="5"/>
  <c r="CD628" i="5"/>
  <c r="CD350" i="5"/>
  <c r="CD2446" i="5"/>
  <c r="CD221" i="5"/>
  <c r="CD362" i="5"/>
  <c r="CD1972" i="5"/>
  <c r="CD1268" i="5"/>
  <c r="CD1708" i="5"/>
  <c r="CE2472" i="5"/>
  <c r="CG2472" i="5" s="1"/>
  <c r="CE2480" i="5"/>
  <c r="CG2480" i="5" s="1"/>
  <c r="CE2471" i="5"/>
  <c r="CG2471" i="5" s="1"/>
  <c r="CE2484" i="5"/>
  <c r="CG2484" i="5" s="1"/>
  <c r="CE2487" i="5"/>
  <c r="CG2487" i="5" s="1"/>
  <c r="CE2486" i="5"/>
  <c r="CG2486" i="5" s="1"/>
  <c r="CE2482" i="5"/>
  <c r="CG2482" i="5" s="1"/>
  <c r="CE2467" i="5"/>
  <c r="CG2467" i="5" s="1"/>
  <c r="CE2468" i="5"/>
  <c r="CG2468" i="5" s="1"/>
  <c r="CE2473" i="5"/>
  <c r="CG2473" i="5" s="1"/>
  <c r="CE2474" i="5"/>
  <c r="CG2474" i="5" s="1"/>
  <c r="CE2475" i="5"/>
  <c r="CG2475" i="5" s="1"/>
  <c r="CE2477" i="5"/>
  <c r="CG2477" i="5" s="1"/>
  <c r="CE2469" i="5"/>
  <c r="CG2469" i="5" s="1"/>
  <c r="CE2466" i="5"/>
  <c r="CG2466" i="5" s="1"/>
  <c r="CE2481" i="5"/>
  <c r="CG2481" i="5" s="1"/>
  <c r="CE2485" i="5"/>
  <c r="CG2485" i="5" s="1"/>
  <c r="CE2479" i="5"/>
  <c r="CG2479" i="5" s="1"/>
  <c r="CE2483" i="5"/>
  <c r="CG2483" i="5" s="1"/>
  <c r="BO35" i="1"/>
  <c r="BO74" i="1"/>
  <c r="BO143" i="1"/>
  <c r="BO180" i="1"/>
  <c r="BO137" i="1"/>
  <c r="CE2267" i="5"/>
  <c r="CG2267" i="5" s="1"/>
  <c r="CE1933" i="5"/>
  <c r="CG1933" i="5" s="1"/>
  <c r="BO171" i="1"/>
  <c r="BO189" i="1"/>
  <c r="BO136" i="1"/>
  <c r="CE2284" i="5"/>
  <c r="CG2284" i="5" s="1"/>
  <c r="BO96" i="1"/>
  <c r="BO215" i="1"/>
  <c r="BO64" i="1"/>
  <c r="BO95" i="1"/>
  <c r="BO208" i="1"/>
  <c r="BO259" i="1"/>
  <c r="CE2092" i="5"/>
  <c r="CG2092" i="5" s="1"/>
  <c r="CE2387" i="5"/>
  <c r="CG2387" i="5" s="1"/>
  <c r="CE1684" i="5"/>
  <c r="CG1684" i="5" s="1"/>
  <c r="CE1683" i="5"/>
  <c r="CG1683" i="5" s="1"/>
  <c r="CE1417" i="5"/>
  <c r="CG1417" i="5" s="1"/>
  <c r="BO133" i="1"/>
  <c r="CE2327" i="5"/>
  <c r="CG2327" i="5" s="1"/>
  <c r="CE2262" i="5"/>
  <c r="CG2262" i="5" s="1"/>
  <c r="CE2393" i="5"/>
  <c r="CG2393" i="5" s="1"/>
  <c r="CE1902" i="5"/>
  <c r="CG1902" i="5" s="1"/>
  <c r="BO145" i="1"/>
  <c r="BO108" i="1"/>
  <c r="BO30" i="1"/>
  <c r="CE2200" i="5"/>
  <c r="CG2200" i="5" s="1"/>
  <c r="CE2286" i="5"/>
  <c r="CG2286" i="5" s="1"/>
  <c r="CE2423" i="5"/>
  <c r="CG2423" i="5" s="1"/>
  <c r="BO40" i="1"/>
  <c r="BO196" i="1"/>
  <c r="BO169" i="1"/>
  <c r="CE2089" i="5"/>
  <c r="CG2089" i="5" s="1"/>
  <c r="CE2020" i="5"/>
  <c r="CG2020" i="5" s="1"/>
  <c r="BO110" i="1"/>
  <c r="CE2091" i="5"/>
  <c r="CG2091" i="5" s="1"/>
  <c r="CE2159" i="5"/>
  <c r="CG2159" i="5" s="1"/>
  <c r="CE2225" i="5"/>
  <c r="CG2225" i="5" s="1"/>
  <c r="BO288" i="1"/>
  <c r="BO125" i="1"/>
  <c r="CE2090" i="5"/>
  <c r="CG2090" i="5" s="1"/>
  <c r="BO243" i="1"/>
  <c r="BO42" i="1"/>
  <c r="BO227" i="1"/>
  <c r="CE1900" i="5"/>
  <c r="CG1900" i="5" s="1"/>
  <c r="CE2388" i="5"/>
  <c r="CG2388" i="5" s="1"/>
  <c r="CE1132" i="5"/>
  <c r="CG1132" i="5" s="1"/>
  <c r="CE1992" i="5"/>
  <c r="CG1992" i="5" s="1"/>
  <c r="BO99" i="1"/>
  <c r="BO78" i="1"/>
  <c r="BO256" i="1"/>
  <c r="BO231" i="1"/>
  <c r="BO279" i="1"/>
  <c r="BO24" i="1"/>
  <c r="BO241" i="1"/>
  <c r="BO36" i="1"/>
  <c r="BO253" i="1"/>
  <c r="BO203" i="1"/>
  <c r="BO268" i="1"/>
  <c r="BO29" i="1"/>
  <c r="BO109" i="1"/>
  <c r="BO147" i="1"/>
  <c r="BO126" i="1"/>
  <c r="BO87" i="1"/>
  <c r="BO183" i="1"/>
  <c r="BO4" i="1"/>
  <c r="BO148" i="1"/>
  <c r="BO144" i="1"/>
  <c r="BO252" i="1"/>
  <c r="BO160" i="1"/>
  <c r="BO245" i="1"/>
  <c r="BO98" i="1"/>
  <c r="BO172" i="1"/>
  <c r="BO174" i="1"/>
  <c r="BO278" i="1"/>
  <c r="BO13" i="1"/>
  <c r="BO219" i="1"/>
  <c r="BO123" i="1"/>
  <c r="BO27" i="1"/>
  <c r="BO155" i="1"/>
  <c r="BO39" i="1"/>
  <c r="BO157" i="1"/>
  <c r="BO51" i="1"/>
  <c r="BO101" i="1"/>
  <c r="BO191" i="1"/>
  <c r="BO25" i="1"/>
  <c r="BO63" i="1"/>
  <c r="BO132" i="1"/>
  <c r="BO139" i="1"/>
  <c r="BO71" i="1"/>
  <c r="BO263" i="1"/>
  <c r="BO229" i="1"/>
  <c r="BO5" i="1"/>
  <c r="BO151" i="1"/>
  <c r="BO26" i="1"/>
  <c r="BO170" i="1"/>
  <c r="BO100" i="1"/>
  <c r="BO173" i="1"/>
  <c r="BO102" i="1"/>
  <c r="BO135" i="1"/>
  <c r="BO3" i="1"/>
  <c r="BO124" i="1"/>
  <c r="BO131" i="1"/>
  <c r="BO15" i="1"/>
  <c r="BO209" i="1"/>
  <c r="BO242" i="1"/>
  <c r="BO207" i="1"/>
  <c r="BO16" i="1"/>
  <c r="BO89" i="1"/>
  <c r="BO162" i="1"/>
  <c r="BO244" i="1"/>
  <c r="BO257" i="1"/>
  <c r="BO120" i="1"/>
  <c r="BO181" i="1"/>
  <c r="BO269" i="1"/>
  <c r="BO287" i="1"/>
  <c r="BO255" i="1"/>
  <c r="BO52" i="1"/>
  <c r="BO59" i="1"/>
  <c r="BO239" i="1"/>
  <c r="BO134" i="1"/>
  <c r="BO73" i="1"/>
  <c r="BO258" i="1"/>
  <c r="BO60" i="1"/>
  <c r="BO204" i="1"/>
  <c r="BO206" i="1"/>
  <c r="BO53" i="1"/>
  <c r="BO197" i="1"/>
  <c r="BO119" i="1"/>
  <c r="BO72" i="1"/>
  <c r="BO232" i="1"/>
  <c r="BO47" i="1"/>
  <c r="BO37" i="1"/>
  <c r="BO205" i="1"/>
  <c r="BO198" i="1"/>
  <c r="BO12" i="1"/>
  <c r="BO156" i="1"/>
  <c r="BO61" i="1"/>
  <c r="BO76" i="1"/>
  <c r="BO220" i="1"/>
  <c r="BO149" i="1"/>
  <c r="BO222" i="1"/>
  <c r="BO267" i="1"/>
  <c r="BO264" i="1"/>
  <c r="BO14" i="1"/>
  <c r="BO158" i="1"/>
  <c r="BO111" i="1"/>
  <c r="BO88" i="1"/>
  <c r="BO17" i="1"/>
  <c r="BO161" i="1"/>
  <c r="BO90" i="1"/>
  <c r="BO228" i="1"/>
  <c r="BO48" i="1"/>
  <c r="BO97" i="1"/>
  <c r="BO289" i="1"/>
  <c r="BO38" i="1"/>
  <c r="BO182" i="1"/>
  <c r="BO41" i="1"/>
  <c r="BO185" i="1"/>
  <c r="BO114" i="1"/>
  <c r="BO62" i="1"/>
  <c r="BO218" i="1"/>
  <c r="BO159" i="1"/>
  <c r="BO65" i="1"/>
  <c r="BO77" i="1"/>
  <c r="BO233" i="1"/>
  <c r="BO150" i="1"/>
  <c r="BO280" i="1"/>
  <c r="BO254" i="1"/>
  <c r="BO84" i="1"/>
  <c r="BO230" i="1"/>
  <c r="BO285" i="1"/>
  <c r="BO115" i="1"/>
  <c r="BO261" i="1"/>
  <c r="BO86" i="1"/>
  <c r="BO18" i="1"/>
  <c r="BO153" i="1"/>
  <c r="BO167" i="1"/>
  <c r="BO276" i="1"/>
  <c r="BO28" i="1"/>
  <c r="BO10" i="1"/>
  <c r="BO284" i="1"/>
  <c r="BO281" i="1"/>
  <c r="BO146" i="1"/>
  <c r="BO82" i="1"/>
  <c r="BO166" i="1"/>
  <c r="BO199" i="1"/>
  <c r="BO83" i="1"/>
  <c r="BO168" i="1"/>
  <c r="BO213" i="1"/>
  <c r="BO85" i="1"/>
  <c r="BO195" i="1"/>
  <c r="BO44" i="1"/>
  <c r="BO49" i="1"/>
  <c r="BO217" i="1"/>
  <c r="BO66" i="1"/>
  <c r="BO210" i="1"/>
  <c r="BO236" i="1"/>
  <c r="BO46" i="1"/>
  <c r="BO127" i="1"/>
  <c r="BO214" i="1"/>
  <c r="BO104" i="1"/>
  <c r="BO142" i="1"/>
  <c r="BO282" i="1"/>
  <c r="BO8" i="1"/>
  <c r="BO273" i="1"/>
  <c r="BO22" i="1"/>
  <c r="BO141" i="1"/>
  <c r="BO234" i="1"/>
  <c r="BO187" i="1"/>
  <c r="BO246" i="1"/>
  <c r="BO7" i="1"/>
  <c r="BO45" i="1"/>
  <c r="BO118" i="1"/>
  <c r="BO67" i="1"/>
  <c r="BO190" i="1"/>
  <c r="BO237" i="1"/>
  <c r="BO225" i="1"/>
  <c r="BO81" i="1"/>
  <c r="BO165" i="1"/>
  <c r="BO272" i="1"/>
  <c r="BO21" i="1"/>
  <c r="BO103" i="1"/>
  <c r="BO235" i="1"/>
  <c r="BO192" i="1"/>
  <c r="BO112" i="1"/>
  <c r="BO270" i="1"/>
  <c r="BO251" i="1"/>
  <c r="BO80" i="1"/>
  <c r="BO117" i="1"/>
  <c r="BO212" i="1"/>
  <c r="BO58" i="1"/>
  <c r="BO140" i="1"/>
  <c r="BO248" i="1"/>
  <c r="BO50" i="1"/>
  <c r="BO221" i="1"/>
  <c r="BO43" i="1"/>
  <c r="BO116" i="1"/>
  <c r="BO164" i="1"/>
  <c r="BO262" i="1"/>
  <c r="BO20" i="1"/>
  <c r="BO94" i="1"/>
  <c r="BO178" i="1"/>
  <c r="BO34" i="1"/>
  <c r="BO216" i="1"/>
  <c r="BO121" i="1"/>
  <c r="BO138" i="1"/>
  <c r="BO266" i="1"/>
  <c r="BO179" i="1"/>
  <c r="BO277" i="1"/>
  <c r="BO249" i="1"/>
  <c r="BO79" i="1"/>
  <c r="BO154" i="1"/>
  <c r="BO211" i="1"/>
  <c r="BO57" i="1"/>
  <c r="BO130" i="1"/>
  <c r="BO226" i="1"/>
  <c r="BO70" i="1"/>
  <c r="BO202" i="1"/>
  <c r="BO19" i="1"/>
  <c r="BO93" i="1"/>
  <c r="BO177" i="1"/>
  <c r="BO106" i="1"/>
  <c r="BO194" i="1"/>
  <c r="BO260" i="1"/>
  <c r="BO56" i="1"/>
  <c r="BO129" i="1"/>
  <c r="BO224" i="1"/>
  <c r="BO152" i="1"/>
  <c r="BO271" i="1"/>
  <c r="BO188" i="1"/>
  <c r="BO201" i="1"/>
  <c r="BO92" i="1"/>
  <c r="BO176" i="1"/>
  <c r="BO33" i="1"/>
  <c r="BO200" i="1"/>
  <c r="BO113" i="1"/>
  <c r="BO186" i="1"/>
  <c r="BO247" i="1"/>
  <c r="BO265" i="1"/>
  <c r="BO286" i="1"/>
  <c r="BO250" i="1"/>
  <c r="BO55" i="1"/>
  <c r="BO128" i="1"/>
  <c r="BO223" i="1"/>
  <c r="BO32" i="1"/>
  <c r="BO69" i="1"/>
  <c r="BO122" i="1"/>
  <c r="BO75" i="1"/>
  <c r="BO54" i="1"/>
  <c r="BO31" i="1"/>
  <c r="BO163" i="1"/>
  <c r="BO193" i="1"/>
  <c r="BO283" i="1"/>
  <c r="BO275" i="1"/>
  <c r="BO9" i="1"/>
  <c r="BO91" i="1"/>
  <c r="BO175" i="1"/>
  <c r="BO274" i="1"/>
  <c r="BO68" i="1"/>
  <c r="BO105" i="1"/>
  <c r="CE1496" i="5"/>
  <c r="CG1496" i="5" s="1"/>
  <c r="CE1017" i="5"/>
  <c r="CG1017" i="5" s="1"/>
  <c r="CE2195" i="5"/>
  <c r="CG2195" i="5" s="1"/>
  <c r="CE165" i="5"/>
  <c r="CG165" i="5" s="1"/>
  <c r="CE572" i="5"/>
  <c r="CG572" i="5" s="1"/>
  <c r="CE1007" i="5"/>
  <c r="CG1007" i="5" s="1"/>
  <c r="CE1315" i="5"/>
  <c r="CG1315" i="5" s="1"/>
  <c r="CE939" i="5"/>
  <c r="CG939" i="5" s="1"/>
  <c r="CE868" i="5"/>
  <c r="CG868" i="5" s="1"/>
  <c r="CE2270" i="5"/>
  <c r="CG2270" i="5" s="1"/>
  <c r="CE1663" i="5"/>
  <c r="CG1663" i="5" s="1"/>
  <c r="CE920" i="5"/>
  <c r="CG920" i="5" s="1"/>
  <c r="CE230" i="5"/>
  <c r="CG230" i="5" s="1"/>
  <c r="CE1382" i="5"/>
  <c r="CG1382" i="5" s="1"/>
  <c r="CE2314" i="5"/>
  <c r="CG2314" i="5" s="1"/>
  <c r="CE1390" i="5"/>
  <c r="CG1390" i="5" s="1"/>
  <c r="CE642" i="5"/>
  <c r="CG642" i="5" s="1"/>
  <c r="CE1068" i="5"/>
  <c r="CG1068" i="5" s="1"/>
  <c r="CE712" i="5"/>
  <c r="CG712" i="5" s="1"/>
  <c r="CE804" i="5"/>
  <c r="CG804" i="5" s="1"/>
  <c r="CE1229" i="5"/>
  <c r="CG1229" i="5" s="1"/>
  <c r="CE495" i="5"/>
  <c r="CG495" i="5" s="1"/>
  <c r="CE2208" i="5"/>
  <c r="CG2208" i="5" s="1"/>
  <c r="CE2175" i="5"/>
  <c r="CG2175" i="5" s="1"/>
  <c r="CE1720" i="5"/>
  <c r="CG1720" i="5" s="1"/>
  <c r="CE2298" i="5"/>
  <c r="CG2298" i="5" s="1"/>
  <c r="CE1660" i="5"/>
  <c r="CG1660" i="5" s="1"/>
  <c r="CE521" i="5"/>
  <c r="CG521" i="5" s="1"/>
  <c r="CE1528" i="5"/>
  <c r="CG1528" i="5" s="1"/>
  <c r="CE453" i="5"/>
  <c r="CG453" i="5" s="1"/>
  <c r="CE33" i="5"/>
  <c r="CG33" i="5" s="1"/>
  <c r="CE2123" i="5"/>
  <c r="CG2123" i="5" s="1"/>
  <c r="CE123" i="5"/>
  <c r="CG123" i="5" s="1"/>
  <c r="CE2376" i="5"/>
  <c r="CG2376" i="5" s="1"/>
  <c r="CE1420" i="5"/>
  <c r="CG1420" i="5" s="1"/>
  <c r="CE2143" i="5"/>
  <c r="CG2143" i="5" s="1"/>
  <c r="CE505" i="5"/>
  <c r="CG505" i="5" s="1"/>
  <c r="CE2412" i="5"/>
  <c r="CG2412" i="5" s="1"/>
  <c r="CE803" i="5"/>
  <c r="CG803" i="5" s="1"/>
  <c r="CE1812" i="5"/>
  <c r="CG1812" i="5" s="1"/>
  <c r="CE21" i="5"/>
  <c r="CG21" i="5" s="1"/>
  <c r="CE1434" i="5"/>
  <c r="CG1434" i="5" s="1"/>
  <c r="CE862" i="5"/>
  <c r="CG862" i="5" s="1"/>
  <c r="CE1823" i="5"/>
  <c r="CG1823" i="5" s="1"/>
  <c r="CE2075" i="5"/>
  <c r="CG2075" i="5" s="1"/>
  <c r="CE1925" i="5"/>
  <c r="CG1925" i="5" s="1"/>
  <c r="CE830" i="5"/>
  <c r="CG830" i="5" s="1"/>
  <c r="CE16" i="5"/>
  <c r="CG16" i="5" s="1"/>
  <c r="CE677" i="5"/>
  <c r="CG677" i="5" s="1"/>
  <c r="CE1831" i="5"/>
  <c r="CG1831" i="5" s="1"/>
  <c r="CE2165" i="5"/>
  <c r="CG2165" i="5" s="1"/>
  <c r="CE831" i="5"/>
  <c r="CG831" i="5" s="1"/>
  <c r="CE1792" i="5"/>
  <c r="CG1792" i="5" s="1"/>
  <c r="CE1247" i="5"/>
  <c r="CG1247" i="5" s="1"/>
  <c r="CE822" i="5"/>
  <c r="CG822" i="5" s="1"/>
  <c r="CE240" i="5"/>
  <c r="CG240" i="5" s="1"/>
  <c r="CE1056" i="5"/>
  <c r="CG1056" i="5" s="1"/>
  <c r="CE238" i="5"/>
  <c r="CG238" i="5" s="1"/>
  <c r="CE1700" i="5"/>
  <c r="CG1700" i="5" s="1"/>
  <c r="CE168" i="5"/>
  <c r="CG168" i="5" s="1"/>
  <c r="CE567" i="5"/>
  <c r="CG567" i="5" s="1"/>
  <c r="CE275" i="5"/>
  <c r="CG275" i="5" s="1"/>
  <c r="CE2151" i="5"/>
  <c r="CG2151" i="5" s="1"/>
  <c r="CE967" i="5"/>
  <c r="CG967" i="5" s="1"/>
  <c r="CE1563" i="5"/>
  <c r="CG1563" i="5" s="1"/>
  <c r="CE2425" i="5"/>
  <c r="CG2425" i="5" s="1"/>
  <c r="CE612" i="5"/>
  <c r="CG612" i="5" s="1"/>
  <c r="CE1391" i="5"/>
  <c r="CG1391" i="5" s="1"/>
  <c r="CE2408" i="5"/>
  <c r="CG2408" i="5" s="1"/>
  <c r="CE500" i="5"/>
  <c r="CG500" i="5" s="1"/>
  <c r="CE714" i="5"/>
  <c r="CG714" i="5" s="1"/>
  <c r="CE888" i="5"/>
  <c r="CG888" i="5" s="1"/>
  <c r="CE1785" i="5"/>
  <c r="CG1785" i="5" s="1"/>
  <c r="CE857" i="5"/>
  <c r="CG857" i="5" s="1"/>
  <c r="CE1600" i="5"/>
  <c r="CG1600" i="5" s="1"/>
  <c r="CE2059" i="5"/>
  <c r="CG2059" i="5" s="1"/>
  <c r="CE1348" i="5"/>
  <c r="CG1348" i="5" s="1"/>
  <c r="CE146" i="5"/>
  <c r="CG146" i="5" s="1"/>
  <c r="CE2186" i="5"/>
  <c r="CG2186" i="5" s="1"/>
  <c r="CE594" i="5"/>
  <c r="CG594" i="5" s="1"/>
  <c r="CE2167" i="5"/>
  <c r="CG2167" i="5" s="1"/>
  <c r="CE2021" i="5"/>
  <c r="CG2021" i="5" s="1"/>
  <c r="CE1423" i="5"/>
  <c r="CG1423" i="5" s="1"/>
  <c r="CE2050" i="5"/>
  <c r="CG2050" i="5" s="1"/>
  <c r="CE563" i="5"/>
  <c r="CG563" i="5" s="1"/>
  <c r="CE1104" i="5"/>
  <c r="CG1104" i="5" s="1"/>
  <c r="CE1593" i="5"/>
  <c r="CG1593" i="5" s="1"/>
  <c r="CE189" i="5"/>
  <c r="CG189" i="5" s="1"/>
  <c r="CE876" i="5"/>
  <c r="CG876" i="5" s="1"/>
  <c r="CE2171" i="5"/>
  <c r="CG2171" i="5" s="1"/>
  <c r="CE42" i="5"/>
  <c r="CG42" i="5" s="1"/>
  <c r="CE2125" i="5"/>
  <c r="CG2125" i="5" s="1"/>
  <c r="CE1408" i="5"/>
  <c r="CG1408" i="5" s="1"/>
  <c r="CE1606" i="5"/>
  <c r="CG1606" i="5" s="1"/>
  <c r="CE954" i="5"/>
  <c r="CG954" i="5" s="1"/>
  <c r="CE101" i="5"/>
  <c r="CG101" i="5" s="1"/>
  <c r="CE1980" i="5"/>
  <c r="CG1980" i="5" s="1"/>
  <c r="CE1714" i="5"/>
  <c r="CG1714" i="5" s="1"/>
  <c r="CE180" i="5"/>
  <c r="CG180" i="5" s="1"/>
  <c r="CE97" i="5"/>
  <c r="CG97" i="5" s="1"/>
  <c r="CE1261" i="5"/>
  <c r="CG1261" i="5" s="1"/>
  <c r="CE10" i="5"/>
  <c r="CG10" i="5" s="1"/>
  <c r="CE2383" i="5"/>
  <c r="CG2383" i="5" s="1"/>
  <c r="CE2307" i="5"/>
  <c r="CG2307" i="5" s="1"/>
  <c r="CE955" i="5"/>
  <c r="CG955" i="5" s="1"/>
  <c r="CE321" i="5"/>
  <c r="CG321" i="5" s="1"/>
  <c r="CE2138" i="5"/>
  <c r="CG2138" i="5" s="1"/>
  <c r="CE1404" i="5"/>
  <c r="CG1404" i="5" s="1"/>
  <c r="CE2373" i="5"/>
  <c r="CG2373" i="5" s="1"/>
  <c r="CE478" i="5"/>
  <c r="CG478" i="5" s="1"/>
  <c r="CE1819" i="5"/>
  <c r="CG1819" i="5" s="1"/>
  <c r="CE816" i="5"/>
  <c r="CG816" i="5" s="1"/>
  <c r="CE2316" i="5"/>
  <c r="CG2316" i="5" s="1"/>
  <c r="CE1108" i="5"/>
  <c r="CG1108" i="5" s="1"/>
  <c r="CE1753" i="5"/>
  <c r="CG1753" i="5" s="1"/>
  <c r="CE1415" i="5"/>
  <c r="CG1415" i="5" s="1"/>
  <c r="CE502" i="5"/>
  <c r="CG502" i="5" s="1"/>
  <c r="CE1822" i="5"/>
  <c r="CG1822" i="5" s="1"/>
  <c r="CE1833" i="5"/>
  <c r="CG1833" i="5" s="1"/>
  <c r="CE898" i="5"/>
  <c r="CG898" i="5" s="1"/>
  <c r="CE209" i="5"/>
  <c r="CG209" i="5" s="1"/>
  <c r="CE849" i="5"/>
  <c r="CG849" i="5" s="1"/>
  <c r="CE1712" i="5"/>
  <c r="CG1712" i="5" s="1"/>
  <c r="CE1184" i="5"/>
  <c r="CG1184" i="5" s="1"/>
  <c r="CE112" i="5"/>
  <c r="CG112" i="5" s="1"/>
  <c r="CE8" i="5"/>
  <c r="CG8" i="5" s="1"/>
  <c r="CE1763" i="5"/>
  <c r="CG1763" i="5" s="1"/>
  <c r="CE177" i="5"/>
  <c r="CG177" i="5" s="1"/>
  <c r="CE1865" i="5"/>
  <c r="CG1865" i="5" s="1"/>
  <c r="CE214" i="5"/>
  <c r="CG214" i="5" s="1"/>
  <c r="CE535" i="5"/>
  <c r="CG535" i="5" s="1"/>
  <c r="CE1093" i="5"/>
  <c r="CG1093" i="5" s="1"/>
  <c r="CE1979" i="5"/>
  <c r="CG1979" i="5" s="1"/>
  <c r="CE265" i="5"/>
  <c r="CG265" i="5" s="1"/>
  <c r="CE1868" i="5"/>
  <c r="CG1868" i="5" s="1"/>
  <c r="CE2163" i="5"/>
  <c r="CG2163" i="5" s="1"/>
  <c r="CE996" i="5"/>
  <c r="CG996" i="5" s="1"/>
  <c r="CE661" i="5"/>
  <c r="CG661" i="5" s="1"/>
  <c r="CE1026" i="5"/>
  <c r="CG1026" i="5" s="1"/>
  <c r="CE1307" i="5"/>
  <c r="CG1307" i="5" s="1"/>
  <c r="CE311" i="5"/>
  <c r="CG311" i="5" s="1"/>
  <c r="CE1248" i="5"/>
  <c r="CG1248" i="5" s="1"/>
  <c r="CE191" i="5"/>
  <c r="CG191" i="5" s="1"/>
  <c r="CE2103" i="5"/>
  <c r="CG2103" i="5" s="1"/>
  <c r="CE2409" i="5"/>
  <c r="CG2409" i="5" s="1"/>
  <c r="CE1771" i="5"/>
  <c r="CG1771" i="5" s="1"/>
  <c r="CE2094" i="5"/>
  <c r="CG2094" i="5" s="1"/>
  <c r="CE1144" i="5"/>
  <c r="CG1144" i="5" s="1"/>
  <c r="CE1109" i="5"/>
  <c r="CG1109" i="5" s="1"/>
  <c r="CE434" i="5"/>
  <c r="CG434" i="5" s="1"/>
  <c r="CE1586" i="5"/>
  <c r="CG1586" i="5" s="1"/>
  <c r="CE562" i="5"/>
  <c r="CG562" i="5" s="1"/>
  <c r="CE1671" i="5"/>
  <c r="CG1671" i="5" s="1"/>
  <c r="CE2047" i="5"/>
  <c r="CG2047" i="5" s="1"/>
  <c r="CE630" i="5"/>
  <c r="CG630" i="5" s="1"/>
  <c r="CE2100" i="5"/>
  <c r="CG2100" i="5" s="1"/>
  <c r="CE869" i="5"/>
  <c r="CG869" i="5" s="1"/>
  <c r="CE2281" i="5"/>
  <c r="CG2281" i="5" s="1"/>
  <c r="CE251" i="5"/>
  <c r="CG251" i="5" s="1"/>
  <c r="CE1015" i="5"/>
  <c r="CG1015" i="5" s="1"/>
  <c r="CE1361" i="5"/>
  <c r="CG1361" i="5" s="1"/>
  <c r="CE1320" i="5"/>
  <c r="CG1320" i="5" s="1"/>
  <c r="CE501" i="5"/>
  <c r="CG501" i="5" s="1"/>
  <c r="CE1629" i="5"/>
  <c r="CG1629" i="5" s="1"/>
  <c r="CE1316" i="5"/>
  <c r="CG1316" i="5" s="1"/>
  <c r="CE1698" i="5"/>
  <c r="CG1698" i="5" s="1"/>
  <c r="CE725" i="5"/>
  <c r="CG725" i="5" s="1"/>
  <c r="CE1983" i="5"/>
  <c r="CG1983" i="5" s="1"/>
  <c r="CE1085" i="5"/>
  <c r="CG1085" i="5" s="1"/>
  <c r="CE1950" i="5"/>
  <c r="CG1950" i="5" s="1"/>
  <c r="CE412" i="5"/>
  <c r="CG412" i="5" s="1"/>
  <c r="CE472" i="5"/>
  <c r="CG472" i="5" s="1"/>
  <c r="CE364" i="5"/>
  <c r="CG364" i="5" s="1"/>
  <c r="CE1011" i="5"/>
  <c r="CG1011" i="5" s="1"/>
  <c r="CE2191" i="5"/>
  <c r="CG2191" i="5" s="1"/>
  <c r="CE2197" i="5"/>
  <c r="CG2197" i="5" s="1"/>
  <c r="CE2312" i="5"/>
  <c r="CG2312" i="5" s="1"/>
  <c r="CE1438" i="5"/>
  <c r="CG1438" i="5" s="1"/>
  <c r="CE2420" i="5"/>
  <c r="CG2420" i="5" s="1"/>
  <c r="CE1757" i="5"/>
  <c r="CG1757" i="5" s="1"/>
  <c r="CE132" i="5"/>
  <c r="CG132" i="5" s="1"/>
  <c r="CE2039" i="5"/>
  <c r="CG2039" i="5" s="1"/>
  <c r="CE1705" i="5"/>
  <c r="CG1705" i="5" s="1"/>
  <c r="CE2228" i="5"/>
  <c r="CG2228" i="5" s="1"/>
  <c r="CE741" i="5"/>
  <c r="CG741" i="5" s="1"/>
  <c r="CE1327" i="5"/>
  <c r="CG1327" i="5" s="1"/>
  <c r="CE2325" i="5"/>
  <c r="CG2325" i="5" s="1"/>
  <c r="CE1512" i="5"/>
  <c r="CG1512" i="5" s="1"/>
  <c r="CE68" i="5"/>
  <c r="CG68" i="5" s="1"/>
  <c r="CE2371" i="5"/>
  <c r="CG2371" i="5" s="1"/>
  <c r="CE1569" i="5"/>
  <c r="CG1569" i="5" s="1"/>
  <c r="CE396" i="5"/>
  <c r="CG396" i="5" s="1"/>
  <c r="CE337" i="5"/>
  <c r="CG337" i="5" s="1"/>
  <c r="CE1971" i="5"/>
  <c r="CG1971" i="5" s="1"/>
  <c r="CE1748" i="5"/>
  <c r="CG1748" i="5" s="1"/>
  <c r="CE727" i="5"/>
  <c r="CG727" i="5" s="1"/>
  <c r="CE1099" i="5"/>
  <c r="CG1099" i="5" s="1"/>
  <c r="CE2350" i="5"/>
  <c r="CG2350" i="5" s="1"/>
  <c r="CE965" i="5"/>
  <c r="CG965" i="5" s="1"/>
  <c r="CE43" i="5"/>
  <c r="CG43" i="5" s="1"/>
  <c r="CE14" i="5"/>
  <c r="CG14" i="5" s="1"/>
  <c r="CE397" i="5"/>
  <c r="CG397" i="5" s="1"/>
  <c r="CE2351" i="5"/>
  <c r="CG2351" i="5" s="1"/>
  <c r="CE288" i="5"/>
  <c r="CG288" i="5" s="1"/>
  <c r="CE2202" i="5"/>
  <c r="CG2202" i="5" s="1"/>
  <c r="CE1170" i="5"/>
  <c r="CG1170" i="5" s="1"/>
  <c r="CE2295" i="5"/>
  <c r="CG2295" i="5" s="1"/>
  <c r="CE1704" i="5"/>
  <c r="CG1704" i="5" s="1"/>
  <c r="CE960" i="5"/>
  <c r="CG960" i="5" s="1"/>
  <c r="CE94" i="5"/>
  <c r="CG94" i="5" s="1"/>
  <c r="CE859" i="5"/>
  <c r="CG859" i="5" s="1"/>
  <c r="CE2053" i="5"/>
  <c r="CG2053" i="5" s="1"/>
  <c r="CE579" i="5"/>
  <c r="CG579" i="5" s="1"/>
  <c r="CE1508" i="5"/>
  <c r="CG1508" i="5" s="1"/>
  <c r="CE252" i="5"/>
  <c r="CG252" i="5" s="1"/>
  <c r="CE1715" i="5"/>
  <c r="CG1715" i="5" s="1"/>
  <c r="CE113" i="5"/>
  <c r="CG113" i="5" s="1"/>
  <c r="CE2056" i="5"/>
  <c r="CG2056" i="5" s="1"/>
  <c r="CE1263" i="5"/>
  <c r="CG1263" i="5" s="1"/>
  <c r="CE2379" i="5"/>
  <c r="CG2379" i="5" s="1"/>
  <c r="CE2057" i="5"/>
  <c r="CG2057" i="5" s="1"/>
  <c r="CE2343" i="5"/>
  <c r="CG2343" i="5" s="1"/>
  <c r="CE1150" i="5"/>
  <c r="CG1150" i="5" s="1"/>
  <c r="CE1973" i="5"/>
  <c r="CG1973" i="5" s="1"/>
  <c r="CE459" i="5"/>
  <c r="CG459" i="5" s="1"/>
  <c r="CE1932" i="5"/>
  <c r="CG1932" i="5" s="1"/>
  <c r="CE1317" i="5"/>
  <c r="CG1317" i="5" s="1"/>
  <c r="CE492" i="5"/>
  <c r="CG492" i="5" s="1"/>
  <c r="CE236" i="5"/>
  <c r="CG236" i="5" s="1"/>
  <c r="CE1107" i="5"/>
  <c r="CG1107" i="5" s="1"/>
  <c r="CE531" i="5"/>
  <c r="CG531" i="5" s="1"/>
  <c r="CE1919" i="5"/>
  <c r="CG1919" i="5" s="1"/>
  <c r="CE1254" i="5"/>
  <c r="CG1254" i="5" s="1"/>
  <c r="CE514" i="5"/>
  <c r="CG514" i="5" s="1"/>
  <c r="CE1786" i="5"/>
  <c r="CG1786" i="5" s="1"/>
  <c r="CE1060" i="5"/>
  <c r="CG1060" i="5" s="1"/>
  <c r="CE1788" i="5"/>
  <c r="CG1788" i="5" s="1"/>
  <c r="CE902" i="5"/>
  <c r="CG902" i="5" s="1"/>
  <c r="CE799" i="5"/>
  <c r="CG799" i="5" s="1"/>
  <c r="CE1826" i="5"/>
  <c r="CG1826" i="5" s="1"/>
  <c r="CE1165" i="5"/>
  <c r="CG1165" i="5" s="1"/>
  <c r="CE109" i="5"/>
  <c r="CG109" i="5" s="1"/>
  <c r="CE1488" i="5"/>
  <c r="CG1488" i="5" s="1"/>
  <c r="CE2434" i="5"/>
  <c r="CG2434" i="5" s="1"/>
  <c r="CE2079" i="5"/>
  <c r="CG2079" i="5" s="1"/>
  <c r="CE1862" i="5"/>
  <c r="CG1862" i="5" s="1"/>
  <c r="CE409" i="5"/>
  <c r="CG409" i="5" s="1"/>
  <c r="CE1639" i="5"/>
  <c r="CG1639" i="5" s="1"/>
  <c r="CE2246" i="5"/>
  <c r="CG2246" i="5" s="1"/>
  <c r="CE1527" i="5"/>
  <c r="CG1527" i="5" s="1"/>
  <c r="CE1881" i="5"/>
  <c r="CG1881" i="5" s="1"/>
  <c r="CE1711" i="5"/>
  <c r="CG1711" i="5" s="1"/>
  <c r="CE2181" i="5"/>
  <c r="CG2181" i="5" s="1"/>
  <c r="CE233" i="5"/>
  <c r="CG233" i="5" s="1"/>
  <c r="CE575" i="5"/>
  <c r="CG575" i="5" s="1"/>
  <c r="CE1402" i="5"/>
  <c r="CG1402" i="5" s="1"/>
  <c r="CE316" i="5"/>
  <c r="CG316" i="5" s="1"/>
  <c r="CE1416" i="5"/>
  <c r="CG1416" i="5" s="1"/>
  <c r="CE84" i="5"/>
  <c r="CG84" i="5" s="1"/>
  <c r="CE2144" i="5"/>
  <c r="CG2144" i="5" s="1"/>
  <c r="CE1609" i="5"/>
  <c r="CG1609" i="5" s="1"/>
  <c r="CE1583" i="5"/>
  <c r="CG1583" i="5" s="1"/>
  <c r="CE1199" i="5"/>
  <c r="CG1199" i="5" s="1"/>
  <c r="CE1039" i="5"/>
  <c r="CG1039" i="5" s="1"/>
  <c r="CE583" i="5"/>
  <c r="CG583" i="5" s="1"/>
  <c r="CE193" i="5"/>
  <c r="CG193" i="5" s="1"/>
  <c r="CE1083" i="5"/>
  <c r="CG1083" i="5" s="1"/>
  <c r="CE2395" i="5"/>
  <c r="CG2395" i="5" s="1"/>
  <c r="CE1521" i="5"/>
  <c r="CG1521" i="5" s="1"/>
  <c r="CE2260" i="5"/>
  <c r="CG2260" i="5" s="1"/>
  <c r="CE877" i="5"/>
  <c r="CG877" i="5" s="1"/>
  <c r="CE2362" i="5"/>
  <c r="CG2362" i="5" s="1"/>
  <c r="CE1874" i="5"/>
  <c r="CG1874" i="5" s="1"/>
  <c r="CE892" i="5"/>
  <c r="CG892" i="5" s="1"/>
  <c r="CE2033" i="5"/>
  <c r="CG2033" i="5" s="1"/>
  <c r="CE354" i="5"/>
  <c r="CG354" i="5" s="1"/>
  <c r="CE1259" i="5"/>
  <c r="CG1259" i="5" s="1"/>
  <c r="CE2370" i="5"/>
  <c r="CG2370" i="5" s="1"/>
  <c r="CE23" i="5"/>
  <c r="CG23" i="5" s="1"/>
  <c r="CE1384" i="5"/>
  <c r="CG1384" i="5" s="1"/>
  <c r="CE1345" i="5"/>
  <c r="CG1345" i="5" s="1"/>
  <c r="CE565" i="5"/>
  <c r="CG565" i="5" s="1"/>
  <c r="CE2137" i="5"/>
  <c r="CG2137" i="5" s="1"/>
  <c r="CE2299" i="5"/>
  <c r="CG2299" i="5" s="1"/>
  <c r="CE1079" i="5"/>
  <c r="CG1079" i="5" s="1"/>
  <c r="CE135" i="5"/>
  <c r="CG135" i="5" s="1"/>
  <c r="CE1481" i="5"/>
  <c r="CG1481" i="5" s="1"/>
  <c r="CE175" i="5"/>
  <c r="CG175" i="5" s="1"/>
  <c r="CE96" i="5"/>
  <c r="CG96" i="5" s="1"/>
  <c r="CE2142" i="5"/>
  <c r="CG2142" i="5" s="1"/>
  <c r="CE663" i="5"/>
  <c r="CG663" i="5" s="1"/>
  <c r="CE1888" i="5"/>
  <c r="CG1888" i="5" s="1"/>
  <c r="CE2196" i="5"/>
  <c r="CG2196" i="5" s="1"/>
  <c r="CE1449" i="5"/>
  <c r="CG1449" i="5" s="1"/>
  <c r="CE1829" i="5"/>
  <c r="CG1829" i="5" s="1"/>
  <c r="CE656" i="5"/>
  <c r="CG656" i="5" s="1"/>
  <c r="CE95" i="5"/>
  <c r="CG95" i="5" s="1"/>
  <c r="CE897" i="5"/>
  <c r="CG897" i="5" s="1"/>
  <c r="CE2022" i="5"/>
  <c r="CG2022" i="5" s="1"/>
  <c r="CE2081" i="5"/>
  <c r="CG2081" i="5" s="1"/>
  <c r="CE1103" i="5"/>
  <c r="CG1103" i="5" s="1"/>
  <c r="CE789" i="5"/>
  <c r="CG789" i="5" s="1"/>
  <c r="CE1354" i="5"/>
  <c r="CG1354" i="5" s="1"/>
  <c r="CE239" i="5"/>
  <c r="CG239" i="5" s="1"/>
  <c r="CE157" i="5"/>
  <c r="CG157" i="5" s="1"/>
  <c r="CE93" i="5"/>
  <c r="CG93" i="5" s="1"/>
  <c r="CE151" i="5"/>
  <c r="CG151" i="5" s="1"/>
  <c r="CE449" i="5"/>
  <c r="CG449" i="5" s="1"/>
  <c r="CE1596" i="5"/>
  <c r="CG1596" i="5" s="1"/>
  <c r="CE1224" i="5"/>
  <c r="CG1224" i="5" s="1"/>
  <c r="CE2354" i="5"/>
  <c r="CG2354" i="5" s="1"/>
  <c r="CE1149" i="5"/>
  <c r="CG1149" i="5" s="1"/>
  <c r="CE548" i="5"/>
  <c r="CG548" i="5" s="1"/>
  <c r="CE1917" i="5"/>
  <c r="CG1917" i="5" s="1"/>
  <c r="CE1532" i="5"/>
  <c r="CG1532" i="5" s="1"/>
  <c r="CE1723" i="5"/>
  <c r="CG1723" i="5" s="1"/>
  <c r="CE1126" i="5"/>
  <c r="CG1126" i="5" s="1"/>
  <c r="CE90" i="5"/>
  <c r="CG90" i="5" s="1"/>
  <c r="CE2042" i="5"/>
  <c r="CG2042" i="5" s="1"/>
  <c r="CE772" i="5"/>
  <c r="CG772" i="5" s="1"/>
  <c r="CE576" i="5"/>
  <c r="CG576" i="5" s="1"/>
  <c r="CE1782" i="5"/>
  <c r="CG1782" i="5" s="1"/>
  <c r="CE2247" i="5"/>
  <c r="CG2247" i="5" s="1"/>
  <c r="CE1121" i="5"/>
  <c r="CG1121" i="5" s="1"/>
  <c r="CE246" i="5"/>
  <c r="CG246" i="5" s="1"/>
  <c r="CE208" i="5"/>
  <c r="CG208" i="5" s="1"/>
  <c r="CE1799" i="5"/>
  <c r="CE1439" i="5"/>
  <c r="CG1439" i="5" s="1"/>
  <c r="CE287" i="5"/>
  <c r="CG287" i="5" s="1"/>
  <c r="CE1701" i="5"/>
  <c r="CG1701" i="5" s="1"/>
  <c r="CE145" i="5"/>
  <c r="CG145" i="5" s="1"/>
  <c r="CE1494" i="5"/>
  <c r="CG1494" i="5" s="1"/>
  <c r="CE618" i="5"/>
  <c r="CG618" i="5" s="1"/>
  <c r="CE2148" i="5"/>
  <c r="CG2148" i="5" s="1"/>
  <c r="CE1258" i="5"/>
  <c r="CG1258" i="5" s="1"/>
  <c r="CE261" i="5"/>
  <c r="CG261" i="5" s="1"/>
  <c r="CE1749" i="5"/>
  <c r="CG1749" i="5" s="1"/>
  <c r="CE894" i="5"/>
  <c r="CG894" i="5" s="1"/>
  <c r="CE1696" i="5"/>
  <c r="CG1696" i="5" s="1"/>
  <c r="CE2400" i="5"/>
  <c r="CG2400" i="5" s="1"/>
  <c r="CE855" i="5"/>
  <c r="CG855" i="5" s="1"/>
  <c r="CE1784" i="5"/>
  <c r="CG1784" i="5" s="1"/>
  <c r="CE1186" i="5"/>
  <c r="CG1186" i="5" s="1"/>
  <c r="CE124" i="5"/>
  <c r="CG124" i="5" s="1"/>
  <c r="CE1370" i="5"/>
  <c r="CG1370" i="5" s="1"/>
  <c r="CE2155" i="5"/>
  <c r="CG2155" i="5" s="1"/>
  <c r="CE1533" i="5"/>
  <c r="CG1533" i="5" s="1"/>
  <c r="CE670" i="5"/>
  <c r="CG670" i="5" s="1"/>
  <c r="CE2338" i="5"/>
  <c r="CG2338" i="5" s="1"/>
  <c r="CE2045" i="5"/>
  <c r="CG2045" i="5" s="1"/>
  <c r="CE2377" i="5"/>
  <c r="CG2377" i="5" s="1"/>
  <c r="CE385" i="5"/>
  <c r="CG385" i="5" s="1"/>
  <c r="CE2198" i="5"/>
  <c r="CG2198" i="5" s="1"/>
  <c r="CE2353" i="5"/>
  <c r="CG2353" i="5" s="1"/>
  <c r="CE1548" i="5"/>
  <c r="CG1548" i="5" s="1"/>
  <c r="CE1490" i="5"/>
  <c r="CG1490" i="5" s="1"/>
  <c r="CE1381" i="5"/>
  <c r="CG1381" i="5" s="1"/>
  <c r="CE2324" i="5"/>
  <c r="CG2324" i="5" s="1"/>
  <c r="CE1565" i="5"/>
  <c r="CG1565" i="5" s="1"/>
  <c r="CE300" i="5"/>
  <c r="CG300" i="5" s="1"/>
  <c r="CE1243" i="5"/>
  <c r="CG1243" i="5" s="1"/>
  <c r="CE1192" i="5"/>
  <c r="CG1192" i="5" s="1"/>
  <c r="CE2073" i="5"/>
  <c r="CG2073" i="5" s="1"/>
  <c r="CE2109" i="5"/>
  <c r="CG2109" i="5" s="1"/>
  <c r="CE1080" i="5"/>
  <c r="CG1080" i="5" s="1"/>
  <c r="CE1617" i="5"/>
  <c r="CG1617" i="5" s="1"/>
  <c r="CE986" i="5"/>
  <c r="CG986" i="5" s="1"/>
  <c r="CE1641" i="5"/>
  <c r="CG1641" i="5" s="1"/>
  <c r="CE369" i="5"/>
  <c r="CG369" i="5" s="1"/>
  <c r="CE867" i="5"/>
  <c r="CG867" i="5" s="1"/>
  <c r="CE1504" i="5"/>
  <c r="CG1504" i="5" s="1"/>
  <c r="CE2369" i="5"/>
  <c r="CG2369" i="5" s="1"/>
  <c r="CE1885" i="5"/>
  <c r="CG1885" i="5" s="1"/>
  <c r="CE1529" i="5"/>
  <c r="CE1977" i="5"/>
  <c r="CG1977" i="5" s="1"/>
  <c r="CE2289" i="5"/>
  <c r="CG2289" i="5" s="1"/>
  <c r="CE1860" i="5"/>
  <c r="CG1860" i="5" s="1"/>
  <c r="CE692" i="5"/>
  <c r="CG692" i="5" s="1"/>
  <c r="CE1967" i="5"/>
  <c r="CG1967" i="5" s="1"/>
  <c r="CE1044" i="5"/>
  <c r="CG1044" i="5" s="1"/>
  <c r="CE1389" i="5"/>
  <c r="CG1389" i="5" s="1"/>
  <c r="CE2399" i="5"/>
  <c r="CG2399" i="5" s="1"/>
  <c r="CE66" i="5"/>
  <c r="CG66" i="5" s="1"/>
  <c r="CE1290" i="5"/>
  <c r="CG1290" i="5" s="1"/>
  <c r="CE1239" i="5"/>
  <c r="CG1239" i="5" s="1"/>
  <c r="CE1690" i="5"/>
  <c r="CG1690" i="5" s="1"/>
  <c r="CE496" i="5"/>
  <c r="CG496" i="5" s="1"/>
  <c r="CE1536" i="5"/>
  <c r="CG1536" i="5" s="1"/>
  <c r="CE2215" i="5"/>
  <c r="CG2215" i="5" s="1"/>
  <c r="CE133" i="5"/>
  <c r="CG133" i="5" s="1"/>
  <c r="CE194" i="5"/>
  <c r="CG194" i="5" s="1"/>
  <c r="CE710" i="5"/>
  <c r="CG710" i="5" s="1"/>
  <c r="CE1803" i="5"/>
  <c r="CG1803" i="5" s="1"/>
  <c r="CE2296" i="5"/>
  <c r="CG2296" i="5" s="1"/>
  <c r="CE715" i="5"/>
  <c r="CG715" i="5" s="1"/>
  <c r="CE1963" i="5"/>
  <c r="CG1963" i="5" s="1"/>
  <c r="CE2222" i="5"/>
  <c r="CG2222" i="5" s="1"/>
  <c r="CE1866" i="5"/>
  <c r="CG1866" i="5" s="1"/>
  <c r="CE953" i="5"/>
  <c r="CG953" i="5" s="1"/>
  <c r="CE1742" i="5"/>
  <c r="CG1742" i="5" s="1"/>
  <c r="CE1129" i="5"/>
  <c r="CG1129" i="5" s="1"/>
  <c r="CE118" i="5"/>
  <c r="CG118" i="5" s="1"/>
  <c r="CE1392" i="5"/>
  <c r="CG1392" i="5" s="1"/>
  <c r="CE534" i="5"/>
  <c r="CG534" i="5" s="1"/>
  <c r="CE2120" i="5"/>
  <c r="CG2120" i="5" s="1"/>
  <c r="CE2052" i="5"/>
  <c r="CG2052" i="5" s="1"/>
  <c r="CE2095" i="5"/>
  <c r="CG2095" i="5" s="1"/>
  <c r="CE2230" i="5"/>
  <c r="CG2230" i="5" s="1"/>
  <c r="CE764" i="5"/>
  <c r="CG764" i="5" s="1"/>
  <c r="CE901" i="5"/>
  <c r="CG901" i="5" s="1"/>
  <c r="CE2330" i="5"/>
  <c r="CG2330" i="5" s="1"/>
  <c r="CE511" i="5"/>
  <c r="CG511" i="5" s="1"/>
  <c r="CE129" i="5"/>
  <c r="CG129" i="5" s="1"/>
  <c r="CE1071" i="5"/>
  <c r="CG1071" i="5" s="1"/>
  <c r="CE1928" i="5"/>
  <c r="CG1928" i="5" s="1"/>
  <c r="CE2294" i="5"/>
  <c r="CG2294" i="5" s="1"/>
  <c r="CE620" i="5"/>
  <c r="CG620" i="5" s="1"/>
  <c r="CE1687" i="5"/>
  <c r="CG1687" i="5" s="1"/>
  <c r="CE2248" i="5"/>
  <c r="CG2248" i="5" s="1"/>
  <c r="CE1064" i="5"/>
  <c r="CG1064" i="5" s="1"/>
  <c r="CE1607" i="5"/>
  <c r="CG1607" i="5" s="1"/>
  <c r="CE178" i="5"/>
  <c r="CG178" i="5" s="1"/>
  <c r="CE2005" i="5"/>
  <c r="CG2005" i="5" s="1"/>
  <c r="CE373" i="5"/>
  <c r="CG373" i="5" s="1"/>
  <c r="CE1779" i="5"/>
  <c r="CG1779" i="5" s="1"/>
  <c r="CE1314" i="5"/>
  <c r="CG1314" i="5" s="1"/>
  <c r="CE720" i="5"/>
  <c r="CG720" i="5" s="1"/>
  <c r="CE1832" i="5"/>
  <c r="CG1832" i="5" s="1"/>
  <c r="CE279" i="5"/>
  <c r="CG279" i="5" s="1"/>
  <c r="CE1627" i="5"/>
  <c r="CG1627" i="5" s="1"/>
  <c r="CE808" i="5"/>
  <c r="CG808" i="5" s="1"/>
  <c r="CE1558" i="5"/>
  <c r="CG1558" i="5" s="1"/>
  <c r="CE797" i="5"/>
  <c r="CG797" i="5" s="1"/>
  <c r="CE2360" i="5"/>
  <c r="CG2360" i="5" s="1"/>
  <c r="CE651" i="5"/>
  <c r="CG651" i="5" s="1"/>
  <c r="CE1075" i="5"/>
  <c r="CG1075" i="5" s="1"/>
  <c r="CE2382" i="5"/>
  <c r="CG2382" i="5" s="1"/>
  <c r="CE1205" i="5"/>
  <c r="CG1205" i="5" s="1"/>
  <c r="CE1368" i="5"/>
  <c r="CG1368" i="5" s="1"/>
  <c r="CE602" i="5"/>
  <c r="CG602" i="5" s="1"/>
  <c r="CE2297" i="5"/>
  <c r="CG2297" i="5" s="1"/>
  <c r="CE1285" i="5"/>
  <c r="CG1285" i="5" s="1"/>
  <c r="CE119" i="5"/>
  <c r="CG119" i="5" s="1"/>
  <c r="CE657" i="5"/>
  <c r="CG657" i="5" s="1"/>
  <c r="CE2375" i="5"/>
  <c r="CG2375" i="5" s="1"/>
  <c r="CE940" i="5"/>
  <c r="CG940" i="5" s="1"/>
  <c r="CE1406" i="5"/>
  <c r="CG1406" i="5" s="1"/>
  <c r="CE1394" i="5"/>
  <c r="CG1394" i="5" s="1"/>
  <c r="CE2268" i="5"/>
  <c r="CG2268" i="5" s="1"/>
  <c r="CE222" i="5"/>
  <c r="CG222" i="5" s="1"/>
  <c r="CE213" i="5"/>
  <c r="CG213" i="5" s="1"/>
  <c r="CE1297" i="5"/>
  <c r="CG1297" i="5" s="1"/>
  <c r="CE136" i="5"/>
  <c r="CG136" i="5" s="1"/>
  <c r="CE1171" i="5"/>
  <c r="CG1171" i="5" s="1"/>
  <c r="CE2398" i="5"/>
  <c r="CG2398" i="5" s="1"/>
  <c r="CE1661" i="5"/>
  <c r="CG1661" i="5" s="1"/>
  <c r="CE1839" i="5"/>
  <c r="CG1839" i="5" s="1"/>
  <c r="CE978" i="5"/>
  <c r="CG978" i="5" s="1"/>
  <c r="CE1310" i="5"/>
  <c r="CG1310" i="5" s="1"/>
  <c r="CE547" i="5"/>
  <c r="CG547" i="5" s="1"/>
  <c r="CE56" i="5"/>
  <c r="CG56" i="5" s="1"/>
  <c r="CE1432" i="5"/>
  <c r="CG1432" i="5" s="1"/>
  <c r="CE393" i="5"/>
  <c r="CG393" i="5" s="1"/>
  <c r="CE1123" i="5"/>
  <c r="CG1123" i="5" s="1"/>
  <c r="CE2046" i="5"/>
  <c r="CG2046" i="5" s="1"/>
  <c r="CE1731" i="5"/>
  <c r="CG1731" i="5" s="1"/>
  <c r="CE930" i="5"/>
  <c r="CG930" i="5" s="1"/>
  <c r="CE2124" i="5"/>
  <c r="CG2124" i="5" s="1"/>
  <c r="CE1929" i="5"/>
  <c r="CG1929" i="5" s="1"/>
  <c r="CE743" i="5"/>
  <c r="CG743" i="5" s="1"/>
  <c r="CE1681" i="5"/>
  <c r="CG1681" i="5" s="1"/>
  <c r="CE759" i="5"/>
  <c r="CG759" i="5" s="1"/>
  <c r="CE2006" i="5"/>
  <c r="CG2006" i="5" s="1"/>
  <c r="CE2101" i="5"/>
  <c r="CG2101" i="5" s="1"/>
  <c r="CE1463" i="5"/>
  <c r="CG1463" i="5" s="1"/>
  <c r="CE961" i="5"/>
  <c r="CG961" i="5" s="1"/>
  <c r="CE1482" i="5"/>
  <c r="CG1482" i="5" s="1"/>
  <c r="CE1102" i="5"/>
  <c r="CG1102" i="5" s="1"/>
  <c r="CE883" i="5"/>
  <c r="CG883" i="5" s="1"/>
  <c r="CE1475" i="5"/>
  <c r="CG1475" i="5" s="1"/>
  <c r="CE2214" i="5"/>
  <c r="CG2214" i="5" s="1"/>
  <c r="CE1426" i="5"/>
  <c r="CG1426" i="5" s="1"/>
  <c r="CE63" i="5"/>
  <c r="CG63" i="5" s="1"/>
  <c r="CE2044" i="5"/>
  <c r="CG2044" i="5" s="1"/>
  <c r="CE611" i="5"/>
  <c r="CG611" i="5" s="1"/>
  <c r="CE1570" i="5"/>
  <c r="CG1570" i="5" s="1"/>
  <c r="CE1810" i="5"/>
  <c r="CG1810" i="5" s="1"/>
  <c r="CE415" i="5"/>
  <c r="CG415" i="5" s="1"/>
  <c r="CE1450" i="5"/>
  <c r="CG1450" i="5" s="1"/>
  <c r="CE900" i="5"/>
  <c r="CG900" i="5" s="1"/>
  <c r="CE1086" i="5"/>
  <c r="CG1086" i="5" s="1"/>
  <c r="CE1435" i="5"/>
  <c r="CG1435" i="5" s="1"/>
  <c r="CE552" i="5"/>
  <c r="CG552" i="5" s="1"/>
  <c r="CE1249" i="5"/>
  <c r="CG1249" i="5" s="1"/>
  <c r="CE1858" i="5"/>
  <c r="CG1858" i="5" s="1"/>
  <c r="CE1968" i="5"/>
  <c r="CG1968" i="5" s="1"/>
  <c r="CE348" i="5"/>
  <c r="CG348" i="5" s="1"/>
  <c r="CE72" i="5"/>
  <c r="CG72" i="5" s="1"/>
  <c r="CE182" i="5"/>
  <c r="CG182" i="5" s="1"/>
  <c r="CE50" i="5"/>
  <c r="CG50" i="5" s="1"/>
  <c r="CE169" i="5"/>
  <c r="CG169" i="5" s="1"/>
  <c r="CE2404" i="5"/>
  <c r="CG2404" i="5" s="1"/>
  <c r="CE2118" i="5"/>
  <c r="CG2118" i="5" s="1"/>
  <c r="CE795" i="5"/>
  <c r="CG795" i="5" s="1"/>
  <c r="CE2023" i="5"/>
  <c r="CG2023" i="5" s="1"/>
  <c r="CE754" i="5"/>
  <c r="CG754" i="5" s="1"/>
  <c r="CE1991" i="5"/>
  <c r="CG1991" i="5" s="1"/>
  <c r="CE559" i="5"/>
  <c r="CG559" i="5" s="1"/>
  <c r="CE1658" i="5"/>
  <c r="CG1658" i="5" s="1"/>
  <c r="CE1190" i="5"/>
  <c r="CG1190" i="5" s="1"/>
  <c r="CE39" i="5"/>
  <c r="CG39" i="5" s="1"/>
  <c r="CE1495" i="5"/>
  <c r="CG1495" i="5" s="1"/>
  <c r="CE956" i="5"/>
  <c r="CG956" i="5" s="1"/>
  <c r="CE1838" i="5"/>
  <c r="CG1838" i="5" s="1"/>
  <c r="CE662" i="5"/>
  <c r="CG662" i="5" s="1"/>
  <c r="CE1994" i="5"/>
  <c r="CG1994" i="5" s="1"/>
  <c r="CE1372" i="5"/>
  <c r="CG1372" i="5" s="1"/>
  <c r="CE1013" i="5"/>
  <c r="CG1013" i="5" s="1"/>
  <c r="CE104" i="5"/>
  <c r="CG104" i="5" s="1"/>
  <c r="CE2239" i="5"/>
  <c r="CG2239" i="5" s="1"/>
  <c r="CE1878" i="5"/>
  <c r="CG1878" i="5" s="1"/>
  <c r="CE304" i="5"/>
  <c r="CG304" i="5" s="1"/>
  <c r="CE1459" i="5"/>
  <c r="CG1459" i="5" s="1"/>
  <c r="CE54" i="5"/>
  <c r="CG54" i="5" s="1"/>
  <c r="CE1379" i="5"/>
  <c r="CG1379" i="5" s="1"/>
  <c r="CE1970" i="5"/>
  <c r="CG1970" i="5" s="1"/>
  <c r="CE913" i="5"/>
  <c r="CG913" i="5" s="1"/>
  <c r="CE2217" i="5"/>
  <c r="CG2217" i="5" s="1"/>
  <c r="CE1807" i="5"/>
  <c r="CG1807" i="5" s="1"/>
  <c r="CE161" i="5"/>
  <c r="CG161" i="5" s="1"/>
  <c r="CE1454" i="5"/>
  <c r="CG1454" i="5" s="1"/>
  <c r="CE516" i="5"/>
  <c r="CG516" i="5" s="1"/>
  <c r="CE1573" i="5"/>
  <c r="CG1573" i="5" s="1"/>
  <c r="CE675" i="5"/>
  <c r="CG675" i="5" s="1"/>
  <c r="CE1783" i="5"/>
  <c r="CG1783" i="5" s="1"/>
  <c r="CE1252" i="5"/>
  <c r="CG1252" i="5" s="1"/>
  <c r="CE2207" i="5"/>
  <c r="CG2207" i="5" s="1"/>
  <c r="CE439" i="5"/>
  <c r="CG439" i="5" s="1"/>
  <c r="CE1729" i="5"/>
  <c r="CG1729" i="5" s="1"/>
  <c r="CE167" i="5"/>
  <c r="CG167" i="5" s="1"/>
  <c r="CE525" i="5"/>
  <c r="CG525" i="5" s="1"/>
  <c r="CE2204" i="5"/>
  <c r="CG2204" i="5" s="1"/>
  <c r="CE1028" i="5"/>
  <c r="CG1028" i="5" s="1"/>
  <c r="CE704" i="5"/>
  <c r="CG704" i="5" s="1"/>
  <c r="CE1142" i="5"/>
  <c r="CG1142" i="5" s="1"/>
  <c r="CE2149" i="5"/>
  <c r="CG2149" i="5" s="1"/>
  <c r="CE497" i="5"/>
  <c r="CG497" i="5" s="1"/>
  <c r="CE197" i="5"/>
  <c r="CG197" i="5" s="1"/>
  <c r="CE312" i="5"/>
  <c r="CG312" i="5" s="1"/>
  <c r="CE1401" i="5"/>
  <c r="CG1401" i="5" s="1"/>
  <c r="CE185" i="5"/>
  <c r="CG185" i="5" s="1"/>
  <c r="CE1987" i="5"/>
  <c r="CG1987" i="5" s="1"/>
  <c r="CE1264" i="5"/>
  <c r="CG1264" i="5" s="1"/>
  <c r="CE58" i="5"/>
  <c r="CG58" i="5" s="1"/>
  <c r="CE1091" i="5"/>
  <c r="CG1091" i="5" s="1"/>
  <c r="CE545" i="5"/>
  <c r="CG545" i="5" s="1"/>
  <c r="CE1827" i="5"/>
  <c r="CG1827" i="5" s="1"/>
  <c r="CE591" i="5"/>
  <c r="CG591" i="5" s="1"/>
  <c r="CE1841" i="5"/>
  <c r="CG1841" i="5" s="1"/>
  <c r="CE810" i="5"/>
  <c r="CG810" i="5" s="1"/>
  <c r="CE1027" i="5"/>
  <c r="CG1027" i="5" s="1"/>
  <c r="CE1907" i="5"/>
  <c r="CG1907" i="5" s="1"/>
  <c r="CE646" i="5"/>
  <c r="CG646" i="5" s="1"/>
  <c r="CE1507" i="5"/>
  <c r="CG1507" i="5" s="1"/>
  <c r="CE1825" i="5"/>
  <c r="CG1825" i="5" s="1"/>
  <c r="CE422" i="5"/>
  <c r="CG422" i="5" s="1"/>
  <c r="CE1758" i="5"/>
  <c r="CG1758" i="5" s="1"/>
  <c r="CE2271" i="5"/>
  <c r="CG2271" i="5" s="1"/>
  <c r="CE864" i="5"/>
  <c r="CG864" i="5" s="1"/>
  <c r="CE212" i="5"/>
  <c r="CG212" i="5" s="1"/>
  <c r="CE527" i="5"/>
  <c r="CG527" i="5" s="1"/>
  <c r="CE1815" i="5"/>
  <c r="CG1815" i="5" s="1"/>
  <c r="CE2132" i="5"/>
  <c r="CG2132" i="5" s="1"/>
  <c r="CE982" i="5"/>
  <c r="CG982" i="5" s="1"/>
  <c r="CE769" i="5"/>
  <c r="CG769" i="5" s="1"/>
  <c r="CE1623" i="5"/>
  <c r="CG1623" i="5" s="1"/>
  <c r="CE568" i="5"/>
  <c r="CG568" i="5" s="1"/>
  <c r="CE1012" i="5"/>
  <c r="CG1012" i="5" s="1"/>
  <c r="CE2083" i="5"/>
  <c r="CG2083" i="5" s="1"/>
  <c r="CE788" i="5"/>
  <c r="CG788" i="5" s="1"/>
  <c r="CE1604" i="5"/>
  <c r="CG1604" i="5" s="1"/>
  <c r="CE2261" i="5"/>
  <c r="CG2261" i="5" s="1"/>
  <c r="CE1513" i="5"/>
  <c r="CG1513" i="5" s="1"/>
  <c r="CE1587" i="5"/>
  <c r="CG1587" i="5" s="1"/>
  <c r="CE345" i="5"/>
  <c r="CE1177" i="5"/>
  <c r="CG1177" i="5" s="1"/>
  <c r="CE941" i="5"/>
  <c r="CG941" i="5" s="1"/>
  <c r="CE582" i="5"/>
  <c r="CG582" i="5" s="1"/>
  <c r="CE2344" i="5"/>
  <c r="CG2344" i="5" s="1"/>
  <c r="CE1021" i="5"/>
  <c r="CG1021" i="5" s="1"/>
  <c r="CE671" i="5"/>
  <c r="CG671" i="5" s="1"/>
  <c r="CE237" i="5"/>
  <c r="CG237" i="5" s="1"/>
  <c r="CE544" i="5"/>
  <c r="CG544" i="5" s="1"/>
  <c r="CE1359" i="5"/>
  <c r="CG1359" i="5" s="1"/>
  <c r="CE2156" i="5"/>
  <c r="CG2156" i="5" s="1"/>
  <c r="CE89" i="5"/>
  <c r="CG89" i="5" s="1"/>
  <c r="CE1120" i="5"/>
  <c r="CG1120" i="5" s="1"/>
  <c r="CE1145" i="5"/>
  <c r="CG1145" i="5" s="1"/>
  <c r="CE1035" i="5"/>
  <c r="CG1035" i="5" s="1"/>
  <c r="CE2113" i="5"/>
  <c r="CG2113" i="5" s="1"/>
  <c r="CE2072" i="5"/>
  <c r="CG2072" i="5" s="1"/>
  <c r="CE1206" i="5"/>
  <c r="CG1206" i="5" s="1"/>
  <c r="CE785" i="5"/>
  <c r="CG785" i="5" s="1"/>
  <c r="CE1466" i="5"/>
  <c r="CG1466" i="5" s="1"/>
  <c r="CE681" i="5"/>
  <c r="CG681" i="5" s="1"/>
  <c r="CE2000" i="5"/>
  <c r="CG2000" i="5" s="1"/>
  <c r="CE709" i="5"/>
  <c r="CG709" i="5" s="1"/>
  <c r="CE2025" i="5"/>
  <c r="CG2025" i="5" s="1"/>
  <c r="CE1483" i="5"/>
  <c r="CG1483" i="5" s="1"/>
  <c r="CE529" i="5"/>
  <c r="CG529" i="5" s="1"/>
  <c r="CE1849" i="5"/>
  <c r="CG1849" i="5" s="1"/>
  <c r="CE464" i="5"/>
  <c r="CG464" i="5" s="1"/>
  <c r="CE307" i="5"/>
  <c r="CG307" i="5" s="1"/>
  <c r="CE2334" i="5"/>
  <c r="CG2334" i="5" s="1"/>
  <c r="CE2301" i="5"/>
  <c r="CG2301" i="5" s="1"/>
  <c r="CE1652" i="5"/>
  <c r="CG1652" i="5" s="1"/>
  <c r="CE1797" i="5"/>
  <c r="CG1797" i="5" s="1"/>
  <c r="CE1042" i="5"/>
  <c r="CG1042" i="5" s="1"/>
  <c r="CE303" i="5"/>
  <c r="CG303" i="5" s="1"/>
  <c r="CE1564" i="5"/>
  <c r="CG1564" i="5" s="1"/>
  <c r="CE2058" i="5"/>
  <c r="CG2058" i="5" s="1"/>
  <c r="CE914" i="5"/>
  <c r="CG914" i="5" s="1"/>
  <c r="CE2300" i="5"/>
  <c r="CG2300" i="5" s="1"/>
  <c r="CE1444" i="5"/>
  <c r="CG1444" i="5" s="1"/>
  <c r="CE1848" i="5"/>
  <c r="CG1848" i="5" s="1"/>
  <c r="CE171" i="5"/>
  <c r="CG171" i="5" s="1"/>
  <c r="CE1275" i="5"/>
  <c r="CG1275" i="5" s="1"/>
  <c r="CE117" i="5"/>
  <c r="CG117" i="5" s="1"/>
  <c r="CE585" i="5"/>
  <c r="CG585" i="5" s="1"/>
  <c r="CE1938" i="5"/>
  <c r="CG1938" i="5" s="1"/>
  <c r="CE2319" i="5"/>
  <c r="CG2319" i="5" s="1"/>
  <c r="CE1543" i="5"/>
  <c r="CG1543" i="5" s="1"/>
  <c r="CE812" i="5"/>
  <c r="CG812" i="5" s="1"/>
  <c r="CE36" i="5"/>
  <c r="CG36" i="5" s="1"/>
  <c r="CE1544" i="5"/>
  <c r="CG1544" i="5" s="1"/>
  <c r="CE410" i="5"/>
  <c r="CG410" i="5" s="1"/>
  <c r="CE1342" i="5"/>
  <c r="CG1342" i="5" s="1"/>
  <c r="CE703" i="5"/>
  <c r="CG703" i="5" s="1"/>
  <c r="CE1755" i="5"/>
  <c r="CG1755" i="5" s="1"/>
  <c r="CE998" i="5"/>
  <c r="CG998" i="5" s="1"/>
  <c r="CE2414" i="5"/>
  <c r="CG2414" i="5" s="1"/>
  <c r="CE465" i="5"/>
  <c r="CG465" i="5" s="1"/>
  <c r="CE2443" i="5"/>
  <c r="CG2443" i="5" s="1"/>
  <c r="CE2441" i="5"/>
  <c r="CG2441" i="5" s="1"/>
  <c r="CE1520" i="5"/>
  <c r="CG1520" i="5" s="1"/>
  <c r="CE933" i="5"/>
  <c r="CG933" i="5" s="1"/>
  <c r="CE245" i="5"/>
  <c r="CG245" i="5" s="1"/>
  <c r="CE597" i="5"/>
  <c r="CG597" i="5" s="1"/>
  <c r="CE718" i="5"/>
  <c r="CG718" i="5" s="1"/>
  <c r="CE749" i="5"/>
  <c r="CG749" i="5" s="1"/>
  <c r="CE1025" i="5"/>
  <c r="CG1025" i="5" s="1"/>
  <c r="CE756" i="5"/>
  <c r="CG756" i="5" s="1"/>
  <c r="CE41" i="5"/>
  <c r="CG41" i="5" s="1"/>
  <c r="CE1189" i="5"/>
  <c r="CG1189" i="5" s="1"/>
  <c r="CE105" i="5"/>
  <c r="CG105" i="5" s="1"/>
  <c r="CE1780" i="5"/>
  <c r="CG1780" i="5" s="1"/>
  <c r="CE1365" i="5"/>
  <c r="CG1365" i="5" s="1"/>
  <c r="CE779" i="5"/>
  <c r="CG779" i="5" s="1"/>
  <c r="CE484" i="5"/>
  <c r="CG484" i="5" s="1"/>
  <c r="CE707" i="5"/>
  <c r="CG707" i="5" s="1"/>
  <c r="CE224" i="5"/>
  <c r="CG224" i="5" s="1"/>
  <c r="CE102" i="5"/>
  <c r="CG102" i="5" s="1"/>
  <c r="CE2252" i="5"/>
  <c r="CG2252" i="5" s="1"/>
  <c r="CE970" i="5"/>
  <c r="CG970" i="5" s="1"/>
  <c r="CE854" i="5"/>
  <c r="CG854" i="5" s="1"/>
  <c r="CE571" i="5"/>
  <c r="CG571" i="5" s="1"/>
  <c r="CE871" i="5"/>
  <c r="CG871" i="5" s="1"/>
  <c r="CE1736" i="5"/>
  <c r="CG1736" i="5" s="1"/>
  <c r="CE507" i="5"/>
  <c r="CG507" i="5" s="1"/>
  <c r="CE1178" i="5"/>
  <c r="CG1178" i="5" s="1"/>
  <c r="CE1811" i="5"/>
  <c r="CG1811" i="5" s="1"/>
  <c r="CE1816" i="5"/>
  <c r="CG1816" i="5" s="1"/>
  <c r="CE776" i="5"/>
  <c r="CG776" i="5" s="1"/>
  <c r="CE88" i="5"/>
  <c r="CG88" i="5" s="1"/>
  <c r="CE1188" i="5"/>
  <c r="CG1188" i="5" s="1"/>
  <c r="CE1959" i="5"/>
  <c r="CG1959" i="5" s="1"/>
  <c r="CE731" i="5"/>
  <c r="CG731" i="5" s="1"/>
  <c r="CE800" i="5"/>
  <c r="CG800" i="5" s="1"/>
  <c r="CE1274" i="5"/>
  <c r="CG1274" i="5" s="1"/>
  <c r="CE448" i="5"/>
  <c r="CG448" i="5" s="1"/>
  <c r="CE937" i="5"/>
  <c r="CG937" i="5" s="1"/>
  <c r="CE823" i="5"/>
  <c r="CG823" i="5" s="1"/>
  <c r="CE1139" i="5"/>
  <c r="CG1139" i="5" s="1"/>
  <c r="CE1894" i="5"/>
  <c r="CG1894" i="5" s="1"/>
  <c r="CE1804" i="5"/>
  <c r="CG1804" i="5" s="1"/>
  <c r="CE536" i="5"/>
  <c r="CG536" i="5" s="1"/>
  <c r="CE1235" i="5"/>
  <c r="CG1235" i="5" s="1"/>
  <c r="CE1539" i="5"/>
  <c r="CG1539" i="5" s="1"/>
  <c r="CE1076" i="5"/>
  <c r="CG1076" i="5" s="1"/>
  <c r="CE1873" i="5"/>
  <c r="CG1873" i="5" s="1"/>
  <c r="CE382" i="5"/>
  <c r="CG382" i="5" s="1"/>
  <c r="CE257" i="5"/>
  <c r="CG257" i="5" s="1"/>
  <c r="CE2093" i="5"/>
  <c r="CG2093" i="5" s="1"/>
  <c r="CE419" i="5"/>
  <c r="CG419" i="5" s="1"/>
  <c r="CE1227" i="5"/>
  <c r="CG1227" i="5" s="1"/>
  <c r="CE760" i="5"/>
  <c r="CG760" i="5" s="1"/>
  <c r="CE885" i="5"/>
  <c r="CG885" i="5" s="1"/>
  <c r="CE2349" i="5"/>
  <c r="CG2349" i="5" s="1"/>
  <c r="CE1930" i="5"/>
  <c r="CG1930" i="5" s="1"/>
  <c r="CE446" i="5"/>
  <c r="CG446" i="5" s="1"/>
  <c r="CE1511" i="5"/>
  <c r="CG1511" i="5" s="1"/>
  <c r="CE519" i="5"/>
  <c r="CG519" i="5" s="1"/>
  <c r="CE2241" i="5"/>
  <c r="CE2085" i="5"/>
  <c r="CG2085" i="5" s="1"/>
  <c r="CE1473" i="5"/>
  <c r="CG1473" i="5" s="1"/>
  <c r="CE315" i="5"/>
  <c r="CG315" i="5" s="1"/>
  <c r="CE1806" i="5"/>
  <c r="CG1806" i="5" s="1"/>
  <c r="CE284" i="5"/>
  <c r="CG284" i="5" s="1"/>
  <c r="CE1141" i="5"/>
  <c r="CG1141" i="5" s="1"/>
  <c r="CE1471" i="5"/>
  <c r="CG1471" i="5" s="1"/>
  <c r="CE1636" i="5"/>
  <c r="CG1636" i="5" s="1"/>
  <c r="CE700" i="5"/>
  <c r="CG700" i="5" s="1"/>
  <c r="CE1377" i="5"/>
  <c r="CG1377" i="5" s="1"/>
  <c r="CE598" i="5"/>
  <c r="CG598" i="5" s="1"/>
  <c r="CE1672" i="5"/>
  <c r="CG1672" i="5" s="1"/>
  <c r="CE244" i="5"/>
  <c r="CG244" i="5" s="1"/>
  <c r="CE1282" i="5"/>
  <c r="CG1282" i="5" s="1"/>
  <c r="CE2336" i="5"/>
  <c r="CG2336" i="5" s="1"/>
  <c r="CE972" i="5"/>
  <c r="CG972" i="5" s="1"/>
  <c r="CE2347" i="5"/>
  <c r="CG2347" i="5" s="1"/>
  <c r="CE1834" i="5"/>
  <c r="CG1834" i="5" s="1"/>
  <c r="CE1864" i="5"/>
  <c r="CG1864" i="5" s="1"/>
  <c r="CE936" i="5"/>
  <c r="CG936" i="5" s="1"/>
  <c r="CE1135" i="5"/>
  <c r="CG1135" i="5" s="1"/>
  <c r="CE2355" i="5"/>
  <c r="CG2355" i="5" s="1"/>
  <c r="CE1656" i="5"/>
  <c r="CG1656" i="5" s="1"/>
  <c r="CE744" i="5"/>
  <c r="CG744" i="5" s="1"/>
  <c r="CE1369" i="5"/>
  <c r="CG1369" i="5" s="1"/>
  <c r="CE2243" i="5"/>
  <c r="CG2243" i="5" s="1"/>
  <c r="CE1427" i="5"/>
  <c r="CG1427" i="5" s="1"/>
  <c r="CE1912" i="5"/>
  <c r="CG1912" i="5" s="1"/>
  <c r="CE1049" i="5"/>
  <c r="CG1049" i="5" s="1"/>
  <c r="CE2211" i="5"/>
  <c r="CG2211" i="5" s="1"/>
  <c r="CE1594" i="5"/>
  <c r="CG1594" i="5" s="1"/>
  <c r="CE811" i="5"/>
  <c r="CG811" i="5" s="1"/>
  <c r="CE1407" i="5"/>
  <c r="CE481" i="5"/>
  <c r="CG481" i="5" s="1"/>
  <c r="CE1334" i="5"/>
  <c r="CG1334" i="5" s="1"/>
  <c r="CE614" i="5"/>
  <c r="CG614" i="5" s="1"/>
  <c r="CE1526" i="5"/>
  <c r="CG1526" i="5" s="1"/>
  <c r="CE306" i="5"/>
  <c r="CG306" i="5" s="1"/>
  <c r="CE1626" i="5"/>
  <c r="CG1626" i="5" s="1"/>
  <c r="CE825" i="5"/>
  <c r="CG825" i="5" s="1"/>
  <c r="CE2340" i="5"/>
  <c r="CG2340" i="5" s="1"/>
  <c r="CE2068" i="5"/>
  <c r="CG2068" i="5" s="1"/>
  <c r="CE1179" i="5"/>
  <c r="CG1179" i="5" s="1"/>
  <c r="CE318" i="5"/>
  <c r="CG318" i="5" s="1"/>
  <c r="CE2279" i="5"/>
  <c r="CG2279" i="5" s="1"/>
  <c r="CE2436" i="5"/>
  <c r="CG2436" i="5" s="1"/>
  <c r="CE1952" i="5"/>
  <c r="CG1952" i="5" s="1"/>
  <c r="CE1161" i="5"/>
  <c r="CG1161" i="5" s="1"/>
  <c r="CE1260" i="5"/>
  <c r="CG1260" i="5" s="1"/>
  <c r="CE370" i="5"/>
  <c r="CG370" i="5" s="1"/>
  <c r="CE556" i="5"/>
  <c r="CG556" i="5" s="1"/>
  <c r="CE963" i="5"/>
  <c r="CG963" i="5" s="1"/>
  <c r="CE805" i="5"/>
  <c r="CG805" i="5" s="1"/>
  <c r="CE2232" i="5"/>
  <c r="CG2232" i="5" s="1"/>
  <c r="CE1364" i="5"/>
  <c r="CG1364" i="5" s="1"/>
  <c r="CE1886" i="5"/>
  <c r="CG1886" i="5" s="1"/>
  <c r="CE1761" i="5"/>
  <c r="CG1761" i="5" s="1"/>
  <c r="CE991" i="5"/>
  <c r="CG991" i="5" s="1"/>
  <c r="CE564" i="5"/>
  <c r="CG564" i="5" s="1"/>
  <c r="CE450" i="5"/>
  <c r="CG450" i="5" s="1"/>
  <c r="CE2192" i="5"/>
  <c r="CG2192" i="5" s="1"/>
  <c r="CE2391" i="5"/>
  <c r="CG2391" i="5" s="1"/>
  <c r="CE2213" i="5"/>
  <c r="CG2213" i="5" s="1"/>
  <c r="CE1643" i="5"/>
  <c r="CG1643" i="5" s="1"/>
  <c r="CE2364" i="5"/>
  <c r="CG2364" i="5" s="1"/>
  <c r="CE589" i="5"/>
  <c r="CG589" i="5" s="1"/>
  <c r="CE1122" i="5"/>
  <c r="CG1122" i="5" s="1"/>
  <c r="CE796" i="5"/>
  <c r="CG796" i="5" s="1"/>
  <c r="CE1759" i="5"/>
  <c r="CG1759" i="5" s="1"/>
  <c r="CE592" i="5"/>
  <c r="CG592" i="5" s="1"/>
  <c r="CE659" i="5"/>
  <c r="CG659" i="5" s="1"/>
  <c r="CE1625" i="5"/>
  <c r="CG1625" i="5" s="1"/>
  <c r="CE1730" i="5"/>
  <c r="CG1730" i="5" s="1"/>
  <c r="CE734" i="5"/>
  <c r="CG734" i="5" s="1"/>
  <c r="CE1993" i="5"/>
  <c r="CG1993" i="5" s="1"/>
  <c r="CE926" i="5"/>
  <c r="CG926" i="5" s="1"/>
  <c r="CE1669" i="5"/>
  <c r="CG1669" i="5" s="1"/>
  <c r="CE2134" i="5"/>
  <c r="CG2134" i="5" s="1"/>
  <c r="CE1124" i="5"/>
  <c r="CG1124" i="5" s="1"/>
  <c r="CE1022" i="5"/>
  <c r="CG1022" i="5" s="1"/>
  <c r="CE1957" i="5"/>
  <c r="CG1957" i="5" s="1"/>
  <c r="CE981" i="5"/>
  <c r="CG981" i="5" s="1"/>
  <c r="CE1870" i="5"/>
  <c r="CG1870" i="5" s="1"/>
  <c r="CE1887" i="5"/>
  <c r="CG1887" i="5" s="1"/>
  <c r="CE1156" i="5"/>
  <c r="CG1156" i="5" s="1"/>
  <c r="CE1362" i="5"/>
  <c r="CG1362" i="5" s="1"/>
  <c r="CE322" i="5"/>
  <c r="CG322" i="5" s="1"/>
  <c r="CE1058" i="5"/>
  <c r="CG1058" i="5" s="1"/>
  <c r="CE1659" i="5"/>
  <c r="CG1659" i="5" s="1"/>
  <c r="CE391" i="5"/>
  <c r="CG391" i="5" s="1"/>
  <c r="CE24" i="5"/>
  <c r="CG24" i="5" s="1"/>
  <c r="CE372" i="5"/>
  <c r="CG372" i="5" s="1"/>
  <c r="CE2117" i="5"/>
  <c r="CG2117" i="5" s="1"/>
  <c r="CE1267" i="5"/>
  <c r="CG1267" i="5" s="1"/>
  <c r="CE294" i="5"/>
  <c r="CE517" i="5"/>
  <c r="CG517" i="5" s="1"/>
  <c r="CE2008" i="5"/>
  <c r="CG2008" i="5" s="1"/>
  <c r="CE792" i="5"/>
  <c r="CG792" i="5" s="1"/>
  <c r="CE798" i="5"/>
  <c r="CG798" i="5" s="1"/>
  <c r="CE1744" i="5"/>
  <c r="CG1744" i="5" s="1"/>
  <c r="CE2366" i="5"/>
  <c r="CG2366" i="5" s="1"/>
  <c r="CE1419" i="5"/>
  <c r="CG1419" i="5" s="1"/>
  <c r="CE1347" i="5"/>
  <c r="CG1347" i="5" s="1"/>
  <c r="CE1174" i="5"/>
  <c r="CG1174" i="5" s="1"/>
  <c r="CE86" i="5"/>
  <c r="CG86" i="5" s="1"/>
  <c r="CE1378" i="5"/>
  <c r="CG1378" i="5" s="1"/>
  <c r="CE945" i="5"/>
  <c r="CG945" i="5" s="1"/>
  <c r="CE1875" i="5"/>
  <c r="CG1875" i="5" s="1"/>
  <c r="CE1157" i="5"/>
  <c r="CG1157" i="5" s="1"/>
  <c r="CE1619" i="5"/>
  <c r="CG1619" i="5" s="1"/>
  <c r="CE26" i="5"/>
  <c r="CG26" i="5" s="1"/>
  <c r="CE1116" i="5"/>
  <c r="CG1116" i="5" s="1"/>
  <c r="CE1937" i="5"/>
  <c r="CG1937" i="5" s="1"/>
  <c r="CE1070" i="5"/>
  <c r="CG1070" i="5" s="1"/>
  <c r="CE2174" i="5"/>
  <c r="CG2174" i="5" s="1"/>
  <c r="CE1217" i="5"/>
  <c r="CG1217" i="5" s="1"/>
  <c r="CE1647" i="5"/>
  <c r="CG1647" i="5" s="1"/>
  <c r="CE1895" i="5"/>
  <c r="CG1895" i="5" s="1"/>
  <c r="CE946" i="5"/>
  <c r="CG946" i="5" s="1"/>
  <c r="CE1861" i="5"/>
  <c r="CG1861" i="5" s="1"/>
  <c r="CE832" i="5"/>
  <c r="CG832" i="5" s="1"/>
  <c r="CE2250" i="5"/>
  <c r="CG2250" i="5" s="1"/>
  <c r="CE1134" i="5"/>
  <c r="CG1134" i="5" s="1"/>
  <c r="CE2265" i="5"/>
  <c r="CG2265" i="5" s="1"/>
  <c r="CE1688" i="5"/>
  <c r="CG1688" i="5" s="1"/>
  <c r="CE746" i="5"/>
  <c r="CG746" i="5" s="1"/>
  <c r="CE48" i="5"/>
  <c r="CG48" i="5" s="1"/>
  <c r="CE1222" i="5"/>
  <c r="CG1222" i="5" s="1"/>
  <c r="CE2223" i="5"/>
  <c r="CG2223" i="5" s="1"/>
  <c r="CE1213" i="5"/>
  <c r="CG1213" i="5" s="1"/>
  <c r="CE248" i="5"/>
  <c r="CG248" i="5" s="1"/>
  <c r="CE1651" i="5"/>
  <c r="CG1651" i="5" s="1"/>
  <c r="CE863" i="5"/>
  <c r="CG863" i="5" s="1"/>
  <c r="CE1949" i="5"/>
  <c r="CG1949" i="5" s="1"/>
  <c r="CE1485" i="5"/>
  <c r="CG1485" i="5" s="1"/>
  <c r="CE815" i="5"/>
  <c r="CG815" i="5" s="1"/>
  <c r="CE31" i="5"/>
  <c r="CG31" i="5" s="1"/>
  <c r="CE1380" i="5"/>
  <c r="CG1380" i="5" s="1"/>
  <c r="CE262" i="5"/>
  <c r="CG262" i="5" s="1"/>
  <c r="CE1281" i="5"/>
  <c r="CG1281" i="5" s="1"/>
  <c r="CE607" i="5"/>
  <c r="CG607" i="5" s="1"/>
  <c r="CE1601" i="5"/>
  <c r="CG1601" i="5" s="1"/>
  <c r="CE120" i="5"/>
  <c r="CG120" i="5" s="1"/>
  <c r="CE1480" i="5"/>
  <c r="CG1480" i="5" s="1"/>
  <c r="CE781" i="5"/>
  <c r="CG781" i="5" s="1"/>
  <c r="CE2048" i="5"/>
  <c r="CG2048" i="5" s="1"/>
  <c r="CE932" i="5"/>
  <c r="CG932" i="5" s="1"/>
  <c r="CE2069" i="5"/>
  <c r="CG2069" i="5" s="1"/>
  <c r="CE1055" i="5"/>
  <c r="CG1055" i="5" s="1"/>
  <c r="CE1363" i="5"/>
  <c r="CG1363" i="5" s="1"/>
  <c r="CE268" i="5"/>
  <c r="CG268" i="5" s="1"/>
  <c r="CE30" i="5"/>
  <c r="CG30" i="5" s="1"/>
  <c r="CE488" i="5"/>
  <c r="CG488" i="5" s="1"/>
  <c r="CE581" i="5"/>
  <c r="CG581" i="5" s="1"/>
  <c r="CE673" i="5"/>
  <c r="CG673" i="5" s="1"/>
  <c r="CE1284" i="5"/>
  <c r="CG1284" i="5" s="1"/>
  <c r="CE829" i="5"/>
  <c r="CG829" i="5" s="1"/>
  <c r="CE1851" i="5"/>
  <c r="CG1851" i="5" s="1"/>
  <c r="CE2264" i="5"/>
  <c r="CG2264" i="5" s="1"/>
  <c r="CE839" i="5"/>
  <c r="CG839" i="5" s="1"/>
  <c r="CE1493" i="5"/>
  <c r="CG1493" i="5" s="1"/>
  <c r="CE1510" i="5"/>
  <c r="CG1510" i="5" s="1"/>
  <c r="CE617" i="5"/>
  <c r="CG617" i="5" s="1"/>
  <c r="CE254" i="5"/>
  <c r="CG254" i="5" s="1"/>
  <c r="CE401" i="5"/>
  <c r="CG401" i="5" s="1"/>
  <c r="CE2226" i="5"/>
  <c r="CG2226" i="5" s="1"/>
  <c r="CE4" i="5"/>
  <c r="CG4" i="5" s="1"/>
  <c r="CE1537" i="5"/>
  <c r="CG1537" i="5" s="1"/>
  <c r="CE766" i="5"/>
  <c r="CG766" i="5" s="1"/>
  <c r="CE2337" i="5"/>
  <c r="CG2337" i="5" s="1"/>
  <c r="CE2038" i="5"/>
  <c r="CG2038" i="5" s="1"/>
  <c r="CE1910" i="5"/>
  <c r="CG1910" i="5" s="1"/>
  <c r="CE2394" i="5"/>
  <c r="CG2394" i="5" s="1"/>
  <c r="CE1110" i="5"/>
  <c r="CG1110" i="5" s="1"/>
  <c r="CE524" i="5"/>
  <c r="CG524" i="5" s="1"/>
  <c r="CE1631" i="5"/>
  <c r="CG1631" i="5" s="1"/>
  <c r="CE498" i="5"/>
  <c r="CG498" i="5" s="1"/>
  <c r="CE569" i="5"/>
  <c r="CG569" i="5" s="1"/>
  <c r="CE1501" i="5"/>
  <c r="CG1501" i="5" s="1"/>
  <c r="CE356" i="5"/>
  <c r="CG356" i="5" s="1"/>
  <c r="CE1716" i="5"/>
  <c r="CG1716" i="5" s="1"/>
  <c r="CE2418" i="5"/>
  <c r="CG2418" i="5" s="1"/>
  <c r="CE578" i="5"/>
  <c r="CG578" i="5" s="1"/>
  <c r="CE1447" i="5"/>
  <c r="CG1447" i="5" s="1"/>
  <c r="CE2043" i="5"/>
  <c r="CG2043" i="5" s="1"/>
  <c r="CE542" i="5"/>
  <c r="CG542" i="5" s="1"/>
  <c r="CE793" i="5"/>
  <c r="CG793" i="5" s="1"/>
  <c r="CE1151" i="5"/>
  <c r="CG1151" i="5" s="1"/>
  <c r="CE1008" i="5"/>
  <c r="CG1008" i="5" s="1"/>
  <c r="CE1903" i="5"/>
  <c r="CG1903" i="5" s="1"/>
  <c r="CE817" i="5"/>
  <c r="CG817" i="5" s="1"/>
  <c r="CE1019" i="5"/>
  <c r="CG1019" i="5" s="1"/>
  <c r="CE1934" i="5"/>
  <c r="CG1934" i="5" s="1"/>
  <c r="CE836" i="5"/>
  <c r="CG836" i="5" s="1"/>
  <c r="CE1905" i="5"/>
  <c r="CG1905" i="5" s="1"/>
  <c r="CE1546" i="5"/>
  <c r="CG1546" i="5" s="1"/>
  <c r="CE837" i="5"/>
  <c r="CG837" i="5" s="1"/>
  <c r="CE1257" i="5"/>
  <c r="CG1257" i="5" s="1"/>
  <c r="CE144" i="5"/>
  <c r="CE1054" i="5"/>
  <c r="CG1054" i="5" s="1"/>
  <c r="CE2027" i="5"/>
  <c r="CG2027" i="5" s="1"/>
  <c r="CE379" i="5"/>
  <c r="CG379" i="5" s="1"/>
  <c r="CE691" i="5"/>
  <c r="CG691" i="5" s="1"/>
  <c r="CE1553" i="5"/>
  <c r="CG1553" i="5" s="1"/>
  <c r="CE1677" i="5"/>
  <c r="CG1677" i="5" s="1"/>
  <c r="CE44" i="5"/>
  <c r="CG44" i="5" s="1"/>
  <c r="CE1468" i="5"/>
  <c r="CG1468" i="5" s="1"/>
  <c r="CE1414" i="5"/>
  <c r="CG1414" i="5" s="1"/>
  <c r="CE368" i="5"/>
  <c r="CG368" i="5" s="1"/>
  <c r="CE20" i="5"/>
  <c r="CG20" i="5" s="1"/>
  <c r="CE271" i="5"/>
  <c r="CG271" i="5" s="1"/>
  <c r="CE1747" i="5"/>
  <c r="CG1747" i="5" s="1"/>
  <c r="CE1650" i="5"/>
  <c r="CG1650" i="5" s="1"/>
  <c r="CE1702" i="5"/>
  <c r="CG1702" i="5" s="1"/>
  <c r="CE2037" i="5"/>
  <c r="CG2037" i="5" s="1"/>
  <c r="CE1002" i="5"/>
  <c r="CG1002" i="5" s="1"/>
  <c r="CE408" i="5"/>
  <c r="CG408" i="5" s="1"/>
  <c r="CE455" i="5"/>
  <c r="CG455" i="5" s="1"/>
  <c r="CE2182" i="5"/>
  <c r="CG2182" i="5" s="1"/>
  <c r="CE1850" i="5"/>
  <c r="CG1850" i="5" s="1"/>
  <c r="CE1941" i="5"/>
  <c r="CG1941" i="5" s="1"/>
  <c r="CE1646" i="5"/>
  <c r="CG1646" i="5" s="1"/>
  <c r="CE726" i="5"/>
  <c r="CG726" i="5" s="1"/>
  <c r="CE1717" i="5"/>
  <c r="CG1717" i="5" s="1"/>
  <c r="CE2184" i="5"/>
  <c r="CG2184" i="5" s="1"/>
  <c r="CE551" i="5"/>
  <c r="CG551" i="5" s="1"/>
  <c r="CE1112" i="5"/>
  <c r="CG1112" i="5" s="1"/>
  <c r="CE274" i="5"/>
  <c r="CG274" i="5" s="1"/>
  <c r="CE1545" i="5"/>
  <c r="CG1545" i="5" s="1"/>
  <c r="CE2403" i="5"/>
  <c r="CG2403" i="5" s="1"/>
  <c r="CE1984" i="5"/>
  <c r="CG1984" i="5" s="1"/>
  <c r="CE672" i="5"/>
  <c r="CG672" i="5" s="1"/>
  <c r="CE2256" i="5"/>
  <c r="CG2256" i="5" s="1"/>
  <c r="CE1353" i="5"/>
  <c r="CG1353" i="5" s="1"/>
  <c r="CE2274" i="5"/>
  <c r="CG2274" i="5" s="1"/>
  <c r="CE1505" i="5"/>
  <c r="CG1505" i="5" s="1"/>
  <c r="CE352" i="5"/>
  <c r="CG352" i="5" s="1"/>
  <c r="CE1871" i="5"/>
  <c r="CG1871" i="5" s="1"/>
  <c r="CE890" i="5"/>
  <c r="CG890" i="5" s="1"/>
  <c r="CE1244" i="5"/>
  <c r="CG1244" i="5" s="1"/>
  <c r="CE1777" i="5"/>
  <c r="CG1777" i="5" s="1"/>
  <c r="CE2356" i="5"/>
  <c r="CG2356" i="5" s="1"/>
  <c r="CE983" i="5"/>
  <c r="CG983" i="5" s="1"/>
  <c r="CE2341" i="5"/>
  <c r="CG2341" i="5" s="1"/>
  <c r="CE639" i="5"/>
  <c r="CG639" i="5" s="1"/>
  <c r="CE1114" i="5"/>
  <c r="CG1114" i="5" s="1"/>
  <c r="CE2128" i="5"/>
  <c r="CG2128" i="5" s="1"/>
  <c r="CE1047" i="5"/>
  <c r="CG1047" i="5" s="1"/>
  <c r="CE148" i="5"/>
  <c r="CG148" i="5" s="1"/>
  <c r="CE1844" i="5"/>
  <c r="CG1844" i="5" s="1"/>
  <c r="CE891" i="5"/>
  <c r="CG891" i="5" s="1"/>
  <c r="CE2106" i="5"/>
  <c r="CG2106" i="5" s="1"/>
  <c r="CE1582" i="5"/>
  <c r="CG1582" i="5" s="1"/>
  <c r="CE1277" i="5"/>
  <c r="CG1277" i="5" s="1"/>
  <c r="CE83" i="5"/>
  <c r="CG83" i="5" s="1"/>
  <c r="CE1117" i="5"/>
  <c r="CG1117" i="5" s="1"/>
  <c r="CE590" i="5"/>
  <c r="CG590" i="5" s="1"/>
  <c r="CE1572" i="5"/>
  <c r="CG1572" i="5" s="1"/>
  <c r="CE1321" i="5"/>
  <c r="CG1321" i="5" s="1"/>
  <c r="CE553" i="5"/>
  <c r="CG553" i="5" s="1"/>
  <c r="CE2024" i="5"/>
  <c r="CG2024" i="5" s="1"/>
  <c r="CE1004" i="5"/>
  <c r="CG1004" i="5" s="1"/>
  <c r="CE1051" i="5"/>
  <c r="CG1051" i="5" s="1"/>
  <c r="CE310" i="5"/>
  <c r="CG310" i="5" s="1"/>
  <c r="CE2407" i="5"/>
  <c r="CG2407" i="5" s="1"/>
  <c r="CE1999" i="5"/>
  <c r="CG1999" i="5" s="1"/>
  <c r="CE1010" i="5"/>
  <c r="CG1010" i="5" s="1"/>
  <c r="CE1538" i="5"/>
  <c r="CG1538" i="5" s="1"/>
  <c r="CE430" i="5"/>
  <c r="CG430" i="5" s="1"/>
  <c r="CE899" i="5"/>
  <c r="CG899" i="5" s="1"/>
  <c r="CE46" i="5"/>
  <c r="CG46" i="5" s="1"/>
  <c r="CE386" i="5"/>
  <c r="CG386" i="5" s="1"/>
  <c r="CE283" i="5"/>
  <c r="CG283" i="5" s="1"/>
  <c r="CE452" i="5"/>
  <c r="CG452" i="5" s="1"/>
  <c r="CE1166" i="5"/>
  <c r="CG1166" i="5" s="1"/>
  <c r="CE828" i="5"/>
  <c r="CG828" i="5" s="1"/>
  <c r="CE2002" i="5"/>
  <c r="CG2002" i="5" s="1"/>
  <c r="CE1840" i="5"/>
  <c r="CG1840" i="5" s="1"/>
  <c r="CE738" i="5"/>
  <c r="CG738" i="5" s="1"/>
  <c r="CE1540" i="5"/>
  <c r="CG1540" i="5" s="1"/>
  <c r="CE625" i="5"/>
  <c r="CG625" i="5" s="1"/>
  <c r="CE413" i="5"/>
  <c r="CG413" i="5" s="1"/>
  <c r="CE15" i="5"/>
  <c r="CG15" i="5" s="1"/>
  <c r="CE243" i="5"/>
  <c r="CG243" i="5" s="1"/>
  <c r="CE2277" i="5"/>
  <c r="CG2277" i="5" s="1"/>
  <c r="CE1618" i="5"/>
  <c r="CG1618" i="5" s="1"/>
  <c r="CE723" i="5"/>
  <c r="CG723" i="5" s="1"/>
  <c r="CE1764" i="5"/>
  <c r="CG1764" i="5" s="1"/>
  <c r="CE1023" i="5"/>
  <c r="CG1023" i="5" s="1"/>
  <c r="CE1974" i="5"/>
  <c r="CG1974" i="5" s="1"/>
  <c r="CE2419" i="5"/>
  <c r="CG2419" i="5" s="1"/>
  <c r="CE668" i="5"/>
  <c r="CG668" i="5" s="1"/>
  <c r="CE1655" i="5"/>
  <c r="CG1655" i="5" s="1"/>
  <c r="CE456" i="5"/>
  <c r="CG456" i="5" s="1"/>
  <c r="CE435" i="5"/>
  <c r="CG435" i="5" s="1"/>
  <c r="CE1395" i="5"/>
  <c r="CG1395" i="5" s="1"/>
  <c r="CE277" i="5"/>
  <c r="CG277" i="5" s="1"/>
  <c r="CE1431" i="5"/>
  <c r="CG1431" i="5" s="1"/>
  <c r="CE643" i="5"/>
  <c r="CG643" i="5" s="1"/>
  <c r="CE1081" i="5"/>
  <c r="CG1081" i="5" s="1"/>
  <c r="CE1835" i="5"/>
  <c r="CG1835" i="5" s="1"/>
  <c r="CE1352" i="5"/>
  <c r="CG1352" i="5" s="1"/>
  <c r="CE2064" i="5"/>
  <c r="CG2064" i="5" s="1"/>
  <c r="CE34" i="5"/>
  <c r="CG34" i="5" s="1"/>
  <c r="CE253" i="5"/>
  <c r="CG253" i="5" s="1"/>
  <c r="CE938" i="5"/>
  <c r="CG938" i="5" s="1"/>
  <c r="CE187" i="5"/>
  <c r="CG187" i="5" s="1"/>
  <c r="CE874" i="5"/>
  <c r="CG874" i="5" s="1"/>
  <c r="CE682" i="5"/>
  <c r="CG682" i="5" s="1"/>
  <c r="CE911" i="5"/>
  <c r="CG911" i="5" s="1"/>
  <c r="CE2028" i="5"/>
  <c r="CG2028" i="5" s="1"/>
  <c r="CE719" i="5"/>
  <c r="CG719" i="5" s="1"/>
  <c r="CE1457" i="5"/>
  <c r="CG1457" i="5" s="1"/>
  <c r="CE1343" i="5"/>
  <c r="CG1343" i="5" s="1"/>
  <c r="CE424" i="5"/>
  <c r="CG424" i="5" s="1"/>
  <c r="CE1185" i="5"/>
  <c r="CG1185" i="5" s="1"/>
  <c r="CE99" i="5"/>
  <c r="CG99" i="5" s="1"/>
  <c r="CE774" i="5"/>
  <c r="CG774" i="5" s="1"/>
  <c r="CE1590" i="5"/>
  <c r="CG1590" i="5" s="1"/>
  <c r="CE305" i="5"/>
  <c r="CG305" i="5" s="1"/>
  <c r="CE17" i="5"/>
  <c r="CG17" i="5" s="1"/>
  <c r="CE724" i="5"/>
  <c r="CG724" i="5" s="1"/>
  <c r="CE1092" i="5"/>
  <c r="CG1092" i="5" s="1"/>
  <c r="CE1666" i="5"/>
  <c r="CG1666" i="5" s="1"/>
  <c r="CE282" i="5"/>
  <c r="CG282" i="5" s="1"/>
  <c r="CE1856" i="5"/>
  <c r="CG1856" i="5" s="1"/>
  <c r="CE1046" i="5"/>
  <c r="CG1046" i="5" s="1"/>
  <c r="CE1292" i="5"/>
  <c r="CG1292" i="5" s="1"/>
  <c r="CE2177" i="5"/>
  <c r="CG2177" i="5" s="1"/>
  <c r="CE768" i="5"/>
  <c r="CG768" i="5" s="1"/>
  <c r="CE92" i="5"/>
  <c r="CG92" i="5" s="1"/>
  <c r="CE1853" i="5"/>
  <c r="CG1853" i="5" s="1"/>
  <c r="CE664" i="5"/>
  <c r="CG664" i="5" s="1"/>
  <c r="CE1201" i="5"/>
  <c r="CG1201" i="5" s="1"/>
  <c r="CE2253" i="5"/>
  <c r="CG2253" i="5" s="1"/>
  <c r="CE1580" i="5"/>
  <c r="CG1580" i="5" s="1"/>
  <c r="CE211" i="5"/>
  <c r="CG211" i="5" s="1"/>
  <c r="CE1525" i="5"/>
  <c r="CG1525" i="5" s="1"/>
  <c r="CE852" i="5"/>
  <c r="CG852" i="5" s="1"/>
  <c r="CE745" i="5"/>
  <c r="CG745" i="5" s="1"/>
  <c r="CE1484" i="5"/>
  <c r="CG1484" i="5" s="1"/>
  <c r="CE573" i="5"/>
  <c r="CG573" i="5" s="1"/>
  <c r="CE918" i="5"/>
  <c r="CG918" i="5" s="1"/>
  <c r="CE2235" i="5"/>
  <c r="CG2235" i="5" s="1"/>
  <c r="CE2322" i="5"/>
  <c r="CG2322" i="5" s="1"/>
  <c r="CE1255" i="5"/>
  <c r="CG1255" i="5" s="1"/>
  <c r="CE2129" i="5"/>
  <c r="CG2129" i="5" s="1"/>
  <c r="CE887" i="5"/>
  <c r="CG887" i="5" s="1"/>
  <c r="CE1616" i="5"/>
  <c r="CG1616" i="5" s="1"/>
  <c r="CE878" i="5"/>
  <c r="CG878" i="5" s="1"/>
  <c r="CE2150" i="5"/>
  <c r="CG2150" i="5" s="1"/>
  <c r="CE1360" i="5"/>
  <c r="CG1360" i="5" s="1"/>
  <c r="CE1318" i="5"/>
  <c r="CG1318" i="5" s="1"/>
  <c r="CE2224" i="5"/>
  <c r="CG2224" i="5" s="1"/>
  <c r="CE1030" i="5"/>
  <c r="CG1030" i="5" s="1"/>
  <c r="CE441" i="5"/>
  <c r="CG441" i="5" s="1"/>
  <c r="CE1375" i="5"/>
  <c r="CG1375" i="5" s="1"/>
  <c r="CE2082" i="5"/>
  <c r="CG2082" i="5" s="1"/>
  <c r="CE1462" i="5"/>
  <c r="CG1462" i="5" s="1"/>
  <c r="CE338" i="5"/>
  <c r="CG338" i="5" s="1"/>
  <c r="CE1813" i="5"/>
  <c r="CG1813" i="5" s="1"/>
  <c r="CE753" i="5"/>
  <c r="CG753" i="5" s="1"/>
  <c r="CE949" i="5"/>
  <c r="CG949" i="5" s="1"/>
  <c r="CE2392" i="5"/>
  <c r="CG2392" i="5" s="1"/>
  <c r="CE2097" i="5"/>
  <c r="CG2097" i="5" s="1"/>
  <c r="CE1250" i="5"/>
  <c r="CG1250" i="5" s="1"/>
  <c r="CE1460" i="5"/>
  <c r="CG1460" i="5" s="1"/>
  <c r="CE533" i="5"/>
  <c r="CG533" i="5" s="1"/>
  <c r="CE2367" i="5"/>
  <c r="CG2367" i="5" s="1"/>
  <c r="CE154" i="5"/>
  <c r="CG154" i="5" s="1"/>
  <c r="CE272" i="5"/>
  <c r="CG272" i="5" s="1"/>
  <c r="CE1710" i="5"/>
  <c r="CG1710" i="5" s="1"/>
  <c r="CE1576" i="5"/>
  <c r="CG1576" i="5" s="1"/>
  <c r="CE1892" i="5"/>
  <c r="CG1892" i="5" s="1"/>
  <c r="CE1722" i="5"/>
  <c r="CG1722" i="5" s="1"/>
  <c r="CE2193" i="5"/>
  <c r="CG2193" i="5" s="1"/>
  <c r="CE378" i="5"/>
  <c r="CG378" i="5" s="1"/>
  <c r="CE2329" i="5"/>
  <c r="CG2329" i="5" s="1"/>
  <c r="CE215" i="5"/>
  <c r="CG215" i="5" s="1"/>
  <c r="CE2108" i="5"/>
  <c r="CG2108" i="5" s="1"/>
  <c r="CE1304" i="5"/>
  <c r="CG1304" i="5" s="1"/>
  <c r="CE1489" i="5"/>
  <c r="CG1489" i="5" s="1"/>
  <c r="CE110" i="5"/>
  <c r="CG110" i="5" s="1"/>
  <c r="CE903" i="5"/>
  <c r="CG903" i="5" s="1"/>
  <c r="CE1649" i="5"/>
  <c r="CG1649" i="5" s="1"/>
  <c r="CE164" i="5"/>
  <c r="CG164" i="5" s="1"/>
  <c r="CE426" i="5"/>
  <c r="CG426" i="5" s="1"/>
  <c r="CE1169" i="5"/>
  <c r="CG1169" i="5" s="1"/>
  <c r="CE210" i="5"/>
  <c r="CG210" i="5" s="1"/>
  <c r="CE1388" i="5"/>
  <c r="CG1388" i="5" s="1"/>
  <c r="CE1309" i="5"/>
  <c r="CG1309" i="5" s="1"/>
  <c r="CE626" i="5"/>
  <c r="CG626" i="5" s="1"/>
  <c r="CE2381" i="5"/>
  <c r="CG2381" i="5" s="1"/>
  <c r="CE1772" i="5"/>
  <c r="CG1772" i="5" s="1"/>
  <c r="CE325" i="5"/>
  <c r="CG325" i="5" s="1"/>
  <c r="CE1180" i="5"/>
  <c r="CG1180" i="5" s="1"/>
  <c r="CE1981" i="5"/>
  <c r="CG1981" i="5" s="1"/>
  <c r="CE2026" i="5"/>
  <c r="CG2026" i="5" s="1"/>
  <c r="CE2140" i="5"/>
  <c r="CG2140" i="5" s="1"/>
  <c r="CE895" i="5"/>
  <c r="CG895" i="5" s="1"/>
  <c r="CE142" i="5"/>
  <c r="CG142" i="5" s="1"/>
  <c r="CE680" i="5"/>
  <c r="CG680" i="5" s="1"/>
  <c r="CE333" i="5"/>
  <c r="CG333" i="5" s="1"/>
  <c r="CE770" i="5"/>
  <c r="CG770" i="5" s="1"/>
  <c r="CE660" i="5"/>
  <c r="CG660" i="5" s="1"/>
  <c r="CE1288" i="5"/>
  <c r="CG1288" i="5" s="1"/>
  <c r="CE1329" i="5"/>
  <c r="CG1329" i="5" s="1"/>
  <c r="CE2328" i="5"/>
  <c r="CG2328" i="5" s="1"/>
  <c r="CE302" i="5"/>
  <c r="CG302" i="5" s="1"/>
  <c r="CE1050" i="5"/>
  <c r="CG1050" i="5" s="1"/>
  <c r="CE2410" i="5"/>
  <c r="CG2410" i="5" s="1"/>
  <c r="CE2210" i="5"/>
  <c r="CG2210" i="5" s="1"/>
  <c r="CE473" i="5"/>
  <c r="CG473" i="5" s="1"/>
  <c r="CE2421" i="5"/>
  <c r="CG2421" i="5" s="1"/>
  <c r="CE1589" i="5"/>
  <c r="CG1589" i="5" s="1"/>
  <c r="CE1280" i="5"/>
  <c r="CG1280" i="5" s="1"/>
  <c r="CE1383" i="5"/>
  <c r="CG1383" i="5" s="1"/>
  <c r="CE1746" i="5"/>
  <c r="CG1746" i="5" s="1"/>
  <c r="CE2063" i="5"/>
  <c r="CG2063" i="5" s="1"/>
  <c r="CE490" i="5"/>
  <c r="CG490" i="5" s="1"/>
  <c r="CE1745" i="5"/>
  <c r="CG1745" i="5" s="1"/>
  <c r="CE421" i="5"/>
  <c r="CG421" i="5" s="1"/>
  <c r="CE1921" i="5"/>
  <c r="CG1921" i="5" s="1"/>
  <c r="CE98" i="5"/>
  <c r="CG98" i="5" s="1"/>
  <c r="CE1065" i="5"/>
  <c r="CG1065" i="5" s="1"/>
  <c r="CE1492" i="5"/>
  <c r="CG1492" i="5" s="1"/>
  <c r="CE1373" i="5"/>
  <c r="CG1373" i="5" s="1"/>
  <c r="BP6" i="1"/>
  <c r="BP238" i="1"/>
  <c r="BP23" i="1"/>
  <c r="BP11" i="1"/>
  <c r="BP2" i="1"/>
  <c r="BW11" i="1" l="1"/>
  <c r="BW23" i="1"/>
  <c r="BW107" i="1"/>
  <c r="BW6" i="1"/>
  <c r="BW238" i="1"/>
  <c r="BW240" i="1"/>
  <c r="BW184" i="1"/>
  <c r="BU79" i="1"/>
  <c r="BX79" i="1" s="1"/>
  <c r="BU91" i="1"/>
  <c r="BX91" i="1" s="1"/>
  <c r="BU92" i="1"/>
  <c r="BX92" i="1" s="1"/>
  <c r="BU179" i="1"/>
  <c r="BX179" i="1" s="1"/>
  <c r="BU192" i="1"/>
  <c r="BX192" i="1" s="1"/>
  <c r="BU214" i="1"/>
  <c r="BX214" i="1" s="1"/>
  <c r="BU153" i="1"/>
  <c r="BX153" i="1" s="1"/>
  <c r="BU48" i="1"/>
  <c r="BX48" i="1" s="1"/>
  <c r="BU119" i="1"/>
  <c r="BX119" i="1" s="1"/>
  <c r="BU209" i="1"/>
  <c r="BX209" i="1" s="1"/>
  <c r="BU39" i="1"/>
  <c r="BX39" i="1" s="1"/>
  <c r="BU253" i="1"/>
  <c r="BX253" i="1" s="1"/>
  <c r="BU215" i="1"/>
  <c r="BX215" i="1" s="1"/>
  <c r="BU113" i="1"/>
  <c r="BX113" i="1" s="1"/>
  <c r="BU95" i="1"/>
  <c r="BX95" i="1" s="1"/>
  <c r="BU36" i="1"/>
  <c r="BX36" i="1" s="1"/>
  <c r="BU277" i="1"/>
  <c r="BX277" i="1" s="1"/>
  <c r="BU127" i="1"/>
  <c r="BX127" i="1" s="1"/>
  <c r="BU275" i="1"/>
  <c r="BX275" i="1" s="1"/>
  <c r="BU138" i="1"/>
  <c r="BX138" i="1" s="1"/>
  <c r="BU103" i="1"/>
  <c r="BX103" i="1" s="1"/>
  <c r="BU46" i="1"/>
  <c r="BX46" i="1" s="1"/>
  <c r="BU86" i="1"/>
  <c r="BX86" i="1" s="1"/>
  <c r="BU90" i="1"/>
  <c r="BX90" i="1" s="1"/>
  <c r="BU53" i="1"/>
  <c r="BX53" i="1" s="1"/>
  <c r="BU131" i="1"/>
  <c r="BX131" i="1" s="1"/>
  <c r="BU27" i="1"/>
  <c r="BX27" i="1" s="1"/>
  <c r="BU241" i="1"/>
  <c r="BX241" i="1" s="1"/>
  <c r="BU196" i="1"/>
  <c r="BX196" i="1" s="1"/>
  <c r="BU97" i="1"/>
  <c r="BX97" i="1" s="1"/>
  <c r="BU188" i="1"/>
  <c r="BX188" i="1" s="1"/>
  <c r="BU283" i="1"/>
  <c r="BX283" i="1" s="1"/>
  <c r="BU271" i="1"/>
  <c r="BX271" i="1" s="1"/>
  <c r="BU121" i="1"/>
  <c r="BX121" i="1" s="1"/>
  <c r="BU21" i="1"/>
  <c r="BX21" i="1" s="1"/>
  <c r="BU236" i="1"/>
  <c r="BX236" i="1" s="1"/>
  <c r="BU261" i="1"/>
  <c r="BX261" i="1" s="1"/>
  <c r="BU161" i="1"/>
  <c r="BX161" i="1" s="1"/>
  <c r="BU206" i="1"/>
  <c r="BX206" i="1" s="1"/>
  <c r="BU124" i="1"/>
  <c r="BX124" i="1" s="1"/>
  <c r="BU123" i="1"/>
  <c r="BX123" i="1" s="1"/>
  <c r="BU24" i="1"/>
  <c r="BX24" i="1" s="1"/>
  <c r="BU40" i="1"/>
  <c r="BX40" i="1" s="1"/>
  <c r="BU136" i="1"/>
  <c r="BX136" i="1" s="1"/>
  <c r="BU142" i="1"/>
  <c r="BX142" i="1" s="1"/>
  <c r="BU3" i="1"/>
  <c r="BX3" i="1" s="1"/>
  <c r="BU80" i="1"/>
  <c r="BX80" i="1" s="1"/>
  <c r="BU72" i="1"/>
  <c r="BX72" i="1" s="1"/>
  <c r="BU228" i="1"/>
  <c r="BX228" i="1" s="1"/>
  <c r="BU167" i="1"/>
  <c r="BX167" i="1" s="1"/>
  <c r="BU17" i="1"/>
  <c r="BX17" i="1" s="1"/>
  <c r="BU163" i="1"/>
  <c r="BX163" i="1" s="1"/>
  <c r="BU224" i="1"/>
  <c r="BX224" i="1" s="1"/>
  <c r="BU34" i="1"/>
  <c r="BX34" i="1" s="1"/>
  <c r="BU165" i="1"/>
  <c r="BX165" i="1" s="1"/>
  <c r="BU66" i="1"/>
  <c r="BX66" i="1" s="1"/>
  <c r="BU285" i="1"/>
  <c r="BX285" i="1" s="1"/>
  <c r="BU88" i="1"/>
  <c r="BX88" i="1" s="1"/>
  <c r="BU60" i="1"/>
  <c r="BX60" i="1" s="1"/>
  <c r="BU135" i="1"/>
  <c r="BX135" i="1" s="1"/>
  <c r="BU13" i="1"/>
  <c r="BX13" i="1" s="1"/>
  <c r="BU31" i="1"/>
  <c r="BX31" i="1" s="1"/>
  <c r="BU129" i="1"/>
  <c r="BX129" i="1" s="1"/>
  <c r="BU178" i="1"/>
  <c r="BX178" i="1" s="1"/>
  <c r="BU81" i="1"/>
  <c r="BX81" i="1" s="1"/>
  <c r="BU217" i="1"/>
  <c r="BX217" i="1" s="1"/>
  <c r="BU230" i="1"/>
  <c r="BX230" i="1" s="1"/>
  <c r="BU111" i="1"/>
  <c r="BX111" i="1" s="1"/>
  <c r="BU258" i="1"/>
  <c r="BX258" i="1" s="1"/>
  <c r="BU102" i="1"/>
  <c r="BX102" i="1" s="1"/>
  <c r="BU278" i="1"/>
  <c r="BX278" i="1" s="1"/>
  <c r="BU256" i="1"/>
  <c r="BX256" i="1" s="1"/>
  <c r="BU54" i="1"/>
  <c r="BX54" i="1" s="1"/>
  <c r="BU56" i="1"/>
  <c r="BX56" i="1" s="1"/>
  <c r="BU94" i="1"/>
  <c r="BX94" i="1" s="1"/>
  <c r="BU225" i="1"/>
  <c r="BX225" i="1" s="1"/>
  <c r="BU49" i="1"/>
  <c r="BX49" i="1" s="1"/>
  <c r="BU84" i="1"/>
  <c r="BX84" i="1" s="1"/>
  <c r="BU158" i="1"/>
  <c r="BX158" i="1" s="1"/>
  <c r="BU73" i="1"/>
  <c r="BX73" i="1" s="1"/>
  <c r="BU173" i="1"/>
  <c r="BX173" i="1" s="1"/>
  <c r="BU174" i="1"/>
  <c r="BX174" i="1" s="1"/>
  <c r="BU78" i="1"/>
  <c r="BX78" i="1" s="1"/>
  <c r="BU30" i="1"/>
  <c r="BX30" i="1" s="1"/>
  <c r="BU75" i="1"/>
  <c r="BX75" i="1" s="1"/>
  <c r="BU260" i="1"/>
  <c r="BX260" i="1" s="1"/>
  <c r="BU20" i="1"/>
  <c r="BX20" i="1" s="1"/>
  <c r="BU237" i="1"/>
  <c r="BX237" i="1" s="1"/>
  <c r="BU44" i="1"/>
  <c r="BX44" i="1" s="1"/>
  <c r="BU254" i="1"/>
  <c r="BX254" i="1" s="1"/>
  <c r="BU14" i="1"/>
  <c r="BX14" i="1" s="1"/>
  <c r="BU134" i="1"/>
  <c r="BX134" i="1" s="1"/>
  <c r="BU100" i="1"/>
  <c r="BX100" i="1" s="1"/>
  <c r="BU172" i="1"/>
  <c r="BX172" i="1" s="1"/>
  <c r="BU99" i="1"/>
  <c r="BX99" i="1" s="1"/>
  <c r="BU108" i="1"/>
  <c r="BX108" i="1" s="1"/>
  <c r="BU137" i="1"/>
  <c r="BX137" i="1" s="1"/>
  <c r="BU122" i="1"/>
  <c r="BX122" i="1" s="1"/>
  <c r="BU194" i="1"/>
  <c r="BX194" i="1" s="1"/>
  <c r="BU262" i="1"/>
  <c r="BX262" i="1" s="1"/>
  <c r="BU190" i="1"/>
  <c r="BX190" i="1" s="1"/>
  <c r="BU195" i="1"/>
  <c r="BX195" i="1" s="1"/>
  <c r="BU280" i="1"/>
  <c r="BX280" i="1" s="1"/>
  <c r="BU264" i="1"/>
  <c r="BX264" i="1" s="1"/>
  <c r="BU239" i="1"/>
  <c r="BX239" i="1" s="1"/>
  <c r="BU170" i="1"/>
  <c r="BX170" i="1" s="1"/>
  <c r="BU98" i="1"/>
  <c r="BX98" i="1" s="1"/>
  <c r="BU145" i="1"/>
  <c r="BX145" i="1" s="1"/>
  <c r="BU180" i="1"/>
  <c r="BX180" i="1" s="1"/>
  <c r="BU154" i="1"/>
  <c r="BX154" i="1" s="1"/>
  <c r="BU182" i="1"/>
  <c r="BX182" i="1" s="1"/>
  <c r="BU191" i="1"/>
  <c r="BX191" i="1" s="1"/>
  <c r="BU251" i="1"/>
  <c r="BX251" i="1" s="1"/>
  <c r="BU47" i="1"/>
  <c r="BX47" i="1" s="1"/>
  <c r="BU101" i="1"/>
  <c r="BX101" i="1" s="1"/>
  <c r="BU274" i="1"/>
  <c r="BX274" i="1" s="1"/>
  <c r="BU276" i="1"/>
  <c r="BX276" i="1" s="1"/>
  <c r="BU207" i="1"/>
  <c r="BX207" i="1" s="1"/>
  <c r="BU268" i="1"/>
  <c r="BX268" i="1" s="1"/>
  <c r="BU176" i="1"/>
  <c r="BX176" i="1" s="1"/>
  <c r="BU242" i="1"/>
  <c r="BX242" i="1" s="1"/>
  <c r="BU64" i="1"/>
  <c r="BX64" i="1" s="1"/>
  <c r="BU266" i="1"/>
  <c r="BX266" i="1" s="1"/>
  <c r="BU197" i="1"/>
  <c r="BX197" i="1" s="1"/>
  <c r="BU155" i="1"/>
  <c r="BX155" i="1" s="1"/>
  <c r="BU169" i="1"/>
  <c r="BX169" i="1" s="1"/>
  <c r="BU216" i="1"/>
  <c r="BX216" i="1" s="1"/>
  <c r="BU210" i="1"/>
  <c r="BX210" i="1" s="1"/>
  <c r="BU115" i="1"/>
  <c r="BX115" i="1" s="1"/>
  <c r="BU279" i="1"/>
  <c r="BX279" i="1" s="1"/>
  <c r="BU106" i="1"/>
  <c r="BX106" i="1" s="1"/>
  <c r="BU85" i="1"/>
  <c r="BX85" i="1" s="1"/>
  <c r="BU150" i="1"/>
  <c r="BX150" i="1" s="1"/>
  <c r="BU267" i="1"/>
  <c r="BX267" i="1" s="1"/>
  <c r="BU59" i="1"/>
  <c r="BX59" i="1" s="1"/>
  <c r="BU26" i="1"/>
  <c r="BX26" i="1" s="1"/>
  <c r="BU245" i="1"/>
  <c r="BX245" i="1" s="1"/>
  <c r="BU143" i="1"/>
  <c r="BX143" i="1" s="1"/>
  <c r="BU37" i="1"/>
  <c r="BX37" i="1" s="1"/>
  <c r="BU231" i="1"/>
  <c r="BX231" i="1" s="1"/>
  <c r="BU52" i="1"/>
  <c r="BX52" i="1" s="1"/>
  <c r="BU223" i="1"/>
  <c r="BX223" i="1" s="1"/>
  <c r="BU93" i="1"/>
  <c r="BX93" i="1" s="1"/>
  <c r="BU43" i="1"/>
  <c r="BX43" i="1" s="1"/>
  <c r="BU45" i="1"/>
  <c r="BX45" i="1" s="1"/>
  <c r="BU77" i="1"/>
  <c r="BX77" i="1" s="1"/>
  <c r="BU149" i="1"/>
  <c r="BX149" i="1" s="1"/>
  <c r="BU255" i="1"/>
  <c r="BX255" i="1" s="1"/>
  <c r="BU5" i="1"/>
  <c r="BX5" i="1" s="1"/>
  <c r="BU252" i="1"/>
  <c r="BX252" i="1" s="1"/>
  <c r="BU35" i="1"/>
  <c r="BX35" i="1" s="1"/>
  <c r="BU8" i="1"/>
  <c r="BX8" i="1" s="1"/>
  <c r="BU109" i="1"/>
  <c r="BX109" i="1" s="1"/>
  <c r="BU200" i="1"/>
  <c r="BX200" i="1" s="1"/>
  <c r="BU28" i="1"/>
  <c r="BX28" i="1" s="1"/>
  <c r="BU38" i="1"/>
  <c r="BX38" i="1" s="1"/>
  <c r="BU29" i="1"/>
  <c r="BX29" i="1" s="1"/>
  <c r="BU249" i="1"/>
  <c r="BX249" i="1" s="1"/>
  <c r="BU232" i="1"/>
  <c r="BX232" i="1" s="1"/>
  <c r="BU110" i="1"/>
  <c r="BX110" i="1" s="1"/>
  <c r="BU157" i="1"/>
  <c r="BX157" i="1" s="1"/>
  <c r="BU235" i="1"/>
  <c r="BX235" i="1" s="1"/>
  <c r="BU96" i="1"/>
  <c r="BX96" i="1" s="1"/>
  <c r="BU152" i="1"/>
  <c r="BX152" i="1" s="1"/>
  <c r="BU189" i="1"/>
  <c r="BX189" i="1" s="1"/>
  <c r="BU270" i="1"/>
  <c r="BX270" i="1" s="1"/>
  <c r="BU272" i="1"/>
  <c r="BX272" i="1" s="1"/>
  <c r="BU175" i="1"/>
  <c r="BX175" i="1" s="1"/>
  <c r="BU18" i="1"/>
  <c r="BX18" i="1" s="1"/>
  <c r="BU219" i="1"/>
  <c r="BX219" i="1" s="1"/>
  <c r="BU164" i="1"/>
  <c r="BX164" i="1" s="1"/>
  <c r="BU177" i="1"/>
  <c r="BX177" i="1" s="1"/>
  <c r="BU118" i="1"/>
  <c r="BX118" i="1" s="1"/>
  <c r="BU213" i="1"/>
  <c r="BX213" i="1" s="1"/>
  <c r="BU222" i="1"/>
  <c r="BX222" i="1" s="1"/>
  <c r="BU151" i="1"/>
  <c r="BX151" i="1" s="1"/>
  <c r="BU74" i="1"/>
  <c r="BX74" i="1" s="1"/>
  <c r="BU168" i="1"/>
  <c r="BX168" i="1" s="1"/>
  <c r="BU128" i="1"/>
  <c r="BX128" i="1" s="1"/>
  <c r="BU19" i="1"/>
  <c r="BX19" i="1" s="1"/>
  <c r="BU221" i="1"/>
  <c r="BX221" i="1" s="1"/>
  <c r="BU7" i="1"/>
  <c r="BX7" i="1" s="1"/>
  <c r="BU83" i="1"/>
  <c r="BX83" i="1" s="1"/>
  <c r="BU65" i="1"/>
  <c r="BX65" i="1" s="1"/>
  <c r="BU220" i="1"/>
  <c r="BX220" i="1" s="1"/>
  <c r="BU287" i="1"/>
  <c r="BX287" i="1" s="1"/>
  <c r="BU229" i="1"/>
  <c r="BX229" i="1" s="1"/>
  <c r="BU144" i="1"/>
  <c r="BX144" i="1" s="1"/>
  <c r="BU227" i="1"/>
  <c r="BX227" i="1" s="1"/>
  <c r="BU55" i="1"/>
  <c r="BX55" i="1" s="1"/>
  <c r="BU202" i="1"/>
  <c r="BX202" i="1" s="1"/>
  <c r="BU50" i="1"/>
  <c r="BX50" i="1" s="1"/>
  <c r="BU246" i="1"/>
  <c r="BX246" i="1" s="1"/>
  <c r="BU199" i="1"/>
  <c r="BX199" i="1" s="1"/>
  <c r="BU159" i="1"/>
  <c r="BX159" i="1" s="1"/>
  <c r="BU76" i="1"/>
  <c r="BX76" i="1" s="1"/>
  <c r="BU269" i="1"/>
  <c r="BX269" i="1" s="1"/>
  <c r="BU263" i="1"/>
  <c r="BX263" i="1" s="1"/>
  <c r="BU148" i="1"/>
  <c r="BX148" i="1" s="1"/>
  <c r="BU42" i="1"/>
  <c r="BX42" i="1" s="1"/>
  <c r="BU133" i="1"/>
  <c r="BX133" i="1" s="1"/>
  <c r="BU250" i="1"/>
  <c r="BX250" i="1" s="1"/>
  <c r="BU70" i="1"/>
  <c r="BX70" i="1" s="1"/>
  <c r="BU248" i="1"/>
  <c r="BX248" i="1" s="1"/>
  <c r="BU187" i="1"/>
  <c r="BX187" i="1" s="1"/>
  <c r="BU166" i="1"/>
  <c r="BX166" i="1" s="1"/>
  <c r="BU218" i="1"/>
  <c r="BX218" i="1" s="1"/>
  <c r="BU61" i="1"/>
  <c r="BX61" i="1" s="1"/>
  <c r="BU181" i="1"/>
  <c r="BX181" i="1" s="1"/>
  <c r="BU71" i="1"/>
  <c r="BX71" i="1" s="1"/>
  <c r="BU4" i="1"/>
  <c r="BX4" i="1" s="1"/>
  <c r="BU243" i="1"/>
  <c r="BX243" i="1" s="1"/>
  <c r="BU105" i="1"/>
  <c r="BX105" i="1" s="1"/>
  <c r="BU89" i="1"/>
  <c r="BX89" i="1" s="1"/>
  <c r="BU259" i="1"/>
  <c r="BX259" i="1" s="1"/>
  <c r="BU68" i="1"/>
  <c r="BX68" i="1" s="1"/>
  <c r="BU282" i="1"/>
  <c r="BX282" i="1" s="1"/>
  <c r="BU16" i="1"/>
  <c r="BX16" i="1" s="1"/>
  <c r="BU208" i="1"/>
  <c r="BX208" i="1" s="1"/>
  <c r="BU33" i="1"/>
  <c r="BX33" i="1" s="1"/>
  <c r="BU289" i="1"/>
  <c r="BX289" i="1" s="1"/>
  <c r="BU51" i="1"/>
  <c r="BX51" i="1" s="1"/>
  <c r="BU112" i="1"/>
  <c r="BX112" i="1" s="1"/>
  <c r="BU201" i="1"/>
  <c r="BX201" i="1" s="1"/>
  <c r="BU15" i="1"/>
  <c r="BX15" i="1" s="1"/>
  <c r="BU204" i="1"/>
  <c r="BX204" i="1" s="1"/>
  <c r="BU203" i="1"/>
  <c r="BX203" i="1" s="1"/>
  <c r="BU193" i="1"/>
  <c r="BX193" i="1" s="1"/>
  <c r="BU10" i="1"/>
  <c r="BX10" i="1" s="1"/>
  <c r="BU171" i="1"/>
  <c r="BX171" i="1" s="1"/>
  <c r="BU212" i="1"/>
  <c r="BX212" i="1" s="1"/>
  <c r="BU104" i="1"/>
  <c r="BX104" i="1" s="1"/>
  <c r="BU9" i="1"/>
  <c r="BX9" i="1" s="1"/>
  <c r="BU69" i="1"/>
  <c r="BX69" i="1" s="1"/>
  <c r="BU67" i="1"/>
  <c r="BX67" i="1" s="1"/>
  <c r="BU32" i="1"/>
  <c r="BX32" i="1" s="1"/>
  <c r="BU116" i="1"/>
  <c r="BX116" i="1" s="1"/>
  <c r="BU233" i="1"/>
  <c r="BX233" i="1" s="1"/>
  <c r="BU160" i="1"/>
  <c r="BX160" i="1" s="1"/>
  <c r="BU286" i="1"/>
  <c r="BX286" i="1" s="1"/>
  <c r="BU226" i="1"/>
  <c r="BX226" i="1" s="1"/>
  <c r="BU140" i="1"/>
  <c r="BX140" i="1" s="1"/>
  <c r="BU234" i="1"/>
  <c r="BX234" i="1" s="1"/>
  <c r="BU82" i="1"/>
  <c r="BX82" i="1" s="1"/>
  <c r="BU62" i="1"/>
  <c r="BX62" i="1" s="1"/>
  <c r="BU156" i="1"/>
  <c r="BX156" i="1" s="1"/>
  <c r="BU120" i="1"/>
  <c r="BX120" i="1" s="1"/>
  <c r="BU139" i="1"/>
  <c r="BX139" i="1" s="1"/>
  <c r="BU183" i="1"/>
  <c r="BX183" i="1" s="1"/>
  <c r="BU265" i="1"/>
  <c r="BX265" i="1" s="1"/>
  <c r="BU130" i="1"/>
  <c r="BX130" i="1" s="1"/>
  <c r="BU58" i="1"/>
  <c r="BX58" i="1" s="1"/>
  <c r="BU141" i="1"/>
  <c r="BX141" i="1" s="1"/>
  <c r="BU146" i="1"/>
  <c r="BX146" i="1" s="1"/>
  <c r="BU114" i="1"/>
  <c r="BX114" i="1" s="1"/>
  <c r="BU12" i="1"/>
  <c r="BX12" i="1" s="1"/>
  <c r="BU257" i="1"/>
  <c r="BX257" i="1" s="1"/>
  <c r="BU132" i="1"/>
  <c r="BX132" i="1" s="1"/>
  <c r="BU87" i="1"/>
  <c r="BX87" i="1" s="1"/>
  <c r="BU125" i="1"/>
  <c r="BX125" i="1" s="1"/>
  <c r="BU247" i="1"/>
  <c r="BX247" i="1" s="1"/>
  <c r="BU57" i="1"/>
  <c r="BX57" i="1" s="1"/>
  <c r="BU22" i="1"/>
  <c r="BX22" i="1" s="1"/>
  <c r="BU281" i="1"/>
  <c r="BX281" i="1" s="1"/>
  <c r="BU185" i="1"/>
  <c r="BX185" i="1" s="1"/>
  <c r="BU198" i="1"/>
  <c r="BX198" i="1" s="1"/>
  <c r="BU244" i="1"/>
  <c r="BX244" i="1" s="1"/>
  <c r="BU63" i="1"/>
  <c r="BX63" i="1" s="1"/>
  <c r="BU126" i="1"/>
  <c r="BX126" i="1" s="1"/>
  <c r="BU288" i="1"/>
  <c r="BX288" i="1" s="1"/>
  <c r="BU186" i="1"/>
  <c r="BX186" i="1" s="1"/>
  <c r="BU211" i="1"/>
  <c r="BX211" i="1" s="1"/>
  <c r="BU117" i="1"/>
  <c r="BX117" i="1" s="1"/>
  <c r="BU273" i="1"/>
  <c r="BX273" i="1" s="1"/>
  <c r="BU284" i="1"/>
  <c r="BX284" i="1" s="1"/>
  <c r="BU41" i="1"/>
  <c r="BX41" i="1" s="1"/>
  <c r="BU205" i="1"/>
  <c r="BX205" i="1" s="1"/>
  <c r="BU162" i="1"/>
  <c r="BX162" i="1" s="1"/>
  <c r="BU25" i="1"/>
  <c r="BX25" i="1" s="1"/>
  <c r="BU147" i="1"/>
  <c r="BX147" i="1" s="1"/>
  <c r="BP180" i="1"/>
  <c r="BP143" i="1"/>
  <c r="CE1133" i="5"/>
  <c r="CG1133" i="5" s="1"/>
  <c r="CE2105" i="5"/>
  <c r="CG2105" i="5" s="1"/>
  <c r="CE1137" i="5"/>
  <c r="CG1137" i="5" s="1"/>
  <c r="CE2489" i="5"/>
  <c r="CG2489" i="5" s="1"/>
  <c r="CE1958" i="5"/>
  <c r="CG1958" i="5" s="1"/>
  <c r="CE510" i="5"/>
  <c r="CG510" i="5" s="1"/>
  <c r="CE2212" i="5"/>
  <c r="CG2212" i="5" s="1"/>
  <c r="CE650" i="5"/>
  <c r="CG650" i="5" s="1"/>
  <c r="CE440" i="5"/>
  <c r="CG440" i="5" s="1"/>
  <c r="CE818" i="5"/>
  <c r="CG818" i="5" s="1"/>
  <c r="CE1430" i="5"/>
  <c r="CG1430" i="5" s="1"/>
  <c r="CE577" i="5"/>
  <c r="CG577" i="5" s="1"/>
  <c r="CE539" i="5"/>
  <c r="CG539" i="5" s="1"/>
  <c r="CE1020" i="5"/>
  <c r="CG1020" i="5" s="1"/>
  <c r="CE2040" i="5"/>
  <c r="CG2040" i="5" s="1"/>
  <c r="CE649" i="5"/>
  <c r="CG649" i="5" s="1"/>
  <c r="CE270" i="5"/>
  <c r="CG270" i="5" s="1"/>
  <c r="CE231" i="5"/>
  <c r="CG231" i="5" s="1"/>
  <c r="CE1163" i="5"/>
  <c r="CG1163" i="5" s="1"/>
  <c r="CE2007" i="5"/>
  <c r="CG2007" i="5" s="1"/>
  <c r="CE170" i="5"/>
  <c r="CG170" i="5" s="1"/>
  <c r="CE1502" i="5"/>
  <c r="CG1502" i="5" s="1"/>
  <c r="CE758" i="5"/>
  <c r="CG758" i="5" s="1"/>
  <c r="CE1066" i="5"/>
  <c r="CG1066" i="5" s="1"/>
  <c r="CE59" i="5"/>
  <c r="CG59" i="5" s="1"/>
  <c r="CE561" i="5"/>
  <c r="CG561" i="5" s="1"/>
  <c r="CE399" i="5"/>
  <c r="CG399" i="5" s="1"/>
  <c r="CE458" i="5"/>
  <c r="CG458" i="5" s="1"/>
  <c r="CE835" i="5"/>
  <c r="CG835" i="5" s="1"/>
  <c r="CE1876" i="5"/>
  <c r="CG1876" i="5" s="1"/>
  <c r="CE1685" i="5"/>
  <c r="CG1685" i="5" s="1"/>
  <c r="CE341" i="5"/>
  <c r="CG341" i="5" s="1"/>
  <c r="CE2435" i="5"/>
  <c r="CG2435" i="5" s="1"/>
  <c r="CE666" i="5"/>
  <c r="CG666" i="5" s="1"/>
  <c r="CE1453" i="5"/>
  <c r="CG1453" i="5" s="1"/>
  <c r="CE1207" i="5"/>
  <c r="CG1207" i="5" s="1"/>
  <c r="CE2001" i="5"/>
  <c r="CG2001" i="5" s="1"/>
  <c r="CE708" i="5"/>
  <c r="CG708" i="5" s="1"/>
  <c r="CE1904" i="5"/>
  <c r="CG1904" i="5" s="1"/>
  <c r="CE1630" i="5"/>
  <c r="CG1630" i="5" s="1"/>
  <c r="CE47" i="5"/>
  <c r="CG47" i="5" s="1"/>
  <c r="CE454" i="5"/>
  <c r="CG454" i="5" s="1"/>
  <c r="CE841" i="5"/>
  <c r="CG841" i="5" s="1"/>
  <c r="CE75" i="5"/>
  <c r="CG75" i="5" s="1"/>
  <c r="CE398" i="5"/>
  <c r="CG398" i="5" s="1"/>
  <c r="CE1090" i="5"/>
  <c r="CG1090" i="5" s="1"/>
  <c r="CE1175" i="5"/>
  <c r="CG1175" i="5" s="1"/>
  <c r="CE475" i="5"/>
  <c r="CG475" i="5" s="1"/>
  <c r="CE2229" i="5"/>
  <c r="CG2229" i="5" s="1"/>
  <c r="CE995" i="5"/>
  <c r="CG995" i="5" s="1"/>
  <c r="CG226" i="5"/>
  <c r="CE706" i="5"/>
  <c r="CG706" i="5" s="1"/>
  <c r="CE286" i="5"/>
  <c r="CG286" i="5" s="1"/>
  <c r="CE1358" i="5"/>
  <c r="CG1358" i="5" s="1"/>
  <c r="CE403" i="5"/>
  <c r="CG403" i="5" s="1"/>
  <c r="CE1640" i="5"/>
  <c r="CG1640" i="5" s="1"/>
  <c r="CE428" i="5"/>
  <c r="CG428" i="5" s="1"/>
  <c r="CE9" i="5"/>
  <c r="CG9" i="5" s="1"/>
  <c r="CE1024" i="5"/>
  <c r="CG1024" i="5" s="1"/>
  <c r="CE365" i="5"/>
  <c r="CG365" i="5" s="1"/>
  <c r="CE587" i="5"/>
  <c r="CG587" i="5" s="1"/>
  <c r="CE2437" i="5"/>
  <c r="CG2437" i="5" s="1"/>
  <c r="CG323" i="5"/>
  <c r="CE2385" i="5"/>
  <c r="CG2385" i="5" s="1"/>
  <c r="CG176" i="5"/>
  <c r="CE331" i="5"/>
  <c r="CG331" i="5" s="1"/>
  <c r="CE1808" i="5"/>
  <c r="CG1808" i="5" s="1"/>
  <c r="CE593" i="5"/>
  <c r="CG593" i="5" s="1"/>
  <c r="CE1634" i="5"/>
  <c r="CG1634" i="5" s="1"/>
  <c r="CE1998" i="5"/>
  <c r="CG1998" i="5" s="1"/>
  <c r="CE1053" i="5"/>
  <c r="CG1053" i="5" s="1"/>
  <c r="CE247" i="5"/>
  <c r="CG247" i="5" s="1"/>
  <c r="CE201" i="5"/>
  <c r="CG201" i="5" s="1"/>
  <c r="CE2345" i="5"/>
  <c r="CG2345" i="5" s="1"/>
  <c r="CE767" i="5"/>
  <c r="CG767" i="5" s="1"/>
  <c r="CE1500" i="5"/>
  <c r="CG1500" i="5" s="1"/>
  <c r="CE609" i="5"/>
  <c r="CG609" i="5" s="1"/>
  <c r="CE2331" i="5"/>
  <c r="CG2331" i="5" s="1"/>
  <c r="CE1271" i="5"/>
  <c r="CG1271" i="5" s="1"/>
  <c r="CE1735" i="5"/>
  <c r="CG1735" i="5" s="1"/>
  <c r="CE976" i="5"/>
  <c r="CG976" i="5" s="1"/>
  <c r="CG380" i="5"/>
  <c r="CE740" i="5"/>
  <c r="CG740" i="5" s="1"/>
  <c r="CE717" i="5"/>
  <c r="CG717" i="5" s="1"/>
  <c r="CE522" i="5"/>
  <c r="CG522" i="5" s="1"/>
  <c r="CE2242" i="5"/>
  <c r="CG2242" i="5" s="1"/>
  <c r="CE2110" i="5"/>
  <c r="CG2110" i="5" s="1"/>
  <c r="CE908" i="5"/>
  <c r="CG908" i="5" s="1"/>
  <c r="CE1387" i="5"/>
  <c r="CG1387" i="5" s="1"/>
  <c r="CE2141" i="5"/>
  <c r="CG2141" i="5" s="1"/>
  <c r="CE1268" i="5"/>
  <c r="CG1268" i="5" s="1"/>
  <c r="CE1556" i="5"/>
  <c r="CG1556" i="5" s="1"/>
  <c r="CE2397" i="5"/>
  <c r="CG2397" i="5" s="1"/>
  <c r="CE1898" i="5"/>
  <c r="CG1898" i="5" s="1"/>
  <c r="CE1437" i="5"/>
  <c r="CG1437" i="5" s="1"/>
  <c r="CE436" i="5"/>
  <c r="CG436" i="5" s="1"/>
  <c r="CE228" i="5"/>
  <c r="CG228" i="5" s="1"/>
  <c r="CE296" i="5"/>
  <c r="CG296" i="5" s="1"/>
  <c r="CE947" i="5"/>
  <c r="CG947" i="5" s="1"/>
  <c r="CE1517" i="5"/>
  <c r="CG1517" i="5" s="1"/>
  <c r="CE1223" i="5"/>
  <c r="CG1223" i="5" s="1"/>
  <c r="CE1728" i="5"/>
  <c r="CG1728" i="5" s="1"/>
  <c r="CE1673" i="5"/>
  <c r="CG1673" i="5" s="1"/>
  <c r="CE924" i="5"/>
  <c r="CG924" i="5" s="1"/>
  <c r="CE826" i="5"/>
  <c r="CG826" i="5" s="1"/>
  <c r="CE925" i="5"/>
  <c r="CG925" i="5" s="1"/>
  <c r="CE1920" i="5"/>
  <c r="CG1920" i="5" s="1"/>
  <c r="CE566" i="5"/>
  <c r="CG566" i="5" s="1"/>
  <c r="CE1346" i="5"/>
  <c r="CG1346" i="5" s="1"/>
  <c r="CE821" i="5"/>
  <c r="CG821" i="5" s="1"/>
  <c r="CE1877" i="5"/>
  <c r="CG1877" i="5" s="1"/>
  <c r="CE334" i="5"/>
  <c r="CG334" i="5" s="1"/>
  <c r="CE1559" i="5"/>
  <c r="CG1559" i="5" s="1"/>
  <c r="CE2238" i="5"/>
  <c r="CG2238" i="5" s="1"/>
  <c r="CE2478" i="5"/>
  <c r="CG2478" i="5" s="1"/>
  <c r="CE19" i="5"/>
  <c r="CG19" i="5" s="1"/>
  <c r="CE765" i="5"/>
  <c r="CG765" i="5" s="1"/>
  <c r="CE2389" i="5"/>
  <c r="CG2389" i="5" s="1"/>
  <c r="CE406" i="5"/>
  <c r="CG406" i="5" s="1"/>
  <c r="CE1418" i="5"/>
  <c r="CG1418" i="5" s="1"/>
  <c r="CE1516" i="5"/>
  <c r="CG1516" i="5" s="1"/>
  <c r="CE1946" i="5"/>
  <c r="CG1946" i="5" s="1"/>
  <c r="CE750" i="5"/>
  <c r="CG750" i="5" s="1"/>
  <c r="CE1159" i="5"/>
  <c r="CG1159" i="5" s="1"/>
  <c r="CE605" i="5"/>
  <c r="CG605" i="5" s="1"/>
  <c r="CE1972" i="5"/>
  <c r="CG1972" i="5" s="1"/>
  <c r="CE479" i="5"/>
  <c r="CG479" i="5" s="1"/>
  <c r="CE414" i="5"/>
  <c r="CG414" i="5" s="1"/>
  <c r="CE163" i="5"/>
  <c r="CG163" i="5" s="1"/>
  <c r="CE12" i="5"/>
  <c r="CG12" i="5" s="1"/>
  <c r="CE1769" i="5"/>
  <c r="CG1769" i="5" s="1"/>
  <c r="CE229" i="5"/>
  <c r="CG229" i="5" s="1"/>
  <c r="CE417" i="5"/>
  <c r="CG417" i="5" s="1"/>
  <c r="CE494" i="5"/>
  <c r="CG494" i="5" s="1"/>
  <c r="CE570" i="5"/>
  <c r="CG570" i="5" s="1"/>
  <c r="CE483" i="5"/>
  <c r="CG483" i="5" s="1"/>
  <c r="CE1219" i="5"/>
  <c r="CG1219" i="5" s="1"/>
  <c r="CE2422" i="5"/>
  <c r="CG2422" i="5" s="1"/>
  <c r="CE1331" i="5"/>
  <c r="CG1331" i="5" s="1"/>
  <c r="CE736" i="5"/>
  <c r="CG736" i="5" s="1"/>
  <c r="CE513" i="5"/>
  <c r="CG513" i="5" s="1"/>
  <c r="CE1089" i="5"/>
  <c r="CG1089" i="5" s="1"/>
  <c r="CG345" i="5"/>
  <c r="CE264" i="5"/>
  <c r="CG264" i="5" s="1"/>
  <c r="CG294" i="5"/>
  <c r="CG2241" i="5"/>
  <c r="CE1913" i="5"/>
  <c r="CG1913" i="5" s="1"/>
  <c r="CE2263" i="5"/>
  <c r="CG2263" i="5" s="1"/>
  <c r="CE543" i="5"/>
  <c r="CG543" i="5" s="1"/>
  <c r="CE1445" i="5"/>
  <c r="CG1445" i="5" s="1"/>
  <c r="CE395" i="5"/>
  <c r="CG395" i="5" s="1"/>
  <c r="CE1005" i="5"/>
  <c r="CG1005" i="5" s="1"/>
  <c r="CE988" i="5"/>
  <c r="CG988" i="5" s="1"/>
  <c r="CE966" i="5"/>
  <c r="CG966" i="5" s="1"/>
  <c r="CE600" i="5"/>
  <c r="CG600" i="5" s="1"/>
  <c r="CG775" i="5"/>
  <c r="CE635" i="5"/>
  <c r="CG635" i="5" s="1"/>
  <c r="CE298" i="5"/>
  <c r="CG298" i="5" s="1"/>
  <c r="CE1350" i="5"/>
  <c r="CG1350" i="5" s="1"/>
  <c r="CE1708" i="5"/>
  <c r="CG1708" i="5" s="1"/>
  <c r="CE77" i="5"/>
  <c r="CG77" i="5" s="1"/>
  <c r="CE137" i="5"/>
  <c r="CG137" i="5" s="1"/>
  <c r="CE362" i="5"/>
  <c r="CG362" i="5" s="1"/>
  <c r="CE2244" i="5"/>
  <c r="CG2244" i="5" s="1"/>
  <c r="CE1592" i="5"/>
  <c r="CG1592" i="5" s="1"/>
  <c r="CE1009" i="5"/>
  <c r="CG1009" i="5" s="1"/>
  <c r="CE2288" i="5"/>
  <c r="CG2288" i="5" s="1"/>
  <c r="CE2413" i="5"/>
  <c r="CG2413" i="5" s="1"/>
  <c r="CE103" i="5"/>
  <c r="CG103" i="5" s="1"/>
  <c r="CE992" i="5"/>
  <c r="CG992" i="5" s="1"/>
  <c r="CE1413" i="5"/>
  <c r="CG1413" i="5" s="1"/>
  <c r="CE1945" i="5"/>
  <c r="CG1945" i="5" s="1"/>
  <c r="CE1240" i="5"/>
  <c r="CG1240" i="5" s="1"/>
  <c r="CE1790" i="5"/>
  <c r="CG1790" i="5" s="1"/>
  <c r="CE1425" i="5"/>
  <c r="CG1425" i="5" s="1"/>
  <c r="CE2311" i="5"/>
  <c r="CG2311" i="5" s="1"/>
  <c r="CE2254" i="5"/>
  <c r="CG2254" i="5" s="1"/>
  <c r="CE2269" i="5"/>
  <c r="CG2269" i="5" s="1"/>
  <c r="CE1301" i="5"/>
  <c r="CG1301" i="5" s="1"/>
  <c r="CE1088" i="5"/>
  <c r="CG1088" i="5" s="1"/>
  <c r="CE1204" i="5"/>
  <c r="CG1204" i="5" s="1"/>
  <c r="CE2476" i="5"/>
  <c r="CG2476" i="5" s="1"/>
  <c r="CE444" i="5"/>
  <c r="CG444" i="5" s="1"/>
  <c r="CE1306" i="5"/>
  <c r="CG1306" i="5" s="1"/>
  <c r="CE493" i="5"/>
  <c r="CG493" i="5" s="1"/>
  <c r="CE1195" i="5"/>
  <c r="CG1195" i="5" s="1"/>
  <c r="CE87" i="5"/>
  <c r="CG87" i="5" s="1"/>
  <c r="CE327" i="5"/>
  <c r="CG327" i="5" s="1"/>
  <c r="CE763" i="5"/>
  <c r="CG763" i="5" s="1"/>
  <c r="CE916" i="5"/>
  <c r="CG916" i="5" s="1"/>
  <c r="CE1923" i="5"/>
  <c r="CG1923" i="5" s="1"/>
  <c r="CE2065" i="5"/>
  <c r="CG2065" i="5" s="1"/>
  <c r="CG1529" i="5"/>
  <c r="CE1610" i="5"/>
  <c r="CG1610" i="5" s="1"/>
  <c r="CE2107" i="5"/>
  <c r="CG2107" i="5" s="1"/>
  <c r="CE1794" i="5"/>
  <c r="CG1794" i="5" s="1"/>
  <c r="CE1367" i="5"/>
  <c r="CG1367" i="5" s="1"/>
  <c r="CE550" i="5"/>
  <c r="CG550" i="5" s="1"/>
  <c r="CE2283" i="5"/>
  <c r="CG2283" i="5" s="1"/>
  <c r="CE1863" i="5"/>
  <c r="CG1863" i="5" s="1"/>
  <c r="CE595" i="5"/>
  <c r="CG595" i="5" s="1"/>
  <c r="CE2231" i="5"/>
  <c r="CG2231" i="5" s="1"/>
  <c r="CE1234" i="5"/>
  <c r="CG1234" i="5" s="1"/>
  <c r="CE2348" i="5"/>
  <c r="CG2348" i="5" s="1"/>
  <c r="CE221" i="5"/>
  <c r="CG221" i="5" s="1"/>
  <c r="CE2176" i="5"/>
  <c r="CG2176" i="5" s="1"/>
  <c r="CE433" i="5"/>
  <c r="CG433" i="5" s="1"/>
  <c r="CE2306" i="5"/>
  <c r="CG2306" i="5" s="1"/>
  <c r="CE2145" i="5"/>
  <c r="CG2145" i="5" s="1"/>
  <c r="CE1337" i="5"/>
  <c r="CG1337" i="5" s="1"/>
  <c r="CE407" i="5"/>
  <c r="CG407" i="5" s="1"/>
  <c r="CE1679" i="5"/>
  <c r="CG1679" i="5" s="1"/>
  <c r="CE1837" i="5"/>
  <c r="CG1837" i="5" s="1"/>
  <c r="CE242" i="5"/>
  <c r="CG242" i="5" s="1"/>
  <c r="CE2380" i="5"/>
  <c r="CG2380" i="5" s="1"/>
  <c r="CE1506" i="5"/>
  <c r="CG1506" i="5" s="1"/>
  <c r="CE711" i="5"/>
  <c r="CG711" i="5" s="1"/>
  <c r="CE1644" i="5"/>
  <c r="CG1644" i="5" s="1"/>
  <c r="CE2216" i="5"/>
  <c r="CG2216" i="5" s="1"/>
  <c r="CE1181" i="5"/>
  <c r="CG1181" i="5" s="1"/>
  <c r="CE62" i="5"/>
  <c r="CG62" i="5" s="1"/>
  <c r="CE1857" i="5"/>
  <c r="CG1857" i="5" s="1"/>
  <c r="CE2201" i="5"/>
  <c r="CG2201" i="5" s="1"/>
  <c r="CE1719" i="5"/>
  <c r="CG1719" i="5" s="1"/>
  <c r="CE627" i="5"/>
  <c r="CG627" i="5" s="1"/>
  <c r="CE586" i="5"/>
  <c r="CG586" i="5" s="1"/>
  <c r="CE1519" i="5"/>
  <c r="CG1519" i="5" s="1"/>
  <c r="CE158" i="5"/>
  <c r="CG158" i="5" s="1"/>
  <c r="CE442" i="5"/>
  <c r="CG442" i="5" s="1"/>
  <c r="CE1966" i="5"/>
  <c r="CG1966" i="5" s="1"/>
  <c r="CE2470" i="5"/>
  <c r="CG2470" i="5" s="1"/>
  <c r="CE256" i="5"/>
  <c r="CG256" i="5" s="1"/>
  <c r="CE61" i="5"/>
  <c r="CG61" i="5" s="1"/>
  <c r="CE584" i="5"/>
  <c r="CG584" i="5" s="1"/>
  <c r="CE834" i="5"/>
  <c r="CG834" i="5" s="1"/>
  <c r="CE975" i="5"/>
  <c r="CG975" i="5" s="1"/>
  <c r="CE2203" i="5"/>
  <c r="CG2203" i="5" s="1"/>
  <c r="CE1325" i="5"/>
  <c r="CG1325" i="5" s="1"/>
  <c r="CE1632" i="5"/>
  <c r="CG1632" i="5" s="1"/>
  <c r="CE355" i="5"/>
  <c r="CG355" i="5" s="1"/>
  <c r="CG1960" i="5"/>
  <c r="CG57" i="5"/>
  <c r="CE166" i="5"/>
  <c r="CG166" i="5" s="1"/>
  <c r="CE447" i="5"/>
  <c r="CG447" i="5" s="1"/>
  <c r="CE604" i="5"/>
  <c r="CG604" i="5" s="1"/>
  <c r="CE1115" i="5"/>
  <c r="CG1115" i="5" s="1"/>
  <c r="CE2446" i="5"/>
  <c r="CG2446" i="5" s="1"/>
  <c r="CE1396" i="5"/>
  <c r="CG1396" i="5" s="1"/>
  <c r="CE1633" i="5"/>
  <c r="CG1633" i="5" s="1"/>
  <c r="CE1882" i="5"/>
  <c r="CG1882" i="5" s="1"/>
  <c r="CE301" i="5"/>
  <c r="CG301" i="5" s="1"/>
  <c r="CE381" i="5"/>
  <c r="CG381" i="5" s="1"/>
  <c r="CE392" i="5"/>
  <c r="CG392" i="5" s="1"/>
  <c r="CE400" i="5"/>
  <c r="CG400" i="5" s="1"/>
  <c r="CG2190" i="5"/>
  <c r="CE979" i="5"/>
  <c r="CG979" i="5" s="1"/>
  <c r="CE1899" i="5"/>
  <c r="CG1899" i="5" s="1"/>
  <c r="CE1349" i="5"/>
  <c r="CG1349" i="5" s="1"/>
  <c r="CG1143" i="5"/>
  <c r="CG423" i="5"/>
  <c r="CG1339" i="5"/>
  <c r="CE160" i="5"/>
  <c r="CG160" i="5" s="1"/>
  <c r="CE1713" i="5"/>
  <c r="CG1713" i="5" s="1"/>
  <c r="CE1791" i="5"/>
  <c r="CG1791" i="5" s="1"/>
  <c r="CE486" i="5"/>
  <c r="CG486" i="5" s="1"/>
  <c r="CE313" i="5"/>
  <c r="CG313" i="5" s="1"/>
  <c r="CE278" i="5"/>
  <c r="CG278" i="5" s="1"/>
  <c r="CE827" i="5"/>
  <c r="CG827" i="5" s="1"/>
  <c r="CE249" i="5"/>
  <c r="CG249" i="5" s="1"/>
  <c r="CE1597" i="5"/>
  <c r="CG1597" i="5" s="1"/>
  <c r="CG376" i="5"/>
  <c r="CG705" i="5"/>
  <c r="CE1140" i="5"/>
  <c r="CG1140" i="5" s="1"/>
  <c r="CE526" i="5"/>
  <c r="CG526" i="5" s="1"/>
  <c r="CE610" i="5"/>
  <c r="CG610" i="5" s="1"/>
  <c r="CE1073" i="5"/>
  <c r="CG1073" i="5" s="1"/>
  <c r="CE289" i="5"/>
  <c r="CG289" i="5" s="1"/>
  <c r="CE1118" i="5"/>
  <c r="CG1118" i="5" s="1"/>
  <c r="CE2359" i="5"/>
  <c r="CG2359" i="5" s="1"/>
  <c r="CE1766" i="5"/>
  <c r="CG1766" i="5" s="1"/>
  <c r="CE350" i="5"/>
  <c r="CG350" i="5" s="1"/>
  <c r="CE451" i="5"/>
  <c r="CG451" i="5" s="1"/>
  <c r="CE2292" i="5"/>
  <c r="CG2292" i="5" s="1"/>
  <c r="CE438" i="5"/>
  <c r="CG438" i="5" s="1"/>
  <c r="CE342" i="5"/>
  <c r="CG342" i="5" s="1"/>
  <c r="CE1557" i="5"/>
  <c r="CG1557" i="5" s="1"/>
  <c r="CE2180" i="5"/>
  <c r="CG2180" i="5" s="1"/>
  <c r="CE1279" i="5"/>
  <c r="CG1279" i="5" s="1"/>
  <c r="CE1233" i="5"/>
  <c r="CG1233" i="5" s="1"/>
  <c r="CE1305" i="5"/>
  <c r="CG1305" i="5" s="1"/>
  <c r="CE2249" i="5"/>
  <c r="CG2249" i="5" s="1"/>
  <c r="CE844" i="5"/>
  <c r="CG844" i="5" s="1"/>
  <c r="CE128" i="5"/>
  <c r="CG128" i="5" s="1"/>
  <c r="CE1497" i="5"/>
  <c r="CG1497" i="5" s="1"/>
  <c r="CE1356" i="5"/>
  <c r="CG1356" i="5" s="1"/>
  <c r="CE2104" i="5"/>
  <c r="CG2104" i="5" s="1"/>
  <c r="CE1859" i="5"/>
  <c r="CG1859" i="5" s="1"/>
  <c r="CE1376" i="5"/>
  <c r="CG1376" i="5" s="1"/>
  <c r="CE1057" i="5"/>
  <c r="CG1057" i="5" s="1"/>
  <c r="CE1486" i="5"/>
  <c r="CG1486" i="5" s="1"/>
  <c r="CE504" i="5"/>
  <c r="CG504" i="5" s="1"/>
  <c r="CE943" i="5"/>
  <c r="CG943" i="5" s="1"/>
  <c r="CE847" i="5"/>
  <c r="CG847" i="5" s="1"/>
  <c r="CE2162" i="5"/>
  <c r="CG2162" i="5" s="1"/>
  <c r="CE665" i="5"/>
  <c r="CG665" i="5" s="1"/>
  <c r="CE1727" i="5"/>
  <c r="CG1727" i="5" s="1"/>
  <c r="CE647" i="5"/>
  <c r="CG647" i="5" s="1"/>
  <c r="CE2188" i="5"/>
  <c r="CG2188" i="5" s="1"/>
  <c r="CE383" i="5"/>
  <c r="CG383" i="5" s="1"/>
  <c r="CE747" i="5"/>
  <c r="CG747" i="5" s="1"/>
  <c r="CE733" i="5"/>
  <c r="CG733" i="5" s="1"/>
  <c r="CE463" i="5"/>
  <c r="CG463" i="5" s="1"/>
  <c r="CE606" i="5"/>
  <c r="CG606" i="5" s="1"/>
  <c r="CE2012" i="5"/>
  <c r="CG2012" i="5" s="1"/>
  <c r="CG1799" i="5"/>
  <c r="CE1443" i="5"/>
  <c r="CG1443" i="5" s="1"/>
  <c r="CE518" i="5"/>
  <c r="CG518" i="5" s="1"/>
  <c r="CG144" i="5"/>
  <c r="CE628" i="5"/>
  <c r="CG628" i="5" s="1"/>
  <c r="CE1982" i="5"/>
  <c r="CG1982" i="5" s="1"/>
  <c r="CE613" i="5"/>
  <c r="CG613" i="5" s="1"/>
  <c r="CE6" i="5"/>
  <c r="CG6" i="5" s="1"/>
  <c r="CE199" i="5"/>
  <c r="CG199" i="5" s="1"/>
  <c r="CE2074" i="5"/>
  <c r="CG2074" i="5" s="1"/>
  <c r="CE638" i="5"/>
  <c r="CG638" i="5" s="1"/>
  <c r="CE468" i="5"/>
  <c r="CG468" i="5" s="1"/>
  <c r="CE100" i="5"/>
  <c r="CG100" i="5" s="1"/>
  <c r="CE32" i="5"/>
  <c r="CG32" i="5" s="1"/>
  <c r="CE314" i="5"/>
  <c r="CG314" i="5" s="1"/>
  <c r="CE2363" i="5"/>
  <c r="CG2363" i="5" s="1"/>
  <c r="CE276" i="5"/>
  <c r="CG276" i="5" s="1"/>
  <c r="CE1689" i="5"/>
  <c r="CG1689" i="5" s="1"/>
  <c r="CE131" i="5"/>
  <c r="CG131" i="5" s="1"/>
  <c r="CE737" i="5"/>
  <c r="CG737" i="5" s="1"/>
  <c r="CE1824" i="5"/>
  <c r="CG1824" i="5" s="1"/>
  <c r="CE2430" i="5"/>
  <c r="CG2430" i="5" s="1"/>
  <c r="CE2206" i="5"/>
  <c r="CG2206" i="5" s="1"/>
  <c r="CE1084" i="5"/>
  <c r="CG1084" i="5" s="1"/>
  <c r="CG558" i="5"/>
  <c r="CE384" i="5"/>
  <c r="CG384" i="5" s="1"/>
  <c r="CE360" i="5"/>
  <c r="CG360" i="5" s="1"/>
  <c r="CE130" i="5"/>
  <c r="CG130" i="5" s="1"/>
  <c r="CE728" i="5"/>
  <c r="CG728" i="5" s="1"/>
  <c r="CE1164" i="5"/>
  <c r="CG1164" i="5" s="1"/>
  <c r="CE1302" i="5"/>
  <c r="CG1302" i="5" s="1"/>
  <c r="CE469" i="5"/>
  <c r="CG469" i="5" s="1"/>
  <c r="CE809" i="5"/>
  <c r="CG809" i="5" s="1"/>
  <c r="CE1059" i="5"/>
  <c r="CG1059" i="5" s="1"/>
  <c r="CE971" i="5"/>
  <c r="CG971" i="5" s="1"/>
  <c r="CE1308" i="5"/>
  <c r="CG1308" i="5" s="1"/>
  <c r="CE927" i="5"/>
  <c r="CG927" i="5" s="1"/>
  <c r="CE1847" i="5"/>
  <c r="CG1847" i="5" s="1"/>
  <c r="CE2004" i="5"/>
  <c r="CG2004" i="5" s="1"/>
  <c r="CE1196" i="5"/>
  <c r="CG1196" i="5" s="1"/>
  <c r="CE1571" i="5"/>
  <c r="CG1571" i="5" s="1"/>
  <c r="CE219" i="5"/>
  <c r="CG219" i="5" s="1"/>
  <c r="CE2427" i="5"/>
  <c r="CG2427" i="5" s="1"/>
  <c r="CE512" i="5"/>
  <c r="CG512" i="5" s="1"/>
  <c r="CE1287" i="5"/>
  <c r="CG1287" i="5" s="1"/>
  <c r="CE755" i="5"/>
  <c r="CG755" i="5" s="1"/>
  <c r="CE82" i="5"/>
  <c r="CG82" i="5" s="1"/>
  <c r="CE1774" i="5"/>
  <c r="CG1774" i="5" s="1"/>
  <c r="CE917" i="5"/>
  <c r="CG917" i="5" s="1"/>
  <c r="CE2135" i="5"/>
  <c r="CG2135" i="5" s="1"/>
  <c r="CE865" i="5"/>
  <c r="CG865" i="5" s="1"/>
  <c r="CE2438" i="5"/>
  <c r="CG2438" i="5" s="1"/>
  <c r="CE1703" i="5"/>
  <c r="CG1703" i="5" s="1"/>
  <c r="CE1694" i="5"/>
  <c r="CG1694" i="5" s="1"/>
  <c r="CE520" i="5"/>
  <c r="CG520" i="5" s="1"/>
  <c r="CE371" i="5"/>
  <c r="CG371" i="5" s="1"/>
  <c r="CE1106" i="5"/>
  <c r="CG1106" i="5" s="1"/>
  <c r="CE962" i="5"/>
  <c r="CG962" i="5" s="1"/>
  <c r="CG1407" i="5"/>
  <c r="CE1441" i="5"/>
  <c r="CG1441" i="5" s="1"/>
  <c r="CE205" i="5"/>
  <c r="CG205" i="5" s="1"/>
  <c r="CE2411" i="5"/>
  <c r="CG2411" i="5" s="1"/>
  <c r="CE658" i="5"/>
  <c r="CG658" i="5" s="1"/>
  <c r="CE1975" i="5"/>
  <c r="CG1975" i="5" s="1"/>
  <c r="CE340" i="5"/>
  <c r="CG340" i="5" s="1"/>
  <c r="CE1796" i="5"/>
  <c r="CG1796" i="5" s="1"/>
  <c r="CE1642" i="5"/>
  <c r="CG1642" i="5" s="1"/>
  <c r="CE1718" i="5"/>
  <c r="CG1718" i="5" s="1"/>
  <c r="CE1611" i="5"/>
  <c r="CG1611" i="5" s="1"/>
  <c r="CE2209" i="5"/>
  <c r="CG2209" i="5" s="1"/>
  <c r="CE203" i="5"/>
  <c r="CG203" i="5" s="1"/>
  <c r="CE280" i="5"/>
  <c r="CG280" i="5" s="1"/>
  <c r="CE2031" i="5"/>
  <c r="CG2031" i="5" s="1"/>
  <c r="CE55" i="5"/>
  <c r="CG55" i="5" s="1"/>
  <c r="CE1405" i="5"/>
  <c r="CG1405" i="5" s="1"/>
  <c r="CE1424" i="5"/>
  <c r="CG1424" i="5" s="1"/>
  <c r="CE1340" i="5"/>
  <c r="CG1340" i="5" s="1"/>
  <c r="CE1738" i="5"/>
  <c r="CG1738" i="5" s="1"/>
  <c r="CE1741" i="5"/>
  <c r="CG1741" i="5" s="1"/>
  <c r="CE678" i="5"/>
  <c r="CG678" i="5" s="1"/>
  <c r="CE1498" i="5"/>
  <c r="CG1498" i="5" s="1"/>
  <c r="CE273" i="5"/>
  <c r="CG273" i="5" s="1"/>
  <c r="CE40" i="5"/>
  <c r="CG40" i="5" s="1"/>
  <c r="CE1312" i="5"/>
  <c r="CG1312" i="5" s="1"/>
  <c r="CE85" i="5"/>
  <c r="CG85" i="5" s="1"/>
  <c r="CE107" i="5"/>
  <c r="CG107" i="5" s="1"/>
  <c r="CE471" i="5"/>
  <c r="CG471" i="5" s="1"/>
  <c r="CE138" i="5"/>
  <c r="CG138" i="5" s="1"/>
  <c r="CE1351" i="5"/>
  <c r="CG1351" i="5" s="1"/>
  <c r="CE1448" i="5"/>
  <c r="CG1448" i="5" s="1"/>
  <c r="CE260" i="5"/>
  <c r="CG260" i="5" s="1"/>
  <c r="CE1303" i="5"/>
  <c r="CG1303" i="5" s="1"/>
  <c r="CE686" i="5"/>
  <c r="CG686" i="5" s="1"/>
  <c r="CE1154" i="5"/>
  <c r="CG1154" i="5" s="1"/>
  <c r="CE1562" i="5"/>
  <c r="CG1562" i="5" s="1"/>
  <c r="CE631" i="5"/>
  <c r="CG631" i="5" s="1"/>
  <c r="CE2368" i="5"/>
  <c r="CG2368" i="5" s="1"/>
  <c r="CE374" i="5"/>
  <c r="CG374" i="5" s="1"/>
  <c r="CE2406" i="5"/>
  <c r="CG2406" i="5" s="1"/>
  <c r="CE1428" i="5"/>
  <c r="CG1428" i="5" s="1"/>
  <c r="CE2431" i="5"/>
  <c r="CG2431" i="5" s="1"/>
  <c r="CE1491" i="5"/>
  <c r="CG1491" i="5" s="1"/>
  <c r="CE390" i="5"/>
  <c r="CG390" i="5" s="1"/>
  <c r="CE1935" i="5"/>
  <c r="CG1935" i="5" s="1"/>
  <c r="CE2378" i="5"/>
  <c r="CG2378" i="5" s="1"/>
  <c r="CE1778" i="5"/>
  <c r="CG1778" i="5" s="1"/>
  <c r="CE1111" i="5"/>
  <c r="CG1111" i="5" s="1"/>
  <c r="CE234" i="5"/>
  <c r="CG234" i="5" s="1"/>
  <c r="CE1739" i="5"/>
  <c r="CG1739" i="5" s="1"/>
  <c r="CE150" i="5"/>
  <c r="CG150" i="5" s="1"/>
  <c r="CE141" i="5"/>
  <c r="CG141" i="5" s="1"/>
  <c r="CE326" i="5"/>
  <c r="CG326" i="5" s="1"/>
  <c r="CE684" i="5"/>
  <c r="CG684" i="5" s="1"/>
  <c r="CE1403" i="5"/>
  <c r="CG1403" i="5" s="1"/>
  <c r="CE1499" i="5"/>
  <c r="CG1499" i="5" s="1"/>
  <c r="CE184" i="5"/>
  <c r="CG184" i="5" s="1"/>
  <c r="CE509" i="5"/>
  <c r="CG509" i="5" s="1"/>
  <c r="CE1216" i="5"/>
  <c r="CG1216" i="5" s="1"/>
  <c r="CE912" i="5"/>
  <c r="CG912" i="5" s="1"/>
  <c r="CE655" i="5"/>
  <c r="CG655" i="5" s="1"/>
  <c r="CE2126" i="5"/>
  <c r="CG2126" i="5" s="1"/>
  <c r="CE489" i="5"/>
  <c r="CG489" i="5" s="1"/>
  <c r="CE1988" i="5"/>
  <c r="CG1988" i="5" s="1"/>
  <c r="CE560" i="5"/>
  <c r="CG560" i="5" s="1"/>
  <c r="CE2051" i="5"/>
  <c r="CG2051" i="5" s="1"/>
  <c r="CE499" i="5"/>
  <c r="CG499" i="5" s="1"/>
  <c r="CE1676" i="5"/>
  <c r="CG1676" i="5" s="1"/>
  <c r="CE1552" i="5"/>
  <c r="CG1552" i="5" s="1"/>
  <c r="CE2017" i="5"/>
  <c r="CG2017" i="5" s="1"/>
  <c r="CE1442" i="5"/>
  <c r="CG1442" i="5" s="1"/>
  <c r="CE1773" i="5"/>
  <c r="CG1773" i="5" s="1"/>
  <c r="CE27" i="5"/>
  <c r="CG27" i="5" s="1"/>
  <c r="CE343" i="5"/>
  <c r="CG343" i="5" s="1"/>
  <c r="CE1969" i="5"/>
  <c r="CG1969" i="5" s="1"/>
  <c r="CE2013" i="5"/>
  <c r="CG2013" i="5" s="1"/>
  <c r="CE622" i="5"/>
  <c r="CG622" i="5" s="1"/>
  <c r="CE1524" i="5"/>
  <c r="CG1524" i="5" s="1"/>
  <c r="CE1997" i="5"/>
  <c r="CG1997" i="5" s="1"/>
  <c r="CD460" i="5"/>
  <c r="CE2488" i="5"/>
  <c r="CG2488" i="5" s="1"/>
  <c r="BP176" i="1"/>
  <c r="BP167" i="1"/>
  <c r="BP151" i="1"/>
  <c r="BP203" i="1"/>
  <c r="BP40" i="1"/>
  <c r="BP214" i="1"/>
  <c r="BP220" i="1"/>
  <c r="BP197" i="1"/>
  <c r="BP137" i="1"/>
  <c r="BP269" i="1"/>
  <c r="BP70" i="1"/>
  <c r="BP181" i="1"/>
  <c r="BP262" i="1"/>
  <c r="BP169" i="1"/>
  <c r="BP226" i="1"/>
  <c r="BP141" i="1"/>
  <c r="BP88" i="1"/>
  <c r="BP189" i="1"/>
  <c r="BP282" i="1"/>
  <c r="BP129" i="1"/>
  <c r="BP281" i="1"/>
  <c r="BP230" i="1"/>
  <c r="BP171" i="1"/>
  <c r="BP211" i="1"/>
  <c r="BP49" i="1"/>
  <c r="BP174" i="1"/>
  <c r="BP8" i="1"/>
  <c r="CE2444" i="5"/>
  <c r="CG2444" i="5" s="1"/>
  <c r="CE1901" i="5"/>
  <c r="CG1901" i="5" s="1"/>
  <c r="BP273" i="1"/>
  <c r="BP175" i="1"/>
  <c r="BP240" i="1"/>
  <c r="CE2442" i="5"/>
  <c r="CG2442" i="5" s="1"/>
  <c r="BP255" i="1"/>
  <c r="BP164" i="1"/>
  <c r="BP219" i="1"/>
  <c r="BP223" i="1"/>
  <c r="BP69" i="1"/>
  <c r="BP267" i="1"/>
  <c r="BP104" i="1"/>
  <c r="BP245" i="1"/>
  <c r="BP160" i="1"/>
  <c r="BP33" i="1"/>
  <c r="BP46" i="1"/>
  <c r="BP216" i="1"/>
  <c r="BP243" i="1"/>
  <c r="BP4" i="1"/>
  <c r="BP115" i="1"/>
  <c r="BP135" i="1"/>
  <c r="BP72" i="1"/>
  <c r="BP35" i="1"/>
  <c r="BP150" i="1"/>
  <c r="BV23" i="1"/>
  <c r="BV6" i="1"/>
  <c r="BV240" i="1"/>
  <c r="BV238" i="1"/>
  <c r="BV11" i="1"/>
  <c r="BP182" i="1"/>
  <c r="BP179" i="1"/>
  <c r="BP48" i="1"/>
  <c r="BP14" i="1"/>
  <c r="BP38" i="1"/>
  <c r="BP73" i="1"/>
  <c r="BP218" i="1"/>
  <c r="BP200" i="1"/>
  <c r="BP209" i="1"/>
  <c r="BP163" i="1"/>
  <c r="BP259" i="1"/>
  <c r="BP96" i="1"/>
  <c r="BP121" i="1"/>
  <c r="BP81" i="1"/>
  <c r="BP232" i="1"/>
  <c r="BP152" i="1"/>
  <c r="BP288" i="1"/>
  <c r="BP159" i="1"/>
  <c r="BP228" i="1"/>
  <c r="BP79" i="1"/>
  <c r="BP32" i="1"/>
  <c r="BP285" i="1"/>
  <c r="BP89" i="1"/>
  <c r="BP276" i="1"/>
  <c r="BP206" i="1"/>
  <c r="BP156" i="1"/>
  <c r="BP62" i="1"/>
  <c r="BP166" i="1"/>
  <c r="BP190" i="1"/>
  <c r="BP194" i="1"/>
  <c r="BP66" i="1"/>
  <c r="BP77" i="1"/>
  <c r="BP225" i="1"/>
  <c r="BP246" i="1"/>
  <c r="BP239" i="1"/>
  <c r="BP50" i="1"/>
  <c r="BP15" i="1"/>
  <c r="BP183" i="1"/>
  <c r="BP94" i="1"/>
  <c r="BP270" i="1"/>
  <c r="BP22" i="1"/>
  <c r="BP153" i="1"/>
  <c r="BP16" i="1"/>
  <c r="BP71" i="1"/>
  <c r="BP123" i="1"/>
  <c r="BP12" i="1"/>
  <c r="BP27" i="1"/>
  <c r="BP222" i="1"/>
  <c r="BP133" i="1"/>
  <c r="BP231" i="1"/>
  <c r="BP201" i="1"/>
  <c r="BP82" i="1"/>
  <c r="BP202" i="1"/>
  <c r="BP120" i="1"/>
  <c r="BP21" i="1"/>
  <c r="BP148" i="1"/>
  <c r="BP118" i="1"/>
  <c r="BP142" i="1"/>
  <c r="BP47" i="1"/>
  <c r="BP91" i="1"/>
  <c r="BP205" i="1"/>
  <c r="BP134" i="1"/>
  <c r="BP9" i="1"/>
  <c r="BP75" i="1"/>
  <c r="BP242" i="1"/>
  <c r="BP155" i="1"/>
  <c r="BP278" i="1"/>
  <c r="BP213" i="1"/>
  <c r="BP110" i="1"/>
  <c r="BP7" i="1"/>
  <c r="BP37" i="1"/>
  <c r="BP249" i="1"/>
  <c r="BP234" i="1"/>
  <c r="BP170" i="1"/>
  <c r="BP139" i="1"/>
  <c r="BP221" i="1"/>
  <c r="BP188" i="1"/>
  <c r="BP122" i="1"/>
  <c r="BP100" i="1"/>
  <c r="BP198" i="1"/>
  <c r="BP68" i="1"/>
  <c r="BP204" i="1"/>
  <c r="BP173" i="1"/>
  <c r="BP42" i="1"/>
  <c r="BP229" i="1"/>
  <c r="BP287" i="1"/>
  <c r="BP184" i="1"/>
  <c r="BP124" i="1"/>
  <c r="BP109" i="1"/>
  <c r="BP18" i="1"/>
  <c r="BP193" i="1"/>
  <c r="BP280" i="1"/>
  <c r="BP208" i="1"/>
  <c r="BP25" i="1"/>
  <c r="BP224" i="1"/>
  <c r="BP236" i="1"/>
  <c r="BP260" i="1"/>
  <c r="BP254" i="1"/>
  <c r="BP274" i="1"/>
  <c r="BP192" i="1"/>
  <c r="BP29" i="1"/>
  <c r="BP65" i="1"/>
  <c r="BP39" i="1"/>
  <c r="BP247" i="1"/>
  <c r="BP10" i="1"/>
  <c r="BP43" i="1"/>
  <c r="BP78" i="1"/>
  <c r="BP101" i="1"/>
  <c r="BP99" i="1"/>
  <c r="BP212" i="1"/>
  <c r="BP63" i="1"/>
  <c r="BP90" i="1"/>
  <c r="BP248" i="1"/>
  <c r="BP126" i="1"/>
  <c r="BP154" i="1"/>
  <c r="BP191" i="1"/>
  <c r="BP186" i="1"/>
  <c r="BP76" i="1"/>
  <c r="BP114" i="1"/>
  <c r="BP161" i="1"/>
  <c r="BP207" i="1"/>
  <c r="BP98" i="1"/>
  <c r="BP107" i="1"/>
  <c r="BP44" i="1"/>
  <c r="BP268" i="1"/>
  <c r="BP264" i="1"/>
  <c r="BP64" i="1"/>
  <c r="BP257" i="1"/>
  <c r="BP84" i="1"/>
  <c r="BP271" i="1"/>
  <c r="BP56" i="1"/>
  <c r="BP244" i="1"/>
  <c r="BP275" i="1"/>
  <c r="BP87" i="1"/>
  <c r="BP217" i="1"/>
  <c r="BP145" i="1"/>
  <c r="BP67" i="1"/>
  <c r="BP144" i="1"/>
  <c r="BP177" i="1"/>
  <c r="BP97" i="1"/>
  <c r="BP113" i="1"/>
  <c r="BP119" i="1"/>
  <c r="BP36" i="1"/>
  <c r="BP30" i="1"/>
  <c r="BP95" i="1"/>
  <c r="BP187" i="1"/>
  <c r="BP55" i="1"/>
  <c r="BP34" i="1"/>
  <c r="BP233" i="1"/>
  <c r="BP227" i="1"/>
  <c r="BP54" i="1"/>
  <c r="BP116" i="1"/>
  <c r="BP251" i="1"/>
  <c r="BP147" i="1"/>
  <c r="BP265" i="1"/>
  <c r="BP149" i="1"/>
  <c r="BP277" i="1"/>
  <c r="BP74" i="1"/>
  <c r="BP237" i="1"/>
  <c r="BP51" i="1"/>
  <c r="BP45" i="1"/>
  <c r="BP125" i="1"/>
  <c r="BP41" i="1"/>
  <c r="BP117" i="1"/>
  <c r="BP289" i="1"/>
  <c r="BP83" i="1"/>
  <c r="BP210" i="1"/>
  <c r="BP158" i="1"/>
  <c r="BP19" i="1"/>
  <c r="BP93" i="1"/>
  <c r="BP128" i="1"/>
  <c r="BP138" i="1"/>
  <c r="BP241" i="1"/>
  <c r="BP286" i="1"/>
  <c r="BP284" i="1"/>
  <c r="BP132" i="1"/>
  <c r="BP108" i="1"/>
  <c r="BP102" i="1"/>
  <c r="BP53" i="1"/>
  <c r="BP92" i="1"/>
  <c r="BP146" i="1"/>
  <c r="BP60" i="1"/>
  <c r="BP252" i="1"/>
  <c r="BP57" i="1"/>
  <c r="BP215" i="1"/>
  <c r="BP28" i="1"/>
  <c r="BP112" i="1"/>
  <c r="BP3" i="1"/>
  <c r="BP52" i="1"/>
  <c r="BP85" i="1"/>
  <c r="BP31" i="1"/>
  <c r="BP13" i="1"/>
  <c r="BP272" i="1"/>
  <c r="BP263" i="1"/>
  <c r="BP5" i="1"/>
  <c r="BP103" i="1"/>
  <c r="BP58" i="1"/>
  <c r="BP140" i="1"/>
  <c r="BP80" i="1"/>
  <c r="BP111" i="1"/>
  <c r="BP185" i="1"/>
  <c r="BP26" i="1"/>
  <c r="BP130" i="1"/>
  <c r="BP258" i="1"/>
  <c r="BP283" i="1"/>
  <c r="BP20" i="1"/>
  <c r="BP106" i="1"/>
  <c r="BP86" i="1"/>
  <c r="BP157" i="1"/>
  <c r="BP178" i="1"/>
  <c r="BP165" i="1"/>
  <c r="BP196" i="1"/>
  <c r="BP131" i="1"/>
  <c r="BP250" i="1"/>
  <c r="BP59" i="1"/>
  <c r="BP24" i="1"/>
  <c r="BP162" i="1"/>
  <c r="BP256" i="1"/>
  <c r="BP266" i="1"/>
  <c r="BP199" i="1"/>
  <c r="BP253" i="1"/>
  <c r="BP261" i="1"/>
  <c r="BP168" i="1"/>
  <c r="BP172" i="1"/>
  <c r="BP61" i="1"/>
  <c r="BP105" i="1"/>
  <c r="BP195" i="1"/>
  <c r="BP235" i="1"/>
  <c r="BP17" i="1"/>
  <c r="BP279" i="1"/>
  <c r="BP136" i="1"/>
  <c r="BP127" i="1"/>
  <c r="BY6" i="1" l="1"/>
  <c r="BY23" i="1"/>
  <c r="BY240" i="1"/>
  <c r="BY238" i="1"/>
  <c r="BY11" i="1"/>
  <c r="BY184" i="1"/>
  <c r="BY107" i="1"/>
  <c r="BW283" i="1"/>
  <c r="BW175" i="1"/>
  <c r="BY175" i="1" s="1"/>
  <c r="BW160" i="1"/>
  <c r="BW273" i="1"/>
  <c r="BY273" i="1" s="1"/>
  <c r="BW265" i="1"/>
  <c r="BY265" i="1" s="1"/>
  <c r="BW204" i="1"/>
  <c r="BY204" i="1" s="1"/>
  <c r="BW250" i="1"/>
  <c r="BY250" i="1" s="1"/>
  <c r="BW168" i="1"/>
  <c r="BY168" i="1" s="1"/>
  <c r="BW200" i="1"/>
  <c r="BY200" i="1" s="1"/>
  <c r="BW279" i="1"/>
  <c r="BW170" i="1"/>
  <c r="BW174" i="1"/>
  <c r="BY174" i="1" s="1"/>
  <c r="BW88" i="1"/>
  <c r="BY88" i="1" s="1"/>
  <c r="BW121" i="1"/>
  <c r="BY121" i="1" s="1"/>
  <c r="BW209" i="1"/>
  <c r="BY209" i="1" s="1"/>
  <c r="BW117" i="1"/>
  <c r="BY117" i="1" s="1"/>
  <c r="BW183" i="1"/>
  <c r="BY183" i="1" s="1"/>
  <c r="BW15" i="1"/>
  <c r="BW133" i="1"/>
  <c r="BW74" i="1"/>
  <c r="BY74" i="1" s="1"/>
  <c r="BW109" i="1"/>
  <c r="BW115" i="1"/>
  <c r="BY115" i="1" s="1"/>
  <c r="BW239" i="1"/>
  <c r="BW173" i="1"/>
  <c r="BY173" i="1" s="1"/>
  <c r="BW285" i="1"/>
  <c r="BY285" i="1" s="1"/>
  <c r="BW271" i="1"/>
  <c r="BW119" i="1"/>
  <c r="BW73" i="1"/>
  <c r="BW51" i="1"/>
  <c r="BW263" i="1"/>
  <c r="BY263" i="1" s="1"/>
  <c r="BW213" i="1"/>
  <c r="BY213" i="1" s="1"/>
  <c r="BW252" i="1"/>
  <c r="BY252" i="1" s="1"/>
  <c r="BW169" i="1"/>
  <c r="BY169" i="1" s="1"/>
  <c r="BW195" i="1"/>
  <c r="BY195" i="1" s="1"/>
  <c r="BW84" i="1"/>
  <c r="BY84" i="1" s="1"/>
  <c r="BW34" i="1"/>
  <c r="BY34" i="1" s="1"/>
  <c r="BW97" i="1"/>
  <c r="BY97" i="1" s="1"/>
  <c r="BW214" i="1"/>
  <c r="BY214" i="1" s="1"/>
  <c r="BW153" i="1"/>
  <c r="BY153" i="1" s="1"/>
  <c r="BW5" i="1"/>
  <c r="BY5" i="1" s="1"/>
  <c r="BW196" i="1"/>
  <c r="BY196" i="1" s="1"/>
  <c r="BW151" i="1"/>
  <c r="BY151" i="1" s="1"/>
  <c r="BW112" i="1"/>
  <c r="BW165" i="1"/>
  <c r="BW288" i="1"/>
  <c r="BW62" i="1"/>
  <c r="BY62" i="1" s="1"/>
  <c r="BW269" i="1"/>
  <c r="BW155" i="1"/>
  <c r="BW224" i="1"/>
  <c r="BY224" i="1" s="1"/>
  <c r="BW63" i="1"/>
  <c r="BY63" i="1" s="1"/>
  <c r="BW82" i="1"/>
  <c r="BY82" i="1" s="1"/>
  <c r="BW33" i="1"/>
  <c r="BY33" i="1" s="1"/>
  <c r="BW76" i="1"/>
  <c r="BW177" i="1"/>
  <c r="BW255" i="1"/>
  <c r="BY255" i="1" s="1"/>
  <c r="BW197" i="1"/>
  <c r="BY197" i="1" s="1"/>
  <c r="BW262" i="1"/>
  <c r="BY262" i="1" s="1"/>
  <c r="BW225" i="1"/>
  <c r="BY225" i="1" s="1"/>
  <c r="BW163" i="1"/>
  <c r="BW241" i="1"/>
  <c r="BY241" i="1" s="1"/>
  <c r="BW179" i="1"/>
  <c r="BY179" i="1" s="1"/>
  <c r="BW139" i="1"/>
  <c r="BY139" i="1" s="1"/>
  <c r="BW120" i="1"/>
  <c r="BY120" i="1" s="1"/>
  <c r="BW158" i="1"/>
  <c r="BY158" i="1" s="1"/>
  <c r="BW156" i="1"/>
  <c r="BY156" i="1" s="1"/>
  <c r="BW126" i="1"/>
  <c r="BW289" i="1"/>
  <c r="BW118" i="1"/>
  <c r="BW190" i="1"/>
  <c r="BW192" i="1"/>
  <c r="BW244" i="1"/>
  <c r="BW234" i="1"/>
  <c r="BW208" i="1"/>
  <c r="BY208" i="1" s="1"/>
  <c r="BW159" i="1"/>
  <c r="BW164" i="1"/>
  <c r="BY164" i="1" s="1"/>
  <c r="BW149" i="1"/>
  <c r="BW266" i="1"/>
  <c r="BY266" i="1" s="1"/>
  <c r="BW194" i="1"/>
  <c r="BY194" i="1" s="1"/>
  <c r="BW94" i="1"/>
  <c r="BY94" i="1" s="1"/>
  <c r="BW17" i="1"/>
  <c r="BW27" i="1"/>
  <c r="BW92" i="1"/>
  <c r="BY92" i="1" s="1"/>
  <c r="BW210" i="1"/>
  <c r="BY210" i="1" s="1"/>
  <c r="BW148" i="1"/>
  <c r="BY148" i="1" s="1"/>
  <c r="BW188" i="1"/>
  <c r="BW49" i="1"/>
  <c r="BY49" i="1" s="1"/>
  <c r="BW198" i="1"/>
  <c r="BY198" i="1" s="1"/>
  <c r="BW140" i="1"/>
  <c r="BY140" i="1" s="1"/>
  <c r="BW16" i="1"/>
  <c r="BY16" i="1" s="1"/>
  <c r="BW199" i="1"/>
  <c r="BW219" i="1"/>
  <c r="BW77" i="1"/>
  <c r="BW64" i="1"/>
  <c r="BW122" i="1"/>
  <c r="BW56" i="1"/>
  <c r="BY56" i="1" s="1"/>
  <c r="BW167" i="1"/>
  <c r="BW131" i="1"/>
  <c r="BY131" i="1" s="1"/>
  <c r="BW91" i="1"/>
  <c r="BW280" i="1"/>
  <c r="BY280" i="1" s="1"/>
  <c r="BW185" i="1"/>
  <c r="BY185" i="1" s="1"/>
  <c r="BW226" i="1"/>
  <c r="BY226" i="1" s="1"/>
  <c r="BW282" i="1"/>
  <c r="BY282" i="1" s="1"/>
  <c r="BW246" i="1"/>
  <c r="BY246" i="1" s="1"/>
  <c r="BW18" i="1"/>
  <c r="BW45" i="1"/>
  <c r="BW242" i="1"/>
  <c r="BW137" i="1"/>
  <c r="BW54" i="1"/>
  <c r="BY54" i="1" s="1"/>
  <c r="BW228" i="1"/>
  <c r="BY228" i="1" s="1"/>
  <c r="BW53" i="1"/>
  <c r="BY53" i="1" s="1"/>
  <c r="BW79" i="1"/>
  <c r="BY79" i="1" s="1"/>
  <c r="BW8" i="1"/>
  <c r="BY8" i="1" s="1"/>
  <c r="BW90" i="1"/>
  <c r="BY90" i="1" s="1"/>
  <c r="BW259" i="1"/>
  <c r="BW57" i="1"/>
  <c r="BW270" i="1"/>
  <c r="BY270" i="1" s="1"/>
  <c r="BW223" i="1"/>
  <c r="BW207" i="1"/>
  <c r="BW172" i="1"/>
  <c r="BW102" i="1"/>
  <c r="BW3" i="1"/>
  <c r="BY3" i="1" s="1"/>
  <c r="BW46" i="1"/>
  <c r="BW48" i="1"/>
  <c r="BY48" i="1" s="1"/>
  <c r="BW68" i="1"/>
  <c r="BW272" i="1"/>
  <c r="BY272" i="1" s="1"/>
  <c r="BW52" i="1"/>
  <c r="BY52" i="1" s="1"/>
  <c r="BW201" i="1"/>
  <c r="BY201" i="1" s="1"/>
  <c r="BW264" i="1"/>
  <c r="BY264" i="1" s="1"/>
  <c r="BW108" i="1"/>
  <c r="BY108" i="1" s="1"/>
  <c r="BW80" i="1"/>
  <c r="BW276" i="1"/>
  <c r="BY276" i="1" s="1"/>
  <c r="BW222" i="1"/>
  <c r="BY222" i="1" s="1"/>
  <c r="BW43" i="1"/>
  <c r="BW202" i="1"/>
  <c r="BY202" i="1" s="1"/>
  <c r="BW66" i="1"/>
  <c r="BY66" i="1" s="1"/>
  <c r="BW286" i="1"/>
  <c r="BY286" i="1" s="1"/>
  <c r="BW22" i="1"/>
  <c r="BY22" i="1" s="1"/>
  <c r="BW55" i="1"/>
  <c r="BW105" i="1"/>
  <c r="BW227" i="1"/>
  <c r="BW189" i="1"/>
  <c r="BY189" i="1" s="1"/>
  <c r="BW103" i="1"/>
  <c r="BW243" i="1"/>
  <c r="BW152" i="1"/>
  <c r="BW231" i="1"/>
  <c r="BY231" i="1" s="1"/>
  <c r="BW274" i="1"/>
  <c r="BY274" i="1" s="1"/>
  <c r="BW138" i="1"/>
  <c r="BW87" i="1"/>
  <c r="BY87" i="1" s="1"/>
  <c r="BW229" i="1"/>
  <c r="BW101" i="1"/>
  <c r="BY101" i="1" s="1"/>
  <c r="BW275" i="1"/>
  <c r="BW132" i="1"/>
  <c r="BY132" i="1" s="1"/>
  <c r="BW287" i="1"/>
  <c r="BW143" i="1"/>
  <c r="BW47" i="1"/>
  <c r="BY47" i="1" s="1"/>
  <c r="BW254" i="1"/>
  <c r="BY254" i="1" s="1"/>
  <c r="BW217" i="1"/>
  <c r="BY217" i="1" s="1"/>
  <c r="BW24" i="1"/>
  <c r="BY24" i="1" s="1"/>
  <c r="BW127" i="1"/>
  <c r="BY127" i="1" s="1"/>
  <c r="BW257" i="1"/>
  <c r="BY257" i="1" s="1"/>
  <c r="BW9" i="1"/>
  <c r="BY9" i="1" s="1"/>
  <c r="BW181" i="1"/>
  <c r="BW220" i="1"/>
  <c r="BW157" i="1"/>
  <c r="BW245" i="1"/>
  <c r="BW251" i="1"/>
  <c r="BW44" i="1"/>
  <c r="BW81" i="1"/>
  <c r="BY81" i="1" s="1"/>
  <c r="BW123" i="1"/>
  <c r="BY123" i="1" s="1"/>
  <c r="BW277" i="1"/>
  <c r="BY277" i="1" s="1"/>
  <c r="BW147" i="1"/>
  <c r="BW12" i="1"/>
  <c r="BY12" i="1" s="1"/>
  <c r="BW104" i="1"/>
  <c r="BY104" i="1" s="1"/>
  <c r="BW61" i="1"/>
  <c r="BY61" i="1" s="1"/>
  <c r="BW65" i="1"/>
  <c r="BY65" i="1" s="1"/>
  <c r="BW110" i="1"/>
  <c r="BW26" i="1"/>
  <c r="BW191" i="1"/>
  <c r="BW237" i="1"/>
  <c r="BY237" i="1" s="1"/>
  <c r="BW178" i="1"/>
  <c r="BY178" i="1" s="1"/>
  <c r="BW124" i="1"/>
  <c r="BW36" i="1"/>
  <c r="BY36" i="1" s="1"/>
  <c r="BW211" i="1"/>
  <c r="BY211" i="1" s="1"/>
  <c r="BW186" i="1"/>
  <c r="BY186" i="1" s="1"/>
  <c r="BW50" i="1"/>
  <c r="BY50" i="1" s="1"/>
  <c r="BW278" i="1"/>
  <c r="BY278" i="1" s="1"/>
  <c r="BW35" i="1"/>
  <c r="BY35" i="1" s="1"/>
  <c r="BW72" i="1"/>
  <c r="BW99" i="1"/>
  <c r="BW89" i="1"/>
  <c r="BW116" i="1"/>
  <c r="BW100" i="1"/>
  <c r="BW125" i="1"/>
  <c r="BY125" i="1" s="1"/>
  <c r="BW134" i="1"/>
  <c r="BY134" i="1" s="1"/>
  <c r="BW230" i="1"/>
  <c r="BY230" i="1" s="1"/>
  <c r="BW235" i="1"/>
  <c r="BY235" i="1" s="1"/>
  <c r="BW146" i="1"/>
  <c r="BY146" i="1" s="1"/>
  <c r="BW249" i="1"/>
  <c r="BW154" i="1"/>
  <c r="BY154" i="1" s="1"/>
  <c r="BW260" i="1"/>
  <c r="BY260" i="1" s="1"/>
  <c r="BW161" i="1"/>
  <c r="BW216" i="1"/>
  <c r="BW176" i="1"/>
  <c r="BY176" i="1" s="1"/>
  <c r="BW93" i="1"/>
  <c r="BY93" i="1" s="1"/>
  <c r="BW86" i="1"/>
  <c r="BY86" i="1" s="1"/>
  <c r="BW247" i="1"/>
  <c r="BY247" i="1" s="1"/>
  <c r="BW142" i="1"/>
  <c r="BY142" i="1" s="1"/>
  <c r="BW32" i="1"/>
  <c r="BY32" i="1" s="1"/>
  <c r="BW136" i="1"/>
  <c r="BY136" i="1" s="1"/>
  <c r="BW4" i="1"/>
  <c r="BY4" i="1" s="1"/>
  <c r="BW37" i="1"/>
  <c r="BW14" i="1"/>
  <c r="BW40" i="1"/>
  <c r="BW71" i="1"/>
  <c r="BW114" i="1"/>
  <c r="BW218" i="1"/>
  <c r="BW232" i="1"/>
  <c r="BY232" i="1" s="1"/>
  <c r="BW182" i="1"/>
  <c r="BY182" i="1" s="1"/>
  <c r="BW129" i="1"/>
  <c r="BW206" i="1"/>
  <c r="BW95" i="1"/>
  <c r="BW162" i="1"/>
  <c r="BY162" i="1" s="1"/>
  <c r="BW166" i="1"/>
  <c r="BY166" i="1" s="1"/>
  <c r="BW113" i="1"/>
  <c r="BY113" i="1" s="1"/>
  <c r="BW205" i="1"/>
  <c r="BW141" i="1"/>
  <c r="BY141" i="1" s="1"/>
  <c r="BW10" i="1"/>
  <c r="BY10" i="1" s="1"/>
  <c r="BW187" i="1"/>
  <c r="BY187" i="1" s="1"/>
  <c r="BW221" i="1"/>
  <c r="BY221" i="1" s="1"/>
  <c r="BW29" i="1"/>
  <c r="BY29" i="1" s="1"/>
  <c r="BW150" i="1"/>
  <c r="BY150" i="1" s="1"/>
  <c r="BW180" i="1"/>
  <c r="BY180" i="1" s="1"/>
  <c r="BW75" i="1"/>
  <c r="BY75" i="1" s="1"/>
  <c r="BW261" i="1"/>
  <c r="BW215" i="1"/>
  <c r="BW41" i="1"/>
  <c r="BW58" i="1"/>
  <c r="BW193" i="1"/>
  <c r="BW248" i="1"/>
  <c r="BW19" i="1"/>
  <c r="BW38" i="1"/>
  <c r="BW85" i="1"/>
  <c r="BY85" i="1" s="1"/>
  <c r="BW145" i="1"/>
  <c r="BY145" i="1" s="1"/>
  <c r="BW30" i="1"/>
  <c r="BY30" i="1" s="1"/>
  <c r="BW135" i="1"/>
  <c r="BY135" i="1" s="1"/>
  <c r="BW236" i="1"/>
  <c r="BY236" i="1" s="1"/>
  <c r="BW253" i="1"/>
  <c r="BY253" i="1" s="1"/>
  <c r="BW42" i="1"/>
  <c r="BY42" i="1" s="1"/>
  <c r="BW281" i="1"/>
  <c r="BY281" i="1" s="1"/>
  <c r="BW256" i="1"/>
  <c r="BY256" i="1" s="1"/>
  <c r="BW268" i="1"/>
  <c r="BY268" i="1" s="1"/>
  <c r="BW233" i="1"/>
  <c r="BY233" i="1" s="1"/>
  <c r="BW258" i="1"/>
  <c r="BY258" i="1" s="1"/>
  <c r="BW144" i="1"/>
  <c r="BY144" i="1" s="1"/>
  <c r="BW111" i="1"/>
  <c r="BY111" i="1" s="1"/>
  <c r="BW67" i="1"/>
  <c r="BY67" i="1" s="1"/>
  <c r="BW96" i="1"/>
  <c r="BY96" i="1" s="1"/>
  <c r="BW69" i="1"/>
  <c r="BY69" i="1" s="1"/>
  <c r="BW25" i="1"/>
  <c r="BW212" i="1"/>
  <c r="BW83" i="1"/>
  <c r="BY83" i="1" s="1"/>
  <c r="BW59" i="1"/>
  <c r="BW20" i="1"/>
  <c r="BW171" i="1"/>
  <c r="BW7" i="1"/>
  <c r="BY7" i="1" s="1"/>
  <c r="BW267" i="1"/>
  <c r="BW31" i="1"/>
  <c r="BY31" i="1" s="1"/>
  <c r="BW13" i="1"/>
  <c r="BW284" i="1"/>
  <c r="BW130" i="1"/>
  <c r="BY130" i="1" s="1"/>
  <c r="BW203" i="1"/>
  <c r="BY203" i="1" s="1"/>
  <c r="BW70" i="1"/>
  <c r="BW128" i="1"/>
  <c r="BW28" i="1"/>
  <c r="BW106" i="1"/>
  <c r="BY106" i="1" s="1"/>
  <c r="BW98" i="1"/>
  <c r="BY98" i="1" s="1"/>
  <c r="BW78" i="1"/>
  <c r="BW60" i="1"/>
  <c r="BY60" i="1" s="1"/>
  <c r="BW21" i="1"/>
  <c r="BY21" i="1" s="1"/>
  <c r="BW39" i="1"/>
  <c r="BY39" i="1" s="1"/>
  <c r="BV167" i="1"/>
  <c r="BV245" i="1"/>
  <c r="BV141" i="1"/>
  <c r="BV137" i="1"/>
  <c r="BV129" i="1"/>
  <c r="BV214" i="1"/>
  <c r="BV8" i="1"/>
  <c r="BV269" i="1"/>
  <c r="BV49" i="1"/>
  <c r="BV255" i="1"/>
  <c r="BV143" i="1"/>
  <c r="BV220" i="1"/>
  <c r="BV180" i="1"/>
  <c r="BV169" i="1"/>
  <c r="BV189" i="1"/>
  <c r="BV150" i="1"/>
  <c r="BV69" i="1"/>
  <c r="BV164" i="1"/>
  <c r="BV273" i="1"/>
  <c r="BV135" i="1"/>
  <c r="BV243" i="1"/>
  <c r="BV216" i="1"/>
  <c r="BV175" i="1"/>
  <c r="BZ298" i="1"/>
  <c r="BV70" i="1"/>
  <c r="CE460" i="5"/>
  <c r="CG460" i="5" s="1"/>
  <c r="BV226" i="1"/>
  <c r="BV171" i="1"/>
  <c r="BV197" i="1"/>
  <c r="BV48" i="1"/>
  <c r="BV35" i="1"/>
  <c r="BV40" i="1"/>
  <c r="BV104" i="1"/>
  <c r="BV176" i="1"/>
  <c r="BV219" i="1"/>
  <c r="BV151" i="1"/>
  <c r="BV100" i="1"/>
  <c r="BV281" i="1"/>
  <c r="BV88" i="1"/>
  <c r="BV4" i="1"/>
  <c r="BV194" i="1"/>
  <c r="BV230" i="1"/>
  <c r="BV262" i="1"/>
  <c r="BV182" i="1"/>
  <c r="BV46" i="1"/>
  <c r="BV78" i="1"/>
  <c r="BV146" i="1"/>
  <c r="BV248" i="1"/>
  <c r="BV42" i="1"/>
  <c r="BV66" i="1"/>
  <c r="BV156" i="1"/>
  <c r="BV14" i="1"/>
  <c r="BV134" i="1"/>
  <c r="BV211" i="1"/>
  <c r="BV160" i="1"/>
  <c r="BV36" i="1"/>
  <c r="BV15" i="1"/>
  <c r="BV249" i="1"/>
  <c r="BV154" i="1"/>
  <c r="BV103" i="1"/>
  <c r="BV26" i="1"/>
  <c r="BV59" i="1"/>
  <c r="BV283" i="1"/>
  <c r="BV80" i="1"/>
  <c r="BV272" i="1"/>
  <c r="BV241" i="1"/>
  <c r="BV45" i="1"/>
  <c r="BV265" i="1"/>
  <c r="BV227" i="1"/>
  <c r="BV84" i="1"/>
  <c r="BV236" i="1"/>
  <c r="BV139" i="1"/>
  <c r="BV110" i="1"/>
  <c r="BV242" i="1"/>
  <c r="BV47" i="1"/>
  <c r="BV282" i="1"/>
  <c r="BV31" i="1"/>
  <c r="BV132" i="1"/>
  <c r="BV93" i="1"/>
  <c r="BV74" i="1"/>
  <c r="BV34" i="1"/>
  <c r="BV119" i="1"/>
  <c r="BV67" i="1"/>
  <c r="BV65" i="1"/>
  <c r="BV68" i="1"/>
  <c r="BV267" i="1"/>
  <c r="BV72" i="1"/>
  <c r="BV33" i="1"/>
  <c r="BV162" i="1"/>
  <c r="BV115" i="1"/>
  <c r="BV18" i="1"/>
  <c r="BV181" i="1"/>
  <c r="BV98" i="1"/>
  <c r="BV232" i="1"/>
  <c r="BV52" i="1"/>
  <c r="BV192" i="1"/>
  <c r="BV120" i="1"/>
  <c r="BV217" i="1"/>
  <c r="BV130" i="1"/>
  <c r="BV86" i="1"/>
  <c r="BV203" i="1"/>
  <c r="BV108" i="1"/>
  <c r="BV251" i="1"/>
  <c r="BV204" i="1"/>
  <c r="BV233" i="1"/>
  <c r="BV58" i="1"/>
  <c r="BV13" i="1"/>
  <c r="BV28" i="1"/>
  <c r="BV9" i="1"/>
  <c r="BV148" i="1"/>
  <c r="BV123" i="1"/>
  <c r="BV191" i="1"/>
  <c r="BV22" i="1"/>
  <c r="BV288" i="1"/>
  <c r="BV144" i="1"/>
  <c r="BV90" i="1"/>
  <c r="BV79" i="1"/>
  <c r="BV63" i="1"/>
  <c r="BV124" i="1"/>
  <c r="BV179" i="1"/>
  <c r="BV114" i="1"/>
  <c r="BV218" i="1"/>
  <c r="BV252" i="1"/>
  <c r="BV102" i="1"/>
  <c r="BV228" i="1"/>
  <c r="BV96" i="1"/>
  <c r="BV212" i="1"/>
  <c r="BV174" i="1"/>
  <c r="BV215" i="1"/>
  <c r="BV116" i="1"/>
  <c r="BV200" i="1"/>
  <c r="BV270" i="1"/>
  <c r="BV12" i="1"/>
  <c r="BV277" i="1"/>
  <c r="BV223" i="1"/>
  <c r="BV185" i="1"/>
  <c r="BV196" i="1"/>
  <c r="BV165" i="1"/>
  <c r="BV29" i="1"/>
  <c r="BV85" i="1"/>
  <c r="BV259" i="1"/>
  <c r="BV55" i="1"/>
  <c r="BV140" i="1"/>
  <c r="BV112" i="1"/>
  <c r="BV264" i="1"/>
  <c r="BV54" i="1"/>
  <c r="BV41" i="1"/>
  <c r="BV239" i="1"/>
  <c r="BV268" i="1"/>
  <c r="BV27" i="1"/>
  <c r="BV111" i="1"/>
  <c r="BV56" i="1"/>
  <c r="BV125" i="1"/>
  <c r="BV91" i="1"/>
  <c r="BV187" i="1"/>
  <c r="BV7" i="1"/>
  <c r="BV107" i="1"/>
  <c r="BV163" i="1"/>
  <c r="BV186" i="1"/>
  <c r="BV225" i="1"/>
  <c r="BV44" i="1"/>
  <c r="BV76" i="1"/>
  <c r="BV287" i="1"/>
  <c r="BV247" i="1"/>
  <c r="BV75" i="1"/>
  <c r="BV157" i="1"/>
  <c r="BV170" i="1"/>
  <c r="BV257" i="1"/>
  <c r="BV61" i="1"/>
  <c r="BV172" i="1"/>
  <c r="BV208" i="1"/>
  <c r="BV168" i="1"/>
  <c r="BV127" i="1"/>
  <c r="BV261" i="1"/>
  <c r="BV136" i="1"/>
  <c r="BV253" i="1"/>
  <c r="BV279" i="1"/>
  <c r="BV199" i="1"/>
  <c r="BV17" i="1"/>
  <c r="BV235" i="1"/>
  <c r="BV122" i="1"/>
  <c r="BV195" i="1"/>
  <c r="BV32" i="1"/>
  <c r="BV24" i="1"/>
  <c r="BV83" i="1"/>
  <c r="BV105" i="1"/>
  <c r="BY78" i="1" l="1"/>
  <c r="BY124" i="1"/>
  <c r="BY43" i="1"/>
  <c r="BY188" i="1"/>
  <c r="BY216" i="1"/>
  <c r="BY191" i="1"/>
  <c r="BY143" i="1"/>
  <c r="BY80" i="1"/>
  <c r="BY242" i="1"/>
  <c r="BY279" i="1"/>
  <c r="BY137" i="1"/>
  <c r="BY163" i="1"/>
  <c r="BY170" i="1"/>
  <c r="BY28" i="1"/>
  <c r="BY128" i="1"/>
  <c r="BY205" i="1"/>
  <c r="BY161" i="1"/>
  <c r="BY26" i="1"/>
  <c r="BY287" i="1"/>
  <c r="BY45" i="1"/>
  <c r="BY27" i="1"/>
  <c r="BY18" i="1"/>
  <c r="BY138" i="1"/>
  <c r="BY160" i="1"/>
  <c r="BY267" i="1"/>
  <c r="BY17" i="1"/>
  <c r="BY284" i="1"/>
  <c r="BY13" i="1"/>
  <c r="BY68" i="1"/>
  <c r="BY129" i="1"/>
  <c r="BY91" i="1"/>
  <c r="BY38" i="1"/>
  <c r="BY171" i="1"/>
  <c r="BY218" i="1"/>
  <c r="BY102" i="1"/>
  <c r="BY234" i="1"/>
  <c r="BY248" i="1"/>
  <c r="BY116" i="1"/>
  <c r="BY44" i="1"/>
  <c r="BY243" i="1"/>
  <c r="BY172" i="1"/>
  <c r="BY244" i="1"/>
  <c r="BY269" i="1"/>
  <c r="BY239" i="1"/>
  <c r="BY110" i="1"/>
  <c r="BY275" i="1"/>
  <c r="BY229" i="1"/>
  <c r="BY76" i="1"/>
  <c r="BY206" i="1"/>
  <c r="BY46" i="1"/>
  <c r="BY19" i="1"/>
  <c r="BY167" i="1"/>
  <c r="BY20" i="1"/>
  <c r="BY114" i="1"/>
  <c r="BY59" i="1"/>
  <c r="BY193" i="1"/>
  <c r="BY71" i="1"/>
  <c r="BY89" i="1"/>
  <c r="BY251" i="1"/>
  <c r="BY103" i="1"/>
  <c r="BY207" i="1"/>
  <c r="BY122" i="1"/>
  <c r="BY192" i="1"/>
  <c r="BY147" i="1"/>
  <c r="BY119" i="1"/>
  <c r="BY100" i="1"/>
  <c r="BY155" i="1"/>
  <c r="BY64" i="1"/>
  <c r="BY95" i="1"/>
  <c r="BY149" i="1"/>
  <c r="BY159" i="1"/>
  <c r="BY152" i="1"/>
  <c r="BY58" i="1"/>
  <c r="BY40" i="1"/>
  <c r="BY190" i="1"/>
  <c r="BY14" i="1"/>
  <c r="BY227" i="1"/>
  <c r="BY77" i="1"/>
  <c r="BY249" i="1"/>
  <c r="BY177" i="1"/>
  <c r="BY51" i="1"/>
  <c r="BY73" i="1"/>
  <c r="BY271" i="1"/>
  <c r="BY283" i="1"/>
  <c r="BY245" i="1"/>
  <c r="BY72" i="1"/>
  <c r="BY165" i="1"/>
  <c r="BY25" i="1"/>
  <c r="BY215" i="1"/>
  <c r="BY37" i="1"/>
  <c r="BY220" i="1"/>
  <c r="BY105" i="1"/>
  <c r="BY57" i="1"/>
  <c r="BY219" i="1"/>
  <c r="BY289" i="1"/>
  <c r="BZ303" i="1" s="1"/>
  <c r="BY112" i="1"/>
  <c r="BY133" i="1"/>
  <c r="BY70" i="1"/>
  <c r="BY99" i="1"/>
  <c r="BY223" i="1"/>
  <c r="BY288" i="1"/>
  <c r="BY109" i="1"/>
  <c r="BY212" i="1"/>
  <c r="BY41" i="1"/>
  <c r="BY157" i="1"/>
  <c r="BY118" i="1"/>
  <c r="BY261" i="1"/>
  <c r="BY181" i="1"/>
  <c r="BY55" i="1"/>
  <c r="BY259" i="1"/>
  <c r="BY199" i="1"/>
  <c r="BY126" i="1"/>
  <c r="BY15" i="1"/>
  <c r="BZ304" i="1"/>
  <c r="BZ305" i="1" s="1"/>
  <c r="BZ302" i="1"/>
  <c r="BZ301" i="1" s="1"/>
  <c r="BV222" i="1"/>
  <c r="BV278" i="1"/>
  <c r="BV213" i="1"/>
  <c r="BV64" i="1"/>
  <c r="BV152" i="1"/>
  <c r="BV246" i="1"/>
  <c r="BV101" i="1"/>
  <c r="BV237" i="1"/>
  <c r="BV73" i="1"/>
  <c r="BV289" i="1"/>
  <c r="BV109" i="1"/>
  <c r="BV87" i="1"/>
  <c r="BV166" i="1"/>
  <c r="BV209" i="1"/>
  <c r="BV231" i="1"/>
  <c r="BV250" i="1"/>
  <c r="BV37" i="1"/>
  <c r="BV3" i="1"/>
  <c r="BV145" i="1"/>
  <c r="BV234" i="1"/>
  <c r="BV121" i="1"/>
  <c r="BV117" i="1"/>
  <c r="BV10" i="1"/>
  <c r="BV30" i="1"/>
  <c r="BV95" i="1"/>
  <c r="BV131" i="1"/>
  <c r="BV286" i="1"/>
  <c r="BV178" i="1"/>
  <c r="BV62" i="1"/>
  <c r="BV210" i="1"/>
  <c r="BV50" i="1"/>
  <c r="BV280" i="1"/>
  <c r="BV38" i="1"/>
  <c r="BV161" i="1"/>
  <c r="BV271" i="1"/>
  <c r="BV260" i="1"/>
  <c r="BV118" i="1"/>
  <c r="BV244" i="1"/>
  <c r="BV97" i="1"/>
  <c r="BV193" i="1"/>
  <c r="BV25" i="1"/>
  <c r="BV173" i="1"/>
  <c r="BV201" i="1"/>
  <c r="BV113" i="1"/>
  <c r="BV149" i="1"/>
  <c r="BV142" i="1"/>
  <c r="BV5" i="1"/>
  <c r="BV43" i="1"/>
  <c r="BV81" i="1"/>
  <c r="BV184" i="1"/>
  <c r="BV53" i="1"/>
  <c r="BV190" i="1"/>
  <c r="BV92" i="1"/>
  <c r="BV138" i="1"/>
  <c r="BV77" i="1"/>
  <c r="BV258" i="1"/>
  <c r="BV99" i="1"/>
  <c r="BV159" i="1"/>
  <c r="BV51" i="1"/>
  <c r="BV263" i="1"/>
  <c r="BV21" i="1"/>
  <c r="BV205" i="1"/>
  <c r="BV126" i="1"/>
  <c r="BV16" i="1"/>
  <c r="BV254" i="1"/>
  <c r="BV39" i="1"/>
  <c r="BV60" i="1"/>
  <c r="BV207" i="1"/>
  <c r="BV198" i="1"/>
  <c r="BV94" i="1"/>
  <c r="BV158" i="1"/>
  <c r="BV20" i="1"/>
  <c r="BV224" i="1"/>
  <c r="BV128" i="1"/>
  <c r="BV256" i="1"/>
  <c r="BV188" i="1"/>
  <c r="BV155" i="1"/>
  <c r="BV147" i="1"/>
  <c r="BV221" i="1"/>
  <c r="BV19" i="1"/>
  <c r="BV133" i="1"/>
  <c r="BV284" i="1"/>
  <c r="BV106" i="1"/>
  <c r="BV153" i="1"/>
  <c r="BV276" i="1"/>
  <c r="BV82" i="1"/>
  <c r="BV183" i="1"/>
  <c r="BV177" i="1"/>
  <c r="BV285" i="1"/>
  <c r="BV89" i="1"/>
  <c r="BV229" i="1"/>
  <c r="BV206" i="1"/>
  <c r="BV71" i="1"/>
  <c r="BV57" i="1"/>
  <c r="BV202" i="1"/>
  <c r="BV274" i="1"/>
  <c r="BV275" i="1"/>
  <c r="BV266" i="1"/>
  <c r="BV2" i="1"/>
  <c r="BZ7" i="1" l="1"/>
  <c r="BZ79" i="1"/>
  <c r="BZ101" i="1"/>
  <c r="BZ212" i="1"/>
  <c r="BZ94" i="1"/>
  <c r="BZ242" i="1"/>
  <c r="BZ108" i="1"/>
  <c r="BZ163" i="1"/>
  <c r="BZ31" i="1"/>
  <c r="BZ147" i="1"/>
  <c r="BZ155" i="1"/>
  <c r="BZ47" i="1"/>
  <c r="BZ181" i="1"/>
  <c r="BZ112" i="1"/>
  <c r="BZ262" i="1"/>
  <c r="BZ144" i="1"/>
  <c r="BZ32" i="1"/>
  <c r="BZ193" i="1"/>
  <c r="BZ236" i="1"/>
  <c r="BZ251" i="1"/>
  <c r="BZ36" i="1"/>
  <c r="BZ241" i="1"/>
  <c r="BZ211" i="1"/>
  <c r="BZ191" i="1"/>
  <c r="BZ204" i="1"/>
  <c r="BZ14" i="1"/>
  <c r="BZ263" i="1"/>
  <c r="BZ5" i="1"/>
  <c r="BZ62" i="1"/>
  <c r="BZ103" i="1"/>
  <c r="BZ282" i="1"/>
  <c r="BZ277" i="1"/>
  <c r="BZ268" i="1"/>
  <c r="BZ168" i="1"/>
  <c r="BZ119" i="1"/>
  <c r="BZ120" i="1"/>
  <c r="BZ200" i="1"/>
  <c r="BZ97" i="1"/>
  <c r="BZ46" i="1"/>
  <c r="BZ51" i="1"/>
  <c r="BZ142" i="1"/>
  <c r="BZ178" i="1"/>
  <c r="BZ115" i="1"/>
  <c r="BZ233" i="1"/>
  <c r="BZ41" i="1"/>
  <c r="BZ272" i="1"/>
  <c r="BZ226" i="1"/>
  <c r="BZ52" i="1"/>
  <c r="BZ130" i="1"/>
  <c r="BZ53" i="1"/>
  <c r="BZ152" i="1"/>
  <c r="BZ205" i="1"/>
  <c r="BZ81" i="1"/>
  <c r="BZ198" i="1"/>
  <c r="BZ90" i="1"/>
  <c r="BZ58" i="1"/>
  <c r="BZ217" i="1"/>
  <c r="BZ183" i="1"/>
  <c r="BZ286" i="1"/>
  <c r="BZ184" i="1"/>
  <c r="BZ76" i="1"/>
  <c r="BZ43" i="1"/>
  <c r="BZ266" i="1"/>
  <c r="BZ275" i="1"/>
  <c r="BZ39" i="1"/>
  <c r="BZ80" i="1"/>
  <c r="BZ154" i="1"/>
  <c r="BZ195" i="1"/>
  <c r="BZ132" i="1"/>
  <c r="BZ63" i="1"/>
  <c r="BZ197" i="1"/>
  <c r="BZ244" i="1"/>
  <c r="BZ213" i="1"/>
  <c r="BZ60" i="1"/>
  <c r="BZ66" i="1"/>
  <c r="BZ113" i="1"/>
  <c r="BZ102" i="1"/>
  <c r="BZ160" i="1"/>
  <c r="BZ280" i="1"/>
  <c r="BZ250" i="1"/>
  <c r="BZ78" i="1"/>
  <c r="BZ267" i="1"/>
  <c r="BZ86" i="1"/>
  <c r="BZ17" i="1"/>
  <c r="BZ44" i="1"/>
  <c r="BZ18" i="1"/>
  <c r="BZ287" i="1"/>
  <c r="BZ283" i="1"/>
  <c r="BZ171" i="1"/>
  <c r="BZ96" i="1"/>
  <c r="BZ139" i="1"/>
  <c r="BZ84" i="1"/>
  <c r="BZ285" i="1"/>
  <c r="BZ104" i="1"/>
  <c r="BZ26" i="1"/>
  <c r="BZ270" i="1"/>
  <c r="BZ54" i="1"/>
  <c r="BZ289" i="1"/>
  <c r="BZ194" i="1"/>
  <c r="BZ215" i="1"/>
  <c r="BZ59" i="1"/>
  <c r="BZ110" i="1"/>
  <c r="BZ118" i="1"/>
  <c r="BZ151" i="1"/>
  <c r="BZ125" i="1"/>
  <c r="BZ9" i="1"/>
  <c r="BZ254" i="1"/>
  <c r="BZ124" i="1"/>
  <c r="BZ202" i="1"/>
  <c r="BZ121" i="1"/>
  <c r="BZ219" i="1"/>
  <c r="BZ74" i="1"/>
  <c r="BZ234" i="1"/>
  <c r="BZ16" i="1"/>
  <c r="BZ30" i="1"/>
  <c r="BZ145" i="1"/>
  <c r="BZ281" i="1"/>
  <c r="BZ67" i="1"/>
  <c r="BZ157" i="1"/>
  <c r="BZ35" i="1"/>
  <c r="BZ98" i="1"/>
  <c r="BZ72" i="1"/>
  <c r="BZ22" i="1"/>
  <c r="BZ50" i="1"/>
  <c r="BZ2" i="1"/>
  <c r="BZ255" i="1"/>
  <c r="BZ167" i="1"/>
  <c r="BZ135" i="1"/>
  <c r="BZ23" i="1"/>
  <c r="BZ70" i="1"/>
  <c r="BZ175" i="1"/>
  <c r="BZ189" i="1"/>
  <c r="BZ216" i="1"/>
  <c r="BZ11" i="1"/>
  <c r="BZ49" i="1"/>
  <c r="BZ238" i="1"/>
  <c r="BZ129" i="1"/>
  <c r="BZ150" i="1"/>
  <c r="BZ240" i="1"/>
  <c r="BZ180" i="1"/>
  <c r="BZ269" i="1"/>
  <c r="BZ214" i="1"/>
  <c r="BZ69" i="1"/>
  <c r="BZ243" i="1"/>
  <c r="BZ137" i="1"/>
  <c r="BZ6" i="1"/>
  <c r="BZ273" i="1"/>
  <c r="BZ169" i="1"/>
  <c r="BZ220" i="1"/>
  <c r="BZ141" i="1"/>
  <c r="BZ8" i="1"/>
  <c r="BZ143" i="1"/>
  <c r="BZ164" i="1"/>
  <c r="BZ245" i="1"/>
  <c r="BZ185" i="1"/>
  <c r="BZ247" i="1"/>
  <c r="BZ232" i="1"/>
  <c r="BZ13" i="1"/>
  <c r="BZ199" i="1"/>
  <c r="BZ153" i="1"/>
  <c r="BZ239" i="1"/>
  <c r="BZ201" i="1"/>
  <c r="BZ4" i="1"/>
  <c r="BZ258" i="1"/>
  <c r="BZ68" i="1"/>
  <c r="BZ138" i="1"/>
  <c r="BZ3" i="1"/>
  <c r="BZ73" i="1"/>
  <c r="BZ148" i="1"/>
  <c r="BZ218" i="1"/>
  <c r="BZ123" i="1"/>
  <c r="BZ225" i="1"/>
  <c r="BZ34" i="1"/>
  <c r="BZ182" i="1"/>
  <c r="BZ208" i="1"/>
  <c r="BZ246" i="1"/>
  <c r="BZ10" i="1"/>
  <c r="BZ93" i="1"/>
  <c r="BZ231" i="1"/>
  <c r="BZ209" i="1"/>
  <c r="BZ12" i="1"/>
  <c r="BZ186" i="1"/>
  <c r="BZ127" i="1"/>
  <c r="BZ274" i="1"/>
  <c r="BZ261" i="1"/>
  <c r="BZ109" i="1"/>
  <c r="BZ99" i="1"/>
  <c r="BZ27" i="1"/>
  <c r="BZ156" i="1"/>
  <c r="BZ253" i="1"/>
  <c r="BZ20" i="1"/>
  <c r="BZ206" i="1"/>
  <c r="BZ92" i="1"/>
  <c r="BZ173" i="1"/>
  <c r="BZ161" i="1"/>
  <c r="BZ91" i="1"/>
  <c r="BZ259" i="1"/>
  <c r="BZ170" i="1"/>
  <c r="BZ176" i="1"/>
  <c r="BZ75" i="1"/>
  <c r="BZ116" i="1"/>
  <c r="BZ24" i="1"/>
  <c r="BZ89" i="1"/>
  <c r="BZ122" i="1"/>
  <c r="BZ177" i="1"/>
  <c r="BZ172" i="1"/>
  <c r="BZ146" i="1"/>
  <c r="BZ210" i="1"/>
  <c r="BZ166" i="1"/>
  <c r="BZ114" i="1"/>
  <c r="BZ87" i="1"/>
  <c r="BZ256" i="1"/>
  <c r="BZ88" i="1"/>
  <c r="BZ83" i="1"/>
  <c r="BZ159" i="1"/>
  <c r="BZ196" i="1"/>
  <c r="BZ128" i="1"/>
  <c r="BZ252" i="1"/>
  <c r="BZ228" i="1"/>
  <c r="BZ29" i="1"/>
  <c r="BZ77" i="1"/>
  <c r="BZ158" i="1"/>
  <c r="BZ25" i="1"/>
  <c r="BZ38" i="1"/>
  <c r="BZ45" i="1"/>
  <c r="BZ55" i="1"/>
  <c r="BZ174" i="1"/>
  <c r="BZ56" i="1"/>
  <c r="BZ85" i="1"/>
  <c r="BZ162" i="1"/>
  <c r="BZ249" i="1"/>
  <c r="BZ61" i="1"/>
  <c r="BZ207" i="1"/>
  <c r="BZ140" i="1"/>
  <c r="BZ278" i="1"/>
  <c r="BZ21" i="1"/>
  <c r="BZ82" i="1"/>
  <c r="BZ149" i="1"/>
  <c r="BZ188" i="1"/>
  <c r="BZ105" i="1"/>
  <c r="BZ192" i="1"/>
  <c r="BZ65" i="1"/>
  <c r="BZ106" i="1"/>
  <c r="BZ136" i="1"/>
  <c r="BZ131" i="1"/>
  <c r="BZ57" i="1"/>
  <c r="BZ100" i="1"/>
  <c r="BZ284" i="1"/>
  <c r="BZ71" i="1"/>
  <c r="BZ37" i="1"/>
  <c r="BZ187" i="1"/>
  <c r="BZ48" i="1"/>
  <c r="BZ15" i="1"/>
  <c r="BZ134" i="1"/>
  <c r="BZ227" i="1"/>
  <c r="BZ235" i="1"/>
  <c r="BZ264" i="1"/>
  <c r="BZ248" i="1"/>
  <c r="BZ288" i="1"/>
  <c r="BZ64" i="1"/>
  <c r="BZ223" i="1"/>
  <c r="BZ222" i="1"/>
  <c r="BZ165" i="1"/>
  <c r="BZ260" i="1"/>
  <c r="BZ276" i="1"/>
  <c r="BZ279" i="1"/>
  <c r="BZ117" i="1"/>
  <c r="BZ28" i="1"/>
  <c r="BZ271" i="1"/>
  <c r="BZ42" i="1"/>
  <c r="BZ111" i="1"/>
  <c r="BZ224" i="1"/>
  <c r="BZ95" i="1"/>
  <c r="BZ179" i="1"/>
  <c r="BZ133" i="1"/>
  <c r="BZ19" i="1"/>
  <c r="BZ126" i="1"/>
  <c r="BZ229" i="1"/>
  <c r="BZ221" i="1"/>
  <c r="BZ190" i="1"/>
  <c r="BZ237" i="1"/>
  <c r="BZ265" i="1"/>
  <c r="BZ203" i="1"/>
  <c r="BZ33" i="1"/>
  <c r="BZ257" i="1"/>
  <c r="BZ107" i="1"/>
  <c r="BZ230" i="1"/>
  <c r="BZ40" i="1"/>
  <c r="BZ297" i="1"/>
  <c r="BZ296" i="1"/>
  <c r="BZ300" i="1" l="1"/>
  <c r="BZ299" i="1" l="1"/>
</calcChain>
</file>

<file path=xl/sharedStrings.xml><?xml version="1.0" encoding="utf-8"?>
<sst xmlns="http://schemas.openxmlformats.org/spreadsheetml/2006/main" count="30407" uniqueCount="197">
  <si>
    <t>parcel_id</t>
  </si>
  <si>
    <t>total_acres</t>
  </si>
  <si>
    <t>total_sqft</t>
  </si>
  <si>
    <t>unimproved_acres</t>
  </si>
  <si>
    <t>nbhd</t>
  </si>
  <si>
    <t>treated_as</t>
  </si>
  <si>
    <t>inspct_cycle</t>
  </si>
  <si>
    <t>prop_type</t>
  </si>
  <si>
    <t>prev_imp</t>
  </si>
  <si>
    <t>prev_land</t>
  </si>
  <si>
    <t>parcel_acres</t>
  </si>
  <si>
    <t>non_valued_acres</t>
  </si>
  <si>
    <t>unbuildable</t>
  </si>
  <si>
    <t>no_utilities</t>
  </si>
  <si>
    <t>coeff</t>
  </si>
  <si>
    <t>const</t>
  </si>
  <si>
    <t>land_extract</t>
  </si>
  <si>
    <t>bldg_style</t>
  </si>
  <si>
    <t>num_stories</t>
  </si>
  <si>
    <t>quality</t>
  </si>
  <si>
    <t>condition</t>
  </si>
  <si>
    <t>quality_rank</t>
  </si>
  <si>
    <t>condition_rank</t>
  </si>
  <si>
    <t>Eff_Age</t>
  </si>
  <si>
    <t>Age</t>
  </si>
  <si>
    <t>decade</t>
  </si>
  <si>
    <t>living_area_range</t>
  </si>
  <si>
    <t>living_area</t>
  </si>
  <si>
    <t>Main Floor</t>
  </si>
  <si>
    <t>Upper Floor</t>
  </si>
  <si>
    <t>Fin BSMT</t>
  </si>
  <si>
    <t>UnFin BSMT</t>
  </si>
  <si>
    <t>garage_sqft</t>
  </si>
  <si>
    <t>Carport</t>
  </si>
  <si>
    <t>Wood Deck</t>
  </si>
  <si>
    <t>Patio</t>
  </si>
  <si>
    <t>Plumbing Fixtures</t>
  </si>
  <si>
    <t>stove</t>
  </si>
  <si>
    <t>fireplace</t>
  </si>
  <si>
    <t>roofing</t>
  </si>
  <si>
    <t>heating</t>
  </si>
  <si>
    <t>heat_type</t>
  </si>
  <si>
    <t>fuel_type</t>
  </si>
  <si>
    <t>ac</t>
  </si>
  <si>
    <t>num_bedrooms</t>
  </si>
  <si>
    <t>crop_value</t>
  </si>
  <si>
    <t>detatched_value</t>
  </si>
  <si>
    <t>pct_complete</t>
  </si>
  <si>
    <t>sale_date</t>
  </si>
  <si>
    <t>assessed_land</t>
  </si>
  <si>
    <t>assessed_imp</t>
  </si>
  <si>
    <t>assessed_total</t>
  </si>
  <si>
    <t>sale_price</t>
  </si>
  <si>
    <t>GV</t>
  </si>
  <si>
    <t>RES</t>
  </si>
  <si>
    <t>CO</t>
  </si>
  <si>
    <t>G+</t>
  </si>
  <si>
    <t>EX</t>
  </si>
  <si>
    <t>CP</t>
  </si>
  <si>
    <t>HP</t>
  </si>
  <si>
    <t>E</t>
  </si>
  <si>
    <t>RN</t>
  </si>
  <si>
    <t>A+</t>
  </si>
  <si>
    <t>FD</t>
  </si>
  <si>
    <t>G</t>
  </si>
  <si>
    <t>A</t>
  </si>
  <si>
    <t>VG</t>
  </si>
  <si>
    <t>GD</t>
  </si>
  <si>
    <t>TD</t>
  </si>
  <si>
    <t>AV</t>
  </si>
  <si>
    <t>F+</t>
  </si>
  <si>
    <t>MT</t>
  </si>
  <si>
    <t>V</t>
  </si>
  <si>
    <t>CL</t>
  </si>
  <si>
    <t>SL</t>
  </si>
  <si>
    <t>BH</t>
  </si>
  <si>
    <t>SH</t>
  </si>
  <si>
    <t>SE</t>
  </si>
  <si>
    <t>FR</t>
  </si>
  <si>
    <t>ER</t>
  </si>
  <si>
    <t>F</t>
  </si>
  <si>
    <t>O</t>
  </si>
  <si>
    <t>SP</t>
  </si>
  <si>
    <t>F-</t>
  </si>
  <si>
    <t>CC</t>
  </si>
  <si>
    <t>BG</t>
  </si>
  <si>
    <t>FH</t>
  </si>
  <si>
    <t>Term</t>
  </si>
  <si>
    <t>Estimate</t>
  </si>
  <si>
    <t>Std Error</t>
  </si>
  <si>
    <t>t Ratio</t>
  </si>
  <si>
    <t>Prob&gt;|t|</t>
  </si>
  <si>
    <t>Intercept</t>
  </si>
  <si>
    <t>&lt;.0001</t>
  </si>
  <si>
    <t>PR</t>
  </si>
  <si>
    <t>VP</t>
  </si>
  <si>
    <t>L</t>
  </si>
  <si>
    <t>V+</t>
  </si>
  <si>
    <t>days_prior_to_assessment</t>
  </si>
  <si>
    <t>quality_rank_value</t>
  </si>
  <si>
    <t>condition_rank_value</t>
  </si>
  <si>
    <t>Fin BSMT_value</t>
  </si>
  <si>
    <t>garage_sqft_value</t>
  </si>
  <si>
    <t>Plumbing Fixtures_value</t>
  </si>
  <si>
    <t>detatched_value_value</t>
  </si>
  <si>
    <t>Days Prior To Assessment_value</t>
  </si>
  <si>
    <t>Quality</t>
  </si>
  <si>
    <t>Condition</t>
  </si>
  <si>
    <t>land_value</t>
  </si>
  <si>
    <t>predicted_total</t>
  </si>
  <si>
    <t>predicted_ratio</t>
  </si>
  <si>
    <t>Row Labels</t>
  </si>
  <si>
    <t>Grand Total</t>
  </si>
  <si>
    <t>Average of predicted_ratio</t>
  </si>
  <si>
    <t>Decade Range</t>
  </si>
  <si>
    <t>Size Range</t>
  </si>
  <si>
    <t>E+</t>
  </si>
  <si>
    <t>decade_adj</t>
  </si>
  <si>
    <t>size_adj</t>
  </si>
  <si>
    <t>final_land</t>
  </si>
  <si>
    <t>final_imp</t>
  </si>
  <si>
    <t>final_total</t>
  </si>
  <si>
    <t>final_ratio</t>
  </si>
  <si>
    <t>Mean Ratio</t>
  </si>
  <si>
    <t>Weighted Mean Ratio</t>
  </si>
  <si>
    <t>*</t>
  </si>
  <si>
    <t>qual_adj</t>
  </si>
  <si>
    <t>cond_adj</t>
  </si>
  <si>
    <t>Final Adj</t>
  </si>
  <si>
    <t>NULL</t>
  </si>
  <si>
    <t>CU</t>
  </si>
  <si>
    <t>AC</t>
  </si>
  <si>
    <t>MH</t>
  </si>
  <si>
    <t>EB</t>
  </si>
  <si>
    <t>NO</t>
  </si>
  <si>
    <t>W</t>
  </si>
  <si>
    <t>AF</t>
  </si>
  <si>
    <t>RR</t>
  </si>
  <si>
    <t>N</t>
  </si>
  <si>
    <t>TG</t>
  </si>
  <si>
    <t>WS</t>
  </si>
  <si>
    <t>OT</t>
  </si>
  <si>
    <t>CA</t>
  </si>
  <si>
    <t>P</t>
  </si>
  <si>
    <t>HT</t>
  </si>
  <si>
    <t>final_det</t>
  </si>
  <si>
    <t>final_res</t>
  </si>
  <si>
    <t>pre_res</t>
  </si>
  <si>
    <t>adj_res</t>
  </si>
  <si>
    <t>ln_acres</t>
  </si>
  <si>
    <t>days_prior</t>
  </si>
  <si>
    <t>Assessment Level</t>
  </si>
  <si>
    <t>quality{F-&amp;F&amp;F+&amp;A-A+&amp;G&amp;G+&amp;V}</t>
  </si>
  <si>
    <t>quality{F-&amp;F-F+&amp;A}</t>
  </si>
  <si>
    <t>quality{F+-A}</t>
  </si>
  <si>
    <t>quality{A+-G&amp;G+&amp;V}</t>
  </si>
  <si>
    <t>quality{G&amp;G+-V}</t>
  </si>
  <si>
    <t>quality{G-G+}</t>
  </si>
  <si>
    <t>condition{FR&amp;AV-GD&amp;VG&amp;EX}</t>
  </si>
  <si>
    <t>condition{FR-AV}</t>
  </si>
  <si>
    <t>condition{GD&amp;VG-EX}</t>
  </si>
  <si>
    <t>condition{GD-VG}</t>
  </si>
  <si>
    <t>Living_area_value</t>
  </si>
  <si>
    <t>living_area_value</t>
  </si>
  <si>
    <t>eff_age_value</t>
  </si>
  <si>
    <t>addL_area</t>
  </si>
  <si>
    <t>att_gar</t>
  </si>
  <si>
    <t>bltin_gar</t>
  </si>
  <si>
    <t>cover_por</t>
  </si>
  <si>
    <t>cover_sf</t>
  </si>
  <si>
    <t>phy_good</t>
  </si>
  <si>
    <t>fun_good</t>
  </si>
  <si>
    <t>ecn_good</t>
  </si>
  <si>
    <t>res_pct</t>
  </si>
  <si>
    <t>det_value</t>
  </si>
  <si>
    <t>adj_land</t>
  </si>
  <si>
    <t>sum_land</t>
  </si>
  <si>
    <t>overall_adj</t>
  </si>
  <si>
    <t>min_land</t>
  </si>
  <si>
    <t>min_res</t>
  </si>
  <si>
    <t>AGR</t>
  </si>
  <si>
    <t>X</t>
  </si>
  <si>
    <t>ABS Deviation from Median</t>
  </si>
  <si>
    <t>Median Ratio</t>
  </si>
  <si>
    <t>Coefficient of Dispersion (COD)</t>
  </si>
  <si>
    <t>Price Related Differential (PRD)</t>
  </si>
  <si>
    <t>Coefficient of Variation</t>
  </si>
  <si>
    <t>Standard Deviation</t>
  </si>
  <si>
    <t>R^2</t>
  </si>
  <si>
    <t>Standard Error of the Estimate (SEE)</t>
  </si>
  <si>
    <t>SEE/Mean SP</t>
  </si>
  <si>
    <t>Mean Sale Price</t>
  </si>
  <si>
    <t># of Sales</t>
  </si>
  <si>
    <t>Median Sale Price</t>
  </si>
  <si>
    <t>SSR</t>
  </si>
  <si>
    <t>SSE</t>
  </si>
  <si>
    <t>SST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</si>
</sst>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&quot;$&quot;#,##0"/>
    <numFmt numFmtId="166" formatCode="0.000%"/>
    <numFmt numFmtId="167" formatCode="0.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 applyAlignment="1">
      <alignment horizontal="left" vertical="top"/>
    </xf>
    <xf numFmtId="1" fontId="3" fillId="0" borderId="0" xfId="0" applyNumberFormat="1" applyFont="1"/>
    <xf numFmtId="166" fontId="0" fillId="0" borderId="0" xfId="1" applyNumberFormat="1" applyFont="1"/>
    <xf numFmtId="167" fontId="0" fillId="0" borderId="0" xfId="1" applyNumberFormat="1" applyFont="1"/>
    <xf numFmtId="0" fontId="0" fillId="2" borderId="0" xfId="0" applyFill="1"/>
    <xf numFmtId="0" fontId="0" fillId="3" borderId="0" xfId="0" applyFill="1"/>
    <xf numFmtId="0" fontId="0" fillId="4" borderId="0" xfId="0" applyFill="1"/>
    <xf numFmtId="164" fontId="0" fillId="4" borderId="0" xfId="0" applyNumberFormat="1" applyFill="1"/>
    <xf numFmtId="164" fontId="0" fillId="3" borderId="0" xfId="0" applyNumberFormat="1" applyFill="1"/>
    <xf numFmtId="166" fontId="0" fillId="2" borderId="0" xfId="1" applyNumberFormat="1" applyFont="1" applyFill="1"/>
  </cellXfs>
  <cellStyles count="2">
    <cellStyle name="Normal" xfId="0" builtinId="0"/>
    <cellStyle name="Percent" xfId="1" builtinId="5"/>
  </cellStyles>
  <dxfs count="54">
    <dxf>
      <numFmt numFmtId="1" formatCode="0"/>
    </dxf>
    <dxf>
      <numFmt numFmtId="164" formatCode="0.0000"/>
    </dxf>
    <dxf>
      <numFmt numFmtId="1" formatCode="0"/>
    </dxf>
    <dxf>
      <numFmt numFmtId="1" formatCode="0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numFmt numFmtId="164" formatCode="0.0000"/>
    </dxf>
    <dxf>
      <numFmt numFmtId="164" formatCode="0.0000"/>
    </dxf>
    <dxf>
      <numFmt numFmtId="164" formatCode="0.0000"/>
    </dxf>
    <dxf>
      <numFmt numFmtId="164" formatCode="0.0000"/>
    </dxf>
    <dxf>
      <numFmt numFmtId="164" formatCode="0.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Quality Growth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353946392108948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6405976667035"/>
          <c:y val="0.14510172143974961"/>
          <c:w val="0.83488638125693015"/>
          <c:h val="0.7860406885758998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1684110322035162"/>
                  <c:y val="-9.13131766002559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Lookups!$G$2:$G$10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Lookups!$I$2:$I$10</c:f>
              <c:numCache>
                <c:formatCode>General</c:formatCode>
                <c:ptCount val="9"/>
                <c:pt idx="0">
                  <c:v>-47308</c:v>
                </c:pt>
                <c:pt idx="1">
                  <c:v>-28558</c:v>
                </c:pt>
                <c:pt idx="2">
                  <c:v>-28558</c:v>
                </c:pt>
                <c:pt idx="3">
                  <c:v>10733</c:v>
                </c:pt>
                <c:pt idx="4">
                  <c:v>2251</c:v>
                </c:pt>
                <c:pt idx="5">
                  <c:v>9808</c:v>
                </c:pt>
                <c:pt idx="6">
                  <c:v>20768</c:v>
                </c:pt>
                <c:pt idx="7">
                  <c:v>56323</c:v>
                </c:pt>
                <c:pt idx="8">
                  <c:v>78466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D2-46D3-BFAC-36E649017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555311"/>
        <c:axId val="2098555727"/>
      </c:scatterChart>
      <c:valAx>
        <c:axId val="2098555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555727"/>
        <c:crosses val="autoZero"/>
        <c:crossBetween val="midCat"/>
      </c:valAx>
      <c:valAx>
        <c:axId val="209855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555311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Condition</a:t>
            </a:r>
            <a:r>
              <a:rPr lang="en-US" baseline="0"/>
              <a:t> Growth</a:t>
            </a:r>
            <a:endParaRPr lang="en-US"/>
          </a:p>
        </c:rich>
      </c:tx>
      <c:layout>
        <c:manualLayout>
          <c:xMode val="edge"/>
          <c:yMode val="edge"/>
          <c:x val="0.3468945868945869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18611921761528"/>
          <c:y val="0.1114681116269006"/>
          <c:w val="0.82753959950810341"/>
          <c:h val="0.8353591044534780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8772828221645"/>
                  <c:y val="-3.021236425142637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multiLvlStrRef>
              <c:f>Lookups!$G$17:$H$23</c:f>
              <c:multiLvlStrCache>
                <c:ptCount val="7"/>
                <c:lvl>
                  <c:pt idx="0">
                    <c:v>SL</c:v>
                  </c:pt>
                  <c:pt idx="1">
                    <c:v>VP</c:v>
                  </c:pt>
                  <c:pt idx="2">
                    <c:v>PR</c:v>
                  </c:pt>
                  <c:pt idx="3">
                    <c:v>FR</c:v>
                  </c:pt>
                  <c:pt idx="4">
                    <c:v>AV</c:v>
                  </c:pt>
                  <c:pt idx="5">
                    <c:v>GD</c:v>
                  </c:pt>
                  <c:pt idx="6">
                    <c:v>VG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</c:lvl>
              </c:multiLvlStrCache>
            </c:multiLvlStrRef>
          </c:xVal>
          <c:yVal>
            <c:numRef>
              <c:f>Lookups!$I$17:$I$24</c:f>
              <c:numCache>
                <c:formatCode>General</c:formatCode>
                <c:ptCount val="8"/>
                <c:pt idx="3">
                  <c:v>-45357</c:v>
                </c:pt>
                <c:pt idx="4">
                  <c:v>-4503</c:v>
                </c:pt>
                <c:pt idx="5">
                  <c:v>22342</c:v>
                </c:pt>
                <c:pt idx="6">
                  <c:v>25818</c:v>
                </c:pt>
                <c:pt idx="7">
                  <c:v>25780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23-405B-850A-3CF601A93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72415"/>
        <c:axId val="300067007"/>
      </c:scatterChart>
      <c:valAx>
        <c:axId val="300072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7007"/>
        <c:crosses val="autoZero"/>
        <c:crossBetween val="midCat"/>
      </c:valAx>
      <c:valAx>
        <c:axId val="30006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72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309562</xdr:colOff>
      <xdr:row>0</xdr:row>
      <xdr:rowOff>0</xdr:rowOff>
    </xdr:from>
    <xdr:to>
      <xdr:col>17</xdr:col>
      <xdr:colOff>504825</xdr:colOff>
      <xdr:row>14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084138-72ED-E558-C481-1D6576E2C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323850</xdr:colOff>
      <xdr:row>15</xdr:row>
      <xdr:rowOff>14287</xdr:rowOff>
    </xdr:from>
    <xdr:to>
      <xdr:col>17</xdr:col>
      <xdr:colOff>514350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944B6F-542C-939E-84A0-99DBF46266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ob Tate" refreshedDate="45120.45746203704" createdVersion="8" refreshedVersion="8" minRefreshableVersion="3" recordCount="288" xr:uid="{533C7E17-0ABB-41B8-A8F1-21580D38009C}">
  <cacheSource type="worksheet">
    <worksheetSource name="Grandview_Sales"/>
  </cacheSource>
  <cacheFields count="76">
    <cacheField name="parcel_id" numFmtId="0">
      <sharedItems containsSemiMixedTypes="0" containsString="0" containsNumber="1" containsInteger="1" minValue="23091023004" maxValue="23092811413"/>
    </cacheField>
    <cacheField name="total_acres" numFmtId="0">
      <sharedItems containsSemiMixedTypes="0" containsString="0" containsNumber="1" minValue="0" maxValue="2.86"/>
    </cacheField>
    <cacheField name="total_sqft" numFmtId="0">
      <sharedItems containsSemiMixedTypes="0" containsString="0" containsNumber="1" containsInteger="1" minValue="0" maxValue="124395"/>
    </cacheField>
    <cacheField name="unimproved_acres" numFmtId="0">
      <sharedItems containsSemiMixedTypes="0" containsString="0" containsNumber="1" containsInteger="1" minValue="0" maxValue="0"/>
    </cacheField>
    <cacheField name="nbhd" numFmtId="0">
      <sharedItems/>
    </cacheField>
    <cacheField name="treated_as" numFmtId="0">
      <sharedItems/>
    </cacheField>
    <cacheField name="inspct_cycle" numFmtId="0">
      <sharedItems containsSemiMixedTypes="0" containsString="0" containsNumber="1" containsInteger="1" minValue="4" maxValue="4"/>
    </cacheField>
    <cacheField name="prop_type" numFmtId="0">
      <sharedItems/>
    </cacheField>
    <cacheField name="prev_imp" numFmtId="0">
      <sharedItems containsSemiMixedTypes="0" containsString="0" containsNumber="1" containsInteger="1" minValue="0" maxValue="416300"/>
    </cacheField>
    <cacheField name="prev_land" numFmtId="0">
      <sharedItems containsSemiMixedTypes="0" containsString="0" containsNumber="1" containsInteger="1" minValue="21100" maxValue="51500"/>
    </cacheField>
    <cacheField name="parcel_acres" numFmtId="0">
      <sharedItems containsSemiMixedTypes="0" containsString="0" containsNumber="1" minValue="0.09" maxValue="2.86"/>
    </cacheField>
    <cacheField name="ln_acres" numFmtId="0">
      <sharedItems containsSemiMixedTypes="0" containsString="0" containsNumber="1" minValue="-2.4079456086520001" maxValue="1.0508216248318001"/>
    </cacheField>
    <cacheField name="non_valued_acres" numFmtId="0">
      <sharedItems containsSemiMixedTypes="0" containsString="0" containsNumber="1" containsInteger="1" minValue="0" maxValue="0"/>
    </cacheField>
    <cacheField name="unbuildable" numFmtId="0">
      <sharedItems containsSemiMixedTypes="0" containsString="0" containsNumber="1" containsInteger="1" minValue="0" maxValue="1"/>
    </cacheField>
    <cacheField name="no_utilities" numFmtId="0">
      <sharedItems containsSemiMixedTypes="0" containsString="0" containsNumber="1" containsInteger="1" minValue="0" maxValue="0"/>
    </cacheField>
    <cacheField name="coeff" numFmtId="0">
      <sharedItems containsSemiMixedTypes="0" containsString="0" containsNumber="1" minValue="13398.7528" maxValue="13398.7528"/>
    </cacheField>
    <cacheField name="const" numFmtId="0">
      <sharedItems containsSemiMixedTypes="0" containsString="0" containsNumber="1" minValue="63902.980100000001" maxValue="63902.980100000001"/>
    </cacheField>
    <cacheField name="land_extract" numFmtId="0">
      <sharedItems containsSemiMixedTypes="0" containsString="0" containsNumber="1" minValue="31639.512133828001" maxValue="77982.679288015002"/>
    </cacheField>
    <cacheField name="bldg_style" numFmtId="0">
      <sharedItems/>
    </cacheField>
    <cacheField name="num_stories" numFmtId="0">
      <sharedItems containsSemiMixedTypes="0" containsString="0" containsNumber="1" containsInteger="1" minValue="1" maxValue="2"/>
    </cacheField>
    <cacheField name="quality" numFmtId="0">
      <sharedItems count="8">
        <s v="G"/>
        <s v="A"/>
        <s v="A+"/>
        <s v="F"/>
        <s v="F+"/>
        <s v="G+"/>
        <s v="V"/>
        <s v="F-"/>
      </sharedItems>
    </cacheField>
    <cacheField name="condition" numFmtId="0">
      <sharedItems count="5">
        <s v="EX"/>
        <s v="VG"/>
        <s v="AV"/>
        <s v="GD"/>
        <s v="FR"/>
      </sharedItems>
    </cacheField>
    <cacheField name="quality_rank" numFmtId="0">
      <sharedItems containsSemiMixedTypes="0" containsString="0" containsNumber="1" containsInteger="1" minValue="0" maxValue="78400"/>
    </cacheField>
    <cacheField name="condition_rank" numFmtId="0">
      <sharedItems containsSemiMixedTypes="0" containsString="0" containsNumber="1" containsInteger="1" minValue="0" maxValue="0"/>
    </cacheField>
    <cacheField name="Eff_Age" numFmtId="0">
      <sharedItems containsSemiMixedTypes="0" containsString="0" containsNumber="1" containsInteger="1" minValue="1" maxValue="63"/>
    </cacheField>
    <cacheField name="Age" numFmtId="0">
      <sharedItems containsSemiMixedTypes="0" containsString="0" containsNumber="1" containsInteger="1" minValue="1" maxValue="113"/>
    </cacheField>
    <cacheField name="decade" numFmtId="0">
      <sharedItems containsSemiMixedTypes="0" containsString="0" containsNumber="1" containsInteger="1" minValue="0" maxValue="110" count="12">
        <n v="0"/>
        <n v="20"/>
        <n v="60"/>
        <n v="100"/>
        <n v="40"/>
        <n v="50"/>
        <n v="70"/>
        <n v="10"/>
        <n v="90"/>
        <n v="80"/>
        <n v="110"/>
        <n v="30"/>
      </sharedItems>
    </cacheField>
    <cacheField name="living_area_range" numFmtId="0">
      <sharedItems containsSemiMixedTypes="0" containsString="0" containsNumber="1" containsInteger="1" minValue="1000" maxValue="4000" count="7">
        <n v="1500"/>
        <n v="2000"/>
        <n v="2500"/>
        <n v="1000"/>
        <n v="3000"/>
        <n v="3500"/>
        <n v="4000"/>
      </sharedItems>
    </cacheField>
    <cacheField name="living_area" numFmtId="0">
      <sharedItems containsSemiMixedTypes="0" containsString="0" containsNumber="1" containsInteger="1" minValue="528" maxValue="3931"/>
    </cacheField>
    <cacheField name="Main Floor" numFmtId="0">
      <sharedItems containsSemiMixedTypes="0" containsString="0" containsNumber="1" containsInteger="1" minValue="528" maxValue="2686"/>
    </cacheField>
    <cacheField name="Upper Floor" numFmtId="0">
      <sharedItems containsSemiMixedTypes="0" containsString="0" containsNumber="1" containsInteger="1" minValue="0" maxValue="1534"/>
    </cacheField>
    <cacheField name="Fin BSMT" numFmtId="0">
      <sharedItems containsSemiMixedTypes="0" containsString="0" containsNumber="1" containsInteger="1" minValue="0" maxValue="1682"/>
    </cacheField>
    <cacheField name="UnFin BSMT" numFmtId="0">
      <sharedItems containsSemiMixedTypes="0" containsString="0" containsNumber="1" containsInteger="1" minValue="0" maxValue="928"/>
    </cacheField>
    <cacheField name="garage_sqft" numFmtId="0">
      <sharedItems containsSemiMixedTypes="0" containsString="0" containsNumber="1" containsInteger="1" minValue="0" maxValue="1118"/>
    </cacheField>
    <cacheField name="Carport" numFmtId="0">
      <sharedItems containsSemiMixedTypes="0" containsString="0" containsNumber="1" containsInteger="1" minValue="0" maxValue="654"/>
    </cacheField>
    <cacheField name="Wood Deck" numFmtId="0">
      <sharedItems containsSemiMixedTypes="0" containsString="0" containsNumber="1" containsInteger="1" minValue="0" maxValue="720"/>
    </cacheField>
    <cacheField name="Patio" numFmtId="0">
      <sharedItems containsSemiMixedTypes="0" containsString="0" containsNumber="1" containsInteger="1" minValue="0" maxValue="928"/>
    </cacheField>
    <cacheField name="Plumbing Fixtures" numFmtId="0">
      <sharedItems containsSemiMixedTypes="0" containsString="0" containsNumber="1" containsInteger="1" minValue="5" maxValue="16"/>
    </cacheField>
    <cacheField name="stove" numFmtId="0">
      <sharedItems containsSemiMixedTypes="0" containsString="0" containsNumber="1" containsInteger="1" minValue="0" maxValue="1"/>
    </cacheField>
    <cacheField name="fireplace" numFmtId="0">
      <sharedItems containsSemiMixedTypes="0" containsString="0" containsNumber="1" containsInteger="1" minValue="0" maxValue="3"/>
    </cacheField>
    <cacheField name="roofing" numFmtId="0">
      <sharedItems/>
    </cacheField>
    <cacheField name="heating" numFmtId="0">
      <sharedItems containsSemiMixedTypes="0" containsString="0" containsNumber="1" containsInteger="1" minValue="0" maxValue="1"/>
    </cacheField>
    <cacheField name="heat_type" numFmtId="0">
      <sharedItems/>
    </cacheField>
    <cacheField name="fuel_type" numFmtId="0">
      <sharedItems/>
    </cacheField>
    <cacheField name="ac" numFmtId="0">
      <sharedItems containsSemiMixedTypes="0" containsString="0" containsNumber="1" containsInteger="1" minValue="0" maxValue="1"/>
    </cacheField>
    <cacheField name="num_bedrooms" numFmtId="0">
      <sharedItems containsSemiMixedTypes="0" containsString="0" containsNumber="1" containsInteger="1" minValue="1" maxValue="6"/>
    </cacheField>
    <cacheField name="crop_value" numFmtId="0">
      <sharedItems containsSemiMixedTypes="0" containsString="0" containsNumber="1" containsInteger="1" minValue="0" maxValue="0"/>
    </cacheField>
    <cacheField name="detatched_value" numFmtId="0">
      <sharedItems containsSemiMixedTypes="0" containsString="0" containsNumber="1" containsInteger="1" minValue="0" maxValue="41300"/>
    </cacheField>
    <cacheField name="pct_complete" numFmtId="0">
      <sharedItems containsSemiMixedTypes="0" containsString="0" containsNumber="1" containsInteger="1" minValue="100" maxValue="100"/>
    </cacheField>
    <cacheField name="sale_date" numFmtId="14">
      <sharedItems containsSemiMixedTypes="0" containsNonDate="0" containsDate="1" containsString="0" minDate="2020-04-21T00:00:00" maxDate="2022-12-22T00:00:00"/>
    </cacheField>
    <cacheField name="assessed_land" numFmtId="0">
      <sharedItems containsSemiMixedTypes="0" containsString="0" containsNumber="1" containsInteger="1" minValue="12100" maxValue="29500"/>
    </cacheField>
    <cacheField name="assessed_imp" numFmtId="0">
      <sharedItems containsSemiMixedTypes="0" containsString="0" containsNumber="1" containsInteger="1" minValue="48874" maxValue="719981"/>
    </cacheField>
    <cacheField name="assessed_total" numFmtId="0">
      <sharedItems containsSemiMixedTypes="0" containsString="0" containsNumber="1" containsInteger="1" minValue="70400" maxValue="748100"/>
    </cacheField>
    <cacheField name="sale_price" numFmtId="0">
      <sharedItems containsSemiMixedTypes="0" containsString="0" containsNumber="1" containsInteger="1" minValue="81000" maxValue="545000"/>
    </cacheField>
    <cacheField name="days_prior" numFmtId="0">
      <sharedItems containsSemiMixedTypes="0" containsString="0" containsNumber="1" containsInteger="1" minValue="11" maxValue="985"/>
    </cacheField>
    <cacheField name="land_value" numFmtId="0">
      <sharedItems containsSemiMixedTypes="0" containsString="0" containsNumber="1" minValue="36742.880014331698" maxValue="90561.074903937741"/>
    </cacheField>
    <cacheField name="Intercept" numFmtId="0">
      <sharedItems containsSemiMixedTypes="0" containsString="0" containsNumber="1" minValue="155833.95000000001" maxValue="155833.95000000001"/>
    </cacheField>
    <cacheField name="quality_rank_value" numFmtId="0">
      <sharedItems containsSemiMixedTypes="0" containsString="0" containsNumber="1" containsInteger="1" minValue="-28558" maxValue="78466"/>
    </cacheField>
    <cacheField name="condition_rank_value" numFmtId="0">
      <sharedItems containsSemiMixedTypes="0" containsString="0" containsNumber="1" containsInteger="1" minValue="-45357" maxValue="25818"/>
    </cacheField>
    <cacheField name="eff_age_value" numFmtId="0">
      <sharedItems containsSemiMixedTypes="0" containsString="0" containsNumber="1" minValue="-15067.495799999999" maxValue="-239.16659999999999"/>
    </cacheField>
    <cacheField name="Living_area_value" numFmtId="0">
      <sharedItems containsSemiMixedTypes="0" containsString="0" containsNumber="1" minValue="32937.090384000003" maxValue="245219.13314300001"/>
    </cacheField>
    <cacheField name="Fin BSMT_value" numFmtId="0">
      <sharedItems containsSemiMixedTypes="0" containsString="0" containsNumber="1" minValue="-45580.921679999999" maxValue="0"/>
    </cacheField>
    <cacheField name="garage_sqft_value" numFmtId="0">
      <sharedItems containsSemiMixedTypes="0" containsString="0" containsNumber="1" minValue="0" maxValue="97847.848566000001"/>
    </cacheField>
    <cacheField name="Plumbing Fixtures_value" numFmtId="0">
      <sharedItems containsSemiMixedTypes="0" containsString="0" containsNumber="1" minValue="10052.209000000001" maxValue="32167.068800000001"/>
    </cacheField>
    <cacheField name="detatched_value_value" numFmtId="0">
      <sharedItems containsSemiMixedTypes="0" containsString="0" containsNumber="1" minValue="0" maxValue="34973.050629999998"/>
    </cacheField>
    <cacheField name="Days Prior To Assessment_value" numFmtId="0">
      <sharedItems containsSemiMixedTypes="0" containsString="0" containsNumber="1" minValue="-118149.371" maxValue="-1319.4346"/>
    </cacheField>
    <cacheField name="predicted_total" numFmtId="0">
      <sharedItems containsSemiMixedTypes="0" containsString="0" containsNumber="1" minValue="62933.514025331693" maxValue="544999.96274743043"/>
    </cacheField>
    <cacheField name="predicted_ratio" numFmtId="0">
      <sharedItems containsSemiMixedTypes="0" containsString="0" containsNumber="1" minValue="0.52444595021109741" maxValue="1.5424865858874957"/>
    </cacheField>
    <cacheField name="qual_adj" numFmtId="0">
      <sharedItems containsSemiMixedTypes="0" containsString="0" containsNumber="1" minValue="0.75131299272793206" maxValue="0.98957772896037632"/>
    </cacheField>
    <cacheField name="cond_adj" numFmtId="0">
      <sharedItems containsSemiMixedTypes="0" containsString="0" containsNumber="1" minValue="0.9059988268293695" maxValue="0.95027059935652425"/>
    </cacheField>
    <cacheField name="decade_adj" numFmtId="0">
      <sharedItems containsSemiMixedTypes="0" containsString="0" containsNumber="1" minValue="0.86209247247009169" maxValue="0.959911764774662"/>
    </cacheField>
    <cacheField name="size_adj" numFmtId="0">
      <sharedItems containsSemiMixedTypes="0" containsString="0" containsNumber="1" minValue="0.87336335356423944" maxValue="0.98658627145912159"/>
    </cacheField>
    <cacheField name="final_total" numFmtId="0">
      <sharedItems containsSemiMixedTypes="0" containsString="0" containsNumber="1" minValue="56792.349529804713" maxValue="520700.17959301348"/>
    </cacheField>
    <cacheField name="final_ratio" numFmtId="0">
      <sharedItems containsSemiMixedTypes="0" containsString="0" containsNumber="1" minValue="0.47326957941503928" maxValue="1.3706133631946473"/>
    </cacheField>
    <cacheField name="variance" numFmtId="0">
      <sharedItems containsSemiMixedTypes="0" containsString="0" containsNumber="1" minValue="-76623.965713116573" maxValue="62008.945065284672"/>
    </cacheField>
    <cacheField name="var^2" numFmtId="0">
      <sharedItems containsSemiMixedTypes="0" containsString="0" containsNumber="1" minValue="471.37886856852418" maxValue="5871232121.60486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8">
  <r>
    <n v="23092423537"/>
    <n v="0"/>
    <n v="9987"/>
    <n v="0"/>
    <s v="GV"/>
    <s v="GV"/>
    <n v="4"/>
    <s v="RES"/>
    <n v="251700"/>
    <n v="39500"/>
    <n v="0.23"/>
    <n v="-1.4696759700590001"/>
    <n v="0"/>
    <n v="0"/>
    <n v="0"/>
    <n v="13398.7528"/>
    <n v="63902.980100000001"/>
    <n v="44211.155081080004"/>
    <s v="RN"/>
    <n v="1"/>
    <x v="0"/>
    <x v="0"/>
    <n v="0"/>
    <n v="0"/>
    <n v="3"/>
    <n v="3"/>
    <x v="0"/>
    <x v="0"/>
    <n v="1300"/>
    <n v="1300"/>
    <n v="0"/>
    <n v="0"/>
    <n v="0"/>
    <n v="400"/>
    <n v="0"/>
    <n v="0"/>
    <n v="0"/>
    <n v="8"/>
    <n v="0"/>
    <n v="0"/>
    <s v="CP"/>
    <n v="1"/>
    <s v="HP"/>
    <s v="E"/>
    <n v="1"/>
    <n v="3"/>
    <n v="0"/>
    <n v="0"/>
    <n v="100"/>
    <d v="2020-04-21T00:00:00"/>
    <n v="22600"/>
    <n v="263159"/>
    <n v="285800"/>
    <n v="255000"/>
    <n v="985"/>
    <n v="51342.29502553949"/>
    <n v="155833.95000000001"/>
    <n v="20768"/>
    <n v="25780"/>
    <n v="-717.49979999999994"/>
    <n v="81095.108900000007"/>
    <n v="0"/>
    <n v="35008.174800000001"/>
    <n v="16083.5344"/>
    <n v="0"/>
    <n v="-118149.371"/>
    <n v="267044.19232553954"/>
    <n v="1.0472321267668216"/>
    <n v="0.93979103106061679"/>
    <n v="0.94231068710026933"/>
    <n v="0.94035194935713262"/>
    <n v="0.93897388656927183"/>
    <n v="251116.84579306756"/>
    <n v="0.98477194428653947"/>
    <n v="-3883.154206932435"/>
    <n v="15078886.594817068"/>
  </r>
  <r>
    <n v="23092242483"/>
    <n v="0.19"/>
    <n v="8412"/>
    <n v="0"/>
    <s v="GV"/>
    <s v="GV"/>
    <n v="4"/>
    <s v="RES"/>
    <n v="251600"/>
    <n v="43500"/>
    <n v="0.19"/>
    <n v="-1.6607312068219999"/>
    <n v="0"/>
    <n v="0"/>
    <n v="0"/>
    <n v="13398.7528"/>
    <n v="63902.980100000001"/>
    <n v="41651.253192550997"/>
    <s v="RN"/>
    <n v="1"/>
    <x v="0"/>
    <x v="1"/>
    <n v="0"/>
    <n v="0"/>
    <n v="17"/>
    <n v="17"/>
    <x v="1"/>
    <x v="1"/>
    <n v="1631"/>
    <n v="1631"/>
    <n v="0"/>
    <n v="0"/>
    <n v="0"/>
    <n v="552"/>
    <n v="0"/>
    <n v="0"/>
    <n v="0"/>
    <n v="8"/>
    <n v="0"/>
    <n v="0"/>
    <s v="CP"/>
    <n v="1"/>
    <s v="HP"/>
    <s v="G"/>
    <n v="1"/>
    <n v="3"/>
    <n v="0"/>
    <n v="0"/>
    <n v="100"/>
    <d v="2020-04-23T00:00:00"/>
    <n v="24900"/>
    <n v="306446"/>
    <n v="331300"/>
    <n v="266000"/>
    <n v="983"/>
    <n v="48369.487874125851"/>
    <n v="155833.95000000001"/>
    <n v="20768"/>
    <n v="25818"/>
    <n v="-4065.8321999999998"/>
    <n v="101743.171243"/>
    <n v="0"/>
    <n v="48311.281223999998"/>
    <n v="16083.5344"/>
    <n v="0"/>
    <n v="-117909.47379999999"/>
    <n v="294952.11874112586"/>
    <n v="1.108842551658368"/>
    <n v="0.93979103106061679"/>
    <n v="0.95027059935652425"/>
    <n v="0.95331699902534994"/>
    <n v="0.94249369191070453"/>
    <n v="279162.76561662735"/>
    <n v="1.0494840812655164"/>
    <n v="13162.765616627352"/>
    <n v="173258398.67826724"/>
  </r>
  <r>
    <n v="23092333409"/>
    <n v="0.24"/>
    <n v="10465"/>
    <n v="0"/>
    <s v="GV"/>
    <s v="GV"/>
    <n v="4"/>
    <s v="RES"/>
    <n v="217900"/>
    <n v="39800"/>
    <n v="0.24"/>
    <n v="-1.4271163556399999"/>
    <n v="0"/>
    <n v="0"/>
    <n v="0"/>
    <n v="13398.7528"/>
    <n v="63902.980100000001"/>
    <n v="44781.400833940999"/>
    <s v="RN"/>
    <n v="1"/>
    <x v="1"/>
    <x v="2"/>
    <n v="0"/>
    <n v="0"/>
    <n v="46"/>
    <n v="55"/>
    <x v="2"/>
    <x v="2"/>
    <n v="2464"/>
    <n v="1232"/>
    <n v="0"/>
    <n v="1232"/>
    <n v="0"/>
    <n v="552"/>
    <n v="0"/>
    <n v="300"/>
    <n v="552"/>
    <n v="8"/>
    <n v="1"/>
    <n v="0"/>
    <s v="CP"/>
    <n v="1"/>
    <s v="FD"/>
    <s v="G"/>
    <n v="1"/>
    <n v="3"/>
    <n v="0"/>
    <n v="0"/>
    <n v="100"/>
    <d v="2020-04-30T00:00:00"/>
    <n v="22800"/>
    <n v="227252"/>
    <n v="250100"/>
    <n v="243000"/>
    <n v="976"/>
    <n v="52004.519878673433"/>
    <n v="155833.95000000001"/>
    <n v="2251"/>
    <n v="-4503"/>
    <n v="-11001.6636"/>
    <n v="153706.42179200001"/>
    <n v="-33386.263680000004"/>
    <n v="48311.281223999998"/>
    <n v="16083.5344"/>
    <n v="0"/>
    <n v="-117069.8336"/>
    <n v="262229.94641467341"/>
    <n v="1.0791355819533885"/>
    <n v="0.94889070359879057"/>
    <n v="0.91974816281148053"/>
    <n v="0.91535194202033021"/>
    <n v="0.94539091427335964"/>
    <n v="244488.8923261305"/>
    <n v="1.0061271289141174"/>
    <n v="1488.8923261305026"/>
    <n v="2216800.3588102991"/>
  </r>
  <r>
    <n v="23092423538"/>
    <n v="0"/>
    <n v="9985"/>
    <n v="0"/>
    <s v="GV"/>
    <s v="GV"/>
    <n v="4"/>
    <s v="RES"/>
    <n v="251700"/>
    <n v="39500"/>
    <n v="0.23"/>
    <n v="-1.4696759700590001"/>
    <n v="0"/>
    <n v="0"/>
    <n v="0"/>
    <n v="13398.7528"/>
    <n v="63902.980100000001"/>
    <n v="44211.155081080004"/>
    <s v="RN"/>
    <n v="1"/>
    <x v="0"/>
    <x v="0"/>
    <n v="0"/>
    <n v="0"/>
    <n v="3"/>
    <n v="3"/>
    <x v="0"/>
    <x v="0"/>
    <n v="1300"/>
    <n v="1300"/>
    <n v="0"/>
    <n v="0"/>
    <n v="0"/>
    <n v="400"/>
    <n v="0"/>
    <n v="0"/>
    <n v="0"/>
    <n v="8"/>
    <n v="0"/>
    <n v="0"/>
    <s v="CP"/>
    <n v="1"/>
    <s v="HP"/>
    <s v="E"/>
    <n v="1"/>
    <n v="3"/>
    <n v="0"/>
    <n v="0"/>
    <n v="100"/>
    <d v="2020-05-04T00:00:00"/>
    <n v="22600"/>
    <n v="263159"/>
    <n v="285800"/>
    <n v="255000"/>
    <n v="972"/>
    <n v="51342.29502553949"/>
    <n v="155833.95000000001"/>
    <n v="20768"/>
    <n v="25780"/>
    <n v="-717.49979999999994"/>
    <n v="81095.108900000007"/>
    <n v="0"/>
    <n v="35008.174800000001"/>
    <n v="16083.5344"/>
    <n v="0"/>
    <n v="-116590.0392"/>
    <n v="268603.52412553952"/>
    <n v="1.0533471534334884"/>
    <n v="0.93979103106061679"/>
    <n v="0.94231068710026933"/>
    <n v="0.94035194935713262"/>
    <n v="0.93897388656927183"/>
    <n v="252583.17419268869"/>
    <n v="0.99052225173603403"/>
    <n v="-2416.8258073113102"/>
    <n v="5841046.9828859661"/>
  </r>
  <r>
    <n v="23092714402"/>
    <n v="0.24"/>
    <n v="10301"/>
    <n v="0"/>
    <s v="GV"/>
    <s v="GV"/>
    <n v="4"/>
    <s v="RES"/>
    <n v="262300"/>
    <n v="21100"/>
    <n v="0.24"/>
    <n v="-1.4271163556399999"/>
    <n v="0"/>
    <n v="1"/>
    <n v="0"/>
    <n v="13398.7528"/>
    <n v="63902.980100000001"/>
    <n v="44781.400833940999"/>
    <s v="RN"/>
    <n v="1"/>
    <x v="2"/>
    <x v="0"/>
    <n v="0"/>
    <n v="0"/>
    <n v="3"/>
    <n v="3"/>
    <x v="0"/>
    <x v="0"/>
    <n v="1480"/>
    <n v="1480"/>
    <n v="0"/>
    <n v="0"/>
    <n v="0"/>
    <n v="576"/>
    <n v="0"/>
    <n v="0"/>
    <n v="0"/>
    <n v="9"/>
    <n v="0"/>
    <n v="0"/>
    <s v="CP"/>
    <n v="1"/>
    <s v="HP"/>
    <s v="E"/>
    <n v="1"/>
    <n v="3"/>
    <n v="0"/>
    <n v="0"/>
    <n v="100"/>
    <d v="2020-05-05T00:00:00"/>
    <n v="12100"/>
    <n v="259299"/>
    <n v="271400"/>
    <n v="280000"/>
    <n v="971"/>
    <n v="52004.519878673433"/>
    <n v="155833.95000000001"/>
    <n v="9808"/>
    <n v="25780"/>
    <n v="-717.49979999999994"/>
    <n v="92323.66244"/>
    <n v="0"/>
    <n v="50411.771712000002"/>
    <n v="18093.976200000001"/>
    <n v="0"/>
    <n v="-116470.0906"/>
    <n v="287068.28983067343"/>
    <n v="1.0252438922524052"/>
    <n v="0.93645298159011592"/>
    <n v="0.94231068710026933"/>
    <n v="0.94035194935713262"/>
    <n v="0.93897388656927183"/>
    <n v="269707.08178023616"/>
    <n v="0.96323957778655767"/>
    <n v="-10292.918219763844"/>
    <n v="105944165.47874649"/>
  </r>
  <r>
    <n v="23092314428"/>
    <n v="0.2"/>
    <n v="8502"/>
    <n v="0"/>
    <s v="GV"/>
    <s v="GV"/>
    <n v="4"/>
    <s v="RES"/>
    <n v="160400"/>
    <n v="39700"/>
    <n v="0.2"/>
    <n v="-1.6094379124339999"/>
    <n v="0"/>
    <n v="0"/>
    <n v="0"/>
    <n v="13398.7528"/>
    <n v="63902.980100000001"/>
    <n v="42338.519364346997"/>
    <s v="CO"/>
    <n v="2"/>
    <x v="1"/>
    <x v="2"/>
    <n v="0"/>
    <n v="0"/>
    <n v="57"/>
    <n v="103"/>
    <x v="3"/>
    <x v="1"/>
    <n v="1610"/>
    <n v="928"/>
    <n v="682"/>
    <n v="0"/>
    <n v="928"/>
    <n v="0"/>
    <n v="0"/>
    <n v="88"/>
    <n v="0"/>
    <n v="7"/>
    <n v="0"/>
    <n v="1"/>
    <s v="CP"/>
    <n v="1"/>
    <s v="FD"/>
    <s v="G"/>
    <n v="0"/>
    <n v="3"/>
    <n v="0"/>
    <n v="0"/>
    <n v="100"/>
    <d v="2020-05-21T00:00:00"/>
    <n v="22700"/>
    <n v="152716"/>
    <n v="175400"/>
    <n v="130000"/>
    <n v="955"/>
    <n v="49167.608223813884"/>
    <n v="155833.95000000001"/>
    <n v="2251"/>
    <n v="-4503"/>
    <n v="-13632.4962"/>
    <n v="100433.17333000001"/>
    <n v="0"/>
    <n v="0"/>
    <n v="14073.0926"/>
    <n v="0"/>
    <n v="-114550.913"/>
    <n v="189072.41495381389"/>
    <n v="1.4544031919524145"/>
    <n v="0.94889070359879057"/>
    <n v="0.91974816281148053"/>
    <n v="0.89161307203578499"/>
    <n v="0.94249369191070453"/>
    <n v="175021.76457280866"/>
    <n v="1.3463212659446819"/>
    <n v="45021.764572808665"/>
    <n v="2026959285.2494094"/>
  </r>
  <r>
    <n v="23092314428"/>
    <n v="0.2"/>
    <n v="8502"/>
    <n v="0"/>
    <s v="GV"/>
    <s v="GV"/>
    <n v="4"/>
    <s v="RES"/>
    <n v="160400"/>
    <n v="39700"/>
    <n v="0.2"/>
    <n v="-1.6094379124339999"/>
    <n v="0"/>
    <n v="0"/>
    <n v="0"/>
    <n v="13398.7528"/>
    <n v="63902.980100000001"/>
    <n v="42338.519364346997"/>
    <s v="CO"/>
    <n v="2"/>
    <x v="1"/>
    <x v="2"/>
    <n v="0"/>
    <n v="0"/>
    <n v="57"/>
    <n v="103"/>
    <x v="3"/>
    <x v="1"/>
    <n v="1610"/>
    <n v="928"/>
    <n v="682"/>
    <n v="0"/>
    <n v="928"/>
    <n v="0"/>
    <n v="0"/>
    <n v="88"/>
    <n v="0"/>
    <n v="7"/>
    <n v="0"/>
    <n v="1"/>
    <s v="CP"/>
    <n v="1"/>
    <s v="FD"/>
    <s v="G"/>
    <n v="0"/>
    <n v="3"/>
    <n v="0"/>
    <n v="0"/>
    <n v="100"/>
    <d v="2020-05-23T00:00:00"/>
    <n v="22700"/>
    <n v="152716"/>
    <n v="175400"/>
    <n v="131000"/>
    <n v="953"/>
    <n v="49167.608223813884"/>
    <n v="155833.95000000001"/>
    <n v="2251"/>
    <n v="-4503"/>
    <n v="-13632.4962"/>
    <n v="100433.17333000001"/>
    <n v="0"/>
    <n v="0"/>
    <n v="14073.0926"/>
    <n v="0"/>
    <n v="-114311.01579999999"/>
    <n v="189312.31215381389"/>
    <n v="1.4451321538459077"/>
    <n v="0.94889070359879057"/>
    <n v="0.91974816281148053"/>
    <n v="0.89161307203578499"/>
    <n v="0.94249369191070453"/>
    <n v="175243.83415006739"/>
    <n v="1.3377391919852473"/>
    <n v="44243.834150067385"/>
    <n v="1957516860.2986689"/>
  </r>
  <r>
    <n v="23091443437"/>
    <n v="0.21"/>
    <n v="9353"/>
    <n v="0"/>
    <s v="GV"/>
    <s v="GV"/>
    <n v="4"/>
    <s v="RES"/>
    <n v="191500"/>
    <n v="39500"/>
    <n v="0.21"/>
    <n v="-1.5606477482650001"/>
    <n v="0"/>
    <n v="0"/>
    <n v="0"/>
    <n v="13398.7528"/>
    <n v="63902.980100000001"/>
    <n v="42992.246713125001"/>
    <s v="RN"/>
    <n v="1"/>
    <x v="1"/>
    <x v="2"/>
    <n v="0"/>
    <n v="0"/>
    <n v="43"/>
    <n v="44"/>
    <x v="4"/>
    <x v="0"/>
    <n v="1408"/>
    <n v="1408"/>
    <n v="0"/>
    <n v="0"/>
    <n v="0"/>
    <n v="528"/>
    <n v="0"/>
    <n v="168"/>
    <n v="0"/>
    <n v="8"/>
    <n v="1"/>
    <n v="0"/>
    <s v="CP"/>
    <n v="1"/>
    <s v="FD"/>
    <s v="E"/>
    <n v="0"/>
    <n v="3"/>
    <n v="0"/>
    <n v="0"/>
    <n v="100"/>
    <d v="2020-06-02T00:00:00"/>
    <n v="22600"/>
    <n v="175263"/>
    <n v="197900"/>
    <n v="255000"/>
    <n v="943"/>
    <n v="49926.780028885936"/>
    <n v="155833.95000000001"/>
    <n v="2251"/>
    <n v="-4503"/>
    <n v="-10284.1638"/>
    <n v="87832.241024000003"/>
    <n v="0"/>
    <n v="46210.790736000003"/>
    <n v="16083.5344"/>
    <n v="0"/>
    <n v="-113111.5298"/>
    <n v="230239.60258888593"/>
    <n v="0.90290040230935653"/>
    <n v="0.94889070359879057"/>
    <n v="0.91974816281148053"/>
    <n v="0.9474610576206125"/>
    <n v="0.93897388656927183"/>
    <n v="216141.67546112832"/>
    <n v="0.84761441357305223"/>
    <n v="-38858.324538871675"/>
    <n v="1509969385.9682765"/>
  </r>
  <r>
    <n v="23092314461"/>
    <n v="0.2"/>
    <n v="8863"/>
    <n v="0"/>
    <s v="GV"/>
    <s v="GV"/>
    <n v="4"/>
    <s v="RES"/>
    <n v="122700"/>
    <n v="39700"/>
    <n v="0.2"/>
    <n v="-1.6094379124339999"/>
    <n v="0"/>
    <n v="0"/>
    <n v="0"/>
    <n v="13398.7528"/>
    <n v="63902.980100000001"/>
    <n v="42338.519364346997"/>
    <s v="TD"/>
    <n v="1"/>
    <x v="3"/>
    <x v="3"/>
    <n v="0"/>
    <n v="0"/>
    <n v="55"/>
    <n v="98"/>
    <x v="3"/>
    <x v="3"/>
    <n v="724"/>
    <n v="724"/>
    <n v="0"/>
    <n v="0"/>
    <n v="0"/>
    <n v="0"/>
    <n v="0"/>
    <n v="0"/>
    <n v="0"/>
    <n v="5"/>
    <n v="0"/>
    <n v="0"/>
    <s v="CP"/>
    <n v="1"/>
    <s v="BH"/>
    <s v="E"/>
    <n v="0"/>
    <n v="2"/>
    <n v="0"/>
    <n v="3900"/>
    <n v="100"/>
    <d v="2020-06-11T00:00:00"/>
    <n v="22700"/>
    <n v="77079"/>
    <n v="99800"/>
    <n v="157000"/>
    <n v="934"/>
    <n v="49167.608223813884"/>
    <n v="155833.95000000001"/>
    <n v="-28558"/>
    <n v="22342"/>
    <n v="-13154.162999999999"/>
    <n v="45163.737571999998"/>
    <n v="0"/>
    <n v="0"/>
    <n v="10052.209000000001"/>
    <n v="3302.53989"/>
    <n v="-112031.9924"/>
    <n v="132117.8892858139"/>
    <n v="0.84151521838098031"/>
    <n v="0.89909171974485158"/>
    <n v="0.94546156904349943"/>
    <n v="0.89161307203578499"/>
    <n v="0.87336335356423944"/>
    <n v="119220.8617948547"/>
    <n v="0.75936854646404273"/>
    <n v="-37779.138205145297"/>
    <n v="1427263283.523469"/>
  </r>
  <r>
    <n v="23092232436"/>
    <n v="0.53"/>
    <n v="22871"/>
    <n v="0"/>
    <s v="GV"/>
    <s v="GV"/>
    <n v="4"/>
    <s v="RES"/>
    <n v="176000"/>
    <n v="46600"/>
    <n v="0.53"/>
    <n v="-0.63487827243600004"/>
    <n v="0"/>
    <n v="0"/>
    <n v="0"/>
    <n v="13398.7528"/>
    <n v="63902.980100000001"/>
    <n v="55396.403069539003"/>
    <s v="RN"/>
    <n v="1"/>
    <x v="1"/>
    <x v="3"/>
    <n v="0"/>
    <n v="0"/>
    <n v="45"/>
    <n v="52"/>
    <x v="5"/>
    <x v="0"/>
    <n v="1415"/>
    <n v="1415"/>
    <n v="0"/>
    <n v="0"/>
    <n v="0"/>
    <n v="0"/>
    <n v="0"/>
    <n v="0"/>
    <n v="480"/>
    <n v="5"/>
    <n v="0"/>
    <n v="0"/>
    <s v="CP"/>
    <n v="1"/>
    <s v="FD"/>
    <s v="E"/>
    <n v="0"/>
    <n v="3"/>
    <n v="0"/>
    <n v="0"/>
    <n v="100"/>
    <d v="2020-06-19T00:00:00"/>
    <n v="26700"/>
    <n v="166877"/>
    <n v="193600"/>
    <n v="220000"/>
    <n v="926"/>
    <n v="64331.693314367352"/>
    <n v="155833.95000000001"/>
    <n v="2251"/>
    <n v="22342"/>
    <n v="-10762.496999999999"/>
    <n v="88268.906994999998"/>
    <n v="0"/>
    <n v="0"/>
    <n v="10052.209000000001"/>
    <n v="0"/>
    <n v="-111072.40360000001"/>
    <n v="221244.85870936734"/>
    <n v="1.0056584486789424"/>
    <n v="0.94889070359879057"/>
    <n v="0.94546156904349943"/>
    <n v="0.95156852894116195"/>
    <n v="0.93897388656927183"/>
    <n v="209347.12262754608"/>
    <n v="0.95157783012520947"/>
    <n v="-10652.877372453921"/>
    <n v="113483796.31254074"/>
  </r>
  <r>
    <n v="23092241560"/>
    <n v="0.2"/>
    <n v="8528"/>
    <n v="0"/>
    <s v="GV"/>
    <s v="GV"/>
    <n v="4"/>
    <s v="RES"/>
    <n v="188400"/>
    <n v="39100"/>
    <n v="0.2"/>
    <n v="-1.6094379124339999"/>
    <n v="0"/>
    <n v="0"/>
    <n v="0"/>
    <n v="13398.7528"/>
    <n v="63902.980100000001"/>
    <n v="42338.519364346997"/>
    <s v="RN"/>
    <n v="1"/>
    <x v="4"/>
    <x v="2"/>
    <n v="0"/>
    <n v="0"/>
    <n v="49"/>
    <n v="68"/>
    <x v="6"/>
    <x v="4"/>
    <n v="2520"/>
    <n v="1260"/>
    <n v="0"/>
    <n v="1260"/>
    <n v="0"/>
    <n v="0"/>
    <n v="0"/>
    <n v="0"/>
    <n v="0"/>
    <n v="8"/>
    <n v="0"/>
    <n v="0"/>
    <s v="CP"/>
    <n v="1"/>
    <s v="FD"/>
    <s v="E"/>
    <n v="0"/>
    <n v="4"/>
    <n v="0"/>
    <n v="12200"/>
    <n v="100"/>
    <d v="2020-06-23T00:00:00"/>
    <n v="22400"/>
    <n v="190207"/>
    <n v="212600"/>
    <n v="223000"/>
    <n v="922"/>
    <n v="49167.608223813884"/>
    <n v="155833.95000000001"/>
    <n v="10733"/>
    <n v="-4503"/>
    <n v="-11719.163399999999"/>
    <n v="157199.74956"/>
    <n v="-34145.042400000006"/>
    <n v="0"/>
    <n v="16083.5344"/>
    <n v="10331.022219999999"/>
    <n v="-110592.60920000001"/>
    <n v="238389.0494038139"/>
    <n v="1.0690091901516319"/>
    <n v="0.93029096284873303"/>
    <n v="0.91974816281148053"/>
    <n v="0.94654220114707954"/>
    <n v="0.92848762814113772"/>
    <n v="222003.91178345372"/>
    <n v="0.99553323669710192"/>
    <n v="-996.08821654628264"/>
    <n v="992191.73514235404"/>
  </r>
  <r>
    <n v="23092241553"/>
    <n v="0.19"/>
    <n v="8168"/>
    <n v="0"/>
    <s v="GV"/>
    <s v="GV"/>
    <n v="4"/>
    <s v="RES"/>
    <n v="133500"/>
    <n v="39100"/>
    <n v="0.19"/>
    <n v="-1.6607312068219999"/>
    <n v="0"/>
    <n v="0"/>
    <n v="0"/>
    <n v="13398.7528"/>
    <n v="63902.980100000001"/>
    <n v="41651.253192550997"/>
    <s v="RN"/>
    <n v="1"/>
    <x v="1"/>
    <x v="2"/>
    <n v="0"/>
    <n v="0"/>
    <n v="49"/>
    <n v="68"/>
    <x v="6"/>
    <x v="3"/>
    <n v="967"/>
    <n v="967"/>
    <n v="0"/>
    <n v="0"/>
    <n v="0"/>
    <n v="240"/>
    <n v="0"/>
    <n v="0"/>
    <n v="420"/>
    <n v="5"/>
    <n v="0"/>
    <n v="1"/>
    <s v="CP"/>
    <n v="1"/>
    <s v="FD"/>
    <s v="G"/>
    <n v="0"/>
    <n v="2"/>
    <n v="0"/>
    <n v="0"/>
    <n v="100"/>
    <d v="2020-06-26T00:00:00"/>
    <n v="22400"/>
    <n v="110970"/>
    <n v="133400"/>
    <n v="183500"/>
    <n v="919"/>
    <n v="48369.487874125851"/>
    <n v="155833.95000000001"/>
    <n v="2251"/>
    <n v="-4503"/>
    <n v="-11719.163399999999"/>
    <n v="60322.284851000004"/>
    <n v="0"/>
    <n v="21004.904880000002"/>
    <n v="10052.209000000001"/>
    <n v="0"/>
    <n v="-110232.7634"/>
    <n v="171378.90980512585"/>
    <n v="0.93394501256199369"/>
    <n v="0.94889070359879057"/>
    <n v="0.91974816281148053"/>
    <n v="0.94654220114707954"/>
    <n v="0.87336335356423944"/>
    <n v="158034.68041489928"/>
    <n v="0.86122441642996883"/>
    <n v="-25465.319585100719"/>
    <n v="648482501.57131422"/>
  </r>
  <r>
    <n v="23092741403"/>
    <n v="0.5"/>
    <n v="0"/>
    <n v="0"/>
    <s v="GV"/>
    <s v="GV"/>
    <n v="4"/>
    <s v="RES"/>
    <n v="262300"/>
    <n v="46600"/>
    <n v="0.5"/>
    <n v="-0.69314718056000002"/>
    <n v="0"/>
    <n v="0"/>
    <n v="0"/>
    <n v="13398.7528"/>
    <n v="63902.980100000001"/>
    <n v="54615.672373660003"/>
    <s v="CP"/>
    <n v="1"/>
    <x v="2"/>
    <x v="3"/>
    <n v="0"/>
    <n v="0"/>
    <n v="12"/>
    <n v="12"/>
    <x v="7"/>
    <x v="0"/>
    <n v="1248"/>
    <n v="1248"/>
    <n v="0"/>
    <n v="0"/>
    <n v="0"/>
    <n v="546"/>
    <n v="0"/>
    <n v="0"/>
    <n v="0"/>
    <n v="9"/>
    <n v="0"/>
    <n v="0"/>
    <s v="CP"/>
    <n v="1"/>
    <s v="HP"/>
    <s v="E"/>
    <n v="1"/>
    <n v="3"/>
    <n v="0"/>
    <n v="21200"/>
    <n v="100"/>
    <d v="2020-07-08T00:00:00"/>
    <n v="26700"/>
    <n v="256980"/>
    <n v="283700"/>
    <n v="303500"/>
    <n v="907"/>
    <n v="63425.032865215951"/>
    <n v="155833.95000000001"/>
    <n v="9808"/>
    <n v="22342"/>
    <n v="-2869.9991999999997"/>
    <n v="77851.304543999999"/>
    <n v="0"/>
    <n v="47786.158602000003"/>
    <n v="18093.976200000001"/>
    <n v="17952.268120000001"/>
    <n v="-108793.3802"/>
    <n v="301429.31093121594"/>
    <n v="0.99317730125606574"/>
    <n v="0.93645298159011592"/>
    <n v="0.94546156904349943"/>
    <n v="0.93805509262653142"/>
    <n v="0.93897388656927183"/>
    <n v="283263.93950645858"/>
    <n v="0.93332434763248295"/>
    <n v="-20236.060493541416"/>
    <n v="409498144.29826766"/>
  </r>
  <r>
    <n v="23092343444"/>
    <n v="0.16"/>
    <n v="6999"/>
    <n v="0"/>
    <s v="GV"/>
    <s v="GV"/>
    <n v="4"/>
    <s v="RES"/>
    <n v="152900"/>
    <n v="38600"/>
    <n v="0.16"/>
    <n v="-1.832581463748"/>
    <n v="0"/>
    <n v="0"/>
    <n v="0"/>
    <n v="13398.7528"/>
    <n v="63902.980100000001"/>
    <n v="39348.674081374003"/>
    <s v="RN"/>
    <n v="1"/>
    <x v="4"/>
    <x v="2"/>
    <n v="0"/>
    <n v="0"/>
    <n v="41"/>
    <n v="41"/>
    <x v="4"/>
    <x v="0"/>
    <n v="1080"/>
    <n v="1080"/>
    <n v="0"/>
    <n v="0"/>
    <n v="0"/>
    <n v="288"/>
    <n v="0"/>
    <n v="0"/>
    <n v="0"/>
    <n v="5"/>
    <n v="0"/>
    <n v="0"/>
    <s v="CP"/>
    <n v="1"/>
    <s v="FD"/>
    <s v="E"/>
    <n v="0"/>
    <n v="3"/>
    <n v="0"/>
    <n v="0"/>
    <n v="100"/>
    <d v="2020-07-09T00:00:00"/>
    <n v="22100"/>
    <n v="121070"/>
    <n v="143200"/>
    <n v="220000"/>
    <n v="906"/>
    <n v="45695.50896927961"/>
    <n v="155833.95000000001"/>
    <n v="10733"/>
    <n v="-4503"/>
    <n v="-9805.8305999999993"/>
    <n v="67371.321240000005"/>
    <n v="0"/>
    <n v="25205.885856000001"/>
    <n v="10052.209000000001"/>
    <n v="0"/>
    <n v="-108673.4316"/>
    <n v="191909.6128652796"/>
    <n v="0.87231642211490734"/>
    <n v="0.93029096284873303"/>
    <n v="0.91974816281148053"/>
    <n v="0.9474610576206125"/>
    <n v="0.93897388656927183"/>
    <n v="179266.32305652197"/>
    <n v="0.81484692298419081"/>
    <n v="-40733.676943478029"/>
    <n v="1659232437.3356335"/>
  </r>
  <r>
    <n v="23092423532"/>
    <n v="0.45"/>
    <n v="19705"/>
    <n v="0"/>
    <s v="GV"/>
    <s v="GV"/>
    <n v="4"/>
    <s v="RES"/>
    <n v="152700"/>
    <n v="41400"/>
    <n v="0.45"/>
    <n v="-0.798507696218"/>
    <n v="0"/>
    <n v="0"/>
    <n v="0"/>
    <n v="13398.7528"/>
    <n v="63902.980100000001"/>
    <n v="53203.972869480996"/>
    <s v="TD"/>
    <n v="1"/>
    <x v="4"/>
    <x v="2"/>
    <n v="0"/>
    <n v="0"/>
    <n v="49"/>
    <n v="67"/>
    <x v="6"/>
    <x v="0"/>
    <n v="1060"/>
    <n v="1060"/>
    <n v="0"/>
    <n v="0"/>
    <n v="0"/>
    <n v="0"/>
    <n v="0"/>
    <n v="0"/>
    <n v="0"/>
    <n v="5"/>
    <n v="0"/>
    <n v="1"/>
    <s v="CP"/>
    <n v="1"/>
    <s v="HP"/>
    <s v="E"/>
    <n v="1"/>
    <n v="2"/>
    <n v="0"/>
    <n v="6400"/>
    <n v="100"/>
    <d v="2020-07-10T00:00:00"/>
    <n v="23700"/>
    <n v="111529"/>
    <n v="135200"/>
    <n v="190000"/>
    <n v="905"/>
    <n v="61785.63004260153"/>
    <n v="155833.95000000001"/>
    <n v="10733"/>
    <n v="-4503"/>
    <n v="-11719.163399999999"/>
    <n v="66123.704180000001"/>
    <n v="0"/>
    <n v="0"/>
    <n v="10052.209000000001"/>
    <n v="5419.5526399999999"/>
    <n v="-108553.48299999999"/>
    <n v="185172.39946260152"/>
    <n v="0.97459157611895542"/>
    <n v="0.93029096284873303"/>
    <n v="0.91974816281148053"/>
    <n v="0.94654220114707954"/>
    <n v="0.93897388656927183"/>
    <n v="172930.43054649225"/>
    <n v="0.91016016077101181"/>
    <n v="-17069.569453507749"/>
    <n v="291370201.32812482"/>
  </r>
  <r>
    <n v="23092333451"/>
    <n v="0.24"/>
    <n v="10490"/>
    <n v="0"/>
    <s v="GV"/>
    <s v="GV"/>
    <n v="4"/>
    <s v="RES"/>
    <n v="227300"/>
    <n v="39800"/>
    <n v="0.24"/>
    <n v="-1.4271163556399999"/>
    <n v="0"/>
    <n v="0"/>
    <n v="0"/>
    <n v="13398.7528"/>
    <n v="63902.980100000001"/>
    <n v="44781.400833940999"/>
    <s v="CO"/>
    <n v="2"/>
    <x v="1"/>
    <x v="2"/>
    <n v="0"/>
    <n v="0"/>
    <n v="46"/>
    <n v="54"/>
    <x v="5"/>
    <x v="2"/>
    <n v="2423"/>
    <n v="1223"/>
    <n v="600"/>
    <n v="600"/>
    <n v="0"/>
    <n v="500"/>
    <n v="0"/>
    <n v="0"/>
    <n v="688"/>
    <n v="10"/>
    <n v="0"/>
    <n v="0"/>
    <s v="CP"/>
    <n v="1"/>
    <s v="FD"/>
    <s v="G"/>
    <n v="0"/>
    <n v="3"/>
    <n v="0"/>
    <n v="14700"/>
    <n v="100"/>
    <d v="2020-07-15T00:00:00"/>
    <n v="22800"/>
    <n v="250938"/>
    <n v="273700"/>
    <n v="310000"/>
    <n v="900"/>
    <n v="52004.519878673433"/>
    <n v="155833.95000000001"/>
    <n v="2251"/>
    <n v="-4503"/>
    <n v="-11001.6636"/>
    <n v="151148.80681899999"/>
    <n v="-16259.544000000002"/>
    <n v="43760.218500000003"/>
    <n v="20104.418000000001"/>
    <n v="12448.034969999999"/>
    <n v="-107953.74"/>
    <n v="297833.00056767341"/>
    <n v="0.96075161473443038"/>
    <n v="0.94889070359879057"/>
    <n v="0.91974816281148053"/>
    <n v="0.95156852894116195"/>
    <n v="0.94539091427335964"/>
    <n v="280379.86087202776"/>
    <n v="0.90445116410331539"/>
    <n v="-29620.139127972245"/>
    <n v="877352641.96043241"/>
  </r>
  <r>
    <n v="23092424469"/>
    <n v="0.17"/>
    <n v="7328"/>
    <n v="0"/>
    <s v="GV"/>
    <s v="GV"/>
    <n v="4"/>
    <s v="RES"/>
    <n v="212100"/>
    <n v="38800"/>
    <n v="0.17"/>
    <n v="-1.771956841932"/>
    <n v="0"/>
    <n v="0"/>
    <n v="0"/>
    <n v="13398.7528"/>
    <n v="63902.980100000001"/>
    <n v="40160.968402685998"/>
    <s v="RN"/>
    <n v="1"/>
    <x v="1"/>
    <x v="3"/>
    <n v="0"/>
    <n v="0"/>
    <n v="17"/>
    <n v="17"/>
    <x v="1"/>
    <x v="0"/>
    <n v="1117"/>
    <n v="1117"/>
    <n v="0"/>
    <n v="0"/>
    <n v="0"/>
    <n v="480"/>
    <n v="0"/>
    <n v="0"/>
    <n v="240"/>
    <n v="8"/>
    <n v="0"/>
    <n v="0"/>
    <s v="CP"/>
    <n v="1"/>
    <s v="FD"/>
    <s v="G"/>
    <n v="1"/>
    <n v="3"/>
    <n v="0"/>
    <n v="0"/>
    <n v="100"/>
    <d v="2020-07-17T00:00:00"/>
    <n v="22200"/>
    <n v="179682"/>
    <n v="201900"/>
    <n v="232000"/>
    <n v="898"/>
    <n v="46638.82417142456"/>
    <n v="155833.95000000001"/>
    <n v="2251"/>
    <n v="22342"/>
    <n v="-4065.8321999999998"/>
    <n v="69679.412800999999"/>
    <n v="0"/>
    <n v="42009.809760000004"/>
    <n v="16083.5344"/>
    <n v="0"/>
    <n v="-107713.8428"/>
    <n v="243058.85613242455"/>
    <n v="1.0476674833294162"/>
    <n v="0.94889070359879057"/>
    <n v="0.94546156904349943"/>
    <n v="0.95331699902534994"/>
    <n v="0.93897388656927183"/>
    <n v="230094.28865568383"/>
    <n v="0.99178572696415446"/>
    <n v="-1905.7113443161652"/>
    <n v="3631735.7278553257"/>
  </r>
  <r>
    <n v="23092241408"/>
    <n v="0.28000000000000003"/>
    <n v="12070"/>
    <n v="0"/>
    <s v="GV"/>
    <s v="GV"/>
    <n v="4"/>
    <s v="RES"/>
    <n v="240500"/>
    <n v="44500"/>
    <n v="0.28000000000000003"/>
    <n v="-1.2729656758129999"/>
    <n v="0"/>
    <n v="0"/>
    <n v="0"/>
    <n v="13398.7528"/>
    <n v="63902.980100000001"/>
    <n v="46846.827686898003"/>
    <s v="RN"/>
    <n v="1"/>
    <x v="0"/>
    <x v="2"/>
    <n v="0"/>
    <n v="0"/>
    <n v="48"/>
    <n v="62"/>
    <x v="2"/>
    <x v="4"/>
    <n v="2973"/>
    <n v="1592"/>
    <n v="0"/>
    <n v="1381"/>
    <n v="0"/>
    <n v="308"/>
    <n v="200"/>
    <n v="0"/>
    <n v="426"/>
    <n v="8"/>
    <n v="0"/>
    <n v="1"/>
    <s v="CP"/>
    <n v="1"/>
    <s v="FD"/>
    <s v="G"/>
    <n v="1"/>
    <n v="4"/>
    <n v="0"/>
    <n v="0"/>
    <n v="100"/>
    <d v="2020-07-17T00:00:00"/>
    <n v="25500"/>
    <n v="358749"/>
    <n v="384200"/>
    <n v="281000"/>
    <n v="898"/>
    <n v="54403.094506359892"/>
    <n v="155833.95000000001"/>
    <n v="20768"/>
    <n v="-4503"/>
    <n v="-11479.996799999999"/>
    <n v="185458.27596900001"/>
    <n v="-37424.050439999999"/>
    <n v="26956.294596"/>
    <n v="16083.5344"/>
    <n v="0"/>
    <n v="-107713.8428"/>
    <n v="298382.25943135994"/>
    <n v="1.0618585744888254"/>
    <n v="0.93979103106061679"/>
    <n v="0.91974816281148053"/>
    <n v="0.91535194202033021"/>
    <n v="0.92848762814113772"/>
    <n v="276255.63078561309"/>
    <n v="0.98311612379221736"/>
    <n v="-4744.3692143869121"/>
    <n v="22509039.242422286"/>
  </r>
  <r>
    <n v="23092343468"/>
    <n v="0.17"/>
    <n v="7192"/>
    <n v="0"/>
    <s v="GV"/>
    <s v="GV"/>
    <n v="4"/>
    <s v="RES"/>
    <n v="180000"/>
    <n v="43000"/>
    <n v="0.17"/>
    <n v="-1.771956841932"/>
    <n v="0"/>
    <n v="0"/>
    <n v="0"/>
    <n v="13398.7528"/>
    <n v="63902.980100000001"/>
    <n v="40160.968402685998"/>
    <s v="RN"/>
    <n v="1"/>
    <x v="1"/>
    <x v="2"/>
    <n v="0"/>
    <n v="0"/>
    <n v="23"/>
    <n v="23"/>
    <x v="1"/>
    <x v="0"/>
    <n v="1112"/>
    <n v="1112"/>
    <n v="0"/>
    <n v="0"/>
    <n v="0"/>
    <n v="440"/>
    <n v="0"/>
    <n v="0"/>
    <n v="0"/>
    <n v="8"/>
    <n v="0"/>
    <n v="0"/>
    <s v="CP"/>
    <n v="1"/>
    <s v="FD"/>
    <s v="E"/>
    <n v="1"/>
    <n v="4"/>
    <n v="0"/>
    <n v="0"/>
    <n v="100"/>
    <d v="2020-07-30T00:00:00"/>
    <n v="24600"/>
    <n v="165334"/>
    <n v="189900"/>
    <n v="236000"/>
    <n v="885"/>
    <n v="46638.82417142456"/>
    <n v="155833.95000000001"/>
    <n v="2251"/>
    <n v="-4503"/>
    <n v="-5500.8317999999999"/>
    <n v="69367.508536000008"/>
    <n v="0"/>
    <n v="38508.992279999999"/>
    <n v="16083.5344"/>
    <n v="0"/>
    <n v="-106154.511"/>
    <n v="212525.46658742457"/>
    <n v="0.90053163808230752"/>
    <n v="0.94889070359879057"/>
    <n v="0.91974816281148053"/>
    <n v="0.95331699902534994"/>
    <n v="0.93897388656927183"/>
    <n v="199823.33758684172"/>
    <n v="0.84670905757136328"/>
    <n v="-36176.662413158279"/>
    <n v="1308750903.355619"/>
  </r>
  <r>
    <n v="23092233405"/>
    <n v="0.37"/>
    <n v="15910"/>
    <n v="0"/>
    <s v="GV"/>
    <s v="GV"/>
    <n v="4"/>
    <s v="RES"/>
    <n v="378500"/>
    <n v="45400"/>
    <n v="0.37"/>
    <n v="-0.99425227334400001"/>
    <n v="0"/>
    <n v="0"/>
    <n v="0"/>
    <n v="13398.7528"/>
    <n v="63902.980100000001"/>
    <n v="50581.239668627997"/>
    <s v="CP"/>
    <n v="2"/>
    <x v="0"/>
    <x v="3"/>
    <n v="0"/>
    <n v="0"/>
    <n v="43"/>
    <n v="44"/>
    <x v="4"/>
    <x v="4"/>
    <n v="2928"/>
    <n v="1907"/>
    <n v="1021"/>
    <n v="0"/>
    <n v="0"/>
    <n v="552"/>
    <n v="0"/>
    <n v="0"/>
    <n v="0"/>
    <n v="8"/>
    <n v="0"/>
    <n v="0"/>
    <s v="SH"/>
    <n v="1"/>
    <s v="FD"/>
    <s v="E"/>
    <n v="1"/>
    <n v="3"/>
    <n v="0"/>
    <n v="31800"/>
    <n v="100"/>
    <d v="2020-08-11T00:00:00"/>
    <n v="26000"/>
    <n v="461356"/>
    <n v="487400"/>
    <n v="372500"/>
    <n v="873"/>
    <n v="58739.857057830588"/>
    <n v="155833.95000000001"/>
    <n v="20768"/>
    <n v="22342"/>
    <n v="-10284.1638"/>
    <n v="182651.13758400001"/>
    <n v="0"/>
    <n v="48311.281223999998"/>
    <n v="16083.5344"/>
    <n v="26928.402180000001"/>
    <n v="-104715.1278"/>
    <n v="416658.87084583053"/>
    <n v="1.1185473042841088"/>
    <n v="0.93979103106061679"/>
    <n v="0.94546156904349943"/>
    <n v="0.9474610576206125"/>
    <n v="0.92848762814113772"/>
    <n v="391784.47019818943"/>
    <n v="1.0517703897937971"/>
    <n v="19284.470198189432"/>
    <n v="371890790.82485634"/>
  </r>
  <r>
    <n v="23091442431"/>
    <n v="0.28999999999999998"/>
    <n v="12445"/>
    <n v="0"/>
    <s v="GV"/>
    <s v="GV"/>
    <n v="4"/>
    <s v="RES"/>
    <n v="226200"/>
    <n v="40400"/>
    <n v="0.28999999999999998"/>
    <n v="-1.237874356002"/>
    <n v="0"/>
    <n v="0"/>
    <n v="0"/>
    <n v="13398.7528"/>
    <n v="63902.980100000001"/>
    <n v="47317.007606475003"/>
    <s v="RN"/>
    <n v="1"/>
    <x v="1"/>
    <x v="3"/>
    <n v="0"/>
    <n v="0"/>
    <n v="13"/>
    <n v="13"/>
    <x v="7"/>
    <x v="0"/>
    <n v="1228"/>
    <n v="1228"/>
    <n v="0"/>
    <n v="0"/>
    <n v="0"/>
    <n v="532"/>
    <n v="0"/>
    <n v="0"/>
    <n v="0"/>
    <n v="8"/>
    <n v="0"/>
    <n v="0"/>
    <s v="CP"/>
    <n v="1"/>
    <s v="HP"/>
    <s v="E"/>
    <n v="1"/>
    <n v="3"/>
    <n v="0"/>
    <n v="0"/>
    <n v="100"/>
    <d v="2020-08-13T00:00:00"/>
    <n v="23100"/>
    <n v="198419"/>
    <n v="221500"/>
    <n v="250000"/>
    <n v="871"/>
    <n v="54949.113177478881"/>
    <n v="155833.95000000001"/>
    <n v="2251"/>
    <n v="22342"/>
    <n v="-3109.1657999999998"/>
    <n v="76603.687484000009"/>
    <n v="0"/>
    <n v="46560.872484"/>
    <n v="16083.5344"/>
    <n v="0"/>
    <n v="-104475.2306"/>
    <n v="267039.76114547893"/>
    <n v="1.0681590445819158"/>
    <n v="0.94889070359879057"/>
    <n v="0.94546156904349943"/>
    <n v="0.93805509262653142"/>
    <n v="0.93897388656927183"/>
    <n v="251777.18716984545"/>
    <n v="1.0071087486793817"/>
    <n v="1777.1871698454488"/>
    <n v="3158394.2366632763"/>
  </r>
  <r>
    <n v="23092422410"/>
    <n v="0.33"/>
    <n v="14523"/>
    <n v="0"/>
    <s v="GV"/>
    <s v="GV"/>
    <n v="4"/>
    <s v="RES"/>
    <n v="144200"/>
    <n v="41200"/>
    <n v="0.33"/>
    <n v="-1.1086626245219999"/>
    <n v="0"/>
    <n v="0"/>
    <n v="0"/>
    <n v="13398.7528"/>
    <n v="63902.980100000001"/>
    <n v="49048.283655435996"/>
    <s v="TD"/>
    <n v="1"/>
    <x v="4"/>
    <x v="2"/>
    <n v="0"/>
    <n v="0"/>
    <n v="53"/>
    <n v="93"/>
    <x v="8"/>
    <x v="0"/>
    <n v="1376"/>
    <n v="926"/>
    <n v="0"/>
    <n v="450"/>
    <n v="476"/>
    <n v="0"/>
    <n v="0"/>
    <n v="0"/>
    <n v="0"/>
    <n v="8"/>
    <n v="1"/>
    <n v="0"/>
    <s v="CP"/>
    <n v="1"/>
    <s v="FD"/>
    <s v="E"/>
    <n v="0"/>
    <n v="3"/>
    <n v="0"/>
    <n v="0"/>
    <n v="100"/>
    <d v="2020-08-17T00:00:00"/>
    <n v="23600"/>
    <n v="121277"/>
    <n v="144900"/>
    <n v="165000"/>
    <n v="867"/>
    <n v="56959.639378691951"/>
    <n v="155833.95000000001"/>
    <n v="10733"/>
    <n v="-4503"/>
    <n v="-12675.8298"/>
    <n v="85836.053727999999"/>
    <n v="-12194.658000000001"/>
    <n v="0"/>
    <n v="16083.5344"/>
    <n v="0"/>
    <n v="-103995.4362"/>
    <n v="192077.25350669195"/>
    <n v="1.1641045667072238"/>
    <n v="0.93029096284873303"/>
    <n v="0.91974816281148053"/>
    <n v="0.89043830049531381"/>
    <n v="0.93897388656927183"/>
    <n v="176684.72563994295"/>
    <n v="1.0708165190299572"/>
    <n v="11684.725639942946"/>
    <n v="136532813.28074008"/>
  </r>
  <r>
    <n v="23092332495"/>
    <n v="0.24"/>
    <n v="10658"/>
    <n v="0"/>
    <s v="GV"/>
    <s v="GV"/>
    <n v="4"/>
    <s v="RES"/>
    <n v="174900"/>
    <n v="40000"/>
    <n v="0.24"/>
    <n v="-1.4271163556399999"/>
    <n v="0"/>
    <n v="0"/>
    <n v="0"/>
    <n v="13398.7528"/>
    <n v="63902.980100000001"/>
    <n v="44781.400833940999"/>
    <s v="RN"/>
    <n v="1"/>
    <x v="4"/>
    <x v="2"/>
    <n v="0"/>
    <n v="0"/>
    <n v="48"/>
    <n v="63"/>
    <x v="2"/>
    <x v="1"/>
    <n v="1512"/>
    <n v="1512"/>
    <n v="0"/>
    <n v="0"/>
    <n v="0"/>
    <n v="336"/>
    <n v="0"/>
    <n v="0"/>
    <n v="168"/>
    <n v="5"/>
    <n v="0"/>
    <n v="0"/>
    <s v="CP"/>
    <n v="1"/>
    <s v="BH"/>
    <s v="E"/>
    <n v="0"/>
    <n v="3"/>
    <n v="0"/>
    <n v="0"/>
    <n v="100"/>
    <d v="2020-08-18T00:00:00"/>
    <n v="22900"/>
    <n v="147439"/>
    <n v="170300"/>
    <n v="225000"/>
    <n v="866"/>
    <n v="52004.519878673433"/>
    <n v="155833.95000000001"/>
    <n v="10733"/>
    <n v="-4503"/>
    <n v="-11479.996799999999"/>
    <n v="94319.849736000004"/>
    <n v="0"/>
    <n v="29406.866832"/>
    <n v="10052.209000000001"/>
    <n v="0"/>
    <n v="-103875.48759999999"/>
    <n v="232491.91104667337"/>
    <n v="1.0332973824296594"/>
    <n v="0.93029096284873303"/>
    <n v="0.91974816281148053"/>
    <n v="0.91535194202033021"/>
    <n v="0.94249369191070453"/>
    <n v="215513.30342455109"/>
    <n v="0.95783690410911593"/>
    <n v="-9486.6965754489065"/>
    <n v="89997411.914634004"/>
  </r>
  <r>
    <n v="23092722410"/>
    <n v="0.61"/>
    <n v="26405"/>
    <n v="0"/>
    <s v="GV"/>
    <s v="GV"/>
    <n v="4"/>
    <s v="RES"/>
    <n v="122000"/>
    <n v="47000"/>
    <n v="0.61"/>
    <n v="-0.49429632181499999"/>
    <n v="0"/>
    <n v="0"/>
    <n v="0"/>
    <n v="13398.7528"/>
    <n v="63902.980100000001"/>
    <n v="57280.025874054998"/>
    <s v="TD"/>
    <n v="1"/>
    <x v="3"/>
    <x v="2"/>
    <n v="0"/>
    <n v="0"/>
    <n v="57"/>
    <n v="103"/>
    <x v="3"/>
    <x v="3"/>
    <n v="927"/>
    <n v="927"/>
    <n v="0"/>
    <n v="0"/>
    <n v="463"/>
    <n v="0"/>
    <n v="0"/>
    <n v="272"/>
    <n v="0"/>
    <n v="5"/>
    <n v="1"/>
    <n v="0"/>
    <s v="CP"/>
    <n v="1"/>
    <s v="BH"/>
    <s v="E"/>
    <n v="0"/>
    <n v="1"/>
    <n v="0"/>
    <n v="11700"/>
    <n v="100"/>
    <d v="2020-08-18T00:00:00"/>
    <n v="26900"/>
    <n v="102052"/>
    <n v="129000"/>
    <n v="200000"/>
    <n v="866"/>
    <n v="66519.139391470206"/>
    <n v="155833.95000000001"/>
    <n v="-28558"/>
    <n v="-4503"/>
    <n v="-13632.4962"/>
    <n v="57827.050731000003"/>
    <n v="0"/>
    <n v="0"/>
    <n v="10052.209000000001"/>
    <n v="9907.61967"/>
    <n v="-103875.48759999999"/>
    <n v="149570.98499247024"/>
    <n v="0.74785492496235118"/>
    <n v="0.89909171974485158"/>
    <n v="0.91974816281148053"/>
    <n v="0.89161307203578499"/>
    <n v="0.87336335356423944"/>
    <n v="134008.73381075612"/>
    <n v="0.67004366905378065"/>
    <n v="-65991.266189243877"/>
    <n v="4354847213.2596426"/>
  </r>
  <r>
    <n v="23092332434"/>
    <n v="0.26"/>
    <n v="11307"/>
    <n v="0"/>
    <s v="GV"/>
    <s v="GV"/>
    <n v="4"/>
    <s v="RES"/>
    <n v="149600"/>
    <n v="40200"/>
    <n v="0.26"/>
    <n v="-1.347073647967"/>
    <n v="0"/>
    <n v="0"/>
    <n v="0"/>
    <n v="13398.7528"/>
    <n v="63902.980100000001"/>
    <n v="45853.873287501003"/>
    <s v="CO"/>
    <n v="2"/>
    <x v="1"/>
    <x v="2"/>
    <n v="0"/>
    <n v="0"/>
    <n v="50"/>
    <n v="75"/>
    <x v="9"/>
    <x v="0"/>
    <n v="1216"/>
    <n v="808"/>
    <n v="408"/>
    <n v="0"/>
    <n v="808"/>
    <n v="0"/>
    <n v="0"/>
    <n v="0"/>
    <n v="420"/>
    <n v="6"/>
    <n v="0"/>
    <n v="0"/>
    <s v="CP"/>
    <n v="1"/>
    <s v="HP"/>
    <s v="G"/>
    <n v="1"/>
    <n v="4"/>
    <n v="0"/>
    <n v="4700"/>
    <n v="100"/>
    <d v="2020-08-21T00:00:00"/>
    <n v="23000"/>
    <n v="146750"/>
    <n v="169800"/>
    <n v="199000"/>
    <n v="863"/>
    <n v="53249.979243317037"/>
    <n v="155833.95000000001"/>
    <n v="2251"/>
    <n v="-4503"/>
    <n v="-11958.33"/>
    <n v="75855.117247999995"/>
    <n v="0"/>
    <n v="0"/>
    <n v="12062.650799999999"/>
    <n v="3979.9839699999998"/>
    <n v="-103515.6418"/>
    <n v="183255.70946131705"/>
    <n v="0.92088296211717113"/>
    <n v="0.94889070359879057"/>
    <n v="0.91974816281148053"/>
    <n v="0.93121896872088394"/>
    <n v="0.93897388656927183"/>
    <n v="171290.56492917231"/>
    <n v="0.86075660768428297"/>
    <n v="-27709.435070827691"/>
    <n v="767812791.94441557"/>
  </r>
  <r>
    <n v="23091443464"/>
    <n v="0.21"/>
    <n v="9292"/>
    <n v="0"/>
    <s v="GV"/>
    <s v="GV"/>
    <n v="4"/>
    <s v="RES"/>
    <n v="173800"/>
    <n v="43800"/>
    <n v="0.21"/>
    <n v="-1.5606477482650001"/>
    <n v="0"/>
    <n v="0"/>
    <n v="0"/>
    <n v="13398.7528"/>
    <n v="63902.980100000001"/>
    <n v="42992.246713125001"/>
    <s v="RN"/>
    <n v="1"/>
    <x v="1"/>
    <x v="2"/>
    <n v="0"/>
    <n v="0"/>
    <n v="43"/>
    <n v="45"/>
    <x v="5"/>
    <x v="0"/>
    <n v="1424"/>
    <n v="1424"/>
    <n v="0"/>
    <n v="0"/>
    <n v="0"/>
    <n v="320"/>
    <n v="0"/>
    <n v="720"/>
    <n v="0"/>
    <n v="8"/>
    <n v="0"/>
    <n v="0"/>
    <s v="CP"/>
    <n v="1"/>
    <s v="FD"/>
    <s v="G"/>
    <n v="1"/>
    <n v="3"/>
    <n v="0"/>
    <n v="0"/>
    <n v="100"/>
    <d v="2020-08-26T00:00:00"/>
    <n v="25100"/>
    <n v="190045"/>
    <n v="215100"/>
    <n v="250000"/>
    <n v="858"/>
    <n v="49926.780028885936"/>
    <n v="155833.95000000001"/>
    <n v="2251"/>
    <n v="-4503"/>
    <n v="-10284.1638"/>
    <n v="88830.334671999997"/>
    <n v="0"/>
    <n v="28006.539840000001"/>
    <n v="16083.5344"/>
    <n v="0"/>
    <n v="-102915.8988"/>
    <n v="223229.07634088592"/>
    <n v="0.89291630536354372"/>
    <n v="0.94889070359879057"/>
    <n v="0.91974816281148053"/>
    <n v="0.95156852894116195"/>
    <n v="0.93897388656927183"/>
    <n v="209789.64134027663"/>
    <n v="0.83915856536110656"/>
    <n v="-40210.358659723366"/>
    <n v="1616872943.5435898"/>
  </r>
  <r>
    <n v="23092423536"/>
    <n v="0"/>
    <n v="9989"/>
    <n v="0"/>
    <s v="GV"/>
    <s v="GV"/>
    <n v="4"/>
    <s v="RES"/>
    <n v="239300"/>
    <n v="39500"/>
    <n v="0.23"/>
    <n v="-1.4696759700590001"/>
    <n v="0"/>
    <n v="0"/>
    <n v="0"/>
    <n v="13398.7528"/>
    <n v="63902.980100000001"/>
    <n v="44211.155081080004"/>
    <s v="RN"/>
    <n v="1"/>
    <x v="2"/>
    <x v="0"/>
    <n v="0"/>
    <n v="0"/>
    <n v="3"/>
    <n v="3"/>
    <x v="0"/>
    <x v="0"/>
    <n v="1300"/>
    <n v="1300"/>
    <n v="0"/>
    <n v="0"/>
    <n v="0"/>
    <n v="400"/>
    <n v="0"/>
    <n v="0"/>
    <n v="0"/>
    <n v="8"/>
    <n v="0"/>
    <n v="0"/>
    <s v="CP"/>
    <n v="1"/>
    <s v="HP"/>
    <s v="E"/>
    <n v="1"/>
    <n v="3"/>
    <n v="0"/>
    <n v="0"/>
    <n v="100"/>
    <d v="2020-08-27T00:00:00"/>
    <n v="22600"/>
    <n v="234130"/>
    <n v="256700"/>
    <n v="255000"/>
    <n v="857"/>
    <n v="51342.29502553949"/>
    <n v="155833.95000000001"/>
    <n v="9808"/>
    <n v="25780"/>
    <n v="-717.49979999999994"/>
    <n v="81095.108900000007"/>
    <n v="0"/>
    <n v="35008.174800000001"/>
    <n v="16083.5344"/>
    <n v="0"/>
    <n v="-102795.95019999999"/>
    <n v="271437.6131255395"/>
    <n v="1.0644612279432921"/>
    <n v="0.93645298159011592"/>
    <n v="0.94231068710026933"/>
    <n v="0.94035194935713262"/>
    <n v="0.93897388656927183"/>
    <n v="255021.71126133067"/>
    <n v="1.0000851422012966"/>
    <n v="21.711261330667185"/>
    <n v="471.37886856852418"/>
  </r>
  <r>
    <n v="23092244403"/>
    <n v="0.25"/>
    <n v="10861"/>
    <n v="0"/>
    <s v="GV"/>
    <s v="GV"/>
    <n v="4"/>
    <s v="RES"/>
    <n v="221300"/>
    <n v="44900"/>
    <n v="0.25"/>
    <n v="-1.38629436112"/>
    <n v="0"/>
    <n v="0"/>
    <n v="0"/>
    <n v="13398.7528"/>
    <n v="63902.980100000001"/>
    <n v="45328.364647321003"/>
    <s v="RN"/>
    <n v="1"/>
    <x v="1"/>
    <x v="2"/>
    <n v="0"/>
    <n v="0"/>
    <n v="48"/>
    <n v="63"/>
    <x v="2"/>
    <x v="4"/>
    <n v="2640"/>
    <n v="1320"/>
    <n v="0"/>
    <n v="1320"/>
    <n v="0"/>
    <n v="0"/>
    <n v="0"/>
    <n v="0"/>
    <n v="131"/>
    <n v="9"/>
    <n v="0"/>
    <n v="0"/>
    <s v="CL"/>
    <n v="1"/>
    <s v="FD"/>
    <s v="G"/>
    <n v="0"/>
    <n v="4"/>
    <n v="0"/>
    <n v="10800"/>
    <n v="100"/>
    <d v="2020-09-09T00:00:00"/>
    <n v="25700"/>
    <n v="234611"/>
    <n v="260300"/>
    <n v="275000"/>
    <n v="844"/>
    <n v="52639.70747834933"/>
    <n v="155833.95000000001"/>
    <n v="2251"/>
    <n v="-4503"/>
    <n v="-11479.996799999999"/>
    <n v="164685.45191999999"/>
    <n v="-35770.996800000001"/>
    <n v="0"/>
    <n v="18093.976200000001"/>
    <n v="9145.4950800000006"/>
    <n v="-101236.61839999999"/>
    <n v="249658.96867834934"/>
    <n v="0.90785079519399758"/>
    <n v="0.94889070359879057"/>
    <n v="0.91974816281148053"/>
    <n v="0.91535194202033021"/>
    <n v="0.92848762814113772"/>
    <n v="231713.38442877779"/>
    <n v="0.84259412519555565"/>
    <n v="-43286.61557122221"/>
    <n v="1873731087.6107771"/>
  </r>
  <r>
    <n v="23092241447"/>
    <n v="0.18"/>
    <n v="8047"/>
    <n v="0"/>
    <s v="GV"/>
    <s v="GV"/>
    <n v="4"/>
    <s v="RES"/>
    <n v="211800"/>
    <n v="39000"/>
    <n v="0.18"/>
    <n v="-1.7147984280919999"/>
    <n v="0"/>
    <n v="0"/>
    <n v="0"/>
    <n v="13398.7528"/>
    <n v="63902.980100000001"/>
    <n v="40926.819860167998"/>
    <s v="TD"/>
    <n v="1"/>
    <x v="1"/>
    <x v="3"/>
    <n v="0"/>
    <n v="0"/>
    <n v="49"/>
    <n v="68"/>
    <x v="6"/>
    <x v="1"/>
    <n v="1777"/>
    <n v="1183"/>
    <n v="0"/>
    <n v="594"/>
    <n v="589"/>
    <n v="392"/>
    <n v="0"/>
    <n v="0"/>
    <n v="252"/>
    <n v="9"/>
    <n v="0"/>
    <n v="1"/>
    <s v="CP"/>
    <n v="1"/>
    <s v="HP"/>
    <s v="E"/>
    <n v="1"/>
    <n v="3"/>
    <n v="0"/>
    <n v="0"/>
    <n v="100"/>
    <d v="2020-09-10T00:00:00"/>
    <n v="22300"/>
    <n v="205368"/>
    <n v="227700"/>
    <n v="299900"/>
    <n v="843"/>
    <n v="47528.20540119947"/>
    <n v="155833.95000000001"/>
    <n v="2251"/>
    <n v="22342"/>
    <n v="-11719.163399999999"/>
    <n v="110850.775781"/>
    <n v="-16096.948560000001"/>
    <n v="34308.011304"/>
    <n v="18093.976200000001"/>
    <n v="0"/>
    <n v="-101116.6698"/>
    <n v="262275.13692619943"/>
    <n v="0.87454197041080173"/>
    <n v="0.94889070359879057"/>
    <n v="0.94546156904349943"/>
    <n v="0.94654220114707954"/>
    <n v="0.94249369191070453"/>
    <n v="248072.16230098734"/>
    <n v="0.82718293531506282"/>
    <n v="-51827.837699012656"/>
    <n v="2686124760.5551977"/>
  </r>
  <r>
    <n v="23092231417"/>
    <n v="0.17"/>
    <n v="0"/>
    <n v="0"/>
    <s v="GV"/>
    <s v="GV"/>
    <n v="4"/>
    <s v="RES"/>
    <n v="133600"/>
    <n v="43000"/>
    <n v="0.17"/>
    <n v="-1.771956841932"/>
    <n v="0"/>
    <n v="0"/>
    <n v="0"/>
    <n v="13398.7528"/>
    <n v="63902.980100000001"/>
    <n v="40160.968402685998"/>
    <s v="TD"/>
    <n v="1"/>
    <x v="4"/>
    <x v="2"/>
    <n v="0"/>
    <n v="0"/>
    <n v="49"/>
    <n v="65"/>
    <x v="6"/>
    <x v="0"/>
    <n v="1014"/>
    <n v="1014"/>
    <n v="0"/>
    <n v="0"/>
    <n v="0"/>
    <n v="0"/>
    <n v="364"/>
    <n v="0"/>
    <n v="384"/>
    <n v="5"/>
    <n v="0"/>
    <n v="0"/>
    <s v="CP"/>
    <n v="1"/>
    <s v="FD"/>
    <s v="E"/>
    <n v="0"/>
    <n v="3"/>
    <n v="0"/>
    <n v="0"/>
    <n v="100"/>
    <d v="2020-09-11T00:00:00"/>
    <n v="24600"/>
    <n v="102760"/>
    <n v="127400"/>
    <n v="200000"/>
    <n v="842"/>
    <n v="46638.82417142456"/>
    <n v="155833.95000000001"/>
    <n v="10733"/>
    <n v="-4503"/>
    <n v="-11719.163399999999"/>
    <n v="63254.184942"/>
    <n v="0"/>
    <n v="0"/>
    <n v="10052.209000000001"/>
    <n v="0"/>
    <n v="-100996.7212"/>
    <n v="169293.28351342454"/>
    <n v="0.84646641756712271"/>
    <n v="0.93029096284873303"/>
    <n v="0.91974816281148053"/>
    <n v="0.94654220114707954"/>
    <n v="0.93897388656927183"/>
    <n v="158101.10195455249"/>
    <n v="0.79050550977276246"/>
    <n v="-41898.89804544751"/>
    <n v="1755517657.4228051"/>
  </r>
  <r>
    <n v="23091911407"/>
    <n v="0.39"/>
    <n v="16798"/>
    <n v="0"/>
    <s v="GV"/>
    <s v="GV"/>
    <n v="4"/>
    <s v="RES"/>
    <n v="280600"/>
    <n v="41200"/>
    <n v="0.39"/>
    <n v="-0.94160853985799997"/>
    <n v="0"/>
    <n v="0"/>
    <n v="0"/>
    <n v="13398.7528"/>
    <n v="63902.980100000001"/>
    <n v="51286.600040067999"/>
    <s v="RN"/>
    <n v="1"/>
    <x v="0"/>
    <x v="2"/>
    <n v="0"/>
    <n v="0"/>
    <n v="45"/>
    <n v="51"/>
    <x v="5"/>
    <x v="1"/>
    <n v="1704"/>
    <n v="1704"/>
    <n v="0"/>
    <n v="0"/>
    <n v="180"/>
    <n v="504"/>
    <n v="0"/>
    <n v="0"/>
    <n v="0"/>
    <n v="10"/>
    <n v="0"/>
    <n v="1"/>
    <s v="CL"/>
    <n v="1"/>
    <s v="FD"/>
    <s v="E"/>
    <n v="1"/>
    <n v="3"/>
    <n v="0"/>
    <n v="0"/>
    <n v="100"/>
    <d v="2020-09-15T00:00:00"/>
    <n v="23600"/>
    <n v="295902"/>
    <n v="319500"/>
    <n v="275000"/>
    <n v="838"/>
    <n v="59558.99015271086"/>
    <n v="155833.95000000001"/>
    <n v="20768"/>
    <n v="-4503"/>
    <n v="-10762.496999999999"/>
    <n v="106296.973512"/>
    <n v="0"/>
    <n v="44110.300248"/>
    <n v="20104.418000000001"/>
    <n v="0"/>
    <n v="-100516.9268"/>
    <n v="290890.20811271085"/>
    <n v="1.0577825749553122"/>
    <n v="0.93979103106061679"/>
    <n v="0.91974816281148053"/>
    <n v="0.95156852894116195"/>
    <n v="0.94249369191070453"/>
    <n v="272971.47417530493"/>
    <n v="0.99262354245565432"/>
    <n v="-2028.5258246950689"/>
    <n v="4114917.0214548092"/>
  </r>
  <r>
    <n v="23092241539"/>
    <n v="0.17"/>
    <n v="7200"/>
    <n v="0"/>
    <s v="GV"/>
    <s v="GV"/>
    <n v="4"/>
    <s v="RES"/>
    <n v="111100"/>
    <n v="43000"/>
    <n v="0.17"/>
    <n v="-1.771956841932"/>
    <n v="0"/>
    <n v="0"/>
    <n v="0"/>
    <n v="13398.7528"/>
    <n v="63902.980100000001"/>
    <n v="40160.968402685998"/>
    <s v="TD"/>
    <n v="1"/>
    <x v="1"/>
    <x v="4"/>
    <n v="0"/>
    <n v="0"/>
    <n v="49"/>
    <n v="68"/>
    <x v="6"/>
    <x v="3"/>
    <n v="1000"/>
    <n v="1000"/>
    <n v="0"/>
    <n v="0"/>
    <n v="0"/>
    <n v="480"/>
    <n v="0"/>
    <n v="0"/>
    <n v="0"/>
    <n v="5"/>
    <n v="0"/>
    <n v="0"/>
    <s v="CP"/>
    <n v="1"/>
    <s v="FD"/>
    <s v="E"/>
    <n v="0"/>
    <n v="2"/>
    <n v="0"/>
    <n v="0"/>
    <n v="100"/>
    <d v="2020-09-15T00:00:00"/>
    <n v="24600"/>
    <n v="91763"/>
    <n v="116400"/>
    <n v="180000"/>
    <n v="838"/>
    <n v="46638.82417142456"/>
    <n v="155833.95000000001"/>
    <n v="2251"/>
    <n v="-45357"/>
    <n v="-11719.163399999999"/>
    <n v="62380.853000000003"/>
    <n v="0"/>
    <n v="42009.809760000004"/>
    <n v="10052.209000000001"/>
    <n v="0"/>
    <n v="-100516.9268"/>
    <n v="161573.5557314246"/>
    <n v="0.89763086517458113"/>
    <n v="0.94889070359879057"/>
    <n v="0.9059988268293695"/>
    <n v="0.94654220114707954"/>
    <n v="0.87336335356423944"/>
    <n v="148437.42712258719"/>
    <n v="0.82465237290326221"/>
    <n v="-31562.572877412807"/>
    <n v="996196006.6419946"/>
  </r>
  <r>
    <n v="23091513004"/>
    <n v="0.64"/>
    <n v="0"/>
    <n v="0"/>
    <s v="GV"/>
    <s v="GV"/>
    <n v="4"/>
    <s v="RES"/>
    <n v="123000"/>
    <n v="42400"/>
    <n v="0.64"/>
    <n v="-0.44628710262799998"/>
    <n v="0"/>
    <n v="0"/>
    <n v="0"/>
    <n v="13398.7528"/>
    <n v="63902.980100000001"/>
    <n v="57923.289534053998"/>
    <s v="TD"/>
    <n v="1"/>
    <x v="1"/>
    <x v="4"/>
    <n v="0"/>
    <n v="0"/>
    <n v="53"/>
    <n v="93"/>
    <x v="8"/>
    <x v="1"/>
    <n v="1632"/>
    <n v="1632"/>
    <n v="0"/>
    <n v="0"/>
    <n v="0"/>
    <n v="0"/>
    <n v="0"/>
    <n v="0"/>
    <n v="120"/>
    <n v="8"/>
    <n v="0"/>
    <n v="0"/>
    <s v="MT"/>
    <n v="1"/>
    <s v="BH"/>
    <s v="E"/>
    <n v="0"/>
    <n v="3"/>
    <n v="0"/>
    <n v="0"/>
    <n v="100"/>
    <d v="2020-09-15T00:00:00"/>
    <n v="24300"/>
    <n v="123197"/>
    <n v="147500"/>
    <n v="155000"/>
    <n v="838"/>
    <n v="67266.15974301516"/>
    <n v="155833.95000000001"/>
    <n v="2251"/>
    <n v="-45357"/>
    <n v="-12675.8298"/>
    <n v="101805.552096"/>
    <n v="0"/>
    <n v="0"/>
    <n v="16083.5344"/>
    <n v="0"/>
    <n v="-100516.9268"/>
    <n v="184690.43963901512"/>
    <n v="1.191551223477517"/>
    <n v="0.94889070359879057"/>
    <n v="0.9059988268293695"/>
    <n v="0.89043830049531381"/>
    <n v="0.94249369191070453"/>
    <n v="170276.34459061665"/>
    <n v="1.0985570618749461"/>
    <n v="15276.344590616645"/>
    <n v="233366704.05126244"/>
  </r>
  <r>
    <n v="23092324409"/>
    <n v="0.19"/>
    <n v="8129"/>
    <n v="0"/>
    <s v="GV"/>
    <s v="GV"/>
    <n v="4"/>
    <s v="RES"/>
    <n v="125200"/>
    <n v="39500"/>
    <n v="0.19"/>
    <n v="-1.6607312068219999"/>
    <n v="0"/>
    <n v="0"/>
    <n v="0"/>
    <n v="13398.7528"/>
    <n v="63902.980100000001"/>
    <n v="41651.253192550997"/>
    <s v="BG"/>
    <n v="1"/>
    <x v="1"/>
    <x v="2"/>
    <n v="0"/>
    <n v="0"/>
    <n v="61"/>
    <n v="109"/>
    <x v="10"/>
    <x v="0"/>
    <n v="1192"/>
    <n v="1192"/>
    <n v="0"/>
    <n v="0"/>
    <n v="0"/>
    <n v="0"/>
    <n v="0"/>
    <n v="0"/>
    <n v="120"/>
    <n v="5"/>
    <n v="0"/>
    <n v="1"/>
    <s v="CP"/>
    <n v="1"/>
    <s v="FD"/>
    <s v="O"/>
    <n v="0"/>
    <n v="2"/>
    <n v="0"/>
    <n v="6300"/>
    <n v="100"/>
    <d v="2020-09-17T00:00:00"/>
    <n v="22600"/>
    <n v="109158"/>
    <n v="131800"/>
    <n v="175000"/>
    <n v="836"/>
    <n v="48369.487874125851"/>
    <n v="155833.95000000001"/>
    <n v="2251"/>
    <n v="-4503"/>
    <n v="-14589.1626"/>
    <n v="74357.976775999996"/>
    <n v="0"/>
    <n v="0"/>
    <n v="10052.209000000001"/>
    <n v="5334.8721299999997"/>
    <n v="-100277.02959999999"/>
    <n v="176830.30358012579"/>
    <n v="1.0104588776007188"/>
    <n v="0.94889070359879057"/>
    <n v="0.91974816281148053"/>
    <n v="0.86209247247009169"/>
    <n v="0.93897388656927183"/>
    <n v="162228.7722664582"/>
    <n v="0.92702155580833256"/>
    <n v="-12771.227733541804"/>
    <n v="163104257.82198733"/>
  </r>
  <r>
    <n v="23092424503"/>
    <n v="0.17"/>
    <n v="7493"/>
    <n v="0"/>
    <s v="GV"/>
    <s v="GV"/>
    <n v="4"/>
    <s v="RES"/>
    <n v="216400"/>
    <n v="38800"/>
    <n v="0.17"/>
    <n v="-1.771956841932"/>
    <n v="0"/>
    <n v="0"/>
    <n v="0"/>
    <n v="13398.7528"/>
    <n v="63902.980100000001"/>
    <n v="40160.968402685998"/>
    <s v="RN"/>
    <n v="1"/>
    <x v="1"/>
    <x v="3"/>
    <n v="0"/>
    <n v="0"/>
    <n v="17"/>
    <n v="17"/>
    <x v="1"/>
    <x v="0"/>
    <n v="1079"/>
    <n v="1079"/>
    <n v="0"/>
    <n v="0"/>
    <n v="0"/>
    <n v="520"/>
    <n v="0"/>
    <n v="0"/>
    <n v="200"/>
    <n v="9"/>
    <n v="0"/>
    <n v="0"/>
    <s v="CP"/>
    <n v="1"/>
    <s v="FD"/>
    <s v="G"/>
    <n v="1"/>
    <n v="4"/>
    <n v="0"/>
    <n v="0"/>
    <n v="100"/>
    <d v="2020-09-25T00:00:00"/>
    <n v="22200"/>
    <n v="173785"/>
    <n v="196000"/>
    <n v="244000"/>
    <n v="828"/>
    <n v="46638.82417142456"/>
    <n v="155833.95000000001"/>
    <n v="2251"/>
    <n v="22342"/>
    <n v="-4065.8321999999998"/>
    <n v="67308.940386999995"/>
    <n v="0"/>
    <n v="45510.627240000002"/>
    <n v="18093.976200000001"/>
    <n v="0"/>
    <n v="-99317.440799999997"/>
    <n v="254596.04499842454"/>
    <n v="1.0434264139279694"/>
    <n v="0.94889070359879057"/>
    <n v="0.94546156904349943"/>
    <n v="0.95331699902534994"/>
    <n v="0.93897388656927183"/>
    <n v="241016.09297686533"/>
    <n v="0.9877708728560054"/>
    <n v="-2983.9070231346705"/>
    <n v="8903701.122712411"/>
  </r>
  <r>
    <n v="23092242507"/>
    <n v="0.24"/>
    <n v="10559"/>
    <n v="0"/>
    <s v="GV"/>
    <s v="GV"/>
    <n v="4"/>
    <s v="RES"/>
    <n v="176700"/>
    <n v="39800"/>
    <n v="0.24"/>
    <n v="-1.4271163556399999"/>
    <n v="0"/>
    <n v="0"/>
    <n v="0"/>
    <n v="13398.7528"/>
    <n v="63902.980100000001"/>
    <n v="44781.400833940999"/>
    <s v="RN"/>
    <n v="1"/>
    <x v="2"/>
    <x v="2"/>
    <n v="0"/>
    <n v="0"/>
    <n v="17"/>
    <n v="17"/>
    <x v="1"/>
    <x v="0"/>
    <n v="1128"/>
    <n v="1128"/>
    <n v="0"/>
    <n v="0"/>
    <n v="0"/>
    <n v="520"/>
    <n v="0"/>
    <n v="0"/>
    <n v="100"/>
    <n v="9"/>
    <n v="0"/>
    <n v="0"/>
    <s v="CP"/>
    <n v="1"/>
    <s v="FD"/>
    <s v="G"/>
    <n v="1"/>
    <n v="3"/>
    <n v="0"/>
    <n v="0"/>
    <n v="100"/>
    <d v="2020-09-29T00:00:00"/>
    <n v="22800"/>
    <n v="199145"/>
    <n v="221900"/>
    <n v="250000"/>
    <n v="824"/>
    <n v="52004.519878673433"/>
    <n v="155833.95000000001"/>
    <n v="9808"/>
    <n v="-4503"/>
    <n v="-4065.8321999999998"/>
    <n v="70365.602184000003"/>
    <n v="0"/>
    <n v="45510.627240000002"/>
    <n v="18093.976200000001"/>
    <n v="0"/>
    <n v="-98837.646399999998"/>
    <n v="244210.19690267343"/>
    <n v="0.97684078761069371"/>
    <n v="0.93645298159011592"/>
    <n v="0.91974816281148053"/>
    <n v="0.95331699902534994"/>
    <n v="0.93897388656927183"/>
    <n v="228854.99418336965"/>
    <n v="0.91541997673347864"/>
    <n v="-21145.00581663035"/>
    <n v="447111270.9853313"/>
  </r>
  <r>
    <n v="23092343463"/>
    <n v="0.25"/>
    <n v="10859"/>
    <n v="0"/>
    <s v="GV"/>
    <s v="GV"/>
    <n v="4"/>
    <s v="RES"/>
    <n v="187900"/>
    <n v="40000"/>
    <n v="0.25"/>
    <n v="-1.38629436112"/>
    <n v="0"/>
    <n v="0"/>
    <n v="0"/>
    <n v="13398.7528"/>
    <n v="63902.980100000001"/>
    <n v="45328.364647321003"/>
    <s v="RN"/>
    <n v="1"/>
    <x v="1"/>
    <x v="2"/>
    <n v="0"/>
    <n v="0"/>
    <n v="24"/>
    <n v="24"/>
    <x v="1"/>
    <x v="0"/>
    <n v="1248"/>
    <n v="1248"/>
    <n v="0"/>
    <n v="0"/>
    <n v="0"/>
    <n v="460"/>
    <n v="0"/>
    <n v="72"/>
    <n v="96"/>
    <n v="8"/>
    <n v="0"/>
    <n v="0"/>
    <s v="CP"/>
    <n v="1"/>
    <s v="FD"/>
    <s v="E"/>
    <n v="1"/>
    <n v="4"/>
    <n v="0"/>
    <n v="0"/>
    <n v="100"/>
    <d v="2020-09-29T00:00:00"/>
    <n v="22900"/>
    <n v="183722"/>
    <n v="206600"/>
    <n v="260000"/>
    <n v="824"/>
    <n v="52639.70747834933"/>
    <n v="155833.95000000001"/>
    <n v="2251"/>
    <n v="-4503"/>
    <n v="-5739.9983999999995"/>
    <n v="77851.304543999999"/>
    <n v="0"/>
    <n v="40259.401019999998"/>
    <n v="16083.5344"/>
    <n v="0"/>
    <n v="-98837.646399999998"/>
    <n v="235838.25264234931"/>
    <n v="0.90707020247057424"/>
    <n v="0.94889070359879057"/>
    <n v="0.91974816281148053"/>
    <n v="0.95331699902534994"/>
    <n v="0.93897388656927183"/>
    <n v="221742.77525586452"/>
    <n v="0.85285682790717121"/>
    <n v="-38257.224744135485"/>
    <n v="1463615245.1232924"/>
  </r>
  <r>
    <n v="23092332493"/>
    <n v="0.27"/>
    <n v="11844"/>
    <n v="0"/>
    <s v="GV"/>
    <s v="GV"/>
    <n v="4"/>
    <s v="RES"/>
    <n v="179600"/>
    <n v="40000"/>
    <n v="0.27"/>
    <n v="-1.309333319984"/>
    <n v="0"/>
    <n v="0"/>
    <n v="0"/>
    <n v="13398.7528"/>
    <n v="63902.980100000001"/>
    <n v="46359.546612733997"/>
    <s v="RN"/>
    <n v="1"/>
    <x v="4"/>
    <x v="2"/>
    <n v="0"/>
    <n v="0"/>
    <n v="48"/>
    <n v="59"/>
    <x v="2"/>
    <x v="1"/>
    <n v="1694"/>
    <n v="1694"/>
    <n v="0"/>
    <n v="0"/>
    <n v="0"/>
    <n v="0"/>
    <n v="0"/>
    <n v="252"/>
    <n v="0"/>
    <n v="7"/>
    <n v="1"/>
    <n v="0"/>
    <s v="CP"/>
    <n v="1"/>
    <s v="BH"/>
    <s v="E"/>
    <n v="0"/>
    <n v="3"/>
    <n v="0"/>
    <n v="0"/>
    <n v="100"/>
    <d v="2020-09-30T00:00:00"/>
    <n v="22900"/>
    <n v="155232"/>
    <n v="178100"/>
    <n v="233000"/>
    <n v="823"/>
    <n v="53837.216310592135"/>
    <n v="155833.95000000001"/>
    <n v="10733"/>
    <n v="-4503"/>
    <n v="-11479.996799999999"/>
    <n v="105673.164982"/>
    <n v="0"/>
    <n v="0"/>
    <n v="14073.0926"/>
    <n v="0"/>
    <n v="-98717.697799999994"/>
    <n v="225449.72929259212"/>
    <n v="0.96759540468923655"/>
    <n v="0.93029096284873303"/>
    <n v="0.91974816281148053"/>
    <n v="0.91535194202033021"/>
    <n v="0.94249369191070453"/>
    <n v="208985.40382449375"/>
    <n v="0.8969330636244367"/>
    <n v="-24014.596175506245"/>
    <n v="576700829.4726392"/>
  </r>
  <r>
    <n v="23091433520"/>
    <n v="0.34"/>
    <n v="14810"/>
    <n v="0"/>
    <s v="GV"/>
    <s v="GV"/>
    <n v="4"/>
    <s v="RES"/>
    <n v="8800"/>
    <n v="34400"/>
    <n v="0.34"/>
    <n v="-1.078809661372"/>
    <n v="0"/>
    <n v="0"/>
    <n v="0"/>
    <n v="13398.7528"/>
    <n v="63902.980100000001"/>
    <n v="49448.276129026002"/>
    <s v="TD"/>
    <n v="1"/>
    <x v="4"/>
    <x v="2"/>
    <n v="0"/>
    <n v="0"/>
    <n v="50"/>
    <n v="75"/>
    <x v="9"/>
    <x v="3"/>
    <n v="612"/>
    <n v="612"/>
    <n v="0"/>
    <n v="0"/>
    <n v="0"/>
    <n v="0"/>
    <n v="0"/>
    <n v="0"/>
    <n v="0"/>
    <n v="5"/>
    <n v="0"/>
    <n v="0"/>
    <s v="CP"/>
    <n v="1"/>
    <s v="BH"/>
    <s v="E"/>
    <n v="0"/>
    <n v="2"/>
    <n v="0"/>
    <n v="8100"/>
    <n v="100"/>
    <d v="2020-10-02T00:00:00"/>
    <n v="23600"/>
    <n v="69422"/>
    <n v="93000"/>
    <n v="125000"/>
    <n v="821"/>
    <n v="57424.149558292345"/>
    <n v="155833.95000000001"/>
    <n v="10733"/>
    <n v="-4503"/>
    <n v="-11958.33"/>
    <n v="38177.082036"/>
    <n v="0"/>
    <n v="0"/>
    <n v="10052.209000000001"/>
    <n v="6859.1213099999995"/>
    <n v="-98477.800600000002"/>
    <n v="164140.38130429236"/>
    <n v="1.313123050434339"/>
    <n v="0.93029096284873303"/>
    <n v="0.91974816281148053"/>
    <n v="0.93121896872088394"/>
    <n v="0.87336335356423944"/>
    <n v="149967.73949714817"/>
    <n v="1.1997419159771854"/>
    <n v="24967.73949714817"/>
    <n v="623388015.59745276"/>
  </r>
  <r>
    <n v="23092332484"/>
    <n v="0.25"/>
    <n v="10710"/>
    <n v="0"/>
    <s v="GV"/>
    <s v="GV"/>
    <n v="4"/>
    <s v="RES"/>
    <n v="232000"/>
    <n v="40000"/>
    <n v="0.25"/>
    <n v="-1.38629436112"/>
    <n v="0"/>
    <n v="0"/>
    <n v="0"/>
    <n v="13398.7528"/>
    <n v="63902.980100000001"/>
    <n v="45328.364647321003"/>
    <s v="RN"/>
    <n v="1"/>
    <x v="5"/>
    <x v="2"/>
    <n v="30700"/>
    <n v="0"/>
    <n v="47"/>
    <n v="57"/>
    <x v="2"/>
    <x v="2"/>
    <n v="2130"/>
    <n v="2130"/>
    <n v="0"/>
    <n v="0"/>
    <n v="0"/>
    <n v="440"/>
    <n v="0"/>
    <n v="0"/>
    <n v="0"/>
    <n v="11"/>
    <n v="0"/>
    <n v="1"/>
    <s v="CP"/>
    <n v="1"/>
    <s v="FD"/>
    <s v="E"/>
    <n v="1"/>
    <n v="4"/>
    <n v="0"/>
    <n v="9000"/>
    <n v="100"/>
    <d v="2020-10-16T00:00:00"/>
    <n v="22900"/>
    <n v="364831"/>
    <n v="387700"/>
    <n v="250000"/>
    <n v="807"/>
    <n v="52639.70747834933"/>
    <n v="155833.95000000001"/>
    <n v="56323"/>
    <n v="-4503"/>
    <n v="-11240.8302"/>
    <n v="132871.21689000001"/>
    <n v="0"/>
    <n v="38508.992279999999"/>
    <n v="22114.859800000002"/>
    <n v="7621.2458999999999"/>
    <n v="-96798.520199999999"/>
    <n v="353370.62194834929"/>
    <n v="1.4134824877933971"/>
    <n v="0.75131299272793206"/>
    <n v="0.91974816281148053"/>
    <n v="0.91535194202033021"/>
    <n v="0.94539091427335964"/>
    <n v="312008.94506528467"/>
    <n v="1.2480357802611386"/>
    <n v="62008.945065284672"/>
    <n v="3845109268.1094923"/>
  </r>
  <r>
    <n v="23092323420"/>
    <n v="0.09"/>
    <n v="3882"/>
    <n v="0"/>
    <s v="GV"/>
    <s v="GV"/>
    <n v="4"/>
    <s v="RES"/>
    <n v="63600"/>
    <n v="37600"/>
    <n v="0.09"/>
    <n v="-2.4079456086520001"/>
    <n v="0"/>
    <n v="0"/>
    <n v="0"/>
    <n v="13398.7528"/>
    <n v="63902.980100000001"/>
    <n v="31639.512133828001"/>
    <s v="TD"/>
    <n v="1"/>
    <x v="3"/>
    <x v="4"/>
    <n v="0"/>
    <n v="0"/>
    <n v="51"/>
    <n v="83"/>
    <x v="9"/>
    <x v="3"/>
    <n v="687"/>
    <n v="687"/>
    <n v="0"/>
    <n v="0"/>
    <n v="0"/>
    <n v="0"/>
    <n v="0"/>
    <n v="0"/>
    <n v="0"/>
    <n v="5"/>
    <n v="0"/>
    <n v="0"/>
    <s v="CP"/>
    <n v="0"/>
    <s v="SP"/>
    <s v="E"/>
    <n v="0"/>
    <n v="2"/>
    <n v="0"/>
    <n v="0"/>
    <n v="100"/>
    <d v="2020-10-19T00:00:00"/>
    <n v="21500"/>
    <n v="48874"/>
    <n v="70400"/>
    <n v="120000"/>
    <n v="804"/>
    <n v="36742.880014331698"/>
    <n v="155833.95000000001"/>
    <n v="-28558"/>
    <n v="-45357"/>
    <n v="-12197.496599999999"/>
    <n v="42855.646011000004"/>
    <n v="0"/>
    <n v="0"/>
    <n v="10052.209000000001"/>
    <n v="0"/>
    <n v="-96438.674400000004"/>
    <n v="62933.514025331693"/>
    <n v="0.52444595021109741"/>
    <n v="0.89909171974485158"/>
    <n v="0.9059988268293695"/>
    <n v="0.93121896872088394"/>
    <n v="0.87336335356423944"/>
    <n v="56792.349529804713"/>
    <n v="0.47326957941503928"/>
    <n v="-63207.650470195287"/>
    <n v="3995207077.9623785"/>
  </r>
  <r>
    <n v="23092214428"/>
    <n v="0.19"/>
    <n v="8395"/>
    <n v="0"/>
    <s v="GV"/>
    <s v="GV"/>
    <n v="4"/>
    <s v="RES"/>
    <n v="240600"/>
    <n v="43500"/>
    <n v="0.19"/>
    <n v="-1.6607312068219999"/>
    <n v="0"/>
    <n v="0"/>
    <n v="0"/>
    <n v="13398.7528"/>
    <n v="63902.980100000001"/>
    <n v="41651.253192550997"/>
    <s v="RN"/>
    <n v="1"/>
    <x v="2"/>
    <x v="3"/>
    <n v="0"/>
    <n v="0"/>
    <n v="49"/>
    <n v="68"/>
    <x v="6"/>
    <x v="4"/>
    <n v="2557"/>
    <n v="1364"/>
    <n v="0"/>
    <n v="1193"/>
    <n v="0"/>
    <n v="384"/>
    <n v="0"/>
    <n v="0"/>
    <n v="160"/>
    <n v="8"/>
    <n v="0"/>
    <n v="0"/>
    <s v="CP"/>
    <n v="1"/>
    <s v="FD"/>
    <s v="G"/>
    <n v="1"/>
    <n v="2"/>
    <n v="0"/>
    <n v="5900"/>
    <n v="100"/>
    <d v="2020-10-20T00:00:00"/>
    <n v="24900"/>
    <n v="274159"/>
    <n v="299100"/>
    <n v="278500"/>
    <n v="803"/>
    <n v="48369.487874125851"/>
    <n v="155833.95000000001"/>
    <n v="9808"/>
    <n v="22342"/>
    <n v="-11719.163399999999"/>
    <n v="159507.841121"/>
    <n v="-32329.393320000003"/>
    <n v="33607.847807999999"/>
    <n v="16083.5344"/>
    <n v="4996.1500900000001"/>
    <n v="-96318.7258"/>
    <n v="310181.5287731259"/>
    <n v="1.113757733476215"/>
    <n v="0.93645298159011592"/>
    <n v="0.94546156904349943"/>
    <n v="0.94654220114707954"/>
    <n v="0.92848762814113772"/>
    <n v="291333.6878199394"/>
    <n v="1.0460814643444862"/>
    <n v="12833.687819939398"/>
    <n v="164703543.05966085"/>
  </r>
  <r>
    <n v="23092612413"/>
    <n v="0.16"/>
    <n v="7000"/>
    <n v="0"/>
    <s v="GV"/>
    <s v="GV"/>
    <n v="4"/>
    <s v="RES"/>
    <n v="247200"/>
    <n v="42800"/>
    <n v="0.16"/>
    <n v="-1.832581463748"/>
    <n v="0"/>
    <n v="0"/>
    <n v="0"/>
    <n v="13398.7528"/>
    <n v="63902.980100000001"/>
    <n v="39348.674081374003"/>
    <s v="RN"/>
    <n v="1"/>
    <x v="0"/>
    <x v="3"/>
    <n v="0"/>
    <n v="0"/>
    <n v="16"/>
    <n v="16"/>
    <x v="1"/>
    <x v="1"/>
    <n v="1551"/>
    <n v="1551"/>
    <n v="0"/>
    <n v="0"/>
    <n v="0"/>
    <n v="444"/>
    <n v="0"/>
    <n v="0"/>
    <n v="144"/>
    <n v="10"/>
    <n v="0"/>
    <n v="0"/>
    <s v="CP"/>
    <n v="1"/>
    <s v="FD"/>
    <s v="G"/>
    <n v="1"/>
    <n v="3"/>
    <n v="0"/>
    <n v="0"/>
    <n v="100"/>
    <d v="2020-10-21T00:00:00"/>
    <n v="24500"/>
    <n v="297007"/>
    <n v="321500"/>
    <n v="287400"/>
    <n v="802"/>
    <n v="45695.50896927961"/>
    <n v="155833.95000000001"/>
    <n v="20768"/>
    <n v="22342"/>
    <n v="-3826.6655999999998"/>
    <n v="96752.703003000002"/>
    <n v="0"/>
    <n v="38859.074028000003"/>
    <n v="20104.418000000001"/>
    <n v="0"/>
    <n v="-96198.777199999997"/>
    <n v="300330.21120027959"/>
    <n v="1.0449902964519122"/>
    <n v="0.93979103106061679"/>
    <n v="0.94546156904349943"/>
    <n v="0.95331699902534994"/>
    <n v="0.94249369191070453"/>
    <n v="283891.8841899297"/>
    <n v="0.9877936123518779"/>
    <n v="-3508.1158100703033"/>
    <n v="12306876.536865219"/>
  </r>
  <r>
    <n v="23092314450"/>
    <n v="0.18"/>
    <n v="7666"/>
    <n v="0"/>
    <s v="GV"/>
    <s v="GV"/>
    <n v="4"/>
    <s v="RES"/>
    <n v="76700"/>
    <n v="39300"/>
    <n v="0.18"/>
    <n v="-1.7147984280919999"/>
    <n v="0"/>
    <n v="0"/>
    <n v="0"/>
    <n v="13398.7528"/>
    <n v="63902.980100000001"/>
    <n v="40926.819860167998"/>
    <s v="TD"/>
    <n v="1"/>
    <x v="4"/>
    <x v="4"/>
    <n v="0"/>
    <n v="0"/>
    <n v="52"/>
    <n v="88"/>
    <x v="8"/>
    <x v="3"/>
    <n v="756"/>
    <n v="756"/>
    <n v="0"/>
    <n v="0"/>
    <n v="0"/>
    <n v="0"/>
    <n v="0"/>
    <n v="0"/>
    <n v="308"/>
    <n v="5"/>
    <n v="0"/>
    <n v="0"/>
    <s v="CP"/>
    <n v="0"/>
    <s v="SP"/>
    <s v="G"/>
    <n v="0"/>
    <n v="2"/>
    <n v="0"/>
    <n v="1300"/>
    <n v="100"/>
    <d v="2020-10-23T00:00:00"/>
    <n v="22500"/>
    <n v="58103"/>
    <n v="80600"/>
    <n v="81000"/>
    <n v="800"/>
    <n v="47528.20540119947"/>
    <n v="155833.95000000001"/>
    <n v="10733"/>
    <n v="-45357"/>
    <n v="-12436.663199999999"/>
    <n v="47159.924868000002"/>
    <n v="0"/>
    <n v="0"/>
    <n v="10052.209000000001"/>
    <n v="1100.84663"/>
    <n v="-95958.88"/>
    <n v="118655.59269919945"/>
    <n v="1.4648838604839438"/>
    <n v="0.93029096284873303"/>
    <n v="0.9059988268293695"/>
    <n v="0.89043830049531381"/>
    <n v="0.87336335356423944"/>
    <n v="106792.74600700205"/>
    <n v="1.3184289630494079"/>
    <n v="25792.746007002046"/>
    <n v="665265746.58171999"/>
  </r>
  <r>
    <n v="23092422407"/>
    <n v="0.39"/>
    <n v="17100"/>
    <n v="0"/>
    <s v="GV"/>
    <s v="GV"/>
    <n v="4"/>
    <s v="RES"/>
    <n v="84400"/>
    <n v="41100"/>
    <n v="0.39"/>
    <n v="-0.94160853985799997"/>
    <n v="0"/>
    <n v="0"/>
    <n v="0"/>
    <n v="13398.7528"/>
    <n v="63902.980100000001"/>
    <n v="51286.600040067999"/>
    <s v="TD"/>
    <n v="1"/>
    <x v="3"/>
    <x v="2"/>
    <n v="0"/>
    <n v="0"/>
    <n v="51"/>
    <n v="83"/>
    <x v="9"/>
    <x v="3"/>
    <n v="528"/>
    <n v="528"/>
    <n v="0"/>
    <n v="0"/>
    <n v="0"/>
    <n v="0"/>
    <n v="0"/>
    <n v="0"/>
    <n v="0"/>
    <n v="5"/>
    <n v="0"/>
    <n v="0"/>
    <s v="CP"/>
    <n v="0"/>
    <s v="SP"/>
    <s v="E"/>
    <n v="0"/>
    <n v="1"/>
    <n v="0"/>
    <n v="5600"/>
    <n v="100"/>
    <d v="2020-10-27T00:00:00"/>
    <n v="23500"/>
    <n v="53358"/>
    <n v="76900"/>
    <n v="85000"/>
    <n v="796"/>
    <n v="59558.99015271086"/>
    <n v="155833.95000000001"/>
    <n v="-28558"/>
    <n v="-4503"/>
    <n v="-12197.496599999999"/>
    <n v="32937.090384000003"/>
    <n v="0"/>
    <n v="0"/>
    <n v="10052.209000000001"/>
    <n v="4742.1085599999997"/>
    <n v="-95479.085600000006"/>
    <n v="122386.76589671087"/>
    <n v="1.4398443046671867"/>
    <n v="0.89909171974485158"/>
    <n v="0.91974816281148053"/>
    <n v="0.93121896872088394"/>
    <n v="0.87336335356423944"/>
    <n v="110864.7312822188"/>
    <n v="1.3042909562613976"/>
    <n v="25864.731282218796"/>
    <n v="668984324.30138755"/>
  </r>
  <r>
    <n v="23092422009"/>
    <n v="0.55000000000000004"/>
    <n v="24065"/>
    <n v="0"/>
    <s v="GV"/>
    <s v="GV"/>
    <n v="4"/>
    <s v="RES"/>
    <n v="123300"/>
    <n v="42100"/>
    <n v="0.55000000000000004"/>
    <n v="-0.59783700075599999"/>
    <n v="0"/>
    <n v="0"/>
    <n v="0"/>
    <n v="13398.7528"/>
    <n v="63902.980100000001"/>
    <n v="55892.709912181999"/>
    <s v="TD"/>
    <n v="1"/>
    <x v="4"/>
    <x v="4"/>
    <n v="0"/>
    <n v="0"/>
    <n v="52"/>
    <n v="88"/>
    <x v="8"/>
    <x v="0"/>
    <n v="1344"/>
    <n v="1344"/>
    <n v="0"/>
    <n v="0"/>
    <n v="0"/>
    <n v="0"/>
    <n v="480"/>
    <n v="144"/>
    <n v="0"/>
    <n v="5"/>
    <n v="0"/>
    <n v="0"/>
    <s v="CP"/>
    <n v="1"/>
    <s v="FD"/>
    <s v="E"/>
    <n v="0"/>
    <n v="3"/>
    <n v="0"/>
    <n v="0"/>
    <n v="100"/>
    <d v="2020-10-27T00:00:00"/>
    <n v="24100"/>
    <n v="93716"/>
    <n v="117800"/>
    <n v="215000"/>
    <n v="796"/>
    <n v="64908.053110700188"/>
    <n v="155833.95000000001"/>
    <n v="10733"/>
    <n v="-45357"/>
    <n v="-12436.663199999999"/>
    <n v="83839.86643200001"/>
    <n v="0"/>
    <n v="0"/>
    <n v="10052.209000000001"/>
    <n v="0"/>
    <n v="-95479.085600000006"/>
    <n v="172094.32974270021"/>
    <n v="0.80043874298930329"/>
    <n v="0.93029096284873303"/>
    <n v="0.9059988268293695"/>
    <n v="0.89043830049531381"/>
    <n v="0.93897388656927183"/>
    <n v="157711.63118100603"/>
    <n v="0.73354247060933042"/>
    <n v="-57288.368818993971"/>
    <n v="3281957201.9410806"/>
  </r>
  <r>
    <n v="23091433539"/>
    <n v="0.27"/>
    <n v="11797"/>
    <n v="0"/>
    <s v="GV"/>
    <s v="GV"/>
    <n v="4"/>
    <s v="RES"/>
    <n v="140600"/>
    <n v="40000"/>
    <n v="0.27"/>
    <n v="-1.309333319984"/>
    <n v="0"/>
    <n v="0"/>
    <n v="0"/>
    <n v="13398.7528"/>
    <n v="63902.980100000001"/>
    <n v="46359.546612733997"/>
    <s v="RN"/>
    <n v="1"/>
    <x v="1"/>
    <x v="2"/>
    <n v="0"/>
    <n v="0"/>
    <n v="43"/>
    <n v="44"/>
    <x v="4"/>
    <x v="0"/>
    <n v="1008"/>
    <n v="1008"/>
    <n v="0"/>
    <n v="0"/>
    <n v="0"/>
    <n v="336"/>
    <n v="0"/>
    <n v="0"/>
    <n v="0"/>
    <n v="5"/>
    <n v="0"/>
    <n v="0"/>
    <s v="CP"/>
    <n v="1"/>
    <s v="FD"/>
    <s v="E"/>
    <n v="0"/>
    <n v="3"/>
    <n v="0"/>
    <n v="0"/>
    <n v="100"/>
    <d v="2020-10-29T00:00:00"/>
    <n v="22900"/>
    <n v="121458"/>
    <n v="144400"/>
    <n v="225000"/>
    <n v="794"/>
    <n v="53837.216310592135"/>
    <n v="155833.95000000001"/>
    <n v="2251"/>
    <n v="-4503"/>
    <n v="-10284.1638"/>
    <n v="62879.899824"/>
    <n v="0"/>
    <n v="29406.866832"/>
    <n v="10052.209000000001"/>
    <n v="0"/>
    <n v="-95239.188399999999"/>
    <n v="204234.78976659215"/>
    <n v="0.90771017674040955"/>
    <n v="0.94889070359879057"/>
    <n v="0.91974816281148053"/>
    <n v="0.9474610576206125"/>
    <n v="0.93897388656927183"/>
    <n v="191729.1775664897"/>
    <n v="0.85212967807328754"/>
    <n v="-33270.8224335103"/>
    <n v="1106947625.4021723"/>
  </r>
  <r>
    <n v="23092241500"/>
    <n v="0.21"/>
    <n v="9002"/>
    <n v="0"/>
    <s v="GV"/>
    <s v="GV"/>
    <n v="4"/>
    <s v="RES"/>
    <n v="178000"/>
    <n v="43500"/>
    <n v="0.21"/>
    <n v="-1.5606477482650001"/>
    <n v="0"/>
    <n v="0"/>
    <n v="0"/>
    <n v="13398.7528"/>
    <n v="63902.980100000001"/>
    <n v="42992.246713125001"/>
    <s v="RN"/>
    <n v="1"/>
    <x v="4"/>
    <x v="1"/>
    <n v="0"/>
    <n v="0"/>
    <n v="49"/>
    <n v="68"/>
    <x v="6"/>
    <x v="0"/>
    <n v="1200"/>
    <n v="1200"/>
    <n v="0"/>
    <n v="0"/>
    <n v="0"/>
    <n v="0"/>
    <n v="0"/>
    <n v="0"/>
    <n v="57"/>
    <n v="5"/>
    <n v="0"/>
    <n v="0"/>
    <s v="CP"/>
    <n v="1"/>
    <s v="FD"/>
    <s v="E"/>
    <n v="0"/>
    <n v="3"/>
    <n v="0"/>
    <n v="0"/>
    <n v="100"/>
    <d v="2020-11-19T00:00:00"/>
    <n v="24900"/>
    <n v="128543"/>
    <n v="153400"/>
    <n v="249900"/>
    <n v="773"/>
    <n v="49926.780028885936"/>
    <n v="155833.95000000001"/>
    <n v="10733"/>
    <n v="25818"/>
    <n v="-11719.163399999999"/>
    <n v="74857.0236"/>
    <n v="0"/>
    <n v="0"/>
    <n v="10052.209000000001"/>
    <n v="0"/>
    <n v="-92720.267800000001"/>
    <n v="222781.53142888591"/>
    <n v="0.89148271880306484"/>
    <n v="0.93029096284873303"/>
    <n v="0.95027059935652425"/>
    <n v="0.94654220114707954"/>
    <n v="0.93897388656927183"/>
    <n v="209753.13658240889"/>
    <n v="0.83934828564389308"/>
    <n v="-40146.863417591114"/>
    <n v="1611770642.2707157"/>
  </r>
  <r>
    <n v="23092241495"/>
    <n v="0.19"/>
    <n v="8290"/>
    <n v="0"/>
    <s v="GV"/>
    <s v="GV"/>
    <n v="4"/>
    <s v="RES"/>
    <n v="137100"/>
    <n v="43500"/>
    <n v="0.19"/>
    <n v="-1.6607312068219999"/>
    <n v="0"/>
    <n v="0"/>
    <n v="0"/>
    <n v="13398.7528"/>
    <n v="63902.980100000001"/>
    <n v="41651.253192550997"/>
    <s v="RN"/>
    <n v="1"/>
    <x v="1"/>
    <x v="2"/>
    <n v="0"/>
    <n v="0"/>
    <n v="49"/>
    <n v="68"/>
    <x v="6"/>
    <x v="0"/>
    <n v="1242"/>
    <n v="1242"/>
    <n v="0"/>
    <n v="0"/>
    <n v="0"/>
    <n v="240"/>
    <n v="0"/>
    <n v="0"/>
    <n v="334"/>
    <n v="5"/>
    <n v="0"/>
    <n v="0"/>
    <s v="CP"/>
    <n v="1"/>
    <s v="FD"/>
    <s v="G"/>
    <n v="0"/>
    <n v="3"/>
    <n v="0"/>
    <n v="0"/>
    <n v="100"/>
    <d v="2020-12-03T00:00:00"/>
    <n v="24900"/>
    <n v="134608"/>
    <n v="159500"/>
    <n v="199000"/>
    <n v="759"/>
    <n v="48369.487874125851"/>
    <n v="155833.95000000001"/>
    <n v="2251"/>
    <n v="-4503"/>
    <n v="-11719.163399999999"/>
    <n v="77477.019425999999"/>
    <n v="0"/>
    <n v="21004.904880000002"/>
    <n v="10052.209000000001"/>
    <n v="0"/>
    <n v="-91040.987399999998"/>
    <n v="207725.42038012587"/>
    <n v="1.0438463335684718"/>
    <n v="0.94889070359879057"/>
    <n v="0.91974816281148053"/>
    <n v="0.94654220114707954"/>
    <n v="0.93897388656927183"/>
    <n v="194958.35400452121"/>
    <n v="0.97969022112824733"/>
    <n v="-4041.6459954787861"/>
    <n v="16334902.352769708"/>
  </r>
  <r>
    <n v="23092423458"/>
    <n v="0.21"/>
    <n v="9165"/>
    <n v="0"/>
    <s v="GV"/>
    <s v="GV"/>
    <n v="4"/>
    <s v="RES"/>
    <n v="135700"/>
    <n v="39300"/>
    <n v="0.21"/>
    <n v="-1.5606477482650001"/>
    <n v="0"/>
    <n v="0"/>
    <n v="0"/>
    <n v="13398.7528"/>
    <n v="63902.980100000001"/>
    <n v="42992.246713125001"/>
    <s v="TD"/>
    <n v="1"/>
    <x v="1"/>
    <x v="2"/>
    <n v="0"/>
    <n v="0"/>
    <n v="50"/>
    <n v="73"/>
    <x v="6"/>
    <x v="0"/>
    <n v="1370"/>
    <n v="1370"/>
    <n v="0"/>
    <n v="0"/>
    <n v="0"/>
    <n v="0"/>
    <n v="0"/>
    <n v="0"/>
    <n v="305"/>
    <n v="7"/>
    <n v="0"/>
    <n v="0"/>
    <s v="CP"/>
    <n v="1"/>
    <s v="FD"/>
    <s v="G"/>
    <n v="0"/>
    <n v="4"/>
    <n v="0"/>
    <n v="8100"/>
    <n v="100"/>
    <d v="2020-12-08T00:00:00"/>
    <n v="22500"/>
    <n v="143694"/>
    <n v="166200"/>
    <n v="180000"/>
    <n v="754"/>
    <n v="49926.780028885936"/>
    <n v="155833.95000000001"/>
    <n v="2251"/>
    <n v="-4503"/>
    <n v="-11958.33"/>
    <n v="85461.768609999999"/>
    <n v="0"/>
    <n v="0"/>
    <n v="14073.0926"/>
    <n v="6859.1213099999995"/>
    <n v="-90441.244399999996"/>
    <n v="207503.13814888595"/>
    <n v="1.1527952119382552"/>
    <n v="0.94889070359879057"/>
    <n v="0.91974816281148053"/>
    <n v="0.94654220114707954"/>
    <n v="0.93897388656927183"/>
    <n v="194749.73351961531"/>
    <n v="1.0819429639978628"/>
    <n v="14749.733519615314"/>
    <n v="217554638.89966357"/>
  </r>
  <r>
    <n v="23092231519"/>
    <n v="0.24"/>
    <n v="10597"/>
    <n v="0"/>
    <s v="GV"/>
    <s v="GV"/>
    <n v="4"/>
    <s v="RES"/>
    <n v="289000"/>
    <n v="39800"/>
    <n v="0.24"/>
    <n v="-1.4271163556399999"/>
    <n v="0"/>
    <n v="0"/>
    <n v="0"/>
    <n v="13398.7528"/>
    <n v="63902.980100000001"/>
    <n v="44781.400833940999"/>
    <s v="CO"/>
    <n v="1"/>
    <x v="2"/>
    <x v="0"/>
    <n v="0"/>
    <n v="0"/>
    <n v="3"/>
    <n v="3"/>
    <x v="0"/>
    <x v="1"/>
    <n v="1674"/>
    <n v="1674"/>
    <n v="0"/>
    <n v="0"/>
    <n v="0"/>
    <n v="648"/>
    <n v="0"/>
    <n v="0"/>
    <n v="0"/>
    <n v="9"/>
    <n v="0"/>
    <n v="0"/>
    <s v="CP"/>
    <n v="1"/>
    <s v="HP"/>
    <s v="E"/>
    <n v="1"/>
    <n v="3"/>
    <n v="0"/>
    <n v="0"/>
    <n v="100"/>
    <d v="2020-12-09T00:00:00"/>
    <n v="22800"/>
    <n v="333150"/>
    <n v="356000"/>
    <n v="317490"/>
    <n v="753"/>
    <n v="52004.519878673433"/>
    <n v="155833.95000000001"/>
    <n v="9808"/>
    <n v="25780"/>
    <n v="-717.49979999999994"/>
    <n v="104425.547922"/>
    <n v="0"/>
    <n v="56713.243176000004"/>
    <n v="18093.976200000001"/>
    <n v="0"/>
    <n v="-90321.295799999993"/>
    <n v="331620.44157667342"/>
    <n v="1.0445067295873049"/>
    <n v="0.93645298159011592"/>
    <n v="0.94231068710026933"/>
    <n v="0.94035194935713262"/>
    <n v="0.94249369191070453"/>
    <n v="311856.6351018179"/>
    <n v="0.98225655958240543"/>
    <n v="-5633.3648981821025"/>
    <n v="31734800.076070249"/>
  </r>
  <r>
    <n v="23092343422"/>
    <n v="0.16"/>
    <n v="7050"/>
    <n v="0"/>
    <s v="GV"/>
    <s v="GV"/>
    <n v="4"/>
    <s v="RES"/>
    <n v="195200"/>
    <n v="38600"/>
    <n v="0.16"/>
    <n v="-1.832581463748"/>
    <n v="0"/>
    <n v="0"/>
    <n v="0"/>
    <n v="13398.7528"/>
    <n v="63902.980100000001"/>
    <n v="39348.674081374003"/>
    <s v="RN"/>
    <n v="1"/>
    <x v="1"/>
    <x v="3"/>
    <n v="0"/>
    <n v="0"/>
    <n v="40"/>
    <n v="42"/>
    <x v="4"/>
    <x v="0"/>
    <n v="1024"/>
    <n v="1024"/>
    <n v="0"/>
    <n v="0"/>
    <n v="0"/>
    <n v="336"/>
    <n v="0"/>
    <n v="0"/>
    <n v="0"/>
    <n v="5"/>
    <n v="0"/>
    <n v="0"/>
    <s v="CP"/>
    <n v="1"/>
    <s v="FD"/>
    <s v="E"/>
    <n v="1"/>
    <n v="3"/>
    <n v="0"/>
    <n v="0"/>
    <n v="100"/>
    <d v="2020-12-10T00:00:00"/>
    <n v="22100"/>
    <n v="138080"/>
    <n v="160200"/>
    <n v="225000"/>
    <n v="752"/>
    <n v="45695.50896927961"/>
    <n v="155833.95000000001"/>
    <n v="2251"/>
    <n v="22342"/>
    <n v="-9566.6639999999989"/>
    <n v="63877.993472000002"/>
    <n v="0"/>
    <n v="29406.866832"/>
    <n v="10052.209000000001"/>
    <n v="0"/>
    <n v="-90201.347200000004"/>
    <n v="229691.5170732796"/>
    <n v="1.0208511869923538"/>
    <n v="0.94889070359879057"/>
    <n v="0.94546156904349943"/>
    <n v="0.9474610576206125"/>
    <n v="0.93897388656927183"/>
    <n v="217103.68789136116"/>
    <n v="0.96490527951716065"/>
    <n v="-7896.3121086388419"/>
    <n v="62351744.917036392"/>
  </r>
  <r>
    <n v="23091443456"/>
    <n v="0.24"/>
    <n v="10356"/>
    <n v="0"/>
    <s v="GV"/>
    <s v="GV"/>
    <n v="4"/>
    <s v="RES"/>
    <n v="220800"/>
    <n v="39800"/>
    <n v="0.24"/>
    <n v="-1.4271163556399999"/>
    <n v="0"/>
    <n v="0"/>
    <n v="0"/>
    <n v="13398.7528"/>
    <n v="63902.980100000001"/>
    <n v="44781.400833940999"/>
    <s v="CO"/>
    <n v="2"/>
    <x v="0"/>
    <x v="2"/>
    <n v="0"/>
    <n v="0"/>
    <n v="33"/>
    <n v="33"/>
    <x v="11"/>
    <x v="1"/>
    <n v="1740"/>
    <n v="976"/>
    <n v="764"/>
    <n v="0"/>
    <n v="0"/>
    <n v="440"/>
    <n v="0"/>
    <n v="352"/>
    <n v="0"/>
    <n v="10"/>
    <n v="0"/>
    <n v="0"/>
    <s v="CP"/>
    <n v="1"/>
    <s v="HP"/>
    <s v="E"/>
    <n v="1"/>
    <n v="3"/>
    <n v="0"/>
    <n v="0"/>
    <n v="100"/>
    <d v="2020-12-22T00:00:00"/>
    <n v="22800"/>
    <n v="273918"/>
    <n v="296700"/>
    <n v="270000"/>
    <n v="740"/>
    <n v="52004.519878673433"/>
    <n v="155833.95000000001"/>
    <n v="20768"/>
    <n v="-4503"/>
    <n v="-7892.4977999999992"/>
    <n v="108542.68422000001"/>
    <n v="0"/>
    <n v="38508.992279999999"/>
    <n v="20104.418000000001"/>
    <n v="0"/>
    <n v="-88761.963999999993"/>
    <n v="294605.10257867345"/>
    <n v="1.0911300095506424"/>
    <n v="0.93979103106061679"/>
    <n v="0.91974816281148053"/>
    <n v="0.959911764774662"/>
    <n v="0.94249369191070453"/>
    <n v="277072.02241819334"/>
    <n v="1.0261926756229383"/>
    <n v="7072.0224181933445"/>
    <n v="50013501.08342924"/>
  </r>
  <r>
    <n v="23092343435"/>
    <n v="0.21"/>
    <n v="9072"/>
    <n v="0"/>
    <s v="GV"/>
    <s v="GV"/>
    <n v="4"/>
    <s v="RES"/>
    <n v="176800"/>
    <n v="39300"/>
    <n v="0.21"/>
    <n v="-1.5606477482650001"/>
    <n v="0"/>
    <n v="0"/>
    <n v="0"/>
    <n v="13398.7528"/>
    <n v="63902.980100000001"/>
    <n v="42992.246713125001"/>
    <s v="RN"/>
    <n v="1"/>
    <x v="1"/>
    <x v="3"/>
    <n v="0"/>
    <n v="0"/>
    <n v="41"/>
    <n v="41"/>
    <x v="4"/>
    <x v="0"/>
    <n v="1056"/>
    <n v="1056"/>
    <n v="0"/>
    <n v="0"/>
    <n v="0"/>
    <n v="288"/>
    <n v="0"/>
    <n v="0"/>
    <n v="390"/>
    <n v="5"/>
    <n v="0"/>
    <n v="0"/>
    <s v="CP"/>
    <n v="1"/>
    <s v="FD"/>
    <s v="E"/>
    <n v="0"/>
    <n v="3"/>
    <n v="0"/>
    <n v="0"/>
    <n v="100"/>
    <d v="2020-12-22T00:00:00"/>
    <n v="22500"/>
    <n v="139077"/>
    <n v="161600"/>
    <n v="236000"/>
    <n v="740"/>
    <n v="49926.780028885936"/>
    <n v="155833.95000000001"/>
    <n v="2251"/>
    <n v="22342"/>
    <n v="-9805.8305999999993"/>
    <n v="65874.180768000006"/>
    <n v="0"/>
    <n v="25205.885856000001"/>
    <n v="10052.209000000001"/>
    <n v="0"/>
    <n v="-88761.963999999993"/>
    <n v="232918.21105288598"/>
    <n v="0.9869415722579914"/>
    <n v="0.94889070359879057"/>
    <n v="0.94546156904349943"/>
    <n v="0.9474610576206125"/>
    <n v="0.93897388656927183"/>
    <n v="220153.54872904246"/>
    <n v="0.93285402003831552"/>
    <n v="-15846.451270957536"/>
    <n v="251110017.88283169"/>
  </r>
  <r>
    <n v="23092343436"/>
    <n v="0.21"/>
    <n v="9072"/>
    <n v="0"/>
    <s v="GV"/>
    <s v="GV"/>
    <n v="4"/>
    <s v="RES"/>
    <n v="192500"/>
    <n v="39300"/>
    <n v="0.21"/>
    <n v="-1.5606477482650001"/>
    <n v="0"/>
    <n v="0"/>
    <n v="0"/>
    <n v="13398.7528"/>
    <n v="63902.980100000001"/>
    <n v="42992.246713125001"/>
    <s v="RN"/>
    <n v="1"/>
    <x v="1"/>
    <x v="3"/>
    <n v="0"/>
    <n v="0"/>
    <n v="41"/>
    <n v="41"/>
    <x v="4"/>
    <x v="0"/>
    <n v="1232"/>
    <n v="1232"/>
    <n v="0"/>
    <n v="0"/>
    <n v="0"/>
    <n v="280"/>
    <n v="0"/>
    <n v="0"/>
    <n v="288"/>
    <n v="9"/>
    <n v="0"/>
    <n v="0"/>
    <s v="CP"/>
    <n v="1"/>
    <s v="FD"/>
    <s v="E"/>
    <n v="0"/>
    <n v="3"/>
    <n v="0"/>
    <n v="0"/>
    <n v="100"/>
    <d v="2020-12-23T00:00:00"/>
    <n v="22500"/>
    <n v="163244"/>
    <n v="185700"/>
    <n v="273000"/>
    <n v="739"/>
    <n v="49926.780028885936"/>
    <n v="155833.95000000001"/>
    <n v="2251"/>
    <n v="22342"/>
    <n v="-9805.8305999999993"/>
    <n v="76853.210896000004"/>
    <n v="0"/>
    <n v="24505.72236"/>
    <n v="18093.976200000001"/>
    <n v="0"/>
    <n v="-88642.015400000004"/>
    <n v="251358.79348488591"/>
    <n v="0.92072818126331835"/>
    <n v="0.94889070359879057"/>
    <n v="0.94546156904349943"/>
    <n v="0.9474610576206125"/>
    <n v="0.93897388656927183"/>
    <n v="237583.52831150379"/>
    <n v="0.87026933447437282"/>
    <n v="-35416.471688496211"/>
    <n v="1254326466.8620536"/>
  </r>
  <r>
    <n v="23092224512"/>
    <n v="0.24"/>
    <n v="10460"/>
    <n v="0"/>
    <s v="GV"/>
    <s v="GV"/>
    <n v="4"/>
    <s v="RES"/>
    <n v="336000"/>
    <n v="39800"/>
    <n v="0.24"/>
    <n v="-1.4271163556399999"/>
    <n v="0"/>
    <n v="0"/>
    <n v="0"/>
    <n v="13398.7528"/>
    <n v="63902.980100000001"/>
    <n v="44781.400833940999"/>
    <s v="CP"/>
    <n v="1"/>
    <x v="0"/>
    <x v="1"/>
    <n v="0"/>
    <n v="0"/>
    <n v="10"/>
    <n v="10"/>
    <x v="7"/>
    <x v="1"/>
    <n v="1890"/>
    <n v="1890"/>
    <n v="0"/>
    <n v="0"/>
    <n v="0"/>
    <n v="722"/>
    <n v="0"/>
    <n v="0"/>
    <n v="0"/>
    <n v="10"/>
    <n v="1"/>
    <n v="0"/>
    <s v="CP"/>
    <n v="1"/>
    <s v="FD"/>
    <s v="E"/>
    <n v="1"/>
    <n v="3"/>
    <n v="0"/>
    <n v="14600"/>
    <n v="100"/>
    <d v="2020-12-29T00:00:00"/>
    <n v="22800"/>
    <n v="396226"/>
    <n v="419000"/>
    <n v="350000"/>
    <n v="733"/>
    <n v="52004.519878673433"/>
    <n v="155833.95000000001"/>
    <n v="20768"/>
    <n v="25818"/>
    <n v="-2391.6659999999997"/>
    <n v="117899.81217"/>
    <n v="0"/>
    <n v="63189.755514000004"/>
    <n v="20104.418000000001"/>
    <n v="12363.35446"/>
    <n v="-87922.323799999998"/>
    <n v="377667.82022267347"/>
    <n v="1.0790509149219243"/>
    <n v="0.93979103106061679"/>
    <n v="0.95027059935652425"/>
    <n v="0.93805509262653142"/>
    <n v="0.94249369191070453"/>
    <n v="356009.55408118246"/>
    <n v="1.0171701545176641"/>
    <n v="6009.5540811824612"/>
    <n v="36114740.254656777"/>
  </r>
  <r>
    <n v="23092311477"/>
    <n v="0.12"/>
    <n v="5293"/>
    <n v="0"/>
    <s v="GV"/>
    <s v="GV"/>
    <n v="4"/>
    <s v="RES"/>
    <n v="110200"/>
    <n v="38400"/>
    <n v="0.12"/>
    <n v="-2.1202635362"/>
    <n v="0"/>
    <n v="0"/>
    <n v="0"/>
    <n v="13398.7528"/>
    <n v="63902.980100000001"/>
    <n v="35494.093107601002"/>
    <s v="TD"/>
    <n v="1"/>
    <x v="4"/>
    <x v="2"/>
    <n v="0"/>
    <n v="0"/>
    <n v="49"/>
    <n v="65"/>
    <x v="6"/>
    <x v="3"/>
    <n v="880"/>
    <n v="704"/>
    <n v="0"/>
    <n v="176"/>
    <n v="0"/>
    <n v="0"/>
    <n v="220"/>
    <n v="0"/>
    <n v="0"/>
    <n v="5"/>
    <n v="0"/>
    <n v="0"/>
    <s v="CP"/>
    <n v="1"/>
    <s v="FD"/>
    <s v="G"/>
    <n v="0"/>
    <n v="2"/>
    <n v="0"/>
    <n v="0"/>
    <n v="100"/>
    <d v="2021-01-04T00:00:00"/>
    <n v="22000"/>
    <n v="89887"/>
    <n v="111900"/>
    <n v="181300"/>
    <n v="727"/>
    <n v="41219.194491805654"/>
    <n v="155833.95000000001"/>
    <n v="10733"/>
    <n v="-4503"/>
    <n v="-11719.163399999999"/>
    <n v="54895.15064"/>
    <n v="-4769.4662400000007"/>
    <n v="0"/>
    <n v="10052.209000000001"/>
    <n v="0"/>
    <n v="-87202.632199999993"/>
    <n v="164539.24229180568"/>
    <n v="0.90755235682187363"/>
    <n v="0.93029096284873303"/>
    <n v="0.91974816281148053"/>
    <n v="0.94654220114707954"/>
    <n v="0.87336335356423944"/>
    <n v="150962.47924029373"/>
    <n v="0.83266673601927044"/>
    <n v="-30337.520759706269"/>
    <n v="920365165.84560883"/>
  </r>
  <r>
    <n v="23092242534"/>
    <n v="0.17"/>
    <n v="7346"/>
    <n v="0"/>
    <s v="GV"/>
    <s v="GV"/>
    <n v="4"/>
    <s v="RES"/>
    <n v="240800"/>
    <n v="38800"/>
    <n v="0.17"/>
    <n v="-1.771956841932"/>
    <n v="0"/>
    <n v="0"/>
    <n v="0"/>
    <n v="13398.7528"/>
    <n v="63902.980100000001"/>
    <n v="40160.968402685998"/>
    <s v="RN"/>
    <n v="1"/>
    <x v="2"/>
    <x v="1"/>
    <n v="0"/>
    <n v="0"/>
    <n v="10"/>
    <n v="10"/>
    <x v="7"/>
    <x v="0"/>
    <n v="1482"/>
    <n v="1482"/>
    <n v="0"/>
    <n v="0"/>
    <n v="0"/>
    <n v="442"/>
    <n v="0"/>
    <n v="0"/>
    <n v="66"/>
    <n v="8"/>
    <n v="0"/>
    <n v="0"/>
    <s v="CP"/>
    <n v="1"/>
    <s v="FD"/>
    <s v="E"/>
    <n v="1"/>
    <n v="4"/>
    <n v="0"/>
    <n v="0"/>
    <n v="100"/>
    <d v="2021-01-07T00:00:00"/>
    <n v="22200"/>
    <n v="246737"/>
    <n v="268900"/>
    <n v="265000"/>
    <n v="724"/>
    <n v="46638.82417142456"/>
    <n v="155833.95000000001"/>
    <n v="9808"/>
    <n v="25818"/>
    <n v="-2391.6659999999997"/>
    <n v="92448.424146000005"/>
    <n v="0"/>
    <n v="38684.033153999997"/>
    <n v="16083.5344"/>
    <n v="0"/>
    <n v="-86842.786399999997"/>
    <n v="296080.31347142457"/>
    <n v="1.1172842017789606"/>
    <n v="0.93645298159011592"/>
    <n v="0.95027059935652425"/>
    <n v="0.93805509262653142"/>
    <n v="0.93897388656927183"/>
    <n v="278593.25945896289"/>
    <n v="1.0512953187130676"/>
    <n v="13593.259458962886"/>
    <n v="184776702.71868399"/>
  </r>
  <r>
    <n v="23091911450"/>
    <n v="0.41"/>
    <n v="17885"/>
    <n v="0"/>
    <s v="GV"/>
    <s v="GV"/>
    <n v="4"/>
    <s v="RES"/>
    <n v="315400"/>
    <n v="41800"/>
    <n v="0.41"/>
    <n v="-0.89159811928400001"/>
    <n v="0"/>
    <n v="0"/>
    <n v="0"/>
    <n v="13398.7528"/>
    <n v="63902.980100000001"/>
    <n v="51956.677302771997"/>
    <s v="SE"/>
    <n v="1"/>
    <x v="2"/>
    <x v="3"/>
    <n v="0"/>
    <n v="0"/>
    <n v="44"/>
    <n v="47"/>
    <x v="5"/>
    <x v="5"/>
    <n v="3032"/>
    <n v="1456"/>
    <n v="0"/>
    <n v="1576"/>
    <n v="0"/>
    <n v="520"/>
    <n v="0"/>
    <n v="296"/>
    <n v="0"/>
    <n v="11"/>
    <n v="0"/>
    <n v="2"/>
    <s v="CP"/>
    <n v="1"/>
    <s v="FD"/>
    <s v="E"/>
    <n v="1"/>
    <n v="3"/>
    <n v="0"/>
    <n v="6800"/>
    <n v="100"/>
    <d v="2021-01-15T00:00:00"/>
    <n v="23900"/>
    <n v="392920"/>
    <n v="416800"/>
    <n v="402000"/>
    <n v="716"/>
    <n v="60337.149068680403"/>
    <n v="155833.95000000001"/>
    <n v="9808"/>
    <n v="22342"/>
    <n v="-10523.330399999999"/>
    <n v="189138.746296"/>
    <n v="-42708.402240000003"/>
    <n v="45510.627240000002"/>
    <n v="22114.859800000002"/>
    <n v="5758.2746799999995"/>
    <n v="-85883.1976"/>
    <n v="371728.67684468033"/>
    <n v="0.92469820110616996"/>
    <n v="0.93645298159011592"/>
    <n v="0.94546156904349943"/>
    <n v="0.95156852894116195"/>
    <n v="0.98658627145912159"/>
    <n v="355007.33132868697"/>
    <n v="0.88310281425046511"/>
    <n v="-46992.668671313033"/>
    <n v="2208310908.8518052"/>
  </r>
  <r>
    <n v="23092242538"/>
    <n v="0.21"/>
    <n v="9077"/>
    <n v="0"/>
    <s v="GV"/>
    <s v="GV"/>
    <n v="4"/>
    <s v="RES"/>
    <n v="223700"/>
    <n v="39300"/>
    <n v="0.21"/>
    <n v="-1.5606477482650001"/>
    <n v="0"/>
    <n v="0"/>
    <n v="0"/>
    <n v="13398.7528"/>
    <n v="63902.980100000001"/>
    <n v="42992.246713125001"/>
    <s v="RN"/>
    <n v="1"/>
    <x v="2"/>
    <x v="1"/>
    <n v="0"/>
    <n v="0"/>
    <n v="12"/>
    <n v="12"/>
    <x v="7"/>
    <x v="0"/>
    <n v="1178"/>
    <n v="1178"/>
    <n v="0"/>
    <n v="0"/>
    <n v="0"/>
    <n v="460"/>
    <n v="0"/>
    <n v="0"/>
    <n v="0"/>
    <n v="8"/>
    <n v="0"/>
    <n v="0"/>
    <s v="CP"/>
    <n v="1"/>
    <s v="FD"/>
    <s v="E"/>
    <n v="1"/>
    <n v="3"/>
    <n v="0"/>
    <n v="0"/>
    <n v="100"/>
    <d v="2021-01-25T00:00:00"/>
    <n v="22500"/>
    <n v="206437"/>
    <n v="228900"/>
    <n v="276000"/>
    <n v="706"/>
    <n v="49926.780028885936"/>
    <n v="155833.95000000001"/>
    <n v="9808"/>
    <n v="25818"/>
    <n v="-2869.9991999999997"/>
    <n v="73484.644834000006"/>
    <n v="0"/>
    <n v="40259.401019999998"/>
    <n v="16083.5344"/>
    <n v="0"/>
    <n v="-84683.711599999995"/>
    <n v="283660.59948288597"/>
    <n v="1.0277557952278478"/>
    <n v="0.93645298159011592"/>
    <n v="0.95027059935652425"/>
    <n v="0.93805509262653142"/>
    <n v="0.93897388656927183"/>
    <n v="266907.0768788131"/>
    <n v="0.96705462637251116"/>
    <n v="-9092.9231211869046"/>
    <n v="82681250.887815401"/>
  </r>
  <r>
    <n v="23092334462"/>
    <n v="0.19"/>
    <n v="8330"/>
    <n v="0"/>
    <s v="GV"/>
    <s v="GV"/>
    <n v="4"/>
    <s v="RES"/>
    <n v="196600"/>
    <n v="43500"/>
    <n v="0.19"/>
    <n v="-1.6607312068219999"/>
    <n v="0"/>
    <n v="0"/>
    <n v="0"/>
    <n v="13398.7528"/>
    <n v="63902.980100000001"/>
    <n v="41651.253192550997"/>
    <s v="RN"/>
    <n v="1"/>
    <x v="1"/>
    <x v="2"/>
    <n v="0"/>
    <n v="0"/>
    <n v="32"/>
    <n v="32"/>
    <x v="11"/>
    <x v="1"/>
    <n v="1564"/>
    <n v="1564"/>
    <n v="0"/>
    <n v="0"/>
    <n v="0"/>
    <n v="400"/>
    <n v="0"/>
    <n v="0"/>
    <n v="220"/>
    <n v="8"/>
    <n v="0"/>
    <n v="0"/>
    <s v="CP"/>
    <n v="1"/>
    <s v="FD"/>
    <s v="E"/>
    <n v="1"/>
    <n v="3"/>
    <n v="0"/>
    <n v="0"/>
    <n v="100"/>
    <d v="2021-01-27T00:00:00"/>
    <n v="24900"/>
    <n v="204324"/>
    <n v="229200"/>
    <n v="280000"/>
    <n v="704"/>
    <n v="48369.487874125851"/>
    <n v="155833.95000000001"/>
    <n v="2251"/>
    <n v="-4503"/>
    <n v="-7653.3311999999996"/>
    <n v="97563.654091999997"/>
    <n v="0"/>
    <n v="35008.174800000001"/>
    <n v="16083.5344"/>
    <n v="0"/>
    <n v="-84443.814400000003"/>
    <n v="258509.65556612585"/>
    <n v="0.92324876987902083"/>
    <n v="0.94889070359879057"/>
    <n v="0.91974816281148053"/>
    <n v="0.959911764774662"/>
    <n v="0.94249369191070453"/>
    <n v="243712.84227201188"/>
    <n v="0.87040300811432814"/>
    <n v="-36287.157727988117"/>
    <n v="1316757815.9758878"/>
  </r>
  <r>
    <n v="23092334451"/>
    <n v="1.39"/>
    <n v="60572"/>
    <n v="0"/>
    <s v="GV"/>
    <s v="GV"/>
    <n v="4"/>
    <s v="RES"/>
    <n v="367300"/>
    <n v="50000"/>
    <n v="1.39"/>
    <n v="0.32930374714260002"/>
    <n v="0"/>
    <n v="0"/>
    <n v="0"/>
    <n v="13398.7528"/>
    <n v="63902.980100000001"/>
    <n v="68315.239604076996"/>
    <s v="RN"/>
    <n v="1"/>
    <x v="0"/>
    <x v="2"/>
    <n v="0"/>
    <n v="0"/>
    <n v="44"/>
    <n v="47"/>
    <x v="5"/>
    <x v="6"/>
    <n v="3931"/>
    <n v="2249"/>
    <n v="0"/>
    <n v="1682"/>
    <n v="0"/>
    <n v="0"/>
    <n v="0"/>
    <n v="376"/>
    <n v="0"/>
    <n v="16"/>
    <n v="0"/>
    <n v="3"/>
    <s v="CP"/>
    <n v="1"/>
    <s v="FD"/>
    <s v="G"/>
    <n v="1"/>
    <n v="6"/>
    <n v="0"/>
    <n v="21900"/>
    <n v="100"/>
    <d v="2021-02-10T00:00:00"/>
    <n v="28600"/>
    <n v="519967"/>
    <n v="548600"/>
    <n v="370000"/>
    <n v="690"/>
    <n v="79334.303301067688"/>
    <n v="155833.95000000001"/>
    <n v="20768"/>
    <n v="-4503"/>
    <n v="-10523.330399999999"/>
    <n v="245219.13314300001"/>
    <n v="-45580.921679999999"/>
    <n v="0"/>
    <n v="32167.068800000001"/>
    <n v="18545.03169"/>
    <n v="-82764.534"/>
    <n v="408495.70085406769"/>
    <n v="1.1040424347407234"/>
    <n v="0.93979103106061679"/>
    <n v="0.91974816281148053"/>
    <n v="0.95156852894116195"/>
    <n v="0.87916497103534652"/>
    <n v="376865.13260407868"/>
    <n v="1.0185544124434558"/>
    <n v="6865.1326040786807"/>
    <n v="47130045.671584129"/>
  </r>
  <r>
    <n v="23092231451"/>
    <n v="0.21"/>
    <n v="9057"/>
    <n v="0"/>
    <s v="GV"/>
    <s v="GV"/>
    <n v="4"/>
    <s v="RES"/>
    <n v="189500"/>
    <n v="43700"/>
    <n v="0.21"/>
    <n v="-1.5606477482650001"/>
    <n v="0"/>
    <n v="0"/>
    <n v="0"/>
    <n v="13398.7528"/>
    <n v="63902.980100000001"/>
    <n v="42992.246713125001"/>
    <s v="RN"/>
    <n v="1"/>
    <x v="1"/>
    <x v="2"/>
    <n v="0"/>
    <n v="0"/>
    <n v="45"/>
    <n v="50"/>
    <x v="5"/>
    <x v="1"/>
    <n v="1964"/>
    <n v="1964"/>
    <n v="0"/>
    <n v="0"/>
    <n v="0"/>
    <n v="0"/>
    <n v="0"/>
    <n v="0"/>
    <n v="156"/>
    <n v="8"/>
    <n v="1"/>
    <n v="0"/>
    <s v="CP"/>
    <n v="1"/>
    <s v="FD"/>
    <s v="E"/>
    <n v="0"/>
    <n v="3"/>
    <n v="0"/>
    <n v="3000"/>
    <n v="100"/>
    <d v="2021-02-16T00:00:00"/>
    <n v="25000"/>
    <n v="203234"/>
    <n v="228200"/>
    <n v="262500"/>
    <n v="684"/>
    <n v="49926.780028885936"/>
    <n v="155833.95000000001"/>
    <n v="2251"/>
    <n v="-4503"/>
    <n v="-10762.496999999999"/>
    <n v="122515.99529200001"/>
    <n v="0"/>
    <n v="0"/>
    <n v="16083.5344"/>
    <n v="2540.4153000000001"/>
    <n v="-82044.842399999994"/>
    <n v="251841.33562088592"/>
    <n v="0.95939556427004158"/>
    <n v="0.94889070359879057"/>
    <n v="0.91974816281148053"/>
    <n v="0.95156852894116195"/>
    <n v="0.94249369191070453"/>
    <n v="236900.9168395641"/>
    <n v="0.90247968319833949"/>
    <n v="-25599.083160435897"/>
    <n v="655313058.65491271"/>
  </r>
  <r>
    <n v="23092333005"/>
    <n v="2.86"/>
    <n v="124395"/>
    <n v="0"/>
    <s v="GV"/>
    <s v="GV"/>
    <n v="4"/>
    <s v="RES"/>
    <n v="225400"/>
    <n v="47000"/>
    <n v="2.86"/>
    <n v="1.0508216248318001"/>
    <n v="0"/>
    <n v="0"/>
    <n v="0"/>
    <n v="13398.7528"/>
    <n v="63902.980100000001"/>
    <n v="77982.679288015002"/>
    <s v="RN"/>
    <n v="1"/>
    <x v="2"/>
    <x v="2"/>
    <n v="0"/>
    <n v="0"/>
    <n v="43"/>
    <n v="44"/>
    <x v="4"/>
    <x v="2"/>
    <n v="2354"/>
    <n v="2354"/>
    <n v="0"/>
    <n v="0"/>
    <n v="0"/>
    <n v="0"/>
    <n v="0"/>
    <n v="588"/>
    <n v="468"/>
    <n v="10"/>
    <n v="0"/>
    <n v="0"/>
    <s v="CP"/>
    <n v="1"/>
    <s v="FD"/>
    <s v="E"/>
    <n v="1"/>
    <n v="3"/>
    <n v="0"/>
    <n v="13600"/>
    <n v="100"/>
    <d v="2021-02-19T00:00:00"/>
    <n v="26900"/>
    <n v="303593"/>
    <n v="330500"/>
    <n v="302000"/>
    <n v="681"/>
    <n v="90561.074903937741"/>
    <n v="155833.95000000001"/>
    <n v="9808"/>
    <n v="-4503"/>
    <n v="-10284.1638"/>
    <n v="146844.52796199999"/>
    <n v="0"/>
    <n v="0"/>
    <n v="20104.418000000001"/>
    <n v="11516.549359999999"/>
    <n v="-81684.996599999999"/>
    <n v="338196.35982593772"/>
    <n v="1.1198554961123766"/>
    <n v="0.93645298159011592"/>
    <n v="0.91974816281148053"/>
    <n v="0.9474610576206125"/>
    <n v="0.94539091427335964"/>
    <n v="316979.0291813123"/>
    <n v="1.0495994343752062"/>
    <n v="14979.029181312304"/>
    <n v="224371315.21460554"/>
  </r>
  <r>
    <n v="23092314427"/>
    <n v="0.17"/>
    <n v="7387"/>
    <n v="0"/>
    <s v="GV"/>
    <s v="GV"/>
    <n v="4"/>
    <s v="RES"/>
    <n v="153500"/>
    <n v="39300"/>
    <n v="0.17"/>
    <n v="-1.771956841932"/>
    <n v="0"/>
    <n v="0"/>
    <n v="0"/>
    <n v="13398.7528"/>
    <n v="63902.980100000001"/>
    <n v="40160.968402685998"/>
    <s v="BG"/>
    <n v="2"/>
    <x v="3"/>
    <x v="3"/>
    <n v="0"/>
    <n v="0"/>
    <n v="57"/>
    <n v="103"/>
    <x v="3"/>
    <x v="0"/>
    <n v="1411"/>
    <n v="1051"/>
    <n v="360"/>
    <n v="0"/>
    <n v="0"/>
    <n v="0"/>
    <n v="0"/>
    <n v="0"/>
    <n v="0"/>
    <n v="7"/>
    <n v="0"/>
    <n v="0"/>
    <s v="CP"/>
    <n v="1"/>
    <s v="FD"/>
    <s v="G"/>
    <n v="0"/>
    <n v="2"/>
    <n v="0"/>
    <n v="8800"/>
    <n v="100"/>
    <d v="2021-02-19T00:00:00"/>
    <n v="22500"/>
    <n v="127057"/>
    <n v="149600"/>
    <n v="221000"/>
    <n v="681"/>
    <n v="46638.82417142456"/>
    <n v="155833.95000000001"/>
    <n v="-28558"/>
    <n v="22342"/>
    <n v="-13632.4962"/>
    <n v="88019.383583000003"/>
    <n v="0"/>
    <n v="0"/>
    <n v="14073.0926"/>
    <n v="7451.8848799999996"/>
    <n v="-81684.996599999999"/>
    <n v="210483.64243442455"/>
    <n v="0.95241467164897986"/>
    <n v="0.89909171974485158"/>
    <n v="0.94546156904349943"/>
    <n v="0.89161307203578499"/>
    <n v="0.93897388656927183"/>
    <n v="193389.22643217916"/>
    <n v="0.87506437299628581"/>
    <n v="-27610.773567820841"/>
    <n v="762354817.01347399"/>
  </r>
  <r>
    <n v="23091911419"/>
    <n v="0.33"/>
    <n v="14176"/>
    <n v="0"/>
    <s v="GV"/>
    <s v="GV"/>
    <n v="4"/>
    <s v="RES"/>
    <n v="247200"/>
    <n v="39500"/>
    <n v="0.33"/>
    <n v="-1.1086626245219999"/>
    <n v="0"/>
    <n v="0"/>
    <n v="0"/>
    <n v="13398.7528"/>
    <n v="63902.980100000001"/>
    <n v="49048.283655435996"/>
    <s v="CP"/>
    <n v="1"/>
    <x v="0"/>
    <x v="2"/>
    <n v="0"/>
    <n v="0"/>
    <n v="42"/>
    <n v="42"/>
    <x v="4"/>
    <x v="1"/>
    <n v="1856"/>
    <n v="1856"/>
    <n v="0"/>
    <n v="0"/>
    <n v="0"/>
    <n v="504"/>
    <n v="0"/>
    <n v="0"/>
    <n v="0"/>
    <n v="10"/>
    <n v="0"/>
    <n v="1"/>
    <s v="CP"/>
    <n v="1"/>
    <s v="HP"/>
    <s v="E"/>
    <n v="1"/>
    <n v="3"/>
    <n v="0"/>
    <n v="0"/>
    <n v="100"/>
    <d v="2021-03-03T00:00:00"/>
    <n v="22600"/>
    <n v="292372"/>
    <n v="315000"/>
    <n v="305000"/>
    <n v="669"/>
    <n v="56959.639378691951"/>
    <n v="155833.95000000001"/>
    <n v="20768"/>
    <n v="-4503"/>
    <n v="-10044.9972"/>
    <n v="115778.86316800001"/>
    <n v="0"/>
    <n v="44110.300248"/>
    <n v="20104.418000000001"/>
    <n v="0"/>
    <n v="-80245.613400000002"/>
    <n v="318761.56019469199"/>
    <n v="1.0451198694907935"/>
    <n v="0.93979103106061679"/>
    <n v="0.91974816281148053"/>
    <n v="0.9474610576206125"/>
    <n v="0.94249369191070453"/>
    <n v="298798.6348349551"/>
    <n v="0.97966765519657406"/>
    <n v="-6201.3651650449028"/>
    <n v="38456929.910232395"/>
  </r>
  <r>
    <n v="23092324452"/>
    <n v="0.28000000000000003"/>
    <n v="12013"/>
    <n v="0"/>
    <s v="GV"/>
    <s v="GV"/>
    <n v="4"/>
    <s v="RES"/>
    <n v="129100"/>
    <n v="40500"/>
    <n v="0.28000000000000003"/>
    <n v="-1.2729656758129999"/>
    <n v="0"/>
    <n v="0"/>
    <n v="0"/>
    <n v="13398.7528"/>
    <n v="63902.980100000001"/>
    <n v="46846.827686898003"/>
    <s v="RN"/>
    <n v="1"/>
    <x v="1"/>
    <x v="2"/>
    <n v="0"/>
    <n v="0"/>
    <n v="46"/>
    <n v="53"/>
    <x v="5"/>
    <x v="3"/>
    <n v="924"/>
    <n v="924"/>
    <n v="0"/>
    <n v="0"/>
    <n v="231"/>
    <n v="0"/>
    <n v="0"/>
    <n v="0"/>
    <n v="96"/>
    <n v="5"/>
    <n v="0"/>
    <n v="1"/>
    <s v="CP"/>
    <n v="1"/>
    <s v="FD"/>
    <s v="G"/>
    <n v="0"/>
    <n v="2"/>
    <n v="0"/>
    <n v="11100"/>
    <n v="100"/>
    <d v="2021-03-05T00:00:00"/>
    <n v="23200"/>
    <n v="128965"/>
    <n v="152200"/>
    <n v="163000"/>
    <n v="667"/>
    <n v="54403.094506359892"/>
    <n v="155833.95000000001"/>
    <n v="2251"/>
    <n v="-4503"/>
    <n v="-11001.6636"/>
    <n v="57639.908172000003"/>
    <n v="0"/>
    <n v="0"/>
    <n v="10052.209000000001"/>
    <n v="9399.5366099999992"/>
    <n v="-80005.716199999995"/>
    <n v="194069.31848835989"/>
    <n v="1.1906093158795086"/>
    <n v="0.94889070359879057"/>
    <n v="0.91974816281148053"/>
    <n v="0.95156852894116195"/>
    <n v="0.87336335356423944"/>
    <n v="179202.1895076514"/>
    <n v="1.0993999356297632"/>
    <n v="16202.189507651405"/>
    <n v="262510944.84184927"/>
  </r>
  <r>
    <n v="23091443449"/>
    <n v="0.22"/>
    <n v="9439"/>
    <n v="0"/>
    <s v="GV"/>
    <s v="GV"/>
    <n v="4"/>
    <s v="RES"/>
    <n v="271600"/>
    <n v="39500"/>
    <n v="0.22"/>
    <n v="-1.51412773263"/>
    <n v="0"/>
    <n v="0"/>
    <n v="0"/>
    <n v="13398.7528"/>
    <n v="63902.980100000001"/>
    <n v="43615.556902869001"/>
    <s v="CP"/>
    <n v="1"/>
    <x v="0"/>
    <x v="3"/>
    <n v="0"/>
    <n v="0"/>
    <n v="13"/>
    <n v="13"/>
    <x v="7"/>
    <x v="1"/>
    <n v="1732"/>
    <n v="1732"/>
    <n v="0"/>
    <n v="0"/>
    <n v="0"/>
    <n v="484"/>
    <n v="0"/>
    <n v="0"/>
    <n v="0"/>
    <n v="8"/>
    <n v="0"/>
    <n v="0"/>
    <s v="CP"/>
    <n v="1"/>
    <s v="HP"/>
    <s v="E"/>
    <n v="1"/>
    <n v="3"/>
    <n v="0"/>
    <n v="0"/>
    <n v="100"/>
    <d v="2021-03-17T00:00:00"/>
    <n v="22600"/>
    <n v="318121"/>
    <n v="340700"/>
    <n v="295000"/>
    <n v="655"/>
    <n v="50650.628469298128"/>
    <n v="155833.95000000001"/>
    <n v="20768"/>
    <n v="22342"/>
    <n v="-3109.1657999999998"/>
    <n v="108043.63739600001"/>
    <n v="0"/>
    <n v="42359.891508000001"/>
    <n v="16083.5344"/>
    <n v="0"/>
    <n v="-78566.332999999999"/>
    <n v="334406.14297329821"/>
    <n v="1.1335801456721972"/>
    <n v="0.93979103106061679"/>
    <n v="0.94546156904349943"/>
    <n v="0.93805509262653142"/>
    <n v="0.94249369191070453"/>
    <n v="314826.7790603551"/>
    <n v="1.0672094205435767"/>
    <n v="19826.779060355097"/>
    <n v="393101167.90813535"/>
  </r>
  <r>
    <n v="23092424472"/>
    <n v="0.21"/>
    <n v="9240"/>
    <n v="0"/>
    <s v="GV"/>
    <s v="GV"/>
    <n v="4"/>
    <s v="RES"/>
    <n v="210400"/>
    <n v="39300"/>
    <n v="0.21"/>
    <n v="-1.5606477482650001"/>
    <n v="0"/>
    <n v="0"/>
    <n v="0"/>
    <n v="13398.7528"/>
    <n v="63902.980100000001"/>
    <n v="42992.246713125001"/>
    <s v="RN"/>
    <n v="1"/>
    <x v="2"/>
    <x v="3"/>
    <n v="0"/>
    <n v="0"/>
    <n v="17"/>
    <n v="17"/>
    <x v="1"/>
    <x v="0"/>
    <n v="1075"/>
    <n v="1075"/>
    <n v="0"/>
    <n v="0"/>
    <n v="0"/>
    <n v="520"/>
    <n v="0"/>
    <n v="0"/>
    <n v="200"/>
    <n v="8"/>
    <n v="0"/>
    <n v="0"/>
    <s v="CP"/>
    <n v="1"/>
    <s v="FD"/>
    <s v="G"/>
    <n v="1"/>
    <n v="3"/>
    <n v="0"/>
    <n v="0"/>
    <n v="100"/>
    <d v="2021-03-24T00:00:00"/>
    <n v="22500"/>
    <n v="195379"/>
    <n v="217900"/>
    <n v="273000"/>
    <n v="648"/>
    <n v="49926.780028885936"/>
    <n v="155833.95000000001"/>
    <n v="9808"/>
    <n v="22342"/>
    <n v="-4065.8321999999998"/>
    <n v="67059.416975"/>
    <n v="0"/>
    <n v="45510.627240000002"/>
    <n v="16083.5344"/>
    <n v="0"/>
    <n v="-77726.692800000004"/>
    <n v="284771.78364388592"/>
    <n v="1.0431200866076407"/>
    <n v="0.93645298159011592"/>
    <n v="0.94546156904349943"/>
    <n v="0.95331699902534994"/>
    <n v="0.93897388656927183"/>
    <n v="268696.80347829137"/>
    <n v="0.98423737537835665"/>
    <n v="-4303.1965217086254"/>
    <n v="18517500.304445211"/>
  </r>
  <r>
    <n v="23092313401"/>
    <n v="0.16"/>
    <n v="6895"/>
    <n v="0"/>
    <s v="GV"/>
    <s v="GV"/>
    <n v="4"/>
    <s v="RES"/>
    <n v="121200"/>
    <n v="39100"/>
    <n v="0.16"/>
    <n v="-1.832581463748"/>
    <n v="0"/>
    <n v="0"/>
    <n v="0"/>
    <n v="13398.7528"/>
    <n v="63902.980100000001"/>
    <n v="39348.674081374003"/>
    <s v="CO"/>
    <n v="2"/>
    <x v="3"/>
    <x v="2"/>
    <n v="0"/>
    <n v="0"/>
    <n v="57"/>
    <n v="103"/>
    <x v="3"/>
    <x v="0"/>
    <n v="1221"/>
    <n v="780"/>
    <n v="441"/>
    <n v="0"/>
    <n v="0"/>
    <n v="0"/>
    <n v="0"/>
    <n v="0"/>
    <n v="0"/>
    <n v="5"/>
    <n v="0"/>
    <n v="0"/>
    <s v="CP"/>
    <n v="1"/>
    <s v="FD"/>
    <s v="O"/>
    <n v="0"/>
    <n v="3"/>
    <n v="0"/>
    <n v="4600"/>
    <n v="100"/>
    <d v="2021-03-30T00:00:00"/>
    <n v="22400"/>
    <n v="105771"/>
    <n v="128200"/>
    <n v="210000"/>
    <n v="642"/>
    <n v="45695.50896927961"/>
    <n v="155833.95000000001"/>
    <n v="-28558"/>
    <n v="-4503"/>
    <n v="-13632.4962"/>
    <n v="76167.021513"/>
    <n v="0"/>
    <n v="0"/>
    <n v="10052.209000000001"/>
    <n v="3895.3034600000001"/>
    <n v="-77007.001199999999"/>
    <n v="167943.49554227962"/>
    <n v="0.79973093115371252"/>
    <n v="0.89909171974485158"/>
    <n v="0.91974816281148053"/>
    <n v="0.89161307203578499"/>
    <n v="0.93897388656927183"/>
    <n v="153224.37510761581"/>
    <n v="0.72963988146483716"/>
    <n v="-56775.624892384192"/>
    <n v="3223471581.9207153"/>
  </r>
  <r>
    <n v="23091444410"/>
    <n v="0.21"/>
    <n v="0"/>
    <n v="0"/>
    <s v="GV"/>
    <s v="GV"/>
    <n v="4"/>
    <s v="RES"/>
    <n v="297500"/>
    <n v="39300"/>
    <n v="0.21"/>
    <n v="-1.5606477482650001"/>
    <n v="0"/>
    <n v="0"/>
    <n v="0"/>
    <n v="13398.7528"/>
    <n v="63902.980100000001"/>
    <n v="42992.246713125001"/>
    <s v="CP"/>
    <n v="1"/>
    <x v="0"/>
    <x v="0"/>
    <n v="0"/>
    <n v="0"/>
    <n v="4"/>
    <n v="4"/>
    <x v="0"/>
    <x v="1"/>
    <n v="1855"/>
    <n v="1855"/>
    <n v="0"/>
    <n v="0"/>
    <n v="0"/>
    <n v="399"/>
    <n v="0"/>
    <n v="253"/>
    <n v="0"/>
    <n v="10"/>
    <n v="0"/>
    <n v="0"/>
    <s v="CP"/>
    <n v="1"/>
    <s v="HP"/>
    <s v="E"/>
    <n v="1"/>
    <n v="3"/>
    <n v="0"/>
    <n v="0"/>
    <n v="100"/>
    <d v="2021-04-01T00:00:00"/>
    <n v="22500"/>
    <n v="358071"/>
    <n v="380600"/>
    <n v="349000"/>
    <n v="640"/>
    <n v="49926.780028885936"/>
    <n v="155833.95000000001"/>
    <n v="20768"/>
    <n v="25780"/>
    <n v="-956.66639999999995"/>
    <n v="115716.482315"/>
    <n v="0"/>
    <n v="34920.654363000001"/>
    <n v="20104.418000000001"/>
    <n v="0"/>
    <n v="-76767.103999999992"/>
    <n v="345326.51430688595"/>
    <n v="0.98947425302832648"/>
    <n v="0.93979103106061679"/>
    <n v="0.94231068710026933"/>
    <n v="0.94035194935713262"/>
    <n v="0.94249369191070453"/>
    <n v="325034.03704510891"/>
    <n v="0.93132961904042666"/>
    <n v="-23965.962954891089"/>
    <n v="574367380.35521197"/>
  </r>
  <r>
    <n v="23092242491"/>
    <n v="0.17"/>
    <n v="7503"/>
    <n v="0"/>
    <s v="GV"/>
    <s v="GV"/>
    <n v="4"/>
    <s v="RES"/>
    <n v="242200"/>
    <n v="38800"/>
    <n v="0.17"/>
    <n v="-1.771956841932"/>
    <n v="0"/>
    <n v="0"/>
    <n v="0"/>
    <n v="13398.7528"/>
    <n v="63902.980100000001"/>
    <n v="40160.968402685998"/>
    <s v="RN"/>
    <n v="1"/>
    <x v="2"/>
    <x v="3"/>
    <n v="0"/>
    <n v="0"/>
    <n v="16"/>
    <n v="16"/>
    <x v="1"/>
    <x v="1"/>
    <n v="1569"/>
    <n v="1569"/>
    <n v="0"/>
    <n v="0"/>
    <n v="0"/>
    <n v="484"/>
    <n v="0"/>
    <n v="0"/>
    <n v="100"/>
    <n v="10"/>
    <n v="0"/>
    <n v="0"/>
    <s v="CP"/>
    <n v="1"/>
    <s v="HP"/>
    <s v="E"/>
    <n v="1"/>
    <n v="3"/>
    <n v="0"/>
    <n v="0"/>
    <n v="100"/>
    <d v="2021-04-01T00:00:00"/>
    <n v="22200"/>
    <n v="269589"/>
    <n v="291800"/>
    <n v="289900"/>
    <n v="640"/>
    <n v="46638.82417142456"/>
    <n v="155833.95000000001"/>
    <n v="9808"/>
    <n v="22342"/>
    <n v="-3826.6655999999998"/>
    <n v="97875.558357000002"/>
    <n v="0"/>
    <n v="42359.891508000001"/>
    <n v="20104.418000000001"/>
    <n v="0"/>
    <n v="-76767.103999999992"/>
    <n v="314368.8724364246"/>
    <n v="1.0844045272039482"/>
    <n v="0.93645298159011592"/>
    <n v="0.94546156904349943"/>
    <n v="0.95331699902534994"/>
    <n v="0.94249369191070453"/>
    <n v="296899.80614171922"/>
    <n v="1.0241455886226949"/>
    <n v="6999.8061417192221"/>
    <n v="48997286.021650143"/>
  </r>
  <r>
    <n v="23091443421"/>
    <n v="0.23"/>
    <n v="9906"/>
    <n v="0"/>
    <s v="GV"/>
    <s v="GV"/>
    <n v="4"/>
    <s v="RES"/>
    <n v="195600"/>
    <n v="43800"/>
    <n v="0.23"/>
    <n v="-1.4696759700590001"/>
    <n v="0"/>
    <n v="0"/>
    <n v="0"/>
    <n v="13398.7528"/>
    <n v="63902.980100000001"/>
    <n v="44211.155081080004"/>
    <s v="RN"/>
    <n v="1"/>
    <x v="1"/>
    <x v="2"/>
    <n v="0"/>
    <n v="0"/>
    <n v="43"/>
    <n v="45"/>
    <x v="5"/>
    <x v="0"/>
    <n v="1410"/>
    <n v="1410"/>
    <n v="0"/>
    <n v="0"/>
    <n v="0"/>
    <n v="550"/>
    <n v="0"/>
    <n v="0"/>
    <n v="60"/>
    <n v="8"/>
    <n v="0"/>
    <n v="0"/>
    <s v="CP"/>
    <n v="1"/>
    <s v="FD"/>
    <s v="E"/>
    <n v="1"/>
    <n v="3"/>
    <n v="0"/>
    <n v="0"/>
    <n v="100"/>
    <d v="2021-04-09T00:00:00"/>
    <n v="25100"/>
    <n v="173804"/>
    <n v="198900"/>
    <n v="285000"/>
    <n v="632"/>
    <n v="51342.29502553949"/>
    <n v="155833.95000000001"/>
    <n v="2251"/>
    <n v="-4503"/>
    <n v="-10284.1638"/>
    <n v="87957.002730000007"/>
    <n v="0"/>
    <n v="48136.24035"/>
    <n v="16083.5344"/>
    <n v="0"/>
    <n v="-75807.515199999994"/>
    <n v="271009.34350553947"/>
    <n v="0.95090997721241921"/>
    <n v="0.94889070359879057"/>
    <n v="0.91974816281148053"/>
    <n v="0.95156852894116195"/>
    <n v="0.93897388656927183"/>
    <n v="254693.31283291065"/>
    <n v="0.89366074678214269"/>
    <n v="-30306.687167089345"/>
    <n v="918495287.043818"/>
  </r>
  <r>
    <n v="23092231518"/>
    <n v="0.27"/>
    <n v="11876"/>
    <n v="0"/>
    <s v="GV"/>
    <s v="GV"/>
    <n v="4"/>
    <s v="RES"/>
    <n v="333500"/>
    <n v="33400"/>
    <n v="0.27"/>
    <n v="-1.309333319984"/>
    <n v="0"/>
    <n v="0"/>
    <n v="0"/>
    <n v="13398.7528"/>
    <n v="63902.980100000001"/>
    <n v="46359.546612733997"/>
    <s v="CP"/>
    <n v="2"/>
    <x v="0"/>
    <x v="0"/>
    <n v="0"/>
    <n v="0"/>
    <n v="3"/>
    <n v="3"/>
    <x v="0"/>
    <x v="4"/>
    <n v="2552"/>
    <n v="1096"/>
    <n v="1456"/>
    <n v="0"/>
    <n v="0"/>
    <n v="520"/>
    <n v="0"/>
    <n v="0"/>
    <n v="0"/>
    <n v="13"/>
    <n v="0"/>
    <n v="0"/>
    <s v="CP"/>
    <n v="1"/>
    <s v="HP"/>
    <s v="E"/>
    <n v="1"/>
    <n v="4"/>
    <n v="0"/>
    <n v="0"/>
    <n v="100"/>
    <d v="2021-04-13T00:00:00"/>
    <n v="19100"/>
    <n v="441185"/>
    <n v="460300"/>
    <n v="339000"/>
    <n v="628"/>
    <n v="53837.216310592135"/>
    <n v="155833.95000000001"/>
    <n v="20768"/>
    <n v="25780"/>
    <n v="-717.49979999999994"/>
    <n v="159195.93685600001"/>
    <n v="0"/>
    <n v="45510.627240000002"/>
    <n v="26135.743399999999"/>
    <n v="0"/>
    <n v="-75327.720799999996"/>
    <n v="411016.25320659217"/>
    <n v="1.2124373250931921"/>
    <n v="0.93979103106061679"/>
    <n v="0.94231068710026933"/>
    <n v="0.94035194935713262"/>
    <n v="0.92848762814113772"/>
    <n v="385424.45933492674"/>
    <n v="1.1369453077726452"/>
    <n v="46424.459334926738"/>
    <n v="2155230424.5402665"/>
  </r>
  <r>
    <n v="23092323462"/>
    <n v="0.25"/>
    <n v="11070"/>
    <n v="0"/>
    <s v="GV"/>
    <s v="GV"/>
    <n v="4"/>
    <s v="RES"/>
    <n v="131800"/>
    <n v="40500"/>
    <n v="0.25"/>
    <n v="-1.38629436112"/>
    <n v="0"/>
    <n v="0"/>
    <n v="0"/>
    <n v="13398.7528"/>
    <n v="63902.980100000001"/>
    <n v="45328.364647321003"/>
    <s v="RN"/>
    <n v="1"/>
    <x v="3"/>
    <x v="2"/>
    <n v="0"/>
    <n v="0"/>
    <n v="51"/>
    <n v="83"/>
    <x v="9"/>
    <x v="0"/>
    <n v="1296"/>
    <n v="1296"/>
    <n v="0"/>
    <n v="0"/>
    <n v="0"/>
    <n v="200"/>
    <n v="0"/>
    <n v="0"/>
    <n v="0"/>
    <n v="5"/>
    <n v="0"/>
    <n v="0"/>
    <s v="CP"/>
    <n v="1"/>
    <s v="BH"/>
    <s v="E"/>
    <n v="0"/>
    <n v="2"/>
    <n v="0"/>
    <n v="0"/>
    <n v="100"/>
    <d v="2021-04-13T00:00:00"/>
    <n v="23200"/>
    <n v="110456"/>
    <n v="133700"/>
    <n v="190000"/>
    <n v="628"/>
    <n v="52639.70747834933"/>
    <n v="155833.95000000001"/>
    <n v="-28558"/>
    <n v="-4503"/>
    <n v="-12197.496599999999"/>
    <n v="80845.585487999997"/>
    <n v="0"/>
    <n v="17504.0874"/>
    <n v="10052.209000000001"/>
    <n v="0"/>
    <n v="-75327.720799999996"/>
    <n v="196289.32196634932"/>
    <n v="1.0331016945597333"/>
    <n v="0.89909171974485158"/>
    <n v="0.91974816281148053"/>
    <n v="0.93121896872088394"/>
    <n v="0.93897388656927183"/>
    <n v="181029.43370588811"/>
    <n v="0.95278649318888475"/>
    <n v="-8970.5662941118935"/>
    <n v="80471059.637056395"/>
  </r>
  <r>
    <n v="23092324433"/>
    <n v="0.17"/>
    <n v="7244"/>
    <n v="0"/>
    <s v="GV"/>
    <s v="GV"/>
    <n v="4"/>
    <s v="RES"/>
    <n v="189800"/>
    <n v="39100"/>
    <n v="0.17"/>
    <n v="-1.771956841932"/>
    <n v="0"/>
    <n v="0"/>
    <n v="0"/>
    <n v="13398.7528"/>
    <n v="63902.980100000001"/>
    <n v="40160.968402685998"/>
    <s v="TD"/>
    <n v="1"/>
    <x v="1"/>
    <x v="3"/>
    <n v="0"/>
    <n v="0"/>
    <n v="49"/>
    <n v="68"/>
    <x v="6"/>
    <x v="1"/>
    <n v="1620"/>
    <n v="1620"/>
    <n v="0"/>
    <n v="0"/>
    <n v="0"/>
    <n v="0"/>
    <n v="0"/>
    <n v="0"/>
    <n v="0"/>
    <n v="8"/>
    <n v="0"/>
    <n v="0"/>
    <s v="CP"/>
    <n v="1"/>
    <s v="FD"/>
    <s v="G"/>
    <n v="1"/>
    <n v="4"/>
    <n v="0"/>
    <n v="0"/>
    <n v="100"/>
    <d v="2021-04-15T00:00:00"/>
    <n v="22400"/>
    <n v="179728"/>
    <n v="202100"/>
    <n v="250000"/>
    <n v="626"/>
    <n v="46638.82417142456"/>
    <n v="155833.95000000001"/>
    <n v="2251"/>
    <n v="22342"/>
    <n v="-11719.163399999999"/>
    <n v="101056.98186"/>
    <n v="0"/>
    <n v="0"/>
    <n v="16083.5344"/>
    <n v="0"/>
    <n v="-75087.823600000003"/>
    <n v="257399.30343142455"/>
    <n v="1.0295972137256981"/>
    <n v="0.94889070359879057"/>
    <n v="0.94546156904349943"/>
    <n v="0.94654220114707954"/>
    <n v="0.94249369191070453"/>
    <n v="243460.36961547352"/>
    <n v="0.97384147846189406"/>
    <n v="-6539.6303845264774"/>
    <n v="42766765.566221923"/>
  </r>
  <r>
    <n v="23092323480"/>
    <n v="0.23"/>
    <n v="9864"/>
    <n v="0"/>
    <s v="GV"/>
    <s v="GV"/>
    <n v="4"/>
    <s v="RES"/>
    <n v="116200"/>
    <n v="40000"/>
    <n v="0.23"/>
    <n v="-1.4696759700590001"/>
    <n v="0"/>
    <n v="0"/>
    <n v="0"/>
    <n v="13398.7528"/>
    <n v="63902.980100000001"/>
    <n v="44211.155081080004"/>
    <s v="TD"/>
    <n v="1"/>
    <x v="4"/>
    <x v="2"/>
    <n v="0"/>
    <n v="0"/>
    <n v="53"/>
    <n v="93"/>
    <x v="8"/>
    <x v="3"/>
    <n v="912"/>
    <n v="912"/>
    <n v="0"/>
    <n v="0"/>
    <n v="308"/>
    <n v="0"/>
    <n v="0"/>
    <n v="0"/>
    <n v="0"/>
    <n v="5"/>
    <n v="0"/>
    <n v="0"/>
    <s v="CP"/>
    <n v="1"/>
    <s v="FD"/>
    <s v="G"/>
    <n v="0"/>
    <n v="2"/>
    <n v="0"/>
    <n v="6000"/>
    <n v="100"/>
    <d v="2021-04-15T00:00:00"/>
    <n v="22900"/>
    <n v="97839"/>
    <n v="120700"/>
    <n v="160000"/>
    <n v="626"/>
    <n v="51342.29502553949"/>
    <n v="155833.95000000001"/>
    <n v="10733"/>
    <n v="-4503"/>
    <n v="-12675.8298"/>
    <n v="56891.337936000004"/>
    <n v="0"/>
    <n v="0"/>
    <n v="10052.209000000001"/>
    <n v="5080.8306000000002"/>
    <n v="-75087.823600000003"/>
    <n v="197666.96916153945"/>
    <n v="1.2354185572596217"/>
    <n v="0.93029096284873303"/>
    <n v="0.91974816281148053"/>
    <n v="0.89043830049531381"/>
    <n v="0.87336335356423944"/>
    <n v="178584.23848989522"/>
    <n v="1.116151490561845"/>
    <n v="18584.238489895215"/>
    <n v="345373920.2493028"/>
  </r>
  <r>
    <n v="23091433500"/>
    <n v="0.25"/>
    <n v="11105"/>
    <n v="0"/>
    <s v="GV"/>
    <s v="GV"/>
    <n v="4"/>
    <s v="RES"/>
    <n v="164300"/>
    <n v="40200"/>
    <n v="0.25"/>
    <n v="-1.38629436112"/>
    <n v="0"/>
    <n v="0"/>
    <n v="0"/>
    <n v="13398.7528"/>
    <n v="63902.980100000001"/>
    <n v="45328.364647321003"/>
    <s v="RN"/>
    <n v="1"/>
    <x v="1"/>
    <x v="4"/>
    <n v="0"/>
    <n v="0"/>
    <n v="45"/>
    <n v="51"/>
    <x v="5"/>
    <x v="1"/>
    <n v="1505"/>
    <n v="1505"/>
    <n v="0"/>
    <n v="0"/>
    <n v="0"/>
    <n v="483"/>
    <n v="0"/>
    <n v="0"/>
    <n v="0"/>
    <n v="7"/>
    <n v="0"/>
    <n v="0"/>
    <s v="CP"/>
    <n v="1"/>
    <s v="BH"/>
    <s v="E"/>
    <n v="1"/>
    <n v="3"/>
    <n v="0"/>
    <n v="3000"/>
    <n v="100"/>
    <d v="2021-04-19T00:00:00"/>
    <n v="23000"/>
    <n v="153239"/>
    <n v="176200"/>
    <n v="224900"/>
    <n v="622"/>
    <n v="52639.70747834933"/>
    <n v="155833.95000000001"/>
    <n v="2251"/>
    <n v="-45357"/>
    <n v="-10762.496999999999"/>
    <n v="93883.183765000009"/>
    <n v="0"/>
    <n v="42272.371071000001"/>
    <n v="14073.0926"/>
    <n v="2540.4153000000001"/>
    <n v="-74608.029200000004"/>
    <n v="232766.19401434931"/>
    <n v="1.0349764073559329"/>
    <n v="0.94889070359879057"/>
    <n v="0.9059988268293695"/>
    <n v="0.95156852894116195"/>
    <n v="0.94249369191070453"/>
    <n v="218157.30767222031"/>
    <n v="0.9700191537226337"/>
    <n v="-6742.6923277796886"/>
    <n v="45463899.827099077"/>
  </r>
  <r>
    <n v="23092224473"/>
    <n v="0.16"/>
    <n v="7159"/>
    <n v="0"/>
    <s v="GV"/>
    <s v="GV"/>
    <n v="4"/>
    <s v="RES"/>
    <n v="276200"/>
    <n v="43000"/>
    <n v="0.16"/>
    <n v="-1.832581463748"/>
    <n v="0"/>
    <n v="0"/>
    <n v="0"/>
    <n v="13398.7528"/>
    <n v="63902.980100000001"/>
    <n v="39348.674081374003"/>
    <s v="CP"/>
    <n v="2"/>
    <x v="0"/>
    <x v="3"/>
    <n v="0"/>
    <n v="0"/>
    <n v="21"/>
    <n v="21"/>
    <x v="1"/>
    <x v="1"/>
    <n v="1966"/>
    <n v="944"/>
    <n v="1022"/>
    <n v="0"/>
    <n v="0"/>
    <n v="480"/>
    <n v="0"/>
    <n v="112"/>
    <n v="140"/>
    <n v="12"/>
    <n v="0"/>
    <n v="0"/>
    <s v="CP"/>
    <n v="1"/>
    <s v="FD"/>
    <s v="G"/>
    <n v="1"/>
    <n v="4"/>
    <n v="0"/>
    <n v="0"/>
    <n v="100"/>
    <d v="2021-04-21T00:00:00"/>
    <n v="24600"/>
    <n v="343382"/>
    <n v="368000"/>
    <n v="335000"/>
    <n v="620"/>
    <n v="45695.50896927961"/>
    <n v="155833.95000000001"/>
    <n v="20768"/>
    <n v="22342"/>
    <n v="-5022.4985999999999"/>
    <n v="122640.756998"/>
    <n v="0"/>
    <n v="42009.809760000004"/>
    <n v="24125.301599999999"/>
    <n v="0"/>
    <n v="-74368.131999999998"/>
    <n v="354024.69672727969"/>
    <n v="1.056790139484417"/>
    <n v="0.93979103106061679"/>
    <n v="0.94546156904349943"/>
    <n v="0.95331699902534994"/>
    <n v="0.94249369191070453"/>
    <n v="334647.44622928661"/>
    <n v="0.99894760068443766"/>
    <n v="-352.55377071339171"/>
    <n v="124294.16124423078"/>
  </r>
  <r>
    <n v="23092332419"/>
    <n v="0.25"/>
    <n v="0"/>
    <n v="0"/>
    <s v="GV"/>
    <s v="GV"/>
    <n v="4"/>
    <s v="RES"/>
    <n v="145900"/>
    <n v="37700"/>
    <n v="0.25"/>
    <n v="-1.38629436112"/>
    <n v="0"/>
    <n v="0"/>
    <n v="0"/>
    <n v="13398.7528"/>
    <n v="63902.980100000001"/>
    <n v="45328.364647321003"/>
    <s v="TD"/>
    <n v="1"/>
    <x v="4"/>
    <x v="3"/>
    <n v="0"/>
    <n v="0"/>
    <n v="51"/>
    <n v="83"/>
    <x v="9"/>
    <x v="3"/>
    <n v="803"/>
    <n v="803"/>
    <n v="0"/>
    <n v="0"/>
    <n v="0"/>
    <n v="0"/>
    <n v="0"/>
    <n v="0"/>
    <n v="0"/>
    <n v="5"/>
    <n v="0"/>
    <n v="0"/>
    <s v="CP"/>
    <n v="1"/>
    <s v="BH"/>
    <s v="E"/>
    <n v="0"/>
    <n v="2"/>
    <n v="0"/>
    <n v="2300"/>
    <n v="100"/>
    <d v="2021-04-21T00:00:00"/>
    <n v="21600"/>
    <n v="85101"/>
    <n v="106700"/>
    <n v="200000"/>
    <n v="620"/>
    <n v="52639.70747834933"/>
    <n v="155833.95000000001"/>
    <n v="10733"/>
    <n v="22342"/>
    <n v="-12197.496599999999"/>
    <n v="50091.824959000005"/>
    <n v="0"/>
    <n v="0"/>
    <n v="10052.209000000001"/>
    <n v="1947.65173"/>
    <n v="-74368.131999999998"/>
    <n v="217074.71456734929"/>
    <n v="1.0853735728367464"/>
    <n v="0.93029096284873303"/>
    <n v="0.94546156904349943"/>
    <n v="0.93121896872088394"/>
    <n v="0.87336335356423944"/>
    <n v="199726.90949570414"/>
    <n v="0.99863454747852065"/>
    <n v="-273.09050429586205"/>
    <n v="74578.423536568254"/>
  </r>
  <r>
    <n v="23092621422"/>
    <n v="0"/>
    <n v="8250"/>
    <n v="0"/>
    <s v="GV"/>
    <s v="GV"/>
    <n v="4"/>
    <s v="RES"/>
    <n v="265500"/>
    <n v="39100"/>
    <n v="0.19"/>
    <n v="-1.6607312068219999"/>
    <n v="0"/>
    <n v="0"/>
    <n v="0"/>
    <n v="13398.7528"/>
    <n v="63902.980100000001"/>
    <n v="41651.253192550997"/>
    <s v="CO"/>
    <n v="1"/>
    <x v="2"/>
    <x v="0"/>
    <n v="0"/>
    <n v="0"/>
    <n v="2"/>
    <n v="2"/>
    <x v="0"/>
    <x v="1"/>
    <n v="1600"/>
    <n v="160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4-22T00:00:00"/>
    <n v="22400"/>
    <n v="282110"/>
    <n v="304500"/>
    <n v="277470"/>
    <n v="619"/>
    <n v="48369.487874125851"/>
    <n v="155833.95000000001"/>
    <n v="9808"/>
    <n v="25780"/>
    <n v="-478.33319999999998"/>
    <n v="99809.36480000001"/>
    <n v="0"/>
    <n v="35008.174800000001"/>
    <n v="18093.976200000001"/>
    <n v="0"/>
    <n v="-74248.183399999994"/>
    <n v="317976.43707412586"/>
    <n v="1.145984924763491"/>
    <n v="0.93645298159011592"/>
    <n v="0.94231068710026933"/>
    <n v="0.94035194935713262"/>
    <n v="0.94249369191070453"/>
    <n v="299025.78151134419"/>
    <n v="1.0776868905155303"/>
    <n v="21555.78151134419"/>
    <n v="464651716.56480801"/>
  </r>
  <r>
    <n v="23092621424"/>
    <n v="0"/>
    <n v="8605"/>
    <n v="0"/>
    <s v="GV"/>
    <s v="GV"/>
    <n v="4"/>
    <s v="RES"/>
    <n v="265500"/>
    <n v="39300"/>
    <n v="0.2"/>
    <n v="-1.6094379124339999"/>
    <n v="0"/>
    <n v="0"/>
    <n v="0"/>
    <n v="13398.7528"/>
    <n v="63902.980100000001"/>
    <n v="42338.519364346997"/>
    <s v="CO"/>
    <n v="1"/>
    <x v="2"/>
    <x v="0"/>
    <n v="0"/>
    <n v="0"/>
    <n v="2"/>
    <n v="2"/>
    <x v="0"/>
    <x v="1"/>
    <n v="1600"/>
    <n v="160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4-26T00:00:00"/>
    <n v="22500"/>
    <n v="282110"/>
    <n v="304600"/>
    <n v="285231"/>
    <n v="615"/>
    <n v="49167.608223813884"/>
    <n v="155833.95000000001"/>
    <n v="9808"/>
    <n v="25780"/>
    <n v="-478.33319999999998"/>
    <n v="99809.36480000001"/>
    <n v="0"/>
    <n v="35008.174800000001"/>
    <n v="18093.976200000001"/>
    <n v="0"/>
    <n v="-73768.388999999996"/>
    <n v="319254.35182381386"/>
    <n v="1.119283499422622"/>
    <n v="0.93645298159011592"/>
    <n v="0.94231068710026933"/>
    <n v="0.94035194935713262"/>
    <n v="0.94249369191070453"/>
    <n v="300227.535516284"/>
    <n v="1.0525768079776883"/>
    <n v="14996.535516283999"/>
    <n v="224896077.49116737"/>
  </r>
  <r>
    <n v="23092621402"/>
    <n v="0"/>
    <n v="10920"/>
    <n v="0"/>
    <s v="GV"/>
    <s v="GV"/>
    <n v="4"/>
    <s v="RES"/>
    <n v="300500"/>
    <n v="40000"/>
    <n v="0.25"/>
    <n v="-1.38629436112"/>
    <n v="0"/>
    <n v="0"/>
    <n v="0"/>
    <n v="13398.7528"/>
    <n v="63902.980100000001"/>
    <n v="45328.364647321003"/>
    <s v="CO"/>
    <n v="1"/>
    <x v="2"/>
    <x v="0"/>
    <n v="0"/>
    <n v="0"/>
    <n v="2"/>
    <n v="2"/>
    <x v="0"/>
    <x v="2"/>
    <n v="2043"/>
    <n v="2043"/>
    <n v="0"/>
    <n v="0"/>
    <n v="0"/>
    <n v="578"/>
    <n v="0"/>
    <n v="0"/>
    <n v="0"/>
    <n v="9"/>
    <n v="0"/>
    <n v="0"/>
    <s v="CP"/>
    <n v="1"/>
    <s v="FD"/>
    <s v="G"/>
    <n v="1"/>
    <n v="3"/>
    <n v="0"/>
    <n v="0"/>
    <n v="100"/>
    <d v="2021-04-27T00:00:00"/>
    <n v="22900"/>
    <n v="339352"/>
    <n v="362300"/>
    <n v="334800"/>
    <n v="614"/>
    <n v="52639.70747834933"/>
    <n v="155833.95000000001"/>
    <n v="9808"/>
    <n v="25780"/>
    <n v="-478.33319999999998"/>
    <n v="127444.082679"/>
    <n v="0"/>
    <n v="50586.812586"/>
    <n v="18093.976200000001"/>
    <n v="0"/>
    <n v="-73648.440399999992"/>
    <n v="366059.7553433493"/>
    <n v="1.0933684448726084"/>
    <n v="0.93645298159011592"/>
    <n v="0.94231068710026933"/>
    <n v="0.94035194935713262"/>
    <n v="0.94539091427335964"/>
    <n v="344508.58505245519"/>
    <n v="1.0289981632391134"/>
    <n v="9708.5850524551934"/>
    <n v="94256623.720756412"/>
  </r>
  <r>
    <n v="23092242481"/>
    <n v="0.2"/>
    <n v="8501"/>
    <n v="0"/>
    <s v="GV"/>
    <s v="GV"/>
    <n v="4"/>
    <s v="RES"/>
    <n v="272800"/>
    <n v="43500"/>
    <n v="0.2"/>
    <n v="-1.6094379124339999"/>
    <n v="0"/>
    <n v="0"/>
    <n v="0"/>
    <n v="13398.7528"/>
    <n v="63902.980100000001"/>
    <n v="42338.519364346997"/>
    <s v="CP"/>
    <n v="1"/>
    <x v="0"/>
    <x v="3"/>
    <n v="0"/>
    <n v="0"/>
    <n v="17"/>
    <n v="17"/>
    <x v="1"/>
    <x v="1"/>
    <n v="1821"/>
    <n v="1821"/>
    <n v="0"/>
    <n v="0"/>
    <n v="0"/>
    <n v="520"/>
    <n v="0"/>
    <n v="0"/>
    <n v="0"/>
    <n v="10"/>
    <n v="0"/>
    <n v="0"/>
    <s v="CP"/>
    <n v="1"/>
    <s v="HP"/>
    <s v="G"/>
    <n v="1"/>
    <n v="3"/>
    <n v="0"/>
    <n v="0"/>
    <n v="100"/>
    <d v="2021-04-27T00:00:00"/>
    <n v="24900"/>
    <n v="339487"/>
    <n v="364400"/>
    <n v="320000"/>
    <n v="614"/>
    <n v="49167.608223813884"/>
    <n v="155833.95000000001"/>
    <n v="20768"/>
    <n v="22342"/>
    <n v="-4065.8321999999998"/>
    <n v="113595.53331300001"/>
    <n v="0"/>
    <n v="45510.627240000002"/>
    <n v="20104.418000000001"/>
    <n v="0"/>
    <n v="-73648.440399999992"/>
    <n v="349607.86417681386"/>
    <n v="1.0925245755525432"/>
    <n v="0.93979103106061679"/>
    <n v="0.94546156904349943"/>
    <n v="0.95331699902534994"/>
    <n v="0.94249369191070453"/>
    <n v="330472.36537447723"/>
    <n v="1.0327261417952414"/>
    <n v="10472.365374477231"/>
    <n v="109670436.53654963"/>
  </r>
  <r>
    <n v="23092323402"/>
    <n v="0.34"/>
    <n v="15028"/>
    <n v="0"/>
    <s v="GV"/>
    <s v="GV"/>
    <n v="4"/>
    <s v="RES"/>
    <n v="220300"/>
    <n v="41800"/>
    <n v="0.34"/>
    <n v="-1.078809661372"/>
    <n v="0"/>
    <n v="0"/>
    <n v="0"/>
    <n v="13398.7528"/>
    <n v="63902.980100000001"/>
    <n v="49448.276129026002"/>
    <s v="TD"/>
    <n v="1"/>
    <x v="4"/>
    <x v="3"/>
    <n v="0"/>
    <n v="0"/>
    <n v="53"/>
    <n v="93"/>
    <x v="8"/>
    <x v="0"/>
    <n v="1348"/>
    <n v="1348"/>
    <n v="0"/>
    <n v="0"/>
    <n v="0"/>
    <n v="0"/>
    <n v="0"/>
    <n v="0"/>
    <n v="0"/>
    <n v="8"/>
    <n v="0"/>
    <n v="0"/>
    <s v="CP"/>
    <n v="1"/>
    <s v="BH"/>
    <s v="E"/>
    <n v="0"/>
    <n v="3"/>
    <n v="0"/>
    <n v="41300"/>
    <n v="100"/>
    <d v="2021-04-28T00:00:00"/>
    <n v="23900"/>
    <n v="174772"/>
    <n v="198700"/>
    <n v="304800"/>
    <n v="613"/>
    <n v="57424.149558292345"/>
    <n v="155833.95000000001"/>
    <n v="10733"/>
    <n v="22342"/>
    <n v="-12675.8298"/>
    <n v="84089.389844000005"/>
    <n v="0"/>
    <n v="0"/>
    <n v="16083.5344"/>
    <n v="34973.050629999998"/>
    <n v="-73528.491800000003"/>
    <n v="295274.75283229235"/>
    <n v="0.96874918908232399"/>
    <n v="0.93029096284873303"/>
    <n v="0.94546156904349943"/>
    <n v="0.89043830049531381"/>
    <n v="0.93897388656927183"/>
    <n v="273510.39914822613"/>
    <n v="0.89734382922646372"/>
    <n v="-31289.600851773866"/>
    <n v="979039121.46332788"/>
  </r>
  <r>
    <n v="23092811413"/>
    <n v="1.64"/>
    <n v="71547"/>
    <n v="0"/>
    <s v="GV"/>
    <s v="GV"/>
    <n v="4"/>
    <s v="RES"/>
    <n v="123400"/>
    <n v="45600"/>
    <n v="1.64"/>
    <n v="0.4946962418361"/>
    <n v="0"/>
    <n v="0"/>
    <n v="0"/>
    <n v="13398.7528"/>
    <n v="63902.980100000001"/>
    <n v="70531.292755450995"/>
    <s v="TD"/>
    <n v="1"/>
    <x v="3"/>
    <x v="2"/>
    <n v="0"/>
    <n v="0"/>
    <n v="57"/>
    <n v="103"/>
    <x v="3"/>
    <x v="1"/>
    <n v="1560"/>
    <n v="1008"/>
    <n v="0"/>
    <n v="552"/>
    <n v="276"/>
    <n v="180"/>
    <n v="0"/>
    <n v="0"/>
    <n v="0"/>
    <n v="7"/>
    <n v="0"/>
    <n v="0"/>
    <s v="CP"/>
    <n v="1"/>
    <s v="BH"/>
    <s v="E"/>
    <n v="0"/>
    <n v="2"/>
    <n v="0"/>
    <n v="0"/>
    <n v="100"/>
    <d v="2021-04-28T00:00:00"/>
    <n v="26100"/>
    <n v="112997"/>
    <n v="139100"/>
    <n v="215000"/>
    <n v="613"/>
    <n v="81907.799842414795"/>
    <n v="155833.95000000001"/>
    <n v="-28558"/>
    <n v="-4503"/>
    <n v="-13632.4962"/>
    <n v="97314.130680000002"/>
    <n v="-14958.780480000001"/>
    <n v="15753.67866"/>
    <n v="14073.0926"/>
    <n v="0"/>
    <n v="-73528.491800000003"/>
    <n v="229701.88330241473"/>
    <n v="1.0683808525693708"/>
    <n v="0.89909171974485158"/>
    <n v="0.91974816281148053"/>
    <n v="0.89161307203578499"/>
    <n v="0.94249369191070453"/>
    <n v="209772.18107623458"/>
    <n v="0.97568456314527718"/>
    <n v="-5227.8189237654151"/>
    <n v="27330090.699679784"/>
  </r>
  <r>
    <n v="23092621423"/>
    <n v="0"/>
    <n v="8250"/>
    <n v="0"/>
    <s v="GV"/>
    <s v="GV"/>
    <n v="4"/>
    <s v="RES"/>
    <n v="265500"/>
    <n v="39100"/>
    <n v="0.19"/>
    <n v="-1.6607312068219999"/>
    <n v="0"/>
    <n v="0"/>
    <n v="0"/>
    <n v="13398.7528"/>
    <n v="63902.980100000001"/>
    <n v="41651.253192550997"/>
    <s v="CO"/>
    <n v="1"/>
    <x v="2"/>
    <x v="0"/>
    <n v="0"/>
    <n v="0"/>
    <n v="2"/>
    <n v="2"/>
    <x v="0"/>
    <x v="1"/>
    <n v="1600"/>
    <n v="160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5-05T00:00:00"/>
    <n v="22400"/>
    <n v="282110"/>
    <n v="304500"/>
    <n v="287102"/>
    <n v="606"/>
    <n v="48369.487874125851"/>
    <n v="155833.95000000001"/>
    <n v="9808"/>
    <n v="25780"/>
    <n v="-478.33319999999998"/>
    <n v="99809.36480000001"/>
    <n v="0"/>
    <n v="35008.174800000001"/>
    <n v="18093.976200000001"/>
    <n v="0"/>
    <n v="-72688.851599999995"/>
    <n v="319535.76887412585"/>
    <n v="1.1129694982066507"/>
    <n v="0.93645298159011592"/>
    <n v="0.94231068710026933"/>
    <n v="0.94035194935713262"/>
    <n v="0.94249369191070453"/>
    <n v="300492.18076539267"/>
    <n v="1.0466391065384173"/>
    <n v="13390.180765392666"/>
    <n v="179296940.92989174"/>
  </r>
  <r>
    <n v="23092331424"/>
    <n v="0.16"/>
    <n v="7166"/>
    <n v="0"/>
    <s v="GV"/>
    <s v="GV"/>
    <n v="4"/>
    <s v="RES"/>
    <n v="193600"/>
    <n v="38600"/>
    <n v="0.16"/>
    <n v="-1.832581463748"/>
    <n v="0"/>
    <n v="0"/>
    <n v="0"/>
    <n v="13398.7528"/>
    <n v="63902.980100000001"/>
    <n v="39348.674081374003"/>
    <s v="RN"/>
    <n v="1"/>
    <x v="1"/>
    <x v="2"/>
    <n v="0"/>
    <n v="0"/>
    <n v="28"/>
    <n v="28"/>
    <x v="11"/>
    <x v="0"/>
    <n v="1424"/>
    <n v="1424"/>
    <n v="0"/>
    <n v="0"/>
    <n v="0"/>
    <n v="520"/>
    <n v="0"/>
    <n v="0"/>
    <n v="0"/>
    <n v="8"/>
    <n v="0"/>
    <n v="0"/>
    <s v="CP"/>
    <n v="1"/>
    <s v="HP"/>
    <s v="E"/>
    <n v="1"/>
    <n v="3"/>
    <n v="0"/>
    <n v="0"/>
    <n v="100"/>
    <d v="2021-05-05T00:00:00"/>
    <n v="22100"/>
    <n v="199089"/>
    <n v="221200"/>
    <n v="265000"/>
    <n v="606"/>
    <n v="45695.50896927961"/>
    <n v="155833.95000000001"/>
    <n v="2251"/>
    <n v="-4503"/>
    <n v="-6696.6647999999996"/>
    <n v="88830.334671999997"/>
    <n v="0"/>
    <n v="45510.627240000002"/>
    <n v="16083.5344"/>
    <n v="0"/>
    <n v="-72688.851599999995"/>
    <n v="270316.43888127967"/>
    <n v="1.0200620335142629"/>
    <n v="0.94889070359879057"/>
    <n v="0.91974816281148053"/>
    <n v="0.959911764774662"/>
    <n v="0.93897388656927183"/>
    <n v="254605.95275930679"/>
    <n v="0.96077718022379921"/>
    <n v="-10394.047240693209"/>
    <n v="108036218.04176213"/>
  </r>
  <r>
    <n v="23092224433"/>
    <n v="0.2"/>
    <n v="8808"/>
    <n v="0"/>
    <s v="GV"/>
    <s v="GV"/>
    <n v="4"/>
    <s v="RES"/>
    <n v="198600"/>
    <n v="43700"/>
    <n v="0.2"/>
    <n v="-1.6094379124339999"/>
    <n v="0"/>
    <n v="0"/>
    <n v="0"/>
    <n v="13398.7528"/>
    <n v="63902.980100000001"/>
    <n v="42338.519364346997"/>
    <s v="RN"/>
    <n v="1"/>
    <x v="2"/>
    <x v="2"/>
    <n v="0"/>
    <n v="0"/>
    <n v="43"/>
    <n v="44"/>
    <x v="4"/>
    <x v="1"/>
    <n v="1508"/>
    <n v="1508"/>
    <n v="0"/>
    <n v="0"/>
    <n v="0"/>
    <n v="364"/>
    <n v="0"/>
    <n v="0"/>
    <n v="0"/>
    <n v="7"/>
    <n v="1"/>
    <n v="0"/>
    <s v="CP"/>
    <n v="1"/>
    <s v="FD"/>
    <s v="E"/>
    <n v="1"/>
    <n v="3"/>
    <n v="0"/>
    <n v="0"/>
    <n v="100"/>
    <d v="2021-05-07T00:00:00"/>
    <n v="25000"/>
    <n v="201057"/>
    <n v="226100"/>
    <n v="255000"/>
    <n v="604"/>
    <n v="49167.608223813884"/>
    <n v="155833.95000000001"/>
    <n v="9808"/>
    <n v="-4503"/>
    <n v="-10284.1638"/>
    <n v="94070.326324000009"/>
    <n v="0"/>
    <n v="31857.439068"/>
    <n v="14073.0926"/>
    <n v="0"/>
    <n v="-72448.954400000002"/>
    <n v="267574.29801581387"/>
    <n v="1.0493109726110348"/>
    <n v="0.93645298159011592"/>
    <n v="0.91974816281148053"/>
    <n v="0.9474610576206125"/>
    <n v="0.94249369191070453"/>
    <n v="250593.75839422573"/>
    <n v="0.98272062115382641"/>
    <n v="-4406.2416057742666"/>
    <n v="19414965.088456187"/>
  </r>
  <r>
    <n v="23092231437"/>
    <n v="0.14000000000000001"/>
    <n v="6030"/>
    <n v="0"/>
    <s v="GV"/>
    <s v="GV"/>
    <n v="4"/>
    <s v="RES"/>
    <n v="153400"/>
    <n v="42400"/>
    <n v="0.14000000000000001"/>
    <n v="-1.9661128563729999"/>
    <n v="0"/>
    <n v="0"/>
    <n v="0"/>
    <n v="13398.7528"/>
    <n v="63902.980100000001"/>
    <n v="37559.519960559002"/>
    <s v="RN"/>
    <n v="1"/>
    <x v="4"/>
    <x v="2"/>
    <n v="0"/>
    <n v="0"/>
    <n v="47"/>
    <n v="56"/>
    <x v="2"/>
    <x v="0"/>
    <n v="1040"/>
    <n v="1040"/>
    <n v="0"/>
    <n v="0"/>
    <n v="0"/>
    <n v="364"/>
    <n v="0"/>
    <n v="0"/>
    <n v="280"/>
    <n v="5"/>
    <n v="0"/>
    <n v="0"/>
    <s v="CP"/>
    <n v="1"/>
    <s v="BH"/>
    <s v="E"/>
    <n v="0"/>
    <n v="3"/>
    <n v="0"/>
    <n v="0"/>
    <n v="100"/>
    <d v="2021-05-11T00:00:00"/>
    <n v="24300"/>
    <n v="111850"/>
    <n v="136200"/>
    <n v="236500"/>
    <n v="600"/>
    <n v="43617.769119493278"/>
    <n v="155833.95000000001"/>
    <n v="10733"/>
    <n v="-4503"/>
    <n v="-11240.8302"/>
    <n v="64876.087120000004"/>
    <n v="0"/>
    <n v="31857.439068"/>
    <n v="10052.209000000001"/>
    <n v="0"/>
    <n v="-71969.16"/>
    <n v="229257.46410749326"/>
    <n v="0.96937616958770934"/>
    <n v="0.93029096284873303"/>
    <n v="0.91974816281148053"/>
    <n v="0.91535194202033021"/>
    <n v="0.93897388656927183"/>
    <n v="212313.32888499578"/>
    <n v="0.89773077752640917"/>
    <n v="-24186.671115004225"/>
    <n v="584995059.62537968"/>
  </r>
  <r>
    <n v="23092242530"/>
    <n v="0.17"/>
    <n v="7479"/>
    <n v="0"/>
    <s v="GV"/>
    <s v="GV"/>
    <n v="4"/>
    <s v="RES"/>
    <n v="227900"/>
    <n v="38800"/>
    <n v="0.17"/>
    <n v="-1.771956841932"/>
    <n v="0"/>
    <n v="0"/>
    <n v="0"/>
    <n v="13398.7528"/>
    <n v="63902.980100000001"/>
    <n v="40160.968402685998"/>
    <s v="RN"/>
    <n v="1"/>
    <x v="2"/>
    <x v="3"/>
    <n v="0"/>
    <n v="0"/>
    <n v="15"/>
    <n v="15"/>
    <x v="1"/>
    <x v="0"/>
    <n v="1214"/>
    <n v="1214"/>
    <n v="0"/>
    <n v="0"/>
    <n v="0"/>
    <n v="520"/>
    <n v="180"/>
    <n v="130"/>
    <n v="100"/>
    <n v="8"/>
    <n v="0"/>
    <n v="0"/>
    <s v="CP"/>
    <n v="1"/>
    <s v="HP"/>
    <s v="E"/>
    <n v="1"/>
    <n v="3"/>
    <n v="0"/>
    <n v="0"/>
    <n v="100"/>
    <d v="2021-05-12T00:00:00"/>
    <n v="22200"/>
    <n v="228547"/>
    <n v="250700"/>
    <n v="260000"/>
    <n v="599"/>
    <n v="46638.82417142456"/>
    <n v="155833.95000000001"/>
    <n v="9808"/>
    <n v="22342"/>
    <n v="-3587.4989999999998"/>
    <n v="75730.355542000005"/>
    <n v="0"/>
    <n v="45510.627240000002"/>
    <n v="16083.5344"/>
    <n v="0"/>
    <n v="-71849.2114"/>
    <n v="296510.58095342456"/>
    <n v="1.1404253113593252"/>
    <n v="0.93645298159011592"/>
    <n v="0.94546156904349943"/>
    <n v="0.95331699902534994"/>
    <n v="0.93897388656927183"/>
    <n v="279772.96163340192"/>
    <n v="1.0760498524361612"/>
    <n v="19772.961633401923"/>
    <n v="390970011.75598443"/>
  </r>
  <r>
    <n v="23091443408"/>
    <n v="0.25"/>
    <n v="10908"/>
    <n v="0"/>
    <s v="GV"/>
    <s v="GV"/>
    <n v="4"/>
    <s v="RES"/>
    <n v="231500"/>
    <n v="40000"/>
    <n v="0.25"/>
    <n v="-1.38629436112"/>
    <n v="0"/>
    <n v="0"/>
    <n v="0"/>
    <n v="13398.7528"/>
    <n v="63902.980100000001"/>
    <n v="45328.364647321003"/>
    <s v="RN"/>
    <n v="1"/>
    <x v="2"/>
    <x v="3"/>
    <n v="0"/>
    <n v="0"/>
    <n v="45"/>
    <n v="50"/>
    <x v="5"/>
    <x v="1"/>
    <n v="1872"/>
    <n v="1872"/>
    <n v="0"/>
    <n v="0"/>
    <n v="0"/>
    <n v="0"/>
    <n v="0"/>
    <n v="0"/>
    <n v="288"/>
    <n v="7"/>
    <n v="0"/>
    <n v="1"/>
    <s v="CP"/>
    <n v="1"/>
    <s v="FD"/>
    <s v="E"/>
    <n v="1"/>
    <n v="3"/>
    <n v="0"/>
    <n v="0"/>
    <n v="100"/>
    <d v="2021-05-12T00:00:00"/>
    <n v="22900"/>
    <n v="250183"/>
    <n v="273100"/>
    <n v="278500"/>
    <n v="599"/>
    <n v="52639.70747834933"/>
    <n v="155833.95000000001"/>
    <n v="9808"/>
    <n v="22342"/>
    <n v="-10762.496999999999"/>
    <n v="116776.95681600001"/>
    <n v="0"/>
    <n v="0"/>
    <n v="14073.0926"/>
    <n v="0"/>
    <n v="-71849.2114"/>
    <n v="288861.9984943493"/>
    <n v="1.0372064577894051"/>
    <n v="0.93645298159011592"/>
    <n v="0.94546156904349943"/>
    <n v="0.95156852894116195"/>
    <n v="0.94249369191070453"/>
    <n v="272684.04911988426"/>
    <n v="0.97911687296188243"/>
    <n v="-5815.9508801157353"/>
    <n v="33825284.639918998"/>
  </r>
  <r>
    <n v="23092323533"/>
    <n v="0.18"/>
    <n v="7682"/>
    <n v="0"/>
    <s v="GV"/>
    <s v="GV"/>
    <n v="4"/>
    <s v="RES"/>
    <n v="116200"/>
    <n v="39300"/>
    <n v="0.18"/>
    <n v="-1.7147984280919999"/>
    <n v="0"/>
    <n v="0"/>
    <n v="0"/>
    <n v="13398.7528"/>
    <n v="63902.980100000001"/>
    <n v="40926.819860167998"/>
    <s v="TD"/>
    <n v="1"/>
    <x v="4"/>
    <x v="2"/>
    <n v="0"/>
    <n v="0"/>
    <n v="51"/>
    <n v="83"/>
    <x v="9"/>
    <x v="3"/>
    <n v="640"/>
    <n v="640"/>
    <n v="0"/>
    <n v="0"/>
    <n v="435"/>
    <n v="0"/>
    <n v="0"/>
    <n v="0"/>
    <n v="0"/>
    <n v="5"/>
    <n v="0"/>
    <n v="0"/>
    <s v="MT"/>
    <n v="1"/>
    <s v="BH"/>
    <s v="E"/>
    <n v="0"/>
    <n v="2"/>
    <n v="0"/>
    <n v="5800"/>
    <n v="100"/>
    <d v="2021-05-18T00:00:00"/>
    <n v="22500"/>
    <n v="84308"/>
    <n v="106800"/>
    <n v="195000"/>
    <n v="593"/>
    <n v="47528.20540119947"/>
    <n v="155833.95000000001"/>
    <n v="10733"/>
    <n v="-4503"/>
    <n v="-12197.496599999999"/>
    <n v="39923.745920000001"/>
    <n v="0"/>
    <n v="0"/>
    <n v="10052.209000000001"/>
    <n v="4911.46958"/>
    <n v="-71129.519799999995"/>
    <n v="181152.56350119947"/>
    <n v="0.92898750513435624"/>
    <n v="0.93029096284873303"/>
    <n v="0.91974816281148053"/>
    <n v="0.93121896872088394"/>
    <n v="0.87336335356423944"/>
    <n v="165511.0109804408"/>
    <n v="0.84877441528431175"/>
    <n v="-29488.989019559202"/>
    <n v="869600473.39568317"/>
  </r>
  <r>
    <n v="23092711422"/>
    <n v="0.57999999999999996"/>
    <n v="0"/>
    <n v="0"/>
    <s v="GV"/>
    <s v="GV"/>
    <n v="4"/>
    <s v="RES"/>
    <n v="153100"/>
    <n v="51500"/>
    <n v="0.57999999999999996"/>
    <n v="-0.544727175442"/>
    <n v="0"/>
    <n v="0"/>
    <n v="0"/>
    <n v="13398.7528"/>
    <n v="63902.980100000001"/>
    <n v="56604.315332815"/>
    <s v="FH"/>
    <n v="2"/>
    <x v="1"/>
    <x v="2"/>
    <n v="0"/>
    <n v="0"/>
    <n v="57"/>
    <n v="103"/>
    <x v="3"/>
    <x v="1"/>
    <n v="1792"/>
    <n v="1392"/>
    <n v="400"/>
    <n v="0"/>
    <n v="320"/>
    <n v="0"/>
    <n v="0"/>
    <n v="565"/>
    <n v="0"/>
    <n v="6"/>
    <n v="1"/>
    <n v="0"/>
    <s v="MT"/>
    <n v="1"/>
    <s v="FD"/>
    <s v="E"/>
    <n v="0"/>
    <n v="4"/>
    <n v="0"/>
    <n v="0"/>
    <n v="100"/>
    <d v="2021-05-18T00:00:00"/>
    <n v="29500"/>
    <n v="168466"/>
    <n v="198000"/>
    <n v="228000"/>
    <n v="593"/>
    <n v="65734.438564346667"/>
    <n v="155833.95000000001"/>
    <n v="2251"/>
    <n v="-4503"/>
    <n v="-13632.4962"/>
    <n v="111786.488576"/>
    <n v="0"/>
    <n v="0"/>
    <n v="12062.650799999999"/>
    <n v="0"/>
    <n v="-71129.519799999995"/>
    <n v="258403.51194034668"/>
    <n v="1.133348736580468"/>
    <n v="0.94889070359879057"/>
    <n v="0.91974816281148053"/>
    <n v="0.89161307203578499"/>
    <n v="0.94249369191070453"/>
    <n v="239200.61867648992"/>
    <n v="1.0491255205109207"/>
    <n v="11200.618676489918"/>
    <n v="125453858.73613475"/>
  </r>
  <r>
    <n v="23092621409"/>
    <n v="0"/>
    <n v="8250"/>
    <n v="0"/>
    <s v="GV"/>
    <s v="GV"/>
    <n v="4"/>
    <s v="RES"/>
    <n v="265500"/>
    <n v="39100"/>
    <n v="0.19"/>
    <n v="-1.6607312068219999"/>
    <n v="0"/>
    <n v="0"/>
    <n v="0"/>
    <n v="13398.7528"/>
    <n v="63902.980100000001"/>
    <n v="41651.253192550997"/>
    <s v="CO"/>
    <n v="1"/>
    <x v="2"/>
    <x v="0"/>
    <n v="0"/>
    <n v="0"/>
    <n v="2"/>
    <n v="2"/>
    <x v="0"/>
    <x v="1"/>
    <n v="1600"/>
    <n v="160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5-20T00:00:00"/>
    <n v="22400"/>
    <n v="282110"/>
    <n v="304500"/>
    <n v="277940"/>
    <n v="591"/>
    <n v="48369.487874125851"/>
    <n v="155833.95000000001"/>
    <n v="9808"/>
    <n v="25780"/>
    <n v="-478.33319999999998"/>
    <n v="99809.36480000001"/>
    <n v="0"/>
    <n v="35008.174800000001"/>
    <n v="18093.976200000001"/>
    <n v="0"/>
    <n v="-70889.622600000002"/>
    <n v="321334.99787412584"/>
    <n v="1.1561308119526728"/>
    <n v="0.93645298159011592"/>
    <n v="0.94231068710026933"/>
    <n v="0.94035194935713262"/>
    <n v="0.94249369191070453"/>
    <n v="302184.17990467936"/>
    <n v="1.0872281064426832"/>
    <n v="24244.17990467936"/>
    <n v="587780259.25045848"/>
  </r>
  <r>
    <n v="23092621406"/>
    <n v="0"/>
    <n v="8250"/>
    <n v="0"/>
    <s v="GV"/>
    <s v="GV"/>
    <n v="4"/>
    <s v="RES"/>
    <n v="2536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1"/>
    <n v="1600"/>
    <n v="160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5-21T00:00:00"/>
    <n v="22400"/>
    <n v="282110"/>
    <n v="304500"/>
    <n v="288240"/>
    <n v="590"/>
    <n v="48369.487874125851"/>
    <n v="155833.95000000001"/>
    <n v="9808"/>
    <n v="25780"/>
    <n v="-478.33319999999998"/>
    <n v="99809.36480000001"/>
    <n v="0"/>
    <n v="35008.174800000001"/>
    <n v="18093.976200000001"/>
    <n v="0"/>
    <n v="-70769.673999999999"/>
    <n v="321454.94647412584"/>
    <n v="1.1152336472180331"/>
    <n v="0.93645298159011592"/>
    <n v="0.94231068710026933"/>
    <n v="0.94035194935713262"/>
    <n v="0.94249369191070453"/>
    <n v="302296.97984729847"/>
    <n v="1.0487683175385043"/>
    <n v="14056.979847298469"/>
    <n v="197598682.42735529"/>
  </r>
  <r>
    <n v="23091911439"/>
    <n v="0.86"/>
    <n v="37473"/>
    <n v="0"/>
    <s v="GV"/>
    <s v="GV"/>
    <n v="4"/>
    <s v="RES"/>
    <n v="386500"/>
    <n v="49100"/>
    <n v="0.86"/>
    <n v="-0.15082288973499999"/>
    <n v="0"/>
    <n v="0"/>
    <n v="0"/>
    <n v="13398.7528"/>
    <n v="63902.980100000001"/>
    <n v="61882.141483865002"/>
    <s v="CP"/>
    <n v="1"/>
    <x v="6"/>
    <x v="1"/>
    <n v="78400"/>
    <n v="0"/>
    <n v="24"/>
    <n v="24"/>
    <x v="1"/>
    <x v="4"/>
    <n v="2686"/>
    <n v="2686"/>
    <n v="0"/>
    <n v="0"/>
    <n v="0"/>
    <n v="1118"/>
    <n v="0"/>
    <n v="0"/>
    <n v="500"/>
    <n v="12"/>
    <n v="0"/>
    <n v="2"/>
    <s v="CL"/>
    <n v="1"/>
    <s v="FD"/>
    <s v="E"/>
    <n v="1"/>
    <n v="3"/>
    <n v="0"/>
    <n v="0"/>
    <n v="100"/>
    <d v="2021-05-21T00:00:00"/>
    <n v="28100"/>
    <n v="719981"/>
    <n v="748100"/>
    <n v="545000"/>
    <n v="590"/>
    <n v="71863.563823430421"/>
    <n v="155833.95000000001"/>
    <n v="78466"/>
    <n v="25818"/>
    <n v="-5739.9983999999995"/>
    <n v="167554.971158"/>
    <n v="0"/>
    <n v="97847.848566000001"/>
    <n v="24125.301599999999"/>
    <n v="0"/>
    <n v="-70769.673999999999"/>
    <n v="544999.96274743043"/>
    <n v="0.99999993164666134"/>
    <n v="0.98957772896037632"/>
    <n v="0.95027059935652425"/>
    <n v="0.95331699902534994"/>
    <n v="0.92848762814113772"/>
    <n v="520700.17959301348"/>
    <n v="0.95541317356516231"/>
    <n v="-24299.820406986517"/>
    <n v="590481271.81179833"/>
  </r>
  <r>
    <n v="23092323535"/>
    <n v="0.19"/>
    <n v="8173"/>
    <n v="0"/>
    <s v="GV"/>
    <s v="GV"/>
    <n v="4"/>
    <s v="RES"/>
    <n v="165100"/>
    <n v="39500"/>
    <n v="0.19"/>
    <n v="-1.6607312068219999"/>
    <n v="0"/>
    <n v="0"/>
    <n v="0"/>
    <n v="13398.7528"/>
    <n v="63902.980100000001"/>
    <n v="41651.253192550997"/>
    <s v="TD"/>
    <n v="1"/>
    <x v="2"/>
    <x v="2"/>
    <n v="0"/>
    <n v="0"/>
    <n v="53"/>
    <n v="93"/>
    <x v="8"/>
    <x v="1"/>
    <n v="1618"/>
    <n v="1388"/>
    <n v="0"/>
    <n v="230"/>
    <n v="466"/>
    <n v="0"/>
    <n v="0"/>
    <n v="0"/>
    <n v="232"/>
    <n v="8"/>
    <n v="0"/>
    <n v="0"/>
    <s v="MT"/>
    <n v="1"/>
    <s v="HP"/>
    <s v="E"/>
    <n v="1"/>
    <n v="3"/>
    <n v="0"/>
    <n v="10700"/>
    <n v="100"/>
    <d v="2021-05-26T00:00:00"/>
    <n v="22600"/>
    <n v="208924"/>
    <n v="231500"/>
    <n v="250000"/>
    <n v="585"/>
    <n v="48369.487874125851"/>
    <n v="155833.95000000001"/>
    <n v="9808"/>
    <n v="-4503"/>
    <n v="-12675.8298"/>
    <n v="100932.22015400001"/>
    <n v="-6232.8252000000002"/>
    <n v="0"/>
    <n v="16083.5344"/>
    <n v="9060.8145700000005"/>
    <n v="-70169.930999999997"/>
    <n v="246506.42099812586"/>
    <n v="0.98602568399250345"/>
    <n v="0.93645298159011592"/>
    <n v="0.91974816281148053"/>
    <n v="0.89043830049531381"/>
    <n v="0.94249369191070453"/>
    <n v="227348.75153500866"/>
    <n v="0.90939500614003466"/>
    <n v="-22651.248464991339"/>
    <n v="513079057.02277249"/>
  </r>
  <r>
    <n v="23092621415"/>
    <n v="0"/>
    <n v="8250"/>
    <n v="0"/>
    <s v="GV"/>
    <s v="GV"/>
    <n v="4"/>
    <s v="RES"/>
    <n v="2506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1"/>
    <n v="1544"/>
    <n v="1544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5-27T00:00:00"/>
    <n v="22400"/>
    <n v="275496"/>
    <n v="297900"/>
    <n v="318336"/>
    <n v="584"/>
    <n v="48369.487874125851"/>
    <n v="155833.95000000001"/>
    <n v="9808"/>
    <n v="25780"/>
    <n v="-478.33319999999998"/>
    <n v="96316.037032000007"/>
    <n v="0"/>
    <n v="35008.174800000001"/>
    <n v="18093.976200000001"/>
    <n v="0"/>
    <n v="-70049.982399999994"/>
    <n v="318681.31030612584"/>
    <n v="1.0010847353303611"/>
    <n v="0.93645298159011592"/>
    <n v="0.94231068710026933"/>
    <n v="0.94035194935713262"/>
    <n v="0.94249369191070453"/>
    <n v="299688.64593930205"/>
    <n v="0.94142241511893743"/>
    <n v="-18647.354060697951"/>
    <n v="347723813.46502841"/>
  </r>
  <r>
    <n v="23092621411"/>
    <n v="0"/>
    <n v="8250"/>
    <n v="0"/>
    <s v="GV"/>
    <s v="GV"/>
    <n v="4"/>
    <s v="RES"/>
    <n v="2964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2"/>
    <n v="2040"/>
    <n v="2040"/>
    <n v="0"/>
    <n v="0"/>
    <n v="0"/>
    <n v="664"/>
    <n v="0"/>
    <n v="0"/>
    <n v="0"/>
    <n v="10"/>
    <n v="0"/>
    <n v="0"/>
    <s v="CP"/>
    <n v="1"/>
    <s v="FD"/>
    <s v="G"/>
    <n v="1"/>
    <n v="3"/>
    <n v="0"/>
    <n v="0"/>
    <n v="100"/>
    <d v="2021-05-27T00:00:00"/>
    <n v="22400"/>
    <n v="349791"/>
    <n v="372200"/>
    <n v="327890"/>
    <n v="584"/>
    <n v="48369.487874125851"/>
    <n v="155833.95000000001"/>
    <n v="9808"/>
    <n v="25780"/>
    <n v="-478.33319999999998"/>
    <n v="127256.94012"/>
    <n v="0"/>
    <n v="58113.570167999998"/>
    <n v="20104.418000000001"/>
    <n v="0"/>
    <n v="-70049.982399999994"/>
    <n v="374738.05056212592"/>
    <n v="1.1428773386261426"/>
    <n v="0.93645298159011592"/>
    <n v="0.94231068710026933"/>
    <n v="0.94035194935713262"/>
    <n v="0.94539091427335964"/>
    <n v="352675.95981257863"/>
    <n v="1.0755923017249036"/>
    <n v="24785.959812578629"/>
    <n v="614343803.83076286"/>
  </r>
  <r>
    <n v="23092621418"/>
    <n v="0"/>
    <n v="8250"/>
    <n v="0"/>
    <s v="GV"/>
    <s v="GV"/>
    <n v="4"/>
    <s v="RES"/>
    <n v="2417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378"/>
    <n v="1378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5-27T00:00:00"/>
    <n v="22400"/>
    <n v="246206"/>
    <n v="268600"/>
    <n v="261650"/>
    <n v="584"/>
    <n v="48369.487874125851"/>
    <n v="155833.95000000001"/>
    <n v="9808"/>
    <n v="25780"/>
    <n v="-478.33319999999998"/>
    <n v="85960.815434000004"/>
    <n v="0"/>
    <n v="35008.174800000001"/>
    <n v="18093.976200000001"/>
    <n v="0"/>
    <n v="-70049.982399999994"/>
    <n v="308326.08870812587"/>
    <n v="1.1783913193507582"/>
    <n v="0.93645298159011592"/>
    <n v="0.94231068710026933"/>
    <n v="0.94035194935713262"/>
    <n v="0.93897388656927183"/>
    <n v="289679.25949338829"/>
    <n v="1.107125012395904"/>
    <n v="28029.259493388294"/>
    <n v="785639387.74769783"/>
  </r>
  <r>
    <n v="23092621425"/>
    <n v="0"/>
    <n v="8683"/>
    <n v="0"/>
    <s v="GV"/>
    <s v="GV"/>
    <n v="4"/>
    <s v="RES"/>
    <n v="308900"/>
    <n v="32700"/>
    <n v="0.2"/>
    <n v="-1.6094379124339999"/>
    <n v="0"/>
    <n v="0"/>
    <n v="0"/>
    <n v="13398.7528"/>
    <n v="63902.980100000001"/>
    <n v="42338.519364346997"/>
    <s v="CO"/>
    <n v="2"/>
    <x v="2"/>
    <x v="0"/>
    <n v="0"/>
    <n v="0"/>
    <n v="2"/>
    <n v="2"/>
    <x v="0"/>
    <x v="4"/>
    <n v="2614"/>
    <n v="1150"/>
    <n v="1464"/>
    <n v="0"/>
    <n v="0"/>
    <n v="399"/>
    <n v="0"/>
    <n v="0"/>
    <n v="0"/>
    <n v="12"/>
    <n v="0"/>
    <n v="0"/>
    <s v="CP"/>
    <n v="1"/>
    <s v="FD"/>
    <s v="G"/>
    <n v="1"/>
    <n v="3"/>
    <n v="0"/>
    <n v="0"/>
    <n v="100"/>
    <d v="2021-05-27T00:00:00"/>
    <n v="18700"/>
    <n v="396254"/>
    <n v="415000"/>
    <n v="399993"/>
    <n v="584"/>
    <n v="49167.608223813884"/>
    <n v="155833.95000000001"/>
    <n v="9808"/>
    <n v="25780"/>
    <n v="-478.33319999999998"/>
    <n v="163063.549742"/>
    <n v="0"/>
    <n v="34920.654363000001"/>
    <n v="24125.301599999999"/>
    <n v="0"/>
    <n v="-70049.982399999994"/>
    <n v="392170.74832881393"/>
    <n v="0.98044402859253521"/>
    <n v="0.93645298159011592"/>
    <n v="0.94231068710026933"/>
    <n v="0.94035194935713262"/>
    <n v="0.92848762814113772"/>
    <n v="367425.09237432439"/>
    <n v="0.91857880606491715"/>
    <n v="-32567.907625675609"/>
    <n v="1060668607.1145395"/>
  </r>
  <r>
    <n v="23092612417"/>
    <n v="0.16"/>
    <n v="7111"/>
    <n v="0"/>
    <s v="GV"/>
    <s v="GV"/>
    <n v="4"/>
    <s v="RES"/>
    <n v="222000"/>
    <n v="38800"/>
    <n v="0.16"/>
    <n v="-1.832581463748"/>
    <n v="0"/>
    <n v="0"/>
    <n v="0"/>
    <n v="13398.7528"/>
    <n v="63902.980100000001"/>
    <n v="39348.674081374003"/>
    <s v="RN"/>
    <n v="1"/>
    <x v="2"/>
    <x v="1"/>
    <n v="0"/>
    <n v="0"/>
    <n v="10"/>
    <n v="10"/>
    <x v="7"/>
    <x v="0"/>
    <n v="1211"/>
    <n v="1211"/>
    <n v="0"/>
    <n v="0"/>
    <n v="0"/>
    <n v="399"/>
    <n v="0"/>
    <n v="0"/>
    <n v="100"/>
    <n v="8"/>
    <n v="0"/>
    <n v="0"/>
    <s v="CP"/>
    <n v="1"/>
    <s v="FD"/>
    <s v="E"/>
    <n v="1"/>
    <n v="3"/>
    <n v="0"/>
    <n v="0"/>
    <n v="100"/>
    <d v="2021-05-27T00:00:00"/>
    <n v="22200"/>
    <n v="215100"/>
    <n v="237300"/>
    <n v="275000"/>
    <n v="584"/>
    <n v="45695.50896927961"/>
    <n v="155833.95000000001"/>
    <n v="9808"/>
    <n v="25818"/>
    <n v="-2391.6659999999997"/>
    <n v="75543.212983000005"/>
    <n v="0"/>
    <n v="34920.654363000001"/>
    <n v="16083.5344"/>
    <n v="0"/>
    <n v="-70049.982399999994"/>
    <n v="291261.2123152797"/>
    <n v="1.0591316811464717"/>
    <n v="0.93645298159011592"/>
    <n v="0.95027059935652425"/>
    <n v="0.93805509262653142"/>
    <n v="0.93897388656927183"/>
    <n v="274058.78338045644"/>
    <n v="0.99657739411075075"/>
    <n v="-941.21661954355659"/>
    <n v="885888.72490500018"/>
  </r>
  <r>
    <n v="23092233403"/>
    <n v="0.42"/>
    <n v="18323"/>
    <n v="0"/>
    <s v="GV"/>
    <s v="GV"/>
    <n v="4"/>
    <s v="RES"/>
    <n v="206100"/>
    <n v="45800"/>
    <n v="0.42"/>
    <n v="-0.86750056770499995"/>
    <n v="0"/>
    <n v="0"/>
    <n v="0"/>
    <n v="13398.7528"/>
    <n v="63902.980100000001"/>
    <n v="52279.554439464999"/>
    <s v="CO"/>
    <n v="1"/>
    <x v="4"/>
    <x v="2"/>
    <n v="0"/>
    <n v="0"/>
    <n v="43"/>
    <n v="44"/>
    <x v="4"/>
    <x v="2"/>
    <n v="2240"/>
    <n v="1120"/>
    <n v="0"/>
    <n v="1120"/>
    <n v="0"/>
    <n v="0"/>
    <n v="0"/>
    <n v="192"/>
    <n v="77"/>
    <n v="9"/>
    <n v="0"/>
    <n v="0"/>
    <s v="CP"/>
    <n v="1"/>
    <s v="FD"/>
    <s v="G"/>
    <n v="1"/>
    <n v="4"/>
    <n v="0"/>
    <n v="16300"/>
    <n v="100"/>
    <d v="2021-05-27T00:00:00"/>
    <n v="26200"/>
    <n v="203534"/>
    <n v="229700"/>
    <n v="325000"/>
    <n v="584"/>
    <n v="60712.105415753715"/>
    <n v="155833.95000000001"/>
    <n v="10733"/>
    <n v="-4503"/>
    <n v="-10284.1638"/>
    <n v="139733.11072"/>
    <n v="-30351.148800000003"/>
    <n v="0"/>
    <n v="18093.976200000001"/>
    <n v="13802.923129999999"/>
    <n v="-70049.982399999994"/>
    <n v="283720.77046575374"/>
    <n v="0.87298698604847302"/>
    <n v="0.93029096284873303"/>
    <n v="0.91974816281148053"/>
    <n v="0.9474610576206125"/>
    <n v="0.94539091427335964"/>
    <n v="265483.98649187101"/>
    <n v="0.81687380459037229"/>
    <n v="-59516.013508128992"/>
    <n v="3542155863.8997927"/>
  </r>
  <r>
    <n v="23092242401"/>
    <n v="0.23"/>
    <n v="10191"/>
    <n v="0"/>
    <s v="GV"/>
    <s v="GV"/>
    <n v="4"/>
    <s v="RES"/>
    <n v="169400"/>
    <n v="44000"/>
    <n v="0.23"/>
    <n v="-1.4696759700590001"/>
    <n v="0"/>
    <n v="0"/>
    <n v="0"/>
    <n v="13398.7528"/>
    <n v="63902.980100000001"/>
    <n v="44211.155081080004"/>
    <s v="TD"/>
    <n v="1"/>
    <x v="1"/>
    <x v="2"/>
    <n v="0"/>
    <n v="0"/>
    <n v="49"/>
    <n v="68"/>
    <x v="6"/>
    <x v="2"/>
    <n v="2294"/>
    <n v="1147"/>
    <n v="0"/>
    <n v="1147"/>
    <n v="0"/>
    <n v="560"/>
    <n v="0"/>
    <n v="0"/>
    <n v="275"/>
    <n v="8"/>
    <n v="0"/>
    <n v="0"/>
    <s v="CP"/>
    <n v="1"/>
    <s v="FD"/>
    <s v="O"/>
    <n v="0"/>
    <n v="3"/>
    <n v="0"/>
    <n v="0"/>
    <n v="100"/>
    <d v="2021-06-01T00:00:00"/>
    <n v="25200"/>
    <n v="196967"/>
    <n v="222200"/>
    <n v="267000"/>
    <n v="579"/>
    <n v="51342.29502553949"/>
    <n v="155833.95000000001"/>
    <n v="2251"/>
    <n v="-4503"/>
    <n v="-11719.163399999999"/>
    <n v="143101.676782"/>
    <n v="-31082.828280000002"/>
    <n v="49011.44472"/>
    <n v="16083.5344"/>
    <n v="0"/>
    <n v="-69450.239400000006"/>
    <n v="300868.66984753945"/>
    <n v="1.126848950739848"/>
    <n v="0.94889070359879057"/>
    <n v="0.91974816281148053"/>
    <n v="0.94654220114707954"/>
    <n v="0.94539091427335964"/>
    <n v="282859.5725098328"/>
    <n v="1.0593991479769018"/>
    <n v="15859.572509832797"/>
    <n v="251526040.19464415"/>
  </r>
  <r>
    <n v="23092312513"/>
    <n v="0.17"/>
    <n v="7313"/>
    <n v="0"/>
    <s v="GV"/>
    <s v="GV"/>
    <n v="4"/>
    <s v="RES"/>
    <n v="83100"/>
    <n v="39100"/>
    <n v="0.17"/>
    <n v="-1.771956841932"/>
    <n v="0"/>
    <n v="0"/>
    <n v="0"/>
    <n v="13398.7528"/>
    <n v="63902.980100000001"/>
    <n v="40160.968402685998"/>
    <s v="TD"/>
    <n v="1"/>
    <x v="3"/>
    <x v="2"/>
    <n v="0"/>
    <n v="0"/>
    <n v="60"/>
    <n v="108"/>
    <x v="10"/>
    <x v="3"/>
    <n v="784"/>
    <n v="784"/>
    <n v="0"/>
    <n v="0"/>
    <n v="0"/>
    <n v="0"/>
    <n v="0"/>
    <n v="0"/>
    <n v="0"/>
    <n v="5"/>
    <n v="0"/>
    <n v="0"/>
    <s v="CP"/>
    <n v="1"/>
    <s v="FD"/>
    <s v="O"/>
    <n v="0"/>
    <n v="2"/>
    <n v="0"/>
    <n v="500"/>
    <n v="100"/>
    <d v="2021-06-01T00:00:00"/>
    <n v="22400"/>
    <n v="67603"/>
    <n v="90000"/>
    <n v="94000"/>
    <n v="579"/>
    <n v="46638.82417142456"/>
    <n v="155833.95000000001"/>
    <n v="-28558"/>
    <n v="-4503"/>
    <n v="-14349.995999999999"/>
    <n v="48906.588752000003"/>
    <n v="0"/>
    <n v="0"/>
    <n v="10052.209000000001"/>
    <n v="423.40254999999996"/>
    <n v="-69450.239400000006"/>
    <n v="144993.7390734246"/>
    <n v="1.5424865858874957"/>
    <n v="0.89909171974485158"/>
    <n v="0.91974816281148053"/>
    <n v="0.86209247247009169"/>
    <n v="0.87336335356423944"/>
    <n v="128837.65614029685"/>
    <n v="1.3706133631946473"/>
    <n v="34837.656140296851"/>
    <n v="1213662285.3495629"/>
  </r>
  <r>
    <n v="23091433510"/>
    <n v="0.23"/>
    <n v="9962"/>
    <n v="0"/>
    <s v="GV"/>
    <s v="GV"/>
    <n v="4"/>
    <s v="RES"/>
    <n v="234500"/>
    <n v="39500"/>
    <n v="0.23"/>
    <n v="-1.4696759700590001"/>
    <n v="0"/>
    <n v="0"/>
    <n v="0"/>
    <n v="13398.7528"/>
    <n v="63902.980100000001"/>
    <n v="44211.155081080004"/>
    <s v="RN"/>
    <n v="1"/>
    <x v="4"/>
    <x v="2"/>
    <n v="0"/>
    <n v="0"/>
    <n v="48"/>
    <n v="61"/>
    <x v="2"/>
    <x v="1"/>
    <n v="1576"/>
    <n v="1576"/>
    <n v="0"/>
    <n v="0"/>
    <n v="0"/>
    <n v="504"/>
    <n v="0"/>
    <n v="0"/>
    <n v="316"/>
    <n v="8"/>
    <n v="0"/>
    <n v="0"/>
    <s v="CP"/>
    <n v="1"/>
    <s v="FD"/>
    <s v="E"/>
    <n v="0"/>
    <n v="4"/>
    <n v="0"/>
    <n v="35300"/>
    <n v="100"/>
    <d v="2021-06-03T00:00:00"/>
    <n v="22600"/>
    <n v="207743"/>
    <n v="230300"/>
    <n v="285000"/>
    <n v="577"/>
    <n v="51342.29502553949"/>
    <n v="155833.95000000001"/>
    <n v="10733"/>
    <n v="-4503"/>
    <n v="-11479.996799999999"/>
    <n v="98312.224327999997"/>
    <n v="0"/>
    <n v="44110.300248"/>
    <n v="16083.5344"/>
    <n v="29892.22003"/>
    <n v="-69210.342199999999"/>
    <n v="321114.18503153953"/>
    <n v="1.1267164387071562"/>
    <n v="0.93029096284873303"/>
    <n v="0.91974816281148053"/>
    <n v="0.91535194202033021"/>
    <n v="0.94249369191070453"/>
    <n v="297663.59819175239"/>
    <n v="1.0444336778657979"/>
    <n v="12663.59819175239"/>
    <n v="160366719.16215438"/>
  </r>
  <r>
    <n v="23092332490"/>
    <n v="0.21"/>
    <n v="8970"/>
    <n v="0"/>
    <s v="GV"/>
    <s v="GV"/>
    <n v="4"/>
    <s v="RES"/>
    <n v="230400"/>
    <n v="39300"/>
    <n v="0.21"/>
    <n v="-1.5606477482650001"/>
    <n v="0"/>
    <n v="0"/>
    <n v="0"/>
    <n v="13398.7528"/>
    <n v="63902.980100000001"/>
    <n v="42992.246713125001"/>
    <s v="SL"/>
    <n v="1"/>
    <x v="2"/>
    <x v="2"/>
    <n v="0"/>
    <n v="0"/>
    <n v="48"/>
    <n v="63"/>
    <x v="2"/>
    <x v="2"/>
    <n v="2171"/>
    <n v="1596"/>
    <n v="0"/>
    <n v="575"/>
    <n v="0"/>
    <n v="300"/>
    <n v="0"/>
    <n v="0"/>
    <n v="674"/>
    <n v="11"/>
    <n v="0"/>
    <n v="1"/>
    <s v="CP"/>
    <n v="1"/>
    <s v="FD"/>
    <s v="G"/>
    <n v="0"/>
    <n v="4"/>
    <n v="0"/>
    <n v="0"/>
    <n v="100"/>
    <d v="2021-06-03T00:00:00"/>
    <n v="22500"/>
    <n v="246093"/>
    <n v="268600"/>
    <n v="310000"/>
    <n v="577"/>
    <n v="49926.780028885936"/>
    <n v="155833.95000000001"/>
    <n v="9808"/>
    <n v="-4503"/>
    <n v="-11479.996799999999"/>
    <n v="135428.831863"/>
    <n v="-15582.063000000002"/>
    <n v="26256.131099999999"/>
    <n v="22114.859800000002"/>
    <n v="0"/>
    <n v="-69210.342199999999"/>
    <n v="298593.15079188591"/>
    <n v="0.96320371223189005"/>
    <n v="0.93645298159011592"/>
    <n v="0.91974816281148053"/>
    <n v="0.91535194202033021"/>
    <n v="0.94539091427335964"/>
    <n v="277463.50512115081"/>
    <n v="0.89504356490693815"/>
    <n v="-32536.494878849189"/>
    <n v="1058623499.0013795"/>
  </r>
  <r>
    <n v="23091432432"/>
    <n v="0.17"/>
    <n v="7408"/>
    <n v="0"/>
    <s v="GV"/>
    <s v="GV"/>
    <n v="4"/>
    <s v="RES"/>
    <n v="183900"/>
    <n v="38800"/>
    <n v="0.17"/>
    <n v="-1.771956841932"/>
    <n v="0"/>
    <n v="0"/>
    <n v="0"/>
    <n v="13398.7528"/>
    <n v="63902.980100000001"/>
    <n v="40160.968402685998"/>
    <s v="RN"/>
    <n v="1"/>
    <x v="1"/>
    <x v="2"/>
    <n v="0"/>
    <n v="0"/>
    <n v="23"/>
    <n v="23"/>
    <x v="1"/>
    <x v="0"/>
    <n v="1224"/>
    <n v="1224"/>
    <n v="0"/>
    <n v="0"/>
    <n v="0"/>
    <n v="440"/>
    <n v="0"/>
    <n v="0"/>
    <n v="0"/>
    <n v="8"/>
    <n v="0"/>
    <n v="0"/>
    <s v="CP"/>
    <n v="1"/>
    <s v="FD"/>
    <s v="E"/>
    <n v="1"/>
    <n v="3"/>
    <n v="0"/>
    <n v="0"/>
    <n v="100"/>
    <d v="2021-06-09T00:00:00"/>
    <n v="22200"/>
    <n v="178303"/>
    <n v="200500"/>
    <n v="261500"/>
    <n v="571"/>
    <n v="46638.82417142456"/>
    <n v="155833.95000000001"/>
    <n v="2251"/>
    <n v="-4503"/>
    <n v="-5500.8317999999999"/>
    <n v="76354.164072"/>
    <n v="0"/>
    <n v="38508.992279999999"/>
    <n v="16083.5344"/>
    <n v="0"/>
    <n v="-68490.650599999994"/>
    <n v="257175.98252342461"/>
    <n v="0.98346456031902341"/>
    <n v="0.94889070359879057"/>
    <n v="0.91974816281148053"/>
    <n v="0.95331699902534994"/>
    <n v="0.93897388656927183"/>
    <n v="241805.2010433595"/>
    <n v="0.92468528123655636"/>
    <n v="-19694.798956640501"/>
    <n v="387885105.94248778"/>
  </r>
  <r>
    <n v="23092214452"/>
    <n v="0.21"/>
    <n v="9132"/>
    <n v="0"/>
    <s v="GV"/>
    <s v="GV"/>
    <n v="4"/>
    <s v="RES"/>
    <n v="192400"/>
    <n v="39300"/>
    <n v="0.21"/>
    <n v="-1.5606477482650001"/>
    <n v="0"/>
    <n v="0"/>
    <n v="0"/>
    <n v="13398.7528"/>
    <n v="63902.980100000001"/>
    <n v="42992.246713125001"/>
    <s v="RN"/>
    <n v="1"/>
    <x v="4"/>
    <x v="2"/>
    <n v="0"/>
    <n v="0"/>
    <n v="50"/>
    <n v="71"/>
    <x v="6"/>
    <x v="0"/>
    <n v="1248"/>
    <n v="1248"/>
    <n v="0"/>
    <n v="0"/>
    <n v="0"/>
    <n v="0"/>
    <n v="654"/>
    <n v="0"/>
    <n v="0"/>
    <n v="5"/>
    <n v="0"/>
    <n v="0"/>
    <s v="SH"/>
    <n v="1"/>
    <s v="FD"/>
    <s v="G"/>
    <n v="1"/>
    <n v="3"/>
    <n v="0"/>
    <n v="10300"/>
    <n v="100"/>
    <d v="2021-06-09T00:00:00"/>
    <n v="22500"/>
    <n v="138687"/>
    <n v="161200"/>
    <n v="232000"/>
    <n v="571"/>
    <n v="49926.780028885936"/>
    <n v="155833.95000000001"/>
    <n v="10733"/>
    <n v="-4503"/>
    <n v="-11958.33"/>
    <n v="77851.304543999999"/>
    <n v="0"/>
    <n v="0"/>
    <n v="10052.209000000001"/>
    <n v="8722.0925299999999"/>
    <n v="-68490.650599999994"/>
    <n v="228167.35550288594"/>
    <n v="0.98347998061588771"/>
    <n v="0.93029096284873303"/>
    <n v="0.91974816281148053"/>
    <n v="0.94654220114707954"/>
    <n v="0.93897388656927183"/>
    <n v="213082.93859278742"/>
    <n v="0.91846094221029062"/>
    <n v="-18917.061407212575"/>
    <n v="357855212.28425145"/>
  </r>
  <r>
    <n v="23092231475"/>
    <n v="0.21"/>
    <n v="8931"/>
    <n v="0"/>
    <s v="GV"/>
    <s v="GV"/>
    <n v="4"/>
    <s v="RES"/>
    <n v="154300"/>
    <n v="39300"/>
    <n v="0.21"/>
    <n v="-1.5606477482650001"/>
    <n v="0"/>
    <n v="0"/>
    <n v="0"/>
    <n v="13398.7528"/>
    <n v="63902.980100000001"/>
    <n v="42992.246713125001"/>
    <s v="RN"/>
    <n v="1"/>
    <x v="1"/>
    <x v="2"/>
    <n v="0"/>
    <n v="0"/>
    <n v="43"/>
    <n v="45"/>
    <x v="5"/>
    <x v="0"/>
    <n v="1196"/>
    <n v="1196"/>
    <n v="0"/>
    <n v="0"/>
    <n v="0"/>
    <n v="0"/>
    <n v="312"/>
    <n v="240"/>
    <n v="0"/>
    <n v="5"/>
    <n v="0"/>
    <n v="0"/>
    <s v="CP"/>
    <n v="1"/>
    <s v="FD"/>
    <s v="E"/>
    <n v="1"/>
    <n v="3"/>
    <n v="0"/>
    <n v="0"/>
    <n v="100"/>
    <d v="2021-06-16T00:00:00"/>
    <n v="22500"/>
    <n v="138717"/>
    <n v="161200"/>
    <n v="244000"/>
    <n v="564"/>
    <n v="49926.780028885936"/>
    <n v="155833.95000000001"/>
    <n v="2251"/>
    <n v="-4503"/>
    <n v="-10284.1638"/>
    <n v="74607.500188000005"/>
    <n v="0"/>
    <n v="0"/>
    <n v="10052.209000000001"/>
    <n v="0"/>
    <n v="-67651.010399999999"/>
    <n v="210233.26501688591"/>
    <n v="0.86161174187248324"/>
    <n v="0.94889070359879057"/>
    <n v="0.91974816281148053"/>
    <n v="0.95156852894116195"/>
    <n v="0.93897388656927183"/>
    <n v="197576.23867213813"/>
    <n v="0.80973868308253338"/>
    <n v="-46423.761327861866"/>
    <n v="2155165615.826283"/>
  </r>
  <r>
    <n v="23092343004"/>
    <n v="0.95"/>
    <n v="41545"/>
    <n v="0"/>
    <s v="GV"/>
    <s v="GV"/>
    <n v="4"/>
    <s v="RES"/>
    <n v="299700"/>
    <n v="43700"/>
    <n v="0.95"/>
    <n v="-5.1293294388000003E-2"/>
    <n v="0"/>
    <n v="0"/>
    <n v="0"/>
    <n v="13398.7528"/>
    <n v="63902.980100000001"/>
    <n v="63215.713928204001"/>
    <s v="SL"/>
    <n v="1"/>
    <x v="4"/>
    <x v="3"/>
    <n v="0"/>
    <n v="0"/>
    <n v="45"/>
    <n v="113"/>
    <x v="10"/>
    <x v="4"/>
    <n v="2753"/>
    <n v="2103"/>
    <n v="0"/>
    <n v="650"/>
    <n v="0"/>
    <n v="0"/>
    <n v="0"/>
    <n v="0"/>
    <n v="312"/>
    <n v="8"/>
    <n v="0"/>
    <n v="0"/>
    <s v="CP"/>
    <n v="1"/>
    <s v="FD"/>
    <s v="E"/>
    <n v="0"/>
    <n v="5"/>
    <n v="0"/>
    <n v="17200"/>
    <n v="100"/>
    <d v="2021-06-17T00:00:00"/>
    <n v="25000"/>
    <n v="276706"/>
    <n v="301700"/>
    <n v="389000"/>
    <n v="563"/>
    <n v="73412.237902395704"/>
    <n v="155833.95000000001"/>
    <n v="10733"/>
    <n v="22342"/>
    <n v="-10762.496999999999"/>
    <n v="171734.48830900001"/>
    <n v="-17614.506000000001"/>
    <n v="0"/>
    <n v="16083.5344"/>
    <n v="14565.04772"/>
    <n v="-67531.061799999996"/>
    <n v="368796.19353139575"/>
    <n v="0.94806219416811244"/>
    <n v="0.93029096284873303"/>
    <n v="0.94546156904349943"/>
    <n v="0.86209247247009169"/>
    <n v="0.92848762814113772"/>
    <n v="338032.37977180461"/>
    <n v="0.86897784003034606"/>
    <n v="-50967.620228195388"/>
    <n v="2597698311.7255516"/>
  </r>
  <r>
    <n v="23092314534"/>
    <n v="0.26"/>
    <n v="11393"/>
    <n v="0"/>
    <s v="GV"/>
    <s v="GV"/>
    <n v="4"/>
    <s v="RES"/>
    <n v="207300"/>
    <n v="40700"/>
    <n v="0.26"/>
    <n v="-1.347073647967"/>
    <n v="0"/>
    <n v="0"/>
    <n v="0"/>
    <n v="13398.7528"/>
    <n v="63902.980100000001"/>
    <n v="45853.873287501003"/>
    <s v="TD"/>
    <n v="1"/>
    <x v="2"/>
    <x v="3"/>
    <n v="0"/>
    <n v="0"/>
    <n v="50"/>
    <n v="75"/>
    <x v="9"/>
    <x v="1"/>
    <n v="1608"/>
    <n v="1072"/>
    <n v="0"/>
    <n v="536"/>
    <n v="536"/>
    <n v="384"/>
    <n v="0"/>
    <n v="0"/>
    <n v="0"/>
    <n v="7"/>
    <n v="0"/>
    <n v="1"/>
    <s v="CP"/>
    <n v="1"/>
    <s v="HP"/>
    <s v="G"/>
    <n v="1"/>
    <n v="3"/>
    <n v="0"/>
    <n v="7300"/>
    <n v="100"/>
    <d v="2021-06-22T00:00:00"/>
    <n v="23300"/>
    <n v="218309"/>
    <n v="241600"/>
    <n v="300000"/>
    <n v="558"/>
    <n v="53249.979243317037"/>
    <n v="155833.95000000001"/>
    <n v="9808"/>
    <n v="22342"/>
    <n v="-11958.33"/>
    <n v="100308.411624"/>
    <n v="-14525.192640000001"/>
    <n v="33607.847807999999"/>
    <n v="14073.0926"/>
    <n v="6181.6772300000002"/>
    <n v="-66931.318799999994"/>
    <n v="301990.117065317"/>
    <n v="1.0066337235510567"/>
    <n v="0.93645298159011592"/>
    <n v="0.94546156904349943"/>
    <n v="0.93121896872088394"/>
    <n v="0.94249369191070453"/>
    <n v="283540.57529591722"/>
    <n v="0.94513525098639073"/>
    <n v="-16459.424704082776"/>
    <n v="270912661.58937037"/>
  </r>
  <r>
    <n v="23092621432"/>
    <n v="0"/>
    <n v="9900"/>
    <n v="0"/>
    <s v="GV"/>
    <s v="GV"/>
    <n v="4"/>
    <s v="RES"/>
    <n v="296400"/>
    <n v="39500"/>
    <n v="0.23"/>
    <n v="-1.4696759700590001"/>
    <n v="0"/>
    <n v="0"/>
    <n v="0"/>
    <n v="13398.7528"/>
    <n v="63902.980100000001"/>
    <n v="44211.155081080004"/>
    <s v="RN"/>
    <n v="1"/>
    <x v="2"/>
    <x v="0"/>
    <n v="0"/>
    <n v="0"/>
    <n v="2"/>
    <n v="2"/>
    <x v="0"/>
    <x v="2"/>
    <n v="2040"/>
    <n v="2040"/>
    <n v="0"/>
    <n v="0"/>
    <n v="0"/>
    <n v="664"/>
    <n v="0"/>
    <n v="0"/>
    <n v="0"/>
    <n v="10"/>
    <n v="0"/>
    <n v="0"/>
    <s v="CP"/>
    <n v="1"/>
    <s v="FD"/>
    <s v="G"/>
    <n v="1"/>
    <n v="3"/>
    <n v="0"/>
    <n v="0"/>
    <n v="100"/>
    <d v="2021-06-24T00:00:00"/>
    <n v="22600"/>
    <n v="349791"/>
    <n v="372400"/>
    <n v="347660"/>
    <n v="556"/>
    <n v="51342.29502553949"/>
    <n v="155833.95000000001"/>
    <n v="9808"/>
    <n v="25780"/>
    <n v="-478.33319999999998"/>
    <n v="127256.94012"/>
    <n v="0"/>
    <n v="58113.570167999998"/>
    <n v="20104.418000000001"/>
    <n v="0"/>
    <n v="-66691.421600000001"/>
    <n v="381069.41851353954"/>
    <n v="1.096097965004716"/>
    <n v="0.93645298159011592"/>
    <n v="0.94231068710026933"/>
    <n v="0.94035194935713262"/>
    <n v="0.94539091427335964"/>
    <n v="358634.57881548454"/>
    <n v="1.0315669873309685"/>
    <n v="10974.578815484536"/>
    <n v="120441380.17728196"/>
  </r>
  <r>
    <n v="23092323489"/>
    <n v="0.17"/>
    <n v="7528"/>
    <n v="0"/>
    <s v="GV"/>
    <s v="GV"/>
    <n v="4"/>
    <s v="RES"/>
    <n v="192900"/>
    <n v="39300"/>
    <n v="0.17"/>
    <n v="-1.771956841932"/>
    <n v="0"/>
    <n v="0"/>
    <n v="0"/>
    <n v="13398.7528"/>
    <n v="63902.980100000001"/>
    <n v="40160.968402685998"/>
    <s v="BG"/>
    <n v="1"/>
    <x v="4"/>
    <x v="3"/>
    <n v="0"/>
    <n v="0"/>
    <n v="60"/>
    <n v="108"/>
    <x v="10"/>
    <x v="0"/>
    <n v="1251"/>
    <n v="859"/>
    <n v="392"/>
    <n v="0"/>
    <n v="0"/>
    <n v="0"/>
    <n v="0"/>
    <n v="162"/>
    <n v="0"/>
    <n v="5"/>
    <n v="1"/>
    <n v="0"/>
    <s v="CP"/>
    <n v="1"/>
    <s v="BH"/>
    <s v="E"/>
    <n v="0"/>
    <n v="2"/>
    <n v="0"/>
    <n v="16600"/>
    <n v="100"/>
    <d v="2021-06-24T00:00:00"/>
    <n v="22500"/>
    <n v="130154"/>
    <n v="152700"/>
    <n v="241000"/>
    <n v="556"/>
    <n v="46638.82417142456"/>
    <n v="155833.95000000001"/>
    <n v="10733"/>
    <n v="22342"/>
    <n v="-14349.995999999999"/>
    <n v="78038.447102999999"/>
    <n v="0"/>
    <n v="0"/>
    <n v="10052.209000000001"/>
    <n v="14056.96466"/>
    <n v="-66691.421600000001"/>
    <n v="256653.97733442456"/>
    <n v="1.0649542627984421"/>
    <n v="0.93029096284873303"/>
    <n v="0.94546156904349943"/>
    <n v="0.86209247247009169"/>
    <n v="0.93897388656927183"/>
    <n v="235917.54807398547"/>
    <n v="0.97891098785886088"/>
    <n v="-5082.4519260145316"/>
    <n v="25831317.580248822"/>
  </r>
  <r>
    <n v="23092241448"/>
    <n v="0.18"/>
    <n v="8047"/>
    <n v="0"/>
    <s v="GV"/>
    <s v="GV"/>
    <n v="4"/>
    <s v="RES"/>
    <n v="280800"/>
    <n v="43300"/>
    <n v="0.18"/>
    <n v="-1.7147984280919999"/>
    <n v="0"/>
    <n v="0"/>
    <n v="0"/>
    <n v="13398.7528"/>
    <n v="63902.980100000001"/>
    <n v="40926.819860167998"/>
    <s v="SL"/>
    <n v="1"/>
    <x v="2"/>
    <x v="3"/>
    <n v="0"/>
    <n v="0"/>
    <n v="47"/>
    <n v="58"/>
    <x v="2"/>
    <x v="1"/>
    <n v="1880"/>
    <n v="1286"/>
    <n v="0"/>
    <n v="594"/>
    <n v="0"/>
    <n v="312"/>
    <n v="0"/>
    <n v="0"/>
    <n v="192"/>
    <n v="10"/>
    <n v="0"/>
    <n v="2"/>
    <s v="CP"/>
    <n v="1"/>
    <s v="FD"/>
    <s v="G"/>
    <n v="1"/>
    <n v="3"/>
    <n v="0"/>
    <n v="0"/>
    <n v="100"/>
    <d v="2021-06-25T00:00:00"/>
    <n v="24800"/>
    <n v="253155"/>
    <n v="278000"/>
    <n v="350000"/>
    <n v="555"/>
    <n v="47528.20540119947"/>
    <n v="155833.95000000001"/>
    <n v="9808"/>
    <n v="22342"/>
    <n v="-11240.8302"/>
    <n v="117276.00364000001"/>
    <n v="-16096.948560000001"/>
    <n v="27306.376344"/>
    <n v="20104.418000000001"/>
    <n v="0"/>
    <n v="-66571.472999999998"/>
    <n v="306289.70162519952"/>
    <n v="0.8751134332148558"/>
    <n v="0.93645298159011592"/>
    <n v="0.94546156904349943"/>
    <n v="0.91535194202033021"/>
    <n v="0.94249369191070453"/>
    <n v="286362.50777002698"/>
    <n v="0.81817859362864853"/>
    <n v="-63637.492229973024"/>
    <n v="4049730417.3198771"/>
  </r>
  <r>
    <n v="23092621421"/>
    <n v="0"/>
    <n v="8250"/>
    <n v="0"/>
    <s v="GV"/>
    <s v="GV"/>
    <n v="4"/>
    <s v="RES"/>
    <n v="2371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378"/>
    <n v="1378"/>
    <n v="0"/>
    <n v="0"/>
    <n v="0"/>
    <n v="400"/>
    <n v="0"/>
    <n v="0"/>
    <n v="0"/>
    <n v="9"/>
    <n v="0"/>
    <n v="0"/>
    <s v="CP"/>
    <n v="1"/>
    <s v="HP"/>
    <s v="G"/>
    <n v="1"/>
    <n v="3"/>
    <n v="0"/>
    <n v="0"/>
    <n v="100"/>
    <d v="2021-07-08T00:00:00"/>
    <n v="22400"/>
    <n v="246992"/>
    <n v="269400"/>
    <n v="264650"/>
    <n v="542"/>
    <n v="48369.487874125851"/>
    <n v="155833.95000000001"/>
    <n v="9808"/>
    <n v="25780"/>
    <n v="-478.33319999999998"/>
    <n v="85960.815434000004"/>
    <n v="0"/>
    <n v="35008.174800000001"/>
    <n v="18093.976200000001"/>
    <n v="0"/>
    <n v="-65012.141199999998"/>
    <n v="313363.92990812584"/>
    <n v="1.1840692609413408"/>
    <n v="0.93645298159011592"/>
    <n v="0.94231068710026933"/>
    <n v="0.94035194935713262"/>
    <n v="0.93897388656927183"/>
    <n v="294412.42402829981"/>
    <n v="1.1124595655707532"/>
    <n v="29762.424028299807"/>
    <n v="885801884.04031777"/>
  </r>
  <r>
    <n v="23092242405"/>
    <n v="0.24"/>
    <n v="10488"/>
    <n v="0"/>
    <s v="GV"/>
    <s v="GV"/>
    <n v="4"/>
    <s v="RES"/>
    <n v="201900"/>
    <n v="44200"/>
    <n v="0.24"/>
    <n v="-1.4271163556399999"/>
    <n v="0"/>
    <n v="0"/>
    <n v="0"/>
    <n v="13398.7528"/>
    <n v="63902.980100000001"/>
    <n v="44781.400833940999"/>
    <s v="RN"/>
    <n v="1"/>
    <x v="1"/>
    <x v="3"/>
    <n v="0"/>
    <n v="0"/>
    <n v="47"/>
    <n v="58"/>
    <x v="2"/>
    <x v="1"/>
    <n v="1550"/>
    <n v="1550"/>
    <n v="0"/>
    <n v="0"/>
    <n v="486"/>
    <n v="0"/>
    <n v="0"/>
    <n v="0"/>
    <n v="400"/>
    <n v="8"/>
    <n v="0"/>
    <n v="0"/>
    <s v="CP"/>
    <n v="1"/>
    <s v="HP"/>
    <s v="E"/>
    <n v="1"/>
    <n v="3"/>
    <n v="0"/>
    <n v="1600"/>
    <n v="100"/>
    <d v="2021-07-08T00:00:00"/>
    <n v="25300"/>
    <n v="197904"/>
    <n v="223200"/>
    <n v="315000"/>
    <n v="542"/>
    <n v="52004.519878673433"/>
    <n v="155833.95000000001"/>
    <n v="2251"/>
    <n v="22342"/>
    <n v="-11240.8302"/>
    <n v="96690.322150000007"/>
    <n v="0"/>
    <n v="0"/>
    <n v="16083.5344"/>
    <n v="1354.88816"/>
    <n v="-65012.141199999998"/>
    <n v="270307.2431886734"/>
    <n v="0.85811823234499496"/>
    <n v="0.94889070359879057"/>
    <n v="0.94546156904349943"/>
    <n v="0.91535194202033021"/>
    <n v="0.94249369191070453"/>
    <n v="253561.56800603672"/>
    <n v="0.80495735874932295"/>
    <n v="-61438.431993963284"/>
    <n v="3774680925.8768511"/>
  </r>
  <r>
    <n v="23091433556"/>
    <n v="0.23"/>
    <n v="9995"/>
    <n v="0"/>
    <s v="GV"/>
    <s v="GV"/>
    <n v="4"/>
    <s v="RES"/>
    <n v="129100"/>
    <n v="39500"/>
    <n v="0.23"/>
    <n v="-1.4696759700590001"/>
    <n v="0"/>
    <n v="0"/>
    <n v="0"/>
    <n v="13398.7528"/>
    <n v="63902.980100000001"/>
    <n v="44211.155081080004"/>
    <s v="TD"/>
    <n v="1"/>
    <x v="4"/>
    <x v="2"/>
    <n v="0"/>
    <n v="0"/>
    <n v="51"/>
    <n v="78"/>
    <x v="9"/>
    <x v="3"/>
    <n v="768"/>
    <n v="768"/>
    <n v="0"/>
    <n v="0"/>
    <n v="0"/>
    <n v="0"/>
    <n v="0"/>
    <n v="0"/>
    <n v="192"/>
    <n v="5"/>
    <n v="1"/>
    <n v="0"/>
    <s v="CP"/>
    <n v="1"/>
    <s v="FD"/>
    <s v="E"/>
    <n v="0"/>
    <n v="2"/>
    <n v="0"/>
    <n v="5900"/>
    <n v="100"/>
    <d v="2021-07-09T00:00:00"/>
    <n v="22600"/>
    <n v="83285"/>
    <n v="105900"/>
    <n v="207000"/>
    <n v="541"/>
    <n v="51342.29502553949"/>
    <n v="155833.95000000001"/>
    <n v="10733"/>
    <n v="-4503"/>
    <n v="-12197.496599999999"/>
    <n v="47908.495104000001"/>
    <n v="0"/>
    <n v="0"/>
    <n v="10052.209000000001"/>
    <n v="4996.1500900000001"/>
    <n v="-64892.192600000002"/>
    <n v="199273.41001953953"/>
    <n v="0.9626734783552634"/>
    <n v="0.93029096284873303"/>
    <n v="0.91974816281148053"/>
    <n v="0.93121896872088394"/>
    <n v="0.87336335356423944"/>
    <n v="182067.21956565359"/>
    <n v="0.87955178534132172"/>
    <n v="-24932.780434346409"/>
    <n v="621643540.18732703"/>
  </r>
  <r>
    <n v="23092621427"/>
    <n v="0"/>
    <n v="8050"/>
    <n v="0"/>
    <s v="GV"/>
    <s v="GV"/>
    <n v="4"/>
    <s v="RES"/>
    <n v="2375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384"/>
    <n v="1384"/>
    <n v="0"/>
    <n v="0"/>
    <n v="0"/>
    <n v="400"/>
    <n v="0"/>
    <n v="0"/>
    <n v="0"/>
    <n v="9"/>
    <n v="0"/>
    <n v="0"/>
    <s v="CP"/>
    <n v="1"/>
    <s v="HP"/>
    <s v="G"/>
    <n v="1"/>
    <n v="3"/>
    <n v="0"/>
    <n v="0"/>
    <n v="100"/>
    <d v="2021-07-13T00:00:00"/>
    <n v="22300"/>
    <n v="255853"/>
    <n v="278200"/>
    <n v="259170"/>
    <n v="537"/>
    <n v="47528.20540119947"/>
    <n v="155833.95000000001"/>
    <n v="9808"/>
    <n v="25780"/>
    <n v="-478.33319999999998"/>
    <n v="86335.100552000004"/>
    <n v="0"/>
    <n v="35008.174800000001"/>
    <n v="18093.976200000001"/>
    <n v="0"/>
    <n v="-64412.398199999996"/>
    <n v="313496.67555319943"/>
    <n v="1.2096179170166279"/>
    <n v="0.93645298159011592"/>
    <n v="0.94231068710026933"/>
    <n v="0.94035194935713262"/>
    <n v="0.93897388656927183"/>
    <n v="294537.14153218345"/>
    <n v="1.1364630996341532"/>
    <n v="35367.14153218345"/>
    <n v="1250834700.1574955"/>
  </r>
  <r>
    <n v="23092424476"/>
    <n v="0.19"/>
    <n v="8148"/>
    <n v="0"/>
    <s v="GV"/>
    <s v="GV"/>
    <n v="4"/>
    <s v="RES"/>
    <n v="171700"/>
    <n v="39100"/>
    <n v="0.19"/>
    <n v="-1.6607312068219999"/>
    <n v="0"/>
    <n v="0"/>
    <n v="0"/>
    <n v="13398.7528"/>
    <n v="63902.980100000001"/>
    <n v="41651.253192550997"/>
    <s v="RN"/>
    <n v="1"/>
    <x v="2"/>
    <x v="2"/>
    <n v="0"/>
    <n v="0"/>
    <n v="18"/>
    <n v="18"/>
    <x v="1"/>
    <x v="0"/>
    <n v="1117"/>
    <n v="1117"/>
    <n v="0"/>
    <n v="0"/>
    <n v="0"/>
    <n v="480"/>
    <n v="0"/>
    <n v="0"/>
    <n v="705"/>
    <n v="8"/>
    <n v="0"/>
    <n v="0"/>
    <s v="CP"/>
    <n v="1"/>
    <s v="FD"/>
    <s v="G"/>
    <n v="1"/>
    <n v="3"/>
    <n v="0"/>
    <n v="0"/>
    <n v="100"/>
    <d v="2021-07-14T00:00:00"/>
    <n v="22400"/>
    <n v="197726"/>
    <n v="220100"/>
    <n v="275000"/>
    <n v="536"/>
    <n v="48369.487874125851"/>
    <n v="155833.95000000001"/>
    <n v="9808"/>
    <n v="-4503"/>
    <n v="-4304.9987999999994"/>
    <n v="69679.412800999999"/>
    <n v="0"/>
    <n v="42009.809760000004"/>
    <n v="16083.5344"/>
    <n v="0"/>
    <n v="-64292.4496"/>
    <n v="268683.74643512588"/>
    <n v="0.97703180521863953"/>
    <n v="0.93645298159011592"/>
    <n v="0.91974816281148053"/>
    <n v="0.95331699902534994"/>
    <n v="0.93897388656927183"/>
    <n v="251789.72052539856"/>
    <n v="0.91559898372872206"/>
    <n v="-23210.279474601441"/>
    <n v="538717073.28910494"/>
  </r>
  <r>
    <n v="23092311475"/>
    <n v="0.12"/>
    <n v="5295"/>
    <n v="0"/>
    <s v="GV"/>
    <s v="GV"/>
    <n v="4"/>
    <s v="RES"/>
    <n v="111500"/>
    <n v="38400"/>
    <n v="0.12"/>
    <n v="-2.1202635362"/>
    <n v="0"/>
    <n v="0"/>
    <n v="0"/>
    <n v="13398.7528"/>
    <n v="63902.980100000001"/>
    <n v="35494.093107601002"/>
    <s v="TD"/>
    <n v="1"/>
    <x v="4"/>
    <x v="2"/>
    <n v="0"/>
    <n v="0"/>
    <n v="49"/>
    <n v="65"/>
    <x v="6"/>
    <x v="0"/>
    <n v="1255"/>
    <n v="788"/>
    <n v="0"/>
    <n v="467"/>
    <n v="241"/>
    <n v="0"/>
    <n v="0"/>
    <n v="0"/>
    <n v="20"/>
    <n v="5"/>
    <n v="0"/>
    <n v="0"/>
    <s v="CP"/>
    <n v="1"/>
    <s v="FD"/>
    <s v="O"/>
    <n v="0"/>
    <n v="2"/>
    <n v="0"/>
    <n v="0"/>
    <n v="100"/>
    <d v="2021-07-15T00:00:00"/>
    <n v="22000"/>
    <n v="107829"/>
    <n v="129800"/>
    <n v="178000"/>
    <n v="535"/>
    <n v="41219.194491805654"/>
    <n v="155833.95000000001"/>
    <n v="10733"/>
    <n v="-4503"/>
    <n v="-11719.163399999999"/>
    <n v="78287.970515000008"/>
    <n v="-12655.345080000001"/>
    <n v="0"/>
    <n v="10052.209000000001"/>
    <n v="0"/>
    <n v="-64172.500999999997"/>
    <n v="203076.31452680565"/>
    <n v="1.1408781714989082"/>
    <n v="0.93029096284873303"/>
    <n v="0.91974816281148053"/>
    <n v="0.94654220114707954"/>
    <n v="0.93897388656927183"/>
    <n v="189650.69636097699"/>
    <n v="1.0654533503425674"/>
    <n v="11650.696360976988"/>
    <n v="135738725.69568244"/>
  </r>
  <r>
    <n v="23092621473"/>
    <n v="0"/>
    <n v="8050"/>
    <n v="0"/>
    <s v="GV"/>
    <s v="GV"/>
    <n v="4"/>
    <s v="RES"/>
    <n v="308900"/>
    <n v="32500"/>
    <n v="0.18"/>
    <n v="-1.7147984280919999"/>
    <n v="0"/>
    <n v="0"/>
    <n v="0"/>
    <n v="13398.7528"/>
    <n v="63902.980100000001"/>
    <n v="40926.819860167998"/>
    <s v="CO"/>
    <n v="2"/>
    <x v="2"/>
    <x v="0"/>
    <n v="0"/>
    <n v="0"/>
    <n v="2"/>
    <n v="2"/>
    <x v="0"/>
    <x v="4"/>
    <n v="2614"/>
    <n v="1150"/>
    <n v="1464"/>
    <n v="0"/>
    <n v="0"/>
    <n v="399"/>
    <n v="0"/>
    <n v="0"/>
    <n v="0"/>
    <n v="12"/>
    <n v="0"/>
    <n v="0"/>
    <s v="CP"/>
    <n v="1"/>
    <s v="FD"/>
    <s v="G"/>
    <n v="1"/>
    <n v="3"/>
    <n v="0"/>
    <n v="0"/>
    <n v="100"/>
    <d v="2021-07-16T00:00:00"/>
    <n v="18600"/>
    <n v="382574"/>
    <n v="401200"/>
    <n v="340540"/>
    <n v="534"/>
    <n v="47528.20540119947"/>
    <n v="155833.95000000001"/>
    <n v="9808"/>
    <n v="25780"/>
    <n v="-478.33319999999998"/>
    <n v="163063.549742"/>
    <n v="0"/>
    <n v="34920.654363000001"/>
    <n v="24125.301599999999"/>
    <n v="0"/>
    <n v="-64052.5524"/>
    <n v="396528.77550619951"/>
    <n v="1.1644117446003392"/>
    <n v="0.93645298159011592"/>
    <n v="0.94231068710026933"/>
    <n v="0.94035194935713262"/>
    <n v="0.92848762814113772"/>
    <n v="371508.13157356152"/>
    <n v="1.0909383084911068"/>
    <n v="30968.131573561521"/>
    <n v="959025173.15741801"/>
  </r>
  <r>
    <n v="23092621420"/>
    <n v="0"/>
    <n v="8250"/>
    <n v="0"/>
    <s v="GV"/>
    <s v="GV"/>
    <n v="4"/>
    <s v="RES"/>
    <n v="2526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1"/>
    <n v="1580"/>
    <n v="158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7-19T00:00:00"/>
    <n v="22400"/>
    <n v="279538"/>
    <n v="301900"/>
    <n v="292350"/>
    <n v="531"/>
    <n v="48369.487874125851"/>
    <n v="155833.95000000001"/>
    <n v="9808"/>
    <n v="25780"/>
    <n v="-478.33319999999998"/>
    <n v="98561.747740000006"/>
    <n v="0"/>
    <n v="35008.174800000001"/>
    <n v="18093.976200000001"/>
    <n v="0"/>
    <n v="-63692.706599999998"/>
    <n v="327284.29681412585"/>
    <n v="1.1194947727522691"/>
    <n v="0.93645298159011592"/>
    <n v="0.94231068710026933"/>
    <n v="0.94035194935713262"/>
    <n v="0.94249369191070453"/>
    <n v="307778.91447478649"/>
    <n v="1.052775489908625"/>
    <n v="15428.914474786492"/>
    <n v="238051401.87027612"/>
  </r>
  <r>
    <n v="23092423486"/>
    <n v="0.22"/>
    <n v="9667"/>
    <n v="0"/>
    <s v="GV"/>
    <s v="GV"/>
    <n v="4"/>
    <s v="RES"/>
    <n v="84000"/>
    <n v="39500"/>
    <n v="0.22"/>
    <n v="-1.51412773263"/>
    <n v="0"/>
    <n v="0"/>
    <n v="0"/>
    <n v="13398.7528"/>
    <n v="63902.980100000001"/>
    <n v="43615.556902869001"/>
    <s v="TD"/>
    <n v="1"/>
    <x v="4"/>
    <x v="4"/>
    <n v="0"/>
    <n v="0"/>
    <n v="50"/>
    <n v="73"/>
    <x v="6"/>
    <x v="3"/>
    <n v="780"/>
    <n v="780"/>
    <n v="0"/>
    <n v="0"/>
    <n v="0"/>
    <n v="0"/>
    <n v="0"/>
    <n v="0"/>
    <n v="320"/>
    <n v="5"/>
    <n v="0"/>
    <n v="0"/>
    <s v="CP"/>
    <n v="1"/>
    <s v="FD"/>
    <s v="O"/>
    <n v="0"/>
    <n v="2"/>
    <n v="0"/>
    <n v="6800"/>
    <n v="100"/>
    <d v="2021-07-19T00:00:00"/>
    <n v="22600"/>
    <n v="69864"/>
    <n v="92500"/>
    <n v="160000"/>
    <n v="531"/>
    <n v="50650.628469298128"/>
    <n v="155833.95000000001"/>
    <n v="10733"/>
    <n v="-45357"/>
    <n v="-11958.33"/>
    <n v="48657.065340000001"/>
    <n v="0"/>
    <n v="0"/>
    <n v="10052.209000000001"/>
    <n v="5758.2746799999995"/>
    <n v="-63692.706599999998"/>
    <n v="160677.09088929815"/>
    <n v="1.0042318180581136"/>
    <n v="0.93029096284873303"/>
    <n v="0.9059988268293695"/>
    <n v="0.94654220114707954"/>
    <n v="0.87336335356423944"/>
    <n v="146866.70791487198"/>
    <n v="0.91791692446794981"/>
    <n v="-13133.292085128021"/>
    <n v="172483360.99328634"/>
  </r>
  <r>
    <n v="23092714446"/>
    <n v="0.23"/>
    <n v="10218"/>
    <n v="0"/>
    <s v="GV"/>
    <s v="GV"/>
    <n v="4"/>
    <s v="RES"/>
    <n v="275400"/>
    <n v="42300"/>
    <n v="0.23"/>
    <n v="-1.4696759700590001"/>
    <n v="0"/>
    <n v="0"/>
    <n v="0"/>
    <n v="13398.7528"/>
    <n v="63902.980100000001"/>
    <n v="44211.155081080004"/>
    <s v="CP"/>
    <n v="1"/>
    <x v="0"/>
    <x v="3"/>
    <n v="0"/>
    <n v="0"/>
    <n v="29"/>
    <n v="29"/>
    <x v="11"/>
    <x v="0"/>
    <n v="1494"/>
    <n v="1494"/>
    <n v="0"/>
    <n v="0"/>
    <n v="0"/>
    <n v="528"/>
    <n v="0"/>
    <n v="48"/>
    <n v="224"/>
    <n v="10"/>
    <n v="1"/>
    <n v="0"/>
    <s v="CP"/>
    <n v="1"/>
    <s v="HP"/>
    <s v="E"/>
    <n v="1"/>
    <n v="3"/>
    <n v="0"/>
    <n v="0"/>
    <n v="100"/>
    <d v="2021-07-21T00:00:00"/>
    <n v="24200"/>
    <n v="288026"/>
    <n v="312200"/>
    <n v="345000"/>
    <n v="529"/>
    <n v="51342.29502553949"/>
    <n v="155833.95000000001"/>
    <n v="20768"/>
    <n v="22342"/>
    <n v="-6935.8314"/>
    <n v="93196.994382000004"/>
    <n v="0"/>
    <n v="46210.790736000003"/>
    <n v="20104.418000000001"/>
    <n v="0"/>
    <n v="-63452.809399999998"/>
    <n v="339409.80734353955"/>
    <n v="0.98379654302475228"/>
    <n v="0.93979103106061679"/>
    <n v="0.94546156904349943"/>
    <n v="0.959911764774662"/>
    <n v="0.93897388656927183"/>
    <n v="321093.40872132534"/>
    <n v="0.93070553252558064"/>
    <n v="-23906.591278674663"/>
    <n v="571525106.56560349"/>
  </r>
  <r>
    <n v="23092214404"/>
    <n v="0.32"/>
    <n v="13798"/>
    <n v="0"/>
    <s v="GV"/>
    <s v="GV"/>
    <n v="4"/>
    <s v="RES"/>
    <n v="248900"/>
    <n v="45600"/>
    <n v="0.32"/>
    <n v="-1.139434283188"/>
    <n v="0"/>
    <n v="0"/>
    <n v="0"/>
    <n v="13398.7528"/>
    <n v="63902.980100000001"/>
    <n v="48635.981807714001"/>
    <s v="RN"/>
    <n v="1"/>
    <x v="1"/>
    <x v="2"/>
    <n v="0"/>
    <n v="0"/>
    <n v="49"/>
    <n v="68"/>
    <x v="6"/>
    <x v="5"/>
    <n v="3329"/>
    <n v="1952"/>
    <n v="0"/>
    <n v="1377"/>
    <n v="0"/>
    <n v="0"/>
    <n v="0"/>
    <n v="0"/>
    <n v="0"/>
    <n v="10"/>
    <n v="0"/>
    <n v="1"/>
    <s v="MT"/>
    <n v="0"/>
    <s v="SP"/>
    <s v="G"/>
    <n v="0"/>
    <n v="3"/>
    <n v="0"/>
    <n v="33400"/>
    <n v="100"/>
    <d v="2021-07-26T00:00:00"/>
    <n v="26100"/>
    <n v="300858"/>
    <n v="327000"/>
    <n v="340000"/>
    <n v="524"/>
    <n v="56480.834356147388"/>
    <n v="155833.95000000001"/>
    <n v="2251"/>
    <n v="-4503"/>
    <n v="-11719.163399999999"/>
    <n v="207665.85963700002"/>
    <n v="-37315.653480000001"/>
    <n v="0"/>
    <n v="20104.418000000001"/>
    <n v="28283.29034"/>
    <n v="-62853.066399999996"/>
    <n v="354228.46905314748"/>
    <n v="1.0418484383916102"/>
    <n v="0.94889070359879057"/>
    <n v="0.91974816281148053"/>
    <n v="0.94654220114707954"/>
    <n v="0.98658627145912159"/>
    <n v="336673.55604901584"/>
    <n v="0.99021634132063485"/>
    <n v="-3326.4439509841613"/>
    <n v="11065229.359039119"/>
  </r>
  <r>
    <n v="23092621401"/>
    <n v="0"/>
    <n v="9891"/>
    <n v="0"/>
    <s v="GV"/>
    <s v="GV"/>
    <n v="4"/>
    <s v="RES"/>
    <n v="416300"/>
    <n v="39700"/>
    <n v="0.23"/>
    <n v="-1.4696759700590001"/>
    <n v="0"/>
    <n v="0"/>
    <n v="0"/>
    <n v="13398.7528"/>
    <n v="63902.980100000001"/>
    <n v="44211.155081080004"/>
    <s v="CO"/>
    <n v="2"/>
    <x v="0"/>
    <x v="0"/>
    <n v="0"/>
    <n v="0"/>
    <n v="2"/>
    <n v="2"/>
    <x v="0"/>
    <x v="4"/>
    <n v="2984"/>
    <n v="1876"/>
    <n v="1108"/>
    <n v="0"/>
    <n v="0"/>
    <n v="704"/>
    <n v="0"/>
    <n v="0"/>
    <n v="0"/>
    <n v="12"/>
    <n v="0"/>
    <n v="0"/>
    <s v="CP"/>
    <n v="1"/>
    <s v="FD"/>
    <s v="G"/>
    <n v="1"/>
    <n v="4"/>
    <n v="0"/>
    <n v="0"/>
    <n v="100"/>
    <d v="2021-07-27T00:00:00"/>
    <n v="22700"/>
    <n v="495407"/>
    <n v="518100"/>
    <n v="436153"/>
    <n v="523"/>
    <n v="51342.29502553949"/>
    <n v="155833.95000000001"/>
    <n v="20768"/>
    <n v="25780"/>
    <n v="-478.33319999999998"/>
    <n v="186144.465352"/>
    <n v="0"/>
    <n v="61614.387648000004"/>
    <n v="24125.301599999999"/>
    <n v="0"/>
    <n v="-62733.1178"/>
    <n v="462396.94862553955"/>
    <n v="1.0601714275163521"/>
    <n v="0.93979103106061679"/>
    <n v="0.94231068710026933"/>
    <n v="0.94035194935713262"/>
    <n v="0.92848762814113772"/>
    <n v="433605.95239658048"/>
    <n v="0.994160196987251"/>
    <n v="-2547.0476034195162"/>
    <n v="6487451.4940851014"/>
  </r>
  <r>
    <n v="23092621416"/>
    <n v="0"/>
    <n v="8250"/>
    <n v="0"/>
    <s v="GV"/>
    <s v="GV"/>
    <n v="4"/>
    <s v="RES"/>
    <n v="2417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378"/>
    <n v="1378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8-05T00:00:00"/>
    <n v="22400"/>
    <n v="245628"/>
    <n v="268000"/>
    <n v="266320"/>
    <n v="514"/>
    <n v="48369.487874125851"/>
    <n v="155833.95000000001"/>
    <n v="9808"/>
    <n v="25780"/>
    <n v="-478.33319999999998"/>
    <n v="85960.815434000004"/>
    <n v="0"/>
    <n v="35008.174800000001"/>
    <n v="18093.976200000001"/>
    <n v="0"/>
    <n v="-61653.580399999999"/>
    <n v="316722.49070812587"/>
    <n v="1.1892553721392531"/>
    <n v="0.93645298159011592"/>
    <n v="0.94231068710026933"/>
    <n v="0.94035194935713262"/>
    <n v="0.93897388656927183"/>
    <n v="297567.86705157417"/>
    <n v="1.1173320330864154"/>
    <n v="31247.867051574169"/>
    <n v="976429195.27285457"/>
  </r>
  <r>
    <n v="23092621430"/>
    <n v="0"/>
    <n v="10255"/>
    <n v="0"/>
    <s v="GV"/>
    <s v="GV"/>
    <n v="4"/>
    <s v="RES"/>
    <n v="328400"/>
    <n v="39700"/>
    <n v="0.24"/>
    <n v="-1.4271163556399999"/>
    <n v="0"/>
    <n v="0"/>
    <n v="0"/>
    <n v="13398.7528"/>
    <n v="63902.980100000001"/>
    <n v="44781.400833940999"/>
    <s v="CP"/>
    <n v="2"/>
    <x v="2"/>
    <x v="0"/>
    <n v="0"/>
    <n v="0"/>
    <n v="2"/>
    <n v="2"/>
    <x v="0"/>
    <x v="2"/>
    <n v="2435"/>
    <n v="1161"/>
    <n v="1274"/>
    <n v="0"/>
    <n v="0"/>
    <n v="787"/>
    <n v="0"/>
    <n v="0"/>
    <n v="182"/>
    <n v="12"/>
    <n v="0"/>
    <n v="0"/>
    <s v="CP"/>
    <n v="1"/>
    <s v="FD"/>
    <s v="G"/>
    <n v="1"/>
    <n v="4"/>
    <n v="0"/>
    <n v="0"/>
    <n v="100"/>
    <d v="2021-08-06T00:00:00"/>
    <n v="22700"/>
    <n v="381687"/>
    <n v="404400"/>
    <n v="445072"/>
    <n v="513"/>
    <n v="52004.519878673433"/>
    <n v="155833.95000000001"/>
    <n v="9808"/>
    <n v="25780"/>
    <n v="-478.33319999999998"/>
    <n v="151897.37705500002"/>
    <n v="0"/>
    <n v="68878.583918999997"/>
    <n v="24125.301599999999"/>
    <n v="0"/>
    <n v="-61533.631800000003"/>
    <n v="426315.76745267352"/>
    <n v="0.9578579812989213"/>
    <n v="0.93645298159011592"/>
    <n v="0.94231068710026933"/>
    <n v="0.94035194935713262"/>
    <n v="0.94539091427335964"/>
    <n v="401217.12285174447"/>
    <n v="0.90146565690886971"/>
    <n v="-43854.877148255531"/>
    <n v="1923250249.6885853"/>
  </r>
  <r>
    <n v="23092621414"/>
    <n v="0"/>
    <n v="8250"/>
    <n v="0"/>
    <s v="GV"/>
    <s v="GV"/>
    <n v="4"/>
    <s v="RES"/>
    <n v="2461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459"/>
    <n v="1459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1-08-09T00:00:00"/>
    <n v="22400"/>
    <n v="256559"/>
    <n v="279000"/>
    <n v="270470"/>
    <n v="510"/>
    <n v="48369.487874125851"/>
    <n v="155833.95000000001"/>
    <n v="9808"/>
    <n v="25780"/>
    <n v="-478.33319999999998"/>
    <n v="91013.664527000001"/>
    <n v="0"/>
    <n v="35008.174800000001"/>
    <n v="18093.976200000001"/>
    <n v="0"/>
    <n v="-61173.786"/>
    <n v="322255.13420112582"/>
    <n v="1.1914635050139601"/>
    <n v="0.93645298159011592"/>
    <n v="0.94231068710026933"/>
    <n v="0.94035194935713262"/>
    <n v="0.93897388656927183"/>
    <n v="302765.90941253153"/>
    <n v="1.1194066233317246"/>
    <n v="32295.909412531531"/>
    <n v="1043025764.7824428"/>
  </r>
  <r>
    <n v="23092243401"/>
    <n v="0.11"/>
    <n v="4612"/>
    <n v="0"/>
    <s v="GV"/>
    <s v="GV"/>
    <n v="4"/>
    <s v="RES"/>
    <n v="159600"/>
    <n v="41600"/>
    <n v="0.11"/>
    <n v="-2.20727491319"/>
    <n v="0"/>
    <n v="0"/>
    <n v="0"/>
    <n v="13398.7528"/>
    <n v="63902.980100000001"/>
    <n v="34328.24917653"/>
    <s v="TD"/>
    <n v="1"/>
    <x v="4"/>
    <x v="2"/>
    <n v="0"/>
    <n v="0"/>
    <n v="53"/>
    <n v="93"/>
    <x v="8"/>
    <x v="0"/>
    <n v="1428"/>
    <n v="1428"/>
    <n v="0"/>
    <n v="0"/>
    <n v="0"/>
    <n v="0"/>
    <n v="368"/>
    <n v="0"/>
    <n v="0"/>
    <n v="5"/>
    <n v="0"/>
    <n v="0"/>
    <s v="CP"/>
    <n v="1"/>
    <s v="ER"/>
    <s v="E"/>
    <n v="0"/>
    <n v="3"/>
    <n v="0"/>
    <n v="0"/>
    <n v="100"/>
    <d v="2021-08-09T00:00:00"/>
    <n v="23800"/>
    <n v="122239"/>
    <n v="146000"/>
    <n v="265000"/>
    <n v="510"/>
    <n v="39865.303082431514"/>
    <n v="155833.95000000001"/>
    <n v="10733"/>
    <n v="-4503"/>
    <n v="-12675.8298"/>
    <n v="89079.858084000007"/>
    <n v="0"/>
    <n v="0"/>
    <n v="10052.209000000001"/>
    <n v="0"/>
    <n v="-61173.786"/>
    <n v="227211.70436643148"/>
    <n v="0.85740265798653392"/>
    <n v="0.93029096284873303"/>
    <n v="0.91974816281148053"/>
    <n v="0.89043830049531381"/>
    <n v="0.93897388656927183"/>
    <n v="209003.60097437634"/>
    <n v="0.7886928338655711"/>
    <n v="-55996.399025623658"/>
    <n v="3135596703.8368659"/>
  </r>
  <r>
    <n v="23092612415"/>
    <n v="0.17"/>
    <n v="7238"/>
    <n v="0"/>
    <s v="GV"/>
    <s v="GV"/>
    <n v="4"/>
    <s v="RES"/>
    <n v="260500"/>
    <n v="38800"/>
    <n v="0.17"/>
    <n v="-1.771956841932"/>
    <n v="0"/>
    <n v="0"/>
    <n v="0"/>
    <n v="13398.7528"/>
    <n v="63902.980100000001"/>
    <n v="40160.968402685998"/>
    <s v="CO"/>
    <n v="2"/>
    <x v="2"/>
    <x v="1"/>
    <n v="0"/>
    <n v="0"/>
    <n v="10"/>
    <n v="10"/>
    <x v="7"/>
    <x v="1"/>
    <n v="1723"/>
    <n v="667"/>
    <n v="1056"/>
    <n v="0"/>
    <n v="0"/>
    <n v="437"/>
    <n v="0"/>
    <n v="0"/>
    <n v="100"/>
    <n v="12"/>
    <n v="0"/>
    <n v="0"/>
    <s v="CP"/>
    <n v="1"/>
    <s v="FD"/>
    <s v="E"/>
    <n v="1"/>
    <n v="4"/>
    <n v="0"/>
    <n v="0"/>
    <n v="100"/>
    <d v="2021-08-10T00:00:00"/>
    <n v="22200"/>
    <n v="270868"/>
    <n v="293100"/>
    <n v="335000"/>
    <n v="509"/>
    <n v="46638.82417142456"/>
    <n v="155833.95000000001"/>
    <n v="9808"/>
    <n v="25818"/>
    <n v="-2391.6659999999997"/>
    <n v="107482.20971900001"/>
    <n v="0"/>
    <n v="38246.430969000001"/>
    <n v="24125.301599999999"/>
    <n v="0"/>
    <n v="-61053.837399999997"/>
    <n v="344507.21305942454"/>
    <n v="1.0283797404758941"/>
    <n v="0.93645298159011592"/>
    <n v="0.95027059935652425"/>
    <n v="0.93805509262653142"/>
    <n v="0.94249369191070453"/>
    <n v="324463.12586715899"/>
    <n v="0.96854664437957905"/>
    <n v="-10536.874132841011"/>
    <n v="111025716.49133399"/>
  </r>
  <r>
    <n v="23091442438"/>
    <n v="0.22"/>
    <n v="9372"/>
    <n v="0"/>
    <s v="GV"/>
    <s v="GV"/>
    <n v="4"/>
    <s v="RES"/>
    <n v="216400"/>
    <n v="39500"/>
    <n v="0.22"/>
    <n v="-1.51412773263"/>
    <n v="0"/>
    <n v="0"/>
    <n v="0"/>
    <n v="13398.7528"/>
    <n v="63902.980100000001"/>
    <n v="43615.556902869001"/>
    <s v="RN"/>
    <n v="1"/>
    <x v="2"/>
    <x v="3"/>
    <n v="0"/>
    <n v="0"/>
    <n v="13"/>
    <n v="13"/>
    <x v="7"/>
    <x v="0"/>
    <n v="1116"/>
    <n v="1116"/>
    <n v="0"/>
    <n v="0"/>
    <n v="0"/>
    <n v="504"/>
    <n v="0"/>
    <n v="0"/>
    <n v="0"/>
    <n v="8"/>
    <n v="0"/>
    <n v="0"/>
    <s v="CP"/>
    <n v="1"/>
    <s v="HP"/>
    <s v="E"/>
    <n v="1"/>
    <n v="3"/>
    <n v="0"/>
    <n v="0"/>
    <n v="100"/>
    <d v="2021-08-10T00:00:00"/>
    <n v="22600"/>
    <n v="210457"/>
    <n v="233100"/>
    <n v="275000"/>
    <n v="509"/>
    <n v="50650.628469298128"/>
    <n v="155833.95000000001"/>
    <n v="9808"/>
    <n v="22342"/>
    <n v="-3109.1657999999998"/>
    <n v="69617.031948000003"/>
    <n v="0"/>
    <n v="44110.300248"/>
    <n v="16083.5344"/>
    <n v="0"/>
    <n v="-61053.837399999997"/>
    <n v="304282.44186529814"/>
    <n v="1.1064816067829024"/>
    <n v="0.93645298159011592"/>
    <n v="0.94546156904349943"/>
    <n v="0.93805509262653142"/>
    <n v="0.93897388656927183"/>
    <n v="285945.12902256468"/>
    <n v="1.0398004691729625"/>
    <n v="10945.129022564681"/>
    <n v="119795849.32058768"/>
  </r>
  <r>
    <n v="23092621438"/>
    <n v="0"/>
    <n v="9900"/>
    <n v="0"/>
    <s v="GV"/>
    <s v="GV"/>
    <n v="4"/>
    <s v="RES"/>
    <n v="328400"/>
    <n v="39500"/>
    <n v="0.23"/>
    <n v="-1.4696759700590001"/>
    <n v="0"/>
    <n v="0"/>
    <n v="0"/>
    <n v="13398.7528"/>
    <n v="63902.980100000001"/>
    <n v="44211.155081080004"/>
    <s v="CP"/>
    <n v="2"/>
    <x v="2"/>
    <x v="0"/>
    <n v="0"/>
    <n v="0"/>
    <n v="2"/>
    <n v="2"/>
    <x v="0"/>
    <x v="2"/>
    <n v="2435"/>
    <n v="1161"/>
    <n v="1274"/>
    <n v="0"/>
    <n v="0"/>
    <n v="787"/>
    <n v="0"/>
    <n v="0"/>
    <n v="182"/>
    <n v="12"/>
    <n v="0"/>
    <n v="0"/>
    <s v="CP"/>
    <n v="1"/>
    <s v="FD"/>
    <s v="G"/>
    <n v="1"/>
    <n v="4"/>
    <n v="0"/>
    <n v="0"/>
    <n v="100"/>
    <d v="2021-08-17T00:00:00"/>
    <n v="22600"/>
    <n v="381687"/>
    <n v="404300"/>
    <n v="395820"/>
    <n v="502"/>
    <n v="51342.29502553949"/>
    <n v="155833.95000000001"/>
    <n v="9808"/>
    <n v="25780"/>
    <n v="-478.33319999999998"/>
    <n v="151897.37705500002"/>
    <n v="0"/>
    <n v="68878.583918999997"/>
    <n v="24125.301599999999"/>
    <n v="0"/>
    <n v="-60214.197200000002"/>
    <n v="426972.97719953954"/>
    <n v="1.0787049093010448"/>
    <n v="0.93645298159011592"/>
    <n v="0.94231068710026933"/>
    <n v="0.94035194935713262"/>
    <n v="0.94539091427335964"/>
    <n v="401835.64044803998"/>
    <n v="1.0151979193775957"/>
    <n v="6015.6404480399797"/>
    <n v="36187930.000094645"/>
  </r>
  <r>
    <n v="23092323528"/>
    <n v="0.17"/>
    <n v="7466"/>
    <n v="0"/>
    <s v="GV"/>
    <s v="GV"/>
    <n v="4"/>
    <s v="RES"/>
    <n v="145000"/>
    <n v="39300"/>
    <n v="0.17"/>
    <n v="-1.771956841932"/>
    <n v="0"/>
    <n v="0"/>
    <n v="0"/>
    <n v="13398.7528"/>
    <n v="63902.980100000001"/>
    <n v="40160.968402685998"/>
    <s v="TD"/>
    <n v="1"/>
    <x v="4"/>
    <x v="2"/>
    <n v="0"/>
    <n v="0"/>
    <n v="50"/>
    <n v="73"/>
    <x v="6"/>
    <x v="1"/>
    <n v="1768"/>
    <n v="884"/>
    <n v="0"/>
    <n v="884"/>
    <n v="0"/>
    <n v="0"/>
    <n v="0"/>
    <n v="0"/>
    <n v="408"/>
    <n v="7"/>
    <n v="0"/>
    <n v="0"/>
    <s v="CP"/>
    <n v="1"/>
    <s v="FD"/>
    <s v="G"/>
    <n v="1"/>
    <n v="2"/>
    <n v="0"/>
    <n v="1500"/>
    <n v="100"/>
    <d v="2021-08-23T00:00:00"/>
    <n v="22500"/>
    <n v="140303"/>
    <n v="162800"/>
    <n v="230000"/>
    <n v="496"/>
    <n v="46638.82417142456"/>
    <n v="155833.95000000001"/>
    <n v="10733"/>
    <n v="-4503"/>
    <n v="-11958.33"/>
    <n v="110289.348104"/>
    <n v="-23955.728160000002"/>
    <n v="0"/>
    <n v="14073.0926"/>
    <n v="1270.2076500000001"/>
    <n v="-59494.505599999997"/>
    <n v="238926.85876542455"/>
    <n v="1.0388124294148893"/>
    <n v="0.93029096284873303"/>
    <n v="0.91974816281148053"/>
    <n v="0.94654220114707954"/>
    <n v="0.94249369191070453"/>
    <n v="223341.36222764055"/>
    <n v="0.97104940098974157"/>
    <n v="-6658.6377723594487"/>
    <n v="44337456.983492002"/>
  </r>
  <r>
    <n v="23092424411"/>
    <n v="0.17"/>
    <n v="7334"/>
    <n v="0"/>
    <s v="GV"/>
    <s v="GV"/>
    <n v="4"/>
    <s v="RES"/>
    <n v="210100"/>
    <n v="43000"/>
    <n v="0.17"/>
    <n v="-1.771956841932"/>
    <n v="0"/>
    <n v="0"/>
    <n v="0"/>
    <n v="13398.7528"/>
    <n v="63902.980100000001"/>
    <n v="40160.968402685998"/>
    <s v="RN"/>
    <n v="1"/>
    <x v="2"/>
    <x v="3"/>
    <n v="0"/>
    <n v="0"/>
    <n v="19"/>
    <n v="19"/>
    <x v="1"/>
    <x v="0"/>
    <n v="1079"/>
    <n v="1079"/>
    <n v="0"/>
    <n v="0"/>
    <n v="0"/>
    <n v="520"/>
    <n v="0"/>
    <n v="0"/>
    <n v="100"/>
    <n v="8"/>
    <n v="0"/>
    <n v="0"/>
    <s v="CP"/>
    <n v="1"/>
    <s v="FD"/>
    <s v="G"/>
    <n v="1"/>
    <n v="3"/>
    <n v="0"/>
    <n v="0"/>
    <n v="100"/>
    <d v="2021-08-30T00:00:00"/>
    <n v="24600"/>
    <n v="192673"/>
    <n v="217300"/>
    <n v="280000"/>
    <n v="489"/>
    <n v="46638.82417142456"/>
    <n v="155833.95000000001"/>
    <n v="9808"/>
    <n v="22342"/>
    <n v="-4544.1653999999999"/>
    <n v="67308.940386999995"/>
    <n v="0"/>
    <n v="45510.627240000002"/>
    <n v="16083.5344"/>
    <n v="0"/>
    <n v="-58654.865400000002"/>
    <n v="300326.84539842454"/>
    <n v="1.0725958764229448"/>
    <n v="0.93645298159011592"/>
    <n v="0.94546156904349943"/>
    <n v="0.95331699902534994"/>
    <n v="0.93897388656927183"/>
    <n v="283373.8031370028"/>
    <n v="1.0120492969178672"/>
    <n v="3373.8031370028039"/>
    <n v="11382547.60724996"/>
  </r>
  <r>
    <n v="23092231522"/>
    <n v="0"/>
    <n v="9761"/>
    <n v="0"/>
    <s v="GV"/>
    <s v="GV"/>
    <n v="4"/>
    <s v="RES"/>
    <n v="329100"/>
    <n v="39500"/>
    <n v="0.22"/>
    <n v="-1.51412773263"/>
    <n v="0"/>
    <n v="0"/>
    <n v="0"/>
    <n v="13398.7528"/>
    <n v="63902.980100000001"/>
    <n v="43615.556902869001"/>
    <s v="CP"/>
    <n v="2"/>
    <x v="0"/>
    <x v="0"/>
    <n v="0"/>
    <n v="0"/>
    <n v="2"/>
    <n v="2"/>
    <x v="0"/>
    <x v="4"/>
    <n v="2520"/>
    <n v="1104"/>
    <n v="1416"/>
    <n v="0"/>
    <n v="0"/>
    <n v="500"/>
    <n v="0"/>
    <n v="0"/>
    <n v="0"/>
    <n v="13"/>
    <n v="0"/>
    <n v="0"/>
    <s v="CP"/>
    <n v="1"/>
    <s v="HP"/>
    <s v="E"/>
    <n v="1"/>
    <n v="3"/>
    <n v="0"/>
    <n v="0"/>
    <n v="100"/>
    <d v="2021-09-01T00:00:00"/>
    <n v="22600"/>
    <n v="437454"/>
    <n v="460100"/>
    <n v="359950"/>
    <n v="487"/>
    <n v="50650.628469298128"/>
    <n v="155833.95000000001"/>
    <n v="20768"/>
    <n v="25780"/>
    <n v="-478.33319999999998"/>
    <n v="157199.74956"/>
    <n v="0"/>
    <n v="43760.218500000003"/>
    <n v="26135.743399999999"/>
    <n v="0"/>
    <n v="-58414.968200000003"/>
    <n v="421234.98852929811"/>
    <n v="1.1702597264322769"/>
    <n v="0.93979103106061679"/>
    <n v="0.94231068710026933"/>
    <n v="0.94035194935713262"/>
    <n v="0.92848762814113772"/>
    <n v="395006.92841276387"/>
    <n v="1.0973938836304038"/>
    <n v="35056.928412763868"/>
    <n v="1228988229.7376506"/>
  </r>
  <r>
    <n v="23092231525"/>
    <n v="0.32"/>
    <n v="14029"/>
    <n v="0"/>
    <s v="GV"/>
    <s v="GV"/>
    <n v="4"/>
    <s v="RES"/>
    <n v="311900"/>
    <n v="41200"/>
    <n v="0.32"/>
    <n v="-1.139434283188"/>
    <n v="0"/>
    <n v="0"/>
    <n v="0"/>
    <n v="13398.7528"/>
    <n v="63902.980100000001"/>
    <n v="48635.981807714001"/>
    <s v="CP"/>
    <n v="1"/>
    <x v="2"/>
    <x v="0"/>
    <n v="0"/>
    <n v="0"/>
    <n v="2"/>
    <n v="2"/>
    <x v="0"/>
    <x v="1"/>
    <n v="1960"/>
    <n v="1960"/>
    <n v="0"/>
    <n v="0"/>
    <n v="0"/>
    <n v="772"/>
    <n v="0"/>
    <n v="0"/>
    <n v="0"/>
    <n v="9"/>
    <n v="0"/>
    <n v="0"/>
    <s v="CP"/>
    <n v="1"/>
    <s v="HP"/>
    <s v="E"/>
    <n v="1"/>
    <n v="3"/>
    <n v="0"/>
    <n v="0"/>
    <n v="100"/>
    <d v="2021-09-01T00:00:00"/>
    <n v="23600"/>
    <n v="337500"/>
    <n v="361100"/>
    <n v="368332"/>
    <n v="487"/>
    <n v="56480.834356147388"/>
    <n v="155833.95000000001"/>
    <n v="9808"/>
    <n v="25780"/>
    <n v="-478.33319999999998"/>
    <n v="122266.47188"/>
    <n v="0"/>
    <n v="67565.777363999994"/>
    <n v="18093.976200000001"/>
    <n v="0"/>
    <n v="-58414.968200000003"/>
    <n v="396935.70840014733"/>
    <n v="1.0776574079910171"/>
    <n v="0.93645298159011592"/>
    <n v="0.94231068710026933"/>
    <n v="0.94035194935713262"/>
    <n v="0.94249369191070453"/>
    <n v="373279.26404321409"/>
    <n v="1.013431534711114"/>
    <n v="4947.2640432140906"/>
    <n v="24475421.513279032"/>
  </r>
  <r>
    <n v="23092621471"/>
    <n v="0"/>
    <n v="9041"/>
    <n v="0"/>
    <s v="GV"/>
    <s v="GV"/>
    <n v="4"/>
    <s v="RES"/>
    <n v="236800"/>
    <n v="39300"/>
    <n v="0.21"/>
    <n v="-1.5606477482650001"/>
    <n v="0"/>
    <n v="0"/>
    <n v="0"/>
    <n v="13398.7528"/>
    <n v="63902.980100000001"/>
    <n v="42992.246713125001"/>
    <s v="RN"/>
    <n v="1"/>
    <x v="2"/>
    <x v="0"/>
    <n v="0"/>
    <n v="0"/>
    <n v="2"/>
    <n v="2"/>
    <x v="0"/>
    <x v="0"/>
    <n v="1404"/>
    <n v="1404"/>
    <n v="0"/>
    <n v="0"/>
    <n v="0"/>
    <n v="400"/>
    <n v="0"/>
    <n v="0"/>
    <n v="0"/>
    <n v="8"/>
    <n v="0"/>
    <n v="0"/>
    <s v="CP"/>
    <n v="1"/>
    <s v="HP"/>
    <s v="G"/>
    <n v="1"/>
    <n v="3"/>
    <n v="0"/>
    <n v="0"/>
    <n v="100"/>
    <d v="2021-09-03T00:00:00"/>
    <n v="22500"/>
    <n v="251188"/>
    <n v="273700"/>
    <n v="281443"/>
    <n v="485"/>
    <n v="49926.780028885936"/>
    <n v="155833.95000000001"/>
    <n v="9808"/>
    <n v="25780"/>
    <n v="-478.33319999999998"/>
    <n v="87582.717612000008"/>
    <n v="0"/>
    <n v="35008.174800000001"/>
    <n v="16083.5344"/>
    <n v="0"/>
    <n v="-58175.070999999996"/>
    <n v="321369.75264088594"/>
    <n v="1.1418644366386299"/>
    <n v="0.93645298159011592"/>
    <n v="0.94231068710026933"/>
    <n v="0.94035194935713262"/>
    <n v="0.93897388656927183"/>
    <n v="301934.07362525188"/>
    <n v="1.0728071887566999"/>
    <n v="20491.073625251884"/>
    <n v="419884098.31549335"/>
  </r>
  <r>
    <n v="23092621429"/>
    <n v="0"/>
    <n v="8050"/>
    <n v="0"/>
    <s v="GV"/>
    <s v="GV"/>
    <n v="4"/>
    <s v="RES"/>
    <n v="236800"/>
    <n v="325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404"/>
    <n v="1404"/>
    <n v="0"/>
    <n v="0"/>
    <n v="0"/>
    <n v="400"/>
    <n v="0"/>
    <n v="0"/>
    <n v="0"/>
    <n v="8"/>
    <n v="0"/>
    <n v="0"/>
    <s v="CP"/>
    <n v="1"/>
    <s v="HP"/>
    <s v="G"/>
    <n v="1"/>
    <n v="3"/>
    <n v="0"/>
    <n v="0"/>
    <n v="100"/>
    <d v="2021-09-07T00:00:00"/>
    <n v="18600"/>
    <n v="251188"/>
    <n v="269800"/>
    <n v="276040"/>
    <n v="481"/>
    <n v="47528.20540119947"/>
    <n v="155833.95000000001"/>
    <n v="9808"/>
    <n v="25780"/>
    <n v="-478.33319999999998"/>
    <n v="87582.717612000008"/>
    <n v="0"/>
    <n v="35008.174800000001"/>
    <n v="16083.5344"/>
    <n v="0"/>
    <n v="-57695.276599999997"/>
    <n v="319450.97241319949"/>
    <n v="1.1572633401434556"/>
    <n v="0.93645298159011592"/>
    <n v="0.94231068710026933"/>
    <n v="0.94035194935713262"/>
    <n v="0.93897388656927183"/>
    <n v="300131.33666641818"/>
    <n v="1.0872748031677226"/>
    <n v="24091.336666418181"/>
    <n v="580392502.37470508"/>
  </r>
  <r>
    <n v="23092332437"/>
    <n v="0.23"/>
    <n v="9997"/>
    <n v="0"/>
    <s v="GV"/>
    <s v="GV"/>
    <n v="4"/>
    <s v="RES"/>
    <n v="187200"/>
    <n v="39500"/>
    <n v="0.23"/>
    <n v="-1.4696759700590001"/>
    <n v="0"/>
    <n v="0"/>
    <n v="0"/>
    <n v="13398.7528"/>
    <n v="63902.980100000001"/>
    <n v="44211.155081080004"/>
    <s v="CO"/>
    <n v="2"/>
    <x v="1"/>
    <x v="2"/>
    <n v="0"/>
    <n v="0"/>
    <n v="51"/>
    <n v="78"/>
    <x v="9"/>
    <x v="2"/>
    <n v="2092"/>
    <n v="862"/>
    <n v="456"/>
    <n v="774"/>
    <n v="0"/>
    <n v="264"/>
    <n v="0"/>
    <n v="0"/>
    <n v="160"/>
    <n v="9"/>
    <n v="0"/>
    <n v="1"/>
    <s v="CP"/>
    <n v="1"/>
    <s v="FD"/>
    <s v="G"/>
    <n v="0"/>
    <n v="4"/>
    <n v="0"/>
    <n v="0"/>
    <n v="100"/>
    <d v="2021-09-14T00:00:00"/>
    <n v="22600"/>
    <n v="178186"/>
    <n v="200800"/>
    <n v="280000"/>
    <n v="474"/>
    <n v="51342.29502553949"/>
    <n v="155833.95000000001"/>
    <n v="2251"/>
    <n v="-4503"/>
    <n v="-12197.496599999999"/>
    <n v="130500.74447600001"/>
    <n v="-20974.811760000001"/>
    <n v="23105.395368000001"/>
    <n v="18093.976200000001"/>
    <n v="0"/>
    <n v="-56855.636400000003"/>
    <n v="286596.41630953952"/>
    <n v="1.0235586296769268"/>
    <n v="0.94889070359879057"/>
    <n v="0.91974816281148053"/>
    <n v="0.93121896872088394"/>
    <n v="0.94539091427335964"/>
    <n v="268343.71744177962"/>
    <n v="0.95837041943492718"/>
    <n v="-11656.28255822038"/>
    <n v="135868923.07707265"/>
  </r>
  <r>
    <n v="23092621431"/>
    <n v="0"/>
    <n v="9900"/>
    <n v="0"/>
    <s v="GV"/>
    <s v="GV"/>
    <n v="4"/>
    <s v="RES"/>
    <n v="328400"/>
    <n v="39500"/>
    <n v="0.23"/>
    <n v="-1.4696759700590001"/>
    <n v="0"/>
    <n v="0"/>
    <n v="0"/>
    <n v="13398.7528"/>
    <n v="63902.980100000001"/>
    <n v="44211.155081080004"/>
    <s v="CP"/>
    <n v="2"/>
    <x v="2"/>
    <x v="0"/>
    <n v="0"/>
    <n v="0"/>
    <n v="2"/>
    <n v="2"/>
    <x v="0"/>
    <x v="2"/>
    <n v="2435"/>
    <n v="1161"/>
    <n v="1274"/>
    <n v="0"/>
    <n v="0"/>
    <n v="787"/>
    <n v="0"/>
    <n v="0"/>
    <n v="182"/>
    <n v="12"/>
    <n v="0"/>
    <n v="0"/>
    <s v="CP"/>
    <n v="1"/>
    <s v="FD"/>
    <s v="G"/>
    <n v="1"/>
    <n v="4"/>
    <n v="0"/>
    <n v="0"/>
    <n v="100"/>
    <d v="2021-09-15T00:00:00"/>
    <n v="22600"/>
    <n v="386252"/>
    <n v="408900"/>
    <n v="371890"/>
    <n v="473"/>
    <n v="51342.29502553949"/>
    <n v="155833.95000000001"/>
    <n v="9808"/>
    <n v="25780"/>
    <n v="-478.33319999999998"/>
    <n v="151897.37705500002"/>
    <n v="0"/>
    <n v="68878.583918999997"/>
    <n v="24125.301599999999"/>
    <n v="0"/>
    <n v="-56735.6878"/>
    <n v="430451.48659953952"/>
    <n v="1.1574699147585026"/>
    <n v="0.93645298159011592"/>
    <n v="0.94231068710026933"/>
    <n v="0.94035194935713262"/>
    <n v="0.94539091427335964"/>
    <n v="405109.35828779987"/>
    <n v="1.0893257637683182"/>
    <n v="33219.358287799871"/>
    <n v="1103525765.0532179"/>
  </r>
  <r>
    <n v="23092231523"/>
    <n v="0.2"/>
    <n v="8871"/>
    <n v="0"/>
    <s v="GV"/>
    <s v="GV"/>
    <n v="4"/>
    <s v="RES"/>
    <n v="308000"/>
    <n v="39300"/>
    <n v="0.2"/>
    <n v="-1.6094379124339999"/>
    <n v="0"/>
    <n v="0"/>
    <n v="0"/>
    <n v="13398.7528"/>
    <n v="63902.980100000001"/>
    <n v="42338.519364346997"/>
    <s v="CP"/>
    <n v="2"/>
    <x v="2"/>
    <x v="0"/>
    <n v="0"/>
    <n v="0"/>
    <n v="2"/>
    <n v="2"/>
    <x v="0"/>
    <x v="2"/>
    <n v="2374"/>
    <n v="924"/>
    <n v="1450"/>
    <n v="0"/>
    <n v="0"/>
    <n v="526"/>
    <n v="0"/>
    <n v="0"/>
    <n v="0"/>
    <n v="11"/>
    <n v="0"/>
    <n v="0"/>
    <s v="CP"/>
    <n v="1"/>
    <s v="HP"/>
    <s v="E"/>
    <n v="1"/>
    <n v="4"/>
    <n v="0"/>
    <n v="0"/>
    <n v="100"/>
    <d v="2021-09-15T00:00:00"/>
    <n v="22500"/>
    <n v="356170"/>
    <n v="378700"/>
    <n v="401800"/>
    <n v="473"/>
    <n v="49167.608223813884"/>
    <n v="155833.95000000001"/>
    <n v="9808"/>
    <n v="25780"/>
    <n v="-478.33319999999998"/>
    <n v="148092.14502200001"/>
    <n v="0"/>
    <n v="46035.749862000004"/>
    <n v="22114.859800000002"/>
    <n v="0"/>
    <n v="-56735.6878"/>
    <n v="399618.29190781387"/>
    <n v="0.99457016403139342"/>
    <n v="0.93645298159011592"/>
    <n v="0.94231068710026933"/>
    <n v="0.94035194935713262"/>
    <n v="0.94539091427335964"/>
    <n v="376091.41758046916"/>
    <n v="0.93601646983690678"/>
    <n v="-25708.582419530838"/>
    <n v="660931210.02181005"/>
  </r>
  <r>
    <n v="23092241419"/>
    <n v="0.26"/>
    <n v="11529"/>
    <n v="0"/>
    <s v="GV"/>
    <s v="GV"/>
    <n v="4"/>
    <s v="RES"/>
    <n v="202800"/>
    <n v="44500"/>
    <n v="0.26"/>
    <n v="-1.347073647967"/>
    <n v="0"/>
    <n v="0"/>
    <n v="0"/>
    <n v="13398.7528"/>
    <n v="63902.980100000001"/>
    <n v="45853.873287501003"/>
    <s v="RN"/>
    <n v="1"/>
    <x v="2"/>
    <x v="2"/>
    <n v="0"/>
    <n v="0"/>
    <n v="47"/>
    <n v="57"/>
    <x v="2"/>
    <x v="1"/>
    <n v="1972"/>
    <n v="1106"/>
    <n v="0"/>
    <n v="866"/>
    <n v="240"/>
    <n v="575"/>
    <n v="0"/>
    <n v="0"/>
    <n v="467"/>
    <n v="8"/>
    <n v="1"/>
    <n v="0"/>
    <s v="CP"/>
    <n v="1"/>
    <s v="FD"/>
    <s v="G"/>
    <n v="1"/>
    <n v="3"/>
    <n v="0"/>
    <n v="0"/>
    <n v="100"/>
    <d v="2021-09-16T00:00:00"/>
    <n v="25500"/>
    <n v="221693"/>
    <n v="247200"/>
    <n v="290000"/>
    <n v="472"/>
    <n v="53249.979243317037"/>
    <n v="155833.95000000001"/>
    <n v="9808"/>
    <n v="-4503"/>
    <n v="-11240.8302"/>
    <n v="123015.042116"/>
    <n v="-23467.941840000003"/>
    <n v="50324.251275000002"/>
    <n v="16083.5344"/>
    <n v="0"/>
    <n v="-56615.739199999996"/>
    <n v="312487.24579431704"/>
    <n v="1.0775422268769552"/>
    <n v="0.93645298159011592"/>
    <n v="0.91974816281148053"/>
    <n v="0.91535194202033021"/>
    <n v="0.94249369191070453"/>
    <n v="290148.06212810503"/>
    <n v="1.000510559062431"/>
    <n v="148.0621281050262"/>
    <n v="21922.39377898919"/>
  </r>
  <r>
    <n v="23092621472"/>
    <n v="0"/>
    <n v="8662"/>
    <n v="0"/>
    <s v="GV"/>
    <s v="GV"/>
    <n v="4"/>
    <s v="RES"/>
    <n v="341700"/>
    <n v="39300"/>
    <n v="0.2"/>
    <n v="-1.6094379124339999"/>
    <n v="0"/>
    <n v="0"/>
    <n v="0"/>
    <n v="13398.7528"/>
    <n v="63902.980100000001"/>
    <n v="42338.519364346997"/>
    <s v="CP"/>
    <n v="2"/>
    <x v="0"/>
    <x v="0"/>
    <n v="0"/>
    <n v="0"/>
    <n v="2"/>
    <n v="2"/>
    <x v="0"/>
    <x v="2"/>
    <n v="2435"/>
    <n v="1161"/>
    <n v="1274"/>
    <n v="0"/>
    <n v="0"/>
    <n v="787"/>
    <n v="0"/>
    <n v="0"/>
    <n v="182"/>
    <n v="12"/>
    <n v="0"/>
    <n v="0"/>
    <s v="CP"/>
    <n v="1"/>
    <s v="FD"/>
    <s v="G"/>
    <n v="1"/>
    <n v="4"/>
    <n v="0"/>
    <n v="0"/>
    <n v="100"/>
    <d v="2021-09-17T00:00:00"/>
    <n v="22500"/>
    <n v="434646"/>
    <n v="457100"/>
    <n v="356300"/>
    <n v="471"/>
    <n v="49167.608223813884"/>
    <n v="155833.95000000001"/>
    <n v="20768"/>
    <n v="25780"/>
    <n v="-478.33319999999998"/>
    <n v="151897.37705500002"/>
    <n v="0"/>
    <n v="68878.583918999997"/>
    <n v="24125.301599999999"/>
    <n v="0"/>
    <n v="-56495.7906"/>
    <n v="439476.69699781394"/>
    <n v="1.2334456834067189"/>
    <n v="0.93979103106061679"/>
    <n v="0.94231068710026933"/>
    <n v="0.94035194935713262"/>
    <n v="0.94539091427335964"/>
    <n v="413969.97290169616"/>
    <n v="1.1618579087894925"/>
    <n v="57669.972901696165"/>
    <n v="3325825774.4823699"/>
  </r>
  <r>
    <n v="23091433401"/>
    <n v="0.17"/>
    <n v="0"/>
    <n v="0"/>
    <s v="GV"/>
    <s v="GV"/>
    <n v="4"/>
    <s v="RES"/>
    <n v="172900"/>
    <n v="38800"/>
    <n v="0.17"/>
    <n v="-1.771956841932"/>
    <n v="0"/>
    <n v="0"/>
    <n v="0"/>
    <n v="13398.7528"/>
    <n v="63902.980100000001"/>
    <n v="40160.968402685998"/>
    <s v="TD"/>
    <n v="1"/>
    <x v="4"/>
    <x v="1"/>
    <n v="0"/>
    <n v="0"/>
    <n v="57"/>
    <n v="103"/>
    <x v="3"/>
    <x v="0"/>
    <n v="1054"/>
    <n v="1054"/>
    <n v="0"/>
    <n v="0"/>
    <n v="682"/>
    <n v="0"/>
    <n v="0"/>
    <n v="0"/>
    <n v="0"/>
    <n v="8"/>
    <n v="0"/>
    <n v="0"/>
    <s v="CP"/>
    <n v="1"/>
    <s v="HP"/>
    <s v="E"/>
    <n v="1"/>
    <n v="2"/>
    <n v="0"/>
    <n v="0"/>
    <n v="100"/>
    <d v="2021-09-17T00:00:00"/>
    <n v="22200"/>
    <n v="136628"/>
    <n v="158800"/>
    <n v="235000"/>
    <n v="471"/>
    <n v="46638.82417142456"/>
    <n v="155833.95000000001"/>
    <n v="10733"/>
    <n v="25818"/>
    <n v="-13632.4962"/>
    <n v="65749.419062000001"/>
    <n v="0"/>
    <n v="0"/>
    <n v="16083.5344"/>
    <n v="0"/>
    <n v="-56495.7906"/>
    <n v="250728.44083342457"/>
    <n v="1.066929535461381"/>
    <n v="0.93029096284873303"/>
    <n v="0.95027059935652425"/>
    <n v="0.89161307203578499"/>
    <n v="0.93897388656927183"/>
    <n v="232622.62058100995"/>
    <n v="0.98988349183408486"/>
    <n v="-2377.3794189900509"/>
    <n v="5651932.9018374719"/>
  </r>
  <r>
    <n v="23092621469"/>
    <n v="0"/>
    <n v="8605"/>
    <n v="0"/>
    <s v="GV"/>
    <s v="GV"/>
    <n v="4"/>
    <s v="RES"/>
    <n v="266300"/>
    <n v="39300"/>
    <n v="0.2"/>
    <n v="-1.6094379124339999"/>
    <n v="0"/>
    <n v="0"/>
    <n v="0"/>
    <n v="13398.7528"/>
    <n v="63902.980100000001"/>
    <n v="42338.519364346997"/>
    <s v="RN"/>
    <n v="1"/>
    <x v="2"/>
    <x v="0"/>
    <n v="0"/>
    <n v="0"/>
    <n v="2"/>
    <n v="2"/>
    <x v="0"/>
    <x v="1"/>
    <n v="1780"/>
    <n v="1780"/>
    <n v="0"/>
    <n v="0"/>
    <n v="0"/>
    <n v="420"/>
    <n v="0"/>
    <n v="0"/>
    <n v="0"/>
    <n v="10"/>
    <n v="0"/>
    <n v="0"/>
    <s v="CP"/>
    <n v="1"/>
    <s v="FD"/>
    <s v="G"/>
    <n v="1"/>
    <n v="3"/>
    <n v="0"/>
    <n v="0"/>
    <n v="100"/>
    <d v="2021-09-28T00:00:00"/>
    <n v="22500"/>
    <n v="309279"/>
    <n v="331800"/>
    <n v="309890"/>
    <n v="460"/>
    <n v="49167.608223813884"/>
    <n v="155833.95000000001"/>
    <n v="9808"/>
    <n v="25780"/>
    <n v="-478.33319999999998"/>
    <n v="111037.91834"/>
    <n v="0"/>
    <n v="36758.58354"/>
    <n v="20104.418000000001"/>
    <n v="0"/>
    <n v="-55176.356"/>
    <n v="352835.78890381393"/>
    <n v="1.1385839778754201"/>
    <n v="0.93645298159011592"/>
    <n v="0.94231068710026933"/>
    <n v="0.94035194935713262"/>
    <n v="0.94249369191070453"/>
    <n v="331807.59710676013"/>
    <n v="1.0707270228363617"/>
    <n v="21917.597106760135"/>
    <n v="480381062.93426025"/>
  </r>
  <r>
    <n v="23092621467"/>
    <n v="0"/>
    <n v="8250"/>
    <n v="0"/>
    <s v="GV"/>
    <s v="GV"/>
    <n v="4"/>
    <s v="RES"/>
    <n v="2469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487"/>
    <n v="1487"/>
    <n v="0"/>
    <n v="0"/>
    <n v="0"/>
    <n v="460"/>
    <n v="0"/>
    <n v="0"/>
    <n v="0"/>
    <n v="9"/>
    <n v="0"/>
    <n v="0"/>
    <s v="CP"/>
    <n v="1"/>
    <s v="HP"/>
    <s v="G"/>
    <n v="1"/>
    <n v="3"/>
    <n v="0"/>
    <n v="0"/>
    <n v="100"/>
    <d v="2021-09-28T00:00:00"/>
    <n v="22400"/>
    <n v="270088"/>
    <n v="292500"/>
    <n v="278900"/>
    <n v="460"/>
    <n v="48369.487874125851"/>
    <n v="155833.95000000001"/>
    <n v="9808"/>
    <n v="25780"/>
    <n v="-478.33319999999998"/>
    <n v="92760.32841100001"/>
    <n v="0"/>
    <n v="40259.401019999998"/>
    <n v="18093.976200000001"/>
    <n v="0"/>
    <n v="-55176.356"/>
    <n v="335250.45430512587"/>
    <n v="1.2020453721947861"/>
    <n v="0.93645298159011592"/>
    <n v="0.94231068710026933"/>
    <n v="0.94035194935713262"/>
    <n v="0.93897388656927183"/>
    <n v="314975.30343552609"/>
    <n v="1.1293485243296024"/>
    <n v="36075.30343552609"/>
    <n v="1301427517.9652805"/>
  </r>
  <r>
    <n v="23092314487"/>
    <n v="0.27"/>
    <n v="11572"/>
    <n v="0"/>
    <s v="GV"/>
    <s v="GV"/>
    <n v="4"/>
    <s v="RES"/>
    <n v="195700"/>
    <n v="40500"/>
    <n v="0.27"/>
    <n v="-1.309333319984"/>
    <n v="0"/>
    <n v="0"/>
    <n v="0"/>
    <n v="13398.7528"/>
    <n v="63902.980100000001"/>
    <n v="46359.546612733997"/>
    <s v="RN"/>
    <n v="1"/>
    <x v="4"/>
    <x v="3"/>
    <n v="0"/>
    <n v="0"/>
    <n v="47"/>
    <n v="56"/>
    <x v="2"/>
    <x v="0"/>
    <n v="1040"/>
    <n v="1040"/>
    <n v="0"/>
    <n v="0"/>
    <n v="0"/>
    <n v="312"/>
    <n v="0"/>
    <n v="0"/>
    <n v="0"/>
    <n v="5"/>
    <n v="0"/>
    <n v="0"/>
    <s v="CP"/>
    <n v="1"/>
    <s v="ER"/>
    <s v="E"/>
    <n v="0"/>
    <n v="3"/>
    <n v="0"/>
    <n v="0"/>
    <n v="100"/>
    <d v="2021-09-29T00:00:00"/>
    <n v="23200"/>
    <n v="119706"/>
    <n v="142900"/>
    <n v="235000"/>
    <n v="459"/>
    <n v="53837.216310592135"/>
    <n v="155833.95000000001"/>
    <n v="10733"/>
    <n v="22342"/>
    <n v="-11240.8302"/>
    <n v="64876.087120000004"/>
    <n v="0"/>
    <n v="27306.376344"/>
    <n v="10052.209000000001"/>
    <n v="0"/>
    <n v="-55056.407399999996"/>
    <n v="278683.60117459216"/>
    <n v="1.1858876645727325"/>
    <n v="0.93029096284873303"/>
    <n v="0.94546156904349943"/>
    <n v="0.91535194202033021"/>
    <n v="0.93897388656927183"/>
    <n v="259877.91754062404"/>
    <n v="1.1058634788962725"/>
    <n v="24877.917540624039"/>
    <n v="618910781.15808928"/>
  </r>
  <r>
    <n v="23092214470"/>
    <n v="0.14000000000000001"/>
    <n v="6250"/>
    <n v="0"/>
    <s v="GV"/>
    <s v="GV"/>
    <n v="4"/>
    <s v="RES"/>
    <n v="142000"/>
    <n v="42400"/>
    <n v="0.14000000000000001"/>
    <n v="-1.9661128563729999"/>
    <n v="0"/>
    <n v="0"/>
    <n v="0"/>
    <n v="13398.7528"/>
    <n v="63902.980100000001"/>
    <n v="37559.519960559002"/>
    <s v="TD"/>
    <n v="1"/>
    <x v="1"/>
    <x v="2"/>
    <n v="0"/>
    <n v="0"/>
    <n v="49"/>
    <n v="69"/>
    <x v="6"/>
    <x v="0"/>
    <n v="1372"/>
    <n v="1372"/>
    <n v="0"/>
    <n v="0"/>
    <n v="527"/>
    <n v="0"/>
    <n v="0"/>
    <n v="0"/>
    <n v="252"/>
    <n v="8"/>
    <n v="0"/>
    <n v="0"/>
    <s v="CP"/>
    <n v="1"/>
    <s v="FD"/>
    <s v="G"/>
    <n v="1"/>
    <n v="3"/>
    <n v="0"/>
    <n v="0"/>
    <n v="100"/>
    <d v="2021-09-29T00:00:00"/>
    <n v="24300"/>
    <n v="157780"/>
    <n v="182100"/>
    <n v="280000"/>
    <n v="459"/>
    <n v="43617.769119493278"/>
    <n v="155833.95000000001"/>
    <n v="2251"/>
    <n v="-4503"/>
    <n v="-11719.163399999999"/>
    <n v="85586.530316000004"/>
    <n v="0"/>
    <n v="0"/>
    <n v="16083.5344"/>
    <n v="0"/>
    <n v="-55056.407399999996"/>
    <n v="232094.2130354933"/>
    <n v="0.82890790369819034"/>
    <n v="0.94889070359879057"/>
    <n v="0.91974816281148053"/>
    <n v="0.94654220114707954"/>
    <n v="0.93897388656927183"/>
    <n v="217829.40992282925"/>
    <n v="0.77796217829581871"/>
    <n v="-62170.590077170753"/>
    <n v="3865182270.5436025"/>
  </r>
  <r>
    <n v="23092423447"/>
    <n v="0.24"/>
    <n v="10477"/>
    <n v="0"/>
    <s v="GV"/>
    <s v="GV"/>
    <n v="4"/>
    <s v="RES"/>
    <n v="127900"/>
    <n v="39800"/>
    <n v="0.24"/>
    <n v="-1.4271163556399999"/>
    <n v="0"/>
    <n v="0"/>
    <n v="0"/>
    <n v="13398.7528"/>
    <n v="63902.980100000001"/>
    <n v="44781.400833940999"/>
    <s v="TD"/>
    <n v="1"/>
    <x v="1"/>
    <x v="4"/>
    <n v="0"/>
    <n v="0"/>
    <n v="50"/>
    <n v="72"/>
    <x v="6"/>
    <x v="0"/>
    <n v="1367"/>
    <n v="1367"/>
    <n v="0"/>
    <n v="0"/>
    <n v="0"/>
    <n v="0"/>
    <n v="0"/>
    <n v="0"/>
    <n v="475"/>
    <n v="8"/>
    <n v="0"/>
    <n v="0"/>
    <s v="CP"/>
    <n v="1"/>
    <s v="FD"/>
    <s v="E"/>
    <n v="1"/>
    <n v="3"/>
    <n v="0"/>
    <n v="6800"/>
    <n v="100"/>
    <d v="2021-10-04T00:00:00"/>
    <n v="22800"/>
    <n v="120587"/>
    <n v="143400"/>
    <n v="150000"/>
    <n v="454"/>
    <n v="52004.519878673433"/>
    <n v="155833.95000000001"/>
    <n v="2251"/>
    <n v="-45357"/>
    <n v="-11958.33"/>
    <n v="85274.626050999999"/>
    <n v="0"/>
    <n v="0"/>
    <n v="16083.5344"/>
    <n v="5758.2746799999995"/>
    <n v="-54456.664400000001"/>
    <n v="205433.91060967345"/>
    <n v="1.3695594040644896"/>
    <n v="0.94889070359879057"/>
    <n v="0.9059988268293695"/>
    <n v="0.94654220114707954"/>
    <n v="0.93897388656927183"/>
    <n v="192101.538350455"/>
    <n v="1.2806769223363665"/>
    <n v="42101.538350454997"/>
    <n v="1772539531.474833"/>
  </r>
  <r>
    <n v="23092621458"/>
    <n v="0"/>
    <n v="8030"/>
    <n v="0"/>
    <s v="GV"/>
    <s v="GV"/>
    <n v="4"/>
    <s v="RES"/>
    <n v="2476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377"/>
    <n v="1377"/>
    <n v="0"/>
    <n v="0"/>
    <n v="0"/>
    <n v="440"/>
    <n v="0"/>
    <n v="0"/>
    <n v="0"/>
    <n v="9"/>
    <n v="0"/>
    <n v="0"/>
    <s v="CP"/>
    <n v="1"/>
    <s v="FD"/>
    <s v="G"/>
    <n v="1"/>
    <n v="3"/>
    <n v="0"/>
    <n v="0"/>
    <n v="100"/>
    <d v="2021-10-05T00:00:00"/>
    <n v="22300"/>
    <n v="249654"/>
    <n v="272000"/>
    <n v="278250"/>
    <n v="453"/>
    <n v="47528.20540119947"/>
    <n v="155833.95000000001"/>
    <n v="9808"/>
    <n v="25780"/>
    <n v="-478.33319999999998"/>
    <n v="85898.434581000009"/>
    <n v="0"/>
    <n v="38508.992279999999"/>
    <n v="18093.976200000001"/>
    <n v="0"/>
    <n v="-54336.715799999998"/>
    <n v="326636.50946219946"/>
    <n v="1.1738958111849038"/>
    <n v="0.93645298159011592"/>
    <n v="0.94231068710026933"/>
    <n v="0.94035194935713262"/>
    <n v="0.93897388656927183"/>
    <n v="306882.30950863869"/>
    <n v="1.1029013818819"/>
    <n v="28632.309508638689"/>
    <n v="819809147.79848146"/>
  </r>
  <r>
    <n v="23092621451"/>
    <n v="0"/>
    <n v="8030"/>
    <n v="0"/>
    <s v="GV"/>
    <s v="GV"/>
    <n v="4"/>
    <s v="RES"/>
    <n v="2459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468"/>
    <n v="1468"/>
    <n v="0"/>
    <n v="0"/>
    <n v="0"/>
    <n v="460"/>
    <n v="0"/>
    <n v="0"/>
    <n v="0"/>
    <n v="9"/>
    <n v="0"/>
    <n v="0"/>
    <s v="CP"/>
    <n v="1"/>
    <s v="HP"/>
    <s v="G"/>
    <n v="1"/>
    <n v="3"/>
    <n v="0"/>
    <n v="0"/>
    <n v="100"/>
    <d v="2021-10-05T00:00:00"/>
    <n v="22300"/>
    <n v="268346"/>
    <n v="290600"/>
    <n v="303760"/>
    <n v="453"/>
    <n v="47528.20540119947"/>
    <n v="155833.95000000001"/>
    <n v="9808"/>
    <n v="25780"/>
    <n v="-478.33319999999998"/>
    <n v="91575.092204"/>
    <n v="0"/>
    <n v="40259.401019999998"/>
    <n v="18093.976200000001"/>
    <n v="0"/>
    <n v="-54336.715799999998"/>
    <n v="334063.57582519943"/>
    <n v="1.0997615743521183"/>
    <n v="0.93645298159011592"/>
    <n v="0.94231068710026933"/>
    <n v="0.94035194935713262"/>
    <n v="0.93897388656927183"/>
    <n v="313860.20454585931"/>
    <n v="1.0332506075383834"/>
    <n v="10100.204545859306"/>
    <n v="102014131.86819698"/>
  </r>
  <r>
    <n v="23092621449"/>
    <n v="0"/>
    <n v="8030"/>
    <n v="0"/>
    <s v="GV"/>
    <s v="GV"/>
    <n v="4"/>
    <s v="RES"/>
    <n v="2505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468"/>
    <n v="1468"/>
    <n v="0"/>
    <n v="0"/>
    <n v="0"/>
    <n v="460"/>
    <n v="0"/>
    <n v="0"/>
    <n v="0"/>
    <n v="9"/>
    <n v="0"/>
    <n v="0"/>
    <s v="CP"/>
    <n v="1"/>
    <s v="FD"/>
    <s v="G"/>
    <n v="1"/>
    <n v="3"/>
    <n v="0"/>
    <n v="0"/>
    <n v="100"/>
    <d v="2021-10-05T00:00:00"/>
    <n v="22300"/>
    <n v="266894"/>
    <n v="289200"/>
    <n v="295480"/>
    <n v="453"/>
    <n v="47528.20540119947"/>
    <n v="155833.95000000001"/>
    <n v="9808"/>
    <n v="25780"/>
    <n v="-478.33319999999998"/>
    <n v="91575.092204"/>
    <n v="0"/>
    <n v="40259.401019999998"/>
    <n v="18093.976200000001"/>
    <n v="0"/>
    <n v="-54336.715799999998"/>
    <n v="334063.57582519943"/>
    <n v="1.1305793144212788"/>
    <n v="0.93645298159011592"/>
    <n v="0.94231068710026933"/>
    <n v="0.94035194935713262"/>
    <n v="0.93897388656927183"/>
    <n v="313860.20454585931"/>
    <n v="1.0622045639158633"/>
    <n v="18380.204545859306"/>
    <n v="337831919.14762706"/>
  </r>
  <r>
    <n v="23092231521"/>
    <n v="0"/>
    <n v="11901"/>
    <n v="0"/>
    <s v="GV"/>
    <s v="GV"/>
    <n v="4"/>
    <s v="RES"/>
    <n v="368000"/>
    <n v="40000"/>
    <n v="0.27"/>
    <n v="-1.309333319984"/>
    <n v="0"/>
    <n v="0"/>
    <n v="0"/>
    <n v="13398.7528"/>
    <n v="63902.980100000001"/>
    <n v="46359.546612733997"/>
    <s v="CP"/>
    <n v="2"/>
    <x v="0"/>
    <x v="0"/>
    <n v="0"/>
    <n v="0"/>
    <n v="2"/>
    <n v="2"/>
    <x v="0"/>
    <x v="4"/>
    <n v="2543"/>
    <n v="1131"/>
    <n v="1412"/>
    <n v="0"/>
    <n v="0"/>
    <n v="1060"/>
    <n v="0"/>
    <n v="0"/>
    <n v="0"/>
    <n v="13"/>
    <n v="0"/>
    <n v="0"/>
    <s v="CP"/>
    <n v="1"/>
    <s v="HP"/>
    <s v="E"/>
    <n v="1"/>
    <n v="3"/>
    <n v="0"/>
    <n v="0"/>
    <n v="100"/>
    <d v="2021-10-06T00:00:00"/>
    <n v="22900"/>
    <n v="468092"/>
    <n v="491000"/>
    <n v="508750"/>
    <n v="452"/>
    <n v="53837.216310592135"/>
    <n v="155833.95000000001"/>
    <n v="20768"/>
    <n v="25780"/>
    <n v="-478.33319999999998"/>
    <n v="158634.50917900002"/>
    <n v="0"/>
    <n v="92771.663220000002"/>
    <n v="26135.743399999999"/>
    <n v="0"/>
    <n v="-54216.767200000002"/>
    <n v="479065.98170959216"/>
    <n v="0.94165303530140965"/>
    <n v="0.93979103106061679"/>
    <n v="0.94231068710026933"/>
    <n v="0.94035194935713262"/>
    <n v="0.92848762814113772"/>
    <n v="449237.09353500087"/>
    <n v="0.88302131407371176"/>
    <n v="-59512.906464999134"/>
    <n v="3541786035.9117355"/>
  </r>
  <r>
    <n v="23092232493"/>
    <n v="0"/>
    <n v="10686"/>
    <n v="0"/>
    <s v="GV"/>
    <s v="GV"/>
    <n v="4"/>
    <s v="RES"/>
    <n v="284500"/>
    <n v="40000"/>
    <n v="0.25"/>
    <n v="-1.38629436112"/>
    <n v="0"/>
    <n v="0"/>
    <n v="0"/>
    <n v="13398.7528"/>
    <n v="63902.980100000001"/>
    <n v="45328.364647321003"/>
    <s v="CO"/>
    <n v="1"/>
    <x v="2"/>
    <x v="0"/>
    <n v="0"/>
    <n v="0"/>
    <n v="2"/>
    <n v="2"/>
    <x v="0"/>
    <x v="1"/>
    <n v="1628"/>
    <n v="1628"/>
    <n v="0"/>
    <n v="0"/>
    <n v="0"/>
    <n v="668"/>
    <n v="0"/>
    <n v="0"/>
    <n v="0"/>
    <n v="9"/>
    <n v="0"/>
    <n v="0"/>
    <s v="CP"/>
    <n v="1"/>
    <s v="FD"/>
    <s v="G"/>
    <n v="1"/>
    <n v="3"/>
    <n v="0"/>
    <n v="0"/>
    <n v="100"/>
    <d v="2021-10-12T00:00:00"/>
    <n v="22900"/>
    <n v="287068"/>
    <n v="310000"/>
    <n v="421850"/>
    <n v="446"/>
    <n v="52639.70747834933"/>
    <n v="155833.95000000001"/>
    <n v="9808"/>
    <n v="25780"/>
    <n v="-478.33319999999998"/>
    <n v="101556.028684"/>
    <n v="0"/>
    <n v="58463.651916000003"/>
    <n v="18093.976200000001"/>
    <n v="0"/>
    <n v="-53497.075599999996"/>
    <n v="368199.90547834936"/>
    <n v="0.8728218690964783"/>
    <n v="0.93645298159011592"/>
    <n v="0.94231068710026933"/>
    <n v="0.94035194935713262"/>
    <n v="0.94249369191070453"/>
    <n v="346256.04809327412"/>
    <n v="0.82080371718211242"/>
    <n v="-75593.951906725881"/>
    <n v="5714445564.8763857"/>
  </r>
  <r>
    <n v="23092621448"/>
    <n v="0"/>
    <n v="8605"/>
    <n v="0"/>
    <s v="GV"/>
    <s v="GV"/>
    <n v="4"/>
    <s v="RES"/>
    <n v="245900"/>
    <n v="39300"/>
    <n v="0.2"/>
    <n v="-1.6094379124339999"/>
    <n v="0"/>
    <n v="0"/>
    <n v="0"/>
    <n v="13398.7528"/>
    <n v="63902.980100000001"/>
    <n v="42338.519364346997"/>
    <s v="RN"/>
    <n v="1"/>
    <x v="2"/>
    <x v="0"/>
    <n v="0"/>
    <n v="0"/>
    <n v="2"/>
    <n v="2"/>
    <x v="0"/>
    <x v="0"/>
    <n v="1468"/>
    <n v="1468"/>
    <n v="0"/>
    <n v="0"/>
    <n v="0"/>
    <n v="460"/>
    <n v="0"/>
    <n v="0"/>
    <n v="0"/>
    <n v="9"/>
    <n v="0"/>
    <n v="0"/>
    <s v="CP"/>
    <n v="1"/>
    <s v="HP"/>
    <s v="G"/>
    <n v="1"/>
    <n v="3"/>
    <n v="0"/>
    <n v="0"/>
    <n v="100"/>
    <d v="2021-10-18T00:00:00"/>
    <n v="22500"/>
    <n v="268346"/>
    <n v="290800"/>
    <n v="300898"/>
    <n v="440"/>
    <n v="49167.608223813884"/>
    <n v="155833.95000000001"/>
    <n v="9808"/>
    <n v="25780"/>
    <n v="-478.33319999999998"/>
    <n v="91575.092204"/>
    <n v="0"/>
    <n v="40259.401019999998"/>
    <n v="18093.976200000001"/>
    <n v="0"/>
    <n v="-52777.383999999998"/>
    <n v="337262.31044781383"/>
    <n v="1.1208526159954995"/>
    <n v="0.93645298159011592"/>
    <n v="0.94231068710026933"/>
    <n v="0.94035194935713262"/>
    <n v="0.93897388656927183"/>
    <n v="316865.48729918466"/>
    <n v="1.05306611309874"/>
    <n v="15967.487299184664"/>
    <n v="254960650.64962357"/>
  </r>
  <r>
    <n v="23092621437"/>
    <n v="0"/>
    <n v="9900"/>
    <n v="0"/>
    <s v="GV"/>
    <s v="GV"/>
    <n v="4"/>
    <s v="RES"/>
    <n v="341500"/>
    <n v="39500"/>
    <n v="0.23"/>
    <n v="-1.4696759700590001"/>
    <n v="0"/>
    <n v="0"/>
    <n v="0"/>
    <n v="13398.7528"/>
    <n v="63902.980100000001"/>
    <n v="44211.155081080004"/>
    <s v="CO"/>
    <n v="2"/>
    <x v="0"/>
    <x v="0"/>
    <n v="0"/>
    <n v="0"/>
    <n v="2"/>
    <n v="2"/>
    <x v="0"/>
    <x v="4"/>
    <n v="2660"/>
    <n v="1126"/>
    <n v="1534"/>
    <n v="0"/>
    <n v="0"/>
    <n v="672"/>
    <n v="0"/>
    <n v="0"/>
    <n v="0"/>
    <n v="12"/>
    <n v="0"/>
    <n v="0"/>
    <s v="CP"/>
    <n v="1"/>
    <s v="FD"/>
    <s v="G"/>
    <n v="1"/>
    <n v="3"/>
    <n v="0"/>
    <n v="0"/>
    <n v="100"/>
    <d v="2021-10-22T00:00:00"/>
    <n v="22600"/>
    <n v="448211"/>
    <n v="470800"/>
    <n v="404230"/>
    <n v="436"/>
    <n v="51342.29502553949"/>
    <n v="155833.95000000001"/>
    <n v="20768"/>
    <n v="25780"/>
    <n v="-478.33319999999998"/>
    <n v="165933.06898000001"/>
    <n v="0"/>
    <n v="58813.733663999999"/>
    <n v="24125.301599999999"/>
    <n v="0"/>
    <n v="-52297.589599999999"/>
    <n v="449820.42646953952"/>
    <n v="1.1127833819101489"/>
    <n v="0.93979103106061679"/>
    <n v="0.94231068710026933"/>
    <n v="0.94035194935713262"/>
    <n v="0.92848762814113772"/>
    <n v="421812.50331890228"/>
    <n v="1.0434962850825082"/>
    <n v="17582.50331890228"/>
    <n v="309144422.95920968"/>
  </r>
  <r>
    <n v="23092621450"/>
    <n v="0"/>
    <n v="8030"/>
    <n v="0"/>
    <s v="GV"/>
    <s v="GV"/>
    <n v="4"/>
    <s v="RES"/>
    <n v="2518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364"/>
    <n v="1364"/>
    <n v="0"/>
    <n v="0"/>
    <n v="0"/>
    <n v="590"/>
    <n v="0"/>
    <n v="0"/>
    <n v="100"/>
    <n v="8"/>
    <n v="0"/>
    <n v="0"/>
    <s v="CP"/>
    <n v="1"/>
    <s v="FD"/>
    <s v="G"/>
    <n v="1"/>
    <n v="3"/>
    <n v="0"/>
    <n v="0"/>
    <n v="100"/>
    <d v="2021-10-25T00:00:00"/>
    <n v="22300"/>
    <n v="248508"/>
    <n v="270800"/>
    <n v="279550"/>
    <n v="433"/>
    <n v="47528.20540119947"/>
    <n v="155833.95000000001"/>
    <n v="9808"/>
    <n v="25780"/>
    <n v="-478.33319999999998"/>
    <n v="85087.483491999999"/>
    <n v="0"/>
    <n v="51637.057829999998"/>
    <n v="16083.5344"/>
    <n v="0"/>
    <n v="-51937.743799999997"/>
    <n v="339342.15412319952"/>
    <n v="1.2138871547959202"/>
    <n v="0.93645298159011592"/>
    <n v="0.94231068710026933"/>
    <n v="0.94035194935713262"/>
    <n v="0.93897388656927183"/>
    <n v="318819.54697111232"/>
    <n v="1.1404741440569213"/>
    <n v="39269.546971112315"/>
    <n v="1542097319.3163965"/>
  </r>
  <r>
    <n v="23092231524"/>
    <n v="0.25"/>
    <n v="11024"/>
    <n v="0"/>
    <s v="GV"/>
    <s v="GV"/>
    <n v="4"/>
    <s v="RES"/>
    <n v="353000"/>
    <n v="40000"/>
    <n v="0.25"/>
    <n v="-1.38629436112"/>
    <n v="0"/>
    <n v="0"/>
    <n v="0"/>
    <n v="13398.7528"/>
    <n v="63902.980100000001"/>
    <n v="45328.364647321003"/>
    <s v="CP"/>
    <n v="2"/>
    <x v="0"/>
    <x v="0"/>
    <n v="0"/>
    <n v="0"/>
    <n v="2"/>
    <n v="2"/>
    <x v="0"/>
    <x v="4"/>
    <n v="2540"/>
    <n v="1124"/>
    <n v="1416"/>
    <n v="0"/>
    <n v="0"/>
    <n v="840"/>
    <n v="0"/>
    <n v="0"/>
    <n v="0"/>
    <n v="13"/>
    <n v="0"/>
    <n v="0"/>
    <s v="CP"/>
    <n v="1"/>
    <s v="HP"/>
    <s v="E"/>
    <n v="1"/>
    <n v="3"/>
    <n v="0"/>
    <n v="0"/>
    <n v="100"/>
    <d v="2021-10-25T00:00:00"/>
    <n v="22900"/>
    <n v="438252"/>
    <n v="461200"/>
    <n v="470000"/>
    <n v="433"/>
    <n v="52639.70747834933"/>
    <n v="155833.95000000001"/>
    <n v="20768"/>
    <n v="25780"/>
    <n v="-478.33319999999998"/>
    <n v="158447.36662000002"/>
    <n v="0"/>
    <n v="73517.167079999999"/>
    <n v="26135.743399999999"/>
    <n v="0"/>
    <n v="-51937.743799999997"/>
    <n v="460705.85757834936"/>
    <n v="0.98022522889010499"/>
    <n v="0.93979103106061679"/>
    <n v="0.94231068710026933"/>
    <n v="0.94035194935713262"/>
    <n v="0.92848762814113772"/>
    <n v="432020.15658567415"/>
    <n v="0.91919182252271092"/>
    <n v="-37979.843414325849"/>
    <n v="1442468505.7767105"/>
  </r>
  <r>
    <n v="23092423529"/>
    <n v="0.23"/>
    <n v="9828"/>
    <n v="0"/>
    <s v="GV"/>
    <s v="GV"/>
    <n v="4"/>
    <s v="RES"/>
    <n v="114600"/>
    <n v="43800"/>
    <n v="0.23"/>
    <n v="-1.4696759700590001"/>
    <n v="0"/>
    <n v="0"/>
    <n v="0"/>
    <n v="13398.7528"/>
    <n v="63902.980100000001"/>
    <n v="44211.155081080004"/>
    <s v="TD"/>
    <n v="1"/>
    <x v="3"/>
    <x v="2"/>
    <n v="0"/>
    <n v="0"/>
    <n v="53"/>
    <n v="93"/>
    <x v="8"/>
    <x v="0"/>
    <n v="1152"/>
    <n v="1152"/>
    <n v="0"/>
    <n v="0"/>
    <n v="0"/>
    <n v="0"/>
    <n v="506"/>
    <n v="0"/>
    <n v="0"/>
    <n v="5"/>
    <n v="0"/>
    <n v="0"/>
    <s v="CP"/>
    <n v="1"/>
    <s v="FD"/>
    <s v="G"/>
    <n v="0"/>
    <n v="2"/>
    <n v="0"/>
    <n v="0"/>
    <n v="100"/>
    <d v="2021-10-26T00:00:00"/>
    <n v="25100"/>
    <n v="100522"/>
    <n v="125600"/>
    <n v="150000"/>
    <n v="432"/>
    <n v="51342.29502553949"/>
    <n v="155833.95000000001"/>
    <n v="-28558"/>
    <n v="-4503"/>
    <n v="-12675.8298"/>
    <n v="71862.742656000002"/>
    <n v="0"/>
    <n v="0"/>
    <n v="10052.209000000001"/>
    <n v="0"/>
    <n v="-51817.7952"/>
    <n v="191536.5716815395"/>
    <n v="1.27691047787693"/>
    <n v="0.89909171974485158"/>
    <n v="0.91974816281148053"/>
    <n v="0.89043830049531381"/>
    <n v="0.93897388656927183"/>
    <n v="174693.42351131796"/>
    <n v="1.1646228234087863"/>
    <n v="24693.42351131796"/>
    <n v="609765164.70931065"/>
  </r>
  <r>
    <n v="23092424479"/>
    <n v="0.18"/>
    <n v="7829"/>
    <n v="0"/>
    <s v="GV"/>
    <s v="GV"/>
    <n v="4"/>
    <s v="RES"/>
    <n v="184600"/>
    <n v="43100"/>
    <n v="0.18"/>
    <n v="-1.7147984280919999"/>
    <n v="0"/>
    <n v="0"/>
    <n v="0"/>
    <n v="13398.7528"/>
    <n v="63902.980100000001"/>
    <n v="40926.819860167998"/>
    <s v="RN"/>
    <n v="1"/>
    <x v="1"/>
    <x v="2"/>
    <n v="0"/>
    <n v="0"/>
    <n v="17"/>
    <n v="17"/>
    <x v="1"/>
    <x v="0"/>
    <n v="1318"/>
    <n v="1318"/>
    <n v="0"/>
    <n v="0"/>
    <n v="0"/>
    <n v="480"/>
    <n v="0"/>
    <n v="0"/>
    <n v="300"/>
    <n v="8"/>
    <n v="0"/>
    <n v="0"/>
    <s v="CP"/>
    <n v="1"/>
    <s v="FD"/>
    <s v="G"/>
    <n v="1"/>
    <n v="3"/>
    <n v="0"/>
    <n v="0"/>
    <n v="100"/>
    <d v="2021-10-28T00:00:00"/>
    <n v="24700"/>
    <n v="197070"/>
    <n v="221800"/>
    <n v="295000"/>
    <n v="430"/>
    <n v="47528.20540119947"/>
    <n v="155833.95000000001"/>
    <n v="2251"/>
    <n v="-4503"/>
    <n v="-4065.8321999999998"/>
    <n v="82217.964254000006"/>
    <n v="0"/>
    <n v="42009.809760000004"/>
    <n v="16083.5344"/>
    <n v="0"/>
    <n v="-51577.898000000001"/>
    <n v="285777.73361519951"/>
    <n v="0.96873808005152373"/>
    <n v="0.94889070359879057"/>
    <n v="0.91974816281148053"/>
    <n v="0.95331699902534994"/>
    <n v="0.93897388656927183"/>
    <n v="268697.49520348315"/>
    <n v="0.91083896679146836"/>
    <n v="-26302.504796516849"/>
    <n v="691821758.57079184"/>
  </r>
  <r>
    <n v="23092314455"/>
    <n v="0.19"/>
    <n v="8315"/>
    <n v="0"/>
    <s v="GV"/>
    <s v="GV"/>
    <n v="4"/>
    <s v="RES"/>
    <n v="149000"/>
    <n v="39700"/>
    <n v="0.19"/>
    <n v="-1.6607312068219999"/>
    <n v="0"/>
    <n v="0"/>
    <n v="0"/>
    <n v="13398.7528"/>
    <n v="63902.980100000001"/>
    <n v="41651.253192550997"/>
    <s v="CO"/>
    <n v="2"/>
    <x v="1"/>
    <x v="4"/>
    <n v="0"/>
    <n v="0"/>
    <n v="63"/>
    <n v="111"/>
    <x v="10"/>
    <x v="1"/>
    <n v="1773"/>
    <n v="1019"/>
    <n v="754"/>
    <n v="0"/>
    <n v="0"/>
    <n v="0"/>
    <n v="0"/>
    <n v="0"/>
    <n v="0"/>
    <n v="8"/>
    <n v="0"/>
    <n v="0"/>
    <s v="CP"/>
    <n v="1"/>
    <s v="FD"/>
    <s v="G"/>
    <n v="1"/>
    <n v="4"/>
    <n v="0"/>
    <n v="5900"/>
    <n v="100"/>
    <d v="2021-10-29T00:00:00"/>
    <n v="22700"/>
    <n v="92174"/>
    <n v="114900"/>
    <n v="265000"/>
    <n v="429"/>
    <n v="48369.487874125851"/>
    <n v="155833.95000000001"/>
    <n v="2251"/>
    <n v="-45357"/>
    <n v="-15067.495799999999"/>
    <n v="110601.25236900001"/>
    <n v="0"/>
    <n v="0"/>
    <n v="16083.5344"/>
    <n v="4996.1500900000001"/>
    <n v="-51457.949399999998"/>
    <n v="226252.92953312589"/>
    <n v="0.85378463974764485"/>
    <n v="0.94889070359879057"/>
    <n v="0.9059988268293695"/>
    <n v="0.86209247247009169"/>
    <n v="0.94249369191070453"/>
    <n v="206991.77412644943"/>
    <n v="0.7811010344394318"/>
    <n v="-58008.225873550575"/>
    <n v="3364954268.9968624"/>
  </r>
  <r>
    <n v="23092621468"/>
    <n v="0"/>
    <n v="8250"/>
    <n v="0"/>
    <s v="GV"/>
    <s v="GV"/>
    <n v="4"/>
    <s v="RES"/>
    <n v="2347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364"/>
    <n v="1364"/>
    <n v="0"/>
    <n v="0"/>
    <n v="0"/>
    <n v="400"/>
    <n v="0"/>
    <n v="0"/>
    <n v="0"/>
    <n v="8"/>
    <n v="0"/>
    <n v="0"/>
    <s v="CP"/>
    <n v="1"/>
    <s v="HP"/>
    <s v="G"/>
    <n v="1"/>
    <n v="3"/>
    <n v="0"/>
    <n v="0"/>
    <n v="100"/>
    <d v="2021-11-01T00:00:00"/>
    <n v="22400"/>
    <n v="242402"/>
    <n v="264800"/>
    <n v="270570"/>
    <n v="426"/>
    <n v="48369.487874125851"/>
    <n v="155833.95000000001"/>
    <n v="9808"/>
    <n v="25780"/>
    <n v="-478.33319999999998"/>
    <n v="85087.483491999999"/>
    <n v="0"/>
    <n v="35008.174800000001"/>
    <n v="16083.5344"/>
    <n v="0"/>
    <n v="-51098.103600000002"/>
    <n v="324394.19376612583"/>
    <n v="1.1989289047792653"/>
    <n v="0.93645298159011592"/>
    <n v="0.94231068710026933"/>
    <n v="0.94035194935713262"/>
    <n v="0.93897388656927183"/>
    <n v="304775.6037377757"/>
    <n v="1.126420533458165"/>
    <n v="34205.603737775702"/>
    <n v="1170023327.0657351"/>
  </r>
  <r>
    <n v="23092232498"/>
    <n v="0"/>
    <n v="8625"/>
    <n v="0"/>
    <s v="GV"/>
    <s v="GV"/>
    <n v="4"/>
    <s v="RES"/>
    <n v="282800"/>
    <n v="39300"/>
    <n v="0.2"/>
    <n v="-1.6094379124339999"/>
    <n v="0"/>
    <n v="0"/>
    <n v="0"/>
    <n v="13398.7528"/>
    <n v="63902.980100000001"/>
    <n v="42338.519364346997"/>
    <s v="CO"/>
    <n v="1"/>
    <x v="2"/>
    <x v="0"/>
    <n v="0"/>
    <n v="0"/>
    <n v="2"/>
    <n v="2"/>
    <x v="0"/>
    <x v="1"/>
    <n v="1597"/>
    <n v="1597"/>
    <n v="0"/>
    <n v="0"/>
    <n v="0"/>
    <n v="668"/>
    <n v="0"/>
    <n v="0"/>
    <n v="0"/>
    <n v="9"/>
    <n v="0"/>
    <n v="0"/>
    <s v="CP"/>
    <n v="1"/>
    <s v="FD"/>
    <s v="G"/>
    <n v="1"/>
    <n v="3"/>
    <n v="0"/>
    <n v="0"/>
    <n v="100"/>
    <d v="2021-11-03T00:00:00"/>
    <n v="22500"/>
    <n v="289567"/>
    <n v="312100"/>
    <n v="416850"/>
    <n v="424"/>
    <n v="49167.608223813884"/>
    <n v="155833.95000000001"/>
    <n v="9808"/>
    <n v="25780"/>
    <n v="-478.33319999999998"/>
    <n v="99622.222240999996"/>
    <n v="0"/>
    <n v="58463.651916000003"/>
    <n v="18093.976200000001"/>
    <n v="0"/>
    <n v="-50858.206400000003"/>
    <n v="365432.86898081383"/>
    <n v="0.87665315816436085"/>
    <n v="0.93645298159011592"/>
    <n v="0.94231068710026933"/>
    <n v="0.94035194935713262"/>
    <n v="0.94249369191070453"/>
    <n v="343653.9205307432"/>
    <n v="0.82440667033883464"/>
    <n v="-73196.079469256802"/>
    <n v="5357666049.6697569"/>
  </r>
  <r>
    <n v="23092224414"/>
    <n v="0.19"/>
    <n v="0"/>
    <n v="0"/>
    <s v="GV"/>
    <s v="GV"/>
    <n v="4"/>
    <s v="RES"/>
    <n v="256100"/>
    <n v="43500"/>
    <n v="0.19"/>
    <n v="-1.6607312068219999"/>
    <n v="0"/>
    <n v="0"/>
    <n v="0"/>
    <n v="13398.7528"/>
    <n v="63902.980100000001"/>
    <n v="41651.253192550997"/>
    <s v="CP"/>
    <n v="1"/>
    <x v="2"/>
    <x v="3"/>
    <n v="0"/>
    <n v="0"/>
    <n v="21"/>
    <n v="21"/>
    <x v="1"/>
    <x v="1"/>
    <n v="1564"/>
    <n v="1564"/>
    <n v="0"/>
    <n v="0"/>
    <n v="0"/>
    <n v="484"/>
    <n v="0"/>
    <n v="0"/>
    <n v="384"/>
    <n v="9"/>
    <n v="0"/>
    <n v="0"/>
    <s v="CP"/>
    <n v="1"/>
    <s v="FD"/>
    <s v="E"/>
    <n v="1"/>
    <n v="4"/>
    <n v="0"/>
    <n v="0"/>
    <n v="100"/>
    <d v="2021-11-04T00:00:00"/>
    <n v="24900"/>
    <n v="263356"/>
    <n v="288300"/>
    <n v="280000"/>
    <n v="423"/>
    <n v="48369.487874125851"/>
    <n v="155833.95000000001"/>
    <n v="9808"/>
    <n v="22342"/>
    <n v="-5022.4985999999999"/>
    <n v="97563.654091999997"/>
    <n v="0"/>
    <n v="42359.891508000001"/>
    <n v="18093.976200000001"/>
    <n v="0"/>
    <n v="-50738.257799999999"/>
    <n v="338610.20327412587"/>
    <n v="1.2093221545504496"/>
    <n v="0.93645298159011592"/>
    <n v="0.94546156904349943"/>
    <n v="0.95331699902534994"/>
    <n v="0.94249369191070453"/>
    <n v="319794.07799042552"/>
    <n v="1.1421217071086625"/>
    <n v="39794.077990425518"/>
    <n v="1583568643.1080687"/>
  </r>
  <r>
    <n v="23092242423"/>
    <n v="0.26"/>
    <n v="11500"/>
    <n v="0"/>
    <s v="GV"/>
    <s v="GV"/>
    <n v="4"/>
    <s v="RES"/>
    <n v="275100"/>
    <n v="44500"/>
    <n v="0.26"/>
    <n v="-1.347073647967"/>
    <n v="0"/>
    <n v="0"/>
    <n v="0"/>
    <n v="13398.7528"/>
    <n v="63902.980100000001"/>
    <n v="45853.873287501003"/>
    <s v="RN"/>
    <n v="1"/>
    <x v="0"/>
    <x v="2"/>
    <n v="0"/>
    <n v="0"/>
    <n v="46"/>
    <n v="53"/>
    <x v="5"/>
    <x v="4"/>
    <n v="2561"/>
    <n v="2561"/>
    <n v="0"/>
    <n v="0"/>
    <n v="0"/>
    <n v="0"/>
    <n v="425"/>
    <n v="0"/>
    <n v="0"/>
    <n v="10"/>
    <n v="0"/>
    <n v="2"/>
    <s v="CP"/>
    <n v="1"/>
    <s v="FD"/>
    <s v="E"/>
    <n v="0"/>
    <n v="3"/>
    <n v="0"/>
    <n v="18500"/>
    <n v="100"/>
    <d v="2021-11-06T00:00:00"/>
    <n v="25500"/>
    <n v="356030"/>
    <n v="381500"/>
    <n v="385000"/>
    <n v="421"/>
    <n v="53249.979243317037"/>
    <n v="155833.95000000001"/>
    <n v="20768"/>
    <n v="-4503"/>
    <n v="-11001.6636"/>
    <n v="159757.36453300001"/>
    <n v="0"/>
    <n v="0"/>
    <n v="20104.418000000001"/>
    <n v="15665.89435"/>
    <n v="-50498.3606"/>
    <n v="359376.58192631707"/>
    <n v="0.93344566734108325"/>
    <n v="0.93979103106061679"/>
    <n v="0.91974816281148053"/>
    <n v="0.95156852894116195"/>
    <n v="0.92848762814113772"/>
    <n v="335980.74875338434"/>
    <n v="0.87267726948931001"/>
    <n v="-49019.251246615662"/>
    <n v="2402886992.778831"/>
  </r>
  <r>
    <n v="23092621463"/>
    <n v="0"/>
    <n v="8250"/>
    <n v="0"/>
    <s v="GV"/>
    <s v="GV"/>
    <n v="4"/>
    <s v="RES"/>
    <n v="276600"/>
    <n v="39100"/>
    <n v="0.19"/>
    <n v="-1.6607312068219999"/>
    <n v="0"/>
    <n v="0"/>
    <n v="0"/>
    <n v="13398.7528"/>
    <n v="63902.980100000001"/>
    <n v="41651.253192550997"/>
    <s v="CO"/>
    <n v="1"/>
    <x v="2"/>
    <x v="0"/>
    <n v="0"/>
    <n v="0"/>
    <n v="2"/>
    <n v="2"/>
    <x v="0"/>
    <x v="1"/>
    <n v="1760"/>
    <n v="1760"/>
    <n v="0"/>
    <n v="0"/>
    <n v="0"/>
    <n v="440"/>
    <n v="0"/>
    <n v="0"/>
    <n v="0"/>
    <n v="9"/>
    <n v="0"/>
    <n v="0"/>
    <s v="CP"/>
    <n v="1"/>
    <s v="FD"/>
    <s v="G"/>
    <n v="1"/>
    <n v="3"/>
    <n v="0"/>
    <n v="0"/>
    <n v="100"/>
    <d v="2021-11-09T00:00:00"/>
    <n v="22400"/>
    <n v="305133"/>
    <n v="327500"/>
    <n v="318630"/>
    <n v="418"/>
    <n v="48369.487874125851"/>
    <n v="155833.95000000001"/>
    <n v="9808"/>
    <n v="25780"/>
    <n v="-478.33319999999998"/>
    <n v="109790.30128"/>
    <n v="0"/>
    <n v="38508.992279999999"/>
    <n v="18093.976200000001"/>
    <n v="0"/>
    <n v="-50138.514799999997"/>
    <n v="355567.85963412584"/>
    <n v="1.1159271243578002"/>
    <n v="0.93645298159011592"/>
    <n v="0.94231068710026933"/>
    <n v="0.94035194935713262"/>
    <n v="0.94249369191070453"/>
    <n v="334376.84278041153"/>
    <n v="1.049420465054802"/>
    <n v="15746.842780411534"/>
    <n v="247963057.55099887"/>
  </r>
  <r>
    <n v="23092621447"/>
    <n v="0"/>
    <n v="9155"/>
    <n v="0"/>
    <s v="GV"/>
    <s v="GV"/>
    <n v="4"/>
    <s v="RES"/>
    <n v="269300"/>
    <n v="39300"/>
    <n v="0.21"/>
    <n v="-1.5606477482650001"/>
    <n v="0"/>
    <n v="0"/>
    <n v="0"/>
    <n v="13398.7528"/>
    <n v="63902.980100000001"/>
    <n v="42992.246713125001"/>
    <s v="RN"/>
    <n v="1"/>
    <x v="2"/>
    <x v="0"/>
    <n v="0"/>
    <n v="0"/>
    <n v="2"/>
    <n v="2"/>
    <x v="0"/>
    <x v="1"/>
    <n v="1641"/>
    <n v="1641"/>
    <n v="0"/>
    <n v="0"/>
    <n v="0"/>
    <n v="578"/>
    <n v="0"/>
    <n v="0"/>
    <n v="0"/>
    <n v="10"/>
    <n v="0"/>
    <n v="0"/>
    <s v="CP"/>
    <n v="1"/>
    <s v="FD"/>
    <s v="G"/>
    <n v="1"/>
    <n v="3"/>
    <n v="0"/>
    <n v="0"/>
    <n v="100"/>
    <d v="2021-11-10T00:00:00"/>
    <n v="22500"/>
    <n v="294546"/>
    <n v="317000"/>
    <n v="368701"/>
    <n v="417"/>
    <n v="49926.780028885936"/>
    <n v="155833.95000000001"/>
    <n v="9808"/>
    <n v="25780"/>
    <n v="-478.33319999999998"/>
    <n v="102366.979773"/>
    <n v="0"/>
    <n v="50586.812586"/>
    <n v="20104.418000000001"/>
    <n v="0"/>
    <n v="-50018.566200000001"/>
    <n v="363910.04098788596"/>
    <n v="0.98700584209938669"/>
    <n v="0.93645298159011592"/>
    <n v="0.94231068710026933"/>
    <n v="0.94035194935713262"/>
    <n v="0.94249369191070453"/>
    <n v="342221.84954182757"/>
    <n v="0.92818259115605206"/>
    <n v="-26479.150458172429"/>
    <n v="701145408.98653316"/>
  </r>
  <r>
    <n v="23092621434"/>
    <n v="0"/>
    <n v="9900"/>
    <n v="0"/>
    <s v="GV"/>
    <s v="GV"/>
    <n v="4"/>
    <s v="RES"/>
    <n v="266300"/>
    <n v="39500"/>
    <n v="0.23"/>
    <n v="-1.4696759700590001"/>
    <n v="0"/>
    <n v="0"/>
    <n v="0"/>
    <n v="13398.7528"/>
    <n v="63902.980100000001"/>
    <n v="44211.155081080004"/>
    <s v="RN"/>
    <n v="1"/>
    <x v="2"/>
    <x v="0"/>
    <n v="0"/>
    <n v="0"/>
    <n v="1"/>
    <n v="1"/>
    <x v="0"/>
    <x v="1"/>
    <n v="1800"/>
    <n v="1800"/>
    <n v="0"/>
    <n v="0"/>
    <n v="0"/>
    <n v="400"/>
    <n v="0"/>
    <n v="0"/>
    <n v="0"/>
    <n v="10"/>
    <n v="0"/>
    <n v="0"/>
    <s v="CP"/>
    <n v="1"/>
    <s v="FD"/>
    <s v="G"/>
    <n v="1"/>
    <n v="3"/>
    <n v="0"/>
    <n v="0"/>
    <n v="100"/>
    <d v="2021-11-22T00:00:00"/>
    <n v="22600"/>
    <n v="315735"/>
    <n v="338300"/>
    <n v="350540"/>
    <n v="405"/>
    <n v="51342.29502553949"/>
    <n v="155833.95000000001"/>
    <n v="9808"/>
    <n v="25780"/>
    <n v="-239.16659999999999"/>
    <n v="112285.53540000001"/>
    <n v="0"/>
    <n v="35008.174800000001"/>
    <n v="20104.418000000001"/>
    <n v="0"/>
    <n v="-48579.182999999997"/>
    <n v="361344.0236255395"/>
    <n v="1.030821086396815"/>
    <n v="0.93645298159011592"/>
    <n v="0.94231068710026933"/>
    <n v="0.94035194935713262"/>
    <n v="0.94249369191070453"/>
    <n v="339808.76084189833"/>
    <n v="0.96938654887287712"/>
    <n v="-10731.239158101671"/>
    <n v="115159493.86837466"/>
  </r>
  <r>
    <n v="23092621466"/>
    <n v="0"/>
    <n v="8250"/>
    <n v="0"/>
    <s v="GV"/>
    <s v="GV"/>
    <n v="4"/>
    <s v="RES"/>
    <n v="315500"/>
    <n v="39100"/>
    <n v="0.19"/>
    <n v="-1.6607312068219999"/>
    <n v="0"/>
    <n v="0"/>
    <n v="0"/>
    <n v="13398.7528"/>
    <n v="63902.980100000001"/>
    <n v="41651.253192550997"/>
    <s v="CO"/>
    <n v="2"/>
    <x v="0"/>
    <x v="0"/>
    <n v="0"/>
    <n v="0"/>
    <n v="2"/>
    <n v="2"/>
    <x v="0"/>
    <x v="2"/>
    <n v="2477"/>
    <n v="1105"/>
    <n v="1372"/>
    <n v="0"/>
    <n v="0"/>
    <n v="400"/>
    <n v="0"/>
    <n v="0"/>
    <n v="0"/>
    <n v="12"/>
    <n v="0"/>
    <n v="0"/>
    <s v="CP"/>
    <n v="1"/>
    <s v="FD"/>
    <s v="G"/>
    <n v="1"/>
    <n v="3"/>
    <n v="0"/>
    <n v="0"/>
    <n v="100"/>
    <d v="2021-11-30T00:00:00"/>
    <n v="22400"/>
    <n v="415272"/>
    <n v="437700"/>
    <n v="371180"/>
    <n v="397"/>
    <n v="48369.487874125851"/>
    <n v="155833.95000000001"/>
    <n v="20768"/>
    <n v="25780"/>
    <n v="-478.33319999999998"/>
    <n v="154517.37288100002"/>
    <n v="0"/>
    <n v="35008.174800000001"/>
    <n v="24125.301599999999"/>
    <n v="0"/>
    <n v="-47619.5942"/>
    <n v="416304.35975512589"/>
    <n v="1.1215700192767011"/>
    <n v="0.93979103106061679"/>
    <n v="0.94231068710026933"/>
    <n v="0.94035194935713262"/>
    <n v="0.94539091427335964"/>
    <n v="392142.53156987001"/>
    <n v="1.0564753800578426"/>
    <n v="20962.531569870014"/>
    <n v="439427729.81779701"/>
  </r>
  <r>
    <n v="23092232495"/>
    <n v="0"/>
    <n v="9400"/>
    <n v="0"/>
    <s v="GV"/>
    <s v="GV"/>
    <n v="4"/>
    <s v="RES"/>
    <n v="246900"/>
    <n v="39500"/>
    <n v="0.22"/>
    <n v="-1.51412773263"/>
    <n v="0"/>
    <n v="0"/>
    <n v="0"/>
    <n v="13398.7528"/>
    <n v="63902.980100000001"/>
    <n v="43615.556902869001"/>
    <s v="CO"/>
    <n v="1"/>
    <x v="2"/>
    <x v="0"/>
    <n v="0"/>
    <n v="0"/>
    <n v="2"/>
    <n v="2"/>
    <x v="0"/>
    <x v="0"/>
    <n v="1280"/>
    <n v="1280"/>
    <n v="0"/>
    <n v="0"/>
    <n v="0"/>
    <n v="400"/>
    <n v="0"/>
    <n v="0"/>
    <n v="0"/>
    <n v="8"/>
    <n v="0"/>
    <n v="0"/>
    <s v="CP"/>
    <n v="1"/>
    <s v="FD"/>
    <s v="G"/>
    <n v="1"/>
    <n v="3"/>
    <n v="0"/>
    <n v="0"/>
    <n v="100"/>
    <d v="2021-12-01T00:00:00"/>
    <n v="22600"/>
    <n v="227300"/>
    <n v="249900"/>
    <n v="369850"/>
    <n v="396"/>
    <n v="50650.628469298128"/>
    <n v="155833.95000000001"/>
    <n v="9808"/>
    <n v="25780"/>
    <n v="-478.33319999999998"/>
    <n v="79847.491840000002"/>
    <n v="0"/>
    <n v="35008.174800000001"/>
    <n v="16083.5344"/>
    <n v="0"/>
    <n v="-47499.645599999996"/>
    <n v="325033.80070929811"/>
    <n v="0.87882601246261483"/>
    <n v="0.93645298159011592"/>
    <n v="0.94231068710026933"/>
    <n v="0.94035194935713262"/>
    <n v="0.93897388656927183"/>
    <n v="305376.52877282968"/>
    <n v="0.82567670345499444"/>
    <n v="-64473.471227170317"/>
    <n v="4156828492.0807586"/>
  </r>
  <r>
    <n v="23092621461"/>
    <n v="0"/>
    <n v="8250"/>
    <n v="0"/>
    <s v="GV"/>
    <s v="GV"/>
    <n v="4"/>
    <s v="RES"/>
    <n v="2522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2"/>
    <n v="2"/>
    <x v="0"/>
    <x v="0"/>
    <n v="1468"/>
    <n v="1468"/>
    <n v="0"/>
    <n v="0"/>
    <n v="0"/>
    <n v="460"/>
    <n v="0"/>
    <n v="0"/>
    <n v="0"/>
    <n v="10"/>
    <n v="0"/>
    <n v="0"/>
    <s v="CP"/>
    <n v="1"/>
    <s v="FD"/>
    <s v="G"/>
    <n v="1"/>
    <n v="3"/>
    <n v="0"/>
    <n v="0"/>
    <n v="100"/>
    <d v="2021-12-03T00:00:00"/>
    <n v="22400"/>
    <n v="269541"/>
    <n v="291900"/>
    <n v="315300"/>
    <n v="394"/>
    <n v="48369.487874125851"/>
    <n v="155833.95000000001"/>
    <n v="9808"/>
    <n v="25780"/>
    <n v="-478.33319999999998"/>
    <n v="91575.092204"/>
    <n v="0"/>
    <n v="40259.401019999998"/>
    <n v="20104.418000000001"/>
    <n v="0"/>
    <n v="-47259.748399999997"/>
    <n v="343992.2674981259"/>
    <n v="1.0909998969176211"/>
    <n v="0.93645298159011592"/>
    <n v="0.94231068710026933"/>
    <n v="0.94035194935713262"/>
    <n v="0.93897388656927183"/>
    <n v="323188.4325385096"/>
    <n v="1.0250188155360278"/>
    <n v="7888.4325385096017"/>
    <n v="62227367.914617039"/>
  </r>
  <r>
    <n v="23092231456"/>
    <n v="0.27"/>
    <n v="11571"/>
    <n v="0"/>
    <s v="GV"/>
    <s v="GV"/>
    <n v="4"/>
    <s v="RES"/>
    <n v="240500"/>
    <n v="44500"/>
    <n v="0.27"/>
    <n v="-1.309333319984"/>
    <n v="0"/>
    <n v="0"/>
    <n v="0"/>
    <n v="13398.7528"/>
    <n v="63902.980100000001"/>
    <n v="46359.546612733997"/>
    <s v="CO"/>
    <n v="1"/>
    <x v="1"/>
    <x v="3"/>
    <n v="0"/>
    <n v="0"/>
    <n v="44"/>
    <n v="46"/>
    <x v="5"/>
    <x v="0"/>
    <n v="1408"/>
    <n v="1408"/>
    <n v="0"/>
    <n v="0"/>
    <n v="0"/>
    <n v="390"/>
    <n v="0"/>
    <n v="0"/>
    <n v="0"/>
    <n v="8"/>
    <n v="0"/>
    <n v="0"/>
    <s v="CP"/>
    <n v="1"/>
    <s v="FD"/>
    <s v="E"/>
    <n v="1"/>
    <n v="3"/>
    <n v="0"/>
    <n v="4300"/>
    <n v="100"/>
    <d v="2021-12-04T00:00:00"/>
    <n v="25500"/>
    <n v="184306"/>
    <n v="209800"/>
    <n v="304000"/>
    <n v="393"/>
    <n v="53837.216310592135"/>
    <n v="155833.95000000001"/>
    <n v="2251"/>
    <n v="22342"/>
    <n v="-10523.330399999999"/>
    <n v="87832.241024000003"/>
    <n v="0"/>
    <n v="34132.970430000001"/>
    <n v="16083.5344"/>
    <n v="3641.2619300000001"/>
    <n v="-47139.799800000001"/>
    <n v="318291.04389459215"/>
    <n v="1.0470100128111584"/>
    <n v="0.94889070359879057"/>
    <n v="0.94546156904349943"/>
    <n v="0.95156852894116195"/>
    <n v="0.93897388656927183"/>
    <n v="301174.52033080679"/>
    <n v="0.99070565898291707"/>
    <n v="-2825.4796691932133"/>
    <n v="7983335.3610241907"/>
  </r>
  <r>
    <n v="23092332465"/>
    <n v="0.26"/>
    <n v="11450"/>
    <n v="0"/>
    <s v="GV"/>
    <s v="GV"/>
    <n v="4"/>
    <s v="RES"/>
    <n v="251900"/>
    <n v="40200"/>
    <n v="0.26"/>
    <n v="-1.347073647967"/>
    <n v="0"/>
    <n v="0"/>
    <n v="0"/>
    <n v="13398.7528"/>
    <n v="63902.980100000001"/>
    <n v="45853.873287501003"/>
    <s v="RN"/>
    <n v="1"/>
    <x v="4"/>
    <x v="1"/>
    <n v="0"/>
    <n v="0"/>
    <n v="22"/>
    <n v="88"/>
    <x v="8"/>
    <x v="2"/>
    <n v="2216"/>
    <n v="1384"/>
    <n v="0"/>
    <n v="832"/>
    <n v="0"/>
    <n v="0"/>
    <n v="0"/>
    <n v="440"/>
    <n v="0"/>
    <n v="12"/>
    <n v="0"/>
    <n v="0"/>
    <s v="MT"/>
    <n v="1"/>
    <s v="HP"/>
    <s v="E"/>
    <n v="1"/>
    <n v="2"/>
    <n v="0"/>
    <n v="12300"/>
    <n v="100"/>
    <d v="2021-12-08T00:00:00"/>
    <n v="23000"/>
    <n v="280176"/>
    <n v="303200"/>
    <n v="365000"/>
    <n v="389"/>
    <n v="53249.979243317037"/>
    <n v="155833.95000000001"/>
    <n v="10733"/>
    <n v="25818"/>
    <n v="-5261.6651999999995"/>
    <n v="138235.970248"/>
    <n v="-22546.56768"/>
    <n v="0"/>
    <n v="24125.301599999999"/>
    <n v="10415.702729999999"/>
    <n v="-46660.005400000002"/>
    <n v="343943.66554131708"/>
    <n v="0.94231141244196459"/>
    <n v="0.93029096284873303"/>
    <n v="0.95027059935652425"/>
    <n v="0.89043830049531381"/>
    <n v="0.94539091427335964"/>
    <n v="319557.26660408929"/>
    <n v="0.87549936055914879"/>
    <n v="-45442.733395910705"/>
    <n v="2065042018.4918182"/>
  </r>
  <r>
    <n v="23091433479"/>
    <n v="0.15"/>
    <n v="6612"/>
    <n v="0"/>
    <s v="GV"/>
    <s v="GV"/>
    <n v="4"/>
    <s v="RES"/>
    <n v="204600"/>
    <n v="38400"/>
    <n v="0.15"/>
    <n v="-1.8971199848860001"/>
    <n v="0"/>
    <n v="0"/>
    <n v="0"/>
    <n v="13398.7528"/>
    <n v="63902.980100000001"/>
    <n v="38483.938390574003"/>
    <s v="TD"/>
    <n v="1"/>
    <x v="2"/>
    <x v="2"/>
    <n v="0"/>
    <n v="0"/>
    <n v="51"/>
    <n v="77"/>
    <x v="9"/>
    <x v="1"/>
    <n v="1718"/>
    <n v="1718"/>
    <n v="0"/>
    <n v="0"/>
    <n v="0"/>
    <n v="0"/>
    <n v="372"/>
    <n v="0"/>
    <n v="0"/>
    <n v="8"/>
    <n v="1"/>
    <n v="2"/>
    <s v="CP"/>
    <n v="1"/>
    <s v="HP"/>
    <s v="E"/>
    <n v="1"/>
    <n v="3"/>
    <n v="0"/>
    <n v="0"/>
    <n v="100"/>
    <d v="2021-12-08T00:00:00"/>
    <n v="22000"/>
    <n v="201949"/>
    <n v="223900"/>
    <n v="273000"/>
    <n v="389"/>
    <n v="44691.293746339936"/>
    <n v="155833.95000000001"/>
    <n v="9808"/>
    <n v="-4503"/>
    <n v="-12197.496599999999"/>
    <n v="107170.305454"/>
    <n v="0"/>
    <n v="0"/>
    <n v="16083.5344"/>
    <n v="0"/>
    <n v="-46660.005400000002"/>
    <n v="270226.58160033997"/>
    <n v="0.98984095824300355"/>
    <n v="0.93645298159011592"/>
    <n v="0.91974816281148053"/>
    <n v="0.93121896872088394"/>
    <n v="0.94249369191070453"/>
    <n v="251980.4642995086"/>
    <n v="0.92300536373446374"/>
    <n v="-21019.535700491397"/>
    <n v="441820881.06423235"/>
  </r>
  <r>
    <n v="23092424473"/>
    <n v="0.19"/>
    <n v="8434"/>
    <n v="0"/>
    <s v="GV"/>
    <s v="GV"/>
    <n v="4"/>
    <s v="RES"/>
    <n v="211900"/>
    <n v="43500"/>
    <n v="0.19"/>
    <n v="-1.6607312068219999"/>
    <n v="0"/>
    <n v="0"/>
    <n v="0"/>
    <n v="13398.7528"/>
    <n v="63902.980100000001"/>
    <n v="41651.253192550997"/>
    <s v="RN"/>
    <n v="1"/>
    <x v="1"/>
    <x v="3"/>
    <n v="0"/>
    <n v="0"/>
    <n v="18"/>
    <n v="18"/>
    <x v="1"/>
    <x v="0"/>
    <n v="1117"/>
    <n v="1117"/>
    <n v="0"/>
    <n v="0"/>
    <n v="0"/>
    <n v="480"/>
    <n v="0"/>
    <n v="0"/>
    <n v="100"/>
    <n v="8"/>
    <n v="0"/>
    <n v="0"/>
    <s v="CP"/>
    <n v="1"/>
    <s v="FD"/>
    <s v="G"/>
    <n v="1"/>
    <n v="3"/>
    <n v="0"/>
    <n v="0"/>
    <n v="100"/>
    <d v="2021-12-10T00:00:00"/>
    <n v="24900"/>
    <n v="172432"/>
    <n v="197300"/>
    <n v="297000"/>
    <n v="387"/>
    <n v="48369.487874125851"/>
    <n v="155833.95000000001"/>
    <n v="2251"/>
    <n v="22342"/>
    <n v="-4304.9987999999994"/>
    <n v="69679.412800999999"/>
    <n v="0"/>
    <n v="42009.809760000004"/>
    <n v="16083.5344"/>
    <n v="0"/>
    <n v="-46420.108200000002"/>
    <n v="305844.08783512586"/>
    <n v="1.0297780735189423"/>
    <n v="0.94889070359879057"/>
    <n v="0.94546156904349943"/>
    <n v="0.95331699902534994"/>
    <n v="0.93897388656927183"/>
    <n v="289530.60567202215"/>
    <n v="0.97485052414822271"/>
    <n v="-7469.3943279778468"/>
    <n v="55791851.626827627"/>
  </r>
  <r>
    <n v="23092314546"/>
    <n v="0.19"/>
    <n v="8063"/>
    <n v="0"/>
    <s v="GV"/>
    <s v="GV"/>
    <n v="4"/>
    <s v="RES"/>
    <n v="217900"/>
    <n v="39500"/>
    <n v="0.19"/>
    <n v="-1.6607312068219999"/>
    <n v="0"/>
    <n v="0"/>
    <n v="0"/>
    <n v="13398.7528"/>
    <n v="63902.980100000001"/>
    <n v="41651.253192550997"/>
    <s v="TD"/>
    <n v="1"/>
    <x v="1"/>
    <x v="3"/>
    <n v="0"/>
    <n v="0"/>
    <n v="51"/>
    <n v="78"/>
    <x v="9"/>
    <x v="2"/>
    <n v="2496"/>
    <n v="1248"/>
    <n v="0"/>
    <n v="1248"/>
    <n v="0"/>
    <n v="0"/>
    <n v="0"/>
    <n v="294"/>
    <n v="0"/>
    <n v="8"/>
    <n v="0"/>
    <n v="1"/>
    <s v="CP"/>
    <n v="1"/>
    <s v="FD"/>
    <s v="G"/>
    <n v="1"/>
    <n v="4"/>
    <n v="0"/>
    <n v="8500"/>
    <n v="100"/>
    <d v="2021-12-14T00:00:00"/>
    <n v="22600"/>
    <n v="230951"/>
    <n v="253600"/>
    <n v="325000"/>
    <n v="383"/>
    <n v="48369.487874125851"/>
    <n v="155833.95000000001"/>
    <n v="2251"/>
    <n v="22342"/>
    <n v="-12197.496599999999"/>
    <n v="155702.609088"/>
    <n v="-33819.851520000004"/>
    <n v="0"/>
    <n v="16083.5344"/>
    <n v="7197.8433500000001"/>
    <n v="-45940.313799999996"/>
    <n v="315822.76279212581"/>
    <n v="0.97176234705269482"/>
    <n v="0.94889070359879057"/>
    <n v="0.94546156904349943"/>
    <n v="0.93121896872088394"/>
    <n v="0.94539091427335964"/>
    <n v="297738.9215944201"/>
    <n v="0.91611975875206186"/>
    <n v="-27261.078405579901"/>
    <n v="743166395.8351748"/>
  </r>
  <r>
    <n v="23092224538"/>
    <n v="0"/>
    <n v="13533"/>
    <n v="0"/>
    <s v="GV"/>
    <s v="GV"/>
    <n v="4"/>
    <s v="RES"/>
    <n v="342500"/>
    <n v="41100"/>
    <n v="0.31"/>
    <n v="-1.1711829815029999"/>
    <n v="0"/>
    <n v="0"/>
    <n v="0"/>
    <n v="13398.7528"/>
    <n v="63902.980100000001"/>
    <n v="48210.588847275001"/>
    <s v="CO"/>
    <n v="1"/>
    <x v="0"/>
    <x v="0"/>
    <n v="0"/>
    <n v="0"/>
    <n v="2"/>
    <n v="2"/>
    <x v="0"/>
    <x v="2"/>
    <n v="2180"/>
    <n v="2180"/>
    <n v="0"/>
    <n v="0"/>
    <n v="0"/>
    <n v="802"/>
    <n v="0"/>
    <n v="0"/>
    <n v="0"/>
    <n v="11"/>
    <n v="0"/>
    <n v="0"/>
    <s v="CP"/>
    <n v="1"/>
    <s v="HP"/>
    <s v="E"/>
    <n v="1"/>
    <n v="3"/>
    <n v="0"/>
    <n v="0"/>
    <n v="100"/>
    <d v="2021-12-16T00:00:00"/>
    <n v="23500"/>
    <n v="488138"/>
    <n v="511600"/>
    <n v="430100"/>
    <n v="381"/>
    <n v="55986.826659750572"/>
    <n v="155833.95000000001"/>
    <n v="20768"/>
    <n v="25780"/>
    <n v="-478.33319999999998"/>
    <n v="135990.25954"/>
    <n v="0"/>
    <n v="70191.390474"/>
    <n v="22114.859800000002"/>
    <n v="0"/>
    <n v="-45700.416599999997"/>
    <n v="440486.53667375061"/>
    <n v="1.0241491203760769"/>
    <n v="0.93979103106061679"/>
    <n v="0.94231068710026933"/>
    <n v="0.94035194935713262"/>
    <n v="0.94539091427335964"/>
    <n v="414921.20263956016"/>
    <n v="0.96470867853885178"/>
    <n v="-15178.797360439843"/>
    <n v="230395889.30929554"/>
  </r>
  <r>
    <n v="23092242443"/>
    <n v="0.2"/>
    <n v="8645"/>
    <n v="0"/>
    <s v="GV"/>
    <s v="GV"/>
    <n v="4"/>
    <s v="RES"/>
    <n v="250500"/>
    <n v="43500"/>
    <n v="0.2"/>
    <n v="-1.6094379124339999"/>
    <n v="0"/>
    <n v="0"/>
    <n v="0"/>
    <n v="13398.7528"/>
    <n v="63902.980100000001"/>
    <n v="42338.519364346997"/>
    <s v="RN"/>
    <n v="1"/>
    <x v="0"/>
    <x v="3"/>
    <n v="0"/>
    <n v="0"/>
    <n v="18"/>
    <n v="18"/>
    <x v="1"/>
    <x v="1"/>
    <n v="1578"/>
    <n v="1578"/>
    <n v="0"/>
    <n v="0"/>
    <n v="0"/>
    <n v="548"/>
    <n v="0"/>
    <n v="0"/>
    <n v="247"/>
    <n v="10"/>
    <n v="0"/>
    <n v="0"/>
    <s v="CP"/>
    <n v="1"/>
    <s v="HP"/>
    <s v="G"/>
    <n v="1"/>
    <n v="3"/>
    <n v="0"/>
    <n v="0"/>
    <n v="100"/>
    <d v="2021-12-31T00:00:00"/>
    <n v="24900"/>
    <n v="302254"/>
    <n v="327200"/>
    <n v="349600"/>
    <n v="366"/>
    <n v="49167.608223813884"/>
    <n v="155833.95000000001"/>
    <n v="20768"/>
    <n v="22342"/>
    <n v="-4304.9987999999994"/>
    <n v="98436.986034000001"/>
    <n v="0"/>
    <n v="47961.199476000002"/>
    <n v="20104.418000000001"/>
    <n v="0"/>
    <n v="-43901.187599999997"/>
    <n v="366407.97533381387"/>
    <n v="1.0480777326482089"/>
    <n v="0.93979103106061679"/>
    <n v="0.94546156904349943"/>
    <n v="0.95331699902534994"/>
    <n v="0.94249369191070453"/>
    <n v="346352.93626975897"/>
    <n v="0.99071206026818925"/>
    <n v="-3247.0637302410323"/>
    <n v="10543422.868246807"/>
  </r>
  <r>
    <n v="23092621433"/>
    <n v="0"/>
    <n v="9900"/>
    <n v="0"/>
    <s v="GV"/>
    <s v="GV"/>
    <n v="4"/>
    <s v="RES"/>
    <n v="347000"/>
    <n v="43800"/>
    <n v="0.23"/>
    <n v="-1.4696759700590001"/>
    <n v="0"/>
    <n v="0"/>
    <n v="0"/>
    <n v="13398.7528"/>
    <n v="63902.980100000001"/>
    <n v="44211.155081080004"/>
    <s v="CO"/>
    <n v="2"/>
    <x v="0"/>
    <x v="0"/>
    <n v="0"/>
    <n v="0"/>
    <n v="1"/>
    <n v="1"/>
    <x v="0"/>
    <x v="2"/>
    <n v="2397"/>
    <n v="2100"/>
    <n v="297"/>
    <n v="0"/>
    <n v="0"/>
    <n v="768"/>
    <n v="0"/>
    <n v="0"/>
    <n v="0"/>
    <n v="12"/>
    <n v="0"/>
    <n v="0"/>
    <s v="CP"/>
    <n v="1"/>
    <s v="FD"/>
    <s v="G"/>
    <n v="1"/>
    <n v="3"/>
    <n v="0"/>
    <n v="0"/>
    <n v="100"/>
    <d v="2022-01-04T00:00:00"/>
    <n v="22600"/>
    <n v="445108"/>
    <n v="467700"/>
    <n v="501384"/>
    <n v="362"/>
    <n v="51342.29502553949"/>
    <n v="155833.95000000001"/>
    <n v="20768"/>
    <n v="25780"/>
    <n v="-239.16659999999999"/>
    <n v="149526.904641"/>
    <n v="0"/>
    <n v="67215.695615999997"/>
    <n v="24125.301599999999"/>
    <n v="0"/>
    <n v="-43421.393199999999"/>
    <n v="450931.58708253951"/>
    <n v="0.89937370774204906"/>
    <n v="0.93979103106061679"/>
    <n v="0.94231068710026933"/>
    <n v="0.94035194935713262"/>
    <n v="0.94539091427335964"/>
    <n v="424760.03428688343"/>
    <n v="0.84717508793037555"/>
    <n v="-76623.965713116573"/>
    <n v="5871232121.6048641"/>
  </r>
  <r>
    <n v="23091433548"/>
    <n v="0.24"/>
    <n v="0"/>
    <n v="0"/>
    <s v="GV"/>
    <s v="GV"/>
    <n v="4"/>
    <s v="RES"/>
    <n v="147100"/>
    <n v="39800"/>
    <n v="0.24"/>
    <n v="-1.4271163556399999"/>
    <n v="0"/>
    <n v="0"/>
    <n v="0"/>
    <n v="13398.7528"/>
    <n v="63902.980100000001"/>
    <n v="44781.400833940999"/>
    <s v="RN"/>
    <n v="1"/>
    <x v="4"/>
    <x v="2"/>
    <n v="0"/>
    <n v="0"/>
    <n v="43"/>
    <n v="44"/>
    <x v="4"/>
    <x v="0"/>
    <n v="1344"/>
    <n v="1344"/>
    <n v="0"/>
    <n v="0"/>
    <n v="0"/>
    <n v="0"/>
    <n v="0"/>
    <n v="0"/>
    <n v="0"/>
    <n v="5"/>
    <n v="0"/>
    <n v="0"/>
    <s v="CP"/>
    <n v="1"/>
    <s v="BH"/>
    <s v="E"/>
    <n v="0"/>
    <n v="3"/>
    <n v="0"/>
    <n v="0"/>
    <n v="100"/>
    <d v="2022-01-04T00:00:00"/>
    <n v="22800"/>
    <n v="130514"/>
    <n v="153300"/>
    <n v="262500"/>
    <n v="362"/>
    <n v="52004.519878673433"/>
    <n v="155833.95000000001"/>
    <n v="10733"/>
    <n v="-4503"/>
    <n v="-10284.1638"/>
    <n v="83839.86643200001"/>
    <n v="0"/>
    <n v="0"/>
    <n v="10052.209000000001"/>
    <n v="0"/>
    <n v="-43421.393199999999"/>
    <n v="254254.98831067339"/>
    <n v="0.96859043165970815"/>
    <n v="0.93029096284873303"/>
    <n v="0.91974816281148053"/>
    <n v="0.9474610576206125"/>
    <n v="0.93897388656927183"/>
    <n v="237504.29273821769"/>
    <n v="0.90477825805035306"/>
    <n v="-24995.707261782314"/>
    <n v="624785381.51671708"/>
  </r>
  <r>
    <n v="23092331409"/>
    <n v="0.22"/>
    <n v="0"/>
    <n v="0"/>
    <s v="GV"/>
    <s v="GV"/>
    <n v="4"/>
    <s v="RES"/>
    <n v="129900"/>
    <n v="39500"/>
    <n v="0.22"/>
    <n v="-1.51412773263"/>
    <n v="0"/>
    <n v="0"/>
    <n v="0"/>
    <n v="13398.7528"/>
    <n v="63902.980100000001"/>
    <n v="43615.556902869001"/>
    <s v="TD"/>
    <n v="1"/>
    <x v="3"/>
    <x v="2"/>
    <n v="0"/>
    <n v="0"/>
    <n v="52"/>
    <n v="88"/>
    <x v="8"/>
    <x v="1"/>
    <n v="1740"/>
    <n v="870"/>
    <n v="0"/>
    <n v="870"/>
    <n v="0"/>
    <n v="0"/>
    <n v="0"/>
    <n v="0"/>
    <n v="0"/>
    <n v="5"/>
    <n v="1"/>
    <n v="0"/>
    <s v="CP"/>
    <n v="1"/>
    <s v="BH"/>
    <s v="E"/>
    <n v="0"/>
    <n v="2"/>
    <n v="0"/>
    <n v="6200"/>
    <n v="100"/>
    <d v="2022-01-04T00:00:00"/>
    <n v="22600"/>
    <n v="124495"/>
    <n v="147100"/>
    <n v="213400"/>
    <n v="362"/>
    <n v="50650.628469298128"/>
    <n v="155833.95000000001"/>
    <n v="-28558"/>
    <n v="-4503"/>
    <n v="-12436.663199999999"/>
    <n v="108542.68422000001"/>
    <n v="-23576.338800000001"/>
    <n v="0"/>
    <n v="10052.209000000001"/>
    <n v="5250.1916199999996"/>
    <n v="-43421.393199999999"/>
    <n v="217834.26810929814"/>
    <n v="1.020779138281622"/>
    <n v="0.89909171974485158"/>
    <n v="0.91974816281148053"/>
    <n v="0.89043830049531381"/>
    <n v="0.94249369191070453"/>
    <n v="198870.26342113575"/>
    <n v="0.93191313693128286"/>
    <n v="-14529.736578864249"/>
    <n v="211113245.05118579"/>
  </r>
  <r>
    <n v="23092333426"/>
    <n v="0.22"/>
    <n v="9582"/>
    <n v="0"/>
    <s v="GV"/>
    <s v="GV"/>
    <n v="4"/>
    <s v="RES"/>
    <n v="175200"/>
    <n v="39500"/>
    <n v="0.22"/>
    <n v="-1.51412773263"/>
    <n v="0"/>
    <n v="0"/>
    <n v="0"/>
    <n v="13398.7528"/>
    <n v="63902.980100000001"/>
    <n v="43615.556902869001"/>
    <s v="RN"/>
    <n v="1"/>
    <x v="1"/>
    <x v="3"/>
    <n v="0"/>
    <n v="0"/>
    <n v="44"/>
    <n v="48"/>
    <x v="5"/>
    <x v="0"/>
    <n v="1450"/>
    <n v="1450"/>
    <n v="0"/>
    <n v="0"/>
    <n v="0"/>
    <n v="0"/>
    <n v="0"/>
    <n v="0"/>
    <n v="0"/>
    <n v="7"/>
    <n v="0"/>
    <n v="0"/>
    <s v="CP"/>
    <n v="1"/>
    <s v="FD"/>
    <s v="G"/>
    <n v="0"/>
    <n v="4"/>
    <n v="0"/>
    <n v="0"/>
    <n v="100"/>
    <d v="2022-01-10T00:00:00"/>
    <n v="22600"/>
    <n v="165185"/>
    <n v="187800"/>
    <n v="289000"/>
    <n v="356"/>
    <n v="50650.628469298128"/>
    <n v="155833.95000000001"/>
    <n v="2251"/>
    <n v="22342"/>
    <n v="-10523.330399999999"/>
    <n v="90452.236850000001"/>
    <n v="0"/>
    <n v="0"/>
    <n v="14073.0926"/>
    <n v="0"/>
    <n v="-42701.7016"/>
    <n v="282377.87591929815"/>
    <n v="0.97708607584532237"/>
    <n v="0.94889070359879057"/>
    <n v="0.94546156904349943"/>
    <n v="0.95156852894116195"/>
    <n v="0.93897388656927183"/>
    <n v="267192.6306547001"/>
    <n v="0.92454197458373732"/>
    <n v="-21807.3693452999"/>
    <n v="475561357.76232576"/>
  </r>
  <r>
    <n v="23092242512"/>
    <n v="0.17"/>
    <n v="7196"/>
    <n v="0"/>
    <s v="GV"/>
    <s v="GV"/>
    <n v="4"/>
    <s v="RES"/>
    <n v="245400"/>
    <n v="38800"/>
    <n v="0.17"/>
    <n v="-1.771956841932"/>
    <n v="0"/>
    <n v="0"/>
    <n v="0"/>
    <n v="13398.7528"/>
    <n v="63902.980100000001"/>
    <n v="40160.968402685998"/>
    <s v="CP"/>
    <n v="1"/>
    <x v="2"/>
    <x v="3"/>
    <n v="0"/>
    <n v="0"/>
    <n v="16"/>
    <n v="16"/>
    <x v="1"/>
    <x v="0"/>
    <n v="1296"/>
    <n v="1296"/>
    <n v="0"/>
    <n v="0"/>
    <n v="0"/>
    <n v="648"/>
    <n v="0"/>
    <n v="0"/>
    <n v="90"/>
    <n v="8"/>
    <n v="0"/>
    <n v="0"/>
    <s v="CP"/>
    <n v="1"/>
    <s v="HP"/>
    <s v="E"/>
    <n v="1"/>
    <n v="3"/>
    <n v="0"/>
    <n v="0"/>
    <n v="100"/>
    <d v="2022-01-13T00:00:00"/>
    <n v="22200"/>
    <n v="271864"/>
    <n v="294100"/>
    <n v="355000"/>
    <n v="353"/>
    <n v="46638.82417142456"/>
    <n v="155833.95000000001"/>
    <n v="9808"/>
    <n v="22342"/>
    <n v="-3826.6655999999998"/>
    <n v="80845.585487999997"/>
    <n v="0"/>
    <n v="56713.243176000004"/>
    <n v="16083.5344"/>
    <n v="0"/>
    <n v="-42341.855799999998"/>
    <n v="342096.61583542457"/>
    <n v="0.96365243897302699"/>
    <n v="0.93645298159011592"/>
    <n v="0.94546156904349943"/>
    <n v="0.95331699902534994"/>
    <n v="0.93897388656927183"/>
    <n v="322785.72680033551"/>
    <n v="0.90925556845164934"/>
    <n v="-32214.273199664487"/>
    <n v="1037759397.7826216"/>
  </r>
  <r>
    <n v="23092232466"/>
    <n v="0.2"/>
    <n v="8714"/>
    <n v="0"/>
    <s v="GV"/>
    <s v="GV"/>
    <n v="4"/>
    <s v="RES"/>
    <n v="149700"/>
    <n v="43700"/>
    <n v="0.2"/>
    <n v="-1.6094379124339999"/>
    <n v="0"/>
    <n v="0"/>
    <n v="0"/>
    <n v="13398.7528"/>
    <n v="63902.980100000001"/>
    <n v="42338.519364346997"/>
    <s v="RN"/>
    <n v="1"/>
    <x v="1"/>
    <x v="2"/>
    <n v="0"/>
    <n v="0"/>
    <n v="46"/>
    <n v="53"/>
    <x v="5"/>
    <x v="0"/>
    <n v="1204"/>
    <n v="1204"/>
    <n v="0"/>
    <n v="0"/>
    <n v="0"/>
    <n v="280"/>
    <n v="0"/>
    <n v="0"/>
    <n v="304"/>
    <n v="7"/>
    <n v="0"/>
    <n v="0"/>
    <s v="CP"/>
    <n v="1"/>
    <s v="FD"/>
    <s v="E"/>
    <n v="0"/>
    <n v="3"/>
    <n v="0"/>
    <n v="0"/>
    <n v="100"/>
    <d v="2022-01-15T00:00:00"/>
    <n v="25000"/>
    <n v="139419"/>
    <n v="164400"/>
    <n v="279000"/>
    <n v="351"/>
    <n v="49167.608223813884"/>
    <n v="155833.95000000001"/>
    <n v="2251"/>
    <n v="-4503"/>
    <n v="-11001.6636"/>
    <n v="75106.547011999995"/>
    <n v="0"/>
    <n v="24505.72236"/>
    <n v="14073.0926"/>
    <n v="0"/>
    <n v="-42101.958599999998"/>
    <n v="263331.29799581389"/>
    <n v="0.94383977776277383"/>
    <n v="0.94889070359879057"/>
    <n v="0.91974816281148053"/>
    <n v="0.95156852894116195"/>
    <n v="0.93897388656927183"/>
    <n v="247477.52159243674"/>
    <n v="0.88701620642450441"/>
    <n v="-31522.478407563263"/>
    <n v="993666644.95529222"/>
  </r>
  <r>
    <n v="23092224419"/>
    <n v="0.19"/>
    <n v="8400"/>
    <n v="0"/>
    <s v="GV"/>
    <s v="GV"/>
    <n v="4"/>
    <s v="RES"/>
    <n v="300600"/>
    <n v="42800"/>
    <n v="0.19"/>
    <n v="-1.6607312068219999"/>
    <n v="0"/>
    <n v="0"/>
    <n v="0"/>
    <n v="13398.7528"/>
    <n v="63902.980100000001"/>
    <n v="41651.253192550997"/>
    <s v="SL"/>
    <n v="1"/>
    <x v="2"/>
    <x v="2"/>
    <n v="0"/>
    <n v="0"/>
    <n v="43"/>
    <n v="44"/>
    <x v="4"/>
    <x v="2"/>
    <n v="2490"/>
    <n v="1650"/>
    <n v="0"/>
    <n v="840"/>
    <n v="0"/>
    <n v="810"/>
    <n v="0"/>
    <n v="196"/>
    <n v="0"/>
    <n v="10"/>
    <n v="0"/>
    <n v="1"/>
    <s v="SH"/>
    <n v="1"/>
    <s v="HP"/>
    <s v="E"/>
    <n v="1"/>
    <n v="3"/>
    <n v="0"/>
    <n v="0"/>
    <n v="100"/>
    <d v="2022-01-21T00:00:00"/>
    <n v="24500"/>
    <n v="322592"/>
    <n v="347100"/>
    <n v="338000"/>
    <n v="345"/>
    <n v="48369.487874125851"/>
    <n v="155833.95000000001"/>
    <n v="9808"/>
    <n v="-4503"/>
    <n v="-10284.1638"/>
    <n v="155328.32397"/>
    <n v="-22763.3616"/>
    <n v="70891.553970000008"/>
    <n v="20104.418000000001"/>
    <n v="0"/>
    <n v="-41382.267"/>
    <n v="381402.94141412585"/>
    <n v="1.1284110692725617"/>
    <n v="0.93645298159011592"/>
    <n v="0.91974816281148053"/>
    <n v="0.9474610576206125"/>
    <n v="0.94539091427335964"/>
    <n v="357474.97151823121"/>
    <n v="1.0576182589296781"/>
    <n v="19474.971518231207"/>
    <n v="379274515.63591671"/>
  </r>
  <r>
    <n v="23091433443"/>
    <n v="0.11"/>
    <n v="4808"/>
    <n v="0"/>
    <s v="GV"/>
    <s v="GV"/>
    <n v="4"/>
    <s v="RES"/>
    <n v="153000"/>
    <n v="37700"/>
    <n v="0.11"/>
    <n v="-2.20727491319"/>
    <n v="0"/>
    <n v="0"/>
    <n v="0"/>
    <n v="13398.7528"/>
    <n v="63902.980100000001"/>
    <n v="34328.24917653"/>
    <s v="RN"/>
    <n v="1"/>
    <x v="3"/>
    <x v="3"/>
    <n v="0"/>
    <n v="0"/>
    <n v="50"/>
    <n v="73"/>
    <x v="6"/>
    <x v="0"/>
    <n v="1036"/>
    <n v="1036"/>
    <n v="0"/>
    <n v="0"/>
    <n v="0"/>
    <n v="0"/>
    <n v="192"/>
    <n v="0"/>
    <n v="192"/>
    <n v="5"/>
    <n v="0"/>
    <n v="0"/>
    <s v="CP"/>
    <n v="1"/>
    <s v="BH"/>
    <s v="E"/>
    <n v="0"/>
    <n v="2"/>
    <n v="0"/>
    <n v="6300"/>
    <n v="100"/>
    <d v="2022-01-25T00:00:00"/>
    <n v="21600"/>
    <n v="108087"/>
    <n v="129700"/>
    <n v="240000"/>
    <n v="341"/>
    <n v="39865.303082431514"/>
    <n v="155833.95000000001"/>
    <n v="-28558"/>
    <n v="22342"/>
    <n v="-11958.33"/>
    <n v="64626.563708000001"/>
    <n v="0"/>
    <n v="0"/>
    <n v="10052.209000000001"/>
    <n v="5334.8721299999997"/>
    <n v="-40902.472600000001"/>
    <n v="216636.09532043154"/>
    <n v="0.90265039716846474"/>
    <n v="0.89909171974485158"/>
    <n v="0.94546156904349943"/>
    <n v="0.94654220114707954"/>
    <n v="0.93897388656927183"/>
    <n v="202016.91625007385"/>
    <n v="0.84173715104197433"/>
    <n v="-37983.083749926154"/>
    <n v="1442714651.1539042"/>
  </r>
  <r>
    <n v="23092232504"/>
    <n v="0"/>
    <n v="15624"/>
    <n v="0"/>
    <s v="GV"/>
    <s v="GV"/>
    <n v="4"/>
    <s v="RES"/>
    <n v="248200"/>
    <n v="41100"/>
    <n v="0.36"/>
    <n v="-1.0216512475320001"/>
    <n v="0"/>
    <n v="0"/>
    <n v="0"/>
    <n v="13398.7528"/>
    <n v="63902.980100000001"/>
    <n v="50214.127586506998"/>
    <s v="RN"/>
    <n v="1"/>
    <x v="2"/>
    <x v="0"/>
    <n v="0"/>
    <n v="0"/>
    <n v="1"/>
    <n v="1"/>
    <x v="0"/>
    <x v="0"/>
    <n v="1418"/>
    <n v="1418"/>
    <n v="0"/>
    <n v="0"/>
    <n v="0"/>
    <n v="462"/>
    <n v="0"/>
    <n v="0"/>
    <n v="64"/>
    <n v="9"/>
    <n v="0"/>
    <n v="0"/>
    <s v="CP"/>
    <n v="1"/>
    <s v="FD"/>
    <s v="G"/>
    <n v="1"/>
    <n v="3"/>
    <n v="0"/>
    <n v="0"/>
    <n v="100"/>
    <d v="2022-01-26T00:00:00"/>
    <n v="23500"/>
    <n v="250925"/>
    <n v="274400"/>
    <n v="390850"/>
    <n v="340"/>
    <n v="58313.530788066091"/>
    <n v="155833.95000000001"/>
    <n v="9808"/>
    <n v="25780"/>
    <n v="-239.16659999999999"/>
    <n v="88456.049553999997"/>
    <n v="0"/>
    <n v="40434.441894000003"/>
    <n v="18093.976200000001"/>
    <n v="0"/>
    <n v="-40782.523999999998"/>
    <n v="355698.25783606607"/>
    <n v="0.91006334357443031"/>
    <n v="0.93645298159011592"/>
    <n v="0.94231068710026933"/>
    <n v="0.94035194935713262"/>
    <n v="0.93897388656927183"/>
    <n v="334186.47239604918"/>
    <n v="0.85502487500588253"/>
    <n v="-56663.527603950817"/>
    <n v="3210755360.5236964"/>
  </r>
  <r>
    <n v="23092224449"/>
    <n v="0.19"/>
    <n v="8065"/>
    <n v="0"/>
    <s v="GV"/>
    <s v="GV"/>
    <n v="4"/>
    <s v="RES"/>
    <n v="206100"/>
    <n v="43300"/>
    <n v="0.19"/>
    <n v="-1.6607312068219999"/>
    <n v="0"/>
    <n v="0"/>
    <n v="0"/>
    <n v="13398.7528"/>
    <n v="63902.980100000001"/>
    <n v="41651.253192550997"/>
    <s v="CP"/>
    <n v="1"/>
    <x v="0"/>
    <x v="2"/>
    <n v="0"/>
    <n v="0"/>
    <n v="33"/>
    <n v="33"/>
    <x v="11"/>
    <x v="1"/>
    <n v="1536"/>
    <n v="1536"/>
    <n v="0"/>
    <n v="0"/>
    <n v="0"/>
    <n v="500"/>
    <n v="0"/>
    <n v="0"/>
    <n v="200"/>
    <n v="9"/>
    <n v="0"/>
    <n v="0"/>
    <s v="CP"/>
    <n v="1"/>
    <s v="FD"/>
    <s v="E"/>
    <n v="0"/>
    <n v="3"/>
    <n v="0"/>
    <n v="0"/>
    <n v="100"/>
    <d v="2022-01-27T00:00:00"/>
    <n v="24800"/>
    <n v="266402"/>
    <n v="291200"/>
    <n v="310000"/>
    <n v="339"/>
    <n v="48369.487874125851"/>
    <n v="155833.95000000001"/>
    <n v="20768"/>
    <n v="-4503"/>
    <n v="-7892.4977999999992"/>
    <n v="95816.990208000003"/>
    <n v="0"/>
    <n v="43760.218500000003"/>
    <n v="18093.976200000001"/>
    <n v="0"/>
    <n v="-40662.575400000002"/>
    <n v="329584.54958212585"/>
    <n v="1.0631759663939544"/>
    <n v="0.93979103106061679"/>
    <n v="0.91974816281148053"/>
    <n v="0.959911764774662"/>
    <n v="0.94249369191070453"/>
    <n v="309969.70830171736"/>
    <n v="0.99990228484424959"/>
    <n v="-30.291698282642756"/>
    <n v="917.58698484666206"/>
  </r>
  <r>
    <n v="23092332501"/>
    <n v="0.23"/>
    <n v="10115"/>
    <n v="0"/>
    <s v="GV"/>
    <s v="GV"/>
    <n v="4"/>
    <s v="RES"/>
    <n v="272200"/>
    <n v="39700"/>
    <n v="0.23"/>
    <n v="-1.4696759700590001"/>
    <n v="0"/>
    <n v="0"/>
    <n v="0"/>
    <n v="13398.7528"/>
    <n v="63902.980100000001"/>
    <n v="44211.155081080004"/>
    <s v="RN"/>
    <n v="1"/>
    <x v="0"/>
    <x v="2"/>
    <n v="0"/>
    <n v="0"/>
    <n v="45"/>
    <n v="51"/>
    <x v="5"/>
    <x v="2"/>
    <n v="2480"/>
    <n v="1760"/>
    <n v="0"/>
    <n v="720"/>
    <n v="0"/>
    <n v="616"/>
    <n v="0"/>
    <n v="176"/>
    <n v="0"/>
    <n v="10"/>
    <n v="0"/>
    <n v="1"/>
    <s v="CP"/>
    <n v="1"/>
    <s v="FD"/>
    <s v="G"/>
    <n v="1"/>
    <n v="4"/>
    <n v="0"/>
    <n v="17800"/>
    <n v="100"/>
    <d v="2022-01-27T00:00:00"/>
    <n v="22700"/>
    <n v="361308"/>
    <n v="384000"/>
    <n v="380000"/>
    <n v="339"/>
    <n v="51342.29502553949"/>
    <n v="155833.95000000001"/>
    <n v="20768"/>
    <n v="-4503"/>
    <n v="-10762.496999999999"/>
    <n v="154704.51544000002"/>
    <n v="-19511.452800000003"/>
    <n v="53912.589191999999"/>
    <n v="20104.418000000001"/>
    <n v="15073.13078"/>
    <n v="-40662.575400000002"/>
    <n v="396299.37323753955"/>
    <n v="1.0428930874672093"/>
    <n v="0.93979103106061679"/>
    <n v="0.91974816281148053"/>
    <n v="0.95156852894116195"/>
    <n v="0.94539091427335964"/>
    <n v="372174.51386127464"/>
    <n v="0.97940661542440699"/>
    <n v="-7825.4861387253623"/>
    <n v="61238233.307382777"/>
  </r>
  <r>
    <n v="23092333402"/>
    <n v="0.33"/>
    <n v="14309"/>
    <n v="0"/>
    <s v="GV"/>
    <s v="GV"/>
    <n v="4"/>
    <s v="RES"/>
    <n v="183300"/>
    <n v="41200"/>
    <n v="0.33"/>
    <n v="-1.1086626245219999"/>
    <n v="0"/>
    <n v="0"/>
    <n v="0"/>
    <n v="13398.7528"/>
    <n v="63902.980100000001"/>
    <n v="49048.283655435996"/>
    <s v="RN"/>
    <n v="1"/>
    <x v="4"/>
    <x v="3"/>
    <n v="0"/>
    <n v="0"/>
    <n v="46"/>
    <n v="54"/>
    <x v="5"/>
    <x v="0"/>
    <n v="1136"/>
    <n v="1136"/>
    <n v="0"/>
    <n v="0"/>
    <n v="0"/>
    <n v="0"/>
    <n v="288"/>
    <n v="0"/>
    <n v="260"/>
    <n v="7"/>
    <n v="0"/>
    <n v="0"/>
    <s v="CP"/>
    <n v="1"/>
    <s v="BH"/>
    <s v="E"/>
    <n v="0"/>
    <n v="3"/>
    <n v="0"/>
    <n v="0"/>
    <n v="100"/>
    <d v="2022-02-01T00:00:00"/>
    <n v="23600"/>
    <n v="128138"/>
    <n v="151700"/>
    <n v="290000"/>
    <n v="334"/>
    <n v="56959.639378691951"/>
    <n v="155833.95000000001"/>
    <n v="10733"/>
    <n v="22342"/>
    <n v="-11001.6636"/>
    <n v="70864.649008000008"/>
    <n v="0"/>
    <n v="0"/>
    <n v="14073.0926"/>
    <n v="0"/>
    <n v="-40062.832399999999"/>
    <n v="279741.83498669195"/>
    <n v="0.96462701719548949"/>
    <n v="0.93029096284873303"/>
    <n v="0.94546156904349943"/>
    <n v="0.95156852894116195"/>
    <n v="0.93897388656927183"/>
    <n v="263397.56492188206"/>
    <n v="0.90826746524786917"/>
    <n v="-26602.435078117938"/>
    <n v="707689552.08547974"/>
  </r>
  <r>
    <n v="23092621454"/>
    <n v="0"/>
    <n v="8030"/>
    <n v="0"/>
    <s v="GV"/>
    <s v="GV"/>
    <n v="4"/>
    <s v="RES"/>
    <n v="254400"/>
    <n v="39000"/>
    <n v="0.18"/>
    <n v="-1.7147984280919999"/>
    <n v="0"/>
    <n v="0"/>
    <n v="0"/>
    <n v="13398.7528"/>
    <n v="63902.980100000001"/>
    <n v="40926.819860167998"/>
    <s v="CO"/>
    <n v="1"/>
    <x v="2"/>
    <x v="0"/>
    <n v="0"/>
    <n v="0"/>
    <n v="2"/>
    <n v="2"/>
    <x v="0"/>
    <x v="0"/>
    <n v="1390"/>
    <n v="1390"/>
    <n v="0"/>
    <n v="0"/>
    <n v="0"/>
    <n v="400"/>
    <n v="0"/>
    <n v="0"/>
    <n v="144"/>
    <n v="9"/>
    <n v="0"/>
    <n v="0"/>
    <s v="CP"/>
    <n v="1"/>
    <s v="FD"/>
    <s v="G"/>
    <n v="1"/>
    <n v="3"/>
    <n v="0"/>
    <n v="0"/>
    <n v="100"/>
    <d v="2022-02-03T00:00:00"/>
    <n v="22300"/>
    <n v="248205"/>
    <n v="270500"/>
    <n v="302942"/>
    <n v="332"/>
    <n v="47528.20540119947"/>
    <n v="155833.95000000001"/>
    <n v="9808"/>
    <n v="25780"/>
    <n v="-478.33319999999998"/>
    <n v="86709.385670000003"/>
    <n v="0"/>
    <n v="35008.174800000001"/>
    <n v="18093.976200000001"/>
    <n v="0"/>
    <n v="-39822.9352"/>
    <n v="338460.42367119942"/>
    <n v="1.117244963297263"/>
    <n v="0.93645298159011592"/>
    <n v="0.94231068710026933"/>
    <n v="0.94035194935713262"/>
    <n v="0.93897388656927183"/>
    <n v="317991.14148172166"/>
    <n v="1.0496766426633535"/>
    <n v="15049.141481721657"/>
    <n v="226476659.33687553"/>
  </r>
  <r>
    <n v="23091434424"/>
    <n v="0.25"/>
    <n v="0"/>
    <n v="0"/>
    <s v="GV"/>
    <s v="GV"/>
    <n v="4"/>
    <s v="RES"/>
    <n v="221200"/>
    <n v="41600"/>
    <n v="0.25"/>
    <n v="-1.38629436112"/>
    <n v="0"/>
    <n v="0"/>
    <n v="0"/>
    <n v="13398.7528"/>
    <n v="63902.980100000001"/>
    <n v="45328.364647321003"/>
    <s v="TD"/>
    <n v="1"/>
    <x v="1"/>
    <x v="0"/>
    <n v="0"/>
    <n v="0"/>
    <n v="14"/>
    <n v="88"/>
    <x v="8"/>
    <x v="0"/>
    <n v="1500"/>
    <n v="1500"/>
    <n v="0"/>
    <n v="0"/>
    <n v="0"/>
    <n v="0"/>
    <n v="0"/>
    <n v="0"/>
    <n v="0"/>
    <n v="8"/>
    <n v="0"/>
    <n v="1"/>
    <s v="CP"/>
    <n v="1"/>
    <s v="HP"/>
    <s v="E"/>
    <n v="1"/>
    <n v="3"/>
    <n v="0"/>
    <n v="0"/>
    <n v="100"/>
    <d v="2022-02-04T00:00:00"/>
    <n v="23800"/>
    <n v="206848"/>
    <n v="230600"/>
    <n v="340000"/>
    <n v="331"/>
    <n v="52639.70747834933"/>
    <n v="155833.95000000001"/>
    <n v="2251"/>
    <n v="25780"/>
    <n v="-3348.3323999999998"/>
    <n v="93571.279500000004"/>
    <n v="0"/>
    <n v="0"/>
    <n v="16083.5344"/>
    <n v="0"/>
    <n v="-39702.986599999997"/>
    <n v="303108.15237834933"/>
    <n v="0.89149456581867448"/>
    <n v="0.94889070359879057"/>
    <n v="0.94231068710026933"/>
    <n v="0.89043830049531381"/>
    <n v="0.93897388656927183"/>
    <n v="281937.07681743469"/>
    <n v="0.82922669652186676"/>
    <n v="-58062.923182565311"/>
    <n v="3371303048.5044804"/>
  </r>
  <r>
    <n v="23092621453"/>
    <n v="0"/>
    <n v="8030"/>
    <n v="0"/>
    <s v="GV"/>
    <s v="GV"/>
    <n v="4"/>
    <s v="RES"/>
    <n v="314600"/>
    <n v="39000"/>
    <n v="0.18"/>
    <n v="-1.7147984280919999"/>
    <n v="0"/>
    <n v="0"/>
    <n v="0"/>
    <n v="13398.7528"/>
    <n v="63902.980100000001"/>
    <n v="40926.819860167998"/>
    <s v="CO"/>
    <n v="2"/>
    <x v="0"/>
    <x v="0"/>
    <n v="0"/>
    <n v="0"/>
    <n v="2"/>
    <n v="2"/>
    <x v="0"/>
    <x v="2"/>
    <n v="2148"/>
    <n v="896"/>
    <n v="1252"/>
    <n v="0"/>
    <n v="0"/>
    <n v="660"/>
    <n v="0"/>
    <n v="0"/>
    <n v="0"/>
    <n v="11"/>
    <n v="0"/>
    <n v="0"/>
    <s v="CP"/>
    <n v="1"/>
    <s v="FD"/>
    <s v="G"/>
    <n v="1"/>
    <n v="3"/>
    <n v="0"/>
    <n v="0"/>
    <n v="100"/>
    <d v="2022-02-09T00:00:00"/>
    <n v="22300"/>
    <n v="387067"/>
    <n v="409400"/>
    <n v="386374"/>
    <n v="326"/>
    <n v="47528.20540119947"/>
    <n v="155833.95000000001"/>
    <n v="20768"/>
    <n v="25780"/>
    <n v="-478.33319999999998"/>
    <n v="133994.07224400001"/>
    <n v="0"/>
    <n v="57763.488420000001"/>
    <n v="22114.859800000002"/>
    <n v="0"/>
    <n v="-39103.243600000002"/>
    <n v="424200.99906519952"/>
    <n v="1.0979025479592299"/>
    <n v="0.93979103106061679"/>
    <n v="0.94231068710026933"/>
    <n v="0.94035194935713262"/>
    <n v="0.94539091427335964"/>
    <n v="399580.85897957545"/>
    <n v="1.0341815416657836"/>
    <n v="13206.858979575452"/>
    <n v="174421124.10639277"/>
  </r>
  <r>
    <n v="23092621456"/>
    <n v="0"/>
    <n v="8030"/>
    <n v="0"/>
    <s v="GV"/>
    <s v="GV"/>
    <n v="4"/>
    <s v="RES"/>
    <n v="2440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1"/>
    <n v="1"/>
    <x v="0"/>
    <x v="0"/>
    <n v="1384"/>
    <n v="1384"/>
    <n v="0"/>
    <n v="0"/>
    <n v="0"/>
    <n v="400"/>
    <n v="0"/>
    <n v="0"/>
    <n v="144"/>
    <n v="10"/>
    <n v="0"/>
    <n v="0"/>
    <s v="CP"/>
    <n v="1"/>
    <s v="FD"/>
    <s v="G"/>
    <n v="1"/>
    <n v="3"/>
    <n v="0"/>
    <n v="0"/>
    <n v="100"/>
    <d v="2022-02-11T00:00:00"/>
    <n v="22300"/>
    <n v="250338"/>
    <n v="272600"/>
    <n v="293710"/>
    <n v="324"/>
    <n v="47528.20540119947"/>
    <n v="155833.95000000001"/>
    <n v="9808"/>
    <n v="25780"/>
    <n v="-239.16659999999999"/>
    <n v="86335.100552000004"/>
    <n v="0"/>
    <n v="35008.174800000001"/>
    <n v="20104.418000000001"/>
    <n v="0"/>
    <n v="-38863.346400000002"/>
    <n v="341295.33575319947"/>
    <n v="1.1620146939266605"/>
    <n v="0.93645298159011592"/>
    <n v="0.94231068710026933"/>
    <n v="0.94035194935713262"/>
    <n v="0.93897388656927183"/>
    <n v="320654.60481719061"/>
    <n v="1.0917388063640687"/>
    <n v="26944.604817190615"/>
    <n v="726011728.75457168"/>
  </r>
  <r>
    <n v="23092621470"/>
    <n v="0"/>
    <n v="8050"/>
    <n v="0"/>
    <s v="GV"/>
    <s v="GV"/>
    <n v="4"/>
    <s v="RES"/>
    <n v="2505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0"/>
    <n v="1468"/>
    <n v="1468"/>
    <n v="0"/>
    <n v="0"/>
    <n v="0"/>
    <n v="460"/>
    <n v="0"/>
    <n v="0"/>
    <n v="0"/>
    <n v="9"/>
    <n v="0"/>
    <n v="0"/>
    <s v="CP"/>
    <n v="1"/>
    <s v="FD"/>
    <s v="G"/>
    <n v="1"/>
    <n v="3"/>
    <n v="0"/>
    <n v="0"/>
    <n v="100"/>
    <d v="2022-02-11T00:00:00"/>
    <n v="22300"/>
    <n v="266894"/>
    <n v="289200"/>
    <n v="292380"/>
    <n v="324"/>
    <n v="47528.20540119947"/>
    <n v="155833.95000000001"/>
    <n v="9808"/>
    <n v="25780"/>
    <n v="-478.33319999999998"/>
    <n v="91575.092204"/>
    <n v="0"/>
    <n v="40259.401019999998"/>
    <n v="18093.976200000001"/>
    <n v="0"/>
    <n v="-38863.346400000002"/>
    <n v="349536.94522519945"/>
    <n v="1.1954885601792169"/>
    <n v="0.93645298159011592"/>
    <n v="0.94231068710026933"/>
    <n v="0.94035194935713262"/>
    <n v="0.93897388656927183"/>
    <n v="328397.781331659"/>
    <n v="1.1231882527247383"/>
    <n v="36017.781331659004"/>
    <n v="1297280572.0552039"/>
  </r>
  <r>
    <n v="23092621465"/>
    <n v="0"/>
    <n v="8250"/>
    <n v="0"/>
    <s v="GV"/>
    <s v="GV"/>
    <n v="4"/>
    <s v="RES"/>
    <n v="254400"/>
    <n v="39100"/>
    <n v="0.19"/>
    <n v="-1.6607312068219999"/>
    <n v="0"/>
    <n v="0"/>
    <n v="0"/>
    <n v="13398.7528"/>
    <n v="63902.980100000001"/>
    <n v="41651.253192550997"/>
    <s v="CO"/>
    <n v="1"/>
    <x v="2"/>
    <x v="0"/>
    <n v="0"/>
    <n v="0"/>
    <n v="2"/>
    <n v="2"/>
    <x v="0"/>
    <x v="0"/>
    <n v="1390"/>
    <n v="1390"/>
    <n v="0"/>
    <n v="0"/>
    <n v="0"/>
    <n v="400"/>
    <n v="0"/>
    <n v="0"/>
    <n v="144"/>
    <n v="9"/>
    <n v="0"/>
    <n v="0"/>
    <s v="CP"/>
    <n v="1"/>
    <s v="FD"/>
    <s v="G"/>
    <n v="1"/>
    <n v="3"/>
    <n v="0"/>
    <n v="0"/>
    <n v="100"/>
    <d v="2022-02-11T00:00:00"/>
    <n v="22400"/>
    <n v="248205"/>
    <n v="270600"/>
    <n v="328563"/>
    <n v="324"/>
    <n v="48369.487874125851"/>
    <n v="155833.95000000001"/>
    <n v="9808"/>
    <n v="25780"/>
    <n v="-478.33319999999998"/>
    <n v="86709.385670000003"/>
    <n v="0"/>
    <n v="35008.174800000001"/>
    <n v="18093.976200000001"/>
    <n v="0"/>
    <n v="-38863.346400000002"/>
    <n v="340261.29494412587"/>
    <n v="1.0356044196824532"/>
    <n v="0.93645298159011592"/>
    <n v="0.94231068710026933"/>
    <n v="0.94035194935713262"/>
    <n v="0.93897388656927183"/>
    <n v="319683.10033920937"/>
    <n v="0.97297352513584723"/>
    <n v="-8879.8996607906302"/>
    <n v="78852617.985709548"/>
  </r>
  <r>
    <n v="23092323534"/>
    <n v="0.17"/>
    <n v="7226"/>
    <n v="0"/>
    <s v="GV"/>
    <s v="GV"/>
    <n v="4"/>
    <s v="RES"/>
    <n v="248800"/>
    <n v="43500"/>
    <n v="0.17"/>
    <n v="-1.771956841932"/>
    <n v="0"/>
    <n v="0"/>
    <n v="0"/>
    <n v="13398.7528"/>
    <n v="63902.980100000001"/>
    <n v="40160.968402685998"/>
    <s v="CO"/>
    <n v="2"/>
    <x v="1"/>
    <x v="1"/>
    <n v="0"/>
    <n v="0"/>
    <n v="51"/>
    <n v="78"/>
    <x v="9"/>
    <x v="2"/>
    <n v="2434"/>
    <n v="1400"/>
    <n v="634"/>
    <n v="400"/>
    <n v="0"/>
    <n v="0"/>
    <n v="0"/>
    <n v="0"/>
    <n v="0"/>
    <n v="9"/>
    <n v="0"/>
    <n v="0"/>
    <s v="CP"/>
    <n v="1"/>
    <s v="HP"/>
    <s v="E"/>
    <n v="1"/>
    <n v="4"/>
    <n v="0"/>
    <n v="4500"/>
    <n v="100"/>
    <d v="2022-02-11T00:00:00"/>
    <n v="24900"/>
    <n v="244862"/>
    <n v="269800"/>
    <n v="355000"/>
    <n v="324"/>
    <n v="46638.82417142456"/>
    <n v="155833.95000000001"/>
    <n v="2251"/>
    <n v="25818"/>
    <n v="-12197.496599999999"/>
    <n v="151834.99620200001"/>
    <n v="-10839.696"/>
    <n v="0"/>
    <n v="18093.976200000001"/>
    <n v="3810.6229499999999"/>
    <n v="-38863.346400000002"/>
    <n v="342380.83052342455"/>
    <n v="0.96445304372795648"/>
    <n v="0.94889070359879057"/>
    <n v="0.95027059935652425"/>
    <n v="0.93121896872088394"/>
    <n v="0.94539091427335964"/>
    <n v="323187.91862795642"/>
    <n v="0.91038850317734199"/>
    <n v="-31812.081372043584"/>
    <n v="1012008521.2215223"/>
  </r>
  <r>
    <n v="23091444410"/>
    <n v="0.21"/>
    <n v="0"/>
    <n v="0"/>
    <s v="GV"/>
    <s v="GV"/>
    <n v="4"/>
    <s v="RES"/>
    <n v="297500"/>
    <n v="39300"/>
    <n v="0.21"/>
    <n v="-1.5606477482650001"/>
    <n v="0"/>
    <n v="0"/>
    <n v="0"/>
    <n v="13398.7528"/>
    <n v="63902.980100000001"/>
    <n v="42992.246713125001"/>
    <s v="CP"/>
    <n v="1"/>
    <x v="0"/>
    <x v="0"/>
    <n v="0"/>
    <n v="0"/>
    <n v="4"/>
    <n v="4"/>
    <x v="0"/>
    <x v="1"/>
    <n v="1855"/>
    <n v="1855"/>
    <n v="0"/>
    <n v="0"/>
    <n v="0"/>
    <n v="399"/>
    <n v="0"/>
    <n v="253"/>
    <n v="0"/>
    <n v="10"/>
    <n v="0"/>
    <n v="0"/>
    <s v="CP"/>
    <n v="1"/>
    <s v="HP"/>
    <s v="E"/>
    <n v="1"/>
    <n v="4"/>
    <n v="0"/>
    <n v="0"/>
    <n v="100"/>
    <d v="2022-02-15T00:00:00"/>
    <n v="22500"/>
    <n v="358071"/>
    <n v="380600"/>
    <n v="399500"/>
    <n v="320"/>
    <n v="49926.780028885936"/>
    <n v="155833.95000000001"/>
    <n v="20768"/>
    <n v="25780"/>
    <n v="-956.66639999999995"/>
    <n v="115716.482315"/>
    <n v="0"/>
    <n v="34920.654363000001"/>
    <n v="20104.418000000001"/>
    <n v="0"/>
    <n v="-38383.551999999996"/>
    <n v="383710.06630688591"/>
    <n v="0.96047576046779959"/>
    <n v="0.93979103106061679"/>
    <n v="0.94231068710026933"/>
    <n v="0.94035194935713262"/>
    <n v="0.94249369191070453"/>
    <n v="361162.05023208261"/>
    <n v="0.90403516954213414"/>
    <n v="-38337.949767917395"/>
    <n v="1469798392.4073575"/>
  </r>
  <r>
    <n v="23092621428"/>
    <n v="0"/>
    <n v="8050"/>
    <n v="0"/>
    <s v="GV"/>
    <s v="GV"/>
    <n v="4"/>
    <s v="RES"/>
    <n v="286400"/>
    <n v="39000"/>
    <n v="0.18"/>
    <n v="-1.7147984280919999"/>
    <n v="0"/>
    <n v="0"/>
    <n v="0"/>
    <n v="13398.7528"/>
    <n v="63902.980100000001"/>
    <n v="40926.819860167998"/>
    <s v="CP"/>
    <n v="2"/>
    <x v="2"/>
    <x v="0"/>
    <n v="0"/>
    <n v="0"/>
    <n v="2"/>
    <n v="2"/>
    <x v="0"/>
    <x v="2"/>
    <n v="2128"/>
    <n v="876"/>
    <n v="1252"/>
    <n v="0"/>
    <n v="0"/>
    <n v="400"/>
    <n v="0"/>
    <n v="0"/>
    <n v="0"/>
    <n v="12"/>
    <n v="0"/>
    <n v="0"/>
    <s v="CP"/>
    <n v="1"/>
    <s v="FD"/>
    <s v="G"/>
    <n v="1"/>
    <n v="4"/>
    <n v="0"/>
    <n v="0"/>
    <n v="100"/>
    <d v="2022-02-17T00:00:00"/>
    <n v="22300"/>
    <n v="338749"/>
    <n v="361000"/>
    <n v="366760"/>
    <n v="318"/>
    <n v="47528.20540119947"/>
    <n v="155833.95000000001"/>
    <n v="9808"/>
    <n v="25780"/>
    <n v="-478.33319999999998"/>
    <n v="132746.45518399999"/>
    <n v="0"/>
    <n v="35008.174800000001"/>
    <n v="24125.301599999999"/>
    <n v="0"/>
    <n v="-38143.654799999997"/>
    <n v="392208.09898519941"/>
    <n v="1.0693862443701587"/>
    <n v="0.93645298159011592"/>
    <n v="0.94231068710026933"/>
    <n v="0.94035194935713262"/>
    <n v="0.94539091427335964"/>
    <n v="369117.48766473419"/>
    <n v="1.0064278756263882"/>
    <n v="2357.487664734188"/>
    <n v="5557748.0893738549"/>
  </r>
  <r>
    <n v="23092224537"/>
    <n v="0"/>
    <n v="16298"/>
    <n v="0"/>
    <s v="GV"/>
    <s v="GV"/>
    <n v="4"/>
    <s v="RES"/>
    <n v="332300"/>
    <n v="40900"/>
    <n v="0.37"/>
    <n v="-0.99425227334400001"/>
    <n v="0"/>
    <n v="0"/>
    <n v="0"/>
    <n v="13398.7528"/>
    <n v="63902.980100000001"/>
    <n v="50581.239668627997"/>
    <s v="CO"/>
    <n v="2"/>
    <x v="5"/>
    <x v="0"/>
    <n v="30700"/>
    <n v="0"/>
    <n v="1"/>
    <n v="1"/>
    <x v="0"/>
    <x v="4"/>
    <n v="2643"/>
    <n v="1789"/>
    <n v="854"/>
    <n v="0"/>
    <n v="0"/>
    <n v="972"/>
    <n v="0"/>
    <n v="0"/>
    <n v="0"/>
    <n v="16"/>
    <n v="0"/>
    <n v="0"/>
    <s v="CP"/>
    <n v="1"/>
    <s v="HP"/>
    <s v="E"/>
    <n v="1"/>
    <n v="4"/>
    <n v="0"/>
    <n v="0"/>
    <n v="100"/>
    <d v="2022-02-25T00:00:00"/>
    <n v="23400"/>
    <n v="607659"/>
    <n v="631100"/>
    <n v="450000"/>
    <n v="310"/>
    <n v="58739.857057830588"/>
    <n v="155833.95000000001"/>
    <n v="56323"/>
    <n v="25780"/>
    <n v="-239.16659999999999"/>
    <n v="164872.59447899999"/>
    <n v="0"/>
    <n v="85069.864763999998"/>
    <n v="32167.068800000001"/>
    <n v="0"/>
    <n v="-37184.065999999999"/>
    <n v="541363.10250083066"/>
    <n v="1.2030291166685125"/>
    <n v="0.75131299272793206"/>
    <n v="0.94231068710026933"/>
    <n v="0.94035194935713262"/>
    <n v="0.92848762814113772"/>
    <n v="482146.54038286844"/>
    <n v="1.0714367564063743"/>
    <n v="32146.540382868436"/>
    <n v="1033400058.5873911"/>
  </r>
  <r>
    <n v="23092242486"/>
    <n v="0.2"/>
    <n v="8602"/>
    <n v="0"/>
    <s v="GV"/>
    <s v="GV"/>
    <n v="4"/>
    <s v="RES"/>
    <n v="270900"/>
    <n v="43500"/>
    <n v="0.2"/>
    <n v="-1.6094379124339999"/>
    <n v="0"/>
    <n v="0"/>
    <n v="0"/>
    <n v="13398.7528"/>
    <n v="63902.980100000001"/>
    <n v="42338.519364346997"/>
    <s v="CP"/>
    <n v="1"/>
    <x v="0"/>
    <x v="3"/>
    <n v="0"/>
    <n v="0"/>
    <n v="16"/>
    <n v="16"/>
    <x v="1"/>
    <x v="1"/>
    <n v="1642"/>
    <n v="1642"/>
    <n v="0"/>
    <n v="0"/>
    <n v="0"/>
    <n v="506"/>
    <n v="0"/>
    <n v="0"/>
    <n v="0"/>
    <n v="10"/>
    <n v="0"/>
    <n v="0"/>
    <s v="CP"/>
    <n v="1"/>
    <s v="HP"/>
    <s v="E"/>
    <n v="1"/>
    <n v="3"/>
    <n v="0"/>
    <n v="0"/>
    <n v="100"/>
    <d v="2022-02-25T00:00:00"/>
    <n v="24900"/>
    <n v="304243"/>
    <n v="329100"/>
    <n v="365000"/>
    <n v="310"/>
    <n v="49167.608223813884"/>
    <n v="155833.95000000001"/>
    <n v="20768"/>
    <n v="22342"/>
    <n v="-3826.6655999999998"/>
    <n v="102429.36062600001"/>
    <n v="0"/>
    <n v="44285.341121999998"/>
    <n v="20104.418000000001"/>
    <n v="0"/>
    <n v="-37184.065999999999"/>
    <n v="373919.94637181395"/>
    <n v="1.0244382092378463"/>
    <n v="0.93979103106061679"/>
    <n v="0.94546156904349943"/>
    <n v="0.95331699902534994"/>
    <n v="0.94249369191070453"/>
    <n v="353453.74575354374"/>
    <n v="0.96836642672203765"/>
    <n v="-11546.254246456258"/>
    <n v="133315987.12380916"/>
  </r>
  <r>
    <n v="23092621486"/>
    <n v="0"/>
    <n v="8350"/>
    <n v="0"/>
    <s v="GV"/>
    <s v="GV"/>
    <n v="4"/>
    <s v="RES"/>
    <n v="316100"/>
    <n v="39100"/>
    <n v="0.19"/>
    <n v="-1.6607312068219999"/>
    <n v="0"/>
    <n v="0"/>
    <n v="0"/>
    <n v="13398.7528"/>
    <n v="63902.980100000001"/>
    <n v="41651.253192550997"/>
    <s v="CP"/>
    <n v="2"/>
    <x v="0"/>
    <x v="0"/>
    <n v="0"/>
    <n v="0"/>
    <n v="1"/>
    <n v="1"/>
    <x v="0"/>
    <x v="2"/>
    <n v="2148"/>
    <n v="896"/>
    <n v="1252"/>
    <n v="0"/>
    <n v="0"/>
    <n v="660"/>
    <n v="0"/>
    <n v="0"/>
    <n v="0"/>
    <n v="12"/>
    <n v="0"/>
    <n v="0"/>
    <s v="CP"/>
    <n v="1"/>
    <s v="FD"/>
    <s v="G"/>
    <n v="1"/>
    <n v="3"/>
    <n v="0"/>
    <n v="0"/>
    <n v="100"/>
    <d v="2022-03-01T00:00:00"/>
    <n v="22400"/>
    <n v="390837"/>
    <n v="413200"/>
    <n v="429471"/>
    <n v="306"/>
    <n v="48369.487874125851"/>
    <n v="155833.95000000001"/>
    <n v="20768"/>
    <n v="25780"/>
    <n v="-239.16659999999999"/>
    <n v="133994.07224400001"/>
    <n v="0"/>
    <n v="57763.488420000001"/>
    <n v="24125.301599999999"/>
    <n v="0"/>
    <n v="-36704.2716"/>
    <n v="429690.86193812592"/>
    <n v="1.0005119366339659"/>
    <n v="0.93979103106061679"/>
    <n v="0.94231068710026933"/>
    <n v="0.94035194935713262"/>
    <n v="0.94539091427335964"/>
    <n v="404752.09649970877"/>
    <n v="0.94244336986597177"/>
    <n v="-24718.903500291228"/>
    <n v="611024190.25670993"/>
  </r>
  <r>
    <n v="23092324443"/>
    <n v="0.17"/>
    <n v="7237"/>
    <n v="0"/>
    <s v="GV"/>
    <s v="GV"/>
    <n v="4"/>
    <s v="RES"/>
    <n v="134800"/>
    <n v="39100"/>
    <n v="0.17"/>
    <n v="-1.771956841932"/>
    <n v="0"/>
    <n v="0"/>
    <n v="0"/>
    <n v="13398.7528"/>
    <n v="63902.980100000001"/>
    <n v="40160.968402685998"/>
    <s v="TD"/>
    <n v="1"/>
    <x v="1"/>
    <x v="4"/>
    <n v="0"/>
    <n v="0"/>
    <n v="50"/>
    <n v="73"/>
    <x v="6"/>
    <x v="0"/>
    <n v="1176"/>
    <n v="1176"/>
    <n v="0"/>
    <n v="0"/>
    <n v="0"/>
    <n v="0"/>
    <n v="0"/>
    <n v="0"/>
    <n v="0"/>
    <n v="5"/>
    <n v="1"/>
    <n v="0"/>
    <s v="MT"/>
    <n v="1"/>
    <s v="FD"/>
    <s v="E"/>
    <n v="1"/>
    <n v="3"/>
    <n v="0"/>
    <n v="8700"/>
    <n v="100"/>
    <d v="2022-03-02T00:00:00"/>
    <n v="22400"/>
    <n v="110614"/>
    <n v="133000"/>
    <n v="239900"/>
    <n v="305"/>
    <n v="46638.82417142456"/>
    <n v="155833.95000000001"/>
    <n v="2251"/>
    <n v="-45357"/>
    <n v="-11958.33"/>
    <n v="73359.883128000001"/>
    <n v="0"/>
    <n v="0"/>
    <n v="10052.209000000001"/>
    <n v="7367.2043699999995"/>
    <n v="-36584.322999999997"/>
    <n v="201603.41766942455"/>
    <n v="0.84036439211931868"/>
    <n v="0.94889070359879057"/>
    <n v="0.9059988268293695"/>
    <n v="0.94654220114707954"/>
    <n v="0.93897388656927183"/>
    <n v="188519.63902196253"/>
    <n v="0.78582592339292423"/>
    <n v="-51380.360978037468"/>
    <n v="2639941494.2334352"/>
  </r>
  <r>
    <n v="23092241458"/>
    <n v="0.17"/>
    <n v="7481"/>
    <n v="0"/>
    <s v="GV"/>
    <s v="GV"/>
    <n v="4"/>
    <s v="RES"/>
    <n v="267400"/>
    <n v="43000"/>
    <n v="0.17"/>
    <n v="-1.771956841932"/>
    <n v="0"/>
    <n v="0"/>
    <n v="0"/>
    <n v="13398.7528"/>
    <n v="63902.980100000001"/>
    <n v="40160.968402685998"/>
    <s v="SL"/>
    <n v="1"/>
    <x v="1"/>
    <x v="3"/>
    <n v="0"/>
    <n v="0"/>
    <n v="48"/>
    <n v="60"/>
    <x v="2"/>
    <x v="2"/>
    <n v="2030"/>
    <n v="1382"/>
    <n v="0"/>
    <n v="648"/>
    <n v="0"/>
    <n v="0"/>
    <n v="392"/>
    <n v="0"/>
    <n v="457"/>
    <n v="8"/>
    <n v="0"/>
    <n v="1"/>
    <s v="CP"/>
    <n v="1"/>
    <s v="HP"/>
    <s v="E"/>
    <n v="1"/>
    <n v="3"/>
    <n v="0"/>
    <n v="0"/>
    <n v="100"/>
    <d v="2022-03-07T00:00:00"/>
    <n v="24600"/>
    <n v="218813"/>
    <n v="243400"/>
    <n v="320000"/>
    <n v="300"/>
    <n v="46638.82417142456"/>
    <n v="155833.95000000001"/>
    <n v="2251"/>
    <n v="22342"/>
    <n v="-11479.996799999999"/>
    <n v="126633.13159"/>
    <n v="-17560.307520000002"/>
    <n v="0"/>
    <n v="16083.5344"/>
    <n v="0"/>
    <n v="-35984.58"/>
    <n v="304757.55584142456"/>
    <n v="0.95236736200445171"/>
    <n v="0.94889070359879057"/>
    <n v="0.94546156904349943"/>
    <n v="0.91535194202033021"/>
    <n v="0.94539091427335964"/>
    <n v="286098.40336164209"/>
    <n v="0.89405751050513149"/>
    <n v="-33901.596638357907"/>
    <n v="1149318254.6299202"/>
  </r>
  <r>
    <n v="23092232500"/>
    <n v="0"/>
    <n v="13202"/>
    <n v="0"/>
    <s v="GV"/>
    <s v="GV"/>
    <n v="4"/>
    <s v="RES"/>
    <n v="306700"/>
    <n v="40900"/>
    <n v="0.3"/>
    <n v="-1.2039728043260001"/>
    <n v="0"/>
    <n v="0"/>
    <n v="0"/>
    <n v="13398.7528"/>
    <n v="63902.980100000001"/>
    <n v="47771.246116914001"/>
    <s v="CO"/>
    <n v="1"/>
    <x v="0"/>
    <x v="0"/>
    <n v="0"/>
    <n v="0"/>
    <n v="2"/>
    <n v="2"/>
    <x v="0"/>
    <x v="1"/>
    <n v="1807"/>
    <n v="1807"/>
    <n v="0"/>
    <n v="0"/>
    <n v="0"/>
    <n v="668"/>
    <n v="0"/>
    <n v="0"/>
    <n v="0"/>
    <n v="9"/>
    <n v="0"/>
    <n v="0"/>
    <s v="CP"/>
    <n v="1"/>
    <s v="FD"/>
    <s v="G"/>
    <n v="1"/>
    <n v="3"/>
    <n v="0"/>
    <n v="0"/>
    <n v="100"/>
    <d v="2022-03-09T00:00:00"/>
    <n v="23400"/>
    <n v="358017"/>
    <n v="381400"/>
    <n v="447850"/>
    <n v="298"/>
    <n v="55476.619133207714"/>
    <n v="155833.95000000001"/>
    <n v="20768"/>
    <n v="25780"/>
    <n v="-478.33319999999998"/>
    <n v="112722.201371"/>
    <n v="0"/>
    <n v="58463.651916000003"/>
    <n v="18093.976200000001"/>
    <n v="0"/>
    <n v="-35744.682800000002"/>
    <n v="410915.38262020767"/>
    <n v="0.91752904459128648"/>
    <n v="0.93979103106061679"/>
    <n v="0.94231068710026933"/>
    <n v="0.94035194935713262"/>
    <n v="0.94249369191070453"/>
    <n v="386768.69618614862"/>
    <n v="0.86361213840828099"/>
    <n v="-61081.30381385138"/>
    <n v="3730925675.6000152"/>
  </r>
  <r>
    <n v="23092243423"/>
    <n v="0.46"/>
    <n v="20000"/>
    <n v="0"/>
    <s v="GV"/>
    <s v="GV"/>
    <n v="4"/>
    <s v="RES"/>
    <n v="157700"/>
    <n v="46100"/>
    <n v="0.46"/>
    <n v="-0.77652878949899995"/>
    <n v="0"/>
    <n v="0"/>
    <n v="0"/>
    <n v="13398.7528"/>
    <n v="63902.980100000001"/>
    <n v="53498.462807420001"/>
    <s v="TD"/>
    <n v="1"/>
    <x v="1"/>
    <x v="4"/>
    <n v="0"/>
    <n v="0"/>
    <n v="49"/>
    <n v="67"/>
    <x v="6"/>
    <x v="1"/>
    <n v="1938"/>
    <n v="1938"/>
    <n v="0"/>
    <n v="0"/>
    <n v="0"/>
    <n v="0"/>
    <n v="264"/>
    <n v="0"/>
    <n v="714"/>
    <n v="8"/>
    <n v="0"/>
    <n v="1"/>
    <s v="CP"/>
    <n v="1"/>
    <s v="FD"/>
    <s v="E"/>
    <n v="0"/>
    <n v="5"/>
    <n v="0"/>
    <n v="4400"/>
    <n v="100"/>
    <d v="2022-03-11T00:00:00"/>
    <n v="26400"/>
    <n v="156796"/>
    <n v="183200"/>
    <n v="244075"/>
    <n v="296"/>
    <n v="62127.620412407268"/>
    <n v="155833.95000000001"/>
    <n v="2251"/>
    <n v="-45357"/>
    <n v="-11719.163399999999"/>
    <n v="120894.093114"/>
    <n v="0"/>
    <n v="0"/>
    <n v="16083.5344"/>
    <n v="3725.9424399999998"/>
    <n v="-35504.785600000003"/>
    <n v="268335.19136640732"/>
    <n v="1.0993964616056839"/>
    <n v="0.94889070359879057"/>
    <n v="0.9059988268293695"/>
    <n v="0.94654220114707954"/>
    <n v="0.94249369191070453"/>
    <n v="251156.7362431646"/>
    <n v="1.0290145907740023"/>
    <n v="7081.7362431646034"/>
    <n v="50150988.217751108"/>
  </r>
  <r>
    <n v="23092621462"/>
    <n v="0"/>
    <n v="8250"/>
    <n v="0"/>
    <s v="GV"/>
    <s v="GV"/>
    <n v="4"/>
    <s v="RES"/>
    <n v="258600"/>
    <n v="39100"/>
    <n v="0.19"/>
    <n v="-1.6607312068219999"/>
    <n v="0"/>
    <n v="0"/>
    <n v="0"/>
    <n v="13398.7528"/>
    <n v="63902.980100000001"/>
    <n v="41651.253192550997"/>
    <s v="CO"/>
    <n v="1"/>
    <x v="2"/>
    <x v="0"/>
    <n v="0"/>
    <n v="0"/>
    <n v="2"/>
    <n v="2"/>
    <x v="0"/>
    <x v="0"/>
    <n v="1419"/>
    <n v="1419"/>
    <n v="0"/>
    <n v="0"/>
    <n v="0"/>
    <n v="440"/>
    <n v="0"/>
    <n v="0"/>
    <n v="0"/>
    <n v="9"/>
    <n v="0"/>
    <n v="0"/>
    <s v="CP"/>
    <n v="1"/>
    <s v="FD"/>
    <s v="G"/>
    <n v="1"/>
    <n v="3"/>
    <n v="0"/>
    <n v="0"/>
    <n v="100"/>
    <d v="2022-03-18T00:00:00"/>
    <n v="22400"/>
    <n v="256173"/>
    <n v="278600"/>
    <n v="302250"/>
    <n v="289"/>
    <n v="48369.487874125851"/>
    <n v="155833.95000000001"/>
    <n v="9808"/>
    <n v="25780"/>
    <n v="-478.33319999999998"/>
    <n v="88518.430407000007"/>
    <n v="0"/>
    <n v="38508.992279999999"/>
    <n v="18093.976200000001"/>
    <n v="0"/>
    <n v="-34665.145400000001"/>
    <n v="349769.35816112591"/>
    <n v="1.157218720136066"/>
    <n v="0.93645298159011592"/>
    <n v="0.94231068710026933"/>
    <n v="0.94035194935713262"/>
    <n v="0.93897388656927183"/>
    <n v="328616.13848546956"/>
    <n v="1.087232881672356"/>
    <n v="26366.138485469564"/>
    <n v="695173258.63495934"/>
  </r>
  <r>
    <n v="23092324455"/>
    <n v="0.2"/>
    <n v="8728"/>
    <n v="0"/>
    <s v="GV"/>
    <s v="GV"/>
    <n v="4"/>
    <s v="RES"/>
    <n v="119300"/>
    <n v="39800"/>
    <n v="0.2"/>
    <n v="-1.6094379124339999"/>
    <n v="0"/>
    <n v="0"/>
    <n v="0"/>
    <n v="13398.7528"/>
    <n v="63902.980100000001"/>
    <n v="42338.519364346997"/>
    <s v="RN"/>
    <n v="1"/>
    <x v="3"/>
    <x v="4"/>
    <n v="0"/>
    <n v="0"/>
    <n v="48"/>
    <n v="63"/>
    <x v="2"/>
    <x v="0"/>
    <n v="1232"/>
    <n v="1232"/>
    <n v="0"/>
    <n v="0"/>
    <n v="0"/>
    <n v="0"/>
    <n v="0"/>
    <n v="0"/>
    <n v="84"/>
    <n v="5"/>
    <n v="1"/>
    <n v="0"/>
    <s v="CP"/>
    <n v="1"/>
    <s v="FD"/>
    <s v="G"/>
    <n v="0"/>
    <n v="3"/>
    <n v="0"/>
    <n v="18900"/>
    <n v="100"/>
    <d v="2022-03-18T00:00:00"/>
    <n v="22800"/>
    <n v="104349"/>
    <n v="127100"/>
    <n v="148000"/>
    <n v="289"/>
    <n v="49167.608223813884"/>
    <n v="155833.95000000001"/>
    <n v="-28558"/>
    <n v="-45357"/>
    <n v="-11479.996799999999"/>
    <n v="76853.210896000004"/>
    <n v="0"/>
    <n v="0"/>
    <n v="10052.209000000001"/>
    <n v="16004.616389999999"/>
    <n v="-34665.145400000001"/>
    <n v="187851.4523098139"/>
    <n v="1.2692665696609047"/>
    <n v="0.89909171974485158"/>
    <n v="0.9059988268293695"/>
    <n v="0.91535194202033021"/>
    <n v="0.93897388656927183"/>
    <n v="171856.67017020975"/>
    <n v="1.1611937173662821"/>
    <n v="23856.670170209749"/>
    <n v="569140711.61017561"/>
  </r>
  <r>
    <n v="23092621439"/>
    <n v="0"/>
    <n v="9300"/>
    <n v="0"/>
    <s v="GV"/>
    <s v="GV"/>
    <n v="4"/>
    <s v="RES"/>
    <n v="293400"/>
    <n v="39500"/>
    <n v="0.21"/>
    <n v="-1.5606477482650001"/>
    <n v="0"/>
    <n v="0"/>
    <n v="0"/>
    <n v="13398.7528"/>
    <n v="63902.980100000001"/>
    <n v="42992.246713125001"/>
    <s v="RN"/>
    <n v="1"/>
    <x v="2"/>
    <x v="0"/>
    <n v="0"/>
    <n v="0"/>
    <n v="1"/>
    <n v="1"/>
    <x v="0"/>
    <x v="1"/>
    <n v="1990"/>
    <n v="1990"/>
    <n v="0"/>
    <n v="0"/>
    <n v="0"/>
    <n v="682"/>
    <n v="0"/>
    <n v="0"/>
    <n v="0"/>
    <n v="9"/>
    <n v="0"/>
    <n v="0"/>
    <s v="CP"/>
    <n v="1"/>
    <s v="FD"/>
    <s v="G"/>
    <n v="1"/>
    <n v="3"/>
    <n v="0"/>
    <n v="0"/>
    <n v="100"/>
    <d v="2022-03-28T00:00:00"/>
    <n v="22600"/>
    <n v="384266"/>
    <n v="406900"/>
    <n v="448804"/>
    <n v="279"/>
    <n v="49926.780028885936"/>
    <n v="155833.95000000001"/>
    <n v="9808"/>
    <n v="25780"/>
    <n v="-239.16659999999999"/>
    <n v="124137.89747000001"/>
    <n v="0"/>
    <n v="59688.938033999999"/>
    <n v="18093.976200000001"/>
    <n v="0"/>
    <n v="-33465.659399999997"/>
    <n v="409564.71573288593"/>
    <n v="0.91256921893050402"/>
    <n v="0.93645298159011592"/>
    <n v="0.94231068710026933"/>
    <n v="0.94035194935713262"/>
    <n v="0.94249369191070453"/>
    <n v="385155.61193280417"/>
    <n v="0.85818221747757184"/>
    <n v="-63648.388067195832"/>
    <n v="4051117303.5523567"/>
  </r>
  <r>
    <n v="23092621459"/>
    <n v="0"/>
    <n v="8250"/>
    <n v="0"/>
    <s v="GV"/>
    <s v="GV"/>
    <n v="4"/>
    <s v="RES"/>
    <n v="2980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1"/>
    <n v="1958"/>
    <n v="1958"/>
    <n v="0"/>
    <n v="0"/>
    <n v="0"/>
    <n v="752"/>
    <n v="0"/>
    <n v="0"/>
    <n v="0"/>
    <n v="10"/>
    <n v="0"/>
    <n v="0"/>
    <s v="CP"/>
    <n v="1"/>
    <s v="FD"/>
    <s v="G"/>
    <n v="1"/>
    <n v="3"/>
    <n v="0"/>
    <n v="0"/>
    <n v="100"/>
    <d v="2022-03-31T00:00:00"/>
    <n v="22400"/>
    <n v="343158"/>
    <n v="365600"/>
    <n v="394070"/>
    <n v="276"/>
    <n v="48369.487874125851"/>
    <n v="155833.95000000001"/>
    <n v="9808"/>
    <n v="25780"/>
    <n v="-239.16659999999999"/>
    <n v="122141.71017400001"/>
    <n v="0"/>
    <n v="65815.368623999995"/>
    <n v="20104.418000000001"/>
    <n v="0"/>
    <n v="-33105.813600000001"/>
    <n v="414507.95447212592"/>
    <n v="1.0518637665189583"/>
    <n v="0.93645298159011592"/>
    <n v="0.94231068710026933"/>
    <n v="0.94035194935713262"/>
    <n v="0.94249369191070453"/>
    <n v="389804.24514852196"/>
    <n v="0.98917513423635894"/>
    <n v="-4265.7548514780356"/>
    <n v="18196664.452908397"/>
  </r>
  <r>
    <n v="23092621464"/>
    <n v="0"/>
    <n v="8250"/>
    <n v="0"/>
    <s v="GV"/>
    <s v="GV"/>
    <n v="4"/>
    <s v="RES"/>
    <n v="300200"/>
    <n v="39100"/>
    <n v="0.19"/>
    <n v="-1.6607312068219999"/>
    <n v="0"/>
    <n v="0"/>
    <n v="0"/>
    <n v="13398.7528"/>
    <n v="63902.980100000001"/>
    <n v="41651.253192550997"/>
    <s v="CO"/>
    <n v="2"/>
    <x v="0"/>
    <x v="0"/>
    <n v="0"/>
    <n v="0"/>
    <n v="2"/>
    <n v="2"/>
    <x v="0"/>
    <x v="2"/>
    <n v="2148"/>
    <n v="896"/>
    <n v="1252"/>
    <n v="0"/>
    <n v="0"/>
    <n v="440"/>
    <n v="0"/>
    <n v="0"/>
    <n v="0"/>
    <n v="11"/>
    <n v="0"/>
    <n v="0"/>
    <s v="CP"/>
    <n v="1"/>
    <s v="FD"/>
    <s v="G"/>
    <n v="1"/>
    <n v="3"/>
    <n v="0"/>
    <n v="0"/>
    <n v="100"/>
    <d v="2022-03-31T00:00:00"/>
    <n v="22400"/>
    <n v="372339"/>
    <n v="394700"/>
    <n v="420000"/>
    <n v="276"/>
    <n v="48369.487874125851"/>
    <n v="155833.95000000001"/>
    <n v="20768"/>
    <n v="25780"/>
    <n v="-478.33319999999998"/>
    <n v="133994.07224400001"/>
    <n v="0"/>
    <n v="38508.992279999999"/>
    <n v="22114.859800000002"/>
    <n v="0"/>
    <n v="-33105.813600000001"/>
    <n v="411785.21539812587"/>
    <n v="0.9804409890431568"/>
    <n v="0.93979103106061679"/>
    <n v="0.94231068710026933"/>
    <n v="0.94035194935713262"/>
    <n v="0.94539091427335964"/>
    <n v="387885.67317490611"/>
    <n v="0.92353731708310982"/>
    <n v="-32114.326825093885"/>
    <n v="1031329987.4289447"/>
  </r>
  <r>
    <n v="23092621479"/>
    <n v="0"/>
    <n v="8250"/>
    <n v="0"/>
    <s v="GV"/>
    <s v="GV"/>
    <n v="4"/>
    <s v="RES"/>
    <n v="2443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384"/>
    <n v="1384"/>
    <n v="0"/>
    <n v="0"/>
    <n v="0"/>
    <n v="400"/>
    <n v="0"/>
    <n v="0"/>
    <n v="144"/>
    <n v="8"/>
    <n v="0"/>
    <n v="0"/>
    <s v="CP"/>
    <n v="1"/>
    <s v="HP"/>
    <s v="E"/>
    <n v="1"/>
    <n v="3"/>
    <n v="0"/>
    <n v="0"/>
    <n v="100"/>
    <d v="2022-04-01T00:00:00"/>
    <n v="22400"/>
    <n v="247007"/>
    <n v="269400"/>
    <n v="307098"/>
    <n v="275"/>
    <n v="48369.487874125851"/>
    <n v="155833.95000000001"/>
    <n v="9808"/>
    <n v="25780"/>
    <n v="-239.16659999999999"/>
    <n v="86335.100552000004"/>
    <n v="0"/>
    <n v="35008.174800000001"/>
    <n v="16083.5344"/>
    <n v="0"/>
    <n v="-32985.864999999998"/>
    <n v="343993.21602612588"/>
    <n v="1.1201415054025943"/>
    <n v="0.93645298159011592"/>
    <n v="0.94231068710026933"/>
    <n v="0.94035194935713262"/>
    <n v="0.93897388656927183"/>
    <n v="323189.32370178995"/>
    <n v="1.0523980087847851"/>
    <n v="16091.323701789952"/>
    <n v="258930698.47578707"/>
  </r>
  <r>
    <n v="23091432431"/>
    <n v="0.16"/>
    <n v="6949"/>
    <n v="0"/>
    <s v="GV"/>
    <s v="GV"/>
    <n v="4"/>
    <s v="RES"/>
    <n v="222000"/>
    <n v="38600"/>
    <n v="0.16"/>
    <n v="-1.832581463748"/>
    <n v="0"/>
    <n v="0"/>
    <n v="0"/>
    <n v="13398.7528"/>
    <n v="63902.980100000001"/>
    <n v="39348.674081374003"/>
    <s v="RN"/>
    <n v="1"/>
    <x v="1"/>
    <x v="3"/>
    <n v="0"/>
    <n v="0"/>
    <n v="23"/>
    <n v="23"/>
    <x v="1"/>
    <x v="0"/>
    <n v="1224"/>
    <n v="1224"/>
    <n v="0"/>
    <n v="0"/>
    <n v="0"/>
    <n v="440"/>
    <n v="0"/>
    <n v="0"/>
    <n v="0"/>
    <n v="8"/>
    <n v="0"/>
    <n v="0"/>
    <s v="CP"/>
    <n v="1"/>
    <s v="FD"/>
    <s v="E"/>
    <n v="1"/>
    <n v="3"/>
    <n v="0"/>
    <n v="0"/>
    <n v="100"/>
    <d v="2022-04-01T00:00:00"/>
    <n v="22100"/>
    <n v="184246"/>
    <n v="206300"/>
    <n v="297000"/>
    <n v="275"/>
    <n v="45695.50896927961"/>
    <n v="155833.95000000001"/>
    <n v="2251"/>
    <n v="22342"/>
    <n v="-5500.8317999999999"/>
    <n v="76354.164072"/>
    <n v="0"/>
    <n v="38508.992279999999"/>
    <n v="16083.5344"/>
    <n v="0"/>
    <n v="-32985.864999999998"/>
    <n v="318582.45292127965"/>
    <n v="1.0726681916541403"/>
    <n v="0.94889070359879057"/>
    <n v="0.94546156904349943"/>
    <n v="0.95331699902534994"/>
    <n v="0.93897388656927183"/>
    <n v="301589.51642217417"/>
    <n v="1.0154529172463778"/>
    <n v="4589.5164221741725"/>
    <n v="21063660.989406418"/>
  </r>
  <r>
    <n v="23092332408"/>
    <n v="0.34"/>
    <n v="14748"/>
    <n v="0"/>
    <s v="GV"/>
    <s v="GV"/>
    <n v="4"/>
    <s v="RES"/>
    <n v="366800"/>
    <n v="41200"/>
    <n v="0.34"/>
    <n v="-1.078809661372"/>
    <n v="0"/>
    <n v="0"/>
    <n v="0"/>
    <n v="13398.7528"/>
    <n v="63902.980100000001"/>
    <n v="49448.276129026002"/>
    <s v="RN"/>
    <n v="1"/>
    <x v="2"/>
    <x v="3"/>
    <n v="0"/>
    <n v="0"/>
    <n v="49"/>
    <n v="65"/>
    <x v="6"/>
    <x v="6"/>
    <n v="3677"/>
    <n v="2236"/>
    <n v="0"/>
    <n v="1441"/>
    <n v="525"/>
    <n v="598"/>
    <n v="0"/>
    <n v="0"/>
    <n v="0"/>
    <n v="13"/>
    <n v="0"/>
    <n v="1"/>
    <s v="CP"/>
    <n v="1"/>
    <s v="HP"/>
    <s v="E"/>
    <n v="1"/>
    <n v="5"/>
    <n v="0"/>
    <n v="29700"/>
    <n v="100"/>
    <d v="2022-04-01T00:00:00"/>
    <n v="23600"/>
    <n v="443653"/>
    <n v="467300"/>
    <n v="443250"/>
    <n v="275"/>
    <n v="57424.149558292345"/>
    <n v="155833.95000000001"/>
    <n v="9808"/>
    <n v="22342"/>
    <n v="-11719.163399999999"/>
    <n v="229374.396481"/>
    <n v="-39050.004840000001"/>
    <n v="52337.221325999999"/>
    <n v="26135.743399999999"/>
    <n v="25150.11147"/>
    <n v="-32985.864999999998"/>
    <n v="494650.53899529227"/>
    <n v="1.1159628629335414"/>
    <n v="0.93645298159011592"/>
    <n v="0.94546156904349943"/>
    <n v="0.94654220114707954"/>
    <n v="0.87916497103534652"/>
    <n v="458494.27089540224"/>
    <n v="1.0343920381170948"/>
    <n v="15244.270895402238"/>
    <n v="232387795.13240775"/>
  </r>
  <r>
    <n v="23092621491"/>
    <n v="0"/>
    <n v="8250"/>
    <n v="0"/>
    <s v="GV"/>
    <s v="GV"/>
    <n v="4"/>
    <s v="RES"/>
    <n v="2440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384"/>
    <n v="1384"/>
    <n v="0"/>
    <n v="0"/>
    <n v="0"/>
    <n v="400"/>
    <n v="0"/>
    <n v="0"/>
    <n v="144"/>
    <n v="10"/>
    <n v="0"/>
    <n v="0"/>
    <s v="CP"/>
    <n v="1"/>
    <s v="FD"/>
    <s v="G"/>
    <n v="1"/>
    <n v="3"/>
    <n v="0"/>
    <n v="0"/>
    <n v="100"/>
    <d v="2022-04-06T00:00:00"/>
    <n v="22400"/>
    <n v="250338"/>
    <n v="272700"/>
    <n v="314940"/>
    <n v="270"/>
    <n v="48369.487874125851"/>
    <n v="155833.95000000001"/>
    <n v="9808"/>
    <n v="25780"/>
    <n v="-239.16659999999999"/>
    <n v="86335.100552000004"/>
    <n v="0"/>
    <n v="35008.174800000001"/>
    <n v="20104.418000000001"/>
    <n v="0"/>
    <n v="-32386.121999999999"/>
    <n v="348613.8426261259"/>
    <n v="1.1069214536931666"/>
    <n v="0.93645298159011592"/>
    <n v="0.94231068710026933"/>
    <n v="0.94035194935713262"/>
    <n v="0.93897388656927183"/>
    <n v="327530.50578434329"/>
    <n v="1.0399774743898624"/>
    <n v="12590.505784343288"/>
    <n v="158520835.9055818"/>
  </r>
  <r>
    <n v="23092232506"/>
    <n v="0"/>
    <n v="8902"/>
    <n v="0"/>
    <s v="GV"/>
    <s v="GV"/>
    <n v="4"/>
    <s v="RES"/>
    <n v="274700"/>
    <n v="39300"/>
    <n v="0.2"/>
    <n v="-1.6094379124339999"/>
    <n v="0"/>
    <n v="0"/>
    <n v="0"/>
    <n v="13398.7528"/>
    <n v="63902.980100000001"/>
    <n v="42338.519364346997"/>
    <s v="CO"/>
    <n v="1"/>
    <x v="2"/>
    <x v="0"/>
    <n v="0"/>
    <n v="0"/>
    <n v="2"/>
    <n v="2"/>
    <x v="0"/>
    <x v="1"/>
    <n v="1705"/>
    <n v="1705"/>
    <n v="0"/>
    <n v="0"/>
    <n v="0"/>
    <n v="456"/>
    <n v="0"/>
    <n v="0"/>
    <n v="0"/>
    <n v="9"/>
    <n v="0"/>
    <n v="0"/>
    <s v="CP"/>
    <n v="1"/>
    <s v="FD"/>
    <s v="G"/>
    <n v="1"/>
    <n v="3"/>
    <n v="0"/>
    <n v="0"/>
    <n v="100"/>
    <d v="2022-04-07T00:00:00"/>
    <n v="22500"/>
    <n v="296476"/>
    <n v="319000"/>
    <n v="409850"/>
    <n v="269"/>
    <n v="49167.608223813884"/>
    <n v="155833.95000000001"/>
    <n v="9808"/>
    <n v="25780"/>
    <n v="-478.33319999999998"/>
    <n v="106359.35436500001"/>
    <n v="0"/>
    <n v="39909.319272000001"/>
    <n v="18093.976200000001"/>
    <n v="0"/>
    <n v="-32266.1734"/>
    <n v="372207.70146081387"/>
    <n v="0.90815591426330089"/>
    <n v="0.93645298159011592"/>
    <n v="0.94231068710026933"/>
    <n v="0.94035194935713262"/>
    <n v="0.94249369191070453"/>
    <n v="350024.98876328702"/>
    <n v="0.85403193549661349"/>
    <n v="-59825.011236712977"/>
    <n v="3579031969.4728341"/>
  </r>
  <r>
    <n v="23092324459"/>
    <n v="0.12"/>
    <n v="5302"/>
    <n v="0"/>
    <s v="GV"/>
    <s v="GV"/>
    <n v="4"/>
    <s v="RES"/>
    <n v="103300"/>
    <n v="38400"/>
    <n v="0.12"/>
    <n v="-2.1202635362"/>
    <n v="0"/>
    <n v="0"/>
    <n v="0"/>
    <n v="13398.7528"/>
    <n v="63902.980100000001"/>
    <n v="35494.093107601002"/>
    <s v="TD"/>
    <n v="1"/>
    <x v="7"/>
    <x v="2"/>
    <n v="0"/>
    <n v="0"/>
    <n v="53"/>
    <n v="93"/>
    <x v="8"/>
    <x v="3"/>
    <n v="666"/>
    <n v="666"/>
    <n v="0"/>
    <n v="0"/>
    <n v="0"/>
    <n v="0"/>
    <n v="0"/>
    <n v="0"/>
    <n v="0"/>
    <n v="5"/>
    <n v="0"/>
    <n v="0"/>
    <s v="CP"/>
    <n v="1"/>
    <s v="BH"/>
    <s v="E"/>
    <n v="0"/>
    <n v="1"/>
    <n v="0"/>
    <n v="0"/>
    <n v="100"/>
    <d v="2022-04-08T00:00:00"/>
    <n v="22000"/>
    <n v="55410"/>
    <n v="77400"/>
    <n v="164500"/>
    <n v="268"/>
    <n v="41219.194491805654"/>
    <n v="155833.95000000001"/>
    <n v="-28558"/>
    <n v="-4503"/>
    <n v="-12675.8298"/>
    <n v="41545.648097999998"/>
    <n v="0"/>
    <n v="0"/>
    <n v="10052.209000000001"/>
    <n v="0"/>
    <n v="-32146.2248"/>
    <n v="170767.94698980567"/>
    <n v="1.0381030212146241"/>
    <n v="0.8967325186969306"/>
    <n v="0.91974816281148053"/>
    <n v="0.89043830049531381"/>
    <n v="0.87336335356423944"/>
    <n v="152849.36602220195"/>
    <n v="0.92917547733861372"/>
    <n v="-11650.633977798047"/>
    <n v="135737272.08462232"/>
  </r>
  <r>
    <n v="23092232502"/>
    <n v="0"/>
    <n v="21342"/>
    <n v="0"/>
    <s v="GV"/>
    <s v="GV"/>
    <n v="4"/>
    <s v="RES"/>
    <n v="292000"/>
    <n v="41900"/>
    <n v="0.49"/>
    <n v="-0.71334988787700004"/>
    <n v="0"/>
    <n v="0"/>
    <n v="0"/>
    <n v="13398.7528"/>
    <n v="63902.980100000001"/>
    <n v="54344.981292422002"/>
    <s v="RN"/>
    <n v="1"/>
    <x v="0"/>
    <x v="0"/>
    <n v="0"/>
    <n v="0"/>
    <n v="1"/>
    <n v="1"/>
    <x v="0"/>
    <x v="1"/>
    <n v="1797"/>
    <n v="1797"/>
    <n v="0"/>
    <n v="0"/>
    <n v="0"/>
    <n v="668"/>
    <n v="0"/>
    <n v="0"/>
    <n v="0"/>
    <n v="10"/>
    <n v="0"/>
    <n v="0"/>
    <s v="CP"/>
    <n v="1"/>
    <s v="HP"/>
    <s v="G"/>
    <n v="1"/>
    <n v="3"/>
    <n v="0"/>
    <n v="0"/>
    <n v="100"/>
    <d v="2022-04-11T00:00:00"/>
    <n v="24000"/>
    <n v="365118"/>
    <n v="389100"/>
    <n v="440850"/>
    <n v="265"/>
    <n v="63110.680043440181"/>
    <n v="155833.95000000001"/>
    <n v="20768"/>
    <n v="25780"/>
    <n v="-239.16659999999999"/>
    <n v="112098.39284100001"/>
    <n v="0"/>
    <n v="58463.651916000003"/>
    <n v="20104.418000000001"/>
    <n v="0"/>
    <n v="-31786.379000000001"/>
    <n v="424133.5472004402"/>
    <n v="0.96208131382656281"/>
    <n v="0.93979103106061679"/>
    <n v="0.94231068710026933"/>
    <n v="0.94035194935713262"/>
    <n v="0.94249369191070453"/>
    <n v="399210.11964435881"/>
    <n v="0.90554637551175865"/>
    <n v="-41639.880355641188"/>
    <n v="1733879636.0321128"/>
  </r>
  <r>
    <n v="23091433477"/>
    <n v="0.24"/>
    <n v="0"/>
    <n v="0"/>
    <s v="GV"/>
    <s v="GV"/>
    <n v="4"/>
    <s v="RES"/>
    <n v="217900"/>
    <n v="39800"/>
    <n v="0.24"/>
    <n v="-1.4271163556399999"/>
    <n v="0"/>
    <n v="0"/>
    <n v="0"/>
    <n v="13398.7528"/>
    <n v="63902.980100000001"/>
    <n v="44781.400833940999"/>
    <s v="RN"/>
    <n v="1"/>
    <x v="1"/>
    <x v="3"/>
    <n v="0"/>
    <n v="0"/>
    <n v="20"/>
    <n v="20"/>
    <x v="1"/>
    <x v="0"/>
    <n v="1380"/>
    <n v="1380"/>
    <n v="0"/>
    <n v="0"/>
    <n v="0"/>
    <n v="308"/>
    <n v="0"/>
    <n v="0"/>
    <n v="140"/>
    <n v="8"/>
    <n v="0"/>
    <n v="0"/>
    <s v="CP"/>
    <n v="1"/>
    <s v="HP"/>
    <s v="E"/>
    <n v="1"/>
    <n v="3"/>
    <n v="0"/>
    <n v="0"/>
    <n v="100"/>
    <d v="2022-04-12T00:00:00"/>
    <n v="22800"/>
    <n v="196569"/>
    <n v="219400"/>
    <n v="335000"/>
    <n v="264"/>
    <n v="52004.519878673433"/>
    <n v="155833.95000000001"/>
    <n v="2251"/>
    <n v="22342"/>
    <n v="-4783.3319999999994"/>
    <n v="86085.577140000009"/>
    <n v="0"/>
    <n v="26956.294596"/>
    <n v="16083.5344"/>
    <n v="0"/>
    <n v="-31666.430400000001"/>
    <n v="325107.11361467344"/>
    <n v="0.97046899586469682"/>
    <n v="0.94889070359879057"/>
    <n v="0.94546156904349943"/>
    <n v="0.95331699902534994"/>
    <n v="0.93897388656927183"/>
    <n v="307766.15686578839"/>
    <n v="0.91870494586802509"/>
    <n v="-27233.843134211609"/>
    <n v="741682211.85884476"/>
  </r>
  <r>
    <n v="23092342400"/>
    <n v="0.17"/>
    <n v="7300"/>
    <n v="0"/>
    <s v="GV"/>
    <s v="GV"/>
    <n v="4"/>
    <s v="RES"/>
    <n v="170500"/>
    <n v="39300"/>
    <n v="0.17"/>
    <n v="-1.771956841932"/>
    <n v="0"/>
    <n v="0"/>
    <n v="0"/>
    <n v="13398.7528"/>
    <n v="63902.980100000001"/>
    <n v="40160.968402685998"/>
    <s v="TD"/>
    <n v="2"/>
    <x v="4"/>
    <x v="2"/>
    <n v="0"/>
    <n v="0"/>
    <n v="52"/>
    <n v="85"/>
    <x v="8"/>
    <x v="0"/>
    <n v="1350"/>
    <n v="900"/>
    <n v="450"/>
    <n v="0"/>
    <n v="0"/>
    <n v="0"/>
    <n v="0"/>
    <n v="0"/>
    <n v="112"/>
    <n v="7"/>
    <n v="0"/>
    <n v="0"/>
    <s v="CP"/>
    <n v="1"/>
    <s v="HP"/>
    <s v="E"/>
    <n v="1"/>
    <n v="5"/>
    <n v="0"/>
    <n v="17600"/>
    <n v="100"/>
    <d v="2022-04-14T00:00:00"/>
    <n v="22500"/>
    <n v="137844"/>
    <n v="160300"/>
    <n v="265000"/>
    <n v="262"/>
    <n v="46638.82417142456"/>
    <n v="155833.95000000001"/>
    <n v="10733"/>
    <n v="-4503"/>
    <n v="-12436.663199999999"/>
    <n v="84214.15155000001"/>
    <n v="0"/>
    <n v="0"/>
    <n v="14073.0926"/>
    <n v="14903.769759999999"/>
    <n v="-31426.533199999998"/>
    <n v="278030.59168142453"/>
    <n v="1.0491720440808472"/>
    <n v="0.93029096284873303"/>
    <n v="0.91974816281148053"/>
    <n v="0.89043830049531381"/>
    <n v="0.93897388656927183"/>
    <n v="255750.00638496754"/>
    <n v="0.96509436371685864"/>
    <n v="-9249.9936150324647"/>
    <n v="85562381.878141358"/>
  </r>
  <r>
    <n v="23092621490"/>
    <n v="0"/>
    <n v="8714"/>
    <n v="0"/>
    <s v="GV"/>
    <s v="GV"/>
    <n v="4"/>
    <s v="RES"/>
    <n v="302600"/>
    <n v="39300"/>
    <n v="0.2"/>
    <n v="-1.6094379124339999"/>
    <n v="0"/>
    <n v="0"/>
    <n v="0"/>
    <n v="13398.7528"/>
    <n v="63902.980100000001"/>
    <n v="42338.519364346997"/>
    <s v="CO"/>
    <n v="2"/>
    <x v="0"/>
    <x v="0"/>
    <n v="0"/>
    <n v="0"/>
    <n v="1"/>
    <n v="1"/>
    <x v="0"/>
    <x v="2"/>
    <n v="2160"/>
    <n v="896"/>
    <n v="1264"/>
    <n v="0"/>
    <n v="0"/>
    <n v="440"/>
    <n v="0"/>
    <n v="0"/>
    <n v="0"/>
    <n v="12"/>
    <n v="0"/>
    <n v="0"/>
    <s v="CP"/>
    <n v="1"/>
    <s v="FD"/>
    <s v="G"/>
    <n v="1"/>
    <n v="3"/>
    <n v="0"/>
    <n v="0"/>
    <n v="100"/>
    <d v="2022-04-15T00:00:00"/>
    <n v="22500"/>
    <n v="377313"/>
    <n v="399800"/>
    <n v="377947"/>
    <n v="261"/>
    <n v="49167.608223813884"/>
    <n v="155833.95000000001"/>
    <n v="20768"/>
    <n v="25780"/>
    <n v="-239.16659999999999"/>
    <n v="134742.64248000001"/>
    <n v="0"/>
    <n v="38508.992279999999"/>
    <n v="24125.301599999999"/>
    <n v="0"/>
    <n v="-31306.584599999998"/>
    <n v="417380.74338381394"/>
    <n v="1.1043367016640269"/>
    <n v="0.93979103106061679"/>
    <n v="0.94231068710026933"/>
    <n v="0.94035194935713262"/>
    <n v="0.94539091427335964"/>
    <n v="393156.44312569033"/>
    <n v="1.0402422644595415"/>
    <n v="15209.443125690334"/>
    <n v="231327160.19360894"/>
  </r>
  <r>
    <n v="23092241526"/>
    <n v="0.2"/>
    <n v="8878"/>
    <n v="0"/>
    <s v="GV"/>
    <s v="GV"/>
    <n v="4"/>
    <s v="RES"/>
    <n v="167900"/>
    <n v="43700"/>
    <n v="0.2"/>
    <n v="-1.6094379124339999"/>
    <n v="0"/>
    <n v="0"/>
    <n v="0"/>
    <n v="13398.7528"/>
    <n v="63902.980100000001"/>
    <n v="42338.519364346997"/>
    <s v="TD"/>
    <n v="1"/>
    <x v="1"/>
    <x v="3"/>
    <n v="0"/>
    <n v="0"/>
    <n v="49"/>
    <n v="68"/>
    <x v="6"/>
    <x v="0"/>
    <n v="1156"/>
    <n v="1156"/>
    <n v="0"/>
    <n v="0"/>
    <n v="0"/>
    <n v="0"/>
    <n v="0"/>
    <n v="0"/>
    <n v="0"/>
    <n v="5"/>
    <n v="0"/>
    <n v="0"/>
    <s v="CP"/>
    <n v="1"/>
    <s v="FD"/>
    <s v="G"/>
    <n v="0"/>
    <n v="2"/>
    <n v="0"/>
    <n v="22500"/>
    <n v="100"/>
    <d v="2022-04-15T00:00:00"/>
    <n v="25000"/>
    <n v="145637"/>
    <n v="170600"/>
    <n v="300000"/>
    <n v="261"/>
    <n v="49167.608223813884"/>
    <n v="155833.95000000001"/>
    <n v="2251"/>
    <n v="22342"/>
    <n v="-11719.163399999999"/>
    <n v="72112.266067999997"/>
    <n v="0"/>
    <n v="0"/>
    <n v="10052.209000000001"/>
    <n v="19053.114750000001"/>
    <n v="-31306.584599999998"/>
    <n v="287786.4000418139"/>
    <n v="0.95928800013937965"/>
    <n v="0.94889070359879057"/>
    <n v="0.94546156904349943"/>
    <n v="0.94654220114707954"/>
    <n v="0.93897388656927183"/>
    <n v="271948.67701489176"/>
    <n v="0.9064955900496392"/>
    <n v="-28051.322985108243"/>
    <n v="786876721.21486199"/>
  </r>
  <r>
    <n v="23092232496"/>
    <n v="0"/>
    <n v="8819"/>
    <n v="0"/>
    <s v="GV"/>
    <s v="GV"/>
    <n v="4"/>
    <s v="RES"/>
    <n v="275300"/>
    <n v="39300"/>
    <n v="0.2"/>
    <n v="-1.6094379124339999"/>
    <n v="0"/>
    <n v="0"/>
    <n v="0"/>
    <n v="13398.7528"/>
    <n v="63902.980100000001"/>
    <n v="42338.519364346997"/>
    <s v="CO"/>
    <n v="1"/>
    <x v="2"/>
    <x v="0"/>
    <n v="0"/>
    <n v="0"/>
    <n v="1"/>
    <n v="1"/>
    <x v="0"/>
    <x v="1"/>
    <n v="1683"/>
    <n v="1683"/>
    <n v="0"/>
    <n v="0"/>
    <n v="0"/>
    <n v="479"/>
    <n v="0"/>
    <n v="0"/>
    <n v="0"/>
    <n v="9"/>
    <n v="0"/>
    <n v="0"/>
    <s v="CP"/>
    <n v="1"/>
    <s v="FD"/>
    <s v="G"/>
    <n v="1"/>
    <n v="3"/>
    <n v="0"/>
    <n v="0"/>
    <n v="100"/>
    <d v="2022-04-20T00:00:00"/>
    <n v="22500"/>
    <n v="297431"/>
    <n v="319900"/>
    <n v="407850"/>
    <n v="256"/>
    <n v="49167.608223813884"/>
    <n v="155833.95000000001"/>
    <n v="9808"/>
    <n v="25780"/>
    <n v="-239.16659999999999"/>
    <n v="104986.975599"/>
    <n v="0"/>
    <n v="41922.289322999997"/>
    <n v="18093.976200000001"/>
    <n v="0"/>
    <n v="-30706.8416"/>
    <n v="374646.79114581388"/>
    <n v="0.9185896558681228"/>
    <n v="0.93645298159011592"/>
    <n v="0.94231068710026933"/>
    <n v="0.94035194935713262"/>
    <n v="0.94249369191070453"/>
    <n v="352318.71438001684"/>
    <n v="0.8638438503862127"/>
    <n v="-55531.285619983159"/>
    <n v="3083723682.6081481"/>
  </r>
  <r>
    <n v="23092241503"/>
    <n v="0.22"/>
    <n v="9498"/>
    <n v="0"/>
    <s v="GV"/>
    <s v="GV"/>
    <n v="4"/>
    <s v="RES"/>
    <n v="221700"/>
    <n v="39500"/>
    <n v="0.22"/>
    <n v="-1.51412773263"/>
    <n v="0"/>
    <n v="0"/>
    <n v="0"/>
    <n v="13398.7528"/>
    <n v="63902.980100000001"/>
    <n v="43615.556902869001"/>
    <s v="CP"/>
    <n v="1"/>
    <x v="2"/>
    <x v="3"/>
    <n v="0"/>
    <n v="0"/>
    <n v="49"/>
    <n v="68"/>
    <x v="6"/>
    <x v="0"/>
    <n v="1485"/>
    <n v="1485"/>
    <n v="0"/>
    <n v="0"/>
    <n v="0"/>
    <n v="0"/>
    <n v="0"/>
    <n v="0"/>
    <n v="169"/>
    <n v="9"/>
    <n v="0"/>
    <n v="0"/>
    <s v="CP"/>
    <n v="1"/>
    <s v="FD"/>
    <s v="E"/>
    <n v="1"/>
    <n v="2"/>
    <n v="0"/>
    <n v="12400"/>
    <n v="100"/>
    <d v="2022-04-21T00:00:00"/>
    <n v="22600"/>
    <n v="204947"/>
    <n v="227500"/>
    <n v="350000"/>
    <n v="255"/>
    <n v="50650.628469298128"/>
    <n v="155833.95000000001"/>
    <n v="9808"/>
    <n v="22342"/>
    <n v="-11719.163399999999"/>
    <n v="92635.566705000005"/>
    <n v="0"/>
    <n v="0"/>
    <n v="18093.976200000001"/>
    <n v="10500.383239999999"/>
    <n v="-30586.893"/>
    <n v="317558.44821429811"/>
    <n v="0.90730985204085179"/>
    <n v="0.93645298159011592"/>
    <n v="0.94546156904349943"/>
    <n v="0.94654220114707954"/>
    <n v="0.93897388656927183"/>
    <n v="299094.85681735451"/>
    <n v="0.85455673376386998"/>
    <n v="-50905.143182645494"/>
    <n v="2591333602.4456391"/>
  </r>
  <r>
    <n v="23091443406"/>
    <n v="0.25"/>
    <n v="10973"/>
    <n v="0"/>
    <s v="GV"/>
    <s v="GV"/>
    <n v="4"/>
    <s v="RES"/>
    <n v="243500"/>
    <n v="40200"/>
    <n v="0.25"/>
    <n v="-1.38629436112"/>
    <n v="0"/>
    <n v="0"/>
    <n v="0"/>
    <n v="13398.7528"/>
    <n v="63902.980100000001"/>
    <n v="45328.364647321003"/>
    <s v="RN"/>
    <n v="1"/>
    <x v="1"/>
    <x v="2"/>
    <n v="0"/>
    <n v="0"/>
    <n v="44"/>
    <n v="48"/>
    <x v="5"/>
    <x v="2"/>
    <n v="2256"/>
    <n v="2256"/>
    <n v="0"/>
    <n v="0"/>
    <n v="0"/>
    <n v="576"/>
    <n v="0"/>
    <n v="0"/>
    <n v="270"/>
    <n v="10"/>
    <n v="0"/>
    <n v="0"/>
    <s v="CP"/>
    <n v="1"/>
    <s v="FD"/>
    <s v="E"/>
    <n v="1"/>
    <n v="3"/>
    <n v="0"/>
    <n v="0"/>
    <n v="100"/>
    <d v="2022-04-23T00:00:00"/>
    <n v="23000"/>
    <n v="251097"/>
    <n v="274100"/>
    <n v="330000"/>
    <n v="253"/>
    <n v="52639.70747834933"/>
    <n v="155833.95000000001"/>
    <n v="2251"/>
    <n v="-4503"/>
    <n v="-10523.330399999999"/>
    <n v="140731.20436800001"/>
    <n v="0"/>
    <n v="50411.771712000002"/>
    <n v="20104.418000000001"/>
    <n v="0"/>
    <n v="-30346.995800000001"/>
    <n v="376598.72535834939"/>
    <n v="1.1412082586616648"/>
    <n v="0.94889070359879057"/>
    <n v="0.91974816281148053"/>
    <n v="0.95156852894116195"/>
    <n v="0.94539091427335964"/>
    <n v="354529.88090406306"/>
    <n v="1.0743329724365547"/>
    <n v="24529.880904063059"/>
    <n v="601715057.16751754"/>
  </r>
  <r>
    <n v="23092232505"/>
    <n v="0"/>
    <n v="14532"/>
    <n v="0"/>
    <s v="GV"/>
    <s v="GV"/>
    <n v="4"/>
    <s v="RES"/>
    <n v="291100"/>
    <n v="41200"/>
    <n v="0.33"/>
    <n v="-1.1086626245219999"/>
    <n v="0"/>
    <n v="0"/>
    <n v="0"/>
    <n v="13398.7528"/>
    <n v="63902.980100000001"/>
    <n v="49048.283655435996"/>
    <s v="CP"/>
    <n v="1"/>
    <x v="2"/>
    <x v="0"/>
    <n v="0"/>
    <n v="0"/>
    <n v="1"/>
    <n v="1"/>
    <x v="0"/>
    <x v="1"/>
    <n v="1827"/>
    <n v="1827"/>
    <n v="0"/>
    <n v="0"/>
    <n v="0"/>
    <n v="619"/>
    <n v="0"/>
    <n v="0"/>
    <n v="0"/>
    <n v="9"/>
    <n v="0"/>
    <n v="0"/>
    <s v="CP"/>
    <n v="1"/>
    <s v="FD"/>
    <s v="G"/>
    <n v="1"/>
    <n v="3"/>
    <n v="0"/>
    <n v="0"/>
    <n v="100"/>
    <d v="2022-05-02T00:00:00"/>
    <n v="23600"/>
    <n v="318284"/>
    <n v="341900"/>
    <n v="447850"/>
    <n v="244"/>
    <n v="56959.639378691951"/>
    <n v="155833.95000000001"/>
    <n v="9808"/>
    <n v="25780"/>
    <n v="-239.16659999999999"/>
    <n v="113969.81843100001"/>
    <n v="0"/>
    <n v="54175.150502999997"/>
    <n v="18093.976200000001"/>
    <n v="0"/>
    <n v="-29267.4584"/>
    <n v="405113.90951269196"/>
    <n v="0.90457499053855517"/>
    <n v="0.93645298159011592"/>
    <n v="0.94231068710026933"/>
    <n v="0.94035194935713262"/>
    <n v="0.94249369191070453"/>
    <n v="380970.06340412877"/>
    <n v="0.85066442649130014"/>
    <n v="-66879.93659587123"/>
    <n v="4472925919.0677557"/>
  </r>
  <r>
    <n v="23092621480"/>
    <n v="0"/>
    <n v="8250"/>
    <n v="0"/>
    <s v="GV"/>
    <s v="GV"/>
    <n v="4"/>
    <s v="RES"/>
    <n v="313300"/>
    <n v="39100"/>
    <n v="0.19"/>
    <n v="-1.6607312068219999"/>
    <n v="0"/>
    <n v="0"/>
    <n v="0"/>
    <n v="13398.7528"/>
    <n v="63902.980100000001"/>
    <n v="41651.253192550997"/>
    <s v="CO"/>
    <n v="2"/>
    <x v="2"/>
    <x v="0"/>
    <n v="0"/>
    <n v="0"/>
    <n v="1"/>
    <n v="1"/>
    <x v="0"/>
    <x v="4"/>
    <n v="2527"/>
    <n v="1164"/>
    <n v="1363"/>
    <n v="0"/>
    <n v="0"/>
    <n v="391"/>
    <n v="0"/>
    <n v="0"/>
    <n v="0"/>
    <n v="12"/>
    <n v="0"/>
    <n v="0"/>
    <s v="CP"/>
    <n v="1"/>
    <s v="FD"/>
    <s v="E"/>
    <n v="1"/>
    <n v="3"/>
    <n v="0"/>
    <n v="0"/>
    <n v="100"/>
    <d v="2022-05-02T00:00:00"/>
    <n v="22400"/>
    <n v="379315"/>
    <n v="401700"/>
    <n v="446275"/>
    <n v="244"/>
    <n v="48369.487874125851"/>
    <n v="155833.95000000001"/>
    <n v="9808"/>
    <n v="25780"/>
    <n v="-239.16659999999999"/>
    <n v="157636.41553100001"/>
    <n v="0"/>
    <n v="34220.490867"/>
    <n v="24125.301599999999"/>
    <n v="0"/>
    <n v="-29267.4584"/>
    <n v="426267.02087212593"/>
    <n v="0.95516670409977245"/>
    <n v="0.93645298159011592"/>
    <n v="0.94231068710026933"/>
    <n v="0.94035194935713262"/>
    <n v="0.92848762814113772"/>
    <n v="399369.91779088665"/>
    <n v="0.89489646023390657"/>
    <n v="-46905.082209113345"/>
    <n v="2200086737.0436811"/>
  </r>
  <r>
    <n v="23092621475"/>
    <n v="0"/>
    <n v="8250"/>
    <n v="0"/>
    <s v="GV"/>
    <s v="GV"/>
    <n v="4"/>
    <s v="RES"/>
    <n v="2443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384"/>
    <n v="1384"/>
    <n v="0"/>
    <n v="0"/>
    <n v="0"/>
    <n v="400"/>
    <n v="0"/>
    <n v="0"/>
    <n v="144"/>
    <n v="8"/>
    <n v="0"/>
    <n v="0"/>
    <s v="CP"/>
    <n v="1"/>
    <s v="HP"/>
    <s v="E"/>
    <n v="1"/>
    <n v="3"/>
    <n v="0"/>
    <n v="0"/>
    <n v="100"/>
    <d v="2022-05-02T00:00:00"/>
    <n v="22400"/>
    <n v="247007"/>
    <n v="269400"/>
    <n v="339900"/>
    <n v="244"/>
    <n v="48369.487874125851"/>
    <n v="155833.95000000001"/>
    <n v="9808"/>
    <n v="25780"/>
    <n v="-239.16659999999999"/>
    <n v="86335.100552000004"/>
    <n v="0"/>
    <n v="35008.174800000001"/>
    <n v="16083.5344"/>
    <n v="0"/>
    <n v="-29267.4584"/>
    <n v="347711.62262612587"/>
    <n v="1.0229821201121678"/>
    <n v="0.93645298159011592"/>
    <n v="0.94231068710026933"/>
    <n v="0.94035194935713262"/>
    <n v="0.93897388656927183"/>
    <n v="326682.84990612941"/>
    <n v="0.96111459225104268"/>
    <n v="-13217.150093870587"/>
    <n v="174693056.60390326"/>
  </r>
  <r>
    <n v="23092621445"/>
    <n v="0"/>
    <n v="9900"/>
    <n v="0"/>
    <s v="GV"/>
    <s v="GV"/>
    <n v="4"/>
    <s v="RES"/>
    <n v="302600"/>
    <n v="39500"/>
    <n v="0.23"/>
    <n v="-1.4696759700590001"/>
    <n v="0"/>
    <n v="0"/>
    <n v="0"/>
    <n v="13398.7528"/>
    <n v="63902.980100000001"/>
    <n v="44211.155081080004"/>
    <s v="CP"/>
    <n v="1"/>
    <x v="2"/>
    <x v="0"/>
    <n v="0"/>
    <n v="0"/>
    <n v="1"/>
    <n v="1"/>
    <x v="0"/>
    <x v="1"/>
    <n v="1944"/>
    <n v="1944"/>
    <n v="0"/>
    <n v="0"/>
    <n v="0"/>
    <n v="698"/>
    <n v="0"/>
    <n v="0"/>
    <n v="0"/>
    <n v="9"/>
    <n v="0"/>
    <n v="0"/>
    <s v="CP"/>
    <n v="1"/>
    <s v="FD"/>
    <s v="G"/>
    <n v="1"/>
    <n v="3"/>
    <n v="0"/>
    <n v="0"/>
    <n v="100"/>
    <d v="2022-05-09T00:00:00"/>
    <n v="22600"/>
    <n v="338858"/>
    <n v="361500"/>
    <n v="403673"/>
    <n v="237"/>
    <n v="51342.29502553949"/>
    <n v="155833.95000000001"/>
    <n v="9808"/>
    <n v="25780"/>
    <n v="-239.16659999999999"/>
    <n v="121268.378232"/>
    <n v="0"/>
    <n v="61089.265026000001"/>
    <n v="18093.976200000001"/>
    <n v="0"/>
    <n v="-28427.818200000002"/>
    <n v="414548.8796835395"/>
    <n v="1.0269423015250945"/>
    <n v="0.93645298159011592"/>
    <n v="0.94231068710026933"/>
    <n v="0.94035194935713262"/>
    <n v="0.94249369191070453"/>
    <n v="389842.73131258832"/>
    <n v="0.96573893055168003"/>
    <n v="-13830.268687411677"/>
    <n v="191276331.9659999"/>
  </r>
  <r>
    <n v="23092621493"/>
    <n v="0"/>
    <n v="8250"/>
    <n v="0"/>
    <s v="GV"/>
    <s v="GV"/>
    <n v="4"/>
    <s v="RES"/>
    <n v="2529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377"/>
    <n v="1377"/>
    <n v="0"/>
    <n v="0"/>
    <n v="0"/>
    <n v="440"/>
    <n v="0"/>
    <n v="0"/>
    <n v="0"/>
    <n v="9"/>
    <n v="0"/>
    <n v="0"/>
    <s v="CP"/>
    <n v="1"/>
    <s v="FD"/>
    <s v="E"/>
    <n v="1"/>
    <n v="3"/>
    <n v="0"/>
    <n v="0"/>
    <n v="100"/>
    <d v="2022-05-10T00:00:00"/>
    <n v="22400"/>
    <n v="249654"/>
    <n v="272100"/>
    <n v="325856"/>
    <n v="236"/>
    <n v="48369.487874125851"/>
    <n v="155833.95000000001"/>
    <n v="9808"/>
    <n v="25780"/>
    <n v="-239.16659999999999"/>
    <n v="85898.434581000009"/>
    <n v="0"/>
    <n v="38508.992279999999"/>
    <n v="18093.976200000001"/>
    <n v="0"/>
    <n v="-28307.869599999998"/>
    <n v="353745.80473512592"/>
    <n v="1.0855893546079431"/>
    <n v="0.93645298159011592"/>
    <n v="0.94231068710026933"/>
    <n v="0.94035194935713262"/>
    <n v="0.93897388656927183"/>
    <n v="332352.09901932429"/>
    <n v="1.0199354899689566"/>
    <n v="6496.0990193242906"/>
    <n v="42199302.468866013"/>
  </r>
  <r>
    <n v="23092621474"/>
    <n v="0"/>
    <n v="8926"/>
    <n v="0"/>
    <s v="GV"/>
    <s v="GV"/>
    <n v="4"/>
    <s v="RES"/>
    <n v="329600"/>
    <n v="39300"/>
    <n v="0.2"/>
    <n v="-1.6094379124339999"/>
    <n v="0"/>
    <n v="0"/>
    <n v="0"/>
    <n v="13398.7528"/>
    <n v="63902.980100000001"/>
    <n v="42338.519364346997"/>
    <s v="CO"/>
    <n v="2"/>
    <x v="2"/>
    <x v="0"/>
    <n v="0"/>
    <n v="0"/>
    <n v="1"/>
    <n v="1"/>
    <x v="0"/>
    <x v="4"/>
    <n v="2506"/>
    <n v="1180"/>
    <n v="1326"/>
    <n v="0"/>
    <n v="0"/>
    <n v="778"/>
    <n v="0"/>
    <n v="0"/>
    <n v="0"/>
    <n v="12"/>
    <n v="0"/>
    <n v="0"/>
    <s v="CP"/>
    <n v="1"/>
    <s v="FD"/>
    <s v="G"/>
    <n v="1"/>
    <n v="3"/>
    <n v="0"/>
    <n v="0"/>
    <n v="100"/>
    <d v="2022-05-12T00:00:00"/>
    <n v="22500"/>
    <n v="392516"/>
    <n v="415000"/>
    <n v="411652"/>
    <n v="234"/>
    <n v="49167.608223813884"/>
    <n v="155833.95000000001"/>
    <n v="9808"/>
    <n v="25780"/>
    <n v="-239.16659999999999"/>
    <n v="156326.41761800001"/>
    <n v="0"/>
    <n v="68090.899986000004"/>
    <n v="24125.301599999999"/>
    <n v="0"/>
    <n v="-28067.972399999999"/>
    <n v="460825.03842781391"/>
    <n v="1.1194529321558353"/>
    <n v="0.93645298159011592"/>
    <n v="0.94231068710026933"/>
    <n v="0.94035194935713262"/>
    <n v="0.92848762814113772"/>
    <n v="431747.35248427186"/>
    <n v="1.0488163606256544"/>
    <n v="20095.352484271862"/>
    <n v="403823191.46713126"/>
  </r>
  <r>
    <n v="23092621452"/>
    <n v="0"/>
    <n v="8030"/>
    <n v="0"/>
    <s v="GV"/>
    <s v="GV"/>
    <n v="4"/>
    <s v="RES"/>
    <n v="275300"/>
    <n v="39000"/>
    <n v="0.18"/>
    <n v="-1.7147984280919999"/>
    <n v="0"/>
    <n v="0"/>
    <n v="0"/>
    <n v="13398.7528"/>
    <n v="63902.980100000001"/>
    <n v="40926.819860167998"/>
    <s v="CO"/>
    <n v="1"/>
    <x v="2"/>
    <x v="0"/>
    <n v="0"/>
    <n v="0"/>
    <n v="1"/>
    <n v="1"/>
    <x v="0"/>
    <x v="0"/>
    <n v="1460"/>
    <n v="1460"/>
    <n v="0"/>
    <n v="0"/>
    <n v="0"/>
    <n v="660"/>
    <n v="0"/>
    <n v="0"/>
    <n v="0"/>
    <n v="9"/>
    <n v="0"/>
    <n v="0"/>
    <s v="CP"/>
    <n v="1"/>
    <s v="FD"/>
    <s v="G"/>
    <n v="1"/>
    <n v="3"/>
    <n v="0"/>
    <n v="0"/>
    <n v="100"/>
    <d v="2022-05-17T00:00:00"/>
    <n v="22300"/>
    <n v="273288"/>
    <n v="295600"/>
    <n v="354123"/>
    <n v="229"/>
    <n v="47528.20540119947"/>
    <n v="155833.95000000001"/>
    <n v="9808"/>
    <n v="25780"/>
    <n v="-239.16659999999999"/>
    <n v="91076.045379999996"/>
    <n v="0"/>
    <n v="57763.488420000001"/>
    <n v="18093.976200000001"/>
    <n v="0"/>
    <n v="-27468.2294"/>
    <n v="378176.26940119948"/>
    <n v="1.0679234881699282"/>
    <n v="0.93645298159011592"/>
    <n v="0.94231068710026933"/>
    <n v="0.94035194935713262"/>
    <n v="0.93897388656927183"/>
    <n v="355305.06723294489"/>
    <n v="1.0033380131562899"/>
    <n v="1182.0672329448862"/>
    <n v="1397282.9432019799"/>
  </r>
  <r>
    <n v="23092621435"/>
    <n v="0"/>
    <n v="9900"/>
    <n v="0"/>
    <s v="GV"/>
    <s v="GV"/>
    <n v="4"/>
    <s v="RES"/>
    <n v="339100"/>
    <n v="43800"/>
    <n v="0.23"/>
    <n v="-1.4696759700590001"/>
    <n v="0"/>
    <n v="0"/>
    <n v="0"/>
    <n v="13398.7528"/>
    <n v="63902.980100000001"/>
    <n v="44211.155081080004"/>
    <s v="CO"/>
    <n v="2"/>
    <x v="0"/>
    <x v="0"/>
    <n v="0"/>
    <n v="0"/>
    <n v="1"/>
    <n v="1"/>
    <x v="0"/>
    <x v="4"/>
    <n v="2527"/>
    <n v="1164"/>
    <n v="1363"/>
    <n v="0"/>
    <n v="0"/>
    <n v="713"/>
    <n v="0"/>
    <n v="0"/>
    <n v="0"/>
    <n v="12"/>
    <n v="0"/>
    <n v="0"/>
    <s v="CP"/>
    <n v="1"/>
    <s v="FD"/>
    <s v="G"/>
    <n v="1"/>
    <n v="3"/>
    <n v="0"/>
    <n v="0"/>
    <n v="100"/>
    <d v="2022-05-19T00:00:00"/>
    <n v="25100"/>
    <n v="452552"/>
    <n v="477700"/>
    <n v="484900"/>
    <n v="227"/>
    <n v="51342.29502553949"/>
    <n v="155833.95000000001"/>
    <n v="20768"/>
    <n v="25780"/>
    <n v="-239.16659999999999"/>
    <n v="157636.41553100001"/>
    <n v="0"/>
    <n v="62402.071581000004"/>
    <n v="24125.301599999999"/>
    <n v="0"/>
    <n v="-27228.332200000001"/>
    <n v="470420.53493753955"/>
    <n v="0.97013927601059924"/>
    <n v="0.93979103106061679"/>
    <n v="0.94231068710026933"/>
    <n v="0.94035194935713262"/>
    <n v="0.92848762814113772"/>
    <n v="441129.95270582207"/>
    <n v="0.90973386823225832"/>
    <n v="-43770.04729417793"/>
    <n v="1915817040.1345727"/>
  </r>
  <r>
    <n v="23091442428"/>
    <n v="0.2"/>
    <n v="8534"/>
    <n v="0"/>
    <s v="GV"/>
    <s v="GV"/>
    <n v="4"/>
    <s v="RES"/>
    <n v="219500"/>
    <n v="39300"/>
    <n v="0.2"/>
    <n v="-1.6094379124339999"/>
    <n v="0"/>
    <n v="0"/>
    <n v="0"/>
    <n v="13398.7528"/>
    <n v="63902.980100000001"/>
    <n v="42338.519364346997"/>
    <s v="RN"/>
    <n v="1"/>
    <x v="2"/>
    <x v="1"/>
    <n v="0"/>
    <n v="0"/>
    <n v="13"/>
    <n v="13"/>
    <x v="7"/>
    <x v="0"/>
    <n v="1205"/>
    <n v="1205"/>
    <n v="0"/>
    <n v="0"/>
    <n v="0"/>
    <n v="420"/>
    <n v="0"/>
    <n v="0"/>
    <n v="0"/>
    <n v="9"/>
    <n v="0"/>
    <n v="0"/>
    <s v="CP"/>
    <n v="1"/>
    <s v="HP"/>
    <s v="E"/>
    <n v="1"/>
    <n v="3"/>
    <n v="0"/>
    <n v="0"/>
    <n v="100"/>
    <d v="2022-05-20T00:00:00"/>
    <n v="22500"/>
    <n v="222713"/>
    <n v="245200"/>
    <n v="300500"/>
    <n v="226"/>
    <n v="49167.608223813884"/>
    <n v="155833.95000000001"/>
    <n v="9808"/>
    <n v="25818"/>
    <n v="-3109.1657999999998"/>
    <n v="75168.927865000005"/>
    <n v="0"/>
    <n v="36758.58354"/>
    <n v="18093.976200000001"/>
    <n v="0"/>
    <n v="-27108.383600000001"/>
    <n v="340431.4964288139"/>
    <n v="1.1328835155700963"/>
    <n v="0.93645298159011592"/>
    <n v="0.95027059935652425"/>
    <n v="0.93805509262653142"/>
    <n v="0.93897388656927183"/>
    <n v="320324.97905926791"/>
    <n v="1.0659733080175304"/>
    <n v="19824.979059267906"/>
    <n v="393029794.70041096"/>
  </r>
  <r>
    <n v="23092243421"/>
    <n v="0.32"/>
    <n v="14000"/>
    <n v="0"/>
    <s v="GV"/>
    <s v="GV"/>
    <n v="4"/>
    <s v="RES"/>
    <n v="207700"/>
    <n v="41200"/>
    <n v="0.32"/>
    <n v="-1.139434283188"/>
    <n v="0"/>
    <n v="0"/>
    <n v="0"/>
    <n v="13398.7528"/>
    <n v="63902.980100000001"/>
    <n v="48635.981807714001"/>
    <s v="RN"/>
    <n v="1"/>
    <x v="1"/>
    <x v="3"/>
    <n v="0"/>
    <n v="0"/>
    <n v="49"/>
    <n v="68"/>
    <x v="6"/>
    <x v="1"/>
    <n v="1636"/>
    <n v="1636"/>
    <n v="0"/>
    <n v="0"/>
    <n v="0"/>
    <n v="0"/>
    <n v="0"/>
    <n v="0"/>
    <n v="318"/>
    <n v="9"/>
    <n v="0"/>
    <n v="0"/>
    <s v="CP"/>
    <n v="1"/>
    <s v="HP"/>
    <s v="E"/>
    <n v="1"/>
    <n v="4"/>
    <n v="0"/>
    <n v="0"/>
    <n v="100"/>
    <d v="2022-05-25T00:00:00"/>
    <n v="23600"/>
    <n v="184047"/>
    <n v="207600"/>
    <n v="280000"/>
    <n v="221"/>
    <n v="56480.834356147388"/>
    <n v="155833.95000000001"/>
    <n v="2251"/>
    <n v="22342"/>
    <n v="-11719.163399999999"/>
    <n v="102055.07550800001"/>
    <n v="0"/>
    <n v="0"/>
    <n v="18093.976200000001"/>
    <n v="0"/>
    <n v="-26508.640599999999"/>
    <n v="318829.03206414741"/>
    <n v="1.1386751145148122"/>
    <n v="0.94889070359879057"/>
    <n v="0.94546156904349943"/>
    <n v="0.94654220114707954"/>
    <n v="0.94249369191070453"/>
    <n v="301563.4966982762"/>
    <n v="1.0770124882081293"/>
    <n v="21563.496698276198"/>
    <n v="464984389.85656852"/>
  </r>
  <r>
    <n v="23092621484"/>
    <n v="0"/>
    <n v="8426"/>
    <n v="0"/>
    <s v="GV"/>
    <s v="GV"/>
    <n v="4"/>
    <s v="RES"/>
    <n v="2490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460"/>
    <n v="1460"/>
    <n v="0"/>
    <n v="0"/>
    <n v="0"/>
    <n v="440"/>
    <n v="0"/>
    <n v="0"/>
    <n v="0"/>
    <n v="9"/>
    <n v="0"/>
    <n v="0"/>
    <s v="CP"/>
    <n v="1"/>
    <s v="FD"/>
    <s v="G"/>
    <n v="1"/>
    <n v="3"/>
    <n v="0"/>
    <n v="0"/>
    <n v="100"/>
    <d v="2022-05-27T00:00:00"/>
    <n v="22400"/>
    <n v="262769"/>
    <n v="285200"/>
    <n v="329401"/>
    <n v="219"/>
    <n v="48369.487874125851"/>
    <n v="155833.95000000001"/>
    <n v="9808"/>
    <n v="25780"/>
    <n v="-239.16659999999999"/>
    <n v="91076.045379999996"/>
    <n v="0"/>
    <n v="38508.992279999999"/>
    <n v="18093.976200000001"/>
    <n v="0"/>
    <n v="-26268.743399999999"/>
    <n v="360962.54173412587"/>
    <n v="1.0958149542172788"/>
    <n v="0.93645298159011592"/>
    <n v="0.94231068710026933"/>
    <n v="0.94035194935713262"/>
    <n v="0.93897388656927183"/>
    <n v="339132.38491270464"/>
    <n v="1.0295426696115211"/>
    <n v="9731.3849127046415"/>
    <n v="94699852.319215521"/>
  </r>
  <r>
    <n v="23092622417"/>
    <n v="0.17"/>
    <n v="7367"/>
    <n v="0"/>
    <s v="GV"/>
    <s v="GV"/>
    <n v="4"/>
    <s v="RES"/>
    <n v="239400"/>
    <n v="38800"/>
    <n v="0.17"/>
    <n v="-1.771956841932"/>
    <n v="0"/>
    <n v="0"/>
    <n v="0"/>
    <n v="13398.7528"/>
    <n v="63902.980100000001"/>
    <n v="40160.968402685998"/>
    <s v="RN"/>
    <n v="1"/>
    <x v="1"/>
    <x v="1"/>
    <n v="0"/>
    <n v="0"/>
    <n v="9"/>
    <n v="9"/>
    <x v="7"/>
    <x v="0"/>
    <n v="1420"/>
    <n v="1420"/>
    <n v="0"/>
    <n v="0"/>
    <n v="0"/>
    <n v="442"/>
    <n v="0"/>
    <n v="0"/>
    <n v="480"/>
    <n v="8"/>
    <n v="0"/>
    <n v="0"/>
    <s v="CP"/>
    <n v="1"/>
    <s v="FD"/>
    <s v="E"/>
    <n v="1"/>
    <n v="4"/>
    <n v="0"/>
    <n v="0"/>
    <n v="100"/>
    <d v="2022-06-01T00:00:00"/>
    <n v="22200"/>
    <n v="220202"/>
    <n v="242400"/>
    <n v="350000"/>
    <n v="214"/>
    <n v="46638.82417142456"/>
    <n v="155833.95000000001"/>
    <n v="2251"/>
    <n v="25818"/>
    <n v="-2152.4993999999997"/>
    <n v="88580.811260000002"/>
    <n v="0"/>
    <n v="38684.033153999997"/>
    <n v="16083.5344"/>
    <n v="0"/>
    <n v="-25669.000400000001"/>
    <n v="346068.65318542457"/>
    <n v="0.98876758052978453"/>
    <n v="0.94889070359879057"/>
    <n v="0.95027059935652425"/>
    <n v="0.93805509262653142"/>
    <n v="0.93897388656927183"/>
    <n v="326705.27127898147"/>
    <n v="0.93344363222566129"/>
    <n v="-23294.728721018531"/>
    <n v="542644386.18584561"/>
  </r>
  <r>
    <n v="23092621495"/>
    <n v="0"/>
    <n v="8612"/>
    <n v="0"/>
    <s v="GV"/>
    <s v="GV"/>
    <n v="4"/>
    <s v="RES"/>
    <n v="285000"/>
    <n v="39300"/>
    <n v="0.2"/>
    <n v="-1.6094379124339999"/>
    <n v="0"/>
    <n v="0"/>
    <n v="0"/>
    <n v="13398.7528"/>
    <n v="63902.980100000001"/>
    <n v="42338.519364346997"/>
    <s v="RN"/>
    <n v="1"/>
    <x v="2"/>
    <x v="0"/>
    <n v="0"/>
    <n v="0"/>
    <n v="1"/>
    <n v="1"/>
    <x v="0"/>
    <x v="1"/>
    <n v="1888"/>
    <n v="1888"/>
    <n v="0"/>
    <n v="0"/>
    <n v="0"/>
    <n v="638"/>
    <n v="0"/>
    <n v="0"/>
    <n v="0"/>
    <n v="9"/>
    <n v="0"/>
    <n v="0"/>
    <s v="CP"/>
    <n v="1"/>
    <s v="FD"/>
    <s v="G"/>
    <n v="1"/>
    <n v="3"/>
    <n v="0"/>
    <n v="0"/>
    <n v="100"/>
    <d v="2022-06-08T00:00:00"/>
    <n v="22500"/>
    <n v="317599"/>
    <n v="340100"/>
    <n v="427635"/>
    <n v="207"/>
    <n v="49167.608223813884"/>
    <n v="155833.95000000001"/>
    <n v="9808"/>
    <n v="25780"/>
    <n v="-239.16659999999999"/>
    <n v="117775.050464"/>
    <n v="0"/>
    <n v="55838.038806000004"/>
    <n v="18093.976200000001"/>
    <n v="0"/>
    <n v="-24829.360199999999"/>
    <n v="407228.09689381387"/>
    <n v="0.95227962373008257"/>
    <n v="0.93645298159011592"/>
    <n v="0.94231068710026933"/>
    <n v="0.94035194935713262"/>
    <n v="0.94249369191070453"/>
    <n v="382958.25013808487"/>
    <n v="0.89552597457664795"/>
    <n v="-44676.74986191513"/>
    <n v="1996011978.2241335"/>
  </r>
  <r>
    <n v="23092621489"/>
    <n v="0"/>
    <n v="9814"/>
    <n v="0"/>
    <s v="GV"/>
    <s v="GV"/>
    <n v="4"/>
    <s v="RES"/>
    <n v="323000"/>
    <n v="39500"/>
    <n v="0.23"/>
    <n v="-1.4696759700590001"/>
    <n v="0"/>
    <n v="0"/>
    <n v="0"/>
    <n v="13398.7528"/>
    <n v="63902.980100000001"/>
    <n v="44211.155081080004"/>
    <s v="CO"/>
    <n v="1"/>
    <x v="2"/>
    <x v="0"/>
    <n v="0"/>
    <n v="0"/>
    <n v="1"/>
    <n v="1"/>
    <x v="0"/>
    <x v="2"/>
    <n v="2487"/>
    <n v="1095"/>
    <n v="1392"/>
    <n v="0"/>
    <n v="0"/>
    <n v="704"/>
    <n v="0"/>
    <n v="0"/>
    <n v="0"/>
    <n v="12"/>
    <n v="0"/>
    <n v="0"/>
    <s v="CP"/>
    <n v="1"/>
    <s v="FD"/>
    <s v="G"/>
    <n v="1"/>
    <n v="3"/>
    <n v="0"/>
    <n v="0"/>
    <n v="100"/>
    <d v="2022-06-09T00:00:00"/>
    <n v="22600"/>
    <n v="400939"/>
    <n v="423500"/>
    <n v="508182"/>
    <n v="206"/>
    <n v="51342.29502553949"/>
    <n v="155833.95000000001"/>
    <n v="9808"/>
    <n v="25780"/>
    <n v="-239.16659999999999"/>
    <n v="155141.181411"/>
    <n v="0"/>
    <n v="61614.387648000004"/>
    <n v="24125.301599999999"/>
    <n v="0"/>
    <n v="-24709.411599999999"/>
    <n v="458696.53748453956"/>
    <n v="0.90262255940694391"/>
    <n v="0.93645298159011592"/>
    <n v="0.94231068710026933"/>
    <n v="0.94035194935713262"/>
    <n v="0.94539091427335964"/>
    <n v="431691.52792837942"/>
    <n v="0.84948213027690755"/>
    <n v="-76490.472071620577"/>
    <n v="5850792317.7393675"/>
  </r>
  <r>
    <n v="23092621492"/>
    <n v="0"/>
    <n v="8250"/>
    <n v="0"/>
    <s v="GV"/>
    <s v="GV"/>
    <n v="4"/>
    <s v="RES"/>
    <n v="2868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1"/>
    <n v="1888"/>
    <n v="1888"/>
    <n v="0"/>
    <n v="0"/>
    <n v="0"/>
    <n v="638"/>
    <n v="0"/>
    <n v="0"/>
    <n v="0"/>
    <n v="10"/>
    <n v="0"/>
    <n v="0"/>
    <s v="CP"/>
    <n v="1"/>
    <s v="FD"/>
    <s v="G"/>
    <n v="1"/>
    <n v="3"/>
    <n v="0"/>
    <n v="0"/>
    <n v="100"/>
    <d v="2022-06-15T00:00:00"/>
    <n v="22400"/>
    <n v="327296"/>
    <n v="349700"/>
    <n v="425101"/>
    <n v="200"/>
    <n v="48369.487874125851"/>
    <n v="155833.95000000001"/>
    <n v="9808"/>
    <n v="25780"/>
    <n v="-239.16659999999999"/>
    <n v="117775.050464"/>
    <n v="0"/>
    <n v="55838.038806000004"/>
    <n v="20104.418000000001"/>
    <n v="0"/>
    <n v="-23989.72"/>
    <n v="409280.05854412587"/>
    <n v="0.96278309988479416"/>
    <n v="0.93645298159011592"/>
    <n v="0.94231068710026933"/>
    <n v="0.94035194935713262"/>
    <n v="0.94249369191070453"/>
    <n v="384887.91964995756"/>
    <n v="0.90540346799926974"/>
    <n v="-40213.080350042437"/>
    <n v="1617091831.2389691"/>
  </r>
  <r>
    <n v="23092621482"/>
    <n v="0"/>
    <n v="9900"/>
    <n v="0"/>
    <s v="GV"/>
    <s v="GV"/>
    <n v="4"/>
    <s v="RES"/>
    <n v="290300"/>
    <n v="39500"/>
    <n v="0.23"/>
    <n v="-1.4696759700590001"/>
    <n v="0"/>
    <n v="0"/>
    <n v="0"/>
    <n v="13398.7528"/>
    <n v="63902.980100000001"/>
    <n v="44211.155081080004"/>
    <s v="CO"/>
    <n v="1"/>
    <x v="2"/>
    <x v="0"/>
    <n v="0"/>
    <n v="0"/>
    <n v="1"/>
    <n v="1"/>
    <x v="0"/>
    <x v="2"/>
    <n v="2168"/>
    <n v="896"/>
    <n v="1272"/>
    <n v="0"/>
    <n v="0"/>
    <n v="440"/>
    <n v="0"/>
    <n v="0"/>
    <n v="144"/>
    <n v="12"/>
    <n v="0"/>
    <n v="0"/>
    <s v="CP"/>
    <n v="1"/>
    <s v="FD"/>
    <s v="G"/>
    <n v="1"/>
    <n v="3"/>
    <n v="0"/>
    <n v="0"/>
    <n v="100"/>
    <d v="2022-06-16T00:00:00"/>
    <n v="22600"/>
    <n v="351448"/>
    <n v="374000"/>
    <n v="441512"/>
    <n v="199"/>
    <n v="51342.29502553949"/>
    <n v="155833.95000000001"/>
    <n v="9808"/>
    <n v="25780"/>
    <n v="-239.16659999999999"/>
    <n v="135241.689304"/>
    <n v="0"/>
    <n v="38508.992279999999"/>
    <n v="24125.301599999999"/>
    <n v="0"/>
    <n v="-23869.771400000001"/>
    <n v="416531.29020953953"/>
    <n v="0.94342008871681748"/>
    <n v="0.93645298159011592"/>
    <n v="0.94231068710026933"/>
    <n v="0.94035194935713262"/>
    <n v="0.94539091427335964"/>
    <n v="392008.69072746375"/>
    <n v="0.88787777167430049"/>
    <n v="-49503.309272536251"/>
    <n v="2450577628.9323735"/>
  </r>
  <r>
    <n v="23092612407"/>
    <n v="0.16"/>
    <n v="7012"/>
    <n v="0"/>
    <s v="GV"/>
    <s v="GV"/>
    <n v="4"/>
    <s v="RES"/>
    <n v="273000"/>
    <n v="38600"/>
    <n v="0.16"/>
    <n v="-1.832581463748"/>
    <n v="0"/>
    <n v="0"/>
    <n v="0"/>
    <n v="13398.7528"/>
    <n v="63902.980100000001"/>
    <n v="39348.674081374003"/>
    <s v="CO"/>
    <n v="2"/>
    <x v="2"/>
    <x v="0"/>
    <n v="0"/>
    <n v="0"/>
    <n v="11"/>
    <n v="11"/>
    <x v="7"/>
    <x v="1"/>
    <n v="1626"/>
    <n v="1083"/>
    <n v="543"/>
    <n v="0"/>
    <n v="0"/>
    <n v="462"/>
    <n v="0"/>
    <n v="0"/>
    <n v="140"/>
    <n v="10"/>
    <n v="0"/>
    <n v="0"/>
    <s v="CP"/>
    <n v="1"/>
    <s v="FD"/>
    <s v="E"/>
    <n v="1"/>
    <n v="3"/>
    <n v="0"/>
    <n v="0"/>
    <n v="100"/>
    <d v="2022-06-16T00:00:00"/>
    <n v="22100"/>
    <n v="266010"/>
    <n v="288100"/>
    <n v="375000"/>
    <n v="199"/>
    <n v="45695.50896927961"/>
    <n v="155833.95000000001"/>
    <n v="9808"/>
    <n v="25780"/>
    <n v="-2630.8325999999997"/>
    <n v="101431.266978"/>
    <n v="0"/>
    <n v="40434.441894000003"/>
    <n v="20104.418000000001"/>
    <n v="0"/>
    <n v="-23869.771400000001"/>
    <n v="372586.9818412796"/>
    <n v="0.99356528491007889"/>
    <n v="0.93645298159011592"/>
    <n v="0.94231068710026933"/>
    <n v="0.93805509262653142"/>
    <n v="0.94249369191070453"/>
    <n v="350167.72018660401"/>
    <n v="0.93378058716427736"/>
    <n v="-24832.279813395988"/>
    <n v="616642120.73079383"/>
  </r>
  <r>
    <n v="23092621483"/>
    <n v="0"/>
    <n v="8250"/>
    <n v="0"/>
    <s v="GV"/>
    <s v="GV"/>
    <n v="4"/>
    <s v="RES"/>
    <n v="268900"/>
    <n v="39100"/>
    <n v="0.19"/>
    <n v="-1.6607312068219999"/>
    <n v="0"/>
    <n v="0"/>
    <n v="0"/>
    <n v="13398.7528"/>
    <n v="63902.980100000001"/>
    <n v="41651.253192550997"/>
    <s v="RN"/>
    <n v="1"/>
    <x v="1"/>
    <x v="0"/>
    <n v="0"/>
    <n v="0"/>
    <n v="1"/>
    <n v="1"/>
    <x v="0"/>
    <x v="1"/>
    <n v="1560"/>
    <n v="1560"/>
    <n v="0"/>
    <n v="0"/>
    <n v="0"/>
    <n v="640"/>
    <n v="0"/>
    <n v="0"/>
    <n v="0"/>
    <n v="9"/>
    <n v="0"/>
    <n v="0"/>
    <s v="CP"/>
    <n v="1"/>
    <s v="FD"/>
    <s v="G"/>
    <n v="1"/>
    <n v="3"/>
    <n v="0"/>
    <n v="0"/>
    <n v="100"/>
    <d v="2022-06-27T00:00:00"/>
    <n v="22400"/>
    <n v="245731"/>
    <n v="268100"/>
    <n v="367748"/>
    <n v="188"/>
    <n v="48369.487874125851"/>
    <n v="155833.95000000001"/>
    <n v="2251"/>
    <n v="25780"/>
    <n v="-239.16659999999999"/>
    <n v="97314.130680000002"/>
    <n v="0"/>
    <n v="56013.079680000003"/>
    <n v="18093.976200000001"/>
    <n v="0"/>
    <n v="-22550.336800000001"/>
    <n v="380866.12103412586"/>
    <n v="1.0356714952470873"/>
    <n v="0.94889070359879057"/>
    <n v="0.94231068710026933"/>
    <n v="0.94035194935713262"/>
    <n v="0.94249369191070453"/>
    <n v="359351.66341639694"/>
    <n v="0.97716823318249713"/>
    <n v="-8396.3365836030571"/>
    <n v="70498468.025151059"/>
  </r>
  <r>
    <n v="23092621477"/>
    <n v="0"/>
    <n v="8250"/>
    <n v="0"/>
    <s v="GV"/>
    <s v="GV"/>
    <n v="4"/>
    <s v="RES"/>
    <n v="2636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460"/>
    <n v="1460"/>
    <n v="0"/>
    <n v="0"/>
    <n v="0"/>
    <n v="660"/>
    <n v="0"/>
    <n v="0"/>
    <n v="0"/>
    <n v="9"/>
    <n v="0"/>
    <n v="0"/>
    <s v="CP"/>
    <n v="1"/>
    <s v="FD"/>
    <s v="G"/>
    <n v="1"/>
    <n v="3"/>
    <n v="0"/>
    <n v="0"/>
    <n v="100"/>
    <d v="2022-06-28T00:00:00"/>
    <n v="22400"/>
    <n v="276956"/>
    <n v="299400"/>
    <n v="359075"/>
    <n v="187"/>
    <n v="48369.487874125851"/>
    <n v="155833.95000000001"/>
    <n v="9808"/>
    <n v="25780"/>
    <n v="-239.16659999999999"/>
    <n v="91076.045379999996"/>
    <n v="0"/>
    <n v="57763.488420000001"/>
    <n v="18093.976200000001"/>
    <n v="0"/>
    <n v="-22430.388200000001"/>
    <n v="384055.39307412587"/>
    <n v="1.0695687337579221"/>
    <n v="0.93645298159011592"/>
    <n v="0.94231068710026933"/>
    <n v="0.94035194935713262"/>
    <n v="0.93897388656927183"/>
    <n v="360828.6354758371"/>
    <n v="1.0048837582004793"/>
    <n v="1753.6354758371017"/>
    <n v="3075237.3821144179"/>
  </r>
  <r>
    <n v="23092621455"/>
    <n v="0"/>
    <n v="8030"/>
    <n v="0"/>
    <s v="GV"/>
    <s v="GV"/>
    <n v="4"/>
    <s v="RES"/>
    <n v="256900"/>
    <n v="39000"/>
    <n v="0.18"/>
    <n v="-1.7147984280919999"/>
    <n v="0"/>
    <n v="0"/>
    <n v="0"/>
    <n v="13398.7528"/>
    <n v="63902.980100000001"/>
    <n v="40926.819860167998"/>
    <s v="RN"/>
    <n v="1"/>
    <x v="2"/>
    <x v="0"/>
    <n v="0"/>
    <n v="0"/>
    <n v="2"/>
    <n v="2"/>
    <x v="0"/>
    <x v="1"/>
    <n v="1580"/>
    <n v="1580"/>
    <n v="0"/>
    <n v="0"/>
    <n v="0"/>
    <n v="440"/>
    <n v="0"/>
    <n v="0"/>
    <n v="0"/>
    <n v="10"/>
    <n v="0"/>
    <n v="0"/>
    <s v="CP"/>
    <n v="1"/>
    <s v="FD"/>
    <s v="G"/>
    <n v="1"/>
    <n v="3"/>
    <n v="0"/>
    <n v="0"/>
    <n v="100"/>
    <d v="2022-07-05T00:00:00"/>
    <n v="22300"/>
    <n v="286940"/>
    <n v="309200"/>
    <n v="359400"/>
    <n v="180"/>
    <n v="47528.20540119947"/>
    <n v="155833.95000000001"/>
    <n v="9808"/>
    <n v="25780"/>
    <n v="-478.33319999999998"/>
    <n v="98561.747740000006"/>
    <n v="0"/>
    <n v="38508.992279999999"/>
    <n v="20104.418000000001"/>
    <n v="0"/>
    <n v="-21590.748"/>
    <n v="374056.23222119949"/>
    <n v="1.0407797223739552"/>
    <n v="0.93645298159011592"/>
    <n v="0.94231068710026933"/>
    <n v="0.94035194935713262"/>
    <n v="0.94249369191070453"/>
    <n v="351763.35139278974"/>
    <n v="0.97875167332440105"/>
    <n v="-7636.6486072102562"/>
    <n v="58318401.950006343"/>
  </r>
  <r>
    <n v="23092621436"/>
    <n v="0"/>
    <n v="9900"/>
    <n v="0"/>
    <s v="GV"/>
    <s v="GV"/>
    <n v="4"/>
    <s v="RES"/>
    <n v="306100"/>
    <n v="39500"/>
    <n v="0.23"/>
    <n v="-1.4696759700590001"/>
    <n v="0"/>
    <n v="0"/>
    <n v="0"/>
    <n v="13398.7528"/>
    <n v="63902.980100000001"/>
    <n v="44211.155081080004"/>
    <s v="CP"/>
    <n v="1"/>
    <x v="2"/>
    <x v="0"/>
    <n v="0"/>
    <n v="0"/>
    <n v="1"/>
    <n v="1"/>
    <x v="0"/>
    <x v="2"/>
    <n v="2024"/>
    <n v="2024"/>
    <n v="0"/>
    <n v="0"/>
    <n v="0"/>
    <n v="686"/>
    <n v="0"/>
    <n v="0"/>
    <n v="0"/>
    <n v="9"/>
    <n v="0"/>
    <n v="0"/>
    <s v="CP"/>
    <n v="1"/>
    <s v="FD"/>
    <s v="G"/>
    <n v="1"/>
    <n v="3"/>
    <n v="0"/>
    <n v="0"/>
    <n v="100"/>
    <d v="2022-07-06T00:00:00"/>
    <n v="22600"/>
    <n v="348678"/>
    <n v="371300"/>
    <n v="420000"/>
    <n v="179"/>
    <n v="51342.29502553949"/>
    <n v="155833.95000000001"/>
    <n v="9808"/>
    <n v="25780"/>
    <n v="-239.16659999999999"/>
    <n v="126258.846472"/>
    <n v="0"/>
    <n v="60039.019782000003"/>
    <n v="18093.976200000001"/>
    <n v="0"/>
    <n v="-21470.7994"/>
    <n v="425446.12147953949"/>
    <n v="1.0129669559036654"/>
    <n v="0.93645298159011592"/>
    <n v="0.94231068710026933"/>
    <n v="0.94035194935713262"/>
    <n v="0.94539091427335964"/>
    <n v="400398.67586507706"/>
    <n v="0.95333018063113584"/>
    <n v="-19601.324134922936"/>
    <n v="384211907.8423124"/>
  </r>
  <r>
    <n v="23092621476"/>
    <n v="0"/>
    <n v="8250"/>
    <n v="0"/>
    <s v="GV"/>
    <s v="GV"/>
    <n v="4"/>
    <s v="RES"/>
    <n v="2517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1"/>
    <n v="1560"/>
    <n v="156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2-07-07T00:00:00"/>
    <n v="22400"/>
    <n v="273869"/>
    <n v="296300"/>
    <n v="345737"/>
    <n v="178"/>
    <n v="48369.487874125851"/>
    <n v="155833.95000000001"/>
    <n v="9808"/>
    <n v="25780"/>
    <n v="-239.16659999999999"/>
    <n v="97314.130680000002"/>
    <n v="0"/>
    <n v="35008.174800000001"/>
    <n v="18093.976200000001"/>
    <n v="0"/>
    <n v="-21350.8508"/>
    <n v="368617.70215412579"/>
    <n v="1.0661795010488486"/>
    <n v="0.93645298159011592"/>
    <n v="0.94231068710026933"/>
    <n v="0.94035194935713262"/>
    <n v="0.94249369191070453"/>
    <n v="346648.94505959167"/>
    <n v="1.0026376843079903"/>
    <n v="911.94505959167145"/>
    <n v="831643.79171365721"/>
  </r>
  <r>
    <n v="23092621494"/>
    <n v="0"/>
    <n v="8250"/>
    <n v="0"/>
    <s v="GV"/>
    <s v="GV"/>
    <n v="4"/>
    <s v="RES"/>
    <n v="2517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1"/>
    <n v="1560"/>
    <n v="1560"/>
    <n v="0"/>
    <n v="0"/>
    <n v="0"/>
    <n v="400"/>
    <n v="0"/>
    <n v="0"/>
    <n v="0"/>
    <n v="9"/>
    <n v="0"/>
    <n v="0"/>
    <s v="CP"/>
    <n v="1"/>
    <s v="FD"/>
    <s v="G"/>
    <n v="1"/>
    <n v="3"/>
    <n v="0"/>
    <n v="0"/>
    <n v="100"/>
    <d v="2022-07-12T00:00:00"/>
    <n v="22400"/>
    <n v="279405"/>
    <n v="301800"/>
    <n v="365016"/>
    <n v="173"/>
    <n v="48369.487874125851"/>
    <n v="155833.95000000001"/>
    <n v="9808"/>
    <n v="25780"/>
    <n v="-239.16659999999999"/>
    <n v="97314.130680000002"/>
    <n v="0"/>
    <n v="35008.174800000001"/>
    <n v="18093.976200000001"/>
    <n v="0"/>
    <n v="-20751.107800000002"/>
    <n v="369217.4451541258"/>
    <n v="1.0115103040801658"/>
    <n v="0.93645298159011592"/>
    <n v="0.94231068710026933"/>
    <n v="0.94035194935713262"/>
    <n v="0.94249369191070453"/>
    <n v="347212.94477268727"/>
    <n v="0.95122664423665615"/>
    <n v="-17803.055227312725"/>
    <n v="316948775.42674696"/>
  </r>
  <r>
    <n v="23092224524"/>
    <n v="0.18"/>
    <n v="7838"/>
    <n v="0"/>
    <s v="GV"/>
    <s v="GV"/>
    <n v="4"/>
    <s v="RES"/>
    <n v="282500"/>
    <n v="43100"/>
    <n v="0.18"/>
    <n v="-1.7147984280919999"/>
    <n v="0"/>
    <n v="0"/>
    <n v="0"/>
    <n v="13398.7528"/>
    <n v="63902.980100000001"/>
    <n v="40926.819860167998"/>
    <s v="CP"/>
    <n v="1"/>
    <x v="2"/>
    <x v="0"/>
    <n v="0"/>
    <n v="0"/>
    <n v="12"/>
    <n v="12"/>
    <x v="7"/>
    <x v="1"/>
    <n v="1748"/>
    <n v="1748"/>
    <n v="0"/>
    <n v="0"/>
    <n v="0"/>
    <n v="598"/>
    <n v="0"/>
    <n v="0"/>
    <n v="0"/>
    <n v="10"/>
    <n v="0"/>
    <n v="0"/>
    <s v="CP"/>
    <n v="1"/>
    <s v="FD"/>
    <s v="G"/>
    <n v="1"/>
    <n v="2"/>
    <n v="0"/>
    <n v="0"/>
    <n v="100"/>
    <d v="2022-07-12T00:00:00"/>
    <n v="24700"/>
    <n v="338416"/>
    <n v="363100"/>
    <n v="391500"/>
    <n v="173"/>
    <n v="47528.20540119947"/>
    <n v="155833.95000000001"/>
    <n v="9808"/>
    <n v="25780"/>
    <n v="-2869.9991999999997"/>
    <n v="109041.731044"/>
    <n v="0"/>
    <n v="52337.221325999999"/>
    <n v="20104.418000000001"/>
    <n v="0"/>
    <n v="-20751.107800000002"/>
    <n v="396812.41877119947"/>
    <n v="1.0135693966058734"/>
    <n v="0.93645298159011592"/>
    <n v="0.94231068710026933"/>
    <n v="0.93805509262653142"/>
    <n v="0.94249369191070453"/>
    <n v="372935.46687048604"/>
    <n v="0.95258101371771653"/>
    <n v="-18564.533129513962"/>
    <n v="344641890.31682146"/>
  </r>
  <r>
    <n v="23092314516"/>
    <n v="0.17"/>
    <n v="7389"/>
    <n v="0"/>
    <s v="GV"/>
    <s v="GV"/>
    <n v="4"/>
    <s v="RES"/>
    <n v="170500"/>
    <n v="39300"/>
    <n v="0.17"/>
    <n v="-1.771956841932"/>
    <n v="0"/>
    <n v="0"/>
    <n v="0"/>
    <n v="13398.7528"/>
    <n v="63902.980100000001"/>
    <n v="40160.968402685998"/>
    <s v="CO"/>
    <n v="2"/>
    <x v="1"/>
    <x v="3"/>
    <n v="0"/>
    <n v="0"/>
    <n v="57"/>
    <n v="103"/>
    <x v="3"/>
    <x v="0"/>
    <n v="1234"/>
    <n v="1032"/>
    <n v="202"/>
    <n v="0"/>
    <n v="0"/>
    <n v="0"/>
    <n v="0"/>
    <n v="0"/>
    <n v="0"/>
    <n v="5"/>
    <n v="0"/>
    <n v="0"/>
    <s v="CP"/>
    <n v="1"/>
    <s v="FD"/>
    <s v="G"/>
    <n v="0"/>
    <n v="3"/>
    <n v="0"/>
    <n v="3900"/>
    <n v="100"/>
    <d v="2022-07-12T00:00:00"/>
    <n v="22500"/>
    <n v="121641"/>
    <n v="144100"/>
    <n v="286000"/>
    <n v="173"/>
    <n v="46638.82417142456"/>
    <n v="155833.95000000001"/>
    <n v="2251"/>
    <n v="22342"/>
    <n v="-13632.4962"/>
    <n v="76977.972602000009"/>
    <n v="0"/>
    <n v="0"/>
    <n v="10052.209000000001"/>
    <n v="3302.53989"/>
    <n v="-20751.107800000002"/>
    <n v="283014.89166342455"/>
    <n v="0.98956255826372219"/>
    <n v="0.94889070359879057"/>
    <n v="0.94546156904349943"/>
    <n v="0.89161307203578499"/>
    <n v="0.93897388656927183"/>
    <n v="263553.31824607693"/>
    <n v="0.9215150987625067"/>
    <n v="-22446.681753923069"/>
    <n v="503853521.76190281"/>
  </r>
  <r>
    <n v="23092621478"/>
    <n v="0"/>
    <n v="8250"/>
    <n v="0"/>
    <s v="GV"/>
    <s v="GV"/>
    <n v="4"/>
    <s v="RES"/>
    <n v="278600"/>
    <n v="39100"/>
    <n v="0.19"/>
    <n v="-1.6607312068219999"/>
    <n v="0"/>
    <n v="0"/>
    <n v="0"/>
    <n v="13398.7528"/>
    <n v="63902.980100000001"/>
    <n v="41651.253192550997"/>
    <s v="CO"/>
    <n v="2"/>
    <x v="2"/>
    <x v="0"/>
    <n v="0"/>
    <n v="0"/>
    <n v="1"/>
    <n v="1"/>
    <x v="0"/>
    <x v="2"/>
    <n v="2168"/>
    <n v="896"/>
    <n v="1272"/>
    <n v="0"/>
    <n v="0"/>
    <n v="440"/>
    <n v="0"/>
    <n v="0"/>
    <n v="0"/>
    <n v="12"/>
    <n v="0"/>
    <n v="0"/>
    <s v="CP"/>
    <n v="1"/>
    <s v="FD"/>
    <s v="G"/>
    <n v="1"/>
    <n v="3"/>
    <n v="0"/>
    <n v="0"/>
    <n v="100"/>
    <d v="2022-07-18T00:00:00"/>
    <n v="22400"/>
    <n v="344170"/>
    <n v="366600"/>
    <n v="414630"/>
    <n v="167"/>
    <n v="48369.487874125851"/>
    <n v="155833.95000000001"/>
    <n v="9808"/>
    <n v="25780"/>
    <n v="-239.16659999999999"/>
    <n v="135241.689304"/>
    <n v="0"/>
    <n v="38508.992279999999"/>
    <n v="24125.301599999999"/>
    <n v="0"/>
    <n v="-20031.4162"/>
    <n v="417396.83825812594"/>
    <n v="1.006673029588129"/>
    <n v="0.93645298159011592"/>
    <n v="0.94231068710026933"/>
    <n v="0.94035194935713262"/>
    <n v="0.94539091427335964"/>
    <n v="392823.28104819899"/>
    <n v="0.94740679894893998"/>
    <n v="-21806.718951801013"/>
    <n v="475532991.44283748"/>
  </r>
  <r>
    <n v="23092621446"/>
    <n v="0"/>
    <n v="9900"/>
    <n v="0"/>
    <s v="GV"/>
    <s v="GV"/>
    <n v="4"/>
    <s v="RES"/>
    <n v="307400"/>
    <n v="39500"/>
    <n v="0.23"/>
    <n v="-1.4696759700590001"/>
    <n v="0"/>
    <n v="0"/>
    <n v="0"/>
    <n v="13398.7528"/>
    <n v="63902.980100000001"/>
    <n v="44211.155081080004"/>
    <s v="CO"/>
    <n v="1"/>
    <x v="2"/>
    <x v="0"/>
    <n v="0"/>
    <n v="0"/>
    <n v="1"/>
    <n v="1"/>
    <x v="0"/>
    <x v="2"/>
    <n v="2168"/>
    <n v="896"/>
    <n v="1272"/>
    <n v="0"/>
    <n v="0"/>
    <n v="704"/>
    <n v="0"/>
    <n v="0"/>
    <n v="0"/>
    <n v="12"/>
    <n v="0"/>
    <n v="0"/>
    <s v="CP"/>
    <n v="1"/>
    <s v="FD"/>
    <s v="G"/>
    <n v="1"/>
    <n v="3"/>
    <n v="0"/>
    <n v="0"/>
    <n v="100"/>
    <d v="2022-07-22T00:00:00"/>
    <n v="22600"/>
    <n v="364205"/>
    <n v="386800"/>
    <n v="445900"/>
    <n v="163"/>
    <n v="51342.29502553949"/>
    <n v="155833.95000000001"/>
    <n v="9808"/>
    <n v="25780"/>
    <n v="-239.16659999999999"/>
    <n v="135241.689304"/>
    <n v="0"/>
    <n v="61614.387648000004"/>
    <n v="24125.301599999999"/>
    <n v="0"/>
    <n v="-19551.621800000001"/>
    <n v="443954.83517753956"/>
    <n v="0.99563766579398871"/>
    <n v="0.93645298159011592"/>
    <n v="0.94231068710026933"/>
    <n v="0.94035194935713262"/>
    <n v="0.94539091427335964"/>
    <n v="417817.7192703216"/>
    <n v="0.93702112417654537"/>
    <n v="-28082.280729678401"/>
    <n v="788614490.98046684"/>
  </r>
  <r>
    <n v="23091023004"/>
    <n v="0.42"/>
    <n v="18480"/>
    <n v="0"/>
    <s v="GV"/>
    <s v="GV"/>
    <n v="4"/>
    <s v="RES"/>
    <n v="176700"/>
    <n v="41200"/>
    <n v="0.42"/>
    <n v="-0.86750056770499995"/>
    <n v="0"/>
    <n v="0"/>
    <n v="0"/>
    <n v="13398.7528"/>
    <n v="63902.980100000001"/>
    <n v="52279.554439464999"/>
    <s v="TD"/>
    <n v="1"/>
    <x v="4"/>
    <x v="3"/>
    <n v="0"/>
    <n v="0"/>
    <n v="29"/>
    <n v="83"/>
    <x v="9"/>
    <x v="0"/>
    <n v="1120"/>
    <n v="1120"/>
    <n v="0"/>
    <n v="0"/>
    <n v="0"/>
    <n v="0"/>
    <n v="0"/>
    <n v="0"/>
    <n v="220"/>
    <n v="5"/>
    <n v="0"/>
    <n v="0"/>
    <s v="CP"/>
    <n v="1"/>
    <s v="HP"/>
    <s v="E"/>
    <n v="1"/>
    <n v="3"/>
    <n v="0"/>
    <n v="0"/>
    <n v="100"/>
    <d v="2022-07-26T00:00:00"/>
    <n v="23600"/>
    <n v="139139"/>
    <n v="162700"/>
    <n v="305000"/>
    <n v="159"/>
    <n v="60712.105415753715"/>
    <n v="155833.95000000001"/>
    <n v="10733"/>
    <n v="22342"/>
    <n v="-6935.8314"/>
    <n v="69866.555359999998"/>
    <n v="0"/>
    <n v="0"/>
    <n v="10052.209000000001"/>
    <n v="0"/>
    <n v="-19071.827399999998"/>
    <n v="303532.16097575368"/>
    <n v="0.99518741303525793"/>
    <n v="0.93029096284873303"/>
    <n v="0.94546156904349943"/>
    <n v="0.93121896872088394"/>
    <n v="0.93897388656927183"/>
    <n v="284253.72456715663"/>
    <n v="0.93197942481034957"/>
    <n v="-20746.275432843366"/>
    <n v="430407944.33540016"/>
  </r>
  <r>
    <n v="23092333407"/>
    <n v="0.24"/>
    <n v="0"/>
    <n v="0"/>
    <s v="GV"/>
    <s v="GV"/>
    <n v="4"/>
    <s v="RES"/>
    <n v="232100"/>
    <n v="39800"/>
    <n v="0.24"/>
    <n v="-1.4271163556399999"/>
    <n v="0"/>
    <n v="0"/>
    <n v="0"/>
    <n v="13398.7528"/>
    <n v="63902.980100000001"/>
    <n v="44781.400833940999"/>
    <s v="RN"/>
    <n v="1"/>
    <x v="1"/>
    <x v="3"/>
    <n v="0"/>
    <n v="0"/>
    <n v="47"/>
    <n v="56"/>
    <x v="2"/>
    <x v="2"/>
    <n v="2205"/>
    <n v="1654"/>
    <n v="0"/>
    <n v="551"/>
    <n v="551"/>
    <n v="0"/>
    <n v="0"/>
    <n v="551"/>
    <n v="374"/>
    <n v="11"/>
    <n v="0"/>
    <n v="1"/>
    <s v="CP"/>
    <n v="1"/>
    <s v="FD"/>
    <s v="G"/>
    <n v="1"/>
    <n v="3"/>
    <n v="0"/>
    <n v="0"/>
    <n v="100"/>
    <d v="2022-07-26T00:00:00"/>
    <n v="22800"/>
    <n v="263409"/>
    <n v="286200"/>
    <n v="351000"/>
    <n v="159"/>
    <n v="52004.519878673433"/>
    <n v="155833.95000000001"/>
    <n v="2251"/>
    <n v="22342"/>
    <n v="-11240.8302"/>
    <n v="137549.78086500001"/>
    <n v="-14931.681240000002"/>
    <n v="0"/>
    <n v="22114.859800000002"/>
    <n v="0"/>
    <n v="-19071.827399999998"/>
    <n v="346851.77170367341"/>
    <n v="0.98818168576545129"/>
    <n v="0.94889070359879057"/>
    <n v="0.94546156904349943"/>
    <n v="0.91535194202033021"/>
    <n v="0.94539091427335964"/>
    <n v="325615.34959681967"/>
    <n v="0.92767905868039791"/>
    <n v="-25384.650403180334"/>
    <n v="644380476.09168351"/>
  </r>
  <r>
    <n v="23092621487"/>
    <n v="0"/>
    <n v="8435"/>
    <n v="0"/>
    <s v="GV"/>
    <s v="GV"/>
    <n v="4"/>
    <s v="RES"/>
    <n v="2403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378"/>
    <n v="1378"/>
    <n v="0"/>
    <n v="0"/>
    <n v="0"/>
    <n v="400"/>
    <n v="0"/>
    <n v="0"/>
    <n v="0"/>
    <n v="8"/>
    <n v="0"/>
    <n v="0"/>
    <s v="CP"/>
    <n v="1"/>
    <s v="FD"/>
    <s v="G"/>
    <n v="1"/>
    <n v="3"/>
    <n v="0"/>
    <n v="0"/>
    <n v="100"/>
    <d v="2022-07-27T00:00:00"/>
    <n v="22400"/>
    <n v="246538"/>
    <n v="268900"/>
    <n v="335000"/>
    <n v="158"/>
    <n v="48369.487874125851"/>
    <n v="155833.95000000001"/>
    <n v="9808"/>
    <n v="25780"/>
    <n v="-239.16659999999999"/>
    <n v="85960.815434000004"/>
    <n v="0"/>
    <n v="35008.174800000001"/>
    <n v="16083.5344"/>
    <n v="0"/>
    <n v="-18951.878799999999"/>
    <n v="357652.91710812587"/>
    <n v="1.0676206480839578"/>
    <n v="0.93645298159011592"/>
    <n v="0.94231068710026933"/>
    <n v="0.94035194935713262"/>
    <n v="0.93897388656927183"/>
    <n v="336022.91851990664"/>
    <n v="1.0030534881191242"/>
    <n v="1022.9185199066414"/>
    <n v="1046362.298367994"/>
  </r>
  <r>
    <n v="23092242485"/>
    <n v="0.19"/>
    <n v="8294"/>
    <n v="0"/>
    <s v="GV"/>
    <s v="GV"/>
    <n v="4"/>
    <s v="RES"/>
    <n v="268200"/>
    <n v="43300"/>
    <n v="0.19"/>
    <n v="-1.6607312068219999"/>
    <n v="0"/>
    <n v="0"/>
    <n v="0"/>
    <n v="13398.7528"/>
    <n v="63902.980100000001"/>
    <n v="41651.253192550997"/>
    <s v="CP"/>
    <n v="1"/>
    <x v="0"/>
    <x v="1"/>
    <n v="0"/>
    <n v="0"/>
    <n v="17"/>
    <n v="17"/>
    <x v="1"/>
    <x v="1"/>
    <n v="1583"/>
    <n v="1583"/>
    <n v="0"/>
    <n v="0"/>
    <n v="0"/>
    <n v="565"/>
    <n v="0"/>
    <n v="0"/>
    <n v="0"/>
    <n v="10"/>
    <n v="0"/>
    <n v="0"/>
    <s v="CP"/>
    <n v="1"/>
    <s v="FD"/>
    <s v="G"/>
    <n v="1"/>
    <n v="3"/>
    <n v="0"/>
    <n v="0"/>
    <n v="100"/>
    <d v="2022-08-04T00:00:00"/>
    <n v="24800"/>
    <n v="306695"/>
    <n v="331500"/>
    <n v="368900"/>
    <n v="150"/>
    <n v="48369.487874125851"/>
    <n v="155833.95000000001"/>
    <n v="20768"/>
    <n v="25818"/>
    <n v="-4065.8321999999998"/>
    <n v="98748.890299000006"/>
    <n v="0"/>
    <n v="49449.046905000003"/>
    <n v="20104.418000000001"/>
    <n v="0"/>
    <n v="-17992.29"/>
    <n v="397033.67087812588"/>
    <n v="1.0762636781732877"/>
    <n v="0.93979103106061679"/>
    <n v="0.95027059935652425"/>
    <n v="0.95331699902534994"/>
    <n v="0.94249369191070453"/>
    <n v="375779.69630568777"/>
    <n v="1.0186492174185084"/>
    <n v="6879.6963056877721"/>
    <n v="47330221.258493982"/>
  </r>
  <r>
    <n v="23092241545"/>
    <n v="0.27"/>
    <n v="11736"/>
    <n v="0"/>
    <s v="GV"/>
    <s v="GV"/>
    <n v="4"/>
    <s v="RES"/>
    <n v="211700"/>
    <n v="44500"/>
    <n v="0.27"/>
    <n v="-1.309333319984"/>
    <n v="0"/>
    <n v="0"/>
    <n v="0"/>
    <n v="13398.7528"/>
    <n v="63902.980100000001"/>
    <n v="46359.546612733997"/>
    <s v="RN"/>
    <n v="1"/>
    <x v="2"/>
    <x v="3"/>
    <n v="0"/>
    <n v="0"/>
    <n v="50"/>
    <n v="70"/>
    <x v="6"/>
    <x v="0"/>
    <n v="1265"/>
    <n v="1265"/>
    <n v="0"/>
    <n v="0"/>
    <n v="0"/>
    <n v="0"/>
    <n v="0"/>
    <n v="0"/>
    <n v="928"/>
    <n v="7"/>
    <n v="0"/>
    <n v="0"/>
    <s v="CP"/>
    <n v="1"/>
    <s v="FD"/>
    <s v="E"/>
    <n v="1"/>
    <n v="3"/>
    <n v="0"/>
    <n v="25100"/>
    <n v="100"/>
    <d v="2022-08-09T00:00:00"/>
    <n v="25500"/>
    <n v="208103"/>
    <n v="233600"/>
    <n v="357000"/>
    <n v="145"/>
    <n v="53837.216310592135"/>
    <n v="155833.95000000001"/>
    <n v="9808"/>
    <n v="22342"/>
    <n v="-11958.33"/>
    <n v="78911.779045000003"/>
    <n v="0"/>
    <n v="0"/>
    <n v="14073.0926"/>
    <n v="21254.808010000001"/>
    <n v="-17392.546999999999"/>
    <n v="326709.9689655921"/>
    <n v="0.91515397469353532"/>
    <n v="0.93645298159011592"/>
    <n v="0.94546156904349943"/>
    <n v="0.94654220114707954"/>
    <n v="0.93897388656927183"/>
    <n v="307714.2867338346"/>
    <n v="0.86194478076704373"/>
    <n v="-49285.713266165403"/>
    <n v="2429081532.1546726"/>
  </r>
  <r>
    <n v="23092224447"/>
    <n v="0.23"/>
    <n v="10000"/>
    <n v="0"/>
    <s v="GV"/>
    <s v="GV"/>
    <n v="4"/>
    <s v="RES"/>
    <n v="272400"/>
    <n v="43800"/>
    <n v="0.23"/>
    <n v="-1.4696759700590001"/>
    <n v="0"/>
    <n v="0"/>
    <n v="0"/>
    <n v="13398.7528"/>
    <n v="63902.980100000001"/>
    <n v="44211.155081080004"/>
    <s v="RN"/>
    <n v="1"/>
    <x v="2"/>
    <x v="3"/>
    <n v="0"/>
    <n v="0"/>
    <n v="36"/>
    <n v="36"/>
    <x v="4"/>
    <x v="1"/>
    <n v="1585"/>
    <n v="1585"/>
    <n v="0"/>
    <n v="0"/>
    <n v="0"/>
    <n v="784"/>
    <n v="0"/>
    <n v="0"/>
    <n v="217"/>
    <n v="10"/>
    <n v="1"/>
    <n v="0"/>
    <s v="CP"/>
    <n v="1"/>
    <s v="HP"/>
    <s v="E"/>
    <n v="1"/>
    <n v="3"/>
    <n v="0"/>
    <n v="0"/>
    <n v="100"/>
    <d v="2022-08-15T00:00:00"/>
    <n v="25100"/>
    <n v="274802"/>
    <n v="299900"/>
    <n v="347000"/>
    <n v="139"/>
    <n v="51342.29502553949"/>
    <n v="155833.95000000001"/>
    <n v="9808"/>
    <n v="22342"/>
    <n v="-8609.9975999999988"/>
    <n v="98873.652004999996"/>
    <n v="0"/>
    <n v="68616.022607999999"/>
    <n v="20104.418000000001"/>
    <n v="0"/>
    <n v="-16672.8554"/>
    <n v="401637.48463853955"/>
    <n v="1.1574567280649555"/>
    <n v="0.93645298159011592"/>
    <n v="0.94546156904349943"/>
    <n v="0.9474610576206125"/>
    <n v="0.94249369191070453"/>
    <n v="378731.02452589298"/>
    <n v="1.0914438747143891"/>
    <n v="31731.024525892979"/>
    <n v="1006857917.4628217"/>
  </r>
  <r>
    <n v="23092621621"/>
    <n v="0"/>
    <n v="8605"/>
    <n v="0"/>
    <s v="GV"/>
    <s v="GV"/>
    <n v="4"/>
    <s v="RES"/>
    <n v="285300"/>
    <n v="39300"/>
    <n v="0.2"/>
    <n v="-1.6094379124339999"/>
    <n v="0"/>
    <n v="0"/>
    <n v="0"/>
    <n v="13398.7528"/>
    <n v="63902.980100000001"/>
    <n v="42338.519364346997"/>
    <s v="CO"/>
    <n v="2"/>
    <x v="2"/>
    <x v="0"/>
    <n v="0"/>
    <n v="0"/>
    <n v="1"/>
    <n v="1"/>
    <x v="0"/>
    <x v="2"/>
    <n v="2168"/>
    <n v="896"/>
    <n v="1272"/>
    <n v="0"/>
    <n v="0"/>
    <n v="440"/>
    <n v="0"/>
    <n v="0"/>
    <n v="144"/>
    <n v="12"/>
    <n v="0"/>
    <n v="0"/>
    <s v="CP"/>
    <n v="1"/>
    <s v="HP"/>
    <s v="E"/>
    <n v="1"/>
    <n v="3"/>
    <n v="0"/>
    <n v="0"/>
    <n v="100"/>
    <d v="2022-08-30T00:00:00"/>
    <n v="22500"/>
    <n v="348473"/>
    <n v="371000"/>
    <n v="388030"/>
    <n v="124"/>
    <n v="49167.608223813884"/>
    <n v="155833.95000000001"/>
    <n v="9808"/>
    <n v="25780"/>
    <n v="-239.16659999999999"/>
    <n v="135241.689304"/>
    <n v="0"/>
    <n v="38508.992279999999"/>
    <n v="24125.301599999999"/>
    <n v="0"/>
    <n v="-14873.626399999999"/>
    <n v="423352.7484078139"/>
    <n v="1.0910309728830603"/>
    <n v="0.93645298159011592"/>
    <n v="0.94231068710026933"/>
    <n v="0.94035194935713262"/>
    <n v="0.94539091427335964"/>
    <n v="398428.54671430314"/>
    <n v="1.0267983060956709"/>
    <n v="10398.546714303142"/>
    <n v="108129773.76954468"/>
  </r>
  <r>
    <n v="23092224435"/>
    <n v="0.19"/>
    <n v="8093"/>
    <n v="0"/>
    <s v="GV"/>
    <s v="GV"/>
    <n v="4"/>
    <s v="RES"/>
    <n v="220600"/>
    <n v="43300"/>
    <n v="0.19"/>
    <n v="-1.6607312068219999"/>
    <n v="0"/>
    <n v="0"/>
    <n v="0"/>
    <n v="13398.7528"/>
    <n v="63902.980100000001"/>
    <n v="41651.253192550997"/>
    <s v="CP"/>
    <n v="2"/>
    <x v="0"/>
    <x v="3"/>
    <n v="0"/>
    <n v="0"/>
    <n v="43"/>
    <n v="44"/>
    <x v="4"/>
    <x v="1"/>
    <n v="1860"/>
    <n v="1170"/>
    <n v="690"/>
    <n v="0"/>
    <n v="0"/>
    <n v="460"/>
    <n v="0"/>
    <n v="456"/>
    <n v="400"/>
    <n v="12"/>
    <n v="0"/>
    <n v="0"/>
    <s v="CP"/>
    <n v="1"/>
    <s v="FD"/>
    <s v="E"/>
    <n v="1"/>
    <n v="3"/>
    <n v="0"/>
    <n v="0"/>
    <n v="100"/>
    <d v="2022-09-12T00:00:00"/>
    <n v="24800"/>
    <n v="306624"/>
    <n v="331400"/>
    <n v="385000"/>
    <n v="111"/>
    <n v="48369.487874125851"/>
    <n v="155833.95000000001"/>
    <n v="20768"/>
    <n v="22342"/>
    <n v="-10284.1638"/>
    <n v="116028.38658000001"/>
    <n v="0"/>
    <n v="40259.401019999998"/>
    <n v="24125.301599999999"/>
    <n v="0"/>
    <n v="-13314.294599999999"/>
    <n v="404128.06867412583"/>
    <n v="1.0496832952574697"/>
    <n v="0.93979103106061679"/>
    <n v="0.94546156904349943"/>
    <n v="0.9474610576206125"/>
    <n v="0.94249369191070453"/>
    <n v="381416.81376313319"/>
    <n v="0.99069302276138493"/>
    <n v="-3583.186236866808"/>
    <n v="12839223.608071717"/>
  </r>
  <r>
    <n v="23092232491"/>
    <n v="0"/>
    <n v="8896"/>
    <n v="0"/>
    <s v="GV"/>
    <s v="GV"/>
    <n v="4"/>
    <s v="RES"/>
    <n v="290900"/>
    <n v="39300"/>
    <n v="0.2"/>
    <n v="-1.6094379124339999"/>
    <n v="0"/>
    <n v="0"/>
    <n v="0"/>
    <n v="13398.7528"/>
    <n v="63902.980100000001"/>
    <n v="42338.519364346997"/>
    <s v="CO"/>
    <n v="1"/>
    <x v="2"/>
    <x v="0"/>
    <n v="0"/>
    <n v="0"/>
    <n v="1"/>
    <n v="1"/>
    <x v="0"/>
    <x v="1"/>
    <n v="1598"/>
    <n v="1598"/>
    <n v="0"/>
    <n v="0"/>
    <n v="0"/>
    <n v="788"/>
    <n v="0"/>
    <n v="0"/>
    <n v="0"/>
    <n v="9"/>
    <n v="0"/>
    <n v="0"/>
    <s v="CP"/>
    <n v="1"/>
    <s v="FD"/>
    <s v="G"/>
    <n v="1"/>
    <n v="3"/>
    <n v="0"/>
    <n v="0"/>
    <n v="100"/>
    <d v="2022-09-15T00:00:00"/>
    <n v="22500"/>
    <n v="282728"/>
    <n v="305200"/>
    <n v="423850"/>
    <n v="108"/>
    <n v="49167.608223813884"/>
    <n v="155833.95000000001"/>
    <n v="9808"/>
    <n v="25780"/>
    <n v="-239.16659999999999"/>
    <n v="99684.603094000006"/>
    <n v="0"/>
    <n v="68966.104355999996"/>
    <n v="18093.976200000001"/>
    <n v="0"/>
    <n v="-12954.4488"/>
    <n v="414140.62647381384"/>
    <n v="0.97709243004320834"/>
    <n v="0.93645298159011592"/>
    <n v="0.94231068710026933"/>
    <n v="0.94035194935713262"/>
    <n v="0.94249369191070453"/>
    <n v="389458.80904395721"/>
    <n v="0.91885999538505891"/>
    <n v="-34391.190956042788"/>
    <n v="1182754015.3749993"/>
  </r>
  <r>
    <n v="23092621594"/>
    <n v="0"/>
    <n v="8250"/>
    <n v="0"/>
    <s v="GV"/>
    <s v="GV"/>
    <n v="4"/>
    <s v="RES"/>
    <n v="1651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460"/>
    <n v="1460"/>
    <n v="0"/>
    <n v="0"/>
    <n v="0"/>
    <n v="400"/>
    <n v="0"/>
    <n v="0"/>
    <n v="60"/>
    <n v="9"/>
    <n v="0"/>
    <n v="0"/>
    <s v="CP"/>
    <n v="1"/>
    <s v="HP"/>
    <s v="E"/>
    <n v="1"/>
    <n v="3"/>
    <n v="0"/>
    <n v="0"/>
    <n v="100"/>
    <d v="2022-09-20T00:00:00"/>
    <n v="22400"/>
    <n v="262095"/>
    <n v="284500"/>
    <n v="333210"/>
    <n v="103"/>
    <n v="48369.487874125851"/>
    <n v="155833.95000000001"/>
    <n v="9808"/>
    <n v="25780"/>
    <n v="-239.16659999999999"/>
    <n v="91076.045379999996"/>
    <n v="0"/>
    <n v="35008.174800000001"/>
    <n v="18093.976200000001"/>
    <n v="0"/>
    <n v="-12354.7058"/>
    <n v="371375.76185412583"/>
    <n v="1.1145396652385158"/>
    <n v="0.93645298159011592"/>
    <n v="0.94231068710026933"/>
    <n v="0.94035194935713262"/>
    <n v="0.93897388656927183"/>
    <n v="348915.83822326368"/>
    <n v="1.0471349546029942"/>
    <n v="15705.83822326368"/>
    <n v="246673354.29533041"/>
  </r>
  <r>
    <n v="23092621441"/>
    <n v="0"/>
    <n v="9900"/>
    <n v="0"/>
    <s v="GV"/>
    <s v="GV"/>
    <n v="4"/>
    <s v="RES"/>
    <n v="302600"/>
    <n v="39500"/>
    <n v="0.23"/>
    <n v="-1.4696759700590001"/>
    <n v="0"/>
    <n v="0"/>
    <n v="0"/>
    <n v="13398.7528"/>
    <n v="63902.980100000001"/>
    <n v="44211.155081080004"/>
    <s v="CP"/>
    <n v="1"/>
    <x v="2"/>
    <x v="0"/>
    <n v="0"/>
    <n v="0"/>
    <n v="1"/>
    <n v="1"/>
    <x v="0"/>
    <x v="1"/>
    <n v="1944"/>
    <n v="1944"/>
    <n v="0"/>
    <n v="0"/>
    <n v="0"/>
    <n v="698"/>
    <n v="0"/>
    <n v="0"/>
    <n v="0"/>
    <n v="9"/>
    <n v="0"/>
    <n v="0"/>
    <s v="CP"/>
    <n v="1"/>
    <s v="FD"/>
    <s v="G"/>
    <n v="1"/>
    <n v="3"/>
    <n v="0"/>
    <n v="0"/>
    <n v="100"/>
    <d v="2022-09-21T00:00:00"/>
    <n v="22600"/>
    <n v="338858"/>
    <n v="361500"/>
    <n v="428900"/>
    <n v="102"/>
    <n v="51342.29502553949"/>
    <n v="155833.95000000001"/>
    <n v="9808"/>
    <n v="25780"/>
    <n v="-239.16659999999999"/>
    <n v="121268.378232"/>
    <n v="0"/>
    <n v="61089.265026000001"/>
    <n v="18093.976200000001"/>
    <n v="0"/>
    <n v="-12234.7572"/>
    <n v="430741.94068353949"/>
    <n v="1.0042945690919549"/>
    <n v="0.93645298159011592"/>
    <n v="0.94231068710026933"/>
    <n v="0.94035194935713262"/>
    <n v="0.94249369191070453"/>
    <n v="405070.72356616869"/>
    <n v="0.94444095025919483"/>
    <n v="-23829.276433831314"/>
    <n v="567834415.3599484"/>
  </r>
  <r>
    <n v="23091431400"/>
    <n v="0.25"/>
    <n v="0"/>
    <n v="0"/>
    <s v="GV"/>
    <s v="GV"/>
    <n v="4"/>
    <s v="RES"/>
    <n v="253000"/>
    <n v="41600"/>
    <n v="0.25"/>
    <n v="-1.38629436112"/>
    <n v="0"/>
    <n v="0"/>
    <n v="0"/>
    <n v="13398.7528"/>
    <n v="63902.980100000001"/>
    <n v="45328.364647321003"/>
    <s v="CO"/>
    <n v="2"/>
    <x v="1"/>
    <x v="2"/>
    <n v="0"/>
    <n v="0"/>
    <n v="52"/>
    <n v="88"/>
    <x v="8"/>
    <x v="4"/>
    <n v="2522"/>
    <n v="1667"/>
    <n v="855"/>
    <n v="0"/>
    <n v="256"/>
    <n v="0"/>
    <n v="0"/>
    <n v="240"/>
    <n v="0"/>
    <n v="8"/>
    <n v="1"/>
    <n v="0"/>
    <s v="CP"/>
    <n v="1"/>
    <s v="HP"/>
    <s v="E"/>
    <n v="1"/>
    <n v="3"/>
    <n v="0"/>
    <n v="15200"/>
    <n v="100"/>
    <d v="2022-09-23T00:00:00"/>
    <n v="23800"/>
    <n v="234971"/>
    <n v="258800"/>
    <n v="353000"/>
    <n v="100"/>
    <n v="52639.70747834933"/>
    <n v="155833.95000000001"/>
    <n v="2251"/>
    <n v="-4503"/>
    <n v="-12436.663199999999"/>
    <n v="157324.51126600002"/>
    <n v="0"/>
    <n v="0"/>
    <n v="16083.5344"/>
    <n v="12871.437519999999"/>
    <n v="-11994.86"/>
    <n v="368069.61746434931"/>
    <n v="1.0426901344599131"/>
    <n v="0.94889070359879057"/>
    <n v="0.91974816281148053"/>
    <n v="0.89043830049531381"/>
    <n v="0.92848762814113772"/>
    <n v="339320.14087196224"/>
    <n v="0.96124685799422727"/>
    <n v="-13679.859128037759"/>
    <n v="187138545.76295799"/>
  </r>
  <r>
    <n v="23092621592"/>
    <n v="0"/>
    <n v="8605"/>
    <n v="0"/>
    <s v="GV"/>
    <s v="GV"/>
    <n v="4"/>
    <s v="RES"/>
    <n v="165900"/>
    <n v="39300"/>
    <n v="0.2"/>
    <n v="-1.6094379124339999"/>
    <n v="0"/>
    <n v="0"/>
    <n v="0"/>
    <n v="13398.7528"/>
    <n v="63902.980100000001"/>
    <n v="42338.519364346997"/>
    <s v="RN"/>
    <n v="1"/>
    <x v="2"/>
    <x v="0"/>
    <n v="0"/>
    <n v="0"/>
    <n v="1"/>
    <n v="1"/>
    <x v="0"/>
    <x v="0"/>
    <n v="1460"/>
    <n v="1460"/>
    <n v="0"/>
    <n v="0"/>
    <n v="0"/>
    <n v="600"/>
    <n v="0"/>
    <n v="0"/>
    <n v="150"/>
    <n v="9"/>
    <n v="0"/>
    <n v="0"/>
    <s v="CP"/>
    <n v="1"/>
    <s v="HP"/>
    <s v="E"/>
    <n v="1"/>
    <n v="3"/>
    <n v="0"/>
    <n v="0"/>
    <n v="100"/>
    <d v="2022-09-26T00:00:00"/>
    <n v="22500"/>
    <n v="274896"/>
    <n v="297400"/>
    <n v="363625"/>
    <n v="97"/>
    <n v="49167.608223813884"/>
    <n v="155833.95000000001"/>
    <n v="9808"/>
    <n v="25780"/>
    <n v="-239.16659999999999"/>
    <n v="91076.045379999996"/>
    <n v="0"/>
    <n v="52512.262199999997"/>
    <n v="18093.976200000001"/>
    <n v="0"/>
    <n v="-11635.0142"/>
    <n v="390397.66120381391"/>
    <n v="1.0736271191579621"/>
    <n v="0.93645298159011592"/>
    <n v="0.94231068710026933"/>
    <n v="0.94035194935713262"/>
    <n v="0.93897388656927183"/>
    <n v="366787.3382992486"/>
    <n v="1.0086967020948741"/>
    <n v="3162.3382992486004"/>
    <n v="10000383.518894531"/>
  </r>
  <r>
    <n v="23092621596"/>
    <n v="0"/>
    <n v="8250"/>
    <n v="0"/>
    <s v="GV"/>
    <s v="GV"/>
    <n v="4"/>
    <s v="RES"/>
    <n v="1537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378"/>
    <n v="1378"/>
    <n v="0"/>
    <n v="0"/>
    <n v="0"/>
    <n v="400"/>
    <n v="0"/>
    <n v="0"/>
    <n v="144"/>
    <n v="8"/>
    <n v="0"/>
    <n v="0"/>
    <s v="CP"/>
    <n v="1"/>
    <s v="HP"/>
    <s v="E"/>
    <n v="1"/>
    <n v="3"/>
    <n v="0"/>
    <n v="0"/>
    <n v="100"/>
    <d v="2022-10-10T00:00:00"/>
    <n v="22400"/>
    <n v="249444"/>
    <n v="271800"/>
    <n v="355447"/>
    <n v="83"/>
    <n v="48369.487874125851"/>
    <n v="155833.95000000001"/>
    <n v="9808"/>
    <n v="25780"/>
    <n v="-239.16659999999999"/>
    <n v="85960.815434000004"/>
    <n v="0"/>
    <n v="35008.174800000001"/>
    <n v="16083.5344"/>
    <n v="0"/>
    <n v="-9955.7338"/>
    <n v="366649.06210812589"/>
    <n v="1.0315154217313014"/>
    <n v="0.93645298159011592"/>
    <n v="0.94231068710026933"/>
    <n v="0.94035194935713262"/>
    <n v="0.93897388656927183"/>
    <n v="344474.99804653437"/>
    <n v="0.96913182006469145"/>
    <n v="-10972.001953465631"/>
    <n v="120384826.86685362"/>
  </r>
  <r>
    <n v="23092224432"/>
    <n v="0.18"/>
    <n v="7854"/>
    <n v="0"/>
    <s v="GV"/>
    <s v="GV"/>
    <n v="4"/>
    <s v="RES"/>
    <n v="189600"/>
    <n v="39000"/>
    <n v="0.18"/>
    <n v="-1.7147984280919999"/>
    <n v="0"/>
    <n v="0"/>
    <n v="0"/>
    <n v="13398.7528"/>
    <n v="63902.980100000001"/>
    <n v="40926.819860167998"/>
    <s v="RN"/>
    <n v="1"/>
    <x v="2"/>
    <x v="3"/>
    <n v="0"/>
    <n v="0"/>
    <n v="43"/>
    <n v="45"/>
    <x v="5"/>
    <x v="0"/>
    <n v="1446"/>
    <n v="1446"/>
    <n v="0"/>
    <n v="0"/>
    <n v="0"/>
    <n v="552"/>
    <n v="0"/>
    <n v="0"/>
    <n v="401"/>
    <n v="8"/>
    <n v="0"/>
    <n v="0"/>
    <s v="CP"/>
    <n v="1"/>
    <s v="FD"/>
    <s v="G"/>
    <n v="1"/>
    <n v="3"/>
    <n v="0"/>
    <n v="0"/>
    <n v="100"/>
    <d v="2022-10-11T00:00:00"/>
    <n v="22300"/>
    <n v="220608"/>
    <n v="242900"/>
    <n v="329900"/>
    <n v="82"/>
    <n v="47528.20540119947"/>
    <n v="155833.95000000001"/>
    <n v="9808"/>
    <n v="22342"/>
    <n v="-10284.1638"/>
    <n v="90202.713438000006"/>
    <n v="0"/>
    <n v="48311.281223999998"/>
    <n v="16083.5344"/>
    <n v="0"/>
    <n v="-9835.7852000000003"/>
    <n v="369989.73546319944"/>
    <n v="1.1215208713646543"/>
    <n v="0.93645298159011592"/>
    <n v="0.94546156904349943"/>
    <n v="0.95156852894116195"/>
    <n v="0.93897388656927183"/>
    <n v="348942.58873748517"/>
    <n v="1.0577223059638836"/>
    <n v="19042.588737485174"/>
    <n v="362620185.82499719"/>
  </r>
  <r>
    <n v="23092621611"/>
    <n v="0"/>
    <n v="8714"/>
    <n v="0"/>
    <s v="GV"/>
    <s v="GV"/>
    <n v="4"/>
    <s v="RES"/>
    <n v="118300"/>
    <n v="39300"/>
    <n v="0.2"/>
    <n v="-1.6094379124339999"/>
    <n v="0"/>
    <n v="0"/>
    <n v="0"/>
    <n v="13398.7528"/>
    <n v="63902.980100000001"/>
    <n v="42338.519364346997"/>
    <s v="CO"/>
    <n v="2"/>
    <x v="2"/>
    <x v="0"/>
    <n v="0"/>
    <n v="0"/>
    <n v="1"/>
    <n v="1"/>
    <x v="0"/>
    <x v="2"/>
    <n v="2168"/>
    <n v="896"/>
    <n v="1272"/>
    <n v="0"/>
    <n v="0"/>
    <n v="440"/>
    <n v="0"/>
    <n v="0"/>
    <n v="144"/>
    <n v="12"/>
    <n v="0"/>
    <n v="0"/>
    <s v="CP"/>
    <n v="1"/>
    <s v="HP"/>
    <s v="E"/>
    <n v="1"/>
    <n v="4"/>
    <n v="0"/>
    <n v="0"/>
    <n v="100"/>
    <d v="2022-10-20T00:00:00"/>
    <n v="22500"/>
    <n v="345120"/>
    <n v="367600"/>
    <n v="393063"/>
    <n v="73"/>
    <n v="49167.608223813884"/>
    <n v="155833.95000000001"/>
    <n v="9808"/>
    <n v="25780"/>
    <n v="-239.16659999999999"/>
    <n v="135241.689304"/>
    <n v="0"/>
    <n v="38508.992279999999"/>
    <n v="24125.301599999999"/>
    <n v="0"/>
    <n v="-8756.2477999999992"/>
    <n v="429470.12700781389"/>
    <n v="1.0926241518733992"/>
    <n v="0.93645298159011592"/>
    <n v="0.94231068710026933"/>
    <n v="0.94035194935713262"/>
    <n v="0.94539091427335964"/>
    <n v="404185.77463939815"/>
    <n v="1.0282976892747426"/>
    <n v="11122.774639398151"/>
    <n v="123716115.67883866"/>
  </r>
  <r>
    <n v="23092224425"/>
    <n v="0.21"/>
    <n v="8950"/>
    <n v="0"/>
    <s v="GV"/>
    <s v="GV"/>
    <n v="4"/>
    <s v="RES"/>
    <n v="308800"/>
    <n v="43700"/>
    <n v="0.21"/>
    <n v="-1.5606477482650001"/>
    <n v="0"/>
    <n v="0"/>
    <n v="0"/>
    <n v="13398.7528"/>
    <n v="63902.980100000001"/>
    <n v="42992.246713125001"/>
    <s v="CP"/>
    <n v="2"/>
    <x v="2"/>
    <x v="3"/>
    <n v="0"/>
    <n v="0"/>
    <n v="43"/>
    <n v="43"/>
    <x v="4"/>
    <x v="4"/>
    <n v="2564"/>
    <n v="1268"/>
    <n v="1296"/>
    <n v="0"/>
    <n v="0"/>
    <n v="528"/>
    <n v="0"/>
    <n v="0"/>
    <n v="0"/>
    <n v="10"/>
    <n v="0"/>
    <n v="1"/>
    <s v="CP"/>
    <n v="1"/>
    <s v="FD"/>
    <s v="E"/>
    <n v="1"/>
    <n v="4"/>
    <n v="0"/>
    <n v="0"/>
    <n v="100"/>
    <d v="2022-10-20T00:00:00"/>
    <n v="25000"/>
    <n v="328658"/>
    <n v="353700"/>
    <n v="371000"/>
    <n v="73"/>
    <n v="49926.780028885936"/>
    <n v="155833.95000000001"/>
    <n v="9808"/>
    <n v="22342"/>
    <n v="-10284.1638"/>
    <n v="159944.50709200001"/>
    <n v="0"/>
    <n v="46210.790736000003"/>
    <n v="20104.418000000001"/>
    <n v="0"/>
    <n v="-8756.2477999999992"/>
    <n v="445130.03425688593"/>
    <n v="1.1998114130913367"/>
    <n v="0.93645298159011592"/>
    <n v="0.94546156904349943"/>
    <n v="0.9474610576206125"/>
    <n v="0.92848762814113772"/>
    <n v="418184.44778734032"/>
    <n v="1.1271817999658769"/>
    <n v="47184.447787340323"/>
    <n v="2226372112.9962449"/>
  </r>
  <r>
    <n v="23092621488"/>
    <n v="0"/>
    <n v="9534"/>
    <n v="0"/>
    <s v="GV"/>
    <s v="GV"/>
    <n v="4"/>
    <s v="RES"/>
    <n v="288600"/>
    <n v="39500"/>
    <n v="0.22"/>
    <n v="-1.51412773263"/>
    <n v="0"/>
    <n v="0"/>
    <n v="0"/>
    <n v="13398.7528"/>
    <n v="63902.980100000001"/>
    <n v="43615.556902869001"/>
    <s v="CO"/>
    <n v="2"/>
    <x v="2"/>
    <x v="0"/>
    <n v="0"/>
    <n v="0"/>
    <n v="1"/>
    <n v="1"/>
    <x v="0"/>
    <x v="2"/>
    <n v="2168"/>
    <n v="896"/>
    <n v="1272"/>
    <n v="0"/>
    <n v="0"/>
    <n v="440"/>
    <n v="0"/>
    <n v="0"/>
    <n v="0"/>
    <n v="11"/>
    <n v="0"/>
    <n v="0"/>
    <s v="CP"/>
    <n v="1"/>
    <s v="FD"/>
    <s v="G"/>
    <n v="1"/>
    <n v="3"/>
    <n v="0"/>
    <n v="0"/>
    <n v="100"/>
    <d v="2022-10-27T00:00:00"/>
    <n v="22600"/>
    <n v="341522"/>
    <n v="364100"/>
    <n v="424457"/>
    <n v="66"/>
    <n v="50650.628469298128"/>
    <n v="155833.95000000001"/>
    <n v="9808"/>
    <n v="25780"/>
    <n v="-239.16659999999999"/>
    <n v="135241.689304"/>
    <n v="0"/>
    <n v="38508.992279999999"/>
    <n v="22114.859800000002"/>
    <n v="0"/>
    <n v="-7916.6076000000003"/>
    <n v="429782.34565329814"/>
    <n v="1.0125462547520672"/>
    <n v="0.93645298159011592"/>
    <n v="0.94231068710026933"/>
    <n v="0.94035194935713262"/>
    <n v="0.94539091427335964"/>
    <n v="404479.61192200758"/>
    <n v="0.9529342475727991"/>
    <n v="-19977.388077992422"/>
    <n v="399096034.41871375"/>
  </r>
  <r>
    <n v="23092243447"/>
    <n v="0.18"/>
    <n v="7650"/>
    <n v="0"/>
    <s v="GV"/>
    <s v="GV"/>
    <n v="4"/>
    <s v="RES"/>
    <n v="162600"/>
    <n v="39000"/>
    <n v="0.18"/>
    <n v="-1.7147984280919999"/>
    <n v="0"/>
    <n v="0"/>
    <n v="0"/>
    <n v="13398.7528"/>
    <n v="63902.980100000001"/>
    <n v="40926.819860167998"/>
    <s v="RN"/>
    <n v="1"/>
    <x v="1"/>
    <x v="3"/>
    <n v="0"/>
    <n v="0"/>
    <n v="43"/>
    <n v="45"/>
    <x v="5"/>
    <x v="0"/>
    <n v="1166"/>
    <n v="1166"/>
    <n v="0"/>
    <n v="0"/>
    <n v="0"/>
    <n v="294"/>
    <n v="0"/>
    <n v="280"/>
    <n v="0"/>
    <n v="8"/>
    <n v="0"/>
    <n v="0"/>
    <s v="CP"/>
    <n v="1"/>
    <s v="HP"/>
    <s v="E"/>
    <n v="1"/>
    <n v="3"/>
    <n v="0"/>
    <n v="0"/>
    <n v="100"/>
    <d v="2022-10-27T00:00:00"/>
    <n v="22300"/>
    <n v="163121"/>
    <n v="185400"/>
    <n v="289500"/>
    <n v="66"/>
    <n v="47528.20540119947"/>
    <n v="155833.95000000001"/>
    <n v="2251"/>
    <n v="22342"/>
    <n v="-10284.1638"/>
    <n v="72736.074598000007"/>
    <n v="0"/>
    <n v="25731.008478"/>
    <n v="16083.5344"/>
    <n v="0"/>
    <n v="-7916.6076000000003"/>
    <n v="324305.00147719949"/>
    <n v="1.1202245301457667"/>
    <n v="0.94889070359879057"/>
    <n v="0.94546156904349943"/>
    <n v="0.95156852894116195"/>
    <n v="0.93897388656927183"/>
    <n v="306865.06935810338"/>
    <n v="1.0599829684217734"/>
    <n v="17365.069358103385"/>
    <n v="301545633.81174111"/>
  </r>
  <r>
    <n v="23092621622"/>
    <n v="0"/>
    <n v="8165"/>
    <n v="0"/>
    <s v="GV"/>
    <s v="GV"/>
    <n v="4"/>
    <s v="RES"/>
    <n v="0"/>
    <n v="39100"/>
    <n v="0.19"/>
    <n v="-1.6607312068219999"/>
    <n v="0"/>
    <n v="0"/>
    <n v="0"/>
    <n v="13398.7528"/>
    <n v="63902.980100000001"/>
    <n v="41651.253192550997"/>
    <s v="CO"/>
    <n v="2"/>
    <x v="2"/>
    <x v="0"/>
    <n v="0"/>
    <n v="0"/>
    <n v="1"/>
    <n v="1"/>
    <x v="0"/>
    <x v="0"/>
    <n v="1460"/>
    <n v="1460"/>
    <n v="0"/>
    <n v="0"/>
    <n v="0"/>
    <n v="660"/>
    <n v="0"/>
    <n v="0"/>
    <n v="60"/>
    <n v="9"/>
    <n v="0"/>
    <n v="0"/>
    <s v="CP"/>
    <n v="1"/>
    <s v="FD"/>
    <s v="G"/>
    <n v="1"/>
    <n v="3"/>
    <n v="0"/>
    <n v="0"/>
    <n v="100"/>
    <d v="2022-10-28T00:00:00"/>
    <n v="22400"/>
    <n v="266210"/>
    <n v="288600"/>
    <n v="379375"/>
    <n v="65"/>
    <n v="48369.487874125851"/>
    <n v="155833.95000000001"/>
    <n v="9808"/>
    <n v="25780"/>
    <n v="-239.16659999999999"/>
    <n v="91076.045379999996"/>
    <n v="0"/>
    <n v="57763.488420000001"/>
    <n v="18093.976200000001"/>
    <n v="0"/>
    <n v="-7796.6589999999997"/>
    <n v="398689.12227412587"/>
    <n v="1.0509103717275146"/>
    <n v="0.93645298159011592"/>
    <n v="0.94231068710026933"/>
    <n v="0.94035194935713262"/>
    <n v="0.93897388656927183"/>
    <n v="374577.35150581814"/>
    <n v="0.98735380957052554"/>
    <n v="-4797.6484941818635"/>
    <n v="23017431.073725503"/>
  </r>
  <r>
    <n v="23092621618"/>
    <n v="0"/>
    <n v="8140"/>
    <n v="0"/>
    <s v="GV"/>
    <s v="GV"/>
    <n v="4"/>
    <s v="RES"/>
    <n v="48800"/>
    <n v="39000"/>
    <n v="0.19"/>
    <n v="-1.6607312068219999"/>
    <n v="0"/>
    <n v="0"/>
    <n v="0"/>
    <n v="13398.7528"/>
    <n v="63902.980100000001"/>
    <n v="41651.253192550997"/>
    <s v="CP"/>
    <n v="1"/>
    <x v="2"/>
    <x v="0"/>
    <n v="0"/>
    <n v="0"/>
    <n v="1"/>
    <n v="1"/>
    <x v="0"/>
    <x v="0"/>
    <n v="1378"/>
    <n v="1378"/>
    <n v="0"/>
    <n v="0"/>
    <n v="0"/>
    <n v="400"/>
    <n v="0"/>
    <n v="0"/>
    <n v="0"/>
    <n v="8"/>
    <n v="0"/>
    <n v="0"/>
    <s v="CP"/>
    <n v="1"/>
    <s v="FD"/>
    <s v="G"/>
    <n v="1"/>
    <n v="3"/>
    <n v="0"/>
    <n v="0"/>
    <n v="100"/>
    <d v="2022-10-28T00:00:00"/>
    <n v="22300"/>
    <n v="249875"/>
    <n v="272200"/>
    <n v="318190"/>
    <n v="65"/>
    <n v="48369.487874125851"/>
    <n v="155833.95000000001"/>
    <n v="9808"/>
    <n v="25780"/>
    <n v="-239.16659999999999"/>
    <n v="85960.815434000004"/>
    <n v="0"/>
    <n v="35008.174800000001"/>
    <n v="16083.5344"/>
    <n v="0"/>
    <n v="-7796.6589999999997"/>
    <n v="368808.13690812589"/>
    <n v="1.1590814824731321"/>
    <n v="0.93645298159011592"/>
    <n v="0.94231068710026933"/>
    <n v="0.94035194935713262"/>
    <n v="0.93897388656927183"/>
    <n v="346503.49713292503"/>
    <n v="1.0889829885694868"/>
    <n v="28313.497132925026"/>
    <n v="801654119.89615369"/>
  </r>
  <r>
    <n v="23092241408"/>
    <n v="0.28000000000000003"/>
    <n v="12070"/>
    <n v="0"/>
    <s v="GV"/>
    <s v="GV"/>
    <n v="4"/>
    <s v="RES"/>
    <n v="240500"/>
    <n v="44500"/>
    <n v="0.28000000000000003"/>
    <n v="-1.2729656758129999"/>
    <n v="0"/>
    <n v="0"/>
    <n v="0"/>
    <n v="13398.7528"/>
    <n v="63902.980100000001"/>
    <n v="46846.827686898003"/>
    <s v="RN"/>
    <n v="1"/>
    <x v="0"/>
    <x v="3"/>
    <n v="0"/>
    <n v="0"/>
    <n v="48"/>
    <n v="62"/>
    <x v="2"/>
    <x v="4"/>
    <n v="2973"/>
    <n v="1592"/>
    <n v="0"/>
    <n v="1381"/>
    <n v="0"/>
    <n v="308"/>
    <n v="200"/>
    <n v="0"/>
    <n v="426"/>
    <n v="9"/>
    <n v="0"/>
    <n v="2"/>
    <s v="CP"/>
    <n v="1"/>
    <s v="FD"/>
    <s v="G"/>
    <n v="1"/>
    <n v="4"/>
    <n v="0"/>
    <n v="0"/>
    <n v="100"/>
    <d v="2022-10-28T00:00:00"/>
    <n v="25500"/>
    <n v="402545"/>
    <n v="428000"/>
    <n v="383000"/>
    <n v="65"/>
    <n v="54403.094506359892"/>
    <n v="155833.95000000001"/>
    <n v="20768"/>
    <n v="22342"/>
    <n v="-11479.996799999999"/>
    <n v="185458.27596900001"/>
    <n v="-37424.050439999999"/>
    <n v="26956.294596"/>
    <n v="18093.976200000001"/>
    <n v="0"/>
    <n v="-7796.6589999999997"/>
    <n v="427154.88503135991"/>
    <n v="1.1152869060871016"/>
    <n v="0.93979103106061679"/>
    <n v="0.94546156904349943"/>
    <n v="0.91535194202033021"/>
    <n v="0.92848762814113772"/>
    <n v="398224.98431528505"/>
    <n v="1.0397519172722847"/>
    <n v="15224.984315285052"/>
    <n v="231800147.40067583"/>
  </r>
  <r>
    <n v="23092621485"/>
    <n v="0"/>
    <n v="7763"/>
    <n v="0"/>
    <s v="GV"/>
    <s v="GV"/>
    <n v="4"/>
    <s v="RES"/>
    <n v="299200"/>
    <n v="39000"/>
    <n v="0.18"/>
    <n v="-1.7147984280919999"/>
    <n v="0"/>
    <n v="0"/>
    <n v="0"/>
    <n v="13398.7528"/>
    <n v="63902.980100000001"/>
    <n v="40926.819860167998"/>
    <s v="RN"/>
    <n v="1"/>
    <x v="0"/>
    <x v="0"/>
    <n v="0"/>
    <n v="0"/>
    <n v="1"/>
    <n v="1"/>
    <x v="0"/>
    <x v="1"/>
    <n v="1985"/>
    <n v="1985"/>
    <n v="0"/>
    <n v="0"/>
    <n v="0"/>
    <n v="719"/>
    <n v="0"/>
    <n v="0"/>
    <n v="120"/>
    <n v="10"/>
    <n v="0"/>
    <n v="0"/>
    <s v="CP"/>
    <n v="1"/>
    <s v="FD"/>
    <s v="G"/>
    <n v="1"/>
    <n v="4"/>
    <n v="0"/>
    <n v="0"/>
    <n v="100"/>
    <d v="2022-10-31T00:00:00"/>
    <n v="22300"/>
    <n v="393047"/>
    <n v="415300"/>
    <n v="420900"/>
    <n v="62"/>
    <n v="47528.20540119947"/>
    <n v="155833.95000000001"/>
    <n v="20768"/>
    <n v="25780"/>
    <n v="-239.16659999999999"/>
    <n v="123825.99320500001"/>
    <n v="0"/>
    <n v="62927.194202999999"/>
    <n v="20104.418000000001"/>
    <n v="0"/>
    <n v="-7436.8131999999996"/>
    <n v="449091.78100919951"/>
    <n v="1.0669797600598705"/>
    <n v="0.93979103106061679"/>
    <n v="0.94231068710026933"/>
    <n v="0.94035194935713262"/>
    <n v="0.94249369191070453"/>
    <n v="422701.72876293206"/>
    <n v="1.0042806575503256"/>
    <n v="1801.7287629320635"/>
    <n v="3246226.5351767042"/>
  </r>
  <r>
    <n v="23092621595"/>
    <n v="0"/>
    <n v="8250"/>
    <n v="0"/>
    <s v="GV"/>
    <s v="GV"/>
    <n v="4"/>
    <s v="RES"/>
    <n v="0"/>
    <n v="39100"/>
    <n v="0.19"/>
    <n v="-1.6607312068219999"/>
    <n v="0"/>
    <n v="0"/>
    <n v="0"/>
    <n v="13398.7528"/>
    <n v="63902.980100000001"/>
    <n v="41651.253192550997"/>
    <s v="CO"/>
    <n v="2"/>
    <x v="2"/>
    <x v="0"/>
    <n v="0"/>
    <n v="0"/>
    <n v="1"/>
    <n v="1"/>
    <x v="0"/>
    <x v="2"/>
    <n v="2168"/>
    <n v="896"/>
    <n v="1272"/>
    <n v="0"/>
    <n v="0"/>
    <n v="440"/>
    <n v="0"/>
    <n v="0"/>
    <n v="144"/>
    <n v="12"/>
    <n v="0"/>
    <n v="0"/>
    <s v="CP"/>
    <n v="1"/>
    <s v="FD"/>
    <s v="G"/>
    <n v="1"/>
    <n v="3"/>
    <n v="0"/>
    <n v="0"/>
    <n v="100"/>
    <d v="2022-11-02T00:00:00"/>
    <n v="22400"/>
    <n v="342925"/>
    <n v="365300"/>
    <n v="424900"/>
    <n v="60"/>
    <n v="48369.487874125851"/>
    <n v="155833.95000000001"/>
    <n v="9808"/>
    <n v="25780"/>
    <n v="-239.16659999999999"/>
    <n v="135241.689304"/>
    <n v="0"/>
    <n v="38508.992279999999"/>
    <n v="24125.301599999999"/>
    <n v="0"/>
    <n v="-7196.9160000000002"/>
    <n v="430231.33845812589"/>
    <n v="1.0125472780845515"/>
    <n v="0.93645298159011592"/>
    <n v="0.94231068710026933"/>
    <n v="0.94035194935713262"/>
    <n v="0.94539091427335964"/>
    <n v="404902.17100869236"/>
    <n v="0.95293521065825459"/>
    <n v="-19997.828991307644"/>
    <n v="399913164.36558449"/>
  </r>
  <r>
    <n v="23092621623"/>
    <n v="0"/>
    <n v="8165"/>
    <n v="0"/>
    <s v="GV"/>
    <s v="GV"/>
    <n v="4"/>
    <s v="RES"/>
    <n v="243300"/>
    <n v="391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1"/>
    <n v="1560"/>
    <n v="1560"/>
    <n v="0"/>
    <n v="0"/>
    <n v="0"/>
    <n v="400"/>
    <n v="0"/>
    <n v="0"/>
    <n v="100"/>
    <n v="9"/>
    <n v="0"/>
    <n v="0"/>
    <s v="CP"/>
    <n v="1"/>
    <s v="FD"/>
    <s v="E"/>
    <n v="0"/>
    <n v="3"/>
    <n v="0"/>
    <n v="0"/>
    <n v="100"/>
    <d v="2022-11-07T00:00:00"/>
    <n v="22400"/>
    <n v="273980"/>
    <n v="296400"/>
    <n v="364900"/>
    <n v="55"/>
    <n v="48369.487874125851"/>
    <n v="155833.95000000001"/>
    <n v="9808"/>
    <n v="25780"/>
    <n v="-239.16659999999999"/>
    <n v="97314.130680000002"/>
    <n v="0"/>
    <n v="35008.174800000001"/>
    <n v="18093.976200000001"/>
    <n v="0"/>
    <n v="-6597.1729999999998"/>
    <n v="383371.37995412579"/>
    <n v="1.0506203890219945"/>
    <n v="0.93645298159011592"/>
    <n v="0.94231068710026933"/>
    <n v="0.94035194935713262"/>
    <n v="0.94249369191070453"/>
    <n v="360523.33800174267"/>
    <n v="0.98800585914426597"/>
    <n v="-4376.661998257332"/>
    <n v="19155170.246989861"/>
  </r>
  <r>
    <n v="23092621625"/>
    <n v="0"/>
    <n v="8165"/>
    <n v="0"/>
    <s v="GV"/>
    <s v="GV"/>
    <n v="4"/>
    <s v="RES"/>
    <n v="0"/>
    <n v="325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1"/>
    <n v="1800"/>
    <n v="1800"/>
    <n v="0"/>
    <n v="0"/>
    <n v="0"/>
    <n v="440"/>
    <n v="0"/>
    <n v="0"/>
    <n v="120"/>
    <n v="10"/>
    <n v="0"/>
    <n v="0"/>
    <s v="CP"/>
    <n v="1"/>
    <s v="FD"/>
    <s v="G"/>
    <n v="1"/>
    <n v="4"/>
    <n v="0"/>
    <n v="0"/>
    <n v="100"/>
    <d v="2022-11-07T00:00:00"/>
    <n v="22400"/>
    <n v="315569"/>
    <n v="338000"/>
    <n v="436911"/>
    <n v="55"/>
    <n v="48369.487874125851"/>
    <n v="155833.95000000001"/>
    <n v="9808"/>
    <n v="25780"/>
    <n v="-239.16659999999999"/>
    <n v="112285.53540000001"/>
    <n v="0"/>
    <n v="38508.992279999999"/>
    <n v="20104.418000000001"/>
    <n v="0"/>
    <n v="-6597.1729999999998"/>
    <n v="403854.0439541259"/>
    <n v="0.9243393825152626"/>
    <n v="0.93645298159011592"/>
    <n v="0.94231068710026933"/>
    <n v="0.94035194935713262"/>
    <n v="0.94249369191070453"/>
    <n v="379785.28290052933"/>
    <n v="0.86925090670761174"/>
    <n v="-57125.717099470668"/>
    <n v="3263347554.1287556"/>
  </r>
  <r>
    <n v="23092621609"/>
    <n v="0"/>
    <n v="8348"/>
    <n v="0"/>
    <s v="GV"/>
    <s v="GV"/>
    <n v="4"/>
    <s v="RES"/>
    <n v="238400"/>
    <n v="39100"/>
    <n v="0.19"/>
    <n v="-1.6607312068219999"/>
    <n v="0"/>
    <n v="0"/>
    <n v="0"/>
    <n v="13398.7528"/>
    <n v="63902.980100000001"/>
    <n v="41651.253192550997"/>
    <s v="RN"/>
    <n v="1"/>
    <x v="0"/>
    <x v="0"/>
    <n v="0"/>
    <n v="0"/>
    <n v="1"/>
    <n v="1"/>
    <x v="0"/>
    <x v="1"/>
    <n v="1800"/>
    <n v="1800"/>
    <n v="0"/>
    <n v="0"/>
    <n v="0"/>
    <n v="440"/>
    <n v="0"/>
    <n v="0"/>
    <n v="120"/>
    <n v="10"/>
    <n v="0"/>
    <n v="0"/>
    <s v="CP"/>
    <n v="1"/>
    <s v="FD"/>
    <s v="G"/>
    <n v="1"/>
    <n v="4"/>
    <n v="0"/>
    <n v="0"/>
    <n v="100"/>
    <d v="2022-11-09T00:00:00"/>
    <n v="22400"/>
    <n v="357615"/>
    <n v="380000"/>
    <n v="391650"/>
    <n v="53"/>
    <n v="48369.487874125851"/>
    <n v="155833.95000000001"/>
    <n v="20768"/>
    <n v="25780"/>
    <n v="-239.16659999999999"/>
    <n v="112285.53540000001"/>
    <n v="0"/>
    <n v="38508.992279999999"/>
    <n v="20104.418000000001"/>
    <n v="0"/>
    <n v="-6357.2758000000003"/>
    <n v="415053.9411541259"/>
    <n v="1.0597572862354805"/>
    <n v="0.93979103106061679"/>
    <n v="0.94231068710026933"/>
    <n v="0.94035194935713262"/>
    <n v="0.94249369191070453"/>
    <n v="390664.05994217779"/>
    <n v="0.99748259911190551"/>
    <n v="-985.94005782221211"/>
    <n v="972077.79761846701"/>
  </r>
  <r>
    <n v="23092323464"/>
    <n v="0.26"/>
    <n v="11256"/>
    <n v="0"/>
    <s v="GV"/>
    <s v="GV"/>
    <n v="4"/>
    <s v="RES"/>
    <n v="98000"/>
    <n v="40500"/>
    <n v="0.26"/>
    <n v="-1.347073647967"/>
    <n v="0"/>
    <n v="0"/>
    <n v="0"/>
    <n v="13398.7528"/>
    <n v="63902.980100000001"/>
    <n v="45853.873287501003"/>
    <s v="TD"/>
    <n v="1"/>
    <x v="3"/>
    <x v="3"/>
    <n v="0"/>
    <n v="0"/>
    <n v="51"/>
    <n v="78"/>
    <x v="9"/>
    <x v="3"/>
    <n v="910"/>
    <n v="910"/>
    <n v="0"/>
    <n v="0"/>
    <n v="0"/>
    <n v="0"/>
    <n v="0"/>
    <n v="0"/>
    <n v="0"/>
    <n v="5"/>
    <n v="0"/>
    <n v="0"/>
    <s v="CP"/>
    <n v="1"/>
    <s v="BH"/>
    <s v="E"/>
    <n v="0"/>
    <n v="2"/>
    <n v="0"/>
    <n v="0"/>
    <n v="100"/>
    <d v="2022-11-15T00:00:00"/>
    <n v="23200"/>
    <n v="86679"/>
    <n v="109900"/>
    <n v="245000"/>
    <n v="47"/>
    <n v="53249.979243317037"/>
    <n v="155833.95000000001"/>
    <n v="-28558"/>
    <n v="22342"/>
    <n v="-12197.496599999999"/>
    <n v="56766.576229999999"/>
    <n v="0"/>
    <n v="0"/>
    <n v="10052.209000000001"/>
    <n v="0"/>
    <n v="-5637.5842000000002"/>
    <n v="251851.63367331703"/>
    <n v="1.0279658517278247"/>
    <n v="0.89909171974485158"/>
    <n v="0.94546156904349943"/>
    <n v="0.93121896872088394"/>
    <n v="0.87336335356423944"/>
    <n v="229760.19128608314"/>
    <n v="0.93779669912686991"/>
    <n v="-15239.808713916864"/>
    <n v="232251769.63677639"/>
  </r>
  <r>
    <n v="23092621608"/>
    <n v="0"/>
    <n v="8030"/>
    <n v="0"/>
    <s v="GV"/>
    <s v="GV"/>
    <n v="4"/>
    <s v="RES"/>
    <n v="0"/>
    <n v="32500"/>
    <n v="0.18"/>
    <n v="-1.7147984280919999"/>
    <n v="0"/>
    <n v="0"/>
    <n v="0"/>
    <n v="13398.7528"/>
    <n v="63902.980100000001"/>
    <n v="40926.819860167998"/>
    <s v="CP"/>
    <n v="1"/>
    <x v="2"/>
    <x v="0"/>
    <n v="0"/>
    <n v="0"/>
    <n v="1"/>
    <n v="1"/>
    <x v="0"/>
    <x v="0"/>
    <n v="1378"/>
    <n v="1378"/>
    <n v="0"/>
    <n v="0"/>
    <n v="0"/>
    <n v="400"/>
    <n v="0"/>
    <n v="0"/>
    <n v="0"/>
    <n v="8"/>
    <n v="0"/>
    <n v="0"/>
    <s v="CP"/>
    <n v="1"/>
    <s v="FD"/>
    <s v="G"/>
    <n v="1"/>
    <n v="3"/>
    <n v="0"/>
    <n v="0"/>
    <n v="100"/>
    <d v="2022-12-02T00:00:00"/>
    <n v="22300"/>
    <n v="249875"/>
    <n v="272200"/>
    <n v="315998"/>
    <n v="30"/>
    <n v="47528.20540119947"/>
    <n v="155833.95000000001"/>
    <n v="9808"/>
    <n v="25780"/>
    <n v="-239.16659999999999"/>
    <n v="85960.815434000004"/>
    <n v="0"/>
    <n v="35008.174800000001"/>
    <n v="16083.5344"/>
    <n v="0"/>
    <n v="-3598.4580000000001"/>
    <n v="372165.05543519947"/>
    <n v="1.1777449712820951"/>
    <n v="0.93645298159011592"/>
    <n v="0.94231068710026933"/>
    <n v="0.94035194935713262"/>
    <n v="0.93897388656927183"/>
    <n v="349657.39720403723"/>
    <n v="1.106517753922611"/>
    <n v="33659.397204037232"/>
    <n v="1132955020.1391494"/>
  </r>
  <r>
    <n v="23092621440"/>
    <n v="0"/>
    <n v="9900"/>
    <n v="0"/>
    <s v="GV"/>
    <s v="GV"/>
    <n v="4"/>
    <s v="RES"/>
    <n v="344400"/>
    <n v="39500"/>
    <n v="0.23"/>
    <n v="-1.4696759700590001"/>
    <n v="0"/>
    <n v="0"/>
    <n v="0"/>
    <n v="13398.7528"/>
    <n v="63902.980100000001"/>
    <n v="44211.155081080004"/>
    <s v="CP"/>
    <n v="2"/>
    <x v="0"/>
    <x v="0"/>
    <n v="0"/>
    <n v="0"/>
    <n v="1"/>
    <n v="1"/>
    <x v="0"/>
    <x v="4"/>
    <n v="2546"/>
    <n v="1180"/>
    <n v="1366"/>
    <n v="0"/>
    <n v="0"/>
    <n v="778"/>
    <n v="0"/>
    <n v="0"/>
    <n v="0"/>
    <n v="12"/>
    <n v="0"/>
    <n v="0"/>
    <s v="CP"/>
    <n v="1"/>
    <s v="FD"/>
    <s v="G"/>
    <n v="1"/>
    <n v="3"/>
    <n v="0"/>
    <n v="0"/>
    <n v="100"/>
    <d v="2022-12-07T00:00:00"/>
    <n v="22600"/>
    <n v="457215"/>
    <n v="479800"/>
    <n v="459900"/>
    <n v="25"/>
    <n v="51342.29502553949"/>
    <n v="155833.95000000001"/>
    <n v="20768"/>
    <n v="25780"/>
    <n v="-239.16659999999999"/>
    <n v="158821.65173800002"/>
    <n v="0"/>
    <n v="68090.899986000004"/>
    <n v="24125.301599999999"/>
    <n v="0"/>
    <n v="-2998.7150000000001"/>
    <n v="501524.21674953954"/>
    <n v="1.090507103173602"/>
    <n v="0.93979103106061679"/>
    <n v="0.94231068710026933"/>
    <n v="0.94035194935713262"/>
    <n v="0.92848762814113772"/>
    <n v="470296.97384474042"/>
    <n v="1.0226070316258762"/>
    <n v="10396.973844740423"/>
    <n v="108097065.12821646"/>
  </r>
  <r>
    <n v="23092621612"/>
    <n v="0"/>
    <n v="8140"/>
    <n v="0"/>
    <s v="GV"/>
    <s v="GV"/>
    <n v="4"/>
    <s v="RES"/>
    <n v="0"/>
    <n v="390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460"/>
    <n v="1460"/>
    <n v="0"/>
    <n v="0"/>
    <n v="0"/>
    <n v="440"/>
    <n v="0"/>
    <n v="0"/>
    <n v="60"/>
    <n v="9"/>
    <n v="0"/>
    <n v="0"/>
    <s v="CP"/>
    <n v="1"/>
    <s v="FD"/>
    <s v="G"/>
    <n v="1"/>
    <n v="3"/>
    <n v="0"/>
    <n v="0"/>
    <n v="100"/>
    <d v="2022-12-14T00:00:00"/>
    <n v="22300"/>
    <n v="265402"/>
    <n v="287700"/>
    <n v="339900"/>
    <n v="18"/>
    <n v="48369.487874125851"/>
    <n v="155833.95000000001"/>
    <n v="9808"/>
    <n v="25780"/>
    <n v="-239.16659999999999"/>
    <n v="91076.045379999996"/>
    <n v="0"/>
    <n v="38508.992279999999"/>
    <n v="18093.976200000001"/>
    <n v="0"/>
    <n v="-2159.0747999999999"/>
    <n v="385072.21033412585"/>
    <n v="1.1328985299621237"/>
    <n v="0.93645298159011592"/>
    <n v="0.94231068710026933"/>
    <n v="0.94035194935713262"/>
    <n v="0.93897388656927183"/>
    <n v="361783.95804406685"/>
    <n v="1.0643835188116118"/>
    <n v="21883.958044066851"/>
    <n v="478907619.67447823"/>
  </r>
  <r>
    <n v="23092621481"/>
    <n v="0"/>
    <n v="9900"/>
    <n v="0"/>
    <s v="GV"/>
    <s v="GV"/>
    <n v="4"/>
    <s v="RES"/>
    <n v="0"/>
    <n v="33000"/>
    <n v="0.23"/>
    <n v="-1.4696759700590001"/>
    <n v="0"/>
    <n v="0"/>
    <n v="0"/>
    <n v="13398.7528"/>
    <n v="63902.980100000001"/>
    <n v="44211.155081080004"/>
    <s v="CO"/>
    <n v="1"/>
    <x v="2"/>
    <x v="0"/>
    <n v="0"/>
    <n v="0"/>
    <n v="1"/>
    <n v="1"/>
    <x v="0"/>
    <x v="2"/>
    <n v="2168"/>
    <n v="896"/>
    <n v="1272"/>
    <n v="0"/>
    <n v="0"/>
    <n v="440"/>
    <n v="0"/>
    <n v="0"/>
    <n v="144"/>
    <n v="12"/>
    <n v="0"/>
    <n v="0"/>
    <s v="CP"/>
    <n v="1"/>
    <s v="FD"/>
    <s v="G"/>
    <n v="1"/>
    <n v="3"/>
    <n v="0"/>
    <n v="0"/>
    <n v="100"/>
    <d v="2022-12-14T00:00:00"/>
    <n v="22600"/>
    <n v="351448"/>
    <n v="374000"/>
    <n v="426286"/>
    <n v="18"/>
    <n v="51342.29502553949"/>
    <n v="155833.95000000001"/>
    <n v="9808"/>
    <n v="25780"/>
    <n v="-239.16659999999999"/>
    <n v="135241.689304"/>
    <n v="0"/>
    <n v="38508.992279999999"/>
    <n v="24125.301599999999"/>
    <n v="0"/>
    <n v="-2159.0747999999999"/>
    <n v="438241.98680953955"/>
    <n v="1.028046867149143"/>
    <n v="0.93645298159011592"/>
    <n v="0.94231068710026933"/>
    <n v="0.94035194935713262"/>
    <n v="0.94539091427335964"/>
    <n v="412441.20552044793"/>
    <n v="0.96752228672874063"/>
    <n v="-13844.794479552074"/>
    <n v="191678334.18103558"/>
  </r>
  <r>
    <n v="23092621610"/>
    <n v="0"/>
    <n v="8208"/>
    <n v="0"/>
    <s v="GV"/>
    <s v="GV"/>
    <n v="4"/>
    <s v="RES"/>
    <n v="0"/>
    <n v="32500"/>
    <n v="0.19"/>
    <n v="-1.6607312068219999"/>
    <n v="0"/>
    <n v="0"/>
    <n v="0"/>
    <n v="13398.7528"/>
    <n v="63902.980100000001"/>
    <n v="41651.253192550997"/>
    <s v="RN"/>
    <n v="1"/>
    <x v="2"/>
    <x v="0"/>
    <n v="0"/>
    <n v="0"/>
    <n v="1"/>
    <n v="1"/>
    <x v="0"/>
    <x v="0"/>
    <n v="1430"/>
    <n v="1430"/>
    <n v="0"/>
    <n v="0"/>
    <n v="0"/>
    <n v="440"/>
    <n v="0"/>
    <n v="0"/>
    <n v="0"/>
    <n v="9"/>
    <n v="0"/>
    <n v="0"/>
    <s v="CP"/>
    <n v="1"/>
    <s v="FD"/>
    <s v="G"/>
    <n v="1"/>
    <n v="3"/>
    <n v="0"/>
    <n v="0"/>
    <n v="100"/>
    <d v="2022-12-21T00:00:00"/>
    <n v="22400"/>
    <n v="260133"/>
    <n v="282500"/>
    <n v="344734"/>
    <n v="11"/>
    <n v="48369.487874125851"/>
    <n v="155833.95000000001"/>
    <n v="9808"/>
    <n v="25780"/>
    <n v="-239.16659999999999"/>
    <n v="89204.619789999997"/>
    <n v="0"/>
    <n v="38508.992279999999"/>
    <n v="18093.976200000001"/>
    <n v="0"/>
    <n v="-1319.4346"/>
    <n v="384040.42494412587"/>
    <n v="1.1140195772512309"/>
    <n v="0.93645298159011592"/>
    <n v="0.94231068710026933"/>
    <n v="0.94035194935713262"/>
    <n v="0.93897388656927183"/>
    <n v="360814.57258277287"/>
    <n v="1.0466463203013712"/>
    <n v="16080.572582772875"/>
    <n v="258584814.589826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752374-1FA5-4E74-ACC0-0A4E25F684F3}" name="PivotTable15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4:B32" firstHeaderRow="1" firstDataRow="1" firstDataCol="1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3"/>
        <item x="0"/>
        <item x="1"/>
        <item x="2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Average of predicted_ratio" fld="67" subtotal="average" baseField="2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324F8B-ECF8-42BD-8C70-7B81B8010259}" name="PivotTable14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3:F16" firstHeaderRow="1" firstDataRow="1" firstDataCol="1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0"/>
        <item x="7"/>
        <item x="1"/>
        <item x="11"/>
        <item x="4"/>
        <item x="5"/>
        <item x="2"/>
        <item x="6"/>
        <item x="9"/>
        <item x="8"/>
        <item x="3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Average of predicted_ratio" fld="67" subtotal="average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1A1BD-CCBE-4E5A-B5EE-E028EAA0AB1A}" name="PivotTable13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5:B21" firstHeaderRow="1" firstDataRow="1" firstDataCol="1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0"/>
        <item x="4"/>
        <item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Average of predicted_ratio" fld="67" subtotal="average" baseField="2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C71680-CF4C-4923-B8E6-66EFD55E8D4D}" name="PivotTable1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2" firstHeaderRow="1" firstDataRow="1" firstDataCol="1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1"/>
        <item x="2"/>
        <item x="3"/>
        <item x="7"/>
        <item x="4"/>
        <item x="0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Average of predicted_ratio" fld="67" subtotal="average" baseField="19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81D0587-4844-469F-B1A1-68A42B3EB845}" name="Grandview_Sales" displayName="Grandview_Sales" ref="A1:BZ289" totalsRowShown="0">
  <autoFilter ref="A1:BZ289" xr:uid="{681D0587-4844-469F-B1A1-68A42B3EB8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</autoFilter>
  <tableColumns count="78">
    <tableColumn id="1" xr3:uid="{D61388A7-6670-47AA-B78B-5D1F8288C3E2}" name="parcel_id"/>
    <tableColumn id="2" xr3:uid="{9B093B11-0FDA-4AAD-903A-2A657C6B1FCD}" name="total_acres"/>
    <tableColumn id="3" xr3:uid="{0F001220-1020-4336-BE6C-D7E2D0794667}" name="total_sqft"/>
    <tableColumn id="4" xr3:uid="{F5045933-0AEF-45BC-A944-A609604861A4}" name="unimproved_acres"/>
    <tableColumn id="5" xr3:uid="{42628CC6-E72E-4609-873B-218FAD7AA703}" name="nbhd"/>
    <tableColumn id="6" xr3:uid="{09209744-F5BE-4BFE-A96F-58514D7F0D50}" name="treated_as"/>
    <tableColumn id="7" xr3:uid="{559A0E04-AB06-4CF9-B1E4-58531E8F1F29}" name="inspct_cycle"/>
    <tableColumn id="8" xr3:uid="{1E8A0062-36B4-40CE-8008-3D85130B3C15}" name="prop_type"/>
    <tableColumn id="9" xr3:uid="{9E0393F2-9F0E-4BDB-A30F-C9519C762C1A}" name="prev_imp"/>
    <tableColumn id="10" xr3:uid="{8ECBB270-0AF6-4827-8B96-6D767497A22E}" name="prev_land"/>
    <tableColumn id="11" xr3:uid="{65BADCB1-31B3-4D2B-B3CA-F8FF2235AE59}" name="parcel_acres"/>
    <tableColumn id="68" xr3:uid="{CBF23479-9DD3-45F8-BF2B-92CA288BFF64}" name="ln_acres"/>
    <tableColumn id="12" xr3:uid="{6B5E5467-40CF-4361-81C1-203578D97059}" name="non_valued_acres"/>
    <tableColumn id="13" xr3:uid="{CDEE514C-7830-449E-8677-0BF0E0B08C3A}" name="unbuildable"/>
    <tableColumn id="14" xr3:uid="{E6ED9ED1-9390-408C-8FB3-691FAE5C0853}" name="no_utilities"/>
    <tableColumn id="15" xr3:uid="{23E13F90-FA18-4D25-A169-07A4A4B92E76}" name="coeff"/>
    <tableColumn id="16" xr3:uid="{EC649541-86BA-4964-A12A-2492005086C3}" name="const"/>
    <tableColumn id="17" xr3:uid="{CF123109-8B8E-46E0-8E36-32B8FAC03435}" name="land_extract" dataDxfId="53">
      <calculatedColumnFormula>(LN(Grandview_Sales[[#This Row],[parcel_acres]])*Grandview_Sales[[#This Row],[coeff]])+Grandview_Sales[[#This Row],[const]]</calculatedColumnFormula>
    </tableColumn>
    <tableColumn id="18" xr3:uid="{99F41B0D-443A-45AF-9152-D8E803B22330}" name="bldg_style"/>
    <tableColumn id="19" xr3:uid="{206FAFC0-8699-4E8A-B282-12195E2AF41B}" name="num_stories"/>
    <tableColumn id="20" xr3:uid="{5FDD972A-168E-4C55-961C-0E3161DD04D7}" name="quality"/>
    <tableColumn id="21" xr3:uid="{5BCB0680-2E9F-43F0-93D9-DA93BB87AC9B}" name="condition"/>
    <tableColumn id="22" xr3:uid="{32976874-EDDE-4B7B-B99B-79CF2F20FD16}" name="quality_rank" dataDxfId="52">
      <calculatedColumnFormula>0</calculatedColumnFormula>
    </tableColumn>
    <tableColumn id="23" xr3:uid="{7CAF2DA3-823B-4A20-BD9B-05534F82B850}" name="condition_rank" dataDxfId="51">
      <calculatedColumnFormula>0</calculatedColumnFormula>
    </tableColumn>
    <tableColumn id="24" xr3:uid="{A635A146-E284-4BA5-9F03-96F535DBBA5A}" name="Eff_Age"/>
    <tableColumn id="25" xr3:uid="{B94B2D74-79CA-4F98-AE40-1EB29F617895}" name="Age"/>
    <tableColumn id="26" xr3:uid="{CCECA181-2310-455A-9106-9C6A0EC27C61}" name="decade"/>
    <tableColumn id="27" xr3:uid="{13F00D6E-2E3A-4DE1-ABE6-21DBF837CEF9}" name="living_area_range"/>
    <tableColumn id="28" xr3:uid="{2895EDCA-2B5A-4168-B71F-156170AC9388}" name="living_area"/>
    <tableColumn id="29" xr3:uid="{04057752-C561-4139-B134-45F72BA9B2DE}" name="Main Floor"/>
    <tableColumn id="30" xr3:uid="{25F6BBB4-49D9-4A67-8FF2-38AC7A5A9055}" name="Upper Floor"/>
    <tableColumn id="31" xr3:uid="{ADC80DB6-3F41-4F23-A2AF-F00255973203}" name="Fin BSMT"/>
    <tableColumn id="32" xr3:uid="{33045996-BA37-4E2D-B266-60BB6327E9D5}" name="UnFin BSMT"/>
    <tableColumn id="33" xr3:uid="{918E9876-BF67-4C01-8B71-86CEDA7532FD}" name="garage_sqft"/>
    <tableColumn id="34" xr3:uid="{9CFC5EB9-4FC5-480D-A93E-C521DC93AFFE}" name="Carport"/>
    <tableColumn id="35" xr3:uid="{A1CA8DE1-2FEA-401B-BF56-513B05AC553F}" name="Wood Deck"/>
    <tableColumn id="36" xr3:uid="{D5236FB7-F738-4D93-9BC2-2BB6680688C9}" name="Patio"/>
    <tableColumn id="37" xr3:uid="{9E3B5F61-17C8-4345-BF55-41010DD1AF2E}" name="Plumbing Fixtures"/>
    <tableColumn id="38" xr3:uid="{6D56D9FA-3802-467A-A835-F4AA83B1938F}" name="stove"/>
    <tableColumn id="39" xr3:uid="{2EB31095-9680-4032-A68F-9ED408787C6E}" name="fireplace"/>
    <tableColumn id="40" xr3:uid="{4E646325-B4B2-4D25-A330-069E65599904}" name="roofing"/>
    <tableColumn id="41" xr3:uid="{CCB9CB82-A17F-465F-834B-80F812B22726}" name="heating"/>
    <tableColumn id="42" xr3:uid="{DC2589CC-5F9E-481E-8CE9-5B87B2AABE9F}" name="heat_type"/>
    <tableColumn id="43" xr3:uid="{46AA47EC-9439-45D9-921A-EA7E3F88D856}" name="fuel_type"/>
    <tableColumn id="44" xr3:uid="{3E1A5B68-4353-4382-BDF0-79C3FD6585A1}" name="ac"/>
    <tableColumn id="45" xr3:uid="{0267D9FF-D8CE-4179-9E3E-5331668208BC}" name="num_bedrooms"/>
    <tableColumn id="46" xr3:uid="{D421F6D1-A510-4325-B6BB-15062DEA2D6A}" name="crop_value"/>
    <tableColumn id="47" xr3:uid="{EDAE0EAD-F4D1-4EA3-B940-91294D4C7E64}" name="detatched_value"/>
    <tableColumn id="48" xr3:uid="{27C389B9-F4EE-4F41-9A30-379EFB14D2AE}" name="pct_complete"/>
    <tableColumn id="49" xr3:uid="{CCDE097E-EBB5-45FC-AEB9-AED0CB54E63E}" name="sale_date" dataDxfId="50"/>
    <tableColumn id="50" xr3:uid="{027FC105-F4A5-446F-9159-FB74D38169A5}" name="assessed_land"/>
    <tableColumn id="51" xr3:uid="{25DED48D-8BCE-4D6F-AAEC-42FB2CAB7188}" name="assessed_imp"/>
    <tableColumn id="52" xr3:uid="{B427DB31-12BF-453F-B699-C9E4B65D22C8}" name="assessed_total"/>
    <tableColumn id="53" xr3:uid="{782B2D6B-9D8D-4D6A-8234-186BA24FB866}" name="sale_price"/>
    <tableColumn id="54" xr3:uid="{6253F0A4-9AE2-4CD0-9B36-67356046F8C6}" name="days_prior"/>
    <tableColumn id="69" xr3:uid="{9839DA11-1C2A-47AF-B759-5483FF722D65}" name="land_value" dataDxfId="49">
      <calculatedColumnFormula>Grandview_Sales[[#This Row],[land_extract]]*Lookups!$B$3</calculatedColumnFormula>
    </tableColumn>
    <tableColumn id="55" xr3:uid="{C3202DE8-26FC-40EA-9819-71286C5A5A66}" name="Intercept" dataDxfId="48">
      <calculatedColumnFormula>Lookups!$B$2</calculatedColumnFormula>
    </tableColumn>
    <tableColumn id="57" xr3:uid="{2776DB41-545F-4D05-88B7-B941B9FB5702}" name="quality_rank_value" dataDxfId="47">
      <calculatedColumnFormula>VLOOKUP(Grandview_Sales[[#This Row],[quality]],Lookups!$H$2:$J$13,3,FALSE)</calculatedColumnFormula>
    </tableColumn>
    <tableColumn id="58" xr3:uid="{4DD71F41-BBA6-45BC-866F-F11015066511}" name="condition_rank_value" dataDxfId="46">
      <calculatedColumnFormula>VLOOKUP(Grandview_Sales[[#This Row],[condition]],Lookups!$H$17:$J$24,3,FALSE)</calculatedColumnFormula>
    </tableColumn>
    <tableColumn id="70" xr3:uid="{56D27C1C-B9CE-4566-A705-5DA93A03181A}" name="eff_age_value" dataDxfId="45">
      <calculatedColumnFormula>Grandview_Sales[[#This Row],[Eff_Age]]*Lookups!$B$14</calculatedColumnFormula>
    </tableColumn>
    <tableColumn id="60" xr3:uid="{53E7BD42-FA52-4F88-B65E-C6C6E63D789A}" name="Living_area_value" dataDxfId="44">
      <calculatedColumnFormula>Grandview_Sales[[#This Row],[living_area]]*Lookups!$B$15</calculatedColumnFormula>
    </tableColumn>
    <tableColumn id="62" xr3:uid="{E3769204-207C-4D6E-8678-D92CCF5449B4}" name="Fin BSMT_value" dataDxfId="43">
      <calculatedColumnFormula>Grandview_Sales[[#This Row],[Fin BSMT]]*Lookups!$B$16</calculatedColumnFormula>
    </tableColumn>
    <tableColumn id="63" xr3:uid="{879F5101-B35A-4871-A6C6-B69D8BFE2124}" name="garage_sqft_value" dataDxfId="42">
      <calculatedColumnFormula>Grandview_Sales[[#This Row],[garage_sqft]]*Lookups!$B$17</calculatedColumnFormula>
    </tableColumn>
    <tableColumn id="65" xr3:uid="{61172A84-2207-44B3-A776-127A11D80D20}" name="Plumbing Fixtures_value" dataDxfId="41">
      <calculatedColumnFormula>Grandview_Sales[[#This Row],[Plumbing Fixtures]]*Lookups!$B$18</calculatedColumnFormula>
    </tableColumn>
    <tableColumn id="66" xr3:uid="{DA7BE545-D025-4B3B-8EED-29B9E1DEAEC2}" name="detatched_value_value" dataDxfId="40">
      <calculatedColumnFormula>Grandview_Sales[[#This Row],[detatched_value]]*Lookups!$B$19</calculatedColumnFormula>
    </tableColumn>
    <tableColumn id="67" xr3:uid="{D4D1F9F1-6E2B-494C-95E6-DA95783CAFD0}" name="Days Prior To Assessment_value" dataDxfId="39">
      <calculatedColumnFormula>Grandview_Sales[[#This Row],[days_prior]]*Lookups!$B$20</calculatedColumnFormula>
    </tableColumn>
    <tableColumn id="73" xr3:uid="{0A9C0107-A138-47B8-8103-07952E634FB4}" name="predicted_total" dataDxfId="38">
      <calculatedColumnFormula>SUM(Grandview_Sales[[#This Row],[land_value]:[Days Prior To Assessment_value]])</calculatedColumnFormula>
    </tableColumn>
    <tableColumn id="74" xr3:uid="{0D748335-084C-40F3-A4B3-C5120A379E06}" name="predicted_ratio" dataDxfId="37">
      <calculatedColumnFormula>Grandview_Sales[[#This Row],[predicted_total]]/Grandview_Sales[[#This Row],[sale_price]]</calculatedColumnFormula>
    </tableColumn>
    <tableColumn id="85" xr3:uid="{3099AD8D-A2B8-4A47-B00B-A4FE6D497CF7}" name="qual_adj" dataDxfId="36">
      <calculatedColumnFormula>VLOOKUP(Grandview_Sales[[#This Row],[quality]],Lookups!$A$26:$C$33,3,FALSE)</calculatedColumnFormula>
    </tableColumn>
    <tableColumn id="75" xr3:uid="{79F32DDC-7600-47FA-8C4D-2FE386BFBAA3}" name="cond_adj" dataDxfId="35">
      <calculatedColumnFormula>VLOOKUP(Grandview_Sales[[#This Row],[condition]],Lookups!$A$37:$C$44,3,FALSE)</calculatedColumnFormula>
    </tableColumn>
    <tableColumn id="76" xr3:uid="{7081E756-567A-4BE1-8F60-A4D1A1EC21AA}" name="decade_adj" dataDxfId="34">
      <calculatedColumnFormula>VLOOKUP(Grandview_Sales[[#This Row],[decade]],Lookups!$F$29:$H$43,3,FALSE)</calculatedColumnFormula>
    </tableColumn>
    <tableColumn id="77" xr3:uid="{21BC8899-ED8A-498B-9382-2B85A60766D3}" name="size_adj" dataDxfId="33">
      <calculatedColumnFormula>VLOOKUP(Grandview_Sales[[#This Row],[living_area_range]],Lookups!$F$47:$H$56,3,FALSE)</calculatedColumnFormula>
    </tableColumn>
    <tableColumn id="80" xr3:uid="{359D9F66-70A3-49DD-BA6B-D4599882A576}" name="final_total" dataDxfId="32">
      <calculatedColumnFormula>Grandview_Sales[[#This Row],[predicted_total]]*AVERAGE(Grandview_Sales[[#This Row],[qual_adj]:[size_adj]])</calculatedColumnFormula>
    </tableColumn>
    <tableColumn id="81" xr3:uid="{03FFA056-51D8-4E37-999F-F3BD271E1AA4}" name="final_ratio" dataDxfId="4">
      <calculatedColumnFormula>Grandview_Sales[[#This Row],[final_total]]/Grandview_Sales[[#This Row],[sale_price]]</calculatedColumnFormula>
    </tableColumn>
    <tableColumn id="82" xr3:uid="{D55B76F8-B049-4040-A5A5-D4241D3BF5A4}" name="SSE" dataDxfId="3">
      <calculatedColumnFormula>(Grandview_Sales[[#This Row],[final_total]]-Grandview_Sales[[#This Row],[sale_price]])^2</calculatedColumnFormula>
    </tableColumn>
    <tableColumn id="59" xr3:uid="{956AC445-061C-4AD4-ADEB-ABBA73B68AA7}" name="SSR" dataDxfId="2">
      <calculatedColumnFormula>(Grandview_Sales[[#This Row],[final_total]]-AVERAGE(Grandview_Sales[sale_price]))^2</calculatedColumnFormula>
    </tableColumn>
    <tableColumn id="61" xr3:uid="{8C71A353-52C4-464F-9DD4-E7FEF254C999}" name="SST" dataDxfId="0">
      <calculatedColumnFormula>Grandview_Sales[[#This Row],[SSE]]+Grandview_Sales[[#This Row],[SSR]]</calculatedColumnFormula>
    </tableColumn>
    <tableColumn id="56" xr3:uid="{79AC6B36-7F66-4357-A33B-BC4577CA1469}" name="ABS Deviation from Median" dataDxfId="1">
      <calculatedColumnFormula>ABS(Grandview_Sales[[#This Row],[final_ratio]]-MEDIAN(Grandview_Sales[final_ratio]))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0DC73B7-EAAD-4B1C-801D-E4B47CB2201C}" name="Grandview_Inventory" displayName="Grandview_Inventory" ref="A1:CE2872" totalsRowShown="0">
  <autoFilter ref="A1:CE2872" xr:uid="{90DC73B7-EAAD-4B1C-801D-E4B47CB2201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  <filterColumn colId="82" hiddenButton="1"/>
  </autoFilter>
  <tableColumns count="83">
    <tableColumn id="1" xr3:uid="{6D55B283-7F5C-4E8D-9769-FD082FCB8B3B}" name="parcel_id"/>
    <tableColumn id="2" xr3:uid="{09D8ACDA-C1A5-4477-8571-EC84FC3F2900}" name="total_acres"/>
    <tableColumn id="3" xr3:uid="{C4745897-4C14-4820-9EEA-D403A817C763}" name="total_sqft"/>
    <tableColumn id="4" xr3:uid="{7F41F0DB-DB1C-40CD-A327-6A085DE7DE6E}" name="unimproved_acres"/>
    <tableColumn id="5" xr3:uid="{267E66C7-10BC-4ECC-9AF5-F1E752715364}" name="nbhd"/>
    <tableColumn id="6" xr3:uid="{B3F78371-1D86-4343-82D1-8A49FDCA6D51}" name="treated_as"/>
    <tableColumn id="7" xr3:uid="{CBF61D1A-F1BF-4A02-BA86-15FC93F4B502}" name="inspct_cycle"/>
    <tableColumn id="8" xr3:uid="{D7077270-3FA4-475C-9D5D-5475B54688E2}" name="prop_type"/>
    <tableColumn id="9" xr3:uid="{AC18568F-E0AB-455D-830A-4B07FE765B60}" name="prev_imp"/>
    <tableColumn id="10" xr3:uid="{5CC8E037-95C2-4433-9BDF-FF11A5F56D7C}" name="prev_land"/>
    <tableColumn id="11" xr3:uid="{2691F66A-6F54-4B40-B0B2-F6A58951D945}" name="parcel_acres"/>
    <tableColumn id="54" xr3:uid="{8487F0CB-F9F0-47DA-810F-9B1582BA5BBF}" name="ln_acres" dataDxfId="31">
      <calculatedColumnFormula>IF(Grandview_Inventory[[#This Row],[parcel_acres]]-Grandview_Inventory[[#This Row],[non_valued_acres]] =0,0,LN(Grandview_Inventory[[#This Row],[parcel_acres]]-Grandview_Inventory[[#This Row],[non_valued_acres]]))</calculatedColumnFormula>
    </tableColumn>
    <tableColumn id="12" xr3:uid="{2460BECD-748F-46C9-BB7B-37341BB52F70}" name="non_valued_acres"/>
    <tableColumn id="13" xr3:uid="{ADF0AB4E-A0AD-4B0E-A3B5-9661F93CF5B2}" name="unbuildable"/>
    <tableColumn id="14" xr3:uid="{092AE50B-1732-499D-AAD5-31E0FA8473E6}" name="no_utilities"/>
    <tableColumn id="15" xr3:uid="{6F9F1B1B-DE20-4548-B347-8AA1E965C4F9}" name="coeff"/>
    <tableColumn id="16" xr3:uid="{0FDCC713-722E-4123-96BA-7DD70416D239}" name="const"/>
    <tableColumn id="17" xr3:uid="{76CFEA28-791C-41D5-BBB7-D1EA6284E02D}" name="land_extract" dataDxfId="30">
      <calculatedColumnFormula>(Grandview_Inventory[[#This Row],[ln_acres]]*Grandview_Inventory[[#This Row],[coeff]])+Grandview_Inventory[[#This Row],[const]]</calculatedColumnFormula>
    </tableColumn>
    <tableColumn id="18" xr3:uid="{46BB3652-C655-4A45-AADC-CA2D360FFB5F}" name="bldg_style"/>
    <tableColumn id="19" xr3:uid="{A30510F2-72D4-432C-8823-D4B83325AC44}" name="num_stories"/>
    <tableColumn id="20" xr3:uid="{2249C294-4A0B-4D3C-8C0A-9451D1CC589C}" name="quality"/>
    <tableColumn id="21" xr3:uid="{A7EA5663-5CDF-43A6-B377-04B7059C25DD}" name="condition"/>
    <tableColumn id="22" xr3:uid="{3A807D12-BB7C-44C8-BDB5-C29E60F1ABE3}" name="quality_rank"/>
    <tableColumn id="23" xr3:uid="{CBFDB991-6DD7-47DE-8CCD-EBDAFD43A288}" name="condition_rank"/>
    <tableColumn id="24" xr3:uid="{8E9B02CA-1DE5-4086-AFF7-FCB55D49FB13}" name="Eff_Age"/>
    <tableColumn id="25" xr3:uid="{E7D5DC7F-A598-4DFC-8000-BB66A1E731B5}" name="Age"/>
    <tableColumn id="26" xr3:uid="{C7E3800B-C09E-4AAC-980B-B2D10ADA6D6F}" name="decade"/>
    <tableColumn id="27" xr3:uid="{B2E1D265-DC5C-4334-89E3-420F6E5EC84A}" name="living_area_range"/>
    <tableColumn id="28" xr3:uid="{8419F825-6E66-4BA5-BB3F-BBE8AD465012}" name="living_area"/>
    <tableColumn id="29" xr3:uid="{B59ED3C8-7075-4235-88B5-8BB179856C9B}" name="Main Floor"/>
    <tableColumn id="30" xr3:uid="{D17D2E67-7F6E-4150-957B-0D7FD25AF385}" name="Upper Floor"/>
    <tableColumn id="57" xr3:uid="{C9044509-BA8A-4210-8F29-DD41714DE642}" name="addL_area"/>
    <tableColumn id="31" xr3:uid="{4E4DB7AB-4E15-4512-98EF-7904662775DF}" name="Fin BSMT"/>
    <tableColumn id="32" xr3:uid="{8342DB87-51F4-4BFF-8BAA-242B8F0495CD}" name="UnFin BSMT"/>
    <tableColumn id="72" xr3:uid="{EF45AE19-C8E0-4101-8E55-3BD7C2F51F18}" name="att_gar"/>
    <tableColumn id="33" xr3:uid="{8052F785-A8B4-4C15-AA6A-92037F251097}" name="bltin_gar"/>
    <tableColumn id="34" xr3:uid="{FCB165A5-A28B-469C-BDA8-0A2B136D1566}" name="Carport"/>
    <tableColumn id="35" xr3:uid="{41ECEF14-4581-4674-9BDB-40FFE9AABA95}" name="Wood Deck"/>
    <tableColumn id="36" xr3:uid="{DA825070-9341-455B-B9CD-F3DD517A5E03}" name="Patio"/>
    <tableColumn id="73" xr3:uid="{6037EB82-C990-4DAB-9DD4-C5A2A332A2FE}" name="cover_por"/>
    <tableColumn id="74" xr3:uid="{F045F6CE-B08F-4941-9409-233E8907CA55}" name="cover_sf"/>
    <tableColumn id="37" xr3:uid="{16969F6A-491B-4F37-AC84-1B347AB31C12}" name="Plumbing Fixtures"/>
    <tableColumn id="38" xr3:uid="{C15B34DF-16CF-4E1C-B255-AA5EFF0DAD91}" name="stove"/>
    <tableColumn id="39" xr3:uid="{4E5DB458-22C2-4E24-9130-896541E84880}" name="fireplace"/>
    <tableColumn id="40" xr3:uid="{4A0255C3-167C-440B-8EE5-F4D3C6799BCD}" name="roofing"/>
    <tableColumn id="41" xr3:uid="{E39CCC40-38AB-4371-B6E5-7664765B71A5}" name="heating"/>
    <tableColumn id="42" xr3:uid="{3C4A45A6-02B5-45BB-B0BB-4BB726C1BE81}" name="heat_type"/>
    <tableColumn id="43" xr3:uid="{586CD4AD-4A11-4002-8475-1A22BF123D12}" name="fuel_type"/>
    <tableColumn id="44" xr3:uid="{A1B39BA5-0EAC-4A41-80B6-6761E29F11CD}" name="ac"/>
    <tableColumn id="45" xr3:uid="{5FFCA85A-4D18-4996-9CC7-3106767D20D7}" name="num_bedrooms"/>
    <tableColumn id="46" xr3:uid="{2337995E-3D57-4B66-B5F8-A39E3D3EDE8A}" name="crop_value"/>
    <tableColumn id="47" xr3:uid="{78F6DA6E-6EC3-4985-A9B1-37A95C2E0308}" name="detatched_value"/>
    <tableColumn id="75" xr3:uid="{BC6860E2-ECAF-4A40-96F3-27913FB8CE91}" name="phy_good"/>
    <tableColumn id="76" xr3:uid="{7AC3E95D-2D02-4B5B-AC5F-E8F5ED38B79A}" name="fun_good"/>
    <tableColumn id="77" xr3:uid="{AADEB3EA-02D7-4CC6-A5C1-E340F38556AD}" name="ecn_good"/>
    <tableColumn id="48" xr3:uid="{99D2A7EF-DB19-44F0-B01A-15BACF080030}" name="pct_complete"/>
    <tableColumn id="80" xr3:uid="{714A2D80-888E-4680-BC67-D0B4BA76BA88}" name="res_pct"/>
    <tableColumn id="79" xr3:uid="{9936499B-9B49-4216-87A6-6099BC8D8B35}" name="min_land"/>
    <tableColumn id="83" xr3:uid="{8F202365-BF22-4085-8C4E-7D12CED7E3C1}" name="min_res"/>
    <tableColumn id="49" xr3:uid="{1358CB43-6D96-47A7-888B-5B0F665AABC1}" name="land_value" dataDxfId="29">
      <calculatedColumnFormula>Grandview_Inventory[[#This Row],[land_extract]]*Lookups!$B$3</calculatedColumnFormula>
    </tableColumn>
    <tableColumn id="50" xr3:uid="{1CEADC96-6017-416D-BD8A-4F0FAA44E0F7}" name="Intercept" dataDxfId="28">
      <calculatedColumnFormula>IF(Grandview_Inventory[[#This Row],[bldg_style]]="",0,Lookups!$B$2)</calculatedColumnFormula>
    </tableColumn>
    <tableColumn id="51" xr3:uid="{2CDCFD66-9E13-40FA-BF74-60DF76F1B6FC}" name="quality_rank_value" dataDxfId="27">
      <calculatedColumnFormula>_xlfn.IFNA(VLOOKUP(Grandview_Inventory[[#This Row],[quality]],Lookups!$H$2:$J$14,3,FALSE),0)</calculatedColumnFormula>
    </tableColumn>
    <tableColumn id="52" xr3:uid="{9510AAAB-6527-4660-BAD8-85DCA2457F5F}" name="condition_rank_value" dataDxfId="26">
      <calculatedColumnFormula>_xlfn.IFNA(VLOOKUP(Grandview_Inventory[[#This Row],[condition]],Lookups!$H$17:$J$24,3,FALSE),0)</calculatedColumnFormula>
    </tableColumn>
    <tableColumn id="71" xr3:uid="{4F86409D-5C47-4D9C-B084-658C2A9D49BE}" name="eff_age_value" dataDxfId="25">
      <calculatedColumnFormula>Grandview_Inventory[[#This Row],[Eff_Age]]*Lookups!$B$14</calculatedColumnFormula>
    </tableColumn>
    <tableColumn id="53" xr3:uid="{6CF99B91-BF5D-4D53-AFAE-28E6FA09E430}" name="living_area_value" dataDxfId="24">
      <calculatedColumnFormula>Grandview_Inventory[[#This Row],[living_area]]*Lookups!$B$15</calculatedColumnFormula>
    </tableColumn>
    <tableColumn id="55" xr3:uid="{77D5E928-D136-410F-B131-A758F56D4EFD}" name="Fin BSMT_value" dataDxfId="23">
      <calculatedColumnFormula>Grandview_Inventory[[#This Row],[Fin BSMT]]*Lookups!$B$16</calculatedColumnFormula>
    </tableColumn>
    <tableColumn id="56" xr3:uid="{8A08017A-2DBE-4B01-906B-FE8C01F126DF}" name="garage_sqft_value" dataDxfId="22">
      <calculatedColumnFormula>(Grandview_Inventory[[#This Row],[att_gar]]+Grandview_Inventory[[#This Row],[bltin_gar]])*Lookups!$B$17</calculatedColumnFormula>
    </tableColumn>
    <tableColumn id="58" xr3:uid="{5D434496-CC53-4BBD-8233-BB29F0C807DC}" name="Plumbing Fixtures_value" dataDxfId="21">
      <calculatedColumnFormula>Grandview_Inventory[[#This Row],[Plumbing Fixtures]]*Lookups!$B$18</calculatedColumnFormula>
    </tableColumn>
    <tableColumn id="59" xr3:uid="{5738F574-727F-4E6B-8B4E-3540E5F9443B}" name="det_value" dataDxfId="20">
      <calculatedColumnFormula>Grandview_Inventory[[#This Row],[detatched_value]]*Lookups!$B$19</calculatedColumnFormula>
    </tableColumn>
    <tableColumn id="60" xr3:uid="{15AE1CBF-F197-412E-B034-367EF4C69B24}" name="pre_res" dataDxfId="19">
      <calculatedColumnFormula>SUM(Grandview_Inventory[[#This Row],[Intercept]:[det_value]])*Grandview_Inventory[[#This Row],[res_pct]]</calculatedColumnFormula>
    </tableColumn>
    <tableColumn id="82" xr3:uid="{8D6CCDFD-786D-4DBA-B9C3-6DCB4FF257F6}" name="sum_land" dataDxfId="18">
      <calculatedColumnFormula>Grandview_Inventory[[#This Row],[land_value]]</calculatedColumnFormula>
    </tableColumn>
    <tableColumn id="61" xr3:uid="{0493632A-4756-4278-9A62-005F4AEC0D41}" name="qual_adj" dataDxfId="17">
      <calculatedColumnFormula>_xlfn.IFNA(VLOOKUP(Grandview_Inventory[[#This Row],[quality]],Lookups!$A$26:$C$33,3,FALSE),1)</calculatedColumnFormula>
    </tableColumn>
    <tableColumn id="62" xr3:uid="{D486C11D-490D-4409-A151-33531C848316}" name="cond_adj" dataDxfId="16">
      <calculatedColumnFormula>_xlfn.IFNA(VLOOKUP(Grandview_Inventory[[#This Row],[condition]],Lookups!$A$37:$C$44,3,FALSE),1)</calculatedColumnFormula>
    </tableColumn>
    <tableColumn id="63" xr3:uid="{3DFC4414-CB17-4C2B-B4A9-192211E8E629}" name="decade_adj" dataDxfId="15">
      <calculatedColumnFormula>IF(Grandview_Inventory[[#This Row],[bldg_style]]="",1,_xlfn.IFNA(VLOOKUP(Grandview_Inventory[[#This Row],[decade]],Lookups!$F$29:$H$43,3,FALSE),1))</calculatedColumnFormula>
    </tableColumn>
    <tableColumn id="64" xr3:uid="{0AFF5CEE-191F-4F24-8E6E-3856E19E37A5}" name="size_adj" dataDxfId="14">
      <calculatedColumnFormula>_xlfn.IFNA(VLOOKUP(Grandview_Inventory[[#This Row],[living_area_range]],Lookups!$F$47:$H$56,3,FALSE),1)</calculatedColumnFormula>
    </tableColumn>
    <tableColumn id="78" xr3:uid="{A74B0ACF-AF68-4DE0-B54A-6D51D3B50FDF}" name="overall_adj" dataDxfId="13">
      <calculatedColumnFormula>AVERAGE(Grandview_Inventory[[#This Row],[qual_adj]:[size_adj]])</calculatedColumnFormula>
    </tableColumn>
    <tableColumn id="65" xr3:uid="{A897E15C-5CC3-4985-942C-C9D01818CE9B}" name="adj_res" dataDxfId="12">
      <calculatedColumnFormula>IF(Grandview_Inventory[[#This Row],[pre_res]]&lt;0,0,Grandview_Inventory[[#This Row],[pre_res]]*Grandview_Inventory[[#This Row],[overall_adj]])</calculatedColumnFormula>
    </tableColumn>
    <tableColumn id="81" xr3:uid="{39963666-1A49-45E6-A83F-8344FF64B73A}" name="adj_land" dataDxfId="11">
      <calculatedColumnFormula>(Grandview_Inventory[[#This Row],[sum_land]]-IF(Grandview_Inventory[[#This Row],[no_utilities]]=1,12000,0))/IF(Grandview_Inventory[[#This Row],[unbuildable]]=1,2,1)</calculatedColumnFormula>
    </tableColumn>
    <tableColumn id="66" xr3:uid="{658F6CA2-3BCA-46E9-8842-D1C306E439B2}" name="final_land" dataDxfId="10">
      <calculatedColumnFormula>IF(ROUND(Grandview_Inventory[[#This Row],[adj_land]]*Lookups!$M$28,-2)&lt;Grandview_Inventory[[#This Row],[min_land]],Grandview_Inventory[[#This Row],[min_land]],ROUND(Grandview_Inventory[[#This Row],[adj_land]]*Lookups!$M$28,-2))</calculatedColumnFormula>
    </tableColumn>
    <tableColumn id="67" xr3:uid="{AA5FAB52-F8C4-41DD-A61C-F93112E8BB61}" name="final_det" dataDxfId="9">
      <calculatedColumnFormula>ROUND(Grandview_Inventory[[#This Row],[det_value]]*Lookups!$M$28,-2)</calculatedColumnFormula>
    </tableColumn>
    <tableColumn id="68" xr3:uid="{D3CBC0D6-98E6-4E36-A4E2-F1A888A59898}" name="final_res" dataDxfId="8">
      <calculatedColumnFormula>IF(ROUND(Grandview_Inventory[[#This Row],[adj_res]]*Lookups!$M$28,-2)&lt;Grandview_Inventory[[#This Row],[min_res]],Grandview_Inventory[[#This Row],[min_res]],ROUND(Grandview_Inventory[[#This Row],[adj_res]]*Lookups!$M$28,-2))</calculatedColumnFormula>
    </tableColumn>
    <tableColumn id="69" xr3:uid="{B3EA96DA-9A68-4FF1-9C4F-DE957B753879}" name="final_imp" dataDxfId="7">
      <calculatedColumnFormula>Grandview_Inventory[[#This Row],[final_det]]+Grandview_Inventory[[#This Row],[final_res]]</calculatedColumnFormula>
    </tableColumn>
    <tableColumn id="70" xr3:uid="{E8A707B2-F357-4CE5-9BF8-7F9C6B4E4EC7}" name="final_total" dataDxfId="6">
      <calculatedColumnFormula>Grandview_Inventory[[#This Row],[final_land]]+Grandview_Inventory[[#This Row],[final_imp]]+Grandview_Inventory[[#This Row],[crop_value]]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93711-6BE5-4AB6-9465-C07E4049A347}">
  <dimension ref="A1:BZ305"/>
  <sheetViews>
    <sheetView tabSelected="1" topLeftCell="BM269" workbookViewId="0">
      <selection activeCell="BY2" sqref="BY2"/>
    </sheetView>
  </sheetViews>
  <sheetFormatPr defaultRowHeight="15" x14ac:dyDescent="0.25"/>
  <cols>
    <col min="1" max="1" width="12" bestFit="1" customWidth="1"/>
    <col min="2" max="2" width="10.7109375" bestFit="1" customWidth="1"/>
    <col min="3" max="3" width="9.5703125" bestFit="1" customWidth="1"/>
    <col min="4" max="4" width="17.7109375" bestFit="1" customWidth="1"/>
    <col min="5" max="5" width="5.5703125" bestFit="1" customWidth="1"/>
    <col min="6" max="6" width="10.42578125" bestFit="1" customWidth="1"/>
    <col min="7" max="7" width="11.7109375" bestFit="1" customWidth="1"/>
    <col min="8" max="8" width="10.140625" bestFit="1" customWidth="1"/>
    <col min="9" max="9" width="9.42578125" bestFit="1" customWidth="1"/>
    <col min="10" max="10" width="9.85546875" bestFit="1" customWidth="1"/>
    <col min="11" max="11" width="12" bestFit="1" customWidth="1"/>
    <col min="12" max="12" width="12" customWidth="1"/>
    <col min="13" max="13" width="17.28515625" bestFit="1" customWidth="1"/>
    <col min="14" max="14" width="11.7109375" bestFit="1" customWidth="1"/>
    <col min="15" max="15" width="11.140625" bestFit="1" customWidth="1"/>
    <col min="16" max="17" width="11" bestFit="1" customWidth="1"/>
    <col min="18" max="18" width="12" bestFit="1" customWidth="1"/>
    <col min="19" max="19" width="10.140625" bestFit="1" customWidth="1"/>
    <col min="20" max="20" width="12" bestFit="1" customWidth="1"/>
    <col min="21" max="21" width="7.140625" bestFit="1" customWidth="1"/>
    <col min="22" max="22" width="9.42578125" bestFit="1" customWidth="1"/>
    <col min="23" max="23" width="12" bestFit="1" customWidth="1"/>
    <col min="24" max="24" width="14.42578125" bestFit="1" customWidth="1"/>
    <col min="25" max="25" width="7.85546875" bestFit="1" customWidth="1"/>
    <col min="26" max="26" width="4.42578125" bestFit="1" customWidth="1"/>
    <col min="27" max="27" width="7.42578125" bestFit="1" customWidth="1"/>
    <col min="28" max="28" width="16.85546875" bestFit="1" customWidth="1"/>
    <col min="29" max="29" width="10.7109375" bestFit="1" customWidth="1"/>
    <col min="30" max="30" width="10.5703125" bestFit="1" customWidth="1"/>
    <col min="31" max="31" width="11.5703125" bestFit="1" customWidth="1"/>
    <col min="32" max="32" width="9.140625" bestFit="1" customWidth="1"/>
    <col min="33" max="33" width="11.7109375" bestFit="1" customWidth="1"/>
    <col min="34" max="34" width="11.28515625" bestFit="1" customWidth="1"/>
    <col min="35" max="35" width="7.5703125" bestFit="1" customWidth="1"/>
    <col min="36" max="36" width="11.140625" bestFit="1" customWidth="1"/>
    <col min="37" max="37" width="5.5703125" bestFit="1" customWidth="1"/>
    <col min="38" max="38" width="17.28515625" bestFit="1" customWidth="1"/>
    <col min="39" max="39" width="5.85546875" bestFit="1" customWidth="1"/>
    <col min="40" max="40" width="8.85546875" bestFit="1" customWidth="1"/>
    <col min="41" max="41" width="7.42578125" bestFit="1" customWidth="1"/>
    <col min="42" max="42" width="7.7109375" bestFit="1" customWidth="1"/>
    <col min="43" max="43" width="10" bestFit="1" customWidth="1"/>
    <col min="44" max="44" width="9.5703125" bestFit="1" customWidth="1"/>
    <col min="45" max="45" width="2.85546875" bestFit="1" customWidth="1"/>
    <col min="46" max="46" width="15.140625" bestFit="1" customWidth="1"/>
    <col min="47" max="47" width="10.7109375" bestFit="1" customWidth="1"/>
    <col min="48" max="48" width="16" bestFit="1" customWidth="1"/>
    <col min="49" max="49" width="13.28515625" bestFit="1" customWidth="1"/>
    <col min="50" max="50" width="10.7109375" style="1" bestFit="1" customWidth="1"/>
    <col min="51" max="51" width="13.85546875" bestFit="1" customWidth="1"/>
    <col min="52" max="52" width="13.42578125" bestFit="1" customWidth="1"/>
    <col min="53" max="53" width="14.140625" bestFit="1" customWidth="1"/>
    <col min="54" max="54" width="10" bestFit="1" customWidth="1"/>
    <col min="55" max="55" width="10.28515625" bestFit="1" customWidth="1"/>
    <col min="56" max="56" width="12" bestFit="1" customWidth="1"/>
    <col min="57" max="57" width="10" bestFit="1" customWidth="1"/>
    <col min="58" max="58" width="18.140625" bestFit="1" customWidth="1"/>
    <col min="59" max="59" width="20.42578125" bestFit="1" customWidth="1"/>
    <col min="60" max="60" width="20.42578125" customWidth="1"/>
    <col min="61" max="61" width="16.5703125" bestFit="1" customWidth="1"/>
    <col min="62" max="62" width="15.140625" bestFit="1" customWidth="1"/>
    <col min="63" max="63" width="17.42578125" bestFit="1" customWidth="1"/>
    <col min="64" max="64" width="23.28515625" bestFit="1" customWidth="1"/>
    <col min="65" max="65" width="22.140625" bestFit="1" customWidth="1"/>
    <col min="66" max="66" width="30" bestFit="1" customWidth="1"/>
    <col min="67" max="68" width="14.85546875" bestFit="1" customWidth="1"/>
    <col min="69" max="71" width="12" bestFit="1" customWidth="1"/>
    <col min="72" max="72" width="13.7109375" bestFit="1" customWidth="1"/>
    <col min="73" max="73" width="20.42578125" bestFit="1" customWidth="1"/>
    <col min="74" max="74" width="12.7109375" bestFit="1" customWidth="1"/>
    <col min="75" max="75" width="15.7109375" bestFit="1" customWidth="1"/>
    <col min="76" max="76" width="21" bestFit="1" customWidth="1"/>
    <col min="77" max="77" width="19.5703125" customWidth="1"/>
    <col min="78" max="78" width="26" bestFit="1" customWidth="1"/>
  </cols>
  <sheetData>
    <row r="1" spans="1:7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149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s="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150</v>
      </c>
      <c r="BD1" t="s">
        <v>108</v>
      </c>
      <c r="BE1" t="s">
        <v>92</v>
      </c>
      <c r="BF1" t="s">
        <v>99</v>
      </c>
      <c r="BG1" t="s">
        <v>100</v>
      </c>
      <c r="BH1" t="s">
        <v>164</v>
      </c>
      <c r="BI1" t="s">
        <v>162</v>
      </c>
      <c r="BJ1" t="s">
        <v>101</v>
      </c>
      <c r="BK1" t="s">
        <v>102</v>
      </c>
      <c r="BL1" t="s">
        <v>103</v>
      </c>
      <c r="BM1" t="s">
        <v>104</v>
      </c>
      <c r="BN1" t="s">
        <v>105</v>
      </c>
      <c r="BO1" t="s">
        <v>109</v>
      </c>
      <c r="BP1" t="s">
        <v>110</v>
      </c>
      <c r="BQ1" t="s">
        <v>126</v>
      </c>
      <c r="BR1" t="s">
        <v>127</v>
      </c>
      <c r="BS1" t="s">
        <v>117</v>
      </c>
      <c r="BT1" t="s">
        <v>118</v>
      </c>
      <c r="BU1" t="s">
        <v>121</v>
      </c>
      <c r="BV1" t="s">
        <v>122</v>
      </c>
      <c r="BW1" t="s">
        <v>195</v>
      </c>
      <c r="BX1" t="s">
        <v>194</v>
      </c>
      <c r="BY1" t="s">
        <v>196</v>
      </c>
      <c r="BZ1" t="s">
        <v>182</v>
      </c>
    </row>
    <row r="2" spans="1:78" x14ac:dyDescent="0.25">
      <c r="A2">
        <v>23092423537</v>
      </c>
      <c r="B2">
        <v>0</v>
      </c>
      <c r="C2">
        <v>9987</v>
      </c>
      <c r="D2">
        <v>0</v>
      </c>
      <c r="E2" t="s">
        <v>53</v>
      </c>
      <c r="F2" t="s">
        <v>53</v>
      </c>
      <c r="G2">
        <v>4</v>
      </c>
      <c r="H2" t="s">
        <v>54</v>
      </c>
      <c r="I2">
        <v>251700</v>
      </c>
      <c r="J2">
        <v>39500</v>
      </c>
      <c r="K2">
        <v>0.23</v>
      </c>
      <c r="L2">
        <v>-1.4696759700590001</v>
      </c>
      <c r="M2">
        <v>0</v>
      </c>
      <c r="N2">
        <v>0</v>
      </c>
      <c r="O2">
        <v>0</v>
      </c>
      <c r="P2">
        <v>13398.7528</v>
      </c>
      <c r="Q2">
        <v>63902.980100000001</v>
      </c>
      <c r="R2">
        <v>44211.155081080004</v>
      </c>
      <c r="S2" t="s">
        <v>61</v>
      </c>
      <c r="T2">
        <v>1</v>
      </c>
      <c r="U2" t="s">
        <v>64</v>
      </c>
      <c r="V2" t="s">
        <v>57</v>
      </c>
      <c r="W2">
        <v>0</v>
      </c>
      <c r="X2">
        <v>0</v>
      </c>
      <c r="Y2">
        <v>3</v>
      </c>
      <c r="Z2">
        <v>3</v>
      </c>
      <c r="AA2">
        <v>0</v>
      </c>
      <c r="AB2">
        <v>1500</v>
      </c>
      <c r="AC2">
        <v>1300</v>
      </c>
      <c r="AD2">
        <v>1300</v>
      </c>
      <c r="AE2">
        <v>0</v>
      </c>
      <c r="AF2">
        <v>0</v>
      </c>
      <c r="AG2">
        <v>0</v>
      </c>
      <c r="AH2">
        <v>400</v>
      </c>
      <c r="AI2">
        <v>0</v>
      </c>
      <c r="AJ2">
        <v>0</v>
      </c>
      <c r="AK2">
        <v>0</v>
      </c>
      <c r="AL2">
        <v>8</v>
      </c>
      <c r="AM2">
        <v>0</v>
      </c>
      <c r="AN2">
        <v>0</v>
      </c>
      <c r="AO2" t="s">
        <v>58</v>
      </c>
      <c r="AP2">
        <v>1</v>
      </c>
      <c r="AQ2" t="s">
        <v>59</v>
      </c>
      <c r="AR2" t="s">
        <v>60</v>
      </c>
      <c r="AS2">
        <v>1</v>
      </c>
      <c r="AT2">
        <v>3</v>
      </c>
      <c r="AU2">
        <v>0</v>
      </c>
      <c r="AV2">
        <v>0</v>
      </c>
      <c r="AW2">
        <v>100</v>
      </c>
      <c r="AX2" s="1">
        <v>43942</v>
      </c>
      <c r="AY2">
        <v>22600</v>
      </c>
      <c r="AZ2">
        <v>263159</v>
      </c>
      <c r="BA2">
        <v>285800</v>
      </c>
      <c r="BB2">
        <v>255000</v>
      </c>
      <c r="BC2">
        <v>985</v>
      </c>
      <c r="BD2">
        <f>Grandview_Sales[[#This Row],[land_extract]]*Lookups!$B$3</f>
        <v>51342.29502553949</v>
      </c>
      <c r="BE2">
        <f>Lookups!$B$2</f>
        <v>155833.95000000001</v>
      </c>
      <c r="BF2">
        <f>VLOOKUP(Grandview_Sales[[#This Row],[quality]],Lookups!$H$2:$J$13,3,FALSE)</f>
        <v>20768</v>
      </c>
      <c r="BG2">
        <f>VLOOKUP(Grandview_Sales[[#This Row],[condition]],Lookups!$H$17:$J$24,3,FALSE)</f>
        <v>25780</v>
      </c>
      <c r="BH2">
        <f>Grandview_Sales[[#This Row],[Eff_Age]]*Lookups!$B$14</f>
        <v>-717.49979999999994</v>
      </c>
      <c r="BI2">
        <f>Grandview_Sales[[#This Row],[living_area]]*Lookups!$B$15</f>
        <v>81095.108900000007</v>
      </c>
      <c r="BJ2">
        <f>Grandview_Sales[[#This Row],[Fin BSMT]]*Lookups!$B$16</f>
        <v>0</v>
      </c>
      <c r="BK2">
        <f>Grandview_Sales[[#This Row],[garage_sqft]]*Lookups!$B$17</f>
        <v>35008.174800000001</v>
      </c>
      <c r="BL2">
        <f>Grandview_Sales[[#This Row],[Plumbing Fixtures]]*Lookups!$B$18</f>
        <v>16083.5344</v>
      </c>
      <c r="BM2">
        <f>Grandview_Sales[[#This Row],[detatched_value]]*Lookups!$B$19</f>
        <v>0</v>
      </c>
      <c r="BN2">
        <f>Grandview_Sales[[#This Row],[days_prior]]*Lookups!$B$20</f>
        <v>-118149.371</v>
      </c>
      <c r="BO2">
        <f>SUM(Grandview_Sales[[#This Row],[land_value]:[Days Prior To Assessment_value]])</f>
        <v>267044.19232553954</v>
      </c>
      <c r="BP2">
        <f>Grandview_Sales[[#This Row],[predicted_total]]/Grandview_Sales[[#This Row],[sale_price]]</f>
        <v>1.0472321267668216</v>
      </c>
      <c r="BQ2">
        <f>VLOOKUP(Grandview_Sales[[#This Row],[quality]],Lookups!$A$26:$C$33,3,FALSE)</f>
        <v>0.94960540378902636</v>
      </c>
      <c r="BR2">
        <f>VLOOKUP(Grandview_Sales[[#This Row],[condition]],Lookups!$A$37:$C$44,3,FALSE)</f>
        <v>0.94347925387812148</v>
      </c>
      <c r="BS2">
        <f>VLOOKUP(Grandview_Sales[[#This Row],[decade]],Lookups!$F$29:$H$43,3,FALSE)</f>
        <v>0.9413635517371044</v>
      </c>
      <c r="BT2">
        <f>VLOOKUP(Grandview_Sales[[#This Row],[living_area_range]],Lookups!$F$47:$H$56,3,FALSE)</f>
        <v>0.96135087979789358</v>
      </c>
      <c r="BU2">
        <f>Grandview_Sales[[#This Row],[predicted_total]]*AVERAGE(Grandview_Sales[[#This Row],[qual_adj]:[size_adj]])</f>
        <v>253411.5255015014</v>
      </c>
      <c r="BV2">
        <f>Grandview_Sales[[#This Row],[final_total]]/Grandview_Sales[[#This Row],[sale_price]]</f>
        <v>0.99377068824118198</v>
      </c>
      <c r="BW2" s="6">
        <f>(Grandview_Sales[[#This Row],[final_total]]-Grandview_Sales[[#This Row],[sale_price]])^2</f>
        <v>2523251.2323803874</v>
      </c>
      <c r="BX2" s="6">
        <f>(Grandview_Sales[[#This Row],[final_total]]-AVERAGE(Grandview_Sales[sale_price]))^2</f>
        <v>2867350246.2119322</v>
      </c>
      <c r="BY2" s="6">
        <f>Grandview_Sales[[#This Row],[SSE]]+Grandview_Sales[[#This Row],[SSR]]</f>
        <v>2869873497.4443126</v>
      </c>
      <c r="BZ2" s="4">
        <f>ABS(Grandview_Sales[[#This Row],[final_ratio]]-MEDIAN(Grandview_Sales[final_ratio]))</f>
        <v>7.4780311146299683E-3</v>
      </c>
    </row>
    <row r="3" spans="1:78" x14ac:dyDescent="0.25">
      <c r="A3">
        <v>23092242483</v>
      </c>
      <c r="B3">
        <v>0.19</v>
      </c>
      <c r="C3">
        <v>8412</v>
      </c>
      <c r="D3">
        <v>0</v>
      </c>
      <c r="E3" t="s">
        <v>53</v>
      </c>
      <c r="F3" t="s">
        <v>53</v>
      </c>
      <c r="G3">
        <v>4</v>
      </c>
      <c r="H3" t="s">
        <v>54</v>
      </c>
      <c r="I3">
        <v>251600</v>
      </c>
      <c r="J3">
        <v>43500</v>
      </c>
      <c r="K3">
        <v>0.19</v>
      </c>
      <c r="L3">
        <v>-1.6607312068219999</v>
      </c>
      <c r="M3">
        <v>0</v>
      </c>
      <c r="N3">
        <v>0</v>
      </c>
      <c r="O3">
        <v>0</v>
      </c>
      <c r="P3">
        <v>13398.7528</v>
      </c>
      <c r="Q3">
        <v>63902.980100000001</v>
      </c>
      <c r="R3">
        <v>41651.253192550997</v>
      </c>
      <c r="S3" t="s">
        <v>61</v>
      </c>
      <c r="T3">
        <v>1</v>
      </c>
      <c r="U3" t="s">
        <v>64</v>
      </c>
      <c r="V3" t="s">
        <v>66</v>
      </c>
      <c r="W3">
        <v>0</v>
      </c>
      <c r="X3">
        <v>0</v>
      </c>
      <c r="Y3">
        <v>17</v>
      </c>
      <c r="Z3">
        <v>17</v>
      </c>
      <c r="AA3">
        <v>20</v>
      </c>
      <c r="AB3">
        <v>2000</v>
      </c>
      <c r="AC3">
        <v>1631</v>
      </c>
      <c r="AD3">
        <v>1631</v>
      </c>
      <c r="AE3">
        <v>0</v>
      </c>
      <c r="AF3">
        <v>0</v>
      </c>
      <c r="AG3">
        <v>0</v>
      </c>
      <c r="AH3">
        <v>552</v>
      </c>
      <c r="AI3">
        <v>0</v>
      </c>
      <c r="AJ3">
        <v>0</v>
      </c>
      <c r="AK3">
        <v>0</v>
      </c>
      <c r="AL3">
        <v>8</v>
      </c>
      <c r="AM3">
        <v>0</v>
      </c>
      <c r="AN3">
        <v>0</v>
      </c>
      <c r="AO3" t="s">
        <v>58</v>
      </c>
      <c r="AP3">
        <v>1</v>
      </c>
      <c r="AQ3" t="s">
        <v>59</v>
      </c>
      <c r="AR3" t="s">
        <v>64</v>
      </c>
      <c r="AS3">
        <v>1</v>
      </c>
      <c r="AT3">
        <v>3</v>
      </c>
      <c r="AU3">
        <v>0</v>
      </c>
      <c r="AV3">
        <v>0</v>
      </c>
      <c r="AW3">
        <v>100</v>
      </c>
      <c r="AX3" s="1">
        <v>43944</v>
      </c>
      <c r="AY3">
        <v>24900</v>
      </c>
      <c r="AZ3">
        <v>306446</v>
      </c>
      <c r="BA3">
        <v>331300</v>
      </c>
      <c r="BB3">
        <v>266000</v>
      </c>
      <c r="BC3">
        <v>983</v>
      </c>
      <c r="BD3">
        <f>Grandview_Sales[[#This Row],[land_extract]]*Lookups!$B$3</f>
        <v>48369.487874125851</v>
      </c>
      <c r="BE3">
        <f>Lookups!$B$2</f>
        <v>155833.95000000001</v>
      </c>
      <c r="BF3">
        <f>VLOOKUP(Grandview_Sales[[#This Row],[quality]],Lookups!$H$2:$J$13,3,FALSE)</f>
        <v>20768</v>
      </c>
      <c r="BG3">
        <f>VLOOKUP(Grandview_Sales[[#This Row],[condition]],Lookups!$H$17:$J$24,3,FALSE)</f>
        <v>25818</v>
      </c>
      <c r="BH3">
        <f>Grandview_Sales[[#This Row],[Eff_Age]]*Lookups!$B$14</f>
        <v>-4065.8321999999998</v>
      </c>
      <c r="BI3">
        <f>Grandview_Sales[[#This Row],[living_area]]*Lookups!$B$15</f>
        <v>101743.171243</v>
      </c>
      <c r="BJ3">
        <f>Grandview_Sales[[#This Row],[Fin BSMT]]*Lookups!$B$16</f>
        <v>0</v>
      </c>
      <c r="BK3">
        <f>Grandview_Sales[[#This Row],[garage_sqft]]*Lookups!$B$17</f>
        <v>48311.281223999998</v>
      </c>
      <c r="BL3">
        <f>Grandview_Sales[[#This Row],[Plumbing Fixtures]]*Lookups!$B$18</f>
        <v>16083.5344</v>
      </c>
      <c r="BM3">
        <f>Grandview_Sales[[#This Row],[detatched_value]]*Lookups!$B$19</f>
        <v>0</v>
      </c>
      <c r="BN3">
        <f>Grandview_Sales[[#This Row],[days_prior]]*Lookups!$B$20</f>
        <v>-117909.47379999999</v>
      </c>
      <c r="BO3">
        <f>SUM(Grandview_Sales[[#This Row],[land_value]:[Days Prior To Assessment_value]])</f>
        <v>294952.11874112586</v>
      </c>
      <c r="BP3">
        <f>Grandview_Sales[[#This Row],[predicted_total]]/Grandview_Sales[[#This Row],[sale_price]]</f>
        <v>1.108842551658368</v>
      </c>
      <c r="BQ3">
        <f>VLOOKUP(Grandview_Sales[[#This Row],[quality]],Lookups!$A$26:$C$33,3,FALSE)</f>
        <v>0.94960540378902636</v>
      </c>
      <c r="BR3">
        <f>VLOOKUP(Grandview_Sales[[#This Row],[condition]],Lookups!$A$37:$C$44,3,FALSE)</f>
        <v>0.96661476234146892</v>
      </c>
      <c r="BS3">
        <f>VLOOKUP(Grandview_Sales[[#This Row],[decade]],Lookups!$F$29:$H$43,3,FALSE)</f>
        <v>0.96737494181490646</v>
      </c>
      <c r="BT3">
        <f>VLOOKUP(Grandview_Sales[[#This Row],[living_area_range]],Lookups!$F$47:$H$56,3,FALSE)</f>
        <v>0.96120133463014379</v>
      </c>
      <c r="BU3">
        <f>Grandview_Sales[[#This Row],[predicted_total]]*AVERAGE(Grandview_Sales[[#This Row],[qual_adj]:[size_adj]])</f>
        <v>283507.71421650017</v>
      </c>
      <c r="BV3">
        <f>Grandview_Sales[[#This Row],[final_total]]/Grandview_Sales[[#This Row],[sale_price]]</f>
        <v>1.0658184744981209</v>
      </c>
      <c r="BW3" s="6">
        <f>(Grandview_Sales[[#This Row],[final_total]]-Grandview_Sales[[#This Row],[sale_price]])^2</f>
        <v>306520057.08664221</v>
      </c>
      <c r="BX3" s="6">
        <f>(Grandview_Sales[[#This Row],[final_total]]-AVERAGE(Grandview_Sales[sale_price]))^2</f>
        <v>549970784.87974024</v>
      </c>
      <c r="BY3" s="6">
        <f>Grandview_Sales[[#This Row],[SSE]]+Grandview_Sales[[#This Row],[SSR]]</f>
        <v>856490841.9663825</v>
      </c>
      <c r="BZ3" s="4">
        <f>ABS(Grandview_Sales[[#This Row],[final_ratio]]-MEDIAN(Grandview_Sales[final_ratio]))</f>
        <v>6.4569755142309004E-2</v>
      </c>
    </row>
    <row r="4" spans="1:78" x14ac:dyDescent="0.25">
      <c r="A4">
        <v>23092333409</v>
      </c>
      <c r="B4">
        <v>0.24</v>
      </c>
      <c r="C4">
        <v>10465</v>
      </c>
      <c r="D4">
        <v>0</v>
      </c>
      <c r="E4" t="s">
        <v>53</v>
      </c>
      <c r="F4" t="s">
        <v>53</v>
      </c>
      <c r="G4">
        <v>4</v>
      </c>
      <c r="H4" t="s">
        <v>54</v>
      </c>
      <c r="I4">
        <v>217900</v>
      </c>
      <c r="J4">
        <v>39800</v>
      </c>
      <c r="K4">
        <v>0.24</v>
      </c>
      <c r="L4">
        <v>-1.4271163556399999</v>
      </c>
      <c r="M4">
        <v>0</v>
      </c>
      <c r="N4">
        <v>0</v>
      </c>
      <c r="O4">
        <v>0</v>
      </c>
      <c r="P4">
        <v>13398.7528</v>
      </c>
      <c r="Q4">
        <v>63902.980100000001</v>
      </c>
      <c r="R4">
        <v>44781.400833940999</v>
      </c>
      <c r="S4" t="s">
        <v>61</v>
      </c>
      <c r="T4">
        <v>1</v>
      </c>
      <c r="U4" t="s">
        <v>65</v>
      </c>
      <c r="V4" t="s">
        <v>69</v>
      </c>
      <c r="W4">
        <v>0</v>
      </c>
      <c r="X4">
        <v>0</v>
      </c>
      <c r="Y4">
        <v>46</v>
      </c>
      <c r="Z4">
        <v>55</v>
      </c>
      <c r="AA4">
        <v>60</v>
      </c>
      <c r="AB4">
        <v>2500</v>
      </c>
      <c r="AC4">
        <v>2464</v>
      </c>
      <c r="AD4">
        <v>1232</v>
      </c>
      <c r="AE4">
        <v>0</v>
      </c>
      <c r="AF4">
        <v>1232</v>
      </c>
      <c r="AG4">
        <v>0</v>
      </c>
      <c r="AH4">
        <v>552</v>
      </c>
      <c r="AI4">
        <v>0</v>
      </c>
      <c r="AJ4">
        <v>300</v>
      </c>
      <c r="AK4">
        <v>552</v>
      </c>
      <c r="AL4">
        <v>8</v>
      </c>
      <c r="AM4">
        <v>1</v>
      </c>
      <c r="AN4">
        <v>0</v>
      </c>
      <c r="AO4" t="s">
        <v>58</v>
      </c>
      <c r="AP4">
        <v>1</v>
      </c>
      <c r="AQ4" t="s">
        <v>63</v>
      </c>
      <c r="AR4" t="s">
        <v>64</v>
      </c>
      <c r="AS4">
        <v>1</v>
      </c>
      <c r="AT4">
        <v>3</v>
      </c>
      <c r="AU4">
        <v>0</v>
      </c>
      <c r="AV4">
        <v>0</v>
      </c>
      <c r="AW4">
        <v>100</v>
      </c>
      <c r="AX4" s="1">
        <v>43951</v>
      </c>
      <c r="AY4">
        <v>22800</v>
      </c>
      <c r="AZ4">
        <v>227252</v>
      </c>
      <c r="BA4">
        <v>250100</v>
      </c>
      <c r="BB4">
        <v>243000</v>
      </c>
      <c r="BC4">
        <v>976</v>
      </c>
      <c r="BD4">
        <f>Grandview_Sales[[#This Row],[land_extract]]*Lookups!$B$3</f>
        <v>52004.519878673433</v>
      </c>
      <c r="BE4">
        <f>Lookups!$B$2</f>
        <v>155833.95000000001</v>
      </c>
      <c r="BF4">
        <f>VLOOKUP(Grandview_Sales[[#This Row],[quality]],Lookups!$H$2:$J$13,3,FALSE)</f>
        <v>2251</v>
      </c>
      <c r="BG4">
        <f>VLOOKUP(Grandview_Sales[[#This Row],[condition]],Lookups!$H$17:$J$24,3,FALSE)</f>
        <v>-4503</v>
      </c>
      <c r="BH4">
        <f>Grandview_Sales[[#This Row],[Eff_Age]]*Lookups!$B$14</f>
        <v>-11001.6636</v>
      </c>
      <c r="BI4">
        <f>Grandview_Sales[[#This Row],[living_area]]*Lookups!$B$15</f>
        <v>153706.42179200001</v>
      </c>
      <c r="BJ4">
        <f>Grandview_Sales[[#This Row],[Fin BSMT]]*Lookups!$B$16</f>
        <v>-33386.263680000004</v>
      </c>
      <c r="BK4">
        <f>Grandview_Sales[[#This Row],[garage_sqft]]*Lookups!$B$17</f>
        <v>48311.281223999998</v>
      </c>
      <c r="BL4">
        <f>Grandview_Sales[[#This Row],[Plumbing Fixtures]]*Lookups!$B$18</f>
        <v>16083.5344</v>
      </c>
      <c r="BM4">
        <f>Grandview_Sales[[#This Row],[detatched_value]]*Lookups!$B$19</f>
        <v>0</v>
      </c>
      <c r="BN4">
        <f>Grandview_Sales[[#This Row],[days_prior]]*Lookups!$B$20</f>
        <v>-117069.8336</v>
      </c>
      <c r="BO4">
        <f>SUM(Grandview_Sales[[#This Row],[land_value]:[Days Prior To Assessment_value]])</f>
        <v>262229.94641467341</v>
      </c>
      <c r="BP4">
        <f>Grandview_Sales[[#This Row],[predicted_total]]/Grandview_Sales[[#This Row],[sale_price]]</f>
        <v>1.0791355819533885</v>
      </c>
      <c r="BQ4">
        <f>VLOOKUP(Grandview_Sales[[#This Row],[quality]],Lookups!$A$26:$C$33,3,FALSE)</f>
        <v>0.98763855981004833</v>
      </c>
      <c r="BR4">
        <f>VLOOKUP(Grandview_Sales[[#This Row],[condition]],Lookups!$A$37:$C$44,3,FALSE)</f>
        <v>0.96469275950863709</v>
      </c>
      <c r="BS4">
        <f>VLOOKUP(Grandview_Sales[[#This Row],[decade]],Lookups!$F$29:$H$43,3,FALSE)</f>
        <v>0.95268620544463312</v>
      </c>
      <c r="BT4">
        <f>VLOOKUP(Grandview_Sales[[#This Row],[living_area_range]],Lookups!$F$47:$H$56,3,FALSE)</f>
        <v>0.95799442568048754</v>
      </c>
      <c r="BU4">
        <f>Grandview_Sales[[#This Row],[predicted_total]]*AVERAGE(Grandview_Sales[[#This Row],[qual_adj]:[size_adj]])</f>
        <v>253249.35419103058</v>
      </c>
      <c r="BV4">
        <f>Grandview_Sales[[#This Row],[final_total]]/Grandview_Sales[[#This Row],[sale_price]]</f>
        <v>1.0421784123087678</v>
      </c>
      <c r="BW4" s="6">
        <f>(Grandview_Sales[[#This Row],[final_total]]-Grandview_Sales[[#This Row],[sale_price]])^2</f>
        <v>105049261.3331961</v>
      </c>
      <c r="BX4" s="6">
        <f>(Grandview_Sales[[#This Row],[final_total]]-AVERAGE(Grandview_Sales[sale_price]))^2</f>
        <v>2884744329.1528134</v>
      </c>
      <c r="BY4" s="6">
        <f>Grandview_Sales[[#This Row],[SSE]]+Grandview_Sales[[#This Row],[SSR]]</f>
        <v>2989793590.4860096</v>
      </c>
      <c r="BZ4" s="4">
        <f>ABS(Grandview_Sales[[#This Row],[final_ratio]]-MEDIAN(Grandview_Sales[final_ratio]))</f>
        <v>4.0929692952955898E-2</v>
      </c>
    </row>
    <row r="5" spans="1:78" x14ac:dyDescent="0.25">
      <c r="A5">
        <v>23092423538</v>
      </c>
      <c r="B5">
        <v>0</v>
      </c>
      <c r="C5">
        <v>9985</v>
      </c>
      <c r="D5">
        <v>0</v>
      </c>
      <c r="E5" t="s">
        <v>53</v>
      </c>
      <c r="F5" t="s">
        <v>53</v>
      </c>
      <c r="G5">
        <v>4</v>
      </c>
      <c r="H5" t="s">
        <v>54</v>
      </c>
      <c r="I5">
        <v>251700</v>
      </c>
      <c r="J5">
        <v>39500</v>
      </c>
      <c r="K5">
        <v>0.23</v>
      </c>
      <c r="L5">
        <v>-1.4696759700590001</v>
      </c>
      <c r="M5">
        <v>0</v>
      </c>
      <c r="N5">
        <v>0</v>
      </c>
      <c r="O5">
        <v>0</v>
      </c>
      <c r="P5">
        <v>13398.7528</v>
      </c>
      <c r="Q5">
        <v>63902.980100000001</v>
      </c>
      <c r="R5">
        <v>44211.155081080004</v>
      </c>
      <c r="S5" t="s">
        <v>61</v>
      </c>
      <c r="T5">
        <v>1</v>
      </c>
      <c r="U5" t="s">
        <v>64</v>
      </c>
      <c r="V5" t="s">
        <v>57</v>
      </c>
      <c r="W5">
        <v>0</v>
      </c>
      <c r="X5">
        <v>0</v>
      </c>
      <c r="Y5">
        <v>3</v>
      </c>
      <c r="Z5">
        <v>3</v>
      </c>
      <c r="AA5">
        <v>0</v>
      </c>
      <c r="AB5">
        <v>1500</v>
      </c>
      <c r="AC5">
        <v>1300</v>
      </c>
      <c r="AD5">
        <v>1300</v>
      </c>
      <c r="AE5">
        <v>0</v>
      </c>
      <c r="AF5">
        <v>0</v>
      </c>
      <c r="AG5">
        <v>0</v>
      </c>
      <c r="AH5">
        <v>400</v>
      </c>
      <c r="AI5">
        <v>0</v>
      </c>
      <c r="AJ5">
        <v>0</v>
      </c>
      <c r="AK5">
        <v>0</v>
      </c>
      <c r="AL5">
        <v>8</v>
      </c>
      <c r="AM5">
        <v>0</v>
      </c>
      <c r="AN5">
        <v>0</v>
      </c>
      <c r="AO5" t="s">
        <v>58</v>
      </c>
      <c r="AP5">
        <v>1</v>
      </c>
      <c r="AQ5" t="s">
        <v>59</v>
      </c>
      <c r="AR5" t="s">
        <v>60</v>
      </c>
      <c r="AS5">
        <v>1</v>
      </c>
      <c r="AT5">
        <v>3</v>
      </c>
      <c r="AU5">
        <v>0</v>
      </c>
      <c r="AV5">
        <v>0</v>
      </c>
      <c r="AW5">
        <v>100</v>
      </c>
      <c r="AX5" s="1">
        <v>43955</v>
      </c>
      <c r="AY5">
        <v>22600</v>
      </c>
      <c r="AZ5">
        <v>263159</v>
      </c>
      <c r="BA5">
        <v>285800</v>
      </c>
      <c r="BB5">
        <v>255000</v>
      </c>
      <c r="BC5">
        <v>972</v>
      </c>
      <c r="BD5">
        <f>Grandview_Sales[[#This Row],[land_extract]]*Lookups!$B$3</f>
        <v>51342.29502553949</v>
      </c>
      <c r="BE5">
        <f>Lookups!$B$2</f>
        <v>155833.95000000001</v>
      </c>
      <c r="BF5">
        <f>VLOOKUP(Grandview_Sales[[#This Row],[quality]],Lookups!$H$2:$J$13,3,FALSE)</f>
        <v>20768</v>
      </c>
      <c r="BG5">
        <f>VLOOKUP(Grandview_Sales[[#This Row],[condition]],Lookups!$H$17:$J$24,3,FALSE)</f>
        <v>25780</v>
      </c>
      <c r="BH5">
        <f>Grandview_Sales[[#This Row],[Eff_Age]]*Lookups!$B$14</f>
        <v>-717.49979999999994</v>
      </c>
      <c r="BI5">
        <f>Grandview_Sales[[#This Row],[living_area]]*Lookups!$B$15</f>
        <v>81095.108900000007</v>
      </c>
      <c r="BJ5">
        <f>Grandview_Sales[[#This Row],[Fin BSMT]]*Lookups!$B$16</f>
        <v>0</v>
      </c>
      <c r="BK5">
        <f>Grandview_Sales[[#This Row],[garage_sqft]]*Lookups!$B$17</f>
        <v>35008.174800000001</v>
      </c>
      <c r="BL5">
        <f>Grandview_Sales[[#This Row],[Plumbing Fixtures]]*Lookups!$B$18</f>
        <v>16083.5344</v>
      </c>
      <c r="BM5">
        <f>Grandview_Sales[[#This Row],[detatched_value]]*Lookups!$B$19</f>
        <v>0</v>
      </c>
      <c r="BN5">
        <f>Grandview_Sales[[#This Row],[days_prior]]*Lookups!$B$20</f>
        <v>-116590.0392</v>
      </c>
      <c r="BO5">
        <f>SUM(Grandview_Sales[[#This Row],[land_value]:[Days Prior To Assessment_value]])</f>
        <v>268603.52412553952</v>
      </c>
      <c r="BP5">
        <f>Grandview_Sales[[#This Row],[predicted_total]]/Grandview_Sales[[#This Row],[sale_price]]</f>
        <v>1.0533471534334884</v>
      </c>
      <c r="BQ5">
        <f>VLOOKUP(Grandview_Sales[[#This Row],[quality]],Lookups!$A$26:$C$33,3,FALSE)</f>
        <v>0.94960540378902636</v>
      </c>
      <c r="BR5">
        <f>VLOOKUP(Grandview_Sales[[#This Row],[condition]],Lookups!$A$37:$C$44,3,FALSE)</f>
        <v>0.94347925387812148</v>
      </c>
      <c r="BS5">
        <f>VLOOKUP(Grandview_Sales[[#This Row],[decade]],Lookups!$F$29:$H$43,3,FALSE)</f>
        <v>0.9413635517371044</v>
      </c>
      <c r="BT5">
        <f>VLOOKUP(Grandview_Sales[[#This Row],[living_area_range]],Lookups!$F$47:$H$56,3,FALSE)</f>
        <v>0.96135087979789358</v>
      </c>
      <c r="BU5">
        <f>Grandview_Sales[[#This Row],[predicted_total]]*AVERAGE(Grandview_Sales[[#This Row],[qual_adj]:[size_adj]])</f>
        <v>254891.25305805239</v>
      </c>
      <c r="BV5">
        <f>Grandview_Sales[[#This Row],[final_total]]/Grandview_Sales[[#This Row],[sale_price]]</f>
        <v>0.99957354140412702</v>
      </c>
      <c r="BW5" s="6">
        <f>(Grandview_Sales[[#This Row],[final_total]]-Grandview_Sales[[#This Row],[sale_price]])^2</f>
        <v>11825.897382957088</v>
      </c>
      <c r="BX5" s="6">
        <f>(Grandview_Sales[[#This Row],[final_total]]-AVERAGE(Grandview_Sales[sale_price]))^2</f>
        <v>2711067989.1368642</v>
      </c>
      <c r="BY5" s="6">
        <f>Grandview_Sales[[#This Row],[SSE]]+Grandview_Sales[[#This Row],[SSR]]</f>
        <v>2711079815.0342469</v>
      </c>
      <c r="BZ5" s="4">
        <f>ABS(Grandview_Sales[[#This Row],[final_ratio]]-MEDIAN(Grandview_Sales[final_ratio]))</f>
        <v>1.6751779516849252E-3</v>
      </c>
    </row>
    <row r="6" spans="1:78" x14ac:dyDescent="0.25">
      <c r="A6">
        <v>23092714402</v>
      </c>
      <c r="B6">
        <v>0.24</v>
      </c>
      <c r="C6">
        <v>10301</v>
      </c>
      <c r="D6">
        <v>0</v>
      </c>
      <c r="E6" t="s">
        <v>53</v>
      </c>
      <c r="F6" t="s">
        <v>53</v>
      </c>
      <c r="G6">
        <v>4</v>
      </c>
      <c r="H6" t="s">
        <v>54</v>
      </c>
      <c r="I6">
        <v>262300</v>
      </c>
      <c r="J6">
        <v>21100</v>
      </c>
      <c r="K6">
        <v>0.24</v>
      </c>
      <c r="L6">
        <v>-1.4271163556399999</v>
      </c>
      <c r="M6">
        <v>0</v>
      </c>
      <c r="N6">
        <v>1</v>
      </c>
      <c r="O6">
        <v>0</v>
      </c>
      <c r="P6">
        <v>13398.7528</v>
      </c>
      <c r="Q6">
        <v>63902.980100000001</v>
      </c>
      <c r="R6">
        <v>44781.400833940999</v>
      </c>
      <c r="S6" t="s">
        <v>61</v>
      </c>
      <c r="T6">
        <v>1</v>
      </c>
      <c r="U6" t="s">
        <v>62</v>
      </c>
      <c r="V6" t="s">
        <v>57</v>
      </c>
      <c r="W6">
        <v>0</v>
      </c>
      <c r="X6">
        <v>0</v>
      </c>
      <c r="Y6">
        <v>3</v>
      </c>
      <c r="Z6">
        <v>3</v>
      </c>
      <c r="AA6">
        <v>0</v>
      </c>
      <c r="AB6">
        <v>1500</v>
      </c>
      <c r="AC6">
        <v>1480</v>
      </c>
      <c r="AD6">
        <v>1480</v>
      </c>
      <c r="AE6">
        <v>0</v>
      </c>
      <c r="AF6">
        <v>0</v>
      </c>
      <c r="AG6">
        <v>0</v>
      </c>
      <c r="AH6">
        <v>576</v>
      </c>
      <c r="AI6">
        <v>0</v>
      </c>
      <c r="AJ6">
        <v>0</v>
      </c>
      <c r="AK6">
        <v>0</v>
      </c>
      <c r="AL6">
        <v>9</v>
      </c>
      <c r="AM6">
        <v>0</v>
      </c>
      <c r="AN6">
        <v>0</v>
      </c>
      <c r="AO6" t="s">
        <v>58</v>
      </c>
      <c r="AP6">
        <v>1</v>
      </c>
      <c r="AQ6" t="s">
        <v>59</v>
      </c>
      <c r="AR6" t="s">
        <v>60</v>
      </c>
      <c r="AS6">
        <v>1</v>
      </c>
      <c r="AT6">
        <v>3</v>
      </c>
      <c r="AU6">
        <v>0</v>
      </c>
      <c r="AV6">
        <v>0</v>
      </c>
      <c r="AW6">
        <v>100</v>
      </c>
      <c r="AX6" s="1">
        <v>43956</v>
      </c>
      <c r="AY6">
        <v>12100</v>
      </c>
      <c r="AZ6">
        <v>259299</v>
      </c>
      <c r="BA6">
        <v>271400</v>
      </c>
      <c r="BB6">
        <v>280000</v>
      </c>
      <c r="BC6">
        <v>971</v>
      </c>
      <c r="BD6">
        <f>Grandview_Sales[[#This Row],[land_extract]]*Lookups!$B$3</f>
        <v>52004.519878673433</v>
      </c>
      <c r="BE6">
        <f>Lookups!$B$2</f>
        <v>155833.95000000001</v>
      </c>
      <c r="BF6">
        <f>VLOOKUP(Grandview_Sales[[#This Row],[quality]],Lookups!$H$2:$J$13,3,FALSE)</f>
        <v>9808</v>
      </c>
      <c r="BG6">
        <f>VLOOKUP(Grandview_Sales[[#This Row],[condition]],Lookups!$H$17:$J$24,3,FALSE)</f>
        <v>25780</v>
      </c>
      <c r="BH6">
        <f>Grandview_Sales[[#This Row],[Eff_Age]]*Lookups!$B$14</f>
        <v>-717.49979999999994</v>
      </c>
      <c r="BI6">
        <f>Grandview_Sales[[#This Row],[living_area]]*Lookups!$B$15</f>
        <v>92323.66244</v>
      </c>
      <c r="BJ6">
        <f>Grandview_Sales[[#This Row],[Fin BSMT]]*Lookups!$B$16</f>
        <v>0</v>
      </c>
      <c r="BK6">
        <f>Grandview_Sales[[#This Row],[garage_sqft]]*Lookups!$B$17</f>
        <v>50411.771712000002</v>
      </c>
      <c r="BL6">
        <f>Grandview_Sales[[#This Row],[Plumbing Fixtures]]*Lookups!$B$18</f>
        <v>18093.976200000001</v>
      </c>
      <c r="BM6">
        <f>Grandview_Sales[[#This Row],[detatched_value]]*Lookups!$B$19</f>
        <v>0</v>
      </c>
      <c r="BN6">
        <f>Grandview_Sales[[#This Row],[days_prior]]*Lookups!$B$20</f>
        <v>-116470.0906</v>
      </c>
      <c r="BO6">
        <f>SUM(Grandview_Sales[[#This Row],[land_value]:[Days Prior To Assessment_value]])</f>
        <v>287068.28983067343</v>
      </c>
      <c r="BP6">
        <f>Grandview_Sales[[#This Row],[predicted_total]]/Grandview_Sales[[#This Row],[sale_price]]</f>
        <v>1.0252438922524052</v>
      </c>
      <c r="BQ6">
        <f>VLOOKUP(Grandview_Sales[[#This Row],[quality]],Lookups!$A$26:$C$33,3,FALSE)</f>
        <v>0.94295468617355149</v>
      </c>
      <c r="BR6">
        <f>VLOOKUP(Grandview_Sales[[#This Row],[condition]],Lookups!$A$37:$C$44,3,FALSE)</f>
        <v>0.94347925387812148</v>
      </c>
      <c r="BS6">
        <f>VLOOKUP(Grandview_Sales[[#This Row],[decade]],Lookups!$F$29:$H$43,3,FALSE)</f>
        <v>0.9413635517371044</v>
      </c>
      <c r="BT6">
        <f>VLOOKUP(Grandview_Sales[[#This Row],[living_area_range]],Lookups!$F$47:$H$56,3,FALSE)</f>
        <v>0.96135087979789358</v>
      </c>
      <c r="BU6">
        <f>Grandview_Sales[[#This Row],[predicted_total]]*AVERAGE(Grandview_Sales[[#This Row],[qual_adj]:[size_adj]])</f>
        <v>271936.08573651669</v>
      </c>
      <c r="BV6">
        <f>Grandview_Sales[[#This Row],[final_total]]/Grandview_Sales[[#This Row],[sale_price]]</f>
        <v>0.97120030620184528</v>
      </c>
      <c r="BW6" s="6">
        <f>(Grandview_Sales[[#This Row],[final_total]]-Grandview_Sales[[#This Row],[sale_price]])^2</f>
        <v>65026713.248809598</v>
      </c>
      <c r="BX6" s="6">
        <f>(Grandview_Sales[[#This Row],[final_total]]-AVERAGE(Grandview_Sales[sale_price]))^2</f>
        <v>1226616441.055686</v>
      </c>
      <c r="BY6" s="6">
        <f>Grandview_Sales[[#This Row],[SSE]]+Grandview_Sales[[#This Row],[SSR]]</f>
        <v>1291643154.3044956</v>
      </c>
      <c r="BZ6" s="4">
        <f>ABS(Grandview_Sales[[#This Row],[final_ratio]]-MEDIAN(Grandview_Sales[final_ratio]))</f>
        <v>3.0048413153966669E-2</v>
      </c>
    </row>
    <row r="7" spans="1:78" x14ac:dyDescent="0.25">
      <c r="A7">
        <v>23092314428</v>
      </c>
      <c r="B7">
        <v>0.2</v>
      </c>
      <c r="C7">
        <v>8502</v>
      </c>
      <c r="D7">
        <v>0</v>
      </c>
      <c r="E7" t="s">
        <v>53</v>
      </c>
      <c r="F7" t="s">
        <v>53</v>
      </c>
      <c r="G7">
        <v>4</v>
      </c>
      <c r="H7" t="s">
        <v>54</v>
      </c>
      <c r="I7">
        <v>160400</v>
      </c>
      <c r="J7">
        <v>39700</v>
      </c>
      <c r="K7">
        <v>0.2</v>
      </c>
      <c r="L7">
        <v>-1.6094379124339999</v>
      </c>
      <c r="M7">
        <v>0</v>
      </c>
      <c r="N7">
        <v>0</v>
      </c>
      <c r="O7">
        <v>0</v>
      </c>
      <c r="P7">
        <v>13398.7528</v>
      </c>
      <c r="Q7">
        <v>63902.980100000001</v>
      </c>
      <c r="R7">
        <v>42338.519364346997</v>
      </c>
      <c r="S7" t="s">
        <v>55</v>
      </c>
      <c r="T7">
        <v>2</v>
      </c>
      <c r="U7" t="s">
        <v>65</v>
      </c>
      <c r="V7" t="s">
        <v>69</v>
      </c>
      <c r="W7">
        <v>0</v>
      </c>
      <c r="X7">
        <v>0</v>
      </c>
      <c r="Y7">
        <v>57</v>
      </c>
      <c r="Z7">
        <v>103</v>
      </c>
      <c r="AA7">
        <v>100</v>
      </c>
      <c r="AB7">
        <v>2000</v>
      </c>
      <c r="AC7">
        <v>1610</v>
      </c>
      <c r="AD7">
        <v>928</v>
      </c>
      <c r="AE7">
        <v>682</v>
      </c>
      <c r="AF7">
        <v>0</v>
      </c>
      <c r="AG7">
        <v>928</v>
      </c>
      <c r="AH7">
        <v>0</v>
      </c>
      <c r="AI7">
        <v>0</v>
      </c>
      <c r="AJ7">
        <v>88</v>
      </c>
      <c r="AK7">
        <v>0</v>
      </c>
      <c r="AL7">
        <v>7</v>
      </c>
      <c r="AM7">
        <v>0</v>
      </c>
      <c r="AN7">
        <v>1</v>
      </c>
      <c r="AO7" t="s">
        <v>58</v>
      </c>
      <c r="AP7">
        <v>1</v>
      </c>
      <c r="AQ7" t="s">
        <v>63</v>
      </c>
      <c r="AR7" t="s">
        <v>64</v>
      </c>
      <c r="AS7">
        <v>0</v>
      </c>
      <c r="AT7">
        <v>3</v>
      </c>
      <c r="AU7">
        <v>0</v>
      </c>
      <c r="AV7">
        <v>0</v>
      </c>
      <c r="AW7">
        <v>100</v>
      </c>
      <c r="AX7" s="1">
        <v>43972</v>
      </c>
      <c r="AY7">
        <v>22700</v>
      </c>
      <c r="AZ7">
        <v>152716</v>
      </c>
      <c r="BA7">
        <v>175400</v>
      </c>
      <c r="BB7">
        <v>130000</v>
      </c>
      <c r="BC7">
        <v>955</v>
      </c>
      <c r="BD7">
        <f>Grandview_Sales[[#This Row],[land_extract]]*Lookups!$B$3</f>
        <v>49167.608223813884</v>
      </c>
      <c r="BE7">
        <f>Lookups!$B$2</f>
        <v>155833.95000000001</v>
      </c>
      <c r="BF7">
        <f>VLOOKUP(Grandview_Sales[[#This Row],[quality]],Lookups!$H$2:$J$13,3,FALSE)</f>
        <v>2251</v>
      </c>
      <c r="BG7">
        <f>VLOOKUP(Grandview_Sales[[#This Row],[condition]],Lookups!$H$17:$J$24,3,FALSE)</f>
        <v>-4503</v>
      </c>
      <c r="BH7">
        <f>Grandview_Sales[[#This Row],[Eff_Age]]*Lookups!$B$14</f>
        <v>-13632.4962</v>
      </c>
      <c r="BI7">
        <f>Grandview_Sales[[#This Row],[living_area]]*Lookups!$B$15</f>
        <v>100433.17333000001</v>
      </c>
      <c r="BJ7">
        <f>Grandview_Sales[[#This Row],[Fin BSMT]]*Lookups!$B$16</f>
        <v>0</v>
      </c>
      <c r="BK7">
        <f>Grandview_Sales[[#This Row],[garage_sqft]]*Lookups!$B$17</f>
        <v>0</v>
      </c>
      <c r="BL7">
        <f>Grandview_Sales[[#This Row],[Plumbing Fixtures]]*Lookups!$B$18</f>
        <v>14073.0926</v>
      </c>
      <c r="BM7">
        <f>Grandview_Sales[[#This Row],[detatched_value]]*Lookups!$B$19</f>
        <v>0</v>
      </c>
      <c r="BN7">
        <f>Grandview_Sales[[#This Row],[days_prior]]*Lookups!$B$20</f>
        <v>-114550.913</v>
      </c>
      <c r="BO7">
        <f>SUM(Grandview_Sales[[#This Row],[land_value]:[Days Prior To Assessment_value]])</f>
        <v>189072.41495381389</v>
      </c>
      <c r="BP7">
        <f>Grandview_Sales[[#This Row],[predicted_total]]/Grandview_Sales[[#This Row],[sale_price]]</f>
        <v>1.4544031919524145</v>
      </c>
      <c r="BQ7">
        <f>VLOOKUP(Grandview_Sales[[#This Row],[quality]],Lookups!$A$26:$C$33,3,FALSE)</f>
        <v>0.98763855981004833</v>
      </c>
      <c r="BR7">
        <f>VLOOKUP(Grandview_Sales[[#This Row],[condition]],Lookups!$A$37:$C$44,3,FALSE)</f>
        <v>0.96469275950863709</v>
      </c>
      <c r="BS7">
        <f>VLOOKUP(Grandview_Sales[[#This Row],[decade]],Lookups!$F$29:$H$43,3,FALSE)</f>
        <v>0.95244691841736806</v>
      </c>
      <c r="BT7">
        <f>VLOOKUP(Grandview_Sales[[#This Row],[living_area_range]],Lookups!$F$47:$H$56,3,FALSE)</f>
        <v>0.96120133463014379</v>
      </c>
      <c r="BU7">
        <f>Grandview_Sales[[#This Row],[predicted_total]]*AVERAGE(Grandview_Sales[[#This Row],[qual_adj]:[size_adj]])</f>
        <v>182737.52347734742</v>
      </c>
      <c r="BV7">
        <f>Grandview_Sales[[#This Row],[final_total]]/Grandview_Sales[[#This Row],[sale_price]]</f>
        <v>1.4056732575180571</v>
      </c>
      <c r="BW7" s="6">
        <f>(Grandview_Sales[[#This Row],[final_total]]-Grandview_Sales[[#This Row],[sale_price]])^2</f>
        <v>2781246382.5237703</v>
      </c>
      <c r="BX7" s="6">
        <f>(Grandview_Sales[[#This Row],[final_total]]-AVERAGE(Grandview_Sales[sale_price]))^2</f>
        <v>15431017499.304853</v>
      </c>
      <c r="BY7" s="6">
        <f>Grandview_Sales[[#This Row],[SSE]]+Grandview_Sales[[#This Row],[SSR]]</f>
        <v>18212263881.828625</v>
      </c>
      <c r="BZ7" s="4">
        <f>ABS(Grandview_Sales[[#This Row],[final_ratio]]-MEDIAN(Grandview_Sales[final_ratio]))</f>
        <v>0.40442453816224511</v>
      </c>
    </row>
    <row r="8" spans="1:78" x14ac:dyDescent="0.25">
      <c r="A8">
        <v>23092314428</v>
      </c>
      <c r="B8">
        <v>0.2</v>
      </c>
      <c r="C8">
        <v>8502</v>
      </c>
      <c r="D8">
        <v>0</v>
      </c>
      <c r="E8" t="s">
        <v>53</v>
      </c>
      <c r="F8" t="s">
        <v>53</v>
      </c>
      <c r="G8">
        <v>4</v>
      </c>
      <c r="H8" t="s">
        <v>54</v>
      </c>
      <c r="I8">
        <v>160400</v>
      </c>
      <c r="J8">
        <v>39700</v>
      </c>
      <c r="K8">
        <v>0.2</v>
      </c>
      <c r="L8">
        <v>-1.6094379124339999</v>
      </c>
      <c r="M8">
        <v>0</v>
      </c>
      <c r="N8">
        <v>0</v>
      </c>
      <c r="O8">
        <v>0</v>
      </c>
      <c r="P8">
        <v>13398.7528</v>
      </c>
      <c r="Q8">
        <v>63902.980100000001</v>
      </c>
      <c r="R8">
        <v>42338.519364346997</v>
      </c>
      <c r="S8" t="s">
        <v>55</v>
      </c>
      <c r="T8">
        <v>2</v>
      </c>
      <c r="U8" t="s">
        <v>65</v>
      </c>
      <c r="V8" t="s">
        <v>69</v>
      </c>
      <c r="W8">
        <v>0</v>
      </c>
      <c r="X8">
        <v>0</v>
      </c>
      <c r="Y8">
        <v>57</v>
      </c>
      <c r="Z8">
        <v>103</v>
      </c>
      <c r="AA8">
        <v>100</v>
      </c>
      <c r="AB8">
        <v>2000</v>
      </c>
      <c r="AC8">
        <v>1610</v>
      </c>
      <c r="AD8">
        <v>928</v>
      </c>
      <c r="AE8">
        <v>682</v>
      </c>
      <c r="AF8">
        <v>0</v>
      </c>
      <c r="AG8">
        <v>928</v>
      </c>
      <c r="AH8">
        <v>0</v>
      </c>
      <c r="AI8">
        <v>0</v>
      </c>
      <c r="AJ8">
        <v>88</v>
      </c>
      <c r="AK8">
        <v>0</v>
      </c>
      <c r="AL8">
        <v>7</v>
      </c>
      <c r="AM8">
        <v>0</v>
      </c>
      <c r="AN8">
        <v>1</v>
      </c>
      <c r="AO8" t="s">
        <v>58</v>
      </c>
      <c r="AP8">
        <v>1</v>
      </c>
      <c r="AQ8" t="s">
        <v>63</v>
      </c>
      <c r="AR8" t="s">
        <v>64</v>
      </c>
      <c r="AS8">
        <v>0</v>
      </c>
      <c r="AT8">
        <v>3</v>
      </c>
      <c r="AU8">
        <v>0</v>
      </c>
      <c r="AV8">
        <v>0</v>
      </c>
      <c r="AW8">
        <v>100</v>
      </c>
      <c r="AX8" s="1">
        <v>43974</v>
      </c>
      <c r="AY8">
        <v>22700</v>
      </c>
      <c r="AZ8">
        <v>152716</v>
      </c>
      <c r="BA8">
        <v>175400</v>
      </c>
      <c r="BB8">
        <v>131000</v>
      </c>
      <c r="BC8">
        <v>953</v>
      </c>
      <c r="BD8">
        <f>Grandview_Sales[[#This Row],[land_extract]]*Lookups!$B$3</f>
        <v>49167.608223813884</v>
      </c>
      <c r="BE8">
        <f>Lookups!$B$2</f>
        <v>155833.95000000001</v>
      </c>
      <c r="BF8">
        <f>VLOOKUP(Grandview_Sales[[#This Row],[quality]],Lookups!$H$2:$J$13,3,FALSE)</f>
        <v>2251</v>
      </c>
      <c r="BG8">
        <f>VLOOKUP(Grandview_Sales[[#This Row],[condition]],Lookups!$H$17:$J$24,3,FALSE)</f>
        <v>-4503</v>
      </c>
      <c r="BH8">
        <f>Grandview_Sales[[#This Row],[Eff_Age]]*Lookups!$B$14</f>
        <v>-13632.4962</v>
      </c>
      <c r="BI8">
        <f>Grandview_Sales[[#This Row],[living_area]]*Lookups!$B$15</f>
        <v>100433.17333000001</v>
      </c>
      <c r="BJ8">
        <f>Grandview_Sales[[#This Row],[Fin BSMT]]*Lookups!$B$16</f>
        <v>0</v>
      </c>
      <c r="BK8">
        <f>Grandview_Sales[[#This Row],[garage_sqft]]*Lookups!$B$17</f>
        <v>0</v>
      </c>
      <c r="BL8">
        <f>Grandview_Sales[[#This Row],[Plumbing Fixtures]]*Lookups!$B$18</f>
        <v>14073.0926</v>
      </c>
      <c r="BM8">
        <f>Grandview_Sales[[#This Row],[detatched_value]]*Lookups!$B$19</f>
        <v>0</v>
      </c>
      <c r="BN8">
        <f>Grandview_Sales[[#This Row],[days_prior]]*Lookups!$B$20</f>
        <v>-114311.01579999999</v>
      </c>
      <c r="BO8">
        <f>SUM(Grandview_Sales[[#This Row],[land_value]:[Days Prior To Assessment_value]])</f>
        <v>189312.31215381389</v>
      </c>
      <c r="BP8">
        <f>Grandview_Sales[[#This Row],[predicted_total]]/Grandview_Sales[[#This Row],[sale_price]]</f>
        <v>1.4451321538459077</v>
      </c>
      <c r="BQ8">
        <f>VLOOKUP(Grandview_Sales[[#This Row],[quality]],Lookups!$A$26:$C$33,3,FALSE)</f>
        <v>0.98763855981004833</v>
      </c>
      <c r="BR8">
        <f>VLOOKUP(Grandview_Sales[[#This Row],[condition]],Lookups!$A$37:$C$44,3,FALSE)</f>
        <v>0.96469275950863709</v>
      </c>
      <c r="BS8">
        <f>VLOOKUP(Grandview_Sales[[#This Row],[decade]],Lookups!$F$29:$H$43,3,FALSE)</f>
        <v>0.95244691841736806</v>
      </c>
      <c r="BT8">
        <f>VLOOKUP(Grandview_Sales[[#This Row],[living_area_range]],Lookups!$F$47:$H$56,3,FALSE)</f>
        <v>0.96120133463014379</v>
      </c>
      <c r="BU8">
        <f>Grandview_Sales[[#This Row],[predicted_total]]*AVERAGE(Grandview_Sales[[#This Row],[qual_adj]:[size_adj]])</f>
        <v>182969.38289601437</v>
      </c>
      <c r="BV8">
        <f>Grandview_Sales[[#This Row],[final_total]]/Grandview_Sales[[#This Row],[sale_price]]</f>
        <v>1.3967128465344609</v>
      </c>
      <c r="BW8" s="6">
        <f>(Grandview_Sales[[#This Row],[final_total]]-Grandview_Sales[[#This Row],[sale_price]])^2</f>
        <v>2700816758.5925512</v>
      </c>
      <c r="BX8" s="6">
        <f>(Grandview_Sales[[#This Row],[final_total]]-AVERAGE(Grandview_Sales[sale_price]))^2</f>
        <v>15373467340.533285</v>
      </c>
      <c r="BY8" s="6">
        <f>Grandview_Sales[[#This Row],[SSE]]+Grandview_Sales[[#This Row],[SSR]]</f>
        <v>18074284099.125835</v>
      </c>
      <c r="BZ8" s="4">
        <f>ABS(Grandview_Sales[[#This Row],[final_ratio]]-MEDIAN(Grandview_Sales[final_ratio]))</f>
        <v>0.39546412717864898</v>
      </c>
    </row>
    <row r="9" spans="1:78" x14ac:dyDescent="0.25">
      <c r="A9">
        <v>23091443437</v>
      </c>
      <c r="B9">
        <v>0.21</v>
      </c>
      <c r="C9">
        <v>9353</v>
      </c>
      <c r="D9">
        <v>0</v>
      </c>
      <c r="E9" t="s">
        <v>53</v>
      </c>
      <c r="F9" t="s">
        <v>53</v>
      </c>
      <c r="G9">
        <v>4</v>
      </c>
      <c r="H9" t="s">
        <v>54</v>
      </c>
      <c r="I9">
        <v>191500</v>
      </c>
      <c r="J9">
        <v>39500</v>
      </c>
      <c r="K9">
        <v>0.21</v>
      </c>
      <c r="L9">
        <v>-1.5606477482650001</v>
      </c>
      <c r="M9">
        <v>0</v>
      </c>
      <c r="N9">
        <v>0</v>
      </c>
      <c r="O9">
        <v>0</v>
      </c>
      <c r="P9">
        <v>13398.7528</v>
      </c>
      <c r="Q9">
        <v>63902.980100000001</v>
      </c>
      <c r="R9">
        <v>42992.246713125001</v>
      </c>
      <c r="S9" t="s">
        <v>61</v>
      </c>
      <c r="T9">
        <v>1</v>
      </c>
      <c r="U9" t="s">
        <v>65</v>
      </c>
      <c r="V9" t="s">
        <v>69</v>
      </c>
      <c r="W9">
        <v>0</v>
      </c>
      <c r="X9">
        <v>0</v>
      </c>
      <c r="Y9">
        <v>43</v>
      </c>
      <c r="Z9">
        <v>44</v>
      </c>
      <c r="AA9">
        <v>40</v>
      </c>
      <c r="AB9">
        <v>1500</v>
      </c>
      <c r="AC9">
        <v>1408</v>
      </c>
      <c r="AD9">
        <v>1408</v>
      </c>
      <c r="AE9">
        <v>0</v>
      </c>
      <c r="AF9">
        <v>0</v>
      </c>
      <c r="AG9">
        <v>0</v>
      </c>
      <c r="AH9">
        <v>528</v>
      </c>
      <c r="AI9">
        <v>0</v>
      </c>
      <c r="AJ9">
        <v>168</v>
      </c>
      <c r="AK9">
        <v>0</v>
      </c>
      <c r="AL9">
        <v>8</v>
      </c>
      <c r="AM9">
        <v>1</v>
      </c>
      <c r="AN9">
        <v>0</v>
      </c>
      <c r="AO9" t="s">
        <v>58</v>
      </c>
      <c r="AP9">
        <v>1</v>
      </c>
      <c r="AQ9" t="s">
        <v>63</v>
      </c>
      <c r="AR9" t="s">
        <v>60</v>
      </c>
      <c r="AS9">
        <v>0</v>
      </c>
      <c r="AT9">
        <v>3</v>
      </c>
      <c r="AU9">
        <v>0</v>
      </c>
      <c r="AV9">
        <v>0</v>
      </c>
      <c r="AW9">
        <v>100</v>
      </c>
      <c r="AX9" s="1">
        <v>43984</v>
      </c>
      <c r="AY9">
        <v>22600</v>
      </c>
      <c r="AZ9">
        <v>175263</v>
      </c>
      <c r="BA9">
        <v>197900</v>
      </c>
      <c r="BB9">
        <v>255000</v>
      </c>
      <c r="BC9">
        <v>943</v>
      </c>
      <c r="BD9">
        <f>Grandview_Sales[[#This Row],[land_extract]]*Lookups!$B$3</f>
        <v>49926.780028885936</v>
      </c>
      <c r="BE9">
        <f>Lookups!$B$2</f>
        <v>155833.95000000001</v>
      </c>
      <c r="BF9">
        <f>VLOOKUP(Grandview_Sales[[#This Row],[quality]],Lookups!$H$2:$J$13,3,FALSE)</f>
        <v>2251</v>
      </c>
      <c r="BG9">
        <f>VLOOKUP(Grandview_Sales[[#This Row],[condition]],Lookups!$H$17:$J$24,3,FALSE)</f>
        <v>-4503</v>
      </c>
      <c r="BH9">
        <f>Grandview_Sales[[#This Row],[Eff_Age]]*Lookups!$B$14</f>
        <v>-10284.1638</v>
      </c>
      <c r="BI9">
        <f>Grandview_Sales[[#This Row],[living_area]]*Lookups!$B$15</f>
        <v>87832.241024000003</v>
      </c>
      <c r="BJ9">
        <f>Grandview_Sales[[#This Row],[Fin BSMT]]*Lookups!$B$16</f>
        <v>0</v>
      </c>
      <c r="BK9">
        <f>Grandview_Sales[[#This Row],[garage_sqft]]*Lookups!$B$17</f>
        <v>46210.790736000003</v>
      </c>
      <c r="BL9">
        <f>Grandview_Sales[[#This Row],[Plumbing Fixtures]]*Lookups!$B$18</f>
        <v>16083.5344</v>
      </c>
      <c r="BM9">
        <f>Grandview_Sales[[#This Row],[detatched_value]]*Lookups!$B$19</f>
        <v>0</v>
      </c>
      <c r="BN9">
        <f>Grandview_Sales[[#This Row],[days_prior]]*Lookups!$B$20</f>
        <v>-113111.5298</v>
      </c>
      <c r="BO9">
        <f>SUM(Grandview_Sales[[#This Row],[land_value]:[Days Prior To Assessment_value]])</f>
        <v>230239.60258888593</v>
      </c>
      <c r="BP9">
        <f>Grandview_Sales[[#This Row],[predicted_total]]/Grandview_Sales[[#This Row],[sale_price]]</f>
        <v>0.90290040230935653</v>
      </c>
      <c r="BQ9">
        <f>VLOOKUP(Grandview_Sales[[#This Row],[quality]],Lookups!$A$26:$C$33,3,FALSE)</f>
        <v>0.98763855981004833</v>
      </c>
      <c r="BR9">
        <f>VLOOKUP(Grandview_Sales[[#This Row],[condition]],Lookups!$A$37:$C$44,3,FALSE)</f>
        <v>0.96469275950863709</v>
      </c>
      <c r="BS9">
        <f>VLOOKUP(Grandview_Sales[[#This Row],[decade]],Lookups!$F$29:$H$43,3,FALSE)</f>
        <v>0.98031878267063854</v>
      </c>
      <c r="BT9">
        <f>VLOOKUP(Grandview_Sales[[#This Row],[living_area_range]],Lookups!$F$47:$H$56,3,FALSE)</f>
        <v>0.96135087979789358</v>
      </c>
      <c r="BU9">
        <f>Grandview_Sales[[#This Row],[predicted_total]]*AVERAGE(Grandview_Sales[[#This Row],[qual_adj]:[size_adj]])</f>
        <v>224138.30963185514</v>
      </c>
      <c r="BV9">
        <f>Grandview_Sales[[#This Row],[final_total]]/Grandview_Sales[[#This Row],[sale_price]]</f>
        <v>0.87897376326217702</v>
      </c>
      <c r="BW9" s="6">
        <f>(Grandview_Sales[[#This Row],[final_total]]-Grandview_Sales[[#This Row],[sale_price]])^2</f>
        <v>952443932.37924528</v>
      </c>
      <c r="BX9" s="6">
        <f>(Grandview_Sales[[#This Row],[final_total]]-AVERAGE(Grandview_Sales[sale_price]))^2</f>
        <v>6859294935.1255407</v>
      </c>
      <c r="BY9" s="6">
        <f>Grandview_Sales[[#This Row],[SSE]]+Grandview_Sales[[#This Row],[SSR]]</f>
        <v>7811738867.5047855</v>
      </c>
      <c r="BZ9" s="4">
        <f>ABS(Grandview_Sales[[#This Row],[final_ratio]]-MEDIAN(Grandview_Sales[final_ratio]))</f>
        <v>0.12227495609363492</v>
      </c>
    </row>
    <row r="10" spans="1:78" x14ac:dyDescent="0.25">
      <c r="A10">
        <v>23092314461</v>
      </c>
      <c r="B10">
        <v>0.2</v>
      </c>
      <c r="C10">
        <v>8863</v>
      </c>
      <c r="D10">
        <v>0</v>
      </c>
      <c r="E10" t="s">
        <v>53</v>
      </c>
      <c r="F10" t="s">
        <v>53</v>
      </c>
      <c r="G10">
        <v>4</v>
      </c>
      <c r="H10" t="s">
        <v>54</v>
      </c>
      <c r="I10">
        <v>122700</v>
      </c>
      <c r="J10">
        <v>39700</v>
      </c>
      <c r="K10">
        <v>0.2</v>
      </c>
      <c r="L10">
        <v>-1.6094379124339999</v>
      </c>
      <c r="M10">
        <v>0</v>
      </c>
      <c r="N10">
        <v>0</v>
      </c>
      <c r="O10">
        <v>0</v>
      </c>
      <c r="P10">
        <v>13398.7528</v>
      </c>
      <c r="Q10">
        <v>63902.980100000001</v>
      </c>
      <c r="R10">
        <v>42338.519364346997</v>
      </c>
      <c r="S10" t="s">
        <v>68</v>
      </c>
      <c r="T10">
        <v>1</v>
      </c>
      <c r="U10" t="s">
        <v>80</v>
      </c>
      <c r="V10" t="s">
        <v>67</v>
      </c>
      <c r="W10">
        <v>0</v>
      </c>
      <c r="X10">
        <v>0</v>
      </c>
      <c r="Y10">
        <v>55</v>
      </c>
      <c r="Z10">
        <v>98</v>
      </c>
      <c r="AA10">
        <v>100</v>
      </c>
      <c r="AB10">
        <v>1000</v>
      </c>
      <c r="AC10">
        <v>724</v>
      </c>
      <c r="AD10">
        <v>724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5</v>
      </c>
      <c r="AM10">
        <v>0</v>
      </c>
      <c r="AN10">
        <v>0</v>
      </c>
      <c r="AO10" t="s">
        <v>58</v>
      </c>
      <c r="AP10">
        <v>1</v>
      </c>
      <c r="AQ10" t="s">
        <v>75</v>
      </c>
      <c r="AR10" t="s">
        <v>60</v>
      </c>
      <c r="AS10">
        <v>0</v>
      </c>
      <c r="AT10">
        <v>2</v>
      </c>
      <c r="AU10">
        <v>0</v>
      </c>
      <c r="AV10">
        <v>3900</v>
      </c>
      <c r="AW10">
        <v>100</v>
      </c>
      <c r="AX10" s="1">
        <v>43993</v>
      </c>
      <c r="AY10">
        <v>22700</v>
      </c>
      <c r="AZ10">
        <v>77079</v>
      </c>
      <c r="BA10">
        <v>99800</v>
      </c>
      <c r="BB10">
        <v>157000</v>
      </c>
      <c r="BC10">
        <v>934</v>
      </c>
      <c r="BD10">
        <f>Grandview_Sales[[#This Row],[land_extract]]*Lookups!$B$3</f>
        <v>49167.608223813884</v>
      </c>
      <c r="BE10">
        <f>Lookups!$B$2</f>
        <v>155833.95000000001</v>
      </c>
      <c r="BF10">
        <f>VLOOKUP(Grandview_Sales[[#This Row],[quality]],Lookups!$H$2:$J$13,3,FALSE)</f>
        <v>-28558</v>
      </c>
      <c r="BG10">
        <f>VLOOKUP(Grandview_Sales[[#This Row],[condition]],Lookups!$H$17:$J$24,3,FALSE)</f>
        <v>22342</v>
      </c>
      <c r="BH10">
        <f>Grandview_Sales[[#This Row],[Eff_Age]]*Lookups!$B$14</f>
        <v>-13154.162999999999</v>
      </c>
      <c r="BI10">
        <f>Grandview_Sales[[#This Row],[living_area]]*Lookups!$B$15</f>
        <v>45163.737571999998</v>
      </c>
      <c r="BJ10">
        <f>Grandview_Sales[[#This Row],[Fin BSMT]]*Lookups!$B$16</f>
        <v>0</v>
      </c>
      <c r="BK10">
        <f>Grandview_Sales[[#This Row],[garage_sqft]]*Lookups!$B$17</f>
        <v>0</v>
      </c>
      <c r="BL10">
        <f>Grandview_Sales[[#This Row],[Plumbing Fixtures]]*Lookups!$B$18</f>
        <v>10052.209000000001</v>
      </c>
      <c r="BM10">
        <f>Grandview_Sales[[#This Row],[detatched_value]]*Lookups!$B$19</f>
        <v>3302.53989</v>
      </c>
      <c r="BN10">
        <f>Grandview_Sales[[#This Row],[days_prior]]*Lookups!$B$20</f>
        <v>-112031.9924</v>
      </c>
      <c r="BO10">
        <f>SUM(Grandview_Sales[[#This Row],[land_value]:[Days Prior To Assessment_value]])</f>
        <v>132117.8892858139</v>
      </c>
      <c r="BP10">
        <f>Grandview_Sales[[#This Row],[predicted_total]]/Grandview_Sales[[#This Row],[sale_price]]</f>
        <v>0.84151521838098031</v>
      </c>
      <c r="BQ10">
        <f>VLOOKUP(Grandview_Sales[[#This Row],[quality]],Lookups!$A$26:$C$33,3,FALSE)</f>
        <v>0.9690360070159818</v>
      </c>
      <c r="BR10">
        <f>VLOOKUP(Grandview_Sales[[#This Row],[condition]],Lookups!$A$37:$C$44,3,FALSE)</f>
        <v>0.97383723671140243</v>
      </c>
      <c r="BS10">
        <f>VLOOKUP(Grandview_Sales[[#This Row],[decade]],Lookups!$F$29:$H$43,3,FALSE)</f>
        <v>0.95244691841736806</v>
      </c>
      <c r="BT10">
        <f>VLOOKUP(Grandview_Sales[[#This Row],[living_area_range]],Lookups!$F$47:$H$56,3,FALSE)</f>
        <v>0.94306777142782894</v>
      </c>
      <c r="BU10">
        <f>Grandview_Sales[[#This Row],[predicted_total]]*AVERAGE(Grandview_Sales[[#This Row],[qual_adj]:[size_adj]])</f>
        <v>126779.92801093656</v>
      </c>
      <c r="BV10">
        <f>Grandview_Sales[[#This Row],[final_total]]/Grandview_Sales[[#This Row],[sale_price]]</f>
        <v>0.80751546503781246</v>
      </c>
      <c r="BW10" s="6">
        <f>(Grandview_Sales[[#This Row],[final_total]]-Grandview_Sales[[#This Row],[sale_price]])^2</f>
        <v>913252751.02417648</v>
      </c>
      <c r="BX10" s="6">
        <f>(Grandview_Sales[[#This Row],[final_total]]-AVERAGE(Grandview_Sales[sale_price]))^2</f>
        <v>32464559293.803265</v>
      </c>
      <c r="BY10" s="6">
        <f>Grandview_Sales[[#This Row],[SSE]]+Grandview_Sales[[#This Row],[SSR]]</f>
        <v>33377812044.827442</v>
      </c>
      <c r="BZ10" s="4">
        <f>ABS(Grandview_Sales[[#This Row],[final_ratio]]-MEDIAN(Grandview_Sales[final_ratio]))</f>
        <v>0.19373325431799948</v>
      </c>
    </row>
    <row r="11" spans="1:78" x14ac:dyDescent="0.25">
      <c r="A11">
        <v>23092232436</v>
      </c>
      <c r="B11">
        <v>0.53</v>
      </c>
      <c r="C11">
        <v>22871</v>
      </c>
      <c r="D11">
        <v>0</v>
      </c>
      <c r="E11" t="s">
        <v>53</v>
      </c>
      <c r="F11" t="s">
        <v>53</v>
      </c>
      <c r="G11">
        <v>4</v>
      </c>
      <c r="H11" t="s">
        <v>54</v>
      </c>
      <c r="I11">
        <v>176000</v>
      </c>
      <c r="J11">
        <v>46600</v>
      </c>
      <c r="K11">
        <v>0.53</v>
      </c>
      <c r="L11">
        <v>-0.63487827243600004</v>
      </c>
      <c r="M11">
        <v>0</v>
      </c>
      <c r="N11">
        <v>0</v>
      </c>
      <c r="O11">
        <v>0</v>
      </c>
      <c r="P11">
        <v>13398.7528</v>
      </c>
      <c r="Q11">
        <v>63902.980100000001</v>
      </c>
      <c r="R11">
        <v>55396.403069539003</v>
      </c>
      <c r="S11" t="s">
        <v>61</v>
      </c>
      <c r="T11">
        <v>1</v>
      </c>
      <c r="U11" t="s">
        <v>65</v>
      </c>
      <c r="V11" t="s">
        <v>67</v>
      </c>
      <c r="W11">
        <v>0</v>
      </c>
      <c r="X11">
        <v>0</v>
      </c>
      <c r="Y11">
        <v>45</v>
      </c>
      <c r="Z11">
        <v>52</v>
      </c>
      <c r="AA11">
        <v>50</v>
      </c>
      <c r="AB11">
        <v>1500</v>
      </c>
      <c r="AC11">
        <v>1415</v>
      </c>
      <c r="AD11">
        <v>1415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480</v>
      </c>
      <c r="AL11">
        <v>5</v>
      </c>
      <c r="AM11">
        <v>0</v>
      </c>
      <c r="AN11">
        <v>0</v>
      </c>
      <c r="AO11" t="s">
        <v>58</v>
      </c>
      <c r="AP11">
        <v>1</v>
      </c>
      <c r="AQ11" t="s">
        <v>63</v>
      </c>
      <c r="AR11" t="s">
        <v>60</v>
      </c>
      <c r="AS11">
        <v>0</v>
      </c>
      <c r="AT11">
        <v>3</v>
      </c>
      <c r="AU11">
        <v>0</v>
      </c>
      <c r="AV11">
        <v>0</v>
      </c>
      <c r="AW11">
        <v>100</v>
      </c>
      <c r="AX11" s="1">
        <v>44001</v>
      </c>
      <c r="AY11">
        <v>26700</v>
      </c>
      <c r="AZ11">
        <v>166877</v>
      </c>
      <c r="BA11">
        <v>193600</v>
      </c>
      <c r="BB11">
        <v>220000</v>
      </c>
      <c r="BC11">
        <v>926</v>
      </c>
      <c r="BD11">
        <f>Grandview_Sales[[#This Row],[land_extract]]*Lookups!$B$3</f>
        <v>64331.693314367352</v>
      </c>
      <c r="BE11">
        <f>Lookups!$B$2</f>
        <v>155833.95000000001</v>
      </c>
      <c r="BF11">
        <f>VLOOKUP(Grandview_Sales[[#This Row],[quality]],Lookups!$H$2:$J$13,3,FALSE)</f>
        <v>2251</v>
      </c>
      <c r="BG11">
        <f>VLOOKUP(Grandview_Sales[[#This Row],[condition]],Lookups!$H$17:$J$24,3,FALSE)</f>
        <v>22342</v>
      </c>
      <c r="BH11">
        <f>Grandview_Sales[[#This Row],[Eff_Age]]*Lookups!$B$14</f>
        <v>-10762.496999999999</v>
      </c>
      <c r="BI11">
        <f>Grandview_Sales[[#This Row],[living_area]]*Lookups!$B$15</f>
        <v>88268.906994999998</v>
      </c>
      <c r="BJ11">
        <f>Grandview_Sales[[#This Row],[Fin BSMT]]*Lookups!$B$16</f>
        <v>0</v>
      </c>
      <c r="BK11">
        <f>Grandview_Sales[[#This Row],[garage_sqft]]*Lookups!$B$17</f>
        <v>0</v>
      </c>
      <c r="BL11">
        <f>Grandview_Sales[[#This Row],[Plumbing Fixtures]]*Lookups!$B$18</f>
        <v>10052.209000000001</v>
      </c>
      <c r="BM11">
        <f>Grandview_Sales[[#This Row],[detatched_value]]*Lookups!$B$19</f>
        <v>0</v>
      </c>
      <c r="BN11">
        <f>Grandview_Sales[[#This Row],[days_prior]]*Lookups!$B$20</f>
        <v>-111072.40360000001</v>
      </c>
      <c r="BO11">
        <f>SUM(Grandview_Sales[[#This Row],[land_value]:[Days Prior To Assessment_value]])</f>
        <v>221244.85870936734</v>
      </c>
      <c r="BP11">
        <f>Grandview_Sales[[#This Row],[predicted_total]]/Grandview_Sales[[#This Row],[sale_price]]</f>
        <v>1.0056584486789424</v>
      </c>
      <c r="BQ11">
        <f>VLOOKUP(Grandview_Sales[[#This Row],[quality]],Lookups!$A$26:$C$33,3,FALSE)</f>
        <v>0.98763855981004833</v>
      </c>
      <c r="BR11">
        <f>VLOOKUP(Grandview_Sales[[#This Row],[condition]],Lookups!$A$37:$C$44,3,FALSE)</f>
        <v>0.97383723671140243</v>
      </c>
      <c r="BS11">
        <f>VLOOKUP(Grandview_Sales[[#This Row],[decade]],Lookups!$F$29:$H$43,3,FALSE)</f>
        <v>0.9871940091910919</v>
      </c>
      <c r="BT11">
        <f>VLOOKUP(Grandview_Sales[[#This Row],[living_area_range]],Lookups!$F$47:$H$56,3,FALSE)</f>
        <v>0.96135087979789358</v>
      </c>
      <c r="BU11">
        <f>Grandview_Sales[[#This Row],[predicted_total]]*AVERAGE(Grandview_Sales[[#This Row],[qual_adj]:[size_adj]])</f>
        <v>216267.99352911502</v>
      </c>
      <c r="BV11">
        <f>Grandview_Sales[[#This Row],[final_total]]/Grandview_Sales[[#This Row],[sale_price]]</f>
        <v>0.9830363342232501</v>
      </c>
      <c r="BW11" s="6">
        <f>(Grandview_Sales[[#This Row],[final_total]]-Grandview_Sales[[#This Row],[sale_price]])^2</f>
        <v>13927872.29872738</v>
      </c>
      <c r="BX11" s="6">
        <f>(Grandview_Sales[[#This Row],[final_total]]-AVERAGE(Grandview_Sales[sale_price]))^2</f>
        <v>8224889514.8651934</v>
      </c>
      <c r="BY11" s="6">
        <f>Grandview_Sales[[#This Row],[SSE]]+Grandview_Sales[[#This Row],[SSR]]</f>
        <v>8238817387.1639204</v>
      </c>
      <c r="BZ11" s="4">
        <f>ABS(Grandview_Sales[[#This Row],[final_ratio]]-MEDIAN(Grandview_Sales[final_ratio]))</f>
        <v>1.8212385132561848E-2</v>
      </c>
    </row>
    <row r="12" spans="1:78" x14ac:dyDescent="0.25">
      <c r="A12">
        <v>23092241560</v>
      </c>
      <c r="B12">
        <v>0.2</v>
      </c>
      <c r="C12">
        <v>8528</v>
      </c>
      <c r="D12">
        <v>0</v>
      </c>
      <c r="E12" t="s">
        <v>53</v>
      </c>
      <c r="F12" t="s">
        <v>53</v>
      </c>
      <c r="G12">
        <v>4</v>
      </c>
      <c r="H12" t="s">
        <v>54</v>
      </c>
      <c r="I12">
        <v>188400</v>
      </c>
      <c r="J12">
        <v>39100</v>
      </c>
      <c r="K12">
        <v>0.2</v>
      </c>
      <c r="L12">
        <v>-1.6094379124339999</v>
      </c>
      <c r="M12">
        <v>0</v>
      </c>
      <c r="N12">
        <v>0</v>
      </c>
      <c r="O12">
        <v>0</v>
      </c>
      <c r="P12">
        <v>13398.7528</v>
      </c>
      <c r="Q12">
        <v>63902.980100000001</v>
      </c>
      <c r="R12">
        <v>42338.519364346997</v>
      </c>
      <c r="S12" t="s">
        <v>61</v>
      </c>
      <c r="T12">
        <v>1</v>
      </c>
      <c r="U12" t="s">
        <v>70</v>
      </c>
      <c r="V12" t="s">
        <v>69</v>
      </c>
      <c r="W12">
        <v>0</v>
      </c>
      <c r="X12">
        <v>0</v>
      </c>
      <c r="Y12">
        <v>49</v>
      </c>
      <c r="Z12">
        <v>68</v>
      </c>
      <c r="AA12">
        <v>70</v>
      </c>
      <c r="AB12">
        <v>3000</v>
      </c>
      <c r="AC12">
        <v>2520</v>
      </c>
      <c r="AD12">
        <v>1260</v>
      </c>
      <c r="AE12">
        <v>0</v>
      </c>
      <c r="AF12">
        <v>1260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8</v>
      </c>
      <c r="AM12">
        <v>0</v>
      </c>
      <c r="AN12">
        <v>0</v>
      </c>
      <c r="AO12" t="s">
        <v>58</v>
      </c>
      <c r="AP12">
        <v>1</v>
      </c>
      <c r="AQ12" t="s">
        <v>63</v>
      </c>
      <c r="AR12" t="s">
        <v>60</v>
      </c>
      <c r="AS12">
        <v>0</v>
      </c>
      <c r="AT12">
        <v>4</v>
      </c>
      <c r="AU12">
        <v>0</v>
      </c>
      <c r="AV12">
        <v>12200</v>
      </c>
      <c r="AW12">
        <v>100</v>
      </c>
      <c r="AX12" s="1">
        <v>44005</v>
      </c>
      <c r="AY12">
        <v>22400</v>
      </c>
      <c r="AZ12">
        <v>190207</v>
      </c>
      <c r="BA12">
        <v>212600</v>
      </c>
      <c r="BB12">
        <v>223000</v>
      </c>
      <c r="BC12">
        <v>922</v>
      </c>
      <c r="BD12">
        <f>Grandview_Sales[[#This Row],[land_extract]]*Lookups!$B$3</f>
        <v>49167.608223813884</v>
      </c>
      <c r="BE12">
        <f>Lookups!$B$2</f>
        <v>155833.95000000001</v>
      </c>
      <c r="BF12">
        <f>VLOOKUP(Grandview_Sales[[#This Row],[quality]],Lookups!$H$2:$J$13,3,FALSE)</f>
        <v>10733</v>
      </c>
      <c r="BG12">
        <f>VLOOKUP(Grandview_Sales[[#This Row],[condition]],Lookups!$H$17:$J$24,3,FALSE)</f>
        <v>-4503</v>
      </c>
      <c r="BH12">
        <f>Grandview_Sales[[#This Row],[Eff_Age]]*Lookups!$B$14</f>
        <v>-11719.163399999999</v>
      </c>
      <c r="BI12">
        <f>Grandview_Sales[[#This Row],[living_area]]*Lookups!$B$15</f>
        <v>157199.74956</v>
      </c>
      <c r="BJ12">
        <f>Grandview_Sales[[#This Row],[Fin BSMT]]*Lookups!$B$16</f>
        <v>-34145.042400000006</v>
      </c>
      <c r="BK12">
        <f>Grandview_Sales[[#This Row],[garage_sqft]]*Lookups!$B$17</f>
        <v>0</v>
      </c>
      <c r="BL12">
        <f>Grandview_Sales[[#This Row],[Plumbing Fixtures]]*Lookups!$B$18</f>
        <v>16083.5344</v>
      </c>
      <c r="BM12">
        <f>Grandview_Sales[[#This Row],[detatched_value]]*Lookups!$B$19</f>
        <v>10331.022219999999</v>
      </c>
      <c r="BN12">
        <f>Grandview_Sales[[#This Row],[days_prior]]*Lookups!$B$20</f>
        <v>-110592.60920000001</v>
      </c>
      <c r="BO12">
        <f>SUM(Grandview_Sales[[#This Row],[land_value]:[Days Prior To Assessment_value]])</f>
        <v>238389.0494038139</v>
      </c>
      <c r="BP12">
        <f>Grandview_Sales[[#This Row],[predicted_total]]/Grandview_Sales[[#This Row],[sale_price]]</f>
        <v>1.0690091901516319</v>
      </c>
      <c r="BQ12">
        <f>VLOOKUP(Grandview_Sales[[#This Row],[quality]],Lookups!$A$26:$C$33,3,FALSE)</f>
        <v>0.98079741117310582</v>
      </c>
      <c r="BR12">
        <f>VLOOKUP(Grandview_Sales[[#This Row],[condition]],Lookups!$A$37:$C$44,3,FALSE)</f>
        <v>0.96469275950863709</v>
      </c>
      <c r="BS12">
        <f>VLOOKUP(Grandview_Sales[[#This Row],[decade]],Lookups!$F$29:$H$43,3,FALSE)</f>
        <v>0.99472141305414818</v>
      </c>
      <c r="BT12">
        <f>VLOOKUP(Grandview_Sales[[#This Row],[living_area_range]],Lookups!$F$47:$H$56,3,FALSE)</f>
        <v>0.94224801443562123</v>
      </c>
      <c r="BU12">
        <f>Grandview_Sales[[#This Row],[predicted_total]]*AVERAGE(Grandview_Sales[[#This Row],[qual_adj]:[size_adj]])</f>
        <v>231383.96323920504</v>
      </c>
      <c r="BV12">
        <f>Grandview_Sales[[#This Row],[final_total]]/Grandview_Sales[[#This Row],[sale_price]]</f>
        <v>1.0375962477094396</v>
      </c>
      <c r="BW12" s="6">
        <f>(Grandview_Sales[[#This Row],[final_total]]-Grandview_Sales[[#This Row],[sale_price]])^2</f>
        <v>70290839.596341476</v>
      </c>
      <c r="BX12" s="6">
        <f>(Grandview_Sales[[#This Row],[final_total]]-AVERAGE(Grandview_Sales[sale_price]))^2</f>
        <v>5711611897.9300194</v>
      </c>
      <c r="BY12" s="6">
        <f>Grandview_Sales[[#This Row],[SSE]]+Grandview_Sales[[#This Row],[SSR]]</f>
        <v>5781902737.5263605</v>
      </c>
      <c r="BZ12" s="4">
        <f>ABS(Grandview_Sales[[#This Row],[final_ratio]]-MEDIAN(Grandview_Sales[final_ratio]))</f>
        <v>3.6347528353627645E-2</v>
      </c>
    </row>
    <row r="13" spans="1:78" x14ac:dyDescent="0.25">
      <c r="A13">
        <v>23092241553</v>
      </c>
      <c r="B13">
        <v>0.19</v>
      </c>
      <c r="C13">
        <v>8168</v>
      </c>
      <c r="D13">
        <v>0</v>
      </c>
      <c r="E13" t="s">
        <v>53</v>
      </c>
      <c r="F13" t="s">
        <v>53</v>
      </c>
      <c r="G13">
        <v>4</v>
      </c>
      <c r="H13" t="s">
        <v>54</v>
      </c>
      <c r="I13">
        <v>133500</v>
      </c>
      <c r="J13">
        <v>39100</v>
      </c>
      <c r="K13">
        <v>0.19</v>
      </c>
      <c r="L13">
        <v>-1.6607312068219999</v>
      </c>
      <c r="M13">
        <v>0</v>
      </c>
      <c r="N13">
        <v>0</v>
      </c>
      <c r="O13">
        <v>0</v>
      </c>
      <c r="P13">
        <v>13398.7528</v>
      </c>
      <c r="Q13">
        <v>63902.980100000001</v>
      </c>
      <c r="R13">
        <v>41651.253192550997</v>
      </c>
      <c r="S13" t="s">
        <v>61</v>
      </c>
      <c r="T13">
        <v>1</v>
      </c>
      <c r="U13" t="s">
        <v>65</v>
      </c>
      <c r="V13" t="s">
        <v>69</v>
      </c>
      <c r="W13">
        <v>0</v>
      </c>
      <c r="X13">
        <v>0</v>
      </c>
      <c r="Y13">
        <v>49</v>
      </c>
      <c r="Z13">
        <v>68</v>
      </c>
      <c r="AA13">
        <v>70</v>
      </c>
      <c r="AB13">
        <v>1000</v>
      </c>
      <c r="AC13">
        <v>967</v>
      </c>
      <c r="AD13">
        <v>967</v>
      </c>
      <c r="AE13">
        <v>0</v>
      </c>
      <c r="AF13">
        <v>0</v>
      </c>
      <c r="AG13">
        <v>0</v>
      </c>
      <c r="AH13">
        <v>240</v>
      </c>
      <c r="AI13">
        <v>0</v>
      </c>
      <c r="AJ13">
        <v>0</v>
      </c>
      <c r="AK13">
        <v>420</v>
      </c>
      <c r="AL13">
        <v>5</v>
      </c>
      <c r="AM13">
        <v>0</v>
      </c>
      <c r="AN13">
        <v>1</v>
      </c>
      <c r="AO13" t="s">
        <v>58</v>
      </c>
      <c r="AP13">
        <v>1</v>
      </c>
      <c r="AQ13" t="s">
        <v>63</v>
      </c>
      <c r="AR13" t="s">
        <v>64</v>
      </c>
      <c r="AS13">
        <v>0</v>
      </c>
      <c r="AT13">
        <v>2</v>
      </c>
      <c r="AU13">
        <v>0</v>
      </c>
      <c r="AV13">
        <v>0</v>
      </c>
      <c r="AW13">
        <v>100</v>
      </c>
      <c r="AX13" s="1">
        <v>44008</v>
      </c>
      <c r="AY13">
        <v>22400</v>
      </c>
      <c r="AZ13">
        <v>110970</v>
      </c>
      <c r="BA13">
        <v>133400</v>
      </c>
      <c r="BB13">
        <v>183500</v>
      </c>
      <c r="BC13">
        <v>919</v>
      </c>
      <c r="BD13">
        <f>Grandview_Sales[[#This Row],[land_extract]]*Lookups!$B$3</f>
        <v>48369.487874125851</v>
      </c>
      <c r="BE13">
        <f>Lookups!$B$2</f>
        <v>155833.95000000001</v>
      </c>
      <c r="BF13">
        <f>VLOOKUP(Grandview_Sales[[#This Row],[quality]],Lookups!$H$2:$J$13,3,FALSE)</f>
        <v>2251</v>
      </c>
      <c r="BG13">
        <f>VLOOKUP(Grandview_Sales[[#This Row],[condition]],Lookups!$H$17:$J$24,3,FALSE)</f>
        <v>-4503</v>
      </c>
      <c r="BH13">
        <f>Grandview_Sales[[#This Row],[Eff_Age]]*Lookups!$B$14</f>
        <v>-11719.163399999999</v>
      </c>
      <c r="BI13">
        <f>Grandview_Sales[[#This Row],[living_area]]*Lookups!$B$15</f>
        <v>60322.284851000004</v>
      </c>
      <c r="BJ13">
        <f>Grandview_Sales[[#This Row],[Fin BSMT]]*Lookups!$B$16</f>
        <v>0</v>
      </c>
      <c r="BK13">
        <f>Grandview_Sales[[#This Row],[garage_sqft]]*Lookups!$B$17</f>
        <v>21004.904880000002</v>
      </c>
      <c r="BL13">
        <f>Grandview_Sales[[#This Row],[Plumbing Fixtures]]*Lookups!$B$18</f>
        <v>10052.209000000001</v>
      </c>
      <c r="BM13">
        <f>Grandview_Sales[[#This Row],[detatched_value]]*Lookups!$B$19</f>
        <v>0</v>
      </c>
      <c r="BN13">
        <f>Grandview_Sales[[#This Row],[days_prior]]*Lookups!$B$20</f>
        <v>-110232.7634</v>
      </c>
      <c r="BO13">
        <f>SUM(Grandview_Sales[[#This Row],[land_value]:[Days Prior To Assessment_value]])</f>
        <v>171378.90980512585</v>
      </c>
      <c r="BP13">
        <f>Grandview_Sales[[#This Row],[predicted_total]]/Grandview_Sales[[#This Row],[sale_price]]</f>
        <v>0.93394501256199369</v>
      </c>
      <c r="BQ13">
        <f>VLOOKUP(Grandview_Sales[[#This Row],[quality]],Lookups!$A$26:$C$33,3,FALSE)</f>
        <v>0.98763855981004833</v>
      </c>
      <c r="BR13">
        <f>VLOOKUP(Grandview_Sales[[#This Row],[condition]],Lookups!$A$37:$C$44,3,FALSE)</f>
        <v>0.96469275950863709</v>
      </c>
      <c r="BS13">
        <f>VLOOKUP(Grandview_Sales[[#This Row],[decade]],Lookups!$F$29:$H$43,3,FALSE)</f>
        <v>0.99472141305414818</v>
      </c>
      <c r="BT13">
        <f>VLOOKUP(Grandview_Sales[[#This Row],[living_area_range]],Lookups!$F$47:$H$56,3,FALSE)</f>
        <v>0.94306777142782894</v>
      </c>
      <c r="BU13">
        <f>Grandview_Sales[[#This Row],[predicted_total]]*AVERAGE(Grandview_Sales[[#This Row],[qual_adj]:[size_adj]])</f>
        <v>166671.15273798112</v>
      </c>
      <c r="BV13">
        <f>Grandview_Sales[[#This Row],[final_total]]/Grandview_Sales[[#This Row],[sale_price]]</f>
        <v>0.90828966069744477</v>
      </c>
      <c r="BW13" s="6">
        <f>(Grandview_Sales[[#This Row],[final_total]]-Grandview_Sales[[#This Row],[sale_price]])^2</f>
        <v>283210100.16836047</v>
      </c>
      <c r="BX13" s="6">
        <f>(Grandview_Sales[[#This Row],[final_total]]-AVERAGE(Grandview_Sales[sale_price]))^2</f>
        <v>19680727826.277397</v>
      </c>
      <c r="BY13" s="6">
        <f>Grandview_Sales[[#This Row],[SSE]]+Grandview_Sales[[#This Row],[SSR]]</f>
        <v>19963937926.445759</v>
      </c>
      <c r="BZ13" s="4">
        <f>ABS(Grandview_Sales[[#This Row],[final_ratio]]-MEDIAN(Grandview_Sales[final_ratio]))</f>
        <v>9.2959058658367177E-2</v>
      </c>
    </row>
    <row r="14" spans="1:78" x14ac:dyDescent="0.25">
      <c r="A14">
        <v>23092741403</v>
      </c>
      <c r="B14">
        <v>0.5</v>
      </c>
      <c r="C14">
        <v>0</v>
      </c>
      <c r="D14">
        <v>0</v>
      </c>
      <c r="E14" t="s">
        <v>53</v>
      </c>
      <c r="F14" t="s">
        <v>53</v>
      </c>
      <c r="G14">
        <v>4</v>
      </c>
      <c r="H14" t="s">
        <v>54</v>
      </c>
      <c r="I14">
        <v>262300</v>
      </c>
      <c r="J14">
        <v>46600</v>
      </c>
      <c r="K14">
        <v>0.5</v>
      </c>
      <c r="L14">
        <v>-0.69314718056000002</v>
      </c>
      <c r="M14">
        <v>0</v>
      </c>
      <c r="N14">
        <v>0</v>
      </c>
      <c r="O14">
        <v>0</v>
      </c>
      <c r="P14">
        <v>13398.7528</v>
      </c>
      <c r="Q14">
        <v>63902.980100000001</v>
      </c>
      <c r="R14">
        <v>54615.672373660003</v>
      </c>
      <c r="S14" t="s">
        <v>58</v>
      </c>
      <c r="T14">
        <v>1</v>
      </c>
      <c r="U14" t="s">
        <v>62</v>
      </c>
      <c r="V14" t="s">
        <v>67</v>
      </c>
      <c r="W14">
        <v>0</v>
      </c>
      <c r="X14">
        <v>0</v>
      </c>
      <c r="Y14">
        <v>12</v>
      </c>
      <c r="Z14">
        <v>12</v>
      </c>
      <c r="AA14">
        <v>10</v>
      </c>
      <c r="AB14">
        <v>1500</v>
      </c>
      <c r="AC14">
        <v>1248</v>
      </c>
      <c r="AD14">
        <v>1248</v>
      </c>
      <c r="AE14">
        <v>0</v>
      </c>
      <c r="AF14">
        <v>0</v>
      </c>
      <c r="AG14">
        <v>0</v>
      </c>
      <c r="AH14">
        <v>546</v>
      </c>
      <c r="AI14">
        <v>0</v>
      </c>
      <c r="AJ14">
        <v>0</v>
      </c>
      <c r="AK14">
        <v>0</v>
      </c>
      <c r="AL14">
        <v>9</v>
      </c>
      <c r="AM14">
        <v>0</v>
      </c>
      <c r="AN14">
        <v>0</v>
      </c>
      <c r="AO14" t="s">
        <v>58</v>
      </c>
      <c r="AP14">
        <v>1</v>
      </c>
      <c r="AQ14" t="s">
        <v>59</v>
      </c>
      <c r="AR14" t="s">
        <v>60</v>
      </c>
      <c r="AS14">
        <v>1</v>
      </c>
      <c r="AT14">
        <v>3</v>
      </c>
      <c r="AU14">
        <v>0</v>
      </c>
      <c r="AV14">
        <v>21200</v>
      </c>
      <c r="AW14">
        <v>100</v>
      </c>
      <c r="AX14" s="1">
        <v>44020</v>
      </c>
      <c r="AY14">
        <v>26700</v>
      </c>
      <c r="AZ14">
        <v>256980</v>
      </c>
      <c r="BA14">
        <v>283700</v>
      </c>
      <c r="BB14">
        <v>303500</v>
      </c>
      <c r="BC14">
        <v>907</v>
      </c>
      <c r="BD14">
        <f>Grandview_Sales[[#This Row],[land_extract]]*Lookups!$B$3</f>
        <v>63425.032865215951</v>
      </c>
      <c r="BE14">
        <f>Lookups!$B$2</f>
        <v>155833.95000000001</v>
      </c>
      <c r="BF14">
        <f>VLOOKUP(Grandview_Sales[[#This Row],[quality]],Lookups!$H$2:$J$13,3,FALSE)</f>
        <v>9808</v>
      </c>
      <c r="BG14">
        <f>VLOOKUP(Grandview_Sales[[#This Row],[condition]],Lookups!$H$17:$J$24,3,FALSE)</f>
        <v>22342</v>
      </c>
      <c r="BH14">
        <f>Grandview_Sales[[#This Row],[Eff_Age]]*Lookups!$B$14</f>
        <v>-2869.9991999999997</v>
      </c>
      <c r="BI14">
        <f>Grandview_Sales[[#This Row],[living_area]]*Lookups!$B$15</f>
        <v>77851.304543999999</v>
      </c>
      <c r="BJ14">
        <f>Grandview_Sales[[#This Row],[Fin BSMT]]*Lookups!$B$16</f>
        <v>0</v>
      </c>
      <c r="BK14">
        <f>Grandview_Sales[[#This Row],[garage_sqft]]*Lookups!$B$17</f>
        <v>47786.158602000003</v>
      </c>
      <c r="BL14">
        <f>Grandview_Sales[[#This Row],[Plumbing Fixtures]]*Lookups!$B$18</f>
        <v>18093.976200000001</v>
      </c>
      <c r="BM14">
        <f>Grandview_Sales[[#This Row],[detatched_value]]*Lookups!$B$19</f>
        <v>17952.268120000001</v>
      </c>
      <c r="BN14">
        <f>Grandview_Sales[[#This Row],[days_prior]]*Lookups!$B$20</f>
        <v>-108793.3802</v>
      </c>
      <c r="BO14">
        <f>SUM(Grandview_Sales[[#This Row],[land_value]:[Days Prior To Assessment_value]])</f>
        <v>301429.31093121594</v>
      </c>
      <c r="BP14">
        <f>Grandview_Sales[[#This Row],[predicted_total]]/Grandview_Sales[[#This Row],[sale_price]]</f>
        <v>0.99317730125606574</v>
      </c>
      <c r="BQ14">
        <f>VLOOKUP(Grandview_Sales[[#This Row],[quality]],Lookups!$A$26:$C$33,3,FALSE)</f>
        <v>0.94295468617355149</v>
      </c>
      <c r="BR14">
        <f>VLOOKUP(Grandview_Sales[[#This Row],[condition]],Lookups!$A$37:$C$44,3,FALSE)</f>
        <v>0.97383723671140243</v>
      </c>
      <c r="BS14">
        <f>VLOOKUP(Grandview_Sales[[#This Row],[decade]],Lookups!$F$29:$H$43,3,FALSE)</f>
        <v>0.94601966599150278</v>
      </c>
      <c r="BT14">
        <f>VLOOKUP(Grandview_Sales[[#This Row],[living_area_range]],Lookups!$F$47:$H$56,3,FALSE)</f>
        <v>0.96135087979789358</v>
      </c>
      <c r="BU14">
        <f>Grandview_Sales[[#This Row],[predicted_total]]*AVERAGE(Grandview_Sales[[#This Row],[qual_adj]:[size_adj]])</f>
        <v>288178.66445538175</v>
      </c>
      <c r="BV14">
        <f>Grandview_Sales[[#This Row],[final_total]]/Grandview_Sales[[#This Row],[sale_price]]</f>
        <v>0.94951784005068118</v>
      </c>
      <c r="BW14" s="6">
        <f>(Grandview_Sales[[#This Row],[final_total]]-Grandview_Sales[[#This Row],[sale_price]])^2</f>
        <v>234743322.87078273</v>
      </c>
      <c r="BX14" s="6">
        <f>(Grandview_Sales[[#This Row],[final_total]]-AVERAGE(Grandview_Sales[sale_price]))^2</f>
        <v>352707393.72824359</v>
      </c>
      <c r="BY14" s="6">
        <f>Grandview_Sales[[#This Row],[SSE]]+Grandview_Sales[[#This Row],[SSR]]</f>
        <v>587450716.59902632</v>
      </c>
      <c r="BZ14" s="4">
        <f>ABS(Grandview_Sales[[#This Row],[final_ratio]]-MEDIAN(Grandview_Sales[final_ratio]))</f>
        <v>5.1730879305130761E-2</v>
      </c>
    </row>
    <row r="15" spans="1:78" x14ac:dyDescent="0.25">
      <c r="A15">
        <v>23092343444</v>
      </c>
      <c r="B15">
        <v>0.16</v>
      </c>
      <c r="C15">
        <v>6999</v>
      </c>
      <c r="D15">
        <v>0</v>
      </c>
      <c r="E15" t="s">
        <v>53</v>
      </c>
      <c r="F15" t="s">
        <v>53</v>
      </c>
      <c r="G15">
        <v>4</v>
      </c>
      <c r="H15" t="s">
        <v>54</v>
      </c>
      <c r="I15">
        <v>152900</v>
      </c>
      <c r="J15">
        <v>38600</v>
      </c>
      <c r="K15">
        <v>0.16</v>
      </c>
      <c r="L15">
        <v>-1.832581463748</v>
      </c>
      <c r="M15">
        <v>0</v>
      </c>
      <c r="N15">
        <v>0</v>
      </c>
      <c r="O15">
        <v>0</v>
      </c>
      <c r="P15">
        <v>13398.7528</v>
      </c>
      <c r="Q15">
        <v>63902.980100000001</v>
      </c>
      <c r="R15">
        <v>39348.674081374003</v>
      </c>
      <c r="S15" t="s">
        <v>61</v>
      </c>
      <c r="T15">
        <v>1</v>
      </c>
      <c r="U15" t="s">
        <v>70</v>
      </c>
      <c r="V15" t="s">
        <v>69</v>
      </c>
      <c r="W15">
        <v>0</v>
      </c>
      <c r="X15">
        <v>0</v>
      </c>
      <c r="Y15">
        <v>41</v>
      </c>
      <c r="Z15">
        <v>41</v>
      </c>
      <c r="AA15">
        <v>40</v>
      </c>
      <c r="AB15">
        <v>1500</v>
      </c>
      <c r="AC15">
        <v>1080</v>
      </c>
      <c r="AD15">
        <v>1080</v>
      </c>
      <c r="AE15">
        <v>0</v>
      </c>
      <c r="AF15">
        <v>0</v>
      </c>
      <c r="AG15">
        <v>0</v>
      </c>
      <c r="AH15">
        <v>288</v>
      </c>
      <c r="AI15">
        <v>0</v>
      </c>
      <c r="AJ15">
        <v>0</v>
      </c>
      <c r="AK15">
        <v>0</v>
      </c>
      <c r="AL15">
        <v>5</v>
      </c>
      <c r="AM15">
        <v>0</v>
      </c>
      <c r="AN15">
        <v>0</v>
      </c>
      <c r="AO15" t="s">
        <v>58</v>
      </c>
      <c r="AP15">
        <v>1</v>
      </c>
      <c r="AQ15" t="s">
        <v>63</v>
      </c>
      <c r="AR15" t="s">
        <v>60</v>
      </c>
      <c r="AS15">
        <v>0</v>
      </c>
      <c r="AT15">
        <v>3</v>
      </c>
      <c r="AU15">
        <v>0</v>
      </c>
      <c r="AV15">
        <v>0</v>
      </c>
      <c r="AW15">
        <v>100</v>
      </c>
      <c r="AX15" s="1">
        <v>44021</v>
      </c>
      <c r="AY15">
        <v>22100</v>
      </c>
      <c r="AZ15">
        <v>121070</v>
      </c>
      <c r="BA15">
        <v>143200</v>
      </c>
      <c r="BB15">
        <v>220000</v>
      </c>
      <c r="BC15">
        <v>906</v>
      </c>
      <c r="BD15">
        <f>Grandview_Sales[[#This Row],[land_extract]]*Lookups!$B$3</f>
        <v>45695.50896927961</v>
      </c>
      <c r="BE15">
        <f>Lookups!$B$2</f>
        <v>155833.95000000001</v>
      </c>
      <c r="BF15">
        <f>VLOOKUP(Grandview_Sales[[#This Row],[quality]],Lookups!$H$2:$J$13,3,FALSE)</f>
        <v>10733</v>
      </c>
      <c r="BG15">
        <f>VLOOKUP(Grandview_Sales[[#This Row],[condition]],Lookups!$H$17:$J$24,3,FALSE)</f>
        <v>-4503</v>
      </c>
      <c r="BH15">
        <f>Grandview_Sales[[#This Row],[Eff_Age]]*Lookups!$B$14</f>
        <v>-9805.8305999999993</v>
      </c>
      <c r="BI15">
        <f>Grandview_Sales[[#This Row],[living_area]]*Lookups!$B$15</f>
        <v>67371.321240000005</v>
      </c>
      <c r="BJ15">
        <f>Grandview_Sales[[#This Row],[Fin BSMT]]*Lookups!$B$16</f>
        <v>0</v>
      </c>
      <c r="BK15">
        <f>Grandview_Sales[[#This Row],[garage_sqft]]*Lookups!$B$17</f>
        <v>25205.885856000001</v>
      </c>
      <c r="BL15">
        <f>Grandview_Sales[[#This Row],[Plumbing Fixtures]]*Lookups!$B$18</f>
        <v>10052.209000000001</v>
      </c>
      <c r="BM15">
        <f>Grandview_Sales[[#This Row],[detatched_value]]*Lookups!$B$19</f>
        <v>0</v>
      </c>
      <c r="BN15">
        <f>Grandview_Sales[[#This Row],[days_prior]]*Lookups!$B$20</f>
        <v>-108673.4316</v>
      </c>
      <c r="BO15">
        <f>SUM(Grandview_Sales[[#This Row],[land_value]:[Days Prior To Assessment_value]])</f>
        <v>191909.6128652796</v>
      </c>
      <c r="BP15">
        <f>Grandview_Sales[[#This Row],[predicted_total]]/Grandview_Sales[[#This Row],[sale_price]]</f>
        <v>0.87231642211490734</v>
      </c>
      <c r="BQ15">
        <f>VLOOKUP(Grandview_Sales[[#This Row],[quality]],Lookups!$A$26:$C$33,3,FALSE)</f>
        <v>0.98079741117310582</v>
      </c>
      <c r="BR15">
        <f>VLOOKUP(Grandview_Sales[[#This Row],[condition]],Lookups!$A$37:$C$44,3,FALSE)</f>
        <v>0.96469275950863709</v>
      </c>
      <c r="BS15">
        <f>VLOOKUP(Grandview_Sales[[#This Row],[decade]],Lookups!$F$29:$H$43,3,FALSE)</f>
        <v>0.98031878267063854</v>
      </c>
      <c r="BT15">
        <f>VLOOKUP(Grandview_Sales[[#This Row],[living_area_range]],Lookups!$F$47:$H$56,3,FALSE)</f>
        <v>0.96135087979789358</v>
      </c>
      <c r="BU15">
        <f>Grandview_Sales[[#This Row],[predicted_total]]*AVERAGE(Grandview_Sales[[#This Row],[qual_adj]:[size_adj]])</f>
        <v>186495.83468133354</v>
      </c>
      <c r="BV15">
        <f>Grandview_Sales[[#This Row],[final_total]]/Grandview_Sales[[#This Row],[sale_price]]</f>
        <v>0.84770833946060697</v>
      </c>
      <c r="BW15" s="6">
        <f>(Grandview_Sales[[#This Row],[final_total]]-Grandview_Sales[[#This Row],[sale_price]])^2</f>
        <v>1122529093.7005327</v>
      </c>
      <c r="BX15" s="6">
        <f>(Grandview_Sales[[#This Row],[final_total]]-AVERAGE(Grandview_Sales[sale_price]))^2</f>
        <v>14511415189.559509</v>
      </c>
      <c r="BY15" s="6">
        <f>Grandview_Sales[[#This Row],[SSE]]+Grandview_Sales[[#This Row],[SSR]]</f>
        <v>15633944283.260042</v>
      </c>
      <c r="BZ15" s="4">
        <f>ABS(Grandview_Sales[[#This Row],[final_ratio]]-MEDIAN(Grandview_Sales[final_ratio]))</f>
        <v>0.15354037989520497</v>
      </c>
    </row>
    <row r="16" spans="1:78" x14ac:dyDescent="0.25">
      <c r="A16">
        <v>23092423532</v>
      </c>
      <c r="B16">
        <v>0.45</v>
      </c>
      <c r="C16">
        <v>19705</v>
      </c>
      <c r="D16">
        <v>0</v>
      </c>
      <c r="E16" t="s">
        <v>53</v>
      </c>
      <c r="F16" t="s">
        <v>53</v>
      </c>
      <c r="G16">
        <v>4</v>
      </c>
      <c r="H16" t="s">
        <v>54</v>
      </c>
      <c r="I16">
        <v>152700</v>
      </c>
      <c r="J16">
        <v>41400</v>
      </c>
      <c r="K16">
        <v>0.45</v>
      </c>
      <c r="L16">
        <v>-0.798507696218</v>
      </c>
      <c r="M16">
        <v>0</v>
      </c>
      <c r="N16">
        <v>0</v>
      </c>
      <c r="O16">
        <v>0</v>
      </c>
      <c r="P16">
        <v>13398.7528</v>
      </c>
      <c r="Q16">
        <v>63902.980100000001</v>
      </c>
      <c r="R16">
        <v>53203.972869480996</v>
      </c>
      <c r="S16" t="s">
        <v>68</v>
      </c>
      <c r="T16">
        <v>1</v>
      </c>
      <c r="U16" t="s">
        <v>70</v>
      </c>
      <c r="V16" t="s">
        <v>69</v>
      </c>
      <c r="W16">
        <v>0</v>
      </c>
      <c r="X16">
        <v>0</v>
      </c>
      <c r="Y16">
        <v>49</v>
      </c>
      <c r="Z16">
        <v>67</v>
      </c>
      <c r="AA16">
        <v>70</v>
      </c>
      <c r="AB16">
        <v>1500</v>
      </c>
      <c r="AC16">
        <v>1060</v>
      </c>
      <c r="AD16">
        <v>1060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</v>
      </c>
      <c r="AM16">
        <v>0</v>
      </c>
      <c r="AN16">
        <v>1</v>
      </c>
      <c r="AO16" t="s">
        <v>58</v>
      </c>
      <c r="AP16">
        <v>1</v>
      </c>
      <c r="AQ16" t="s">
        <v>59</v>
      </c>
      <c r="AR16" t="s">
        <v>60</v>
      </c>
      <c r="AS16">
        <v>1</v>
      </c>
      <c r="AT16">
        <v>2</v>
      </c>
      <c r="AU16">
        <v>0</v>
      </c>
      <c r="AV16">
        <v>6400</v>
      </c>
      <c r="AW16">
        <v>100</v>
      </c>
      <c r="AX16" s="1">
        <v>44022</v>
      </c>
      <c r="AY16">
        <v>23700</v>
      </c>
      <c r="AZ16">
        <v>111529</v>
      </c>
      <c r="BA16">
        <v>135200</v>
      </c>
      <c r="BB16">
        <v>190000</v>
      </c>
      <c r="BC16">
        <v>905</v>
      </c>
      <c r="BD16">
        <f>Grandview_Sales[[#This Row],[land_extract]]*Lookups!$B$3</f>
        <v>61785.63004260153</v>
      </c>
      <c r="BE16">
        <f>Lookups!$B$2</f>
        <v>155833.95000000001</v>
      </c>
      <c r="BF16">
        <f>VLOOKUP(Grandview_Sales[[#This Row],[quality]],Lookups!$H$2:$J$13,3,FALSE)</f>
        <v>10733</v>
      </c>
      <c r="BG16">
        <f>VLOOKUP(Grandview_Sales[[#This Row],[condition]],Lookups!$H$17:$J$24,3,FALSE)</f>
        <v>-4503</v>
      </c>
      <c r="BH16">
        <f>Grandview_Sales[[#This Row],[Eff_Age]]*Lookups!$B$14</f>
        <v>-11719.163399999999</v>
      </c>
      <c r="BI16">
        <f>Grandview_Sales[[#This Row],[living_area]]*Lookups!$B$15</f>
        <v>66123.704180000001</v>
      </c>
      <c r="BJ16">
        <f>Grandview_Sales[[#This Row],[Fin BSMT]]*Lookups!$B$16</f>
        <v>0</v>
      </c>
      <c r="BK16">
        <f>Grandview_Sales[[#This Row],[garage_sqft]]*Lookups!$B$17</f>
        <v>0</v>
      </c>
      <c r="BL16">
        <f>Grandview_Sales[[#This Row],[Plumbing Fixtures]]*Lookups!$B$18</f>
        <v>10052.209000000001</v>
      </c>
      <c r="BM16">
        <f>Grandview_Sales[[#This Row],[detatched_value]]*Lookups!$B$19</f>
        <v>5419.5526399999999</v>
      </c>
      <c r="BN16">
        <f>Grandview_Sales[[#This Row],[days_prior]]*Lookups!$B$20</f>
        <v>-108553.48299999999</v>
      </c>
      <c r="BO16">
        <f>SUM(Grandview_Sales[[#This Row],[land_value]:[Days Prior To Assessment_value]])</f>
        <v>185172.39946260152</v>
      </c>
      <c r="BP16">
        <f>Grandview_Sales[[#This Row],[predicted_total]]/Grandview_Sales[[#This Row],[sale_price]]</f>
        <v>0.97459157611895542</v>
      </c>
      <c r="BQ16">
        <f>VLOOKUP(Grandview_Sales[[#This Row],[quality]],Lookups!$A$26:$C$33,3,FALSE)</f>
        <v>0.98079741117310582</v>
      </c>
      <c r="BR16">
        <f>VLOOKUP(Grandview_Sales[[#This Row],[condition]],Lookups!$A$37:$C$44,3,FALSE)</f>
        <v>0.96469275950863709</v>
      </c>
      <c r="BS16">
        <f>VLOOKUP(Grandview_Sales[[#This Row],[decade]],Lookups!$F$29:$H$43,3,FALSE)</f>
        <v>0.99472141305414818</v>
      </c>
      <c r="BT16">
        <f>VLOOKUP(Grandview_Sales[[#This Row],[living_area_range]],Lookups!$F$47:$H$56,3,FALSE)</f>
        <v>0.96135087979789358</v>
      </c>
      <c r="BU16">
        <f>Grandview_Sales[[#This Row],[predicted_total]]*AVERAGE(Grandview_Sales[[#This Row],[qual_adj]:[size_adj]])</f>
        <v>180615.42075644241</v>
      </c>
      <c r="BV16">
        <f>Grandview_Sales[[#This Row],[final_total]]/Grandview_Sales[[#This Row],[sale_price]]</f>
        <v>0.95060747766548637</v>
      </c>
      <c r="BW16" s="6">
        <f>(Grandview_Sales[[#This Row],[final_total]]-Grandview_Sales[[#This Row],[sale_price]])^2</f>
        <v>88070327.578611866</v>
      </c>
      <c r="BX16" s="6">
        <f>(Grandview_Sales[[#This Row],[final_total]]-AVERAGE(Grandview_Sales[sale_price]))^2</f>
        <v>15962743008.014441</v>
      </c>
      <c r="BY16" s="6">
        <f>Grandview_Sales[[#This Row],[SSE]]+Grandview_Sales[[#This Row],[SSR]]</f>
        <v>16050813335.593052</v>
      </c>
      <c r="BZ16" s="4">
        <f>ABS(Grandview_Sales[[#This Row],[final_ratio]]-MEDIAN(Grandview_Sales[final_ratio]))</f>
        <v>5.0641241690325578E-2</v>
      </c>
    </row>
    <row r="17" spans="1:78" x14ac:dyDescent="0.25">
      <c r="A17">
        <v>23092333451</v>
      </c>
      <c r="B17">
        <v>0.24</v>
      </c>
      <c r="C17">
        <v>10490</v>
      </c>
      <c r="D17">
        <v>0</v>
      </c>
      <c r="E17" t="s">
        <v>53</v>
      </c>
      <c r="F17" t="s">
        <v>53</v>
      </c>
      <c r="G17">
        <v>4</v>
      </c>
      <c r="H17" t="s">
        <v>54</v>
      </c>
      <c r="I17">
        <v>227300</v>
      </c>
      <c r="J17">
        <v>39800</v>
      </c>
      <c r="K17">
        <v>0.24</v>
      </c>
      <c r="L17">
        <v>-1.4271163556399999</v>
      </c>
      <c r="M17">
        <v>0</v>
      </c>
      <c r="N17">
        <v>0</v>
      </c>
      <c r="O17">
        <v>0</v>
      </c>
      <c r="P17">
        <v>13398.7528</v>
      </c>
      <c r="Q17">
        <v>63902.980100000001</v>
      </c>
      <c r="R17">
        <v>44781.400833940999</v>
      </c>
      <c r="S17" t="s">
        <v>55</v>
      </c>
      <c r="T17">
        <v>2</v>
      </c>
      <c r="U17" t="s">
        <v>65</v>
      </c>
      <c r="V17" t="s">
        <v>69</v>
      </c>
      <c r="W17">
        <v>0</v>
      </c>
      <c r="X17">
        <v>0</v>
      </c>
      <c r="Y17">
        <v>46</v>
      </c>
      <c r="Z17">
        <v>54</v>
      </c>
      <c r="AA17">
        <v>50</v>
      </c>
      <c r="AB17">
        <v>2500</v>
      </c>
      <c r="AC17">
        <v>2423</v>
      </c>
      <c r="AD17">
        <v>1223</v>
      </c>
      <c r="AE17">
        <v>600</v>
      </c>
      <c r="AF17">
        <v>600</v>
      </c>
      <c r="AG17">
        <v>0</v>
      </c>
      <c r="AH17">
        <v>500</v>
      </c>
      <c r="AI17">
        <v>0</v>
      </c>
      <c r="AJ17">
        <v>0</v>
      </c>
      <c r="AK17">
        <v>688</v>
      </c>
      <c r="AL17">
        <v>10</v>
      </c>
      <c r="AM17">
        <v>0</v>
      </c>
      <c r="AN17">
        <v>0</v>
      </c>
      <c r="AO17" t="s">
        <v>58</v>
      </c>
      <c r="AP17">
        <v>1</v>
      </c>
      <c r="AQ17" t="s">
        <v>63</v>
      </c>
      <c r="AR17" t="s">
        <v>64</v>
      </c>
      <c r="AS17">
        <v>0</v>
      </c>
      <c r="AT17">
        <v>3</v>
      </c>
      <c r="AU17">
        <v>0</v>
      </c>
      <c r="AV17">
        <v>14700</v>
      </c>
      <c r="AW17">
        <v>100</v>
      </c>
      <c r="AX17" s="1">
        <v>44027</v>
      </c>
      <c r="AY17">
        <v>22800</v>
      </c>
      <c r="AZ17">
        <v>250938</v>
      </c>
      <c r="BA17">
        <v>273700</v>
      </c>
      <c r="BB17">
        <v>310000</v>
      </c>
      <c r="BC17">
        <v>900</v>
      </c>
      <c r="BD17">
        <f>Grandview_Sales[[#This Row],[land_extract]]*Lookups!$B$3</f>
        <v>52004.519878673433</v>
      </c>
      <c r="BE17">
        <f>Lookups!$B$2</f>
        <v>155833.95000000001</v>
      </c>
      <c r="BF17">
        <f>VLOOKUP(Grandview_Sales[[#This Row],[quality]],Lookups!$H$2:$J$13,3,FALSE)</f>
        <v>2251</v>
      </c>
      <c r="BG17">
        <f>VLOOKUP(Grandview_Sales[[#This Row],[condition]],Lookups!$H$17:$J$24,3,FALSE)</f>
        <v>-4503</v>
      </c>
      <c r="BH17">
        <f>Grandview_Sales[[#This Row],[Eff_Age]]*Lookups!$B$14</f>
        <v>-11001.6636</v>
      </c>
      <c r="BI17">
        <f>Grandview_Sales[[#This Row],[living_area]]*Lookups!$B$15</f>
        <v>151148.80681899999</v>
      </c>
      <c r="BJ17">
        <f>Grandview_Sales[[#This Row],[Fin BSMT]]*Lookups!$B$16</f>
        <v>-16259.544000000002</v>
      </c>
      <c r="BK17">
        <f>Grandview_Sales[[#This Row],[garage_sqft]]*Lookups!$B$17</f>
        <v>43760.218500000003</v>
      </c>
      <c r="BL17">
        <f>Grandview_Sales[[#This Row],[Plumbing Fixtures]]*Lookups!$B$18</f>
        <v>20104.418000000001</v>
      </c>
      <c r="BM17">
        <f>Grandview_Sales[[#This Row],[detatched_value]]*Lookups!$B$19</f>
        <v>12448.034969999999</v>
      </c>
      <c r="BN17">
        <f>Grandview_Sales[[#This Row],[days_prior]]*Lookups!$B$20</f>
        <v>-107953.74</v>
      </c>
      <c r="BO17">
        <f>SUM(Grandview_Sales[[#This Row],[land_value]:[Days Prior To Assessment_value]])</f>
        <v>297833.00056767341</v>
      </c>
      <c r="BP17">
        <f>Grandview_Sales[[#This Row],[predicted_total]]/Grandview_Sales[[#This Row],[sale_price]]</f>
        <v>0.96075161473443038</v>
      </c>
      <c r="BQ17">
        <f>VLOOKUP(Grandview_Sales[[#This Row],[quality]],Lookups!$A$26:$C$33,3,FALSE)</f>
        <v>0.98763855981004833</v>
      </c>
      <c r="BR17">
        <f>VLOOKUP(Grandview_Sales[[#This Row],[condition]],Lookups!$A$37:$C$44,3,FALSE)</f>
        <v>0.96469275950863709</v>
      </c>
      <c r="BS17">
        <f>VLOOKUP(Grandview_Sales[[#This Row],[decade]],Lookups!$F$29:$H$43,3,FALSE)</f>
        <v>0.9871940091910919</v>
      </c>
      <c r="BT17">
        <f>VLOOKUP(Grandview_Sales[[#This Row],[living_area_range]],Lookups!$F$47:$H$56,3,FALSE)</f>
        <v>0.95799442568048754</v>
      </c>
      <c r="BU17">
        <f>Grandview_Sales[[#This Row],[predicted_total]]*AVERAGE(Grandview_Sales[[#This Row],[qual_adj]:[size_adj]])</f>
        <v>290202.5007905669</v>
      </c>
      <c r="BV17">
        <f>Grandview_Sales[[#This Row],[final_total]]/Grandview_Sales[[#This Row],[sale_price]]</f>
        <v>0.93613709932440936</v>
      </c>
      <c r="BW17" s="6">
        <f>(Grandview_Sales[[#This Row],[final_total]]-Grandview_Sales[[#This Row],[sale_price]])^2</f>
        <v>391940974.94750404</v>
      </c>
      <c r="BX17" s="6">
        <f>(Grandview_Sales[[#This Row],[final_total]]-AVERAGE(Grandview_Sales[sale_price]))^2</f>
        <v>280785967.64899307</v>
      </c>
      <c r="BY17" s="6">
        <f>Grandview_Sales[[#This Row],[SSE]]+Grandview_Sales[[#This Row],[SSR]]</f>
        <v>672726942.59649706</v>
      </c>
      <c r="BZ17" s="4">
        <f>ABS(Grandview_Sales[[#This Row],[final_ratio]]-MEDIAN(Grandview_Sales[final_ratio]))</f>
        <v>6.5111620031402584E-2</v>
      </c>
    </row>
    <row r="18" spans="1:78" x14ac:dyDescent="0.25">
      <c r="A18">
        <v>23092424469</v>
      </c>
      <c r="B18">
        <v>0.17</v>
      </c>
      <c r="C18">
        <v>7328</v>
      </c>
      <c r="D18">
        <v>0</v>
      </c>
      <c r="E18" t="s">
        <v>53</v>
      </c>
      <c r="F18" t="s">
        <v>53</v>
      </c>
      <c r="G18">
        <v>4</v>
      </c>
      <c r="H18" t="s">
        <v>54</v>
      </c>
      <c r="I18">
        <v>212100</v>
      </c>
      <c r="J18">
        <v>38800</v>
      </c>
      <c r="K18">
        <v>0.17</v>
      </c>
      <c r="L18">
        <v>-1.771956841932</v>
      </c>
      <c r="M18">
        <v>0</v>
      </c>
      <c r="N18">
        <v>0</v>
      </c>
      <c r="O18">
        <v>0</v>
      </c>
      <c r="P18">
        <v>13398.7528</v>
      </c>
      <c r="Q18">
        <v>63902.980100000001</v>
      </c>
      <c r="R18">
        <v>40160.968402685998</v>
      </c>
      <c r="S18" t="s">
        <v>61</v>
      </c>
      <c r="T18">
        <v>1</v>
      </c>
      <c r="U18" t="s">
        <v>65</v>
      </c>
      <c r="V18" t="s">
        <v>67</v>
      </c>
      <c r="W18">
        <v>0</v>
      </c>
      <c r="X18">
        <v>0</v>
      </c>
      <c r="Y18">
        <v>17</v>
      </c>
      <c r="Z18">
        <v>17</v>
      </c>
      <c r="AA18">
        <v>20</v>
      </c>
      <c r="AB18">
        <v>1500</v>
      </c>
      <c r="AC18">
        <v>1117</v>
      </c>
      <c r="AD18">
        <v>1117</v>
      </c>
      <c r="AE18">
        <v>0</v>
      </c>
      <c r="AF18">
        <v>0</v>
      </c>
      <c r="AG18">
        <v>0</v>
      </c>
      <c r="AH18">
        <v>480</v>
      </c>
      <c r="AI18">
        <v>0</v>
      </c>
      <c r="AJ18">
        <v>0</v>
      </c>
      <c r="AK18">
        <v>240</v>
      </c>
      <c r="AL18">
        <v>8</v>
      </c>
      <c r="AM18">
        <v>0</v>
      </c>
      <c r="AN18">
        <v>0</v>
      </c>
      <c r="AO18" t="s">
        <v>58</v>
      </c>
      <c r="AP18">
        <v>1</v>
      </c>
      <c r="AQ18" t="s">
        <v>63</v>
      </c>
      <c r="AR18" t="s">
        <v>64</v>
      </c>
      <c r="AS18">
        <v>1</v>
      </c>
      <c r="AT18">
        <v>3</v>
      </c>
      <c r="AU18">
        <v>0</v>
      </c>
      <c r="AV18">
        <v>0</v>
      </c>
      <c r="AW18">
        <v>100</v>
      </c>
      <c r="AX18" s="1">
        <v>44029</v>
      </c>
      <c r="AY18">
        <v>22200</v>
      </c>
      <c r="AZ18">
        <v>179682</v>
      </c>
      <c r="BA18">
        <v>201900</v>
      </c>
      <c r="BB18">
        <v>232000</v>
      </c>
      <c r="BC18">
        <v>898</v>
      </c>
      <c r="BD18">
        <f>Grandview_Sales[[#This Row],[land_extract]]*Lookups!$B$3</f>
        <v>46638.82417142456</v>
      </c>
      <c r="BE18">
        <f>Lookups!$B$2</f>
        <v>155833.95000000001</v>
      </c>
      <c r="BF18">
        <f>VLOOKUP(Grandview_Sales[[#This Row],[quality]],Lookups!$H$2:$J$13,3,FALSE)</f>
        <v>2251</v>
      </c>
      <c r="BG18">
        <f>VLOOKUP(Grandview_Sales[[#This Row],[condition]],Lookups!$H$17:$J$24,3,FALSE)</f>
        <v>22342</v>
      </c>
      <c r="BH18">
        <f>Grandview_Sales[[#This Row],[Eff_Age]]*Lookups!$B$14</f>
        <v>-4065.8321999999998</v>
      </c>
      <c r="BI18">
        <f>Grandview_Sales[[#This Row],[living_area]]*Lookups!$B$15</f>
        <v>69679.412800999999</v>
      </c>
      <c r="BJ18">
        <f>Grandview_Sales[[#This Row],[Fin BSMT]]*Lookups!$B$16</f>
        <v>0</v>
      </c>
      <c r="BK18">
        <f>Grandview_Sales[[#This Row],[garage_sqft]]*Lookups!$B$17</f>
        <v>42009.809760000004</v>
      </c>
      <c r="BL18">
        <f>Grandview_Sales[[#This Row],[Plumbing Fixtures]]*Lookups!$B$18</f>
        <v>16083.5344</v>
      </c>
      <c r="BM18">
        <f>Grandview_Sales[[#This Row],[detatched_value]]*Lookups!$B$19</f>
        <v>0</v>
      </c>
      <c r="BN18">
        <f>Grandview_Sales[[#This Row],[days_prior]]*Lookups!$B$20</f>
        <v>-107713.8428</v>
      </c>
      <c r="BO18">
        <f>SUM(Grandview_Sales[[#This Row],[land_value]:[Days Prior To Assessment_value]])</f>
        <v>243058.85613242455</v>
      </c>
      <c r="BP18">
        <f>Grandview_Sales[[#This Row],[predicted_total]]/Grandview_Sales[[#This Row],[sale_price]]</f>
        <v>1.0476674833294162</v>
      </c>
      <c r="BQ18">
        <f>VLOOKUP(Grandview_Sales[[#This Row],[quality]],Lookups!$A$26:$C$33,3,FALSE)</f>
        <v>0.98763855981004833</v>
      </c>
      <c r="BR18">
        <f>VLOOKUP(Grandview_Sales[[#This Row],[condition]],Lookups!$A$37:$C$44,3,FALSE)</f>
        <v>0.97383723671140243</v>
      </c>
      <c r="BS18">
        <f>VLOOKUP(Grandview_Sales[[#This Row],[decade]],Lookups!$F$29:$H$43,3,FALSE)</f>
        <v>0.96737494181490646</v>
      </c>
      <c r="BT18">
        <f>VLOOKUP(Grandview_Sales[[#This Row],[living_area_range]],Lookups!$F$47:$H$56,3,FALSE)</f>
        <v>0.96135087979789358</v>
      </c>
      <c r="BU18">
        <f>Grandview_Sales[[#This Row],[predicted_total]]*AVERAGE(Grandview_Sales[[#This Row],[qual_adj]:[size_adj]])</f>
        <v>236386.9888570545</v>
      </c>
      <c r="BV18">
        <f>Grandview_Sales[[#This Row],[final_total]]/Grandview_Sales[[#This Row],[sale_price]]</f>
        <v>1.0189094347286831</v>
      </c>
      <c r="BW18" s="6">
        <f>(Grandview_Sales[[#This Row],[final_total]]-Grandview_Sales[[#This Row],[sale_price]])^2</f>
        <v>19245671.231920354</v>
      </c>
      <c r="BX18" s="6">
        <f>(Grandview_Sales[[#This Row],[final_total]]-AVERAGE(Grandview_Sales[sale_price]))^2</f>
        <v>4980432770.8760939</v>
      </c>
      <c r="BY18" s="6">
        <f>Grandview_Sales[[#This Row],[SSE]]+Grandview_Sales[[#This Row],[SSR]]</f>
        <v>4999678442.1080141</v>
      </c>
      <c r="BZ18" s="4">
        <f>ABS(Grandview_Sales[[#This Row],[final_ratio]]-MEDIAN(Grandview_Sales[final_ratio]))</f>
        <v>1.7660715372871172E-2</v>
      </c>
    </row>
    <row r="19" spans="1:78" x14ac:dyDescent="0.25">
      <c r="A19">
        <v>23092241408</v>
      </c>
      <c r="B19">
        <v>0.28000000000000003</v>
      </c>
      <c r="C19">
        <v>12070</v>
      </c>
      <c r="D19">
        <v>0</v>
      </c>
      <c r="E19" t="s">
        <v>53</v>
      </c>
      <c r="F19" t="s">
        <v>53</v>
      </c>
      <c r="G19">
        <v>4</v>
      </c>
      <c r="H19" t="s">
        <v>54</v>
      </c>
      <c r="I19">
        <v>240500</v>
      </c>
      <c r="J19">
        <v>44500</v>
      </c>
      <c r="K19">
        <v>0.28000000000000003</v>
      </c>
      <c r="L19">
        <v>-1.2729656758129999</v>
      </c>
      <c r="M19">
        <v>0</v>
      </c>
      <c r="N19">
        <v>0</v>
      </c>
      <c r="O19">
        <v>0</v>
      </c>
      <c r="P19">
        <v>13398.7528</v>
      </c>
      <c r="Q19">
        <v>63902.980100000001</v>
      </c>
      <c r="R19">
        <v>46846.827686898003</v>
      </c>
      <c r="S19" t="s">
        <v>61</v>
      </c>
      <c r="T19">
        <v>1</v>
      </c>
      <c r="U19" t="s">
        <v>64</v>
      </c>
      <c r="V19" t="s">
        <v>69</v>
      </c>
      <c r="W19">
        <v>0</v>
      </c>
      <c r="X19">
        <v>0</v>
      </c>
      <c r="Y19">
        <v>48</v>
      </c>
      <c r="Z19">
        <v>62</v>
      </c>
      <c r="AA19">
        <v>60</v>
      </c>
      <c r="AB19">
        <v>3000</v>
      </c>
      <c r="AC19">
        <v>2973</v>
      </c>
      <c r="AD19">
        <v>1592</v>
      </c>
      <c r="AE19">
        <v>0</v>
      </c>
      <c r="AF19">
        <v>1381</v>
      </c>
      <c r="AG19">
        <v>0</v>
      </c>
      <c r="AH19">
        <v>308</v>
      </c>
      <c r="AI19">
        <v>200</v>
      </c>
      <c r="AJ19">
        <v>0</v>
      </c>
      <c r="AK19">
        <v>426</v>
      </c>
      <c r="AL19">
        <v>8</v>
      </c>
      <c r="AM19">
        <v>0</v>
      </c>
      <c r="AN19">
        <v>1</v>
      </c>
      <c r="AO19" t="s">
        <v>58</v>
      </c>
      <c r="AP19">
        <v>1</v>
      </c>
      <c r="AQ19" t="s">
        <v>63</v>
      </c>
      <c r="AR19" t="s">
        <v>64</v>
      </c>
      <c r="AS19">
        <v>1</v>
      </c>
      <c r="AT19">
        <v>4</v>
      </c>
      <c r="AU19">
        <v>0</v>
      </c>
      <c r="AV19">
        <v>0</v>
      </c>
      <c r="AW19">
        <v>100</v>
      </c>
      <c r="AX19" s="1">
        <v>44029</v>
      </c>
      <c r="AY19">
        <v>25500</v>
      </c>
      <c r="AZ19">
        <v>358749</v>
      </c>
      <c r="BA19">
        <v>384200</v>
      </c>
      <c r="BB19">
        <v>281000</v>
      </c>
      <c r="BC19">
        <v>898</v>
      </c>
      <c r="BD19">
        <f>Grandview_Sales[[#This Row],[land_extract]]*Lookups!$B$3</f>
        <v>54403.094506359892</v>
      </c>
      <c r="BE19">
        <f>Lookups!$B$2</f>
        <v>155833.95000000001</v>
      </c>
      <c r="BF19">
        <f>VLOOKUP(Grandview_Sales[[#This Row],[quality]],Lookups!$H$2:$J$13,3,FALSE)</f>
        <v>20768</v>
      </c>
      <c r="BG19">
        <f>VLOOKUP(Grandview_Sales[[#This Row],[condition]],Lookups!$H$17:$J$24,3,FALSE)</f>
        <v>-4503</v>
      </c>
      <c r="BH19">
        <f>Grandview_Sales[[#This Row],[Eff_Age]]*Lookups!$B$14</f>
        <v>-11479.996799999999</v>
      </c>
      <c r="BI19">
        <f>Grandview_Sales[[#This Row],[living_area]]*Lookups!$B$15</f>
        <v>185458.27596900001</v>
      </c>
      <c r="BJ19">
        <f>Grandview_Sales[[#This Row],[Fin BSMT]]*Lookups!$B$16</f>
        <v>-37424.050439999999</v>
      </c>
      <c r="BK19">
        <f>Grandview_Sales[[#This Row],[garage_sqft]]*Lookups!$B$17</f>
        <v>26956.294596</v>
      </c>
      <c r="BL19">
        <f>Grandview_Sales[[#This Row],[Plumbing Fixtures]]*Lookups!$B$18</f>
        <v>16083.5344</v>
      </c>
      <c r="BM19">
        <f>Grandview_Sales[[#This Row],[detatched_value]]*Lookups!$B$19</f>
        <v>0</v>
      </c>
      <c r="BN19">
        <f>Grandview_Sales[[#This Row],[days_prior]]*Lookups!$B$20</f>
        <v>-107713.8428</v>
      </c>
      <c r="BO19">
        <f>SUM(Grandview_Sales[[#This Row],[land_value]:[Days Prior To Assessment_value]])</f>
        <v>298382.25943135994</v>
      </c>
      <c r="BP19">
        <f>Grandview_Sales[[#This Row],[predicted_total]]/Grandview_Sales[[#This Row],[sale_price]]</f>
        <v>1.0618585744888254</v>
      </c>
      <c r="BQ19">
        <f>VLOOKUP(Grandview_Sales[[#This Row],[quality]],Lookups!$A$26:$C$33,3,FALSE)</f>
        <v>0.94960540378902636</v>
      </c>
      <c r="BR19">
        <f>VLOOKUP(Grandview_Sales[[#This Row],[condition]],Lookups!$A$37:$C$44,3,FALSE)</f>
        <v>0.96469275950863709</v>
      </c>
      <c r="BS19">
        <f>VLOOKUP(Grandview_Sales[[#This Row],[decade]],Lookups!$F$29:$H$43,3,FALSE)</f>
        <v>0.95268620544463312</v>
      </c>
      <c r="BT19">
        <f>VLOOKUP(Grandview_Sales[[#This Row],[living_area_range]],Lookups!$F$47:$H$56,3,FALSE)</f>
        <v>0.94224801443562123</v>
      </c>
      <c r="BU19">
        <f>Grandview_Sales[[#This Row],[predicted_total]]*AVERAGE(Grandview_Sales[[#This Row],[qual_adj]:[size_adj]])</f>
        <v>284151.84129793278</v>
      </c>
      <c r="BV19">
        <f>Grandview_Sales[[#This Row],[final_total]]/Grandview_Sales[[#This Row],[sale_price]]</f>
        <v>1.011216517074494</v>
      </c>
      <c r="BW19" s="6">
        <f>(Grandview_Sales[[#This Row],[final_total]]-Grandview_Sales[[#This Row],[sale_price]])^2</f>
        <v>9934103.5673546176</v>
      </c>
      <c r="BX19" s="6">
        <f>(Grandview_Sales[[#This Row],[final_total]]-AVERAGE(Grandview_Sales[sale_price]))^2</f>
        <v>520174248.85950756</v>
      </c>
      <c r="BY19" s="6">
        <f>Grandview_Sales[[#This Row],[SSE]]+Grandview_Sales[[#This Row],[SSR]]</f>
        <v>530108352.42686218</v>
      </c>
      <c r="BZ19" s="4">
        <f>ABS(Grandview_Sales[[#This Row],[final_ratio]]-MEDIAN(Grandview_Sales[final_ratio]))</f>
        <v>9.9677977186820588E-3</v>
      </c>
    </row>
    <row r="20" spans="1:78" x14ac:dyDescent="0.25">
      <c r="A20">
        <v>23092343468</v>
      </c>
      <c r="B20">
        <v>0.17</v>
      </c>
      <c r="C20">
        <v>7192</v>
      </c>
      <c r="D20">
        <v>0</v>
      </c>
      <c r="E20" t="s">
        <v>53</v>
      </c>
      <c r="F20" t="s">
        <v>53</v>
      </c>
      <c r="G20">
        <v>4</v>
      </c>
      <c r="H20" t="s">
        <v>54</v>
      </c>
      <c r="I20">
        <v>180000</v>
      </c>
      <c r="J20">
        <v>43000</v>
      </c>
      <c r="K20">
        <v>0.17</v>
      </c>
      <c r="L20">
        <v>-1.771956841932</v>
      </c>
      <c r="M20">
        <v>0</v>
      </c>
      <c r="N20">
        <v>0</v>
      </c>
      <c r="O20">
        <v>0</v>
      </c>
      <c r="P20">
        <v>13398.7528</v>
      </c>
      <c r="Q20">
        <v>63902.980100000001</v>
      </c>
      <c r="R20">
        <v>40160.968402685998</v>
      </c>
      <c r="S20" t="s">
        <v>61</v>
      </c>
      <c r="T20">
        <v>1</v>
      </c>
      <c r="U20" t="s">
        <v>65</v>
      </c>
      <c r="V20" t="s">
        <v>69</v>
      </c>
      <c r="W20">
        <v>0</v>
      </c>
      <c r="X20">
        <v>0</v>
      </c>
      <c r="Y20">
        <v>23</v>
      </c>
      <c r="Z20">
        <v>23</v>
      </c>
      <c r="AA20">
        <v>20</v>
      </c>
      <c r="AB20">
        <v>1500</v>
      </c>
      <c r="AC20">
        <v>1112</v>
      </c>
      <c r="AD20">
        <v>1112</v>
      </c>
      <c r="AE20">
        <v>0</v>
      </c>
      <c r="AF20">
        <v>0</v>
      </c>
      <c r="AG20">
        <v>0</v>
      </c>
      <c r="AH20">
        <v>440</v>
      </c>
      <c r="AI20">
        <v>0</v>
      </c>
      <c r="AJ20">
        <v>0</v>
      </c>
      <c r="AK20">
        <v>0</v>
      </c>
      <c r="AL20">
        <v>8</v>
      </c>
      <c r="AM20">
        <v>0</v>
      </c>
      <c r="AN20">
        <v>0</v>
      </c>
      <c r="AO20" t="s">
        <v>58</v>
      </c>
      <c r="AP20">
        <v>1</v>
      </c>
      <c r="AQ20" t="s">
        <v>63</v>
      </c>
      <c r="AR20" t="s">
        <v>60</v>
      </c>
      <c r="AS20">
        <v>1</v>
      </c>
      <c r="AT20">
        <v>4</v>
      </c>
      <c r="AU20">
        <v>0</v>
      </c>
      <c r="AV20">
        <v>0</v>
      </c>
      <c r="AW20">
        <v>100</v>
      </c>
      <c r="AX20" s="1">
        <v>44042</v>
      </c>
      <c r="AY20">
        <v>24600</v>
      </c>
      <c r="AZ20">
        <v>165334</v>
      </c>
      <c r="BA20">
        <v>189900</v>
      </c>
      <c r="BB20">
        <v>236000</v>
      </c>
      <c r="BC20">
        <v>885</v>
      </c>
      <c r="BD20">
        <f>Grandview_Sales[[#This Row],[land_extract]]*Lookups!$B$3</f>
        <v>46638.82417142456</v>
      </c>
      <c r="BE20">
        <f>Lookups!$B$2</f>
        <v>155833.95000000001</v>
      </c>
      <c r="BF20">
        <f>VLOOKUP(Grandview_Sales[[#This Row],[quality]],Lookups!$H$2:$J$13,3,FALSE)</f>
        <v>2251</v>
      </c>
      <c r="BG20">
        <f>VLOOKUP(Grandview_Sales[[#This Row],[condition]],Lookups!$H$17:$J$24,3,FALSE)</f>
        <v>-4503</v>
      </c>
      <c r="BH20">
        <f>Grandview_Sales[[#This Row],[Eff_Age]]*Lookups!$B$14</f>
        <v>-5500.8317999999999</v>
      </c>
      <c r="BI20">
        <f>Grandview_Sales[[#This Row],[living_area]]*Lookups!$B$15</f>
        <v>69367.508536000008</v>
      </c>
      <c r="BJ20">
        <f>Grandview_Sales[[#This Row],[Fin BSMT]]*Lookups!$B$16</f>
        <v>0</v>
      </c>
      <c r="BK20">
        <f>Grandview_Sales[[#This Row],[garage_sqft]]*Lookups!$B$17</f>
        <v>38508.992279999999</v>
      </c>
      <c r="BL20">
        <f>Grandview_Sales[[#This Row],[Plumbing Fixtures]]*Lookups!$B$18</f>
        <v>16083.5344</v>
      </c>
      <c r="BM20">
        <f>Grandview_Sales[[#This Row],[detatched_value]]*Lookups!$B$19</f>
        <v>0</v>
      </c>
      <c r="BN20">
        <f>Grandview_Sales[[#This Row],[days_prior]]*Lookups!$B$20</f>
        <v>-106154.511</v>
      </c>
      <c r="BO20">
        <f>SUM(Grandview_Sales[[#This Row],[land_value]:[Days Prior To Assessment_value]])</f>
        <v>212525.46658742457</v>
      </c>
      <c r="BP20">
        <f>Grandview_Sales[[#This Row],[predicted_total]]/Grandview_Sales[[#This Row],[sale_price]]</f>
        <v>0.90053163808230752</v>
      </c>
      <c r="BQ20">
        <f>VLOOKUP(Grandview_Sales[[#This Row],[quality]],Lookups!$A$26:$C$33,3,FALSE)</f>
        <v>0.98763855981004833</v>
      </c>
      <c r="BR20">
        <f>VLOOKUP(Grandview_Sales[[#This Row],[condition]],Lookups!$A$37:$C$44,3,FALSE)</f>
        <v>0.96469275950863709</v>
      </c>
      <c r="BS20">
        <f>VLOOKUP(Grandview_Sales[[#This Row],[decade]],Lookups!$F$29:$H$43,3,FALSE)</f>
        <v>0.96737494181490646</v>
      </c>
      <c r="BT20">
        <f>VLOOKUP(Grandview_Sales[[#This Row],[living_area_range]],Lookups!$F$47:$H$56,3,FALSE)</f>
        <v>0.96135087979789358</v>
      </c>
      <c r="BU20">
        <f>Grandview_Sales[[#This Row],[predicted_total]]*AVERAGE(Grandview_Sales[[#This Row],[qual_adj]:[size_adj]])</f>
        <v>206205.86993222998</v>
      </c>
      <c r="BV20">
        <f>Grandview_Sales[[#This Row],[final_total]]/Grandview_Sales[[#This Row],[sale_price]]</f>
        <v>0.8737536861535169</v>
      </c>
      <c r="BW20" s="6">
        <f>(Grandview_Sales[[#This Row],[final_total]]-Grandview_Sales[[#This Row],[sale_price]])^2</f>
        <v>887690186.49519753</v>
      </c>
      <c r="BX20" s="6">
        <f>(Grandview_Sales[[#This Row],[final_total]]-AVERAGE(Grandview_Sales[sale_price]))^2</f>
        <v>10151227502.533131</v>
      </c>
      <c r="BY20" s="6">
        <f>Grandview_Sales[[#This Row],[SSE]]+Grandview_Sales[[#This Row],[SSR]]</f>
        <v>11038917689.028328</v>
      </c>
      <c r="BZ20" s="4">
        <f>ABS(Grandview_Sales[[#This Row],[final_ratio]]-MEDIAN(Grandview_Sales[final_ratio]))</f>
        <v>0.12749503320229505</v>
      </c>
    </row>
    <row r="21" spans="1:78" x14ac:dyDescent="0.25">
      <c r="A21">
        <v>23092233405</v>
      </c>
      <c r="B21">
        <v>0.37</v>
      </c>
      <c r="C21">
        <v>15910</v>
      </c>
      <c r="D21">
        <v>0</v>
      </c>
      <c r="E21" t="s">
        <v>53</v>
      </c>
      <c r="F21" t="s">
        <v>53</v>
      </c>
      <c r="G21">
        <v>4</v>
      </c>
      <c r="H21" t="s">
        <v>54</v>
      </c>
      <c r="I21">
        <v>378500</v>
      </c>
      <c r="J21">
        <v>45400</v>
      </c>
      <c r="K21">
        <v>0.37</v>
      </c>
      <c r="L21">
        <v>-0.99425227334400001</v>
      </c>
      <c r="M21">
        <v>0</v>
      </c>
      <c r="N21">
        <v>0</v>
      </c>
      <c r="O21">
        <v>0</v>
      </c>
      <c r="P21">
        <v>13398.7528</v>
      </c>
      <c r="Q21">
        <v>63902.980100000001</v>
      </c>
      <c r="R21">
        <v>50581.239668627997</v>
      </c>
      <c r="S21" t="s">
        <v>58</v>
      </c>
      <c r="T21">
        <v>2</v>
      </c>
      <c r="U21" t="s">
        <v>64</v>
      </c>
      <c r="V21" t="s">
        <v>67</v>
      </c>
      <c r="W21">
        <v>0</v>
      </c>
      <c r="X21">
        <v>0</v>
      </c>
      <c r="Y21">
        <v>43</v>
      </c>
      <c r="Z21">
        <v>44</v>
      </c>
      <c r="AA21">
        <v>40</v>
      </c>
      <c r="AB21">
        <v>3000</v>
      </c>
      <c r="AC21">
        <v>2928</v>
      </c>
      <c r="AD21">
        <v>1907</v>
      </c>
      <c r="AE21">
        <v>1021</v>
      </c>
      <c r="AF21">
        <v>0</v>
      </c>
      <c r="AG21">
        <v>0</v>
      </c>
      <c r="AH21">
        <v>552</v>
      </c>
      <c r="AI21">
        <v>0</v>
      </c>
      <c r="AJ21">
        <v>0</v>
      </c>
      <c r="AK21">
        <v>0</v>
      </c>
      <c r="AL21">
        <v>8</v>
      </c>
      <c r="AM21">
        <v>0</v>
      </c>
      <c r="AN21">
        <v>0</v>
      </c>
      <c r="AO21" t="s">
        <v>76</v>
      </c>
      <c r="AP21">
        <v>1</v>
      </c>
      <c r="AQ21" t="s">
        <v>63</v>
      </c>
      <c r="AR21" t="s">
        <v>60</v>
      </c>
      <c r="AS21">
        <v>1</v>
      </c>
      <c r="AT21">
        <v>3</v>
      </c>
      <c r="AU21">
        <v>0</v>
      </c>
      <c r="AV21">
        <v>31800</v>
      </c>
      <c r="AW21">
        <v>100</v>
      </c>
      <c r="AX21" s="1">
        <v>44054</v>
      </c>
      <c r="AY21">
        <v>26000</v>
      </c>
      <c r="AZ21">
        <v>461356</v>
      </c>
      <c r="BA21">
        <v>487400</v>
      </c>
      <c r="BB21">
        <v>372500</v>
      </c>
      <c r="BC21">
        <v>873</v>
      </c>
      <c r="BD21">
        <f>Grandview_Sales[[#This Row],[land_extract]]*Lookups!$B$3</f>
        <v>58739.857057830588</v>
      </c>
      <c r="BE21">
        <f>Lookups!$B$2</f>
        <v>155833.95000000001</v>
      </c>
      <c r="BF21">
        <f>VLOOKUP(Grandview_Sales[[#This Row],[quality]],Lookups!$H$2:$J$13,3,FALSE)</f>
        <v>20768</v>
      </c>
      <c r="BG21">
        <f>VLOOKUP(Grandview_Sales[[#This Row],[condition]],Lookups!$H$17:$J$24,3,FALSE)</f>
        <v>22342</v>
      </c>
      <c r="BH21">
        <f>Grandview_Sales[[#This Row],[Eff_Age]]*Lookups!$B$14</f>
        <v>-10284.1638</v>
      </c>
      <c r="BI21">
        <f>Grandview_Sales[[#This Row],[living_area]]*Lookups!$B$15</f>
        <v>182651.13758400001</v>
      </c>
      <c r="BJ21">
        <f>Grandview_Sales[[#This Row],[Fin BSMT]]*Lookups!$B$16</f>
        <v>0</v>
      </c>
      <c r="BK21">
        <f>Grandview_Sales[[#This Row],[garage_sqft]]*Lookups!$B$17</f>
        <v>48311.281223999998</v>
      </c>
      <c r="BL21">
        <f>Grandview_Sales[[#This Row],[Plumbing Fixtures]]*Lookups!$B$18</f>
        <v>16083.5344</v>
      </c>
      <c r="BM21">
        <f>Grandview_Sales[[#This Row],[detatched_value]]*Lookups!$B$19</f>
        <v>26928.402180000001</v>
      </c>
      <c r="BN21">
        <f>Grandview_Sales[[#This Row],[days_prior]]*Lookups!$B$20</f>
        <v>-104715.1278</v>
      </c>
      <c r="BO21">
        <f>SUM(Grandview_Sales[[#This Row],[land_value]:[Days Prior To Assessment_value]])</f>
        <v>416658.87084583053</v>
      </c>
      <c r="BP21">
        <f>Grandview_Sales[[#This Row],[predicted_total]]/Grandview_Sales[[#This Row],[sale_price]]</f>
        <v>1.1185473042841088</v>
      </c>
      <c r="BQ21">
        <f>VLOOKUP(Grandview_Sales[[#This Row],[quality]],Lookups!$A$26:$C$33,3,FALSE)</f>
        <v>0.94960540378902636</v>
      </c>
      <c r="BR21">
        <f>VLOOKUP(Grandview_Sales[[#This Row],[condition]],Lookups!$A$37:$C$44,3,FALSE)</f>
        <v>0.97383723671140243</v>
      </c>
      <c r="BS21">
        <f>VLOOKUP(Grandview_Sales[[#This Row],[decade]],Lookups!$F$29:$H$43,3,FALSE)</f>
        <v>0.98031878267063854</v>
      </c>
      <c r="BT21">
        <f>VLOOKUP(Grandview_Sales[[#This Row],[living_area_range]],Lookups!$F$47:$H$56,3,FALSE)</f>
        <v>0.94224801443562123</v>
      </c>
      <c r="BU21">
        <f>Grandview_Sales[[#This Row],[predicted_total]]*AVERAGE(Grandview_Sales[[#This Row],[qual_adj]:[size_adj]])</f>
        <v>400618.48738390265</v>
      </c>
      <c r="BV21">
        <f>Grandview_Sales[[#This Row],[final_total]]/Grandview_Sales[[#This Row],[sale_price]]</f>
        <v>1.0754858721715508</v>
      </c>
      <c r="BW21" s="6">
        <f>(Grandview_Sales[[#This Row],[final_total]]-Grandview_Sales[[#This Row],[sale_price]])^2</f>
        <v>790649332.75869274</v>
      </c>
      <c r="BX21" s="6">
        <f>(Grandview_Sales[[#This Row],[final_total]]-AVERAGE(Grandview_Sales[sale_price]))^2</f>
        <v>8772067706.8021355</v>
      </c>
      <c r="BY21" s="6">
        <f>Grandview_Sales[[#This Row],[SSE]]+Grandview_Sales[[#This Row],[SSR]]</f>
        <v>9562717039.5608292</v>
      </c>
      <c r="BZ21" s="4">
        <f>ABS(Grandview_Sales[[#This Row],[final_ratio]]-MEDIAN(Grandview_Sales[final_ratio]))</f>
        <v>7.4237152815738838E-2</v>
      </c>
    </row>
    <row r="22" spans="1:78" x14ac:dyDescent="0.25">
      <c r="A22">
        <v>23091442431</v>
      </c>
      <c r="B22">
        <v>0.28999999999999998</v>
      </c>
      <c r="C22">
        <v>12445</v>
      </c>
      <c r="D22">
        <v>0</v>
      </c>
      <c r="E22" t="s">
        <v>53</v>
      </c>
      <c r="F22" t="s">
        <v>53</v>
      </c>
      <c r="G22">
        <v>4</v>
      </c>
      <c r="H22" t="s">
        <v>54</v>
      </c>
      <c r="I22">
        <v>226200</v>
      </c>
      <c r="J22">
        <v>40400</v>
      </c>
      <c r="K22">
        <v>0.28999999999999998</v>
      </c>
      <c r="L22">
        <v>-1.237874356002</v>
      </c>
      <c r="M22">
        <v>0</v>
      </c>
      <c r="N22">
        <v>0</v>
      </c>
      <c r="O22">
        <v>0</v>
      </c>
      <c r="P22">
        <v>13398.7528</v>
      </c>
      <c r="Q22">
        <v>63902.980100000001</v>
      </c>
      <c r="R22">
        <v>47317.007606475003</v>
      </c>
      <c r="S22" t="s">
        <v>61</v>
      </c>
      <c r="T22">
        <v>1</v>
      </c>
      <c r="U22" t="s">
        <v>65</v>
      </c>
      <c r="V22" t="s">
        <v>67</v>
      </c>
      <c r="W22">
        <v>0</v>
      </c>
      <c r="X22">
        <v>0</v>
      </c>
      <c r="Y22">
        <v>13</v>
      </c>
      <c r="Z22">
        <v>13</v>
      </c>
      <c r="AA22">
        <v>10</v>
      </c>
      <c r="AB22">
        <v>1500</v>
      </c>
      <c r="AC22">
        <v>1228</v>
      </c>
      <c r="AD22">
        <v>1228</v>
      </c>
      <c r="AE22">
        <v>0</v>
      </c>
      <c r="AF22">
        <v>0</v>
      </c>
      <c r="AG22">
        <v>0</v>
      </c>
      <c r="AH22">
        <v>532</v>
      </c>
      <c r="AI22">
        <v>0</v>
      </c>
      <c r="AJ22">
        <v>0</v>
      </c>
      <c r="AK22">
        <v>0</v>
      </c>
      <c r="AL22">
        <v>8</v>
      </c>
      <c r="AM22">
        <v>0</v>
      </c>
      <c r="AN22">
        <v>0</v>
      </c>
      <c r="AO22" t="s">
        <v>58</v>
      </c>
      <c r="AP22">
        <v>1</v>
      </c>
      <c r="AQ22" t="s">
        <v>59</v>
      </c>
      <c r="AR22" t="s">
        <v>60</v>
      </c>
      <c r="AS22">
        <v>1</v>
      </c>
      <c r="AT22">
        <v>3</v>
      </c>
      <c r="AU22">
        <v>0</v>
      </c>
      <c r="AV22">
        <v>0</v>
      </c>
      <c r="AW22">
        <v>100</v>
      </c>
      <c r="AX22" s="1">
        <v>44056</v>
      </c>
      <c r="AY22">
        <v>23100</v>
      </c>
      <c r="AZ22">
        <v>198419</v>
      </c>
      <c r="BA22">
        <v>221500</v>
      </c>
      <c r="BB22">
        <v>250000</v>
      </c>
      <c r="BC22">
        <v>871</v>
      </c>
      <c r="BD22">
        <f>Grandview_Sales[[#This Row],[land_extract]]*Lookups!$B$3</f>
        <v>54949.113177478881</v>
      </c>
      <c r="BE22">
        <f>Lookups!$B$2</f>
        <v>155833.95000000001</v>
      </c>
      <c r="BF22">
        <f>VLOOKUP(Grandview_Sales[[#This Row],[quality]],Lookups!$H$2:$J$13,3,FALSE)</f>
        <v>2251</v>
      </c>
      <c r="BG22">
        <f>VLOOKUP(Grandview_Sales[[#This Row],[condition]],Lookups!$H$17:$J$24,3,FALSE)</f>
        <v>22342</v>
      </c>
      <c r="BH22">
        <f>Grandview_Sales[[#This Row],[Eff_Age]]*Lookups!$B$14</f>
        <v>-3109.1657999999998</v>
      </c>
      <c r="BI22">
        <f>Grandview_Sales[[#This Row],[living_area]]*Lookups!$B$15</f>
        <v>76603.687484000009</v>
      </c>
      <c r="BJ22">
        <f>Grandview_Sales[[#This Row],[Fin BSMT]]*Lookups!$B$16</f>
        <v>0</v>
      </c>
      <c r="BK22">
        <f>Grandview_Sales[[#This Row],[garage_sqft]]*Lookups!$B$17</f>
        <v>46560.872484</v>
      </c>
      <c r="BL22">
        <f>Grandview_Sales[[#This Row],[Plumbing Fixtures]]*Lookups!$B$18</f>
        <v>16083.5344</v>
      </c>
      <c r="BM22">
        <f>Grandview_Sales[[#This Row],[detatched_value]]*Lookups!$B$19</f>
        <v>0</v>
      </c>
      <c r="BN22">
        <f>Grandview_Sales[[#This Row],[days_prior]]*Lookups!$B$20</f>
        <v>-104475.2306</v>
      </c>
      <c r="BO22">
        <f>SUM(Grandview_Sales[[#This Row],[land_value]:[Days Prior To Assessment_value]])</f>
        <v>267039.76114547893</v>
      </c>
      <c r="BP22">
        <f>Grandview_Sales[[#This Row],[predicted_total]]/Grandview_Sales[[#This Row],[sale_price]]</f>
        <v>1.0681590445819158</v>
      </c>
      <c r="BQ22">
        <f>VLOOKUP(Grandview_Sales[[#This Row],[quality]],Lookups!$A$26:$C$33,3,FALSE)</f>
        <v>0.98763855981004833</v>
      </c>
      <c r="BR22">
        <f>VLOOKUP(Grandview_Sales[[#This Row],[condition]],Lookups!$A$37:$C$44,3,FALSE)</f>
        <v>0.97383723671140243</v>
      </c>
      <c r="BS22">
        <f>VLOOKUP(Grandview_Sales[[#This Row],[decade]],Lookups!$F$29:$H$43,3,FALSE)</f>
        <v>0.94601966599150278</v>
      </c>
      <c r="BT22">
        <f>VLOOKUP(Grandview_Sales[[#This Row],[living_area_range]],Lookups!$F$47:$H$56,3,FALSE)</f>
        <v>0.96135087979789358</v>
      </c>
      <c r="BU22">
        <f>Grandview_Sales[[#This Row],[predicted_total]]*AVERAGE(Grandview_Sales[[#This Row],[qual_adj]:[size_adj]])</f>
        <v>258283.95078981208</v>
      </c>
      <c r="BV22">
        <f>Grandview_Sales[[#This Row],[final_total]]/Grandview_Sales[[#This Row],[sale_price]]</f>
        <v>1.0331358031592484</v>
      </c>
      <c r="BW22" s="6">
        <f>(Grandview_Sales[[#This Row],[final_total]]-Grandview_Sales[[#This Row],[sale_price]])^2</f>
        <v>68623840.688028172</v>
      </c>
      <c r="BX22" s="6">
        <f>(Grandview_Sales[[#This Row],[final_total]]-AVERAGE(Grandview_Sales[sale_price]))^2</f>
        <v>2369276978.6807404</v>
      </c>
      <c r="BY22" s="6">
        <f>Grandview_Sales[[#This Row],[SSE]]+Grandview_Sales[[#This Row],[SSR]]</f>
        <v>2437900819.3687687</v>
      </c>
      <c r="BZ22" s="4">
        <f>ABS(Grandview_Sales[[#This Row],[final_ratio]]-MEDIAN(Grandview_Sales[final_ratio]))</f>
        <v>3.1887083803436411E-2</v>
      </c>
    </row>
    <row r="23" spans="1:78" x14ac:dyDescent="0.25">
      <c r="A23">
        <v>23092422410</v>
      </c>
      <c r="B23">
        <v>0.33</v>
      </c>
      <c r="C23">
        <v>14523</v>
      </c>
      <c r="D23">
        <v>0</v>
      </c>
      <c r="E23" t="s">
        <v>53</v>
      </c>
      <c r="F23" t="s">
        <v>53</v>
      </c>
      <c r="G23">
        <v>4</v>
      </c>
      <c r="H23" t="s">
        <v>54</v>
      </c>
      <c r="I23">
        <v>144200</v>
      </c>
      <c r="J23">
        <v>41200</v>
      </c>
      <c r="K23">
        <v>0.33</v>
      </c>
      <c r="L23">
        <v>-1.1086626245219999</v>
      </c>
      <c r="M23">
        <v>0</v>
      </c>
      <c r="N23">
        <v>0</v>
      </c>
      <c r="O23">
        <v>0</v>
      </c>
      <c r="P23">
        <v>13398.7528</v>
      </c>
      <c r="Q23">
        <v>63902.980100000001</v>
      </c>
      <c r="R23">
        <v>49048.283655435996</v>
      </c>
      <c r="S23" t="s">
        <v>68</v>
      </c>
      <c r="T23">
        <v>1</v>
      </c>
      <c r="U23" t="s">
        <v>70</v>
      </c>
      <c r="V23" t="s">
        <v>69</v>
      </c>
      <c r="W23">
        <v>0</v>
      </c>
      <c r="X23">
        <v>0</v>
      </c>
      <c r="Y23">
        <v>53</v>
      </c>
      <c r="Z23">
        <v>93</v>
      </c>
      <c r="AA23">
        <v>90</v>
      </c>
      <c r="AB23">
        <v>1500</v>
      </c>
      <c r="AC23">
        <v>1376</v>
      </c>
      <c r="AD23">
        <v>926</v>
      </c>
      <c r="AE23">
        <v>0</v>
      </c>
      <c r="AF23">
        <v>450</v>
      </c>
      <c r="AG23">
        <v>476</v>
      </c>
      <c r="AH23">
        <v>0</v>
      </c>
      <c r="AI23">
        <v>0</v>
      </c>
      <c r="AJ23">
        <v>0</v>
      </c>
      <c r="AK23">
        <v>0</v>
      </c>
      <c r="AL23">
        <v>8</v>
      </c>
      <c r="AM23">
        <v>1</v>
      </c>
      <c r="AN23">
        <v>0</v>
      </c>
      <c r="AO23" t="s">
        <v>58</v>
      </c>
      <c r="AP23">
        <v>1</v>
      </c>
      <c r="AQ23" t="s">
        <v>63</v>
      </c>
      <c r="AR23" t="s">
        <v>60</v>
      </c>
      <c r="AS23">
        <v>0</v>
      </c>
      <c r="AT23">
        <v>3</v>
      </c>
      <c r="AU23">
        <v>0</v>
      </c>
      <c r="AV23">
        <v>0</v>
      </c>
      <c r="AW23">
        <v>100</v>
      </c>
      <c r="AX23" s="1">
        <v>44060</v>
      </c>
      <c r="AY23">
        <v>23600</v>
      </c>
      <c r="AZ23">
        <v>121277</v>
      </c>
      <c r="BA23">
        <v>144900</v>
      </c>
      <c r="BB23">
        <v>165000</v>
      </c>
      <c r="BC23">
        <v>867</v>
      </c>
      <c r="BD23">
        <f>Grandview_Sales[[#This Row],[land_extract]]*Lookups!$B$3</f>
        <v>56959.639378691951</v>
      </c>
      <c r="BE23">
        <f>Lookups!$B$2</f>
        <v>155833.95000000001</v>
      </c>
      <c r="BF23">
        <f>VLOOKUP(Grandview_Sales[[#This Row],[quality]],Lookups!$H$2:$J$13,3,FALSE)</f>
        <v>10733</v>
      </c>
      <c r="BG23">
        <f>VLOOKUP(Grandview_Sales[[#This Row],[condition]],Lookups!$H$17:$J$24,3,FALSE)</f>
        <v>-4503</v>
      </c>
      <c r="BH23">
        <f>Grandview_Sales[[#This Row],[Eff_Age]]*Lookups!$B$14</f>
        <v>-12675.8298</v>
      </c>
      <c r="BI23">
        <f>Grandview_Sales[[#This Row],[living_area]]*Lookups!$B$15</f>
        <v>85836.053727999999</v>
      </c>
      <c r="BJ23">
        <f>Grandview_Sales[[#This Row],[Fin BSMT]]*Lookups!$B$16</f>
        <v>-12194.658000000001</v>
      </c>
      <c r="BK23">
        <f>Grandview_Sales[[#This Row],[garage_sqft]]*Lookups!$B$17</f>
        <v>0</v>
      </c>
      <c r="BL23">
        <f>Grandview_Sales[[#This Row],[Plumbing Fixtures]]*Lookups!$B$18</f>
        <v>16083.5344</v>
      </c>
      <c r="BM23">
        <f>Grandview_Sales[[#This Row],[detatched_value]]*Lookups!$B$19</f>
        <v>0</v>
      </c>
      <c r="BN23">
        <f>Grandview_Sales[[#This Row],[days_prior]]*Lookups!$B$20</f>
        <v>-103995.4362</v>
      </c>
      <c r="BO23">
        <f>SUM(Grandview_Sales[[#This Row],[land_value]:[Days Prior To Assessment_value]])</f>
        <v>192077.25350669195</v>
      </c>
      <c r="BP23">
        <f>Grandview_Sales[[#This Row],[predicted_total]]/Grandview_Sales[[#This Row],[sale_price]]</f>
        <v>1.1641045667072238</v>
      </c>
      <c r="BQ23">
        <f>VLOOKUP(Grandview_Sales[[#This Row],[quality]],Lookups!$A$26:$C$33,3,FALSE)</f>
        <v>0.98079741117310582</v>
      </c>
      <c r="BR23">
        <f>VLOOKUP(Grandview_Sales[[#This Row],[condition]],Lookups!$A$37:$C$44,3,FALSE)</f>
        <v>0.96469275950863709</v>
      </c>
      <c r="BS23">
        <f>VLOOKUP(Grandview_Sales[[#This Row],[decade]],Lookups!$F$29:$H$43,3,FALSE)</f>
        <v>0.94161750052457416</v>
      </c>
      <c r="BT23">
        <f>VLOOKUP(Grandview_Sales[[#This Row],[living_area_range]],Lookups!$F$47:$H$56,3,FALSE)</f>
        <v>0.96135087979789358</v>
      </c>
      <c r="BU23">
        <f>Grandview_Sales[[#This Row],[predicted_total]]*AVERAGE(Grandview_Sales[[#This Row],[qual_adj]:[size_adj]])</f>
        <v>184800.33717780805</v>
      </c>
      <c r="BV23">
        <f>Grandview_Sales[[#This Row],[final_total]]/Grandview_Sales[[#This Row],[sale_price]]</f>
        <v>1.1200020435018669</v>
      </c>
      <c r="BW23" s="6">
        <f>(Grandview_Sales[[#This Row],[final_total]]-Grandview_Sales[[#This Row],[sale_price]])^2</f>
        <v>392053352.35488755</v>
      </c>
      <c r="BX23" s="6">
        <f>(Grandview_Sales[[#This Row],[final_total]]-AVERAGE(Grandview_Sales[sale_price]))^2</f>
        <v>14922780470.413248</v>
      </c>
      <c r="BY23" s="6">
        <f>Grandview_Sales[[#This Row],[SSE]]+Grandview_Sales[[#This Row],[SSR]]</f>
        <v>15314833822.768135</v>
      </c>
      <c r="BZ23" s="4">
        <f>ABS(Grandview_Sales[[#This Row],[final_ratio]]-MEDIAN(Grandview_Sales[final_ratio]))</f>
        <v>0.11875332414605499</v>
      </c>
    </row>
    <row r="24" spans="1:78" x14ac:dyDescent="0.25">
      <c r="A24">
        <v>23092332495</v>
      </c>
      <c r="B24">
        <v>0.24</v>
      </c>
      <c r="C24">
        <v>10658</v>
      </c>
      <c r="D24">
        <v>0</v>
      </c>
      <c r="E24" t="s">
        <v>53</v>
      </c>
      <c r="F24" t="s">
        <v>53</v>
      </c>
      <c r="G24">
        <v>4</v>
      </c>
      <c r="H24" t="s">
        <v>54</v>
      </c>
      <c r="I24">
        <v>174900</v>
      </c>
      <c r="J24">
        <v>40000</v>
      </c>
      <c r="K24">
        <v>0.24</v>
      </c>
      <c r="L24">
        <v>-1.4271163556399999</v>
      </c>
      <c r="M24">
        <v>0</v>
      </c>
      <c r="N24">
        <v>0</v>
      </c>
      <c r="O24">
        <v>0</v>
      </c>
      <c r="P24">
        <v>13398.7528</v>
      </c>
      <c r="Q24">
        <v>63902.980100000001</v>
      </c>
      <c r="R24">
        <v>44781.400833940999</v>
      </c>
      <c r="S24" t="s">
        <v>61</v>
      </c>
      <c r="T24">
        <v>1</v>
      </c>
      <c r="U24" t="s">
        <v>70</v>
      </c>
      <c r="V24" t="s">
        <v>69</v>
      </c>
      <c r="W24">
        <v>0</v>
      </c>
      <c r="X24">
        <v>0</v>
      </c>
      <c r="Y24">
        <v>48</v>
      </c>
      <c r="Z24">
        <v>63</v>
      </c>
      <c r="AA24">
        <v>60</v>
      </c>
      <c r="AB24">
        <v>2000</v>
      </c>
      <c r="AC24">
        <v>1512</v>
      </c>
      <c r="AD24">
        <v>1512</v>
      </c>
      <c r="AE24">
        <v>0</v>
      </c>
      <c r="AF24">
        <v>0</v>
      </c>
      <c r="AG24">
        <v>0</v>
      </c>
      <c r="AH24">
        <v>336</v>
      </c>
      <c r="AI24">
        <v>0</v>
      </c>
      <c r="AJ24">
        <v>0</v>
      </c>
      <c r="AK24">
        <v>168</v>
      </c>
      <c r="AL24">
        <v>5</v>
      </c>
      <c r="AM24">
        <v>0</v>
      </c>
      <c r="AN24">
        <v>0</v>
      </c>
      <c r="AO24" t="s">
        <v>58</v>
      </c>
      <c r="AP24">
        <v>1</v>
      </c>
      <c r="AQ24" t="s">
        <v>75</v>
      </c>
      <c r="AR24" t="s">
        <v>60</v>
      </c>
      <c r="AS24">
        <v>0</v>
      </c>
      <c r="AT24">
        <v>3</v>
      </c>
      <c r="AU24">
        <v>0</v>
      </c>
      <c r="AV24">
        <v>0</v>
      </c>
      <c r="AW24">
        <v>100</v>
      </c>
      <c r="AX24" s="1">
        <v>44061</v>
      </c>
      <c r="AY24">
        <v>22900</v>
      </c>
      <c r="AZ24">
        <v>147439</v>
      </c>
      <c r="BA24">
        <v>170300</v>
      </c>
      <c r="BB24">
        <v>225000</v>
      </c>
      <c r="BC24">
        <v>866</v>
      </c>
      <c r="BD24">
        <f>Grandview_Sales[[#This Row],[land_extract]]*Lookups!$B$3</f>
        <v>52004.519878673433</v>
      </c>
      <c r="BE24">
        <f>Lookups!$B$2</f>
        <v>155833.95000000001</v>
      </c>
      <c r="BF24">
        <f>VLOOKUP(Grandview_Sales[[#This Row],[quality]],Lookups!$H$2:$J$13,3,FALSE)</f>
        <v>10733</v>
      </c>
      <c r="BG24">
        <f>VLOOKUP(Grandview_Sales[[#This Row],[condition]],Lookups!$H$17:$J$24,3,FALSE)</f>
        <v>-4503</v>
      </c>
      <c r="BH24">
        <f>Grandview_Sales[[#This Row],[Eff_Age]]*Lookups!$B$14</f>
        <v>-11479.996799999999</v>
      </c>
      <c r="BI24">
        <f>Grandview_Sales[[#This Row],[living_area]]*Lookups!$B$15</f>
        <v>94319.849736000004</v>
      </c>
      <c r="BJ24">
        <f>Grandview_Sales[[#This Row],[Fin BSMT]]*Lookups!$B$16</f>
        <v>0</v>
      </c>
      <c r="BK24">
        <f>Grandview_Sales[[#This Row],[garage_sqft]]*Lookups!$B$17</f>
        <v>29406.866832</v>
      </c>
      <c r="BL24">
        <f>Grandview_Sales[[#This Row],[Plumbing Fixtures]]*Lookups!$B$18</f>
        <v>10052.209000000001</v>
      </c>
      <c r="BM24">
        <f>Grandview_Sales[[#This Row],[detatched_value]]*Lookups!$B$19</f>
        <v>0</v>
      </c>
      <c r="BN24">
        <f>Grandview_Sales[[#This Row],[days_prior]]*Lookups!$B$20</f>
        <v>-103875.48759999999</v>
      </c>
      <c r="BO24">
        <f>SUM(Grandview_Sales[[#This Row],[land_value]:[Days Prior To Assessment_value]])</f>
        <v>232491.91104667337</v>
      </c>
      <c r="BP24">
        <f>Grandview_Sales[[#This Row],[predicted_total]]/Grandview_Sales[[#This Row],[sale_price]]</f>
        <v>1.0332973824296594</v>
      </c>
      <c r="BQ24">
        <f>VLOOKUP(Grandview_Sales[[#This Row],[quality]],Lookups!$A$26:$C$33,3,FALSE)</f>
        <v>0.98079741117310582</v>
      </c>
      <c r="BR24">
        <f>VLOOKUP(Grandview_Sales[[#This Row],[condition]],Lookups!$A$37:$C$44,3,FALSE)</f>
        <v>0.96469275950863709</v>
      </c>
      <c r="BS24">
        <f>VLOOKUP(Grandview_Sales[[#This Row],[decade]],Lookups!$F$29:$H$43,3,FALSE)</f>
        <v>0.95268620544463312</v>
      </c>
      <c r="BT24">
        <f>VLOOKUP(Grandview_Sales[[#This Row],[living_area_range]],Lookups!$F$47:$H$56,3,FALSE)</f>
        <v>0.96120133463014379</v>
      </c>
      <c r="BU24">
        <f>Grandview_Sales[[#This Row],[predicted_total]]*AVERAGE(Grandview_Sales[[#This Row],[qual_adj]:[size_adj]])</f>
        <v>224318.52485617966</v>
      </c>
      <c r="BV24">
        <f>Grandview_Sales[[#This Row],[final_total]]/Grandview_Sales[[#This Row],[sale_price]]</f>
        <v>0.99697122158302076</v>
      </c>
      <c r="BW24" s="6">
        <f>(Grandview_Sales[[#This Row],[final_total]]-Grandview_Sales[[#This Row],[sale_price]])^2</f>
        <v>464408.37164495094</v>
      </c>
      <c r="BX24" s="6">
        <f>(Grandview_Sales[[#This Row],[final_total]]-AVERAGE(Grandview_Sales[sale_price]))^2</f>
        <v>6829476252.742569</v>
      </c>
      <c r="BY24" s="6">
        <f>Grandview_Sales[[#This Row],[SSE]]+Grandview_Sales[[#This Row],[SSR]]</f>
        <v>6829940661.1142139</v>
      </c>
      <c r="BZ24" s="4">
        <f>ABS(Grandview_Sales[[#This Row],[final_ratio]]-MEDIAN(Grandview_Sales[final_ratio]))</f>
        <v>4.2774977727911834E-3</v>
      </c>
    </row>
    <row r="25" spans="1:78" x14ac:dyDescent="0.25">
      <c r="A25">
        <v>23092722410</v>
      </c>
      <c r="B25">
        <v>0.61</v>
      </c>
      <c r="C25">
        <v>26405</v>
      </c>
      <c r="D25">
        <v>0</v>
      </c>
      <c r="E25" t="s">
        <v>53</v>
      </c>
      <c r="F25" t="s">
        <v>53</v>
      </c>
      <c r="G25">
        <v>4</v>
      </c>
      <c r="H25" t="s">
        <v>54</v>
      </c>
      <c r="I25">
        <v>122000</v>
      </c>
      <c r="J25">
        <v>47000</v>
      </c>
      <c r="K25">
        <v>0.61</v>
      </c>
      <c r="L25">
        <v>-0.49429632181499999</v>
      </c>
      <c r="M25">
        <v>0</v>
      </c>
      <c r="N25">
        <v>0</v>
      </c>
      <c r="O25">
        <v>0</v>
      </c>
      <c r="P25">
        <v>13398.7528</v>
      </c>
      <c r="Q25">
        <v>63902.980100000001</v>
      </c>
      <c r="R25">
        <v>57280.025874054998</v>
      </c>
      <c r="S25" t="s">
        <v>68</v>
      </c>
      <c r="T25">
        <v>1</v>
      </c>
      <c r="U25" t="s">
        <v>80</v>
      </c>
      <c r="V25" t="s">
        <v>69</v>
      </c>
      <c r="W25">
        <v>0</v>
      </c>
      <c r="X25">
        <v>0</v>
      </c>
      <c r="Y25">
        <v>57</v>
      </c>
      <c r="Z25">
        <v>103</v>
      </c>
      <c r="AA25">
        <v>100</v>
      </c>
      <c r="AB25">
        <v>1000</v>
      </c>
      <c r="AC25">
        <v>927</v>
      </c>
      <c r="AD25">
        <v>927</v>
      </c>
      <c r="AE25">
        <v>0</v>
      </c>
      <c r="AF25">
        <v>0</v>
      </c>
      <c r="AG25">
        <v>463</v>
      </c>
      <c r="AH25">
        <v>0</v>
      </c>
      <c r="AI25">
        <v>0</v>
      </c>
      <c r="AJ25">
        <v>272</v>
      </c>
      <c r="AK25">
        <v>0</v>
      </c>
      <c r="AL25">
        <v>5</v>
      </c>
      <c r="AM25">
        <v>1</v>
      </c>
      <c r="AN25">
        <v>0</v>
      </c>
      <c r="AO25" t="s">
        <v>58</v>
      </c>
      <c r="AP25">
        <v>1</v>
      </c>
      <c r="AQ25" t="s">
        <v>75</v>
      </c>
      <c r="AR25" t="s">
        <v>60</v>
      </c>
      <c r="AS25">
        <v>0</v>
      </c>
      <c r="AT25">
        <v>1</v>
      </c>
      <c r="AU25">
        <v>0</v>
      </c>
      <c r="AV25">
        <v>11700</v>
      </c>
      <c r="AW25">
        <v>100</v>
      </c>
      <c r="AX25" s="1">
        <v>44061</v>
      </c>
      <c r="AY25">
        <v>26900</v>
      </c>
      <c r="AZ25">
        <v>102052</v>
      </c>
      <c r="BA25">
        <v>129000</v>
      </c>
      <c r="BB25">
        <v>200000</v>
      </c>
      <c r="BC25">
        <v>866</v>
      </c>
      <c r="BD25">
        <f>Grandview_Sales[[#This Row],[land_extract]]*Lookups!$B$3</f>
        <v>66519.139391470206</v>
      </c>
      <c r="BE25">
        <f>Lookups!$B$2</f>
        <v>155833.95000000001</v>
      </c>
      <c r="BF25">
        <f>VLOOKUP(Grandview_Sales[[#This Row],[quality]],Lookups!$H$2:$J$13,3,FALSE)</f>
        <v>-28558</v>
      </c>
      <c r="BG25">
        <f>VLOOKUP(Grandview_Sales[[#This Row],[condition]],Lookups!$H$17:$J$24,3,FALSE)</f>
        <v>-4503</v>
      </c>
      <c r="BH25">
        <f>Grandview_Sales[[#This Row],[Eff_Age]]*Lookups!$B$14</f>
        <v>-13632.4962</v>
      </c>
      <c r="BI25">
        <f>Grandview_Sales[[#This Row],[living_area]]*Lookups!$B$15</f>
        <v>57827.050731000003</v>
      </c>
      <c r="BJ25">
        <f>Grandview_Sales[[#This Row],[Fin BSMT]]*Lookups!$B$16</f>
        <v>0</v>
      </c>
      <c r="BK25">
        <f>Grandview_Sales[[#This Row],[garage_sqft]]*Lookups!$B$17</f>
        <v>0</v>
      </c>
      <c r="BL25">
        <f>Grandview_Sales[[#This Row],[Plumbing Fixtures]]*Lookups!$B$18</f>
        <v>10052.209000000001</v>
      </c>
      <c r="BM25">
        <f>Grandview_Sales[[#This Row],[detatched_value]]*Lookups!$B$19</f>
        <v>9907.61967</v>
      </c>
      <c r="BN25">
        <f>Grandview_Sales[[#This Row],[days_prior]]*Lookups!$B$20</f>
        <v>-103875.48759999999</v>
      </c>
      <c r="BO25">
        <f>SUM(Grandview_Sales[[#This Row],[land_value]:[Days Prior To Assessment_value]])</f>
        <v>149570.98499247024</v>
      </c>
      <c r="BP25">
        <f>Grandview_Sales[[#This Row],[predicted_total]]/Grandview_Sales[[#This Row],[sale_price]]</f>
        <v>0.74785492496235118</v>
      </c>
      <c r="BQ25">
        <f>VLOOKUP(Grandview_Sales[[#This Row],[quality]],Lookups!$A$26:$C$33,3,FALSE)</f>
        <v>0.9690360070159818</v>
      </c>
      <c r="BR25">
        <f>VLOOKUP(Grandview_Sales[[#This Row],[condition]],Lookups!$A$37:$C$44,3,FALSE)</f>
        <v>0.96469275950863709</v>
      </c>
      <c r="BS25">
        <f>VLOOKUP(Grandview_Sales[[#This Row],[decade]],Lookups!$F$29:$H$43,3,FALSE)</f>
        <v>0.95244691841736806</v>
      </c>
      <c r="BT25">
        <f>VLOOKUP(Grandview_Sales[[#This Row],[living_area_range]],Lookups!$F$47:$H$56,3,FALSE)</f>
        <v>0.94306777142782894</v>
      </c>
      <c r="BU25">
        <f>Grandview_Sales[[#This Row],[predicted_total]]*AVERAGE(Grandview_Sales[[#This Row],[qual_adj]:[size_adj]])</f>
        <v>143185.92888630115</v>
      </c>
      <c r="BV25">
        <f>Grandview_Sales[[#This Row],[final_total]]/Grandview_Sales[[#This Row],[sale_price]]</f>
        <v>0.71592964443150575</v>
      </c>
      <c r="BW25" s="6">
        <f>(Grandview_Sales[[#This Row],[final_total]]-Grandview_Sales[[#This Row],[sale_price]])^2</f>
        <v>3227838676.5124307</v>
      </c>
      <c r="BX25" s="6">
        <f>(Grandview_Sales[[#This Row],[final_total]]-AVERAGE(Grandview_Sales[sale_price]))^2</f>
        <v>26821674550.378304</v>
      </c>
      <c r="BY25" s="6">
        <f>Grandview_Sales[[#This Row],[SSE]]+Grandview_Sales[[#This Row],[SSR]]</f>
        <v>30049513226.890736</v>
      </c>
      <c r="BZ25" s="4">
        <f>ABS(Grandview_Sales[[#This Row],[final_ratio]]-MEDIAN(Grandview_Sales[final_ratio]))</f>
        <v>0.28531907492430619</v>
      </c>
    </row>
    <row r="26" spans="1:78" x14ac:dyDescent="0.25">
      <c r="A26">
        <v>23092332434</v>
      </c>
      <c r="B26">
        <v>0.26</v>
      </c>
      <c r="C26">
        <v>11307</v>
      </c>
      <c r="D26">
        <v>0</v>
      </c>
      <c r="E26" t="s">
        <v>53</v>
      </c>
      <c r="F26" t="s">
        <v>53</v>
      </c>
      <c r="G26">
        <v>4</v>
      </c>
      <c r="H26" t="s">
        <v>54</v>
      </c>
      <c r="I26">
        <v>149600</v>
      </c>
      <c r="J26">
        <v>40200</v>
      </c>
      <c r="K26">
        <v>0.26</v>
      </c>
      <c r="L26">
        <v>-1.347073647967</v>
      </c>
      <c r="M26">
        <v>0</v>
      </c>
      <c r="N26">
        <v>0</v>
      </c>
      <c r="O26">
        <v>0</v>
      </c>
      <c r="P26">
        <v>13398.7528</v>
      </c>
      <c r="Q26">
        <v>63902.980100000001</v>
      </c>
      <c r="R26">
        <v>45853.873287501003</v>
      </c>
      <c r="S26" t="s">
        <v>55</v>
      </c>
      <c r="T26">
        <v>2</v>
      </c>
      <c r="U26" t="s">
        <v>65</v>
      </c>
      <c r="V26" t="s">
        <v>69</v>
      </c>
      <c r="W26">
        <v>0</v>
      </c>
      <c r="X26">
        <v>0</v>
      </c>
      <c r="Y26">
        <v>50</v>
      </c>
      <c r="Z26">
        <v>75</v>
      </c>
      <c r="AA26">
        <v>80</v>
      </c>
      <c r="AB26">
        <v>1500</v>
      </c>
      <c r="AC26">
        <v>1216</v>
      </c>
      <c r="AD26">
        <v>808</v>
      </c>
      <c r="AE26">
        <v>408</v>
      </c>
      <c r="AF26">
        <v>0</v>
      </c>
      <c r="AG26">
        <v>808</v>
      </c>
      <c r="AH26">
        <v>0</v>
      </c>
      <c r="AI26">
        <v>0</v>
      </c>
      <c r="AJ26">
        <v>0</v>
      </c>
      <c r="AK26">
        <v>420</v>
      </c>
      <c r="AL26">
        <v>6</v>
      </c>
      <c r="AM26">
        <v>0</v>
      </c>
      <c r="AN26">
        <v>0</v>
      </c>
      <c r="AO26" t="s">
        <v>58</v>
      </c>
      <c r="AP26">
        <v>1</v>
      </c>
      <c r="AQ26" t="s">
        <v>59</v>
      </c>
      <c r="AR26" t="s">
        <v>64</v>
      </c>
      <c r="AS26">
        <v>1</v>
      </c>
      <c r="AT26">
        <v>4</v>
      </c>
      <c r="AU26">
        <v>0</v>
      </c>
      <c r="AV26">
        <v>4700</v>
      </c>
      <c r="AW26">
        <v>100</v>
      </c>
      <c r="AX26" s="1">
        <v>44064</v>
      </c>
      <c r="AY26">
        <v>23000</v>
      </c>
      <c r="AZ26">
        <v>146750</v>
      </c>
      <c r="BA26">
        <v>169800</v>
      </c>
      <c r="BB26">
        <v>199000</v>
      </c>
      <c r="BC26">
        <v>863</v>
      </c>
      <c r="BD26">
        <f>Grandview_Sales[[#This Row],[land_extract]]*Lookups!$B$3</f>
        <v>53249.979243317037</v>
      </c>
      <c r="BE26">
        <f>Lookups!$B$2</f>
        <v>155833.95000000001</v>
      </c>
      <c r="BF26">
        <f>VLOOKUP(Grandview_Sales[[#This Row],[quality]],Lookups!$H$2:$J$13,3,FALSE)</f>
        <v>2251</v>
      </c>
      <c r="BG26">
        <f>VLOOKUP(Grandview_Sales[[#This Row],[condition]],Lookups!$H$17:$J$24,3,FALSE)</f>
        <v>-4503</v>
      </c>
      <c r="BH26">
        <f>Grandview_Sales[[#This Row],[Eff_Age]]*Lookups!$B$14</f>
        <v>-11958.33</v>
      </c>
      <c r="BI26">
        <f>Grandview_Sales[[#This Row],[living_area]]*Lookups!$B$15</f>
        <v>75855.117247999995</v>
      </c>
      <c r="BJ26">
        <f>Grandview_Sales[[#This Row],[Fin BSMT]]*Lookups!$B$16</f>
        <v>0</v>
      </c>
      <c r="BK26">
        <f>Grandview_Sales[[#This Row],[garage_sqft]]*Lookups!$B$17</f>
        <v>0</v>
      </c>
      <c r="BL26">
        <f>Grandview_Sales[[#This Row],[Plumbing Fixtures]]*Lookups!$B$18</f>
        <v>12062.650799999999</v>
      </c>
      <c r="BM26">
        <f>Grandview_Sales[[#This Row],[detatched_value]]*Lookups!$B$19</f>
        <v>3979.9839699999998</v>
      </c>
      <c r="BN26">
        <f>Grandview_Sales[[#This Row],[days_prior]]*Lookups!$B$20</f>
        <v>-103515.6418</v>
      </c>
      <c r="BO26">
        <f>SUM(Grandview_Sales[[#This Row],[land_value]:[Days Prior To Assessment_value]])</f>
        <v>183255.70946131705</v>
      </c>
      <c r="BP26">
        <f>Grandview_Sales[[#This Row],[predicted_total]]/Grandview_Sales[[#This Row],[sale_price]]</f>
        <v>0.92088296211717113</v>
      </c>
      <c r="BQ26">
        <f>VLOOKUP(Grandview_Sales[[#This Row],[quality]],Lookups!$A$26:$C$33,3,FALSE)</f>
        <v>0.98763855981004833</v>
      </c>
      <c r="BR26">
        <f>VLOOKUP(Grandview_Sales[[#This Row],[condition]],Lookups!$A$37:$C$44,3,FALSE)</f>
        <v>0.96469275950863709</v>
      </c>
      <c r="BS26">
        <f>VLOOKUP(Grandview_Sales[[#This Row],[decade]],Lookups!$F$29:$H$43,3,FALSE)</f>
        <v>0.98763256963907298</v>
      </c>
      <c r="BT26">
        <f>VLOOKUP(Grandview_Sales[[#This Row],[living_area_range]],Lookups!$F$47:$H$56,3,FALSE)</f>
        <v>0.96135087979789358</v>
      </c>
      <c r="BU26">
        <f>Grandview_Sales[[#This Row],[predicted_total]]*AVERAGE(Grandview_Sales[[#This Row],[qual_adj]:[size_adj]])</f>
        <v>178734.55144505776</v>
      </c>
      <c r="BV26">
        <f>Grandview_Sales[[#This Row],[final_total]]/Grandview_Sales[[#This Row],[sale_price]]</f>
        <v>0.89816357510079281</v>
      </c>
      <c r="BW26" s="6">
        <f>(Grandview_Sales[[#This Row],[final_total]]-Grandview_Sales[[#This Row],[sale_price]])^2</f>
        <v>410688405.13301045</v>
      </c>
      <c r="BX26" s="6">
        <f>(Grandview_Sales[[#This Row],[final_total]]-AVERAGE(Grandview_Sales[sale_price]))^2</f>
        <v>16441552839.178383</v>
      </c>
      <c r="BY26" s="6">
        <f>Grandview_Sales[[#This Row],[SSE]]+Grandview_Sales[[#This Row],[SSR]]</f>
        <v>16852241244.311394</v>
      </c>
      <c r="BZ26" s="4">
        <f>ABS(Grandview_Sales[[#This Row],[final_ratio]]-MEDIAN(Grandview_Sales[final_ratio]))</f>
        <v>0.10308514425501913</v>
      </c>
    </row>
    <row r="27" spans="1:78" x14ac:dyDescent="0.25">
      <c r="A27">
        <v>23091443464</v>
      </c>
      <c r="B27">
        <v>0.21</v>
      </c>
      <c r="C27">
        <v>9292</v>
      </c>
      <c r="D27">
        <v>0</v>
      </c>
      <c r="E27" t="s">
        <v>53</v>
      </c>
      <c r="F27" t="s">
        <v>53</v>
      </c>
      <c r="G27">
        <v>4</v>
      </c>
      <c r="H27" t="s">
        <v>54</v>
      </c>
      <c r="I27">
        <v>173800</v>
      </c>
      <c r="J27">
        <v>43800</v>
      </c>
      <c r="K27">
        <v>0.21</v>
      </c>
      <c r="L27">
        <v>-1.5606477482650001</v>
      </c>
      <c r="M27">
        <v>0</v>
      </c>
      <c r="N27">
        <v>0</v>
      </c>
      <c r="O27">
        <v>0</v>
      </c>
      <c r="P27">
        <v>13398.7528</v>
      </c>
      <c r="Q27">
        <v>63902.980100000001</v>
      </c>
      <c r="R27">
        <v>42992.246713125001</v>
      </c>
      <c r="S27" t="s">
        <v>61</v>
      </c>
      <c r="T27">
        <v>1</v>
      </c>
      <c r="U27" t="s">
        <v>65</v>
      </c>
      <c r="V27" t="s">
        <v>69</v>
      </c>
      <c r="W27">
        <v>0</v>
      </c>
      <c r="X27">
        <v>0</v>
      </c>
      <c r="Y27">
        <v>43</v>
      </c>
      <c r="Z27">
        <v>45</v>
      </c>
      <c r="AA27">
        <v>50</v>
      </c>
      <c r="AB27">
        <v>1500</v>
      </c>
      <c r="AC27">
        <v>1424</v>
      </c>
      <c r="AD27">
        <v>1424</v>
      </c>
      <c r="AE27">
        <v>0</v>
      </c>
      <c r="AF27">
        <v>0</v>
      </c>
      <c r="AG27">
        <v>0</v>
      </c>
      <c r="AH27">
        <v>320</v>
      </c>
      <c r="AI27">
        <v>0</v>
      </c>
      <c r="AJ27">
        <v>720</v>
      </c>
      <c r="AK27">
        <v>0</v>
      </c>
      <c r="AL27">
        <v>8</v>
      </c>
      <c r="AM27">
        <v>0</v>
      </c>
      <c r="AN27">
        <v>0</v>
      </c>
      <c r="AO27" t="s">
        <v>58</v>
      </c>
      <c r="AP27">
        <v>1</v>
      </c>
      <c r="AQ27" t="s">
        <v>63</v>
      </c>
      <c r="AR27" t="s">
        <v>64</v>
      </c>
      <c r="AS27">
        <v>1</v>
      </c>
      <c r="AT27">
        <v>3</v>
      </c>
      <c r="AU27">
        <v>0</v>
      </c>
      <c r="AV27">
        <v>0</v>
      </c>
      <c r="AW27">
        <v>100</v>
      </c>
      <c r="AX27" s="1">
        <v>44069</v>
      </c>
      <c r="AY27">
        <v>25100</v>
      </c>
      <c r="AZ27">
        <v>190045</v>
      </c>
      <c r="BA27">
        <v>215100</v>
      </c>
      <c r="BB27">
        <v>250000</v>
      </c>
      <c r="BC27">
        <v>858</v>
      </c>
      <c r="BD27">
        <f>Grandview_Sales[[#This Row],[land_extract]]*Lookups!$B$3</f>
        <v>49926.780028885936</v>
      </c>
      <c r="BE27">
        <f>Lookups!$B$2</f>
        <v>155833.95000000001</v>
      </c>
      <c r="BF27">
        <f>VLOOKUP(Grandview_Sales[[#This Row],[quality]],Lookups!$H$2:$J$13,3,FALSE)</f>
        <v>2251</v>
      </c>
      <c r="BG27">
        <f>VLOOKUP(Grandview_Sales[[#This Row],[condition]],Lookups!$H$17:$J$24,3,FALSE)</f>
        <v>-4503</v>
      </c>
      <c r="BH27">
        <f>Grandview_Sales[[#This Row],[Eff_Age]]*Lookups!$B$14</f>
        <v>-10284.1638</v>
      </c>
      <c r="BI27">
        <f>Grandview_Sales[[#This Row],[living_area]]*Lookups!$B$15</f>
        <v>88830.334671999997</v>
      </c>
      <c r="BJ27">
        <f>Grandview_Sales[[#This Row],[Fin BSMT]]*Lookups!$B$16</f>
        <v>0</v>
      </c>
      <c r="BK27">
        <f>Grandview_Sales[[#This Row],[garage_sqft]]*Lookups!$B$17</f>
        <v>28006.539840000001</v>
      </c>
      <c r="BL27">
        <f>Grandview_Sales[[#This Row],[Plumbing Fixtures]]*Lookups!$B$18</f>
        <v>16083.5344</v>
      </c>
      <c r="BM27">
        <f>Grandview_Sales[[#This Row],[detatched_value]]*Lookups!$B$19</f>
        <v>0</v>
      </c>
      <c r="BN27">
        <f>Grandview_Sales[[#This Row],[days_prior]]*Lookups!$B$20</f>
        <v>-102915.8988</v>
      </c>
      <c r="BO27">
        <f>SUM(Grandview_Sales[[#This Row],[land_value]:[Days Prior To Assessment_value]])</f>
        <v>223229.07634088592</v>
      </c>
      <c r="BP27">
        <f>Grandview_Sales[[#This Row],[predicted_total]]/Grandview_Sales[[#This Row],[sale_price]]</f>
        <v>0.89291630536354372</v>
      </c>
      <c r="BQ27">
        <f>VLOOKUP(Grandview_Sales[[#This Row],[quality]],Lookups!$A$26:$C$33,3,FALSE)</f>
        <v>0.98763855981004833</v>
      </c>
      <c r="BR27">
        <f>VLOOKUP(Grandview_Sales[[#This Row],[condition]],Lookups!$A$37:$C$44,3,FALSE)</f>
        <v>0.96469275950863709</v>
      </c>
      <c r="BS27">
        <f>VLOOKUP(Grandview_Sales[[#This Row],[decade]],Lookups!$F$29:$H$43,3,FALSE)</f>
        <v>0.9871940091910919</v>
      </c>
      <c r="BT27">
        <f>VLOOKUP(Grandview_Sales[[#This Row],[living_area_range]],Lookups!$F$47:$H$56,3,FALSE)</f>
        <v>0.96135087979789358</v>
      </c>
      <c r="BU27">
        <f>Grandview_Sales[[#This Row],[predicted_total]]*AVERAGE(Grandview_Sales[[#This Row],[qual_adj]:[size_adj]])</f>
        <v>217697.24822516466</v>
      </c>
      <c r="BV27">
        <f>Grandview_Sales[[#This Row],[final_total]]/Grandview_Sales[[#This Row],[sale_price]]</f>
        <v>0.87078899290065859</v>
      </c>
      <c r="BW27" s="6">
        <f>(Grandview_Sales[[#This Row],[final_total]]-Grandview_Sales[[#This Row],[sale_price]])^2</f>
        <v>1043467772.2266278</v>
      </c>
      <c r="BX27" s="6">
        <f>(Grandview_Sales[[#This Row],[final_total]]-AVERAGE(Grandview_Sales[sale_price]))^2</f>
        <v>7967690703.7318001</v>
      </c>
      <c r="BY27" s="6">
        <f>Grandview_Sales[[#This Row],[SSE]]+Grandview_Sales[[#This Row],[SSR]]</f>
        <v>9011158475.9584274</v>
      </c>
      <c r="BZ27" s="4">
        <f>ABS(Grandview_Sales[[#This Row],[final_ratio]]-MEDIAN(Grandview_Sales[final_ratio]))</f>
        <v>0.13045972645515336</v>
      </c>
    </row>
    <row r="28" spans="1:78" x14ac:dyDescent="0.25">
      <c r="A28">
        <v>23092423536</v>
      </c>
      <c r="B28">
        <v>0</v>
      </c>
      <c r="C28">
        <v>9989</v>
      </c>
      <c r="D28">
        <v>0</v>
      </c>
      <c r="E28" t="s">
        <v>53</v>
      </c>
      <c r="F28" t="s">
        <v>53</v>
      </c>
      <c r="G28">
        <v>4</v>
      </c>
      <c r="H28" t="s">
        <v>54</v>
      </c>
      <c r="I28">
        <v>239300</v>
      </c>
      <c r="J28">
        <v>39500</v>
      </c>
      <c r="K28">
        <v>0.23</v>
      </c>
      <c r="L28">
        <v>-1.4696759700590001</v>
      </c>
      <c r="M28">
        <v>0</v>
      </c>
      <c r="N28">
        <v>0</v>
      </c>
      <c r="O28">
        <v>0</v>
      </c>
      <c r="P28">
        <v>13398.7528</v>
      </c>
      <c r="Q28">
        <v>63902.980100000001</v>
      </c>
      <c r="R28">
        <v>44211.155081080004</v>
      </c>
      <c r="S28" t="s">
        <v>61</v>
      </c>
      <c r="T28">
        <v>1</v>
      </c>
      <c r="U28" t="s">
        <v>62</v>
      </c>
      <c r="V28" t="s">
        <v>57</v>
      </c>
      <c r="W28">
        <v>0</v>
      </c>
      <c r="X28">
        <v>0</v>
      </c>
      <c r="Y28">
        <v>3</v>
      </c>
      <c r="Z28">
        <v>3</v>
      </c>
      <c r="AA28">
        <v>0</v>
      </c>
      <c r="AB28">
        <v>1500</v>
      </c>
      <c r="AC28">
        <v>1300</v>
      </c>
      <c r="AD28">
        <v>1300</v>
      </c>
      <c r="AE28">
        <v>0</v>
      </c>
      <c r="AF28">
        <v>0</v>
      </c>
      <c r="AG28">
        <v>0</v>
      </c>
      <c r="AH28">
        <v>400</v>
      </c>
      <c r="AI28">
        <v>0</v>
      </c>
      <c r="AJ28">
        <v>0</v>
      </c>
      <c r="AK28">
        <v>0</v>
      </c>
      <c r="AL28">
        <v>8</v>
      </c>
      <c r="AM28">
        <v>0</v>
      </c>
      <c r="AN28">
        <v>0</v>
      </c>
      <c r="AO28" t="s">
        <v>58</v>
      </c>
      <c r="AP28">
        <v>1</v>
      </c>
      <c r="AQ28" t="s">
        <v>59</v>
      </c>
      <c r="AR28" t="s">
        <v>60</v>
      </c>
      <c r="AS28">
        <v>1</v>
      </c>
      <c r="AT28">
        <v>3</v>
      </c>
      <c r="AU28">
        <v>0</v>
      </c>
      <c r="AV28">
        <v>0</v>
      </c>
      <c r="AW28">
        <v>100</v>
      </c>
      <c r="AX28" s="1">
        <v>44070</v>
      </c>
      <c r="AY28">
        <v>22600</v>
      </c>
      <c r="AZ28">
        <v>234130</v>
      </c>
      <c r="BA28">
        <v>256700</v>
      </c>
      <c r="BB28">
        <v>255000</v>
      </c>
      <c r="BC28">
        <v>857</v>
      </c>
      <c r="BD28">
        <f>Grandview_Sales[[#This Row],[land_extract]]*Lookups!$B$3</f>
        <v>51342.29502553949</v>
      </c>
      <c r="BE28">
        <f>Lookups!$B$2</f>
        <v>155833.95000000001</v>
      </c>
      <c r="BF28">
        <f>VLOOKUP(Grandview_Sales[[#This Row],[quality]],Lookups!$H$2:$J$13,3,FALSE)</f>
        <v>9808</v>
      </c>
      <c r="BG28">
        <f>VLOOKUP(Grandview_Sales[[#This Row],[condition]],Lookups!$H$17:$J$24,3,FALSE)</f>
        <v>25780</v>
      </c>
      <c r="BH28">
        <f>Grandview_Sales[[#This Row],[Eff_Age]]*Lookups!$B$14</f>
        <v>-717.49979999999994</v>
      </c>
      <c r="BI28">
        <f>Grandview_Sales[[#This Row],[living_area]]*Lookups!$B$15</f>
        <v>81095.108900000007</v>
      </c>
      <c r="BJ28">
        <f>Grandview_Sales[[#This Row],[Fin BSMT]]*Lookups!$B$16</f>
        <v>0</v>
      </c>
      <c r="BK28">
        <f>Grandview_Sales[[#This Row],[garage_sqft]]*Lookups!$B$17</f>
        <v>35008.174800000001</v>
      </c>
      <c r="BL28">
        <f>Grandview_Sales[[#This Row],[Plumbing Fixtures]]*Lookups!$B$18</f>
        <v>16083.5344</v>
      </c>
      <c r="BM28">
        <f>Grandview_Sales[[#This Row],[detatched_value]]*Lookups!$B$19</f>
        <v>0</v>
      </c>
      <c r="BN28">
        <f>Grandview_Sales[[#This Row],[days_prior]]*Lookups!$B$20</f>
        <v>-102795.95019999999</v>
      </c>
      <c r="BO28">
        <f>SUM(Grandview_Sales[[#This Row],[land_value]:[Days Prior To Assessment_value]])</f>
        <v>271437.6131255395</v>
      </c>
      <c r="BP28">
        <f>Grandview_Sales[[#This Row],[predicted_total]]/Grandview_Sales[[#This Row],[sale_price]]</f>
        <v>1.0644612279432921</v>
      </c>
      <c r="BQ28">
        <f>VLOOKUP(Grandview_Sales[[#This Row],[quality]],Lookups!$A$26:$C$33,3,FALSE)</f>
        <v>0.94295468617355149</v>
      </c>
      <c r="BR28">
        <f>VLOOKUP(Grandview_Sales[[#This Row],[condition]],Lookups!$A$37:$C$44,3,FALSE)</f>
        <v>0.94347925387812148</v>
      </c>
      <c r="BS28">
        <f>VLOOKUP(Grandview_Sales[[#This Row],[decade]],Lookups!$F$29:$H$43,3,FALSE)</f>
        <v>0.9413635517371044</v>
      </c>
      <c r="BT28">
        <f>VLOOKUP(Grandview_Sales[[#This Row],[living_area_range]],Lookups!$F$47:$H$56,3,FALSE)</f>
        <v>0.96135087979789358</v>
      </c>
      <c r="BU28">
        <f>Grandview_Sales[[#This Row],[predicted_total]]*AVERAGE(Grandview_Sales[[#This Row],[qual_adj]:[size_adj]])</f>
        <v>257129.34744050269</v>
      </c>
      <c r="BV28">
        <f>Grandview_Sales[[#This Row],[final_total]]/Grandview_Sales[[#This Row],[sale_price]]</f>
        <v>1.0083503821196185</v>
      </c>
      <c r="BW28" s="6">
        <f>(Grandview_Sales[[#This Row],[final_total]]-Grandview_Sales[[#This Row],[sale_price]])^2</f>
        <v>4534120.5223753722</v>
      </c>
      <c r="BX28" s="6">
        <f>(Grandview_Sales[[#This Row],[final_total]]-AVERAGE(Grandview_Sales[sale_price]))^2</f>
        <v>2483011230.1526027</v>
      </c>
      <c r="BY28" s="6">
        <f>Grandview_Sales[[#This Row],[SSE]]+Grandview_Sales[[#This Row],[SSR]]</f>
        <v>2487545350.6749783</v>
      </c>
      <c r="BZ28" s="4">
        <f>ABS(Grandview_Sales[[#This Row],[final_ratio]]-MEDIAN(Grandview_Sales[final_ratio]))</f>
        <v>7.1016627638065266E-3</v>
      </c>
    </row>
    <row r="29" spans="1:78" x14ac:dyDescent="0.25">
      <c r="A29">
        <v>23092244403</v>
      </c>
      <c r="B29">
        <v>0.25</v>
      </c>
      <c r="C29">
        <v>10861</v>
      </c>
      <c r="D29">
        <v>0</v>
      </c>
      <c r="E29" t="s">
        <v>53</v>
      </c>
      <c r="F29" t="s">
        <v>53</v>
      </c>
      <c r="G29">
        <v>4</v>
      </c>
      <c r="H29" t="s">
        <v>54</v>
      </c>
      <c r="I29">
        <v>221300</v>
      </c>
      <c r="J29">
        <v>44900</v>
      </c>
      <c r="K29">
        <v>0.25</v>
      </c>
      <c r="L29">
        <v>-1.38629436112</v>
      </c>
      <c r="M29">
        <v>0</v>
      </c>
      <c r="N29">
        <v>0</v>
      </c>
      <c r="O29">
        <v>0</v>
      </c>
      <c r="P29">
        <v>13398.7528</v>
      </c>
      <c r="Q29">
        <v>63902.980100000001</v>
      </c>
      <c r="R29">
        <v>45328.364647321003</v>
      </c>
      <c r="S29" t="s">
        <v>61</v>
      </c>
      <c r="T29">
        <v>1</v>
      </c>
      <c r="U29" t="s">
        <v>65</v>
      </c>
      <c r="V29" t="s">
        <v>69</v>
      </c>
      <c r="W29">
        <v>0</v>
      </c>
      <c r="X29">
        <v>0</v>
      </c>
      <c r="Y29">
        <v>48</v>
      </c>
      <c r="Z29">
        <v>63</v>
      </c>
      <c r="AA29">
        <v>60</v>
      </c>
      <c r="AB29">
        <v>3000</v>
      </c>
      <c r="AC29">
        <v>2640</v>
      </c>
      <c r="AD29">
        <v>1320</v>
      </c>
      <c r="AE29">
        <v>0</v>
      </c>
      <c r="AF29">
        <v>1320</v>
      </c>
      <c r="AG29">
        <v>0</v>
      </c>
      <c r="AH29">
        <v>0</v>
      </c>
      <c r="AI29">
        <v>0</v>
      </c>
      <c r="AJ29">
        <v>0</v>
      </c>
      <c r="AK29">
        <v>131</v>
      </c>
      <c r="AL29">
        <v>9</v>
      </c>
      <c r="AM29">
        <v>0</v>
      </c>
      <c r="AN29">
        <v>0</v>
      </c>
      <c r="AO29" t="s">
        <v>73</v>
      </c>
      <c r="AP29">
        <v>1</v>
      </c>
      <c r="AQ29" t="s">
        <v>63</v>
      </c>
      <c r="AR29" t="s">
        <v>64</v>
      </c>
      <c r="AS29">
        <v>0</v>
      </c>
      <c r="AT29">
        <v>4</v>
      </c>
      <c r="AU29">
        <v>0</v>
      </c>
      <c r="AV29">
        <v>10800</v>
      </c>
      <c r="AW29">
        <v>100</v>
      </c>
      <c r="AX29" s="1">
        <v>44083</v>
      </c>
      <c r="AY29">
        <v>25700</v>
      </c>
      <c r="AZ29">
        <v>234611</v>
      </c>
      <c r="BA29">
        <v>260300</v>
      </c>
      <c r="BB29">
        <v>275000</v>
      </c>
      <c r="BC29">
        <v>844</v>
      </c>
      <c r="BD29">
        <f>Grandview_Sales[[#This Row],[land_extract]]*Lookups!$B$3</f>
        <v>52639.70747834933</v>
      </c>
      <c r="BE29">
        <f>Lookups!$B$2</f>
        <v>155833.95000000001</v>
      </c>
      <c r="BF29">
        <f>VLOOKUP(Grandview_Sales[[#This Row],[quality]],Lookups!$H$2:$J$13,3,FALSE)</f>
        <v>2251</v>
      </c>
      <c r="BG29">
        <f>VLOOKUP(Grandview_Sales[[#This Row],[condition]],Lookups!$H$17:$J$24,3,FALSE)</f>
        <v>-4503</v>
      </c>
      <c r="BH29">
        <f>Grandview_Sales[[#This Row],[Eff_Age]]*Lookups!$B$14</f>
        <v>-11479.996799999999</v>
      </c>
      <c r="BI29">
        <f>Grandview_Sales[[#This Row],[living_area]]*Lookups!$B$15</f>
        <v>164685.45191999999</v>
      </c>
      <c r="BJ29">
        <f>Grandview_Sales[[#This Row],[Fin BSMT]]*Lookups!$B$16</f>
        <v>-35770.996800000001</v>
      </c>
      <c r="BK29">
        <f>Grandview_Sales[[#This Row],[garage_sqft]]*Lookups!$B$17</f>
        <v>0</v>
      </c>
      <c r="BL29">
        <f>Grandview_Sales[[#This Row],[Plumbing Fixtures]]*Lookups!$B$18</f>
        <v>18093.976200000001</v>
      </c>
      <c r="BM29">
        <f>Grandview_Sales[[#This Row],[detatched_value]]*Lookups!$B$19</f>
        <v>9145.4950800000006</v>
      </c>
      <c r="BN29">
        <f>Grandview_Sales[[#This Row],[days_prior]]*Lookups!$B$20</f>
        <v>-101236.61839999999</v>
      </c>
      <c r="BO29">
        <f>SUM(Grandview_Sales[[#This Row],[land_value]:[Days Prior To Assessment_value]])</f>
        <v>249658.96867834934</v>
      </c>
      <c r="BP29">
        <f>Grandview_Sales[[#This Row],[predicted_total]]/Grandview_Sales[[#This Row],[sale_price]]</f>
        <v>0.90785079519399758</v>
      </c>
      <c r="BQ29">
        <f>VLOOKUP(Grandview_Sales[[#This Row],[quality]],Lookups!$A$26:$C$33,3,FALSE)</f>
        <v>0.98763855981004833</v>
      </c>
      <c r="BR29">
        <f>VLOOKUP(Grandview_Sales[[#This Row],[condition]],Lookups!$A$37:$C$44,3,FALSE)</f>
        <v>0.96469275950863709</v>
      </c>
      <c r="BS29">
        <f>VLOOKUP(Grandview_Sales[[#This Row],[decade]],Lookups!$F$29:$H$43,3,FALSE)</f>
        <v>0.95268620544463312</v>
      </c>
      <c r="BT29">
        <f>VLOOKUP(Grandview_Sales[[#This Row],[living_area_range]],Lookups!$F$47:$H$56,3,FALSE)</f>
        <v>0.94224801443562123</v>
      </c>
      <c r="BU29">
        <f>Grandview_Sales[[#This Row],[predicted_total]]*AVERAGE(Grandview_Sales[[#This Row],[qual_adj]:[size_adj]])</f>
        <v>240126.08668704022</v>
      </c>
      <c r="BV29">
        <f>Grandview_Sales[[#This Row],[final_total]]/Grandview_Sales[[#This Row],[sale_price]]</f>
        <v>0.87318576977105533</v>
      </c>
      <c r="BW29" s="6">
        <f>(Grandview_Sales[[#This Row],[final_total]]-Grandview_Sales[[#This Row],[sale_price]])^2</f>
        <v>1216189829.7598331</v>
      </c>
      <c r="BX29" s="6">
        <f>(Grandview_Sales[[#This Row],[final_total]]-AVERAGE(Grandview_Sales[sale_price]))^2</f>
        <v>4466661043.6817665</v>
      </c>
      <c r="BY29" s="6">
        <f>Grandview_Sales[[#This Row],[SSE]]+Grandview_Sales[[#This Row],[SSR]]</f>
        <v>5682850873.4415998</v>
      </c>
      <c r="BZ29" s="4">
        <f>ABS(Grandview_Sales[[#This Row],[final_ratio]]-MEDIAN(Grandview_Sales[final_ratio]))</f>
        <v>0.12806294958475661</v>
      </c>
    </row>
    <row r="30" spans="1:78" x14ac:dyDescent="0.25">
      <c r="A30">
        <v>23092241447</v>
      </c>
      <c r="B30">
        <v>0.18</v>
      </c>
      <c r="C30">
        <v>8047</v>
      </c>
      <c r="D30">
        <v>0</v>
      </c>
      <c r="E30" t="s">
        <v>53</v>
      </c>
      <c r="F30" t="s">
        <v>53</v>
      </c>
      <c r="G30">
        <v>4</v>
      </c>
      <c r="H30" t="s">
        <v>54</v>
      </c>
      <c r="I30">
        <v>211800</v>
      </c>
      <c r="J30">
        <v>39000</v>
      </c>
      <c r="K30">
        <v>0.18</v>
      </c>
      <c r="L30">
        <v>-1.7147984280919999</v>
      </c>
      <c r="M30">
        <v>0</v>
      </c>
      <c r="N30">
        <v>0</v>
      </c>
      <c r="O30">
        <v>0</v>
      </c>
      <c r="P30">
        <v>13398.7528</v>
      </c>
      <c r="Q30">
        <v>63902.980100000001</v>
      </c>
      <c r="R30">
        <v>40926.819860167998</v>
      </c>
      <c r="S30" t="s">
        <v>68</v>
      </c>
      <c r="T30">
        <v>1</v>
      </c>
      <c r="U30" t="s">
        <v>65</v>
      </c>
      <c r="V30" t="s">
        <v>67</v>
      </c>
      <c r="W30">
        <v>0</v>
      </c>
      <c r="X30">
        <v>0</v>
      </c>
      <c r="Y30">
        <v>49</v>
      </c>
      <c r="Z30">
        <v>68</v>
      </c>
      <c r="AA30">
        <v>70</v>
      </c>
      <c r="AB30">
        <v>2000</v>
      </c>
      <c r="AC30">
        <v>1777</v>
      </c>
      <c r="AD30">
        <v>1183</v>
      </c>
      <c r="AE30">
        <v>0</v>
      </c>
      <c r="AF30">
        <v>594</v>
      </c>
      <c r="AG30">
        <v>589</v>
      </c>
      <c r="AH30">
        <v>392</v>
      </c>
      <c r="AI30">
        <v>0</v>
      </c>
      <c r="AJ30">
        <v>0</v>
      </c>
      <c r="AK30">
        <v>252</v>
      </c>
      <c r="AL30">
        <v>9</v>
      </c>
      <c r="AM30">
        <v>0</v>
      </c>
      <c r="AN30">
        <v>1</v>
      </c>
      <c r="AO30" t="s">
        <v>58</v>
      </c>
      <c r="AP30">
        <v>1</v>
      </c>
      <c r="AQ30" t="s">
        <v>59</v>
      </c>
      <c r="AR30" t="s">
        <v>60</v>
      </c>
      <c r="AS30">
        <v>1</v>
      </c>
      <c r="AT30">
        <v>3</v>
      </c>
      <c r="AU30">
        <v>0</v>
      </c>
      <c r="AV30">
        <v>0</v>
      </c>
      <c r="AW30">
        <v>100</v>
      </c>
      <c r="AX30" s="1">
        <v>44084</v>
      </c>
      <c r="AY30">
        <v>22300</v>
      </c>
      <c r="AZ30">
        <v>205368</v>
      </c>
      <c r="BA30">
        <v>227700</v>
      </c>
      <c r="BB30">
        <v>299900</v>
      </c>
      <c r="BC30">
        <v>843</v>
      </c>
      <c r="BD30">
        <f>Grandview_Sales[[#This Row],[land_extract]]*Lookups!$B$3</f>
        <v>47528.20540119947</v>
      </c>
      <c r="BE30">
        <f>Lookups!$B$2</f>
        <v>155833.95000000001</v>
      </c>
      <c r="BF30">
        <f>VLOOKUP(Grandview_Sales[[#This Row],[quality]],Lookups!$H$2:$J$13,3,FALSE)</f>
        <v>2251</v>
      </c>
      <c r="BG30">
        <f>VLOOKUP(Grandview_Sales[[#This Row],[condition]],Lookups!$H$17:$J$24,3,FALSE)</f>
        <v>22342</v>
      </c>
      <c r="BH30">
        <f>Grandview_Sales[[#This Row],[Eff_Age]]*Lookups!$B$14</f>
        <v>-11719.163399999999</v>
      </c>
      <c r="BI30">
        <f>Grandview_Sales[[#This Row],[living_area]]*Lookups!$B$15</f>
        <v>110850.775781</v>
      </c>
      <c r="BJ30">
        <f>Grandview_Sales[[#This Row],[Fin BSMT]]*Lookups!$B$16</f>
        <v>-16096.948560000001</v>
      </c>
      <c r="BK30">
        <f>Grandview_Sales[[#This Row],[garage_sqft]]*Lookups!$B$17</f>
        <v>34308.011304</v>
      </c>
      <c r="BL30">
        <f>Grandview_Sales[[#This Row],[Plumbing Fixtures]]*Lookups!$B$18</f>
        <v>18093.976200000001</v>
      </c>
      <c r="BM30">
        <f>Grandview_Sales[[#This Row],[detatched_value]]*Lookups!$B$19</f>
        <v>0</v>
      </c>
      <c r="BN30">
        <f>Grandview_Sales[[#This Row],[days_prior]]*Lookups!$B$20</f>
        <v>-101116.6698</v>
      </c>
      <c r="BO30">
        <f>SUM(Grandview_Sales[[#This Row],[land_value]:[Days Prior To Assessment_value]])</f>
        <v>262275.13692619943</v>
      </c>
      <c r="BP30">
        <f>Grandview_Sales[[#This Row],[predicted_total]]/Grandview_Sales[[#This Row],[sale_price]]</f>
        <v>0.87454197041080173</v>
      </c>
      <c r="BQ30">
        <f>VLOOKUP(Grandview_Sales[[#This Row],[quality]],Lookups!$A$26:$C$33,3,FALSE)</f>
        <v>0.98763855981004833</v>
      </c>
      <c r="BR30">
        <f>VLOOKUP(Grandview_Sales[[#This Row],[condition]],Lookups!$A$37:$C$44,3,FALSE)</f>
        <v>0.97383723671140243</v>
      </c>
      <c r="BS30">
        <f>VLOOKUP(Grandview_Sales[[#This Row],[decade]],Lookups!$F$29:$H$43,3,FALSE)</f>
        <v>0.99472141305414818</v>
      </c>
      <c r="BT30">
        <f>VLOOKUP(Grandview_Sales[[#This Row],[living_area_range]],Lookups!$F$47:$H$56,3,FALSE)</f>
        <v>0.96120133463014379</v>
      </c>
      <c r="BU30">
        <f>Grandview_Sales[[#This Row],[predicted_total]]*AVERAGE(Grandview_Sales[[#This Row],[qual_adj]:[size_adj]])</f>
        <v>256859.05989401389</v>
      </c>
      <c r="BV30">
        <f>Grandview_Sales[[#This Row],[final_total]]/Grandview_Sales[[#This Row],[sale_price]]</f>
        <v>0.8564823604335241</v>
      </c>
      <c r="BW30" s="6">
        <f>(Grandview_Sales[[#This Row],[final_total]]-Grandview_Sales[[#This Row],[sale_price]])^2</f>
        <v>1852522525.2070837</v>
      </c>
      <c r="BX30" s="6">
        <f>(Grandview_Sales[[#This Row],[final_total]]-AVERAGE(Grandview_Sales[sale_price]))^2</f>
        <v>2510021046.5486279</v>
      </c>
      <c r="BY30" s="6">
        <f>Grandview_Sales[[#This Row],[SSE]]+Grandview_Sales[[#This Row],[SSR]]</f>
        <v>4362543571.7557116</v>
      </c>
      <c r="BZ30" s="4">
        <f>ABS(Grandview_Sales[[#This Row],[final_ratio]]-MEDIAN(Grandview_Sales[final_ratio]))</f>
        <v>0.14476635892228784</v>
      </c>
    </row>
    <row r="31" spans="1:78" x14ac:dyDescent="0.25">
      <c r="A31">
        <v>23092231417</v>
      </c>
      <c r="B31">
        <v>0.17</v>
      </c>
      <c r="C31">
        <v>0</v>
      </c>
      <c r="D31">
        <v>0</v>
      </c>
      <c r="E31" t="s">
        <v>53</v>
      </c>
      <c r="F31" t="s">
        <v>53</v>
      </c>
      <c r="G31">
        <v>4</v>
      </c>
      <c r="H31" t="s">
        <v>54</v>
      </c>
      <c r="I31">
        <v>133600</v>
      </c>
      <c r="J31">
        <v>43000</v>
      </c>
      <c r="K31">
        <v>0.17</v>
      </c>
      <c r="L31">
        <v>-1.771956841932</v>
      </c>
      <c r="M31">
        <v>0</v>
      </c>
      <c r="N31">
        <v>0</v>
      </c>
      <c r="O31">
        <v>0</v>
      </c>
      <c r="P31">
        <v>13398.7528</v>
      </c>
      <c r="Q31">
        <v>63902.980100000001</v>
      </c>
      <c r="R31">
        <v>40160.968402685998</v>
      </c>
      <c r="S31" t="s">
        <v>68</v>
      </c>
      <c r="T31">
        <v>1</v>
      </c>
      <c r="U31" t="s">
        <v>70</v>
      </c>
      <c r="V31" t="s">
        <v>69</v>
      </c>
      <c r="W31">
        <v>0</v>
      </c>
      <c r="X31">
        <v>0</v>
      </c>
      <c r="Y31">
        <v>49</v>
      </c>
      <c r="Z31">
        <v>65</v>
      </c>
      <c r="AA31">
        <v>70</v>
      </c>
      <c r="AB31">
        <v>1500</v>
      </c>
      <c r="AC31">
        <v>1014</v>
      </c>
      <c r="AD31">
        <v>1014</v>
      </c>
      <c r="AE31">
        <v>0</v>
      </c>
      <c r="AF31">
        <v>0</v>
      </c>
      <c r="AG31">
        <v>0</v>
      </c>
      <c r="AH31">
        <v>0</v>
      </c>
      <c r="AI31">
        <v>364</v>
      </c>
      <c r="AJ31">
        <v>0</v>
      </c>
      <c r="AK31">
        <v>384</v>
      </c>
      <c r="AL31">
        <v>5</v>
      </c>
      <c r="AM31">
        <v>0</v>
      </c>
      <c r="AN31">
        <v>0</v>
      </c>
      <c r="AO31" t="s">
        <v>58</v>
      </c>
      <c r="AP31">
        <v>1</v>
      </c>
      <c r="AQ31" t="s">
        <v>63</v>
      </c>
      <c r="AR31" t="s">
        <v>60</v>
      </c>
      <c r="AS31">
        <v>0</v>
      </c>
      <c r="AT31">
        <v>3</v>
      </c>
      <c r="AU31">
        <v>0</v>
      </c>
      <c r="AV31">
        <v>0</v>
      </c>
      <c r="AW31">
        <v>100</v>
      </c>
      <c r="AX31" s="1">
        <v>44085</v>
      </c>
      <c r="AY31">
        <v>24600</v>
      </c>
      <c r="AZ31">
        <v>102760</v>
      </c>
      <c r="BA31">
        <v>127400</v>
      </c>
      <c r="BB31">
        <v>200000</v>
      </c>
      <c r="BC31">
        <v>842</v>
      </c>
      <c r="BD31">
        <f>Grandview_Sales[[#This Row],[land_extract]]*Lookups!$B$3</f>
        <v>46638.82417142456</v>
      </c>
      <c r="BE31">
        <f>Lookups!$B$2</f>
        <v>155833.95000000001</v>
      </c>
      <c r="BF31">
        <f>VLOOKUP(Grandview_Sales[[#This Row],[quality]],Lookups!$H$2:$J$13,3,FALSE)</f>
        <v>10733</v>
      </c>
      <c r="BG31">
        <f>VLOOKUP(Grandview_Sales[[#This Row],[condition]],Lookups!$H$17:$J$24,3,FALSE)</f>
        <v>-4503</v>
      </c>
      <c r="BH31">
        <f>Grandview_Sales[[#This Row],[Eff_Age]]*Lookups!$B$14</f>
        <v>-11719.163399999999</v>
      </c>
      <c r="BI31">
        <f>Grandview_Sales[[#This Row],[living_area]]*Lookups!$B$15</f>
        <v>63254.184942</v>
      </c>
      <c r="BJ31">
        <f>Grandview_Sales[[#This Row],[Fin BSMT]]*Lookups!$B$16</f>
        <v>0</v>
      </c>
      <c r="BK31">
        <f>Grandview_Sales[[#This Row],[garage_sqft]]*Lookups!$B$17</f>
        <v>0</v>
      </c>
      <c r="BL31">
        <f>Grandview_Sales[[#This Row],[Plumbing Fixtures]]*Lookups!$B$18</f>
        <v>10052.209000000001</v>
      </c>
      <c r="BM31">
        <f>Grandview_Sales[[#This Row],[detatched_value]]*Lookups!$B$19</f>
        <v>0</v>
      </c>
      <c r="BN31">
        <f>Grandview_Sales[[#This Row],[days_prior]]*Lookups!$B$20</f>
        <v>-100996.7212</v>
      </c>
      <c r="BO31">
        <f>SUM(Grandview_Sales[[#This Row],[land_value]:[Days Prior To Assessment_value]])</f>
        <v>169293.28351342454</v>
      </c>
      <c r="BP31">
        <f>Grandview_Sales[[#This Row],[predicted_total]]/Grandview_Sales[[#This Row],[sale_price]]</f>
        <v>0.84646641756712271</v>
      </c>
      <c r="BQ31">
        <f>VLOOKUP(Grandview_Sales[[#This Row],[quality]],Lookups!$A$26:$C$33,3,FALSE)</f>
        <v>0.98079741117310582</v>
      </c>
      <c r="BR31">
        <f>VLOOKUP(Grandview_Sales[[#This Row],[condition]],Lookups!$A$37:$C$44,3,FALSE)</f>
        <v>0.96469275950863709</v>
      </c>
      <c r="BS31">
        <f>VLOOKUP(Grandview_Sales[[#This Row],[decade]],Lookups!$F$29:$H$43,3,FALSE)</f>
        <v>0.99472141305414818</v>
      </c>
      <c r="BT31">
        <f>VLOOKUP(Grandview_Sales[[#This Row],[living_area_range]],Lookups!$F$47:$H$56,3,FALSE)</f>
        <v>0.96135087979789358</v>
      </c>
      <c r="BU31">
        <f>Grandview_Sales[[#This Row],[predicted_total]]*AVERAGE(Grandview_Sales[[#This Row],[qual_adj]:[size_adj]])</f>
        <v>165127.08007109002</v>
      </c>
      <c r="BV31">
        <f>Grandview_Sales[[#This Row],[final_total]]/Grandview_Sales[[#This Row],[sale_price]]</f>
        <v>0.82563540035545013</v>
      </c>
      <c r="BW31" s="6">
        <f>(Grandview_Sales[[#This Row],[final_total]]-Grandview_Sales[[#This Row],[sale_price]])^2</f>
        <v>1216120544.3681667</v>
      </c>
      <c r="BX31" s="6">
        <f>(Grandview_Sales[[#This Row],[final_total]]-AVERAGE(Grandview_Sales[sale_price]))^2</f>
        <v>20116341773.000206</v>
      </c>
      <c r="BY31" s="6">
        <f>Grandview_Sales[[#This Row],[SSE]]+Grandview_Sales[[#This Row],[SSR]]</f>
        <v>21332462317.368374</v>
      </c>
      <c r="BZ31" s="4">
        <f>ABS(Grandview_Sales[[#This Row],[final_ratio]]-MEDIAN(Grandview_Sales[final_ratio]))</f>
        <v>0.17561331900036181</v>
      </c>
    </row>
    <row r="32" spans="1:78" x14ac:dyDescent="0.25">
      <c r="A32">
        <v>23091911407</v>
      </c>
      <c r="B32">
        <v>0.39</v>
      </c>
      <c r="C32">
        <v>16798</v>
      </c>
      <c r="D32">
        <v>0</v>
      </c>
      <c r="E32" t="s">
        <v>53</v>
      </c>
      <c r="F32" t="s">
        <v>53</v>
      </c>
      <c r="G32">
        <v>4</v>
      </c>
      <c r="H32" t="s">
        <v>54</v>
      </c>
      <c r="I32">
        <v>280600</v>
      </c>
      <c r="J32">
        <v>41200</v>
      </c>
      <c r="K32">
        <v>0.39</v>
      </c>
      <c r="L32">
        <v>-0.94160853985799997</v>
      </c>
      <c r="M32">
        <v>0</v>
      </c>
      <c r="N32">
        <v>0</v>
      </c>
      <c r="O32">
        <v>0</v>
      </c>
      <c r="P32">
        <v>13398.7528</v>
      </c>
      <c r="Q32">
        <v>63902.980100000001</v>
      </c>
      <c r="R32">
        <v>51286.600040067999</v>
      </c>
      <c r="S32" t="s">
        <v>61</v>
      </c>
      <c r="T32">
        <v>1</v>
      </c>
      <c r="U32" t="s">
        <v>64</v>
      </c>
      <c r="V32" t="s">
        <v>69</v>
      </c>
      <c r="W32">
        <v>0</v>
      </c>
      <c r="X32">
        <v>0</v>
      </c>
      <c r="Y32">
        <v>45</v>
      </c>
      <c r="Z32">
        <v>51</v>
      </c>
      <c r="AA32">
        <v>50</v>
      </c>
      <c r="AB32">
        <v>2000</v>
      </c>
      <c r="AC32">
        <v>1704</v>
      </c>
      <c r="AD32">
        <v>1704</v>
      </c>
      <c r="AE32">
        <v>0</v>
      </c>
      <c r="AF32">
        <v>0</v>
      </c>
      <c r="AG32">
        <v>180</v>
      </c>
      <c r="AH32">
        <v>504</v>
      </c>
      <c r="AI32">
        <v>0</v>
      </c>
      <c r="AJ32">
        <v>0</v>
      </c>
      <c r="AK32">
        <v>0</v>
      </c>
      <c r="AL32">
        <v>10</v>
      </c>
      <c r="AM32">
        <v>0</v>
      </c>
      <c r="AN32">
        <v>1</v>
      </c>
      <c r="AO32" t="s">
        <v>73</v>
      </c>
      <c r="AP32">
        <v>1</v>
      </c>
      <c r="AQ32" t="s">
        <v>63</v>
      </c>
      <c r="AR32" t="s">
        <v>60</v>
      </c>
      <c r="AS32">
        <v>1</v>
      </c>
      <c r="AT32">
        <v>3</v>
      </c>
      <c r="AU32">
        <v>0</v>
      </c>
      <c r="AV32">
        <v>0</v>
      </c>
      <c r="AW32">
        <v>100</v>
      </c>
      <c r="AX32" s="1">
        <v>44089</v>
      </c>
      <c r="AY32">
        <v>23600</v>
      </c>
      <c r="AZ32">
        <v>295902</v>
      </c>
      <c r="BA32">
        <v>319500</v>
      </c>
      <c r="BB32">
        <v>275000</v>
      </c>
      <c r="BC32">
        <v>838</v>
      </c>
      <c r="BD32">
        <f>Grandview_Sales[[#This Row],[land_extract]]*Lookups!$B$3</f>
        <v>59558.99015271086</v>
      </c>
      <c r="BE32">
        <f>Lookups!$B$2</f>
        <v>155833.95000000001</v>
      </c>
      <c r="BF32">
        <f>VLOOKUP(Grandview_Sales[[#This Row],[quality]],Lookups!$H$2:$J$13,3,FALSE)</f>
        <v>20768</v>
      </c>
      <c r="BG32">
        <f>VLOOKUP(Grandview_Sales[[#This Row],[condition]],Lookups!$H$17:$J$24,3,FALSE)</f>
        <v>-4503</v>
      </c>
      <c r="BH32">
        <f>Grandview_Sales[[#This Row],[Eff_Age]]*Lookups!$B$14</f>
        <v>-10762.496999999999</v>
      </c>
      <c r="BI32">
        <f>Grandview_Sales[[#This Row],[living_area]]*Lookups!$B$15</f>
        <v>106296.973512</v>
      </c>
      <c r="BJ32">
        <f>Grandview_Sales[[#This Row],[Fin BSMT]]*Lookups!$B$16</f>
        <v>0</v>
      </c>
      <c r="BK32">
        <f>Grandview_Sales[[#This Row],[garage_sqft]]*Lookups!$B$17</f>
        <v>44110.300248</v>
      </c>
      <c r="BL32">
        <f>Grandview_Sales[[#This Row],[Plumbing Fixtures]]*Lookups!$B$18</f>
        <v>20104.418000000001</v>
      </c>
      <c r="BM32">
        <f>Grandview_Sales[[#This Row],[detatched_value]]*Lookups!$B$19</f>
        <v>0</v>
      </c>
      <c r="BN32">
        <f>Grandview_Sales[[#This Row],[days_prior]]*Lookups!$B$20</f>
        <v>-100516.9268</v>
      </c>
      <c r="BO32">
        <f>SUM(Grandview_Sales[[#This Row],[land_value]:[Days Prior To Assessment_value]])</f>
        <v>290890.20811271085</v>
      </c>
      <c r="BP32">
        <f>Grandview_Sales[[#This Row],[predicted_total]]/Grandview_Sales[[#This Row],[sale_price]]</f>
        <v>1.0577825749553122</v>
      </c>
      <c r="BQ32">
        <f>VLOOKUP(Grandview_Sales[[#This Row],[quality]],Lookups!$A$26:$C$33,3,FALSE)</f>
        <v>0.94960540378902636</v>
      </c>
      <c r="BR32">
        <f>VLOOKUP(Grandview_Sales[[#This Row],[condition]],Lookups!$A$37:$C$44,3,FALSE)</f>
        <v>0.96469275950863709</v>
      </c>
      <c r="BS32">
        <f>VLOOKUP(Grandview_Sales[[#This Row],[decade]],Lookups!$F$29:$H$43,3,FALSE)</f>
        <v>0.9871940091910919</v>
      </c>
      <c r="BT32">
        <f>VLOOKUP(Grandview_Sales[[#This Row],[living_area_range]],Lookups!$F$47:$H$56,3,FALSE)</f>
        <v>0.96120133463014379</v>
      </c>
      <c r="BU32">
        <f>Grandview_Sales[[#This Row],[predicted_total]]*AVERAGE(Grandview_Sales[[#This Row],[qual_adj]:[size_adj]])</f>
        <v>280904.92954035837</v>
      </c>
      <c r="BV32">
        <f>Grandview_Sales[[#This Row],[final_total]]/Grandview_Sales[[#This Row],[sale_price]]</f>
        <v>1.0214724710558487</v>
      </c>
      <c r="BW32" s="6">
        <f>(Grandview_Sales[[#This Row],[final_total]]-Grandview_Sales[[#This Row],[sale_price]])^2</f>
        <v>34868192.876596883</v>
      </c>
      <c r="BX32" s="6">
        <f>(Grandview_Sales[[#This Row],[final_total]]-AVERAGE(Grandview_Sales[sale_price]))^2</f>
        <v>678823453.1661154</v>
      </c>
      <c r="BY32" s="6">
        <f>Grandview_Sales[[#This Row],[SSE]]+Grandview_Sales[[#This Row],[SSR]]</f>
        <v>713691646.04271233</v>
      </c>
      <c r="BZ32" s="4">
        <f>ABS(Grandview_Sales[[#This Row],[final_ratio]]-MEDIAN(Grandview_Sales[final_ratio]))</f>
        <v>2.0223751700036763E-2</v>
      </c>
    </row>
    <row r="33" spans="1:78" x14ac:dyDescent="0.25">
      <c r="A33">
        <v>23092241539</v>
      </c>
      <c r="B33">
        <v>0.17</v>
      </c>
      <c r="C33">
        <v>7200</v>
      </c>
      <c r="D33">
        <v>0</v>
      </c>
      <c r="E33" t="s">
        <v>53</v>
      </c>
      <c r="F33" t="s">
        <v>53</v>
      </c>
      <c r="G33">
        <v>4</v>
      </c>
      <c r="H33" t="s">
        <v>54</v>
      </c>
      <c r="I33">
        <v>111100</v>
      </c>
      <c r="J33">
        <v>43000</v>
      </c>
      <c r="K33">
        <v>0.17</v>
      </c>
      <c r="L33">
        <v>-1.771956841932</v>
      </c>
      <c r="M33">
        <v>0</v>
      </c>
      <c r="N33">
        <v>0</v>
      </c>
      <c r="O33">
        <v>0</v>
      </c>
      <c r="P33">
        <v>13398.7528</v>
      </c>
      <c r="Q33">
        <v>63902.980100000001</v>
      </c>
      <c r="R33">
        <v>40160.968402685998</v>
      </c>
      <c r="S33" t="s">
        <v>68</v>
      </c>
      <c r="T33">
        <v>1</v>
      </c>
      <c r="U33" t="s">
        <v>65</v>
      </c>
      <c r="V33" t="s">
        <v>78</v>
      </c>
      <c r="W33">
        <v>0</v>
      </c>
      <c r="X33">
        <v>0</v>
      </c>
      <c r="Y33">
        <v>49</v>
      </c>
      <c r="Z33">
        <v>68</v>
      </c>
      <c r="AA33">
        <v>70</v>
      </c>
      <c r="AB33">
        <v>1000</v>
      </c>
      <c r="AC33">
        <v>1000</v>
      </c>
      <c r="AD33">
        <v>1000</v>
      </c>
      <c r="AE33">
        <v>0</v>
      </c>
      <c r="AF33">
        <v>0</v>
      </c>
      <c r="AG33">
        <v>0</v>
      </c>
      <c r="AH33">
        <v>480</v>
      </c>
      <c r="AI33">
        <v>0</v>
      </c>
      <c r="AJ33">
        <v>0</v>
      </c>
      <c r="AK33">
        <v>0</v>
      </c>
      <c r="AL33">
        <v>5</v>
      </c>
      <c r="AM33">
        <v>0</v>
      </c>
      <c r="AN33">
        <v>0</v>
      </c>
      <c r="AO33" t="s">
        <v>58</v>
      </c>
      <c r="AP33">
        <v>1</v>
      </c>
      <c r="AQ33" t="s">
        <v>63</v>
      </c>
      <c r="AR33" t="s">
        <v>60</v>
      </c>
      <c r="AS33">
        <v>0</v>
      </c>
      <c r="AT33">
        <v>2</v>
      </c>
      <c r="AU33">
        <v>0</v>
      </c>
      <c r="AV33">
        <v>0</v>
      </c>
      <c r="AW33">
        <v>100</v>
      </c>
      <c r="AX33" s="1">
        <v>44089</v>
      </c>
      <c r="AY33">
        <v>24600</v>
      </c>
      <c r="AZ33">
        <v>91763</v>
      </c>
      <c r="BA33">
        <v>116400</v>
      </c>
      <c r="BB33">
        <v>180000</v>
      </c>
      <c r="BC33">
        <v>838</v>
      </c>
      <c r="BD33">
        <f>Grandview_Sales[[#This Row],[land_extract]]*Lookups!$B$3</f>
        <v>46638.82417142456</v>
      </c>
      <c r="BE33">
        <f>Lookups!$B$2</f>
        <v>155833.95000000001</v>
      </c>
      <c r="BF33">
        <f>VLOOKUP(Grandview_Sales[[#This Row],[quality]],Lookups!$H$2:$J$13,3,FALSE)</f>
        <v>2251</v>
      </c>
      <c r="BG33">
        <f>VLOOKUP(Grandview_Sales[[#This Row],[condition]],Lookups!$H$17:$J$24,3,FALSE)</f>
        <v>-45357</v>
      </c>
      <c r="BH33">
        <f>Grandview_Sales[[#This Row],[Eff_Age]]*Lookups!$B$14</f>
        <v>-11719.163399999999</v>
      </c>
      <c r="BI33">
        <f>Grandview_Sales[[#This Row],[living_area]]*Lookups!$B$15</f>
        <v>62380.853000000003</v>
      </c>
      <c r="BJ33">
        <f>Grandview_Sales[[#This Row],[Fin BSMT]]*Lookups!$B$16</f>
        <v>0</v>
      </c>
      <c r="BK33">
        <f>Grandview_Sales[[#This Row],[garage_sqft]]*Lookups!$B$17</f>
        <v>42009.809760000004</v>
      </c>
      <c r="BL33">
        <f>Grandview_Sales[[#This Row],[Plumbing Fixtures]]*Lookups!$B$18</f>
        <v>10052.209000000001</v>
      </c>
      <c r="BM33">
        <f>Grandview_Sales[[#This Row],[detatched_value]]*Lookups!$B$19</f>
        <v>0</v>
      </c>
      <c r="BN33">
        <f>Grandview_Sales[[#This Row],[days_prior]]*Lookups!$B$20</f>
        <v>-100516.9268</v>
      </c>
      <c r="BO33">
        <f>SUM(Grandview_Sales[[#This Row],[land_value]:[Days Prior To Assessment_value]])</f>
        <v>161573.5557314246</v>
      </c>
      <c r="BP33">
        <f>Grandview_Sales[[#This Row],[predicted_total]]/Grandview_Sales[[#This Row],[sale_price]]</f>
        <v>0.89763086517458113</v>
      </c>
      <c r="BQ33">
        <f>VLOOKUP(Grandview_Sales[[#This Row],[quality]],Lookups!$A$26:$C$33,3,FALSE)</f>
        <v>0.98763855981004833</v>
      </c>
      <c r="BR33">
        <f>VLOOKUP(Grandview_Sales[[#This Row],[condition]],Lookups!$A$37:$C$44,3,FALSE)</f>
        <v>0.97161819570155394</v>
      </c>
      <c r="BS33">
        <f>VLOOKUP(Grandview_Sales[[#This Row],[decade]],Lookups!$F$29:$H$43,3,FALSE)</f>
        <v>0.99472141305414818</v>
      </c>
      <c r="BT33">
        <f>VLOOKUP(Grandview_Sales[[#This Row],[living_area_range]],Lookups!$F$47:$H$56,3,FALSE)</f>
        <v>0.94306777142782894</v>
      </c>
      <c r="BU33">
        <f>Grandview_Sales[[#This Row],[predicted_total]]*AVERAGE(Grandview_Sales[[#This Row],[qual_adj]:[size_adj]])</f>
        <v>157414.89234336864</v>
      </c>
      <c r="BV33">
        <f>Grandview_Sales[[#This Row],[final_total]]/Grandview_Sales[[#This Row],[sale_price]]</f>
        <v>0.87452717968538141</v>
      </c>
      <c r="BW33" s="6">
        <f>(Grandview_Sales[[#This Row],[final_total]]-Grandview_Sales[[#This Row],[sale_price]])^2</f>
        <v>510087087.86162835</v>
      </c>
      <c r="BX33" s="6">
        <f>(Grandview_Sales[[#This Row],[final_total]]-AVERAGE(Grandview_Sales[sale_price]))^2</f>
        <v>22363491021.383724</v>
      </c>
      <c r="BY33" s="6">
        <f>Grandview_Sales[[#This Row],[SSE]]+Grandview_Sales[[#This Row],[SSR]]</f>
        <v>22873578109.245354</v>
      </c>
      <c r="BZ33" s="4">
        <f>ABS(Grandview_Sales[[#This Row],[final_ratio]]-MEDIAN(Grandview_Sales[final_ratio]))</f>
        <v>0.12672153967043054</v>
      </c>
    </row>
    <row r="34" spans="1:78" x14ac:dyDescent="0.25">
      <c r="A34">
        <v>23091513004</v>
      </c>
      <c r="B34">
        <v>0.64</v>
      </c>
      <c r="C34">
        <v>0</v>
      </c>
      <c r="D34">
        <v>0</v>
      </c>
      <c r="E34" t="s">
        <v>53</v>
      </c>
      <c r="F34" t="s">
        <v>53</v>
      </c>
      <c r="G34">
        <v>4</v>
      </c>
      <c r="H34" t="s">
        <v>54</v>
      </c>
      <c r="I34">
        <v>123000</v>
      </c>
      <c r="J34">
        <v>42400</v>
      </c>
      <c r="K34">
        <v>0.64</v>
      </c>
      <c r="L34">
        <v>-0.44628710262799998</v>
      </c>
      <c r="M34">
        <v>0</v>
      </c>
      <c r="N34">
        <v>0</v>
      </c>
      <c r="O34">
        <v>0</v>
      </c>
      <c r="P34">
        <v>13398.7528</v>
      </c>
      <c r="Q34">
        <v>63902.980100000001</v>
      </c>
      <c r="R34">
        <v>57923.289534053998</v>
      </c>
      <c r="S34" t="s">
        <v>68</v>
      </c>
      <c r="T34">
        <v>1</v>
      </c>
      <c r="U34" t="s">
        <v>65</v>
      </c>
      <c r="V34" t="s">
        <v>78</v>
      </c>
      <c r="W34">
        <v>0</v>
      </c>
      <c r="X34">
        <v>0</v>
      </c>
      <c r="Y34">
        <v>53</v>
      </c>
      <c r="Z34">
        <v>93</v>
      </c>
      <c r="AA34">
        <v>90</v>
      </c>
      <c r="AB34">
        <v>2000</v>
      </c>
      <c r="AC34">
        <v>1632</v>
      </c>
      <c r="AD34">
        <v>1632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120</v>
      </c>
      <c r="AL34">
        <v>8</v>
      </c>
      <c r="AM34">
        <v>0</v>
      </c>
      <c r="AN34">
        <v>0</v>
      </c>
      <c r="AO34" t="s">
        <v>71</v>
      </c>
      <c r="AP34">
        <v>1</v>
      </c>
      <c r="AQ34" t="s">
        <v>75</v>
      </c>
      <c r="AR34" t="s">
        <v>60</v>
      </c>
      <c r="AS34">
        <v>0</v>
      </c>
      <c r="AT34">
        <v>3</v>
      </c>
      <c r="AU34">
        <v>0</v>
      </c>
      <c r="AV34">
        <v>0</v>
      </c>
      <c r="AW34">
        <v>100</v>
      </c>
      <c r="AX34" s="1">
        <v>44089</v>
      </c>
      <c r="AY34">
        <v>24300</v>
      </c>
      <c r="AZ34">
        <v>123197</v>
      </c>
      <c r="BA34">
        <v>147500</v>
      </c>
      <c r="BB34">
        <v>155000</v>
      </c>
      <c r="BC34">
        <v>838</v>
      </c>
      <c r="BD34">
        <f>Grandview_Sales[[#This Row],[land_extract]]*Lookups!$B$3</f>
        <v>67266.15974301516</v>
      </c>
      <c r="BE34">
        <f>Lookups!$B$2</f>
        <v>155833.95000000001</v>
      </c>
      <c r="BF34">
        <f>VLOOKUP(Grandview_Sales[[#This Row],[quality]],Lookups!$H$2:$J$13,3,FALSE)</f>
        <v>2251</v>
      </c>
      <c r="BG34">
        <f>VLOOKUP(Grandview_Sales[[#This Row],[condition]],Lookups!$H$17:$J$24,3,FALSE)</f>
        <v>-45357</v>
      </c>
      <c r="BH34">
        <f>Grandview_Sales[[#This Row],[Eff_Age]]*Lookups!$B$14</f>
        <v>-12675.8298</v>
      </c>
      <c r="BI34">
        <f>Grandview_Sales[[#This Row],[living_area]]*Lookups!$B$15</f>
        <v>101805.552096</v>
      </c>
      <c r="BJ34">
        <f>Grandview_Sales[[#This Row],[Fin BSMT]]*Lookups!$B$16</f>
        <v>0</v>
      </c>
      <c r="BK34">
        <f>Grandview_Sales[[#This Row],[garage_sqft]]*Lookups!$B$17</f>
        <v>0</v>
      </c>
      <c r="BL34">
        <f>Grandview_Sales[[#This Row],[Plumbing Fixtures]]*Lookups!$B$18</f>
        <v>16083.5344</v>
      </c>
      <c r="BM34">
        <f>Grandview_Sales[[#This Row],[detatched_value]]*Lookups!$B$19</f>
        <v>0</v>
      </c>
      <c r="BN34">
        <f>Grandview_Sales[[#This Row],[days_prior]]*Lookups!$B$20</f>
        <v>-100516.9268</v>
      </c>
      <c r="BO34">
        <f>SUM(Grandview_Sales[[#This Row],[land_value]:[Days Prior To Assessment_value]])</f>
        <v>184690.43963901512</v>
      </c>
      <c r="BP34">
        <f>Grandview_Sales[[#This Row],[predicted_total]]/Grandview_Sales[[#This Row],[sale_price]]</f>
        <v>1.191551223477517</v>
      </c>
      <c r="BQ34">
        <f>VLOOKUP(Grandview_Sales[[#This Row],[quality]],Lookups!$A$26:$C$33,3,FALSE)</f>
        <v>0.98763855981004833</v>
      </c>
      <c r="BR34">
        <f>VLOOKUP(Grandview_Sales[[#This Row],[condition]],Lookups!$A$37:$C$44,3,FALSE)</f>
        <v>0.97161819570155394</v>
      </c>
      <c r="BS34">
        <f>VLOOKUP(Grandview_Sales[[#This Row],[decade]],Lookups!$F$29:$H$43,3,FALSE)</f>
        <v>0.94161750052457416</v>
      </c>
      <c r="BT34">
        <f>VLOOKUP(Grandview_Sales[[#This Row],[living_area_range]],Lookups!$F$47:$H$56,3,FALSE)</f>
        <v>0.96120133463014379</v>
      </c>
      <c r="BU34">
        <f>Grandview_Sales[[#This Row],[predicted_total]]*AVERAGE(Grandview_Sales[[#This Row],[qual_adj]:[size_adj]])</f>
        <v>178322.10968981791</v>
      </c>
      <c r="BV34">
        <f>Grandview_Sales[[#This Row],[final_total]]/Grandview_Sales[[#This Row],[sale_price]]</f>
        <v>1.1504652238052768</v>
      </c>
      <c r="BW34" s="6">
        <f>(Grandview_Sales[[#This Row],[final_total]]-Grandview_Sales[[#This Row],[sale_price]])^2</f>
        <v>543920800.38389838</v>
      </c>
      <c r="BX34" s="6">
        <f>(Grandview_Sales[[#This Row],[final_total]]-AVERAGE(Grandview_Sales[sale_price]))^2</f>
        <v>16547493320.977938</v>
      </c>
      <c r="BY34" s="6">
        <f>Grandview_Sales[[#This Row],[SSE]]+Grandview_Sales[[#This Row],[SSR]]</f>
        <v>17091414121.361835</v>
      </c>
      <c r="BZ34" s="4">
        <f>ABS(Grandview_Sales[[#This Row],[final_ratio]]-MEDIAN(Grandview_Sales[final_ratio]))</f>
        <v>0.14921650444946488</v>
      </c>
    </row>
    <row r="35" spans="1:78" x14ac:dyDescent="0.25">
      <c r="A35">
        <v>23092324409</v>
      </c>
      <c r="B35">
        <v>0.19</v>
      </c>
      <c r="C35">
        <v>8129</v>
      </c>
      <c r="D35">
        <v>0</v>
      </c>
      <c r="E35" t="s">
        <v>53</v>
      </c>
      <c r="F35" t="s">
        <v>53</v>
      </c>
      <c r="G35">
        <v>4</v>
      </c>
      <c r="H35" t="s">
        <v>54</v>
      </c>
      <c r="I35">
        <v>125200</v>
      </c>
      <c r="J35">
        <v>39500</v>
      </c>
      <c r="K35">
        <v>0.19</v>
      </c>
      <c r="L35">
        <v>-1.6607312068219999</v>
      </c>
      <c r="M35">
        <v>0</v>
      </c>
      <c r="N35">
        <v>0</v>
      </c>
      <c r="O35">
        <v>0</v>
      </c>
      <c r="P35">
        <v>13398.7528</v>
      </c>
      <c r="Q35">
        <v>63902.980100000001</v>
      </c>
      <c r="R35">
        <v>41651.253192550997</v>
      </c>
      <c r="S35" t="s">
        <v>85</v>
      </c>
      <c r="T35">
        <v>1</v>
      </c>
      <c r="U35" t="s">
        <v>65</v>
      </c>
      <c r="V35" t="s">
        <v>69</v>
      </c>
      <c r="W35">
        <v>0</v>
      </c>
      <c r="X35">
        <v>0</v>
      </c>
      <c r="Y35">
        <v>61</v>
      </c>
      <c r="Z35">
        <v>109</v>
      </c>
      <c r="AA35">
        <v>110</v>
      </c>
      <c r="AB35">
        <v>1500</v>
      </c>
      <c r="AC35">
        <v>1192</v>
      </c>
      <c r="AD35">
        <v>1192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120</v>
      </c>
      <c r="AL35">
        <v>5</v>
      </c>
      <c r="AM35">
        <v>0</v>
      </c>
      <c r="AN35">
        <v>1</v>
      </c>
      <c r="AO35" t="s">
        <v>58</v>
      </c>
      <c r="AP35">
        <v>1</v>
      </c>
      <c r="AQ35" t="s">
        <v>63</v>
      </c>
      <c r="AR35" t="s">
        <v>81</v>
      </c>
      <c r="AS35">
        <v>0</v>
      </c>
      <c r="AT35">
        <v>2</v>
      </c>
      <c r="AU35">
        <v>0</v>
      </c>
      <c r="AV35">
        <v>6300</v>
      </c>
      <c r="AW35">
        <v>100</v>
      </c>
      <c r="AX35" s="1">
        <v>44091</v>
      </c>
      <c r="AY35">
        <v>22600</v>
      </c>
      <c r="AZ35">
        <v>109158</v>
      </c>
      <c r="BA35">
        <v>131800</v>
      </c>
      <c r="BB35">
        <v>175000</v>
      </c>
      <c r="BC35">
        <v>836</v>
      </c>
      <c r="BD35">
        <f>Grandview_Sales[[#This Row],[land_extract]]*Lookups!$B$3</f>
        <v>48369.487874125851</v>
      </c>
      <c r="BE35">
        <f>Lookups!$B$2</f>
        <v>155833.95000000001</v>
      </c>
      <c r="BF35">
        <f>VLOOKUP(Grandview_Sales[[#This Row],[quality]],Lookups!$H$2:$J$13,3,FALSE)</f>
        <v>2251</v>
      </c>
      <c r="BG35">
        <f>VLOOKUP(Grandview_Sales[[#This Row],[condition]],Lookups!$H$17:$J$24,3,FALSE)</f>
        <v>-4503</v>
      </c>
      <c r="BH35">
        <f>Grandview_Sales[[#This Row],[Eff_Age]]*Lookups!$B$14</f>
        <v>-14589.1626</v>
      </c>
      <c r="BI35">
        <f>Grandview_Sales[[#This Row],[living_area]]*Lookups!$B$15</f>
        <v>74357.976775999996</v>
      </c>
      <c r="BJ35">
        <f>Grandview_Sales[[#This Row],[Fin BSMT]]*Lookups!$B$16</f>
        <v>0</v>
      </c>
      <c r="BK35">
        <f>Grandview_Sales[[#This Row],[garage_sqft]]*Lookups!$B$17</f>
        <v>0</v>
      </c>
      <c r="BL35">
        <f>Grandview_Sales[[#This Row],[Plumbing Fixtures]]*Lookups!$B$18</f>
        <v>10052.209000000001</v>
      </c>
      <c r="BM35">
        <f>Grandview_Sales[[#This Row],[detatched_value]]*Lookups!$B$19</f>
        <v>5334.8721299999997</v>
      </c>
      <c r="BN35">
        <f>Grandview_Sales[[#This Row],[days_prior]]*Lookups!$B$20</f>
        <v>-100277.02959999999</v>
      </c>
      <c r="BO35">
        <f>SUM(Grandview_Sales[[#This Row],[land_value]:[Days Prior To Assessment_value]])</f>
        <v>176830.30358012579</v>
      </c>
      <c r="BP35">
        <f>Grandview_Sales[[#This Row],[predicted_total]]/Grandview_Sales[[#This Row],[sale_price]]</f>
        <v>1.0104588776007188</v>
      </c>
      <c r="BQ35">
        <f>VLOOKUP(Grandview_Sales[[#This Row],[quality]],Lookups!$A$26:$C$33,3,FALSE)</f>
        <v>0.98763855981004833</v>
      </c>
      <c r="BR35">
        <f>VLOOKUP(Grandview_Sales[[#This Row],[condition]],Lookups!$A$37:$C$44,3,FALSE)</f>
        <v>0.96469275950863709</v>
      </c>
      <c r="BS35">
        <f>VLOOKUP(Grandview_Sales[[#This Row],[decade]],Lookups!$F$29:$H$43,3,FALSE)</f>
        <v>0.92255236374249616</v>
      </c>
      <c r="BT35">
        <f>VLOOKUP(Grandview_Sales[[#This Row],[living_area_range]],Lookups!$F$47:$H$56,3,FALSE)</f>
        <v>0.96135087979789358</v>
      </c>
      <c r="BU35">
        <f>Grandview_Sales[[#This Row],[predicted_total]]*AVERAGE(Grandview_Sales[[#This Row],[qual_adj]:[size_adj]])</f>
        <v>169590.63058873537</v>
      </c>
      <c r="BV35">
        <f>Grandview_Sales[[#This Row],[final_total]]/Grandview_Sales[[#This Row],[sale_price]]</f>
        <v>0.96908931764991635</v>
      </c>
      <c r="BW35" s="6">
        <f>(Grandview_Sales[[#This Row],[final_total]]-Grandview_Sales[[#This Row],[sale_price]])^2</f>
        <v>29261277.427525487</v>
      </c>
      <c r="BX35" s="6">
        <f>(Grandview_Sales[[#This Row],[final_total]]-AVERAGE(Grandview_Sales[sale_price]))^2</f>
        <v>18870115658.14209</v>
      </c>
      <c r="BY35" s="6">
        <f>Grandview_Sales[[#This Row],[SSE]]+Grandview_Sales[[#This Row],[SSR]]</f>
        <v>18899376935.569614</v>
      </c>
      <c r="BZ35" s="4">
        <f>ABS(Grandview_Sales[[#This Row],[final_ratio]]-MEDIAN(Grandview_Sales[final_ratio]))</f>
        <v>3.2159401705895596E-2</v>
      </c>
    </row>
    <row r="36" spans="1:78" x14ac:dyDescent="0.25">
      <c r="A36">
        <v>23092424503</v>
      </c>
      <c r="B36">
        <v>0.17</v>
      </c>
      <c r="C36">
        <v>7493</v>
      </c>
      <c r="D36">
        <v>0</v>
      </c>
      <c r="E36" t="s">
        <v>53</v>
      </c>
      <c r="F36" t="s">
        <v>53</v>
      </c>
      <c r="G36">
        <v>4</v>
      </c>
      <c r="H36" t="s">
        <v>54</v>
      </c>
      <c r="I36">
        <v>216400</v>
      </c>
      <c r="J36">
        <v>38800</v>
      </c>
      <c r="K36">
        <v>0.17</v>
      </c>
      <c r="L36">
        <v>-1.771956841932</v>
      </c>
      <c r="M36">
        <v>0</v>
      </c>
      <c r="N36">
        <v>0</v>
      </c>
      <c r="O36">
        <v>0</v>
      </c>
      <c r="P36">
        <v>13398.7528</v>
      </c>
      <c r="Q36">
        <v>63902.980100000001</v>
      </c>
      <c r="R36">
        <v>40160.968402685998</v>
      </c>
      <c r="S36" t="s">
        <v>61</v>
      </c>
      <c r="T36">
        <v>1</v>
      </c>
      <c r="U36" t="s">
        <v>65</v>
      </c>
      <c r="V36" t="s">
        <v>67</v>
      </c>
      <c r="W36">
        <v>0</v>
      </c>
      <c r="X36">
        <v>0</v>
      </c>
      <c r="Y36">
        <v>17</v>
      </c>
      <c r="Z36">
        <v>17</v>
      </c>
      <c r="AA36">
        <v>20</v>
      </c>
      <c r="AB36">
        <v>1500</v>
      </c>
      <c r="AC36">
        <v>1079</v>
      </c>
      <c r="AD36">
        <v>1079</v>
      </c>
      <c r="AE36">
        <v>0</v>
      </c>
      <c r="AF36">
        <v>0</v>
      </c>
      <c r="AG36">
        <v>0</v>
      </c>
      <c r="AH36">
        <v>520</v>
      </c>
      <c r="AI36">
        <v>0</v>
      </c>
      <c r="AJ36">
        <v>0</v>
      </c>
      <c r="AK36">
        <v>200</v>
      </c>
      <c r="AL36">
        <v>9</v>
      </c>
      <c r="AM36">
        <v>0</v>
      </c>
      <c r="AN36">
        <v>0</v>
      </c>
      <c r="AO36" t="s">
        <v>58</v>
      </c>
      <c r="AP36">
        <v>1</v>
      </c>
      <c r="AQ36" t="s">
        <v>63</v>
      </c>
      <c r="AR36" t="s">
        <v>64</v>
      </c>
      <c r="AS36">
        <v>1</v>
      </c>
      <c r="AT36">
        <v>4</v>
      </c>
      <c r="AU36">
        <v>0</v>
      </c>
      <c r="AV36">
        <v>0</v>
      </c>
      <c r="AW36">
        <v>100</v>
      </c>
      <c r="AX36" s="1">
        <v>44099</v>
      </c>
      <c r="AY36">
        <v>22200</v>
      </c>
      <c r="AZ36">
        <v>173785</v>
      </c>
      <c r="BA36">
        <v>196000</v>
      </c>
      <c r="BB36">
        <v>244000</v>
      </c>
      <c r="BC36">
        <v>828</v>
      </c>
      <c r="BD36">
        <f>Grandview_Sales[[#This Row],[land_extract]]*Lookups!$B$3</f>
        <v>46638.82417142456</v>
      </c>
      <c r="BE36">
        <f>Lookups!$B$2</f>
        <v>155833.95000000001</v>
      </c>
      <c r="BF36">
        <f>VLOOKUP(Grandview_Sales[[#This Row],[quality]],Lookups!$H$2:$J$13,3,FALSE)</f>
        <v>2251</v>
      </c>
      <c r="BG36">
        <f>VLOOKUP(Grandview_Sales[[#This Row],[condition]],Lookups!$H$17:$J$24,3,FALSE)</f>
        <v>22342</v>
      </c>
      <c r="BH36">
        <f>Grandview_Sales[[#This Row],[Eff_Age]]*Lookups!$B$14</f>
        <v>-4065.8321999999998</v>
      </c>
      <c r="BI36">
        <f>Grandview_Sales[[#This Row],[living_area]]*Lookups!$B$15</f>
        <v>67308.940386999995</v>
      </c>
      <c r="BJ36">
        <f>Grandview_Sales[[#This Row],[Fin BSMT]]*Lookups!$B$16</f>
        <v>0</v>
      </c>
      <c r="BK36">
        <f>Grandview_Sales[[#This Row],[garage_sqft]]*Lookups!$B$17</f>
        <v>45510.627240000002</v>
      </c>
      <c r="BL36">
        <f>Grandview_Sales[[#This Row],[Plumbing Fixtures]]*Lookups!$B$18</f>
        <v>18093.976200000001</v>
      </c>
      <c r="BM36">
        <f>Grandview_Sales[[#This Row],[detatched_value]]*Lookups!$B$19</f>
        <v>0</v>
      </c>
      <c r="BN36">
        <f>Grandview_Sales[[#This Row],[days_prior]]*Lookups!$B$20</f>
        <v>-99317.440799999997</v>
      </c>
      <c r="BO36">
        <f>SUM(Grandview_Sales[[#This Row],[land_value]:[Days Prior To Assessment_value]])</f>
        <v>254596.04499842454</v>
      </c>
      <c r="BP36">
        <f>Grandview_Sales[[#This Row],[predicted_total]]/Grandview_Sales[[#This Row],[sale_price]]</f>
        <v>1.0434264139279694</v>
      </c>
      <c r="BQ36">
        <f>VLOOKUP(Grandview_Sales[[#This Row],[quality]],Lookups!$A$26:$C$33,3,FALSE)</f>
        <v>0.98763855981004833</v>
      </c>
      <c r="BR36">
        <f>VLOOKUP(Grandview_Sales[[#This Row],[condition]],Lookups!$A$37:$C$44,3,FALSE)</f>
        <v>0.97383723671140243</v>
      </c>
      <c r="BS36">
        <f>VLOOKUP(Grandview_Sales[[#This Row],[decade]],Lookups!$F$29:$H$43,3,FALSE)</f>
        <v>0.96737494181490646</v>
      </c>
      <c r="BT36">
        <f>VLOOKUP(Grandview_Sales[[#This Row],[living_area_range]],Lookups!$F$47:$H$56,3,FALSE)</f>
        <v>0.96135087979789358</v>
      </c>
      <c r="BU36">
        <f>Grandview_Sales[[#This Row],[predicted_total]]*AVERAGE(Grandview_Sales[[#This Row],[qual_adj]:[size_adj]])</f>
        <v>247607.48655586291</v>
      </c>
      <c r="BV36">
        <f>Grandview_Sales[[#This Row],[final_total]]/Grandview_Sales[[#This Row],[sale_price]]</f>
        <v>1.0147847809666513</v>
      </c>
      <c r="BW36" s="6">
        <f>(Grandview_Sales[[#This Row],[final_total]]-Grandview_Sales[[#This Row],[sale_price]])^2</f>
        <v>13013959.25073164</v>
      </c>
      <c r="BX36" s="6">
        <f>(Grandview_Sales[[#This Row],[final_total]]-AVERAGE(Grandview_Sales[sale_price]))^2</f>
        <v>3522622344.1396341</v>
      </c>
      <c r="BY36" s="6">
        <f>Grandview_Sales[[#This Row],[SSE]]+Grandview_Sales[[#This Row],[SSR]]</f>
        <v>3535636303.3903656</v>
      </c>
      <c r="BZ36" s="4">
        <f>ABS(Grandview_Sales[[#This Row],[final_ratio]]-MEDIAN(Grandview_Sales[final_ratio]))</f>
        <v>1.3536061610839312E-2</v>
      </c>
    </row>
    <row r="37" spans="1:78" x14ac:dyDescent="0.25">
      <c r="A37">
        <v>23092242507</v>
      </c>
      <c r="B37">
        <v>0.24</v>
      </c>
      <c r="C37">
        <v>10559</v>
      </c>
      <c r="D37">
        <v>0</v>
      </c>
      <c r="E37" t="s">
        <v>53</v>
      </c>
      <c r="F37" t="s">
        <v>53</v>
      </c>
      <c r="G37">
        <v>4</v>
      </c>
      <c r="H37" t="s">
        <v>54</v>
      </c>
      <c r="I37">
        <v>176700</v>
      </c>
      <c r="J37">
        <v>39800</v>
      </c>
      <c r="K37">
        <v>0.24</v>
      </c>
      <c r="L37">
        <v>-1.4271163556399999</v>
      </c>
      <c r="M37">
        <v>0</v>
      </c>
      <c r="N37">
        <v>0</v>
      </c>
      <c r="O37">
        <v>0</v>
      </c>
      <c r="P37">
        <v>13398.7528</v>
      </c>
      <c r="Q37">
        <v>63902.980100000001</v>
      </c>
      <c r="R37">
        <v>44781.400833940999</v>
      </c>
      <c r="S37" t="s">
        <v>61</v>
      </c>
      <c r="T37">
        <v>1</v>
      </c>
      <c r="U37" t="s">
        <v>62</v>
      </c>
      <c r="V37" t="s">
        <v>69</v>
      </c>
      <c r="W37">
        <v>0</v>
      </c>
      <c r="X37">
        <v>0</v>
      </c>
      <c r="Y37">
        <v>17</v>
      </c>
      <c r="Z37">
        <v>17</v>
      </c>
      <c r="AA37">
        <v>20</v>
      </c>
      <c r="AB37">
        <v>1500</v>
      </c>
      <c r="AC37">
        <v>1128</v>
      </c>
      <c r="AD37">
        <v>1128</v>
      </c>
      <c r="AE37">
        <v>0</v>
      </c>
      <c r="AF37">
        <v>0</v>
      </c>
      <c r="AG37">
        <v>0</v>
      </c>
      <c r="AH37">
        <v>520</v>
      </c>
      <c r="AI37">
        <v>0</v>
      </c>
      <c r="AJ37">
        <v>0</v>
      </c>
      <c r="AK37">
        <v>100</v>
      </c>
      <c r="AL37">
        <v>9</v>
      </c>
      <c r="AM37">
        <v>0</v>
      </c>
      <c r="AN37">
        <v>0</v>
      </c>
      <c r="AO37" t="s">
        <v>58</v>
      </c>
      <c r="AP37">
        <v>1</v>
      </c>
      <c r="AQ37" t="s">
        <v>63</v>
      </c>
      <c r="AR37" t="s">
        <v>64</v>
      </c>
      <c r="AS37">
        <v>1</v>
      </c>
      <c r="AT37">
        <v>3</v>
      </c>
      <c r="AU37">
        <v>0</v>
      </c>
      <c r="AV37">
        <v>0</v>
      </c>
      <c r="AW37">
        <v>100</v>
      </c>
      <c r="AX37" s="1">
        <v>44103</v>
      </c>
      <c r="AY37">
        <v>22800</v>
      </c>
      <c r="AZ37">
        <v>199145</v>
      </c>
      <c r="BA37">
        <v>221900</v>
      </c>
      <c r="BB37">
        <v>250000</v>
      </c>
      <c r="BC37">
        <v>824</v>
      </c>
      <c r="BD37">
        <f>Grandview_Sales[[#This Row],[land_extract]]*Lookups!$B$3</f>
        <v>52004.519878673433</v>
      </c>
      <c r="BE37">
        <f>Lookups!$B$2</f>
        <v>155833.95000000001</v>
      </c>
      <c r="BF37">
        <f>VLOOKUP(Grandview_Sales[[#This Row],[quality]],Lookups!$H$2:$J$13,3,FALSE)</f>
        <v>9808</v>
      </c>
      <c r="BG37">
        <f>VLOOKUP(Grandview_Sales[[#This Row],[condition]],Lookups!$H$17:$J$24,3,FALSE)</f>
        <v>-4503</v>
      </c>
      <c r="BH37">
        <f>Grandview_Sales[[#This Row],[Eff_Age]]*Lookups!$B$14</f>
        <v>-4065.8321999999998</v>
      </c>
      <c r="BI37">
        <f>Grandview_Sales[[#This Row],[living_area]]*Lookups!$B$15</f>
        <v>70365.602184000003</v>
      </c>
      <c r="BJ37">
        <f>Grandview_Sales[[#This Row],[Fin BSMT]]*Lookups!$B$16</f>
        <v>0</v>
      </c>
      <c r="BK37">
        <f>Grandview_Sales[[#This Row],[garage_sqft]]*Lookups!$B$17</f>
        <v>45510.627240000002</v>
      </c>
      <c r="BL37">
        <f>Grandview_Sales[[#This Row],[Plumbing Fixtures]]*Lookups!$B$18</f>
        <v>18093.976200000001</v>
      </c>
      <c r="BM37">
        <f>Grandview_Sales[[#This Row],[detatched_value]]*Lookups!$B$19</f>
        <v>0</v>
      </c>
      <c r="BN37">
        <f>Grandview_Sales[[#This Row],[days_prior]]*Lookups!$B$20</f>
        <v>-98837.646399999998</v>
      </c>
      <c r="BO37">
        <f>SUM(Grandview_Sales[[#This Row],[land_value]:[Days Prior To Assessment_value]])</f>
        <v>244210.19690267343</v>
      </c>
      <c r="BP37">
        <f>Grandview_Sales[[#This Row],[predicted_total]]/Grandview_Sales[[#This Row],[sale_price]]</f>
        <v>0.97684078761069371</v>
      </c>
      <c r="BQ37">
        <f>VLOOKUP(Grandview_Sales[[#This Row],[quality]],Lookups!$A$26:$C$33,3,FALSE)</f>
        <v>0.94295468617355149</v>
      </c>
      <c r="BR37">
        <f>VLOOKUP(Grandview_Sales[[#This Row],[condition]],Lookups!$A$37:$C$44,3,FALSE)</f>
        <v>0.96469275950863709</v>
      </c>
      <c r="BS37">
        <f>VLOOKUP(Grandview_Sales[[#This Row],[decade]],Lookups!$F$29:$H$43,3,FALSE)</f>
        <v>0.96737494181490646</v>
      </c>
      <c r="BT37">
        <f>VLOOKUP(Grandview_Sales[[#This Row],[living_area_range]],Lookups!$F$47:$H$56,3,FALSE)</f>
        <v>0.96135087979789358</v>
      </c>
      <c r="BU37">
        <f>Grandview_Sales[[#This Row],[predicted_total]]*AVERAGE(Grandview_Sales[[#This Row],[qual_adj]:[size_adj]])</f>
        <v>234220.36774956546</v>
      </c>
      <c r="BV37">
        <f>Grandview_Sales[[#This Row],[final_total]]/Grandview_Sales[[#This Row],[sale_price]]</f>
        <v>0.9368814709982618</v>
      </c>
      <c r="BW37" s="6">
        <f>(Grandview_Sales[[#This Row],[final_total]]-Grandview_Sales[[#This Row],[sale_price]])^2</f>
        <v>248996793.95895398</v>
      </c>
      <c r="BX37" s="6">
        <f>(Grandview_Sales[[#This Row],[final_total]]-AVERAGE(Grandview_Sales[sale_price]))^2</f>
        <v>5290933373.0330429</v>
      </c>
      <c r="BY37" s="6">
        <f>Grandview_Sales[[#This Row],[SSE]]+Grandview_Sales[[#This Row],[SSR]]</f>
        <v>5539930166.9919968</v>
      </c>
      <c r="BZ37" s="4">
        <f>ABS(Grandview_Sales[[#This Row],[final_ratio]]-MEDIAN(Grandview_Sales[final_ratio]))</f>
        <v>6.4367248357550144E-2</v>
      </c>
    </row>
    <row r="38" spans="1:78" x14ac:dyDescent="0.25">
      <c r="A38">
        <v>23092343463</v>
      </c>
      <c r="B38">
        <v>0.25</v>
      </c>
      <c r="C38">
        <v>10859</v>
      </c>
      <c r="D38">
        <v>0</v>
      </c>
      <c r="E38" t="s">
        <v>53</v>
      </c>
      <c r="F38" t="s">
        <v>53</v>
      </c>
      <c r="G38">
        <v>4</v>
      </c>
      <c r="H38" t="s">
        <v>54</v>
      </c>
      <c r="I38">
        <v>187900</v>
      </c>
      <c r="J38">
        <v>40000</v>
      </c>
      <c r="K38">
        <v>0.25</v>
      </c>
      <c r="L38">
        <v>-1.38629436112</v>
      </c>
      <c r="M38">
        <v>0</v>
      </c>
      <c r="N38">
        <v>0</v>
      </c>
      <c r="O38">
        <v>0</v>
      </c>
      <c r="P38">
        <v>13398.7528</v>
      </c>
      <c r="Q38">
        <v>63902.980100000001</v>
      </c>
      <c r="R38">
        <v>45328.364647321003</v>
      </c>
      <c r="S38" t="s">
        <v>61</v>
      </c>
      <c r="T38">
        <v>1</v>
      </c>
      <c r="U38" t="s">
        <v>65</v>
      </c>
      <c r="V38" t="s">
        <v>69</v>
      </c>
      <c r="W38">
        <v>0</v>
      </c>
      <c r="X38">
        <v>0</v>
      </c>
      <c r="Y38">
        <v>24</v>
      </c>
      <c r="Z38">
        <v>24</v>
      </c>
      <c r="AA38">
        <v>20</v>
      </c>
      <c r="AB38">
        <v>1500</v>
      </c>
      <c r="AC38">
        <v>1248</v>
      </c>
      <c r="AD38">
        <v>1248</v>
      </c>
      <c r="AE38">
        <v>0</v>
      </c>
      <c r="AF38">
        <v>0</v>
      </c>
      <c r="AG38">
        <v>0</v>
      </c>
      <c r="AH38">
        <v>460</v>
      </c>
      <c r="AI38">
        <v>0</v>
      </c>
      <c r="AJ38">
        <v>72</v>
      </c>
      <c r="AK38">
        <v>96</v>
      </c>
      <c r="AL38">
        <v>8</v>
      </c>
      <c r="AM38">
        <v>0</v>
      </c>
      <c r="AN38">
        <v>0</v>
      </c>
      <c r="AO38" t="s">
        <v>58</v>
      </c>
      <c r="AP38">
        <v>1</v>
      </c>
      <c r="AQ38" t="s">
        <v>63</v>
      </c>
      <c r="AR38" t="s">
        <v>60</v>
      </c>
      <c r="AS38">
        <v>1</v>
      </c>
      <c r="AT38">
        <v>4</v>
      </c>
      <c r="AU38">
        <v>0</v>
      </c>
      <c r="AV38">
        <v>0</v>
      </c>
      <c r="AW38">
        <v>100</v>
      </c>
      <c r="AX38" s="1">
        <v>44103</v>
      </c>
      <c r="AY38">
        <v>22900</v>
      </c>
      <c r="AZ38">
        <v>183722</v>
      </c>
      <c r="BA38">
        <v>206600</v>
      </c>
      <c r="BB38">
        <v>260000</v>
      </c>
      <c r="BC38">
        <v>824</v>
      </c>
      <c r="BD38">
        <f>Grandview_Sales[[#This Row],[land_extract]]*Lookups!$B$3</f>
        <v>52639.70747834933</v>
      </c>
      <c r="BE38">
        <f>Lookups!$B$2</f>
        <v>155833.95000000001</v>
      </c>
      <c r="BF38">
        <f>VLOOKUP(Grandview_Sales[[#This Row],[quality]],Lookups!$H$2:$J$13,3,FALSE)</f>
        <v>2251</v>
      </c>
      <c r="BG38">
        <f>VLOOKUP(Grandview_Sales[[#This Row],[condition]],Lookups!$H$17:$J$24,3,FALSE)</f>
        <v>-4503</v>
      </c>
      <c r="BH38">
        <f>Grandview_Sales[[#This Row],[Eff_Age]]*Lookups!$B$14</f>
        <v>-5739.9983999999995</v>
      </c>
      <c r="BI38">
        <f>Grandview_Sales[[#This Row],[living_area]]*Lookups!$B$15</f>
        <v>77851.304543999999</v>
      </c>
      <c r="BJ38">
        <f>Grandview_Sales[[#This Row],[Fin BSMT]]*Lookups!$B$16</f>
        <v>0</v>
      </c>
      <c r="BK38">
        <f>Grandview_Sales[[#This Row],[garage_sqft]]*Lookups!$B$17</f>
        <v>40259.401019999998</v>
      </c>
      <c r="BL38">
        <f>Grandview_Sales[[#This Row],[Plumbing Fixtures]]*Lookups!$B$18</f>
        <v>16083.5344</v>
      </c>
      <c r="BM38">
        <f>Grandview_Sales[[#This Row],[detatched_value]]*Lookups!$B$19</f>
        <v>0</v>
      </c>
      <c r="BN38">
        <f>Grandview_Sales[[#This Row],[days_prior]]*Lookups!$B$20</f>
        <v>-98837.646399999998</v>
      </c>
      <c r="BO38">
        <f>SUM(Grandview_Sales[[#This Row],[land_value]:[Days Prior To Assessment_value]])</f>
        <v>235838.25264234931</v>
      </c>
      <c r="BP38">
        <f>Grandview_Sales[[#This Row],[predicted_total]]/Grandview_Sales[[#This Row],[sale_price]]</f>
        <v>0.90707020247057424</v>
      </c>
      <c r="BQ38">
        <f>VLOOKUP(Grandview_Sales[[#This Row],[quality]],Lookups!$A$26:$C$33,3,FALSE)</f>
        <v>0.98763855981004833</v>
      </c>
      <c r="BR38">
        <f>VLOOKUP(Grandview_Sales[[#This Row],[condition]],Lookups!$A$37:$C$44,3,FALSE)</f>
        <v>0.96469275950863709</v>
      </c>
      <c r="BS38">
        <f>VLOOKUP(Grandview_Sales[[#This Row],[decade]],Lookups!$F$29:$H$43,3,FALSE)</f>
        <v>0.96737494181490646</v>
      </c>
      <c r="BT38">
        <f>VLOOKUP(Grandview_Sales[[#This Row],[living_area_range]],Lookups!$F$47:$H$56,3,FALSE)</f>
        <v>0.96135087979789358</v>
      </c>
      <c r="BU38">
        <f>Grandview_Sales[[#This Row],[predicted_total]]*AVERAGE(Grandview_Sales[[#This Row],[qual_adj]:[size_adj]])</f>
        <v>228825.43363059839</v>
      </c>
      <c r="BV38">
        <f>Grandview_Sales[[#This Row],[final_total]]/Grandview_Sales[[#This Row],[sale_price]]</f>
        <v>0.88009782165614769</v>
      </c>
      <c r="BW38" s="6">
        <f>(Grandview_Sales[[#This Row],[final_total]]-Grandview_Sales[[#This Row],[sale_price]])^2</f>
        <v>971853588.32022595</v>
      </c>
      <c r="BX38" s="6">
        <f>(Grandview_Sales[[#This Row],[final_total]]-AVERAGE(Grandview_Sales[sale_price]))^2</f>
        <v>6104880780.7469654</v>
      </c>
      <c r="BY38" s="6">
        <f>Grandview_Sales[[#This Row],[SSE]]+Grandview_Sales[[#This Row],[SSR]]</f>
        <v>7076734369.0671911</v>
      </c>
      <c r="BZ38" s="4">
        <f>ABS(Grandview_Sales[[#This Row],[final_ratio]]-MEDIAN(Grandview_Sales[final_ratio]))</f>
        <v>0.12115089769966425</v>
      </c>
    </row>
    <row r="39" spans="1:78" x14ac:dyDescent="0.25">
      <c r="A39">
        <v>23092332493</v>
      </c>
      <c r="B39">
        <v>0.27</v>
      </c>
      <c r="C39">
        <v>11844</v>
      </c>
      <c r="D39">
        <v>0</v>
      </c>
      <c r="E39" t="s">
        <v>53</v>
      </c>
      <c r="F39" t="s">
        <v>53</v>
      </c>
      <c r="G39">
        <v>4</v>
      </c>
      <c r="H39" t="s">
        <v>54</v>
      </c>
      <c r="I39">
        <v>179600</v>
      </c>
      <c r="J39">
        <v>40000</v>
      </c>
      <c r="K39">
        <v>0.27</v>
      </c>
      <c r="L39">
        <v>-1.309333319984</v>
      </c>
      <c r="M39">
        <v>0</v>
      </c>
      <c r="N39">
        <v>0</v>
      </c>
      <c r="O39">
        <v>0</v>
      </c>
      <c r="P39">
        <v>13398.7528</v>
      </c>
      <c r="Q39">
        <v>63902.980100000001</v>
      </c>
      <c r="R39">
        <v>46359.546612733997</v>
      </c>
      <c r="S39" t="s">
        <v>61</v>
      </c>
      <c r="T39">
        <v>1</v>
      </c>
      <c r="U39" t="s">
        <v>70</v>
      </c>
      <c r="V39" t="s">
        <v>69</v>
      </c>
      <c r="W39">
        <v>0</v>
      </c>
      <c r="X39">
        <v>0</v>
      </c>
      <c r="Y39">
        <v>48</v>
      </c>
      <c r="Z39">
        <v>59</v>
      </c>
      <c r="AA39">
        <v>60</v>
      </c>
      <c r="AB39">
        <v>2000</v>
      </c>
      <c r="AC39">
        <v>1694</v>
      </c>
      <c r="AD39">
        <v>1694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252</v>
      </c>
      <c r="AK39">
        <v>0</v>
      </c>
      <c r="AL39">
        <v>7</v>
      </c>
      <c r="AM39">
        <v>1</v>
      </c>
      <c r="AN39">
        <v>0</v>
      </c>
      <c r="AO39" t="s">
        <v>58</v>
      </c>
      <c r="AP39">
        <v>1</v>
      </c>
      <c r="AQ39" t="s">
        <v>75</v>
      </c>
      <c r="AR39" t="s">
        <v>60</v>
      </c>
      <c r="AS39">
        <v>0</v>
      </c>
      <c r="AT39">
        <v>3</v>
      </c>
      <c r="AU39">
        <v>0</v>
      </c>
      <c r="AV39">
        <v>0</v>
      </c>
      <c r="AW39">
        <v>100</v>
      </c>
      <c r="AX39" s="1">
        <v>44104</v>
      </c>
      <c r="AY39">
        <v>22900</v>
      </c>
      <c r="AZ39">
        <v>155232</v>
      </c>
      <c r="BA39">
        <v>178100</v>
      </c>
      <c r="BB39">
        <v>233000</v>
      </c>
      <c r="BC39">
        <v>823</v>
      </c>
      <c r="BD39">
        <f>Grandview_Sales[[#This Row],[land_extract]]*Lookups!$B$3</f>
        <v>53837.216310592135</v>
      </c>
      <c r="BE39">
        <f>Lookups!$B$2</f>
        <v>155833.95000000001</v>
      </c>
      <c r="BF39">
        <f>VLOOKUP(Grandview_Sales[[#This Row],[quality]],Lookups!$H$2:$J$13,3,FALSE)</f>
        <v>10733</v>
      </c>
      <c r="BG39">
        <f>VLOOKUP(Grandview_Sales[[#This Row],[condition]],Lookups!$H$17:$J$24,3,FALSE)</f>
        <v>-4503</v>
      </c>
      <c r="BH39">
        <f>Grandview_Sales[[#This Row],[Eff_Age]]*Lookups!$B$14</f>
        <v>-11479.996799999999</v>
      </c>
      <c r="BI39">
        <f>Grandview_Sales[[#This Row],[living_area]]*Lookups!$B$15</f>
        <v>105673.164982</v>
      </c>
      <c r="BJ39">
        <f>Grandview_Sales[[#This Row],[Fin BSMT]]*Lookups!$B$16</f>
        <v>0</v>
      </c>
      <c r="BK39">
        <f>Grandview_Sales[[#This Row],[garage_sqft]]*Lookups!$B$17</f>
        <v>0</v>
      </c>
      <c r="BL39">
        <f>Grandview_Sales[[#This Row],[Plumbing Fixtures]]*Lookups!$B$18</f>
        <v>14073.0926</v>
      </c>
      <c r="BM39">
        <f>Grandview_Sales[[#This Row],[detatched_value]]*Lookups!$B$19</f>
        <v>0</v>
      </c>
      <c r="BN39">
        <f>Grandview_Sales[[#This Row],[days_prior]]*Lookups!$B$20</f>
        <v>-98717.697799999994</v>
      </c>
      <c r="BO39">
        <f>SUM(Grandview_Sales[[#This Row],[land_value]:[Days Prior To Assessment_value]])</f>
        <v>225449.72929259212</v>
      </c>
      <c r="BP39">
        <f>Grandview_Sales[[#This Row],[predicted_total]]/Grandview_Sales[[#This Row],[sale_price]]</f>
        <v>0.96759540468923655</v>
      </c>
      <c r="BQ39">
        <f>VLOOKUP(Grandview_Sales[[#This Row],[quality]],Lookups!$A$26:$C$33,3,FALSE)</f>
        <v>0.98079741117310582</v>
      </c>
      <c r="BR39">
        <f>VLOOKUP(Grandview_Sales[[#This Row],[condition]],Lookups!$A$37:$C$44,3,FALSE)</f>
        <v>0.96469275950863709</v>
      </c>
      <c r="BS39">
        <f>VLOOKUP(Grandview_Sales[[#This Row],[decade]],Lookups!$F$29:$H$43,3,FALSE)</f>
        <v>0.95268620544463312</v>
      </c>
      <c r="BT39">
        <f>VLOOKUP(Grandview_Sales[[#This Row],[living_area_range]],Lookups!$F$47:$H$56,3,FALSE)</f>
        <v>0.96120133463014379</v>
      </c>
      <c r="BU39">
        <f>Grandview_Sales[[#This Row],[predicted_total]]*AVERAGE(Grandview_Sales[[#This Row],[qual_adj]:[size_adj]])</f>
        <v>217523.91503198032</v>
      </c>
      <c r="BV39">
        <f>Grandview_Sales[[#This Row],[final_total]]/Grandview_Sales[[#This Row],[sale_price]]</f>
        <v>0.93357903447201851</v>
      </c>
      <c r="BW39" s="6">
        <f>(Grandview_Sales[[#This Row],[final_total]]-Grandview_Sales[[#This Row],[sale_price]])^2</f>
        <v>239509205.93736485</v>
      </c>
      <c r="BX39" s="6">
        <f>(Grandview_Sales[[#This Row],[final_total]]-AVERAGE(Grandview_Sales[sale_price]))^2</f>
        <v>7998664856.0378141</v>
      </c>
      <c r="BY39" s="6">
        <f>Grandview_Sales[[#This Row],[SSE]]+Grandview_Sales[[#This Row],[SSR]]</f>
        <v>8238174061.9751787</v>
      </c>
      <c r="BZ39" s="4">
        <f>ABS(Grandview_Sales[[#This Row],[final_ratio]]-MEDIAN(Grandview_Sales[final_ratio]))</f>
        <v>6.7669684883793435E-2</v>
      </c>
    </row>
    <row r="40" spans="1:78" x14ac:dyDescent="0.25">
      <c r="A40">
        <v>23091433520</v>
      </c>
      <c r="B40">
        <v>0.34</v>
      </c>
      <c r="C40">
        <v>14810</v>
      </c>
      <c r="D40">
        <v>0</v>
      </c>
      <c r="E40" t="s">
        <v>53</v>
      </c>
      <c r="F40" t="s">
        <v>53</v>
      </c>
      <c r="G40">
        <v>4</v>
      </c>
      <c r="H40" t="s">
        <v>54</v>
      </c>
      <c r="I40">
        <v>8800</v>
      </c>
      <c r="J40">
        <v>34400</v>
      </c>
      <c r="K40">
        <v>0.34</v>
      </c>
      <c r="L40">
        <v>-1.078809661372</v>
      </c>
      <c r="M40">
        <v>0</v>
      </c>
      <c r="N40">
        <v>0</v>
      </c>
      <c r="O40">
        <v>0</v>
      </c>
      <c r="P40">
        <v>13398.7528</v>
      </c>
      <c r="Q40">
        <v>63902.980100000001</v>
      </c>
      <c r="R40">
        <v>49448.276129026002</v>
      </c>
      <c r="S40" t="s">
        <v>68</v>
      </c>
      <c r="T40">
        <v>1</v>
      </c>
      <c r="U40" t="s">
        <v>70</v>
      </c>
      <c r="V40" t="s">
        <v>69</v>
      </c>
      <c r="W40">
        <v>0</v>
      </c>
      <c r="X40">
        <v>0</v>
      </c>
      <c r="Y40">
        <v>50</v>
      </c>
      <c r="Z40">
        <v>75</v>
      </c>
      <c r="AA40">
        <v>80</v>
      </c>
      <c r="AB40">
        <v>1000</v>
      </c>
      <c r="AC40">
        <v>612</v>
      </c>
      <c r="AD40">
        <v>612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5</v>
      </c>
      <c r="AM40">
        <v>0</v>
      </c>
      <c r="AN40">
        <v>0</v>
      </c>
      <c r="AO40" t="s">
        <v>58</v>
      </c>
      <c r="AP40">
        <v>1</v>
      </c>
      <c r="AQ40" t="s">
        <v>75</v>
      </c>
      <c r="AR40" t="s">
        <v>60</v>
      </c>
      <c r="AS40">
        <v>0</v>
      </c>
      <c r="AT40">
        <v>2</v>
      </c>
      <c r="AU40">
        <v>0</v>
      </c>
      <c r="AV40">
        <v>8100</v>
      </c>
      <c r="AW40">
        <v>100</v>
      </c>
      <c r="AX40" s="1">
        <v>44106</v>
      </c>
      <c r="AY40">
        <v>23600</v>
      </c>
      <c r="AZ40">
        <v>69422</v>
      </c>
      <c r="BA40">
        <v>93000</v>
      </c>
      <c r="BB40">
        <v>125000</v>
      </c>
      <c r="BC40">
        <v>821</v>
      </c>
      <c r="BD40">
        <f>Grandview_Sales[[#This Row],[land_extract]]*Lookups!$B$3</f>
        <v>57424.149558292345</v>
      </c>
      <c r="BE40">
        <f>Lookups!$B$2</f>
        <v>155833.95000000001</v>
      </c>
      <c r="BF40">
        <f>VLOOKUP(Grandview_Sales[[#This Row],[quality]],Lookups!$H$2:$J$13,3,FALSE)</f>
        <v>10733</v>
      </c>
      <c r="BG40">
        <f>VLOOKUP(Grandview_Sales[[#This Row],[condition]],Lookups!$H$17:$J$24,3,FALSE)</f>
        <v>-4503</v>
      </c>
      <c r="BH40">
        <f>Grandview_Sales[[#This Row],[Eff_Age]]*Lookups!$B$14</f>
        <v>-11958.33</v>
      </c>
      <c r="BI40">
        <f>Grandview_Sales[[#This Row],[living_area]]*Lookups!$B$15</f>
        <v>38177.082036</v>
      </c>
      <c r="BJ40">
        <f>Grandview_Sales[[#This Row],[Fin BSMT]]*Lookups!$B$16</f>
        <v>0</v>
      </c>
      <c r="BK40">
        <f>Grandview_Sales[[#This Row],[garage_sqft]]*Lookups!$B$17</f>
        <v>0</v>
      </c>
      <c r="BL40">
        <f>Grandview_Sales[[#This Row],[Plumbing Fixtures]]*Lookups!$B$18</f>
        <v>10052.209000000001</v>
      </c>
      <c r="BM40">
        <f>Grandview_Sales[[#This Row],[detatched_value]]*Lookups!$B$19</f>
        <v>6859.1213099999995</v>
      </c>
      <c r="BN40">
        <f>Grandview_Sales[[#This Row],[days_prior]]*Lookups!$B$20</f>
        <v>-98477.800600000002</v>
      </c>
      <c r="BO40">
        <f>SUM(Grandview_Sales[[#This Row],[land_value]:[Days Prior To Assessment_value]])</f>
        <v>164140.38130429236</v>
      </c>
      <c r="BP40">
        <f>Grandview_Sales[[#This Row],[predicted_total]]/Grandview_Sales[[#This Row],[sale_price]]</f>
        <v>1.313123050434339</v>
      </c>
      <c r="BQ40">
        <f>VLOOKUP(Grandview_Sales[[#This Row],[quality]],Lookups!$A$26:$C$33,3,FALSE)</f>
        <v>0.98079741117310582</v>
      </c>
      <c r="BR40">
        <f>VLOOKUP(Grandview_Sales[[#This Row],[condition]],Lookups!$A$37:$C$44,3,FALSE)</f>
        <v>0.96469275950863709</v>
      </c>
      <c r="BS40">
        <f>VLOOKUP(Grandview_Sales[[#This Row],[decade]],Lookups!$F$29:$H$43,3,FALSE)</f>
        <v>0.98763256963907298</v>
      </c>
      <c r="BT40">
        <f>VLOOKUP(Grandview_Sales[[#This Row],[living_area_range]],Lookups!$F$47:$H$56,3,FALSE)</f>
        <v>0.94306777142782894</v>
      </c>
      <c r="BU40">
        <f>Grandview_Sales[[#This Row],[predicted_total]]*AVERAGE(Grandview_Sales[[#This Row],[qual_adj]:[size_adj]])</f>
        <v>159059.84715162567</v>
      </c>
      <c r="BV40">
        <f>Grandview_Sales[[#This Row],[final_total]]/Grandview_Sales[[#This Row],[sale_price]]</f>
        <v>1.2724787772130053</v>
      </c>
      <c r="BW40" s="6">
        <f>(Grandview_Sales[[#This Row],[final_total]]-Grandview_Sales[[#This Row],[sale_price]])^2</f>
        <v>1160073187.9921031</v>
      </c>
      <c r="BX40" s="6">
        <f>(Grandview_Sales[[#This Row],[final_total]]-AVERAGE(Grandview_Sales[sale_price]))^2</f>
        <v>21874209740.090801</v>
      </c>
      <c r="BY40" s="6">
        <f>Grandview_Sales[[#This Row],[SSE]]+Grandview_Sales[[#This Row],[SSR]]</f>
        <v>23034282928.082905</v>
      </c>
      <c r="BZ40" s="4">
        <f>ABS(Grandview_Sales[[#This Row],[final_ratio]]-MEDIAN(Grandview_Sales[final_ratio]))</f>
        <v>0.27123005785719334</v>
      </c>
    </row>
    <row r="41" spans="1:78" x14ac:dyDescent="0.25">
      <c r="A41">
        <v>23092332484</v>
      </c>
      <c r="B41">
        <v>0.25</v>
      </c>
      <c r="C41">
        <v>10710</v>
      </c>
      <c r="D41">
        <v>0</v>
      </c>
      <c r="E41" t="s">
        <v>53</v>
      </c>
      <c r="F41" t="s">
        <v>53</v>
      </c>
      <c r="G41">
        <v>4</v>
      </c>
      <c r="H41" t="s">
        <v>54</v>
      </c>
      <c r="I41">
        <v>232000</v>
      </c>
      <c r="J41">
        <v>40000</v>
      </c>
      <c r="K41">
        <v>0.25</v>
      </c>
      <c r="L41">
        <v>-1.38629436112</v>
      </c>
      <c r="M41">
        <v>0</v>
      </c>
      <c r="N41">
        <v>0</v>
      </c>
      <c r="O41">
        <v>0</v>
      </c>
      <c r="P41">
        <v>13398.7528</v>
      </c>
      <c r="Q41">
        <v>63902.980100000001</v>
      </c>
      <c r="R41">
        <v>45328.364647321003</v>
      </c>
      <c r="S41" t="s">
        <v>61</v>
      </c>
      <c r="T41">
        <v>1</v>
      </c>
      <c r="U41" t="s">
        <v>56</v>
      </c>
      <c r="V41" t="s">
        <v>69</v>
      </c>
      <c r="W41">
        <v>30700</v>
      </c>
      <c r="X41">
        <v>0</v>
      </c>
      <c r="Y41">
        <v>47</v>
      </c>
      <c r="Z41">
        <v>57</v>
      </c>
      <c r="AA41">
        <v>60</v>
      </c>
      <c r="AB41">
        <v>2500</v>
      </c>
      <c r="AC41">
        <v>2130</v>
      </c>
      <c r="AD41">
        <v>2130</v>
      </c>
      <c r="AE41">
        <v>0</v>
      </c>
      <c r="AF41">
        <v>0</v>
      </c>
      <c r="AG41">
        <v>0</v>
      </c>
      <c r="AH41">
        <v>440</v>
      </c>
      <c r="AI41">
        <v>0</v>
      </c>
      <c r="AJ41">
        <v>0</v>
      </c>
      <c r="AK41">
        <v>0</v>
      </c>
      <c r="AL41">
        <v>11</v>
      </c>
      <c r="AM41">
        <v>0</v>
      </c>
      <c r="AN41">
        <v>1</v>
      </c>
      <c r="AO41" t="s">
        <v>58</v>
      </c>
      <c r="AP41">
        <v>1</v>
      </c>
      <c r="AQ41" t="s">
        <v>63</v>
      </c>
      <c r="AR41" t="s">
        <v>60</v>
      </c>
      <c r="AS41">
        <v>1</v>
      </c>
      <c r="AT41">
        <v>4</v>
      </c>
      <c r="AU41">
        <v>0</v>
      </c>
      <c r="AV41">
        <v>9000</v>
      </c>
      <c r="AW41">
        <v>100</v>
      </c>
      <c r="AX41" s="1">
        <v>44120</v>
      </c>
      <c r="AY41">
        <v>22900</v>
      </c>
      <c r="AZ41">
        <v>364831</v>
      </c>
      <c r="BA41">
        <v>387700</v>
      </c>
      <c r="BB41">
        <v>250000</v>
      </c>
      <c r="BC41">
        <v>807</v>
      </c>
      <c r="BD41">
        <f>Grandview_Sales[[#This Row],[land_extract]]*Lookups!$B$3</f>
        <v>52639.70747834933</v>
      </c>
      <c r="BE41">
        <f>Lookups!$B$2</f>
        <v>155833.95000000001</v>
      </c>
      <c r="BF41">
        <f>VLOOKUP(Grandview_Sales[[#This Row],[quality]],Lookups!$H$2:$J$13,3,FALSE)</f>
        <v>56323</v>
      </c>
      <c r="BG41">
        <f>VLOOKUP(Grandview_Sales[[#This Row],[condition]],Lookups!$H$17:$J$24,3,FALSE)</f>
        <v>-4503</v>
      </c>
      <c r="BH41">
        <f>Grandview_Sales[[#This Row],[Eff_Age]]*Lookups!$B$14</f>
        <v>-11240.8302</v>
      </c>
      <c r="BI41">
        <f>Grandview_Sales[[#This Row],[living_area]]*Lookups!$B$15</f>
        <v>132871.21689000001</v>
      </c>
      <c r="BJ41">
        <f>Grandview_Sales[[#This Row],[Fin BSMT]]*Lookups!$B$16</f>
        <v>0</v>
      </c>
      <c r="BK41">
        <f>Grandview_Sales[[#This Row],[garage_sqft]]*Lookups!$B$17</f>
        <v>38508.992279999999</v>
      </c>
      <c r="BL41">
        <f>Grandview_Sales[[#This Row],[Plumbing Fixtures]]*Lookups!$B$18</f>
        <v>22114.859800000002</v>
      </c>
      <c r="BM41">
        <f>Grandview_Sales[[#This Row],[detatched_value]]*Lookups!$B$19</f>
        <v>7621.2458999999999</v>
      </c>
      <c r="BN41">
        <f>Grandview_Sales[[#This Row],[days_prior]]*Lookups!$B$20</f>
        <v>-96798.520199999999</v>
      </c>
      <c r="BO41">
        <f>SUM(Grandview_Sales[[#This Row],[land_value]:[Days Prior To Assessment_value]])</f>
        <v>353370.62194834929</v>
      </c>
      <c r="BP41">
        <f>Grandview_Sales[[#This Row],[predicted_total]]/Grandview_Sales[[#This Row],[sale_price]]</f>
        <v>1.4134824877933971</v>
      </c>
      <c r="BQ41">
        <f>VLOOKUP(Grandview_Sales[[#This Row],[quality]],Lookups!$A$26:$C$33,3,FALSE)</f>
        <v>0.76437650671582003</v>
      </c>
      <c r="BR41">
        <f>VLOOKUP(Grandview_Sales[[#This Row],[condition]],Lookups!$A$37:$C$44,3,FALSE)</f>
        <v>0.96469275950863709</v>
      </c>
      <c r="BS41">
        <f>VLOOKUP(Grandview_Sales[[#This Row],[decade]],Lookups!$F$29:$H$43,3,FALSE)</f>
        <v>0.95268620544463312</v>
      </c>
      <c r="BT41">
        <f>VLOOKUP(Grandview_Sales[[#This Row],[living_area_range]],Lookups!$F$47:$H$56,3,FALSE)</f>
        <v>0.95799442568048754</v>
      </c>
      <c r="BU41">
        <f>Grandview_Sales[[#This Row],[predicted_total]]*AVERAGE(Grandview_Sales[[#This Row],[qual_adj]:[size_adj]])</f>
        <v>321545.17124071519</v>
      </c>
      <c r="BV41">
        <f>Grandview_Sales[[#This Row],[final_total]]/Grandview_Sales[[#This Row],[sale_price]]</f>
        <v>1.2861806849628608</v>
      </c>
      <c r="BW41" s="6">
        <f>(Grandview_Sales[[#This Row],[final_total]]-Grandview_Sales[[#This Row],[sale_price]])^2</f>
        <v>5118711527.8632603</v>
      </c>
      <c r="BX41" s="6">
        <f>(Grandview_Sales[[#This Row],[final_total]]-AVERAGE(Grandview_Sales[sale_price]))^2</f>
        <v>212751428.14247856</v>
      </c>
      <c r="BY41" s="6">
        <f>Grandview_Sales[[#This Row],[SSE]]+Grandview_Sales[[#This Row],[SSR]]</f>
        <v>5331462956.0057392</v>
      </c>
      <c r="BZ41" s="4">
        <f>ABS(Grandview_Sales[[#This Row],[final_ratio]]-MEDIAN(Grandview_Sales[final_ratio]))</f>
        <v>0.28493196560704881</v>
      </c>
    </row>
    <row r="42" spans="1:78" x14ac:dyDescent="0.25">
      <c r="A42">
        <v>23092323420</v>
      </c>
      <c r="B42">
        <v>0.09</v>
      </c>
      <c r="C42">
        <v>3882</v>
      </c>
      <c r="D42">
        <v>0</v>
      </c>
      <c r="E42" t="s">
        <v>53</v>
      </c>
      <c r="F42" t="s">
        <v>53</v>
      </c>
      <c r="G42">
        <v>4</v>
      </c>
      <c r="H42" t="s">
        <v>54</v>
      </c>
      <c r="I42">
        <v>63600</v>
      </c>
      <c r="J42">
        <v>37600</v>
      </c>
      <c r="K42">
        <v>0.09</v>
      </c>
      <c r="L42">
        <v>-2.4079456086520001</v>
      </c>
      <c r="M42">
        <v>0</v>
      </c>
      <c r="N42">
        <v>0</v>
      </c>
      <c r="O42">
        <v>0</v>
      </c>
      <c r="P42">
        <v>13398.7528</v>
      </c>
      <c r="Q42">
        <v>63902.980100000001</v>
      </c>
      <c r="R42">
        <v>31639.512133828001</v>
      </c>
      <c r="S42" t="s">
        <v>68</v>
      </c>
      <c r="T42">
        <v>1</v>
      </c>
      <c r="U42" t="s">
        <v>80</v>
      </c>
      <c r="V42" t="s">
        <v>78</v>
      </c>
      <c r="W42">
        <v>0</v>
      </c>
      <c r="X42">
        <v>0</v>
      </c>
      <c r="Y42">
        <v>51</v>
      </c>
      <c r="Z42">
        <v>83</v>
      </c>
      <c r="AA42">
        <v>80</v>
      </c>
      <c r="AB42">
        <v>1000</v>
      </c>
      <c r="AC42">
        <v>687</v>
      </c>
      <c r="AD42">
        <v>687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5</v>
      </c>
      <c r="AM42">
        <v>0</v>
      </c>
      <c r="AN42">
        <v>0</v>
      </c>
      <c r="AO42" t="s">
        <v>58</v>
      </c>
      <c r="AP42">
        <v>0</v>
      </c>
      <c r="AQ42" t="s">
        <v>82</v>
      </c>
      <c r="AR42" t="s">
        <v>60</v>
      </c>
      <c r="AS42">
        <v>0</v>
      </c>
      <c r="AT42">
        <v>2</v>
      </c>
      <c r="AU42">
        <v>0</v>
      </c>
      <c r="AV42">
        <v>0</v>
      </c>
      <c r="AW42">
        <v>100</v>
      </c>
      <c r="AX42" s="1">
        <v>44123</v>
      </c>
      <c r="AY42">
        <v>21500</v>
      </c>
      <c r="AZ42">
        <v>48874</v>
      </c>
      <c r="BA42">
        <v>70400</v>
      </c>
      <c r="BB42">
        <v>120000</v>
      </c>
      <c r="BC42">
        <v>804</v>
      </c>
      <c r="BD42">
        <f>Grandview_Sales[[#This Row],[land_extract]]*Lookups!$B$3</f>
        <v>36742.880014331698</v>
      </c>
      <c r="BE42">
        <f>Lookups!$B$2</f>
        <v>155833.95000000001</v>
      </c>
      <c r="BF42">
        <f>VLOOKUP(Grandview_Sales[[#This Row],[quality]],Lookups!$H$2:$J$13,3,FALSE)</f>
        <v>-28558</v>
      </c>
      <c r="BG42">
        <f>VLOOKUP(Grandview_Sales[[#This Row],[condition]],Lookups!$H$17:$J$24,3,FALSE)</f>
        <v>-45357</v>
      </c>
      <c r="BH42">
        <f>Grandview_Sales[[#This Row],[Eff_Age]]*Lookups!$B$14</f>
        <v>-12197.496599999999</v>
      </c>
      <c r="BI42">
        <f>Grandview_Sales[[#This Row],[living_area]]*Lookups!$B$15</f>
        <v>42855.646011000004</v>
      </c>
      <c r="BJ42">
        <f>Grandview_Sales[[#This Row],[Fin BSMT]]*Lookups!$B$16</f>
        <v>0</v>
      </c>
      <c r="BK42">
        <f>Grandview_Sales[[#This Row],[garage_sqft]]*Lookups!$B$17</f>
        <v>0</v>
      </c>
      <c r="BL42">
        <f>Grandview_Sales[[#This Row],[Plumbing Fixtures]]*Lookups!$B$18</f>
        <v>10052.209000000001</v>
      </c>
      <c r="BM42">
        <f>Grandview_Sales[[#This Row],[detatched_value]]*Lookups!$B$19</f>
        <v>0</v>
      </c>
      <c r="BN42">
        <f>Grandview_Sales[[#This Row],[days_prior]]*Lookups!$B$20</f>
        <v>-96438.674400000004</v>
      </c>
      <c r="BO42">
        <f>SUM(Grandview_Sales[[#This Row],[land_value]:[Days Prior To Assessment_value]])</f>
        <v>62933.514025331693</v>
      </c>
      <c r="BP42">
        <f>Grandview_Sales[[#This Row],[predicted_total]]/Grandview_Sales[[#This Row],[sale_price]]</f>
        <v>0.52444595021109741</v>
      </c>
      <c r="BQ42">
        <f>VLOOKUP(Grandview_Sales[[#This Row],[quality]],Lookups!$A$26:$C$33,3,FALSE)</f>
        <v>0.9690360070159818</v>
      </c>
      <c r="BR42">
        <f>VLOOKUP(Grandview_Sales[[#This Row],[condition]],Lookups!$A$37:$C$44,3,FALSE)</f>
        <v>0.97161819570155394</v>
      </c>
      <c r="BS42">
        <f>VLOOKUP(Grandview_Sales[[#This Row],[decade]],Lookups!$F$29:$H$43,3,FALSE)</f>
        <v>0.98763256963907298</v>
      </c>
      <c r="BT42">
        <f>VLOOKUP(Grandview_Sales[[#This Row],[living_area_range]],Lookups!$F$47:$H$56,3,FALSE)</f>
        <v>0.94306777142782894</v>
      </c>
      <c r="BU42">
        <f>Grandview_Sales[[#This Row],[predicted_total]]*AVERAGE(Grandview_Sales[[#This Row],[qual_adj]:[size_adj]])</f>
        <v>60909.486369572369</v>
      </c>
      <c r="BV42">
        <f>Grandview_Sales[[#This Row],[final_total]]/Grandview_Sales[[#This Row],[sale_price]]</f>
        <v>0.50757905307976969</v>
      </c>
      <c r="BW42" s="6">
        <f>(Grandview_Sales[[#This Row],[final_total]]-Grandview_Sales[[#This Row],[sale_price]])^2</f>
        <v>3491688801.1077538</v>
      </c>
      <c r="BX42" s="6">
        <f>(Grandview_Sales[[#This Row],[final_total]]-AVERAGE(Grandview_Sales[sale_price]))^2</f>
        <v>60540446882.980652</v>
      </c>
      <c r="BY42" s="6">
        <f>Grandview_Sales[[#This Row],[SSE]]+Grandview_Sales[[#This Row],[SSR]]</f>
        <v>64032135684.088409</v>
      </c>
      <c r="BZ42" s="4">
        <f>ABS(Grandview_Sales[[#This Row],[final_ratio]]-MEDIAN(Grandview_Sales[final_ratio]))</f>
        <v>0.49366966627604225</v>
      </c>
    </row>
    <row r="43" spans="1:78" x14ac:dyDescent="0.25">
      <c r="A43">
        <v>23092214428</v>
      </c>
      <c r="B43">
        <v>0.19</v>
      </c>
      <c r="C43">
        <v>8395</v>
      </c>
      <c r="D43">
        <v>0</v>
      </c>
      <c r="E43" t="s">
        <v>53</v>
      </c>
      <c r="F43" t="s">
        <v>53</v>
      </c>
      <c r="G43">
        <v>4</v>
      </c>
      <c r="H43" t="s">
        <v>54</v>
      </c>
      <c r="I43">
        <v>240600</v>
      </c>
      <c r="J43">
        <v>43500</v>
      </c>
      <c r="K43">
        <v>0.19</v>
      </c>
      <c r="L43">
        <v>-1.6607312068219999</v>
      </c>
      <c r="M43">
        <v>0</v>
      </c>
      <c r="N43">
        <v>0</v>
      </c>
      <c r="O43">
        <v>0</v>
      </c>
      <c r="P43">
        <v>13398.7528</v>
      </c>
      <c r="Q43">
        <v>63902.980100000001</v>
      </c>
      <c r="R43">
        <v>41651.253192550997</v>
      </c>
      <c r="S43" t="s">
        <v>61</v>
      </c>
      <c r="T43">
        <v>1</v>
      </c>
      <c r="U43" t="s">
        <v>62</v>
      </c>
      <c r="V43" t="s">
        <v>67</v>
      </c>
      <c r="W43">
        <v>0</v>
      </c>
      <c r="X43">
        <v>0</v>
      </c>
      <c r="Y43">
        <v>49</v>
      </c>
      <c r="Z43">
        <v>68</v>
      </c>
      <c r="AA43">
        <v>70</v>
      </c>
      <c r="AB43">
        <v>3000</v>
      </c>
      <c r="AC43">
        <v>2557</v>
      </c>
      <c r="AD43">
        <v>1364</v>
      </c>
      <c r="AE43">
        <v>0</v>
      </c>
      <c r="AF43">
        <v>1193</v>
      </c>
      <c r="AG43">
        <v>0</v>
      </c>
      <c r="AH43">
        <v>384</v>
      </c>
      <c r="AI43">
        <v>0</v>
      </c>
      <c r="AJ43">
        <v>0</v>
      </c>
      <c r="AK43">
        <v>160</v>
      </c>
      <c r="AL43">
        <v>8</v>
      </c>
      <c r="AM43">
        <v>0</v>
      </c>
      <c r="AN43">
        <v>0</v>
      </c>
      <c r="AO43" t="s">
        <v>58</v>
      </c>
      <c r="AP43">
        <v>1</v>
      </c>
      <c r="AQ43" t="s">
        <v>63</v>
      </c>
      <c r="AR43" t="s">
        <v>64</v>
      </c>
      <c r="AS43">
        <v>1</v>
      </c>
      <c r="AT43">
        <v>2</v>
      </c>
      <c r="AU43">
        <v>0</v>
      </c>
      <c r="AV43">
        <v>5900</v>
      </c>
      <c r="AW43">
        <v>100</v>
      </c>
      <c r="AX43" s="1">
        <v>44124</v>
      </c>
      <c r="AY43">
        <v>24900</v>
      </c>
      <c r="AZ43">
        <v>274159</v>
      </c>
      <c r="BA43">
        <v>299100</v>
      </c>
      <c r="BB43">
        <v>278500</v>
      </c>
      <c r="BC43">
        <v>803</v>
      </c>
      <c r="BD43">
        <f>Grandview_Sales[[#This Row],[land_extract]]*Lookups!$B$3</f>
        <v>48369.487874125851</v>
      </c>
      <c r="BE43">
        <f>Lookups!$B$2</f>
        <v>155833.95000000001</v>
      </c>
      <c r="BF43">
        <f>VLOOKUP(Grandview_Sales[[#This Row],[quality]],Lookups!$H$2:$J$13,3,FALSE)</f>
        <v>9808</v>
      </c>
      <c r="BG43">
        <f>VLOOKUP(Grandview_Sales[[#This Row],[condition]],Lookups!$H$17:$J$24,3,FALSE)</f>
        <v>22342</v>
      </c>
      <c r="BH43">
        <f>Grandview_Sales[[#This Row],[Eff_Age]]*Lookups!$B$14</f>
        <v>-11719.163399999999</v>
      </c>
      <c r="BI43">
        <f>Grandview_Sales[[#This Row],[living_area]]*Lookups!$B$15</f>
        <v>159507.841121</v>
      </c>
      <c r="BJ43">
        <f>Grandview_Sales[[#This Row],[Fin BSMT]]*Lookups!$B$16</f>
        <v>-32329.393320000003</v>
      </c>
      <c r="BK43">
        <f>Grandview_Sales[[#This Row],[garage_sqft]]*Lookups!$B$17</f>
        <v>33607.847807999999</v>
      </c>
      <c r="BL43">
        <f>Grandview_Sales[[#This Row],[Plumbing Fixtures]]*Lookups!$B$18</f>
        <v>16083.5344</v>
      </c>
      <c r="BM43">
        <f>Grandview_Sales[[#This Row],[detatched_value]]*Lookups!$B$19</f>
        <v>4996.1500900000001</v>
      </c>
      <c r="BN43">
        <f>Grandview_Sales[[#This Row],[days_prior]]*Lookups!$B$20</f>
        <v>-96318.7258</v>
      </c>
      <c r="BO43">
        <f>SUM(Grandview_Sales[[#This Row],[land_value]:[Days Prior To Assessment_value]])</f>
        <v>310181.5287731259</v>
      </c>
      <c r="BP43">
        <f>Grandview_Sales[[#This Row],[predicted_total]]/Grandview_Sales[[#This Row],[sale_price]]</f>
        <v>1.113757733476215</v>
      </c>
      <c r="BQ43">
        <f>VLOOKUP(Grandview_Sales[[#This Row],[quality]],Lookups!$A$26:$C$33,3,FALSE)</f>
        <v>0.94295468617355149</v>
      </c>
      <c r="BR43">
        <f>VLOOKUP(Grandview_Sales[[#This Row],[condition]],Lookups!$A$37:$C$44,3,FALSE)</f>
        <v>0.97383723671140243</v>
      </c>
      <c r="BS43">
        <f>VLOOKUP(Grandview_Sales[[#This Row],[decade]],Lookups!$F$29:$H$43,3,FALSE)</f>
        <v>0.99472141305414818</v>
      </c>
      <c r="BT43">
        <f>VLOOKUP(Grandview_Sales[[#This Row],[living_area_range]],Lookups!$F$47:$H$56,3,FALSE)</f>
        <v>0.94224801443562123</v>
      </c>
      <c r="BU43">
        <f>Grandview_Sales[[#This Row],[predicted_total]]*AVERAGE(Grandview_Sales[[#This Row],[qual_adj]:[size_adj]])</f>
        <v>298841.39679650444</v>
      </c>
      <c r="BV43">
        <f>Grandview_Sales[[#This Row],[final_total]]/Grandview_Sales[[#This Row],[sale_price]]</f>
        <v>1.0730391267378974</v>
      </c>
      <c r="BW43" s="6">
        <f>(Grandview_Sales[[#This Row],[final_total]]-Grandview_Sales[[#This Row],[sale_price]])^2</f>
        <v>413772423.63284123</v>
      </c>
      <c r="BX43" s="6">
        <f>(Grandview_Sales[[#This Row],[final_total]]-AVERAGE(Grandview_Sales[sale_price]))^2</f>
        <v>65898244.038327329</v>
      </c>
      <c r="BY43" s="6">
        <f>Grandview_Sales[[#This Row],[SSE]]+Grandview_Sales[[#This Row],[SSR]]</f>
        <v>479670667.67116857</v>
      </c>
      <c r="BZ43" s="4">
        <f>ABS(Grandview_Sales[[#This Row],[final_ratio]]-MEDIAN(Grandview_Sales[final_ratio]))</f>
        <v>7.1790407382085419E-2</v>
      </c>
    </row>
    <row r="44" spans="1:78" x14ac:dyDescent="0.25">
      <c r="A44">
        <v>23092612413</v>
      </c>
      <c r="B44">
        <v>0.16</v>
      </c>
      <c r="C44">
        <v>7000</v>
      </c>
      <c r="D44">
        <v>0</v>
      </c>
      <c r="E44" t="s">
        <v>53</v>
      </c>
      <c r="F44" t="s">
        <v>53</v>
      </c>
      <c r="G44">
        <v>4</v>
      </c>
      <c r="H44" t="s">
        <v>54</v>
      </c>
      <c r="I44">
        <v>247200</v>
      </c>
      <c r="J44">
        <v>42800</v>
      </c>
      <c r="K44">
        <v>0.16</v>
      </c>
      <c r="L44">
        <v>-1.832581463748</v>
      </c>
      <c r="M44">
        <v>0</v>
      </c>
      <c r="N44">
        <v>0</v>
      </c>
      <c r="O44">
        <v>0</v>
      </c>
      <c r="P44">
        <v>13398.7528</v>
      </c>
      <c r="Q44">
        <v>63902.980100000001</v>
      </c>
      <c r="R44">
        <v>39348.674081374003</v>
      </c>
      <c r="S44" t="s">
        <v>61</v>
      </c>
      <c r="T44">
        <v>1</v>
      </c>
      <c r="U44" t="s">
        <v>64</v>
      </c>
      <c r="V44" t="s">
        <v>67</v>
      </c>
      <c r="W44">
        <v>0</v>
      </c>
      <c r="X44">
        <v>0</v>
      </c>
      <c r="Y44">
        <v>16</v>
      </c>
      <c r="Z44">
        <v>16</v>
      </c>
      <c r="AA44">
        <v>20</v>
      </c>
      <c r="AB44">
        <v>2000</v>
      </c>
      <c r="AC44">
        <v>1551</v>
      </c>
      <c r="AD44">
        <v>1551</v>
      </c>
      <c r="AE44">
        <v>0</v>
      </c>
      <c r="AF44">
        <v>0</v>
      </c>
      <c r="AG44">
        <v>0</v>
      </c>
      <c r="AH44">
        <v>444</v>
      </c>
      <c r="AI44">
        <v>0</v>
      </c>
      <c r="AJ44">
        <v>0</v>
      </c>
      <c r="AK44">
        <v>144</v>
      </c>
      <c r="AL44">
        <v>10</v>
      </c>
      <c r="AM44">
        <v>0</v>
      </c>
      <c r="AN44">
        <v>0</v>
      </c>
      <c r="AO44" t="s">
        <v>58</v>
      </c>
      <c r="AP44">
        <v>1</v>
      </c>
      <c r="AQ44" t="s">
        <v>63</v>
      </c>
      <c r="AR44" t="s">
        <v>64</v>
      </c>
      <c r="AS44">
        <v>1</v>
      </c>
      <c r="AT44">
        <v>3</v>
      </c>
      <c r="AU44">
        <v>0</v>
      </c>
      <c r="AV44">
        <v>0</v>
      </c>
      <c r="AW44">
        <v>100</v>
      </c>
      <c r="AX44" s="1">
        <v>44125</v>
      </c>
      <c r="AY44">
        <v>24500</v>
      </c>
      <c r="AZ44">
        <v>297007</v>
      </c>
      <c r="BA44">
        <v>321500</v>
      </c>
      <c r="BB44">
        <v>287400</v>
      </c>
      <c r="BC44">
        <v>802</v>
      </c>
      <c r="BD44">
        <f>Grandview_Sales[[#This Row],[land_extract]]*Lookups!$B$3</f>
        <v>45695.50896927961</v>
      </c>
      <c r="BE44">
        <f>Lookups!$B$2</f>
        <v>155833.95000000001</v>
      </c>
      <c r="BF44">
        <f>VLOOKUP(Grandview_Sales[[#This Row],[quality]],Lookups!$H$2:$J$13,3,FALSE)</f>
        <v>20768</v>
      </c>
      <c r="BG44">
        <f>VLOOKUP(Grandview_Sales[[#This Row],[condition]],Lookups!$H$17:$J$24,3,FALSE)</f>
        <v>22342</v>
      </c>
      <c r="BH44">
        <f>Grandview_Sales[[#This Row],[Eff_Age]]*Lookups!$B$14</f>
        <v>-3826.6655999999998</v>
      </c>
      <c r="BI44">
        <f>Grandview_Sales[[#This Row],[living_area]]*Lookups!$B$15</f>
        <v>96752.703003000002</v>
      </c>
      <c r="BJ44">
        <f>Grandview_Sales[[#This Row],[Fin BSMT]]*Lookups!$B$16</f>
        <v>0</v>
      </c>
      <c r="BK44">
        <f>Grandview_Sales[[#This Row],[garage_sqft]]*Lookups!$B$17</f>
        <v>38859.074028000003</v>
      </c>
      <c r="BL44">
        <f>Grandview_Sales[[#This Row],[Plumbing Fixtures]]*Lookups!$B$18</f>
        <v>20104.418000000001</v>
      </c>
      <c r="BM44">
        <f>Grandview_Sales[[#This Row],[detatched_value]]*Lookups!$B$19</f>
        <v>0</v>
      </c>
      <c r="BN44">
        <f>Grandview_Sales[[#This Row],[days_prior]]*Lookups!$B$20</f>
        <v>-96198.777199999997</v>
      </c>
      <c r="BO44">
        <f>SUM(Grandview_Sales[[#This Row],[land_value]:[Days Prior To Assessment_value]])</f>
        <v>300330.21120027959</v>
      </c>
      <c r="BP44">
        <f>Grandview_Sales[[#This Row],[predicted_total]]/Grandview_Sales[[#This Row],[sale_price]]</f>
        <v>1.0449902964519122</v>
      </c>
      <c r="BQ44">
        <f>VLOOKUP(Grandview_Sales[[#This Row],[quality]],Lookups!$A$26:$C$33,3,FALSE)</f>
        <v>0.94960540378902636</v>
      </c>
      <c r="BR44">
        <f>VLOOKUP(Grandview_Sales[[#This Row],[condition]],Lookups!$A$37:$C$44,3,FALSE)</f>
        <v>0.97383723671140243</v>
      </c>
      <c r="BS44">
        <f>VLOOKUP(Grandview_Sales[[#This Row],[decade]],Lookups!$F$29:$H$43,3,FALSE)</f>
        <v>0.96737494181490646</v>
      </c>
      <c r="BT44">
        <f>VLOOKUP(Grandview_Sales[[#This Row],[living_area_range]],Lookups!$F$47:$H$56,3,FALSE)</f>
        <v>0.96120133463014379</v>
      </c>
      <c r="BU44">
        <f>Grandview_Sales[[#This Row],[predicted_total]]*AVERAGE(Grandview_Sales[[#This Row],[qual_adj]:[size_adj]])</f>
        <v>289219.41371842695</v>
      </c>
      <c r="BV44">
        <f>Grandview_Sales[[#This Row],[final_total]]/Grandview_Sales[[#This Row],[sale_price]]</f>
        <v>1.0063305974893073</v>
      </c>
      <c r="BW44" s="6">
        <f>(Grandview_Sales[[#This Row],[final_total]]-Grandview_Sales[[#This Row],[sale_price]])^2</f>
        <v>3310266.2788001783</v>
      </c>
      <c r="BX44" s="6">
        <f>(Grandview_Sales[[#This Row],[final_total]]-AVERAGE(Grandview_Sales[sale_price]))^2</f>
        <v>314698957.85732013</v>
      </c>
      <c r="BY44" s="6">
        <f>Grandview_Sales[[#This Row],[SSE]]+Grandview_Sales[[#This Row],[SSR]]</f>
        <v>318009224.13612032</v>
      </c>
      <c r="BZ44" s="4">
        <f>ABS(Grandview_Sales[[#This Row],[final_ratio]]-MEDIAN(Grandview_Sales[final_ratio]))</f>
        <v>5.0818781334953655E-3</v>
      </c>
    </row>
    <row r="45" spans="1:78" x14ac:dyDescent="0.25">
      <c r="A45">
        <v>23092314450</v>
      </c>
      <c r="B45">
        <v>0.18</v>
      </c>
      <c r="C45">
        <v>7666</v>
      </c>
      <c r="D45">
        <v>0</v>
      </c>
      <c r="E45" t="s">
        <v>53</v>
      </c>
      <c r="F45" t="s">
        <v>53</v>
      </c>
      <c r="G45">
        <v>4</v>
      </c>
      <c r="H45" t="s">
        <v>54</v>
      </c>
      <c r="I45">
        <v>76700</v>
      </c>
      <c r="J45">
        <v>39300</v>
      </c>
      <c r="K45">
        <v>0.18</v>
      </c>
      <c r="L45">
        <v>-1.7147984280919999</v>
      </c>
      <c r="M45">
        <v>0</v>
      </c>
      <c r="N45">
        <v>0</v>
      </c>
      <c r="O45">
        <v>0</v>
      </c>
      <c r="P45">
        <v>13398.7528</v>
      </c>
      <c r="Q45">
        <v>63902.980100000001</v>
      </c>
      <c r="R45">
        <v>40926.819860167998</v>
      </c>
      <c r="S45" t="s">
        <v>68</v>
      </c>
      <c r="T45">
        <v>1</v>
      </c>
      <c r="U45" t="s">
        <v>70</v>
      </c>
      <c r="V45" t="s">
        <v>78</v>
      </c>
      <c r="W45">
        <v>0</v>
      </c>
      <c r="X45">
        <v>0</v>
      </c>
      <c r="Y45">
        <v>52</v>
      </c>
      <c r="Z45">
        <v>88</v>
      </c>
      <c r="AA45">
        <v>90</v>
      </c>
      <c r="AB45">
        <v>1000</v>
      </c>
      <c r="AC45">
        <v>756</v>
      </c>
      <c r="AD45">
        <v>756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308</v>
      </c>
      <c r="AL45">
        <v>5</v>
      </c>
      <c r="AM45">
        <v>0</v>
      </c>
      <c r="AN45">
        <v>0</v>
      </c>
      <c r="AO45" t="s">
        <v>58</v>
      </c>
      <c r="AP45">
        <v>0</v>
      </c>
      <c r="AQ45" t="s">
        <v>82</v>
      </c>
      <c r="AR45" t="s">
        <v>64</v>
      </c>
      <c r="AS45">
        <v>0</v>
      </c>
      <c r="AT45">
        <v>2</v>
      </c>
      <c r="AU45">
        <v>0</v>
      </c>
      <c r="AV45">
        <v>1300</v>
      </c>
      <c r="AW45">
        <v>100</v>
      </c>
      <c r="AX45" s="1">
        <v>44127</v>
      </c>
      <c r="AY45">
        <v>22500</v>
      </c>
      <c r="AZ45">
        <v>58103</v>
      </c>
      <c r="BA45">
        <v>80600</v>
      </c>
      <c r="BB45">
        <v>81000</v>
      </c>
      <c r="BC45">
        <v>800</v>
      </c>
      <c r="BD45">
        <f>Grandview_Sales[[#This Row],[land_extract]]*Lookups!$B$3</f>
        <v>47528.20540119947</v>
      </c>
      <c r="BE45">
        <f>Lookups!$B$2</f>
        <v>155833.95000000001</v>
      </c>
      <c r="BF45">
        <f>VLOOKUP(Grandview_Sales[[#This Row],[quality]],Lookups!$H$2:$J$13,3,FALSE)</f>
        <v>10733</v>
      </c>
      <c r="BG45">
        <f>VLOOKUP(Grandview_Sales[[#This Row],[condition]],Lookups!$H$17:$J$24,3,FALSE)</f>
        <v>-45357</v>
      </c>
      <c r="BH45">
        <f>Grandview_Sales[[#This Row],[Eff_Age]]*Lookups!$B$14</f>
        <v>-12436.663199999999</v>
      </c>
      <c r="BI45">
        <f>Grandview_Sales[[#This Row],[living_area]]*Lookups!$B$15</f>
        <v>47159.924868000002</v>
      </c>
      <c r="BJ45">
        <f>Grandview_Sales[[#This Row],[Fin BSMT]]*Lookups!$B$16</f>
        <v>0</v>
      </c>
      <c r="BK45">
        <f>Grandview_Sales[[#This Row],[garage_sqft]]*Lookups!$B$17</f>
        <v>0</v>
      </c>
      <c r="BL45">
        <f>Grandview_Sales[[#This Row],[Plumbing Fixtures]]*Lookups!$B$18</f>
        <v>10052.209000000001</v>
      </c>
      <c r="BM45">
        <f>Grandview_Sales[[#This Row],[detatched_value]]*Lookups!$B$19</f>
        <v>1100.84663</v>
      </c>
      <c r="BN45">
        <f>Grandview_Sales[[#This Row],[days_prior]]*Lookups!$B$20</f>
        <v>-95958.88</v>
      </c>
      <c r="BO45">
        <f>SUM(Grandview_Sales[[#This Row],[land_value]:[Days Prior To Assessment_value]])</f>
        <v>118655.59269919945</v>
      </c>
      <c r="BP45">
        <f>Grandview_Sales[[#This Row],[predicted_total]]/Grandview_Sales[[#This Row],[sale_price]]</f>
        <v>1.4648838604839438</v>
      </c>
      <c r="BQ45">
        <f>VLOOKUP(Grandview_Sales[[#This Row],[quality]],Lookups!$A$26:$C$33,3,FALSE)</f>
        <v>0.98079741117310582</v>
      </c>
      <c r="BR45">
        <f>VLOOKUP(Grandview_Sales[[#This Row],[condition]],Lookups!$A$37:$C$44,3,FALSE)</f>
        <v>0.97161819570155394</v>
      </c>
      <c r="BS45">
        <f>VLOOKUP(Grandview_Sales[[#This Row],[decade]],Lookups!$F$29:$H$43,3,FALSE)</f>
        <v>0.94161750052457416</v>
      </c>
      <c r="BT45">
        <f>VLOOKUP(Grandview_Sales[[#This Row],[living_area_range]],Lookups!$F$47:$H$56,3,FALSE)</f>
        <v>0.94306777142782894</v>
      </c>
      <c r="BU45">
        <f>Grandview_Sales[[#This Row],[predicted_total]]*AVERAGE(Grandview_Sales[[#This Row],[qual_adj]:[size_adj]])</f>
        <v>113823.36975596104</v>
      </c>
      <c r="BV45">
        <f>Grandview_Sales[[#This Row],[final_total]]/Grandview_Sales[[#This Row],[sale_price]]</f>
        <v>1.4052267871106301</v>
      </c>
      <c r="BW45" s="6">
        <f>(Grandview_Sales[[#This Row],[final_total]]-Grandview_Sales[[#This Row],[sale_price]])^2</f>
        <v>1077373602.1365383</v>
      </c>
      <c r="BX45" s="6">
        <f>(Grandview_Sales[[#This Row],[final_total]]-AVERAGE(Grandview_Sales[sale_price]))^2</f>
        <v>37301437389.554138</v>
      </c>
      <c r="BY45" s="6">
        <f>Grandview_Sales[[#This Row],[SSE]]+Grandview_Sales[[#This Row],[SSR]]</f>
        <v>38378810991.690674</v>
      </c>
      <c r="BZ45" s="4">
        <f>ABS(Grandview_Sales[[#This Row],[final_ratio]]-MEDIAN(Grandview_Sales[final_ratio]))</f>
        <v>0.40397806775481815</v>
      </c>
    </row>
    <row r="46" spans="1:78" x14ac:dyDescent="0.25">
      <c r="A46">
        <v>23092422407</v>
      </c>
      <c r="B46">
        <v>0.39</v>
      </c>
      <c r="C46">
        <v>17100</v>
      </c>
      <c r="D46">
        <v>0</v>
      </c>
      <c r="E46" t="s">
        <v>53</v>
      </c>
      <c r="F46" t="s">
        <v>53</v>
      </c>
      <c r="G46">
        <v>4</v>
      </c>
      <c r="H46" t="s">
        <v>54</v>
      </c>
      <c r="I46">
        <v>84400</v>
      </c>
      <c r="J46">
        <v>41100</v>
      </c>
      <c r="K46">
        <v>0.39</v>
      </c>
      <c r="L46">
        <v>-0.94160853985799997</v>
      </c>
      <c r="M46">
        <v>0</v>
      </c>
      <c r="N46">
        <v>0</v>
      </c>
      <c r="O46">
        <v>0</v>
      </c>
      <c r="P46">
        <v>13398.7528</v>
      </c>
      <c r="Q46">
        <v>63902.980100000001</v>
      </c>
      <c r="R46">
        <v>51286.600040067999</v>
      </c>
      <c r="S46" t="s">
        <v>68</v>
      </c>
      <c r="T46">
        <v>1</v>
      </c>
      <c r="U46" t="s">
        <v>80</v>
      </c>
      <c r="V46" t="s">
        <v>69</v>
      </c>
      <c r="W46">
        <v>0</v>
      </c>
      <c r="X46">
        <v>0</v>
      </c>
      <c r="Y46">
        <v>51</v>
      </c>
      <c r="Z46">
        <v>83</v>
      </c>
      <c r="AA46">
        <v>80</v>
      </c>
      <c r="AB46">
        <v>1000</v>
      </c>
      <c r="AC46">
        <v>528</v>
      </c>
      <c r="AD46">
        <v>528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</v>
      </c>
      <c r="AM46">
        <v>0</v>
      </c>
      <c r="AN46">
        <v>0</v>
      </c>
      <c r="AO46" t="s">
        <v>58</v>
      </c>
      <c r="AP46">
        <v>0</v>
      </c>
      <c r="AQ46" t="s">
        <v>82</v>
      </c>
      <c r="AR46" t="s">
        <v>60</v>
      </c>
      <c r="AS46">
        <v>0</v>
      </c>
      <c r="AT46">
        <v>1</v>
      </c>
      <c r="AU46">
        <v>0</v>
      </c>
      <c r="AV46">
        <v>5600</v>
      </c>
      <c r="AW46">
        <v>100</v>
      </c>
      <c r="AX46" s="1">
        <v>44131</v>
      </c>
      <c r="AY46">
        <v>23500</v>
      </c>
      <c r="AZ46">
        <v>53358</v>
      </c>
      <c r="BA46">
        <v>76900</v>
      </c>
      <c r="BB46">
        <v>85000</v>
      </c>
      <c r="BC46">
        <v>796</v>
      </c>
      <c r="BD46">
        <f>Grandview_Sales[[#This Row],[land_extract]]*Lookups!$B$3</f>
        <v>59558.99015271086</v>
      </c>
      <c r="BE46">
        <f>Lookups!$B$2</f>
        <v>155833.95000000001</v>
      </c>
      <c r="BF46">
        <f>VLOOKUP(Grandview_Sales[[#This Row],[quality]],Lookups!$H$2:$J$13,3,FALSE)</f>
        <v>-28558</v>
      </c>
      <c r="BG46">
        <f>VLOOKUP(Grandview_Sales[[#This Row],[condition]],Lookups!$H$17:$J$24,3,FALSE)</f>
        <v>-4503</v>
      </c>
      <c r="BH46">
        <f>Grandview_Sales[[#This Row],[Eff_Age]]*Lookups!$B$14</f>
        <v>-12197.496599999999</v>
      </c>
      <c r="BI46">
        <f>Grandview_Sales[[#This Row],[living_area]]*Lookups!$B$15</f>
        <v>32937.090384000003</v>
      </c>
      <c r="BJ46">
        <f>Grandview_Sales[[#This Row],[Fin BSMT]]*Lookups!$B$16</f>
        <v>0</v>
      </c>
      <c r="BK46">
        <f>Grandview_Sales[[#This Row],[garage_sqft]]*Lookups!$B$17</f>
        <v>0</v>
      </c>
      <c r="BL46">
        <f>Grandview_Sales[[#This Row],[Plumbing Fixtures]]*Lookups!$B$18</f>
        <v>10052.209000000001</v>
      </c>
      <c r="BM46">
        <f>Grandview_Sales[[#This Row],[detatched_value]]*Lookups!$B$19</f>
        <v>4742.1085599999997</v>
      </c>
      <c r="BN46">
        <f>Grandview_Sales[[#This Row],[days_prior]]*Lookups!$B$20</f>
        <v>-95479.085600000006</v>
      </c>
      <c r="BO46">
        <f>SUM(Grandview_Sales[[#This Row],[land_value]:[Days Prior To Assessment_value]])</f>
        <v>122386.76589671087</v>
      </c>
      <c r="BP46">
        <f>Grandview_Sales[[#This Row],[predicted_total]]/Grandview_Sales[[#This Row],[sale_price]]</f>
        <v>1.4398443046671867</v>
      </c>
      <c r="BQ46">
        <f>VLOOKUP(Grandview_Sales[[#This Row],[quality]],Lookups!$A$26:$C$33,3,FALSE)</f>
        <v>0.9690360070159818</v>
      </c>
      <c r="BR46">
        <f>VLOOKUP(Grandview_Sales[[#This Row],[condition]],Lookups!$A$37:$C$44,3,FALSE)</f>
        <v>0.96469275950863709</v>
      </c>
      <c r="BS46">
        <f>VLOOKUP(Grandview_Sales[[#This Row],[decade]],Lookups!$F$29:$H$43,3,FALSE)</f>
        <v>0.98763256963907298</v>
      </c>
      <c r="BT46">
        <f>VLOOKUP(Grandview_Sales[[#This Row],[living_area_range]],Lookups!$F$47:$H$56,3,FALSE)</f>
        <v>0.94306777142782894</v>
      </c>
      <c r="BU46">
        <f>Grandview_Sales[[#This Row],[predicted_total]]*AVERAGE(Grandview_Sales[[#This Row],[qual_adj]:[size_adj]])</f>
        <v>118238.74512880968</v>
      </c>
      <c r="BV46">
        <f>Grandview_Sales[[#This Row],[final_total]]/Grandview_Sales[[#This Row],[sale_price]]</f>
        <v>1.3910440603389373</v>
      </c>
      <c r="BW46" s="6">
        <f>(Grandview_Sales[[#This Row],[final_total]]-Grandview_Sales[[#This Row],[sale_price]])^2</f>
        <v>1104814177.7379692</v>
      </c>
      <c r="BX46" s="6">
        <f>(Grandview_Sales[[#This Row],[final_total]]-AVERAGE(Grandview_Sales[sale_price]))^2</f>
        <v>35615398815.984924</v>
      </c>
      <c r="BY46" s="6">
        <f>Grandview_Sales[[#This Row],[SSE]]+Grandview_Sales[[#This Row],[SSR]]</f>
        <v>36720212993.722893</v>
      </c>
      <c r="BZ46" s="4">
        <f>ABS(Grandview_Sales[[#This Row],[final_ratio]]-MEDIAN(Grandview_Sales[final_ratio]))</f>
        <v>0.3897953409831254</v>
      </c>
    </row>
    <row r="47" spans="1:78" x14ac:dyDescent="0.25">
      <c r="A47">
        <v>23092422009</v>
      </c>
      <c r="B47">
        <v>0.55000000000000004</v>
      </c>
      <c r="C47">
        <v>24065</v>
      </c>
      <c r="D47">
        <v>0</v>
      </c>
      <c r="E47" t="s">
        <v>53</v>
      </c>
      <c r="F47" t="s">
        <v>53</v>
      </c>
      <c r="G47">
        <v>4</v>
      </c>
      <c r="H47" t="s">
        <v>54</v>
      </c>
      <c r="I47">
        <v>123300</v>
      </c>
      <c r="J47">
        <v>42100</v>
      </c>
      <c r="K47">
        <v>0.55000000000000004</v>
      </c>
      <c r="L47">
        <v>-0.59783700075599999</v>
      </c>
      <c r="M47">
        <v>0</v>
      </c>
      <c r="N47">
        <v>0</v>
      </c>
      <c r="O47">
        <v>0</v>
      </c>
      <c r="P47">
        <v>13398.7528</v>
      </c>
      <c r="Q47">
        <v>63902.980100000001</v>
      </c>
      <c r="R47">
        <v>55892.709912181999</v>
      </c>
      <c r="S47" t="s">
        <v>68</v>
      </c>
      <c r="T47">
        <v>1</v>
      </c>
      <c r="U47" t="s">
        <v>70</v>
      </c>
      <c r="V47" t="s">
        <v>78</v>
      </c>
      <c r="W47">
        <v>0</v>
      </c>
      <c r="X47">
        <v>0</v>
      </c>
      <c r="Y47">
        <v>52</v>
      </c>
      <c r="Z47">
        <v>88</v>
      </c>
      <c r="AA47">
        <v>90</v>
      </c>
      <c r="AB47">
        <v>1500</v>
      </c>
      <c r="AC47">
        <v>1344</v>
      </c>
      <c r="AD47">
        <v>1344</v>
      </c>
      <c r="AE47">
        <v>0</v>
      </c>
      <c r="AF47">
        <v>0</v>
      </c>
      <c r="AG47">
        <v>0</v>
      </c>
      <c r="AH47">
        <v>0</v>
      </c>
      <c r="AI47">
        <v>480</v>
      </c>
      <c r="AJ47">
        <v>144</v>
      </c>
      <c r="AK47">
        <v>0</v>
      </c>
      <c r="AL47">
        <v>5</v>
      </c>
      <c r="AM47">
        <v>0</v>
      </c>
      <c r="AN47">
        <v>0</v>
      </c>
      <c r="AO47" t="s">
        <v>58</v>
      </c>
      <c r="AP47">
        <v>1</v>
      </c>
      <c r="AQ47" t="s">
        <v>63</v>
      </c>
      <c r="AR47" t="s">
        <v>60</v>
      </c>
      <c r="AS47">
        <v>0</v>
      </c>
      <c r="AT47">
        <v>3</v>
      </c>
      <c r="AU47">
        <v>0</v>
      </c>
      <c r="AV47">
        <v>0</v>
      </c>
      <c r="AW47">
        <v>100</v>
      </c>
      <c r="AX47" s="1">
        <v>44131</v>
      </c>
      <c r="AY47">
        <v>24100</v>
      </c>
      <c r="AZ47">
        <v>93716</v>
      </c>
      <c r="BA47">
        <v>117800</v>
      </c>
      <c r="BB47">
        <v>215000</v>
      </c>
      <c r="BC47">
        <v>796</v>
      </c>
      <c r="BD47">
        <f>Grandview_Sales[[#This Row],[land_extract]]*Lookups!$B$3</f>
        <v>64908.053110700188</v>
      </c>
      <c r="BE47">
        <f>Lookups!$B$2</f>
        <v>155833.95000000001</v>
      </c>
      <c r="BF47">
        <f>VLOOKUP(Grandview_Sales[[#This Row],[quality]],Lookups!$H$2:$J$13,3,FALSE)</f>
        <v>10733</v>
      </c>
      <c r="BG47">
        <f>VLOOKUP(Grandview_Sales[[#This Row],[condition]],Lookups!$H$17:$J$24,3,FALSE)</f>
        <v>-45357</v>
      </c>
      <c r="BH47">
        <f>Grandview_Sales[[#This Row],[Eff_Age]]*Lookups!$B$14</f>
        <v>-12436.663199999999</v>
      </c>
      <c r="BI47">
        <f>Grandview_Sales[[#This Row],[living_area]]*Lookups!$B$15</f>
        <v>83839.86643200001</v>
      </c>
      <c r="BJ47">
        <f>Grandview_Sales[[#This Row],[Fin BSMT]]*Lookups!$B$16</f>
        <v>0</v>
      </c>
      <c r="BK47">
        <f>Grandview_Sales[[#This Row],[garage_sqft]]*Lookups!$B$17</f>
        <v>0</v>
      </c>
      <c r="BL47">
        <f>Grandview_Sales[[#This Row],[Plumbing Fixtures]]*Lookups!$B$18</f>
        <v>10052.209000000001</v>
      </c>
      <c r="BM47">
        <f>Grandview_Sales[[#This Row],[detatched_value]]*Lookups!$B$19</f>
        <v>0</v>
      </c>
      <c r="BN47">
        <f>Grandview_Sales[[#This Row],[days_prior]]*Lookups!$B$20</f>
        <v>-95479.085600000006</v>
      </c>
      <c r="BO47">
        <f>SUM(Grandview_Sales[[#This Row],[land_value]:[Days Prior To Assessment_value]])</f>
        <v>172094.32974270021</v>
      </c>
      <c r="BP47">
        <f>Grandview_Sales[[#This Row],[predicted_total]]/Grandview_Sales[[#This Row],[sale_price]]</f>
        <v>0.80043874298930329</v>
      </c>
      <c r="BQ47">
        <f>VLOOKUP(Grandview_Sales[[#This Row],[quality]],Lookups!$A$26:$C$33,3,FALSE)</f>
        <v>0.98079741117310582</v>
      </c>
      <c r="BR47">
        <f>VLOOKUP(Grandview_Sales[[#This Row],[condition]],Lookups!$A$37:$C$44,3,FALSE)</f>
        <v>0.97161819570155394</v>
      </c>
      <c r="BS47">
        <f>VLOOKUP(Grandview_Sales[[#This Row],[decade]],Lookups!$F$29:$H$43,3,FALSE)</f>
        <v>0.94161750052457416</v>
      </c>
      <c r="BT47">
        <f>VLOOKUP(Grandview_Sales[[#This Row],[living_area_range]],Lookups!$F$47:$H$56,3,FALSE)</f>
        <v>0.96135087979789358</v>
      </c>
      <c r="BU47">
        <f>Grandview_Sales[[#This Row],[predicted_total]]*AVERAGE(Grandview_Sales[[#This Row],[qual_adj]:[size_adj]])</f>
        <v>165872.43079435718</v>
      </c>
      <c r="BV47">
        <f>Grandview_Sales[[#This Row],[final_total]]/Grandview_Sales[[#This Row],[sale_price]]</f>
        <v>0.77149967811328923</v>
      </c>
      <c r="BW47" s="6">
        <f>(Grandview_Sales[[#This Row],[final_total]]-Grandview_Sales[[#This Row],[sale_price]])^2</f>
        <v>2413518056.0552249</v>
      </c>
      <c r="BX47" s="6">
        <f>(Grandview_Sales[[#This Row],[final_total]]-AVERAGE(Grandview_Sales[sale_price]))^2</f>
        <v>19905468018.87183</v>
      </c>
      <c r="BY47" s="6">
        <f>Grandview_Sales[[#This Row],[SSE]]+Grandview_Sales[[#This Row],[SSR]]</f>
        <v>22318986074.927055</v>
      </c>
      <c r="BZ47" s="4">
        <f>ABS(Grandview_Sales[[#This Row],[final_ratio]]-MEDIAN(Grandview_Sales[final_ratio]))</f>
        <v>0.22974904124252271</v>
      </c>
    </row>
    <row r="48" spans="1:78" x14ac:dyDescent="0.25">
      <c r="A48">
        <v>23091433539</v>
      </c>
      <c r="B48">
        <v>0.27</v>
      </c>
      <c r="C48">
        <v>11797</v>
      </c>
      <c r="D48">
        <v>0</v>
      </c>
      <c r="E48" t="s">
        <v>53</v>
      </c>
      <c r="F48" t="s">
        <v>53</v>
      </c>
      <c r="G48">
        <v>4</v>
      </c>
      <c r="H48" t="s">
        <v>54</v>
      </c>
      <c r="I48">
        <v>140600</v>
      </c>
      <c r="J48">
        <v>40000</v>
      </c>
      <c r="K48">
        <v>0.27</v>
      </c>
      <c r="L48">
        <v>-1.309333319984</v>
      </c>
      <c r="M48">
        <v>0</v>
      </c>
      <c r="N48">
        <v>0</v>
      </c>
      <c r="O48">
        <v>0</v>
      </c>
      <c r="P48">
        <v>13398.7528</v>
      </c>
      <c r="Q48">
        <v>63902.980100000001</v>
      </c>
      <c r="R48">
        <v>46359.546612733997</v>
      </c>
      <c r="S48" t="s">
        <v>61</v>
      </c>
      <c r="T48">
        <v>1</v>
      </c>
      <c r="U48" t="s">
        <v>65</v>
      </c>
      <c r="V48" t="s">
        <v>69</v>
      </c>
      <c r="W48">
        <v>0</v>
      </c>
      <c r="X48">
        <v>0</v>
      </c>
      <c r="Y48">
        <v>43</v>
      </c>
      <c r="Z48">
        <v>44</v>
      </c>
      <c r="AA48">
        <v>40</v>
      </c>
      <c r="AB48">
        <v>1500</v>
      </c>
      <c r="AC48">
        <v>1008</v>
      </c>
      <c r="AD48">
        <v>1008</v>
      </c>
      <c r="AE48">
        <v>0</v>
      </c>
      <c r="AF48">
        <v>0</v>
      </c>
      <c r="AG48">
        <v>0</v>
      </c>
      <c r="AH48">
        <v>336</v>
      </c>
      <c r="AI48">
        <v>0</v>
      </c>
      <c r="AJ48">
        <v>0</v>
      </c>
      <c r="AK48">
        <v>0</v>
      </c>
      <c r="AL48">
        <v>5</v>
      </c>
      <c r="AM48">
        <v>0</v>
      </c>
      <c r="AN48">
        <v>0</v>
      </c>
      <c r="AO48" t="s">
        <v>58</v>
      </c>
      <c r="AP48">
        <v>1</v>
      </c>
      <c r="AQ48" t="s">
        <v>63</v>
      </c>
      <c r="AR48" t="s">
        <v>60</v>
      </c>
      <c r="AS48">
        <v>0</v>
      </c>
      <c r="AT48">
        <v>3</v>
      </c>
      <c r="AU48">
        <v>0</v>
      </c>
      <c r="AV48">
        <v>0</v>
      </c>
      <c r="AW48">
        <v>100</v>
      </c>
      <c r="AX48" s="1">
        <v>44133</v>
      </c>
      <c r="AY48">
        <v>22900</v>
      </c>
      <c r="AZ48">
        <v>121458</v>
      </c>
      <c r="BA48">
        <v>144400</v>
      </c>
      <c r="BB48">
        <v>225000</v>
      </c>
      <c r="BC48">
        <v>794</v>
      </c>
      <c r="BD48">
        <f>Grandview_Sales[[#This Row],[land_extract]]*Lookups!$B$3</f>
        <v>53837.216310592135</v>
      </c>
      <c r="BE48">
        <f>Lookups!$B$2</f>
        <v>155833.95000000001</v>
      </c>
      <c r="BF48">
        <f>VLOOKUP(Grandview_Sales[[#This Row],[quality]],Lookups!$H$2:$J$13,3,FALSE)</f>
        <v>2251</v>
      </c>
      <c r="BG48">
        <f>VLOOKUP(Grandview_Sales[[#This Row],[condition]],Lookups!$H$17:$J$24,3,FALSE)</f>
        <v>-4503</v>
      </c>
      <c r="BH48">
        <f>Grandview_Sales[[#This Row],[Eff_Age]]*Lookups!$B$14</f>
        <v>-10284.1638</v>
      </c>
      <c r="BI48">
        <f>Grandview_Sales[[#This Row],[living_area]]*Lookups!$B$15</f>
        <v>62879.899824</v>
      </c>
      <c r="BJ48">
        <f>Grandview_Sales[[#This Row],[Fin BSMT]]*Lookups!$B$16</f>
        <v>0</v>
      </c>
      <c r="BK48">
        <f>Grandview_Sales[[#This Row],[garage_sqft]]*Lookups!$B$17</f>
        <v>29406.866832</v>
      </c>
      <c r="BL48">
        <f>Grandview_Sales[[#This Row],[Plumbing Fixtures]]*Lookups!$B$18</f>
        <v>10052.209000000001</v>
      </c>
      <c r="BM48">
        <f>Grandview_Sales[[#This Row],[detatched_value]]*Lookups!$B$19</f>
        <v>0</v>
      </c>
      <c r="BN48">
        <f>Grandview_Sales[[#This Row],[days_prior]]*Lookups!$B$20</f>
        <v>-95239.188399999999</v>
      </c>
      <c r="BO48">
        <f>SUM(Grandview_Sales[[#This Row],[land_value]:[Days Prior To Assessment_value]])</f>
        <v>204234.78976659215</v>
      </c>
      <c r="BP48">
        <f>Grandview_Sales[[#This Row],[predicted_total]]/Grandview_Sales[[#This Row],[sale_price]]</f>
        <v>0.90771017674040955</v>
      </c>
      <c r="BQ48">
        <f>VLOOKUP(Grandview_Sales[[#This Row],[quality]],Lookups!$A$26:$C$33,3,FALSE)</f>
        <v>0.98763855981004833</v>
      </c>
      <c r="BR48">
        <f>VLOOKUP(Grandview_Sales[[#This Row],[condition]],Lookups!$A$37:$C$44,3,FALSE)</f>
        <v>0.96469275950863709</v>
      </c>
      <c r="BS48">
        <f>VLOOKUP(Grandview_Sales[[#This Row],[decade]],Lookups!$F$29:$H$43,3,FALSE)</f>
        <v>0.98031878267063854</v>
      </c>
      <c r="BT48">
        <f>VLOOKUP(Grandview_Sales[[#This Row],[living_area_range]],Lookups!$F$47:$H$56,3,FALSE)</f>
        <v>0.96135087979789358</v>
      </c>
      <c r="BU48">
        <f>Grandview_Sales[[#This Row],[predicted_total]]*AVERAGE(Grandview_Sales[[#This Row],[qual_adj]:[size_adj]])</f>
        <v>198822.61796655395</v>
      </c>
      <c r="BV48">
        <f>Grandview_Sales[[#This Row],[final_total]]/Grandview_Sales[[#This Row],[sale_price]]</f>
        <v>0.88365607985135086</v>
      </c>
      <c r="BW48" s="6">
        <f>(Grandview_Sales[[#This Row],[final_total]]-Grandview_Sales[[#This Row],[sale_price]])^2</f>
        <v>685255330.12498391</v>
      </c>
      <c r="BX48" s="6">
        <f>(Grandview_Sales[[#This Row],[final_total]]-AVERAGE(Grandview_Sales[sale_price]))^2</f>
        <v>11693513915.720112</v>
      </c>
      <c r="BY48" s="6">
        <f>Grandview_Sales[[#This Row],[SSE]]+Grandview_Sales[[#This Row],[SSR]]</f>
        <v>12378769245.845097</v>
      </c>
      <c r="BZ48" s="4">
        <f>ABS(Grandview_Sales[[#This Row],[final_ratio]]-MEDIAN(Grandview_Sales[final_ratio]))</f>
        <v>0.11759263950446108</v>
      </c>
    </row>
    <row r="49" spans="1:78" x14ac:dyDescent="0.25">
      <c r="A49">
        <v>23092241500</v>
      </c>
      <c r="B49">
        <v>0.21</v>
      </c>
      <c r="C49">
        <v>9002</v>
      </c>
      <c r="D49">
        <v>0</v>
      </c>
      <c r="E49" t="s">
        <v>53</v>
      </c>
      <c r="F49" t="s">
        <v>53</v>
      </c>
      <c r="G49">
        <v>4</v>
      </c>
      <c r="H49" t="s">
        <v>54</v>
      </c>
      <c r="I49">
        <v>178000</v>
      </c>
      <c r="J49">
        <v>43500</v>
      </c>
      <c r="K49">
        <v>0.21</v>
      </c>
      <c r="L49">
        <v>-1.5606477482650001</v>
      </c>
      <c r="M49">
        <v>0</v>
      </c>
      <c r="N49">
        <v>0</v>
      </c>
      <c r="O49">
        <v>0</v>
      </c>
      <c r="P49">
        <v>13398.7528</v>
      </c>
      <c r="Q49">
        <v>63902.980100000001</v>
      </c>
      <c r="R49">
        <v>42992.246713125001</v>
      </c>
      <c r="S49" t="s">
        <v>61</v>
      </c>
      <c r="T49">
        <v>1</v>
      </c>
      <c r="U49" t="s">
        <v>70</v>
      </c>
      <c r="V49" t="s">
        <v>66</v>
      </c>
      <c r="W49">
        <v>0</v>
      </c>
      <c r="X49">
        <v>0</v>
      </c>
      <c r="Y49">
        <v>49</v>
      </c>
      <c r="Z49">
        <v>68</v>
      </c>
      <c r="AA49">
        <v>70</v>
      </c>
      <c r="AB49">
        <v>1500</v>
      </c>
      <c r="AC49">
        <v>1200</v>
      </c>
      <c r="AD49">
        <v>1200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57</v>
      </c>
      <c r="AL49">
        <v>5</v>
      </c>
      <c r="AM49">
        <v>0</v>
      </c>
      <c r="AN49">
        <v>0</v>
      </c>
      <c r="AO49" t="s">
        <v>58</v>
      </c>
      <c r="AP49">
        <v>1</v>
      </c>
      <c r="AQ49" t="s">
        <v>63</v>
      </c>
      <c r="AR49" t="s">
        <v>60</v>
      </c>
      <c r="AS49">
        <v>0</v>
      </c>
      <c r="AT49">
        <v>3</v>
      </c>
      <c r="AU49">
        <v>0</v>
      </c>
      <c r="AV49">
        <v>0</v>
      </c>
      <c r="AW49">
        <v>100</v>
      </c>
      <c r="AX49" s="1">
        <v>44154</v>
      </c>
      <c r="AY49">
        <v>24900</v>
      </c>
      <c r="AZ49">
        <v>128543</v>
      </c>
      <c r="BA49">
        <v>153400</v>
      </c>
      <c r="BB49">
        <v>249900</v>
      </c>
      <c r="BC49">
        <v>773</v>
      </c>
      <c r="BD49">
        <f>Grandview_Sales[[#This Row],[land_extract]]*Lookups!$B$3</f>
        <v>49926.780028885936</v>
      </c>
      <c r="BE49">
        <f>Lookups!$B$2</f>
        <v>155833.95000000001</v>
      </c>
      <c r="BF49">
        <f>VLOOKUP(Grandview_Sales[[#This Row],[quality]],Lookups!$H$2:$J$13,3,FALSE)</f>
        <v>10733</v>
      </c>
      <c r="BG49">
        <f>VLOOKUP(Grandview_Sales[[#This Row],[condition]],Lookups!$H$17:$J$24,3,FALSE)</f>
        <v>25818</v>
      </c>
      <c r="BH49">
        <f>Grandview_Sales[[#This Row],[Eff_Age]]*Lookups!$B$14</f>
        <v>-11719.163399999999</v>
      </c>
      <c r="BI49">
        <f>Grandview_Sales[[#This Row],[living_area]]*Lookups!$B$15</f>
        <v>74857.0236</v>
      </c>
      <c r="BJ49">
        <f>Grandview_Sales[[#This Row],[Fin BSMT]]*Lookups!$B$16</f>
        <v>0</v>
      </c>
      <c r="BK49">
        <f>Grandview_Sales[[#This Row],[garage_sqft]]*Lookups!$B$17</f>
        <v>0</v>
      </c>
      <c r="BL49">
        <f>Grandview_Sales[[#This Row],[Plumbing Fixtures]]*Lookups!$B$18</f>
        <v>10052.209000000001</v>
      </c>
      <c r="BM49">
        <f>Grandview_Sales[[#This Row],[detatched_value]]*Lookups!$B$19</f>
        <v>0</v>
      </c>
      <c r="BN49">
        <f>Grandview_Sales[[#This Row],[days_prior]]*Lookups!$B$20</f>
        <v>-92720.267800000001</v>
      </c>
      <c r="BO49">
        <f>SUM(Grandview_Sales[[#This Row],[land_value]:[Days Prior To Assessment_value]])</f>
        <v>222781.53142888591</v>
      </c>
      <c r="BP49">
        <f>Grandview_Sales[[#This Row],[predicted_total]]/Grandview_Sales[[#This Row],[sale_price]]</f>
        <v>0.89148271880306484</v>
      </c>
      <c r="BQ49">
        <f>VLOOKUP(Grandview_Sales[[#This Row],[quality]],Lookups!$A$26:$C$33,3,FALSE)</f>
        <v>0.98079741117310582</v>
      </c>
      <c r="BR49">
        <f>VLOOKUP(Grandview_Sales[[#This Row],[condition]],Lookups!$A$37:$C$44,3,FALSE)</f>
        <v>0.96661476234146892</v>
      </c>
      <c r="BS49">
        <f>VLOOKUP(Grandview_Sales[[#This Row],[decade]],Lookups!$F$29:$H$43,3,FALSE)</f>
        <v>0.99472141305414818</v>
      </c>
      <c r="BT49">
        <f>VLOOKUP(Grandview_Sales[[#This Row],[living_area_range]],Lookups!$F$47:$H$56,3,FALSE)</f>
        <v>0.96135087979789358</v>
      </c>
      <c r="BU49">
        <f>Grandview_Sales[[#This Row],[predicted_total]]*AVERAGE(Grandview_Sales[[#This Row],[qual_adj]:[size_adj]])</f>
        <v>217406.06183150556</v>
      </c>
      <c r="BV49">
        <f>Grandview_Sales[[#This Row],[final_total]]/Grandview_Sales[[#This Row],[sale_price]]</f>
        <v>0.86997223622051045</v>
      </c>
      <c r="BW49" s="6">
        <f>(Grandview_Sales[[#This Row],[final_total]]-Grandview_Sales[[#This Row],[sale_price]])^2</f>
        <v>1055856017.6979396</v>
      </c>
      <c r="BX49" s="6">
        <f>(Grandview_Sales[[#This Row],[final_total]]-AVERAGE(Grandview_Sales[sale_price]))^2</f>
        <v>8019759207.5139265</v>
      </c>
      <c r="BY49" s="6">
        <f>Grandview_Sales[[#This Row],[SSE]]+Grandview_Sales[[#This Row],[SSR]]</f>
        <v>9075615225.2118664</v>
      </c>
      <c r="BZ49" s="4">
        <f>ABS(Grandview_Sales[[#This Row],[final_ratio]]-MEDIAN(Grandview_Sales[final_ratio]))</f>
        <v>0.13127648313530149</v>
      </c>
    </row>
    <row r="50" spans="1:78" x14ac:dyDescent="0.25">
      <c r="A50">
        <v>23092241495</v>
      </c>
      <c r="B50">
        <v>0.19</v>
      </c>
      <c r="C50">
        <v>8290</v>
      </c>
      <c r="D50">
        <v>0</v>
      </c>
      <c r="E50" t="s">
        <v>53</v>
      </c>
      <c r="F50" t="s">
        <v>53</v>
      </c>
      <c r="G50">
        <v>4</v>
      </c>
      <c r="H50" t="s">
        <v>54</v>
      </c>
      <c r="I50">
        <v>137100</v>
      </c>
      <c r="J50">
        <v>43500</v>
      </c>
      <c r="K50">
        <v>0.19</v>
      </c>
      <c r="L50">
        <v>-1.6607312068219999</v>
      </c>
      <c r="M50">
        <v>0</v>
      </c>
      <c r="N50">
        <v>0</v>
      </c>
      <c r="O50">
        <v>0</v>
      </c>
      <c r="P50">
        <v>13398.7528</v>
      </c>
      <c r="Q50">
        <v>63902.980100000001</v>
      </c>
      <c r="R50">
        <v>41651.253192550997</v>
      </c>
      <c r="S50" t="s">
        <v>61</v>
      </c>
      <c r="T50">
        <v>1</v>
      </c>
      <c r="U50" t="s">
        <v>65</v>
      </c>
      <c r="V50" t="s">
        <v>69</v>
      </c>
      <c r="W50">
        <v>0</v>
      </c>
      <c r="X50">
        <v>0</v>
      </c>
      <c r="Y50">
        <v>49</v>
      </c>
      <c r="Z50">
        <v>68</v>
      </c>
      <c r="AA50">
        <v>70</v>
      </c>
      <c r="AB50">
        <v>1500</v>
      </c>
      <c r="AC50">
        <v>1242</v>
      </c>
      <c r="AD50">
        <v>1242</v>
      </c>
      <c r="AE50">
        <v>0</v>
      </c>
      <c r="AF50">
        <v>0</v>
      </c>
      <c r="AG50">
        <v>0</v>
      </c>
      <c r="AH50">
        <v>240</v>
      </c>
      <c r="AI50">
        <v>0</v>
      </c>
      <c r="AJ50">
        <v>0</v>
      </c>
      <c r="AK50">
        <v>334</v>
      </c>
      <c r="AL50">
        <v>5</v>
      </c>
      <c r="AM50">
        <v>0</v>
      </c>
      <c r="AN50">
        <v>0</v>
      </c>
      <c r="AO50" t="s">
        <v>58</v>
      </c>
      <c r="AP50">
        <v>1</v>
      </c>
      <c r="AQ50" t="s">
        <v>63</v>
      </c>
      <c r="AR50" t="s">
        <v>64</v>
      </c>
      <c r="AS50">
        <v>0</v>
      </c>
      <c r="AT50">
        <v>3</v>
      </c>
      <c r="AU50">
        <v>0</v>
      </c>
      <c r="AV50">
        <v>0</v>
      </c>
      <c r="AW50">
        <v>100</v>
      </c>
      <c r="AX50" s="1">
        <v>44168</v>
      </c>
      <c r="AY50">
        <v>24900</v>
      </c>
      <c r="AZ50">
        <v>134608</v>
      </c>
      <c r="BA50">
        <v>159500</v>
      </c>
      <c r="BB50">
        <v>199000</v>
      </c>
      <c r="BC50">
        <v>759</v>
      </c>
      <c r="BD50">
        <f>Grandview_Sales[[#This Row],[land_extract]]*Lookups!$B$3</f>
        <v>48369.487874125851</v>
      </c>
      <c r="BE50">
        <f>Lookups!$B$2</f>
        <v>155833.95000000001</v>
      </c>
      <c r="BF50">
        <f>VLOOKUP(Grandview_Sales[[#This Row],[quality]],Lookups!$H$2:$J$13,3,FALSE)</f>
        <v>2251</v>
      </c>
      <c r="BG50">
        <f>VLOOKUP(Grandview_Sales[[#This Row],[condition]],Lookups!$H$17:$J$24,3,FALSE)</f>
        <v>-4503</v>
      </c>
      <c r="BH50">
        <f>Grandview_Sales[[#This Row],[Eff_Age]]*Lookups!$B$14</f>
        <v>-11719.163399999999</v>
      </c>
      <c r="BI50">
        <f>Grandview_Sales[[#This Row],[living_area]]*Lookups!$B$15</f>
        <v>77477.019425999999</v>
      </c>
      <c r="BJ50">
        <f>Grandview_Sales[[#This Row],[Fin BSMT]]*Lookups!$B$16</f>
        <v>0</v>
      </c>
      <c r="BK50">
        <f>Grandview_Sales[[#This Row],[garage_sqft]]*Lookups!$B$17</f>
        <v>21004.904880000002</v>
      </c>
      <c r="BL50">
        <f>Grandview_Sales[[#This Row],[Plumbing Fixtures]]*Lookups!$B$18</f>
        <v>10052.209000000001</v>
      </c>
      <c r="BM50">
        <f>Grandview_Sales[[#This Row],[detatched_value]]*Lookups!$B$19</f>
        <v>0</v>
      </c>
      <c r="BN50">
        <f>Grandview_Sales[[#This Row],[days_prior]]*Lookups!$B$20</f>
        <v>-91040.987399999998</v>
      </c>
      <c r="BO50">
        <f>SUM(Grandview_Sales[[#This Row],[land_value]:[Days Prior To Assessment_value]])</f>
        <v>207725.42038012587</v>
      </c>
      <c r="BP50">
        <f>Grandview_Sales[[#This Row],[predicted_total]]/Grandview_Sales[[#This Row],[sale_price]]</f>
        <v>1.0438463335684718</v>
      </c>
      <c r="BQ50">
        <f>VLOOKUP(Grandview_Sales[[#This Row],[quality]],Lookups!$A$26:$C$33,3,FALSE)</f>
        <v>0.98763855981004833</v>
      </c>
      <c r="BR50">
        <f>VLOOKUP(Grandview_Sales[[#This Row],[condition]],Lookups!$A$37:$C$44,3,FALSE)</f>
        <v>0.96469275950863709</v>
      </c>
      <c r="BS50">
        <f>VLOOKUP(Grandview_Sales[[#This Row],[decade]],Lookups!$F$29:$H$43,3,FALSE)</f>
        <v>0.99472141305414818</v>
      </c>
      <c r="BT50">
        <f>VLOOKUP(Grandview_Sales[[#This Row],[living_area_range]],Lookups!$F$47:$H$56,3,FALSE)</f>
        <v>0.96135087979789358</v>
      </c>
      <c r="BU50">
        <f>Grandview_Sales[[#This Row],[predicted_total]]*AVERAGE(Grandview_Sales[[#This Row],[qual_adj]:[size_adj]])</f>
        <v>202968.69583834169</v>
      </c>
      <c r="BV50">
        <f>Grandview_Sales[[#This Row],[final_total]]/Grandview_Sales[[#This Row],[sale_price]]</f>
        <v>1.0199431951675462</v>
      </c>
      <c r="BW50" s="6">
        <f>(Grandview_Sales[[#This Row],[final_total]]-Grandview_Sales[[#This Row],[sale_price]])^2</f>
        <v>15750546.657270676</v>
      </c>
      <c r="BX50" s="6">
        <f>(Grandview_Sales[[#This Row],[final_total]]-AVERAGE(Grandview_Sales[sale_price]))^2</f>
        <v>10814018745.252764</v>
      </c>
      <c r="BY50" s="6">
        <f>Grandview_Sales[[#This Row],[SSE]]+Grandview_Sales[[#This Row],[SSR]]</f>
        <v>10829769291.910034</v>
      </c>
      <c r="BZ50" s="4">
        <f>ABS(Grandview_Sales[[#This Row],[final_ratio]]-MEDIAN(Grandview_Sales[final_ratio]))</f>
        <v>1.8694475811734224E-2</v>
      </c>
    </row>
    <row r="51" spans="1:78" x14ac:dyDescent="0.25">
      <c r="A51">
        <v>23092423458</v>
      </c>
      <c r="B51">
        <v>0.21</v>
      </c>
      <c r="C51">
        <v>9165</v>
      </c>
      <c r="D51">
        <v>0</v>
      </c>
      <c r="E51" t="s">
        <v>53</v>
      </c>
      <c r="F51" t="s">
        <v>53</v>
      </c>
      <c r="G51">
        <v>4</v>
      </c>
      <c r="H51" t="s">
        <v>54</v>
      </c>
      <c r="I51">
        <v>135700</v>
      </c>
      <c r="J51">
        <v>39300</v>
      </c>
      <c r="K51">
        <v>0.21</v>
      </c>
      <c r="L51">
        <v>-1.5606477482650001</v>
      </c>
      <c r="M51">
        <v>0</v>
      </c>
      <c r="N51">
        <v>0</v>
      </c>
      <c r="O51">
        <v>0</v>
      </c>
      <c r="P51">
        <v>13398.7528</v>
      </c>
      <c r="Q51">
        <v>63902.980100000001</v>
      </c>
      <c r="R51">
        <v>42992.246713125001</v>
      </c>
      <c r="S51" t="s">
        <v>68</v>
      </c>
      <c r="T51">
        <v>1</v>
      </c>
      <c r="U51" t="s">
        <v>65</v>
      </c>
      <c r="V51" t="s">
        <v>69</v>
      </c>
      <c r="W51">
        <v>0</v>
      </c>
      <c r="X51">
        <v>0</v>
      </c>
      <c r="Y51">
        <v>50</v>
      </c>
      <c r="Z51">
        <v>73</v>
      </c>
      <c r="AA51">
        <v>70</v>
      </c>
      <c r="AB51">
        <v>1500</v>
      </c>
      <c r="AC51">
        <v>1370</v>
      </c>
      <c r="AD51">
        <v>1370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305</v>
      </c>
      <c r="AL51">
        <v>7</v>
      </c>
      <c r="AM51">
        <v>0</v>
      </c>
      <c r="AN51">
        <v>0</v>
      </c>
      <c r="AO51" t="s">
        <v>58</v>
      </c>
      <c r="AP51">
        <v>1</v>
      </c>
      <c r="AQ51" t="s">
        <v>63</v>
      </c>
      <c r="AR51" t="s">
        <v>64</v>
      </c>
      <c r="AS51">
        <v>0</v>
      </c>
      <c r="AT51">
        <v>4</v>
      </c>
      <c r="AU51">
        <v>0</v>
      </c>
      <c r="AV51">
        <v>8100</v>
      </c>
      <c r="AW51">
        <v>100</v>
      </c>
      <c r="AX51" s="1">
        <v>44173</v>
      </c>
      <c r="AY51">
        <v>22500</v>
      </c>
      <c r="AZ51">
        <v>143694</v>
      </c>
      <c r="BA51">
        <v>166200</v>
      </c>
      <c r="BB51">
        <v>180000</v>
      </c>
      <c r="BC51">
        <v>754</v>
      </c>
      <c r="BD51">
        <f>Grandview_Sales[[#This Row],[land_extract]]*Lookups!$B$3</f>
        <v>49926.780028885936</v>
      </c>
      <c r="BE51">
        <f>Lookups!$B$2</f>
        <v>155833.95000000001</v>
      </c>
      <c r="BF51">
        <f>VLOOKUP(Grandview_Sales[[#This Row],[quality]],Lookups!$H$2:$J$13,3,FALSE)</f>
        <v>2251</v>
      </c>
      <c r="BG51">
        <f>VLOOKUP(Grandview_Sales[[#This Row],[condition]],Lookups!$H$17:$J$24,3,FALSE)</f>
        <v>-4503</v>
      </c>
      <c r="BH51">
        <f>Grandview_Sales[[#This Row],[Eff_Age]]*Lookups!$B$14</f>
        <v>-11958.33</v>
      </c>
      <c r="BI51">
        <f>Grandview_Sales[[#This Row],[living_area]]*Lookups!$B$15</f>
        <v>85461.768609999999</v>
      </c>
      <c r="BJ51">
        <f>Grandview_Sales[[#This Row],[Fin BSMT]]*Lookups!$B$16</f>
        <v>0</v>
      </c>
      <c r="BK51">
        <f>Grandview_Sales[[#This Row],[garage_sqft]]*Lookups!$B$17</f>
        <v>0</v>
      </c>
      <c r="BL51">
        <f>Grandview_Sales[[#This Row],[Plumbing Fixtures]]*Lookups!$B$18</f>
        <v>14073.0926</v>
      </c>
      <c r="BM51">
        <f>Grandview_Sales[[#This Row],[detatched_value]]*Lookups!$B$19</f>
        <v>6859.1213099999995</v>
      </c>
      <c r="BN51">
        <f>Grandview_Sales[[#This Row],[days_prior]]*Lookups!$B$20</f>
        <v>-90441.244399999996</v>
      </c>
      <c r="BO51">
        <f>SUM(Grandview_Sales[[#This Row],[land_value]:[Days Prior To Assessment_value]])</f>
        <v>207503.13814888595</v>
      </c>
      <c r="BP51">
        <f>Grandview_Sales[[#This Row],[predicted_total]]/Grandview_Sales[[#This Row],[sale_price]]</f>
        <v>1.1527952119382552</v>
      </c>
      <c r="BQ51">
        <f>VLOOKUP(Grandview_Sales[[#This Row],[quality]],Lookups!$A$26:$C$33,3,FALSE)</f>
        <v>0.98763855981004833</v>
      </c>
      <c r="BR51">
        <f>VLOOKUP(Grandview_Sales[[#This Row],[condition]],Lookups!$A$37:$C$44,3,FALSE)</f>
        <v>0.96469275950863709</v>
      </c>
      <c r="BS51">
        <f>VLOOKUP(Grandview_Sales[[#This Row],[decade]],Lookups!$F$29:$H$43,3,FALSE)</f>
        <v>0.99472141305414818</v>
      </c>
      <c r="BT51">
        <f>VLOOKUP(Grandview_Sales[[#This Row],[living_area_range]],Lookups!$F$47:$H$56,3,FALSE)</f>
        <v>0.96135087979789358</v>
      </c>
      <c r="BU51">
        <f>Grandview_Sales[[#This Row],[predicted_total]]*AVERAGE(Grandview_Sales[[#This Row],[qual_adj]:[size_adj]])</f>
        <v>202751.50366946682</v>
      </c>
      <c r="BV51">
        <f>Grandview_Sales[[#This Row],[final_total]]/Grandview_Sales[[#This Row],[sale_price]]</f>
        <v>1.126397242608149</v>
      </c>
      <c r="BW51" s="6">
        <f>(Grandview_Sales[[#This Row],[final_total]]-Grandview_Sales[[#This Row],[sale_price]])^2</f>
        <v>517630919.2217623</v>
      </c>
      <c r="BX51" s="6">
        <f>(Grandview_Sales[[#This Row],[final_total]]-AVERAGE(Grandview_Sales[sale_price]))^2</f>
        <v>10859237751.00231</v>
      </c>
      <c r="BY51" s="6">
        <f>Grandview_Sales[[#This Row],[SSE]]+Grandview_Sales[[#This Row],[SSR]]</f>
        <v>11376868670.224072</v>
      </c>
      <c r="BZ51" s="4">
        <f>ABS(Grandview_Sales[[#This Row],[final_ratio]]-MEDIAN(Grandview_Sales[final_ratio]))</f>
        <v>0.12514852325233705</v>
      </c>
    </row>
    <row r="52" spans="1:78" x14ac:dyDescent="0.25">
      <c r="A52">
        <v>23092231519</v>
      </c>
      <c r="B52">
        <v>0.24</v>
      </c>
      <c r="C52">
        <v>10597</v>
      </c>
      <c r="D52">
        <v>0</v>
      </c>
      <c r="E52" t="s">
        <v>53</v>
      </c>
      <c r="F52" t="s">
        <v>53</v>
      </c>
      <c r="G52">
        <v>4</v>
      </c>
      <c r="H52" t="s">
        <v>54</v>
      </c>
      <c r="I52">
        <v>289000</v>
      </c>
      <c r="J52">
        <v>39800</v>
      </c>
      <c r="K52">
        <v>0.24</v>
      </c>
      <c r="L52">
        <v>-1.4271163556399999</v>
      </c>
      <c r="M52">
        <v>0</v>
      </c>
      <c r="N52">
        <v>0</v>
      </c>
      <c r="O52">
        <v>0</v>
      </c>
      <c r="P52">
        <v>13398.7528</v>
      </c>
      <c r="Q52">
        <v>63902.980100000001</v>
      </c>
      <c r="R52">
        <v>44781.400833940999</v>
      </c>
      <c r="S52" t="s">
        <v>55</v>
      </c>
      <c r="T52">
        <v>1</v>
      </c>
      <c r="U52" t="s">
        <v>62</v>
      </c>
      <c r="V52" t="s">
        <v>57</v>
      </c>
      <c r="W52">
        <v>0</v>
      </c>
      <c r="X52">
        <v>0</v>
      </c>
      <c r="Y52">
        <v>3</v>
      </c>
      <c r="Z52">
        <v>3</v>
      </c>
      <c r="AA52">
        <v>0</v>
      </c>
      <c r="AB52">
        <v>2000</v>
      </c>
      <c r="AC52">
        <v>1674</v>
      </c>
      <c r="AD52">
        <v>1674</v>
      </c>
      <c r="AE52">
        <v>0</v>
      </c>
      <c r="AF52">
        <v>0</v>
      </c>
      <c r="AG52">
        <v>0</v>
      </c>
      <c r="AH52">
        <v>648</v>
      </c>
      <c r="AI52">
        <v>0</v>
      </c>
      <c r="AJ52">
        <v>0</v>
      </c>
      <c r="AK52">
        <v>0</v>
      </c>
      <c r="AL52">
        <v>9</v>
      </c>
      <c r="AM52">
        <v>0</v>
      </c>
      <c r="AN52">
        <v>0</v>
      </c>
      <c r="AO52" t="s">
        <v>58</v>
      </c>
      <c r="AP52">
        <v>1</v>
      </c>
      <c r="AQ52" t="s">
        <v>59</v>
      </c>
      <c r="AR52" t="s">
        <v>60</v>
      </c>
      <c r="AS52">
        <v>1</v>
      </c>
      <c r="AT52">
        <v>3</v>
      </c>
      <c r="AU52">
        <v>0</v>
      </c>
      <c r="AV52">
        <v>0</v>
      </c>
      <c r="AW52">
        <v>100</v>
      </c>
      <c r="AX52" s="1">
        <v>44174</v>
      </c>
      <c r="AY52">
        <v>22800</v>
      </c>
      <c r="AZ52">
        <v>333150</v>
      </c>
      <c r="BA52">
        <v>356000</v>
      </c>
      <c r="BB52">
        <v>317490</v>
      </c>
      <c r="BC52">
        <v>753</v>
      </c>
      <c r="BD52">
        <f>Grandview_Sales[[#This Row],[land_extract]]*Lookups!$B$3</f>
        <v>52004.519878673433</v>
      </c>
      <c r="BE52">
        <f>Lookups!$B$2</f>
        <v>155833.95000000001</v>
      </c>
      <c r="BF52">
        <f>VLOOKUP(Grandview_Sales[[#This Row],[quality]],Lookups!$H$2:$J$13,3,FALSE)</f>
        <v>9808</v>
      </c>
      <c r="BG52">
        <f>VLOOKUP(Grandview_Sales[[#This Row],[condition]],Lookups!$H$17:$J$24,3,FALSE)</f>
        <v>25780</v>
      </c>
      <c r="BH52">
        <f>Grandview_Sales[[#This Row],[Eff_Age]]*Lookups!$B$14</f>
        <v>-717.49979999999994</v>
      </c>
      <c r="BI52">
        <f>Grandview_Sales[[#This Row],[living_area]]*Lookups!$B$15</f>
        <v>104425.547922</v>
      </c>
      <c r="BJ52">
        <f>Grandview_Sales[[#This Row],[Fin BSMT]]*Lookups!$B$16</f>
        <v>0</v>
      </c>
      <c r="BK52">
        <f>Grandview_Sales[[#This Row],[garage_sqft]]*Lookups!$B$17</f>
        <v>56713.243176000004</v>
      </c>
      <c r="BL52">
        <f>Grandview_Sales[[#This Row],[Plumbing Fixtures]]*Lookups!$B$18</f>
        <v>18093.976200000001</v>
      </c>
      <c r="BM52">
        <f>Grandview_Sales[[#This Row],[detatched_value]]*Lookups!$B$19</f>
        <v>0</v>
      </c>
      <c r="BN52">
        <f>Grandview_Sales[[#This Row],[days_prior]]*Lookups!$B$20</f>
        <v>-90321.295799999993</v>
      </c>
      <c r="BO52">
        <f>SUM(Grandview_Sales[[#This Row],[land_value]:[Days Prior To Assessment_value]])</f>
        <v>331620.44157667342</v>
      </c>
      <c r="BP52">
        <f>Grandview_Sales[[#This Row],[predicted_total]]/Grandview_Sales[[#This Row],[sale_price]]</f>
        <v>1.0445067295873049</v>
      </c>
      <c r="BQ52">
        <f>VLOOKUP(Grandview_Sales[[#This Row],[quality]],Lookups!$A$26:$C$33,3,FALSE)</f>
        <v>0.94295468617355149</v>
      </c>
      <c r="BR52">
        <f>VLOOKUP(Grandview_Sales[[#This Row],[condition]],Lookups!$A$37:$C$44,3,FALSE)</f>
        <v>0.94347925387812148</v>
      </c>
      <c r="BS52">
        <f>VLOOKUP(Grandview_Sales[[#This Row],[decade]],Lookups!$F$29:$H$43,3,FALSE)</f>
        <v>0.9413635517371044</v>
      </c>
      <c r="BT52">
        <f>VLOOKUP(Grandview_Sales[[#This Row],[living_area_range]],Lookups!$F$47:$H$56,3,FALSE)</f>
        <v>0.96120133463014379</v>
      </c>
      <c r="BU52">
        <f>Grandview_Sales[[#This Row],[predicted_total]]*AVERAGE(Grandview_Sales[[#This Row],[qual_adj]:[size_adj]])</f>
        <v>314127.36598763498</v>
      </c>
      <c r="BV52">
        <f>Grandview_Sales[[#This Row],[final_total]]/Grandview_Sales[[#This Row],[sale_price]]</f>
        <v>0.98940869314824087</v>
      </c>
      <c r="BW52" s="6">
        <f>(Grandview_Sales[[#This Row],[final_total]]-Grandview_Sales[[#This Row],[sale_price]])^2</f>
        <v>11307307.501114041</v>
      </c>
      <c r="BX52" s="6">
        <f>(Grandview_Sales[[#This Row],[final_total]]-AVERAGE(Grandview_Sales[sale_price]))^2</f>
        <v>51383031.725980945</v>
      </c>
      <c r="BY52" s="6">
        <f>Grandview_Sales[[#This Row],[SSE]]+Grandview_Sales[[#This Row],[SSR]]</f>
        <v>62690339.227094986</v>
      </c>
      <c r="BZ52" s="4">
        <f>ABS(Grandview_Sales[[#This Row],[final_ratio]]-MEDIAN(Grandview_Sales[final_ratio]))</f>
        <v>1.1840026207571075E-2</v>
      </c>
    </row>
    <row r="53" spans="1:78" x14ac:dyDescent="0.25">
      <c r="A53">
        <v>23092343422</v>
      </c>
      <c r="B53">
        <v>0.16</v>
      </c>
      <c r="C53">
        <v>7050</v>
      </c>
      <c r="D53">
        <v>0</v>
      </c>
      <c r="E53" t="s">
        <v>53</v>
      </c>
      <c r="F53" t="s">
        <v>53</v>
      </c>
      <c r="G53">
        <v>4</v>
      </c>
      <c r="H53" t="s">
        <v>54</v>
      </c>
      <c r="I53">
        <v>195200</v>
      </c>
      <c r="J53">
        <v>38600</v>
      </c>
      <c r="K53">
        <v>0.16</v>
      </c>
      <c r="L53">
        <v>-1.832581463748</v>
      </c>
      <c r="M53">
        <v>0</v>
      </c>
      <c r="N53">
        <v>0</v>
      </c>
      <c r="O53">
        <v>0</v>
      </c>
      <c r="P53">
        <v>13398.7528</v>
      </c>
      <c r="Q53">
        <v>63902.980100000001</v>
      </c>
      <c r="R53">
        <v>39348.674081374003</v>
      </c>
      <c r="S53" t="s">
        <v>61</v>
      </c>
      <c r="T53">
        <v>1</v>
      </c>
      <c r="U53" t="s">
        <v>65</v>
      </c>
      <c r="V53" t="s">
        <v>67</v>
      </c>
      <c r="W53">
        <v>0</v>
      </c>
      <c r="X53">
        <v>0</v>
      </c>
      <c r="Y53">
        <v>40</v>
      </c>
      <c r="Z53">
        <v>42</v>
      </c>
      <c r="AA53">
        <v>40</v>
      </c>
      <c r="AB53">
        <v>1500</v>
      </c>
      <c r="AC53">
        <v>1024</v>
      </c>
      <c r="AD53">
        <v>1024</v>
      </c>
      <c r="AE53">
        <v>0</v>
      </c>
      <c r="AF53">
        <v>0</v>
      </c>
      <c r="AG53">
        <v>0</v>
      </c>
      <c r="AH53">
        <v>336</v>
      </c>
      <c r="AI53">
        <v>0</v>
      </c>
      <c r="AJ53">
        <v>0</v>
      </c>
      <c r="AK53">
        <v>0</v>
      </c>
      <c r="AL53">
        <v>5</v>
      </c>
      <c r="AM53">
        <v>0</v>
      </c>
      <c r="AN53">
        <v>0</v>
      </c>
      <c r="AO53" t="s">
        <v>58</v>
      </c>
      <c r="AP53">
        <v>1</v>
      </c>
      <c r="AQ53" t="s">
        <v>63</v>
      </c>
      <c r="AR53" t="s">
        <v>60</v>
      </c>
      <c r="AS53">
        <v>1</v>
      </c>
      <c r="AT53">
        <v>3</v>
      </c>
      <c r="AU53">
        <v>0</v>
      </c>
      <c r="AV53">
        <v>0</v>
      </c>
      <c r="AW53">
        <v>100</v>
      </c>
      <c r="AX53" s="1">
        <v>44175</v>
      </c>
      <c r="AY53">
        <v>22100</v>
      </c>
      <c r="AZ53">
        <v>138080</v>
      </c>
      <c r="BA53">
        <v>160200</v>
      </c>
      <c r="BB53">
        <v>225000</v>
      </c>
      <c r="BC53">
        <v>752</v>
      </c>
      <c r="BD53">
        <f>Grandview_Sales[[#This Row],[land_extract]]*Lookups!$B$3</f>
        <v>45695.50896927961</v>
      </c>
      <c r="BE53">
        <f>Lookups!$B$2</f>
        <v>155833.95000000001</v>
      </c>
      <c r="BF53">
        <f>VLOOKUP(Grandview_Sales[[#This Row],[quality]],Lookups!$H$2:$J$13,3,FALSE)</f>
        <v>2251</v>
      </c>
      <c r="BG53">
        <f>VLOOKUP(Grandview_Sales[[#This Row],[condition]],Lookups!$H$17:$J$24,3,FALSE)</f>
        <v>22342</v>
      </c>
      <c r="BH53">
        <f>Grandview_Sales[[#This Row],[Eff_Age]]*Lookups!$B$14</f>
        <v>-9566.6639999999989</v>
      </c>
      <c r="BI53">
        <f>Grandview_Sales[[#This Row],[living_area]]*Lookups!$B$15</f>
        <v>63877.993472000002</v>
      </c>
      <c r="BJ53">
        <f>Grandview_Sales[[#This Row],[Fin BSMT]]*Lookups!$B$16</f>
        <v>0</v>
      </c>
      <c r="BK53">
        <f>Grandview_Sales[[#This Row],[garage_sqft]]*Lookups!$B$17</f>
        <v>29406.866832</v>
      </c>
      <c r="BL53">
        <f>Grandview_Sales[[#This Row],[Plumbing Fixtures]]*Lookups!$B$18</f>
        <v>10052.209000000001</v>
      </c>
      <c r="BM53">
        <f>Grandview_Sales[[#This Row],[detatched_value]]*Lookups!$B$19</f>
        <v>0</v>
      </c>
      <c r="BN53">
        <f>Grandview_Sales[[#This Row],[days_prior]]*Lookups!$B$20</f>
        <v>-90201.347200000004</v>
      </c>
      <c r="BO53">
        <f>SUM(Grandview_Sales[[#This Row],[land_value]:[Days Prior To Assessment_value]])</f>
        <v>229691.5170732796</v>
      </c>
      <c r="BP53">
        <f>Grandview_Sales[[#This Row],[predicted_total]]/Grandview_Sales[[#This Row],[sale_price]]</f>
        <v>1.0208511869923538</v>
      </c>
      <c r="BQ53">
        <f>VLOOKUP(Grandview_Sales[[#This Row],[quality]],Lookups!$A$26:$C$33,3,FALSE)</f>
        <v>0.98763855981004833</v>
      </c>
      <c r="BR53">
        <f>VLOOKUP(Grandview_Sales[[#This Row],[condition]],Lookups!$A$37:$C$44,3,FALSE)</f>
        <v>0.97383723671140243</v>
      </c>
      <c r="BS53">
        <f>VLOOKUP(Grandview_Sales[[#This Row],[decade]],Lookups!$F$29:$H$43,3,FALSE)</f>
        <v>0.98031878267063854</v>
      </c>
      <c r="BT53">
        <f>VLOOKUP(Grandview_Sales[[#This Row],[living_area_range]],Lookups!$F$47:$H$56,3,FALSE)</f>
        <v>0.96135087979789358</v>
      </c>
      <c r="BU53">
        <f>Grandview_Sales[[#This Row],[predicted_total]]*AVERAGE(Grandview_Sales[[#This Row],[qual_adj]:[size_adj]])</f>
        <v>224129.85045827285</v>
      </c>
      <c r="BV53">
        <f>Grandview_Sales[[#This Row],[final_total]]/Grandview_Sales[[#This Row],[sale_price]]</f>
        <v>0.99613266870343486</v>
      </c>
      <c r="BW53" s="6">
        <f>(Grandview_Sales[[#This Row],[final_total]]-Grandview_Sales[[#This Row],[sale_price]])^2</f>
        <v>757160.22496797051</v>
      </c>
      <c r="BX53" s="6">
        <f>(Grandview_Sales[[#This Row],[final_total]]-AVERAGE(Grandview_Sales[sale_price]))^2</f>
        <v>6860696198.753685</v>
      </c>
      <c r="BY53" s="6">
        <f>Grandview_Sales[[#This Row],[SSE]]+Grandview_Sales[[#This Row],[SSR]]</f>
        <v>6861453358.978653</v>
      </c>
      <c r="BZ53" s="4">
        <f>ABS(Grandview_Sales[[#This Row],[final_ratio]]-MEDIAN(Grandview_Sales[final_ratio]))</f>
        <v>5.1160506523770799E-3</v>
      </c>
    </row>
    <row r="54" spans="1:78" x14ac:dyDescent="0.25">
      <c r="A54">
        <v>23091443456</v>
      </c>
      <c r="B54">
        <v>0.24</v>
      </c>
      <c r="C54">
        <v>10356</v>
      </c>
      <c r="D54">
        <v>0</v>
      </c>
      <c r="E54" t="s">
        <v>53</v>
      </c>
      <c r="F54" t="s">
        <v>53</v>
      </c>
      <c r="G54">
        <v>4</v>
      </c>
      <c r="H54" t="s">
        <v>54</v>
      </c>
      <c r="I54">
        <v>220800</v>
      </c>
      <c r="J54">
        <v>39800</v>
      </c>
      <c r="K54">
        <v>0.24</v>
      </c>
      <c r="L54">
        <v>-1.4271163556399999</v>
      </c>
      <c r="M54">
        <v>0</v>
      </c>
      <c r="N54">
        <v>0</v>
      </c>
      <c r="O54">
        <v>0</v>
      </c>
      <c r="P54">
        <v>13398.7528</v>
      </c>
      <c r="Q54">
        <v>63902.980100000001</v>
      </c>
      <c r="R54">
        <v>44781.400833940999</v>
      </c>
      <c r="S54" t="s">
        <v>55</v>
      </c>
      <c r="T54">
        <v>2</v>
      </c>
      <c r="U54" t="s">
        <v>64</v>
      </c>
      <c r="V54" t="s">
        <v>69</v>
      </c>
      <c r="W54">
        <v>0</v>
      </c>
      <c r="X54">
        <v>0</v>
      </c>
      <c r="Y54">
        <v>33</v>
      </c>
      <c r="Z54">
        <v>33</v>
      </c>
      <c r="AA54">
        <v>30</v>
      </c>
      <c r="AB54">
        <v>2000</v>
      </c>
      <c r="AC54">
        <v>1740</v>
      </c>
      <c r="AD54">
        <v>976</v>
      </c>
      <c r="AE54">
        <v>764</v>
      </c>
      <c r="AF54">
        <v>0</v>
      </c>
      <c r="AG54">
        <v>0</v>
      </c>
      <c r="AH54">
        <v>440</v>
      </c>
      <c r="AI54">
        <v>0</v>
      </c>
      <c r="AJ54">
        <v>352</v>
      </c>
      <c r="AK54">
        <v>0</v>
      </c>
      <c r="AL54">
        <v>10</v>
      </c>
      <c r="AM54">
        <v>0</v>
      </c>
      <c r="AN54">
        <v>0</v>
      </c>
      <c r="AO54" t="s">
        <v>58</v>
      </c>
      <c r="AP54">
        <v>1</v>
      </c>
      <c r="AQ54" t="s">
        <v>59</v>
      </c>
      <c r="AR54" t="s">
        <v>60</v>
      </c>
      <c r="AS54">
        <v>1</v>
      </c>
      <c r="AT54">
        <v>3</v>
      </c>
      <c r="AU54">
        <v>0</v>
      </c>
      <c r="AV54">
        <v>0</v>
      </c>
      <c r="AW54">
        <v>100</v>
      </c>
      <c r="AX54" s="1">
        <v>44187</v>
      </c>
      <c r="AY54">
        <v>22800</v>
      </c>
      <c r="AZ54">
        <v>273918</v>
      </c>
      <c r="BA54">
        <v>296700</v>
      </c>
      <c r="BB54">
        <v>270000</v>
      </c>
      <c r="BC54">
        <v>740</v>
      </c>
      <c r="BD54">
        <f>Grandview_Sales[[#This Row],[land_extract]]*Lookups!$B$3</f>
        <v>52004.519878673433</v>
      </c>
      <c r="BE54">
        <f>Lookups!$B$2</f>
        <v>155833.95000000001</v>
      </c>
      <c r="BF54">
        <f>VLOOKUP(Grandview_Sales[[#This Row],[quality]],Lookups!$H$2:$J$13,3,FALSE)</f>
        <v>20768</v>
      </c>
      <c r="BG54">
        <f>VLOOKUP(Grandview_Sales[[#This Row],[condition]],Lookups!$H$17:$J$24,3,FALSE)</f>
        <v>-4503</v>
      </c>
      <c r="BH54">
        <f>Grandview_Sales[[#This Row],[Eff_Age]]*Lookups!$B$14</f>
        <v>-7892.4977999999992</v>
      </c>
      <c r="BI54">
        <f>Grandview_Sales[[#This Row],[living_area]]*Lookups!$B$15</f>
        <v>108542.68422000001</v>
      </c>
      <c r="BJ54">
        <f>Grandview_Sales[[#This Row],[Fin BSMT]]*Lookups!$B$16</f>
        <v>0</v>
      </c>
      <c r="BK54">
        <f>Grandview_Sales[[#This Row],[garage_sqft]]*Lookups!$B$17</f>
        <v>38508.992279999999</v>
      </c>
      <c r="BL54">
        <f>Grandview_Sales[[#This Row],[Plumbing Fixtures]]*Lookups!$B$18</f>
        <v>20104.418000000001</v>
      </c>
      <c r="BM54">
        <f>Grandview_Sales[[#This Row],[detatched_value]]*Lookups!$B$19</f>
        <v>0</v>
      </c>
      <c r="BN54">
        <f>Grandview_Sales[[#This Row],[days_prior]]*Lookups!$B$20</f>
        <v>-88761.963999999993</v>
      </c>
      <c r="BO54">
        <f>SUM(Grandview_Sales[[#This Row],[land_value]:[Days Prior To Assessment_value]])</f>
        <v>294605.10257867345</v>
      </c>
      <c r="BP54">
        <f>Grandview_Sales[[#This Row],[predicted_total]]/Grandview_Sales[[#This Row],[sale_price]]</f>
        <v>1.0911300095506424</v>
      </c>
      <c r="BQ54">
        <f>VLOOKUP(Grandview_Sales[[#This Row],[quality]],Lookups!$A$26:$C$33,3,FALSE)</f>
        <v>0.94960540378902636</v>
      </c>
      <c r="BR54">
        <f>VLOOKUP(Grandview_Sales[[#This Row],[condition]],Lookups!$A$37:$C$44,3,FALSE)</f>
        <v>0.96469275950863709</v>
      </c>
      <c r="BS54">
        <f>VLOOKUP(Grandview_Sales[[#This Row],[decade]],Lookups!$F$29:$H$43,3,FALSE)</f>
        <v>0.98397821291089549</v>
      </c>
      <c r="BT54">
        <f>VLOOKUP(Grandview_Sales[[#This Row],[living_area_range]],Lookups!$F$47:$H$56,3,FALSE)</f>
        <v>0.96120133463014379</v>
      </c>
      <c r="BU54">
        <f>Grandview_Sales[[#This Row],[predicted_total]]*AVERAGE(Grandview_Sales[[#This Row],[qual_adj]:[size_adj]])</f>
        <v>284255.45672543492</v>
      </c>
      <c r="BV54">
        <f>Grandview_Sales[[#This Row],[final_total]]/Grandview_Sales[[#This Row],[sale_price]]</f>
        <v>1.0527979878719811</v>
      </c>
      <c r="BW54" s="6">
        <f>(Grandview_Sales[[#This Row],[final_total]]-Grandview_Sales[[#This Row],[sale_price]])^2</f>
        <v>203218046.45074782</v>
      </c>
      <c r="BX54" s="6">
        <f>(Grandview_Sales[[#This Row],[final_total]]-AVERAGE(Grandview_Sales[sale_price]))^2</f>
        <v>515458602.7602489</v>
      </c>
      <c r="BY54" s="6">
        <f>Grandview_Sales[[#This Row],[SSE]]+Grandview_Sales[[#This Row],[SSR]]</f>
        <v>718676649.21099675</v>
      </c>
      <c r="BZ54" s="4">
        <f>ABS(Grandview_Sales[[#This Row],[final_ratio]]-MEDIAN(Grandview_Sales[final_ratio]))</f>
        <v>5.1549268516169144E-2</v>
      </c>
    </row>
    <row r="55" spans="1:78" x14ac:dyDescent="0.25">
      <c r="A55">
        <v>23092343435</v>
      </c>
      <c r="B55">
        <v>0.21</v>
      </c>
      <c r="C55">
        <v>9072</v>
      </c>
      <c r="D55">
        <v>0</v>
      </c>
      <c r="E55" t="s">
        <v>53</v>
      </c>
      <c r="F55" t="s">
        <v>53</v>
      </c>
      <c r="G55">
        <v>4</v>
      </c>
      <c r="H55" t="s">
        <v>54</v>
      </c>
      <c r="I55">
        <v>176800</v>
      </c>
      <c r="J55">
        <v>39300</v>
      </c>
      <c r="K55">
        <v>0.21</v>
      </c>
      <c r="L55">
        <v>-1.5606477482650001</v>
      </c>
      <c r="M55">
        <v>0</v>
      </c>
      <c r="N55">
        <v>0</v>
      </c>
      <c r="O55">
        <v>0</v>
      </c>
      <c r="P55">
        <v>13398.7528</v>
      </c>
      <c r="Q55">
        <v>63902.980100000001</v>
      </c>
      <c r="R55">
        <v>42992.246713125001</v>
      </c>
      <c r="S55" t="s">
        <v>61</v>
      </c>
      <c r="T55">
        <v>1</v>
      </c>
      <c r="U55" t="s">
        <v>65</v>
      </c>
      <c r="V55" t="s">
        <v>67</v>
      </c>
      <c r="W55">
        <v>0</v>
      </c>
      <c r="X55">
        <v>0</v>
      </c>
      <c r="Y55">
        <v>41</v>
      </c>
      <c r="Z55">
        <v>41</v>
      </c>
      <c r="AA55">
        <v>40</v>
      </c>
      <c r="AB55">
        <v>1500</v>
      </c>
      <c r="AC55">
        <v>1056</v>
      </c>
      <c r="AD55">
        <v>1056</v>
      </c>
      <c r="AE55">
        <v>0</v>
      </c>
      <c r="AF55">
        <v>0</v>
      </c>
      <c r="AG55">
        <v>0</v>
      </c>
      <c r="AH55">
        <v>288</v>
      </c>
      <c r="AI55">
        <v>0</v>
      </c>
      <c r="AJ55">
        <v>0</v>
      </c>
      <c r="AK55">
        <v>390</v>
      </c>
      <c r="AL55">
        <v>5</v>
      </c>
      <c r="AM55">
        <v>0</v>
      </c>
      <c r="AN55">
        <v>0</v>
      </c>
      <c r="AO55" t="s">
        <v>58</v>
      </c>
      <c r="AP55">
        <v>1</v>
      </c>
      <c r="AQ55" t="s">
        <v>63</v>
      </c>
      <c r="AR55" t="s">
        <v>60</v>
      </c>
      <c r="AS55">
        <v>0</v>
      </c>
      <c r="AT55">
        <v>3</v>
      </c>
      <c r="AU55">
        <v>0</v>
      </c>
      <c r="AV55">
        <v>0</v>
      </c>
      <c r="AW55">
        <v>100</v>
      </c>
      <c r="AX55" s="1">
        <v>44187</v>
      </c>
      <c r="AY55">
        <v>22500</v>
      </c>
      <c r="AZ55">
        <v>139077</v>
      </c>
      <c r="BA55">
        <v>161600</v>
      </c>
      <c r="BB55">
        <v>236000</v>
      </c>
      <c r="BC55">
        <v>740</v>
      </c>
      <c r="BD55">
        <f>Grandview_Sales[[#This Row],[land_extract]]*Lookups!$B$3</f>
        <v>49926.780028885936</v>
      </c>
      <c r="BE55">
        <f>Lookups!$B$2</f>
        <v>155833.95000000001</v>
      </c>
      <c r="BF55">
        <f>VLOOKUP(Grandview_Sales[[#This Row],[quality]],Lookups!$H$2:$J$13,3,FALSE)</f>
        <v>2251</v>
      </c>
      <c r="BG55">
        <f>VLOOKUP(Grandview_Sales[[#This Row],[condition]],Lookups!$H$17:$J$24,3,FALSE)</f>
        <v>22342</v>
      </c>
      <c r="BH55">
        <f>Grandview_Sales[[#This Row],[Eff_Age]]*Lookups!$B$14</f>
        <v>-9805.8305999999993</v>
      </c>
      <c r="BI55">
        <f>Grandview_Sales[[#This Row],[living_area]]*Lookups!$B$15</f>
        <v>65874.180768000006</v>
      </c>
      <c r="BJ55">
        <f>Grandview_Sales[[#This Row],[Fin BSMT]]*Lookups!$B$16</f>
        <v>0</v>
      </c>
      <c r="BK55">
        <f>Grandview_Sales[[#This Row],[garage_sqft]]*Lookups!$B$17</f>
        <v>25205.885856000001</v>
      </c>
      <c r="BL55">
        <f>Grandview_Sales[[#This Row],[Plumbing Fixtures]]*Lookups!$B$18</f>
        <v>10052.209000000001</v>
      </c>
      <c r="BM55">
        <f>Grandview_Sales[[#This Row],[detatched_value]]*Lookups!$B$19</f>
        <v>0</v>
      </c>
      <c r="BN55">
        <f>Grandview_Sales[[#This Row],[days_prior]]*Lookups!$B$20</f>
        <v>-88761.963999999993</v>
      </c>
      <c r="BO55">
        <f>SUM(Grandview_Sales[[#This Row],[land_value]:[Days Prior To Assessment_value]])</f>
        <v>232918.21105288598</v>
      </c>
      <c r="BP55">
        <f>Grandview_Sales[[#This Row],[predicted_total]]/Grandview_Sales[[#This Row],[sale_price]]</f>
        <v>0.9869415722579914</v>
      </c>
      <c r="BQ55">
        <f>VLOOKUP(Grandview_Sales[[#This Row],[quality]],Lookups!$A$26:$C$33,3,FALSE)</f>
        <v>0.98763855981004833</v>
      </c>
      <c r="BR55">
        <f>VLOOKUP(Grandview_Sales[[#This Row],[condition]],Lookups!$A$37:$C$44,3,FALSE)</f>
        <v>0.97383723671140243</v>
      </c>
      <c r="BS55">
        <f>VLOOKUP(Grandview_Sales[[#This Row],[decade]],Lookups!$F$29:$H$43,3,FALSE)</f>
        <v>0.98031878267063854</v>
      </c>
      <c r="BT55">
        <f>VLOOKUP(Grandview_Sales[[#This Row],[living_area_range]],Lookups!$F$47:$H$56,3,FALSE)</f>
        <v>0.96135087979789358</v>
      </c>
      <c r="BU55">
        <f>Grandview_Sales[[#This Row],[predicted_total]]*AVERAGE(Grandview_Sales[[#This Row],[qual_adj]:[size_adj]])</f>
        <v>227278.41444678558</v>
      </c>
      <c r="BV55">
        <f>Grandview_Sales[[#This Row],[final_total]]/Grandview_Sales[[#This Row],[sale_price]]</f>
        <v>0.96304412901180325</v>
      </c>
      <c r="BW55" s="6">
        <f>(Grandview_Sales[[#This Row],[final_total]]-Grandview_Sales[[#This Row],[sale_price]])^2</f>
        <v>76066054.562038481</v>
      </c>
      <c r="BX55" s="6">
        <f>(Grandview_Sales[[#This Row],[final_total]]-AVERAGE(Grandview_Sales[sale_price]))^2</f>
        <v>6349022827.6646519</v>
      </c>
      <c r="BY55" s="6">
        <f>Grandview_Sales[[#This Row],[SSE]]+Grandview_Sales[[#This Row],[SSR]]</f>
        <v>6425088882.2266903</v>
      </c>
      <c r="BZ55" s="4">
        <f>ABS(Grandview_Sales[[#This Row],[final_ratio]]-MEDIAN(Grandview_Sales[final_ratio]))</f>
        <v>3.8204590344008693E-2</v>
      </c>
    </row>
    <row r="56" spans="1:78" x14ac:dyDescent="0.25">
      <c r="A56">
        <v>23092343436</v>
      </c>
      <c r="B56">
        <v>0.21</v>
      </c>
      <c r="C56">
        <v>9072</v>
      </c>
      <c r="D56">
        <v>0</v>
      </c>
      <c r="E56" t="s">
        <v>53</v>
      </c>
      <c r="F56" t="s">
        <v>53</v>
      </c>
      <c r="G56">
        <v>4</v>
      </c>
      <c r="H56" t="s">
        <v>54</v>
      </c>
      <c r="I56">
        <v>192500</v>
      </c>
      <c r="J56">
        <v>39300</v>
      </c>
      <c r="K56">
        <v>0.21</v>
      </c>
      <c r="L56">
        <v>-1.5606477482650001</v>
      </c>
      <c r="M56">
        <v>0</v>
      </c>
      <c r="N56">
        <v>0</v>
      </c>
      <c r="O56">
        <v>0</v>
      </c>
      <c r="P56">
        <v>13398.7528</v>
      </c>
      <c r="Q56">
        <v>63902.980100000001</v>
      </c>
      <c r="R56">
        <v>42992.246713125001</v>
      </c>
      <c r="S56" t="s">
        <v>61</v>
      </c>
      <c r="T56">
        <v>1</v>
      </c>
      <c r="U56" t="s">
        <v>65</v>
      </c>
      <c r="V56" t="s">
        <v>67</v>
      </c>
      <c r="W56">
        <v>0</v>
      </c>
      <c r="X56">
        <v>0</v>
      </c>
      <c r="Y56">
        <v>41</v>
      </c>
      <c r="Z56">
        <v>41</v>
      </c>
      <c r="AA56">
        <v>40</v>
      </c>
      <c r="AB56">
        <v>1500</v>
      </c>
      <c r="AC56">
        <v>1232</v>
      </c>
      <c r="AD56">
        <v>1232</v>
      </c>
      <c r="AE56">
        <v>0</v>
      </c>
      <c r="AF56">
        <v>0</v>
      </c>
      <c r="AG56">
        <v>0</v>
      </c>
      <c r="AH56">
        <v>280</v>
      </c>
      <c r="AI56">
        <v>0</v>
      </c>
      <c r="AJ56">
        <v>0</v>
      </c>
      <c r="AK56">
        <v>288</v>
      </c>
      <c r="AL56">
        <v>9</v>
      </c>
      <c r="AM56">
        <v>0</v>
      </c>
      <c r="AN56">
        <v>0</v>
      </c>
      <c r="AO56" t="s">
        <v>58</v>
      </c>
      <c r="AP56">
        <v>1</v>
      </c>
      <c r="AQ56" t="s">
        <v>63</v>
      </c>
      <c r="AR56" t="s">
        <v>60</v>
      </c>
      <c r="AS56">
        <v>0</v>
      </c>
      <c r="AT56">
        <v>3</v>
      </c>
      <c r="AU56">
        <v>0</v>
      </c>
      <c r="AV56">
        <v>0</v>
      </c>
      <c r="AW56">
        <v>100</v>
      </c>
      <c r="AX56" s="1">
        <v>44188</v>
      </c>
      <c r="AY56">
        <v>22500</v>
      </c>
      <c r="AZ56">
        <v>163244</v>
      </c>
      <c r="BA56">
        <v>185700</v>
      </c>
      <c r="BB56">
        <v>273000</v>
      </c>
      <c r="BC56">
        <v>739</v>
      </c>
      <c r="BD56">
        <f>Grandview_Sales[[#This Row],[land_extract]]*Lookups!$B$3</f>
        <v>49926.780028885936</v>
      </c>
      <c r="BE56">
        <f>Lookups!$B$2</f>
        <v>155833.95000000001</v>
      </c>
      <c r="BF56">
        <f>VLOOKUP(Grandview_Sales[[#This Row],[quality]],Lookups!$H$2:$J$13,3,FALSE)</f>
        <v>2251</v>
      </c>
      <c r="BG56">
        <f>VLOOKUP(Grandview_Sales[[#This Row],[condition]],Lookups!$H$17:$J$24,3,FALSE)</f>
        <v>22342</v>
      </c>
      <c r="BH56">
        <f>Grandview_Sales[[#This Row],[Eff_Age]]*Lookups!$B$14</f>
        <v>-9805.8305999999993</v>
      </c>
      <c r="BI56">
        <f>Grandview_Sales[[#This Row],[living_area]]*Lookups!$B$15</f>
        <v>76853.210896000004</v>
      </c>
      <c r="BJ56">
        <f>Grandview_Sales[[#This Row],[Fin BSMT]]*Lookups!$B$16</f>
        <v>0</v>
      </c>
      <c r="BK56">
        <f>Grandview_Sales[[#This Row],[garage_sqft]]*Lookups!$B$17</f>
        <v>24505.72236</v>
      </c>
      <c r="BL56">
        <f>Grandview_Sales[[#This Row],[Plumbing Fixtures]]*Lookups!$B$18</f>
        <v>18093.976200000001</v>
      </c>
      <c r="BM56">
        <f>Grandview_Sales[[#This Row],[detatched_value]]*Lookups!$B$19</f>
        <v>0</v>
      </c>
      <c r="BN56">
        <f>Grandview_Sales[[#This Row],[days_prior]]*Lookups!$B$20</f>
        <v>-88642.015400000004</v>
      </c>
      <c r="BO56">
        <f>SUM(Grandview_Sales[[#This Row],[land_value]:[Days Prior To Assessment_value]])</f>
        <v>251358.79348488591</v>
      </c>
      <c r="BP56">
        <f>Grandview_Sales[[#This Row],[predicted_total]]/Grandview_Sales[[#This Row],[sale_price]]</f>
        <v>0.92072818126331835</v>
      </c>
      <c r="BQ56">
        <f>VLOOKUP(Grandview_Sales[[#This Row],[quality]],Lookups!$A$26:$C$33,3,FALSE)</f>
        <v>0.98763855981004833</v>
      </c>
      <c r="BR56">
        <f>VLOOKUP(Grandview_Sales[[#This Row],[condition]],Lookups!$A$37:$C$44,3,FALSE)</f>
        <v>0.97383723671140243</v>
      </c>
      <c r="BS56">
        <f>VLOOKUP(Grandview_Sales[[#This Row],[decade]],Lookups!$F$29:$H$43,3,FALSE)</f>
        <v>0.98031878267063854</v>
      </c>
      <c r="BT56">
        <f>VLOOKUP(Grandview_Sales[[#This Row],[living_area_range]],Lookups!$F$47:$H$56,3,FALSE)</f>
        <v>0.96135087979789358</v>
      </c>
      <c r="BU56">
        <f>Grandview_Sales[[#This Row],[predicted_total]]*AVERAGE(Grandview_Sales[[#This Row],[qual_adj]:[size_adj]])</f>
        <v>245272.48334193334</v>
      </c>
      <c r="BV56">
        <f>Grandview_Sales[[#This Row],[final_total]]/Grandview_Sales[[#This Row],[sale_price]]</f>
        <v>0.89843400491550673</v>
      </c>
      <c r="BW56" s="6">
        <f>(Grandview_Sales[[#This Row],[final_total]]-Grandview_Sales[[#This Row],[sale_price]])^2</f>
        <v>768815180.02336383</v>
      </c>
      <c r="BX56" s="6">
        <f>(Grandview_Sales[[#This Row],[final_total]]-AVERAGE(Grandview_Sales[sale_price]))^2</f>
        <v>3805247327.9856877</v>
      </c>
      <c r="BY56" s="6">
        <f>Grandview_Sales[[#This Row],[SSE]]+Grandview_Sales[[#This Row],[SSR]]</f>
        <v>4574062508.0090513</v>
      </c>
      <c r="BZ56" s="4">
        <f>ABS(Grandview_Sales[[#This Row],[final_ratio]]-MEDIAN(Grandview_Sales[final_ratio]))</f>
        <v>0.10281471444030521</v>
      </c>
    </row>
    <row r="57" spans="1:78" x14ac:dyDescent="0.25">
      <c r="A57">
        <v>23092224512</v>
      </c>
      <c r="B57">
        <v>0.24</v>
      </c>
      <c r="C57">
        <v>10460</v>
      </c>
      <c r="D57">
        <v>0</v>
      </c>
      <c r="E57" t="s">
        <v>53</v>
      </c>
      <c r="F57" t="s">
        <v>53</v>
      </c>
      <c r="G57">
        <v>4</v>
      </c>
      <c r="H57" t="s">
        <v>54</v>
      </c>
      <c r="I57">
        <v>336000</v>
      </c>
      <c r="J57">
        <v>39800</v>
      </c>
      <c r="K57">
        <v>0.24</v>
      </c>
      <c r="L57">
        <v>-1.4271163556399999</v>
      </c>
      <c r="M57">
        <v>0</v>
      </c>
      <c r="N57">
        <v>0</v>
      </c>
      <c r="O57">
        <v>0</v>
      </c>
      <c r="P57">
        <v>13398.7528</v>
      </c>
      <c r="Q57">
        <v>63902.980100000001</v>
      </c>
      <c r="R57">
        <v>44781.400833940999</v>
      </c>
      <c r="S57" t="s">
        <v>58</v>
      </c>
      <c r="T57">
        <v>1</v>
      </c>
      <c r="U57" t="s">
        <v>64</v>
      </c>
      <c r="V57" t="s">
        <v>66</v>
      </c>
      <c r="W57">
        <v>0</v>
      </c>
      <c r="X57">
        <v>0</v>
      </c>
      <c r="Y57">
        <v>10</v>
      </c>
      <c r="Z57">
        <v>10</v>
      </c>
      <c r="AA57">
        <v>10</v>
      </c>
      <c r="AB57">
        <v>2000</v>
      </c>
      <c r="AC57">
        <v>1890</v>
      </c>
      <c r="AD57">
        <v>1890</v>
      </c>
      <c r="AE57">
        <v>0</v>
      </c>
      <c r="AF57">
        <v>0</v>
      </c>
      <c r="AG57">
        <v>0</v>
      </c>
      <c r="AH57">
        <v>722</v>
      </c>
      <c r="AI57">
        <v>0</v>
      </c>
      <c r="AJ57">
        <v>0</v>
      </c>
      <c r="AK57">
        <v>0</v>
      </c>
      <c r="AL57">
        <v>10</v>
      </c>
      <c r="AM57">
        <v>1</v>
      </c>
      <c r="AN57">
        <v>0</v>
      </c>
      <c r="AO57" t="s">
        <v>58</v>
      </c>
      <c r="AP57">
        <v>1</v>
      </c>
      <c r="AQ57" t="s">
        <v>63</v>
      </c>
      <c r="AR57" t="s">
        <v>60</v>
      </c>
      <c r="AS57">
        <v>1</v>
      </c>
      <c r="AT57">
        <v>3</v>
      </c>
      <c r="AU57">
        <v>0</v>
      </c>
      <c r="AV57">
        <v>14600</v>
      </c>
      <c r="AW57">
        <v>100</v>
      </c>
      <c r="AX57" s="1">
        <v>44194</v>
      </c>
      <c r="AY57">
        <v>22800</v>
      </c>
      <c r="AZ57">
        <v>396226</v>
      </c>
      <c r="BA57">
        <v>419000</v>
      </c>
      <c r="BB57">
        <v>350000</v>
      </c>
      <c r="BC57">
        <v>733</v>
      </c>
      <c r="BD57">
        <f>Grandview_Sales[[#This Row],[land_extract]]*Lookups!$B$3</f>
        <v>52004.519878673433</v>
      </c>
      <c r="BE57">
        <f>Lookups!$B$2</f>
        <v>155833.95000000001</v>
      </c>
      <c r="BF57">
        <f>VLOOKUP(Grandview_Sales[[#This Row],[quality]],Lookups!$H$2:$J$13,3,FALSE)</f>
        <v>20768</v>
      </c>
      <c r="BG57">
        <f>VLOOKUP(Grandview_Sales[[#This Row],[condition]],Lookups!$H$17:$J$24,3,FALSE)</f>
        <v>25818</v>
      </c>
      <c r="BH57">
        <f>Grandview_Sales[[#This Row],[Eff_Age]]*Lookups!$B$14</f>
        <v>-2391.6659999999997</v>
      </c>
      <c r="BI57">
        <f>Grandview_Sales[[#This Row],[living_area]]*Lookups!$B$15</f>
        <v>117899.81217</v>
      </c>
      <c r="BJ57">
        <f>Grandview_Sales[[#This Row],[Fin BSMT]]*Lookups!$B$16</f>
        <v>0</v>
      </c>
      <c r="BK57">
        <f>Grandview_Sales[[#This Row],[garage_sqft]]*Lookups!$B$17</f>
        <v>63189.755514000004</v>
      </c>
      <c r="BL57">
        <f>Grandview_Sales[[#This Row],[Plumbing Fixtures]]*Lookups!$B$18</f>
        <v>20104.418000000001</v>
      </c>
      <c r="BM57">
        <f>Grandview_Sales[[#This Row],[detatched_value]]*Lookups!$B$19</f>
        <v>12363.35446</v>
      </c>
      <c r="BN57">
        <f>Grandview_Sales[[#This Row],[days_prior]]*Lookups!$B$20</f>
        <v>-87922.323799999998</v>
      </c>
      <c r="BO57">
        <f>SUM(Grandview_Sales[[#This Row],[land_value]:[Days Prior To Assessment_value]])</f>
        <v>377667.82022267347</v>
      </c>
      <c r="BP57">
        <f>Grandview_Sales[[#This Row],[predicted_total]]/Grandview_Sales[[#This Row],[sale_price]]</f>
        <v>1.0790509149219243</v>
      </c>
      <c r="BQ57">
        <f>VLOOKUP(Grandview_Sales[[#This Row],[quality]],Lookups!$A$26:$C$33,3,FALSE)</f>
        <v>0.94960540378902636</v>
      </c>
      <c r="BR57">
        <f>VLOOKUP(Grandview_Sales[[#This Row],[condition]],Lookups!$A$37:$C$44,3,FALSE)</f>
        <v>0.96661476234146892</v>
      </c>
      <c r="BS57">
        <f>VLOOKUP(Grandview_Sales[[#This Row],[decade]],Lookups!$F$29:$H$43,3,FALSE)</f>
        <v>0.94601966599150278</v>
      </c>
      <c r="BT57">
        <f>VLOOKUP(Grandview_Sales[[#This Row],[living_area_range]],Lookups!$F$47:$H$56,3,FALSE)</f>
        <v>0.96120133463014379</v>
      </c>
      <c r="BU57">
        <f>Grandview_Sales[[#This Row],[predicted_total]]*AVERAGE(Grandview_Sales[[#This Row],[qual_adj]:[size_adj]])</f>
        <v>360997.67279922921</v>
      </c>
      <c r="BV57">
        <f>Grandview_Sales[[#This Row],[final_total]]/Grandview_Sales[[#This Row],[sale_price]]</f>
        <v>1.0314219222835121</v>
      </c>
      <c r="BW57" s="6">
        <f>(Grandview_Sales[[#This Row],[final_total]]-Grandview_Sales[[#This Row],[sale_price]])^2</f>
        <v>120948806.99890615</v>
      </c>
      <c r="BX57" s="6">
        <f>(Grandview_Sales[[#This Row],[final_total]]-AVERAGE(Grandview_Sales[sale_price]))^2</f>
        <v>2920159769.7716098</v>
      </c>
      <c r="BY57" s="6">
        <f>Grandview_Sales[[#This Row],[SSE]]+Grandview_Sales[[#This Row],[SSR]]</f>
        <v>3041108576.7705159</v>
      </c>
      <c r="BZ57" s="4">
        <f>ABS(Grandview_Sales[[#This Row],[final_ratio]]-MEDIAN(Grandview_Sales[final_ratio]))</f>
        <v>3.0173202927700205E-2</v>
      </c>
    </row>
    <row r="58" spans="1:78" x14ac:dyDescent="0.25">
      <c r="A58">
        <v>23092311477</v>
      </c>
      <c r="B58">
        <v>0.12</v>
      </c>
      <c r="C58">
        <v>5293</v>
      </c>
      <c r="D58">
        <v>0</v>
      </c>
      <c r="E58" t="s">
        <v>53</v>
      </c>
      <c r="F58" t="s">
        <v>53</v>
      </c>
      <c r="G58">
        <v>4</v>
      </c>
      <c r="H58" t="s">
        <v>54</v>
      </c>
      <c r="I58">
        <v>110200</v>
      </c>
      <c r="J58">
        <v>38400</v>
      </c>
      <c r="K58">
        <v>0.12</v>
      </c>
      <c r="L58">
        <v>-2.1202635362</v>
      </c>
      <c r="M58">
        <v>0</v>
      </c>
      <c r="N58">
        <v>0</v>
      </c>
      <c r="O58">
        <v>0</v>
      </c>
      <c r="P58">
        <v>13398.7528</v>
      </c>
      <c r="Q58">
        <v>63902.980100000001</v>
      </c>
      <c r="R58">
        <v>35494.093107601002</v>
      </c>
      <c r="S58" t="s">
        <v>68</v>
      </c>
      <c r="T58">
        <v>1</v>
      </c>
      <c r="U58" t="s">
        <v>70</v>
      </c>
      <c r="V58" t="s">
        <v>69</v>
      </c>
      <c r="W58">
        <v>0</v>
      </c>
      <c r="X58">
        <v>0</v>
      </c>
      <c r="Y58">
        <v>49</v>
      </c>
      <c r="Z58">
        <v>65</v>
      </c>
      <c r="AA58">
        <v>70</v>
      </c>
      <c r="AB58">
        <v>1000</v>
      </c>
      <c r="AC58">
        <v>880</v>
      </c>
      <c r="AD58">
        <v>704</v>
      </c>
      <c r="AE58">
        <v>0</v>
      </c>
      <c r="AF58">
        <v>176</v>
      </c>
      <c r="AG58">
        <v>0</v>
      </c>
      <c r="AH58">
        <v>0</v>
      </c>
      <c r="AI58">
        <v>220</v>
      </c>
      <c r="AJ58">
        <v>0</v>
      </c>
      <c r="AK58">
        <v>0</v>
      </c>
      <c r="AL58">
        <v>5</v>
      </c>
      <c r="AM58">
        <v>0</v>
      </c>
      <c r="AN58">
        <v>0</v>
      </c>
      <c r="AO58" t="s">
        <v>58</v>
      </c>
      <c r="AP58">
        <v>1</v>
      </c>
      <c r="AQ58" t="s">
        <v>63</v>
      </c>
      <c r="AR58" t="s">
        <v>64</v>
      </c>
      <c r="AS58">
        <v>0</v>
      </c>
      <c r="AT58">
        <v>2</v>
      </c>
      <c r="AU58">
        <v>0</v>
      </c>
      <c r="AV58">
        <v>0</v>
      </c>
      <c r="AW58">
        <v>100</v>
      </c>
      <c r="AX58" s="1">
        <v>44200</v>
      </c>
      <c r="AY58">
        <v>22000</v>
      </c>
      <c r="AZ58">
        <v>89887</v>
      </c>
      <c r="BA58">
        <v>111900</v>
      </c>
      <c r="BB58">
        <v>181300</v>
      </c>
      <c r="BC58">
        <v>727</v>
      </c>
      <c r="BD58">
        <f>Grandview_Sales[[#This Row],[land_extract]]*Lookups!$B$3</f>
        <v>41219.194491805654</v>
      </c>
      <c r="BE58">
        <f>Lookups!$B$2</f>
        <v>155833.95000000001</v>
      </c>
      <c r="BF58">
        <f>VLOOKUP(Grandview_Sales[[#This Row],[quality]],Lookups!$H$2:$J$13,3,FALSE)</f>
        <v>10733</v>
      </c>
      <c r="BG58">
        <f>VLOOKUP(Grandview_Sales[[#This Row],[condition]],Lookups!$H$17:$J$24,3,FALSE)</f>
        <v>-4503</v>
      </c>
      <c r="BH58">
        <f>Grandview_Sales[[#This Row],[Eff_Age]]*Lookups!$B$14</f>
        <v>-11719.163399999999</v>
      </c>
      <c r="BI58">
        <f>Grandview_Sales[[#This Row],[living_area]]*Lookups!$B$15</f>
        <v>54895.15064</v>
      </c>
      <c r="BJ58">
        <f>Grandview_Sales[[#This Row],[Fin BSMT]]*Lookups!$B$16</f>
        <v>-4769.4662400000007</v>
      </c>
      <c r="BK58">
        <f>Grandview_Sales[[#This Row],[garage_sqft]]*Lookups!$B$17</f>
        <v>0</v>
      </c>
      <c r="BL58">
        <f>Grandview_Sales[[#This Row],[Plumbing Fixtures]]*Lookups!$B$18</f>
        <v>10052.209000000001</v>
      </c>
      <c r="BM58">
        <f>Grandview_Sales[[#This Row],[detatched_value]]*Lookups!$B$19</f>
        <v>0</v>
      </c>
      <c r="BN58">
        <f>Grandview_Sales[[#This Row],[days_prior]]*Lookups!$B$20</f>
        <v>-87202.632199999993</v>
      </c>
      <c r="BO58">
        <f>SUM(Grandview_Sales[[#This Row],[land_value]:[Days Prior To Assessment_value]])</f>
        <v>164539.24229180568</v>
      </c>
      <c r="BP58">
        <f>Grandview_Sales[[#This Row],[predicted_total]]/Grandview_Sales[[#This Row],[sale_price]]</f>
        <v>0.90755235682187363</v>
      </c>
      <c r="BQ58">
        <f>VLOOKUP(Grandview_Sales[[#This Row],[quality]],Lookups!$A$26:$C$33,3,FALSE)</f>
        <v>0.98079741117310582</v>
      </c>
      <c r="BR58">
        <f>VLOOKUP(Grandview_Sales[[#This Row],[condition]],Lookups!$A$37:$C$44,3,FALSE)</f>
        <v>0.96469275950863709</v>
      </c>
      <c r="BS58">
        <f>VLOOKUP(Grandview_Sales[[#This Row],[decade]],Lookups!$F$29:$H$43,3,FALSE)</f>
        <v>0.99472141305414818</v>
      </c>
      <c r="BT58">
        <f>VLOOKUP(Grandview_Sales[[#This Row],[living_area_range]],Lookups!$F$47:$H$56,3,FALSE)</f>
        <v>0.94306777142782894</v>
      </c>
      <c r="BU58">
        <f>Grandview_Sales[[#This Row],[predicted_total]]*AVERAGE(Grandview_Sales[[#This Row],[qual_adj]:[size_adj]])</f>
        <v>159737.96067651256</v>
      </c>
      <c r="BV58">
        <f>Grandview_Sales[[#This Row],[final_total]]/Grandview_Sales[[#This Row],[sale_price]]</f>
        <v>0.88106983274413986</v>
      </c>
      <c r="BW58" s="6">
        <f>(Grandview_Sales[[#This Row],[final_total]]-Grandview_Sales[[#This Row],[sale_price]])^2</f>
        <v>464921539.78761852</v>
      </c>
      <c r="BX58" s="6">
        <f>(Grandview_Sales[[#This Row],[final_total]]-AVERAGE(Grandview_Sales[sale_price]))^2</f>
        <v>21674084515.56488</v>
      </c>
      <c r="BY58" s="6">
        <f>Grandview_Sales[[#This Row],[SSE]]+Grandview_Sales[[#This Row],[SSR]]</f>
        <v>22139006055.352497</v>
      </c>
      <c r="BZ58" s="4">
        <f>ABS(Grandview_Sales[[#This Row],[final_ratio]]-MEDIAN(Grandview_Sales[final_ratio]))</f>
        <v>0.12017888661167209</v>
      </c>
    </row>
    <row r="59" spans="1:78" x14ac:dyDescent="0.25">
      <c r="A59">
        <v>23092242534</v>
      </c>
      <c r="B59">
        <v>0.17</v>
      </c>
      <c r="C59">
        <v>7346</v>
      </c>
      <c r="D59">
        <v>0</v>
      </c>
      <c r="E59" t="s">
        <v>53</v>
      </c>
      <c r="F59" t="s">
        <v>53</v>
      </c>
      <c r="G59">
        <v>4</v>
      </c>
      <c r="H59" t="s">
        <v>54</v>
      </c>
      <c r="I59">
        <v>240800</v>
      </c>
      <c r="J59">
        <v>38800</v>
      </c>
      <c r="K59">
        <v>0.17</v>
      </c>
      <c r="L59">
        <v>-1.771956841932</v>
      </c>
      <c r="M59">
        <v>0</v>
      </c>
      <c r="N59">
        <v>0</v>
      </c>
      <c r="O59">
        <v>0</v>
      </c>
      <c r="P59">
        <v>13398.7528</v>
      </c>
      <c r="Q59">
        <v>63902.980100000001</v>
      </c>
      <c r="R59">
        <v>40160.968402685998</v>
      </c>
      <c r="S59" t="s">
        <v>61</v>
      </c>
      <c r="T59">
        <v>1</v>
      </c>
      <c r="U59" t="s">
        <v>62</v>
      </c>
      <c r="V59" t="s">
        <v>66</v>
      </c>
      <c r="W59">
        <v>0</v>
      </c>
      <c r="X59">
        <v>0</v>
      </c>
      <c r="Y59">
        <v>10</v>
      </c>
      <c r="Z59">
        <v>10</v>
      </c>
      <c r="AA59">
        <v>10</v>
      </c>
      <c r="AB59">
        <v>1500</v>
      </c>
      <c r="AC59">
        <v>1482</v>
      </c>
      <c r="AD59">
        <v>1482</v>
      </c>
      <c r="AE59">
        <v>0</v>
      </c>
      <c r="AF59">
        <v>0</v>
      </c>
      <c r="AG59">
        <v>0</v>
      </c>
      <c r="AH59">
        <v>442</v>
      </c>
      <c r="AI59">
        <v>0</v>
      </c>
      <c r="AJ59">
        <v>0</v>
      </c>
      <c r="AK59">
        <v>66</v>
      </c>
      <c r="AL59">
        <v>8</v>
      </c>
      <c r="AM59">
        <v>0</v>
      </c>
      <c r="AN59">
        <v>0</v>
      </c>
      <c r="AO59" t="s">
        <v>58</v>
      </c>
      <c r="AP59">
        <v>1</v>
      </c>
      <c r="AQ59" t="s">
        <v>63</v>
      </c>
      <c r="AR59" t="s">
        <v>60</v>
      </c>
      <c r="AS59">
        <v>1</v>
      </c>
      <c r="AT59">
        <v>4</v>
      </c>
      <c r="AU59">
        <v>0</v>
      </c>
      <c r="AV59">
        <v>0</v>
      </c>
      <c r="AW59">
        <v>100</v>
      </c>
      <c r="AX59" s="1">
        <v>44203</v>
      </c>
      <c r="AY59">
        <v>22200</v>
      </c>
      <c r="AZ59">
        <v>246737</v>
      </c>
      <c r="BA59">
        <v>268900</v>
      </c>
      <c r="BB59">
        <v>265000</v>
      </c>
      <c r="BC59">
        <v>724</v>
      </c>
      <c r="BD59">
        <f>Grandview_Sales[[#This Row],[land_extract]]*Lookups!$B$3</f>
        <v>46638.82417142456</v>
      </c>
      <c r="BE59">
        <f>Lookups!$B$2</f>
        <v>155833.95000000001</v>
      </c>
      <c r="BF59">
        <f>VLOOKUP(Grandview_Sales[[#This Row],[quality]],Lookups!$H$2:$J$13,3,FALSE)</f>
        <v>9808</v>
      </c>
      <c r="BG59">
        <f>VLOOKUP(Grandview_Sales[[#This Row],[condition]],Lookups!$H$17:$J$24,3,FALSE)</f>
        <v>25818</v>
      </c>
      <c r="BH59">
        <f>Grandview_Sales[[#This Row],[Eff_Age]]*Lookups!$B$14</f>
        <v>-2391.6659999999997</v>
      </c>
      <c r="BI59">
        <f>Grandview_Sales[[#This Row],[living_area]]*Lookups!$B$15</f>
        <v>92448.424146000005</v>
      </c>
      <c r="BJ59">
        <f>Grandview_Sales[[#This Row],[Fin BSMT]]*Lookups!$B$16</f>
        <v>0</v>
      </c>
      <c r="BK59">
        <f>Grandview_Sales[[#This Row],[garage_sqft]]*Lookups!$B$17</f>
        <v>38684.033153999997</v>
      </c>
      <c r="BL59">
        <f>Grandview_Sales[[#This Row],[Plumbing Fixtures]]*Lookups!$B$18</f>
        <v>16083.5344</v>
      </c>
      <c r="BM59">
        <f>Grandview_Sales[[#This Row],[detatched_value]]*Lookups!$B$19</f>
        <v>0</v>
      </c>
      <c r="BN59">
        <f>Grandview_Sales[[#This Row],[days_prior]]*Lookups!$B$20</f>
        <v>-86842.786399999997</v>
      </c>
      <c r="BO59">
        <f>SUM(Grandview_Sales[[#This Row],[land_value]:[Days Prior To Assessment_value]])</f>
        <v>296080.31347142457</v>
      </c>
      <c r="BP59">
        <f>Grandview_Sales[[#This Row],[predicted_total]]/Grandview_Sales[[#This Row],[sale_price]]</f>
        <v>1.1172842017789606</v>
      </c>
      <c r="BQ59">
        <f>VLOOKUP(Grandview_Sales[[#This Row],[quality]],Lookups!$A$26:$C$33,3,FALSE)</f>
        <v>0.94295468617355149</v>
      </c>
      <c r="BR59">
        <f>VLOOKUP(Grandview_Sales[[#This Row],[condition]],Lookups!$A$37:$C$44,3,FALSE)</f>
        <v>0.96661476234146892</v>
      </c>
      <c r="BS59">
        <f>VLOOKUP(Grandview_Sales[[#This Row],[decade]],Lookups!$F$29:$H$43,3,FALSE)</f>
        <v>0.94601966599150278</v>
      </c>
      <c r="BT59">
        <f>VLOOKUP(Grandview_Sales[[#This Row],[living_area_range]],Lookups!$F$47:$H$56,3,FALSE)</f>
        <v>0.96135087979789358</v>
      </c>
      <c r="BU59">
        <f>Grandview_Sales[[#This Row],[predicted_total]]*AVERAGE(Grandview_Sales[[#This Row],[qual_adj]:[size_adj]])</f>
        <v>282530.19750381733</v>
      </c>
      <c r="BV59">
        <f>Grandview_Sales[[#This Row],[final_total]]/Grandview_Sales[[#This Row],[sale_price]]</f>
        <v>1.0661516886936502</v>
      </c>
      <c r="BW59" s="6">
        <f>(Grandview_Sales[[#This Row],[final_total]]-Grandview_Sales[[#This Row],[sale_price]])^2</f>
        <v>307307824.52284318</v>
      </c>
      <c r="BX59" s="6">
        <f>(Grandview_Sales[[#This Row],[final_total]]-AVERAGE(Grandview_Sales[sale_price]))^2</f>
        <v>596774704.00507462</v>
      </c>
      <c r="BY59" s="6">
        <f>Grandview_Sales[[#This Row],[SSE]]+Grandview_Sales[[#This Row],[SSR]]</f>
        <v>904082528.52791786</v>
      </c>
      <c r="BZ59" s="4">
        <f>ABS(Grandview_Sales[[#This Row],[final_ratio]]-MEDIAN(Grandview_Sales[final_ratio]))</f>
        <v>6.4902969337838234E-2</v>
      </c>
    </row>
    <row r="60" spans="1:78" x14ac:dyDescent="0.25">
      <c r="A60">
        <v>23091911450</v>
      </c>
      <c r="B60">
        <v>0.41</v>
      </c>
      <c r="C60">
        <v>17885</v>
      </c>
      <c r="D60">
        <v>0</v>
      </c>
      <c r="E60" t="s">
        <v>53</v>
      </c>
      <c r="F60" t="s">
        <v>53</v>
      </c>
      <c r="G60">
        <v>4</v>
      </c>
      <c r="H60" t="s">
        <v>54</v>
      </c>
      <c r="I60">
        <v>315400</v>
      </c>
      <c r="J60">
        <v>41800</v>
      </c>
      <c r="K60">
        <v>0.41</v>
      </c>
      <c r="L60">
        <v>-0.89159811928400001</v>
      </c>
      <c r="M60">
        <v>0</v>
      </c>
      <c r="N60">
        <v>0</v>
      </c>
      <c r="O60">
        <v>0</v>
      </c>
      <c r="P60">
        <v>13398.7528</v>
      </c>
      <c r="Q60">
        <v>63902.980100000001</v>
      </c>
      <c r="R60">
        <v>51956.677302771997</v>
      </c>
      <c r="S60" t="s">
        <v>77</v>
      </c>
      <c r="T60">
        <v>1</v>
      </c>
      <c r="U60" t="s">
        <v>62</v>
      </c>
      <c r="V60" t="s">
        <v>67</v>
      </c>
      <c r="W60">
        <v>0</v>
      </c>
      <c r="X60">
        <v>0</v>
      </c>
      <c r="Y60">
        <v>44</v>
      </c>
      <c r="Z60">
        <v>47</v>
      </c>
      <c r="AA60">
        <v>50</v>
      </c>
      <c r="AB60">
        <v>3500</v>
      </c>
      <c r="AC60">
        <v>3032</v>
      </c>
      <c r="AD60">
        <v>1456</v>
      </c>
      <c r="AE60">
        <v>0</v>
      </c>
      <c r="AF60">
        <v>1576</v>
      </c>
      <c r="AG60">
        <v>0</v>
      </c>
      <c r="AH60">
        <v>520</v>
      </c>
      <c r="AI60">
        <v>0</v>
      </c>
      <c r="AJ60">
        <v>296</v>
      </c>
      <c r="AK60">
        <v>0</v>
      </c>
      <c r="AL60">
        <v>11</v>
      </c>
      <c r="AM60">
        <v>0</v>
      </c>
      <c r="AN60">
        <v>2</v>
      </c>
      <c r="AO60" t="s">
        <v>58</v>
      </c>
      <c r="AP60">
        <v>1</v>
      </c>
      <c r="AQ60" t="s">
        <v>63</v>
      </c>
      <c r="AR60" t="s">
        <v>60</v>
      </c>
      <c r="AS60">
        <v>1</v>
      </c>
      <c r="AT60">
        <v>3</v>
      </c>
      <c r="AU60">
        <v>0</v>
      </c>
      <c r="AV60">
        <v>6800</v>
      </c>
      <c r="AW60">
        <v>100</v>
      </c>
      <c r="AX60" s="1">
        <v>44211</v>
      </c>
      <c r="AY60">
        <v>23900</v>
      </c>
      <c r="AZ60">
        <v>392920</v>
      </c>
      <c r="BA60">
        <v>416800</v>
      </c>
      <c r="BB60">
        <v>402000</v>
      </c>
      <c r="BC60">
        <v>716</v>
      </c>
      <c r="BD60">
        <f>Grandview_Sales[[#This Row],[land_extract]]*Lookups!$B$3</f>
        <v>60337.149068680403</v>
      </c>
      <c r="BE60">
        <f>Lookups!$B$2</f>
        <v>155833.95000000001</v>
      </c>
      <c r="BF60">
        <f>VLOOKUP(Grandview_Sales[[#This Row],[quality]],Lookups!$H$2:$J$13,3,FALSE)</f>
        <v>9808</v>
      </c>
      <c r="BG60">
        <f>VLOOKUP(Grandview_Sales[[#This Row],[condition]],Lookups!$H$17:$J$24,3,FALSE)</f>
        <v>22342</v>
      </c>
      <c r="BH60">
        <f>Grandview_Sales[[#This Row],[Eff_Age]]*Lookups!$B$14</f>
        <v>-10523.330399999999</v>
      </c>
      <c r="BI60">
        <f>Grandview_Sales[[#This Row],[living_area]]*Lookups!$B$15</f>
        <v>189138.746296</v>
      </c>
      <c r="BJ60">
        <f>Grandview_Sales[[#This Row],[Fin BSMT]]*Lookups!$B$16</f>
        <v>-42708.402240000003</v>
      </c>
      <c r="BK60">
        <f>Grandview_Sales[[#This Row],[garage_sqft]]*Lookups!$B$17</f>
        <v>45510.627240000002</v>
      </c>
      <c r="BL60">
        <f>Grandview_Sales[[#This Row],[Plumbing Fixtures]]*Lookups!$B$18</f>
        <v>22114.859800000002</v>
      </c>
      <c r="BM60">
        <f>Grandview_Sales[[#This Row],[detatched_value]]*Lookups!$B$19</f>
        <v>5758.2746799999995</v>
      </c>
      <c r="BN60">
        <f>Grandview_Sales[[#This Row],[days_prior]]*Lookups!$B$20</f>
        <v>-85883.1976</v>
      </c>
      <c r="BO60">
        <f>SUM(Grandview_Sales[[#This Row],[land_value]:[Days Prior To Assessment_value]])</f>
        <v>371728.67684468033</v>
      </c>
      <c r="BP60">
        <f>Grandview_Sales[[#This Row],[predicted_total]]/Grandview_Sales[[#This Row],[sale_price]]</f>
        <v>0.92469820110616996</v>
      </c>
      <c r="BQ60">
        <f>VLOOKUP(Grandview_Sales[[#This Row],[quality]],Lookups!$A$26:$C$33,3,FALSE)</f>
        <v>0.94295468617355149</v>
      </c>
      <c r="BR60">
        <f>VLOOKUP(Grandview_Sales[[#This Row],[condition]],Lookups!$A$37:$C$44,3,FALSE)</f>
        <v>0.97383723671140243</v>
      </c>
      <c r="BS60">
        <f>VLOOKUP(Grandview_Sales[[#This Row],[decade]],Lookups!$F$29:$H$43,3,FALSE)</f>
        <v>0.9871940091910919</v>
      </c>
      <c r="BT60">
        <f>VLOOKUP(Grandview_Sales[[#This Row],[living_area_range]],Lookups!$F$47:$H$56,3,FALSE)</f>
        <v>1.0170112215140563</v>
      </c>
      <c r="BU60">
        <f>Grandview_Sales[[#This Row],[predicted_total]]*AVERAGE(Grandview_Sales[[#This Row],[qual_adj]:[size_adj]])</f>
        <v>364386.77095395164</v>
      </c>
      <c r="BV60">
        <f>Grandview_Sales[[#This Row],[final_total]]/Grandview_Sales[[#This Row],[sale_price]]</f>
        <v>0.90643475361679515</v>
      </c>
      <c r="BW60" s="6">
        <f>(Grandview_Sales[[#This Row],[final_total]]-Grandview_Sales[[#This Row],[sale_price]])^2</f>
        <v>1414754999.2704964</v>
      </c>
      <c r="BX60" s="6">
        <f>(Grandview_Sales[[#This Row],[final_total]]-AVERAGE(Grandview_Sales[sale_price]))^2</f>
        <v>3297929335.374197</v>
      </c>
      <c r="BY60" s="6">
        <f>Grandview_Sales[[#This Row],[SSE]]+Grandview_Sales[[#This Row],[SSR]]</f>
        <v>4712684334.6446934</v>
      </c>
      <c r="BZ60" s="4">
        <f>ABS(Grandview_Sales[[#This Row],[final_ratio]]-MEDIAN(Grandview_Sales[final_ratio]))</f>
        <v>9.4813965739016792E-2</v>
      </c>
    </row>
    <row r="61" spans="1:78" x14ac:dyDescent="0.25">
      <c r="A61">
        <v>23092242538</v>
      </c>
      <c r="B61">
        <v>0.21</v>
      </c>
      <c r="C61">
        <v>9077</v>
      </c>
      <c r="D61">
        <v>0</v>
      </c>
      <c r="E61" t="s">
        <v>53</v>
      </c>
      <c r="F61" t="s">
        <v>53</v>
      </c>
      <c r="G61">
        <v>4</v>
      </c>
      <c r="H61" t="s">
        <v>54</v>
      </c>
      <c r="I61">
        <v>223700</v>
      </c>
      <c r="J61">
        <v>39300</v>
      </c>
      <c r="K61">
        <v>0.21</v>
      </c>
      <c r="L61">
        <v>-1.5606477482650001</v>
      </c>
      <c r="M61">
        <v>0</v>
      </c>
      <c r="N61">
        <v>0</v>
      </c>
      <c r="O61">
        <v>0</v>
      </c>
      <c r="P61">
        <v>13398.7528</v>
      </c>
      <c r="Q61">
        <v>63902.980100000001</v>
      </c>
      <c r="R61">
        <v>42992.246713125001</v>
      </c>
      <c r="S61" t="s">
        <v>61</v>
      </c>
      <c r="T61">
        <v>1</v>
      </c>
      <c r="U61" t="s">
        <v>62</v>
      </c>
      <c r="V61" t="s">
        <v>66</v>
      </c>
      <c r="W61">
        <v>0</v>
      </c>
      <c r="X61">
        <v>0</v>
      </c>
      <c r="Y61">
        <v>12</v>
      </c>
      <c r="Z61">
        <v>12</v>
      </c>
      <c r="AA61">
        <v>10</v>
      </c>
      <c r="AB61">
        <v>1500</v>
      </c>
      <c r="AC61">
        <v>1178</v>
      </c>
      <c r="AD61">
        <v>1178</v>
      </c>
      <c r="AE61">
        <v>0</v>
      </c>
      <c r="AF61">
        <v>0</v>
      </c>
      <c r="AG61">
        <v>0</v>
      </c>
      <c r="AH61">
        <v>460</v>
      </c>
      <c r="AI61">
        <v>0</v>
      </c>
      <c r="AJ61">
        <v>0</v>
      </c>
      <c r="AK61">
        <v>0</v>
      </c>
      <c r="AL61">
        <v>8</v>
      </c>
      <c r="AM61">
        <v>0</v>
      </c>
      <c r="AN61">
        <v>0</v>
      </c>
      <c r="AO61" t="s">
        <v>58</v>
      </c>
      <c r="AP61">
        <v>1</v>
      </c>
      <c r="AQ61" t="s">
        <v>63</v>
      </c>
      <c r="AR61" t="s">
        <v>60</v>
      </c>
      <c r="AS61">
        <v>1</v>
      </c>
      <c r="AT61">
        <v>3</v>
      </c>
      <c r="AU61">
        <v>0</v>
      </c>
      <c r="AV61">
        <v>0</v>
      </c>
      <c r="AW61">
        <v>100</v>
      </c>
      <c r="AX61" s="1">
        <v>44221</v>
      </c>
      <c r="AY61">
        <v>22500</v>
      </c>
      <c r="AZ61">
        <v>206437</v>
      </c>
      <c r="BA61">
        <v>228900</v>
      </c>
      <c r="BB61">
        <v>276000</v>
      </c>
      <c r="BC61">
        <v>706</v>
      </c>
      <c r="BD61">
        <f>Grandview_Sales[[#This Row],[land_extract]]*Lookups!$B$3</f>
        <v>49926.780028885936</v>
      </c>
      <c r="BE61">
        <f>Lookups!$B$2</f>
        <v>155833.95000000001</v>
      </c>
      <c r="BF61">
        <f>VLOOKUP(Grandview_Sales[[#This Row],[quality]],Lookups!$H$2:$J$13,3,FALSE)</f>
        <v>9808</v>
      </c>
      <c r="BG61">
        <f>VLOOKUP(Grandview_Sales[[#This Row],[condition]],Lookups!$H$17:$J$24,3,FALSE)</f>
        <v>25818</v>
      </c>
      <c r="BH61">
        <f>Grandview_Sales[[#This Row],[Eff_Age]]*Lookups!$B$14</f>
        <v>-2869.9991999999997</v>
      </c>
      <c r="BI61">
        <f>Grandview_Sales[[#This Row],[living_area]]*Lookups!$B$15</f>
        <v>73484.644834000006</v>
      </c>
      <c r="BJ61">
        <f>Grandview_Sales[[#This Row],[Fin BSMT]]*Lookups!$B$16</f>
        <v>0</v>
      </c>
      <c r="BK61">
        <f>Grandview_Sales[[#This Row],[garage_sqft]]*Lookups!$B$17</f>
        <v>40259.401019999998</v>
      </c>
      <c r="BL61">
        <f>Grandview_Sales[[#This Row],[Plumbing Fixtures]]*Lookups!$B$18</f>
        <v>16083.5344</v>
      </c>
      <c r="BM61">
        <f>Grandview_Sales[[#This Row],[detatched_value]]*Lookups!$B$19</f>
        <v>0</v>
      </c>
      <c r="BN61">
        <f>Grandview_Sales[[#This Row],[days_prior]]*Lookups!$B$20</f>
        <v>-84683.711599999995</v>
      </c>
      <c r="BO61">
        <f>SUM(Grandview_Sales[[#This Row],[land_value]:[Days Prior To Assessment_value]])</f>
        <v>283660.59948288597</v>
      </c>
      <c r="BP61">
        <f>Grandview_Sales[[#This Row],[predicted_total]]/Grandview_Sales[[#This Row],[sale_price]]</f>
        <v>1.0277557952278478</v>
      </c>
      <c r="BQ61">
        <f>VLOOKUP(Grandview_Sales[[#This Row],[quality]],Lookups!$A$26:$C$33,3,FALSE)</f>
        <v>0.94295468617355149</v>
      </c>
      <c r="BR61">
        <f>VLOOKUP(Grandview_Sales[[#This Row],[condition]],Lookups!$A$37:$C$44,3,FALSE)</f>
        <v>0.96661476234146892</v>
      </c>
      <c r="BS61">
        <f>VLOOKUP(Grandview_Sales[[#This Row],[decade]],Lookups!$F$29:$H$43,3,FALSE)</f>
        <v>0.94601966599150278</v>
      </c>
      <c r="BT61">
        <f>VLOOKUP(Grandview_Sales[[#This Row],[living_area_range]],Lookups!$F$47:$H$56,3,FALSE)</f>
        <v>0.96135087979789358</v>
      </c>
      <c r="BU61">
        <f>Grandview_Sales[[#This Row],[predicted_total]]*AVERAGE(Grandview_Sales[[#This Row],[qual_adj]:[size_adj]])</f>
        <v>270678.8717436486</v>
      </c>
      <c r="BV61">
        <f>Grandview_Sales[[#This Row],[final_total]]/Grandview_Sales[[#This Row],[sale_price]]</f>
        <v>0.98072054979582823</v>
      </c>
      <c r="BW61" s="6">
        <f>(Grandview_Sales[[#This Row],[final_total]]-Grandview_Sales[[#This Row],[sale_price]])^2</f>
        <v>28314405.920541249</v>
      </c>
      <c r="BX61" s="6">
        <f>(Grandview_Sales[[#This Row],[final_total]]-AVERAGE(Grandview_Sales[sale_price]))^2</f>
        <v>1316260051.6476738</v>
      </c>
      <c r="BY61" s="6">
        <f>Grandview_Sales[[#This Row],[SSE]]+Grandview_Sales[[#This Row],[SSR]]</f>
        <v>1344574457.5682151</v>
      </c>
      <c r="BZ61" s="4">
        <f>ABS(Grandview_Sales[[#This Row],[final_ratio]]-MEDIAN(Grandview_Sales[final_ratio]))</f>
        <v>2.0528169559983711E-2</v>
      </c>
    </row>
    <row r="62" spans="1:78" x14ac:dyDescent="0.25">
      <c r="A62">
        <v>23092334462</v>
      </c>
      <c r="B62">
        <v>0.19</v>
      </c>
      <c r="C62">
        <v>8330</v>
      </c>
      <c r="D62">
        <v>0</v>
      </c>
      <c r="E62" t="s">
        <v>53</v>
      </c>
      <c r="F62" t="s">
        <v>53</v>
      </c>
      <c r="G62">
        <v>4</v>
      </c>
      <c r="H62" t="s">
        <v>54</v>
      </c>
      <c r="I62">
        <v>196600</v>
      </c>
      <c r="J62">
        <v>43500</v>
      </c>
      <c r="K62">
        <v>0.19</v>
      </c>
      <c r="L62">
        <v>-1.6607312068219999</v>
      </c>
      <c r="M62">
        <v>0</v>
      </c>
      <c r="N62">
        <v>0</v>
      </c>
      <c r="O62">
        <v>0</v>
      </c>
      <c r="P62">
        <v>13398.7528</v>
      </c>
      <c r="Q62">
        <v>63902.980100000001</v>
      </c>
      <c r="R62">
        <v>41651.253192550997</v>
      </c>
      <c r="S62" t="s">
        <v>61</v>
      </c>
      <c r="T62">
        <v>1</v>
      </c>
      <c r="U62" t="s">
        <v>65</v>
      </c>
      <c r="V62" t="s">
        <v>69</v>
      </c>
      <c r="W62">
        <v>0</v>
      </c>
      <c r="X62">
        <v>0</v>
      </c>
      <c r="Y62">
        <v>32</v>
      </c>
      <c r="Z62">
        <v>32</v>
      </c>
      <c r="AA62">
        <v>30</v>
      </c>
      <c r="AB62">
        <v>2000</v>
      </c>
      <c r="AC62">
        <v>1564</v>
      </c>
      <c r="AD62">
        <v>1564</v>
      </c>
      <c r="AE62">
        <v>0</v>
      </c>
      <c r="AF62">
        <v>0</v>
      </c>
      <c r="AG62">
        <v>0</v>
      </c>
      <c r="AH62">
        <v>400</v>
      </c>
      <c r="AI62">
        <v>0</v>
      </c>
      <c r="AJ62">
        <v>0</v>
      </c>
      <c r="AK62">
        <v>220</v>
      </c>
      <c r="AL62">
        <v>8</v>
      </c>
      <c r="AM62">
        <v>0</v>
      </c>
      <c r="AN62">
        <v>0</v>
      </c>
      <c r="AO62" t="s">
        <v>58</v>
      </c>
      <c r="AP62">
        <v>1</v>
      </c>
      <c r="AQ62" t="s">
        <v>63</v>
      </c>
      <c r="AR62" t="s">
        <v>60</v>
      </c>
      <c r="AS62">
        <v>1</v>
      </c>
      <c r="AT62">
        <v>3</v>
      </c>
      <c r="AU62">
        <v>0</v>
      </c>
      <c r="AV62">
        <v>0</v>
      </c>
      <c r="AW62">
        <v>100</v>
      </c>
      <c r="AX62" s="1">
        <v>44223</v>
      </c>
      <c r="AY62">
        <v>24900</v>
      </c>
      <c r="AZ62">
        <v>204324</v>
      </c>
      <c r="BA62">
        <v>229200</v>
      </c>
      <c r="BB62">
        <v>280000</v>
      </c>
      <c r="BC62">
        <v>704</v>
      </c>
      <c r="BD62">
        <f>Grandview_Sales[[#This Row],[land_extract]]*Lookups!$B$3</f>
        <v>48369.487874125851</v>
      </c>
      <c r="BE62">
        <f>Lookups!$B$2</f>
        <v>155833.95000000001</v>
      </c>
      <c r="BF62">
        <f>VLOOKUP(Grandview_Sales[[#This Row],[quality]],Lookups!$H$2:$J$13,3,FALSE)</f>
        <v>2251</v>
      </c>
      <c r="BG62">
        <f>VLOOKUP(Grandview_Sales[[#This Row],[condition]],Lookups!$H$17:$J$24,3,FALSE)</f>
        <v>-4503</v>
      </c>
      <c r="BH62">
        <f>Grandview_Sales[[#This Row],[Eff_Age]]*Lookups!$B$14</f>
        <v>-7653.3311999999996</v>
      </c>
      <c r="BI62">
        <f>Grandview_Sales[[#This Row],[living_area]]*Lookups!$B$15</f>
        <v>97563.654091999997</v>
      </c>
      <c r="BJ62">
        <f>Grandview_Sales[[#This Row],[Fin BSMT]]*Lookups!$B$16</f>
        <v>0</v>
      </c>
      <c r="BK62">
        <f>Grandview_Sales[[#This Row],[garage_sqft]]*Lookups!$B$17</f>
        <v>35008.174800000001</v>
      </c>
      <c r="BL62">
        <f>Grandview_Sales[[#This Row],[Plumbing Fixtures]]*Lookups!$B$18</f>
        <v>16083.5344</v>
      </c>
      <c r="BM62">
        <f>Grandview_Sales[[#This Row],[detatched_value]]*Lookups!$B$19</f>
        <v>0</v>
      </c>
      <c r="BN62">
        <f>Grandview_Sales[[#This Row],[days_prior]]*Lookups!$B$20</f>
        <v>-84443.814400000003</v>
      </c>
      <c r="BO62">
        <f>SUM(Grandview_Sales[[#This Row],[land_value]:[Days Prior To Assessment_value]])</f>
        <v>258509.65556612585</v>
      </c>
      <c r="BP62">
        <f>Grandview_Sales[[#This Row],[predicted_total]]/Grandview_Sales[[#This Row],[sale_price]]</f>
        <v>0.92324876987902083</v>
      </c>
      <c r="BQ62">
        <f>VLOOKUP(Grandview_Sales[[#This Row],[quality]],Lookups!$A$26:$C$33,3,FALSE)</f>
        <v>0.98763855981004833</v>
      </c>
      <c r="BR62">
        <f>VLOOKUP(Grandview_Sales[[#This Row],[condition]],Lookups!$A$37:$C$44,3,FALSE)</f>
        <v>0.96469275950863709</v>
      </c>
      <c r="BS62">
        <f>VLOOKUP(Grandview_Sales[[#This Row],[decade]],Lookups!$F$29:$H$43,3,FALSE)</f>
        <v>0.98397821291089549</v>
      </c>
      <c r="BT62">
        <f>VLOOKUP(Grandview_Sales[[#This Row],[living_area_range]],Lookups!$F$47:$H$56,3,FALSE)</f>
        <v>0.96120133463014379</v>
      </c>
      <c r="BU62">
        <f>Grandview_Sales[[#This Row],[predicted_total]]*AVERAGE(Grandview_Sales[[#This Row],[qual_adj]:[size_adj]])</f>
        <v>251886.04793928502</v>
      </c>
      <c r="BV62">
        <f>Grandview_Sales[[#This Row],[final_total]]/Grandview_Sales[[#This Row],[sale_price]]</f>
        <v>0.89959302835458932</v>
      </c>
      <c r="BW62" s="6">
        <f>(Grandview_Sales[[#This Row],[final_total]]-Grandview_Sales[[#This Row],[sale_price]])^2</f>
        <v>790394300.47217977</v>
      </c>
      <c r="BX62" s="6">
        <f>(Grandview_Sales[[#This Row],[final_total]]-AVERAGE(Grandview_Sales[sale_price]))^2</f>
        <v>3033048788.8124986</v>
      </c>
      <c r="BY62" s="6">
        <f>Grandview_Sales[[#This Row],[SSE]]+Grandview_Sales[[#This Row],[SSR]]</f>
        <v>3823443089.2846785</v>
      </c>
      <c r="BZ62" s="4">
        <f>ABS(Grandview_Sales[[#This Row],[final_ratio]]-MEDIAN(Grandview_Sales[final_ratio]))</f>
        <v>0.10165569100122263</v>
      </c>
    </row>
    <row r="63" spans="1:78" x14ac:dyDescent="0.25">
      <c r="A63">
        <v>23092334451</v>
      </c>
      <c r="B63">
        <v>1.39</v>
      </c>
      <c r="C63">
        <v>60572</v>
      </c>
      <c r="D63">
        <v>0</v>
      </c>
      <c r="E63" t="s">
        <v>53</v>
      </c>
      <c r="F63" t="s">
        <v>53</v>
      </c>
      <c r="G63">
        <v>4</v>
      </c>
      <c r="H63" t="s">
        <v>54</v>
      </c>
      <c r="I63">
        <v>367300</v>
      </c>
      <c r="J63">
        <v>50000</v>
      </c>
      <c r="K63">
        <v>1.39</v>
      </c>
      <c r="L63">
        <v>0.32930374714260002</v>
      </c>
      <c r="M63">
        <v>0</v>
      </c>
      <c r="N63">
        <v>0</v>
      </c>
      <c r="O63">
        <v>0</v>
      </c>
      <c r="P63">
        <v>13398.7528</v>
      </c>
      <c r="Q63">
        <v>63902.980100000001</v>
      </c>
      <c r="R63">
        <v>68315.239604076996</v>
      </c>
      <c r="S63" t="s">
        <v>61</v>
      </c>
      <c r="T63">
        <v>1</v>
      </c>
      <c r="U63" t="s">
        <v>64</v>
      </c>
      <c r="V63" t="s">
        <v>69</v>
      </c>
      <c r="W63">
        <v>0</v>
      </c>
      <c r="X63">
        <v>0</v>
      </c>
      <c r="Y63">
        <v>44</v>
      </c>
      <c r="Z63">
        <v>47</v>
      </c>
      <c r="AA63">
        <v>50</v>
      </c>
      <c r="AB63">
        <v>4000</v>
      </c>
      <c r="AC63">
        <v>3931</v>
      </c>
      <c r="AD63">
        <v>2249</v>
      </c>
      <c r="AE63">
        <v>0</v>
      </c>
      <c r="AF63">
        <v>1682</v>
      </c>
      <c r="AG63">
        <v>0</v>
      </c>
      <c r="AH63">
        <v>0</v>
      </c>
      <c r="AI63">
        <v>0</v>
      </c>
      <c r="AJ63">
        <v>376</v>
      </c>
      <c r="AK63">
        <v>0</v>
      </c>
      <c r="AL63">
        <v>16</v>
      </c>
      <c r="AM63">
        <v>0</v>
      </c>
      <c r="AN63">
        <v>3</v>
      </c>
      <c r="AO63" t="s">
        <v>58</v>
      </c>
      <c r="AP63">
        <v>1</v>
      </c>
      <c r="AQ63" t="s">
        <v>63</v>
      </c>
      <c r="AR63" t="s">
        <v>64</v>
      </c>
      <c r="AS63">
        <v>1</v>
      </c>
      <c r="AT63">
        <v>6</v>
      </c>
      <c r="AU63">
        <v>0</v>
      </c>
      <c r="AV63">
        <v>21900</v>
      </c>
      <c r="AW63">
        <v>100</v>
      </c>
      <c r="AX63" s="1">
        <v>44237</v>
      </c>
      <c r="AY63">
        <v>28600</v>
      </c>
      <c r="AZ63">
        <v>519967</v>
      </c>
      <c r="BA63">
        <v>548600</v>
      </c>
      <c r="BB63">
        <v>370000</v>
      </c>
      <c r="BC63">
        <v>690</v>
      </c>
      <c r="BD63">
        <f>Grandview_Sales[[#This Row],[land_extract]]*Lookups!$B$3</f>
        <v>79334.303301067688</v>
      </c>
      <c r="BE63">
        <f>Lookups!$B$2</f>
        <v>155833.95000000001</v>
      </c>
      <c r="BF63">
        <f>VLOOKUP(Grandview_Sales[[#This Row],[quality]],Lookups!$H$2:$J$13,3,FALSE)</f>
        <v>20768</v>
      </c>
      <c r="BG63">
        <f>VLOOKUP(Grandview_Sales[[#This Row],[condition]],Lookups!$H$17:$J$24,3,FALSE)</f>
        <v>-4503</v>
      </c>
      <c r="BH63">
        <f>Grandview_Sales[[#This Row],[Eff_Age]]*Lookups!$B$14</f>
        <v>-10523.330399999999</v>
      </c>
      <c r="BI63">
        <f>Grandview_Sales[[#This Row],[living_area]]*Lookups!$B$15</f>
        <v>245219.13314300001</v>
      </c>
      <c r="BJ63">
        <f>Grandview_Sales[[#This Row],[Fin BSMT]]*Lookups!$B$16</f>
        <v>-45580.921679999999</v>
      </c>
      <c r="BK63">
        <f>Grandview_Sales[[#This Row],[garage_sqft]]*Lookups!$B$17</f>
        <v>0</v>
      </c>
      <c r="BL63">
        <f>Grandview_Sales[[#This Row],[Plumbing Fixtures]]*Lookups!$B$18</f>
        <v>32167.068800000001</v>
      </c>
      <c r="BM63">
        <f>Grandview_Sales[[#This Row],[detatched_value]]*Lookups!$B$19</f>
        <v>18545.03169</v>
      </c>
      <c r="BN63">
        <f>Grandview_Sales[[#This Row],[days_prior]]*Lookups!$B$20</f>
        <v>-82764.534</v>
      </c>
      <c r="BO63">
        <f>SUM(Grandview_Sales[[#This Row],[land_value]:[Days Prior To Assessment_value]])</f>
        <v>408495.70085406769</v>
      </c>
      <c r="BP63">
        <f>Grandview_Sales[[#This Row],[predicted_total]]/Grandview_Sales[[#This Row],[sale_price]]</f>
        <v>1.1040424347407234</v>
      </c>
      <c r="BQ63">
        <f>VLOOKUP(Grandview_Sales[[#This Row],[quality]],Lookups!$A$26:$C$33,3,FALSE)</f>
        <v>0.94960540378902636</v>
      </c>
      <c r="BR63">
        <f>VLOOKUP(Grandview_Sales[[#This Row],[condition]],Lookups!$A$37:$C$44,3,FALSE)</f>
        <v>0.96469275950863709</v>
      </c>
      <c r="BS63">
        <f>VLOOKUP(Grandview_Sales[[#This Row],[decade]],Lookups!$F$29:$H$43,3,FALSE)</f>
        <v>0.9871940091910919</v>
      </c>
      <c r="BT63">
        <f>VLOOKUP(Grandview_Sales[[#This Row],[living_area_range]],Lookups!$F$47:$H$56,3,FALSE)</f>
        <v>0.90089875105039252</v>
      </c>
      <c r="BU63">
        <f>Grandview_Sales[[#This Row],[predicted_total]]*AVERAGE(Grandview_Sales[[#This Row],[qual_adj]:[size_adj]])</f>
        <v>388315.08630806749</v>
      </c>
      <c r="BV63">
        <f>Grandview_Sales[[#This Row],[final_total]]/Grandview_Sales[[#This Row],[sale_price]]</f>
        <v>1.0495002332650474</v>
      </c>
      <c r="BW63" s="6">
        <f>(Grandview_Sales[[#This Row],[final_total]]-Grandview_Sales[[#This Row],[sale_price]])^2</f>
        <v>335442386.47196126</v>
      </c>
      <c r="BX63" s="6">
        <f>(Grandview_Sales[[#This Row],[final_total]]-AVERAGE(Grandview_Sales[sale_price]))^2</f>
        <v>6618785095.7264185</v>
      </c>
      <c r="BY63" s="6">
        <f>Grandview_Sales[[#This Row],[SSE]]+Grandview_Sales[[#This Row],[SSR]]</f>
        <v>6954227482.1983795</v>
      </c>
      <c r="BZ63" s="4">
        <f>ABS(Grandview_Sales[[#This Row],[final_ratio]]-MEDIAN(Grandview_Sales[final_ratio]))</f>
        <v>4.8251513909235433E-2</v>
      </c>
    </row>
    <row r="64" spans="1:78" x14ac:dyDescent="0.25">
      <c r="A64">
        <v>23092231451</v>
      </c>
      <c r="B64">
        <v>0.21</v>
      </c>
      <c r="C64">
        <v>9057</v>
      </c>
      <c r="D64">
        <v>0</v>
      </c>
      <c r="E64" t="s">
        <v>53</v>
      </c>
      <c r="F64" t="s">
        <v>53</v>
      </c>
      <c r="G64">
        <v>4</v>
      </c>
      <c r="H64" t="s">
        <v>54</v>
      </c>
      <c r="I64">
        <v>189500</v>
      </c>
      <c r="J64">
        <v>43700</v>
      </c>
      <c r="K64">
        <v>0.21</v>
      </c>
      <c r="L64">
        <v>-1.5606477482650001</v>
      </c>
      <c r="M64">
        <v>0</v>
      </c>
      <c r="N64">
        <v>0</v>
      </c>
      <c r="O64">
        <v>0</v>
      </c>
      <c r="P64">
        <v>13398.7528</v>
      </c>
      <c r="Q64">
        <v>63902.980100000001</v>
      </c>
      <c r="R64">
        <v>42992.246713125001</v>
      </c>
      <c r="S64" t="s">
        <v>61</v>
      </c>
      <c r="T64">
        <v>1</v>
      </c>
      <c r="U64" t="s">
        <v>65</v>
      </c>
      <c r="V64" t="s">
        <v>69</v>
      </c>
      <c r="W64">
        <v>0</v>
      </c>
      <c r="X64">
        <v>0</v>
      </c>
      <c r="Y64">
        <v>45</v>
      </c>
      <c r="Z64">
        <v>50</v>
      </c>
      <c r="AA64">
        <v>50</v>
      </c>
      <c r="AB64">
        <v>2000</v>
      </c>
      <c r="AC64">
        <v>1964</v>
      </c>
      <c r="AD64">
        <v>1964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156</v>
      </c>
      <c r="AL64">
        <v>8</v>
      </c>
      <c r="AM64">
        <v>1</v>
      </c>
      <c r="AN64">
        <v>0</v>
      </c>
      <c r="AO64" t="s">
        <v>58</v>
      </c>
      <c r="AP64">
        <v>1</v>
      </c>
      <c r="AQ64" t="s">
        <v>63</v>
      </c>
      <c r="AR64" t="s">
        <v>60</v>
      </c>
      <c r="AS64">
        <v>0</v>
      </c>
      <c r="AT64">
        <v>3</v>
      </c>
      <c r="AU64">
        <v>0</v>
      </c>
      <c r="AV64">
        <v>3000</v>
      </c>
      <c r="AW64">
        <v>100</v>
      </c>
      <c r="AX64" s="1">
        <v>44243</v>
      </c>
      <c r="AY64">
        <v>25000</v>
      </c>
      <c r="AZ64">
        <v>203234</v>
      </c>
      <c r="BA64">
        <v>228200</v>
      </c>
      <c r="BB64">
        <v>262500</v>
      </c>
      <c r="BC64">
        <v>684</v>
      </c>
      <c r="BD64">
        <f>Grandview_Sales[[#This Row],[land_extract]]*Lookups!$B$3</f>
        <v>49926.780028885936</v>
      </c>
      <c r="BE64">
        <f>Lookups!$B$2</f>
        <v>155833.95000000001</v>
      </c>
      <c r="BF64">
        <f>VLOOKUP(Grandview_Sales[[#This Row],[quality]],Lookups!$H$2:$J$13,3,FALSE)</f>
        <v>2251</v>
      </c>
      <c r="BG64">
        <f>VLOOKUP(Grandview_Sales[[#This Row],[condition]],Lookups!$H$17:$J$24,3,FALSE)</f>
        <v>-4503</v>
      </c>
      <c r="BH64">
        <f>Grandview_Sales[[#This Row],[Eff_Age]]*Lookups!$B$14</f>
        <v>-10762.496999999999</v>
      </c>
      <c r="BI64">
        <f>Grandview_Sales[[#This Row],[living_area]]*Lookups!$B$15</f>
        <v>122515.99529200001</v>
      </c>
      <c r="BJ64">
        <f>Grandview_Sales[[#This Row],[Fin BSMT]]*Lookups!$B$16</f>
        <v>0</v>
      </c>
      <c r="BK64">
        <f>Grandview_Sales[[#This Row],[garage_sqft]]*Lookups!$B$17</f>
        <v>0</v>
      </c>
      <c r="BL64">
        <f>Grandview_Sales[[#This Row],[Plumbing Fixtures]]*Lookups!$B$18</f>
        <v>16083.5344</v>
      </c>
      <c r="BM64">
        <f>Grandview_Sales[[#This Row],[detatched_value]]*Lookups!$B$19</f>
        <v>2540.4153000000001</v>
      </c>
      <c r="BN64">
        <f>Grandview_Sales[[#This Row],[days_prior]]*Lookups!$B$20</f>
        <v>-82044.842399999994</v>
      </c>
      <c r="BO64">
        <f>SUM(Grandview_Sales[[#This Row],[land_value]:[Days Prior To Assessment_value]])</f>
        <v>251841.33562088592</v>
      </c>
      <c r="BP64">
        <f>Grandview_Sales[[#This Row],[predicted_total]]/Grandview_Sales[[#This Row],[sale_price]]</f>
        <v>0.95939556427004158</v>
      </c>
      <c r="BQ64">
        <f>VLOOKUP(Grandview_Sales[[#This Row],[quality]],Lookups!$A$26:$C$33,3,FALSE)</f>
        <v>0.98763855981004833</v>
      </c>
      <c r="BR64">
        <f>VLOOKUP(Grandview_Sales[[#This Row],[condition]],Lookups!$A$37:$C$44,3,FALSE)</f>
        <v>0.96469275950863709</v>
      </c>
      <c r="BS64">
        <f>VLOOKUP(Grandview_Sales[[#This Row],[decade]],Lookups!$F$29:$H$43,3,FALSE)</f>
        <v>0.9871940091910919</v>
      </c>
      <c r="BT64">
        <f>VLOOKUP(Grandview_Sales[[#This Row],[living_area_range]],Lookups!$F$47:$H$56,3,FALSE)</f>
        <v>0.96120133463014379</v>
      </c>
      <c r="BU64">
        <f>Grandview_Sales[[#This Row],[predicted_total]]*AVERAGE(Grandview_Sales[[#This Row],[qual_adj]:[size_adj]])</f>
        <v>245591.05318428983</v>
      </c>
      <c r="BV64">
        <f>Grandview_Sales[[#This Row],[final_total]]/Grandview_Sales[[#This Row],[sale_price]]</f>
        <v>0.93558496451158035</v>
      </c>
      <c r="BW64" s="6">
        <f>(Grandview_Sales[[#This Row],[final_total]]-Grandview_Sales[[#This Row],[sale_price]])^2</f>
        <v>285912482.41651493</v>
      </c>
      <c r="BX64" s="6">
        <f>(Grandview_Sales[[#This Row],[final_total]]-AVERAGE(Grandview_Sales[sale_price]))^2</f>
        <v>3766045778.5533462</v>
      </c>
      <c r="BY64" s="6">
        <f>Grandview_Sales[[#This Row],[SSE]]+Grandview_Sales[[#This Row],[SSR]]</f>
        <v>4051958260.969861</v>
      </c>
      <c r="BZ64" s="4">
        <f>ABS(Grandview_Sales[[#This Row],[final_ratio]]-MEDIAN(Grandview_Sales[final_ratio]))</f>
        <v>6.5663754844231592E-2</v>
      </c>
    </row>
    <row r="65" spans="1:78" x14ac:dyDescent="0.25">
      <c r="A65">
        <v>23092333005</v>
      </c>
      <c r="B65">
        <v>2.86</v>
      </c>
      <c r="C65">
        <v>124395</v>
      </c>
      <c r="D65">
        <v>0</v>
      </c>
      <c r="E65" t="s">
        <v>53</v>
      </c>
      <c r="F65" t="s">
        <v>53</v>
      </c>
      <c r="G65">
        <v>4</v>
      </c>
      <c r="H65" t="s">
        <v>54</v>
      </c>
      <c r="I65">
        <v>225400</v>
      </c>
      <c r="J65">
        <v>47000</v>
      </c>
      <c r="K65">
        <v>2.86</v>
      </c>
      <c r="L65">
        <v>1.0508216248318001</v>
      </c>
      <c r="M65">
        <v>0</v>
      </c>
      <c r="N65">
        <v>0</v>
      </c>
      <c r="O65">
        <v>0</v>
      </c>
      <c r="P65">
        <v>13398.7528</v>
      </c>
      <c r="Q65">
        <v>63902.980100000001</v>
      </c>
      <c r="R65">
        <v>77982.679288015002</v>
      </c>
      <c r="S65" t="s">
        <v>61</v>
      </c>
      <c r="T65">
        <v>1</v>
      </c>
      <c r="U65" t="s">
        <v>62</v>
      </c>
      <c r="V65" t="s">
        <v>69</v>
      </c>
      <c r="W65">
        <v>0</v>
      </c>
      <c r="X65">
        <v>0</v>
      </c>
      <c r="Y65">
        <v>43</v>
      </c>
      <c r="Z65">
        <v>44</v>
      </c>
      <c r="AA65">
        <v>40</v>
      </c>
      <c r="AB65">
        <v>2500</v>
      </c>
      <c r="AC65">
        <v>2354</v>
      </c>
      <c r="AD65">
        <v>2354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588</v>
      </c>
      <c r="AK65">
        <v>468</v>
      </c>
      <c r="AL65">
        <v>10</v>
      </c>
      <c r="AM65">
        <v>0</v>
      </c>
      <c r="AN65">
        <v>0</v>
      </c>
      <c r="AO65" t="s">
        <v>58</v>
      </c>
      <c r="AP65">
        <v>1</v>
      </c>
      <c r="AQ65" t="s">
        <v>63</v>
      </c>
      <c r="AR65" t="s">
        <v>60</v>
      </c>
      <c r="AS65">
        <v>1</v>
      </c>
      <c r="AT65">
        <v>3</v>
      </c>
      <c r="AU65">
        <v>0</v>
      </c>
      <c r="AV65">
        <v>13600</v>
      </c>
      <c r="AW65">
        <v>100</v>
      </c>
      <c r="AX65" s="1">
        <v>44246</v>
      </c>
      <c r="AY65">
        <v>26900</v>
      </c>
      <c r="AZ65">
        <v>303593</v>
      </c>
      <c r="BA65">
        <v>330500</v>
      </c>
      <c r="BB65">
        <v>302000</v>
      </c>
      <c r="BC65">
        <v>681</v>
      </c>
      <c r="BD65">
        <f>Grandview_Sales[[#This Row],[land_extract]]*Lookups!$B$3</f>
        <v>90561.074903937741</v>
      </c>
      <c r="BE65">
        <f>Lookups!$B$2</f>
        <v>155833.95000000001</v>
      </c>
      <c r="BF65">
        <f>VLOOKUP(Grandview_Sales[[#This Row],[quality]],Lookups!$H$2:$J$13,3,FALSE)</f>
        <v>9808</v>
      </c>
      <c r="BG65">
        <f>VLOOKUP(Grandview_Sales[[#This Row],[condition]],Lookups!$H$17:$J$24,3,FALSE)</f>
        <v>-4503</v>
      </c>
      <c r="BH65">
        <f>Grandview_Sales[[#This Row],[Eff_Age]]*Lookups!$B$14</f>
        <v>-10284.1638</v>
      </c>
      <c r="BI65">
        <f>Grandview_Sales[[#This Row],[living_area]]*Lookups!$B$15</f>
        <v>146844.52796199999</v>
      </c>
      <c r="BJ65">
        <f>Grandview_Sales[[#This Row],[Fin BSMT]]*Lookups!$B$16</f>
        <v>0</v>
      </c>
      <c r="BK65">
        <f>Grandview_Sales[[#This Row],[garage_sqft]]*Lookups!$B$17</f>
        <v>0</v>
      </c>
      <c r="BL65">
        <f>Grandview_Sales[[#This Row],[Plumbing Fixtures]]*Lookups!$B$18</f>
        <v>20104.418000000001</v>
      </c>
      <c r="BM65">
        <f>Grandview_Sales[[#This Row],[detatched_value]]*Lookups!$B$19</f>
        <v>11516.549359999999</v>
      </c>
      <c r="BN65">
        <f>Grandview_Sales[[#This Row],[days_prior]]*Lookups!$B$20</f>
        <v>-81684.996599999999</v>
      </c>
      <c r="BO65">
        <f>SUM(Grandview_Sales[[#This Row],[land_value]:[Days Prior To Assessment_value]])</f>
        <v>338196.35982593772</v>
      </c>
      <c r="BP65">
        <f>Grandview_Sales[[#This Row],[predicted_total]]/Grandview_Sales[[#This Row],[sale_price]]</f>
        <v>1.1198554961123766</v>
      </c>
      <c r="BQ65">
        <f>VLOOKUP(Grandview_Sales[[#This Row],[quality]],Lookups!$A$26:$C$33,3,FALSE)</f>
        <v>0.94295468617355149</v>
      </c>
      <c r="BR65">
        <f>VLOOKUP(Grandview_Sales[[#This Row],[condition]],Lookups!$A$37:$C$44,3,FALSE)</f>
        <v>0.96469275950863709</v>
      </c>
      <c r="BS65">
        <f>VLOOKUP(Grandview_Sales[[#This Row],[decade]],Lookups!$F$29:$H$43,3,FALSE)</f>
        <v>0.98031878267063854</v>
      </c>
      <c r="BT65">
        <f>VLOOKUP(Grandview_Sales[[#This Row],[living_area_range]],Lookups!$F$47:$H$56,3,FALSE)</f>
        <v>0.95799442568048754</v>
      </c>
      <c r="BU65">
        <f>Grandview_Sales[[#This Row],[predicted_total]]*AVERAGE(Grandview_Sales[[#This Row],[qual_adj]:[size_adj]])</f>
        <v>325172.47330696241</v>
      </c>
      <c r="BV65">
        <f>Grandview_Sales[[#This Row],[final_total]]/Grandview_Sales[[#This Row],[sale_price]]</f>
        <v>1.0767300440627894</v>
      </c>
      <c r="BW65" s="6">
        <f>(Grandview_Sales[[#This Row],[final_total]]-Grandview_Sales[[#This Row],[sale_price]])^2</f>
        <v>536963519.16188514</v>
      </c>
      <c r="BX65" s="6">
        <f>(Grandview_Sales[[#This Row],[final_total]]-AVERAGE(Grandview_Sales[sale_price]))^2</f>
        <v>331724412.29215723</v>
      </c>
      <c r="BY65" s="6">
        <f>Grandview_Sales[[#This Row],[SSE]]+Grandview_Sales[[#This Row],[SSR]]</f>
        <v>868687931.45404243</v>
      </c>
      <c r="BZ65" s="4">
        <f>ABS(Grandview_Sales[[#This Row],[final_ratio]]-MEDIAN(Grandview_Sales[final_ratio]))</f>
        <v>7.5481324706977437E-2</v>
      </c>
    </row>
    <row r="66" spans="1:78" x14ac:dyDescent="0.25">
      <c r="A66">
        <v>23092314427</v>
      </c>
      <c r="B66">
        <v>0.17</v>
      </c>
      <c r="C66">
        <v>7387</v>
      </c>
      <c r="D66">
        <v>0</v>
      </c>
      <c r="E66" t="s">
        <v>53</v>
      </c>
      <c r="F66" t="s">
        <v>53</v>
      </c>
      <c r="G66">
        <v>4</v>
      </c>
      <c r="H66" t="s">
        <v>54</v>
      </c>
      <c r="I66">
        <v>153500</v>
      </c>
      <c r="J66">
        <v>39300</v>
      </c>
      <c r="K66">
        <v>0.17</v>
      </c>
      <c r="L66">
        <v>-1.771956841932</v>
      </c>
      <c r="M66">
        <v>0</v>
      </c>
      <c r="N66">
        <v>0</v>
      </c>
      <c r="O66">
        <v>0</v>
      </c>
      <c r="P66">
        <v>13398.7528</v>
      </c>
      <c r="Q66">
        <v>63902.980100000001</v>
      </c>
      <c r="R66">
        <v>40160.968402685998</v>
      </c>
      <c r="S66" t="s">
        <v>85</v>
      </c>
      <c r="T66">
        <v>2</v>
      </c>
      <c r="U66" t="s">
        <v>80</v>
      </c>
      <c r="V66" t="s">
        <v>67</v>
      </c>
      <c r="W66">
        <v>0</v>
      </c>
      <c r="X66">
        <v>0</v>
      </c>
      <c r="Y66">
        <v>57</v>
      </c>
      <c r="Z66">
        <v>103</v>
      </c>
      <c r="AA66">
        <v>100</v>
      </c>
      <c r="AB66">
        <v>1500</v>
      </c>
      <c r="AC66">
        <v>1411</v>
      </c>
      <c r="AD66">
        <v>1051</v>
      </c>
      <c r="AE66">
        <v>360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7</v>
      </c>
      <c r="AM66">
        <v>0</v>
      </c>
      <c r="AN66">
        <v>0</v>
      </c>
      <c r="AO66" t="s">
        <v>58</v>
      </c>
      <c r="AP66">
        <v>1</v>
      </c>
      <c r="AQ66" t="s">
        <v>63</v>
      </c>
      <c r="AR66" t="s">
        <v>64</v>
      </c>
      <c r="AS66">
        <v>0</v>
      </c>
      <c r="AT66">
        <v>2</v>
      </c>
      <c r="AU66">
        <v>0</v>
      </c>
      <c r="AV66">
        <v>8800</v>
      </c>
      <c r="AW66">
        <v>100</v>
      </c>
      <c r="AX66" s="1">
        <v>44246</v>
      </c>
      <c r="AY66">
        <v>22500</v>
      </c>
      <c r="AZ66">
        <v>127057</v>
      </c>
      <c r="BA66">
        <v>149600</v>
      </c>
      <c r="BB66">
        <v>221000</v>
      </c>
      <c r="BC66">
        <v>681</v>
      </c>
      <c r="BD66">
        <f>Grandview_Sales[[#This Row],[land_extract]]*Lookups!$B$3</f>
        <v>46638.82417142456</v>
      </c>
      <c r="BE66">
        <f>Lookups!$B$2</f>
        <v>155833.95000000001</v>
      </c>
      <c r="BF66">
        <f>VLOOKUP(Grandview_Sales[[#This Row],[quality]],Lookups!$H$2:$J$13,3,FALSE)</f>
        <v>-28558</v>
      </c>
      <c r="BG66">
        <f>VLOOKUP(Grandview_Sales[[#This Row],[condition]],Lookups!$H$17:$J$24,3,FALSE)</f>
        <v>22342</v>
      </c>
      <c r="BH66">
        <f>Grandview_Sales[[#This Row],[Eff_Age]]*Lookups!$B$14</f>
        <v>-13632.4962</v>
      </c>
      <c r="BI66">
        <f>Grandview_Sales[[#This Row],[living_area]]*Lookups!$B$15</f>
        <v>88019.383583000003</v>
      </c>
      <c r="BJ66">
        <f>Grandview_Sales[[#This Row],[Fin BSMT]]*Lookups!$B$16</f>
        <v>0</v>
      </c>
      <c r="BK66">
        <f>Grandview_Sales[[#This Row],[garage_sqft]]*Lookups!$B$17</f>
        <v>0</v>
      </c>
      <c r="BL66">
        <f>Grandview_Sales[[#This Row],[Plumbing Fixtures]]*Lookups!$B$18</f>
        <v>14073.0926</v>
      </c>
      <c r="BM66">
        <f>Grandview_Sales[[#This Row],[detatched_value]]*Lookups!$B$19</f>
        <v>7451.8848799999996</v>
      </c>
      <c r="BN66">
        <f>Grandview_Sales[[#This Row],[days_prior]]*Lookups!$B$20</f>
        <v>-81684.996599999999</v>
      </c>
      <c r="BO66">
        <f>SUM(Grandview_Sales[[#This Row],[land_value]:[Days Prior To Assessment_value]])</f>
        <v>210483.64243442455</v>
      </c>
      <c r="BP66">
        <f>Grandview_Sales[[#This Row],[predicted_total]]/Grandview_Sales[[#This Row],[sale_price]]</f>
        <v>0.95241467164897986</v>
      </c>
      <c r="BQ66">
        <f>VLOOKUP(Grandview_Sales[[#This Row],[quality]],Lookups!$A$26:$C$33,3,FALSE)</f>
        <v>0.9690360070159818</v>
      </c>
      <c r="BR66">
        <f>VLOOKUP(Grandview_Sales[[#This Row],[condition]],Lookups!$A$37:$C$44,3,FALSE)</f>
        <v>0.97383723671140243</v>
      </c>
      <c r="BS66">
        <f>VLOOKUP(Grandview_Sales[[#This Row],[decade]],Lookups!$F$29:$H$43,3,FALSE)</f>
        <v>0.95244691841736806</v>
      </c>
      <c r="BT66">
        <f>VLOOKUP(Grandview_Sales[[#This Row],[living_area_range]],Lookups!$F$47:$H$56,3,FALSE)</f>
        <v>0.96135087979789358</v>
      </c>
      <c r="BU66">
        <f>Grandview_Sales[[#This Row],[predicted_total]]*AVERAGE(Grandview_Sales[[#This Row],[qual_adj]:[size_adj]])</f>
        <v>202941.54214486384</v>
      </c>
      <c r="BV66">
        <f>Grandview_Sales[[#This Row],[final_total]]/Grandview_Sales[[#This Row],[sale_price]]</f>
        <v>0.91828752101748345</v>
      </c>
      <c r="BW66" s="6">
        <f>(Grandview_Sales[[#This Row],[final_total]]-Grandview_Sales[[#This Row],[sale_price]])^2</f>
        <v>326107900.10572898</v>
      </c>
      <c r="BX66" s="6">
        <f>(Grandview_Sales[[#This Row],[final_total]]-AVERAGE(Grandview_Sales[sale_price]))^2</f>
        <v>10819666933.503382</v>
      </c>
      <c r="BY66" s="6">
        <f>Grandview_Sales[[#This Row],[SSE]]+Grandview_Sales[[#This Row],[SSR]]</f>
        <v>11145774833.60911</v>
      </c>
      <c r="BZ66" s="4">
        <f>ABS(Grandview_Sales[[#This Row],[final_ratio]]-MEDIAN(Grandview_Sales[final_ratio]))</f>
        <v>8.296119833832849E-2</v>
      </c>
    </row>
    <row r="67" spans="1:78" x14ac:dyDescent="0.25">
      <c r="A67">
        <v>23091911419</v>
      </c>
      <c r="B67">
        <v>0.33</v>
      </c>
      <c r="C67">
        <v>14176</v>
      </c>
      <c r="D67">
        <v>0</v>
      </c>
      <c r="E67" t="s">
        <v>53</v>
      </c>
      <c r="F67" t="s">
        <v>53</v>
      </c>
      <c r="G67">
        <v>4</v>
      </c>
      <c r="H67" t="s">
        <v>54</v>
      </c>
      <c r="I67">
        <v>247200</v>
      </c>
      <c r="J67">
        <v>39500</v>
      </c>
      <c r="K67">
        <v>0.33</v>
      </c>
      <c r="L67">
        <v>-1.1086626245219999</v>
      </c>
      <c r="M67">
        <v>0</v>
      </c>
      <c r="N67">
        <v>0</v>
      </c>
      <c r="O67">
        <v>0</v>
      </c>
      <c r="P67">
        <v>13398.7528</v>
      </c>
      <c r="Q67">
        <v>63902.980100000001</v>
      </c>
      <c r="R67">
        <v>49048.283655435996</v>
      </c>
      <c r="S67" t="s">
        <v>58</v>
      </c>
      <c r="T67">
        <v>1</v>
      </c>
      <c r="U67" t="s">
        <v>64</v>
      </c>
      <c r="V67" t="s">
        <v>69</v>
      </c>
      <c r="W67">
        <v>0</v>
      </c>
      <c r="X67">
        <v>0</v>
      </c>
      <c r="Y67">
        <v>42</v>
      </c>
      <c r="Z67">
        <v>42</v>
      </c>
      <c r="AA67">
        <v>40</v>
      </c>
      <c r="AB67">
        <v>2000</v>
      </c>
      <c r="AC67">
        <v>1856</v>
      </c>
      <c r="AD67">
        <v>1856</v>
      </c>
      <c r="AE67">
        <v>0</v>
      </c>
      <c r="AF67">
        <v>0</v>
      </c>
      <c r="AG67">
        <v>0</v>
      </c>
      <c r="AH67">
        <v>504</v>
      </c>
      <c r="AI67">
        <v>0</v>
      </c>
      <c r="AJ67">
        <v>0</v>
      </c>
      <c r="AK67">
        <v>0</v>
      </c>
      <c r="AL67">
        <v>10</v>
      </c>
      <c r="AM67">
        <v>0</v>
      </c>
      <c r="AN67">
        <v>1</v>
      </c>
      <c r="AO67" t="s">
        <v>58</v>
      </c>
      <c r="AP67">
        <v>1</v>
      </c>
      <c r="AQ67" t="s">
        <v>59</v>
      </c>
      <c r="AR67" t="s">
        <v>60</v>
      </c>
      <c r="AS67">
        <v>1</v>
      </c>
      <c r="AT67">
        <v>3</v>
      </c>
      <c r="AU67">
        <v>0</v>
      </c>
      <c r="AV67">
        <v>0</v>
      </c>
      <c r="AW67">
        <v>100</v>
      </c>
      <c r="AX67" s="1">
        <v>44258</v>
      </c>
      <c r="AY67">
        <v>22600</v>
      </c>
      <c r="AZ67">
        <v>292372</v>
      </c>
      <c r="BA67">
        <v>315000</v>
      </c>
      <c r="BB67">
        <v>305000</v>
      </c>
      <c r="BC67">
        <v>669</v>
      </c>
      <c r="BD67">
        <f>Grandview_Sales[[#This Row],[land_extract]]*Lookups!$B$3</f>
        <v>56959.639378691951</v>
      </c>
      <c r="BE67">
        <f>Lookups!$B$2</f>
        <v>155833.95000000001</v>
      </c>
      <c r="BF67">
        <f>VLOOKUP(Grandview_Sales[[#This Row],[quality]],Lookups!$H$2:$J$13,3,FALSE)</f>
        <v>20768</v>
      </c>
      <c r="BG67">
        <f>VLOOKUP(Grandview_Sales[[#This Row],[condition]],Lookups!$H$17:$J$24,3,FALSE)</f>
        <v>-4503</v>
      </c>
      <c r="BH67">
        <f>Grandview_Sales[[#This Row],[Eff_Age]]*Lookups!$B$14</f>
        <v>-10044.9972</v>
      </c>
      <c r="BI67">
        <f>Grandview_Sales[[#This Row],[living_area]]*Lookups!$B$15</f>
        <v>115778.86316800001</v>
      </c>
      <c r="BJ67">
        <f>Grandview_Sales[[#This Row],[Fin BSMT]]*Lookups!$B$16</f>
        <v>0</v>
      </c>
      <c r="BK67">
        <f>Grandview_Sales[[#This Row],[garage_sqft]]*Lookups!$B$17</f>
        <v>44110.300248</v>
      </c>
      <c r="BL67">
        <f>Grandview_Sales[[#This Row],[Plumbing Fixtures]]*Lookups!$B$18</f>
        <v>20104.418000000001</v>
      </c>
      <c r="BM67">
        <f>Grandview_Sales[[#This Row],[detatched_value]]*Lookups!$B$19</f>
        <v>0</v>
      </c>
      <c r="BN67">
        <f>Grandview_Sales[[#This Row],[days_prior]]*Lookups!$B$20</f>
        <v>-80245.613400000002</v>
      </c>
      <c r="BO67">
        <f>SUM(Grandview_Sales[[#This Row],[land_value]:[Days Prior To Assessment_value]])</f>
        <v>318761.56019469199</v>
      </c>
      <c r="BP67">
        <f>Grandview_Sales[[#This Row],[predicted_total]]/Grandview_Sales[[#This Row],[sale_price]]</f>
        <v>1.0451198694907935</v>
      </c>
      <c r="BQ67">
        <f>VLOOKUP(Grandview_Sales[[#This Row],[quality]],Lookups!$A$26:$C$33,3,FALSE)</f>
        <v>0.94960540378902636</v>
      </c>
      <c r="BR67">
        <f>VLOOKUP(Grandview_Sales[[#This Row],[condition]],Lookups!$A$37:$C$44,3,FALSE)</f>
        <v>0.96469275950863709</v>
      </c>
      <c r="BS67">
        <f>VLOOKUP(Grandview_Sales[[#This Row],[decade]],Lookups!$F$29:$H$43,3,FALSE)</f>
        <v>0.98031878267063854</v>
      </c>
      <c r="BT67">
        <f>VLOOKUP(Grandview_Sales[[#This Row],[living_area_range]],Lookups!$F$47:$H$56,3,FALSE)</f>
        <v>0.96120133463014379</v>
      </c>
      <c r="BU67">
        <f>Grandview_Sales[[#This Row],[predicted_total]]*AVERAGE(Grandview_Sales[[#This Row],[qual_adj]:[size_adj]])</f>
        <v>307271.66273769381</v>
      </c>
      <c r="BV67">
        <f>Grandview_Sales[[#This Row],[final_total]]/Grandview_Sales[[#This Row],[sale_price]]</f>
        <v>1.0074480745498158</v>
      </c>
      <c r="BW67" s="6">
        <f>(Grandview_Sales[[#This Row],[final_total]]-Grandview_Sales[[#This Row],[sale_price]])^2</f>
        <v>5160451.5938265463</v>
      </c>
      <c r="BX67" s="6">
        <f>(Grandview_Sales[[#This Row],[final_total]]-AVERAGE(Grandview_Sales[sale_price]))^2</f>
        <v>97651.624307862861</v>
      </c>
      <c r="BY67" s="6">
        <f>Grandview_Sales[[#This Row],[SSE]]+Grandview_Sales[[#This Row],[SSR]]</f>
        <v>5258103.2181344088</v>
      </c>
      <c r="BZ67" s="4">
        <f>ABS(Grandview_Sales[[#This Row],[final_ratio]]-MEDIAN(Grandview_Sales[final_ratio]))</f>
        <v>6.1993551940038305E-3</v>
      </c>
    </row>
    <row r="68" spans="1:78" x14ac:dyDescent="0.25">
      <c r="A68">
        <v>23092324452</v>
      </c>
      <c r="B68">
        <v>0.28000000000000003</v>
      </c>
      <c r="C68">
        <v>12013</v>
      </c>
      <c r="D68">
        <v>0</v>
      </c>
      <c r="E68" t="s">
        <v>53</v>
      </c>
      <c r="F68" t="s">
        <v>53</v>
      </c>
      <c r="G68">
        <v>4</v>
      </c>
      <c r="H68" t="s">
        <v>54</v>
      </c>
      <c r="I68">
        <v>129100</v>
      </c>
      <c r="J68">
        <v>40500</v>
      </c>
      <c r="K68">
        <v>0.28000000000000003</v>
      </c>
      <c r="L68">
        <v>-1.2729656758129999</v>
      </c>
      <c r="M68">
        <v>0</v>
      </c>
      <c r="N68">
        <v>0</v>
      </c>
      <c r="O68">
        <v>0</v>
      </c>
      <c r="P68">
        <v>13398.7528</v>
      </c>
      <c r="Q68">
        <v>63902.980100000001</v>
      </c>
      <c r="R68">
        <v>46846.827686898003</v>
      </c>
      <c r="S68" t="s">
        <v>61</v>
      </c>
      <c r="T68">
        <v>1</v>
      </c>
      <c r="U68" t="s">
        <v>65</v>
      </c>
      <c r="V68" t="s">
        <v>69</v>
      </c>
      <c r="W68">
        <v>0</v>
      </c>
      <c r="X68">
        <v>0</v>
      </c>
      <c r="Y68">
        <v>46</v>
      </c>
      <c r="Z68">
        <v>53</v>
      </c>
      <c r="AA68">
        <v>50</v>
      </c>
      <c r="AB68">
        <v>1000</v>
      </c>
      <c r="AC68">
        <v>924</v>
      </c>
      <c r="AD68">
        <v>924</v>
      </c>
      <c r="AE68">
        <v>0</v>
      </c>
      <c r="AF68">
        <v>0</v>
      </c>
      <c r="AG68">
        <v>231</v>
      </c>
      <c r="AH68">
        <v>0</v>
      </c>
      <c r="AI68">
        <v>0</v>
      </c>
      <c r="AJ68">
        <v>0</v>
      </c>
      <c r="AK68">
        <v>96</v>
      </c>
      <c r="AL68">
        <v>5</v>
      </c>
      <c r="AM68">
        <v>0</v>
      </c>
      <c r="AN68">
        <v>1</v>
      </c>
      <c r="AO68" t="s">
        <v>58</v>
      </c>
      <c r="AP68">
        <v>1</v>
      </c>
      <c r="AQ68" t="s">
        <v>63</v>
      </c>
      <c r="AR68" t="s">
        <v>64</v>
      </c>
      <c r="AS68">
        <v>0</v>
      </c>
      <c r="AT68">
        <v>2</v>
      </c>
      <c r="AU68">
        <v>0</v>
      </c>
      <c r="AV68">
        <v>11100</v>
      </c>
      <c r="AW68">
        <v>100</v>
      </c>
      <c r="AX68" s="1">
        <v>44260</v>
      </c>
      <c r="AY68">
        <v>23200</v>
      </c>
      <c r="AZ68">
        <v>128965</v>
      </c>
      <c r="BA68">
        <v>152200</v>
      </c>
      <c r="BB68">
        <v>163000</v>
      </c>
      <c r="BC68">
        <v>667</v>
      </c>
      <c r="BD68">
        <f>Grandview_Sales[[#This Row],[land_extract]]*Lookups!$B$3</f>
        <v>54403.094506359892</v>
      </c>
      <c r="BE68">
        <f>Lookups!$B$2</f>
        <v>155833.95000000001</v>
      </c>
      <c r="BF68">
        <f>VLOOKUP(Grandview_Sales[[#This Row],[quality]],Lookups!$H$2:$J$13,3,FALSE)</f>
        <v>2251</v>
      </c>
      <c r="BG68">
        <f>VLOOKUP(Grandview_Sales[[#This Row],[condition]],Lookups!$H$17:$J$24,3,FALSE)</f>
        <v>-4503</v>
      </c>
      <c r="BH68">
        <f>Grandview_Sales[[#This Row],[Eff_Age]]*Lookups!$B$14</f>
        <v>-11001.6636</v>
      </c>
      <c r="BI68">
        <f>Grandview_Sales[[#This Row],[living_area]]*Lookups!$B$15</f>
        <v>57639.908172000003</v>
      </c>
      <c r="BJ68">
        <f>Grandview_Sales[[#This Row],[Fin BSMT]]*Lookups!$B$16</f>
        <v>0</v>
      </c>
      <c r="BK68">
        <f>Grandview_Sales[[#This Row],[garage_sqft]]*Lookups!$B$17</f>
        <v>0</v>
      </c>
      <c r="BL68">
        <f>Grandview_Sales[[#This Row],[Plumbing Fixtures]]*Lookups!$B$18</f>
        <v>10052.209000000001</v>
      </c>
      <c r="BM68">
        <f>Grandview_Sales[[#This Row],[detatched_value]]*Lookups!$B$19</f>
        <v>9399.5366099999992</v>
      </c>
      <c r="BN68">
        <f>Grandview_Sales[[#This Row],[days_prior]]*Lookups!$B$20</f>
        <v>-80005.716199999995</v>
      </c>
      <c r="BO68">
        <f>SUM(Grandview_Sales[[#This Row],[land_value]:[Days Prior To Assessment_value]])</f>
        <v>194069.31848835989</v>
      </c>
      <c r="BP68">
        <f>Grandview_Sales[[#This Row],[predicted_total]]/Grandview_Sales[[#This Row],[sale_price]]</f>
        <v>1.1906093158795086</v>
      </c>
      <c r="BQ68">
        <f>VLOOKUP(Grandview_Sales[[#This Row],[quality]],Lookups!$A$26:$C$33,3,FALSE)</f>
        <v>0.98763855981004833</v>
      </c>
      <c r="BR68">
        <f>VLOOKUP(Grandview_Sales[[#This Row],[condition]],Lookups!$A$37:$C$44,3,FALSE)</f>
        <v>0.96469275950863709</v>
      </c>
      <c r="BS68">
        <f>VLOOKUP(Grandview_Sales[[#This Row],[decade]],Lookups!$F$29:$H$43,3,FALSE)</f>
        <v>0.9871940091910919</v>
      </c>
      <c r="BT68">
        <f>VLOOKUP(Grandview_Sales[[#This Row],[living_area_range]],Lookups!$F$47:$H$56,3,FALSE)</f>
        <v>0.94306777142782894</v>
      </c>
      <c r="BU68">
        <f>Grandview_Sales[[#This Row],[predicted_total]]*AVERAGE(Grandview_Sales[[#This Row],[qual_adj]:[size_adj]])</f>
        <v>188373.04921812494</v>
      </c>
      <c r="BV68">
        <f>Grandview_Sales[[#This Row],[final_total]]/Grandview_Sales[[#This Row],[sale_price]]</f>
        <v>1.1556628786388032</v>
      </c>
      <c r="BW68" s="6">
        <f>(Grandview_Sales[[#This Row],[final_total]]-Grandview_Sales[[#This Row],[sale_price]])^2</f>
        <v>643791626.62539077</v>
      </c>
      <c r="BX68" s="6">
        <f>(Grandview_Sales[[#This Row],[final_total]]-AVERAGE(Grandview_Sales[sale_price]))^2</f>
        <v>14062668075.034046</v>
      </c>
      <c r="BY68" s="6">
        <f>Grandview_Sales[[#This Row],[SSE]]+Grandview_Sales[[#This Row],[SSR]]</f>
        <v>14706459701.659437</v>
      </c>
      <c r="BZ68" s="4">
        <f>ABS(Grandview_Sales[[#This Row],[final_ratio]]-MEDIAN(Grandview_Sales[final_ratio]))</f>
        <v>0.15441415928299129</v>
      </c>
    </row>
    <row r="69" spans="1:78" x14ac:dyDescent="0.25">
      <c r="A69">
        <v>23091443449</v>
      </c>
      <c r="B69">
        <v>0.22</v>
      </c>
      <c r="C69">
        <v>9439</v>
      </c>
      <c r="D69">
        <v>0</v>
      </c>
      <c r="E69" t="s">
        <v>53</v>
      </c>
      <c r="F69" t="s">
        <v>53</v>
      </c>
      <c r="G69">
        <v>4</v>
      </c>
      <c r="H69" t="s">
        <v>54</v>
      </c>
      <c r="I69">
        <v>271600</v>
      </c>
      <c r="J69">
        <v>39500</v>
      </c>
      <c r="K69">
        <v>0.22</v>
      </c>
      <c r="L69">
        <v>-1.51412773263</v>
      </c>
      <c r="M69">
        <v>0</v>
      </c>
      <c r="N69">
        <v>0</v>
      </c>
      <c r="O69">
        <v>0</v>
      </c>
      <c r="P69">
        <v>13398.7528</v>
      </c>
      <c r="Q69">
        <v>63902.980100000001</v>
      </c>
      <c r="R69">
        <v>43615.556902869001</v>
      </c>
      <c r="S69" t="s">
        <v>58</v>
      </c>
      <c r="T69">
        <v>1</v>
      </c>
      <c r="U69" t="s">
        <v>64</v>
      </c>
      <c r="V69" t="s">
        <v>67</v>
      </c>
      <c r="W69">
        <v>0</v>
      </c>
      <c r="X69">
        <v>0</v>
      </c>
      <c r="Y69">
        <v>13</v>
      </c>
      <c r="Z69">
        <v>13</v>
      </c>
      <c r="AA69">
        <v>10</v>
      </c>
      <c r="AB69">
        <v>2000</v>
      </c>
      <c r="AC69">
        <v>1732</v>
      </c>
      <c r="AD69">
        <v>1732</v>
      </c>
      <c r="AE69">
        <v>0</v>
      </c>
      <c r="AF69">
        <v>0</v>
      </c>
      <c r="AG69">
        <v>0</v>
      </c>
      <c r="AH69">
        <v>484</v>
      </c>
      <c r="AI69">
        <v>0</v>
      </c>
      <c r="AJ69">
        <v>0</v>
      </c>
      <c r="AK69">
        <v>0</v>
      </c>
      <c r="AL69">
        <v>8</v>
      </c>
      <c r="AM69">
        <v>0</v>
      </c>
      <c r="AN69">
        <v>0</v>
      </c>
      <c r="AO69" t="s">
        <v>58</v>
      </c>
      <c r="AP69">
        <v>1</v>
      </c>
      <c r="AQ69" t="s">
        <v>59</v>
      </c>
      <c r="AR69" t="s">
        <v>60</v>
      </c>
      <c r="AS69">
        <v>1</v>
      </c>
      <c r="AT69">
        <v>3</v>
      </c>
      <c r="AU69">
        <v>0</v>
      </c>
      <c r="AV69">
        <v>0</v>
      </c>
      <c r="AW69">
        <v>100</v>
      </c>
      <c r="AX69" s="1">
        <v>44272</v>
      </c>
      <c r="AY69">
        <v>22600</v>
      </c>
      <c r="AZ69">
        <v>318121</v>
      </c>
      <c r="BA69">
        <v>340700</v>
      </c>
      <c r="BB69">
        <v>295000</v>
      </c>
      <c r="BC69">
        <v>655</v>
      </c>
      <c r="BD69">
        <f>Grandview_Sales[[#This Row],[land_extract]]*Lookups!$B$3</f>
        <v>50650.628469298128</v>
      </c>
      <c r="BE69">
        <f>Lookups!$B$2</f>
        <v>155833.95000000001</v>
      </c>
      <c r="BF69">
        <f>VLOOKUP(Grandview_Sales[[#This Row],[quality]],Lookups!$H$2:$J$13,3,FALSE)</f>
        <v>20768</v>
      </c>
      <c r="BG69">
        <f>VLOOKUP(Grandview_Sales[[#This Row],[condition]],Lookups!$H$17:$J$24,3,FALSE)</f>
        <v>22342</v>
      </c>
      <c r="BH69">
        <f>Grandview_Sales[[#This Row],[Eff_Age]]*Lookups!$B$14</f>
        <v>-3109.1657999999998</v>
      </c>
      <c r="BI69">
        <f>Grandview_Sales[[#This Row],[living_area]]*Lookups!$B$15</f>
        <v>108043.63739600001</v>
      </c>
      <c r="BJ69">
        <f>Grandview_Sales[[#This Row],[Fin BSMT]]*Lookups!$B$16</f>
        <v>0</v>
      </c>
      <c r="BK69">
        <f>Grandview_Sales[[#This Row],[garage_sqft]]*Lookups!$B$17</f>
        <v>42359.891508000001</v>
      </c>
      <c r="BL69">
        <f>Grandview_Sales[[#This Row],[Plumbing Fixtures]]*Lookups!$B$18</f>
        <v>16083.5344</v>
      </c>
      <c r="BM69">
        <f>Grandview_Sales[[#This Row],[detatched_value]]*Lookups!$B$19</f>
        <v>0</v>
      </c>
      <c r="BN69">
        <f>Grandview_Sales[[#This Row],[days_prior]]*Lookups!$B$20</f>
        <v>-78566.332999999999</v>
      </c>
      <c r="BO69">
        <f>SUM(Grandview_Sales[[#This Row],[land_value]:[Days Prior To Assessment_value]])</f>
        <v>334406.14297329821</v>
      </c>
      <c r="BP69">
        <f>Grandview_Sales[[#This Row],[predicted_total]]/Grandview_Sales[[#This Row],[sale_price]]</f>
        <v>1.1335801456721972</v>
      </c>
      <c r="BQ69">
        <f>VLOOKUP(Grandview_Sales[[#This Row],[quality]],Lookups!$A$26:$C$33,3,FALSE)</f>
        <v>0.94960540378902636</v>
      </c>
      <c r="BR69">
        <f>VLOOKUP(Grandview_Sales[[#This Row],[condition]],Lookups!$A$37:$C$44,3,FALSE)</f>
        <v>0.97383723671140243</v>
      </c>
      <c r="BS69">
        <f>VLOOKUP(Grandview_Sales[[#This Row],[decade]],Lookups!$F$29:$H$43,3,FALSE)</f>
        <v>0.94601966599150278</v>
      </c>
      <c r="BT69">
        <f>VLOOKUP(Grandview_Sales[[#This Row],[living_area_range]],Lookups!$F$47:$H$56,3,FALSE)</f>
        <v>0.96120133463014379</v>
      </c>
      <c r="BU69">
        <f>Grandview_Sales[[#This Row],[predicted_total]]*AVERAGE(Grandview_Sales[[#This Row],[qual_adj]:[size_adj]])</f>
        <v>320249.36331392097</v>
      </c>
      <c r="BV69">
        <f>Grandview_Sales[[#This Row],[final_total]]/Grandview_Sales[[#This Row],[sale_price]]</f>
        <v>1.085591062081088</v>
      </c>
      <c r="BW69" s="6">
        <f>(Grandview_Sales[[#This Row],[final_total]]-Grandview_Sales[[#This Row],[sale_price]])^2</f>
        <v>637530347.75837815</v>
      </c>
      <c r="BX69" s="6">
        <f>(Grandview_Sales[[#This Row],[final_total]]-AVERAGE(Grandview_Sales[sale_price]))^2</f>
        <v>176629234.62966967</v>
      </c>
      <c r="BY69" s="6">
        <f>Grandview_Sales[[#This Row],[SSE]]+Grandview_Sales[[#This Row],[SSR]]</f>
        <v>814159582.38804781</v>
      </c>
      <c r="BZ69" s="4">
        <f>ABS(Grandview_Sales[[#This Row],[final_ratio]]-MEDIAN(Grandview_Sales[final_ratio]))</f>
        <v>8.4342342725276076E-2</v>
      </c>
    </row>
    <row r="70" spans="1:78" x14ac:dyDescent="0.25">
      <c r="A70">
        <v>23092424472</v>
      </c>
      <c r="B70">
        <v>0.21</v>
      </c>
      <c r="C70">
        <v>9240</v>
      </c>
      <c r="D70">
        <v>0</v>
      </c>
      <c r="E70" t="s">
        <v>53</v>
      </c>
      <c r="F70" t="s">
        <v>53</v>
      </c>
      <c r="G70">
        <v>4</v>
      </c>
      <c r="H70" t="s">
        <v>54</v>
      </c>
      <c r="I70">
        <v>210400</v>
      </c>
      <c r="J70">
        <v>39300</v>
      </c>
      <c r="K70">
        <v>0.21</v>
      </c>
      <c r="L70">
        <v>-1.5606477482650001</v>
      </c>
      <c r="M70">
        <v>0</v>
      </c>
      <c r="N70">
        <v>0</v>
      </c>
      <c r="O70">
        <v>0</v>
      </c>
      <c r="P70">
        <v>13398.7528</v>
      </c>
      <c r="Q70">
        <v>63902.980100000001</v>
      </c>
      <c r="R70">
        <v>42992.246713125001</v>
      </c>
      <c r="S70" t="s">
        <v>61</v>
      </c>
      <c r="T70">
        <v>1</v>
      </c>
      <c r="U70" t="s">
        <v>62</v>
      </c>
      <c r="V70" t="s">
        <v>67</v>
      </c>
      <c r="W70">
        <v>0</v>
      </c>
      <c r="X70">
        <v>0</v>
      </c>
      <c r="Y70">
        <v>17</v>
      </c>
      <c r="Z70">
        <v>17</v>
      </c>
      <c r="AA70">
        <v>20</v>
      </c>
      <c r="AB70">
        <v>1500</v>
      </c>
      <c r="AC70">
        <v>1075</v>
      </c>
      <c r="AD70">
        <v>1075</v>
      </c>
      <c r="AE70">
        <v>0</v>
      </c>
      <c r="AF70">
        <v>0</v>
      </c>
      <c r="AG70">
        <v>0</v>
      </c>
      <c r="AH70">
        <v>520</v>
      </c>
      <c r="AI70">
        <v>0</v>
      </c>
      <c r="AJ70">
        <v>0</v>
      </c>
      <c r="AK70">
        <v>200</v>
      </c>
      <c r="AL70">
        <v>8</v>
      </c>
      <c r="AM70">
        <v>0</v>
      </c>
      <c r="AN70">
        <v>0</v>
      </c>
      <c r="AO70" t="s">
        <v>58</v>
      </c>
      <c r="AP70">
        <v>1</v>
      </c>
      <c r="AQ70" t="s">
        <v>63</v>
      </c>
      <c r="AR70" t="s">
        <v>64</v>
      </c>
      <c r="AS70">
        <v>1</v>
      </c>
      <c r="AT70">
        <v>3</v>
      </c>
      <c r="AU70">
        <v>0</v>
      </c>
      <c r="AV70">
        <v>0</v>
      </c>
      <c r="AW70">
        <v>100</v>
      </c>
      <c r="AX70" s="1">
        <v>44279</v>
      </c>
      <c r="AY70">
        <v>22500</v>
      </c>
      <c r="AZ70">
        <v>195379</v>
      </c>
      <c r="BA70">
        <v>217900</v>
      </c>
      <c r="BB70">
        <v>273000</v>
      </c>
      <c r="BC70">
        <v>648</v>
      </c>
      <c r="BD70">
        <f>Grandview_Sales[[#This Row],[land_extract]]*Lookups!$B$3</f>
        <v>49926.780028885936</v>
      </c>
      <c r="BE70">
        <f>Lookups!$B$2</f>
        <v>155833.95000000001</v>
      </c>
      <c r="BF70">
        <f>VLOOKUP(Grandview_Sales[[#This Row],[quality]],Lookups!$H$2:$J$13,3,FALSE)</f>
        <v>9808</v>
      </c>
      <c r="BG70">
        <f>VLOOKUP(Grandview_Sales[[#This Row],[condition]],Lookups!$H$17:$J$24,3,FALSE)</f>
        <v>22342</v>
      </c>
      <c r="BH70">
        <f>Grandview_Sales[[#This Row],[Eff_Age]]*Lookups!$B$14</f>
        <v>-4065.8321999999998</v>
      </c>
      <c r="BI70">
        <f>Grandview_Sales[[#This Row],[living_area]]*Lookups!$B$15</f>
        <v>67059.416975</v>
      </c>
      <c r="BJ70">
        <f>Grandview_Sales[[#This Row],[Fin BSMT]]*Lookups!$B$16</f>
        <v>0</v>
      </c>
      <c r="BK70">
        <f>Grandview_Sales[[#This Row],[garage_sqft]]*Lookups!$B$17</f>
        <v>45510.627240000002</v>
      </c>
      <c r="BL70">
        <f>Grandview_Sales[[#This Row],[Plumbing Fixtures]]*Lookups!$B$18</f>
        <v>16083.5344</v>
      </c>
      <c r="BM70">
        <f>Grandview_Sales[[#This Row],[detatched_value]]*Lookups!$B$19</f>
        <v>0</v>
      </c>
      <c r="BN70">
        <f>Grandview_Sales[[#This Row],[days_prior]]*Lookups!$B$20</f>
        <v>-77726.692800000004</v>
      </c>
      <c r="BO70">
        <f>SUM(Grandview_Sales[[#This Row],[land_value]:[Days Prior To Assessment_value]])</f>
        <v>284771.78364388592</v>
      </c>
      <c r="BP70">
        <f>Grandview_Sales[[#This Row],[predicted_total]]/Grandview_Sales[[#This Row],[sale_price]]</f>
        <v>1.0431200866076407</v>
      </c>
      <c r="BQ70">
        <f>VLOOKUP(Grandview_Sales[[#This Row],[quality]],Lookups!$A$26:$C$33,3,FALSE)</f>
        <v>0.94295468617355149</v>
      </c>
      <c r="BR70">
        <f>VLOOKUP(Grandview_Sales[[#This Row],[condition]],Lookups!$A$37:$C$44,3,FALSE)</f>
        <v>0.97383723671140243</v>
      </c>
      <c r="BS70">
        <f>VLOOKUP(Grandview_Sales[[#This Row],[decade]],Lookups!$F$29:$H$43,3,FALSE)</f>
        <v>0.96737494181490646</v>
      </c>
      <c r="BT70">
        <f>VLOOKUP(Grandview_Sales[[#This Row],[living_area_range]],Lookups!$F$47:$H$56,3,FALSE)</f>
        <v>0.96135087979789358</v>
      </c>
      <c r="BU70">
        <f>Grandview_Sales[[#This Row],[predicted_total]]*AVERAGE(Grandview_Sales[[#This Row],[qual_adj]:[size_adj]])</f>
        <v>273773.73678370967</v>
      </c>
      <c r="BV70">
        <f>Grandview_Sales[[#This Row],[final_total]]/Grandview_Sales[[#This Row],[sale_price]]</f>
        <v>1.0028342006729292</v>
      </c>
      <c r="BW70" s="6">
        <f>(Grandview_Sales[[#This Row],[final_total]]-Grandview_Sales[[#This Row],[sale_price]])^2</f>
        <v>598668.61046538164</v>
      </c>
      <c r="BX70" s="6">
        <f>(Grandview_Sales[[#This Row],[final_total]]-AVERAGE(Grandview_Sales[sale_price]))^2</f>
        <v>1101272986.9710407</v>
      </c>
      <c r="BY70" s="6">
        <f>Grandview_Sales[[#This Row],[SSE]]+Grandview_Sales[[#This Row],[SSR]]</f>
        <v>1101871655.581506</v>
      </c>
      <c r="BZ70" s="4">
        <f>ABS(Grandview_Sales[[#This Row],[final_ratio]]-MEDIAN(Grandview_Sales[final_ratio]))</f>
        <v>1.5854813171172211E-3</v>
      </c>
    </row>
    <row r="71" spans="1:78" x14ac:dyDescent="0.25">
      <c r="A71">
        <v>23092313401</v>
      </c>
      <c r="B71">
        <v>0.16</v>
      </c>
      <c r="C71">
        <v>6895</v>
      </c>
      <c r="D71">
        <v>0</v>
      </c>
      <c r="E71" t="s">
        <v>53</v>
      </c>
      <c r="F71" t="s">
        <v>53</v>
      </c>
      <c r="G71">
        <v>4</v>
      </c>
      <c r="H71" t="s">
        <v>54</v>
      </c>
      <c r="I71">
        <v>121200</v>
      </c>
      <c r="J71">
        <v>39100</v>
      </c>
      <c r="K71">
        <v>0.16</v>
      </c>
      <c r="L71">
        <v>-1.832581463748</v>
      </c>
      <c r="M71">
        <v>0</v>
      </c>
      <c r="N71">
        <v>0</v>
      </c>
      <c r="O71">
        <v>0</v>
      </c>
      <c r="P71">
        <v>13398.7528</v>
      </c>
      <c r="Q71">
        <v>63902.980100000001</v>
      </c>
      <c r="R71">
        <v>39348.674081374003</v>
      </c>
      <c r="S71" t="s">
        <v>55</v>
      </c>
      <c r="T71">
        <v>2</v>
      </c>
      <c r="U71" t="s">
        <v>80</v>
      </c>
      <c r="V71" t="s">
        <v>69</v>
      </c>
      <c r="W71">
        <v>0</v>
      </c>
      <c r="X71">
        <v>0</v>
      </c>
      <c r="Y71">
        <v>57</v>
      </c>
      <c r="Z71">
        <v>103</v>
      </c>
      <c r="AA71">
        <v>100</v>
      </c>
      <c r="AB71">
        <v>1500</v>
      </c>
      <c r="AC71">
        <v>1221</v>
      </c>
      <c r="AD71">
        <v>780</v>
      </c>
      <c r="AE71">
        <v>441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5</v>
      </c>
      <c r="AM71">
        <v>0</v>
      </c>
      <c r="AN71">
        <v>0</v>
      </c>
      <c r="AO71" t="s">
        <v>58</v>
      </c>
      <c r="AP71">
        <v>1</v>
      </c>
      <c r="AQ71" t="s">
        <v>63</v>
      </c>
      <c r="AR71" t="s">
        <v>81</v>
      </c>
      <c r="AS71">
        <v>0</v>
      </c>
      <c r="AT71">
        <v>3</v>
      </c>
      <c r="AU71">
        <v>0</v>
      </c>
      <c r="AV71">
        <v>4600</v>
      </c>
      <c r="AW71">
        <v>100</v>
      </c>
      <c r="AX71" s="1">
        <v>44285</v>
      </c>
      <c r="AY71">
        <v>22400</v>
      </c>
      <c r="AZ71">
        <v>105771</v>
      </c>
      <c r="BA71">
        <v>128200</v>
      </c>
      <c r="BB71">
        <v>210000</v>
      </c>
      <c r="BC71">
        <v>642</v>
      </c>
      <c r="BD71">
        <f>Grandview_Sales[[#This Row],[land_extract]]*Lookups!$B$3</f>
        <v>45695.50896927961</v>
      </c>
      <c r="BE71">
        <f>Lookups!$B$2</f>
        <v>155833.95000000001</v>
      </c>
      <c r="BF71">
        <f>VLOOKUP(Grandview_Sales[[#This Row],[quality]],Lookups!$H$2:$J$13,3,FALSE)</f>
        <v>-28558</v>
      </c>
      <c r="BG71">
        <f>VLOOKUP(Grandview_Sales[[#This Row],[condition]],Lookups!$H$17:$J$24,3,FALSE)</f>
        <v>-4503</v>
      </c>
      <c r="BH71">
        <f>Grandview_Sales[[#This Row],[Eff_Age]]*Lookups!$B$14</f>
        <v>-13632.4962</v>
      </c>
      <c r="BI71">
        <f>Grandview_Sales[[#This Row],[living_area]]*Lookups!$B$15</f>
        <v>76167.021513</v>
      </c>
      <c r="BJ71">
        <f>Grandview_Sales[[#This Row],[Fin BSMT]]*Lookups!$B$16</f>
        <v>0</v>
      </c>
      <c r="BK71">
        <f>Grandview_Sales[[#This Row],[garage_sqft]]*Lookups!$B$17</f>
        <v>0</v>
      </c>
      <c r="BL71">
        <f>Grandview_Sales[[#This Row],[Plumbing Fixtures]]*Lookups!$B$18</f>
        <v>10052.209000000001</v>
      </c>
      <c r="BM71">
        <f>Grandview_Sales[[#This Row],[detatched_value]]*Lookups!$B$19</f>
        <v>3895.3034600000001</v>
      </c>
      <c r="BN71">
        <f>Grandview_Sales[[#This Row],[days_prior]]*Lookups!$B$20</f>
        <v>-77007.001199999999</v>
      </c>
      <c r="BO71">
        <f>SUM(Grandview_Sales[[#This Row],[land_value]:[Days Prior To Assessment_value]])</f>
        <v>167943.49554227962</v>
      </c>
      <c r="BP71">
        <f>Grandview_Sales[[#This Row],[predicted_total]]/Grandview_Sales[[#This Row],[sale_price]]</f>
        <v>0.79973093115371252</v>
      </c>
      <c r="BQ71">
        <f>VLOOKUP(Grandview_Sales[[#This Row],[quality]],Lookups!$A$26:$C$33,3,FALSE)</f>
        <v>0.9690360070159818</v>
      </c>
      <c r="BR71">
        <f>VLOOKUP(Grandview_Sales[[#This Row],[condition]],Lookups!$A$37:$C$44,3,FALSE)</f>
        <v>0.96469275950863709</v>
      </c>
      <c r="BS71">
        <f>VLOOKUP(Grandview_Sales[[#This Row],[decade]],Lookups!$F$29:$H$43,3,FALSE)</f>
        <v>0.95244691841736806</v>
      </c>
      <c r="BT71">
        <f>VLOOKUP(Grandview_Sales[[#This Row],[living_area_range]],Lookups!$F$47:$H$56,3,FALSE)</f>
        <v>0.96135087979789358</v>
      </c>
      <c r="BU71">
        <f>Grandview_Sales[[#This Row],[predicted_total]]*AVERAGE(Grandview_Sales[[#This Row],[qual_adj]:[size_adj]])</f>
        <v>161541.76511854862</v>
      </c>
      <c r="BV71">
        <f>Grandview_Sales[[#This Row],[final_total]]/Grandview_Sales[[#This Row],[sale_price]]</f>
        <v>0.76924650056451727</v>
      </c>
      <c r="BW71" s="6">
        <f>(Grandview_Sales[[#This Row],[final_total]]-Grandview_Sales[[#This Row],[sale_price]])^2</f>
        <v>2348200527.8259115</v>
      </c>
      <c r="BX71" s="6">
        <f>(Grandview_Sales[[#This Row],[final_total]]-AVERAGE(Grandview_Sales[sale_price]))^2</f>
        <v>21146221682.849682</v>
      </c>
      <c r="BY71" s="6">
        <f>Grandview_Sales[[#This Row],[SSE]]+Grandview_Sales[[#This Row],[SSR]]</f>
        <v>23494422210.675594</v>
      </c>
      <c r="BZ71" s="4">
        <f>ABS(Grandview_Sales[[#This Row],[final_ratio]]-MEDIAN(Grandview_Sales[final_ratio]))</f>
        <v>0.23200221879129468</v>
      </c>
    </row>
    <row r="72" spans="1:78" x14ac:dyDescent="0.25">
      <c r="A72">
        <v>23091444410</v>
      </c>
      <c r="B72">
        <v>0.21</v>
      </c>
      <c r="C72">
        <v>0</v>
      </c>
      <c r="D72">
        <v>0</v>
      </c>
      <c r="E72" t="s">
        <v>53</v>
      </c>
      <c r="F72" t="s">
        <v>53</v>
      </c>
      <c r="G72">
        <v>4</v>
      </c>
      <c r="H72" t="s">
        <v>54</v>
      </c>
      <c r="I72">
        <v>297500</v>
      </c>
      <c r="J72">
        <v>39300</v>
      </c>
      <c r="K72">
        <v>0.21</v>
      </c>
      <c r="L72">
        <v>-1.5606477482650001</v>
      </c>
      <c r="M72">
        <v>0</v>
      </c>
      <c r="N72">
        <v>0</v>
      </c>
      <c r="O72">
        <v>0</v>
      </c>
      <c r="P72">
        <v>13398.7528</v>
      </c>
      <c r="Q72">
        <v>63902.980100000001</v>
      </c>
      <c r="R72">
        <v>42992.246713125001</v>
      </c>
      <c r="S72" t="s">
        <v>58</v>
      </c>
      <c r="T72">
        <v>1</v>
      </c>
      <c r="U72" t="s">
        <v>64</v>
      </c>
      <c r="V72" t="s">
        <v>57</v>
      </c>
      <c r="W72">
        <v>0</v>
      </c>
      <c r="X72">
        <v>0</v>
      </c>
      <c r="Y72">
        <v>4</v>
      </c>
      <c r="Z72">
        <v>4</v>
      </c>
      <c r="AA72">
        <v>0</v>
      </c>
      <c r="AB72">
        <v>2000</v>
      </c>
      <c r="AC72">
        <v>1855</v>
      </c>
      <c r="AD72">
        <v>1855</v>
      </c>
      <c r="AE72">
        <v>0</v>
      </c>
      <c r="AF72">
        <v>0</v>
      </c>
      <c r="AG72">
        <v>0</v>
      </c>
      <c r="AH72">
        <v>399</v>
      </c>
      <c r="AI72">
        <v>0</v>
      </c>
      <c r="AJ72">
        <v>253</v>
      </c>
      <c r="AK72">
        <v>0</v>
      </c>
      <c r="AL72">
        <v>10</v>
      </c>
      <c r="AM72">
        <v>0</v>
      </c>
      <c r="AN72">
        <v>0</v>
      </c>
      <c r="AO72" t="s">
        <v>58</v>
      </c>
      <c r="AP72">
        <v>1</v>
      </c>
      <c r="AQ72" t="s">
        <v>59</v>
      </c>
      <c r="AR72" t="s">
        <v>60</v>
      </c>
      <c r="AS72">
        <v>1</v>
      </c>
      <c r="AT72">
        <v>3</v>
      </c>
      <c r="AU72">
        <v>0</v>
      </c>
      <c r="AV72">
        <v>0</v>
      </c>
      <c r="AW72">
        <v>100</v>
      </c>
      <c r="AX72" s="1">
        <v>44287</v>
      </c>
      <c r="AY72">
        <v>22500</v>
      </c>
      <c r="AZ72">
        <v>358071</v>
      </c>
      <c r="BA72">
        <v>380600</v>
      </c>
      <c r="BB72">
        <v>349000</v>
      </c>
      <c r="BC72">
        <v>640</v>
      </c>
      <c r="BD72">
        <f>Grandview_Sales[[#This Row],[land_extract]]*Lookups!$B$3</f>
        <v>49926.780028885936</v>
      </c>
      <c r="BE72">
        <f>Lookups!$B$2</f>
        <v>155833.95000000001</v>
      </c>
      <c r="BF72">
        <f>VLOOKUP(Grandview_Sales[[#This Row],[quality]],Lookups!$H$2:$J$13,3,FALSE)</f>
        <v>20768</v>
      </c>
      <c r="BG72">
        <f>VLOOKUP(Grandview_Sales[[#This Row],[condition]],Lookups!$H$17:$J$24,3,FALSE)</f>
        <v>25780</v>
      </c>
      <c r="BH72">
        <f>Grandview_Sales[[#This Row],[Eff_Age]]*Lookups!$B$14</f>
        <v>-956.66639999999995</v>
      </c>
      <c r="BI72">
        <f>Grandview_Sales[[#This Row],[living_area]]*Lookups!$B$15</f>
        <v>115716.482315</v>
      </c>
      <c r="BJ72">
        <f>Grandview_Sales[[#This Row],[Fin BSMT]]*Lookups!$B$16</f>
        <v>0</v>
      </c>
      <c r="BK72">
        <f>Grandview_Sales[[#This Row],[garage_sqft]]*Lookups!$B$17</f>
        <v>34920.654363000001</v>
      </c>
      <c r="BL72">
        <f>Grandview_Sales[[#This Row],[Plumbing Fixtures]]*Lookups!$B$18</f>
        <v>20104.418000000001</v>
      </c>
      <c r="BM72">
        <f>Grandview_Sales[[#This Row],[detatched_value]]*Lookups!$B$19</f>
        <v>0</v>
      </c>
      <c r="BN72">
        <f>Grandview_Sales[[#This Row],[days_prior]]*Lookups!$B$20</f>
        <v>-76767.103999999992</v>
      </c>
      <c r="BO72">
        <f>SUM(Grandview_Sales[[#This Row],[land_value]:[Days Prior To Assessment_value]])</f>
        <v>345326.51430688595</v>
      </c>
      <c r="BP72">
        <f>Grandview_Sales[[#This Row],[predicted_total]]/Grandview_Sales[[#This Row],[sale_price]]</f>
        <v>0.98947425302832648</v>
      </c>
      <c r="BQ72">
        <f>VLOOKUP(Grandview_Sales[[#This Row],[quality]],Lookups!$A$26:$C$33,3,FALSE)</f>
        <v>0.94960540378902636</v>
      </c>
      <c r="BR72">
        <f>VLOOKUP(Grandview_Sales[[#This Row],[condition]],Lookups!$A$37:$C$44,3,FALSE)</f>
        <v>0.94347925387812148</v>
      </c>
      <c r="BS72">
        <f>VLOOKUP(Grandview_Sales[[#This Row],[decade]],Lookups!$F$29:$H$43,3,FALSE)</f>
        <v>0.9413635517371044</v>
      </c>
      <c r="BT72">
        <f>VLOOKUP(Grandview_Sales[[#This Row],[living_area_range]],Lookups!$F$47:$H$56,3,FALSE)</f>
        <v>0.96120133463014379</v>
      </c>
      <c r="BU72">
        <f>Grandview_Sales[[#This Row],[predicted_total]]*AVERAGE(Grandview_Sales[[#This Row],[qual_adj]:[size_adj]])</f>
        <v>327684.60664297978</v>
      </c>
      <c r="BV72">
        <f>Grandview_Sales[[#This Row],[final_total]]/Grandview_Sales[[#This Row],[sale_price]]</f>
        <v>0.93892437433518561</v>
      </c>
      <c r="BW72" s="6">
        <f>(Grandview_Sales[[#This Row],[final_total]]-Grandview_Sales[[#This Row],[sale_price]])^2</f>
        <v>454345993.96450174</v>
      </c>
      <c r="BX72" s="6">
        <f>(Grandview_Sales[[#This Row],[final_total]]-AVERAGE(Grandview_Sales[sale_price]))^2</f>
        <v>429543718.28510374</v>
      </c>
      <c r="BY72" s="6">
        <f>Grandview_Sales[[#This Row],[SSE]]+Grandview_Sales[[#This Row],[SSR]]</f>
        <v>883889712.24960542</v>
      </c>
      <c r="BZ72" s="4">
        <f>ABS(Grandview_Sales[[#This Row],[final_ratio]]-MEDIAN(Grandview_Sales[final_ratio]))</f>
        <v>6.2324345020626337E-2</v>
      </c>
    </row>
    <row r="73" spans="1:78" x14ac:dyDescent="0.25">
      <c r="A73">
        <v>23092242491</v>
      </c>
      <c r="B73">
        <v>0.17</v>
      </c>
      <c r="C73">
        <v>7503</v>
      </c>
      <c r="D73">
        <v>0</v>
      </c>
      <c r="E73" t="s">
        <v>53</v>
      </c>
      <c r="F73" t="s">
        <v>53</v>
      </c>
      <c r="G73">
        <v>4</v>
      </c>
      <c r="H73" t="s">
        <v>54</v>
      </c>
      <c r="I73">
        <v>242200</v>
      </c>
      <c r="J73">
        <v>38800</v>
      </c>
      <c r="K73">
        <v>0.17</v>
      </c>
      <c r="L73">
        <v>-1.771956841932</v>
      </c>
      <c r="M73">
        <v>0</v>
      </c>
      <c r="N73">
        <v>0</v>
      </c>
      <c r="O73">
        <v>0</v>
      </c>
      <c r="P73">
        <v>13398.7528</v>
      </c>
      <c r="Q73">
        <v>63902.980100000001</v>
      </c>
      <c r="R73">
        <v>40160.968402685998</v>
      </c>
      <c r="S73" t="s">
        <v>61</v>
      </c>
      <c r="T73">
        <v>1</v>
      </c>
      <c r="U73" t="s">
        <v>62</v>
      </c>
      <c r="V73" t="s">
        <v>67</v>
      </c>
      <c r="W73">
        <v>0</v>
      </c>
      <c r="X73">
        <v>0</v>
      </c>
      <c r="Y73">
        <v>16</v>
      </c>
      <c r="Z73">
        <v>16</v>
      </c>
      <c r="AA73">
        <v>20</v>
      </c>
      <c r="AB73">
        <v>2000</v>
      </c>
      <c r="AC73">
        <v>1569</v>
      </c>
      <c r="AD73">
        <v>1569</v>
      </c>
      <c r="AE73">
        <v>0</v>
      </c>
      <c r="AF73">
        <v>0</v>
      </c>
      <c r="AG73">
        <v>0</v>
      </c>
      <c r="AH73">
        <v>484</v>
      </c>
      <c r="AI73">
        <v>0</v>
      </c>
      <c r="AJ73">
        <v>0</v>
      </c>
      <c r="AK73">
        <v>100</v>
      </c>
      <c r="AL73">
        <v>10</v>
      </c>
      <c r="AM73">
        <v>0</v>
      </c>
      <c r="AN73">
        <v>0</v>
      </c>
      <c r="AO73" t="s">
        <v>58</v>
      </c>
      <c r="AP73">
        <v>1</v>
      </c>
      <c r="AQ73" t="s">
        <v>59</v>
      </c>
      <c r="AR73" t="s">
        <v>60</v>
      </c>
      <c r="AS73">
        <v>1</v>
      </c>
      <c r="AT73">
        <v>3</v>
      </c>
      <c r="AU73">
        <v>0</v>
      </c>
      <c r="AV73">
        <v>0</v>
      </c>
      <c r="AW73">
        <v>100</v>
      </c>
      <c r="AX73" s="1">
        <v>44287</v>
      </c>
      <c r="AY73">
        <v>22200</v>
      </c>
      <c r="AZ73">
        <v>269589</v>
      </c>
      <c r="BA73">
        <v>291800</v>
      </c>
      <c r="BB73">
        <v>289900</v>
      </c>
      <c r="BC73">
        <v>640</v>
      </c>
      <c r="BD73">
        <f>Grandview_Sales[[#This Row],[land_extract]]*Lookups!$B$3</f>
        <v>46638.82417142456</v>
      </c>
      <c r="BE73">
        <f>Lookups!$B$2</f>
        <v>155833.95000000001</v>
      </c>
      <c r="BF73">
        <f>VLOOKUP(Grandview_Sales[[#This Row],[quality]],Lookups!$H$2:$J$13,3,FALSE)</f>
        <v>9808</v>
      </c>
      <c r="BG73">
        <f>VLOOKUP(Grandview_Sales[[#This Row],[condition]],Lookups!$H$17:$J$24,3,FALSE)</f>
        <v>22342</v>
      </c>
      <c r="BH73">
        <f>Grandview_Sales[[#This Row],[Eff_Age]]*Lookups!$B$14</f>
        <v>-3826.6655999999998</v>
      </c>
      <c r="BI73">
        <f>Grandview_Sales[[#This Row],[living_area]]*Lookups!$B$15</f>
        <v>97875.558357000002</v>
      </c>
      <c r="BJ73">
        <f>Grandview_Sales[[#This Row],[Fin BSMT]]*Lookups!$B$16</f>
        <v>0</v>
      </c>
      <c r="BK73">
        <f>Grandview_Sales[[#This Row],[garage_sqft]]*Lookups!$B$17</f>
        <v>42359.891508000001</v>
      </c>
      <c r="BL73">
        <f>Grandview_Sales[[#This Row],[Plumbing Fixtures]]*Lookups!$B$18</f>
        <v>20104.418000000001</v>
      </c>
      <c r="BM73">
        <f>Grandview_Sales[[#This Row],[detatched_value]]*Lookups!$B$19</f>
        <v>0</v>
      </c>
      <c r="BN73">
        <f>Grandview_Sales[[#This Row],[days_prior]]*Lookups!$B$20</f>
        <v>-76767.103999999992</v>
      </c>
      <c r="BO73">
        <f>SUM(Grandview_Sales[[#This Row],[land_value]:[Days Prior To Assessment_value]])</f>
        <v>314368.8724364246</v>
      </c>
      <c r="BP73">
        <f>Grandview_Sales[[#This Row],[predicted_total]]/Grandview_Sales[[#This Row],[sale_price]]</f>
        <v>1.0844045272039482</v>
      </c>
      <c r="BQ73">
        <f>VLOOKUP(Grandview_Sales[[#This Row],[quality]],Lookups!$A$26:$C$33,3,FALSE)</f>
        <v>0.94295468617355149</v>
      </c>
      <c r="BR73">
        <f>VLOOKUP(Grandview_Sales[[#This Row],[condition]],Lookups!$A$37:$C$44,3,FALSE)</f>
        <v>0.97383723671140243</v>
      </c>
      <c r="BS73">
        <f>VLOOKUP(Grandview_Sales[[#This Row],[decade]],Lookups!$F$29:$H$43,3,FALSE)</f>
        <v>0.96737494181490646</v>
      </c>
      <c r="BT73">
        <f>VLOOKUP(Grandview_Sales[[#This Row],[living_area_range]],Lookups!$F$47:$H$56,3,FALSE)</f>
        <v>0.96120133463014379</v>
      </c>
      <c r="BU73">
        <f>Grandview_Sales[[#This Row],[predicted_total]]*AVERAGE(Grandview_Sales[[#This Row],[qual_adj]:[size_adj]])</f>
        <v>302216.01623156451</v>
      </c>
      <c r="BV73">
        <f>Grandview_Sales[[#This Row],[final_total]]/Grandview_Sales[[#This Row],[sale_price]]</f>
        <v>1.0424836710298879</v>
      </c>
      <c r="BW73" s="6">
        <f>(Grandview_Sales[[#This Row],[final_total]]-Grandview_Sales[[#This Row],[sale_price]])^2</f>
        <v>151684255.81616056</v>
      </c>
      <c r="BX73" s="6">
        <f>(Grandview_Sales[[#This Row],[final_total]]-AVERAGE(Grandview_Sales[sale_price]))^2</f>
        <v>22497508.988566361</v>
      </c>
      <c r="BY73" s="6">
        <f>Grandview_Sales[[#This Row],[SSE]]+Grandview_Sales[[#This Row],[SSR]]</f>
        <v>174181764.80472693</v>
      </c>
      <c r="BZ73" s="4">
        <f>ABS(Grandview_Sales[[#This Row],[final_ratio]]-MEDIAN(Grandview_Sales[final_ratio]))</f>
        <v>4.1234951674075981E-2</v>
      </c>
    </row>
    <row r="74" spans="1:78" x14ac:dyDescent="0.25">
      <c r="A74">
        <v>23091443421</v>
      </c>
      <c r="B74">
        <v>0.23</v>
      </c>
      <c r="C74">
        <v>9906</v>
      </c>
      <c r="D74">
        <v>0</v>
      </c>
      <c r="E74" t="s">
        <v>53</v>
      </c>
      <c r="F74" t="s">
        <v>53</v>
      </c>
      <c r="G74">
        <v>4</v>
      </c>
      <c r="H74" t="s">
        <v>54</v>
      </c>
      <c r="I74">
        <v>195600</v>
      </c>
      <c r="J74">
        <v>43800</v>
      </c>
      <c r="K74">
        <v>0.23</v>
      </c>
      <c r="L74">
        <v>-1.4696759700590001</v>
      </c>
      <c r="M74">
        <v>0</v>
      </c>
      <c r="N74">
        <v>0</v>
      </c>
      <c r="O74">
        <v>0</v>
      </c>
      <c r="P74">
        <v>13398.7528</v>
      </c>
      <c r="Q74">
        <v>63902.980100000001</v>
      </c>
      <c r="R74">
        <v>44211.155081080004</v>
      </c>
      <c r="S74" t="s">
        <v>61</v>
      </c>
      <c r="T74">
        <v>1</v>
      </c>
      <c r="U74" t="s">
        <v>65</v>
      </c>
      <c r="V74" t="s">
        <v>69</v>
      </c>
      <c r="W74">
        <v>0</v>
      </c>
      <c r="X74">
        <v>0</v>
      </c>
      <c r="Y74">
        <v>43</v>
      </c>
      <c r="Z74">
        <v>45</v>
      </c>
      <c r="AA74">
        <v>50</v>
      </c>
      <c r="AB74">
        <v>1500</v>
      </c>
      <c r="AC74">
        <v>1410</v>
      </c>
      <c r="AD74">
        <v>1410</v>
      </c>
      <c r="AE74">
        <v>0</v>
      </c>
      <c r="AF74">
        <v>0</v>
      </c>
      <c r="AG74">
        <v>0</v>
      </c>
      <c r="AH74">
        <v>550</v>
      </c>
      <c r="AI74">
        <v>0</v>
      </c>
      <c r="AJ74">
        <v>0</v>
      </c>
      <c r="AK74">
        <v>60</v>
      </c>
      <c r="AL74">
        <v>8</v>
      </c>
      <c r="AM74">
        <v>0</v>
      </c>
      <c r="AN74">
        <v>0</v>
      </c>
      <c r="AO74" t="s">
        <v>58</v>
      </c>
      <c r="AP74">
        <v>1</v>
      </c>
      <c r="AQ74" t="s">
        <v>63</v>
      </c>
      <c r="AR74" t="s">
        <v>60</v>
      </c>
      <c r="AS74">
        <v>1</v>
      </c>
      <c r="AT74">
        <v>3</v>
      </c>
      <c r="AU74">
        <v>0</v>
      </c>
      <c r="AV74">
        <v>0</v>
      </c>
      <c r="AW74">
        <v>100</v>
      </c>
      <c r="AX74" s="1">
        <v>44295</v>
      </c>
      <c r="AY74">
        <v>25100</v>
      </c>
      <c r="AZ74">
        <v>173804</v>
      </c>
      <c r="BA74">
        <v>198900</v>
      </c>
      <c r="BB74">
        <v>285000</v>
      </c>
      <c r="BC74">
        <v>632</v>
      </c>
      <c r="BD74">
        <f>Grandview_Sales[[#This Row],[land_extract]]*Lookups!$B$3</f>
        <v>51342.29502553949</v>
      </c>
      <c r="BE74">
        <f>Lookups!$B$2</f>
        <v>155833.95000000001</v>
      </c>
      <c r="BF74">
        <f>VLOOKUP(Grandview_Sales[[#This Row],[quality]],Lookups!$H$2:$J$13,3,FALSE)</f>
        <v>2251</v>
      </c>
      <c r="BG74">
        <f>VLOOKUP(Grandview_Sales[[#This Row],[condition]],Lookups!$H$17:$J$24,3,FALSE)</f>
        <v>-4503</v>
      </c>
      <c r="BH74">
        <f>Grandview_Sales[[#This Row],[Eff_Age]]*Lookups!$B$14</f>
        <v>-10284.1638</v>
      </c>
      <c r="BI74">
        <f>Grandview_Sales[[#This Row],[living_area]]*Lookups!$B$15</f>
        <v>87957.002730000007</v>
      </c>
      <c r="BJ74">
        <f>Grandview_Sales[[#This Row],[Fin BSMT]]*Lookups!$B$16</f>
        <v>0</v>
      </c>
      <c r="BK74">
        <f>Grandview_Sales[[#This Row],[garage_sqft]]*Lookups!$B$17</f>
        <v>48136.24035</v>
      </c>
      <c r="BL74">
        <f>Grandview_Sales[[#This Row],[Plumbing Fixtures]]*Lookups!$B$18</f>
        <v>16083.5344</v>
      </c>
      <c r="BM74">
        <f>Grandview_Sales[[#This Row],[detatched_value]]*Lookups!$B$19</f>
        <v>0</v>
      </c>
      <c r="BN74">
        <f>Grandview_Sales[[#This Row],[days_prior]]*Lookups!$B$20</f>
        <v>-75807.515199999994</v>
      </c>
      <c r="BO74">
        <f>SUM(Grandview_Sales[[#This Row],[land_value]:[Days Prior To Assessment_value]])</f>
        <v>271009.34350553947</v>
      </c>
      <c r="BP74">
        <f>Grandview_Sales[[#This Row],[predicted_total]]/Grandview_Sales[[#This Row],[sale_price]]</f>
        <v>0.95090997721241921</v>
      </c>
      <c r="BQ74">
        <f>VLOOKUP(Grandview_Sales[[#This Row],[quality]],Lookups!$A$26:$C$33,3,FALSE)</f>
        <v>0.98763855981004833</v>
      </c>
      <c r="BR74">
        <f>VLOOKUP(Grandview_Sales[[#This Row],[condition]],Lookups!$A$37:$C$44,3,FALSE)</f>
        <v>0.96469275950863709</v>
      </c>
      <c r="BS74">
        <f>VLOOKUP(Grandview_Sales[[#This Row],[decade]],Lookups!$F$29:$H$43,3,FALSE)</f>
        <v>0.9871940091910919</v>
      </c>
      <c r="BT74">
        <f>VLOOKUP(Grandview_Sales[[#This Row],[living_area_range]],Lookups!$F$47:$H$56,3,FALSE)</f>
        <v>0.96135087979789358</v>
      </c>
      <c r="BU74">
        <f>Grandview_Sales[[#This Row],[predicted_total]]*AVERAGE(Grandview_Sales[[#This Row],[qual_adj]:[size_adj]])</f>
        <v>264293.47507746</v>
      </c>
      <c r="BV74">
        <f>Grandview_Sales[[#This Row],[final_total]]/Grandview_Sales[[#This Row],[sale_price]]</f>
        <v>0.92734552658757896</v>
      </c>
      <c r="BW74" s="6">
        <f>(Grandview_Sales[[#This Row],[final_total]]-Grandview_Sales[[#This Row],[sale_price]])^2</f>
        <v>428760174.36777031</v>
      </c>
      <c r="BX74" s="6">
        <f>(Grandview_Sales[[#This Row],[final_total]]-AVERAGE(Grandview_Sales[sale_price]))^2</f>
        <v>1820361535.0748367</v>
      </c>
      <c r="BY74" s="6">
        <f>Grandview_Sales[[#This Row],[SSE]]+Grandview_Sales[[#This Row],[SSR]]</f>
        <v>2249121709.4426069</v>
      </c>
      <c r="BZ74" s="4">
        <f>ABS(Grandview_Sales[[#This Row],[final_ratio]]-MEDIAN(Grandview_Sales[final_ratio]))</f>
        <v>7.3903192768232984E-2</v>
      </c>
    </row>
    <row r="75" spans="1:78" x14ac:dyDescent="0.25">
      <c r="A75">
        <v>23092231518</v>
      </c>
      <c r="B75">
        <v>0.27</v>
      </c>
      <c r="C75">
        <v>11876</v>
      </c>
      <c r="D75">
        <v>0</v>
      </c>
      <c r="E75" t="s">
        <v>53</v>
      </c>
      <c r="F75" t="s">
        <v>53</v>
      </c>
      <c r="G75">
        <v>4</v>
      </c>
      <c r="H75" t="s">
        <v>54</v>
      </c>
      <c r="I75">
        <v>333500</v>
      </c>
      <c r="J75">
        <v>33400</v>
      </c>
      <c r="K75">
        <v>0.27</v>
      </c>
      <c r="L75">
        <v>-1.309333319984</v>
      </c>
      <c r="M75">
        <v>0</v>
      </c>
      <c r="N75">
        <v>0</v>
      </c>
      <c r="O75">
        <v>0</v>
      </c>
      <c r="P75">
        <v>13398.7528</v>
      </c>
      <c r="Q75">
        <v>63902.980100000001</v>
      </c>
      <c r="R75">
        <v>46359.546612733997</v>
      </c>
      <c r="S75" t="s">
        <v>58</v>
      </c>
      <c r="T75">
        <v>2</v>
      </c>
      <c r="U75" t="s">
        <v>64</v>
      </c>
      <c r="V75" t="s">
        <v>57</v>
      </c>
      <c r="W75">
        <v>0</v>
      </c>
      <c r="X75">
        <v>0</v>
      </c>
      <c r="Y75">
        <v>3</v>
      </c>
      <c r="Z75">
        <v>3</v>
      </c>
      <c r="AA75">
        <v>0</v>
      </c>
      <c r="AB75">
        <v>3000</v>
      </c>
      <c r="AC75">
        <v>2552</v>
      </c>
      <c r="AD75">
        <v>1096</v>
      </c>
      <c r="AE75">
        <v>1456</v>
      </c>
      <c r="AF75">
        <v>0</v>
      </c>
      <c r="AG75">
        <v>0</v>
      </c>
      <c r="AH75">
        <v>520</v>
      </c>
      <c r="AI75">
        <v>0</v>
      </c>
      <c r="AJ75">
        <v>0</v>
      </c>
      <c r="AK75">
        <v>0</v>
      </c>
      <c r="AL75">
        <v>13</v>
      </c>
      <c r="AM75">
        <v>0</v>
      </c>
      <c r="AN75">
        <v>0</v>
      </c>
      <c r="AO75" t="s">
        <v>58</v>
      </c>
      <c r="AP75">
        <v>1</v>
      </c>
      <c r="AQ75" t="s">
        <v>59</v>
      </c>
      <c r="AR75" t="s">
        <v>60</v>
      </c>
      <c r="AS75">
        <v>1</v>
      </c>
      <c r="AT75">
        <v>4</v>
      </c>
      <c r="AU75">
        <v>0</v>
      </c>
      <c r="AV75">
        <v>0</v>
      </c>
      <c r="AW75">
        <v>100</v>
      </c>
      <c r="AX75" s="1">
        <v>44299</v>
      </c>
      <c r="AY75">
        <v>19100</v>
      </c>
      <c r="AZ75">
        <v>441185</v>
      </c>
      <c r="BA75">
        <v>460300</v>
      </c>
      <c r="BB75">
        <v>339000</v>
      </c>
      <c r="BC75">
        <v>628</v>
      </c>
      <c r="BD75">
        <f>Grandview_Sales[[#This Row],[land_extract]]*Lookups!$B$3</f>
        <v>53837.216310592135</v>
      </c>
      <c r="BE75">
        <f>Lookups!$B$2</f>
        <v>155833.95000000001</v>
      </c>
      <c r="BF75">
        <f>VLOOKUP(Grandview_Sales[[#This Row],[quality]],Lookups!$H$2:$J$13,3,FALSE)</f>
        <v>20768</v>
      </c>
      <c r="BG75">
        <f>VLOOKUP(Grandview_Sales[[#This Row],[condition]],Lookups!$H$17:$J$24,3,FALSE)</f>
        <v>25780</v>
      </c>
      <c r="BH75">
        <f>Grandview_Sales[[#This Row],[Eff_Age]]*Lookups!$B$14</f>
        <v>-717.49979999999994</v>
      </c>
      <c r="BI75">
        <f>Grandview_Sales[[#This Row],[living_area]]*Lookups!$B$15</f>
        <v>159195.93685600001</v>
      </c>
      <c r="BJ75">
        <f>Grandview_Sales[[#This Row],[Fin BSMT]]*Lookups!$B$16</f>
        <v>0</v>
      </c>
      <c r="BK75">
        <f>Grandview_Sales[[#This Row],[garage_sqft]]*Lookups!$B$17</f>
        <v>45510.627240000002</v>
      </c>
      <c r="BL75">
        <f>Grandview_Sales[[#This Row],[Plumbing Fixtures]]*Lookups!$B$18</f>
        <v>26135.743399999999</v>
      </c>
      <c r="BM75">
        <f>Grandview_Sales[[#This Row],[detatched_value]]*Lookups!$B$19</f>
        <v>0</v>
      </c>
      <c r="BN75">
        <f>Grandview_Sales[[#This Row],[days_prior]]*Lookups!$B$20</f>
        <v>-75327.720799999996</v>
      </c>
      <c r="BO75">
        <f>SUM(Grandview_Sales[[#This Row],[land_value]:[Days Prior To Assessment_value]])</f>
        <v>411016.25320659217</v>
      </c>
      <c r="BP75">
        <f>Grandview_Sales[[#This Row],[predicted_total]]/Grandview_Sales[[#This Row],[sale_price]]</f>
        <v>1.2124373250931921</v>
      </c>
      <c r="BQ75">
        <f>VLOOKUP(Grandview_Sales[[#This Row],[quality]],Lookups!$A$26:$C$33,3,FALSE)</f>
        <v>0.94960540378902636</v>
      </c>
      <c r="BR75">
        <f>VLOOKUP(Grandview_Sales[[#This Row],[condition]],Lookups!$A$37:$C$44,3,FALSE)</f>
        <v>0.94347925387812148</v>
      </c>
      <c r="BS75">
        <f>VLOOKUP(Grandview_Sales[[#This Row],[decade]],Lookups!$F$29:$H$43,3,FALSE)</f>
        <v>0.9413635517371044</v>
      </c>
      <c r="BT75">
        <f>VLOOKUP(Grandview_Sales[[#This Row],[living_area_range]],Lookups!$F$47:$H$56,3,FALSE)</f>
        <v>0.94224801443562123</v>
      </c>
      <c r="BU75">
        <f>Grandview_Sales[[#This Row],[predicted_total]]*AVERAGE(Grandview_Sales[[#This Row],[qual_adj]:[size_adj]])</f>
        <v>388070.88285553752</v>
      </c>
      <c r="BV75">
        <f>Grandview_Sales[[#This Row],[final_total]]/Grandview_Sales[[#This Row],[sale_price]]</f>
        <v>1.1447518668304941</v>
      </c>
      <c r="BW75" s="6">
        <f>(Grandview_Sales[[#This Row],[final_total]]-Grandview_Sales[[#This Row],[sale_price]])^2</f>
        <v>2407951544.2218862</v>
      </c>
      <c r="BX75" s="6">
        <f>(Grandview_Sales[[#This Row],[final_total]]-AVERAGE(Grandview_Sales[sale_price]))^2</f>
        <v>6579109939.8281422</v>
      </c>
      <c r="BY75" s="6">
        <f>Grandview_Sales[[#This Row],[SSE]]+Grandview_Sales[[#This Row],[SSR]]</f>
        <v>8987061484.0500278</v>
      </c>
      <c r="BZ75" s="4">
        <f>ABS(Grandview_Sales[[#This Row],[final_ratio]]-MEDIAN(Grandview_Sales[final_ratio]))</f>
        <v>0.14350314747468218</v>
      </c>
    </row>
    <row r="76" spans="1:78" x14ac:dyDescent="0.25">
      <c r="A76">
        <v>23092323462</v>
      </c>
      <c r="B76">
        <v>0.25</v>
      </c>
      <c r="C76">
        <v>11070</v>
      </c>
      <c r="D76">
        <v>0</v>
      </c>
      <c r="E76" t="s">
        <v>53</v>
      </c>
      <c r="F76" t="s">
        <v>53</v>
      </c>
      <c r="G76">
        <v>4</v>
      </c>
      <c r="H76" t="s">
        <v>54</v>
      </c>
      <c r="I76">
        <v>131800</v>
      </c>
      <c r="J76">
        <v>40500</v>
      </c>
      <c r="K76">
        <v>0.25</v>
      </c>
      <c r="L76">
        <v>-1.38629436112</v>
      </c>
      <c r="M76">
        <v>0</v>
      </c>
      <c r="N76">
        <v>0</v>
      </c>
      <c r="O76">
        <v>0</v>
      </c>
      <c r="P76">
        <v>13398.7528</v>
      </c>
      <c r="Q76">
        <v>63902.980100000001</v>
      </c>
      <c r="R76">
        <v>45328.364647321003</v>
      </c>
      <c r="S76" t="s">
        <v>61</v>
      </c>
      <c r="T76">
        <v>1</v>
      </c>
      <c r="U76" t="s">
        <v>80</v>
      </c>
      <c r="V76" t="s">
        <v>69</v>
      </c>
      <c r="W76">
        <v>0</v>
      </c>
      <c r="X76">
        <v>0</v>
      </c>
      <c r="Y76">
        <v>51</v>
      </c>
      <c r="Z76">
        <v>83</v>
      </c>
      <c r="AA76">
        <v>80</v>
      </c>
      <c r="AB76">
        <v>1500</v>
      </c>
      <c r="AC76">
        <v>1296</v>
      </c>
      <c r="AD76">
        <v>1296</v>
      </c>
      <c r="AE76">
        <v>0</v>
      </c>
      <c r="AF76">
        <v>0</v>
      </c>
      <c r="AG76">
        <v>0</v>
      </c>
      <c r="AH76">
        <v>200</v>
      </c>
      <c r="AI76">
        <v>0</v>
      </c>
      <c r="AJ76">
        <v>0</v>
      </c>
      <c r="AK76">
        <v>0</v>
      </c>
      <c r="AL76">
        <v>5</v>
      </c>
      <c r="AM76">
        <v>0</v>
      </c>
      <c r="AN76">
        <v>0</v>
      </c>
      <c r="AO76" t="s">
        <v>58</v>
      </c>
      <c r="AP76">
        <v>1</v>
      </c>
      <c r="AQ76" t="s">
        <v>75</v>
      </c>
      <c r="AR76" t="s">
        <v>60</v>
      </c>
      <c r="AS76">
        <v>0</v>
      </c>
      <c r="AT76">
        <v>2</v>
      </c>
      <c r="AU76">
        <v>0</v>
      </c>
      <c r="AV76">
        <v>0</v>
      </c>
      <c r="AW76">
        <v>100</v>
      </c>
      <c r="AX76" s="1">
        <v>44299</v>
      </c>
      <c r="AY76">
        <v>23200</v>
      </c>
      <c r="AZ76">
        <v>110456</v>
      </c>
      <c r="BA76">
        <v>133700</v>
      </c>
      <c r="BB76">
        <v>190000</v>
      </c>
      <c r="BC76">
        <v>628</v>
      </c>
      <c r="BD76">
        <f>Grandview_Sales[[#This Row],[land_extract]]*Lookups!$B$3</f>
        <v>52639.70747834933</v>
      </c>
      <c r="BE76">
        <f>Lookups!$B$2</f>
        <v>155833.95000000001</v>
      </c>
      <c r="BF76">
        <f>VLOOKUP(Grandview_Sales[[#This Row],[quality]],Lookups!$H$2:$J$13,3,FALSE)</f>
        <v>-28558</v>
      </c>
      <c r="BG76">
        <f>VLOOKUP(Grandview_Sales[[#This Row],[condition]],Lookups!$H$17:$J$24,3,FALSE)</f>
        <v>-4503</v>
      </c>
      <c r="BH76">
        <f>Grandview_Sales[[#This Row],[Eff_Age]]*Lookups!$B$14</f>
        <v>-12197.496599999999</v>
      </c>
      <c r="BI76">
        <f>Grandview_Sales[[#This Row],[living_area]]*Lookups!$B$15</f>
        <v>80845.585487999997</v>
      </c>
      <c r="BJ76">
        <f>Grandview_Sales[[#This Row],[Fin BSMT]]*Lookups!$B$16</f>
        <v>0</v>
      </c>
      <c r="BK76">
        <f>Grandview_Sales[[#This Row],[garage_sqft]]*Lookups!$B$17</f>
        <v>17504.0874</v>
      </c>
      <c r="BL76">
        <f>Grandview_Sales[[#This Row],[Plumbing Fixtures]]*Lookups!$B$18</f>
        <v>10052.209000000001</v>
      </c>
      <c r="BM76">
        <f>Grandview_Sales[[#This Row],[detatched_value]]*Lookups!$B$19</f>
        <v>0</v>
      </c>
      <c r="BN76">
        <f>Grandview_Sales[[#This Row],[days_prior]]*Lookups!$B$20</f>
        <v>-75327.720799999996</v>
      </c>
      <c r="BO76">
        <f>SUM(Grandview_Sales[[#This Row],[land_value]:[Days Prior To Assessment_value]])</f>
        <v>196289.32196634932</v>
      </c>
      <c r="BP76">
        <f>Grandview_Sales[[#This Row],[predicted_total]]/Grandview_Sales[[#This Row],[sale_price]]</f>
        <v>1.0331016945597333</v>
      </c>
      <c r="BQ76">
        <f>VLOOKUP(Grandview_Sales[[#This Row],[quality]],Lookups!$A$26:$C$33,3,FALSE)</f>
        <v>0.9690360070159818</v>
      </c>
      <c r="BR76">
        <f>VLOOKUP(Grandview_Sales[[#This Row],[condition]],Lookups!$A$37:$C$44,3,FALSE)</f>
        <v>0.96469275950863709</v>
      </c>
      <c r="BS76">
        <f>VLOOKUP(Grandview_Sales[[#This Row],[decade]],Lookups!$F$29:$H$43,3,FALSE)</f>
        <v>0.98763256963907298</v>
      </c>
      <c r="BT76">
        <f>VLOOKUP(Grandview_Sales[[#This Row],[living_area_range]],Lookups!$F$47:$H$56,3,FALSE)</f>
        <v>0.96135087979789358</v>
      </c>
      <c r="BU76">
        <f>Grandview_Sales[[#This Row],[predicted_total]]*AVERAGE(Grandview_Sales[[#This Row],[qual_adj]:[size_adj]])</f>
        <v>190533.73706539031</v>
      </c>
      <c r="BV76">
        <f>Grandview_Sales[[#This Row],[final_total]]/Grandview_Sales[[#This Row],[sale_price]]</f>
        <v>1.0028091424494228</v>
      </c>
      <c r="BW76" s="6">
        <f>(Grandview_Sales[[#This Row],[final_total]]-Grandview_Sales[[#This Row],[sale_price]])^2</f>
        <v>284875.25497145508</v>
      </c>
      <c r="BX76" s="6">
        <f>(Grandview_Sales[[#This Row],[final_total]]-AVERAGE(Grandview_Sales[sale_price]))^2</f>
        <v>13554881466.351694</v>
      </c>
      <c r="BY76" s="6">
        <f>Grandview_Sales[[#This Row],[SSE]]+Grandview_Sales[[#This Row],[SSR]]</f>
        <v>13555166341.606665</v>
      </c>
      <c r="BZ76" s="4">
        <f>ABS(Grandview_Sales[[#This Row],[final_ratio]]-MEDIAN(Grandview_Sales[final_ratio]))</f>
        <v>1.5604230936108188E-3</v>
      </c>
    </row>
    <row r="77" spans="1:78" x14ac:dyDescent="0.25">
      <c r="A77">
        <v>23092324433</v>
      </c>
      <c r="B77">
        <v>0.17</v>
      </c>
      <c r="C77">
        <v>7244</v>
      </c>
      <c r="D77">
        <v>0</v>
      </c>
      <c r="E77" t="s">
        <v>53</v>
      </c>
      <c r="F77" t="s">
        <v>53</v>
      </c>
      <c r="G77">
        <v>4</v>
      </c>
      <c r="H77" t="s">
        <v>54</v>
      </c>
      <c r="I77">
        <v>189800</v>
      </c>
      <c r="J77">
        <v>39100</v>
      </c>
      <c r="K77">
        <v>0.17</v>
      </c>
      <c r="L77">
        <v>-1.771956841932</v>
      </c>
      <c r="M77">
        <v>0</v>
      </c>
      <c r="N77">
        <v>0</v>
      </c>
      <c r="O77">
        <v>0</v>
      </c>
      <c r="P77">
        <v>13398.7528</v>
      </c>
      <c r="Q77">
        <v>63902.980100000001</v>
      </c>
      <c r="R77">
        <v>40160.968402685998</v>
      </c>
      <c r="S77" t="s">
        <v>68</v>
      </c>
      <c r="T77">
        <v>1</v>
      </c>
      <c r="U77" t="s">
        <v>65</v>
      </c>
      <c r="V77" t="s">
        <v>67</v>
      </c>
      <c r="W77">
        <v>0</v>
      </c>
      <c r="X77">
        <v>0</v>
      </c>
      <c r="Y77">
        <v>49</v>
      </c>
      <c r="Z77">
        <v>68</v>
      </c>
      <c r="AA77">
        <v>70</v>
      </c>
      <c r="AB77">
        <v>2000</v>
      </c>
      <c r="AC77">
        <v>1620</v>
      </c>
      <c r="AD77">
        <v>1620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8</v>
      </c>
      <c r="AM77">
        <v>0</v>
      </c>
      <c r="AN77">
        <v>0</v>
      </c>
      <c r="AO77" t="s">
        <v>58</v>
      </c>
      <c r="AP77">
        <v>1</v>
      </c>
      <c r="AQ77" t="s">
        <v>63</v>
      </c>
      <c r="AR77" t="s">
        <v>64</v>
      </c>
      <c r="AS77">
        <v>1</v>
      </c>
      <c r="AT77">
        <v>4</v>
      </c>
      <c r="AU77">
        <v>0</v>
      </c>
      <c r="AV77">
        <v>0</v>
      </c>
      <c r="AW77">
        <v>100</v>
      </c>
      <c r="AX77" s="1">
        <v>44301</v>
      </c>
      <c r="AY77">
        <v>22400</v>
      </c>
      <c r="AZ77">
        <v>179728</v>
      </c>
      <c r="BA77">
        <v>202100</v>
      </c>
      <c r="BB77">
        <v>250000</v>
      </c>
      <c r="BC77">
        <v>626</v>
      </c>
      <c r="BD77">
        <f>Grandview_Sales[[#This Row],[land_extract]]*Lookups!$B$3</f>
        <v>46638.82417142456</v>
      </c>
      <c r="BE77">
        <f>Lookups!$B$2</f>
        <v>155833.95000000001</v>
      </c>
      <c r="BF77">
        <f>VLOOKUP(Grandview_Sales[[#This Row],[quality]],Lookups!$H$2:$J$13,3,FALSE)</f>
        <v>2251</v>
      </c>
      <c r="BG77">
        <f>VLOOKUP(Grandview_Sales[[#This Row],[condition]],Lookups!$H$17:$J$24,3,FALSE)</f>
        <v>22342</v>
      </c>
      <c r="BH77">
        <f>Grandview_Sales[[#This Row],[Eff_Age]]*Lookups!$B$14</f>
        <v>-11719.163399999999</v>
      </c>
      <c r="BI77">
        <f>Grandview_Sales[[#This Row],[living_area]]*Lookups!$B$15</f>
        <v>101056.98186</v>
      </c>
      <c r="BJ77">
        <f>Grandview_Sales[[#This Row],[Fin BSMT]]*Lookups!$B$16</f>
        <v>0</v>
      </c>
      <c r="BK77">
        <f>Grandview_Sales[[#This Row],[garage_sqft]]*Lookups!$B$17</f>
        <v>0</v>
      </c>
      <c r="BL77">
        <f>Grandview_Sales[[#This Row],[Plumbing Fixtures]]*Lookups!$B$18</f>
        <v>16083.5344</v>
      </c>
      <c r="BM77">
        <f>Grandview_Sales[[#This Row],[detatched_value]]*Lookups!$B$19</f>
        <v>0</v>
      </c>
      <c r="BN77">
        <f>Grandview_Sales[[#This Row],[days_prior]]*Lookups!$B$20</f>
        <v>-75087.823600000003</v>
      </c>
      <c r="BO77">
        <f>SUM(Grandview_Sales[[#This Row],[land_value]:[Days Prior To Assessment_value]])</f>
        <v>257399.30343142455</v>
      </c>
      <c r="BP77">
        <f>Grandview_Sales[[#This Row],[predicted_total]]/Grandview_Sales[[#This Row],[sale_price]]</f>
        <v>1.0295972137256981</v>
      </c>
      <c r="BQ77">
        <f>VLOOKUP(Grandview_Sales[[#This Row],[quality]],Lookups!$A$26:$C$33,3,FALSE)</f>
        <v>0.98763855981004833</v>
      </c>
      <c r="BR77">
        <f>VLOOKUP(Grandview_Sales[[#This Row],[condition]],Lookups!$A$37:$C$44,3,FALSE)</f>
        <v>0.97383723671140243</v>
      </c>
      <c r="BS77">
        <f>VLOOKUP(Grandview_Sales[[#This Row],[decade]],Lookups!$F$29:$H$43,3,FALSE)</f>
        <v>0.99472141305414818</v>
      </c>
      <c r="BT77">
        <f>VLOOKUP(Grandview_Sales[[#This Row],[living_area_range]],Lookups!$F$47:$H$56,3,FALSE)</f>
        <v>0.96120133463014379</v>
      </c>
      <c r="BU77">
        <f>Grandview_Sales[[#This Row],[predicted_total]]*AVERAGE(Grandview_Sales[[#This Row],[qual_adj]:[size_adj]])</f>
        <v>252083.9141354587</v>
      </c>
      <c r="BV77">
        <f>Grandview_Sales[[#This Row],[final_total]]/Grandview_Sales[[#This Row],[sale_price]]</f>
        <v>1.0083356565418349</v>
      </c>
      <c r="BW77" s="6">
        <f>(Grandview_Sales[[#This Row],[final_total]]-Grandview_Sales[[#This Row],[sale_price]])^2</f>
        <v>4342698.1239646003</v>
      </c>
      <c r="BX77" s="6">
        <f>(Grandview_Sales[[#This Row],[final_total]]-AVERAGE(Grandview_Sales[sale_price]))^2</f>
        <v>3011293721.441999</v>
      </c>
      <c r="BY77" s="6">
        <f>Grandview_Sales[[#This Row],[SSE]]+Grandview_Sales[[#This Row],[SSR]]</f>
        <v>3015636419.5659637</v>
      </c>
      <c r="BZ77" s="4">
        <f>ABS(Grandview_Sales[[#This Row],[final_ratio]]-MEDIAN(Grandview_Sales[final_ratio]))</f>
        <v>7.0869371860229347E-3</v>
      </c>
    </row>
    <row r="78" spans="1:78" x14ac:dyDescent="0.25">
      <c r="A78">
        <v>23092323480</v>
      </c>
      <c r="B78">
        <v>0.23</v>
      </c>
      <c r="C78">
        <v>9864</v>
      </c>
      <c r="D78">
        <v>0</v>
      </c>
      <c r="E78" t="s">
        <v>53</v>
      </c>
      <c r="F78" t="s">
        <v>53</v>
      </c>
      <c r="G78">
        <v>4</v>
      </c>
      <c r="H78" t="s">
        <v>54</v>
      </c>
      <c r="I78">
        <v>116200</v>
      </c>
      <c r="J78">
        <v>40000</v>
      </c>
      <c r="K78">
        <v>0.23</v>
      </c>
      <c r="L78">
        <v>-1.4696759700590001</v>
      </c>
      <c r="M78">
        <v>0</v>
      </c>
      <c r="N78">
        <v>0</v>
      </c>
      <c r="O78">
        <v>0</v>
      </c>
      <c r="P78">
        <v>13398.7528</v>
      </c>
      <c r="Q78">
        <v>63902.980100000001</v>
      </c>
      <c r="R78">
        <v>44211.155081080004</v>
      </c>
      <c r="S78" t="s">
        <v>68</v>
      </c>
      <c r="T78">
        <v>1</v>
      </c>
      <c r="U78" t="s">
        <v>70</v>
      </c>
      <c r="V78" t="s">
        <v>69</v>
      </c>
      <c r="W78">
        <v>0</v>
      </c>
      <c r="X78">
        <v>0</v>
      </c>
      <c r="Y78">
        <v>53</v>
      </c>
      <c r="Z78">
        <v>93</v>
      </c>
      <c r="AA78">
        <v>90</v>
      </c>
      <c r="AB78">
        <v>1000</v>
      </c>
      <c r="AC78">
        <v>912</v>
      </c>
      <c r="AD78">
        <v>912</v>
      </c>
      <c r="AE78">
        <v>0</v>
      </c>
      <c r="AF78">
        <v>0</v>
      </c>
      <c r="AG78">
        <v>308</v>
      </c>
      <c r="AH78">
        <v>0</v>
      </c>
      <c r="AI78">
        <v>0</v>
      </c>
      <c r="AJ78">
        <v>0</v>
      </c>
      <c r="AK78">
        <v>0</v>
      </c>
      <c r="AL78">
        <v>5</v>
      </c>
      <c r="AM78">
        <v>0</v>
      </c>
      <c r="AN78">
        <v>0</v>
      </c>
      <c r="AO78" t="s">
        <v>58</v>
      </c>
      <c r="AP78">
        <v>1</v>
      </c>
      <c r="AQ78" t="s">
        <v>63</v>
      </c>
      <c r="AR78" t="s">
        <v>64</v>
      </c>
      <c r="AS78">
        <v>0</v>
      </c>
      <c r="AT78">
        <v>2</v>
      </c>
      <c r="AU78">
        <v>0</v>
      </c>
      <c r="AV78">
        <v>6000</v>
      </c>
      <c r="AW78">
        <v>100</v>
      </c>
      <c r="AX78" s="1">
        <v>44301</v>
      </c>
      <c r="AY78">
        <v>22900</v>
      </c>
      <c r="AZ78">
        <v>97839</v>
      </c>
      <c r="BA78">
        <v>120700</v>
      </c>
      <c r="BB78">
        <v>160000</v>
      </c>
      <c r="BC78">
        <v>626</v>
      </c>
      <c r="BD78">
        <f>Grandview_Sales[[#This Row],[land_extract]]*Lookups!$B$3</f>
        <v>51342.29502553949</v>
      </c>
      <c r="BE78">
        <f>Lookups!$B$2</f>
        <v>155833.95000000001</v>
      </c>
      <c r="BF78">
        <f>VLOOKUP(Grandview_Sales[[#This Row],[quality]],Lookups!$H$2:$J$13,3,FALSE)</f>
        <v>10733</v>
      </c>
      <c r="BG78">
        <f>VLOOKUP(Grandview_Sales[[#This Row],[condition]],Lookups!$H$17:$J$24,3,FALSE)</f>
        <v>-4503</v>
      </c>
      <c r="BH78">
        <f>Grandview_Sales[[#This Row],[Eff_Age]]*Lookups!$B$14</f>
        <v>-12675.8298</v>
      </c>
      <c r="BI78">
        <f>Grandview_Sales[[#This Row],[living_area]]*Lookups!$B$15</f>
        <v>56891.337936000004</v>
      </c>
      <c r="BJ78">
        <f>Grandview_Sales[[#This Row],[Fin BSMT]]*Lookups!$B$16</f>
        <v>0</v>
      </c>
      <c r="BK78">
        <f>Grandview_Sales[[#This Row],[garage_sqft]]*Lookups!$B$17</f>
        <v>0</v>
      </c>
      <c r="BL78">
        <f>Grandview_Sales[[#This Row],[Plumbing Fixtures]]*Lookups!$B$18</f>
        <v>10052.209000000001</v>
      </c>
      <c r="BM78">
        <f>Grandview_Sales[[#This Row],[detatched_value]]*Lookups!$B$19</f>
        <v>5080.8306000000002</v>
      </c>
      <c r="BN78">
        <f>Grandview_Sales[[#This Row],[days_prior]]*Lookups!$B$20</f>
        <v>-75087.823600000003</v>
      </c>
      <c r="BO78">
        <f>SUM(Grandview_Sales[[#This Row],[land_value]:[Days Prior To Assessment_value]])</f>
        <v>197666.96916153945</v>
      </c>
      <c r="BP78">
        <f>Grandview_Sales[[#This Row],[predicted_total]]/Grandview_Sales[[#This Row],[sale_price]]</f>
        <v>1.2354185572596217</v>
      </c>
      <c r="BQ78">
        <f>VLOOKUP(Grandview_Sales[[#This Row],[quality]],Lookups!$A$26:$C$33,3,FALSE)</f>
        <v>0.98079741117310582</v>
      </c>
      <c r="BR78">
        <f>VLOOKUP(Grandview_Sales[[#This Row],[condition]],Lookups!$A$37:$C$44,3,FALSE)</f>
        <v>0.96469275950863709</v>
      </c>
      <c r="BS78">
        <f>VLOOKUP(Grandview_Sales[[#This Row],[decade]],Lookups!$F$29:$H$43,3,FALSE)</f>
        <v>0.94161750052457416</v>
      </c>
      <c r="BT78">
        <f>VLOOKUP(Grandview_Sales[[#This Row],[living_area_range]],Lookups!$F$47:$H$56,3,FALSE)</f>
        <v>0.94306777142782894</v>
      </c>
      <c r="BU78">
        <f>Grandview_Sales[[#This Row],[predicted_total]]*AVERAGE(Grandview_Sales[[#This Row],[qual_adj]:[size_adj]])</f>
        <v>189274.79277561235</v>
      </c>
      <c r="BV78">
        <f>Grandview_Sales[[#This Row],[final_total]]/Grandview_Sales[[#This Row],[sale_price]]</f>
        <v>1.1829674548475773</v>
      </c>
      <c r="BW78" s="6">
        <f>(Grandview_Sales[[#This Row],[final_total]]-Grandview_Sales[[#This Row],[sale_price]])^2</f>
        <v>857013492.05504525</v>
      </c>
      <c r="BX78" s="6">
        <f>(Grandview_Sales[[#This Row],[final_total]]-AVERAGE(Grandview_Sales[sale_price]))^2</f>
        <v>13849612675.382072</v>
      </c>
      <c r="BY78" s="6">
        <f>Grandview_Sales[[#This Row],[SSE]]+Grandview_Sales[[#This Row],[SSR]]</f>
        <v>14706626167.437119</v>
      </c>
      <c r="BZ78" s="4">
        <f>ABS(Grandview_Sales[[#This Row],[final_ratio]]-MEDIAN(Grandview_Sales[final_ratio]))</f>
        <v>0.18171873549176532</v>
      </c>
    </row>
    <row r="79" spans="1:78" x14ac:dyDescent="0.25">
      <c r="A79">
        <v>23091433500</v>
      </c>
      <c r="B79">
        <v>0.25</v>
      </c>
      <c r="C79">
        <v>11105</v>
      </c>
      <c r="D79">
        <v>0</v>
      </c>
      <c r="E79" t="s">
        <v>53</v>
      </c>
      <c r="F79" t="s">
        <v>53</v>
      </c>
      <c r="G79">
        <v>4</v>
      </c>
      <c r="H79" t="s">
        <v>54</v>
      </c>
      <c r="I79">
        <v>164300</v>
      </c>
      <c r="J79">
        <v>40200</v>
      </c>
      <c r="K79">
        <v>0.25</v>
      </c>
      <c r="L79">
        <v>-1.38629436112</v>
      </c>
      <c r="M79">
        <v>0</v>
      </c>
      <c r="N79">
        <v>0</v>
      </c>
      <c r="O79">
        <v>0</v>
      </c>
      <c r="P79">
        <v>13398.7528</v>
      </c>
      <c r="Q79">
        <v>63902.980100000001</v>
      </c>
      <c r="R79">
        <v>45328.364647321003</v>
      </c>
      <c r="S79" t="s">
        <v>61</v>
      </c>
      <c r="T79">
        <v>1</v>
      </c>
      <c r="U79" t="s">
        <v>65</v>
      </c>
      <c r="V79" t="s">
        <v>78</v>
      </c>
      <c r="W79">
        <v>0</v>
      </c>
      <c r="X79">
        <v>0</v>
      </c>
      <c r="Y79">
        <v>45</v>
      </c>
      <c r="Z79">
        <v>51</v>
      </c>
      <c r="AA79">
        <v>50</v>
      </c>
      <c r="AB79">
        <v>2000</v>
      </c>
      <c r="AC79">
        <v>1505</v>
      </c>
      <c r="AD79">
        <v>1505</v>
      </c>
      <c r="AE79">
        <v>0</v>
      </c>
      <c r="AF79">
        <v>0</v>
      </c>
      <c r="AG79">
        <v>0</v>
      </c>
      <c r="AH79">
        <v>483</v>
      </c>
      <c r="AI79">
        <v>0</v>
      </c>
      <c r="AJ79">
        <v>0</v>
      </c>
      <c r="AK79">
        <v>0</v>
      </c>
      <c r="AL79">
        <v>7</v>
      </c>
      <c r="AM79">
        <v>0</v>
      </c>
      <c r="AN79">
        <v>0</v>
      </c>
      <c r="AO79" t="s">
        <v>58</v>
      </c>
      <c r="AP79">
        <v>1</v>
      </c>
      <c r="AQ79" t="s">
        <v>75</v>
      </c>
      <c r="AR79" t="s">
        <v>60</v>
      </c>
      <c r="AS79">
        <v>1</v>
      </c>
      <c r="AT79">
        <v>3</v>
      </c>
      <c r="AU79">
        <v>0</v>
      </c>
      <c r="AV79">
        <v>3000</v>
      </c>
      <c r="AW79">
        <v>100</v>
      </c>
      <c r="AX79" s="1">
        <v>44305</v>
      </c>
      <c r="AY79">
        <v>23000</v>
      </c>
      <c r="AZ79">
        <v>153239</v>
      </c>
      <c r="BA79">
        <v>176200</v>
      </c>
      <c r="BB79">
        <v>224900</v>
      </c>
      <c r="BC79">
        <v>622</v>
      </c>
      <c r="BD79">
        <f>Grandview_Sales[[#This Row],[land_extract]]*Lookups!$B$3</f>
        <v>52639.70747834933</v>
      </c>
      <c r="BE79">
        <f>Lookups!$B$2</f>
        <v>155833.95000000001</v>
      </c>
      <c r="BF79">
        <f>VLOOKUP(Grandview_Sales[[#This Row],[quality]],Lookups!$H$2:$J$13,3,FALSE)</f>
        <v>2251</v>
      </c>
      <c r="BG79">
        <f>VLOOKUP(Grandview_Sales[[#This Row],[condition]],Lookups!$H$17:$J$24,3,FALSE)</f>
        <v>-45357</v>
      </c>
      <c r="BH79">
        <f>Grandview_Sales[[#This Row],[Eff_Age]]*Lookups!$B$14</f>
        <v>-10762.496999999999</v>
      </c>
      <c r="BI79">
        <f>Grandview_Sales[[#This Row],[living_area]]*Lookups!$B$15</f>
        <v>93883.183765000009</v>
      </c>
      <c r="BJ79">
        <f>Grandview_Sales[[#This Row],[Fin BSMT]]*Lookups!$B$16</f>
        <v>0</v>
      </c>
      <c r="BK79">
        <f>Grandview_Sales[[#This Row],[garage_sqft]]*Lookups!$B$17</f>
        <v>42272.371071000001</v>
      </c>
      <c r="BL79">
        <f>Grandview_Sales[[#This Row],[Plumbing Fixtures]]*Lookups!$B$18</f>
        <v>14073.0926</v>
      </c>
      <c r="BM79">
        <f>Grandview_Sales[[#This Row],[detatched_value]]*Lookups!$B$19</f>
        <v>2540.4153000000001</v>
      </c>
      <c r="BN79">
        <f>Grandview_Sales[[#This Row],[days_prior]]*Lookups!$B$20</f>
        <v>-74608.029200000004</v>
      </c>
      <c r="BO79">
        <f>SUM(Grandview_Sales[[#This Row],[land_value]:[Days Prior To Assessment_value]])</f>
        <v>232766.19401434931</v>
      </c>
      <c r="BP79">
        <f>Grandview_Sales[[#This Row],[predicted_total]]/Grandview_Sales[[#This Row],[sale_price]]</f>
        <v>1.0349764073559329</v>
      </c>
      <c r="BQ79">
        <f>VLOOKUP(Grandview_Sales[[#This Row],[quality]],Lookups!$A$26:$C$33,3,FALSE)</f>
        <v>0.98763855981004833</v>
      </c>
      <c r="BR79">
        <f>VLOOKUP(Grandview_Sales[[#This Row],[condition]],Lookups!$A$37:$C$44,3,FALSE)</f>
        <v>0.97161819570155394</v>
      </c>
      <c r="BS79">
        <f>VLOOKUP(Grandview_Sales[[#This Row],[decade]],Lookups!$F$29:$H$43,3,FALSE)</f>
        <v>0.9871940091910919</v>
      </c>
      <c r="BT79">
        <f>VLOOKUP(Grandview_Sales[[#This Row],[living_area_range]],Lookups!$F$47:$H$56,3,FALSE)</f>
        <v>0.96120133463014379</v>
      </c>
      <c r="BU79">
        <f>Grandview_Sales[[#This Row],[predicted_total]]*AVERAGE(Grandview_Sales[[#This Row],[qual_adj]:[size_adj]])</f>
        <v>227392.32667347166</v>
      </c>
      <c r="BV79">
        <f>Grandview_Sales[[#This Row],[final_total]]/Grandview_Sales[[#This Row],[sale_price]]</f>
        <v>1.0110819327410923</v>
      </c>
      <c r="BW79" s="6">
        <f>(Grandview_Sales[[#This Row],[final_total]]-Grandview_Sales[[#This Row],[sale_price]])^2</f>
        <v>6211692.2472983096</v>
      </c>
      <c r="BX79" s="6">
        <f>(Grandview_Sales[[#This Row],[final_total]]-AVERAGE(Grandview_Sales[sale_price]))^2</f>
        <v>6330882579.0502062</v>
      </c>
      <c r="BY79" s="6">
        <f>Grandview_Sales[[#This Row],[SSE]]+Grandview_Sales[[#This Row],[SSR]]</f>
        <v>6337094271.2975044</v>
      </c>
      <c r="BZ79" s="4">
        <f>ABS(Grandview_Sales[[#This Row],[final_ratio]]-MEDIAN(Grandview_Sales[final_ratio]))</f>
        <v>9.833213385280315E-3</v>
      </c>
    </row>
    <row r="80" spans="1:78" x14ac:dyDescent="0.25">
      <c r="A80">
        <v>23092224473</v>
      </c>
      <c r="B80">
        <v>0.16</v>
      </c>
      <c r="C80">
        <v>7159</v>
      </c>
      <c r="D80">
        <v>0</v>
      </c>
      <c r="E80" t="s">
        <v>53</v>
      </c>
      <c r="F80" t="s">
        <v>53</v>
      </c>
      <c r="G80">
        <v>4</v>
      </c>
      <c r="H80" t="s">
        <v>54</v>
      </c>
      <c r="I80">
        <v>276200</v>
      </c>
      <c r="J80">
        <v>43000</v>
      </c>
      <c r="K80">
        <v>0.16</v>
      </c>
      <c r="L80">
        <v>-1.832581463748</v>
      </c>
      <c r="M80">
        <v>0</v>
      </c>
      <c r="N80">
        <v>0</v>
      </c>
      <c r="O80">
        <v>0</v>
      </c>
      <c r="P80">
        <v>13398.7528</v>
      </c>
      <c r="Q80">
        <v>63902.980100000001</v>
      </c>
      <c r="R80">
        <v>39348.674081374003</v>
      </c>
      <c r="S80" t="s">
        <v>58</v>
      </c>
      <c r="T80">
        <v>2</v>
      </c>
      <c r="U80" t="s">
        <v>64</v>
      </c>
      <c r="V80" t="s">
        <v>67</v>
      </c>
      <c r="W80">
        <v>0</v>
      </c>
      <c r="X80">
        <v>0</v>
      </c>
      <c r="Y80">
        <v>21</v>
      </c>
      <c r="Z80">
        <v>21</v>
      </c>
      <c r="AA80">
        <v>20</v>
      </c>
      <c r="AB80">
        <v>2000</v>
      </c>
      <c r="AC80">
        <v>1966</v>
      </c>
      <c r="AD80">
        <v>944</v>
      </c>
      <c r="AE80">
        <v>1022</v>
      </c>
      <c r="AF80">
        <v>0</v>
      </c>
      <c r="AG80">
        <v>0</v>
      </c>
      <c r="AH80">
        <v>480</v>
      </c>
      <c r="AI80">
        <v>0</v>
      </c>
      <c r="AJ80">
        <v>112</v>
      </c>
      <c r="AK80">
        <v>140</v>
      </c>
      <c r="AL80">
        <v>12</v>
      </c>
      <c r="AM80">
        <v>0</v>
      </c>
      <c r="AN80">
        <v>0</v>
      </c>
      <c r="AO80" t="s">
        <v>58</v>
      </c>
      <c r="AP80">
        <v>1</v>
      </c>
      <c r="AQ80" t="s">
        <v>63</v>
      </c>
      <c r="AR80" t="s">
        <v>64</v>
      </c>
      <c r="AS80">
        <v>1</v>
      </c>
      <c r="AT80">
        <v>4</v>
      </c>
      <c r="AU80">
        <v>0</v>
      </c>
      <c r="AV80">
        <v>0</v>
      </c>
      <c r="AW80">
        <v>100</v>
      </c>
      <c r="AX80" s="1">
        <v>44307</v>
      </c>
      <c r="AY80">
        <v>24600</v>
      </c>
      <c r="AZ80">
        <v>343382</v>
      </c>
      <c r="BA80">
        <v>368000</v>
      </c>
      <c r="BB80">
        <v>335000</v>
      </c>
      <c r="BC80">
        <v>620</v>
      </c>
      <c r="BD80">
        <f>Grandview_Sales[[#This Row],[land_extract]]*Lookups!$B$3</f>
        <v>45695.50896927961</v>
      </c>
      <c r="BE80">
        <f>Lookups!$B$2</f>
        <v>155833.95000000001</v>
      </c>
      <c r="BF80">
        <f>VLOOKUP(Grandview_Sales[[#This Row],[quality]],Lookups!$H$2:$J$13,3,FALSE)</f>
        <v>20768</v>
      </c>
      <c r="BG80">
        <f>VLOOKUP(Grandview_Sales[[#This Row],[condition]],Lookups!$H$17:$J$24,3,FALSE)</f>
        <v>22342</v>
      </c>
      <c r="BH80">
        <f>Grandview_Sales[[#This Row],[Eff_Age]]*Lookups!$B$14</f>
        <v>-5022.4985999999999</v>
      </c>
      <c r="BI80">
        <f>Grandview_Sales[[#This Row],[living_area]]*Lookups!$B$15</f>
        <v>122640.756998</v>
      </c>
      <c r="BJ80">
        <f>Grandview_Sales[[#This Row],[Fin BSMT]]*Lookups!$B$16</f>
        <v>0</v>
      </c>
      <c r="BK80">
        <f>Grandview_Sales[[#This Row],[garage_sqft]]*Lookups!$B$17</f>
        <v>42009.809760000004</v>
      </c>
      <c r="BL80">
        <f>Grandview_Sales[[#This Row],[Plumbing Fixtures]]*Lookups!$B$18</f>
        <v>24125.301599999999</v>
      </c>
      <c r="BM80">
        <f>Grandview_Sales[[#This Row],[detatched_value]]*Lookups!$B$19</f>
        <v>0</v>
      </c>
      <c r="BN80">
        <f>Grandview_Sales[[#This Row],[days_prior]]*Lookups!$B$20</f>
        <v>-74368.131999999998</v>
      </c>
      <c r="BO80">
        <f>SUM(Grandview_Sales[[#This Row],[land_value]:[Days Prior To Assessment_value]])</f>
        <v>354024.69672727969</v>
      </c>
      <c r="BP80">
        <f>Grandview_Sales[[#This Row],[predicted_total]]/Grandview_Sales[[#This Row],[sale_price]]</f>
        <v>1.056790139484417</v>
      </c>
      <c r="BQ80">
        <f>VLOOKUP(Grandview_Sales[[#This Row],[quality]],Lookups!$A$26:$C$33,3,FALSE)</f>
        <v>0.94960540378902636</v>
      </c>
      <c r="BR80">
        <f>VLOOKUP(Grandview_Sales[[#This Row],[condition]],Lookups!$A$37:$C$44,3,FALSE)</f>
        <v>0.97383723671140243</v>
      </c>
      <c r="BS80">
        <f>VLOOKUP(Grandview_Sales[[#This Row],[decade]],Lookups!$F$29:$H$43,3,FALSE)</f>
        <v>0.96737494181490646</v>
      </c>
      <c r="BT80">
        <f>VLOOKUP(Grandview_Sales[[#This Row],[living_area_range]],Lookups!$F$47:$H$56,3,FALSE)</f>
        <v>0.96120133463014379</v>
      </c>
      <c r="BU80">
        <f>Grandview_Sales[[#This Row],[predicted_total]]*AVERAGE(Grandview_Sales[[#This Row],[qual_adj]:[size_adj]])</f>
        <v>340927.45721484185</v>
      </c>
      <c r="BV80">
        <f>Grandview_Sales[[#This Row],[final_total]]/Grandview_Sales[[#This Row],[sale_price]]</f>
        <v>1.0176939021338562</v>
      </c>
      <c r="BW80" s="6">
        <f>(Grandview_Sales[[#This Row],[final_total]]-Grandview_Sales[[#This Row],[sale_price]])^2</f>
        <v>35134749.033780724</v>
      </c>
      <c r="BX80" s="6">
        <f>(Grandview_Sales[[#This Row],[final_total]]-AVERAGE(Grandview_Sales[sale_price]))^2</f>
        <v>1153844526.8743539</v>
      </c>
      <c r="BY80" s="6">
        <f>Grandview_Sales[[#This Row],[SSE]]+Grandview_Sales[[#This Row],[SSR]]</f>
        <v>1188979275.9081347</v>
      </c>
      <c r="BZ80" s="4">
        <f>ABS(Grandview_Sales[[#This Row],[final_ratio]]-MEDIAN(Grandview_Sales[final_ratio]))</f>
        <v>1.6445182778044298E-2</v>
      </c>
    </row>
    <row r="81" spans="1:78" x14ac:dyDescent="0.25">
      <c r="A81">
        <v>23092332419</v>
      </c>
      <c r="B81">
        <v>0.25</v>
      </c>
      <c r="C81">
        <v>0</v>
      </c>
      <c r="D81">
        <v>0</v>
      </c>
      <c r="E81" t="s">
        <v>53</v>
      </c>
      <c r="F81" t="s">
        <v>53</v>
      </c>
      <c r="G81">
        <v>4</v>
      </c>
      <c r="H81" t="s">
        <v>54</v>
      </c>
      <c r="I81">
        <v>145900</v>
      </c>
      <c r="J81">
        <v>37700</v>
      </c>
      <c r="K81">
        <v>0.25</v>
      </c>
      <c r="L81">
        <v>-1.38629436112</v>
      </c>
      <c r="M81">
        <v>0</v>
      </c>
      <c r="N81">
        <v>0</v>
      </c>
      <c r="O81">
        <v>0</v>
      </c>
      <c r="P81">
        <v>13398.7528</v>
      </c>
      <c r="Q81">
        <v>63902.980100000001</v>
      </c>
      <c r="R81">
        <v>45328.364647321003</v>
      </c>
      <c r="S81" t="s">
        <v>68</v>
      </c>
      <c r="T81">
        <v>1</v>
      </c>
      <c r="U81" t="s">
        <v>70</v>
      </c>
      <c r="V81" t="s">
        <v>67</v>
      </c>
      <c r="W81">
        <v>0</v>
      </c>
      <c r="X81">
        <v>0</v>
      </c>
      <c r="Y81">
        <v>51</v>
      </c>
      <c r="Z81">
        <v>83</v>
      </c>
      <c r="AA81">
        <v>80</v>
      </c>
      <c r="AB81">
        <v>1000</v>
      </c>
      <c r="AC81">
        <v>803</v>
      </c>
      <c r="AD81">
        <v>803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5</v>
      </c>
      <c r="AM81">
        <v>0</v>
      </c>
      <c r="AN81">
        <v>0</v>
      </c>
      <c r="AO81" t="s">
        <v>58</v>
      </c>
      <c r="AP81">
        <v>1</v>
      </c>
      <c r="AQ81" t="s">
        <v>75</v>
      </c>
      <c r="AR81" t="s">
        <v>60</v>
      </c>
      <c r="AS81">
        <v>0</v>
      </c>
      <c r="AT81">
        <v>2</v>
      </c>
      <c r="AU81">
        <v>0</v>
      </c>
      <c r="AV81">
        <v>2300</v>
      </c>
      <c r="AW81">
        <v>100</v>
      </c>
      <c r="AX81" s="1">
        <v>44307</v>
      </c>
      <c r="AY81">
        <v>21600</v>
      </c>
      <c r="AZ81">
        <v>85101</v>
      </c>
      <c r="BA81">
        <v>106700</v>
      </c>
      <c r="BB81">
        <v>200000</v>
      </c>
      <c r="BC81">
        <v>620</v>
      </c>
      <c r="BD81">
        <f>Grandview_Sales[[#This Row],[land_extract]]*Lookups!$B$3</f>
        <v>52639.70747834933</v>
      </c>
      <c r="BE81">
        <f>Lookups!$B$2</f>
        <v>155833.95000000001</v>
      </c>
      <c r="BF81">
        <f>VLOOKUP(Grandview_Sales[[#This Row],[quality]],Lookups!$H$2:$J$13,3,FALSE)</f>
        <v>10733</v>
      </c>
      <c r="BG81">
        <f>VLOOKUP(Grandview_Sales[[#This Row],[condition]],Lookups!$H$17:$J$24,3,FALSE)</f>
        <v>22342</v>
      </c>
      <c r="BH81">
        <f>Grandview_Sales[[#This Row],[Eff_Age]]*Lookups!$B$14</f>
        <v>-12197.496599999999</v>
      </c>
      <c r="BI81">
        <f>Grandview_Sales[[#This Row],[living_area]]*Lookups!$B$15</f>
        <v>50091.824959000005</v>
      </c>
      <c r="BJ81">
        <f>Grandview_Sales[[#This Row],[Fin BSMT]]*Lookups!$B$16</f>
        <v>0</v>
      </c>
      <c r="BK81">
        <f>Grandview_Sales[[#This Row],[garage_sqft]]*Lookups!$B$17</f>
        <v>0</v>
      </c>
      <c r="BL81">
        <f>Grandview_Sales[[#This Row],[Plumbing Fixtures]]*Lookups!$B$18</f>
        <v>10052.209000000001</v>
      </c>
      <c r="BM81">
        <f>Grandview_Sales[[#This Row],[detatched_value]]*Lookups!$B$19</f>
        <v>1947.65173</v>
      </c>
      <c r="BN81">
        <f>Grandview_Sales[[#This Row],[days_prior]]*Lookups!$B$20</f>
        <v>-74368.131999999998</v>
      </c>
      <c r="BO81">
        <f>SUM(Grandview_Sales[[#This Row],[land_value]:[Days Prior To Assessment_value]])</f>
        <v>217074.71456734929</v>
      </c>
      <c r="BP81">
        <f>Grandview_Sales[[#This Row],[predicted_total]]/Grandview_Sales[[#This Row],[sale_price]]</f>
        <v>1.0853735728367464</v>
      </c>
      <c r="BQ81">
        <f>VLOOKUP(Grandview_Sales[[#This Row],[quality]],Lookups!$A$26:$C$33,3,FALSE)</f>
        <v>0.98079741117310582</v>
      </c>
      <c r="BR81">
        <f>VLOOKUP(Grandview_Sales[[#This Row],[condition]],Lookups!$A$37:$C$44,3,FALSE)</f>
        <v>0.97383723671140243</v>
      </c>
      <c r="BS81">
        <f>VLOOKUP(Grandview_Sales[[#This Row],[decade]],Lookups!$F$29:$H$43,3,FALSE)</f>
        <v>0.98763256963907298</v>
      </c>
      <c r="BT81">
        <f>VLOOKUP(Grandview_Sales[[#This Row],[living_area_range]],Lookups!$F$47:$H$56,3,FALSE)</f>
        <v>0.94306777142782894</v>
      </c>
      <c r="BU81">
        <f>Grandview_Sales[[#This Row],[predicted_total]]*AVERAGE(Grandview_Sales[[#This Row],[qual_adj]:[size_adj]])</f>
        <v>210851.99593129064</v>
      </c>
      <c r="BV81">
        <f>Grandview_Sales[[#This Row],[final_total]]/Grandview_Sales[[#This Row],[sale_price]]</f>
        <v>1.0542599796564531</v>
      </c>
      <c r="BW81" s="6">
        <f>(Grandview_Sales[[#This Row],[final_total]]-Grandview_Sales[[#This Row],[sale_price]])^2</f>
        <v>117765815.69274867</v>
      </c>
      <c r="BX81" s="6">
        <f>(Grandview_Sales[[#This Row],[final_total]]-AVERAGE(Grandview_Sales[sale_price]))^2</f>
        <v>9236588934.1696358</v>
      </c>
      <c r="BY81" s="6">
        <f>Grandview_Sales[[#This Row],[SSE]]+Grandview_Sales[[#This Row],[SSR]]</f>
        <v>9354354749.8623848</v>
      </c>
      <c r="BZ81" s="4">
        <f>ABS(Grandview_Sales[[#This Row],[final_ratio]]-MEDIAN(Grandview_Sales[final_ratio]))</f>
        <v>5.3011260300641183E-2</v>
      </c>
    </row>
    <row r="82" spans="1:78" x14ac:dyDescent="0.25">
      <c r="A82">
        <v>23092621422</v>
      </c>
      <c r="B82">
        <v>0</v>
      </c>
      <c r="C82">
        <v>8250</v>
      </c>
      <c r="D82">
        <v>0</v>
      </c>
      <c r="E82" t="s">
        <v>53</v>
      </c>
      <c r="F82" t="s">
        <v>53</v>
      </c>
      <c r="G82">
        <v>4</v>
      </c>
      <c r="H82" t="s">
        <v>54</v>
      </c>
      <c r="I82">
        <v>265500</v>
      </c>
      <c r="J82">
        <v>39100</v>
      </c>
      <c r="K82">
        <v>0.19</v>
      </c>
      <c r="L82">
        <v>-1.6607312068219999</v>
      </c>
      <c r="M82">
        <v>0</v>
      </c>
      <c r="N82">
        <v>0</v>
      </c>
      <c r="O82">
        <v>0</v>
      </c>
      <c r="P82">
        <v>13398.7528</v>
      </c>
      <c r="Q82">
        <v>63902.980100000001</v>
      </c>
      <c r="R82">
        <v>41651.253192550997</v>
      </c>
      <c r="S82" t="s">
        <v>55</v>
      </c>
      <c r="T82">
        <v>1</v>
      </c>
      <c r="U82" t="s">
        <v>62</v>
      </c>
      <c r="V82" t="s">
        <v>57</v>
      </c>
      <c r="W82">
        <v>0</v>
      </c>
      <c r="X82">
        <v>0</v>
      </c>
      <c r="Y82">
        <v>2</v>
      </c>
      <c r="Z82">
        <v>2</v>
      </c>
      <c r="AA82">
        <v>0</v>
      </c>
      <c r="AB82">
        <v>2000</v>
      </c>
      <c r="AC82">
        <v>1600</v>
      </c>
      <c r="AD82">
        <v>1600</v>
      </c>
      <c r="AE82">
        <v>0</v>
      </c>
      <c r="AF82">
        <v>0</v>
      </c>
      <c r="AG82">
        <v>0</v>
      </c>
      <c r="AH82">
        <v>400</v>
      </c>
      <c r="AI82">
        <v>0</v>
      </c>
      <c r="AJ82">
        <v>0</v>
      </c>
      <c r="AK82">
        <v>0</v>
      </c>
      <c r="AL82">
        <v>9</v>
      </c>
      <c r="AM82">
        <v>0</v>
      </c>
      <c r="AN82">
        <v>0</v>
      </c>
      <c r="AO82" t="s">
        <v>58</v>
      </c>
      <c r="AP82">
        <v>1</v>
      </c>
      <c r="AQ82" t="s">
        <v>63</v>
      </c>
      <c r="AR82" t="s">
        <v>64</v>
      </c>
      <c r="AS82">
        <v>1</v>
      </c>
      <c r="AT82">
        <v>3</v>
      </c>
      <c r="AU82">
        <v>0</v>
      </c>
      <c r="AV82">
        <v>0</v>
      </c>
      <c r="AW82">
        <v>100</v>
      </c>
      <c r="AX82" s="1">
        <v>44308</v>
      </c>
      <c r="AY82">
        <v>22400</v>
      </c>
      <c r="AZ82">
        <v>282110</v>
      </c>
      <c r="BA82">
        <v>304500</v>
      </c>
      <c r="BB82">
        <v>277470</v>
      </c>
      <c r="BC82">
        <v>619</v>
      </c>
      <c r="BD82">
        <f>Grandview_Sales[[#This Row],[land_extract]]*Lookups!$B$3</f>
        <v>48369.487874125851</v>
      </c>
      <c r="BE82">
        <f>Lookups!$B$2</f>
        <v>155833.95000000001</v>
      </c>
      <c r="BF82">
        <f>VLOOKUP(Grandview_Sales[[#This Row],[quality]],Lookups!$H$2:$J$13,3,FALSE)</f>
        <v>9808</v>
      </c>
      <c r="BG82">
        <f>VLOOKUP(Grandview_Sales[[#This Row],[condition]],Lookups!$H$17:$J$24,3,FALSE)</f>
        <v>25780</v>
      </c>
      <c r="BH82">
        <f>Grandview_Sales[[#This Row],[Eff_Age]]*Lookups!$B$14</f>
        <v>-478.33319999999998</v>
      </c>
      <c r="BI82">
        <f>Grandview_Sales[[#This Row],[living_area]]*Lookups!$B$15</f>
        <v>99809.36480000001</v>
      </c>
      <c r="BJ82">
        <f>Grandview_Sales[[#This Row],[Fin BSMT]]*Lookups!$B$16</f>
        <v>0</v>
      </c>
      <c r="BK82">
        <f>Grandview_Sales[[#This Row],[garage_sqft]]*Lookups!$B$17</f>
        <v>35008.174800000001</v>
      </c>
      <c r="BL82">
        <f>Grandview_Sales[[#This Row],[Plumbing Fixtures]]*Lookups!$B$18</f>
        <v>18093.976200000001</v>
      </c>
      <c r="BM82">
        <f>Grandview_Sales[[#This Row],[detatched_value]]*Lookups!$B$19</f>
        <v>0</v>
      </c>
      <c r="BN82">
        <f>Grandview_Sales[[#This Row],[days_prior]]*Lookups!$B$20</f>
        <v>-74248.183399999994</v>
      </c>
      <c r="BO82">
        <f>SUM(Grandview_Sales[[#This Row],[land_value]:[Days Prior To Assessment_value]])</f>
        <v>317976.43707412586</v>
      </c>
      <c r="BP82">
        <f>Grandview_Sales[[#This Row],[predicted_total]]/Grandview_Sales[[#This Row],[sale_price]]</f>
        <v>1.145984924763491</v>
      </c>
      <c r="BQ82">
        <f>VLOOKUP(Grandview_Sales[[#This Row],[quality]],Lookups!$A$26:$C$33,3,FALSE)</f>
        <v>0.94295468617355149</v>
      </c>
      <c r="BR82">
        <f>VLOOKUP(Grandview_Sales[[#This Row],[condition]],Lookups!$A$37:$C$44,3,FALSE)</f>
        <v>0.94347925387812148</v>
      </c>
      <c r="BS82">
        <f>VLOOKUP(Grandview_Sales[[#This Row],[decade]],Lookups!$F$29:$H$43,3,FALSE)</f>
        <v>0.9413635517371044</v>
      </c>
      <c r="BT82">
        <f>VLOOKUP(Grandview_Sales[[#This Row],[living_area_range]],Lookups!$F$47:$H$56,3,FALSE)</f>
        <v>0.96120133463014379</v>
      </c>
      <c r="BU82">
        <f>Grandview_Sales[[#This Row],[predicted_total]]*AVERAGE(Grandview_Sales[[#This Row],[qual_adj]:[size_adj]])</f>
        <v>301203.08672568318</v>
      </c>
      <c r="BV82">
        <f>Grandview_Sales[[#This Row],[final_total]]/Grandview_Sales[[#This Row],[sale_price]]</f>
        <v>1.0855338837556607</v>
      </c>
      <c r="BW82" s="6">
        <f>(Grandview_Sales[[#This Row],[final_total]]-Grandview_Sales[[#This Row],[sale_price]])^2</f>
        <v>563259405.52879941</v>
      </c>
      <c r="BX82" s="6">
        <f>(Grandview_Sales[[#This Row],[final_total]]-AVERAGE(Grandview_Sales[sale_price]))^2</f>
        <v>33132496.259781685</v>
      </c>
      <c r="BY82" s="6">
        <f>Grandview_Sales[[#This Row],[SSE]]+Grandview_Sales[[#This Row],[SSR]]</f>
        <v>596391901.78858113</v>
      </c>
      <c r="BZ82" s="4">
        <f>ABS(Grandview_Sales[[#This Row],[final_ratio]]-MEDIAN(Grandview_Sales[final_ratio]))</f>
        <v>8.4285164399848789E-2</v>
      </c>
    </row>
    <row r="83" spans="1:78" x14ac:dyDescent="0.25">
      <c r="A83">
        <v>23092621424</v>
      </c>
      <c r="B83">
        <v>0</v>
      </c>
      <c r="C83">
        <v>8605</v>
      </c>
      <c r="D83">
        <v>0</v>
      </c>
      <c r="E83" t="s">
        <v>53</v>
      </c>
      <c r="F83" t="s">
        <v>53</v>
      </c>
      <c r="G83">
        <v>4</v>
      </c>
      <c r="H83" t="s">
        <v>54</v>
      </c>
      <c r="I83">
        <v>265500</v>
      </c>
      <c r="J83">
        <v>39300</v>
      </c>
      <c r="K83">
        <v>0.2</v>
      </c>
      <c r="L83">
        <v>-1.6094379124339999</v>
      </c>
      <c r="M83">
        <v>0</v>
      </c>
      <c r="N83">
        <v>0</v>
      </c>
      <c r="O83">
        <v>0</v>
      </c>
      <c r="P83">
        <v>13398.7528</v>
      </c>
      <c r="Q83">
        <v>63902.980100000001</v>
      </c>
      <c r="R83">
        <v>42338.519364346997</v>
      </c>
      <c r="S83" t="s">
        <v>55</v>
      </c>
      <c r="T83">
        <v>1</v>
      </c>
      <c r="U83" t="s">
        <v>62</v>
      </c>
      <c r="V83" t="s">
        <v>57</v>
      </c>
      <c r="W83">
        <v>0</v>
      </c>
      <c r="X83">
        <v>0</v>
      </c>
      <c r="Y83">
        <v>2</v>
      </c>
      <c r="Z83">
        <v>2</v>
      </c>
      <c r="AA83">
        <v>0</v>
      </c>
      <c r="AB83">
        <v>2000</v>
      </c>
      <c r="AC83">
        <v>1600</v>
      </c>
      <c r="AD83">
        <v>1600</v>
      </c>
      <c r="AE83">
        <v>0</v>
      </c>
      <c r="AF83">
        <v>0</v>
      </c>
      <c r="AG83">
        <v>0</v>
      </c>
      <c r="AH83">
        <v>400</v>
      </c>
      <c r="AI83">
        <v>0</v>
      </c>
      <c r="AJ83">
        <v>0</v>
      </c>
      <c r="AK83">
        <v>0</v>
      </c>
      <c r="AL83">
        <v>9</v>
      </c>
      <c r="AM83">
        <v>0</v>
      </c>
      <c r="AN83">
        <v>0</v>
      </c>
      <c r="AO83" t="s">
        <v>58</v>
      </c>
      <c r="AP83">
        <v>1</v>
      </c>
      <c r="AQ83" t="s">
        <v>63</v>
      </c>
      <c r="AR83" t="s">
        <v>64</v>
      </c>
      <c r="AS83">
        <v>1</v>
      </c>
      <c r="AT83">
        <v>3</v>
      </c>
      <c r="AU83">
        <v>0</v>
      </c>
      <c r="AV83">
        <v>0</v>
      </c>
      <c r="AW83">
        <v>100</v>
      </c>
      <c r="AX83" s="1">
        <v>44312</v>
      </c>
      <c r="AY83">
        <v>22500</v>
      </c>
      <c r="AZ83">
        <v>282110</v>
      </c>
      <c r="BA83">
        <v>304600</v>
      </c>
      <c r="BB83">
        <v>285231</v>
      </c>
      <c r="BC83">
        <v>615</v>
      </c>
      <c r="BD83">
        <f>Grandview_Sales[[#This Row],[land_extract]]*Lookups!$B$3</f>
        <v>49167.608223813884</v>
      </c>
      <c r="BE83">
        <f>Lookups!$B$2</f>
        <v>155833.95000000001</v>
      </c>
      <c r="BF83">
        <f>VLOOKUP(Grandview_Sales[[#This Row],[quality]],Lookups!$H$2:$J$13,3,FALSE)</f>
        <v>9808</v>
      </c>
      <c r="BG83">
        <f>VLOOKUP(Grandview_Sales[[#This Row],[condition]],Lookups!$H$17:$J$24,3,FALSE)</f>
        <v>25780</v>
      </c>
      <c r="BH83">
        <f>Grandview_Sales[[#This Row],[Eff_Age]]*Lookups!$B$14</f>
        <v>-478.33319999999998</v>
      </c>
      <c r="BI83">
        <f>Grandview_Sales[[#This Row],[living_area]]*Lookups!$B$15</f>
        <v>99809.36480000001</v>
      </c>
      <c r="BJ83">
        <f>Grandview_Sales[[#This Row],[Fin BSMT]]*Lookups!$B$16</f>
        <v>0</v>
      </c>
      <c r="BK83">
        <f>Grandview_Sales[[#This Row],[garage_sqft]]*Lookups!$B$17</f>
        <v>35008.174800000001</v>
      </c>
      <c r="BL83">
        <f>Grandview_Sales[[#This Row],[Plumbing Fixtures]]*Lookups!$B$18</f>
        <v>18093.976200000001</v>
      </c>
      <c r="BM83">
        <f>Grandview_Sales[[#This Row],[detatched_value]]*Lookups!$B$19</f>
        <v>0</v>
      </c>
      <c r="BN83">
        <f>Grandview_Sales[[#This Row],[days_prior]]*Lookups!$B$20</f>
        <v>-73768.388999999996</v>
      </c>
      <c r="BO83">
        <f>SUM(Grandview_Sales[[#This Row],[land_value]:[Days Prior To Assessment_value]])</f>
        <v>319254.35182381386</v>
      </c>
      <c r="BP83">
        <f>Grandview_Sales[[#This Row],[predicted_total]]/Grandview_Sales[[#This Row],[sale_price]]</f>
        <v>1.119283499422622</v>
      </c>
      <c r="BQ83">
        <f>VLOOKUP(Grandview_Sales[[#This Row],[quality]],Lookups!$A$26:$C$33,3,FALSE)</f>
        <v>0.94295468617355149</v>
      </c>
      <c r="BR83">
        <f>VLOOKUP(Grandview_Sales[[#This Row],[condition]],Lookups!$A$37:$C$44,3,FALSE)</f>
        <v>0.94347925387812148</v>
      </c>
      <c r="BS83">
        <f>VLOOKUP(Grandview_Sales[[#This Row],[decade]],Lookups!$F$29:$H$43,3,FALSE)</f>
        <v>0.9413635517371044</v>
      </c>
      <c r="BT83">
        <f>VLOOKUP(Grandview_Sales[[#This Row],[living_area_range]],Lookups!$F$47:$H$56,3,FALSE)</f>
        <v>0.96120133463014379</v>
      </c>
      <c r="BU83">
        <f>Grandview_Sales[[#This Row],[predicted_total]]*AVERAGE(Grandview_Sales[[#This Row],[qual_adj]:[size_adj]])</f>
        <v>302413.59109739104</v>
      </c>
      <c r="BV83">
        <f>Grandview_Sales[[#This Row],[final_total]]/Grandview_Sales[[#This Row],[sale_price]]</f>
        <v>1.0602409664355945</v>
      </c>
      <c r="BW83" s="6">
        <f>(Grandview_Sales[[#This Row],[final_total]]-Grandview_Sales[[#This Row],[sale_price]])^2</f>
        <v>295241436.82014167</v>
      </c>
      <c r="BX83" s="6">
        <f>(Grandview_Sales[[#This Row],[final_total]]-AVERAGE(Grandview_Sales[sale_price]))^2</f>
        <v>20662288.822504424</v>
      </c>
      <c r="BY83" s="6">
        <f>Grandview_Sales[[#This Row],[SSE]]+Grandview_Sales[[#This Row],[SSR]]</f>
        <v>315903725.64264607</v>
      </c>
      <c r="BZ83" s="4">
        <f>ABS(Grandview_Sales[[#This Row],[final_ratio]]-MEDIAN(Grandview_Sales[final_ratio]))</f>
        <v>5.8992247079782567E-2</v>
      </c>
    </row>
    <row r="84" spans="1:78" x14ac:dyDescent="0.25">
      <c r="A84">
        <v>23092621402</v>
      </c>
      <c r="B84">
        <v>0</v>
      </c>
      <c r="C84">
        <v>10920</v>
      </c>
      <c r="D84">
        <v>0</v>
      </c>
      <c r="E84" t="s">
        <v>53</v>
      </c>
      <c r="F84" t="s">
        <v>53</v>
      </c>
      <c r="G84">
        <v>4</v>
      </c>
      <c r="H84" t="s">
        <v>54</v>
      </c>
      <c r="I84">
        <v>300500</v>
      </c>
      <c r="J84">
        <v>40000</v>
      </c>
      <c r="K84">
        <v>0.25</v>
      </c>
      <c r="L84">
        <v>-1.38629436112</v>
      </c>
      <c r="M84">
        <v>0</v>
      </c>
      <c r="N84">
        <v>0</v>
      </c>
      <c r="O84">
        <v>0</v>
      </c>
      <c r="P84">
        <v>13398.7528</v>
      </c>
      <c r="Q84">
        <v>63902.980100000001</v>
      </c>
      <c r="R84">
        <v>45328.364647321003</v>
      </c>
      <c r="S84" t="s">
        <v>55</v>
      </c>
      <c r="T84">
        <v>1</v>
      </c>
      <c r="U84" t="s">
        <v>62</v>
      </c>
      <c r="V84" t="s">
        <v>57</v>
      </c>
      <c r="W84">
        <v>0</v>
      </c>
      <c r="X84">
        <v>0</v>
      </c>
      <c r="Y84">
        <v>2</v>
      </c>
      <c r="Z84">
        <v>2</v>
      </c>
      <c r="AA84">
        <v>0</v>
      </c>
      <c r="AB84">
        <v>2500</v>
      </c>
      <c r="AC84">
        <v>2043</v>
      </c>
      <c r="AD84">
        <v>2043</v>
      </c>
      <c r="AE84">
        <v>0</v>
      </c>
      <c r="AF84">
        <v>0</v>
      </c>
      <c r="AG84">
        <v>0</v>
      </c>
      <c r="AH84">
        <v>578</v>
      </c>
      <c r="AI84">
        <v>0</v>
      </c>
      <c r="AJ84">
        <v>0</v>
      </c>
      <c r="AK84">
        <v>0</v>
      </c>
      <c r="AL84">
        <v>9</v>
      </c>
      <c r="AM84">
        <v>0</v>
      </c>
      <c r="AN84">
        <v>0</v>
      </c>
      <c r="AO84" t="s">
        <v>58</v>
      </c>
      <c r="AP84">
        <v>1</v>
      </c>
      <c r="AQ84" t="s">
        <v>63</v>
      </c>
      <c r="AR84" t="s">
        <v>64</v>
      </c>
      <c r="AS84">
        <v>1</v>
      </c>
      <c r="AT84">
        <v>3</v>
      </c>
      <c r="AU84">
        <v>0</v>
      </c>
      <c r="AV84">
        <v>0</v>
      </c>
      <c r="AW84">
        <v>100</v>
      </c>
      <c r="AX84" s="1">
        <v>44313</v>
      </c>
      <c r="AY84">
        <v>22900</v>
      </c>
      <c r="AZ84">
        <v>339352</v>
      </c>
      <c r="BA84">
        <v>362300</v>
      </c>
      <c r="BB84">
        <v>334800</v>
      </c>
      <c r="BC84">
        <v>614</v>
      </c>
      <c r="BD84">
        <f>Grandview_Sales[[#This Row],[land_extract]]*Lookups!$B$3</f>
        <v>52639.70747834933</v>
      </c>
      <c r="BE84">
        <f>Lookups!$B$2</f>
        <v>155833.95000000001</v>
      </c>
      <c r="BF84">
        <f>VLOOKUP(Grandview_Sales[[#This Row],[quality]],Lookups!$H$2:$J$13,3,FALSE)</f>
        <v>9808</v>
      </c>
      <c r="BG84">
        <f>VLOOKUP(Grandview_Sales[[#This Row],[condition]],Lookups!$H$17:$J$24,3,FALSE)</f>
        <v>25780</v>
      </c>
      <c r="BH84">
        <f>Grandview_Sales[[#This Row],[Eff_Age]]*Lookups!$B$14</f>
        <v>-478.33319999999998</v>
      </c>
      <c r="BI84">
        <f>Grandview_Sales[[#This Row],[living_area]]*Lookups!$B$15</f>
        <v>127444.082679</v>
      </c>
      <c r="BJ84">
        <f>Grandview_Sales[[#This Row],[Fin BSMT]]*Lookups!$B$16</f>
        <v>0</v>
      </c>
      <c r="BK84">
        <f>Grandview_Sales[[#This Row],[garage_sqft]]*Lookups!$B$17</f>
        <v>50586.812586</v>
      </c>
      <c r="BL84">
        <f>Grandview_Sales[[#This Row],[Plumbing Fixtures]]*Lookups!$B$18</f>
        <v>18093.976200000001</v>
      </c>
      <c r="BM84">
        <f>Grandview_Sales[[#This Row],[detatched_value]]*Lookups!$B$19</f>
        <v>0</v>
      </c>
      <c r="BN84">
        <f>Grandview_Sales[[#This Row],[days_prior]]*Lookups!$B$20</f>
        <v>-73648.440399999992</v>
      </c>
      <c r="BO84">
        <f>SUM(Grandview_Sales[[#This Row],[land_value]:[Days Prior To Assessment_value]])</f>
        <v>366059.7553433493</v>
      </c>
      <c r="BP84">
        <f>Grandview_Sales[[#This Row],[predicted_total]]/Grandview_Sales[[#This Row],[sale_price]]</f>
        <v>1.0933684448726084</v>
      </c>
      <c r="BQ84">
        <f>VLOOKUP(Grandview_Sales[[#This Row],[quality]],Lookups!$A$26:$C$33,3,FALSE)</f>
        <v>0.94295468617355149</v>
      </c>
      <c r="BR84">
        <f>VLOOKUP(Grandview_Sales[[#This Row],[condition]],Lookups!$A$37:$C$44,3,FALSE)</f>
        <v>0.94347925387812148</v>
      </c>
      <c r="BS84">
        <f>VLOOKUP(Grandview_Sales[[#This Row],[decade]],Lookups!$F$29:$H$43,3,FALSE)</f>
        <v>0.9413635517371044</v>
      </c>
      <c r="BT84">
        <f>VLOOKUP(Grandview_Sales[[#This Row],[living_area_range]],Lookups!$F$47:$H$56,3,FALSE)</f>
        <v>0.95799442568048754</v>
      </c>
      <c r="BU84">
        <f>Grandview_Sales[[#This Row],[predicted_total]]*AVERAGE(Grandview_Sales[[#This Row],[qual_adj]:[size_adj]])</f>
        <v>346456.51577240706</v>
      </c>
      <c r="BV84">
        <f>Grandview_Sales[[#This Row],[final_total]]/Grandview_Sales[[#This Row],[sale_price]]</f>
        <v>1.0348163553536651</v>
      </c>
      <c r="BW84" s="6">
        <f>(Grandview_Sales[[#This Row],[final_total]]-Grandview_Sales[[#This Row],[sale_price]])^2</f>
        <v>135874359.95237455</v>
      </c>
      <c r="BX84" s="6">
        <f>(Grandview_Sales[[#This Row],[final_total]]-AVERAGE(Grandview_Sales[sale_price]))^2</f>
        <v>1560040312.0935979</v>
      </c>
      <c r="BY84" s="6">
        <f>Grandview_Sales[[#This Row],[SSE]]+Grandview_Sales[[#This Row],[SSR]]</f>
        <v>1695914672.0459723</v>
      </c>
      <c r="BZ84" s="4">
        <f>ABS(Grandview_Sales[[#This Row],[final_ratio]]-MEDIAN(Grandview_Sales[final_ratio]))</f>
        <v>3.3567635997853174E-2</v>
      </c>
    </row>
    <row r="85" spans="1:78" x14ac:dyDescent="0.25">
      <c r="A85">
        <v>23092242481</v>
      </c>
      <c r="B85">
        <v>0.2</v>
      </c>
      <c r="C85">
        <v>8501</v>
      </c>
      <c r="D85">
        <v>0</v>
      </c>
      <c r="E85" t="s">
        <v>53</v>
      </c>
      <c r="F85" t="s">
        <v>53</v>
      </c>
      <c r="G85">
        <v>4</v>
      </c>
      <c r="H85" t="s">
        <v>54</v>
      </c>
      <c r="I85">
        <v>272800</v>
      </c>
      <c r="J85">
        <v>43500</v>
      </c>
      <c r="K85">
        <v>0.2</v>
      </c>
      <c r="L85">
        <v>-1.6094379124339999</v>
      </c>
      <c r="M85">
        <v>0</v>
      </c>
      <c r="N85">
        <v>0</v>
      </c>
      <c r="O85">
        <v>0</v>
      </c>
      <c r="P85">
        <v>13398.7528</v>
      </c>
      <c r="Q85">
        <v>63902.980100000001</v>
      </c>
      <c r="R85">
        <v>42338.519364346997</v>
      </c>
      <c r="S85" t="s">
        <v>58</v>
      </c>
      <c r="T85">
        <v>1</v>
      </c>
      <c r="U85" t="s">
        <v>64</v>
      </c>
      <c r="V85" t="s">
        <v>67</v>
      </c>
      <c r="W85">
        <v>0</v>
      </c>
      <c r="X85">
        <v>0</v>
      </c>
      <c r="Y85">
        <v>17</v>
      </c>
      <c r="Z85">
        <v>17</v>
      </c>
      <c r="AA85">
        <v>20</v>
      </c>
      <c r="AB85">
        <v>2000</v>
      </c>
      <c r="AC85">
        <v>1821</v>
      </c>
      <c r="AD85">
        <v>1821</v>
      </c>
      <c r="AE85">
        <v>0</v>
      </c>
      <c r="AF85">
        <v>0</v>
      </c>
      <c r="AG85">
        <v>0</v>
      </c>
      <c r="AH85">
        <v>520</v>
      </c>
      <c r="AI85">
        <v>0</v>
      </c>
      <c r="AJ85">
        <v>0</v>
      </c>
      <c r="AK85">
        <v>0</v>
      </c>
      <c r="AL85">
        <v>10</v>
      </c>
      <c r="AM85">
        <v>0</v>
      </c>
      <c r="AN85">
        <v>0</v>
      </c>
      <c r="AO85" t="s">
        <v>58</v>
      </c>
      <c r="AP85">
        <v>1</v>
      </c>
      <c r="AQ85" t="s">
        <v>59</v>
      </c>
      <c r="AR85" t="s">
        <v>64</v>
      </c>
      <c r="AS85">
        <v>1</v>
      </c>
      <c r="AT85">
        <v>3</v>
      </c>
      <c r="AU85">
        <v>0</v>
      </c>
      <c r="AV85">
        <v>0</v>
      </c>
      <c r="AW85">
        <v>100</v>
      </c>
      <c r="AX85" s="1">
        <v>44313</v>
      </c>
      <c r="AY85">
        <v>24900</v>
      </c>
      <c r="AZ85">
        <v>339487</v>
      </c>
      <c r="BA85">
        <v>364400</v>
      </c>
      <c r="BB85">
        <v>320000</v>
      </c>
      <c r="BC85">
        <v>614</v>
      </c>
      <c r="BD85">
        <f>Grandview_Sales[[#This Row],[land_extract]]*Lookups!$B$3</f>
        <v>49167.608223813884</v>
      </c>
      <c r="BE85">
        <f>Lookups!$B$2</f>
        <v>155833.95000000001</v>
      </c>
      <c r="BF85">
        <f>VLOOKUP(Grandview_Sales[[#This Row],[quality]],Lookups!$H$2:$J$13,3,FALSE)</f>
        <v>20768</v>
      </c>
      <c r="BG85">
        <f>VLOOKUP(Grandview_Sales[[#This Row],[condition]],Lookups!$H$17:$J$24,3,FALSE)</f>
        <v>22342</v>
      </c>
      <c r="BH85">
        <f>Grandview_Sales[[#This Row],[Eff_Age]]*Lookups!$B$14</f>
        <v>-4065.8321999999998</v>
      </c>
      <c r="BI85">
        <f>Grandview_Sales[[#This Row],[living_area]]*Lookups!$B$15</f>
        <v>113595.53331300001</v>
      </c>
      <c r="BJ85">
        <f>Grandview_Sales[[#This Row],[Fin BSMT]]*Lookups!$B$16</f>
        <v>0</v>
      </c>
      <c r="BK85">
        <f>Grandview_Sales[[#This Row],[garage_sqft]]*Lookups!$B$17</f>
        <v>45510.627240000002</v>
      </c>
      <c r="BL85">
        <f>Grandview_Sales[[#This Row],[Plumbing Fixtures]]*Lookups!$B$18</f>
        <v>20104.418000000001</v>
      </c>
      <c r="BM85">
        <f>Grandview_Sales[[#This Row],[detatched_value]]*Lookups!$B$19</f>
        <v>0</v>
      </c>
      <c r="BN85">
        <f>Grandview_Sales[[#This Row],[days_prior]]*Lookups!$B$20</f>
        <v>-73648.440399999992</v>
      </c>
      <c r="BO85">
        <f>SUM(Grandview_Sales[[#This Row],[land_value]:[Days Prior To Assessment_value]])</f>
        <v>349607.86417681386</v>
      </c>
      <c r="BP85">
        <f>Grandview_Sales[[#This Row],[predicted_total]]/Grandview_Sales[[#This Row],[sale_price]]</f>
        <v>1.0925245755525432</v>
      </c>
      <c r="BQ85">
        <f>VLOOKUP(Grandview_Sales[[#This Row],[quality]],Lookups!$A$26:$C$33,3,FALSE)</f>
        <v>0.94960540378902636</v>
      </c>
      <c r="BR85">
        <f>VLOOKUP(Grandview_Sales[[#This Row],[condition]],Lookups!$A$37:$C$44,3,FALSE)</f>
        <v>0.97383723671140243</v>
      </c>
      <c r="BS85">
        <f>VLOOKUP(Grandview_Sales[[#This Row],[decade]],Lookups!$F$29:$H$43,3,FALSE)</f>
        <v>0.96737494181490646</v>
      </c>
      <c r="BT85">
        <f>VLOOKUP(Grandview_Sales[[#This Row],[living_area_range]],Lookups!$F$47:$H$56,3,FALSE)</f>
        <v>0.96120133463014379</v>
      </c>
      <c r="BU85">
        <f>Grandview_Sales[[#This Row],[predicted_total]]*AVERAGE(Grandview_Sales[[#This Row],[qual_adj]:[size_adj]])</f>
        <v>336674.02658049815</v>
      </c>
      <c r="BV85">
        <f>Grandview_Sales[[#This Row],[final_total]]/Grandview_Sales[[#This Row],[sale_price]]</f>
        <v>1.0521063330640568</v>
      </c>
      <c r="BW85" s="6">
        <f>(Grandview_Sales[[#This Row],[final_total]]-Grandview_Sales[[#This Row],[sale_price]])^2</f>
        <v>278023162.40715873</v>
      </c>
      <c r="BX85" s="6">
        <f>(Grandview_Sales[[#This Row],[final_total]]-AVERAGE(Grandview_Sales[sale_price]))^2</f>
        <v>882972693.3454479</v>
      </c>
      <c r="BY85" s="6">
        <f>Grandview_Sales[[#This Row],[SSE]]+Grandview_Sales[[#This Row],[SSR]]</f>
        <v>1160995855.7526066</v>
      </c>
      <c r="BZ85" s="4">
        <f>ABS(Grandview_Sales[[#This Row],[final_ratio]]-MEDIAN(Grandview_Sales[final_ratio]))</f>
        <v>5.085761370824482E-2</v>
      </c>
    </row>
    <row r="86" spans="1:78" x14ac:dyDescent="0.25">
      <c r="A86">
        <v>23092323402</v>
      </c>
      <c r="B86">
        <v>0.34</v>
      </c>
      <c r="C86">
        <v>15028</v>
      </c>
      <c r="D86">
        <v>0</v>
      </c>
      <c r="E86" t="s">
        <v>53</v>
      </c>
      <c r="F86" t="s">
        <v>53</v>
      </c>
      <c r="G86">
        <v>4</v>
      </c>
      <c r="H86" t="s">
        <v>54</v>
      </c>
      <c r="I86">
        <v>220300</v>
      </c>
      <c r="J86">
        <v>41800</v>
      </c>
      <c r="K86">
        <v>0.34</v>
      </c>
      <c r="L86">
        <v>-1.078809661372</v>
      </c>
      <c r="M86">
        <v>0</v>
      </c>
      <c r="N86">
        <v>0</v>
      </c>
      <c r="O86">
        <v>0</v>
      </c>
      <c r="P86">
        <v>13398.7528</v>
      </c>
      <c r="Q86">
        <v>63902.980100000001</v>
      </c>
      <c r="R86">
        <v>49448.276129026002</v>
      </c>
      <c r="S86" t="s">
        <v>68</v>
      </c>
      <c r="T86">
        <v>1</v>
      </c>
      <c r="U86" t="s">
        <v>70</v>
      </c>
      <c r="V86" t="s">
        <v>67</v>
      </c>
      <c r="W86">
        <v>0</v>
      </c>
      <c r="X86">
        <v>0</v>
      </c>
      <c r="Y86">
        <v>53</v>
      </c>
      <c r="Z86">
        <v>93</v>
      </c>
      <c r="AA86">
        <v>90</v>
      </c>
      <c r="AB86">
        <v>1500</v>
      </c>
      <c r="AC86">
        <v>1348</v>
      </c>
      <c r="AD86">
        <v>1348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8</v>
      </c>
      <c r="AM86">
        <v>0</v>
      </c>
      <c r="AN86">
        <v>0</v>
      </c>
      <c r="AO86" t="s">
        <v>58</v>
      </c>
      <c r="AP86">
        <v>1</v>
      </c>
      <c r="AQ86" t="s">
        <v>75</v>
      </c>
      <c r="AR86" t="s">
        <v>60</v>
      </c>
      <c r="AS86">
        <v>0</v>
      </c>
      <c r="AT86">
        <v>3</v>
      </c>
      <c r="AU86">
        <v>0</v>
      </c>
      <c r="AV86">
        <v>41300</v>
      </c>
      <c r="AW86">
        <v>100</v>
      </c>
      <c r="AX86" s="1">
        <v>44314</v>
      </c>
      <c r="AY86">
        <v>23900</v>
      </c>
      <c r="AZ86">
        <v>174772</v>
      </c>
      <c r="BA86">
        <v>198700</v>
      </c>
      <c r="BB86">
        <v>304800</v>
      </c>
      <c r="BC86">
        <v>613</v>
      </c>
      <c r="BD86">
        <f>Grandview_Sales[[#This Row],[land_extract]]*Lookups!$B$3</f>
        <v>57424.149558292345</v>
      </c>
      <c r="BE86">
        <f>Lookups!$B$2</f>
        <v>155833.95000000001</v>
      </c>
      <c r="BF86">
        <f>VLOOKUP(Grandview_Sales[[#This Row],[quality]],Lookups!$H$2:$J$13,3,FALSE)</f>
        <v>10733</v>
      </c>
      <c r="BG86">
        <f>VLOOKUP(Grandview_Sales[[#This Row],[condition]],Lookups!$H$17:$J$24,3,FALSE)</f>
        <v>22342</v>
      </c>
      <c r="BH86">
        <f>Grandview_Sales[[#This Row],[Eff_Age]]*Lookups!$B$14</f>
        <v>-12675.8298</v>
      </c>
      <c r="BI86">
        <f>Grandview_Sales[[#This Row],[living_area]]*Lookups!$B$15</f>
        <v>84089.389844000005</v>
      </c>
      <c r="BJ86">
        <f>Grandview_Sales[[#This Row],[Fin BSMT]]*Lookups!$B$16</f>
        <v>0</v>
      </c>
      <c r="BK86">
        <f>Grandview_Sales[[#This Row],[garage_sqft]]*Lookups!$B$17</f>
        <v>0</v>
      </c>
      <c r="BL86">
        <f>Grandview_Sales[[#This Row],[Plumbing Fixtures]]*Lookups!$B$18</f>
        <v>16083.5344</v>
      </c>
      <c r="BM86">
        <f>Grandview_Sales[[#This Row],[detatched_value]]*Lookups!$B$19</f>
        <v>34973.050629999998</v>
      </c>
      <c r="BN86">
        <f>Grandview_Sales[[#This Row],[days_prior]]*Lookups!$B$20</f>
        <v>-73528.491800000003</v>
      </c>
      <c r="BO86">
        <f>SUM(Grandview_Sales[[#This Row],[land_value]:[Days Prior To Assessment_value]])</f>
        <v>295274.75283229235</v>
      </c>
      <c r="BP86">
        <f>Grandview_Sales[[#This Row],[predicted_total]]/Grandview_Sales[[#This Row],[sale_price]]</f>
        <v>0.96874918908232399</v>
      </c>
      <c r="BQ86">
        <f>VLOOKUP(Grandview_Sales[[#This Row],[quality]],Lookups!$A$26:$C$33,3,FALSE)</f>
        <v>0.98079741117310582</v>
      </c>
      <c r="BR86">
        <f>VLOOKUP(Grandview_Sales[[#This Row],[condition]],Lookups!$A$37:$C$44,3,FALSE)</f>
        <v>0.97383723671140243</v>
      </c>
      <c r="BS86">
        <f>VLOOKUP(Grandview_Sales[[#This Row],[decade]],Lookups!$F$29:$H$43,3,FALSE)</f>
        <v>0.94161750052457416</v>
      </c>
      <c r="BT86">
        <f>VLOOKUP(Grandview_Sales[[#This Row],[living_area_range]],Lookups!$F$47:$H$56,3,FALSE)</f>
        <v>0.96135087979789358</v>
      </c>
      <c r="BU86">
        <f>Grandview_Sales[[#This Row],[predicted_total]]*AVERAGE(Grandview_Sales[[#This Row],[qual_adj]:[size_adj]])</f>
        <v>284763.19516972936</v>
      </c>
      <c r="BV86">
        <f>Grandview_Sales[[#This Row],[final_total]]/Grandview_Sales[[#This Row],[sale_price]]</f>
        <v>0.93426245134425645</v>
      </c>
      <c r="BW86" s="6">
        <f>(Grandview_Sales[[#This Row],[final_total]]-Grandview_Sales[[#This Row],[sale_price]])^2</f>
        <v>401473547.80635703</v>
      </c>
      <c r="BX86" s="6">
        <f>(Grandview_Sales[[#This Row],[final_total]]-AVERAGE(Grandview_Sales[sale_price]))^2</f>
        <v>492661304.83155596</v>
      </c>
      <c r="BY86" s="6">
        <f>Grandview_Sales[[#This Row],[SSE]]+Grandview_Sales[[#This Row],[SSR]]</f>
        <v>894134852.63791299</v>
      </c>
      <c r="BZ86" s="4">
        <f>ABS(Grandview_Sales[[#This Row],[final_ratio]]-MEDIAN(Grandview_Sales[final_ratio]))</f>
        <v>6.6986268011555494E-2</v>
      </c>
    </row>
    <row r="87" spans="1:78" x14ac:dyDescent="0.25">
      <c r="A87">
        <v>23092811413</v>
      </c>
      <c r="B87">
        <v>1.64</v>
      </c>
      <c r="C87">
        <v>71547</v>
      </c>
      <c r="D87">
        <v>0</v>
      </c>
      <c r="E87" t="s">
        <v>53</v>
      </c>
      <c r="F87" t="s">
        <v>53</v>
      </c>
      <c r="G87">
        <v>4</v>
      </c>
      <c r="H87" t="s">
        <v>54</v>
      </c>
      <c r="I87">
        <v>123400</v>
      </c>
      <c r="J87">
        <v>45600</v>
      </c>
      <c r="K87">
        <v>1.64</v>
      </c>
      <c r="L87">
        <v>0.4946962418361</v>
      </c>
      <c r="M87">
        <v>0</v>
      </c>
      <c r="N87">
        <v>0</v>
      </c>
      <c r="O87">
        <v>0</v>
      </c>
      <c r="P87">
        <v>13398.7528</v>
      </c>
      <c r="Q87">
        <v>63902.980100000001</v>
      </c>
      <c r="R87">
        <v>70531.292755450995</v>
      </c>
      <c r="S87" t="s">
        <v>68</v>
      </c>
      <c r="T87">
        <v>1</v>
      </c>
      <c r="U87" t="s">
        <v>80</v>
      </c>
      <c r="V87" t="s">
        <v>69</v>
      </c>
      <c r="W87">
        <v>0</v>
      </c>
      <c r="X87">
        <v>0</v>
      </c>
      <c r="Y87">
        <v>57</v>
      </c>
      <c r="Z87">
        <v>103</v>
      </c>
      <c r="AA87">
        <v>100</v>
      </c>
      <c r="AB87">
        <v>2000</v>
      </c>
      <c r="AC87">
        <v>1560</v>
      </c>
      <c r="AD87">
        <v>1008</v>
      </c>
      <c r="AE87">
        <v>0</v>
      </c>
      <c r="AF87">
        <v>552</v>
      </c>
      <c r="AG87">
        <v>276</v>
      </c>
      <c r="AH87">
        <v>180</v>
      </c>
      <c r="AI87">
        <v>0</v>
      </c>
      <c r="AJ87">
        <v>0</v>
      </c>
      <c r="AK87">
        <v>0</v>
      </c>
      <c r="AL87">
        <v>7</v>
      </c>
      <c r="AM87">
        <v>0</v>
      </c>
      <c r="AN87">
        <v>0</v>
      </c>
      <c r="AO87" t="s">
        <v>58</v>
      </c>
      <c r="AP87">
        <v>1</v>
      </c>
      <c r="AQ87" t="s">
        <v>75</v>
      </c>
      <c r="AR87" t="s">
        <v>60</v>
      </c>
      <c r="AS87">
        <v>0</v>
      </c>
      <c r="AT87">
        <v>2</v>
      </c>
      <c r="AU87">
        <v>0</v>
      </c>
      <c r="AV87">
        <v>0</v>
      </c>
      <c r="AW87">
        <v>100</v>
      </c>
      <c r="AX87" s="1">
        <v>44314</v>
      </c>
      <c r="AY87">
        <v>26100</v>
      </c>
      <c r="AZ87">
        <v>112997</v>
      </c>
      <c r="BA87">
        <v>139100</v>
      </c>
      <c r="BB87">
        <v>215000</v>
      </c>
      <c r="BC87">
        <v>613</v>
      </c>
      <c r="BD87">
        <f>Grandview_Sales[[#This Row],[land_extract]]*Lookups!$B$3</f>
        <v>81907.799842414795</v>
      </c>
      <c r="BE87">
        <f>Lookups!$B$2</f>
        <v>155833.95000000001</v>
      </c>
      <c r="BF87">
        <f>VLOOKUP(Grandview_Sales[[#This Row],[quality]],Lookups!$H$2:$J$13,3,FALSE)</f>
        <v>-28558</v>
      </c>
      <c r="BG87">
        <f>VLOOKUP(Grandview_Sales[[#This Row],[condition]],Lookups!$H$17:$J$24,3,FALSE)</f>
        <v>-4503</v>
      </c>
      <c r="BH87">
        <f>Grandview_Sales[[#This Row],[Eff_Age]]*Lookups!$B$14</f>
        <v>-13632.4962</v>
      </c>
      <c r="BI87">
        <f>Grandview_Sales[[#This Row],[living_area]]*Lookups!$B$15</f>
        <v>97314.130680000002</v>
      </c>
      <c r="BJ87">
        <f>Grandview_Sales[[#This Row],[Fin BSMT]]*Lookups!$B$16</f>
        <v>-14958.780480000001</v>
      </c>
      <c r="BK87">
        <f>Grandview_Sales[[#This Row],[garage_sqft]]*Lookups!$B$17</f>
        <v>15753.67866</v>
      </c>
      <c r="BL87">
        <f>Grandview_Sales[[#This Row],[Plumbing Fixtures]]*Lookups!$B$18</f>
        <v>14073.0926</v>
      </c>
      <c r="BM87">
        <f>Grandview_Sales[[#This Row],[detatched_value]]*Lookups!$B$19</f>
        <v>0</v>
      </c>
      <c r="BN87">
        <f>Grandview_Sales[[#This Row],[days_prior]]*Lookups!$B$20</f>
        <v>-73528.491800000003</v>
      </c>
      <c r="BO87">
        <f>SUM(Grandview_Sales[[#This Row],[land_value]:[Days Prior To Assessment_value]])</f>
        <v>229701.88330241473</v>
      </c>
      <c r="BP87">
        <f>Grandview_Sales[[#This Row],[predicted_total]]/Grandview_Sales[[#This Row],[sale_price]]</f>
        <v>1.0683808525693708</v>
      </c>
      <c r="BQ87">
        <f>VLOOKUP(Grandview_Sales[[#This Row],[quality]],Lookups!$A$26:$C$33,3,FALSE)</f>
        <v>0.9690360070159818</v>
      </c>
      <c r="BR87">
        <f>VLOOKUP(Grandview_Sales[[#This Row],[condition]],Lookups!$A$37:$C$44,3,FALSE)</f>
        <v>0.96469275950863709</v>
      </c>
      <c r="BS87">
        <f>VLOOKUP(Grandview_Sales[[#This Row],[decade]],Lookups!$F$29:$H$43,3,FALSE)</f>
        <v>0.95244691841736806</v>
      </c>
      <c r="BT87">
        <f>VLOOKUP(Grandview_Sales[[#This Row],[living_area_range]],Lookups!$F$47:$H$56,3,FALSE)</f>
        <v>0.96120133463014379</v>
      </c>
      <c r="BU87">
        <f>Grandview_Sales[[#This Row],[predicted_total]]*AVERAGE(Grandview_Sales[[#This Row],[qual_adj]:[size_adj]])</f>
        <v>220937.43679253742</v>
      </c>
      <c r="BV87">
        <f>Grandview_Sales[[#This Row],[final_total]]/Grandview_Sales[[#This Row],[sale_price]]</f>
        <v>1.0276159850815694</v>
      </c>
      <c r="BW87" s="6">
        <f>(Grandview_Sales[[#This Row],[final_total]]-Grandview_Sales[[#This Row],[sale_price]])^2</f>
        <v>35253155.665377095</v>
      </c>
      <c r="BX87" s="6">
        <f>(Grandview_Sales[[#This Row],[final_total]]-AVERAGE(Grandview_Sales[sale_price]))^2</f>
        <v>7399738607.9107933</v>
      </c>
      <c r="BY87" s="6">
        <f>Grandview_Sales[[#This Row],[SSE]]+Grandview_Sales[[#This Row],[SSR]]</f>
        <v>7434991763.57617</v>
      </c>
      <c r="BZ87" s="4">
        <f>ABS(Grandview_Sales[[#This Row],[final_ratio]]-MEDIAN(Grandview_Sales[final_ratio]))</f>
        <v>2.6367265725757427E-2</v>
      </c>
    </row>
    <row r="88" spans="1:78" x14ac:dyDescent="0.25">
      <c r="A88">
        <v>23092621423</v>
      </c>
      <c r="B88">
        <v>0</v>
      </c>
      <c r="C88">
        <v>8250</v>
      </c>
      <c r="D88">
        <v>0</v>
      </c>
      <c r="E88" t="s">
        <v>53</v>
      </c>
      <c r="F88" t="s">
        <v>53</v>
      </c>
      <c r="G88">
        <v>4</v>
      </c>
      <c r="H88" t="s">
        <v>54</v>
      </c>
      <c r="I88">
        <v>265500</v>
      </c>
      <c r="J88">
        <v>39100</v>
      </c>
      <c r="K88">
        <v>0.19</v>
      </c>
      <c r="L88">
        <v>-1.6607312068219999</v>
      </c>
      <c r="M88">
        <v>0</v>
      </c>
      <c r="N88">
        <v>0</v>
      </c>
      <c r="O88">
        <v>0</v>
      </c>
      <c r="P88">
        <v>13398.7528</v>
      </c>
      <c r="Q88">
        <v>63902.980100000001</v>
      </c>
      <c r="R88">
        <v>41651.253192550997</v>
      </c>
      <c r="S88" t="s">
        <v>55</v>
      </c>
      <c r="T88">
        <v>1</v>
      </c>
      <c r="U88" t="s">
        <v>62</v>
      </c>
      <c r="V88" t="s">
        <v>57</v>
      </c>
      <c r="W88">
        <v>0</v>
      </c>
      <c r="X88">
        <v>0</v>
      </c>
      <c r="Y88">
        <v>2</v>
      </c>
      <c r="Z88">
        <v>2</v>
      </c>
      <c r="AA88">
        <v>0</v>
      </c>
      <c r="AB88">
        <v>2000</v>
      </c>
      <c r="AC88">
        <v>1600</v>
      </c>
      <c r="AD88">
        <v>1600</v>
      </c>
      <c r="AE88">
        <v>0</v>
      </c>
      <c r="AF88">
        <v>0</v>
      </c>
      <c r="AG88">
        <v>0</v>
      </c>
      <c r="AH88">
        <v>400</v>
      </c>
      <c r="AI88">
        <v>0</v>
      </c>
      <c r="AJ88">
        <v>0</v>
      </c>
      <c r="AK88">
        <v>0</v>
      </c>
      <c r="AL88">
        <v>9</v>
      </c>
      <c r="AM88">
        <v>0</v>
      </c>
      <c r="AN88">
        <v>0</v>
      </c>
      <c r="AO88" t="s">
        <v>58</v>
      </c>
      <c r="AP88">
        <v>1</v>
      </c>
      <c r="AQ88" t="s">
        <v>63</v>
      </c>
      <c r="AR88" t="s">
        <v>64</v>
      </c>
      <c r="AS88">
        <v>1</v>
      </c>
      <c r="AT88">
        <v>3</v>
      </c>
      <c r="AU88">
        <v>0</v>
      </c>
      <c r="AV88">
        <v>0</v>
      </c>
      <c r="AW88">
        <v>100</v>
      </c>
      <c r="AX88" s="1">
        <v>44321</v>
      </c>
      <c r="AY88">
        <v>22400</v>
      </c>
      <c r="AZ88">
        <v>282110</v>
      </c>
      <c r="BA88">
        <v>304500</v>
      </c>
      <c r="BB88">
        <v>287102</v>
      </c>
      <c r="BC88">
        <v>606</v>
      </c>
      <c r="BD88">
        <f>Grandview_Sales[[#This Row],[land_extract]]*Lookups!$B$3</f>
        <v>48369.487874125851</v>
      </c>
      <c r="BE88">
        <f>Lookups!$B$2</f>
        <v>155833.95000000001</v>
      </c>
      <c r="BF88">
        <f>VLOOKUP(Grandview_Sales[[#This Row],[quality]],Lookups!$H$2:$J$13,3,FALSE)</f>
        <v>9808</v>
      </c>
      <c r="BG88">
        <f>VLOOKUP(Grandview_Sales[[#This Row],[condition]],Lookups!$H$17:$J$24,3,FALSE)</f>
        <v>25780</v>
      </c>
      <c r="BH88">
        <f>Grandview_Sales[[#This Row],[Eff_Age]]*Lookups!$B$14</f>
        <v>-478.33319999999998</v>
      </c>
      <c r="BI88">
        <f>Grandview_Sales[[#This Row],[living_area]]*Lookups!$B$15</f>
        <v>99809.36480000001</v>
      </c>
      <c r="BJ88">
        <f>Grandview_Sales[[#This Row],[Fin BSMT]]*Lookups!$B$16</f>
        <v>0</v>
      </c>
      <c r="BK88">
        <f>Grandview_Sales[[#This Row],[garage_sqft]]*Lookups!$B$17</f>
        <v>35008.174800000001</v>
      </c>
      <c r="BL88">
        <f>Grandview_Sales[[#This Row],[Plumbing Fixtures]]*Lookups!$B$18</f>
        <v>18093.976200000001</v>
      </c>
      <c r="BM88">
        <f>Grandview_Sales[[#This Row],[detatched_value]]*Lookups!$B$19</f>
        <v>0</v>
      </c>
      <c r="BN88">
        <f>Grandview_Sales[[#This Row],[days_prior]]*Lookups!$B$20</f>
        <v>-72688.851599999995</v>
      </c>
      <c r="BO88">
        <f>SUM(Grandview_Sales[[#This Row],[land_value]:[Days Prior To Assessment_value]])</f>
        <v>319535.76887412585</v>
      </c>
      <c r="BP88">
        <f>Grandview_Sales[[#This Row],[predicted_total]]/Grandview_Sales[[#This Row],[sale_price]]</f>
        <v>1.1129694982066507</v>
      </c>
      <c r="BQ88">
        <f>VLOOKUP(Grandview_Sales[[#This Row],[quality]],Lookups!$A$26:$C$33,3,FALSE)</f>
        <v>0.94295468617355149</v>
      </c>
      <c r="BR88">
        <f>VLOOKUP(Grandview_Sales[[#This Row],[condition]],Lookups!$A$37:$C$44,3,FALSE)</f>
        <v>0.94347925387812148</v>
      </c>
      <c r="BS88">
        <f>VLOOKUP(Grandview_Sales[[#This Row],[decade]],Lookups!$F$29:$H$43,3,FALSE)</f>
        <v>0.9413635517371044</v>
      </c>
      <c r="BT88">
        <f>VLOOKUP(Grandview_Sales[[#This Row],[living_area_range]],Lookups!$F$47:$H$56,3,FALSE)</f>
        <v>0.96120133463014379</v>
      </c>
      <c r="BU88">
        <f>Grandview_Sales[[#This Row],[predicted_total]]*AVERAGE(Grandview_Sales[[#This Row],[qual_adj]:[size_adj]])</f>
        <v>302680.16331573261</v>
      </c>
      <c r="BV88">
        <f>Grandview_Sales[[#This Row],[final_total]]/Grandview_Sales[[#This Row],[sale_price]]</f>
        <v>1.0542600306362637</v>
      </c>
      <c r="BW88" s="6">
        <f>(Grandview_Sales[[#This Row],[final_total]]-Grandview_Sales[[#This Row],[sale_price]])^2</f>
        <v>242679172.29163736</v>
      </c>
      <c r="BX88" s="6">
        <f>(Grandview_Sales[[#This Row],[final_total]]-AVERAGE(Grandview_Sales[sale_price]))^2</f>
        <v>18309899.392617844</v>
      </c>
      <c r="BY88" s="6">
        <f>Grandview_Sales[[#This Row],[SSE]]+Grandview_Sales[[#This Row],[SSR]]</f>
        <v>260989071.68425521</v>
      </c>
      <c r="BZ88" s="4">
        <f>ABS(Grandview_Sales[[#This Row],[final_ratio]]-MEDIAN(Grandview_Sales[final_ratio]))</f>
        <v>5.3011311280451778E-2</v>
      </c>
    </row>
    <row r="89" spans="1:78" x14ac:dyDescent="0.25">
      <c r="A89">
        <v>23092331424</v>
      </c>
      <c r="B89">
        <v>0.16</v>
      </c>
      <c r="C89">
        <v>7166</v>
      </c>
      <c r="D89">
        <v>0</v>
      </c>
      <c r="E89" t="s">
        <v>53</v>
      </c>
      <c r="F89" t="s">
        <v>53</v>
      </c>
      <c r="G89">
        <v>4</v>
      </c>
      <c r="H89" t="s">
        <v>54</v>
      </c>
      <c r="I89">
        <v>193600</v>
      </c>
      <c r="J89">
        <v>38600</v>
      </c>
      <c r="K89">
        <v>0.16</v>
      </c>
      <c r="L89">
        <v>-1.832581463748</v>
      </c>
      <c r="M89">
        <v>0</v>
      </c>
      <c r="N89">
        <v>0</v>
      </c>
      <c r="O89">
        <v>0</v>
      </c>
      <c r="P89">
        <v>13398.7528</v>
      </c>
      <c r="Q89">
        <v>63902.980100000001</v>
      </c>
      <c r="R89">
        <v>39348.674081374003</v>
      </c>
      <c r="S89" t="s">
        <v>61</v>
      </c>
      <c r="T89">
        <v>1</v>
      </c>
      <c r="U89" t="s">
        <v>65</v>
      </c>
      <c r="V89" t="s">
        <v>69</v>
      </c>
      <c r="W89">
        <v>0</v>
      </c>
      <c r="X89">
        <v>0</v>
      </c>
      <c r="Y89">
        <v>28</v>
      </c>
      <c r="Z89">
        <v>28</v>
      </c>
      <c r="AA89">
        <v>30</v>
      </c>
      <c r="AB89">
        <v>1500</v>
      </c>
      <c r="AC89">
        <v>1424</v>
      </c>
      <c r="AD89">
        <v>1424</v>
      </c>
      <c r="AE89">
        <v>0</v>
      </c>
      <c r="AF89">
        <v>0</v>
      </c>
      <c r="AG89">
        <v>0</v>
      </c>
      <c r="AH89">
        <v>520</v>
      </c>
      <c r="AI89">
        <v>0</v>
      </c>
      <c r="AJ89">
        <v>0</v>
      </c>
      <c r="AK89">
        <v>0</v>
      </c>
      <c r="AL89">
        <v>8</v>
      </c>
      <c r="AM89">
        <v>0</v>
      </c>
      <c r="AN89">
        <v>0</v>
      </c>
      <c r="AO89" t="s">
        <v>58</v>
      </c>
      <c r="AP89">
        <v>1</v>
      </c>
      <c r="AQ89" t="s">
        <v>59</v>
      </c>
      <c r="AR89" t="s">
        <v>60</v>
      </c>
      <c r="AS89">
        <v>1</v>
      </c>
      <c r="AT89">
        <v>3</v>
      </c>
      <c r="AU89">
        <v>0</v>
      </c>
      <c r="AV89">
        <v>0</v>
      </c>
      <c r="AW89">
        <v>100</v>
      </c>
      <c r="AX89" s="1">
        <v>44321</v>
      </c>
      <c r="AY89">
        <v>22100</v>
      </c>
      <c r="AZ89">
        <v>199089</v>
      </c>
      <c r="BA89">
        <v>221200</v>
      </c>
      <c r="BB89">
        <v>265000</v>
      </c>
      <c r="BC89">
        <v>606</v>
      </c>
      <c r="BD89">
        <f>Grandview_Sales[[#This Row],[land_extract]]*Lookups!$B$3</f>
        <v>45695.50896927961</v>
      </c>
      <c r="BE89">
        <f>Lookups!$B$2</f>
        <v>155833.95000000001</v>
      </c>
      <c r="BF89">
        <f>VLOOKUP(Grandview_Sales[[#This Row],[quality]],Lookups!$H$2:$J$13,3,FALSE)</f>
        <v>2251</v>
      </c>
      <c r="BG89">
        <f>VLOOKUP(Grandview_Sales[[#This Row],[condition]],Lookups!$H$17:$J$24,3,FALSE)</f>
        <v>-4503</v>
      </c>
      <c r="BH89">
        <f>Grandview_Sales[[#This Row],[Eff_Age]]*Lookups!$B$14</f>
        <v>-6696.6647999999996</v>
      </c>
      <c r="BI89">
        <f>Grandview_Sales[[#This Row],[living_area]]*Lookups!$B$15</f>
        <v>88830.334671999997</v>
      </c>
      <c r="BJ89">
        <f>Grandview_Sales[[#This Row],[Fin BSMT]]*Lookups!$B$16</f>
        <v>0</v>
      </c>
      <c r="BK89">
        <f>Grandview_Sales[[#This Row],[garage_sqft]]*Lookups!$B$17</f>
        <v>45510.627240000002</v>
      </c>
      <c r="BL89">
        <f>Grandview_Sales[[#This Row],[Plumbing Fixtures]]*Lookups!$B$18</f>
        <v>16083.5344</v>
      </c>
      <c r="BM89">
        <f>Grandview_Sales[[#This Row],[detatched_value]]*Lookups!$B$19</f>
        <v>0</v>
      </c>
      <c r="BN89">
        <f>Grandview_Sales[[#This Row],[days_prior]]*Lookups!$B$20</f>
        <v>-72688.851599999995</v>
      </c>
      <c r="BO89">
        <f>SUM(Grandview_Sales[[#This Row],[land_value]:[Days Prior To Assessment_value]])</f>
        <v>270316.43888127967</v>
      </c>
      <c r="BP89">
        <f>Grandview_Sales[[#This Row],[predicted_total]]/Grandview_Sales[[#This Row],[sale_price]]</f>
        <v>1.0200620335142629</v>
      </c>
      <c r="BQ89">
        <f>VLOOKUP(Grandview_Sales[[#This Row],[quality]],Lookups!$A$26:$C$33,3,FALSE)</f>
        <v>0.98763855981004833</v>
      </c>
      <c r="BR89">
        <f>VLOOKUP(Grandview_Sales[[#This Row],[condition]],Lookups!$A$37:$C$44,3,FALSE)</f>
        <v>0.96469275950863709</v>
      </c>
      <c r="BS89">
        <f>VLOOKUP(Grandview_Sales[[#This Row],[decade]],Lookups!$F$29:$H$43,3,FALSE)</f>
        <v>0.98397821291089549</v>
      </c>
      <c r="BT89">
        <f>VLOOKUP(Grandview_Sales[[#This Row],[living_area_range]],Lookups!$F$47:$H$56,3,FALSE)</f>
        <v>0.96135087979789358</v>
      </c>
      <c r="BU89">
        <f>Grandview_Sales[[#This Row],[predicted_total]]*AVERAGE(Grandview_Sales[[#This Row],[qual_adj]:[size_adj]])</f>
        <v>263400.42063695204</v>
      </c>
      <c r="BV89">
        <f>Grandview_Sales[[#This Row],[final_total]]/Grandview_Sales[[#This Row],[sale_price]]</f>
        <v>0.99396385146019639</v>
      </c>
      <c r="BW89" s="6">
        <f>(Grandview_Sales[[#This Row],[final_total]]-Grandview_Sales[[#This Row],[sale_price]])^2</f>
        <v>2558654.1386889182</v>
      </c>
      <c r="BX89" s="6">
        <f>(Grandview_Sales[[#This Row],[final_total]]-AVERAGE(Grandview_Sales[sale_price]))^2</f>
        <v>1897364658.1724825</v>
      </c>
      <c r="BY89" s="6">
        <f>Grandview_Sales[[#This Row],[SSE]]+Grandview_Sales[[#This Row],[SSR]]</f>
        <v>1899923312.3111713</v>
      </c>
      <c r="BZ89" s="4">
        <f>ABS(Grandview_Sales[[#This Row],[final_ratio]]-MEDIAN(Grandview_Sales[final_ratio]))</f>
        <v>7.2848678956155544E-3</v>
      </c>
    </row>
    <row r="90" spans="1:78" x14ac:dyDescent="0.25">
      <c r="A90">
        <v>23092224433</v>
      </c>
      <c r="B90">
        <v>0.2</v>
      </c>
      <c r="C90">
        <v>8808</v>
      </c>
      <c r="D90">
        <v>0</v>
      </c>
      <c r="E90" t="s">
        <v>53</v>
      </c>
      <c r="F90" t="s">
        <v>53</v>
      </c>
      <c r="G90">
        <v>4</v>
      </c>
      <c r="H90" t="s">
        <v>54</v>
      </c>
      <c r="I90">
        <v>198600</v>
      </c>
      <c r="J90">
        <v>43700</v>
      </c>
      <c r="K90">
        <v>0.2</v>
      </c>
      <c r="L90">
        <v>-1.6094379124339999</v>
      </c>
      <c r="M90">
        <v>0</v>
      </c>
      <c r="N90">
        <v>0</v>
      </c>
      <c r="O90">
        <v>0</v>
      </c>
      <c r="P90">
        <v>13398.7528</v>
      </c>
      <c r="Q90">
        <v>63902.980100000001</v>
      </c>
      <c r="R90">
        <v>42338.519364346997</v>
      </c>
      <c r="S90" t="s">
        <v>61</v>
      </c>
      <c r="T90">
        <v>1</v>
      </c>
      <c r="U90" t="s">
        <v>62</v>
      </c>
      <c r="V90" t="s">
        <v>69</v>
      </c>
      <c r="W90">
        <v>0</v>
      </c>
      <c r="X90">
        <v>0</v>
      </c>
      <c r="Y90">
        <v>43</v>
      </c>
      <c r="Z90">
        <v>44</v>
      </c>
      <c r="AA90">
        <v>40</v>
      </c>
      <c r="AB90">
        <v>2000</v>
      </c>
      <c r="AC90">
        <v>1508</v>
      </c>
      <c r="AD90">
        <v>1508</v>
      </c>
      <c r="AE90">
        <v>0</v>
      </c>
      <c r="AF90">
        <v>0</v>
      </c>
      <c r="AG90">
        <v>0</v>
      </c>
      <c r="AH90">
        <v>364</v>
      </c>
      <c r="AI90">
        <v>0</v>
      </c>
      <c r="AJ90">
        <v>0</v>
      </c>
      <c r="AK90">
        <v>0</v>
      </c>
      <c r="AL90">
        <v>7</v>
      </c>
      <c r="AM90">
        <v>1</v>
      </c>
      <c r="AN90">
        <v>0</v>
      </c>
      <c r="AO90" t="s">
        <v>58</v>
      </c>
      <c r="AP90">
        <v>1</v>
      </c>
      <c r="AQ90" t="s">
        <v>63</v>
      </c>
      <c r="AR90" t="s">
        <v>60</v>
      </c>
      <c r="AS90">
        <v>1</v>
      </c>
      <c r="AT90">
        <v>3</v>
      </c>
      <c r="AU90">
        <v>0</v>
      </c>
      <c r="AV90">
        <v>0</v>
      </c>
      <c r="AW90">
        <v>100</v>
      </c>
      <c r="AX90" s="1">
        <v>44323</v>
      </c>
      <c r="AY90">
        <v>25000</v>
      </c>
      <c r="AZ90">
        <v>201057</v>
      </c>
      <c r="BA90">
        <v>226100</v>
      </c>
      <c r="BB90">
        <v>255000</v>
      </c>
      <c r="BC90">
        <v>604</v>
      </c>
      <c r="BD90">
        <f>Grandview_Sales[[#This Row],[land_extract]]*Lookups!$B$3</f>
        <v>49167.608223813884</v>
      </c>
      <c r="BE90">
        <f>Lookups!$B$2</f>
        <v>155833.95000000001</v>
      </c>
      <c r="BF90">
        <f>VLOOKUP(Grandview_Sales[[#This Row],[quality]],Lookups!$H$2:$J$13,3,FALSE)</f>
        <v>9808</v>
      </c>
      <c r="BG90">
        <f>VLOOKUP(Grandview_Sales[[#This Row],[condition]],Lookups!$H$17:$J$24,3,FALSE)</f>
        <v>-4503</v>
      </c>
      <c r="BH90">
        <f>Grandview_Sales[[#This Row],[Eff_Age]]*Lookups!$B$14</f>
        <v>-10284.1638</v>
      </c>
      <c r="BI90">
        <f>Grandview_Sales[[#This Row],[living_area]]*Lookups!$B$15</f>
        <v>94070.326324000009</v>
      </c>
      <c r="BJ90">
        <f>Grandview_Sales[[#This Row],[Fin BSMT]]*Lookups!$B$16</f>
        <v>0</v>
      </c>
      <c r="BK90">
        <f>Grandview_Sales[[#This Row],[garage_sqft]]*Lookups!$B$17</f>
        <v>31857.439068</v>
      </c>
      <c r="BL90">
        <f>Grandview_Sales[[#This Row],[Plumbing Fixtures]]*Lookups!$B$18</f>
        <v>14073.0926</v>
      </c>
      <c r="BM90">
        <f>Grandview_Sales[[#This Row],[detatched_value]]*Lookups!$B$19</f>
        <v>0</v>
      </c>
      <c r="BN90">
        <f>Grandview_Sales[[#This Row],[days_prior]]*Lookups!$B$20</f>
        <v>-72448.954400000002</v>
      </c>
      <c r="BO90">
        <f>SUM(Grandview_Sales[[#This Row],[land_value]:[Days Prior To Assessment_value]])</f>
        <v>267574.29801581387</v>
      </c>
      <c r="BP90">
        <f>Grandview_Sales[[#This Row],[predicted_total]]/Grandview_Sales[[#This Row],[sale_price]]</f>
        <v>1.0493109726110348</v>
      </c>
      <c r="BQ90">
        <f>VLOOKUP(Grandview_Sales[[#This Row],[quality]],Lookups!$A$26:$C$33,3,FALSE)</f>
        <v>0.94295468617355149</v>
      </c>
      <c r="BR90">
        <f>VLOOKUP(Grandview_Sales[[#This Row],[condition]],Lookups!$A$37:$C$44,3,FALSE)</f>
        <v>0.96469275950863709</v>
      </c>
      <c r="BS90">
        <f>VLOOKUP(Grandview_Sales[[#This Row],[decade]],Lookups!$F$29:$H$43,3,FALSE)</f>
        <v>0.98031878267063854</v>
      </c>
      <c r="BT90">
        <f>VLOOKUP(Grandview_Sales[[#This Row],[living_area_range]],Lookups!$F$47:$H$56,3,FALSE)</f>
        <v>0.96120133463014379</v>
      </c>
      <c r="BU90">
        <f>Grandview_Sales[[#This Row],[predicted_total]]*AVERAGE(Grandview_Sales[[#This Row],[qual_adj]:[size_adj]])</f>
        <v>257484.57715260237</v>
      </c>
      <c r="BV90">
        <f>Grandview_Sales[[#This Row],[final_total]]/Grandview_Sales[[#This Row],[sale_price]]</f>
        <v>1.009743439814127</v>
      </c>
      <c r="BW90" s="6">
        <f>(Grandview_Sales[[#This Row],[final_total]]-Grandview_Sales[[#This Row],[sale_price]])^2</f>
        <v>6173123.6272337232</v>
      </c>
      <c r="BX90" s="6">
        <f>(Grandview_Sales[[#This Row],[final_total]]-AVERAGE(Grandview_Sales[sale_price]))^2</f>
        <v>2447735351.1587095</v>
      </c>
      <c r="BY90" s="6">
        <f>Grandview_Sales[[#This Row],[SSE]]+Grandview_Sales[[#This Row],[SSR]]</f>
        <v>2453908474.785943</v>
      </c>
      <c r="BZ90" s="4">
        <f>ABS(Grandview_Sales[[#This Row],[final_ratio]]-MEDIAN(Grandview_Sales[final_ratio]))</f>
        <v>8.4947204583150082E-3</v>
      </c>
    </row>
    <row r="91" spans="1:78" x14ac:dyDescent="0.25">
      <c r="A91">
        <v>23092231437</v>
      </c>
      <c r="B91">
        <v>0.14000000000000001</v>
      </c>
      <c r="C91">
        <v>6030</v>
      </c>
      <c r="D91">
        <v>0</v>
      </c>
      <c r="E91" t="s">
        <v>53</v>
      </c>
      <c r="F91" t="s">
        <v>53</v>
      </c>
      <c r="G91">
        <v>4</v>
      </c>
      <c r="H91" t="s">
        <v>54</v>
      </c>
      <c r="I91">
        <v>153400</v>
      </c>
      <c r="J91">
        <v>42400</v>
      </c>
      <c r="K91">
        <v>0.14000000000000001</v>
      </c>
      <c r="L91">
        <v>-1.9661128563729999</v>
      </c>
      <c r="M91">
        <v>0</v>
      </c>
      <c r="N91">
        <v>0</v>
      </c>
      <c r="O91">
        <v>0</v>
      </c>
      <c r="P91">
        <v>13398.7528</v>
      </c>
      <c r="Q91">
        <v>63902.980100000001</v>
      </c>
      <c r="R91">
        <v>37559.519960559002</v>
      </c>
      <c r="S91" t="s">
        <v>61</v>
      </c>
      <c r="T91">
        <v>1</v>
      </c>
      <c r="U91" t="s">
        <v>70</v>
      </c>
      <c r="V91" t="s">
        <v>69</v>
      </c>
      <c r="W91">
        <v>0</v>
      </c>
      <c r="X91">
        <v>0</v>
      </c>
      <c r="Y91">
        <v>47</v>
      </c>
      <c r="Z91">
        <v>56</v>
      </c>
      <c r="AA91">
        <v>60</v>
      </c>
      <c r="AB91">
        <v>1500</v>
      </c>
      <c r="AC91">
        <v>1040</v>
      </c>
      <c r="AD91">
        <v>1040</v>
      </c>
      <c r="AE91">
        <v>0</v>
      </c>
      <c r="AF91">
        <v>0</v>
      </c>
      <c r="AG91">
        <v>0</v>
      </c>
      <c r="AH91">
        <v>364</v>
      </c>
      <c r="AI91">
        <v>0</v>
      </c>
      <c r="AJ91">
        <v>0</v>
      </c>
      <c r="AK91">
        <v>280</v>
      </c>
      <c r="AL91">
        <v>5</v>
      </c>
      <c r="AM91">
        <v>0</v>
      </c>
      <c r="AN91">
        <v>0</v>
      </c>
      <c r="AO91" t="s">
        <v>58</v>
      </c>
      <c r="AP91">
        <v>1</v>
      </c>
      <c r="AQ91" t="s">
        <v>75</v>
      </c>
      <c r="AR91" t="s">
        <v>60</v>
      </c>
      <c r="AS91">
        <v>0</v>
      </c>
      <c r="AT91">
        <v>3</v>
      </c>
      <c r="AU91">
        <v>0</v>
      </c>
      <c r="AV91">
        <v>0</v>
      </c>
      <c r="AW91">
        <v>100</v>
      </c>
      <c r="AX91" s="1">
        <v>44327</v>
      </c>
      <c r="AY91">
        <v>24300</v>
      </c>
      <c r="AZ91">
        <v>111850</v>
      </c>
      <c r="BA91">
        <v>136200</v>
      </c>
      <c r="BB91">
        <v>236500</v>
      </c>
      <c r="BC91">
        <v>600</v>
      </c>
      <c r="BD91">
        <f>Grandview_Sales[[#This Row],[land_extract]]*Lookups!$B$3</f>
        <v>43617.769119493278</v>
      </c>
      <c r="BE91">
        <f>Lookups!$B$2</f>
        <v>155833.95000000001</v>
      </c>
      <c r="BF91">
        <f>VLOOKUP(Grandview_Sales[[#This Row],[quality]],Lookups!$H$2:$J$13,3,FALSE)</f>
        <v>10733</v>
      </c>
      <c r="BG91">
        <f>VLOOKUP(Grandview_Sales[[#This Row],[condition]],Lookups!$H$17:$J$24,3,FALSE)</f>
        <v>-4503</v>
      </c>
      <c r="BH91">
        <f>Grandview_Sales[[#This Row],[Eff_Age]]*Lookups!$B$14</f>
        <v>-11240.8302</v>
      </c>
      <c r="BI91">
        <f>Grandview_Sales[[#This Row],[living_area]]*Lookups!$B$15</f>
        <v>64876.087120000004</v>
      </c>
      <c r="BJ91">
        <f>Grandview_Sales[[#This Row],[Fin BSMT]]*Lookups!$B$16</f>
        <v>0</v>
      </c>
      <c r="BK91">
        <f>Grandview_Sales[[#This Row],[garage_sqft]]*Lookups!$B$17</f>
        <v>31857.439068</v>
      </c>
      <c r="BL91">
        <f>Grandview_Sales[[#This Row],[Plumbing Fixtures]]*Lookups!$B$18</f>
        <v>10052.209000000001</v>
      </c>
      <c r="BM91">
        <f>Grandview_Sales[[#This Row],[detatched_value]]*Lookups!$B$19</f>
        <v>0</v>
      </c>
      <c r="BN91">
        <f>Grandview_Sales[[#This Row],[days_prior]]*Lookups!$B$20</f>
        <v>-71969.16</v>
      </c>
      <c r="BO91">
        <f>SUM(Grandview_Sales[[#This Row],[land_value]:[Days Prior To Assessment_value]])</f>
        <v>229257.46410749326</v>
      </c>
      <c r="BP91">
        <f>Grandview_Sales[[#This Row],[predicted_total]]/Grandview_Sales[[#This Row],[sale_price]]</f>
        <v>0.96937616958770934</v>
      </c>
      <c r="BQ91">
        <f>VLOOKUP(Grandview_Sales[[#This Row],[quality]],Lookups!$A$26:$C$33,3,FALSE)</f>
        <v>0.98079741117310582</v>
      </c>
      <c r="BR91">
        <f>VLOOKUP(Grandview_Sales[[#This Row],[condition]],Lookups!$A$37:$C$44,3,FALSE)</f>
        <v>0.96469275950863709</v>
      </c>
      <c r="BS91">
        <f>VLOOKUP(Grandview_Sales[[#This Row],[decade]],Lookups!$F$29:$H$43,3,FALSE)</f>
        <v>0.95268620544463312</v>
      </c>
      <c r="BT91">
        <f>VLOOKUP(Grandview_Sales[[#This Row],[living_area_range]],Lookups!$F$47:$H$56,3,FALSE)</f>
        <v>0.96135087979789358</v>
      </c>
      <c r="BU91">
        <f>Grandview_Sales[[#This Row],[predicted_total]]*AVERAGE(Grandview_Sales[[#This Row],[qual_adj]:[size_adj]])</f>
        <v>221206.35783673756</v>
      </c>
      <c r="BV91">
        <f>Grandview_Sales[[#This Row],[final_total]]/Grandview_Sales[[#This Row],[sale_price]]</f>
        <v>0.93533343694180782</v>
      </c>
      <c r="BW91" s="6">
        <f>(Grandview_Sales[[#This Row],[final_total]]-Grandview_Sales[[#This Row],[sale_price]])^2</f>
        <v>233895490.61791867</v>
      </c>
      <c r="BX91" s="6">
        <f>(Grandview_Sales[[#This Row],[final_total]]-AVERAGE(Grandview_Sales[sale_price]))^2</f>
        <v>7353544817.727994</v>
      </c>
      <c r="BY91" s="6">
        <f>Grandview_Sales[[#This Row],[SSE]]+Grandview_Sales[[#This Row],[SSR]]</f>
        <v>7587440308.3459129</v>
      </c>
      <c r="BZ91" s="4">
        <f>ABS(Grandview_Sales[[#This Row],[final_ratio]]-MEDIAN(Grandview_Sales[final_ratio]))</f>
        <v>6.5915282414004128E-2</v>
      </c>
    </row>
    <row r="92" spans="1:78" x14ac:dyDescent="0.25">
      <c r="A92">
        <v>23092242530</v>
      </c>
      <c r="B92">
        <v>0.17</v>
      </c>
      <c r="C92">
        <v>7479</v>
      </c>
      <c r="D92">
        <v>0</v>
      </c>
      <c r="E92" t="s">
        <v>53</v>
      </c>
      <c r="F92" t="s">
        <v>53</v>
      </c>
      <c r="G92">
        <v>4</v>
      </c>
      <c r="H92" t="s">
        <v>54</v>
      </c>
      <c r="I92">
        <v>227900</v>
      </c>
      <c r="J92">
        <v>38800</v>
      </c>
      <c r="K92">
        <v>0.17</v>
      </c>
      <c r="L92">
        <v>-1.771956841932</v>
      </c>
      <c r="M92">
        <v>0</v>
      </c>
      <c r="N92">
        <v>0</v>
      </c>
      <c r="O92">
        <v>0</v>
      </c>
      <c r="P92">
        <v>13398.7528</v>
      </c>
      <c r="Q92">
        <v>63902.980100000001</v>
      </c>
      <c r="R92">
        <v>40160.968402685998</v>
      </c>
      <c r="S92" t="s">
        <v>61</v>
      </c>
      <c r="T92">
        <v>1</v>
      </c>
      <c r="U92" t="s">
        <v>62</v>
      </c>
      <c r="V92" t="s">
        <v>67</v>
      </c>
      <c r="W92">
        <v>0</v>
      </c>
      <c r="X92">
        <v>0</v>
      </c>
      <c r="Y92">
        <v>15</v>
      </c>
      <c r="Z92">
        <v>15</v>
      </c>
      <c r="AA92">
        <v>20</v>
      </c>
      <c r="AB92">
        <v>1500</v>
      </c>
      <c r="AC92">
        <v>1214</v>
      </c>
      <c r="AD92">
        <v>1214</v>
      </c>
      <c r="AE92">
        <v>0</v>
      </c>
      <c r="AF92">
        <v>0</v>
      </c>
      <c r="AG92">
        <v>0</v>
      </c>
      <c r="AH92">
        <v>520</v>
      </c>
      <c r="AI92">
        <v>180</v>
      </c>
      <c r="AJ92">
        <v>130</v>
      </c>
      <c r="AK92">
        <v>100</v>
      </c>
      <c r="AL92">
        <v>8</v>
      </c>
      <c r="AM92">
        <v>0</v>
      </c>
      <c r="AN92">
        <v>0</v>
      </c>
      <c r="AO92" t="s">
        <v>58</v>
      </c>
      <c r="AP92">
        <v>1</v>
      </c>
      <c r="AQ92" t="s">
        <v>59</v>
      </c>
      <c r="AR92" t="s">
        <v>60</v>
      </c>
      <c r="AS92">
        <v>1</v>
      </c>
      <c r="AT92">
        <v>3</v>
      </c>
      <c r="AU92">
        <v>0</v>
      </c>
      <c r="AV92">
        <v>0</v>
      </c>
      <c r="AW92">
        <v>100</v>
      </c>
      <c r="AX92" s="1">
        <v>44328</v>
      </c>
      <c r="AY92">
        <v>22200</v>
      </c>
      <c r="AZ92">
        <v>228547</v>
      </c>
      <c r="BA92">
        <v>250700</v>
      </c>
      <c r="BB92">
        <v>260000</v>
      </c>
      <c r="BC92">
        <v>599</v>
      </c>
      <c r="BD92">
        <f>Grandview_Sales[[#This Row],[land_extract]]*Lookups!$B$3</f>
        <v>46638.82417142456</v>
      </c>
      <c r="BE92">
        <f>Lookups!$B$2</f>
        <v>155833.95000000001</v>
      </c>
      <c r="BF92">
        <f>VLOOKUP(Grandview_Sales[[#This Row],[quality]],Lookups!$H$2:$J$13,3,FALSE)</f>
        <v>9808</v>
      </c>
      <c r="BG92">
        <f>VLOOKUP(Grandview_Sales[[#This Row],[condition]],Lookups!$H$17:$J$24,3,FALSE)</f>
        <v>22342</v>
      </c>
      <c r="BH92">
        <f>Grandview_Sales[[#This Row],[Eff_Age]]*Lookups!$B$14</f>
        <v>-3587.4989999999998</v>
      </c>
      <c r="BI92">
        <f>Grandview_Sales[[#This Row],[living_area]]*Lookups!$B$15</f>
        <v>75730.355542000005</v>
      </c>
      <c r="BJ92">
        <f>Grandview_Sales[[#This Row],[Fin BSMT]]*Lookups!$B$16</f>
        <v>0</v>
      </c>
      <c r="BK92">
        <f>Grandview_Sales[[#This Row],[garage_sqft]]*Lookups!$B$17</f>
        <v>45510.627240000002</v>
      </c>
      <c r="BL92">
        <f>Grandview_Sales[[#This Row],[Plumbing Fixtures]]*Lookups!$B$18</f>
        <v>16083.5344</v>
      </c>
      <c r="BM92">
        <f>Grandview_Sales[[#This Row],[detatched_value]]*Lookups!$B$19</f>
        <v>0</v>
      </c>
      <c r="BN92">
        <f>Grandview_Sales[[#This Row],[days_prior]]*Lookups!$B$20</f>
        <v>-71849.2114</v>
      </c>
      <c r="BO92">
        <f>SUM(Grandview_Sales[[#This Row],[land_value]:[Days Prior To Assessment_value]])</f>
        <v>296510.58095342456</v>
      </c>
      <c r="BP92">
        <f>Grandview_Sales[[#This Row],[predicted_total]]/Grandview_Sales[[#This Row],[sale_price]]</f>
        <v>1.1404253113593252</v>
      </c>
      <c r="BQ92">
        <f>VLOOKUP(Grandview_Sales[[#This Row],[quality]],Lookups!$A$26:$C$33,3,FALSE)</f>
        <v>0.94295468617355149</v>
      </c>
      <c r="BR92">
        <f>VLOOKUP(Grandview_Sales[[#This Row],[condition]],Lookups!$A$37:$C$44,3,FALSE)</f>
        <v>0.97383723671140243</v>
      </c>
      <c r="BS92">
        <f>VLOOKUP(Grandview_Sales[[#This Row],[decade]],Lookups!$F$29:$H$43,3,FALSE)</f>
        <v>0.96737494181490646</v>
      </c>
      <c r="BT92">
        <f>VLOOKUP(Grandview_Sales[[#This Row],[living_area_range]],Lookups!$F$47:$H$56,3,FALSE)</f>
        <v>0.96135087979789358</v>
      </c>
      <c r="BU92">
        <f>Grandview_Sales[[#This Row],[predicted_total]]*AVERAGE(Grandview_Sales[[#This Row],[qual_adj]:[size_adj]])</f>
        <v>285059.17512193299</v>
      </c>
      <c r="BV92">
        <f>Grandview_Sales[[#This Row],[final_total]]/Grandview_Sales[[#This Row],[sale_price]]</f>
        <v>1.0963814427766654</v>
      </c>
      <c r="BW92" s="6">
        <f>(Grandview_Sales[[#This Row],[final_total]]-Grandview_Sales[[#This Row],[sale_price]])^2</f>
        <v>627962257.79170525</v>
      </c>
      <c r="BX92" s="6">
        <f>(Grandview_Sales[[#This Row],[final_total]]-AVERAGE(Grandview_Sales[sale_price]))^2</f>
        <v>479609781.74269271</v>
      </c>
      <c r="BY92" s="6">
        <f>Grandview_Sales[[#This Row],[SSE]]+Grandview_Sales[[#This Row],[SSR]]</f>
        <v>1107572039.5343981</v>
      </c>
      <c r="BZ92" s="4">
        <f>ABS(Grandview_Sales[[#This Row],[final_ratio]]-MEDIAN(Grandview_Sales[final_ratio]))</f>
        <v>9.5132723420853438E-2</v>
      </c>
    </row>
    <row r="93" spans="1:78" x14ac:dyDescent="0.25">
      <c r="A93">
        <v>23091443408</v>
      </c>
      <c r="B93">
        <v>0.25</v>
      </c>
      <c r="C93">
        <v>10908</v>
      </c>
      <c r="D93">
        <v>0</v>
      </c>
      <c r="E93" t="s">
        <v>53</v>
      </c>
      <c r="F93" t="s">
        <v>53</v>
      </c>
      <c r="G93">
        <v>4</v>
      </c>
      <c r="H93" t="s">
        <v>54</v>
      </c>
      <c r="I93">
        <v>231500</v>
      </c>
      <c r="J93">
        <v>40000</v>
      </c>
      <c r="K93">
        <v>0.25</v>
      </c>
      <c r="L93">
        <v>-1.38629436112</v>
      </c>
      <c r="M93">
        <v>0</v>
      </c>
      <c r="N93">
        <v>0</v>
      </c>
      <c r="O93">
        <v>0</v>
      </c>
      <c r="P93">
        <v>13398.7528</v>
      </c>
      <c r="Q93">
        <v>63902.980100000001</v>
      </c>
      <c r="R93">
        <v>45328.364647321003</v>
      </c>
      <c r="S93" t="s">
        <v>61</v>
      </c>
      <c r="T93">
        <v>1</v>
      </c>
      <c r="U93" t="s">
        <v>62</v>
      </c>
      <c r="V93" t="s">
        <v>67</v>
      </c>
      <c r="W93">
        <v>0</v>
      </c>
      <c r="X93">
        <v>0</v>
      </c>
      <c r="Y93">
        <v>45</v>
      </c>
      <c r="Z93">
        <v>50</v>
      </c>
      <c r="AA93">
        <v>50</v>
      </c>
      <c r="AB93">
        <v>2000</v>
      </c>
      <c r="AC93">
        <v>1872</v>
      </c>
      <c r="AD93">
        <v>1872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288</v>
      </c>
      <c r="AL93">
        <v>7</v>
      </c>
      <c r="AM93">
        <v>0</v>
      </c>
      <c r="AN93">
        <v>1</v>
      </c>
      <c r="AO93" t="s">
        <v>58</v>
      </c>
      <c r="AP93">
        <v>1</v>
      </c>
      <c r="AQ93" t="s">
        <v>63</v>
      </c>
      <c r="AR93" t="s">
        <v>60</v>
      </c>
      <c r="AS93">
        <v>1</v>
      </c>
      <c r="AT93">
        <v>3</v>
      </c>
      <c r="AU93">
        <v>0</v>
      </c>
      <c r="AV93">
        <v>0</v>
      </c>
      <c r="AW93">
        <v>100</v>
      </c>
      <c r="AX93" s="1">
        <v>44328</v>
      </c>
      <c r="AY93">
        <v>22900</v>
      </c>
      <c r="AZ93">
        <v>250183</v>
      </c>
      <c r="BA93">
        <v>273100</v>
      </c>
      <c r="BB93">
        <v>278500</v>
      </c>
      <c r="BC93">
        <v>599</v>
      </c>
      <c r="BD93">
        <f>Grandview_Sales[[#This Row],[land_extract]]*Lookups!$B$3</f>
        <v>52639.70747834933</v>
      </c>
      <c r="BE93">
        <f>Lookups!$B$2</f>
        <v>155833.95000000001</v>
      </c>
      <c r="BF93">
        <f>VLOOKUP(Grandview_Sales[[#This Row],[quality]],Lookups!$H$2:$J$13,3,FALSE)</f>
        <v>9808</v>
      </c>
      <c r="BG93">
        <f>VLOOKUP(Grandview_Sales[[#This Row],[condition]],Lookups!$H$17:$J$24,3,FALSE)</f>
        <v>22342</v>
      </c>
      <c r="BH93">
        <f>Grandview_Sales[[#This Row],[Eff_Age]]*Lookups!$B$14</f>
        <v>-10762.496999999999</v>
      </c>
      <c r="BI93">
        <f>Grandview_Sales[[#This Row],[living_area]]*Lookups!$B$15</f>
        <v>116776.95681600001</v>
      </c>
      <c r="BJ93">
        <f>Grandview_Sales[[#This Row],[Fin BSMT]]*Lookups!$B$16</f>
        <v>0</v>
      </c>
      <c r="BK93">
        <f>Grandview_Sales[[#This Row],[garage_sqft]]*Lookups!$B$17</f>
        <v>0</v>
      </c>
      <c r="BL93">
        <f>Grandview_Sales[[#This Row],[Plumbing Fixtures]]*Lookups!$B$18</f>
        <v>14073.0926</v>
      </c>
      <c r="BM93">
        <f>Grandview_Sales[[#This Row],[detatched_value]]*Lookups!$B$19</f>
        <v>0</v>
      </c>
      <c r="BN93">
        <f>Grandview_Sales[[#This Row],[days_prior]]*Lookups!$B$20</f>
        <v>-71849.2114</v>
      </c>
      <c r="BO93">
        <f>SUM(Grandview_Sales[[#This Row],[land_value]:[Days Prior To Assessment_value]])</f>
        <v>288861.9984943493</v>
      </c>
      <c r="BP93">
        <f>Grandview_Sales[[#This Row],[predicted_total]]/Grandview_Sales[[#This Row],[sale_price]]</f>
        <v>1.0372064577894051</v>
      </c>
      <c r="BQ93">
        <f>VLOOKUP(Grandview_Sales[[#This Row],[quality]],Lookups!$A$26:$C$33,3,FALSE)</f>
        <v>0.94295468617355149</v>
      </c>
      <c r="BR93">
        <f>VLOOKUP(Grandview_Sales[[#This Row],[condition]],Lookups!$A$37:$C$44,3,FALSE)</f>
        <v>0.97383723671140243</v>
      </c>
      <c r="BS93">
        <f>VLOOKUP(Grandview_Sales[[#This Row],[decade]],Lookups!$F$29:$H$43,3,FALSE)</f>
        <v>0.9871940091910919</v>
      </c>
      <c r="BT93">
        <f>VLOOKUP(Grandview_Sales[[#This Row],[living_area_range]],Lookups!$F$47:$H$56,3,FALSE)</f>
        <v>0.96120133463014379</v>
      </c>
      <c r="BU93">
        <f>Grandview_Sales[[#This Row],[predicted_total]]*AVERAGE(Grandview_Sales[[#This Row],[qual_adj]:[size_adj]])</f>
        <v>279126.42960391531</v>
      </c>
      <c r="BV93">
        <f>Grandview_Sales[[#This Row],[final_total]]/Grandview_Sales[[#This Row],[sale_price]]</f>
        <v>1.0022492983982596</v>
      </c>
      <c r="BW93" s="6">
        <f>(Grandview_Sales[[#This Row],[final_total]]-Grandview_Sales[[#This Row],[sale_price]])^2</f>
        <v>392414.04866149509</v>
      </c>
      <c r="BX93" s="6">
        <f>(Grandview_Sales[[#This Row],[final_total]]-AVERAGE(Grandview_Sales[sale_price]))^2</f>
        <v>774661445.68716049</v>
      </c>
      <c r="BY93" s="6">
        <f>Grandview_Sales[[#This Row],[SSE]]+Grandview_Sales[[#This Row],[SSR]]</f>
        <v>775053859.73582196</v>
      </c>
      <c r="BZ93" s="4">
        <f>ABS(Grandview_Sales[[#This Row],[final_ratio]]-MEDIAN(Grandview_Sales[final_ratio]))</f>
        <v>1.0005790424476579E-3</v>
      </c>
    </row>
    <row r="94" spans="1:78" x14ac:dyDescent="0.25">
      <c r="A94">
        <v>23092323533</v>
      </c>
      <c r="B94">
        <v>0.18</v>
      </c>
      <c r="C94">
        <v>7682</v>
      </c>
      <c r="D94">
        <v>0</v>
      </c>
      <c r="E94" t="s">
        <v>53</v>
      </c>
      <c r="F94" t="s">
        <v>53</v>
      </c>
      <c r="G94">
        <v>4</v>
      </c>
      <c r="H94" t="s">
        <v>54</v>
      </c>
      <c r="I94">
        <v>116200</v>
      </c>
      <c r="J94">
        <v>39300</v>
      </c>
      <c r="K94">
        <v>0.18</v>
      </c>
      <c r="L94">
        <v>-1.7147984280919999</v>
      </c>
      <c r="M94">
        <v>0</v>
      </c>
      <c r="N94">
        <v>0</v>
      </c>
      <c r="O94">
        <v>0</v>
      </c>
      <c r="P94">
        <v>13398.7528</v>
      </c>
      <c r="Q94">
        <v>63902.980100000001</v>
      </c>
      <c r="R94">
        <v>40926.819860167998</v>
      </c>
      <c r="S94" t="s">
        <v>68</v>
      </c>
      <c r="T94">
        <v>1</v>
      </c>
      <c r="U94" t="s">
        <v>70</v>
      </c>
      <c r="V94" t="s">
        <v>69</v>
      </c>
      <c r="W94">
        <v>0</v>
      </c>
      <c r="X94">
        <v>0</v>
      </c>
      <c r="Y94">
        <v>51</v>
      </c>
      <c r="Z94">
        <v>83</v>
      </c>
      <c r="AA94">
        <v>80</v>
      </c>
      <c r="AB94">
        <v>1000</v>
      </c>
      <c r="AC94">
        <v>640</v>
      </c>
      <c r="AD94">
        <v>640</v>
      </c>
      <c r="AE94">
        <v>0</v>
      </c>
      <c r="AF94">
        <v>0</v>
      </c>
      <c r="AG94">
        <v>435</v>
      </c>
      <c r="AH94">
        <v>0</v>
      </c>
      <c r="AI94">
        <v>0</v>
      </c>
      <c r="AJ94">
        <v>0</v>
      </c>
      <c r="AK94">
        <v>0</v>
      </c>
      <c r="AL94">
        <v>5</v>
      </c>
      <c r="AM94">
        <v>0</v>
      </c>
      <c r="AN94">
        <v>0</v>
      </c>
      <c r="AO94" t="s">
        <v>71</v>
      </c>
      <c r="AP94">
        <v>1</v>
      </c>
      <c r="AQ94" t="s">
        <v>75</v>
      </c>
      <c r="AR94" t="s">
        <v>60</v>
      </c>
      <c r="AS94">
        <v>0</v>
      </c>
      <c r="AT94">
        <v>2</v>
      </c>
      <c r="AU94">
        <v>0</v>
      </c>
      <c r="AV94">
        <v>5800</v>
      </c>
      <c r="AW94">
        <v>100</v>
      </c>
      <c r="AX94" s="1">
        <v>44334</v>
      </c>
      <c r="AY94">
        <v>22500</v>
      </c>
      <c r="AZ94">
        <v>84308</v>
      </c>
      <c r="BA94">
        <v>106800</v>
      </c>
      <c r="BB94">
        <v>195000</v>
      </c>
      <c r="BC94">
        <v>593</v>
      </c>
      <c r="BD94">
        <f>Grandview_Sales[[#This Row],[land_extract]]*Lookups!$B$3</f>
        <v>47528.20540119947</v>
      </c>
      <c r="BE94">
        <f>Lookups!$B$2</f>
        <v>155833.95000000001</v>
      </c>
      <c r="BF94">
        <f>VLOOKUP(Grandview_Sales[[#This Row],[quality]],Lookups!$H$2:$J$13,3,FALSE)</f>
        <v>10733</v>
      </c>
      <c r="BG94">
        <f>VLOOKUP(Grandview_Sales[[#This Row],[condition]],Lookups!$H$17:$J$24,3,FALSE)</f>
        <v>-4503</v>
      </c>
      <c r="BH94">
        <f>Grandview_Sales[[#This Row],[Eff_Age]]*Lookups!$B$14</f>
        <v>-12197.496599999999</v>
      </c>
      <c r="BI94">
        <f>Grandview_Sales[[#This Row],[living_area]]*Lookups!$B$15</f>
        <v>39923.745920000001</v>
      </c>
      <c r="BJ94">
        <f>Grandview_Sales[[#This Row],[Fin BSMT]]*Lookups!$B$16</f>
        <v>0</v>
      </c>
      <c r="BK94">
        <f>Grandview_Sales[[#This Row],[garage_sqft]]*Lookups!$B$17</f>
        <v>0</v>
      </c>
      <c r="BL94">
        <f>Grandview_Sales[[#This Row],[Plumbing Fixtures]]*Lookups!$B$18</f>
        <v>10052.209000000001</v>
      </c>
      <c r="BM94">
        <f>Grandview_Sales[[#This Row],[detatched_value]]*Lookups!$B$19</f>
        <v>4911.46958</v>
      </c>
      <c r="BN94">
        <f>Grandview_Sales[[#This Row],[days_prior]]*Lookups!$B$20</f>
        <v>-71129.519799999995</v>
      </c>
      <c r="BO94">
        <f>SUM(Grandview_Sales[[#This Row],[land_value]:[Days Prior To Assessment_value]])</f>
        <v>181152.56350119947</v>
      </c>
      <c r="BP94">
        <f>Grandview_Sales[[#This Row],[predicted_total]]/Grandview_Sales[[#This Row],[sale_price]]</f>
        <v>0.92898750513435624</v>
      </c>
      <c r="BQ94">
        <f>VLOOKUP(Grandview_Sales[[#This Row],[quality]],Lookups!$A$26:$C$33,3,FALSE)</f>
        <v>0.98079741117310582</v>
      </c>
      <c r="BR94">
        <f>VLOOKUP(Grandview_Sales[[#This Row],[condition]],Lookups!$A$37:$C$44,3,FALSE)</f>
        <v>0.96469275950863709</v>
      </c>
      <c r="BS94">
        <f>VLOOKUP(Grandview_Sales[[#This Row],[decade]],Lookups!$F$29:$H$43,3,FALSE)</f>
        <v>0.98763256963907298</v>
      </c>
      <c r="BT94">
        <f>VLOOKUP(Grandview_Sales[[#This Row],[living_area_range]],Lookups!$F$47:$H$56,3,FALSE)</f>
        <v>0.94306777142782894</v>
      </c>
      <c r="BU94">
        <f>Grandview_Sales[[#This Row],[predicted_total]]*AVERAGE(Grandview_Sales[[#This Row],[qual_adj]:[size_adj]])</f>
        <v>175545.46195557329</v>
      </c>
      <c r="BV94">
        <f>Grandview_Sales[[#This Row],[final_total]]/Grandview_Sales[[#This Row],[sale_price]]</f>
        <v>0.90023313823370921</v>
      </c>
      <c r="BW94" s="6">
        <f>(Grandview_Sales[[#This Row],[final_total]]-Grandview_Sales[[#This Row],[sale_price]])^2</f>
        <v>378479050.52204609</v>
      </c>
      <c r="BX94" s="6">
        <f>(Grandview_Sales[[#This Row],[final_total]]-AVERAGE(Grandview_Sales[sale_price]))^2</f>
        <v>17269562698.489624</v>
      </c>
      <c r="BY94" s="6">
        <f>Grandview_Sales[[#This Row],[SSE]]+Grandview_Sales[[#This Row],[SSR]]</f>
        <v>17648041749.011669</v>
      </c>
      <c r="BZ94" s="4">
        <f>ABS(Grandview_Sales[[#This Row],[final_ratio]]-MEDIAN(Grandview_Sales[final_ratio]))</f>
        <v>0.10101558112210274</v>
      </c>
    </row>
    <row r="95" spans="1:78" x14ac:dyDescent="0.25">
      <c r="A95">
        <v>23092711422</v>
      </c>
      <c r="B95">
        <v>0.57999999999999996</v>
      </c>
      <c r="C95">
        <v>0</v>
      </c>
      <c r="D95">
        <v>0</v>
      </c>
      <c r="E95" t="s">
        <v>53</v>
      </c>
      <c r="F95" t="s">
        <v>53</v>
      </c>
      <c r="G95">
        <v>4</v>
      </c>
      <c r="H95" t="s">
        <v>54</v>
      </c>
      <c r="I95">
        <v>153100</v>
      </c>
      <c r="J95">
        <v>51500</v>
      </c>
      <c r="K95">
        <v>0.57999999999999996</v>
      </c>
      <c r="L95">
        <v>-0.544727175442</v>
      </c>
      <c r="M95">
        <v>0</v>
      </c>
      <c r="N95">
        <v>0</v>
      </c>
      <c r="O95">
        <v>0</v>
      </c>
      <c r="P95">
        <v>13398.7528</v>
      </c>
      <c r="Q95">
        <v>63902.980100000001</v>
      </c>
      <c r="R95">
        <v>56604.315332815</v>
      </c>
      <c r="S95" t="s">
        <v>86</v>
      </c>
      <c r="T95">
        <v>2</v>
      </c>
      <c r="U95" t="s">
        <v>65</v>
      </c>
      <c r="V95" t="s">
        <v>69</v>
      </c>
      <c r="W95">
        <v>0</v>
      </c>
      <c r="X95">
        <v>0</v>
      </c>
      <c r="Y95">
        <v>57</v>
      </c>
      <c r="Z95">
        <v>103</v>
      </c>
      <c r="AA95">
        <v>100</v>
      </c>
      <c r="AB95">
        <v>2000</v>
      </c>
      <c r="AC95">
        <v>1792</v>
      </c>
      <c r="AD95">
        <v>1392</v>
      </c>
      <c r="AE95">
        <v>400</v>
      </c>
      <c r="AF95">
        <v>0</v>
      </c>
      <c r="AG95">
        <v>320</v>
      </c>
      <c r="AH95">
        <v>0</v>
      </c>
      <c r="AI95">
        <v>0</v>
      </c>
      <c r="AJ95">
        <v>565</v>
      </c>
      <c r="AK95">
        <v>0</v>
      </c>
      <c r="AL95">
        <v>6</v>
      </c>
      <c r="AM95">
        <v>1</v>
      </c>
      <c r="AN95">
        <v>0</v>
      </c>
      <c r="AO95" t="s">
        <v>71</v>
      </c>
      <c r="AP95">
        <v>1</v>
      </c>
      <c r="AQ95" t="s">
        <v>63</v>
      </c>
      <c r="AR95" t="s">
        <v>60</v>
      </c>
      <c r="AS95">
        <v>0</v>
      </c>
      <c r="AT95">
        <v>4</v>
      </c>
      <c r="AU95">
        <v>0</v>
      </c>
      <c r="AV95">
        <v>0</v>
      </c>
      <c r="AW95">
        <v>100</v>
      </c>
      <c r="AX95" s="1">
        <v>44334</v>
      </c>
      <c r="AY95">
        <v>29500</v>
      </c>
      <c r="AZ95">
        <v>168466</v>
      </c>
      <c r="BA95">
        <v>198000</v>
      </c>
      <c r="BB95">
        <v>228000</v>
      </c>
      <c r="BC95">
        <v>593</v>
      </c>
      <c r="BD95">
        <f>Grandview_Sales[[#This Row],[land_extract]]*Lookups!$B$3</f>
        <v>65734.438564346667</v>
      </c>
      <c r="BE95">
        <f>Lookups!$B$2</f>
        <v>155833.95000000001</v>
      </c>
      <c r="BF95">
        <f>VLOOKUP(Grandview_Sales[[#This Row],[quality]],Lookups!$H$2:$J$13,3,FALSE)</f>
        <v>2251</v>
      </c>
      <c r="BG95">
        <f>VLOOKUP(Grandview_Sales[[#This Row],[condition]],Lookups!$H$17:$J$24,3,FALSE)</f>
        <v>-4503</v>
      </c>
      <c r="BH95">
        <f>Grandview_Sales[[#This Row],[Eff_Age]]*Lookups!$B$14</f>
        <v>-13632.4962</v>
      </c>
      <c r="BI95">
        <f>Grandview_Sales[[#This Row],[living_area]]*Lookups!$B$15</f>
        <v>111786.488576</v>
      </c>
      <c r="BJ95">
        <f>Grandview_Sales[[#This Row],[Fin BSMT]]*Lookups!$B$16</f>
        <v>0</v>
      </c>
      <c r="BK95">
        <f>Grandview_Sales[[#This Row],[garage_sqft]]*Lookups!$B$17</f>
        <v>0</v>
      </c>
      <c r="BL95">
        <f>Grandview_Sales[[#This Row],[Plumbing Fixtures]]*Lookups!$B$18</f>
        <v>12062.650799999999</v>
      </c>
      <c r="BM95">
        <f>Grandview_Sales[[#This Row],[detatched_value]]*Lookups!$B$19</f>
        <v>0</v>
      </c>
      <c r="BN95">
        <f>Grandview_Sales[[#This Row],[days_prior]]*Lookups!$B$20</f>
        <v>-71129.519799999995</v>
      </c>
      <c r="BO95">
        <f>SUM(Grandview_Sales[[#This Row],[land_value]:[Days Prior To Assessment_value]])</f>
        <v>258403.51194034668</v>
      </c>
      <c r="BP95">
        <f>Grandview_Sales[[#This Row],[predicted_total]]/Grandview_Sales[[#This Row],[sale_price]]</f>
        <v>1.133348736580468</v>
      </c>
      <c r="BQ95">
        <f>VLOOKUP(Grandview_Sales[[#This Row],[quality]],Lookups!$A$26:$C$33,3,FALSE)</f>
        <v>0.98763855981004833</v>
      </c>
      <c r="BR95">
        <f>VLOOKUP(Grandview_Sales[[#This Row],[condition]],Lookups!$A$37:$C$44,3,FALSE)</f>
        <v>0.96469275950863709</v>
      </c>
      <c r="BS95">
        <f>VLOOKUP(Grandview_Sales[[#This Row],[decade]],Lookups!$F$29:$H$43,3,FALSE)</f>
        <v>0.95244691841736806</v>
      </c>
      <c r="BT95">
        <f>VLOOKUP(Grandview_Sales[[#This Row],[living_area_range]],Lookups!$F$47:$H$56,3,FALSE)</f>
        <v>0.96120133463014379</v>
      </c>
      <c r="BU95">
        <f>Grandview_Sales[[#This Row],[predicted_total]]*AVERAGE(Grandview_Sales[[#This Row],[qual_adj]:[size_adj]])</f>
        <v>249745.67464726625</v>
      </c>
      <c r="BV95">
        <f>Grandview_Sales[[#This Row],[final_total]]/Grandview_Sales[[#This Row],[sale_price]]</f>
        <v>1.0953757659967818</v>
      </c>
      <c r="BW95" s="6">
        <f>(Grandview_Sales[[#This Row],[final_total]]-Grandview_Sales[[#This Row],[sale_price]])^2</f>
        <v>472874365.86475807</v>
      </c>
      <c r="BX95" s="6">
        <f>(Grandview_Sales[[#This Row],[final_total]]-AVERAGE(Grandview_Sales[sale_price]))^2</f>
        <v>3273384066.3699226</v>
      </c>
      <c r="BY95" s="6">
        <f>Grandview_Sales[[#This Row],[SSE]]+Grandview_Sales[[#This Row],[SSR]]</f>
        <v>3746258432.2346807</v>
      </c>
      <c r="BZ95" s="4">
        <f>ABS(Grandview_Sales[[#This Row],[final_ratio]]-MEDIAN(Grandview_Sales[final_ratio]))</f>
        <v>9.4127046640969825E-2</v>
      </c>
    </row>
    <row r="96" spans="1:78" x14ac:dyDescent="0.25">
      <c r="A96">
        <v>23092621409</v>
      </c>
      <c r="B96">
        <v>0</v>
      </c>
      <c r="C96">
        <v>8250</v>
      </c>
      <c r="D96">
        <v>0</v>
      </c>
      <c r="E96" t="s">
        <v>53</v>
      </c>
      <c r="F96" t="s">
        <v>53</v>
      </c>
      <c r="G96">
        <v>4</v>
      </c>
      <c r="H96" t="s">
        <v>54</v>
      </c>
      <c r="I96">
        <v>265500</v>
      </c>
      <c r="J96">
        <v>39100</v>
      </c>
      <c r="K96">
        <v>0.19</v>
      </c>
      <c r="L96">
        <v>-1.6607312068219999</v>
      </c>
      <c r="M96">
        <v>0</v>
      </c>
      <c r="N96">
        <v>0</v>
      </c>
      <c r="O96">
        <v>0</v>
      </c>
      <c r="P96">
        <v>13398.7528</v>
      </c>
      <c r="Q96">
        <v>63902.980100000001</v>
      </c>
      <c r="R96">
        <v>41651.253192550997</v>
      </c>
      <c r="S96" t="s">
        <v>55</v>
      </c>
      <c r="T96">
        <v>1</v>
      </c>
      <c r="U96" t="s">
        <v>62</v>
      </c>
      <c r="V96" t="s">
        <v>57</v>
      </c>
      <c r="W96">
        <v>0</v>
      </c>
      <c r="X96">
        <v>0</v>
      </c>
      <c r="Y96">
        <v>2</v>
      </c>
      <c r="Z96">
        <v>2</v>
      </c>
      <c r="AA96">
        <v>0</v>
      </c>
      <c r="AB96">
        <v>2000</v>
      </c>
      <c r="AC96">
        <v>1600</v>
      </c>
      <c r="AD96">
        <v>1600</v>
      </c>
      <c r="AE96">
        <v>0</v>
      </c>
      <c r="AF96">
        <v>0</v>
      </c>
      <c r="AG96">
        <v>0</v>
      </c>
      <c r="AH96">
        <v>400</v>
      </c>
      <c r="AI96">
        <v>0</v>
      </c>
      <c r="AJ96">
        <v>0</v>
      </c>
      <c r="AK96">
        <v>0</v>
      </c>
      <c r="AL96">
        <v>9</v>
      </c>
      <c r="AM96">
        <v>0</v>
      </c>
      <c r="AN96">
        <v>0</v>
      </c>
      <c r="AO96" t="s">
        <v>58</v>
      </c>
      <c r="AP96">
        <v>1</v>
      </c>
      <c r="AQ96" t="s">
        <v>63</v>
      </c>
      <c r="AR96" t="s">
        <v>64</v>
      </c>
      <c r="AS96">
        <v>1</v>
      </c>
      <c r="AT96">
        <v>3</v>
      </c>
      <c r="AU96">
        <v>0</v>
      </c>
      <c r="AV96">
        <v>0</v>
      </c>
      <c r="AW96">
        <v>100</v>
      </c>
      <c r="AX96" s="1">
        <v>44336</v>
      </c>
      <c r="AY96">
        <v>22400</v>
      </c>
      <c r="AZ96">
        <v>282110</v>
      </c>
      <c r="BA96">
        <v>304500</v>
      </c>
      <c r="BB96">
        <v>277940</v>
      </c>
      <c r="BC96">
        <v>591</v>
      </c>
      <c r="BD96">
        <f>Grandview_Sales[[#This Row],[land_extract]]*Lookups!$B$3</f>
        <v>48369.487874125851</v>
      </c>
      <c r="BE96">
        <f>Lookups!$B$2</f>
        <v>155833.95000000001</v>
      </c>
      <c r="BF96">
        <f>VLOOKUP(Grandview_Sales[[#This Row],[quality]],Lookups!$H$2:$J$13,3,FALSE)</f>
        <v>9808</v>
      </c>
      <c r="BG96">
        <f>VLOOKUP(Grandview_Sales[[#This Row],[condition]],Lookups!$H$17:$J$24,3,FALSE)</f>
        <v>25780</v>
      </c>
      <c r="BH96">
        <f>Grandview_Sales[[#This Row],[Eff_Age]]*Lookups!$B$14</f>
        <v>-478.33319999999998</v>
      </c>
      <c r="BI96">
        <f>Grandview_Sales[[#This Row],[living_area]]*Lookups!$B$15</f>
        <v>99809.36480000001</v>
      </c>
      <c r="BJ96">
        <f>Grandview_Sales[[#This Row],[Fin BSMT]]*Lookups!$B$16</f>
        <v>0</v>
      </c>
      <c r="BK96">
        <f>Grandview_Sales[[#This Row],[garage_sqft]]*Lookups!$B$17</f>
        <v>35008.174800000001</v>
      </c>
      <c r="BL96">
        <f>Grandview_Sales[[#This Row],[Plumbing Fixtures]]*Lookups!$B$18</f>
        <v>18093.976200000001</v>
      </c>
      <c r="BM96">
        <f>Grandview_Sales[[#This Row],[detatched_value]]*Lookups!$B$19</f>
        <v>0</v>
      </c>
      <c r="BN96">
        <f>Grandview_Sales[[#This Row],[days_prior]]*Lookups!$B$20</f>
        <v>-70889.622600000002</v>
      </c>
      <c r="BO96">
        <f>SUM(Grandview_Sales[[#This Row],[land_value]:[Days Prior To Assessment_value]])</f>
        <v>321334.99787412584</v>
      </c>
      <c r="BP96">
        <f>Grandview_Sales[[#This Row],[predicted_total]]/Grandview_Sales[[#This Row],[sale_price]]</f>
        <v>1.1561308119526728</v>
      </c>
      <c r="BQ96">
        <f>VLOOKUP(Grandview_Sales[[#This Row],[quality]],Lookups!$A$26:$C$33,3,FALSE)</f>
        <v>0.94295468617355149</v>
      </c>
      <c r="BR96">
        <f>VLOOKUP(Grandview_Sales[[#This Row],[condition]],Lookups!$A$37:$C$44,3,FALSE)</f>
        <v>0.94347925387812148</v>
      </c>
      <c r="BS96">
        <f>VLOOKUP(Grandview_Sales[[#This Row],[decade]],Lookups!$F$29:$H$43,3,FALSE)</f>
        <v>0.9413635517371044</v>
      </c>
      <c r="BT96">
        <f>VLOOKUP(Grandview_Sales[[#This Row],[living_area_range]],Lookups!$F$47:$H$56,3,FALSE)</f>
        <v>0.96120133463014379</v>
      </c>
      <c r="BU96">
        <f>Grandview_Sales[[#This Row],[predicted_total]]*AVERAGE(Grandview_Sales[[#This Row],[qual_adj]:[size_adj]])</f>
        <v>304384.48245809734</v>
      </c>
      <c r="BV96">
        <f>Grandview_Sales[[#This Row],[final_total]]/Grandview_Sales[[#This Row],[sale_price]]</f>
        <v>1.0951445724188578</v>
      </c>
      <c r="BW96" s="6">
        <f>(Grandview_Sales[[#This Row],[final_total]]-Grandview_Sales[[#This Row],[sale_price]])^2</f>
        <v>699310652.47661769</v>
      </c>
      <c r="BX96" s="6">
        <f>(Grandview_Sales[[#This Row],[final_total]]-AVERAGE(Grandview_Sales[sale_price]))^2</f>
        <v>6629016.6536197169</v>
      </c>
      <c r="BY96" s="6">
        <f>Grandview_Sales[[#This Row],[SSE]]+Grandview_Sales[[#This Row],[SSR]]</f>
        <v>705939669.13023746</v>
      </c>
      <c r="BZ96" s="4">
        <f>ABS(Grandview_Sales[[#This Row],[final_ratio]]-MEDIAN(Grandview_Sales[final_ratio]))</f>
        <v>9.389585306304582E-2</v>
      </c>
    </row>
    <row r="97" spans="1:78" x14ac:dyDescent="0.25">
      <c r="A97">
        <v>23092621406</v>
      </c>
      <c r="B97">
        <v>0</v>
      </c>
      <c r="C97">
        <v>8250</v>
      </c>
      <c r="D97">
        <v>0</v>
      </c>
      <c r="E97" t="s">
        <v>53</v>
      </c>
      <c r="F97" t="s">
        <v>53</v>
      </c>
      <c r="G97">
        <v>4</v>
      </c>
      <c r="H97" t="s">
        <v>54</v>
      </c>
      <c r="I97">
        <v>253600</v>
      </c>
      <c r="J97">
        <v>39100</v>
      </c>
      <c r="K97">
        <v>0.19</v>
      </c>
      <c r="L97">
        <v>-1.6607312068219999</v>
      </c>
      <c r="M97">
        <v>0</v>
      </c>
      <c r="N97">
        <v>0</v>
      </c>
      <c r="O97">
        <v>0</v>
      </c>
      <c r="P97">
        <v>13398.7528</v>
      </c>
      <c r="Q97">
        <v>63902.980100000001</v>
      </c>
      <c r="R97">
        <v>41651.253192550997</v>
      </c>
      <c r="S97" t="s">
        <v>61</v>
      </c>
      <c r="T97">
        <v>1</v>
      </c>
      <c r="U97" t="s">
        <v>62</v>
      </c>
      <c r="V97" t="s">
        <v>57</v>
      </c>
      <c r="W97">
        <v>0</v>
      </c>
      <c r="X97">
        <v>0</v>
      </c>
      <c r="Y97">
        <v>2</v>
      </c>
      <c r="Z97">
        <v>2</v>
      </c>
      <c r="AA97">
        <v>0</v>
      </c>
      <c r="AB97">
        <v>2000</v>
      </c>
      <c r="AC97">
        <v>1600</v>
      </c>
      <c r="AD97">
        <v>1600</v>
      </c>
      <c r="AE97">
        <v>0</v>
      </c>
      <c r="AF97">
        <v>0</v>
      </c>
      <c r="AG97">
        <v>0</v>
      </c>
      <c r="AH97">
        <v>400</v>
      </c>
      <c r="AI97">
        <v>0</v>
      </c>
      <c r="AJ97">
        <v>0</v>
      </c>
      <c r="AK97">
        <v>0</v>
      </c>
      <c r="AL97">
        <v>9</v>
      </c>
      <c r="AM97">
        <v>0</v>
      </c>
      <c r="AN97">
        <v>0</v>
      </c>
      <c r="AO97" t="s">
        <v>58</v>
      </c>
      <c r="AP97">
        <v>1</v>
      </c>
      <c r="AQ97" t="s">
        <v>63</v>
      </c>
      <c r="AR97" t="s">
        <v>64</v>
      </c>
      <c r="AS97">
        <v>1</v>
      </c>
      <c r="AT97">
        <v>3</v>
      </c>
      <c r="AU97">
        <v>0</v>
      </c>
      <c r="AV97">
        <v>0</v>
      </c>
      <c r="AW97">
        <v>100</v>
      </c>
      <c r="AX97" s="1">
        <v>44337</v>
      </c>
      <c r="AY97">
        <v>22400</v>
      </c>
      <c r="AZ97">
        <v>282110</v>
      </c>
      <c r="BA97">
        <v>304500</v>
      </c>
      <c r="BB97">
        <v>288240</v>
      </c>
      <c r="BC97">
        <v>590</v>
      </c>
      <c r="BD97">
        <f>Grandview_Sales[[#This Row],[land_extract]]*Lookups!$B$3</f>
        <v>48369.487874125851</v>
      </c>
      <c r="BE97">
        <f>Lookups!$B$2</f>
        <v>155833.95000000001</v>
      </c>
      <c r="BF97">
        <f>VLOOKUP(Grandview_Sales[[#This Row],[quality]],Lookups!$H$2:$J$13,3,FALSE)</f>
        <v>9808</v>
      </c>
      <c r="BG97">
        <f>VLOOKUP(Grandview_Sales[[#This Row],[condition]],Lookups!$H$17:$J$24,3,FALSE)</f>
        <v>25780</v>
      </c>
      <c r="BH97">
        <f>Grandview_Sales[[#This Row],[Eff_Age]]*Lookups!$B$14</f>
        <v>-478.33319999999998</v>
      </c>
      <c r="BI97">
        <f>Grandview_Sales[[#This Row],[living_area]]*Lookups!$B$15</f>
        <v>99809.36480000001</v>
      </c>
      <c r="BJ97">
        <f>Grandview_Sales[[#This Row],[Fin BSMT]]*Lookups!$B$16</f>
        <v>0</v>
      </c>
      <c r="BK97">
        <f>Grandview_Sales[[#This Row],[garage_sqft]]*Lookups!$B$17</f>
        <v>35008.174800000001</v>
      </c>
      <c r="BL97">
        <f>Grandview_Sales[[#This Row],[Plumbing Fixtures]]*Lookups!$B$18</f>
        <v>18093.976200000001</v>
      </c>
      <c r="BM97">
        <f>Grandview_Sales[[#This Row],[detatched_value]]*Lookups!$B$19</f>
        <v>0</v>
      </c>
      <c r="BN97">
        <f>Grandview_Sales[[#This Row],[days_prior]]*Lookups!$B$20</f>
        <v>-70769.673999999999</v>
      </c>
      <c r="BO97">
        <f>SUM(Grandview_Sales[[#This Row],[land_value]:[Days Prior To Assessment_value]])</f>
        <v>321454.94647412584</v>
      </c>
      <c r="BP97">
        <f>Grandview_Sales[[#This Row],[predicted_total]]/Grandview_Sales[[#This Row],[sale_price]]</f>
        <v>1.1152336472180331</v>
      </c>
      <c r="BQ97">
        <f>VLOOKUP(Grandview_Sales[[#This Row],[quality]],Lookups!$A$26:$C$33,3,FALSE)</f>
        <v>0.94295468617355149</v>
      </c>
      <c r="BR97">
        <f>VLOOKUP(Grandview_Sales[[#This Row],[condition]],Lookups!$A$37:$C$44,3,FALSE)</f>
        <v>0.94347925387812148</v>
      </c>
      <c r="BS97">
        <f>VLOOKUP(Grandview_Sales[[#This Row],[decade]],Lookups!$F$29:$H$43,3,FALSE)</f>
        <v>0.9413635517371044</v>
      </c>
      <c r="BT97">
        <f>VLOOKUP(Grandview_Sales[[#This Row],[living_area_range]],Lookups!$F$47:$H$56,3,FALSE)</f>
        <v>0.96120133463014379</v>
      </c>
      <c r="BU97">
        <f>Grandview_Sales[[#This Row],[predicted_total]]*AVERAGE(Grandview_Sales[[#This Row],[qual_adj]:[size_adj]])</f>
        <v>304498.10373425501</v>
      </c>
      <c r="BV97">
        <f>Grandview_Sales[[#This Row],[final_total]]/Grandview_Sales[[#This Row],[sale_price]]</f>
        <v>1.0564047451230052</v>
      </c>
      <c r="BW97" s="6">
        <f>(Grandview_Sales[[#This Row],[final_total]]-Grandview_Sales[[#This Row],[sale_price]])^2</f>
        <v>264325937.03379676</v>
      </c>
      <c r="BX97" s="6">
        <f>(Grandview_Sales[[#This Row],[final_total]]-AVERAGE(Grandview_Sales[sale_price]))^2</f>
        <v>6056847.8480174551</v>
      </c>
      <c r="BY97" s="6">
        <f>Grandview_Sales[[#This Row],[SSE]]+Grandview_Sales[[#This Row],[SSR]]</f>
        <v>270382784.88181424</v>
      </c>
      <c r="BZ97" s="4">
        <f>ABS(Grandview_Sales[[#This Row],[final_ratio]]-MEDIAN(Grandview_Sales[final_ratio]))</f>
        <v>5.5156025767193251E-2</v>
      </c>
    </row>
    <row r="98" spans="1:78" x14ac:dyDescent="0.25">
      <c r="A98">
        <v>23091911439</v>
      </c>
      <c r="B98">
        <v>0.86</v>
      </c>
      <c r="C98">
        <v>37473</v>
      </c>
      <c r="D98">
        <v>0</v>
      </c>
      <c r="E98" t="s">
        <v>53</v>
      </c>
      <c r="F98" t="s">
        <v>53</v>
      </c>
      <c r="G98">
        <v>4</v>
      </c>
      <c r="H98" t="s">
        <v>54</v>
      </c>
      <c r="I98">
        <v>386500</v>
      </c>
      <c r="J98">
        <v>49100</v>
      </c>
      <c r="K98">
        <v>0.86</v>
      </c>
      <c r="L98">
        <v>-0.15082288973499999</v>
      </c>
      <c r="M98">
        <v>0</v>
      </c>
      <c r="N98">
        <v>0</v>
      </c>
      <c r="O98">
        <v>0</v>
      </c>
      <c r="P98">
        <v>13398.7528</v>
      </c>
      <c r="Q98">
        <v>63902.980100000001</v>
      </c>
      <c r="R98">
        <v>61882.141483865002</v>
      </c>
      <c r="S98" t="s">
        <v>58</v>
      </c>
      <c r="T98">
        <v>1</v>
      </c>
      <c r="U98" t="s">
        <v>72</v>
      </c>
      <c r="V98" t="s">
        <v>66</v>
      </c>
      <c r="W98">
        <v>78400</v>
      </c>
      <c r="X98">
        <v>0</v>
      </c>
      <c r="Y98">
        <v>24</v>
      </c>
      <c r="Z98">
        <v>24</v>
      </c>
      <c r="AA98">
        <v>20</v>
      </c>
      <c r="AB98">
        <v>3000</v>
      </c>
      <c r="AC98">
        <v>2686</v>
      </c>
      <c r="AD98">
        <v>2686</v>
      </c>
      <c r="AE98">
        <v>0</v>
      </c>
      <c r="AF98">
        <v>0</v>
      </c>
      <c r="AG98">
        <v>0</v>
      </c>
      <c r="AH98">
        <v>1118</v>
      </c>
      <c r="AI98">
        <v>0</v>
      </c>
      <c r="AJ98">
        <v>0</v>
      </c>
      <c r="AK98">
        <v>500</v>
      </c>
      <c r="AL98">
        <v>12</v>
      </c>
      <c r="AM98">
        <v>0</v>
      </c>
      <c r="AN98">
        <v>2</v>
      </c>
      <c r="AO98" t="s">
        <v>73</v>
      </c>
      <c r="AP98">
        <v>1</v>
      </c>
      <c r="AQ98" t="s">
        <v>63</v>
      </c>
      <c r="AR98" t="s">
        <v>60</v>
      </c>
      <c r="AS98">
        <v>1</v>
      </c>
      <c r="AT98">
        <v>3</v>
      </c>
      <c r="AU98">
        <v>0</v>
      </c>
      <c r="AV98">
        <v>0</v>
      </c>
      <c r="AW98">
        <v>100</v>
      </c>
      <c r="AX98" s="1">
        <v>44337</v>
      </c>
      <c r="AY98">
        <v>28100</v>
      </c>
      <c r="AZ98">
        <v>719981</v>
      </c>
      <c r="BA98">
        <v>748100</v>
      </c>
      <c r="BB98">
        <v>545000</v>
      </c>
      <c r="BC98">
        <v>590</v>
      </c>
      <c r="BD98">
        <f>Grandview_Sales[[#This Row],[land_extract]]*Lookups!$B$3</f>
        <v>71863.563823430421</v>
      </c>
      <c r="BE98">
        <f>Lookups!$B$2</f>
        <v>155833.95000000001</v>
      </c>
      <c r="BF98">
        <f>VLOOKUP(Grandview_Sales[[#This Row],[quality]],Lookups!$H$2:$J$13,3,FALSE)</f>
        <v>78466</v>
      </c>
      <c r="BG98">
        <f>VLOOKUP(Grandview_Sales[[#This Row],[condition]],Lookups!$H$17:$J$24,3,FALSE)</f>
        <v>25818</v>
      </c>
      <c r="BH98">
        <f>Grandview_Sales[[#This Row],[Eff_Age]]*Lookups!$B$14</f>
        <v>-5739.9983999999995</v>
      </c>
      <c r="BI98">
        <f>Grandview_Sales[[#This Row],[living_area]]*Lookups!$B$15</f>
        <v>167554.971158</v>
      </c>
      <c r="BJ98">
        <f>Grandview_Sales[[#This Row],[Fin BSMT]]*Lookups!$B$16</f>
        <v>0</v>
      </c>
      <c r="BK98">
        <f>Grandview_Sales[[#This Row],[garage_sqft]]*Lookups!$B$17</f>
        <v>97847.848566000001</v>
      </c>
      <c r="BL98">
        <f>Grandview_Sales[[#This Row],[Plumbing Fixtures]]*Lookups!$B$18</f>
        <v>24125.301599999999</v>
      </c>
      <c r="BM98">
        <f>Grandview_Sales[[#This Row],[detatched_value]]*Lookups!$B$19</f>
        <v>0</v>
      </c>
      <c r="BN98">
        <f>Grandview_Sales[[#This Row],[days_prior]]*Lookups!$B$20</f>
        <v>-70769.673999999999</v>
      </c>
      <c r="BO98">
        <f>SUM(Grandview_Sales[[#This Row],[land_value]:[Days Prior To Assessment_value]])</f>
        <v>544999.96274743043</v>
      </c>
      <c r="BP98">
        <f>Grandview_Sales[[#This Row],[predicted_total]]/Grandview_Sales[[#This Row],[sale_price]]</f>
        <v>0.99999993164666134</v>
      </c>
      <c r="BQ98">
        <f>VLOOKUP(Grandview_Sales[[#This Row],[quality]],Lookups!$A$26:$C$33,3,FALSE)</f>
        <v>1.0000000683533434</v>
      </c>
      <c r="BR98">
        <f>VLOOKUP(Grandview_Sales[[#This Row],[condition]],Lookups!$A$37:$C$44,3,FALSE)</f>
        <v>0.96661476234146892</v>
      </c>
      <c r="BS98">
        <f>VLOOKUP(Grandview_Sales[[#This Row],[decade]],Lookups!$F$29:$H$43,3,FALSE)</f>
        <v>0.96737494181490646</v>
      </c>
      <c r="BT98">
        <f>VLOOKUP(Grandview_Sales[[#This Row],[living_area_range]],Lookups!$F$47:$H$56,3,FALSE)</f>
        <v>0.94224801443562123</v>
      </c>
      <c r="BU98">
        <f>Grandview_Sales[[#This Row],[predicted_total]]*AVERAGE(Grandview_Sales[[#This Row],[qual_adj]:[size_adj]])</f>
        <v>528137.36237134819</v>
      </c>
      <c r="BV98">
        <f>Grandview_Sales[[#This Row],[final_total]]/Grandview_Sales[[#This Row],[sale_price]]</f>
        <v>0.96905938049788665</v>
      </c>
      <c r="BW98" s="6">
        <f>(Grandview_Sales[[#This Row],[final_total]]-Grandview_Sales[[#This Row],[sale_price]])^2</f>
        <v>284348547.79522383</v>
      </c>
      <c r="BX98" s="6">
        <f>(Grandview_Sales[[#This Row],[final_total]]-AVERAGE(Grandview_Sales[sale_price]))^2</f>
        <v>48919792719.218727</v>
      </c>
      <c r="BY98" s="6">
        <f>Grandview_Sales[[#This Row],[SSE]]+Grandview_Sales[[#This Row],[SSR]]</f>
        <v>49204141267.013954</v>
      </c>
      <c r="BZ98" s="4">
        <f>ABS(Grandview_Sales[[#This Row],[final_ratio]]-MEDIAN(Grandview_Sales[final_ratio]))</f>
        <v>3.2189338857925298E-2</v>
      </c>
    </row>
    <row r="99" spans="1:78" x14ac:dyDescent="0.25">
      <c r="A99">
        <v>23092323535</v>
      </c>
      <c r="B99">
        <v>0.19</v>
      </c>
      <c r="C99">
        <v>8173</v>
      </c>
      <c r="D99">
        <v>0</v>
      </c>
      <c r="E99" t="s">
        <v>53</v>
      </c>
      <c r="F99" t="s">
        <v>53</v>
      </c>
      <c r="G99">
        <v>4</v>
      </c>
      <c r="H99" t="s">
        <v>54</v>
      </c>
      <c r="I99">
        <v>165100</v>
      </c>
      <c r="J99">
        <v>39500</v>
      </c>
      <c r="K99">
        <v>0.19</v>
      </c>
      <c r="L99">
        <v>-1.6607312068219999</v>
      </c>
      <c r="M99">
        <v>0</v>
      </c>
      <c r="N99">
        <v>0</v>
      </c>
      <c r="O99">
        <v>0</v>
      </c>
      <c r="P99">
        <v>13398.7528</v>
      </c>
      <c r="Q99">
        <v>63902.980100000001</v>
      </c>
      <c r="R99">
        <v>41651.253192550997</v>
      </c>
      <c r="S99" t="s">
        <v>68</v>
      </c>
      <c r="T99">
        <v>1</v>
      </c>
      <c r="U99" t="s">
        <v>62</v>
      </c>
      <c r="V99" t="s">
        <v>69</v>
      </c>
      <c r="W99">
        <v>0</v>
      </c>
      <c r="X99">
        <v>0</v>
      </c>
      <c r="Y99">
        <v>53</v>
      </c>
      <c r="Z99">
        <v>93</v>
      </c>
      <c r="AA99">
        <v>90</v>
      </c>
      <c r="AB99">
        <v>2000</v>
      </c>
      <c r="AC99">
        <v>1618</v>
      </c>
      <c r="AD99">
        <v>1388</v>
      </c>
      <c r="AE99">
        <v>0</v>
      </c>
      <c r="AF99">
        <v>230</v>
      </c>
      <c r="AG99">
        <v>466</v>
      </c>
      <c r="AH99">
        <v>0</v>
      </c>
      <c r="AI99">
        <v>0</v>
      </c>
      <c r="AJ99">
        <v>0</v>
      </c>
      <c r="AK99">
        <v>232</v>
      </c>
      <c r="AL99">
        <v>8</v>
      </c>
      <c r="AM99">
        <v>0</v>
      </c>
      <c r="AN99">
        <v>0</v>
      </c>
      <c r="AO99" t="s">
        <v>71</v>
      </c>
      <c r="AP99">
        <v>1</v>
      </c>
      <c r="AQ99" t="s">
        <v>59</v>
      </c>
      <c r="AR99" t="s">
        <v>60</v>
      </c>
      <c r="AS99">
        <v>1</v>
      </c>
      <c r="AT99">
        <v>3</v>
      </c>
      <c r="AU99">
        <v>0</v>
      </c>
      <c r="AV99">
        <v>10700</v>
      </c>
      <c r="AW99">
        <v>100</v>
      </c>
      <c r="AX99" s="1">
        <v>44342</v>
      </c>
      <c r="AY99">
        <v>22600</v>
      </c>
      <c r="AZ99">
        <v>208924</v>
      </c>
      <c r="BA99">
        <v>231500</v>
      </c>
      <c r="BB99">
        <v>250000</v>
      </c>
      <c r="BC99">
        <v>585</v>
      </c>
      <c r="BD99">
        <f>Grandview_Sales[[#This Row],[land_extract]]*Lookups!$B$3</f>
        <v>48369.487874125851</v>
      </c>
      <c r="BE99">
        <f>Lookups!$B$2</f>
        <v>155833.95000000001</v>
      </c>
      <c r="BF99">
        <f>VLOOKUP(Grandview_Sales[[#This Row],[quality]],Lookups!$H$2:$J$13,3,FALSE)</f>
        <v>9808</v>
      </c>
      <c r="BG99">
        <f>VLOOKUP(Grandview_Sales[[#This Row],[condition]],Lookups!$H$17:$J$24,3,FALSE)</f>
        <v>-4503</v>
      </c>
      <c r="BH99">
        <f>Grandview_Sales[[#This Row],[Eff_Age]]*Lookups!$B$14</f>
        <v>-12675.8298</v>
      </c>
      <c r="BI99">
        <f>Grandview_Sales[[#This Row],[living_area]]*Lookups!$B$15</f>
        <v>100932.22015400001</v>
      </c>
      <c r="BJ99">
        <f>Grandview_Sales[[#This Row],[Fin BSMT]]*Lookups!$B$16</f>
        <v>-6232.8252000000002</v>
      </c>
      <c r="BK99">
        <f>Grandview_Sales[[#This Row],[garage_sqft]]*Lookups!$B$17</f>
        <v>0</v>
      </c>
      <c r="BL99">
        <f>Grandview_Sales[[#This Row],[Plumbing Fixtures]]*Lookups!$B$18</f>
        <v>16083.5344</v>
      </c>
      <c r="BM99">
        <f>Grandview_Sales[[#This Row],[detatched_value]]*Lookups!$B$19</f>
        <v>9060.8145700000005</v>
      </c>
      <c r="BN99">
        <f>Grandview_Sales[[#This Row],[days_prior]]*Lookups!$B$20</f>
        <v>-70169.930999999997</v>
      </c>
      <c r="BO99">
        <f>SUM(Grandview_Sales[[#This Row],[land_value]:[Days Prior To Assessment_value]])</f>
        <v>246506.42099812586</v>
      </c>
      <c r="BP99">
        <f>Grandview_Sales[[#This Row],[predicted_total]]/Grandview_Sales[[#This Row],[sale_price]]</f>
        <v>0.98602568399250345</v>
      </c>
      <c r="BQ99">
        <f>VLOOKUP(Grandview_Sales[[#This Row],[quality]],Lookups!$A$26:$C$33,3,FALSE)</f>
        <v>0.94295468617355149</v>
      </c>
      <c r="BR99">
        <f>VLOOKUP(Grandview_Sales[[#This Row],[condition]],Lookups!$A$37:$C$44,3,FALSE)</f>
        <v>0.96469275950863709</v>
      </c>
      <c r="BS99">
        <f>VLOOKUP(Grandview_Sales[[#This Row],[decade]],Lookups!$F$29:$H$43,3,FALSE)</f>
        <v>0.94161750052457416</v>
      </c>
      <c r="BT99">
        <f>VLOOKUP(Grandview_Sales[[#This Row],[living_area_range]],Lookups!$F$47:$H$56,3,FALSE)</f>
        <v>0.96120133463014379</v>
      </c>
      <c r="BU99">
        <f>Grandview_Sales[[#This Row],[predicted_total]]*AVERAGE(Grandview_Sales[[#This Row],[qual_adj]:[size_adj]])</f>
        <v>234826.10130578635</v>
      </c>
      <c r="BV99">
        <f>Grandview_Sales[[#This Row],[final_total]]/Grandview_Sales[[#This Row],[sale_price]]</f>
        <v>0.9393044052231454</v>
      </c>
      <c r="BW99" s="6">
        <f>(Grandview_Sales[[#This Row],[final_total]]-Grandview_Sales[[#This Row],[sale_price]])^2</f>
        <v>230247201.58225885</v>
      </c>
      <c r="BX99" s="6">
        <f>(Grandview_Sales[[#This Row],[final_total]]-AVERAGE(Grandview_Sales[sale_price]))^2</f>
        <v>5203179619.2811079</v>
      </c>
      <c r="BY99" s="6">
        <f>Grandview_Sales[[#This Row],[SSE]]+Grandview_Sales[[#This Row],[SSR]]</f>
        <v>5433426820.8633671</v>
      </c>
      <c r="BZ99" s="4">
        <f>ABS(Grandview_Sales[[#This Row],[final_ratio]]-MEDIAN(Grandview_Sales[final_ratio]))</f>
        <v>6.1944314132666545E-2</v>
      </c>
    </row>
    <row r="100" spans="1:78" x14ac:dyDescent="0.25">
      <c r="A100">
        <v>23092621415</v>
      </c>
      <c r="B100">
        <v>0</v>
      </c>
      <c r="C100">
        <v>8250</v>
      </c>
      <c r="D100">
        <v>0</v>
      </c>
      <c r="E100" t="s">
        <v>53</v>
      </c>
      <c r="F100" t="s">
        <v>53</v>
      </c>
      <c r="G100">
        <v>4</v>
      </c>
      <c r="H100" t="s">
        <v>54</v>
      </c>
      <c r="I100">
        <v>250600</v>
      </c>
      <c r="J100">
        <v>39100</v>
      </c>
      <c r="K100">
        <v>0.19</v>
      </c>
      <c r="L100">
        <v>-1.6607312068219999</v>
      </c>
      <c r="M100">
        <v>0</v>
      </c>
      <c r="N100">
        <v>0</v>
      </c>
      <c r="O100">
        <v>0</v>
      </c>
      <c r="P100">
        <v>13398.7528</v>
      </c>
      <c r="Q100">
        <v>63902.980100000001</v>
      </c>
      <c r="R100">
        <v>41651.253192550997</v>
      </c>
      <c r="S100" t="s">
        <v>61</v>
      </c>
      <c r="T100">
        <v>1</v>
      </c>
      <c r="U100" t="s">
        <v>62</v>
      </c>
      <c r="V100" t="s">
        <v>57</v>
      </c>
      <c r="W100">
        <v>0</v>
      </c>
      <c r="X100">
        <v>0</v>
      </c>
      <c r="Y100">
        <v>2</v>
      </c>
      <c r="Z100">
        <v>2</v>
      </c>
      <c r="AA100">
        <v>0</v>
      </c>
      <c r="AB100">
        <v>2000</v>
      </c>
      <c r="AC100">
        <v>1544</v>
      </c>
      <c r="AD100">
        <v>1544</v>
      </c>
      <c r="AE100">
        <v>0</v>
      </c>
      <c r="AF100">
        <v>0</v>
      </c>
      <c r="AG100">
        <v>0</v>
      </c>
      <c r="AH100">
        <v>400</v>
      </c>
      <c r="AI100">
        <v>0</v>
      </c>
      <c r="AJ100">
        <v>0</v>
      </c>
      <c r="AK100">
        <v>0</v>
      </c>
      <c r="AL100">
        <v>9</v>
      </c>
      <c r="AM100">
        <v>0</v>
      </c>
      <c r="AN100">
        <v>0</v>
      </c>
      <c r="AO100" t="s">
        <v>58</v>
      </c>
      <c r="AP100">
        <v>1</v>
      </c>
      <c r="AQ100" t="s">
        <v>63</v>
      </c>
      <c r="AR100" t="s">
        <v>64</v>
      </c>
      <c r="AS100">
        <v>1</v>
      </c>
      <c r="AT100">
        <v>3</v>
      </c>
      <c r="AU100">
        <v>0</v>
      </c>
      <c r="AV100">
        <v>0</v>
      </c>
      <c r="AW100">
        <v>100</v>
      </c>
      <c r="AX100" s="1">
        <v>44343</v>
      </c>
      <c r="AY100">
        <v>22400</v>
      </c>
      <c r="AZ100">
        <v>275496</v>
      </c>
      <c r="BA100">
        <v>297900</v>
      </c>
      <c r="BB100">
        <v>318336</v>
      </c>
      <c r="BC100">
        <v>584</v>
      </c>
      <c r="BD100">
        <f>Grandview_Sales[[#This Row],[land_extract]]*Lookups!$B$3</f>
        <v>48369.487874125851</v>
      </c>
      <c r="BE100">
        <f>Lookups!$B$2</f>
        <v>155833.95000000001</v>
      </c>
      <c r="BF100">
        <f>VLOOKUP(Grandview_Sales[[#This Row],[quality]],Lookups!$H$2:$J$13,3,FALSE)</f>
        <v>9808</v>
      </c>
      <c r="BG100">
        <f>VLOOKUP(Grandview_Sales[[#This Row],[condition]],Lookups!$H$17:$J$24,3,FALSE)</f>
        <v>25780</v>
      </c>
      <c r="BH100">
        <f>Grandview_Sales[[#This Row],[Eff_Age]]*Lookups!$B$14</f>
        <v>-478.33319999999998</v>
      </c>
      <c r="BI100">
        <f>Grandview_Sales[[#This Row],[living_area]]*Lookups!$B$15</f>
        <v>96316.037032000007</v>
      </c>
      <c r="BJ100">
        <f>Grandview_Sales[[#This Row],[Fin BSMT]]*Lookups!$B$16</f>
        <v>0</v>
      </c>
      <c r="BK100">
        <f>Grandview_Sales[[#This Row],[garage_sqft]]*Lookups!$B$17</f>
        <v>35008.174800000001</v>
      </c>
      <c r="BL100">
        <f>Grandview_Sales[[#This Row],[Plumbing Fixtures]]*Lookups!$B$18</f>
        <v>18093.976200000001</v>
      </c>
      <c r="BM100">
        <f>Grandview_Sales[[#This Row],[detatched_value]]*Lookups!$B$19</f>
        <v>0</v>
      </c>
      <c r="BN100">
        <f>Grandview_Sales[[#This Row],[days_prior]]*Lookups!$B$20</f>
        <v>-70049.982399999994</v>
      </c>
      <c r="BO100">
        <f>SUM(Grandview_Sales[[#This Row],[land_value]:[Days Prior To Assessment_value]])</f>
        <v>318681.31030612584</v>
      </c>
      <c r="BP100">
        <f>Grandview_Sales[[#This Row],[predicted_total]]/Grandview_Sales[[#This Row],[sale_price]]</f>
        <v>1.0010847353303611</v>
      </c>
      <c r="BQ100">
        <f>VLOOKUP(Grandview_Sales[[#This Row],[quality]],Lookups!$A$26:$C$33,3,FALSE)</f>
        <v>0.94295468617355149</v>
      </c>
      <c r="BR100">
        <f>VLOOKUP(Grandview_Sales[[#This Row],[condition]],Lookups!$A$37:$C$44,3,FALSE)</f>
        <v>0.94347925387812148</v>
      </c>
      <c r="BS100">
        <f>VLOOKUP(Grandview_Sales[[#This Row],[decade]],Lookups!$F$29:$H$43,3,FALSE)</f>
        <v>0.9413635517371044</v>
      </c>
      <c r="BT100">
        <f>VLOOKUP(Grandview_Sales[[#This Row],[living_area_range]],Lookups!$F$47:$H$56,3,FALSE)</f>
        <v>0.96120133463014379</v>
      </c>
      <c r="BU100">
        <f>Grandview_Sales[[#This Row],[predicted_total]]*AVERAGE(Grandview_Sales[[#This Row],[qual_adj]:[size_adj]])</f>
        <v>301870.77768788871</v>
      </c>
      <c r="BV100">
        <f>Grandview_Sales[[#This Row],[final_total]]/Grandview_Sales[[#This Row],[sale_price]]</f>
        <v>0.94827722182815866</v>
      </c>
      <c r="BW100" s="6">
        <f>(Grandview_Sales[[#This Row],[final_total]]-Grandview_Sales[[#This Row],[sale_price]])^2</f>
        <v>271103545.78724748</v>
      </c>
      <c r="BX100" s="6">
        <f>(Grandview_Sales[[#This Row],[final_total]]-AVERAGE(Grandview_Sales[sale_price]))^2</f>
        <v>25891737.735395487</v>
      </c>
      <c r="BY100" s="6">
        <f>Grandview_Sales[[#This Row],[SSE]]+Grandview_Sales[[#This Row],[SSR]]</f>
        <v>296995283.52264297</v>
      </c>
      <c r="BZ100" s="4">
        <f>ABS(Grandview_Sales[[#This Row],[final_ratio]]-MEDIAN(Grandview_Sales[final_ratio]))</f>
        <v>5.2971497527653288E-2</v>
      </c>
    </row>
    <row r="101" spans="1:78" x14ac:dyDescent="0.25">
      <c r="A101">
        <v>23092621411</v>
      </c>
      <c r="B101">
        <v>0</v>
      </c>
      <c r="C101">
        <v>8250</v>
      </c>
      <c r="D101">
        <v>0</v>
      </c>
      <c r="E101" t="s">
        <v>53</v>
      </c>
      <c r="F101" t="s">
        <v>53</v>
      </c>
      <c r="G101">
        <v>4</v>
      </c>
      <c r="H101" t="s">
        <v>54</v>
      </c>
      <c r="I101">
        <v>296400</v>
      </c>
      <c r="J101">
        <v>39100</v>
      </c>
      <c r="K101">
        <v>0.19</v>
      </c>
      <c r="L101">
        <v>-1.6607312068219999</v>
      </c>
      <c r="M101">
        <v>0</v>
      </c>
      <c r="N101">
        <v>0</v>
      </c>
      <c r="O101">
        <v>0</v>
      </c>
      <c r="P101">
        <v>13398.7528</v>
      </c>
      <c r="Q101">
        <v>63902.980100000001</v>
      </c>
      <c r="R101">
        <v>41651.253192550997</v>
      </c>
      <c r="S101" t="s">
        <v>61</v>
      </c>
      <c r="T101">
        <v>1</v>
      </c>
      <c r="U101" t="s">
        <v>62</v>
      </c>
      <c r="V101" t="s">
        <v>57</v>
      </c>
      <c r="W101">
        <v>0</v>
      </c>
      <c r="X101">
        <v>0</v>
      </c>
      <c r="Y101">
        <v>2</v>
      </c>
      <c r="Z101">
        <v>2</v>
      </c>
      <c r="AA101">
        <v>0</v>
      </c>
      <c r="AB101">
        <v>2500</v>
      </c>
      <c r="AC101">
        <v>2040</v>
      </c>
      <c r="AD101">
        <v>2040</v>
      </c>
      <c r="AE101">
        <v>0</v>
      </c>
      <c r="AF101">
        <v>0</v>
      </c>
      <c r="AG101">
        <v>0</v>
      </c>
      <c r="AH101">
        <v>664</v>
      </c>
      <c r="AI101">
        <v>0</v>
      </c>
      <c r="AJ101">
        <v>0</v>
      </c>
      <c r="AK101">
        <v>0</v>
      </c>
      <c r="AL101">
        <v>10</v>
      </c>
      <c r="AM101">
        <v>0</v>
      </c>
      <c r="AN101">
        <v>0</v>
      </c>
      <c r="AO101" t="s">
        <v>58</v>
      </c>
      <c r="AP101">
        <v>1</v>
      </c>
      <c r="AQ101" t="s">
        <v>63</v>
      </c>
      <c r="AR101" t="s">
        <v>64</v>
      </c>
      <c r="AS101">
        <v>1</v>
      </c>
      <c r="AT101">
        <v>3</v>
      </c>
      <c r="AU101">
        <v>0</v>
      </c>
      <c r="AV101">
        <v>0</v>
      </c>
      <c r="AW101">
        <v>100</v>
      </c>
      <c r="AX101" s="1">
        <v>44343</v>
      </c>
      <c r="AY101">
        <v>22400</v>
      </c>
      <c r="AZ101">
        <v>349791</v>
      </c>
      <c r="BA101">
        <v>372200</v>
      </c>
      <c r="BB101">
        <v>327890</v>
      </c>
      <c r="BC101">
        <v>584</v>
      </c>
      <c r="BD101">
        <f>Grandview_Sales[[#This Row],[land_extract]]*Lookups!$B$3</f>
        <v>48369.487874125851</v>
      </c>
      <c r="BE101">
        <f>Lookups!$B$2</f>
        <v>155833.95000000001</v>
      </c>
      <c r="BF101">
        <f>VLOOKUP(Grandview_Sales[[#This Row],[quality]],Lookups!$H$2:$J$13,3,FALSE)</f>
        <v>9808</v>
      </c>
      <c r="BG101">
        <f>VLOOKUP(Grandview_Sales[[#This Row],[condition]],Lookups!$H$17:$J$24,3,FALSE)</f>
        <v>25780</v>
      </c>
      <c r="BH101">
        <f>Grandview_Sales[[#This Row],[Eff_Age]]*Lookups!$B$14</f>
        <v>-478.33319999999998</v>
      </c>
      <c r="BI101">
        <f>Grandview_Sales[[#This Row],[living_area]]*Lookups!$B$15</f>
        <v>127256.94012</v>
      </c>
      <c r="BJ101">
        <f>Grandview_Sales[[#This Row],[Fin BSMT]]*Lookups!$B$16</f>
        <v>0</v>
      </c>
      <c r="BK101">
        <f>Grandview_Sales[[#This Row],[garage_sqft]]*Lookups!$B$17</f>
        <v>58113.570167999998</v>
      </c>
      <c r="BL101">
        <f>Grandview_Sales[[#This Row],[Plumbing Fixtures]]*Lookups!$B$18</f>
        <v>20104.418000000001</v>
      </c>
      <c r="BM101">
        <f>Grandview_Sales[[#This Row],[detatched_value]]*Lookups!$B$19</f>
        <v>0</v>
      </c>
      <c r="BN101">
        <f>Grandview_Sales[[#This Row],[days_prior]]*Lookups!$B$20</f>
        <v>-70049.982399999994</v>
      </c>
      <c r="BO101">
        <f>SUM(Grandview_Sales[[#This Row],[land_value]:[Days Prior To Assessment_value]])</f>
        <v>374738.05056212592</v>
      </c>
      <c r="BP101">
        <f>Grandview_Sales[[#This Row],[predicted_total]]/Grandview_Sales[[#This Row],[sale_price]]</f>
        <v>1.1428773386261426</v>
      </c>
      <c r="BQ101">
        <f>VLOOKUP(Grandview_Sales[[#This Row],[quality]],Lookups!$A$26:$C$33,3,FALSE)</f>
        <v>0.94295468617355149</v>
      </c>
      <c r="BR101">
        <f>VLOOKUP(Grandview_Sales[[#This Row],[condition]],Lookups!$A$37:$C$44,3,FALSE)</f>
        <v>0.94347925387812148</v>
      </c>
      <c r="BS101">
        <f>VLOOKUP(Grandview_Sales[[#This Row],[decade]],Lookups!$F$29:$H$43,3,FALSE)</f>
        <v>0.9413635517371044</v>
      </c>
      <c r="BT101">
        <f>VLOOKUP(Grandview_Sales[[#This Row],[living_area_range]],Lookups!$F$47:$H$56,3,FALSE)</f>
        <v>0.95799442568048754</v>
      </c>
      <c r="BU101">
        <f>Grandview_Sales[[#This Row],[predicted_total]]*AVERAGE(Grandview_Sales[[#This Row],[qual_adj]:[size_adj]])</f>
        <v>354670.07074657123</v>
      </c>
      <c r="BV101">
        <f>Grandview_Sales[[#This Row],[final_total]]/Grandview_Sales[[#This Row],[sale_price]]</f>
        <v>1.0816739478074087</v>
      </c>
      <c r="BW101" s="6">
        <f>(Grandview_Sales[[#This Row],[final_total]]-Grandview_Sales[[#This Row],[sale_price]])^2</f>
        <v>717172189.19136035</v>
      </c>
      <c r="BX101" s="6">
        <f>(Grandview_Sales[[#This Row],[final_total]]-AVERAGE(Grandview_Sales[sale_price]))^2</f>
        <v>2276330036.7961445</v>
      </c>
      <c r="BY101" s="6">
        <f>Grandview_Sales[[#This Row],[SSE]]+Grandview_Sales[[#This Row],[SSR]]</f>
        <v>2993502225.987505</v>
      </c>
      <c r="BZ101" s="4">
        <f>ABS(Grandview_Sales[[#This Row],[final_ratio]]-MEDIAN(Grandview_Sales[final_ratio]))</f>
        <v>8.042522845159672E-2</v>
      </c>
    </row>
    <row r="102" spans="1:78" x14ac:dyDescent="0.25">
      <c r="A102">
        <v>23092621418</v>
      </c>
      <c r="B102">
        <v>0</v>
      </c>
      <c r="C102">
        <v>8250</v>
      </c>
      <c r="D102">
        <v>0</v>
      </c>
      <c r="E102" t="s">
        <v>53</v>
      </c>
      <c r="F102" t="s">
        <v>53</v>
      </c>
      <c r="G102">
        <v>4</v>
      </c>
      <c r="H102" t="s">
        <v>54</v>
      </c>
      <c r="I102">
        <v>241700</v>
      </c>
      <c r="J102">
        <v>39100</v>
      </c>
      <c r="K102">
        <v>0.19</v>
      </c>
      <c r="L102">
        <v>-1.6607312068219999</v>
      </c>
      <c r="M102">
        <v>0</v>
      </c>
      <c r="N102">
        <v>0</v>
      </c>
      <c r="O102">
        <v>0</v>
      </c>
      <c r="P102">
        <v>13398.7528</v>
      </c>
      <c r="Q102">
        <v>63902.980100000001</v>
      </c>
      <c r="R102">
        <v>41651.253192550997</v>
      </c>
      <c r="S102" t="s">
        <v>61</v>
      </c>
      <c r="T102">
        <v>1</v>
      </c>
      <c r="U102" t="s">
        <v>62</v>
      </c>
      <c r="V102" t="s">
        <v>57</v>
      </c>
      <c r="W102">
        <v>0</v>
      </c>
      <c r="X102">
        <v>0</v>
      </c>
      <c r="Y102">
        <v>2</v>
      </c>
      <c r="Z102">
        <v>2</v>
      </c>
      <c r="AA102">
        <v>0</v>
      </c>
      <c r="AB102">
        <v>1500</v>
      </c>
      <c r="AC102">
        <v>1378</v>
      </c>
      <c r="AD102">
        <v>1378</v>
      </c>
      <c r="AE102">
        <v>0</v>
      </c>
      <c r="AF102">
        <v>0</v>
      </c>
      <c r="AG102">
        <v>0</v>
      </c>
      <c r="AH102">
        <v>400</v>
      </c>
      <c r="AI102">
        <v>0</v>
      </c>
      <c r="AJ102">
        <v>0</v>
      </c>
      <c r="AK102">
        <v>0</v>
      </c>
      <c r="AL102">
        <v>9</v>
      </c>
      <c r="AM102">
        <v>0</v>
      </c>
      <c r="AN102">
        <v>0</v>
      </c>
      <c r="AO102" t="s">
        <v>58</v>
      </c>
      <c r="AP102">
        <v>1</v>
      </c>
      <c r="AQ102" t="s">
        <v>63</v>
      </c>
      <c r="AR102" t="s">
        <v>64</v>
      </c>
      <c r="AS102">
        <v>1</v>
      </c>
      <c r="AT102">
        <v>3</v>
      </c>
      <c r="AU102">
        <v>0</v>
      </c>
      <c r="AV102">
        <v>0</v>
      </c>
      <c r="AW102">
        <v>100</v>
      </c>
      <c r="AX102" s="1">
        <v>44343</v>
      </c>
      <c r="AY102">
        <v>22400</v>
      </c>
      <c r="AZ102">
        <v>246206</v>
      </c>
      <c r="BA102">
        <v>268600</v>
      </c>
      <c r="BB102">
        <v>261650</v>
      </c>
      <c r="BC102">
        <v>584</v>
      </c>
      <c r="BD102">
        <f>Grandview_Sales[[#This Row],[land_extract]]*Lookups!$B$3</f>
        <v>48369.487874125851</v>
      </c>
      <c r="BE102">
        <f>Lookups!$B$2</f>
        <v>155833.95000000001</v>
      </c>
      <c r="BF102">
        <f>VLOOKUP(Grandview_Sales[[#This Row],[quality]],Lookups!$H$2:$J$13,3,FALSE)</f>
        <v>9808</v>
      </c>
      <c r="BG102">
        <f>VLOOKUP(Grandview_Sales[[#This Row],[condition]],Lookups!$H$17:$J$24,3,FALSE)</f>
        <v>25780</v>
      </c>
      <c r="BH102">
        <f>Grandview_Sales[[#This Row],[Eff_Age]]*Lookups!$B$14</f>
        <v>-478.33319999999998</v>
      </c>
      <c r="BI102">
        <f>Grandview_Sales[[#This Row],[living_area]]*Lookups!$B$15</f>
        <v>85960.815434000004</v>
      </c>
      <c r="BJ102">
        <f>Grandview_Sales[[#This Row],[Fin BSMT]]*Lookups!$B$16</f>
        <v>0</v>
      </c>
      <c r="BK102">
        <f>Grandview_Sales[[#This Row],[garage_sqft]]*Lookups!$B$17</f>
        <v>35008.174800000001</v>
      </c>
      <c r="BL102">
        <f>Grandview_Sales[[#This Row],[Plumbing Fixtures]]*Lookups!$B$18</f>
        <v>18093.976200000001</v>
      </c>
      <c r="BM102">
        <f>Grandview_Sales[[#This Row],[detatched_value]]*Lookups!$B$19</f>
        <v>0</v>
      </c>
      <c r="BN102">
        <f>Grandview_Sales[[#This Row],[days_prior]]*Lookups!$B$20</f>
        <v>-70049.982399999994</v>
      </c>
      <c r="BO102">
        <f>SUM(Grandview_Sales[[#This Row],[land_value]:[Days Prior To Assessment_value]])</f>
        <v>308326.08870812587</v>
      </c>
      <c r="BP102">
        <f>Grandview_Sales[[#This Row],[predicted_total]]/Grandview_Sales[[#This Row],[sale_price]]</f>
        <v>1.1783913193507582</v>
      </c>
      <c r="BQ102">
        <f>VLOOKUP(Grandview_Sales[[#This Row],[quality]],Lookups!$A$26:$C$33,3,FALSE)</f>
        <v>0.94295468617355149</v>
      </c>
      <c r="BR102">
        <f>VLOOKUP(Grandview_Sales[[#This Row],[condition]],Lookups!$A$37:$C$44,3,FALSE)</f>
        <v>0.94347925387812148</v>
      </c>
      <c r="BS102">
        <f>VLOOKUP(Grandview_Sales[[#This Row],[decade]],Lookups!$F$29:$H$43,3,FALSE)</f>
        <v>0.9413635517371044</v>
      </c>
      <c r="BT102">
        <f>VLOOKUP(Grandview_Sales[[#This Row],[living_area_range]],Lookups!$F$47:$H$56,3,FALSE)</f>
        <v>0.96135087979789358</v>
      </c>
      <c r="BU102">
        <f>Grandview_Sales[[#This Row],[predicted_total]]*AVERAGE(Grandview_Sales[[#This Row],[qual_adj]:[size_adj]])</f>
        <v>292073.32423652062</v>
      </c>
      <c r="BV102">
        <f>Grandview_Sales[[#This Row],[final_total]]/Grandview_Sales[[#This Row],[sale_price]]</f>
        <v>1.1162748872024484</v>
      </c>
      <c r="BW102" s="6">
        <f>(Grandview_Sales[[#This Row],[final_total]]-Grandview_Sales[[#This Row],[sale_price]])^2</f>
        <v>925578657.60046327</v>
      </c>
      <c r="BX102" s="6">
        <f>(Grandview_Sales[[#This Row],[final_total]]-AVERAGE(Grandview_Sales[sale_price]))^2</f>
        <v>221588408.22905368</v>
      </c>
      <c r="BY102" s="6">
        <f>Grandview_Sales[[#This Row],[SSE]]+Grandview_Sales[[#This Row],[SSR]]</f>
        <v>1147167065.8295169</v>
      </c>
      <c r="BZ102" s="4">
        <f>ABS(Grandview_Sales[[#This Row],[final_ratio]]-MEDIAN(Grandview_Sales[final_ratio]))</f>
        <v>0.11502616784663644</v>
      </c>
    </row>
    <row r="103" spans="1:78" x14ac:dyDescent="0.25">
      <c r="A103">
        <v>23092621425</v>
      </c>
      <c r="B103">
        <v>0</v>
      </c>
      <c r="C103">
        <v>8683</v>
      </c>
      <c r="D103">
        <v>0</v>
      </c>
      <c r="E103" t="s">
        <v>53</v>
      </c>
      <c r="F103" t="s">
        <v>53</v>
      </c>
      <c r="G103">
        <v>4</v>
      </c>
      <c r="H103" t="s">
        <v>54</v>
      </c>
      <c r="I103">
        <v>308900</v>
      </c>
      <c r="J103">
        <v>32700</v>
      </c>
      <c r="K103">
        <v>0.2</v>
      </c>
      <c r="L103">
        <v>-1.6094379124339999</v>
      </c>
      <c r="M103">
        <v>0</v>
      </c>
      <c r="N103">
        <v>0</v>
      </c>
      <c r="O103">
        <v>0</v>
      </c>
      <c r="P103">
        <v>13398.7528</v>
      </c>
      <c r="Q103">
        <v>63902.980100000001</v>
      </c>
      <c r="R103">
        <v>42338.519364346997</v>
      </c>
      <c r="S103" t="s">
        <v>55</v>
      </c>
      <c r="T103">
        <v>2</v>
      </c>
      <c r="U103" t="s">
        <v>62</v>
      </c>
      <c r="V103" t="s">
        <v>57</v>
      </c>
      <c r="W103">
        <v>0</v>
      </c>
      <c r="X103">
        <v>0</v>
      </c>
      <c r="Y103">
        <v>2</v>
      </c>
      <c r="Z103">
        <v>2</v>
      </c>
      <c r="AA103">
        <v>0</v>
      </c>
      <c r="AB103">
        <v>3000</v>
      </c>
      <c r="AC103">
        <v>2614</v>
      </c>
      <c r="AD103">
        <v>1150</v>
      </c>
      <c r="AE103">
        <v>1464</v>
      </c>
      <c r="AF103">
        <v>0</v>
      </c>
      <c r="AG103">
        <v>0</v>
      </c>
      <c r="AH103">
        <v>399</v>
      </c>
      <c r="AI103">
        <v>0</v>
      </c>
      <c r="AJ103">
        <v>0</v>
      </c>
      <c r="AK103">
        <v>0</v>
      </c>
      <c r="AL103">
        <v>12</v>
      </c>
      <c r="AM103">
        <v>0</v>
      </c>
      <c r="AN103">
        <v>0</v>
      </c>
      <c r="AO103" t="s">
        <v>58</v>
      </c>
      <c r="AP103">
        <v>1</v>
      </c>
      <c r="AQ103" t="s">
        <v>63</v>
      </c>
      <c r="AR103" t="s">
        <v>64</v>
      </c>
      <c r="AS103">
        <v>1</v>
      </c>
      <c r="AT103">
        <v>3</v>
      </c>
      <c r="AU103">
        <v>0</v>
      </c>
      <c r="AV103">
        <v>0</v>
      </c>
      <c r="AW103">
        <v>100</v>
      </c>
      <c r="AX103" s="1">
        <v>44343</v>
      </c>
      <c r="AY103">
        <v>18700</v>
      </c>
      <c r="AZ103">
        <v>396254</v>
      </c>
      <c r="BA103">
        <v>415000</v>
      </c>
      <c r="BB103">
        <v>399993</v>
      </c>
      <c r="BC103">
        <v>584</v>
      </c>
      <c r="BD103">
        <f>Grandview_Sales[[#This Row],[land_extract]]*Lookups!$B$3</f>
        <v>49167.608223813884</v>
      </c>
      <c r="BE103">
        <f>Lookups!$B$2</f>
        <v>155833.95000000001</v>
      </c>
      <c r="BF103">
        <f>VLOOKUP(Grandview_Sales[[#This Row],[quality]],Lookups!$H$2:$J$13,3,FALSE)</f>
        <v>9808</v>
      </c>
      <c r="BG103">
        <f>VLOOKUP(Grandview_Sales[[#This Row],[condition]],Lookups!$H$17:$J$24,3,FALSE)</f>
        <v>25780</v>
      </c>
      <c r="BH103">
        <f>Grandview_Sales[[#This Row],[Eff_Age]]*Lookups!$B$14</f>
        <v>-478.33319999999998</v>
      </c>
      <c r="BI103">
        <f>Grandview_Sales[[#This Row],[living_area]]*Lookups!$B$15</f>
        <v>163063.549742</v>
      </c>
      <c r="BJ103">
        <f>Grandview_Sales[[#This Row],[Fin BSMT]]*Lookups!$B$16</f>
        <v>0</v>
      </c>
      <c r="BK103">
        <f>Grandview_Sales[[#This Row],[garage_sqft]]*Lookups!$B$17</f>
        <v>34920.654363000001</v>
      </c>
      <c r="BL103">
        <f>Grandview_Sales[[#This Row],[Plumbing Fixtures]]*Lookups!$B$18</f>
        <v>24125.301599999999</v>
      </c>
      <c r="BM103">
        <f>Grandview_Sales[[#This Row],[detatched_value]]*Lookups!$B$19</f>
        <v>0</v>
      </c>
      <c r="BN103">
        <f>Grandview_Sales[[#This Row],[days_prior]]*Lookups!$B$20</f>
        <v>-70049.982399999994</v>
      </c>
      <c r="BO103">
        <f>SUM(Grandview_Sales[[#This Row],[land_value]:[Days Prior To Assessment_value]])</f>
        <v>392170.74832881393</v>
      </c>
      <c r="BP103">
        <f>Grandview_Sales[[#This Row],[predicted_total]]/Grandview_Sales[[#This Row],[sale_price]]</f>
        <v>0.98044402859253521</v>
      </c>
      <c r="BQ103">
        <f>VLOOKUP(Grandview_Sales[[#This Row],[quality]],Lookups!$A$26:$C$33,3,FALSE)</f>
        <v>0.94295468617355149</v>
      </c>
      <c r="BR103">
        <f>VLOOKUP(Grandview_Sales[[#This Row],[condition]],Lookups!$A$37:$C$44,3,FALSE)</f>
        <v>0.94347925387812148</v>
      </c>
      <c r="BS103">
        <f>VLOOKUP(Grandview_Sales[[#This Row],[decade]],Lookups!$F$29:$H$43,3,FALSE)</f>
        <v>0.9413635517371044</v>
      </c>
      <c r="BT103">
        <f>VLOOKUP(Grandview_Sales[[#This Row],[living_area_range]],Lookups!$F$47:$H$56,3,FALSE)</f>
        <v>0.94224801443562123</v>
      </c>
      <c r="BU103">
        <f>Grandview_Sales[[#This Row],[predicted_total]]*AVERAGE(Grandview_Sales[[#This Row],[qual_adj]:[size_adj]])</f>
        <v>369625.39185242611</v>
      </c>
      <c r="BV103">
        <f>Grandview_Sales[[#This Row],[final_total]]/Grandview_Sales[[#This Row],[sale_price]]</f>
        <v>0.92407965102495826</v>
      </c>
      <c r="BW103" s="6">
        <f>(Grandview_Sales[[#This Row],[final_total]]-Grandview_Sales[[#This Row],[sale_price]])^2</f>
        <v>922191624.60459614</v>
      </c>
      <c r="BX103" s="6">
        <f>(Grandview_Sales[[#This Row],[final_total]]-AVERAGE(Grandview_Sales[sale_price]))^2</f>
        <v>3927055343.8502054</v>
      </c>
      <c r="BY103" s="6">
        <f>Grandview_Sales[[#This Row],[SSE]]+Grandview_Sales[[#This Row],[SSR]]</f>
        <v>4849246968.4548016</v>
      </c>
      <c r="BZ103" s="4">
        <f>ABS(Grandview_Sales[[#This Row],[final_ratio]]-MEDIAN(Grandview_Sales[final_ratio]))</f>
        <v>7.7169068330853685E-2</v>
      </c>
    </row>
    <row r="104" spans="1:78" x14ac:dyDescent="0.25">
      <c r="A104">
        <v>23092612417</v>
      </c>
      <c r="B104">
        <v>0.16</v>
      </c>
      <c r="C104">
        <v>7111</v>
      </c>
      <c r="D104">
        <v>0</v>
      </c>
      <c r="E104" t="s">
        <v>53</v>
      </c>
      <c r="F104" t="s">
        <v>53</v>
      </c>
      <c r="G104">
        <v>4</v>
      </c>
      <c r="H104" t="s">
        <v>54</v>
      </c>
      <c r="I104">
        <v>222000</v>
      </c>
      <c r="J104">
        <v>38800</v>
      </c>
      <c r="K104">
        <v>0.16</v>
      </c>
      <c r="L104">
        <v>-1.832581463748</v>
      </c>
      <c r="M104">
        <v>0</v>
      </c>
      <c r="N104">
        <v>0</v>
      </c>
      <c r="O104">
        <v>0</v>
      </c>
      <c r="P104">
        <v>13398.7528</v>
      </c>
      <c r="Q104">
        <v>63902.980100000001</v>
      </c>
      <c r="R104">
        <v>39348.674081374003</v>
      </c>
      <c r="S104" t="s">
        <v>61</v>
      </c>
      <c r="T104">
        <v>1</v>
      </c>
      <c r="U104" t="s">
        <v>62</v>
      </c>
      <c r="V104" t="s">
        <v>66</v>
      </c>
      <c r="W104">
        <v>0</v>
      </c>
      <c r="X104">
        <v>0</v>
      </c>
      <c r="Y104">
        <v>10</v>
      </c>
      <c r="Z104">
        <v>10</v>
      </c>
      <c r="AA104">
        <v>10</v>
      </c>
      <c r="AB104">
        <v>1500</v>
      </c>
      <c r="AC104">
        <v>1211</v>
      </c>
      <c r="AD104">
        <v>1211</v>
      </c>
      <c r="AE104">
        <v>0</v>
      </c>
      <c r="AF104">
        <v>0</v>
      </c>
      <c r="AG104">
        <v>0</v>
      </c>
      <c r="AH104">
        <v>399</v>
      </c>
      <c r="AI104">
        <v>0</v>
      </c>
      <c r="AJ104">
        <v>0</v>
      </c>
      <c r="AK104">
        <v>100</v>
      </c>
      <c r="AL104">
        <v>8</v>
      </c>
      <c r="AM104">
        <v>0</v>
      </c>
      <c r="AN104">
        <v>0</v>
      </c>
      <c r="AO104" t="s">
        <v>58</v>
      </c>
      <c r="AP104">
        <v>1</v>
      </c>
      <c r="AQ104" t="s">
        <v>63</v>
      </c>
      <c r="AR104" t="s">
        <v>60</v>
      </c>
      <c r="AS104">
        <v>1</v>
      </c>
      <c r="AT104">
        <v>3</v>
      </c>
      <c r="AU104">
        <v>0</v>
      </c>
      <c r="AV104">
        <v>0</v>
      </c>
      <c r="AW104">
        <v>100</v>
      </c>
      <c r="AX104" s="1">
        <v>44343</v>
      </c>
      <c r="AY104">
        <v>22200</v>
      </c>
      <c r="AZ104">
        <v>215100</v>
      </c>
      <c r="BA104">
        <v>237300</v>
      </c>
      <c r="BB104">
        <v>275000</v>
      </c>
      <c r="BC104">
        <v>584</v>
      </c>
      <c r="BD104">
        <f>Grandview_Sales[[#This Row],[land_extract]]*Lookups!$B$3</f>
        <v>45695.50896927961</v>
      </c>
      <c r="BE104">
        <f>Lookups!$B$2</f>
        <v>155833.95000000001</v>
      </c>
      <c r="BF104">
        <f>VLOOKUP(Grandview_Sales[[#This Row],[quality]],Lookups!$H$2:$J$13,3,FALSE)</f>
        <v>9808</v>
      </c>
      <c r="BG104">
        <f>VLOOKUP(Grandview_Sales[[#This Row],[condition]],Lookups!$H$17:$J$24,3,FALSE)</f>
        <v>25818</v>
      </c>
      <c r="BH104">
        <f>Grandview_Sales[[#This Row],[Eff_Age]]*Lookups!$B$14</f>
        <v>-2391.6659999999997</v>
      </c>
      <c r="BI104">
        <f>Grandview_Sales[[#This Row],[living_area]]*Lookups!$B$15</f>
        <v>75543.212983000005</v>
      </c>
      <c r="BJ104">
        <f>Grandview_Sales[[#This Row],[Fin BSMT]]*Lookups!$B$16</f>
        <v>0</v>
      </c>
      <c r="BK104">
        <f>Grandview_Sales[[#This Row],[garage_sqft]]*Lookups!$B$17</f>
        <v>34920.654363000001</v>
      </c>
      <c r="BL104">
        <f>Grandview_Sales[[#This Row],[Plumbing Fixtures]]*Lookups!$B$18</f>
        <v>16083.5344</v>
      </c>
      <c r="BM104">
        <f>Grandview_Sales[[#This Row],[detatched_value]]*Lookups!$B$19</f>
        <v>0</v>
      </c>
      <c r="BN104">
        <f>Grandview_Sales[[#This Row],[days_prior]]*Lookups!$B$20</f>
        <v>-70049.982399999994</v>
      </c>
      <c r="BO104">
        <f>SUM(Grandview_Sales[[#This Row],[land_value]:[Days Prior To Assessment_value]])</f>
        <v>291261.2123152797</v>
      </c>
      <c r="BP104">
        <f>Grandview_Sales[[#This Row],[predicted_total]]/Grandview_Sales[[#This Row],[sale_price]]</f>
        <v>1.0591316811464717</v>
      </c>
      <c r="BQ104">
        <f>VLOOKUP(Grandview_Sales[[#This Row],[quality]],Lookups!$A$26:$C$33,3,FALSE)</f>
        <v>0.94295468617355149</v>
      </c>
      <c r="BR104">
        <f>VLOOKUP(Grandview_Sales[[#This Row],[condition]],Lookups!$A$37:$C$44,3,FALSE)</f>
        <v>0.96661476234146892</v>
      </c>
      <c r="BS104">
        <f>VLOOKUP(Grandview_Sales[[#This Row],[decade]],Lookups!$F$29:$H$43,3,FALSE)</f>
        <v>0.94601966599150278</v>
      </c>
      <c r="BT104">
        <f>VLOOKUP(Grandview_Sales[[#This Row],[living_area_range]],Lookups!$F$47:$H$56,3,FALSE)</f>
        <v>0.96135087979789358</v>
      </c>
      <c r="BU104">
        <f>Grandview_Sales[[#This Row],[predicted_total]]*AVERAGE(Grandview_Sales[[#This Row],[qual_adj]:[size_adj]])</f>
        <v>277931.64251894533</v>
      </c>
      <c r="BV104">
        <f>Grandview_Sales[[#This Row],[final_total]]/Grandview_Sales[[#This Row],[sale_price]]</f>
        <v>1.0106605182507102</v>
      </c>
      <c r="BW104" s="6">
        <f>(Grandview_Sales[[#This Row],[final_total]]-Grandview_Sales[[#This Row],[sale_price]])^2</f>
        <v>8594527.8588881157</v>
      </c>
      <c r="BX104" s="6">
        <f>(Grandview_Sales[[#This Row],[final_total]]-AVERAGE(Grandview_Sales[sale_price]))^2</f>
        <v>842597359.72658551</v>
      </c>
      <c r="BY104" s="6">
        <f>Grandview_Sales[[#This Row],[SSE]]+Grandview_Sales[[#This Row],[SSR]]</f>
        <v>851191887.58547366</v>
      </c>
      <c r="BZ104" s="4">
        <f>ABS(Grandview_Sales[[#This Row],[final_ratio]]-MEDIAN(Grandview_Sales[final_ratio]))</f>
        <v>9.4117988948982934E-3</v>
      </c>
    </row>
    <row r="105" spans="1:78" x14ac:dyDescent="0.25">
      <c r="A105">
        <v>23092233403</v>
      </c>
      <c r="B105">
        <v>0.42</v>
      </c>
      <c r="C105">
        <v>18323</v>
      </c>
      <c r="D105">
        <v>0</v>
      </c>
      <c r="E105" t="s">
        <v>53</v>
      </c>
      <c r="F105" t="s">
        <v>53</v>
      </c>
      <c r="G105">
        <v>4</v>
      </c>
      <c r="H105" t="s">
        <v>54</v>
      </c>
      <c r="I105">
        <v>206100</v>
      </c>
      <c r="J105">
        <v>45800</v>
      </c>
      <c r="K105">
        <v>0.42</v>
      </c>
      <c r="L105">
        <v>-0.86750056770499995</v>
      </c>
      <c r="M105">
        <v>0</v>
      </c>
      <c r="N105">
        <v>0</v>
      </c>
      <c r="O105">
        <v>0</v>
      </c>
      <c r="P105">
        <v>13398.7528</v>
      </c>
      <c r="Q105">
        <v>63902.980100000001</v>
      </c>
      <c r="R105">
        <v>52279.554439464999</v>
      </c>
      <c r="S105" t="s">
        <v>55</v>
      </c>
      <c r="T105">
        <v>1</v>
      </c>
      <c r="U105" t="s">
        <v>70</v>
      </c>
      <c r="V105" t="s">
        <v>69</v>
      </c>
      <c r="W105">
        <v>0</v>
      </c>
      <c r="X105">
        <v>0</v>
      </c>
      <c r="Y105">
        <v>43</v>
      </c>
      <c r="Z105">
        <v>44</v>
      </c>
      <c r="AA105">
        <v>40</v>
      </c>
      <c r="AB105">
        <v>2500</v>
      </c>
      <c r="AC105">
        <v>2240</v>
      </c>
      <c r="AD105">
        <v>1120</v>
      </c>
      <c r="AE105">
        <v>0</v>
      </c>
      <c r="AF105">
        <v>1120</v>
      </c>
      <c r="AG105">
        <v>0</v>
      </c>
      <c r="AH105">
        <v>0</v>
      </c>
      <c r="AI105">
        <v>0</v>
      </c>
      <c r="AJ105">
        <v>192</v>
      </c>
      <c r="AK105">
        <v>77</v>
      </c>
      <c r="AL105">
        <v>9</v>
      </c>
      <c r="AM105">
        <v>0</v>
      </c>
      <c r="AN105">
        <v>0</v>
      </c>
      <c r="AO105" t="s">
        <v>58</v>
      </c>
      <c r="AP105">
        <v>1</v>
      </c>
      <c r="AQ105" t="s">
        <v>63</v>
      </c>
      <c r="AR105" t="s">
        <v>64</v>
      </c>
      <c r="AS105">
        <v>1</v>
      </c>
      <c r="AT105">
        <v>4</v>
      </c>
      <c r="AU105">
        <v>0</v>
      </c>
      <c r="AV105">
        <v>16300</v>
      </c>
      <c r="AW105">
        <v>100</v>
      </c>
      <c r="AX105" s="1">
        <v>44343</v>
      </c>
      <c r="AY105">
        <v>26200</v>
      </c>
      <c r="AZ105">
        <v>203534</v>
      </c>
      <c r="BA105">
        <v>229700</v>
      </c>
      <c r="BB105">
        <v>325000</v>
      </c>
      <c r="BC105">
        <v>584</v>
      </c>
      <c r="BD105">
        <f>Grandview_Sales[[#This Row],[land_extract]]*Lookups!$B$3</f>
        <v>60712.105415753715</v>
      </c>
      <c r="BE105">
        <f>Lookups!$B$2</f>
        <v>155833.95000000001</v>
      </c>
      <c r="BF105">
        <f>VLOOKUP(Grandview_Sales[[#This Row],[quality]],Lookups!$H$2:$J$13,3,FALSE)</f>
        <v>10733</v>
      </c>
      <c r="BG105">
        <f>VLOOKUP(Grandview_Sales[[#This Row],[condition]],Lookups!$H$17:$J$24,3,FALSE)</f>
        <v>-4503</v>
      </c>
      <c r="BH105">
        <f>Grandview_Sales[[#This Row],[Eff_Age]]*Lookups!$B$14</f>
        <v>-10284.1638</v>
      </c>
      <c r="BI105">
        <f>Grandview_Sales[[#This Row],[living_area]]*Lookups!$B$15</f>
        <v>139733.11072</v>
      </c>
      <c r="BJ105">
        <f>Grandview_Sales[[#This Row],[Fin BSMT]]*Lookups!$B$16</f>
        <v>-30351.148800000003</v>
      </c>
      <c r="BK105">
        <f>Grandview_Sales[[#This Row],[garage_sqft]]*Lookups!$B$17</f>
        <v>0</v>
      </c>
      <c r="BL105">
        <f>Grandview_Sales[[#This Row],[Plumbing Fixtures]]*Lookups!$B$18</f>
        <v>18093.976200000001</v>
      </c>
      <c r="BM105">
        <f>Grandview_Sales[[#This Row],[detatched_value]]*Lookups!$B$19</f>
        <v>13802.923129999999</v>
      </c>
      <c r="BN105">
        <f>Grandview_Sales[[#This Row],[days_prior]]*Lookups!$B$20</f>
        <v>-70049.982399999994</v>
      </c>
      <c r="BO105">
        <f>SUM(Grandview_Sales[[#This Row],[land_value]:[Days Prior To Assessment_value]])</f>
        <v>283720.77046575374</v>
      </c>
      <c r="BP105">
        <f>Grandview_Sales[[#This Row],[predicted_total]]/Grandview_Sales[[#This Row],[sale_price]]</f>
        <v>0.87298698604847302</v>
      </c>
      <c r="BQ105">
        <f>VLOOKUP(Grandview_Sales[[#This Row],[quality]],Lookups!$A$26:$C$33,3,FALSE)</f>
        <v>0.98079741117310582</v>
      </c>
      <c r="BR105">
        <f>VLOOKUP(Grandview_Sales[[#This Row],[condition]],Lookups!$A$37:$C$44,3,FALSE)</f>
        <v>0.96469275950863709</v>
      </c>
      <c r="BS105">
        <f>VLOOKUP(Grandview_Sales[[#This Row],[decade]],Lookups!$F$29:$H$43,3,FALSE)</f>
        <v>0.98031878267063854</v>
      </c>
      <c r="BT105">
        <f>VLOOKUP(Grandview_Sales[[#This Row],[living_area_range]],Lookups!$F$47:$H$56,3,FALSE)</f>
        <v>0.95799442568048754</v>
      </c>
      <c r="BU105">
        <f>Grandview_Sales[[#This Row],[predicted_total]]*AVERAGE(Grandview_Sales[[#This Row],[qual_adj]:[size_adj]])</f>
        <v>275478.92175917584</v>
      </c>
      <c r="BV105">
        <f>Grandview_Sales[[#This Row],[final_total]]/Grandview_Sales[[#This Row],[sale_price]]</f>
        <v>0.84762745156669483</v>
      </c>
      <c r="BW105" s="6">
        <f>(Grandview_Sales[[#This Row],[final_total]]-Grandview_Sales[[#This Row],[sale_price]])^2</f>
        <v>2452337190.1338286</v>
      </c>
      <c r="BX105" s="6">
        <f>(Grandview_Sales[[#This Row],[final_total]]-AVERAGE(Grandview_Sales[sale_price]))^2</f>
        <v>991006038.04842556</v>
      </c>
      <c r="BY105" s="6">
        <f>Grandview_Sales[[#This Row],[SSE]]+Grandview_Sales[[#This Row],[SSR]]</f>
        <v>3443343228.1822543</v>
      </c>
      <c r="BZ105" s="4">
        <f>ABS(Grandview_Sales[[#This Row],[final_ratio]]-MEDIAN(Grandview_Sales[final_ratio]))</f>
        <v>0.15362126778911711</v>
      </c>
    </row>
    <row r="106" spans="1:78" x14ac:dyDescent="0.25">
      <c r="A106">
        <v>23092242401</v>
      </c>
      <c r="B106">
        <v>0.23</v>
      </c>
      <c r="C106">
        <v>10191</v>
      </c>
      <c r="D106">
        <v>0</v>
      </c>
      <c r="E106" t="s">
        <v>53</v>
      </c>
      <c r="F106" t="s">
        <v>53</v>
      </c>
      <c r="G106">
        <v>4</v>
      </c>
      <c r="H106" t="s">
        <v>54</v>
      </c>
      <c r="I106">
        <v>169400</v>
      </c>
      <c r="J106">
        <v>44000</v>
      </c>
      <c r="K106">
        <v>0.23</v>
      </c>
      <c r="L106">
        <v>-1.4696759700590001</v>
      </c>
      <c r="M106">
        <v>0</v>
      </c>
      <c r="N106">
        <v>0</v>
      </c>
      <c r="O106">
        <v>0</v>
      </c>
      <c r="P106">
        <v>13398.7528</v>
      </c>
      <c r="Q106">
        <v>63902.980100000001</v>
      </c>
      <c r="R106">
        <v>44211.155081080004</v>
      </c>
      <c r="S106" t="s">
        <v>68</v>
      </c>
      <c r="T106">
        <v>1</v>
      </c>
      <c r="U106" t="s">
        <v>65</v>
      </c>
      <c r="V106" t="s">
        <v>69</v>
      </c>
      <c r="W106">
        <v>0</v>
      </c>
      <c r="X106">
        <v>0</v>
      </c>
      <c r="Y106">
        <v>49</v>
      </c>
      <c r="Z106">
        <v>68</v>
      </c>
      <c r="AA106">
        <v>70</v>
      </c>
      <c r="AB106">
        <v>2500</v>
      </c>
      <c r="AC106">
        <v>2294</v>
      </c>
      <c r="AD106">
        <v>1147</v>
      </c>
      <c r="AE106">
        <v>0</v>
      </c>
      <c r="AF106">
        <v>1147</v>
      </c>
      <c r="AG106">
        <v>0</v>
      </c>
      <c r="AH106">
        <v>560</v>
      </c>
      <c r="AI106">
        <v>0</v>
      </c>
      <c r="AJ106">
        <v>0</v>
      </c>
      <c r="AK106">
        <v>275</v>
      </c>
      <c r="AL106">
        <v>8</v>
      </c>
      <c r="AM106">
        <v>0</v>
      </c>
      <c r="AN106">
        <v>0</v>
      </c>
      <c r="AO106" t="s">
        <v>58</v>
      </c>
      <c r="AP106">
        <v>1</v>
      </c>
      <c r="AQ106" t="s">
        <v>63</v>
      </c>
      <c r="AR106" t="s">
        <v>81</v>
      </c>
      <c r="AS106">
        <v>0</v>
      </c>
      <c r="AT106">
        <v>3</v>
      </c>
      <c r="AU106">
        <v>0</v>
      </c>
      <c r="AV106">
        <v>0</v>
      </c>
      <c r="AW106">
        <v>100</v>
      </c>
      <c r="AX106" s="1">
        <v>44348</v>
      </c>
      <c r="AY106">
        <v>25200</v>
      </c>
      <c r="AZ106">
        <v>196967</v>
      </c>
      <c r="BA106">
        <v>222200</v>
      </c>
      <c r="BB106">
        <v>267000</v>
      </c>
      <c r="BC106">
        <v>579</v>
      </c>
      <c r="BD106">
        <f>Grandview_Sales[[#This Row],[land_extract]]*Lookups!$B$3</f>
        <v>51342.29502553949</v>
      </c>
      <c r="BE106">
        <f>Lookups!$B$2</f>
        <v>155833.95000000001</v>
      </c>
      <c r="BF106">
        <f>VLOOKUP(Grandview_Sales[[#This Row],[quality]],Lookups!$H$2:$J$13,3,FALSE)</f>
        <v>2251</v>
      </c>
      <c r="BG106">
        <f>VLOOKUP(Grandview_Sales[[#This Row],[condition]],Lookups!$H$17:$J$24,3,FALSE)</f>
        <v>-4503</v>
      </c>
      <c r="BH106">
        <f>Grandview_Sales[[#This Row],[Eff_Age]]*Lookups!$B$14</f>
        <v>-11719.163399999999</v>
      </c>
      <c r="BI106">
        <f>Grandview_Sales[[#This Row],[living_area]]*Lookups!$B$15</f>
        <v>143101.676782</v>
      </c>
      <c r="BJ106">
        <f>Grandview_Sales[[#This Row],[Fin BSMT]]*Lookups!$B$16</f>
        <v>-31082.828280000002</v>
      </c>
      <c r="BK106">
        <f>Grandview_Sales[[#This Row],[garage_sqft]]*Lookups!$B$17</f>
        <v>49011.44472</v>
      </c>
      <c r="BL106">
        <f>Grandview_Sales[[#This Row],[Plumbing Fixtures]]*Lookups!$B$18</f>
        <v>16083.5344</v>
      </c>
      <c r="BM106">
        <f>Grandview_Sales[[#This Row],[detatched_value]]*Lookups!$B$19</f>
        <v>0</v>
      </c>
      <c r="BN106">
        <f>Grandview_Sales[[#This Row],[days_prior]]*Lookups!$B$20</f>
        <v>-69450.239400000006</v>
      </c>
      <c r="BO106">
        <f>SUM(Grandview_Sales[[#This Row],[land_value]:[Days Prior To Assessment_value]])</f>
        <v>300868.66984753945</v>
      </c>
      <c r="BP106">
        <f>Grandview_Sales[[#This Row],[predicted_total]]/Grandview_Sales[[#This Row],[sale_price]]</f>
        <v>1.126848950739848</v>
      </c>
      <c r="BQ106">
        <f>VLOOKUP(Grandview_Sales[[#This Row],[quality]],Lookups!$A$26:$C$33,3,FALSE)</f>
        <v>0.98763855981004833</v>
      </c>
      <c r="BR106">
        <f>VLOOKUP(Grandview_Sales[[#This Row],[condition]],Lookups!$A$37:$C$44,3,FALSE)</f>
        <v>0.96469275950863709</v>
      </c>
      <c r="BS106">
        <f>VLOOKUP(Grandview_Sales[[#This Row],[decade]],Lookups!$F$29:$H$43,3,FALSE)</f>
        <v>0.99472141305414818</v>
      </c>
      <c r="BT106">
        <f>VLOOKUP(Grandview_Sales[[#This Row],[living_area_range]],Lookups!$F$47:$H$56,3,FALSE)</f>
        <v>0.95799442568048754</v>
      </c>
      <c r="BU106">
        <f>Grandview_Sales[[#This Row],[predicted_total]]*AVERAGE(Grandview_Sales[[#This Row],[qual_adj]:[size_adj]])</f>
        <v>293726.58603385423</v>
      </c>
      <c r="BV106">
        <f>Grandview_Sales[[#This Row],[final_total]]/Grandview_Sales[[#This Row],[sale_price]]</f>
        <v>1.1000995731605028</v>
      </c>
      <c r="BW106" s="6">
        <f>(Grandview_Sales[[#This Row],[final_total]]-Grandview_Sales[[#This Row],[sale_price]])^2</f>
        <v>714310401.02501178</v>
      </c>
      <c r="BX106" s="6">
        <f>(Grandview_Sales[[#This Row],[final_total]]-AVERAGE(Grandview_Sales[sale_price]))^2</f>
        <v>175101282.09681568</v>
      </c>
      <c r="BY106" s="6">
        <f>Grandview_Sales[[#This Row],[SSE]]+Grandview_Sales[[#This Row],[SSR]]</f>
        <v>889411683.12182748</v>
      </c>
      <c r="BZ106" s="4">
        <f>ABS(Grandview_Sales[[#This Row],[final_ratio]]-MEDIAN(Grandview_Sales[final_ratio]))</f>
        <v>9.885085380469083E-2</v>
      </c>
    </row>
    <row r="107" spans="1:78" x14ac:dyDescent="0.25">
      <c r="A107">
        <v>23092312513</v>
      </c>
      <c r="B107">
        <v>0.17</v>
      </c>
      <c r="C107">
        <v>7313</v>
      </c>
      <c r="D107">
        <v>0</v>
      </c>
      <c r="E107" t="s">
        <v>53</v>
      </c>
      <c r="F107" t="s">
        <v>53</v>
      </c>
      <c r="G107">
        <v>4</v>
      </c>
      <c r="H107" t="s">
        <v>54</v>
      </c>
      <c r="I107">
        <v>83100</v>
      </c>
      <c r="J107">
        <v>39100</v>
      </c>
      <c r="K107">
        <v>0.17</v>
      </c>
      <c r="L107">
        <v>-1.771956841932</v>
      </c>
      <c r="M107">
        <v>0</v>
      </c>
      <c r="N107">
        <v>0</v>
      </c>
      <c r="O107">
        <v>0</v>
      </c>
      <c r="P107">
        <v>13398.7528</v>
      </c>
      <c r="Q107">
        <v>63902.980100000001</v>
      </c>
      <c r="R107">
        <v>40160.968402685998</v>
      </c>
      <c r="S107" t="s">
        <v>68</v>
      </c>
      <c r="T107">
        <v>1</v>
      </c>
      <c r="U107" t="s">
        <v>80</v>
      </c>
      <c r="V107" t="s">
        <v>69</v>
      </c>
      <c r="W107">
        <v>0</v>
      </c>
      <c r="X107">
        <v>0</v>
      </c>
      <c r="Y107">
        <v>60</v>
      </c>
      <c r="Z107">
        <v>108</v>
      </c>
      <c r="AA107">
        <v>110</v>
      </c>
      <c r="AB107">
        <v>1000</v>
      </c>
      <c r="AC107">
        <v>784</v>
      </c>
      <c r="AD107">
        <v>784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5</v>
      </c>
      <c r="AM107">
        <v>0</v>
      </c>
      <c r="AN107">
        <v>0</v>
      </c>
      <c r="AO107" t="s">
        <v>58</v>
      </c>
      <c r="AP107">
        <v>1</v>
      </c>
      <c r="AQ107" t="s">
        <v>63</v>
      </c>
      <c r="AR107" t="s">
        <v>81</v>
      </c>
      <c r="AS107">
        <v>0</v>
      </c>
      <c r="AT107">
        <v>2</v>
      </c>
      <c r="AU107">
        <v>0</v>
      </c>
      <c r="AV107">
        <v>500</v>
      </c>
      <c r="AW107">
        <v>100</v>
      </c>
      <c r="AX107" s="1">
        <v>44348</v>
      </c>
      <c r="AY107">
        <v>22400</v>
      </c>
      <c r="AZ107">
        <v>67603</v>
      </c>
      <c r="BA107">
        <v>90000</v>
      </c>
      <c r="BB107">
        <v>94000</v>
      </c>
      <c r="BC107">
        <v>579</v>
      </c>
      <c r="BD107">
        <f>Grandview_Sales[[#This Row],[land_extract]]*Lookups!$B$3</f>
        <v>46638.82417142456</v>
      </c>
      <c r="BE107">
        <f>Lookups!$B$2</f>
        <v>155833.95000000001</v>
      </c>
      <c r="BF107">
        <f>VLOOKUP(Grandview_Sales[[#This Row],[quality]],Lookups!$H$2:$J$13,3,FALSE)</f>
        <v>-28558</v>
      </c>
      <c r="BG107">
        <f>VLOOKUP(Grandview_Sales[[#This Row],[condition]],Lookups!$H$17:$J$24,3,FALSE)</f>
        <v>-4503</v>
      </c>
      <c r="BH107">
        <f>Grandview_Sales[[#This Row],[Eff_Age]]*Lookups!$B$14</f>
        <v>-14349.995999999999</v>
      </c>
      <c r="BI107">
        <f>Grandview_Sales[[#This Row],[living_area]]*Lookups!$B$15</f>
        <v>48906.588752000003</v>
      </c>
      <c r="BJ107">
        <f>Grandview_Sales[[#This Row],[Fin BSMT]]*Lookups!$B$16</f>
        <v>0</v>
      </c>
      <c r="BK107">
        <f>Grandview_Sales[[#This Row],[garage_sqft]]*Lookups!$B$17</f>
        <v>0</v>
      </c>
      <c r="BL107">
        <f>Grandview_Sales[[#This Row],[Plumbing Fixtures]]*Lookups!$B$18</f>
        <v>10052.209000000001</v>
      </c>
      <c r="BM107">
        <f>Grandview_Sales[[#This Row],[detatched_value]]*Lookups!$B$19</f>
        <v>423.40254999999996</v>
      </c>
      <c r="BN107">
        <f>Grandview_Sales[[#This Row],[days_prior]]*Lookups!$B$20</f>
        <v>-69450.239400000006</v>
      </c>
      <c r="BO107">
        <f>SUM(Grandview_Sales[[#This Row],[land_value]:[Days Prior To Assessment_value]])</f>
        <v>144993.7390734246</v>
      </c>
      <c r="BP107">
        <f>Grandview_Sales[[#This Row],[predicted_total]]/Grandview_Sales[[#This Row],[sale_price]]</f>
        <v>1.5424865858874957</v>
      </c>
      <c r="BQ107">
        <f>VLOOKUP(Grandview_Sales[[#This Row],[quality]],Lookups!$A$26:$C$33,3,FALSE)</f>
        <v>0.9690360070159818</v>
      </c>
      <c r="BR107">
        <f>VLOOKUP(Grandview_Sales[[#This Row],[condition]],Lookups!$A$37:$C$44,3,FALSE)</f>
        <v>0.96469275950863709</v>
      </c>
      <c r="BS107">
        <f>VLOOKUP(Grandview_Sales[[#This Row],[decade]],Lookups!$F$29:$H$43,3,FALSE)</f>
        <v>0.92255236374249616</v>
      </c>
      <c r="BT107">
        <f>VLOOKUP(Grandview_Sales[[#This Row],[living_area_range]],Lookups!$F$47:$H$56,3,FALSE)</f>
        <v>0.94306777142782894</v>
      </c>
      <c r="BU107">
        <f>Grandview_Sales[[#This Row],[predicted_total]]*AVERAGE(Grandview_Sales[[#This Row],[qual_adj]:[size_adj]])</f>
        <v>137720.45082531477</v>
      </c>
      <c r="BV107">
        <f>Grandview_Sales[[#This Row],[final_total]]/Grandview_Sales[[#This Row],[sale_price]]</f>
        <v>1.4651111789927103</v>
      </c>
      <c r="BW107" s="6">
        <f>(Grandview_Sales[[#This Row],[final_total]]-Grandview_Sales[[#This Row],[sale_price]])^2</f>
        <v>1911477820.3687665</v>
      </c>
      <c r="BX107" s="6">
        <f>(Grandview_Sales[[#This Row],[final_total]]-AVERAGE(Grandview_Sales[sale_price]))^2</f>
        <v>28641744114.898724</v>
      </c>
      <c r="BY107" s="6">
        <f>Grandview_Sales[[#This Row],[SSE]]+Grandview_Sales[[#This Row],[SSR]]</f>
        <v>30553221935.26749</v>
      </c>
      <c r="BZ107" s="4">
        <f>ABS(Grandview_Sales[[#This Row],[final_ratio]]-MEDIAN(Grandview_Sales[final_ratio]))</f>
        <v>0.46386245963689832</v>
      </c>
    </row>
    <row r="108" spans="1:78" x14ac:dyDescent="0.25">
      <c r="A108">
        <v>23091433510</v>
      </c>
      <c r="B108">
        <v>0.23</v>
      </c>
      <c r="C108">
        <v>9962</v>
      </c>
      <c r="D108">
        <v>0</v>
      </c>
      <c r="E108" t="s">
        <v>53</v>
      </c>
      <c r="F108" t="s">
        <v>53</v>
      </c>
      <c r="G108">
        <v>4</v>
      </c>
      <c r="H108" t="s">
        <v>54</v>
      </c>
      <c r="I108">
        <v>234500</v>
      </c>
      <c r="J108">
        <v>39500</v>
      </c>
      <c r="K108">
        <v>0.23</v>
      </c>
      <c r="L108">
        <v>-1.4696759700590001</v>
      </c>
      <c r="M108">
        <v>0</v>
      </c>
      <c r="N108">
        <v>0</v>
      </c>
      <c r="O108">
        <v>0</v>
      </c>
      <c r="P108">
        <v>13398.7528</v>
      </c>
      <c r="Q108">
        <v>63902.980100000001</v>
      </c>
      <c r="R108">
        <v>44211.155081080004</v>
      </c>
      <c r="S108" t="s">
        <v>61</v>
      </c>
      <c r="T108">
        <v>1</v>
      </c>
      <c r="U108" t="s">
        <v>70</v>
      </c>
      <c r="V108" t="s">
        <v>69</v>
      </c>
      <c r="W108">
        <v>0</v>
      </c>
      <c r="X108">
        <v>0</v>
      </c>
      <c r="Y108">
        <v>48</v>
      </c>
      <c r="Z108">
        <v>61</v>
      </c>
      <c r="AA108">
        <v>60</v>
      </c>
      <c r="AB108">
        <v>2000</v>
      </c>
      <c r="AC108">
        <v>1576</v>
      </c>
      <c r="AD108">
        <v>1576</v>
      </c>
      <c r="AE108">
        <v>0</v>
      </c>
      <c r="AF108">
        <v>0</v>
      </c>
      <c r="AG108">
        <v>0</v>
      </c>
      <c r="AH108">
        <v>504</v>
      </c>
      <c r="AI108">
        <v>0</v>
      </c>
      <c r="AJ108">
        <v>0</v>
      </c>
      <c r="AK108">
        <v>316</v>
      </c>
      <c r="AL108">
        <v>8</v>
      </c>
      <c r="AM108">
        <v>0</v>
      </c>
      <c r="AN108">
        <v>0</v>
      </c>
      <c r="AO108" t="s">
        <v>58</v>
      </c>
      <c r="AP108">
        <v>1</v>
      </c>
      <c r="AQ108" t="s">
        <v>63</v>
      </c>
      <c r="AR108" t="s">
        <v>60</v>
      </c>
      <c r="AS108">
        <v>0</v>
      </c>
      <c r="AT108">
        <v>4</v>
      </c>
      <c r="AU108">
        <v>0</v>
      </c>
      <c r="AV108">
        <v>35300</v>
      </c>
      <c r="AW108">
        <v>100</v>
      </c>
      <c r="AX108" s="1">
        <v>44350</v>
      </c>
      <c r="AY108">
        <v>22600</v>
      </c>
      <c r="AZ108">
        <v>207743</v>
      </c>
      <c r="BA108">
        <v>230300</v>
      </c>
      <c r="BB108">
        <v>285000</v>
      </c>
      <c r="BC108">
        <v>577</v>
      </c>
      <c r="BD108">
        <f>Grandview_Sales[[#This Row],[land_extract]]*Lookups!$B$3</f>
        <v>51342.29502553949</v>
      </c>
      <c r="BE108">
        <f>Lookups!$B$2</f>
        <v>155833.95000000001</v>
      </c>
      <c r="BF108">
        <f>VLOOKUP(Grandview_Sales[[#This Row],[quality]],Lookups!$H$2:$J$13,3,FALSE)</f>
        <v>10733</v>
      </c>
      <c r="BG108">
        <f>VLOOKUP(Grandview_Sales[[#This Row],[condition]],Lookups!$H$17:$J$24,3,FALSE)</f>
        <v>-4503</v>
      </c>
      <c r="BH108">
        <f>Grandview_Sales[[#This Row],[Eff_Age]]*Lookups!$B$14</f>
        <v>-11479.996799999999</v>
      </c>
      <c r="BI108">
        <f>Grandview_Sales[[#This Row],[living_area]]*Lookups!$B$15</f>
        <v>98312.224327999997</v>
      </c>
      <c r="BJ108">
        <f>Grandview_Sales[[#This Row],[Fin BSMT]]*Lookups!$B$16</f>
        <v>0</v>
      </c>
      <c r="BK108">
        <f>Grandview_Sales[[#This Row],[garage_sqft]]*Lookups!$B$17</f>
        <v>44110.300248</v>
      </c>
      <c r="BL108">
        <f>Grandview_Sales[[#This Row],[Plumbing Fixtures]]*Lookups!$B$18</f>
        <v>16083.5344</v>
      </c>
      <c r="BM108">
        <f>Grandview_Sales[[#This Row],[detatched_value]]*Lookups!$B$19</f>
        <v>29892.22003</v>
      </c>
      <c r="BN108">
        <f>Grandview_Sales[[#This Row],[days_prior]]*Lookups!$B$20</f>
        <v>-69210.342199999999</v>
      </c>
      <c r="BO108">
        <f>SUM(Grandview_Sales[[#This Row],[land_value]:[Days Prior To Assessment_value]])</f>
        <v>321114.18503153953</v>
      </c>
      <c r="BP108">
        <f>Grandview_Sales[[#This Row],[predicted_total]]/Grandview_Sales[[#This Row],[sale_price]]</f>
        <v>1.1267164387071562</v>
      </c>
      <c r="BQ108">
        <f>VLOOKUP(Grandview_Sales[[#This Row],[quality]],Lookups!$A$26:$C$33,3,FALSE)</f>
        <v>0.98079741117310582</v>
      </c>
      <c r="BR108">
        <f>VLOOKUP(Grandview_Sales[[#This Row],[condition]],Lookups!$A$37:$C$44,3,FALSE)</f>
        <v>0.96469275950863709</v>
      </c>
      <c r="BS108">
        <f>VLOOKUP(Grandview_Sales[[#This Row],[decade]],Lookups!$F$29:$H$43,3,FALSE)</f>
        <v>0.95268620544463312</v>
      </c>
      <c r="BT108">
        <f>VLOOKUP(Grandview_Sales[[#This Row],[living_area_range]],Lookups!$F$47:$H$56,3,FALSE)</f>
        <v>0.96120133463014379</v>
      </c>
      <c r="BU108">
        <f>Grandview_Sales[[#This Row],[predicted_total]]*AVERAGE(Grandview_Sales[[#This Row],[qual_adj]:[size_adj]])</f>
        <v>309825.23207961716</v>
      </c>
      <c r="BV108">
        <f>Grandview_Sales[[#This Row],[final_total]]/Grandview_Sales[[#This Row],[sale_price]]</f>
        <v>1.0871060774723409</v>
      </c>
      <c r="BW108" s="6">
        <f>(Grandview_Sales[[#This Row],[final_total]]-Grandview_Sales[[#This Row],[sale_price]])^2</f>
        <v>616292147.8068527</v>
      </c>
      <c r="BX108" s="6">
        <f>(Grandview_Sales[[#This Row],[final_total]]-AVERAGE(Grandview_Sales[sale_price]))^2</f>
        <v>8214311.0480911508</v>
      </c>
      <c r="BY108" s="6">
        <f>Grandview_Sales[[#This Row],[SSE]]+Grandview_Sales[[#This Row],[SSR]]</f>
        <v>624506458.85494387</v>
      </c>
      <c r="BZ108" s="4">
        <f>ABS(Grandview_Sales[[#This Row],[final_ratio]]-MEDIAN(Grandview_Sales[final_ratio]))</f>
        <v>8.5857358116528948E-2</v>
      </c>
    </row>
    <row r="109" spans="1:78" x14ac:dyDescent="0.25">
      <c r="A109">
        <v>23092332490</v>
      </c>
      <c r="B109">
        <v>0.21</v>
      </c>
      <c r="C109">
        <v>8970</v>
      </c>
      <c r="D109">
        <v>0</v>
      </c>
      <c r="E109" t="s">
        <v>53</v>
      </c>
      <c r="F109" t="s">
        <v>53</v>
      </c>
      <c r="G109">
        <v>4</v>
      </c>
      <c r="H109" t="s">
        <v>54</v>
      </c>
      <c r="I109">
        <v>230400</v>
      </c>
      <c r="J109">
        <v>39300</v>
      </c>
      <c r="K109">
        <v>0.21</v>
      </c>
      <c r="L109">
        <v>-1.5606477482650001</v>
      </c>
      <c r="M109">
        <v>0</v>
      </c>
      <c r="N109">
        <v>0</v>
      </c>
      <c r="O109">
        <v>0</v>
      </c>
      <c r="P109">
        <v>13398.7528</v>
      </c>
      <c r="Q109">
        <v>63902.980100000001</v>
      </c>
      <c r="R109">
        <v>42992.246713125001</v>
      </c>
      <c r="S109" t="s">
        <v>74</v>
      </c>
      <c r="T109">
        <v>1</v>
      </c>
      <c r="U109" t="s">
        <v>62</v>
      </c>
      <c r="V109" t="s">
        <v>69</v>
      </c>
      <c r="W109">
        <v>0</v>
      </c>
      <c r="X109">
        <v>0</v>
      </c>
      <c r="Y109">
        <v>48</v>
      </c>
      <c r="Z109">
        <v>63</v>
      </c>
      <c r="AA109">
        <v>60</v>
      </c>
      <c r="AB109">
        <v>2500</v>
      </c>
      <c r="AC109">
        <v>2171</v>
      </c>
      <c r="AD109">
        <v>1596</v>
      </c>
      <c r="AE109">
        <v>0</v>
      </c>
      <c r="AF109">
        <v>575</v>
      </c>
      <c r="AG109">
        <v>0</v>
      </c>
      <c r="AH109">
        <v>300</v>
      </c>
      <c r="AI109">
        <v>0</v>
      </c>
      <c r="AJ109">
        <v>0</v>
      </c>
      <c r="AK109">
        <v>674</v>
      </c>
      <c r="AL109">
        <v>11</v>
      </c>
      <c r="AM109">
        <v>0</v>
      </c>
      <c r="AN109">
        <v>1</v>
      </c>
      <c r="AO109" t="s">
        <v>58</v>
      </c>
      <c r="AP109">
        <v>1</v>
      </c>
      <c r="AQ109" t="s">
        <v>63</v>
      </c>
      <c r="AR109" t="s">
        <v>64</v>
      </c>
      <c r="AS109">
        <v>0</v>
      </c>
      <c r="AT109">
        <v>4</v>
      </c>
      <c r="AU109">
        <v>0</v>
      </c>
      <c r="AV109">
        <v>0</v>
      </c>
      <c r="AW109">
        <v>100</v>
      </c>
      <c r="AX109" s="1">
        <v>44350</v>
      </c>
      <c r="AY109">
        <v>22500</v>
      </c>
      <c r="AZ109">
        <v>246093</v>
      </c>
      <c r="BA109">
        <v>268600</v>
      </c>
      <c r="BB109">
        <v>310000</v>
      </c>
      <c r="BC109">
        <v>577</v>
      </c>
      <c r="BD109">
        <f>Grandview_Sales[[#This Row],[land_extract]]*Lookups!$B$3</f>
        <v>49926.780028885936</v>
      </c>
      <c r="BE109">
        <f>Lookups!$B$2</f>
        <v>155833.95000000001</v>
      </c>
      <c r="BF109">
        <f>VLOOKUP(Grandview_Sales[[#This Row],[quality]],Lookups!$H$2:$J$13,3,FALSE)</f>
        <v>9808</v>
      </c>
      <c r="BG109">
        <f>VLOOKUP(Grandview_Sales[[#This Row],[condition]],Lookups!$H$17:$J$24,3,FALSE)</f>
        <v>-4503</v>
      </c>
      <c r="BH109">
        <f>Grandview_Sales[[#This Row],[Eff_Age]]*Lookups!$B$14</f>
        <v>-11479.996799999999</v>
      </c>
      <c r="BI109">
        <f>Grandview_Sales[[#This Row],[living_area]]*Lookups!$B$15</f>
        <v>135428.831863</v>
      </c>
      <c r="BJ109">
        <f>Grandview_Sales[[#This Row],[Fin BSMT]]*Lookups!$B$16</f>
        <v>-15582.063000000002</v>
      </c>
      <c r="BK109">
        <f>Grandview_Sales[[#This Row],[garage_sqft]]*Lookups!$B$17</f>
        <v>26256.131099999999</v>
      </c>
      <c r="BL109">
        <f>Grandview_Sales[[#This Row],[Plumbing Fixtures]]*Lookups!$B$18</f>
        <v>22114.859800000002</v>
      </c>
      <c r="BM109">
        <f>Grandview_Sales[[#This Row],[detatched_value]]*Lookups!$B$19</f>
        <v>0</v>
      </c>
      <c r="BN109">
        <f>Grandview_Sales[[#This Row],[days_prior]]*Lookups!$B$20</f>
        <v>-69210.342199999999</v>
      </c>
      <c r="BO109">
        <f>SUM(Grandview_Sales[[#This Row],[land_value]:[Days Prior To Assessment_value]])</f>
        <v>298593.15079188591</v>
      </c>
      <c r="BP109">
        <f>Grandview_Sales[[#This Row],[predicted_total]]/Grandview_Sales[[#This Row],[sale_price]]</f>
        <v>0.96320371223189005</v>
      </c>
      <c r="BQ109">
        <f>VLOOKUP(Grandview_Sales[[#This Row],[quality]],Lookups!$A$26:$C$33,3,FALSE)</f>
        <v>0.94295468617355149</v>
      </c>
      <c r="BR109">
        <f>VLOOKUP(Grandview_Sales[[#This Row],[condition]],Lookups!$A$37:$C$44,3,FALSE)</f>
        <v>0.96469275950863709</v>
      </c>
      <c r="BS109">
        <f>VLOOKUP(Grandview_Sales[[#This Row],[decade]],Lookups!$F$29:$H$43,3,FALSE)</f>
        <v>0.95268620544463312</v>
      </c>
      <c r="BT109">
        <f>VLOOKUP(Grandview_Sales[[#This Row],[living_area_range]],Lookups!$F$47:$H$56,3,FALSE)</f>
        <v>0.95799442568048754</v>
      </c>
      <c r="BU109">
        <f>Grandview_Sales[[#This Row],[predicted_total]]*AVERAGE(Grandview_Sales[[#This Row],[qual_adj]:[size_adj]])</f>
        <v>285031.65280275414</v>
      </c>
      <c r="BV109">
        <f>Grandview_Sales[[#This Row],[final_total]]/Grandview_Sales[[#This Row],[sale_price]]</f>
        <v>0.91945694452501336</v>
      </c>
      <c r="BW109" s="6">
        <f>(Grandview_Sales[[#This Row],[final_total]]-Grandview_Sales[[#This Row],[sale_price]])^2</f>
        <v>623418361.76221538</v>
      </c>
      <c r="BX109" s="6">
        <f>(Grandview_Sales[[#This Row],[final_total]]-AVERAGE(Grandview_Sales[sale_price]))^2</f>
        <v>480816016.52648962</v>
      </c>
      <c r="BY109" s="6">
        <f>Grandview_Sales[[#This Row],[SSE]]+Grandview_Sales[[#This Row],[SSR]]</f>
        <v>1104234378.2887049</v>
      </c>
      <c r="BZ109" s="4">
        <f>ABS(Grandview_Sales[[#This Row],[final_ratio]]-MEDIAN(Grandview_Sales[final_ratio]))</f>
        <v>8.179177483079858E-2</v>
      </c>
    </row>
    <row r="110" spans="1:78" x14ac:dyDescent="0.25">
      <c r="A110">
        <v>23091432432</v>
      </c>
      <c r="B110">
        <v>0.17</v>
      </c>
      <c r="C110">
        <v>7408</v>
      </c>
      <c r="D110">
        <v>0</v>
      </c>
      <c r="E110" t="s">
        <v>53</v>
      </c>
      <c r="F110" t="s">
        <v>53</v>
      </c>
      <c r="G110">
        <v>4</v>
      </c>
      <c r="H110" t="s">
        <v>54</v>
      </c>
      <c r="I110">
        <v>183900</v>
      </c>
      <c r="J110">
        <v>38800</v>
      </c>
      <c r="K110">
        <v>0.17</v>
      </c>
      <c r="L110">
        <v>-1.771956841932</v>
      </c>
      <c r="M110">
        <v>0</v>
      </c>
      <c r="N110">
        <v>0</v>
      </c>
      <c r="O110">
        <v>0</v>
      </c>
      <c r="P110">
        <v>13398.7528</v>
      </c>
      <c r="Q110">
        <v>63902.980100000001</v>
      </c>
      <c r="R110">
        <v>40160.968402685998</v>
      </c>
      <c r="S110" t="s">
        <v>61</v>
      </c>
      <c r="T110">
        <v>1</v>
      </c>
      <c r="U110" t="s">
        <v>65</v>
      </c>
      <c r="V110" t="s">
        <v>69</v>
      </c>
      <c r="W110">
        <v>0</v>
      </c>
      <c r="X110">
        <v>0</v>
      </c>
      <c r="Y110">
        <v>23</v>
      </c>
      <c r="Z110">
        <v>23</v>
      </c>
      <c r="AA110">
        <v>20</v>
      </c>
      <c r="AB110">
        <v>1500</v>
      </c>
      <c r="AC110">
        <v>1224</v>
      </c>
      <c r="AD110">
        <v>1224</v>
      </c>
      <c r="AE110">
        <v>0</v>
      </c>
      <c r="AF110">
        <v>0</v>
      </c>
      <c r="AG110">
        <v>0</v>
      </c>
      <c r="AH110">
        <v>440</v>
      </c>
      <c r="AI110">
        <v>0</v>
      </c>
      <c r="AJ110">
        <v>0</v>
      </c>
      <c r="AK110">
        <v>0</v>
      </c>
      <c r="AL110">
        <v>8</v>
      </c>
      <c r="AM110">
        <v>0</v>
      </c>
      <c r="AN110">
        <v>0</v>
      </c>
      <c r="AO110" t="s">
        <v>58</v>
      </c>
      <c r="AP110">
        <v>1</v>
      </c>
      <c r="AQ110" t="s">
        <v>63</v>
      </c>
      <c r="AR110" t="s">
        <v>60</v>
      </c>
      <c r="AS110">
        <v>1</v>
      </c>
      <c r="AT110">
        <v>3</v>
      </c>
      <c r="AU110">
        <v>0</v>
      </c>
      <c r="AV110">
        <v>0</v>
      </c>
      <c r="AW110">
        <v>100</v>
      </c>
      <c r="AX110" s="1">
        <v>44356</v>
      </c>
      <c r="AY110">
        <v>22200</v>
      </c>
      <c r="AZ110">
        <v>178303</v>
      </c>
      <c r="BA110">
        <v>200500</v>
      </c>
      <c r="BB110">
        <v>261500</v>
      </c>
      <c r="BC110">
        <v>571</v>
      </c>
      <c r="BD110">
        <f>Grandview_Sales[[#This Row],[land_extract]]*Lookups!$B$3</f>
        <v>46638.82417142456</v>
      </c>
      <c r="BE110">
        <f>Lookups!$B$2</f>
        <v>155833.95000000001</v>
      </c>
      <c r="BF110">
        <f>VLOOKUP(Grandview_Sales[[#This Row],[quality]],Lookups!$H$2:$J$13,3,FALSE)</f>
        <v>2251</v>
      </c>
      <c r="BG110">
        <f>VLOOKUP(Grandview_Sales[[#This Row],[condition]],Lookups!$H$17:$J$24,3,FALSE)</f>
        <v>-4503</v>
      </c>
      <c r="BH110">
        <f>Grandview_Sales[[#This Row],[Eff_Age]]*Lookups!$B$14</f>
        <v>-5500.8317999999999</v>
      </c>
      <c r="BI110">
        <f>Grandview_Sales[[#This Row],[living_area]]*Lookups!$B$15</f>
        <v>76354.164072</v>
      </c>
      <c r="BJ110">
        <f>Grandview_Sales[[#This Row],[Fin BSMT]]*Lookups!$B$16</f>
        <v>0</v>
      </c>
      <c r="BK110">
        <f>Grandview_Sales[[#This Row],[garage_sqft]]*Lookups!$B$17</f>
        <v>38508.992279999999</v>
      </c>
      <c r="BL110">
        <f>Grandview_Sales[[#This Row],[Plumbing Fixtures]]*Lookups!$B$18</f>
        <v>16083.5344</v>
      </c>
      <c r="BM110">
        <f>Grandview_Sales[[#This Row],[detatched_value]]*Lookups!$B$19</f>
        <v>0</v>
      </c>
      <c r="BN110">
        <f>Grandview_Sales[[#This Row],[days_prior]]*Lookups!$B$20</f>
        <v>-68490.650599999994</v>
      </c>
      <c r="BO110">
        <f>SUM(Grandview_Sales[[#This Row],[land_value]:[Days Prior To Assessment_value]])</f>
        <v>257175.98252342461</v>
      </c>
      <c r="BP110">
        <f>Grandview_Sales[[#This Row],[predicted_total]]/Grandview_Sales[[#This Row],[sale_price]]</f>
        <v>0.98346456031902341</v>
      </c>
      <c r="BQ110">
        <f>VLOOKUP(Grandview_Sales[[#This Row],[quality]],Lookups!$A$26:$C$33,3,FALSE)</f>
        <v>0.98763855981004833</v>
      </c>
      <c r="BR110">
        <f>VLOOKUP(Grandview_Sales[[#This Row],[condition]],Lookups!$A$37:$C$44,3,FALSE)</f>
        <v>0.96469275950863709</v>
      </c>
      <c r="BS110">
        <f>VLOOKUP(Grandview_Sales[[#This Row],[decade]],Lookups!$F$29:$H$43,3,FALSE)</f>
        <v>0.96737494181490646</v>
      </c>
      <c r="BT110">
        <f>VLOOKUP(Grandview_Sales[[#This Row],[living_area_range]],Lookups!$F$47:$H$56,3,FALSE)</f>
        <v>0.96135087979789358</v>
      </c>
      <c r="BU110">
        <f>Grandview_Sales[[#This Row],[predicted_total]]*AVERAGE(Grandview_Sales[[#This Row],[qual_adj]:[size_adj]])</f>
        <v>249528.67086215198</v>
      </c>
      <c r="BV110">
        <f>Grandview_Sales[[#This Row],[final_total]]/Grandview_Sales[[#This Row],[sale_price]]</f>
        <v>0.95422053866979728</v>
      </c>
      <c r="BW110" s="6">
        <f>(Grandview_Sales[[#This Row],[final_total]]-Grandview_Sales[[#This Row],[sale_price]])^2</f>
        <v>143312721.32668903</v>
      </c>
      <c r="BX110" s="6">
        <f>(Grandview_Sales[[#This Row],[final_total]]-AVERAGE(Grandview_Sales[sale_price]))^2</f>
        <v>3298262247.1752772</v>
      </c>
      <c r="BY110" s="6">
        <f>Grandview_Sales[[#This Row],[SSE]]+Grandview_Sales[[#This Row],[SSR]]</f>
        <v>3441574968.5019665</v>
      </c>
      <c r="BZ110" s="4">
        <f>ABS(Grandview_Sales[[#This Row],[final_ratio]]-MEDIAN(Grandview_Sales[final_ratio]))</f>
        <v>4.7028180686014665E-2</v>
      </c>
    </row>
    <row r="111" spans="1:78" x14ac:dyDescent="0.25">
      <c r="A111">
        <v>23092214452</v>
      </c>
      <c r="B111">
        <v>0.21</v>
      </c>
      <c r="C111">
        <v>9132</v>
      </c>
      <c r="D111">
        <v>0</v>
      </c>
      <c r="E111" t="s">
        <v>53</v>
      </c>
      <c r="F111" t="s">
        <v>53</v>
      </c>
      <c r="G111">
        <v>4</v>
      </c>
      <c r="H111" t="s">
        <v>54</v>
      </c>
      <c r="I111">
        <v>192400</v>
      </c>
      <c r="J111">
        <v>39300</v>
      </c>
      <c r="K111">
        <v>0.21</v>
      </c>
      <c r="L111">
        <v>-1.5606477482650001</v>
      </c>
      <c r="M111">
        <v>0</v>
      </c>
      <c r="N111">
        <v>0</v>
      </c>
      <c r="O111">
        <v>0</v>
      </c>
      <c r="P111">
        <v>13398.7528</v>
      </c>
      <c r="Q111">
        <v>63902.980100000001</v>
      </c>
      <c r="R111">
        <v>42992.246713125001</v>
      </c>
      <c r="S111" t="s">
        <v>61</v>
      </c>
      <c r="T111">
        <v>1</v>
      </c>
      <c r="U111" t="s">
        <v>70</v>
      </c>
      <c r="V111" t="s">
        <v>69</v>
      </c>
      <c r="W111">
        <v>0</v>
      </c>
      <c r="X111">
        <v>0</v>
      </c>
      <c r="Y111">
        <v>50</v>
      </c>
      <c r="Z111">
        <v>71</v>
      </c>
      <c r="AA111">
        <v>70</v>
      </c>
      <c r="AB111">
        <v>1500</v>
      </c>
      <c r="AC111">
        <v>1248</v>
      </c>
      <c r="AD111">
        <v>1248</v>
      </c>
      <c r="AE111">
        <v>0</v>
      </c>
      <c r="AF111">
        <v>0</v>
      </c>
      <c r="AG111">
        <v>0</v>
      </c>
      <c r="AH111">
        <v>0</v>
      </c>
      <c r="AI111">
        <v>654</v>
      </c>
      <c r="AJ111">
        <v>0</v>
      </c>
      <c r="AK111">
        <v>0</v>
      </c>
      <c r="AL111">
        <v>5</v>
      </c>
      <c r="AM111">
        <v>0</v>
      </c>
      <c r="AN111">
        <v>0</v>
      </c>
      <c r="AO111" t="s">
        <v>76</v>
      </c>
      <c r="AP111">
        <v>1</v>
      </c>
      <c r="AQ111" t="s">
        <v>63</v>
      </c>
      <c r="AR111" t="s">
        <v>64</v>
      </c>
      <c r="AS111">
        <v>1</v>
      </c>
      <c r="AT111">
        <v>3</v>
      </c>
      <c r="AU111">
        <v>0</v>
      </c>
      <c r="AV111">
        <v>10300</v>
      </c>
      <c r="AW111">
        <v>100</v>
      </c>
      <c r="AX111" s="1">
        <v>44356</v>
      </c>
      <c r="AY111">
        <v>22500</v>
      </c>
      <c r="AZ111">
        <v>138687</v>
      </c>
      <c r="BA111">
        <v>161200</v>
      </c>
      <c r="BB111">
        <v>232000</v>
      </c>
      <c r="BC111">
        <v>571</v>
      </c>
      <c r="BD111">
        <f>Grandview_Sales[[#This Row],[land_extract]]*Lookups!$B$3</f>
        <v>49926.780028885936</v>
      </c>
      <c r="BE111">
        <f>Lookups!$B$2</f>
        <v>155833.95000000001</v>
      </c>
      <c r="BF111">
        <f>VLOOKUP(Grandview_Sales[[#This Row],[quality]],Lookups!$H$2:$J$13,3,FALSE)</f>
        <v>10733</v>
      </c>
      <c r="BG111">
        <f>VLOOKUP(Grandview_Sales[[#This Row],[condition]],Lookups!$H$17:$J$24,3,FALSE)</f>
        <v>-4503</v>
      </c>
      <c r="BH111">
        <f>Grandview_Sales[[#This Row],[Eff_Age]]*Lookups!$B$14</f>
        <v>-11958.33</v>
      </c>
      <c r="BI111">
        <f>Grandview_Sales[[#This Row],[living_area]]*Lookups!$B$15</f>
        <v>77851.304543999999</v>
      </c>
      <c r="BJ111">
        <f>Grandview_Sales[[#This Row],[Fin BSMT]]*Lookups!$B$16</f>
        <v>0</v>
      </c>
      <c r="BK111">
        <f>Grandview_Sales[[#This Row],[garage_sqft]]*Lookups!$B$17</f>
        <v>0</v>
      </c>
      <c r="BL111">
        <f>Grandview_Sales[[#This Row],[Plumbing Fixtures]]*Lookups!$B$18</f>
        <v>10052.209000000001</v>
      </c>
      <c r="BM111">
        <f>Grandview_Sales[[#This Row],[detatched_value]]*Lookups!$B$19</f>
        <v>8722.0925299999999</v>
      </c>
      <c r="BN111">
        <f>Grandview_Sales[[#This Row],[days_prior]]*Lookups!$B$20</f>
        <v>-68490.650599999994</v>
      </c>
      <c r="BO111">
        <f>SUM(Grandview_Sales[[#This Row],[land_value]:[Days Prior To Assessment_value]])</f>
        <v>228167.35550288594</v>
      </c>
      <c r="BP111">
        <f>Grandview_Sales[[#This Row],[predicted_total]]/Grandview_Sales[[#This Row],[sale_price]]</f>
        <v>0.98347998061588771</v>
      </c>
      <c r="BQ111">
        <f>VLOOKUP(Grandview_Sales[[#This Row],[quality]],Lookups!$A$26:$C$33,3,FALSE)</f>
        <v>0.98079741117310582</v>
      </c>
      <c r="BR111">
        <f>VLOOKUP(Grandview_Sales[[#This Row],[condition]],Lookups!$A$37:$C$44,3,FALSE)</f>
        <v>0.96469275950863709</v>
      </c>
      <c r="BS111">
        <f>VLOOKUP(Grandview_Sales[[#This Row],[decade]],Lookups!$F$29:$H$43,3,FALSE)</f>
        <v>0.99472141305414818</v>
      </c>
      <c r="BT111">
        <f>VLOOKUP(Grandview_Sales[[#This Row],[living_area_range]],Lookups!$F$47:$H$56,3,FALSE)</f>
        <v>0.96135087979789358</v>
      </c>
      <c r="BU111">
        <f>Grandview_Sales[[#This Row],[predicted_total]]*AVERAGE(Grandview_Sales[[#This Row],[qual_adj]:[size_adj]])</f>
        <v>222552.29740845715</v>
      </c>
      <c r="BV111">
        <f>Grandview_Sales[[#This Row],[final_total]]/Grandview_Sales[[#This Row],[sale_price]]</f>
        <v>0.95927714400197051</v>
      </c>
      <c r="BW111" s="6">
        <f>(Grandview_Sales[[#This Row],[final_total]]-Grandview_Sales[[#This Row],[sale_price]])^2</f>
        <v>89259084.258245543</v>
      </c>
      <c r="BX111" s="6">
        <f>(Grandview_Sales[[#This Row],[final_total]]-AVERAGE(Grandview_Sales[sale_price]))^2</f>
        <v>7124520164.131299</v>
      </c>
      <c r="BY111" s="6">
        <f>Grandview_Sales[[#This Row],[SSE]]+Grandview_Sales[[#This Row],[SSR]]</f>
        <v>7213779248.3895445</v>
      </c>
      <c r="BZ111" s="4">
        <f>ABS(Grandview_Sales[[#This Row],[final_ratio]]-MEDIAN(Grandview_Sales[final_ratio]))</f>
        <v>4.1971575353841439E-2</v>
      </c>
    </row>
    <row r="112" spans="1:78" x14ac:dyDescent="0.25">
      <c r="A112">
        <v>23092231475</v>
      </c>
      <c r="B112">
        <v>0.21</v>
      </c>
      <c r="C112">
        <v>8931</v>
      </c>
      <c r="D112">
        <v>0</v>
      </c>
      <c r="E112" t="s">
        <v>53</v>
      </c>
      <c r="F112" t="s">
        <v>53</v>
      </c>
      <c r="G112">
        <v>4</v>
      </c>
      <c r="H112" t="s">
        <v>54</v>
      </c>
      <c r="I112">
        <v>154300</v>
      </c>
      <c r="J112">
        <v>39300</v>
      </c>
      <c r="K112">
        <v>0.21</v>
      </c>
      <c r="L112">
        <v>-1.5606477482650001</v>
      </c>
      <c r="M112">
        <v>0</v>
      </c>
      <c r="N112">
        <v>0</v>
      </c>
      <c r="O112">
        <v>0</v>
      </c>
      <c r="P112">
        <v>13398.7528</v>
      </c>
      <c r="Q112">
        <v>63902.980100000001</v>
      </c>
      <c r="R112">
        <v>42992.246713125001</v>
      </c>
      <c r="S112" t="s">
        <v>61</v>
      </c>
      <c r="T112">
        <v>1</v>
      </c>
      <c r="U112" t="s">
        <v>65</v>
      </c>
      <c r="V112" t="s">
        <v>69</v>
      </c>
      <c r="W112">
        <v>0</v>
      </c>
      <c r="X112">
        <v>0</v>
      </c>
      <c r="Y112">
        <v>43</v>
      </c>
      <c r="Z112">
        <v>45</v>
      </c>
      <c r="AA112">
        <v>50</v>
      </c>
      <c r="AB112">
        <v>1500</v>
      </c>
      <c r="AC112">
        <v>1196</v>
      </c>
      <c r="AD112">
        <v>1196</v>
      </c>
      <c r="AE112">
        <v>0</v>
      </c>
      <c r="AF112">
        <v>0</v>
      </c>
      <c r="AG112">
        <v>0</v>
      </c>
      <c r="AH112">
        <v>0</v>
      </c>
      <c r="AI112">
        <v>312</v>
      </c>
      <c r="AJ112">
        <v>240</v>
      </c>
      <c r="AK112">
        <v>0</v>
      </c>
      <c r="AL112">
        <v>5</v>
      </c>
      <c r="AM112">
        <v>0</v>
      </c>
      <c r="AN112">
        <v>0</v>
      </c>
      <c r="AO112" t="s">
        <v>58</v>
      </c>
      <c r="AP112">
        <v>1</v>
      </c>
      <c r="AQ112" t="s">
        <v>63</v>
      </c>
      <c r="AR112" t="s">
        <v>60</v>
      </c>
      <c r="AS112">
        <v>1</v>
      </c>
      <c r="AT112">
        <v>3</v>
      </c>
      <c r="AU112">
        <v>0</v>
      </c>
      <c r="AV112">
        <v>0</v>
      </c>
      <c r="AW112">
        <v>100</v>
      </c>
      <c r="AX112" s="1">
        <v>44363</v>
      </c>
      <c r="AY112">
        <v>22500</v>
      </c>
      <c r="AZ112">
        <v>138717</v>
      </c>
      <c r="BA112">
        <v>161200</v>
      </c>
      <c r="BB112">
        <v>244000</v>
      </c>
      <c r="BC112">
        <v>564</v>
      </c>
      <c r="BD112">
        <f>Grandview_Sales[[#This Row],[land_extract]]*Lookups!$B$3</f>
        <v>49926.780028885936</v>
      </c>
      <c r="BE112">
        <f>Lookups!$B$2</f>
        <v>155833.95000000001</v>
      </c>
      <c r="BF112">
        <f>VLOOKUP(Grandview_Sales[[#This Row],[quality]],Lookups!$H$2:$J$13,3,FALSE)</f>
        <v>2251</v>
      </c>
      <c r="BG112">
        <f>VLOOKUP(Grandview_Sales[[#This Row],[condition]],Lookups!$H$17:$J$24,3,FALSE)</f>
        <v>-4503</v>
      </c>
      <c r="BH112">
        <f>Grandview_Sales[[#This Row],[Eff_Age]]*Lookups!$B$14</f>
        <v>-10284.1638</v>
      </c>
      <c r="BI112">
        <f>Grandview_Sales[[#This Row],[living_area]]*Lookups!$B$15</f>
        <v>74607.500188000005</v>
      </c>
      <c r="BJ112">
        <f>Grandview_Sales[[#This Row],[Fin BSMT]]*Lookups!$B$16</f>
        <v>0</v>
      </c>
      <c r="BK112">
        <f>Grandview_Sales[[#This Row],[garage_sqft]]*Lookups!$B$17</f>
        <v>0</v>
      </c>
      <c r="BL112">
        <f>Grandview_Sales[[#This Row],[Plumbing Fixtures]]*Lookups!$B$18</f>
        <v>10052.209000000001</v>
      </c>
      <c r="BM112">
        <f>Grandview_Sales[[#This Row],[detatched_value]]*Lookups!$B$19</f>
        <v>0</v>
      </c>
      <c r="BN112">
        <f>Grandview_Sales[[#This Row],[days_prior]]*Lookups!$B$20</f>
        <v>-67651.010399999999</v>
      </c>
      <c r="BO112">
        <f>SUM(Grandview_Sales[[#This Row],[land_value]:[Days Prior To Assessment_value]])</f>
        <v>210233.26501688591</v>
      </c>
      <c r="BP112">
        <f>Grandview_Sales[[#This Row],[predicted_total]]/Grandview_Sales[[#This Row],[sale_price]]</f>
        <v>0.86161174187248324</v>
      </c>
      <c r="BQ112">
        <f>VLOOKUP(Grandview_Sales[[#This Row],[quality]],Lookups!$A$26:$C$33,3,FALSE)</f>
        <v>0.98763855981004833</v>
      </c>
      <c r="BR112">
        <f>VLOOKUP(Grandview_Sales[[#This Row],[condition]],Lookups!$A$37:$C$44,3,FALSE)</f>
        <v>0.96469275950863709</v>
      </c>
      <c r="BS112">
        <f>VLOOKUP(Grandview_Sales[[#This Row],[decade]],Lookups!$F$29:$H$43,3,FALSE)</f>
        <v>0.9871940091910919</v>
      </c>
      <c r="BT112">
        <f>VLOOKUP(Grandview_Sales[[#This Row],[living_area_range]],Lookups!$F$47:$H$56,3,FALSE)</f>
        <v>0.96135087979789358</v>
      </c>
      <c r="BU112">
        <f>Grandview_Sales[[#This Row],[predicted_total]]*AVERAGE(Grandview_Sales[[#This Row],[qual_adj]:[size_adj]])</f>
        <v>205023.4854248029</v>
      </c>
      <c r="BV112">
        <f>Grandview_Sales[[#This Row],[final_total]]/Grandview_Sales[[#This Row],[sale_price]]</f>
        <v>0.84026018616722498</v>
      </c>
      <c r="BW112" s="6">
        <f>(Grandview_Sales[[#This Row],[final_total]]-Grandview_Sales[[#This Row],[sale_price]])^2</f>
        <v>1519168688.430552</v>
      </c>
      <c r="BX112" s="6">
        <f>(Grandview_Sales[[#This Row],[final_total]]-AVERAGE(Grandview_Sales[sale_price]))^2</f>
        <v>10390883818.129541</v>
      </c>
      <c r="BY112" s="6">
        <f>Grandview_Sales[[#This Row],[SSE]]+Grandview_Sales[[#This Row],[SSR]]</f>
        <v>11910052506.560093</v>
      </c>
      <c r="BZ112" s="4">
        <f>ABS(Grandview_Sales[[#This Row],[final_ratio]]-MEDIAN(Grandview_Sales[final_ratio]))</f>
        <v>0.16098853318858697</v>
      </c>
    </row>
    <row r="113" spans="1:78" x14ac:dyDescent="0.25">
      <c r="A113">
        <v>23092343004</v>
      </c>
      <c r="B113">
        <v>0.95</v>
      </c>
      <c r="C113">
        <v>41545</v>
      </c>
      <c r="D113">
        <v>0</v>
      </c>
      <c r="E113" t="s">
        <v>53</v>
      </c>
      <c r="F113" t="s">
        <v>53</v>
      </c>
      <c r="G113">
        <v>4</v>
      </c>
      <c r="H113" t="s">
        <v>54</v>
      </c>
      <c r="I113">
        <v>299700</v>
      </c>
      <c r="J113">
        <v>43700</v>
      </c>
      <c r="K113">
        <v>0.95</v>
      </c>
      <c r="L113">
        <v>-5.1293294388000003E-2</v>
      </c>
      <c r="M113">
        <v>0</v>
      </c>
      <c r="N113">
        <v>0</v>
      </c>
      <c r="O113">
        <v>0</v>
      </c>
      <c r="P113">
        <v>13398.7528</v>
      </c>
      <c r="Q113">
        <v>63902.980100000001</v>
      </c>
      <c r="R113">
        <v>63215.713928204001</v>
      </c>
      <c r="S113" t="s">
        <v>74</v>
      </c>
      <c r="T113">
        <v>1</v>
      </c>
      <c r="U113" t="s">
        <v>70</v>
      </c>
      <c r="V113" t="s">
        <v>67</v>
      </c>
      <c r="W113">
        <v>0</v>
      </c>
      <c r="X113">
        <v>0</v>
      </c>
      <c r="Y113">
        <v>45</v>
      </c>
      <c r="Z113">
        <v>113</v>
      </c>
      <c r="AA113">
        <v>110</v>
      </c>
      <c r="AB113">
        <v>3000</v>
      </c>
      <c r="AC113">
        <v>2753</v>
      </c>
      <c r="AD113">
        <v>2103</v>
      </c>
      <c r="AE113">
        <v>0</v>
      </c>
      <c r="AF113">
        <v>650</v>
      </c>
      <c r="AG113">
        <v>0</v>
      </c>
      <c r="AH113">
        <v>0</v>
      </c>
      <c r="AI113">
        <v>0</v>
      </c>
      <c r="AJ113">
        <v>0</v>
      </c>
      <c r="AK113">
        <v>312</v>
      </c>
      <c r="AL113">
        <v>8</v>
      </c>
      <c r="AM113">
        <v>0</v>
      </c>
      <c r="AN113">
        <v>0</v>
      </c>
      <c r="AO113" t="s">
        <v>58</v>
      </c>
      <c r="AP113">
        <v>1</v>
      </c>
      <c r="AQ113" t="s">
        <v>63</v>
      </c>
      <c r="AR113" t="s">
        <v>60</v>
      </c>
      <c r="AS113">
        <v>0</v>
      </c>
      <c r="AT113">
        <v>5</v>
      </c>
      <c r="AU113">
        <v>0</v>
      </c>
      <c r="AV113">
        <v>17200</v>
      </c>
      <c r="AW113">
        <v>100</v>
      </c>
      <c r="AX113" s="1">
        <v>44364</v>
      </c>
      <c r="AY113">
        <v>25000</v>
      </c>
      <c r="AZ113">
        <v>276706</v>
      </c>
      <c r="BA113">
        <v>301700</v>
      </c>
      <c r="BB113">
        <v>389000</v>
      </c>
      <c r="BC113">
        <v>563</v>
      </c>
      <c r="BD113">
        <f>Grandview_Sales[[#This Row],[land_extract]]*Lookups!$B$3</f>
        <v>73412.237902395704</v>
      </c>
      <c r="BE113">
        <f>Lookups!$B$2</f>
        <v>155833.95000000001</v>
      </c>
      <c r="BF113">
        <f>VLOOKUP(Grandview_Sales[[#This Row],[quality]],Lookups!$H$2:$J$13,3,FALSE)</f>
        <v>10733</v>
      </c>
      <c r="BG113">
        <f>VLOOKUP(Grandview_Sales[[#This Row],[condition]],Lookups!$H$17:$J$24,3,FALSE)</f>
        <v>22342</v>
      </c>
      <c r="BH113">
        <f>Grandview_Sales[[#This Row],[Eff_Age]]*Lookups!$B$14</f>
        <v>-10762.496999999999</v>
      </c>
      <c r="BI113">
        <f>Grandview_Sales[[#This Row],[living_area]]*Lookups!$B$15</f>
        <v>171734.48830900001</v>
      </c>
      <c r="BJ113">
        <f>Grandview_Sales[[#This Row],[Fin BSMT]]*Lookups!$B$16</f>
        <v>-17614.506000000001</v>
      </c>
      <c r="BK113">
        <f>Grandview_Sales[[#This Row],[garage_sqft]]*Lookups!$B$17</f>
        <v>0</v>
      </c>
      <c r="BL113">
        <f>Grandview_Sales[[#This Row],[Plumbing Fixtures]]*Lookups!$B$18</f>
        <v>16083.5344</v>
      </c>
      <c r="BM113">
        <f>Grandview_Sales[[#This Row],[detatched_value]]*Lookups!$B$19</f>
        <v>14565.04772</v>
      </c>
      <c r="BN113">
        <f>Grandview_Sales[[#This Row],[days_prior]]*Lookups!$B$20</f>
        <v>-67531.061799999996</v>
      </c>
      <c r="BO113">
        <f>SUM(Grandview_Sales[[#This Row],[land_value]:[Days Prior To Assessment_value]])</f>
        <v>368796.19353139575</v>
      </c>
      <c r="BP113">
        <f>Grandview_Sales[[#This Row],[predicted_total]]/Grandview_Sales[[#This Row],[sale_price]]</f>
        <v>0.94806219416811244</v>
      </c>
      <c r="BQ113">
        <f>VLOOKUP(Grandview_Sales[[#This Row],[quality]],Lookups!$A$26:$C$33,3,FALSE)</f>
        <v>0.98079741117310582</v>
      </c>
      <c r="BR113">
        <f>VLOOKUP(Grandview_Sales[[#This Row],[condition]],Lookups!$A$37:$C$44,3,FALSE)</f>
        <v>0.97383723671140243</v>
      </c>
      <c r="BS113">
        <f>VLOOKUP(Grandview_Sales[[#This Row],[decade]],Lookups!$F$29:$H$43,3,FALSE)</f>
        <v>0.92255236374249616</v>
      </c>
      <c r="BT113">
        <f>VLOOKUP(Grandview_Sales[[#This Row],[living_area_range]],Lookups!$F$47:$H$56,3,FALSE)</f>
        <v>0.94224801443562123</v>
      </c>
      <c r="BU113">
        <f>Grandview_Sales[[#This Row],[predicted_total]]*AVERAGE(Grandview_Sales[[#This Row],[qual_adj]:[size_adj]])</f>
        <v>352148.27476309595</v>
      </c>
      <c r="BV113">
        <f>Grandview_Sales[[#This Row],[final_total]]/Grandview_Sales[[#This Row],[sale_price]]</f>
        <v>0.90526548782286875</v>
      </c>
      <c r="BW113" s="6">
        <f>(Grandview_Sales[[#This Row],[final_total]]-Grandview_Sales[[#This Row],[sale_price]])^2</f>
        <v>1358049652.936271</v>
      </c>
      <c r="BX113" s="6">
        <f>(Grandview_Sales[[#This Row],[final_total]]-AVERAGE(Grandview_Sales[sale_price]))^2</f>
        <v>2042055176.7375331</v>
      </c>
      <c r="BY113" s="6">
        <f>Grandview_Sales[[#This Row],[SSE]]+Grandview_Sales[[#This Row],[SSR]]</f>
        <v>3400104829.6738043</v>
      </c>
      <c r="BZ113" s="4">
        <f>ABS(Grandview_Sales[[#This Row],[final_ratio]]-MEDIAN(Grandview_Sales[final_ratio]))</f>
        <v>9.5983231532943192E-2</v>
      </c>
    </row>
    <row r="114" spans="1:78" x14ac:dyDescent="0.25">
      <c r="A114">
        <v>23092314534</v>
      </c>
      <c r="B114">
        <v>0.26</v>
      </c>
      <c r="C114">
        <v>11393</v>
      </c>
      <c r="D114">
        <v>0</v>
      </c>
      <c r="E114" t="s">
        <v>53</v>
      </c>
      <c r="F114" t="s">
        <v>53</v>
      </c>
      <c r="G114">
        <v>4</v>
      </c>
      <c r="H114" t="s">
        <v>54</v>
      </c>
      <c r="I114">
        <v>207300</v>
      </c>
      <c r="J114">
        <v>40700</v>
      </c>
      <c r="K114">
        <v>0.26</v>
      </c>
      <c r="L114">
        <v>-1.347073647967</v>
      </c>
      <c r="M114">
        <v>0</v>
      </c>
      <c r="N114">
        <v>0</v>
      </c>
      <c r="O114">
        <v>0</v>
      </c>
      <c r="P114">
        <v>13398.7528</v>
      </c>
      <c r="Q114">
        <v>63902.980100000001</v>
      </c>
      <c r="R114">
        <v>45853.873287501003</v>
      </c>
      <c r="S114" t="s">
        <v>68</v>
      </c>
      <c r="T114">
        <v>1</v>
      </c>
      <c r="U114" t="s">
        <v>62</v>
      </c>
      <c r="V114" t="s">
        <v>67</v>
      </c>
      <c r="W114">
        <v>0</v>
      </c>
      <c r="X114">
        <v>0</v>
      </c>
      <c r="Y114">
        <v>50</v>
      </c>
      <c r="Z114">
        <v>75</v>
      </c>
      <c r="AA114">
        <v>80</v>
      </c>
      <c r="AB114">
        <v>2000</v>
      </c>
      <c r="AC114">
        <v>1608</v>
      </c>
      <c r="AD114">
        <v>1072</v>
      </c>
      <c r="AE114">
        <v>0</v>
      </c>
      <c r="AF114">
        <v>536</v>
      </c>
      <c r="AG114">
        <v>536</v>
      </c>
      <c r="AH114">
        <v>384</v>
      </c>
      <c r="AI114">
        <v>0</v>
      </c>
      <c r="AJ114">
        <v>0</v>
      </c>
      <c r="AK114">
        <v>0</v>
      </c>
      <c r="AL114">
        <v>7</v>
      </c>
      <c r="AM114">
        <v>0</v>
      </c>
      <c r="AN114">
        <v>1</v>
      </c>
      <c r="AO114" t="s">
        <v>58</v>
      </c>
      <c r="AP114">
        <v>1</v>
      </c>
      <c r="AQ114" t="s">
        <v>59</v>
      </c>
      <c r="AR114" t="s">
        <v>64</v>
      </c>
      <c r="AS114">
        <v>1</v>
      </c>
      <c r="AT114">
        <v>3</v>
      </c>
      <c r="AU114">
        <v>0</v>
      </c>
      <c r="AV114">
        <v>7300</v>
      </c>
      <c r="AW114">
        <v>100</v>
      </c>
      <c r="AX114" s="1">
        <v>44369</v>
      </c>
      <c r="AY114">
        <v>23300</v>
      </c>
      <c r="AZ114">
        <v>218309</v>
      </c>
      <c r="BA114">
        <v>241600</v>
      </c>
      <c r="BB114">
        <v>300000</v>
      </c>
      <c r="BC114">
        <v>558</v>
      </c>
      <c r="BD114">
        <f>Grandview_Sales[[#This Row],[land_extract]]*Lookups!$B$3</f>
        <v>53249.979243317037</v>
      </c>
      <c r="BE114">
        <f>Lookups!$B$2</f>
        <v>155833.95000000001</v>
      </c>
      <c r="BF114">
        <f>VLOOKUP(Grandview_Sales[[#This Row],[quality]],Lookups!$H$2:$J$13,3,FALSE)</f>
        <v>9808</v>
      </c>
      <c r="BG114">
        <f>VLOOKUP(Grandview_Sales[[#This Row],[condition]],Lookups!$H$17:$J$24,3,FALSE)</f>
        <v>22342</v>
      </c>
      <c r="BH114">
        <f>Grandview_Sales[[#This Row],[Eff_Age]]*Lookups!$B$14</f>
        <v>-11958.33</v>
      </c>
      <c r="BI114">
        <f>Grandview_Sales[[#This Row],[living_area]]*Lookups!$B$15</f>
        <v>100308.411624</v>
      </c>
      <c r="BJ114">
        <f>Grandview_Sales[[#This Row],[Fin BSMT]]*Lookups!$B$16</f>
        <v>-14525.192640000001</v>
      </c>
      <c r="BK114">
        <f>Grandview_Sales[[#This Row],[garage_sqft]]*Lookups!$B$17</f>
        <v>33607.847807999999</v>
      </c>
      <c r="BL114">
        <f>Grandview_Sales[[#This Row],[Plumbing Fixtures]]*Lookups!$B$18</f>
        <v>14073.0926</v>
      </c>
      <c r="BM114">
        <f>Grandview_Sales[[#This Row],[detatched_value]]*Lookups!$B$19</f>
        <v>6181.6772300000002</v>
      </c>
      <c r="BN114">
        <f>Grandview_Sales[[#This Row],[days_prior]]*Lookups!$B$20</f>
        <v>-66931.318799999994</v>
      </c>
      <c r="BO114">
        <f>SUM(Grandview_Sales[[#This Row],[land_value]:[Days Prior To Assessment_value]])</f>
        <v>301990.117065317</v>
      </c>
      <c r="BP114">
        <f>Grandview_Sales[[#This Row],[predicted_total]]/Grandview_Sales[[#This Row],[sale_price]]</f>
        <v>1.0066337235510567</v>
      </c>
      <c r="BQ114">
        <f>VLOOKUP(Grandview_Sales[[#This Row],[quality]],Lookups!$A$26:$C$33,3,FALSE)</f>
        <v>0.94295468617355149</v>
      </c>
      <c r="BR114">
        <f>VLOOKUP(Grandview_Sales[[#This Row],[condition]],Lookups!$A$37:$C$44,3,FALSE)</f>
        <v>0.97383723671140243</v>
      </c>
      <c r="BS114">
        <f>VLOOKUP(Grandview_Sales[[#This Row],[decade]],Lookups!$F$29:$H$43,3,FALSE)</f>
        <v>0.98763256963907298</v>
      </c>
      <c r="BT114">
        <f>VLOOKUP(Grandview_Sales[[#This Row],[living_area_range]],Lookups!$F$47:$H$56,3,FALSE)</f>
        <v>0.96120133463014379</v>
      </c>
      <c r="BU114">
        <f>Grandview_Sales[[#This Row],[predicted_total]]*AVERAGE(Grandview_Sales[[#This Row],[qual_adj]:[size_adj]])</f>
        <v>291845.19901825022</v>
      </c>
      <c r="BV114">
        <f>Grandview_Sales[[#This Row],[final_total]]/Grandview_Sales[[#This Row],[sale_price]]</f>
        <v>0.97281733006083404</v>
      </c>
      <c r="BW114" s="6">
        <f>(Grandview_Sales[[#This Row],[final_total]]-Grandview_Sales[[#This Row],[sale_price]])^2</f>
        <v>66500779.051947184</v>
      </c>
      <c r="BX114" s="6">
        <f>(Grandview_Sales[[#This Row],[final_total]]-AVERAGE(Grandview_Sales[sale_price]))^2</f>
        <v>228432123.03549933</v>
      </c>
      <c r="BY114" s="6">
        <f>Grandview_Sales[[#This Row],[SSE]]+Grandview_Sales[[#This Row],[SSR]]</f>
        <v>294932902.08744651</v>
      </c>
      <c r="BZ114" s="4">
        <f>ABS(Grandview_Sales[[#This Row],[final_ratio]]-MEDIAN(Grandview_Sales[final_ratio]))</f>
        <v>2.8431389294977905E-2</v>
      </c>
    </row>
    <row r="115" spans="1:78" x14ac:dyDescent="0.25">
      <c r="A115">
        <v>23092621432</v>
      </c>
      <c r="B115">
        <v>0</v>
      </c>
      <c r="C115">
        <v>9900</v>
      </c>
      <c r="D115">
        <v>0</v>
      </c>
      <c r="E115" t="s">
        <v>53</v>
      </c>
      <c r="F115" t="s">
        <v>53</v>
      </c>
      <c r="G115">
        <v>4</v>
      </c>
      <c r="H115" t="s">
        <v>54</v>
      </c>
      <c r="I115">
        <v>296400</v>
      </c>
      <c r="J115">
        <v>39500</v>
      </c>
      <c r="K115">
        <v>0.23</v>
      </c>
      <c r="L115">
        <v>-1.4696759700590001</v>
      </c>
      <c r="M115">
        <v>0</v>
      </c>
      <c r="N115">
        <v>0</v>
      </c>
      <c r="O115">
        <v>0</v>
      </c>
      <c r="P115">
        <v>13398.7528</v>
      </c>
      <c r="Q115">
        <v>63902.980100000001</v>
      </c>
      <c r="R115">
        <v>44211.155081080004</v>
      </c>
      <c r="S115" t="s">
        <v>61</v>
      </c>
      <c r="T115">
        <v>1</v>
      </c>
      <c r="U115" t="s">
        <v>62</v>
      </c>
      <c r="V115" t="s">
        <v>57</v>
      </c>
      <c r="W115">
        <v>0</v>
      </c>
      <c r="X115">
        <v>0</v>
      </c>
      <c r="Y115">
        <v>2</v>
      </c>
      <c r="Z115">
        <v>2</v>
      </c>
      <c r="AA115">
        <v>0</v>
      </c>
      <c r="AB115">
        <v>2500</v>
      </c>
      <c r="AC115">
        <v>2040</v>
      </c>
      <c r="AD115">
        <v>2040</v>
      </c>
      <c r="AE115">
        <v>0</v>
      </c>
      <c r="AF115">
        <v>0</v>
      </c>
      <c r="AG115">
        <v>0</v>
      </c>
      <c r="AH115">
        <v>664</v>
      </c>
      <c r="AI115">
        <v>0</v>
      </c>
      <c r="AJ115">
        <v>0</v>
      </c>
      <c r="AK115">
        <v>0</v>
      </c>
      <c r="AL115">
        <v>10</v>
      </c>
      <c r="AM115">
        <v>0</v>
      </c>
      <c r="AN115">
        <v>0</v>
      </c>
      <c r="AO115" t="s">
        <v>58</v>
      </c>
      <c r="AP115">
        <v>1</v>
      </c>
      <c r="AQ115" t="s">
        <v>63</v>
      </c>
      <c r="AR115" t="s">
        <v>64</v>
      </c>
      <c r="AS115">
        <v>1</v>
      </c>
      <c r="AT115">
        <v>3</v>
      </c>
      <c r="AU115">
        <v>0</v>
      </c>
      <c r="AV115">
        <v>0</v>
      </c>
      <c r="AW115">
        <v>100</v>
      </c>
      <c r="AX115" s="1">
        <v>44371</v>
      </c>
      <c r="AY115">
        <v>22600</v>
      </c>
      <c r="AZ115">
        <v>349791</v>
      </c>
      <c r="BA115">
        <v>372400</v>
      </c>
      <c r="BB115">
        <v>347660</v>
      </c>
      <c r="BC115">
        <v>556</v>
      </c>
      <c r="BD115">
        <f>Grandview_Sales[[#This Row],[land_extract]]*Lookups!$B$3</f>
        <v>51342.29502553949</v>
      </c>
      <c r="BE115">
        <f>Lookups!$B$2</f>
        <v>155833.95000000001</v>
      </c>
      <c r="BF115">
        <f>VLOOKUP(Grandview_Sales[[#This Row],[quality]],Lookups!$H$2:$J$13,3,FALSE)</f>
        <v>9808</v>
      </c>
      <c r="BG115">
        <f>VLOOKUP(Grandview_Sales[[#This Row],[condition]],Lookups!$H$17:$J$24,3,FALSE)</f>
        <v>25780</v>
      </c>
      <c r="BH115">
        <f>Grandview_Sales[[#This Row],[Eff_Age]]*Lookups!$B$14</f>
        <v>-478.33319999999998</v>
      </c>
      <c r="BI115">
        <f>Grandview_Sales[[#This Row],[living_area]]*Lookups!$B$15</f>
        <v>127256.94012</v>
      </c>
      <c r="BJ115">
        <f>Grandview_Sales[[#This Row],[Fin BSMT]]*Lookups!$B$16</f>
        <v>0</v>
      </c>
      <c r="BK115">
        <f>Grandview_Sales[[#This Row],[garage_sqft]]*Lookups!$B$17</f>
        <v>58113.570167999998</v>
      </c>
      <c r="BL115">
        <f>Grandview_Sales[[#This Row],[Plumbing Fixtures]]*Lookups!$B$18</f>
        <v>20104.418000000001</v>
      </c>
      <c r="BM115">
        <f>Grandview_Sales[[#This Row],[detatched_value]]*Lookups!$B$19</f>
        <v>0</v>
      </c>
      <c r="BN115">
        <f>Grandview_Sales[[#This Row],[days_prior]]*Lookups!$B$20</f>
        <v>-66691.421600000001</v>
      </c>
      <c r="BO115">
        <f>SUM(Grandview_Sales[[#This Row],[land_value]:[Days Prior To Assessment_value]])</f>
        <v>381069.41851353954</v>
      </c>
      <c r="BP115">
        <f>Grandview_Sales[[#This Row],[predicted_total]]/Grandview_Sales[[#This Row],[sale_price]]</f>
        <v>1.096097965004716</v>
      </c>
      <c r="BQ115">
        <f>VLOOKUP(Grandview_Sales[[#This Row],[quality]],Lookups!$A$26:$C$33,3,FALSE)</f>
        <v>0.94295468617355149</v>
      </c>
      <c r="BR115">
        <f>VLOOKUP(Grandview_Sales[[#This Row],[condition]],Lookups!$A$37:$C$44,3,FALSE)</f>
        <v>0.94347925387812148</v>
      </c>
      <c r="BS115">
        <f>VLOOKUP(Grandview_Sales[[#This Row],[decade]],Lookups!$F$29:$H$43,3,FALSE)</f>
        <v>0.9413635517371044</v>
      </c>
      <c r="BT115">
        <f>VLOOKUP(Grandview_Sales[[#This Row],[living_area_range]],Lookups!$F$47:$H$56,3,FALSE)</f>
        <v>0.95799442568048754</v>
      </c>
      <c r="BU115">
        <f>Grandview_Sales[[#This Row],[predicted_total]]*AVERAGE(Grandview_Sales[[#This Row],[qual_adj]:[size_adj]])</f>
        <v>360662.38115081761</v>
      </c>
      <c r="BV115">
        <f>Grandview_Sales[[#This Row],[final_total]]/Grandview_Sales[[#This Row],[sale_price]]</f>
        <v>1.0373997041673406</v>
      </c>
      <c r="BW115" s="6">
        <f>(Grandview_Sales[[#This Row],[final_total]]-Grandview_Sales[[#This Row],[sale_price]])^2</f>
        <v>169061915.5911372</v>
      </c>
      <c r="BX115" s="6">
        <f>(Grandview_Sales[[#This Row],[final_total]]-AVERAGE(Grandview_Sales[sale_price]))^2</f>
        <v>2884034872.991744</v>
      </c>
      <c r="BY115" s="6">
        <f>Grandview_Sales[[#This Row],[SSE]]+Grandview_Sales[[#This Row],[SSR]]</f>
        <v>3053096788.5828815</v>
      </c>
      <c r="BZ115" s="4">
        <f>ABS(Grandview_Sales[[#This Row],[final_ratio]]-MEDIAN(Grandview_Sales[final_ratio]))</f>
        <v>3.6150984811528675E-2</v>
      </c>
    </row>
    <row r="116" spans="1:78" x14ac:dyDescent="0.25">
      <c r="A116">
        <v>23092323489</v>
      </c>
      <c r="B116">
        <v>0.17</v>
      </c>
      <c r="C116">
        <v>7528</v>
      </c>
      <c r="D116">
        <v>0</v>
      </c>
      <c r="E116" t="s">
        <v>53</v>
      </c>
      <c r="F116" t="s">
        <v>53</v>
      </c>
      <c r="G116">
        <v>4</v>
      </c>
      <c r="H116" t="s">
        <v>54</v>
      </c>
      <c r="I116">
        <v>192900</v>
      </c>
      <c r="J116">
        <v>39300</v>
      </c>
      <c r="K116">
        <v>0.17</v>
      </c>
      <c r="L116">
        <v>-1.771956841932</v>
      </c>
      <c r="M116">
        <v>0</v>
      </c>
      <c r="N116">
        <v>0</v>
      </c>
      <c r="O116">
        <v>0</v>
      </c>
      <c r="P116">
        <v>13398.7528</v>
      </c>
      <c r="Q116">
        <v>63902.980100000001</v>
      </c>
      <c r="R116">
        <v>40160.968402685998</v>
      </c>
      <c r="S116" t="s">
        <v>85</v>
      </c>
      <c r="T116">
        <v>1</v>
      </c>
      <c r="U116" t="s">
        <v>70</v>
      </c>
      <c r="V116" t="s">
        <v>67</v>
      </c>
      <c r="W116">
        <v>0</v>
      </c>
      <c r="X116">
        <v>0</v>
      </c>
      <c r="Y116">
        <v>60</v>
      </c>
      <c r="Z116">
        <v>108</v>
      </c>
      <c r="AA116">
        <v>110</v>
      </c>
      <c r="AB116">
        <v>1500</v>
      </c>
      <c r="AC116">
        <v>1251</v>
      </c>
      <c r="AD116">
        <v>859</v>
      </c>
      <c r="AE116">
        <v>392</v>
      </c>
      <c r="AF116">
        <v>0</v>
      </c>
      <c r="AG116">
        <v>0</v>
      </c>
      <c r="AH116">
        <v>0</v>
      </c>
      <c r="AI116">
        <v>0</v>
      </c>
      <c r="AJ116">
        <v>162</v>
      </c>
      <c r="AK116">
        <v>0</v>
      </c>
      <c r="AL116">
        <v>5</v>
      </c>
      <c r="AM116">
        <v>1</v>
      </c>
      <c r="AN116">
        <v>0</v>
      </c>
      <c r="AO116" t="s">
        <v>58</v>
      </c>
      <c r="AP116">
        <v>1</v>
      </c>
      <c r="AQ116" t="s">
        <v>75</v>
      </c>
      <c r="AR116" t="s">
        <v>60</v>
      </c>
      <c r="AS116">
        <v>0</v>
      </c>
      <c r="AT116">
        <v>2</v>
      </c>
      <c r="AU116">
        <v>0</v>
      </c>
      <c r="AV116">
        <v>16600</v>
      </c>
      <c r="AW116">
        <v>100</v>
      </c>
      <c r="AX116" s="1">
        <v>44371</v>
      </c>
      <c r="AY116">
        <v>22500</v>
      </c>
      <c r="AZ116">
        <v>130154</v>
      </c>
      <c r="BA116">
        <v>152700</v>
      </c>
      <c r="BB116">
        <v>241000</v>
      </c>
      <c r="BC116">
        <v>556</v>
      </c>
      <c r="BD116">
        <f>Grandview_Sales[[#This Row],[land_extract]]*Lookups!$B$3</f>
        <v>46638.82417142456</v>
      </c>
      <c r="BE116">
        <f>Lookups!$B$2</f>
        <v>155833.95000000001</v>
      </c>
      <c r="BF116">
        <f>VLOOKUP(Grandview_Sales[[#This Row],[quality]],Lookups!$H$2:$J$13,3,FALSE)</f>
        <v>10733</v>
      </c>
      <c r="BG116">
        <f>VLOOKUP(Grandview_Sales[[#This Row],[condition]],Lookups!$H$17:$J$24,3,FALSE)</f>
        <v>22342</v>
      </c>
      <c r="BH116">
        <f>Grandview_Sales[[#This Row],[Eff_Age]]*Lookups!$B$14</f>
        <v>-14349.995999999999</v>
      </c>
      <c r="BI116">
        <f>Grandview_Sales[[#This Row],[living_area]]*Lookups!$B$15</f>
        <v>78038.447102999999</v>
      </c>
      <c r="BJ116">
        <f>Grandview_Sales[[#This Row],[Fin BSMT]]*Lookups!$B$16</f>
        <v>0</v>
      </c>
      <c r="BK116">
        <f>Grandview_Sales[[#This Row],[garage_sqft]]*Lookups!$B$17</f>
        <v>0</v>
      </c>
      <c r="BL116">
        <f>Grandview_Sales[[#This Row],[Plumbing Fixtures]]*Lookups!$B$18</f>
        <v>10052.209000000001</v>
      </c>
      <c r="BM116">
        <f>Grandview_Sales[[#This Row],[detatched_value]]*Lookups!$B$19</f>
        <v>14056.96466</v>
      </c>
      <c r="BN116">
        <f>Grandview_Sales[[#This Row],[days_prior]]*Lookups!$B$20</f>
        <v>-66691.421600000001</v>
      </c>
      <c r="BO116">
        <f>SUM(Grandview_Sales[[#This Row],[land_value]:[Days Prior To Assessment_value]])</f>
        <v>256653.97733442456</v>
      </c>
      <c r="BP116">
        <f>Grandview_Sales[[#This Row],[predicted_total]]/Grandview_Sales[[#This Row],[sale_price]]</f>
        <v>1.0649542627984421</v>
      </c>
      <c r="BQ116">
        <f>VLOOKUP(Grandview_Sales[[#This Row],[quality]],Lookups!$A$26:$C$33,3,FALSE)</f>
        <v>0.98079741117310582</v>
      </c>
      <c r="BR116">
        <f>VLOOKUP(Grandview_Sales[[#This Row],[condition]],Lookups!$A$37:$C$44,3,FALSE)</f>
        <v>0.97383723671140243</v>
      </c>
      <c r="BS116">
        <f>VLOOKUP(Grandview_Sales[[#This Row],[decade]],Lookups!$F$29:$H$43,3,FALSE)</f>
        <v>0.92255236374249616</v>
      </c>
      <c r="BT116">
        <f>VLOOKUP(Grandview_Sales[[#This Row],[living_area_range]],Lookups!$F$47:$H$56,3,FALSE)</f>
        <v>0.96135087979789358</v>
      </c>
      <c r="BU116">
        <f>Grandview_Sales[[#This Row],[predicted_total]]*AVERAGE(Grandview_Sales[[#This Row],[qual_adj]:[size_adj]])</f>
        <v>246294.00424577392</v>
      </c>
      <c r="BV116">
        <f>Grandview_Sales[[#This Row],[final_total]]/Grandview_Sales[[#This Row],[sale_price]]</f>
        <v>1.0219668225965723</v>
      </c>
      <c r="BW116" s="6">
        <f>(Grandview_Sales[[#This Row],[final_total]]-Grandview_Sales[[#This Row],[sale_price]])^2</f>
        <v>28026480.954272274</v>
      </c>
      <c r="BX116" s="6">
        <f>(Grandview_Sales[[#This Row],[final_total]]-AVERAGE(Grandview_Sales[sale_price]))^2</f>
        <v>3680262352.8391585</v>
      </c>
      <c r="BY116" s="6">
        <f>Grandview_Sales[[#This Row],[SSE]]+Grandview_Sales[[#This Row],[SSR]]</f>
        <v>3708288833.7934308</v>
      </c>
      <c r="BZ116" s="4">
        <f>ABS(Grandview_Sales[[#This Row],[final_ratio]]-MEDIAN(Grandview_Sales[final_ratio]))</f>
        <v>2.0718103240760399E-2</v>
      </c>
    </row>
    <row r="117" spans="1:78" x14ac:dyDescent="0.25">
      <c r="A117">
        <v>23092241448</v>
      </c>
      <c r="B117">
        <v>0.18</v>
      </c>
      <c r="C117">
        <v>8047</v>
      </c>
      <c r="D117">
        <v>0</v>
      </c>
      <c r="E117" t="s">
        <v>53</v>
      </c>
      <c r="F117" t="s">
        <v>53</v>
      </c>
      <c r="G117">
        <v>4</v>
      </c>
      <c r="H117" t="s">
        <v>54</v>
      </c>
      <c r="I117">
        <v>280800</v>
      </c>
      <c r="J117">
        <v>43300</v>
      </c>
      <c r="K117">
        <v>0.18</v>
      </c>
      <c r="L117">
        <v>-1.7147984280919999</v>
      </c>
      <c r="M117">
        <v>0</v>
      </c>
      <c r="N117">
        <v>0</v>
      </c>
      <c r="O117">
        <v>0</v>
      </c>
      <c r="P117">
        <v>13398.7528</v>
      </c>
      <c r="Q117">
        <v>63902.980100000001</v>
      </c>
      <c r="R117">
        <v>40926.819860167998</v>
      </c>
      <c r="S117" t="s">
        <v>74</v>
      </c>
      <c r="T117">
        <v>1</v>
      </c>
      <c r="U117" t="s">
        <v>62</v>
      </c>
      <c r="V117" t="s">
        <v>67</v>
      </c>
      <c r="W117">
        <v>0</v>
      </c>
      <c r="X117">
        <v>0</v>
      </c>
      <c r="Y117">
        <v>47</v>
      </c>
      <c r="Z117">
        <v>58</v>
      </c>
      <c r="AA117">
        <v>60</v>
      </c>
      <c r="AB117">
        <v>2000</v>
      </c>
      <c r="AC117">
        <v>1880</v>
      </c>
      <c r="AD117">
        <v>1286</v>
      </c>
      <c r="AE117">
        <v>0</v>
      </c>
      <c r="AF117">
        <v>594</v>
      </c>
      <c r="AG117">
        <v>0</v>
      </c>
      <c r="AH117">
        <v>312</v>
      </c>
      <c r="AI117">
        <v>0</v>
      </c>
      <c r="AJ117">
        <v>0</v>
      </c>
      <c r="AK117">
        <v>192</v>
      </c>
      <c r="AL117">
        <v>10</v>
      </c>
      <c r="AM117">
        <v>0</v>
      </c>
      <c r="AN117">
        <v>2</v>
      </c>
      <c r="AO117" t="s">
        <v>58</v>
      </c>
      <c r="AP117">
        <v>1</v>
      </c>
      <c r="AQ117" t="s">
        <v>63</v>
      </c>
      <c r="AR117" t="s">
        <v>64</v>
      </c>
      <c r="AS117">
        <v>1</v>
      </c>
      <c r="AT117">
        <v>3</v>
      </c>
      <c r="AU117">
        <v>0</v>
      </c>
      <c r="AV117">
        <v>0</v>
      </c>
      <c r="AW117">
        <v>100</v>
      </c>
      <c r="AX117" s="1">
        <v>44372</v>
      </c>
      <c r="AY117">
        <v>24800</v>
      </c>
      <c r="AZ117">
        <v>253155</v>
      </c>
      <c r="BA117">
        <v>278000</v>
      </c>
      <c r="BB117">
        <v>350000</v>
      </c>
      <c r="BC117">
        <v>555</v>
      </c>
      <c r="BD117">
        <f>Grandview_Sales[[#This Row],[land_extract]]*Lookups!$B$3</f>
        <v>47528.20540119947</v>
      </c>
      <c r="BE117">
        <f>Lookups!$B$2</f>
        <v>155833.95000000001</v>
      </c>
      <c r="BF117">
        <f>VLOOKUP(Grandview_Sales[[#This Row],[quality]],Lookups!$H$2:$J$13,3,FALSE)</f>
        <v>9808</v>
      </c>
      <c r="BG117">
        <f>VLOOKUP(Grandview_Sales[[#This Row],[condition]],Lookups!$H$17:$J$24,3,FALSE)</f>
        <v>22342</v>
      </c>
      <c r="BH117">
        <f>Grandview_Sales[[#This Row],[Eff_Age]]*Lookups!$B$14</f>
        <v>-11240.8302</v>
      </c>
      <c r="BI117">
        <f>Grandview_Sales[[#This Row],[living_area]]*Lookups!$B$15</f>
        <v>117276.00364000001</v>
      </c>
      <c r="BJ117">
        <f>Grandview_Sales[[#This Row],[Fin BSMT]]*Lookups!$B$16</f>
        <v>-16096.948560000001</v>
      </c>
      <c r="BK117">
        <f>Grandview_Sales[[#This Row],[garage_sqft]]*Lookups!$B$17</f>
        <v>27306.376344</v>
      </c>
      <c r="BL117">
        <f>Grandview_Sales[[#This Row],[Plumbing Fixtures]]*Lookups!$B$18</f>
        <v>20104.418000000001</v>
      </c>
      <c r="BM117">
        <f>Grandview_Sales[[#This Row],[detatched_value]]*Lookups!$B$19</f>
        <v>0</v>
      </c>
      <c r="BN117">
        <f>Grandview_Sales[[#This Row],[days_prior]]*Lookups!$B$20</f>
        <v>-66571.472999999998</v>
      </c>
      <c r="BO117">
        <f>SUM(Grandview_Sales[[#This Row],[land_value]:[Days Prior To Assessment_value]])</f>
        <v>306289.70162519952</v>
      </c>
      <c r="BP117">
        <f>Grandview_Sales[[#This Row],[predicted_total]]/Grandview_Sales[[#This Row],[sale_price]]</f>
        <v>0.8751134332148558</v>
      </c>
      <c r="BQ117">
        <f>VLOOKUP(Grandview_Sales[[#This Row],[quality]],Lookups!$A$26:$C$33,3,FALSE)</f>
        <v>0.94295468617355149</v>
      </c>
      <c r="BR117">
        <f>VLOOKUP(Grandview_Sales[[#This Row],[condition]],Lookups!$A$37:$C$44,3,FALSE)</f>
        <v>0.97383723671140243</v>
      </c>
      <c r="BS117">
        <f>VLOOKUP(Grandview_Sales[[#This Row],[decade]],Lookups!$F$29:$H$43,3,FALSE)</f>
        <v>0.95268620544463312</v>
      </c>
      <c r="BT117">
        <f>VLOOKUP(Grandview_Sales[[#This Row],[living_area_range]],Lookups!$F$47:$H$56,3,FALSE)</f>
        <v>0.96120133463014379</v>
      </c>
      <c r="BU117">
        <f>Grandview_Sales[[#This Row],[predicted_total]]*AVERAGE(Grandview_Sales[[#This Row],[qual_adj]:[size_adj]])</f>
        <v>293324.41743292887</v>
      </c>
      <c r="BV117">
        <f>Grandview_Sales[[#This Row],[final_total]]/Grandview_Sales[[#This Row],[sale_price]]</f>
        <v>0.83806976409408251</v>
      </c>
      <c r="BW117" s="6">
        <f>(Grandview_Sales[[#This Row],[final_total]]-Grandview_Sales[[#This Row],[sale_price]])^2</f>
        <v>3212121659.3168974</v>
      </c>
      <c r="BX117" s="6">
        <f>(Grandview_Sales[[#This Row],[final_total]]-AVERAGE(Grandview_Sales[sale_price]))^2</f>
        <v>185906481.35268384</v>
      </c>
      <c r="BY117" s="6">
        <f>Grandview_Sales[[#This Row],[SSE]]+Grandview_Sales[[#This Row],[SSR]]</f>
        <v>3398028140.6695814</v>
      </c>
      <c r="BZ117" s="4">
        <f>ABS(Grandview_Sales[[#This Row],[final_ratio]]-MEDIAN(Grandview_Sales[final_ratio]))</f>
        <v>0.16317895526172943</v>
      </c>
    </row>
    <row r="118" spans="1:78" x14ac:dyDescent="0.25">
      <c r="A118">
        <v>23092621421</v>
      </c>
      <c r="B118">
        <v>0</v>
      </c>
      <c r="C118">
        <v>8250</v>
      </c>
      <c r="D118">
        <v>0</v>
      </c>
      <c r="E118" t="s">
        <v>53</v>
      </c>
      <c r="F118" t="s">
        <v>53</v>
      </c>
      <c r="G118">
        <v>4</v>
      </c>
      <c r="H118" t="s">
        <v>54</v>
      </c>
      <c r="I118">
        <v>237100</v>
      </c>
      <c r="J118">
        <v>39100</v>
      </c>
      <c r="K118">
        <v>0.19</v>
      </c>
      <c r="L118">
        <v>-1.6607312068219999</v>
      </c>
      <c r="M118">
        <v>0</v>
      </c>
      <c r="N118">
        <v>0</v>
      </c>
      <c r="O118">
        <v>0</v>
      </c>
      <c r="P118">
        <v>13398.7528</v>
      </c>
      <c r="Q118">
        <v>63902.980100000001</v>
      </c>
      <c r="R118">
        <v>41651.253192550997</v>
      </c>
      <c r="S118" t="s">
        <v>61</v>
      </c>
      <c r="T118">
        <v>1</v>
      </c>
      <c r="U118" t="s">
        <v>62</v>
      </c>
      <c r="V118" t="s">
        <v>57</v>
      </c>
      <c r="W118">
        <v>0</v>
      </c>
      <c r="X118">
        <v>0</v>
      </c>
      <c r="Y118">
        <v>2</v>
      </c>
      <c r="Z118">
        <v>2</v>
      </c>
      <c r="AA118">
        <v>0</v>
      </c>
      <c r="AB118">
        <v>1500</v>
      </c>
      <c r="AC118">
        <v>1378</v>
      </c>
      <c r="AD118">
        <v>1378</v>
      </c>
      <c r="AE118">
        <v>0</v>
      </c>
      <c r="AF118">
        <v>0</v>
      </c>
      <c r="AG118">
        <v>0</v>
      </c>
      <c r="AH118">
        <v>400</v>
      </c>
      <c r="AI118">
        <v>0</v>
      </c>
      <c r="AJ118">
        <v>0</v>
      </c>
      <c r="AK118">
        <v>0</v>
      </c>
      <c r="AL118">
        <v>9</v>
      </c>
      <c r="AM118">
        <v>0</v>
      </c>
      <c r="AN118">
        <v>0</v>
      </c>
      <c r="AO118" t="s">
        <v>58</v>
      </c>
      <c r="AP118">
        <v>1</v>
      </c>
      <c r="AQ118" t="s">
        <v>59</v>
      </c>
      <c r="AR118" t="s">
        <v>64</v>
      </c>
      <c r="AS118">
        <v>1</v>
      </c>
      <c r="AT118">
        <v>3</v>
      </c>
      <c r="AU118">
        <v>0</v>
      </c>
      <c r="AV118">
        <v>0</v>
      </c>
      <c r="AW118">
        <v>100</v>
      </c>
      <c r="AX118" s="1">
        <v>44385</v>
      </c>
      <c r="AY118">
        <v>22400</v>
      </c>
      <c r="AZ118">
        <v>246992</v>
      </c>
      <c r="BA118">
        <v>269400</v>
      </c>
      <c r="BB118">
        <v>264650</v>
      </c>
      <c r="BC118">
        <v>542</v>
      </c>
      <c r="BD118">
        <f>Grandview_Sales[[#This Row],[land_extract]]*Lookups!$B$3</f>
        <v>48369.487874125851</v>
      </c>
      <c r="BE118">
        <f>Lookups!$B$2</f>
        <v>155833.95000000001</v>
      </c>
      <c r="BF118">
        <f>VLOOKUP(Grandview_Sales[[#This Row],[quality]],Lookups!$H$2:$J$13,3,FALSE)</f>
        <v>9808</v>
      </c>
      <c r="BG118">
        <f>VLOOKUP(Grandview_Sales[[#This Row],[condition]],Lookups!$H$17:$J$24,3,FALSE)</f>
        <v>25780</v>
      </c>
      <c r="BH118">
        <f>Grandview_Sales[[#This Row],[Eff_Age]]*Lookups!$B$14</f>
        <v>-478.33319999999998</v>
      </c>
      <c r="BI118">
        <f>Grandview_Sales[[#This Row],[living_area]]*Lookups!$B$15</f>
        <v>85960.815434000004</v>
      </c>
      <c r="BJ118">
        <f>Grandview_Sales[[#This Row],[Fin BSMT]]*Lookups!$B$16</f>
        <v>0</v>
      </c>
      <c r="BK118">
        <f>Grandview_Sales[[#This Row],[garage_sqft]]*Lookups!$B$17</f>
        <v>35008.174800000001</v>
      </c>
      <c r="BL118">
        <f>Grandview_Sales[[#This Row],[Plumbing Fixtures]]*Lookups!$B$18</f>
        <v>18093.976200000001</v>
      </c>
      <c r="BM118">
        <f>Grandview_Sales[[#This Row],[detatched_value]]*Lookups!$B$19</f>
        <v>0</v>
      </c>
      <c r="BN118">
        <f>Grandview_Sales[[#This Row],[days_prior]]*Lookups!$B$20</f>
        <v>-65012.141199999998</v>
      </c>
      <c r="BO118">
        <f>SUM(Grandview_Sales[[#This Row],[land_value]:[Days Prior To Assessment_value]])</f>
        <v>313363.92990812584</v>
      </c>
      <c r="BP118">
        <f>Grandview_Sales[[#This Row],[predicted_total]]/Grandview_Sales[[#This Row],[sale_price]]</f>
        <v>1.1840692609413408</v>
      </c>
      <c r="BQ118">
        <f>VLOOKUP(Grandview_Sales[[#This Row],[quality]],Lookups!$A$26:$C$33,3,FALSE)</f>
        <v>0.94295468617355149</v>
      </c>
      <c r="BR118">
        <f>VLOOKUP(Grandview_Sales[[#This Row],[condition]],Lookups!$A$37:$C$44,3,FALSE)</f>
        <v>0.94347925387812148</v>
      </c>
      <c r="BS118">
        <f>VLOOKUP(Grandview_Sales[[#This Row],[decade]],Lookups!$F$29:$H$43,3,FALSE)</f>
        <v>0.9413635517371044</v>
      </c>
      <c r="BT118">
        <f>VLOOKUP(Grandview_Sales[[#This Row],[living_area_range]],Lookups!$F$47:$H$56,3,FALSE)</f>
        <v>0.96135087979789358</v>
      </c>
      <c r="BU118">
        <f>Grandview_Sales[[#This Row],[predicted_total]]*AVERAGE(Grandview_Sales[[#This Row],[qual_adj]:[size_adj]])</f>
        <v>296845.60618134367</v>
      </c>
      <c r="BV118">
        <f>Grandview_Sales[[#This Row],[final_total]]/Grandview_Sales[[#This Row],[sale_price]]</f>
        <v>1.1216535279854285</v>
      </c>
      <c r="BW118" s="6">
        <f>(Grandview_Sales[[#This Row],[final_total]]-Grandview_Sales[[#This Row],[sale_price]])^2</f>
        <v>1036557057.3841746</v>
      </c>
      <c r="BX118" s="6">
        <f>(Grandview_Sales[[#This Row],[final_total]]-AVERAGE(Grandview_Sales[sale_price]))^2</f>
        <v>102284175.92335749</v>
      </c>
      <c r="BY118" s="6">
        <f>Grandview_Sales[[#This Row],[SSE]]+Grandview_Sales[[#This Row],[SSR]]</f>
        <v>1138841233.3075321</v>
      </c>
      <c r="BZ118" s="4">
        <f>ABS(Grandview_Sales[[#This Row],[final_ratio]]-MEDIAN(Grandview_Sales[final_ratio]))</f>
        <v>0.12040480862961656</v>
      </c>
    </row>
    <row r="119" spans="1:78" x14ac:dyDescent="0.25">
      <c r="A119">
        <v>23092242405</v>
      </c>
      <c r="B119">
        <v>0.24</v>
      </c>
      <c r="C119">
        <v>10488</v>
      </c>
      <c r="D119">
        <v>0</v>
      </c>
      <c r="E119" t="s">
        <v>53</v>
      </c>
      <c r="F119" t="s">
        <v>53</v>
      </c>
      <c r="G119">
        <v>4</v>
      </c>
      <c r="H119" t="s">
        <v>54</v>
      </c>
      <c r="I119">
        <v>201900</v>
      </c>
      <c r="J119">
        <v>44200</v>
      </c>
      <c r="K119">
        <v>0.24</v>
      </c>
      <c r="L119">
        <v>-1.4271163556399999</v>
      </c>
      <c r="M119">
        <v>0</v>
      </c>
      <c r="N119">
        <v>0</v>
      </c>
      <c r="O119">
        <v>0</v>
      </c>
      <c r="P119">
        <v>13398.7528</v>
      </c>
      <c r="Q119">
        <v>63902.980100000001</v>
      </c>
      <c r="R119">
        <v>44781.400833940999</v>
      </c>
      <c r="S119" t="s">
        <v>61</v>
      </c>
      <c r="T119">
        <v>1</v>
      </c>
      <c r="U119" t="s">
        <v>65</v>
      </c>
      <c r="V119" t="s">
        <v>67</v>
      </c>
      <c r="W119">
        <v>0</v>
      </c>
      <c r="X119">
        <v>0</v>
      </c>
      <c r="Y119">
        <v>47</v>
      </c>
      <c r="Z119">
        <v>58</v>
      </c>
      <c r="AA119">
        <v>60</v>
      </c>
      <c r="AB119">
        <v>2000</v>
      </c>
      <c r="AC119">
        <v>1550</v>
      </c>
      <c r="AD119">
        <v>1550</v>
      </c>
      <c r="AE119">
        <v>0</v>
      </c>
      <c r="AF119">
        <v>0</v>
      </c>
      <c r="AG119">
        <v>486</v>
      </c>
      <c r="AH119">
        <v>0</v>
      </c>
      <c r="AI119">
        <v>0</v>
      </c>
      <c r="AJ119">
        <v>0</v>
      </c>
      <c r="AK119">
        <v>400</v>
      </c>
      <c r="AL119">
        <v>8</v>
      </c>
      <c r="AM119">
        <v>0</v>
      </c>
      <c r="AN119">
        <v>0</v>
      </c>
      <c r="AO119" t="s">
        <v>58</v>
      </c>
      <c r="AP119">
        <v>1</v>
      </c>
      <c r="AQ119" t="s">
        <v>59</v>
      </c>
      <c r="AR119" t="s">
        <v>60</v>
      </c>
      <c r="AS119">
        <v>1</v>
      </c>
      <c r="AT119">
        <v>3</v>
      </c>
      <c r="AU119">
        <v>0</v>
      </c>
      <c r="AV119">
        <v>1600</v>
      </c>
      <c r="AW119">
        <v>100</v>
      </c>
      <c r="AX119" s="1">
        <v>44385</v>
      </c>
      <c r="AY119">
        <v>25300</v>
      </c>
      <c r="AZ119">
        <v>197904</v>
      </c>
      <c r="BA119">
        <v>223200</v>
      </c>
      <c r="BB119">
        <v>315000</v>
      </c>
      <c r="BC119">
        <v>542</v>
      </c>
      <c r="BD119">
        <f>Grandview_Sales[[#This Row],[land_extract]]*Lookups!$B$3</f>
        <v>52004.519878673433</v>
      </c>
      <c r="BE119">
        <f>Lookups!$B$2</f>
        <v>155833.95000000001</v>
      </c>
      <c r="BF119">
        <f>VLOOKUP(Grandview_Sales[[#This Row],[quality]],Lookups!$H$2:$J$13,3,FALSE)</f>
        <v>2251</v>
      </c>
      <c r="BG119">
        <f>VLOOKUP(Grandview_Sales[[#This Row],[condition]],Lookups!$H$17:$J$24,3,FALSE)</f>
        <v>22342</v>
      </c>
      <c r="BH119">
        <f>Grandview_Sales[[#This Row],[Eff_Age]]*Lookups!$B$14</f>
        <v>-11240.8302</v>
      </c>
      <c r="BI119">
        <f>Grandview_Sales[[#This Row],[living_area]]*Lookups!$B$15</f>
        <v>96690.322150000007</v>
      </c>
      <c r="BJ119">
        <f>Grandview_Sales[[#This Row],[Fin BSMT]]*Lookups!$B$16</f>
        <v>0</v>
      </c>
      <c r="BK119">
        <f>Grandview_Sales[[#This Row],[garage_sqft]]*Lookups!$B$17</f>
        <v>0</v>
      </c>
      <c r="BL119">
        <f>Grandview_Sales[[#This Row],[Plumbing Fixtures]]*Lookups!$B$18</f>
        <v>16083.5344</v>
      </c>
      <c r="BM119">
        <f>Grandview_Sales[[#This Row],[detatched_value]]*Lookups!$B$19</f>
        <v>1354.88816</v>
      </c>
      <c r="BN119">
        <f>Grandview_Sales[[#This Row],[days_prior]]*Lookups!$B$20</f>
        <v>-65012.141199999998</v>
      </c>
      <c r="BO119">
        <f>SUM(Grandview_Sales[[#This Row],[land_value]:[Days Prior To Assessment_value]])</f>
        <v>270307.2431886734</v>
      </c>
      <c r="BP119">
        <f>Grandview_Sales[[#This Row],[predicted_total]]/Grandview_Sales[[#This Row],[sale_price]]</f>
        <v>0.85811823234499496</v>
      </c>
      <c r="BQ119">
        <f>VLOOKUP(Grandview_Sales[[#This Row],[quality]],Lookups!$A$26:$C$33,3,FALSE)</f>
        <v>0.98763855981004833</v>
      </c>
      <c r="BR119">
        <f>VLOOKUP(Grandview_Sales[[#This Row],[condition]],Lookups!$A$37:$C$44,3,FALSE)</f>
        <v>0.97383723671140243</v>
      </c>
      <c r="BS119">
        <f>VLOOKUP(Grandview_Sales[[#This Row],[decade]],Lookups!$F$29:$H$43,3,FALSE)</f>
        <v>0.95268620544463312</v>
      </c>
      <c r="BT119">
        <f>VLOOKUP(Grandview_Sales[[#This Row],[living_area_range]],Lookups!$F$47:$H$56,3,FALSE)</f>
        <v>0.96120133463014379</v>
      </c>
      <c r="BU119">
        <f>Grandview_Sales[[#This Row],[predicted_total]]*AVERAGE(Grandview_Sales[[#This Row],[qual_adj]:[size_adj]])</f>
        <v>261884.6949674463</v>
      </c>
      <c r="BV119">
        <f>Grandview_Sales[[#This Row],[final_total]]/Grandview_Sales[[#This Row],[sale_price]]</f>
        <v>0.831379984023639</v>
      </c>
      <c r="BW119" s="6">
        <f>(Grandview_Sales[[#This Row],[final_total]]-Grandview_Sales[[#This Row],[sale_price]])^2</f>
        <v>2821235628.7012248</v>
      </c>
      <c r="BX119" s="6">
        <f>(Grandview_Sales[[#This Row],[final_total]]-AVERAGE(Grandview_Sales[sale_price]))^2</f>
        <v>2031708311.9809935</v>
      </c>
      <c r="BY119" s="6">
        <f>Grandview_Sales[[#This Row],[SSE]]+Grandview_Sales[[#This Row],[SSR]]</f>
        <v>4852943940.6822186</v>
      </c>
      <c r="BZ119" s="4">
        <f>ABS(Grandview_Sales[[#This Row],[final_ratio]]-MEDIAN(Grandview_Sales[final_ratio]))</f>
        <v>0.16986873533217295</v>
      </c>
    </row>
    <row r="120" spans="1:78" x14ac:dyDescent="0.25">
      <c r="A120">
        <v>23091433556</v>
      </c>
      <c r="B120">
        <v>0.23</v>
      </c>
      <c r="C120">
        <v>9995</v>
      </c>
      <c r="D120">
        <v>0</v>
      </c>
      <c r="E120" t="s">
        <v>53</v>
      </c>
      <c r="F120" t="s">
        <v>53</v>
      </c>
      <c r="G120">
        <v>4</v>
      </c>
      <c r="H120" t="s">
        <v>54</v>
      </c>
      <c r="I120">
        <v>129100</v>
      </c>
      <c r="J120">
        <v>39500</v>
      </c>
      <c r="K120">
        <v>0.23</v>
      </c>
      <c r="L120">
        <v>-1.4696759700590001</v>
      </c>
      <c r="M120">
        <v>0</v>
      </c>
      <c r="N120">
        <v>0</v>
      </c>
      <c r="O120">
        <v>0</v>
      </c>
      <c r="P120">
        <v>13398.7528</v>
      </c>
      <c r="Q120">
        <v>63902.980100000001</v>
      </c>
      <c r="R120">
        <v>44211.155081080004</v>
      </c>
      <c r="S120" t="s">
        <v>68</v>
      </c>
      <c r="T120">
        <v>1</v>
      </c>
      <c r="U120" t="s">
        <v>70</v>
      </c>
      <c r="V120" t="s">
        <v>69</v>
      </c>
      <c r="W120">
        <v>0</v>
      </c>
      <c r="X120">
        <v>0</v>
      </c>
      <c r="Y120">
        <v>51</v>
      </c>
      <c r="Z120">
        <v>78</v>
      </c>
      <c r="AA120">
        <v>80</v>
      </c>
      <c r="AB120">
        <v>1000</v>
      </c>
      <c r="AC120">
        <v>768</v>
      </c>
      <c r="AD120">
        <v>768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192</v>
      </c>
      <c r="AL120">
        <v>5</v>
      </c>
      <c r="AM120">
        <v>1</v>
      </c>
      <c r="AN120">
        <v>0</v>
      </c>
      <c r="AO120" t="s">
        <v>58</v>
      </c>
      <c r="AP120">
        <v>1</v>
      </c>
      <c r="AQ120" t="s">
        <v>63</v>
      </c>
      <c r="AR120" t="s">
        <v>60</v>
      </c>
      <c r="AS120">
        <v>0</v>
      </c>
      <c r="AT120">
        <v>2</v>
      </c>
      <c r="AU120">
        <v>0</v>
      </c>
      <c r="AV120">
        <v>5900</v>
      </c>
      <c r="AW120">
        <v>100</v>
      </c>
      <c r="AX120" s="1">
        <v>44386</v>
      </c>
      <c r="AY120">
        <v>22600</v>
      </c>
      <c r="AZ120">
        <v>83285</v>
      </c>
      <c r="BA120">
        <v>105900</v>
      </c>
      <c r="BB120">
        <v>207000</v>
      </c>
      <c r="BC120">
        <v>541</v>
      </c>
      <c r="BD120">
        <f>Grandview_Sales[[#This Row],[land_extract]]*Lookups!$B$3</f>
        <v>51342.29502553949</v>
      </c>
      <c r="BE120">
        <f>Lookups!$B$2</f>
        <v>155833.95000000001</v>
      </c>
      <c r="BF120">
        <f>VLOOKUP(Grandview_Sales[[#This Row],[quality]],Lookups!$H$2:$J$13,3,FALSE)</f>
        <v>10733</v>
      </c>
      <c r="BG120">
        <f>VLOOKUP(Grandview_Sales[[#This Row],[condition]],Lookups!$H$17:$J$24,3,FALSE)</f>
        <v>-4503</v>
      </c>
      <c r="BH120">
        <f>Grandview_Sales[[#This Row],[Eff_Age]]*Lookups!$B$14</f>
        <v>-12197.496599999999</v>
      </c>
      <c r="BI120">
        <f>Grandview_Sales[[#This Row],[living_area]]*Lookups!$B$15</f>
        <v>47908.495104000001</v>
      </c>
      <c r="BJ120">
        <f>Grandview_Sales[[#This Row],[Fin BSMT]]*Lookups!$B$16</f>
        <v>0</v>
      </c>
      <c r="BK120">
        <f>Grandview_Sales[[#This Row],[garage_sqft]]*Lookups!$B$17</f>
        <v>0</v>
      </c>
      <c r="BL120">
        <f>Grandview_Sales[[#This Row],[Plumbing Fixtures]]*Lookups!$B$18</f>
        <v>10052.209000000001</v>
      </c>
      <c r="BM120">
        <f>Grandview_Sales[[#This Row],[detatched_value]]*Lookups!$B$19</f>
        <v>4996.1500900000001</v>
      </c>
      <c r="BN120">
        <f>Grandview_Sales[[#This Row],[days_prior]]*Lookups!$B$20</f>
        <v>-64892.192600000002</v>
      </c>
      <c r="BO120">
        <f>SUM(Grandview_Sales[[#This Row],[land_value]:[Days Prior To Assessment_value]])</f>
        <v>199273.41001953953</v>
      </c>
      <c r="BP120">
        <f>Grandview_Sales[[#This Row],[predicted_total]]/Grandview_Sales[[#This Row],[sale_price]]</f>
        <v>0.9626734783552634</v>
      </c>
      <c r="BQ120">
        <f>VLOOKUP(Grandview_Sales[[#This Row],[quality]],Lookups!$A$26:$C$33,3,FALSE)</f>
        <v>0.98079741117310582</v>
      </c>
      <c r="BR120">
        <f>VLOOKUP(Grandview_Sales[[#This Row],[condition]],Lookups!$A$37:$C$44,3,FALSE)</f>
        <v>0.96469275950863709</v>
      </c>
      <c r="BS120">
        <f>VLOOKUP(Grandview_Sales[[#This Row],[decade]],Lookups!$F$29:$H$43,3,FALSE)</f>
        <v>0.98763256963907298</v>
      </c>
      <c r="BT120">
        <f>VLOOKUP(Grandview_Sales[[#This Row],[living_area_range]],Lookups!$F$47:$H$56,3,FALSE)</f>
        <v>0.94306777142782894</v>
      </c>
      <c r="BU120">
        <f>Grandview_Sales[[#This Row],[predicted_total]]*AVERAGE(Grandview_Sales[[#This Row],[qual_adj]:[size_adj]])</f>
        <v>193105.4252903841</v>
      </c>
      <c r="BV120">
        <f>Grandview_Sales[[#This Row],[final_total]]/Grandview_Sales[[#This Row],[sale_price]]</f>
        <v>0.93287645067818403</v>
      </c>
      <c r="BW120" s="6">
        <f>(Grandview_Sales[[#This Row],[final_total]]-Grandview_Sales[[#This Row],[sale_price]])^2</f>
        <v>193059206.36109784</v>
      </c>
      <c r="BX120" s="6">
        <f>(Grandview_Sales[[#This Row],[final_total]]-AVERAGE(Grandview_Sales[sale_price]))^2</f>
        <v>12962675216.028429</v>
      </c>
      <c r="BY120" s="6">
        <f>Grandview_Sales[[#This Row],[SSE]]+Grandview_Sales[[#This Row],[SSR]]</f>
        <v>13155734422.389526</v>
      </c>
      <c r="BZ120" s="4">
        <f>ABS(Grandview_Sales[[#This Row],[final_ratio]]-MEDIAN(Grandview_Sales[final_ratio]))</f>
        <v>6.8372268677627912E-2</v>
      </c>
    </row>
    <row r="121" spans="1:78" x14ac:dyDescent="0.25">
      <c r="A121">
        <v>23092621427</v>
      </c>
      <c r="B121">
        <v>0</v>
      </c>
      <c r="C121">
        <v>8050</v>
      </c>
      <c r="D121">
        <v>0</v>
      </c>
      <c r="E121" t="s">
        <v>53</v>
      </c>
      <c r="F121" t="s">
        <v>53</v>
      </c>
      <c r="G121">
        <v>4</v>
      </c>
      <c r="H121" t="s">
        <v>54</v>
      </c>
      <c r="I121">
        <v>237500</v>
      </c>
      <c r="J121">
        <v>39000</v>
      </c>
      <c r="K121">
        <v>0.18</v>
      </c>
      <c r="L121">
        <v>-1.7147984280919999</v>
      </c>
      <c r="M121">
        <v>0</v>
      </c>
      <c r="N121">
        <v>0</v>
      </c>
      <c r="O121">
        <v>0</v>
      </c>
      <c r="P121">
        <v>13398.7528</v>
      </c>
      <c r="Q121">
        <v>63902.980100000001</v>
      </c>
      <c r="R121">
        <v>40926.819860167998</v>
      </c>
      <c r="S121" t="s">
        <v>61</v>
      </c>
      <c r="T121">
        <v>1</v>
      </c>
      <c r="U121" t="s">
        <v>62</v>
      </c>
      <c r="V121" t="s">
        <v>57</v>
      </c>
      <c r="W121">
        <v>0</v>
      </c>
      <c r="X121">
        <v>0</v>
      </c>
      <c r="Y121">
        <v>2</v>
      </c>
      <c r="Z121">
        <v>2</v>
      </c>
      <c r="AA121">
        <v>0</v>
      </c>
      <c r="AB121">
        <v>1500</v>
      </c>
      <c r="AC121">
        <v>1384</v>
      </c>
      <c r="AD121">
        <v>1384</v>
      </c>
      <c r="AE121">
        <v>0</v>
      </c>
      <c r="AF121">
        <v>0</v>
      </c>
      <c r="AG121">
        <v>0</v>
      </c>
      <c r="AH121">
        <v>400</v>
      </c>
      <c r="AI121">
        <v>0</v>
      </c>
      <c r="AJ121">
        <v>0</v>
      </c>
      <c r="AK121">
        <v>0</v>
      </c>
      <c r="AL121">
        <v>9</v>
      </c>
      <c r="AM121">
        <v>0</v>
      </c>
      <c r="AN121">
        <v>0</v>
      </c>
      <c r="AO121" t="s">
        <v>58</v>
      </c>
      <c r="AP121">
        <v>1</v>
      </c>
      <c r="AQ121" t="s">
        <v>59</v>
      </c>
      <c r="AR121" t="s">
        <v>64</v>
      </c>
      <c r="AS121">
        <v>1</v>
      </c>
      <c r="AT121">
        <v>3</v>
      </c>
      <c r="AU121">
        <v>0</v>
      </c>
      <c r="AV121">
        <v>0</v>
      </c>
      <c r="AW121">
        <v>100</v>
      </c>
      <c r="AX121" s="1">
        <v>44390</v>
      </c>
      <c r="AY121">
        <v>22300</v>
      </c>
      <c r="AZ121">
        <v>255853</v>
      </c>
      <c r="BA121">
        <v>278200</v>
      </c>
      <c r="BB121">
        <v>259170</v>
      </c>
      <c r="BC121">
        <v>537</v>
      </c>
      <c r="BD121">
        <f>Grandview_Sales[[#This Row],[land_extract]]*Lookups!$B$3</f>
        <v>47528.20540119947</v>
      </c>
      <c r="BE121">
        <f>Lookups!$B$2</f>
        <v>155833.95000000001</v>
      </c>
      <c r="BF121">
        <f>VLOOKUP(Grandview_Sales[[#This Row],[quality]],Lookups!$H$2:$J$13,3,FALSE)</f>
        <v>9808</v>
      </c>
      <c r="BG121">
        <f>VLOOKUP(Grandview_Sales[[#This Row],[condition]],Lookups!$H$17:$J$24,3,FALSE)</f>
        <v>25780</v>
      </c>
      <c r="BH121">
        <f>Grandview_Sales[[#This Row],[Eff_Age]]*Lookups!$B$14</f>
        <v>-478.33319999999998</v>
      </c>
      <c r="BI121">
        <f>Grandview_Sales[[#This Row],[living_area]]*Lookups!$B$15</f>
        <v>86335.100552000004</v>
      </c>
      <c r="BJ121">
        <f>Grandview_Sales[[#This Row],[Fin BSMT]]*Lookups!$B$16</f>
        <v>0</v>
      </c>
      <c r="BK121">
        <f>Grandview_Sales[[#This Row],[garage_sqft]]*Lookups!$B$17</f>
        <v>35008.174800000001</v>
      </c>
      <c r="BL121">
        <f>Grandview_Sales[[#This Row],[Plumbing Fixtures]]*Lookups!$B$18</f>
        <v>18093.976200000001</v>
      </c>
      <c r="BM121">
        <f>Grandview_Sales[[#This Row],[detatched_value]]*Lookups!$B$19</f>
        <v>0</v>
      </c>
      <c r="BN121">
        <f>Grandview_Sales[[#This Row],[days_prior]]*Lookups!$B$20</f>
        <v>-64412.398199999996</v>
      </c>
      <c r="BO121">
        <f>SUM(Grandview_Sales[[#This Row],[land_value]:[Days Prior To Assessment_value]])</f>
        <v>313496.67555319943</v>
      </c>
      <c r="BP121">
        <f>Grandview_Sales[[#This Row],[predicted_total]]/Grandview_Sales[[#This Row],[sale_price]]</f>
        <v>1.2096179170166279</v>
      </c>
      <c r="BQ121">
        <f>VLOOKUP(Grandview_Sales[[#This Row],[quality]],Lookups!$A$26:$C$33,3,FALSE)</f>
        <v>0.94295468617355149</v>
      </c>
      <c r="BR121">
        <f>VLOOKUP(Grandview_Sales[[#This Row],[condition]],Lookups!$A$37:$C$44,3,FALSE)</f>
        <v>0.94347925387812148</v>
      </c>
      <c r="BS121">
        <f>VLOOKUP(Grandview_Sales[[#This Row],[decade]],Lookups!$F$29:$H$43,3,FALSE)</f>
        <v>0.9413635517371044</v>
      </c>
      <c r="BT121">
        <f>VLOOKUP(Grandview_Sales[[#This Row],[living_area_range]],Lookups!$F$47:$H$56,3,FALSE)</f>
        <v>0.96135087979789358</v>
      </c>
      <c r="BU121">
        <f>Grandview_Sales[[#This Row],[predicted_total]]*AVERAGE(Grandview_Sales[[#This Row],[qual_adj]:[size_adj]])</f>
        <v>296971.3544175601</v>
      </c>
      <c r="BV121">
        <f>Grandview_Sales[[#This Row],[final_total]]/Grandview_Sales[[#This Row],[sale_price]]</f>
        <v>1.1458554401264038</v>
      </c>
      <c r="BW121" s="6">
        <f>(Grandview_Sales[[#This Row],[final_total]]-Grandview_Sales[[#This Row],[sale_price]])^2</f>
        <v>1428942395.8019903</v>
      </c>
      <c r="BX121" s="6">
        <f>(Grandview_Sales[[#This Row],[final_total]]-AVERAGE(Grandview_Sales[sale_price]))^2</f>
        <v>99756462.883222297</v>
      </c>
      <c r="BY121" s="6">
        <f>Grandview_Sales[[#This Row],[SSE]]+Grandview_Sales[[#This Row],[SSR]]</f>
        <v>1528698858.6852126</v>
      </c>
      <c r="BZ121" s="4">
        <f>ABS(Grandview_Sales[[#This Row],[final_ratio]]-MEDIAN(Grandview_Sales[final_ratio]))</f>
        <v>0.14460672077059189</v>
      </c>
    </row>
    <row r="122" spans="1:78" x14ac:dyDescent="0.25">
      <c r="A122">
        <v>23092424476</v>
      </c>
      <c r="B122">
        <v>0.19</v>
      </c>
      <c r="C122">
        <v>8148</v>
      </c>
      <c r="D122">
        <v>0</v>
      </c>
      <c r="E122" t="s">
        <v>53</v>
      </c>
      <c r="F122" t="s">
        <v>53</v>
      </c>
      <c r="G122">
        <v>4</v>
      </c>
      <c r="H122" t="s">
        <v>54</v>
      </c>
      <c r="I122">
        <v>171700</v>
      </c>
      <c r="J122">
        <v>39100</v>
      </c>
      <c r="K122">
        <v>0.19</v>
      </c>
      <c r="L122">
        <v>-1.6607312068219999</v>
      </c>
      <c r="M122">
        <v>0</v>
      </c>
      <c r="N122">
        <v>0</v>
      </c>
      <c r="O122">
        <v>0</v>
      </c>
      <c r="P122">
        <v>13398.7528</v>
      </c>
      <c r="Q122">
        <v>63902.980100000001</v>
      </c>
      <c r="R122">
        <v>41651.253192550997</v>
      </c>
      <c r="S122" t="s">
        <v>61</v>
      </c>
      <c r="T122">
        <v>1</v>
      </c>
      <c r="U122" t="s">
        <v>62</v>
      </c>
      <c r="V122" t="s">
        <v>69</v>
      </c>
      <c r="W122">
        <v>0</v>
      </c>
      <c r="X122">
        <v>0</v>
      </c>
      <c r="Y122">
        <v>18</v>
      </c>
      <c r="Z122">
        <v>18</v>
      </c>
      <c r="AA122">
        <v>20</v>
      </c>
      <c r="AB122">
        <v>1500</v>
      </c>
      <c r="AC122">
        <v>1117</v>
      </c>
      <c r="AD122">
        <v>1117</v>
      </c>
      <c r="AE122">
        <v>0</v>
      </c>
      <c r="AF122">
        <v>0</v>
      </c>
      <c r="AG122">
        <v>0</v>
      </c>
      <c r="AH122">
        <v>480</v>
      </c>
      <c r="AI122">
        <v>0</v>
      </c>
      <c r="AJ122">
        <v>0</v>
      </c>
      <c r="AK122">
        <v>705</v>
      </c>
      <c r="AL122">
        <v>8</v>
      </c>
      <c r="AM122">
        <v>0</v>
      </c>
      <c r="AN122">
        <v>0</v>
      </c>
      <c r="AO122" t="s">
        <v>58</v>
      </c>
      <c r="AP122">
        <v>1</v>
      </c>
      <c r="AQ122" t="s">
        <v>63</v>
      </c>
      <c r="AR122" t="s">
        <v>64</v>
      </c>
      <c r="AS122">
        <v>1</v>
      </c>
      <c r="AT122">
        <v>3</v>
      </c>
      <c r="AU122">
        <v>0</v>
      </c>
      <c r="AV122">
        <v>0</v>
      </c>
      <c r="AW122">
        <v>100</v>
      </c>
      <c r="AX122" s="1">
        <v>44391</v>
      </c>
      <c r="AY122">
        <v>22400</v>
      </c>
      <c r="AZ122">
        <v>197726</v>
      </c>
      <c r="BA122">
        <v>220100</v>
      </c>
      <c r="BB122">
        <v>275000</v>
      </c>
      <c r="BC122">
        <v>536</v>
      </c>
      <c r="BD122">
        <f>Grandview_Sales[[#This Row],[land_extract]]*Lookups!$B$3</f>
        <v>48369.487874125851</v>
      </c>
      <c r="BE122">
        <f>Lookups!$B$2</f>
        <v>155833.95000000001</v>
      </c>
      <c r="BF122">
        <f>VLOOKUP(Grandview_Sales[[#This Row],[quality]],Lookups!$H$2:$J$13,3,FALSE)</f>
        <v>9808</v>
      </c>
      <c r="BG122">
        <f>VLOOKUP(Grandview_Sales[[#This Row],[condition]],Lookups!$H$17:$J$24,3,FALSE)</f>
        <v>-4503</v>
      </c>
      <c r="BH122">
        <f>Grandview_Sales[[#This Row],[Eff_Age]]*Lookups!$B$14</f>
        <v>-4304.9987999999994</v>
      </c>
      <c r="BI122">
        <f>Grandview_Sales[[#This Row],[living_area]]*Lookups!$B$15</f>
        <v>69679.412800999999</v>
      </c>
      <c r="BJ122">
        <f>Grandview_Sales[[#This Row],[Fin BSMT]]*Lookups!$B$16</f>
        <v>0</v>
      </c>
      <c r="BK122">
        <f>Grandview_Sales[[#This Row],[garage_sqft]]*Lookups!$B$17</f>
        <v>42009.809760000004</v>
      </c>
      <c r="BL122">
        <f>Grandview_Sales[[#This Row],[Plumbing Fixtures]]*Lookups!$B$18</f>
        <v>16083.5344</v>
      </c>
      <c r="BM122">
        <f>Grandview_Sales[[#This Row],[detatched_value]]*Lookups!$B$19</f>
        <v>0</v>
      </c>
      <c r="BN122">
        <f>Grandview_Sales[[#This Row],[days_prior]]*Lookups!$B$20</f>
        <v>-64292.4496</v>
      </c>
      <c r="BO122">
        <f>SUM(Grandview_Sales[[#This Row],[land_value]:[Days Prior To Assessment_value]])</f>
        <v>268683.74643512588</v>
      </c>
      <c r="BP122">
        <f>Grandview_Sales[[#This Row],[predicted_total]]/Grandview_Sales[[#This Row],[sale_price]]</f>
        <v>0.97703180521863953</v>
      </c>
      <c r="BQ122">
        <f>VLOOKUP(Grandview_Sales[[#This Row],[quality]],Lookups!$A$26:$C$33,3,FALSE)</f>
        <v>0.94295468617355149</v>
      </c>
      <c r="BR122">
        <f>VLOOKUP(Grandview_Sales[[#This Row],[condition]],Lookups!$A$37:$C$44,3,FALSE)</f>
        <v>0.96469275950863709</v>
      </c>
      <c r="BS122">
        <f>VLOOKUP(Grandview_Sales[[#This Row],[decade]],Lookups!$F$29:$H$43,3,FALSE)</f>
        <v>0.96737494181490646</v>
      </c>
      <c r="BT122">
        <f>VLOOKUP(Grandview_Sales[[#This Row],[living_area_range]],Lookups!$F$47:$H$56,3,FALSE)</f>
        <v>0.96135087979789358</v>
      </c>
      <c r="BU122">
        <f>Grandview_Sales[[#This Row],[predicted_total]]*AVERAGE(Grandview_Sales[[#This Row],[qual_adj]:[size_adj]])</f>
        <v>257692.78554509554</v>
      </c>
      <c r="BV122">
        <f>Grandview_Sales[[#This Row],[final_total]]/Grandview_Sales[[#This Row],[sale_price]]</f>
        <v>0.93706467470943833</v>
      </c>
      <c r="BW122" s="6">
        <f>(Grandview_Sales[[#This Row],[final_total]]-Grandview_Sales[[#This Row],[sale_price]])^2</f>
        <v>299539672.18805391</v>
      </c>
      <c r="BX122" s="6">
        <f>(Grandview_Sales[[#This Row],[final_total]]-AVERAGE(Grandview_Sales[sale_price]))^2</f>
        <v>2427176650.9435573</v>
      </c>
      <c r="BY122" s="6">
        <f>Grandview_Sales[[#This Row],[SSE]]+Grandview_Sales[[#This Row],[SSR]]</f>
        <v>2726716323.1316113</v>
      </c>
      <c r="BZ122" s="4">
        <f>ABS(Grandview_Sales[[#This Row],[final_ratio]]-MEDIAN(Grandview_Sales[final_ratio]))</f>
        <v>6.4184044646373617E-2</v>
      </c>
    </row>
    <row r="123" spans="1:78" x14ac:dyDescent="0.25">
      <c r="A123">
        <v>23092311475</v>
      </c>
      <c r="B123">
        <v>0.12</v>
      </c>
      <c r="C123">
        <v>5295</v>
      </c>
      <c r="D123">
        <v>0</v>
      </c>
      <c r="E123" t="s">
        <v>53</v>
      </c>
      <c r="F123" t="s">
        <v>53</v>
      </c>
      <c r="G123">
        <v>4</v>
      </c>
      <c r="H123" t="s">
        <v>54</v>
      </c>
      <c r="I123">
        <v>111500</v>
      </c>
      <c r="J123">
        <v>38400</v>
      </c>
      <c r="K123">
        <v>0.12</v>
      </c>
      <c r="L123">
        <v>-2.1202635362</v>
      </c>
      <c r="M123">
        <v>0</v>
      </c>
      <c r="N123">
        <v>0</v>
      </c>
      <c r="O123">
        <v>0</v>
      </c>
      <c r="P123">
        <v>13398.7528</v>
      </c>
      <c r="Q123">
        <v>63902.980100000001</v>
      </c>
      <c r="R123">
        <v>35494.093107601002</v>
      </c>
      <c r="S123" t="s">
        <v>68</v>
      </c>
      <c r="T123">
        <v>1</v>
      </c>
      <c r="U123" t="s">
        <v>70</v>
      </c>
      <c r="V123" t="s">
        <v>69</v>
      </c>
      <c r="W123">
        <v>0</v>
      </c>
      <c r="X123">
        <v>0</v>
      </c>
      <c r="Y123">
        <v>49</v>
      </c>
      <c r="Z123">
        <v>65</v>
      </c>
      <c r="AA123">
        <v>70</v>
      </c>
      <c r="AB123">
        <v>1500</v>
      </c>
      <c r="AC123">
        <v>1255</v>
      </c>
      <c r="AD123">
        <v>788</v>
      </c>
      <c r="AE123">
        <v>0</v>
      </c>
      <c r="AF123">
        <v>467</v>
      </c>
      <c r="AG123">
        <v>241</v>
      </c>
      <c r="AH123">
        <v>0</v>
      </c>
      <c r="AI123">
        <v>0</v>
      </c>
      <c r="AJ123">
        <v>0</v>
      </c>
      <c r="AK123">
        <v>20</v>
      </c>
      <c r="AL123">
        <v>5</v>
      </c>
      <c r="AM123">
        <v>0</v>
      </c>
      <c r="AN123">
        <v>0</v>
      </c>
      <c r="AO123" t="s">
        <v>58</v>
      </c>
      <c r="AP123">
        <v>1</v>
      </c>
      <c r="AQ123" t="s">
        <v>63</v>
      </c>
      <c r="AR123" t="s">
        <v>81</v>
      </c>
      <c r="AS123">
        <v>0</v>
      </c>
      <c r="AT123">
        <v>2</v>
      </c>
      <c r="AU123">
        <v>0</v>
      </c>
      <c r="AV123">
        <v>0</v>
      </c>
      <c r="AW123">
        <v>100</v>
      </c>
      <c r="AX123" s="1">
        <v>44392</v>
      </c>
      <c r="AY123">
        <v>22000</v>
      </c>
      <c r="AZ123">
        <v>107829</v>
      </c>
      <c r="BA123">
        <v>129800</v>
      </c>
      <c r="BB123">
        <v>178000</v>
      </c>
      <c r="BC123">
        <v>535</v>
      </c>
      <c r="BD123">
        <f>Grandview_Sales[[#This Row],[land_extract]]*Lookups!$B$3</f>
        <v>41219.194491805654</v>
      </c>
      <c r="BE123">
        <f>Lookups!$B$2</f>
        <v>155833.95000000001</v>
      </c>
      <c r="BF123">
        <f>VLOOKUP(Grandview_Sales[[#This Row],[quality]],Lookups!$H$2:$J$13,3,FALSE)</f>
        <v>10733</v>
      </c>
      <c r="BG123">
        <f>VLOOKUP(Grandview_Sales[[#This Row],[condition]],Lookups!$H$17:$J$24,3,FALSE)</f>
        <v>-4503</v>
      </c>
      <c r="BH123">
        <f>Grandview_Sales[[#This Row],[Eff_Age]]*Lookups!$B$14</f>
        <v>-11719.163399999999</v>
      </c>
      <c r="BI123">
        <f>Grandview_Sales[[#This Row],[living_area]]*Lookups!$B$15</f>
        <v>78287.970515000008</v>
      </c>
      <c r="BJ123">
        <f>Grandview_Sales[[#This Row],[Fin BSMT]]*Lookups!$B$16</f>
        <v>-12655.345080000001</v>
      </c>
      <c r="BK123">
        <f>Grandview_Sales[[#This Row],[garage_sqft]]*Lookups!$B$17</f>
        <v>0</v>
      </c>
      <c r="BL123">
        <f>Grandview_Sales[[#This Row],[Plumbing Fixtures]]*Lookups!$B$18</f>
        <v>10052.209000000001</v>
      </c>
      <c r="BM123">
        <f>Grandview_Sales[[#This Row],[detatched_value]]*Lookups!$B$19</f>
        <v>0</v>
      </c>
      <c r="BN123">
        <f>Grandview_Sales[[#This Row],[days_prior]]*Lookups!$B$20</f>
        <v>-64172.500999999997</v>
      </c>
      <c r="BO123">
        <f>SUM(Grandview_Sales[[#This Row],[land_value]:[Days Prior To Assessment_value]])</f>
        <v>203076.31452680565</v>
      </c>
      <c r="BP123">
        <f>Grandview_Sales[[#This Row],[predicted_total]]/Grandview_Sales[[#This Row],[sale_price]]</f>
        <v>1.1408781714989082</v>
      </c>
      <c r="BQ123">
        <f>VLOOKUP(Grandview_Sales[[#This Row],[quality]],Lookups!$A$26:$C$33,3,FALSE)</f>
        <v>0.98079741117310582</v>
      </c>
      <c r="BR123">
        <f>VLOOKUP(Grandview_Sales[[#This Row],[condition]],Lookups!$A$37:$C$44,3,FALSE)</f>
        <v>0.96469275950863709</v>
      </c>
      <c r="BS123">
        <f>VLOOKUP(Grandview_Sales[[#This Row],[decade]],Lookups!$F$29:$H$43,3,FALSE)</f>
        <v>0.99472141305414818</v>
      </c>
      <c r="BT123">
        <f>VLOOKUP(Grandview_Sales[[#This Row],[living_area_range]],Lookups!$F$47:$H$56,3,FALSE)</f>
        <v>0.96135087979789358</v>
      </c>
      <c r="BU123">
        <f>Grandview_Sales[[#This Row],[predicted_total]]*AVERAGE(Grandview_Sales[[#This Row],[qual_adj]:[size_adj]])</f>
        <v>198078.73149764139</v>
      </c>
      <c r="BV123">
        <f>Grandview_Sales[[#This Row],[final_total]]/Grandview_Sales[[#This Row],[sale_price]]</f>
        <v>1.1128018623462999</v>
      </c>
      <c r="BW123" s="6">
        <f>(Grandview_Sales[[#This Row],[final_total]]-Grandview_Sales[[#This Row],[sale_price]])^2</f>
        <v>403155458.55437648</v>
      </c>
      <c r="BX123" s="6">
        <f>(Grandview_Sales[[#This Row],[final_total]]-AVERAGE(Grandview_Sales[sale_price]))^2</f>
        <v>11854949918.710459</v>
      </c>
      <c r="BY123" s="6">
        <f>Grandview_Sales[[#This Row],[SSE]]+Grandview_Sales[[#This Row],[SSR]]</f>
        <v>12258105377.264835</v>
      </c>
      <c r="BZ123" s="4">
        <f>ABS(Grandview_Sales[[#This Row],[final_ratio]]-MEDIAN(Grandview_Sales[final_ratio]))</f>
        <v>0.11155314299048791</v>
      </c>
    </row>
    <row r="124" spans="1:78" x14ac:dyDescent="0.25">
      <c r="A124">
        <v>23092621473</v>
      </c>
      <c r="B124">
        <v>0</v>
      </c>
      <c r="C124">
        <v>8050</v>
      </c>
      <c r="D124">
        <v>0</v>
      </c>
      <c r="E124" t="s">
        <v>53</v>
      </c>
      <c r="F124" t="s">
        <v>53</v>
      </c>
      <c r="G124">
        <v>4</v>
      </c>
      <c r="H124" t="s">
        <v>54</v>
      </c>
      <c r="I124">
        <v>308900</v>
      </c>
      <c r="J124">
        <v>32500</v>
      </c>
      <c r="K124">
        <v>0.18</v>
      </c>
      <c r="L124">
        <v>-1.7147984280919999</v>
      </c>
      <c r="M124">
        <v>0</v>
      </c>
      <c r="N124">
        <v>0</v>
      </c>
      <c r="O124">
        <v>0</v>
      </c>
      <c r="P124">
        <v>13398.7528</v>
      </c>
      <c r="Q124">
        <v>63902.980100000001</v>
      </c>
      <c r="R124">
        <v>40926.819860167998</v>
      </c>
      <c r="S124" t="s">
        <v>55</v>
      </c>
      <c r="T124">
        <v>2</v>
      </c>
      <c r="U124" t="s">
        <v>62</v>
      </c>
      <c r="V124" t="s">
        <v>57</v>
      </c>
      <c r="W124">
        <v>0</v>
      </c>
      <c r="X124">
        <v>0</v>
      </c>
      <c r="Y124">
        <v>2</v>
      </c>
      <c r="Z124">
        <v>2</v>
      </c>
      <c r="AA124">
        <v>0</v>
      </c>
      <c r="AB124">
        <v>3000</v>
      </c>
      <c r="AC124">
        <v>2614</v>
      </c>
      <c r="AD124">
        <v>1150</v>
      </c>
      <c r="AE124">
        <v>1464</v>
      </c>
      <c r="AF124">
        <v>0</v>
      </c>
      <c r="AG124">
        <v>0</v>
      </c>
      <c r="AH124">
        <v>399</v>
      </c>
      <c r="AI124">
        <v>0</v>
      </c>
      <c r="AJ124">
        <v>0</v>
      </c>
      <c r="AK124">
        <v>0</v>
      </c>
      <c r="AL124">
        <v>12</v>
      </c>
      <c r="AM124">
        <v>0</v>
      </c>
      <c r="AN124">
        <v>0</v>
      </c>
      <c r="AO124" t="s">
        <v>58</v>
      </c>
      <c r="AP124">
        <v>1</v>
      </c>
      <c r="AQ124" t="s">
        <v>63</v>
      </c>
      <c r="AR124" t="s">
        <v>64</v>
      </c>
      <c r="AS124">
        <v>1</v>
      </c>
      <c r="AT124">
        <v>3</v>
      </c>
      <c r="AU124">
        <v>0</v>
      </c>
      <c r="AV124">
        <v>0</v>
      </c>
      <c r="AW124">
        <v>100</v>
      </c>
      <c r="AX124" s="1">
        <v>44393</v>
      </c>
      <c r="AY124">
        <v>18600</v>
      </c>
      <c r="AZ124">
        <v>382574</v>
      </c>
      <c r="BA124">
        <v>401200</v>
      </c>
      <c r="BB124">
        <v>340540</v>
      </c>
      <c r="BC124">
        <v>534</v>
      </c>
      <c r="BD124">
        <f>Grandview_Sales[[#This Row],[land_extract]]*Lookups!$B$3</f>
        <v>47528.20540119947</v>
      </c>
      <c r="BE124">
        <f>Lookups!$B$2</f>
        <v>155833.95000000001</v>
      </c>
      <c r="BF124">
        <f>VLOOKUP(Grandview_Sales[[#This Row],[quality]],Lookups!$H$2:$J$13,3,FALSE)</f>
        <v>9808</v>
      </c>
      <c r="BG124">
        <f>VLOOKUP(Grandview_Sales[[#This Row],[condition]],Lookups!$H$17:$J$24,3,FALSE)</f>
        <v>25780</v>
      </c>
      <c r="BH124">
        <f>Grandview_Sales[[#This Row],[Eff_Age]]*Lookups!$B$14</f>
        <v>-478.33319999999998</v>
      </c>
      <c r="BI124">
        <f>Grandview_Sales[[#This Row],[living_area]]*Lookups!$B$15</f>
        <v>163063.549742</v>
      </c>
      <c r="BJ124">
        <f>Grandview_Sales[[#This Row],[Fin BSMT]]*Lookups!$B$16</f>
        <v>0</v>
      </c>
      <c r="BK124">
        <f>Grandview_Sales[[#This Row],[garage_sqft]]*Lookups!$B$17</f>
        <v>34920.654363000001</v>
      </c>
      <c r="BL124">
        <f>Grandview_Sales[[#This Row],[Plumbing Fixtures]]*Lookups!$B$18</f>
        <v>24125.301599999999</v>
      </c>
      <c r="BM124">
        <f>Grandview_Sales[[#This Row],[detatched_value]]*Lookups!$B$19</f>
        <v>0</v>
      </c>
      <c r="BN124">
        <f>Grandview_Sales[[#This Row],[days_prior]]*Lookups!$B$20</f>
        <v>-64052.5524</v>
      </c>
      <c r="BO124">
        <f>SUM(Grandview_Sales[[#This Row],[land_value]:[Days Prior To Assessment_value]])</f>
        <v>396528.77550619951</v>
      </c>
      <c r="BP124">
        <f>Grandview_Sales[[#This Row],[predicted_total]]/Grandview_Sales[[#This Row],[sale_price]]</f>
        <v>1.1644117446003392</v>
      </c>
      <c r="BQ124">
        <f>VLOOKUP(Grandview_Sales[[#This Row],[quality]],Lookups!$A$26:$C$33,3,FALSE)</f>
        <v>0.94295468617355149</v>
      </c>
      <c r="BR124">
        <f>VLOOKUP(Grandview_Sales[[#This Row],[condition]],Lookups!$A$37:$C$44,3,FALSE)</f>
        <v>0.94347925387812148</v>
      </c>
      <c r="BS124">
        <f>VLOOKUP(Grandview_Sales[[#This Row],[decade]],Lookups!$F$29:$H$43,3,FALSE)</f>
        <v>0.9413635517371044</v>
      </c>
      <c r="BT124">
        <f>VLOOKUP(Grandview_Sales[[#This Row],[living_area_range]],Lookups!$F$47:$H$56,3,FALSE)</f>
        <v>0.94224801443562123</v>
      </c>
      <c r="BU124">
        <f>Grandview_Sales[[#This Row],[predicted_total]]*AVERAGE(Grandview_Sales[[#This Row],[qual_adj]:[size_adj]])</f>
        <v>373732.88204645272</v>
      </c>
      <c r="BV124">
        <f>Grandview_Sales[[#This Row],[final_total]]/Grandview_Sales[[#This Row],[sale_price]]</f>
        <v>1.0974713162813552</v>
      </c>
      <c r="BW124" s="6">
        <f>(Grandview_Sales[[#This Row],[final_total]]-Grandview_Sales[[#This Row],[sale_price]])^2</f>
        <v>1101767418.5497236</v>
      </c>
      <c r="BX124" s="6">
        <f>(Grandview_Sales[[#This Row],[final_total]]-AVERAGE(Grandview_Sales[sale_price]))^2</f>
        <v>4458728601.9143343</v>
      </c>
      <c r="BY124" s="6">
        <f>Grandview_Sales[[#This Row],[SSE]]+Grandview_Sales[[#This Row],[SSR]]</f>
        <v>5560496020.4640579</v>
      </c>
      <c r="BZ124" s="4">
        <f>ABS(Grandview_Sales[[#This Row],[final_ratio]]-MEDIAN(Grandview_Sales[final_ratio]))</f>
        <v>9.6222596925543247E-2</v>
      </c>
    </row>
    <row r="125" spans="1:78" x14ac:dyDescent="0.25">
      <c r="A125">
        <v>23092621420</v>
      </c>
      <c r="B125">
        <v>0</v>
      </c>
      <c r="C125">
        <v>8250</v>
      </c>
      <c r="D125">
        <v>0</v>
      </c>
      <c r="E125" t="s">
        <v>53</v>
      </c>
      <c r="F125" t="s">
        <v>53</v>
      </c>
      <c r="G125">
        <v>4</v>
      </c>
      <c r="H125" t="s">
        <v>54</v>
      </c>
      <c r="I125">
        <v>252600</v>
      </c>
      <c r="J125">
        <v>39100</v>
      </c>
      <c r="K125">
        <v>0.19</v>
      </c>
      <c r="L125">
        <v>-1.6607312068219999</v>
      </c>
      <c r="M125">
        <v>0</v>
      </c>
      <c r="N125">
        <v>0</v>
      </c>
      <c r="O125">
        <v>0</v>
      </c>
      <c r="P125">
        <v>13398.7528</v>
      </c>
      <c r="Q125">
        <v>63902.980100000001</v>
      </c>
      <c r="R125">
        <v>41651.253192550997</v>
      </c>
      <c r="S125" t="s">
        <v>61</v>
      </c>
      <c r="T125">
        <v>1</v>
      </c>
      <c r="U125" t="s">
        <v>62</v>
      </c>
      <c r="V125" t="s">
        <v>57</v>
      </c>
      <c r="W125">
        <v>0</v>
      </c>
      <c r="X125">
        <v>0</v>
      </c>
      <c r="Y125">
        <v>2</v>
      </c>
      <c r="Z125">
        <v>2</v>
      </c>
      <c r="AA125">
        <v>0</v>
      </c>
      <c r="AB125">
        <v>2000</v>
      </c>
      <c r="AC125">
        <v>1580</v>
      </c>
      <c r="AD125">
        <v>1580</v>
      </c>
      <c r="AE125">
        <v>0</v>
      </c>
      <c r="AF125">
        <v>0</v>
      </c>
      <c r="AG125">
        <v>0</v>
      </c>
      <c r="AH125">
        <v>400</v>
      </c>
      <c r="AI125">
        <v>0</v>
      </c>
      <c r="AJ125">
        <v>0</v>
      </c>
      <c r="AK125">
        <v>0</v>
      </c>
      <c r="AL125">
        <v>9</v>
      </c>
      <c r="AM125">
        <v>0</v>
      </c>
      <c r="AN125">
        <v>0</v>
      </c>
      <c r="AO125" t="s">
        <v>58</v>
      </c>
      <c r="AP125">
        <v>1</v>
      </c>
      <c r="AQ125" t="s">
        <v>63</v>
      </c>
      <c r="AR125" t="s">
        <v>64</v>
      </c>
      <c r="AS125">
        <v>1</v>
      </c>
      <c r="AT125">
        <v>3</v>
      </c>
      <c r="AU125">
        <v>0</v>
      </c>
      <c r="AV125">
        <v>0</v>
      </c>
      <c r="AW125">
        <v>100</v>
      </c>
      <c r="AX125" s="1">
        <v>44396</v>
      </c>
      <c r="AY125">
        <v>22400</v>
      </c>
      <c r="AZ125">
        <v>279538</v>
      </c>
      <c r="BA125">
        <v>301900</v>
      </c>
      <c r="BB125">
        <v>292350</v>
      </c>
      <c r="BC125">
        <v>531</v>
      </c>
      <c r="BD125">
        <f>Grandview_Sales[[#This Row],[land_extract]]*Lookups!$B$3</f>
        <v>48369.487874125851</v>
      </c>
      <c r="BE125">
        <f>Lookups!$B$2</f>
        <v>155833.95000000001</v>
      </c>
      <c r="BF125">
        <f>VLOOKUP(Grandview_Sales[[#This Row],[quality]],Lookups!$H$2:$J$13,3,FALSE)</f>
        <v>9808</v>
      </c>
      <c r="BG125">
        <f>VLOOKUP(Grandview_Sales[[#This Row],[condition]],Lookups!$H$17:$J$24,3,FALSE)</f>
        <v>25780</v>
      </c>
      <c r="BH125">
        <f>Grandview_Sales[[#This Row],[Eff_Age]]*Lookups!$B$14</f>
        <v>-478.33319999999998</v>
      </c>
      <c r="BI125">
        <f>Grandview_Sales[[#This Row],[living_area]]*Lookups!$B$15</f>
        <v>98561.747740000006</v>
      </c>
      <c r="BJ125">
        <f>Grandview_Sales[[#This Row],[Fin BSMT]]*Lookups!$B$16</f>
        <v>0</v>
      </c>
      <c r="BK125">
        <f>Grandview_Sales[[#This Row],[garage_sqft]]*Lookups!$B$17</f>
        <v>35008.174800000001</v>
      </c>
      <c r="BL125">
        <f>Grandview_Sales[[#This Row],[Plumbing Fixtures]]*Lookups!$B$18</f>
        <v>18093.976200000001</v>
      </c>
      <c r="BM125">
        <f>Grandview_Sales[[#This Row],[detatched_value]]*Lookups!$B$19</f>
        <v>0</v>
      </c>
      <c r="BN125">
        <f>Grandview_Sales[[#This Row],[days_prior]]*Lookups!$B$20</f>
        <v>-63692.706599999998</v>
      </c>
      <c r="BO125">
        <f>SUM(Grandview_Sales[[#This Row],[land_value]:[Days Prior To Assessment_value]])</f>
        <v>327284.29681412585</v>
      </c>
      <c r="BP125">
        <f>Grandview_Sales[[#This Row],[predicted_total]]/Grandview_Sales[[#This Row],[sale_price]]</f>
        <v>1.1194947727522691</v>
      </c>
      <c r="BQ125">
        <f>VLOOKUP(Grandview_Sales[[#This Row],[quality]],Lookups!$A$26:$C$33,3,FALSE)</f>
        <v>0.94295468617355149</v>
      </c>
      <c r="BR125">
        <f>VLOOKUP(Grandview_Sales[[#This Row],[condition]],Lookups!$A$37:$C$44,3,FALSE)</f>
        <v>0.94347925387812148</v>
      </c>
      <c r="BS125">
        <f>VLOOKUP(Grandview_Sales[[#This Row],[decade]],Lookups!$F$29:$H$43,3,FALSE)</f>
        <v>0.9413635517371044</v>
      </c>
      <c r="BT125">
        <f>VLOOKUP(Grandview_Sales[[#This Row],[living_area_range]],Lookups!$F$47:$H$56,3,FALSE)</f>
        <v>0.96120133463014379</v>
      </c>
      <c r="BU125">
        <f>Grandview_Sales[[#This Row],[predicted_total]]*AVERAGE(Grandview_Sales[[#This Row],[qual_adj]:[size_adj]])</f>
        <v>310019.95413351618</v>
      </c>
      <c r="BV125">
        <f>Grandview_Sales[[#This Row],[final_total]]/Grandview_Sales[[#This Row],[sale_price]]</f>
        <v>1.060441095035116</v>
      </c>
      <c r="BW125" s="6">
        <f>(Grandview_Sales[[#This Row],[final_total]]-Grandview_Sales[[#This Row],[sale_price]])^2</f>
        <v>312227279.08056545</v>
      </c>
      <c r="BX125" s="6">
        <f>(Grandview_Sales[[#This Row],[final_total]]-AVERAGE(Grandview_Sales[sale_price]))^2</f>
        <v>9368398.6617666613</v>
      </c>
      <c r="BY125" s="6">
        <f>Grandview_Sales[[#This Row],[SSE]]+Grandview_Sales[[#This Row],[SSR]]</f>
        <v>321595677.7423321</v>
      </c>
      <c r="BZ125" s="4">
        <f>ABS(Grandview_Sales[[#This Row],[final_ratio]]-MEDIAN(Grandview_Sales[final_ratio]))</f>
        <v>5.9192375679304021E-2</v>
      </c>
    </row>
    <row r="126" spans="1:78" x14ac:dyDescent="0.25">
      <c r="A126">
        <v>23092423486</v>
      </c>
      <c r="B126">
        <v>0.22</v>
      </c>
      <c r="C126">
        <v>9667</v>
      </c>
      <c r="D126">
        <v>0</v>
      </c>
      <c r="E126" t="s">
        <v>53</v>
      </c>
      <c r="F126" t="s">
        <v>53</v>
      </c>
      <c r="G126">
        <v>4</v>
      </c>
      <c r="H126" t="s">
        <v>54</v>
      </c>
      <c r="I126">
        <v>84000</v>
      </c>
      <c r="J126">
        <v>39500</v>
      </c>
      <c r="K126">
        <v>0.22</v>
      </c>
      <c r="L126">
        <v>-1.51412773263</v>
      </c>
      <c r="M126">
        <v>0</v>
      </c>
      <c r="N126">
        <v>0</v>
      </c>
      <c r="O126">
        <v>0</v>
      </c>
      <c r="P126">
        <v>13398.7528</v>
      </c>
      <c r="Q126">
        <v>63902.980100000001</v>
      </c>
      <c r="R126">
        <v>43615.556902869001</v>
      </c>
      <c r="S126" t="s">
        <v>68</v>
      </c>
      <c r="T126">
        <v>1</v>
      </c>
      <c r="U126" t="s">
        <v>70</v>
      </c>
      <c r="V126" t="s">
        <v>78</v>
      </c>
      <c r="W126">
        <v>0</v>
      </c>
      <c r="X126">
        <v>0</v>
      </c>
      <c r="Y126">
        <v>50</v>
      </c>
      <c r="Z126">
        <v>73</v>
      </c>
      <c r="AA126">
        <v>70</v>
      </c>
      <c r="AB126">
        <v>1000</v>
      </c>
      <c r="AC126">
        <v>780</v>
      </c>
      <c r="AD126">
        <v>780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320</v>
      </c>
      <c r="AL126">
        <v>5</v>
      </c>
      <c r="AM126">
        <v>0</v>
      </c>
      <c r="AN126">
        <v>0</v>
      </c>
      <c r="AO126" t="s">
        <v>58</v>
      </c>
      <c r="AP126">
        <v>1</v>
      </c>
      <c r="AQ126" t="s">
        <v>63</v>
      </c>
      <c r="AR126" t="s">
        <v>81</v>
      </c>
      <c r="AS126">
        <v>0</v>
      </c>
      <c r="AT126">
        <v>2</v>
      </c>
      <c r="AU126">
        <v>0</v>
      </c>
      <c r="AV126">
        <v>6800</v>
      </c>
      <c r="AW126">
        <v>100</v>
      </c>
      <c r="AX126" s="1">
        <v>44396</v>
      </c>
      <c r="AY126">
        <v>22600</v>
      </c>
      <c r="AZ126">
        <v>69864</v>
      </c>
      <c r="BA126">
        <v>92500</v>
      </c>
      <c r="BB126">
        <v>160000</v>
      </c>
      <c r="BC126">
        <v>531</v>
      </c>
      <c r="BD126">
        <f>Grandview_Sales[[#This Row],[land_extract]]*Lookups!$B$3</f>
        <v>50650.628469298128</v>
      </c>
      <c r="BE126">
        <f>Lookups!$B$2</f>
        <v>155833.95000000001</v>
      </c>
      <c r="BF126">
        <f>VLOOKUP(Grandview_Sales[[#This Row],[quality]],Lookups!$H$2:$J$13,3,FALSE)</f>
        <v>10733</v>
      </c>
      <c r="BG126">
        <f>VLOOKUP(Grandview_Sales[[#This Row],[condition]],Lookups!$H$17:$J$24,3,FALSE)</f>
        <v>-45357</v>
      </c>
      <c r="BH126">
        <f>Grandview_Sales[[#This Row],[Eff_Age]]*Lookups!$B$14</f>
        <v>-11958.33</v>
      </c>
      <c r="BI126">
        <f>Grandview_Sales[[#This Row],[living_area]]*Lookups!$B$15</f>
        <v>48657.065340000001</v>
      </c>
      <c r="BJ126">
        <f>Grandview_Sales[[#This Row],[Fin BSMT]]*Lookups!$B$16</f>
        <v>0</v>
      </c>
      <c r="BK126">
        <f>Grandview_Sales[[#This Row],[garage_sqft]]*Lookups!$B$17</f>
        <v>0</v>
      </c>
      <c r="BL126">
        <f>Grandview_Sales[[#This Row],[Plumbing Fixtures]]*Lookups!$B$18</f>
        <v>10052.209000000001</v>
      </c>
      <c r="BM126">
        <f>Grandview_Sales[[#This Row],[detatched_value]]*Lookups!$B$19</f>
        <v>5758.2746799999995</v>
      </c>
      <c r="BN126">
        <f>Grandview_Sales[[#This Row],[days_prior]]*Lookups!$B$20</f>
        <v>-63692.706599999998</v>
      </c>
      <c r="BO126">
        <f>SUM(Grandview_Sales[[#This Row],[land_value]:[Days Prior To Assessment_value]])</f>
        <v>160677.09088929815</v>
      </c>
      <c r="BP126">
        <f>Grandview_Sales[[#This Row],[predicted_total]]/Grandview_Sales[[#This Row],[sale_price]]</f>
        <v>1.0042318180581136</v>
      </c>
      <c r="BQ126">
        <f>VLOOKUP(Grandview_Sales[[#This Row],[quality]],Lookups!$A$26:$C$33,3,FALSE)</f>
        <v>0.98079741117310582</v>
      </c>
      <c r="BR126">
        <f>VLOOKUP(Grandview_Sales[[#This Row],[condition]],Lookups!$A$37:$C$44,3,FALSE)</f>
        <v>0.97161819570155394</v>
      </c>
      <c r="BS126">
        <f>VLOOKUP(Grandview_Sales[[#This Row],[decade]],Lookups!$F$29:$H$43,3,FALSE)</f>
        <v>0.99472141305414818</v>
      </c>
      <c r="BT126">
        <f>VLOOKUP(Grandview_Sales[[#This Row],[living_area_range]],Lookups!$F$47:$H$56,3,FALSE)</f>
        <v>0.94306777142782894</v>
      </c>
      <c r="BU126">
        <f>Grandview_Sales[[#This Row],[predicted_total]]*AVERAGE(Grandview_Sales[[#This Row],[qual_adj]:[size_adj]])</f>
        <v>156266.69720969835</v>
      </c>
      <c r="BV126">
        <f>Grandview_Sales[[#This Row],[final_total]]/Grandview_Sales[[#This Row],[sale_price]]</f>
        <v>0.97666685756061467</v>
      </c>
      <c r="BW126" s="6">
        <f>(Grandview_Sales[[#This Row],[final_total]]-Grandview_Sales[[#This Row],[sale_price]])^2</f>
        <v>13937549.724074073</v>
      </c>
      <c r="BX126" s="6">
        <f>(Grandview_Sales[[#This Row],[final_total]]-AVERAGE(Grandview_Sales[sale_price]))^2</f>
        <v>22708221397.51482</v>
      </c>
      <c r="BY126" s="6">
        <f>Grandview_Sales[[#This Row],[SSE]]+Grandview_Sales[[#This Row],[SSR]]</f>
        <v>22722158947.238895</v>
      </c>
      <c r="BZ126" s="4">
        <f>ABS(Grandview_Sales[[#This Row],[final_ratio]]-MEDIAN(Grandview_Sales[final_ratio]))</f>
        <v>2.458186179519728E-2</v>
      </c>
    </row>
    <row r="127" spans="1:78" x14ac:dyDescent="0.25">
      <c r="A127">
        <v>23092714446</v>
      </c>
      <c r="B127">
        <v>0.23</v>
      </c>
      <c r="C127">
        <v>10218</v>
      </c>
      <c r="D127">
        <v>0</v>
      </c>
      <c r="E127" t="s">
        <v>53</v>
      </c>
      <c r="F127" t="s">
        <v>53</v>
      </c>
      <c r="G127">
        <v>4</v>
      </c>
      <c r="H127" t="s">
        <v>54</v>
      </c>
      <c r="I127">
        <v>275400</v>
      </c>
      <c r="J127">
        <v>42300</v>
      </c>
      <c r="K127">
        <v>0.23</v>
      </c>
      <c r="L127">
        <v>-1.4696759700590001</v>
      </c>
      <c r="M127">
        <v>0</v>
      </c>
      <c r="N127">
        <v>0</v>
      </c>
      <c r="O127">
        <v>0</v>
      </c>
      <c r="P127">
        <v>13398.7528</v>
      </c>
      <c r="Q127">
        <v>63902.980100000001</v>
      </c>
      <c r="R127">
        <v>44211.155081080004</v>
      </c>
      <c r="S127" t="s">
        <v>58</v>
      </c>
      <c r="T127">
        <v>1</v>
      </c>
      <c r="U127" t="s">
        <v>64</v>
      </c>
      <c r="V127" t="s">
        <v>67</v>
      </c>
      <c r="W127">
        <v>0</v>
      </c>
      <c r="X127">
        <v>0</v>
      </c>
      <c r="Y127">
        <v>29</v>
      </c>
      <c r="Z127">
        <v>29</v>
      </c>
      <c r="AA127">
        <v>30</v>
      </c>
      <c r="AB127">
        <v>1500</v>
      </c>
      <c r="AC127">
        <v>1494</v>
      </c>
      <c r="AD127">
        <v>1494</v>
      </c>
      <c r="AE127">
        <v>0</v>
      </c>
      <c r="AF127">
        <v>0</v>
      </c>
      <c r="AG127">
        <v>0</v>
      </c>
      <c r="AH127">
        <v>528</v>
      </c>
      <c r="AI127">
        <v>0</v>
      </c>
      <c r="AJ127">
        <v>48</v>
      </c>
      <c r="AK127">
        <v>224</v>
      </c>
      <c r="AL127">
        <v>10</v>
      </c>
      <c r="AM127">
        <v>1</v>
      </c>
      <c r="AN127">
        <v>0</v>
      </c>
      <c r="AO127" t="s">
        <v>58</v>
      </c>
      <c r="AP127">
        <v>1</v>
      </c>
      <c r="AQ127" t="s">
        <v>59</v>
      </c>
      <c r="AR127" t="s">
        <v>60</v>
      </c>
      <c r="AS127">
        <v>1</v>
      </c>
      <c r="AT127">
        <v>3</v>
      </c>
      <c r="AU127">
        <v>0</v>
      </c>
      <c r="AV127">
        <v>0</v>
      </c>
      <c r="AW127">
        <v>100</v>
      </c>
      <c r="AX127" s="1">
        <v>44398</v>
      </c>
      <c r="AY127">
        <v>24200</v>
      </c>
      <c r="AZ127">
        <v>288026</v>
      </c>
      <c r="BA127">
        <v>312200</v>
      </c>
      <c r="BB127">
        <v>345000</v>
      </c>
      <c r="BC127">
        <v>529</v>
      </c>
      <c r="BD127">
        <f>Grandview_Sales[[#This Row],[land_extract]]*Lookups!$B$3</f>
        <v>51342.29502553949</v>
      </c>
      <c r="BE127">
        <f>Lookups!$B$2</f>
        <v>155833.95000000001</v>
      </c>
      <c r="BF127">
        <f>VLOOKUP(Grandview_Sales[[#This Row],[quality]],Lookups!$H$2:$J$13,3,FALSE)</f>
        <v>20768</v>
      </c>
      <c r="BG127">
        <f>VLOOKUP(Grandview_Sales[[#This Row],[condition]],Lookups!$H$17:$J$24,3,FALSE)</f>
        <v>22342</v>
      </c>
      <c r="BH127">
        <f>Grandview_Sales[[#This Row],[Eff_Age]]*Lookups!$B$14</f>
        <v>-6935.8314</v>
      </c>
      <c r="BI127">
        <f>Grandview_Sales[[#This Row],[living_area]]*Lookups!$B$15</f>
        <v>93196.994382000004</v>
      </c>
      <c r="BJ127">
        <f>Grandview_Sales[[#This Row],[Fin BSMT]]*Lookups!$B$16</f>
        <v>0</v>
      </c>
      <c r="BK127">
        <f>Grandview_Sales[[#This Row],[garage_sqft]]*Lookups!$B$17</f>
        <v>46210.790736000003</v>
      </c>
      <c r="BL127">
        <f>Grandview_Sales[[#This Row],[Plumbing Fixtures]]*Lookups!$B$18</f>
        <v>20104.418000000001</v>
      </c>
      <c r="BM127">
        <f>Grandview_Sales[[#This Row],[detatched_value]]*Lookups!$B$19</f>
        <v>0</v>
      </c>
      <c r="BN127">
        <f>Grandview_Sales[[#This Row],[days_prior]]*Lookups!$B$20</f>
        <v>-63452.809399999998</v>
      </c>
      <c r="BO127">
        <f>SUM(Grandview_Sales[[#This Row],[land_value]:[Days Prior To Assessment_value]])</f>
        <v>339409.80734353955</v>
      </c>
      <c r="BP127">
        <f>Grandview_Sales[[#This Row],[predicted_total]]/Grandview_Sales[[#This Row],[sale_price]]</f>
        <v>0.98379654302475228</v>
      </c>
      <c r="BQ127">
        <f>VLOOKUP(Grandview_Sales[[#This Row],[quality]],Lookups!$A$26:$C$33,3,FALSE)</f>
        <v>0.94960540378902636</v>
      </c>
      <c r="BR127">
        <f>VLOOKUP(Grandview_Sales[[#This Row],[condition]],Lookups!$A$37:$C$44,3,FALSE)</f>
        <v>0.97383723671140243</v>
      </c>
      <c r="BS127">
        <f>VLOOKUP(Grandview_Sales[[#This Row],[decade]],Lookups!$F$29:$H$43,3,FALSE)</f>
        <v>0.98397821291089549</v>
      </c>
      <c r="BT127">
        <f>VLOOKUP(Grandview_Sales[[#This Row],[living_area_range]],Lookups!$F$47:$H$56,3,FALSE)</f>
        <v>0.96135087979789358</v>
      </c>
      <c r="BU127">
        <f>Grandview_Sales[[#This Row],[predicted_total]]*AVERAGE(Grandview_Sales[[#This Row],[qual_adj]:[size_adj]])</f>
        <v>328274.76715616806</v>
      </c>
      <c r="BV127">
        <f>Grandview_Sales[[#This Row],[final_total]]/Grandview_Sales[[#This Row],[sale_price]]</f>
        <v>0.95152106422077698</v>
      </c>
      <c r="BW127" s="6">
        <f>(Grandview_Sales[[#This Row],[final_total]]-Grandview_Sales[[#This Row],[sale_price]])^2</f>
        <v>279733413.68039459</v>
      </c>
      <c r="BX127" s="6">
        <f>(Grandview_Sales[[#This Row],[final_total]]-AVERAGE(Grandview_Sales[sale_price]))^2</f>
        <v>454354676.20304132</v>
      </c>
      <c r="BY127" s="6">
        <f>Grandview_Sales[[#This Row],[SSE]]+Grandview_Sales[[#This Row],[SSR]]</f>
        <v>734088089.88343596</v>
      </c>
      <c r="BZ127" s="4">
        <f>ABS(Grandview_Sales[[#This Row],[final_ratio]]-MEDIAN(Grandview_Sales[final_ratio]))</f>
        <v>4.9727655135034965E-2</v>
      </c>
    </row>
    <row r="128" spans="1:78" x14ac:dyDescent="0.25">
      <c r="A128">
        <v>23092214404</v>
      </c>
      <c r="B128">
        <v>0.32</v>
      </c>
      <c r="C128">
        <v>13798</v>
      </c>
      <c r="D128">
        <v>0</v>
      </c>
      <c r="E128" t="s">
        <v>53</v>
      </c>
      <c r="F128" t="s">
        <v>53</v>
      </c>
      <c r="G128">
        <v>4</v>
      </c>
      <c r="H128" t="s">
        <v>54</v>
      </c>
      <c r="I128">
        <v>248900</v>
      </c>
      <c r="J128">
        <v>45600</v>
      </c>
      <c r="K128">
        <v>0.32</v>
      </c>
      <c r="L128">
        <v>-1.139434283188</v>
      </c>
      <c r="M128">
        <v>0</v>
      </c>
      <c r="N128">
        <v>0</v>
      </c>
      <c r="O128">
        <v>0</v>
      </c>
      <c r="P128">
        <v>13398.7528</v>
      </c>
      <c r="Q128">
        <v>63902.980100000001</v>
      </c>
      <c r="R128">
        <v>48635.981807714001</v>
      </c>
      <c r="S128" t="s">
        <v>61</v>
      </c>
      <c r="T128">
        <v>1</v>
      </c>
      <c r="U128" t="s">
        <v>65</v>
      </c>
      <c r="V128" t="s">
        <v>69</v>
      </c>
      <c r="W128">
        <v>0</v>
      </c>
      <c r="X128">
        <v>0</v>
      </c>
      <c r="Y128">
        <v>49</v>
      </c>
      <c r="Z128">
        <v>68</v>
      </c>
      <c r="AA128">
        <v>70</v>
      </c>
      <c r="AB128">
        <v>3500</v>
      </c>
      <c r="AC128">
        <v>3329</v>
      </c>
      <c r="AD128">
        <v>1952</v>
      </c>
      <c r="AE128">
        <v>0</v>
      </c>
      <c r="AF128">
        <v>1377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10</v>
      </c>
      <c r="AM128">
        <v>0</v>
      </c>
      <c r="AN128">
        <v>1</v>
      </c>
      <c r="AO128" t="s">
        <v>71</v>
      </c>
      <c r="AP128">
        <v>0</v>
      </c>
      <c r="AQ128" t="s">
        <v>82</v>
      </c>
      <c r="AR128" t="s">
        <v>64</v>
      </c>
      <c r="AS128">
        <v>0</v>
      </c>
      <c r="AT128">
        <v>3</v>
      </c>
      <c r="AU128">
        <v>0</v>
      </c>
      <c r="AV128">
        <v>33400</v>
      </c>
      <c r="AW128">
        <v>100</v>
      </c>
      <c r="AX128" s="1">
        <v>44403</v>
      </c>
      <c r="AY128">
        <v>26100</v>
      </c>
      <c r="AZ128">
        <v>300858</v>
      </c>
      <c r="BA128">
        <v>327000</v>
      </c>
      <c r="BB128">
        <v>340000</v>
      </c>
      <c r="BC128">
        <v>524</v>
      </c>
      <c r="BD128">
        <f>Grandview_Sales[[#This Row],[land_extract]]*Lookups!$B$3</f>
        <v>56480.834356147388</v>
      </c>
      <c r="BE128">
        <f>Lookups!$B$2</f>
        <v>155833.95000000001</v>
      </c>
      <c r="BF128">
        <f>VLOOKUP(Grandview_Sales[[#This Row],[quality]],Lookups!$H$2:$J$13,3,FALSE)</f>
        <v>2251</v>
      </c>
      <c r="BG128">
        <f>VLOOKUP(Grandview_Sales[[#This Row],[condition]],Lookups!$H$17:$J$24,3,FALSE)</f>
        <v>-4503</v>
      </c>
      <c r="BH128">
        <f>Grandview_Sales[[#This Row],[Eff_Age]]*Lookups!$B$14</f>
        <v>-11719.163399999999</v>
      </c>
      <c r="BI128">
        <f>Grandview_Sales[[#This Row],[living_area]]*Lookups!$B$15</f>
        <v>207665.85963700002</v>
      </c>
      <c r="BJ128">
        <f>Grandview_Sales[[#This Row],[Fin BSMT]]*Lookups!$B$16</f>
        <v>-37315.653480000001</v>
      </c>
      <c r="BK128">
        <f>Grandview_Sales[[#This Row],[garage_sqft]]*Lookups!$B$17</f>
        <v>0</v>
      </c>
      <c r="BL128">
        <f>Grandview_Sales[[#This Row],[Plumbing Fixtures]]*Lookups!$B$18</f>
        <v>20104.418000000001</v>
      </c>
      <c r="BM128">
        <f>Grandview_Sales[[#This Row],[detatched_value]]*Lookups!$B$19</f>
        <v>28283.29034</v>
      </c>
      <c r="BN128">
        <f>Grandview_Sales[[#This Row],[days_prior]]*Lookups!$B$20</f>
        <v>-62853.066399999996</v>
      </c>
      <c r="BO128">
        <f>SUM(Grandview_Sales[[#This Row],[land_value]:[Days Prior To Assessment_value]])</f>
        <v>354228.46905314748</v>
      </c>
      <c r="BP128">
        <f>Grandview_Sales[[#This Row],[predicted_total]]/Grandview_Sales[[#This Row],[sale_price]]</f>
        <v>1.0418484383916102</v>
      </c>
      <c r="BQ128">
        <f>VLOOKUP(Grandview_Sales[[#This Row],[quality]],Lookups!$A$26:$C$33,3,FALSE)</f>
        <v>0.98763855981004833</v>
      </c>
      <c r="BR128">
        <f>VLOOKUP(Grandview_Sales[[#This Row],[condition]],Lookups!$A$37:$C$44,3,FALSE)</f>
        <v>0.96469275950863709</v>
      </c>
      <c r="BS128">
        <f>VLOOKUP(Grandview_Sales[[#This Row],[decade]],Lookups!$F$29:$H$43,3,FALSE)</f>
        <v>0.99472141305414818</v>
      </c>
      <c r="BT128">
        <f>VLOOKUP(Grandview_Sales[[#This Row],[living_area_range]],Lookups!$F$47:$H$56,3,FALSE)</f>
        <v>1.0170112215140563</v>
      </c>
      <c r="BU128">
        <f>Grandview_Sales[[#This Row],[predicted_total]]*AVERAGE(Grandview_Sales[[#This Row],[qual_adj]:[size_adj]])</f>
        <v>351046.07640352991</v>
      </c>
      <c r="BV128">
        <f>Grandview_Sales[[#This Row],[final_total]]/Grandview_Sales[[#This Row],[sale_price]]</f>
        <v>1.0324884600103821</v>
      </c>
      <c r="BW128" s="6">
        <f>(Grandview_Sales[[#This Row],[final_total]]-Grandview_Sales[[#This Row],[sale_price]])^2</f>
        <v>122015803.9126202</v>
      </c>
      <c r="BX128" s="6">
        <f>(Grandview_Sales[[#This Row],[final_total]]-AVERAGE(Grandview_Sales[sale_price]))^2</f>
        <v>1943655303.9872446</v>
      </c>
      <c r="BY128" s="6">
        <f>Grandview_Sales[[#This Row],[SSE]]+Grandview_Sales[[#This Row],[SSR]]</f>
        <v>2065671107.8998649</v>
      </c>
      <c r="BZ128" s="4">
        <f>ABS(Grandview_Sales[[#This Row],[final_ratio]]-MEDIAN(Grandview_Sales[final_ratio]))</f>
        <v>3.1239740654570136E-2</v>
      </c>
    </row>
    <row r="129" spans="1:78" x14ac:dyDescent="0.25">
      <c r="A129">
        <v>23092621401</v>
      </c>
      <c r="B129">
        <v>0</v>
      </c>
      <c r="C129">
        <v>9891</v>
      </c>
      <c r="D129">
        <v>0</v>
      </c>
      <c r="E129" t="s">
        <v>53</v>
      </c>
      <c r="F129" t="s">
        <v>53</v>
      </c>
      <c r="G129">
        <v>4</v>
      </c>
      <c r="H129" t="s">
        <v>54</v>
      </c>
      <c r="I129">
        <v>416300</v>
      </c>
      <c r="J129">
        <v>39700</v>
      </c>
      <c r="K129">
        <v>0.23</v>
      </c>
      <c r="L129">
        <v>-1.4696759700590001</v>
      </c>
      <c r="M129">
        <v>0</v>
      </c>
      <c r="N129">
        <v>0</v>
      </c>
      <c r="O129">
        <v>0</v>
      </c>
      <c r="P129">
        <v>13398.7528</v>
      </c>
      <c r="Q129">
        <v>63902.980100000001</v>
      </c>
      <c r="R129">
        <v>44211.155081080004</v>
      </c>
      <c r="S129" t="s">
        <v>55</v>
      </c>
      <c r="T129">
        <v>2</v>
      </c>
      <c r="U129" t="s">
        <v>64</v>
      </c>
      <c r="V129" t="s">
        <v>57</v>
      </c>
      <c r="W129">
        <v>0</v>
      </c>
      <c r="X129">
        <v>0</v>
      </c>
      <c r="Y129">
        <v>2</v>
      </c>
      <c r="Z129">
        <v>2</v>
      </c>
      <c r="AA129">
        <v>0</v>
      </c>
      <c r="AB129">
        <v>3000</v>
      </c>
      <c r="AC129">
        <v>2984</v>
      </c>
      <c r="AD129">
        <v>1876</v>
      </c>
      <c r="AE129">
        <v>1108</v>
      </c>
      <c r="AF129">
        <v>0</v>
      </c>
      <c r="AG129">
        <v>0</v>
      </c>
      <c r="AH129">
        <v>704</v>
      </c>
      <c r="AI129">
        <v>0</v>
      </c>
      <c r="AJ129">
        <v>0</v>
      </c>
      <c r="AK129">
        <v>0</v>
      </c>
      <c r="AL129">
        <v>12</v>
      </c>
      <c r="AM129">
        <v>0</v>
      </c>
      <c r="AN129">
        <v>0</v>
      </c>
      <c r="AO129" t="s">
        <v>58</v>
      </c>
      <c r="AP129">
        <v>1</v>
      </c>
      <c r="AQ129" t="s">
        <v>63</v>
      </c>
      <c r="AR129" t="s">
        <v>64</v>
      </c>
      <c r="AS129">
        <v>1</v>
      </c>
      <c r="AT129">
        <v>4</v>
      </c>
      <c r="AU129">
        <v>0</v>
      </c>
      <c r="AV129">
        <v>0</v>
      </c>
      <c r="AW129">
        <v>100</v>
      </c>
      <c r="AX129" s="1">
        <v>44404</v>
      </c>
      <c r="AY129">
        <v>22700</v>
      </c>
      <c r="AZ129">
        <v>495407</v>
      </c>
      <c r="BA129">
        <v>518100</v>
      </c>
      <c r="BB129">
        <v>436153</v>
      </c>
      <c r="BC129">
        <v>523</v>
      </c>
      <c r="BD129">
        <f>Grandview_Sales[[#This Row],[land_extract]]*Lookups!$B$3</f>
        <v>51342.29502553949</v>
      </c>
      <c r="BE129">
        <f>Lookups!$B$2</f>
        <v>155833.95000000001</v>
      </c>
      <c r="BF129">
        <f>VLOOKUP(Grandview_Sales[[#This Row],[quality]],Lookups!$H$2:$J$13,3,FALSE)</f>
        <v>20768</v>
      </c>
      <c r="BG129">
        <f>VLOOKUP(Grandview_Sales[[#This Row],[condition]],Lookups!$H$17:$J$24,3,FALSE)</f>
        <v>25780</v>
      </c>
      <c r="BH129">
        <f>Grandview_Sales[[#This Row],[Eff_Age]]*Lookups!$B$14</f>
        <v>-478.33319999999998</v>
      </c>
      <c r="BI129">
        <f>Grandview_Sales[[#This Row],[living_area]]*Lookups!$B$15</f>
        <v>186144.465352</v>
      </c>
      <c r="BJ129">
        <f>Grandview_Sales[[#This Row],[Fin BSMT]]*Lookups!$B$16</f>
        <v>0</v>
      </c>
      <c r="BK129">
        <f>Grandview_Sales[[#This Row],[garage_sqft]]*Lookups!$B$17</f>
        <v>61614.387648000004</v>
      </c>
      <c r="BL129">
        <f>Grandview_Sales[[#This Row],[Plumbing Fixtures]]*Lookups!$B$18</f>
        <v>24125.301599999999</v>
      </c>
      <c r="BM129">
        <f>Grandview_Sales[[#This Row],[detatched_value]]*Lookups!$B$19</f>
        <v>0</v>
      </c>
      <c r="BN129">
        <f>Grandview_Sales[[#This Row],[days_prior]]*Lookups!$B$20</f>
        <v>-62733.1178</v>
      </c>
      <c r="BO129">
        <f>SUM(Grandview_Sales[[#This Row],[land_value]:[Days Prior To Assessment_value]])</f>
        <v>462396.94862553955</v>
      </c>
      <c r="BP129">
        <f>Grandview_Sales[[#This Row],[predicted_total]]/Grandview_Sales[[#This Row],[sale_price]]</f>
        <v>1.0601714275163521</v>
      </c>
      <c r="BQ129">
        <f>VLOOKUP(Grandview_Sales[[#This Row],[quality]],Lookups!$A$26:$C$33,3,FALSE)</f>
        <v>0.94960540378902636</v>
      </c>
      <c r="BR129">
        <f>VLOOKUP(Grandview_Sales[[#This Row],[condition]],Lookups!$A$37:$C$44,3,FALSE)</f>
        <v>0.94347925387812148</v>
      </c>
      <c r="BS129">
        <f>VLOOKUP(Grandview_Sales[[#This Row],[decade]],Lookups!$F$29:$H$43,3,FALSE)</f>
        <v>0.9413635517371044</v>
      </c>
      <c r="BT129">
        <f>VLOOKUP(Grandview_Sales[[#This Row],[living_area_range]],Lookups!$F$47:$H$56,3,FALSE)</f>
        <v>0.94224801443562123</v>
      </c>
      <c r="BU129">
        <f>Grandview_Sales[[#This Row],[predicted_total]]*AVERAGE(Grandview_Sales[[#This Row],[qual_adj]:[size_adj]])</f>
        <v>436583.20244728879</v>
      </c>
      <c r="BV129">
        <f>Grandview_Sales[[#This Row],[final_total]]/Grandview_Sales[[#This Row],[sale_price]]</f>
        <v>1.0009863567309838</v>
      </c>
      <c r="BW129" s="6">
        <f>(Grandview_Sales[[#This Row],[final_total]]-Grandview_Sales[[#This Row],[sale_price]])^2</f>
        <v>185074.14565326076</v>
      </c>
      <c r="BX129" s="6">
        <f>(Grandview_Sales[[#This Row],[final_total]]-AVERAGE(Grandview_Sales[sale_price]))^2</f>
        <v>16802389751.889103</v>
      </c>
      <c r="BY129" s="6">
        <f>Grandview_Sales[[#This Row],[SSE]]+Grandview_Sales[[#This Row],[SSR]]</f>
        <v>16802574826.034756</v>
      </c>
      <c r="BZ129" s="4">
        <f>ABS(Grandview_Sales[[#This Row],[final_ratio]]-MEDIAN(Grandview_Sales[final_ratio]))</f>
        <v>2.6236262482814965E-4</v>
      </c>
    </row>
    <row r="130" spans="1:78" x14ac:dyDescent="0.25">
      <c r="A130">
        <v>23092621416</v>
      </c>
      <c r="B130">
        <v>0</v>
      </c>
      <c r="C130">
        <v>8250</v>
      </c>
      <c r="D130">
        <v>0</v>
      </c>
      <c r="E130" t="s">
        <v>53</v>
      </c>
      <c r="F130" t="s">
        <v>53</v>
      </c>
      <c r="G130">
        <v>4</v>
      </c>
      <c r="H130" t="s">
        <v>54</v>
      </c>
      <c r="I130">
        <v>241700</v>
      </c>
      <c r="J130">
        <v>39100</v>
      </c>
      <c r="K130">
        <v>0.19</v>
      </c>
      <c r="L130">
        <v>-1.6607312068219999</v>
      </c>
      <c r="M130">
        <v>0</v>
      </c>
      <c r="N130">
        <v>0</v>
      </c>
      <c r="O130">
        <v>0</v>
      </c>
      <c r="P130">
        <v>13398.7528</v>
      </c>
      <c r="Q130">
        <v>63902.980100000001</v>
      </c>
      <c r="R130">
        <v>41651.253192550997</v>
      </c>
      <c r="S130" t="s">
        <v>61</v>
      </c>
      <c r="T130">
        <v>1</v>
      </c>
      <c r="U130" t="s">
        <v>62</v>
      </c>
      <c r="V130" t="s">
        <v>57</v>
      </c>
      <c r="W130">
        <v>0</v>
      </c>
      <c r="X130">
        <v>0</v>
      </c>
      <c r="Y130">
        <v>2</v>
      </c>
      <c r="Z130">
        <v>2</v>
      </c>
      <c r="AA130">
        <v>0</v>
      </c>
      <c r="AB130">
        <v>1500</v>
      </c>
      <c r="AC130">
        <v>1378</v>
      </c>
      <c r="AD130">
        <v>1378</v>
      </c>
      <c r="AE130">
        <v>0</v>
      </c>
      <c r="AF130">
        <v>0</v>
      </c>
      <c r="AG130">
        <v>0</v>
      </c>
      <c r="AH130">
        <v>400</v>
      </c>
      <c r="AI130">
        <v>0</v>
      </c>
      <c r="AJ130">
        <v>0</v>
      </c>
      <c r="AK130">
        <v>0</v>
      </c>
      <c r="AL130">
        <v>9</v>
      </c>
      <c r="AM130">
        <v>0</v>
      </c>
      <c r="AN130">
        <v>0</v>
      </c>
      <c r="AO130" t="s">
        <v>58</v>
      </c>
      <c r="AP130">
        <v>1</v>
      </c>
      <c r="AQ130" t="s">
        <v>63</v>
      </c>
      <c r="AR130" t="s">
        <v>64</v>
      </c>
      <c r="AS130">
        <v>1</v>
      </c>
      <c r="AT130">
        <v>3</v>
      </c>
      <c r="AU130">
        <v>0</v>
      </c>
      <c r="AV130">
        <v>0</v>
      </c>
      <c r="AW130">
        <v>100</v>
      </c>
      <c r="AX130" s="1">
        <v>44413</v>
      </c>
      <c r="AY130">
        <v>22400</v>
      </c>
      <c r="AZ130">
        <v>245628</v>
      </c>
      <c r="BA130">
        <v>268000</v>
      </c>
      <c r="BB130">
        <v>266320</v>
      </c>
      <c r="BC130">
        <v>514</v>
      </c>
      <c r="BD130">
        <f>Grandview_Sales[[#This Row],[land_extract]]*Lookups!$B$3</f>
        <v>48369.487874125851</v>
      </c>
      <c r="BE130">
        <f>Lookups!$B$2</f>
        <v>155833.95000000001</v>
      </c>
      <c r="BF130">
        <f>VLOOKUP(Grandview_Sales[[#This Row],[quality]],Lookups!$H$2:$J$13,3,FALSE)</f>
        <v>9808</v>
      </c>
      <c r="BG130">
        <f>VLOOKUP(Grandview_Sales[[#This Row],[condition]],Lookups!$H$17:$J$24,3,FALSE)</f>
        <v>25780</v>
      </c>
      <c r="BH130">
        <f>Grandview_Sales[[#This Row],[Eff_Age]]*Lookups!$B$14</f>
        <v>-478.33319999999998</v>
      </c>
      <c r="BI130">
        <f>Grandview_Sales[[#This Row],[living_area]]*Lookups!$B$15</f>
        <v>85960.815434000004</v>
      </c>
      <c r="BJ130">
        <f>Grandview_Sales[[#This Row],[Fin BSMT]]*Lookups!$B$16</f>
        <v>0</v>
      </c>
      <c r="BK130">
        <f>Grandview_Sales[[#This Row],[garage_sqft]]*Lookups!$B$17</f>
        <v>35008.174800000001</v>
      </c>
      <c r="BL130">
        <f>Grandview_Sales[[#This Row],[Plumbing Fixtures]]*Lookups!$B$18</f>
        <v>18093.976200000001</v>
      </c>
      <c r="BM130">
        <f>Grandview_Sales[[#This Row],[detatched_value]]*Lookups!$B$19</f>
        <v>0</v>
      </c>
      <c r="BN130">
        <f>Grandview_Sales[[#This Row],[days_prior]]*Lookups!$B$20</f>
        <v>-61653.580399999999</v>
      </c>
      <c r="BO130">
        <f>SUM(Grandview_Sales[[#This Row],[land_value]:[Days Prior To Assessment_value]])</f>
        <v>316722.49070812587</v>
      </c>
      <c r="BP130">
        <f>Grandview_Sales[[#This Row],[predicted_total]]/Grandview_Sales[[#This Row],[sale_price]]</f>
        <v>1.1892553721392531</v>
      </c>
      <c r="BQ130">
        <f>VLOOKUP(Grandview_Sales[[#This Row],[quality]],Lookups!$A$26:$C$33,3,FALSE)</f>
        <v>0.94295468617355149</v>
      </c>
      <c r="BR130">
        <f>VLOOKUP(Grandview_Sales[[#This Row],[condition]],Lookups!$A$37:$C$44,3,FALSE)</f>
        <v>0.94347925387812148</v>
      </c>
      <c r="BS130">
        <f>VLOOKUP(Grandview_Sales[[#This Row],[decade]],Lookups!$F$29:$H$43,3,FALSE)</f>
        <v>0.9413635517371044</v>
      </c>
      <c r="BT130">
        <f>VLOOKUP(Grandview_Sales[[#This Row],[living_area_range]],Lookups!$F$47:$H$56,3,FALSE)</f>
        <v>0.96135087979789358</v>
      </c>
      <c r="BU130">
        <f>Grandview_Sales[[#This Row],[predicted_total]]*AVERAGE(Grandview_Sales[[#This Row],[qual_adj]:[size_adj]])</f>
        <v>300027.12747789238</v>
      </c>
      <c r="BV130">
        <f>Grandview_Sales[[#This Row],[final_total]]/Grandview_Sales[[#This Row],[sale_price]]</f>
        <v>1.1265662641855376</v>
      </c>
      <c r="BW130" s="6">
        <f>(Grandview_Sales[[#This Row],[final_total]]-Grandview_Sales[[#This Row],[sale_price]])^2</f>
        <v>1136170442.8108878</v>
      </c>
      <c r="BX130" s="6">
        <f>(Grandview_Sales[[#This Row],[final_total]]-AVERAGE(Grandview_Sales[sale_price]))^2</f>
        <v>48053215.453875333</v>
      </c>
      <c r="BY130" s="6">
        <f>Grandview_Sales[[#This Row],[SSE]]+Grandview_Sales[[#This Row],[SSR]]</f>
        <v>1184223658.2647631</v>
      </c>
      <c r="BZ130" s="4">
        <f>ABS(Grandview_Sales[[#This Row],[final_ratio]]-MEDIAN(Grandview_Sales[final_ratio]))</f>
        <v>0.12531754482972568</v>
      </c>
    </row>
    <row r="131" spans="1:78" x14ac:dyDescent="0.25">
      <c r="A131">
        <v>23092621430</v>
      </c>
      <c r="B131">
        <v>0</v>
      </c>
      <c r="C131">
        <v>10255</v>
      </c>
      <c r="D131">
        <v>0</v>
      </c>
      <c r="E131" t="s">
        <v>53</v>
      </c>
      <c r="F131" t="s">
        <v>53</v>
      </c>
      <c r="G131">
        <v>4</v>
      </c>
      <c r="H131" t="s">
        <v>54</v>
      </c>
      <c r="I131">
        <v>328400</v>
      </c>
      <c r="J131">
        <v>39700</v>
      </c>
      <c r="K131">
        <v>0.24</v>
      </c>
      <c r="L131">
        <v>-1.4271163556399999</v>
      </c>
      <c r="M131">
        <v>0</v>
      </c>
      <c r="N131">
        <v>0</v>
      </c>
      <c r="O131">
        <v>0</v>
      </c>
      <c r="P131">
        <v>13398.7528</v>
      </c>
      <c r="Q131">
        <v>63902.980100000001</v>
      </c>
      <c r="R131">
        <v>44781.400833940999</v>
      </c>
      <c r="S131" t="s">
        <v>58</v>
      </c>
      <c r="T131">
        <v>2</v>
      </c>
      <c r="U131" t="s">
        <v>62</v>
      </c>
      <c r="V131" t="s">
        <v>57</v>
      </c>
      <c r="W131">
        <v>0</v>
      </c>
      <c r="X131">
        <v>0</v>
      </c>
      <c r="Y131">
        <v>2</v>
      </c>
      <c r="Z131">
        <v>2</v>
      </c>
      <c r="AA131">
        <v>0</v>
      </c>
      <c r="AB131">
        <v>2500</v>
      </c>
      <c r="AC131">
        <v>2435</v>
      </c>
      <c r="AD131">
        <v>1161</v>
      </c>
      <c r="AE131">
        <v>1274</v>
      </c>
      <c r="AF131">
        <v>0</v>
      </c>
      <c r="AG131">
        <v>0</v>
      </c>
      <c r="AH131">
        <v>787</v>
      </c>
      <c r="AI131">
        <v>0</v>
      </c>
      <c r="AJ131">
        <v>0</v>
      </c>
      <c r="AK131">
        <v>182</v>
      </c>
      <c r="AL131">
        <v>12</v>
      </c>
      <c r="AM131">
        <v>0</v>
      </c>
      <c r="AN131">
        <v>0</v>
      </c>
      <c r="AO131" t="s">
        <v>58</v>
      </c>
      <c r="AP131">
        <v>1</v>
      </c>
      <c r="AQ131" t="s">
        <v>63</v>
      </c>
      <c r="AR131" t="s">
        <v>64</v>
      </c>
      <c r="AS131">
        <v>1</v>
      </c>
      <c r="AT131">
        <v>4</v>
      </c>
      <c r="AU131">
        <v>0</v>
      </c>
      <c r="AV131">
        <v>0</v>
      </c>
      <c r="AW131">
        <v>100</v>
      </c>
      <c r="AX131" s="1">
        <v>44414</v>
      </c>
      <c r="AY131">
        <v>22700</v>
      </c>
      <c r="AZ131">
        <v>381687</v>
      </c>
      <c r="BA131">
        <v>404400</v>
      </c>
      <c r="BB131">
        <v>445072</v>
      </c>
      <c r="BC131">
        <v>513</v>
      </c>
      <c r="BD131">
        <f>Grandview_Sales[[#This Row],[land_extract]]*Lookups!$B$3</f>
        <v>52004.519878673433</v>
      </c>
      <c r="BE131">
        <f>Lookups!$B$2</f>
        <v>155833.95000000001</v>
      </c>
      <c r="BF131">
        <f>VLOOKUP(Grandview_Sales[[#This Row],[quality]],Lookups!$H$2:$J$13,3,FALSE)</f>
        <v>9808</v>
      </c>
      <c r="BG131">
        <f>VLOOKUP(Grandview_Sales[[#This Row],[condition]],Lookups!$H$17:$J$24,3,FALSE)</f>
        <v>25780</v>
      </c>
      <c r="BH131">
        <f>Grandview_Sales[[#This Row],[Eff_Age]]*Lookups!$B$14</f>
        <v>-478.33319999999998</v>
      </c>
      <c r="BI131">
        <f>Grandview_Sales[[#This Row],[living_area]]*Lookups!$B$15</f>
        <v>151897.37705500002</v>
      </c>
      <c r="BJ131">
        <f>Grandview_Sales[[#This Row],[Fin BSMT]]*Lookups!$B$16</f>
        <v>0</v>
      </c>
      <c r="BK131">
        <f>Grandview_Sales[[#This Row],[garage_sqft]]*Lookups!$B$17</f>
        <v>68878.583918999997</v>
      </c>
      <c r="BL131">
        <f>Grandview_Sales[[#This Row],[Plumbing Fixtures]]*Lookups!$B$18</f>
        <v>24125.301599999999</v>
      </c>
      <c r="BM131">
        <f>Grandview_Sales[[#This Row],[detatched_value]]*Lookups!$B$19</f>
        <v>0</v>
      </c>
      <c r="BN131">
        <f>Grandview_Sales[[#This Row],[days_prior]]*Lookups!$B$20</f>
        <v>-61533.631800000003</v>
      </c>
      <c r="BO131">
        <f>SUM(Grandview_Sales[[#This Row],[land_value]:[Days Prior To Assessment_value]])</f>
        <v>426315.76745267352</v>
      </c>
      <c r="BP131">
        <f>Grandview_Sales[[#This Row],[predicted_total]]/Grandview_Sales[[#This Row],[sale_price]]</f>
        <v>0.9578579812989213</v>
      </c>
      <c r="BQ131">
        <f>VLOOKUP(Grandview_Sales[[#This Row],[quality]],Lookups!$A$26:$C$33,3,FALSE)</f>
        <v>0.94295468617355149</v>
      </c>
      <c r="BR131">
        <f>VLOOKUP(Grandview_Sales[[#This Row],[condition]],Lookups!$A$37:$C$44,3,FALSE)</f>
        <v>0.94347925387812148</v>
      </c>
      <c r="BS131">
        <f>VLOOKUP(Grandview_Sales[[#This Row],[decade]],Lookups!$F$29:$H$43,3,FALSE)</f>
        <v>0.9413635517371044</v>
      </c>
      <c r="BT131">
        <f>VLOOKUP(Grandview_Sales[[#This Row],[living_area_range]],Lookups!$F$47:$H$56,3,FALSE)</f>
        <v>0.95799442568048754</v>
      </c>
      <c r="BU131">
        <f>Grandview_Sales[[#This Row],[predicted_total]]*AVERAGE(Grandview_Sales[[#This Row],[qual_adj]:[size_adj]])</f>
        <v>403485.69667800952</v>
      </c>
      <c r="BV131">
        <f>Grandview_Sales[[#This Row],[final_total]]/Grandview_Sales[[#This Row],[sale_price]]</f>
        <v>0.90656275092122063</v>
      </c>
      <c r="BW131" s="6">
        <f>(Grandview_Sales[[#This Row],[final_total]]-Grandview_Sales[[#This Row],[sale_price]])^2</f>
        <v>1729420623.988596</v>
      </c>
      <c r="BX131" s="6">
        <f>(Grandview_Sales[[#This Row],[final_total]]-AVERAGE(Grandview_Sales[sale_price]))^2</f>
        <v>9317370325.7075634</v>
      </c>
      <c r="BY131" s="6">
        <f>Grandview_Sales[[#This Row],[SSE]]+Grandview_Sales[[#This Row],[SSR]]</f>
        <v>11046790949.696159</v>
      </c>
      <c r="BZ131" s="4">
        <f>ABS(Grandview_Sales[[#This Row],[final_ratio]]-MEDIAN(Grandview_Sales[final_ratio]))</f>
        <v>9.4685968434591317E-2</v>
      </c>
    </row>
    <row r="132" spans="1:78" x14ac:dyDescent="0.25">
      <c r="A132">
        <v>23092621414</v>
      </c>
      <c r="B132">
        <v>0</v>
      </c>
      <c r="C132">
        <v>8250</v>
      </c>
      <c r="D132">
        <v>0</v>
      </c>
      <c r="E132" t="s">
        <v>53</v>
      </c>
      <c r="F132" t="s">
        <v>53</v>
      </c>
      <c r="G132">
        <v>4</v>
      </c>
      <c r="H132" t="s">
        <v>54</v>
      </c>
      <c r="I132">
        <v>246100</v>
      </c>
      <c r="J132">
        <v>39100</v>
      </c>
      <c r="K132">
        <v>0.19</v>
      </c>
      <c r="L132">
        <v>-1.6607312068219999</v>
      </c>
      <c r="M132">
        <v>0</v>
      </c>
      <c r="N132">
        <v>0</v>
      </c>
      <c r="O132">
        <v>0</v>
      </c>
      <c r="P132">
        <v>13398.7528</v>
      </c>
      <c r="Q132">
        <v>63902.980100000001</v>
      </c>
      <c r="R132">
        <v>41651.253192550997</v>
      </c>
      <c r="S132" t="s">
        <v>61</v>
      </c>
      <c r="T132">
        <v>1</v>
      </c>
      <c r="U132" t="s">
        <v>62</v>
      </c>
      <c r="V132" t="s">
        <v>57</v>
      </c>
      <c r="W132">
        <v>0</v>
      </c>
      <c r="X132">
        <v>0</v>
      </c>
      <c r="Y132">
        <v>2</v>
      </c>
      <c r="Z132">
        <v>2</v>
      </c>
      <c r="AA132">
        <v>0</v>
      </c>
      <c r="AB132">
        <v>1500</v>
      </c>
      <c r="AC132">
        <v>1459</v>
      </c>
      <c r="AD132">
        <v>1459</v>
      </c>
      <c r="AE132">
        <v>0</v>
      </c>
      <c r="AF132">
        <v>0</v>
      </c>
      <c r="AG132">
        <v>0</v>
      </c>
      <c r="AH132">
        <v>400</v>
      </c>
      <c r="AI132">
        <v>0</v>
      </c>
      <c r="AJ132">
        <v>0</v>
      </c>
      <c r="AK132">
        <v>0</v>
      </c>
      <c r="AL132">
        <v>9</v>
      </c>
      <c r="AM132">
        <v>0</v>
      </c>
      <c r="AN132">
        <v>0</v>
      </c>
      <c r="AO132" t="s">
        <v>58</v>
      </c>
      <c r="AP132">
        <v>1</v>
      </c>
      <c r="AQ132" t="s">
        <v>63</v>
      </c>
      <c r="AR132" t="s">
        <v>64</v>
      </c>
      <c r="AS132">
        <v>1</v>
      </c>
      <c r="AT132">
        <v>3</v>
      </c>
      <c r="AU132">
        <v>0</v>
      </c>
      <c r="AV132">
        <v>0</v>
      </c>
      <c r="AW132">
        <v>100</v>
      </c>
      <c r="AX132" s="1">
        <v>44417</v>
      </c>
      <c r="AY132">
        <v>22400</v>
      </c>
      <c r="AZ132">
        <v>256559</v>
      </c>
      <c r="BA132">
        <v>279000</v>
      </c>
      <c r="BB132">
        <v>270470</v>
      </c>
      <c r="BC132">
        <v>510</v>
      </c>
      <c r="BD132">
        <f>Grandview_Sales[[#This Row],[land_extract]]*Lookups!$B$3</f>
        <v>48369.487874125851</v>
      </c>
      <c r="BE132">
        <f>Lookups!$B$2</f>
        <v>155833.95000000001</v>
      </c>
      <c r="BF132">
        <f>VLOOKUP(Grandview_Sales[[#This Row],[quality]],Lookups!$H$2:$J$13,3,FALSE)</f>
        <v>9808</v>
      </c>
      <c r="BG132">
        <f>VLOOKUP(Grandview_Sales[[#This Row],[condition]],Lookups!$H$17:$J$24,3,FALSE)</f>
        <v>25780</v>
      </c>
      <c r="BH132">
        <f>Grandview_Sales[[#This Row],[Eff_Age]]*Lookups!$B$14</f>
        <v>-478.33319999999998</v>
      </c>
      <c r="BI132">
        <f>Grandview_Sales[[#This Row],[living_area]]*Lookups!$B$15</f>
        <v>91013.664527000001</v>
      </c>
      <c r="BJ132">
        <f>Grandview_Sales[[#This Row],[Fin BSMT]]*Lookups!$B$16</f>
        <v>0</v>
      </c>
      <c r="BK132">
        <f>Grandview_Sales[[#This Row],[garage_sqft]]*Lookups!$B$17</f>
        <v>35008.174800000001</v>
      </c>
      <c r="BL132">
        <f>Grandview_Sales[[#This Row],[Plumbing Fixtures]]*Lookups!$B$18</f>
        <v>18093.976200000001</v>
      </c>
      <c r="BM132">
        <f>Grandview_Sales[[#This Row],[detatched_value]]*Lookups!$B$19</f>
        <v>0</v>
      </c>
      <c r="BN132">
        <f>Grandview_Sales[[#This Row],[days_prior]]*Lookups!$B$20</f>
        <v>-61173.786</v>
      </c>
      <c r="BO132">
        <f>SUM(Grandview_Sales[[#This Row],[land_value]:[Days Prior To Assessment_value]])</f>
        <v>322255.13420112582</v>
      </c>
      <c r="BP132">
        <f>Grandview_Sales[[#This Row],[predicted_total]]/Grandview_Sales[[#This Row],[sale_price]]</f>
        <v>1.1914635050139601</v>
      </c>
      <c r="BQ132">
        <f>VLOOKUP(Grandview_Sales[[#This Row],[quality]],Lookups!$A$26:$C$33,3,FALSE)</f>
        <v>0.94295468617355149</v>
      </c>
      <c r="BR132">
        <f>VLOOKUP(Grandview_Sales[[#This Row],[condition]],Lookups!$A$37:$C$44,3,FALSE)</f>
        <v>0.94347925387812148</v>
      </c>
      <c r="BS132">
        <f>VLOOKUP(Grandview_Sales[[#This Row],[decade]],Lookups!$F$29:$H$43,3,FALSE)</f>
        <v>0.9413635517371044</v>
      </c>
      <c r="BT132">
        <f>VLOOKUP(Grandview_Sales[[#This Row],[living_area_range]],Lookups!$F$47:$H$56,3,FALSE)</f>
        <v>0.96135087979789358</v>
      </c>
      <c r="BU132">
        <f>Grandview_Sales[[#This Row],[predicted_total]]*AVERAGE(Grandview_Sales[[#This Row],[qual_adj]:[size_adj]])</f>
        <v>305268.12924841</v>
      </c>
      <c r="BV132">
        <f>Grandview_Sales[[#This Row],[final_total]]/Grandview_Sales[[#This Row],[sale_price]]</f>
        <v>1.1286579999571487</v>
      </c>
      <c r="BW132" s="6">
        <f>(Grandview_Sales[[#This Row],[final_total]]-Grandview_Sales[[#This Row],[sale_price]])^2</f>
        <v>1210909799.1890473</v>
      </c>
      <c r="BX132" s="6">
        <f>(Grandview_Sales[[#This Row],[final_total]]-AVERAGE(Grandview_Sales[sale_price]))^2</f>
        <v>2859619.2932715975</v>
      </c>
      <c r="BY132" s="6">
        <f>Grandview_Sales[[#This Row],[SSE]]+Grandview_Sales[[#This Row],[SSR]]</f>
        <v>1213769418.4823189</v>
      </c>
      <c r="BZ132" s="4">
        <f>ABS(Grandview_Sales[[#This Row],[final_ratio]]-MEDIAN(Grandview_Sales[final_ratio]))</f>
        <v>0.12740928060133672</v>
      </c>
    </row>
    <row r="133" spans="1:78" x14ac:dyDescent="0.25">
      <c r="A133">
        <v>23092243401</v>
      </c>
      <c r="B133">
        <v>0.11</v>
      </c>
      <c r="C133">
        <v>4612</v>
      </c>
      <c r="D133">
        <v>0</v>
      </c>
      <c r="E133" t="s">
        <v>53</v>
      </c>
      <c r="F133" t="s">
        <v>53</v>
      </c>
      <c r="G133">
        <v>4</v>
      </c>
      <c r="H133" t="s">
        <v>54</v>
      </c>
      <c r="I133">
        <v>159600</v>
      </c>
      <c r="J133">
        <v>41600</v>
      </c>
      <c r="K133">
        <v>0.11</v>
      </c>
      <c r="L133">
        <v>-2.20727491319</v>
      </c>
      <c r="M133">
        <v>0</v>
      </c>
      <c r="N133">
        <v>0</v>
      </c>
      <c r="O133">
        <v>0</v>
      </c>
      <c r="P133">
        <v>13398.7528</v>
      </c>
      <c r="Q133">
        <v>63902.980100000001</v>
      </c>
      <c r="R133">
        <v>34328.24917653</v>
      </c>
      <c r="S133" t="s">
        <v>68</v>
      </c>
      <c r="T133">
        <v>1</v>
      </c>
      <c r="U133" t="s">
        <v>70</v>
      </c>
      <c r="V133" t="s">
        <v>69</v>
      </c>
      <c r="W133">
        <v>0</v>
      </c>
      <c r="X133">
        <v>0</v>
      </c>
      <c r="Y133">
        <v>53</v>
      </c>
      <c r="Z133">
        <v>93</v>
      </c>
      <c r="AA133">
        <v>90</v>
      </c>
      <c r="AB133">
        <v>1500</v>
      </c>
      <c r="AC133">
        <v>1428</v>
      </c>
      <c r="AD133">
        <v>1428</v>
      </c>
      <c r="AE133">
        <v>0</v>
      </c>
      <c r="AF133">
        <v>0</v>
      </c>
      <c r="AG133">
        <v>0</v>
      </c>
      <c r="AH133">
        <v>0</v>
      </c>
      <c r="AI133">
        <v>368</v>
      </c>
      <c r="AJ133">
        <v>0</v>
      </c>
      <c r="AK133">
        <v>0</v>
      </c>
      <c r="AL133">
        <v>5</v>
      </c>
      <c r="AM133">
        <v>0</v>
      </c>
      <c r="AN133">
        <v>0</v>
      </c>
      <c r="AO133" t="s">
        <v>58</v>
      </c>
      <c r="AP133">
        <v>1</v>
      </c>
      <c r="AQ133" t="s">
        <v>79</v>
      </c>
      <c r="AR133" t="s">
        <v>60</v>
      </c>
      <c r="AS133">
        <v>0</v>
      </c>
      <c r="AT133">
        <v>3</v>
      </c>
      <c r="AU133">
        <v>0</v>
      </c>
      <c r="AV133">
        <v>0</v>
      </c>
      <c r="AW133">
        <v>100</v>
      </c>
      <c r="AX133" s="1">
        <v>44417</v>
      </c>
      <c r="AY133">
        <v>23800</v>
      </c>
      <c r="AZ133">
        <v>122239</v>
      </c>
      <c r="BA133">
        <v>146000</v>
      </c>
      <c r="BB133">
        <v>265000</v>
      </c>
      <c r="BC133">
        <v>510</v>
      </c>
      <c r="BD133">
        <f>Grandview_Sales[[#This Row],[land_extract]]*Lookups!$B$3</f>
        <v>39865.303082431514</v>
      </c>
      <c r="BE133">
        <f>Lookups!$B$2</f>
        <v>155833.95000000001</v>
      </c>
      <c r="BF133">
        <f>VLOOKUP(Grandview_Sales[[#This Row],[quality]],Lookups!$H$2:$J$13,3,FALSE)</f>
        <v>10733</v>
      </c>
      <c r="BG133">
        <f>VLOOKUP(Grandview_Sales[[#This Row],[condition]],Lookups!$H$17:$J$24,3,FALSE)</f>
        <v>-4503</v>
      </c>
      <c r="BH133">
        <f>Grandview_Sales[[#This Row],[Eff_Age]]*Lookups!$B$14</f>
        <v>-12675.8298</v>
      </c>
      <c r="BI133">
        <f>Grandview_Sales[[#This Row],[living_area]]*Lookups!$B$15</f>
        <v>89079.858084000007</v>
      </c>
      <c r="BJ133">
        <f>Grandview_Sales[[#This Row],[Fin BSMT]]*Lookups!$B$16</f>
        <v>0</v>
      </c>
      <c r="BK133">
        <f>Grandview_Sales[[#This Row],[garage_sqft]]*Lookups!$B$17</f>
        <v>0</v>
      </c>
      <c r="BL133">
        <f>Grandview_Sales[[#This Row],[Plumbing Fixtures]]*Lookups!$B$18</f>
        <v>10052.209000000001</v>
      </c>
      <c r="BM133">
        <f>Grandview_Sales[[#This Row],[detatched_value]]*Lookups!$B$19</f>
        <v>0</v>
      </c>
      <c r="BN133">
        <f>Grandview_Sales[[#This Row],[days_prior]]*Lookups!$B$20</f>
        <v>-61173.786</v>
      </c>
      <c r="BO133">
        <f>SUM(Grandview_Sales[[#This Row],[land_value]:[Days Prior To Assessment_value]])</f>
        <v>227211.70436643148</v>
      </c>
      <c r="BP133">
        <f>Grandview_Sales[[#This Row],[predicted_total]]/Grandview_Sales[[#This Row],[sale_price]]</f>
        <v>0.85740265798653392</v>
      </c>
      <c r="BQ133">
        <f>VLOOKUP(Grandview_Sales[[#This Row],[quality]],Lookups!$A$26:$C$33,3,FALSE)</f>
        <v>0.98079741117310582</v>
      </c>
      <c r="BR133">
        <f>VLOOKUP(Grandview_Sales[[#This Row],[condition]],Lookups!$A$37:$C$44,3,FALSE)</f>
        <v>0.96469275950863709</v>
      </c>
      <c r="BS133">
        <f>VLOOKUP(Grandview_Sales[[#This Row],[decade]],Lookups!$F$29:$H$43,3,FALSE)</f>
        <v>0.94161750052457416</v>
      </c>
      <c r="BT133">
        <f>VLOOKUP(Grandview_Sales[[#This Row],[living_area_range]],Lookups!$F$47:$H$56,3,FALSE)</f>
        <v>0.96135087979789358</v>
      </c>
      <c r="BU133">
        <f>Grandview_Sales[[#This Row],[predicted_total]]*AVERAGE(Grandview_Sales[[#This Row],[qual_adj]:[size_adj]])</f>
        <v>218603.70663930851</v>
      </c>
      <c r="BV133">
        <f>Grandview_Sales[[#This Row],[final_total]]/Grandview_Sales[[#This Row],[sale_price]]</f>
        <v>0.82491964769550385</v>
      </c>
      <c r="BW133" s="6">
        <f>(Grandview_Sales[[#This Row],[final_total]]-Grandview_Sales[[#This Row],[sale_price]])^2</f>
        <v>2152616037.6113453</v>
      </c>
      <c r="BX133" s="6">
        <f>(Grandview_Sales[[#This Row],[final_total]]-AVERAGE(Grandview_Sales[sale_price]))^2</f>
        <v>7806687930.2256784</v>
      </c>
      <c r="BY133" s="6">
        <f>Grandview_Sales[[#This Row],[SSE]]+Grandview_Sales[[#This Row],[SSR]]</f>
        <v>9959303967.8370247</v>
      </c>
      <c r="BZ133" s="4">
        <f>ABS(Grandview_Sales[[#This Row],[final_ratio]]-MEDIAN(Grandview_Sales[final_ratio]))</f>
        <v>0.17632907166030809</v>
      </c>
    </row>
    <row r="134" spans="1:78" x14ac:dyDescent="0.25">
      <c r="A134">
        <v>23092612415</v>
      </c>
      <c r="B134">
        <v>0.17</v>
      </c>
      <c r="C134">
        <v>7238</v>
      </c>
      <c r="D134">
        <v>0</v>
      </c>
      <c r="E134" t="s">
        <v>53</v>
      </c>
      <c r="F134" t="s">
        <v>53</v>
      </c>
      <c r="G134">
        <v>4</v>
      </c>
      <c r="H134" t="s">
        <v>54</v>
      </c>
      <c r="I134">
        <v>260500</v>
      </c>
      <c r="J134">
        <v>38800</v>
      </c>
      <c r="K134">
        <v>0.17</v>
      </c>
      <c r="L134">
        <v>-1.771956841932</v>
      </c>
      <c r="M134">
        <v>0</v>
      </c>
      <c r="N134">
        <v>0</v>
      </c>
      <c r="O134">
        <v>0</v>
      </c>
      <c r="P134">
        <v>13398.7528</v>
      </c>
      <c r="Q134">
        <v>63902.980100000001</v>
      </c>
      <c r="R134">
        <v>40160.968402685998</v>
      </c>
      <c r="S134" t="s">
        <v>55</v>
      </c>
      <c r="T134">
        <v>2</v>
      </c>
      <c r="U134" t="s">
        <v>62</v>
      </c>
      <c r="V134" t="s">
        <v>66</v>
      </c>
      <c r="W134">
        <v>0</v>
      </c>
      <c r="X134">
        <v>0</v>
      </c>
      <c r="Y134">
        <v>10</v>
      </c>
      <c r="Z134">
        <v>10</v>
      </c>
      <c r="AA134">
        <v>10</v>
      </c>
      <c r="AB134">
        <v>2000</v>
      </c>
      <c r="AC134">
        <v>1723</v>
      </c>
      <c r="AD134">
        <v>667</v>
      </c>
      <c r="AE134">
        <v>1056</v>
      </c>
      <c r="AF134">
        <v>0</v>
      </c>
      <c r="AG134">
        <v>0</v>
      </c>
      <c r="AH134">
        <v>437</v>
      </c>
      <c r="AI134">
        <v>0</v>
      </c>
      <c r="AJ134">
        <v>0</v>
      </c>
      <c r="AK134">
        <v>100</v>
      </c>
      <c r="AL134">
        <v>12</v>
      </c>
      <c r="AM134">
        <v>0</v>
      </c>
      <c r="AN134">
        <v>0</v>
      </c>
      <c r="AO134" t="s">
        <v>58</v>
      </c>
      <c r="AP134">
        <v>1</v>
      </c>
      <c r="AQ134" t="s">
        <v>63</v>
      </c>
      <c r="AR134" t="s">
        <v>60</v>
      </c>
      <c r="AS134">
        <v>1</v>
      </c>
      <c r="AT134">
        <v>4</v>
      </c>
      <c r="AU134">
        <v>0</v>
      </c>
      <c r="AV134">
        <v>0</v>
      </c>
      <c r="AW134">
        <v>100</v>
      </c>
      <c r="AX134" s="1">
        <v>44418</v>
      </c>
      <c r="AY134">
        <v>22200</v>
      </c>
      <c r="AZ134">
        <v>270868</v>
      </c>
      <c r="BA134">
        <v>293100</v>
      </c>
      <c r="BB134">
        <v>335000</v>
      </c>
      <c r="BC134">
        <v>509</v>
      </c>
      <c r="BD134">
        <f>Grandview_Sales[[#This Row],[land_extract]]*Lookups!$B$3</f>
        <v>46638.82417142456</v>
      </c>
      <c r="BE134">
        <f>Lookups!$B$2</f>
        <v>155833.95000000001</v>
      </c>
      <c r="BF134">
        <f>VLOOKUP(Grandview_Sales[[#This Row],[quality]],Lookups!$H$2:$J$13,3,FALSE)</f>
        <v>9808</v>
      </c>
      <c r="BG134">
        <f>VLOOKUP(Grandview_Sales[[#This Row],[condition]],Lookups!$H$17:$J$24,3,FALSE)</f>
        <v>25818</v>
      </c>
      <c r="BH134">
        <f>Grandview_Sales[[#This Row],[Eff_Age]]*Lookups!$B$14</f>
        <v>-2391.6659999999997</v>
      </c>
      <c r="BI134">
        <f>Grandview_Sales[[#This Row],[living_area]]*Lookups!$B$15</f>
        <v>107482.20971900001</v>
      </c>
      <c r="BJ134">
        <f>Grandview_Sales[[#This Row],[Fin BSMT]]*Lookups!$B$16</f>
        <v>0</v>
      </c>
      <c r="BK134">
        <f>Grandview_Sales[[#This Row],[garage_sqft]]*Lookups!$B$17</f>
        <v>38246.430969000001</v>
      </c>
      <c r="BL134">
        <f>Grandview_Sales[[#This Row],[Plumbing Fixtures]]*Lookups!$B$18</f>
        <v>24125.301599999999</v>
      </c>
      <c r="BM134">
        <f>Grandview_Sales[[#This Row],[detatched_value]]*Lookups!$B$19</f>
        <v>0</v>
      </c>
      <c r="BN134">
        <f>Grandview_Sales[[#This Row],[days_prior]]*Lookups!$B$20</f>
        <v>-61053.837399999997</v>
      </c>
      <c r="BO134">
        <f>SUM(Grandview_Sales[[#This Row],[land_value]:[Days Prior To Assessment_value]])</f>
        <v>344507.21305942454</v>
      </c>
      <c r="BP134">
        <f>Grandview_Sales[[#This Row],[predicted_total]]/Grandview_Sales[[#This Row],[sale_price]]</f>
        <v>1.0283797404758941</v>
      </c>
      <c r="BQ134">
        <f>VLOOKUP(Grandview_Sales[[#This Row],[quality]],Lookups!$A$26:$C$33,3,FALSE)</f>
        <v>0.94295468617355149</v>
      </c>
      <c r="BR134">
        <f>VLOOKUP(Grandview_Sales[[#This Row],[condition]],Lookups!$A$37:$C$44,3,FALSE)</f>
        <v>0.96661476234146892</v>
      </c>
      <c r="BS134">
        <f>VLOOKUP(Grandview_Sales[[#This Row],[decade]],Lookups!$F$29:$H$43,3,FALSE)</f>
        <v>0.94601966599150278</v>
      </c>
      <c r="BT134">
        <f>VLOOKUP(Grandview_Sales[[#This Row],[living_area_range]],Lookups!$F$47:$H$56,3,FALSE)</f>
        <v>0.96120133463014379</v>
      </c>
      <c r="BU134">
        <f>Grandview_Sales[[#This Row],[predicted_total]]*AVERAGE(Grandview_Sales[[#This Row],[qual_adj]:[size_adj]])</f>
        <v>328727.96011597564</v>
      </c>
      <c r="BV134">
        <f>Grandview_Sales[[#This Row],[final_total]]/Grandview_Sales[[#This Row],[sale_price]]</f>
        <v>0.98127749288350941</v>
      </c>
      <c r="BW134" s="6">
        <f>(Grandview_Sales[[#This Row],[final_total]]-Grandview_Sales[[#This Row],[sale_price]])^2</f>
        <v>39338484.306792282</v>
      </c>
      <c r="BX134" s="6">
        <f>(Grandview_Sales[[#This Row],[final_total]]-AVERAGE(Grandview_Sales[sale_price]))^2</f>
        <v>473880217.06651324</v>
      </c>
      <c r="BY134" s="6">
        <f>Grandview_Sales[[#This Row],[SSE]]+Grandview_Sales[[#This Row],[SSR]]</f>
        <v>513218701.3733055</v>
      </c>
      <c r="BZ134" s="4">
        <f>ABS(Grandview_Sales[[#This Row],[final_ratio]]-MEDIAN(Grandview_Sales[final_ratio]))</f>
        <v>1.9971226472302539E-2</v>
      </c>
    </row>
    <row r="135" spans="1:78" x14ac:dyDescent="0.25">
      <c r="A135">
        <v>23091442438</v>
      </c>
      <c r="B135">
        <v>0.22</v>
      </c>
      <c r="C135">
        <v>9372</v>
      </c>
      <c r="D135">
        <v>0</v>
      </c>
      <c r="E135" t="s">
        <v>53</v>
      </c>
      <c r="F135" t="s">
        <v>53</v>
      </c>
      <c r="G135">
        <v>4</v>
      </c>
      <c r="H135" t="s">
        <v>54</v>
      </c>
      <c r="I135">
        <v>216400</v>
      </c>
      <c r="J135">
        <v>39500</v>
      </c>
      <c r="K135">
        <v>0.22</v>
      </c>
      <c r="L135">
        <v>-1.51412773263</v>
      </c>
      <c r="M135">
        <v>0</v>
      </c>
      <c r="N135">
        <v>0</v>
      </c>
      <c r="O135">
        <v>0</v>
      </c>
      <c r="P135">
        <v>13398.7528</v>
      </c>
      <c r="Q135">
        <v>63902.980100000001</v>
      </c>
      <c r="R135">
        <v>43615.556902869001</v>
      </c>
      <c r="S135" t="s">
        <v>61</v>
      </c>
      <c r="T135">
        <v>1</v>
      </c>
      <c r="U135" t="s">
        <v>62</v>
      </c>
      <c r="V135" t="s">
        <v>67</v>
      </c>
      <c r="W135">
        <v>0</v>
      </c>
      <c r="X135">
        <v>0</v>
      </c>
      <c r="Y135">
        <v>13</v>
      </c>
      <c r="Z135">
        <v>13</v>
      </c>
      <c r="AA135">
        <v>10</v>
      </c>
      <c r="AB135">
        <v>1500</v>
      </c>
      <c r="AC135">
        <v>1116</v>
      </c>
      <c r="AD135">
        <v>1116</v>
      </c>
      <c r="AE135">
        <v>0</v>
      </c>
      <c r="AF135">
        <v>0</v>
      </c>
      <c r="AG135">
        <v>0</v>
      </c>
      <c r="AH135">
        <v>504</v>
      </c>
      <c r="AI135">
        <v>0</v>
      </c>
      <c r="AJ135">
        <v>0</v>
      </c>
      <c r="AK135">
        <v>0</v>
      </c>
      <c r="AL135">
        <v>8</v>
      </c>
      <c r="AM135">
        <v>0</v>
      </c>
      <c r="AN135">
        <v>0</v>
      </c>
      <c r="AO135" t="s">
        <v>58</v>
      </c>
      <c r="AP135">
        <v>1</v>
      </c>
      <c r="AQ135" t="s">
        <v>59</v>
      </c>
      <c r="AR135" t="s">
        <v>60</v>
      </c>
      <c r="AS135">
        <v>1</v>
      </c>
      <c r="AT135">
        <v>3</v>
      </c>
      <c r="AU135">
        <v>0</v>
      </c>
      <c r="AV135">
        <v>0</v>
      </c>
      <c r="AW135">
        <v>100</v>
      </c>
      <c r="AX135" s="1">
        <v>44418</v>
      </c>
      <c r="AY135">
        <v>22600</v>
      </c>
      <c r="AZ135">
        <v>210457</v>
      </c>
      <c r="BA135">
        <v>233100</v>
      </c>
      <c r="BB135">
        <v>275000</v>
      </c>
      <c r="BC135">
        <v>509</v>
      </c>
      <c r="BD135">
        <f>Grandview_Sales[[#This Row],[land_extract]]*Lookups!$B$3</f>
        <v>50650.628469298128</v>
      </c>
      <c r="BE135">
        <f>Lookups!$B$2</f>
        <v>155833.95000000001</v>
      </c>
      <c r="BF135">
        <f>VLOOKUP(Grandview_Sales[[#This Row],[quality]],Lookups!$H$2:$J$13,3,FALSE)</f>
        <v>9808</v>
      </c>
      <c r="BG135">
        <f>VLOOKUP(Grandview_Sales[[#This Row],[condition]],Lookups!$H$17:$J$24,3,FALSE)</f>
        <v>22342</v>
      </c>
      <c r="BH135">
        <f>Grandview_Sales[[#This Row],[Eff_Age]]*Lookups!$B$14</f>
        <v>-3109.1657999999998</v>
      </c>
      <c r="BI135">
        <f>Grandview_Sales[[#This Row],[living_area]]*Lookups!$B$15</f>
        <v>69617.031948000003</v>
      </c>
      <c r="BJ135">
        <f>Grandview_Sales[[#This Row],[Fin BSMT]]*Lookups!$B$16</f>
        <v>0</v>
      </c>
      <c r="BK135">
        <f>Grandview_Sales[[#This Row],[garage_sqft]]*Lookups!$B$17</f>
        <v>44110.300248</v>
      </c>
      <c r="BL135">
        <f>Grandview_Sales[[#This Row],[Plumbing Fixtures]]*Lookups!$B$18</f>
        <v>16083.5344</v>
      </c>
      <c r="BM135">
        <f>Grandview_Sales[[#This Row],[detatched_value]]*Lookups!$B$19</f>
        <v>0</v>
      </c>
      <c r="BN135">
        <f>Grandview_Sales[[#This Row],[days_prior]]*Lookups!$B$20</f>
        <v>-61053.837399999997</v>
      </c>
      <c r="BO135">
        <f>SUM(Grandview_Sales[[#This Row],[land_value]:[Days Prior To Assessment_value]])</f>
        <v>304282.44186529814</v>
      </c>
      <c r="BP135">
        <f>Grandview_Sales[[#This Row],[predicted_total]]/Grandview_Sales[[#This Row],[sale_price]]</f>
        <v>1.1064816067829024</v>
      </c>
      <c r="BQ135">
        <f>VLOOKUP(Grandview_Sales[[#This Row],[quality]],Lookups!$A$26:$C$33,3,FALSE)</f>
        <v>0.94295468617355149</v>
      </c>
      <c r="BR135">
        <f>VLOOKUP(Grandview_Sales[[#This Row],[condition]],Lookups!$A$37:$C$44,3,FALSE)</f>
        <v>0.97383723671140243</v>
      </c>
      <c r="BS135">
        <f>VLOOKUP(Grandview_Sales[[#This Row],[decade]],Lookups!$F$29:$H$43,3,FALSE)</f>
        <v>0.94601966599150278</v>
      </c>
      <c r="BT135">
        <f>VLOOKUP(Grandview_Sales[[#This Row],[living_area_range]],Lookups!$F$47:$H$56,3,FALSE)</f>
        <v>0.96135087979789358</v>
      </c>
      <c r="BU135">
        <f>Grandview_Sales[[#This Row],[predicted_total]]*AVERAGE(Grandview_Sales[[#This Row],[qual_adj]:[size_adj]])</f>
        <v>290906.37351446447</v>
      </c>
      <c r="BV135">
        <f>Grandview_Sales[[#This Row],[final_total]]/Grandview_Sales[[#This Row],[sale_price]]</f>
        <v>1.0578413582344162</v>
      </c>
      <c r="BW135" s="6">
        <f>(Grandview_Sales[[#This Row],[final_total]]-Grandview_Sales[[#This Row],[sale_price]])^2</f>
        <v>253012718.38165691</v>
      </c>
      <c r="BX135" s="6">
        <f>(Grandview_Sales[[#This Row],[final_total]]-AVERAGE(Grandview_Sales[sale_price]))^2</f>
        <v>257692279.46513146</v>
      </c>
      <c r="BY135" s="6">
        <f>Grandview_Sales[[#This Row],[SSE]]+Grandview_Sales[[#This Row],[SSR]]</f>
        <v>510704997.84678841</v>
      </c>
      <c r="BZ135" s="4">
        <f>ABS(Grandview_Sales[[#This Row],[final_ratio]]-MEDIAN(Grandview_Sales[final_ratio]))</f>
        <v>5.6592638878604218E-2</v>
      </c>
    </row>
    <row r="136" spans="1:78" x14ac:dyDescent="0.25">
      <c r="A136">
        <v>23092621438</v>
      </c>
      <c r="B136">
        <v>0</v>
      </c>
      <c r="C136">
        <v>9900</v>
      </c>
      <c r="D136">
        <v>0</v>
      </c>
      <c r="E136" t="s">
        <v>53</v>
      </c>
      <c r="F136" t="s">
        <v>53</v>
      </c>
      <c r="G136">
        <v>4</v>
      </c>
      <c r="H136" t="s">
        <v>54</v>
      </c>
      <c r="I136">
        <v>328400</v>
      </c>
      <c r="J136">
        <v>39500</v>
      </c>
      <c r="K136">
        <v>0.23</v>
      </c>
      <c r="L136">
        <v>-1.4696759700590001</v>
      </c>
      <c r="M136">
        <v>0</v>
      </c>
      <c r="N136">
        <v>0</v>
      </c>
      <c r="O136">
        <v>0</v>
      </c>
      <c r="P136">
        <v>13398.7528</v>
      </c>
      <c r="Q136">
        <v>63902.980100000001</v>
      </c>
      <c r="R136">
        <v>44211.155081080004</v>
      </c>
      <c r="S136" t="s">
        <v>58</v>
      </c>
      <c r="T136">
        <v>2</v>
      </c>
      <c r="U136" t="s">
        <v>62</v>
      </c>
      <c r="V136" t="s">
        <v>57</v>
      </c>
      <c r="W136">
        <v>0</v>
      </c>
      <c r="X136">
        <v>0</v>
      </c>
      <c r="Y136">
        <v>2</v>
      </c>
      <c r="Z136">
        <v>2</v>
      </c>
      <c r="AA136">
        <v>0</v>
      </c>
      <c r="AB136">
        <v>2500</v>
      </c>
      <c r="AC136">
        <v>2435</v>
      </c>
      <c r="AD136">
        <v>1161</v>
      </c>
      <c r="AE136">
        <v>1274</v>
      </c>
      <c r="AF136">
        <v>0</v>
      </c>
      <c r="AG136">
        <v>0</v>
      </c>
      <c r="AH136">
        <v>787</v>
      </c>
      <c r="AI136">
        <v>0</v>
      </c>
      <c r="AJ136">
        <v>0</v>
      </c>
      <c r="AK136">
        <v>182</v>
      </c>
      <c r="AL136">
        <v>12</v>
      </c>
      <c r="AM136">
        <v>0</v>
      </c>
      <c r="AN136">
        <v>0</v>
      </c>
      <c r="AO136" t="s">
        <v>58</v>
      </c>
      <c r="AP136">
        <v>1</v>
      </c>
      <c r="AQ136" t="s">
        <v>63</v>
      </c>
      <c r="AR136" t="s">
        <v>64</v>
      </c>
      <c r="AS136">
        <v>1</v>
      </c>
      <c r="AT136">
        <v>4</v>
      </c>
      <c r="AU136">
        <v>0</v>
      </c>
      <c r="AV136">
        <v>0</v>
      </c>
      <c r="AW136">
        <v>100</v>
      </c>
      <c r="AX136" s="1">
        <v>44425</v>
      </c>
      <c r="AY136">
        <v>22600</v>
      </c>
      <c r="AZ136">
        <v>381687</v>
      </c>
      <c r="BA136">
        <v>404300</v>
      </c>
      <c r="BB136">
        <v>395820</v>
      </c>
      <c r="BC136">
        <v>502</v>
      </c>
      <c r="BD136">
        <f>Grandview_Sales[[#This Row],[land_extract]]*Lookups!$B$3</f>
        <v>51342.29502553949</v>
      </c>
      <c r="BE136">
        <f>Lookups!$B$2</f>
        <v>155833.95000000001</v>
      </c>
      <c r="BF136">
        <f>VLOOKUP(Grandview_Sales[[#This Row],[quality]],Lookups!$H$2:$J$13,3,FALSE)</f>
        <v>9808</v>
      </c>
      <c r="BG136">
        <f>VLOOKUP(Grandview_Sales[[#This Row],[condition]],Lookups!$H$17:$J$24,3,FALSE)</f>
        <v>25780</v>
      </c>
      <c r="BH136">
        <f>Grandview_Sales[[#This Row],[Eff_Age]]*Lookups!$B$14</f>
        <v>-478.33319999999998</v>
      </c>
      <c r="BI136">
        <f>Grandview_Sales[[#This Row],[living_area]]*Lookups!$B$15</f>
        <v>151897.37705500002</v>
      </c>
      <c r="BJ136">
        <f>Grandview_Sales[[#This Row],[Fin BSMT]]*Lookups!$B$16</f>
        <v>0</v>
      </c>
      <c r="BK136">
        <f>Grandview_Sales[[#This Row],[garage_sqft]]*Lookups!$B$17</f>
        <v>68878.583918999997</v>
      </c>
      <c r="BL136">
        <f>Grandview_Sales[[#This Row],[Plumbing Fixtures]]*Lookups!$B$18</f>
        <v>24125.301599999999</v>
      </c>
      <c r="BM136">
        <f>Grandview_Sales[[#This Row],[detatched_value]]*Lookups!$B$19</f>
        <v>0</v>
      </c>
      <c r="BN136">
        <f>Grandview_Sales[[#This Row],[days_prior]]*Lookups!$B$20</f>
        <v>-60214.197200000002</v>
      </c>
      <c r="BO136">
        <f>SUM(Grandview_Sales[[#This Row],[land_value]:[Days Prior To Assessment_value]])</f>
        <v>426972.97719953954</v>
      </c>
      <c r="BP136">
        <f>Grandview_Sales[[#This Row],[predicted_total]]/Grandview_Sales[[#This Row],[sale_price]]</f>
        <v>1.0787049093010448</v>
      </c>
      <c r="BQ136">
        <f>VLOOKUP(Grandview_Sales[[#This Row],[quality]],Lookups!$A$26:$C$33,3,FALSE)</f>
        <v>0.94295468617355149</v>
      </c>
      <c r="BR136">
        <f>VLOOKUP(Grandview_Sales[[#This Row],[condition]],Lookups!$A$37:$C$44,3,FALSE)</f>
        <v>0.94347925387812148</v>
      </c>
      <c r="BS136">
        <f>VLOOKUP(Grandview_Sales[[#This Row],[decade]],Lookups!$F$29:$H$43,3,FALSE)</f>
        <v>0.9413635517371044</v>
      </c>
      <c r="BT136">
        <f>VLOOKUP(Grandview_Sales[[#This Row],[living_area_range]],Lookups!$F$47:$H$56,3,FALSE)</f>
        <v>0.95799442568048754</v>
      </c>
      <c r="BU136">
        <f>Grandview_Sales[[#This Row],[predicted_total]]*AVERAGE(Grandview_Sales[[#This Row],[qual_adj]:[size_adj]])</f>
        <v>404107.71151495137</v>
      </c>
      <c r="BV136">
        <f>Grandview_Sales[[#This Row],[final_total]]/Grandview_Sales[[#This Row],[sale_price]]</f>
        <v>1.0209380817415779</v>
      </c>
      <c r="BW136" s="6">
        <f>(Grandview_Sales[[#This Row],[final_total]]-Grandview_Sales[[#This Row],[sale_price]])^2</f>
        <v>68686162.155057535</v>
      </c>
      <c r="BX136" s="6">
        <f>(Grandview_Sales[[#This Row],[final_total]]-AVERAGE(Grandview_Sales[sale_price]))^2</f>
        <v>9437839091.4965267</v>
      </c>
      <c r="BY136" s="6">
        <f>Grandview_Sales[[#This Row],[SSE]]+Grandview_Sales[[#This Row],[SSR]]</f>
        <v>9506525253.6515846</v>
      </c>
      <c r="BZ136" s="4">
        <f>ABS(Grandview_Sales[[#This Row],[final_ratio]]-MEDIAN(Grandview_Sales[final_ratio]))</f>
        <v>1.9689362385765907E-2</v>
      </c>
    </row>
    <row r="137" spans="1:78" x14ac:dyDescent="0.25">
      <c r="A137">
        <v>23092323528</v>
      </c>
      <c r="B137">
        <v>0.17</v>
      </c>
      <c r="C137">
        <v>7466</v>
      </c>
      <c r="D137">
        <v>0</v>
      </c>
      <c r="E137" t="s">
        <v>53</v>
      </c>
      <c r="F137" t="s">
        <v>53</v>
      </c>
      <c r="G137">
        <v>4</v>
      </c>
      <c r="H137" t="s">
        <v>54</v>
      </c>
      <c r="I137">
        <v>145000</v>
      </c>
      <c r="J137">
        <v>39300</v>
      </c>
      <c r="K137">
        <v>0.17</v>
      </c>
      <c r="L137">
        <v>-1.771956841932</v>
      </c>
      <c r="M137">
        <v>0</v>
      </c>
      <c r="N137">
        <v>0</v>
      </c>
      <c r="O137">
        <v>0</v>
      </c>
      <c r="P137">
        <v>13398.7528</v>
      </c>
      <c r="Q137">
        <v>63902.980100000001</v>
      </c>
      <c r="R137">
        <v>40160.968402685998</v>
      </c>
      <c r="S137" t="s">
        <v>68</v>
      </c>
      <c r="T137">
        <v>1</v>
      </c>
      <c r="U137" t="s">
        <v>70</v>
      </c>
      <c r="V137" t="s">
        <v>69</v>
      </c>
      <c r="W137">
        <v>0</v>
      </c>
      <c r="X137">
        <v>0</v>
      </c>
      <c r="Y137">
        <v>50</v>
      </c>
      <c r="Z137">
        <v>73</v>
      </c>
      <c r="AA137">
        <v>70</v>
      </c>
      <c r="AB137">
        <v>2000</v>
      </c>
      <c r="AC137">
        <v>1768</v>
      </c>
      <c r="AD137">
        <v>884</v>
      </c>
      <c r="AE137">
        <v>0</v>
      </c>
      <c r="AF137">
        <v>884</v>
      </c>
      <c r="AG137">
        <v>0</v>
      </c>
      <c r="AH137">
        <v>0</v>
      </c>
      <c r="AI137">
        <v>0</v>
      </c>
      <c r="AJ137">
        <v>0</v>
      </c>
      <c r="AK137">
        <v>408</v>
      </c>
      <c r="AL137">
        <v>7</v>
      </c>
      <c r="AM137">
        <v>0</v>
      </c>
      <c r="AN137">
        <v>0</v>
      </c>
      <c r="AO137" t="s">
        <v>58</v>
      </c>
      <c r="AP137">
        <v>1</v>
      </c>
      <c r="AQ137" t="s">
        <v>63</v>
      </c>
      <c r="AR137" t="s">
        <v>64</v>
      </c>
      <c r="AS137">
        <v>1</v>
      </c>
      <c r="AT137">
        <v>2</v>
      </c>
      <c r="AU137">
        <v>0</v>
      </c>
      <c r="AV137">
        <v>1500</v>
      </c>
      <c r="AW137">
        <v>100</v>
      </c>
      <c r="AX137" s="1">
        <v>44431</v>
      </c>
      <c r="AY137">
        <v>22500</v>
      </c>
      <c r="AZ137">
        <v>140303</v>
      </c>
      <c r="BA137">
        <v>162800</v>
      </c>
      <c r="BB137">
        <v>230000</v>
      </c>
      <c r="BC137">
        <v>496</v>
      </c>
      <c r="BD137">
        <f>Grandview_Sales[[#This Row],[land_extract]]*Lookups!$B$3</f>
        <v>46638.82417142456</v>
      </c>
      <c r="BE137">
        <f>Lookups!$B$2</f>
        <v>155833.95000000001</v>
      </c>
      <c r="BF137">
        <f>VLOOKUP(Grandview_Sales[[#This Row],[quality]],Lookups!$H$2:$J$13,3,FALSE)</f>
        <v>10733</v>
      </c>
      <c r="BG137">
        <f>VLOOKUP(Grandview_Sales[[#This Row],[condition]],Lookups!$H$17:$J$24,3,FALSE)</f>
        <v>-4503</v>
      </c>
      <c r="BH137">
        <f>Grandview_Sales[[#This Row],[Eff_Age]]*Lookups!$B$14</f>
        <v>-11958.33</v>
      </c>
      <c r="BI137">
        <f>Grandview_Sales[[#This Row],[living_area]]*Lookups!$B$15</f>
        <v>110289.348104</v>
      </c>
      <c r="BJ137">
        <f>Grandview_Sales[[#This Row],[Fin BSMT]]*Lookups!$B$16</f>
        <v>-23955.728160000002</v>
      </c>
      <c r="BK137">
        <f>Grandview_Sales[[#This Row],[garage_sqft]]*Lookups!$B$17</f>
        <v>0</v>
      </c>
      <c r="BL137">
        <f>Grandview_Sales[[#This Row],[Plumbing Fixtures]]*Lookups!$B$18</f>
        <v>14073.0926</v>
      </c>
      <c r="BM137">
        <f>Grandview_Sales[[#This Row],[detatched_value]]*Lookups!$B$19</f>
        <v>1270.2076500000001</v>
      </c>
      <c r="BN137">
        <f>Grandview_Sales[[#This Row],[days_prior]]*Lookups!$B$20</f>
        <v>-59494.505599999997</v>
      </c>
      <c r="BO137">
        <f>SUM(Grandview_Sales[[#This Row],[land_value]:[Days Prior To Assessment_value]])</f>
        <v>238926.85876542455</v>
      </c>
      <c r="BP137">
        <f>Grandview_Sales[[#This Row],[predicted_total]]/Grandview_Sales[[#This Row],[sale_price]]</f>
        <v>1.0388124294148893</v>
      </c>
      <c r="BQ137">
        <f>VLOOKUP(Grandview_Sales[[#This Row],[quality]],Lookups!$A$26:$C$33,3,FALSE)</f>
        <v>0.98079741117310582</v>
      </c>
      <c r="BR137">
        <f>VLOOKUP(Grandview_Sales[[#This Row],[condition]],Lookups!$A$37:$C$44,3,FALSE)</f>
        <v>0.96469275950863709</v>
      </c>
      <c r="BS137">
        <f>VLOOKUP(Grandview_Sales[[#This Row],[decade]],Lookups!$F$29:$H$43,3,FALSE)</f>
        <v>0.99472141305414818</v>
      </c>
      <c r="BT137">
        <f>VLOOKUP(Grandview_Sales[[#This Row],[living_area_range]],Lookups!$F$47:$H$56,3,FALSE)</f>
        <v>0.96120133463014379</v>
      </c>
      <c r="BU137">
        <f>Grandview_Sales[[#This Row],[predicted_total]]*AVERAGE(Grandview_Sales[[#This Row],[qual_adj]:[size_adj]])</f>
        <v>233038.08333301113</v>
      </c>
      <c r="BV137">
        <f>Grandview_Sales[[#This Row],[final_total]]/Grandview_Sales[[#This Row],[sale_price]]</f>
        <v>1.0132090579696136</v>
      </c>
      <c r="BW137" s="6">
        <f>(Grandview_Sales[[#This Row],[final_total]]-Grandview_Sales[[#This Row],[sale_price]])^2</f>
        <v>9229950.3383200448</v>
      </c>
      <c r="BX137" s="6">
        <f>(Grandview_Sales[[#This Row],[final_total]]-AVERAGE(Grandview_Sales[sale_price]))^2</f>
        <v>5464327074.5621119</v>
      </c>
      <c r="BY137" s="6">
        <f>Grandview_Sales[[#This Row],[SSE]]+Grandview_Sales[[#This Row],[SSR]]</f>
        <v>5473557024.9004316</v>
      </c>
      <c r="BZ137" s="4">
        <f>ABS(Grandview_Sales[[#This Row],[final_ratio]]-MEDIAN(Grandview_Sales[final_ratio]))</f>
        <v>1.1960338613801635E-2</v>
      </c>
    </row>
    <row r="138" spans="1:78" x14ac:dyDescent="0.25">
      <c r="A138">
        <v>23092424411</v>
      </c>
      <c r="B138">
        <v>0.17</v>
      </c>
      <c r="C138">
        <v>7334</v>
      </c>
      <c r="D138">
        <v>0</v>
      </c>
      <c r="E138" t="s">
        <v>53</v>
      </c>
      <c r="F138" t="s">
        <v>53</v>
      </c>
      <c r="G138">
        <v>4</v>
      </c>
      <c r="H138" t="s">
        <v>54</v>
      </c>
      <c r="I138">
        <v>210100</v>
      </c>
      <c r="J138">
        <v>43000</v>
      </c>
      <c r="K138">
        <v>0.17</v>
      </c>
      <c r="L138">
        <v>-1.771956841932</v>
      </c>
      <c r="M138">
        <v>0</v>
      </c>
      <c r="N138">
        <v>0</v>
      </c>
      <c r="O138">
        <v>0</v>
      </c>
      <c r="P138">
        <v>13398.7528</v>
      </c>
      <c r="Q138">
        <v>63902.980100000001</v>
      </c>
      <c r="R138">
        <v>40160.968402685998</v>
      </c>
      <c r="S138" t="s">
        <v>61</v>
      </c>
      <c r="T138">
        <v>1</v>
      </c>
      <c r="U138" t="s">
        <v>62</v>
      </c>
      <c r="V138" t="s">
        <v>67</v>
      </c>
      <c r="W138">
        <v>0</v>
      </c>
      <c r="X138">
        <v>0</v>
      </c>
      <c r="Y138">
        <v>19</v>
      </c>
      <c r="Z138">
        <v>19</v>
      </c>
      <c r="AA138">
        <v>20</v>
      </c>
      <c r="AB138">
        <v>1500</v>
      </c>
      <c r="AC138">
        <v>1079</v>
      </c>
      <c r="AD138">
        <v>1079</v>
      </c>
      <c r="AE138">
        <v>0</v>
      </c>
      <c r="AF138">
        <v>0</v>
      </c>
      <c r="AG138">
        <v>0</v>
      </c>
      <c r="AH138">
        <v>520</v>
      </c>
      <c r="AI138">
        <v>0</v>
      </c>
      <c r="AJ138">
        <v>0</v>
      </c>
      <c r="AK138">
        <v>100</v>
      </c>
      <c r="AL138">
        <v>8</v>
      </c>
      <c r="AM138">
        <v>0</v>
      </c>
      <c r="AN138">
        <v>0</v>
      </c>
      <c r="AO138" t="s">
        <v>58</v>
      </c>
      <c r="AP138">
        <v>1</v>
      </c>
      <c r="AQ138" t="s">
        <v>63</v>
      </c>
      <c r="AR138" t="s">
        <v>64</v>
      </c>
      <c r="AS138">
        <v>1</v>
      </c>
      <c r="AT138">
        <v>3</v>
      </c>
      <c r="AU138">
        <v>0</v>
      </c>
      <c r="AV138">
        <v>0</v>
      </c>
      <c r="AW138">
        <v>100</v>
      </c>
      <c r="AX138" s="1">
        <v>44438</v>
      </c>
      <c r="AY138">
        <v>24600</v>
      </c>
      <c r="AZ138">
        <v>192673</v>
      </c>
      <c r="BA138">
        <v>217300</v>
      </c>
      <c r="BB138">
        <v>280000</v>
      </c>
      <c r="BC138">
        <v>489</v>
      </c>
      <c r="BD138">
        <f>Grandview_Sales[[#This Row],[land_extract]]*Lookups!$B$3</f>
        <v>46638.82417142456</v>
      </c>
      <c r="BE138">
        <f>Lookups!$B$2</f>
        <v>155833.95000000001</v>
      </c>
      <c r="BF138">
        <f>VLOOKUP(Grandview_Sales[[#This Row],[quality]],Lookups!$H$2:$J$13,3,FALSE)</f>
        <v>9808</v>
      </c>
      <c r="BG138">
        <f>VLOOKUP(Grandview_Sales[[#This Row],[condition]],Lookups!$H$17:$J$24,3,FALSE)</f>
        <v>22342</v>
      </c>
      <c r="BH138">
        <f>Grandview_Sales[[#This Row],[Eff_Age]]*Lookups!$B$14</f>
        <v>-4544.1653999999999</v>
      </c>
      <c r="BI138">
        <f>Grandview_Sales[[#This Row],[living_area]]*Lookups!$B$15</f>
        <v>67308.940386999995</v>
      </c>
      <c r="BJ138">
        <f>Grandview_Sales[[#This Row],[Fin BSMT]]*Lookups!$B$16</f>
        <v>0</v>
      </c>
      <c r="BK138">
        <f>Grandview_Sales[[#This Row],[garage_sqft]]*Lookups!$B$17</f>
        <v>45510.627240000002</v>
      </c>
      <c r="BL138">
        <f>Grandview_Sales[[#This Row],[Plumbing Fixtures]]*Lookups!$B$18</f>
        <v>16083.5344</v>
      </c>
      <c r="BM138">
        <f>Grandview_Sales[[#This Row],[detatched_value]]*Lookups!$B$19</f>
        <v>0</v>
      </c>
      <c r="BN138">
        <f>Grandview_Sales[[#This Row],[days_prior]]*Lookups!$B$20</f>
        <v>-58654.865400000002</v>
      </c>
      <c r="BO138">
        <f>SUM(Grandview_Sales[[#This Row],[land_value]:[Days Prior To Assessment_value]])</f>
        <v>300326.84539842454</v>
      </c>
      <c r="BP138">
        <f>Grandview_Sales[[#This Row],[predicted_total]]/Grandview_Sales[[#This Row],[sale_price]]</f>
        <v>1.0725958764229448</v>
      </c>
      <c r="BQ138">
        <f>VLOOKUP(Grandview_Sales[[#This Row],[quality]],Lookups!$A$26:$C$33,3,FALSE)</f>
        <v>0.94295468617355149</v>
      </c>
      <c r="BR138">
        <f>VLOOKUP(Grandview_Sales[[#This Row],[condition]],Lookups!$A$37:$C$44,3,FALSE)</f>
        <v>0.97383723671140243</v>
      </c>
      <c r="BS138">
        <f>VLOOKUP(Grandview_Sales[[#This Row],[decade]],Lookups!$F$29:$H$43,3,FALSE)</f>
        <v>0.96737494181490646</v>
      </c>
      <c r="BT138">
        <f>VLOOKUP(Grandview_Sales[[#This Row],[living_area_range]],Lookups!$F$47:$H$56,3,FALSE)</f>
        <v>0.96135087979789358</v>
      </c>
      <c r="BU138">
        <f>Grandview_Sales[[#This Row],[predicted_total]]*AVERAGE(Grandview_Sales[[#This Row],[qual_adj]:[size_adj]])</f>
        <v>288728.05328216881</v>
      </c>
      <c r="BV138">
        <f>Grandview_Sales[[#This Row],[final_total]]/Grandview_Sales[[#This Row],[sale_price]]</f>
        <v>1.0311716188648885</v>
      </c>
      <c r="BW138" s="6">
        <f>(Grandview_Sales[[#This Row],[final_total]]-Grandview_Sales[[#This Row],[sale_price]])^2</f>
        <v>76178914.096377745</v>
      </c>
      <c r="BX138" s="6">
        <f>(Grandview_Sales[[#This Row],[final_total]]-AVERAGE(Grandview_Sales[sale_price]))^2</f>
        <v>332373621.84338254</v>
      </c>
      <c r="BY138" s="6">
        <f>Grandview_Sales[[#This Row],[SSE]]+Grandview_Sales[[#This Row],[SSR]]</f>
        <v>408552535.93976027</v>
      </c>
      <c r="BZ138" s="4">
        <f>ABS(Grandview_Sales[[#This Row],[final_ratio]]-MEDIAN(Grandview_Sales[final_ratio]))</f>
        <v>2.9922899509076561E-2</v>
      </c>
    </row>
    <row r="139" spans="1:78" x14ac:dyDescent="0.25">
      <c r="A139">
        <v>23092231522</v>
      </c>
      <c r="B139">
        <v>0</v>
      </c>
      <c r="C139">
        <v>9761</v>
      </c>
      <c r="D139">
        <v>0</v>
      </c>
      <c r="E139" t="s">
        <v>53</v>
      </c>
      <c r="F139" t="s">
        <v>53</v>
      </c>
      <c r="G139">
        <v>4</v>
      </c>
      <c r="H139" t="s">
        <v>54</v>
      </c>
      <c r="I139">
        <v>329100</v>
      </c>
      <c r="J139">
        <v>39500</v>
      </c>
      <c r="K139">
        <v>0.22</v>
      </c>
      <c r="L139">
        <v>-1.51412773263</v>
      </c>
      <c r="M139">
        <v>0</v>
      </c>
      <c r="N139">
        <v>0</v>
      </c>
      <c r="O139">
        <v>0</v>
      </c>
      <c r="P139">
        <v>13398.7528</v>
      </c>
      <c r="Q139">
        <v>63902.980100000001</v>
      </c>
      <c r="R139">
        <v>43615.556902869001</v>
      </c>
      <c r="S139" t="s">
        <v>58</v>
      </c>
      <c r="T139">
        <v>2</v>
      </c>
      <c r="U139" t="s">
        <v>64</v>
      </c>
      <c r="V139" t="s">
        <v>57</v>
      </c>
      <c r="W139">
        <v>0</v>
      </c>
      <c r="X139">
        <v>0</v>
      </c>
      <c r="Y139">
        <v>2</v>
      </c>
      <c r="Z139">
        <v>2</v>
      </c>
      <c r="AA139">
        <v>0</v>
      </c>
      <c r="AB139">
        <v>3000</v>
      </c>
      <c r="AC139">
        <v>2520</v>
      </c>
      <c r="AD139">
        <v>1104</v>
      </c>
      <c r="AE139">
        <v>1416</v>
      </c>
      <c r="AF139">
        <v>0</v>
      </c>
      <c r="AG139">
        <v>0</v>
      </c>
      <c r="AH139">
        <v>500</v>
      </c>
      <c r="AI139">
        <v>0</v>
      </c>
      <c r="AJ139">
        <v>0</v>
      </c>
      <c r="AK139">
        <v>0</v>
      </c>
      <c r="AL139">
        <v>13</v>
      </c>
      <c r="AM139">
        <v>0</v>
      </c>
      <c r="AN139">
        <v>0</v>
      </c>
      <c r="AO139" t="s">
        <v>58</v>
      </c>
      <c r="AP139">
        <v>1</v>
      </c>
      <c r="AQ139" t="s">
        <v>59</v>
      </c>
      <c r="AR139" t="s">
        <v>60</v>
      </c>
      <c r="AS139">
        <v>1</v>
      </c>
      <c r="AT139">
        <v>3</v>
      </c>
      <c r="AU139">
        <v>0</v>
      </c>
      <c r="AV139">
        <v>0</v>
      </c>
      <c r="AW139">
        <v>100</v>
      </c>
      <c r="AX139" s="1">
        <v>44440</v>
      </c>
      <c r="AY139">
        <v>22600</v>
      </c>
      <c r="AZ139">
        <v>437454</v>
      </c>
      <c r="BA139">
        <v>460100</v>
      </c>
      <c r="BB139">
        <v>359950</v>
      </c>
      <c r="BC139">
        <v>487</v>
      </c>
      <c r="BD139">
        <f>Grandview_Sales[[#This Row],[land_extract]]*Lookups!$B$3</f>
        <v>50650.628469298128</v>
      </c>
      <c r="BE139">
        <f>Lookups!$B$2</f>
        <v>155833.95000000001</v>
      </c>
      <c r="BF139">
        <f>VLOOKUP(Grandview_Sales[[#This Row],[quality]],Lookups!$H$2:$J$13,3,FALSE)</f>
        <v>20768</v>
      </c>
      <c r="BG139">
        <f>VLOOKUP(Grandview_Sales[[#This Row],[condition]],Lookups!$H$17:$J$24,3,FALSE)</f>
        <v>25780</v>
      </c>
      <c r="BH139">
        <f>Grandview_Sales[[#This Row],[Eff_Age]]*Lookups!$B$14</f>
        <v>-478.33319999999998</v>
      </c>
      <c r="BI139">
        <f>Grandview_Sales[[#This Row],[living_area]]*Lookups!$B$15</f>
        <v>157199.74956</v>
      </c>
      <c r="BJ139">
        <f>Grandview_Sales[[#This Row],[Fin BSMT]]*Lookups!$B$16</f>
        <v>0</v>
      </c>
      <c r="BK139">
        <f>Grandview_Sales[[#This Row],[garage_sqft]]*Lookups!$B$17</f>
        <v>43760.218500000003</v>
      </c>
      <c r="BL139">
        <f>Grandview_Sales[[#This Row],[Plumbing Fixtures]]*Lookups!$B$18</f>
        <v>26135.743399999999</v>
      </c>
      <c r="BM139">
        <f>Grandview_Sales[[#This Row],[detatched_value]]*Lookups!$B$19</f>
        <v>0</v>
      </c>
      <c r="BN139">
        <f>Grandview_Sales[[#This Row],[days_prior]]*Lookups!$B$20</f>
        <v>-58414.968200000003</v>
      </c>
      <c r="BO139">
        <f>SUM(Grandview_Sales[[#This Row],[land_value]:[Days Prior To Assessment_value]])</f>
        <v>421234.98852929811</v>
      </c>
      <c r="BP139">
        <f>Grandview_Sales[[#This Row],[predicted_total]]/Grandview_Sales[[#This Row],[sale_price]]</f>
        <v>1.1702597264322769</v>
      </c>
      <c r="BQ139">
        <f>VLOOKUP(Grandview_Sales[[#This Row],[quality]],Lookups!$A$26:$C$33,3,FALSE)</f>
        <v>0.94960540378902636</v>
      </c>
      <c r="BR139">
        <f>VLOOKUP(Grandview_Sales[[#This Row],[condition]],Lookups!$A$37:$C$44,3,FALSE)</f>
        <v>0.94347925387812148</v>
      </c>
      <c r="BS139">
        <f>VLOOKUP(Grandview_Sales[[#This Row],[decade]],Lookups!$F$29:$H$43,3,FALSE)</f>
        <v>0.9413635517371044</v>
      </c>
      <c r="BT139">
        <f>VLOOKUP(Grandview_Sales[[#This Row],[living_area_range]],Lookups!$F$47:$H$56,3,FALSE)</f>
        <v>0.94224801443562123</v>
      </c>
      <c r="BU139">
        <f>Grandview_Sales[[#This Row],[predicted_total]]*AVERAGE(Grandview_Sales[[#This Row],[qual_adj]:[size_adj]])</f>
        <v>397719.14763195813</v>
      </c>
      <c r="BV139">
        <f>Grandview_Sales[[#This Row],[final_total]]/Grandview_Sales[[#This Row],[sale_price]]</f>
        <v>1.104928872432166</v>
      </c>
      <c r="BW139" s="6">
        <f>(Grandview_Sales[[#This Row],[final_total]]-Grandview_Sales[[#This Row],[sale_price]])^2</f>
        <v>1426508512.8446481</v>
      </c>
      <c r="BX139" s="6">
        <f>(Grandview_Sales[[#This Row],[final_total]]-AVERAGE(Grandview_Sales[sale_price]))^2</f>
        <v>8237373514.5424366</v>
      </c>
      <c r="BY139" s="6">
        <f>Grandview_Sales[[#This Row],[SSE]]+Grandview_Sales[[#This Row],[SSR]]</f>
        <v>9663882027.387085</v>
      </c>
      <c r="BZ139" s="4">
        <f>ABS(Grandview_Sales[[#This Row],[final_ratio]]-MEDIAN(Grandview_Sales[final_ratio]))</f>
        <v>0.10368015307635403</v>
      </c>
    </row>
    <row r="140" spans="1:78" x14ac:dyDescent="0.25">
      <c r="A140">
        <v>23092231525</v>
      </c>
      <c r="B140">
        <v>0.32</v>
      </c>
      <c r="C140">
        <v>14029</v>
      </c>
      <c r="D140">
        <v>0</v>
      </c>
      <c r="E140" t="s">
        <v>53</v>
      </c>
      <c r="F140" t="s">
        <v>53</v>
      </c>
      <c r="G140">
        <v>4</v>
      </c>
      <c r="H140" t="s">
        <v>54</v>
      </c>
      <c r="I140">
        <v>311900</v>
      </c>
      <c r="J140">
        <v>41200</v>
      </c>
      <c r="K140">
        <v>0.32</v>
      </c>
      <c r="L140">
        <v>-1.139434283188</v>
      </c>
      <c r="M140">
        <v>0</v>
      </c>
      <c r="N140">
        <v>0</v>
      </c>
      <c r="O140">
        <v>0</v>
      </c>
      <c r="P140">
        <v>13398.7528</v>
      </c>
      <c r="Q140">
        <v>63902.980100000001</v>
      </c>
      <c r="R140">
        <v>48635.981807714001</v>
      </c>
      <c r="S140" t="s">
        <v>58</v>
      </c>
      <c r="T140">
        <v>1</v>
      </c>
      <c r="U140" t="s">
        <v>62</v>
      </c>
      <c r="V140" t="s">
        <v>57</v>
      </c>
      <c r="W140">
        <v>0</v>
      </c>
      <c r="X140">
        <v>0</v>
      </c>
      <c r="Y140">
        <v>2</v>
      </c>
      <c r="Z140">
        <v>2</v>
      </c>
      <c r="AA140">
        <v>0</v>
      </c>
      <c r="AB140">
        <v>2000</v>
      </c>
      <c r="AC140">
        <v>1960</v>
      </c>
      <c r="AD140">
        <v>1960</v>
      </c>
      <c r="AE140">
        <v>0</v>
      </c>
      <c r="AF140">
        <v>0</v>
      </c>
      <c r="AG140">
        <v>0</v>
      </c>
      <c r="AH140">
        <v>772</v>
      </c>
      <c r="AI140">
        <v>0</v>
      </c>
      <c r="AJ140">
        <v>0</v>
      </c>
      <c r="AK140">
        <v>0</v>
      </c>
      <c r="AL140">
        <v>9</v>
      </c>
      <c r="AM140">
        <v>0</v>
      </c>
      <c r="AN140">
        <v>0</v>
      </c>
      <c r="AO140" t="s">
        <v>58</v>
      </c>
      <c r="AP140">
        <v>1</v>
      </c>
      <c r="AQ140" t="s">
        <v>59</v>
      </c>
      <c r="AR140" t="s">
        <v>60</v>
      </c>
      <c r="AS140">
        <v>1</v>
      </c>
      <c r="AT140">
        <v>3</v>
      </c>
      <c r="AU140">
        <v>0</v>
      </c>
      <c r="AV140">
        <v>0</v>
      </c>
      <c r="AW140">
        <v>100</v>
      </c>
      <c r="AX140" s="1">
        <v>44440</v>
      </c>
      <c r="AY140">
        <v>23600</v>
      </c>
      <c r="AZ140">
        <v>337500</v>
      </c>
      <c r="BA140">
        <v>361100</v>
      </c>
      <c r="BB140">
        <v>368332</v>
      </c>
      <c r="BC140">
        <v>487</v>
      </c>
      <c r="BD140">
        <f>Grandview_Sales[[#This Row],[land_extract]]*Lookups!$B$3</f>
        <v>56480.834356147388</v>
      </c>
      <c r="BE140">
        <f>Lookups!$B$2</f>
        <v>155833.95000000001</v>
      </c>
      <c r="BF140">
        <f>VLOOKUP(Grandview_Sales[[#This Row],[quality]],Lookups!$H$2:$J$13,3,FALSE)</f>
        <v>9808</v>
      </c>
      <c r="BG140">
        <f>VLOOKUP(Grandview_Sales[[#This Row],[condition]],Lookups!$H$17:$J$24,3,FALSE)</f>
        <v>25780</v>
      </c>
      <c r="BH140">
        <f>Grandview_Sales[[#This Row],[Eff_Age]]*Lookups!$B$14</f>
        <v>-478.33319999999998</v>
      </c>
      <c r="BI140">
        <f>Grandview_Sales[[#This Row],[living_area]]*Lookups!$B$15</f>
        <v>122266.47188</v>
      </c>
      <c r="BJ140">
        <f>Grandview_Sales[[#This Row],[Fin BSMT]]*Lookups!$B$16</f>
        <v>0</v>
      </c>
      <c r="BK140">
        <f>Grandview_Sales[[#This Row],[garage_sqft]]*Lookups!$B$17</f>
        <v>67565.777363999994</v>
      </c>
      <c r="BL140">
        <f>Grandview_Sales[[#This Row],[Plumbing Fixtures]]*Lookups!$B$18</f>
        <v>18093.976200000001</v>
      </c>
      <c r="BM140">
        <f>Grandview_Sales[[#This Row],[detatched_value]]*Lookups!$B$19</f>
        <v>0</v>
      </c>
      <c r="BN140">
        <f>Grandview_Sales[[#This Row],[days_prior]]*Lookups!$B$20</f>
        <v>-58414.968200000003</v>
      </c>
      <c r="BO140">
        <f>SUM(Grandview_Sales[[#This Row],[land_value]:[Days Prior To Assessment_value]])</f>
        <v>396935.70840014733</v>
      </c>
      <c r="BP140">
        <f>Grandview_Sales[[#This Row],[predicted_total]]/Grandview_Sales[[#This Row],[sale_price]]</f>
        <v>1.0776574079910171</v>
      </c>
      <c r="BQ140">
        <f>VLOOKUP(Grandview_Sales[[#This Row],[quality]],Lookups!$A$26:$C$33,3,FALSE)</f>
        <v>0.94295468617355149</v>
      </c>
      <c r="BR140">
        <f>VLOOKUP(Grandview_Sales[[#This Row],[condition]],Lookups!$A$37:$C$44,3,FALSE)</f>
        <v>0.94347925387812148</v>
      </c>
      <c r="BS140">
        <f>VLOOKUP(Grandview_Sales[[#This Row],[decade]],Lookups!$F$29:$H$43,3,FALSE)</f>
        <v>0.9413635517371044</v>
      </c>
      <c r="BT140">
        <f>VLOOKUP(Grandview_Sales[[#This Row],[living_area_range]],Lookups!$F$47:$H$56,3,FALSE)</f>
        <v>0.96120133463014379</v>
      </c>
      <c r="BU140">
        <f>Grandview_Sales[[#This Row],[predicted_total]]*AVERAGE(Grandview_Sales[[#This Row],[qual_adj]:[size_adj]])</f>
        <v>375997.23332298035</v>
      </c>
      <c r="BV140">
        <f>Grandview_Sales[[#This Row],[final_total]]/Grandview_Sales[[#This Row],[sale_price]]</f>
        <v>1.0208106635399052</v>
      </c>
      <c r="BW140" s="6">
        <f>(Grandview_Sales[[#This Row],[final_total]]-Grandview_Sales[[#This Row],[sale_price]])^2</f>
        <v>58755801.89572835</v>
      </c>
      <c r="BX140" s="6">
        <f>(Grandview_Sales[[#This Row],[final_total]]-AVERAGE(Grandview_Sales[sale_price]))^2</f>
        <v>4766254168.2106066</v>
      </c>
      <c r="BY140" s="6">
        <f>Grandview_Sales[[#This Row],[SSE]]+Grandview_Sales[[#This Row],[SSR]]</f>
        <v>4825009970.1063347</v>
      </c>
      <c r="BZ140" s="4">
        <f>ABS(Grandview_Sales[[#This Row],[final_ratio]]-MEDIAN(Grandview_Sales[final_ratio]))</f>
        <v>1.9561944184093294E-2</v>
      </c>
    </row>
    <row r="141" spans="1:78" x14ac:dyDescent="0.25">
      <c r="A141">
        <v>23092621471</v>
      </c>
      <c r="B141">
        <v>0</v>
      </c>
      <c r="C141">
        <v>9041</v>
      </c>
      <c r="D141">
        <v>0</v>
      </c>
      <c r="E141" t="s">
        <v>53</v>
      </c>
      <c r="F141" t="s">
        <v>53</v>
      </c>
      <c r="G141">
        <v>4</v>
      </c>
      <c r="H141" t="s">
        <v>54</v>
      </c>
      <c r="I141">
        <v>236800</v>
      </c>
      <c r="J141">
        <v>39300</v>
      </c>
      <c r="K141">
        <v>0.21</v>
      </c>
      <c r="L141">
        <v>-1.5606477482650001</v>
      </c>
      <c r="M141">
        <v>0</v>
      </c>
      <c r="N141">
        <v>0</v>
      </c>
      <c r="O141">
        <v>0</v>
      </c>
      <c r="P141">
        <v>13398.7528</v>
      </c>
      <c r="Q141">
        <v>63902.980100000001</v>
      </c>
      <c r="R141">
        <v>42992.246713125001</v>
      </c>
      <c r="S141" t="s">
        <v>61</v>
      </c>
      <c r="T141">
        <v>1</v>
      </c>
      <c r="U141" t="s">
        <v>62</v>
      </c>
      <c r="V141" t="s">
        <v>57</v>
      </c>
      <c r="W141">
        <v>0</v>
      </c>
      <c r="X141">
        <v>0</v>
      </c>
      <c r="Y141">
        <v>2</v>
      </c>
      <c r="Z141">
        <v>2</v>
      </c>
      <c r="AA141">
        <v>0</v>
      </c>
      <c r="AB141">
        <v>1500</v>
      </c>
      <c r="AC141">
        <v>1404</v>
      </c>
      <c r="AD141">
        <v>1404</v>
      </c>
      <c r="AE141">
        <v>0</v>
      </c>
      <c r="AF141">
        <v>0</v>
      </c>
      <c r="AG141">
        <v>0</v>
      </c>
      <c r="AH141">
        <v>400</v>
      </c>
      <c r="AI141">
        <v>0</v>
      </c>
      <c r="AJ141">
        <v>0</v>
      </c>
      <c r="AK141">
        <v>0</v>
      </c>
      <c r="AL141">
        <v>8</v>
      </c>
      <c r="AM141">
        <v>0</v>
      </c>
      <c r="AN141">
        <v>0</v>
      </c>
      <c r="AO141" t="s">
        <v>58</v>
      </c>
      <c r="AP141">
        <v>1</v>
      </c>
      <c r="AQ141" t="s">
        <v>59</v>
      </c>
      <c r="AR141" t="s">
        <v>64</v>
      </c>
      <c r="AS141">
        <v>1</v>
      </c>
      <c r="AT141">
        <v>3</v>
      </c>
      <c r="AU141">
        <v>0</v>
      </c>
      <c r="AV141">
        <v>0</v>
      </c>
      <c r="AW141">
        <v>100</v>
      </c>
      <c r="AX141" s="1">
        <v>44442</v>
      </c>
      <c r="AY141">
        <v>22500</v>
      </c>
      <c r="AZ141">
        <v>251188</v>
      </c>
      <c r="BA141">
        <v>273700</v>
      </c>
      <c r="BB141">
        <v>281443</v>
      </c>
      <c r="BC141">
        <v>485</v>
      </c>
      <c r="BD141">
        <f>Grandview_Sales[[#This Row],[land_extract]]*Lookups!$B$3</f>
        <v>49926.780028885936</v>
      </c>
      <c r="BE141">
        <f>Lookups!$B$2</f>
        <v>155833.95000000001</v>
      </c>
      <c r="BF141">
        <f>VLOOKUP(Grandview_Sales[[#This Row],[quality]],Lookups!$H$2:$J$13,3,FALSE)</f>
        <v>9808</v>
      </c>
      <c r="BG141">
        <f>VLOOKUP(Grandview_Sales[[#This Row],[condition]],Lookups!$H$17:$J$24,3,FALSE)</f>
        <v>25780</v>
      </c>
      <c r="BH141">
        <f>Grandview_Sales[[#This Row],[Eff_Age]]*Lookups!$B$14</f>
        <v>-478.33319999999998</v>
      </c>
      <c r="BI141">
        <f>Grandview_Sales[[#This Row],[living_area]]*Lookups!$B$15</f>
        <v>87582.717612000008</v>
      </c>
      <c r="BJ141">
        <f>Grandview_Sales[[#This Row],[Fin BSMT]]*Lookups!$B$16</f>
        <v>0</v>
      </c>
      <c r="BK141">
        <f>Grandview_Sales[[#This Row],[garage_sqft]]*Lookups!$B$17</f>
        <v>35008.174800000001</v>
      </c>
      <c r="BL141">
        <f>Grandview_Sales[[#This Row],[Plumbing Fixtures]]*Lookups!$B$18</f>
        <v>16083.5344</v>
      </c>
      <c r="BM141">
        <f>Grandview_Sales[[#This Row],[detatched_value]]*Lookups!$B$19</f>
        <v>0</v>
      </c>
      <c r="BN141">
        <f>Grandview_Sales[[#This Row],[days_prior]]*Lookups!$B$20</f>
        <v>-58175.070999999996</v>
      </c>
      <c r="BO141">
        <f>SUM(Grandview_Sales[[#This Row],[land_value]:[Days Prior To Assessment_value]])</f>
        <v>321369.75264088594</v>
      </c>
      <c r="BP141">
        <f>Grandview_Sales[[#This Row],[predicted_total]]/Grandview_Sales[[#This Row],[sale_price]]</f>
        <v>1.1418644366386299</v>
      </c>
      <c r="BQ141">
        <f>VLOOKUP(Grandview_Sales[[#This Row],[quality]],Lookups!$A$26:$C$33,3,FALSE)</f>
        <v>0.94295468617355149</v>
      </c>
      <c r="BR141">
        <f>VLOOKUP(Grandview_Sales[[#This Row],[condition]],Lookups!$A$37:$C$44,3,FALSE)</f>
        <v>0.94347925387812148</v>
      </c>
      <c r="BS141">
        <f>VLOOKUP(Grandview_Sales[[#This Row],[decade]],Lookups!$F$29:$H$43,3,FALSE)</f>
        <v>0.9413635517371044</v>
      </c>
      <c r="BT141">
        <f>VLOOKUP(Grandview_Sales[[#This Row],[living_area_range]],Lookups!$F$47:$H$56,3,FALSE)</f>
        <v>0.96135087979789358</v>
      </c>
      <c r="BU141">
        <f>Grandview_Sales[[#This Row],[predicted_total]]*AVERAGE(Grandview_Sales[[#This Row],[qual_adj]:[size_adj]])</f>
        <v>304429.41872410604</v>
      </c>
      <c r="BV141">
        <f>Grandview_Sales[[#This Row],[final_total]]/Grandview_Sales[[#This Row],[sale_price]]</f>
        <v>1.081673442665499</v>
      </c>
      <c r="BW141" s="6">
        <f>(Grandview_Sales[[#This Row],[final_total]]-Grandview_Sales[[#This Row],[sale_price]])^2</f>
        <v>528375445.75993288</v>
      </c>
      <c r="BX141" s="6">
        <f>(Grandview_Sales[[#This Row],[final_total]]-AVERAGE(Grandview_Sales[sale_price]))^2</f>
        <v>6399642.2205957463</v>
      </c>
      <c r="BY141" s="6">
        <f>Grandview_Sales[[#This Row],[SSE]]+Grandview_Sales[[#This Row],[SSR]]</f>
        <v>534775087.98052859</v>
      </c>
      <c r="BZ141" s="4">
        <f>ABS(Grandview_Sales[[#This Row],[final_ratio]]-MEDIAN(Grandview_Sales[final_ratio]))</f>
        <v>8.0424723309687085E-2</v>
      </c>
    </row>
    <row r="142" spans="1:78" x14ac:dyDescent="0.25">
      <c r="A142">
        <v>23092621429</v>
      </c>
      <c r="B142">
        <v>0</v>
      </c>
      <c r="C142">
        <v>8050</v>
      </c>
      <c r="D142">
        <v>0</v>
      </c>
      <c r="E142" t="s">
        <v>53</v>
      </c>
      <c r="F142" t="s">
        <v>53</v>
      </c>
      <c r="G142">
        <v>4</v>
      </c>
      <c r="H142" t="s">
        <v>54</v>
      </c>
      <c r="I142">
        <v>236800</v>
      </c>
      <c r="J142">
        <v>32500</v>
      </c>
      <c r="K142">
        <v>0.18</v>
      </c>
      <c r="L142">
        <v>-1.7147984280919999</v>
      </c>
      <c r="M142">
        <v>0</v>
      </c>
      <c r="N142">
        <v>0</v>
      </c>
      <c r="O142">
        <v>0</v>
      </c>
      <c r="P142">
        <v>13398.7528</v>
      </c>
      <c r="Q142">
        <v>63902.980100000001</v>
      </c>
      <c r="R142">
        <v>40926.819860167998</v>
      </c>
      <c r="S142" t="s">
        <v>61</v>
      </c>
      <c r="T142">
        <v>1</v>
      </c>
      <c r="U142" t="s">
        <v>62</v>
      </c>
      <c r="V142" t="s">
        <v>57</v>
      </c>
      <c r="W142">
        <v>0</v>
      </c>
      <c r="X142">
        <v>0</v>
      </c>
      <c r="Y142">
        <v>2</v>
      </c>
      <c r="Z142">
        <v>2</v>
      </c>
      <c r="AA142">
        <v>0</v>
      </c>
      <c r="AB142">
        <v>1500</v>
      </c>
      <c r="AC142">
        <v>1404</v>
      </c>
      <c r="AD142">
        <v>1404</v>
      </c>
      <c r="AE142">
        <v>0</v>
      </c>
      <c r="AF142">
        <v>0</v>
      </c>
      <c r="AG142">
        <v>0</v>
      </c>
      <c r="AH142">
        <v>400</v>
      </c>
      <c r="AI142">
        <v>0</v>
      </c>
      <c r="AJ142">
        <v>0</v>
      </c>
      <c r="AK142">
        <v>0</v>
      </c>
      <c r="AL142">
        <v>8</v>
      </c>
      <c r="AM142">
        <v>0</v>
      </c>
      <c r="AN142">
        <v>0</v>
      </c>
      <c r="AO142" t="s">
        <v>58</v>
      </c>
      <c r="AP142">
        <v>1</v>
      </c>
      <c r="AQ142" t="s">
        <v>59</v>
      </c>
      <c r="AR142" t="s">
        <v>64</v>
      </c>
      <c r="AS142">
        <v>1</v>
      </c>
      <c r="AT142">
        <v>3</v>
      </c>
      <c r="AU142">
        <v>0</v>
      </c>
      <c r="AV142">
        <v>0</v>
      </c>
      <c r="AW142">
        <v>100</v>
      </c>
      <c r="AX142" s="1">
        <v>44446</v>
      </c>
      <c r="AY142">
        <v>18600</v>
      </c>
      <c r="AZ142">
        <v>251188</v>
      </c>
      <c r="BA142">
        <v>269800</v>
      </c>
      <c r="BB142">
        <v>276040</v>
      </c>
      <c r="BC142">
        <v>481</v>
      </c>
      <c r="BD142">
        <f>Grandview_Sales[[#This Row],[land_extract]]*Lookups!$B$3</f>
        <v>47528.20540119947</v>
      </c>
      <c r="BE142">
        <f>Lookups!$B$2</f>
        <v>155833.95000000001</v>
      </c>
      <c r="BF142">
        <f>VLOOKUP(Grandview_Sales[[#This Row],[quality]],Lookups!$H$2:$J$13,3,FALSE)</f>
        <v>9808</v>
      </c>
      <c r="BG142">
        <f>VLOOKUP(Grandview_Sales[[#This Row],[condition]],Lookups!$H$17:$J$24,3,FALSE)</f>
        <v>25780</v>
      </c>
      <c r="BH142">
        <f>Grandview_Sales[[#This Row],[Eff_Age]]*Lookups!$B$14</f>
        <v>-478.33319999999998</v>
      </c>
      <c r="BI142">
        <f>Grandview_Sales[[#This Row],[living_area]]*Lookups!$B$15</f>
        <v>87582.717612000008</v>
      </c>
      <c r="BJ142">
        <f>Grandview_Sales[[#This Row],[Fin BSMT]]*Lookups!$B$16</f>
        <v>0</v>
      </c>
      <c r="BK142">
        <f>Grandview_Sales[[#This Row],[garage_sqft]]*Lookups!$B$17</f>
        <v>35008.174800000001</v>
      </c>
      <c r="BL142">
        <f>Grandview_Sales[[#This Row],[Plumbing Fixtures]]*Lookups!$B$18</f>
        <v>16083.5344</v>
      </c>
      <c r="BM142">
        <f>Grandview_Sales[[#This Row],[detatched_value]]*Lookups!$B$19</f>
        <v>0</v>
      </c>
      <c r="BN142">
        <f>Grandview_Sales[[#This Row],[days_prior]]*Lookups!$B$20</f>
        <v>-57695.276599999997</v>
      </c>
      <c r="BO142">
        <f>SUM(Grandview_Sales[[#This Row],[land_value]:[Days Prior To Assessment_value]])</f>
        <v>319450.97241319949</v>
      </c>
      <c r="BP142">
        <f>Grandview_Sales[[#This Row],[predicted_total]]/Grandview_Sales[[#This Row],[sale_price]]</f>
        <v>1.1572633401434556</v>
      </c>
      <c r="BQ142">
        <f>VLOOKUP(Grandview_Sales[[#This Row],[quality]],Lookups!$A$26:$C$33,3,FALSE)</f>
        <v>0.94295468617355149</v>
      </c>
      <c r="BR142">
        <f>VLOOKUP(Grandview_Sales[[#This Row],[condition]],Lookups!$A$37:$C$44,3,FALSE)</f>
        <v>0.94347925387812148</v>
      </c>
      <c r="BS142">
        <f>VLOOKUP(Grandview_Sales[[#This Row],[decade]],Lookups!$F$29:$H$43,3,FALSE)</f>
        <v>0.9413635517371044</v>
      </c>
      <c r="BT142">
        <f>VLOOKUP(Grandview_Sales[[#This Row],[living_area_range]],Lookups!$F$47:$H$56,3,FALSE)</f>
        <v>0.96135087979789358</v>
      </c>
      <c r="BU142">
        <f>Grandview_Sales[[#This Row],[predicted_total]]*AVERAGE(Grandview_Sales[[#This Row],[qual_adj]:[size_adj]])</f>
        <v>302611.78298031335</v>
      </c>
      <c r="BV142">
        <f>Grandview_Sales[[#This Row],[final_total]]/Grandview_Sales[[#This Row],[sale_price]]</f>
        <v>1.0962606252003817</v>
      </c>
      <c r="BW142" s="6">
        <f>(Grandview_Sales[[#This Row],[final_total]]-Grandview_Sales[[#This Row],[sale_price]])^2</f>
        <v>706059650.7528702</v>
      </c>
      <c r="BX142" s="6">
        <f>(Grandview_Sales[[#This Row],[final_total]]-AVERAGE(Grandview_Sales[sale_price]))^2</f>
        <v>18899775.106547385</v>
      </c>
      <c r="BY142" s="6">
        <f>Grandview_Sales[[#This Row],[SSE]]+Grandview_Sales[[#This Row],[SSR]]</f>
        <v>724959425.85941756</v>
      </c>
      <c r="BZ142" s="4">
        <f>ABS(Grandview_Sales[[#This Row],[final_ratio]]-MEDIAN(Grandview_Sales[final_ratio]))</f>
        <v>9.5011905844569755E-2</v>
      </c>
    </row>
    <row r="143" spans="1:78" x14ac:dyDescent="0.25">
      <c r="A143">
        <v>23092332437</v>
      </c>
      <c r="B143">
        <v>0.23</v>
      </c>
      <c r="C143">
        <v>9997</v>
      </c>
      <c r="D143">
        <v>0</v>
      </c>
      <c r="E143" t="s">
        <v>53</v>
      </c>
      <c r="F143" t="s">
        <v>53</v>
      </c>
      <c r="G143">
        <v>4</v>
      </c>
      <c r="H143" t="s">
        <v>54</v>
      </c>
      <c r="I143">
        <v>187200</v>
      </c>
      <c r="J143">
        <v>39500</v>
      </c>
      <c r="K143">
        <v>0.23</v>
      </c>
      <c r="L143">
        <v>-1.4696759700590001</v>
      </c>
      <c r="M143">
        <v>0</v>
      </c>
      <c r="N143">
        <v>0</v>
      </c>
      <c r="O143">
        <v>0</v>
      </c>
      <c r="P143">
        <v>13398.7528</v>
      </c>
      <c r="Q143">
        <v>63902.980100000001</v>
      </c>
      <c r="R143">
        <v>44211.155081080004</v>
      </c>
      <c r="S143" t="s">
        <v>55</v>
      </c>
      <c r="T143">
        <v>2</v>
      </c>
      <c r="U143" t="s">
        <v>65</v>
      </c>
      <c r="V143" t="s">
        <v>69</v>
      </c>
      <c r="W143">
        <v>0</v>
      </c>
      <c r="X143">
        <v>0</v>
      </c>
      <c r="Y143">
        <v>51</v>
      </c>
      <c r="Z143">
        <v>78</v>
      </c>
      <c r="AA143">
        <v>80</v>
      </c>
      <c r="AB143">
        <v>2500</v>
      </c>
      <c r="AC143">
        <v>2092</v>
      </c>
      <c r="AD143">
        <v>862</v>
      </c>
      <c r="AE143">
        <v>456</v>
      </c>
      <c r="AF143">
        <v>774</v>
      </c>
      <c r="AG143">
        <v>0</v>
      </c>
      <c r="AH143">
        <v>264</v>
      </c>
      <c r="AI143">
        <v>0</v>
      </c>
      <c r="AJ143">
        <v>0</v>
      </c>
      <c r="AK143">
        <v>160</v>
      </c>
      <c r="AL143">
        <v>9</v>
      </c>
      <c r="AM143">
        <v>0</v>
      </c>
      <c r="AN143">
        <v>1</v>
      </c>
      <c r="AO143" t="s">
        <v>58</v>
      </c>
      <c r="AP143">
        <v>1</v>
      </c>
      <c r="AQ143" t="s">
        <v>63</v>
      </c>
      <c r="AR143" t="s">
        <v>64</v>
      </c>
      <c r="AS143">
        <v>0</v>
      </c>
      <c r="AT143">
        <v>4</v>
      </c>
      <c r="AU143">
        <v>0</v>
      </c>
      <c r="AV143">
        <v>0</v>
      </c>
      <c r="AW143">
        <v>100</v>
      </c>
      <c r="AX143" s="1">
        <v>44453</v>
      </c>
      <c r="AY143">
        <v>22600</v>
      </c>
      <c r="AZ143">
        <v>178186</v>
      </c>
      <c r="BA143">
        <v>200800</v>
      </c>
      <c r="BB143">
        <v>280000</v>
      </c>
      <c r="BC143">
        <v>474</v>
      </c>
      <c r="BD143">
        <f>Grandview_Sales[[#This Row],[land_extract]]*Lookups!$B$3</f>
        <v>51342.29502553949</v>
      </c>
      <c r="BE143">
        <f>Lookups!$B$2</f>
        <v>155833.95000000001</v>
      </c>
      <c r="BF143">
        <f>VLOOKUP(Grandview_Sales[[#This Row],[quality]],Lookups!$H$2:$J$13,3,FALSE)</f>
        <v>2251</v>
      </c>
      <c r="BG143">
        <f>VLOOKUP(Grandview_Sales[[#This Row],[condition]],Lookups!$H$17:$J$24,3,FALSE)</f>
        <v>-4503</v>
      </c>
      <c r="BH143">
        <f>Grandview_Sales[[#This Row],[Eff_Age]]*Lookups!$B$14</f>
        <v>-12197.496599999999</v>
      </c>
      <c r="BI143">
        <f>Grandview_Sales[[#This Row],[living_area]]*Lookups!$B$15</f>
        <v>130500.74447600001</v>
      </c>
      <c r="BJ143">
        <f>Grandview_Sales[[#This Row],[Fin BSMT]]*Lookups!$B$16</f>
        <v>-20974.811760000001</v>
      </c>
      <c r="BK143">
        <f>Grandview_Sales[[#This Row],[garage_sqft]]*Lookups!$B$17</f>
        <v>23105.395368000001</v>
      </c>
      <c r="BL143">
        <f>Grandview_Sales[[#This Row],[Plumbing Fixtures]]*Lookups!$B$18</f>
        <v>18093.976200000001</v>
      </c>
      <c r="BM143">
        <f>Grandview_Sales[[#This Row],[detatched_value]]*Lookups!$B$19</f>
        <v>0</v>
      </c>
      <c r="BN143">
        <f>Grandview_Sales[[#This Row],[days_prior]]*Lookups!$B$20</f>
        <v>-56855.636400000003</v>
      </c>
      <c r="BO143">
        <f>SUM(Grandview_Sales[[#This Row],[land_value]:[Days Prior To Assessment_value]])</f>
        <v>286596.41630953952</v>
      </c>
      <c r="BP143">
        <f>Grandview_Sales[[#This Row],[predicted_total]]/Grandview_Sales[[#This Row],[sale_price]]</f>
        <v>1.0235586296769268</v>
      </c>
      <c r="BQ143">
        <f>VLOOKUP(Grandview_Sales[[#This Row],[quality]],Lookups!$A$26:$C$33,3,FALSE)</f>
        <v>0.98763855981004833</v>
      </c>
      <c r="BR143">
        <f>VLOOKUP(Grandview_Sales[[#This Row],[condition]],Lookups!$A$37:$C$44,3,FALSE)</f>
        <v>0.96469275950863709</v>
      </c>
      <c r="BS143">
        <f>VLOOKUP(Grandview_Sales[[#This Row],[decade]],Lookups!$F$29:$H$43,3,FALSE)</f>
        <v>0.98763256963907298</v>
      </c>
      <c r="BT143">
        <f>VLOOKUP(Grandview_Sales[[#This Row],[living_area_range]],Lookups!$F$47:$H$56,3,FALSE)</f>
        <v>0.95799442568048754</v>
      </c>
      <c r="BU143">
        <f>Grandview_Sales[[#This Row],[predicted_total]]*AVERAGE(Grandview_Sales[[#This Row],[qual_adj]:[size_adj]])</f>
        <v>279285.2209748234</v>
      </c>
      <c r="BV143">
        <f>Grandview_Sales[[#This Row],[final_total]]/Grandview_Sales[[#This Row],[sale_price]]</f>
        <v>0.99744721776722645</v>
      </c>
      <c r="BW143" s="6">
        <f>(Grandview_Sales[[#This Row],[final_total]]-Grandview_Sales[[#This Row],[sale_price]])^2</f>
        <v>510909.05483240803</v>
      </c>
      <c r="BX143" s="6">
        <f>(Grandview_Sales[[#This Row],[final_total]]-AVERAGE(Grandview_Sales[sale_price]))^2</f>
        <v>765847462.33528018</v>
      </c>
      <c r="BY143" s="6">
        <f>Grandview_Sales[[#This Row],[SSE]]+Grandview_Sales[[#This Row],[SSR]]</f>
        <v>766358371.39011264</v>
      </c>
      <c r="BZ143" s="4">
        <f>ABS(Grandview_Sales[[#This Row],[final_ratio]]-MEDIAN(Grandview_Sales[final_ratio]))</f>
        <v>3.8015015885854986E-3</v>
      </c>
    </row>
    <row r="144" spans="1:78" x14ac:dyDescent="0.25">
      <c r="A144">
        <v>23092621431</v>
      </c>
      <c r="B144">
        <v>0</v>
      </c>
      <c r="C144">
        <v>9900</v>
      </c>
      <c r="D144">
        <v>0</v>
      </c>
      <c r="E144" t="s">
        <v>53</v>
      </c>
      <c r="F144" t="s">
        <v>53</v>
      </c>
      <c r="G144">
        <v>4</v>
      </c>
      <c r="H144" t="s">
        <v>54</v>
      </c>
      <c r="I144">
        <v>328400</v>
      </c>
      <c r="J144">
        <v>39500</v>
      </c>
      <c r="K144">
        <v>0.23</v>
      </c>
      <c r="L144">
        <v>-1.4696759700590001</v>
      </c>
      <c r="M144">
        <v>0</v>
      </c>
      <c r="N144">
        <v>0</v>
      </c>
      <c r="O144">
        <v>0</v>
      </c>
      <c r="P144">
        <v>13398.7528</v>
      </c>
      <c r="Q144">
        <v>63902.980100000001</v>
      </c>
      <c r="R144">
        <v>44211.155081080004</v>
      </c>
      <c r="S144" t="s">
        <v>58</v>
      </c>
      <c r="T144">
        <v>2</v>
      </c>
      <c r="U144" t="s">
        <v>62</v>
      </c>
      <c r="V144" t="s">
        <v>57</v>
      </c>
      <c r="W144">
        <v>0</v>
      </c>
      <c r="X144">
        <v>0</v>
      </c>
      <c r="Y144">
        <v>2</v>
      </c>
      <c r="Z144">
        <v>2</v>
      </c>
      <c r="AA144">
        <v>0</v>
      </c>
      <c r="AB144">
        <v>2500</v>
      </c>
      <c r="AC144">
        <v>2435</v>
      </c>
      <c r="AD144">
        <v>1161</v>
      </c>
      <c r="AE144">
        <v>1274</v>
      </c>
      <c r="AF144">
        <v>0</v>
      </c>
      <c r="AG144">
        <v>0</v>
      </c>
      <c r="AH144">
        <v>787</v>
      </c>
      <c r="AI144">
        <v>0</v>
      </c>
      <c r="AJ144">
        <v>0</v>
      </c>
      <c r="AK144">
        <v>182</v>
      </c>
      <c r="AL144">
        <v>12</v>
      </c>
      <c r="AM144">
        <v>0</v>
      </c>
      <c r="AN144">
        <v>0</v>
      </c>
      <c r="AO144" t="s">
        <v>58</v>
      </c>
      <c r="AP144">
        <v>1</v>
      </c>
      <c r="AQ144" t="s">
        <v>63</v>
      </c>
      <c r="AR144" t="s">
        <v>64</v>
      </c>
      <c r="AS144">
        <v>1</v>
      </c>
      <c r="AT144">
        <v>4</v>
      </c>
      <c r="AU144">
        <v>0</v>
      </c>
      <c r="AV144">
        <v>0</v>
      </c>
      <c r="AW144">
        <v>100</v>
      </c>
      <c r="AX144" s="1">
        <v>44454</v>
      </c>
      <c r="AY144">
        <v>22600</v>
      </c>
      <c r="AZ144">
        <v>386252</v>
      </c>
      <c r="BA144">
        <v>408900</v>
      </c>
      <c r="BB144">
        <v>371890</v>
      </c>
      <c r="BC144">
        <v>473</v>
      </c>
      <c r="BD144">
        <f>Grandview_Sales[[#This Row],[land_extract]]*Lookups!$B$3</f>
        <v>51342.29502553949</v>
      </c>
      <c r="BE144">
        <f>Lookups!$B$2</f>
        <v>155833.95000000001</v>
      </c>
      <c r="BF144">
        <f>VLOOKUP(Grandview_Sales[[#This Row],[quality]],Lookups!$H$2:$J$13,3,FALSE)</f>
        <v>9808</v>
      </c>
      <c r="BG144">
        <f>VLOOKUP(Grandview_Sales[[#This Row],[condition]],Lookups!$H$17:$J$24,3,FALSE)</f>
        <v>25780</v>
      </c>
      <c r="BH144">
        <f>Grandview_Sales[[#This Row],[Eff_Age]]*Lookups!$B$14</f>
        <v>-478.33319999999998</v>
      </c>
      <c r="BI144">
        <f>Grandview_Sales[[#This Row],[living_area]]*Lookups!$B$15</f>
        <v>151897.37705500002</v>
      </c>
      <c r="BJ144">
        <f>Grandview_Sales[[#This Row],[Fin BSMT]]*Lookups!$B$16</f>
        <v>0</v>
      </c>
      <c r="BK144">
        <f>Grandview_Sales[[#This Row],[garage_sqft]]*Lookups!$B$17</f>
        <v>68878.583918999997</v>
      </c>
      <c r="BL144">
        <f>Grandview_Sales[[#This Row],[Plumbing Fixtures]]*Lookups!$B$18</f>
        <v>24125.301599999999</v>
      </c>
      <c r="BM144">
        <f>Grandview_Sales[[#This Row],[detatched_value]]*Lookups!$B$19</f>
        <v>0</v>
      </c>
      <c r="BN144">
        <f>Grandview_Sales[[#This Row],[days_prior]]*Lookups!$B$20</f>
        <v>-56735.6878</v>
      </c>
      <c r="BO144">
        <f>SUM(Grandview_Sales[[#This Row],[land_value]:[Days Prior To Assessment_value]])</f>
        <v>430451.48659953952</v>
      </c>
      <c r="BP144">
        <f>Grandview_Sales[[#This Row],[predicted_total]]/Grandview_Sales[[#This Row],[sale_price]]</f>
        <v>1.1574699147585026</v>
      </c>
      <c r="BQ144">
        <f>VLOOKUP(Grandview_Sales[[#This Row],[quality]],Lookups!$A$26:$C$33,3,FALSE)</f>
        <v>0.94295468617355149</v>
      </c>
      <c r="BR144">
        <f>VLOOKUP(Grandview_Sales[[#This Row],[condition]],Lookups!$A$37:$C$44,3,FALSE)</f>
        <v>0.94347925387812148</v>
      </c>
      <c r="BS144">
        <f>VLOOKUP(Grandview_Sales[[#This Row],[decade]],Lookups!$F$29:$H$43,3,FALSE)</f>
        <v>0.9413635517371044</v>
      </c>
      <c r="BT144">
        <f>VLOOKUP(Grandview_Sales[[#This Row],[living_area_range]],Lookups!$F$47:$H$56,3,FALSE)</f>
        <v>0.95799442568048754</v>
      </c>
      <c r="BU144">
        <f>Grandview_Sales[[#This Row],[predicted_total]]*AVERAGE(Grandview_Sales[[#This Row],[qual_adj]:[size_adj]])</f>
        <v>407399.93970779155</v>
      </c>
      <c r="BV144">
        <f>Grandview_Sales[[#This Row],[final_total]]/Grandview_Sales[[#This Row],[sale_price]]</f>
        <v>1.0954850620016445</v>
      </c>
      <c r="BW144" s="6">
        <f>(Grandview_Sales[[#This Row],[final_total]]-Grandview_Sales[[#This Row],[sale_price]])^2</f>
        <v>1260955818.0509911</v>
      </c>
      <c r="BX144" s="6">
        <f>(Grandview_Sales[[#This Row],[final_total]]-AVERAGE(Grandview_Sales[sale_price]))^2</f>
        <v>10088348191.593405</v>
      </c>
      <c r="BY144" s="6">
        <f>Grandview_Sales[[#This Row],[SSE]]+Grandview_Sales[[#This Row],[SSR]]</f>
        <v>11349304009.644396</v>
      </c>
      <c r="BZ144" s="4">
        <f>ABS(Grandview_Sales[[#This Row],[final_ratio]]-MEDIAN(Grandview_Sales[final_ratio]))</f>
        <v>9.4236342645832583E-2</v>
      </c>
    </row>
    <row r="145" spans="1:78" x14ac:dyDescent="0.25">
      <c r="A145">
        <v>23092231523</v>
      </c>
      <c r="B145">
        <v>0.2</v>
      </c>
      <c r="C145">
        <v>8871</v>
      </c>
      <c r="D145">
        <v>0</v>
      </c>
      <c r="E145" t="s">
        <v>53</v>
      </c>
      <c r="F145" t="s">
        <v>53</v>
      </c>
      <c r="G145">
        <v>4</v>
      </c>
      <c r="H145" t="s">
        <v>54</v>
      </c>
      <c r="I145">
        <v>308000</v>
      </c>
      <c r="J145">
        <v>39300</v>
      </c>
      <c r="K145">
        <v>0.2</v>
      </c>
      <c r="L145">
        <v>-1.6094379124339999</v>
      </c>
      <c r="M145">
        <v>0</v>
      </c>
      <c r="N145">
        <v>0</v>
      </c>
      <c r="O145">
        <v>0</v>
      </c>
      <c r="P145">
        <v>13398.7528</v>
      </c>
      <c r="Q145">
        <v>63902.980100000001</v>
      </c>
      <c r="R145">
        <v>42338.519364346997</v>
      </c>
      <c r="S145" t="s">
        <v>58</v>
      </c>
      <c r="T145">
        <v>2</v>
      </c>
      <c r="U145" t="s">
        <v>62</v>
      </c>
      <c r="V145" t="s">
        <v>57</v>
      </c>
      <c r="W145">
        <v>0</v>
      </c>
      <c r="X145">
        <v>0</v>
      </c>
      <c r="Y145">
        <v>2</v>
      </c>
      <c r="Z145">
        <v>2</v>
      </c>
      <c r="AA145">
        <v>0</v>
      </c>
      <c r="AB145">
        <v>2500</v>
      </c>
      <c r="AC145">
        <v>2374</v>
      </c>
      <c r="AD145">
        <v>924</v>
      </c>
      <c r="AE145">
        <v>1450</v>
      </c>
      <c r="AF145">
        <v>0</v>
      </c>
      <c r="AG145">
        <v>0</v>
      </c>
      <c r="AH145">
        <v>526</v>
      </c>
      <c r="AI145">
        <v>0</v>
      </c>
      <c r="AJ145">
        <v>0</v>
      </c>
      <c r="AK145">
        <v>0</v>
      </c>
      <c r="AL145">
        <v>11</v>
      </c>
      <c r="AM145">
        <v>0</v>
      </c>
      <c r="AN145">
        <v>0</v>
      </c>
      <c r="AO145" t="s">
        <v>58</v>
      </c>
      <c r="AP145">
        <v>1</v>
      </c>
      <c r="AQ145" t="s">
        <v>59</v>
      </c>
      <c r="AR145" t="s">
        <v>60</v>
      </c>
      <c r="AS145">
        <v>1</v>
      </c>
      <c r="AT145">
        <v>4</v>
      </c>
      <c r="AU145">
        <v>0</v>
      </c>
      <c r="AV145">
        <v>0</v>
      </c>
      <c r="AW145">
        <v>100</v>
      </c>
      <c r="AX145" s="1">
        <v>44454</v>
      </c>
      <c r="AY145">
        <v>22500</v>
      </c>
      <c r="AZ145">
        <v>356170</v>
      </c>
      <c r="BA145">
        <v>378700</v>
      </c>
      <c r="BB145">
        <v>401800</v>
      </c>
      <c r="BC145">
        <v>473</v>
      </c>
      <c r="BD145">
        <f>Grandview_Sales[[#This Row],[land_extract]]*Lookups!$B$3</f>
        <v>49167.608223813884</v>
      </c>
      <c r="BE145">
        <f>Lookups!$B$2</f>
        <v>155833.95000000001</v>
      </c>
      <c r="BF145">
        <f>VLOOKUP(Grandview_Sales[[#This Row],[quality]],Lookups!$H$2:$J$13,3,FALSE)</f>
        <v>9808</v>
      </c>
      <c r="BG145">
        <f>VLOOKUP(Grandview_Sales[[#This Row],[condition]],Lookups!$H$17:$J$24,3,FALSE)</f>
        <v>25780</v>
      </c>
      <c r="BH145">
        <f>Grandview_Sales[[#This Row],[Eff_Age]]*Lookups!$B$14</f>
        <v>-478.33319999999998</v>
      </c>
      <c r="BI145">
        <f>Grandview_Sales[[#This Row],[living_area]]*Lookups!$B$15</f>
        <v>148092.14502200001</v>
      </c>
      <c r="BJ145">
        <f>Grandview_Sales[[#This Row],[Fin BSMT]]*Lookups!$B$16</f>
        <v>0</v>
      </c>
      <c r="BK145">
        <f>Grandview_Sales[[#This Row],[garage_sqft]]*Lookups!$B$17</f>
        <v>46035.749862000004</v>
      </c>
      <c r="BL145">
        <f>Grandview_Sales[[#This Row],[Plumbing Fixtures]]*Lookups!$B$18</f>
        <v>22114.859800000002</v>
      </c>
      <c r="BM145">
        <f>Grandview_Sales[[#This Row],[detatched_value]]*Lookups!$B$19</f>
        <v>0</v>
      </c>
      <c r="BN145">
        <f>Grandview_Sales[[#This Row],[days_prior]]*Lookups!$B$20</f>
        <v>-56735.6878</v>
      </c>
      <c r="BO145">
        <f>SUM(Grandview_Sales[[#This Row],[land_value]:[Days Prior To Assessment_value]])</f>
        <v>399618.29190781387</v>
      </c>
      <c r="BP145">
        <f>Grandview_Sales[[#This Row],[predicted_total]]/Grandview_Sales[[#This Row],[sale_price]]</f>
        <v>0.99457016403139342</v>
      </c>
      <c r="BQ145">
        <f>VLOOKUP(Grandview_Sales[[#This Row],[quality]],Lookups!$A$26:$C$33,3,FALSE)</f>
        <v>0.94295468617355149</v>
      </c>
      <c r="BR145">
        <f>VLOOKUP(Grandview_Sales[[#This Row],[condition]],Lookups!$A$37:$C$44,3,FALSE)</f>
        <v>0.94347925387812148</v>
      </c>
      <c r="BS145">
        <f>VLOOKUP(Grandview_Sales[[#This Row],[decade]],Lookups!$F$29:$H$43,3,FALSE)</f>
        <v>0.9413635517371044</v>
      </c>
      <c r="BT145">
        <f>VLOOKUP(Grandview_Sales[[#This Row],[living_area_range]],Lookups!$F$47:$H$56,3,FALSE)</f>
        <v>0.95799442568048754</v>
      </c>
      <c r="BU145">
        <f>Grandview_Sales[[#This Row],[predicted_total]]*AVERAGE(Grandview_Sales[[#This Row],[qual_adj]:[size_adj]])</f>
        <v>378217.92489436874</v>
      </c>
      <c r="BV145">
        <f>Grandview_Sales[[#This Row],[final_total]]/Grandview_Sales[[#This Row],[sale_price]]</f>
        <v>0.9413089220865325</v>
      </c>
      <c r="BW145" s="6">
        <f>(Grandview_Sales[[#This Row],[final_total]]-Grandview_Sales[[#This Row],[sale_price]])^2</f>
        <v>556114266.28763354</v>
      </c>
      <c r="BX145" s="6">
        <f>(Grandview_Sales[[#This Row],[final_total]]-AVERAGE(Grandview_Sales[sale_price]))^2</f>
        <v>5077810129.3016243</v>
      </c>
      <c r="BY145" s="6">
        <f>Grandview_Sales[[#This Row],[SSE]]+Grandview_Sales[[#This Row],[SSR]]</f>
        <v>5633924395.5892582</v>
      </c>
      <c r="BZ145" s="4">
        <f>ABS(Grandview_Sales[[#This Row],[final_ratio]]-MEDIAN(Grandview_Sales[final_ratio]))</f>
        <v>5.9939797269279449E-2</v>
      </c>
    </row>
    <row r="146" spans="1:78" x14ac:dyDescent="0.25">
      <c r="A146">
        <v>23092241419</v>
      </c>
      <c r="B146">
        <v>0.26</v>
      </c>
      <c r="C146">
        <v>11529</v>
      </c>
      <c r="D146">
        <v>0</v>
      </c>
      <c r="E146" t="s">
        <v>53</v>
      </c>
      <c r="F146" t="s">
        <v>53</v>
      </c>
      <c r="G146">
        <v>4</v>
      </c>
      <c r="H146" t="s">
        <v>54</v>
      </c>
      <c r="I146">
        <v>202800</v>
      </c>
      <c r="J146">
        <v>44500</v>
      </c>
      <c r="K146">
        <v>0.26</v>
      </c>
      <c r="L146">
        <v>-1.347073647967</v>
      </c>
      <c r="M146">
        <v>0</v>
      </c>
      <c r="N146">
        <v>0</v>
      </c>
      <c r="O146">
        <v>0</v>
      </c>
      <c r="P146">
        <v>13398.7528</v>
      </c>
      <c r="Q146">
        <v>63902.980100000001</v>
      </c>
      <c r="R146">
        <v>45853.873287501003</v>
      </c>
      <c r="S146" t="s">
        <v>61</v>
      </c>
      <c r="T146">
        <v>1</v>
      </c>
      <c r="U146" t="s">
        <v>62</v>
      </c>
      <c r="V146" t="s">
        <v>69</v>
      </c>
      <c r="W146">
        <v>0</v>
      </c>
      <c r="X146">
        <v>0</v>
      </c>
      <c r="Y146">
        <v>47</v>
      </c>
      <c r="Z146">
        <v>57</v>
      </c>
      <c r="AA146">
        <v>60</v>
      </c>
      <c r="AB146">
        <v>2000</v>
      </c>
      <c r="AC146">
        <v>1972</v>
      </c>
      <c r="AD146">
        <v>1106</v>
      </c>
      <c r="AE146">
        <v>0</v>
      </c>
      <c r="AF146">
        <v>866</v>
      </c>
      <c r="AG146">
        <v>240</v>
      </c>
      <c r="AH146">
        <v>575</v>
      </c>
      <c r="AI146">
        <v>0</v>
      </c>
      <c r="AJ146">
        <v>0</v>
      </c>
      <c r="AK146">
        <v>467</v>
      </c>
      <c r="AL146">
        <v>8</v>
      </c>
      <c r="AM146">
        <v>1</v>
      </c>
      <c r="AN146">
        <v>0</v>
      </c>
      <c r="AO146" t="s">
        <v>58</v>
      </c>
      <c r="AP146">
        <v>1</v>
      </c>
      <c r="AQ146" t="s">
        <v>63</v>
      </c>
      <c r="AR146" t="s">
        <v>64</v>
      </c>
      <c r="AS146">
        <v>1</v>
      </c>
      <c r="AT146">
        <v>3</v>
      </c>
      <c r="AU146">
        <v>0</v>
      </c>
      <c r="AV146">
        <v>0</v>
      </c>
      <c r="AW146">
        <v>100</v>
      </c>
      <c r="AX146" s="1">
        <v>44455</v>
      </c>
      <c r="AY146">
        <v>25500</v>
      </c>
      <c r="AZ146">
        <v>221693</v>
      </c>
      <c r="BA146">
        <v>247200</v>
      </c>
      <c r="BB146">
        <v>290000</v>
      </c>
      <c r="BC146">
        <v>472</v>
      </c>
      <c r="BD146">
        <f>Grandview_Sales[[#This Row],[land_extract]]*Lookups!$B$3</f>
        <v>53249.979243317037</v>
      </c>
      <c r="BE146">
        <f>Lookups!$B$2</f>
        <v>155833.95000000001</v>
      </c>
      <c r="BF146">
        <f>VLOOKUP(Grandview_Sales[[#This Row],[quality]],Lookups!$H$2:$J$13,3,FALSE)</f>
        <v>9808</v>
      </c>
      <c r="BG146">
        <f>VLOOKUP(Grandview_Sales[[#This Row],[condition]],Lookups!$H$17:$J$24,3,FALSE)</f>
        <v>-4503</v>
      </c>
      <c r="BH146">
        <f>Grandview_Sales[[#This Row],[Eff_Age]]*Lookups!$B$14</f>
        <v>-11240.8302</v>
      </c>
      <c r="BI146">
        <f>Grandview_Sales[[#This Row],[living_area]]*Lookups!$B$15</f>
        <v>123015.042116</v>
      </c>
      <c r="BJ146">
        <f>Grandview_Sales[[#This Row],[Fin BSMT]]*Lookups!$B$16</f>
        <v>-23467.941840000003</v>
      </c>
      <c r="BK146">
        <f>Grandview_Sales[[#This Row],[garage_sqft]]*Lookups!$B$17</f>
        <v>50324.251275000002</v>
      </c>
      <c r="BL146">
        <f>Grandview_Sales[[#This Row],[Plumbing Fixtures]]*Lookups!$B$18</f>
        <v>16083.5344</v>
      </c>
      <c r="BM146">
        <f>Grandview_Sales[[#This Row],[detatched_value]]*Lookups!$B$19</f>
        <v>0</v>
      </c>
      <c r="BN146">
        <f>Grandview_Sales[[#This Row],[days_prior]]*Lookups!$B$20</f>
        <v>-56615.739199999996</v>
      </c>
      <c r="BO146">
        <f>SUM(Grandview_Sales[[#This Row],[land_value]:[Days Prior To Assessment_value]])</f>
        <v>312487.24579431704</v>
      </c>
      <c r="BP146">
        <f>Grandview_Sales[[#This Row],[predicted_total]]/Grandview_Sales[[#This Row],[sale_price]]</f>
        <v>1.0775422268769552</v>
      </c>
      <c r="BQ146">
        <f>VLOOKUP(Grandview_Sales[[#This Row],[quality]],Lookups!$A$26:$C$33,3,FALSE)</f>
        <v>0.94295468617355149</v>
      </c>
      <c r="BR146">
        <f>VLOOKUP(Grandview_Sales[[#This Row],[condition]],Lookups!$A$37:$C$44,3,FALSE)</f>
        <v>0.96469275950863709</v>
      </c>
      <c r="BS146">
        <f>VLOOKUP(Grandview_Sales[[#This Row],[decade]],Lookups!$F$29:$H$43,3,FALSE)</f>
        <v>0.95268620544463312</v>
      </c>
      <c r="BT146">
        <f>VLOOKUP(Grandview_Sales[[#This Row],[living_area_range]],Lookups!$F$47:$H$56,3,FALSE)</f>
        <v>0.96120133463014379</v>
      </c>
      <c r="BU146">
        <f>Grandview_Sales[[#This Row],[predicted_total]]*AVERAGE(Grandview_Sales[[#This Row],[qual_adj]:[size_adj]])</f>
        <v>298545.23560145468</v>
      </c>
      <c r="BV146">
        <f>Grandview_Sales[[#This Row],[final_total]]/Grandview_Sales[[#This Row],[sale_price]]</f>
        <v>1.0294663296601885</v>
      </c>
      <c r="BW146" s="6">
        <f>(Grandview_Sales[[#This Row],[final_total]]-Grandview_Sales[[#This Row],[sale_price]])^2</f>
        <v>73021051.484368563</v>
      </c>
      <c r="BX146" s="6">
        <f>(Grandview_Sales[[#This Row],[final_total]]-AVERAGE(Grandview_Sales[sale_price]))^2</f>
        <v>70794294.400227964</v>
      </c>
      <c r="BY146" s="6">
        <f>Grandview_Sales[[#This Row],[SSE]]+Grandview_Sales[[#This Row],[SSR]]</f>
        <v>143815345.88459653</v>
      </c>
      <c r="BZ146" s="4">
        <f>ABS(Grandview_Sales[[#This Row],[final_ratio]]-MEDIAN(Grandview_Sales[final_ratio]))</f>
        <v>2.8217610304376528E-2</v>
      </c>
    </row>
    <row r="147" spans="1:78" x14ac:dyDescent="0.25">
      <c r="A147">
        <v>23092621472</v>
      </c>
      <c r="B147">
        <v>0</v>
      </c>
      <c r="C147">
        <v>8662</v>
      </c>
      <c r="D147">
        <v>0</v>
      </c>
      <c r="E147" t="s">
        <v>53</v>
      </c>
      <c r="F147" t="s">
        <v>53</v>
      </c>
      <c r="G147">
        <v>4</v>
      </c>
      <c r="H147" t="s">
        <v>54</v>
      </c>
      <c r="I147">
        <v>341700</v>
      </c>
      <c r="J147">
        <v>39300</v>
      </c>
      <c r="K147">
        <v>0.2</v>
      </c>
      <c r="L147">
        <v>-1.6094379124339999</v>
      </c>
      <c r="M147">
        <v>0</v>
      </c>
      <c r="N147">
        <v>0</v>
      </c>
      <c r="O147">
        <v>0</v>
      </c>
      <c r="P147">
        <v>13398.7528</v>
      </c>
      <c r="Q147">
        <v>63902.980100000001</v>
      </c>
      <c r="R147">
        <v>42338.519364346997</v>
      </c>
      <c r="S147" t="s">
        <v>58</v>
      </c>
      <c r="T147">
        <v>2</v>
      </c>
      <c r="U147" t="s">
        <v>64</v>
      </c>
      <c r="V147" t="s">
        <v>57</v>
      </c>
      <c r="W147">
        <v>0</v>
      </c>
      <c r="X147">
        <v>0</v>
      </c>
      <c r="Y147">
        <v>2</v>
      </c>
      <c r="Z147">
        <v>2</v>
      </c>
      <c r="AA147">
        <v>0</v>
      </c>
      <c r="AB147">
        <v>2500</v>
      </c>
      <c r="AC147">
        <v>2435</v>
      </c>
      <c r="AD147">
        <v>1161</v>
      </c>
      <c r="AE147">
        <v>1274</v>
      </c>
      <c r="AF147">
        <v>0</v>
      </c>
      <c r="AG147">
        <v>0</v>
      </c>
      <c r="AH147">
        <v>787</v>
      </c>
      <c r="AI147">
        <v>0</v>
      </c>
      <c r="AJ147">
        <v>0</v>
      </c>
      <c r="AK147">
        <v>182</v>
      </c>
      <c r="AL147">
        <v>12</v>
      </c>
      <c r="AM147">
        <v>0</v>
      </c>
      <c r="AN147">
        <v>0</v>
      </c>
      <c r="AO147" t="s">
        <v>58</v>
      </c>
      <c r="AP147">
        <v>1</v>
      </c>
      <c r="AQ147" t="s">
        <v>63</v>
      </c>
      <c r="AR147" t="s">
        <v>64</v>
      </c>
      <c r="AS147">
        <v>1</v>
      </c>
      <c r="AT147">
        <v>4</v>
      </c>
      <c r="AU147">
        <v>0</v>
      </c>
      <c r="AV147">
        <v>0</v>
      </c>
      <c r="AW147">
        <v>100</v>
      </c>
      <c r="AX147" s="1">
        <v>44456</v>
      </c>
      <c r="AY147">
        <v>22500</v>
      </c>
      <c r="AZ147">
        <v>434646</v>
      </c>
      <c r="BA147">
        <v>457100</v>
      </c>
      <c r="BB147">
        <v>356300</v>
      </c>
      <c r="BC147">
        <v>471</v>
      </c>
      <c r="BD147">
        <f>Grandview_Sales[[#This Row],[land_extract]]*Lookups!$B$3</f>
        <v>49167.608223813884</v>
      </c>
      <c r="BE147">
        <f>Lookups!$B$2</f>
        <v>155833.95000000001</v>
      </c>
      <c r="BF147">
        <f>VLOOKUP(Grandview_Sales[[#This Row],[quality]],Lookups!$H$2:$J$13,3,FALSE)</f>
        <v>20768</v>
      </c>
      <c r="BG147">
        <f>VLOOKUP(Grandview_Sales[[#This Row],[condition]],Lookups!$H$17:$J$24,3,FALSE)</f>
        <v>25780</v>
      </c>
      <c r="BH147">
        <f>Grandview_Sales[[#This Row],[Eff_Age]]*Lookups!$B$14</f>
        <v>-478.33319999999998</v>
      </c>
      <c r="BI147">
        <f>Grandview_Sales[[#This Row],[living_area]]*Lookups!$B$15</f>
        <v>151897.37705500002</v>
      </c>
      <c r="BJ147">
        <f>Grandview_Sales[[#This Row],[Fin BSMT]]*Lookups!$B$16</f>
        <v>0</v>
      </c>
      <c r="BK147">
        <f>Grandview_Sales[[#This Row],[garage_sqft]]*Lookups!$B$17</f>
        <v>68878.583918999997</v>
      </c>
      <c r="BL147">
        <f>Grandview_Sales[[#This Row],[Plumbing Fixtures]]*Lookups!$B$18</f>
        <v>24125.301599999999</v>
      </c>
      <c r="BM147">
        <f>Grandview_Sales[[#This Row],[detatched_value]]*Lookups!$B$19</f>
        <v>0</v>
      </c>
      <c r="BN147">
        <f>Grandview_Sales[[#This Row],[days_prior]]*Lookups!$B$20</f>
        <v>-56495.7906</v>
      </c>
      <c r="BO147">
        <f>SUM(Grandview_Sales[[#This Row],[land_value]:[Days Prior To Assessment_value]])</f>
        <v>439476.69699781394</v>
      </c>
      <c r="BP147">
        <f>Grandview_Sales[[#This Row],[predicted_total]]/Grandview_Sales[[#This Row],[sale_price]]</f>
        <v>1.2334456834067189</v>
      </c>
      <c r="BQ147">
        <f>VLOOKUP(Grandview_Sales[[#This Row],[quality]],Lookups!$A$26:$C$33,3,FALSE)</f>
        <v>0.94960540378902636</v>
      </c>
      <c r="BR147">
        <f>VLOOKUP(Grandview_Sales[[#This Row],[condition]],Lookups!$A$37:$C$44,3,FALSE)</f>
        <v>0.94347925387812148</v>
      </c>
      <c r="BS147">
        <f>VLOOKUP(Grandview_Sales[[#This Row],[decade]],Lookups!$F$29:$H$43,3,FALSE)</f>
        <v>0.9413635517371044</v>
      </c>
      <c r="BT147">
        <f>VLOOKUP(Grandview_Sales[[#This Row],[living_area_range]],Lookups!$F$47:$H$56,3,FALSE)</f>
        <v>0.95799442568048754</v>
      </c>
      <c r="BU147">
        <f>Grandview_Sales[[#This Row],[predicted_total]]*AVERAGE(Grandview_Sales[[#This Row],[qual_adj]:[size_adj]])</f>
        <v>416672.54070518183</v>
      </c>
      <c r="BV147">
        <f>Grandview_Sales[[#This Row],[final_total]]/Grandview_Sales[[#This Row],[sale_price]]</f>
        <v>1.1694429994532187</v>
      </c>
      <c r="BW147" s="6">
        <f>(Grandview_Sales[[#This Row],[final_total]]-Grandview_Sales[[#This Row],[sale_price]])^2</f>
        <v>3644843671.1988373</v>
      </c>
      <c r="BX147" s="6">
        <f>(Grandview_Sales[[#This Row],[final_total]]-AVERAGE(Grandview_Sales[sale_price]))^2</f>
        <v>12037023681.016718</v>
      </c>
      <c r="BY147" s="6">
        <f>Grandview_Sales[[#This Row],[SSE]]+Grandview_Sales[[#This Row],[SSR]]</f>
        <v>15681867352.215555</v>
      </c>
      <c r="BZ147" s="4">
        <f>ABS(Grandview_Sales[[#This Row],[final_ratio]]-MEDIAN(Grandview_Sales[final_ratio]))</f>
        <v>0.16819428009740678</v>
      </c>
    </row>
    <row r="148" spans="1:78" x14ac:dyDescent="0.25">
      <c r="A148">
        <v>23091433401</v>
      </c>
      <c r="B148">
        <v>0.17</v>
      </c>
      <c r="C148">
        <v>0</v>
      </c>
      <c r="D148">
        <v>0</v>
      </c>
      <c r="E148" t="s">
        <v>53</v>
      </c>
      <c r="F148" t="s">
        <v>53</v>
      </c>
      <c r="G148">
        <v>4</v>
      </c>
      <c r="H148" t="s">
        <v>54</v>
      </c>
      <c r="I148">
        <v>172900</v>
      </c>
      <c r="J148">
        <v>38800</v>
      </c>
      <c r="K148">
        <v>0.17</v>
      </c>
      <c r="L148">
        <v>-1.771956841932</v>
      </c>
      <c r="M148">
        <v>0</v>
      </c>
      <c r="N148">
        <v>0</v>
      </c>
      <c r="O148">
        <v>0</v>
      </c>
      <c r="P148">
        <v>13398.7528</v>
      </c>
      <c r="Q148">
        <v>63902.980100000001</v>
      </c>
      <c r="R148">
        <v>40160.968402685998</v>
      </c>
      <c r="S148" t="s">
        <v>68</v>
      </c>
      <c r="T148">
        <v>1</v>
      </c>
      <c r="U148" t="s">
        <v>70</v>
      </c>
      <c r="V148" t="s">
        <v>66</v>
      </c>
      <c r="W148">
        <v>0</v>
      </c>
      <c r="X148">
        <v>0</v>
      </c>
      <c r="Y148">
        <v>57</v>
      </c>
      <c r="Z148">
        <v>103</v>
      </c>
      <c r="AA148">
        <v>100</v>
      </c>
      <c r="AB148">
        <v>1500</v>
      </c>
      <c r="AC148">
        <v>1054</v>
      </c>
      <c r="AD148">
        <v>1054</v>
      </c>
      <c r="AE148">
        <v>0</v>
      </c>
      <c r="AF148">
        <v>0</v>
      </c>
      <c r="AG148">
        <v>682</v>
      </c>
      <c r="AH148">
        <v>0</v>
      </c>
      <c r="AI148">
        <v>0</v>
      </c>
      <c r="AJ148">
        <v>0</v>
      </c>
      <c r="AK148">
        <v>0</v>
      </c>
      <c r="AL148">
        <v>8</v>
      </c>
      <c r="AM148">
        <v>0</v>
      </c>
      <c r="AN148">
        <v>0</v>
      </c>
      <c r="AO148" t="s">
        <v>58</v>
      </c>
      <c r="AP148">
        <v>1</v>
      </c>
      <c r="AQ148" t="s">
        <v>59</v>
      </c>
      <c r="AR148" t="s">
        <v>60</v>
      </c>
      <c r="AS148">
        <v>1</v>
      </c>
      <c r="AT148">
        <v>2</v>
      </c>
      <c r="AU148">
        <v>0</v>
      </c>
      <c r="AV148">
        <v>0</v>
      </c>
      <c r="AW148">
        <v>100</v>
      </c>
      <c r="AX148" s="1">
        <v>44456</v>
      </c>
      <c r="AY148">
        <v>22200</v>
      </c>
      <c r="AZ148">
        <v>136628</v>
      </c>
      <c r="BA148">
        <v>158800</v>
      </c>
      <c r="BB148">
        <v>235000</v>
      </c>
      <c r="BC148">
        <v>471</v>
      </c>
      <c r="BD148">
        <f>Grandview_Sales[[#This Row],[land_extract]]*Lookups!$B$3</f>
        <v>46638.82417142456</v>
      </c>
      <c r="BE148">
        <f>Lookups!$B$2</f>
        <v>155833.95000000001</v>
      </c>
      <c r="BF148">
        <f>VLOOKUP(Grandview_Sales[[#This Row],[quality]],Lookups!$H$2:$J$13,3,FALSE)</f>
        <v>10733</v>
      </c>
      <c r="BG148">
        <f>VLOOKUP(Grandview_Sales[[#This Row],[condition]],Lookups!$H$17:$J$24,3,FALSE)</f>
        <v>25818</v>
      </c>
      <c r="BH148">
        <f>Grandview_Sales[[#This Row],[Eff_Age]]*Lookups!$B$14</f>
        <v>-13632.4962</v>
      </c>
      <c r="BI148">
        <f>Grandview_Sales[[#This Row],[living_area]]*Lookups!$B$15</f>
        <v>65749.419062000001</v>
      </c>
      <c r="BJ148">
        <f>Grandview_Sales[[#This Row],[Fin BSMT]]*Lookups!$B$16</f>
        <v>0</v>
      </c>
      <c r="BK148">
        <f>Grandview_Sales[[#This Row],[garage_sqft]]*Lookups!$B$17</f>
        <v>0</v>
      </c>
      <c r="BL148">
        <f>Grandview_Sales[[#This Row],[Plumbing Fixtures]]*Lookups!$B$18</f>
        <v>16083.5344</v>
      </c>
      <c r="BM148">
        <f>Grandview_Sales[[#This Row],[detatched_value]]*Lookups!$B$19</f>
        <v>0</v>
      </c>
      <c r="BN148">
        <f>Grandview_Sales[[#This Row],[days_prior]]*Lookups!$B$20</f>
        <v>-56495.7906</v>
      </c>
      <c r="BO148">
        <f>SUM(Grandview_Sales[[#This Row],[land_value]:[Days Prior To Assessment_value]])</f>
        <v>250728.44083342457</v>
      </c>
      <c r="BP148">
        <f>Grandview_Sales[[#This Row],[predicted_total]]/Grandview_Sales[[#This Row],[sale_price]]</f>
        <v>1.066929535461381</v>
      </c>
      <c r="BQ148">
        <f>VLOOKUP(Grandview_Sales[[#This Row],[quality]],Lookups!$A$26:$C$33,3,FALSE)</f>
        <v>0.98079741117310582</v>
      </c>
      <c r="BR148">
        <f>VLOOKUP(Grandview_Sales[[#This Row],[condition]],Lookups!$A$37:$C$44,3,FALSE)</f>
        <v>0.96661476234146892</v>
      </c>
      <c r="BS148">
        <f>VLOOKUP(Grandview_Sales[[#This Row],[decade]],Lookups!$F$29:$H$43,3,FALSE)</f>
        <v>0.95244691841736806</v>
      </c>
      <c r="BT148">
        <f>VLOOKUP(Grandview_Sales[[#This Row],[living_area_range]],Lookups!$F$47:$H$56,3,FALSE)</f>
        <v>0.96135087979789358</v>
      </c>
      <c r="BU148">
        <f>Grandview_Sales[[#This Row],[predicted_total]]*AVERAGE(Grandview_Sales[[#This Row],[qual_adj]:[size_adj]])</f>
        <v>242028.78898557331</v>
      </c>
      <c r="BV148">
        <f>Grandview_Sales[[#This Row],[final_total]]/Grandview_Sales[[#This Row],[sale_price]]</f>
        <v>1.0299097403641417</v>
      </c>
      <c r="BW148" s="6">
        <f>(Grandview_Sales[[#This Row],[final_total]]-Grandview_Sales[[#This Row],[sale_price]])^2</f>
        <v>49403874.603716657</v>
      </c>
      <c r="BX148" s="6">
        <f>(Grandview_Sales[[#This Row],[final_total]]-AVERAGE(Grandview_Sales[sale_price]))^2</f>
        <v>4215954396.7148376</v>
      </c>
      <c r="BY148" s="6">
        <f>Grandview_Sales[[#This Row],[SSE]]+Grandview_Sales[[#This Row],[SSR]]</f>
        <v>4265358271.3185544</v>
      </c>
      <c r="BZ148" s="4">
        <f>ABS(Grandview_Sales[[#This Row],[final_ratio]]-MEDIAN(Grandview_Sales[final_ratio]))</f>
        <v>2.866102100832979E-2</v>
      </c>
    </row>
    <row r="149" spans="1:78" x14ac:dyDescent="0.25">
      <c r="A149">
        <v>23092621469</v>
      </c>
      <c r="B149">
        <v>0</v>
      </c>
      <c r="C149">
        <v>8605</v>
      </c>
      <c r="D149">
        <v>0</v>
      </c>
      <c r="E149" t="s">
        <v>53</v>
      </c>
      <c r="F149" t="s">
        <v>53</v>
      </c>
      <c r="G149">
        <v>4</v>
      </c>
      <c r="H149" t="s">
        <v>54</v>
      </c>
      <c r="I149">
        <v>266300</v>
      </c>
      <c r="J149">
        <v>39300</v>
      </c>
      <c r="K149">
        <v>0.2</v>
      </c>
      <c r="L149">
        <v>-1.6094379124339999</v>
      </c>
      <c r="M149">
        <v>0</v>
      </c>
      <c r="N149">
        <v>0</v>
      </c>
      <c r="O149">
        <v>0</v>
      </c>
      <c r="P149">
        <v>13398.7528</v>
      </c>
      <c r="Q149">
        <v>63902.980100000001</v>
      </c>
      <c r="R149">
        <v>42338.519364346997</v>
      </c>
      <c r="S149" t="s">
        <v>61</v>
      </c>
      <c r="T149">
        <v>1</v>
      </c>
      <c r="U149" t="s">
        <v>62</v>
      </c>
      <c r="V149" t="s">
        <v>57</v>
      </c>
      <c r="W149">
        <v>0</v>
      </c>
      <c r="X149">
        <v>0</v>
      </c>
      <c r="Y149">
        <v>2</v>
      </c>
      <c r="Z149">
        <v>2</v>
      </c>
      <c r="AA149">
        <v>0</v>
      </c>
      <c r="AB149">
        <v>2000</v>
      </c>
      <c r="AC149">
        <v>1780</v>
      </c>
      <c r="AD149">
        <v>1780</v>
      </c>
      <c r="AE149">
        <v>0</v>
      </c>
      <c r="AF149">
        <v>0</v>
      </c>
      <c r="AG149">
        <v>0</v>
      </c>
      <c r="AH149">
        <v>420</v>
      </c>
      <c r="AI149">
        <v>0</v>
      </c>
      <c r="AJ149">
        <v>0</v>
      </c>
      <c r="AK149">
        <v>0</v>
      </c>
      <c r="AL149">
        <v>10</v>
      </c>
      <c r="AM149">
        <v>0</v>
      </c>
      <c r="AN149">
        <v>0</v>
      </c>
      <c r="AO149" t="s">
        <v>58</v>
      </c>
      <c r="AP149">
        <v>1</v>
      </c>
      <c r="AQ149" t="s">
        <v>63</v>
      </c>
      <c r="AR149" t="s">
        <v>64</v>
      </c>
      <c r="AS149">
        <v>1</v>
      </c>
      <c r="AT149">
        <v>3</v>
      </c>
      <c r="AU149">
        <v>0</v>
      </c>
      <c r="AV149">
        <v>0</v>
      </c>
      <c r="AW149">
        <v>100</v>
      </c>
      <c r="AX149" s="1">
        <v>44467</v>
      </c>
      <c r="AY149">
        <v>22500</v>
      </c>
      <c r="AZ149">
        <v>309279</v>
      </c>
      <c r="BA149">
        <v>331800</v>
      </c>
      <c r="BB149">
        <v>309890</v>
      </c>
      <c r="BC149">
        <v>460</v>
      </c>
      <c r="BD149">
        <f>Grandview_Sales[[#This Row],[land_extract]]*Lookups!$B$3</f>
        <v>49167.608223813884</v>
      </c>
      <c r="BE149">
        <f>Lookups!$B$2</f>
        <v>155833.95000000001</v>
      </c>
      <c r="BF149">
        <f>VLOOKUP(Grandview_Sales[[#This Row],[quality]],Lookups!$H$2:$J$13,3,FALSE)</f>
        <v>9808</v>
      </c>
      <c r="BG149">
        <f>VLOOKUP(Grandview_Sales[[#This Row],[condition]],Lookups!$H$17:$J$24,3,FALSE)</f>
        <v>25780</v>
      </c>
      <c r="BH149">
        <f>Grandview_Sales[[#This Row],[Eff_Age]]*Lookups!$B$14</f>
        <v>-478.33319999999998</v>
      </c>
      <c r="BI149">
        <f>Grandview_Sales[[#This Row],[living_area]]*Lookups!$B$15</f>
        <v>111037.91834</v>
      </c>
      <c r="BJ149">
        <f>Grandview_Sales[[#This Row],[Fin BSMT]]*Lookups!$B$16</f>
        <v>0</v>
      </c>
      <c r="BK149">
        <f>Grandview_Sales[[#This Row],[garage_sqft]]*Lookups!$B$17</f>
        <v>36758.58354</v>
      </c>
      <c r="BL149">
        <f>Grandview_Sales[[#This Row],[Plumbing Fixtures]]*Lookups!$B$18</f>
        <v>20104.418000000001</v>
      </c>
      <c r="BM149">
        <f>Grandview_Sales[[#This Row],[detatched_value]]*Lookups!$B$19</f>
        <v>0</v>
      </c>
      <c r="BN149">
        <f>Grandview_Sales[[#This Row],[days_prior]]*Lookups!$B$20</f>
        <v>-55176.356</v>
      </c>
      <c r="BO149">
        <f>SUM(Grandview_Sales[[#This Row],[land_value]:[Days Prior To Assessment_value]])</f>
        <v>352835.78890381393</v>
      </c>
      <c r="BP149">
        <f>Grandview_Sales[[#This Row],[predicted_total]]/Grandview_Sales[[#This Row],[sale_price]]</f>
        <v>1.1385839778754201</v>
      </c>
      <c r="BQ149">
        <f>VLOOKUP(Grandview_Sales[[#This Row],[quality]],Lookups!$A$26:$C$33,3,FALSE)</f>
        <v>0.94295468617355149</v>
      </c>
      <c r="BR149">
        <f>VLOOKUP(Grandview_Sales[[#This Row],[condition]],Lookups!$A$37:$C$44,3,FALSE)</f>
        <v>0.94347925387812148</v>
      </c>
      <c r="BS149">
        <f>VLOOKUP(Grandview_Sales[[#This Row],[decade]],Lookups!$F$29:$H$43,3,FALSE)</f>
        <v>0.9413635517371044</v>
      </c>
      <c r="BT149">
        <f>VLOOKUP(Grandview_Sales[[#This Row],[living_area_range]],Lookups!$F$47:$H$56,3,FALSE)</f>
        <v>0.96120133463014379</v>
      </c>
      <c r="BU149">
        <f>Grandview_Sales[[#This Row],[predicted_total]]*AVERAGE(Grandview_Sales[[#This Row],[qual_adj]:[size_adj]])</f>
        <v>334223.59751878626</v>
      </c>
      <c r="BV149">
        <f>Grandview_Sales[[#This Row],[final_total]]/Grandview_Sales[[#This Row],[sale_price]]</f>
        <v>1.0785233389873383</v>
      </c>
      <c r="BW149" s="6">
        <f>(Grandview_Sales[[#This Row],[final_total]]-Grandview_Sales[[#This Row],[sale_price]])^2</f>
        <v>592123968.20628107</v>
      </c>
      <c r="BX149" s="6">
        <f>(Grandview_Sales[[#This Row],[final_total]]-AVERAGE(Grandview_Sales[sale_price]))^2</f>
        <v>743349000.35369837</v>
      </c>
      <c r="BY149" s="6">
        <f>Grandview_Sales[[#This Row],[SSE]]+Grandview_Sales[[#This Row],[SSR]]</f>
        <v>1335472968.5599794</v>
      </c>
      <c r="BZ149" s="4">
        <f>ABS(Grandview_Sales[[#This Row],[final_ratio]]-MEDIAN(Grandview_Sales[final_ratio]))</f>
        <v>7.7274619631526376E-2</v>
      </c>
    </row>
    <row r="150" spans="1:78" x14ac:dyDescent="0.25">
      <c r="A150">
        <v>23092621467</v>
      </c>
      <c r="B150">
        <v>0</v>
      </c>
      <c r="C150">
        <v>8250</v>
      </c>
      <c r="D150">
        <v>0</v>
      </c>
      <c r="E150" t="s">
        <v>53</v>
      </c>
      <c r="F150" t="s">
        <v>53</v>
      </c>
      <c r="G150">
        <v>4</v>
      </c>
      <c r="H150" t="s">
        <v>54</v>
      </c>
      <c r="I150">
        <v>246900</v>
      </c>
      <c r="J150">
        <v>39100</v>
      </c>
      <c r="K150">
        <v>0.19</v>
      </c>
      <c r="L150">
        <v>-1.6607312068219999</v>
      </c>
      <c r="M150">
        <v>0</v>
      </c>
      <c r="N150">
        <v>0</v>
      </c>
      <c r="O150">
        <v>0</v>
      </c>
      <c r="P150">
        <v>13398.7528</v>
      </c>
      <c r="Q150">
        <v>63902.980100000001</v>
      </c>
      <c r="R150">
        <v>41651.253192550997</v>
      </c>
      <c r="S150" t="s">
        <v>61</v>
      </c>
      <c r="T150">
        <v>1</v>
      </c>
      <c r="U150" t="s">
        <v>62</v>
      </c>
      <c r="V150" t="s">
        <v>57</v>
      </c>
      <c r="W150">
        <v>0</v>
      </c>
      <c r="X150">
        <v>0</v>
      </c>
      <c r="Y150">
        <v>2</v>
      </c>
      <c r="Z150">
        <v>2</v>
      </c>
      <c r="AA150">
        <v>0</v>
      </c>
      <c r="AB150">
        <v>1500</v>
      </c>
      <c r="AC150">
        <v>1487</v>
      </c>
      <c r="AD150">
        <v>1487</v>
      </c>
      <c r="AE150">
        <v>0</v>
      </c>
      <c r="AF150">
        <v>0</v>
      </c>
      <c r="AG150">
        <v>0</v>
      </c>
      <c r="AH150">
        <v>460</v>
      </c>
      <c r="AI150">
        <v>0</v>
      </c>
      <c r="AJ150">
        <v>0</v>
      </c>
      <c r="AK150">
        <v>0</v>
      </c>
      <c r="AL150">
        <v>9</v>
      </c>
      <c r="AM150">
        <v>0</v>
      </c>
      <c r="AN150">
        <v>0</v>
      </c>
      <c r="AO150" t="s">
        <v>58</v>
      </c>
      <c r="AP150">
        <v>1</v>
      </c>
      <c r="AQ150" t="s">
        <v>59</v>
      </c>
      <c r="AR150" t="s">
        <v>64</v>
      </c>
      <c r="AS150">
        <v>1</v>
      </c>
      <c r="AT150">
        <v>3</v>
      </c>
      <c r="AU150">
        <v>0</v>
      </c>
      <c r="AV150">
        <v>0</v>
      </c>
      <c r="AW150">
        <v>100</v>
      </c>
      <c r="AX150" s="1">
        <v>44467</v>
      </c>
      <c r="AY150">
        <v>22400</v>
      </c>
      <c r="AZ150">
        <v>270088</v>
      </c>
      <c r="BA150">
        <v>292500</v>
      </c>
      <c r="BB150">
        <v>278900</v>
      </c>
      <c r="BC150">
        <v>460</v>
      </c>
      <c r="BD150">
        <f>Grandview_Sales[[#This Row],[land_extract]]*Lookups!$B$3</f>
        <v>48369.487874125851</v>
      </c>
      <c r="BE150">
        <f>Lookups!$B$2</f>
        <v>155833.95000000001</v>
      </c>
      <c r="BF150">
        <f>VLOOKUP(Grandview_Sales[[#This Row],[quality]],Lookups!$H$2:$J$13,3,FALSE)</f>
        <v>9808</v>
      </c>
      <c r="BG150">
        <f>VLOOKUP(Grandview_Sales[[#This Row],[condition]],Lookups!$H$17:$J$24,3,FALSE)</f>
        <v>25780</v>
      </c>
      <c r="BH150">
        <f>Grandview_Sales[[#This Row],[Eff_Age]]*Lookups!$B$14</f>
        <v>-478.33319999999998</v>
      </c>
      <c r="BI150">
        <f>Grandview_Sales[[#This Row],[living_area]]*Lookups!$B$15</f>
        <v>92760.32841100001</v>
      </c>
      <c r="BJ150">
        <f>Grandview_Sales[[#This Row],[Fin BSMT]]*Lookups!$B$16</f>
        <v>0</v>
      </c>
      <c r="BK150">
        <f>Grandview_Sales[[#This Row],[garage_sqft]]*Lookups!$B$17</f>
        <v>40259.401019999998</v>
      </c>
      <c r="BL150">
        <f>Grandview_Sales[[#This Row],[Plumbing Fixtures]]*Lookups!$B$18</f>
        <v>18093.976200000001</v>
      </c>
      <c r="BM150">
        <f>Grandview_Sales[[#This Row],[detatched_value]]*Lookups!$B$19</f>
        <v>0</v>
      </c>
      <c r="BN150">
        <f>Grandview_Sales[[#This Row],[days_prior]]*Lookups!$B$20</f>
        <v>-55176.356</v>
      </c>
      <c r="BO150">
        <f>SUM(Grandview_Sales[[#This Row],[land_value]:[Days Prior To Assessment_value]])</f>
        <v>335250.45430512587</v>
      </c>
      <c r="BP150">
        <f>Grandview_Sales[[#This Row],[predicted_total]]/Grandview_Sales[[#This Row],[sale_price]]</f>
        <v>1.2020453721947861</v>
      </c>
      <c r="BQ150">
        <f>VLOOKUP(Grandview_Sales[[#This Row],[quality]],Lookups!$A$26:$C$33,3,FALSE)</f>
        <v>0.94295468617355149</v>
      </c>
      <c r="BR150">
        <f>VLOOKUP(Grandview_Sales[[#This Row],[condition]],Lookups!$A$37:$C$44,3,FALSE)</f>
        <v>0.94347925387812148</v>
      </c>
      <c r="BS150">
        <f>VLOOKUP(Grandview_Sales[[#This Row],[decade]],Lookups!$F$29:$H$43,3,FALSE)</f>
        <v>0.9413635517371044</v>
      </c>
      <c r="BT150">
        <f>VLOOKUP(Grandview_Sales[[#This Row],[living_area_range]],Lookups!$F$47:$H$56,3,FALSE)</f>
        <v>0.96135087979789358</v>
      </c>
      <c r="BU150">
        <f>Grandview_Sales[[#This Row],[predicted_total]]*AVERAGE(Grandview_Sales[[#This Row],[qual_adj]:[size_adj]])</f>
        <v>317578.42825098982</v>
      </c>
      <c r="BV150">
        <f>Grandview_Sales[[#This Row],[final_total]]/Grandview_Sales[[#This Row],[sale_price]]</f>
        <v>1.138682066156292</v>
      </c>
      <c r="BW150" s="6">
        <f>(Grandview_Sales[[#This Row],[final_total]]-Grandview_Sales[[#This Row],[sale_price]])^2</f>
        <v>1496020811.9669673</v>
      </c>
      <c r="BX150" s="6">
        <f>(Grandview_Sales[[#This Row],[final_total]]-AVERAGE(Grandview_Sales[sale_price]))^2</f>
        <v>112768642.85142167</v>
      </c>
      <c r="BY150" s="6">
        <f>Grandview_Sales[[#This Row],[SSE]]+Grandview_Sales[[#This Row],[SSR]]</f>
        <v>1608789454.8183889</v>
      </c>
      <c r="BZ150" s="4">
        <f>ABS(Grandview_Sales[[#This Row],[final_ratio]]-MEDIAN(Grandview_Sales[final_ratio]))</f>
        <v>0.13743334680048003</v>
      </c>
    </row>
    <row r="151" spans="1:78" x14ac:dyDescent="0.25">
      <c r="A151">
        <v>23092314487</v>
      </c>
      <c r="B151">
        <v>0.27</v>
      </c>
      <c r="C151">
        <v>11572</v>
      </c>
      <c r="D151">
        <v>0</v>
      </c>
      <c r="E151" t="s">
        <v>53</v>
      </c>
      <c r="F151" t="s">
        <v>53</v>
      </c>
      <c r="G151">
        <v>4</v>
      </c>
      <c r="H151" t="s">
        <v>54</v>
      </c>
      <c r="I151">
        <v>195700</v>
      </c>
      <c r="J151">
        <v>40500</v>
      </c>
      <c r="K151">
        <v>0.27</v>
      </c>
      <c r="L151">
        <v>-1.309333319984</v>
      </c>
      <c r="M151">
        <v>0</v>
      </c>
      <c r="N151">
        <v>0</v>
      </c>
      <c r="O151">
        <v>0</v>
      </c>
      <c r="P151">
        <v>13398.7528</v>
      </c>
      <c r="Q151">
        <v>63902.980100000001</v>
      </c>
      <c r="R151">
        <v>46359.546612733997</v>
      </c>
      <c r="S151" t="s">
        <v>61</v>
      </c>
      <c r="T151">
        <v>1</v>
      </c>
      <c r="U151" t="s">
        <v>70</v>
      </c>
      <c r="V151" t="s">
        <v>67</v>
      </c>
      <c r="W151">
        <v>0</v>
      </c>
      <c r="X151">
        <v>0</v>
      </c>
      <c r="Y151">
        <v>47</v>
      </c>
      <c r="Z151">
        <v>56</v>
      </c>
      <c r="AA151">
        <v>60</v>
      </c>
      <c r="AB151">
        <v>1500</v>
      </c>
      <c r="AC151">
        <v>1040</v>
      </c>
      <c r="AD151">
        <v>1040</v>
      </c>
      <c r="AE151">
        <v>0</v>
      </c>
      <c r="AF151">
        <v>0</v>
      </c>
      <c r="AG151">
        <v>0</v>
      </c>
      <c r="AH151">
        <v>312</v>
      </c>
      <c r="AI151">
        <v>0</v>
      </c>
      <c r="AJ151">
        <v>0</v>
      </c>
      <c r="AK151">
        <v>0</v>
      </c>
      <c r="AL151">
        <v>5</v>
      </c>
      <c r="AM151">
        <v>0</v>
      </c>
      <c r="AN151">
        <v>0</v>
      </c>
      <c r="AO151" t="s">
        <v>58</v>
      </c>
      <c r="AP151">
        <v>1</v>
      </c>
      <c r="AQ151" t="s">
        <v>79</v>
      </c>
      <c r="AR151" t="s">
        <v>60</v>
      </c>
      <c r="AS151">
        <v>0</v>
      </c>
      <c r="AT151">
        <v>3</v>
      </c>
      <c r="AU151">
        <v>0</v>
      </c>
      <c r="AV151">
        <v>0</v>
      </c>
      <c r="AW151">
        <v>100</v>
      </c>
      <c r="AX151" s="1">
        <v>44468</v>
      </c>
      <c r="AY151">
        <v>23200</v>
      </c>
      <c r="AZ151">
        <v>119706</v>
      </c>
      <c r="BA151">
        <v>142900</v>
      </c>
      <c r="BB151">
        <v>235000</v>
      </c>
      <c r="BC151">
        <v>459</v>
      </c>
      <c r="BD151">
        <f>Grandview_Sales[[#This Row],[land_extract]]*Lookups!$B$3</f>
        <v>53837.216310592135</v>
      </c>
      <c r="BE151">
        <f>Lookups!$B$2</f>
        <v>155833.95000000001</v>
      </c>
      <c r="BF151">
        <f>VLOOKUP(Grandview_Sales[[#This Row],[quality]],Lookups!$H$2:$J$13,3,FALSE)</f>
        <v>10733</v>
      </c>
      <c r="BG151">
        <f>VLOOKUP(Grandview_Sales[[#This Row],[condition]],Lookups!$H$17:$J$24,3,FALSE)</f>
        <v>22342</v>
      </c>
      <c r="BH151">
        <f>Grandview_Sales[[#This Row],[Eff_Age]]*Lookups!$B$14</f>
        <v>-11240.8302</v>
      </c>
      <c r="BI151">
        <f>Grandview_Sales[[#This Row],[living_area]]*Lookups!$B$15</f>
        <v>64876.087120000004</v>
      </c>
      <c r="BJ151">
        <f>Grandview_Sales[[#This Row],[Fin BSMT]]*Lookups!$B$16</f>
        <v>0</v>
      </c>
      <c r="BK151">
        <f>Grandview_Sales[[#This Row],[garage_sqft]]*Lookups!$B$17</f>
        <v>27306.376344</v>
      </c>
      <c r="BL151">
        <f>Grandview_Sales[[#This Row],[Plumbing Fixtures]]*Lookups!$B$18</f>
        <v>10052.209000000001</v>
      </c>
      <c r="BM151">
        <f>Grandview_Sales[[#This Row],[detatched_value]]*Lookups!$B$19</f>
        <v>0</v>
      </c>
      <c r="BN151">
        <f>Grandview_Sales[[#This Row],[days_prior]]*Lookups!$B$20</f>
        <v>-55056.407399999996</v>
      </c>
      <c r="BO151">
        <f>SUM(Grandview_Sales[[#This Row],[land_value]:[Days Prior To Assessment_value]])</f>
        <v>278683.60117459216</v>
      </c>
      <c r="BP151">
        <f>Grandview_Sales[[#This Row],[predicted_total]]/Grandview_Sales[[#This Row],[sale_price]]</f>
        <v>1.1858876645727325</v>
      </c>
      <c r="BQ151">
        <f>VLOOKUP(Grandview_Sales[[#This Row],[quality]],Lookups!$A$26:$C$33,3,FALSE)</f>
        <v>0.98079741117310582</v>
      </c>
      <c r="BR151">
        <f>VLOOKUP(Grandview_Sales[[#This Row],[condition]],Lookups!$A$37:$C$44,3,FALSE)</f>
        <v>0.97383723671140243</v>
      </c>
      <c r="BS151">
        <f>VLOOKUP(Grandview_Sales[[#This Row],[decade]],Lookups!$F$29:$H$43,3,FALSE)</f>
        <v>0.95268620544463312</v>
      </c>
      <c r="BT151">
        <f>VLOOKUP(Grandview_Sales[[#This Row],[living_area_range]],Lookups!$F$47:$H$56,3,FALSE)</f>
        <v>0.96135087979789358</v>
      </c>
      <c r="BU151">
        <f>Grandview_Sales[[#This Row],[predicted_total]]*AVERAGE(Grandview_Sales[[#This Row],[qual_adj]:[size_adj]])</f>
        <v>269533.84258754819</v>
      </c>
      <c r="BV151">
        <f>Grandview_Sales[[#This Row],[final_total]]/Grandview_Sales[[#This Row],[sale_price]]</f>
        <v>1.1469525216491412</v>
      </c>
      <c r="BW151" s="6">
        <f>(Grandview_Sales[[#This Row],[final_total]]-Grandview_Sales[[#This Row],[sale_price]])^2</f>
        <v>1192586283.8615572</v>
      </c>
      <c r="BX151" s="6">
        <f>(Grandview_Sales[[#This Row],[final_total]]-AVERAGE(Grandview_Sales[sale_price]))^2</f>
        <v>1400655142.32514</v>
      </c>
      <c r="BY151" s="6">
        <f>Grandview_Sales[[#This Row],[SSE]]+Grandview_Sales[[#This Row],[SSR]]</f>
        <v>2593241426.186697</v>
      </c>
      <c r="BZ151" s="4">
        <f>ABS(Grandview_Sales[[#This Row],[final_ratio]]-MEDIAN(Grandview_Sales[final_ratio]))</f>
        <v>0.14570380229332924</v>
      </c>
    </row>
    <row r="152" spans="1:78" x14ac:dyDescent="0.25">
      <c r="A152">
        <v>23092214470</v>
      </c>
      <c r="B152">
        <v>0.14000000000000001</v>
      </c>
      <c r="C152">
        <v>6250</v>
      </c>
      <c r="D152">
        <v>0</v>
      </c>
      <c r="E152" t="s">
        <v>53</v>
      </c>
      <c r="F152" t="s">
        <v>53</v>
      </c>
      <c r="G152">
        <v>4</v>
      </c>
      <c r="H152" t="s">
        <v>54</v>
      </c>
      <c r="I152">
        <v>142000</v>
      </c>
      <c r="J152">
        <v>42400</v>
      </c>
      <c r="K152">
        <v>0.14000000000000001</v>
      </c>
      <c r="L152">
        <v>-1.9661128563729999</v>
      </c>
      <c r="M152">
        <v>0</v>
      </c>
      <c r="N152">
        <v>0</v>
      </c>
      <c r="O152">
        <v>0</v>
      </c>
      <c r="P152">
        <v>13398.7528</v>
      </c>
      <c r="Q152">
        <v>63902.980100000001</v>
      </c>
      <c r="R152">
        <v>37559.519960559002</v>
      </c>
      <c r="S152" t="s">
        <v>68</v>
      </c>
      <c r="T152">
        <v>1</v>
      </c>
      <c r="U152" t="s">
        <v>65</v>
      </c>
      <c r="V152" t="s">
        <v>69</v>
      </c>
      <c r="W152">
        <v>0</v>
      </c>
      <c r="X152">
        <v>0</v>
      </c>
      <c r="Y152">
        <v>49</v>
      </c>
      <c r="Z152">
        <v>69</v>
      </c>
      <c r="AA152">
        <v>70</v>
      </c>
      <c r="AB152">
        <v>1500</v>
      </c>
      <c r="AC152">
        <v>1372</v>
      </c>
      <c r="AD152">
        <v>1372</v>
      </c>
      <c r="AE152">
        <v>0</v>
      </c>
      <c r="AF152">
        <v>0</v>
      </c>
      <c r="AG152">
        <v>527</v>
      </c>
      <c r="AH152">
        <v>0</v>
      </c>
      <c r="AI152">
        <v>0</v>
      </c>
      <c r="AJ152">
        <v>0</v>
      </c>
      <c r="AK152">
        <v>252</v>
      </c>
      <c r="AL152">
        <v>8</v>
      </c>
      <c r="AM152">
        <v>0</v>
      </c>
      <c r="AN152">
        <v>0</v>
      </c>
      <c r="AO152" t="s">
        <v>58</v>
      </c>
      <c r="AP152">
        <v>1</v>
      </c>
      <c r="AQ152" t="s">
        <v>63</v>
      </c>
      <c r="AR152" t="s">
        <v>64</v>
      </c>
      <c r="AS152">
        <v>1</v>
      </c>
      <c r="AT152">
        <v>3</v>
      </c>
      <c r="AU152">
        <v>0</v>
      </c>
      <c r="AV152">
        <v>0</v>
      </c>
      <c r="AW152">
        <v>100</v>
      </c>
      <c r="AX152" s="1">
        <v>44468</v>
      </c>
      <c r="AY152">
        <v>24300</v>
      </c>
      <c r="AZ152">
        <v>157780</v>
      </c>
      <c r="BA152">
        <v>182100</v>
      </c>
      <c r="BB152">
        <v>280000</v>
      </c>
      <c r="BC152">
        <v>459</v>
      </c>
      <c r="BD152">
        <f>Grandview_Sales[[#This Row],[land_extract]]*Lookups!$B$3</f>
        <v>43617.769119493278</v>
      </c>
      <c r="BE152">
        <f>Lookups!$B$2</f>
        <v>155833.95000000001</v>
      </c>
      <c r="BF152">
        <f>VLOOKUP(Grandview_Sales[[#This Row],[quality]],Lookups!$H$2:$J$13,3,FALSE)</f>
        <v>2251</v>
      </c>
      <c r="BG152">
        <f>VLOOKUP(Grandview_Sales[[#This Row],[condition]],Lookups!$H$17:$J$24,3,FALSE)</f>
        <v>-4503</v>
      </c>
      <c r="BH152">
        <f>Grandview_Sales[[#This Row],[Eff_Age]]*Lookups!$B$14</f>
        <v>-11719.163399999999</v>
      </c>
      <c r="BI152">
        <f>Grandview_Sales[[#This Row],[living_area]]*Lookups!$B$15</f>
        <v>85586.530316000004</v>
      </c>
      <c r="BJ152">
        <f>Grandview_Sales[[#This Row],[Fin BSMT]]*Lookups!$B$16</f>
        <v>0</v>
      </c>
      <c r="BK152">
        <f>Grandview_Sales[[#This Row],[garage_sqft]]*Lookups!$B$17</f>
        <v>0</v>
      </c>
      <c r="BL152">
        <f>Grandview_Sales[[#This Row],[Plumbing Fixtures]]*Lookups!$B$18</f>
        <v>16083.5344</v>
      </c>
      <c r="BM152">
        <f>Grandview_Sales[[#This Row],[detatched_value]]*Lookups!$B$19</f>
        <v>0</v>
      </c>
      <c r="BN152">
        <f>Grandview_Sales[[#This Row],[days_prior]]*Lookups!$B$20</f>
        <v>-55056.407399999996</v>
      </c>
      <c r="BO152">
        <f>SUM(Grandview_Sales[[#This Row],[land_value]:[Days Prior To Assessment_value]])</f>
        <v>232094.2130354933</v>
      </c>
      <c r="BP152">
        <f>Grandview_Sales[[#This Row],[predicted_total]]/Grandview_Sales[[#This Row],[sale_price]]</f>
        <v>0.82890790369819034</v>
      </c>
      <c r="BQ152">
        <f>VLOOKUP(Grandview_Sales[[#This Row],[quality]],Lookups!$A$26:$C$33,3,FALSE)</f>
        <v>0.98763855981004833</v>
      </c>
      <c r="BR152">
        <f>VLOOKUP(Grandview_Sales[[#This Row],[condition]],Lookups!$A$37:$C$44,3,FALSE)</f>
        <v>0.96469275950863709</v>
      </c>
      <c r="BS152">
        <f>VLOOKUP(Grandview_Sales[[#This Row],[decade]],Lookups!$F$29:$H$43,3,FALSE)</f>
        <v>0.99472141305414818</v>
      </c>
      <c r="BT152">
        <f>VLOOKUP(Grandview_Sales[[#This Row],[living_area_range]],Lookups!$F$47:$H$56,3,FALSE)</f>
        <v>0.96135087979789358</v>
      </c>
      <c r="BU152">
        <f>Grandview_Sales[[#This Row],[predicted_total]]*AVERAGE(Grandview_Sales[[#This Row],[qual_adj]:[size_adj]])</f>
        <v>226779.46514796108</v>
      </c>
      <c r="BV152">
        <f>Grandview_Sales[[#This Row],[final_total]]/Grandview_Sales[[#This Row],[sale_price]]</f>
        <v>0.80992666124271817</v>
      </c>
      <c r="BW152" s="6">
        <f>(Grandview_Sales[[#This Row],[final_total]]-Grandview_Sales[[#This Row],[sale_price]])^2</f>
        <v>2832425329.9370899</v>
      </c>
      <c r="BX152" s="6">
        <f>(Grandview_Sales[[#This Row],[final_total]]-AVERAGE(Grandview_Sales[sale_price]))^2</f>
        <v>6428785092.4322119</v>
      </c>
      <c r="BY152" s="6">
        <f>Grandview_Sales[[#This Row],[SSE]]+Grandview_Sales[[#This Row],[SSR]]</f>
        <v>9261210422.3693008</v>
      </c>
      <c r="BZ152" s="4">
        <f>ABS(Grandview_Sales[[#This Row],[final_ratio]]-MEDIAN(Grandview_Sales[final_ratio]))</f>
        <v>0.19132205811309377</v>
      </c>
    </row>
    <row r="153" spans="1:78" x14ac:dyDescent="0.25">
      <c r="A153">
        <v>23092423447</v>
      </c>
      <c r="B153">
        <v>0.24</v>
      </c>
      <c r="C153">
        <v>10477</v>
      </c>
      <c r="D153">
        <v>0</v>
      </c>
      <c r="E153" t="s">
        <v>53</v>
      </c>
      <c r="F153" t="s">
        <v>53</v>
      </c>
      <c r="G153">
        <v>4</v>
      </c>
      <c r="H153" t="s">
        <v>54</v>
      </c>
      <c r="I153">
        <v>127900</v>
      </c>
      <c r="J153">
        <v>39800</v>
      </c>
      <c r="K153">
        <v>0.24</v>
      </c>
      <c r="L153">
        <v>-1.4271163556399999</v>
      </c>
      <c r="M153">
        <v>0</v>
      </c>
      <c r="N153">
        <v>0</v>
      </c>
      <c r="O153">
        <v>0</v>
      </c>
      <c r="P153">
        <v>13398.7528</v>
      </c>
      <c r="Q153">
        <v>63902.980100000001</v>
      </c>
      <c r="R153">
        <v>44781.400833940999</v>
      </c>
      <c r="S153" t="s">
        <v>68</v>
      </c>
      <c r="T153">
        <v>1</v>
      </c>
      <c r="U153" t="s">
        <v>65</v>
      </c>
      <c r="V153" t="s">
        <v>78</v>
      </c>
      <c r="W153">
        <v>0</v>
      </c>
      <c r="X153">
        <v>0</v>
      </c>
      <c r="Y153">
        <v>50</v>
      </c>
      <c r="Z153">
        <v>72</v>
      </c>
      <c r="AA153">
        <v>70</v>
      </c>
      <c r="AB153">
        <v>1500</v>
      </c>
      <c r="AC153">
        <v>1367</v>
      </c>
      <c r="AD153">
        <v>1367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475</v>
      </c>
      <c r="AL153">
        <v>8</v>
      </c>
      <c r="AM153">
        <v>0</v>
      </c>
      <c r="AN153">
        <v>0</v>
      </c>
      <c r="AO153" t="s">
        <v>58</v>
      </c>
      <c r="AP153">
        <v>1</v>
      </c>
      <c r="AQ153" t="s">
        <v>63</v>
      </c>
      <c r="AR153" t="s">
        <v>60</v>
      </c>
      <c r="AS153">
        <v>1</v>
      </c>
      <c r="AT153">
        <v>3</v>
      </c>
      <c r="AU153">
        <v>0</v>
      </c>
      <c r="AV153">
        <v>6800</v>
      </c>
      <c r="AW153">
        <v>100</v>
      </c>
      <c r="AX153" s="1">
        <v>44473</v>
      </c>
      <c r="AY153">
        <v>22800</v>
      </c>
      <c r="AZ153">
        <v>120587</v>
      </c>
      <c r="BA153">
        <v>143400</v>
      </c>
      <c r="BB153">
        <v>150000</v>
      </c>
      <c r="BC153">
        <v>454</v>
      </c>
      <c r="BD153">
        <f>Grandview_Sales[[#This Row],[land_extract]]*Lookups!$B$3</f>
        <v>52004.519878673433</v>
      </c>
      <c r="BE153">
        <f>Lookups!$B$2</f>
        <v>155833.95000000001</v>
      </c>
      <c r="BF153">
        <f>VLOOKUP(Grandview_Sales[[#This Row],[quality]],Lookups!$H$2:$J$13,3,FALSE)</f>
        <v>2251</v>
      </c>
      <c r="BG153">
        <f>VLOOKUP(Grandview_Sales[[#This Row],[condition]],Lookups!$H$17:$J$24,3,FALSE)</f>
        <v>-45357</v>
      </c>
      <c r="BH153">
        <f>Grandview_Sales[[#This Row],[Eff_Age]]*Lookups!$B$14</f>
        <v>-11958.33</v>
      </c>
      <c r="BI153">
        <f>Grandview_Sales[[#This Row],[living_area]]*Lookups!$B$15</f>
        <v>85274.626050999999</v>
      </c>
      <c r="BJ153">
        <f>Grandview_Sales[[#This Row],[Fin BSMT]]*Lookups!$B$16</f>
        <v>0</v>
      </c>
      <c r="BK153">
        <f>Grandview_Sales[[#This Row],[garage_sqft]]*Lookups!$B$17</f>
        <v>0</v>
      </c>
      <c r="BL153">
        <f>Grandview_Sales[[#This Row],[Plumbing Fixtures]]*Lookups!$B$18</f>
        <v>16083.5344</v>
      </c>
      <c r="BM153">
        <f>Grandview_Sales[[#This Row],[detatched_value]]*Lookups!$B$19</f>
        <v>5758.2746799999995</v>
      </c>
      <c r="BN153">
        <f>Grandview_Sales[[#This Row],[days_prior]]*Lookups!$B$20</f>
        <v>-54456.664400000001</v>
      </c>
      <c r="BO153">
        <f>SUM(Grandview_Sales[[#This Row],[land_value]:[Days Prior To Assessment_value]])</f>
        <v>205433.91060967345</v>
      </c>
      <c r="BP153">
        <f>Grandview_Sales[[#This Row],[predicted_total]]/Grandview_Sales[[#This Row],[sale_price]]</f>
        <v>1.3695594040644896</v>
      </c>
      <c r="BQ153">
        <f>VLOOKUP(Grandview_Sales[[#This Row],[quality]],Lookups!$A$26:$C$33,3,FALSE)</f>
        <v>0.98763855981004833</v>
      </c>
      <c r="BR153">
        <f>VLOOKUP(Grandview_Sales[[#This Row],[condition]],Lookups!$A$37:$C$44,3,FALSE)</f>
        <v>0.97161819570155394</v>
      </c>
      <c r="BS153">
        <f>VLOOKUP(Grandview_Sales[[#This Row],[decade]],Lookups!$F$29:$H$43,3,FALSE)</f>
        <v>0.99472141305414818</v>
      </c>
      <c r="BT153">
        <f>VLOOKUP(Grandview_Sales[[#This Row],[living_area_range]],Lookups!$F$47:$H$56,3,FALSE)</f>
        <v>0.96135087979789358</v>
      </c>
      <c r="BU153">
        <f>Grandview_Sales[[#This Row],[predicted_total]]*AVERAGE(Grandview_Sales[[#This Row],[qual_adj]:[size_adj]])</f>
        <v>201085.33943224867</v>
      </c>
      <c r="BV153">
        <f>Grandview_Sales[[#This Row],[final_total]]/Grandview_Sales[[#This Row],[sale_price]]</f>
        <v>1.3405689295483245</v>
      </c>
      <c r="BW153" s="6">
        <f>(Grandview_Sales[[#This Row],[final_total]]-Grandview_Sales[[#This Row],[sale_price]])^2</f>
        <v>2609711904.908061</v>
      </c>
      <c r="BX153" s="6">
        <f>(Grandview_Sales[[#This Row],[final_total]]-AVERAGE(Grandview_Sales[sale_price]))^2</f>
        <v>11209268028.49831</v>
      </c>
      <c r="BY153" s="6">
        <f>Grandview_Sales[[#This Row],[SSE]]+Grandview_Sales[[#This Row],[SSR]]</f>
        <v>13818979933.406372</v>
      </c>
      <c r="BZ153" s="4">
        <f>ABS(Grandview_Sales[[#This Row],[final_ratio]]-MEDIAN(Grandview_Sales[final_ratio]))</f>
        <v>0.33932021019251257</v>
      </c>
    </row>
    <row r="154" spans="1:78" x14ac:dyDescent="0.25">
      <c r="A154">
        <v>23092621458</v>
      </c>
      <c r="B154">
        <v>0</v>
      </c>
      <c r="C154">
        <v>8030</v>
      </c>
      <c r="D154">
        <v>0</v>
      </c>
      <c r="E154" t="s">
        <v>53</v>
      </c>
      <c r="F154" t="s">
        <v>53</v>
      </c>
      <c r="G154">
        <v>4</v>
      </c>
      <c r="H154" t="s">
        <v>54</v>
      </c>
      <c r="I154">
        <v>247600</v>
      </c>
      <c r="J154">
        <v>39000</v>
      </c>
      <c r="K154">
        <v>0.18</v>
      </c>
      <c r="L154">
        <v>-1.7147984280919999</v>
      </c>
      <c r="M154">
        <v>0</v>
      </c>
      <c r="N154">
        <v>0</v>
      </c>
      <c r="O154">
        <v>0</v>
      </c>
      <c r="P154">
        <v>13398.7528</v>
      </c>
      <c r="Q154">
        <v>63902.980100000001</v>
      </c>
      <c r="R154">
        <v>40926.819860167998</v>
      </c>
      <c r="S154" t="s">
        <v>61</v>
      </c>
      <c r="T154">
        <v>1</v>
      </c>
      <c r="U154" t="s">
        <v>62</v>
      </c>
      <c r="V154" t="s">
        <v>57</v>
      </c>
      <c r="W154">
        <v>0</v>
      </c>
      <c r="X154">
        <v>0</v>
      </c>
      <c r="Y154">
        <v>2</v>
      </c>
      <c r="Z154">
        <v>2</v>
      </c>
      <c r="AA154">
        <v>0</v>
      </c>
      <c r="AB154">
        <v>1500</v>
      </c>
      <c r="AC154">
        <v>1377</v>
      </c>
      <c r="AD154">
        <v>1377</v>
      </c>
      <c r="AE154">
        <v>0</v>
      </c>
      <c r="AF154">
        <v>0</v>
      </c>
      <c r="AG154">
        <v>0</v>
      </c>
      <c r="AH154">
        <v>440</v>
      </c>
      <c r="AI154">
        <v>0</v>
      </c>
      <c r="AJ154">
        <v>0</v>
      </c>
      <c r="AK154">
        <v>0</v>
      </c>
      <c r="AL154">
        <v>9</v>
      </c>
      <c r="AM154">
        <v>0</v>
      </c>
      <c r="AN154">
        <v>0</v>
      </c>
      <c r="AO154" t="s">
        <v>58</v>
      </c>
      <c r="AP154">
        <v>1</v>
      </c>
      <c r="AQ154" t="s">
        <v>63</v>
      </c>
      <c r="AR154" t="s">
        <v>64</v>
      </c>
      <c r="AS154">
        <v>1</v>
      </c>
      <c r="AT154">
        <v>3</v>
      </c>
      <c r="AU154">
        <v>0</v>
      </c>
      <c r="AV154">
        <v>0</v>
      </c>
      <c r="AW154">
        <v>100</v>
      </c>
      <c r="AX154" s="1">
        <v>44474</v>
      </c>
      <c r="AY154">
        <v>22300</v>
      </c>
      <c r="AZ154">
        <v>249654</v>
      </c>
      <c r="BA154">
        <v>272000</v>
      </c>
      <c r="BB154">
        <v>278250</v>
      </c>
      <c r="BC154">
        <v>453</v>
      </c>
      <c r="BD154">
        <f>Grandview_Sales[[#This Row],[land_extract]]*Lookups!$B$3</f>
        <v>47528.20540119947</v>
      </c>
      <c r="BE154">
        <f>Lookups!$B$2</f>
        <v>155833.95000000001</v>
      </c>
      <c r="BF154">
        <f>VLOOKUP(Grandview_Sales[[#This Row],[quality]],Lookups!$H$2:$J$13,3,FALSE)</f>
        <v>9808</v>
      </c>
      <c r="BG154">
        <f>VLOOKUP(Grandview_Sales[[#This Row],[condition]],Lookups!$H$17:$J$24,3,FALSE)</f>
        <v>25780</v>
      </c>
      <c r="BH154">
        <f>Grandview_Sales[[#This Row],[Eff_Age]]*Lookups!$B$14</f>
        <v>-478.33319999999998</v>
      </c>
      <c r="BI154">
        <f>Grandview_Sales[[#This Row],[living_area]]*Lookups!$B$15</f>
        <v>85898.434581000009</v>
      </c>
      <c r="BJ154">
        <f>Grandview_Sales[[#This Row],[Fin BSMT]]*Lookups!$B$16</f>
        <v>0</v>
      </c>
      <c r="BK154">
        <f>Grandview_Sales[[#This Row],[garage_sqft]]*Lookups!$B$17</f>
        <v>38508.992279999999</v>
      </c>
      <c r="BL154">
        <f>Grandview_Sales[[#This Row],[Plumbing Fixtures]]*Lookups!$B$18</f>
        <v>18093.976200000001</v>
      </c>
      <c r="BM154">
        <f>Grandview_Sales[[#This Row],[detatched_value]]*Lookups!$B$19</f>
        <v>0</v>
      </c>
      <c r="BN154">
        <f>Grandview_Sales[[#This Row],[days_prior]]*Lookups!$B$20</f>
        <v>-54336.715799999998</v>
      </c>
      <c r="BO154">
        <f>SUM(Grandview_Sales[[#This Row],[land_value]:[Days Prior To Assessment_value]])</f>
        <v>326636.50946219946</v>
      </c>
      <c r="BP154">
        <f>Grandview_Sales[[#This Row],[predicted_total]]/Grandview_Sales[[#This Row],[sale_price]]</f>
        <v>1.1738958111849038</v>
      </c>
      <c r="BQ154">
        <f>VLOOKUP(Grandview_Sales[[#This Row],[quality]],Lookups!$A$26:$C$33,3,FALSE)</f>
        <v>0.94295468617355149</v>
      </c>
      <c r="BR154">
        <f>VLOOKUP(Grandview_Sales[[#This Row],[condition]],Lookups!$A$37:$C$44,3,FALSE)</f>
        <v>0.94347925387812148</v>
      </c>
      <c r="BS154">
        <f>VLOOKUP(Grandview_Sales[[#This Row],[decade]],Lookups!$F$29:$H$43,3,FALSE)</f>
        <v>0.9413635517371044</v>
      </c>
      <c r="BT154">
        <f>VLOOKUP(Grandview_Sales[[#This Row],[living_area_range]],Lookups!$F$47:$H$56,3,FALSE)</f>
        <v>0.96135087979789358</v>
      </c>
      <c r="BU154">
        <f>Grandview_Sales[[#This Row],[predicted_total]]*AVERAGE(Grandview_Sales[[#This Row],[qual_adj]:[size_adj]])</f>
        <v>309418.54948236182</v>
      </c>
      <c r="BV154">
        <f>Grandview_Sales[[#This Row],[final_total]]/Grandview_Sales[[#This Row],[sale_price]]</f>
        <v>1.1120163503409231</v>
      </c>
      <c r="BW154" s="6">
        <f>(Grandview_Sales[[#This Row],[final_total]]-Grandview_Sales[[#This Row],[sale_price]])^2</f>
        <v>971478476.83443737</v>
      </c>
      <c r="BX154" s="6">
        <f>(Grandview_Sales[[#This Row],[final_total]]-AVERAGE(Grandview_Sales[sale_price]))^2</f>
        <v>6048546.7551014144</v>
      </c>
      <c r="BY154" s="6">
        <f>Grandview_Sales[[#This Row],[SSE]]+Grandview_Sales[[#This Row],[SSR]]</f>
        <v>977527023.58953881</v>
      </c>
      <c r="BZ154" s="4">
        <f>ABS(Grandview_Sales[[#This Row],[final_ratio]]-MEDIAN(Grandview_Sales[final_ratio]))</f>
        <v>0.11076763098511111</v>
      </c>
    </row>
    <row r="155" spans="1:78" x14ac:dyDescent="0.25">
      <c r="A155">
        <v>23092621451</v>
      </c>
      <c r="B155">
        <v>0</v>
      </c>
      <c r="C155">
        <v>8030</v>
      </c>
      <c r="D155">
        <v>0</v>
      </c>
      <c r="E155" t="s">
        <v>53</v>
      </c>
      <c r="F155" t="s">
        <v>53</v>
      </c>
      <c r="G155">
        <v>4</v>
      </c>
      <c r="H155" t="s">
        <v>54</v>
      </c>
      <c r="I155">
        <v>245900</v>
      </c>
      <c r="J155">
        <v>39000</v>
      </c>
      <c r="K155">
        <v>0.18</v>
      </c>
      <c r="L155">
        <v>-1.7147984280919999</v>
      </c>
      <c r="M155">
        <v>0</v>
      </c>
      <c r="N155">
        <v>0</v>
      </c>
      <c r="O155">
        <v>0</v>
      </c>
      <c r="P155">
        <v>13398.7528</v>
      </c>
      <c r="Q155">
        <v>63902.980100000001</v>
      </c>
      <c r="R155">
        <v>40926.819860167998</v>
      </c>
      <c r="S155" t="s">
        <v>61</v>
      </c>
      <c r="T155">
        <v>1</v>
      </c>
      <c r="U155" t="s">
        <v>62</v>
      </c>
      <c r="V155" t="s">
        <v>57</v>
      </c>
      <c r="W155">
        <v>0</v>
      </c>
      <c r="X155">
        <v>0</v>
      </c>
      <c r="Y155">
        <v>2</v>
      </c>
      <c r="Z155">
        <v>2</v>
      </c>
      <c r="AA155">
        <v>0</v>
      </c>
      <c r="AB155">
        <v>1500</v>
      </c>
      <c r="AC155">
        <v>1468</v>
      </c>
      <c r="AD155">
        <v>1468</v>
      </c>
      <c r="AE155">
        <v>0</v>
      </c>
      <c r="AF155">
        <v>0</v>
      </c>
      <c r="AG155">
        <v>0</v>
      </c>
      <c r="AH155">
        <v>460</v>
      </c>
      <c r="AI155">
        <v>0</v>
      </c>
      <c r="AJ155">
        <v>0</v>
      </c>
      <c r="AK155">
        <v>0</v>
      </c>
      <c r="AL155">
        <v>9</v>
      </c>
      <c r="AM155">
        <v>0</v>
      </c>
      <c r="AN155">
        <v>0</v>
      </c>
      <c r="AO155" t="s">
        <v>58</v>
      </c>
      <c r="AP155">
        <v>1</v>
      </c>
      <c r="AQ155" t="s">
        <v>59</v>
      </c>
      <c r="AR155" t="s">
        <v>64</v>
      </c>
      <c r="AS155">
        <v>1</v>
      </c>
      <c r="AT155">
        <v>3</v>
      </c>
      <c r="AU155">
        <v>0</v>
      </c>
      <c r="AV155">
        <v>0</v>
      </c>
      <c r="AW155">
        <v>100</v>
      </c>
      <c r="AX155" s="1">
        <v>44474</v>
      </c>
      <c r="AY155">
        <v>22300</v>
      </c>
      <c r="AZ155">
        <v>268346</v>
      </c>
      <c r="BA155">
        <v>290600</v>
      </c>
      <c r="BB155">
        <v>303760</v>
      </c>
      <c r="BC155">
        <v>453</v>
      </c>
      <c r="BD155">
        <f>Grandview_Sales[[#This Row],[land_extract]]*Lookups!$B$3</f>
        <v>47528.20540119947</v>
      </c>
      <c r="BE155">
        <f>Lookups!$B$2</f>
        <v>155833.95000000001</v>
      </c>
      <c r="BF155">
        <f>VLOOKUP(Grandview_Sales[[#This Row],[quality]],Lookups!$H$2:$J$13,3,FALSE)</f>
        <v>9808</v>
      </c>
      <c r="BG155">
        <f>VLOOKUP(Grandview_Sales[[#This Row],[condition]],Lookups!$H$17:$J$24,3,FALSE)</f>
        <v>25780</v>
      </c>
      <c r="BH155">
        <f>Grandview_Sales[[#This Row],[Eff_Age]]*Lookups!$B$14</f>
        <v>-478.33319999999998</v>
      </c>
      <c r="BI155">
        <f>Grandview_Sales[[#This Row],[living_area]]*Lookups!$B$15</f>
        <v>91575.092204</v>
      </c>
      <c r="BJ155">
        <f>Grandview_Sales[[#This Row],[Fin BSMT]]*Lookups!$B$16</f>
        <v>0</v>
      </c>
      <c r="BK155">
        <f>Grandview_Sales[[#This Row],[garage_sqft]]*Lookups!$B$17</f>
        <v>40259.401019999998</v>
      </c>
      <c r="BL155">
        <f>Grandview_Sales[[#This Row],[Plumbing Fixtures]]*Lookups!$B$18</f>
        <v>18093.976200000001</v>
      </c>
      <c r="BM155">
        <f>Grandview_Sales[[#This Row],[detatched_value]]*Lookups!$B$19</f>
        <v>0</v>
      </c>
      <c r="BN155">
        <f>Grandview_Sales[[#This Row],[days_prior]]*Lookups!$B$20</f>
        <v>-54336.715799999998</v>
      </c>
      <c r="BO155">
        <f>SUM(Grandview_Sales[[#This Row],[land_value]:[Days Prior To Assessment_value]])</f>
        <v>334063.57582519943</v>
      </c>
      <c r="BP155">
        <f>Grandview_Sales[[#This Row],[predicted_total]]/Grandview_Sales[[#This Row],[sale_price]]</f>
        <v>1.0997615743521183</v>
      </c>
      <c r="BQ155">
        <f>VLOOKUP(Grandview_Sales[[#This Row],[quality]],Lookups!$A$26:$C$33,3,FALSE)</f>
        <v>0.94295468617355149</v>
      </c>
      <c r="BR155">
        <f>VLOOKUP(Grandview_Sales[[#This Row],[condition]],Lookups!$A$37:$C$44,3,FALSE)</f>
        <v>0.94347925387812148</v>
      </c>
      <c r="BS155">
        <f>VLOOKUP(Grandview_Sales[[#This Row],[decade]],Lookups!$F$29:$H$43,3,FALSE)</f>
        <v>0.9413635517371044</v>
      </c>
      <c r="BT155">
        <f>VLOOKUP(Grandview_Sales[[#This Row],[living_area_range]],Lookups!$F$47:$H$56,3,FALSE)</f>
        <v>0.96135087979789358</v>
      </c>
      <c r="BU155">
        <f>Grandview_Sales[[#This Row],[predicted_total]]*AVERAGE(Grandview_Sales[[#This Row],[qual_adj]:[size_adj]])</f>
        <v>316454.11358611868</v>
      </c>
      <c r="BV155">
        <f>Grandview_Sales[[#This Row],[final_total]]/Grandview_Sales[[#This Row],[sale_price]]</f>
        <v>1.0417899446474805</v>
      </c>
      <c r="BW155" s="6">
        <f>(Grandview_Sales[[#This Row],[final_total]]-Grandview_Sales[[#This Row],[sale_price]])^2</f>
        <v>161140519.73728278</v>
      </c>
      <c r="BX155" s="6">
        <f>(Grandview_Sales[[#This Row],[final_total]]-AVERAGE(Grandview_Sales[sale_price]))^2</f>
        <v>90153951.066092148</v>
      </c>
      <c r="BY155" s="6">
        <f>Grandview_Sales[[#This Row],[SSE]]+Grandview_Sales[[#This Row],[SSR]]</f>
        <v>251294470.80337495</v>
      </c>
      <c r="BZ155" s="4">
        <f>ABS(Grandview_Sales[[#This Row],[final_ratio]]-MEDIAN(Grandview_Sales[final_ratio]))</f>
        <v>4.0541225291668592E-2</v>
      </c>
    </row>
    <row r="156" spans="1:78" x14ac:dyDescent="0.25">
      <c r="A156">
        <v>23092621449</v>
      </c>
      <c r="B156">
        <v>0</v>
      </c>
      <c r="C156">
        <v>8030</v>
      </c>
      <c r="D156">
        <v>0</v>
      </c>
      <c r="E156" t="s">
        <v>53</v>
      </c>
      <c r="F156" t="s">
        <v>53</v>
      </c>
      <c r="G156">
        <v>4</v>
      </c>
      <c r="H156" t="s">
        <v>54</v>
      </c>
      <c r="I156">
        <v>250500</v>
      </c>
      <c r="J156">
        <v>39000</v>
      </c>
      <c r="K156">
        <v>0.18</v>
      </c>
      <c r="L156">
        <v>-1.7147984280919999</v>
      </c>
      <c r="M156">
        <v>0</v>
      </c>
      <c r="N156">
        <v>0</v>
      </c>
      <c r="O156">
        <v>0</v>
      </c>
      <c r="P156">
        <v>13398.7528</v>
      </c>
      <c r="Q156">
        <v>63902.980100000001</v>
      </c>
      <c r="R156">
        <v>40926.819860167998</v>
      </c>
      <c r="S156" t="s">
        <v>61</v>
      </c>
      <c r="T156">
        <v>1</v>
      </c>
      <c r="U156" t="s">
        <v>62</v>
      </c>
      <c r="V156" t="s">
        <v>57</v>
      </c>
      <c r="W156">
        <v>0</v>
      </c>
      <c r="X156">
        <v>0</v>
      </c>
      <c r="Y156">
        <v>2</v>
      </c>
      <c r="Z156">
        <v>2</v>
      </c>
      <c r="AA156">
        <v>0</v>
      </c>
      <c r="AB156">
        <v>1500</v>
      </c>
      <c r="AC156">
        <v>1468</v>
      </c>
      <c r="AD156">
        <v>1468</v>
      </c>
      <c r="AE156">
        <v>0</v>
      </c>
      <c r="AF156">
        <v>0</v>
      </c>
      <c r="AG156">
        <v>0</v>
      </c>
      <c r="AH156">
        <v>460</v>
      </c>
      <c r="AI156">
        <v>0</v>
      </c>
      <c r="AJ156">
        <v>0</v>
      </c>
      <c r="AK156">
        <v>0</v>
      </c>
      <c r="AL156">
        <v>9</v>
      </c>
      <c r="AM156">
        <v>0</v>
      </c>
      <c r="AN156">
        <v>0</v>
      </c>
      <c r="AO156" t="s">
        <v>58</v>
      </c>
      <c r="AP156">
        <v>1</v>
      </c>
      <c r="AQ156" t="s">
        <v>63</v>
      </c>
      <c r="AR156" t="s">
        <v>64</v>
      </c>
      <c r="AS156">
        <v>1</v>
      </c>
      <c r="AT156">
        <v>3</v>
      </c>
      <c r="AU156">
        <v>0</v>
      </c>
      <c r="AV156">
        <v>0</v>
      </c>
      <c r="AW156">
        <v>100</v>
      </c>
      <c r="AX156" s="1">
        <v>44474</v>
      </c>
      <c r="AY156">
        <v>22300</v>
      </c>
      <c r="AZ156">
        <v>266894</v>
      </c>
      <c r="BA156">
        <v>289200</v>
      </c>
      <c r="BB156">
        <v>295480</v>
      </c>
      <c r="BC156">
        <v>453</v>
      </c>
      <c r="BD156">
        <f>Grandview_Sales[[#This Row],[land_extract]]*Lookups!$B$3</f>
        <v>47528.20540119947</v>
      </c>
      <c r="BE156">
        <f>Lookups!$B$2</f>
        <v>155833.95000000001</v>
      </c>
      <c r="BF156">
        <f>VLOOKUP(Grandview_Sales[[#This Row],[quality]],Lookups!$H$2:$J$13,3,FALSE)</f>
        <v>9808</v>
      </c>
      <c r="BG156">
        <f>VLOOKUP(Grandview_Sales[[#This Row],[condition]],Lookups!$H$17:$J$24,3,FALSE)</f>
        <v>25780</v>
      </c>
      <c r="BH156">
        <f>Grandview_Sales[[#This Row],[Eff_Age]]*Lookups!$B$14</f>
        <v>-478.33319999999998</v>
      </c>
      <c r="BI156">
        <f>Grandview_Sales[[#This Row],[living_area]]*Lookups!$B$15</f>
        <v>91575.092204</v>
      </c>
      <c r="BJ156">
        <f>Grandview_Sales[[#This Row],[Fin BSMT]]*Lookups!$B$16</f>
        <v>0</v>
      </c>
      <c r="BK156">
        <f>Grandview_Sales[[#This Row],[garage_sqft]]*Lookups!$B$17</f>
        <v>40259.401019999998</v>
      </c>
      <c r="BL156">
        <f>Grandview_Sales[[#This Row],[Plumbing Fixtures]]*Lookups!$B$18</f>
        <v>18093.976200000001</v>
      </c>
      <c r="BM156">
        <f>Grandview_Sales[[#This Row],[detatched_value]]*Lookups!$B$19</f>
        <v>0</v>
      </c>
      <c r="BN156">
        <f>Grandview_Sales[[#This Row],[days_prior]]*Lookups!$B$20</f>
        <v>-54336.715799999998</v>
      </c>
      <c r="BO156">
        <f>SUM(Grandview_Sales[[#This Row],[land_value]:[Days Prior To Assessment_value]])</f>
        <v>334063.57582519943</v>
      </c>
      <c r="BP156">
        <f>Grandview_Sales[[#This Row],[predicted_total]]/Grandview_Sales[[#This Row],[sale_price]]</f>
        <v>1.1305793144212788</v>
      </c>
      <c r="BQ156">
        <f>VLOOKUP(Grandview_Sales[[#This Row],[quality]],Lookups!$A$26:$C$33,3,FALSE)</f>
        <v>0.94295468617355149</v>
      </c>
      <c r="BR156">
        <f>VLOOKUP(Grandview_Sales[[#This Row],[condition]],Lookups!$A$37:$C$44,3,FALSE)</f>
        <v>0.94347925387812148</v>
      </c>
      <c r="BS156">
        <f>VLOOKUP(Grandview_Sales[[#This Row],[decade]],Lookups!$F$29:$H$43,3,FALSE)</f>
        <v>0.9413635517371044</v>
      </c>
      <c r="BT156">
        <f>VLOOKUP(Grandview_Sales[[#This Row],[living_area_range]],Lookups!$F$47:$H$56,3,FALSE)</f>
        <v>0.96135087979789358</v>
      </c>
      <c r="BU156">
        <f>Grandview_Sales[[#This Row],[predicted_total]]*AVERAGE(Grandview_Sales[[#This Row],[qual_adj]:[size_adj]])</f>
        <v>316454.11358611868</v>
      </c>
      <c r="BV156">
        <f>Grandview_Sales[[#This Row],[final_total]]/Grandview_Sales[[#This Row],[sale_price]]</f>
        <v>1.0709831920472408</v>
      </c>
      <c r="BW156" s="6">
        <f>(Grandview_Sales[[#This Row],[final_total]]-Grandview_Sales[[#This Row],[sale_price]])^2</f>
        <v>439913440.7234081</v>
      </c>
      <c r="BX156" s="6">
        <f>(Grandview_Sales[[#This Row],[final_total]]-AVERAGE(Grandview_Sales[sale_price]))^2</f>
        <v>90153951.066092148</v>
      </c>
      <c r="BY156" s="6">
        <f>Grandview_Sales[[#This Row],[SSE]]+Grandview_Sales[[#This Row],[SSR]]</f>
        <v>530067391.78950024</v>
      </c>
      <c r="BZ156" s="4">
        <f>ABS(Grandview_Sales[[#This Row],[final_ratio]]-MEDIAN(Grandview_Sales[final_ratio]))</f>
        <v>6.973447269142885E-2</v>
      </c>
    </row>
    <row r="157" spans="1:78" x14ac:dyDescent="0.25">
      <c r="A157">
        <v>23092231521</v>
      </c>
      <c r="B157">
        <v>0</v>
      </c>
      <c r="C157">
        <v>11901</v>
      </c>
      <c r="D157">
        <v>0</v>
      </c>
      <c r="E157" t="s">
        <v>53</v>
      </c>
      <c r="F157" t="s">
        <v>53</v>
      </c>
      <c r="G157">
        <v>4</v>
      </c>
      <c r="H157" t="s">
        <v>54</v>
      </c>
      <c r="I157">
        <v>368000</v>
      </c>
      <c r="J157">
        <v>40000</v>
      </c>
      <c r="K157">
        <v>0.27</v>
      </c>
      <c r="L157">
        <v>-1.309333319984</v>
      </c>
      <c r="M157">
        <v>0</v>
      </c>
      <c r="N157">
        <v>0</v>
      </c>
      <c r="O157">
        <v>0</v>
      </c>
      <c r="P157">
        <v>13398.7528</v>
      </c>
      <c r="Q157">
        <v>63902.980100000001</v>
      </c>
      <c r="R157">
        <v>46359.546612733997</v>
      </c>
      <c r="S157" t="s">
        <v>58</v>
      </c>
      <c r="T157">
        <v>2</v>
      </c>
      <c r="U157" t="s">
        <v>64</v>
      </c>
      <c r="V157" t="s">
        <v>57</v>
      </c>
      <c r="W157">
        <v>0</v>
      </c>
      <c r="X157">
        <v>0</v>
      </c>
      <c r="Y157">
        <v>2</v>
      </c>
      <c r="Z157">
        <v>2</v>
      </c>
      <c r="AA157">
        <v>0</v>
      </c>
      <c r="AB157">
        <v>3000</v>
      </c>
      <c r="AC157">
        <v>2543</v>
      </c>
      <c r="AD157">
        <v>1131</v>
      </c>
      <c r="AE157">
        <v>1412</v>
      </c>
      <c r="AF157">
        <v>0</v>
      </c>
      <c r="AG157">
        <v>0</v>
      </c>
      <c r="AH157">
        <v>1060</v>
      </c>
      <c r="AI157">
        <v>0</v>
      </c>
      <c r="AJ157">
        <v>0</v>
      </c>
      <c r="AK157">
        <v>0</v>
      </c>
      <c r="AL157">
        <v>13</v>
      </c>
      <c r="AM157">
        <v>0</v>
      </c>
      <c r="AN157">
        <v>0</v>
      </c>
      <c r="AO157" t="s">
        <v>58</v>
      </c>
      <c r="AP157">
        <v>1</v>
      </c>
      <c r="AQ157" t="s">
        <v>59</v>
      </c>
      <c r="AR157" t="s">
        <v>60</v>
      </c>
      <c r="AS157">
        <v>1</v>
      </c>
      <c r="AT157">
        <v>3</v>
      </c>
      <c r="AU157">
        <v>0</v>
      </c>
      <c r="AV157">
        <v>0</v>
      </c>
      <c r="AW157">
        <v>100</v>
      </c>
      <c r="AX157" s="1">
        <v>44475</v>
      </c>
      <c r="AY157">
        <v>22900</v>
      </c>
      <c r="AZ157">
        <v>468092</v>
      </c>
      <c r="BA157">
        <v>491000</v>
      </c>
      <c r="BB157">
        <v>508750</v>
      </c>
      <c r="BC157">
        <v>452</v>
      </c>
      <c r="BD157">
        <f>Grandview_Sales[[#This Row],[land_extract]]*Lookups!$B$3</f>
        <v>53837.216310592135</v>
      </c>
      <c r="BE157">
        <f>Lookups!$B$2</f>
        <v>155833.95000000001</v>
      </c>
      <c r="BF157">
        <f>VLOOKUP(Grandview_Sales[[#This Row],[quality]],Lookups!$H$2:$J$13,3,FALSE)</f>
        <v>20768</v>
      </c>
      <c r="BG157">
        <f>VLOOKUP(Grandview_Sales[[#This Row],[condition]],Lookups!$H$17:$J$24,3,FALSE)</f>
        <v>25780</v>
      </c>
      <c r="BH157">
        <f>Grandview_Sales[[#This Row],[Eff_Age]]*Lookups!$B$14</f>
        <v>-478.33319999999998</v>
      </c>
      <c r="BI157">
        <f>Grandview_Sales[[#This Row],[living_area]]*Lookups!$B$15</f>
        <v>158634.50917900002</v>
      </c>
      <c r="BJ157">
        <f>Grandview_Sales[[#This Row],[Fin BSMT]]*Lookups!$B$16</f>
        <v>0</v>
      </c>
      <c r="BK157">
        <f>Grandview_Sales[[#This Row],[garage_sqft]]*Lookups!$B$17</f>
        <v>92771.663220000002</v>
      </c>
      <c r="BL157">
        <f>Grandview_Sales[[#This Row],[Plumbing Fixtures]]*Lookups!$B$18</f>
        <v>26135.743399999999</v>
      </c>
      <c r="BM157">
        <f>Grandview_Sales[[#This Row],[detatched_value]]*Lookups!$B$19</f>
        <v>0</v>
      </c>
      <c r="BN157">
        <f>Grandview_Sales[[#This Row],[days_prior]]*Lookups!$B$20</f>
        <v>-54216.767200000002</v>
      </c>
      <c r="BO157">
        <f>SUM(Grandview_Sales[[#This Row],[land_value]:[Days Prior To Assessment_value]])</f>
        <v>479065.98170959216</v>
      </c>
      <c r="BP157">
        <f>Grandview_Sales[[#This Row],[predicted_total]]/Grandview_Sales[[#This Row],[sale_price]]</f>
        <v>0.94165303530140965</v>
      </c>
      <c r="BQ157">
        <f>VLOOKUP(Grandview_Sales[[#This Row],[quality]],Lookups!$A$26:$C$33,3,FALSE)</f>
        <v>0.94960540378902636</v>
      </c>
      <c r="BR157">
        <f>VLOOKUP(Grandview_Sales[[#This Row],[condition]],Lookups!$A$37:$C$44,3,FALSE)</f>
        <v>0.94347925387812148</v>
      </c>
      <c r="BS157">
        <f>VLOOKUP(Grandview_Sales[[#This Row],[decade]],Lookups!$F$29:$H$43,3,FALSE)</f>
        <v>0.9413635517371044</v>
      </c>
      <c r="BT157">
        <f>VLOOKUP(Grandview_Sales[[#This Row],[living_area_range]],Lookups!$F$47:$H$56,3,FALSE)</f>
        <v>0.94224801443562123</v>
      </c>
      <c r="BU157">
        <f>Grandview_Sales[[#This Row],[predicted_total]]*AVERAGE(Grandview_Sales[[#This Row],[qual_adj]:[size_adj]])</f>
        <v>452321.67102318967</v>
      </c>
      <c r="BV157">
        <f>Grandview_Sales[[#This Row],[final_total]]/Grandview_Sales[[#This Row],[sale_price]]</f>
        <v>0.88908436564754723</v>
      </c>
      <c r="BW157" s="6">
        <f>(Grandview_Sales[[#This Row],[final_total]]-Grandview_Sales[[#This Row],[sale_price]])^2</f>
        <v>3184156311.1151319</v>
      </c>
      <c r="BX157" s="6">
        <f>(Grandview_Sales[[#This Row],[final_total]]-AVERAGE(Grandview_Sales[sale_price]))^2</f>
        <v>21130256663.338348</v>
      </c>
      <c r="BY157" s="6">
        <f>Grandview_Sales[[#This Row],[SSE]]+Grandview_Sales[[#This Row],[SSR]]</f>
        <v>24314412974.45348</v>
      </c>
      <c r="BZ157" s="4">
        <f>ABS(Grandview_Sales[[#This Row],[final_ratio]]-MEDIAN(Grandview_Sales[final_ratio]))</f>
        <v>0.11216435370826472</v>
      </c>
    </row>
    <row r="158" spans="1:78" x14ac:dyDescent="0.25">
      <c r="A158">
        <v>23092232493</v>
      </c>
      <c r="B158">
        <v>0</v>
      </c>
      <c r="C158">
        <v>10686</v>
      </c>
      <c r="D158">
        <v>0</v>
      </c>
      <c r="E158" t="s">
        <v>53</v>
      </c>
      <c r="F158" t="s">
        <v>53</v>
      </c>
      <c r="G158">
        <v>4</v>
      </c>
      <c r="H158" t="s">
        <v>54</v>
      </c>
      <c r="I158">
        <v>284500</v>
      </c>
      <c r="J158">
        <v>40000</v>
      </c>
      <c r="K158">
        <v>0.25</v>
      </c>
      <c r="L158">
        <v>-1.38629436112</v>
      </c>
      <c r="M158">
        <v>0</v>
      </c>
      <c r="N158">
        <v>0</v>
      </c>
      <c r="O158">
        <v>0</v>
      </c>
      <c r="P158">
        <v>13398.7528</v>
      </c>
      <c r="Q158">
        <v>63902.980100000001</v>
      </c>
      <c r="R158">
        <v>45328.364647321003</v>
      </c>
      <c r="S158" t="s">
        <v>55</v>
      </c>
      <c r="T158">
        <v>1</v>
      </c>
      <c r="U158" t="s">
        <v>62</v>
      </c>
      <c r="V158" t="s">
        <v>57</v>
      </c>
      <c r="W158">
        <v>0</v>
      </c>
      <c r="X158">
        <v>0</v>
      </c>
      <c r="Y158">
        <v>2</v>
      </c>
      <c r="Z158">
        <v>2</v>
      </c>
      <c r="AA158">
        <v>0</v>
      </c>
      <c r="AB158">
        <v>2000</v>
      </c>
      <c r="AC158">
        <v>1628</v>
      </c>
      <c r="AD158">
        <v>1628</v>
      </c>
      <c r="AE158">
        <v>0</v>
      </c>
      <c r="AF158">
        <v>0</v>
      </c>
      <c r="AG158">
        <v>0</v>
      </c>
      <c r="AH158">
        <v>668</v>
      </c>
      <c r="AI158">
        <v>0</v>
      </c>
      <c r="AJ158">
        <v>0</v>
      </c>
      <c r="AK158">
        <v>0</v>
      </c>
      <c r="AL158">
        <v>9</v>
      </c>
      <c r="AM158">
        <v>0</v>
      </c>
      <c r="AN158">
        <v>0</v>
      </c>
      <c r="AO158" t="s">
        <v>58</v>
      </c>
      <c r="AP158">
        <v>1</v>
      </c>
      <c r="AQ158" t="s">
        <v>63</v>
      </c>
      <c r="AR158" t="s">
        <v>64</v>
      </c>
      <c r="AS158">
        <v>1</v>
      </c>
      <c r="AT158">
        <v>3</v>
      </c>
      <c r="AU158">
        <v>0</v>
      </c>
      <c r="AV158">
        <v>0</v>
      </c>
      <c r="AW158">
        <v>100</v>
      </c>
      <c r="AX158" s="1">
        <v>44481</v>
      </c>
      <c r="AY158">
        <v>22900</v>
      </c>
      <c r="AZ158">
        <v>287068</v>
      </c>
      <c r="BA158">
        <v>310000</v>
      </c>
      <c r="BB158">
        <v>421850</v>
      </c>
      <c r="BC158">
        <v>446</v>
      </c>
      <c r="BD158">
        <f>Grandview_Sales[[#This Row],[land_extract]]*Lookups!$B$3</f>
        <v>52639.70747834933</v>
      </c>
      <c r="BE158">
        <f>Lookups!$B$2</f>
        <v>155833.95000000001</v>
      </c>
      <c r="BF158">
        <f>VLOOKUP(Grandview_Sales[[#This Row],[quality]],Lookups!$H$2:$J$13,3,FALSE)</f>
        <v>9808</v>
      </c>
      <c r="BG158">
        <f>VLOOKUP(Grandview_Sales[[#This Row],[condition]],Lookups!$H$17:$J$24,3,FALSE)</f>
        <v>25780</v>
      </c>
      <c r="BH158">
        <f>Grandview_Sales[[#This Row],[Eff_Age]]*Lookups!$B$14</f>
        <v>-478.33319999999998</v>
      </c>
      <c r="BI158">
        <f>Grandview_Sales[[#This Row],[living_area]]*Lookups!$B$15</f>
        <v>101556.028684</v>
      </c>
      <c r="BJ158">
        <f>Grandview_Sales[[#This Row],[Fin BSMT]]*Lookups!$B$16</f>
        <v>0</v>
      </c>
      <c r="BK158">
        <f>Grandview_Sales[[#This Row],[garage_sqft]]*Lookups!$B$17</f>
        <v>58463.651916000003</v>
      </c>
      <c r="BL158">
        <f>Grandview_Sales[[#This Row],[Plumbing Fixtures]]*Lookups!$B$18</f>
        <v>18093.976200000001</v>
      </c>
      <c r="BM158">
        <f>Grandview_Sales[[#This Row],[detatched_value]]*Lookups!$B$19</f>
        <v>0</v>
      </c>
      <c r="BN158">
        <f>Grandview_Sales[[#This Row],[days_prior]]*Lookups!$B$20</f>
        <v>-53497.075599999996</v>
      </c>
      <c r="BO158">
        <f>SUM(Grandview_Sales[[#This Row],[land_value]:[Days Prior To Assessment_value]])</f>
        <v>368199.90547834936</v>
      </c>
      <c r="BP158">
        <f>Grandview_Sales[[#This Row],[predicted_total]]/Grandview_Sales[[#This Row],[sale_price]]</f>
        <v>0.8728218690964783</v>
      </c>
      <c r="BQ158">
        <f>VLOOKUP(Grandview_Sales[[#This Row],[quality]],Lookups!$A$26:$C$33,3,FALSE)</f>
        <v>0.94295468617355149</v>
      </c>
      <c r="BR158">
        <f>VLOOKUP(Grandview_Sales[[#This Row],[condition]],Lookups!$A$37:$C$44,3,FALSE)</f>
        <v>0.94347925387812148</v>
      </c>
      <c r="BS158">
        <f>VLOOKUP(Grandview_Sales[[#This Row],[decade]],Lookups!$F$29:$H$43,3,FALSE)</f>
        <v>0.9413635517371044</v>
      </c>
      <c r="BT158">
        <f>VLOOKUP(Grandview_Sales[[#This Row],[living_area_range]],Lookups!$F$47:$H$56,3,FALSE)</f>
        <v>0.96120133463014379</v>
      </c>
      <c r="BU158">
        <f>Grandview_Sales[[#This Row],[predicted_total]]*AVERAGE(Grandview_Sales[[#This Row],[qual_adj]:[size_adj]])</f>
        <v>348777.25243625586</v>
      </c>
      <c r="BV158">
        <f>Grandview_Sales[[#This Row],[final_total]]/Grandview_Sales[[#This Row],[sale_price]]</f>
        <v>0.82678025941983135</v>
      </c>
      <c r="BW158" s="6">
        <f>(Grandview_Sales[[#This Row],[final_total]]-Grandview_Sales[[#This Row],[sale_price]])^2</f>
        <v>5339626436.5146751</v>
      </c>
      <c r="BX158" s="6">
        <f>(Grandview_Sales[[#This Row],[final_total]]-AVERAGE(Grandview_Sales[sale_price]))^2</f>
        <v>1748752007.0293581</v>
      </c>
      <c r="BY158" s="6">
        <f>Grandview_Sales[[#This Row],[SSE]]+Grandview_Sales[[#This Row],[SSR]]</f>
        <v>7088378443.5440331</v>
      </c>
      <c r="BZ158" s="4">
        <f>ABS(Grandview_Sales[[#This Row],[final_ratio]]-MEDIAN(Grandview_Sales[final_ratio]))</f>
        <v>0.17446845993598059</v>
      </c>
    </row>
    <row r="159" spans="1:78" x14ac:dyDescent="0.25">
      <c r="A159">
        <v>23092621448</v>
      </c>
      <c r="B159">
        <v>0</v>
      </c>
      <c r="C159">
        <v>8605</v>
      </c>
      <c r="D159">
        <v>0</v>
      </c>
      <c r="E159" t="s">
        <v>53</v>
      </c>
      <c r="F159" t="s">
        <v>53</v>
      </c>
      <c r="G159">
        <v>4</v>
      </c>
      <c r="H159" t="s">
        <v>54</v>
      </c>
      <c r="I159">
        <v>245900</v>
      </c>
      <c r="J159">
        <v>39300</v>
      </c>
      <c r="K159">
        <v>0.2</v>
      </c>
      <c r="L159">
        <v>-1.6094379124339999</v>
      </c>
      <c r="M159">
        <v>0</v>
      </c>
      <c r="N159">
        <v>0</v>
      </c>
      <c r="O159">
        <v>0</v>
      </c>
      <c r="P159">
        <v>13398.7528</v>
      </c>
      <c r="Q159">
        <v>63902.980100000001</v>
      </c>
      <c r="R159">
        <v>42338.519364346997</v>
      </c>
      <c r="S159" t="s">
        <v>61</v>
      </c>
      <c r="T159">
        <v>1</v>
      </c>
      <c r="U159" t="s">
        <v>62</v>
      </c>
      <c r="V159" t="s">
        <v>57</v>
      </c>
      <c r="W159">
        <v>0</v>
      </c>
      <c r="X159">
        <v>0</v>
      </c>
      <c r="Y159">
        <v>2</v>
      </c>
      <c r="Z159">
        <v>2</v>
      </c>
      <c r="AA159">
        <v>0</v>
      </c>
      <c r="AB159">
        <v>1500</v>
      </c>
      <c r="AC159">
        <v>1468</v>
      </c>
      <c r="AD159">
        <v>1468</v>
      </c>
      <c r="AE159">
        <v>0</v>
      </c>
      <c r="AF159">
        <v>0</v>
      </c>
      <c r="AG159">
        <v>0</v>
      </c>
      <c r="AH159">
        <v>460</v>
      </c>
      <c r="AI159">
        <v>0</v>
      </c>
      <c r="AJ159">
        <v>0</v>
      </c>
      <c r="AK159">
        <v>0</v>
      </c>
      <c r="AL159">
        <v>9</v>
      </c>
      <c r="AM159">
        <v>0</v>
      </c>
      <c r="AN159">
        <v>0</v>
      </c>
      <c r="AO159" t="s">
        <v>58</v>
      </c>
      <c r="AP159">
        <v>1</v>
      </c>
      <c r="AQ159" t="s">
        <v>59</v>
      </c>
      <c r="AR159" t="s">
        <v>64</v>
      </c>
      <c r="AS159">
        <v>1</v>
      </c>
      <c r="AT159">
        <v>3</v>
      </c>
      <c r="AU159">
        <v>0</v>
      </c>
      <c r="AV159">
        <v>0</v>
      </c>
      <c r="AW159">
        <v>100</v>
      </c>
      <c r="AX159" s="1">
        <v>44487</v>
      </c>
      <c r="AY159">
        <v>22500</v>
      </c>
      <c r="AZ159">
        <v>268346</v>
      </c>
      <c r="BA159">
        <v>290800</v>
      </c>
      <c r="BB159">
        <v>300898</v>
      </c>
      <c r="BC159">
        <v>440</v>
      </c>
      <c r="BD159">
        <f>Grandview_Sales[[#This Row],[land_extract]]*Lookups!$B$3</f>
        <v>49167.608223813884</v>
      </c>
      <c r="BE159">
        <f>Lookups!$B$2</f>
        <v>155833.95000000001</v>
      </c>
      <c r="BF159">
        <f>VLOOKUP(Grandview_Sales[[#This Row],[quality]],Lookups!$H$2:$J$13,3,FALSE)</f>
        <v>9808</v>
      </c>
      <c r="BG159">
        <f>VLOOKUP(Grandview_Sales[[#This Row],[condition]],Lookups!$H$17:$J$24,3,FALSE)</f>
        <v>25780</v>
      </c>
      <c r="BH159">
        <f>Grandview_Sales[[#This Row],[Eff_Age]]*Lookups!$B$14</f>
        <v>-478.33319999999998</v>
      </c>
      <c r="BI159">
        <f>Grandview_Sales[[#This Row],[living_area]]*Lookups!$B$15</f>
        <v>91575.092204</v>
      </c>
      <c r="BJ159">
        <f>Grandview_Sales[[#This Row],[Fin BSMT]]*Lookups!$B$16</f>
        <v>0</v>
      </c>
      <c r="BK159">
        <f>Grandview_Sales[[#This Row],[garage_sqft]]*Lookups!$B$17</f>
        <v>40259.401019999998</v>
      </c>
      <c r="BL159">
        <f>Grandview_Sales[[#This Row],[Plumbing Fixtures]]*Lookups!$B$18</f>
        <v>18093.976200000001</v>
      </c>
      <c r="BM159">
        <f>Grandview_Sales[[#This Row],[detatched_value]]*Lookups!$B$19</f>
        <v>0</v>
      </c>
      <c r="BN159">
        <f>Grandview_Sales[[#This Row],[days_prior]]*Lookups!$B$20</f>
        <v>-52777.383999999998</v>
      </c>
      <c r="BO159">
        <f>SUM(Grandview_Sales[[#This Row],[land_value]:[Days Prior To Assessment_value]])</f>
        <v>337262.31044781383</v>
      </c>
      <c r="BP159">
        <f>Grandview_Sales[[#This Row],[predicted_total]]/Grandview_Sales[[#This Row],[sale_price]]</f>
        <v>1.1208526159954995</v>
      </c>
      <c r="BQ159">
        <f>VLOOKUP(Grandview_Sales[[#This Row],[quality]],Lookups!$A$26:$C$33,3,FALSE)</f>
        <v>0.94295468617355149</v>
      </c>
      <c r="BR159">
        <f>VLOOKUP(Grandview_Sales[[#This Row],[condition]],Lookups!$A$37:$C$44,3,FALSE)</f>
        <v>0.94347925387812148</v>
      </c>
      <c r="BS159">
        <f>VLOOKUP(Grandview_Sales[[#This Row],[decade]],Lookups!$F$29:$H$43,3,FALSE)</f>
        <v>0.9413635517371044</v>
      </c>
      <c r="BT159">
        <f>VLOOKUP(Grandview_Sales[[#This Row],[living_area_range]],Lookups!$F$47:$H$56,3,FALSE)</f>
        <v>0.96135087979789358</v>
      </c>
      <c r="BU159">
        <f>Grandview_Sales[[#This Row],[predicted_total]]*AVERAGE(Grandview_Sales[[#This Row],[qual_adj]:[size_adj]])</f>
        <v>319484.23360772297</v>
      </c>
      <c r="BV159">
        <f>Grandview_Sales[[#This Row],[final_total]]/Grandview_Sales[[#This Row],[sale_price]]</f>
        <v>1.0617692161720018</v>
      </c>
      <c r="BW159" s="6">
        <f>(Grandview_Sales[[#This Row],[final_total]]-Grandview_Sales[[#This Row],[sale_price]])^2</f>
        <v>345448079.72085083</v>
      </c>
      <c r="BX159" s="6">
        <f>(Grandview_Sales[[#This Row],[final_total]]-AVERAGE(Grandview_Sales[sale_price]))^2</f>
        <v>156877214.89832234</v>
      </c>
      <c r="BY159" s="6">
        <f>Grandview_Sales[[#This Row],[SSE]]+Grandview_Sales[[#This Row],[SSR]]</f>
        <v>502325294.61917317</v>
      </c>
      <c r="BZ159" s="4">
        <f>ABS(Grandview_Sales[[#This Row],[final_ratio]]-MEDIAN(Grandview_Sales[final_ratio]))</f>
        <v>6.0520496816189873E-2</v>
      </c>
    </row>
    <row r="160" spans="1:78" x14ac:dyDescent="0.25">
      <c r="A160">
        <v>23092621437</v>
      </c>
      <c r="B160">
        <v>0</v>
      </c>
      <c r="C160">
        <v>9900</v>
      </c>
      <c r="D160">
        <v>0</v>
      </c>
      <c r="E160" t="s">
        <v>53</v>
      </c>
      <c r="F160" t="s">
        <v>53</v>
      </c>
      <c r="G160">
        <v>4</v>
      </c>
      <c r="H160" t="s">
        <v>54</v>
      </c>
      <c r="I160">
        <v>341500</v>
      </c>
      <c r="J160">
        <v>39500</v>
      </c>
      <c r="K160">
        <v>0.23</v>
      </c>
      <c r="L160">
        <v>-1.4696759700590001</v>
      </c>
      <c r="M160">
        <v>0</v>
      </c>
      <c r="N160">
        <v>0</v>
      </c>
      <c r="O160">
        <v>0</v>
      </c>
      <c r="P160">
        <v>13398.7528</v>
      </c>
      <c r="Q160">
        <v>63902.980100000001</v>
      </c>
      <c r="R160">
        <v>44211.155081080004</v>
      </c>
      <c r="S160" t="s">
        <v>55</v>
      </c>
      <c r="T160">
        <v>2</v>
      </c>
      <c r="U160" t="s">
        <v>64</v>
      </c>
      <c r="V160" t="s">
        <v>57</v>
      </c>
      <c r="W160">
        <v>0</v>
      </c>
      <c r="X160">
        <v>0</v>
      </c>
      <c r="Y160">
        <v>2</v>
      </c>
      <c r="Z160">
        <v>2</v>
      </c>
      <c r="AA160">
        <v>0</v>
      </c>
      <c r="AB160">
        <v>3000</v>
      </c>
      <c r="AC160">
        <v>2660</v>
      </c>
      <c r="AD160">
        <v>1126</v>
      </c>
      <c r="AE160">
        <v>1534</v>
      </c>
      <c r="AF160">
        <v>0</v>
      </c>
      <c r="AG160">
        <v>0</v>
      </c>
      <c r="AH160">
        <v>672</v>
      </c>
      <c r="AI160">
        <v>0</v>
      </c>
      <c r="AJ160">
        <v>0</v>
      </c>
      <c r="AK160">
        <v>0</v>
      </c>
      <c r="AL160">
        <v>12</v>
      </c>
      <c r="AM160">
        <v>0</v>
      </c>
      <c r="AN160">
        <v>0</v>
      </c>
      <c r="AO160" t="s">
        <v>58</v>
      </c>
      <c r="AP160">
        <v>1</v>
      </c>
      <c r="AQ160" t="s">
        <v>63</v>
      </c>
      <c r="AR160" t="s">
        <v>64</v>
      </c>
      <c r="AS160">
        <v>1</v>
      </c>
      <c r="AT160">
        <v>3</v>
      </c>
      <c r="AU160">
        <v>0</v>
      </c>
      <c r="AV160">
        <v>0</v>
      </c>
      <c r="AW160">
        <v>100</v>
      </c>
      <c r="AX160" s="1">
        <v>44491</v>
      </c>
      <c r="AY160">
        <v>22600</v>
      </c>
      <c r="AZ160">
        <v>448211</v>
      </c>
      <c r="BA160">
        <v>470800</v>
      </c>
      <c r="BB160">
        <v>404230</v>
      </c>
      <c r="BC160">
        <v>436</v>
      </c>
      <c r="BD160">
        <f>Grandview_Sales[[#This Row],[land_extract]]*Lookups!$B$3</f>
        <v>51342.29502553949</v>
      </c>
      <c r="BE160">
        <f>Lookups!$B$2</f>
        <v>155833.95000000001</v>
      </c>
      <c r="BF160">
        <f>VLOOKUP(Grandview_Sales[[#This Row],[quality]],Lookups!$H$2:$J$13,3,FALSE)</f>
        <v>20768</v>
      </c>
      <c r="BG160">
        <f>VLOOKUP(Grandview_Sales[[#This Row],[condition]],Lookups!$H$17:$J$24,3,FALSE)</f>
        <v>25780</v>
      </c>
      <c r="BH160">
        <f>Grandview_Sales[[#This Row],[Eff_Age]]*Lookups!$B$14</f>
        <v>-478.33319999999998</v>
      </c>
      <c r="BI160">
        <f>Grandview_Sales[[#This Row],[living_area]]*Lookups!$B$15</f>
        <v>165933.06898000001</v>
      </c>
      <c r="BJ160">
        <f>Grandview_Sales[[#This Row],[Fin BSMT]]*Lookups!$B$16</f>
        <v>0</v>
      </c>
      <c r="BK160">
        <f>Grandview_Sales[[#This Row],[garage_sqft]]*Lookups!$B$17</f>
        <v>58813.733663999999</v>
      </c>
      <c r="BL160">
        <f>Grandview_Sales[[#This Row],[Plumbing Fixtures]]*Lookups!$B$18</f>
        <v>24125.301599999999</v>
      </c>
      <c r="BM160">
        <f>Grandview_Sales[[#This Row],[detatched_value]]*Lookups!$B$19</f>
        <v>0</v>
      </c>
      <c r="BN160">
        <f>Grandview_Sales[[#This Row],[days_prior]]*Lookups!$B$20</f>
        <v>-52297.589599999999</v>
      </c>
      <c r="BO160">
        <f>SUM(Grandview_Sales[[#This Row],[land_value]:[Days Prior To Assessment_value]])</f>
        <v>449820.42646953952</v>
      </c>
      <c r="BP160">
        <f>Grandview_Sales[[#This Row],[predicted_total]]/Grandview_Sales[[#This Row],[sale_price]]</f>
        <v>1.1127833819101489</v>
      </c>
      <c r="BQ160">
        <f>VLOOKUP(Grandview_Sales[[#This Row],[quality]],Lookups!$A$26:$C$33,3,FALSE)</f>
        <v>0.94960540378902636</v>
      </c>
      <c r="BR160">
        <f>VLOOKUP(Grandview_Sales[[#This Row],[condition]],Lookups!$A$37:$C$44,3,FALSE)</f>
        <v>0.94347925387812148</v>
      </c>
      <c r="BS160">
        <f>VLOOKUP(Grandview_Sales[[#This Row],[decade]],Lookups!$F$29:$H$43,3,FALSE)</f>
        <v>0.9413635517371044</v>
      </c>
      <c r="BT160">
        <f>VLOOKUP(Grandview_Sales[[#This Row],[living_area_range]],Lookups!$F$47:$H$56,3,FALSE)</f>
        <v>0.94224801443562123</v>
      </c>
      <c r="BU160">
        <f>Grandview_Sales[[#This Row],[predicted_total]]*AVERAGE(Grandview_Sales[[#This Row],[qual_adj]:[size_adj]])</f>
        <v>424708.77651338786</v>
      </c>
      <c r="BV160">
        <f>Grandview_Sales[[#This Row],[final_total]]/Grandview_Sales[[#This Row],[sale_price]]</f>
        <v>1.050661199102956</v>
      </c>
      <c r="BW160" s="6">
        <f>(Grandview_Sales[[#This Row],[final_total]]-Grandview_Sales[[#This Row],[sale_price]])^2</f>
        <v>419380287.48528612</v>
      </c>
      <c r="BX160" s="6">
        <f>(Grandview_Sales[[#This Row],[final_total]]-AVERAGE(Grandview_Sales[sale_price]))^2</f>
        <v>13864969801.349451</v>
      </c>
      <c r="BY160" s="6">
        <f>Grandview_Sales[[#This Row],[SSE]]+Grandview_Sales[[#This Row],[SSR]]</f>
        <v>14284350088.834738</v>
      </c>
      <c r="BZ160" s="4">
        <f>ABS(Grandview_Sales[[#This Row],[final_ratio]]-MEDIAN(Grandview_Sales[final_ratio]))</f>
        <v>4.9412479747144022E-2</v>
      </c>
    </row>
    <row r="161" spans="1:78" x14ac:dyDescent="0.25">
      <c r="A161">
        <v>23092621450</v>
      </c>
      <c r="B161">
        <v>0</v>
      </c>
      <c r="C161">
        <v>8030</v>
      </c>
      <c r="D161">
        <v>0</v>
      </c>
      <c r="E161" t="s">
        <v>53</v>
      </c>
      <c r="F161" t="s">
        <v>53</v>
      </c>
      <c r="G161">
        <v>4</v>
      </c>
      <c r="H161" t="s">
        <v>54</v>
      </c>
      <c r="I161">
        <v>251800</v>
      </c>
      <c r="J161">
        <v>39000</v>
      </c>
      <c r="K161">
        <v>0.18</v>
      </c>
      <c r="L161">
        <v>-1.7147984280919999</v>
      </c>
      <c r="M161">
        <v>0</v>
      </c>
      <c r="N161">
        <v>0</v>
      </c>
      <c r="O161">
        <v>0</v>
      </c>
      <c r="P161">
        <v>13398.7528</v>
      </c>
      <c r="Q161">
        <v>63902.980100000001</v>
      </c>
      <c r="R161">
        <v>40926.819860167998</v>
      </c>
      <c r="S161" t="s">
        <v>61</v>
      </c>
      <c r="T161">
        <v>1</v>
      </c>
      <c r="U161" t="s">
        <v>62</v>
      </c>
      <c r="V161" t="s">
        <v>57</v>
      </c>
      <c r="W161">
        <v>0</v>
      </c>
      <c r="X161">
        <v>0</v>
      </c>
      <c r="Y161">
        <v>2</v>
      </c>
      <c r="Z161">
        <v>2</v>
      </c>
      <c r="AA161">
        <v>0</v>
      </c>
      <c r="AB161">
        <v>1500</v>
      </c>
      <c r="AC161">
        <v>1364</v>
      </c>
      <c r="AD161">
        <v>1364</v>
      </c>
      <c r="AE161">
        <v>0</v>
      </c>
      <c r="AF161">
        <v>0</v>
      </c>
      <c r="AG161">
        <v>0</v>
      </c>
      <c r="AH161">
        <v>590</v>
      </c>
      <c r="AI161">
        <v>0</v>
      </c>
      <c r="AJ161">
        <v>0</v>
      </c>
      <c r="AK161">
        <v>100</v>
      </c>
      <c r="AL161">
        <v>8</v>
      </c>
      <c r="AM161">
        <v>0</v>
      </c>
      <c r="AN161">
        <v>0</v>
      </c>
      <c r="AO161" t="s">
        <v>58</v>
      </c>
      <c r="AP161">
        <v>1</v>
      </c>
      <c r="AQ161" t="s">
        <v>63</v>
      </c>
      <c r="AR161" t="s">
        <v>64</v>
      </c>
      <c r="AS161">
        <v>1</v>
      </c>
      <c r="AT161">
        <v>3</v>
      </c>
      <c r="AU161">
        <v>0</v>
      </c>
      <c r="AV161">
        <v>0</v>
      </c>
      <c r="AW161">
        <v>100</v>
      </c>
      <c r="AX161" s="1">
        <v>44494</v>
      </c>
      <c r="AY161">
        <v>22300</v>
      </c>
      <c r="AZ161">
        <v>248508</v>
      </c>
      <c r="BA161">
        <v>270800</v>
      </c>
      <c r="BB161">
        <v>279550</v>
      </c>
      <c r="BC161">
        <v>433</v>
      </c>
      <c r="BD161">
        <f>Grandview_Sales[[#This Row],[land_extract]]*Lookups!$B$3</f>
        <v>47528.20540119947</v>
      </c>
      <c r="BE161">
        <f>Lookups!$B$2</f>
        <v>155833.95000000001</v>
      </c>
      <c r="BF161">
        <f>VLOOKUP(Grandview_Sales[[#This Row],[quality]],Lookups!$H$2:$J$13,3,FALSE)</f>
        <v>9808</v>
      </c>
      <c r="BG161">
        <f>VLOOKUP(Grandview_Sales[[#This Row],[condition]],Lookups!$H$17:$J$24,3,FALSE)</f>
        <v>25780</v>
      </c>
      <c r="BH161">
        <f>Grandview_Sales[[#This Row],[Eff_Age]]*Lookups!$B$14</f>
        <v>-478.33319999999998</v>
      </c>
      <c r="BI161">
        <f>Grandview_Sales[[#This Row],[living_area]]*Lookups!$B$15</f>
        <v>85087.483491999999</v>
      </c>
      <c r="BJ161">
        <f>Grandview_Sales[[#This Row],[Fin BSMT]]*Lookups!$B$16</f>
        <v>0</v>
      </c>
      <c r="BK161">
        <f>Grandview_Sales[[#This Row],[garage_sqft]]*Lookups!$B$17</f>
        <v>51637.057829999998</v>
      </c>
      <c r="BL161">
        <f>Grandview_Sales[[#This Row],[Plumbing Fixtures]]*Lookups!$B$18</f>
        <v>16083.5344</v>
      </c>
      <c r="BM161">
        <f>Grandview_Sales[[#This Row],[detatched_value]]*Lookups!$B$19</f>
        <v>0</v>
      </c>
      <c r="BN161">
        <f>Grandview_Sales[[#This Row],[days_prior]]*Lookups!$B$20</f>
        <v>-51937.743799999997</v>
      </c>
      <c r="BO161">
        <f>SUM(Grandview_Sales[[#This Row],[land_value]:[Days Prior To Assessment_value]])</f>
        <v>339342.15412319952</v>
      </c>
      <c r="BP161">
        <f>Grandview_Sales[[#This Row],[predicted_total]]/Grandview_Sales[[#This Row],[sale_price]]</f>
        <v>1.2138871547959202</v>
      </c>
      <c r="BQ161">
        <f>VLOOKUP(Grandview_Sales[[#This Row],[quality]],Lookups!$A$26:$C$33,3,FALSE)</f>
        <v>0.94295468617355149</v>
      </c>
      <c r="BR161">
        <f>VLOOKUP(Grandview_Sales[[#This Row],[condition]],Lookups!$A$37:$C$44,3,FALSE)</f>
        <v>0.94347925387812148</v>
      </c>
      <c r="BS161">
        <f>VLOOKUP(Grandview_Sales[[#This Row],[decade]],Lookups!$F$29:$H$43,3,FALSE)</f>
        <v>0.9413635517371044</v>
      </c>
      <c r="BT161">
        <f>VLOOKUP(Grandview_Sales[[#This Row],[living_area_range]],Lookups!$F$47:$H$56,3,FALSE)</f>
        <v>0.96135087979789358</v>
      </c>
      <c r="BU161">
        <f>Grandview_Sales[[#This Row],[predicted_total]]*AVERAGE(Grandview_Sales[[#This Row],[qual_adj]:[size_adj]])</f>
        <v>321454.44267665863</v>
      </c>
      <c r="BV161">
        <f>Grandview_Sales[[#This Row],[final_total]]/Grandview_Sales[[#This Row],[sale_price]]</f>
        <v>1.1498996339712346</v>
      </c>
      <c r="BW161" s="6">
        <f>(Grandview_Sales[[#This Row],[final_total]]-Grandview_Sales[[#This Row],[sale_price]])^2</f>
        <v>1755982316.0413687</v>
      </c>
      <c r="BX161" s="6">
        <f>(Grandview_Sales[[#This Row],[final_total]]-AVERAGE(Grandview_Sales[sale_price]))^2</f>
        <v>210112925.94422188</v>
      </c>
      <c r="BY161" s="6">
        <f>Grandview_Sales[[#This Row],[SSE]]+Grandview_Sales[[#This Row],[SSR]]</f>
        <v>1966095241.9855907</v>
      </c>
      <c r="BZ161" s="4">
        <f>ABS(Grandview_Sales[[#This Row],[final_ratio]]-MEDIAN(Grandview_Sales[final_ratio]))</f>
        <v>0.14865091461542268</v>
      </c>
    </row>
    <row r="162" spans="1:78" x14ac:dyDescent="0.25">
      <c r="A162">
        <v>23092231524</v>
      </c>
      <c r="B162">
        <v>0.25</v>
      </c>
      <c r="C162">
        <v>11024</v>
      </c>
      <c r="D162">
        <v>0</v>
      </c>
      <c r="E162" t="s">
        <v>53</v>
      </c>
      <c r="F162" t="s">
        <v>53</v>
      </c>
      <c r="G162">
        <v>4</v>
      </c>
      <c r="H162" t="s">
        <v>54</v>
      </c>
      <c r="I162">
        <v>353000</v>
      </c>
      <c r="J162">
        <v>40000</v>
      </c>
      <c r="K162">
        <v>0.25</v>
      </c>
      <c r="L162">
        <v>-1.38629436112</v>
      </c>
      <c r="M162">
        <v>0</v>
      </c>
      <c r="N162">
        <v>0</v>
      </c>
      <c r="O162">
        <v>0</v>
      </c>
      <c r="P162">
        <v>13398.7528</v>
      </c>
      <c r="Q162">
        <v>63902.980100000001</v>
      </c>
      <c r="R162">
        <v>45328.364647321003</v>
      </c>
      <c r="S162" t="s">
        <v>58</v>
      </c>
      <c r="T162">
        <v>2</v>
      </c>
      <c r="U162" t="s">
        <v>64</v>
      </c>
      <c r="V162" t="s">
        <v>57</v>
      </c>
      <c r="W162">
        <v>0</v>
      </c>
      <c r="X162">
        <v>0</v>
      </c>
      <c r="Y162">
        <v>2</v>
      </c>
      <c r="Z162">
        <v>2</v>
      </c>
      <c r="AA162">
        <v>0</v>
      </c>
      <c r="AB162">
        <v>3000</v>
      </c>
      <c r="AC162">
        <v>2540</v>
      </c>
      <c r="AD162">
        <v>1124</v>
      </c>
      <c r="AE162">
        <v>1416</v>
      </c>
      <c r="AF162">
        <v>0</v>
      </c>
      <c r="AG162">
        <v>0</v>
      </c>
      <c r="AH162">
        <v>840</v>
      </c>
      <c r="AI162">
        <v>0</v>
      </c>
      <c r="AJ162">
        <v>0</v>
      </c>
      <c r="AK162">
        <v>0</v>
      </c>
      <c r="AL162">
        <v>13</v>
      </c>
      <c r="AM162">
        <v>0</v>
      </c>
      <c r="AN162">
        <v>0</v>
      </c>
      <c r="AO162" t="s">
        <v>58</v>
      </c>
      <c r="AP162">
        <v>1</v>
      </c>
      <c r="AQ162" t="s">
        <v>59</v>
      </c>
      <c r="AR162" t="s">
        <v>60</v>
      </c>
      <c r="AS162">
        <v>1</v>
      </c>
      <c r="AT162">
        <v>3</v>
      </c>
      <c r="AU162">
        <v>0</v>
      </c>
      <c r="AV162">
        <v>0</v>
      </c>
      <c r="AW162">
        <v>100</v>
      </c>
      <c r="AX162" s="1">
        <v>44494</v>
      </c>
      <c r="AY162">
        <v>22900</v>
      </c>
      <c r="AZ162">
        <v>438252</v>
      </c>
      <c r="BA162">
        <v>461200</v>
      </c>
      <c r="BB162">
        <v>470000</v>
      </c>
      <c r="BC162">
        <v>433</v>
      </c>
      <c r="BD162">
        <f>Grandview_Sales[[#This Row],[land_extract]]*Lookups!$B$3</f>
        <v>52639.70747834933</v>
      </c>
      <c r="BE162">
        <f>Lookups!$B$2</f>
        <v>155833.95000000001</v>
      </c>
      <c r="BF162">
        <f>VLOOKUP(Grandview_Sales[[#This Row],[quality]],Lookups!$H$2:$J$13,3,FALSE)</f>
        <v>20768</v>
      </c>
      <c r="BG162">
        <f>VLOOKUP(Grandview_Sales[[#This Row],[condition]],Lookups!$H$17:$J$24,3,FALSE)</f>
        <v>25780</v>
      </c>
      <c r="BH162">
        <f>Grandview_Sales[[#This Row],[Eff_Age]]*Lookups!$B$14</f>
        <v>-478.33319999999998</v>
      </c>
      <c r="BI162">
        <f>Grandview_Sales[[#This Row],[living_area]]*Lookups!$B$15</f>
        <v>158447.36662000002</v>
      </c>
      <c r="BJ162">
        <f>Grandview_Sales[[#This Row],[Fin BSMT]]*Lookups!$B$16</f>
        <v>0</v>
      </c>
      <c r="BK162">
        <f>Grandview_Sales[[#This Row],[garage_sqft]]*Lookups!$B$17</f>
        <v>73517.167079999999</v>
      </c>
      <c r="BL162">
        <f>Grandview_Sales[[#This Row],[Plumbing Fixtures]]*Lookups!$B$18</f>
        <v>26135.743399999999</v>
      </c>
      <c r="BM162">
        <f>Grandview_Sales[[#This Row],[detatched_value]]*Lookups!$B$19</f>
        <v>0</v>
      </c>
      <c r="BN162">
        <f>Grandview_Sales[[#This Row],[days_prior]]*Lookups!$B$20</f>
        <v>-51937.743799999997</v>
      </c>
      <c r="BO162">
        <f>SUM(Grandview_Sales[[#This Row],[land_value]:[Days Prior To Assessment_value]])</f>
        <v>460705.85757834936</v>
      </c>
      <c r="BP162">
        <f>Grandview_Sales[[#This Row],[predicted_total]]/Grandview_Sales[[#This Row],[sale_price]]</f>
        <v>0.98022522889010499</v>
      </c>
      <c r="BQ162">
        <f>VLOOKUP(Grandview_Sales[[#This Row],[quality]],Lookups!$A$26:$C$33,3,FALSE)</f>
        <v>0.94960540378902636</v>
      </c>
      <c r="BR162">
        <f>VLOOKUP(Grandview_Sales[[#This Row],[condition]],Lookups!$A$37:$C$44,3,FALSE)</f>
        <v>0.94347925387812148</v>
      </c>
      <c r="BS162">
        <f>VLOOKUP(Grandview_Sales[[#This Row],[decade]],Lookups!$F$29:$H$43,3,FALSE)</f>
        <v>0.9413635517371044</v>
      </c>
      <c r="BT162">
        <f>VLOOKUP(Grandview_Sales[[#This Row],[living_area_range]],Lookups!$F$47:$H$56,3,FALSE)</f>
        <v>0.94224801443562123</v>
      </c>
      <c r="BU162">
        <f>Grandview_Sales[[#This Row],[predicted_total]]*AVERAGE(Grandview_Sales[[#This Row],[qual_adj]:[size_adj]])</f>
        <v>434986.51815426565</v>
      </c>
      <c r="BV162">
        <f>Grandview_Sales[[#This Row],[final_total]]/Grandview_Sales[[#This Row],[sale_price]]</f>
        <v>0.92550323011545887</v>
      </c>
      <c r="BW162" s="6">
        <f>(Grandview_Sales[[#This Row],[final_total]]-Grandview_Sales[[#This Row],[sale_price]])^2</f>
        <v>1225943910.9615688</v>
      </c>
      <c r="BX162" s="6">
        <f>(Grandview_Sales[[#This Row],[final_total]]-AVERAGE(Grandview_Sales[sale_price]))^2</f>
        <v>16391001839.850399</v>
      </c>
      <c r="BY162" s="6">
        <f>Grandview_Sales[[#This Row],[SSE]]+Grandview_Sales[[#This Row],[SSR]]</f>
        <v>17616945750.811966</v>
      </c>
      <c r="BZ162" s="4">
        <f>ABS(Grandview_Sales[[#This Row],[final_ratio]]-MEDIAN(Grandview_Sales[final_ratio]))</f>
        <v>7.574548924035307E-2</v>
      </c>
    </row>
    <row r="163" spans="1:78" x14ac:dyDescent="0.25">
      <c r="A163">
        <v>23092423529</v>
      </c>
      <c r="B163">
        <v>0.23</v>
      </c>
      <c r="C163">
        <v>9828</v>
      </c>
      <c r="D163">
        <v>0</v>
      </c>
      <c r="E163" t="s">
        <v>53</v>
      </c>
      <c r="F163" t="s">
        <v>53</v>
      </c>
      <c r="G163">
        <v>4</v>
      </c>
      <c r="H163" t="s">
        <v>54</v>
      </c>
      <c r="I163">
        <v>114600</v>
      </c>
      <c r="J163">
        <v>43800</v>
      </c>
      <c r="K163">
        <v>0.23</v>
      </c>
      <c r="L163">
        <v>-1.4696759700590001</v>
      </c>
      <c r="M163">
        <v>0</v>
      </c>
      <c r="N163">
        <v>0</v>
      </c>
      <c r="O163">
        <v>0</v>
      </c>
      <c r="P163">
        <v>13398.7528</v>
      </c>
      <c r="Q163">
        <v>63902.980100000001</v>
      </c>
      <c r="R163">
        <v>44211.155081080004</v>
      </c>
      <c r="S163" t="s">
        <v>68</v>
      </c>
      <c r="T163">
        <v>1</v>
      </c>
      <c r="U163" t="s">
        <v>80</v>
      </c>
      <c r="V163" t="s">
        <v>69</v>
      </c>
      <c r="W163">
        <v>0</v>
      </c>
      <c r="X163">
        <v>0</v>
      </c>
      <c r="Y163">
        <v>53</v>
      </c>
      <c r="Z163">
        <v>93</v>
      </c>
      <c r="AA163">
        <v>90</v>
      </c>
      <c r="AB163">
        <v>1500</v>
      </c>
      <c r="AC163">
        <v>1152</v>
      </c>
      <c r="AD163">
        <v>1152</v>
      </c>
      <c r="AE163">
        <v>0</v>
      </c>
      <c r="AF163">
        <v>0</v>
      </c>
      <c r="AG163">
        <v>0</v>
      </c>
      <c r="AH163">
        <v>0</v>
      </c>
      <c r="AI163">
        <v>506</v>
      </c>
      <c r="AJ163">
        <v>0</v>
      </c>
      <c r="AK163">
        <v>0</v>
      </c>
      <c r="AL163">
        <v>5</v>
      </c>
      <c r="AM163">
        <v>0</v>
      </c>
      <c r="AN163">
        <v>0</v>
      </c>
      <c r="AO163" t="s">
        <v>58</v>
      </c>
      <c r="AP163">
        <v>1</v>
      </c>
      <c r="AQ163" t="s">
        <v>63</v>
      </c>
      <c r="AR163" t="s">
        <v>64</v>
      </c>
      <c r="AS163">
        <v>0</v>
      </c>
      <c r="AT163">
        <v>2</v>
      </c>
      <c r="AU163">
        <v>0</v>
      </c>
      <c r="AV163">
        <v>0</v>
      </c>
      <c r="AW163">
        <v>100</v>
      </c>
      <c r="AX163" s="1">
        <v>44495</v>
      </c>
      <c r="AY163">
        <v>25100</v>
      </c>
      <c r="AZ163">
        <v>100522</v>
      </c>
      <c r="BA163">
        <v>125600</v>
      </c>
      <c r="BB163">
        <v>150000</v>
      </c>
      <c r="BC163">
        <v>432</v>
      </c>
      <c r="BD163">
        <f>Grandview_Sales[[#This Row],[land_extract]]*Lookups!$B$3</f>
        <v>51342.29502553949</v>
      </c>
      <c r="BE163">
        <f>Lookups!$B$2</f>
        <v>155833.95000000001</v>
      </c>
      <c r="BF163">
        <f>VLOOKUP(Grandview_Sales[[#This Row],[quality]],Lookups!$H$2:$J$13,3,FALSE)</f>
        <v>-28558</v>
      </c>
      <c r="BG163">
        <f>VLOOKUP(Grandview_Sales[[#This Row],[condition]],Lookups!$H$17:$J$24,3,FALSE)</f>
        <v>-4503</v>
      </c>
      <c r="BH163">
        <f>Grandview_Sales[[#This Row],[Eff_Age]]*Lookups!$B$14</f>
        <v>-12675.8298</v>
      </c>
      <c r="BI163">
        <f>Grandview_Sales[[#This Row],[living_area]]*Lookups!$B$15</f>
        <v>71862.742656000002</v>
      </c>
      <c r="BJ163">
        <f>Grandview_Sales[[#This Row],[Fin BSMT]]*Lookups!$B$16</f>
        <v>0</v>
      </c>
      <c r="BK163">
        <f>Grandview_Sales[[#This Row],[garage_sqft]]*Lookups!$B$17</f>
        <v>0</v>
      </c>
      <c r="BL163">
        <f>Grandview_Sales[[#This Row],[Plumbing Fixtures]]*Lookups!$B$18</f>
        <v>10052.209000000001</v>
      </c>
      <c r="BM163">
        <f>Grandview_Sales[[#This Row],[detatched_value]]*Lookups!$B$19</f>
        <v>0</v>
      </c>
      <c r="BN163">
        <f>Grandview_Sales[[#This Row],[days_prior]]*Lookups!$B$20</f>
        <v>-51817.7952</v>
      </c>
      <c r="BO163">
        <f>SUM(Grandview_Sales[[#This Row],[land_value]:[Days Prior To Assessment_value]])</f>
        <v>191536.5716815395</v>
      </c>
      <c r="BP163">
        <f>Grandview_Sales[[#This Row],[predicted_total]]/Grandview_Sales[[#This Row],[sale_price]]</f>
        <v>1.27691047787693</v>
      </c>
      <c r="BQ163">
        <f>VLOOKUP(Grandview_Sales[[#This Row],[quality]],Lookups!$A$26:$C$33,3,FALSE)</f>
        <v>0.9690360070159818</v>
      </c>
      <c r="BR163">
        <f>VLOOKUP(Grandview_Sales[[#This Row],[condition]],Lookups!$A$37:$C$44,3,FALSE)</f>
        <v>0.96469275950863709</v>
      </c>
      <c r="BS163">
        <f>VLOOKUP(Grandview_Sales[[#This Row],[decade]],Lookups!$F$29:$H$43,3,FALSE)</f>
        <v>0.94161750052457416</v>
      </c>
      <c r="BT163">
        <f>VLOOKUP(Grandview_Sales[[#This Row],[living_area_range]],Lookups!$F$47:$H$56,3,FALSE)</f>
        <v>0.96135087979789358</v>
      </c>
      <c r="BU163">
        <f>Grandview_Sales[[#This Row],[predicted_total]]*AVERAGE(Grandview_Sales[[#This Row],[qual_adj]:[size_adj]])</f>
        <v>183716.95452185877</v>
      </c>
      <c r="BV163">
        <f>Grandview_Sales[[#This Row],[final_total]]/Grandview_Sales[[#This Row],[sale_price]]</f>
        <v>1.2247796968123918</v>
      </c>
      <c r="BW163" s="6">
        <f>(Grandview_Sales[[#This Row],[final_total]]-Grandview_Sales[[#This Row],[sale_price]])^2</f>
        <v>1136833022.2290928</v>
      </c>
      <c r="BX163" s="6">
        <f>(Grandview_Sales[[#This Row],[final_total]]-AVERAGE(Grandview_Sales[sale_price]))^2</f>
        <v>15188643710.194538</v>
      </c>
      <c r="BY163" s="6">
        <f>Grandview_Sales[[#This Row],[SSE]]+Grandview_Sales[[#This Row],[SSR]]</f>
        <v>16325476732.423632</v>
      </c>
      <c r="BZ163" s="4">
        <f>ABS(Grandview_Sales[[#This Row],[final_ratio]]-MEDIAN(Grandview_Sales[final_ratio]))</f>
        <v>0.2235309774565799</v>
      </c>
    </row>
    <row r="164" spans="1:78" x14ac:dyDescent="0.25">
      <c r="A164">
        <v>23092424479</v>
      </c>
      <c r="B164">
        <v>0.18</v>
      </c>
      <c r="C164">
        <v>7829</v>
      </c>
      <c r="D164">
        <v>0</v>
      </c>
      <c r="E164" t="s">
        <v>53</v>
      </c>
      <c r="F164" t="s">
        <v>53</v>
      </c>
      <c r="G164">
        <v>4</v>
      </c>
      <c r="H164" t="s">
        <v>54</v>
      </c>
      <c r="I164">
        <v>184600</v>
      </c>
      <c r="J164">
        <v>43100</v>
      </c>
      <c r="K164">
        <v>0.18</v>
      </c>
      <c r="L164">
        <v>-1.7147984280919999</v>
      </c>
      <c r="M164">
        <v>0</v>
      </c>
      <c r="N164">
        <v>0</v>
      </c>
      <c r="O164">
        <v>0</v>
      </c>
      <c r="P164">
        <v>13398.7528</v>
      </c>
      <c r="Q164">
        <v>63902.980100000001</v>
      </c>
      <c r="R164">
        <v>40926.819860167998</v>
      </c>
      <c r="S164" t="s">
        <v>61</v>
      </c>
      <c r="T164">
        <v>1</v>
      </c>
      <c r="U164" t="s">
        <v>65</v>
      </c>
      <c r="V164" t="s">
        <v>69</v>
      </c>
      <c r="W164">
        <v>0</v>
      </c>
      <c r="X164">
        <v>0</v>
      </c>
      <c r="Y164">
        <v>17</v>
      </c>
      <c r="Z164">
        <v>17</v>
      </c>
      <c r="AA164">
        <v>20</v>
      </c>
      <c r="AB164">
        <v>1500</v>
      </c>
      <c r="AC164">
        <v>1318</v>
      </c>
      <c r="AD164">
        <v>1318</v>
      </c>
      <c r="AE164">
        <v>0</v>
      </c>
      <c r="AF164">
        <v>0</v>
      </c>
      <c r="AG164">
        <v>0</v>
      </c>
      <c r="AH164">
        <v>480</v>
      </c>
      <c r="AI164">
        <v>0</v>
      </c>
      <c r="AJ164">
        <v>0</v>
      </c>
      <c r="AK164">
        <v>300</v>
      </c>
      <c r="AL164">
        <v>8</v>
      </c>
      <c r="AM164">
        <v>0</v>
      </c>
      <c r="AN164">
        <v>0</v>
      </c>
      <c r="AO164" t="s">
        <v>58</v>
      </c>
      <c r="AP164">
        <v>1</v>
      </c>
      <c r="AQ164" t="s">
        <v>63</v>
      </c>
      <c r="AR164" t="s">
        <v>64</v>
      </c>
      <c r="AS164">
        <v>1</v>
      </c>
      <c r="AT164">
        <v>3</v>
      </c>
      <c r="AU164">
        <v>0</v>
      </c>
      <c r="AV164">
        <v>0</v>
      </c>
      <c r="AW164">
        <v>100</v>
      </c>
      <c r="AX164" s="1">
        <v>44497</v>
      </c>
      <c r="AY164">
        <v>24700</v>
      </c>
      <c r="AZ164">
        <v>197070</v>
      </c>
      <c r="BA164">
        <v>221800</v>
      </c>
      <c r="BB164">
        <v>295000</v>
      </c>
      <c r="BC164">
        <v>430</v>
      </c>
      <c r="BD164">
        <f>Grandview_Sales[[#This Row],[land_extract]]*Lookups!$B$3</f>
        <v>47528.20540119947</v>
      </c>
      <c r="BE164">
        <f>Lookups!$B$2</f>
        <v>155833.95000000001</v>
      </c>
      <c r="BF164">
        <f>VLOOKUP(Grandview_Sales[[#This Row],[quality]],Lookups!$H$2:$J$13,3,FALSE)</f>
        <v>2251</v>
      </c>
      <c r="BG164">
        <f>VLOOKUP(Grandview_Sales[[#This Row],[condition]],Lookups!$H$17:$J$24,3,FALSE)</f>
        <v>-4503</v>
      </c>
      <c r="BH164">
        <f>Grandview_Sales[[#This Row],[Eff_Age]]*Lookups!$B$14</f>
        <v>-4065.8321999999998</v>
      </c>
      <c r="BI164">
        <f>Grandview_Sales[[#This Row],[living_area]]*Lookups!$B$15</f>
        <v>82217.964254000006</v>
      </c>
      <c r="BJ164">
        <f>Grandview_Sales[[#This Row],[Fin BSMT]]*Lookups!$B$16</f>
        <v>0</v>
      </c>
      <c r="BK164">
        <f>Grandview_Sales[[#This Row],[garage_sqft]]*Lookups!$B$17</f>
        <v>42009.809760000004</v>
      </c>
      <c r="BL164">
        <f>Grandview_Sales[[#This Row],[Plumbing Fixtures]]*Lookups!$B$18</f>
        <v>16083.5344</v>
      </c>
      <c r="BM164">
        <f>Grandview_Sales[[#This Row],[detatched_value]]*Lookups!$B$19</f>
        <v>0</v>
      </c>
      <c r="BN164">
        <f>Grandview_Sales[[#This Row],[days_prior]]*Lookups!$B$20</f>
        <v>-51577.898000000001</v>
      </c>
      <c r="BO164">
        <f>SUM(Grandview_Sales[[#This Row],[land_value]:[Days Prior To Assessment_value]])</f>
        <v>285777.73361519951</v>
      </c>
      <c r="BP164">
        <f>Grandview_Sales[[#This Row],[predicted_total]]/Grandview_Sales[[#This Row],[sale_price]]</f>
        <v>0.96873808005152373</v>
      </c>
      <c r="BQ164">
        <f>VLOOKUP(Grandview_Sales[[#This Row],[quality]],Lookups!$A$26:$C$33,3,FALSE)</f>
        <v>0.98763855981004833</v>
      </c>
      <c r="BR164">
        <f>VLOOKUP(Grandview_Sales[[#This Row],[condition]],Lookups!$A$37:$C$44,3,FALSE)</f>
        <v>0.96469275950863709</v>
      </c>
      <c r="BS164">
        <f>VLOOKUP(Grandview_Sales[[#This Row],[decade]],Lookups!$F$29:$H$43,3,FALSE)</f>
        <v>0.96737494181490646</v>
      </c>
      <c r="BT164">
        <f>VLOOKUP(Grandview_Sales[[#This Row],[living_area_range]],Lookups!$F$47:$H$56,3,FALSE)</f>
        <v>0.96135087979789358</v>
      </c>
      <c r="BU164">
        <f>Grandview_Sales[[#This Row],[predicted_total]]*AVERAGE(Grandview_Sales[[#This Row],[qual_adj]:[size_adj]])</f>
        <v>277279.92844162148</v>
      </c>
      <c r="BV164">
        <f>Grandview_Sales[[#This Row],[final_total]]/Grandview_Sales[[#This Row],[sale_price]]</f>
        <v>0.93993196081905583</v>
      </c>
      <c r="BW164" s="6">
        <f>(Grandview_Sales[[#This Row],[final_total]]-Grandview_Sales[[#This Row],[sale_price]])^2</f>
        <v>314000936.03405535</v>
      </c>
      <c r="BX164" s="6">
        <f>(Grandview_Sales[[#This Row],[final_total]]-AVERAGE(Grandview_Sales[sale_price]))^2</f>
        <v>880857387.72481573</v>
      </c>
      <c r="BY164" s="6">
        <f>Grandview_Sales[[#This Row],[SSE]]+Grandview_Sales[[#This Row],[SSR]]</f>
        <v>1194858323.7588711</v>
      </c>
      <c r="BZ164" s="4">
        <f>ABS(Grandview_Sales[[#This Row],[final_ratio]]-MEDIAN(Grandview_Sales[final_ratio]))</f>
        <v>6.1316758536756111E-2</v>
      </c>
    </row>
    <row r="165" spans="1:78" x14ac:dyDescent="0.25">
      <c r="A165">
        <v>23092314455</v>
      </c>
      <c r="B165">
        <v>0.19</v>
      </c>
      <c r="C165">
        <v>8315</v>
      </c>
      <c r="D165">
        <v>0</v>
      </c>
      <c r="E165" t="s">
        <v>53</v>
      </c>
      <c r="F165" t="s">
        <v>53</v>
      </c>
      <c r="G165">
        <v>4</v>
      </c>
      <c r="H165" t="s">
        <v>54</v>
      </c>
      <c r="I165">
        <v>149000</v>
      </c>
      <c r="J165">
        <v>39700</v>
      </c>
      <c r="K165">
        <v>0.19</v>
      </c>
      <c r="L165">
        <v>-1.6607312068219999</v>
      </c>
      <c r="M165">
        <v>0</v>
      </c>
      <c r="N165">
        <v>0</v>
      </c>
      <c r="O165">
        <v>0</v>
      </c>
      <c r="P165">
        <v>13398.7528</v>
      </c>
      <c r="Q165">
        <v>63902.980100000001</v>
      </c>
      <c r="R165">
        <v>41651.253192550997</v>
      </c>
      <c r="S165" t="s">
        <v>55</v>
      </c>
      <c r="T165">
        <v>2</v>
      </c>
      <c r="U165" t="s">
        <v>65</v>
      </c>
      <c r="V165" t="s">
        <v>78</v>
      </c>
      <c r="W165">
        <v>0</v>
      </c>
      <c r="X165">
        <v>0</v>
      </c>
      <c r="Y165">
        <v>63</v>
      </c>
      <c r="Z165">
        <v>111</v>
      </c>
      <c r="AA165">
        <v>110</v>
      </c>
      <c r="AB165">
        <v>2000</v>
      </c>
      <c r="AC165">
        <v>1773</v>
      </c>
      <c r="AD165">
        <v>1019</v>
      </c>
      <c r="AE165">
        <v>754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8</v>
      </c>
      <c r="AM165">
        <v>0</v>
      </c>
      <c r="AN165">
        <v>0</v>
      </c>
      <c r="AO165" t="s">
        <v>58</v>
      </c>
      <c r="AP165">
        <v>1</v>
      </c>
      <c r="AQ165" t="s">
        <v>63</v>
      </c>
      <c r="AR165" t="s">
        <v>64</v>
      </c>
      <c r="AS165">
        <v>1</v>
      </c>
      <c r="AT165">
        <v>4</v>
      </c>
      <c r="AU165">
        <v>0</v>
      </c>
      <c r="AV165">
        <v>5900</v>
      </c>
      <c r="AW165">
        <v>100</v>
      </c>
      <c r="AX165" s="1">
        <v>44498</v>
      </c>
      <c r="AY165">
        <v>22700</v>
      </c>
      <c r="AZ165">
        <v>92174</v>
      </c>
      <c r="BA165">
        <v>114900</v>
      </c>
      <c r="BB165">
        <v>265000</v>
      </c>
      <c r="BC165">
        <v>429</v>
      </c>
      <c r="BD165">
        <f>Grandview_Sales[[#This Row],[land_extract]]*Lookups!$B$3</f>
        <v>48369.487874125851</v>
      </c>
      <c r="BE165">
        <f>Lookups!$B$2</f>
        <v>155833.95000000001</v>
      </c>
      <c r="BF165">
        <f>VLOOKUP(Grandview_Sales[[#This Row],[quality]],Lookups!$H$2:$J$13,3,FALSE)</f>
        <v>2251</v>
      </c>
      <c r="BG165">
        <f>VLOOKUP(Grandview_Sales[[#This Row],[condition]],Lookups!$H$17:$J$24,3,FALSE)</f>
        <v>-45357</v>
      </c>
      <c r="BH165">
        <f>Grandview_Sales[[#This Row],[Eff_Age]]*Lookups!$B$14</f>
        <v>-15067.495799999999</v>
      </c>
      <c r="BI165">
        <f>Grandview_Sales[[#This Row],[living_area]]*Lookups!$B$15</f>
        <v>110601.25236900001</v>
      </c>
      <c r="BJ165">
        <f>Grandview_Sales[[#This Row],[Fin BSMT]]*Lookups!$B$16</f>
        <v>0</v>
      </c>
      <c r="BK165">
        <f>Grandview_Sales[[#This Row],[garage_sqft]]*Lookups!$B$17</f>
        <v>0</v>
      </c>
      <c r="BL165">
        <f>Grandview_Sales[[#This Row],[Plumbing Fixtures]]*Lookups!$B$18</f>
        <v>16083.5344</v>
      </c>
      <c r="BM165">
        <f>Grandview_Sales[[#This Row],[detatched_value]]*Lookups!$B$19</f>
        <v>4996.1500900000001</v>
      </c>
      <c r="BN165">
        <f>Grandview_Sales[[#This Row],[days_prior]]*Lookups!$B$20</f>
        <v>-51457.949399999998</v>
      </c>
      <c r="BO165">
        <f>SUM(Grandview_Sales[[#This Row],[land_value]:[Days Prior To Assessment_value]])</f>
        <v>226252.92953312589</v>
      </c>
      <c r="BP165">
        <f>Grandview_Sales[[#This Row],[predicted_total]]/Grandview_Sales[[#This Row],[sale_price]]</f>
        <v>0.85378463974764485</v>
      </c>
      <c r="BQ165">
        <f>VLOOKUP(Grandview_Sales[[#This Row],[quality]],Lookups!$A$26:$C$33,3,FALSE)</f>
        <v>0.98763855981004833</v>
      </c>
      <c r="BR165">
        <f>VLOOKUP(Grandview_Sales[[#This Row],[condition]],Lookups!$A$37:$C$44,3,FALSE)</f>
        <v>0.97161819570155394</v>
      </c>
      <c r="BS165">
        <f>VLOOKUP(Grandview_Sales[[#This Row],[decade]],Lookups!$F$29:$H$43,3,FALSE)</f>
        <v>0.92255236374249616</v>
      </c>
      <c r="BT165">
        <f>VLOOKUP(Grandview_Sales[[#This Row],[living_area_range]],Lookups!$F$47:$H$56,3,FALSE)</f>
        <v>0.96120133463014379</v>
      </c>
      <c r="BU165">
        <f>Grandview_Sales[[#This Row],[predicted_total]]*AVERAGE(Grandview_Sales[[#This Row],[qual_adj]:[size_adj]])</f>
        <v>217373.09335443442</v>
      </c>
      <c r="BV165">
        <f>Grandview_Sales[[#This Row],[final_total]]/Grandview_Sales[[#This Row],[sale_price]]</f>
        <v>0.82027582397899779</v>
      </c>
      <c r="BW165" s="6">
        <f>(Grandview_Sales[[#This Row],[final_total]]-Grandview_Sales[[#This Row],[sale_price]])^2</f>
        <v>2268322236.6254191</v>
      </c>
      <c r="BX165" s="6">
        <f>(Grandview_Sales[[#This Row],[final_total]]-AVERAGE(Grandview_Sales[sale_price]))^2</f>
        <v>8025665153.6301708</v>
      </c>
      <c r="BY165" s="6">
        <f>Grandview_Sales[[#This Row],[SSE]]+Grandview_Sales[[#This Row],[SSR]]</f>
        <v>10293987390.25559</v>
      </c>
      <c r="BZ165" s="4">
        <f>ABS(Grandview_Sales[[#This Row],[final_ratio]]-MEDIAN(Grandview_Sales[final_ratio]))</f>
        <v>0.18097289537681416</v>
      </c>
    </row>
    <row r="166" spans="1:78" x14ac:dyDescent="0.25">
      <c r="A166">
        <v>23092621468</v>
      </c>
      <c r="B166">
        <v>0</v>
      </c>
      <c r="C166">
        <v>8250</v>
      </c>
      <c r="D166">
        <v>0</v>
      </c>
      <c r="E166" t="s">
        <v>53</v>
      </c>
      <c r="F166" t="s">
        <v>53</v>
      </c>
      <c r="G166">
        <v>4</v>
      </c>
      <c r="H166" t="s">
        <v>54</v>
      </c>
      <c r="I166">
        <v>234700</v>
      </c>
      <c r="J166">
        <v>39100</v>
      </c>
      <c r="K166">
        <v>0.19</v>
      </c>
      <c r="L166">
        <v>-1.6607312068219999</v>
      </c>
      <c r="M166">
        <v>0</v>
      </c>
      <c r="N166">
        <v>0</v>
      </c>
      <c r="O166">
        <v>0</v>
      </c>
      <c r="P166">
        <v>13398.7528</v>
      </c>
      <c r="Q166">
        <v>63902.980100000001</v>
      </c>
      <c r="R166">
        <v>41651.253192550997</v>
      </c>
      <c r="S166" t="s">
        <v>61</v>
      </c>
      <c r="T166">
        <v>1</v>
      </c>
      <c r="U166" t="s">
        <v>62</v>
      </c>
      <c r="V166" t="s">
        <v>57</v>
      </c>
      <c r="W166">
        <v>0</v>
      </c>
      <c r="X166">
        <v>0</v>
      </c>
      <c r="Y166">
        <v>2</v>
      </c>
      <c r="Z166">
        <v>2</v>
      </c>
      <c r="AA166">
        <v>0</v>
      </c>
      <c r="AB166">
        <v>1500</v>
      </c>
      <c r="AC166">
        <v>1364</v>
      </c>
      <c r="AD166">
        <v>1364</v>
      </c>
      <c r="AE166">
        <v>0</v>
      </c>
      <c r="AF166">
        <v>0</v>
      </c>
      <c r="AG166">
        <v>0</v>
      </c>
      <c r="AH166">
        <v>400</v>
      </c>
      <c r="AI166">
        <v>0</v>
      </c>
      <c r="AJ166">
        <v>0</v>
      </c>
      <c r="AK166">
        <v>0</v>
      </c>
      <c r="AL166">
        <v>8</v>
      </c>
      <c r="AM166">
        <v>0</v>
      </c>
      <c r="AN166">
        <v>0</v>
      </c>
      <c r="AO166" t="s">
        <v>58</v>
      </c>
      <c r="AP166">
        <v>1</v>
      </c>
      <c r="AQ166" t="s">
        <v>59</v>
      </c>
      <c r="AR166" t="s">
        <v>64</v>
      </c>
      <c r="AS166">
        <v>1</v>
      </c>
      <c r="AT166">
        <v>3</v>
      </c>
      <c r="AU166">
        <v>0</v>
      </c>
      <c r="AV166">
        <v>0</v>
      </c>
      <c r="AW166">
        <v>100</v>
      </c>
      <c r="AX166" s="1">
        <v>44501</v>
      </c>
      <c r="AY166">
        <v>22400</v>
      </c>
      <c r="AZ166">
        <v>242402</v>
      </c>
      <c r="BA166">
        <v>264800</v>
      </c>
      <c r="BB166">
        <v>270570</v>
      </c>
      <c r="BC166">
        <v>426</v>
      </c>
      <c r="BD166">
        <f>Grandview_Sales[[#This Row],[land_extract]]*Lookups!$B$3</f>
        <v>48369.487874125851</v>
      </c>
      <c r="BE166">
        <f>Lookups!$B$2</f>
        <v>155833.95000000001</v>
      </c>
      <c r="BF166">
        <f>VLOOKUP(Grandview_Sales[[#This Row],[quality]],Lookups!$H$2:$J$13,3,FALSE)</f>
        <v>9808</v>
      </c>
      <c r="BG166">
        <f>VLOOKUP(Grandview_Sales[[#This Row],[condition]],Lookups!$H$17:$J$24,3,FALSE)</f>
        <v>25780</v>
      </c>
      <c r="BH166">
        <f>Grandview_Sales[[#This Row],[Eff_Age]]*Lookups!$B$14</f>
        <v>-478.33319999999998</v>
      </c>
      <c r="BI166">
        <f>Grandview_Sales[[#This Row],[living_area]]*Lookups!$B$15</f>
        <v>85087.483491999999</v>
      </c>
      <c r="BJ166">
        <f>Grandview_Sales[[#This Row],[Fin BSMT]]*Lookups!$B$16</f>
        <v>0</v>
      </c>
      <c r="BK166">
        <f>Grandview_Sales[[#This Row],[garage_sqft]]*Lookups!$B$17</f>
        <v>35008.174800000001</v>
      </c>
      <c r="BL166">
        <f>Grandview_Sales[[#This Row],[Plumbing Fixtures]]*Lookups!$B$18</f>
        <v>16083.5344</v>
      </c>
      <c r="BM166">
        <f>Grandview_Sales[[#This Row],[detatched_value]]*Lookups!$B$19</f>
        <v>0</v>
      </c>
      <c r="BN166">
        <f>Grandview_Sales[[#This Row],[days_prior]]*Lookups!$B$20</f>
        <v>-51098.103600000002</v>
      </c>
      <c r="BO166">
        <f>SUM(Grandview_Sales[[#This Row],[land_value]:[Days Prior To Assessment_value]])</f>
        <v>324394.19376612583</v>
      </c>
      <c r="BP166">
        <f>Grandview_Sales[[#This Row],[predicted_total]]/Grandview_Sales[[#This Row],[sale_price]]</f>
        <v>1.1989289047792653</v>
      </c>
      <c r="BQ166">
        <f>VLOOKUP(Grandview_Sales[[#This Row],[quality]],Lookups!$A$26:$C$33,3,FALSE)</f>
        <v>0.94295468617355149</v>
      </c>
      <c r="BR166">
        <f>VLOOKUP(Grandview_Sales[[#This Row],[condition]],Lookups!$A$37:$C$44,3,FALSE)</f>
        <v>0.94347925387812148</v>
      </c>
      <c r="BS166">
        <f>VLOOKUP(Grandview_Sales[[#This Row],[decade]],Lookups!$F$29:$H$43,3,FALSE)</f>
        <v>0.9413635517371044</v>
      </c>
      <c r="BT166">
        <f>VLOOKUP(Grandview_Sales[[#This Row],[living_area_range]],Lookups!$F$47:$H$56,3,FALSE)</f>
        <v>0.96135087979789358</v>
      </c>
      <c r="BU166">
        <f>Grandview_Sales[[#This Row],[predicted_total]]*AVERAGE(Grandview_Sales[[#This Row],[qual_adj]:[size_adj]])</f>
        <v>307294.43276527163</v>
      </c>
      <c r="BV166">
        <f>Grandview_Sales[[#This Row],[final_total]]/Grandview_Sales[[#This Row],[sale_price]]</f>
        <v>1.1357298767981359</v>
      </c>
      <c r="BW166" s="6">
        <f>(Grandview_Sales[[#This Row],[final_total]]-Grandview_Sales[[#This Row],[sale_price]])^2</f>
        <v>1348683961.9309566</v>
      </c>
      <c r="BX166" s="6">
        <f>(Grandview_Sales[[#This Row],[final_total]]-AVERAGE(Grandview_Sales[sale_price]))^2</f>
        <v>112401.02864906285</v>
      </c>
      <c r="BY166" s="6">
        <f>Grandview_Sales[[#This Row],[SSE]]+Grandview_Sales[[#This Row],[SSR]]</f>
        <v>1348796362.9596057</v>
      </c>
      <c r="BZ166" s="4">
        <f>ABS(Grandview_Sales[[#This Row],[final_ratio]]-MEDIAN(Grandview_Sales[final_ratio]))</f>
        <v>0.13448115744232392</v>
      </c>
    </row>
    <row r="167" spans="1:78" x14ac:dyDescent="0.25">
      <c r="A167">
        <v>23092232498</v>
      </c>
      <c r="B167">
        <v>0</v>
      </c>
      <c r="C167">
        <v>8625</v>
      </c>
      <c r="D167">
        <v>0</v>
      </c>
      <c r="E167" t="s">
        <v>53</v>
      </c>
      <c r="F167" t="s">
        <v>53</v>
      </c>
      <c r="G167">
        <v>4</v>
      </c>
      <c r="H167" t="s">
        <v>54</v>
      </c>
      <c r="I167">
        <v>282800</v>
      </c>
      <c r="J167">
        <v>39300</v>
      </c>
      <c r="K167">
        <v>0.2</v>
      </c>
      <c r="L167">
        <v>-1.6094379124339999</v>
      </c>
      <c r="M167">
        <v>0</v>
      </c>
      <c r="N167">
        <v>0</v>
      </c>
      <c r="O167">
        <v>0</v>
      </c>
      <c r="P167">
        <v>13398.7528</v>
      </c>
      <c r="Q167">
        <v>63902.980100000001</v>
      </c>
      <c r="R167">
        <v>42338.519364346997</v>
      </c>
      <c r="S167" t="s">
        <v>55</v>
      </c>
      <c r="T167">
        <v>1</v>
      </c>
      <c r="U167" t="s">
        <v>62</v>
      </c>
      <c r="V167" t="s">
        <v>57</v>
      </c>
      <c r="W167">
        <v>0</v>
      </c>
      <c r="X167">
        <v>0</v>
      </c>
      <c r="Y167">
        <v>2</v>
      </c>
      <c r="Z167">
        <v>2</v>
      </c>
      <c r="AA167">
        <v>0</v>
      </c>
      <c r="AB167">
        <v>2000</v>
      </c>
      <c r="AC167">
        <v>1597</v>
      </c>
      <c r="AD167">
        <v>1597</v>
      </c>
      <c r="AE167">
        <v>0</v>
      </c>
      <c r="AF167">
        <v>0</v>
      </c>
      <c r="AG167">
        <v>0</v>
      </c>
      <c r="AH167">
        <v>668</v>
      </c>
      <c r="AI167">
        <v>0</v>
      </c>
      <c r="AJ167">
        <v>0</v>
      </c>
      <c r="AK167">
        <v>0</v>
      </c>
      <c r="AL167">
        <v>9</v>
      </c>
      <c r="AM167">
        <v>0</v>
      </c>
      <c r="AN167">
        <v>0</v>
      </c>
      <c r="AO167" t="s">
        <v>58</v>
      </c>
      <c r="AP167">
        <v>1</v>
      </c>
      <c r="AQ167" t="s">
        <v>63</v>
      </c>
      <c r="AR167" t="s">
        <v>64</v>
      </c>
      <c r="AS167">
        <v>1</v>
      </c>
      <c r="AT167">
        <v>3</v>
      </c>
      <c r="AU167">
        <v>0</v>
      </c>
      <c r="AV167">
        <v>0</v>
      </c>
      <c r="AW167">
        <v>100</v>
      </c>
      <c r="AX167" s="1">
        <v>44503</v>
      </c>
      <c r="AY167">
        <v>22500</v>
      </c>
      <c r="AZ167">
        <v>289567</v>
      </c>
      <c r="BA167">
        <v>312100</v>
      </c>
      <c r="BB167">
        <v>416850</v>
      </c>
      <c r="BC167">
        <v>424</v>
      </c>
      <c r="BD167">
        <f>Grandview_Sales[[#This Row],[land_extract]]*Lookups!$B$3</f>
        <v>49167.608223813884</v>
      </c>
      <c r="BE167">
        <f>Lookups!$B$2</f>
        <v>155833.95000000001</v>
      </c>
      <c r="BF167">
        <f>VLOOKUP(Grandview_Sales[[#This Row],[quality]],Lookups!$H$2:$J$13,3,FALSE)</f>
        <v>9808</v>
      </c>
      <c r="BG167">
        <f>VLOOKUP(Grandview_Sales[[#This Row],[condition]],Lookups!$H$17:$J$24,3,FALSE)</f>
        <v>25780</v>
      </c>
      <c r="BH167">
        <f>Grandview_Sales[[#This Row],[Eff_Age]]*Lookups!$B$14</f>
        <v>-478.33319999999998</v>
      </c>
      <c r="BI167">
        <f>Grandview_Sales[[#This Row],[living_area]]*Lookups!$B$15</f>
        <v>99622.222240999996</v>
      </c>
      <c r="BJ167">
        <f>Grandview_Sales[[#This Row],[Fin BSMT]]*Lookups!$B$16</f>
        <v>0</v>
      </c>
      <c r="BK167">
        <f>Grandview_Sales[[#This Row],[garage_sqft]]*Lookups!$B$17</f>
        <v>58463.651916000003</v>
      </c>
      <c r="BL167">
        <f>Grandview_Sales[[#This Row],[Plumbing Fixtures]]*Lookups!$B$18</f>
        <v>18093.976200000001</v>
      </c>
      <c r="BM167">
        <f>Grandview_Sales[[#This Row],[detatched_value]]*Lookups!$B$19</f>
        <v>0</v>
      </c>
      <c r="BN167">
        <f>Grandview_Sales[[#This Row],[days_prior]]*Lookups!$B$20</f>
        <v>-50858.206400000003</v>
      </c>
      <c r="BO167">
        <f>SUM(Grandview_Sales[[#This Row],[land_value]:[Days Prior To Assessment_value]])</f>
        <v>365432.86898081383</v>
      </c>
      <c r="BP167">
        <f>Grandview_Sales[[#This Row],[predicted_total]]/Grandview_Sales[[#This Row],[sale_price]]</f>
        <v>0.87665315816436085</v>
      </c>
      <c r="BQ167">
        <f>VLOOKUP(Grandview_Sales[[#This Row],[quality]],Lookups!$A$26:$C$33,3,FALSE)</f>
        <v>0.94295468617355149</v>
      </c>
      <c r="BR167">
        <f>VLOOKUP(Grandview_Sales[[#This Row],[condition]],Lookups!$A$37:$C$44,3,FALSE)</f>
        <v>0.94347925387812148</v>
      </c>
      <c r="BS167">
        <f>VLOOKUP(Grandview_Sales[[#This Row],[decade]],Lookups!$F$29:$H$43,3,FALSE)</f>
        <v>0.9413635517371044</v>
      </c>
      <c r="BT167">
        <f>VLOOKUP(Grandview_Sales[[#This Row],[living_area_range]],Lookups!$F$47:$H$56,3,FALSE)</f>
        <v>0.96120133463014379</v>
      </c>
      <c r="BU167">
        <f>Grandview_Sales[[#This Row],[predicted_total]]*AVERAGE(Grandview_Sales[[#This Row],[qual_adj]:[size_adj]])</f>
        <v>346156.17792580073</v>
      </c>
      <c r="BV167">
        <f>Grandview_Sales[[#This Row],[final_total]]/Grandview_Sales[[#This Row],[sale_price]]</f>
        <v>0.83040944686530105</v>
      </c>
      <c r="BW167" s="6">
        <f>(Grandview_Sales[[#This Row],[final_total]]-Grandview_Sales[[#This Row],[sale_price]])^2</f>
        <v>4997616479.4585438</v>
      </c>
      <c r="BX167" s="6">
        <f>(Grandview_Sales[[#This Row],[final_total]]-AVERAGE(Grandview_Sales[sale_price]))^2</f>
        <v>1536405419.4472284</v>
      </c>
      <c r="BY167" s="6">
        <f>Grandview_Sales[[#This Row],[SSE]]+Grandview_Sales[[#This Row],[SSR]]</f>
        <v>6534021898.9057722</v>
      </c>
      <c r="BZ167" s="4">
        <f>ABS(Grandview_Sales[[#This Row],[final_ratio]]-MEDIAN(Grandview_Sales[final_ratio]))</f>
        <v>0.1708392724905109</v>
      </c>
    </row>
    <row r="168" spans="1:78" x14ac:dyDescent="0.25">
      <c r="A168">
        <v>23092224414</v>
      </c>
      <c r="B168">
        <v>0.19</v>
      </c>
      <c r="C168">
        <v>0</v>
      </c>
      <c r="D168">
        <v>0</v>
      </c>
      <c r="E168" t="s">
        <v>53</v>
      </c>
      <c r="F168" t="s">
        <v>53</v>
      </c>
      <c r="G168">
        <v>4</v>
      </c>
      <c r="H168" t="s">
        <v>54</v>
      </c>
      <c r="I168">
        <v>256100</v>
      </c>
      <c r="J168">
        <v>43500</v>
      </c>
      <c r="K168">
        <v>0.19</v>
      </c>
      <c r="L168">
        <v>-1.6607312068219999</v>
      </c>
      <c r="M168">
        <v>0</v>
      </c>
      <c r="N168">
        <v>0</v>
      </c>
      <c r="O168">
        <v>0</v>
      </c>
      <c r="P168">
        <v>13398.7528</v>
      </c>
      <c r="Q168">
        <v>63902.980100000001</v>
      </c>
      <c r="R168">
        <v>41651.253192550997</v>
      </c>
      <c r="S168" t="s">
        <v>58</v>
      </c>
      <c r="T168">
        <v>1</v>
      </c>
      <c r="U168" t="s">
        <v>62</v>
      </c>
      <c r="V168" t="s">
        <v>67</v>
      </c>
      <c r="W168">
        <v>0</v>
      </c>
      <c r="X168">
        <v>0</v>
      </c>
      <c r="Y168">
        <v>21</v>
      </c>
      <c r="Z168">
        <v>21</v>
      </c>
      <c r="AA168">
        <v>20</v>
      </c>
      <c r="AB168">
        <v>2000</v>
      </c>
      <c r="AC168">
        <v>1564</v>
      </c>
      <c r="AD168">
        <v>1564</v>
      </c>
      <c r="AE168">
        <v>0</v>
      </c>
      <c r="AF168">
        <v>0</v>
      </c>
      <c r="AG168">
        <v>0</v>
      </c>
      <c r="AH168">
        <v>484</v>
      </c>
      <c r="AI168">
        <v>0</v>
      </c>
      <c r="AJ168">
        <v>0</v>
      </c>
      <c r="AK168">
        <v>384</v>
      </c>
      <c r="AL168">
        <v>9</v>
      </c>
      <c r="AM168">
        <v>0</v>
      </c>
      <c r="AN168">
        <v>0</v>
      </c>
      <c r="AO168" t="s">
        <v>58</v>
      </c>
      <c r="AP168">
        <v>1</v>
      </c>
      <c r="AQ168" t="s">
        <v>63</v>
      </c>
      <c r="AR168" t="s">
        <v>60</v>
      </c>
      <c r="AS168">
        <v>1</v>
      </c>
      <c r="AT168">
        <v>4</v>
      </c>
      <c r="AU168">
        <v>0</v>
      </c>
      <c r="AV168">
        <v>0</v>
      </c>
      <c r="AW168">
        <v>100</v>
      </c>
      <c r="AX168" s="1">
        <v>44504</v>
      </c>
      <c r="AY168">
        <v>24900</v>
      </c>
      <c r="AZ168">
        <v>263356</v>
      </c>
      <c r="BA168">
        <v>288300</v>
      </c>
      <c r="BB168">
        <v>280000</v>
      </c>
      <c r="BC168">
        <v>423</v>
      </c>
      <c r="BD168">
        <f>Grandview_Sales[[#This Row],[land_extract]]*Lookups!$B$3</f>
        <v>48369.487874125851</v>
      </c>
      <c r="BE168">
        <f>Lookups!$B$2</f>
        <v>155833.95000000001</v>
      </c>
      <c r="BF168">
        <f>VLOOKUP(Grandview_Sales[[#This Row],[quality]],Lookups!$H$2:$J$13,3,FALSE)</f>
        <v>9808</v>
      </c>
      <c r="BG168">
        <f>VLOOKUP(Grandview_Sales[[#This Row],[condition]],Lookups!$H$17:$J$24,3,FALSE)</f>
        <v>22342</v>
      </c>
      <c r="BH168">
        <f>Grandview_Sales[[#This Row],[Eff_Age]]*Lookups!$B$14</f>
        <v>-5022.4985999999999</v>
      </c>
      <c r="BI168">
        <f>Grandview_Sales[[#This Row],[living_area]]*Lookups!$B$15</f>
        <v>97563.654091999997</v>
      </c>
      <c r="BJ168">
        <f>Grandview_Sales[[#This Row],[Fin BSMT]]*Lookups!$B$16</f>
        <v>0</v>
      </c>
      <c r="BK168">
        <f>Grandview_Sales[[#This Row],[garage_sqft]]*Lookups!$B$17</f>
        <v>42359.891508000001</v>
      </c>
      <c r="BL168">
        <f>Grandview_Sales[[#This Row],[Plumbing Fixtures]]*Lookups!$B$18</f>
        <v>18093.976200000001</v>
      </c>
      <c r="BM168">
        <f>Grandview_Sales[[#This Row],[detatched_value]]*Lookups!$B$19</f>
        <v>0</v>
      </c>
      <c r="BN168">
        <f>Grandview_Sales[[#This Row],[days_prior]]*Lookups!$B$20</f>
        <v>-50738.257799999999</v>
      </c>
      <c r="BO168">
        <f>SUM(Grandview_Sales[[#This Row],[land_value]:[Days Prior To Assessment_value]])</f>
        <v>338610.20327412587</v>
      </c>
      <c r="BP168">
        <f>Grandview_Sales[[#This Row],[predicted_total]]/Grandview_Sales[[#This Row],[sale_price]]</f>
        <v>1.2093221545504496</v>
      </c>
      <c r="BQ168">
        <f>VLOOKUP(Grandview_Sales[[#This Row],[quality]],Lookups!$A$26:$C$33,3,FALSE)</f>
        <v>0.94295468617355149</v>
      </c>
      <c r="BR168">
        <f>VLOOKUP(Grandview_Sales[[#This Row],[condition]],Lookups!$A$37:$C$44,3,FALSE)</f>
        <v>0.97383723671140243</v>
      </c>
      <c r="BS168">
        <f>VLOOKUP(Grandview_Sales[[#This Row],[decade]],Lookups!$F$29:$H$43,3,FALSE)</f>
        <v>0.96737494181490646</v>
      </c>
      <c r="BT168">
        <f>VLOOKUP(Grandview_Sales[[#This Row],[living_area_range]],Lookups!$F$47:$H$56,3,FALSE)</f>
        <v>0.96120133463014379</v>
      </c>
      <c r="BU168">
        <f>Grandview_Sales[[#This Row],[predicted_total]]*AVERAGE(Grandview_Sales[[#This Row],[qual_adj]:[size_adj]])</f>
        <v>325520.22690974805</v>
      </c>
      <c r="BV168">
        <f>Grandview_Sales[[#This Row],[final_total]]/Grandview_Sales[[#This Row],[sale_price]]</f>
        <v>1.1625722389633859</v>
      </c>
      <c r="BW168" s="6">
        <f>(Grandview_Sales[[#This Row],[final_total]]-Grandview_Sales[[#This Row],[sale_price]])^2</f>
        <v>2072091057.9149501</v>
      </c>
      <c r="BX168" s="6">
        <f>(Grandview_Sales[[#This Row],[final_total]]-AVERAGE(Grandview_Sales[sale_price]))^2</f>
        <v>344512828.45105702</v>
      </c>
      <c r="BY168" s="6">
        <f>Grandview_Sales[[#This Row],[SSE]]+Grandview_Sales[[#This Row],[SSR]]</f>
        <v>2416603886.3660073</v>
      </c>
      <c r="BZ168" s="4">
        <f>ABS(Grandview_Sales[[#This Row],[final_ratio]]-MEDIAN(Grandview_Sales[final_ratio]))</f>
        <v>0.16132351960757396</v>
      </c>
    </row>
    <row r="169" spans="1:78" x14ac:dyDescent="0.25">
      <c r="A169">
        <v>23092242423</v>
      </c>
      <c r="B169">
        <v>0.26</v>
      </c>
      <c r="C169">
        <v>11500</v>
      </c>
      <c r="D169">
        <v>0</v>
      </c>
      <c r="E169" t="s">
        <v>53</v>
      </c>
      <c r="F169" t="s">
        <v>53</v>
      </c>
      <c r="G169">
        <v>4</v>
      </c>
      <c r="H169" t="s">
        <v>54</v>
      </c>
      <c r="I169">
        <v>275100</v>
      </c>
      <c r="J169">
        <v>44500</v>
      </c>
      <c r="K169">
        <v>0.26</v>
      </c>
      <c r="L169">
        <v>-1.347073647967</v>
      </c>
      <c r="M169">
        <v>0</v>
      </c>
      <c r="N169">
        <v>0</v>
      </c>
      <c r="O169">
        <v>0</v>
      </c>
      <c r="P169">
        <v>13398.7528</v>
      </c>
      <c r="Q169">
        <v>63902.980100000001</v>
      </c>
      <c r="R169">
        <v>45853.873287501003</v>
      </c>
      <c r="S169" t="s">
        <v>61</v>
      </c>
      <c r="T169">
        <v>1</v>
      </c>
      <c r="U169" t="s">
        <v>64</v>
      </c>
      <c r="V169" t="s">
        <v>69</v>
      </c>
      <c r="W169">
        <v>0</v>
      </c>
      <c r="X169">
        <v>0</v>
      </c>
      <c r="Y169">
        <v>46</v>
      </c>
      <c r="Z169">
        <v>53</v>
      </c>
      <c r="AA169">
        <v>50</v>
      </c>
      <c r="AB169">
        <v>3000</v>
      </c>
      <c r="AC169">
        <v>2561</v>
      </c>
      <c r="AD169">
        <v>2561</v>
      </c>
      <c r="AE169">
        <v>0</v>
      </c>
      <c r="AF169">
        <v>0</v>
      </c>
      <c r="AG169">
        <v>0</v>
      </c>
      <c r="AH169">
        <v>0</v>
      </c>
      <c r="AI169">
        <v>425</v>
      </c>
      <c r="AJ169">
        <v>0</v>
      </c>
      <c r="AK169">
        <v>0</v>
      </c>
      <c r="AL169">
        <v>10</v>
      </c>
      <c r="AM169">
        <v>0</v>
      </c>
      <c r="AN169">
        <v>2</v>
      </c>
      <c r="AO169" t="s">
        <v>58</v>
      </c>
      <c r="AP169">
        <v>1</v>
      </c>
      <c r="AQ169" t="s">
        <v>63</v>
      </c>
      <c r="AR169" t="s">
        <v>60</v>
      </c>
      <c r="AS169">
        <v>0</v>
      </c>
      <c r="AT169">
        <v>3</v>
      </c>
      <c r="AU169">
        <v>0</v>
      </c>
      <c r="AV169">
        <v>18500</v>
      </c>
      <c r="AW169">
        <v>100</v>
      </c>
      <c r="AX169" s="1">
        <v>44506</v>
      </c>
      <c r="AY169">
        <v>25500</v>
      </c>
      <c r="AZ169">
        <v>356030</v>
      </c>
      <c r="BA169">
        <v>381500</v>
      </c>
      <c r="BB169">
        <v>385000</v>
      </c>
      <c r="BC169">
        <v>421</v>
      </c>
      <c r="BD169">
        <f>Grandview_Sales[[#This Row],[land_extract]]*Lookups!$B$3</f>
        <v>53249.979243317037</v>
      </c>
      <c r="BE169">
        <f>Lookups!$B$2</f>
        <v>155833.95000000001</v>
      </c>
      <c r="BF169">
        <f>VLOOKUP(Grandview_Sales[[#This Row],[quality]],Lookups!$H$2:$J$13,3,FALSE)</f>
        <v>20768</v>
      </c>
      <c r="BG169">
        <f>VLOOKUP(Grandview_Sales[[#This Row],[condition]],Lookups!$H$17:$J$24,3,FALSE)</f>
        <v>-4503</v>
      </c>
      <c r="BH169">
        <f>Grandview_Sales[[#This Row],[Eff_Age]]*Lookups!$B$14</f>
        <v>-11001.6636</v>
      </c>
      <c r="BI169">
        <f>Grandview_Sales[[#This Row],[living_area]]*Lookups!$B$15</f>
        <v>159757.36453300001</v>
      </c>
      <c r="BJ169">
        <f>Grandview_Sales[[#This Row],[Fin BSMT]]*Lookups!$B$16</f>
        <v>0</v>
      </c>
      <c r="BK169">
        <f>Grandview_Sales[[#This Row],[garage_sqft]]*Lookups!$B$17</f>
        <v>0</v>
      </c>
      <c r="BL169">
        <f>Grandview_Sales[[#This Row],[Plumbing Fixtures]]*Lookups!$B$18</f>
        <v>20104.418000000001</v>
      </c>
      <c r="BM169">
        <f>Grandview_Sales[[#This Row],[detatched_value]]*Lookups!$B$19</f>
        <v>15665.89435</v>
      </c>
      <c r="BN169">
        <f>Grandview_Sales[[#This Row],[days_prior]]*Lookups!$B$20</f>
        <v>-50498.3606</v>
      </c>
      <c r="BO169">
        <f>SUM(Grandview_Sales[[#This Row],[land_value]:[Days Prior To Assessment_value]])</f>
        <v>359376.58192631707</v>
      </c>
      <c r="BP169">
        <f>Grandview_Sales[[#This Row],[predicted_total]]/Grandview_Sales[[#This Row],[sale_price]]</f>
        <v>0.93344566734108325</v>
      </c>
      <c r="BQ169">
        <f>VLOOKUP(Grandview_Sales[[#This Row],[quality]],Lookups!$A$26:$C$33,3,FALSE)</f>
        <v>0.94960540378902636</v>
      </c>
      <c r="BR169">
        <f>VLOOKUP(Grandview_Sales[[#This Row],[condition]],Lookups!$A$37:$C$44,3,FALSE)</f>
        <v>0.96469275950863709</v>
      </c>
      <c r="BS169">
        <f>VLOOKUP(Grandview_Sales[[#This Row],[decade]],Lookups!$F$29:$H$43,3,FALSE)</f>
        <v>0.9871940091910919</v>
      </c>
      <c r="BT169">
        <f>VLOOKUP(Grandview_Sales[[#This Row],[living_area_range]],Lookups!$F$47:$H$56,3,FALSE)</f>
        <v>0.94224801443562123</v>
      </c>
      <c r="BU169">
        <f>Grandview_Sales[[#This Row],[predicted_total]]*AVERAGE(Grandview_Sales[[#This Row],[qual_adj]:[size_adj]])</f>
        <v>345337.55254742637</v>
      </c>
      <c r="BV169">
        <f>Grandview_Sales[[#This Row],[final_total]]/Grandview_Sales[[#This Row],[sale_price]]</f>
        <v>0.89698065596734122</v>
      </c>
      <c r="BW169" s="6">
        <f>(Grandview_Sales[[#This Row],[final_total]]-Grandview_Sales[[#This Row],[sale_price]])^2</f>
        <v>1573109737.9281645</v>
      </c>
      <c r="BX169" s="6">
        <f>(Grandview_Sales[[#This Row],[final_total]]-AVERAGE(Grandview_Sales[sale_price]))^2</f>
        <v>1472900236.2959402</v>
      </c>
      <c r="BY169" s="6">
        <f>Grandview_Sales[[#This Row],[SSE]]+Grandview_Sales[[#This Row],[SSR]]</f>
        <v>3046009974.2241049</v>
      </c>
      <c r="BZ169" s="4">
        <f>ABS(Grandview_Sales[[#This Row],[final_ratio]]-MEDIAN(Grandview_Sales[final_ratio]))</f>
        <v>0.10426806338847072</v>
      </c>
    </row>
    <row r="170" spans="1:78" x14ac:dyDescent="0.25">
      <c r="A170">
        <v>23092621463</v>
      </c>
      <c r="B170">
        <v>0</v>
      </c>
      <c r="C170">
        <v>8250</v>
      </c>
      <c r="D170">
        <v>0</v>
      </c>
      <c r="E170" t="s">
        <v>53</v>
      </c>
      <c r="F170" t="s">
        <v>53</v>
      </c>
      <c r="G170">
        <v>4</v>
      </c>
      <c r="H170" t="s">
        <v>54</v>
      </c>
      <c r="I170">
        <v>276600</v>
      </c>
      <c r="J170">
        <v>39100</v>
      </c>
      <c r="K170">
        <v>0.19</v>
      </c>
      <c r="L170">
        <v>-1.6607312068219999</v>
      </c>
      <c r="M170">
        <v>0</v>
      </c>
      <c r="N170">
        <v>0</v>
      </c>
      <c r="O170">
        <v>0</v>
      </c>
      <c r="P170">
        <v>13398.7528</v>
      </c>
      <c r="Q170">
        <v>63902.980100000001</v>
      </c>
      <c r="R170">
        <v>41651.253192550997</v>
      </c>
      <c r="S170" t="s">
        <v>55</v>
      </c>
      <c r="T170">
        <v>1</v>
      </c>
      <c r="U170" t="s">
        <v>62</v>
      </c>
      <c r="V170" t="s">
        <v>57</v>
      </c>
      <c r="W170">
        <v>0</v>
      </c>
      <c r="X170">
        <v>0</v>
      </c>
      <c r="Y170">
        <v>2</v>
      </c>
      <c r="Z170">
        <v>2</v>
      </c>
      <c r="AA170">
        <v>0</v>
      </c>
      <c r="AB170">
        <v>2000</v>
      </c>
      <c r="AC170">
        <v>1760</v>
      </c>
      <c r="AD170">
        <v>1760</v>
      </c>
      <c r="AE170">
        <v>0</v>
      </c>
      <c r="AF170">
        <v>0</v>
      </c>
      <c r="AG170">
        <v>0</v>
      </c>
      <c r="AH170">
        <v>440</v>
      </c>
      <c r="AI170">
        <v>0</v>
      </c>
      <c r="AJ170">
        <v>0</v>
      </c>
      <c r="AK170">
        <v>0</v>
      </c>
      <c r="AL170">
        <v>9</v>
      </c>
      <c r="AM170">
        <v>0</v>
      </c>
      <c r="AN170">
        <v>0</v>
      </c>
      <c r="AO170" t="s">
        <v>58</v>
      </c>
      <c r="AP170">
        <v>1</v>
      </c>
      <c r="AQ170" t="s">
        <v>63</v>
      </c>
      <c r="AR170" t="s">
        <v>64</v>
      </c>
      <c r="AS170">
        <v>1</v>
      </c>
      <c r="AT170">
        <v>3</v>
      </c>
      <c r="AU170">
        <v>0</v>
      </c>
      <c r="AV170">
        <v>0</v>
      </c>
      <c r="AW170">
        <v>100</v>
      </c>
      <c r="AX170" s="1">
        <v>44509</v>
      </c>
      <c r="AY170">
        <v>22400</v>
      </c>
      <c r="AZ170">
        <v>305133</v>
      </c>
      <c r="BA170">
        <v>327500</v>
      </c>
      <c r="BB170">
        <v>318630</v>
      </c>
      <c r="BC170">
        <v>418</v>
      </c>
      <c r="BD170">
        <f>Grandview_Sales[[#This Row],[land_extract]]*Lookups!$B$3</f>
        <v>48369.487874125851</v>
      </c>
      <c r="BE170">
        <f>Lookups!$B$2</f>
        <v>155833.95000000001</v>
      </c>
      <c r="BF170">
        <f>VLOOKUP(Grandview_Sales[[#This Row],[quality]],Lookups!$H$2:$J$13,3,FALSE)</f>
        <v>9808</v>
      </c>
      <c r="BG170">
        <f>VLOOKUP(Grandview_Sales[[#This Row],[condition]],Lookups!$H$17:$J$24,3,FALSE)</f>
        <v>25780</v>
      </c>
      <c r="BH170">
        <f>Grandview_Sales[[#This Row],[Eff_Age]]*Lookups!$B$14</f>
        <v>-478.33319999999998</v>
      </c>
      <c r="BI170">
        <f>Grandview_Sales[[#This Row],[living_area]]*Lookups!$B$15</f>
        <v>109790.30128</v>
      </c>
      <c r="BJ170">
        <f>Grandview_Sales[[#This Row],[Fin BSMT]]*Lookups!$B$16</f>
        <v>0</v>
      </c>
      <c r="BK170">
        <f>Grandview_Sales[[#This Row],[garage_sqft]]*Lookups!$B$17</f>
        <v>38508.992279999999</v>
      </c>
      <c r="BL170">
        <f>Grandview_Sales[[#This Row],[Plumbing Fixtures]]*Lookups!$B$18</f>
        <v>18093.976200000001</v>
      </c>
      <c r="BM170">
        <f>Grandview_Sales[[#This Row],[detatched_value]]*Lookups!$B$19</f>
        <v>0</v>
      </c>
      <c r="BN170">
        <f>Grandview_Sales[[#This Row],[days_prior]]*Lookups!$B$20</f>
        <v>-50138.514799999997</v>
      </c>
      <c r="BO170">
        <f>SUM(Grandview_Sales[[#This Row],[land_value]:[Days Prior To Assessment_value]])</f>
        <v>355567.85963412584</v>
      </c>
      <c r="BP170">
        <f>Grandview_Sales[[#This Row],[predicted_total]]/Grandview_Sales[[#This Row],[sale_price]]</f>
        <v>1.1159271243578002</v>
      </c>
      <c r="BQ170">
        <f>VLOOKUP(Grandview_Sales[[#This Row],[quality]],Lookups!$A$26:$C$33,3,FALSE)</f>
        <v>0.94295468617355149</v>
      </c>
      <c r="BR170">
        <f>VLOOKUP(Grandview_Sales[[#This Row],[condition]],Lookups!$A$37:$C$44,3,FALSE)</f>
        <v>0.94347925387812148</v>
      </c>
      <c r="BS170">
        <f>VLOOKUP(Grandview_Sales[[#This Row],[decade]],Lookups!$F$29:$H$43,3,FALSE)</f>
        <v>0.9413635517371044</v>
      </c>
      <c r="BT170">
        <f>VLOOKUP(Grandview_Sales[[#This Row],[living_area_range]],Lookups!$F$47:$H$56,3,FALSE)</f>
        <v>0.96120133463014379</v>
      </c>
      <c r="BU170">
        <f>Grandview_Sales[[#This Row],[predicted_total]]*AVERAGE(Grandview_Sales[[#This Row],[qual_adj]:[size_adj]])</f>
        <v>336811.55071649764</v>
      </c>
      <c r="BV170">
        <f>Grandview_Sales[[#This Row],[final_total]]/Grandview_Sales[[#This Row],[sale_price]]</f>
        <v>1.0570616411401865</v>
      </c>
      <c r="BW170" s="6">
        <f>(Grandview_Sales[[#This Row],[final_total]]-Grandview_Sales[[#This Row],[sale_price]])^2</f>
        <v>330568786.45657599</v>
      </c>
      <c r="BX170" s="6">
        <f>(Grandview_Sales[[#This Row],[final_total]]-AVERAGE(Grandview_Sales[sale_price]))^2</f>
        <v>891164626.15039325</v>
      </c>
      <c r="BY170" s="6">
        <f>Grandview_Sales[[#This Row],[SSE]]+Grandview_Sales[[#This Row],[SSR]]</f>
        <v>1221733412.6069694</v>
      </c>
      <c r="BZ170" s="4">
        <f>ABS(Grandview_Sales[[#This Row],[final_ratio]]-MEDIAN(Grandview_Sales[final_ratio]))</f>
        <v>5.5812921784374581E-2</v>
      </c>
    </row>
    <row r="171" spans="1:78" x14ac:dyDescent="0.25">
      <c r="A171">
        <v>23092621447</v>
      </c>
      <c r="B171">
        <v>0</v>
      </c>
      <c r="C171">
        <v>9155</v>
      </c>
      <c r="D171">
        <v>0</v>
      </c>
      <c r="E171" t="s">
        <v>53</v>
      </c>
      <c r="F171" t="s">
        <v>53</v>
      </c>
      <c r="G171">
        <v>4</v>
      </c>
      <c r="H171" t="s">
        <v>54</v>
      </c>
      <c r="I171">
        <v>269300</v>
      </c>
      <c r="J171">
        <v>39300</v>
      </c>
      <c r="K171">
        <v>0.21</v>
      </c>
      <c r="L171">
        <v>-1.5606477482650001</v>
      </c>
      <c r="M171">
        <v>0</v>
      </c>
      <c r="N171">
        <v>0</v>
      </c>
      <c r="O171">
        <v>0</v>
      </c>
      <c r="P171">
        <v>13398.7528</v>
      </c>
      <c r="Q171">
        <v>63902.980100000001</v>
      </c>
      <c r="R171">
        <v>42992.246713125001</v>
      </c>
      <c r="S171" t="s">
        <v>61</v>
      </c>
      <c r="T171">
        <v>1</v>
      </c>
      <c r="U171" t="s">
        <v>62</v>
      </c>
      <c r="V171" t="s">
        <v>57</v>
      </c>
      <c r="W171">
        <v>0</v>
      </c>
      <c r="X171">
        <v>0</v>
      </c>
      <c r="Y171">
        <v>2</v>
      </c>
      <c r="Z171">
        <v>2</v>
      </c>
      <c r="AA171">
        <v>0</v>
      </c>
      <c r="AB171">
        <v>2000</v>
      </c>
      <c r="AC171">
        <v>1641</v>
      </c>
      <c r="AD171">
        <v>1641</v>
      </c>
      <c r="AE171">
        <v>0</v>
      </c>
      <c r="AF171">
        <v>0</v>
      </c>
      <c r="AG171">
        <v>0</v>
      </c>
      <c r="AH171">
        <v>578</v>
      </c>
      <c r="AI171">
        <v>0</v>
      </c>
      <c r="AJ171">
        <v>0</v>
      </c>
      <c r="AK171">
        <v>0</v>
      </c>
      <c r="AL171">
        <v>10</v>
      </c>
      <c r="AM171">
        <v>0</v>
      </c>
      <c r="AN171">
        <v>0</v>
      </c>
      <c r="AO171" t="s">
        <v>58</v>
      </c>
      <c r="AP171">
        <v>1</v>
      </c>
      <c r="AQ171" t="s">
        <v>63</v>
      </c>
      <c r="AR171" t="s">
        <v>64</v>
      </c>
      <c r="AS171">
        <v>1</v>
      </c>
      <c r="AT171">
        <v>3</v>
      </c>
      <c r="AU171">
        <v>0</v>
      </c>
      <c r="AV171">
        <v>0</v>
      </c>
      <c r="AW171">
        <v>100</v>
      </c>
      <c r="AX171" s="1">
        <v>44510</v>
      </c>
      <c r="AY171">
        <v>22500</v>
      </c>
      <c r="AZ171">
        <v>294546</v>
      </c>
      <c r="BA171">
        <v>317000</v>
      </c>
      <c r="BB171">
        <v>368701</v>
      </c>
      <c r="BC171">
        <v>417</v>
      </c>
      <c r="BD171">
        <f>Grandview_Sales[[#This Row],[land_extract]]*Lookups!$B$3</f>
        <v>49926.780028885936</v>
      </c>
      <c r="BE171">
        <f>Lookups!$B$2</f>
        <v>155833.95000000001</v>
      </c>
      <c r="BF171">
        <f>VLOOKUP(Grandview_Sales[[#This Row],[quality]],Lookups!$H$2:$J$13,3,FALSE)</f>
        <v>9808</v>
      </c>
      <c r="BG171">
        <f>VLOOKUP(Grandview_Sales[[#This Row],[condition]],Lookups!$H$17:$J$24,3,FALSE)</f>
        <v>25780</v>
      </c>
      <c r="BH171">
        <f>Grandview_Sales[[#This Row],[Eff_Age]]*Lookups!$B$14</f>
        <v>-478.33319999999998</v>
      </c>
      <c r="BI171">
        <f>Grandview_Sales[[#This Row],[living_area]]*Lookups!$B$15</f>
        <v>102366.979773</v>
      </c>
      <c r="BJ171">
        <f>Grandview_Sales[[#This Row],[Fin BSMT]]*Lookups!$B$16</f>
        <v>0</v>
      </c>
      <c r="BK171">
        <f>Grandview_Sales[[#This Row],[garage_sqft]]*Lookups!$B$17</f>
        <v>50586.812586</v>
      </c>
      <c r="BL171">
        <f>Grandview_Sales[[#This Row],[Plumbing Fixtures]]*Lookups!$B$18</f>
        <v>20104.418000000001</v>
      </c>
      <c r="BM171">
        <f>Grandview_Sales[[#This Row],[detatched_value]]*Lookups!$B$19</f>
        <v>0</v>
      </c>
      <c r="BN171">
        <f>Grandview_Sales[[#This Row],[days_prior]]*Lookups!$B$20</f>
        <v>-50018.566200000001</v>
      </c>
      <c r="BO171">
        <f>SUM(Grandview_Sales[[#This Row],[land_value]:[Days Prior To Assessment_value]])</f>
        <v>363910.04098788596</v>
      </c>
      <c r="BP171">
        <f>Grandview_Sales[[#This Row],[predicted_total]]/Grandview_Sales[[#This Row],[sale_price]]</f>
        <v>0.98700584209938669</v>
      </c>
      <c r="BQ171">
        <f>VLOOKUP(Grandview_Sales[[#This Row],[quality]],Lookups!$A$26:$C$33,3,FALSE)</f>
        <v>0.94295468617355149</v>
      </c>
      <c r="BR171">
        <f>VLOOKUP(Grandview_Sales[[#This Row],[condition]],Lookups!$A$37:$C$44,3,FALSE)</f>
        <v>0.94347925387812148</v>
      </c>
      <c r="BS171">
        <f>VLOOKUP(Grandview_Sales[[#This Row],[decade]],Lookups!$F$29:$H$43,3,FALSE)</f>
        <v>0.9413635517371044</v>
      </c>
      <c r="BT171">
        <f>VLOOKUP(Grandview_Sales[[#This Row],[living_area_range]],Lookups!$F$47:$H$56,3,FALSE)</f>
        <v>0.96120133463014379</v>
      </c>
      <c r="BU171">
        <f>Grandview_Sales[[#This Row],[predicted_total]]*AVERAGE(Grandview_Sales[[#This Row],[qual_adj]:[size_adj]])</f>
        <v>344713.67955629033</v>
      </c>
      <c r="BV171">
        <f>Grandview_Sales[[#This Row],[final_total]]/Grandview_Sales[[#This Row],[sale_price]]</f>
        <v>0.93494099434579869</v>
      </c>
      <c r="BW171" s="6">
        <f>(Grandview_Sales[[#This Row],[final_total]]-Grandview_Sales[[#This Row],[sale_price]])^2</f>
        <v>575391542.06921196</v>
      </c>
      <c r="BX171" s="6">
        <f>(Grandview_Sales[[#This Row],[final_total]]-AVERAGE(Grandview_Sales[sale_price]))^2</f>
        <v>1425402981.348655</v>
      </c>
      <c r="BY171" s="6">
        <f>Grandview_Sales[[#This Row],[SSE]]+Grandview_Sales[[#This Row],[SSR]]</f>
        <v>2000794523.4178669</v>
      </c>
      <c r="BZ171" s="4">
        <f>ABS(Grandview_Sales[[#This Row],[final_ratio]]-MEDIAN(Grandview_Sales[final_ratio]))</f>
        <v>6.6307725010013252E-2</v>
      </c>
    </row>
    <row r="172" spans="1:78" x14ac:dyDescent="0.25">
      <c r="A172">
        <v>23092621434</v>
      </c>
      <c r="B172">
        <v>0</v>
      </c>
      <c r="C172">
        <v>9900</v>
      </c>
      <c r="D172">
        <v>0</v>
      </c>
      <c r="E172" t="s">
        <v>53</v>
      </c>
      <c r="F172" t="s">
        <v>53</v>
      </c>
      <c r="G172">
        <v>4</v>
      </c>
      <c r="H172" t="s">
        <v>54</v>
      </c>
      <c r="I172">
        <v>266300</v>
      </c>
      <c r="J172">
        <v>39500</v>
      </c>
      <c r="K172">
        <v>0.23</v>
      </c>
      <c r="L172">
        <v>-1.4696759700590001</v>
      </c>
      <c r="M172">
        <v>0</v>
      </c>
      <c r="N172">
        <v>0</v>
      </c>
      <c r="O172">
        <v>0</v>
      </c>
      <c r="P172">
        <v>13398.7528</v>
      </c>
      <c r="Q172">
        <v>63902.980100000001</v>
      </c>
      <c r="R172">
        <v>44211.155081080004</v>
      </c>
      <c r="S172" t="s">
        <v>61</v>
      </c>
      <c r="T172">
        <v>1</v>
      </c>
      <c r="U172" t="s">
        <v>62</v>
      </c>
      <c r="V172" t="s">
        <v>57</v>
      </c>
      <c r="W172">
        <v>0</v>
      </c>
      <c r="X172">
        <v>0</v>
      </c>
      <c r="Y172">
        <v>1</v>
      </c>
      <c r="Z172">
        <v>1</v>
      </c>
      <c r="AA172">
        <v>0</v>
      </c>
      <c r="AB172">
        <v>2000</v>
      </c>
      <c r="AC172">
        <v>1800</v>
      </c>
      <c r="AD172">
        <v>1800</v>
      </c>
      <c r="AE172">
        <v>0</v>
      </c>
      <c r="AF172">
        <v>0</v>
      </c>
      <c r="AG172">
        <v>0</v>
      </c>
      <c r="AH172">
        <v>400</v>
      </c>
      <c r="AI172">
        <v>0</v>
      </c>
      <c r="AJ172">
        <v>0</v>
      </c>
      <c r="AK172">
        <v>0</v>
      </c>
      <c r="AL172">
        <v>10</v>
      </c>
      <c r="AM172">
        <v>0</v>
      </c>
      <c r="AN172">
        <v>0</v>
      </c>
      <c r="AO172" t="s">
        <v>58</v>
      </c>
      <c r="AP172">
        <v>1</v>
      </c>
      <c r="AQ172" t="s">
        <v>63</v>
      </c>
      <c r="AR172" t="s">
        <v>64</v>
      </c>
      <c r="AS172">
        <v>1</v>
      </c>
      <c r="AT172">
        <v>3</v>
      </c>
      <c r="AU172">
        <v>0</v>
      </c>
      <c r="AV172">
        <v>0</v>
      </c>
      <c r="AW172">
        <v>100</v>
      </c>
      <c r="AX172" s="1">
        <v>44522</v>
      </c>
      <c r="AY172">
        <v>22600</v>
      </c>
      <c r="AZ172">
        <v>315735</v>
      </c>
      <c r="BA172">
        <v>338300</v>
      </c>
      <c r="BB172">
        <v>350540</v>
      </c>
      <c r="BC172">
        <v>405</v>
      </c>
      <c r="BD172">
        <f>Grandview_Sales[[#This Row],[land_extract]]*Lookups!$B$3</f>
        <v>51342.29502553949</v>
      </c>
      <c r="BE172">
        <f>Lookups!$B$2</f>
        <v>155833.95000000001</v>
      </c>
      <c r="BF172">
        <f>VLOOKUP(Grandview_Sales[[#This Row],[quality]],Lookups!$H$2:$J$13,3,FALSE)</f>
        <v>9808</v>
      </c>
      <c r="BG172">
        <f>VLOOKUP(Grandview_Sales[[#This Row],[condition]],Lookups!$H$17:$J$24,3,FALSE)</f>
        <v>25780</v>
      </c>
      <c r="BH172">
        <f>Grandview_Sales[[#This Row],[Eff_Age]]*Lookups!$B$14</f>
        <v>-239.16659999999999</v>
      </c>
      <c r="BI172">
        <f>Grandview_Sales[[#This Row],[living_area]]*Lookups!$B$15</f>
        <v>112285.53540000001</v>
      </c>
      <c r="BJ172">
        <f>Grandview_Sales[[#This Row],[Fin BSMT]]*Lookups!$B$16</f>
        <v>0</v>
      </c>
      <c r="BK172">
        <f>Grandview_Sales[[#This Row],[garage_sqft]]*Lookups!$B$17</f>
        <v>35008.174800000001</v>
      </c>
      <c r="BL172">
        <f>Grandview_Sales[[#This Row],[Plumbing Fixtures]]*Lookups!$B$18</f>
        <v>20104.418000000001</v>
      </c>
      <c r="BM172">
        <f>Grandview_Sales[[#This Row],[detatched_value]]*Lookups!$B$19</f>
        <v>0</v>
      </c>
      <c r="BN172">
        <f>Grandview_Sales[[#This Row],[days_prior]]*Lookups!$B$20</f>
        <v>-48579.182999999997</v>
      </c>
      <c r="BO172">
        <f>SUM(Grandview_Sales[[#This Row],[land_value]:[Days Prior To Assessment_value]])</f>
        <v>361344.0236255395</v>
      </c>
      <c r="BP172">
        <f>Grandview_Sales[[#This Row],[predicted_total]]/Grandview_Sales[[#This Row],[sale_price]]</f>
        <v>1.030821086396815</v>
      </c>
      <c r="BQ172">
        <f>VLOOKUP(Grandview_Sales[[#This Row],[quality]],Lookups!$A$26:$C$33,3,FALSE)</f>
        <v>0.94295468617355149</v>
      </c>
      <c r="BR172">
        <f>VLOOKUP(Grandview_Sales[[#This Row],[condition]],Lookups!$A$37:$C$44,3,FALSE)</f>
        <v>0.94347925387812148</v>
      </c>
      <c r="BS172">
        <f>VLOOKUP(Grandview_Sales[[#This Row],[decade]],Lookups!$F$29:$H$43,3,FALSE)</f>
        <v>0.9413635517371044</v>
      </c>
      <c r="BT172">
        <f>VLOOKUP(Grandview_Sales[[#This Row],[living_area_range]],Lookups!$F$47:$H$56,3,FALSE)</f>
        <v>0.96120133463014379</v>
      </c>
      <c r="BU172">
        <f>Grandview_Sales[[#This Row],[predicted_total]]*AVERAGE(Grandview_Sales[[#This Row],[qual_adj]:[size_adj]])</f>
        <v>342283.020362665</v>
      </c>
      <c r="BV172">
        <f>Grandview_Sales[[#This Row],[final_total]]/Grandview_Sales[[#This Row],[sale_price]]</f>
        <v>0.97644497165135224</v>
      </c>
      <c r="BW172" s="6">
        <f>(Grandview_Sales[[#This Row],[final_total]]-Grandview_Sales[[#This Row],[sale_price]])^2</f>
        <v>68177712.731364772</v>
      </c>
      <c r="BX172" s="6">
        <f>(Grandview_Sales[[#This Row],[final_total]]-AVERAGE(Grandview_Sales[sale_price]))^2</f>
        <v>1247774394.6317687</v>
      </c>
      <c r="BY172" s="6">
        <f>Grandview_Sales[[#This Row],[SSE]]+Grandview_Sales[[#This Row],[SSR]]</f>
        <v>1315952107.3631334</v>
      </c>
      <c r="BZ172" s="4">
        <f>ABS(Grandview_Sales[[#This Row],[final_ratio]]-MEDIAN(Grandview_Sales[final_ratio]))</f>
        <v>2.48037477044597E-2</v>
      </c>
    </row>
    <row r="173" spans="1:78" x14ac:dyDescent="0.25">
      <c r="A173">
        <v>23092621466</v>
      </c>
      <c r="B173">
        <v>0</v>
      </c>
      <c r="C173">
        <v>8250</v>
      </c>
      <c r="D173">
        <v>0</v>
      </c>
      <c r="E173" t="s">
        <v>53</v>
      </c>
      <c r="F173" t="s">
        <v>53</v>
      </c>
      <c r="G173">
        <v>4</v>
      </c>
      <c r="H173" t="s">
        <v>54</v>
      </c>
      <c r="I173">
        <v>315500</v>
      </c>
      <c r="J173">
        <v>39100</v>
      </c>
      <c r="K173">
        <v>0.19</v>
      </c>
      <c r="L173">
        <v>-1.6607312068219999</v>
      </c>
      <c r="M173">
        <v>0</v>
      </c>
      <c r="N173">
        <v>0</v>
      </c>
      <c r="O173">
        <v>0</v>
      </c>
      <c r="P173">
        <v>13398.7528</v>
      </c>
      <c r="Q173">
        <v>63902.980100000001</v>
      </c>
      <c r="R173">
        <v>41651.253192550997</v>
      </c>
      <c r="S173" t="s">
        <v>55</v>
      </c>
      <c r="T173">
        <v>2</v>
      </c>
      <c r="U173" t="s">
        <v>64</v>
      </c>
      <c r="V173" t="s">
        <v>57</v>
      </c>
      <c r="W173">
        <v>0</v>
      </c>
      <c r="X173">
        <v>0</v>
      </c>
      <c r="Y173">
        <v>2</v>
      </c>
      <c r="Z173">
        <v>2</v>
      </c>
      <c r="AA173">
        <v>0</v>
      </c>
      <c r="AB173">
        <v>2500</v>
      </c>
      <c r="AC173">
        <v>2477</v>
      </c>
      <c r="AD173">
        <v>1105</v>
      </c>
      <c r="AE173">
        <v>1372</v>
      </c>
      <c r="AF173">
        <v>0</v>
      </c>
      <c r="AG173">
        <v>0</v>
      </c>
      <c r="AH173">
        <v>400</v>
      </c>
      <c r="AI173">
        <v>0</v>
      </c>
      <c r="AJ173">
        <v>0</v>
      </c>
      <c r="AK173">
        <v>0</v>
      </c>
      <c r="AL173">
        <v>12</v>
      </c>
      <c r="AM173">
        <v>0</v>
      </c>
      <c r="AN173">
        <v>0</v>
      </c>
      <c r="AO173" t="s">
        <v>58</v>
      </c>
      <c r="AP173">
        <v>1</v>
      </c>
      <c r="AQ173" t="s">
        <v>63</v>
      </c>
      <c r="AR173" t="s">
        <v>64</v>
      </c>
      <c r="AS173">
        <v>1</v>
      </c>
      <c r="AT173">
        <v>3</v>
      </c>
      <c r="AU173">
        <v>0</v>
      </c>
      <c r="AV173">
        <v>0</v>
      </c>
      <c r="AW173">
        <v>100</v>
      </c>
      <c r="AX173" s="1">
        <v>44530</v>
      </c>
      <c r="AY173">
        <v>22400</v>
      </c>
      <c r="AZ173">
        <v>415272</v>
      </c>
      <c r="BA173">
        <v>437700</v>
      </c>
      <c r="BB173">
        <v>371180</v>
      </c>
      <c r="BC173">
        <v>397</v>
      </c>
      <c r="BD173">
        <f>Grandview_Sales[[#This Row],[land_extract]]*Lookups!$B$3</f>
        <v>48369.487874125851</v>
      </c>
      <c r="BE173">
        <f>Lookups!$B$2</f>
        <v>155833.95000000001</v>
      </c>
      <c r="BF173">
        <f>VLOOKUP(Grandview_Sales[[#This Row],[quality]],Lookups!$H$2:$J$13,3,FALSE)</f>
        <v>20768</v>
      </c>
      <c r="BG173">
        <f>VLOOKUP(Grandview_Sales[[#This Row],[condition]],Lookups!$H$17:$J$24,3,FALSE)</f>
        <v>25780</v>
      </c>
      <c r="BH173">
        <f>Grandview_Sales[[#This Row],[Eff_Age]]*Lookups!$B$14</f>
        <v>-478.33319999999998</v>
      </c>
      <c r="BI173">
        <f>Grandview_Sales[[#This Row],[living_area]]*Lookups!$B$15</f>
        <v>154517.37288100002</v>
      </c>
      <c r="BJ173">
        <f>Grandview_Sales[[#This Row],[Fin BSMT]]*Lookups!$B$16</f>
        <v>0</v>
      </c>
      <c r="BK173">
        <f>Grandview_Sales[[#This Row],[garage_sqft]]*Lookups!$B$17</f>
        <v>35008.174800000001</v>
      </c>
      <c r="BL173">
        <f>Grandview_Sales[[#This Row],[Plumbing Fixtures]]*Lookups!$B$18</f>
        <v>24125.301599999999</v>
      </c>
      <c r="BM173">
        <f>Grandview_Sales[[#This Row],[detatched_value]]*Lookups!$B$19</f>
        <v>0</v>
      </c>
      <c r="BN173">
        <f>Grandview_Sales[[#This Row],[days_prior]]*Lookups!$B$20</f>
        <v>-47619.5942</v>
      </c>
      <c r="BO173">
        <f>SUM(Grandview_Sales[[#This Row],[land_value]:[Days Prior To Assessment_value]])</f>
        <v>416304.35975512589</v>
      </c>
      <c r="BP173">
        <f>Grandview_Sales[[#This Row],[predicted_total]]/Grandview_Sales[[#This Row],[sale_price]]</f>
        <v>1.1215700192767011</v>
      </c>
      <c r="BQ173">
        <f>VLOOKUP(Grandview_Sales[[#This Row],[quality]],Lookups!$A$26:$C$33,3,FALSE)</f>
        <v>0.94960540378902636</v>
      </c>
      <c r="BR173">
        <f>VLOOKUP(Grandview_Sales[[#This Row],[condition]],Lookups!$A$37:$C$44,3,FALSE)</f>
        <v>0.94347925387812148</v>
      </c>
      <c r="BS173">
        <f>VLOOKUP(Grandview_Sales[[#This Row],[decade]],Lookups!$F$29:$H$43,3,FALSE)</f>
        <v>0.9413635517371044</v>
      </c>
      <c r="BT173">
        <f>VLOOKUP(Grandview_Sales[[#This Row],[living_area_range]],Lookups!$F$47:$H$56,3,FALSE)</f>
        <v>0.95799442568048754</v>
      </c>
      <c r="BU173">
        <f>Grandview_Sales[[#This Row],[predicted_total]]*AVERAGE(Grandview_Sales[[#This Row],[qual_adj]:[size_adj]])</f>
        <v>394702.60077674879</v>
      </c>
      <c r="BV173">
        <f>Grandview_Sales[[#This Row],[final_total]]/Grandview_Sales[[#This Row],[sale_price]]</f>
        <v>1.0633724898344437</v>
      </c>
      <c r="BW173" s="6">
        <f>(Grandview_Sales[[#This Row],[final_total]]-Grandview_Sales[[#This Row],[sale_price]])^2</f>
        <v>553312747.30230272</v>
      </c>
      <c r="BX173" s="6">
        <f>(Grandview_Sales[[#This Row],[final_total]]-AVERAGE(Grandview_Sales[sale_price]))^2</f>
        <v>7698909620.100934</v>
      </c>
      <c r="BY173" s="6">
        <f>Grandview_Sales[[#This Row],[SSE]]+Grandview_Sales[[#This Row],[SSR]]</f>
        <v>8252222367.4032364</v>
      </c>
      <c r="BZ173" s="4">
        <f>ABS(Grandview_Sales[[#This Row],[final_ratio]]-MEDIAN(Grandview_Sales[final_ratio]))</f>
        <v>6.2123770478631712E-2</v>
      </c>
    </row>
    <row r="174" spans="1:78" x14ac:dyDescent="0.25">
      <c r="A174">
        <v>23092232495</v>
      </c>
      <c r="B174">
        <v>0</v>
      </c>
      <c r="C174">
        <v>9400</v>
      </c>
      <c r="D174">
        <v>0</v>
      </c>
      <c r="E174" t="s">
        <v>53</v>
      </c>
      <c r="F174" t="s">
        <v>53</v>
      </c>
      <c r="G174">
        <v>4</v>
      </c>
      <c r="H174" t="s">
        <v>54</v>
      </c>
      <c r="I174">
        <v>246900</v>
      </c>
      <c r="J174">
        <v>39500</v>
      </c>
      <c r="K174">
        <v>0.22</v>
      </c>
      <c r="L174">
        <v>-1.51412773263</v>
      </c>
      <c r="M174">
        <v>0</v>
      </c>
      <c r="N174">
        <v>0</v>
      </c>
      <c r="O174">
        <v>0</v>
      </c>
      <c r="P174">
        <v>13398.7528</v>
      </c>
      <c r="Q174">
        <v>63902.980100000001</v>
      </c>
      <c r="R174">
        <v>43615.556902869001</v>
      </c>
      <c r="S174" t="s">
        <v>55</v>
      </c>
      <c r="T174">
        <v>1</v>
      </c>
      <c r="U174" t="s">
        <v>62</v>
      </c>
      <c r="V174" t="s">
        <v>57</v>
      </c>
      <c r="W174">
        <v>0</v>
      </c>
      <c r="X174">
        <v>0</v>
      </c>
      <c r="Y174">
        <v>2</v>
      </c>
      <c r="Z174">
        <v>2</v>
      </c>
      <c r="AA174">
        <v>0</v>
      </c>
      <c r="AB174">
        <v>1500</v>
      </c>
      <c r="AC174">
        <v>1280</v>
      </c>
      <c r="AD174">
        <v>1280</v>
      </c>
      <c r="AE174">
        <v>0</v>
      </c>
      <c r="AF174">
        <v>0</v>
      </c>
      <c r="AG174">
        <v>0</v>
      </c>
      <c r="AH174">
        <v>400</v>
      </c>
      <c r="AI174">
        <v>0</v>
      </c>
      <c r="AJ174">
        <v>0</v>
      </c>
      <c r="AK174">
        <v>0</v>
      </c>
      <c r="AL174">
        <v>8</v>
      </c>
      <c r="AM174">
        <v>0</v>
      </c>
      <c r="AN174">
        <v>0</v>
      </c>
      <c r="AO174" t="s">
        <v>58</v>
      </c>
      <c r="AP174">
        <v>1</v>
      </c>
      <c r="AQ174" t="s">
        <v>63</v>
      </c>
      <c r="AR174" t="s">
        <v>64</v>
      </c>
      <c r="AS174">
        <v>1</v>
      </c>
      <c r="AT174">
        <v>3</v>
      </c>
      <c r="AU174">
        <v>0</v>
      </c>
      <c r="AV174">
        <v>0</v>
      </c>
      <c r="AW174">
        <v>100</v>
      </c>
      <c r="AX174" s="1">
        <v>44531</v>
      </c>
      <c r="AY174">
        <v>22600</v>
      </c>
      <c r="AZ174">
        <v>227300</v>
      </c>
      <c r="BA174">
        <v>249900</v>
      </c>
      <c r="BB174">
        <v>369850</v>
      </c>
      <c r="BC174">
        <v>396</v>
      </c>
      <c r="BD174">
        <f>Grandview_Sales[[#This Row],[land_extract]]*Lookups!$B$3</f>
        <v>50650.628469298128</v>
      </c>
      <c r="BE174">
        <f>Lookups!$B$2</f>
        <v>155833.95000000001</v>
      </c>
      <c r="BF174">
        <f>VLOOKUP(Grandview_Sales[[#This Row],[quality]],Lookups!$H$2:$J$13,3,FALSE)</f>
        <v>9808</v>
      </c>
      <c r="BG174">
        <f>VLOOKUP(Grandview_Sales[[#This Row],[condition]],Lookups!$H$17:$J$24,3,FALSE)</f>
        <v>25780</v>
      </c>
      <c r="BH174">
        <f>Grandview_Sales[[#This Row],[Eff_Age]]*Lookups!$B$14</f>
        <v>-478.33319999999998</v>
      </c>
      <c r="BI174">
        <f>Grandview_Sales[[#This Row],[living_area]]*Lookups!$B$15</f>
        <v>79847.491840000002</v>
      </c>
      <c r="BJ174">
        <f>Grandview_Sales[[#This Row],[Fin BSMT]]*Lookups!$B$16</f>
        <v>0</v>
      </c>
      <c r="BK174">
        <f>Grandview_Sales[[#This Row],[garage_sqft]]*Lookups!$B$17</f>
        <v>35008.174800000001</v>
      </c>
      <c r="BL174">
        <f>Grandview_Sales[[#This Row],[Plumbing Fixtures]]*Lookups!$B$18</f>
        <v>16083.5344</v>
      </c>
      <c r="BM174">
        <f>Grandview_Sales[[#This Row],[detatched_value]]*Lookups!$B$19</f>
        <v>0</v>
      </c>
      <c r="BN174">
        <f>Grandview_Sales[[#This Row],[days_prior]]*Lookups!$B$20</f>
        <v>-47499.645599999996</v>
      </c>
      <c r="BO174">
        <f>SUM(Grandview_Sales[[#This Row],[land_value]:[Days Prior To Assessment_value]])</f>
        <v>325033.80070929811</v>
      </c>
      <c r="BP174">
        <f>Grandview_Sales[[#This Row],[predicted_total]]/Grandview_Sales[[#This Row],[sale_price]]</f>
        <v>0.87882601246261483</v>
      </c>
      <c r="BQ174">
        <f>VLOOKUP(Grandview_Sales[[#This Row],[quality]],Lookups!$A$26:$C$33,3,FALSE)</f>
        <v>0.94295468617355149</v>
      </c>
      <c r="BR174">
        <f>VLOOKUP(Grandview_Sales[[#This Row],[condition]],Lookups!$A$37:$C$44,3,FALSE)</f>
        <v>0.94347925387812148</v>
      </c>
      <c r="BS174">
        <f>VLOOKUP(Grandview_Sales[[#This Row],[decade]],Lookups!$F$29:$H$43,3,FALSE)</f>
        <v>0.9413635517371044</v>
      </c>
      <c r="BT174">
        <f>VLOOKUP(Grandview_Sales[[#This Row],[living_area_range]],Lookups!$F$47:$H$56,3,FALSE)</f>
        <v>0.96135087979789358</v>
      </c>
      <c r="BU174">
        <f>Grandview_Sales[[#This Row],[predicted_total]]*AVERAGE(Grandview_Sales[[#This Row],[qual_adj]:[size_adj]])</f>
        <v>307900.32416706585</v>
      </c>
      <c r="BV174">
        <f>Grandview_Sales[[#This Row],[final_total]]/Grandview_Sales[[#This Row],[sale_price]]</f>
        <v>0.83250053850768113</v>
      </c>
      <c r="BW174" s="6">
        <f>(Grandview_Sales[[#This Row],[final_total]]-Grandview_Sales[[#This Row],[sale_price]])^2</f>
        <v>3837762335.8056259</v>
      </c>
      <c r="BX174" s="6">
        <f>(Grandview_Sales[[#This Row],[final_total]]-AVERAGE(Grandview_Sales[sale_price]))^2</f>
        <v>885770.90475373738</v>
      </c>
      <c r="BY174" s="6">
        <f>Grandview_Sales[[#This Row],[SSE]]+Grandview_Sales[[#This Row],[SSR]]</f>
        <v>3838648106.7103796</v>
      </c>
      <c r="BZ174" s="4">
        <f>ABS(Grandview_Sales[[#This Row],[final_ratio]]-MEDIAN(Grandview_Sales[final_ratio]))</f>
        <v>0.16874818084813081</v>
      </c>
    </row>
    <row r="175" spans="1:78" x14ac:dyDescent="0.25">
      <c r="A175">
        <v>23092621461</v>
      </c>
      <c r="B175">
        <v>0</v>
      </c>
      <c r="C175">
        <v>8250</v>
      </c>
      <c r="D175">
        <v>0</v>
      </c>
      <c r="E175" t="s">
        <v>53</v>
      </c>
      <c r="F175" t="s">
        <v>53</v>
      </c>
      <c r="G175">
        <v>4</v>
      </c>
      <c r="H175" t="s">
        <v>54</v>
      </c>
      <c r="I175">
        <v>252200</v>
      </c>
      <c r="J175">
        <v>39100</v>
      </c>
      <c r="K175">
        <v>0.19</v>
      </c>
      <c r="L175">
        <v>-1.6607312068219999</v>
      </c>
      <c r="M175">
        <v>0</v>
      </c>
      <c r="N175">
        <v>0</v>
      </c>
      <c r="O175">
        <v>0</v>
      </c>
      <c r="P175">
        <v>13398.7528</v>
      </c>
      <c r="Q175">
        <v>63902.980100000001</v>
      </c>
      <c r="R175">
        <v>41651.253192550997</v>
      </c>
      <c r="S175" t="s">
        <v>61</v>
      </c>
      <c r="T175">
        <v>1</v>
      </c>
      <c r="U175" t="s">
        <v>62</v>
      </c>
      <c r="V175" t="s">
        <v>57</v>
      </c>
      <c r="W175">
        <v>0</v>
      </c>
      <c r="X175">
        <v>0</v>
      </c>
      <c r="Y175">
        <v>2</v>
      </c>
      <c r="Z175">
        <v>2</v>
      </c>
      <c r="AA175">
        <v>0</v>
      </c>
      <c r="AB175">
        <v>1500</v>
      </c>
      <c r="AC175">
        <v>1468</v>
      </c>
      <c r="AD175">
        <v>1468</v>
      </c>
      <c r="AE175">
        <v>0</v>
      </c>
      <c r="AF175">
        <v>0</v>
      </c>
      <c r="AG175">
        <v>0</v>
      </c>
      <c r="AH175">
        <v>460</v>
      </c>
      <c r="AI175">
        <v>0</v>
      </c>
      <c r="AJ175">
        <v>0</v>
      </c>
      <c r="AK175">
        <v>0</v>
      </c>
      <c r="AL175">
        <v>10</v>
      </c>
      <c r="AM175">
        <v>0</v>
      </c>
      <c r="AN175">
        <v>0</v>
      </c>
      <c r="AO175" t="s">
        <v>58</v>
      </c>
      <c r="AP175">
        <v>1</v>
      </c>
      <c r="AQ175" t="s">
        <v>63</v>
      </c>
      <c r="AR175" t="s">
        <v>64</v>
      </c>
      <c r="AS175">
        <v>1</v>
      </c>
      <c r="AT175">
        <v>3</v>
      </c>
      <c r="AU175">
        <v>0</v>
      </c>
      <c r="AV175">
        <v>0</v>
      </c>
      <c r="AW175">
        <v>100</v>
      </c>
      <c r="AX175" s="1">
        <v>44533</v>
      </c>
      <c r="AY175">
        <v>22400</v>
      </c>
      <c r="AZ175">
        <v>269541</v>
      </c>
      <c r="BA175">
        <v>291900</v>
      </c>
      <c r="BB175">
        <v>315300</v>
      </c>
      <c r="BC175">
        <v>394</v>
      </c>
      <c r="BD175">
        <f>Grandview_Sales[[#This Row],[land_extract]]*Lookups!$B$3</f>
        <v>48369.487874125851</v>
      </c>
      <c r="BE175">
        <f>Lookups!$B$2</f>
        <v>155833.95000000001</v>
      </c>
      <c r="BF175">
        <f>VLOOKUP(Grandview_Sales[[#This Row],[quality]],Lookups!$H$2:$J$13,3,FALSE)</f>
        <v>9808</v>
      </c>
      <c r="BG175">
        <f>VLOOKUP(Grandview_Sales[[#This Row],[condition]],Lookups!$H$17:$J$24,3,FALSE)</f>
        <v>25780</v>
      </c>
      <c r="BH175">
        <f>Grandview_Sales[[#This Row],[Eff_Age]]*Lookups!$B$14</f>
        <v>-478.33319999999998</v>
      </c>
      <c r="BI175">
        <f>Grandview_Sales[[#This Row],[living_area]]*Lookups!$B$15</f>
        <v>91575.092204</v>
      </c>
      <c r="BJ175">
        <f>Grandview_Sales[[#This Row],[Fin BSMT]]*Lookups!$B$16</f>
        <v>0</v>
      </c>
      <c r="BK175">
        <f>Grandview_Sales[[#This Row],[garage_sqft]]*Lookups!$B$17</f>
        <v>40259.401019999998</v>
      </c>
      <c r="BL175">
        <f>Grandview_Sales[[#This Row],[Plumbing Fixtures]]*Lookups!$B$18</f>
        <v>20104.418000000001</v>
      </c>
      <c r="BM175">
        <f>Grandview_Sales[[#This Row],[detatched_value]]*Lookups!$B$19</f>
        <v>0</v>
      </c>
      <c r="BN175">
        <f>Grandview_Sales[[#This Row],[days_prior]]*Lookups!$B$20</f>
        <v>-47259.748399999997</v>
      </c>
      <c r="BO175">
        <f>SUM(Grandview_Sales[[#This Row],[land_value]:[Days Prior To Assessment_value]])</f>
        <v>343992.2674981259</v>
      </c>
      <c r="BP175">
        <f>Grandview_Sales[[#This Row],[predicted_total]]/Grandview_Sales[[#This Row],[sale_price]]</f>
        <v>1.0909998969176211</v>
      </c>
      <c r="BQ175">
        <f>VLOOKUP(Grandview_Sales[[#This Row],[quality]],Lookups!$A$26:$C$33,3,FALSE)</f>
        <v>0.94295468617355149</v>
      </c>
      <c r="BR175">
        <f>VLOOKUP(Grandview_Sales[[#This Row],[condition]],Lookups!$A$37:$C$44,3,FALSE)</f>
        <v>0.94347925387812148</v>
      </c>
      <c r="BS175">
        <f>VLOOKUP(Grandview_Sales[[#This Row],[decade]],Lookups!$F$29:$H$43,3,FALSE)</f>
        <v>0.9413635517371044</v>
      </c>
      <c r="BT175">
        <f>VLOOKUP(Grandview_Sales[[#This Row],[living_area_range]],Lookups!$F$47:$H$56,3,FALSE)</f>
        <v>0.96135087979789358</v>
      </c>
      <c r="BU175">
        <f>Grandview_Sales[[#This Row],[predicted_total]]*AVERAGE(Grandview_Sales[[#This Row],[qual_adj]:[size_adj]])</f>
        <v>325859.43505723256</v>
      </c>
      <c r="BV175">
        <f>Grandview_Sales[[#This Row],[final_total]]/Grandview_Sales[[#This Row],[sale_price]]</f>
        <v>1.0334901207016574</v>
      </c>
      <c r="BW175" s="6">
        <f>(Grandview_Sales[[#This Row],[final_total]]-Grandview_Sales[[#This Row],[sale_price]])^2</f>
        <v>111501668.72791208</v>
      </c>
      <c r="BX175" s="6">
        <f>(Grandview_Sales[[#This Row],[final_total]]-AVERAGE(Grandview_Sales[sale_price]))^2</f>
        <v>357220013.98357314</v>
      </c>
      <c r="BY175" s="6">
        <f>Grandview_Sales[[#This Row],[SSE]]+Grandview_Sales[[#This Row],[SSR]]</f>
        <v>468721682.71148521</v>
      </c>
      <c r="BZ175" s="4">
        <f>ABS(Grandview_Sales[[#This Row],[final_ratio]]-MEDIAN(Grandview_Sales[final_ratio]))</f>
        <v>3.2241401345845411E-2</v>
      </c>
    </row>
    <row r="176" spans="1:78" x14ac:dyDescent="0.25">
      <c r="A176">
        <v>23092231456</v>
      </c>
      <c r="B176">
        <v>0.27</v>
      </c>
      <c r="C176">
        <v>11571</v>
      </c>
      <c r="D176">
        <v>0</v>
      </c>
      <c r="E176" t="s">
        <v>53</v>
      </c>
      <c r="F176" t="s">
        <v>53</v>
      </c>
      <c r="G176">
        <v>4</v>
      </c>
      <c r="H176" t="s">
        <v>54</v>
      </c>
      <c r="I176">
        <v>240500</v>
      </c>
      <c r="J176">
        <v>44500</v>
      </c>
      <c r="K176">
        <v>0.27</v>
      </c>
      <c r="L176">
        <v>-1.309333319984</v>
      </c>
      <c r="M176">
        <v>0</v>
      </c>
      <c r="N176">
        <v>0</v>
      </c>
      <c r="O176">
        <v>0</v>
      </c>
      <c r="P176">
        <v>13398.7528</v>
      </c>
      <c r="Q176">
        <v>63902.980100000001</v>
      </c>
      <c r="R176">
        <v>46359.546612733997</v>
      </c>
      <c r="S176" t="s">
        <v>55</v>
      </c>
      <c r="T176">
        <v>1</v>
      </c>
      <c r="U176" t="s">
        <v>65</v>
      </c>
      <c r="V176" t="s">
        <v>67</v>
      </c>
      <c r="W176">
        <v>0</v>
      </c>
      <c r="X176">
        <v>0</v>
      </c>
      <c r="Y176">
        <v>44</v>
      </c>
      <c r="Z176">
        <v>46</v>
      </c>
      <c r="AA176">
        <v>50</v>
      </c>
      <c r="AB176">
        <v>1500</v>
      </c>
      <c r="AC176">
        <v>1408</v>
      </c>
      <c r="AD176">
        <v>1408</v>
      </c>
      <c r="AE176">
        <v>0</v>
      </c>
      <c r="AF176">
        <v>0</v>
      </c>
      <c r="AG176">
        <v>0</v>
      </c>
      <c r="AH176">
        <v>390</v>
      </c>
      <c r="AI176">
        <v>0</v>
      </c>
      <c r="AJ176">
        <v>0</v>
      </c>
      <c r="AK176">
        <v>0</v>
      </c>
      <c r="AL176">
        <v>8</v>
      </c>
      <c r="AM176">
        <v>0</v>
      </c>
      <c r="AN176">
        <v>0</v>
      </c>
      <c r="AO176" t="s">
        <v>58</v>
      </c>
      <c r="AP176">
        <v>1</v>
      </c>
      <c r="AQ176" t="s">
        <v>63</v>
      </c>
      <c r="AR176" t="s">
        <v>60</v>
      </c>
      <c r="AS176">
        <v>1</v>
      </c>
      <c r="AT176">
        <v>3</v>
      </c>
      <c r="AU176">
        <v>0</v>
      </c>
      <c r="AV176">
        <v>4300</v>
      </c>
      <c r="AW176">
        <v>100</v>
      </c>
      <c r="AX176" s="1">
        <v>44534</v>
      </c>
      <c r="AY176">
        <v>25500</v>
      </c>
      <c r="AZ176">
        <v>184306</v>
      </c>
      <c r="BA176">
        <v>209800</v>
      </c>
      <c r="BB176">
        <v>304000</v>
      </c>
      <c r="BC176">
        <v>393</v>
      </c>
      <c r="BD176">
        <f>Grandview_Sales[[#This Row],[land_extract]]*Lookups!$B$3</f>
        <v>53837.216310592135</v>
      </c>
      <c r="BE176">
        <f>Lookups!$B$2</f>
        <v>155833.95000000001</v>
      </c>
      <c r="BF176">
        <f>VLOOKUP(Grandview_Sales[[#This Row],[quality]],Lookups!$H$2:$J$13,3,FALSE)</f>
        <v>2251</v>
      </c>
      <c r="BG176">
        <f>VLOOKUP(Grandview_Sales[[#This Row],[condition]],Lookups!$H$17:$J$24,3,FALSE)</f>
        <v>22342</v>
      </c>
      <c r="BH176">
        <f>Grandview_Sales[[#This Row],[Eff_Age]]*Lookups!$B$14</f>
        <v>-10523.330399999999</v>
      </c>
      <c r="BI176">
        <f>Grandview_Sales[[#This Row],[living_area]]*Lookups!$B$15</f>
        <v>87832.241024000003</v>
      </c>
      <c r="BJ176">
        <f>Grandview_Sales[[#This Row],[Fin BSMT]]*Lookups!$B$16</f>
        <v>0</v>
      </c>
      <c r="BK176">
        <f>Grandview_Sales[[#This Row],[garage_sqft]]*Lookups!$B$17</f>
        <v>34132.970430000001</v>
      </c>
      <c r="BL176">
        <f>Grandview_Sales[[#This Row],[Plumbing Fixtures]]*Lookups!$B$18</f>
        <v>16083.5344</v>
      </c>
      <c r="BM176">
        <f>Grandview_Sales[[#This Row],[detatched_value]]*Lookups!$B$19</f>
        <v>3641.2619300000001</v>
      </c>
      <c r="BN176">
        <f>Grandview_Sales[[#This Row],[days_prior]]*Lookups!$B$20</f>
        <v>-47139.799800000001</v>
      </c>
      <c r="BO176">
        <f>SUM(Grandview_Sales[[#This Row],[land_value]:[Days Prior To Assessment_value]])</f>
        <v>318291.04389459215</v>
      </c>
      <c r="BP176">
        <f>Grandview_Sales[[#This Row],[predicted_total]]/Grandview_Sales[[#This Row],[sale_price]]</f>
        <v>1.0470100128111584</v>
      </c>
      <c r="BQ176">
        <f>VLOOKUP(Grandview_Sales[[#This Row],[quality]],Lookups!$A$26:$C$33,3,FALSE)</f>
        <v>0.98763855981004833</v>
      </c>
      <c r="BR176">
        <f>VLOOKUP(Grandview_Sales[[#This Row],[condition]],Lookups!$A$37:$C$44,3,FALSE)</f>
        <v>0.97383723671140243</v>
      </c>
      <c r="BS176">
        <f>VLOOKUP(Grandview_Sales[[#This Row],[decade]],Lookups!$F$29:$H$43,3,FALSE)</f>
        <v>0.9871940091910919</v>
      </c>
      <c r="BT176">
        <f>VLOOKUP(Grandview_Sales[[#This Row],[living_area_range]],Lookups!$F$47:$H$56,3,FALSE)</f>
        <v>0.96135087979789358</v>
      </c>
      <c r="BU176">
        <f>Grandview_Sales[[#This Row],[predicted_total]]*AVERAGE(Grandview_Sales[[#This Row],[qual_adj]:[size_adj]])</f>
        <v>311131.14141014137</v>
      </c>
      <c r="BV176">
        <f>Grandview_Sales[[#This Row],[final_total]]/Grandview_Sales[[#This Row],[sale_price]]</f>
        <v>1.0234577020070439</v>
      </c>
      <c r="BW176" s="6">
        <f>(Grandview_Sales[[#This Row],[final_total]]-Grandview_Sales[[#This Row],[sale_price]])^2</f>
        <v>50853177.811433025</v>
      </c>
      <c r="BX176" s="6">
        <f>(Grandview_Sales[[#This Row],[final_total]]-AVERAGE(Grandview_Sales[sale_price]))^2</f>
        <v>17405344.288156137</v>
      </c>
      <c r="BY176" s="6">
        <f>Grandview_Sales[[#This Row],[SSE]]+Grandview_Sales[[#This Row],[SSR]]</f>
        <v>68258522.099589169</v>
      </c>
      <c r="BZ176" s="4">
        <f>ABS(Grandview_Sales[[#This Row],[final_ratio]]-MEDIAN(Grandview_Sales[final_ratio]))</f>
        <v>2.2208982651231945E-2</v>
      </c>
    </row>
    <row r="177" spans="1:78" x14ac:dyDescent="0.25">
      <c r="A177">
        <v>23092332465</v>
      </c>
      <c r="B177">
        <v>0.26</v>
      </c>
      <c r="C177">
        <v>11450</v>
      </c>
      <c r="D177">
        <v>0</v>
      </c>
      <c r="E177" t="s">
        <v>53</v>
      </c>
      <c r="F177" t="s">
        <v>53</v>
      </c>
      <c r="G177">
        <v>4</v>
      </c>
      <c r="H177" t="s">
        <v>54</v>
      </c>
      <c r="I177">
        <v>251900</v>
      </c>
      <c r="J177">
        <v>40200</v>
      </c>
      <c r="K177">
        <v>0.26</v>
      </c>
      <c r="L177">
        <v>-1.347073647967</v>
      </c>
      <c r="M177">
        <v>0</v>
      </c>
      <c r="N177">
        <v>0</v>
      </c>
      <c r="O177">
        <v>0</v>
      </c>
      <c r="P177">
        <v>13398.7528</v>
      </c>
      <c r="Q177">
        <v>63902.980100000001</v>
      </c>
      <c r="R177">
        <v>45853.873287501003</v>
      </c>
      <c r="S177" t="s">
        <v>61</v>
      </c>
      <c r="T177">
        <v>1</v>
      </c>
      <c r="U177" t="s">
        <v>70</v>
      </c>
      <c r="V177" t="s">
        <v>66</v>
      </c>
      <c r="W177">
        <v>0</v>
      </c>
      <c r="X177">
        <v>0</v>
      </c>
      <c r="Y177">
        <v>22</v>
      </c>
      <c r="Z177">
        <v>88</v>
      </c>
      <c r="AA177">
        <v>90</v>
      </c>
      <c r="AB177">
        <v>2500</v>
      </c>
      <c r="AC177">
        <v>2216</v>
      </c>
      <c r="AD177">
        <v>1384</v>
      </c>
      <c r="AE177">
        <v>0</v>
      </c>
      <c r="AF177">
        <v>832</v>
      </c>
      <c r="AG177">
        <v>0</v>
      </c>
      <c r="AH177">
        <v>0</v>
      </c>
      <c r="AI177">
        <v>0</v>
      </c>
      <c r="AJ177">
        <v>440</v>
      </c>
      <c r="AK177">
        <v>0</v>
      </c>
      <c r="AL177">
        <v>12</v>
      </c>
      <c r="AM177">
        <v>0</v>
      </c>
      <c r="AN177">
        <v>0</v>
      </c>
      <c r="AO177" t="s">
        <v>71</v>
      </c>
      <c r="AP177">
        <v>1</v>
      </c>
      <c r="AQ177" t="s">
        <v>59</v>
      </c>
      <c r="AR177" t="s">
        <v>60</v>
      </c>
      <c r="AS177">
        <v>1</v>
      </c>
      <c r="AT177">
        <v>2</v>
      </c>
      <c r="AU177">
        <v>0</v>
      </c>
      <c r="AV177">
        <v>12300</v>
      </c>
      <c r="AW177">
        <v>100</v>
      </c>
      <c r="AX177" s="1">
        <v>44538</v>
      </c>
      <c r="AY177">
        <v>23000</v>
      </c>
      <c r="AZ177">
        <v>280176</v>
      </c>
      <c r="BA177">
        <v>303200</v>
      </c>
      <c r="BB177">
        <v>365000</v>
      </c>
      <c r="BC177">
        <v>389</v>
      </c>
      <c r="BD177">
        <f>Grandview_Sales[[#This Row],[land_extract]]*Lookups!$B$3</f>
        <v>53249.979243317037</v>
      </c>
      <c r="BE177">
        <f>Lookups!$B$2</f>
        <v>155833.95000000001</v>
      </c>
      <c r="BF177">
        <f>VLOOKUP(Grandview_Sales[[#This Row],[quality]],Lookups!$H$2:$J$13,3,FALSE)</f>
        <v>10733</v>
      </c>
      <c r="BG177">
        <f>VLOOKUP(Grandview_Sales[[#This Row],[condition]],Lookups!$H$17:$J$24,3,FALSE)</f>
        <v>25818</v>
      </c>
      <c r="BH177">
        <f>Grandview_Sales[[#This Row],[Eff_Age]]*Lookups!$B$14</f>
        <v>-5261.6651999999995</v>
      </c>
      <c r="BI177">
        <f>Grandview_Sales[[#This Row],[living_area]]*Lookups!$B$15</f>
        <v>138235.970248</v>
      </c>
      <c r="BJ177">
        <f>Grandview_Sales[[#This Row],[Fin BSMT]]*Lookups!$B$16</f>
        <v>-22546.56768</v>
      </c>
      <c r="BK177">
        <f>Grandview_Sales[[#This Row],[garage_sqft]]*Lookups!$B$17</f>
        <v>0</v>
      </c>
      <c r="BL177">
        <f>Grandview_Sales[[#This Row],[Plumbing Fixtures]]*Lookups!$B$18</f>
        <v>24125.301599999999</v>
      </c>
      <c r="BM177">
        <f>Grandview_Sales[[#This Row],[detatched_value]]*Lookups!$B$19</f>
        <v>10415.702729999999</v>
      </c>
      <c r="BN177">
        <f>Grandview_Sales[[#This Row],[days_prior]]*Lookups!$B$20</f>
        <v>-46660.005400000002</v>
      </c>
      <c r="BO177">
        <f>SUM(Grandview_Sales[[#This Row],[land_value]:[Days Prior To Assessment_value]])</f>
        <v>343943.66554131708</v>
      </c>
      <c r="BP177">
        <f>Grandview_Sales[[#This Row],[predicted_total]]/Grandview_Sales[[#This Row],[sale_price]]</f>
        <v>0.94231141244196459</v>
      </c>
      <c r="BQ177">
        <f>VLOOKUP(Grandview_Sales[[#This Row],[quality]],Lookups!$A$26:$C$33,3,FALSE)</f>
        <v>0.98079741117310582</v>
      </c>
      <c r="BR177">
        <f>VLOOKUP(Grandview_Sales[[#This Row],[condition]],Lookups!$A$37:$C$44,3,FALSE)</f>
        <v>0.96661476234146892</v>
      </c>
      <c r="BS177">
        <f>VLOOKUP(Grandview_Sales[[#This Row],[decade]],Lookups!$F$29:$H$43,3,FALSE)</f>
        <v>0.94161750052457416</v>
      </c>
      <c r="BT177">
        <f>VLOOKUP(Grandview_Sales[[#This Row],[living_area_range]],Lookups!$F$47:$H$56,3,FALSE)</f>
        <v>0.95799442568048754</v>
      </c>
      <c r="BU177">
        <f>Grandview_Sales[[#This Row],[predicted_total]]*AVERAGE(Grandview_Sales[[#This Row],[qual_adj]:[size_adj]])</f>
        <v>330789.89257083926</v>
      </c>
      <c r="BV177">
        <f>Grandview_Sales[[#This Row],[final_total]]/Grandview_Sales[[#This Row],[sale_price]]</f>
        <v>0.90627367827627192</v>
      </c>
      <c r="BW177" s="6">
        <f>(Grandview_Sales[[#This Row],[final_total]]-Grandview_Sales[[#This Row],[sale_price]])^2</f>
        <v>1170331450.3147187</v>
      </c>
      <c r="BX177" s="6">
        <f>(Grandview_Sales[[#This Row],[final_total]]-AVERAGE(Grandview_Sales[sale_price]))^2</f>
        <v>567903331.62866342</v>
      </c>
      <c r="BY177" s="6">
        <f>Grandview_Sales[[#This Row],[SSE]]+Grandview_Sales[[#This Row],[SSR]]</f>
        <v>1738234781.9433823</v>
      </c>
      <c r="BZ177" s="4">
        <f>ABS(Grandview_Sales[[#This Row],[final_ratio]]-MEDIAN(Grandview_Sales[final_ratio]))</f>
        <v>9.4975041079540024E-2</v>
      </c>
    </row>
    <row r="178" spans="1:78" x14ac:dyDescent="0.25">
      <c r="A178">
        <v>23091433479</v>
      </c>
      <c r="B178">
        <v>0.15</v>
      </c>
      <c r="C178">
        <v>6612</v>
      </c>
      <c r="D178">
        <v>0</v>
      </c>
      <c r="E178" t="s">
        <v>53</v>
      </c>
      <c r="F178" t="s">
        <v>53</v>
      </c>
      <c r="G178">
        <v>4</v>
      </c>
      <c r="H178" t="s">
        <v>54</v>
      </c>
      <c r="I178">
        <v>204600</v>
      </c>
      <c r="J178">
        <v>38400</v>
      </c>
      <c r="K178">
        <v>0.15</v>
      </c>
      <c r="L178">
        <v>-1.8971199848860001</v>
      </c>
      <c r="M178">
        <v>0</v>
      </c>
      <c r="N178">
        <v>0</v>
      </c>
      <c r="O178">
        <v>0</v>
      </c>
      <c r="P178">
        <v>13398.7528</v>
      </c>
      <c r="Q178">
        <v>63902.980100000001</v>
      </c>
      <c r="R178">
        <v>38483.938390574003</v>
      </c>
      <c r="S178" t="s">
        <v>68</v>
      </c>
      <c r="T178">
        <v>1</v>
      </c>
      <c r="U178" t="s">
        <v>62</v>
      </c>
      <c r="V178" t="s">
        <v>69</v>
      </c>
      <c r="W178">
        <v>0</v>
      </c>
      <c r="X178">
        <v>0</v>
      </c>
      <c r="Y178">
        <v>51</v>
      </c>
      <c r="Z178">
        <v>77</v>
      </c>
      <c r="AA178">
        <v>80</v>
      </c>
      <c r="AB178">
        <v>2000</v>
      </c>
      <c r="AC178">
        <v>1718</v>
      </c>
      <c r="AD178">
        <v>1718</v>
      </c>
      <c r="AE178">
        <v>0</v>
      </c>
      <c r="AF178">
        <v>0</v>
      </c>
      <c r="AG178">
        <v>0</v>
      </c>
      <c r="AH178">
        <v>0</v>
      </c>
      <c r="AI178">
        <v>372</v>
      </c>
      <c r="AJ178">
        <v>0</v>
      </c>
      <c r="AK178">
        <v>0</v>
      </c>
      <c r="AL178">
        <v>8</v>
      </c>
      <c r="AM178">
        <v>1</v>
      </c>
      <c r="AN178">
        <v>2</v>
      </c>
      <c r="AO178" t="s">
        <v>58</v>
      </c>
      <c r="AP178">
        <v>1</v>
      </c>
      <c r="AQ178" t="s">
        <v>59</v>
      </c>
      <c r="AR178" t="s">
        <v>60</v>
      </c>
      <c r="AS178">
        <v>1</v>
      </c>
      <c r="AT178">
        <v>3</v>
      </c>
      <c r="AU178">
        <v>0</v>
      </c>
      <c r="AV178">
        <v>0</v>
      </c>
      <c r="AW178">
        <v>100</v>
      </c>
      <c r="AX178" s="1">
        <v>44538</v>
      </c>
      <c r="AY178">
        <v>22000</v>
      </c>
      <c r="AZ178">
        <v>201949</v>
      </c>
      <c r="BA178">
        <v>223900</v>
      </c>
      <c r="BB178">
        <v>273000</v>
      </c>
      <c r="BC178">
        <v>389</v>
      </c>
      <c r="BD178">
        <f>Grandview_Sales[[#This Row],[land_extract]]*Lookups!$B$3</f>
        <v>44691.293746339936</v>
      </c>
      <c r="BE178">
        <f>Lookups!$B$2</f>
        <v>155833.95000000001</v>
      </c>
      <c r="BF178">
        <f>VLOOKUP(Grandview_Sales[[#This Row],[quality]],Lookups!$H$2:$J$13,3,FALSE)</f>
        <v>9808</v>
      </c>
      <c r="BG178">
        <f>VLOOKUP(Grandview_Sales[[#This Row],[condition]],Lookups!$H$17:$J$24,3,FALSE)</f>
        <v>-4503</v>
      </c>
      <c r="BH178">
        <f>Grandview_Sales[[#This Row],[Eff_Age]]*Lookups!$B$14</f>
        <v>-12197.496599999999</v>
      </c>
      <c r="BI178">
        <f>Grandview_Sales[[#This Row],[living_area]]*Lookups!$B$15</f>
        <v>107170.305454</v>
      </c>
      <c r="BJ178">
        <f>Grandview_Sales[[#This Row],[Fin BSMT]]*Lookups!$B$16</f>
        <v>0</v>
      </c>
      <c r="BK178">
        <f>Grandview_Sales[[#This Row],[garage_sqft]]*Lookups!$B$17</f>
        <v>0</v>
      </c>
      <c r="BL178">
        <f>Grandview_Sales[[#This Row],[Plumbing Fixtures]]*Lookups!$B$18</f>
        <v>16083.5344</v>
      </c>
      <c r="BM178">
        <f>Grandview_Sales[[#This Row],[detatched_value]]*Lookups!$B$19</f>
        <v>0</v>
      </c>
      <c r="BN178">
        <f>Grandview_Sales[[#This Row],[days_prior]]*Lookups!$B$20</f>
        <v>-46660.005400000002</v>
      </c>
      <c r="BO178">
        <f>SUM(Grandview_Sales[[#This Row],[land_value]:[Days Prior To Assessment_value]])</f>
        <v>270226.58160033997</v>
      </c>
      <c r="BP178">
        <f>Grandview_Sales[[#This Row],[predicted_total]]/Grandview_Sales[[#This Row],[sale_price]]</f>
        <v>0.98984095824300355</v>
      </c>
      <c r="BQ178">
        <f>VLOOKUP(Grandview_Sales[[#This Row],[quality]],Lookups!$A$26:$C$33,3,FALSE)</f>
        <v>0.94295468617355149</v>
      </c>
      <c r="BR178">
        <f>VLOOKUP(Grandview_Sales[[#This Row],[condition]],Lookups!$A$37:$C$44,3,FALSE)</f>
        <v>0.96469275950863709</v>
      </c>
      <c r="BS178">
        <f>VLOOKUP(Grandview_Sales[[#This Row],[decade]],Lookups!$F$29:$H$43,3,FALSE)</f>
        <v>0.98763256963907298</v>
      </c>
      <c r="BT178">
        <f>VLOOKUP(Grandview_Sales[[#This Row],[living_area_range]],Lookups!$F$47:$H$56,3,FALSE)</f>
        <v>0.96120133463014379</v>
      </c>
      <c r="BU178">
        <f>Grandview_Sales[[#This Row],[predicted_total]]*AVERAGE(Grandview_Sales[[#This Row],[qual_adj]:[size_adj]])</f>
        <v>260530.94305070816</v>
      </c>
      <c r="BV178">
        <f>Grandview_Sales[[#This Row],[final_total]]/Grandview_Sales[[#This Row],[sale_price]]</f>
        <v>0.95432579872054268</v>
      </c>
      <c r="BW178" s="6">
        <f>(Grandview_Sales[[#This Row],[final_total]]-Grandview_Sales[[#This Row],[sale_price]])^2</f>
        <v>155477381.20468321</v>
      </c>
      <c r="BX178" s="6">
        <f>(Grandview_Sales[[#This Row],[final_total]]-AVERAGE(Grandview_Sales[sale_price]))^2</f>
        <v>2155580270.5516782</v>
      </c>
      <c r="BY178" s="6">
        <f>Grandview_Sales[[#This Row],[SSE]]+Grandview_Sales[[#This Row],[SSR]]</f>
        <v>2311057651.7563615</v>
      </c>
      <c r="BZ178" s="4">
        <f>ABS(Grandview_Sales[[#This Row],[final_ratio]]-MEDIAN(Grandview_Sales[final_ratio]))</f>
        <v>4.6922920635269261E-2</v>
      </c>
    </row>
    <row r="179" spans="1:78" x14ac:dyDescent="0.25">
      <c r="A179">
        <v>23092424473</v>
      </c>
      <c r="B179">
        <v>0.19</v>
      </c>
      <c r="C179">
        <v>8434</v>
      </c>
      <c r="D179">
        <v>0</v>
      </c>
      <c r="E179" t="s">
        <v>53</v>
      </c>
      <c r="F179" t="s">
        <v>53</v>
      </c>
      <c r="G179">
        <v>4</v>
      </c>
      <c r="H179" t="s">
        <v>54</v>
      </c>
      <c r="I179">
        <v>211900</v>
      </c>
      <c r="J179">
        <v>43500</v>
      </c>
      <c r="K179">
        <v>0.19</v>
      </c>
      <c r="L179">
        <v>-1.6607312068219999</v>
      </c>
      <c r="M179">
        <v>0</v>
      </c>
      <c r="N179">
        <v>0</v>
      </c>
      <c r="O179">
        <v>0</v>
      </c>
      <c r="P179">
        <v>13398.7528</v>
      </c>
      <c r="Q179">
        <v>63902.980100000001</v>
      </c>
      <c r="R179">
        <v>41651.253192550997</v>
      </c>
      <c r="S179" t="s">
        <v>61</v>
      </c>
      <c r="T179">
        <v>1</v>
      </c>
      <c r="U179" t="s">
        <v>65</v>
      </c>
      <c r="V179" t="s">
        <v>67</v>
      </c>
      <c r="W179">
        <v>0</v>
      </c>
      <c r="X179">
        <v>0</v>
      </c>
      <c r="Y179">
        <v>18</v>
      </c>
      <c r="Z179">
        <v>18</v>
      </c>
      <c r="AA179">
        <v>20</v>
      </c>
      <c r="AB179">
        <v>1500</v>
      </c>
      <c r="AC179">
        <v>1117</v>
      </c>
      <c r="AD179">
        <v>1117</v>
      </c>
      <c r="AE179">
        <v>0</v>
      </c>
      <c r="AF179">
        <v>0</v>
      </c>
      <c r="AG179">
        <v>0</v>
      </c>
      <c r="AH179">
        <v>480</v>
      </c>
      <c r="AI179">
        <v>0</v>
      </c>
      <c r="AJ179">
        <v>0</v>
      </c>
      <c r="AK179">
        <v>100</v>
      </c>
      <c r="AL179">
        <v>8</v>
      </c>
      <c r="AM179">
        <v>0</v>
      </c>
      <c r="AN179">
        <v>0</v>
      </c>
      <c r="AO179" t="s">
        <v>58</v>
      </c>
      <c r="AP179">
        <v>1</v>
      </c>
      <c r="AQ179" t="s">
        <v>63</v>
      </c>
      <c r="AR179" t="s">
        <v>64</v>
      </c>
      <c r="AS179">
        <v>1</v>
      </c>
      <c r="AT179">
        <v>3</v>
      </c>
      <c r="AU179">
        <v>0</v>
      </c>
      <c r="AV179">
        <v>0</v>
      </c>
      <c r="AW179">
        <v>100</v>
      </c>
      <c r="AX179" s="1">
        <v>44540</v>
      </c>
      <c r="AY179">
        <v>24900</v>
      </c>
      <c r="AZ179">
        <v>172432</v>
      </c>
      <c r="BA179">
        <v>197300</v>
      </c>
      <c r="BB179">
        <v>297000</v>
      </c>
      <c r="BC179">
        <v>387</v>
      </c>
      <c r="BD179">
        <f>Grandview_Sales[[#This Row],[land_extract]]*Lookups!$B$3</f>
        <v>48369.487874125851</v>
      </c>
      <c r="BE179">
        <f>Lookups!$B$2</f>
        <v>155833.95000000001</v>
      </c>
      <c r="BF179">
        <f>VLOOKUP(Grandview_Sales[[#This Row],[quality]],Lookups!$H$2:$J$13,3,FALSE)</f>
        <v>2251</v>
      </c>
      <c r="BG179">
        <f>VLOOKUP(Grandview_Sales[[#This Row],[condition]],Lookups!$H$17:$J$24,3,FALSE)</f>
        <v>22342</v>
      </c>
      <c r="BH179">
        <f>Grandview_Sales[[#This Row],[Eff_Age]]*Lookups!$B$14</f>
        <v>-4304.9987999999994</v>
      </c>
      <c r="BI179">
        <f>Grandview_Sales[[#This Row],[living_area]]*Lookups!$B$15</f>
        <v>69679.412800999999</v>
      </c>
      <c r="BJ179">
        <f>Grandview_Sales[[#This Row],[Fin BSMT]]*Lookups!$B$16</f>
        <v>0</v>
      </c>
      <c r="BK179">
        <f>Grandview_Sales[[#This Row],[garage_sqft]]*Lookups!$B$17</f>
        <v>42009.809760000004</v>
      </c>
      <c r="BL179">
        <f>Grandview_Sales[[#This Row],[Plumbing Fixtures]]*Lookups!$B$18</f>
        <v>16083.5344</v>
      </c>
      <c r="BM179">
        <f>Grandview_Sales[[#This Row],[detatched_value]]*Lookups!$B$19</f>
        <v>0</v>
      </c>
      <c r="BN179">
        <f>Grandview_Sales[[#This Row],[days_prior]]*Lookups!$B$20</f>
        <v>-46420.108200000002</v>
      </c>
      <c r="BO179">
        <f>SUM(Grandview_Sales[[#This Row],[land_value]:[Days Prior To Assessment_value]])</f>
        <v>305844.08783512586</v>
      </c>
      <c r="BP179">
        <f>Grandview_Sales[[#This Row],[predicted_total]]/Grandview_Sales[[#This Row],[sale_price]]</f>
        <v>1.0297780735189423</v>
      </c>
      <c r="BQ179">
        <f>VLOOKUP(Grandview_Sales[[#This Row],[quality]],Lookups!$A$26:$C$33,3,FALSE)</f>
        <v>0.98763855981004833</v>
      </c>
      <c r="BR179">
        <f>VLOOKUP(Grandview_Sales[[#This Row],[condition]],Lookups!$A$37:$C$44,3,FALSE)</f>
        <v>0.97383723671140243</v>
      </c>
      <c r="BS179">
        <f>VLOOKUP(Grandview_Sales[[#This Row],[decade]],Lookups!$F$29:$H$43,3,FALSE)</f>
        <v>0.96737494181490646</v>
      </c>
      <c r="BT179">
        <f>VLOOKUP(Grandview_Sales[[#This Row],[living_area_range]],Lookups!$F$47:$H$56,3,FALSE)</f>
        <v>0.96135087979789358</v>
      </c>
      <c r="BU179">
        <f>Grandview_Sales[[#This Row],[predicted_total]]*AVERAGE(Grandview_Sales[[#This Row],[qual_adj]:[size_adj]])</f>
        <v>297448.79134825012</v>
      </c>
      <c r="BV179">
        <f>Grandview_Sales[[#This Row],[final_total]]/Grandview_Sales[[#This Row],[sale_price]]</f>
        <v>1.0015110819806401</v>
      </c>
      <c r="BW179" s="6">
        <f>(Grandview_Sales[[#This Row],[final_total]]-Grandview_Sales[[#This Row],[sale_price]])^2</f>
        <v>201413.67426415792</v>
      </c>
      <c r="BX179" s="6">
        <f>(Grandview_Sales[[#This Row],[final_total]]-AVERAGE(Grandview_Sales[sale_price]))^2</f>
        <v>90447304.741431534</v>
      </c>
      <c r="BY179" s="6">
        <f>Grandview_Sales[[#This Row],[SSE]]+Grandview_Sales[[#This Row],[SSR]]</f>
        <v>90648718.415695697</v>
      </c>
      <c r="BZ179" s="4">
        <f>ABS(Grandview_Sales[[#This Row],[final_ratio]]-MEDIAN(Grandview_Sales[final_ratio]))</f>
        <v>2.6236262482814965E-4</v>
      </c>
    </row>
    <row r="180" spans="1:78" x14ac:dyDescent="0.25">
      <c r="A180">
        <v>23092314546</v>
      </c>
      <c r="B180">
        <v>0.19</v>
      </c>
      <c r="C180">
        <v>8063</v>
      </c>
      <c r="D180">
        <v>0</v>
      </c>
      <c r="E180" t="s">
        <v>53</v>
      </c>
      <c r="F180" t="s">
        <v>53</v>
      </c>
      <c r="G180">
        <v>4</v>
      </c>
      <c r="H180" t="s">
        <v>54</v>
      </c>
      <c r="I180">
        <v>217900</v>
      </c>
      <c r="J180">
        <v>39500</v>
      </c>
      <c r="K180">
        <v>0.19</v>
      </c>
      <c r="L180">
        <v>-1.6607312068219999</v>
      </c>
      <c r="M180">
        <v>0</v>
      </c>
      <c r="N180">
        <v>0</v>
      </c>
      <c r="O180">
        <v>0</v>
      </c>
      <c r="P180">
        <v>13398.7528</v>
      </c>
      <c r="Q180">
        <v>63902.980100000001</v>
      </c>
      <c r="R180">
        <v>41651.253192550997</v>
      </c>
      <c r="S180" t="s">
        <v>68</v>
      </c>
      <c r="T180">
        <v>1</v>
      </c>
      <c r="U180" t="s">
        <v>65</v>
      </c>
      <c r="V180" t="s">
        <v>67</v>
      </c>
      <c r="W180">
        <v>0</v>
      </c>
      <c r="X180">
        <v>0</v>
      </c>
      <c r="Y180">
        <v>51</v>
      </c>
      <c r="Z180">
        <v>78</v>
      </c>
      <c r="AA180">
        <v>80</v>
      </c>
      <c r="AB180">
        <v>2500</v>
      </c>
      <c r="AC180">
        <v>2496</v>
      </c>
      <c r="AD180">
        <v>1248</v>
      </c>
      <c r="AE180">
        <v>0</v>
      </c>
      <c r="AF180">
        <v>1248</v>
      </c>
      <c r="AG180">
        <v>0</v>
      </c>
      <c r="AH180">
        <v>0</v>
      </c>
      <c r="AI180">
        <v>0</v>
      </c>
      <c r="AJ180">
        <v>294</v>
      </c>
      <c r="AK180">
        <v>0</v>
      </c>
      <c r="AL180">
        <v>8</v>
      </c>
      <c r="AM180">
        <v>0</v>
      </c>
      <c r="AN180">
        <v>1</v>
      </c>
      <c r="AO180" t="s">
        <v>58</v>
      </c>
      <c r="AP180">
        <v>1</v>
      </c>
      <c r="AQ180" t="s">
        <v>63</v>
      </c>
      <c r="AR180" t="s">
        <v>64</v>
      </c>
      <c r="AS180">
        <v>1</v>
      </c>
      <c r="AT180">
        <v>4</v>
      </c>
      <c r="AU180">
        <v>0</v>
      </c>
      <c r="AV180">
        <v>8500</v>
      </c>
      <c r="AW180">
        <v>100</v>
      </c>
      <c r="AX180" s="1">
        <v>44544</v>
      </c>
      <c r="AY180">
        <v>22600</v>
      </c>
      <c r="AZ180">
        <v>230951</v>
      </c>
      <c r="BA180">
        <v>253600</v>
      </c>
      <c r="BB180">
        <v>325000</v>
      </c>
      <c r="BC180">
        <v>383</v>
      </c>
      <c r="BD180">
        <f>Grandview_Sales[[#This Row],[land_extract]]*Lookups!$B$3</f>
        <v>48369.487874125851</v>
      </c>
      <c r="BE180">
        <f>Lookups!$B$2</f>
        <v>155833.95000000001</v>
      </c>
      <c r="BF180">
        <f>VLOOKUP(Grandview_Sales[[#This Row],[quality]],Lookups!$H$2:$J$13,3,FALSE)</f>
        <v>2251</v>
      </c>
      <c r="BG180">
        <f>VLOOKUP(Grandview_Sales[[#This Row],[condition]],Lookups!$H$17:$J$24,3,FALSE)</f>
        <v>22342</v>
      </c>
      <c r="BH180">
        <f>Grandview_Sales[[#This Row],[Eff_Age]]*Lookups!$B$14</f>
        <v>-12197.496599999999</v>
      </c>
      <c r="BI180">
        <f>Grandview_Sales[[#This Row],[living_area]]*Lookups!$B$15</f>
        <v>155702.609088</v>
      </c>
      <c r="BJ180">
        <f>Grandview_Sales[[#This Row],[Fin BSMT]]*Lookups!$B$16</f>
        <v>-33819.851520000004</v>
      </c>
      <c r="BK180">
        <f>Grandview_Sales[[#This Row],[garage_sqft]]*Lookups!$B$17</f>
        <v>0</v>
      </c>
      <c r="BL180">
        <f>Grandview_Sales[[#This Row],[Plumbing Fixtures]]*Lookups!$B$18</f>
        <v>16083.5344</v>
      </c>
      <c r="BM180">
        <f>Grandview_Sales[[#This Row],[detatched_value]]*Lookups!$B$19</f>
        <v>7197.8433500000001</v>
      </c>
      <c r="BN180">
        <f>Grandview_Sales[[#This Row],[days_prior]]*Lookups!$B$20</f>
        <v>-45940.313799999996</v>
      </c>
      <c r="BO180">
        <f>SUM(Grandview_Sales[[#This Row],[land_value]:[Days Prior To Assessment_value]])</f>
        <v>315822.76279212581</v>
      </c>
      <c r="BP180">
        <f>Grandview_Sales[[#This Row],[predicted_total]]/Grandview_Sales[[#This Row],[sale_price]]</f>
        <v>0.97176234705269482</v>
      </c>
      <c r="BQ180">
        <f>VLOOKUP(Grandview_Sales[[#This Row],[quality]],Lookups!$A$26:$C$33,3,FALSE)</f>
        <v>0.98763855981004833</v>
      </c>
      <c r="BR180">
        <f>VLOOKUP(Grandview_Sales[[#This Row],[condition]],Lookups!$A$37:$C$44,3,FALSE)</f>
        <v>0.97383723671140243</v>
      </c>
      <c r="BS180">
        <f>VLOOKUP(Grandview_Sales[[#This Row],[decade]],Lookups!$F$29:$H$43,3,FALSE)</f>
        <v>0.98763256963907298</v>
      </c>
      <c r="BT180">
        <f>VLOOKUP(Grandview_Sales[[#This Row],[living_area_range]],Lookups!$F$47:$H$56,3,FALSE)</f>
        <v>0.95799442568048754</v>
      </c>
      <c r="BU180">
        <f>Grandview_Sales[[#This Row],[predicted_total]]*AVERAGE(Grandview_Sales[[#This Row],[qual_adj]:[size_adj]])</f>
        <v>308487.99955801404</v>
      </c>
      <c r="BV180">
        <f>Grandview_Sales[[#This Row],[final_total]]/Grandview_Sales[[#This Row],[sale_price]]</f>
        <v>0.94919384479388935</v>
      </c>
      <c r="BW180" s="6">
        <f>(Grandview_Sales[[#This Row],[final_total]]-Grandview_Sales[[#This Row],[sale_price]])^2</f>
        <v>272646158.59614462</v>
      </c>
      <c r="BX180" s="6">
        <f>(Grandview_Sales[[#This Row],[final_total]]-AVERAGE(Grandview_Sales[sale_price]))^2</f>
        <v>2337319.392782582</v>
      </c>
      <c r="BY180" s="6">
        <f>Grandview_Sales[[#This Row],[SSE]]+Grandview_Sales[[#This Row],[SSR]]</f>
        <v>274983477.98892719</v>
      </c>
      <c r="BZ180" s="4">
        <f>ABS(Grandview_Sales[[#This Row],[final_ratio]]-MEDIAN(Grandview_Sales[final_ratio]))</f>
        <v>5.2054874561922593E-2</v>
      </c>
    </row>
    <row r="181" spans="1:78" x14ac:dyDescent="0.25">
      <c r="A181">
        <v>23092224538</v>
      </c>
      <c r="B181">
        <v>0</v>
      </c>
      <c r="C181">
        <v>13533</v>
      </c>
      <c r="D181">
        <v>0</v>
      </c>
      <c r="E181" t="s">
        <v>53</v>
      </c>
      <c r="F181" t="s">
        <v>53</v>
      </c>
      <c r="G181">
        <v>4</v>
      </c>
      <c r="H181" t="s">
        <v>54</v>
      </c>
      <c r="I181">
        <v>342500</v>
      </c>
      <c r="J181">
        <v>41100</v>
      </c>
      <c r="K181">
        <v>0.31</v>
      </c>
      <c r="L181">
        <v>-1.1711829815029999</v>
      </c>
      <c r="M181">
        <v>0</v>
      </c>
      <c r="N181">
        <v>0</v>
      </c>
      <c r="O181">
        <v>0</v>
      </c>
      <c r="P181">
        <v>13398.7528</v>
      </c>
      <c r="Q181">
        <v>63902.980100000001</v>
      </c>
      <c r="R181">
        <v>48210.588847275001</v>
      </c>
      <c r="S181" t="s">
        <v>55</v>
      </c>
      <c r="T181">
        <v>1</v>
      </c>
      <c r="U181" t="s">
        <v>64</v>
      </c>
      <c r="V181" t="s">
        <v>57</v>
      </c>
      <c r="W181">
        <v>0</v>
      </c>
      <c r="X181">
        <v>0</v>
      </c>
      <c r="Y181">
        <v>2</v>
      </c>
      <c r="Z181">
        <v>2</v>
      </c>
      <c r="AA181">
        <v>0</v>
      </c>
      <c r="AB181">
        <v>2500</v>
      </c>
      <c r="AC181">
        <v>2180</v>
      </c>
      <c r="AD181">
        <v>2180</v>
      </c>
      <c r="AE181">
        <v>0</v>
      </c>
      <c r="AF181">
        <v>0</v>
      </c>
      <c r="AG181">
        <v>0</v>
      </c>
      <c r="AH181">
        <v>802</v>
      </c>
      <c r="AI181">
        <v>0</v>
      </c>
      <c r="AJ181">
        <v>0</v>
      </c>
      <c r="AK181">
        <v>0</v>
      </c>
      <c r="AL181">
        <v>11</v>
      </c>
      <c r="AM181">
        <v>0</v>
      </c>
      <c r="AN181">
        <v>0</v>
      </c>
      <c r="AO181" t="s">
        <v>58</v>
      </c>
      <c r="AP181">
        <v>1</v>
      </c>
      <c r="AQ181" t="s">
        <v>59</v>
      </c>
      <c r="AR181" t="s">
        <v>60</v>
      </c>
      <c r="AS181">
        <v>1</v>
      </c>
      <c r="AT181">
        <v>3</v>
      </c>
      <c r="AU181">
        <v>0</v>
      </c>
      <c r="AV181">
        <v>0</v>
      </c>
      <c r="AW181">
        <v>100</v>
      </c>
      <c r="AX181" s="1">
        <v>44546</v>
      </c>
      <c r="AY181">
        <v>23500</v>
      </c>
      <c r="AZ181">
        <v>488138</v>
      </c>
      <c r="BA181">
        <v>511600</v>
      </c>
      <c r="BB181">
        <v>430100</v>
      </c>
      <c r="BC181">
        <v>381</v>
      </c>
      <c r="BD181">
        <f>Grandview_Sales[[#This Row],[land_extract]]*Lookups!$B$3</f>
        <v>55986.826659750572</v>
      </c>
      <c r="BE181">
        <f>Lookups!$B$2</f>
        <v>155833.95000000001</v>
      </c>
      <c r="BF181">
        <f>VLOOKUP(Grandview_Sales[[#This Row],[quality]],Lookups!$H$2:$J$13,3,FALSE)</f>
        <v>20768</v>
      </c>
      <c r="BG181">
        <f>VLOOKUP(Grandview_Sales[[#This Row],[condition]],Lookups!$H$17:$J$24,3,FALSE)</f>
        <v>25780</v>
      </c>
      <c r="BH181">
        <f>Grandview_Sales[[#This Row],[Eff_Age]]*Lookups!$B$14</f>
        <v>-478.33319999999998</v>
      </c>
      <c r="BI181">
        <f>Grandview_Sales[[#This Row],[living_area]]*Lookups!$B$15</f>
        <v>135990.25954</v>
      </c>
      <c r="BJ181">
        <f>Grandview_Sales[[#This Row],[Fin BSMT]]*Lookups!$B$16</f>
        <v>0</v>
      </c>
      <c r="BK181">
        <f>Grandview_Sales[[#This Row],[garage_sqft]]*Lookups!$B$17</f>
        <v>70191.390474</v>
      </c>
      <c r="BL181">
        <f>Grandview_Sales[[#This Row],[Plumbing Fixtures]]*Lookups!$B$18</f>
        <v>22114.859800000002</v>
      </c>
      <c r="BM181">
        <f>Grandview_Sales[[#This Row],[detatched_value]]*Lookups!$B$19</f>
        <v>0</v>
      </c>
      <c r="BN181">
        <f>Grandview_Sales[[#This Row],[days_prior]]*Lookups!$B$20</f>
        <v>-45700.416599999997</v>
      </c>
      <c r="BO181">
        <f>SUM(Grandview_Sales[[#This Row],[land_value]:[Days Prior To Assessment_value]])</f>
        <v>440486.53667375061</v>
      </c>
      <c r="BP181">
        <f>Grandview_Sales[[#This Row],[predicted_total]]/Grandview_Sales[[#This Row],[sale_price]]</f>
        <v>1.0241491203760769</v>
      </c>
      <c r="BQ181">
        <f>VLOOKUP(Grandview_Sales[[#This Row],[quality]],Lookups!$A$26:$C$33,3,FALSE)</f>
        <v>0.94960540378902636</v>
      </c>
      <c r="BR181">
        <f>VLOOKUP(Grandview_Sales[[#This Row],[condition]],Lookups!$A$37:$C$44,3,FALSE)</f>
        <v>0.94347925387812148</v>
      </c>
      <c r="BS181">
        <f>VLOOKUP(Grandview_Sales[[#This Row],[decade]],Lookups!$F$29:$H$43,3,FALSE)</f>
        <v>0.9413635517371044</v>
      </c>
      <c r="BT181">
        <f>VLOOKUP(Grandview_Sales[[#This Row],[living_area_range]],Lookups!$F$47:$H$56,3,FALSE)</f>
        <v>0.95799442568048754</v>
      </c>
      <c r="BU181">
        <f>Grandview_Sales[[#This Row],[predicted_total]]*AVERAGE(Grandview_Sales[[#This Row],[qual_adj]:[size_adj]])</f>
        <v>417629.9804655874</v>
      </c>
      <c r="BV181">
        <f>Grandview_Sales[[#This Row],[final_total]]/Grandview_Sales[[#This Row],[sale_price]]</f>
        <v>0.97100669719969168</v>
      </c>
      <c r="BW181" s="6">
        <f>(Grandview_Sales[[#This Row],[final_total]]-Grandview_Sales[[#This Row],[sale_price]])^2</f>
        <v>155501387.18863177</v>
      </c>
      <c r="BX181" s="6">
        <f>(Grandview_Sales[[#This Row],[final_total]]-AVERAGE(Grandview_Sales[sale_price]))^2</f>
        <v>12248028258.368082</v>
      </c>
      <c r="BY181" s="6">
        <f>Grandview_Sales[[#This Row],[SSE]]+Grandview_Sales[[#This Row],[SSR]]</f>
        <v>12403529645.556713</v>
      </c>
      <c r="BZ181" s="4">
        <f>ABS(Grandview_Sales[[#This Row],[final_ratio]]-MEDIAN(Grandview_Sales[final_ratio]))</f>
        <v>3.0242022156120263E-2</v>
      </c>
    </row>
    <row r="182" spans="1:78" x14ac:dyDescent="0.25">
      <c r="A182">
        <v>23092242443</v>
      </c>
      <c r="B182">
        <v>0.2</v>
      </c>
      <c r="C182">
        <v>8645</v>
      </c>
      <c r="D182">
        <v>0</v>
      </c>
      <c r="E182" t="s">
        <v>53</v>
      </c>
      <c r="F182" t="s">
        <v>53</v>
      </c>
      <c r="G182">
        <v>4</v>
      </c>
      <c r="H182" t="s">
        <v>54</v>
      </c>
      <c r="I182">
        <v>250500</v>
      </c>
      <c r="J182">
        <v>43500</v>
      </c>
      <c r="K182">
        <v>0.2</v>
      </c>
      <c r="L182">
        <v>-1.6094379124339999</v>
      </c>
      <c r="M182">
        <v>0</v>
      </c>
      <c r="N182">
        <v>0</v>
      </c>
      <c r="O182">
        <v>0</v>
      </c>
      <c r="P182">
        <v>13398.7528</v>
      </c>
      <c r="Q182">
        <v>63902.980100000001</v>
      </c>
      <c r="R182">
        <v>42338.519364346997</v>
      </c>
      <c r="S182" t="s">
        <v>61</v>
      </c>
      <c r="T182">
        <v>1</v>
      </c>
      <c r="U182" t="s">
        <v>64</v>
      </c>
      <c r="V182" t="s">
        <v>67</v>
      </c>
      <c r="W182">
        <v>0</v>
      </c>
      <c r="X182">
        <v>0</v>
      </c>
      <c r="Y182">
        <v>18</v>
      </c>
      <c r="Z182">
        <v>18</v>
      </c>
      <c r="AA182">
        <v>20</v>
      </c>
      <c r="AB182">
        <v>2000</v>
      </c>
      <c r="AC182">
        <v>1578</v>
      </c>
      <c r="AD182">
        <v>1578</v>
      </c>
      <c r="AE182">
        <v>0</v>
      </c>
      <c r="AF182">
        <v>0</v>
      </c>
      <c r="AG182">
        <v>0</v>
      </c>
      <c r="AH182">
        <v>548</v>
      </c>
      <c r="AI182">
        <v>0</v>
      </c>
      <c r="AJ182">
        <v>0</v>
      </c>
      <c r="AK182">
        <v>247</v>
      </c>
      <c r="AL182">
        <v>10</v>
      </c>
      <c r="AM182">
        <v>0</v>
      </c>
      <c r="AN182">
        <v>0</v>
      </c>
      <c r="AO182" t="s">
        <v>58</v>
      </c>
      <c r="AP182">
        <v>1</v>
      </c>
      <c r="AQ182" t="s">
        <v>59</v>
      </c>
      <c r="AR182" t="s">
        <v>64</v>
      </c>
      <c r="AS182">
        <v>1</v>
      </c>
      <c r="AT182">
        <v>3</v>
      </c>
      <c r="AU182">
        <v>0</v>
      </c>
      <c r="AV182">
        <v>0</v>
      </c>
      <c r="AW182">
        <v>100</v>
      </c>
      <c r="AX182" s="1">
        <v>44561</v>
      </c>
      <c r="AY182">
        <v>24900</v>
      </c>
      <c r="AZ182">
        <v>302254</v>
      </c>
      <c r="BA182">
        <v>327200</v>
      </c>
      <c r="BB182">
        <v>349600</v>
      </c>
      <c r="BC182">
        <v>366</v>
      </c>
      <c r="BD182">
        <f>Grandview_Sales[[#This Row],[land_extract]]*Lookups!$B$3</f>
        <v>49167.608223813884</v>
      </c>
      <c r="BE182">
        <f>Lookups!$B$2</f>
        <v>155833.95000000001</v>
      </c>
      <c r="BF182">
        <f>VLOOKUP(Grandview_Sales[[#This Row],[quality]],Lookups!$H$2:$J$13,3,FALSE)</f>
        <v>20768</v>
      </c>
      <c r="BG182">
        <f>VLOOKUP(Grandview_Sales[[#This Row],[condition]],Lookups!$H$17:$J$24,3,FALSE)</f>
        <v>22342</v>
      </c>
      <c r="BH182">
        <f>Grandview_Sales[[#This Row],[Eff_Age]]*Lookups!$B$14</f>
        <v>-4304.9987999999994</v>
      </c>
      <c r="BI182">
        <f>Grandview_Sales[[#This Row],[living_area]]*Lookups!$B$15</f>
        <v>98436.986034000001</v>
      </c>
      <c r="BJ182">
        <f>Grandview_Sales[[#This Row],[Fin BSMT]]*Lookups!$B$16</f>
        <v>0</v>
      </c>
      <c r="BK182">
        <f>Grandview_Sales[[#This Row],[garage_sqft]]*Lookups!$B$17</f>
        <v>47961.199476000002</v>
      </c>
      <c r="BL182">
        <f>Grandview_Sales[[#This Row],[Plumbing Fixtures]]*Lookups!$B$18</f>
        <v>20104.418000000001</v>
      </c>
      <c r="BM182">
        <f>Grandview_Sales[[#This Row],[detatched_value]]*Lookups!$B$19</f>
        <v>0</v>
      </c>
      <c r="BN182">
        <f>Grandview_Sales[[#This Row],[days_prior]]*Lookups!$B$20</f>
        <v>-43901.187599999997</v>
      </c>
      <c r="BO182">
        <f>SUM(Grandview_Sales[[#This Row],[land_value]:[Days Prior To Assessment_value]])</f>
        <v>366407.97533381387</v>
      </c>
      <c r="BP182">
        <f>Grandview_Sales[[#This Row],[predicted_total]]/Grandview_Sales[[#This Row],[sale_price]]</f>
        <v>1.0480777326482089</v>
      </c>
      <c r="BQ182">
        <f>VLOOKUP(Grandview_Sales[[#This Row],[quality]],Lookups!$A$26:$C$33,3,FALSE)</f>
        <v>0.94960540378902636</v>
      </c>
      <c r="BR182">
        <f>VLOOKUP(Grandview_Sales[[#This Row],[condition]],Lookups!$A$37:$C$44,3,FALSE)</f>
        <v>0.97383723671140243</v>
      </c>
      <c r="BS182">
        <f>VLOOKUP(Grandview_Sales[[#This Row],[decade]],Lookups!$F$29:$H$43,3,FALSE)</f>
        <v>0.96737494181490646</v>
      </c>
      <c r="BT182">
        <f>VLOOKUP(Grandview_Sales[[#This Row],[living_area_range]],Lookups!$F$47:$H$56,3,FALSE)</f>
        <v>0.96120133463014379</v>
      </c>
      <c r="BU182">
        <f>Grandview_Sales[[#This Row],[predicted_total]]*AVERAGE(Grandview_Sales[[#This Row],[qual_adj]:[size_adj]])</f>
        <v>352852.61307638587</v>
      </c>
      <c r="BV182">
        <f>Grandview_Sales[[#This Row],[final_total]]/Grandview_Sales[[#This Row],[sale_price]]</f>
        <v>1.0093038131475569</v>
      </c>
      <c r="BW182" s="6">
        <f>(Grandview_Sales[[#This Row],[final_total]]-Grandview_Sales[[#This Row],[sale_price]])^2</f>
        <v>10579491.824676337</v>
      </c>
      <c r="BX182" s="6">
        <f>(Grandview_Sales[[#This Row],[final_total]]-AVERAGE(Grandview_Sales[sale_price]))^2</f>
        <v>2106208104.6572924</v>
      </c>
      <c r="BY182" s="6">
        <f>Grandview_Sales[[#This Row],[SSE]]+Grandview_Sales[[#This Row],[SSR]]</f>
        <v>2116787596.4819686</v>
      </c>
      <c r="BZ182" s="4">
        <f>ABS(Grandview_Sales[[#This Row],[final_ratio]]-MEDIAN(Grandview_Sales[final_ratio]))</f>
        <v>8.0550937917449605E-3</v>
      </c>
    </row>
    <row r="183" spans="1:78" x14ac:dyDescent="0.25">
      <c r="A183">
        <v>23092621433</v>
      </c>
      <c r="B183">
        <v>0</v>
      </c>
      <c r="C183">
        <v>9900</v>
      </c>
      <c r="D183">
        <v>0</v>
      </c>
      <c r="E183" t="s">
        <v>53</v>
      </c>
      <c r="F183" t="s">
        <v>53</v>
      </c>
      <c r="G183">
        <v>4</v>
      </c>
      <c r="H183" t="s">
        <v>54</v>
      </c>
      <c r="I183">
        <v>347000</v>
      </c>
      <c r="J183">
        <v>43800</v>
      </c>
      <c r="K183">
        <v>0.23</v>
      </c>
      <c r="L183">
        <v>-1.4696759700590001</v>
      </c>
      <c r="M183">
        <v>0</v>
      </c>
      <c r="N183">
        <v>0</v>
      </c>
      <c r="O183">
        <v>0</v>
      </c>
      <c r="P183">
        <v>13398.7528</v>
      </c>
      <c r="Q183">
        <v>63902.980100000001</v>
      </c>
      <c r="R183">
        <v>44211.155081080004</v>
      </c>
      <c r="S183" t="s">
        <v>55</v>
      </c>
      <c r="T183">
        <v>2</v>
      </c>
      <c r="U183" t="s">
        <v>64</v>
      </c>
      <c r="V183" t="s">
        <v>57</v>
      </c>
      <c r="W183">
        <v>0</v>
      </c>
      <c r="X183">
        <v>0</v>
      </c>
      <c r="Y183">
        <v>1</v>
      </c>
      <c r="Z183">
        <v>1</v>
      </c>
      <c r="AA183">
        <v>0</v>
      </c>
      <c r="AB183">
        <v>2500</v>
      </c>
      <c r="AC183">
        <v>2397</v>
      </c>
      <c r="AD183">
        <v>2100</v>
      </c>
      <c r="AE183">
        <v>297</v>
      </c>
      <c r="AF183">
        <v>0</v>
      </c>
      <c r="AG183">
        <v>0</v>
      </c>
      <c r="AH183">
        <v>768</v>
      </c>
      <c r="AI183">
        <v>0</v>
      </c>
      <c r="AJ183">
        <v>0</v>
      </c>
      <c r="AK183">
        <v>0</v>
      </c>
      <c r="AL183">
        <v>12</v>
      </c>
      <c r="AM183">
        <v>0</v>
      </c>
      <c r="AN183">
        <v>0</v>
      </c>
      <c r="AO183" t="s">
        <v>58</v>
      </c>
      <c r="AP183">
        <v>1</v>
      </c>
      <c r="AQ183" t="s">
        <v>63</v>
      </c>
      <c r="AR183" t="s">
        <v>64</v>
      </c>
      <c r="AS183">
        <v>1</v>
      </c>
      <c r="AT183">
        <v>3</v>
      </c>
      <c r="AU183">
        <v>0</v>
      </c>
      <c r="AV183">
        <v>0</v>
      </c>
      <c r="AW183">
        <v>100</v>
      </c>
      <c r="AX183" s="1">
        <v>44565</v>
      </c>
      <c r="AY183">
        <v>22600</v>
      </c>
      <c r="AZ183">
        <v>445108</v>
      </c>
      <c r="BA183">
        <v>467700</v>
      </c>
      <c r="BB183">
        <v>501384</v>
      </c>
      <c r="BC183">
        <v>362</v>
      </c>
      <c r="BD183">
        <f>Grandview_Sales[[#This Row],[land_extract]]*Lookups!$B$3</f>
        <v>51342.29502553949</v>
      </c>
      <c r="BE183">
        <f>Lookups!$B$2</f>
        <v>155833.95000000001</v>
      </c>
      <c r="BF183">
        <f>VLOOKUP(Grandview_Sales[[#This Row],[quality]],Lookups!$H$2:$J$13,3,FALSE)</f>
        <v>20768</v>
      </c>
      <c r="BG183">
        <f>VLOOKUP(Grandview_Sales[[#This Row],[condition]],Lookups!$H$17:$J$24,3,FALSE)</f>
        <v>25780</v>
      </c>
      <c r="BH183">
        <f>Grandview_Sales[[#This Row],[Eff_Age]]*Lookups!$B$14</f>
        <v>-239.16659999999999</v>
      </c>
      <c r="BI183">
        <f>Grandview_Sales[[#This Row],[living_area]]*Lookups!$B$15</f>
        <v>149526.904641</v>
      </c>
      <c r="BJ183">
        <f>Grandview_Sales[[#This Row],[Fin BSMT]]*Lookups!$B$16</f>
        <v>0</v>
      </c>
      <c r="BK183">
        <f>Grandview_Sales[[#This Row],[garage_sqft]]*Lookups!$B$17</f>
        <v>67215.695615999997</v>
      </c>
      <c r="BL183">
        <f>Grandview_Sales[[#This Row],[Plumbing Fixtures]]*Lookups!$B$18</f>
        <v>24125.301599999999</v>
      </c>
      <c r="BM183">
        <f>Grandview_Sales[[#This Row],[detatched_value]]*Lookups!$B$19</f>
        <v>0</v>
      </c>
      <c r="BN183">
        <f>Grandview_Sales[[#This Row],[days_prior]]*Lookups!$B$20</f>
        <v>-43421.393199999999</v>
      </c>
      <c r="BO183">
        <f>SUM(Grandview_Sales[[#This Row],[land_value]:[Days Prior To Assessment_value]])</f>
        <v>450931.58708253951</v>
      </c>
      <c r="BP183">
        <f>Grandview_Sales[[#This Row],[predicted_total]]/Grandview_Sales[[#This Row],[sale_price]]</f>
        <v>0.89937370774204906</v>
      </c>
      <c r="BQ183">
        <f>VLOOKUP(Grandview_Sales[[#This Row],[quality]],Lookups!$A$26:$C$33,3,FALSE)</f>
        <v>0.94960540378902636</v>
      </c>
      <c r="BR183">
        <f>VLOOKUP(Grandview_Sales[[#This Row],[condition]],Lookups!$A$37:$C$44,3,FALSE)</f>
        <v>0.94347925387812148</v>
      </c>
      <c r="BS183">
        <f>VLOOKUP(Grandview_Sales[[#This Row],[decade]],Lookups!$F$29:$H$43,3,FALSE)</f>
        <v>0.9413635517371044</v>
      </c>
      <c r="BT183">
        <f>VLOOKUP(Grandview_Sales[[#This Row],[living_area_range]],Lookups!$F$47:$H$56,3,FALSE)</f>
        <v>0.95799442568048754</v>
      </c>
      <c r="BU183">
        <f>Grandview_Sales[[#This Row],[predicted_total]]*AVERAGE(Grandview_Sales[[#This Row],[qual_adj]:[size_adj]])</f>
        <v>427533.04408956249</v>
      </c>
      <c r="BV183">
        <f>Grandview_Sales[[#This Row],[final_total]]/Grandview_Sales[[#This Row],[sale_price]]</f>
        <v>0.85270579852879724</v>
      </c>
      <c r="BW183" s="6">
        <f>(Grandview_Sales[[#This Row],[final_total]]-Grandview_Sales[[#This Row],[sale_price]])^2</f>
        <v>5453963688.8853846</v>
      </c>
      <c r="BX183" s="6">
        <f>(Grandview_Sales[[#This Row],[final_total]]-AVERAGE(Grandview_Sales[sale_price]))^2</f>
        <v>14538059079.472929</v>
      </c>
      <c r="BY183" s="6">
        <f>Grandview_Sales[[#This Row],[SSE]]+Grandview_Sales[[#This Row],[SSR]]</f>
        <v>19992022768.358315</v>
      </c>
      <c r="BZ183" s="4">
        <f>ABS(Grandview_Sales[[#This Row],[final_ratio]]-MEDIAN(Grandview_Sales[final_ratio]))</f>
        <v>0.1485429208270147</v>
      </c>
    </row>
    <row r="184" spans="1:78" x14ac:dyDescent="0.25">
      <c r="A184">
        <v>23091433548</v>
      </c>
      <c r="B184">
        <v>0.24</v>
      </c>
      <c r="C184">
        <v>0</v>
      </c>
      <c r="D184">
        <v>0</v>
      </c>
      <c r="E184" t="s">
        <v>53</v>
      </c>
      <c r="F184" t="s">
        <v>53</v>
      </c>
      <c r="G184">
        <v>4</v>
      </c>
      <c r="H184" t="s">
        <v>54</v>
      </c>
      <c r="I184">
        <v>147100</v>
      </c>
      <c r="J184">
        <v>39800</v>
      </c>
      <c r="K184">
        <v>0.24</v>
      </c>
      <c r="L184">
        <v>-1.4271163556399999</v>
      </c>
      <c r="M184">
        <v>0</v>
      </c>
      <c r="N184">
        <v>0</v>
      </c>
      <c r="O184">
        <v>0</v>
      </c>
      <c r="P184">
        <v>13398.7528</v>
      </c>
      <c r="Q184">
        <v>63902.980100000001</v>
      </c>
      <c r="R184">
        <v>44781.400833940999</v>
      </c>
      <c r="S184" t="s">
        <v>61</v>
      </c>
      <c r="T184">
        <v>1</v>
      </c>
      <c r="U184" t="s">
        <v>70</v>
      </c>
      <c r="V184" t="s">
        <v>69</v>
      </c>
      <c r="W184">
        <v>0</v>
      </c>
      <c r="X184">
        <v>0</v>
      </c>
      <c r="Y184">
        <v>43</v>
      </c>
      <c r="Z184">
        <v>44</v>
      </c>
      <c r="AA184">
        <v>40</v>
      </c>
      <c r="AB184">
        <v>1500</v>
      </c>
      <c r="AC184">
        <v>1344</v>
      </c>
      <c r="AD184">
        <v>1344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5</v>
      </c>
      <c r="AM184">
        <v>0</v>
      </c>
      <c r="AN184">
        <v>0</v>
      </c>
      <c r="AO184" t="s">
        <v>58</v>
      </c>
      <c r="AP184">
        <v>1</v>
      </c>
      <c r="AQ184" t="s">
        <v>75</v>
      </c>
      <c r="AR184" t="s">
        <v>60</v>
      </c>
      <c r="AS184">
        <v>0</v>
      </c>
      <c r="AT184">
        <v>3</v>
      </c>
      <c r="AU184">
        <v>0</v>
      </c>
      <c r="AV184">
        <v>0</v>
      </c>
      <c r="AW184">
        <v>100</v>
      </c>
      <c r="AX184" s="1">
        <v>44565</v>
      </c>
      <c r="AY184">
        <v>22800</v>
      </c>
      <c r="AZ184">
        <v>130514</v>
      </c>
      <c r="BA184">
        <v>153300</v>
      </c>
      <c r="BB184">
        <v>262500</v>
      </c>
      <c r="BC184">
        <v>362</v>
      </c>
      <c r="BD184">
        <f>Grandview_Sales[[#This Row],[land_extract]]*Lookups!$B$3</f>
        <v>52004.519878673433</v>
      </c>
      <c r="BE184">
        <f>Lookups!$B$2</f>
        <v>155833.95000000001</v>
      </c>
      <c r="BF184">
        <f>VLOOKUP(Grandview_Sales[[#This Row],[quality]],Lookups!$H$2:$J$13,3,FALSE)</f>
        <v>10733</v>
      </c>
      <c r="BG184">
        <f>VLOOKUP(Grandview_Sales[[#This Row],[condition]],Lookups!$H$17:$J$24,3,FALSE)</f>
        <v>-4503</v>
      </c>
      <c r="BH184">
        <f>Grandview_Sales[[#This Row],[Eff_Age]]*Lookups!$B$14</f>
        <v>-10284.1638</v>
      </c>
      <c r="BI184">
        <f>Grandview_Sales[[#This Row],[living_area]]*Lookups!$B$15</f>
        <v>83839.86643200001</v>
      </c>
      <c r="BJ184">
        <f>Grandview_Sales[[#This Row],[Fin BSMT]]*Lookups!$B$16</f>
        <v>0</v>
      </c>
      <c r="BK184">
        <f>Grandview_Sales[[#This Row],[garage_sqft]]*Lookups!$B$17</f>
        <v>0</v>
      </c>
      <c r="BL184">
        <f>Grandview_Sales[[#This Row],[Plumbing Fixtures]]*Lookups!$B$18</f>
        <v>10052.209000000001</v>
      </c>
      <c r="BM184">
        <f>Grandview_Sales[[#This Row],[detatched_value]]*Lookups!$B$19</f>
        <v>0</v>
      </c>
      <c r="BN184">
        <f>Grandview_Sales[[#This Row],[days_prior]]*Lookups!$B$20</f>
        <v>-43421.393199999999</v>
      </c>
      <c r="BO184">
        <f>SUM(Grandview_Sales[[#This Row],[land_value]:[Days Prior To Assessment_value]])</f>
        <v>254254.98831067339</v>
      </c>
      <c r="BP184">
        <f>Grandview_Sales[[#This Row],[predicted_total]]/Grandview_Sales[[#This Row],[sale_price]]</f>
        <v>0.96859043165970815</v>
      </c>
      <c r="BQ184">
        <f>VLOOKUP(Grandview_Sales[[#This Row],[quality]],Lookups!$A$26:$C$33,3,FALSE)</f>
        <v>0.98079741117310582</v>
      </c>
      <c r="BR184">
        <f>VLOOKUP(Grandview_Sales[[#This Row],[condition]],Lookups!$A$37:$C$44,3,FALSE)</f>
        <v>0.96469275950863709</v>
      </c>
      <c r="BS184">
        <f>VLOOKUP(Grandview_Sales[[#This Row],[decade]],Lookups!$F$29:$H$43,3,FALSE)</f>
        <v>0.98031878267063854</v>
      </c>
      <c r="BT184">
        <f>VLOOKUP(Grandview_Sales[[#This Row],[living_area_range]],Lookups!$F$47:$H$56,3,FALSE)</f>
        <v>0.96135087979789358</v>
      </c>
      <c r="BU184">
        <f>Grandview_Sales[[#This Row],[predicted_total]]*AVERAGE(Grandview_Sales[[#This Row],[qual_adj]:[size_adj]])</f>
        <v>247082.44448483558</v>
      </c>
      <c r="BV184">
        <f>Grandview_Sales[[#This Row],[final_total]]/Grandview_Sales[[#This Row],[sale_price]]</f>
        <v>0.94126645518032603</v>
      </c>
      <c r="BW184" s="6">
        <f>(Grandview_Sales[[#This Row],[final_total]]-Grandview_Sales[[#This Row],[sale_price]])^2</f>
        <v>237701018.0631769</v>
      </c>
      <c r="BX184" s="6">
        <f>(Grandview_Sales[[#This Row],[final_total]]-AVERAGE(Grandview_Sales[sale_price]))^2</f>
        <v>3585222275.0507646</v>
      </c>
      <c r="BY184" s="6">
        <f>Grandview_Sales[[#This Row],[SSE]]+Grandview_Sales[[#This Row],[SSR]]</f>
        <v>3822923293.1139417</v>
      </c>
      <c r="BZ184" s="4">
        <f>ABS(Grandview_Sales[[#This Row],[final_ratio]]-MEDIAN(Grandview_Sales[final_ratio]))</f>
        <v>5.9982264175485911E-2</v>
      </c>
    </row>
    <row r="185" spans="1:78" x14ac:dyDescent="0.25">
      <c r="A185">
        <v>23092331409</v>
      </c>
      <c r="B185">
        <v>0.22</v>
      </c>
      <c r="C185">
        <v>0</v>
      </c>
      <c r="D185">
        <v>0</v>
      </c>
      <c r="E185" t="s">
        <v>53</v>
      </c>
      <c r="F185" t="s">
        <v>53</v>
      </c>
      <c r="G185">
        <v>4</v>
      </c>
      <c r="H185" t="s">
        <v>54</v>
      </c>
      <c r="I185">
        <v>129900</v>
      </c>
      <c r="J185">
        <v>39500</v>
      </c>
      <c r="K185">
        <v>0.22</v>
      </c>
      <c r="L185">
        <v>-1.51412773263</v>
      </c>
      <c r="M185">
        <v>0</v>
      </c>
      <c r="N185">
        <v>0</v>
      </c>
      <c r="O185">
        <v>0</v>
      </c>
      <c r="P185">
        <v>13398.7528</v>
      </c>
      <c r="Q185">
        <v>63902.980100000001</v>
      </c>
      <c r="R185">
        <v>43615.556902869001</v>
      </c>
      <c r="S185" t="s">
        <v>68</v>
      </c>
      <c r="T185">
        <v>1</v>
      </c>
      <c r="U185" t="s">
        <v>80</v>
      </c>
      <c r="V185" t="s">
        <v>69</v>
      </c>
      <c r="W185">
        <v>0</v>
      </c>
      <c r="X185">
        <v>0</v>
      </c>
      <c r="Y185">
        <v>52</v>
      </c>
      <c r="Z185">
        <v>88</v>
      </c>
      <c r="AA185">
        <v>90</v>
      </c>
      <c r="AB185">
        <v>2000</v>
      </c>
      <c r="AC185">
        <v>1740</v>
      </c>
      <c r="AD185">
        <v>870</v>
      </c>
      <c r="AE185">
        <v>0</v>
      </c>
      <c r="AF185">
        <v>870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5</v>
      </c>
      <c r="AM185">
        <v>1</v>
      </c>
      <c r="AN185">
        <v>0</v>
      </c>
      <c r="AO185" t="s">
        <v>58</v>
      </c>
      <c r="AP185">
        <v>1</v>
      </c>
      <c r="AQ185" t="s">
        <v>75</v>
      </c>
      <c r="AR185" t="s">
        <v>60</v>
      </c>
      <c r="AS185">
        <v>0</v>
      </c>
      <c r="AT185">
        <v>2</v>
      </c>
      <c r="AU185">
        <v>0</v>
      </c>
      <c r="AV185">
        <v>6200</v>
      </c>
      <c r="AW185">
        <v>100</v>
      </c>
      <c r="AX185" s="1">
        <v>44565</v>
      </c>
      <c r="AY185">
        <v>22600</v>
      </c>
      <c r="AZ185">
        <v>124495</v>
      </c>
      <c r="BA185">
        <v>147100</v>
      </c>
      <c r="BB185">
        <v>213400</v>
      </c>
      <c r="BC185">
        <v>362</v>
      </c>
      <c r="BD185">
        <f>Grandview_Sales[[#This Row],[land_extract]]*Lookups!$B$3</f>
        <v>50650.628469298128</v>
      </c>
      <c r="BE185">
        <f>Lookups!$B$2</f>
        <v>155833.95000000001</v>
      </c>
      <c r="BF185">
        <f>VLOOKUP(Grandview_Sales[[#This Row],[quality]],Lookups!$H$2:$J$13,3,FALSE)</f>
        <v>-28558</v>
      </c>
      <c r="BG185">
        <f>VLOOKUP(Grandview_Sales[[#This Row],[condition]],Lookups!$H$17:$J$24,3,FALSE)</f>
        <v>-4503</v>
      </c>
      <c r="BH185">
        <f>Grandview_Sales[[#This Row],[Eff_Age]]*Lookups!$B$14</f>
        <v>-12436.663199999999</v>
      </c>
      <c r="BI185">
        <f>Grandview_Sales[[#This Row],[living_area]]*Lookups!$B$15</f>
        <v>108542.68422000001</v>
      </c>
      <c r="BJ185">
        <f>Grandview_Sales[[#This Row],[Fin BSMT]]*Lookups!$B$16</f>
        <v>-23576.338800000001</v>
      </c>
      <c r="BK185">
        <f>Grandview_Sales[[#This Row],[garage_sqft]]*Lookups!$B$17</f>
        <v>0</v>
      </c>
      <c r="BL185">
        <f>Grandview_Sales[[#This Row],[Plumbing Fixtures]]*Lookups!$B$18</f>
        <v>10052.209000000001</v>
      </c>
      <c r="BM185">
        <f>Grandview_Sales[[#This Row],[detatched_value]]*Lookups!$B$19</f>
        <v>5250.1916199999996</v>
      </c>
      <c r="BN185">
        <f>Grandview_Sales[[#This Row],[days_prior]]*Lookups!$B$20</f>
        <v>-43421.393199999999</v>
      </c>
      <c r="BO185">
        <f>SUM(Grandview_Sales[[#This Row],[land_value]:[Days Prior To Assessment_value]])</f>
        <v>217834.26810929814</v>
      </c>
      <c r="BP185">
        <f>Grandview_Sales[[#This Row],[predicted_total]]/Grandview_Sales[[#This Row],[sale_price]]</f>
        <v>1.020779138281622</v>
      </c>
      <c r="BQ185">
        <f>VLOOKUP(Grandview_Sales[[#This Row],[quality]],Lookups!$A$26:$C$33,3,FALSE)</f>
        <v>0.9690360070159818</v>
      </c>
      <c r="BR185">
        <f>VLOOKUP(Grandview_Sales[[#This Row],[condition]],Lookups!$A$37:$C$44,3,FALSE)</f>
        <v>0.96469275950863709</v>
      </c>
      <c r="BS185">
        <f>VLOOKUP(Grandview_Sales[[#This Row],[decade]],Lookups!$F$29:$H$43,3,FALSE)</f>
        <v>0.94161750052457416</v>
      </c>
      <c r="BT185">
        <f>VLOOKUP(Grandview_Sales[[#This Row],[living_area_range]],Lookups!$F$47:$H$56,3,FALSE)</f>
        <v>0.96120133463014379</v>
      </c>
      <c r="BU185">
        <f>Grandview_Sales[[#This Row],[predicted_total]]*AVERAGE(Grandview_Sales[[#This Row],[qual_adj]:[size_adj]])</f>
        <v>208932.88471957535</v>
      </c>
      <c r="BV185">
        <f>Grandview_Sales[[#This Row],[final_total]]/Grandview_Sales[[#This Row],[sale_price]]</f>
        <v>0.97906693870466421</v>
      </c>
      <c r="BW185" s="6">
        <f>(Grandview_Sales[[#This Row],[final_total]]-Grandview_Sales[[#This Row],[sale_price]])^2</f>
        <v>19955118.928603418</v>
      </c>
      <c r="BX185" s="6">
        <f>(Grandview_Sales[[#This Row],[final_total]]-AVERAGE(Grandview_Sales[sale_price]))^2</f>
        <v>9609152633.1087208</v>
      </c>
      <c r="BY185" s="6">
        <f>Grandview_Sales[[#This Row],[SSE]]+Grandview_Sales[[#This Row],[SSR]]</f>
        <v>9629107752.0373249</v>
      </c>
      <c r="BZ185" s="4">
        <f>ABS(Grandview_Sales[[#This Row],[final_ratio]]-MEDIAN(Grandview_Sales[final_ratio]))</f>
        <v>2.2181780651147731E-2</v>
      </c>
    </row>
    <row r="186" spans="1:78" x14ac:dyDescent="0.25">
      <c r="A186">
        <v>23092333426</v>
      </c>
      <c r="B186">
        <v>0.22</v>
      </c>
      <c r="C186">
        <v>9582</v>
      </c>
      <c r="D186">
        <v>0</v>
      </c>
      <c r="E186" t="s">
        <v>53</v>
      </c>
      <c r="F186" t="s">
        <v>53</v>
      </c>
      <c r="G186">
        <v>4</v>
      </c>
      <c r="H186" t="s">
        <v>54</v>
      </c>
      <c r="I186">
        <v>175200</v>
      </c>
      <c r="J186">
        <v>39500</v>
      </c>
      <c r="K186">
        <v>0.22</v>
      </c>
      <c r="L186">
        <v>-1.51412773263</v>
      </c>
      <c r="M186">
        <v>0</v>
      </c>
      <c r="N186">
        <v>0</v>
      </c>
      <c r="O186">
        <v>0</v>
      </c>
      <c r="P186">
        <v>13398.7528</v>
      </c>
      <c r="Q186">
        <v>63902.980100000001</v>
      </c>
      <c r="R186">
        <v>43615.556902869001</v>
      </c>
      <c r="S186" t="s">
        <v>61</v>
      </c>
      <c r="T186">
        <v>1</v>
      </c>
      <c r="U186" t="s">
        <v>65</v>
      </c>
      <c r="V186" t="s">
        <v>67</v>
      </c>
      <c r="W186">
        <v>0</v>
      </c>
      <c r="X186">
        <v>0</v>
      </c>
      <c r="Y186">
        <v>44</v>
      </c>
      <c r="Z186">
        <v>48</v>
      </c>
      <c r="AA186">
        <v>50</v>
      </c>
      <c r="AB186">
        <v>1500</v>
      </c>
      <c r="AC186">
        <v>1450</v>
      </c>
      <c r="AD186">
        <v>1450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7</v>
      </c>
      <c r="AM186">
        <v>0</v>
      </c>
      <c r="AN186">
        <v>0</v>
      </c>
      <c r="AO186" t="s">
        <v>58</v>
      </c>
      <c r="AP186">
        <v>1</v>
      </c>
      <c r="AQ186" t="s">
        <v>63</v>
      </c>
      <c r="AR186" t="s">
        <v>64</v>
      </c>
      <c r="AS186">
        <v>0</v>
      </c>
      <c r="AT186">
        <v>4</v>
      </c>
      <c r="AU186">
        <v>0</v>
      </c>
      <c r="AV186">
        <v>0</v>
      </c>
      <c r="AW186">
        <v>100</v>
      </c>
      <c r="AX186" s="1">
        <v>44571</v>
      </c>
      <c r="AY186">
        <v>22600</v>
      </c>
      <c r="AZ186">
        <v>165185</v>
      </c>
      <c r="BA186">
        <v>187800</v>
      </c>
      <c r="BB186">
        <v>289000</v>
      </c>
      <c r="BC186">
        <v>356</v>
      </c>
      <c r="BD186">
        <f>Grandview_Sales[[#This Row],[land_extract]]*Lookups!$B$3</f>
        <v>50650.628469298128</v>
      </c>
      <c r="BE186">
        <f>Lookups!$B$2</f>
        <v>155833.95000000001</v>
      </c>
      <c r="BF186">
        <f>VLOOKUP(Grandview_Sales[[#This Row],[quality]],Lookups!$H$2:$J$13,3,FALSE)</f>
        <v>2251</v>
      </c>
      <c r="BG186">
        <f>VLOOKUP(Grandview_Sales[[#This Row],[condition]],Lookups!$H$17:$J$24,3,FALSE)</f>
        <v>22342</v>
      </c>
      <c r="BH186">
        <f>Grandview_Sales[[#This Row],[Eff_Age]]*Lookups!$B$14</f>
        <v>-10523.330399999999</v>
      </c>
      <c r="BI186">
        <f>Grandview_Sales[[#This Row],[living_area]]*Lookups!$B$15</f>
        <v>90452.236850000001</v>
      </c>
      <c r="BJ186">
        <f>Grandview_Sales[[#This Row],[Fin BSMT]]*Lookups!$B$16</f>
        <v>0</v>
      </c>
      <c r="BK186">
        <f>Grandview_Sales[[#This Row],[garage_sqft]]*Lookups!$B$17</f>
        <v>0</v>
      </c>
      <c r="BL186">
        <f>Grandview_Sales[[#This Row],[Plumbing Fixtures]]*Lookups!$B$18</f>
        <v>14073.0926</v>
      </c>
      <c r="BM186">
        <f>Grandview_Sales[[#This Row],[detatched_value]]*Lookups!$B$19</f>
        <v>0</v>
      </c>
      <c r="BN186">
        <f>Grandview_Sales[[#This Row],[days_prior]]*Lookups!$B$20</f>
        <v>-42701.7016</v>
      </c>
      <c r="BO186">
        <f>SUM(Grandview_Sales[[#This Row],[land_value]:[Days Prior To Assessment_value]])</f>
        <v>282377.87591929815</v>
      </c>
      <c r="BP186">
        <f>Grandview_Sales[[#This Row],[predicted_total]]/Grandview_Sales[[#This Row],[sale_price]]</f>
        <v>0.97708607584532237</v>
      </c>
      <c r="BQ186">
        <f>VLOOKUP(Grandview_Sales[[#This Row],[quality]],Lookups!$A$26:$C$33,3,FALSE)</f>
        <v>0.98763855981004833</v>
      </c>
      <c r="BR186">
        <f>VLOOKUP(Grandview_Sales[[#This Row],[condition]],Lookups!$A$37:$C$44,3,FALSE)</f>
        <v>0.97383723671140243</v>
      </c>
      <c r="BS186">
        <f>VLOOKUP(Grandview_Sales[[#This Row],[decade]],Lookups!$F$29:$H$43,3,FALSE)</f>
        <v>0.9871940091910919</v>
      </c>
      <c r="BT186">
        <f>VLOOKUP(Grandview_Sales[[#This Row],[living_area_range]],Lookups!$F$47:$H$56,3,FALSE)</f>
        <v>0.96135087979789358</v>
      </c>
      <c r="BU186">
        <f>Grandview_Sales[[#This Row],[predicted_total]]*AVERAGE(Grandview_Sales[[#This Row],[qual_adj]:[size_adj]])</f>
        <v>276025.83399373875</v>
      </c>
      <c r="BV186">
        <f>Grandview_Sales[[#This Row],[final_total]]/Grandview_Sales[[#This Row],[sale_price]]</f>
        <v>0.95510669201985732</v>
      </c>
      <c r="BW186" s="6">
        <f>(Grandview_Sales[[#This Row],[final_total]]-Grandview_Sales[[#This Row],[sale_price]])^2</f>
        <v>168328983.558025</v>
      </c>
      <c r="BX186" s="6">
        <f>(Grandview_Sales[[#This Row],[final_total]]-AVERAGE(Grandview_Sales[sale_price]))^2</f>
        <v>956871285.06885123</v>
      </c>
      <c r="BY186" s="6">
        <f>Grandview_Sales[[#This Row],[SSE]]+Grandview_Sales[[#This Row],[SSR]]</f>
        <v>1125200268.6268764</v>
      </c>
      <c r="BZ186" s="4">
        <f>ABS(Grandview_Sales[[#This Row],[final_ratio]]-MEDIAN(Grandview_Sales[final_ratio]))</f>
        <v>4.6142027335954627E-2</v>
      </c>
    </row>
    <row r="187" spans="1:78" x14ac:dyDescent="0.25">
      <c r="A187">
        <v>23092242512</v>
      </c>
      <c r="B187">
        <v>0.17</v>
      </c>
      <c r="C187">
        <v>7196</v>
      </c>
      <c r="D187">
        <v>0</v>
      </c>
      <c r="E187" t="s">
        <v>53</v>
      </c>
      <c r="F187" t="s">
        <v>53</v>
      </c>
      <c r="G187">
        <v>4</v>
      </c>
      <c r="H187" t="s">
        <v>54</v>
      </c>
      <c r="I187">
        <v>245400</v>
      </c>
      <c r="J187">
        <v>38800</v>
      </c>
      <c r="K187">
        <v>0.17</v>
      </c>
      <c r="L187">
        <v>-1.771956841932</v>
      </c>
      <c r="M187">
        <v>0</v>
      </c>
      <c r="N187">
        <v>0</v>
      </c>
      <c r="O187">
        <v>0</v>
      </c>
      <c r="P187">
        <v>13398.7528</v>
      </c>
      <c r="Q187">
        <v>63902.980100000001</v>
      </c>
      <c r="R187">
        <v>40160.968402685998</v>
      </c>
      <c r="S187" t="s">
        <v>58</v>
      </c>
      <c r="T187">
        <v>1</v>
      </c>
      <c r="U187" t="s">
        <v>62</v>
      </c>
      <c r="V187" t="s">
        <v>67</v>
      </c>
      <c r="W187">
        <v>0</v>
      </c>
      <c r="X187">
        <v>0</v>
      </c>
      <c r="Y187">
        <v>16</v>
      </c>
      <c r="Z187">
        <v>16</v>
      </c>
      <c r="AA187">
        <v>20</v>
      </c>
      <c r="AB187">
        <v>1500</v>
      </c>
      <c r="AC187">
        <v>1296</v>
      </c>
      <c r="AD187">
        <v>1296</v>
      </c>
      <c r="AE187">
        <v>0</v>
      </c>
      <c r="AF187">
        <v>0</v>
      </c>
      <c r="AG187">
        <v>0</v>
      </c>
      <c r="AH187">
        <v>648</v>
      </c>
      <c r="AI187">
        <v>0</v>
      </c>
      <c r="AJ187">
        <v>0</v>
      </c>
      <c r="AK187">
        <v>90</v>
      </c>
      <c r="AL187">
        <v>8</v>
      </c>
      <c r="AM187">
        <v>0</v>
      </c>
      <c r="AN187">
        <v>0</v>
      </c>
      <c r="AO187" t="s">
        <v>58</v>
      </c>
      <c r="AP187">
        <v>1</v>
      </c>
      <c r="AQ187" t="s">
        <v>59</v>
      </c>
      <c r="AR187" t="s">
        <v>60</v>
      </c>
      <c r="AS187">
        <v>1</v>
      </c>
      <c r="AT187">
        <v>3</v>
      </c>
      <c r="AU187">
        <v>0</v>
      </c>
      <c r="AV187">
        <v>0</v>
      </c>
      <c r="AW187">
        <v>100</v>
      </c>
      <c r="AX187" s="1">
        <v>44574</v>
      </c>
      <c r="AY187">
        <v>22200</v>
      </c>
      <c r="AZ187">
        <v>271864</v>
      </c>
      <c r="BA187">
        <v>294100</v>
      </c>
      <c r="BB187">
        <v>355000</v>
      </c>
      <c r="BC187">
        <v>353</v>
      </c>
      <c r="BD187">
        <f>Grandview_Sales[[#This Row],[land_extract]]*Lookups!$B$3</f>
        <v>46638.82417142456</v>
      </c>
      <c r="BE187">
        <f>Lookups!$B$2</f>
        <v>155833.95000000001</v>
      </c>
      <c r="BF187">
        <f>VLOOKUP(Grandview_Sales[[#This Row],[quality]],Lookups!$H$2:$J$13,3,FALSE)</f>
        <v>9808</v>
      </c>
      <c r="BG187">
        <f>VLOOKUP(Grandview_Sales[[#This Row],[condition]],Lookups!$H$17:$J$24,3,FALSE)</f>
        <v>22342</v>
      </c>
      <c r="BH187">
        <f>Grandview_Sales[[#This Row],[Eff_Age]]*Lookups!$B$14</f>
        <v>-3826.6655999999998</v>
      </c>
      <c r="BI187">
        <f>Grandview_Sales[[#This Row],[living_area]]*Lookups!$B$15</f>
        <v>80845.585487999997</v>
      </c>
      <c r="BJ187">
        <f>Grandview_Sales[[#This Row],[Fin BSMT]]*Lookups!$B$16</f>
        <v>0</v>
      </c>
      <c r="BK187">
        <f>Grandview_Sales[[#This Row],[garage_sqft]]*Lookups!$B$17</f>
        <v>56713.243176000004</v>
      </c>
      <c r="BL187">
        <f>Grandview_Sales[[#This Row],[Plumbing Fixtures]]*Lookups!$B$18</f>
        <v>16083.5344</v>
      </c>
      <c r="BM187">
        <f>Grandview_Sales[[#This Row],[detatched_value]]*Lookups!$B$19</f>
        <v>0</v>
      </c>
      <c r="BN187">
        <f>Grandview_Sales[[#This Row],[days_prior]]*Lookups!$B$20</f>
        <v>-42341.855799999998</v>
      </c>
      <c r="BO187">
        <f>SUM(Grandview_Sales[[#This Row],[land_value]:[Days Prior To Assessment_value]])</f>
        <v>342096.61583542457</v>
      </c>
      <c r="BP187">
        <f>Grandview_Sales[[#This Row],[predicted_total]]/Grandview_Sales[[#This Row],[sale_price]]</f>
        <v>0.96365243897302699</v>
      </c>
      <c r="BQ187">
        <f>VLOOKUP(Grandview_Sales[[#This Row],[quality]],Lookups!$A$26:$C$33,3,FALSE)</f>
        <v>0.94295468617355149</v>
      </c>
      <c r="BR187">
        <f>VLOOKUP(Grandview_Sales[[#This Row],[condition]],Lookups!$A$37:$C$44,3,FALSE)</f>
        <v>0.97383723671140243</v>
      </c>
      <c r="BS187">
        <f>VLOOKUP(Grandview_Sales[[#This Row],[decade]],Lookups!$F$29:$H$43,3,FALSE)</f>
        <v>0.96737494181490646</v>
      </c>
      <c r="BT187">
        <f>VLOOKUP(Grandview_Sales[[#This Row],[living_area_range]],Lookups!$F$47:$H$56,3,FALSE)</f>
        <v>0.96135087979789358</v>
      </c>
      <c r="BU187">
        <f>Grandview_Sales[[#This Row],[predicted_total]]*AVERAGE(Grandview_Sales[[#This Row],[qual_adj]:[size_adj]])</f>
        <v>328884.65163193917</v>
      </c>
      <c r="BV187">
        <f>Grandview_Sales[[#This Row],[final_total]]/Grandview_Sales[[#This Row],[sale_price]]</f>
        <v>0.92643563839982868</v>
      </c>
      <c r="BW187" s="6">
        <f>(Grandview_Sales[[#This Row],[final_total]]-Grandview_Sales[[#This Row],[sale_price]])^2</f>
        <v>682011420.38517761</v>
      </c>
      <c r="BX187" s="6">
        <f>(Grandview_Sales[[#This Row],[final_total]]-AVERAGE(Grandview_Sales[sale_price]))^2</f>
        <v>480726738.7020908</v>
      </c>
      <c r="BY187" s="6">
        <f>Grandview_Sales[[#This Row],[SSE]]+Grandview_Sales[[#This Row],[SSR]]</f>
        <v>1162738159.0872684</v>
      </c>
      <c r="BZ187" s="4">
        <f>ABS(Grandview_Sales[[#This Row],[final_ratio]]-MEDIAN(Grandview_Sales[final_ratio]))</f>
        <v>7.4813080955983269E-2</v>
      </c>
    </row>
    <row r="188" spans="1:78" x14ac:dyDescent="0.25">
      <c r="A188">
        <v>23092232466</v>
      </c>
      <c r="B188">
        <v>0.2</v>
      </c>
      <c r="C188">
        <v>8714</v>
      </c>
      <c r="D188">
        <v>0</v>
      </c>
      <c r="E188" t="s">
        <v>53</v>
      </c>
      <c r="F188" t="s">
        <v>53</v>
      </c>
      <c r="G188">
        <v>4</v>
      </c>
      <c r="H188" t="s">
        <v>54</v>
      </c>
      <c r="I188">
        <v>149700</v>
      </c>
      <c r="J188">
        <v>43700</v>
      </c>
      <c r="K188">
        <v>0.2</v>
      </c>
      <c r="L188">
        <v>-1.6094379124339999</v>
      </c>
      <c r="M188">
        <v>0</v>
      </c>
      <c r="N188">
        <v>0</v>
      </c>
      <c r="O188">
        <v>0</v>
      </c>
      <c r="P188">
        <v>13398.7528</v>
      </c>
      <c r="Q188">
        <v>63902.980100000001</v>
      </c>
      <c r="R188">
        <v>42338.519364346997</v>
      </c>
      <c r="S188" t="s">
        <v>61</v>
      </c>
      <c r="T188">
        <v>1</v>
      </c>
      <c r="U188" t="s">
        <v>65</v>
      </c>
      <c r="V188" t="s">
        <v>69</v>
      </c>
      <c r="W188">
        <v>0</v>
      </c>
      <c r="X188">
        <v>0</v>
      </c>
      <c r="Y188">
        <v>46</v>
      </c>
      <c r="Z188">
        <v>53</v>
      </c>
      <c r="AA188">
        <v>50</v>
      </c>
      <c r="AB188">
        <v>1500</v>
      </c>
      <c r="AC188">
        <v>1204</v>
      </c>
      <c r="AD188">
        <v>1204</v>
      </c>
      <c r="AE188">
        <v>0</v>
      </c>
      <c r="AF188">
        <v>0</v>
      </c>
      <c r="AG188">
        <v>0</v>
      </c>
      <c r="AH188">
        <v>280</v>
      </c>
      <c r="AI188">
        <v>0</v>
      </c>
      <c r="AJ188">
        <v>0</v>
      </c>
      <c r="AK188">
        <v>304</v>
      </c>
      <c r="AL188">
        <v>7</v>
      </c>
      <c r="AM188">
        <v>0</v>
      </c>
      <c r="AN188">
        <v>0</v>
      </c>
      <c r="AO188" t="s">
        <v>58</v>
      </c>
      <c r="AP188">
        <v>1</v>
      </c>
      <c r="AQ188" t="s">
        <v>63</v>
      </c>
      <c r="AR188" t="s">
        <v>60</v>
      </c>
      <c r="AS188">
        <v>0</v>
      </c>
      <c r="AT188">
        <v>3</v>
      </c>
      <c r="AU188">
        <v>0</v>
      </c>
      <c r="AV188">
        <v>0</v>
      </c>
      <c r="AW188">
        <v>100</v>
      </c>
      <c r="AX188" s="1">
        <v>44576</v>
      </c>
      <c r="AY188">
        <v>25000</v>
      </c>
      <c r="AZ188">
        <v>139419</v>
      </c>
      <c r="BA188">
        <v>164400</v>
      </c>
      <c r="BB188">
        <v>279000</v>
      </c>
      <c r="BC188">
        <v>351</v>
      </c>
      <c r="BD188">
        <f>Grandview_Sales[[#This Row],[land_extract]]*Lookups!$B$3</f>
        <v>49167.608223813884</v>
      </c>
      <c r="BE188">
        <f>Lookups!$B$2</f>
        <v>155833.95000000001</v>
      </c>
      <c r="BF188">
        <f>VLOOKUP(Grandview_Sales[[#This Row],[quality]],Lookups!$H$2:$J$13,3,FALSE)</f>
        <v>2251</v>
      </c>
      <c r="BG188">
        <f>VLOOKUP(Grandview_Sales[[#This Row],[condition]],Lookups!$H$17:$J$24,3,FALSE)</f>
        <v>-4503</v>
      </c>
      <c r="BH188">
        <f>Grandview_Sales[[#This Row],[Eff_Age]]*Lookups!$B$14</f>
        <v>-11001.6636</v>
      </c>
      <c r="BI188">
        <f>Grandview_Sales[[#This Row],[living_area]]*Lookups!$B$15</f>
        <v>75106.547011999995</v>
      </c>
      <c r="BJ188">
        <f>Grandview_Sales[[#This Row],[Fin BSMT]]*Lookups!$B$16</f>
        <v>0</v>
      </c>
      <c r="BK188">
        <f>Grandview_Sales[[#This Row],[garage_sqft]]*Lookups!$B$17</f>
        <v>24505.72236</v>
      </c>
      <c r="BL188">
        <f>Grandview_Sales[[#This Row],[Plumbing Fixtures]]*Lookups!$B$18</f>
        <v>14073.0926</v>
      </c>
      <c r="BM188">
        <f>Grandview_Sales[[#This Row],[detatched_value]]*Lookups!$B$19</f>
        <v>0</v>
      </c>
      <c r="BN188">
        <f>Grandview_Sales[[#This Row],[days_prior]]*Lookups!$B$20</f>
        <v>-42101.958599999998</v>
      </c>
      <c r="BO188">
        <f>SUM(Grandview_Sales[[#This Row],[land_value]:[Days Prior To Assessment_value]])</f>
        <v>263331.29799581389</v>
      </c>
      <c r="BP188">
        <f>Grandview_Sales[[#This Row],[predicted_total]]/Grandview_Sales[[#This Row],[sale_price]]</f>
        <v>0.94383977776277383</v>
      </c>
      <c r="BQ188">
        <f>VLOOKUP(Grandview_Sales[[#This Row],[quality]],Lookups!$A$26:$C$33,3,FALSE)</f>
        <v>0.98763855981004833</v>
      </c>
      <c r="BR188">
        <f>VLOOKUP(Grandview_Sales[[#This Row],[condition]],Lookups!$A$37:$C$44,3,FALSE)</f>
        <v>0.96469275950863709</v>
      </c>
      <c r="BS188">
        <f>VLOOKUP(Grandview_Sales[[#This Row],[decade]],Lookups!$F$29:$H$43,3,FALSE)</f>
        <v>0.9871940091910919</v>
      </c>
      <c r="BT188">
        <f>VLOOKUP(Grandview_Sales[[#This Row],[living_area_range]],Lookups!$F$47:$H$56,3,FALSE)</f>
        <v>0.96135087979789358</v>
      </c>
      <c r="BU188">
        <f>Grandview_Sales[[#This Row],[predicted_total]]*AVERAGE(Grandview_Sales[[#This Row],[qual_adj]:[size_adj]])</f>
        <v>256805.69881366196</v>
      </c>
      <c r="BV188">
        <f>Grandview_Sales[[#This Row],[final_total]]/Grandview_Sales[[#This Row],[sale_price]]</f>
        <v>0.92045053338230098</v>
      </c>
      <c r="BW188" s="6">
        <f>(Grandview_Sales[[#This Row],[final_total]]-Grandview_Sales[[#This Row],[sale_price]])^2</f>
        <v>492587005.14988601</v>
      </c>
      <c r="BX188" s="6">
        <f>(Grandview_Sales[[#This Row],[final_total]]-AVERAGE(Grandview_Sales[sale_price]))^2</f>
        <v>2515370685.9703584</v>
      </c>
      <c r="BY188" s="6">
        <f>Grandview_Sales[[#This Row],[SSE]]+Grandview_Sales[[#This Row],[SSR]]</f>
        <v>3007957691.1202445</v>
      </c>
      <c r="BZ188" s="4">
        <f>ABS(Grandview_Sales[[#This Row],[final_ratio]]-MEDIAN(Grandview_Sales[final_ratio]))</f>
        <v>8.0798185973510961E-2</v>
      </c>
    </row>
    <row r="189" spans="1:78" x14ac:dyDescent="0.25">
      <c r="A189">
        <v>23092224419</v>
      </c>
      <c r="B189">
        <v>0.19</v>
      </c>
      <c r="C189">
        <v>8400</v>
      </c>
      <c r="D189">
        <v>0</v>
      </c>
      <c r="E189" t="s">
        <v>53</v>
      </c>
      <c r="F189" t="s">
        <v>53</v>
      </c>
      <c r="G189">
        <v>4</v>
      </c>
      <c r="H189" t="s">
        <v>54</v>
      </c>
      <c r="I189">
        <v>300600</v>
      </c>
      <c r="J189">
        <v>42800</v>
      </c>
      <c r="K189">
        <v>0.19</v>
      </c>
      <c r="L189">
        <v>-1.6607312068219999</v>
      </c>
      <c r="M189">
        <v>0</v>
      </c>
      <c r="N189">
        <v>0</v>
      </c>
      <c r="O189">
        <v>0</v>
      </c>
      <c r="P189">
        <v>13398.7528</v>
      </c>
      <c r="Q189">
        <v>63902.980100000001</v>
      </c>
      <c r="R189">
        <v>41651.253192550997</v>
      </c>
      <c r="S189" t="s">
        <v>74</v>
      </c>
      <c r="T189">
        <v>1</v>
      </c>
      <c r="U189" t="s">
        <v>62</v>
      </c>
      <c r="V189" t="s">
        <v>69</v>
      </c>
      <c r="W189">
        <v>0</v>
      </c>
      <c r="X189">
        <v>0</v>
      </c>
      <c r="Y189">
        <v>43</v>
      </c>
      <c r="Z189">
        <v>44</v>
      </c>
      <c r="AA189">
        <v>40</v>
      </c>
      <c r="AB189">
        <v>2500</v>
      </c>
      <c r="AC189">
        <v>2490</v>
      </c>
      <c r="AD189">
        <v>1650</v>
      </c>
      <c r="AE189">
        <v>0</v>
      </c>
      <c r="AF189">
        <v>840</v>
      </c>
      <c r="AG189">
        <v>0</v>
      </c>
      <c r="AH189">
        <v>810</v>
      </c>
      <c r="AI189">
        <v>0</v>
      </c>
      <c r="AJ189">
        <v>196</v>
      </c>
      <c r="AK189">
        <v>0</v>
      </c>
      <c r="AL189">
        <v>10</v>
      </c>
      <c r="AM189">
        <v>0</v>
      </c>
      <c r="AN189">
        <v>1</v>
      </c>
      <c r="AO189" t="s">
        <v>76</v>
      </c>
      <c r="AP189">
        <v>1</v>
      </c>
      <c r="AQ189" t="s">
        <v>59</v>
      </c>
      <c r="AR189" t="s">
        <v>60</v>
      </c>
      <c r="AS189">
        <v>1</v>
      </c>
      <c r="AT189">
        <v>3</v>
      </c>
      <c r="AU189">
        <v>0</v>
      </c>
      <c r="AV189">
        <v>0</v>
      </c>
      <c r="AW189">
        <v>100</v>
      </c>
      <c r="AX189" s="1">
        <v>44582</v>
      </c>
      <c r="AY189">
        <v>24500</v>
      </c>
      <c r="AZ189">
        <v>322592</v>
      </c>
      <c r="BA189">
        <v>347100</v>
      </c>
      <c r="BB189">
        <v>338000</v>
      </c>
      <c r="BC189">
        <v>345</v>
      </c>
      <c r="BD189">
        <f>Grandview_Sales[[#This Row],[land_extract]]*Lookups!$B$3</f>
        <v>48369.487874125851</v>
      </c>
      <c r="BE189">
        <f>Lookups!$B$2</f>
        <v>155833.95000000001</v>
      </c>
      <c r="BF189">
        <f>VLOOKUP(Grandview_Sales[[#This Row],[quality]],Lookups!$H$2:$J$13,3,FALSE)</f>
        <v>9808</v>
      </c>
      <c r="BG189">
        <f>VLOOKUP(Grandview_Sales[[#This Row],[condition]],Lookups!$H$17:$J$24,3,FALSE)</f>
        <v>-4503</v>
      </c>
      <c r="BH189">
        <f>Grandview_Sales[[#This Row],[Eff_Age]]*Lookups!$B$14</f>
        <v>-10284.1638</v>
      </c>
      <c r="BI189">
        <f>Grandview_Sales[[#This Row],[living_area]]*Lookups!$B$15</f>
        <v>155328.32397</v>
      </c>
      <c r="BJ189">
        <f>Grandview_Sales[[#This Row],[Fin BSMT]]*Lookups!$B$16</f>
        <v>-22763.3616</v>
      </c>
      <c r="BK189">
        <f>Grandview_Sales[[#This Row],[garage_sqft]]*Lookups!$B$17</f>
        <v>70891.553970000008</v>
      </c>
      <c r="BL189">
        <f>Grandview_Sales[[#This Row],[Plumbing Fixtures]]*Lookups!$B$18</f>
        <v>20104.418000000001</v>
      </c>
      <c r="BM189">
        <f>Grandview_Sales[[#This Row],[detatched_value]]*Lookups!$B$19</f>
        <v>0</v>
      </c>
      <c r="BN189">
        <f>Grandview_Sales[[#This Row],[days_prior]]*Lookups!$B$20</f>
        <v>-41382.267</v>
      </c>
      <c r="BO189">
        <f>SUM(Grandview_Sales[[#This Row],[land_value]:[Days Prior To Assessment_value]])</f>
        <v>381402.94141412585</v>
      </c>
      <c r="BP189">
        <f>Grandview_Sales[[#This Row],[predicted_total]]/Grandview_Sales[[#This Row],[sale_price]]</f>
        <v>1.1284110692725617</v>
      </c>
      <c r="BQ189">
        <f>VLOOKUP(Grandview_Sales[[#This Row],[quality]],Lookups!$A$26:$C$33,3,FALSE)</f>
        <v>0.94295468617355149</v>
      </c>
      <c r="BR189">
        <f>VLOOKUP(Grandview_Sales[[#This Row],[condition]],Lookups!$A$37:$C$44,3,FALSE)</f>
        <v>0.96469275950863709</v>
      </c>
      <c r="BS189">
        <f>VLOOKUP(Grandview_Sales[[#This Row],[decade]],Lookups!$F$29:$H$43,3,FALSE)</f>
        <v>0.98031878267063854</v>
      </c>
      <c r="BT189">
        <f>VLOOKUP(Grandview_Sales[[#This Row],[living_area_range]],Lookups!$F$47:$H$56,3,FALSE)</f>
        <v>0.95799442568048754</v>
      </c>
      <c r="BU189">
        <f>Grandview_Sales[[#This Row],[predicted_total]]*AVERAGE(Grandview_Sales[[#This Row],[qual_adj]:[size_adj]])</f>
        <v>366715.17650282534</v>
      </c>
      <c r="BV189">
        <f>Grandview_Sales[[#This Row],[final_total]]/Grandview_Sales[[#This Row],[sale_price]]</f>
        <v>1.0849561434994832</v>
      </c>
      <c r="BW189" s="6">
        <f>(Grandview_Sales[[#This Row],[final_total]]-Grandview_Sales[[#This Row],[sale_price]])^2</f>
        <v>824561361.58841264</v>
      </c>
      <c r="BX189" s="6">
        <f>(Grandview_Sales[[#This Row],[final_total]]-AVERAGE(Grandview_Sales[sale_price]))^2</f>
        <v>3570780296.5668154</v>
      </c>
      <c r="BY189" s="6">
        <f>Grandview_Sales[[#This Row],[SSE]]+Grandview_Sales[[#This Row],[SSR]]</f>
        <v>4395341658.1552277</v>
      </c>
      <c r="BZ189" s="4">
        <f>ABS(Grandview_Sales[[#This Row],[final_ratio]]-MEDIAN(Grandview_Sales[final_ratio]))</f>
        <v>8.3707424143671272E-2</v>
      </c>
    </row>
    <row r="190" spans="1:78" x14ac:dyDescent="0.25">
      <c r="A190">
        <v>23091433443</v>
      </c>
      <c r="B190">
        <v>0.11</v>
      </c>
      <c r="C190">
        <v>4808</v>
      </c>
      <c r="D190">
        <v>0</v>
      </c>
      <c r="E190" t="s">
        <v>53</v>
      </c>
      <c r="F190" t="s">
        <v>53</v>
      </c>
      <c r="G190">
        <v>4</v>
      </c>
      <c r="H190" t="s">
        <v>54</v>
      </c>
      <c r="I190">
        <v>153000</v>
      </c>
      <c r="J190">
        <v>37700</v>
      </c>
      <c r="K190">
        <v>0.11</v>
      </c>
      <c r="L190">
        <v>-2.20727491319</v>
      </c>
      <c r="M190">
        <v>0</v>
      </c>
      <c r="N190">
        <v>0</v>
      </c>
      <c r="O190">
        <v>0</v>
      </c>
      <c r="P190">
        <v>13398.7528</v>
      </c>
      <c r="Q190">
        <v>63902.980100000001</v>
      </c>
      <c r="R190">
        <v>34328.24917653</v>
      </c>
      <c r="S190" t="s">
        <v>61</v>
      </c>
      <c r="T190">
        <v>1</v>
      </c>
      <c r="U190" t="s">
        <v>80</v>
      </c>
      <c r="V190" t="s">
        <v>67</v>
      </c>
      <c r="W190">
        <v>0</v>
      </c>
      <c r="X190">
        <v>0</v>
      </c>
      <c r="Y190">
        <v>50</v>
      </c>
      <c r="Z190">
        <v>73</v>
      </c>
      <c r="AA190">
        <v>70</v>
      </c>
      <c r="AB190">
        <v>1500</v>
      </c>
      <c r="AC190">
        <v>1036</v>
      </c>
      <c r="AD190">
        <v>1036</v>
      </c>
      <c r="AE190">
        <v>0</v>
      </c>
      <c r="AF190">
        <v>0</v>
      </c>
      <c r="AG190">
        <v>0</v>
      </c>
      <c r="AH190">
        <v>0</v>
      </c>
      <c r="AI190">
        <v>192</v>
      </c>
      <c r="AJ190">
        <v>0</v>
      </c>
      <c r="AK190">
        <v>192</v>
      </c>
      <c r="AL190">
        <v>5</v>
      </c>
      <c r="AM190">
        <v>0</v>
      </c>
      <c r="AN190">
        <v>0</v>
      </c>
      <c r="AO190" t="s">
        <v>58</v>
      </c>
      <c r="AP190">
        <v>1</v>
      </c>
      <c r="AQ190" t="s">
        <v>75</v>
      </c>
      <c r="AR190" t="s">
        <v>60</v>
      </c>
      <c r="AS190">
        <v>0</v>
      </c>
      <c r="AT190">
        <v>2</v>
      </c>
      <c r="AU190">
        <v>0</v>
      </c>
      <c r="AV190">
        <v>6300</v>
      </c>
      <c r="AW190">
        <v>100</v>
      </c>
      <c r="AX190" s="1">
        <v>44586</v>
      </c>
      <c r="AY190">
        <v>21600</v>
      </c>
      <c r="AZ190">
        <v>108087</v>
      </c>
      <c r="BA190">
        <v>129700</v>
      </c>
      <c r="BB190">
        <v>240000</v>
      </c>
      <c r="BC190">
        <v>341</v>
      </c>
      <c r="BD190">
        <f>Grandview_Sales[[#This Row],[land_extract]]*Lookups!$B$3</f>
        <v>39865.303082431514</v>
      </c>
      <c r="BE190">
        <f>Lookups!$B$2</f>
        <v>155833.95000000001</v>
      </c>
      <c r="BF190">
        <f>VLOOKUP(Grandview_Sales[[#This Row],[quality]],Lookups!$H$2:$J$13,3,FALSE)</f>
        <v>-28558</v>
      </c>
      <c r="BG190">
        <f>VLOOKUP(Grandview_Sales[[#This Row],[condition]],Lookups!$H$17:$J$24,3,FALSE)</f>
        <v>22342</v>
      </c>
      <c r="BH190">
        <f>Grandview_Sales[[#This Row],[Eff_Age]]*Lookups!$B$14</f>
        <v>-11958.33</v>
      </c>
      <c r="BI190">
        <f>Grandview_Sales[[#This Row],[living_area]]*Lookups!$B$15</f>
        <v>64626.563708000001</v>
      </c>
      <c r="BJ190">
        <f>Grandview_Sales[[#This Row],[Fin BSMT]]*Lookups!$B$16</f>
        <v>0</v>
      </c>
      <c r="BK190">
        <f>Grandview_Sales[[#This Row],[garage_sqft]]*Lookups!$B$17</f>
        <v>0</v>
      </c>
      <c r="BL190">
        <f>Grandview_Sales[[#This Row],[Plumbing Fixtures]]*Lookups!$B$18</f>
        <v>10052.209000000001</v>
      </c>
      <c r="BM190">
        <f>Grandview_Sales[[#This Row],[detatched_value]]*Lookups!$B$19</f>
        <v>5334.8721299999997</v>
      </c>
      <c r="BN190">
        <f>Grandview_Sales[[#This Row],[days_prior]]*Lookups!$B$20</f>
        <v>-40902.472600000001</v>
      </c>
      <c r="BO190">
        <f>SUM(Grandview_Sales[[#This Row],[land_value]:[Days Prior To Assessment_value]])</f>
        <v>216636.09532043154</v>
      </c>
      <c r="BP190">
        <f>Grandview_Sales[[#This Row],[predicted_total]]/Grandview_Sales[[#This Row],[sale_price]]</f>
        <v>0.90265039716846474</v>
      </c>
      <c r="BQ190">
        <f>VLOOKUP(Grandview_Sales[[#This Row],[quality]],Lookups!$A$26:$C$33,3,FALSE)</f>
        <v>0.9690360070159818</v>
      </c>
      <c r="BR190">
        <f>VLOOKUP(Grandview_Sales[[#This Row],[condition]],Lookups!$A$37:$C$44,3,FALSE)</f>
        <v>0.97383723671140243</v>
      </c>
      <c r="BS190">
        <f>VLOOKUP(Grandview_Sales[[#This Row],[decade]],Lookups!$F$29:$H$43,3,FALSE)</f>
        <v>0.99472141305414818</v>
      </c>
      <c r="BT190">
        <f>VLOOKUP(Grandview_Sales[[#This Row],[living_area_range]],Lookups!$F$47:$H$56,3,FALSE)</f>
        <v>0.96135087979789358</v>
      </c>
      <c r="BU190">
        <f>Grandview_Sales[[#This Row],[predicted_total]]*AVERAGE(Grandview_Sales[[#This Row],[qual_adj]:[size_adj]])</f>
        <v>211163.0842278979</v>
      </c>
      <c r="BV190">
        <f>Grandview_Sales[[#This Row],[final_total]]/Grandview_Sales[[#This Row],[sale_price]]</f>
        <v>0.87984618428290795</v>
      </c>
      <c r="BW190" s="6">
        <f>(Grandview_Sales[[#This Row],[final_total]]-Grandview_Sales[[#This Row],[sale_price]])^2</f>
        <v>831567711.24731112</v>
      </c>
      <c r="BX190" s="6">
        <f>(Grandview_Sales[[#This Row],[final_total]]-AVERAGE(Grandview_Sales[sale_price]))^2</f>
        <v>9176890075.8659649</v>
      </c>
      <c r="BY190" s="6">
        <f>Grandview_Sales[[#This Row],[SSE]]+Grandview_Sales[[#This Row],[SSR]]</f>
        <v>10008457787.113276</v>
      </c>
      <c r="BZ190" s="4">
        <f>ABS(Grandview_Sales[[#This Row],[final_ratio]]-MEDIAN(Grandview_Sales[final_ratio]))</f>
        <v>0.12140253507290399</v>
      </c>
    </row>
    <row r="191" spans="1:78" x14ac:dyDescent="0.25">
      <c r="A191">
        <v>23092232504</v>
      </c>
      <c r="B191">
        <v>0</v>
      </c>
      <c r="C191">
        <v>15624</v>
      </c>
      <c r="D191">
        <v>0</v>
      </c>
      <c r="E191" t="s">
        <v>53</v>
      </c>
      <c r="F191" t="s">
        <v>53</v>
      </c>
      <c r="G191">
        <v>4</v>
      </c>
      <c r="H191" t="s">
        <v>54</v>
      </c>
      <c r="I191">
        <v>248200</v>
      </c>
      <c r="J191">
        <v>41100</v>
      </c>
      <c r="K191">
        <v>0.36</v>
      </c>
      <c r="L191">
        <v>-1.0216512475320001</v>
      </c>
      <c r="M191">
        <v>0</v>
      </c>
      <c r="N191">
        <v>0</v>
      </c>
      <c r="O191">
        <v>0</v>
      </c>
      <c r="P191">
        <v>13398.7528</v>
      </c>
      <c r="Q191">
        <v>63902.980100000001</v>
      </c>
      <c r="R191">
        <v>50214.127586506998</v>
      </c>
      <c r="S191" t="s">
        <v>61</v>
      </c>
      <c r="T191">
        <v>1</v>
      </c>
      <c r="U191" t="s">
        <v>62</v>
      </c>
      <c r="V191" t="s">
        <v>57</v>
      </c>
      <c r="W191">
        <v>0</v>
      </c>
      <c r="X191">
        <v>0</v>
      </c>
      <c r="Y191">
        <v>1</v>
      </c>
      <c r="Z191">
        <v>1</v>
      </c>
      <c r="AA191">
        <v>0</v>
      </c>
      <c r="AB191">
        <v>1500</v>
      </c>
      <c r="AC191">
        <v>1418</v>
      </c>
      <c r="AD191">
        <v>1418</v>
      </c>
      <c r="AE191">
        <v>0</v>
      </c>
      <c r="AF191">
        <v>0</v>
      </c>
      <c r="AG191">
        <v>0</v>
      </c>
      <c r="AH191">
        <v>462</v>
      </c>
      <c r="AI191">
        <v>0</v>
      </c>
      <c r="AJ191">
        <v>0</v>
      </c>
      <c r="AK191">
        <v>64</v>
      </c>
      <c r="AL191">
        <v>9</v>
      </c>
      <c r="AM191">
        <v>0</v>
      </c>
      <c r="AN191">
        <v>0</v>
      </c>
      <c r="AO191" t="s">
        <v>58</v>
      </c>
      <c r="AP191">
        <v>1</v>
      </c>
      <c r="AQ191" t="s">
        <v>63</v>
      </c>
      <c r="AR191" t="s">
        <v>64</v>
      </c>
      <c r="AS191">
        <v>1</v>
      </c>
      <c r="AT191">
        <v>3</v>
      </c>
      <c r="AU191">
        <v>0</v>
      </c>
      <c r="AV191">
        <v>0</v>
      </c>
      <c r="AW191">
        <v>100</v>
      </c>
      <c r="AX191" s="1">
        <v>44587</v>
      </c>
      <c r="AY191">
        <v>23500</v>
      </c>
      <c r="AZ191">
        <v>250925</v>
      </c>
      <c r="BA191">
        <v>274400</v>
      </c>
      <c r="BB191">
        <v>390850</v>
      </c>
      <c r="BC191">
        <v>340</v>
      </c>
      <c r="BD191">
        <f>Grandview_Sales[[#This Row],[land_extract]]*Lookups!$B$3</f>
        <v>58313.530788066091</v>
      </c>
      <c r="BE191">
        <f>Lookups!$B$2</f>
        <v>155833.95000000001</v>
      </c>
      <c r="BF191">
        <f>VLOOKUP(Grandview_Sales[[#This Row],[quality]],Lookups!$H$2:$J$13,3,FALSE)</f>
        <v>9808</v>
      </c>
      <c r="BG191">
        <f>VLOOKUP(Grandview_Sales[[#This Row],[condition]],Lookups!$H$17:$J$24,3,FALSE)</f>
        <v>25780</v>
      </c>
      <c r="BH191">
        <f>Grandview_Sales[[#This Row],[Eff_Age]]*Lookups!$B$14</f>
        <v>-239.16659999999999</v>
      </c>
      <c r="BI191">
        <f>Grandview_Sales[[#This Row],[living_area]]*Lookups!$B$15</f>
        <v>88456.049553999997</v>
      </c>
      <c r="BJ191">
        <f>Grandview_Sales[[#This Row],[Fin BSMT]]*Lookups!$B$16</f>
        <v>0</v>
      </c>
      <c r="BK191">
        <f>Grandview_Sales[[#This Row],[garage_sqft]]*Lookups!$B$17</f>
        <v>40434.441894000003</v>
      </c>
      <c r="BL191">
        <f>Grandview_Sales[[#This Row],[Plumbing Fixtures]]*Lookups!$B$18</f>
        <v>18093.976200000001</v>
      </c>
      <c r="BM191">
        <f>Grandview_Sales[[#This Row],[detatched_value]]*Lookups!$B$19</f>
        <v>0</v>
      </c>
      <c r="BN191">
        <f>Grandview_Sales[[#This Row],[days_prior]]*Lookups!$B$20</f>
        <v>-40782.523999999998</v>
      </c>
      <c r="BO191">
        <f>SUM(Grandview_Sales[[#This Row],[land_value]:[Days Prior To Assessment_value]])</f>
        <v>355698.25783606607</v>
      </c>
      <c r="BP191">
        <f>Grandview_Sales[[#This Row],[predicted_total]]/Grandview_Sales[[#This Row],[sale_price]]</f>
        <v>0.91006334357443031</v>
      </c>
      <c r="BQ191">
        <f>VLOOKUP(Grandview_Sales[[#This Row],[quality]],Lookups!$A$26:$C$33,3,FALSE)</f>
        <v>0.94295468617355149</v>
      </c>
      <c r="BR191">
        <f>VLOOKUP(Grandview_Sales[[#This Row],[condition]],Lookups!$A$37:$C$44,3,FALSE)</f>
        <v>0.94347925387812148</v>
      </c>
      <c r="BS191">
        <f>VLOOKUP(Grandview_Sales[[#This Row],[decade]],Lookups!$F$29:$H$43,3,FALSE)</f>
        <v>0.9413635517371044</v>
      </c>
      <c r="BT191">
        <f>VLOOKUP(Grandview_Sales[[#This Row],[living_area_range]],Lookups!$F$47:$H$56,3,FALSE)</f>
        <v>0.96135087979789358</v>
      </c>
      <c r="BU191">
        <f>Grandview_Sales[[#This Row],[predicted_total]]*AVERAGE(Grandview_Sales[[#This Row],[qual_adj]:[size_adj]])</f>
        <v>336948.36861393636</v>
      </c>
      <c r="BV191">
        <f>Grandview_Sales[[#This Row],[final_total]]/Grandview_Sales[[#This Row],[sale_price]]</f>
        <v>0.86209125908644324</v>
      </c>
      <c r="BW191" s="6">
        <f>(Grandview_Sales[[#This Row],[final_total]]-Grandview_Sales[[#This Row],[sale_price]])^2</f>
        <v>2905385866.0790811</v>
      </c>
      <c r="BX191" s="6">
        <f>(Grandview_Sales[[#This Row],[final_total]]-AVERAGE(Grandview_Sales[sale_price]))^2</f>
        <v>899352025.17579007</v>
      </c>
      <c r="BY191" s="6">
        <f>Grandview_Sales[[#This Row],[SSE]]+Grandview_Sales[[#This Row],[SSR]]</f>
        <v>3804737891.2548714</v>
      </c>
      <c r="BZ191" s="4">
        <f>ABS(Grandview_Sales[[#This Row],[final_ratio]]-MEDIAN(Grandview_Sales[final_ratio]))</f>
        <v>0.1391574602693687</v>
      </c>
    </row>
    <row r="192" spans="1:78" x14ac:dyDescent="0.25">
      <c r="A192">
        <v>23092224449</v>
      </c>
      <c r="B192">
        <v>0.19</v>
      </c>
      <c r="C192">
        <v>8065</v>
      </c>
      <c r="D192">
        <v>0</v>
      </c>
      <c r="E192" t="s">
        <v>53</v>
      </c>
      <c r="F192" t="s">
        <v>53</v>
      </c>
      <c r="G192">
        <v>4</v>
      </c>
      <c r="H192" t="s">
        <v>54</v>
      </c>
      <c r="I192">
        <v>206100</v>
      </c>
      <c r="J192">
        <v>43300</v>
      </c>
      <c r="K192">
        <v>0.19</v>
      </c>
      <c r="L192">
        <v>-1.6607312068219999</v>
      </c>
      <c r="M192">
        <v>0</v>
      </c>
      <c r="N192">
        <v>0</v>
      </c>
      <c r="O192">
        <v>0</v>
      </c>
      <c r="P192">
        <v>13398.7528</v>
      </c>
      <c r="Q192">
        <v>63902.980100000001</v>
      </c>
      <c r="R192">
        <v>41651.253192550997</v>
      </c>
      <c r="S192" t="s">
        <v>58</v>
      </c>
      <c r="T192">
        <v>1</v>
      </c>
      <c r="U192" t="s">
        <v>64</v>
      </c>
      <c r="V192" t="s">
        <v>69</v>
      </c>
      <c r="W192">
        <v>0</v>
      </c>
      <c r="X192">
        <v>0</v>
      </c>
      <c r="Y192">
        <v>33</v>
      </c>
      <c r="Z192">
        <v>33</v>
      </c>
      <c r="AA192">
        <v>30</v>
      </c>
      <c r="AB192">
        <v>2000</v>
      </c>
      <c r="AC192">
        <v>1536</v>
      </c>
      <c r="AD192">
        <v>1536</v>
      </c>
      <c r="AE192">
        <v>0</v>
      </c>
      <c r="AF192">
        <v>0</v>
      </c>
      <c r="AG192">
        <v>0</v>
      </c>
      <c r="AH192">
        <v>500</v>
      </c>
      <c r="AI192">
        <v>0</v>
      </c>
      <c r="AJ192">
        <v>0</v>
      </c>
      <c r="AK192">
        <v>200</v>
      </c>
      <c r="AL192">
        <v>9</v>
      </c>
      <c r="AM192">
        <v>0</v>
      </c>
      <c r="AN192">
        <v>0</v>
      </c>
      <c r="AO192" t="s">
        <v>58</v>
      </c>
      <c r="AP192">
        <v>1</v>
      </c>
      <c r="AQ192" t="s">
        <v>63</v>
      </c>
      <c r="AR192" t="s">
        <v>60</v>
      </c>
      <c r="AS192">
        <v>0</v>
      </c>
      <c r="AT192">
        <v>3</v>
      </c>
      <c r="AU192">
        <v>0</v>
      </c>
      <c r="AV192">
        <v>0</v>
      </c>
      <c r="AW192">
        <v>100</v>
      </c>
      <c r="AX192" s="1">
        <v>44588</v>
      </c>
      <c r="AY192">
        <v>24800</v>
      </c>
      <c r="AZ192">
        <v>266402</v>
      </c>
      <c r="BA192">
        <v>291200</v>
      </c>
      <c r="BB192">
        <v>310000</v>
      </c>
      <c r="BC192">
        <v>339</v>
      </c>
      <c r="BD192">
        <f>Grandview_Sales[[#This Row],[land_extract]]*Lookups!$B$3</f>
        <v>48369.487874125851</v>
      </c>
      <c r="BE192">
        <f>Lookups!$B$2</f>
        <v>155833.95000000001</v>
      </c>
      <c r="BF192">
        <f>VLOOKUP(Grandview_Sales[[#This Row],[quality]],Lookups!$H$2:$J$13,3,FALSE)</f>
        <v>20768</v>
      </c>
      <c r="BG192">
        <f>VLOOKUP(Grandview_Sales[[#This Row],[condition]],Lookups!$H$17:$J$24,3,FALSE)</f>
        <v>-4503</v>
      </c>
      <c r="BH192">
        <f>Grandview_Sales[[#This Row],[Eff_Age]]*Lookups!$B$14</f>
        <v>-7892.4977999999992</v>
      </c>
      <c r="BI192">
        <f>Grandview_Sales[[#This Row],[living_area]]*Lookups!$B$15</f>
        <v>95816.990208000003</v>
      </c>
      <c r="BJ192">
        <f>Grandview_Sales[[#This Row],[Fin BSMT]]*Lookups!$B$16</f>
        <v>0</v>
      </c>
      <c r="BK192">
        <f>Grandview_Sales[[#This Row],[garage_sqft]]*Lookups!$B$17</f>
        <v>43760.218500000003</v>
      </c>
      <c r="BL192">
        <f>Grandview_Sales[[#This Row],[Plumbing Fixtures]]*Lookups!$B$18</f>
        <v>18093.976200000001</v>
      </c>
      <c r="BM192">
        <f>Grandview_Sales[[#This Row],[detatched_value]]*Lookups!$B$19</f>
        <v>0</v>
      </c>
      <c r="BN192">
        <f>Grandview_Sales[[#This Row],[days_prior]]*Lookups!$B$20</f>
        <v>-40662.575400000002</v>
      </c>
      <c r="BO192">
        <f>SUM(Grandview_Sales[[#This Row],[land_value]:[Days Prior To Assessment_value]])</f>
        <v>329584.54958212585</v>
      </c>
      <c r="BP192">
        <f>Grandview_Sales[[#This Row],[predicted_total]]/Grandview_Sales[[#This Row],[sale_price]]</f>
        <v>1.0631759663939544</v>
      </c>
      <c r="BQ192">
        <f>VLOOKUP(Grandview_Sales[[#This Row],[quality]],Lookups!$A$26:$C$33,3,FALSE)</f>
        <v>0.94960540378902636</v>
      </c>
      <c r="BR192">
        <f>VLOOKUP(Grandview_Sales[[#This Row],[condition]],Lookups!$A$37:$C$44,3,FALSE)</f>
        <v>0.96469275950863709</v>
      </c>
      <c r="BS192">
        <f>VLOOKUP(Grandview_Sales[[#This Row],[decade]],Lookups!$F$29:$H$43,3,FALSE)</f>
        <v>0.98397821291089549</v>
      </c>
      <c r="BT192">
        <f>VLOOKUP(Grandview_Sales[[#This Row],[living_area_range]],Lookups!$F$47:$H$56,3,FALSE)</f>
        <v>0.96120133463014379</v>
      </c>
      <c r="BU192">
        <f>Grandview_Sales[[#This Row],[predicted_total]]*AVERAGE(Grandview_Sales[[#This Row],[qual_adj]:[size_adj]])</f>
        <v>318006.055737257</v>
      </c>
      <c r="BV192">
        <f>Grandview_Sales[[#This Row],[final_total]]/Grandview_Sales[[#This Row],[sale_price]]</f>
        <v>1.0258259862492161</v>
      </c>
      <c r="BW192" s="6">
        <f>(Grandview_Sales[[#This Row],[final_total]]-Grandview_Sales[[#This Row],[sale_price]])^2</f>
        <v>64096928.468065783</v>
      </c>
      <c r="BX192" s="6">
        <f>(Grandview_Sales[[#This Row],[final_total]]-AVERAGE(Grandview_Sales[sale_price]))^2</f>
        <v>122033681.42343315</v>
      </c>
      <c r="BY192" s="6">
        <f>Grandview_Sales[[#This Row],[SSE]]+Grandview_Sales[[#This Row],[SSR]]</f>
        <v>186130609.89149892</v>
      </c>
      <c r="BZ192" s="4">
        <f>ABS(Grandview_Sales[[#This Row],[final_ratio]]-MEDIAN(Grandview_Sales[final_ratio]))</f>
        <v>2.4577266893404115E-2</v>
      </c>
    </row>
    <row r="193" spans="1:78" x14ac:dyDescent="0.25">
      <c r="A193">
        <v>23092332501</v>
      </c>
      <c r="B193">
        <v>0.23</v>
      </c>
      <c r="C193">
        <v>10115</v>
      </c>
      <c r="D193">
        <v>0</v>
      </c>
      <c r="E193" t="s">
        <v>53</v>
      </c>
      <c r="F193" t="s">
        <v>53</v>
      </c>
      <c r="G193">
        <v>4</v>
      </c>
      <c r="H193" t="s">
        <v>54</v>
      </c>
      <c r="I193">
        <v>272200</v>
      </c>
      <c r="J193">
        <v>39700</v>
      </c>
      <c r="K193">
        <v>0.23</v>
      </c>
      <c r="L193">
        <v>-1.4696759700590001</v>
      </c>
      <c r="M193">
        <v>0</v>
      </c>
      <c r="N193">
        <v>0</v>
      </c>
      <c r="O193">
        <v>0</v>
      </c>
      <c r="P193">
        <v>13398.7528</v>
      </c>
      <c r="Q193">
        <v>63902.980100000001</v>
      </c>
      <c r="R193">
        <v>44211.155081080004</v>
      </c>
      <c r="S193" t="s">
        <v>61</v>
      </c>
      <c r="T193">
        <v>1</v>
      </c>
      <c r="U193" t="s">
        <v>64</v>
      </c>
      <c r="V193" t="s">
        <v>69</v>
      </c>
      <c r="W193">
        <v>0</v>
      </c>
      <c r="X193">
        <v>0</v>
      </c>
      <c r="Y193">
        <v>45</v>
      </c>
      <c r="Z193">
        <v>51</v>
      </c>
      <c r="AA193">
        <v>50</v>
      </c>
      <c r="AB193">
        <v>2500</v>
      </c>
      <c r="AC193">
        <v>2480</v>
      </c>
      <c r="AD193">
        <v>1760</v>
      </c>
      <c r="AE193">
        <v>0</v>
      </c>
      <c r="AF193">
        <v>720</v>
      </c>
      <c r="AG193">
        <v>0</v>
      </c>
      <c r="AH193">
        <v>616</v>
      </c>
      <c r="AI193">
        <v>0</v>
      </c>
      <c r="AJ193">
        <v>176</v>
      </c>
      <c r="AK193">
        <v>0</v>
      </c>
      <c r="AL193">
        <v>10</v>
      </c>
      <c r="AM193">
        <v>0</v>
      </c>
      <c r="AN193">
        <v>1</v>
      </c>
      <c r="AO193" t="s">
        <v>58</v>
      </c>
      <c r="AP193">
        <v>1</v>
      </c>
      <c r="AQ193" t="s">
        <v>63</v>
      </c>
      <c r="AR193" t="s">
        <v>64</v>
      </c>
      <c r="AS193">
        <v>1</v>
      </c>
      <c r="AT193">
        <v>4</v>
      </c>
      <c r="AU193">
        <v>0</v>
      </c>
      <c r="AV193">
        <v>17800</v>
      </c>
      <c r="AW193">
        <v>100</v>
      </c>
      <c r="AX193" s="1">
        <v>44588</v>
      </c>
      <c r="AY193">
        <v>22700</v>
      </c>
      <c r="AZ193">
        <v>361308</v>
      </c>
      <c r="BA193">
        <v>384000</v>
      </c>
      <c r="BB193">
        <v>380000</v>
      </c>
      <c r="BC193">
        <v>339</v>
      </c>
      <c r="BD193">
        <f>Grandview_Sales[[#This Row],[land_extract]]*Lookups!$B$3</f>
        <v>51342.29502553949</v>
      </c>
      <c r="BE193">
        <f>Lookups!$B$2</f>
        <v>155833.95000000001</v>
      </c>
      <c r="BF193">
        <f>VLOOKUP(Grandview_Sales[[#This Row],[quality]],Lookups!$H$2:$J$13,3,FALSE)</f>
        <v>20768</v>
      </c>
      <c r="BG193">
        <f>VLOOKUP(Grandview_Sales[[#This Row],[condition]],Lookups!$H$17:$J$24,3,FALSE)</f>
        <v>-4503</v>
      </c>
      <c r="BH193">
        <f>Grandview_Sales[[#This Row],[Eff_Age]]*Lookups!$B$14</f>
        <v>-10762.496999999999</v>
      </c>
      <c r="BI193">
        <f>Grandview_Sales[[#This Row],[living_area]]*Lookups!$B$15</f>
        <v>154704.51544000002</v>
      </c>
      <c r="BJ193">
        <f>Grandview_Sales[[#This Row],[Fin BSMT]]*Lookups!$B$16</f>
        <v>-19511.452800000003</v>
      </c>
      <c r="BK193">
        <f>Grandview_Sales[[#This Row],[garage_sqft]]*Lookups!$B$17</f>
        <v>53912.589191999999</v>
      </c>
      <c r="BL193">
        <f>Grandview_Sales[[#This Row],[Plumbing Fixtures]]*Lookups!$B$18</f>
        <v>20104.418000000001</v>
      </c>
      <c r="BM193">
        <f>Grandview_Sales[[#This Row],[detatched_value]]*Lookups!$B$19</f>
        <v>15073.13078</v>
      </c>
      <c r="BN193">
        <f>Grandview_Sales[[#This Row],[days_prior]]*Lookups!$B$20</f>
        <v>-40662.575400000002</v>
      </c>
      <c r="BO193">
        <f>SUM(Grandview_Sales[[#This Row],[land_value]:[Days Prior To Assessment_value]])</f>
        <v>396299.37323753955</v>
      </c>
      <c r="BP193">
        <f>Grandview_Sales[[#This Row],[predicted_total]]/Grandview_Sales[[#This Row],[sale_price]]</f>
        <v>1.0428930874672093</v>
      </c>
      <c r="BQ193">
        <f>VLOOKUP(Grandview_Sales[[#This Row],[quality]],Lookups!$A$26:$C$33,3,FALSE)</f>
        <v>0.94960540378902636</v>
      </c>
      <c r="BR193">
        <f>VLOOKUP(Grandview_Sales[[#This Row],[condition]],Lookups!$A$37:$C$44,3,FALSE)</f>
        <v>0.96469275950863709</v>
      </c>
      <c r="BS193">
        <f>VLOOKUP(Grandview_Sales[[#This Row],[decade]],Lookups!$F$29:$H$43,3,FALSE)</f>
        <v>0.9871940091910919</v>
      </c>
      <c r="BT193">
        <f>VLOOKUP(Grandview_Sales[[#This Row],[living_area_range]],Lookups!$F$47:$H$56,3,FALSE)</f>
        <v>0.95799442568048754</v>
      </c>
      <c r="BU193">
        <f>Grandview_Sales[[#This Row],[predicted_total]]*AVERAGE(Grandview_Sales[[#This Row],[qual_adj]:[size_adj]])</f>
        <v>382378.02996828867</v>
      </c>
      <c r="BV193">
        <f>Grandview_Sales[[#This Row],[final_total]]/Grandview_Sales[[#This Row],[sale_price]]</f>
        <v>1.0062579736007597</v>
      </c>
      <c r="BW193" s="6">
        <f>(Grandview_Sales[[#This Row],[final_total]]-Grandview_Sales[[#This Row],[sale_price]])^2</f>
        <v>5655026.5300790071</v>
      </c>
      <c r="BX193" s="6">
        <f>(Grandview_Sales[[#This Row],[final_total]]-AVERAGE(Grandview_Sales[sale_price]))^2</f>
        <v>5688004417.9666538</v>
      </c>
      <c r="BY193" s="6">
        <f>Grandview_Sales[[#This Row],[SSE]]+Grandview_Sales[[#This Row],[SSR]]</f>
        <v>5693659444.4967327</v>
      </c>
      <c r="BZ193" s="4">
        <f>ABS(Grandview_Sales[[#This Row],[final_ratio]]-MEDIAN(Grandview_Sales[final_ratio]))</f>
        <v>5.0092542449478028E-3</v>
      </c>
    </row>
    <row r="194" spans="1:78" x14ac:dyDescent="0.25">
      <c r="A194">
        <v>23092333402</v>
      </c>
      <c r="B194">
        <v>0.33</v>
      </c>
      <c r="C194">
        <v>14309</v>
      </c>
      <c r="D194">
        <v>0</v>
      </c>
      <c r="E194" t="s">
        <v>53</v>
      </c>
      <c r="F194" t="s">
        <v>53</v>
      </c>
      <c r="G194">
        <v>4</v>
      </c>
      <c r="H194" t="s">
        <v>54</v>
      </c>
      <c r="I194">
        <v>183300</v>
      </c>
      <c r="J194">
        <v>41200</v>
      </c>
      <c r="K194">
        <v>0.33</v>
      </c>
      <c r="L194">
        <v>-1.1086626245219999</v>
      </c>
      <c r="M194">
        <v>0</v>
      </c>
      <c r="N194">
        <v>0</v>
      </c>
      <c r="O194">
        <v>0</v>
      </c>
      <c r="P194">
        <v>13398.7528</v>
      </c>
      <c r="Q194">
        <v>63902.980100000001</v>
      </c>
      <c r="R194">
        <v>49048.283655435996</v>
      </c>
      <c r="S194" t="s">
        <v>61</v>
      </c>
      <c r="T194">
        <v>1</v>
      </c>
      <c r="U194" t="s">
        <v>70</v>
      </c>
      <c r="V194" t="s">
        <v>67</v>
      </c>
      <c r="W194">
        <v>0</v>
      </c>
      <c r="X194">
        <v>0</v>
      </c>
      <c r="Y194">
        <v>46</v>
      </c>
      <c r="Z194">
        <v>54</v>
      </c>
      <c r="AA194">
        <v>50</v>
      </c>
      <c r="AB194">
        <v>1500</v>
      </c>
      <c r="AC194">
        <v>1136</v>
      </c>
      <c r="AD194">
        <v>1136</v>
      </c>
      <c r="AE194">
        <v>0</v>
      </c>
      <c r="AF194">
        <v>0</v>
      </c>
      <c r="AG194">
        <v>0</v>
      </c>
      <c r="AH194">
        <v>0</v>
      </c>
      <c r="AI194">
        <v>288</v>
      </c>
      <c r="AJ194">
        <v>0</v>
      </c>
      <c r="AK194">
        <v>260</v>
      </c>
      <c r="AL194">
        <v>7</v>
      </c>
      <c r="AM194">
        <v>0</v>
      </c>
      <c r="AN194">
        <v>0</v>
      </c>
      <c r="AO194" t="s">
        <v>58</v>
      </c>
      <c r="AP194">
        <v>1</v>
      </c>
      <c r="AQ194" t="s">
        <v>75</v>
      </c>
      <c r="AR194" t="s">
        <v>60</v>
      </c>
      <c r="AS194">
        <v>0</v>
      </c>
      <c r="AT194">
        <v>3</v>
      </c>
      <c r="AU194">
        <v>0</v>
      </c>
      <c r="AV194">
        <v>0</v>
      </c>
      <c r="AW194">
        <v>100</v>
      </c>
      <c r="AX194" s="1">
        <v>44593</v>
      </c>
      <c r="AY194">
        <v>23600</v>
      </c>
      <c r="AZ194">
        <v>128138</v>
      </c>
      <c r="BA194">
        <v>151700</v>
      </c>
      <c r="BB194">
        <v>290000</v>
      </c>
      <c r="BC194">
        <v>334</v>
      </c>
      <c r="BD194">
        <f>Grandview_Sales[[#This Row],[land_extract]]*Lookups!$B$3</f>
        <v>56959.639378691951</v>
      </c>
      <c r="BE194">
        <f>Lookups!$B$2</f>
        <v>155833.95000000001</v>
      </c>
      <c r="BF194">
        <f>VLOOKUP(Grandview_Sales[[#This Row],[quality]],Lookups!$H$2:$J$13,3,FALSE)</f>
        <v>10733</v>
      </c>
      <c r="BG194">
        <f>VLOOKUP(Grandview_Sales[[#This Row],[condition]],Lookups!$H$17:$J$24,3,FALSE)</f>
        <v>22342</v>
      </c>
      <c r="BH194">
        <f>Grandview_Sales[[#This Row],[Eff_Age]]*Lookups!$B$14</f>
        <v>-11001.6636</v>
      </c>
      <c r="BI194">
        <f>Grandview_Sales[[#This Row],[living_area]]*Lookups!$B$15</f>
        <v>70864.649008000008</v>
      </c>
      <c r="BJ194">
        <f>Grandview_Sales[[#This Row],[Fin BSMT]]*Lookups!$B$16</f>
        <v>0</v>
      </c>
      <c r="BK194">
        <f>Grandview_Sales[[#This Row],[garage_sqft]]*Lookups!$B$17</f>
        <v>0</v>
      </c>
      <c r="BL194">
        <f>Grandview_Sales[[#This Row],[Plumbing Fixtures]]*Lookups!$B$18</f>
        <v>14073.0926</v>
      </c>
      <c r="BM194">
        <f>Grandview_Sales[[#This Row],[detatched_value]]*Lookups!$B$19</f>
        <v>0</v>
      </c>
      <c r="BN194">
        <f>Grandview_Sales[[#This Row],[days_prior]]*Lookups!$B$20</f>
        <v>-40062.832399999999</v>
      </c>
      <c r="BO194">
        <f>SUM(Grandview_Sales[[#This Row],[land_value]:[Days Prior To Assessment_value]])</f>
        <v>279741.83498669195</v>
      </c>
      <c r="BP194">
        <f>Grandview_Sales[[#This Row],[predicted_total]]/Grandview_Sales[[#This Row],[sale_price]]</f>
        <v>0.96462701719548949</v>
      </c>
      <c r="BQ194">
        <f>VLOOKUP(Grandview_Sales[[#This Row],[quality]],Lookups!$A$26:$C$33,3,FALSE)</f>
        <v>0.98079741117310582</v>
      </c>
      <c r="BR194">
        <f>VLOOKUP(Grandview_Sales[[#This Row],[condition]],Lookups!$A$37:$C$44,3,FALSE)</f>
        <v>0.97383723671140243</v>
      </c>
      <c r="BS194">
        <f>VLOOKUP(Grandview_Sales[[#This Row],[decade]],Lookups!$F$29:$H$43,3,FALSE)</f>
        <v>0.9871940091910919</v>
      </c>
      <c r="BT194">
        <f>VLOOKUP(Grandview_Sales[[#This Row],[living_area_range]],Lookups!$F$47:$H$56,3,FALSE)</f>
        <v>0.96135087979789358</v>
      </c>
      <c r="BU194">
        <f>Grandview_Sales[[#This Row],[predicted_total]]*AVERAGE(Grandview_Sales[[#This Row],[qual_adj]:[size_adj]])</f>
        <v>272970.6514818744</v>
      </c>
      <c r="BV194">
        <f>Grandview_Sales[[#This Row],[final_total]]/Grandview_Sales[[#This Row],[sale_price]]</f>
        <v>0.94127810855818761</v>
      </c>
      <c r="BW194" s="6">
        <f>(Grandview_Sales[[#This Row],[final_total]]-Grandview_Sales[[#This Row],[sale_price]])^2</f>
        <v>289998710.95178646</v>
      </c>
      <c r="BX194" s="6">
        <f>(Grandview_Sales[[#This Row],[final_total]]-AVERAGE(Grandview_Sales[sale_price]))^2</f>
        <v>1155219400.4982209</v>
      </c>
      <c r="BY194" s="6">
        <f>Grandview_Sales[[#This Row],[SSE]]+Grandview_Sales[[#This Row],[SSR]]</f>
        <v>1445218111.4500074</v>
      </c>
      <c r="BZ194" s="4">
        <f>ABS(Grandview_Sales[[#This Row],[final_ratio]]-MEDIAN(Grandview_Sales[final_ratio]))</f>
        <v>5.9970610797624335E-2</v>
      </c>
    </row>
    <row r="195" spans="1:78" x14ac:dyDescent="0.25">
      <c r="A195">
        <v>23092621454</v>
      </c>
      <c r="B195">
        <v>0</v>
      </c>
      <c r="C195">
        <v>8030</v>
      </c>
      <c r="D195">
        <v>0</v>
      </c>
      <c r="E195" t="s">
        <v>53</v>
      </c>
      <c r="F195" t="s">
        <v>53</v>
      </c>
      <c r="G195">
        <v>4</v>
      </c>
      <c r="H195" t="s">
        <v>54</v>
      </c>
      <c r="I195">
        <v>254400</v>
      </c>
      <c r="J195">
        <v>39000</v>
      </c>
      <c r="K195">
        <v>0.18</v>
      </c>
      <c r="L195">
        <v>-1.7147984280919999</v>
      </c>
      <c r="M195">
        <v>0</v>
      </c>
      <c r="N195">
        <v>0</v>
      </c>
      <c r="O195">
        <v>0</v>
      </c>
      <c r="P195">
        <v>13398.7528</v>
      </c>
      <c r="Q195">
        <v>63902.980100000001</v>
      </c>
      <c r="R195">
        <v>40926.819860167998</v>
      </c>
      <c r="S195" t="s">
        <v>55</v>
      </c>
      <c r="T195">
        <v>1</v>
      </c>
      <c r="U195" t="s">
        <v>62</v>
      </c>
      <c r="V195" t="s">
        <v>57</v>
      </c>
      <c r="W195">
        <v>0</v>
      </c>
      <c r="X195">
        <v>0</v>
      </c>
      <c r="Y195">
        <v>2</v>
      </c>
      <c r="Z195">
        <v>2</v>
      </c>
      <c r="AA195">
        <v>0</v>
      </c>
      <c r="AB195">
        <v>1500</v>
      </c>
      <c r="AC195">
        <v>1390</v>
      </c>
      <c r="AD195">
        <v>1390</v>
      </c>
      <c r="AE195">
        <v>0</v>
      </c>
      <c r="AF195">
        <v>0</v>
      </c>
      <c r="AG195">
        <v>0</v>
      </c>
      <c r="AH195">
        <v>400</v>
      </c>
      <c r="AI195">
        <v>0</v>
      </c>
      <c r="AJ195">
        <v>0</v>
      </c>
      <c r="AK195">
        <v>144</v>
      </c>
      <c r="AL195">
        <v>9</v>
      </c>
      <c r="AM195">
        <v>0</v>
      </c>
      <c r="AN195">
        <v>0</v>
      </c>
      <c r="AO195" t="s">
        <v>58</v>
      </c>
      <c r="AP195">
        <v>1</v>
      </c>
      <c r="AQ195" t="s">
        <v>63</v>
      </c>
      <c r="AR195" t="s">
        <v>64</v>
      </c>
      <c r="AS195">
        <v>1</v>
      </c>
      <c r="AT195">
        <v>3</v>
      </c>
      <c r="AU195">
        <v>0</v>
      </c>
      <c r="AV195">
        <v>0</v>
      </c>
      <c r="AW195">
        <v>100</v>
      </c>
      <c r="AX195" s="1">
        <v>44595</v>
      </c>
      <c r="AY195">
        <v>22300</v>
      </c>
      <c r="AZ195">
        <v>248205</v>
      </c>
      <c r="BA195">
        <v>270500</v>
      </c>
      <c r="BB195">
        <v>302942</v>
      </c>
      <c r="BC195">
        <v>332</v>
      </c>
      <c r="BD195">
        <f>Grandview_Sales[[#This Row],[land_extract]]*Lookups!$B$3</f>
        <v>47528.20540119947</v>
      </c>
      <c r="BE195">
        <f>Lookups!$B$2</f>
        <v>155833.95000000001</v>
      </c>
      <c r="BF195">
        <f>VLOOKUP(Grandview_Sales[[#This Row],[quality]],Lookups!$H$2:$J$13,3,FALSE)</f>
        <v>9808</v>
      </c>
      <c r="BG195">
        <f>VLOOKUP(Grandview_Sales[[#This Row],[condition]],Lookups!$H$17:$J$24,3,FALSE)</f>
        <v>25780</v>
      </c>
      <c r="BH195">
        <f>Grandview_Sales[[#This Row],[Eff_Age]]*Lookups!$B$14</f>
        <v>-478.33319999999998</v>
      </c>
      <c r="BI195">
        <f>Grandview_Sales[[#This Row],[living_area]]*Lookups!$B$15</f>
        <v>86709.385670000003</v>
      </c>
      <c r="BJ195">
        <f>Grandview_Sales[[#This Row],[Fin BSMT]]*Lookups!$B$16</f>
        <v>0</v>
      </c>
      <c r="BK195">
        <f>Grandview_Sales[[#This Row],[garage_sqft]]*Lookups!$B$17</f>
        <v>35008.174800000001</v>
      </c>
      <c r="BL195">
        <f>Grandview_Sales[[#This Row],[Plumbing Fixtures]]*Lookups!$B$18</f>
        <v>18093.976200000001</v>
      </c>
      <c r="BM195">
        <f>Grandview_Sales[[#This Row],[detatched_value]]*Lookups!$B$19</f>
        <v>0</v>
      </c>
      <c r="BN195">
        <f>Grandview_Sales[[#This Row],[days_prior]]*Lookups!$B$20</f>
        <v>-39822.9352</v>
      </c>
      <c r="BO195">
        <f>SUM(Grandview_Sales[[#This Row],[land_value]:[Days Prior To Assessment_value]])</f>
        <v>338460.42367119942</v>
      </c>
      <c r="BP195">
        <f>Grandview_Sales[[#This Row],[predicted_total]]/Grandview_Sales[[#This Row],[sale_price]]</f>
        <v>1.117244963297263</v>
      </c>
      <c r="BQ195">
        <f>VLOOKUP(Grandview_Sales[[#This Row],[quality]],Lookups!$A$26:$C$33,3,FALSE)</f>
        <v>0.94295468617355149</v>
      </c>
      <c r="BR195">
        <f>VLOOKUP(Grandview_Sales[[#This Row],[condition]],Lookups!$A$37:$C$44,3,FALSE)</f>
        <v>0.94347925387812148</v>
      </c>
      <c r="BS195">
        <f>VLOOKUP(Grandview_Sales[[#This Row],[decade]],Lookups!$F$29:$H$43,3,FALSE)</f>
        <v>0.9413635517371044</v>
      </c>
      <c r="BT195">
        <f>VLOOKUP(Grandview_Sales[[#This Row],[living_area_range]],Lookups!$F$47:$H$56,3,FALSE)</f>
        <v>0.96135087979789358</v>
      </c>
      <c r="BU195">
        <f>Grandview_Sales[[#This Row],[predicted_total]]*AVERAGE(Grandview_Sales[[#This Row],[qual_adj]:[size_adj]])</f>
        <v>320619.190800065</v>
      </c>
      <c r="BV195">
        <f>Grandview_Sales[[#This Row],[final_total]]/Grandview_Sales[[#This Row],[sale_price]]</f>
        <v>1.0583517333353085</v>
      </c>
      <c r="BW195" s="6">
        <f>(Grandview_Sales[[#This Row],[final_total]]-Grandview_Sales[[#This Row],[sale_price]])^2</f>
        <v>312483074.58190268</v>
      </c>
      <c r="BX195" s="6">
        <f>(Grandview_Sales[[#This Row],[final_total]]-AVERAGE(Grandview_Sales[sale_price]))^2</f>
        <v>186596164.46375859</v>
      </c>
      <c r="BY195" s="6">
        <f>Grandview_Sales[[#This Row],[SSE]]+Grandview_Sales[[#This Row],[SSR]]</f>
        <v>499079239.04566127</v>
      </c>
      <c r="BZ195" s="4">
        <f>ABS(Grandview_Sales[[#This Row],[final_ratio]]-MEDIAN(Grandview_Sales[final_ratio]))</f>
        <v>5.7103013979496575E-2</v>
      </c>
    </row>
    <row r="196" spans="1:78" x14ac:dyDescent="0.25">
      <c r="A196">
        <v>23091434424</v>
      </c>
      <c r="B196">
        <v>0.25</v>
      </c>
      <c r="C196">
        <v>0</v>
      </c>
      <c r="D196">
        <v>0</v>
      </c>
      <c r="E196" t="s">
        <v>53</v>
      </c>
      <c r="F196" t="s">
        <v>53</v>
      </c>
      <c r="G196">
        <v>4</v>
      </c>
      <c r="H196" t="s">
        <v>54</v>
      </c>
      <c r="I196">
        <v>221200</v>
      </c>
      <c r="J196">
        <v>41600</v>
      </c>
      <c r="K196">
        <v>0.25</v>
      </c>
      <c r="L196">
        <v>-1.38629436112</v>
      </c>
      <c r="M196">
        <v>0</v>
      </c>
      <c r="N196">
        <v>0</v>
      </c>
      <c r="O196">
        <v>0</v>
      </c>
      <c r="P196">
        <v>13398.7528</v>
      </c>
      <c r="Q196">
        <v>63902.980100000001</v>
      </c>
      <c r="R196">
        <v>45328.364647321003</v>
      </c>
      <c r="S196" t="s">
        <v>68</v>
      </c>
      <c r="T196">
        <v>1</v>
      </c>
      <c r="U196" t="s">
        <v>65</v>
      </c>
      <c r="V196" t="s">
        <v>57</v>
      </c>
      <c r="W196">
        <v>0</v>
      </c>
      <c r="X196">
        <v>0</v>
      </c>
      <c r="Y196">
        <v>14</v>
      </c>
      <c r="Z196">
        <v>88</v>
      </c>
      <c r="AA196">
        <v>90</v>
      </c>
      <c r="AB196">
        <v>1500</v>
      </c>
      <c r="AC196">
        <v>1500</v>
      </c>
      <c r="AD196">
        <v>1500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8</v>
      </c>
      <c r="AM196">
        <v>0</v>
      </c>
      <c r="AN196">
        <v>1</v>
      </c>
      <c r="AO196" t="s">
        <v>58</v>
      </c>
      <c r="AP196">
        <v>1</v>
      </c>
      <c r="AQ196" t="s">
        <v>59</v>
      </c>
      <c r="AR196" t="s">
        <v>60</v>
      </c>
      <c r="AS196">
        <v>1</v>
      </c>
      <c r="AT196">
        <v>3</v>
      </c>
      <c r="AU196">
        <v>0</v>
      </c>
      <c r="AV196">
        <v>0</v>
      </c>
      <c r="AW196">
        <v>100</v>
      </c>
      <c r="AX196" s="1">
        <v>44596</v>
      </c>
      <c r="AY196">
        <v>23800</v>
      </c>
      <c r="AZ196">
        <v>206848</v>
      </c>
      <c r="BA196">
        <v>230600</v>
      </c>
      <c r="BB196">
        <v>340000</v>
      </c>
      <c r="BC196">
        <v>331</v>
      </c>
      <c r="BD196">
        <f>Grandview_Sales[[#This Row],[land_extract]]*Lookups!$B$3</f>
        <v>52639.70747834933</v>
      </c>
      <c r="BE196">
        <f>Lookups!$B$2</f>
        <v>155833.95000000001</v>
      </c>
      <c r="BF196">
        <f>VLOOKUP(Grandview_Sales[[#This Row],[quality]],Lookups!$H$2:$J$13,3,FALSE)</f>
        <v>2251</v>
      </c>
      <c r="BG196">
        <f>VLOOKUP(Grandview_Sales[[#This Row],[condition]],Lookups!$H$17:$J$24,3,FALSE)</f>
        <v>25780</v>
      </c>
      <c r="BH196">
        <f>Grandview_Sales[[#This Row],[Eff_Age]]*Lookups!$B$14</f>
        <v>-3348.3323999999998</v>
      </c>
      <c r="BI196">
        <f>Grandview_Sales[[#This Row],[living_area]]*Lookups!$B$15</f>
        <v>93571.279500000004</v>
      </c>
      <c r="BJ196">
        <f>Grandview_Sales[[#This Row],[Fin BSMT]]*Lookups!$B$16</f>
        <v>0</v>
      </c>
      <c r="BK196">
        <f>Grandview_Sales[[#This Row],[garage_sqft]]*Lookups!$B$17</f>
        <v>0</v>
      </c>
      <c r="BL196">
        <f>Grandview_Sales[[#This Row],[Plumbing Fixtures]]*Lookups!$B$18</f>
        <v>16083.5344</v>
      </c>
      <c r="BM196">
        <f>Grandview_Sales[[#This Row],[detatched_value]]*Lookups!$B$19</f>
        <v>0</v>
      </c>
      <c r="BN196">
        <f>Grandview_Sales[[#This Row],[days_prior]]*Lookups!$B$20</f>
        <v>-39702.986599999997</v>
      </c>
      <c r="BO196">
        <f>SUM(Grandview_Sales[[#This Row],[land_value]:[Days Prior To Assessment_value]])</f>
        <v>303108.15237834933</v>
      </c>
      <c r="BP196">
        <f>Grandview_Sales[[#This Row],[predicted_total]]/Grandview_Sales[[#This Row],[sale_price]]</f>
        <v>0.89149456581867448</v>
      </c>
      <c r="BQ196">
        <f>VLOOKUP(Grandview_Sales[[#This Row],[quality]],Lookups!$A$26:$C$33,3,FALSE)</f>
        <v>0.98763855981004833</v>
      </c>
      <c r="BR196">
        <f>VLOOKUP(Grandview_Sales[[#This Row],[condition]],Lookups!$A$37:$C$44,3,FALSE)</f>
        <v>0.94347925387812148</v>
      </c>
      <c r="BS196">
        <f>VLOOKUP(Grandview_Sales[[#This Row],[decade]],Lookups!$F$29:$H$43,3,FALSE)</f>
        <v>0.94161750052457416</v>
      </c>
      <c r="BT196">
        <f>VLOOKUP(Grandview_Sales[[#This Row],[living_area_range]],Lookups!$F$47:$H$56,3,FALSE)</f>
        <v>0.96135087979789358</v>
      </c>
      <c r="BU196">
        <f>Grandview_Sales[[#This Row],[predicted_total]]*AVERAGE(Grandview_Sales[[#This Row],[qual_adj]:[size_adj]])</f>
        <v>290535.69558147545</v>
      </c>
      <c r="BV196">
        <f>Grandview_Sales[[#This Row],[final_total]]/Grandview_Sales[[#This Row],[sale_price]]</f>
        <v>0.8545167517102219</v>
      </c>
      <c r="BW196" s="6">
        <f>(Grandview_Sales[[#This Row],[final_total]]-Grandview_Sales[[#This Row],[sale_price]])^2</f>
        <v>2446717411.6084676</v>
      </c>
      <c r="BX196" s="6">
        <f>(Grandview_Sales[[#This Row],[final_total]]-AVERAGE(Grandview_Sales[sale_price]))^2</f>
        <v>269730516.53800619</v>
      </c>
      <c r="BY196" s="6">
        <f>Grandview_Sales[[#This Row],[SSE]]+Grandview_Sales[[#This Row],[SSR]]</f>
        <v>2716447928.1464739</v>
      </c>
      <c r="BZ196" s="4">
        <f>ABS(Grandview_Sales[[#This Row],[final_ratio]]-MEDIAN(Grandview_Sales[final_ratio]))</f>
        <v>0.14673196764559004</v>
      </c>
    </row>
    <row r="197" spans="1:78" x14ac:dyDescent="0.25">
      <c r="A197">
        <v>23092621453</v>
      </c>
      <c r="B197">
        <v>0</v>
      </c>
      <c r="C197">
        <v>8030</v>
      </c>
      <c r="D197">
        <v>0</v>
      </c>
      <c r="E197" t="s">
        <v>53</v>
      </c>
      <c r="F197" t="s">
        <v>53</v>
      </c>
      <c r="G197">
        <v>4</v>
      </c>
      <c r="H197" t="s">
        <v>54</v>
      </c>
      <c r="I197">
        <v>314600</v>
      </c>
      <c r="J197">
        <v>39000</v>
      </c>
      <c r="K197">
        <v>0.18</v>
      </c>
      <c r="L197">
        <v>-1.7147984280919999</v>
      </c>
      <c r="M197">
        <v>0</v>
      </c>
      <c r="N197">
        <v>0</v>
      </c>
      <c r="O197">
        <v>0</v>
      </c>
      <c r="P197">
        <v>13398.7528</v>
      </c>
      <c r="Q197">
        <v>63902.980100000001</v>
      </c>
      <c r="R197">
        <v>40926.819860167998</v>
      </c>
      <c r="S197" t="s">
        <v>55</v>
      </c>
      <c r="T197">
        <v>2</v>
      </c>
      <c r="U197" t="s">
        <v>64</v>
      </c>
      <c r="V197" t="s">
        <v>57</v>
      </c>
      <c r="W197">
        <v>0</v>
      </c>
      <c r="X197">
        <v>0</v>
      </c>
      <c r="Y197">
        <v>2</v>
      </c>
      <c r="Z197">
        <v>2</v>
      </c>
      <c r="AA197">
        <v>0</v>
      </c>
      <c r="AB197">
        <v>2500</v>
      </c>
      <c r="AC197">
        <v>2148</v>
      </c>
      <c r="AD197">
        <v>896</v>
      </c>
      <c r="AE197">
        <v>1252</v>
      </c>
      <c r="AF197">
        <v>0</v>
      </c>
      <c r="AG197">
        <v>0</v>
      </c>
      <c r="AH197">
        <v>660</v>
      </c>
      <c r="AI197">
        <v>0</v>
      </c>
      <c r="AJ197">
        <v>0</v>
      </c>
      <c r="AK197">
        <v>0</v>
      </c>
      <c r="AL197">
        <v>11</v>
      </c>
      <c r="AM197">
        <v>0</v>
      </c>
      <c r="AN197">
        <v>0</v>
      </c>
      <c r="AO197" t="s">
        <v>58</v>
      </c>
      <c r="AP197">
        <v>1</v>
      </c>
      <c r="AQ197" t="s">
        <v>63</v>
      </c>
      <c r="AR197" t="s">
        <v>64</v>
      </c>
      <c r="AS197">
        <v>1</v>
      </c>
      <c r="AT197">
        <v>3</v>
      </c>
      <c r="AU197">
        <v>0</v>
      </c>
      <c r="AV197">
        <v>0</v>
      </c>
      <c r="AW197">
        <v>100</v>
      </c>
      <c r="AX197" s="1">
        <v>44601</v>
      </c>
      <c r="AY197">
        <v>22300</v>
      </c>
      <c r="AZ197">
        <v>387067</v>
      </c>
      <c r="BA197">
        <v>409400</v>
      </c>
      <c r="BB197">
        <v>386374</v>
      </c>
      <c r="BC197">
        <v>326</v>
      </c>
      <c r="BD197">
        <f>Grandview_Sales[[#This Row],[land_extract]]*Lookups!$B$3</f>
        <v>47528.20540119947</v>
      </c>
      <c r="BE197">
        <f>Lookups!$B$2</f>
        <v>155833.95000000001</v>
      </c>
      <c r="BF197">
        <f>VLOOKUP(Grandview_Sales[[#This Row],[quality]],Lookups!$H$2:$J$13,3,FALSE)</f>
        <v>20768</v>
      </c>
      <c r="BG197">
        <f>VLOOKUP(Grandview_Sales[[#This Row],[condition]],Lookups!$H$17:$J$24,3,FALSE)</f>
        <v>25780</v>
      </c>
      <c r="BH197">
        <f>Grandview_Sales[[#This Row],[Eff_Age]]*Lookups!$B$14</f>
        <v>-478.33319999999998</v>
      </c>
      <c r="BI197">
        <f>Grandview_Sales[[#This Row],[living_area]]*Lookups!$B$15</f>
        <v>133994.07224400001</v>
      </c>
      <c r="BJ197">
        <f>Grandview_Sales[[#This Row],[Fin BSMT]]*Lookups!$B$16</f>
        <v>0</v>
      </c>
      <c r="BK197">
        <f>Grandview_Sales[[#This Row],[garage_sqft]]*Lookups!$B$17</f>
        <v>57763.488420000001</v>
      </c>
      <c r="BL197">
        <f>Grandview_Sales[[#This Row],[Plumbing Fixtures]]*Lookups!$B$18</f>
        <v>22114.859800000002</v>
      </c>
      <c r="BM197">
        <f>Grandview_Sales[[#This Row],[detatched_value]]*Lookups!$B$19</f>
        <v>0</v>
      </c>
      <c r="BN197">
        <f>Grandview_Sales[[#This Row],[days_prior]]*Lookups!$B$20</f>
        <v>-39103.243600000002</v>
      </c>
      <c r="BO197">
        <f>SUM(Grandview_Sales[[#This Row],[land_value]:[Days Prior To Assessment_value]])</f>
        <v>424200.99906519952</v>
      </c>
      <c r="BP197">
        <f>Grandview_Sales[[#This Row],[predicted_total]]/Grandview_Sales[[#This Row],[sale_price]]</f>
        <v>1.0979025479592299</v>
      </c>
      <c r="BQ197">
        <f>VLOOKUP(Grandview_Sales[[#This Row],[quality]],Lookups!$A$26:$C$33,3,FALSE)</f>
        <v>0.94960540378902636</v>
      </c>
      <c r="BR197">
        <f>VLOOKUP(Grandview_Sales[[#This Row],[condition]],Lookups!$A$37:$C$44,3,FALSE)</f>
        <v>0.94347925387812148</v>
      </c>
      <c r="BS197">
        <f>VLOOKUP(Grandview_Sales[[#This Row],[decade]],Lookups!$F$29:$H$43,3,FALSE)</f>
        <v>0.9413635517371044</v>
      </c>
      <c r="BT197">
        <f>VLOOKUP(Grandview_Sales[[#This Row],[living_area_range]],Lookups!$F$47:$H$56,3,FALSE)</f>
        <v>0.95799442568048754</v>
      </c>
      <c r="BU197">
        <f>Grandview_Sales[[#This Row],[predicted_total]]*AVERAGE(Grandview_Sales[[#This Row],[qual_adj]:[size_adj]])</f>
        <v>402189.48867510114</v>
      </c>
      <c r="BV197">
        <f>Grandview_Sales[[#This Row],[final_total]]/Grandview_Sales[[#This Row],[sale_price]]</f>
        <v>1.040933108012188</v>
      </c>
      <c r="BW197" s="6">
        <f>(Grandview_Sales[[#This Row],[final_total]]-Grandview_Sales[[#This Row],[sale_price]])^2</f>
        <v>250129682.03225228</v>
      </c>
      <c r="BX197" s="6">
        <f>(Grandview_Sales[[#This Row],[final_total]]-AVERAGE(Grandview_Sales[sale_price]))^2</f>
        <v>9068813568.5084534</v>
      </c>
      <c r="BY197" s="6">
        <f>Grandview_Sales[[#This Row],[SSE]]+Grandview_Sales[[#This Row],[SSR]]</f>
        <v>9318943250.5407047</v>
      </c>
      <c r="BZ197" s="4">
        <f>ABS(Grandview_Sales[[#This Row],[final_ratio]]-MEDIAN(Grandview_Sales[final_ratio]))</f>
        <v>3.9684388656376024E-2</v>
      </c>
    </row>
    <row r="198" spans="1:78" x14ac:dyDescent="0.25">
      <c r="A198">
        <v>23092621456</v>
      </c>
      <c r="B198">
        <v>0</v>
      </c>
      <c r="C198">
        <v>8030</v>
      </c>
      <c r="D198">
        <v>0</v>
      </c>
      <c r="E198" t="s">
        <v>53</v>
      </c>
      <c r="F198" t="s">
        <v>53</v>
      </c>
      <c r="G198">
        <v>4</v>
      </c>
      <c r="H198" t="s">
        <v>54</v>
      </c>
      <c r="I198">
        <v>244000</v>
      </c>
      <c r="J198">
        <v>39000</v>
      </c>
      <c r="K198">
        <v>0.18</v>
      </c>
      <c r="L198">
        <v>-1.7147984280919999</v>
      </c>
      <c r="M198">
        <v>0</v>
      </c>
      <c r="N198">
        <v>0</v>
      </c>
      <c r="O198">
        <v>0</v>
      </c>
      <c r="P198">
        <v>13398.7528</v>
      </c>
      <c r="Q198">
        <v>63902.980100000001</v>
      </c>
      <c r="R198">
        <v>40926.819860167998</v>
      </c>
      <c r="S198" t="s">
        <v>61</v>
      </c>
      <c r="T198">
        <v>1</v>
      </c>
      <c r="U198" t="s">
        <v>62</v>
      </c>
      <c r="V198" t="s">
        <v>57</v>
      </c>
      <c r="W198">
        <v>0</v>
      </c>
      <c r="X198">
        <v>0</v>
      </c>
      <c r="Y198">
        <v>1</v>
      </c>
      <c r="Z198">
        <v>1</v>
      </c>
      <c r="AA198">
        <v>0</v>
      </c>
      <c r="AB198">
        <v>1500</v>
      </c>
      <c r="AC198">
        <v>1384</v>
      </c>
      <c r="AD198">
        <v>1384</v>
      </c>
      <c r="AE198">
        <v>0</v>
      </c>
      <c r="AF198">
        <v>0</v>
      </c>
      <c r="AG198">
        <v>0</v>
      </c>
      <c r="AH198">
        <v>400</v>
      </c>
      <c r="AI198">
        <v>0</v>
      </c>
      <c r="AJ198">
        <v>0</v>
      </c>
      <c r="AK198">
        <v>144</v>
      </c>
      <c r="AL198">
        <v>10</v>
      </c>
      <c r="AM198">
        <v>0</v>
      </c>
      <c r="AN198">
        <v>0</v>
      </c>
      <c r="AO198" t="s">
        <v>58</v>
      </c>
      <c r="AP198">
        <v>1</v>
      </c>
      <c r="AQ198" t="s">
        <v>63</v>
      </c>
      <c r="AR198" t="s">
        <v>64</v>
      </c>
      <c r="AS198">
        <v>1</v>
      </c>
      <c r="AT198">
        <v>3</v>
      </c>
      <c r="AU198">
        <v>0</v>
      </c>
      <c r="AV198">
        <v>0</v>
      </c>
      <c r="AW198">
        <v>100</v>
      </c>
      <c r="AX198" s="1">
        <v>44603</v>
      </c>
      <c r="AY198">
        <v>22300</v>
      </c>
      <c r="AZ198">
        <v>250338</v>
      </c>
      <c r="BA198">
        <v>272600</v>
      </c>
      <c r="BB198">
        <v>293710</v>
      </c>
      <c r="BC198">
        <v>324</v>
      </c>
      <c r="BD198">
        <f>Grandview_Sales[[#This Row],[land_extract]]*Lookups!$B$3</f>
        <v>47528.20540119947</v>
      </c>
      <c r="BE198">
        <f>Lookups!$B$2</f>
        <v>155833.95000000001</v>
      </c>
      <c r="BF198">
        <f>VLOOKUP(Grandview_Sales[[#This Row],[quality]],Lookups!$H$2:$J$13,3,FALSE)</f>
        <v>9808</v>
      </c>
      <c r="BG198">
        <f>VLOOKUP(Grandview_Sales[[#This Row],[condition]],Lookups!$H$17:$J$24,3,FALSE)</f>
        <v>25780</v>
      </c>
      <c r="BH198">
        <f>Grandview_Sales[[#This Row],[Eff_Age]]*Lookups!$B$14</f>
        <v>-239.16659999999999</v>
      </c>
      <c r="BI198">
        <f>Grandview_Sales[[#This Row],[living_area]]*Lookups!$B$15</f>
        <v>86335.100552000004</v>
      </c>
      <c r="BJ198">
        <f>Grandview_Sales[[#This Row],[Fin BSMT]]*Lookups!$B$16</f>
        <v>0</v>
      </c>
      <c r="BK198">
        <f>Grandview_Sales[[#This Row],[garage_sqft]]*Lookups!$B$17</f>
        <v>35008.174800000001</v>
      </c>
      <c r="BL198">
        <f>Grandview_Sales[[#This Row],[Plumbing Fixtures]]*Lookups!$B$18</f>
        <v>20104.418000000001</v>
      </c>
      <c r="BM198">
        <f>Grandview_Sales[[#This Row],[detatched_value]]*Lookups!$B$19</f>
        <v>0</v>
      </c>
      <c r="BN198">
        <f>Grandview_Sales[[#This Row],[days_prior]]*Lookups!$B$20</f>
        <v>-38863.346400000002</v>
      </c>
      <c r="BO198">
        <f>SUM(Grandview_Sales[[#This Row],[land_value]:[Days Prior To Assessment_value]])</f>
        <v>341295.33575319947</v>
      </c>
      <c r="BP198">
        <f>Grandview_Sales[[#This Row],[predicted_total]]/Grandview_Sales[[#This Row],[sale_price]]</f>
        <v>1.1620146939266605</v>
      </c>
      <c r="BQ198">
        <f>VLOOKUP(Grandview_Sales[[#This Row],[quality]],Lookups!$A$26:$C$33,3,FALSE)</f>
        <v>0.94295468617355149</v>
      </c>
      <c r="BR198">
        <f>VLOOKUP(Grandview_Sales[[#This Row],[condition]],Lookups!$A$37:$C$44,3,FALSE)</f>
        <v>0.94347925387812148</v>
      </c>
      <c r="BS198">
        <f>VLOOKUP(Grandview_Sales[[#This Row],[decade]],Lookups!$F$29:$H$43,3,FALSE)</f>
        <v>0.9413635517371044</v>
      </c>
      <c r="BT198">
        <f>VLOOKUP(Grandview_Sales[[#This Row],[living_area_range]],Lookups!$F$47:$H$56,3,FALSE)</f>
        <v>0.96135087979789358</v>
      </c>
      <c r="BU198">
        <f>Grandview_Sales[[#This Row],[predicted_total]]*AVERAGE(Grandview_Sales[[#This Row],[qual_adj]:[size_adj]])</f>
        <v>323304.66642484046</v>
      </c>
      <c r="BV198">
        <f>Grandview_Sales[[#This Row],[final_total]]/Grandview_Sales[[#This Row],[sale_price]]</f>
        <v>1.1007615213129973</v>
      </c>
      <c r="BW198" s="6">
        <f>(Grandview_Sales[[#This Row],[final_total]]-Grandview_Sales[[#This Row],[sale_price]])^2</f>
        <v>875844280.79757893</v>
      </c>
      <c r="BX198" s="6">
        <f>(Grandview_Sales[[#This Row],[final_total]]-AVERAGE(Grandview_Sales[sale_price]))^2</f>
        <v>267175248.83405688</v>
      </c>
      <c r="BY198" s="6">
        <f>Grandview_Sales[[#This Row],[SSE]]+Grandview_Sales[[#This Row],[SSR]]</f>
        <v>1143019529.6316359</v>
      </c>
      <c r="BZ198" s="4">
        <f>ABS(Grandview_Sales[[#This Row],[final_ratio]]-MEDIAN(Grandview_Sales[final_ratio]))</f>
        <v>9.9512801957185371E-2</v>
      </c>
    </row>
    <row r="199" spans="1:78" x14ac:dyDescent="0.25">
      <c r="A199">
        <v>23092621470</v>
      </c>
      <c r="B199">
        <v>0</v>
      </c>
      <c r="C199">
        <v>8050</v>
      </c>
      <c r="D199">
        <v>0</v>
      </c>
      <c r="E199" t="s">
        <v>53</v>
      </c>
      <c r="F199" t="s">
        <v>53</v>
      </c>
      <c r="G199">
        <v>4</v>
      </c>
      <c r="H199" t="s">
        <v>54</v>
      </c>
      <c r="I199">
        <v>250500</v>
      </c>
      <c r="J199">
        <v>39000</v>
      </c>
      <c r="K199">
        <v>0.18</v>
      </c>
      <c r="L199">
        <v>-1.7147984280919999</v>
      </c>
      <c r="M199">
        <v>0</v>
      </c>
      <c r="N199">
        <v>0</v>
      </c>
      <c r="O199">
        <v>0</v>
      </c>
      <c r="P199">
        <v>13398.7528</v>
      </c>
      <c r="Q199">
        <v>63902.980100000001</v>
      </c>
      <c r="R199">
        <v>40926.819860167998</v>
      </c>
      <c r="S199" t="s">
        <v>61</v>
      </c>
      <c r="T199">
        <v>1</v>
      </c>
      <c r="U199" t="s">
        <v>62</v>
      </c>
      <c r="V199" t="s">
        <v>57</v>
      </c>
      <c r="W199">
        <v>0</v>
      </c>
      <c r="X199">
        <v>0</v>
      </c>
      <c r="Y199">
        <v>2</v>
      </c>
      <c r="Z199">
        <v>2</v>
      </c>
      <c r="AA199">
        <v>0</v>
      </c>
      <c r="AB199">
        <v>1500</v>
      </c>
      <c r="AC199">
        <v>1468</v>
      </c>
      <c r="AD199">
        <v>1468</v>
      </c>
      <c r="AE199">
        <v>0</v>
      </c>
      <c r="AF199">
        <v>0</v>
      </c>
      <c r="AG199">
        <v>0</v>
      </c>
      <c r="AH199">
        <v>460</v>
      </c>
      <c r="AI199">
        <v>0</v>
      </c>
      <c r="AJ199">
        <v>0</v>
      </c>
      <c r="AK199">
        <v>0</v>
      </c>
      <c r="AL199">
        <v>9</v>
      </c>
      <c r="AM199">
        <v>0</v>
      </c>
      <c r="AN199">
        <v>0</v>
      </c>
      <c r="AO199" t="s">
        <v>58</v>
      </c>
      <c r="AP199">
        <v>1</v>
      </c>
      <c r="AQ199" t="s">
        <v>63</v>
      </c>
      <c r="AR199" t="s">
        <v>64</v>
      </c>
      <c r="AS199">
        <v>1</v>
      </c>
      <c r="AT199">
        <v>3</v>
      </c>
      <c r="AU199">
        <v>0</v>
      </c>
      <c r="AV199">
        <v>0</v>
      </c>
      <c r="AW199">
        <v>100</v>
      </c>
      <c r="AX199" s="1">
        <v>44603</v>
      </c>
      <c r="AY199">
        <v>22300</v>
      </c>
      <c r="AZ199">
        <v>266894</v>
      </c>
      <c r="BA199">
        <v>289200</v>
      </c>
      <c r="BB199">
        <v>292380</v>
      </c>
      <c r="BC199">
        <v>324</v>
      </c>
      <c r="BD199">
        <f>Grandview_Sales[[#This Row],[land_extract]]*Lookups!$B$3</f>
        <v>47528.20540119947</v>
      </c>
      <c r="BE199">
        <f>Lookups!$B$2</f>
        <v>155833.95000000001</v>
      </c>
      <c r="BF199">
        <f>VLOOKUP(Grandview_Sales[[#This Row],[quality]],Lookups!$H$2:$J$13,3,FALSE)</f>
        <v>9808</v>
      </c>
      <c r="BG199">
        <f>VLOOKUP(Grandview_Sales[[#This Row],[condition]],Lookups!$H$17:$J$24,3,FALSE)</f>
        <v>25780</v>
      </c>
      <c r="BH199">
        <f>Grandview_Sales[[#This Row],[Eff_Age]]*Lookups!$B$14</f>
        <v>-478.33319999999998</v>
      </c>
      <c r="BI199">
        <f>Grandview_Sales[[#This Row],[living_area]]*Lookups!$B$15</f>
        <v>91575.092204</v>
      </c>
      <c r="BJ199">
        <f>Grandview_Sales[[#This Row],[Fin BSMT]]*Lookups!$B$16</f>
        <v>0</v>
      </c>
      <c r="BK199">
        <f>Grandview_Sales[[#This Row],[garage_sqft]]*Lookups!$B$17</f>
        <v>40259.401019999998</v>
      </c>
      <c r="BL199">
        <f>Grandview_Sales[[#This Row],[Plumbing Fixtures]]*Lookups!$B$18</f>
        <v>18093.976200000001</v>
      </c>
      <c r="BM199">
        <f>Grandview_Sales[[#This Row],[detatched_value]]*Lookups!$B$19</f>
        <v>0</v>
      </c>
      <c r="BN199">
        <f>Grandview_Sales[[#This Row],[days_prior]]*Lookups!$B$20</f>
        <v>-38863.346400000002</v>
      </c>
      <c r="BO199">
        <f>SUM(Grandview_Sales[[#This Row],[land_value]:[Days Prior To Assessment_value]])</f>
        <v>349536.94522519945</v>
      </c>
      <c r="BP199">
        <f>Grandview_Sales[[#This Row],[predicted_total]]/Grandview_Sales[[#This Row],[sale_price]]</f>
        <v>1.1954885601792169</v>
      </c>
      <c r="BQ199">
        <f>VLOOKUP(Grandview_Sales[[#This Row],[quality]],Lookups!$A$26:$C$33,3,FALSE)</f>
        <v>0.94295468617355149</v>
      </c>
      <c r="BR199">
        <f>VLOOKUP(Grandview_Sales[[#This Row],[condition]],Lookups!$A$37:$C$44,3,FALSE)</f>
        <v>0.94347925387812148</v>
      </c>
      <c r="BS199">
        <f>VLOOKUP(Grandview_Sales[[#This Row],[decade]],Lookups!$F$29:$H$43,3,FALSE)</f>
        <v>0.9413635517371044</v>
      </c>
      <c r="BT199">
        <f>VLOOKUP(Grandview_Sales[[#This Row],[living_area_range]],Lookups!$F$47:$H$56,3,FALSE)</f>
        <v>0.96135087979789358</v>
      </c>
      <c r="BU199">
        <f>Grandview_Sales[[#This Row],[predicted_total]]*AVERAGE(Grandview_Sales[[#This Row],[qual_adj]:[size_adj]])</f>
        <v>331111.83670236095</v>
      </c>
      <c r="BV199">
        <f>Grandview_Sales[[#This Row],[final_total]]/Grandview_Sales[[#This Row],[sale_price]]</f>
        <v>1.1324708827633934</v>
      </c>
      <c r="BW199" s="6">
        <f>(Grandview_Sales[[#This Row],[final_total]]-Grandview_Sales[[#This Row],[sale_price]])^2</f>
        <v>1500155174.3383543</v>
      </c>
      <c r="BX199" s="6">
        <f>(Grandview_Sales[[#This Row],[final_total]]-AVERAGE(Grandview_Sales[sale_price]))^2</f>
        <v>583351302.12626171</v>
      </c>
      <c r="BY199" s="6">
        <f>Grandview_Sales[[#This Row],[SSE]]+Grandview_Sales[[#This Row],[SSR]]</f>
        <v>2083506476.4646161</v>
      </c>
      <c r="BZ199" s="4">
        <f>ABS(Grandview_Sales[[#This Row],[final_ratio]]-MEDIAN(Grandview_Sales[final_ratio]))</f>
        <v>0.13122216340758142</v>
      </c>
    </row>
    <row r="200" spans="1:78" x14ac:dyDescent="0.25">
      <c r="A200">
        <v>23092621465</v>
      </c>
      <c r="B200">
        <v>0</v>
      </c>
      <c r="C200">
        <v>8250</v>
      </c>
      <c r="D200">
        <v>0</v>
      </c>
      <c r="E200" t="s">
        <v>53</v>
      </c>
      <c r="F200" t="s">
        <v>53</v>
      </c>
      <c r="G200">
        <v>4</v>
      </c>
      <c r="H200" t="s">
        <v>54</v>
      </c>
      <c r="I200">
        <v>254400</v>
      </c>
      <c r="J200">
        <v>39100</v>
      </c>
      <c r="K200">
        <v>0.19</v>
      </c>
      <c r="L200">
        <v>-1.6607312068219999</v>
      </c>
      <c r="M200">
        <v>0</v>
      </c>
      <c r="N200">
        <v>0</v>
      </c>
      <c r="O200">
        <v>0</v>
      </c>
      <c r="P200">
        <v>13398.7528</v>
      </c>
      <c r="Q200">
        <v>63902.980100000001</v>
      </c>
      <c r="R200">
        <v>41651.253192550997</v>
      </c>
      <c r="S200" t="s">
        <v>55</v>
      </c>
      <c r="T200">
        <v>1</v>
      </c>
      <c r="U200" t="s">
        <v>62</v>
      </c>
      <c r="V200" t="s">
        <v>57</v>
      </c>
      <c r="W200">
        <v>0</v>
      </c>
      <c r="X200">
        <v>0</v>
      </c>
      <c r="Y200">
        <v>2</v>
      </c>
      <c r="Z200">
        <v>2</v>
      </c>
      <c r="AA200">
        <v>0</v>
      </c>
      <c r="AB200">
        <v>1500</v>
      </c>
      <c r="AC200">
        <v>1390</v>
      </c>
      <c r="AD200">
        <v>1390</v>
      </c>
      <c r="AE200">
        <v>0</v>
      </c>
      <c r="AF200">
        <v>0</v>
      </c>
      <c r="AG200">
        <v>0</v>
      </c>
      <c r="AH200">
        <v>400</v>
      </c>
      <c r="AI200">
        <v>0</v>
      </c>
      <c r="AJ200">
        <v>0</v>
      </c>
      <c r="AK200">
        <v>144</v>
      </c>
      <c r="AL200">
        <v>9</v>
      </c>
      <c r="AM200">
        <v>0</v>
      </c>
      <c r="AN200">
        <v>0</v>
      </c>
      <c r="AO200" t="s">
        <v>58</v>
      </c>
      <c r="AP200">
        <v>1</v>
      </c>
      <c r="AQ200" t="s">
        <v>63</v>
      </c>
      <c r="AR200" t="s">
        <v>64</v>
      </c>
      <c r="AS200">
        <v>1</v>
      </c>
      <c r="AT200">
        <v>3</v>
      </c>
      <c r="AU200">
        <v>0</v>
      </c>
      <c r="AV200">
        <v>0</v>
      </c>
      <c r="AW200">
        <v>100</v>
      </c>
      <c r="AX200" s="1">
        <v>44603</v>
      </c>
      <c r="AY200">
        <v>22400</v>
      </c>
      <c r="AZ200">
        <v>248205</v>
      </c>
      <c r="BA200">
        <v>270600</v>
      </c>
      <c r="BB200">
        <v>328563</v>
      </c>
      <c r="BC200">
        <v>324</v>
      </c>
      <c r="BD200">
        <f>Grandview_Sales[[#This Row],[land_extract]]*Lookups!$B$3</f>
        <v>48369.487874125851</v>
      </c>
      <c r="BE200">
        <f>Lookups!$B$2</f>
        <v>155833.95000000001</v>
      </c>
      <c r="BF200">
        <f>VLOOKUP(Grandview_Sales[[#This Row],[quality]],Lookups!$H$2:$J$13,3,FALSE)</f>
        <v>9808</v>
      </c>
      <c r="BG200">
        <f>VLOOKUP(Grandview_Sales[[#This Row],[condition]],Lookups!$H$17:$J$24,3,FALSE)</f>
        <v>25780</v>
      </c>
      <c r="BH200">
        <f>Grandview_Sales[[#This Row],[Eff_Age]]*Lookups!$B$14</f>
        <v>-478.33319999999998</v>
      </c>
      <c r="BI200">
        <f>Grandview_Sales[[#This Row],[living_area]]*Lookups!$B$15</f>
        <v>86709.385670000003</v>
      </c>
      <c r="BJ200">
        <f>Grandview_Sales[[#This Row],[Fin BSMT]]*Lookups!$B$16</f>
        <v>0</v>
      </c>
      <c r="BK200">
        <f>Grandview_Sales[[#This Row],[garage_sqft]]*Lookups!$B$17</f>
        <v>35008.174800000001</v>
      </c>
      <c r="BL200">
        <f>Grandview_Sales[[#This Row],[Plumbing Fixtures]]*Lookups!$B$18</f>
        <v>18093.976200000001</v>
      </c>
      <c r="BM200">
        <f>Grandview_Sales[[#This Row],[detatched_value]]*Lookups!$B$19</f>
        <v>0</v>
      </c>
      <c r="BN200">
        <f>Grandview_Sales[[#This Row],[days_prior]]*Lookups!$B$20</f>
        <v>-38863.346400000002</v>
      </c>
      <c r="BO200">
        <f>SUM(Grandview_Sales[[#This Row],[land_value]:[Days Prior To Assessment_value]])</f>
        <v>340261.29494412587</v>
      </c>
      <c r="BP200">
        <f>Grandview_Sales[[#This Row],[predicted_total]]/Grandview_Sales[[#This Row],[sale_price]]</f>
        <v>1.0356044196824532</v>
      </c>
      <c r="BQ200">
        <f>VLOOKUP(Grandview_Sales[[#This Row],[quality]],Lookups!$A$26:$C$33,3,FALSE)</f>
        <v>0.94295468617355149</v>
      </c>
      <c r="BR200">
        <f>VLOOKUP(Grandview_Sales[[#This Row],[condition]],Lookups!$A$37:$C$44,3,FALSE)</f>
        <v>0.94347925387812148</v>
      </c>
      <c r="BS200">
        <f>VLOOKUP(Grandview_Sales[[#This Row],[decade]],Lookups!$F$29:$H$43,3,FALSE)</f>
        <v>0.9413635517371044</v>
      </c>
      <c r="BT200">
        <f>VLOOKUP(Grandview_Sales[[#This Row],[living_area_range]],Lookups!$F$47:$H$56,3,FALSE)</f>
        <v>0.96135087979789358</v>
      </c>
      <c r="BU200">
        <f>Grandview_Sales[[#This Row],[predicted_total]]*AVERAGE(Grandview_Sales[[#This Row],[qual_adj]:[size_adj]])</f>
        <v>322325.13291287661</v>
      </c>
      <c r="BV200">
        <f>Grandview_Sales[[#This Row],[final_total]]/Grandview_Sales[[#This Row],[sale_price]]</f>
        <v>0.9810147001119317</v>
      </c>
      <c r="BW200" s="6">
        <f>(Grandview_Sales[[#This Row],[final_total]]-Grandview_Sales[[#This Row],[sale_price]])^2</f>
        <v>38910985.79661727</v>
      </c>
      <c r="BX200" s="6">
        <f>(Grandview_Sales[[#This Row],[final_total]]-AVERAGE(Grandview_Sales[sale_price]))^2</f>
        <v>236112811.97157678</v>
      </c>
      <c r="BY200" s="6">
        <f>Grandview_Sales[[#This Row],[SSE]]+Grandview_Sales[[#This Row],[SSR]]</f>
        <v>275023797.76819408</v>
      </c>
      <c r="BZ200" s="4">
        <f>ABS(Grandview_Sales[[#This Row],[final_ratio]]-MEDIAN(Grandview_Sales[final_ratio]))</f>
        <v>2.0234019243880241E-2</v>
      </c>
    </row>
    <row r="201" spans="1:78" x14ac:dyDescent="0.25">
      <c r="A201">
        <v>23092323534</v>
      </c>
      <c r="B201">
        <v>0.17</v>
      </c>
      <c r="C201">
        <v>7226</v>
      </c>
      <c r="D201">
        <v>0</v>
      </c>
      <c r="E201" t="s">
        <v>53</v>
      </c>
      <c r="F201" t="s">
        <v>53</v>
      </c>
      <c r="G201">
        <v>4</v>
      </c>
      <c r="H201" t="s">
        <v>54</v>
      </c>
      <c r="I201">
        <v>248800</v>
      </c>
      <c r="J201">
        <v>43500</v>
      </c>
      <c r="K201">
        <v>0.17</v>
      </c>
      <c r="L201">
        <v>-1.771956841932</v>
      </c>
      <c r="M201">
        <v>0</v>
      </c>
      <c r="N201">
        <v>0</v>
      </c>
      <c r="O201">
        <v>0</v>
      </c>
      <c r="P201">
        <v>13398.7528</v>
      </c>
      <c r="Q201">
        <v>63902.980100000001</v>
      </c>
      <c r="R201">
        <v>40160.968402685998</v>
      </c>
      <c r="S201" t="s">
        <v>55</v>
      </c>
      <c r="T201">
        <v>2</v>
      </c>
      <c r="U201" t="s">
        <v>65</v>
      </c>
      <c r="V201" t="s">
        <v>66</v>
      </c>
      <c r="W201">
        <v>0</v>
      </c>
      <c r="X201">
        <v>0</v>
      </c>
      <c r="Y201">
        <v>51</v>
      </c>
      <c r="Z201">
        <v>78</v>
      </c>
      <c r="AA201">
        <v>80</v>
      </c>
      <c r="AB201">
        <v>2500</v>
      </c>
      <c r="AC201">
        <v>2434</v>
      </c>
      <c r="AD201">
        <v>1400</v>
      </c>
      <c r="AE201">
        <v>634</v>
      </c>
      <c r="AF201">
        <v>400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9</v>
      </c>
      <c r="AM201">
        <v>0</v>
      </c>
      <c r="AN201">
        <v>0</v>
      </c>
      <c r="AO201" t="s">
        <v>58</v>
      </c>
      <c r="AP201">
        <v>1</v>
      </c>
      <c r="AQ201" t="s">
        <v>59</v>
      </c>
      <c r="AR201" t="s">
        <v>60</v>
      </c>
      <c r="AS201">
        <v>1</v>
      </c>
      <c r="AT201">
        <v>4</v>
      </c>
      <c r="AU201">
        <v>0</v>
      </c>
      <c r="AV201">
        <v>4500</v>
      </c>
      <c r="AW201">
        <v>100</v>
      </c>
      <c r="AX201" s="1">
        <v>44603</v>
      </c>
      <c r="AY201">
        <v>24900</v>
      </c>
      <c r="AZ201">
        <v>244862</v>
      </c>
      <c r="BA201">
        <v>269800</v>
      </c>
      <c r="BB201">
        <v>355000</v>
      </c>
      <c r="BC201">
        <v>324</v>
      </c>
      <c r="BD201">
        <f>Grandview_Sales[[#This Row],[land_extract]]*Lookups!$B$3</f>
        <v>46638.82417142456</v>
      </c>
      <c r="BE201">
        <f>Lookups!$B$2</f>
        <v>155833.95000000001</v>
      </c>
      <c r="BF201">
        <f>VLOOKUP(Grandview_Sales[[#This Row],[quality]],Lookups!$H$2:$J$13,3,FALSE)</f>
        <v>2251</v>
      </c>
      <c r="BG201">
        <f>VLOOKUP(Grandview_Sales[[#This Row],[condition]],Lookups!$H$17:$J$24,3,FALSE)</f>
        <v>25818</v>
      </c>
      <c r="BH201">
        <f>Grandview_Sales[[#This Row],[Eff_Age]]*Lookups!$B$14</f>
        <v>-12197.496599999999</v>
      </c>
      <c r="BI201">
        <f>Grandview_Sales[[#This Row],[living_area]]*Lookups!$B$15</f>
        <v>151834.99620200001</v>
      </c>
      <c r="BJ201">
        <f>Grandview_Sales[[#This Row],[Fin BSMT]]*Lookups!$B$16</f>
        <v>-10839.696</v>
      </c>
      <c r="BK201">
        <f>Grandview_Sales[[#This Row],[garage_sqft]]*Lookups!$B$17</f>
        <v>0</v>
      </c>
      <c r="BL201">
        <f>Grandview_Sales[[#This Row],[Plumbing Fixtures]]*Lookups!$B$18</f>
        <v>18093.976200000001</v>
      </c>
      <c r="BM201">
        <f>Grandview_Sales[[#This Row],[detatched_value]]*Lookups!$B$19</f>
        <v>3810.6229499999999</v>
      </c>
      <c r="BN201">
        <f>Grandview_Sales[[#This Row],[days_prior]]*Lookups!$B$20</f>
        <v>-38863.346400000002</v>
      </c>
      <c r="BO201">
        <f>SUM(Grandview_Sales[[#This Row],[land_value]:[Days Prior To Assessment_value]])</f>
        <v>342380.83052342455</v>
      </c>
      <c r="BP201">
        <f>Grandview_Sales[[#This Row],[predicted_total]]/Grandview_Sales[[#This Row],[sale_price]]</f>
        <v>0.96445304372795648</v>
      </c>
      <c r="BQ201">
        <f>VLOOKUP(Grandview_Sales[[#This Row],[quality]],Lookups!$A$26:$C$33,3,FALSE)</f>
        <v>0.98763855981004833</v>
      </c>
      <c r="BR201">
        <f>VLOOKUP(Grandview_Sales[[#This Row],[condition]],Lookups!$A$37:$C$44,3,FALSE)</f>
        <v>0.96661476234146892</v>
      </c>
      <c r="BS201">
        <f>VLOOKUP(Grandview_Sales[[#This Row],[decade]],Lookups!$F$29:$H$43,3,FALSE)</f>
        <v>0.98763256963907298</v>
      </c>
      <c r="BT201">
        <f>VLOOKUP(Grandview_Sales[[#This Row],[living_area_range]],Lookups!$F$47:$H$56,3,FALSE)</f>
        <v>0.95799442568048754</v>
      </c>
      <c r="BU201">
        <f>Grandview_Sales[[#This Row],[predicted_total]]*AVERAGE(Grandview_Sales[[#This Row],[qual_adj]:[size_adj]])</f>
        <v>333811.06550942606</v>
      </c>
      <c r="BV201">
        <f>Grandview_Sales[[#This Row],[final_total]]/Grandview_Sales[[#This Row],[sale_price]]</f>
        <v>0.94031286058993258</v>
      </c>
      <c r="BW201" s="6">
        <f>(Grandview_Sales[[#This Row],[final_total]]-Grandview_Sales[[#This Row],[sale_price]])^2</f>
        <v>448970944.84583402</v>
      </c>
      <c r="BX201" s="6">
        <f>(Grandview_Sales[[#This Row],[final_total]]-AVERAGE(Grandview_Sales[sale_price]))^2</f>
        <v>721024284.99027622</v>
      </c>
      <c r="BY201" s="6">
        <f>Grandview_Sales[[#This Row],[SSE]]+Grandview_Sales[[#This Row],[SSR]]</f>
        <v>1169995229.8361101</v>
      </c>
      <c r="BZ201" s="4">
        <f>ABS(Grandview_Sales[[#This Row],[final_ratio]]-MEDIAN(Grandview_Sales[final_ratio]))</f>
        <v>6.0935858765879369E-2</v>
      </c>
    </row>
    <row r="202" spans="1:78" x14ac:dyDescent="0.25">
      <c r="A202">
        <v>23091444410</v>
      </c>
      <c r="B202">
        <v>0.21</v>
      </c>
      <c r="C202">
        <v>0</v>
      </c>
      <c r="D202">
        <v>0</v>
      </c>
      <c r="E202" t="s">
        <v>53</v>
      </c>
      <c r="F202" t="s">
        <v>53</v>
      </c>
      <c r="G202">
        <v>4</v>
      </c>
      <c r="H202" t="s">
        <v>54</v>
      </c>
      <c r="I202">
        <v>297500</v>
      </c>
      <c r="J202">
        <v>39300</v>
      </c>
      <c r="K202">
        <v>0.21</v>
      </c>
      <c r="L202">
        <v>-1.5606477482650001</v>
      </c>
      <c r="M202">
        <v>0</v>
      </c>
      <c r="N202">
        <v>0</v>
      </c>
      <c r="O202">
        <v>0</v>
      </c>
      <c r="P202">
        <v>13398.7528</v>
      </c>
      <c r="Q202">
        <v>63902.980100000001</v>
      </c>
      <c r="R202">
        <v>42992.246713125001</v>
      </c>
      <c r="S202" t="s">
        <v>58</v>
      </c>
      <c r="T202">
        <v>1</v>
      </c>
      <c r="U202" t="s">
        <v>64</v>
      </c>
      <c r="V202" t="s">
        <v>57</v>
      </c>
      <c r="W202">
        <v>0</v>
      </c>
      <c r="X202">
        <v>0</v>
      </c>
      <c r="Y202">
        <v>4</v>
      </c>
      <c r="Z202">
        <v>4</v>
      </c>
      <c r="AA202">
        <v>0</v>
      </c>
      <c r="AB202">
        <v>2000</v>
      </c>
      <c r="AC202">
        <v>1855</v>
      </c>
      <c r="AD202">
        <v>1855</v>
      </c>
      <c r="AE202">
        <v>0</v>
      </c>
      <c r="AF202">
        <v>0</v>
      </c>
      <c r="AG202">
        <v>0</v>
      </c>
      <c r="AH202">
        <v>399</v>
      </c>
      <c r="AI202">
        <v>0</v>
      </c>
      <c r="AJ202">
        <v>253</v>
      </c>
      <c r="AK202">
        <v>0</v>
      </c>
      <c r="AL202">
        <v>10</v>
      </c>
      <c r="AM202">
        <v>0</v>
      </c>
      <c r="AN202">
        <v>0</v>
      </c>
      <c r="AO202" t="s">
        <v>58</v>
      </c>
      <c r="AP202">
        <v>1</v>
      </c>
      <c r="AQ202" t="s">
        <v>59</v>
      </c>
      <c r="AR202" t="s">
        <v>60</v>
      </c>
      <c r="AS202">
        <v>1</v>
      </c>
      <c r="AT202">
        <v>4</v>
      </c>
      <c r="AU202">
        <v>0</v>
      </c>
      <c r="AV202">
        <v>0</v>
      </c>
      <c r="AW202">
        <v>100</v>
      </c>
      <c r="AX202" s="1">
        <v>44607</v>
      </c>
      <c r="AY202">
        <v>22500</v>
      </c>
      <c r="AZ202">
        <v>358071</v>
      </c>
      <c r="BA202">
        <v>380600</v>
      </c>
      <c r="BB202">
        <v>399500</v>
      </c>
      <c r="BC202">
        <v>320</v>
      </c>
      <c r="BD202">
        <f>Grandview_Sales[[#This Row],[land_extract]]*Lookups!$B$3</f>
        <v>49926.780028885936</v>
      </c>
      <c r="BE202">
        <f>Lookups!$B$2</f>
        <v>155833.95000000001</v>
      </c>
      <c r="BF202">
        <f>VLOOKUP(Grandview_Sales[[#This Row],[quality]],Lookups!$H$2:$J$13,3,FALSE)</f>
        <v>20768</v>
      </c>
      <c r="BG202">
        <f>VLOOKUP(Grandview_Sales[[#This Row],[condition]],Lookups!$H$17:$J$24,3,FALSE)</f>
        <v>25780</v>
      </c>
      <c r="BH202">
        <f>Grandview_Sales[[#This Row],[Eff_Age]]*Lookups!$B$14</f>
        <v>-956.66639999999995</v>
      </c>
      <c r="BI202">
        <f>Grandview_Sales[[#This Row],[living_area]]*Lookups!$B$15</f>
        <v>115716.482315</v>
      </c>
      <c r="BJ202">
        <f>Grandview_Sales[[#This Row],[Fin BSMT]]*Lookups!$B$16</f>
        <v>0</v>
      </c>
      <c r="BK202">
        <f>Grandview_Sales[[#This Row],[garage_sqft]]*Lookups!$B$17</f>
        <v>34920.654363000001</v>
      </c>
      <c r="BL202">
        <f>Grandview_Sales[[#This Row],[Plumbing Fixtures]]*Lookups!$B$18</f>
        <v>20104.418000000001</v>
      </c>
      <c r="BM202">
        <f>Grandview_Sales[[#This Row],[detatched_value]]*Lookups!$B$19</f>
        <v>0</v>
      </c>
      <c r="BN202">
        <f>Grandview_Sales[[#This Row],[days_prior]]*Lookups!$B$20</f>
        <v>-38383.551999999996</v>
      </c>
      <c r="BO202">
        <f>SUM(Grandview_Sales[[#This Row],[land_value]:[Days Prior To Assessment_value]])</f>
        <v>383710.06630688591</v>
      </c>
      <c r="BP202">
        <f>Grandview_Sales[[#This Row],[predicted_total]]/Grandview_Sales[[#This Row],[sale_price]]</f>
        <v>0.96047576046779959</v>
      </c>
      <c r="BQ202">
        <f>VLOOKUP(Grandview_Sales[[#This Row],[quality]],Lookups!$A$26:$C$33,3,FALSE)</f>
        <v>0.94960540378902636</v>
      </c>
      <c r="BR202">
        <f>VLOOKUP(Grandview_Sales[[#This Row],[condition]],Lookups!$A$37:$C$44,3,FALSE)</f>
        <v>0.94347925387812148</v>
      </c>
      <c r="BS202">
        <f>VLOOKUP(Grandview_Sales[[#This Row],[decade]],Lookups!$F$29:$H$43,3,FALSE)</f>
        <v>0.9413635517371044</v>
      </c>
      <c r="BT202">
        <f>VLOOKUP(Grandview_Sales[[#This Row],[living_area_range]],Lookups!$F$47:$H$56,3,FALSE)</f>
        <v>0.96120133463014379</v>
      </c>
      <c r="BU202">
        <f>Grandview_Sales[[#This Row],[predicted_total]]*AVERAGE(Grandview_Sales[[#This Row],[qual_adj]:[size_adj]])</f>
        <v>364107.2345547849</v>
      </c>
      <c r="BV202">
        <f>Grandview_Sales[[#This Row],[final_total]]/Grandview_Sales[[#This Row],[sale_price]]</f>
        <v>0.91140734556892344</v>
      </c>
      <c r="BW202" s="6">
        <f>(Grandview_Sales[[#This Row],[final_total]]-Grandview_Sales[[#This Row],[sale_price]])^2</f>
        <v>1252647845.8600123</v>
      </c>
      <c r="BX202" s="6">
        <f>(Grandview_Sales[[#This Row],[final_total]]-AVERAGE(Grandview_Sales[sale_price]))^2</f>
        <v>3265901266.4834008</v>
      </c>
      <c r="BY202" s="6">
        <f>Grandview_Sales[[#This Row],[SSE]]+Grandview_Sales[[#This Row],[SSR]]</f>
        <v>4518549112.3434134</v>
      </c>
      <c r="BZ202" s="4">
        <f>ABS(Grandview_Sales[[#This Row],[final_ratio]]-MEDIAN(Grandview_Sales[final_ratio]))</f>
        <v>8.9841373786888501E-2</v>
      </c>
    </row>
    <row r="203" spans="1:78" x14ac:dyDescent="0.25">
      <c r="A203">
        <v>23092621428</v>
      </c>
      <c r="B203">
        <v>0</v>
      </c>
      <c r="C203">
        <v>8050</v>
      </c>
      <c r="D203">
        <v>0</v>
      </c>
      <c r="E203" t="s">
        <v>53</v>
      </c>
      <c r="F203" t="s">
        <v>53</v>
      </c>
      <c r="G203">
        <v>4</v>
      </c>
      <c r="H203" t="s">
        <v>54</v>
      </c>
      <c r="I203">
        <v>286400</v>
      </c>
      <c r="J203">
        <v>39000</v>
      </c>
      <c r="K203">
        <v>0.18</v>
      </c>
      <c r="L203">
        <v>-1.7147984280919999</v>
      </c>
      <c r="M203">
        <v>0</v>
      </c>
      <c r="N203">
        <v>0</v>
      </c>
      <c r="O203">
        <v>0</v>
      </c>
      <c r="P203">
        <v>13398.7528</v>
      </c>
      <c r="Q203">
        <v>63902.980100000001</v>
      </c>
      <c r="R203">
        <v>40926.819860167998</v>
      </c>
      <c r="S203" t="s">
        <v>58</v>
      </c>
      <c r="T203">
        <v>2</v>
      </c>
      <c r="U203" t="s">
        <v>62</v>
      </c>
      <c r="V203" t="s">
        <v>57</v>
      </c>
      <c r="W203">
        <v>0</v>
      </c>
      <c r="X203">
        <v>0</v>
      </c>
      <c r="Y203">
        <v>2</v>
      </c>
      <c r="Z203">
        <v>2</v>
      </c>
      <c r="AA203">
        <v>0</v>
      </c>
      <c r="AB203">
        <v>2500</v>
      </c>
      <c r="AC203">
        <v>2128</v>
      </c>
      <c r="AD203">
        <v>876</v>
      </c>
      <c r="AE203">
        <v>1252</v>
      </c>
      <c r="AF203">
        <v>0</v>
      </c>
      <c r="AG203">
        <v>0</v>
      </c>
      <c r="AH203">
        <v>400</v>
      </c>
      <c r="AI203">
        <v>0</v>
      </c>
      <c r="AJ203">
        <v>0</v>
      </c>
      <c r="AK203">
        <v>0</v>
      </c>
      <c r="AL203">
        <v>12</v>
      </c>
      <c r="AM203">
        <v>0</v>
      </c>
      <c r="AN203">
        <v>0</v>
      </c>
      <c r="AO203" t="s">
        <v>58</v>
      </c>
      <c r="AP203">
        <v>1</v>
      </c>
      <c r="AQ203" t="s">
        <v>63</v>
      </c>
      <c r="AR203" t="s">
        <v>64</v>
      </c>
      <c r="AS203">
        <v>1</v>
      </c>
      <c r="AT203">
        <v>4</v>
      </c>
      <c r="AU203">
        <v>0</v>
      </c>
      <c r="AV203">
        <v>0</v>
      </c>
      <c r="AW203">
        <v>100</v>
      </c>
      <c r="AX203" s="1">
        <v>44609</v>
      </c>
      <c r="AY203">
        <v>22300</v>
      </c>
      <c r="AZ203">
        <v>338749</v>
      </c>
      <c r="BA203">
        <v>361000</v>
      </c>
      <c r="BB203">
        <v>366760</v>
      </c>
      <c r="BC203">
        <v>318</v>
      </c>
      <c r="BD203">
        <f>Grandview_Sales[[#This Row],[land_extract]]*Lookups!$B$3</f>
        <v>47528.20540119947</v>
      </c>
      <c r="BE203">
        <f>Lookups!$B$2</f>
        <v>155833.95000000001</v>
      </c>
      <c r="BF203">
        <f>VLOOKUP(Grandview_Sales[[#This Row],[quality]],Lookups!$H$2:$J$13,3,FALSE)</f>
        <v>9808</v>
      </c>
      <c r="BG203">
        <f>VLOOKUP(Grandview_Sales[[#This Row],[condition]],Lookups!$H$17:$J$24,3,FALSE)</f>
        <v>25780</v>
      </c>
      <c r="BH203">
        <f>Grandview_Sales[[#This Row],[Eff_Age]]*Lookups!$B$14</f>
        <v>-478.33319999999998</v>
      </c>
      <c r="BI203">
        <f>Grandview_Sales[[#This Row],[living_area]]*Lookups!$B$15</f>
        <v>132746.45518399999</v>
      </c>
      <c r="BJ203">
        <f>Grandview_Sales[[#This Row],[Fin BSMT]]*Lookups!$B$16</f>
        <v>0</v>
      </c>
      <c r="BK203">
        <f>Grandview_Sales[[#This Row],[garage_sqft]]*Lookups!$B$17</f>
        <v>35008.174800000001</v>
      </c>
      <c r="BL203">
        <f>Grandview_Sales[[#This Row],[Plumbing Fixtures]]*Lookups!$B$18</f>
        <v>24125.301599999999</v>
      </c>
      <c r="BM203">
        <f>Grandview_Sales[[#This Row],[detatched_value]]*Lookups!$B$19</f>
        <v>0</v>
      </c>
      <c r="BN203">
        <f>Grandview_Sales[[#This Row],[days_prior]]*Lookups!$B$20</f>
        <v>-38143.654799999997</v>
      </c>
      <c r="BO203">
        <f>SUM(Grandview_Sales[[#This Row],[land_value]:[Days Prior To Assessment_value]])</f>
        <v>392208.09898519941</v>
      </c>
      <c r="BP203">
        <f>Grandview_Sales[[#This Row],[predicted_total]]/Grandview_Sales[[#This Row],[sale_price]]</f>
        <v>1.0693862443701587</v>
      </c>
      <c r="BQ203">
        <f>VLOOKUP(Grandview_Sales[[#This Row],[quality]],Lookups!$A$26:$C$33,3,FALSE)</f>
        <v>0.94295468617355149</v>
      </c>
      <c r="BR203">
        <f>VLOOKUP(Grandview_Sales[[#This Row],[condition]],Lookups!$A$37:$C$44,3,FALSE)</f>
        <v>0.94347925387812148</v>
      </c>
      <c r="BS203">
        <f>VLOOKUP(Grandview_Sales[[#This Row],[decade]],Lookups!$F$29:$H$43,3,FALSE)</f>
        <v>0.9413635517371044</v>
      </c>
      <c r="BT203">
        <f>VLOOKUP(Grandview_Sales[[#This Row],[living_area_range]],Lookups!$F$47:$H$56,3,FALSE)</f>
        <v>0.95799442568048754</v>
      </c>
      <c r="BU203">
        <f>Grandview_Sales[[#This Row],[predicted_total]]*AVERAGE(Grandview_Sales[[#This Row],[qual_adj]:[size_adj]])</f>
        <v>371204.56277603831</v>
      </c>
      <c r="BV203">
        <f>Grandview_Sales[[#This Row],[final_total]]/Grandview_Sales[[#This Row],[sale_price]]</f>
        <v>1.0121184501473397</v>
      </c>
      <c r="BW203" s="6">
        <f>(Grandview_Sales[[#This Row],[final_total]]-Grandview_Sales[[#This Row],[sale_price]])^2</f>
        <v>19754138.270145338</v>
      </c>
      <c r="BX203" s="6">
        <f>(Grandview_Sales[[#This Row],[final_total]]-AVERAGE(Grandview_Sales[sale_price]))^2</f>
        <v>4127470475.1014943</v>
      </c>
      <c r="BY203" s="6">
        <f>Grandview_Sales[[#This Row],[SSE]]+Grandview_Sales[[#This Row],[SSR]]</f>
        <v>4147224613.3716397</v>
      </c>
      <c r="BZ203" s="4">
        <f>ABS(Grandview_Sales[[#This Row],[final_ratio]]-MEDIAN(Grandview_Sales[final_ratio]))</f>
        <v>1.0869730791527754E-2</v>
      </c>
    </row>
    <row r="204" spans="1:78" x14ac:dyDescent="0.25">
      <c r="A204">
        <v>23092224537</v>
      </c>
      <c r="B204">
        <v>0</v>
      </c>
      <c r="C204">
        <v>16298</v>
      </c>
      <c r="D204">
        <v>0</v>
      </c>
      <c r="E204" t="s">
        <v>53</v>
      </c>
      <c r="F204" t="s">
        <v>53</v>
      </c>
      <c r="G204">
        <v>4</v>
      </c>
      <c r="H204" t="s">
        <v>54</v>
      </c>
      <c r="I204">
        <v>332300</v>
      </c>
      <c r="J204">
        <v>40900</v>
      </c>
      <c r="K204">
        <v>0.37</v>
      </c>
      <c r="L204">
        <v>-0.99425227334400001</v>
      </c>
      <c r="M204">
        <v>0</v>
      </c>
      <c r="N204">
        <v>0</v>
      </c>
      <c r="O204">
        <v>0</v>
      </c>
      <c r="P204">
        <v>13398.7528</v>
      </c>
      <c r="Q204">
        <v>63902.980100000001</v>
      </c>
      <c r="R204">
        <v>50581.239668627997</v>
      </c>
      <c r="S204" t="s">
        <v>55</v>
      </c>
      <c r="T204">
        <v>2</v>
      </c>
      <c r="U204" t="s">
        <v>56</v>
      </c>
      <c r="V204" t="s">
        <v>57</v>
      </c>
      <c r="W204">
        <v>30700</v>
      </c>
      <c r="X204">
        <v>0</v>
      </c>
      <c r="Y204">
        <v>1</v>
      </c>
      <c r="Z204">
        <v>1</v>
      </c>
      <c r="AA204">
        <v>0</v>
      </c>
      <c r="AB204">
        <v>3000</v>
      </c>
      <c r="AC204">
        <v>2643</v>
      </c>
      <c r="AD204">
        <v>1789</v>
      </c>
      <c r="AE204">
        <v>854</v>
      </c>
      <c r="AF204">
        <v>0</v>
      </c>
      <c r="AG204">
        <v>0</v>
      </c>
      <c r="AH204">
        <v>972</v>
      </c>
      <c r="AI204">
        <v>0</v>
      </c>
      <c r="AJ204">
        <v>0</v>
      </c>
      <c r="AK204">
        <v>0</v>
      </c>
      <c r="AL204">
        <v>16</v>
      </c>
      <c r="AM204">
        <v>0</v>
      </c>
      <c r="AN204">
        <v>0</v>
      </c>
      <c r="AO204" t="s">
        <v>58</v>
      </c>
      <c r="AP204">
        <v>1</v>
      </c>
      <c r="AQ204" t="s">
        <v>59</v>
      </c>
      <c r="AR204" t="s">
        <v>60</v>
      </c>
      <c r="AS204">
        <v>1</v>
      </c>
      <c r="AT204">
        <v>4</v>
      </c>
      <c r="AU204">
        <v>0</v>
      </c>
      <c r="AV204">
        <v>0</v>
      </c>
      <c r="AW204">
        <v>100</v>
      </c>
      <c r="AX204" s="1">
        <v>44617</v>
      </c>
      <c r="AY204">
        <v>23400</v>
      </c>
      <c r="AZ204">
        <v>607659</v>
      </c>
      <c r="BA204">
        <v>631100</v>
      </c>
      <c r="BB204">
        <v>450000</v>
      </c>
      <c r="BC204">
        <v>310</v>
      </c>
      <c r="BD204">
        <f>Grandview_Sales[[#This Row],[land_extract]]*Lookups!$B$3</f>
        <v>58739.857057830588</v>
      </c>
      <c r="BE204">
        <f>Lookups!$B$2</f>
        <v>155833.95000000001</v>
      </c>
      <c r="BF204">
        <f>VLOOKUP(Grandview_Sales[[#This Row],[quality]],Lookups!$H$2:$J$13,3,FALSE)</f>
        <v>56323</v>
      </c>
      <c r="BG204">
        <f>VLOOKUP(Grandview_Sales[[#This Row],[condition]],Lookups!$H$17:$J$24,3,FALSE)</f>
        <v>25780</v>
      </c>
      <c r="BH204">
        <f>Grandview_Sales[[#This Row],[Eff_Age]]*Lookups!$B$14</f>
        <v>-239.16659999999999</v>
      </c>
      <c r="BI204">
        <f>Grandview_Sales[[#This Row],[living_area]]*Lookups!$B$15</f>
        <v>164872.59447899999</v>
      </c>
      <c r="BJ204">
        <f>Grandview_Sales[[#This Row],[Fin BSMT]]*Lookups!$B$16</f>
        <v>0</v>
      </c>
      <c r="BK204">
        <f>Grandview_Sales[[#This Row],[garage_sqft]]*Lookups!$B$17</f>
        <v>85069.864763999998</v>
      </c>
      <c r="BL204">
        <f>Grandview_Sales[[#This Row],[Plumbing Fixtures]]*Lookups!$B$18</f>
        <v>32167.068800000001</v>
      </c>
      <c r="BM204">
        <f>Grandview_Sales[[#This Row],[detatched_value]]*Lookups!$B$19</f>
        <v>0</v>
      </c>
      <c r="BN204">
        <f>Grandview_Sales[[#This Row],[days_prior]]*Lookups!$B$20</f>
        <v>-37184.065999999999</v>
      </c>
      <c r="BO204">
        <f>SUM(Grandview_Sales[[#This Row],[land_value]:[Days Prior To Assessment_value]])</f>
        <v>541363.10250083066</v>
      </c>
      <c r="BP204">
        <f>Grandview_Sales[[#This Row],[predicted_total]]/Grandview_Sales[[#This Row],[sale_price]]</f>
        <v>1.2030291166685125</v>
      </c>
      <c r="BQ204">
        <f>VLOOKUP(Grandview_Sales[[#This Row],[quality]],Lookups!$A$26:$C$33,3,FALSE)</f>
        <v>0.76437650671582003</v>
      </c>
      <c r="BR204">
        <f>VLOOKUP(Grandview_Sales[[#This Row],[condition]],Lookups!$A$37:$C$44,3,FALSE)</f>
        <v>0.94347925387812148</v>
      </c>
      <c r="BS204">
        <f>VLOOKUP(Grandview_Sales[[#This Row],[decade]],Lookups!$F$29:$H$43,3,FALSE)</f>
        <v>0.9413635517371044</v>
      </c>
      <c r="BT204">
        <f>VLOOKUP(Grandview_Sales[[#This Row],[living_area_range]],Lookups!$F$47:$H$56,3,FALSE)</f>
        <v>0.94224801443562123</v>
      </c>
      <c r="BU204">
        <f>Grandview_Sales[[#This Row],[predicted_total]]*AVERAGE(Grandview_Sales[[#This Row],[qual_adj]:[size_adj]])</f>
        <v>486071.97363719187</v>
      </c>
      <c r="BV204">
        <f>Grandview_Sales[[#This Row],[final_total]]/Grandview_Sales[[#This Row],[sale_price]]</f>
        <v>1.0801599414159819</v>
      </c>
      <c r="BW204" s="6">
        <f>(Grandview_Sales[[#This Row],[final_total]]-Grandview_Sales[[#This Row],[sale_price]])^2</f>
        <v>1301187282.0822651</v>
      </c>
      <c r="BX204" s="6">
        <f>(Grandview_Sales[[#This Row],[final_total]]-AVERAGE(Grandview_Sales[sale_price]))^2</f>
        <v>32081396377.021702</v>
      </c>
      <c r="BY204" s="6">
        <f>Grandview_Sales[[#This Row],[SSE]]+Grandview_Sales[[#This Row],[SSR]]</f>
        <v>33382583659.103966</v>
      </c>
      <c r="BZ204" s="4">
        <f>ABS(Grandview_Sales[[#This Row],[final_ratio]]-MEDIAN(Grandview_Sales[final_ratio]))</f>
        <v>7.8911222060169983E-2</v>
      </c>
    </row>
    <row r="205" spans="1:78" x14ac:dyDescent="0.25">
      <c r="A205">
        <v>23092242486</v>
      </c>
      <c r="B205">
        <v>0.2</v>
      </c>
      <c r="C205">
        <v>8602</v>
      </c>
      <c r="D205">
        <v>0</v>
      </c>
      <c r="E205" t="s">
        <v>53</v>
      </c>
      <c r="F205" t="s">
        <v>53</v>
      </c>
      <c r="G205">
        <v>4</v>
      </c>
      <c r="H205" t="s">
        <v>54</v>
      </c>
      <c r="I205">
        <v>270900</v>
      </c>
      <c r="J205">
        <v>43500</v>
      </c>
      <c r="K205">
        <v>0.2</v>
      </c>
      <c r="L205">
        <v>-1.6094379124339999</v>
      </c>
      <c r="M205">
        <v>0</v>
      </c>
      <c r="N205">
        <v>0</v>
      </c>
      <c r="O205">
        <v>0</v>
      </c>
      <c r="P205">
        <v>13398.7528</v>
      </c>
      <c r="Q205">
        <v>63902.980100000001</v>
      </c>
      <c r="R205">
        <v>42338.519364346997</v>
      </c>
      <c r="S205" t="s">
        <v>58</v>
      </c>
      <c r="T205">
        <v>1</v>
      </c>
      <c r="U205" t="s">
        <v>64</v>
      </c>
      <c r="V205" t="s">
        <v>67</v>
      </c>
      <c r="W205">
        <v>0</v>
      </c>
      <c r="X205">
        <v>0</v>
      </c>
      <c r="Y205">
        <v>16</v>
      </c>
      <c r="Z205">
        <v>16</v>
      </c>
      <c r="AA205">
        <v>20</v>
      </c>
      <c r="AB205">
        <v>2000</v>
      </c>
      <c r="AC205">
        <v>1642</v>
      </c>
      <c r="AD205">
        <v>1642</v>
      </c>
      <c r="AE205">
        <v>0</v>
      </c>
      <c r="AF205">
        <v>0</v>
      </c>
      <c r="AG205">
        <v>0</v>
      </c>
      <c r="AH205">
        <v>506</v>
      </c>
      <c r="AI205">
        <v>0</v>
      </c>
      <c r="AJ205">
        <v>0</v>
      </c>
      <c r="AK205">
        <v>0</v>
      </c>
      <c r="AL205">
        <v>10</v>
      </c>
      <c r="AM205">
        <v>0</v>
      </c>
      <c r="AN205">
        <v>0</v>
      </c>
      <c r="AO205" t="s">
        <v>58</v>
      </c>
      <c r="AP205">
        <v>1</v>
      </c>
      <c r="AQ205" t="s">
        <v>59</v>
      </c>
      <c r="AR205" t="s">
        <v>60</v>
      </c>
      <c r="AS205">
        <v>1</v>
      </c>
      <c r="AT205">
        <v>3</v>
      </c>
      <c r="AU205">
        <v>0</v>
      </c>
      <c r="AV205">
        <v>0</v>
      </c>
      <c r="AW205">
        <v>100</v>
      </c>
      <c r="AX205" s="1">
        <v>44617</v>
      </c>
      <c r="AY205">
        <v>24900</v>
      </c>
      <c r="AZ205">
        <v>304243</v>
      </c>
      <c r="BA205">
        <v>329100</v>
      </c>
      <c r="BB205">
        <v>365000</v>
      </c>
      <c r="BC205">
        <v>310</v>
      </c>
      <c r="BD205">
        <f>Grandview_Sales[[#This Row],[land_extract]]*Lookups!$B$3</f>
        <v>49167.608223813884</v>
      </c>
      <c r="BE205">
        <f>Lookups!$B$2</f>
        <v>155833.95000000001</v>
      </c>
      <c r="BF205">
        <f>VLOOKUP(Grandview_Sales[[#This Row],[quality]],Lookups!$H$2:$J$13,3,FALSE)</f>
        <v>20768</v>
      </c>
      <c r="BG205">
        <f>VLOOKUP(Grandview_Sales[[#This Row],[condition]],Lookups!$H$17:$J$24,3,FALSE)</f>
        <v>22342</v>
      </c>
      <c r="BH205">
        <f>Grandview_Sales[[#This Row],[Eff_Age]]*Lookups!$B$14</f>
        <v>-3826.6655999999998</v>
      </c>
      <c r="BI205">
        <f>Grandview_Sales[[#This Row],[living_area]]*Lookups!$B$15</f>
        <v>102429.36062600001</v>
      </c>
      <c r="BJ205">
        <f>Grandview_Sales[[#This Row],[Fin BSMT]]*Lookups!$B$16</f>
        <v>0</v>
      </c>
      <c r="BK205">
        <f>Grandview_Sales[[#This Row],[garage_sqft]]*Lookups!$B$17</f>
        <v>44285.341121999998</v>
      </c>
      <c r="BL205">
        <f>Grandview_Sales[[#This Row],[Plumbing Fixtures]]*Lookups!$B$18</f>
        <v>20104.418000000001</v>
      </c>
      <c r="BM205">
        <f>Grandview_Sales[[#This Row],[detatched_value]]*Lookups!$B$19</f>
        <v>0</v>
      </c>
      <c r="BN205">
        <f>Grandview_Sales[[#This Row],[days_prior]]*Lookups!$B$20</f>
        <v>-37184.065999999999</v>
      </c>
      <c r="BO205">
        <f>SUM(Grandview_Sales[[#This Row],[land_value]:[Days Prior To Assessment_value]])</f>
        <v>373919.94637181395</v>
      </c>
      <c r="BP205">
        <f>Grandview_Sales[[#This Row],[predicted_total]]/Grandview_Sales[[#This Row],[sale_price]]</f>
        <v>1.0244382092378463</v>
      </c>
      <c r="BQ205">
        <f>VLOOKUP(Grandview_Sales[[#This Row],[quality]],Lookups!$A$26:$C$33,3,FALSE)</f>
        <v>0.94960540378902636</v>
      </c>
      <c r="BR205">
        <f>VLOOKUP(Grandview_Sales[[#This Row],[condition]],Lookups!$A$37:$C$44,3,FALSE)</f>
        <v>0.97383723671140243</v>
      </c>
      <c r="BS205">
        <f>VLOOKUP(Grandview_Sales[[#This Row],[decade]],Lookups!$F$29:$H$43,3,FALSE)</f>
        <v>0.96737494181490646</v>
      </c>
      <c r="BT205">
        <f>VLOOKUP(Grandview_Sales[[#This Row],[living_area_range]],Lookups!$F$47:$H$56,3,FALSE)</f>
        <v>0.96120133463014379</v>
      </c>
      <c r="BU205">
        <f>Grandview_Sales[[#This Row],[predicted_total]]*AVERAGE(Grandview_Sales[[#This Row],[qual_adj]:[size_adj]])</f>
        <v>360086.67671186657</v>
      </c>
      <c r="BV205">
        <f>Grandview_Sales[[#This Row],[final_total]]/Grandview_Sales[[#This Row],[sale_price]]</f>
        <v>0.98653884030648376</v>
      </c>
      <c r="BW205" s="6">
        <f>(Grandview_Sales[[#This Row],[final_total]]-Grandview_Sales[[#This Row],[sale_price]])^2</f>
        <v>24140745.733714264</v>
      </c>
      <c r="BX205" s="6">
        <f>(Grandview_Sales[[#This Row],[final_total]]-AVERAGE(Grandview_Sales[sale_price]))^2</f>
        <v>2822531954.6617885</v>
      </c>
      <c r="BY205" s="6">
        <f>Grandview_Sales[[#This Row],[SSE]]+Grandview_Sales[[#This Row],[SSR]]</f>
        <v>2846672700.3955026</v>
      </c>
      <c r="BZ205" s="4">
        <f>ABS(Grandview_Sales[[#This Row],[final_ratio]]-MEDIAN(Grandview_Sales[final_ratio]))</f>
        <v>1.4709879049328189E-2</v>
      </c>
    </row>
    <row r="206" spans="1:78" x14ac:dyDescent="0.25">
      <c r="A206">
        <v>23092621486</v>
      </c>
      <c r="B206">
        <v>0</v>
      </c>
      <c r="C206">
        <v>8350</v>
      </c>
      <c r="D206">
        <v>0</v>
      </c>
      <c r="E206" t="s">
        <v>53</v>
      </c>
      <c r="F206" t="s">
        <v>53</v>
      </c>
      <c r="G206">
        <v>4</v>
      </c>
      <c r="H206" t="s">
        <v>54</v>
      </c>
      <c r="I206">
        <v>316100</v>
      </c>
      <c r="J206">
        <v>39100</v>
      </c>
      <c r="K206">
        <v>0.19</v>
      </c>
      <c r="L206">
        <v>-1.6607312068219999</v>
      </c>
      <c r="M206">
        <v>0</v>
      </c>
      <c r="N206">
        <v>0</v>
      </c>
      <c r="O206">
        <v>0</v>
      </c>
      <c r="P206">
        <v>13398.7528</v>
      </c>
      <c r="Q206">
        <v>63902.980100000001</v>
      </c>
      <c r="R206">
        <v>41651.253192550997</v>
      </c>
      <c r="S206" t="s">
        <v>58</v>
      </c>
      <c r="T206">
        <v>2</v>
      </c>
      <c r="U206" t="s">
        <v>64</v>
      </c>
      <c r="V206" t="s">
        <v>57</v>
      </c>
      <c r="W206">
        <v>0</v>
      </c>
      <c r="X206">
        <v>0</v>
      </c>
      <c r="Y206">
        <v>1</v>
      </c>
      <c r="Z206">
        <v>1</v>
      </c>
      <c r="AA206">
        <v>0</v>
      </c>
      <c r="AB206">
        <v>2500</v>
      </c>
      <c r="AC206">
        <v>2148</v>
      </c>
      <c r="AD206">
        <v>896</v>
      </c>
      <c r="AE206">
        <v>1252</v>
      </c>
      <c r="AF206">
        <v>0</v>
      </c>
      <c r="AG206">
        <v>0</v>
      </c>
      <c r="AH206">
        <v>660</v>
      </c>
      <c r="AI206">
        <v>0</v>
      </c>
      <c r="AJ206">
        <v>0</v>
      </c>
      <c r="AK206">
        <v>0</v>
      </c>
      <c r="AL206">
        <v>12</v>
      </c>
      <c r="AM206">
        <v>0</v>
      </c>
      <c r="AN206">
        <v>0</v>
      </c>
      <c r="AO206" t="s">
        <v>58</v>
      </c>
      <c r="AP206">
        <v>1</v>
      </c>
      <c r="AQ206" t="s">
        <v>63</v>
      </c>
      <c r="AR206" t="s">
        <v>64</v>
      </c>
      <c r="AS206">
        <v>1</v>
      </c>
      <c r="AT206">
        <v>3</v>
      </c>
      <c r="AU206">
        <v>0</v>
      </c>
      <c r="AV206">
        <v>0</v>
      </c>
      <c r="AW206">
        <v>100</v>
      </c>
      <c r="AX206" s="1">
        <v>44621</v>
      </c>
      <c r="AY206">
        <v>22400</v>
      </c>
      <c r="AZ206">
        <v>390837</v>
      </c>
      <c r="BA206">
        <v>413200</v>
      </c>
      <c r="BB206">
        <v>429471</v>
      </c>
      <c r="BC206">
        <v>306</v>
      </c>
      <c r="BD206">
        <f>Grandview_Sales[[#This Row],[land_extract]]*Lookups!$B$3</f>
        <v>48369.487874125851</v>
      </c>
      <c r="BE206">
        <f>Lookups!$B$2</f>
        <v>155833.95000000001</v>
      </c>
      <c r="BF206">
        <f>VLOOKUP(Grandview_Sales[[#This Row],[quality]],Lookups!$H$2:$J$13,3,FALSE)</f>
        <v>20768</v>
      </c>
      <c r="BG206">
        <f>VLOOKUP(Grandview_Sales[[#This Row],[condition]],Lookups!$H$17:$J$24,3,FALSE)</f>
        <v>25780</v>
      </c>
      <c r="BH206">
        <f>Grandview_Sales[[#This Row],[Eff_Age]]*Lookups!$B$14</f>
        <v>-239.16659999999999</v>
      </c>
      <c r="BI206">
        <f>Grandview_Sales[[#This Row],[living_area]]*Lookups!$B$15</f>
        <v>133994.07224400001</v>
      </c>
      <c r="BJ206">
        <f>Grandview_Sales[[#This Row],[Fin BSMT]]*Lookups!$B$16</f>
        <v>0</v>
      </c>
      <c r="BK206">
        <f>Grandview_Sales[[#This Row],[garage_sqft]]*Lookups!$B$17</f>
        <v>57763.488420000001</v>
      </c>
      <c r="BL206">
        <f>Grandview_Sales[[#This Row],[Plumbing Fixtures]]*Lookups!$B$18</f>
        <v>24125.301599999999</v>
      </c>
      <c r="BM206">
        <f>Grandview_Sales[[#This Row],[detatched_value]]*Lookups!$B$19</f>
        <v>0</v>
      </c>
      <c r="BN206">
        <f>Grandview_Sales[[#This Row],[days_prior]]*Lookups!$B$20</f>
        <v>-36704.2716</v>
      </c>
      <c r="BO206">
        <f>SUM(Grandview_Sales[[#This Row],[land_value]:[Days Prior To Assessment_value]])</f>
        <v>429690.86193812592</v>
      </c>
      <c r="BP206">
        <f>Grandview_Sales[[#This Row],[predicted_total]]/Grandview_Sales[[#This Row],[sale_price]]</f>
        <v>1.0005119366339659</v>
      </c>
      <c r="BQ206">
        <f>VLOOKUP(Grandview_Sales[[#This Row],[quality]],Lookups!$A$26:$C$33,3,FALSE)</f>
        <v>0.94960540378902636</v>
      </c>
      <c r="BR206">
        <f>VLOOKUP(Grandview_Sales[[#This Row],[condition]],Lookups!$A$37:$C$44,3,FALSE)</f>
        <v>0.94347925387812148</v>
      </c>
      <c r="BS206">
        <f>VLOOKUP(Grandview_Sales[[#This Row],[decade]],Lookups!$F$29:$H$43,3,FALSE)</f>
        <v>0.9413635517371044</v>
      </c>
      <c r="BT206">
        <f>VLOOKUP(Grandview_Sales[[#This Row],[living_area_range]],Lookups!$F$47:$H$56,3,FALSE)</f>
        <v>0.95799442568048754</v>
      </c>
      <c r="BU206">
        <f>Grandview_Sales[[#This Row],[predicted_total]]*AVERAGE(Grandview_Sales[[#This Row],[qual_adj]:[size_adj]])</f>
        <v>407394.48618011485</v>
      </c>
      <c r="BV206">
        <f>Grandview_Sales[[#This Row],[final_total]]/Grandview_Sales[[#This Row],[sale_price]]</f>
        <v>0.94859603135046333</v>
      </c>
      <c r="BW206" s="6">
        <f>(Grandview_Sales[[#This Row],[final_total]]-Grandview_Sales[[#This Row],[sale_price]])^2</f>
        <v>487372462.43957996</v>
      </c>
      <c r="BX206" s="6">
        <f>(Grandview_Sales[[#This Row],[final_total]]-AVERAGE(Grandview_Sales[sale_price]))^2</f>
        <v>10087252708.300943</v>
      </c>
      <c r="BY206" s="6">
        <f>Grandview_Sales[[#This Row],[SSE]]+Grandview_Sales[[#This Row],[SSR]]</f>
        <v>10574625170.740524</v>
      </c>
      <c r="BZ206" s="4">
        <f>ABS(Grandview_Sales[[#This Row],[final_ratio]]-MEDIAN(Grandview_Sales[final_ratio]))</f>
        <v>5.2652688005348613E-2</v>
      </c>
    </row>
    <row r="207" spans="1:78" x14ac:dyDescent="0.25">
      <c r="A207">
        <v>23092324443</v>
      </c>
      <c r="B207">
        <v>0.17</v>
      </c>
      <c r="C207">
        <v>7237</v>
      </c>
      <c r="D207">
        <v>0</v>
      </c>
      <c r="E207" t="s">
        <v>53</v>
      </c>
      <c r="F207" t="s">
        <v>53</v>
      </c>
      <c r="G207">
        <v>4</v>
      </c>
      <c r="H207" t="s">
        <v>54</v>
      </c>
      <c r="I207">
        <v>134800</v>
      </c>
      <c r="J207">
        <v>39100</v>
      </c>
      <c r="K207">
        <v>0.17</v>
      </c>
      <c r="L207">
        <v>-1.771956841932</v>
      </c>
      <c r="M207">
        <v>0</v>
      </c>
      <c r="N207">
        <v>0</v>
      </c>
      <c r="O207">
        <v>0</v>
      </c>
      <c r="P207">
        <v>13398.7528</v>
      </c>
      <c r="Q207">
        <v>63902.980100000001</v>
      </c>
      <c r="R207">
        <v>40160.968402685998</v>
      </c>
      <c r="S207" t="s">
        <v>68</v>
      </c>
      <c r="T207">
        <v>1</v>
      </c>
      <c r="U207" t="s">
        <v>65</v>
      </c>
      <c r="V207" t="s">
        <v>78</v>
      </c>
      <c r="W207">
        <v>0</v>
      </c>
      <c r="X207">
        <v>0</v>
      </c>
      <c r="Y207">
        <v>50</v>
      </c>
      <c r="Z207">
        <v>73</v>
      </c>
      <c r="AA207">
        <v>70</v>
      </c>
      <c r="AB207">
        <v>1500</v>
      </c>
      <c r="AC207">
        <v>1176</v>
      </c>
      <c r="AD207">
        <v>1176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5</v>
      </c>
      <c r="AM207">
        <v>1</v>
      </c>
      <c r="AN207">
        <v>0</v>
      </c>
      <c r="AO207" t="s">
        <v>71</v>
      </c>
      <c r="AP207">
        <v>1</v>
      </c>
      <c r="AQ207" t="s">
        <v>63</v>
      </c>
      <c r="AR207" t="s">
        <v>60</v>
      </c>
      <c r="AS207">
        <v>1</v>
      </c>
      <c r="AT207">
        <v>3</v>
      </c>
      <c r="AU207">
        <v>0</v>
      </c>
      <c r="AV207">
        <v>8700</v>
      </c>
      <c r="AW207">
        <v>100</v>
      </c>
      <c r="AX207" s="1">
        <v>44622</v>
      </c>
      <c r="AY207">
        <v>22400</v>
      </c>
      <c r="AZ207">
        <v>110614</v>
      </c>
      <c r="BA207">
        <v>133000</v>
      </c>
      <c r="BB207">
        <v>239900</v>
      </c>
      <c r="BC207">
        <v>305</v>
      </c>
      <c r="BD207">
        <f>Grandview_Sales[[#This Row],[land_extract]]*Lookups!$B$3</f>
        <v>46638.82417142456</v>
      </c>
      <c r="BE207">
        <f>Lookups!$B$2</f>
        <v>155833.95000000001</v>
      </c>
      <c r="BF207">
        <f>VLOOKUP(Grandview_Sales[[#This Row],[quality]],Lookups!$H$2:$J$13,3,FALSE)</f>
        <v>2251</v>
      </c>
      <c r="BG207">
        <f>VLOOKUP(Grandview_Sales[[#This Row],[condition]],Lookups!$H$17:$J$24,3,FALSE)</f>
        <v>-45357</v>
      </c>
      <c r="BH207">
        <f>Grandview_Sales[[#This Row],[Eff_Age]]*Lookups!$B$14</f>
        <v>-11958.33</v>
      </c>
      <c r="BI207">
        <f>Grandview_Sales[[#This Row],[living_area]]*Lookups!$B$15</f>
        <v>73359.883128000001</v>
      </c>
      <c r="BJ207">
        <f>Grandview_Sales[[#This Row],[Fin BSMT]]*Lookups!$B$16</f>
        <v>0</v>
      </c>
      <c r="BK207">
        <f>Grandview_Sales[[#This Row],[garage_sqft]]*Lookups!$B$17</f>
        <v>0</v>
      </c>
      <c r="BL207">
        <f>Grandview_Sales[[#This Row],[Plumbing Fixtures]]*Lookups!$B$18</f>
        <v>10052.209000000001</v>
      </c>
      <c r="BM207">
        <f>Grandview_Sales[[#This Row],[detatched_value]]*Lookups!$B$19</f>
        <v>7367.2043699999995</v>
      </c>
      <c r="BN207">
        <f>Grandview_Sales[[#This Row],[days_prior]]*Lookups!$B$20</f>
        <v>-36584.322999999997</v>
      </c>
      <c r="BO207">
        <f>SUM(Grandview_Sales[[#This Row],[land_value]:[Days Prior To Assessment_value]])</f>
        <v>201603.41766942455</v>
      </c>
      <c r="BP207">
        <f>Grandview_Sales[[#This Row],[predicted_total]]/Grandview_Sales[[#This Row],[sale_price]]</f>
        <v>0.84036439211931868</v>
      </c>
      <c r="BQ207">
        <f>VLOOKUP(Grandview_Sales[[#This Row],[quality]],Lookups!$A$26:$C$33,3,FALSE)</f>
        <v>0.98763855981004833</v>
      </c>
      <c r="BR207">
        <f>VLOOKUP(Grandview_Sales[[#This Row],[condition]],Lookups!$A$37:$C$44,3,FALSE)</f>
        <v>0.97161819570155394</v>
      </c>
      <c r="BS207">
        <f>VLOOKUP(Grandview_Sales[[#This Row],[decade]],Lookups!$F$29:$H$43,3,FALSE)</f>
        <v>0.99472141305414818</v>
      </c>
      <c r="BT207">
        <f>VLOOKUP(Grandview_Sales[[#This Row],[living_area_range]],Lookups!$F$47:$H$56,3,FALSE)</f>
        <v>0.96135087979789358</v>
      </c>
      <c r="BU207">
        <f>Grandview_Sales[[#This Row],[predicted_total]]*AVERAGE(Grandview_Sales[[#This Row],[qual_adj]:[size_adj]])</f>
        <v>197335.92936262157</v>
      </c>
      <c r="BV207">
        <f>Grandview_Sales[[#This Row],[final_total]]/Grandview_Sales[[#This Row],[sale_price]]</f>
        <v>0.82257577891880607</v>
      </c>
      <c r="BW207" s="6">
        <f>(Grandview_Sales[[#This Row],[final_total]]-Grandview_Sales[[#This Row],[sale_price]])^2</f>
        <v>1811700109.2237411</v>
      </c>
      <c r="BX207" s="6">
        <f>(Grandview_Sales[[#This Row],[final_total]]-AVERAGE(Grandview_Sales[sale_price]))^2</f>
        <v>12017254918.291475</v>
      </c>
      <c r="BY207" s="6">
        <f>Grandview_Sales[[#This Row],[SSE]]+Grandview_Sales[[#This Row],[SSR]]</f>
        <v>13828955027.515217</v>
      </c>
      <c r="BZ207" s="4">
        <f>ABS(Grandview_Sales[[#This Row],[final_ratio]]-MEDIAN(Grandview_Sales[final_ratio]))</f>
        <v>0.17867294043700588</v>
      </c>
    </row>
    <row r="208" spans="1:78" x14ac:dyDescent="0.25">
      <c r="A208">
        <v>23092241458</v>
      </c>
      <c r="B208">
        <v>0.17</v>
      </c>
      <c r="C208">
        <v>7481</v>
      </c>
      <c r="D208">
        <v>0</v>
      </c>
      <c r="E208" t="s">
        <v>53</v>
      </c>
      <c r="F208" t="s">
        <v>53</v>
      </c>
      <c r="G208">
        <v>4</v>
      </c>
      <c r="H208" t="s">
        <v>54</v>
      </c>
      <c r="I208">
        <v>267400</v>
      </c>
      <c r="J208">
        <v>43000</v>
      </c>
      <c r="K208">
        <v>0.17</v>
      </c>
      <c r="L208">
        <v>-1.771956841932</v>
      </c>
      <c r="M208">
        <v>0</v>
      </c>
      <c r="N208">
        <v>0</v>
      </c>
      <c r="O208">
        <v>0</v>
      </c>
      <c r="P208">
        <v>13398.7528</v>
      </c>
      <c r="Q208">
        <v>63902.980100000001</v>
      </c>
      <c r="R208">
        <v>40160.968402685998</v>
      </c>
      <c r="S208" t="s">
        <v>74</v>
      </c>
      <c r="T208">
        <v>1</v>
      </c>
      <c r="U208" t="s">
        <v>65</v>
      </c>
      <c r="V208" t="s">
        <v>67</v>
      </c>
      <c r="W208">
        <v>0</v>
      </c>
      <c r="X208">
        <v>0</v>
      </c>
      <c r="Y208">
        <v>48</v>
      </c>
      <c r="Z208">
        <v>60</v>
      </c>
      <c r="AA208">
        <v>60</v>
      </c>
      <c r="AB208">
        <v>2500</v>
      </c>
      <c r="AC208">
        <v>2030</v>
      </c>
      <c r="AD208">
        <v>1382</v>
      </c>
      <c r="AE208">
        <v>0</v>
      </c>
      <c r="AF208">
        <v>648</v>
      </c>
      <c r="AG208">
        <v>0</v>
      </c>
      <c r="AH208">
        <v>0</v>
      </c>
      <c r="AI208">
        <v>392</v>
      </c>
      <c r="AJ208">
        <v>0</v>
      </c>
      <c r="AK208">
        <v>457</v>
      </c>
      <c r="AL208">
        <v>8</v>
      </c>
      <c r="AM208">
        <v>0</v>
      </c>
      <c r="AN208">
        <v>1</v>
      </c>
      <c r="AO208" t="s">
        <v>58</v>
      </c>
      <c r="AP208">
        <v>1</v>
      </c>
      <c r="AQ208" t="s">
        <v>59</v>
      </c>
      <c r="AR208" t="s">
        <v>60</v>
      </c>
      <c r="AS208">
        <v>1</v>
      </c>
      <c r="AT208">
        <v>3</v>
      </c>
      <c r="AU208">
        <v>0</v>
      </c>
      <c r="AV208">
        <v>0</v>
      </c>
      <c r="AW208">
        <v>100</v>
      </c>
      <c r="AX208" s="1">
        <v>44627</v>
      </c>
      <c r="AY208">
        <v>24600</v>
      </c>
      <c r="AZ208">
        <v>218813</v>
      </c>
      <c r="BA208">
        <v>243400</v>
      </c>
      <c r="BB208">
        <v>320000</v>
      </c>
      <c r="BC208">
        <v>300</v>
      </c>
      <c r="BD208">
        <f>Grandview_Sales[[#This Row],[land_extract]]*Lookups!$B$3</f>
        <v>46638.82417142456</v>
      </c>
      <c r="BE208">
        <f>Lookups!$B$2</f>
        <v>155833.95000000001</v>
      </c>
      <c r="BF208">
        <f>VLOOKUP(Grandview_Sales[[#This Row],[quality]],Lookups!$H$2:$J$13,3,FALSE)</f>
        <v>2251</v>
      </c>
      <c r="BG208">
        <f>VLOOKUP(Grandview_Sales[[#This Row],[condition]],Lookups!$H$17:$J$24,3,FALSE)</f>
        <v>22342</v>
      </c>
      <c r="BH208">
        <f>Grandview_Sales[[#This Row],[Eff_Age]]*Lookups!$B$14</f>
        <v>-11479.996799999999</v>
      </c>
      <c r="BI208">
        <f>Grandview_Sales[[#This Row],[living_area]]*Lookups!$B$15</f>
        <v>126633.13159</v>
      </c>
      <c r="BJ208">
        <f>Grandview_Sales[[#This Row],[Fin BSMT]]*Lookups!$B$16</f>
        <v>-17560.307520000002</v>
      </c>
      <c r="BK208">
        <f>Grandview_Sales[[#This Row],[garage_sqft]]*Lookups!$B$17</f>
        <v>0</v>
      </c>
      <c r="BL208">
        <f>Grandview_Sales[[#This Row],[Plumbing Fixtures]]*Lookups!$B$18</f>
        <v>16083.5344</v>
      </c>
      <c r="BM208">
        <f>Grandview_Sales[[#This Row],[detatched_value]]*Lookups!$B$19</f>
        <v>0</v>
      </c>
      <c r="BN208">
        <f>Grandview_Sales[[#This Row],[days_prior]]*Lookups!$B$20</f>
        <v>-35984.58</v>
      </c>
      <c r="BO208">
        <f>SUM(Grandview_Sales[[#This Row],[land_value]:[Days Prior To Assessment_value]])</f>
        <v>304757.55584142456</v>
      </c>
      <c r="BP208">
        <f>Grandview_Sales[[#This Row],[predicted_total]]/Grandview_Sales[[#This Row],[sale_price]]</f>
        <v>0.95236736200445171</v>
      </c>
      <c r="BQ208">
        <f>VLOOKUP(Grandview_Sales[[#This Row],[quality]],Lookups!$A$26:$C$33,3,FALSE)</f>
        <v>0.98763855981004833</v>
      </c>
      <c r="BR208">
        <f>VLOOKUP(Grandview_Sales[[#This Row],[condition]],Lookups!$A$37:$C$44,3,FALSE)</f>
        <v>0.97383723671140243</v>
      </c>
      <c r="BS208">
        <f>VLOOKUP(Grandview_Sales[[#This Row],[decade]],Lookups!$F$29:$H$43,3,FALSE)</f>
        <v>0.95268620544463312</v>
      </c>
      <c r="BT208">
        <f>VLOOKUP(Grandview_Sales[[#This Row],[living_area_range]],Lookups!$F$47:$H$56,3,FALSE)</f>
        <v>0.95799442568048754</v>
      </c>
      <c r="BU208">
        <f>Grandview_Sales[[#This Row],[predicted_total]]*AVERAGE(Grandview_Sales[[#This Row],[qual_adj]:[size_adj]])</f>
        <v>295017.23218130774</v>
      </c>
      <c r="BV208">
        <f>Grandview_Sales[[#This Row],[final_total]]/Grandview_Sales[[#This Row],[sale_price]]</f>
        <v>0.92192885056658669</v>
      </c>
      <c r="BW208" s="6">
        <f>(Grandview_Sales[[#This Row],[final_total]]-Grandview_Sales[[#This Row],[sale_price]])^2</f>
        <v>624138687.88268542</v>
      </c>
      <c r="BX208" s="6">
        <f>(Grandview_Sales[[#This Row],[final_total]]-AVERAGE(Grandview_Sales[sale_price]))^2</f>
        <v>142609882.18271703</v>
      </c>
      <c r="BY208" s="6">
        <f>Grandview_Sales[[#This Row],[SSE]]+Grandview_Sales[[#This Row],[SSR]]</f>
        <v>766748570.06540251</v>
      </c>
      <c r="BZ208" s="4">
        <f>ABS(Grandview_Sales[[#This Row],[final_ratio]]-MEDIAN(Grandview_Sales[final_ratio]))</f>
        <v>7.9319868789225256E-2</v>
      </c>
    </row>
    <row r="209" spans="1:78" x14ac:dyDescent="0.25">
      <c r="A209">
        <v>23092232500</v>
      </c>
      <c r="B209">
        <v>0</v>
      </c>
      <c r="C209">
        <v>13202</v>
      </c>
      <c r="D209">
        <v>0</v>
      </c>
      <c r="E209" t="s">
        <v>53</v>
      </c>
      <c r="F209" t="s">
        <v>53</v>
      </c>
      <c r="G209">
        <v>4</v>
      </c>
      <c r="H209" t="s">
        <v>54</v>
      </c>
      <c r="I209">
        <v>306700</v>
      </c>
      <c r="J209">
        <v>40900</v>
      </c>
      <c r="K209">
        <v>0.3</v>
      </c>
      <c r="L209">
        <v>-1.2039728043260001</v>
      </c>
      <c r="M209">
        <v>0</v>
      </c>
      <c r="N209">
        <v>0</v>
      </c>
      <c r="O209">
        <v>0</v>
      </c>
      <c r="P209">
        <v>13398.7528</v>
      </c>
      <c r="Q209">
        <v>63902.980100000001</v>
      </c>
      <c r="R209">
        <v>47771.246116914001</v>
      </c>
      <c r="S209" t="s">
        <v>55</v>
      </c>
      <c r="T209">
        <v>1</v>
      </c>
      <c r="U209" t="s">
        <v>64</v>
      </c>
      <c r="V209" t="s">
        <v>57</v>
      </c>
      <c r="W209">
        <v>0</v>
      </c>
      <c r="X209">
        <v>0</v>
      </c>
      <c r="Y209">
        <v>2</v>
      </c>
      <c r="Z209">
        <v>2</v>
      </c>
      <c r="AA209">
        <v>0</v>
      </c>
      <c r="AB209">
        <v>2000</v>
      </c>
      <c r="AC209">
        <v>1807</v>
      </c>
      <c r="AD209">
        <v>1807</v>
      </c>
      <c r="AE209">
        <v>0</v>
      </c>
      <c r="AF209">
        <v>0</v>
      </c>
      <c r="AG209">
        <v>0</v>
      </c>
      <c r="AH209">
        <v>668</v>
      </c>
      <c r="AI209">
        <v>0</v>
      </c>
      <c r="AJ209">
        <v>0</v>
      </c>
      <c r="AK209">
        <v>0</v>
      </c>
      <c r="AL209">
        <v>9</v>
      </c>
      <c r="AM209">
        <v>0</v>
      </c>
      <c r="AN209">
        <v>0</v>
      </c>
      <c r="AO209" t="s">
        <v>58</v>
      </c>
      <c r="AP209">
        <v>1</v>
      </c>
      <c r="AQ209" t="s">
        <v>63</v>
      </c>
      <c r="AR209" t="s">
        <v>64</v>
      </c>
      <c r="AS209">
        <v>1</v>
      </c>
      <c r="AT209">
        <v>3</v>
      </c>
      <c r="AU209">
        <v>0</v>
      </c>
      <c r="AV209">
        <v>0</v>
      </c>
      <c r="AW209">
        <v>100</v>
      </c>
      <c r="AX209" s="1">
        <v>44629</v>
      </c>
      <c r="AY209">
        <v>23400</v>
      </c>
      <c r="AZ209">
        <v>358017</v>
      </c>
      <c r="BA209">
        <v>381400</v>
      </c>
      <c r="BB209">
        <v>447850</v>
      </c>
      <c r="BC209">
        <v>298</v>
      </c>
      <c r="BD209">
        <f>Grandview_Sales[[#This Row],[land_extract]]*Lookups!$B$3</f>
        <v>55476.619133207714</v>
      </c>
      <c r="BE209">
        <f>Lookups!$B$2</f>
        <v>155833.95000000001</v>
      </c>
      <c r="BF209">
        <f>VLOOKUP(Grandview_Sales[[#This Row],[quality]],Lookups!$H$2:$J$13,3,FALSE)</f>
        <v>20768</v>
      </c>
      <c r="BG209">
        <f>VLOOKUP(Grandview_Sales[[#This Row],[condition]],Lookups!$H$17:$J$24,3,FALSE)</f>
        <v>25780</v>
      </c>
      <c r="BH209">
        <f>Grandview_Sales[[#This Row],[Eff_Age]]*Lookups!$B$14</f>
        <v>-478.33319999999998</v>
      </c>
      <c r="BI209">
        <f>Grandview_Sales[[#This Row],[living_area]]*Lookups!$B$15</f>
        <v>112722.201371</v>
      </c>
      <c r="BJ209">
        <f>Grandview_Sales[[#This Row],[Fin BSMT]]*Lookups!$B$16</f>
        <v>0</v>
      </c>
      <c r="BK209">
        <f>Grandview_Sales[[#This Row],[garage_sqft]]*Lookups!$B$17</f>
        <v>58463.651916000003</v>
      </c>
      <c r="BL209">
        <f>Grandview_Sales[[#This Row],[Plumbing Fixtures]]*Lookups!$B$18</f>
        <v>18093.976200000001</v>
      </c>
      <c r="BM209">
        <f>Grandview_Sales[[#This Row],[detatched_value]]*Lookups!$B$19</f>
        <v>0</v>
      </c>
      <c r="BN209">
        <f>Grandview_Sales[[#This Row],[days_prior]]*Lookups!$B$20</f>
        <v>-35744.682800000002</v>
      </c>
      <c r="BO209">
        <f>SUM(Grandview_Sales[[#This Row],[land_value]:[Days Prior To Assessment_value]])</f>
        <v>410915.38262020767</v>
      </c>
      <c r="BP209">
        <f>Grandview_Sales[[#This Row],[predicted_total]]/Grandview_Sales[[#This Row],[sale_price]]</f>
        <v>0.91752904459128648</v>
      </c>
      <c r="BQ209">
        <f>VLOOKUP(Grandview_Sales[[#This Row],[quality]],Lookups!$A$26:$C$33,3,FALSE)</f>
        <v>0.94960540378902636</v>
      </c>
      <c r="BR209">
        <f>VLOOKUP(Grandview_Sales[[#This Row],[condition]],Lookups!$A$37:$C$44,3,FALSE)</f>
        <v>0.94347925387812148</v>
      </c>
      <c r="BS209">
        <f>VLOOKUP(Grandview_Sales[[#This Row],[decade]],Lookups!$F$29:$H$43,3,FALSE)</f>
        <v>0.9413635517371044</v>
      </c>
      <c r="BT209">
        <f>VLOOKUP(Grandview_Sales[[#This Row],[living_area_range]],Lookups!$F$47:$H$56,3,FALSE)</f>
        <v>0.96120133463014379</v>
      </c>
      <c r="BU209">
        <f>Grandview_Sales[[#This Row],[predicted_total]]*AVERAGE(Grandview_Sales[[#This Row],[qual_adj]:[size_adj]])</f>
        <v>389922.69616977766</v>
      </c>
      <c r="BV209">
        <f>Grandview_Sales[[#This Row],[final_total]]/Grandview_Sales[[#This Row],[sale_price]]</f>
        <v>0.8706546749353079</v>
      </c>
      <c r="BW209" s="6">
        <f>(Grandview_Sales[[#This Row],[final_total]]-Grandview_Sales[[#This Row],[sale_price]])^2</f>
        <v>3355572529.0388923</v>
      </c>
      <c r="BX209" s="6">
        <f>(Grandview_Sales[[#This Row],[final_total]]-AVERAGE(Grandview_Sales[sale_price]))^2</f>
        <v>6882946651.4779606</v>
      </c>
      <c r="BY209" s="6">
        <f>Grandview_Sales[[#This Row],[SSE]]+Grandview_Sales[[#This Row],[SSR]]</f>
        <v>10238519180.516853</v>
      </c>
      <c r="BZ209" s="4">
        <f>ABS(Grandview_Sales[[#This Row],[final_ratio]]-MEDIAN(Grandview_Sales[final_ratio]))</f>
        <v>0.13059404442050404</v>
      </c>
    </row>
    <row r="210" spans="1:78" x14ac:dyDescent="0.25">
      <c r="A210">
        <v>23092243423</v>
      </c>
      <c r="B210">
        <v>0.46</v>
      </c>
      <c r="C210">
        <v>20000</v>
      </c>
      <c r="D210">
        <v>0</v>
      </c>
      <c r="E210" t="s">
        <v>53</v>
      </c>
      <c r="F210" t="s">
        <v>53</v>
      </c>
      <c r="G210">
        <v>4</v>
      </c>
      <c r="H210" t="s">
        <v>54</v>
      </c>
      <c r="I210">
        <v>157700</v>
      </c>
      <c r="J210">
        <v>46100</v>
      </c>
      <c r="K210">
        <v>0.46</v>
      </c>
      <c r="L210">
        <v>-0.77652878949899995</v>
      </c>
      <c r="M210">
        <v>0</v>
      </c>
      <c r="N210">
        <v>0</v>
      </c>
      <c r="O210">
        <v>0</v>
      </c>
      <c r="P210">
        <v>13398.7528</v>
      </c>
      <c r="Q210">
        <v>63902.980100000001</v>
      </c>
      <c r="R210">
        <v>53498.462807420001</v>
      </c>
      <c r="S210" t="s">
        <v>68</v>
      </c>
      <c r="T210">
        <v>1</v>
      </c>
      <c r="U210" t="s">
        <v>65</v>
      </c>
      <c r="V210" t="s">
        <v>78</v>
      </c>
      <c r="W210">
        <v>0</v>
      </c>
      <c r="X210">
        <v>0</v>
      </c>
      <c r="Y210">
        <v>49</v>
      </c>
      <c r="Z210">
        <v>67</v>
      </c>
      <c r="AA210">
        <v>70</v>
      </c>
      <c r="AB210">
        <v>2000</v>
      </c>
      <c r="AC210">
        <v>1938</v>
      </c>
      <c r="AD210">
        <v>1938</v>
      </c>
      <c r="AE210">
        <v>0</v>
      </c>
      <c r="AF210">
        <v>0</v>
      </c>
      <c r="AG210">
        <v>0</v>
      </c>
      <c r="AH210">
        <v>0</v>
      </c>
      <c r="AI210">
        <v>264</v>
      </c>
      <c r="AJ210">
        <v>0</v>
      </c>
      <c r="AK210">
        <v>714</v>
      </c>
      <c r="AL210">
        <v>8</v>
      </c>
      <c r="AM210">
        <v>0</v>
      </c>
      <c r="AN210">
        <v>1</v>
      </c>
      <c r="AO210" t="s">
        <v>58</v>
      </c>
      <c r="AP210">
        <v>1</v>
      </c>
      <c r="AQ210" t="s">
        <v>63</v>
      </c>
      <c r="AR210" t="s">
        <v>60</v>
      </c>
      <c r="AS210">
        <v>0</v>
      </c>
      <c r="AT210">
        <v>5</v>
      </c>
      <c r="AU210">
        <v>0</v>
      </c>
      <c r="AV210">
        <v>4400</v>
      </c>
      <c r="AW210">
        <v>100</v>
      </c>
      <c r="AX210" s="1">
        <v>44631</v>
      </c>
      <c r="AY210">
        <v>26400</v>
      </c>
      <c r="AZ210">
        <v>156796</v>
      </c>
      <c r="BA210">
        <v>183200</v>
      </c>
      <c r="BB210">
        <v>244075</v>
      </c>
      <c r="BC210">
        <v>296</v>
      </c>
      <c r="BD210">
        <f>Grandview_Sales[[#This Row],[land_extract]]*Lookups!$B$3</f>
        <v>62127.620412407268</v>
      </c>
      <c r="BE210">
        <f>Lookups!$B$2</f>
        <v>155833.95000000001</v>
      </c>
      <c r="BF210">
        <f>VLOOKUP(Grandview_Sales[[#This Row],[quality]],Lookups!$H$2:$J$13,3,FALSE)</f>
        <v>2251</v>
      </c>
      <c r="BG210">
        <f>VLOOKUP(Grandview_Sales[[#This Row],[condition]],Lookups!$H$17:$J$24,3,FALSE)</f>
        <v>-45357</v>
      </c>
      <c r="BH210">
        <f>Grandview_Sales[[#This Row],[Eff_Age]]*Lookups!$B$14</f>
        <v>-11719.163399999999</v>
      </c>
      <c r="BI210">
        <f>Grandview_Sales[[#This Row],[living_area]]*Lookups!$B$15</f>
        <v>120894.093114</v>
      </c>
      <c r="BJ210">
        <f>Grandview_Sales[[#This Row],[Fin BSMT]]*Lookups!$B$16</f>
        <v>0</v>
      </c>
      <c r="BK210">
        <f>Grandview_Sales[[#This Row],[garage_sqft]]*Lookups!$B$17</f>
        <v>0</v>
      </c>
      <c r="BL210">
        <f>Grandview_Sales[[#This Row],[Plumbing Fixtures]]*Lookups!$B$18</f>
        <v>16083.5344</v>
      </c>
      <c r="BM210">
        <f>Grandview_Sales[[#This Row],[detatched_value]]*Lookups!$B$19</f>
        <v>3725.9424399999998</v>
      </c>
      <c r="BN210">
        <f>Grandview_Sales[[#This Row],[days_prior]]*Lookups!$B$20</f>
        <v>-35504.785600000003</v>
      </c>
      <c r="BO210">
        <f>SUM(Grandview_Sales[[#This Row],[land_value]:[Days Prior To Assessment_value]])</f>
        <v>268335.19136640732</v>
      </c>
      <c r="BP210">
        <f>Grandview_Sales[[#This Row],[predicted_total]]/Grandview_Sales[[#This Row],[sale_price]]</f>
        <v>1.0993964616056839</v>
      </c>
      <c r="BQ210">
        <f>VLOOKUP(Grandview_Sales[[#This Row],[quality]],Lookups!$A$26:$C$33,3,FALSE)</f>
        <v>0.98763855981004833</v>
      </c>
      <c r="BR210">
        <f>VLOOKUP(Grandview_Sales[[#This Row],[condition]],Lookups!$A$37:$C$44,3,FALSE)</f>
        <v>0.97161819570155394</v>
      </c>
      <c r="BS210">
        <f>VLOOKUP(Grandview_Sales[[#This Row],[decade]],Lookups!$F$29:$H$43,3,FALSE)</f>
        <v>0.99472141305414818</v>
      </c>
      <c r="BT210">
        <f>VLOOKUP(Grandview_Sales[[#This Row],[living_area_range]],Lookups!$F$47:$H$56,3,FALSE)</f>
        <v>0.96120133463014379</v>
      </c>
      <c r="BU210">
        <f>Grandview_Sales[[#This Row],[predicted_total]]*AVERAGE(Grandview_Sales[[#This Row],[qual_adj]:[size_adj]])</f>
        <v>262645.11030597641</v>
      </c>
      <c r="BV210">
        <f>Grandview_Sales[[#This Row],[final_total]]/Grandview_Sales[[#This Row],[sale_price]]</f>
        <v>1.0760836230911663</v>
      </c>
      <c r="BW210" s="6">
        <f>(Grandview_Sales[[#This Row],[final_total]]-Grandview_Sales[[#This Row],[sale_price]])^2</f>
        <v>344848996.77613139</v>
      </c>
      <c r="BX210" s="6">
        <f>(Grandview_Sales[[#This Row],[final_total]]-AVERAGE(Grandview_Sales[sale_price]))^2</f>
        <v>1963735898.8749456</v>
      </c>
      <c r="BY210" s="6">
        <f>Grandview_Sales[[#This Row],[SSE]]+Grandview_Sales[[#This Row],[SSR]]</f>
        <v>2308584895.6510773</v>
      </c>
      <c r="BZ210" s="4">
        <f>ABS(Grandview_Sales[[#This Row],[final_ratio]]-MEDIAN(Grandview_Sales[final_ratio]))</f>
        <v>7.4834903735354397E-2</v>
      </c>
    </row>
    <row r="211" spans="1:78" x14ac:dyDescent="0.25">
      <c r="A211">
        <v>23092621462</v>
      </c>
      <c r="B211">
        <v>0</v>
      </c>
      <c r="C211">
        <v>8250</v>
      </c>
      <c r="D211">
        <v>0</v>
      </c>
      <c r="E211" t="s">
        <v>53</v>
      </c>
      <c r="F211" t="s">
        <v>53</v>
      </c>
      <c r="G211">
        <v>4</v>
      </c>
      <c r="H211" t="s">
        <v>54</v>
      </c>
      <c r="I211">
        <v>258600</v>
      </c>
      <c r="J211">
        <v>39100</v>
      </c>
      <c r="K211">
        <v>0.19</v>
      </c>
      <c r="L211">
        <v>-1.6607312068219999</v>
      </c>
      <c r="M211">
        <v>0</v>
      </c>
      <c r="N211">
        <v>0</v>
      </c>
      <c r="O211">
        <v>0</v>
      </c>
      <c r="P211">
        <v>13398.7528</v>
      </c>
      <c r="Q211">
        <v>63902.980100000001</v>
      </c>
      <c r="R211">
        <v>41651.253192550997</v>
      </c>
      <c r="S211" t="s">
        <v>55</v>
      </c>
      <c r="T211">
        <v>1</v>
      </c>
      <c r="U211" t="s">
        <v>62</v>
      </c>
      <c r="V211" t="s">
        <v>57</v>
      </c>
      <c r="W211">
        <v>0</v>
      </c>
      <c r="X211">
        <v>0</v>
      </c>
      <c r="Y211">
        <v>2</v>
      </c>
      <c r="Z211">
        <v>2</v>
      </c>
      <c r="AA211">
        <v>0</v>
      </c>
      <c r="AB211">
        <v>1500</v>
      </c>
      <c r="AC211">
        <v>1419</v>
      </c>
      <c r="AD211">
        <v>1419</v>
      </c>
      <c r="AE211">
        <v>0</v>
      </c>
      <c r="AF211">
        <v>0</v>
      </c>
      <c r="AG211">
        <v>0</v>
      </c>
      <c r="AH211">
        <v>440</v>
      </c>
      <c r="AI211">
        <v>0</v>
      </c>
      <c r="AJ211">
        <v>0</v>
      </c>
      <c r="AK211">
        <v>0</v>
      </c>
      <c r="AL211">
        <v>9</v>
      </c>
      <c r="AM211">
        <v>0</v>
      </c>
      <c r="AN211">
        <v>0</v>
      </c>
      <c r="AO211" t="s">
        <v>58</v>
      </c>
      <c r="AP211">
        <v>1</v>
      </c>
      <c r="AQ211" t="s">
        <v>63</v>
      </c>
      <c r="AR211" t="s">
        <v>64</v>
      </c>
      <c r="AS211">
        <v>1</v>
      </c>
      <c r="AT211">
        <v>3</v>
      </c>
      <c r="AU211">
        <v>0</v>
      </c>
      <c r="AV211">
        <v>0</v>
      </c>
      <c r="AW211">
        <v>100</v>
      </c>
      <c r="AX211" s="1">
        <v>44638</v>
      </c>
      <c r="AY211">
        <v>22400</v>
      </c>
      <c r="AZ211">
        <v>256173</v>
      </c>
      <c r="BA211">
        <v>278600</v>
      </c>
      <c r="BB211">
        <v>302250</v>
      </c>
      <c r="BC211">
        <v>289</v>
      </c>
      <c r="BD211">
        <f>Grandview_Sales[[#This Row],[land_extract]]*Lookups!$B$3</f>
        <v>48369.487874125851</v>
      </c>
      <c r="BE211">
        <f>Lookups!$B$2</f>
        <v>155833.95000000001</v>
      </c>
      <c r="BF211">
        <f>VLOOKUP(Grandview_Sales[[#This Row],[quality]],Lookups!$H$2:$J$13,3,FALSE)</f>
        <v>9808</v>
      </c>
      <c r="BG211">
        <f>VLOOKUP(Grandview_Sales[[#This Row],[condition]],Lookups!$H$17:$J$24,3,FALSE)</f>
        <v>25780</v>
      </c>
      <c r="BH211">
        <f>Grandview_Sales[[#This Row],[Eff_Age]]*Lookups!$B$14</f>
        <v>-478.33319999999998</v>
      </c>
      <c r="BI211">
        <f>Grandview_Sales[[#This Row],[living_area]]*Lookups!$B$15</f>
        <v>88518.430407000007</v>
      </c>
      <c r="BJ211">
        <f>Grandview_Sales[[#This Row],[Fin BSMT]]*Lookups!$B$16</f>
        <v>0</v>
      </c>
      <c r="BK211">
        <f>Grandview_Sales[[#This Row],[garage_sqft]]*Lookups!$B$17</f>
        <v>38508.992279999999</v>
      </c>
      <c r="BL211">
        <f>Grandview_Sales[[#This Row],[Plumbing Fixtures]]*Lookups!$B$18</f>
        <v>18093.976200000001</v>
      </c>
      <c r="BM211">
        <f>Grandview_Sales[[#This Row],[detatched_value]]*Lookups!$B$19</f>
        <v>0</v>
      </c>
      <c r="BN211">
        <f>Grandview_Sales[[#This Row],[days_prior]]*Lookups!$B$20</f>
        <v>-34665.145400000001</v>
      </c>
      <c r="BO211">
        <f>SUM(Grandview_Sales[[#This Row],[land_value]:[Days Prior To Assessment_value]])</f>
        <v>349769.35816112591</v>
      </c>
      <c r="BP211">
        <f>Grandview_Sales[[#This Row],[predicted_total]]/Grandview_Sales[[#This Row],[sale_price]]</f>
        <v>1.157218720136066</v>
      </c>
      <c r="BQ211">
        <f>VLOOKUP(Grandview_Sales[[#This Row],[quality]],Lookups!$A$26:$C$33,3,FALSE)</f>
        <v>0.94295468617355149</v>
      </c>
      <c r="BR211">
        <f>VLOOKUP(Grandview_Sales[[#This Row],[condition]],Lookups!$A$37:$C$44,3,FALSE)</f>
        <v>0.94347925387812148</v>
      </c>
      <c r="BS211">
        <f>VLOOKUP(Grandview_Sales[[#This Row],[decade]],Lookups!$F$29:$H$43,3,FALSE)</f>
        <v>0.9413635517371044</v>
      </c>
      <c r="BT211">
        <f>VLOOKUP(Grandview_Sales[[#This Row],[living_area_range]],Lookups!$F$47:$H$56,3,FALSE)</f>
        <v>0.96135087979789358</v>
      </c>
      <c r="BU211">
        <f>Grandview_Sales[[#This Row],[predicted_total]]*AVERAGE(Grandview_Sales[[#This Row],[qual_adj]:[size_adj]])</f>
        <v>331331.99847678631</v>
      </c>
      <c r="BV211">
        <f>Grandview_Sales[[#This Row],[final_total]]/Grandview_Sales[[#This Row],[sale_price]]</f>
        <v>1.0962183572432962</v>
      </c>
      <c r="BW211" s="6">
        <f>(Grandview_Sales[[#This Row],[final_total]]-Grandview_Sales[[#This Row],[sale_price]])^2</f>
        <v>845762635.40380108</v>
      </c>
      <c r="BX211" s="6">
        <f>(Grandview_Sales[[#This Row],[final_total]]-AVERAGE(Grandview_Sales[sale_price]))^2</f>
        <v>594034761.18861604</v>
      </c>
      <c r="BY211" s="6">
        <f>Grandview_Sales[[#This Row],[SSE]]+Grandview_Sales[[#This Row],[SSR]]</f>
        <v>1439797396.5924172</v>
      </c>
      <c r="BZ211" s="4">
        <f>ABS(Grandview_Sales[[#This Row],[final_ratio]]-MEDIAN(Grandview_Sales[final_ratio]))</f>
        <v>9.4969637887484248E-2</v>
      </c>
    </row>
    <row r="212" spans="1:78" x14ac:dyDescent="0.25">
      <c r="A212">
        <v>23092324455</v>
      </c>
      <c r="B212">
        <v>0.2</v>
      </c>
      <c r="C212">
        <v>8728</v>
      </c>
      <c r="D212">
        <v>0</v>
      </c>
      <c r="E212" t="s">
        <v>53</v>
      </c>
      <c r="F212" t="s">
        <v>53</v>
      </c>
      <c r="G212">
        <v>4</v>
      </c>
      <c r="H212" t="s">
        <v>54</v>
      </c>
      <c r="I212">
        <v>119300</v>
      </c>
      <c r="J212">
        <v>39800</v>
      </c>
      <c r="K212">
        <v>0.2</v>
      </c>
      <c r="L212">
        <v>-1.6094379124339999</v>
      </c>
      <c r="M212">
        <v>0</v>
      </c>
      <c r="N212">
        <v>0</v>
      </c>
      <c r="O212">
        <v>0</v>
      </c>
      <c r="P212">
        <v>13398.7528</v>
      </c>
      <c r="Q212">
        <v>63902.980100000001</v>
      </c>
      <c r="R212">
        <v>42338.519364346997</v>
      </c>
      <c r="S212" t="s">
        <v>61</v>
      </c>
      <c r="T212">
        <v>1</v>
      </c>
      <c r="U212" t="s">
        <v>80</v>
      </c>
      <c r="V212" t="s">
        <v>78</v>
      </c>
      <c r="W212">
        <v>0</v>
      </c>
      <c r="X212">
        <v>0</v>
      </c>
      <c r="Y212">
        <v>48</v>
      </c>
      <c r="Z212">
        <v>63</v>
      </c>
      <c r="AA212">
        <v>60</v>
      </c>
      <c r="AB212">
        <v>1500</v>
      </c>
      <c r="AC212">
        <v>1232</v>
      </c>
      <c r="AD212">
        <v>1232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84</v>
      </c>
      <c r="AL212">
        <v>5</v>
      </c>
      <c r="AM212">
        <v>1</v>
      </c>
      <c r="AN212">
        <v>0</v>
      </c>
      <c r="AO212" t="s">
        <v>58</v>
      </c>
      <c r="AP212">
        <v>1</v>
      </c>
      <c r="AQ212" t="s">
        <v>63</v>
      </c>
      <c r="AR212" t="s">
        <v>64</v>
      </c>
      <c r="AS212">
        <v>0</v>
      </c>
      <c r="AT212">
        <v>3</v>
      </c>
      <c r="AU212">
        <v>0</v>
      </c>
      <c r="AV212">
        <v>18900</v>
      </c>
      <c r="AW212">
        <v>100</v>
      </c>
      <c r="AX212" s="1">
        <v>44638</v>
      </c>
      <c r="AY212">
        <v>22800</v>
      </c>
      <c r="AZ212">
        <v>104349</v>
      </c>
      <c r="BA212">
        <v>127100</v>
      </c>
      <c r="BB212">
        <v>148000</v>
      </c>
      <c r="BC212">
        <v>289</v>
      </c>
      <c r="BD212">
        <f>Grandview_Sales[[#This Row],[land_extract]]*Lookups!$B$3</f>
        <v>49167.608223813884</v>
      </c>
      <c r="BE212">
        <f>Lookups!$B$2</f>
        <v>155833.95000000001</v>
      </c>
      <c r="BF212">
        <f>VLOOKUP(Grandview_Sales[[#This Row],[quality]],Lookups!$H$2:$J$13,3,FALSE)</f>
        <v>-28558</v>
      </c>
      <c r="BG212">
        <f>VLOOKUP(Grandview_Sales[[#This Row],[condition]],Lookups!$H$17:$J$24,3,FALSE)</f>
        <v>-45357</v>
      </c>
      <c r="BH212">
        <f>Grandview_Sales[[#This Row],[Eff_Age]]*Lookups!$B$14</f>
        <v>-11479.996799999999</v>
      </c>
      <c r="BI212">
        <f>Grandview_Sales[[#This Row],[living_area]]*Lookups!$B$15</f>
        <v>76853.210896000004</v>
      </c>
      <c r="BJ212">
        <f>Grandview_Sales[[#This Row],[Fin BSMT]]*Lookups!$B$16</f>
        <v>0</v>
      </c>
      <c r="BK212">
        <f>Grandview_Sales[[#This Row],[garage_sqft]]*Lookups!$B$17</f>
        <v>0</v>
      </c>
      <c r="BL212">
        <f>Grandview_Sales[[#This Row],[Plumbing Fixtures]]*Lookups!$B$18</f>
        <v>10052.209000000001</v>
      </c>
      <c r="BM212">
        <f>Grandview_Sales[[#This Row],[detatched_value]]*Lookups!$B$19</f>
        <v>16004.616389999999</v>
      </c>
      <c r="BN212">
        <f>Grandview_Sales[[#This Row],[days_prior]]*Lookups!$B$20</f>
        <v>-34665.145400000001</v>
      </c>
      <c r="BO212">
        <f>SUM(Grandview_Sales[[#This Row],[land_value]:[Days Prior To Assessment_value]])</f>
        <v>187851.4523098139</v>
      </c>
      <c r="BP212">
        <f>Grandview_Sales[[#This Row],[predicted_total]]/Grandview_Sales[[#This Row],[sale_price]]</f>
        <v>1.2692665696609047</v>
      </c>
      <c r="BQ212">
        <f>VLOOKUP(Grandview_Sales[[#This Row],[quality]],Lookups!$A$26:$C$33,3,FALSE)</f>
        <v>0.9690360070159818</v>
      </c>
      <c r="BR212">
        <f>VLOOKUP(Grandview_Sales[[#This Row],[condition]],Lookups!$A$37:$C$44,3,FALSE)</f>
        <v>0.97161819570155394</v>
      </c>
      <c r="BS212">
        <f>VLOOKUP(Grandview_Sales[[#This Row],[decade]],Lookups!$F$29:$H$43,3,FALSE)</f>
        <v>0.95268620544463312</v>
      </c>
      <c r="BT212">
        <f>VLOOKUP(Grandview_Sales[[#This Row],[living_area_range]],Lookups!$F$47:$H$56,3,FALSE)</f>
        <v>0.96135087979789358</v>
      </c>
      <c r="BU212">
        <f>Grandview_Sales[[#This Row],[predicted_total]]*AVERAGE(Grandview_Sales[[#This Row],[qual_adj]:[size_adj]])</f>
        <v>181027.33916232121</v>
      </c>
      <c r="BV212">
        <f>Grandview_Sales[[#This Row],[final_total]]/Grandview_Sales[[#This Row],[sale_price]]</f>
        <v>1.2231576970427109</v>
      </c>
      <c r="BW212" s="6">
        <f>(Grandview_Sales[[#This Row],[final_total]]-Grandview_Sales[[#This Row],[sale_price]])^2</f>
        <v>1090805132.1429961</v>
      </c>
      <c r="BX212" s="6">
        <f>(Grandview_Sales[[#This Row],[final_total]]-AVERAGE(Grandview_Sales[sale_price]))^2</f>
        <v>15858826053.110807</v>
      </c>
      <c r="BY212" s="6">
        <f>Grandview_Sales[[#This Row],[SSE]]+Grandview_Sales[[#This Row],[SSR]]</f>
        <v>16949631185.253803</v>
      </c>
      <c r="BZ212" s="4">
        <f>ABS(Grandview_Sales[[#This Row],[final_ratio]]-MEDIAN(Grandview_Sales[final_ratio]))</f>
        <v>0.22190897768689899</v>
      </c>
    </row>
    <row r="213" spans="1:78" x14ac:dyDescent="0.25">
      <c r="A213">
        <v>23092621439</v>
      </c>
      <c r="B213">
        <v>0</v>
      </c>
      <c r="C213">
        <v>9300</v>
      </c>
      <c r="D213">
        <v>0</v>
      </c>
      <c r="E213" t="s">
        <v>53</v>
      </c>
      <c r="F213" t="s">
        <v>53</v>
      </c>
      <c r="G213">
        <v>4</v>
      </c>
      <c r="H213" t="s">
        <v>54</v>
      </c>
      <c r="I213">
        <v>293400</v>
      </c>
      <c r="J213">
        <v>39500</v>
      </c>
      <c r="K213">
        <v>0.21</v>
      </c>
      <c r="L213">
        <v>-1.5606477482650001</v>
      </c>
      <c r="M213">
        <v>0</v>
      </c>
      <c r="N213">
        <v>0</v>
      </c>
      <c r="O213">
        <v>0</v>
      </c>
      <c r="P213">
        <v>13398.7528</v>
      </c>
      <c r="Q213">
        <v>63902.980100000001</v>
      </c>
      <c r="R213">
        <v>42992.246713125001</v>
      </c>
      <c r="S213" t="s">
        <v>61</v>
      </c>
      <c r="T213">
        <v>1</v>
      </c>
      <c r="U213" t="s">
        <v>62</v>
      </c>
      <c r="V213" t="s">
        <v>57</v>
      </c>
      <c r="W213">
        <v>0</v>
      </c>
      <c r="X213">
        <v>0</v>
      </c>
      <c r="Y213">
        <v>1</v>
      </c>
      <c r="Z213">
        <v>1</v>
      </c>
      <c r="AA213">
        <v>0</v>
      </c>
      <c r="AB213">
        <v>2000</v>
      </c>
      <c r="AC213">
        <v>1990</v>
      </c>
      <c r="AD213">
        <v>1990</v>
      </c>
      <c r="AE213">
        <v>0</v>
      </c>
      <c r="AF213">
        <v>0</v>
      </c>
      <c r="AG213">
        <v>0</v>
      </c>
      <c r="AH213">
        <v>682</v>
      </c>
      <c r="AI213">
        <v>0</v>
      </c>
      <c r="AJ213">
        <v>0</v>
      </c>
      <c r="AK213">
        <v>0</v>
      </c>
      <c r="AL213">
        <v>9</v>
      </c>
      <c r="AM213">
        <v>0</v>
      </c>
      <c r="AN213">
        <v>0</v>
      </c>
      <c r="AO213" t="s">
        <v>58</v>
      </c>
      <c r="AP213">
        <v>1</v>
      </c>
      <c r="AQ213" t="s">
        <v>63</v>
      </c>
      <c r="AR213" t="s">
        <v>64</v>
      </c>
      <c r="AS213">
        <v>1</v>
      </c>
      <c r="AT213">
        <v>3</v>
      </c>
      <c r="AU213">
        <v>0</v>
      </c>
      <c r="AV213">
        <v>0</v>
      </c>
      <c r="AW213">
        <v>100</v>
      </c>
      <c r="AX213" s="1">
        <v>44648</v>
      </c>
      <c r="AY213">
        <v>22600</v>
      </c>
      <c r="AZ213">
        <v>384266</v>
      </c>
      <c r="BA213">
        <v>406900</v>
      </c>
      <c r="BB213">
        <v>448804</v>
      </c>
      <c r="BC213">
        <v>279</v>
      </c>
      <c r="BD213">
        <f>Grandview_Sales[[#This Row],[land_extract]]*Lookups!$B$3</f>
        <v>49926.780028885936</v>
      </c>
      <c r="BE213">
        <f>Lookups!$B$2</f>
        <v>155833.95000000001</v>
      </c>
      <c r="BF213">
        <f>VLOOKUP(Grandview_Sales[[#This Row],[quality]],Lookups!$H$2:$J$13,3,FALSE)</f>
        <v>9808</v>
      </c>
      <c r="BG213">
        <f>VLOOKUP(Grandview_Sales[[#This Row],[condition]],Lookups!$H$17:$J$24,3,FALSE)</f>
        <v>25780</v>
      </c>
      <c r="BH213">
        <f>Grandview_Sales[[#This Row],[Eff_Age]]*Lookups!$B$14</f>
        <v>-239.16659999999999</v>
      </c>
      <c r="BI213">
        <f>Grandview_Sales[[#This Row],[living_area]]*Lookups!$B$15</f>
        <v>124137.89747000001</v>
      </c>
      <c r="BJ213">
        <f>Grandview_Sales[[#This Row],[Fin BSMT]]*Lookups!$B$16</f>
        <v>0</v>
      </c>
      <c r="BK213">
        <f>Grandview_Sales[[#This Row],[garage_sqft]]*Lookups!$B$17</f>
        <v>59688.938033999999</v>
      </c>
      <c r="BL213">
        <f>Grandview_Sales[[#This Row],[Plumbing Fixtures]]*Lookups!$B$18</f>
        <v>18093.976200000001</v>
      </c>
      <c r="BM213">
        <f>Grandview_Sales[[#This Row],[detatched_value]]*Lookups!$B$19</f>
        <v>0</v>
      </c>
      <c r="BN213">
        <f>Grandview_Sales[[#This Row],[days_prior]]*Lookups!$B$20</f>
        <v>-33465.659399999997</v>
      </c>
      <c r="BO213">
        <f>SUM(Grandview_Sales[[#This Row],[land_value]:[Days Prior To Assessment_value]])</f>
        <v>409564.71573288593</v>
      </c>
      <c r="BP213">
        <f>Grandview_Sales[[#This Row],[predicted_total]]/Grandview_Sales[[#This Row],[sale_price]]</f>
        <v>0.91256921893050402</v>
      </c>
      <c r="BQ213">
        <f>VLOOKUP(Grandview_Sales[[#This Row],[quality]],Lookups!$A$26:$C$33,3,FALSE)</f>
        <v>0.94295468617355149</v>
      </c>
      <c r="BR213">
        <f>VLOOKUP(Grandview_Sales[[#This Row],[condition]],Lookups!$A$37:$C$44,3,FALSE)</f>
        <v>0.94347925387812148</v>
      </c>
      <c r="BS213">
        <f>VLOOKUP(Grandview_Sales[[#This Row],[decade]],Lookups!$F$29:$H$43,3,FALSE)</f>
        <v>0.9413635517371044</v>
      </c>
      <c r="BT213">
        <f>VLOOKUP(Grandview_Sales[[#This Row],[living_area_range]],Lookups!$F$47:$H$56,3,FALSE)</f>
        <v>0.96120133463014379</v>
      </c>
      <c r="BU213">
        <f>Grandview_Sales[[#This Row],[predicted_total]]*AVERAGE(Grandview_Sales[[#This Row],[qual_adj]:[size_adj]])</f>
        <v>387960.05681362597</v>
      </c>
      <c r="BV213">
        <f>Grandview_Sales[[#This Row],[final_total]]/Grandview_Sales[[#This Row],[sale_price]]</f>
        <v>0.86443092488842788</v>
      </c>
      <c r="BW213" s="6">
        <f>(Grandview_Sales[[#This Row],[final_total]]-Grandview_Sales[[#This Row],[sale_price]])^2</f>
        <v>3701985422.466711</v>
      </c>
      <c r="BX213" s="6">
        <f>(Grandview_Sales[[#This Row],[final_total]]-AVERAGE(Grandview_Sales[sale_price]))^2</f>
        <v>6561143642.0936012</v>
      </c>
      <c r="BY213" s="6">
        <f>Grandview_Sales[[#This Row],[SSE]]+Grandview_Sales[[#This Row],[SSR]]</f>
        <v>10263129064.560312</v>
      </c>
      <c r="BZ213" s="4">
        <f>ABS(Grandview_Sales[[#This Row],[final_ratio]]-MEDIAN(Grandview_Sales[final_ratio]))</f>
        <v>0.13681779446738407</v>
      </c>
    </row>
    <row r="214" spans="1:78" x14ac:dyDescent="0.25">
      <c r="A214">
        <v>23092621459</v>
      </c>
      <c r="B214">
        <v>0</v>
      </c>
      <c r="C214">
        <v>8250</v>
      </c>
      <c r="D214">
        <v>0</v>
      </c>
      <c r="E214" t="s">
        <v>53</v>
      </c>
      <c r="F214" t="s">
        <v>53</v>
      </c>
      <c r="G214">
        <v>4</v>
      </c>
      <c r="H214" t="s">
        <v>54</v>
      </c>
      <c r="I214">
        <v>298000</v>
      </c>
      <c r="J214">
        <v>39100</v>
      </c>
      <c r="K214">
        <v>0.19</v>
      </c>
      <c r="L214">
        <v>-1.6607312068219999</v>
      </c>
      <c r="M214">
        <v>0</v>
      </c>
      <c r="N214">
        <v>0</v>
      </c>
      <c r="O214">
        <v>0</v>
      </c>
      <c r="P214">
        <v>13398.7528</v>
      </c>
      <c r="Q214">
        <v>63902.980100000001</v>
      </c>
      <c r="R214">
        <v>41651.253192550997</v>
      </c>
      <c r="S214" t="s">
        <v>61</v>
      </c>
      <c r="T214">
        <v>1</v>
      </c>
      <c r="U214" t="s">
        <v>62</v>
      </c>
      <c r="V214" t="s">
        <v>57</v>
      </c>
      <c r="W214">
        <v>0</v>
      </c>
      <c r="X214">
        <v>0</v>
      </c>
      <c r="Y214">
        <v>1</v>
      </c>
      <c r="Z214">
        <v>1</v>
      </c>
      <c r="AA214">
        <v>0</v>
      </c>
      <c r="AB214">
        <v>2000</v>
      </c>
      <c r="AC214">
        <v>1958</v>
      </c>
      <c r="AD214">
        <v>1958</v>
      </c>
      <c r="AE214">
        <v>0</v>
      </c>
      <c r="AF214">
        <v>0</v>
      </c>
      <c r="AG214">
        <v>0</v>
      </c>
      <c r="AH214">
        <v>752</v>
      </c>
      <c r="AI214">
        <v>0</v>
      </c>
      <c r="AJ214">
        <v>0</v>
      </c>
      <c r="AK214">
        <v>0</v>
      </c>
      <c r="AL214">
        <v>10</v>
      </c>
      <c r="AM214">
        <v>0</v>
      </c>
      <c r="AN214">
        <v>0</v>
      </c>
      <c r="AO214" t="s">
        <v>58</v>
      </c>
      <c r="AP214">
        <v>1</v>
      </c>
      <c r="AQ214" t="s">
        <v>63</v>
      </c>
      <c r="AR214" t="s">
        <v>64</v>
      </c>
      <c r="AS214">
        <v>1</v>
      </c>
      <c r="AT214">
        <v>3</v>
      </c>
      <c r="AU214">
        <v>0</v>
      </c>
      <c r="AV214">
        <v>0</v>
      </c>
      <c r="AW214">
        <v>100</v>
      </c>
      <c r="AX214" s="1">
        <v>44651</v>
      </c>
      <c r="AY214">
        <v>22400</v>
      </c>
      <c r="AZ214">
        <v>343158</v>
      </c>
      <c r="BA214">
        <v>365600</v>
      </c>
      <c r="BB214">
        <v>394070</v>
      </c>
      <c r="BC214">
        <v>276</v>
      </c>
      <c r="BD214">
        <f>Grandview_Sales[[#This Row],[land_extract]]*Lookups!$B$3</f>
        <v>48369.487874125851</v>
      </c>
      <c r="BE214">
        <f>Lookups!$B$2</f>
        <v>155833.95000000001</v>
      </c>
      <c r="BF214">
        <f>VLOOKUP(Grandview_Sales[[#This Row],[quality]],Lookups!$H$2:$J$13,3,FALSE)</f>
        <v>9808</v>
      </c>
      <c r="BG214">
        <f>VLOOKUP(Grandview_Sales[[#This Row],[condition]],Lookups!$H$17:$J$24,3,FALSE)</f>
        <v>25780</v>
      </c>
      <c r="BH214">
        <f>Grandview_Sales[[#This Row],[Eff_Age]]*Lookups!$B$14</f>
        <v>-239.16659999999999</v>
      </c>
      <c r="BI214">
        <f>Grandview_Sales[[#This Row],[living_area]]*Lookups!$B$15</f>
        <v>122141.71017400001</v>
      </c>
      <c r="BJ214">
        <f>Grandview_Sales[[#This Row],[Fin BSMT]]*Lookups!$B$16</f>
        <v>0</v>
      </c>
      <c r="BK214">
        <f>Grandview_Sales[[#This Row],[garage_sqft]]*Lookups!$B$17</f>
        <v>65815.368623999995</v>
      </c>
      <c r="BL214">
        <f>Grandview_Sales[[#This Row],[Plumbing Fixtures]]*Lookups!$B$18</f>
        <v>20104.418000000001</v>
      </c>
      <c r="BM214">
        <f>Grandview_Sales[[#This Row],[detatched_value]]*Lookups!$B$19</f>
        <v>0</v>
      </c>
      <c r="BN214">
        <f>Grandview_Sales[[#This Row],[days_prior]]*Lookups!$B$20</f>
        <v>-33105.813600000001</v>
      </c>
      <c r="BO214">
        <f>SUM(Grandview_Sales[[#This Row],[land_value]:[Days Prior To Assessment_value]])</f>
        <v>414507.95447212592</v>
      </c>
      <c r="BP214">
        <f>Grandview_Sales[[#This Row],[predicted_total]]/Grandview_Sales[[#This Row],[sale_price]]</f>
        <v>1.0518637665189583</v>
      </c>
      <c r="BQ214">
        <f>VLOOKUP(Grandview_Sales[[#This Row],[quality]],Lookups!$A$26:$C$33,3,FALSE)</f>
        <v>0.94295468617355149</v>
      </c>
      <c r="BR214">
        <f>VLOOKUP(Grandview_Sales[[#This Row],[condition]],Lookups!$A$37:$C$44,3,FALSE)</f>
        <v>0.94347925387812148</v>
      </c>
      <c r="BS214">
        <f>VLOOKUP(Grandview_Sales[[#This Row],[decade]],Lookups!$F$29:$H$43,3,FALSE)</f>
        <v>0.9413635517371044</v>
      </c>
      <c r="BT214">
        <f>VLOOKUP(Grandview_Sales[[#This Row],[living_area_range]],Lookups!$F$47:$H$56,3,FALSE)</f>
        <v>0.96120133463014379</v>
      </c>
      <c r="BU214">
        <f>Grandview_Sales[[#This Row],[predicted_total]]*AVERAGE(Grandview_Sales[[#This Row],[qual_adj]:[size_adj]])</f>
        <v>392642.53825904819</v>
      </c>
      <c r="BV214">
        <f>Grandview_Sales[[#This Row],[final_total]]/Grandview_Sales[[#This Row],[sale_price]]</f>
        <v>0.99637764422322983</v>
      </c>
      <c r="BW214" s="6">
        <f>(Grandview_Sales[[#This Row],[final_total]]-Grandview_Sales[[#This Row],[sale_price]])^2</f>
        <v>2037647.0218811738</v>
      </c>
      <c r="BX214" s="6">
        <f>(Grandview_Sales[[#This Row],[final_total]]-AVERAGE(Grandview_Sales[sale_price]))^2</f>
        <v>7341639572.4147329</v>
      </c>
      <c r="BY214" s="6">
        <f>Grandview_Sales[[#This Row],[SSE]]+Grandview_Sales[[#This Row],[SSR]]</f>
        <v>7343677219.436614</v>
      </c>
      <c r="BZ214" s="4">
        <f>ABS(Grandview_Sales[[#This Row],[final_ratio]]-MEDIAN(Grandview_Sales[final_ratio]))</f>
        <v>4.8710751325821144E-3</v>
      </c>
    </row>
    <row r="215" spans="1:78" x14ac:dyDescent="0.25">
      <c r="A215">
        <v>23092621464</v>
      </c>
      <c r="B215">
        <v>0</v>
      </c>
      <c r="C215">
        <v>8250</v>
      </c>
      <c r="D215">
        <v>0</v>
      </c>
      <c r="E215" t="s">
        <v>53</v>
      </c>
      <c r="F215" t="s">
        <v>53</v>
      </c>
      <c r="G215">
        <v>4</v>
      </c>
      <c r="H215" t="s">
        <v>54</v>
      </c>
      <c r="I215">
        <v>300200</v>
      </c>
      <c r="J215">
        <v>39100</v>
      </c>
      <c r="K215">
        <v>0.19</v>
      </c>
      <c r="L215">
        <v>-1.6607312068219999</v>
      </c>
      <c r="M215">
        <v>0</v>
      </c>
      <c r="N215">
        <v>0</v>
      </c>
      <c r="O215">
        <v>0</v>
      </c>
      <c r="P215">
        <v>13398.7528</v>
      </c>
      <c r="Q215">
        <v>63902.980100000001</v>
      </c>
      <c r="R215">
        <v>41651.253192550997</v>
      </c>
      <c r="S215" t="s">
        <v>55</v>
      </c>
      <c r="T215">
        <v>2</v>
      </c>
      <c r="U215" t="s">
        <v>64</v>
      </c>
      <c r="V215" t="s">
        <v>57</v>
      </c>
      <c r="W215">
        <v>0</v>
      </c>
      <c r="X215">
        <v>0</v>
      </c>
      <c r="Y215">
        <v>2</v>
      </c>
      <c r="Z215">
        <v>2</v>
      </c>
      <c r="AA215">
        <v>0</v>
      </c>
      <c r="AB215">
        <v>2500</v>
      </c>
      <c r="AC215">
        <v>2148</v>
      </c>
      <c r="AD215">
        <v>896</v>
      </c>
      <c r="AE215">
        <v>1252</v>
      </c>
      <c r="AF215">
        <v>0</v>
      </c>
      <c r="AG215">
        <v>0</v>
      </c>
      <c r="AH215">
        <v>440</v>
      </c>
      <c r="AI215">
        <v>0</v>
      </c>
      <c r="AJ215">
        <v>0</v>
      </c>
      <c r="AK215">
        <v>0</v>
      </c>
      <c r="AL215">
        <v>11</v>
      </c>
      <c r="AM215">
        <v>0</v>
      </c>
      <c r="AN215">
        <v>0</v>
      </c>
      <c r="AO215" t="s">
        <v>58</v>
      </c>
      <c r="AP215">
        <v>1</v>
      </c>
      <c r="AQ215" t="s">
        <v>63</v>
      </c>
      <c r="AR215" t="s">
        <v>64</v>
      </c>
      <c r="AS215">
        <v>1</v>
      </c>
      <c r="AT215">
        <v>3</v>
      </c>
      <c r="AU215">
        <v>0</v>
      </c>
      <c r="AV215">
        <v>0</v>
      </c>
      <c r="AW215">
        <v>100</v>
      </c>
      <c r="AX215" s="1">
        <v>44651</v>
      </c>
      <c r="AY215">
        <v>22400</v>
      </c>
      <c r="AZ215">
        <v>372339</v>
      </c>
      <c r="BA215">
        <v>394700</v>
      </c>
      <c r="BB215">
        <v>420000</v>
      </c>
      <c r="BC215">
        <v>276</v>
      </c>
      <c r="BD215">
        <f>Grandview_Sales[[#This Row],[land_extract]]*Lookups!$B$3</f>
        <v>48369.487874125851</v>
      </c>
      <c r="BE215">
        <f>Lookups!$B$2</f>
        <v>155833.95000000001</v>
      </c>
      <c r="BF215">
        <f>VLOOKUP(Grandview_Sales[[#This Row],[quality]],Lookups!$H$2:$J$13,3,FALSE)</f>
        <v>20768</v>
      </c>
      <c r="BG215">
        <f>VLOOKUP(Grandview_Sales[[#This Row],[condition]],Lookups!$H$17:$J$24,3,FALSE)</f>
        <v>25780</v>
      </c>
      <c r="BH215">
        <f>Grandview_Sales[[#This Row],[Eff_Age]]*Lookups!$B$14</f>
        <v>-478.33319999999998</v>
      </c>
      <c r="BI215">
        <f>Grandview_Sales[[#This Row],[living_area]]*Lookups!$B$15</f>
        <v>133994.07224400001</v>
      </c>
      <c r="BJ215">
        <f>Grandview_Sales[[#This Row],[Fin BSMT]]*Lookups!$B$16</f>
        <v>0</v>
      </c>
      <c r="BK215">
        <f>Grandview_Sales[[#This Row],[garage_sqft]]*Lookups!$B$17</f>
        <v>38508.992279999999</v>
      </c>
      <c r="BL215">
        <f>Grandview_Sales[[#This Row],[Plumbing Fixtures]]*Lookups!$B$18</f>
        <v>22114.859800000002</v>
      </c>
      <c r="BM215">
        <f>Grandview_Sales[[#This Row],[detatched_value]]*Lookups!$B$19</f>
        <v>0</v>
      </c>
      <c r="BN215">
        <f>Grandview_Sales[[#This Row],[days_prior]]*Lookups!$B$20</f>
        <v>-33105.813600000001</v>
      </c>
      <c r="BO215">
        <f>SUM(Grandview_Sales[[#This Row],[land_value]:[Days Prior To Assessment_value]])</f>
        <v>411785.21539812587</v>
      </c>
      <c r="BP215">
        <f>Grandview_Sales[[#This Row],[predicted_total]]/Grandview_Sales[[#This Row],[sale_price]]</f>
        <v>0.9804409890431568</v>
      </c>
      <c r="BQ215">
        <f>VLOOKUP(Grandview_Sales[[#This Row],[quality]],Lookups!$A$26:$C$33,3,FALSE)</f>
        <v>0.94960540378902636</v>
      </c>
      <c r="BR215">
        <f>VLOOKUP(Grandview_Sales[[#This Row],[condition]],Lookups!$A$37:$C$44,3,FALSE)</f>
        <v>0.94347925387812148</v>
      </c>
      <c r="BS215">
        <f>VLOOKUP(Grandview_Sales[[#This Row],[decade]],Lookups!$F$29:$H$43,3,FALSE)</f>
        <v>0.9413635517371044</v>
      </c>
      <c r="BT215">
        <f>VLOOKUP(Grandview_Sales[[#This Row],[living_area_range]],Lookups!$F$47:$H$56,3,FALSE)</f>
        <v>0.95799442568048754</v>
      </c>
      <c r="BU215">
        <f>Grandview_Sales[[#This Row],[predicted_total]]*AVERAGE(Grandview_Sales[[#This Row],[qual_adj]:[size_adj]])</f>
        <v>390417.95184335142</v>
      </c>
      <c r="BV215">
        <f>Grandview_Sales[[#This Row],[final_total]]/Grandview_Sales[[#This Row],[sale_price]]</f>
        <v>0.92956655200797955</v>
      </c>
      <c r="BW215" s="6">
        <f>(Grandview_Sales[[#This Row],[final_total]]-Grandview_Sales[[#This Row],[sale_price]])^2</f>
        <v>875097573.14227581</v>
      </c>
      <c r="BX215" s="6">
        <f>(Grandview_Sales[[#This Row],[final_total]]-AVERAGE(Grandview_Sales[sale_price]))^2</f>
        <v>6965368243.5931311</v>
      </c>
      <c r="BY215" s="6">
        <f>Grandview_Sales[[#This Row],[SSE]]+Grandview_Sales[[#This Row],[SSR]]</f>
        <v>7840465816.7354069</v>
      </c>
      <c r="BZ215" s="4">
        <f>ABS(Grandview_Sales[[#This Row],[final_ratio]]-MEDIAN(Grandview_Sales[final_ratio]))</f>
        <v>7.1682167347832393E-2</v>
      </c>
    </row>
    <row r="216" spans="1:78" x14ac:dyDescent="0.25">
      <c r="A216">
        <v>23092621479</v>
      </c>
      <c r="B216">
        <v>0</v>
      </c>
      <c r="C216">
        <v>8250</v>
      </c>
      <c r="D216">
        <v>0</v>
      </c>
      <c r="E216" t="s">
        <v>53</v>
      </c>
      <c r="F216" t="s">
        <v>53</v>
      </c>
      <c r="G216">
        <v>4</v>
      </c>
      <c r="H216" t="s">
        <v>54</v>
      </c>
      <c r="I216">
        <v>244300</v>
      </c>
      <c r="J216">
        <v>39100</v>
      </c>
      <c r="K216">
        <v>0.19</v>
      </c>
      <c r="L216">
        <v>-1.6607312068219999</v>
      </c>
      <c r="M216">
        <v>0</v>
      </c>
      <c r="N216">
        <v>0</v>
      </c>
      <c r="O216">
        <v>0</v>
      </c>
      <c r="P216">
        <v>13398.7528</v>
      </c>
      <c r="Q216">
        <v>63902.980100000001</v>
      </c>
      <c r="R216">
        <v>41651.253192550997</v>
      </c>
      <c r="S216" t="s">
        <v>61</v>
      </c>
      <c r="T216">
        <v>1</v>
      </c>
      <c r="U216" t="s">
        <v>62</v>
      </c>
      <c r="V216" t="s">
        <v>57</v>
      </c>
      <c r="W216">
        <v>0</v>
      </c>
      <c r="X216">
        <v>0</v>
      </c>
      <c r="Y216">
        <v>1</v>
      </c>
      <c r="Z216">
        <v>1</v>
      </c>
      <c r="AA216">
        <v>0</v>
      </c>
      <c r="AB216">
        <v>1500</v>
      </c>
      <c r="AC216">
        <v>1384</v>
      </c>
      <c r="AD216">
        <v>1384</v>
      </c>
      <c r="AE216">
        <v>0</v>
      </c>
      <c r="AF216">
        <v>0</v>
      </c>
      <c r="AG216">
        <v>0</v>
      </c>
      <c r="AH216">
        <v>400</v>
      </c>
      <c r="AI216">
        <v>0</v>
      </c>
      <c r="AJ216">
        <v>0</v>
      </c>
      <c r="AK216">
        <v>144</v>
      </c>
      <c r="AL216">
        <v>8</v>
      </c>
      <c r="AM216">
        <v>0</v>
      </c>
      <c r="AN216">
        <v>0</v>
      </c>
      <c r="AO216" t="s">
        <v>58</v>
      </c>
      <c r="AP216">
        <v>1</v>
      </c>
      <c r="AQ216" t="s">
        <v>59</v>
      </c>
      <c r="AR216" t="s">
        <v>60</v>
      </c>
      <c r="AS216">
        <v>1</v>
      </c>
      <c r="AT216">
        <v>3</v>
      </c>
      <c r="AU216">
        <v>0</v>
      </c>
      <c r="AV216">
        <v>0</v>
      </c>
      <c r="AW216">
        <v>100</v>
      </c>
      <c r="AX216" s="1">
        <v>44652</v>
      </c>
      <c r="AY216">
        <v>22400</v>
      </c>
      <c r="AZ216">
        <v>247007</v>
      </c>
      <c r="BA216">
        <v>269400</v>
      </c>
      <c r="BB216">
        <v>307098</v>
      </c>
      <c r="BC216">
        <v>275</v>
      </c>
      <c r="BD216">
        <f>Grandview_Sales[[#This Row],[land_extract]]*Lookups!$B$3</f>
        <v>48369.487874125851</v>
      </c>
      <c r="BE216">
        <f>Lookups!$B$2</f>
        <v>155833.95000000001</v>
      </c>
      <c r="BF216">
        <f>VLOOKUP(Grandview_Sales[[#This Row],[quality]],Lookups!$H$2:$J$13,3,FALSE)</f>
        <v>9808</v>
      </c>
      <c r="BG216">
        <f>VLOOKUP(Grandview_Sales[[#This Row],[condition]],Lookups!$H$17:$J$24,3,FALSE)</f>
        <v>25780</v>
      </c>
      <c r="BH216">
        <f>Grandview_Sales[[#This Row],[Eff_Age]]*Lookups!$B$14</f>
        <v>-239.16659999999999</v>
      </c>
      <c r="BI216">
        <f>Grandview_Sales[[#This Row],[living_area]]*Lookups!$B$15</f>
        <v>86335.100552000004</v>
      </c>
      <c r="BJ216">
        <f>Grandview_Sales[[#This Row],[Fin BSMT]]*Lookups!$B$16</f>
        <v>0</v>
      </c>
      <c r="BK216">
        <f>Grandview_Sales[[#This Row],[garage_sqft]]*Lookups!$B$17</f>
        <v>35008.174800000001</v>
      </c>
      <c r="BL216">
        <f>Grandview_Sales[[#This Row],[Plumbing Fixtures]]*Lookups!$B$18</f>
        <v>16083.5344</v>
      </c>
      <c r="BM216">
        <f>Grandview_Sales[[#This Row],[detatched_value]]*Lookups!$B$19</f>
        <v>0</v>
      </c>
      <c r="BN216">
        <f>Grandview_Sales[[#This Row],[days_prior]]*Lookups!$B$20</f>
        <v>-32985.864999999998</v>
      </c>
      <c r="BO216">
        <f>SUM(Grandview_Sales[[#This Row],[land_value]:[Days Prior To Assessment_value]])</f>
        <v>343993.21602612588</v>
      </c>
      <c r="BP216">
        <f>Grandview_Sales[[#This Row],[predicted_total]]/Grandview_Sales[[#This Row],[sale_price]]</f>
        <v>1.1201415054025943</v>
      </c>
      <c r="BQ216">
        <f>VLOOKUP(Grandview_Sales[[#This Row],[quality]],Lookups!$A$26:$C$33,3,FALSE)</f>
        <v>0.94295468617355149</v>
      </c>
      <c r="BR216">
        <f>VLOOKUP(Grandview_Sales[[#This Row],[condition]],Lookups!$A$37:$C$44,3,FALSE)</f>
        <v>0.94347925387812148</v>
      </c>
      <c r="BS216">
        <f>VLOOKUP(Grandview_Sales[[#This Row],[decade]],Lookups!$F$29:$H$43,3,FALSE)</f>
        <v>0.9413635517371044</v>
      </c>
      <c r="BT216">
        <f>VLOOKUP(Grandview_Sales[[#This Row],[living_area_range]],Lookups!$F$47:$H$56,3,FALSE)</f>
        <v>0.96135087979789358</v>
      </c>
      <c r="BU216">
        <f>Grandview_Sales[[#This Row],[predicted_total]]*AVERAGE(Grandview_Sales[[#This Row],[qual_adj]:[size_adj]])</f>
        <v>325860.33358556416</v>
      </c>
      <c r="BV216">
        <f>Grandview_Sales[[#This Row],[final_total]]/Grandview_Sales[[#This Row],[sale_price]]</f>
        <v>1.0610955902857204</v>
      </c>
      <c r="BW216" s="6">
        <f>(Grandview_Sales[[#This Row],[final_total]]-Grandview_Sales[[#This Row],[sale_price]])^2</f>
        <v>352025161.57598901</v>
      </c>
      <c r="BX216" s="6">
        <f>(Grandview_Sales[[#This Row],[final_total]]-AVERAGE(Grandview_Sales[sale_price]))^2</f>
        <v>357253979.63793403</v>
      </c>
      <c r="BY216" s="6">
        <f>Grandview_Sales[[#This Row],[SSE]]+Grandview_Sales[[#This Row],[SSR]]</f>
        <v>709279141.21392298</v>
      </c>
      <c r="BZ216" s="4">
        <f>ABS(Grandview_Sales[[#This Row],[final_ratio]]-MEDIAN(Grandview_Sales[final_ratio]))</f>
        <v>5.984687092990848E-2</v>
      </c>
    </row>
    <row r="217" spans="1:78" x14ac:dyDescent="0.25">
      <c r="A217">
        <v>23091432431</v>
      </c>
      <c r="B217">
        <v>0.16</v>
      </c>
      <c r="C217">
        <v>6949</v>
      </c>
      <c r="D217">
        <v>0</v>
      </c>
      <c r="E217" t="s">
        <v>53</v>
      </c>
      <c r="F217" t="s">
        <v>53</v>
      </c>
      <c r="G217">
        <v>4</v>
      </c>
      <c r="H217" t="s">
        <v>54</v>
      </c>
      <c r="I217">
        <v>222000</v>
      </c>
      <c r="J217">
        <v>38600</v>
      </c>
      <c r="K217">
        <v>0.16</v>
      </c>
      <c r="L217">
        <v>-1.832581463748</v>
      </c>
      <c r="M217">
        <v>0</v>
      </c>
      <c r="N217">
        <v>0</v>
      </c>
      <c r="O217">
        <v>0</v>
      </c>
      <c r="P217">
        <v>13398.7528</v>
      </c>
      <c r="Q217">
        <v>63902.980100000001</v>
      </c>
      <c r="R217">
        <v>39348.674081374003</v>
      </c>
      <c r="S217" t="s">
        <v>61</v>
      </c>
      <c r="T217">
        <v>1</v>
      </c>
      <c r="U217" t="s">
        <v>65</v>
      </c>
      <c r="V217" t="s">
        <v>67</v>
      </c>
      <c r="W217">
        <v>0</v>
      </c>
      <c r="X217">
        <v>0</v>
      </c>
      <c r="Y217">
        <v>23</v>
      </c>
      <c r="Z217">
        <v>23</v>
      </c>
      <c r="AA217">
        <v>20</v>
      </c>
      <c r="AB217">
        <v>1500</v>
      </c>
      <c r="AC217">
        <v>1224</v>
      </c>
      <c r="AD217">
        <v>1224</v>
      </c>
      <c r="AE217">
        <v>0</v>
      </c>
      <c r="AF217">
        <v>0</v>
      </c>
      <c r="AG217">
        <v>0</v>
      </c>
      <c r="AH217">
        <v>440</v>
      </c>
      <c r="AI217">
        <v>0</v>
      </c>
      <c r="AJ217">
        <v>0</v>
      </c>
      <c r="AK217">
        <v>0</v>
      </c>
      <c r="AL217">
        <v>8</v>
      </c>
      <c r="AM217">
        <v>0</v>
      </c>
      <c r="AN217">
        <v>0</v>
      </c>
      <c r="AO217" t="s">
        <v>58</v>
      </c>
      <c r="AP217">
        <v>1</v>
      </c>
      <c r="AQ217" t="s">
        <v>63</v>
      </c>
      <c r="AR217" t="s">
        <v>60</v>
      </c>
      <c r="AS217">
        <v>1</v>
      </c>
      <c r="AT217">
        <v>3</v>
      </c>
      <c r="AU217">
        <v>0</v>
      </c>
      <c r="AV217">
        <v>0</v>
      </c>
      <c r="AW217">
        <v>100</v>
      </c>
      <c r="AX217" s="1">
        <v>44652</v>
      </c>
      <c r="AY217">
        <v>22100</v>
      </c>
      <c r="AZ217">
        <v>184246</v>
      </c>
      <c r="BA217">
        <v>206300</v>
      </c>
      <c r="BB217">
        <v>297000</v>
      </c>
      <c r="BC217">
        <v>275</v>
      </c>
      <c r="BD217">
        <f>Grandview_Sales[[#This Row],[land_extract]]*Lookups!$B$3</f>
        <v>45695.50896927961</v>
      </c>
      <c r="BE217">
        <f>Lookups!$B$2</f>
        <v>155833.95000000001</v>
      </c>
      <c r="BF217">
        <f>VLOOKUP(Grandview_Sales[[#This Row],[quality]],Lookups!$H$2:$J$13,3,FALSE)</f>
        <v>2251</v>
      </c>
      <c r="BG217">
        <f>VLOOKUP(Grandview_Sales[[#This Row],[condition]],Lookups!$H$17:$J$24,3,FALSE)</f>
        <v>22342</v>
      </c>
      <c r="BH217">
        <f>Grandview_Sales[[#This Row],[Eff_Age]]*Lookups!$B$14</f>
        <v>-5500.8317999999999</v>
      </c>
      <c r="BI217">
        <f>Grandview_Sales[[#This Row],[living_area]]*Lookups!$B$15</f>
        <v>76354.164072</v>
      </c>
      <c r="BJ217">
        <f>Grandview_Sales[[#This Row],[Fin BSMT]]*Lookups!$B$16</f>
        <v>0</v>
      </c>
      <c r="BK217">
        <f>Grandview_Sales[[#This Row],[garage_sqft]]*Lookups!$B$17</f>
        <v>38508.992279999999</v>
      </c>
      <c r="BL217">
        <f>Grandview_Sales[[#This Row],[Plumbing Fixtures]]*Lookups!$B$18</f>
        <v>16083.5344</v>
      </c>
      <c r="BM217">
        <f>Grandview_Sales[[#This Row],[detatched_value]]*Lookups!$B$19</f>
        <v>0</v>
      </c>
      <c r="BN217">
        <f>Grandview_Sales[[#This Row],[days_prior]]*Lookups!$B$20</f>
        <v>-32985.864999999998</v>
      </c>
      <c r="BO217">
        <f>SUM(Grandview_Sales[[#This Row],[land_value]:[Days Prior To Assessment_value]])</f>
        <v>318582.45292127965</v>
      </c>
      <c r="BP217">
        <f>Grandview_Sales[[#This Row],[predicted_total]]/Grandview_Sales[[#This Row],[sale_price]]</f>
        <v>1.0726681916541403</v>
      </c>
      <c r="BQ217">
        <f>VLOOKUP(Grandview_Sales[[#This Row],[quality]],Lookups!$A$26:$C$33,3,FALSE)</f>
        <v>0.98763855981004833</v>
      </c>
      <c r="BR217">
        <f>VLOOKUP(Grandview_Sales[[#This Row],[condition]],Lookups!$A$37:$C$44,3,FALSE)</f>
        <v>0.97383723671140243</v>
      </c>
      <c r="BS217">
        <f>VLOOKUP(Grandview_Sales[[#This Row],[decade]],Lookups!$F$29:$H$43,3,FALSE)</f>
        <v>0.96737494181490646</v>
      </c>
      <c r="BT217">
        <f>VLOOKUP(Grandview_Sales[[#This Row],[living_area_range]],Lookups!$F$47:$H$56,3,FALSE)</f>
        <v>0.96135087979789358</v>
      </c>
      <c r="BU217">
        <f>Grandview_Sales[[#This Row],[predicted_total]]*AVERAGE(Grandview_Sales[[#This Row],[qual_adj]:[size_adj]])</f>
        <v>309837.49346588523</v>
      </c>
      <c r="BV217">
        <f>Grandview_Sales[[#This Row],[final_total]]/Grandview_Sales[[#This Row],[sale_price]]</f>
        <v>1.0432238837235193</v>
      </c>
      <c r="BW217" s="6">
        <f>(Grandview_Sales[[#This Row],[final_total]]-Grandview_Sales[[#This Row],[sale_price]])^2</f>
        <v>164801238.48664594</v>
      </c>
      <c r="BX217" s="6">
        <f>(Grandview_Sales[[#This Row],[final_total]]-AVERAGE(Grandview_Sales[sale_price]))^2</f>
        <v>8284745.1747313542</v>
      </c>
      <c r="BY217" s="6">
        <f>Grandview_Sales[[#This Row],[SSE]]+Grandview_Sales[[#This Row],[SSR]]</f>
        <v>173085983.66137728</v>
      </c>
      <c r="BZ217" s="4">
        <f>ABS(Grandview_Sales[[#This Row],[final_ratio]]-MEDIAN(Grandview_Sales[final_ratio]))</f>
        <v>4.1975164367707318E-2</v>
      </c>
    </row>
    <row r="218" spans="1:78" x14ac:dyDescent="0.25">
      <c r="A218">
        <v>23092332408</v>
      </c>
      <c r="B218">
        <v>0.34</v>
      </c>
      <c r="C218">
        <v>14748</v>
      </c>
      <c r="D218">
        <v>0</v>
      </c>
      <c r="E218" t="s">
        <v>53</v>
      </c>
      <c r="F218" t="s">
        <v>53</v>
      </c>
      <c r="G218">
        <v>4</v>
      </c>
      <c r="H218" t="s">
        <v>54</v>
      </c>
      <c r="I218">
        <v>366800</v>
      </c>
      <c r="J218">
        <v>41200</v>
      </c>
      <c r="K218">
        <v>0.34</v>
      </c>
      <c r="L218">
        <v>-1.078809661372</v>
      </c>
      <c r="M218">
        <v>0</v>
      </c>
      <c r="N218">
        <v>0</v>
      </c>
      <c r="O218">
        <v>0</v>
      </c>
      <c r="P218">
        <v>13398.7528</v>
      </c>
      <c r="Q218">
        <v>63902.980100000001</v>
      </c>
      <c r="R218">
        <v>49448.276129026002</v>
      </c>
      <c r="S218" t="s">
        <v>61</v>
      </c>
      <c r="T218">
        <v>1</v>
      </c>
      <c r="U218" t="s">
        <v>62</v>
      </c>
      <c r="V218" t="s">
        <v>67</v>
      </c>
      <c r="W218">
        <v>0</v>
      </c>
      <c r="X218">
        <v>0</v>
      </c>
      <c r="Y218">
        <v>49</v>
      </c>
      <c r="Z218">
        <v>65</v>
      </c>
      <c r="AA218">
        <v>70</v>
      </c>
      <c r="AB218">
        <v>4000</v>
      </c>
      <c r="AC218">
        <v>3677</v>
      </c>
      <c r="AD218">
        <v>2236</v>
      </c>
      <c r="AE218">
        <v>0</v>
      </c>
      <c r="AF218">
        <v>1441</v>
      </c>
      <c r="AG218">
        <v>525</v>
      </c>
      <c r="AH218">
        <v>598</v>
      </c>
      <c r="AI218">
        <v>0</v>
      </c>
      <c r="AJ218">
        <v>0</v>
      </c>
      <c r="AK218">
        <v>0</v>
      </c>
      <c r="AL218">
        <v>13</v>
      </c>
      <c r="AM218">
        <v>0</v>
      </c>
      <c r="AN218">
        <v>1</v>
      </c>
      <c r="AO218" t="s">
        <v>58</v>
      </c>
      <c r="AP218">
        <v>1</v>
      </c>
      <c r="AQ218" t="s">
        <v>59</v>
      </c>
      <c r="AR218" t="s">
        <v>60</v>
      </c>
      <c r="AS218">
        <v>1</v>
      </c>
      <c r="AT218">
        <v>5</v>
      </c>
      <c r="AU218">
        <v>0</v>
      </c>
      <c r="AV218">
        <v>29700</v>
      </c>
      <c r="AW218">
        <v>100</v>
      </c>
      <c r="AX218" s="1">
        <v>44652</v>
      </c>
      <c r="AY218">
        <v>23600</v>
      </c>
      <c r="AZ218">
        <v>443653</v>
      </c>
      <c r="BA218">
        <v>467300</v>
      </c>
      <c r="BB218">
        <v>443250</v>
      </c>
      <c r="BC218">
        <v>275</v>
      </c>
      <c r="BD218">
        <f>Grandview_Sales[[#This Row],[land_extract]]*Lookups!$B$3</f>
        <v>57424.149558292345</v>
      </c>
      <c r="BE218">
        <f>Lookups!$B$2</f>
        <v>155833.95000000001</v>
      </c>
      <c r="BF218">
        <f>VLOOKUP(Grandview_Sales[[#This Row],[quality]],Lookups!$H$2:$J$13,3,FALSE)</f>
        <v>9808</v>
      </c>
      <c r="BG218">
        <f>VLOOKUP(Grandview_Sales[[#This Row],[condition]],Lookups!$H$17:$J$24,3,FALSE)</f>
        <v>22342</v>
      </c>
      <c r="BH218">
        <f>Grandview_Sales[[#This Row],[Eff_Age]]*Lookups!$B$14</f>
        <v>-11719.163399999999</v>
      </c>
      <c r="BI218">
        <f>Grandview_Sales[[#This Row],[living_area]]*Lookups!$B$15</f>
        <v>229374.396481</v>
      </c>
      <c r="BJ218">
        <f>Grandview_Sales[[#This Row],[Fin BSMT]]*Lookups!$B$16</f>
        <v>-39050.004840000001</v>
      </c>
      <c r="BK218">
        <f>Grandview_Sales[[#This Row],[garage_sqft]]*Lookups!$B$17</f>
        <v>52337.221325999999</v>
      </c>
      <c r="BL218">
        <f>Grandview_Sales[[#This Row],[Plumbing Fixtures]]*Lookups!$B$18</f>
        <v>26135.743399999999</v>
      </c>
      <c r="BM218">
        <f>Grandview_Sales[[#This Row],[detatched_value]]*Lookups!$B$19</f>
        <v>25150.11147</v>
      </c>
      <c r="BN218">
        <f>Grandview_Sales[[#This Row],[days_prior]]*Lookups!$B$20</f>
        <v>-32985.864999999998</v>
      </c>
      <c r="BO218">
        <f>SUM(Grandview_Sales[[#This Row],[land_value]:[Days Prior To Assessment_value]])</f>
        <v>494650.53899529227</v>
      </c>
      <c r="BP218">
        <f>Grandview_Sales[[#This Row],[predicted_total]]/Grandview_Sales[[#This Row],[sale_price]]</f>
        <v>1.1159628629335414</v>
      </c>
      <c r="BQ218">
        <f>VLOOKUP(Grandview_Sales[[#This Row],[quality]],Lookups!$A$26:$C$33,3,FALSE)</f>
        <v>0.94295468617355149</v>
      </c>
      <c r="BR218">
        <f>VLOOKUP(Grandview_Sales[[#This Row],[condition]],Lookups!$A$37:$C$44,3,FALSE)</f>
        <v>0.97383723671140243</v>
      </c>
      <c r="BS218">
        <f>VLOOKUP(Grandview_Sales[[#This Row],[decade]],Lookups!$F$29:$H$43,3,FALSE)</f>
        <v>0.99472141305414818</v>
      </c>
      <c r="BT218">
        <f>VLOOKUP(Grandview_Sales[[#This Row],[living_area_range]],Lookups!$F$47:$H$56,3,FALSE)</f>
        <v>0.90089875105039252</v>
      </c>
      <c r="BU218">
        <f>Grandview_Sales[[#This Row],[predicted_total]]*AVERAGE(Grandview_Sales[[#This Row],[qual_adj]:[size_adj]])</f>
        <v>471452.9234253802</v>
      </c>
      <c r="BV218">
        <f>Grandview_Sales[[#This Row],[final_total]]/Grandview_Sales[[#This Row],[sale_price]]</f>
        <v>1.0636275768198087</v>
      </c>
      <c r="BW218" s="6">
        <f>(Grandview_Sales[[#This Row],[final_total]]-Grandview_Sales[[#This Row],[sale_price]])^2</f>
        <v>795404889.73785913</v>
      </c>
      <c r="BX218" s="6">
        <f>(Grandview_Sales[[#This Row],[final_total]]-AVERAGE(Grandview_Sales[sale_price]))^2</f>
        <v>27058194870.277077</v>
      </c>
      <c r="BY218" s="6">
        <f>Grandview_Sales[[#This Row],[SSE]]+Grandview_Sales[[#This Row],[SSR]]</f>
        <v>27853599760.014935</v>
      </c>
      <c r="BZ218" s="4">
        <f>ABS(Grandview_Sales[[#This Row],[final_ratio]]-MEDIAN(Grandview_Sales[final_ratio]))</f>
        <v>6.237885746399674E-2</v>
      </c>
    </row>
    <row r="219" spans="1:78" x14ac:dyDescent="0.25">
      <c r="A219">
        <v>23092621491</v>
      </c>
      <c r="B219">
        <v>0</v>
      </c>
      <c r="C219">
        <v>8250</v>
      </c>
      <c r="D219">
        <v>0</v>
      </c>
      <c r="E219" t="s">
        <v>53</v>
      </c>
      <c r="F219" t="s">
        <v>53</v>
      </c>
      <c r="G219">
        <v>4</v>
      </c>
      <c r="H219" t="s">
        <v>54</v>
      </c>
      <c r="I219">
        <v>244000</v>
      </c>
      <c r="J219">
        <v>39100</v>
      </c>
      <c r="K219">
        <v>0.19</v>
      </c>
      <c r="L219">
        <v>-1.6607312068219999</v>
      </c>
      <c r="M219">
        <v>0</v>
      </c>
      <c r="N219">
        <v>0</v>
      </c>
      <c r="O219">
        <v>0</v>
      </c>
      <c r="P219">
        <v>13398.7528</v>
      </c>
      <c r="Q219">
        <v>63902.980100000001</v>
      </c>
      <c r="R219">
        <v>41651.253192550997</v>
      </c>
      <c r="S219" t="s">
        <v>61</v>
      </c>
      <c r="T219">
        <v>1</v>
      </c>
      <c r="U219" t="s">
        <v>62</v>
      </c>
      <c r="V219" t="s">
        <v>57</v>
      </c>
      <c r="W219">
        <v>0</v>
      </c>
      <c r="X219">
        <v>0</v>
      </c>
      <c r="Y219">
        <v>1</v>
      </c>
      <c r="Z219">
        <v>1</v>
      </c>
      <c r="AA219">
        <v>0</v>
      </c>
      <c r="AB219">
        <v>1500</v>
      </c>
      <c r="AC219">
        <v>1384</v>
      </c>
      <c r="AD219">
        <v>1384</v>
      </c>
      <c r="AE219">
        <v>0</v>
      </c>
      <c r="AF219">
        <v>0</v>
      </c>
      <c r="AG219">
        <v>0</v>
      </c>
      <c r="AH219">
        <v>400</v>
      </c>
      <c r="AI219">
        <v>0</v>
      </c>
      <c r="AJ219">
        <v>0</v>
      </c>
      <c r="AK219">
        <v>144</v>
      </c>
      <c r="AL219">
        <v>10</v>
      </c>
      <c r="AM219">
        <v>0</v>
      </c>
      <c r="AN219">
        <v>0</v>
      </c>
      <c r="AO219" t="s">
        <v>58</v>
      </c>
      <c r="AP219">
        <v>1</v>
      </c>
      <c r="AQ219" t="s">
        <v>63</v>
      </c>
      <c r="AR219" t="s">
        <v>64</v>
      </c>
      <c r="AS219">
        <v>1</v>
      </c>
      <c r="AT219">
        <v>3</v>
      </c>
      <c r="AU219">
        <v>0</v>
      </c>
      <c r="AV219">
        <v>0</v>
      </c>
      <c r="AW219">
        <v>100</v>
      </c>
      <c r="AX219" s="1">
        <v>44657</v>
      </c>
      <c r="AY219">
        <v>22400</v>
      </c>
      <c r="AZ219">
        <v>250338</v>
      </c>
      <c r="BA219">
        <v>272700</v>
      </c>
      <c r="BB219">
        <v>314940</v>
      </c>
      <c r="BC219">
        <v>270</v>
      </c>
      <c r="BD219">
        <f>Grandview_Sales[[#This Row],[land_extract]]*Lookups!$B$3</f>
        <v>48369.487874125851</v>
      </c>
      <c r="BE219">
        <f>Lookups!$B$2</f>
        <v>155833.95000000001</v>
      </c>
      <c r="BF219">
        <f>VLOOKUP(Grandview_Sales[[#This Row],[quality]],Lookups!$H$2:$J$13,3,FALSE)</f>
        <v>9808</v>
      </c>
      <c r="BG219">
        <f>VLOOKUP(Grandview_Sales[[#This Row],[condition]],Lookups!$H$17:$J$24,3,FALSE)</f>
        <v>25780</v>
      </c>
      <c r="BH219">
        <f>Grandview_Sales[[#This Row],[Eff_Age]]*Lookups!$B$14</f>
        <v>-239.16659999999999</v>
      </c>
      <c r="BI219">
        <f>Grandview_Sales[[#This Row],[living_area]]*Lookups!$B$15</f>
        <v>86335.100552000004</v>
      </c>
      <c r="BJ219">
        <f>Grandview_Sales[[#This Row],[Fin BSMT]]*Lookups!$B$16</f>
        <v>0</v>
      </c>
      <c r="BK219">
        <f>Grandview_Sales[[#This Row],[garage_sqft]]*Lookups!$B$17</f>
        <v>35008.174800000001</v>
      </c>
      <c r="BL219">
        <f>Grandview_Sales[[#This Row],[Plumbing Fixtures]]*Lookups!$B$18</f>
        <v>20104.418000000001</v>
      </c>
      <c r="BM219">
        <f>Grandview_Sales[[#This Row],[detatched_value]]*Lookups!$B$19</f>
        <v>0</v>
      </c>
      <c r="BN219">
        <f>Grandview_Sales[[#This Row],[days_prior]]*Lookups!$B$20</f>
        <v>-32386.121999999999</v>
      </c>
      <c r="BO219">
        <f>SUM(Grandview_Sales[[#This Row],[land_value]:[Days Prior To Assessment_value]])</f>
        <v>348613.8426261259</v>
      </c>
      <c r="BP219">
        <f>Grandview_Sales[[#This Row],[predicted_total]]/Grandview_Sales[[#This Row],[sale_price]]</f>
        <v>1.1069214536931666</v>
      </c>
      <c r="BQ219">
        <f>VLOOKUP(Grandview_Sales[[#This Row],[quality]],Lookups!$A$26:$C$33,3,FALSE)</f>
        <v>0.94295468617355149</v>
      </c>
      <c r="BR219">
        <f>VLOOKUP(Grandview_Sales[[#This Row],[condition]],Lookups!$A$37:$C$44,3,FALSE)</f>
        <v>0.94347925387812148</v>
      </c>
      <c r="BS219">
        <f>VLOOKUP(Grandview_Sales[[#This Row],[decade]],Lookups!$F$29:$H$43,3,FALSE)</f>
        <v>0.9413635517371044</v>
      </c>
      <c r="BT219">
        <f>VLOOKUP(Grandview_Sales[[#This Row],[living_area_range]],Lookups!$F$47:$H$56,3,FALSE)</f>
        <v>0.96135087979789358</v>
      </c>
      <c r="BU219">
        <f>Grandview_Sales[[#This Row],[predicted_total]]*AVERAGE(Grandview_Sales[[#This Row],[qual_adj]:[size_adj]])</f>
        <v>330237.39352483919</v>
      </c>
      <c r="BV219">
        <f>Grandview_Sales[[#This Row],[final_total]]/Grandview_Sales[[#This Row],[sale_price]]</f>
        <v>1.0485724059339532</v>
      </c>
      <c r="BW219" s="6">
        <f>(Grandview_Sales[[#This Row],[final_total]]-Grandview_Sales[[#This Row],[sale_price]])^2</f>
        <v>234010248.65379208</v>
      </c>
      <c r="BX219" s="6">
        <f>(Grandview_Sales[[#This Row],[final_total]]-AVERAGE(Grandview_Sales[sale_price]))^2</f>
        <v>541875684.00620425</v>
      </c>
      <c r="BY219" s="6">
        <f>Grandview_Sales[[#This Row],[SSE]]+Grandview_Sales[[#This Row],[SSR]]</f>
        <v>775885932.65999627</v>
      </c>
      <c r="BZ219" s="4">
        <f>ABS(Grandview_Sales[[#This Row],[final_ratio]]-MEDIAN(Grandview_Sales[final_ratio]))</f>
        <v>4.7323686578141233E-2</v>
      </c>
    </row>
    <row r="220" spans="1:78" x14ac:dyDescent="0.25">
      <c r="A220">
        <v>23092232506</v>
      </c>
      <c r="B220">
        <v>0</v>
      </c>
      <c r="C220">
        <v>8902</v>
      </c>
      <c r="D220">
        <v>0</v>
      </c>
      <c r="E220" t="s">
        <v>53</v>
      </c>
      <c r="F220" t="s">
        <v>53</v>
      </c>
      <c r="G220">
        <v>4</v>
      </c>
      <c r="H220" t="s">
        <v>54</v>
      </c>
      <c r="I220">
        <v>274700</v>
      </c>
      <c r="J220">
        <v>39300</v>
      </c>
      <c r="K220">
        <v>0.2</v>
      </c>
      <c r="L220">
        <v>-1.6094379124339999</v>
      </c>
      <c r="M220">
        <v>0</v>
      </c>
      <c r="N220">
        <v>0</v>
      </c>
      <c r="O220">
        <v>0</v>
      </c>
      <c r="P220">
        <v>13398.7528</v>
      </c>
      <c r="Q220">
        <v>63902.980100000001</v>
      </c>
      <c r="R220">
        <v>42338.519364346997</v>
      </c>
      <c r="S220" t="s">
        <v>55</v>
      </c>
      <c r="T220">
        <v>1</v>
      </c>
      <c r="U220" t="s">
        <v>62</v>
      </c>
      <c r="V220" t="s">
        <v>57</v>
      </c>
      <c r="W220">
        <v>0</v>
      </c>
      <c r="X220">
        <v>0</v>
      </c>
      <c r="Y220">
        <v>2</v>
      </c>
      <c r="Z220">
        <v>2</v>
      </c>
      <c r="AA220">
        <v>0</v>
      </c>
      <c r="AB220">
        <v>2000</v>
      </c>
      <c r="AC220">
        <v>1705</v>
      </c>
      <c r="AD220">
        <v>1705</v>
      </c>
      <c r="AE220">
        <v>0</v>
      </c>
      <c r="AF220">
        <v>0</v>
      </c>
      <c r="AG220">
        <v>0</v>
      </c>
      <c r="AH220">
        <v>456</v>
      </c>
      <c r="AI220">
        <v>0</v>
      </c>
      <c r="AJ220">
        <v>0</v>
      </c>
      <c r="AK220">
        <v>0</v>
      </c>
      <c r="AL220">
        <v>9</v>
      </c>
      <c r="AM220">
        <v>0</v>
      </c>
      <c r="AN220">
        <v>0</v>
      </c>
      <c r="AO220" t="s">
        <v>58</v>
      </c>
      <c r="AP220">
        <v>1</v>
      </c>
      <c r="AQ220" t="s">
        <v>63</v>
      </c>
      <c r="AR220" t="s">
        <v>64</v>
      </c>
      <c r="AS220">
        <v>1</v>
      </c>
      <c r="AT220">
        <v>3</v>
      </c>
      <c r="AU220">
        <v>0</v>
      </c>
      <c r="AV220">
        <v>0</v>
      </c>
      <c r="AW220">
        <v>100</v>
      </c>
      <c r="AX220" s="1">
        <v>44658</v>
      </c>
      <c r="AY220">
        <v>22500</v>
      </c>
      <c r="AZ220">
        <v>296476</v>
      </c>
      <c r="BA220">
        <v>319000</v>
      </c>
      <c r="BB220">
        <v>409850</v>
      </c>
      <c r="BC220">
        <v>269</v>
      </c>
      <c r="BD220">
        <f>Grandview_Sales[[#This Row],[land_extract]]*Lookups!$B$3</f>
        <v>49167.608223813884</v>
      </c>
      <c r="BE220">
        <f>Lookups!$B$2</f>
        <v>155833.95000000001</v>
      </c>
      <c r="BF220">
        <f>VLOOKUP(Grandview_Sales[[#This Row],[quality]],Lookups!$H$2:$J$13,3,FALSE)</f>
        <v>9808</v>
      </c>
      <c r="BG220">
        <f>VLOOKUP(Grandview_Sales[[#This Row],[condition]],Lookups!$H$17:$J$24,3,FALSE)</f>
        <v>25780</v>
      </c>
      <c r="BH220">
        <f>Grandview_Sales[[#This Row],[Eff_Age]]*Lookups!$B$14</f>
        <v>-478.33319999999998</v>
      </c>
      <c r="BI220">
        <f>Grandview_Sales[[#This Row],[living_area]]*Lookups!$B$15</f>
        <v>106359.35436500001</v>
      </c>
      <c r="BJ220">
        <f>Grandview_Sales[[#This Row],[Fin BSMT]]*Lookups!$B$16</f>
        <v>0</v>
      </c>
      <c r="BK220">
        <f>Grandview_Sales[[#This Row],[garage_sqft]]*Lookups!$B$17</f>
        <v>39909.319272000001</v>
      </c>
      <c r="BL220">
        <f>Grandview_Sales[[#This Row],[Plumbing Fixtures]]*Lookups!$B$18</f>
        <v>18093.976200000001</v>
      </c>
      <c r="BM220">
        <f>Grandview_Sales[[#This Row],[detatched_value]]*Lookups!$B$19</f>
        <v>0</v>
      </c>
      <c r="BN220">
        <f>Grandview_Sales[[#This Row],[days_prior]]*Lookups!$B$20</f>
        <v>-32266.1734</v>
      </c>
      <c r="BO220">
        <f>SUM(Grandview_Sales[[#This Row],[land_value]:[Days Prior To Assessment_value]])</f>
        <v>372207.70146081387</v>
      </c>
      <c r="BP220">
        <f>Grandview_Sales[[#This Row],[predicted_total]]/Grandview_Sales[[#This Row],[sale_price]]</f>
        <v>0.90815591426330089</v>
      </c>
      <c r="BQ220">
        <f>VLOOKUP(Grandview_Sales[[#This Row],[quality]],Lookups!$A$26:$C$33,3,FALSE)</f>
        <v>0.94295468617355149</v>
      </c>
      <c r="BR220">
        <f>VLOOKUP(Grandview_Sales[[#This Row],[condition]],Lookups!$A$37:$C$44,3,FALSE)</f>
        <v>0.94347925387812148</v>
      </c>
      <c r="BS220">
        <f>VLOOKUP(Grandview_Sales[[#This Row],[decade]],Lookups!$F$29:$H$43,3,FALSE)</f>
        <v>0.9413635517371044</v>
      </c>
      <c r="BT220">
        <f>VLOOKUP(Grandview_Sales[[#This Row],[living_area_range]],Lookups!$F$47:$H$56,3,FALSE)</f>
        <v>0.96120133463014379</v>
      </c>
      <c r="BU220">
        <f>Grandview_Sales[[#This Row],[predicted_total]]*AVERAGE(Grandview_Sales[[#This Row],[qual_adj]:[size_adj]])</f>
        <v>352573.63600477698</v>
      </c>
      <c r="BV220">
        <f>Grandview_Sales[[#This Row],[final_total]]/Grandview_Sales[[#This Row],[sale_price]]</f>
        <v>0.86025042333726243</v>
      </c>
      <c r="BW220" s="6">
        <f>(Grandview_Sales[[#This Row],[final_total]]-Grandview_Sales[[#This Row],[sale_price]])^2</f>
        <v>3280581872.5132794</v>
      </c>
      <c r="BX220" s="6">
        <f>(Grandview_Sales[[#This Row],[final_total]]-AVERAGE(Grandview_Sales[sale_price]))^2</f>
        <v>2080679496.2302713</v>
      </c>
      <c r="BY220" s="6">
        <f>Grandview_Sales[[#This Row],[SSE]]+Grandview_Sales[[#This Row],[SSR]]</f>
        <v>5361261368.7435513</v>
      </c>
      <c r="BZ220" s="4">
        <f>ABS(Grandview_Sales[[#This Row],[final_ratio]]-MEDIAN(Grandview_Sales[final_ratio]))</f>
        <v>0.14099829601854952</v>
      </c>
    </row>
    <row r="221" spans="1:78" x14ac:dyDescent="0.25">
      <c r="A221">
        <v>23092324459</v>
      </c>
      <c r="B221">
        <v>0.12</v>
      </c>
      <c r="C221">
        <v>5302</v>
      </c>
      <c r="D221">
        <v>0</v>
      </c>
      <c r="E221" t="s">
        <v>53</v>
      </c>
      <c r="F221" t="s">
        <v>53</v>
      </c>
      <c r="G221">
        <v>4</v>
      </c>
      <c r="H221" t="s">
        <v>54</v>
      </c>
      <c r="I221">
        <v>103300</v>
      </c>
      <c r="J221">
        <v>38400</v>
      </c>
      <c r="K221">
        <v>0.12</v>
      </c>
      <c r="L221">
        <v>-2.1202635362</v>
      </c>
      <c r="M221">
        <v>0</v>
      </c>
      <c r="N221">
        <v>0</v>
      </c>
      <c r="O221">
        <v>0</v>
      </c>
      <c r="P221">
        <v>13398.7528</v>
      </c>
      <c r="Q221">
        <v>63902.980100000001</v>
      </c>
      <c r="R221">
        <v>35494.093107601002</v>
      </c>
      <c r="S221" t="s">
        <v>68</v>
      </c>
      <c r="T221">
        <v>1</v>
      </c>
      <c r="U221" t="s">
        <v>83</v>
      </c>
      <c r="V221" t="s">
        <v>69</v>
      </c>
      <c r="W221">
        <v>0</v>
      </c>
      <c r="X221">
        <v>0</v>
      </c>
      <c r="Y221">
        <v>53</v>
      </c>
      <c r="Z221">
        <v>93</v>
      </c>
      <c r="AA221">
        <v>90</v>
      </c>
      <c r="AB221">
        <v>1000</v>
      </c>
      <c r="AC221">
        <v>666</v>
      </c>
      <c r="AD221">
        <v>666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5</v>
      </c>
      <c r="AM221">
        <v>0</v>
      </c>
      <c r="AN221">
        <v>0</v>
      </c>
      <c r="AO221" t="s">
        <v>58</v>
      </c>
      <c r="AP221">
        <v>1</v>
      </c>
      <c r="AQ221" t="s">
        <v>75</v>
      </c>
      <c r="AR221" t="s">
        <v>60</v>
      </c>
      <c r="AS221">
        <v>0</v>
      </c>
      <c r="AT221">
        <v>1</v>
      </c>
      <c r="AU221">
        <v>0</v>
      </c>
      <c r="AV221">
        <v>0</v>
      </c>
      <c r="AW221">
        <v>100</v>
      </c>
      <c r="AX221" s="1">
        <v>44659</v>
      </c>
      <c r="AY221">
        <v>22000</v>
      </c>
      <c r="AZ221">
        <v>55410</v>
      </c>
      <c r="BA221">
        <v>77400</v>
      </c>
      <c r="BB221">
        <v>164500</v>
      </c>
      <c r="BC221">
        <v>268</v>
      </c>
      <c r="BD221">
        <f>Grandview_Sales[[#This Row],[land_extract]]*Lookups!$B$3</f>
        <v>41219.194491805654</v>
      </c>
      <c r="BE221">
        <f>Lookups!$B$2</f>
        <v>155833.95000000001</v>
      </c>
      <c r="BF221">
        <f>VLOOKUP(Grandview_Sales[[#This Row],[quality]],Lookups!$H$2:$J$13,3,FALSE)</f>
        <v>-28558</v>
      </c>
      <c r="BG221">
        <f>VLOOKUP(Grandview_Sales[[#This Row],[condition]],Lookups!$H$17:$J$24,3,FALSE)</f>
        <v>-4503</v>
      </c>
      <c r="BH221">
        <f>Grandview_Sales[[#This Row],[Eff_Age]]*Lookups!$B$14</f>
        <v>-12675.8298</v>
      </c>
      <c r="BI221">
        <f>Grandview_Sales[[#This Row],[living_area]]*Lookups!$B$15</f>
        <v>41545.648097999998</v>
      </c>
      <c r="BJ221">
        <f>Grandview_Sales[[#This Row],[Fin BSMT]]*Lookups!$B$16</f>
        <v>0</v>
      </c>
      <c r="BK221">
        <f>Grandview_Sales[[#This Row],[garage_sqft]]*Lookups!$B$17</f>
        <v>0</v>
      </c>
      <c r="BL221">
        <f>Grandview_Sales[[#This Row],[Plumbing Fixtures]]*Lookups!$B$18</f>
        <v>10052.209000000001</v>
      </c>
      <c r="BM221">
        <f>Grandview_Sales[[#This Row],[detatched_value]]*Lookups!$B$19</f>
        <v>0</v>
      </c>
      <c r="BN221">
        <f>Grandview_Sales[[#This Row],[days_prior]]*Lookups!$B$20</f>
        <v>-32146.2248</v>
      </c>
      <c r="BO221">
        <f>SUM(Grandview_Sales[[#This Row],[land_value]:[Days Prior To Assessment_value]])</f>
        <v>170767.94698980567</v>
      </c>
      <c r="BP221">
        <f>Grandview_Sales[[#This Row],[predicted_total]]/Grandview_Sales[[#This Row],[sale_price]]</f>
        <v>1.0381030212146241</v>
      </c>
      <c r="BQ221">
        <f>VLOOKUP(Grandview_Sales[[#This Row],[quality]],Lookups!$A$26:$C$33,3,FALSE)</f>
        <v>0.96329552998502799</v>
      </c>
      <c r="BR221">
        <f>VLOOKUP(Grandview_Sales[[#This Row],[condition]],Lookups!$A$37:$C$44,3,FALSE)</f>
        <v>0.96469275950863709</v>
      </c>
      <c r="BS221">
        <f>VLOOKUP(Grandview_Sales[[#This Row],[decade]],Lookups!$F$29:$H$43,3,FALSE)</f>
        <v>0.94161750052457416</v>
      </c>
      <c r="BT221">
        <f>VLOOKUP(Grandview_Sales[[#This Row],[living_area_range]],Lookups!$F$47:$H$56,3,FALSE)</f>
        <v>0.94306777142782894</v>
      </c>
      <c r="BU221">
        <f>Grandview_Sales[[#This Row],[predicted_total]]*AVERAGE(Grandview_Sales[[#This Row],[qual_adj]:[size_adj]])</f>
        <v>162770.60915761394</v>
      </c>
      <c r="BV221">
        <f>Grandview_Sales[[#This Row],[final_total]]/Grandview_Sales[[#This Row],[sale_price]]</f>
        <v>0.98948698576057104</v>
      </c>
      <c r="BW221" s="6">
        <f>(Grandview_Sales[[#This Row],[final_total]]-Grandview_Sales[[#This Row],[sale_price]])^2</f>
        <v>2990792.6857287516</v>
      </c>
      <c r="BX221" s="6">
        <f>(Grandview_Sales[[#This Row],[final_total]]-AVERAGE(Grandview_Sales[sale_price]))^2</f>
        <v>20790341117.850842</v>
      </c>
      <c r="BY221" s="6">
        <f>Grandview_Sales[[#This Row],[SSE]]+Grandview_Sales[[#This Row],[SSR]]</f>
        <v>20793331910.536572</v>
      </c>
      <c r="BZ221" s="4">
        <f>ABS(Grandview_Sales[[#This Row],[final_ratio]]-MEDIAN(Grandview_Sales[final_ratio]))</f>
        <v>1.1761733595240909E-2</v>
      </c>
    </row>
    <row r="222" spans="1:78" x14ac:dyDescent="0.25">
      <c r="A222">
        <v>23092232502</v>
      </c>
      <c r="B222">
        <v>0</v>
      </c>
      <c r="C222">
        <v>21342</v>
      </c>
      <c r="D222">
        <v>0</v>
      </c>
      <c r="E222" t="s">
        <v>53</v>
      </c>
      <c r="F222" t="s">
        <v>53</v>
      </c>
      <c r="G222">
        <v>4</v>
      </c>
      <c r="H222" t="s">
        <v>54</v>
      </c>
      <c r="I222">
        <v>292000</v>
      </c>
      <c r="J222">
        <v>41900</v>
      </c>
      <c r="K222">
        <v>0.49</v>
      </c>
      <c r="L222">
        <v>-0.71334988787700004</v>
      </c>
      <c r="M222">
        <v>0</v>
      </c>
      <c r="N222">
        <v>0</v>
      </c>
      <c r="O222">
        <v>0</v>
      </c>
      <c r="P222">
        <v>13398.7528</v>
      </c>
      <c r="Q222">
        <v>63902.980100000001</v>
      </c>
      <c r="R222">
        <v>54344.981292422002</v>
      </c>
      <c r="S222" t="s">
        <v>61</v>
      </c>
      <c r="T222">
        <v>1</v>
      </c>
      <c r="U222" t="s">
        <v>64</v>
      </c>
      <c r="V222" t="s">
        <v>57</v>
      </c>
      <c r="W222">
        <v>0</v>
      </c>
      <c r="X222">
        <v>0</v>
      </c>
      <c r="Y222">
        <v>1</v>
      </c>
      <c r="Z222">
        <v>1</v>
      </c>
      <c r="AA222">
        <v>0</v>
      </c>
      <c r="AB222">
        <v>2000</v>
      </c>
      <c r="AC222">
        <v>1797</v>
      </c>
      <c r="AD222">
        <v>1797</v>
      </c>
      <c r="AE222">
        <v>0</v>
      </c>
      <c r="AF222">
        <v>0</v>
      </c>
      <c r="AG222">
        <v>0</v>
      </c>
      <c r="AH222">
        <v>668</v>
      </c>
      <c r="AI222">
        <v>0</v>
      </c>
      <c r="AJ222">
        <v>0</v>
      </c>
      <c r="AK222">
        <v>0</v>
      </c>
      <c r="AL222">
        <v>10</v>
      </c>
      <c r="AM222">
        <v>0</v>
      </c>
      <c r="AN222">
        <v>0</v>
      </c>
      <c r="AO222" t="s">
        <v>58</v>
      </c>
      <c r="AP222">
        <v>1</v>
      </c>
      <c r="AQ222" t="s">
        <v>59</v>
      </c>
      <c r="AR222" t="s">
        <v>64</v>
      </c>
      <c r="AS222">
        <v>1</v>
      </c>
      <c r="AT222">
        <v>3</v>
      </c>
      <c r="AU222">
        <v>0</v>
      </c>
      <c r="AV222">
        <v>0</v>
      </c>
      <c r="AW222">
        <v>100</v>
      </c>
      <c r="AX222" s="1">
        <v>44662</v>
      </c>
      <c r="AY222">
        <v>24000</v>
      </c>
      <c r="AZ222">
        <v>365118</v>
      </c>
      <c r="BA222">
        <v>389100</v>
      </c>
      <c r="BB222">
        <v>440850</v>
      </c>
      <c r="BC222">
        <v>265</v>
      </c>
      <c r="BD222">
        <f>Grandview_Sales[[#This Row],[land_extract]]*Lookups!$B$3</f>
        <v>63110.680043440181</v>
      </c>
      <c r="BE222">
        <f>Lookups!$B$2</f>
        <v>155833.95000000001</v>
      </c>
      <c r="BF222">
        <f>VLOOKUP(Grandview_Sales[[#This Row],[quality]],Lookups!$H$2:$J$13,3,FALSE)</f>
        <v>20768</v>
      </c>
      <c r="BG222">
        <f>VLOOKUP(Grandview_Sales[[#This Row],[condition]],Lookups!$H$17:$J$24,3,FALSE)</f>
        <v>25780</v>
      </c>
      <c r="BH222">
        <f>Grandview_Sales[[#This Row],[Eff_Age]]*Lookups!$B$14</f>
        <v>-239.16659999999999</v>
      </c>
      <c r="BI222">
        <f>Grandview_Sales[[#This Row],[living_area]]*Lookups!$B$15</f>
        <v>112098.39284100001</v>
      </c>
      <c r="BJ222">
        <f>Grandview_Sales[[#This Row],[Fin BSMT]]*Lookups!$B$16</f>
        <v>0</v>
      </c>
      <c r="BK222">
        <f>Grandview_Sales[[#This Row],[garage_sqft]]*Lookups!$B$17</f>
        <v>58463.651916000003</v>
      </c>
      <c r="BL222">
        <f>Grandview_Sales[[#This Row],[Plumbing Fixtures]]*Lookups!$B$18</f>
        <v>20104.418000000001</v>
      </c>
      <c r="BM222">
        <f>Grandview_Sales[[#This Row],[detatched_value]]*Lookups!$B$19</f>
        <v>0</v>
      </c>
      <c r="BN222">
        <f>Grandview_Sales[[#This Row],[days_prior]]*Lookups!$B$20</f>
        <v>-31786.379000000001</v>
      </c>
      <c r="BO222">
        <f>SUM(Grandview_Sales[[#This Row],[land_value]:[Days Prior To Assessment_value]])</f>
        <v>424133.5472004402</v>
      </c>
      <c r="BP222">
        <f>Grandview_Sales[[#This Row],[predicted_total]]/Grandview_Sales[[#This Row],[sale_price]]</f>
        <v>0.96208131382656281</v>
      </c>
      <c r="BQ222">
        <f>VLOOKUP(Grandview_Sales[[#This Row],[quality]],Lookups!$A$26:$C$33,3,FALSE)</f>
        <v>0.94960540378902636</v>
      </c>
      <c r="BR222">
        <f>VLOOKUP(Grandview_Sales[[#This Row],[condition]],Lookups!$A$37:$C$44,3,FALSE)</f>
        <v>0.94347925387812148</v>
      </c>
      <c r="BS222">
        <f>VLOOKUP(Grandview_Sales[[#This Row],[decade]],Lookups!$F$29:$H$43,3,FALSE)</f>
        <v>0.9413635517371044</v>
      </c>
      <c r="BT222">
        <f>VLOOKUP(Grandview_Sales[[#This Row],[living_area_range]],Lookups!$F$47:$H$56,3,FALSE)</f>
        <v>0.96120133463014379</v>
      </c>
      <c r="BU222">
        <f>Grandview_Sales[[#This Row],[predicted_total]]*AVERAGE(Grandview_Sales[[#This Row],[qual_adj]:[size_adj]])</f>
        <v>402465.57626026048</v>
      </c>
      <c r="BV222">
        <f>Grandview_Sales[[#This Row],[final_total]]/Grandview_Sales[[#This Row],[sale_price]]</f>
        <v>0.91293087503745152</v>
      </c>
      <c r="BW222" s="6">
        <f>(Grandview_Sales[[#This Row],[final_total]]-Grandview_Sales[[#This Row],[sale_price]])^2</f>
        <v>1473363985.8318787</v>
      </c>
      <c r="BX222" s="6">
        <f>(Grandview_Sales[[#This Row],[final_total]]-AVERAGE(Grandview_Sales[sale_price]))^2</f>
        <v>9121473610.2203674</v>
      </c>
      <c r="BY222" s="6">
        <f>Grandview_Sales[[#This Row],[SSE]]+Grandview_Sales[[#This Row],[SSR]]</f>
        <v>10594837596.052246</v>
      </c>
      <c r="BZ222" s="4">
        <f>ABS(Grandview_Sales[[#This Row],[final_ratio]]-MEDIAN(Grandview_Sales[final_ratio]))</f>
        <v>8.8317844318360428E-2</v>
      </c>
    </row>
    <row r="223" spans="1:78" x14ac:dyDescent="0.25">
      <c r="A223">
        <v>23091433477</v>
      </c>
      <c r="B223">
        <v>0.24</v>
      </c>
      <c r="C223">
        <v>0</v>
      </c>
      <c r="D223">
        <v>0</v>
      </c>
      <c r="E223" t="s">
        <v>53</v>
      </c>
      <c r="F223" t="s">
        <v>53</v>
      </c>
      <c r="G223">
        <v>4</v>
      </c>
      <c r="H223" t="s">
        <v>54</v>
      </c>
      <c r="I223">
        <v>217900</v>
      </c>
      <c r="J223">
        <v>39800</v>
      </c>
      <c r="K223">
        <v>0.24</v>
      </c>
      <c r="L223">
        <v>-1.4271163556399999</v>
      </c>
      <c r="M223">
        <v>0</v>
      </c>
      <c r="N223">
        <v>0</v>
      </c>
      <c r="O223">
        <v>0</v>
      </c>
      <c r="P223">
        <v>13398.7528</v>
      </c>
      <c r="Q223">
        <v>63902.980100000001</v>
      </c>
      <c r="R223">
        <v>44781.400833940999</v>
      </c>
      <c r="S223" t="s">
        <v>61</v>
      </c>
      <c r="T223">
        <v>1</v>
      </c>
      <c r="U223" t="s">
        <v>65</v>
      </c>
      <c r="V223" t="s">
        <v>67</v>
      </c>
      <c r="W223">
        <v>0</v>
      </c>
      <c r="X223">
        <v>0</v>
      </c>
      <c r="Y223">
        <v>20</v>
      </c>
      <c r="Z223">
        <v>20</v>
      </c>
      <c r="AA223">
        <v>20</v>
      </c>
      <c r="AB223">
        <v>1500</v>
      </c>
      <c r="AC223">
        <v>1380</v>
      </c>
      <c r="AD223">
        <v>1380</v>
      </c>
      <c r="AE223">
        <v>0</v>
      </c>
      <c r="AF223">
        <v>0</v>
      </c>
      <c r="AG223">
        <v>0</v>
      </c>
      <c r="AH223">
        <v>308</v>
      </c>
      <c r="AI223">
        <v>0</v>
      </c>
      <c r="AJ223">
        <v>0</v>
      </c>
      <c r="AK223">
        <v>140</v>
      </c>
      <c r="AL223">
        <v>8</v>
      </c>
      <c r="AM223">
        <v>0</v>
      </c>
      <c r="AN223">
        <v>0</v>
      </c>
      <c r="AO223" t="s">
        <v>58</v>
      </c>
      <c r="AP223">
        <v>1</v>
      </c>
      <c r="AQ223" t="s">
        <v>59</v>
      </c>
      <c r="AR223" t="s">
        <v>60</v>
      </c>
      <c r="AS223">
        <v>1</v>
      </c>
      <c r="AT223">
        <v>3</v>
      </c>
      <c r="AU223">
        <v>0</v>
      </c>
      <c r="AV223">
        <v>0</v>
      </c>
      <c r="AW223">
        <v>100</v>
      </c>
      <c r="AX223" s="1">
        <v>44663</v>
      </c>
      <c r="AY223">
        <v>22800</v>
      </c>
      <c r="AZ223">
        <v>196569</v>
      </c>
      <c r="BA223">
        <v>219400</v>
      </c>
      <c r="BB223">
        <v>335000</v>
      </c>
      <c r="BC223">
        <v>264</v>
      </c>
      <c r="BD223">
        <f>Grandview_Sales[[#This Row],[land_extract]]*Lookups!$B$3</f>
        <v>52004.519878673433</v>
      </c>
      <c r="BE223">
        <f>Lookups!$B$2</f>
        <v>155833.95000000001</v>
      </c>
      <c r="BF223">
        <f>VLOOKUP(Grandview_Sales[[#This Row],[quality]],Lookups!$H$2:$J$13,3,FALSE)</f>
        <v>2251</v>
      </c>
      <c r="BG223">
        <f>VLOOKUP(Grandview_Sales[[#This Row],[condition]],Lookups!$H$17:$J$24,3,FALSE)</f>
        <v>22342</v>
      </c>
      <c r="BH223">
        <f>Grandview_Sales[[#This Row],[Eff_Age]]*Lookups!$B$14</f>
        <v>-4783.3319999999994</v>
      </c>
      <c r="BI223">
        <f>Grandview_Sales[[#This Row],[living_area]]*Lookups!$B$15</f>
        <v>86085.577140000009</v>
      </c>
      <c r="BJ223">
        <f>Grandview_Sales[[#This Row],[Fin BSMT]]*Lookups!$B$16</f>
        <v>0</v>
      </c>
      <c r="BK223">
        <f>Grandview_Sales[[#This Row],[garage_sqft]]*Lookups!$B$17</f>
        <v>26956.294596</v>
      </c>
      <c r="BL223">
        <f>Grandview_Sales[[#This Row],[Plumbing Fixtures]]*Lookups!$B$18</f>
        <v>16083.5344</v>
      </c>
      <c r="BM223">
        <f>Grandview_Sales[[#This Row],[detatched_value]]*Lookups!$B$19</f>
        <v>0</v>
      </c>
      <c r="BN223">
        <f>Grandview_Sales[[#This Row],[days_prior]]*Lookups!$B$20</f>
        <v>-31666.430400000001</v>
      </c>
      <c r="BO223">
        <f>SUM(Grandview_Sales[[#This Row],[land_value]:[Days Prior To Assessment_value]])</f>
        <v>325107.11361467344</v>
      </c>
      <c r="BP223">
        <f>Grandview_Sales[[#This Row],[predicted_total]]/Grandview_Sales[[#This Row],[sale_price]]</f>
        <v>0.97046899586469682</v>
      </c>
      <c r="BQ223">
        <f>VLOOKUP(Grandview_Sales[[#This Row],[quality]],Lookups!$A$26:$C$33,3,FALSE)</f>
        <v>0.98763855981004833</v>
      </c>
      <c r="BR223">
        <f>VLOOKUP(Grandview_Sales[[#This Row],[condition]],Lookups!$A$37:$C$44,3,FALSE)</f>
        <v>0.97383723671140243</v>
      </c>
      <c r="BS223">
        <f>VLOOKUP(Grandview_Sales[[#This Row],[decade]],Lookups!$F$29:$H$43,3,FALSE)</f>
        <v>0.96737494181490646</v>
      </c>
      <c r="BT223">
        <f>VLOOKUP(Grandview_Sales[[#This Row],[living_area_range]],Lookups!$F$47:$H$56,3,FALSE)</f>
        <v>0.96135087979789358</v>
      </c>
      <c r="BU223">
        <f>Grandview_Sales[[#This Row],[predicted_total]]*AVERAGE(Grandview_Sales[[#This Row],[qual_adj]:[size_adj]])</f>
        <v>316183.05486268958</v>
      </c>
      <c r="BV223">
        <f>Grandview_Sales[[#This Row],[final_total]]/Grandview_Sales[[#This Row],[sale_price]]</f>
        <v>0.94383001451549131</v>
      </c>
      <c r="BW223" s="6">
        <f>(Grandview_Sales[[#This Row],[final_total]]-Grandview_Sales[[#This Row],[sale_price]])^2</f>
        <v>354077424.3005504</v>
      </c>
      <c r="BX223" s="6">
        <f>(Grandview_Sales[[#This Row],[final_total]]-AVERAGE(Grandview_Sales[sale_price]))^2</f>
        <v>85080049.397963911</v>
      </c>
      <c r="BY223" s="6">
        <f>Grandview_Sales[[#This Row],[SSE]]+Grandview_Sales[[#This Row],[SSR]]</f>
        <v>439157473.69851434</v>
      </c>
      <c r="BZ223" s="4">
        <f>ABS(Grandview_Sales[[#This Row],[final_ratio]]-MEDIAN(Grandview_Sales[final_ratio]))</f>
        <v>5.7418704840320633E-2</v>
      </c>
    </row>
    <row r="224" spans="1:78" x14ac:dyDescent="0.25">
      <c r="A224">
        <v>23092342400</v>
      </c>
      <c r="B224">
        <v>0.17</v>
      </c>
      <c r="C224">
        <v>7300</v>
      </c>
      <c r="D224">
        <v>0</v>
      </c>
      <c r="E224" t="s">
        <v>53</v>
      </c>
      <c r="F224" t="s">
        <v>53</v>
      </c>
      <c r="G224">
        <v>4</v>
      </c>
      <c r="H224" t="s">
        <v>54</v>
      </c>
      <c r="I224">
        <v>170500</v>
      </c>
      <c r="J224">
        <v>39300</v>
      </c>
      <c r="K224">
        <v>0.17</v>
      </c>
      <c r="L224">
        <v>-1.771956841932</v>
      </c>
      <c r="M224">
        <v>0</v>
      </c>
      <c r="N224">
        <v>0</v>
      </c>
      <c r="O224">
        <v>0</v>
      </c>
      <c r="P224">
        <v>13398.7528</v>
      </c>
      <c r="Q224">
        <v>63902.980100000001</v>
      </c>
      <c r="R224">
        <v>40160.968402685998</v>
      </c>
      <c r="S224" t="s">
        <v>68</v>
      </c>
      <c r="T224">
        <v>2</v>
      </c>
      <c r="U224" t="s">
        <v>70</v>
      </c>
      <c r="V224" t="s">
        <v>69</v>
      </c>
      <c r="W224">
        <v>0</v>
      </c>
      <c r="X224">
        <v>0</v>
      </c>
      <c r="Y224">
        <v>52</v>
      </c>
      <c r="Z224">
        <v>85</v>
      </c>
      <c r="AA224">
        <v>90</v>
      </c>
      <c r="AB224">
        <v>1500</v>
      </c>
      <c r="AC224">
        <v>1350</v>
      </c>
      <c r="AD224">
        <v>900</v>
      </c>
      <c r="AE224">
        <v>450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112</v>
      </c>
      <c r="AL224">
        <v>7</v>
      </c>
      <c r="AM224">
        <v>0</v>
      </c>
      <c r="AN224">
        <v>0</v>
      </c>
      <c r="AO224" t="s">
        <v>58</v>
      </c>
      <c r="AP224">
        <v>1</v>
      </c>
      <c r="AQ224" t="s">
        <v>59</v>
      </c>
      <c r="AR224" t="s">
        <v>60</v>
      </c>
      <c r="AS224">
        <v>1</v>
      </c>
      <c r="AT224">
        <v>5</v>
      </c>
      <c r="AU224">
        <v>0</v>
      </c>
      <c r="AV224">
        <v>17600</v>
      </c>
      <c r="AW224">
        <v>100</v>
      </c>
      <c r="AX224" s="1">
        <v>44665</v>
      </c>
      <c r="AY224">
        <v>22500</v>
      </c>
      <c r="AZ224">
        <v>137844</v>
      </c>
      <c r="BA224">
        <v>160300</v>
      </c>
      <c r="BB224">
        <v>265000</v>
      </c>
      <c r="BC224">
        <v>262</v>
      </c>
      <c r="BD224">
        <f>Grandview_Sales[[#This Row],[land_extract]]*Lookups!$B$3</f>
        <v>46638.82417142456</v>
      </c>
      <c r="BE224">
        <f>Lookups!$B$2</f>
        <v>155833.95000000001</v>
      </c>
      <c r="BF224">
        <f>VLOOKUP(Grandview_Sales[[#This Row],[quality]],Lookups!$H$2:$J$13,3,FALSE)</f>
        <v>10733</v>
      </c>
      <c r="BG224">
        <f>VLOOKUP(Grandview_Sales[[#This Row],[condition]],Lookups!$H$17:$J$24,3,FALSE)</f>
        <v>-4503</v>
      </c>
      <c r="BH224">
        <f>Grandview_Sales[[#This Row],[Eff_Age]]*Lookups!$B$14</f>
        <v>-12436.663199999999</v>
      </c>
      <c r="BI224">
        <f>Grandview_Sales[[#This Row],[living_area]]*Lookups!$B$15</f>
        <v>84214.15155000001</v>
      </c>
      <c r="BJ224">
        <f>Grandview_Sales[[#This Row],[Fin BSMT]]*Lookups!$B$16</f>
        <v>0</v>
      </c>
      <c r="BK224">
        <f>Grandview_Sales[[#This Row],[garage_sqft]]*Lookups!$B$17</f>
        <v>0</v>
      </c>
      <c r="BL224">
        <f>Grandview_Sales[[#This Row],[Plumbing Fixtures]]*Lookups!$B$18</f>
        <v>14073.0926</v>
      </c>
      <c r="BM224">
        <f>Grandview_Sales[[#This Row],[detatched_value]]*Lookups!$B$19</f>
        <v>14903.769759999999</v>
      </c>
      <c r="BN224">
        <f>Grandview_Sales[[#This Row],[days_prior]]*Lookups!$B$20</f>
        <v>-31426.533199999998</v>
      </c>
      <c r="BO224">
        <f>SUM(Grandview_Sales[[#This Row],[land_value]:[Days Prior To Assessment_value]])</f>
        <v>278030.59168142453</v>
      </c>
      <c r="BP224">
        <f>Grandview_Sales[[#This Row],[predicted_total]]/Grandview_Sales[[#This Row],[sale_price]]</f>
        <v>1.0491720440808472</v>
      </c>
      <c r="BQ224">
        <f>VLOOKUP(Grandview_Sales[[#This Row],[quality]],Lookups!$A$26:$C$33,3,FALSE)</f>
        <v>0.98079741117310582</v>
      </c>
      <c r="BR224">
        <f>VLOOKUP(Grandview_Sales[[#This Row],[condition]],Lookups!$A$37:$C$44,3,FALSE)</f>
        <v>0.96469275950863709</v>
      </c>
      <c r="BS224">
        <f>VLOOKUP(Grandview_Sales[[#This Row],[decade]],Lookups!$F$29:$H$43,3,FALSE)</f>
        <v>0.94161750052457416</v>
      </c>
      <c r="BT224">
        <f>VLOOKUP(Grandview_Sales[[#This Row],[living_area_range]],Lookups!$F$47:$H$56,3,FALSE)</f>
        <v>0.96135087979789358</v>
      </c>
      <c r="BU224">
        <f>Grandview_Sales[[#This Row],[predicted_total]]*AVERAGE(Grandview_Sales[[#This Row],[qual_adj]:[size_adj]])</f>
        <v>267497.30199928459</v>
      </c>
      <c r="BV224">
        <f>Grandview_Sales[[#This Row],[final_total]]/Grandview_Sales[[#This Row],[sale_price]]</f>
        <v>1.0094237811293758</v>
      </c>
      <c r="BW224" s="6">
        <f>(Grandview_Sales[[#This Row],[final_total]]-Grandview_Sales[[#This Row],[sale_price]])^2</f>
        <v>6236517.2756308345</v>
      </c>
      <c r="BX224" s="6">
        <f>(Grandview_Sales[[#This Row],[final_total]]-AVERAGE(Grandview_Sales[sale_price]))^2</f>
        <v>1557239037.0675154</v>
      </c>
      <c r="BY224" s="6">
        <f>Grandview_Sales[[#This Row],[SSE]]+Grandview_Sales[[#This Row],[SSR]]</f>
        <v>1563475554.3431463</v>
      </c>
      <c r="BZ224" s="4">
        <f>ABS(Grandview_Sales[[#This Row],[final_ratio]]-MEDIAN(Grandview_Sales[final_ratio]))</f>
        <v>8.1750617735638631E-3</v>
      </c>
    </row>
    <row r="225" spans="1:78" x14ac:dyDescent="0.25">
      <c r="A225">
        <v>23092621490</v>
      </c>
      <c r="B225">
        <v>0</v>
      </c>
      <c r="C225">
        <v>8714</v>
      </c>
      <c r="D225">
        <v>0</v>
      </c>
      <c r="E225" t="s">
        <v>53</v>
      </c>
      <c r="F225" t="s">
        <v>53</v>
      </c>
      <c r="G225">
        <v>4</v>
      </c>
      <c r="H225" t="s">
        <v>54</v>
      </c>
      <c r="I225">
        <v>302600</v>
      </c>
      <c r="J225">
        <v>39300</v>
      </c>
      <c r="K225">
        <v>0.2</v>
      </c>
      <c r="L225">
        <v>-1.6094379124339999</v>
      </c>
      <c r="M225">
        <v>0</v>
      </c>
      <c r="N225">
        <v>0</v>
      </c>
      <c r="O225">
        <v>0</v>
      </c>
      <c r="P225">
        <v>13398.7528</v>
      </c>
      <c r="Q225">
        <v>63902.980100000001</v>
      </c>
      <c r="R225">
        <v>42338.519364346997</v>
      </c>
      <c r="S225" t="s">
        <v>55</v>
      </c>
      <c r="T225">
        <v>2</v>
      </c>
      <c r="U225" t="s">
        <v>64</v>
      </c>
      <c r="V225" t="s">
        <v>57</v>
      </c>
      <c r="W225">
        <v>0</v>
      </c>
      <c r="X225">
        <v>0</v>
      </c>
      <c r="Y225">
        <v>1</v>
      </c>
      <c r="Z225">
        <v>1</v>
      </c>
      <c r="AA225">
        <v>0</v>
      </c>
      <c r="AB225">
        <v>2500</v>
      </c>
      <c r="AC225">
        <v>2160</v>
      </c>
      <c r="AD225">
        <v>896</v>
      </c>
      <c r="AE225">
        <v>1264</v>
      </c>
      <c r="AF225">
        <v>0</v>
      </c>
      <c r="AG225">
        <v>0</v>
      </c>
      <c r="AH225">
        <v>440</v>
      </c>
      <c r="AI225">
        <v>0</v>
      </c>
      <c r="AJ225">
        <v>0</v>
      </c>
      <c r="AK225">
        <v>0</v>
      </c>
      <c r="AL225">
        <v>12</v>
      </c>
      <c r="AM225">
        <v>0</v>
      </c>
      <c r="AN225">
        <v>0</v>
      </c>
      <c r="AO225" t="s">
        <v>58</v>
      </c>
      <c r="AP225">
        <v>1</v>
      </c>
      <c r="AQ225" t="s">
        <v>63</v>
      </c>
      <c r="AR225" t="s">
        <v>64</v>
      </c>
      <c r="AS225">
        <v>1</v>
      </c>
      <c r="AT225">
        <v>3</v>
      </c>
      <c r="AU225">
        <v>0</v>
      </c>
      <c r="AV225">
        <v>0</v>
      </c>
      <c r="AW225">
        <v>100</v>
      </c>
      <c r="AX225" s="1">
        <v>44666</v>
      </c>
      <c r="AY225">
        <v>22500</v>
      </c>
      <c r="AZ225">
        <v>377313</v>
      </c>
      <c r="BA225">
        <v>399800</v>
      </c>
      <c r="BB225">
        <v>377947</v>
      </c>
      <c r="BC225">
        <v>261</v>
      </c>
      <c r="BD225">
        <f>Grandview_Sales[[#This Row],[land_extract]]*Lookups!$B$3</f>
        <v>49167.608223813884</v>
      </c>
      <c r="BE225">
        <f>Lookups!$B$2</f>
        <v>155833.95000000001</v>
      </c>
      <c r="BF225">
        <f>VLOOKUP(Grandview_Sales[[#This Row],[quality]],Lookups!$H$2:$J$13,3,FALSE)</f>
        <v>20768</v>
      </c>
      <c r="BG225">
        <f>VLOOKUP(Grandview_Sales[[#This Row],[condition]],Lookups!$H$17:$J$24,3,FALSE)</f>
        <v>25780</v>
      </c>
      <c r="BH225">
        <f>Grandview_Sales[[#This Row],[Eff_Age]]*Lookups!$B$14</f>
        <v>-239.16659999999999</v>
      </c>
      <c r="BI225">
        <f>Grandview_Sales[[#This Row],[living_area]]*Lookups!$B$15</f>
        <v>134742.64248000001</v>
      </c>
      <c r="BJ225">
        <f>Grandview_Sales[[#This Row],[Fin BSMT]]*Lookups!$B$16</f>
        <v>0</v>
      </c>
      <c r="BK225">
        <f>Grandview_Sales[[#This Row],[garage_sqft]]*Lookups!$B$17</f>
        <v>38508.992279999999</v>
      </c>
      <c r="BL225">
        <f>Grandview_Sales[[#This Row],[Plumbing Fixtures]]*Lookups!$B$18</f>
        <v>24125.301599999999</v>
      </c>
      <c r="BM225">
        <f>Grandview_Sales[[#This Row],[detatched_value]]*Lookups!$B$19</f>
        <v>0</v>
      </c>
      <c r="BN225">
        <f>Grandview_Sales[[#This Row],[days_prior]]*Lookups!$B$20</f>
        <v>-31306.584599999998</v>
      </c>
      <c r="BO225">
        <f>SUM(Grandview_Sales[[#This Row],[land_value]:[Days Prior To Assessment_value]])</f>
        <v>417380.74338381394</v>
      </c>
      <c r="BP225">
        <f>Grandview_Sales[[#This Row],[predicted_total]]/Grandview_Sales[[#This Row],[sale_price]]</f>
        <v>1.1043367016640269</v>
      </c>
      <c r="BQ225">
        <f>VLOOKUP(Grandview_Sales[[#This Row],[quality]],Lookups!$A$26:$C$33,3,FALSE)</f>
        <v>0.94960540378902636</v>
      </c>
      <c r="BR225">
        <f>VLOOKUP(Grandview_Sales[[#This Row],[condition]],Lookups!$A$37:$C$44,3,FALSE)</f>
        <v>0.94347925387812148</v>
      </c>
      <c r="BS225">
        <f>VLOOKUP(Grandview_Sales[[#This Row],[decade]],Lookups!$F$29:$H$43,3,FALSE)</f>
        <v>0.9413635517371044</v>
      </c>
      <c r="BT225">
        <f>VLOOKUP(Grandview_Sales[[#This Row],[living_area_range]],Lookups!$F$47:$H$56,3,FALSE)</f>
        <v>0.95799442568048754</v>
      </c>
      <c r="BU225">
        <f>Grandview_Sales[[#This Row],[predicted_total]]*AVERAGE(Grandview_Sales[[#This Row],[qual_adj]:[size_adj]])</f>
        <v>395723.1315680347</v>
      </c>
      <c r="BV225">
        <f>Grandview_Sales[[#This Row],[final_total]]/Grandview_Sales[[#This Row],[sale_price]]</f>
        <v>1.047033397719878</v>
      </c>
      <c r="BW225" s="6">
        <f>(Grandview_Sales[[#This Row],[final_total]]-Grandview_Sales[[#This Row],[sale_price]])^2</f>
        <v>315990853.52407992</v>
      </c>
      <c r="BX225" s="6">
        <f>(Grandview_Sales[[#This Row],[final_total]]-AVERAGE(Grandview_Sales[sale_price]))^2</f>
        <v>7879040848.5948877</v>
      </c>
      <c r="BY225" s="6">
        <f>Grandview_Sales[[#This Row],[SSE]]+Grandview_Sales[[#This Row],[SSR]]</f>
        <v>8195031702.118968</v>
      </c>
      <c r="BZ225" s="4">
        <f>ABS(Grandview_Sales[[#This Row],[final_ratio]]-MEDIAN(Grandview_Sales[final_ratio]))</f>
        <v>4.5784678364066078E-2</v>
      </c>
    </row>
    <row r="226" spans="1:78" x14ac:dyDescent="0.25">
      <c r="A226">
        <v>23092241526</v>
      </c>
      <c r="B226">
        <v>0.2</v>
      </c>
      <c r="C226">
        <v>8878</v>
      </c>
      <c r="D226">
        <v>0</v>
      </c>
      <c r="E226" t="s">
        <v>53</v>
      </c>
      <c r="F226" t="s">
        <v>53</v>
      </c>
      <c r="G226">
        <v>4</v>
      </c>
      <c r="H226" t="s">
        <v>54</v>
      </c>
      <c r="I226">
        <v>167900</v>
      </c>
      <c r="J226">
        <v>43700</v>
      </c>
      <c r="K226">
        <v>0.2</v>
      </c>
      <c r="L226">
        <v>-1.6094379124339999</v>
      </c>
      <c r="M226">
        <v>0</v>
      </c>
      <c r="N226">
        <v>0</v>
      </c>
      <c r="O226">
        <v>0</v>
      </c>
      <c r="P226">
        <v>13398.7528</v>
      </c>
      <c r="Q226">
        <v>63902.980100000001</v>
      </c>
      <c r="R226">
        <v>42338.519364346997</v>
      </c>
      <c r="S226" t="s">
        <v>68</v>
      </c>
      <c r="T226">
        <v>1</v>
      </c>
      <c r="U226" t="s">
        <v>65</v>
      </c>
      <c r="V226" t="s">
        <v>67</v>
      </c>
      <c r="W226">
        <v>0</v>
      </c>
      <c r="X226">
        <v>0</v>
      </c>
      <c r="Y226">
        <v>49</v>
      </c>
      <c r="Z226">
        <v>68</v>
      </c>
      <c r="AA226">
        <v>70</v>
      </c>
      <c r="AB226">
        <v>1500</v>
      </c>
      <c r="AC226">
        <v>1156</v>
      </c>
      <c r="AD226">
        <v>1156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5</v>
      </c>
      <c r="AM226">
        <v>0</v>
      </c>
      <c r="AN226">
        <v>0</v>
      </c>
      <c r="AO226" t="s">
        <v>58</v>
      </c>
      <c r="AP226">
        <v>1</v>
      </c>
      <c r="AQ226" t="s">
        <v>63</v>
      </c>
      <c r="AR226" t="s">
        <v>64</v>
      </c>
      <c r="AS226">
        <v>0</v>
      </c>
      <c r="AT226">
        <v>2</v>
      </c>
      <c r="AU226">
        <v>0</v>
      </c>
      <c r="AV226">
        <v>22500</v>
      </c>
      <c r="AW226">
        <v>100</v>
      </c>
      <c r="AX226" s="1">
        <v>44666</v>
      </c>
      <c r="AY226">
        <v>25000</v>
      </c>
      <c r="AZ226">
        <v>145637</v>
      </c>
      <c r="BA226">
        <v>170600</v>
      </c>
      <c r="BB226">
        <v>300000</v>
      </c>
      <c r="BC226">
        <v>261</v>
      </c>
      <c r="BD226">
        <f>Grandview_Sales[[#This Row],[land_extract]]*Lookups!$B$3</f>
        <v>49167.608223813884</v>
      </c>
      <c r="BE226">
        <f>Lookups!$B$2</f>
        <v>155833.95000000001</v>
      </c>
      <c r="BF226">
        <f>VLOOKUP(Grandview_Sales[[#This Row],[quality]],Lookups!$H$2:$J$13,3,FALSE)</f>
        <v>2251</v>
      </c>
      <c r="BG226">
        <f>VLOOKUP(Grandview_Sales[[#This Row],[condition]],Lookups!$H$17:$J$24,3,FALSE)</f>
        <v>22342</v>
      </c>
      <c r="BH226">
        <f>Grandview_Sales[[#This Row],[Eff_Age]]*Lookups!$B$14</f>
        <v>-11719.163399999999</v>
      </c>
      <c r="BI226">
        <f>Grandview_Sales[[#This Row],[living_area]]*Lookups!$B$15</f>
        <v>72112.266067999997</v>
      </c>
      <c r="BJ226">
        <f>Grandview_Sales[[#This Row],[Fin BSMT]]*Lookups!$B$16</f>
        <v>0</v>
      </c>
      <c r="BK226">
        <f>Grandview_Sales[[#This Row],[garage_sqft]]*Lookups!$B$17</f>
        <v>0</v>
      </c>
      <c r="BL226">
        <f>Grandview_Sales[[#This Row],[Plumbing Fixtures]]*Lookups!$B$18</f>
        <v>10052.209000000001</v>
      </c>
      <c r="BM226">
        <f>Grandview_Sales[[#This Row],[detatched_value]]*Lookups!$B$19</f>
        <v>19053.114750000001</v>
      </c>
      <c r="BN226">
        <f>Grandview_Sales[[#This Row],[days_prior]]*Lookups!$B$20</f>
        <v>-31306.584599999998</v>
      </c>
      <c r="BO226">
        <f>SUM(Grandview_Sales[[#This Row],[land_value]:[Days Prior To Assessment_value]])</f>
        <v>287786.4000418139</v>
      </c>
      <c r="BP226">
        <f>Grandview_Sales[[#This Row],[predicted_total]]/Grandview_Sales[[#This Row],[sale_price]]</f>
        <v>0.95928800013937965</v>
      </c>
      <c r="BQ226">
        <f>VLOOKUP(Grandview_Sales[[#This Row],[quality]],Lookups!$A$26:$C$33,3,FALSE)</f>
        <v>0.98763855981004833</v>
      </c>
      <c r="BR226">
        <f>VLOOKUP(Grandview_Sales[[#This Row],[condition]],Lookups!$A$37:$C$44,3,FALSE)</f>
        <v>0.97383723671140243</v>
      </c>
      <c r="BS226">
        <f>VLOOKUP(Grandview_Sales[[#This Row],[decade]],Lookups!$F$29:$H$43,3,FALSE)</f>
        <v>0.99472141305414818</v>
      </c>
      <c r="BT226">
        <f>VLOOKUP(Grandview_Sales[[#This Row],[living_area_range]],Lookups!$F$47:$H$56,3,FALSE)</f>
        <v>0.96135087979789358</v>
      </c>
      <c r="BU226">
        <f>Grandview_Sales[[#This Row],[predicted_total]]*AVERAGE(Grandview_Sales[[#This Row],[qual_adj]:[size_adj]])</f>
        <v>281854.26540787093</v>
      </c>
      <c r="BV226">
        <f>Grandview_Sales[[#This Row],[final_total]]/Grandview_Sales[[#This Row],[sale_price]]</f>
        <v>0.93951421802623647</v>
      </c>
      <c r="BW226" s="6">
        <f>(Grandview_Sales[[#This Row],[final_total]]-Grandview_Sales[[#This Row],[sale_price]])^2</f>
        <v>329267683.88798952</v>
      </c>
      <c r="BX226" s="6">
        <f>(Grandview_Sales[[#This Row],[final_total]]-AVERAGE(Grandview_Sales[sale_price]))^2</f>
        <v>630256241.55348718</v>
      </c>
      <c r="BY226" s="6">
        <f>Grandview_Sales[[#This Row],[SSE]]+Grandview_Sales[[#This Row],[SSR]]</f>
        <v>959523925.4414767</v>
      </c>
      <c r="BZ226" s="4">
        <f>ABS(Grandview_Sales[[#This Row],[final_ratio]]-MEDIAN(Grandview_Sales[final_ratio]))</f>
        <v>6.1734501329575475E-2</v>
      </c>
    </row>
    <row r="227" spans="1:78" x14ac:dyDescent="0.25">
      <c r="A227">
        <v>23092232496</v>
      </c>
      <c r="B227">
        <v>0</v>
      </c>
      <c r="C227">
        <v>8819</v>
      </c>
      <c r="D227">
        <v>0</v>
      </c>
      <c r="E227" t="s">
        <v>53</v>
      </c>
      <c r="F227" t="s">
        <v>53</v>
      </c>
      <c r="G227">
        <v>4</v>
      </c>
      <c r="H227" t="s">
        <v>54</v>
      </c>
      <c r="I227">
        <v>275300</v>
      </c>
      <c r="J227">
        <v>39300</v>
      </c>
      <c r="K227">
        <v>0.2</v>
      </c>
      <c r="L227">
        <v>-1.6094379124339999</v>
      </c>
      <c r="M227">
        <v>0</v>
      </c>
      <c r="N227">
        <v>0</v>
      </c>
      <c r="O227">
        <v>0</v>
      </c>
      <c r="P227">
        <v>13398.7528</v>
      </c>
      <c r="Q227">
        <v>63902.980100000001</v>
      </c>
      <c r="R227">
        <v>42338.519364346997</v>
      </c>
      <c r="S227" t="s">
        <v>55</v>
      </c>
      <c r="T227">
        <v>1</v>
      </c>
      <c r="U227" t="s">
        <v>62</v>
      </c>
      <c r="V227" t="s">
        <v>57</v>
      </c>
      <c r="W227">
        <v>0</v>
      </c>
      <c r="X227">
        <v>0</v>
      </c>
      <c r="Y227">
        <v>1</v>
      </c>
      <c r="Z227">
        <v>1</v>
      </c>
      <c r="AA227">
        <v>0</v>
      </c>
      <c r="AB227">
        <v>2000</v>
      </c>
      <c r="AC227">
        <v>1683</v>
      </c>
      <c r="AD227">
        <v>1683</v>
      </c>
      <c r="AE227">
        <v>0</v>
      </c>
      <c r="AF227">
        <v>0</v>
      </c>
      <c r="AG227">
        <v>0</v>
      </c>
      <c r="AH227">
        <v>479</v>
      </c>
      <c r="AI227">
        <v>0</v>
      </c>
      <c r="AJ227">
        <v>0</v>
      </c>
      <c r="AK227">
        <v>0</v>
      </c>
      <c r="AL227">
        <v>9</v>
      </c>
      <c r="AM227">
        <v>0</v>
      </c>
      <c r="AN227">
        <v>0</v>
      </c>
      <c r="AO227" t="s">
        <v>58</v>
      </c>
      <c r="AP227">
        <v>1</v>
      </c>
      <c r="AQ227" t="s">
        <v>63</v>
      </c>
      <c r="AR227" t="s">
        <v>64</v>
      </c>
      <c r="AS227">
        <v>1</v>
      </c>
      <c r="AT227">
        <v>3</v>
      </c>
      <c r="AU227">
        <v>0</v>
      </c>
      <c r="AV227">
        <v>0</v>
      </c>
      <c r="AW227">
        <v>100</v>
      </c>
      <c r="AX227" s="1">
        <v>44671</v>
      </c>
      <c r="AY227">
        <v>22500</v>
      </c>
      <c r="AZ227">
        <v>297431</v>
      </c>
      <c r="BA227">
        <v>319900</v>
      </c>
      <c r="BB227">
        <v>407850</v>
      </c>
      <c r="BC227">
        <v>256</v>
      </c>
      <c r="BD227">
        <f>Grandview_Sales[[#This Row],[land_extract]]*Lookups!$B$3</f>
        <v>49167.608223813884</v>
      </c>
      <c r="BE227">
        <f>Lookups!$B$2</f>
        <v>155833.95000000001</v>
      </c>
      <c r="BF227">
        <f>VLOOKUP(Grandview_Sales[[#This Row],[quality]],Lookups!$H$2:$J$13,3,FALSE)</f>
        <v>9808</v>
      </c>
      <c r="BG227">
        <f>VLOOKUP(Grandview_Sales[[#This Row],[condition]],Lookups!$H$17:$J$24,3,FALSE)</f>
        <v>25780</v>
      </c>
      <c r="BH227">
        <f>Grandview_Sales[[#This Row],[Eff_Age]]*Lookups!$B$14</f>
        <v>-239.16659999999999</v>
      </c>
      <c r="BI227">
        <f>Grandview_Sales[[#This Row],[living_area]]*Lookups!$B$15</f>
        <v>104986.975599</v>
      </c>
      <c r="BJ227">
        <f>Grandview_Sales[[#This Row],[Fin BSMT]]*Lookups!$B$16</f>
        <v>0</v>
      </c>
      <c r="BK227">
        <f>Grandview_Sales[[#This Row],[garage_sqft]]*Lookups!$B$17</f>
        <v>41922.289322999997</v>
      </c>
      <c r="BL227">
        <f>Grandview_Sales[[#This Row],[Plumbing Fixtures]]*Lookups!$B$18</f>
        <v>18093.976200000001</v>
      </c>
      <c r="BM227">
        <f>Grandview_Sales[[#This Row],[detatched_value]]*Lookups!$B$19</f>
        <v>0</v>
      </c>
      <c r="BN227">
        <f>Grandview_Sales[[#This Row],[days_prior]]*Lookups!$B$20</f>
        <v>-30706.8416</v>
      </c>
      <c r="BO227">
        <f>SUM(Grandview_Sales[[#This Row],[land_value]:[Days Prior To Assessment_value]])</f>
        <v>374646.79114581388</v>
      </c>
      <c r="BP227">
        <f>Grandview_Sales[[#This Row],[predicted_total]]/Grandview_Sales[[#This Row],[sale_price]]</f>
        <v>0.9185896558681228</v>
      </c>
      <c r="BQ227">
        <f>VLOOKUP(Grandview_Sales[[#This Row],[quality]],Lookups!$A$26:$C$33,3,FALSE)</f>
        <v>0.94295468617355149</v>
      </c>
      <c r="BR227">
        <f>VLOOKUP(Grandview_Sales[[#This Row],[condition]],Lookups!$A$37:$C$44,3,FALSE)</f>
        <v>0.94347925387812148</v>
      </c>
      <c r="BS227">
        <f>VLOOKUP(Grandview_Sales[[#This Row],[decade]],Lookups!$F$29:$H$43,3,FALSE)</f>
        <v>0.9413635517371044</v>
      </c>
      <c r="BT227">
        <f>VLOOKUP(Grandview_Sales[[#This Row],[living_area_range]],Lookups!$F$47:$H$56,3,FALSE)</f>
        <v>0.96120133463014379</v>
      </c>
      <c r="BU227">
        <f>Grandview_Sales[[#This Row],[predicted_total]]*AVERAGE(Grandview_Sales[[#This Row],[qual_adj]:[size_adj]])</f>
        <v>354884.06299327587</v>
      </c>
      <c r="BV227">
        <f>Grandview_Sales[[#This Row],[final_total]]/Grandview_Sales[[#This Row],[sale_price]]</f>
        <v>0.87013378201121949</v>
      </c>
      <c r="BW227" s="6">
        <f>(Grandview_Sales[[#This Row],[final_total]]-Grandview_Sales[[#This Row],[sale_price]])^2</f>
        <v>2805390483.000268</v>
      </c>
      <c r="BX227" s="6">
        <f>(Grandview_Sales[[#This Row],[final_total]]-AVERAGE(Grandview_Sales[sale_price]))^2</f>
        <v>2296795355.1044741</v>
      </c>
      <c r="BY227" s="6">
        <f>Grandview_Sales[[#This Row],[SSE]]+Grandview_Sales[[#This Row],[SSR]]</f>
        <v>5102185838.1047421</v>
      </c>
      <c r="BZ227" s="4">
        <f>ABS(Grandview_Sales[[#This Row],[final_ratio]]-MEDIAN(Grandview_Sales[final_ratio]))</f>
        <v>0.13111493734459245</v>
      </c>
    </row>
    <row r="228" spans="1:78" x14ac:dyDescent="0.25">
      <c r="A228">
        <v>23092241503</v>
      </c>
      <c r="B228">
        <v>0.22</v>
      </c>
      <c r="C228">
        <v>9498</v>
      </c>
      <c r="D228">
        <v>0</v>
      </c>
      <c r="E228" t="s">
        <v>53</v>
      </c>
      <c r="F228" t="s">
        <v>53</v>
      </c>
      <c r="G228">
        <v>4</v>
      </c>
      <c r="H228" t="s">
        <v>54</v>
      </c>
      <c r="I228">
        <v>221700</v>
      </c>
      <c r="J228">
        <v>39500</v>
      </c>
      <c r="K228">
        <v>0.22</v>
      </c>
      <c r="L228">
        <v>-1.51412773263</v>
      </c>
      <c r="M228">
        <v>0</v>
      </c>
      <c r="N228">
        <v>0</v>
      </c>
      <c r="O228">
        <v>0</v>
      </c>
      <c r="P228">
        <v>13398.7528</v>
      </c>
      <c r="Q228">
        <v>63902.980100000001</v>
      </c>
      <c r="R228">
        <v>43615.556902869001</v>
      </c>
      <c r="S228" t="s">
        <v>58</v>
      </c>
      <c r="T228">
        <v>1</v>
      </c>
      <c r="U228" t="s">
        <v>62</v>
      </c>
      <c r="V228" t="s">
        <v>67</v>
      </c>
      <c r="W228">
        <v>0</v>
      </c>
      <c r="X228">
        <v>0</v>
      </c>
      <c r="Y228">
        <v>49</v>
      </c>
      <c r="Z228">
        <v>68</v>
      </c>
      <c r="AA228">
        <v>70</v>
      </c>
      <c r="AB228">
        <v>1500</v>
      </c>
      <c r="AC228">
        <v>1485</v>
      </c>
      <c r="AD228">
        <v>1485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169</v>
      </c>
      <c r="AL228">
        <v>9</v>
      </c>
      <c r="AM228">
        <v>0</v>
      </c>
      <c r="AN228">
        <v>0</v>
      </c>
      <c r="AO228" t="s">
        <v>58</v>
      </c>
      <c r="AP228">
        <v>1</v>
      </c>
      <c r="AQ228" t="s">
        <v>63</v>
      </c>
      <c r="AR228" t="s">
        <v>60</v>
      </c>
      <c r="AS228">
        <v>1</v>
      </c>
      <c r="AT228">
        <v>2</v>
      </c>
      <c r="AU228">
        <v>0</v>
      </c>
      <c r="AV228">
        <v>12400</v>
      </c>
      <c r="AW228">
        <v>100</v>
      </c>
      <c r="AX228" s="1">
        <v>44672</v>
      </c>
      <c r="AY228">
        <v>22600</v>
      </c>
      <c r="AZ228">
        <v>204947</v>
      </c>
      <c r="BA228">
        <v>227500</v>
      </c>
      <c r="BB228">
        <v>350000</v>
      </c>
      <c r="BC228">
        <v>255</v>
      </c>
      <c r="BD228">
        <f>Grandview_Sales[[#This Row],[land_extract]]*Lookups!$B$3</f>
        <v>50650.628469298128</v>
      </c>
      <c r="BE228">
        <f>Lookups!$B$2</f>
        <v>155833.95000000001</v>
      </c>
      <c r="BF228">
        <f>VLOOKUP(Grandview_Sales[[#This Row],[quality]],Lookups!$H$2:$J$13,3,FALSE)</f>
        <v>9808</v>
      </c>
      <c r="BG228">
        <f>VLOOKUP(Grandview_Sales[[#This Row],[condition]],Lookups!$H$17:$J$24,3,FALSE)</f>
        <v>22342</v>
      </c>
      <c r="BH228">
        <f>Grandview_Sales[[#This Row],[Eff_Age]]*Lookups!$B$14</f>
        <v>-11719.163399999999</v>
      </c>
      <c r="BI228">
        <f>Grandview_Sales[[#This Row],[living_area]]*Lookups!$B$15</f>
        <v>92635.566705000005</v>
      </c>
      <c r="BJ228">
        <f>Grandview_Sales[[#This Row],[Fin BSMT]]*Lookups!$B$16</f>
        <v>0</v>
      </c>
      <c r="BK228">
        <f>Grandview_Sales[[#This Row],[garage_sqft]]*Lookups!$B$17</f>
        <v>0</v>
      </c>
      <c r="BL228">
        <f>Grandview_Sales[[#This Row],[Plumbing Fixtures]]*Lookups!$B$18</f>
        <v>18093.976200000001</v>
      </c>
      <c r="BM228">
        <f>Grandview_Sales[[#This Row],[detatched_value]]*Lookups!$B$19</f>
        <v>10500.383239999999</v>
      </c>
      <c r="BN228">
        <f>Grandview_Sales[[#This Row],[days_prior]]*Lookups!$B$20</f>
        <v>-30586.893</v>
      </c>
      <c r="BO228">
        <f>SUM(Grandview_Sales[[#This Row],[land_value]:[Days Prior To Assessment_value]])</f>
        <v>317558.44821429811</v>
      </c>
      <c r="BP228">
        <f>Grandview_Sales[[#This Row],[predicted_total]]/Grandview_Sales[[#This Row],[sale_price]]</f>
        <v>0.90730985204085179</v>
      </c>
      <c r="BQ228">
        <f>VLOOKUP(Grandview_Sales[[#This Row],[quality]],Lookups!$A$26:$C$33,3,FALSE)</f>
        <v>0.94295468617355149</v>
      </c>
      <c r="BR228">
        <f>VLOOKUP(Grandview_Sales[[#This Row],[condition]],Lookups!$A$37:$C$44,3,FALSE)</f>
        <v>0.97383723671140243</v>
      </c>
      <c r="BS228">
        <f>VLOOKUP(Grandview_Sales[[#This Row],[decade]],Lookups!$F$29:$H$43,3,FALSE)</f>
        <v>0.99472141305414818</v>
      </c>
      <c r="BT228">
        <f>VLOOKUP(Grandview_Sales[[#This Row],[living_area_range]],Lookups!$F$47:$H$56,3,FALSE)</f>
        <v>0.96135087979789358</v>
      </c>
      <c r="BU228">
        <f>Grandview_Sales[[#This Row],[predicted_total]]*AVERAGE(Grandview_Sales[[#This Row],[qual_adj]:[size_adj]])</f>
        <v>307465.18762353127</v>
      </c>
      <c r="BV228">
        <f>Grandview_Sales[[#This Row],[final_total]]/Grandview_Sales[[#This Row],[sale_price]]</f>
        <v>0.87847196463866073</v>
      </c>
      <c r="BW228" s="6">
        <f>(Grandview_Sales[[#This Row],[final_total]]-Grandview_Sales[[#This Row],[sale_price]])^2</f>
        <v>1809210263.9013977</v>
      </c>
      <c r="BX228" s="6">
        <f>(Grandview_Sales[[#This Row],[final_total]]-AVERAGE(Grandview_Sales[sale_price]))^2</f>
        <v>256053.69476381203</v>
      </c>
      <c r="BY228" s="6">
        <f>Grandview_Sales[[#This Row],[SSE]]+Grandview_Sales[[#This Row],[SSR]]</f>
        <v>1809466317.5961616</v>
      </c>
      <c r="BZ228" s="4">
        <f>ABS(Grandview_Sales[[#This Row],[final_ratio]]-MEDIAN(Grandview_Sales[final_ratio]))</f>
        <v>0.12277675471715122</v>
      </c>
    </row>
    <row r="229" spans="1:78" x14ac:dyDescent="0.25">
      <c r="A229">
        <v>23091443406</v>
      </c>
      <c r="B229">
        <v>0.25</v>
      </c>
      <c r="C229">
        <v>10973</v>
      </c>
      <c r="D229">
        <v>0</v>
      </c>
      <c r="E229" t="s">
        <v>53</v>
      </c>
      <c r="F229" t="s">
        <v>53</v>
      </c>
      <c r="G229">
        <v>4</v>
      </c>
      <c r="H229" t="s">
        <v>54</v>
      </c>
      <c r="I229">
        <v>243500</v>
      </c>
      <c r="J229">
        <v>40200</v>
      </c>
      <c r="K229">
        <v>0.25</v>
      </c>
      <c r="L229">
        <v>-1.38629436112</v>
      </c>
      <c r="M229">
        <v>0</v>
      </c>
      <c r="N229">
        <v>0</v>
      </c>
      <c r="O229">
        <v>0</v>
      </c>
      <c r="P229">
        <v>13398.7528</v>
      </c>
      <c r="Q229">
        <v>63902.980100000001</v>
      </c>
      <c r="R229">
        <v>45328.364647321003</v>
      </c>
      <c r="S229" t="s">
        <v>61</v>
      </c>
      <c r="T229">
        <v>1</v>
      </c>
      <c r="U229" t="s">
        <v>65</v>
      </c>
      <c r="V229" t="s">
        <v>69</v>
      </c>
      <c r="W229">
        <v>0</v>
      </c>
      <c r="X229">
        <v>0</v>
      </c>
      <c r="Y229">
        <v>44</v>
      </c>
      <c r="Z229">
        <v>48</v>
      </c>
      <c r="AA229">
        <v>50</v>
      </c>
      <c r="AB229">
        <v>2500</v>
      </c>
      <c r="AC229">
        <v>2256</v>
      </c>
      <c r="AD229">
        <v>2256</v>
      </c>
      <c r="AE229">
        <v>0</v>
      </c>
      <c r="AF229">
        <v>0</v>
      </c>
      <c r="AG229">
        <v>0</v>
      </c>
      <c r="AH229">
        <v>576</v>
      </c>
      <c r="AI229">
        <v>0</v>
      </c>
      <c r="AJ229">
        <v>0</v>
      </c>
      <c r="AK229">
        <v>270</v>
      </c>
      <c r="AL229">
        <v>10</v>
      </c>
      <c r="AM229">
        <v>0</v>
      </c>
      <c r="AN229">
        <v>0</v>
      </c>
      <c r="AO229" t="s">
        <v>58</v>
      </c>
      <c r="AP229">
        <v>1</v>
      </c>
      <c r="AQ229" t="s">
        <v>63</v>
      </c>
      <c r="AR229" t="s">
        <v>60</v>
      </c>
      <c r="AS229">
        <v>1</v>
      </c>
      <c r="AT229">
        <v>3</v>
      </c>
      <c r="AU229">
        <v>0</v>
      </c>
      <c r="AV229">
        <v>0</v>
      </c>
      <c r="AW229">
        <v>100</v>
      </c>
      <c r="AX229" s="1">
        <v>44674</v>
      </c>
      <c r="AY229">
        <v>23000</v>
      </c>
      <c r="AZ229">
        <v>251097</v>
      </c>
      <c r="BA229">
        <v>274100</v>
      </c>
      <c r="BB229">
        <v>330000</v>
      </c>
      <c r="BC229">
        <v>253</v>
      </c>
      <c r="BD229">
        <f>Grandview_Sales[[#This Row],[land_extract]]*Lookups!$B$3</f>
        <v>52639.70747834933</v>
      </c>
      <c r="BE229">
        <f>Lookups!$B$2</f>
        <v>155833.95000000001</v>
      </c>
      <c r="BF229">
        <f>VLOOKUP(Grandview_Sales[[#This Row],[quality]],Lookups!$H$2:$J$13,3,FALSE)</f>
        <v>2251</v>
      </c>
      <c r="BG229">
        <f>VLOOKUP(Grandview_Sales[[#This Row],[condition]],Lookups!$H$17:$J$24,3,FALSE)</f>
        <v>-4503</v>
      </c>
      <c r="BH229">
        <f>Grandview_Sales[[#This Row],[Eff_Age]]*Lookups!$B$14</f>
        <v>-10523.330399999999</v>
      </c>
      <c r="BI229">
        <f>Grandview_Sales[[#This Row],[living_area]]*Lookups!$B$15</f>
        <v>140731.20436800001</v>
      </c>
      <c r="BJ229">
        <f>Grandview_Sales[[#This Row],[Fin BSMT]]*Lookups!$B$16</f>
        <v>0</v>
      </c>
      <c r="BK229">
        <f>Grandview_Sales[[#This Row],[garage_sqft]]*Lookups!$B$17</f>
        <v>50411.771712000002</v>
      </c>
      <c r="BL229">
        <f>Grandview_Sales[[#This Row],[Plumbing Fixtures]]*Lookups!$B$18</f>
        <v>20104.418000000001</v>
      </c>
      <c r="BM229">
        <f>Grandview_Sales[[#This Row],[detatched_value]]*Lookups!$B$19</f>
        <v>0</v>
      </c>
      <c r="BN229">
        <f>Grandview_Sales[[#This Row],[days_prior]]*Lookups!$B$20</f>
        <v>-30346.995800000001</v>
      </c>
      <c r="BO229">
        <f>SUM(Grandview_Sales[[#This Row],[land_value]:[Days Prior To Assessment_value]])</f>
        <v>376598.72535834939</v>
      </c>
      <c r="BP229">
        <f>Grandview_Sales[[#This Row],[predicted_total]]/Grandview_Sales[[#This Row],[sale_price]]</f>
        <v>1.1412082586616648</v>
      </c>
      <c r="BQ229">
        <f>VLOOKUP(Grandview_Sales[[#This Row],[quality]],Lookups!$A$26:$C$33,3,FALSE)</f>
        <v>0.98763855981004833</v>
      </c>
      <c r="BR229">
        <f>VLOOKUP(Grandview_Sales[[#This Row],[condition]],Lookups!$A$37:$C$44,3,FALSE)</f>
        <v>0.96469275950863709</v>
      </c>
      <c r="BS229">
        <f>VLOOKUP(Grandview_Sales[[#This Row],[decade]],Lookups!$F$29:$H$43,3,FALSE)</f>
        <v>0.9871940091910919</v>
      </c>
      <c r="BT229">
        <f>VLOOKUP(Grandview_Sales[[#This Row],[living_area_range]],Lookups!$F$47:$H$56,3,FALSE)</f>
        <v>0.95799442568048754</v>
      </c>
      <c r="BU229">
        <f>Grandview_Sales[[#This Row],[predicted_total]]*AVERAGE(Grandview_Sales[[#This Row],[qual_adj]:[size_adj]])</f>
        <v>366950.24287176022</v>
      </c>
      <c r="BV229">
        <f>Grandview_Sales[[#This Row],[final_total]]/Grandview_Sales[[#This Row],[sale_price]]</f>
        <v>1.111970432944728</v>
      </c>
      <c r="BW229" s="6">
        <f>(Grandview_Sales[[#This Row],[final_total]]-Grandview_Sales[[#This Row],[sale_price]])^2</f>
        <v>1365320448.2820666</v>
      </c>
      <c r="BX229" s="6">
        <f>(Grandview_Sales[[#This Row],[final_total]]-AVERAGE(Grandview_Sales[sale_price]))^2</f>
        <v>3598928807.6406593</v>
      </c>
      <c r="BY229" s="6">
        <f>Grandview_Sales[[#This Row],[SSE]]+Grandview_Sales[[#This Row],[SSR]]</f>
        <v>4964249255.9227257</v>
      </c>
      <c r="BZ229" s="4">
        <f>ABS(Grandview_Sales[[#This Row],[final_ratio]]-MEDIAN(Grandview_Sales[final_ratio]))</f>
        <v>0.11072171358891603</v>
      </c>
    </row>
    <row r="230" spans="1:78" x14ac:dyDescent="0.25">
      <c r="A230">
        <v>23092232505</v>
      </c>
      <c r="B230">
        <v>0</v>
      </c>
      <c r="C230">
        <v>14532</v>
      </c>
      <c r="D230">
        <v>0</v>
      </c>
      <c r="E230" t="s">
        <v>53</v>
      </c>
      <c r="F230" t="s">
        <v>53</v>
      </c>
      <c r="G230">
        <v>4</v>
      </c>
      <c r="H230" t="s">
        <v>54</v>
      </c>
      <c r="I230">
        <v>291100</v>
      </c>
      <c r="J230">
        <v>41200</v>
      </c>
      <c r="K230">
        <v>0.33</v>
      </c>
      <c r="L230">
        <v>-1.1086626245219999</v>
      </c>
      <c r="M230">
        <v>0</v>
      </c>
      <c r="N230">
        <v>0</v>
      </c>
      <c r="O230">
        <v>0</v>
      </c>
      <c r="P230">
        <v>13398.7528</v>
      </c>
      <c r="Q230">
        <v>63902.980100000001</v>
      </c>
      <c r="R230">
        <v>49048.283655435996</v>
      </c>
      <c r="S230" t="s">
        <v>58</v>
      </c>
      <c r="T230">
        <v>1</v>
      </c>
      <c r="U230" t="s">
        <v>62</v>
      </c>
      <c r="V230" t="s">
        <v>57</v>
      </c>
      <c r="W230">
        <v>0</v>
      </c>
      <c r="X230">
        <v>0</v>
      </c>
      <c r="Y230">
        <v>1</v>
      </c>
      <c r="Z230">
        <v>1</v>
      </c>
      <c r="AA230">
        <v>0</v>
      </c>
      <c r="AB230">
        <v>2000</v>
      </c>
      <c r="AC230">
        <v>1827</v>
      </c>
      <c r="AD230">
        <v>1827</v>
      </c>
      <c r="AE230">
        <v>0</v>
      </c>
      <c r="AF230">
        <v>0</v>
      </c>
      <c r="AG230">
        <v>0</v>
      </c>
      <c r="AH230">
        <v>619</v>
      </c>
      <c r="AI230">
        <v>0</v>
      </c>
      <c r="AJ230">
        <v>0</v>
      </c>
      <c r="AK230">
        <v>0</v>
      </c>
      <c r="AL230">
        <v>9</v>
      </c>
      <c r="AM230">
        <v>0</v>
      </c>
      <c r="AN230">
        <v>0</v>
      </c>
      <c r="AO230" t="s">
        <v>58</v>
      </c>
      <c r="AP230">
        <v>1</v>
      </c>
      <c r="AQ230" t="s">
        <v>63</v>
      </c>
      <c r="AR230" t="s">
        <v>64</v>
      </c>
      <c r="AS230">
        <v>1</v>
      </c>
      <c r="AT230">
        <v>3</v>
      </c>
      <c r="AU230">
        <v>0</v>
      </c>
      <c r="AV230">
        <v>0</v>
      </c>
      <c r="AW230">
        <v>100</v>
      </c>
      <c r="AX230" s="1">
        <v>44683</v>
      </c>
      <c r="AY230">
        <v>23600</v>
      </c>
      <c r="AZ230">
        <v>318284</v>
      </c>
      <c r="BA230">
        <v>341900</v>
      </c>
      <c r="BB230">
        <v>447850</v>
      </c>
      <c r="BC230">
        <v>244</v>
      </c>
      <c r="BD230">
        <f>Grandview_Sales[[#This Row],[land_extract]]*Lookups!$B$3</f>
        <v>56959.639378691951</v>
      </c>
      <c r="BE230">
        <f>Lookups!$B$2</f>
        <v>155833.95000000001</v>
      </c>
      <c r="BF230">
        <f>VLOOKUP(Grandview_Sales[[#This Row],[quality]],Lookups!$H$2:$J$13,3,FALSE)</f>
        <v>9808</v>
      </c>
      <c r="BG230">
        <f>VLOOKUP(Grandview_Sales[[#This Row],[condition]],Lookups!$H$17:$J$24,3,FALSE)</f>
        <v>25780</v>
      </c>
      <c r="BH230">
        <f>Grandview_Sales[[#This Row],[Eff_Age]]*Lookups!$B$14</f>
        <v>-239.16659999999999</v>
      </c>
      <c r="BI230">
        <f>Grandview_Sales[[#This Row],[living_area]]*Lookups!$B$15</f>
        <v>113969.81843100001</v>
      </c>
      <c r="BJ230">
        <f>Grandview_Sales[[#This Row],[Fin BSMT]]*Lookups!$B$16</f>
        <v>0</v>
      </c>
      <c r="BK230">
        <f>Grandview_Sales[[#This Row],[garage_sqft]]*Lookups!$B$17</f>
        <v>54175.150502999997</v>
      </c>
      <c r="BL230">
        <f>Grandview_Sales[[#This Row],[Plumbing Fixtures]]*Lookups!$B$18</f>
        <v>18093.976200000001</v>
      </c>
      <c r="BM230">
        <f>Grandview_Sales[[#This Row],[detatched_value]]*Lookups!$B$19</f>
        <v>0</v>
      </c>
      <c r="BN230">
        <f>Grandview_Sales[[#This Row],[days_prior]]*Lookups!$B$20</f>
        <v>-29267.4584</v>
      </c>
      <c r="BO230">
        <f>SUM(Grandview_Sales[[#This Row],[land_value]:[Days Prior To Assessment_value]])</f>
        <v>405113.90951269196</v>
      </c>
      <c r="BP230">
        <f>Grandview_Sales[[#This Row],[predicted_total]]/Grandview_Sales[[#This Row],[sale_price]]</f>
        <v>0.90457499053855517</v>
      </c>
      <c r="BQ230">
        <f>VLOOKUP(Grandview_Sales[[#This Row],[quality]],Lookups!$A$26:$C$33,3,FALSE)</f>
        <v>0.94295468617355149</v>
      </c>
      <c r="BR230">
        <f>VLOOKUP(Grandview_Sales[[#This Row],[condition]],Lookups!$A$37:$C$44,3,FALSE)</f>
        <v>0.94347925387812148</v>
      </c>
      <c r="BS230">
        <f>VLOOKUP(Grandview_Sales[[#This Row],[decade]],Lookups!$F$29:$H$43,3,FALSE)</f>
        <v>0.9413635517371044</v>
      </c>
      <c r="BT230">
        <f>VLOOKUP(Grandview_Sales[[#This Row],[living_area_range]],Lookups!$F$47:$H$56,3,FALSE)</f>
        <v>0.96120133463014379</v>
      </c>
      <c r="BU230">
        <f>Grandview_Sales[[#This Row],[predicted_total]]*AVERAGE(Grandview_Sales[[#This Row],[qual_adj]:[size_adj]])</f>
        <v>383744.0319273927</v>
      </c>
      <c r="BV230">
        <f>Grandview_Sales[[#This Row],[final_total]]/Grandview_Sales[[#This Row],[sale_price]]</f>
        <v>0.85685839438962308</v>
      </c>
      <c r="BW230" s="6">
        <f>(Grandview_Sales[[#This Row],[final_total]]-Grandview_Sales[[#This Row],[sale_price]])^2</f>
        <v>4109575142.5261464</v>
      </c>
      <c r="BX230" s="6">
        <f>(Grandview_Sales[[#This Row],[final_total]]-AVERAGE(Grandview_Sales[sale_price]))^2</f>
        <v>5895914999.8796349</v>
      </c>
      <c r="BY230" s="6">
        <f>Grandview_Sales[[#This Row],[SSE]]+Grandview_Sales[[#This Row],[SSR]]</f>
        <v>10005490142.405781</v>
      </c>
      <c r="BZ230" s="4">
        <f>ABS(Grandview_Sales[[#This Row],[final_ratio]]-MEDIAN(Grandview_Sales[final_ratio]))</f>
        <v>0.14439032496618887</v>
      </c>
    </row>
    <row r="231" spans="1:78" x14ac:dyDescent="0.25">
      <c r="A231">
        <v>23092621480</v>
      </c>
      <c r="B231">
        <v>0</v>
      </c>
      <c r="C231">
        <v>8250</v>
      </c>
      <c r="D231">
        <v>0</v>
      </c>
      <c r="E231" t="s">
        <v>53</v>
      </c>
      <c r="F231" t="s">
        <v>53</v>
      </c>
      <c r="G231">
        <v>4</v>
      </c>
      <c r="H231" t="s">
        <v>54</v>
      </c>
      <c r="I231">
        <v>313300</v>
      </c>
      <c r="J231">
        <v>39100</v>
      </c>
      <c r="K231">
        <v>0.19</v>
      </c>
      <c r="L231">
        <v>-1.6607312068219999</v>
      </c>
      <c r="M231">
        <v>0</v>
      </c>
      <c r="N231">
        <v>0</v>
      </c>
      <c r="O231">
        <v>0</v>
      </c>
      <c r="P231">
        <v>13398.7528</v>
      </c>
      <c r="Q231">
        <v>63902.980100000001</v>
      </c>
      <c r="R231">
        <v>41651.253192550997</v>
      </c>
      <c r="S231" t="s">
        <v>55</v>
      </c>
      <c r="T231">
        <v>2</v>
      </c>
      <c r="U231" t="s">
        <v>62</v>
      </c>
      <c r="V231" t="s">
        <v>57</v>
      </c>
      <c r="W231">
        <v>0</v>
      </c>
      <c r="X231">
        <v>0</v>
      </c>
      <c r="Y231">
        <v>1</v>
      </c>
      <c r="Z231">
        <v>1</v>
      </c>
      <c r="AA231">
        <v>0</v>
      </c>
      <c r="AB231">
        <v>3000</v>
      </c>
      <c r="AC231">
        <v>2527</v>
      </c>
      <c r="AD231">
        <v>1164</v>
      </c>
      <c r="AE231">
        <v>1363</v>
      </c>
      <c r="AF231">
        <v>0</v>
      </c>
      <c r="AG231">
        <v>0</v>
      </c>
      <c r="AH231">
        <v>391</v>
      </c>
      <c r="AI231">
        <v>0</v>
      </c>
      <c r="AJ231">
        <v>0</v>
      </c>
      <c r="AK231">
        <v>0</v>
      </c>
      <c r="AL231">
        <v>12</v>
      </c>
      <c r="AM231">
        <v>0</v>
      </c>
      <c r="AN231">
        <v>0</v>
      </c>
      <c r="AO231" t="s">
        <v>58</v>
      </c>
      <c r="AP231">
        <v>1</v>
      </c>
      <c r="AQ231" t="s">
        <v>63</v>
      </c>
      <c r="AR231" t="s">
        <v>60</v>
      </c>
      <c r="AS231">
        <v>1</v>
      </c>
      <c r="AT231">
        <v>3</v>
      </c>
      <c r="AU231">
        <v>0</v>
      </c>
      <c r="AV231">
        <v>0</v>
      </c>
      <c r="AW231">
        <v>100</v>
      </c>
      <c r="AX231" s="1">
        <v>44683</v>
      </c>
      <c r="AY231">
        <v>22400</v>
      </c>
      <c r="AZ231">
        <v>379315</v>
      </c>
      <c r="BA231">
        <v>401700</v>
      </c>
      <c r="BB231">
        <v>446275</v>
      </c>
      <c r="BC231">
        <v>244</v>
      </c>
      <c r="BD231">
        <f>Grandview_Sales[[#This Row],[land_extract]]*Lookups!$B$3</f>
        <v>48369.487874125851</v>
      </c>
      <c r="BE231">
        <f>Lookups!$B$2</f>
        <v>155833.95000000001</v>
      </c>
      <c r="BF231">
        <f>VLOOKUP(Grandview_Sales[[#This Row],[quality]],Lookups!$H$2:$J$13,3,FALSE)</f>
        <v>9808</v>
      </c>
      <c r="BG231">
        <f>VLOOKUP(Grandview_Sales[[#This Row],[condition]],Lookups!$H$17:$J$24,3,FALSE)</f>
        <v>25780</v>
      </c>
      <c r="BH231">
        <f>Grandview_Sales[[#This Row],[Eff_Age]]*Lookups!$B$14</f>
        <v>-239.16659999999999</v>
      </c>
      <c r="BI231">
        <f>Grandview_Sales[[#This Row],[living_area]]*Lookups!$B$15</f>
        <v>157636.41553100001</v>
      </c>
      <c r="BJ231">
        <f>Grandview_Sales[[#This Row],[Fin BSMT]]*Lookups!$B$16</f>
        <v>0</v>
      </c>
      <c r="BK231">
        <f>Grandview_Sales[[#This Row],[garage_sqft]]*Lookups!$B$17</f>
        <v>34220.490867</v>
      </c>
      <c r="BL231">
        <f>Grandview_Sales[[#This Row],[Plumbing Fixtures]]*Lookups!$B$18</f>
        <v>24125.301599999999</v>
      </c>
      <c r="BM231">
        <f>Grandview_Sales[[#This Row],[detatched_value]]*Lookups!$B$19</f>
        <v>0</v>
      </c>
      <c r="BN231">
        <f>Grandview_Sales[[#This Row],[days_prior]]*Lookups!$B$20</f>
        <v>-29267.4584</v>
      </c>
      <c r="BO231">
        <f>SUM(Grandview_Sales[[#This Row],[land_value]:[Days Prior To Assessment_value]])</f>
        <v>426267.02087212593</v>
      </c>
      <c r="BP231">
        <f>Grandview_Sales[[#This Row],[predicted_total]]/Grandview_Sales[[#This Row],[sale_price]]</f>
        <v>0.95516670409977245</v>
      </c>
      <c r="BQ231">
        <f>VLOOKUP(Grandview_Sales[[#This Row],[quality]],Lookups!$A$26:$C$33,3,FALSE)</f>
        <v>0.94295468617355149</v>
      </c>
      <c r="BR231">
        <f>VLOOKUP(Grandview_Sales[[#This Row],[condition]],Lookups!$A$37:$C$44,3,FALSE)</f>
        <v>0.94347925387812148</v>
      </c>
      <c r="BS231">
        <f>VLOOKUP(Grandview_Sales[[#This Row],[decade]],Lookups!$F$29:$H$43,3,FALSE)</f>
        <v>0.9413635517371044</v>
      </c>
      <c r="BT231">
        <f>VLOOKUP(Grandview_Sales[[#This Row],[living_area_range]],Lookups!$F$47:$H$56,3,FALSE)</f>
        <v>0.94224801443562123</v>
      </c>
      <c r="BU231">
        <f>Grandview_Sales[[#This Row],[predicted_total]]*AVERAGE(Grandview_Sales[[#This Row],[qual_adj]:[size_adj]])</f>
        <v>401761.51662265504</v>
      </c>
      <c r="BV231">
        <f>Grandview_Sales[[#This Row],[final_total]]/Grandview_Sales[[#This Row],[sale_price]]</f>
        <v>0.90025548512162912</v>
      </c>
      <c r="BW231" s="6">
        <f>(Grandview_Sales[[#This Row],[final_total]]-Grandview_Sales[[#This Row],[sale_price]])^2</f>
        <v>1981450202.3851664</v>
      </c>
      <c r="BX231" s="6">
        <f>(Grandview_Sales[[#This Row],[final_total]]-AVERAGE(Grandview_Sales[sale_price]))^2</f>
        <v>8987484898.8280506</v>
      </c>
      <c r="BY231" s="6">
        <f>Grandview_Sales[[#This Row],[SSE]]+Grandview_Sales[[#This Row],[SSR]]</f>
        <v>10968935101.213217</v>
      </c>
      <c r="BZ231" s="4">
        <f>ABS(Grandview_Sales[[#This Row],[final_ratio]]-MEDIAN(Grandview_Sales[final_ratio]))</f>
        <v>0.10099323423418283</v>
      </c>
    </row>
    <row r="232" spans="1:78" x14ac:dyDescent="0.25">
      <c r="A232">
        <v>23092621475</v>
      </c>
      <c r="B232">
        <v>0</v>
      </c>
      <c r="C232">
        <v>8250</v>
      </c>
      <c r="D232">
        <v>0</v>
      </c>
      <c r="E232" t="s">
        <v>53</v>
      </c>
      <c r="F232" t="s">
        <v>53</v>
      </c>
      <c r="G232">
        <v>4</v>
      </c>
      <c r="H232" t="s">
        <v>54</v>
      </c>
      <c r="I232">
        <v>244300</v>
      </c>
      <c r="J232">
        <v>39100</v>
      </c>
      <c r="K232">
        <v>0.19</v>
      </c>
      <c r="L232">
        <v>-1.6607312068219999</v>
      </c>
      <c r="M232">
        <v>0</v>
      </c>
      <c r="N232">
        <v>0</v>
      </c>
      <c r="O232">
        <v>0</v>
      </c>
      <c r="P232">
        <v>13398.7528</v>
      </c>
      <c r="Q232">
        <v>63902.980100000001</v>
      </c>
      <c r="R232">
        <v>41651.253192550997</v>
      </c>
      <c r="S232" t="s">
        <v>61</v>
      </c>
      <c r="T232">
        <v>1</v>
      </c>
      <c r="U232" t="s">
        <v>62</v>
      </c>
      <c r="V232" t="s">
        <v>57</v>
      </c>
      <c r="W232">
        <v>0</v>
      </c>
      <c r="X232">
        <v>0</v>
      </c>
      <c r="Y232">
        <v>1</v>
      </c>
      <c r="Z232">
        <v>1</v>
      </c>
      <c r="AA232">
        <v>0</v>
      </c>
      <c r="AB232">
        <v>1500</v>
      </c>
      <c r="AC232">
        <v>1384</v>
      </c>
      <c r="AD232">
        <v>1384</v>
      </c>
      <c r="AE232">
        <v>0</v>
      </c>
      <c r="AF232">
        <v>0</v>
      </c>
      <c r="AG232">
        <v>0</v>
      </c>
      <c r="AH232">
        <v>400</v>
      </c>
      <c r="AI232">
        <v>0</v>
      </c>
      <c r="AJ232">
        <v>0</v>
      </c>
      <c r="AK232">
        <v>144</v>
      </c>
      <c r="AL232">
        <v>8</v>
      </c>
      <c r="AM232">
        <v>0</v>
      </c>
      <c r="AN232">
        <v>0</v>
      </c>
      <c r="AO232" t="s">
        <v>58</v>
      </c>
      <c r="AP232">
        <v>1</v>
      </c>
      <c r="AQ232" t="s">
        <v>59</v>
      </c>
      <c r="AR232" t="s">
        <v>60</v>
      </c>
      <c r="AS232">
        <v>1</v>
      </c>
      <c r="AT232">
        <v>3</v>
      </c>
      <c r="AU232">
        <v>0</v>
      </c>
      <c r="AV232">
        <v>0</v>
      </c>
      <c r="AW232">
        <v>100</v>
      </c>
      <c r="AX232" s="1">
        <v>44683</v>
      </c>
      <c r="AY232">
        <v>22400</v>
      </c>
      <c r="AZ232">
        <v>247007</v>
      </c>
      <c r="BA232">
        <v>269400</v>
      </c>
      <c r="BB232">
        <v>339900</v>
      </c>
      <c r="BC232">
        <v>244</v>
      </c>
      <c r="BD232">
        <f>Grandview_Sales[[#This Row],[land_extract]]*Lookups!$B$3</f>
        <v>48369.487874125851</v>
      </c>
      <c r="BE232">
        <f>Lookups!$B$2</f>
        <v>155833.95000000001</v>
      </c>
      <c r="BF232">
        <f>VLOOKUP(Grandview_Sales[[#This Row],[quality]],Lookups!$H$2:$J$13,3,FALSE)</f>
        <v>9808</v>
      </c>
      <c r="BG232">
        <f>VLOOKUP(Grandview_Sales[[#This Row],[condition]],Lookups!$H$17:$J$24,3,FALSE)</f>
        <v>25780</v>
      </c>
      <c r="BH232">
        <f>Grandview_Sales[[#This Row],[Eff_Age]]*Lookups!$B$14</f>
        <v>-239.16659999999999</v>
      </c>
      <c r="BI232">
        <f>Grandview_Sales[[#This Row],[living_area]]*Lookups!$B$15</f>
        <v>86335.100552000004</v>
      </c>
      <c r="BJ232">
        <f>Grandview_Sales[[#This Row],[Fin BSMT]]*Lookups!$B$16</f>
        <v>0</v>
      </c>
      <c r="BK232">
        <f>Grandview_Sales[[#This Row],[garage_sqft]]*Lookups!$B$17</f>
        <v>35008.174800000001</v>
      </c>
      <c r="BL232">
        <f>Grandview_Sales[[#This Row],[Plumbing Fixtures]]*Lookups!$B$18</f>
        <v>16083.5344</v>
      </c>
      <c r="BM232">
        <f>Grandview_Sales[[#This Row],[detatched_value]]*Lookups!$B$19</f>
        <v>0</v>
      </c>
      <c r="BN232">
        <f>Grandview_Sales[[#This Row],[days_prior]]*Lookups!$B$20</f>
        <v>-29267.4584</v>
      </c>
      <c r="BO232">
        <f>SUM(Grandview_Sales[[#This Row],[land_value]:[Days Prior To Assessment_value]])</f>
        <v>347711.62262612587</v>
      </c>
      <c r="BP232">
        <f>Grandview_Sales[[#This Row],[predicted_total]]/Grandview_Sales[[#This Row],[sale_price]]</f>
        <v>1.0229821201121678</v>
      </c>
      <c r="BQ232">
        <f>VLOOKUP(Grandview_Sales[[#This Row],[quality]],Lookups!$A$26:$C$33,3,FALSE)</f>
        <v>0.94295468617355149</v>
      </c>
      <c r="BR232">
        <f>VLOOKUP(Grandview_Sales[[#This Row],[condition]],Lookups!$A$37:$C$44,3,FALSE)</f>
        <v>0.94347925387812148</v>
      </c>
      <c r="BS232">
        <f>VLOOKUP(Grandview_Sales[[#This Row],[decade]],Lookups!$F$29:$H$43,3,FALSE)</f>
        <v>0.9413635517371044</v>
      </c>
      <c r="BT232">
        <f>VLOOKUP(Grandview_Sales[[#This Row],[living_area_range]],Lookups!$F$47:$H$56,3,FALSE)</f>
        <v>0.96135087979789358</v>
      </c>
      <c r="BU232">
        <f>Grandview_Sales[[#This Row],[predicted_total]]*AVERAGE(Grandview_Sales[[#This Row],[qual_adj]:[size_adj]])</f>
        <v>329382.73216388596</v>
      </c>
      <c r="BV232">
        <f>Grandview_Sales[[#This Row],[final_total]]/Grandview_Sales[[#This Row],[sale_price]]</f>
        <v>0.96905775864632526</v>
      </c>
      <c r="BW232" s="6">
        <f>(Grandview_Sales[[#This Row],[final_total]]-Grandview_Sales[[#This Row],[sale_price]])^2</f>
        <v>110612922.73655896</v>
      </c>
      <c r="BX232" s="6">
        <f>(Grandview_Sales[[#This Row],[final_total]]-AVERAGE(Grandview_Sales[sale_price]))^2</f>
        <v>502816133.88889122</v>
      </c>
      <c r="BY232" s="6">
        <f>Grandview_Sales[[#This Row],[SSE]]+Grandview_Sales[[#This Row],[SSR]]</f>
        <v>613429056.62545013</v>
      </c>
      <c r="BZ232" s="4">
        <f>ABS(Grandview_Sales[[#This Row],[final_ratio]]-MEDIAN(Grandview_Sales[final_ratio]))</f>
        <v>3.2190960709486682E-2</v>
      </c>
    </row>
    <row r="233" spans="1:78" x14ac:dyDescent="0.25">
      <c r="A233">
        <v>23092621445</v>
      </c>
      <c r="B233">
        <v>0</v>
      </c>
      <c r="C233">
        <v>9900</v>
      </c>
      <c r="D233">
        <v>0</v>
      </c>
      <c r="E233" t="s">
        <v>53</v>
      </c>
      <c r="F233" t="s">
        <v>53</v>
      </c>
      <c r="G233">
        <v>4</v>
      </c>
      <c r="H233" t="s">
        <v>54</v>
      </c>
      <c r="I233">
        <v>302600</v>
      </c>
      <c r="J233">
        <v>39500</v>
      </c>
      <c r="K233">
        <v>0.23</v>
      </c>
      <c r="L233">
        <v>-1.4696759700590001</v>
      </c>
      <c r="M233">
        <v>0</v>
      </c>
      <c r="N233">
        <v>0</v>
      </c>
      <c r="O233">
        <v>0</v>
      </c>
      <c r="P233">
        <v>13398.7528</v>
      </c>
      <c r="Q233">
        <v>63902.980100000001</v>
      </c>
      <c r="R233">
        <v>44211.155081080004</v>
      </c>
      <c r="S233" t="s">
        <v>58</v>
      </c>
      <c r="T233">
        <v>1</v>
      </c>
      <c r="U233" t="s">
        <v>62</v>
      </c>
      <c r="V233" t="s">
        <v>57</v>
      </c>
      <c r="W233">
        <v>0</v>
      </c>
      <c r="X233">
        <v>0</v>
      </c>
      <c r="Y233">
        <v>1</v>
      </c>
      <c r="Z233">
        <v>1</v>
      </c>
      <c r="AA233">
        <v>0</v>
      </c>
      <c r="AB233">
        <v>2000</v>
      </c>
      <c r="AC233">
        <v>1944</v>
      </c>
      <c r="AD233">
        <v>1944</v>
      </c>
      <c r="AE233">
        <v>0</v>
      </c>
      <c r="AF233">
        <v>0</v>
      </c>
      <c r="AG233">
        <v>0</v>
      </c>
      <c r="AH233">
        <v>698</v>
      </c>
      <c r="AI233">
        <v>0</v>
      </c>
      <c r="AJ233">
        <v>0</v>
      </c>
      <c r="AK233">
        <v>0</v>
      </c>
      <c r="AL233">
        <v>9</v>
      </c>
      <c r="AM233">
        <v>0</v>
      </c>
      <c r="AN233">
        <v>0</v>
      </c>
      <c r="AO233" t="s">
        <v>58</v>
      </c>
      <c r="AP233">
        <v>1</v>
      </c>
      <c r="AQ233" t="s">
        <v>63</v>
      </c>
      <c r="AR233" t="s">
        <v>64</v>
      </c>
      <c r="AS233">
        <v>1</v>
      </c>
      <c r="AT233">
        <v>3</v>
      </c>
      <c r="AU233">
        <v>0</v>
      </c>
      <c r="AV233">
        <v>0</v>
      </c>
      <c r="AW233">
        <v>100</v>
      </c>
      <c r="AX233" s="1">
        <v>44690</v>
      </c>
      <c r="AY233">
        <v>22600</v>
      </c>
      <c r="AZ233">
        <v>338858</v>
      </c>
      <c r="BA233">
        <v>361500</v>
      </c>
      <c r="BB233">
        <v>403673</v>
      </c>
      <c r="BC233">
        <v>237</v>
      </c>
      <c r="BD233">
        <f>Grandview_Sales[[#This Row],[land_extract]]*Lookups!$B$3</f>
        <v>51342.29502553949</v>
      </c>
      <c r="BE233">
        <f>Lookups!$B$2</f>
        <v>155833.95000000001</v>
      </c>
      <c r="BF233">
        <f>VLOOKUP(Grandview_Sales[[#This Row],[quality]],Lookups!$H$2:$J$13,3,FALSE)</f>
        <v>9808</v>
      </c>
      <c r="BG233">
        <f>VLOOKUP(Grandview_Sales[[#This Row],[condition]],Lookups!$H$17:$J$24,3,FALSE)</f>
        <v>25780</v>
      </c>
      <c r="BH233">
        <f>Grandview_Sales[[#This Row],[Eff_Age]]*Lookups!$B$14</f>
        <v>-239.16659999999999</v>
      </c>
      <c r="BI233">
        <f>Grandview_Sales[[#This Row],[living_area]]*Lookups!$B$15</f>
        <v>121268.378232</v>
      </c>
      <c r="BJ233">
        <f>Grandview_Sales[[#This Row],[Fin BSMT]]*Lookups!$B$16</f>
        <v>0</v>
      </c>
      <c r="BK233">
        <f>Grandview_Sales[[#This Row],[garage_sqft]]*Lookups!$B$17</f>
        <v>61089.265026000001</v>
      </c>
      <c r="BL233">
        <f>Grandview_Sales[[#This Row],[Plumbing Fixtures]]*Lookups!$B$18</f>
        <v>18093.976200000001</v>
      </c>
      <c r="BM233">
        <f>Grandview_Sales[[#This Row],[detatched_value]]*Lookups!$B$19</f>
        <v>0</v>
      </c>
      <c r="BN233">
        <f>Grandview_Sales[[#This Row],[days_prior]]*Lookups!$B$20</f>
        <v>-28427.818200000002</v>
      </c>
      <c r="BO233">
        <f>SUM(Grandview_Sales[[#This Row],[land_value]:[Days Prior To Assessment_value]])</f>
        <v>414548.8796835395</v>
      </c>
      <c r="BP233">
        <f>Grandview_Sales[[#This Row],[predicted_total]]/Grandview_Sales[[#This Row],[sale_price]]</f>
        <v>1.0269423015250945</v>
      </c>
      <c r="BQ233">
        <f>VLOOKUP(Grandview_Sales[[#This Row],[quality]],Lookups!$A$26:$C$33,3,FALSE)</f>
        <v>0.94295468617355149</v>
      </c>
      <c r="BR233">
        <f>VLOOKUP(Grandview_Sales[[#This Row],[condition]],Lookups!$A$37:$C$44,3,FALSE)</f>
        <v>0.94347925387812148</v>
      </c>
      <c r="BS233">
        <f>VLOOKUP(Grandview_Sales[[#This Row],[decade]],Lookups!$F$29:$H$43,3,FALSE)</f>
        <v>0.9413635517371044</v>
      </c>
      <c r="BT233">
        <f>VLOOKUP(Grandview_Sales[[#This Row],[living_area_range]],Lookups!$F$47:$H$56,3,FALSE)</f>
        <v>0.96120133463014379</v>
      </c>
      <c r="BU233">
        <f>Grandview_Sales[[#This Row],[predicted_total]]*AVERAGE(Grandview_Sales[[#This Row],[qual_adj]:[size_adj]])</f>
        <v>392681.30465355242</v>
      </c>
      <c r="BV233">
        <f>Grandview_Sales[[#This Row],[final_total]]/Grandview_Sales[[#This Row],[sale_price]]</f>
        <v>0.97277079381963227</v>
      </c>
      <c r="BW233" s="6">
        <f>(Grandview_Sales[[#This Row],[final_total]]-Grandview_Sales[[#This Row],[sale_price]])^2</f>
        <v>120817366.58911741</v>
      </c>
      <c r="BX233" s="6">
        <f>(Grandview_Sales[[#This Row],[final_total]]-AVERAGE(Grandview_Sales[sale_price]))^2</f>
        <v>7348284345.7500706</v>
      </c>
      <c r="BY233" s="6">
        <f>Grandview_Sales[[#This Row],[SSE]]+Grandview_Sales[[#This Row],[SSR]]</f>
        <v>7469101712.3391876</v>
      </c>
      <c r="BZ233" s="4">
        <f>ABS(Grandview_Sales[[#This Row],[final_ratio]]-MEDIAN(Grandview_Sales[final_ratio]))</f>
        <v>2.8477925536179671E-2</v>
      </c>
    </row>
    <row r="234" spans="1:78" x14ac:dyDescent="0.25">
      <c r="A234">
        <v>23092621493</v>
      </c>
      <c r="B234">
        <v>0</v>
      </c>
      <c r="C234">
        <v>8250</v>
      </c>
      <c r="D234">
        <v>0</v>
      </c>
      <c r="E234" t="s">
        <v>53</v>
      </c>
      <c r="F234" t="s">
        <v>53</v>
      </c>
      <c r="G234">
        <v>4</v>
      </c>
      <c r="H234" t="s">
        <v>54</v>
      </c>
      <c r="I234">
        <v>252900</v>
      </c>
      <c r="J234">
        <v>39100</v>
      </c>
      <c r="K234">
        <v>0.19</v>
      </c>
      <c r="L234">
        <v>-1.6607312068219999</v>
      </c>
      <c r="M234">
        <v>0</v>
      </c>
      <c r="N234">
        <v>0</v>
      </c>
      <c r="O234">
        <v>0</v>
      </c>
      <c r="P234">
        <v>13398.7528</v>
      </c>
      <c r="Q234">
        <v>63902.980100000001</v>
      </c>
      <c r="R234">
        <v>41651.253192550997</v>
      </c>
      <c r="S234" t="s">
        <v>61</v>
      </c>
      <c r="T234">
        <v>1</v>
      </c>
      <c r="U234" t="s">
        <v>62</v>
      </c>
      <c r="V234" t="s">
        <v>57</v>
      </c>
      <c r="W234">
        <v>0</v>
      </c>
      <c r="X234">
        <v>0</v>
      </c>
      <c r="Y234">
        <v>1</v>
      </c>
      <c r="Z234">
        <v>1</v>
      </c>
      <c r="AA234">
        <v>0</v>
      </c>
      <c r="AB234">
        <v>1500</v>
      </c>
      <c r="AC234">
        <v>1377</v>
      </c>
      <c r="AD234">
        <v>1377</v>
      </c>
      <c r="AE234">
        <v>0</v>
      </c>
      <c r="AF234">
        <v>0</v>
      </c>
      <c r="AG234">
        <v>0</v>
      </c>
      <c r="AH234">
        <v>440</v>
      </c>
      <c r="AI234">
        <v>0</v>
      </c>
      <c r="AJ234">
        <v>0</v>
      </c>
      <c r="AK234">
        <v>0</v>
      </c>
      <c r="AL234">
        <v>9</v>
      </c>
      <c r="AM234">
        <v>0</v>
      </c>
      <c r="AN234">
        <v>0</v>
      </c>
      <c r="AO234" t="s">
        <v>58</v>
      </c>
      <c r="AP234">
        <v>1</v>
      </c>
      <c r="AQ234" t="s">
        <v>63</v>
      </c>
      <c r="AR234" t="s">
        <v>60</v>
      </c>
      <c r="AS234">
        <v>1</v>
      </c>
      <c r="AT234">
        <v>3</v>
      </c>
      <c r="AU234">
        <v>0</v>
      </c>
      <c r="AV234">
        <v>0</v>
      </c>
      <c r="AW234">
        <v>100</v>
      </c>
      <c r="AX234" s="1">
        <v>44691</v>
      </c>
      <c r="AY234">
        <v>22400</v>
      </c>
      <c r="AZ234">
        <v>249654</v>
      </c>
      <c r="BA234">
        <v>272100</v>
      </c>
      <c r="BB234">
        <v>325856</v>
      </c>
      <c r="BC234">
        <v>236</v>
      </c>
      <c r="BD234">
        <f>Grandview_Sales[[#This Row],[land_extract]]*Lookups!$B$3</f>
        <v>48369.487874125851</v>
      </c>
      <c r="BE234">
        <f>Lookups!$B$2</f>
        <v>155833.95000000001</v>
      </c>
      <c r="BF234">
        <f>VLOOKUP(Grandview_Sales[[#This Row],[quality]],Lookups!$H$2:$J$13,3,FALSE)</f>
        <v>9808</v>
      </c>
      <c r="BG234">
        <f>VLOOKUP(Grandview_Sales[[#This Row],[condition]],Lookups!$H$17:$J$24,3,FALSE)</f>
        <v>25780</v>
      </c>
      <c r="BH234">
        <f>Grandview_Sales[[#This Row],[Eff_Age]]*Lookups!$B$14</f>
        <v>-239.16659999999999</v>
      </c>
      <c r="BI234">
        <f>Grandview_Sales[[#This Row],[living_area]]*Lookups!$B$15</f>
        <v>85898.434581000009</v>
      </c>
      <c r="BJ234">
        <f>Grandview_Sales[[#This Row],[Fin BSMT]]*Lookups!$B$16</f>
        <v>0</v>
      </c>
      <c r="BK234">
        <f>Grandview_Sales[[#This Row],[garage_sqft]]*Lookups!$B$17</f>
        <v>38508.992279999999</v>
      </c>
      <c r="BL234">
        <f>Grandview_Sales[[#This Row],[Plumbing Fixtures]]*Lookups!$B$18</f>
        <v>18093.976200000001</v>
      </c>
      <c r="BM234">
        <f>Grandview_Sales[[#This Row],[detatched_value]]*Lookups!$B$19</f>
        <v>0</v>
      </c>
      <c r="BN234">
        <f>Grandview_Sales[[#This Row],[days_prior]]*Lookups!$B$20</f>
        <v>-28307.869599999998</v>
      </c>
      <c r="BO234">
        <f>SUM(Grandview_Sales[[#This Row],[land_value]:[Days Prior To Assessment_value]])</f>
        <v>353745.80473512592</v>
      </c>
      <c r="BP234">
        <f>Grandview_Sales[[#This Row],[predicted_total]]/Grandview_Sales[[#This Row],[sale_price]]</f>
        <v>1.0855893546079431</v>
      </c>
      <c r="BQ234">
        <f>VLOOKUP(Grandview_Sales[[#This Row],[quality]],Lookups!$A$26:$C$33,3,FALSE)</f>
        <v>0.94295468617355149</v>
      </c>
      <c r="BR234">
        <f>VLOOKUP(Grandview_Sales[[#This Row],[condition]],Lookups!$A$37:$C$44,3,FALSE)</f>
        <v>0.94347925387812148</v>
      </c>
      <c r="BS234">
        <f>VLOOKUP(Grandview_Sales[[#This Row],[decade]],Lookups!$F$29:$H$43,3,FALSE)</f>
        <v>0.9413635517371044</v>
      </c>
      <c r="BT234">
        <f>VLOOKUP(Grandview_Sales[[#This Row],[living_area_range]],Lookups!$F$47:$H$56,3,FALSE)</f>
        <v>0.96135087979789358</v>
      </c>
      <c r="BU234">
        <f>Grandview_Sales[[#This Row],[predicted_total]]*AVERAGE(Grandview_Sales[[#This Row],[qual_adj]:[size_adj]])</f>
        <v>335098.8349919297</v>
      </c>
      <c r="BV234">
        <f>Grandview_Sales[[#This Row],[final_total]]/Grandview_Sales[[#This Row],[sale_price]]</f>
        <v>1.0283647838061283</v>
      </c>
      <c r="BW234" s="6">
        <f>(Grandview_Sales[[#This Row],[final_total]]-Grandview_Sales[[#This Row],[sale_price]])^2</f>
        <v>85429998.688040167</v>
      </c>
      <c r="BX234" s="6">
        <f>(Grandview_Sales[[#This Row],[final_total]]-AVERAGE(Grandview_Sales[sale_price]))^2</f>
        <v>791840738.04146123</v>
      </c>
      <c r="BY234" s="6">
        <f>Grandview_Sales[[#This Row],[SSE]]+Grandview_Sales[[#This Row],[SSR]]</f>
        <v>877270736.72950137</v>
      </c>
      <c r="BZ234" s="4">
        <f>ABS(Grandview_Sales[[#This Row],[final_ratio]]-MEDIAN(Grandview_Sales[final_ratio]))</f>
        <v>2.7116064450316335E-2</v>
      </c>
    </row>
    <row r="235" spans="1:78" x14ac:dyDescent="0.25">
      <c r="A235">
        <v>23092621474</v>
      </c>
      <c r="B235">
        <v>0</v>
      </c>
      <c r="C235">
        <v>8926</v>
      </c>
      <c r="D235">
        <v>0</v>
      </c>
      <c r="E235" t="s">
        <v>53</v>
      </c>
      <c r="F235" t="s">
        <v>53</v>
      </c>
      <c r="G235">
        <v>4</v>
      </c>
      <c r="H235" t="s">
        <v>54</v>
      </c>
      <c r="I235">
        <v>329600</v>
      </c>
      <c r="J235">
        <v>39300</v>
      </c>
      <c r="K235">
        <v>0.2</v>
      </c>
      <c r="L235">
        <v>-1.6094379124339999</v>
      </c>
      <c r="M235">
        <v>0</v>
      </c>
      <c r="N235">
        <v>0</v>
      </c>
      <c r="O235">
        <v>0</v>
      </c>
      <c r="P235">
        <v>13398.7528</v>
      </c>
      <c r="Q235">
        <v>63902.980100000001</v>
      </c>
      <c r="R235">
        <v>42338.519364346997</v>
      </c>
      <c r="S235" t="s">
        <v>55</v>
      </c>
      <c r="T235">
        <v>2</v>
      </c>
      <c r="U235" t="s">
        <v>62</v>
      </c>
      <c r="V235" t="s">
        <v>57</v>
      </c>
      <c r="W235">
        <v>0</v>
      </c>
      <c r="X235">
        <v>0</v>
      </c>
      <c r="Y235">
        <v>1</v>
      </c>
      <c r="Z235">
        <v>1</v>
      </c>
      <c r="AA235">
        <v>0</v>
      </c>
      <c r="AB235">
        <v>3000</v>
      </c>
      <c r="AC235">
        <v>2506</v>
      </c>
      <c r="AD235">
        <v>1180</v>
      </c>
      <c r="AE235">
        <v>1326</v>
      </c>
      <c r="AF235">
        <v>0</v>
      </c>
      <c r="AG235">
        <v>0</v>
      </c>
      <c r="AH235">
        <v>778</v>
      </c>
      <c r="AI235">
        <v>0</v>
      </c>
      <c r="AJ235">
        <v>0</v>
      </c>
      <c r="AK235">
        <v>0</v>
      </c>
      <c r="AL235">
        <v>12</v>
      </c>
      <c r="AM235">
        <v>0</v>
      </c>
      <c r="AN235">
        <v>0</v>
      </c>
      <c r="AO235" t="s">
        <v>58</v>
      </c>
      <c r="AP235">
        <v>1</v>
      </c>
      <c r="AQ235" t="s">
        <v>63</v>
      </c>
      <c r="AR235" t="s">
        <v>64</v>
      </c>
      <c r="AS235">
        <v>1</v>
      </c>
      <c r="AT235">
        <v>3</v>
      </c>
      <c r="AU235">
        <v>0</v>
      </c>
      <c r="AV235">
        <v>0</v>
      </c>
      <c r="AW235">
        <v>100</v>
      </c>
      <c r="AX235" s="1">
        <v>44693</v>
      </c>
      <c r="AY235">
        <v>22500</v>
      </c>
      <c r="AZ235">
        <v>392516</v>
      </c>
      <c r="BA235">
        <v>415000</v>
      </c>
      <c r="BB235">
        <v>411652</v>
      </c>
      <c r="BC235">
        <v>234</v>
      </c>
      <c r="BD235">
        <f>Grandview_Sales[[#This Row],[land_extract]]*Lookups!$B$3</f>
        <v>49167.608223813884</v>
      </c>
      <c r="BE235">
        <f>Lookups!$B$2</f>
        <v>155833.95000000001</v>
      </c>
      <c r="BF235">
        <f>VLOOKUP(Grandview_Sales[[#This Row],[quality]],Lookups!$H$2:$J$13,3,FALSE)</f>
        <v>9808</v>
      </c>
      <c r="BG235">
        <f>VLOOKUP(Grandview_Sales[[#This Row],[condition]],Lookups!$H$17:$J$24,3,FALSE)</f>
        <v>25780</v>
      </c>
      <c r="BH235">
        <f>Grandview_Sales[[#This Row],[Eff_Age]]*Lookups!$B$14</f>
        <v>-239.16659999999999</v>
      </c>
      <c r="BI235">
        <f>Grandview_Sales[[#This Row],[living_area]]*Lookups!$B$15</f>
        <v>156326.41761800001</v>
      </c>
      <c r="BJ235">
        <f>Grandview_Sales[[#This Row],[Fin BSMT]]*Lookups!$B$16</f>
        <v>0</v>
      </c>
      <c r="BK235">
        <f>Grandview_Sales[[#This Row],[garage_sqft]]*Lookups!$B$17</f>
        <v>68090.899986000004</v>
      </c>
      <c r="BL235">
        <f>Grandview_Sales[[#This Row],[Plumbing Fixtures]]*Lookups!$B$18</f>
        <v>24125.301599999999</v>
      </c>
      <c r="BM235">
        <f>Grandview_Sales[[#This Row],[detatched_value]]*Lookups!$B$19</f>
        <v>0</v>
      </c>
      <c r="BN235">
        <f>Grandview_Sales[[#This Row],[days_prior]]*Lookups!$B$20</f>
        <v>-28067.972399999999</v>
      </c>
      <c r="BO235">
        <f>SUM(Grandview_Sales[[#This Row],[land_value]:[Days Prior To Assessment_value]])</f>
        <v>460825.03842781391</v>
      </c>
      <c r="BP235">
        <f>Grandview_Sales[[#This Row],[predicted_total]]/Grandview_Sales[[#This Row],[sale_price]]</f>
        <v>1.1194529321558353</v>
      </c>
      <c r="BQ235">
        <f>VLOOKUP(Grandview_Sales[[#This Row],[quality]],Lookups!$A$26:$C$33,3,FALSE)</f>
        <v>0.94295468617355149</v>
      </c>
      <c r="BR235">
        <f>VLOOKUP(Grandview_Sales[[#This Row],[condition]],Lookups!$A$37:$C$44,3,FALSE)</f>
        <v>0.94347925387812148</v>
      </c>
      <c r="BS235">
        <f>VLOOKUP(Grandview_Sales[[#This Row],[decade]],Lookups!$F$29:$H$43,3,FALSE)</f>
        <v>0.9413635517371044</v>
      </c>
      <c r="BT235">
        <f>VLOOKUP(Grandview_Sales[[#This Row],[living_area_range]],Lookups!$F$47:$H$56,3,FALSE)</f>
        <v>0.94224801443562123</v>
      </c>
      <c r="BU235">
        <f>Grandview_Sales[[#This Row],[predicted_total]]*AVERAGE(Grandview_Sales[[#This Row],[qual_adj]:[size_adj]])</f>
        <v>434332.84132011642</v>
      </c>
      <c r="BV235">
        <f>Grandview_Sales[[#This Row],[final_total]]/Grandview_Sales[[#This Row],[sale_price]]</f>
        <v>1.0550971240759583</v>
      </c>
      <c r="BW235" s="6">
        <f>(Grandview_Sales[[#This Row],[final_total]]-Grandview_Sales[[#This Row],[sale_price]])^2</f>
        <v>514420562.98830044</v>
      </c>
      <c r="BX235" s="6">
        <f>(Grandview_Sales[[#This Row],[final_total]]-AVERAGE(Grandview_Sales[sale_price]))^2</f>
        <v>16224052110.183477</v>
      </c>
      <c r="BY235" s="6">
        <f>Grandview_Sales[[#This Row],[SSE]]+Grandview_Sales[[#This Row],[SSR]]</f>
        <v>16738472673.171778</v>
      </c>
      <c r="BZ235" s="4">
        <f>ABS(Grandview_Sales[[#This Row],[final_ratio]]-MEDIAN(Grandview_Sales[final_ratio]))</f>
        <v>5.3848404720146403E-2</v>
      </c>
    </row>
    <row r="236" spans="1:78" x14ac:dyDescent="0.25">
      <c r="A236">
        <v>23092621452</v>
      </c>
      <c r="B236">
        <v>0</v>
      </c>
      <c r="C236">
        <v>8030</v>
      </c>
      <c r="D236">
        <v>0</v>
      </c>
      <c r="E236" t="s">
        <v>53</v>
      </c>
      <c r="F236" t="s">
        <v>53</v>
      </c>
      <c r="G236">
        <v>4</v>
      </c>
      <c r="H236" t="s">
        <v>54</v>
      </c>
      <c r="I236">
        <v>275300</v>
      </c>
      <c r="J236">
        <v>39000</v>
      </c>
      <c r="K236">
        <v>0.18</v>
      </c>
      <c r="L236">
        <v>-1.7147984280919999</v>
      </c>
      <c r="M236">
        <v>0</v>
      </c>
      <c r="N236">
        <v>0</v>
      </c>
      <c r="O236">
        <v>0</v>
      </c>
      <c r="P236">
        <v>13398.7528</v>
      </c>
      <c r="Q236">
        <v>63902.980100000001</v>
      </c>
      <c r="R236">
        <v>40926.819860167998</v>
      </c>
      <c r="S236" t="s">
        <v>55</v>
      </c>
      <c r="T236">
        <v>1</v>
      </c>
      <c r="U236" t="s">
        <v>62</v>
      </c>
      <c r="V236" t="s">
        <v>57</v>
      </c>
      <c r="W236">
        <v>0</v>
      </c>
      <c r="X236">
        <v>0</v>
      </c>
      <c r="Y236">
        <v>1</v>
      </c>
      <c r="Z236">
        <v>1</v>
      </c>
      <c r="AA236">
        <v>0</v>
      </c>
      <c r="AB236">
        <v>1500</v>
      </c>
      <c r="AC236">
        <v>1460</v>
      </c>
      <c r="AD236">
        <v>1460</v>
      </c>
      <c r="AE236">
        <v>0</v>
      </c>
      <c r="AF236">
        <v>0</v>
      </c>
      <c r="AG236">
        <v>0</v>
      </c>
      <c r="AH236">
        <v>660</v>
      </c>
      <c r="AI236">
        <v>0</v>
      </c>
      <c r="AJ236">
        <v>0</v>
      </c>
      <c r="AK236">
        <v>0</v>
      </c>
      <c r="AL236">
        <v>9</v>
      </c>
      <c r="AM236">
        <v>0</v>
      </c>
      <c r="AN236">
        <v>0</v>
      </c>
      <c r="AO236" t="s">
        <v>58</v>
      </c>
      <c r="AP236">
        <v>1</v>
      </c>
      <c r="AQ236" t="s">
        <v>63</v>
      </c>
      <c r="AR236" t="s">
        <v>64</v>
      </c>
      <c r="AS236">
        <v>1</v>
      </c>
      <c r="AT236">
        <v>3</v>
      </c>
      <c r="AU236">
        <v>0</v>
      </c>
      <c r="AV236">
        <v>0</v>
      </c>
      <c r="AW236">
        <v>100</v>
      </c>
      <c r="AX236" s="1">
        <v>44698</v>
      </c>
      <c r="AY236">
        <v>22300</v>
      </c>
      <c r="AZ236">
        <v>273288</v>
      </c>
      <c r="BA236">
        <v>295600</v>
      </c>
      <c r="BB236">
        <v>354123</v>
      </c>
      <c r="BC236">
        <v>229</v>
      </c>
      <c r="BD236">
        <f>Grandview_Sales[[#This Row],[land_extract]]*Lookups!$B$3</f>
        <v>47528.20540119947</v>
      </c>
      <c r="BE236">
        <f>Lookups!$B$2</f>
        <v>155833.95000000001</v>
      </c>
      <c r="BF236">
        <f>VLOOKUP(Grandview_Sales[[#This Row],[quality]],Lookups!$H$2:$J$13,3,FALSE)</f>
        <v>9808</v>
      </c>
      <c r="BG236">
        <f>VLOOKUP(Grandview_Sales[[#This Row],[condition]],Lookups!$H$17:$J$24,3,FALSE)</f>
        <v>25780</v>
      </c>
      <c r="BH236">
        <f>Grandview_Sales[[#This Row],[Eff_Age]]*Lookups!$B$14</f>
        <v>-239.16659999999999</v>
      </c>
      <c r="BI236">
        <f>Grandview_Sales[[#This Row],[living_area]]*Lookups!$B$15</f>
        <v>91076.045379999996</v>
      </c>
      <c r="BJ236">
        <f>Grandview_Sales[[#This Row],[Fin BSMT]]*Lookups!$B$16</f>
        <v>0</v>
      </c>
      <c r="BK236">
        <f>Grandview_Sales[[#This Row],[garage_sqft]]*Lookups!$B$17</f>
        <v>57763.488420000001</v>
      </c>
      <c r="BL236">
        <f>Grandview_Sales[[#This Row],[Plumbing Fixtures]]*Lookups!$B$18</f>
        <v>18093.976200000001</v>
      </c>
      <c r="BM236">
        <f>Grandview_Sales[[#This Row],[detatched_value]]*Lookups!$B$19</f>
        <v>0</v>
      </c>
      <c r="BN236">
        <f>Grandview_Sales[[#This Row],[days_prior]]*Lookups!$B$20</f>
        <v>-27468.2294</v>
      </c>
      <c r="BO236">
        <f>SUM(Grandview_Sales[[#This Row],[land_value]:[Days Prior To Assessment_value]])</f>
        <v>378176.26940119948</v>
      </c>
      <c r="BP236">
        <f>Grandview_Sales[[#This Row],[predicted_total]]/Grandview_Sales[[#This Row],[sale_price]]</f>
        <v>1.0679234881699282</v>
      </c>
      <c r="BQ236">
        <f>VLOOKUP(Grandview_Sales[[#This Row],[quality]],Lookups!$A$26:$C$33,3,FALSE)</f>
        <v>0.94295468617355149</v>
      </c>
      <c r="BR236">
        <f>VLOOKUP(Grandview_Sales[[#This Row],[condition]],Lookups!$A$37:$C$44,3,FALSE)</f>
        <v>0.94347925387812148</v>
      </c>
      <c r="BS236">
        <f>VLOOKUP(Grandview_Sales[[#This Row],[decade]],Lookups!$F$29:$H$43,3,FALSE)</f>
        <v>0.9413635517371044</v>
      </c>
      <c r="BT236">
        <f>VLOOKUP(Grandview_Sales[[#This Row],[living_area_range]],Lookups!$F$47:$H$56,3,FALSE)</f>
        <v>0.96135087979789358</v>
      </c>
      <c r="BU236">
        <f>Grandview_Sales[[#This Row],[predicted_total]]*AVERAGE(Grandview_Sales[[#This Row],[qual_adj]:[size_adj]])</f>
        <v>358241.49884356925</v>
      </c>
      <c r="BV236">
        <f>Grandview_Sales[[#This Row],[final_total]]/Grandview_Sales[[#This Row],[sale_price]]</f>
        <v>1.0116301365445601</v>
      </c>
      <c r="BW236" s="6">
        <f>(Grandview_Sales[[#This Row],[final_total]]-Grandview_Sales[[#This Row],[sale_price]])^2</f>
        <v>16962032.724481251</v>
      </c>
      <c r="BX236" s="6">
        <f>(Grandview_Sales[[#This Row],[final_total]]-AVERAGE(Grandview_Sales[sale_price]))^2</f>
        <v>2629877237.3748846</v>
      </c>
      <c r="BY236" s="6">
        <f>Grandview_Sales[[#This Row],[SSE]]+Grandview_Sales[[#This Row],[SSR]]</f>
        <v>2646839270.0993657</v>
      </c>
      <c r="BZ236" s="4">
        <f>ABS(Grandview_Sales[[#This Row],[final_ratio]]-MEDIAN(Grandview_Sales[final_ratio]))</f>
        <v>1.0381417188748188E-2</v>
      </c>
    </row>
    <row r="237" spans="1:78" x14ac:dyDescent="0.25">
      <c r="A237">
        <v>23092621435</v>
      </c>
      <c r="B237">
        <v>0</v>
      </c>
      <c r="C237">
        <v>9900</v>
      </c>
      <c r="D237">
        <v>0</v>
      </c>
      <c r="E237" t="s">
        <v>53</v>
      </c>
      <c r="F237" t="s">
        <v>53</v>
      </c>
      <c r="G237">
        <v>4</v>
      </c>
      <c r="H237" t="s">
        <v>54</v>
      </c>
      <c r="I237">
        <v>339100</v>
      </c>
      <c r="J237">
        <v>43800</v>
      </c>
      <c r="K237">
        <v>0.23</v>
      </c>
      <c r="L237">
        <v>-1.4696759700590001</v>
      </c>
      <c r="M237">
        <v>0</v>
      </c>
      <c r="N237">
        <v>0</v>
      </c>
      <c r="O237">
        <v>0</v>
      </c>
      <c r="P237">
        <v>13398.7528</v>
      </c>
      <c r="Q237">
        <v>63902.980100000001</v>
      </c>
      <c r="R237">
        <v>44211.155081080004</v>
      </c>
      <c r="S237" t="s">
        <v>55</v>
      </c>
      <c r="T237">
        <v>2</v>
      </c>
      <c r="U237" t="s">
        <v>64</v>
      </c>
      <c r="V237" t="s">
        <v>57</v>
      </c>
      <c r="W237">
        <v>0</v>
      </c>
      <c r="X237">
        <v>0</v>
      </c>
      <c r="Y237">
        <v>1</v>
      </c>
      <c r="Z237">
        <v>1</v>
      </c>
      <c r="AA237">
        <v>0</v>
      </c>
      <c r="AB237">
        <v>3000</v>
      </c>
      <c r="AC237">
        <v>2527</v>
      </c>
      <c r="AD237">
        <v>1164</v>
      </c>
      <c r="AE237">
        <v>1363</v>
      </c>
      <c r="AF237">
        <v>0</v>
      </c>
      <c r="AG237">
        <v>0</v>
      </c>
      <c r="AH237">
        <v>713</v>
      </c>
      <c r="AI237">
        <v>0</v>
      </c>
      <c r="AJ237">
        <v>0</v>
      </c>
      <c r="AK237">
        <v>0</v>
      </c>
      <c r="AL237">
        <v>12</v>
      </c>
      <c r="AM237">
        <v>0</v>
      </c>
      <c r="AN237">
        <v>0</v>
      </c>
      <c r="AO237" t="s">
        <v>58</v>
      </c>
      <c r="AP237">
        <v>1</v>
      </c>
      <c r="AQ237" t="s">
        <v>63</v>
      </c>
      <c r="AR237" t="s">
        <v>64</v>
      </c>
      <c r="AS237">
        <v>1</v>
      </c>
      <c r="AT237">
        <v>3</v>
      </c>
      <c r="AU237">
        <v>0</v>
      </c>
      <c r="AV237">
        <v>0</v>
      </c>
      <c r="AW237">
        <v>100</v>
      </c>
      <c r="AX237" s="1">
        <v>44700</v>
      </c>
      <c r="AY237">
        <v>25100</v>
      </c>
      <c r="AZ237">
        <v>452552</v>
      </c>
      <c r="BA237">
        <v>477700</v>
      </c>
      <c r="BB237">
        <v>484900</v>
      </c>
      <c r="BC237">
        <v>227</v>
      </c>
      <c r="BD237">
        <f>Grandview_Sales[[#This Row],[land_extract]]*Lookups!$B$3</f>
        <v>51342.29502553949</v>
      </c>
      <c r="BE237">
        <f>Lookups!$B$2</f>
        <v>155833.95000000001</v>
      </c>
      <c r="BF237">
        <f>VLOOKUP(Grandview_Sales[[#This Row],[quality]],Lookups!$H$2:$J$13,3,FALSE)</f>
        <v>20768</v>
      </c>
      <c r="BG237">
        <f>VLOOKUP(Grandview_Sales[[#This Row],[condition]],Lookups!$H$17:$J$24,3,FALSE)</f>
        <v>25780</v>
      </c>
      <c r="BH237">
        <f>Grandview_Sales[[#This Row],[Eff_Age]]*Lookups!$B$14</f>
        <v>-239.16659999999999</v>
      </c>
      <c r="BI237">
        <f>Grandview_Sales[[#This Row],[living_area]]*Lookups!$B$15</f>
        <v>157636.41553100001</v>
      </c>
      <c r="BJ237">
        <f>Grandview_Sales[[#This Row],[Fin BSMT]]*Lookups!$B$16</f>
        <v>0</v>
      </c>
      <c r="BK237">
        <f>Grandview_Sales[[#This Row],[garage_sqft]]*Lookups!$B$17</f>
        <v>62402.071581000004</v>
      </c>
      <c r="BL237">
        <f>Grandview_Sales[[#This Row],[Plumbing Fixtures]]*Lookups!$B$18</f>
        <v>24125.301599999999</v>
      </c>
      <c r="BM237">
        <f>Grandview_Sales[[#This Row],[detatched_value]]*Lookups!$B$19</f>
        <v>0</v>
      </c>
      <c r="BN237">
        <f>Grandview_Sales[[#This Row],[days_prior]]*Lookups!$B$20</f>
        <v>-27228.332200000001</v>
      </c>
      <c r="BO237">
        <f>SUM(Grandview_Sales[[#This Row],[land_value]:[Days Prior To Assessment_value]])</f>
        <v>470420.53493753955</v>
      </c>
      <c r="BP237">
        <f>Grandview_Sales[[#This Row],[predicted_total]]/Grandview_Sales[[#This Row],[sale_price]]</f>
        <v>0.97013927601059924</v>
      </c>
      <c r="BQ237">
        <f>VLOOKUP(Grandview_Sales[[#This Row],[quality]],Lookups!$A$26:$C$33,3,FALSE)</f>
        <v>0.94960540378902636</v>
      </c>
      <c r="BR237">
        <f>VLOOKUP(Grandview_Sales[[#This Row],[condition]],Lookups!$A$37:$C$44,3,FALSE)</f>
        <v>0.94347925387812148</v>
      </c>
      <c r="BS237">
        <f>VLOOKUP(Grandview_Sales[[#This Row],[decade]],Lookups!$F$29:$H$43,3,FALSE)</f>
        <v>0.9413635517371044</v>
      </c>
      <c r="BT237">
        <f>VLOOKUP(Grandview_Sales[[#This Row],[living_area_range]],Lookups!$F$47:$H$56,3,FALSE)</f>
        <v>0.94224801443562123</v>
      </c>
      <c r="BU237">
        <f>Grandview_Sales[[#This Row],[predicted_total]]*AVERAGE(Grandview_Sales[[#This Row],[qual_adj]:[size_adj]])</f>
        <v>444158.86447883473</v>
      </c>
      <c r="BV237">
        <f>Grandview_Sales[[#This Row],[final_total]]/Grandview_Sales[[#This Row],[sale_price]]</f>
        <v>0.91598033507699472</v>
      </c>
      <c r="BW237" s="6">
        <f>(Grandview_Sales[[#This Row],[final_total]]-Grandview_Sales[[#This Row],[sale_price]])^2</f>
        <v>1659840123.5539546</v>
      </c>
      <c r="BX237" s="6">
        <f>(Grandview_Sales[[#This Row],[final_total]]-AVERAGE(Grandview_Sales[sale_price]))^2</f>
        <v>18823756126.974571</v>
      </c>
      <c r="BY237" s="6">
        <f>Grandview_Sales[[#This Row],[SSE]]+Grandview_Sales[[#This Row],[SSR]]</f>
        <v>20483596250.528526</v>
      </c>
      <c r="BZ237" s="4">
        <f>ABS(Grandview_Sales[[#This Row],[final_ratio]]-MEDIAN(Grandview_Sales[final_ratio]))</f>
        <v>8.5268384278817222E-2</v>
      </c>
    </row>
    <row r="238" spans="1:78" x14ac:dyDescent="0.25">
      <c r="A238">
        <v>23091442428</v>
      </c>
      <c r="B238">
        <v>0.2</v>
      </c>
      <c r="C238">
        <v>8534</v>
      </c>
      <c r="D238">
        <v>0</v>
      </c>
      <c r="E238" t="s">
        <v>53</v>
      </c>
      <c r="F238" t="s">
        <v>53</v>
      </c>
      <c r="G238">
        <v>4</v>
      </c>
      <c r="H238" t="s">
        <v>54</v>
      </c>
      <c r="I238">
        <v>219500</v>
      </c>
      <c r="J238">
        <v>39300</v>
      </c>
      <c r="K238">
        <v>0.2</v>
      </c>
      <c r="L238">
        <v>-1.6094379124339999</v>
      </c>
      <c r="M238">
        <v>0</v>
      </c>
      <c r="N238">
        <v>0</v>
      </c>
      <c r="O238">
        <v>0</v>
      </c>
      <c r="P238">
        <v>13398.7528</v>
      </c>
      <c r="Q238">
        <v>63902.980100000001</v>
      </c>
      <c r="R238">
        <v>42338.519364346997</v>
      </c>
      <c r="S238" t="s">
        <v>61</v>
      </c>
      <c r="T238">
        <v>1</v>
      </c>
      <c r="U238" t="s">
        <v>62</v>
      </c>
      <c r="V238" t="s">
        <v>66</v>
      </c>
      <c r="W238">
        <v>0</v>
      </c>
      <c r="X238">
        <v>0</v>
      </c>
      <c r="Y238">
        <v>13</v>
      </c>
      <c r="Z238">
        <v>13</v>
      </c>
      <c r="AA238">
        <v>10</v>
      </c>
      <c r="AB238">
        <v>1500</v>
      </c>
      <c r="AC238">
        <v>1205</v>
      </c>
      <c r="AD238">
        <v>1205</v>
      </c>
      <c r="AE238">
        <v>0</v>
      </c>
      <c r="AF238">
        <v>0</v>
      </c>
      <c r="AG238">
        <v>0</v>
      </c>
      <c r="AH238">
        <v>420</v>
      </c>
      <c r="AI238">
        <v>0</v>
      </c>
      <c r="AJ238">
        <v>0</v>
      </c>
      <c r="AK238">
        <v>0</v>
      </c>
      <c r="AL238">
        <v>9</v>
      </c>
      <c r="AM238">
        <v>0</v>
      </c>
      <c r="AN238">
        <v>0</v>
      </c>
      <c r="AO238" t="s">
        <v>58</v>
      </c>
      <c r="AP238">
        <v>1</v>
      </c>
      <c r="AQ238" t="s">
        <v>59</v>
      </c>
      <c r="AR238" t="s">
        <v>60</v>
      </c>
      <c r="AS238">
        <v>1</v>
      </c>
      <c r="AT238">
        <v>3</v>
      </c>
      <c r="AU238">
        <v>0</v>
      </c>
      <c r="AV238">
        <v>0</v>
      </c>
      <c r="AW238">
        <v>100</v>
      </c>
      <c r="AX238" s="1">
        <v>44701</v>
      </c>
      <c r="AY238">
        <v>22500</v>
      </c>
      <c r="AZ238">
        <v>222713</v>
      </c>
      <c r="BA238">
        <v>245200</v>
      </c>
      <c r="BB238">
        <v>300500</v>
      </c>
      <c r="BC238">
        <v>226</v>
      </c>
      <c r="BD238">
        <f>Grandview_Sales[[#This Row],[land_extract]]*Lookups!$B$3</f>
        <v>49167.608223813884</v>
      </c>
      <c r="BE238">
        <f>Lookups!$B$2</f>
        <v>155833.95000000001</v>
      </c>
      <c r="BF238">
        <f>VLOOKUP(Grandview_Sales[[#This Row],[quality]],Lookups!$H$2:$J$13,3,FALSE)</f>
        <v>9808</v>
      </c>
      <c r="BG238">
        <f>VLOOKUP(Grandview_Sales[[#This Row],[condition]],Lookups!$H$17:$J$24,3,FALSE)</f>
        <v>25818</v>
      </c>
      <c r="BH238">
        <f>Grandview_Sales[[#This Row],[Eff_Age]]*Lookups!$B$14</f>
        <v>-3109.1657999999998</v>
      </c>
      <c r="BI238">
        <f>Grandview_Sales[[#This Row],[living_area]]*Lookups!$B$15</f>
        <v>75168.927865000005</v>
      </c>
      <c r="BJ238">
        <f>Grandview_Sales[[#This Row],[Fin BSMT]]*Lookups!$B$16</f>
        <v>0</v>
      </c>
      <c r="BK238">
        <f>Grandview_Sales[[#This Row],[garage_sqft]]*Lookups!$B$17</f>
        <v>36758.58354</v>
      </c>
      <c r="BL238">
        <f>Grandview_Sales[[#This Row],[Plumbing Fixtures]]*Lookups!$B$18</f>
        <v>18093.976200000001</v>
      </c>
      <c r="BM238">
        <f>Grandview_Sales[[#This Row],[detatched_value]]*Lookups!$B$19</f>
        <v>0</v>
      </c>
      <c r="BN238">
        <f>Grandview_Sales[[#This Row],[days_prior]]*Lookups!$B$20</f>
        <v>-27108.383600000001</v>
      </c>
      <c r="BO238">
        <f>SUM(Grandview_Sales[[#This Row],[land_value]:[Days Prior To Assessment_value]])</f>
        <v>340431.4964288139</v>
      </c>
      <c r="BP238">
        <f>Grandview_Sales[[#This Row],[predicted_total]]/Grandview_Sales[[#This Row],[sale_price]]</f>
        <v>1.1328835155700963</v>
      </c>
      <c r="BQ238">
        <f>VLOOKUP(Grandview_Sales[[#This Row],[quality]],Lookups!$A$26:$C$33,3,FALSE)</f>
        <v>0.94295468617355149</v>
      </c>
      <c r="BR238">
        <f>VLOOKUP(Grandview_Sales[[#This Row],[condition]],Lookups!$A$37:$C$44,3,FALSE)</f>
        <v>0.96661476234146892</v>
      </c>
      <c r="BS238">
        <f>VLOOKUP(Grandview_Sales[[#This Row],[decade]],Lookups!$F$29:$H$43,3,FALSE)</f>
        <v>0.94601966599150278</v>
      </c>
      <c r="BT238">
        <f>VLOOKUP(Grandview_Sales[[#This Row],[living_area_range]],Lookups!$F$47:$H$56,3,FALSE)</f>
        <v>0.96135087979789358</v>
      </c>
      <c r="BU238">
        <f>Grandview_Sales[[#This Row],[predicted_total]]*AVERAGE(Grandview_Sales[[#This Row],[qual_adj]:[size_adj]])</f>
        <v>324851.64851001027</v>
      </c>
      <c r="BV238">
        <f>Grandview_Sales[[#This Row],[final_total]]/Grandview_Sales[[#This Row],[sale_price]]</f>
        <v>1.0810370998669228</v>
      </c>
      <c r="BW238" s="6">
        <f>(Grandview_Sales[[#This Row],[final_total]]-Grandview_Sales[[#This Row],[sale_price]])^2</f>
        <v>593002785.15508556</v>
      </c>
      <c r="BX238" s="6">
        <f>(Grandview_Sales[[#This Row],[final_total]]-AVERAGE(Grandview_Sales[sale_price]))^2</f>
        <v>320140782.26104701</v>
      </c>
      <c r="BY238" s="6">
        <f>Grandview_Sales[[#This Row],[SSE]]+Grandview_Sales[[#This Row],[SSR]]</f>
        <v>913143567.41613257</v>
      </c>
      <c r="BZ238" s="4">
        <f>ABS(Grandview_Sales[[#This Row],[final_ratio]]-MEDIAN(Grandview_Sales[final_ratio]))</f>
        <v>7.9788380511110812E-2</v>
      </c>
    </row>
    <row r="239" spans="1:78" x14ac:dyDescent="0.25">
      <c r="A239">
        <v>23092243421</v>
      </c>
      <c r="B239">
        <v>0.32</v>
      </c>
      <c r="C239">
        <v>14000</v>
      </c>
      <c r="D239">
        <v>0</v>
      </c>
      <c r="E239" t="s">
        <v>53</v>
      </c>
      <c r="F239" t="s">
        <v>53</v>
      </c>
      <c r="G239">
        <v>4</v>
      </c>
      <c r="H239" t="s">
        <v>54</v>
      </c>
      <c r="I239">
        <v>207700</v>
      </c>
      <c r="J239">
        <v>41200</v>
      </c>
      <c r="K239">
        <v>0.32</v>
      </c>
      <c r="L239">
        <v>-1.139434283188</v>
      </c>
      <c r="M239">
        <v>0</v>
      </c>
      <c r="N239">
        <v>0</v>
      </c>
      <c r="O239">
        <v>0</v>
      </c>
      <c r="P239">
        <v>13398.7528</v>
      </c>
      <c r="Q239">
        <v>63902.980100000001</v>
      </c>
      <c r="R239">
        <v>48635.981807714001</v>
      </c>
      <c r="S239" t="s">
        <v>61</v>
      </c>
      <c r="T239">
        <v>1</v>
      </c>
      <c r="U239" t="s">
        <v>65</v>
      </c>
      <c r="V239" t="s">
        <v>67</v>
      </c>
      <c r="W239">
        <v>0</v>
      </c>
      <c r="X239">
        <v>0</v>
      </c>
      <c r="Y239">
        <v>49</v>
      </c>
      <c r="Z239">
        <v>68</v>
      </c>
      <c r="AA239">
        <v>70</v>
      </c>
      <c r="AB239">
        <v>2000</v>
      </c>
      <c r="AC239">
        <v>1636</v>
      </c>
      <c r="AD239">
        <v>1636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318</v>
      </c>
      <c r="AL239">
        <v>9</v>
      </c>
      <c r="AM239">
        <v>0</v>
      </c>
      <c r="AN239">
        <v>0</v>
      </c>
      <c r="AO239" t="s">
        <v>58</v>
      </c>
      <c r="AP239">
        <v>1</v>
      </c>
      <c r="AQ239" t="s">
        <v>59</v>
      </c>
      <c r="AR239" t="s">
        <v>60</v>
      </c>
      <c r="AS239">
        <v>1</v>
      </c>
      <c r="AT239">
        <v>4</v>
      </c>
      <c r="AU239">
        <v>0</v>
      </c>
      <c r="AV239">
        <v>0</v>
      </c>
      <c r="AW239">
        <v>100</v>
      </c>
      <c r="AX239" s="1">
        <v>44706</v>
      </c>
      <c r="AY239">
        <v>23600</v>
      </c>
      <c r="AZ239">
        <v>184047</v>
      </c>
      <c r="BA239">
        <v>207600</v>
      </c>
      <c r="BB239">
        <v>280000</v>
      </c>
      <c r="BC239">
        <v>221</v>
      </c>
      <c r="BD239">
        <f>Grandview_Sales[[#This Row],[land_extract]]*Lookups!$B$3</f>
        <v>56480.834356147388</v>
      </c>
      <c r="BE239">
        <f>Lookups!$B$2</f>
        <v>155833.95000000001</v>
      </c>
      <c r="BF239">
        <f>VLOOKUP(Grandview_Sales[[#This Row],[quality]],Lookups!$H$2:$J$13,3,FALSE)</f>
        <v>2251</v>
      </c>
      <c r="BG239">
        <f>VLOOKUP(Grandview_Sales[[#This Row],[condition]],Lookups!$H$17:$J$24,3,FALSE)</f>
        <v>22342</v>
      </c>
      <c r="BH239">
        <f>Grandview_Sales[[#This Row],[Eff_Age]]*Lookups!$B$14</f>
        <v>-11719.163399999999</v>
      </c>
      <c r="BI239">
        <f>Grandview_Sales[[#This Row],[living_area]]*Lookups!$B$15</f>
        <v>102055.07550800001</v>
      </c>
      <c r="BJ239">
        <f>Grandview_Sales[[#This Row],[Fin BSMT]]*Lookups!$B$16</f>
        <v>0</v>
      </c>
      <c r="BK239">
        <f>Grandview_Sales[[#This Row],[garage_sqft]]*Lookups!$B$17</f>
        <v>0</v>
      </c>
      <c r="BL239">
        <f>Grandview_Sales[[#This Row],[Plumbing Fixtures]]*Lookups!$B$18</f>
        <v>18093.976200000001</v>
      </c>
      <c r="BM239">
        <f>Grandview_Sales[[#This Row],[detatched_value]]*Lookups!$B$19</f>
        <v>0</v>
      </c>
      <c r="BN239">
        <f>Grandview_Sales[[#This Row],[days_prior]]*Lookups!$B$20</f>
        <v>-26508.640599999999</v>
      </c>
      <c r="BO239">
        <f>SUM(Grandview_Sales[[#This Row],[land_value]:[Days Prior To Assessment_value]])</f>
        <v>318829.03206414741</v>
      </c>
      <c r="BP239">
        <f>Grandview_Sales[[#This Row],[predicted_total]]/Grandview_Sales[[#This Row],[sale_price]]</f>
        <v>1.1386751145148122</v>
      </c>
      <c r="BQ239">
        <f>VLOOKUP(Grandview_Sales[[#This Row],[quality]],Lookups!$A$26:$C$33,3,FALSE)</f>
        <v>0.98763855981004833</v>
      </c>
      <c r="BR239">
        <f>VLOOKUP(Grandview_Sales[[#This Row],[condition]],Lookups!$A$37:$C$44,3,FALSE)</f>
        <v>0.97383723671140243</v>
      </c>
      <c r="BS239">
        <f>VLOOKUP(Grandview_Sales[[#This Row],[decade]],Lookups!$F$29:$H$43,3,FALSE)</f>
        <v>0.99472141305414818</v>
      </c>
      <c r="BT239">
        <f>VLOOKUP(Grandview_Sales[[#This Row],[living_area_range]],Lookups!$F$47:$H$56,3,FALSE)</f>
        <v>0.96120133463014379</v>
      </c>
      <c r="BU239">
        <f>Grandview_Sales[[#This Row],[predicted_total]]*AVERAGE(Grandview_Sales[[#This Row],[qual_adj]:[size_adj]])</f>
        <v>312245.09651465429</v>
      </c>
      <c r="BV239">
        <f>Grandview_Sales[[#This Row],[final_total]]/Grandview_Sales[[#This Row],[sale_price]]</f>
        <v>1.1151610589809082</v>
      </c>
      <c r="BW239" s="6">
        <f>(Grandview_Sales[[#This Row],[final_total]]-Grandview_Sales[[#This Row],[sale_price]])^2</f>
        <v>1039746249.2393701</v>
      </c>
      <c r="BX239" s="6">
        <f>(Grandview_Sales[[#This Row],[final_total]]-AVERAGE(Grandview_Sales[sale_price]))^2</f>
        <v>27941017.65001246</v>
      </c>
      <c r="BY239" s="6">
        <f>Grandview_Sales[[#This Row],[SSE]]+Grandview_Sales[[#This Row],[SSR]]</f>
        <v>1067687266.8893826</v>
      </c>
      <c r="BZ239" s="4">
        <f>ABS(Grandview_Sales[[#This Row],[final_ratio]]-MEDIAN(Grandview_Sales[final_ratio]))</f>
        <v>0.11391233962509628</v>
      </c>
    </row>
    <row r="240" spans="1:78" x14ac:dyDescent="0.25">
      <c r="A240">
        <v>23092621484</v>
      </c>
      <c r="B240">
        <v>0</v>
      </c>
      <c r="C240">
        <v>8426</v>
      </c>
      <c r="D240">
        <v>0</v>
      </c>
      <c r="E240" t="s">
        <v>53</v>
      </c>
      <c r="F240" t="s">
        <v>53</v>
      </c>
      <c r="G240">
        <v>4</v>
      </c>
      <c r="H240" t="s">
        <v>54</v>
      </c>
      <c r="I240">
        <v>249000</v>
      </c>
      <c r="J240">
        <v>39100</v>
      </c>
      <c r="K240">
        <v>0.19</v>
      </c>
      <c r="L240">
        <v>-1.6607312068219999</v>
      </c>
      <c r="M240">
        <v>0</v>
      </c>
      <c r="N240">
        <v>0</v>
      </c>
      <c r="O240">
        <v>0</v>
      </c>
      <c r="P240">
        <v>13398.7528</v>
      </c>
      <c r="Q240">
        <v>63902.980100000001</v>
      </c>
      <c r="R240">
        <v>41651.253192550997</v>
      </c>
      <c r="S240" t="s">
        <v>61</v>
      </c>
      <c r="T240">
        <v>1</v>
      </c>
      <c r="U240" t="s">
        <v>62</v>
      </c>
      <c r="V240" t="s">
        <v>57</v>
      </c>
      <c r="W240">
        <v>0</v>
      </c>
      <c r="X240">
        <v>0</v>
      </c>
      <c r="Y240">
        <v>1</v>
      </c>
      <c r="Z240">
        <v>1</v>
      </c>
      <c r="AA240">
        <v>0</v>
      </c>
      <c r="AB240">
        <v>1500</v>
      </c>
      <c r="AC240">
        <v>1460</v>
      </c>
      <c r="AD240">
        <v>1460</v>
      </c>
      <c r="AE240">
        <v>0</v>
      </c>
      <c r="AF240">
        <v>0</v>
      </c>
      <c r="AG240">
        <v>0</v>
      </c>
      <c r="AH240">
        <v>440</v>
      </c>
      <c r="AI240">
        <v>0</v>
      </c>
      <c r="AJ240">
        <v>0</v>
      </c>
      <c r="AK240">
        <v>0</v>
      </c>
      <c r="AL240">
        <v>9</v>
      </c>
      <c r="AM240">
        <v>0</v>
      </c>
      <c r="AN240">
        <v>0</v>
      </c>
      <c r="AO240" t="s">
        <v>58</v>
      </c>
      <c r="AP240">
        <v>1</v>
      </c>
      <c r="AQ240" t="s">
        <v>63</v>
      </c>
      <c r="AR240" t="s">
        <v>64</v>
      </c>
      <c r="AS240">
        <v>1</v>
      </c>
      <c r="AT240">
        <v>3</v>
      </c>
      <c r="AU240">
        <v>0</v>
      </c>
      <c r="AV240">
        <v>0</v>
      </c>
      <c r="AW240">
        <v>100</v>
      </c>
      <c r="AX240" s="1">
        <v>44708</v>
      </c>
      <c r="AY240">
        <v>22400</v>
      </c>
      <c r="AZ240">
        <v>262769</v>
      </c>
      <c r="BA240">
        <v>285200</v>
      </c>
      <c r="BB240">
        <v>329401</v>
      </c>
      <c r="BC240">
        <v>219</v>
      </c>
      <c r="BD240">
        <f>Grandview_Sales[[#This Row],[land_extract]]*Lookups!$B$3</f>
        <v>48369.487874125851</v>
      </c>
      <c r="BE240">
        <f>Lookups!$B$2</f>
        <v>155833.95000000001</v>
      </c>
      <c r="BF240">
        <f>VLOOKUP(Grandview_Sales[[#This Row],[quality]],Lookups!$H$2:$J$13,3,FALSE)</f>
        <v>9808</v>
      </c>
      <c r="BG240">
        <f>VLOOKUP(Grandview_Sales[[#This Row],[condition]],Lookups!$H$17:$J$24,3,FALSE)</f>
        <v>25780</v>
      </c>
      <c r="BH240">
        <f>Grandview_Sales[[#This Row],[Eff_Age]]*Lookups!$B$14</f>
        <v>-239.16659999999999</v>
      </c>
      <c r="BI240">
        <f>Grandview_Sales[[#This Row],[living_area]]*Lookups!$B$15</f>
        <v>91076.045379999996</v>
      </c>
      <c r="BJ240">
        <f>Grandview_Sales[[#This Row],[Fin BSMT]]*Lookups!$B$16</f>
        <v>0</v>
      </c>
      <c r="BK240">
        <f>Grandview_Sales[[#This Row],[garage_sqft]]*Lookups!$B$17</f>
        <v>38508.992279999999</v>
      </c>
      <c r="BL240">
        <f>Grandview_Sales[[#This Row],[Plumbing Fixtures]]*Lookups!$B$18</f>
        <v>18093.976200000001</v>
      </c>
      <c r="BM240">
        <f>Grandview_Sales[[#This Row],[detatched_value]]*Lookups!$B$19</f>
        <v>0</v>
      </c>
      <c r="BN240">
        <f>Grandview_Sales[[#This Row],[days_prior]]*Lookups!$B$20</f>
        <v>-26268.743399999999</v>
      </c>
      <c r="BO240">
        <f>SUM(Grandview_Sales[[#This Row],[land_value]:[Days Prior To Assessment_value]])</f>
        <v>360962.54173412587</v>
      </c>
      <c r="BP240">
        <f>Grandview_Sales[[#This Row],[predicted_total]]/Grandview_Sales[[#This Row],[sale_price]]</f>
        <v>1.0958149542172788</v>
      </c>
      <c r="BQ240">
        <f>VLOOKUP(Grandview_Sales[[#This Row],[quality]],Lookups!$A$26:$C$33,3,FALSE)</f>
        <v>0.94295468617355149</v>
      </c>
      <c r="BR240">
        <f>VLOOKUP(Grandview_Sales[[#This Row],[condition]],Lookups!$A$37:$C$44,3,FALSE)</f>
        <v>0.94347925387812148</v>
      </c>
      <c r="BS240">
        <f>VLOOKUP(Grandview_Sales[[#This Row],[decade]],Lookups!$F$29:$H$43,3,FALSE)</f>
        <v>0.9413635517371044</v>
      </c>
      <c r="BT240">
        <f>VLOOKUP(Grandview_Sales[[#This Row],[living_area_range]],Lookups!$F$47:$H$56,3,FALSE)</f>
        <v>0.96135087979789358</v>
      </c>
      <c r="BU240">
        <f>Grandview_Sales[[#This Row],[predicted_total]]*AVERAGE(Grandview_Sales[[#This Row],[qual_adj]:[size_adj]])</f>
        <v>341935.15680391219</v>
      </c>
      <c r="BV240">
        <f>Grandview_Sales[[#This Row],[final_total]]/Grandview_Sales[[#This Row],[sale_price]]</f>
        <v>1.0380513623331811</v>
      </c>
      <c r="BW240" s="6">
        <f>(Grandview_Sales[[#This Row],[final_total]]-Grandview_Sales[[#This Row],[sale_price]])^2</f>
        <v>157105086.78505829</v>
      </c>
      <c r="BX240" s="6">
        <f>(Grandview_Sales[[#This Row],[final_total]]-AVERAGE(Grandview_Sales[sale_price]))^2</f>
        <v>1223319643.1918888</v>
      </c>
      <c r="BY240" s="6">
        <f>Grandview_Sales[[#This Row],[SSE]]+Grandview_Sales[[#This Row],[SSR]]</f>
        <v>1380424729.9769471</v>
      </c>
      <c r="BZ240" s="4">
        <f>ABS(Grandview_Sales[[#This Row],[final_ratio]]-MEDIAN(Grandview_Sales[final_ratio]))</f>
        <v>3.6802642977369127E-2</v>
      </c>
    </row>
    <row r="241" spans="1:78" x14ac:dyDescent="0.25">
      <c r="A241">
        <v>23092622417</v>
      </c>
      <c r="B241">
        <v>0.17</v>
      </c>
      <c r="C241">
        <v>7367</v>
      </c>
      <c r="D241">
        <v>0</v>
      </c>
      <c r="E241" t="s">
        <v>53</v>
      </c>
      <c r="F241" t="s">
        <v>53</v>
      </c>
      <c r="G241">
        <v>4</v>
      </c>
      <c r="H241" t="s">
        <v>54</v>
      </c>
      <c r="I241">
        <v>239400</v>
      </c>
      <c r="J241">
        <v>38800</v>
      </c>
      <c r="K241">
        <v>0.17</v>
      </c>
      <c r="L241">
        <v>-1.771956841932</v>
      </c>
      <c r="M241">
        <v>0</v>
      </c>
      <c r="N241">
        <v>0</v>
      </c>
      <c r="O241">
        <v>0</v>
      </c>
      <c r="P241">
        <v>13398.7528</v>
      </c>
      <c r="Q241">
        <v>63902.980100000001</v>
      </c>
      <c r="R241">
        <v>40160.968402685998</v>
      </c>
      <c r="S241" t="s">
        <v>61</v>
      </c>
      <c r="T241">
        <v>1</v>
      </c>
      <c r="U241" t="s">
        <v>65</v>
      </c>
      <c r="V241" t="s">
        <v>66</v>
      </c>
      <c r="W241">
        <v>0</v>
      </c>
      <c r="X241">
        <v>0</v>
      </c>
      <c r="Y241">
        <v>9</v>
      </c>
      <c r="Z241">
        <v>9</v>
      </c>
      <c r="AA241">
        <v>10</v>
      </c>
      <c r="AB241">
        <v>1500</v>
      </c>
      <c r="AC241">
        <v>1420</v>
      </c>
      <c r="AD241">
        <v>1420</v>
      </c>
      <c r="AE241">
        <v>0</v>
      </c>
      <c r="AF241">
        <v>0</v>
      </c>
      <c r="AG241">
        <v>0</v>
      </c>
      <c r="AH241">
        <v>442</v>
      </c>
      <c r="AI241">
        <v>0</v>
      </c>
      <c r="AJ241">
        <v>0</v>
      </c>
      <c r="AK241">
        <v>480</v>
      </c>
      <c r="AL241">
        <v>8</v>
      </c>
      <c r="AM241">
        <v>0</v>
      </c>
      <c r="AN241">
        <v>0</v>
      </c>
      <c r="AO241" t="s">
        <v>58</v>
      </c>
      <c r="AP241">
        <v>1</v>
      </c>
      <c r="AQ241" t="s">
        <v>63</v>
      </c>
      <c r="AR241" t="s">
        <v>60</v>
      </c>
      <c r="AS241">
        <v>1</v>
      </c>
      <c r="AT241">
        <v>4</v>
      </c>
      <c r="AU241">
        <v>0</v>
      </c>
      <c r="AV241">
        <v>0</v>
      </c>
      <c r="AW241">
        <v>100</v>
      </c>
      <c r="AX241" s="1">
        <v>44713</v>
      </c>
      <c r="AY241">
        <v>22200</v>
      </c>
      <c r="AZ241">
        <v>220202</v>
      </c>
      <c r="BA241">
        <v>242400</v>
      </c>
      <c r="BB241">
        <v>350000</v>
      </c>
      <c r="BC241">
        <v>214</v>
      </c>
      <c r="BD241">
        <f>Grandview_Sales[[#This Row],[land_extract]]*Lookups!$B$3</f>
        <v>46638.82417142456</v>
      </c>
      <c r="BE241">
        <f>Lookups!$B$2</f>
        <v>155833.95000000001</v>
      </c>
      <c r="BF241">
        <f>VLOOKUP(Grandview_Sales[[#This Row],[quality]],Lookups!$H$2:$J$13,3,FALSE)</f>
        <v>2251</v>
      </c>
      <c r="BG241">
        <f>VLOOKUP(Grandview_Sales[[#This Row],[condition]],Lookups!$H$17:$J$24,3,FALSE)</f>
        <v>25818</v>
      </c>
      <c r="BH241">
        <f>Grandview_Sales[[#This Row],[Eff_Age]]*Lookups!$B$14</f>
        <v>-2152.4993999999997</v>
      </c>
      <c r="BI241">
        <f>Grandview_Sales[[#This Row],[living_area]]*Lookups!$B$15</f>
        <v>88580.811260000002</v>
      </c>
      <c r="BJ241">
        <f>Grandview_Sales[[#This Row],[Fin BSMT]]*Lookups!$B$16</f>
        <v>0</v>
      </c>
      <c r="BK241">
        <f>Grandview_Sales[[#This Row],[garage_sqft]]*Lookups!$B$17</f>
        <v>38684.033153999997</v>
      </c>
      <c r="BL241">
        <f>Grandview_Sales[[#This Row],[Plumbing Fixtures]]*Lookups!$B$18</f>
        <v>16083.5344</v>
      </c>
      <c r="BM241">
        <f>Grandview_Sales[[#This Row],[detatched_value]]*Lookups!$B$19</f>
        <v>0</v>
      </c>
      <c r="BN241">
        <f>Grandview_Sales[[#This Row],[days_prior]]*Lookups!$B$20</f>
        <v>-25669.000400000001</v>
      </c>
      <c r="BO241">
        <f>SUM(Grandview_Sales[[#This Row],[land_value]:[Days Prior To Assessment_value]])</f>
        <v>346068.65318542457</v>
      </c>
      <c r="BP241">
        <f>Grandview_Sales[[#This Row],[predicted_total]]/Grandview_Sales[[#This Row],[sale_price]]</f>
        <v>0.98876758052978453</v>
      </c>
      <c r="BQ241">
        <f>VLOOKUP(Grandview_Sales[[#This Row],[quality]],Lookups!$A$26:$C$33,3,FALSE)</f>
        <v>0.98763855981004833</v>
      </c>
      <c r="BR241">
        <f>VLOOKUP(Grandview_Sales[[#This Row],[condition]],Lookups!$A$37:$C$44,3,FALSE)</f>
        <v>0.96661476234146892</v>
      </c>
      <c r="BS241">
        <f>VLOOKUP(Grandview_Sales[[#This Row],[decade]],Lookups!$F$29:$H$43,3,FALSE)</f>
        <v>0.94601966599150278</v>
      </c>
      <c r="BT241">
        <f>VLOOKUP(Grandview_Sales[[#This Row],[living_area_range]],Lookups!$F$47:$H$56,3,FALSE)</f>
        <v>0.96135087979789358</v>
      </c>
      <c r="BU241">
        <f>Grandview_Sales[[#This Row],[predicted_total]]*AVERAGE(Grandview_Sales[[#This Row],[qual_adj]:[size_adj]])</f>
        <v>334096.74277175043</v>
      </c>
      <c r="BV241">
        <f>Grandview_Sales[[#This Row],[final_total]]/Grandview_Sales[[#This Row],[sale_price]]</f>
        <v>0.95456212220500125</v>
      </c>
      <c r="BW241" s="6">
        <f>(Grandview_Sales[[#This Row],[final_total]]-Grandview_Sales[[#This Row],[sale_price]])^2</f>
        <v>252913590.46787211</v>
      </c>
      <c r="BX241" s="6">
        <f>(Grandview_Sales[[#This Row],[final_total]]-AVERAGE(Grandview_Sales[sale_price]))^2</f>
        <v>736447848.40383649</v>
      </c>
      <c r="BY241" s="6">
        <f>Grandview_Sales[[#This Row],[SSE]]+Grandview_Sales[[#This Row],[SSR]]</f>
        <v>989361438.87170863</v>
      </c>
      <c r="BZ241" s="4">
        <f>ABS(Grandview_Sales[[#This Row],[final_ratio]]-MEDIAN(Grandview_Sales[final_ratio]))</f>
        <v>4.6686597150810694E-2</v>
      </c>
    </row>
    <row r="242" spans="1:78" x14ac:dyDescent="0.25">
      <c r="A242">
        <v>23092621495</v>
      </c>
      <c r="B242">
        <v>0</v>
      </c>
      <c r="C242">
        <v>8612</v>
      </c>
      <c r="D242">
        <v>0</v>
      </c>
      <c r="E242" t="s">
        <v>53</v>
      </c>
      <c r="F242" t="s">
        <v>53</v>
      </c>
      <c r="G242">
        <v>4</v>
      </c>
      <c r="H242" t="s">
        <v>54</v>
      </c>
      <c r="I242">
        <v>285000</v>
      </c>
      <c r="J242">
        <v>39300</v>
      </c>
      <c r="K242">
        <v>0.2</v>
      </c>
      <c r="L242">
        <v>-1.6094379124339999</v>
      </c>
      <c r="M242">
        <v>0</v>
      </c>
      <c r="N242">
        <v>0</v>
      </c>
      <c r="O242">
        <v>0</v>
      </c>
      <c r="P242">
        <v>13398.7528</v>
      </c>
      <c r="Q242">
        <v>63902.980100000001</v>
      </c>
      <c r="R242">
        <v>42338.519364346997</v>
      </c>
      <c r="S242" t="s">
        <v>61</v>
      </c>
      <c r="T242">
        <v>1</v>
      </c>
      <c r="U242" t="s">
        <v>62</v>
      </c>
      <c r="V242" t="s">
        <v>57</v>
      </c>
      <c r="W242">
        <v>0</v>
      </c>
      <c r="X242">
        <v>0</v>
      </c>
      <c r="Y242">
        <v>1</v>
      </c>
      <c r="Z242">
        <v>1</v>
      </c>
      <c r="AA242">
        <v>0</v>
      </c>
      <c r="AB242">
        <v>2000</v>
      </c>
      <c r="AC242">
        <v>1888</v>
      </c>
      <c r="AD242">
        <v>1888</v>
      </c>
      <c r="AE242">
        <v>0</v>
      </c>
      <c r="AF242">
        <v>0</v>
      </c>
      <c r="AG242">
        <v>0</v>
      </c>
      <c r="AH242">
        <v>638</v>
      </c>
      <c r="AI242">
        <v>0</v>
      </c>
      <c r="AJ242">
        <v>0</v>
      </c>
      <c r="AK242">
        <v>0</v>
      </c>
      <c r="AL242">
        <v>9</v>
      </c>
      <c r="AM242">
        <v>0</v>
      </c>
      <c r="AN242">
        <v>0</v>
      </c>
      <c r="AO242" t="s">
        <v>58</v>
      </c>
      <c r="AP242">
        <v>1</v>
      </c>
      <c r="AQ242" t="s">
        <v>63</v>
      </c>
      <c r="AR242" t="s">
        <v>64</v>
      </c>
      <c r="AS242">
        <v>1</v>
      </c>
      <c r="AT242">
        <v>3</v>
      </c>
      <c r="AU242">
        <v>0</v>
      </c>
      <c r="AV242">
        <v>0</v>
      </c>
      <c r="AW242">
        <v>100</v>
      </c>
      <c r="AX242" s="1">
        <v>44720</v>
      </c>
      <c r="AY242">
        <v>22500</v>
      </c>
      <c r="AZ242">
        <v>317599</v>
      </c>
      <c r="BA242">
        <v>340100</v>
      </c>
      <c r="BB242">
        <v>427635</v>
      </c>
      <c r="BC242">
        <v>207</v>
      </c>
      <c r="BD242">
        <f>Grandview_Sales[[#This Row],[land_extract]]*Lookups!$B$3</f>
        <v>49167.608223813884</v>
      </c>
      <c r="BE242">
        <f>Lookups!$B$2</f>
        <v>155833.95000000001</v>
      </c>
      <c r="BF242">
        <f>VLOOKUP(Grandview_Sales[[#This Row],[quality]],Lookups!$H$2:$J$13,3,FALSE)</f>
        <v>9808</v>
      </c>
      <c r="BG242">
        <f>VLOOKUP(Grandview_Sales[[#This Row],[condition]],Lookups!$H$17:$J$24,3,FALSE)</f>
        <v>25780</v>
      </c>
      <c r="BH242">
        <f>Grandview_Sales[[#This Row],[Eff_Age]]*Lookups!$B$14</f>
        <v>-239.16659999999999</v>
      </c>
      <c r="BI242">
        <f>Grandview_Sales[[#This Row],[living_area]]*Lookups!$B$15</f>
        <v>117775.050464</v>
      </c>
      <c r="BJ242">
        <f>Grandview_Sales[[#This Row],[Fin BSMT]]*Lookups!$B$16</f>
        <v>0</v>
      </c>
      <c r="BK242">
        <f>Grandview_Sales[[#This Row],[garage_sqft]]*Lookups!$B$17</f>
        <v>55838.038806000004</v>
      </c>
      <c r="BL242">
        <f>Grandview_Sales[[#This Row],[Plumbing Fixtures]]*Lookups!$B$18</f>
        <v>18093.976200000001</v>
      </c>
      <c r="BM242">
        <f>Grandview_Sales[[#This Row],[detatched_value]]*Lookups!$B$19</f>
        <v>0</v>
      </c>
      <c r="BN242">
        <f>Grandview_Sales[[#This Row],[days_prior]]*Lookups!$B$20</f>
        <v>-24829.360199999999</v>
      </c>
      <c r="BO242">
        <f>SUM(Grandview_Sales[[#This Row],[land_value]:[Days Prior To Assessment_value]])</f>
        <v>407228.09689381387</v>
      </c>
      <c r="BP242">
        <f>Grandview_Sales[[#This Row],[predicted_total]]/Grandview_Sales[[#This Row],[sale_price]]</f>
        <v>0.95227962373008257</v>
      </c>
      <c r="BQ242">
        <f>VLOOKUP(Grandview_Sales[[#This Row],[quality]],Lookups!$A$26:$C$33,3,FALSE)</f>
        <v>0.94295468617355149</v>
      </c>
      <c r="BR242">
        <f>VLOOKUP(Grandview_Sales[[#This Row],[condition]],Lookups!$A$37:$C$44,3,FALSE)</f>
        <v>0.94347925387812148</v>
      </c>
      <c r="BS242">
        <f>VLOOKUP(Grandview_Sales[[#This Row],[decade]],Lookups!$F$29:$H$43,3,FALSE)</f>
        <v>0.9413635517371044</v>
      </c>
      <c r="BT242">
        <f>VLOOKUP(Grandview_Sales[[#This Row],[living_area_range]],Lookups!$F$47:$H$56,3,FALSE)</f>
        <v>0.96120133463014379</v>
      </c>
      <c r="BU242">
        <f>Grandview_Sales[[#This Row],[predicted_total]]*AVERAGE(Grandview_Sales[[#This Row],[qual_adj]:[size_adj]])</f>
        <v>385746.69530386786</v>
      </c>
      <c r="BV242">
        <f>Grandview_Sales[[#This Row],[final_total]]/Grandview_Sales[[#This Row],[sale_price]]</f>
        <v>0.9020465941839837</v>
      </c>
      <c r="BW242" s="6">
        <f>(Grandview_Sales[[#This Row],[final_total]]-Grandview_Sales[[#This Row],[sale_price]])^2</f>
        <v>1754630070.3160057</v>
      </c>
      <c r="BX242" s="6">
        <f>(Grandview_Sales[[#This Row],[final_total]]-AVERAGE(Grandview_Sales[sale_price]))^2</f>
        <v>6207474121.6221972</v>
      </c>
      <c r="BY242" s="6">
        <f>Grandview_Sales[[#This Row],[SSE]]+Grandview_Sales[[#This Row],[SSR]]</f>
        <v>7962104191.9382029</v>
      </c>
      <c r="BZ242" s="4">
        <f>ABS(Grandview_Sales[[#This Row],[final_ratio]]-MEDIAN(Grandview_Sales[final_ratio]))</f>
        <v>9.9202125171828248E-2</v>
      </c>
    </row>
    <row r="243" spans="1:78" x14ac:dyDescent="0.25">
      <c r="A243">
        <v>23092621489</v>
      </c>
      <c r="B243">
        <v>0</v>
      </c>
      <c r="C243">
        <v>9814</v>
      </c>
      <c r="D243">
        <v>0</v>
      </c>
      <c r="E243" t="s">
        <v>53</v>
      </c>
      <c r="F243" t="s">
        <v>53</v>
      </c>
      <c r="G243">
        <v>4</v>
      </c>
      <c r="H243" t="s">
        <v>54</v>
      </c>
      <c r="I243">
        <v>323000</v>
      </c>
      <c r="J243">
        <v>39500</v>
      </c>
      <c r="K243">
        <v>0.23</v>
      </c>
      <c r="L243">
        <v>-1.4696759700590001</v>
      </c>
      <c r="M243">
        <v>0</v>
      </c>
      <c r="N243">
        <v>0</v>
      </c>
      <c r="O243">
        <v>0</v>
      </c>
      <c r="P243">
        <v>13398.7528</v>
      </c>
      <c r="Q243">
        <v>63902.980100000001</v>
      </c>
      <c r="R243">
        <v>44211.155081080004</v>
      </c>
      <c r="S243" t="s">
        <v>55</v>
      </c>
      <c r="T243">
        <v>1</v>
      </c>
      <c r="U243" t="s">
        <v>62</v>
      </c>
      <c r="V243" t="s">
        <v>57</v>
      </c>
      <c r="W243">
        <v>0</v>
      </c>
      <c r="X243">
        <v>0</v>
      </c>
      <c r="Y243">
        <v>1</v>
      </c>
      <c r="Z243">
        <v>1</v>
      </c>
      <c r="AA243">
        <v>0</v>
      </c>
      <c r="AB243">
        <v>2500</v>
      </c>
      <c r="AC243">
        <v>2487</v>
      </c>
      <c r="AD243">
        <v>1095</v>
      </c>
      <c r="AE243">
        <v>1392</v>
      </c>
      <c r="AF243">
        <v>0</v>
      </c>
      <c r="AG243">
        <v>0</v>
      </c>
      <c r="AH243">
        <v>704</v>
      </c>
      <c r="AI243">
        <v>0</v>
      </c>
      <c r="AJ243">
        <v>0</v>
      </c>
      <c r="AK243">
        <v>0</v>
      </c>
      <c r="AL243">
        <v>12</v>
      </c>
      <c r="AM243">
        <v>0</v>
      </c>
      <c r="AN243">
        <v>0</v>
      </c>
      <c r="AO243" t="s">
        <v>58</v>
      </c>
      <c r="AP243">
        <v>1</v>
      </c>
      <c r="AQ243" t="s">
        <v>63</v>
      </c>
      <c r="AR243" t="s">
        <v>64</v>
      </c>
      <c r="AS243">
        <v>1</v>
      </c>
      <c r="AT243">
        <v>3</v>
      </c>
      <c r="AU243">
        <v>0</v>
      </c>
      <c r="AV243">
        <v>0</v>
      </c>
      <c r="AW243">
        <v>100</v>
      </c>
      <c r="AX243" s="1">
        <v>44721</v>
      </c>
      <c r="AY243">
        <v>22600</v>
      </c>
      <c r="AZ243">
        <v>400939</v>
      </c>
      <c r="BA243">
        <v>423500</v>
      </c>
      <c r="BB243">
        <v>508182</v>
      </c>
      <c r="BC243">
        <v>206</v>
      </c>
      <c r="BD243">
        <f>Grandview_Sales[[#This Row],[land_extract]]*Lookups!$B$3</f>
        <v>51342.29502553949</v>
      </c>
      <c r="BE243">
        <f>Lookups!$B$2</f>
        <v>155833.95000000001</v>
      </c>
      <c r="BF243">
        <f>VLOOKUP(Grandview_Sales[[#This Row],[quality]],Lookups!$H$2:$J$13,3,FALSE)</f>
        <v>9808</v>
      </c>
      <c r="BG243">
        <f>VLOOKUP(Grandview_Sales[[#This Row],[condition]],Lookups!$H$17:$J$24,3,FALSE)</f>
        <v>25780</v>
      </c>
      <c r="BH243">
        <f>Grandview_Sales[[#This Row],[Eff_Age]]*Lookups!$B$14</f>
        <v>-239.16659999999999</v>
      </c>
      <c r="BI243">
        <f>Grandview_Sales[[#This Row],[living_area]]*Lookups!$B$15</f>
        <v>155141.181411</v>
      </c>
      <c r="BJ243">
        <f>Grandview_Sales[[#This Row],[Fin BSMT]]*Lookups!$B$16</f>
        <v>0</v>
      </c>
      <c r="BK243">
        <f>Grandview_Sales[[#This Row],[garage_sqft]]*Lookups!$B$17</f>
        <v>61614.387648000004</v>
      </c>
      <c r="BL243">
        <f>Grandview_Sales[[#This Row],[Plumbing Fixtures]]*Lookups!$B$18</f>
        <v>24125.301599999999</v>
      </c>
      <c r="BM243">
        <f>Grandview_Sales[[#This Row],[detatched_value]]*Lookups!$B$19</f>
        <v>0</v>
      </c>
      <c r="BN243">
        <f>Grandview_Sales[[#This Row],[days_prior]]*Lookups!$B$20</f>
        <v>-24709.411599999999</v>
      </c>
      <c r="BO243">
        <f>SUM(Grandview_Sales[[#This Row],[land_value]:[Days Prior To Assessment_value]])</f>
        <v>458696.53748453956</v>
      </c>
      <c r="BP243">
        <f>Grandview_Sales[[#This Row],[predicted_total]]/Grandview_Sales[[#This Row],[sale_price]]</f>
        <v>0.90262255940694391</v>
      </c>
      <c r="BQ243">
        <f>VLOOKUP(Grandview_Sales[[#This Row],[quality]],Lookups!$A$26:$C$33,3,FALSE)</f>
        <v>0.94295468617355149</v>
      </c>
      <c r="BR243">
        <f>VLOOKUP(Grandview_Sales[[#This Row],[condition]],Lookups!$A$37:$C$44,3,FALSE)</f>
        <v>0.94347925387812148</v>
      </c>
      <c r="BS243">
        <f>VLOOKUP(Grandview_Sales[[#This Row],[decade]],Lookups!$F$29:$H$43,3,FALSE)</f>
        <v>0.9413635517371044</v>
      </c>
      <c r="BT243">
        <f>VLOOKUP(Grandview_Sales[[#This Row],[living_area_range]],Lookups!$F$47:$H$56,3,FALSE)</f>
        <v>0.95799442568048754</v>
      </c>
      <c r="BU243">
        <f>Grandview_Sales[[#This Row],[predicted_total]]*AVERAGE(Grandview_Sales[[#This Row],[qual_adj]:[size_adj]])</f>
        <v>434132.41104502685</v>
      </c>
      <c r="BV243">
        <f>Grandview_Sales[[#This Row],[final_total]]/Grandview_Sales[[#This Row],[sale_price]]</f>
        <v>0.85428529748205728</v>
      </c>
      <c r="BW243" s="6">
        <f>(Grandview_Sales[[#This Row],[final_total]]-Grandview_Sales[[#This Row],[sale_price]])^2</f>
        <v>5483341624.4004812</v>
      </c>
      <c r="BX243" s="6">
        <f>(Grandview_Sales[[#This Row],[final_total]]-AVERAGE(Grandview_Sales[sale_price]))^2</f>
        <v>16173033202.570604</v>
      </c>
      <c r="BY243" s="6">
        <f>Grandview_Sales[[#This Row],[SSE]]+Grandview_Sales[[#This Row],[SSR]]</f>
        <v>21656374826.971085</v>
      </c>
      <c r="BZ243" s="4">
        <f>ABS(Grandview_Sales[[#This Row],[final_ratio]]-MEDIAN(Grandview_Sales[final_ratio]))</f>
        <v>0.14696342187375466</v>
      </c>
    </row>
    <row r="244" spans="1:78" x14ac:dyDescent="0.25">
      <c r="A244">
        <v>23092621492</v>
      </c>
      <c r="B244">
        <v>0</v>
      </c>
      <c r="C244">
        <v>8250</v>
      </c>
      <c r="D244">
        <v>0</v>
      </c>
      <c r="E244" t="s">
        <v>53</v>
      </c>
      <c r="F244" t="s">
        <v>53</v>
      </c>
      <c r="G244">
        <v>4</v>
      </c>
      <c r="H244" t="s">
        <v>54</v>
      </c>
      <c r="I244">
        <v>286800</v>
      </c>
      <c r="J244">
        <v>39100</v>
      </c>
      <c r="K244">
        <v>0.19</v>
      </c>
      <c r="L244">
        <v>-1.6607312068219999</v>
      </c>
      <c r="M244">
        <v>0</v>
      </c>
      <c r="N244">
        <v>0</v>
      </c>
      <c r="O244">
        <v>0</v>
      </c>
      <c r="P244">
        <v>13398.7528</v>
      </c>
      <c r="Q244">
        <v>63902.980100000001</v>
      </c>
      <c r="R244">
        <v>41651.253192550997</v>
      </c>
      <c r="S244" t="s">
        <v>61</v>
      </c>
      <c r="T244">
        <v>1</v>
      </c>
      <c r="U244" t="s">
        <v>62</v>
      </c>
      <c r="V244" t="s">
        <v>57</v>
      </c>
      <c r="W244">
        <v>0</v>
      </c>
      <c r="X244">
        <v>0</v>
      </c>
      <c r="Y244">
        <v>1</v>
      </c>
      <c r="Z244">
        <v>1</v>
      </c>
      <c r="AA244">
        <v>0</v>
      </c>
      <c r="AB244">
        <v>2000</v>
      </c>
      <c r="AC244">
        <v>1888</v>
      </c>
      <c r="AD244">
        <v>1888</v>
      </c>
      <c r="AE244">
        <v>0</v>
      </c>
      <c r="AF244">
        <v>0</v>
      </c>
      <c r="AG244">
        <v>0</v>
      </c>
      <c r="AH244">
        <v>638</v>
      </c>
      <c r="AI244">
        <v>0</v>
      </c>
      <c r="AJ244">
        <v>0</v>
      </c>
      <c r="AK244">
        <v>0</v>
      </c>
      <c r="AL244">
        <v>10</v>
      </c>
      <c r="AM244">
        <v>0</v>
      </c>
      <c r="AN244">
        <v>0</v>
      </c>
      <c r="AO244" t="s">
        <v>58</v>
      </c>
      <c r="AP244">
        <v>1</v>
      </c>
      <c r="AQ244" t="s">
        <v>63</v>
      </c>
      <c r="AR244" t="s">
        <v>64</v>
      </c>
      <c r="AS244">
        <v>1</v>
      </c>
      <c r="AT244">
        <v>3</v>
      </c>
      <c r="AU244">
        <v>0</v>
      </c>
      <c r="AV244">
        <v>0</v>
      </c>
      <c r="AW244">
        <v>100</v>
      </c>
      <c r="AX244" s="1">
        <v>44727</v>
      </c>
      <c r="AY244">
        <v>22400</v>
      </c>
      <c r="AZ244">
        <v>327296</v>
      </c>
      <c r="BA244">
        <v>349700</v>
      </c>
      <c r="BB244">
        <v>425101</v>
      </c>
      <c r="BC244">
        <v>200</v>
      </c>
      <c r="BD244">
        <f>Grandview_Sales[[#This Row],[land_extract]]*Lookups!$B$3</f>
        <v>48369.487874125851</v>
      </c>
      <c r="BE244">
        <f>Lookups!$B$2</f>
        <v>155833.95000000001</v>
      </c>
      <c r="BF244">
        <f>VLOOKUP(Grandview_Sales[[#This Row],[quality]],Lookups!$H$2:$J$13,3,FALSE)</f>
        <v>9808</v>
      </c>
      <c r="BG244">
        <f>VLOOKUP(Grandview_Sales[[#This Row],[condition]],Lookups!$H$17:$J$24,3,FALSE)</f>
        <v>25780</v>
      </c>
      <c r="BH244">
        <f>Grandview_Sales[[#This Row],[Eff_Age]]*Lookups!$B$14</f>
        <v>-239.16659999999999</v>
      </c>
      <c r="BI244">
        <f>Grandview_Sales[[#This Row],[living_area]]*Lookups!$B$15</f>
        <v>117775.050464</v>
      </c>
      <c r="BJ244">
        <f>Grandview_Sales[[#This Row],[Fin BSMT]]*Lookups!$B$16</f>
        <v>0</v>
      </c>
      <c r="BK244">
        <f>Grandview_Sales[[#This Row],[garage_sqft]]*Lookups!$B$17</f>
        <v>55838.038806000004</v>
      </c>
      <c r="BL244">
        <f>Grandview_Sales[[#This Row],[Plumbing Fixtures]]*Lookups!$B$18</f>
        <v>20104.418000000001</v>
      </c>
      <c r="BM244">
        <f>Grandview_Sales[[#This Row],[detatched_value]]*Lookups!$B$19</f>
        <v>0</v>
      </c>
      <c r="BN244">
        <f>Grandview_Sales[[#This Row],[days_prior]]*Lookups!$B$20</f>
        <v>-23989.72</v>
      </c>
      <c r="BO244">
        <f>SUM(Grandview_Sales[[#This Row],[land_value]:[Days Prior To Assessment_value]])</f>
        <v>409280.05854412587</v>
      </c>
      <c r="BP244">
        <f>Grandview_Sales[[#This Row],[predicted_total]]/Grandview_Sales[[#This Row],[sale_price]]</f>
        <v>0.96278309988479416</v>
      </c>
      <c r="BQ244">
        <f>VLOOKUP(Grandview_Sales[[#This Row],[quality]],Lookups!$A$26:$C$33,3,FALSE)</f>
        <v>0.94295468617355149</v>
      </c>
      <c r="BR244">
        <f>VLOOKUP(Grandview_Sales[[#This Row],[condition]],Lookups!$A$37:$C$44,3,FALSE)</f>
        <v>0.94347925387812148</v>
      </c>
      <c r="BS244">
        <f>VLOOKUP(Grandview_Sales[[#This Row],[decade]],Lookups!$F$29:$H$43,3,FALSE)</f>
        <v>0.9413635517371044</v>
      </c>
      <c r="BT244">
        <f>VLOOKUP(Grandview_Sales[[#This Row],[living_area_range]],Lookups!$F$47:$H$56,3,FALSE)</f>
        <v>0.96120133463014379</v>
      </c>
      <c r="BU244">
        <f>Grandview_Sales[[#This Row],[predicted_total]]*AVERAGE(Grandview_Sales[[#This Row],[qual_adj]:[size_adj]])</f>
        <v>387690.41537509009</v>
      </c>
      <c r="BV244">
        <f>Grandview_Sales[[#This Row],[final_total]]/Grandview_Sales[[#This Row],[sale_price]]</f>
        <v>0.91199600888986398</v>
      </c>
      <c r="BW244" s="6">
        <f>(Grandview_Sales[[#This Row],[final_total]]-Grandview_Sales[[#This Row],[sale_price]])^2</f>
        <v>1399551841.977546</v>
      </c>
      <c r="BX244" s="6">
        <f>(Grandview_Sales[[#This Row],[final_total]]-AVERAGE(Grandview_Sales[sale_price]))^2</f>
        <v>6517533957.387661</v>
      </c>
      <c r="BY244" s="6">
        <f>Grandview_Sales[[#This Row],[SSE]]+Grandview_Sales[[#This Row],[SSR]]</f>
        <v>7917085799.3652067</v>
      </c>
      <c r="BZ244" s="4">
        <f>ABS(Grandview_Sales[[#This Row],[final_ratio]]-MEDIAN(Grandview_Sales[final_ratio]))</f>
        <v>8.925271046594796E-2</v>
      </c>
    </row>
    <row r="245" spans="1:78" x14ac:dyDescent="0.25">
      <c r="A245">
        <v>23092621482</v>
      </c>
      <c r="B245">
        <v>0</v>
      </c>
      <c r="C245">
        <v>9900</v>
      </c>
      <c r="D245">
        <v>0</v>
      </c>
      <c r="E245" t="s">
        <v>53</v>
      </c>
      <c r="F245" t="s">
        <v>53</v>
      </c>
      <c r="G245">
        <v>4</v>
      </c>
      <c r="H245" t="s">
        <v>54</v>
      </c>
      <c r="I245">
        <v>290300</v>
      </c>
      <c r="J245">
        <v>39500</v>
      </c>
      <c r="K245">
        <v>0.23</v>
      </c>
      <c r="L245">
        <v>-1.4696759700590001</v>
      </c>
      <c r="M245">
        <v>0</v>
      </c>
      <c r="N245">
        <v>0</v>
      </c>
      <c r="O245">
        <v>0</v>
      </c>
      <c r="P245">
        <v>13398.7528</v>
      </c>
      <c r="Q245">
        <v>63902.980100000001</v>
      </c>
      <c r="R245">
        <v>44211.155081080004</v>
      </c>
      <c r="S245" t="s">
        <v>55</v>
      </c>
      <c r="T245">
        <v>1</v>
      </c>
      <c r="U245" t="s">
        <v>62</v>
      </c>
      <c r="V245" t="s">
        <v>57</v>
      </c>
      <c r="W245">
        <v>0</v>
      </c>
      <c r="X245">
        <v>0</v>
      </c>
      <c r="Y245">
        <v>1</v>
      </c>
      <c r="Z245">
        <v>1</v>
      </c>
      <c r="AA245">
        <v>0</v>
      </c>
      <c r="AB245">
        <v>2500</v>
      </c>
      <c r="AC245">
        <v>2168</v>
      </c>
      <c r="AD245">
        <v>896</v>
      </c>
      <c r="AE245">
        <v>1272</v>
      </c>
      <c r="AF245">
        <v>0</v>
      </c>
      <c r="AG245">
        <v>0</v>
      </c>
      <c r="AH245">
        <v>440</v>
      </c>
      <c r="AI245">
        <v>0</v>
      </c>
      <c r="AJ245">
        <v>0</v>
      </c>
      <c r="AK245">
        <v>144</v>
      </c>
      <c r="AL245">
        <v>12</v>
      </c>
      <c r="AM245">
        <v>0</v>
      </c>
      <c r="AN245">
        <v>0</v>
      </c>
      <c r="AO245" t="s">
        <v>58</v>
      </c>
      <c r="AP245">
        <v>1</v>
      </c>
      <c r="AQ245" t="s">
        <v>63</v>
      </c>
      <c r="AR245" t="s">
        <v>64</v>
      </c>
      <c r="AS245">
        <v>1</v>
      </c>
      <c r="AT245">
        <v>3</v>
      </c>
      <c r="AU245">
        <v>0</v>
      </c>
      <c r="AV245">
        <v>0</v>
      </c>
      <c r="AW245">
        <v>100</v>
      </c>
      <c r="AX245" s="1">
        <v>44728</v>
      </c>
      <c r="AY245">
        <v>22600</v>
      </c>
      <c r="AZ245">
        <v>351448</v>
      </c>
      <c r="BA245">
        <v>374000</v>
      </c>
      <c r="BB245">
        <v>441512</v>
      </c>
      <c r="BC245">
        <v>199</v>
      </c>
      <c r="BD245">
        <f>Grandview_Sales[[#This Row],[land_extract]]*Lookups!$B$3</f>
        <v>51342.29502553949</v>
      </c>
      <c r="BE245">
        <f>Lookups!$B$2</f>
        <v>155833.95000000001</v>
      </c>
      <c r="BF245">
        <f>VLOOKUP(Grandview_Sales[[#This Row],[quality]],Lookups!$H$2:$J$13,3,FALSE)</f>
        <v>9808</v>
      </c>
      <c r="BG245">
        <f>VLOOKUP(Grandview_Sales[[#This Row],[condition]],Lookups!$H$17:$J$24,3,FALSE)</f>
        <v>25780</v>
      </c>
      <c r="BH245">
        <f>Grandview_Sales[[#This Row],[Eff_Age]]*Lookups!$B$14</f>
        <v>-239.16659999999999</v>
      </c>
      <c r="BI245">
        <f>Grandview_Sales[[#This Row],[living_area]]*Lookups!$B$15</f>
        <v>135241.689304</v>
      </c>
      <c r="BJ245">
        <f>Grandview_Sales[[#This Row],[Fin BSMT]]*Lookups!$B$16</f>
        <v>0</v>
      </c>
      <c r="BK245">
        <f>Grandview_Sales[[#This Row],[garage_sqft]]*Lookups!$B$17</f>
        <v>38508.992279999999</v>
      </c>
      <c r="BL245">
        <f>Grandview_Sales[[#This Row],[Plumbing Fixtures]]*Lookups!$B$18</f>
        <v>24125.301599999999</v>
      </c>
      <c r="BM245">
        <f>Grandview_Sales[[#This Row],[detatched_value]]*Lookups!$B$19</f>
        <v>0</v>
      </c>
      <c r="BN245">
        <f>Grandview_Sales[[#This Row],[days_prior]]*Lookups!$B$20</f>
        <v>-23869.771400000001</v>
      </c>
      <c r="BO245">
        <f>SUM(Grandview_Sales[[#This Row],[land_value]:[Days Prior To Assessment_value]])</f>
        <v>416531.29020953953</v>
      </c>
      <c r="BP245">
        <f>Grandview_Sales[[#This Row],[predicted_total]]/Grandview_Sales[[#This Row],[sale_price]]</f>
        <v>0.94342008871681748</v>
      </c>
      <c r="BQ245">
        <f>VLOOKUP(Grandview_Sales[[#This Row],[quality]],Lookups!$A$26:$C$33,3,FALSE)</f>
        <v>0.94295468617355149</v>
      </c>
      <c r="BR245">
        <f>VLOOKUP(Grandview_Sales[[#This Row],[condition]],Lookups!$A$37:$C$44,3,FALSE)</f>
        <v>0.94347925387812148</v>
      </c>
      <c r="BS245">
        <f>VLOOKUP(Grandview_Sales[[#This Row],[decade]],Lookups!$F$29:$H$43,3,FALSE)</f>
        <v>0.9413635517371044</v>
      </c>
      <c r="BT245">
        <f>VLOOKUP(Grandview_Sales[[#This Row],[living_area_range]],Lookups!$F$47:$H$56,3,FALSE)</f>
        <v>0.95799442568048754</v>
      </c>
      <c r="BU245">
        <f>Grandview_Sales[[#This Row],[predicted_total]]*AVERAGE(Grandview_Sales[[#This Row],[qual_adj]:[size_adj]])</f>
        <v>394225.19796207984</v>
      </c>
      <c r="BV245">
        <f>Grandview_Sales[[#This Row],[final_total]]/Grandview_Sales[[#This Row],[sale_price]]</f>
        <v>0.892898036660566</v>
      </c>
      <c r="BW245" s="6">
        <f>(Grandview_Sales[[#This Row],[final_total]]-Grandview_Sales[[#This Row],[sale_price]])^2</f>
        <v>2236041646.9734507</v>
      </c>
      <c r="BX245" s="6">
        <f>(Grandview_Sales[[#This Row],[final_total]]-AVERAGE(Grandview_Sales[sale_price]))^2</f>
        <v>7615359612.0379391</v>
      </c>
      <c r="BY245" s="6">
        <f>Grandview_Sales[[#This Row],[SSE]]+Grandview_Sales[[#This Row],[SSR]]</f>
        <v>9851401259.0113907</v>
      </c>
      <c r="BZ245" s="4">
        <f>ABS(Grandview_Sales[[#This Row],[final_ratio]]-MEDIAN(Grandview_Sales[final_ratio]))</f>
        <v>0.10835068269524595</v>
      </c>
    </row>
    <row r="246" spans="1:78" x14ac:dyDescent="0.25">
      <c r="A246">
        <v>23092612407</v>
      </c>
      <c r="B246">
        <v>0.16</v>
      </c>
      <c r="C246">
        <v>7012</v>
      </c>
      <c r="D246">
        <v>0</v>
      </c>
      <c r="E246" t="s">
        <v>53</v>
      </c>
      <c r="F246" t="s">
        <v>53</v>
      </c>
      <c r="G246">
        <v>4</v>
      </c>
      <c r="H246" t="s">
        <v>54</v>
      </c>
      <c r="I246">
        <v>273000</v>
      </c>
      <c r="J246">
        <v>38600</v>
      </c>
      <c r="K246">
        <v>0.16</v>
      </c>
      <c r="L246">
        <v>-1.832581463748</v>
      </c>
      <c r="M246">
        <v>0</v>
      </c>
      <c r="N246">
        <v>0</v>
      </c>
      <c r="O246">
        <v>0</v>
      </c>
      <c r="P246">
        <v>13398.7528</v>
      </c>
      <c r="Q246">
        <v>63902.980100000001</v>
      </c>
      <c r="R246">
        <v>39348.674081374003</v>
      </c>
      <c r="S246" t="s">
        <v>55</v>
      </c>
      <c r="T246">
        <v>2</v>
      </c>
      <c r="U246" t="s">
        <v>62</v>
      </c>
      <c r="V246" t="s">
        <v>57</v>
      </c>
      <c r="W246">
        <v>0</v>
      </c>
      <c r="X246">
        <v>0</v>
      </c>
      <c r="Y246">
        <v>11</v>
      </c>
      <c r="Z246">
        <v>11</v>
      </c>
      <c r="AA246">
        <v>10</v>
      </c>
      <c r="AB246">
        <v>2000</v>
      </c>
      <c r="AC246">
        <v>1626</v>
      </c>
      <c r="AD246">
        <v>1083</v>
      </c>
      <c r="AE246">
        <v>543</v>
      </c>
      <c r="AF246">
        <v>0</v>
      </c>
      <c r="AG246">
        <v>0</v>
      </c>
      <c r="AH246">
        <v>462</v>
      </c>
      <c r="AI246">
        <v>0</v>
      </c>
      <c r="AJ246">
        <v>0</v>
      </c>
      <c r="AK246">
        <v>140</v>
      </c>
      <c r="AL246">
        <v>10</v>
      </c>
      <c r="AM246">
        <v>0</v>
      </c>
      <c r="AN246">
        <v>0</v>
      </c>
      <c r="AO246" t="s">
        <v>58</v>
      </c>
      <c r="AP246">
        <v>1</v>
      </c>
      <c r="AQ246" t="s">
        <v>63</v>
      </c>
      <c r="AR246" t="s">
        <v>60</v>
      </c>
      <c r="AS246">
        <v>1</v>
      </c>
      <c r="AT246">
        <v>3</v>
      </c>
      <c r="AU246">
        <v>0</v>
      </c>
      <c r="AV246">
        <v>0</v>
      </c>
      <c r="AW246">
        <v>100</v>
      </c>
      <c r="AX246" s="1">
        <v>44728</v>
      </c>
      <c r="AY246">
        <v>22100</v>
      </c>
      <c r="AZ246">
        <v>266010</v>
      </c>
      <c r="BA246">
        <v>288100</v>
      </c>
      <c r="BB246">
        <v>375000</v>
      </c>
      <c r="BC246">
        <v>199</v>
      </c>
      <c r="BD246">
        <f>Grandview_Sales[[#This Row],[land_extract]]*Lookups!$B$3</f>
        <v>45695.50896927961</v>
      </c>
      <c r="BE246">
        <f>Lookups!$B$2</f>
        <v>155833.95000000001</v>
      </c>
      <c r="BF246">
        <f>VLOOKUP(Grandview_Sales[[#This Row],[quality]],Lookups!$H$2:$J$13,3,FALSE)</f>
        <v>9808</v>
      </c>
      <c r="BG246">
        <f>VLOOKUP(Grandview_Sales[[#This Row],[condition]],Lookups!$H$17:$J$24,3,FALSE)</f>
        <v>25780</v>
      </c>
      <c r="BH246">
        <f>Grandview_Sales[[#This Row],[Eff_Age]]*Lookups!$B$14</f>
        <v>-2630.8325999999997</v>
      </c>
      <c r="BI246">
        <f>Grandview_Sales[[#This Row],[living_area]]*Lookups!$B$15</f>
        <v>101431.266978</v>
      </c>
      <c r="BJ246">
        <f>Grandview_Sales[[#This Row],[Fin BSMT]]*Lookups!$B$16</f>
        <v>0</v>
      </c>
      <c r="BK246">
        <f>Grandview_Sales[[#This Row],[garage_sqft]]*Lookups!$B$17</f>
        <v>40434.441894000003</v>
      </c>
      <c r="BL246">
        <f>Grandview_Sales[[#This Row],[Plumbing Fixtures]]*Lookups!$B$18</f>
        <v>20104.418000000001</v>
      </c>
      <c r="BM246">
        <f>Grandview_Sales[[#This Row],[detatched_value]]*Lookups!$B$19</f>
        <v>0</v>
      </c>
      <c r="BN246">
        <f>Grandview_Sales[[#This Row],[days_prior]]*Lookups!$B$20</f>
        <v>-23869.771400000001</v>
      </c>
      <c r="BO246">
        <f>SUM(Grandview_Sales[[#This Row],[land_value]:[Days Prior To Assessment_value]])</f>
        <v>372586.9818412796</v>
      </c>
      <c r="BP246">
        <f>Grandview_Sales[[#This Row],[predicted_total]]/Grandview_Sales[[#This Row],[sale_price]]</f>
        <v>0.99356528491007889</v>
      </c>
      <c r="BQ246">
        <f>VLOOKUP(Grandview_Sales[[#This Row],[quality]],Lookups!$A$26:$C$33,3,FALSE)</f>
        <v>0.94295468617355149</v>
      </c>
      <c r="BR246">
        <f>VLOOKUP(Grandview_Sales[[#This Row],[condition]],Lookups!$A$37:$C$44,3,FALSE)</f>
        <v>0.94347925387812148</v>
      </c>
      <c r="BS246">
        <f>VLOOKUP(Grandview_Sales[[#This Row],[decade]],Lookups!$F$29:$H$43,3,FALSE)</f>
        <v>0.94601966599150278</v>
      </c>
      <c r="BT246">
        <f>VLOOKUP(Grandview_Sales[[#This Row],[living_area_range]],Lookups!$F$47:$H$56,3,FALSE)</f>
        <v>0.96120133463014379</v>
      </c>
      <c r="BU246">
        <f>Grandview_Sales[[#This Row],[predicted_total]]*AVERAGE(Grandview_Sales[[#This Row],[qual_adj]:[size_adj]])</f>
        <v>353366.61112318269</v>
      </c>
      <c r="BV246">
        <f>Grandview_Sales[[#This Row],[final_total]]/Grandview_Sales[[#This Row],[sale_price]]</f>
        <v>0.94231096299515382</v>
      </c>
      <c r="BW246" s="6">
        <f>(Grandview_Sales[[#This Row],[final_total]]-Grandview_Sales[[#This Row],[sale_price]])^2</f>
        <v>468003514.29560274</v>
      </c>
      <c r="BX246" s="6">
        <f>(Grandview_Sales[[#This Row],[final_total]]-AVERAGE(Grandview_Sales[sale_price]))^2</f>
        <v>2153650578.7107134</v>
      </c>
      <c r="BY246" s="6">
        <f>Grandview_Sales[[#This Row],[SSE]]+Grandview_Sales[[#This Row],[SSR]]</f>
        <v>2621654093.0063162</v>
      </c>
      <c r="BZ246" s="4">
        <f>ABS(Grandview_Sales[[#This Row],[final_ratio]]-MEDIAN(Grandview_Sales[final_ratio]))</f>
        <v>5.8937756360658122E-2</v>
      </c>
    </row>
    <row r="247" spans="1:78" x14ac:dyDescent="0.25">
      <c r="A247">
        <v>23092621483</v>
      </c>
      <c r="B247">
        <v>0</v>
      </c>
      <c r="C247">
        <v>8250</v>
      </c>
      <c r="D247">
        <v>0</v>
      </c>
      <c r="E247" t="s">
        <v>53</v>
      </c>
      <c r="F247" t="s">
        <v>53</v>
      </c>
      <c r="G247">
        <v>4</v>
      </c>
      <c r="H247" t="s">
        <v>54</v>
      </c>
      <c r="I247">
        <v>268900</v>
      </c>
      <c r="J247">
        <v>39100</v>
      </c>
      <c r="K247">
        <v>0.19</v>
      </c>
      <c r="L247">
        <v>-1.6607312068219999</v>
      </c>
      <c r="M247">
        <v>0</v>
      </c>
      <c r="N247">
        <v>0</v>
      </c>
      <c r="O247">
        <v>0</v>
      </c>
      <c r="P247">
        <v>13398.7528</v>
      </c>
      <c r="Q247">
        <v>63902.980100000001</v>
      </c>
      <c r="R247">
        <v>41651.253192550997</v>
      </c>
      <c r="S247" t="s">
        <v>61</v>
      </c>
      <c r="T247">
        <v>1</v>
      </c>
      <c r="U247" t="s">
        <v>65</v>
      </c>
      <c r="V247" t="s">
        <v>57</v>
      </c>
      <c r="W247">
        <v>0</v>
      </c>
      <c r="X247">
        <v>0</v>
      </c>
      <c r="Y247">
        <v>1</v>
      </c>
      <c r="Z247">
        <v>1</v>
      </c>
      <c r="AA247">
        <v>0</v>
      </c>
      <c r="AB247">
        <v>2000</v>
      </c>
      <c r="AC247">
        <v>1560</v>
      </c>
      <c r="AD247">
        <v>1560</v>
      </c>
      <c r="AE247">
        <v>0</v>
      </c>
      <c r="AF247">
        <v>0</v>
      </c>
      <c r="AG247">
        <v>0</v>
      </c>
      <c r="AH247">
        <v>640</v>
      </c>
      <c r="AI247">
        <v>0</v>
      </c>
      <c r="AJ247">
        <v>0</v>
      </c>
      <c r="AK247">
        <v>0</v>
      </c>
      <c r="AL247">
        <v>9</v>
      </c>
      <c r="AM247">
        <v>0</v>
      </c>
      <c r="AN247">
        <v>0</v>
      </c>
      <c r="AO247" t="s">
        <v>58</v>
      </c>
      <c r="AP247">
        <v>1</v>
      </c>
      <c r="AQ247" t="s">
        <v>63</v>
      </c>
      <c r="AR247" t="s">
        <v>64</v>
      </c>
      <c r="AS247">
        <v>1</v>
      </c>
      <c r="AT247">
        <v>3</v>
      </c>
      <c r="AU247">
        <v>0</v>
      </c>
      <c r="AV247">
        <v>0</v>
      </c>
      <c r="AW247">
        <v>100</v>
      </c>
      <c r="AX247" s="1">
        <v>44739</v>
      </c>
      <c r="AY247">
        <v>22400</v>
      </c>
      <c r="AZ247">
        <v>245731</v>
      </c>
      <c r="BA247">
        <v>268100</v>
      </c>
      <c r="BB247">
        <v>367748</v>
      </c>
      <c r="BC247">
        <v>188</v>
      </c>
      <c r="BD247">
        <f>Grandview_Sales[[#This Row],[land_extract]]*Lookups!$B$3</f>
        <v>48369.487874125851</v>
      </c>
      <c r="BE247">
        <f>Lookups!$B$2</f>
        <v>155833.95000000001</v>
      </c>
      <c r="BF247">
        <f>VLOOKUP(Grandview_Sales[[#This Row],[quality]],Lookups!$H$2:$J$13,3,FALSE)</f>
        <v>2251</v>
      </c>
      <c r="BG247">
        <f>VLOOKUP(Grandview_Sales[[#This Row],[condition]],Lookups!$H$17:$J$24,3,FALSE)</f>
        <v>25780</v>
      </c>
      <c r="BH247">
        <f>Grandview_Sales[[#This Row],[Eff_Age]]*Lookups!$B$14</f>
        <v>-239.16659999999999</v>
      </c>
      <c r="BI247">
        <f>Grandview_Sales[[#This Row],[living_area]]*Lookups!$B$15</f>
        <v>97314.130680000002</v>
      </c>
      <c r="BJ247">
        <f>Grandview_Sales[[#This Row],[Fin BSMT]]*Lookups!$B$16</f>
        <v>0</v>
      </c>
      <c r="BK247">
        <f>Grandview_Sales[[#This Row],[garage_sqft]]*Lookups!$B$17</f>
        <v>56013.079680000003</v>
      </c>
      <c r="BL247">
        <f>Grandview_Sales[[#This Row],[Plumbing Fixtures]]*Lookups!$B$18</f>
        <v>18093.976200000001</v>
      </c>
      <c r="BM247">
        <f>Grandview_Sales[[#This Row],[detatched_value]]*Lookups!$B$19</f>
        <v>0</v>
      </c>
      <c r="BN247">
        <f>Grandview_Sales[[#This Row],[days_prior]]*Lookups!$B$20</f>
        <v>-22550.336800000001</v>
      </c>
      <c r="BO247">
        <f>SUM(Grandview_Sales[[#This Row],[land_value]:[Days Prior To Assessment_value]])</f>
        <v>380866.12103412586</v>
      </c>
      <c r="BP247">
        <f>Grandview_Sales[[#This Row],[predicted_total]]/Grandview_Sales[[#This Row],[sale_price]]</f>
        <v>1.0356714952470873</v>
      </c>
      <c r="BQ247">
        <f>VLOOKUP(Grandview_Sales[[#This Row],[quality]],Lookups!$A$26:$C$33,3,FALSE)</f>
        <v>0.98763855981004833</v>
      </c>
      <c r="BR247">
        <f>VLOOKUP(Grandview_Sales[[#This Row],[condition]],Lookups!$A$37:$C$44,3,FALSE)</f>
        <v>0.94347925387812148</v>
      </c>
      <c r="BS247">
        <f>VLOOKUP(Grandview_Sales[[#This Row],[decade]],Lookups!$F$29:$H$43,3,FALSE)</f>
        <v>0.9413635517371044</v>
      </c>
      <c r="BT247">
        <f>VLOOKUP(Grandview_Sales[[#This Row],[living_area_range]],Lookups!$F$47:$H$56,3,FALSE)</f>
        <v>0.96120133463014379</v>
      </c>
      <c r="BU247">
        <f>Grandview_Sales[[#This Row],[predicted_total]]*AVERAGE(Grandview_Sales[[#This Row],[qual_adj]:[size_adj]])</f>
        <v>365029.96481143526</v>
      </c>
      <c r="BV247">
        <f>Grandview_Sales[[#This Row],[final_total]]/Grandview_Sales[[#This Row],[sale_price]]</f>
        <v>0.99260897356732125</v>
      </c>
      <c r="BW247" s="6">
        <f>(Grandview_Sales[[#This Row],[final_total]]-Grandview_Sales[[#This Row],[sale_price]])^2</f>
        <v>7387715.2862761598</v>
      </c>
      <c r="BX247" s="6">
        <f>(Grandview_Sales[[#This Row],[final_total]]-AVERAGE(Grandview_Sales[sale_price]))^2</f>
        <v>3372217193.9010415</v>
      </c>
      <c r="BY247" s="6">
        <f>Grandview_Sales[[#This Row],[SSE]]+Grandview_Sales[[#This Row],[SSR]]</f>
        <v>3379604909.1873178</v>
      </c>
      <c r="BZ247" s="4">
        <f>ABS(Grandview_Sales[[#This Row],[final_ratio]]-MEDIAN(Grandview_Sales[final_ratio]))</f>
        <v>8.6397457884906936E-3</v>
      </c>
    </row>
    <row r="248" spans="1:78" x14ac:dyDescent="0.25">
      <c r="A248">
        <v>23092621477</v>
      </c>
      <c r="B248">
        <v>0</v>
      </c>
      <c r="C248">
        <v>8250</v>
      </c>
      <c r="D248">
        <v>0</v>
      </c>
      <c r="E248" t="s">
        <v>53</v>
      </c>
      <c r="F248" t="s">
        <v>53</v>
      </c>
      <c r="G248">
        <v>4</v>
      </c>
      <c r="H248" t="s">
        <v>54</v>
      </c>
      <c r="I248">
        <v>263600</v>
      </c>
      <c r="J248">
        <v>39100</v>
      </c>
      <c r="K248">
        <v>0.19</v>
      </c>
      <c r="L248">
        <v>-1.6607312068219999</v>
      </c>
      <c r="M248">
        <v>0</v>
      </c>
      <c r="N248">
        <v>0</v>
      </c>
      <c r="O248">
        <v>0</v>
      </c>
      <c r="P248">
        <v>13398.7528</v>
      </c>
      <c r="Q248">
        <v>63902.980100000001</v>
      </c>
      <c r="R248">
        <v>41651.253192550997</v>
      </c>
      <c r="S248" t="s">
        <v>61</v>
      </c>
      <c r="T248">
        <v>1</v>
      </c>
      <c r="U248" t="s">
        <v>62</v>
      </c>
      <c r="V248" t="s">
        <v>57</v>
      </c>
      <c r="W248">
        <v>0</v>
      </c>
      <c r="X248">
        <v>0</v>
      </c>
      <c r="Y248">
        <v>1</v>
      </c>
      <c r="Z248">
        <v>1</v>
      </c>
      <c r="AA248">
        <v>0</v>
      </c>
      <c r="AB248">
        <v>1500</v>
      </c>
      <c r="AC248">
        <v>1460</v>
      </c>
      <c r="AD248">
        <v>1460</v>
      </c>
      <c r="AE248">
        <v>0</v>
      </c>
      <c r="AF248">
        <v>0</v>
      </c>
      <c r="AG248">
        <v>0</v>
      </c>
      <c r="AH248">
        <v>660</v>
      </c>
      <c r="AI248">
        <v>0</v>
      </c>
      <c r="AJ248">
        <v>0</v>
      </c>
      <c r="AK248">
        <v>0</v>
      </c>
      <c r="AL248">
        <v>9</v>
      </c>
      <c r="AM248">
        <v>0</v>
      </c>
      <c r="AN248">
        <v>0</v>
      </c>
      <c r="AO248" t="s">
        <v>58</v>
      </c>
      <c r="AP248">
        <v>1</v>
      </c>
      <c r="AQ248" t="s">
        <v>63</v>
      </c>
      <c r="AR248" t="s">
        <v>64</v>
      </c>
      <c r="AS248">
        <v>1</v>
      </c>
      <c r="AT248">
        <v>3</v>
      </c>
      <c r="AU248">
        <v>0</v>
      </c>
      <c r="AV248">
        <v>0</v>
      </c>
      <c r="AW248">
        <v>100</v>
      </c>
      <c r="AX248" s="1">
        <v>44740</v>
      </c>
      <c r="AY248">
        <v>22400</v>
      </c>
      <c r="AZ248">
        <v>276956</v>
      </c>
      <c r="BA248">
        <v>299400</v>
      </c>
      <c r="BB248">
        <v>359075</v>
      </c>
      <c r="BC248">
        <v>187</v>
      </c>
      <c r="BD248">
        <f>Grandview_Sales[[#This Row],[land_extract]]*Lookups!$B$3</f>
        <v>48369.487874125851</v>
      </c>
      <c r="BE248">
        <f>Lookups!$B$2</f>
        <v>155833.95000000001</v>
      </c>
      <c r="BF248">
        <f>VLOOKUP(Grandview_Sales[[#This Row],[quality]],Lookups!$H$2:$J$13,3,FALSE)</f>
        <v>9808</v>
      </c>
      <c r="BG248">
        <f>VLOOKUP(Grandview_Sales[[#This Row],[condition]],Lookups!$H$17:$J$24,3,FALSE)</f>
        <v>25780</v>
      </c>
      <c r="BH248">
        <f>Grandview_Sales[[#This Row],[Eff_Age]]*Lookups!$B$14</f>
        <v>-239.16659999999999</v>
      </c>
      <c r="BI248">
        <f>Grandview_Sales[[#This Row],[living_area]]*Lookups!$B$15</f>
        <v>91076.045379999996</v>
      </c>
      <c r="BJ248">
        <f>Grandview_Sales[[#This Row],[Fin BSMT]]*Lookups!$B$16</f>
        <v>0</v>
      </c>
      <c r="BK248">
        <f>Grandview_Sales[[#This Row],[garage_sqft]]*Lookups!$B$17</f>
        <v>57763.488420000001</v>
      </c>
      <c r="BL248">
        <f>Grandview_Sales[[#This Row],[Plumbing Fixtures]]*Lookups!$B$18</f>
        <v>18093.976200000001</v>
      </c>
      <c r="BM248">
        <f>Grandview_Sales[[#This Row],[detatched_value]]*Lookups!$B$19</f>
        <v>0</v>
      </c>
      <c r="BN248">
        <f>Grandview_Sales[[#This Row],[days_prior]]*Lookups!$B$20</f>
        <v>-22430.388200000001</v>
      </c>
      <c r="BO248">
        <f>SUM(Grandview_Sales[[#This Row],[land_value]:[Days Prior To Assessment_value]])</f>
        <v>384055.39307412587</v>
      </c>
      <c r="BP248">
        <f>Grandview_Sales[[#This Row],[predicted_total]]/Grandview_Sales[[#This Row],[sale_price]]</f>
        <v>1.0695687337579221</v>
      </c>
      <c r="BQ248">
        <f>VLOOKUP(Grandview_Sales[[#This Row],[quality]],Lookups!$A$26:$C$33,3,FALSE)</f>
        <v>0.94295468617355149</v>
      </c>
      <c r="BR248">
        <f>VLOOKUP(Grandview_Sales[[#This Row],[condition]],Lookups!$A$37:$C$44,3,FALSE)</f>
        <v>0.94347925387812148</v>
      </c>
      <c r="BS248">
        <f>VLOOKUP(Grandview_Sales[[#This Row],[decade]],Lookups!$F$29:$H$43,3,FALSE)</f>
        <v>0.9413635517371044</v>
      </c>
      <c r="BT248">
        <f>VLOOKUP(Grandview_Sales[[#This Row],[living_area_range]],Lookups!$F$47:$H$56,3,FALSE)</f>
        <v>0.96135087979789358</v>
      </c>
      <c r="BU248">
        <f>Grandview_Sales[[#This Row],[predicted_total]]*AVERAGE(Grandview_Sales[[#This Row],[qual_adj]:[size_adj]])</f>
        <v>363810.71681647567</v>
      </c>
      <c r="BV248">
        <f>Grandview_Sales[[#This Row],[final_total]]/Grandview_Sales[[#This Row],[sale_price]]</f>
        <v>1.0131886564547119</v>
      </c>
      <c r="BW248" s="6">
        <f>(Grandview_Sales[[#This Row],[final_total]]-Grandview_Sales[[#This Row],[sale_price]])^2</f>
        <v>22427013.765850484</v>
      </c>
      <c r="BX248" s="6">
        <f>(Grandview_Sales[[#This Row],[final_total]]-AVERAGE(Grandview_Sales[sale_price]))^2</f>
        <v>3232098359.6338305</v>
      </c>
      <c r="BY248" s="6">
        <f>Grandview_Sales[[#This Row],[SSE]]+Grandview_Sales[[#This Row],[SSR]]</f>
        <v>3254525373.3996811</v>
      </c>
      <c r="BZ248" s="4">
        <f>ABS(Grandview_Sales[[#This Row],[final_ratio]]-MEDIAN(Grandview_Sales[final_ratio]))</f>
        <v>1.1939937098899955E-2</v>
      </c>
    </row>
    <row r="249" spans="1:78" x14ac:dyDescent="0.25">
      <c r="A249">
        <v>23092621455</v>
      </c>
      <c r="B249">
        <v>0</v>
      </c>
      <c r="C249">
        <v>8030</v>
      </c>
      <c r="D249">
        <v>0</v>
      </c>
      <c r="E249" t="s">
        <v>53</v>
      </c>
      <c r="F249" t="s">
        <v>53</v>
      </c>
      <c r="G249">
        <v>4</v>
      </c>
      <c r="H249" t="s">
        <v>54</v>
      </c>
      <c r="I249">
        <v>256900</v>
      </c>
      <c r="J249">
        <v>39000</v>
      </c>
      <c r="K249">
        <v>0.18</v>
      </c>
      <c r="L249">
        <v>-1.7147984280919999</v>
      </c>
      <c r="M249">
        <v>0</v>
      </c>
      <c r="N249">
        <v>0</v>
      </c>
      <c r="O249">
        <v>0</v>
      </c>
      <c r="P249">
        <v>13398.7528</v>
      </c>
      <c r="Q249">
        <v>63902.980100000001</v>
      </c>
      <c r="R249">
        <v>40926.819860167998</v>
      </c>
      <c r="S249" t="s">
        <v>61</v>
      </c>
      <c r="T249">
        <v>1</v>
      </c>
      <c r="U249" t="s">
        <v>62</v>
      </c>
      <c r="V249" t="s">
        <v>57</v>
      </c>
      <c r="W249">
        <v>0</v>
      </c>
      <c r="X249">
        <v>0</v>
      </c>
      <c r="Y249">
        <v>2</v>
      </c>
      <c r="Z249">
        <v>2</v>
      </c>
      <c r="AA249">
        <v>0</v>
      </c>
      <c r="AB249">
        <v>2000</v>
      </c>
      <c r="AC249">
        <v>1580</v>
      </c>
      <c r="AD249">
        <v>1580</v>
      </c>
      <c r="AE249">
        <v>0</v>
      </c>
      <c r="AF249">
        <v>0</v>
      </c>
      <c r="AG249">
        <v>0</v>
      </c>
      <c r="AH249">
        <v>440</v>
      </c>
      <c r="AI249">
        <v>0</v>
      </c>
      <c r="AJ249">
        <v>0</v>
      </c>
      <c r="AK249">
        <v>0</v>
      </c>
      <c r="AL249">
        <v>10</v>
      </c>
      <c r="AM249">
        <v>0</v>
      </c>
      <c r="AN249">
        <v>0</v>
      </c>
      <c r="AO249" t="s">
        <v>58</v>
      </c>
      <c r="AP249">
        <v>1</v>
      </c>
      <c r="AQ249" t="s">
        <v>63</v>
      </c>
      <c r="AR249" t="s">
        <v>64</v>
      </c>
      <c r="AS249">
        <v>1</v>
      </c>
      <c r="AT249">
        <v>3</v>
      </c>
      <c r="AU249">
        <v>0</v>
      </c>
      <c r="AV249">
        <v>0</v>
      </c>
      <c r="AW249">
        <v>100</v>
      </c>
      <c r="AX249" s="1">
        <v>44747</v>
      </c>
      <c r="AY249">
        <v>22300</v>
      </c>
      <c r="AZ249">
        <v>286940</v>
      </c>
      <c r="BA249">
        <v>309200</v>
      </c>
      <c r="BB249">
        <v>359400</v>
      </c>
      <c r="BC249">
        <v>180</v>
      </c>
      <c r="BD249">
        <f>Grandview_Sales[[#This Row],[land_extract]]*Lookups!$B$3</f>
        <v>47528.20540119947</v>
      </c>
      <c r="BE249">
        <f>Lookups!$B$2</f>
        <v>155833.95000000001</v>
      </c>
      <c r="BF249">
        <f>VLOOKUP(Grandview_Sales[[#This Row],[quality]],Lookups!$H$2:$J$13,3,FALSE)</f>
        <v>9808</v>
      </c>
      <c r="BG249">
        <f>VLOOKUP(Grandview_Sales[[#This Row],[condition]],Lookups!$H$17:$J$24,3,FALSE)</f>
        <v>25780</v>
      </c>
      <c r="BH249">
        <f>Grandview_Sales[[#This Row],[Eff_Age]]*Lookups!$B$14</f>
        <v>-478.33319999999998</v>
      </c>
      <c r="BI249">
        <f>Grandview_Sales[[#This Row],[living_area]]*Lookups!$B$15</f>
        <v>98561.747740000006</v>
      </c>
      <c r="BJ249">
        <f>Grandview_Sales[[#This Row],[Fin BSMT]]*Lookups!$B$16</f>
        <v>0</v>
      </c>
      <c r="BK249">
        <f>Grandview_Sales[[#This Row],[garage_sqft]]*Lookups!$B$17</f>
        <v>38508.992279999999</v>
      </c>
      <c r="BL249">
        <f>Grandview_Sales[[#This Row],[Plumbing Fixtures]]*Lookups!$B$18</f>
        <v>20104.418000000001</v>
      </c>
      <c r="BM249">
        <f>Grandview_Sales[[#This Row],[detatched_value]]*Lookups!$B$19</f>
        <v>0</v>
      </c>
      <c r="BN249">
        <f>Grandview_Sales[[#This Row],[days_prior]]*Lookups!$B$20</f>
        <v>-21590.748</v>
      </c>
      <c r="BO249">
        <f>SUM(Grandview_Sales[[#This Row],[land_value]:[Days Prior To Assessment_value]])</f>
        <v>374056.23222119949</v>
      </c>
      <c r="BP249">
        <f>Grandview_Sales[[#This Row],[predicted_total]]/Grandview_Sales[[#This Row],[sale_price]]</f>
        <v>1.0407797223739552</v>
      </c>
      <c r="BQ249">
        <f>VLOOKUP(Grandview_Sales[[#This Row],[quality]],Lookups!$A$26:$C$33,3,FALSE)</f>
        <v>0.94295468617355149</v>
      </c>
      <c r="BR249">
        <f>VLOOKUP(Grandview_Sales[[#This Row],[condition]],Lookups!$A$37:$C$44,3,FALSE)</f>
        <v>0.94347925387812148</v>
      </c>
      <c r="BS249">
        <f>VLOOKUP(Grandview_Sales[[#This Row],[decade]],Lookups!$F$29:$H$43,3,FALSE)</f>
        <v>0.9413635517371044</v>
      </c>
      <c r="BT249">
        <f>VLOOKUP(Grandview_Sales[[#This Row],[living_area_range]],Lookups!$F$47:$H$56,3,FALSE)</f>
        <v>0.96120133463014379</v>
      </c>
      <c r="BU249">
        <f>Grandview_Sales[[#This Row],[predicted_total]]*AVERAGE(Grandview_Sales[[#This Row],[qual_adj]:[size_adj]])</f>
        <v>354324.65622520208</v>
      </c>
      <c r="BV249">
        <f>Grandview_Sales[[#This Row],[final_total]]/Grandview_Sales[[#This Row],[sale_price]]</f>
        <v>0.98587828665888166</v>
      </c>
      <c r="BW249" s="6">
        <f>(Grandview_Sales[[#This Row],[final_total]]-Grandview_Sales[[#This Row],[sale_price]])^2</f>
        <v>25759114.432379987</v>
      </c>
      <c r="BX249" s="6">
        <f>(Grandview_Sales[[#This Row],[final_total]]-AVERAGE(Grandview_Sales[sale_price]))^2</f>
        <v>2243489272.1927299</v>
      </c>
      <c r="BY249" s="6">
        <f>Grandview_Sales[[#This Row],[SSE]]+Grandview_Sales[[#This Row],[SSR]]</f>
        <v>2269248386.6251101</v>
      </c>
      <c r="BZ249" s="4">
        <f>ABS(Grandview_Sales[[#This Row],[final_ratio]]-MEDIAN(Grandview_Sales[final_ratio]))</f>
        <v>1.5370432696930281E-2</v>
      </c>
    </row>
    <row r="250" spans="1:78" x14ac:dyDescent="0.25">
      <c r="A250">
        <v>23092621436</v>
      </c>
      <c r="B250">
        <v>0</v>
      </c>
      <c r="C250">
        <v>9900</v>
      </c>
      <c r="D250">
        <v>0</v>
      </c>
      <c r="E250" t="s">
        <v>53</v>
      </c>
      <c r="F250" t="s">
        <v>53</v>
      </c>
      <c r="G250">
        <v>4</v>
      </c>
      <c r="H250" t="s">
        <v>54</v>
      </c>
      <c r="I250">
        <v>306100</v>
      </c>
      <c r="J250">
        <v>39500</v>
      </c>
      <c r="K250">
        <v>0.23</v>
      </c>
      <c r="L250">
        <v>-1.4696759700590001</v>
      </c>
      <c r="M250">
        <v>0</v>
      </c>
      <c r="N250">
        <v>0</v>
      </c>
      <c r="O250">
        <v>0</v>
      </c>
      <c r="P250">
        <v>13398.7528</v>
      </c>
      <c r="Q250">
        <v>63902.980100000001</v>
      </c>
      <c r="R250">
        <v>44211.155081080004</v>
      </c>
      <c r="S250" t="s">
        <v>58</v>
      </c>
      <c r="T250">
        <v>1</v>
      </c>
      <c r="U250" t="s">
        <v>62</v>
      </c>
      <c r="V250" t="s">
        <v>57</v>
      </c>
      <c r="W250">
        <v>0</v>
      </c>
      <c r="X250">
        <v>0</v>
      </c>
      <c r="Y250">
        <v>1</v>
      </c>
      <c r="Z250">
        <v>1</v>
      </c>
      <c r="AA250">
        <v>0</v>
      </c>
      <c r="AB250">
        <v>2500</v>
      </c>
      <c r="AC250">
        <v>2024</v>
      </c>
      <c r="AD250">
        <v>2024</v>
      </c>
      <c r="AE250">
        <v>0</v>
      </c>
      <c r="AF250">
        <v>0</v>
      </c>
      <c r="AG250">
        <v>0</v>
      </c>
      <c r="AH250">
        <v>686</v>
      </c>
      <c r="AI250">
        <v>0</v>
      </c>
      <c r="AJ250">
        <v>0</v>
      </c>
      <c r="AK250">
        <v>0</v>
      </c>
      <c r="AL250">
        <v>9</v>
      </c>
      <c r="AM250">
        <v>0</v>
      </c>
      <c r="AN250">
        <v>0</v>
      </c>
      <c r="AO250" t="s">
        <v>58</v>
      </c>
      <c r="AP250">
        <v>1</v>
      </c>
      <c r="AQ250" t="s">
        <v>63</v>
      </c>
      <c r="AR250" t="s">
        <v>64</v>
      </c>
      <c r="AS250">
        <v>1</v>
      </c>
      <c r="AT250">
        <v>3</v>
      </c>
      <c r="AU250">
        <v>0</v>
      </c>
      <c r="AV250">
        <v>0</v>
      </c>
      <c r="AW250">
        <v>100</v>
      </c>
      <c r="AX250" s="1">
        <v>44748</v>
      </c>
      <c r="AY250">
        <v>22600</v>
      </c>
      <c r="AZ250">
        <v>348678</v>
      </c>
      <c r="BA250">
        <v>371300</v>
      </c>
      <c r="BB250">
        <v>420000</v>
      </c>
      <c r="BC250">
        <v>179</v>
      </c>
      <c r="BD250">
        <f>Grandview_Sales[[#This Row],[land_extract]]*Lookups!$B$3</f>
        <v>51342.29502553949</v>
      </c>
      <c r="BE250">
        <f>Lookups!$B$2</f>
        <v>155833.95000000001</v>
      </c>
      <c r="BF250">
        <f>VLOOKUP(Grandview_Sales[[#This Row],[quality]],Lookups!$H$2:$J$13,3,FALSE)</f>
        <v>9808</v>
      </c>
      <c r="BG250">
        <f>VLOOKUP(Grandview_Sales[[#This Row],[condition]],Lookups!$H$17:$J$24,3,FALSE)</f>
        <v>25780</v>
      </c>
      <c r="BH250">
        <f>Grandview_Sales[[#This Row],[Eff_Age]]*Lookups!$B$14</f>
        <v>-239.16659999999999</v>
      </c>
      <c r="BI250">
        <f>Grandview_Sales[[#This Row],[living_area]]*Lookups!$B$15</f>
        <v>126258.846472</v>
      </c>
      <c r="BJ250">
        <f>Grandview_Sales[[#This Row],[Fin BSMT]]*Lookups!$B$16</f>
        <v>0</v>
      </c>
      <c r="BK250">
        <f>Grandview_Sales[[#This Row],[garage_sqft]]*Lookups!$B$17</f>
        <v>60039.019782000003</v>
      </c>
      <c r="BL250">
        <f>Grandview_Sales[[#This Row],[Plumbing Fixtures]]*Lookups!$B$18</f>
        <v>18093.976200000001</v>
      </c>
      <c r="BM250">
        <f>Grandview_Sales[[#This Row],[detatched_value]]*Lookups!$B$19</f>
        <v>0</v>
      </c>
      <c r="BN250">
        <f>Grandview_Sales[[#This Row],[days_prior]]*Lookups!$B$20</f>
        <v>-21470.7994</v>
      </c>
      <c r="BO250">
        <f>SUM(Grandview_Sales[[#This Row],[land_value]:[Days Prior To Assessment_value]])</f>
        <v>425446.12147953949</v>
      </c>
      <c r="BP250">
        <f>Grandview_Sales[[#This Row],[predicted_total]]/Grandview_Sales[[#This Row],[sale_price]]</f>
        <v>1.0129669559036654</v>
      </c>
      <c r="BQ250">
        <f>VLOOKUP(Grandview_Sales[[#This Row],[quality]],Lookups!$A$26:$C$33,3,FALSE)</f>
        <v>0.94295468617355149</v>
      </c>
      <c r="BR250">
        <f>VLOOKUP(Grandview_Sales[[#This Row],[condition]],Lookups!$A$37:$C$44,3,FALSE)</f>
        <v>0.94347925387812148</v>
      </c>
      <c r="BS250">
        <f>VLOOKUP(Grandview_Sales[[#This Row],[decade]],Lookups!$F$29:$H$43,3,FALSE)</f>
        <v>0.9413635517371044</v>
      </c>
      <c r="BT250">
        <f>VLOOKUP(Grandview_Sales[[#This Row],[living_area_range]],Lookups!$F$47:$H$56,3,FALSE)</f>
        <v>0.95799442568048754</v>
      </c>
      <c r="BU250">
        <f>Grandview_Sales[[#This Row],[predicted_total]]*AVERAGE(Grandview_Sales[[#This Row],[qual_adj]:[size_adj]])</f>
        <v>402662.62200397189</v>
      </c>
      <c r="BV250">
        <f>Grandview_Sales[[#This Row],[final_total]]/Grandview_Sales[[#This Row],[sale_price]]</f>
        <v>0.95872052858088541</v>
      </c>
      <c r="BW250" s="6">
        <f>(Grandview_Sales[[#This Row],[final_total]]-Grandview_Sales[[#This Row],[sale_price]])^2</f>
        <v>300584675.77715969</v>
      </c>
      <c r="BX250" s="6">
        <f>(Grandview_Sales[[#This Row],[final_total]]-AVERAGE(Grandview_Sales[sale_price]))^2</f>
        <v>9159150698.8922615</v>
      </c>
      <c r="BY250" s="6">
        <f>Grandview_Sales[[#This Row],[SSE]]+Grandview_Sales[[#This Row],[SSR]]</f>
        <v>9459735374.6694221</v>
      </c>
      <c r="BZ250" s="4">
        <f>ABS(Grandview_Sales[[#This Row],[final_ratio]]-MEDIAN(Grandview_Sales[final_ratio]))</f>
        <v>4.2528190774926533E-2</v>
      </c>
    </row>
    <row r="251" spans="1:78" x14ac:dyDescent="0.25">
      <c r="A251">
        <v>23092621476</v>
      </c>
      <c r="B251">
        <v>0</v>
      </c>
      <c r="C251">
        <v>8250</v>
      </c>
      <c r="D251">
        <v>0</v>
      </c>
      <c r="E251" t="s">
        <v>53</v>
      </c>
      <c r="F251" t="s">
        <v>53</v>
      </c>
      <c r="G251">
        <v>4</v>
      </c>
      <c r="H251" t="s">
        <v>54</v>
      </c>
      <c r="I251">
        <v>251700</v>
      </c>
      <c r="J251">
        <v>39100</v>
      </c>
      <c r="K251">
        <v>0.19</v>
      </c>
      <c r="L251">
        <v>-1.6607312068219999</v>
      </c>
      <c r="M251">
        <v>0</v>
      </c>
      <c r="N251">
        <v>0</v>
      </c>
      <c r="O251">
        <v>0</v>
      </c>
      <c r="P251">
        <v>13398.7528</v>
      </c>
      <c r="Q251">
        <v>63902.980100000001</v>
      </c>
      <c r="R251">
        <v>41651.253192550997</v>
      </c>
      <c r="S251" t="s">
        <v>61</v>
      </c>
      <c r="T251">
        <v>1</v>
      </c>
      <c r="U251" t="s">
        <v>62</v>
      </c>
      <c r="V251" t="s">
        <v>57</v>
      </c>
      <c r="W251">
        <v>0</v>
      </c>
      <c r="X251">
        <v>0</v>
      </c>
      <c r="Y251">
        <v>1</v>
      </c>
      <c r="Z251">
        <v>1</v>
      </c>
      <c r="AA251">
        <v>0</v>
      </c>
      <c r="AB251">
        <v>2000</v>
      </c>
      <c r="AC251">
        <v>1560</v>
      </c>
      <c r="AD251">
        <v>1560</v>
      </c>
      <c r="AE251">
        <v>0</v>
      </c>
      <c r="AF251">
        <v>0</v>
      </c>
      <c r="AG251">
        <v>0</v>
      </c>
      <c r="AH251">
        <v>400</v>
      </c>
      <c r="AI251">
        <v>0</v>
      </c>
      <c r="AJ251">
        <v>0</v>
      </c>
      <c r="AK251">
        <v>0</v>
      </c>
      <c r="AL251">
        <v>9</v>
      </c>
      <c r="AM251">
        <v>0</v>
      </c>
      <c r="AN251">
        <v>0</v>
      </c>
      <c r="AO251" t="s">
        <v>58</v>
      </c>
      <c r="AP251">
        <v>1</v>
      </c>
      <c r="AQ251" t="s">
        <v>63</v>
      </c>
      <c r="AR251" t="s">
        <v>64</v>
      </c>
      <c r="AS251">
        <v>1</v>
      </c>
      <c r="AT251">
        <v>3</v>
      </c>
      <c r="AU251">
        <v>0</v>
      </c>
      <c r="AV251">
        <v>0</v>
      </c>
      <c r="AW251">
        <v>100</v>
      </c>
      <c r="AX251" s="1">
        <v>44749</v>
      </c>
      <c r="AY251">
        <v>22400</v>
      </c>
      <c r="AZ251">
        <v>273869</v>
      </c>
      <c r="BA251">
        <v>296300</v>
      </c>
      <c r="BB251">
        <v>345737</v>
      </c>
      <c r="BC251">
        <v>178</v>
      </c>
      <c r="BD251">
        <f>Grandview_Sales[[#This Row],[land_extract]]*Lookups!$B$3</f>
        <v>48369.487874125851</v>
      </c>
      <c r="BE251">
        <f>Lookups!$B$2</f>
        <v>155833.95000000001</v>
      </c>
      <c r="BF251">
        <f>VLOOKUP(Grandview_Sales[[#This Row],[quality]],Lookups!$H$2:$J$13,3,FALSE)</f>
        <v>9808</v>
      </c>
      <c r="BG251">
        <f>VLOOKUP(Grandview_Sales[[#This Row],[condition]],Lookups!$H$17:$J$24,3,FALSE)</f>
        <v>25780</v>
      </c>
      <c r="BH251">
        <f>Grandview_Sales[[#This Row],[Eff_Age]]*Lookups!$B$14</f>
        <v>-239.16659999999999</v>
      </c>
      <c r="BI251">
        <f>Grandview_Sales[[#This Row],[living_area]]*Lookups!$B$15</f>
        <v>97314.130680000002</v>
      </c>
      <c r="BJ251">
        <f>Grandview_Sales[[#This Row],[Fin BSMT]]*Lookups!$B$16</f>
        <v>0</v>
      </c>
      <c r="BK251">
        <f>Grandview_Sales[[#This Row],[garage_sqft]]*Lookups!$B$17</f>
        <v>35008.174800000001</v>
      </c>
      <c r="BL251">
        <f>Grandview_Sales[[#This Row],[Plumbing Fixtures]]*Lookups!$B$18</f>
        <v>18093.976200000001</v>
      </c>
      <c r="BM251">
        <f>Grandview_Sales[[#This Row],[detatched_value]]*Lookups!$B$19</f>
        <v>0</v>
      </c>
      <c r="BN251">
        <f>Grandview_Sales[[#This Row],[days_prior]]*Lookups!$B$20</f>
        <v>-21350.8508</v>
      </c>
      <c r="BO251">
        <f>SUM(Grandview_Sales[[#This Row],[land_value]:[Days Prior To Assessment_value]])</f>
        <v>368617.70215412579</v>
      </c>
      <c r="BP251">
        <f>Grandview_Sales[[#This Row],[predicted_total]]/Grandview_Sales[[#This Row],[sale_price]]</f>
        <v>1.0661795010488486</v>
      </c>
      <c r="BQ251">
        <f>VLOOKUP(Grandview_Sales[[#This Row],[quality]],Lookups!$A$26:$C$33,3,FALSE)</f>
        <v>0.94295468617355149</v>
      </c>
      <c r="BR251">
        <f>VLOOKUP(Grandview_Sales[[#This Row],[condition]],Lookups!$A$37:$C$44,3,FALSE)</f>
        <v>0.94347925387812148</v>
      </c>
      <c r="BS251">
        <f>VLOOKUP(Grandview_Sales[[#This Row],[decade]],Lookups!$F$29:$H$43,3,FALSE)</f>
        <v>0.9413635517371044</v>
      </c>
      <c r="BT251">
        <f>VLOOKUP(Grandview_Sales[[#This Row],[living_area_range]],Lookups!$F$47:$H$56,3,FALSE)</f>
        <v>0.96120133463014379</v>
      </c>
      <c r="BU251">
        <f>Grandview_Sales[[#This Row],[predicted_total]]*AVERAGE(Grandview_Sales[[#This Row],[qual_adj]:[size_adj]])</f>
        <v>349173.01021480549</v>
      </c>
      <c r="BV251">
        <f>Grandview_Sales[[#This Row],[final_total]]/Grandview_Sales[[#This Row],[sale_price]]</f>
        <v>1.0099382195564997</v>
      </c>
      <c r="BW251" s="6">
        <f>(Grandview_Sales[[#This Row],[final_total]]-Grandview_Sales[[#This Row],[sale_price]])^2</f>
        <v>11806166.196247647</v>
      </c>
      <c r="BX251" s="6">
        <f>(Grandview_Sales[[#This Row],[final_total]]-AVERAGE(Grandview_Sales[sale_price]))^2</f>
        <v>1782008293.9550633</v>
      </c>
      <c r="BY251" s="6">
        <f>Grandview_Sales[[#This Row],[SSE]]+Grandview_Sales[[#This Row],[SSR]]</f>
        <v>1793814460.1513109</v>
      </c>
      <c r="BZ251" s="4">
        <f>ABS(Grandview_Sales[[#This Row],[final_ratio]]-MEDIAN(Grandview_Sales[final_ratio]))</f>
        <v>8.6895002006877053E-3</v>
      </c>
    </row>
    <row r="252" spans="1:78" x14ac:dyDescent="0.25">
      <c r="A252">
        <v>23092621494</v>
      </c>
      <c r="B252">
        <v>0</v>
      </c>
      <c r="C252">
        <v>8250</v>
      </c>
      <c r="D252">
        <v>0</v>
      </c>
      <c r="E252" t="s">
        <v>53</v>
      </c>
      <c r="F252" t="s">
        <v>53</v>
      </c>
      <c r="G252">
        <v>4</v>
      </c>
      <c r="H252" t="s">
        <v>54</v>
      </c>
      <c r="I252">
        <v>251700</v>
      </c>
      <c r="J252">
        <v>39100</v>
      </c>
      <c r="K252">
        <v>0.19</v>
      </c>
      <c r="L252">
        <v>-1.6607312068219999</v>
      </c>
      <c r="M252">
        <v>0</v>
      </c>
      <c r="N252">
        <v>0</v>
      </c>
      <c r="O252">
        <v>0</v>
      </c>
      <c r="P252">
        <v>13398.7528</v>
      </c>
      <c r="Q252">
        <v>63902.980100000001</v>
      </c>
      <c r="R252">
        <v>41651.253192550997</v>
      </c>
      <c r="S252" t="s">
        <v>61</v>
      </c>
      <c r="T252">
        <v>1</v>
      </c>
      <c r="U252" t="s">
        <v>62</v>
      </c>
      <c r="V252" t="s">
        <v>57</v>
      </c>
      <c r="W252">
        <v>0</v>
      </c>
      <c r="X252">
        <v>0</v>
      </c>
      <c r="Y252">
        <v>1</v>
      </c>
      <c r="Z252">
        <v>1</v>
      </c>
      <c r="AA252">
        <v>0</v>
      </c>
      <c r="AB252">
        <v>2000</v>
      </c>
      <c r="AC252">
        <v>1560</v>
      </c>
      <c r="AD252">
        <v>1560</v>
      </c>
      <c r="AE252">
        <v>0</v>
      </c>
      <c r="AF252">
        <v>0</v>
      </c>
      <c r="AG252">
        <v>0</v>
      </c>
      <c r="AH252">
        <v>400</v>
      </c>
      <c r="AI252">
        <v>0</v>
      </c>
      <c r="AJ252">
        <v>0</v>
      </c>
      <c r="AK252">
        <v>0</v>
      </c>
      <c r="AL252">
        <v>9</v>
      </c>
      <c r="AM252">
        <v>0</v>
      </c>
      <c r="AN252">
        <v>0</v>
      </c>
      <c r="AO252" t="s">
        <v>58</v>
      </c>
      <c r="AP252">
        <v>1</v>
      </c>
      <c r="AQ252" t="s">
        <v>63</v>
      </c>
      <c r="AR252" t="s">
        <v>64</v>
      </c>
      <c r="AS252">
        <v>1</v>
      </c>
      <c r="AT252">
        <v>3</v>
      </c>
      <c r="AU252">
        <v>0</v>
      </c>
      <c r="AV252">
        <v>0</v>
      </c>
      <c r="AW252">
        <v>100</v>
      </c>
      <c r="AX252" s="1">
        <v>44754</v>
      </c>
      <c r="AY252">
        <v>22400</v>
      </c>
      <c r="AZ252">
        <v>279405</v>
      </c>
      <c r="BA252">
        <v>301800</v>
      </c>
      <c r="BB252">
        <v>365016</v>
      </c>
      <c r="BC252">
        <v>173</v>
      </c>
      <c r="BD252">
        <f>Grandview_Sales[[#This Row],[land_extract]]*Lookups!$B$3</f>
        <v>48369.487874125851</v>
      </c>
      <c r="BE252">
        <f>Lookups!$B$2</f>
        <v>155833.95000000001</v>
      </c>
      <c r="BF252">
        <f>VLOOKUP(Grandview_Sales[[#This Row],[quality]],Lookups!$H$2:$J$13,3,FALSE)</f>
        <v>9808</v>
      </c>
      <c r="BG252">
        <f>VLOOKUP(Grandview_Sales[[#This Row],[condition]],Lookups!$H$17:$J$24,3,FALSE)</f>
        <v>25780</v>
      </c>
      <c r="BH252">
        <f>Grandview_Sales[[#This Row],[Eff_Age]]*Lookups!$B$14</f>
        <v>-239.16659999999999</v>
      </c>
      <c r="BI252">
        <f>Grandview_Sales[[#This Row],[living_area]]*Lookups!$B$15</f>
        <v>97314.130680000002</v>
      </c>
      <c r="BJ252">
        <f>Grandview_Sales[[#This Row],[Fin BSMT]]*Lookups!$B$16</f>
        <v>0</v>
      </c>
      <c r="BK252">
        <f>Grandview_Sales[[#This Row],[garage_sqft]]*Lookups!$B$17</f>
        <v>35008.174800000001</v>
      </c>
      <c r="BL252">
        <f>Grandview_Sales[[#This Row],[Plumbing Fixtures]]*Lookups!$B$18</f>
        <v>18093.976200000001</v>
      </c>
      <c r="BM252">
        <f>Grandview_Sales[[#This Row],[detatched_value]]*Lookups!$B$19</f>
        <v>0</v>
      </c>
      <c r="BN252">
        <f>Grandview_Sales[[#This Row],[days_prior]]*Lookups!$B$20</f>
        <v>-20751.107800000002</v>
      </c>
      <c r="BO252">
        <f>SUM(Grandview_Sales[[#This Row],[land_value]:[Days Prior To Assessment_value]])</f>
        <v>369217.4451541258</v>
      </c>
      <c r="BP252">
        <f>Grandview_Sales[[#This Row],[predicted_total]]/Grandview_Sales[[#This Row],[sale_price]]</f>
        <v>1.0115103040801658</v>
      </c>
      <c r="BQ252">
        <f>VLOOKUP(Grandview_Sales[[#This Row],[quality]],Lookups!$A$26:$C$33,3,FALSE)</f>
        <v>0.94295468617355149</v>
      </c>
      <c r="BR252">
        <f>VLOOKUP(Grandview_Sales[[#This Row],[condition]],Lookups!$A$37:$C$44,3,FALSE)</f>
        <v>0.94347925387812148</v>
      </c>
      <c r="BS252">
        <f>VLOOKUP(Grandview_Sales[[#This Row],[decade]],Lookups!$F$29:$H$43,3,FALSE)</f>
        <v>0.9413635517371044</v>
      </c>
      <c r="BT252">
        <f>VLOOKUP(Grandview_Sales[[#This Row],[living_area_range]],Lookups!$F$47:$H$56,3,FALSE)</f>
        <v>0.96120133463014379</v>
      </c>
      <c r="BU252">
        <f>Grandview_Sales[[#This Row],[predicted_total]]*AVERAGE(Grandview_Sales[[#This Row],[qual_adj]:[size_adj]])</f>
        <v>349741.11659559375</v>
      </c>
      <c r="BV252">
        <f>Grandview_Sales[[#This Row],[final_total]]/Grandview_Sales[[#This Row],[sale_price]]</f>
        <v>0.95815283876759849</v>
      </c>
      <c r="BW252" s="6">
        <f>(Grandview_Sales[[#This Row],[final_total]]-Grandview_Sales[[#This Row],[sale_price]])^2</f>
        <v>233322063.01820558</v>
      </c>
      <c r="BX252" s="6">
        <f>(Grandview_Sales[[#This Row],[final_total]]-AVERAGE(Grandview_Sales[sale_price]))^2</f>
        <v>1830294942.6243625</v>
      </c>
      <c r="BY252" s="6">
        <f>Grandview_Sales[[#This Row],[SSE]]+Grandview_Sales[[#This Row],[SSR]]</f>
        <v>2063617005.6425681</v>
      </c>
      <c r="BZ252" s="4">
        <f>ABS(Grandview_Sales[[#This Row],[final_ratio]]-MEDIAN(Grandview_Sales[final_ratio]))</f>
        <v>4.3095880588213453E-2</v>
      </c>
    </row>
    <row r="253" spans="1:78" x14ac:dyDescent="0.25">
      <c r="A253">
        <v>23092224524</v>
      </c>
      <c r="B253">
        <v>0.18</v>
      </c>
      <c r="C253">
        <v>7838</v>
      </c>
      <c r="D253">
        <v>0</v>
      </c>
      <c r="E253" t="s">
        <v>53</v>
      </c>
      <c r="F253" t="s">
        <v>53</v>
      </c>
      <c r="G253">
        <v>4</v>
      </c>
      <c r="H253" t="s">
        <v>54</v>
      </c>
      <c r="I253">
        <v>282500</v>
      </c>
      <c r="J253">
        <v>43100</v>
      </c>
      <c r="K253">
        <v>0.18</v>
      </c>
      <c r="L253">
        <v>-1.7147984280919999</v>
      </c>
      <c r="M253">
        <v>0</v>
      </c>
      <c r="N253">
        <v>0</v>
      </c>
      <c r="O253">
        <v>0</v>
      </c>
      <c r="P253">
        <v>13398.7528</v>
      </c>
      <c r="Q253">
        <v>63902.980100000001</v>
      </c>
      <c r="R253">
        <v>40926.819860167998</v>
      </c>
      <c r="S253" t="s">
        <v>58</v>
      </c>
      <c r="T253">
        <v>1</v>
      </c>
      <c r="U253" t="s">
        <v>62</v>
      </c>
      <c r="V253" t="s">
        <v>57</v>
      </c>
      <c r="W253">
        <v>0</v>
      </c>
      <c r="X253">
        <v>0</v>
      </c>
      <c r="Y253">
        <v>12</v>
      </c>
      <c r="Z253">
        <v>12</v>
      </c>
      <c r="AA253">
        <v>10</v>
      </c>
      <c r="AB253">
        <v>2000</v>
      </c>
      <c r="AC253">
        <v>1748</v>
      </c>
      <c r="AD253">
        <v>1748</v>
      </c>
      <c r="AE253">
        <v>0</v>
      </c>
      <c r="AF253">
        <v>0</v>
      </c>
      <c r="AG253">
        <v>0</v>
      </c>
      <c r="AH253">
        <v>598</v>
      </c>
      <c r="AI253">
        <v>0</v>
      </c>
      <c r="AJ253">
        <v>0</v>
      </c>
      <c r="AK253">
        <v>0</v>
      </c>
      <c r="AL253">
        <v>10</v>
      </c>
      <c r="AM253">
        <v>0</v>
      </c>
      <c r="AN253">
        <v>0</v>
      </c>
      <c r="AO253" t="s">
        <v>58</v>
      </c>
      <c r="AP253">
        <v>1</v>
      </c>
      <c r="AQ253" t="s">
        <v>63</v>
      </c>
      <c r="AR253" t="s">
        <v>64</v>
      </c>
      <c r="AS253">
        <v>1</v>
      </c>
      <c r="AT253">
        <v>2</v>
      </c>
      <c r="AU253">
        <v>0</v>
      </c>
      <c r="AV253">
        <v>0</v>
      </c>
      <c r="AW253">
        <v>100</v>
      </c>
      <c r="AX253" s="1">
        <v>44754</v>
      </c>
      <c r="AY253">
        <v>24700</v>
      </c>
      <c r="AZ253">
        <v>338416</v>
      </c>
      <c r="BA253">
        <v>363100</v>
      </c>
      <c r="BB253">
        <v>391500</v>
      </c>
      <c r="BC253">
        <v>173</v>
      </c>
      <c r="BD253">
        <f>Grandview_Sales[[#This Row],[land_extract]]*Lookups!$B$3</f>
        <v>47528.20540119947</v>
      </c>
      <c r="BE253">
        <f>Lookups!$B$2</f>
        <v>155833.95000000001</v>
      </c>
      <c r="BF253">
        <f>VLOOKUP(Grandview_Sales[[#This Row],[quality]],Lookups!$H$2:$J$13,3,FALSE)</f>
        <v>9808</v>
      </c>
      <c r="BG253">
        <f>VLOOKUP(Grandview_Sales[[#This Row],[condition]],Lookups!$H$17:$J$24,3,FALSE)</f>
        <v>25780</v>
      </c>
      <c r="BH253">
        <f>Grandview_Sales[[#This Row],[Eff_Age]]*Lookups!$B$14</f>
        <v>-2869.9991999999997</v>
      </c>
      <c r="BI253">
        <f>Grandview_Sales[[#This Row],[living_area]]*Lookups!$B$15</f>
        <v>109041.731044</v>
      </c>
      <c r="BJ253">
        <f>Grandview_Sales[[#This Row],[Fin BSMT]]*Lookups!$B$16</f>
        <v>0</v>
      </c>
      <c r="BK253">
        <f>Grandview_Sales[[#This Row],[garage_sqft]]*Lookups!$B$17</f>
        <v>52337.221325999999</v>
      </c>
      <c r="BL253">
        <f>Grandview_Sales[[#This Row],[Plumbing Fixtures]]*Lookups!$B$18</f>
        <v>20104.418000000001</v>
      </c>
      <c r="BM253">
        <f>Grandview_Sales[[#This Row],[detatched_value]]*Lookups!$B$19</f>
        <v>0</v>
      </c>
      <c r="BN253">
        <f>Grandview_Sales[[#This Row],[days_prior]]*Lookups!$B$20</f>
        <v>-20751.107800000002</v>
      </c>
      <c r="BO253">
        <f>SUM(Grandview_Sales[[#This Row],[land_value]:[Days Prior To Assessment_value]])</f>
        <v>396812.41877119947</v>
      </c>
      <c r="BP253">
        <f>Grandview_Sales[[#This Row],[predicted_total]]/Grandview_Sales[[#This Row],[sale_price]]</f>
        <v>1.0135693966058734</v>
      </c>
      <c r="BQ253">
        <f>VLOOKUP(Grandview_Sales[[#This Row],[quality]],Lookups!$A$26:$C$33,3,FALSE)</f>
        <v>0.94295468617355149</v>
      </c>
      <c r="BR253">
        <f>VLOOKUP(Grandview_Sales[[#This Row],[condition]],Lookups!$A$37:$C$44,3,FALSE)</f>
        <v>0.94347925387812148</v>
      </c>
      <c r="BS253">
        <f>VLOOKUP(Grandview_Sales[[#This Row],[decade]],Lookups!$F$29:$H$43,3,FALSE)</f>
        <v>0.94601966599150278</v>
      </c>
      <c r="BT253">
        <f>VLOOKUP(Grandview_Sales[[#This Row],[living_area_range]],Lookups!$F$47:$H$56,3,FALSE)</f>
        <v>0.96120133463014379</v>
      </c>
      <c r="BU253">
        <f>Grandview_Sales[[#This Row],[predicted_total]]*AVERAGE(Grandview_Sales[[#This Row],[qual_adj]:[size_adj]])</f>
        <v>376342.34824797284</v>
      </c>
      <c r="BV253">
        <f>Grandview_Sales[[#This Row],[final_total]]/Grandview_Sales[[#This Row],[sale_price]]</f>
        <v>0.96128313728728698</v>
      </c>
      <c r="BW253" s="6">
        <f>(Grandview_Sales[[#This Row],[final_total]]-Grandview_Sales[[#This Row],[sale_price]])^2</f>
        <v>229754406.635732</v>
      </c>
      <c r="BX253" s="6">
        <f>(Grandview_Sales[[#This Row],[final_total]]-AVERAGE(Grandview_Sales[sale_price]))^2</f>
        <v>4814025404.5168686</v>
      </c>
      <c r="BY253" s="6">
        <f>Grandview_Sales[[#This Row],[SSE]]+Grandview_Sales[[#This Row],[SSR]]</f>
        <v>5043779811.1526003</v>
      </c>
      <c r="BZ253" s="4">
        <f>ABS(Grandview_Sales[[#This Row],[final_ratio]]-MEDIAN(Grandview_Sales[final_ratio]))</f>
        <v>3.9965582068524963E-2</v>
      </c>
    </row>
    <row r="254" spans="1:78" x14ac:dyDescent="0.25">
      <c r="A254">
        <v>23092314516</v>
      </c>
      <c r="B254">
        <v>0.17</v>
      </c>
      <c r="C254">
        <v>7389</v>
      </c>
      <c r="D254">
        <v>0</v>
      </c>
      <c r="E254" t="s">
        <v>53</v>
      </c>
      <c r="F254" t="s">
        <v>53</v>
      </c>
      <c r="G254">
        <v>4</v>
      </c>
      <c r="H254" t="s">
        <v>54</v>
      </c>
      <c r="I254">
        <v>170500</v>
      </c>
      <c r="J254">
        <v>39300</v>
      </c>
      <c r="K254">
        <v>0.17</v>
      </c>
      <c r="L254">
        <v>-1.771956841932</v>
      </c>
      <c r="M254">
        <v>0</v>
      </c>
      <c r="N254">
        <v>0</v>
      </c>
      <c r="O254">
        <v>0</v>
      </c>
      <c r="P254">
        <v>13398.7528</v>
      </c>
      <c r="Q254">
        <v>63902.980100000001</v>
      </c>
      <c r="R254">
        <v>40160.968402685998</v>
      </c>
      <c r="S254" t="s">
        <v>55</v>
      </c>
      <c r="T254">
        <v>2</v>
      </c>
      <c r="U254" t="s">
        <v>65</v>
      </c>
      <c r="V254" t="s">
        <v>67</v>
      </c>
      <c r="W254">
        <v>0</v>
      </c>
      <c r="X254">
        <v>0</v>
      </c>
      <c r="Y254">
        <v>57</v>
      </c>
      <c r="Z254">
        <v>103</v>
      </c>
      <c r="AA254">
        <v>100</v>
      </c>
      <c r="AB254">
        <v>1500</v>
      </c>
      <c r="AC254">
        <v>1234</v>
      </c>
      <c r="AD254">
        <v>1032</v>
      </c>
      <c r="AE254">
        <v>202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5</v>
      </c>
      <c r="AM254">
        <v>0</v>
      </c>
      <c r="AN254">
        <v>0</v>
      </c>
      <c r="AO254" t="s">
        <v>58</v>
      </c>
      <c r="AP254">
        <v>1</v>
      </c>
      <c r="AQ254" t="s">
        <v>63</v>
      </c>
      <c r="AR254" t="s">
        <v>64</v>
      </c>
      <c r="AS254">
        <v>0</v>
      </c>
      <c r="AT254">
        <v>3</v>
      </c>
      <c r="AU254">
        <v>0</v>
      </c>
      <c r="AV254">
        <v>3900</v>
      </c>
      <c r="AW254">
        <v>100</v>
      </c>
      <c r="AX254" s="1">
        <v>44754</v>
      </c>
      <c r="AY254">
        <v>22500</v>
      </c>
      <c r="AZ254">
        <v>121641</v>
      </c>
      <c r="BA254">
        <v>144100</v>
      </c>
      <c r="BB254">
        <v>286000</v>
      </c>
      <c r="BC254">
        <v>173</v>
      </c>
      <c r="BD254">
        <f>Grandview_Sales[[#This Row],[land_extract]]*Lookups!$B$3</f>
        <v>46638.82417142456</v>
      </c>
      <c r="BE254">
        <f>Lookups!$B$2</f>
        <v>155833.95000000001</v>
      </c>
      <c r="BF254">
        <f>VLOOKUP(Grandview_Sales[[#This Row],[quality]],Lookups!$H$2:$J$13,3,FALSE)</f>
        <v>2251</v>
      </c>
      <c r="BG254">
        <f>VLOOKUP(Grandview_Sales[[#This Row],[condition]],Lookups!$H$17:$J$24,3,FALSE)</f>
        <v>22342</v>
      </c>
      <c r="BH254">
        <f>Grandview_Sales[[#This Row],[Eff_Age]]*Lookups!$B$14</f>
        <v>-13632.4962</v>
      </c>
      <c r="BI254">
        <f>Grandview_Sales[[#This Row],[living_area]]*Lookups!$B$15</f>
        <v>76977.972602000009</v>
      </c>
      <c r="BJ254">
        <f>Grandview_Sales[[#This Row],[Fin BSMT]]*Lookups!$B$16</f>
        <v>0</v>
      </c>
      <c r="BK254">
        <f>Grandview_Sales[[#This Row],[garage_sqft]]*Lookups!$B$17</f>
        <v>0</v>
      </c>
      <c r="BL254">
        <f>Grandview_Sales[[#This Row],[Plumbing Fixtures]]*Lookups!$B$18</f>
        <v>10052.209000000001</v>
      </c>
      <c r="BM254">
        <f>Grandview_Sales[[#This Row],[detatched_value]]*Lookups!$B$19</f>
        <v>3302.53989</v>
      </c>
      <c r="BN254">
        <f>Grandview_Sales[[#This Row],[days_prior]]*Lookups!$B$20</f>
        <v>-20751.107800000002</v>
      </c>
      <c r="BO254">
        <f>SUM(Grandview_Sales[[#This Row],[land_value]:[Days Prior To Assessment_value]])</f>
        <v>283014.89166342455</v>
      </c>
      <c r="BP254">
        <f>Grandview_Sales[[#This Row],[predicted_total]]/Grandview_Sales[[#This Row],[sale_price]]</f>
        <v>0.98956255826372219</v>
      </c>
      <c r="BQ254">
        <f>VLOOKUP(Grandview_Sales[[#This Row],[quality]],Lookups!$A$26:$C$33,3,FALSE)</f>
        <v>0.98763855981004833</v>
      </c>
      <c r="BR254">
        <f>VLOOKUP(Grandview_Sales[[#This Row],[condition]],Lookups!$A$37:$C$44,3,FALSE)</f>
        <v>0.97383723671140243</v>
      </c>
      <c r="BS254">
        <f>VLOOKUP(Grandview_Sales[[#This Row],[decade]],Lookups!$F$29:$H$43,3,FALSE)</f>
        <v>0.95244691841736806</v>
      </c>
      <c r="BT254">
        <f>VLOOKUP(Grandview_Sales[[#This Row],[living_area_range]],Lookups!$F$47:$H$56,3,FALSE)</f>
        <v>0.96135087979789358</v>
      </c>
      <c r="BU254">
        <f>Grandview_Sales[[#This Row],[predicted_total]]*AVERAGE(Grandview_Sales[[#This Row],[qual_adj]:[size_adj]])</f>
        <v>274190.03414513514</v>
      </c>
      <c r="BV254">
        <f>Grandview_Sales[[#This Row],[final_total]]/Grandview_Sales[[#This Row],[sale_price]]</f>
        <v>0.95870641309487814</v>
      </c>
      <c r="BW254" s="6">
        <f>(Grandview_Sales[[#This Row],[final_total]]-Grandview_Sales[[#This Row],[sale_price]])^2</f>
        <v>139475293.49307385</v>
      </c>
      <c r="BX254" s="6">
        <f>(Grandview_Sales[[#This Row],[final_total]]-AVERAGE(Grandview_Sales[sale_price]))^2</f>
        <v>1073816273.7771266</v>
      </c>
      <c r="BY254" s="6">
        <f>Grandview_Sales[[#This Row],[SSE]]+Grandview_Sales[[#This Row],[SSR]]</f>
        <v>1213291567.2702005</v>
      </c>
      <c r="BZ254" s="4">
        <f>ABS(Grandview_Sales[[#This Row],[final_ratio]]-MEDIAN(Grandview_Sales[final_ratio]))</f>
        <v>4.2542306260933804E-2</v>
      </c>
    </row>
    <row r="255" spans="1:78" x14ac:dyDescent="0.25">
      <c r="A255">
        <v>23092621478</v>
      </c>
      <c r="B255">
        <v>0</v>
      </c>
      <c r="C255">
        <v>8250</v>
      </c>
      <c r="D255">
        <v>0</v>
      </c>
      <c r="E255" t="s">
        <v>53</v>
      </c>
      <c r="F255" t="s">
        <v>53</v>
      </c>
      <c r="G255">
        <v>4</v>
      </c>
      <c r="H255" t="s">
        <v>54</v>
      </c>
      <c r="I255">
        <v>278600</v>
      </c>
      <c r="J255">
        <v>39100</v>
      </c>
      <c r="K255">
        <v>0.19</v>
      </c>
      <c r="L255">
        <v>-1.6607312068219999</v>
      </c>
      <c r="M255">
        <v>0</v>
      </c>
      <c r="N255">
        <v>0</v>
      </c>
      <c r="O255">
        <v>0</v>
      </c>
      <c r="P255">
        <v>13398.7528</v>
      </c>
      <c r="Q255">
        <v>63902.980100000001</v>
      </c>
      <c r="R255">
        <v>41651.253192550997</v>
      </c>
      <c r="S255" t="s">
        <v>55</v>
      </c>
      <c r="T255">
        <v>2</v>
      </c>
      <c r="U255" t="s">
        <v>62</v>
      </c>
      <c r="V255" t="s">
        <v>57</v>
      </c>
      <c r="W255">
        <v>0</v>
      </c>
      <c r="X255">
        <v>0</v>
      </c>
      <c r="Y255">
        <v>1</v>
      </c>
      <c r="Z255">
        <v>1</v>
      </c>
      <c r="AA255">
        <v>0</v>
      </c>
      <c r="AB255">
        <v>2500</v>
      </c>
      <c r="AC255">
        <v>2168</v>
      </c>
      <c r="AD255">
        <v>896</v>
      </c>
      <c r="AE255">
        <v>1272</v>
      </c>
      <c r="AF255">
        <v>0</v>
      </c>
      <c r="AG255">
        <v>0</v>
      </c>
      <c r="AH255">
        <v>440</v>
      </c>
      <c r="AI255">
        <v>0</v>
      </c>
      <c r="AJ255">
        <v>0</v>
      </c>
      <c r="AK255">
        <v>0</v>
      </c>
      <c r="AL255">
        <v>12</v>
      </c>
      <c r="AM255">
        <v>0</v>
      </c>
      <c r="AN255">
        <v>0</v>
      </c>
      <c r="AO255" t="s">
        <v>58</v>
      </c>
      <c r="AP255">
        <v>1</v>
      </c>
      <c r="AQ255" t="s">
        <v>63</v>
      </c>
      <c r="AR255" t="s">
        <v>64</v>
      </c>
      <c r="AS255">
        <v>1</v>
      </c>
      <c r="AT255">
        <v>3</v>
      </c>
      <c r="AU255">
        <v>0</v>
      </c>
      <c r="AV255">
        <v>0</v>
      </c>
      <c r="AW255">
        <v>100</v>
      </c>
      <c r="AX255" s="1">
        <v>44760</v>
      </c>
      <c r="AY255">
        <v>22400</v>
      </c>
      <c r="AZ255">
        <v>344170</v>
      </c>
      <c r="BA255">
        <v>366600</v>
      </c>
      <c r="BB255">
        <v>414630</v>
      </c>
      <c r="BC255">
        <v>167</v>
      </c>
      <c r="BD255">
        <f>Grandview_Sales[[#This Row],[land_extract]]*Lookups!$B$3</f>
        <v>48369.487874125851</v>
      </c>
      <c r="BE255">
        <f>Lookups!$B$2</f>
        <v>155833.95000000001</v>
      </c>
      <c r="BF255">
        <f>VLOOKUP(Grandview_Sales[[#This Row],[quality]],Lookups!$H$2:$J$13,3,FALSE)</f>
        <v>9808</v>
      </c>
      <c r="BG255">
        <f>VLOOKUP(Grandview_Sales[[#This Row],[condition]],Lookups!$H$17:$J$24,3,FALSE)</f>
        <v>25780</v>
      </c>
      <c r="BH255">
        <f>Grandview_Sales[[#This Row],[Eff_Age]]*Lookups!$B$14</f>
        <v>-239.16659999999999</v>
      </c>
      <c r="BI255">
        <f>Grandview_Sales[[#This Row],[living_area]]*Lookups!$B$15</f>
        <v>135241.689304</v>
      </c>
      <c r="BJ255">
        <f>Grandview_Sales[[#This Row],[Fin BSMT]]*Lookups!$B$16</f>
        <v>0</v>
      </c>
      <c r="BK255">
        <f>Grandview_Sales[[#This Row],[garage_sqft]]*Lookups!$B$17</f>
        <v>38508.992279999999</v>
      </c>
      <c r="BL255">
        <f>Grandview_Sales[[#This Row],[Plumbing Fixtures]]*Lookups!$B$18</f>
        <v>24125.301599999999</v>
      </c>
      <c r="BM255">
        <f>Grandview_Sales[[#This Row],[detatched_value]]*Lookups!$B$19</f>
        <v>0</v>
      </c>
      <c r="BN255">
        <f>Grandview_Sales[[#This Row],[days_prior]]*Lookups!$B$20</f>
        <v>-20031.4162</v>
      </c>
      <c r="BO255">
        <f>SUM(Grandview_Sales[[#This Row],[land_value]:[Days Prior To Assessment_value]])</f>
        <v>417396.83825812594</v>
      </c>
      <c r="BP255">
        <f>Grandview_Sales[[#This Row],[predicted_total]]/Grandview_Sales[[#This Row],[sale_price]]</f>
        <v>1.006673029588129</v>
      </c>
      <c r="BQ255">
        <f>VLOOKUP(Grandview_Sales[[#This Row],[quality]],Lookups!$A$26:$C$33,3,FALSE)</f>
        <v>0.94295468617355149</v>
      </c>
      <c r="BR255">
        <f>VLOOKUP(Grandview_Sales[[#This Row],[condition]],Lookups!$A$37:$C$44,3,FALSE)</f>
        <v>0.94347925387812148</v>
      </c>
      <c r="BS255">
        <f>VLOOKUP(Grandview_Sales[[#This Row],[decade]],Lookups!$F$29:$H$43,3,FALSE)</f>
        <v>0.9413635517371044</v>
      </c>
      <c r="BT255">
        <f>VLOOKUP(Grandview_Sales[[#This Row],[living_area_range]],Lookups!$F$47:$H$56,3,FALSE)</f>
        <v>0.95799442568048754</v>
      </c>
      <c r="BU255">
        <f>Grandview_Sales[[#This Row],[predicted_total]]*AVERAGE(Grandview_Sales[[#This Row],[qual_adj]:[size_adj]])</f>
        <v>395044.39416370977</v>
      </c>
      <c r="BV255">
        <f>Grandview_Sales[[#This Row],[final_total]]/Grandview_Sales[[#This Row],[sale_price]]</f>
        <v>0.95276365473725921</v>
      </c>
      <c r="BW255" s="6">
        <f>(Grandview_Sales[[#This Row],[final_total]]-Grandview_Sales[[#This Row],[sale_price]])^2</f>
        <v>383595955.97452575</v>
      </c>
      <c r="BX255" s="6">
        <f>(Grandview_Sales[[#This Row],[final_total]]-AVERAGE(Grandview_Sales[sale_price]))^2</f>
        <v>7759006691.5028849</v>
      </c>
      <c r="BY255" s="6">
        <f>Grandview_Sales[[#This Row],[SSE]]+Grandview_Sales[[#This Row],[SSR]]</f>
        <v>8142602647.4774103</v>
      </c>
      <c r="BZ255" s="4">
        <f>ABS(Grandview_Sales[[#This Row],[final_ratio]]-MEDIAN(Grandview_Sales[final_ratio]))</f>
        <v>4.8485064618552731E-2</v>
      </c>
    </row>
    <row r="256" spans="1:78" x14ac:dyDescent="0.25">
      <c r="A256">
        <v>23092621446</v>
      </c>
      <c r="B256">
        <v>0</v>
      </c>
      <c r="C256">
        <v>9900</v>
      </c>
      <c r="D256">
        <v>0</v>
      </c>
      <c r="E256" t="s">
        <v>53</v>
      </c>
      <c r="F256" t="s">
        <v>53</v>
      </c>
      <c r="G256">
        <v>4</v>
      </c>
      <c r="H256" t="s">
        <v>54</v>
      </c>
      <c r="I256">
        <v>307400</v>
      </c>
      <c r="J256">
        <v>39500</v>
      </c>
      <c r="K256">
        <v>0.23</v>
      </c>
      <c r="L256">
        <v>-1.4696759700590001</v>
      </c>
      <c r="M256">
        <v>0</v>
      </c>
      <c r="N256">
        <v>0</v>
      </c>
      <c r="O256">
        <v>0</v>
      </c>
      <c r="P256">
        <v>13398.7528</v>
      </c>
      <c r="Q256">
        <v>63902.980100000001</v>
      </c>
      <c r="R256">
        <v>44211.155081080004</v>
      </c>
      <c r="S256" t="s">
        <v>55</v>
      </c>
      <c r="T256">
        <v>1</v>
      </c>
      <c r="U256" t="s">
        <v>62</v>
      </c>
      <c r="V256" t="s">
        <v>57</v>
      </c>
      <c r="W256">
        <v>0</v>
      </c>
      <c r="X256">
        <v>0</v>
      </c>
      <c r="Y256">
        <v>1</v>
      </c>
      <c r="Z256">
        <v>1</v>
      </c>
      <c r="AA256">
        <v>0</v>
      </c>
      <c r="AB256">
        <v>2500</v>
      </c>
      <c r="AC256">
        <v>2168</v>
      </c>
      <c r="AD256">
        <v>896</v>
      </c>
      <c r="AE256">
        <v>1272</v>
      </c>
      <c r="AF256">
        <v>0</v>
      </c>
      <c r="AG256">
        <v>0</v>
      </c>
      <c r="AH256">
        <v>704</v>
      </c>
      <c r="AI256">
        <v>0</v>
      </c>
      <c r="AJ256">
        <v>0</v>
      </c>
      <c r="AK256">
        <v>0</v>
      </c>
      <c r="AL256">
        <v>12</v>
      </c>
      <c r="AM256">
        <v>0</v>
      </c>
      <c r="AN256">
        <v>0</v>
      </c>
      <c r="AO256" t="s">
        <v>58</v>
      </c>
      <c r="AP256">
        <v>1</v>
      </c>
      <c r="AQ256" t="s">
        <v>63</v>
      </c>
      <c r="AR256" t="s">
        <v>64</v>
      </c>
      <c r="AS256">
        <v>1</v>
      </c>
      <c r="AT256">
        <v>3</v>
      </c>
      <c r="AU256">
        <v>0</v>
      </c>
      <c r="AV256">
        <v>0</v>
      </c>
      <c r="AW256">
        <v>100</v>
      </c>
      <c r="AX256" s="1">
        <v>44764</v>
      </c>
      <c r="AY256">
        <v>22600</v>
      </c>
      <c r="AZ256">
        <v>364205</v>
      </c>
      <c r="BA256">
        <v>386800</v>
      </c>
      <c r="BB256">
        <v>445900</v>
      </c>
      <c r="BC256">
        <v>163</v>
      </c>
      <c r="BD256">
        <f>Grandview_Sales[[#This Row],[land_extract]]*Lookups!$B$3</f>
        <v>51342.29502553949</v>
      </c>
      <c r="BE256">
        <f>Lookups!$B$2</f>
        <v>155833.95000000001</v>
      </c>
      <c r="BF256">
        <f>VLOOKUP(Grandview_Sales[[#This Row],[quality]],Lookups!$H$2:$J$13,3,FALSE)</f>
        <v>9808</v>
      </c>
      <c r="BG256">
        <f>VLOOKUP(Grandview_Sales[[#This Row],[condition]],Lookups!$H$17:$J$24,3,FALSE)</f>
        <v>25780</v>
      </c>
      <c r="BH256">
        <f>Grandview_Sales[[#This Row],[Eff_Age]]*Lookups!$B$14</f>
        <v>-239.16659999999999</v>
      </c>
      <c r="BI256">
        <f>Grandview_Sales[[#This Row],[living_area]]*Lookups!$B$15</f>
        <v>135241.689304</v>
      </c>
      <c r="BJ256">
        <f>Grandview_Sales[[#This Row],[Fin BSMT]]*Lookups!$B$16</f>
        <v>0</v>
      </c>
      <c r="BK256">
        <f>Grandview_Sales[[#This Row],[garage_sqft]]*Lookups!$B$17</f>
        <v>61614.387648000004</v>
      </c>
      <c r="BL256">
        <f>Grandview_Sales[[#This Row],[Plumbing Fixtures]]*Lookups!$B$18</f>
        <v>24125.301599999999</v>
      </c>
      <c r="BM256">
        <f>Grandview_Sales[[#This Row],[detatched_value]]*Lookups!$B$19</f>
        <v>0</v>
      </c>
      <c r="BN256">
        <f>Grandview_Sales[[#This Row],[days_prior]]*Lookups!$B$20</f>
        <v>-19551.621800000001</v>
      </c>
      <c r="BO256">
        <f>SUM(Grandview_Sales[[#This Row],[land_value]:[Days Prior To Assessment_value]])</f>
        <v>443954.83517753956</v>
      </c>
      <c r="BP256">
        <f>Grandview_Sales[[#This Row],[predicted_total]]/Grandview_Sales[[#This Row],[sale_price]]</f>
        <v>0.99563766579398871</v>
      </c>
      <c r="BQ256">
        <f>VLOOKUP(Grandview_Sales[[#This Row],[quality]],Lookups!$A$26:$C$33,3,FALSE)</f>
        <v>0.94295468617355149</v>
      </c>
      <c r="BR256">
        <f>VLOOKUP(Grandview_Sales[[#This Row],[condition]],Lookups!$A$37:$C$44,3,FALSE)</f>
        <v>0.94347925387812148</v>
      </c>
      <c r="BS256">
        <f>VLOOKUP(Grandview_Sales[[#This Row],[decade]],Lookups!$F$29:$H$43,3,FALSE)</f>
        <v>0.9413635517371044</v>
      </c>
      <c r="BT256">
        <f>VLOOKUP(Grandview_Sales[[#This Row],[living_area_range]],Lookups!$F$47:$H$56,3,FALSE)</f>
        <v>0.95799442568048754</v>
      </c>
      <c r="BU256">
        <f>Grandview_Sales[[#This Row],[predicted_total]]*AVERAGE(Grandview_Sales[[#This Row],[qual_adj]:[size_adj]])</f>
        <v>420180.15668413223</v>
      </c>
      <c r="BV256">
        <f>Grandview_Sales[[#This Row],[final_total]]/Grandview_Sales[[#This Row],[sale_price]]</f>
        <v>0.94231925697271191</v>
      </c>
      <c r="BW256" s="6">
        <f>(Grandview_Sales[[#This Row],[final_total]]-Grandview_Sales[[#This Row],[sale_price]])^2</f>
        <v>661510340.19278777</v>
      </c>
      <c r="BX256" s="6">
        <f>(Grandview_Sales[[#This Row],[final_total]]-AVERAGE(Grandview_Sales[sale_price]))^2</f>
        <v>12818991794.278177</v>
      </c>
      <c r="BY256" s="6">
        <f>Grandview_Sales[[#This Row],[SSE]]+Grandview_Sales[[#This Row],[SSR]]</f>
        <v>13480502134.470964</v>
      </c>
      <c r="BZ256" s="4">
        <f>ABS(Grandview_Sales[[#This Row],[final_ratio]]-MEDIAN(Grandview_Sales[final_ratio]))</f>
        <v>5.892946238310004E-2</v>
      </c>
    </row>
    <row r="257" spans="1:78" x14ac:dyDescent="0.25">
      <c r="A257">
        <v>23091023004</v>
      </c>
      <c r="B257">
        <v>0.42</v>
      </c>
      <c r="C257">
        <v>18480</v>
      </c>
      <c r="D257">
        <v>0</v>
      </c>
      <c r="E257" t="s">
        <v>53</v>
      </c>
      <c r="F257" t="s">
        <v>53</v>
      </c>
      <c r="G257">
        <v>4</v>
      </c>
      <c r="H257" t="s">
        <v>54</v>
      </c>
      <c r="I257">
        <v>176700</v>
      </c>
      <c r="J257">
        <v>41200</v>
      </c>
      <c r="K257">
        <v>0.42</v>
      </c>
      <c r="L257">
        <v>-0.86750056770499995</v>
      </c>
      <c r="M257">
        <v>0</v>
      </c>
      <c r="N257">
        <v>0</v>
      </c>
      <c r="O257">
        <v>0</v>
      </c>
      <c r="P257">
        <v>13398.7528</v>
      </c>
      <c r="Q257">
        <v>63902.980100000001</v>
      </c>
      <c r="R257">
        <v>52279.554439464999</v>
      </c>
      <c r="S257" t="s">
        <v>68</v>
      </c>
      <c r="T257">
        <v>1</v>
      </c>
      <c r="U257" t="s">
        <v>70</v>
      </c>
      <c r="V257" t="s">
        <v>67</v>
      </c>
      <c r="W257">
        <v>0</v>
      </c>
      <c r="X257">
        <v>0</v>
      </c>
      <c r="Y257">
        <v>29</v>
      </c>
      <c r="Z257">
        <v>83</v>
      </c>
      <c r="AA257">
        <v>80</v>
      </c>
      <c r="AB257">
        <v>1500</v>
      </c>
      <c r="AC257">
        <v>1120</v>
      </c>
      <c r="AD257">
        <v>1120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220</v>
      </c>
      <c r="AL257">
        <v>5</v>
      </c>
      <c r="AM257">
        <v>0</v>
      </c>
      <c r="AN257">
        <v>0</v>
      </c>
      <c r="AO257" t="s">
        <v>58</v>
      </c>
      <c r="AP257">
        <v>1</v>
      </c>
      <c r="AQ257" t="s">
        <v>59</v>
      </c>
      <c r="AR257" t="s">
        <v>60</v>
      </c>
      <c r="AS257">
        <v>1</v>
      </c>
      <c r="AT257">
        <v>3</v>
      </c>
      <c r="AU257">
        <v>0</v>
      </c>
      <c r="AV257">
        <v>0</v>
      </c>
      <c r="AW257">
        <v>100</v>
      </c>
      <c r="AX257" s="1">
        <v>44768</v>
      </c>
      <c r="AY257">
        <v>23600</v>
      </c>
      <c r="AZ257">
        <v>139139</v>
      </c>
      <c r="BA257">
        <v>162700</v>
      </c>
      <c r="BB257">
        <v>305000</v>
      </c>
      <c r="BC257">
        <v>159</v>
      </c>
      <c r="BD257">
        <f>Grandview_Sales[[#This Row],[land_extract]]*Lookups!$B$3</f>
        <v>60712.105415753715</v>
      </c>
      <c r="BE257">
        <f>Lookups!$B$2</f>
        <v>155833.95000000001</v>
      </c>
      <c r="BF257">
        <f>VLOOKUP(Grandview_Sales[[#This Row],[quality]],Lookups!$H$2:$J$13,3,FALSE)</f>
        <v>10733</v>
      </c>
      <c r="BG257">
        <f>VLOOKUP(Grandview_Sales[[#This Row],[condition]],Lookups!$H$17:$J$24,3,FALSE)</f>
        <v>22342</v>
      </c>
      <c r="BH257">
        <f>Grandview_Sales[[#This Row],[Eff_Age]]*Lookups!$B$14</f>
        <v>-6935.8314</v>
      </c>
      <c r="BI257">
        <f>Grandview_Sales[[#This Row],[living_area]]*Lookups!$B$15</f>
        <v>69866.555359999998</v>
      </c>
      <c r="BJ257">
        <f>Grandview_Sales[[#This Row],[Fin BSMT]]*Lookups!$B$16</f>
        <v>0</v>
      </c>
      <c r="BK257">
        <f>Grandview_Sales[[#This Row],[garage_sqft]]*Lookups!$B$17</f>
        <v>0</v>
      </c>
      <c r="BL257">
        <f>Grandview_Sales[[#This Row],[Plumbing Fixtures]]*Lookups!$B$18</f>
        <v>10052.209000000001</v>
      </c>
      <c r="BM257">
        <f>Grandview_Sales[[#This Row],[detatched_value]]*Lookups!$B$19</f>
        <v>0</v>
      </c>
      <c r="BN257">
        <f>Grandview_Sales[[#This Row],[days_prior]]*Lookups!$B$20</f>
        <v>-19071.827399999998</v>
      </c>
      <c r="BO257">
        <f>SUM(Grandview_Sales[[#This Row],[land_value]:[Days Prior To Assessment_value]])</f>
        <v>303532.16097575368</v>
      </c>
      <c r="BP257">
        <f>Grandview_Sales[[#This Row],[predicted_total]]/Grandview_Sales[[#This Row],[sale_price]]</f>
        <v>0.99518741303525793</v>
      </c>
      <c r="BQ257">
        <f>VLOOKUP(Grandview_Sales[[#This Row],[quality]],Lookups!$A$26:$C$33,3,FALSE)</f>
        <v>0.98079741117310582</v>
      </c>
      <c r="BR257">
        <f>VLOOKUP(Grandview_Sales[[#This Row],[condition]],Lookups!$A$37:$C$44,3,FALSE)</f>
        <v>0.97383723671140243</v>
      </c>
      <c r="BS257">
        <f>VLOOKUP(Grandview_Sales[[#This Row],[decade]],Lookups!$F$29:$H$43,3,FALSE)</f>
        <v>0.98763256963907298</v>
      </c>
      <c r="BT257">
        <f>VLOOKUP(Grandview_Sales[[#This Row],[living_area_range]],Lookups!$F$47:$H$56,3,FALSE)</f>
        <v>0.96135087979789358</v>
      </c>
      <c r="BU257">
        <f>Grandview_Sales[[#This Row],[predicted_total]]*AVERAGE(Grandview_Sales[[#This Row],[qual_adj]:[size_adj]])</f>
        <v>296218.4091760118</v>
      </c>
      <c r="BV257">
        <f>Grandview_Sales[[#This Row],[final_total]]/Grandview_Sales[[#This Row],[sale_price]]</f>
        <v>0.97120789893774362</v>
      </c>
      <c r="BW257" s="6">
        <f>(Grandview_Sales[[#This Row],[final_total]]-Grandview_Sales[[#This Row],[sale_price]])^2</f>
        <v>77116337.399953708</v>
      </c>
      <c r="BX257" s="6">
        <f>(Grandview_Sales[[#This Row],[final_total]]-AVERAGE(Grandview_Sales[sale_price]))^2</f>
        <v>115363946.06166403</v>
      </c>
      <c r="BY257" s="6">
        <f>Grandview_Sales[[#This Row],[SSE]]+Grandview_Sales[[#This Row],[SSR]]</f>
        <v>192480283.46161774</v>
      </c>
      <c r="BZ257" s="4">
        <f>ABS(Grandview_Sales[[#This Row],[final_ratio]]-MEDIAN(Grandview_Sales[final_ratio]))</f>
        <v>3.0040820418068326E-2</v>
      </c>
    </row>
    <row r="258" spans="1:78" x14ac:dyDescent="0.25">
      <c r="A258">
        <v>23092333407</v>
      </c>
      <c r="B258">
        <v>0.24</v>
      </c>
      <c r="C258">
        <v>0</v>
      </c>
      <c r="D258">
        <v>0</v>
      </c>
      <c r="E258" t="s">
        <v>53</v>
      </c>
      <c r="F258" t="s">
        <v>53</v>
      </c>
      <c r="G258">
        <v>4</v>
      </c>
      <c r="H258" t="s">
        <v>54</v>
      </c>
      <c r="I258">
        <v>232100</v>
      </c>
      <c r="J258">
        <v>39800</v>
      </c>
      <c r="K258">
        <v>0.24</v>
      </c>
      <c r="L258">
        <v>-1.4271163556399999</v>
      </c>
      <c r="M258">
        <v>0</v>
      </c>
      <c r="N258">
        <v>0</v>
      </c>
      <c r="O258">
        <v>0</v>
      </c>
      <c r="P258">
        <v>13398.7528</v>
      </c>
      <c r="Q258">
        <v>63902.980100000001</v>
      </c>
      <c r="R258">
        <v>44781.400833940999</v>
      </c>
      <c r="S258" t="s">
        <v>61</v>
      </c>
      <c r="T258">
        <v>1</v>
      </c>
      <c r="U258" t="s">
        <v>65</v>
      </c>
      <c r="V258" t="s">
        <v>67</v>
      </c>
      <c r="W258">
        <v>0</v>
      </c>
      <c r="X258">
        <v>0</v>
      </c>
      <c r="Y258">
        <v>47</v>
      </c>
      <c r="Z258">
        <v>56</v>
      </c>
      <c r="AA258">
        <v>60</v>
      </c>
      <c r="AB258">
        <v>2500</v>
      </c>
      <c r="AC258">
        <v>2205</v>
      </c>
      <c r="AD258">
        <v>1654</v>
      </c>
      <c r="AE258">
        <v>0</v>
      </c>
      <c r="AF258">
        <v>551</v>
      </c>
      <c r="AG258">
        <v>551</v>
      </c>
      <c r="AH258">
        <v>0</v>
      </c>
      <c r="AI258">
        <v>0</v>
      </c>
      <c r="AJ258">
        <v>551</v>
      </c>
      <c r="AK258">
        <v>374</v>
      </c>
      <c r="AL258">
        <v>11</v>
      </c>
      <c r="AM258">
        <v>0</v>
      </c>
      <c r="AN258">
        <v>1</v>
      </c>
      <c r="AO258" t="s">
        <v>58</v>
      </c>
      <c r="AP258">
        <v>1</v>
      </c>
      <c r="AQ258" t="s">
        <v>63</v>
      </c>
      <c r="AR258" t="s">
        <v>64</v>
      </c>
      <c r="AS258">
        <v>1</v>
      </c>
      <c r="AT258">
        <v>3</v>
      </c>
      <c r="AU258">
        <v>0</v>
      </c>
      <c r="AV258">
        <v>0</v>
      </c>
      <c r="AW258">
        <v>100</v>
      </c>
      <c r="AX258" s="1">
        <v>44768</v>
      </c>
      <c r="AY258">
        <v>22800</v>
      </c>
      <c r="AZ258">
        <v>263409</v>
      </c>
      <c r="BA258">
        <v>286200</v>
      </c>
      <c r="BB258">
        <v>351000</v>
      </c>
      <c r="BC258">
        <v>159</v>
      </c>
      <c r="BD258">
        <f>Grandview_Sales[[#This Row],[land_extract]]*Lookups!$B$3</f>
        <v>52004.519878673433</v>
      </c>
      <c r="BE258">
        <f>Lookups!$B$2</f>
        <v>155833.95000000001</v>
      </c>
      <c r="BF258">
        <f>VLOOKUP(Grandview_Sales[[#This Row],[quality]],Lookups!$H$2:$J$13,3,FALSE)</f>
        <v>2251</v>
      </c>
      <c r="BG258">
        <f>VLOOKUP(Grandview_Sales[[#This Row],[condition]],Lookups!$H$17:$J$24,3,FALSE)</f>
        <v>22342</v>
      </c>
      <c r="BH258">
        <f>Grandview_Sales[[#This Row],[Eff_Age]]*Lookups!$B$14</f>
        <v>-11240.8302</v>
      </c>
      <c r="BI258">
        <f>Grandview_Sales[[#This Row],[living_area]]*Lookups!$B$15</f>
        <v>137549.78086500001</v>
      </c>
      <c r="BJ258">
        <f>Grandview_Sales[[#This Row],[Fin BSMT]]*Lookups!$B$16</f>
        <v>-14931.681240000002</v>
      </c>
      <c r="BK258">
        <f>Grandview_Sales[[#This Row],[garage_sqft]]*Lookups!$B$17</f>
        <v>0</v>
      </c>
      <c r="BL258">
        <f>Grandview_Sales[[#This Row],[Plumbing Fixtures]]*Lookups!$B$18</f>
        <v>22114.859800000002</v>
      </c>
      <c r="BM258">
        <f>Grandview_Sales[[#This Row],[detatched_value]]*Lookups!$B$19</f>
        <v>0</v>
      </c>
      <c r="BN258">
        <f>Grandview_Sales[[#This Row],[days_prior]]*Lookups!$B$20</f>
        <v>-19071.827399999998</v>
      </c>
      <c r="BO258">
        <f>SUM(Grandview_Sales[[#This Row],[land_value]:[Days Prior To Assessment_value]])</f>
        <v>346851.77170367341</v>
      </c>
      <c r="BP258">
        <f>Grandview_Sales[[#This Row],[predicted_total]]/Grandview_Sales[[#This Row],[sale_price]]</f>
        <v>0.98818168576545129</v>
      </c>
      <c r="BQ258">
        <f>VLOOKUP(Grandview_Sales[[#This Row],[quality]],Lookups!$A$26:$C$33,3,FALSE)</f>
        <v>0.98763855981004833</v>
      </c>
      <c r="BR258">
        <f>VLOOKUP(Grandview_Sales[[#This Row],[condition]],Lookups!$A$37:$C$44,3,FALSE)</f>
        <v>0.97383723671140243</v>
      </c>
      <c r="BS258">
        <f>VLOOKUP(Grandview_Sales[[#This Row],[decade]],Lookups!$F$29:$H$43,3,FALSE)</f>
        <v>0.95268620544463312</v>
      </c>
      <c r="BT258">
        <f>VLOOKUP(Grandview_Sales[[#This Row],[living_area_range]],Lookups!$F$47:$H$56,3,FALSE)</f>
        <v>0.95799442568048754</v>
      </c>
      <c r="BU258">
        <f>Grandview_Sales[[#This Row],[predicted_total]]*AVERAGE(Grandview_Sales[[#This Row],[qual_adj]:[size_adj]])</f>
        <v>335766.07931074506</v>
      </c>
      <c r="BV258">
        <f>Grandview_Sales[[#This Row],[final_total]]/Grandview_Sales[[#This Row],[sale_price]]</f>
        <v>0.95659851655482919</v>
      </c>
      <c r="BW258" s="6">
        <f>(Grandview_Sales[[#This Row],[final_total]]-Grandview_Sales[[#This Row],[sale_price]])^2</f>
        <v>232072339.56650972</v>
      </c>
      <c r="BX258" s="6">
        <f>(Grandview_Sales[[#This Row],[final_total]]-AVERAGE(Grandview_Sales[sale_price]))^2</f>
        <v>829838016.03557193</v>
      </c>
      <c r="BY258" s="6">
        <f>Grandview_Sales[[#This Row],[SSE]]+Grandview_Sales[[#This Row],[SSR]]</f>
        <v>1061910355.6020817</v>
      </c>
      <c r="BZ258" s="4">
        <f>ABS(Grandview_Sales[[#This Row],[final_ratio]]-MEDIAN(Grandview_Sales[final_ratio]))</f>
        <v>4.4650202800982752E-2</v>
      </c>
    </row>
    <row r="259" spans="1:78" x14ac:dyDescent="0.25">
      <c r="A259">
        <v>23092621487</v>
      </c>
      <c r="B259">
        <v>0</v>
      </c>
      <c r="C259">
        <v>8435</v>
      </c>
      <c r="D259">
        <v>0</v>
      </c>
      <c r="E259" t="s">
        <v>53</v>
      </c>
      <c r="F259" t="s">
        <v>53</v>
      </c>
      <c r="G259">
        <v>4</v>
      </c>
      <c r="H259" t="s">
        <v>54</v>
      </c>
      <c r="I259">
        <v>240300</v>
      </c>
      <c r="J259">
        <v>39100</v>
      </c>
      <c r="K259">
        <v>0.19</v>
      </c>
      <c r="L259">
        <v>-1.6607312068219999</v>
      </c>
      <c r="M259">
        <v>0</v>
      </c>
      <c r="N259">
        <v>0</v>
      </c>
      <c r="O259">
        <v>0</v>
      </c>
      <c r="P259">
        <v>13398.7528</v>
      </c>
      <c r="Q259">
        <v>63902.980100000001</v>
      </c>
      <c r="R259">
        <v>41651.253192550997</v>
      </c>
      <c r="S259" t="s">
        <v>61</v>
      </c>
      <c r="T259">
        <v>1</v>
      </c>
      <c r="U259" t="s">
        <v>62</v>
      </c>
      <c r="V259" t="s">
        <v>57</v>
      </c>
      <c r="W259">
        <v>0</v>
      </c>
      <c r="X259">
        <v>0</v>
      </c>
      <c r="Y259">
        <v>1</v>
      </c>
      <c r="Z259">
        <v>1</v>
      </c>
      <c r="AA259">
        <v>0</v>
      </c>
      <c r="AB259">
        <v>1500</v>
      </c>
      <c r="AC259">
        <v>1378</v>
      </c>
      <c r="AD259">
        <v>1378</v>
      </c>
      <c r="AE259">
        <v>0</v>
      </c>
      <c r="AF259">
        <v>0</v>
      </c>
      <c r="AG259">
        <v>0</v>
      </c>
      <c r="AH259">
        <v>400</v>
      </c>
      <c r="AI259">
        <v>0</v>
      </c>
      <c r="AJ259">
        <v>0</v>
      </c>
      <c r="AK259">
        <v>0</v>
      </c>
      <c r="AL259">
        <v>8</v>
      </c>
      <c r="AM259">
        <v>0</v>
      </c>
      <c r="AN259">
        <v>0</v>
      </c>
      <c r="AO259" t="s">
        <v>58</v>
      </c>
      <c r="AP259">
        <v>1</v>
      </c>
      <c r="AQ259" t="s">
        <v>63</v>
      </c>
      <c r="AR259" t="s">
        <v>64</v>
      </c>
      <c r="AS259">
        <v>1</v>
      </c>
      <c r="AT259">
        <v>3</v>
      </c>
      <c r="AU259">
        <v>0</v>
      </c>
      <c r="AV259">
        <v>0</v>
      </c>
      <c r="AW259">
        <v>100</v>
      </c>
      <c r="AX259" s="1">
        <v>44769</v>
      </c>
      <c r="AY259">
        <v>22400</v>
      </c>
      <c r="AZ259">
        <v>246538</v>
      </c>
      <c r="BA259">
        <v>268900</v>
      </c>
      <c r="BB259">
        <v>335000</v>
      </c>
      <c r="BC259">
        <v>158</v>
      </c>
      <c r="BD259">
        <f>Grandview_Sales[[#This Row],[land_extract]]*Lookups!$B$3</f>
        <v>48369.487874125851</v>
      </c>
      <c r="BE259">
        <f>Lookups!$B$2</f>
        <v>155833.95000000001</v>
      </c>
      <c r="BF259">
        <f>VLOOKUP(Grandview_Sales[[#This Row],[quality]],Lookups!$H$2:$J$13,3,FALSE)</f>
        <v>9808</v>
      </c>
      <c r="BG259">
        <f>VLOOKUP(Grandview_Sales[[#This Row],[condition]],Lookups!$H$17:$J$24,3,FALSE)</f>
        <v>25780</v>
      </c>
      <c r="BH259">
        <f>Grandview_Sales[[#This Row],[Eff_Age]]*Lookups!$B$14</f>
        <v>-239.16659999999999</v>
      </c>
      <c r="BI259">
        <f>Grandview_Sales[[#This Row],[living_area]]*Lookups!$B$15</f>
        <v>85960.815434000004</v>
      </c>
      <c r="BJ259">
        <f>Grandview_Sales[[#This Row],[Fin BSMT]]*Lookups!$B$16</f>
        <v>0</v>
      </c>
      <c r="BK259">
        <f>Grandview_Sales[[#This Row],[garage_sqft]]*Lookups!$B$17</f>
        <v>35008.174800000001</v>
      </c>
      <c r="BL259">
        <f>Grandview_Sales[[#This Row],[Plumbing Fixtures]]*Lookups!$B$18</f>
        <v>16083.5344</v>
      </c>
      <c r="BM259">
        <f>Grandview_Sales[[#This Row],[detatched_value]]*Lookups!$B$19</f>
        <v>0</v>
      </c>
      <c r="BN259">
        <f>Grandview_Sales[[#This Row],[days_prior]]*Lookups!$B$20</f>
        <v>-18951.878799999999</v>
      </c>
      <c r="BO259">
        <f>SUM(Grandview_Sales[[#This Row],[land_value]:[Days Prior To Assessment_value]])</f>
        <v>357652.91710812587</v>
      </c>
      <c r="BP259">
        <f>Grandview_Sales[[#This Row],[predicted_total]]/Grandview_Sales[[#This Row],[sale_price]]</f>
        <v>1.0676206480839578</v>
      </c>
      <c r="BQ259">
        <f>VLOOKUP(Grandview_Sales[[#This Row],[quality]],Lookups!$A$26:$C$33,3,FALSE)</f>
        <v>0.94295468617355149</v>
      </c>
      <c r="BR259">
        <f>VLOOKUP(Grandview_Sales[[#This Row],[condition]],Lookups!$A$37:$C$44,3,FALSE)</f>
        <v>0.94347925387812148</v>
      </c>
      <c r="BS259">
        <f>VLOOKUP(Grandview_Sales[[#This Row],[decade]],Lookups!$F$29:$H$43,3,FALSE)</f>
        <v>0.9413635517371044</v>
      </c>
      <c r="BT259">
        <f>VLOOKUP(Grandview_Sales[[#This Row],[living_area_range]],Lookups!$F$47:$H$56,3,FALSE)</f>
        <v>0.96135087979789358</v>
      </c>
      <c r="BU259">
        <f>Grandview_Sales[[#This Row],[predicted_total]]*AVERAGE(Grandview_Sales[[#This Row],[qual_adj]:[size_adj]])</f>
        <v>338799.9921133694</v>
      </c>
      <c r="BV259">
        <f>Grandview_Sales[[#This Row],[final_total]]/Grandview_Sales[[#This Row],[sale_price]]</f>
        <v>1.0113432600399086</v>
      </c>
      <c r="BW259" s="6">
        <f>(Grandview_Sales[[#This Row],[final_total]]-Grandview_Sales[[#This Row],[sale_price]])^2</f>
        <v>14439940.061669644</v>
      </c>
      <c r="BX259" s="6">
        <f>(Grandview_Sales[[#This Row],[final_total]]-AVERAGE(Grandview_Sales[sale_price]))^2</f>
        <v>1013837944.0105618</v>
      </c>
      <c r="BY259" s="6">
        <f>Grandview_Sales[[#This Row],[SSE]]+Grandview_Sales[[#This Row],[SSR]]</f>
        <v>1028277884.0722314</v>
      </c>
      <c r="BZ259" s="4">
        <f>ABS(Grandview_Sales[[#This Row],[final_ratio]]-MEDIAN(Grandview_Sales[final_ratio]))</f>
        <v>1.0094540684096653E-2</v>
      </c>
    </row>
    <row r="260" spans="1:78" x14ac:dyDescent="0.25">
      <c r="A260">
        <v>23092242485</v>
      </c>
      <c r="B260">
        <v>0.19</v>
      </c>
      <c r="C260">
        <v>8294</v>
      </c>
      <c r="D260">
        <v>0</v>
      </c>
      <c r="E260" t="s">
        <v>53</v>
      </c>
      <c r="F260" t="s">
        <v>53</v>
      </c>
      <c r="G260">
        <v>4</v>
      </c>
      <c r="H260" t="s">
        <v>54</v>
      </c>
      <c r="I260">
        <v>268200</v>
      </c>
      <c r="J260">
        <v>43300</v>
      </c>
      <c r="K260">
        <v>0.19</v>
      </c>
      <c r="L260">
        <v>-1.6607312068219999</v>
      </c>
      <c r="M260">
        <v>0</v>
      </c>
      <c r="N260">
        <v>0</v>
      </c>
      <c r="O260">
        <v>0</v>
      </c>
      <c r="P260">
        <v>13398.7528</v>
      </c>
      <c r="Q260">
        <v>63902.980100000001</v>
      </c>
      <c r="R260">
        <v>41651.253192550997</v>
      </c>
      <c r="S260" t="s">
        <v>58</v>
      </c>
      <c r="T260">
        <v>1</v>
      </c>
      <c r="U260" t="s">
        <v>64</v>
      </c>
      <c r="V260" t="s">
        <v>66</v>
      </c>
      <c r="W260">
        <v>0</v>
      </c>
      <c r="X260">
        <v>0</v>
      </c>
      <c r="Y260">
        <v>17</v>
      </c>
      <c r="Z260">
        <v>17</v>
      </c>
      <c r="AA260">
        <v>20</v>
      </c>
      <c r="AB260">
        <v>2000</v>
      </c>
      <c r="AC260">
        <v>1583</v>
      </c>
      <c r="AD260">
        <v>1583</v>
      </c>
      <c r="AE260">
        <v>0</v>
      </c>
      <c r="AF260">
        <v>0</v>
      </c>
      <c r="AG260">
        <v>0</v>
      </c>
      <c r="AH260">
        <v>565</v>
      </c>
      <c r="AI260">
        <v>0</v>
      </c>
      <c r="AJ260">
        <v>0</v>
      </c>
      <c r="AK260">
        <v>0</v>
      </c>
      <c r="AL260">
        <v>10</v>
      </c>
      <c r="AM260">
        <v>0</v>
      </c>
      <c r="AN260">
        <v>0</v>
      </c>
      <c r="AO260" t="s">
        <v>58</v>
      </c>
      <c r="AP260">
        <v>1</v>
      </c>
      <c r="AQ260" t="s">
        <v>63</v>
      </c>
      <c r="AR260" t="s">
        <v>64</v>
      </c>
      <c r="AS260">
        <v>1</v>
      </c>
      <c r="AT260">
        <v>3</v>
      </c>
      <c r="AU260">
        <v>0</v>
      </c>
      <c r="AV260">
        <v>0</v>
      </c>
      <c r="AW260">
        <v>100</v>
      </c>
      <c r="AX260" s="1">
        <v>44777</v>
      </c>
      <c r="AY260">
        <v>24800</v>
      </c>
      <c r="AZ260">
        <v>306695</v>
      </c>
      <c r="BA260">
        <v>331500</v>
      </c>
      <c r="BB260">
        <v>368900</v>
      </c>
      <c r="BC260">
        <v>150</v>
      </c>
      <c r="BD260">
        <f>Grandview_Sales[[#This Row],[land_extract]]*Lookups!$B$3</f>
        <v>48369.487874125851</v>
      </c>
      <c r="BE260">
        <f>Lookups!$B$2</f>
        <v>155833.95000000001</v>
      </c>
      <c r="BF260">
        <f>VLOOKUP(Grandview_Sales[[#This Row],[quality]],Lookups!$H$2:$J$13,3,FALSE)</f>
        <v>20768</v>
      </c>
      <c r="BG260">
        <f>VLOOKUP(Grandview_Sales[[#This Row],[condition]],Lookups!$H$17:$J$24,3,FALSE)</f>
        <v>25818</v>
      </c>
      <c r="BH260">
        <f>Grandview_Sales[[#This Row],[Eff_Age]]*Lookups!$B$14</f>
        <v>-4065.8321999999998</v>
      </c>
      <c r="BI260">
        <f>Grandview_Sales[[#This Row],[living_area]]*Lookups!$B$15</f>
        <v>98748.890299000006</v>
      </c>
      <c r="BJ260">
        <f>Grandview_Sales[[#This Row],[Fin BSMT]]*Lookups!$B$16</f>
        <v>0</v>
      </c>
      <c r="BK260">
        <f>Grandview_Sales[[#This Row],[garage_sqft]]*Lookups!$B$17</f>
        <v>49449.046905000003</v>
      </c>
      <c r="BL260">
        <f>Grandview_Sales[[#This Row],[Plumbing Fixtures]]*Lookups!$B$18</f>
        <v>20104.418000000001</v>
      </c>
      <c r="BM260">
        <f>Grandview_Sales[[#This Row],[detatched_value]]*Lookups!$B$19</f>
        <v>0</v>
      </c>
      <c r="BN260">
        <f>Grandview_Sales[[#This Row],[days_prior]]*Lookups!$B$20</f>
        <v>-17992.29</v>
      </c>
      <c r="BO260">
        <f>SUM(Grandview_Sales[[#This Row],[land_value]:[Days Prior To Assessment_value]])</f>
        <v>397033.67087812588</v>
      </c>
      <c r="BP260">
        <f>Grandview_Sales[[#This Row],[predicted_total]]/Grandview_Sales[[#This Row],[sale_price]]</f>
        <v>1.0762636781732877</v>
      </c>
      <c r="BQ260">
        <f>VLOOKUP(Grandview_Sales[[#This Row],[quality]],Lookups!$A$26:$C$33,3,FALSE)</f>
        <v>0.94960540378902636</v>
      </c>
      <c r="BR260">
        <f>VLOOKUP(Grandview_Sales[[#This Row],[condition]],Lookups!$A$37:$C$44,3,FALSE)</f>
        <v>0.96661476234146892</v>
      </c>
      <c r="BS260">
        <f>VLOOKUP(Grandview_Sales[[#This Row],[decade]],Lookups!$F$29:$H$43,3,FALSE)</f>
        <v>0.96737494181490646</v>
      </c>
      <c r="BT260">
        <f>VLOOKUP(Grandview_Sales[[#This Row],[living_area_range]],Lookups!$F$47:$H$56,3,FALSE)</f>
        <v>0.96120133463014379</v>
      </c>
      <c r="BU260">
        <f>Grandview_Sales[[#This Row],[predicted_total]]*AVERAGE(Grandview_Sales[[#This Row],[qual_adj]:[size_adj]])</f>
        <v>381628.41134373209</v>
      </c>
      <c r="BV260">
        <f>Grandview_Sales[[#This Row],[final_total]]/Grandview_Sales[[#This Row],[sale_price]]</f>
        <v>1.0345036902784823</v>
      </c>
      <c r="BW260" s="6">
        <f>(Grandview_Sales[[#This Row],[final_total]]-Grandview_Sales[[#This Row],[sale_price]])^2</f>
        <v>162012455.33524781</v>
      </c>
      <c r="BX260" s="6">
        <f>(Grandview_Sales[[#This Row],[final_total]]-AVERAGE(Grandview_Sales[sale_price]))^2</f>
        <v>5575495582.1070557</v>
      </c>
      <c r="BY260" s="6">
        <f>Grandview_Sales[[#This Row],[SSE]]+Grandview_Sales[[#This Row],[SSR]]</f>
        <v>5737508037.4423037</v>
      </c>
      <c r="BZ260" s="4">
        <f>ABS(Grandview_Sales[[#This Row],[final_ratio]]-MEDIAN(Grandview_Sales[final_ratio]))</f>
        <v>3.3254970922670379E-2</v>
      </c>
    </row>
    <row r="261" spans="1:78" x14ac:dyDescent="0.25">
      <c r="A261">
        <v>23092241545</v>
      </c>
      <c r="B261">
        <v>0.27</v>
      </c>
      <c r="C261">
        <v>11736</v>
      </c>
      <c r="D261">
        <v>0</v>
      </c>
      <c r="E261" t="s">
        <v>53</v>
      </c>
      <c r="F261" t="s">
        <v>53</v>
      </c>
      <c r="G261">
        <v>4</v>
      </c>
      <c r="H261" t="s">
        <v>54</v>
      </c>
      <c r="I261">
        <v>211700</v>
      </c>
      <c r="J261">
        <v>44500</v>
      </c>
      <c r="K261">
        <v>0.27</v>
      </c>
      <c r="L261">
        <v>-1.309333319984</v>
      </c>
      <c r="M261">
        <v>0</v>
      </c>
      <c r="N261">
        <v>0</v>
      </c>
      <c r="O261">
        <v>0</v>
      </c>
      <c r="P261">
        <v>13398.7528</v>
      </c>
      <c r="Q261">
        <v>63902.980100000001</v>
      </c>
      <c r="R261">
        <v>46359.546612733997</v>
      </c>
      <c r="S261" t="s">
        <v>61</v>
      </c>
      <c r="T261">
        <v>1</v>
      </c>
      <c r="U261" t="s">
        <v>62</v>
      </c>
      <c r="V261" t="s">
        <v>67</v>
      </c>
      <c r="W261">
        <v>0</v>
      </c>
      <c r="X261">
        <v>0</v>
      </c>
      <c r="Y261">
        <v>50</v>
      </c>
      <c r="Z261">
        <v>70</v>
      </c>
      <c r="AA261">
        <v>70</v>
      </c>
      <c r="AB261">
        <v>1500</v>
      </c>
      <c r="AC261">
        <v>1265</v>
      </c>
      <c r="AD261">
        <v>1265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928</v>
      </c>
      <c r="AL261">
        <v>7</v>
      </c>
      <c r="AM261">
        <v>0</v>
      </c>
      <c r="AN261">
        <v>0</v>
      </c>
      <c r="AO261" t="s">
        <v>58</v>
      </c>
      <c r="AP261">
        <v>1</v>
      </c>
      <c r="AQ261" t="s">
        <v>63</v>
      </c>
      <c r="AR261" t="s">
        <v>60</v>
      </c>
      <c r="AS261">
        <v>1</v>
      </c>
      <c r="AT261">
        <v>3</v>
      </c>
      <c r="AU261">
        <v>0</v>
      </c>
      <c r="AV261">
        <v>25100</v>
      </c>
      <c r="AW261">
        <v>100</v>
      </c>
      <c r="AX261" s="1">
        <v>44782</v>
      </c>
      <c r="AY261">
        <v>25500</v>
      </c>
      <c r="AZ261">
        <v>208103</v>
      </c>
      <c r="BA261">
        <v>233600</v>
      </c>
      <c r="BB261">
        <v>357000</v>
      </c>
      <c r="BC261">
        <v>145</v>
      </c>
      <c r="BD261">
        <f>Grandview_Sales[[#This Row],[land_extract]]*Lookups!$B$3</f>
        <v>53837.216310592135</v>
      </c>
      <c r="BE261">
        <f>Lookups!$B$2</f>
        <v>155833.95000000001</v>
      </c>
      <c r="BF261">
        <f>VLOOKUP(Grandview_Sales[[#This Row],[quality]],Lookups!$H$2:$J$13,3,FALSE)</f>
        <v>9808</v>
      </c>
      <c r="BG261">
        <f>VLOOKUP(Grandview_Sales[[#This Row],[condition]],Lookups!$H$17:$J$24,3,FALSE)</f>
        <v>22342</v>
      </c>
      <c r="BH261">
        <f>Grandview_Sales[[#This Row],[Eff_Age]]*Lookups!$B$14</f>
        <v>-11958.33</v>
      </c>
      <c r="BI261">
        <f>Grandview_Sales[[#This Row],[living_area]]*Lookups!$B$15</f>
        <v>78911.779045000003</v>
      </c>
      <c r="BJ261">
        <f>Grandview_Sales[[#This Row],[Fin BSMT]]*Lookups!$B$16</f>
        <v>0</v>
      </c>
      <c r="BK261">
        <f>Grandview_Sales[[#This Row],[garage_sqft]]*Lookups!$B$17</f>
        <v>0</v>
      </c>
      <c r="BL261">
        <f>Grandview_Sales[[#This Row],[Plumbing Fixtures]]*Lookups!$B$18</f>
        <v>14073.0926</v>
      </c>
      <c r="BM261">
        <f>Grandview_Sales[[#This Row],[detatched_value]]*Lookups!$B$19</f>
        <v>21254.808010000001</v>
      </c>
      <c r="BN261">
        <f>Grandview_Sales[[#This Row],[days_prior]]*Lookups!$B$20</f>
        <v>-17392.546999999999</v>
      </c>
      <c r="BO261">
        <f>SUM(Grandview_Sales[[#This Row],[land_value]:[Days Prior To Assessment_value]])</f>
        <v>326709.9689655921</v>
      </c>
      <c r="BP261">
        <f>Grandview_Sales[[#This Row],[predicted_total]]/Grandview_Sales[[#This Row],[sale_price]]</f>
        <v>0.91515397469353532</v>
      </c>
      <c r="BQ261">
        <f>VLOOKUP(Grandview_Sales[[#This Row],[quality]],Lookups!$A$26:$C$33,3,FALSE)</f>
        <v>0.94295468617355149</v>
      </c>
      <c r="BR261">
        <f>VLOOKUP(Grandview_Sales[[#This Row],[condition]],Lookups!$A$37:$C$44,3,FALSE)</f>
        <v>0.97383723671140243</v>
      </c>
      <c r="BS261">
        <f>VLOOKUP(Grandview_Sales[[#This Row],[decade]],Lookups!$F$29:$H$43,3,FALSE)</f>
        <v>0.99472141305414818</v>
      </c>
      <c r="BT261">
        <f>VLOOKUP(Grandview_Sales[[#This Row],[living_area_range]],Lookups!$F$47:$H$56,3,FALSE)</f>
        <v>0.96135087979789358</v>
      </c>
      <c r="BU261">
        <f>Grandview_Sales[[#This Row],[predicted_total]]*AVERAGE(Grandview_Sales[[#This Row],[qual_adj]:[size_adj]])</f>
        <v>316325.83693284652</v>
      </c>
      <c r="BV261">
        <f>Grandview_Sales[[#This Row],[final_total]]/Grandview_Sales[[#This Row],[sale_price]]</f>
        <v>0.88606677012001822</v>
      </c>
      <c r="BW261" s="6">
        <f>(Grandview_Sales[[#This Row],[final_total]]-Grandview_Sales[[#This Row],[sale_price]])^2</f>
        <v>1654387541.2133923</v>
      </c>
      <c r="BX261" s="6">
        <f>(Grandview_Sales[[#This Row],[final_total]]-AVERAGE(Grandview_Sales[sale_price]))^2</f>
        <v>87734446.82902877</v>
      </c>
      <c r="BY261" s="6">
        <f>Grandview_Sales[[#This Row],[SSE]]+Grandview_Sales[[#This Row],[SSR]]</f>
        <v>1742121988.0424211</v>
      </c>
      <c r="BZ261" s="4">
        <f>ABS(Grandview_Sales[[#This Row],[final_ratio]]-MEDIAN(Grandview_Sales[final_ratio]))</f>
        <v>0.11518194923579372</v>
      </c>
    </row>
    <row r="262" spans="1:78" x14ac:dyDescent="0.25">
      <c r="A262">
        <v>23092224447</v>
      </c>
      <c r="B262">
        <v>0.23</v>
      </c>
      <c r="C262">
        <v>10000</v>
      </c>
      <c r="D262">
        <v>0</v>
      </c>
      <c r="E262" t="s">
        <v>53</v>
      </c>
      <c r="F262" t="s">
        <v>53</v>
      </c>
      <c r="G262">
        <v>4</v>
      </c>
      <c r="H262" t="s">
        <v>54</v>
      </c>
      <c r="I262">
        <v>272400</v>
      </c>
      <c r="J262">
        <v>43800</v>
      </c>
      <c r="K262">
        <v>0.23</v>
      </c>
      <c r="L262">
        <v>-1.4696759700590001</v>
      </c>
      <c r="M262">
        <v>0</v>
      </c>
      <c r="N262">
        <v>0</v>
      </c>
      <c r="O262">
        <v>0</v>
      </c>
      <c r="P262">
        <v>13398.7528</v>
      </c>
      <c r="Q262">
        <v>63902.980100000001</v>
      </c>
      <c r="R262">
        <v>44211.155081080004</v>
      </c>
      <c r="S262" t="s">
        <v>61</v>
      </c>
      <c r="T262">
        <v>1</v>
      </c>
      <c r="U262" t="s">
        <v>62</v>
      </c>
      <c r="V262" t="s">
        <v>67</v>
      </c>
      <c r="W262">
        <v>0</v>
      </c>
      <c r="X262">
        <v>0</v>
      </c>
      <c r="Y262">
        <v>36</v>
      </c>
      <c r="Z262">
        <v>36</v>
      </c>
      <c r="AA262">
        <v>40</v>
      </c>
      <c r="AB262">
        <v>2000</v>
      </c>
      <c r="AC262">
        <v>1585</v>
      </c>
      <c r="AD262">
        <v>1585</v>
      </c>
      <c r="AE262">
        <v>0</v>
      </c>
      <c r="AF262">
        <v>0</v>
      </c>
      <c r="AG262">
        <v>0</v>
      </c>
      <c r="AH262">
        <v>784</v>
      </c>
      <c r="AI262">
        <v>0</v>
      </c>
      <c r="AJ262">
        <v>0</v>
      </c>
      <c r="AK262">
        <v>217</v>
      </c>
      <c r="AL262">
        <v>10</v>
      </c>
      <c r="AM262">
        <v>1</v>
      </c>
      <c r="AN262">
        <v>0</v>
      </c>
      <c r="AO262" t="s">
        <v>58</v>
      </c>
      <c r="AP262">
        <v>1</v>
      </c>
      <c r="AQ262" t="s">
        <v>59</v>
      </c>
      <c r="AR262" t="s">
        <v>60</v>
      </c>
      <c r="AS262">
        <v>1</v>
      </c>
      <c r="AT262">
        <v>3</v>
      </c>
      <c r="AU262">
        <v>0</v>
      </c>
      <c r="AV262">
        <v>0</v>
      </c>
      <c r="AW262">
        <v>100</v>
      </c>
      <c r="AX262" s="1">
        <v>44788</v>
      </c>
      <c r="AY262">
        <v>25100</v>
      </c>
      <c r="AZ262">
        <v>274802</v>
      </c>
      <c r="BA262">
        <v>299900</v>
      </c>
      <c r="BB262">
        <v>347000</v>
      </c>
      <c r="BC262">
        <v>139</v>
      </c>
      <c r="BD262">
        <f>Grandview_Sales[[#This Row],[land_extract]]*Lookups!$B$3</f>
        <v>51342.29502553949</v>
      </c>
      <c r="BE262">
        <f>Lookups!$B$2</f>
        <v>155833.95000000001</v>
      </c>
      <c r="BF262">
        <f>VLOOKUP(Grandview_Sales[[#This Row],[quality]],Lookups!$H$2:$J$13,3,FALSE)</f>
        <v>9808</v>
      </c>
      <c r="BG262">
        <f>VLOOKUP(Grandview_Sales[[#This Row],[condition]],Lookups!$H$17:$J$24,3,FALSE)</f>
        <v>22342</v>
      </c>
      <c r="BH262">
        <f>Grandview_Sales[[#This Row],[Eff_Age]]*Lookups!$B$14</f>
        <v>-8609.9975999999988</v>
      </c>
      <c r="BI262">
        <f>Grandview_Sales[[#This Row],[living_area]]*Lookups!$B$15</f>
        <v>98873.652004999996</v>
      </c>
      <c r="BJ262">
        <f>Grandview_Sales[[#This Row],[Fin BSMT]]*Lookups!$B$16</f>
        <v>0</v>
      </c>
      <c r="BK262">
        <f>Grandview_Sales[[#This Row],[garage_sqft]]*Lookups!$B$17</f>
        <v>68616.022607999999</v>
      </c>
      <c r="BL262">
        <f>Grandview_Sales[[#This Row],[Plumbing Fixtures]]*Lookups!$B$18</f>
        <v>20104.418000000001</v>
      </c>
      <c r="BM262">
        <f>Grandview_Sales[[#This Row],[detatched_value]]*Lookups!$B$19</f>
        <v>0</v>
      </c>
      <c r="BN262">
        <f>Grandview_Sales[[#This Row],[days_prior]]*Lookups!$B$20</f>
        <v>-16672.8554</v>
      </c>
      <c r="BO262">
        <f>SUM(Grandview_Sales[[#This Row],[land_value]:[Days Prior To Assessment_value]])</f>
        <v>401637.48463853955</v>
      </c>
      <c r="BP262">
        <f>Grandview_Sales[[#This Row],[predicted_total]]/Grandview_Sales[[#This Row],[sale_price]]</f>
        <v>1.1574567280649555</v>
      </c>
      <c r="BQ262">
        <f>VLOOKUP(Grandview_Sales[[#This Row],[quality]],Lookups!$A$26:$C$33,3,FALSE)</f>
        <v>0.94295468617355149</v>
      </c>
      <c r="BR262">
        <f>VLOOKUP(Grandview_Sales[[#This Row],[condition]],Lookups!$A$37:$C$44,3,FALSE)</f>
        <v>0.97383723671140243</v>
      </c>
      <c r="BS262">
        <f>VLOOKUP(Grandview_Sales[[#This Row],[decade]],Lookups!$F$29:$H$43,3,FALSE)</f>
        <v>0.98031878267063854</v>
      </c>
      <c r="BT262">
        <f>VLOOKUP(Grandview_Sales[[#This Row],[living_area_range]],Lookups!$F$47:$H$56,3,FALSE)</f>
        <v>0.96120133463014379</v>
      </c>
      <c r="BU262">
        <f>Grandview_Sales[[#This Row],[predicted_total]]*AVERAGE(Grandview_Sales[[#This Row],[qual_adj]:[size_adj]])</f>
        <v>387410.68569269771</v>
      </c>
      <c r="BV262">
        <f>Grandview_Sales[[#This Row],[final_total]]/Grandview_Sales[[#This Row],[sale_price]]</f>
        <v>1.1164573074717512</v>
      </c>
      <c r="BW262" s="6">
        <f>(Grandview_Sales[[#This Row],[final_total]]-Grandview_Sales[[#This Row],[sale_price]])^2</f>
        <v>1633023518.1540029</v>
      </c>
      <c r="BX262" s="6">
        <f>(Grandview_Sales[[#This Row],[final_total]]-AVERAGE(Grandview_Sales[sale_price]))^2</f>
        <v>6472446354.9047441</v>
      </c>
      <c r="BY262" s="6">
        <f>Grandview_Sales[[#This Row],[SSE]]+Grandview_Sales[[#This Row],[SSR]]</f>
        <v>8105469873.0587473</v>
      </c>
      <c r="BZ262" s="4">
        <f>ABS(Grandview_Sales[[#This Row],[final_ratio]]-MEDIAN(Grandview_Sales[final_ratio]))</f>
        <v>0.11520858811593926</v>
      </c>
    </row>
    <row r="263" spans="1:78" x14ac:dyDescent="0.25">
      <c r="A263">
        <v>23092621621</v>
      </c>
      <c r="B263">
        <v>0</v>
      </c>
      <c r="C263">
        <v>8605</v>
      </c>
      <c r="D263">
        <v>0</v>
      </c>
      <c r="E263" t="s">
        <v>53</v>
      </c>
      <c r="F263" t="s">
        <v>53</v>
      </c>
      <c r="G263">
        <v>4</v>
      </c>
      <c r="H263" t="s">
        <v>54</v>
      </c>
      <c r="I263">
        <v>285300</v>
      </c>
      <c r="J263">
        <v>39300</v>
      </c>
      <c r="K263">
        <v>0.2</v>
      </c>
      <c r="L263">
        <v>-1.6094379124339999</v>
      </c>
      <c r="M263">
        <v>0</v>
      </c>
      <c r="N263">
        <v>0</v>
      </c>
      <c r="O263">
        <v>0</v>
      </c>
      <c r="P263">
        <v>13398.7528</v>
      </c>
      <c r="Q263">
        <v>63902.980100000001</v>
      </c>
      <c r="R263">
        <v>42338.519364346997</v>
      </c>
      <c r="S263" t="s">
        <v>55</v>
      </c>
      <c r="T263">
        <v>2</v>
      </c>
      <c r="U263" t="s">
        <v>62</v>
      </c>
      <c r="V263" t="s">
        <v>57</v>
      </c>
      <c r="W263">
        <v>0</v>
      </c>
      <c r="X263">
        <v>0</v>
      </c>
      <c r="Y263">
        <v>1</v>
      </c>
      <c r="Z263">
        <v>1</v>
      </c>
      <c r="AA263">
        <v>0</v>
      </c>
      <c r="AB263">
        <v>2500</v>
      </c>
      <c r="AC263">
        <v>2168</v>
      </c>
      <c r="AD263">
        <v>896</v>
      </c>
      <c r="AE263">
        <v>1272</v>
      </c>
      <c r="AF263">
        <v>0</v>
      </c>
      <c r="AG263">
        <v>0</v>
      </c>
      <c r="AH263">
        <v>440</v>
      </c>
      <c r="AI263">
        <v>0</v>
      </c>
      <c r="AJ263">
        <v>0</v>
      </c>
      <c r="AK263">
        <v>144</v>
      </c>
      <c r="AL263">
        <v>12</v>
      </c>
      <c r="AM263">
        <v>0</v>
      </c>
      <c r="AN263">
        <v>0</v>
      </c>
      <c r="AO263" t="s">
        <v>58</v>
      </c>
      <c r="AP263">
        <v>1</v>
      </c>
      <c r="AQ263" t="s">
        <v>59</v>
      </c>
      <c r="AR263" t="s">
        <v>60</v>
      </c>
      <c r="AS263">
        <v>1</v>
      </c>
      <c r="AT263">
        <v>3</v>
      </c>
      <c r="AU263">
        <v>0</v>
      </c>
      <c r="AV263">
        <v>0</v>
      </c>
      <c r="AW263">
        <v>100</v>
      </c>
      <c r="AX263" s="1">
        <v>44803</v>
      </c>
      <c r="AY263">
        <v>22500</v>
      </c>
      <c r="AZ263">
        <v>348473</v>
      </c>
      <c r="BA263">
        <v>371000</v>
      </c>
      <c r="BB263">
        <v>388030</v>
      </c>
      <c r="BC263">
        <v>124</v>
      </c>
      <c r="BD263">
        <f>Grandview_Sales[[#This Row],[land_extract]]*Lookups!$B$3</f>
        <v>49167.608223813884</v>
      </c>
      <c r="BE263">
        <f>Lookups!$B$2</f>
        <v>155833.95000000001</v>
      </c>
      <c r="BF263">
        <f>VLOOKUP(Grandview_Sales[[#This Row],[quality]],Lookups!$H$2:$J$13,3,FALSE)</f>
        <v>9808</v>
      </c>
      <c r="BG263">
        <f>VLOOKUP(Grandview_Sales[[#This Row],[condition]],Lookups!$H$17:$J$24,3,FALSE)</f>
        <v>25780</v>
      </c>
      <c r="BH263">
        <f>Grandview_Sales[[#This Row],[Eff_Age]]*Lookups!$B$14</f>
        <v>-239.16659999999999</v>
      </c>
      <c r="BI263">
        <f>Grandview_Sales[[#This Row],[living_area]]*Lookups!$B$15</f>
        <v>135241.689304</v>
      </c>
      <c r="BJ263">
        <f>Grandview_Sales[[#This Row],[Fin BSMT]]*Lookups!$B$16</f>
        <v>0</v>
      </c>
      <c r="BK263">
        <f>Grandview_Sales[[#This Row],[garage_sqft]]*Lookups!$B$17</f>
        <v>38508.992279999999</v>
      </c>
      <c r="BL263">
        <f>Grandview_Sales[[#This Row],[Plumbing Fixtures]]*Lookups!$B$18</f>
        <v>24125.301599999999</v>
      </c>
      <c r="BM263">
        <f>Grandview_Sales[[#This Row],[detatched_value]]*Lookups!$B$19</f>
        <v>0</v>
      </c>
      <c r="BN263">
        <f>Grandview_Sales[[#This Row],[days_prior]]*Lookups!$B$20</f>
        <v>-14873.626399999999</v>
      </c>
      <c r="BO263">
        <f>SUM(Grandview_Sales[[#This Row],[land_value]:[Days Prior To Assessment_value]])</f>
        <v>423352.7484078139</v>
      </c>
      <c r="BP263">
        <f>Grandview_Sales[[#This Row],[predicted_total]]/Grandview_Sales[[#This Row],[sale_price]]</f>
        <v>1.0910309728830603</v>
      </c>
      <c r="BQ263">
        <f>VLOOKUP(Grandview_Sales[[#This Row],[quality]],Lookups!$A$26:$C$33,3,FALSE)</f>
        <v>0.94295468617355149</v>
      </c>
      <c r="BR263">
        <f>VLOOKUP(Grandview_Sales[[#This Row],[condition]],Lookups!$A$37:$C$44,3,FALSE)</f>
        <v>0.94347925387812148</v>
      </c>
      <c r="BS263">
        <f>VLOOKUP(Grandview_Sales[[#This Row],[decade]],Lookups!$F$29:$H$43,3,FALSE)</f>
        <v>0.9413635517371044</v>
      </c>
      <c r="BT263">
        <f>VLOOKUP(Grandview_Sales[[#This Row],[living_area_range]],Lookups!$F$47:$H$56,3,FALSE)</f>
        <v>0.95799442568048754</v>
      </c>
      <c r="BU263">
        <f>Grandview_Sales[[#This Row],[predicted_total]]*AVERAGE(Grandview_Sales[[#This Row],[qual_adj]:[size_adj]])</f>
        <v>400681.35329017526</v>
      </c>
      <c r="BV263">
        <f>Grandview_Sales[[#This Row],[final_total]]/Grandview_Sales[[#This Row],[sale_price]]</f>
        <v>1.0326040597123296</v>
      </c>
      <c r="BW263" s="6">
        <f>(Grandview_Sales[[#This Row],[final_total]]-Grandview_Sales[[#This Row],[sale_price]])^2</f>
        <v>160056740.07282844</v>
      </c>
      <c r="BX263" s="6">
        <f>(Grandview_Sales[[#This Row],[final_total]]-AVERAGE(Grandview_Sales[sale_price]))^2</f>
        <v>8783847614.6432705</v>
      </c>
      <c r="BY263" s="6">
        <f>Grandview_Sales[[#This Row],[SSE]]+Grandview_Sales[[#This Row],[SSR]]</f>
        <v>8943904354.7160988</v>
      </c>
      <c r="BZ263" s="4">
        <f>ABS(Grandview_Sales[[#This Row],[final_ratio]]-MEDIAN(Grandview_Sales[final_ratio]))</f>
        <v>3.1355340356517658E-2</v>
      </c>
    </row>
    <row r="264" spans="1:78" x14ac:dyDescent="0.25">
      <c r="A264">
        <v>23092224435</v>
      </c>
      <c r="B264">
        <v>0.19</v>
      </c>
      <c r="C264">
        <v>8093</v>
      </c>
      <c r="D264">
        <v>0</v>
      </c>
      <c r="E264" t="s">
        <v>53</v>
      </c>
      <c r="F264" t="s">
        <v>53</v>
      </c>
      <c r="G264">
        <v>4</v>
      </c>
      <c r="H264" t="s">
        <v>54</v>
      </c>
      <c r="I264">
        <v>220600</v>
      </c>
      <c r="J264">
        <v>43300</v>
      </c>
      <c r="K264">
        <v>0.19</v>
      </c>
      <c r="L264">
        <v>-1.6607312068219999</v>
      </c>
      <c r="M264">
        <v>0</v>
      </c>
      <c r="N264">
        <v>0</v>
      </c>
      <c r="O264">
        <v>0</v>
      </c>
      <c r="P264">
        <v>13398.7528</v>
      </c>
      <c r="Q264">
        <v>63902.980100000001</v>
      </c>
      <c r="R264">
        <v>41651.253192550997</v>
      </c>
      <c r="S264" t="s">
        <v>58</v>
      </c>
      <c r="T264">
        <v>2</v>
      </c>
      <c r="U264" t="s">
        <v>64</v>
      </c>
      <c r="V264" t="s">
        <v>67</v>
      </c>
      <c r="W264">
        <v>0</v>
      </c>
      <c r="X264">
        <v>0</v>
      </c>
      <c r="Y264">
        <v>43</v>
      </c>
      <c r="Z264">
        <v>44</v>
      </c>
      <c r="AA264">
        <v>40</v>
      </c>
      <c r="AB264">
        <v>2000</v>
      </c>
      <c r="AC264">
        <v>1860</v>
      </c>
      <c r="AD264">
        <v>1170</v>
      </c>
      <c r="AE264">
        <v>690</v>
      </c>
      <c r="AF264">
        <v>0</v>
      </c>
      <c r="AG264">
        <v>0</v>
      </c>
      <c r="AH264">
        <v>460</v>
      </c>
      <c r="AI264">
        <v>0</v>
      </c>
      <c r="AJ264">
        <v>456</v>
      </c>
      <c r="AK264">
        <v>400</v>
      </c>
      <c r="AL264">
        <v>12</v>
      </c>
      <c r="AM264">
        <v>0</v>
      </c>
      <c r="AN264">
        <v>0</v>
      </c>
      <c r="AO264" t="s">
        <v>58</v>
      </c>
      <c r="AP264">
        <v>1</v>
      </c>
      <c r="AQ264" t="s">
        <v>63</v>
      </c>
      <c r="AR264" t="s">
        <v>60</v>
      </c>
      <c r="AS264">
        <v>1</v>
      </c>
      <c r="AT264">
        <v>3</v>
      </c>
      <c r="AU264">
        <v>0</v>
      </c>
      <c r="AV264">
        <v>0</v>
      </c>
      <c r="AW264">
        <v>100</v>
      </c>
      <c r="AX264" s="1">
        <v>44816</v>
      </c>
      <c r="AY264">
        <v>24800</v>
      </c>
      <c r="AZ264">
        <v>306624</v>
      </c>
      <c r="BA264">
        <v>331400</v>
      </c>
      <c r="BB264">
        <v>385000</v>
      </c>
      <c r="BC264">
        <v>111</v>
      </c>
      <c r="BD264">
        <f>Grandview_Sales[[#This Row],[land_extract]]*Lookups!$B$3</f>
        <v>48369.487874125851</v>
      </c>
      <c r="BE264">
        <f>Lookups!$B$2</f>
        <v>155833.95000000001</v>
      </c>
      <c r="BF264">
        <f>VLOOKUP(Grandview_Sales[[#This Row],[quality]],Lookups!$H$2:$J$13,3,FALSE)</f>
        <v>20768</v>
      </c>
      <c r="BG264">
        <f>VLOOKUP(Grandview_Sales[[#This Row],[condition]],Lookups!$H$17:$J$24,3,FALSE)</f>
        <v>22342</v>
      </c>
      <c r="BH264">
        <f>Grandview_Sales[[#This Row],[Eff_Age]]*Lookups!$B$14</f>
        <v>-10284.1638</v>
      </c>
      <c r="BI264">
        <f>Grandview_Sales[[#This Row],[living_area]]*Lookups!$B$15</f>
        <v>116028.38658000001</v>
      </c>
      <c r="BJ264">
        <f>Grandview_Sales[[#This Row],[Fin BSMT]]*Lookups!$B$16</f>
        <v>0</v>
      </c>
      <c r="BK264">
        <f>Grandview_Sales[[#This Row],[garage_sqft]]*Lookups!$B$17</f>
        <v>40259.401019999998</v>
      </c>
      <c r="BL264">
        <f>Grandview_Sales[[#This Row],[Plumbing Fixtures]]*Lookups!$B$18</f>
        <v>24125.301599999999</v>
      </c>
      <c r="BM264">
        <f>Grandview_Sales[[#This Row],[detatched_value]]*Lookups!$B$19</f>
        <v>0</v>
      </c>
      <c r="BN264">
        <f>Grandview_Sales[[#This Row],[days_prior]]*Lookups!$B$20</f>
        <v>-13314.294599999999</v>
      </c>
      <c r="BO264">
        <f>SUM(Grandview_Sales[[#This Row],[land_value]:[Days Prior To Assessment_value]])</f>
        <v>404128.06867412583</v>
      </c>
      <c r="BP264">
        <f>Grandview_Sales[[#This Row],[predicted_total]]/Grandview_Sales[[#This Row],[sale_price]]</f>
        <v>1.0496832952574697</v>
      </c>
      <c r="BQ264">
        <f>VLOOKUP(Grandview_Sales[[#This Row],[quality]],Lookups!$A$26:$C$33,3,FALSE)</f>
        <v>0.94960540378902636</v>
      </c>
      <c r="BR264">
        <f>VLOOKUP(Grandview_Sales[[#This Row],[condition]],Lookups!$A$37:$C$44,3,FALSE)</f>
        <v>0.97383723671140243</v>
      </c>
      <c r="BS264">
        <f>VLOOKUP(Grandview_Sales[[#This Row],[decade]],Lookups!$F$29:$H$43,3,FALSE)</f>
        <v>0.98031878267063854</v>
      </c>
      <c r="BT264">
        <f>VLOOKUP(Grandview_Sales[[#This Row],[living_area_range]],Lookups!$F$47:$H$56,3,FALSE)</f>
        <v>0.96120133463014379</v>
      </c>
      <c r="BU264">
        <f>Grandview_Sales[[#This Row],[predicted_total]]*AVERAGE(Grandview_Sales[[#This Row],[qual_adj]:[size_adj]])</f>
        <v>390484.98370190669</v>
      </c>
      <c r="BV264">
        <f>Grandview_Sales[[#This Row],[final_total]]/Grandview_Sales[[#This Row],[sale_price]]</f>
        <v>1.0142467109140434</v>
      </c>
      <c r="BW264" s="6">
        <f>(Grandview_Sales[[#This Row],[final_total]]-Grandview_Sales[[#This Row],[sale_price]])^2</f>
        <v>30085046.210182026</v>
      </c>
      <c r="BX264" s="6">
        <f>(Grandview_Sales[[#This Row],[final_total]]-AVERAGE(Grandview_Sales[sale_price]))^2</f>
        <v>6976561531.3640108</v>
      </c>
      <c r="BY264" s="6">
        <f>Grandview_Sales[[#This Row],[SSE]]+Grandview_Sales[[#This Row],[SSR]]</f>
        <v>7006646577.574193</v>
      </c>
      <c r="BZ264" s="4">
        <f>ABS(Grandview_Sales[[#This Row],[final_ratio]]-MEDIAN(Grandview_Sales[final_ratio]))</f>
        <v>1.2997991558231448E-2</v>
      </c>
    </row>
    <row r="265" spans="1:78" x14ac:dyDescent="0.25">
      <c r="A265">
        <v>23092232491</v>
      </c>
      <c r="B265">
        <v>0</v>
      </c>
      <c r="C265">
        <v>8896</v>
      </c>
      <c r="D265">
        <v>0</v>
      </c>
      <c r="E265" t="s">
        <v>53</v>
      </c>
      <c r="F265" t="s">
        <v>53</v>
      </c>
      <c r="G265">
        <v>4</v>
      </c>
      <c r="H265" t="s">
        <v>54</v>
      </c>
      <c r="I265">
        <v>290900</v>
      </c>
      <c r="J265">
        <v>39300</v>
      </c>
      <c r="K265">
        <v>0.2</v>
      </c>
      <c r="L265">
        <v>-1.6094379124339999</v>
      </c>
      <c r="M265">
        <v>0</v>
      </c>
      <c r="N265">
        <v>0</v>
      </c>
      <c r="O265">
        <v>0</v>
      </c>
      <c r="P265">
        <v>13398.7528</v>
      </c>
      <c r="Q265">
        <v>63902.980100000001</v>
      </c>
      <c r="R265">
        <v>42338.519364346997</v>
      </c>
      <c r="S265" t="s">
        <v>55</v>
      </c>
      <c r="T265">
        <v>1</v>
      </c>
      <c r="U265" t="s">
        <v>62</v>
      </c>
      <c r="V265" t="s">
        <v>57</v>
      </c>
      <c r="W265">
        <v>0</v>
      </c>
      <c r="X265">
        <v>0</v>
      </c>
      <c r="Y265">
        <v>1</v>
      </c>
      <c r="Z265">
        <v>1</v>
      </c>
      <c r="AA265">
        <v>0</v>
      </c>
      <c r="AB265">
        <v>2000</v>
      </c>
      <c r="AC265">
        <v>1598</v>
      </c>
      <c r="AD265">
        <v>1598</v>
      </c>
      <c r="AE265">
        <v>0</v>
      </c>
      <c r="AF265">
        <v>0</v>
      </c>
      <c r="AG265">
        <v>0</v>
      </c>
      <c r="AH265">
        <v>788</v>
      </c>
      <c r="AI265">
        <v>0</v>
      </c>
      <c r="AJ265">
        <v>0</v>
      </c>
      <c r="AK265">
        <v>0</v>
      </c>
      <c r="AL265">
        <v>9</v>
      </c>
      <c r="AM265">
        <v>0</v>
      </c>
      <c r="AN265">
        <v>0</v>
      </c>
      <c r="AO265" t="s">
        <v>58</v>
      </c>
      <c r="AP265">
        <v>1</v>
      </c>
      <c r="AQ265" t="s">
        <v>63</v>
      </c>
      <c r="AR265" t="s">
        <v>64</v>
      </c>
      <c r="AS265">
        <v>1</v>
      </c>
      <c r="AT265">
        <v>3</v>
      </c>
      <c r="AU265">
        <v>0</v>
      </c>
      <c r="AV265">
        <v>0</v>
      </c>
      <c r="AW265">
        <v>100</v>
      </c>
      <c r="AX265" s="1">
        <v>44819</v>
      </c>
      <c r="AY265">
        <v>22500</v>
      </c>
      <c r="AZ265">
        <v>282728</v>
      </c>
      <c r="BA265">
        <v>305200</v>
      </c>
      <c r="BB265">
        <v>423850</v>
      </c>
      <c r="BC265">
        <v>108</v>
      </c>
      <c r="BD265">
        <f>Grandview_Sales[[#This Row],[land_extract]]*Lookups!$B$3</f>
        <v>49167.608223813884</v>
      </c>
      <c r="BE265">
        <f>Lookups!$B$2</f>
        <v>155833.95000000001</v>
      </c>
      <c r="BF265">
        <f>VLOOKUP(Grandview_Sales[[#This Row],[quality]],Lookups!$H$2:$J$13,3,FALSE)</f>
        <v>9808</v>
      </c>
      <c r="BG265">
        <f>VLOOKUP(Grandview_Sales[[#This Row],[condition]],Lookups!$H$17:$J$24,3,FALSE)</f>
        <v>25780</v>
      </c>
      <c r="BH265">
        <f>Grandview_Sales[[#This Row],[Eff_Age]]*Lookups!$B$14</f>
        <v>-239.16659999999999</v>
      </c>
      <c r="BI265">
        <f>Grandview_Sales[[#This Row],[living_area]]*Lookups!$B$15</f>
        <v>99684.603094000006</v>
      </c>
      <c r="BJ265">
        <f>Grandview_Sales[[#This Row],[Fin BSMT]]*Lookups!$B$16</f>
        <v>0</v>
      </c>
      <c r="BK265">
        <f>Grandview_Sales[[#This Row],[garage_sqft]]*Lookups!$B$17</f>
        <v>68966.104355999996</v>
      </c>
      <c r="BL265">
        <f>Grandview_Sales[[#This Row],[Plumbing Fixtures]]*Lookups!$B$18</f>
        <v>18093.976200000001</v>
      </c>
      <c r="BM265">
        <f>Grandview_Sales[[#This Row],[detatched_value]]*Lookups!$B$19</f>
        <v>0</v>
      </c>
      <c r="BN265">
        <f>Grandview_Sales[[#This Row],[days_prior]]*Lookups!$B$20</f>
        <v>-12954.4488</v>
      </c>
      <c r="BO265">
        <f>SUM(Grandview_Sales[[#This Row],[land_value]:[Days Prior To Assessment_value]])</f>
        <v>414140.62647381384</v>
      </c>
      <c r="BP265">
        <f>Grandview_Sales[[#This Row],[predicted_total]]/Grandview_Sales[[#This Row],[sale_price]]</f>
        <v>0.97709243004320834</v>
      </c>
      <c r="BQ265">
        <f>VLOOKUP(Grandview_Sales[[#This Row],[quality]],Lookups!$A$26:$C$33,3,FALSE)</f>
        <v>0.94295468617355149</v>
      </c>
      <c r="BR265">
        <f>VLOOKUP(Grandview_Sales[[#This Row],[condition]],Lookups!$A$37:$C$44,3,FALSE)</f>
        <v>0.94347925387812148</v>
      </c>
      <c r="BS265">
        <f>VLOOKUP(Grandview_Sales[[#This Row],[decade]],Lookups!$F$29:$H$43,3,FALSE)</f>
        <v>0.9413635517371044</v>
      </c>
      <c r="BT265">
        <f>VLOOKUP(Grandview_Sales[[#This Row],[living_area_range]],Lookups!$F$47:$H$56,3,FALSE)</f>
        <v>0.96120133463014379</v>
      </c>
      <c r="BU265">
        <f>Grandview_Sales[[#This Row],[predicted_total]]*AVERAGE(Grandview_Sales[[#This Row],[qual_adj]:[size_adj]])</f>
        <v>392294.58692041936</v>
      </c>
      <c r="BV265">
        <f>Grandview_Sales[[#This Row],[final_total]]/Grandview_Sales[[#This Row],[sale_price]]</f>
        <v>0.92555051768413199</v>
      </c>
      <c r="BW265" s="6">
        <f>(Grandview_Sales[[#This Row],[final_total]]-Grandview_Sales[[#This Row],[sale_price]])^2</f>
        <v>995744094.62296903</v>
      </c>
      <c r="BX265" s="6">
        <f>(Grandview_Sales[[#This Row],[final_total]]-AVERAGE(Grandview_Sales[sale_price]))^2</f>
        <v>7282133357.2775145</v>
      </c>
      <c r="BY265" s="6">
        <f>Grandview_Sales[[#This Row],[SSE]]+Grandview_Sales[[#This Row],[SSR]]</f>
        <v>8277877451.9004831</v>
      </c>
      <c r="BZ265" s="4">
        <f>ABS(Grandview_Sales[[#This Row],[final_ratio]]-MEDIAN(Grandview_Sales[final_ratio]))</f>
        <v>7.5698201671679954E-2</v>
      </c>
    </row>
    <row r="266" spans="1:78" x14ac:dyDescent="0.25">
      <c r="A266">
        <v>23092621594</v>
      </c>
      <c r="B266">
        <v>0</v>
      </c>
      <c r="C266">
        <v>8250</v>
      </c>
      <c r="D266">
        <v>0</v>
      </c>
      <c r="E266" t="s">
        <v>53</v>
      </c>
      <c r="F266" t="s">
        <v>53</v>
      </c>
      <c r="G266">
        <v>4</v>
      </c>
      <c r="H266" t="s">
        <v>54</v>
      </c>
      <c r="I266">
        <v>165100</v>
      </c>
      <c r="J266">
        <v>39100</v>
      </c>
      <c r="K266">
        <v>0.19</v>
      </c>
      <c r="L266">
        <v>-1.6607312068219999</v>
      </c>
      <c r="M266">
        <v>0</v>
      </c>
      <c r="N266">
        <v>0</v>
      </c>
      <c r="O266">
        <v>0</v>
      </c>
      <c r="P266">
        <v>13398.7528</v>
      </c>
      <c r="Q266">
        <v>63902.980100000001</v>
      </c>
      <c r="R266">
        <v>41651.253192550997</v>
      </c>
      <c r="S266" t="s">
        <v>61</v>
      </c>
      <c r="T266">
        <v>1</v>
      </c>
      <c r="U266" t="s">
        <v>62</v>
      </c>
      <c r="V266" t="s">
        <v>57</v>
      </c>
      <c r="W266">
        <v>0</v>
      </c>
      <c r="X266">
        <v>0</v>
      </c>
      <c r="Y266">
        <v>1</v>
      </c>
      <c r="Z266">
        <v>1</v>
      </c>
      <c r="AA266">
        <v>0</v>
      </c>
      <c r="AB266">
        <v>1500</v>
      </c>
      <c r="AC266">
        <v>1460</v>
      </c>
      <c r="AD266">
        <v>1460</v>
      </c>
      <c r="AE266">
        <v>0</v>
      </c>
      <c r="AF266">
        <v>0</v>
      </c>
      <c r="AG266">
        <v>0</v>
      </c>
      <c r="AH266">
        <v>400</v>
      </c>
      <c r="AI266">
        <v>0</v>
      </c>
      <c r="AJ266">
        <v>0</v>
      </c>
      <c r="AK266">
        <v>60</v>
      </c>
      <c r="AL266">
        <v>9</v>
      </c>
      <c r="AM266">
        <v>0</v>
      </c>
      <c r="AN266">
        <v>0</v>
      </c>
      <c r="AO266" t="s">
        <v>58</v>
      </c>
      <c r="AP266">
        <v>1</v>
      </c>
      <c r="AQ266" t="s">
        <v>59</v>
      </c>
      <c r="AR266" t="s">
        <v>60</v>
      </c>
      <c r="AS266">
        <v>1</v>
      </c>
      <c r="AT266">
        <v>3</v>
      </c>
      <c r="AU266">
        <v>0</v>
      </c>
      <c r="AV266">
        <v>0</v>
      </c>
      <c r="AW266">
        <v>100</v>
      </c>
      <c r="AX266" s="1">
        <v>44824</v>
      </c>
      <c r="AY266">
        <v>22400</v>
      </c>
      <c r="AZ266">
        <v>262095</v>
      </c>
      <c r="BA266">
        <v>284500</v>
      </c>
      <c r="BB266">
        <v>333210</v>
      </c>
      <c r="BC266">
        <v>103</v>
      </c>
      <c r="BD266">
        <f>Grandview_Sales[[#This Row],[land_extract]]*Lookups!$B$3</f>
        <v>48369.487874125851</v>
      </c>
      <c r="BE266">
        <f>Lookups!$B$2</f>
        <v>155833.95000000001</v>
      </c>
      <c r="BF266">
        <f>VLOOKUP(Grandview_Sales[[#This Row],[quality]],Lookups!$H$2:$J$13,3,FALSE)</f>
        <v>9808</v>
      </c>
      <c r="BG266">
        <f>VLOOKUP(Grandview_Sales[[#This Row],[condition]],Lookups!$H$17:$J$24,3,FALSE)</f>
        <v>25780</v>
      </c>
      <c r="BH266">
        <f>Grandview_Sales[[#This Row],[Eff_Age]]*Lookups!$B$14</f>
        <v>-239.16659999999999</v>
      </c>
      <c r="BI266">
        <f>Grandview_Sales[[#This Row],[living_area]]*Lookups!$B$15</f>
        <v>91076.045379999996</v>
      </c>
      <c r="BJ266">
        <f>Grandview_Sales[[#This Row],[Fin BSMT]]*Lookups!$B$16</f>
        <v>0</v>
      </c>
      <c r="BK266">
        <f>Grandview_Sales[[#This Row],[garage_sqft]]*Lookups!$B$17</f>
        <v>35008.174800000001</v>
      </c>
      <c r="BL266">
        <f>Grandview_Sales[[#This Row],[Plumbing Fixtures]]*Lookups!$B$18</f>
        <v>18093.976200000001</v>
      </c>
      <c r="BM266">
        <f>Grandview_Sales[[#This Row],[detatched_value]]*Lookups!$B$19</f>
        <v>0</v>
      </c>
      <c r="BN266">
        <f>Grandview_Sales[[#This Row],[days_prior]]*Lookups!$B$20</f>
        <v>-12354.7058</v>
      </c>
      <c r="BO266">
        <f>SUM(Grandview_Sales[[#This Row],[land_value]:[Days Prior To Assessment_value]])</f>
        <v>371375.76185412583</v>
      </c>
      <c r="BP266">
        <f>Grandview_Sales[[#This Row],[predicted_total]]/Grandview_Sales[[#This Row],[sale_price]]</f>
        <v>1.1145396652385158</v>
      </c>
      <c r="BQ266">
        <f>VLOOKUP(Grandview_Sales[[#This Row],[quality]],Lookups!$A$26:$C$33,3,FALSE)</f>
        <v>0.94295468617355149</v>
      </c>
      <c r="BR266">
        <f>VLOOKUP(Grandview_Sales[[#This Row],[condition]],Lookups!$A$37:$C$44,3,FALSE)</f>
        <v>0.94347925387812148</v>
      </c>
      <c r="BS266">
        <f>VLOOKUP(Grandview_Sales[[#This Row],[decade]],Lookups!$F$29:$H$43,3,FALSE)</f>
        <v>0.9413635517371044</v>
      </c>
      <c r="BT266">
        <f>VLOOKUP(Grandview_Sales[[#This Row],[living_area_range]],Lookups!$F$47:$H$56,3,FALSE)</f>
        <v>0.96135087979789358</v>
      </c>
      <c r="BU266">
        <f>Grandview_Sales[[#This Row],[predicted_total]]*AVERAGE(Grandview_Sales[[#This Row],[qual_adj]:[size_adj]])</f>
        <v>351799.46581908001</v>
      </c>
      <c r="BV266">
        <f>Grandview_Sales[[#This Row],[final_total]]/Grandview_Sales[[#This Row],[sale_price]]</f>
        <v>1.0557890394018188</v>
      </c>
      <c r="BW266" s="6">
        <f>(Grandview_Sales[[#This Row],[final_total]]-Grandview_Sales[[#This Row],[sale_price]])^2</f>
        <v>345568239.43874407</v>
      </c>
      <c r="BX266" s="6">
        <f>(Grandview_Sales[[#This Row],[final_total]]-AVERAGE(Grandview_Sales[sale_price]))^2</f>
        <v>2010652116.6869678</v>
      </c>
      <c r="BY266" s="6">
        <f>Grandview_Sales[[#This Row],[SSE]]+Grandview_Sales[[#This Row],[SSR]]</f>
        <v>2356220356.1257119</v>
      </c>
      <c r="BZ266" s="4">
        <f>ABS(Grandview_Sales[[#This Row],[final_ratio]]-MEDIAN(Grandview_Sales[final_ratio]))</f>
        <v>5.454032004600684E-2</v>
      </c>
    </row>
    <row r="267" spans="1:78" x14ac:dyDescent="0.25">
      <c r="A267">
        <v>23092621441</v>
      </c>
      <c r="B267">
        <v>0</v>
      </c>
      <c r="C267">
        <v>9900</v>
      </c>
      <c r="D267">
        <v>0</v>
      </c>
      <c r="E267" t="s">
        <v>53</v>
      </c>
      <c r="F267" t="s">
        <v>53</v>
      </c>
      <c r="G267">
        <v>4</v>
      </c>
      <c r="H267" t="s">
        <v>54</v>
      </c>
      <c r="I267">
        <v>302600</v>
      </c>
      <c r="J267">
        <v>39500</v>
      </c>
      <c r="K267">
        <v>0.23</v>
      </c>
      <c r="L267">
        <v>-1.4696759700590001</v>
      </c>
      <c r="M267">
        <v>0</v>
      </c>
      <c r="N267">
        <v>0</v>
      </c>
      <c r="O267">
        <v>0</v>
      </c>
      <c r="P267">
        <v>13398.7528</v>
      </c>
      <c r="Q267">
        <v>63902.980100000001</v>
      </c>
      <c r="R267">
        <v>44211.155081080004</v>
      </c>
      <c r="S267" t="s">
        <v>58</v>
      </c>
      <c r="T267">
        <v>1</v>
      </c>
      <c r="U267" t="s">
        <v>62</v>
      </c>
      <c r="V267" t="s">
        <v>57</v>
      </c>
      <c r="W267">
        <v>0</v>
      </c>
      <c r="X267">
        <v>0</v>
      </c>
      <c r="Y267">
        <v>1</v>
      </c>
      <c r="Z267">
        <v>1</v>
      </c>
      <c r="AA267">
        <v>0</v>
      </c>
      <c r="AB267">
        <v>2000</v>
      </c>
      <c r="AC267">
        <v>1944</v>
      </c>
      <c r="AD267">
        <v>1944</v>
      </c>
      <c r="AE267">
        <v>0</v>
      </c>
      <c r="AF267">
        <v>0</v>
      </c>
      <c r="AG267">
        <v>0</v>
      </c>
      <c r="AH267">
        <v>698</v>
      </c>
      <c r="AI267">
        <v>0</v>
      </c>
      <c r="AJ267">
        <v>0</v>
      </c>
      <c r="AK267">
        <v>0</v>
      </c>
      <c r="AL267">
        <v>9</v>
      </c>
      <c r="AM267">
        <v>0</v>
      </c>
      <c r="AN267">
        <v>0</v>
      </c>
      <c r="AO267" t="s">
        <v>58</v>
      </c>
      <c r="AP267">
        <v>1</v>
      </c>
      <c r="AQ267" t="s">
        <v>63</v>
      </c>
      <c r="AR267" t="s">
        <v>64</v>
      </c>
      <c r="AS267">
        <v>1</v>
      </c>
      <c r="AT267">
        <v>3</v>
      </c>
      <c r="AU267">
        <v>0</v>
      </c>
      <c r="AV267">
        <v>0</v>
      </c>
      <c r="AW267">
        <v>100</v>
      </c>
      <c r="AX267" s="1">
        <v>44825</v>
      </c>
      <c r="AY267">
        <v>22600</v>
      </c>
      <c r="AZ267">
        <v>338858</v>
      </c>
      <c r="BA267">
        <v>361500</v>
      </c>
      <c r="BB267">
        <v>428900</v>
      </c>
      <c r="BC267">
        <v>102</v>
      </c>
      <c r="BD267">
        <f>Grandview_Sales[[#This Row],[land_extract]]*Lookups!$B$3</f>
        <v>51342.29502553949</v>
      </c>
      <c r="BE267">
        <f>Lookups!$B$2</f>
        <v>155833.95000000001</v>
      </c>
      <c r="BF267">
        <f>VLOOKUP(Grandview_Sales[[#This Row],[quality]],Lookups!$H$2:$J$13,3,FALSE)</f>
        <v>9808</v>
      </c>
      <c r="BG267">
        <f>VLOOKUP(Grandview_Sales[[#This Row],[condition]],Lookups!$H$17:$J$24,3,FALSE)</f>
        <v>25780</v>
      </c>
      <c r="BH267">
        <f>Grandview_Sales[[#This Row],[Eff_Age]]*Lookups!$B$14</f>
        <v>-239.16659999999999</v>
      </c>
      <c r="BI267">
        <f>Grandview_Sales[[#This Row],[living_area]]*Lookups!$B$15</f>
        <v>121268.378232</v>
      </c>
      <c r="BJ267">
        <f>Grandview_Sales[[#This Row],[Fin BSMT]]*Lookups!$B$16</f>
        <v>0</v>
      </c>
      <c r="BK267">
        <f>Grandview_Sales[[#This Row],[garage_sqft]]*Lookups!$B$17</f>
        <v>61089.265026000001</v>
      </c>
      <c r="BL267">
        <f>Grandview_Sales[[#This Row],[Plumbing Fixtures]]*Lookups!$B$18</f>
        <v>18093.976200000001</v>
      </c>
      <c r="BM267">
        <f>Grandview_Sales[[#This Row],[detatched_value]]*Lookups!$B$19</f>
        <v>0</v>
      </c>
      <c r="BN267">
        <f>Grandview_Sales[[#This Row],[days_prior]]*Lookups!$B$20</f>
        <v>-12234.7572</v>
      </c>
      <c r="BO267">
        <f>SUM(Grandview_Sales[[#This Row],[land_value]:[Days Prior To Assessment_value]])</f>
        <v>430741.94068353949</v>
      </c>
      <c r="BP267">
        <f>Grandview_Sales[[#This Row],[predicted_total]]/Grandview_Sales[[#This Row],[sale_price]]</f>
        <v>1.0042945690919549</v>
      </c>
      <c r="BQ267">
        <f>VLOOKUP(Grandview_Sales[[#This Row],[quality]],Lookups!$A$26:$C$33,3,FALSE)</f>
        <v>0.94295468617355149</v>
      </c>
      <c r="BR267">
        <f>VLOOKUP(Grandview_Sales[[#This Row],[condition]],Lookups!$A$37:$C$44,3,FALSE)</f>
        <v>0.94347925387812148</v>
      </c>
      <c r="BS267">
        <f>VLOOKUP(Grandview_Sales[[#This Row],[decade]],Lookups!$F$29:$H$43,3,FALSE)</f>
        <v>0.9413635517371044</v>
      </c>
      <c r="BT267">
        <f>VLOOKUP(Grandview_Sales[[#This Row],[living_area_range]],Lookups!$F$47:$H$56,3,FALSE)</f>
        <v>0.96120133463014379</v>
      </c>
      <c r="BU267">
        <f>Grandview_Sales[[#This Row],[predicted_total]]*AVERAGE(Grandview_Sales[[#This Row],[qual_adj]:[size_adj]])</f>
        <v>408020.17693483492</v>
      </c>
      <c r="BV267">
        <f>Grandview_Sales[[#This Row],[final_total]]/Grandview_Sales[[#This Row],[sale_price]]</f>
        <v>0.95131773591707836</v>
      </c>
      <c r="BW267" s="6">
        <f>(Grandview_Sales[[#This Row],[final_total]]-Grandview_Sales[[#This Row],[sale_price]])^2</f>
        <v>435967011.23259974</v>
      </c>
      <c r="BX267" s="6">
        <f>(Grandview_Sales[[#This Row],[final_total]]-AVERAGE(Grandview_Sales[sale_price]))^2</f>
        <v>10213327094.610252</v>
      </c>
      <c r="BY267" s="6">
        <f>Grandview_Sales[[#This Row],[SSE]]+Grandview_Sales[[#This Row],[SSR]]</f>
        <v>10649294105.842852</v>
      </c>
      <c r="BZ267" s="4">
        <f>ABS(Grandview_Sales[[#This Row],[final_ratio]]-MEDIAN(Grandview_Sales[final_ratio]))</f>
        <v>4.9930983438733589E-2</v>
      </c>
    </row>
    <row r="268" spans="1:78" x14ac:dyDescent="0.25">
      <c r="A268">
        <v>23091431400</v>
      </c>
      <c r="B268">
        <v>0.25</v>
      </c>
      <c r="C268">
        <v>0</v>
      </c>
      <c r="D268">
        <v>0</v>
      </c>
      <c r="E268" t="s">
        <v>53</v>
      </c>
      <c r="F268" t="s">
        <v>53</v>
      </c>
      <c r="G268">
        <v>4</v>
      </c>
      <c r="H268" t="s">
        <v>54</v>
      </c>
      <c r="I268">
        <v>253000</v>
      </c>
      <c r="J268">
        <v>41600</v>
      </c>
      <c r="K268">
        <v>0.25</v>
      </c>
      <c r="L268">
        <v>-1.38629436112</v>
      </c>
      <c r="M268">
        <v>0</v>
      </c>
      <c r="N268">
        <v>0</v>
      </c>
      <c r="O268">
        <v>0</v>
      </c>
      <c r="P268">
        <v>13398.7528</v>
      </c>
      <c r="Q268">
        <v>63902.980100000001</v>
      </c>
      <c r="R268">
        <v>45328.364647321003</v>
      </c>
      <c r="S268" t="s">
        <v>55</v>
      </c>
      <c r="T268">
        <v>2</v>
      </c>
      <c r="U268" t="s">
        <v>65</v>
      </c>
      <c r="V268" t="s">
        <v>69</v>
      </c>
      <c r="W268">
        <v>0</v>
      </c>
      <c r="X268">
        <v>0</v>
      </c>
      <c r="Y268">
        <v>52</v>
      </c>
      <c r="Z268">
        <v>88</v>
      </c>
      <c r="AA268">
        <v>90</v>
      </c>
      <c r="AB268">
        <v>3000</v>
      </c>
      <c r="AC268">
        <v>2522</v>
      </c>
      <c r="AD268">
        <v>1667</v>
      </c>
      <c r="AE268">
        <v>855</v>
      </c>
      <c r="AF268">
        <v>0</v>
      </c>
      <c r="AG268">
        <v>256</v>
      </c>
      <c r="AH268">
        <v>0</v>
      </c>
      <c r="AI268">
        <v>0</v>
      </c>
      <c r="AJ268">
        <v>240</v>
      </c>
      <c r="AK268">
        <v>0</v>
      </c>
      <c r="AL268">
        <v>8</v>
      </c>
      <c r="AM268">
        <v>1</v>
      </c>
      <c r="AN268">
        <v>0</v>
      </c>
      <c r="AO268" t="s">
        <v>58</v>
      </c>
      <c r="AP268">
        <v>1</v>
      </c>
      <c r="AQ268" t="s">
        <v>59</v>
      </c>
      <c r="AR268" t="s">
        <v>60</v>
      </c>
      <c r="AS268">
        <v>1</v>
      </c>
      <c r="AT268">
        <v>3</v>
      </c>
      <c r="AU268">
        <v>0</v>
      </c>
      <c r="AV268">
        <v>15200</v>
      </c>
      <c r="AW268">
        <v>100</v>
      </c>
      <c r="AX268" s="1">
        <v>44827</v>
      </c>
      <c r="AY268">
        <v>23800</v>
      </c>
      <c r="AZ268">
        <v>234971</v>
      </c>
      <c r="BA268">
        <v>258800</v>
      </c>
      <c r="BB268">
        <v>353000</v>
      </c>
      <c r="BC268">
        <v>100</v>
      </c>
      <c r="BD268">
        <f>Grandview_Sales[[#This Row],[land_extract]]*Lookups!$B$3</f>
        <v>52639.70747834933</v>
      </c>
      <c r="BE268">
        <f>Lookups!$B$2</f>
        <v>155833.95000000001</v>
      </c>
      <c r="BF268">
        <f>VLOOKUP(Grandview_Sales[[#This Row],[quality]],Lookups!$H$2:$J$13,3,FALSE)</f>
        <v>2251</v>
      </c>
      <c r="BG268">
        <f>VLOOKUP(Grandview_Sales[[#This Row],[condition]],Lookups!$H$17:$J$24,3,FALSE)</f>
        <v>-4503</v>
      </c>
      <c r="BH268">
        <f>Grandview_Sales[[#This Row],[Eff_Age]]*Lookups!$B$14</f>
        <v>-12436.663199999999</v>
      </c>
      <c r="BI268">
        <f>Grandview_Sales[[#This Row],[living_area]]*Lookups!$B$15</f>
        <v>157324.51126600002</v>
      </c>
      <c r="BJ268">
        <f>Grandview_Sales[[#This Row],[Fin BSMT]]*Lookups!$B$16</f>
        <v>0</v>
      </c>
      <c r="BK268">
        <f>Grandview_Sales[[#This Row],[garage_sqft]]*Lookups!$B$17</f>
        <v>0</v>
      </c>
      <c r="BL268">
        <f>Grandview_Sales[[#This Row],[Plumbing Fixtures]]*Lookups!$B$18</f>
        <v>16083.5344</v>
      </c>
      <c r="BM268">
        <f>Grandview_Sales[[#This Row],[detatched_value]]*Lookups!$B$19</f>
        <v>12871.437519999999</v>
      </c>
      <c r="BN268">
        <f>Grandview_Sales[[#This Row],[days_prior]]*Lookups!$B$20</f>
        <v>-11994.86</v>
      </c>
      <c r="BO268">
        <f>SUM(Grandview_Sales[[#This Row],[land_value]:[Days Prior To Assessment_value]])</f>
        <v>368069.61746434931</v>
      </c>
      <c r="BP268">
        <f>Grandview_Sales[[#This Row],[predicted_total]]/Grandview_Sales[[#This Row],[sale_price]]</f>
        <v>1.0426901344599131</v>
      </c>
      <c r="BQ268">
        <f>VLOOKUP(Grandview_Sales[[#This Row],[quality]],Lookups!$A$26:$C$33,3,FALSE)</f>
        <v>0.98763855981004833</v>
      </c>
      <c r="BR268">
        <f>VLOOKUP(Grandview_Sales[[#This Row],[condition]],Lookups!$A$37:$C$44,3,FALSE)</f>
        <v>0.96469275950863709</v>
      </c>
      <c r="BS268">
        <f>VLOOKUP(Grandview_Sales[[#This Row],[decade]],Lookups!$F$29:$H$43,3,FALSE)</f>
        <v>0.94161750052457416</v>
      </c>
      <c r="BT268">
        <f>VLOOKUP(Grandview_Sales[[#This Row],[living_area_range]],Lookups!$F$47:$H$56,3,FALSE)</f>
        <v>0.94224801443562123</v>
      </c>
      <c r="BU268">
        <f>Grandview_Sales[[#This Row],[predicted_total]]*AVERAGE(Grandview_Sales[[#This Row],[qual_adj]:[size_adj]])</f>
        <v>352996.87532774388</v>
      </c>
      <c r="BV268">
        <f>Grandview_Sales[[#This Row],[final_total]]/Grandview_Sales[[#This Row],[sale_price]]</f>
        <v>0.99999114823723478</v>
      </c>
      <c r="BW268" s="6">
        <f>(Grandview_Sales[[#This Row],[final_total]]-Grandview_Sales[[#This Row],[sale_price]])^2</f>
        <v>9.7635767081603237</v>
      </c>
      <c r="BX268" s="6">
        <f>(Grandview_Sales[[#This Row],[final_total]]-AVERAGE(Grandview_Sales[sale_price]))^2</f>
        <v>2119470299.055927</v>
      </c>
      <c r="BY268" s="6">
        <f>Grandview_Sales[[#This Row],[SSE]]+Grandview_Sales[[#This Row],[SSR]]</f>
        <v>2119470308.8195038</v>
      </c>
      <c r="BZ268" s="4">
        <f>ABS(Grandview_Sales[[#This Row],[final_ratio]]-MEDIAN(Grandview_Sales[final_ratio]))</f>
        <v>1.257571118577161E-3</v>
      </c>
    </row>
    <row r="269" spans="1:78" x14ac:dyDescent="0.25">
      <c r="A269">
        <v>23092621592</v>
      </c>
      <c r="B269">
        <v>0</v>
      </c>
      <c r="C269">
        <v>8605</v>
      </c>
      <c r="D269">
        <v>0</v>
      </c>
      <c r="E269" t="s">
        <v>53</v>
      </c>
      <c r="F269" t="s">
        <v>53</v>
      </c>
      <c r="G269">
        <v>4</v>
      </c>
      <c r="H269" t="s">
        <v>54</v>
      </c>
      <c r="I269">
        <v>165900</v>
      </c>
      <c r="J269">
        <v>39300</v>
      </c>
      <c r="K269">
        <v>0.2</v>
      </c>
      <c r="L269">
        <v>-1.6094379124339999</v>
      </c>
      <c r="M269">
        <v>0</v>
      </c>
      <c r="N269">
        <v>0</v>
      </c>
      <c r="O269">
        <v>0</v>
      </c>
      <c r="P269">
        <v>13398.7528</v>
      </c>
      <c r="Q269">
        <v>63902.980100000001</v>
      </c>
      <c r="R269">
        <v>42338.519364346997</v>
      </c>
      <c r="S269" t="s">
        <v>61</v>
      </c>
      <c r="T269">
        <v>1</v>
      </c>
      <c r="U269" t="s">
        <v>62</v>
      </c>
      <c r="V269" t="s">
        <v>57</v>
      </c>
      <c r="W269">
        <v>0</v>
      </c>
      <c r="X269">
        <v>0</v>
      </c>
      <c r="Y269">
        <v>1</v>
      </c>
      <c r="Z269">
        <v>1</v>
      </c>
      <c r="AA269">
        <v>0</v>
      </c>
      <c r="AB269">
        <v>1500</v>
      </c>
      <c r="AC269">
        <v>1460</v>
      </c>
      <c r="AD269">
        <v>1460</v>
      </c>
      <c r="AE269">
        <v>0</v>
      </c>
      <c r="AF269">
        <v>0</v>
      </c>
      <c r="AG269">
        <v>0</v>
      </c>
      <c r="AH269">
        <v>600</v>
      </c>
      <c r="AI269">
        <v>0</v>
      </c>
      <c r="AJ269">
        <v>0</v>
      </c>
      <c r="AK269">
        <v>150</v>
      </c>
      <c r="AL269">
        <v>9</v>
      </c>
      <c r="AM269">
        <v>0</v>
      </c>
      <c r="AN269">
        <v>0</v>
      </c>
      <c r="AO269" t="s">
        <v>58</v>
      </c>
      <c r="AP269">
        <v>1</v>
      </c>
      <c r="AQ269" t="s">
        <v>59</v>
      </c>
      <c r="AR269" t="s">
        <v>60</v>
      </c>
      <c r="AS269">
        <v>1</v>
      </c>
      <c r="AT269">
        <v>3</v>
      </c>
      <c r="AU269">
        <v>0</v>
      </c>
      <c r="AV269">
        <v>0</v>
      </c>
      <c r="AW269">
        <v>100</v>
      </c>
      <c r="AX269" s="1">
        <v>44830</v>
      </c>
      <c r="AY269">
        <v>22500</v>
      </c>
      <c r="AZ269">
        <v>274896</v>
      </c>
      <c r="BA269">
        <v>297400</v>
      </c>
      <c r="BB269">
        <v>363625</v>
      </c>
      <c r="BC269">
        <v>97</v>
      </c>
      <c r="BD269">
        <f>Grandview_Sales[[#This Row],[land_extract]]*Lookups!$B$3</f>
        <v>49167.608223813884</v>
      </c>
      <c r="BE269">
        <f>Lookups!$B$2</f>
        <v>155833.95000000001</v>
      </c>
      <c r="BF269">
        <f>VLOOKUP(Grandview_Sales[[#This Row],[quality]],Lookups!$H$2:$J$13,3,FALSE)</f>
        <v>9808</v>
      </c>
      <c r="BG269">
        <f>VLOOKUP(Grandview_Sales[[#This Row],[condition]],Lookups!$H$17:$J$24,3,FALSE)</f>
        <v>25780</v>
      </c>
      <c r="BH269">
        <f>Grandview_Sales[[#This Row],[Eff_Age]]*Lookups!$B$14</f>
        <v>-239.16659999999999</v>
      </c>
      <c r="BI269">
        <f>Grandview_Sales[[#This Row],[living_area]]*Lookups!$B$15</f>
        <v>91076.045379999996</v>
      </c>
      <c r="BJ269">
        <f>Grandview_Sales[[#This Row],[Fin BSMT]]*Lookups!$B$16</f>
        <v>0</v>
      </c>
      <c r="BK269">
        <f>Grandview_Sales[[#This Row],[garage_sqft]]*Lookups!$B$17</f>
        <v>52512.262199999997</v>
      </c>
      <c r="BL269">
        <f>Grandview_Sales[[#This Row],[Plumbing Fixtures]]*Lookups!$B$18</f>
        <v>18093.976200000001</v>
      </c>
      <c r="BM269">
        <f>Grandview_Sales[[#This Row],[detatched_value]]*Lookups!$B$19</f>
        <v>0</v>
      </c>
      <c r="BN269">
        <f>Grandview_Sales[[#This Row],[days_prior]]*Lookups!$B$20</f>
        <v>-11635.0142</v>
      </c>
      <c r="BO269">
        <f>SUM(Grandview_Sales[[#This Row],[land_value]:[Days Prior To Assessment_value]])</f>
        <v>390397.66120381391</v>
      </c>
      <c r="BP269">
        <f>Grandview_Sales[[#This Row],[predicted_total]]/Grandview_Sales[[#This Row],[sale_price]]</f>
        <v>1.0736271191579621</v>
      </c>
      <c r="BQ269">
        <f>VLOOKUP(Grandview_Sales[[#This Row],[quality]],Lookups!$A$26:$C$33,3,FALSE)</f>
        <v>0.94295468617355149</v>
      </c>
      <c r="BR269">
        <f>VLOOKUP(Grandview_Sales[[#This Row],[condition]],Lookups!$A$37:$C$44,3,FALSE)</f>
        <v>0.94347925387812148</v>
      </c>
      <c r="BS269">
        <f>VLOOKUP(Grandview_Sales[[#This Row],[decade]],Lookups!$F$29:$H$43,3,FALSE)</f>
        <v>0.9413635517371044</v>
      </c>
      <c r="BT269">
        <f>VLOOKUP(Grandview_Sales[[#This Row],[living_area_range]],Lookups!$F$47:$H$56,3,FALSE)</f>
        <v>0.96135087979789358</v>
      </c>
      <c r="BU269">
        <f>Grandview_Sales[[#This Row],[predicted_total]]*AVERAGE(Grandview_Sales[[#This Row],[qual_adj]:[size_adj]])</f>
        <v>369818.66555541905</v>
      </c>
      <c r="BV269">
        <f>Grandview_Sales[[#This Row],[final_total]]/Grandview_Sales[[#This Row],[sale_price]]</f>
        <v>1.0170331125621699</v>
      </c>
      <c r="BW269" s="6">
        <f>(Grandview_Sales[[#This Row],[final_total]]-Grandview_Sales[[#This Row],[sale_price]])^2</f>
        <v>38361493.012384385</v>
      </c>
      <c r="BX269" s="6">
        <f>(Grandview_Sales[[#This Row],[final_total]]-AVERAGE(Grandview_Sales[sale_price]))^2</f>
        <v>3951316164.0207782</v>
      </c>
      <c r="BY269" s="6">
        <f>Grandview_Sales[[#This Row],[SSE]]+Grandview_Sales[[#This Row],[SSR]]</f>
        <v>3989677657.0331626</v>
      </c>
      <c r="BZ269" s="4">
        <f>ABS(Grandview_Sales[[#This Row],[final_ratio]]-MEDIAN(Grandview_Sales[final_ratio]))</f>
        <v>1.5784393206357938E-2</v>
      </c>
    </row>
    <row r="270" spans="1:78" x14ac:dyDescent="0.25">
      <c r="A270">
        <v>23092621596</v>
      </c>
      <c r="B270">
        <v>0</v>
      </c>
      <c r="C270">
        <v>8250</v>
      </c>
      <c r="D270">
        <v>0</v>
      </c>
      <c r="E270" t="s">
        <v>53</v>
      </c>
      <c r="F270" t="s">
        <v>53</v>
      </c>
      <c r="G270">
        <v>4</v>
      </c>
      <c r="H270" t="s">
        <v>54</v>
      </c>
      <c r="I270">
        <v>153700</v>
      </c>
      <c r="J270">
        <v>39100</v>
      </c>
      <c r="K270">
        <v>0.19</v>
      </c>
      <c r="L270">
        <v>-1.6607312068219999</v>
      </c>
      <c r="M270">
        <v>0</v>
      </c>
      <c r="N270">
        <v>0</v>
      </c>
      <c r="O270">
        <v>0</v>
      </c>
      <c r="P270">
        <v>13398.7528</v>
      </c>
      <c r="Q270">
        <v>63902.980100000001</v>
      </c>
      <c r="R270">
        <v>41651.253192550997</v>
      </c>
      <c r="S270" t="s">
        <v>61</v>
      </c>
      <c r="T270">
        <v>1</v>
      </c>
      <c r="U270" t="s">
        <v>62</v>
      </c>
      <c r="V270" t="s">
        <v>57</v>
      </c>
      <c r="W270">
        <v>0</v>
      </c>
      <c r="X270">
        <v>0</v>
      </c>
      <c r="Y270">
        <v>1</v>
      </c>
      <c r="Z270">
        <v>1</v>
      </c>
      <c r="AA270">
        <v>0</v>
      </c>
      <c r="AB270">
        <v>1500</v>
      </c>
      <c r="AC270">
        <v>1378</v>
      </c>
      <c r="AD270">
        <v>1378</v>
      </c>
      <c r="AE270">
        <v>0</v>
      </c>
      <c r="AF270">
        <v>0</v>
      </c>
      <c r="AG270">
        <v>0</v>
      </c>
      <c r="AH270">
        <v>400</v>
      </c>
      <c r="AI270">
        <v>0</v>
      </c>
      <c r="AJ270">
        <v>0</v>
      </c>
      <c r="AK270">
        <v>144</v>
      </c>
      <c r="AL270">
        <v>8</v>
      </c>
      <c r="AM270">
        <v>0</v>
      </c>
      <c r="AN270">
        <v>0</v>
      </c>
      <c r="AO270" t="s">
        <v>58</v>
      </c>
      <c r="AP270">
        <v>1</v>
      </c>
      <c r="AQ270" t="s">
        <v>59</v>
      </c>
      <c r="AR270" t="s">
        <v>60</v>
      </c>
      <c r="AS270">
        <v>1</v>
      </c>
      <c r="AT270">
        <v>3</v>
      </c>
      <c r="AU270">
        <v>0</v>
      </c>
      <c r="AV270">
        <v>0</v>
      </c>
      <c r="AW270">
        <v>100</v>
      </c>
      <c r="AX270" s="1">
        <v>44844</v>
      </c>
      <c r="AY270">
        <v>22400</v>
      </c>
      <c r="AZ270">
        <v>249444</v>
      </c>
      <c r="BA270">
        <v>271800</v>
      </c>
      <c r="BB270">
        <v>355447</v>
      </c>
      <c r="BC270">
        <v>83</v>
      </c>
      <c r="BD270">
        <f>Grandview_Sales[[#This Row],[land_extract]]*Lookups!$B$3</f>
        <v>48369.487874125851</v>
      </c>
      <c r="BE270">
        <f>Lookups!$B$2</f>
        <v>155833.95000000001</v>
      </c>
      <c r="BF270">
        <f>VLOOKUP(Grandview_Sales[[#This Row],[quality]],Lookups!$H$2:$J$13,3,FALSE)</f>
        <v>9808</v>
      </c>
      <c r="BG270">
        <f>VLOOKUP(Grandview_Sales[[#This Row],[condition]],Lookups!$H$17:$J$24,3,FALSE)</f>
        <v>25780</v>
      </c>
      <c r="BH270">
        <f>Grandview_Sales[[#This Row],[Eff_Age]]*Lookups!$B$14</f>
        <v>-239.16659999999999</v>
      </c>
      <c r="BI270">
        <f>Grandview_Sales[[#This Row],[living_area]]*Lookups!$B$15</f>
        <v>85960.815434000004</v>
      </c>
      <c r="BJ270">
        <f>Grandview_Sales[[#This Row],[Fin BSMT]]*Lookups!$B$16</f>
        <v>0</v>
      </c>
      <c r="BK270">
        <f>Grandview_Sales[[#This Row],[garage_sqft]]*Lookups!$B$17</f>
        <v>35008.174800000001</v>
      </c>
      <c r="BL270">
        <f>Grandview_Sales[[#This Row],[Plumbing Fixtures]]*Lookups!$B$18</f>
        <v>16083.5344</v>
      </c>
      <c r="BM270">
        <f>Grandview_Sales[[#This Row],[detatched_value]]*Lookups!$B$19</f>
        <v>0</v>
      </c>
      <c r="BN270">
        <f>Grandview_Sales[[#This Row],[days_prior]]*Lookups!$B$20</f>
        <v>-9955.7338</v>
      </c>
      <c r="BO270">
        <f>SUM(Grandview_Sales[[#This Row],[land_value]:[Days Prior To Assessment_value]])</f>
        <v>366649.06210812589</v>
      </c>
      <c r="BP270">
        <f>Grandview_Sales[[#This Row],[predicted_total]]/Grandview_Sales[[#This Row],[sale_price]]</f>
        <v>1.0315154217313014</v>
      </c>
      <c r="BQ270">
        <f>VLOOKUP(Grandview_Sales[[#This Row],[quality]],Lookups!$A$26:$C$33,3,FALSE)</f>
        <v>0.94295468617355149</v>
      </c>
      <c r="BR270">
        <f>VLOOKUP(Grandview_Sales[[#This Row],[condition]],Lookups!$A$37:$C$44,3,FALSE)</f>
        <v>0.94347925387812148</v>
      </c>
      <c r="BS270">
        <f>VLOOKUP(Grandview_Sales[[#This Row],[decade]],Lookups!$F$29:$H$43,3,FALSE)</f>
        <v>0.9413635517371044</v>
      </c>
      <c r="BT270">
        <f>VLOOKUP(Grandview_Sales[[#This Row],[living_area_range]],Lookups!$F$47:$H$56,3,FALSE)</f>
        <v>0.96135087979789358</v>
      </c>
      <c r="BU270">
        <f>Grandview_Sales[[#This Row],[predicted_total]]*AVERAGE(Grandview_Sales[[#This Row],[qual_adj]:[size_adj]])</f>
        <v>347321.92415769631</v>
      </c>
      <c r="BV270">
        <f>Grandview_Sales[[#This Row],[final_total]]/Grandview_Sales[[#This Row],[sale_price]]</f>
        <v>0.97714124512992462</v>
      </c>
      <c r="BW270" s="6">
        <f>(Grandview_Sales[[#This Row],[final_total]]-Grandview_Sales[[#This Row],[sale_price]])^2</f>
        <v>66016857.443187013</v>
      </c>
      <c r="BX270" s="6">
        <f>(Grandview_Sales[[#This Row],[final_total]]-AVERAGE(Grandview_Sales[sale_price]))^2</f>
        <v>1629151911.9827557</v>
      </c>
      <c r="BY270" s="6">
        <f>Grandview_Sales[[#This Row],[SSE]]+Grandview_Sales[[#This Row],[SSR]]</f>
        <v>1695168769.4259427</v>
      </c>
      <c r="BZ270" s="4">
        <f>ABS(Grandview_Sales[[#This Row],[final_ratio]]-MEDIAN(Grandview_Sales[final_ratio]))</f>
        <v>2.4107474225887326E-2</v>
      </c>
    </row>
    <row r="271" spans="1:78" x14ac:dyDescent="0.25">
      <c r="A271">
        <v>23092224432</v>
      </c>
      <c r="B271">
        <v>0.18</v>
      </c>
      <c r="C271">
        <v>7854</v>
      </c>
      <c r="D271">
        <v>0</v>
      </c>
      <c r="E271" t="s">
        <v>53</v>
      </c>
      <c r="F271" t="s">
        <v>53</v>
      </c>
      <c r="G271">
        <v>4</v>
      </c>
      <c r="H271" t="s">
        <v>54</v>
      </c>
      <c r="I271">
        <v>189600</v>
      </c>
      <c r="J271">
        <v>39000</v>
      </c>
      <c r="K271">
        <v>0.18</v>
      </c>
      <c r="L271">
        <v>-1.7147984280919999</v>
      </c>
      <c r="M271">
        <v>0</v>
      </c>
      <c r="N271">
        <v>0</v>
      </c>
      <c r="O271">
        <v>0</v>
      </c>
      <c r="P271">
        <v>13398.7528</v>
      </c>
      <c r="Q271">
        <v>63902.980100000001</v>
      </c>
      <c r="R271">
        <v>40926.819860167998</v>
      </c>
      <c r="S271" t="s">
        <v>61</v>
      </c>
      <c r="T271">
        <v>1</v>
      </c>
      <c r="U271" t="s">
        <v>62</v>
      </c>
      <c r="V271" t="s">
        <v>67</v>
      </c>
      <c r="W271">
        <v>0</v>
      </c>
      <c r="X271">
        <v>0</v>
      </c>
      <c r="Y271">
        <v>43</v>
      </c>
      <c r="Z271">
        <v>45</v>
      </c>
      <c r="AA271">
        <v>50</v>
      </c>
      <c r="AB271">
        <v>1500</v>
      </c>
      <c r="AC271">
        <v>1446</v>
      </c>
      <c r="AD271">
        <v>1446</v>
      </c>
      <c r="AE271">
        <v>0</v>
      </c>
      <c r="AF271">
        <v>0</v>
      </c>
      <c r="AG271">
        <v>0</v>
      </c>
      <c r="AH271">
        <v>552</v>
      </c>
      <c r="AI271">
        <v>0</v>
      </c>
      <c r="AJ271">
        <v>0</v>
      </c>
      <c r="AK271">
        <v>401</v>
      </c>
      <c r="AL271">
        <v>8</v>
      </c>
      <c r="AM271">
        <v>0</v>
      </c>
      <c r="AN271">
        <v>0</v>
      </c>
      <c r="AO271" t="s">
        <v>58</v>
      </c>
      <c r="AP271">
        <v>1</v>
      </c>
      <c r="AQ271" t="s">
        <v>63</v>
      </c>
      <c r="AR271" t="s">
        <v>64</v>
      </c>
      <c r="AS271">
        <v>1</v>
      </c>
      <c r="AT271">
        <v>3</v>
      </c>
      <c r="AU271">
        <v>0</v>
      </c>
      <c r="AV271">
        <v>0</v>
      </c>
      <c r="AW271">
        <v>100</v>
      </c>
      <c r="AX271" s="1">
        <v>44845</v>
      </c>
      <c r="AY271">
        <v>22300</v>
      </c>
      <c r="AZ271">
        <v>220608</v>
      </c>
      <c r="BA271">
        <v>242900</v>
      </c>
      <c r="BB271">
        <v>329900</v>
      </c>
      <c r="BC271">
        <v>82</v>
      </c>
      <c r="BD271">
        <f>Grandview_Sales[[#This Row],[land_extract]]*Lookups!$B$3</f>
        <v>47528.20540119947</v>
      </c>
      <c r="BE271">
        <f>Lookups!$B$2</f>
        <v>155833.95000000001</v>
      </c>
      <c r="BF271">
        <f>VLOOKUP(Grandview_Sales[[#This Row],[quality]],Lookups!$H$2:$J$13,3,FALSE)</f>
        <v>9808</v>
      </c>
      <c r="BG271">
        <f>VLOOKUP(Grandview_Sales[[#This Row],[condition]],Lookups!$H$17:$J$24,3,FALSE)</f>
        <v>22342</v>
      </c>
      <c r="BH271">
        <f>Grandview_Sales[[#This Row],[Eff_Age]]*Lookups!$B$14</f>
        <v>-10284.1638</v>
      </c>
      <c r="BI271">
        <f>Grandview_Sales[[#This Row],[living_area]]*Lookups!$B$15</f>
        <v>90202.713438000006</v>
      </c>
      <c r="BJ271">
        <f>Grandview_Sales[[#This Row],[Fin BSMT]]*Lookups!$B$16</f>
        <v>0</v>
      </c>
      <c r="BK271">
        <f>Grandview_Sales[[#This Row],[garage_sqft]]*Lookups!$B$17</f>
        <v>48311.281223999998</v>
      </c>
      <c r="BL271">
        <f>Grandview_Sales[[#This Row],[Plumbing Fixtures]]*Lookups!$B$18</f>
        <v>16083.5344</v>
      </c>
      <c r="BM271">
        <f>Grandview_Sales[[#This Row],[detatched_value]]*Lookups!$B$19</f>
        <v>0</v>
      </c>
      <c r="BN271">
        <f>Grandview_Sales[[#This Row],[days_prior]]*Lookups!$B$20</f>
        <v>-9835.7852000000003</v>
      </c>
      <c r="BO271">
        <f>SUM(Grandview_Sales[[#This Row],[land_value]:[Days Prior To Assessment_value]])</f>
        <v>369989.73546319944</v>
      </c>
      <c r="BP271">
        <f>Grandview_Sales[[#This Row],[predicted_total]]/Grandview_Sales[[#This Row],[sale_price]]</f>
        <v>1.1215208713646543</v>
      </c>
      <c r="BQ271">
        <f>VLOOKUP(Grandview_Sales[[#This Row],[quality]],Lookups!$A$26:$C$33,3,FALSE)</f>
        <v>0.94295468617355149</v>
      </c>
      <c r="BR271">
        <f>VLOOKUP(Grandview_Sales[[#This Row],[condition]],Lookups!$A$37:$C$44,3,FALSE)</f>
        <v>0.97383723671140243</v>
      </c>
      <c r="BS271">
        <f>VLOOKUP(Grandview_Sales[[#This Row],[decade]],Lookups!$F$29:$H$43,3,FALSE)</f>
        <v>0.9871940091910919</v>
      </c>
      <c r="BT271">
        <f>VLOOKUP(Grandview_Sales[[#This Row],[living_area_range]],Lookups!$F$47:$H$56,3,FALSE)</f>
        <v>0.96135087979789358</v>
      </c>
      <c r="BU271">
        <f>Grandview_Sales[[#This Row],[predicted_total]]*AVERAGE(Grandview_Sales[[#This Row],[qual_adj]:[size_adj]])</f>
        <v>357533.7361253514</v>
      </c>
      <c r="BV271">
        <f>Grandview_Sales[[#This Row],[final_total]]/Grandview_Sales[[#This Row],[sale_price]]</f>
        <v>1.0837639773426839</v>
      </c>
      <c r="BW271" s="6">
        <f>(Grandview_Sales[[#This Row],[final_total]]-Grandview_Sales[[#This Row],[sale_price]])^2</f>
        <v>763623372.24555075</v>
      </c>
      <c r="BX271" s="6">
        <f>(Grandview_Sales[[#This Row],[final_total]]-AVERAGE(Grandview_Sales[sale_price]))^2</f>
        <v>2557786724.7190514</v>
      </c>
      <c r="BY271" s="6">
        <f>Grandview_Sales[[#This Row],[SSE]]+Grandview_Sales[[#This Row],[SSR]]</f>
        <v>3321410096.964602</v>
      </c>
      <c r="BZ271" s="4">
        <f>ABS(Grandview_Sales[[#This Row],[final_ratio]]-MEDIAN(Grandview_Sales[final_ratio]))</f>
        <v>8.2515257986871982E-2</v>
      </c>
    </row>
    <row r="272" spans="1:78" x14ac:dyDescent="0.25">
      <c r="A272">
        <v>23092621611</v>
      </c>
      <c r="B272">
        <v>0</v>
      </c>
      <c r="C272">
        <v>8714</v>
      </c>
      <c r="D272">
        <v>0</v>
      </c>
      <c r="E272" t="s">
        <v>53</v>
      </c>
      <c r="F272" t="s">
        <v>53</v>
      </c>
      <c r="G272">
        <v>4</v>
      </c>
      <c r="H272" t="s">
        <v>54</v>
      </c>
      <c r="I272">
        <v>118300</v>
      </c>
      <c r="J272">
        <v>39300</v>
      </c>
      <c r="K272">
        <v>0.2</v>
      </c>
      <c r="L272">
        <v>-1.6094379124339999</v>
      </c>
      <c r="M272">
        <v>0</v>
      </c>
      <c r="N272">
        <v>0</v>
      </c>
      <c r="O272">
        <v>0</v>
      </c>
      <c r="P272">
        <v>13398.7528</v>
      </c>
      <c r="Q272">
        <v>63902.980100000001</v>
      </c>
      <c r="R272">
        <v>42338.519364346997</v>
      </c>
      <c r="S272" t="s">
        <v>55</v>
      </c>
      <c r="T272">
        <v>2</v>
      </c>
      <c r="U272" t="s">
        <v>62</v>
      </c>
      <c r="V272" t="s">
        <v>57</v>
      </c>
      <c r="W272">
        <v>0</v>
      </c>
      <c r="X272">
        <v>0</v>
      </c>
      <c r="Y272">
        <v>1</v>
      </c>
      <c r="Z272">
        <v>1</v>
      </c>
      <c r="AA272">
        <v>0</v>
      </c>
      <c r="AB272">
        <v>2500</v>
      </c>
      <c r="AC272">
        <v>2168</v>
      </c>
      <c r="AD272">
        <v>896</v>
      </c>
      <c r="AE272">
        <v>1272</v>
      </c>
      <c r="AF272">
        <v>0</v>
      </c>
      <c r="AG272">
        <v>0</v>
      </c>
      <c r="AH272">
        <v>440</v>
      </c>
      <c r="AI272">
        <v>0</v>
      </c>
      <c r="AJ272">
        <v>0</v>
      </c>
      <c r="AK272">
        <v>144</v>
      </c>
      <c r="AL272">
        <v>12</v>
      </c>
      <c r="AM272">
        <v>0</v>
      </c>
      <c r="AN272">
        <v>0</v>
      </c>
      <c r="AO272" t="s">
        <v>58</v>
      </c>
      <c r="AP272">
        <v>1</v>
      </c>
      <c r="AQ272" t="s">
        <v>59</v>
      </c>
      <c r="AR272" t="s">
        <v>60</v>
      </c>
      <c r="AS272">
        <v>1</v>
      </c>
      <c r="AT272">
        <v>4</v>
      </c>
      <c r="AU272">
        <v>0</v>
      </c>
      <c r="AV272">
        <v>0</v>
      </c>
      <c r="AW272">
        <v>100</v>
      </c>
      <c r="AX272" s="1">
        <v>44854</v>
      </c>
      <c r="AY272">
        <v>22500</v>
      </c>
      <c r="AZ272">
        <v>345120</v>
      </c>
      <c r="BA272">
        <v>367600</v>
      </c>
      <c r="BB272">
        <v>393063</v>
      </c>
      <c r="BC272">
        <v>73</v>
      </c>
      <c r="BD272">
        <f>Grandview_Sales[[#This Row],[land_extract]]*Lookups!$B$3</f>
        <v>49167.608223813884</v>
      </c>
      <c r="BE272">
        <f>Lookups!$B$2</f>
        <v>155833.95000000001</v>
      </c>
      <c r="BF272">
        <f>VLOOKUP(Grandview_Sales[[#This Row],[quality]],Lookups!$H$2:$J$13,3,FALSE)</f>
        <v>9808</v>
      </c>
      <c r="BG272">
        <f>VLOOKUP(Grandview_Sales[[#This Row],[condition]],Lookups!$H$17:$J$24,3,FALSE)</f>
        <v>25780</v>
      </c>
      <c r="BH272">
        <f>Grandview_Sales[[#This Row],[Eff_Age]]*Lookups!$B$14</f>
        <v>-239.16659999999999</v>
      </c>
      <c r="BI272">
        <f>Grandview_Sales[[#This Row],[living_area]]*Lookups!$B$15</f>
        <v>135241.689304</v>
      </c>
      <c r="BJ272">
        <f>Grandview_Sales[[#This Row],[Fin BSMT]]*Lookups!$B$16</f>
        <v>0</v>
      </c>
      <c r="BK272">
        <f>Grandview_Sales[[#This Row],[garage_sqft]]*Lookups!$B$17</f>
        <v>38508.992279999999</v>
      </c>
      <c r="BL272">
        <f>Grandview_Sales[[#This Row],[Plumbing Fixtures]]*Lookups!$B$18</f>
        <v>24125.301599999999</v>
      </c>
      <c r="BM272">
        <f>Grandview_Sales[[#This Row],[detatched_value]]*Lookups!$B$19</f>
        <v>0</v>
      </c>
      <c r="BN272">
        <f>Grandview_Sales[[#This Row],[days_prior]]*Lookups!$B$20</f>
        <v>-8756.2477999999992</v>
      </c>
      <c r="BO272">
        <f>SUM(Grandview_Sales[[#This Row],[land_value]:[Days Prior To Assessment_value]])</f>
        <v>429470.12700781389</v>
      </c>
      <c r="BP272">
        <f>Grandview_Sales[[#This Row],[predicted_total]]/Grandview_Sales[[#This Row],[sale_price]]</f>
        <v>1.0926241518733992</v>
      </c>
      <c r="BQ272">
        <f>VLOOKUP(Grandview_Sales[[#This Row],[quality]],Lookups!$A$26:$C$33,3,FALSE)</f>
        <v>0.94295468617355149</v>
      </c>
      <c r="BR272">
        <f>VLOOKUP(Grandview_Sales[[#This Row],[condition]],Lookups!$A$37:$C$44,3,FALSE)</f>
        <v>0.94347925387812148</v>
      </c>
      <c r="BS272">
        <f>VLOOKUP(Grandview_Sales[[#This Row],[decade]],Lookups!$F$29:$H$43,3,FALSE)</f>
        <v>0.9413635517371044</v>
      </c>
      <c r="BT272">
        <f>VLOOKUP(Grandview_Sales[[#This Row],[living_area_range]],Lookups!$F$47:$H$56,3,FALSE)</f>
        <v>0.95799442568048754</v>
      </c>
      <c r="BU272">
        <f>Grandview_Sales[[#This Row],[predicted_total]]*AVERAGE(Grandview_Sales[[#This Row],[qual_adj]:[size_adj]])</f>
        <v>406471.13390517008</v>
      </c>
      <c r="BV272">
        <f>Grandview_Sales[[#This Row],[final_total]]/Grandview_Sales[[#This Row],[sale_price]]</f>
        <v>1.0341119207485061</v>
      </c>
      <c r="BW272" s="6">
        <f>(Grandview_Sales[[#This Row],[final_total]]-Grandview_Sales[[#This Row],[sale_price]])^2</f>
        <v>179778054.8189714</v>
      </c>
      <c r="BX272" s="6">
        <f>(Grandview_Sales[[#This Row],[final_total]]-AVERAGE(Grandview_Sales[sale_price]))^2</f>
        <v>9902630932.6216621</v>
      </c>
      <c r="BY272" s="6">
        <f>Grandview_Sales[[#This Row],[SSE]]+Grandview_Sales[[#This Row],[SSR]]</f>
        <v>10082408987.440634</v>
      </c>
      <c r="BZ272" s="4">
        <f>ABS(Grandview_Sales[[#This Row],[final_ratio]]-MEDIAN(Grandview_Sales[final_ratio]))</f>
        <v>3.2863201392694164E-2</v>
      </c>
    </row>
    <row r="273" spans="1:78" x14ac:dyDescent="0.25">
      <c r="A273">
        <v>23092224425</v>
      </c>
      <c r="B273">
        <v>0.21</v>
      </c>
      <c r="C273">
        <v>8950</v>
      </c>
      <c r="D273">
        <v>0</v>
      </c>
      <c r="E273" t="s">
        <v>53</v>
      </c>
      <c r="F273" t="s">
        <v>53</v>
      </c>
      <c r="G273">
        <v>4</v>
      </c>
      <c r="H273" t="s">
        <v>54</v>
      </c>
      <c r="I273">
        <v>308800</v>
      </c>
      <c r="J273">
        <v>43700</v>
      </c>
      <c r="K273">
        <v>0.21</v>
      </c>
      <c r="L273">
        <v>-1.5606477482650001</v>
      </c>
      <c r="M273">
        <v>0</v>
      </c>
      <c r="N273">
        <v>0</v>
      </c>
      <c r="O273">
        <v>0</v>
      </c>
      <c r="P273">
        <v>13398.7528</v>
      </c>
      <c r="Q273">
        <v>63902.980100000001</v>
      </c>
      <c r="R273">
        <v>42992.246713125001</v>
      </c>
      <c r="S273" t="s">
        <v>58</v>
      </c>
      <c r="T273">
        <v>2</v>
      </c>
      <c r="U273" t="s">
        <v>62</v>
      </c>
      <c r="V273" t="s">
        <v>67</v>
      </c>
      <c r="W273">
        <v>0</v>
      </c>
      <c r="X273">
        <v>0</v>
      </c>
      <c r="Y273">
        <v>43</v>
      </c>
      <c r="Z273">
        <v>43</v>
      </c>
      <c r="AA273">
        <v>40</v>
      </c>
      <c r="AB273">
        <v>3000</v>
      </c>
      <c r="AC273">
        <v>2564</v>
      </c>
      <c r="AD273">
        <v>1268</v>
      </c>
      <c r="AE273">
        <v>1296</v>
      </c>
      <c r="AF273">
        <v>0</v>
      </c>
      <c r="AG273">
        <v>0</v>
      </c>
      <c r="AH273">
        <v>528</v>
      </c>
      <c r="AI273">
        <v>0</v>
      </c>
      <c r="AJ273">
        <v>0</v>
      </c>
      <c r="AK273">
        <v>0</v>
      </c>
      <c r="AL273">
        <v>10</v>
      </c>
      <c r="AM273">
        <v>0</v>
      </c>
      <c r="AN273">
        <v>1</v>
      </c>
      <c r="AO273" t="s">
        <v>58</v>
      </c>
      <c r="AP273">
        <v>1</v>
      </c>
      <c r="AQ273" t="s">
        <v>63</v>
      </c>
      <c r="AR273" t="s">
        <v>60</v>
      </c>
      <c r="AS273">
        <v>1</v>
      </c>
      <c r="AT273">
        <v>4</v>
      </c>
      <c r="AU273">
        <v>0</v>
      </c>
      <c r="AV273">
        <v>0</v>
      </c>
      <c r="AW273">
        <v>100</v>
      </c>
      <c r="AX273" s="1">
        <v>44854</v>
      </c>
      <c r="AY273">
        <v>25000</v>
      </c>
      <c r="AZ273">
        <v>328658</v>
      </c>
      <c r="BA273">
        <v>353700</v>
      </c>
      <c r="BB273">
        <v>371000</v>
      </c>
      <c r="BC273">
        <v>73</v>
      </c>
      <c r="BD273">
        <f>Grandview_Sales[[#This Row],[land_extract]]*Lookups!$B$3</f>
        <v>49926.780028885936</v>
      </c>
      <c r="BE273">
        <f>Lookups!$B$2</f>
        <v>155833.95000000001</v>
      </c>
      <c r="BF273">
        <f>VLOOKUP(Grandview_Sales[[#This Row],[quality]],Lookups!$H$2:$J$13,3,FALSE)</f>
        <v>9808</v>
      </c>
      <c r="BG273">
        <f>VLOOKUP(Grandview_Sales[[#This Row],[condition]],Lookups!$H$17:$J$24,3,FALSE)</f>
        <v>22342</v>
      </c>
      <c r="BH273">
        <f>Grandview_Sales[[#This Row],[Eff_Age]]*Lookups!$B$14</f>
        <v>-10284.1638</v>
      </c>
      <c r="BI273">
        <f>Grandview_Sales[[#This Row],[living_area]]*Lookups!$B$15</f>
        <v>159944.50709200001</v>
      </c>
      <c r="BJ273">
        <f>Grandview_Sales[[#This Row],[Fin BSMT]]*Lookups!$B$16</f>
        <v>0</v>
      </c>
      <c r="BK273">
        <f>Grandview_Sales[[#This Row],[garage_sqft]]*Lookups!$B$17</f>
        <v>46210.790736000003</v>
      </c>
      <c r="BL273">
        <f>Grandview_Sales[[#This Row],[Plumbing Fixtures]]*Lookups!$B$18</f>
        <v>20104.418000000001</v>
      </c>
      <c r="BM273">
        <f>Grandview_Sales[[#This Row],[detatched_value]]*Lookups!$B$19</f>
        <v>0</v>
      </c>
      <c r="BN273">
        <f>Grandview_Sales[[#This Row],[days_prior]]*Lookups!$B$20</f>
        <v>-8756.2477999999992</v>
      </c>
      <c r="BO273">
        <f>SUM(Grandview_Sales[[#This Row],[land_value]:[Days Prior To Assessment_value]])</f>
        <v>445130.03425688593</v>
      </c>
      <c r="BP273">
        <f>Grandview_Sales[[#This Row],[predicted_total]]/Grandview_Sales[[#This Row],[sale_price]]</f>
        <v>1.1998114130913367</v>
      </c>
      <c r="BQ273">
        <f>VLOOKUP(Grandview_Sales[[#This Row],[quality]],Lookups!$A$26:$C$33,3,FALSE)</f>
        <v>0.94295468617355149</v>
      </c>
      <c r="BR273">
        <f>VLOOKUP(Grandview_Sales[[#This Row],[condition]],Lookups!$A$37:$C$44,3,FALSE)</f>
        <v>0.97383723671140243</v>
      </c>
      <c r="BS273">
        <f>VLOOKUP(Grandview_Sales[[#This Row],[decade]],Lookups!$F$29:$H$43,3,FALSE)</f>
        <v>0.98031878267063854</v>
      </c>
      <c r="BT273">
        <f>VLOOKUP(Grandview_Sales[[#This Row],[living_area_range]],Lookups!$F$47:$H$56,3,FALSE)</f>
        <v>0.94224801443562123</v>
      </c>
      <c r="BU273">
        <f>Grandview_Sales[[#This Row],[predicted_total]]*AVERAGE(Grandview_Sales[[#This Row],[qual_adj]:[size_adj]])</f>
        <v>427253.46963854064</v>
      </c>
      <c r="BV273">
        <f>Grandview_Sales[[#This Row],[final_total]]/Grandview_Sales[[#This Row],[sale_price]]</f>
        <v>1.151626602799301</v>
      </c>
      <c r="BW273" s="6">
        <f>(Grandview_Sales[[#This Row],[final_total]]-Grandview_Sales[[#This Row],[sale_price]])^2</f>
        <v>3164452846.3742137</v>
      </c>
      <c r="BX273" s="6">
        <f>(Grandview_Sales[[#This Row],[final_total]]-AVERAGE(Grandview_Sales[sale_price]))^2</f>
        <v>14470718492.111919</v>
      </c>
      <c r="BY273" s="6">
        <f>Grandview_Sales[[#This Row],[SSE]]+Grandview_Sales[[#This Row],[SSR]]</f>
        <v>17635171338.486134</v>
      </c>
      <c r="BZ273" s="4">
        <f>ABS(Grandview_Sales[[#This Row],[final_ratio]]-MEDIAN(Grandview_Sales[final_ratio]))</f>
        <v>0.15037788344348901</v>
      </c>
    </row>
    <row r="274" spans="1:78" x14ac:dyDescent="0.25">
      <c r="A274">
        <v>23092621488</v>
      </c>
      <c r="B274">
        <v>0</v>
      </c>
      <c r="C274">
        <v>9534</v>
      </c>
      <c r="D274">
        <v>0</v>
      </c>
      <c r="E274" t="s">
        <v>53</v>
      </c>
      <c r="F274" t="s">
        <v>53</v>
      </c>
      <c r="G274">
        <v>4</v>
      </c>
      <c r="H274" t="s">
        <v>54</v>
      </c>
      <c r="I274">
        <v>288600</v>
      </c>
      <c r="J274">
        <v>39500</v>
      </c>
      <c r="K274">
        <v>0.22</v>
      </c>
      <c r="L274">
        <v>-1.51412773263</v>
      </c>
      <c r="M274">
        <v>0</v>
      </c>
      <c r="N274">
        <v>0</v>
      </c>
      <c r="O274">
        <v>0</v>
      </c>
      <c r="P274">
        <v>13398.7528</v>
      </c>
      <c r="Q274">
        <v>63902.980100000001</v>
      </c>
      <c r="R274">
        <v>43615.556902869001</v>
      </c>
      <c r="S274" t="s">
        <v>55</v>
      </c>
      <c r="T274">
        <v>2</v>
      </c>
      <c r="U274" t="s">
        <v>62</v>
      </c>
      <c r="V274" t="s">
        <v>57</v>
      </c>
      <c r="W274">
        <v>0</v>
      </c>
      <c r="X274">
        <v>0</v>
      </c>
      <c r="Y274">
        <v>1</v>
      </c>
      <c r="Z274">
        <v>1</v>
      </c>
      <c r="AA274">
        <v>0</v>
      </c>
      <c r="AB274">
        <v>2500</v>
      </c>
      <c r="AC274">
        <v>2168</v>
      </c>
      <c r="AD274">
        <v>896</v>
      </c>
      <c r="AE274">
        <v>1272</v>
      </c>
      <c r="AF274">
        <v>0</v>
      </c>
      <c r="AG274">
        <v>0</v>
      </c>
      <c r="AH274">
        <v>440</v>
      </c>
      <c r="AI274">
        <v>0</v>
      </c>
      <c r="AJ274">
        <v>0</v>
      </c>
      <c r="AK274">
        <v>0</v>
      </c>
      <c r="AL274">
        <v>11</v>
      </c>
      <c r="AM274">
        <v>0</v>
      </c>
      <c r="AN274">
        <v>0</v>
      </c>
      <c r="AO274" t="s">
        <v>58</v>
      </c>
      <c r="AP274">
        <v>1</v>
      </c>
      <c r="AQ274" t="s">
        <v>63</v>
      </c>
      <c r="AR274" t="s">
        <v>64</v>
      </c>
      <c r="AS274">
        <v>1</v>
      </c>
      <c r="AT274">
        <v>3</v>
      </c>
      <c r="AU274">
        <v>0</v>
      </c>
      <c r="AV274">
        <v>0</v>
      </c>
      <c r="AW274">
        <v>100</v>
      </c>
      <c r="AX274" s="1">
        <v>44861</v>
      </c>
      <c r="AY274">
        <v>22600</v>
      </c>
      <c r="AZ274">
        <v>341522</v>
      </c>
      <c r="BA274">
        <v>364100</v>
      </c>
      <c r="BB274">
        <v>424457</v>
      </c>
      <c r="BC274">
        <v>66</v>
      </c>
      <c r="BD274">
        <f>Grandview_Sales[[#This Row],[land_extract]]*Lookups!$B$3</f>
        <v>50650.628469298128</v>
      </c>
      <c r="BE274">
        <f>Lookups!$B$2</f>
        <v>155833.95000000001</v>
      </c>
      <c r="BF274">
        <f>VLOOKUP(Grandview_Sales[[#This Row],[quality]],Lookups!$H$2:$J$13,3,FALSE)</f>
        <v>9808</v>
      </c>
      <c r="BG274">
        <f>VLOOKUP(Grandview_Sales[[#This Row],[condition]],Lookups!$H$17:$J$24,3,FALSE)</f>
        <v>25780</v>
      </c>
      <c r="BH274">
        <f>Grandview_Sales[[#This Row],[Eff_Age]]*Lookups!$B$14</f>
        <v>-239.16659999999999</v>
      </c>
      <c r="BI274">
        <f>Grandview_Sales[[#This Row],[living_area]]*Lookups!$B$15</f>
        <v>135241.689304</v>
      </c>
      <c r="BJ274">
        <f>Grandview_Sales[[#This Row],[Fin BSMT]]*Lookups!$B$16</f>
        <v>0</v>
      </c>
      <c r="BK274">
        <f>Grandview_Sales[[#This Row],[garage_sqft]]*Lookups!$B$17</f>
        <v>38508.992279999999</v>
      </c>
      <c r="BL274">
        <f>Grandview_Sales[[#This Row],[Plumbing Fixtures]]*Lookups!$B$18</f>
        <v>22114.859800000002</v>
      </c>
      <c r="BM274">
        <f>Grandview_Sales[[#This Row],[detatched_value]]*Lookups!$B$19</f>
        <v>0</v>
      </c>
      <c r="BN274">
        <f>Grandview_Sales[[#This Row],[days_prior]]*Lookups!$B$20</f>
        <v>-7916.6076000000003</v>
      </c>
      <c r="BO274">
        <f>SUM(Grandview_Sales[[#This Row],[land_value]:[Days Prior To Assessment_value]])</f>
        <v>429782.34565329814</v>
      </c>
      <c r="BP274">
        <f>Grandview_Sales[[#This Row],[predicted_total]]/Grandview_Sales[[#This Row],[sale_price]]</f>
        <v>1.0125462547520672</v>
      </c>
      <c r="BQ274">
        <f>VLOOKUP(Grandview_Sales[[#This Row],[quality]],Lookups!$A$26:$C$33,3,FALSE)</f>
        <v>0.94295468617355149</v>
      </c>
      <c r="BR274">
        <f>VLOOKUP(Grandview_Sales[[#This Row],[condition]],Lookups!$A$37:$C$44,3,FALSE)</f>
        <v>0.94347925387812148</v>
      </c>
      <c r="BS274">
        <f>VLOOKUP(Grandview_Sales[[#This Row],[decade]],Lookups!$F$29:$H$43,3,FALSE)</f>
        <v>0.9413635517371044</v>
      </c>
      <c r="BT274">
        <f>VLOOKUP(Grandview_Sales[[#This Row],[living_area_range]],Lookups!$F$47:$H$56,3,FALSE)</f>
        <v>0.95799442568048754</v>
      </c>
      <c r="BU274">
        <f>Grandview_Sales[[#This Row],[predicted_total]]*AVERAGE(Grandview_Sales[[#This Row],[qual_adj]:[size_adj]])</f>
        <v>406766.63261130947</v>
      </c>
      <c r="BV274">
        <f>Grandview_Sales[[#This Row],[final_total]]/Grandview_Sales[[#This Row],[sale_price]]</f>
        <v>0.95832235682603761</v>
      </c>
      <c r="BW274" s="6">
        <f>(Grandview_Sales[[#This Row],[final_total]]-Grandview_Sales[[#This Row],[sale_price]])^2</f>
        <v>312949098.34684545</v>
      </c>
      <c r="BX274" s="6">
        <f>(Grandview_Sales[[#This Row],[final_total]]-AVERAGE(Grandview_Sales[sale_price]))^2</f>
        <v>9961529565.1836452</v>
      </c>
      <c r="BY274" s="6">
        <f>Grandview_Sales[[#This Row],[SSE]]+Grandview_Sales[[#This Row],[SSR]]</f>
        <v>10274478663.530491</v>
      </c>
      <c r="BZ274" s="4">
        <f>ABS(Grandview_Sales[[#This Row],[final_ratio]]-MEDIAN(Grandview_Sales[final_ratio]))</f>
        <v>4.2926362529774331E-2</v>
      </c>
    </row>
    <row r="275" spans="1:78" x14ac:dyDescent="0.25">
      <c r="A275">
        <v>23092243447</v>
      </c>
      <c r="B275">
        <v>0.18</v>
      </c>
      <c r="C275">
        <v>7650</v>
      </c>
      <c r="D275">
        <v>0</v>
      </c>
      <c r="E275" t="s">
        <v>53</v>
      </c>
      <c r="F275" t="s">
        <v>53</v>
      </c>
      <c r="G275">
        <v>4</v>
      </c>
      <c r="H275" t="s">
        <v>54</v>
      </c>
      <c r="I275">
        <v>162600</v>
      </c>
      <c r="J275">
        <v>39000</v>
      </c>
      <c r="K275">
        <v>0.18</v>
      </c>
      <c r="L275">
        <v>-1.7147984280919999</v>
      </c>
      <c r="M275">
        <v>0</v>
      </c>
      <c r="N275">
        <v>0</v>
      </c>
      <c r="O275">
        <v>0</v>
      </c>
      <c r="P275">
        <v>13398.7528</v>
      </c>
      <c r="Q275">
        <v>63902.980100000001</v>
      </c>
      <c r="R275">
        <v>40926.819860167998</v>
      </c>
      <c r="S275" t="s">
        <v>61</v>
      </c>
      <c r="T275">
        <v>1</v>
      </c>
      <c r="U275" t="s">
        <v>65</v>
      </c>
      <c r="V275" t="s">
        <v>67</v>
      </c>
      <c r="W275">
        <v>0</v>
      </c>
      <c r="X275">
        <v>0</v>
      </c>
      <c r="Y275">
        <v>43</v>
      </c>
      <c r="Z275">
        <v>45</v>
      </c>
      <c r="AA275">
        <v>50</v>
      </c>
      <c r="AB275">
        <v>1500</v>
      </c>
      <c r="AC275">
        <v>1166</v>
      </c>
      <c r="AD275">
        <v>1166</v>
      </c>
      <c r="AE275">
        <v>0</v>
      </c>
      <c r="AF275">
        <v>0</v>
      </c>
      <c r="AG275">
        <v>0</v>
      </c>
      <c r="AH275">
        <v>294</v>
      </c>
      <c r="AI275">
        <v>0</v>
      </c>
      <c r="AJ275">
        <v>280</v>
      </c>
      <c r="AK275">
        <v>0</v>
      </c>
      <c r="AL275">
        <v>8</v>
      </c>
      <c r="AM275">
        <v>0</v>
      </c>
      <c r="AN275">
        <v>0</v>
      </c>
      <c r="AO275" t="s">
        <v>58</v>
      </c>
      <c r="AP275">
        <v>1</v>
      </c>
      <c r="AQ275" t="s">
        <v>59</v>
      </c>
      <c r="AR275" t="s">
        <v>60</v>
      </c>
      <c r="AS275">
        <v>1</v>
      </c>
      <c r="AT275">
        <v>3</v>
      </c>
      <c r="AU275">
        <v>0</v>
      </c>
      <c r="AV275">
        <v>0</v>
      </c>
      <c r="AW275">
        <v>100</v>
      </c>
      <c r="AX275" s="1">
        <v>44861</v>
      </c>
      <c r="AY275">
        <v>22300</v>
      </c>
      <c r="AZ275">
        <v>163121</v>
      </c>
      <c r="BA275">
        <v>185400</v>
      </c>
      <c r="BB275">
        <v>289500</v>
      </c>
      <c r="BC275">
        <v>66</v>
      </c>
      <c r="BD275">
        <f>Grandview_Sales[[#This Row],[land_extract]]*Lookups!$B$3</f>
        <v>47528.20540119947</v>
      </c>
      <c r="BE275">
        <f>Lookups!$B$2</f>
        <v>155833.95000000001</v>
      </c>
      <c r="BF275">
        <f>VLOOKUP(Grandview_Sales[[#This Row],[quality]],Lookups!$H$2:$J$13,3,FALSE)</f>
        <v>2251</v>
      </c>
      <c r="BG275">
        <f>VLOOKUP(Grandview_Sales[[#This Row],[condition]],Lookups!$H$17:$J$24,3,FALSE)</f>
        <v>22342</v>
      </c>
      <c r="BH275">
        <f>Grandview_Sales[[#This Row],[Eff_Age]]*Lookups!$B$14</f>
        <v>-10284.1638</v>
      </c>
      <c r="BI275">
        <f>Grandview_Sales[[#This Row],[living_area]]*Lookups!$B$15</f>
        <v>72736.074598000007</v>
      </c>
      <c r="BJ275">
        <f>Grandview_Sales[[#This Row],[Fin BSMT]]*Lookups!$B$16</f>
        <v>0</v>
      </c>
      <c r="BK275">
        <f>Grandview_Sales[[#This Row],[garage_sqft]]*Lookups!$B$17</f>
        <v>25731.008478</v>
      </c>
      <c r="BL275">
        <f>Grandview_Sales[[#This Row],[Plumbing Fixtures]]*Lookups!$B$18</f>
        <v>16083.5344</v>
      </c>
      <c r="BM275">
        <f>Grandview_Sales[[#This Row],[detatched_value]]*Lookups!$B$19</f>
        <v>0</v>
      </c>
      <c r="BN275">
        <f>Grandview_Sales[[#This Row],[days_prior]]*Lookups!$B$20</f>
        <v>-7916.6076000000003</v>
      </c>
      <c r="BO275">
        <f>SUM(Grandview_Sales[[#This Row],[land_value]:[Days Prior To Assessment_value]])</f>
        <v>324305.00147719949</v>
      </c>
      <c r="BP275">
        <f>Grandview_Sales[[#This Row],[predicted_total]]/Grandview_Sales[[#This Row],[sale_price]]</f>
        <v>1.1202245301457667</v>
      </c>
      <c r="BQ275">
        <f>VLOOKUP(Grandview_Sales[[#This Row],[quality]],Lookups!$A$26:$C$33,3,FALSE)</f>
        <v>0.98763855981004833</v>
      </c>
      <c r="BR275">
        <f>VLOOKUP(Grandview_Sales[[#This Row],[condition]],Lookups!$A$37:$C$44,3,FALSE)</f>
        <v>0.97383723671140243</v>
      </c>
      <c r="BS275">
        <f>VLOOKUP(Grandview_Sales[[#This Row],[decade]],Lookups!$F$29:$H$43,3,FALSE)</f>
        <v>0.9871940091910919</v>
      </c>
      <c r="BT275">
        <f>VLOOKUP(Grandview_Sales[[#This Row],[living_area_range]],Lookups!$F$47:$H$56,3,FALSE)</f>
        <v>0.96135087979789358</v>
      </c>
      <c r="BU275">
        <f>Grandview_Sales[[#This Row],[predicted_total]]*AVERAGE(Grandview_Sales[[#This Row],[qual_adj]:[size_adj]])</f>
        <v>317009.81604758563</v>
      </c>
      <c r="BV275">
        <f>Grandview_Sales[[#This Row],[final_total]]/Grandview_Sales[[#This Row],[sale_price]]</f>
        <v>1.0950252713215394</v>
      </c>
      <c r="BW275" s="6">
        <f>(Grandview_Sales[[#This Row],[final_total]]-Grandview_Sales[[#This Row],[sale_price]])^2</f>
        <v>756789978.97199976</v>
      </c>
      <c r="BX275" s="6">
        <f>(Grandview_Sales[[#This Row],[final_total]]-AVERAGE(Grandview_Sales[sale_price]))^2</f>
        <v>101015483.18200275</v>
      </c>
      <c r="BY275" s="6">
        <f>Grandview_Sales[[#This Row],[SSE]]+Grandview_Sales[[#This Row],[SSR]]</f>
        <v>857805462.15400255</v>
      </c>
      <c r="BZ275" s="4">
        <f>ABS(Grandview_Sales[[#This Row],[final_ratio]]-MEDIAN(Grandview_Sales[final_ratio]))</f>
        <v>9.3776551965727428E-2</v>
      </c>
    </row>
    <row r="276" spans="1:78" x14ac:dyDescent="0.25">
      <c r="A276">
        <v>23092621622</v>
      </c>
      <c r="B276">
        <v>0</v>
      </c>
      <c r="C276">
        <v>8165</v>
      </c>
      <c r="D276">
        <v>0</v>
      </c>
      <c r="E276" t="s">
        <v>53</v>
      </c>
      <c r="F276" t="s">
        <v>53</v>
      </c>
      <c r="G276">
        <v>4</v>
      </c>
      <c r="H276" t="s">
        <v>54</v>
      </c>
      <c r="I276">
        <v>0</v>
      </c>
      <c r="J276">
        <v>39100</v>
      </c>
      <c r="K276">
        <v>0.19</v>
      </c>
      <c r="L276">
        <v>-1.6607312068219999</v>
      </c>
      <c r="M276">
        <v>0</v>
      </c>
      <c r="N276">
        <v>0</v>
      </c>
      <c r="O276">
        <v>0</v>
      </c>
      <c r="P276">
        <v>13398.7528</v>
      </c>
      <c r="Q276">
        <v>63902.980100000001</v>
      </c>
      <c r="R276">
        <v>41651.253192550997</v>
      </c>
      <c r="S276" t="s">
        <v>55</v>
      </c>
      <c r="T276">
        <v>2</v>
      </c>
      <c r="U276" t="s">
        <v>62</v>
      </c>
      <c r="V276" t="s">
        <v>57</v>
      </c>
      <c r="W276">
        <v>0</v>
      </c>
      <c r="X276">
        <v>0</v>
      </c>
      <c r="Y276">
        <v>1</v>
      </c>
      <c r="Z276">
        <v>1</v>
      </c>
      <c r="AA276">
        <v>0</v>
      </c>
      <c r="AB276">
        <v>1500</v>
      </c>
      <c r="AC276">
        <v>1460</v>
      </c>
      <c r="AD276">
        <v>1460</v>
      </c>
      <c r="AE276">
        <v>0</v>
      </c>
      <c r="AF276">
        <v>0</v>
      </c>
      <c r="AG276">
        <v>0</v>
      </c>
      <c r="AH276">
        <v>660</v>
      </c>
      <c r="AI276">
        <v>0</v>
      </c>
      <c r="AJ276">
        <v>0</v>
      </c>
      <c r="AK276">
        <v>60</v>
      </c>
      <c r="AL276">
        <v>9</v>
      </c>
      <c r="AM276">
        <v>0</v>
      </c>
      <c r="AN276">
        <v>0</v>
      </c>
      <c r="AO276" t="s">
        <v>58</v>
      </c>
      <c r="AP276">
        <v>1</v>
      </c>
      <c r="AQ276" t="s">
        <v>63</v>
      </c>
      <c r="AR276" t="s">
        <v>64</v>
      </c>
      <c r="AS276">
        <v>1</v>
      </c>
      <c r="AT276">
        <v>3</v>
      </c>
      <c r="AU276">
        <v>0</v>
      </c>
      <c r="AV276">
        <v>0</v>
      </c>
      <c r="AW276">
        <v>100</v>
      </c>
      <c r="AX276" s="1">
        <v>44862</v>
      </c>
      <c r="AY276">
        <v>22400</v>
      </c>
      <c r="AZ276">
        <v>266210</v>
      </c>
      <c r="BA276">
        <v>288600</v>
      </c>
      <c r="BB276">
        <v>379375</v>
      </c>
      <c r="BC276">
        <v>65</v>
      </c>
      <c r="BD276">
        <f>Grandview_Sales[[#This Row],[land_extract]]*Lookups!$B$3</f>
        <v>48369.487874125851</v>
      </c>
      <c r="BE276">
        <f>Lookups!$B$2</f>
        <v>155833.95000000001</v>
      </c>
      <c r="BF276">
        <f>VLOOKUP(Grandview_Sales[[#This Row],[quality]],Lookups!$H$2:$J$13,3,FALSE)</f>
        <v>9808</v>
      </c>
      <c r="BG276">
        <f>VLOOKUP(Grandview_Sales[[#This Row],[condition]],Lookups!$H$17:$J$24,3,FALSE)</f>
        <v>25780</v>
      </c>
      <c r="BH276">
        <f>Grandview_Sales[[#This Row],[Eff_Age]]*Lookups!$B$14</f>
        <v>-239.16659999999999</v>
      </c>
      <c r="BI276">
        <f>Grandview_Sales[[#This Row],[living_area]]*Lookups!$B$15</f>
        <v>91076.045379999996</v>
      </c>
      <c r="BJ276">
        <f>Grandview_Sales[[#This Row],[Fin BSMT]]*Lookups!$B$16</f>
        <v>0</v>
      </c>
      <c r="BK276">
        <f>Grandview_Sales[[#This Row],[garage_sqft]]*Lookups!$B$17</f>
        <v>57763.488420000001</v>
      </c>
      <c r="BL276">
        <f>Grandview_Sales[[#This Row],[Plumbing Fixtures]]*Lookups!$B$18</f>
        <v>18093.976200000001</v>
      </c>
      <c r="BM276">
        <f>Grandview_Sales[[#This Row],[detatched_value]]*Lookups!$B$19</f>
        <v>0</v>
      </c>
      <c r="BN276">
        <f>Grandview_Sales[[#This Row],[days_prior]]*Lookups!$B$20</f>
        <v>-7796.6589999999997</v>
      </c>
      <c r="BO276">
        <f>SUM(Grandview_Sales[[#This Row],[land_value]:[Days Prior To Assessment_value]])</f>
        <v>398689.12227412587</v>
      </c>
      <c r="BP276">
        <f>Grandview_Sales[[#This Row],[predicted_total]]/Grandview_Sales[[#This Row],[sale_price]]</f>
        <v>1.0509103717275146</v>
      </c>
      <c r="BQ276">
        <f>VLOOKUP(Grandview_Sales[[#This Row],[quality]],Lookups!$A$26:$C$33,3,FALSE)</f>
        <v>0.94295468617355149</v>
      </c>
      <c r="BR276">
        <f>VLOOKUP(Grandview_Sales[[#This Row],[condition]],Lookups!$A$37:$C$44,3,FALSE)</f>
        <v>0.94347925387812148</v>
      </c>
      <c r="BS276">
        <f>VLOOKUP(Grandview_Sales[[#This Row],[decade]],Lookups!$F$29:$H$43,3,FALSE)</f>
        <v>0.9413635517371044</v>
      </c>
      <c r="BT276">
        <f>VLOOKUP(Grandview_Sales[[#This Row],[living_area_range]],Lookups!$F$47:$H$56,3,FALSE)</f>
        <v>0.96135087979789358</v>
      </c>
      <c r="BU276">
        <f>Grandview_Sales[[#This Row],[predicted_total]]*AVERAGE(Grandview_Sales[[#This Row],[qual_adj]:[size_adj]])</f>
        <v>377673.05960858078</v>
      </c>
      <c r="BV276">
        <f>Grandview_Sales[[#This Row],[final_total]]/Grandview_Sales[[#This Row],[sale_price]]</f>
        <v>0.99551383092871371</v>
      </c>
      <c r="BW276" s="6">
        <f>(Grandview_Sales[[#This Row],[final_total]]-Grandview_Sales[[#This Row],[sale_price]])^2</f>
        <v>2896601.0959442165</v>
      </c>
      <c r="BX276" s="6">
        <f>(Grandview_Sales[[#This Row],[final_total]]-AVERAGE(Grandview_Sales[sale_price]))^2</f>
        <v>5000454163.9318027</v>
      </c>
      <c r="BY276" s="6">
        <f>Grandview_Sales[[#This Row],[SSE]]+Grandview_Sales[[#This Row],[SSR]]</f>
        <v>5003350765.0277472</v>
      </c>
      <c r="BZ276" s="4">
        <f>ABS(Grandview_Sales[[#This Row],[final_ratio]]-MEDIAN(Grandview_Sales[final_ratio]))</f>
        <v>5.7348884270982392E-3</v>
      </c>
    </row>
    <row r="277" spans="1:78" x14ac:dyDescent="0.25">
      <c r="A277">
        <v>23092621618</v>
      </c>
      <c r="B277">
        <v>0</v>
      </c>
      <c r="C277">
        <v>8140</v>
      </c>
      <c r="D277">
        <v>0</v>
      </c>
      <c r="E277" t="s">
        <v>53</v>
      </c>
      <c r="F277" t="s">
        <v>53</v>
      </c>
      <c r="G277">
        <v>4</v>
      </c>
      <c r="H277" t="s">
        <v>54</v>
      </c>
      <c r="I277">
        <v>48800</v>
      </c>
      <c r="J277">
        <v>39000</v>
      </c>
      <c r="K277">
        <v>0.19</v>
      </c>
      <c r="L277">
        <v>-1.6607312068219999</v>
      </c>
      <c r="M277">
        <v>0</v>
      </c>
      <c r="N277">
        <v>0</v>
      </c>
      <c r="O277">
        <v>0</v>
      </c>
      <c r="P277">
        <v>13398.7528</v>
      </c>
      <c r="Q277">
        <v>63902.980100000001</v>
      </c>
      <c r="R277">
        <v>41651.253192550997</v>
      </c>
      <c r="S277" t="s">
        <v>58</v>
      </c>
      <c r="T277">
        <v>1</v>
      </c>
      <c r="U277" t="s">
        <v>62</v>
      </c>
      <c r="V277" t="s">
        <v>57</v>
      </c>
      <c r="W277">
        <v>0</v>
      </c>
      <c r="X277">
        <v>0</v>
      </c>
      <c r="Y277">
        <v>1</v>
      </c>
      <c r="Z277">
        <v>1</v>
      </c>
      <c r="AA277">
        <v>0</v>
      </c>
      <c r="AB277">
        <v>1500</v>
      </c>
      <c r="AC277">
        <v>1378</v>
      </c>
      <c r="AD277">
        <v>1378</v>
      </c>
      <c r="AE277">
        <v>0</v>
      </c>
      <c r="AF277">
        <v>0</v>
      </c>
      <c r="AG277">
        <v>0</v>
      </c>
      <c r="AH277">
        <v>400</v>
      </c>
      <c r="AI277">
        <v>0</v>
      </c>
      <c r="AJ277">
        <v>0</v>
      </c>
      <c r="AK277">
        <v>0</v>
      </c>
      <c r="AL277">
        <v>8</v>
      </c>
      <c r="AM277">
        <v>0</v>
      </c>
      <c r="AN277">
        <v>0</v>
      </c>
      <c r="AO277" t="s">
        <v>58</v>
      </c>
      <c r="AP277">
        <v>1</v>
      </c>
      <c r="AQ277" t="s">
        <v>63</v>
      </c>
      <c r="AR277" t="s">
        <v>64</v>
      </c>
      <c r="AS277">
        <v>1</v>
      </c>
      <c r="AT277">
        <v>3</v>
      </c>
      <c r="AU277">
        <v>0</v>
      </c>
      <c r="AV277">
        <v>0</v>
      </c>
      <c r="AW277">
        <v>100</v>
      </c>
      <c r="AX277" s="1">
        <v>44862</v>
      </c>
      <c r="AY277">
        <v>22300</v>
      </c>
      <c r="AZ277">
        <v>249875</v>
      </c>
      <c r="BA277">
        <v>272200</v>
      </c>
      <c r="BB277">
        <v>318190</v>
      </c>
      <c r="BC277">
        <v>65</v>
      </c>
      <c r="BD277">
        <f>Grandview_Sales[[#This Row],[land_extract]]*Lookups!$B$3</f>
        <v>48369.487874125851</v>
      </c>
      <c r="BE277">
        <f>Lookups!$B$2</f>
        <v>155833.95000000001</v>
      </c>
      <c r="BF277">
        <f>VLOOKUP(Grandview_Sales[[#This Row],[quality]],Lookups!$H$2:$J$13,3,FALSE)</f>
        <v>9808</v>
      </c>
      <c r="BG277">
        <f>VLOOKUP(Grandview_Sales[[#This Row],[condition]],Lookups!$H$17:$J$24,3,FALSE)</f>
        <v>25780</v>
      </c>
      <c r="BH277">
        <f>Grandview_Sales[[#This Row],[Eff_Age]]*Lookups!$B$14</f>
        <v>-239.16659999999999</v>
      </c>
      <c r="BI277">
        <f>Grandview_Sales[[#This Row],[living_area]]*Lookups!$B$15</f>
        <v>85960.815434000004</v>
      </c>
      <c r="BJ277">
        <f>Grandview_Sales[[#This Row],[Fin BSMT]]*Lookups!$B$16</f>
        <v>0</v>
      </c>
      <c r="BK277">
        <f>Grandview_Sales[[#This Row],[garage_sqft]]*Lookups!$B$17</f>
        <v>35008.174800000001</v>
      </c>
      <c r="BL277">
        <f>Grandview_Sales[[#This Row],[Plumbing Fixtures]]*Lookups!$B$18</f>
        <v>16083.5344</v>
      </c>
      <c r="BM277">
        <f>Grandview_Sales[[#This Row],[detatched_value]]*Lookups!$B$19</f>
        <v>0</v>
      </c>
      <c r="BN277">
        <f>Grandview_Sales[[#This Row],[days_prior]]*Lookups!$B$20</f>
        <v>-7796.6589999999997</v>
      </c>
      <c r="BO277">
        <f>SUM(Grandview_Sales[[#This Row],[land_value]:[Days Prior To Assessment_value]])</f>
        <v>368808.13690812589</v>
      </c>
      <c r="BP277">
        <f>Grandview_Sales[[#This Row],[predicted_total]]/Grandview_Sales[[#This Row],[sale_price]]</f>
        <v>1.1590814824731321</v>
      </c>
      <c r="BQ277">
        <f>VLOOKUP(Grandview_Sales[[#This Row],[quality]],Lookups!$A$26:$C$33,3,FALSE)</f>
        <v>0.94295468617355149</v>
      </c>
      <c r="BR277">
        <f>VLOOKUP(Grandview_Sales[[#This Row],[condition]],Lookups!$A$37:$C$44,3,FALSE)</f>
        <v>0.94347925387812148</v>
      </c>
      <c r="BS277">
        <f>VLOOKUP(Grandview_Sales[[#This Row],[decade]],Lookups!$F$29:$H$43,3,FALSE)</f>
        <v>0.9413635517371044</v>
      </c>
      <c r="BT277">
        <f>VLOOKUP(Grandview_Sales[[#This Row],[living_area_range]],Lookups!$F$47:$H$56,3,FALSE)</f>
        <v>0.96135087979789358</v>
      </c>
      <c r="BU277">
        <f>Grandview_Sales[[#This Row],[predicted_total]]*AVERAGE(Grandview_Sales[[#This Row],[qual_adj]:[size_adj]])</f>
        <v>349367.18784833478</v>
      </c>
      <c r="BV277">
        <f>Grandview_Sales[[#This Row],[final_total]]/Grandview_Sales[[#This Row],[sale_price]]</f>
        <v>1.0979829279623332</v>
      </c>
      <c r="BW277" s="6">
        <f>(Grandview_Sales[[#This Row],[final_total]]-Grandview_Sales[[#This Row],[sale_price]])^2</f>
        <v>972017042.13035405</v>
      </c>
      <c r="BX277" s="6">
        <f>(Grandview_Sales[[#This Row],[final_total]]-AVERAGE(Grandview_Sales[sale_price]))^2</f>
        <v>1798439966.0446777</v>
      </c>
      <c r="BY277" s="6">
        <f>Grandview_Sales[[#This Row],[SSE]]+Grandview_Sales[[#This Row],[SSR]]</f>
        <v>2770457008.1750317</v>
      </c>
      <c r="BZ277" s="4">
        <f>ABS(Grandview_Sales[[#This Row],[final_ratio]]-MEDIAN(Grandview_Sales[final_ratio]))</f>
        <v>9.6734208606521266E-2</v>
      </c>
    </row>
    <row r="278" spans="1:78" x14ac:dyDescent="0.25">
      <c r="A278">
        <v>23092241408</v>
      </c>
      <c r="B278">
        <v>0.28000000000000003</v>
      </c>
      <c r="C278">
        <v>12070</v>
      </c>
      <c r="D278">
        <v>0</v>
      </c>
      <c r="E278" t="s">
        <v>53</v>
      </c>
      <c r="F278" t="s">
        <v>53</v>
      </c>
      <c r="G278">
        <v>4</v>
      </c>
      <c r="H278" t="s">
        <v>54</v>
      </c>
      <c r="I278">
        <v>240500</v>
      </c>
      <c r="J278">
        <v>44500</v>
      </c>
      <c r="K278">
        <v>0.28000000000000003</v>
      </c>
      <c r="L278">
        <v>-1.2729656758129999</v>
      </c>
      <c r="M278">
        <v>0</v>
      </c>
      <c r="N278">
        <v>0</v>
      </c>
      <c r="O278">
        <v>0</v>
      </c>
      <c r="P278">
        <v>13398.7528</v>
      </c>
      <c r="Q278">
        <v>63902.980100000001</v>
      </c>
      <c r="R278">
        <v>46846.827686898003</v>
      </c>
      <c r="S278" t="s">
        <v>61</v>
      </c>
      <c r="T278">
        <v>1</v>
      </c>
      <c r="U278" t="s">
        <v>64</v>
      </c>
      <c r="V278" t="s">
        <v>67</v>
      </c>
      <c r="W278">
        <v>0</v>
      </c>
      <c r="X278">
        <v>0</v>
      </c>
      <c r="Y278">
        <v>48</v>
      </c>
      <c r="Z278">
        <v>62</v>
      </c>
      <c r="AA278">
        <v>60</v>
      </c>
      <c r="AB278">
        <v>3000</v>
      </c>
      <c r="AC278">
        <v>2973</v>
      </c>
      <c r="AD278">
        <v>1592</v>
      </c>
      <c r="AE278">
        <v>0</v>
      </c>
      <c r="AF278">
        <v>1381</v>
      </c>
      <c r="AG278">
        <v>0</v>
      </c>
      <c r="AH278">
        <v>308</v>
      </c>
      <c r="AI278">
        <v>200</v>
      </c>
      <c r="AJ278">
        <v>0</v>
      </c>
      <c r="AK278">
        <v>426</v>
      </c>
      <c r="AL278">
        <v>9</v>
      </c>
      <c r="AM278">
        <v>0</v>
      </c>
      <c r="AN278">
        <v>2</v>
      </c>
      <c r="AO278" t="s">
        <v>58</v>
      </c>
      <c r="AP278">
        <v>1</v>
      </c>
      <c r="AQ278" t="s">
        <v>63</v>
      </c>
      <c r="AR278" t="s">
        <v>64</v>
      </c>
      <c r="AS278">
        <v>1</v>
      </c>
      <c r="AT278">
        <v>4</v>
      </c>
      <c r="AU278">
        <v>0</v>
      </c>
      <c r="AV278">
        <v>0</v>
      </c>
      <c r="AW278">
        <v>100</v>
      </c>
      <c r="AX278" s="1">
        <v>44862</v>
      </c>
      <c r="AY278">
        <v>25500</v>
      </c>
      <c r="AZ278">
        <v>402545</v>
      </c>
      <c r="BA278">
        <v>428000</v>
      </c>
      <c r="BB278">
        <v>383000</v>
      </c>
      <c r="BC278">
        <v>65</v>
      </c>
      <c r="BD278">
        <f>Grandview_Sales[[#This Row],[land_extract]]*Lookups!$B$3</f>
        <v>54403.094506359892</v>
      </c>
      <c r="BE278">
        <f>Lookups!$B$2</f>
        <v>155833.95000000001</v>
      </c>
      <c r="BF278">
        <f>VLOOKUP(Grandview_Sales[[#This Row],[quality]],Lookups!$H$2:$J$13,3,FALSE)</f>
        <v>20768</v>
      </c>
      <c r="BG278">
        <f>VLOOKUP(Grandview_Sales[[#This Row],[condition]],Lookups!$H$17:$J$24,3,FALSE)</f>
        <v>22342</v>
      </c>
      <c r="BH278">
        <f>Grandview_Sales[[#This Row],[Eff_Age]]*Lookups!$B$14</f>
        <v>-11479.996799999999</v>
      </c>
      <c r="BI278">
        <f>Grandview_Sales[[#This Row],[living_area]]*Lookups!$B$15</f>
        <v>185458.27596900001</v>
      </c>
      <c r="BJ278">
        <f>Grandview_Sales[[#This Row],[Fin BSMT]]*Lookups!$B$16</f>
        <v>-37424.050439999999</v>
      </c>
      <c r="BK278">
        <f>Grandview_Sales[[#This Row],[garage_sqft]]*Lookups!$B$17</f>
        <v>26956.294596</v>
      </c>
      <c r="BL278">
        <f>Grandview_Sales[[#This Row],[Plumbing Fixtures]]*Lookups!$B$18</f>
        <v>18093.976200000001</v>
      </c>
      <c r="BM278">
        <f>Grandview_Sales[[#This Row],[detatched_value]]*Lookups!$B$19</f>
        <v>0</v>
      </c>
      <c r="BN278">
        <f>Grandview_Sales[[#This Row],[days_prior]]*Lookups!$B$20</f>
        <v>-7796.6589999999997</v>
      </c>
      <c r="BO278">
        <f>SUM(Grandview_Sales[[#This Row],[land_value]:[Days Prior To Assessment_value]])</f>
        <v>427154.88503135991</v>
      </c>
      <c r="BP278">
        <f>Grandview_Sales[[#This Row],[predicted_total]]/Grandview_Sales[[#This Row],[sale_price]]</f>
        <v>1.1152869060871016</v>
      </c>
      <c r="BQ278">
        <f>VLOOKUP(Grandview_Sales[[#This Row],[quality]],Lookups!$A$26:$C$33,3,FALSE)</f>
        <v>0.94960540378902636</v>
      </c>
      <c r="BR278">
        <f>VLOOKUP(Grandview_Sales[[#This Row],[condition]],Lookups!$A$37:$C$44,3,FALSE)</f>
        <v>0.97383723671140243</v>
      </c>
      <c r="BS278">
        <f>VLOOKUP(Grandview_Sales[[#This Row],[decade]],Lookups!$F$29:$H$43,3,FALSE)</f>
        <v>0.95268620544463312</v>
      </c>
      <c r="BT278">
        <f>VLOOKUP(Grandview_Sales[[#This Row],[living_area_range]],Lookups!$F$47:$H$56,3,FALSE)</f>
        <v>0.94224801443562123</v>
      </c>
      <c r="BU278">
        <f>Grandview_Sales[[#This Row],[predicted_total]]*AVERAGE(Grandview_Sales[[#This Row],[qual_adj]:[size_adj]])</f>
        <v>407759.58220057894</v>
      </c>
      <c r="BV278">
        <f>Grandview_Sales[[#This Row],[final_total]]/Grandview_Sales[[#This Row],[sale_price]]</f>
        <v>1.0646464287221382</v>
      </c>
      <c r="BW278" s="6">
        <f>(Grandview_Sales[[#This Row],[final_total]]-Grandview_Sales[[#This Row],[sale_price]])^2</f>
        <v>613036910.7472254</v>
      </c>
      <c r="BX278" s="6">
        <f>(Grandview_Sales[[#This Row],[final_total]]-AVERAGE(Grandview_Sales[sale_price]))^2</f>
        <v>10160723071.806511</v>
      </c>
      <c r="BY278" s="6">
        <f>Grandview_Sales[[#This Row],[SSE]]+Grandview_Sales[[#This Row],[SSR]]</f>
        <v>10773759982.553736</v>
      </c>
      <c r="BZ278" s="4">
        <f>ABS(Grandview_Sales[[#This Row],[final_ratio]]-MEDIAN(Grandview_Sales[final_ratio]))</f>
        <v>6.3397709366326271E-2</v>
      </c>
    </row>
    <row r="279" spans="1:78" x14ac:dyDescent="0.25">
      <c r="A279">
        <v>23092621485</v>
      </c>
      <c r="B279">
        <v>0</v>
      </c>
      <c r="C279">
        <v>7763</v>
      </c>
      <c r="D279">
        <v>0</v>
      </c>
      <c r="E279" t="s">
        <v>53</v>
      </c>
      <c r="F279" t="s">
        <v>53</v>
      </c>
      <c r="G279">
        <v>4</v>
      </c>
      <c r="H279" t="s">
        <v>54</v>
      </c>
      <c r="I279">
        <v>299200</v>
      </c>
      <c r="J279">
        <v>39000</v>
      </c>
      <c r="K279">
        <v>0.18</v>
      </c>
      <c r="L279">
        <v>-1.7147984280919999</v>
      </c>
      <c r="M279">
        <v>0</v>
      </c>
      <c r="N279">
        <v>0</v>
      </c>
      <c r="O279">
        <v>0</v>
      </c>
      <c r="P279">
        <v>13398.7528</v>
      </c>
      <c r="Q279">
        <v>63902.980100000001</v>
      </c>
      <c r="R279">
        <v>40926.819860167998</v>
      </c>
      <c r="S279" t="s">
        <v>61</v>
      </c>
      <c r="T279">
        <v>1</v>
      </c>
      <c r="U279" t="s">
        <v>64</v>
      </c>
      <c r="V279" t="s">
        <v>57</v>
      </c>
      <c r="W279">
        <v>0</v>
      </c>
      <c r="X279">
        <v>0</v>
      </c>
      <c r="Y279">
        <v>1</v>
      </c>
      <c r="Z279">
        <v>1</v>
      </c>
      <c r="AA279">
        <v>0</v>
      </c>
      <c r="AB279">
        <v>2000</v>
      </c>
      <c r="AC279">
        <v>1985</v>
      </c>
      <c r="AD279">
        <v>1985</v>
      </c>
      <c r="AE279">
        <v>0</v>
      </c>
      <c r="AF279">
        <v>0</v>
      </c>
      <c r="AG279">
        <v>0</v>
      </c>
      <c r="AH279">
        <v>719</v>
      </c>
      <c r="AI279">
        <v>0</v>
      </c>
      <c r="AJ279">
        <v>0</v>
      </c>
      <c r="AK279">
        <v>120</v>
      </c>
      <c r="AL279">
        <v>10</v>
      </c>
      <c r="AM279">
        <v>0</v>
      </c>
      <c r="AN279">
        <v>0</v>
      </c>
      <c r="AO279" t="s">
        <v>58</v>
      </c>
      <c r="AP279">
        <v>1</v>
      </c>
      <c r="AQ279" t="s">
        <v>63</v>
      </c>
      <c r="AR279" t="s">
        <v>64</v>
      </c>
      <c r="AS279">
        <v>1</v>
      </c>
      <c r="AT279">
        <v>4</v>
      </c>
      <c r="AU279">
        <v>0</v>
      </c>
      <c r="AV279">
        <v>0</v>
      </c>
      <c r="AW279">
        <v>100</v>
      </c>
      <c r="AX279" s="1">
        <v>44865</v>
      </c>
      <c r="AY279">
        <v>22300</v>
      </c>
      <c r="AZ279">
        <v>393047</v>
      </c>
      <c r="BA279">
        <v>415300</v>
      </c>
      <c r="BB279">
        <v>420900</v>
      </c>
      <c r="BC279">
        <v>62</v>
      </c>
      <c r="BD279">
        <f>Grandview_Sales[[#This Row],[land_extract]]*Lookups!$B$3</f>
        <v>47528.20540119947</v>
      </c>
      <c r="BE279">
        <f>Lookups!$B$2</f>
        <v>155833.95000000001</v>
      </c>
      <c r="BF279">
        <f>VLOOKUP(Grandview_Sales[[#This Row],[quality]],Lookups!$H$2:$J$13,3,FALSE)</f>
        <v>20768</v>
      </c>
      <c r="BG279">
        <f>VLOOKUP(Grandview_Sales[[#This Row],[condition]],Lookups!$H$17:$J$24,3,FALSE)</f>
        <v>25780</v>
      </c>
      <c r="BH279">
        <f>Grandview_Sales[[#This Row],[Eff_Age]]*Lookups!$B$14</f>
        <v>-239.16659999999999</v>
      </c>
      <c r="BI279">
        <f>Grandview_Sales[[#This Row],[living_area]]*Lookups!$B$15</f>
        <v>123825.99320500001</v>
      </c>
      <c r="BJ279">
        <f>Grandview_Sales[[#This Row],[Fin BSMT]]*Lookups!$B$16</f>
        <v>0</v>
      </c>
      <c r="BK279">
        <f>Grandview_Sales[[#This Row],[garage_sqft]]*Lookups!$B$17</f>
        <v>62927.194202999999</v>
      </c>
      <c r="BL279">
        <f>Grandview_Sales[[#This Row],[Plumbing Fixtures]]*Lookups!$B$18</f>
        <v>20104.418000000001</v>
      </c>
      <c r="BM279">
        <f>Grandview_Sales[[#This Row],[detatched_value]]*Lookups!$B$19</f>
        <v>0</v>
      </c>
      <c r="BN279">
        <f>Grandview_Sales[[#This Row],[days_prior]]*Lookups!$B$20</f>
        <v>-7436.8131999999996</v>
      </c>
      <c r="BO279">
        <f>SUM(Grandview_Sales[[#This Row],[land_value]:[Days Prior To Assessment_value]])</f>
        <v>449091.78100919951</v>
      </c>
      <c r="BP279">
        <f>Grandview_Sales[[#This Row],[predicted_total]]/Grandview_Sales[[#This Row],[sale_price]]</f>
        <v>1.0669797600598705</v>
      </c>
      <c r="BQ279">
        <f>VLOOKUP(Grandview_Sales[[#This Row],[quality]],Lookups!$A$26:$C$33,3,FALSE)</f>
        <v>0.94960540378902636</v>
      </c>
      <c r="BR279">
        <f>VLOOKUP(Grandview_Sales[[#This Row],[condition]],Lookups!$A$37:$C$44,3,FALSE)</f>
        <v>0.94347925387812148</v>
      </c>
      <c r="BS279">
        <f>VLOOKUP(Grandview_Sales[[#This Row],[decade]],Lookups!$F$29:$H$43,3,FALSE)</f>
        <v>0.9413635517371044</v>
      </c>
      <c r="BT279">
        <f>VLOOKUP(Grandview_Sales[[#This Row],[living_area_range]],Lookups!$F$47:$H$56,3,FALSE)</f>
        <v>0.96120133463014379</v>
      </c>
      <c r="BU279">
        <f>Grandview_Sales[[#This Row],[predicted_total]]*AVERAGE(Grandview_Sales[[#This Row],[qual_adj]:[size_adj]])</f>
        <v>426148.75345429074</v>
      </c>
      <c r="BV279">
        <f>Grandview_Sales[[#This Row],[final_total]]/Grandview_Sales[[#This Row],[sale_price]]</f>
        <v>1.0124703099412942</v>
      </c>
      <c r="BW279" s="6">
        <f>(Grandview_Sales[[#This Row],[final_total]]-Grandview_Sales[[#This Row],[sale_price]])^2</f>
        <v>27549412.823928952</v>
      </c>
      <c r="BX279" s="6">
        <f>(Grandview_Sales[[#This Row],[final_total]]-AVERAGE(Grandview_Sales[sale_price]))^2</f>
        <v>14206156770.899122</v>
      </c>
      <c r="BY279" s="6">
        <f>Grandview_Sales[[#This Row],[SSE]]+Grandview_Sales[[#This Row],[SSR]]</f>
        <v>14233706183.723051</v>
      </c>
      <c r="BZ279" s="4">
        <f>ABS(Grandview_Sales[[#This Row],[final_ratio]]-MEDIAN(Grandview_Sales[final_ratio]))</f>
        <v>1.1221590585482222E-2</v>
      </c>
    </row>
    <row r="280" spans="1:78" x14ac:dyDescent="0.25">
      <c r="A280">
        <v>23092621595</v>
      </c>
      <c r="B280">
        <v>0</v>
      </c>
      <c r="C280">
        <v>8250</v>
      </c>
      <c r="D280">
        <v>0</v>
      </c>
      <c r="E280" t="s">
        <v>53</v>
      </c>
      <c r="F280" t="s">
        <v>53</v>
      </c>
      <c r="G280">
        <v>4</v>
      </c>
      <c r="H280" t="s">
        <v>54</v>
      </c>
      <c r="I280">
        <v>0</v>
      </c>
      <c r="J280">
        <v>39100</v>
      </c>
      <c r="K280">
        <v>0.19</v>
      </c>
      <c r="L280">
        <v>-1.6607312068219999</v>
      </c>
      <c r="M280">
        <v>0</v>
      </c>
      <c r="N280">
        <v>0</v>
      </c>
      <c r="O280">
        <v>0</v>
      </c>
      <c r="P280">
        <v>13398.7528</v>
      </c>
      <c r="Q280">
        <v>63902.980100000001</v>
      </c>
      <c r="R280">
        <v>41651.253192550997</v>
      </c>
      <c r="S280" t="s">
        <v>55</v>
      </c>
      <c r="T280">
        <v>2</v>
      </c>
      <c r="U280" t="s">
        <v>62</v>
      </c>
      <c r="V280" t="s">
        <v>57</v>
      </c>
      <c r="W280">
        <v>0</v>
      </c>
      <c r="X280">
        <v>0</v>
      </c>
      <c r="Y280">
        <v>1</v>
      </c>
      <c r="Z280">
        <v>1</v>
      </c>
      <c r="AA280">
        <v>0</v>
      </c>
      <c r="AB280">
        <v>2500</v>
      </c>
      <c r="AC280">
        <v>2168</v>
      </c>
      <c r="AD280">
        <v>896</v>
      </c>
      <c r="AE280">
        <v>1272</v>
      </c>
      <c r="AF280">
        <v>0</v>
      </c>
      <c r="AG280">
        <v>0</v>
      </c>
      <c r="AH280">
        <v>440</v>
      </c>
      <c r="AI280">
        <v>0</v>
      </c>
      <c r="AJ280">
        <v>0</v>
      </c>
      <c r="AK280">
        <v>144</v>
      </c>
      <c r="AL280">
        <v>12</v>
      </c>
      <c r="AM280">
        <v>0</v>
      </c>
      <c r="AN280">
        <v>0</v>
      </c>
      <c r="AO280" t="s">
        <v>58</v>
      </c>
      <c r="AP280">
        <v>1</v>
      </c>
      <c r="AQ280" t="s">
        <v>63</v>
      </c>
      <c r="AR280" t="s">
        <v>64</v>
      </c>
      <c r="AS280">
        <v>1</v>
      </c>
      <c r="AT280">
        <v>3</v>
      </c>
      <c r="AU280">
        <v>0</v>
      </c>
      <c r="AV280">
        <v>0</v>
      </c>
      <c r="AW280">
        <v>100</v>
      </c>
      <c r="AX280" s="1">
        <v>44867</v>
      </c>
      <c r="AY280">
        <v>22400</v>
      </c>
      <c r="AZ280">
        <v>342925</v>
      </c>
      <c r="BA280">
        <v>365300</v>
      </c>
      <c r="BB280">
        <v>424900</v>
      </c>
      <c r="BC280">
        <v>60</v>
      </c>
      <c r="BD280">
        <f>Grandview_Sales[[#This Row],[land_extract]]*Lookups!$B$3</f>
        <v>48369.487874125851</v>
      </c>
      <c r="BE280">
        <f>Lookups!$B$2</f>
        <v>155833.95000000001</v>
      </c>
      <c r="BF280">
        <f>VLOOKUP(Grandview_Sales[[#This Row],[quality]],Lookups!$H$2:$J$13,3,FALSE)</f>
        <v>9808</v>
      </c>
      <c r="BG280">
        <f>VLOOKUP(Grandview_Sales[[#This Row],[condition]],Lookups!$H$17:$J$24,3,FALSE)</f>
        <v>25780</v>
      </c>
      <c r="BH280">
        <f>Grandview_Sales[[#This Row],[Eff_Age]]*Lookups!$B$14</f>
        <v>-239.16659999999999</v>
      </c>
      <c r="BI280">
        <f>Grandview_Sales[[#This Row],[living_area]]*Lookups!$B$15</f>
        <v>135241.689304</v>
      </c>
      <c r="BJ280">
        <f>Grandview_Sales[[#This Row],[Fin BSMT]]*Lookups!$B$16</f>
        <v>0</v>
      </c>
      <c r="BK280">
        <f>Grandview_Sales[[#This Row],[garage_sqft]]*Lookups!$B$17</f>
        <v>38508.992279999999</v>
      </c>
      <c r="BL280">
        <f>Grandview_Sales[[#This Row],[Plumbing Fixtures]]*Lookups!$B$18</f>
        <v>24125.301599999999</v>
      </c>
      <c r="BM280">
        <f>Grandview_Sales[[#This Row],[detatched_value]]*Lookups!$B$19</f>
        <v>0</v>
      </c>
      <c r="BN280">
        <f>Grandview_Sales[[#This Row],[days_prior]]*Lookups!$B$20</f>
        <v>-7196.9160000000002</v>
      </c>
      <c r="BO280">
        <f>SUM(Grandview_Sales[[#This Row],[land_value]:[Days Prior To Assessment_value]])</f>
        <v>430231.33845812589</v>
      </c>
      <c r="BP280">
        <f>Grandview_Sales[[#This Row],[predicted_total]]/Grandview_Sales[[#This Row],[sale_price]]</f>
        <v>1.0125472780845515</v>
      </c>
      <c r="BQ280">
        <f>VLOOKUP(Grandview_Sales[[#This Row],[quality]],Lookups!$A$26:$C$33,3,FALSE)</f>
        <v>0.94295468617355149</v>
      </c>
      <c r="BR280">
        <f>VLOOKUP(Grandview_Sales[[#This Row],[condition]],Lookups!$A$37:$C$44,3,FALSE)</f>
        <v>0.94347925387812148</v>
      </c>
      <c r="BS280">
        <f>VLOOKUP(Grandview_Sales[[#This Row],[decade]],Lookups!$F$29:$H$43,3,FALSE)</f>
        <v>0.9413635517371044</v>
      </c>
      <c r="BT280">
        <f>VLOOKUP(Grandview_Sales[[#This Row],[living_area_range]],Lookups!$F$47:$H$56,3,FALSE)</f>
        <v>0.95799442568048754</v>
      </c>
      <c r="BU280">
        <f>Grandview_Sales[[#This Row],[predicted_total]]*AVERAGE(Grandview_Sales[[#This Row],[qual_adj]:[size_adj]])</f>
        <v>407191.58094418916</v>
      </c>
      <c r="BV280">
        <f>Grandview_Sales[[#This Row],[final_total]]/Grandview_Sales[[#This Row],[sale_price]]</f>
        <v>0.95832332535699971</v>
      </c>
      <c r="BW280" s="6">
        <f>(Grandview_Sales[[#This Row],[final_total]]-Grandview_Sales[[#This Row],[sale_price]])^2</f>
        <v>313588105.45620441</v>
      </c>
      <c r="BX280" s="6">
        <f>(Grandview_Sales[[#This Row],[final_total]]-AVERAGE(Grandview_Sales[sale_price]))^2</f>
        <v>10046536175.842478</v>
      </c>
      <c r="BY280" s="6">
        <f>Grandview_Sales[[#This Row],[SSE]]+Grandview_Sales[[#This Row],[SSR]]</f>
        <v>10360124281.298683</v>
      </c>
      <c r="BZ280" s="4">
        <f>ABS(Grandview_Sales[[#This Row],[final_ratio]]-MEDIAN(Grandview_Sales[final_ratio]))</f>
        <v>4.2925393998812233E-2</v>
      </c>
    </row>
    <row r="281" spans="1:78" x14ac:dyDescent="0.25">
      <c r="A281">
        <v>23092621623</v>
      </c>
      <c r="B281">
        <v>0</v>
      </c>
      <c r="C281">
        <v>8165</v>
      </c>
      <c r="D281">
        <v>0</v>
      </c>
      <c r="E281" t="s">
        <v>53</v>
      </c>
      <c r="F281" t="s">
        <v>53</v>
      </c>
      <c r="G281">
        <v>4</v>
      </c>
      <c r="H281" t="s">
        <v>54</v>
      </c>
      <c r="I281">
        <v>243300</v>
      </c>
      <c r="J281">
        <v>39100</v>
      </c>
      <c r="K281">
        <v>0.19</v>
      </c>
      <c r="L281">
        <v>-1.6607312068219999</v>
      </c>
      <c r="M281">
        <v>0</v>
      </c>
      <c r="N281">
        <v>0</v>
      </c>
      <c r="O281">
        <v>0</v>
      </c>
      <c r="P281">
        <v>13398.7528</v>
      </c>
      <c r="Q281">
        <v>63902.980100000001</v>
      </c>
      <c r="R281">
        <v>41651.253192550997</v>
      </c>
      <c r="S281" t="s">
        <v>61</v>
      </c>
      <c r="T281">
        <v>1</v>
      </c>
      <c r="U281" t="s">
        <v>62</v>
      </c>
      <c r="V281" t="s">
        <v>57</v>
      </c>
      <c r="W281">
        <v>0</v>
      </c>
      <c r="X281">
        <v>0</v>
      </c>
      <c r="Y281">
        <v>1</v>
      </c>
      <c r="Z281">
        <v>1</v>
      </c>
      <c r="AA281">
        <v>0</v>
      </c>
      <c r="AB281">
        <v>2000</v>
      </c>
      <c r="AC281">
        <v>1560</v>
      </c>
      <c r="AD281">
        <v>1560</v>
      </c>
      <c r="AE281">
        <v>0</v>
      </c>
      <c r="AF281">
        <v>0</v>
      </c>
      <c r="AG281">
        <v>0</v>
      </c>
      <c r="AH281">
        <v>400</v>
      </c>
      <c r="AI281">
        <v>0</v>
      </c>
      <c r="AJ281">
        <v>0</v>
      </c>
      <c r="AK281">
        <v>100</v>
      </c>
      <c r="AL281">
        <v>9</v>
      </c>
      <c r="AM281">
        <v>0</v>
      </c>
      <c r="AN281">
        <v>0</v>
      </c>
      <c r="AO281" t="s">
        <v>58</v>
      </c>
      <c r="AP281">
        <v>1</v>
      </c>
      <c r="AQ281" t="s">
        <v>63</v>
      </c>
      <c r="AR281" t="s">
        <v>60</v>
      </c>
      <c r="AS281">
        <v>0</v>
      </c>
      <c r="AT281">
        <v>3</v>
      </c>
      <c r="AU281">
        <v>0</v>
      </c>
      <c r="AV281">
        <v>0</v>
      </c>
      <c r="AW281">
        <v>100</v>
      </c>
      <c r="AX281" s="1">
        <v>44872</v>
      </c>
      <c r="AY281">
        <v>22400</v>
      </c>
      <c r="AZ281">
        <v>273980</v>
      </c>
      <c r="BA281">
        <v>296400</v>
      </c>
      <c r="BB281">
        <v>364900</v>
      </c>
      <c r="BC281">
        <v>55</v>
      </c>
      <c r="BD281">
        <f>Grandview_Sales[[#This Row],[land_extract]]*Lookups!$B$3</f>
        <v>48369.487874125851</v>
      </c>
      <c r="BE281">
        <f>Lookups!$B$2</f>
        <v>155833.95000000001</v>
      </c>
      <c r="BF281">
        <f>VLOOKUP(Grandview_Sales[[#This Row],[quality]],Lookups!$H$2:$J$13,3,FALSE)</f>
        <v>9808</v>
      </c>
      <c r="BG281">
        <f>VLOOKUP(Grandview_Sales[[#This Row],[condition]],Lookups!$H$17:$J$24,3,FALSE)</f>
        <v>25780</v>
      </c>
      <c r="BH281">
        <f>Grandview_Sales[[#This Row],[Eff_Age]]*Lookups!$B$14</f>
        <v>-239.16659999999999</v>
      </c>
      <c r="BI281">
        <f>Grandview_Sales[[#This Row],[living_area]]*Lookups!$B$15</f>
        <v>97314.130680000002</v>
      </c>
      <c r="BJ281">
        <f>Grandview_Sales[[#This Row],[Fin BSMT]]*Lookups!$B$16</f>
        <v>0</v>
      </c>
      <c r="BK281">
        <f>Grandview_Sales[[#This Row],[garage_sqft]]*Lookups!$B$17</f>
        <v>35008.174800000001</v>
      </c>
      <c r="BL281">
        <f>Grandview_Sales[[#This Row],[Plumbing Fixtures]]*Lookups!$B$18</f>
        <v>18093.976200000001</v>
      </c>
      <c r="BM281">
        <f>Grandview_Sales[[#This Row],[detatched_value]]*Lookups!$B$19</f>
        <v>0</v>
      </c>
      <c r="BN281">
        <f>Grandview_Sales[[#This Row],[days_prior]]*Lookups!$B$20</f>
        <v>-6597.1729999999998</v>
      </c>
      <c r="BO281">
        <f>SUM(Grandview_Sales[[#This Row],[land_value]:[Days Prior To Assessment_value]])</f>
        <v>383371.37995412579</v>
      </c>
      <c r="BP281">
        <f>Grandview_Sales[[#This Row],[predicted_total]]/Grandview_Sales[[#This Row],[sale_price]]</f>
        <v>1.0506203890219945</v>
      </c>
      <c r="BQ281">
        <f>VLOOKUP(Grandview_Sales[[#This Row],[quality]],Lookups!$A$26:$C$33,3,FALSE)</f>
        <v>0.94295468617355149</v>
      </c>
      <c r="BR281">
        <f>VLOOKUP(Grandview_Sales[[#This Row],[condition]],Lookups!$A$37:$C$44,3,FALSE)</f>
        <v>0.94347925387812148</v>
      </c>
      <c r="BS281">
        <f>VLOOKUP(Grandview_Sales[[#This Row],[decade]],Lookups!$F$29:$H$43,3,FALSE)</f>
        <v>0.9413635517371044</v>
      </c>
      <c r="BT281">
        <f>VLOOKUP(Grandview_Sales[[#This Row],[living_area_range]],Lookups!$F$47:$H$56,3,FALSE)</f>
        <v>0.96120133463014379</v>
      </c>
      <c r="BU281">
        <f>Grandview_Sales[[#This Row],[predicted_total]]*AVERAGE(Grandview_Sales[[#This Row],[qual_adj]:[size_adj]])</f>
        <v>363148.42718219623</v>
      </c>
      <c r="BV281">
        <f>Grandview_Sales[[#This Row],[final_total]]/Grandview_Sales[[#This Row],[sale_price]]</f>
        <v>0.99519985525403187</v>
      </c>
      <c r="BW281" s="6">
        <f>(Grandview_Sales[[#This Row],[final_total]]-Grandview_Sales[[#This Row],[sale_price]])^2</f>
        <v>3068007.3360690316</v>
      </c>
      <c r="BX281" s="6">
        <f>(Grandview_Sales[[#This Row],[final_total]]-AVERAGE(Grandview_Sales[sale_price]))^2</f>
        <v>3157232607.0788655</v>
      </c>
      <c r="BY281" s="6">
        <f>Grandview_Sales[[#This Row],[SSE]]+Grandview_Sales[[#This Row],[SSR]]</f>
        <v>3160300614.4149346</v>
      </c>
      <c r="BZ281" s="4">
        <f>ABS(Grandview_Sales[[#This Row],[final_ratio]]-MEDIAN(Grandview_Sales[final_ratio]))</f>
        <v>6.0488641017800715E-3</v>
      </c>
    </row>
    <row r="282" spans="1:78" x14ac:dyDescent="0.25">
      <c r="A282">
        <v>23092621625</v>
      </c>
      <c r="B282">
        <v>0</v>
      </c>
      <c r="C282">
        <v>8165</v>
      </c>
      <c r="D282">
        <v>0</v>
      </c>
      <c r="E282" t="s">
        <v>53</v>
      </c>
      <c r="F282" t="s">
        <v>53</v>
      </c>
      <c r="G282">
        <v>4</v>
      </c>
      <c r="H282" t="s">
        <v>54</v>
      </c>
      <c r="I282">
        <v>0</v>
      </c>
      <c r="J282">
        <v>32500</v>
      </c>
      <c r="K282">
        <v>0.19</v>
      </c>
      <c r="L282">
        <v>-1.6607312068219999</v>
      </c>
      <c r="M282">
        <v>0</v>
      </c>
      <c r="N282">
        <v>0</v>
      </c>
      <c r="O282">
        <v>0</v>
      </c>
      <c r="P282">
        <v>13398.7528</v>
      </c>
      <c r="Q282">
        <v>63902.980100000001</v>
      </c>
      <c r="R282">
        <v>41651.253192550997</v>
      </c>
      <c r="S282" t="s">
        <v>61</v>
      </c>
      <c r="T282">
        <v>1</v>
      </c>
      <c r="U282" t="s">
        <v>62</v>
      </c>
      <c r="V282" t="s">
        <v>57</v>
      </c>
      <c r="W282">
        <v>0</v>
      </c>
      <c r="X282">
        <v>0</v>
      </c>
      <c r="Y282">
        <v>1</v>
      </c>
      <c r="Z282">
        <v>1</v>
      </c>
      <c r="AA282">
        <v>0</v>
      </c>
      <c r="AB282">
        <v>2000</v>
      </c>
      <c r="AC282">
        <v>1800</v>
      </c>
      <c r="AD282">
        <v>1800</v>
      </c>
      <c r="AE282">
        <v>0</v>
      </c>
      <c r="AF282">
        <v>0</v>
      </c>
      <c r="AG282">
        <v>0</v>
      </c>
      <c r="AH282">
        <v>440</v>
      </c>
      <c r="AI282">
        <v>0</v>
      </c>
      <c r="AJ282">
        <v>0</v>
      </c>
      <c r="AK282">
        <v>120</v>
      </c>
      <c r="AL282">
        <v>10</v>
      </c>
      <c r="AM282">
        <v>0</v>
      </c>
      <c r="AN282">
        <v>0</v>
      </c>
      <c r="AO282" t="s">
        <v>58</v>
      </c>
      <c r="AP282">
        <v>1</v>
      </c>
      <c r="AQ282" t="s">
        <v>63</v>
      </c>
      <c r="AR282" t="s">
        <v>64</v>
      </c>
      <c r="AS282">
        <v>1</v>
      </c>
      <c r="AT282">
        <v>4</v>
      </c>
      <c r="AU282">
        <v>0</v>
      </c>
      <c r="AV282">
        <v>0</v>
      </c>
      <c r="AW282">
        <v>100</v>
      </c>
      <c r="AX282" s="1">
        <v>44872</v>
      </c>
      <c r="AY282">
        <v>22400</v>
      </c>
      <c r="AZ282">
        <v>315569</v>
      </c>
      <c r="BA282">
        <v>338000</v>
      </c>
      <c r="BB282">
        <v>436911</v>
      </c>
      <c r="BC282">
        <v>55</v>
      </c>
      <c r="BD282">
        <f>Grandview_Sales[[#This Row],[land_extract]]*Lookups!$B$3</f>
        <v>48369.487874125851</v>
      </c>
      <c r="BE282">
        <f>Lookups!$B$2</f>
        <v>155833.95000000001</v>
      </c>
      <c r="BF282">
        <f>VLOOKUP(Grandview_Sales[[#This Row],[quality]],Lookups!$H$2:$J$13,3,FALSE)</f>
        <v>9808</v>
      </c>
      <c r="BG282">
        <f>VLOOKUP(Grandview_Sales[[#This Row],[condition]],Lookups!$H$17:$J$24,3,FALSE)</f>
        <v>25780</v>
      </c>
      <c r="BH282">
        <f>Grandview_Sales[[#This Row],[Eff_Age]]*Lookups!$B$14</f>
        <v>-239.16659999999999</v>
      </c>
      <c r="BI282">
        <f>Grandview_Sales[[#This Row],[living_area]]*Lookups!$B$15</f>
        <v>112285.53540000001</v>
      </c>
      <c r="BJ282">
        <f>Grandview_Sales[[#This Row],[Fin BSMT]]*Lookups!$B$16</f>
        <v>0</v>
      </c>
      <c r="BK282">
        <f>Grandview_Sales[[#This Row],[garage_sqft]]*Lookups!$B$17</f>
        <v>38508.992279999999</v>
      </c>
      <c r="BL282">
        <f>Grandview_Sales[[#This Row],[Plumbing Fixtures]]*Lookups!$B$18</f>
        <v>20104.418000000001</v>
      </c>
      <c r="BM282">
        <f>Grandview_Sales[[#This Row],[detatched_value]]*Lookups!$B$19</f>
        <v>0</v>
      </c>
      <c r="BN282">
        <f>Grandview_Sales[[#This Row],[days_prior]]*Lookups!$B$20</f>
        <v>-6597.1729999999998</v>
      </c>
      <c r="BO282">
        <f>SUM(Grandview_Sales[[#This Row],[land_value]:[Days Prior To Assessment_value]])</f>
        <v>403854.0439541259</v>
      </c>
      <c r="BP282">
        <f>Grandview_Sales[[#This Row],[predicted_total]]/Grandview_Sales[[#This Row],[sale_price]]</f>
        <v>0.9243393825152626</v>
      </c>
      <c r="BQ282">
        <f>VLOOKUP(Grandview_Sales[[#This Row],[quality]],Lookups!$A$26:$C$33,3,FALSE)</f>
        <v>0.94295468617355149</v>
      </c>
      <c r="BR282">
        <f>VLOOKUP(Grandview_Sales[[#This Row],[condition]],Lookups!$A$37:$C$44,3,FALSE)</f>
        <v>0.94347925387812148</v>
      </c>
      <c r="BS282">
        <f>VLOOKUP(Grandview_Sales[[#This Row],[decade]],Lookups!$F$29:$H$43,3,FALSE)</f>
        <v>0.9413635517371044</v>
      </c>
      <c r="BT282">
        <f>VLOOKUP(Grandview_Sales[[#This Row],[living_area_range]],Lookups!$F$47:$H$56,3,FALSE)</f>
        <v>0.96120133463014379</v>
      </c>
      <c r="BU282">
        <f>Grandview_Sales[[#This Row],[predicted_total]]*AVERAGE(Grandview_Sales[[#This Row],[qual_adj]:[size_adj]])</f>
        <v>382550.62464667961</v>
      </c>
      <c r="BV282">
        <f>Grandview_Sales[[#This Row],[final_total]]/Grandview_Sales[[#This Row],[sale_price]]</f>
        <v>0.87558020889078003</v>
      </c>
      <c r="BW282" s="6">
        <f>(Grandview_Sales[[#This Row],[final_total]]-Grandview_Sales[[#This Row],[sale_price]])^2</f>
        <v>2955050408.5538826</v>
      </c>
      <c r="BX282" s="6">
        <f>(Grandview_Sales[[#This Row],[final_total]]-AVERAGE(Grandview_Sales[sale_price]))^2</f>
        <v>5714067994.6033964</v>
      </c>
      <c r="BY282" s="6">
        <f>Grandview_Sales[[#This Row],[SSE]]+Grandview_Sales[[#This Row],[SSR]]</f>
        <v>8669118403.15728</v>
      </c>
      <c r="BZ282" s="4">
        <f>ABS(Grandview_Sales[[#This Row],[final_ratio]]-MEDIAN(Grandview_Sales[final_ratio]))</f>
        <v>0.12566851046503191</v>
      </c>
    </row>
    <row r="283" spans="1:78" x14ac:dyDescent="0.25">
      <c r="A283">
        <v>23092621609</v>
      </c>
      <c r="B283">
        <v>0</v>
      </c>
      <c r="C283">
        <v>8348</v>
      </c>
      <c r="D283">
        <v>0</v>
      </c>
      <c r="E283" t="s">
        <v>53</v>
      </c>
      <c r="F283" t="s">
        <v>53</v>
      </c>
      <c r="G283">
        <v>4</v>
      </c>
      <c r="H283" t="s">
        <v>54</v>
      </c>
      <c r="I283">
        <v>238400</v>
      </c>
      <c r="J283">
        <v>39100</v>
      </c>
      <c r="K283">
        <v>0.19</v>
      </c>
      <c r="L283">
        <v>-1.6607312068219999</v>
      </c>
      <c r="M283">
        <v>0</v>
      </c>
      <c r="N283">
        <v>0</v>
      </c>
      <c r="O283">
        <v>0</v>
      </c>
      <c r="P283">
        <v>13398.7528</v>
      </c>
      <c r="Q283">
        <v>63902.980100000001</v>
      </c>
      <c r="R283">
        <v>41651.253192550997</v>
      </c>
      <c r="S283" t="s">
        <v>61</v>
      </c>
      <c r="T283">
        <v>1</v>
      </c>
      <c r="U283" t="s">
        <v>64</v>
      </c>
      <c r="V283" t="s">
        <v>57</v>
      </c>
      <c r="W283">
        <v>0</v>
      </c>
      <c r="X283">
        <v>0</v>
      </c>
      <c r="Y283">
        <v>1</v>
      </c>
      <c r="Z283">
        <v>1</v>
      </c>
      <c r="AA283">
        <v>0</v>
      </c>
      <c r="AB283">
        <v>2000</v>
      </c>
      <c r="AC283">
        <v>1800</v>
      </c>
      <c r="AD283">
        <v>1800</v>
      </c>
      <c r="AE283">
        <v>0</v>
      </c>
      <c r="AF283">
        <v>0</v>
      </c>
      <c r="AG283">
        <v>0</v>
      </c>
      <c r="AH283">
        <v>440</v>
      </c>
      <c r="AI283">
        <v>0</v>
      </c>
      <c r="AJ283">
        <v>0</v>
      </c>
      <c r="AK283">
        <v>120</v>
      </c>
      <c r="AL283">
        <v>10</v>
      </c>
      <c r="AM283">
        <v>0</v>
      </c>
      <c r="AN283">
        <v>0</v>
      </c>
      <c r="AO283" t="s">
        <v>58</v>
      </c>
      <c r="AP283">
        <v>1</v>
      </c>
      <c r="AQ283" t="s">
        <v>63</v>
      </c>
      <c r="AR283" t="s">
        <v>64</v>
      </c>
      <c r="AS283">
        <v>1</v>
      </c>
      <c r="AT283">
        <v>4</v>
      </c>
      <c r="AU283">
        <v>0</v>
      </c>
      <c r="AV283">
        <v>0</v>
      </c>
      <c r="AW283">
        <v>100</v>
      </c>
      <c r="AX283" s="1">
        <v>44874</v>
      </c>
      <c r="AY283">
        <v>22400</v>
      </c>
      <c r="AZ283">
        <v>357615</v>
      </c>
      <c r="BA283">
        <v>380000</v>
      </c>
      <c r="BB283">
        <v>391650</v>
      </c>
      <c r="BC283">
        <v>53</v>
      </c>
      <c r="BD283">
        <f>Grandview_Sales[[#This Row],[land_extract]]*Lookups!$B$3</f>
        <v>48369.487874125851</v>
      </c>
      <c r="BE283">
        <f>Lookups!$B$2</f>
        <v>155833.95000000001</v>
      </c>
      <c r="BF283">
        <f>VLOOKUP(Grandview_Sales[[#This Row],[quality]],Lookups!$H$2:$J$13,3,FALSE)</f>
        <v>20768</v>
      </c>
      <c r="BG283">
        <f>VLOOKUP(Grandview_Sales[[#This Row],[condition]],Lookups!$H$17:$J$24,3,FALSE)</f>
        <v>25780</v>
      </c>
      <c r="BH283">
        <f>Grandview_Sales[[#This Row],[Eff_Age]]*Lookups!$B$14</f>
        <v>-239.16659999999999</v>
      </c>
      <c r="BI283">
        <f>Grandview_Sales[[#This Row],[living_area]]*Lookups!$B$15</f>
        <v>112285.53540000001</v>
      </c>
      <c r="BJ283">
        <f>Grandview_Sales[[#This Row],[Fin BSMT]]*Lookups!$B$16</f>
        <v>0</v>
      </c>
      <c r="BK283">
        <f>Grandview_Sales[[#This Row],[garage_sqft]]*Lookups!$B$17</f>
        <v>38508.992279999999</v>
      </c>
      <c r="BL283">
        <f>Grandview_Sales[[#This Row],[Plumbing Fixtures]]*Lookups!$B$18</f>
        <v>20104.418000000001</v>
      </c>
      <c r="BM283">
        <f>Grandview_Sales[[#This Row],[detatched_value]]*Lookups!$B$19</f>
        <v>0</v>
      </c>
      <c r="BN283">
        <f>Grandview_Sales[[#This Row],[days_prior]]*Lookups!$B$20</f>
        <v>-6357.2758000000003</v>
      </c>
      <c r="BO283">
        <f>SUM(Grandview_Sales[[#This Row],[land_value]:[Days Prior To Assessment_value]])</f>
        <v>415053.9411541259</v>
      </c>
      <c r="BP283">
        <f>Grandview_Sales[[#This Row],[predicted_total]]/Grandview_Sales[[#This Row],[sale_price]]</f>
        <v>1.0597572862354805</v>
      </c>
      <c r="BQ283">
        <f>VLOOKUP(Grandview_Sales[[#This Row],[quality]],Lookups!$A$26:$C$33,3,FALSE)</f>
        <v>0.94960540378902636</v>
      </c>
      <c r="BR283">
        <f>VLOOKUP(Grandview_Sales[[#This Row],[condition]],Lookups!$A$37:$C$44,3,FALSE)</f>
        <v>0.94347925387812148</v>
      </c>
      <c r="BS283">
        <f>VLOOKUP(Grandview_Sales[[#This Row],[decade]],Lookups!$F$29:$H$43,3,FALSE)</f>
        <v>0.9413635517371044</v>
      </c>
      <c r="BT283">
        <f>VLOOKUP(Grandview_Sales[[#This Row],[living_area_range]],Lookups!$F$47:$H$56,3,FALSE)</f>
        <v>0.96120133463014379</v>
      </c>
      <c r="BU283">
        <f>Grandview_Sales[[#This Row],[predicted_total]]*AVERAGE(Grandview_Sales[[#This Row],[qual_adj]:[size_adj]])</f>
        <v>393849.82562283427</v>
      </c>
      <c r="BV283">
        <f>Grandview_Sales[[#This Row],[final_total]]/Grandview_Sales[[#This Row],[sale_price]]</f>
        <v>1.0056168150717075</v>
      </c>
      <c r="BW283" s="6">
        <f>(Grandview_Sales[[#This Row],[final_total]]-Grandview_Sales[[#This Row],[sale_price]])^2</f>
        <v>4839232.7708781632</v>
      </c>
      <c r="BX283" s="6">
        <f>(Grandview_Sales[[#This Row],[final_total]]-AVERAGE(Grandview_Sales[sale_price]))^2</f>
        <v>7549986010.4296894</v>
      </c>
      <c r="BY283" s="6">
        <f>Grandview_Sales[[#This Row],[SSE]]+Grandview_Sales[[#This Row],[SSR]]</f>
        <v>7554825243.2005672</v>
      </c>
      <c r="BZ283" s="4">
        <f>ABS(Grandview_Sales[[#This Row],[final_ratio]]-MEDIAN(Grandview_Sales[final_ratio]))</f>
        <v>4.3680957158955813E-3</v>
      </c>
    </row>
    <row r="284" spans="1:78" x14ac:dyDescent="0.25">
      <c r="A284">
        <v>23092323464</v>
      </c>
      <c r="B284">
        <v>0.26</v>
      </c>
      <c r="C284">
        <v>11256</v>
      </c>
      <c r="D284">
        <v>0</v>
      </c>
      <c r="E284" t="s">
        <v>53</v>
      </c>
      <c r="F284" t="s">
        <v>53</v>
      </c>
      <c r="G284">
        <v>4</v>
      </c>
      <c r="H284" t="s">
        <v>54</v>
      </c>
      <c r="I284">
        <v>98000</v>
      </c>
      <c r="J284">
        <v>40500</v>
      </c>
      <c r="K284">
        <v>0.26</v>
      </c>
      <c r="L284">
        <v>-1.347073647967</v>
      </c>
      <c r="M284">
        <v>0</v>
      </c>
      <c r="N284">
        <v>0</v>
      </c>
      <c r="O284">
        <v>0</v>
      </c>
      <c r="P284">
        <v>13398.7528</v>
      </c>
      <c r="Q284">
        <v>63902.980100000001</v>
      </c>
      <c r="R284">
        <v>45853.873287501003</v>
      </c>
      <c r="S284" t="s">
        <v>68</v>
      </c>
      <c r="T284">
        <v>1</v>
      </c>
      <c r="U284" t="s">
        <v>80</v>
      </c>
      <c r="V284" t="s">
        <v>67</v>
      </c>
      <c r="W284">
        <v>0</v>
      </c>
      <c r="X284">
        <v>0</v>
      </c>
      <c r="Y284">
        <v>51</v>
      </c>
      <c r="Z284">
        <v>78</v>
      </c>
      <c r="AA284">
        <v>80</v>
      </c>
      <c r="AB284">
        <v>1000</v>
      </c>
      <c r="AC284">
        <v>910</v>
      </c>
      <c r="AD284">
        <v>910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5</v>
      </c>
      <c r="AM284">
        <v>0</v>
      </c>
      <c r="AN284">
        <v>0</v>
      </c>
      <c r="AO284" t="s">
        <v>58</v>
      </c>
      <c r="AP284">
        <v>1</v>
      </c>
      <c r="AQ284" t="s">
        <v>75</v>
      </c>
      <c r="AR284" t="s">
        <v>60</v>
      </c>
      <c r="AS284">
        <v>0</v>
      </c>
      <c r="AT284">
        <v>2</v>
      </c>
      <c r="AU284">
        <v>0</v>
      </c>
      <c r="AV284">
        <v>0</v>
      </c>
      <c r="AW284">
        <v>100</v>
      </c>
      <c r="AX284" s="1">
        <v>44880</v>
      </c>
      <c r="AY284">
        <v>23200</v>
      </c>
      <c r="AZ284">
        <v>86679</v>
      </c>
      <c r="BA284">
        <v>109900</v>
      </c>
      <c r="BB284">
        <v>245000</v>
      </c>
      <c r="BC284">
        <v>47</v>
      </c>
      <c r="BD284">
        <f>Grandview_Sales[[#This Row],[land_extract]]*Lookups!$B$3</f>
        <v>53249.979243317037</v>
      </c>
      <c r="BE284">
        <f>Lookups!$B$2</f>
        <v>155833.95000000001</v>
      </c>
      <c r="BF284">
        <f>VLOOKUP(Grandview_Sales[[#This Row],[quality]],Lookups!$H$2:$J$13,3,FALSE)</f>
        <v>-28558</v>
      </c>
      <c r="BG284">
        <f>VLOOKUP(Grandview_Sales[[#This Row],[condition]],Lookups!$H$17:$J$24,3,FALSE)</f>
        <v>22342</v>
      </c>
      <c r="BH284">
        <f>Grandview_Sales[[#This Row],[Eff_Age]]*Lookups!$B$14</f>
        <v>-12197.496599999999</v>
      </c>
      <c r="BI284">
        <f>Grandview_Sales[[#This Row],[living_area]]*Lookups!$B$15</f>
        <v>56766.576229999999</v>
      </c>
      <c r="BJ284">
        <f>Grandview_Sales[[#This Row],[Fin BSMT]]*Lookups!$B$16</f>
        <v>0</v>
      </c>
      <c r="BK284">
        <f>Grandview_Sales[[#This Row],[garage_sqft]]*Lookups!$B$17</f>
        <v>0</v>
      </c>
      <c r="BL284">
        <f>Grandview_Sales[[#This Row],[Plumbing Fixtures]]*Lookups!$B$18</f>
        <v>10052.209000000001</v>
      </c>
      <c r="BM284">
        <f>Grandview_Sales[[#This Row],[detatched_value]]*Lookups!$B$19</f>
        <v>0</v>
      </c>
      <c r="BN284">
        <f>Grandview_Sales[[#This Row],[days_prior]]*Lookups!$B$20</f>
        <v>-5637.5842000000002</v>
      </c>
      <c r="BO284">
        <f>SUM(Grandview_Sales[[#This Row],[land_value]:[Days Prior To Assessment_value]])</f>
        <v>251851.63367331703</v>
      </c>
      <c r="BP284">
        <f>Grandview_Sales[[#This Row],[predicted_total]]/Grandview_Sales[[#This Row],[sale_price]]</f>
        <v>1.0279658517278247</v>
      </c>
      <c r="BQ284">
        <f>VLOOKUP(Grandview_Sales[[#This Row],[quality]],Lookups!$A$26:$C$33,3,FALSE)</f>
        <v>0.9690360070159818</v>
      </c>
      <c r="BR284">
        <f>VLOOKUP(Grandview_Sales[[#This Row],[condition]],Lookups!$A$37:$C$44,3,FALSE)</f>
        <v>0.97383723671140243</v>
      </c>
      <c r="BS284">
        <f>VLOOKUP(Grandview_Sales[[#This Row],[decade]],Lookups!$F$29:$H$43,3,FALSE)</f>
        <v>0.98763256963907298</v>
      </c>
      <c r="BT284">
        <f>VLOOKUP(Grandview_Sales[[#This Row],[living_area_range]],Lookups!$F$47:$H$56,3,FALSE)</f>
        <v>0.94306777142782894</v>
      </c>
      <c r="BU284">
        <f>Grandview_Sales[[#This Row],[predicted_total]]*AVERAGE(Grandview_Sales[[#This Row],[qual_adj]:[size_adj]])</f>
        <v>243891.45887106197</v>
      </c>
      <c r="BV284">
        <f>Grandview_Sales[[#This Row],[final_total]]/Grandview_Sales[[#This Row],[sale_price]]</f>
        <v>0.99547534233086521</v>
      </c>
      <c r="BW284" s="6">
        <f>(Grandview_Sales[[#This Row],[final_total]]-Grandview_Sales[[#This Row],[sale_price]])^2</f>
        <v>1228863.434547198</v>
      </c>
      <c r="BX284" s="6">
        <f>(Grandview_Sales[[#This Row],[final_total]]-AVERAGE(Grandview_Sales[sale_price]))^2</f>
        <v>3977536204.5619807</v>
      </c>
      <c r="BY284" s="6">
        <f>Grandview_Sales[[#This Row],[SSE]]+Grandview_Sales[[#This Row],[SSR]]</f>
        <v>3978765067.9965281</v>
      </c>
      <c r="BZ284" s="4">
        <f>ABS(Grandview_Sales[[#This Row],[final_ratio]]-MEDIAN(Grandview_Sales[final_ratio]))</f>
        <v>5.7733770249467353E-3</v>
      </c>
    </row>
    <row r="285" spans="1:78" x14ac:dyDescent="0.25">
      <c r="A285">
        <v>23092621608</v>
      </c>
      <c r="B285">
        <v>0</v>
      </c>
      <c r="C285">
        <v>8030</v>
      </c>
      <c r="D285">
        <v>0</v>
      </c>
      <c r="E285" t="s">
        <v>53</v>
      </c>
      <c r="F285" t="s">
        <v>53</v>
      </c>
      <c r="G285">
        <v>4</v>
      </c>
      <c r="H285" t="s">
        <v>54</v>
      </c>
      <c r="I285">
        <v>0</v>
      </c>
      <c r="J285">
        <v>32500</v>
      </c>
      <c r="K285">
        <v>0.18</v>
      </c>
      <c r="L285">
        <v>-1.7147984280919999</v>
      </c>
      <c r="M285">
        <v>0</v>
      </c>
      <c r="N285">
        <v>0</v>
      </c>
      <c r="O285">
        <v>0</v>
      </c>
      <c r="P285">
        <v>13398.7528</v>
      </c>
      <c r="Q285">
        <v>63902.980100000001</v>
      </c>
      <c r="R285">
        <v>40926.819860167998</v>
      </c>
      <c r="S285" t="s">
        <v>58</v>
      </c>
      <c r="T285">
        <v>1</v>
      </c>
      <c r="U285" t="s">
        <v>62</v>
      </c>
      <c r="V285" t="s">
        <v>57</v>
      </c>
      <c r="W285">
        <v>0</v>
      </c>
      <c r="X285">
        <v>0</v>
      </c>
      <c r="Y285">
        <v>1</v>
      </c>
      <c r="Z285">
        <v>1</v>
      </c>
      <c r="AA285">
        <v>0</v>
      </c>
      <c r="AB285">
        <v>1500</v>
      </c>
      <c r="AC285">
        <v>1378</v>
      </c>
      <c r="AD285">
        <v>1378</v>
      </c>
      <c r="AE285">
        <v>0</v>
      </c>
      <c r="AF285">
        <v>0</v>
      </c>
      <c r="AG285">
        <v>0</v>
      </c>
      <c r="AH285">
        <v>400</v>
      </c>
      <c r="AI285">
        <v>0</v>
      </c>
      <c r="AJ285">
        <v>0</v>
      </c>
      <c r="AK285">
        <v>0</v>
      </c>
      <c r="AL285">
        <v>8</v>
      </c>
      <c r="AM285">
        <v>0</v>
      </c>
      <c r="AN285">
        <v>0</v>
      </c>
      <c r="AO285" t="s">
        <v>58</v>
      </c>
      <c r="AP285">
        <v>1</v>
      </c>
      <c r="AQ285" t="s">
        <v>63</v>
      </c>
      <c r="AR285" t="s">
        <v>64</v>
      </c>
      <c r="AS285">
        <v>1</v>
      </c>
      <c r="AT285">
        <v>3</v>
      </c>
      <c r="AU285">
        <v>0</v>
      </c>
      <c r="AV285">
        <v>0</v>
      </c>
      <c r="AW285">
        <v>100</v>
      </c>
      <c r="AX285" s="1">
        <v>44897</v>
      </c>
      <c r="AY285">
        <v>22300</v>
      </c>
      <c r="AZ285">
        <v>249875</v>
      </c>
      <c r="BA285">
        <v>272200</v>
      </c>
      <c r="BB285">
        <v>315998</v>
      </c>
      <c r="BC285">
        <v>30</v>
      </c>
      <c r="BD285">
        <f>Grandview_Sales[[#This Row],[land_extract]]*Lookups!$B$3</f>
        <v>47528.20540119947</v>
      </c>
      <c r="BE285">
        <f>Lookups!$B$2</f>
        <v>155833.95000000001</v>
      </c>
      <c r="BF285">
        <f>VLOOKUP(Grandview_Sales[[#This Row],[quality]],Lookups!$H$2:$J$13,3,FALSE)</f>
        <v>9808</v>
      </c>
      <c r="BG285">
        <f>VLOOKUP(Grandview_Sales[[#This Row],[condition]],Lookups!$H$17:$J$24,3,FALSE)</f>
        <v>25780</v>
      </c>
      <c r="BH285">
        <f>Grandview_Sales[[#This Row],[Eff_Age]]*Lookups!$B$14</f>
        <v>-239.16659999999999</v>
      </c>
      <c r="BI285">
        <f>Grandview_Sales[[#This Row],[living_area]]*Lookups!$B$15</f>
        <v>85960.815434000004</v>
      </c>
      <c r="BJ285">
        <f>Grandview_Sales[[#This Row],[Fin BSMT]]*Lookups!$B$16</f>
        <v>0</v>
      </c>
      <c r="BK285">
        <f>Grandview_Sales[[#This Row],[garage_sqft]]*Lookups!$B$17</f>
        <v>35008.174800000001</v>
      </c>
      <c r="BL285">
        <f>Grandview_Sales[[#This Row],[Plumbing Fixtures]]*Lookups!$B$18</f>
        <v>16083.5344</v>
      </c>
      <c r="BM285">
        <f>Grandview_Sales[[#This Row],[detatched_value]]*Lookups!$B$19</f>
        <v>0</v>
      </c>
      <c r="BN285">
        <f>Grandview_Sales[[#This Row],[days_prior]]*Lookups!$B$20</f>
        <v>-3598.4580000000001</v>
      </c>
      <c r="BO285">
        <f>SUM(Grandview_Sales[[#This Row],[land_value]:[Days Prior To Assessment_value]])</f>
        <v>372165.05543519947</v>
      </c>
      <c r="BP285">
        <f>Grandview_Sales[[#This Row],[predicted_total]]/Grandview_Sales[[#This Row],[sale_price]]</f>
        <v>1.1777449712820951</v>
      </c>
      <c r="BQ285">
        <f>VLOOKUP(Grandview_Sales[[#This Row],[quality]],Lookups!$A$26:$C$33,3,FALSE)</f>
        <v>0.94295468617355149</v>
      </c>
      <c r="BR285">
        <f>VLOOKUP(Grandview_Sales[[#This Row],[condition]],Lookups!$A$37:$C$44,3,FALSE)</f>
        <v>0.94347925387812148</v>
      </c>
      <c r="BS285">
        <f>VLOOKUP(Grandview_Sales[[#This Row],[decade]],Lookups!$F$29:$H$43,3,FALSE)</f>
        <v>0.9413635517371044</v>
      </c>
      <c r="BT285">
        <f>VLOOKUP(Grandview_Sales[[#This Row],[living_area_range]],Lookups!$F$47:$H$56,3,FALSE)</f>
        <v>0.96135087979789358</v>
      </c>
      <c r="BU285">
        <f>Grandview_Sales[[#This Row],[predicted_total]]*AVERAGE(Grandview_Sales[[#This Row],[qual_adj]:[size_adj]])</f>
        <v>352547.15344093728</v>
      </c>
      <c r="BV285">
        <f>Grandview_Sales[[#This Row],[final_total]]/Grandview_Sales[[#This Row],[sale_price]]</f>
        <v>1.1156626100194853</v>
      </c>
      <c r="BW285" s="6">
        <f>(Grandview_Sales[[#This Row],[final_total]]-Grandview_Sales[[#This Row],[sale_price]])^2</f>
        <v>1335840617.2491777</v>
      </c>
      <c r="BX285" s="6">
        <f>(Grandview_Sales[[#This Row],[final_total]]-AVERAGE(Grandview_Sales[sale_price]))^2</f>
        <v>2078264221.5478444</v>
      </c>
      <c r="BY285" s="6">
        <f>Grandview_Sales[[#This Row],[SSE]]+Grandview_Sales[[#This Row],[SSR]]</f>
        <v>3414104838.7970219</v>
      </c>
      <c r="BZ285" s="4">
        <f>ABS(Grandview_Sales[[#This Row],[final_ratio]]-MEDIAN(Grandview_Sales[final_ratio]))</f>
        <v>0.11441389066367336</v>
      </c>
    </row>
    <row r="286" spans="1:78" x14ac:dyDescent="0.25">
      <c r="A286">
        <v>23092621440</v>
      </c>
      <c r="B286">
        <v>0</v>
      </c>
      <c r="C286">
        <v>9900</v>
      </c>
      <c r="D286">
        <v>0</v>
      </c>
      <c r="E286" t="s">
        <v>53</v>
      </c>
      <c r="F286" t="s">
        <v>53</v>
      </c>
      <c r="G286">
        <v>4</v>
      </c>
      <c r="H286" t="s">
        <v>54</v>
      </c>
      <c r="I286">
        <v>344400</v>
      </c>
      <c r="J286">
        <v>39500</v>
      </c>
      <c r="K286">
        <v>0.23</v>
      </c>
      <c r="L286">
        <v>-1.4696759700590001</v>
      </c>
      <c r="M286">
        <v>0</v>
      </c>
      <c r="N286">
        <v>0</v>
      </c>
      <c r="O286">
        <v>0</v>
      </c>
      <c r="P286">
        <v>13398.7528</v>
      </c>
      <c r="Q286">
        <v>63902.980100000001</v>
      </c>
      <c r="R286">
        <v>44211.155081080004</v>
      </c>
      <c r="S286" t="s">
        <v>58</v>
      </c>
      <c r="T286">
        <v>2</v>
      </c>
      <c r="U286" t="s">
        <v>64</v>
      </c>
      <c r="V286" t="s">
        <v>57</v>
      </c>
      <c r="W286">
        <v>0</v>
      </c>
      <c r="X286">
        <v>0</v>
      </c>
      <c r="Y286">
        <v>1</v>
      </c>
      <c r="Z286">
        <v>1</v>
      </c>
      <c r="AA286">
        <v>0</v>
      </c>
      <c r="AB286">
        <v>3000</v>
      </c>
      <c r="AC286">
        <v>2546</v>
      </c>
      <c r="AD286">
        <v>1180</v>
      </c>
      <c r="AE286">
        <v>1366</v>
      </c>
      <c r="AF286">
        <v>0</v>
      </c>
      <c r="AG286">
        <v>0</v>
      </c>
      <c r="AH286">
        <v>778</v>
      </c>
      <c r="AI286">
        <v>0</v>
      </c>
      <c r="AJ286">
        <v>0</v>
      </c>
      <c r="AK286">
        <v>0</v>
      </c>
      <c r="AL286">
        <v>12</v>
      </c>
      <c r="AM286">
        <v>0</v>
      </c>
      <c r="AN286">
        <v>0</v>
      </c>
      <c r="AO286" t="s">
        <v>58</v>
      </c>
      <c r="AP286">
        <v>1</v>
      </c>
      <c r="AQ286" t="s">
        <v>63</v>
      </c>
      <c r="AR286" t="s">
        <v>64</v>
      </c>
      <c r="AS286">
        <v>1</v>
      </c>
      <c r="AT286">
        <v>3</v>
      </c>
      <c r="AU286">
        <v>0</v>
      </c>
      <c r="AV286">
        <v>0</v>
      </c>
      <c r="AW286">
        <v>100</v>
      </c>
      <c r="AX286" s="1">
        <v>44902</v>
      </c>
      <c r="AY286">
        <v>22600</v>
      </c>
      <c r="AZ286">
        <v>457215</v>
      </c>
      <c r="BA286">
        <v>479800</v>
      </c>
      <c r="BB286">
        <v>459900</v>
      </c>
      <c r="BC286">
        <v>25</v>
      </c>
      <c r="BD286">
        <f>Grandview_Sales[[#This Row],[land_extract]]*Lookups!$B$3</f>
        <v>51342.29502553949</v>
      </c>
      <c r="BE286">
        <f>Lookups!$B$2</f>
        <v>155833.95000000001</v>
      </c>
      <c r="BF286">
        <f>VLOOKUP(Grandview_Sales[[#This Row],[quality]],Lookups!$H$2:$J$13,3,FALSE)</f>
        <v>20768</v>
      </c>
      <c r="BG286">
        <f>VLOOKUP(Grandview_Sales[[#This Row],[condition]],Lookups!$H$17:$J$24,3,FALSE)</f>
        <v>25780</v>
      </c>
      <c r="BH286">
        <f>Grandview_Sales[[#This Row],[Eff_Age]]*Lookups!$B$14</f>
        <v>-239.16659999999999</v>
      </c>
      <c r="BI286">
        <f>Grandview_Sales[[#This Row],[living_area]]*Lookups!$B$15</f>
        <v>158821.65173800002</v>
      </c>
      <c r="BJ286">
        <f>Grandview_Sales[[#This Row],[Fin BSMT]]*Lookups!$B$16</f>
        <v>0</v>
      </c>
      <c r="BK286">
        <f>Grandview_Sales[[#This Row],[garage_sqft]]*Lookups!$B$17</f>
        <v>68090.899986000004</v>
      </c>
      <c r="BL286">
        <f>Grandview_Sales[[#This Row],[Plumbing Fixtures]]*Lookups!$B$18</f>
        <v>24125.301599999999</v>
      </c>
      <c r="BM286">
        <f>Grandview_Sales[[#This Row],[detatched_value]]*Lookups!$B$19</f>
        <v>0</v>
      </c>
      <c r="BN286">
        <f>Grandview_Sales[[#This Row],[days_prior]]*Lookups!$B$20</f>
        <v>-2998.7150000000001</v>
      </c>
      <c r="BO286">
        <f>SUM(Grandview_Sales[[#This Row],[land_value]:[Days Prior To Assessment_value]])</f>
        <v>501524.21674953954</v>
      </c>
      <c r="BP286">
        <f>Grandview_Sales[[#This Row],[predicted_total]]/Grandview_Sales[[#This Row],[sale_price]]</f>
        <v>1.090507103173602</v>
      </c>
      <c r="BQ286">
        <f>VLOOKUP(Grandview_Sales[[#This Row],[quality]],Lookups!$A$26:$C$33,3,FALSE)</f>
        <v>0.94960540378902636</v>
      </c>
      <c r="BR286">
        <f>VLOOKUP(Grandview_Sales[[#This Row],[condition]],Lookups!$A$37:$C$44,3,FALSE)</f>
        <v>0.94347925387812148</v>
      </c>
      <c r="BS286">
        <f>VLOOKUP(Grandview_Sales[[#This Row],[decade]],Lookups!$F$29:$H$43,3,FALSE)</f>
        <v>0.9413635517371044</v>
      </c>
      <c r="BT286">
        <f>VLOOKUP(Grandview_Sales[[#This Row],[living_area_range]],Lookups!$F$47:$H$56,3,FALSE)</f>
        <v>0.94224801443562123</v>
      </c>
      <c r="BU286">
        <f>Grandview_Sales[[#This Row],[predicted_total]]*AVERAGE(Grandview_Sales[[#This Row],[qual_adj]:[size_adj]])</f>
        <v>473526.15389055904</v>
      </c>
      <c r="BV286">
        <f>Grandview_Sales[[#This Row],[final_total]]/Grandview_Sales[[#This Row],[sale_price]]</f>
        <v>1.0296285146565753</v>
      </c>
      <c r="BW286" s="6">
        <f>(Grandview_Sales[[#This Row],[final_total]]-Grandview_Sales[[#This Row],[sale_price]])^2</f>
        <v>185672069.84919733</v>
      </c>
      <c r="BX286" s="6">
        <f>(Grandview_Sales[[#This Row],[final_total]]-AVERAGE(Grandview_Sales[sale_price]))^2</f>
        <v>27744560076.129154</v>
      </c>
      <c r="BY286" s="6">
        <f>Grandview_Sales[[#This Row],[SSE]]+Grandview_Sales[[#This Row],[SSR]]</f>
        <v>27930232145.978352</v>
      </c>
      <c r="BZ286" s="4">
        <f>ABS(Grandview_Sales[[#This Row],[final_ratio]]-MEDIAN(Grandview_Sales[final_ratio]))</f>
        <v>2.83797953007634E-2</v>
      </c>
    </row>
    <row r="287" spans="1:78" x14ac:dyDescent="0.25">
      <c r="A287">
        <v>23092621612</v>
      </c>
      <c r="B287">
        <v>0</v>
      </c>
      <c r="C287">
        <v>8140</v>
      </c>
      <c r="D287">
        <v>0</v>
      </c>
      <c r="E287" t="s">
        <v>53</v>
      </c>
      <c r="F287" t="s">
        <v>53</v>
      </c>
      <c r="G287">
        <v>4</v>
      </c>
      <c r="H287" t="s">
        <v>54</v>
      </c>
      <c r="I287">
        <v>0</v>
      </c>
      <c r="J287">
        <v>39000</v>
      </c>
      <c r="K287">
        <v>0.19</v>
      </c>
      <c r="L287">
        <v>-1.6607312068219999</v>
      </c>
      <c r="M287">
        <v>0</v>
      </c>
      <c r="N287">
        <v>0</v>
      </c>
      <c r="O287">
        <v>0</v>
      </c>
      <c r="P287">
        <v>13398.7528</v>
      </c>
      <c r="Q287">
        <v>63902.980100000001</v>
      </c>
      <c r="R287">
        <v>41651.253192550997</v>
      </c>
      <c r="S287" t="s">
        <v>61</v>
      </c>
      <c r="T287">
        <v>1</v>
      </c>
      <c r="U287" t="s">
        <v>62</v>
      </c>
      <c r="V287" t="s">
        <v>57</v>
      </c>
      <c r="W287">
        <v>0</v>
      </c>
      <c r="X287">
        <v>0</v>
      </c>
      <c r="Y287">
        <v>1</v>
      </c>
      <c r="Z287">
        <v>1</v>
      </c>
      <c r="AA287">
        <v>0</v>
      </c>
      <c r="AB287">
        <v>1500</v>
      </c>
      <c r="AC287">
        <v>1460</v>
      </c>
      <c r="AD287">
        <v>1460</v>
      </c>
      <c r="AE287">
        <v>0</v>
      </c>
      <c r="AF287">
        <v>0</v>
      </c>
      <c r="AG287">
        <v>0</v>
      </c>
      <c r="AH287">
        <v>440</v>
      </c>
      <c r="AI287">
        <v>0</v>
      </c>
      <c r="AJ287">
        <v>0</v>
      </c>
      <c r="AK287">
        <v>60</v>
      </c>
      <c r="AL287">
        <v>9</v>
      </c>
      <c r="AM287">
        <v>0</v>
      </c>
      <c r="AN287">
        <v>0</v>
      </c>
      <c r="AO287" t="s">
        <v>58</v>
      </c>
      <c r="AP287">
        <v>1</v>
      </c>
      <c r="AQ287" t="s">
        <v>63</v>
      </c>
      <c r="AR287" t="s">
        <v>64</v>
      </c>
      <c r="AS287">
        <v>1</v>
      </c>
      <c r="AT287">
        <v>3</v>
      </c>
      <c r="AU287">
        <v>0</v>
      </c>
      <c r="AV287">
        <v>0</v>
      </c>
      <c r="AW287">
        <v>100</v>
      </c>
      <c r="AX287" s="1">
        <v>44909</v>
      </c>
      <c r="AY287">
        <v>22300</v>
      </c>
      <c r="AZ287">
        <v>265402</v>
      </c>
      <c r="BA287">
        <v>287700</v>
      </c>
      <c r="BB287">
        <v>339900</v>
      </c>
      <c r="BC287">
        <v>18</v>
      </c>
      <c r="BD287">
        <f>Grandview_Sales[[#This Row],[land_extract]]*Lookups!$B$3</f>
        <v>48369.487874125851</v>
      </c>
      <c r="BE287">
        <f>Lookups!$B$2</f>
        <v>155833.95000000001</v>
      </c>
      <c r="BF287">
        <f>VLOOKUP(Grandview_Sales[[#This Row],[quality]],Lookups!$H$2:$J$13,3,FALSE)</f>
        <v>9808</v>
      </c>
      <c r="BG287">
        <f>VLOOKUP(Grandview_Sales[[#This Row],[condition]],Lookups!$H$17:$J$24,3,FALSE)</f>
        <v>25780</v>
      </c>
      <c r="BH287">
        <f>Grandview_Sales[[#This Row],[Eff_Age]]*Lookups!$B$14</f>
        <v>-239.16659999999999</v>
      </c>
      <c r="BI287">
        <f>Grandview_Sales[[#This Row],[living_area]]*Lookups!$B$15</f>
        <v>91076.045379999996</v>
      </c>
      <c r="BJ287">
        <f>Grandview_Sales[[#This Row],[Fin BSMT]]*Lookups!$B$16</f>
        <v>0</v>
      </c>
      <c r="BK287">
        <f>Grandview_Sales[[#This Row],[garage_sqft]]*Lookups!$B$17</f>
        <v>38508.992279999999</v>
      </c>
      <c r="BL287">
        <f>Grandview_Sales[[#This Row],[Plumbing Fixtures]]*Lookups!$B$18</f>
        <v>18093.976200000001</v>
      </c>
      <c r="BM287">
        <f>Grandview_Sales[[#This Row],[detatched_value]]*Lookups!$B$19</f>
        <v>0</v>
      </c>
      <c r="BN287">
        <f>Grandview_Sales[[#This Row],[days_prior]]*Lookups!$B$20</f>
        <v>-2159.0747999999999</v>
      </c>
      <c r="BO287">
        <f>SUM(Grandview_Sales[[#This Row],[land_value]:[Days Prior To Assessment_value]])</f>
        <v>385072.21033412585</v>
      </c>
      <c r="BP287">
        <f>Grandview_Sales[[#This Row],[predicted_total]]/Grandview_Sales[[#This Row],[sale_price]]</f>
        <v>1.1328985299621237</v>
      </c>
      <c r="BQ287">
        <f>VLOOKUP(Grandview_Sales[[#This Row],[quality]],Lookups!$A$26:$C$33,3,FALSE)</f>
        <v>0.94295468617355149</v>
      </c>
      <c r="BR287">
        <f>VLOOKUP(Grandview_Sales[[#This Row],[condition]],Lookups!$A$37:$C$44,3,FALSE)</f>
        <v>0.94347925387812148</v>
      </c>
      <c r="BS287">
        <f>VLOOKUP(Grandview_Sales[[#This Row],[decade]],Lookups!$F$29:$H$43,3,FALSE)</f>
        <v>0.9413635517371044</v>
      </c>
      <c r="BT287">
        <f>VLOOKUP(Grandview_Sales[[#This Row],[living_area_range]],Lookups!$F$47:$H$56,3,FALSE)</f>
        <v>0.96135087979789358</v>
      </c>
      <c r="BU287">
        <f>Grandview_Sales[[#This Row],[predicted_total]]*AVERAGE(Grandview_Sales[[#This Row],[qual_adj]:[size_adj]])</f>
        <v>364773.93468270823</v>
      </c>
      <c r="BV287">
        <f>Grandview_Sales[[#This Row],[final_total]]/Grandview_Sales[[#This Row],[sale_price]]</f>
        <v>1.0731801549947286</v>
      </c>
      <c r="BW287" s="6">
        <f>(Grandview_Sales[[#This Row],[final_total]]-Grandview_Sales[[#This Row],[sale_price]])^2</f>
        <v>618712626.5996356</v>
      </c>
      <c r="BX287" s="6">
        <f>(Grandview_Sales[[#This Row],[final_total]]-AVERAGE(Grandview_Sales[sale_price]))^2</f>
        <v>3342546999.2572718</v>
      </c>
      <c r="BY287" s="6">
        <f>Grandview_Sales[[#This Row],[SSE]]+Grandview_Sales[[#This Row],[SSR]]</f>
        <v>3961259625.8569074</v>
      </c>
      <c r="BZ287" s="4">
        <f>ABS(Grandview_Sales[[#This Row],[final_ratio]]-MEDIAN(Grandview_Sales[final_ratio]))</f>
        <v>7.1931435638916685E-2</v>
      </c>
    </row>
    <row r="288" spans="1:78" x14ac:dyDescent="0.25">
      <c r="A288">
        <v>23092621481</v>
      </c>
      <c r="B288">
        <v>0</v>
      </c>
      <c r="C288">
        <v>9900</v>
      </c>
      <c r="D288">
        <v>0</v>
      </c>
      <c r="E288" t="s">
        <v>53</v>
      </c>
      <c r="F288" t="s">
        <v>53</v>
      </c>
      <c r="G288">
        <v>4</v>
      </c>
      <c r="H288" t="s">
        <v>54</v>
      </c>
      <c r="I288">
        <v>0</v>
      </c>
      <c r="J288">
        <v>33000</v>
      </c>
      <c r="K288">
        <v>0.23</v>
      </c>
      <c r="L288">
        <v>-1.4696759700590001</v>
      </c>
      <c r="M288">
        <v>0</v>
      </c>
      <c r="N288">
        <v>0</v>
      </c>
      <c r="O288">
        <v>0</v>
      </c>
      <c r="P288">
        <v>13398.7528</v>
      </c>
      <c r="Q288">
        <v>63902.980100000001</v>
      </c>
      <c r="R288">
        <v>44211.155081080004</v>
      </c>
      <c r="S288" t="s">
        <v>55</v>
      </c>
      <c r="T288">
        <v>1</v>
      </c>
      <c r="U288" t="s">
        <v>62</v>
      </c>
      <c r="V288" t="s">
        <v>57</v>
      </c>
      <c r="W288">
        <v>0</v>
      </c>
      <c r="X288">
        <v>0</v>
      </c>
      <c r="Y288">
        <v>1</v>
      </c>
      <c r="Z288">
        <v>1</v>
      </c>
      <c r="AA288">
        <v>0</v>
      </c>
      <c r="AB288">
        <v>2500</v>
      </c>
      <c r="AC288">
        <v>2168</v>
      </c>
      <c r="AD288">
        <v>896</v>
      </c>
      <c r="AE288">
        <v>1272</v>
      </c>
      <c r="AF288">
        <v>0</v>
      </c>
      <c r="AG288">
        <v>0</v>
      </c>
      <c r="AH288">
        <v>440</v>
      </c>
      <c r="AI288">
        <v>0</v>
      </c>
      <c r="AJ288">
        <v>0</v>
      </c>
      <c r="AK288">
        <v>144</v>
      </c>
      <c r="AL288">
        <v>12</v>
      </c>
      <c r="AM288">
        <v>0</v>
      </c>
      <c r="AN288">
        <v>0</v>
      </c>
      <c r="AO288" t="s">
        <v>58</v>
      </c>
      <c r="AP288">
        <v>1</v>
      </c>
      <c r="AQ288" t="s">
        <v>63</v>
      </c>
      <c r="AR288" t="s">
        <v>64</v>
      </c>
      <c r="AS288">
        <v>1</v>
      </c>
      <c r="AT288">
        <v>3</v>
      </c>
      <c r="AU288">
        <v>0</v>
      </c>
      <c r="AV288">
        <v>0</v>
      </c>
      <c r="AW288">
        <v>100</v>
      </c>
      <c r="AX288" s="1">
        <v>44909</v>
      </c>
      <c r="AY288">
        <v>22600</v>
      </c>
      <c r="AZ288">
        <v>351448</v>
      </c>
      <c r="BA288">
        <v>374000</v>
      </c>
      <c r="BB288">
        <v>426286</v>
      </c>
      <c r="BC288">
        <v>18</v>
      </c>
      <c r="BD288">
        <f>Grandview_Sales[[#This Row],[land_extract]]*Lookups!$B$3</f>
        <v>51342.29502553949</v>
      </c>
      <c r="BE288">
        <f>Lookups!$B$2</f>
        <v>155833.95000000001</v>
      </c>
      <c r="BF288">
        <f>VLOOKUP(Grandview_Sales[[#This Row],[quality]],Lookups!$H$2:$J$13,3,FALSE)</f>
        <v>9808</v>
      </c>
      <c r="BG288">
        <f>VLOOKUP(Grandview_Sales[[#This Row],[condition]],Lookups!$H$17:$J$24,3,FALSE)</f>
        <v>25780</v>
      </c>
      <c r="BH288">
        <f>Grandview_Sales[[#This Row],[Eff_Age]]*Lookups!$B$14</f>
        <v>-239.16659999999999</v>
      </c>
      <c r="BI288">
        <f>Grandview_Sales[[#This Row],[living_area]]*Lookups!$B$15</f>
        <v>135241.689304</v>
      </c>
      <c r="BJ288">
        <f>Grandview_Sales[[#This Row],[Fin BSMT]]*Lookups!$B$16</f>
        <v>0</v>
      </c>
      <c r="BK288">
        <f>Grandview_Sales[[#This Row],[garage_sqft]]*Lookups!$B$17</f>
        <v>38508.992279999999</v>
      </c>
      <c r="BL288">
        <f>Grandview_Sales[[#This Row],[Plumbing Fixtures]]*Lookups!$B$18</f>
        <v>24125.301599999999</v>
      </c>
      <c r="BM288">
        <f>Grandview_Sales[[#This Row],[detatched_value]]*Lookups!$B$19</f>
        <v>0</v>
      </c>
      <c r="BN288">
        <f>Grandview_Sales[[#This Row],[days_prior]]*Lookups!$B$20</f>
        <v>-2159.0747999999999</v>
      </c>
      <c r="BO288">
        <f>SUM(Grandview_Sales[[#This Row],[land_value]:[Days Prior To Assessment_value]])</f>
        <v>438241.98680953955</v>
      </c>
      <c r="BP288">
        <f>Grandview_Sales[[#This Row],[predicted_total]]/Grandview_Sales[[#This Row],[sale_price]]</f>
        <v>1.028046867149143</v>
      </c>
      <c r="BQ288">
        <f>VLOOKUP(Grandview_Sales[[#This Row],[quality]],Lookups!$A$26:$C$33,3,FALSE)</f>
        <v>0.94295468617355149</v>
      </c>
      <c r="BR288">
        <f>VLOOKUP(Grandview_Sales[[#This Row],[condition]],Lookups!$A$37:$C$44,3,FALSE)</f>
        <v>0.94347925387812148</v>
      </c>
      <c r="BS288">
        <f>VLOOKUP(Grandview_Sales[[#This Row],[decade]],Lookups!$F$29:$H$43,3,FALSE)</f>
        <v>0.9413635517371044</v>
      </c>
      <c r="BT288">
        <f>VLOOKUP(Grandview_Sales[[#This Row],[living_area_range]],Lookups!$F$47:$H$56,3,FALSE)</f>
        <v>0.95799442568048754</v>
      </c>
      <c r="BU288">
        <f>Grandview_Sales[[#This Row],[predicted_total]]*AVERAGE(Grandview_Sales[[#This Row],[qual_adj]:[size_adj]])</f>
        <v>414773.24288980674</v>
      </c>
      <c r="BV288">
        <f>Grandview_Sales[[#This Row],[final_total]]/Grandview_Sales[[#This Row],[sale_price]]</f>
        <v>0.97299288010820606</v>
      </c>
      <c r="BW288" s="6">
        <f>(Grandview_Sales[[#This Row],[final_total]]-Grandview_Sales[[#This Row],[sale_price]])^2</f>
        <v>132543576.27830535</v>
      </c>
      <c r="BX288" s="6">
        <f>(Grandview_Sales[[#This Row],[final_total]]-AVERAGE(Grandview_Sales[sale_price]))^2</f>
        <v>11623874283.140211</v>
      </c>
      <c r="BY288" s="6">
        <f>Grandview_Sales[[#This Row],[SSE]]+Grandview_Sales[[#This Row],[SSR]]</f>
        <v>11756417859.418516</v>
      </c>
      <c r="BZ288" s="4">
        <f>ABS(Grandview_Sales[[#This Row],[final_ratio]]-MEDIAN(Grandview_Sales[final_ratio]))</f>
        <v>2.8255839247605885E-2</v>
      </c>
    </row>
    <row r="289" spans="1:78" x14ac:dyDescent="0.25">
      <c r="A289">
        <v>23092621610</v>
      </c>
      <c r="B289">
        <v>0</v>
      </c>
      <c r="C289">
        <v>8208</v>
      </c>
      <c r="D289">
        <v>0</v>
      </c>
      <c r="E289" t="s">
        <v>53</v>
      </c>
      <c r="F289" t="s">
        <v>53</v>
      </c>
      <c r="G289">
        <v>4</v>
      </c>
      <c r="H289" t="s">
        <v>54</v>
      </c>
      <c r="I289">
        <v>0</v>
      </c>
      <c r="J289">
        <v>32500</v>
      </c>
      <c r="K289">
        <v>0.19</v>
      </c>
      <c r="L289">
        <v>-1.6607312068219999</v>
      </c>
      <c r="M289">
        <v>0</v>
      </c>
      <c r="N289">
        <v>0</v>
      </c>
      <c r="O289">
        <v>0</v>
      </c>
      <c r="P289">
        <v>13398.7528</v>
      </c>
      <c r="Q289">
        <v>63902.980100000001</v>
      </c>
      <c r="R289">
        <v>41651.253192550997</v>
      </c>
      <c r="S289" t="s">
        <v>61</v>
      </c>
      <c r="T289">
        <v>1</v>
      </c>
      <c r="U289" t="s">
        <v>62</v>
      </c>
      <c r="V289" t="s">
        <v>57</v>
      </c>
      <c r="W289">
        <v>0</v>
      </c>
      <c r="X289">
        <v>0</v>
      </c>
      <c r="Y289">
        <v>1</v>
      </c>
      <c r="Z289">
        <v>1</v>
      </c>
      <c r="AA289">
        <v>0</v>
      </c>
      <c r="AB289">
        <v>1500</v>
      </c>
      <c r="AC289">
        <v>1430</v>
      </c>
      <c r="AD289">
        <v>1430</v>
      </c>
      <c r="AE289">
        <v>0</v>
      </c>
      <c r="AF289">
        <v>0</v>
      </c>
      <c r="AG289">
        <v>0</v>
      </c>
      <c r="AH289">
        <v>440</v>
      </c>
      <c r="AI289">
        <v>0</v>
      </c>
      <c r="AJ289">
        <v>0</v>
      </c>
      <c r="AK289">
        <v>0</v>
      </c>
      <c r="AL289">
        <v>9</v>
      </c>
      <c r="AM289">
        <v>0</v>
      </c>
      <c r="AN289">
        <v>0</v>
      </c>
      <c r="AO289" t="s">
        <v>58</v>
      </c>
      <c r="AP289">
        <v>1</v>
      </c>
      <c r="AQ289" t="s">
        <v>63</v>
      </c>
      <c r="AR289" t="s">
        <v>64</v>
      </c>
      <c r="AS289">
        <v>1</v>
      </c>
      <c r="AT289">
        <v>3</v>
      </c>
      <c r="AU289">
        <v>0</v>
      </c>
      <c r="AV289">
        <v>0</v>
      </c>
      <c r="AW289">
        <v>100</v>
      </c>
      <c r="AX289" s="1">
        <v>44916</v>
      </c>
      <c r="AY289">
        <v>22400</v>
      </c>
      <c r="AZ289">
        <v>260133</v>
      </c>
      <c r="BA289">
        <v>282500</v>
      </c>
      <c r="BB289">
        <v>344734</v>
      </c>
      <c r="BC289">
        <v>11</v>
      </c>
      <c r="BD289">
        <f>Grandview_Sales[[#This Row],[land_extract]]*Lookups!$B$3</f>
        <v>48369.487874125851</v>
      </c>
      <c r="BE289">
        <f>Lookups!$B$2</f>
        <v>155833.95000000001</v>
      </c>
      <c r="BF289">
        <f>VLOOKUP(Grandview_Sales[[#This Row],[quality]],Lookups!$H$2:$J$13,3,FALSE)</f>
        <v>9808</v>
      </c>
      <c r="BG289">
        <f>VLOOKUP(Grandview_Sales[[#This Row],[condition]],Lookups!$H$17:$J$24,3,FALSE)</f>
        <v>25780</v>
      </c>
      <c r="BH289">
        <f>Grandview_Sales[[#This Row],[Eff_Age]]*Lookups!$B$14</f>
        <v>-239.16659999999999</v>
      </c>
      <c r="BI289">
        <f>Grandview_Sales[[#This Row],[living_area]]*Lookups!$B$15</f>
        <v>89204.619789999997</v>
      </c>
      <c r="BJ289">
        <f>Grandview_Sales[[#This Row],[Fin BSMT]]*Lookups!$B$16</f>
        <v>0</v>
      </c>
      <c r="BK289">
        <f>Grandview_Sales[[#This Row],[garage_sqft]]*Lookups!$B$17</f>
        <v>38508.992279999999</v>
      </c>
      <c r="BL289">
        <f>Grandview_Sales[[#This Row],[Plumbing Fixtures]]*Lookups!$B$18</f>
        <v>18093.976200000001</v>
      </c>
      <c r="BM289">
        <f>Grandview_Sales[[#This Row],[detatched_value]]*Lookups!$B$19</f>
        <v>0</v>
      </c>
      <c r="BN289">
        <f>Grandview_Sales[[#This Row],[days_prior]]*Lookups!$B$20</f>
        <v>-1319.4346</v>
      </c>
      <c r="BO289">
        <f>SUM(Grandview_Sales[[#This Row],[land_value]:[Days Prior To Assessment_value]])</f>
        <v>384040.42494412587</v>
      </c>
      <c r="BP289">
        <f>Grandview_Sales[[#This Row],[predicted_total]]/Grandview_Sales[[#This Row],[sale_price]]</f>
        <v>1.1140195772512309</v>
      </c>
      <c r="BQ289">
        <f>VLOOKUP(Grandview_Sales[[#This Row],[quality]],Lookups!$A$26:$C$33,3,FALSE)</f>
        <v>0.94295468617355149</v>
      </c>
      <c r="BR289">
        <f>VLOOKUP(Grandview_Sales[[#This Row],[condition]],Lookups!$A$37:$C$44,3,FALSE)</f>
        <v>0.94347925387812148</v>
      </c>
      <c r="BS289">
        <f>VLOOKUP(Grandview_Sales[[#This Row],[decade]],Lookups!$F$29:$H$43,3,FALSE)</f>
        <v>0.9413635517371044</v>
      </c>
      <c r="BT289">
        <f>VLOOKUP(Grandview_Sales[[#This Row],[living_area_range]],Lookups!$F$47:$H$56,3,FALSE)</f>
        <v>0.96135087979789358</v>
      </c>
      <c r="BU289">
        <f>Grandview_Sales[[#This Row],[predicted_total]]*AVERAGE(Grandview_Sales[[#This Row],[qual_adj]:[size_adj]])</f>
        <v>363796.53770012187</v>
      </c>
      <c r="BV289">
        <f>Grandview_Sales[[#This Row],[final_total]]/Grandview_Sales[[#This Row],[sale_price]]</f>
        <v>1.0552963667642932</v>
      </c>
      <c r="BW289" s="6">
        <f>(Grandview_Sales[[#This Row],[final_total]]-Grandview_Sales[[#This Row],[sale_price]])^2</f>
        <v>363380343.56856769</v>
      </c>
      <c r="BX289" s="6">
        <f>(Grandview_Sales[[#This Row],[final_total]]-AVERAGE(Grandview_Sales[sale_price]))^2</f>
        <v>3230486351.2907009</v>
      </c>
      <c r="BY289" s="6">
        <f>Grandview_Sales[[#This Row],[SSE]]+Grandview_Sales[[#This Row],[SSR]]</f>
        <v>3593866694.8592687</v>
      </c>
      <c r="BZ289" s="4">
        <f>ABS(Grandview_Sales[[#This Row],[final_ratio]]-MEDIAN(Grandview_Sales[final_ratio]))</f>
        <v>5.4047647408481225E-2</v>
      </c>
    </row>
    <row r="293" spans="1:78" x14ac:dyDescent="0.25">
      <c r="BW293" t="s">
        <v>191</v>
      </c>
      <c r="BZ293" s="5">
        <f>AVERAGE(Grandview_Sales[sale_price])</f>
        <v>306959.17013888888</v>
      </c>
    </row>
    <row r="294" spans="1:78" x14ac:dyDescent="0.25">
      <c r="BW294" t="s">
        <v>193</v>
      </c>
      <c r="BZ294" s="5">
        <f>MEDIAN(Grandview_Sales[sale_price])</f>
        <v>300699</v>
      </c>
    </row>
    <row r="295" spans="1:78" x14ac:dyDescent="0.25">
      <c r="BW295" t="s">
        <v>192</v>
      </c>
      <c r="BZ295">
        <f>COUNT(Grandview_Sales[sale_price])</f>
        <v>288</v>
      </c>
    </row>
    <row r="296" spans="1:78" x14ac:dyDescent="0.25">
      <c r="BW296" s="13" t="s">
        <v>183</v>
      </c>
      <c r="BX296" s="13"/>
      <c r="BY296" s="13"/>
      <c r="BZ296" s="14">
        <f>MEDIAN(Grandview_Sales[final_ratio])</f>
        <v>1.0012487193558119</v>
      </c>
    </row>
    <row r="297" spans="1:78" x14ac:dyDescent="0.25">
      <c r="BW297" t="s">
        <v>123</v>
      </c>
      <c r="BZ297" s="4">
        <f>AVERAGE(Grandview_Sales[final_ratio])</f>
        <v>1.0000000000000004</v>
      </c>
    </row>
    <row r="298" spans="1:78" x14ac:dyDescent="0.25">
      <c r="BW298" t="s">
        <v>124</v>
      </c>
      <c r="BZ298" s="4">
        <f>SUM(Grandview_Sales[final_total])/SUM(Grandview_Sales[sale_price])</f>
        <v>0.9909941164570345</v>
      </c>
    </row>
    <row r="299" spans="1:78" x14ac:dyDescent="0.25">
      <c r="BW299" s="11" t="s">
        <v>184</v>
      </c>
      <c r="BX299" s="11"/>
      <c r="BY299" s="11"/>
      <c r="BZ299" s="16">
        <f>AVERAGE(Grandview_Sales[ABS Deviation from Median])/BZ296</f>
        <v>8.1988094506621603E-2</v>
      </c>
    </row>
    <row r="300" spans="1:78" x14ac:dyDescent="0.25">
      <c r="BW300" s="12" t="s">
        <v>185</v>
      </c>
      <c r="BX300" s="12"/>
      <c r="BY300" s="12"/>
      <c r="BZ300" s="15">
        <f>BZ297/BZ298</f>
        <v>1.0090877265499452</v>
      </c>
    </row>
    <row r="301" spans="1:78" x14ac:dyDescent="0.25">
      <c r="BW301" t="s">
        <v>186</v>
      </c>
      <c r="BZ301" s="9">
        <f>BZ302/BZ293</f>
        <v>9.251956545325335E-2</v>
      </c>
    </row>
    <row r="302" spans="1:78" x14ac:dyDescent="0.25">
      <c r="BW302" t="s">
        <v>187</v>
      </c>
      <c r="BZ302" s="5">
        <f>SQRT(SUM(Grandview_Sales[SSE])/(BZ295-1))</f>
        <v>28399.729033141259</v>
      </c>
    </row>
    <row r="303" spans="1:78" x14ac:dyDescent="0.25">
      <c r="BW303" t="s">
        <v>188</v>
      </c>
      <c r="BZ303" s="10">
        <f>SUM(Grandview_Sales[SSR])/SUM(Grandview_Sales[SST])</f>
        <v>0.88556730842861953</v>
      </c>
    </row>
    <row r="304" spans="1:78" x14ac:dyDescent="0.25">
      <c r="BW304" t="s">
        <v>189</v>
      </c>
      <c r="BZ304" s="5">
        <f>SQRT(SUM(Grandview_Sales[SSE])/BZ295)</f>
        <v>28350.381073994791</v>
      </c>
    </row>
    <row r="305" spans="75:78" x14ac:dyDescent="0.25">
      <c r="BW305" t="s">
        <v>190</v>
      </c>
      <c r="BZ305" s="9">
        <f>BZ304/BZ293</f>
        <v>9.235880153431214E-2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2A0C7-6B5D-41C9-963F-A596EFB17449}">
  <dimension ref="A1:M56"/>
  <sheetViews>
    <sheetView topLeftCell="A10" workbookViewId="0">
      <selection activeCell="X28" sqref="X28"/>
    </sheetView>
  </sheetViews>
  <sheetFormatPr defaultRowHeight="15" x14ac:dyDescent="0.25"/>
  <cols>
    <col min="1" max="1" width="23.85546875" bestFit="1" customWidth="1"/>
    <col min="2" max="2" width="10.5703125" bestFit="1" customWidth="1"/>
    <col min="3" max="3" width="9" bestFit="1" customWidth="1"/>
    <col min="4" max="4" width="6.7109375" bestFit="1" customWidth="1"/>
    <col min="5" max="5" width="8.85546875" bestFit="1" customWidth="1"/>
    <col min="10" max="10" width="9.42578125" customWidth="1"/>
  </cols>
  <sheetData>
    <row r="1" spans="1:11" x14ac:dyDescent="0.25">
      <c r="A1" t="s">
        <v>87</v>
      </c>
      <c r="B1" t="s">
        <v>88</v>
      </c>
      <c r="C1" t="s">
        <v>89</v>
      </c>
      <c r="D1" t="s">
        <v>90</v>
      </c>
      <c r="E1" t="s">
        <v>91</v>
      </c>
      <c r="H1" t="s">
        <v>106</v>
      </c>
    </row>
    <row r="2" spans="1:11" x14ac:dyDescent="0.25">
      <c r="A2" t="s">
        <v>92</v>
      </c>
      <c r="B2">
        <v>155833.95000000001</v>
      </c>
      <c r="C2">
        <v>23220.54</v>
      </c>
      <c r="D2">
        <v>6.71</v>
      </c>
      <c r="E2" t="s">
        <v>93</v>
      </c>
      <c r="G2">
        <v>1</v>
      </c>
      <c r="H2" t="s">
        <v>96</v>
      </c>
      <c r="I2">
        <v>-47308</v>
      </c>
      <c r="J2">
        <v>-47308</v>
      </c>
    </row>
    <row r="3" spans="1:11" x14ac:dyDescent="0.25">
      <c r="A3" t="s">
        <v>16</v>
      </c>
      <c r="B3">
        <v>1.1612973</v>
      </c>
      <c r="C3">
        <v>0.39128000000000002</v>
      </c>
      <c r="D3">
        <v>2.97</v>
      </c>
      <c r="E3">
        <v>3.3E-3</v>
      </c>
      <c r="G3">
        <v>2</v>
      </c>
      <c r="H3" t="s">
        <v>83</v>
      </c>
      <c r="I3">
        <v>-28558</v>
      </c>
      <c r="J3">
        <v>-28558</v>
      </c>
    </row>
    <row r="4" spans="1:11" x14ac:dyDescent="0.25">
      <c r="A4" t="s">
        <v>152</v>
      </c>
      <c r="B4">
        <v>-11032.6</v>
      </c>
      <c r="C4">
        <v>5786.951</v>
      </c>
      <c r="D4">
        <v>-1.91</v>
      </c>
      <c r="E4">
        <v>5.7700000000000001E-2</v>
      </c>
      <c r="G4">
        <v>3</v>
      </c>
      <c r="H4" t="s">
        <v>80</v>
      </c>
      <c r="I4">
        <v>-28558</v>
      </c>
      <c r="J4">
        <v>-28558</v>
      </c>
    </row>
    <row r="5" spans="1:11" x14ac:dyDescent="0.25">
      <c r="A5" t="s">
        <v>153</v>
      </c>
      <c r="B5">
        <v>-17525.28</v>
      </c>
      <c r="C5">
        <v>4165.8760000000002</v>
      </c>
      <c r="D5">
        <v>-4.21</v>
      </c>
      <c r="E5" t="s">
        <v>93</v>
      </c>
      <c r="G5">
        <v>4</v>
      </c>
      <c r="H5" t="s">
        <v>70</v>
      </c>
      <c r="I5">
        <v>10733</v>
      </c>
      <c r="J5">
        <v>10733</v>
      </c>
    </row>
    <row r="6" spans="1:11" x14ac:dyDescent="0.25">
      <c r="A6" t="s">
        <v>154</v>
      </c>
      <c r="B6">
        <v>4241.7397000000001</v>
      </c>
      <c r="C6">
        <v>3317.663</v>
      </c>
      <c r="D6">
        <v>1.28</v>
      </c>
      <c r="E6">
        <v>0.20219999999999999</v>
      </c>
      <c r="G6">
        <v>5</v>
      </c>
      <c r="H6" t="s">
        <v>65</v>
      </c>
      <c r="I6">
        <v>2251</v>
      </c>
      <c r="J6">
        <v>2251</v>
      </c>
    </row>
    <row r="7" spans="1:11" x14ac:dyDescent="0.25">
      <c r="A7" t="s">
        <v>155</v>
      </c>
      <c r="B7">
        <v>-18750.21</v>
      </c>
      <c r="C7">
        <v>8806.59</v>
      </c>
      <c r="D7">
        <v>-2.13</v>
      </c>
      <c r="E7">
        <v>3.4200000000000001E-2</v>
      </c>
      <c r="G7">
        <v>6</v>
      </c>
      <c r="H7" t="s">
        <v>62</v>
      </c>
      <c r="I7">
        <v>9808</v>
      </c>
      <c r="J7">
        <v>9808</v>
      </c>
    </row>
    <row r="8" spans="1:11" x14ac:dyDescent="0.25">
      <c r="A8" t="s">
        <v>156</v>
      </c>
      <c r="B8">
        <v>-48683.13</v>
      </c>
      <c r="C8">
        <v>16349.54</v>
      </c>
      <c r="D8">
        <v>-2.98</v>
      </c>
      <c r="E8">
        <v>3.2000000000000002E-3</v>
      </c>
      <c r="G8">
        <v>7</v>
      </c>
      <c r="H8" t="s">
        <v>64</v>
      </c>
      <c r="I8">
        <v>20768</v>
      </c>
      <c r="J8">
        <v>20768</v>
      </c>
    </row>
    <row r="9" spans="1:11" x14ac:dyDescent="0.25">
      <c r="A9" t="s">
        <v>157</v>
      </c>
      <c r="B9">
        <v>22143.361000000001</v>
      </c>
      <c r="C9">
        <v>10651.73</v>
      </c>
      <c r="D9">
        <v>2.08</v>
      </c>
      <c r="E9">
        <v>3.8600000000000002E-2</v>
      </c>
      <c r="G9">
        <v>8</v>
      </c>
      <c r="H9" t="s">
        <v>56</v>
      </c>
      <c r="I9">
        <v>56323</v>
      </c>
      <c r="J9">
        <v>56323</v>
      </c>
    </row>
    <row r="10" spans="1:11" x14ac:dyDescent="0.25">
      <c r="A10" t="s">
        <v>158</v>
      </c>
      <c r="B10">
        <v>-24929.919999999998</v>
      </c>
      <c r="C10">
        <v>4261.4459999999999</v>
      </c>
      <c r="D10">
        <v>-5.85</v>
      </c>
      <c r="E10" t="s">
        <v>93</v>
      </c>
      <c r="G10">
        <v>9</v>
      </c>
      <c r="H10" t="s">
        <v>72</v>
      </c>
      <c r="I10">
        <v>78466</v>
      </c>
      <c r="J10">
        <v>78466</v>
      </c>
    </row>
    <row r="11" spans="1:11" x14ac:dyDescent="0.25">
      <c r="A11" t="s">
        <v>159</v>
      </c>
      <c r="B11">
        <v>-20426.79</v>
      </c>
      <c r="C11">
        <v>4514.9579999999996</v>
      </c>
      <c r="D11">
        <v>-4.5199999999999996</v>
      </c>
      <c r="E11" t="s">
        <v>93</v>
      </c>
      <c r="G11">
        <v>10</v>
      </c>
      <c r="H11" t="s">
        <v>97</v>
      </c>
      <c r="J11" s="8">
        <f t="shared" ref="J11:J14" si="0">(14258*G11)-63075</f>
        <v>79505</v>
      </c>
      <c r="K11" t="s">
        <v>125</v>
      </c>
    </row>
    <row r="12" spans="1:11" x14ac:dyDescent="0.25">
      <c r="A12" t="s">
        <v>160</v>
      </c>
      <c r="B12">
        <v>-849.88170000000002</v>
      </c>
      <c r="C12">
        <v>4039.2289999999998</v>
      </c>
      <c r="D12">
        <v>-0.21</v>
      </c>
      <c r="E12">
        <v>0.83350000000000002</v>
      </c>
      <c r="G12">
        <v>11</v>
      </c>
      <c r="H12" t="s">
        <v>60</v>
      </c>
      <c r="J12" s="8">
        <f t="shared" si="0"/>
        <v>93763</v>
      </c>
      <c r="K12" t="s">
        <v>125</v>
      </c>
    </row>
    <row r="13" spans="1:11" x14ac:dyDescent="0.25">
      <c r="A13" t="s">
        <v>161</v>
      </c>
      <c r="B13">
        <v>-1738.067</v>
      </c>
      <c r="C13">
        <v>4672.1970000000001</v>
      </c>
      <c r="D13">
        <v>-0.37</v>
      </c>
      <c r="E13">
        <v>0.71020000000000005</v>
      </c>
      <c r="G13">
        <v>12</v>
      </c>
      <c r="H13" t="s">
        <v>116</v>
      </c>
      <c r="J13" s="8">
        <f t="shared" si="0"/>
        <v>108021</v>
      </c>
      <c r="K13" t="s">
        <v>125</v>
      </c>
    </row>
    <row r="14" spans="1:11" x14ac:dyDescent="0.25">
      <c r="A14" t="s">
        <v>23</v>
      </c>
      <c r="B14">
        <v>-239.16659999999999</v>
      </c>
      <c r="C14">
        <v>255.1977</v>
      </c>
      <c r="D14">
        <v>-0.94</v>
      </c>
      <c r="E14">
        <v>0.34949999999999998</v>
      </c>
      <c r="G14">
        <v>13</v>
      </c>
      <c r="H14" t="s">
        <v>181</v>
      </c>
      <c r="J14" s="8">
        <f t="shared" si="0"/>
        <v>122279</v>
      </c>
      <c r="K14" t="s">
        <v>125</v>
      </c>
    </row>
    <row r="15" spans="1:11" x14ac:dyDescent="0.25">
      <c r="A15" t="s">
        <v>27</v>
      </c>
      <c r="B15">
        <v>62.380853000000002</v>
      </c>
      <c r="C15">
        <v>7.1182730000000003</v>
      </c>
      <c r="D15">
        <v>8.76</v>
      </c>
      <c r="E15" t="s">
        <v>93</v>
      </c>
    </row>
    <row r="16" spans="1:11" x14ac:dyDescent="0.25">
      <c r="A16" t="s">
        <v>30</v>
      </c>
      <c r="B16">
        <v>-27.099240000000002</v>
      </c>
      <c r="C16">
        <v>7.7917630000000004</v>
      </c>
      <c r="D16">
        <v>-3.48</v>
      </c>
      <c r="E16">
        <v>5.9999999999999995E-4</v>
      </c>
      <c r="H16" t="s">
        <v>107</v>
      </c>
    </row>
    <row r="17" spans="1:13" x14ac:dyDescent="0.25">
      <c r="A17" t="s">
        <v>32</v>
      </c>
      <c r="B17">
        <v>87.520437000000001</v>
      </c>
      <c r="C17">
        <v>11.29196</v>
      </c>
      <c r="D17">
        <v>7.75</v>
      </c>
      <c r="E17" t="s">
        <v>93</v>
      </c>
      <c r="G17">
        <v>1</v>
      </c>
      <c r="H17" t="s">
        <v>74</v>
      </c>
      <c r="J17" s="8">
        <f>(131926*LN(G17))-222502</f>
        <v>-222502</v>
      </c>
      <c r="K17" t="s">
        <v>125</v>
      </c>
    </row>
    <row r="18" spans="1:13" x14ac:dyDescent="0.25">
      <c r="A18" t="s">
        <v>36</v>
      </c>
      <c r="B18">
        <v>2010.4418000000001</v>
      </c>
      <c r="C18">
        <v>1777.915</v>
      </c>
      <c r="D18">
        <v>1.1299999999999999</v>
      </c>
      <c r="E18">
        <v>0.25919999999999999</v>
      </c>
      <c r="G18">
        <v>2</v>
      </c>
      <c r="H18" t="s">
        <v>95</v>
      </c>
      <c r="J18" s="8">
        <f t="shared" ref="J18:J19" si="1">(131926*LN(G18))-222502</f>
        <v>-131057.86505744865</v>
      </c>
      <c r="K18" t="s">
        <v>125</v>
      </c>
    </row>
    <row r="19" spans="1:13" x14ac:dyDescent="0.25">
      <c r="A19" t="s">
        <v>46</v>
      </c>
      <c r="B19">
        <v>0.84680509999999998</v>
      </c>
      <c r="C19">
        <v>0.319247</v>
      </c>
      <c r="D19">
        <v>2.65</v>
      </c>
      <c r="E19">
        <v>8.5000000000000006E-3</v>
      </c>
      <c r="G19">
        <v>3</v>
      </c>
      <c r="H19" t="s">
        <v>94</v>
      </c>
      <c r="J19" s="8">
        <f t="shared" si="1"/>
        <v>-77566.475205170951</v>
      </c>
      <c r="K19" t="s">
        <v>125</v>
      </c>
    </row>
    <row r="20" spans="1:13" x14ac:dyDescent="0.25">
      <c r="A20" t="s">
        <v>98</v>
      </c>
      <c r="B20">
        <v>-119.9486</v>
      </c>
      <c r="C20">
        <v>7.9574129999999998</v>
      </c>
      <c r="D20">
        <v>-15.07</v>
      </c>
      <c r="E20" t="s">
        <v>93</v>
      </c>
      <c r="G20">
        <v>4</v>
      </c>
      <c r="H20" t="s">
        <v>78</v>
      </c>
      <c r="I20">
        <v>-45357</v>
      </c>
      <c r="J20">
        <v>-45357</v>
      </c>
    </row>
    <row r="21" spans="1:13" x14ac:dyDescent="0.25">
      <c r="G21">
        <v>5</v>
      </c>
      <c r="H21" t="s">
        <v>69</v>
      </c>
      <c r="I21">
        <v>-4503</v>
      </c>
      <c r="J21">
        <v>-4503</v>
      </c>
    </row>
    <row r="22" spans="1:13" x14ac:dyDescent="0.25">
      <c r="G22">
        <v>6</v>
      </c>
      <c r="H22" t="s">
        <v>67</v>
      </c>
      <c r="I22">
        <v>22342</v>
      </c>
      <c r="J22">
        <v>22342</v>
      </c>
    </row>
    <row r="23" spans="1:13" x14ac:dyDescent="0.25">
      <c r="G23">
        <v>7</v>
      </c>
      <c r="H23" t="s">
        <v>66</v>
      </c>
      <c r="I23">
        <v>25818</v>
      </c>
      <c r="J23">
        <v>25818</v>
      </c>
    </row>
    <row r="24" spans="1:13" x14ac:dyDescent="0.25">
      <c r="G24">
        <v>8</v>
      </c>
      <c r="H24" t="s">
        <v>57</v>
      </c>
      <c r="I24">
        <v>25780</v>
      </c>
      <c r="J24">
        <v>25780</v>
      </c>
    </row>
    <row r="25" spans="1:13" x14ac:dyDescent="0.25">
      <c r="A25" t="s">
        <v>19</v>
      </c>
      <c r="C25">
        <v>0</v>
      </c>
    </row>
    <row r="26" spans="1:13" x14ac:dyDescent="0.25">
      <c r="A26" s="3" t="s">
        <v>65</v>
      </c>
      <c r="B26" s="4">
        <v>1.0125161579275814</v>
      </c>
      <c r="C26" s="4">
        <f>IF($C$25=1,1,1/B26)</f>
        <v>0.98763855981004833</v>
      </c>
    </row>
    <row r="27" spans="1:13" x14ac:dyDescent="0.25">
      <c r="A27" s="3" t="s">
        <v>62</v>
      </c>
      <c r="B27" s="4">
        <v>1.0604963469219657</v>
      </c>
      <c r="C27" s="4">
        <f t="shared" ref="C27:C33" si="2">IF($C$25=1,1,1/B27)</f>
        <v>0.94295468617355149</v>
      </c>
      <c r="J27" t="s">
        <v>128</v>
      </c>
      <c r="M27">
        <v>1</v>
      </c>
    </row>
    <row r="28" spans="1:13" x14ac:dyDescent="0.25">
      <c r="A28" s="3" t="s">
        <v>80</v>
      </c>
      <c r="B28" s="4">
        <v>1.0319533977683324</v>
      </c>
      <c r="C28" s="4">
        <f t="shared" si="2"/>
        <v>0.9690360070159818</v>
      </c>
      <c r="F28" t="s">
        <v>114</v>
      </c>
      <c r="H28">
        <v>0</v>
      </c>
      <c r="J28" t="s">
        <v>151</v>
      </c>
      <c r="M28">
        <v>0.95</v>
      </c>
    </row>
    <row r="29" spans="1:13" x14ac:dyDescent="0.25">
      <c r="A29" s="3" t="s">
        <v>83</v>
      </c>
      <c r="B29" s="4">
        <v>1.0381030212146241</v>
      </c>
      <c r="C29" s="4">
        <f t="shared" si="2"/>
        <v>0.96329552998502799</v>
      </c>
      <c r="F29" s="3">
        <v>0</v>
      </c>
      <c r="G29" s="4">
        <v>1.0622888448938705</v>
      </c>
      <c r="H29" s="4">
        <f t="shared" ref="H29:H43" si="3">IF($H$28,1,1/G29)</f>
        <v>0.9413635517371044</v>
      </c>
    </row>
    <row r="30" spans="1:13" x14ac:dyDescent="0.25">
      <c r="A30" s="3" t="s">
        <v>70</v>
      </c>
      <c r="B30" s="4">
        <v>1.0195785476267993</v>
      </c>
      <c r="C30" s="4">
        <f t="shared" si="2"/>
        <v>0.98079741117310582</v>
      </c>
      <c r="F30" s="3">
        <v>10</v>
      </c>
      <c r="G30" s="4">
        <v>1.0570604776507702</v>
      </c>
      <c r="H30" s="4">
        <f t="shared" si="3"/>
        <v>0.94601966599150278</v>
      </c>
    </row>
    <row r="31" spans="1:13" x14ac:dyDescent="0.25">
      <c r="A31" s="3" t="s">
        <v>64</v>
      </c>
      <c r="B31" s="4">
        <v>1.0530689863493761</v>
      </c>
      <c r="C31" s="4">
        <f t="shared" si="2"/>
        <v>0.94960540378902636</v>
      </c>
      <c r="F31" s="3">
        <v>20</v>
      </c>
      <c r="G31" s="4">
        <v>1.0337253496807404</v>
      </c>
      <c r="H31" s="4">
        <f t="shared" si="3"/>
        <v>0.96737494181490646</v>
      </c>
    </row>
    <row r="32" spans="1:13" x14ac:dyDescent="0.25">
      <c r="A32" s="3" t="s">
        <v>56</v>
      </c>
      <c r="B32" s="4">
        <v>1.3082558022309549</v>
      </c>
      <c r="C32" s="4">
        <f t="shared" si="2"/>
        <v>0.76437650671582003</v>
      </c>
      <c r="F32" s="3">
        <v>30</v>
      </c>
      <c r="G32" s="4">
        <v>1.0162826644725267</v>
      </c>
      <c r="H32" s="4">
        <f t="shared" si="3"/>
        <v>0.98397821291089549</v>
      </c>
    </row>
    <row r="33" spans="1:8" x14ac:dyDescent="0.25">
      <c r="A33" s="3" t="s">
        <v>72</v>
      </c>
      <c r="B33" s="4">
        <v>0.99999993164666134</v>
      </c>
      <c r="C33" s="4">
        <f t="shared" si="2"/>
        <v>1.0000000683533434</v>
      </c>
      <c r="F33" s="3">
        <v>40</v>
      </c>
      <c r="G33" s="4">
        <v>1.0200763442231973</v>
      </c>
      <c r="H33" s="4">
        <f t="shared" si="3"/>
        <v>0.98031878267063854</v>
      </c>
    </row>
    <row r="34" spans="1:8" x14ac:dyDescent="0.25">
      <c r="B34" s="4"/>
      <c r="C34" s="4"/>
      <c r="F34" s="3">
        <v>50</v>
      </c>
      <c r="G34" s="4">
        <v>1.012972111550192</v>
      </c>
      <c r="H34" s="4">
        <f t="shared" si="3"/>
        <v>0.9871940091910919</v>
      </c>
    </row>
    <row r="35" spans="1:8" x14ac:dyDescent="0.25">
      <c r="B35" s="4"/>
      <c r="C35" s="4"/>
      <c r="F35" s="3">
        <v>60</v>
      </c>
      <c r="G35" s="4">
        <v>1.049663566329571</v>
      </c>
      <c r="H35" s="4">
        <f t="shared" si="3"/>
        <v>0.95268620544463312</v>
      </c>
    </row>
    <row r="36" spans="1:8" x14ac:dyDescent="0.25">
      <c r="A36" s="3" t="s">
        <v>20</v>
      </c>
      <c r="B36" s="4"/>
      <c r="C36">
        <v>0</v>
      </c>
      <c r="F36" s="3">
        <v>70</v>
      </c>
      <c r="G36" s="4">
        <v>1.0053065982862928</v>
      </c>
      <c r="H36" s="4">
        <f t="shared" si="3"/>
        <v>0.99472141305414818</v>
      </c>
    </row>
    <row r="37" spans="1:8" x14ac:dyDescent="0.25">
      <c r="A37" s="3" t="s">
        <v>69</v>
      </c>
      <c r="B37" s="4">
        <v>1.0365994666626777</v>
      </c>
      <c r="C37" s="4">
        <f>IF($C$36,1,1/B37)</f>
        <v>0.96469275950863709</v>
      </c>
      <c r="F37" s="3">
        <v>80</v>
      </c>
      <c r="G37" s="4">
        <v>1.0125222990220408</v>
      </c>
      <c r="H37" s="4">
        <f t="shared" si="3"/>
        <v>0.98763256963907298</v>
      </c>
    </row>
    <row r="38" spans="1:8" x14ac:dyDescent="0.25">
      <c r="A38" s="3" t="s">
        <v>57</v>
      </c>
      <c r="B38" s="4">
        <v>1.05990671855216</v>
      </c>
      <c r="C38" s="4">
        <f t="shared" ref="C38:C43" si="4">IF($C$36,1,1/B38)</f>
        <v>0.94347925387812148</v>
      </c>
      <c r="F38" s="3">
        <v>90</v>
      </c>
      <c r="G38" s="4">
        <v>1.0620023517435699</v>
      </c>
      <c r="H38" s="4">
        <f t="shared" si="3"/>
        <v>0.94161750052457416</v>
      </c>
    </row>
    <row r="39" spans="1:8" x14ac:dyDescent="0.25">
      <c r="A39" s="3" t="s">
        <v>78</v>
      </c>
      <c r="B39" s="4">
        <v>1.0292108612457109</v>
      </c>
      <c r="C39" s="4">
        <f t="shared" si="4"/>
        <v>0.97161819570155394</v>
      </c>
      <c r="F39" s="3">
        <v>100</v>
      </c>
      <c r="G39" s="4">
        <v>1.0499272774819288</v>
      </c>
      <c r="H39" s="4">
        <f t="shared" si="3"/>
        <v>0.95244691841736806</v>
      </c>
    </row>
    <row r="40" spans="1:8" x14ac:dyDescent="0.25">
      <c r="A40" s="3" t="s">
        <v>67</v>
      </c>
      <c r="B40" s="4">
        <v>1.0268656427402056</v>
      </c>
      <c r="C40" s="4">
        <f t="shared" si="4"/>
        <v>0.97383723671140243</v>
      </c>
      <c r="F40" s="3">
        <v>110</v>
      </c>
      <c r="G40" s="4">
        <v>1.0839493120404828</v>
      </c>
      <c r="H40" s="4">
        <f t="shared" si="3"/>
        <v>0.92255236374249616</v>
      </c>
    </row>
    <row r="41" spans="1:8" x14ac:dyDescent="0.25">
      <c r="A41" s="3" t="s">
        <v>66</v>
      </c>
      <c r="B41" s="4">
        <v>1.0345383072545475</v>
      </c>
      <c r="C41" s="4">
        <f t="shared" si="4"/>
        <v>0.96661476234146892</v>
      </c>
      <c r="F41" s="3">
        <v>120</v>
      </c>
      <c r="G41" s="4">
        <v>1.0808779390639436</v>
      </c>
      <c r="H41" s="4">
        <f t="shared" si="3"/>
        <v>0.9251738460551937</v>
      </c>
    </row>
    <row r="42" spans="1:8" x14ac:dyDescent="0.25">
      <c r="A42" s="3" t="s">
        <v>95</v>
      </c>
      <c r="B42" s="4">
        <f>B39</f>
        <v>1.0292108612457109</v>
      </c>
      <c r="C42" s="4">
        <f t="shared" si="4"/>
        <v>0.97161819570155394</v>
      </c>
      <c r="F42" s="3">
        <v>130</v>
      </c>
      <c r="G42" s="4">
        <v>1.0808779390639436</v>
      </c>
      <c r="H42" s="4">
        <f t="shared" si="3"/>
        <v>0.9251738460551937</v>
      </c>
    </row>
    <row r="43" spans="1:8" x14ac:dyDescent="0.25">
      <c r="A43" s="3" t="s">
        <v>94</v>
      </c>
      <c r="B43" s="4">
        <f>B39</f>
        <v>1.0292108612457109</v>
      </c>
      <c r="C43" s="4">
        <f t="shared" si="4"/>
        <v>0.97161819570155394</v>
      </c>
      <c r="F43" s="3">
        <v>140</v>
      </c>
      <c r="G43" s="4">
        <v>1.0808779390639436</v>
      </c>
      <c r="H43" s="4">
        <f t="shared" si="3"/>
        <v>0.9251738460551937</v>
      </c>
    </row>
    <row r="44" spans="1:8" x14ac:dyDescent="0.25">
      <c r="A44" s="3" t="s">
        <v>74</v>
      </c>
      <c r="B44" s="4">
        <v>0</v>
      </c>
      <c r="C44" s="4">
        <v>0</v>
      </c>
      <c r="G44" s="4"/>
    </row>
    <row r="45" spans="1:8" x14ac:dyDescent="0.25">
      <c r="B45" s="4"/>
      <c r="C45" s="4"/>
      <c r="G45" s="4"/>
      <c r="H45" s="4"/>
    </row>
    <row r="46" spans="1:8" x14ac:dyDescent="0.25">
      <c r="B46" s="4"/>
      <c r="C46" s="4"/>
      <c r="F46" t="s">
        <v>115</v>
      </c>
      <c r="H46" s="6">
        <v>0</v>
      </c>
    </row>
    <row r="47" spans="1:8" x14ac:dyDescent="0.25">
      <c r="B47" s="4"/>
      <c r="C47" s="4"/>
      <c r="F47" s="7">
        <v>500</v>
      </c>
      <c r="G47" s="4">
        <f>G48</f>
        <v>1.0603691805584388</v>
      </c>
      <c r="H47" s="4">
        <f t="shared" ref="H47:H56" si="5">IF($H$46=1,1,1/G47)</f>
        <v>0.94306777142782894</v>
      </c>
    </row>
    <row r="48" spans="1:8" x14ac:dyDescent="0.25">
      <c r="B48" s="4"/>
      <c r="C48" s="4"/>
      <c r="F48" s="3">
        <v>1000</v>
      </c>
      <c r="G48" s="4">
        <v>1.0603691805584388</v>
      </c>
      <c r="H48" s="4">
        <f t="shared" si="5"/>
        <v>0.94306777142782894</v>
      </c>
    </row>
    <row r="49" spans="2:8" x14ac:dyDescent="0.25">
      <c r="B49" s="4"/>
      <c r="C49" s="4"/>
      <c r="F49" s="3">
        <v>1500</v>
      </c>
      <c r="G49" s="4">
        <v>1.040202927998809</v>
      </c>
      <c r="H49" s="4">
        <f t="shared" si="5"/>
        <v>0.96135087979789358</v>
      </c>
    </row>
    <row r="50" spans="2:8" x14ac:dyDescent="0.25">
      <c r="B50" s="4"/>
      <c r="C50" s="4"/>
      <c r="F50" s="3">
        <v>2000</v>
      </c>
      <c r="G50" s="4">
        <v>1.0403647643547909</v>
      </c>
      <c r="H50" s="4">
        <f t="shared" si="5"/>
        <v>0.96120133463014379</v>
      </c>
    </row>
    <row r="51" spans="2:8" x14ac:dyDescent="0.25">
      <c r="F51" s="3">
        <v>2500</v>
      </c>
      <c r="G51" s="4">
        <v>1.0438474099571873</v>
      </c>
      <c r="H51" s="4">
        <f t="shared" si="5"/>
        <v>0.95799442568048754</v>
      </c>
    </row>
    <row r="52" spans="2:8" x14ac:dyDescent="0.25">
      <c r="F52" s="3">
        <v>3000</v>
      </c>
      <c r="G52" s="4">
        <v>1.0612917031180698</v>
      </c>
      <c r="H52" s="4">
        <f t="shared" si="5"/>
        <v>0.94224801443562123</v>
      </c>
    </row>
    <row r="53" spans="2:8" x14ac:dyDescent="0.25">
      <c r="F53" s="3">
        <v>3500</v>
      </c>
      <c r="G53" s="4">
        <v>0.9832733197488901</v>
      </c>
      <c r="H53" s="4">
        <f t="shared" si="5"/>
        <v>1.0170112215140563</v>
      </c>
    </row>
    <row r="54" spans="2:8" x14ac:dyDescent="0.25">
      <c r="F54" s="3">
        <v>4000</v>
      </c>
      <c r="G54" s="4">
        <v>1.1100026488371324</v>
      </c>
      <c r="H54" s="4">
        <f t="shared" si="5"/>
        <v>0.90089875105039252</v>
      </c>
    </row>
    <row r="55" spans="2:8" x14ac:dyDescent="0.25">
      <c r="F55" s="3">
        <v>4500</v>
      </c>
      <c r="G55" s="4">
        <f>G54</f>
        <v>1.1100026488371324</v>
      </c>
      <c r="H55" s="4">
        <f t="shared" si="5"/>
        <v>0.90089875105039252</v>
      </c>
    </row>
    <row r="56" spans="2:8" x14ac:dyDescent="0.25">
      <c r="F56" s="3">
        <v>5000</v>
      </c>
      <c r="G56" s="4">
        <f>G54</f>
        <v>1.1100026488371324</v>
      </c>
      <c r="H56" s="4">
        <f t="shared" si="5"/>
        <v>0.90089875105039252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BF9E1-362D-47C7-A6F4-00431A022538}">
  <dimension ref="A3:F32"/>
  <sheetViews>
    <sheetView workbookViewId="0">
      <selection activeCell="E4" sqref="E4:F15"/>
      <pivotSelection pane="bottomRight" showHeader="1" extendable="1" axis="axisRow" max="13" activeRow="3" activeCol="4" previousRow="14" previousCol="4" click="1" r:id="rId2">
        <pivotArea dataOnly="0" axis="axisRow" fieldPosition="0">
          <references count="1">
            <reference field="26" count="1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Selection>
    </sheetView>
  </sheetViews>
  <sheetFormatPr defaultRowHeight="15" x14ac:dyDescent="0.25"/>
  <cols>
    <col min="1" max="1" width="13.140625" bestFit="1" customWidth="1"/>
    <col min="2" max="2" width="25.140625" bestFit="1" customWidth="1"/>
    <col min="5" max="5" width="13.140625" bestFit="1" customWidth="1"/>
    <col min="6" max="6" width="25.140625" bestFit="1" customWidth="1"/>
    <col min="7" max="7" width="24" bestFit="1" customWidth="1"/>
  </cols>
  <sheetData>
    <row r="3" spans="1:6" x14ac:dyDescent="0.25">
      <c r="A3" s="2" t="s">
        <v>111</v>
      </c>
      <c r="B3" t="s">
        <v>113</v>
      </c>
      <c r="E3" s="2" t="s">
        <v>111</v>
      </c>
      <c r="F3" t="s">
        <v>113</v>
      </c>
    </row>
    <row r="4" spans="1:6" x14ac:dyDescent="0.25">
      <c r="A4" s="3" t="s">
        <v>65</v>
      </c>
      <c r="B4">
        <v>1.0125161579275814</v>
      </c>
      <c r="E4" s="3">
        <v>0</v>
      </c>
      <c r="F4">
        <v>1.0622888448938705</v>
      </c>
    </row>
    <row r="5" spans="1:6" x14ac:dyDescent="0.25">
      <c r="A5" s="3" t="s">
        <v>62</v>
      </c>
      <c r="B5">
        <v>1.0604963469219657</v>
      </c>
      <c r="E5" s="3">
        <v>10</v>
      </c>
      <c r="F5">
        <v>1.0570604776507702</v>
      </c>
    </row>
    <row r="6" spans="1:6" x14ac:dyDescent="0.25">
      <c r="A6" s="3" t="s">
        <v>80</v>
      </c>
      <c r="B6">
        <v>1.0319533977683324</v>
      </c>
      <c r="E6" s="3">
        <v>20</v>
      </c>
      <c r="F6">
        <v>1.0337253496807404</v>
      </c>
    </row>
    <row r="7" spans="1:6" x14ac:dyDescent="0.25">
      <c r="A7" s="3" t="s">
        <v>83</v>
      </c>
      <c r="B7">
        <v>1.0381030212146241</v>
      </c>
      <c r="E7" s="3">
        <v>30</v>
      </c>
      <c r="F7">
        <v>1.0162826644725267</v>
      </c>
    </row>
    <row r="8" spans="1:6" x14ac:dyDescent="0.25">
      <c r="A8" s="3" t="s">
        <v>70</v>
      </c>
      <c r="B8">
        <v>1.0195785476267993</v>
      </c>
      <c r="E8" s="3">
        <v>40</v>
      </c>
      <c r="F8">
        <v>1.0200763442231973</v>
      </c>
    </row>
    <row r="9" spans="1:6" x14ac:dyDescent="0.25">
      <c r="A9" s="3" t="s">
        <v>64</v>
      </c>
      <c r="B9">
        <v>1.0530689863493761</v>
      </c>
      <c r="E9" s="3">
        <v>50</v>
      </c>
      <c r="F9">
        <v>1.012972111550192</v>
      </c>
    </row>
    <row r="10" spans="1:6" x14ac:dyDescent="0.25">
      <c r="A10" s="3" t="s">
        <v>56</v>
      </c>
      <c r="B10">
        <v>1.3082558022309549</v>
      </c>
      <c r="E10" s="3">
        <v>60</v>
      </c>
      <c r="F10">
        <v>1.049663566329571</v>
      </c>
    </row>
    <row r="11" spans="1:6" x14ac:dyDescent="0.25">
      <c r="A11" s="3" t="s">
        <v>72</v>
      </c>
      <c r="B11">
        <v>0.99999993164666134</v>
      </c>
      <c r="E11" s="3">
        <v>70</v>
      </c>
      <c r="F11">
        <v>1.0053065982862928</v>
      </c>
    </row>
    <row r="12" spans="1:6" x14ac:dyDescent="0.25">
      <c r="A12" s="3" t="s">
        <v>112</v>
      </c>
      <c r="B12">
        <v>1.0438882197832218</v>
      </c>
      <c r="E12" s="3">
        <v>80</v>
      </c>
      <c r="F12">
        <v>1.0125222990220408</v>
      </c>
    </row>
    <row r="13" spans="1:6" x14ac:dyDescent="0.25">
      <c r="E13" s="3">
        <v>90</v>
      </c>
      <c r="F13">
        <v>1.0620023517435699</v>
      </c>
    </row>
    <row r="14" spans="1:6" x14ac:dyDescent="0.25">
      <c r="E14" s="3">
        <v>100</v>
      </c>
      <c r="F14">
        <v>1.0499272774819288</v>
      </c>
    </row>
    <row r="15" spans="1:6" x14ac:dyDescent="0.25">
      <c r="A15" s="2" t="s">
        <v>111</v>
      </c>
      <c r="B15" t="s">
        <v>113</v>
      </c>
      <c r="E15" s="3">
        <v>110</v>
      </c>
      <c r="F15">
        <v>1.0839493120404828</v>
      </c>
    </row>
    <row r="16" spans="1:6" x14ac:dyDescent="0.25">
      <c r="A16" s="3" t="s">
        <v>69</v>
      </c>
      <c r="B16">
        <v>1.0365994666626777</v>
      </c>
      <c r="E16" s="3" t="s">
        <v>112</v>
      </c>
      <c r="F16">
        <v>1.0438882197832215</v>
      </c>
    </row>
    <row r="17" spans="1:2" x14ac:dyDescent="0.25">
      <c r="A17" s="3" t="s">
        <v>57</v>
      </c>
      <c r="B17">
        <v>1.05990671855216</v>
      </c>
    </row>
    <row r="18" spans="1:2" x14ac:dyDescent="0.25">
      <c r="A18" s="3" t="s">
        <v>78</v>
      </c>
      <c r="B18">
        <v>1.0292108612457109</v>
      </c>
    </row>
    <row r="19" spans="1:2" x14ac:dyDescent="0.25">
      <c r="A19" s="3" t="s">
        <v>67</v>
      </c>
      <c r="B19">
        <v>1.0268656427402056</v>
      </c>
    </row>
    <row r="20" spans="1:2" x14ac:dyDescent="0.25">
      <c r="A20" s="3" t="s">
        <v>66</v>
      </c>
      <c r="B20">
        <v>1.0345383072545475</v>
      </c>
    </row>
    <row r="21" spans="1:2" x14ac:dyDescent="0.25">
      <c r="A21" s="3" t="s">
        <v>112</v>
      </c>
      <c r="B21">
        <v>1.0438882197832213</v>
      </c>
    </row>
    <row r="24" spans="1:2" x14ac:dyDescent="0.25">
      <c r="A24" s="2" t="s">
        <v>111</v>
      </c>
      <c r="B24" t="s">
        <v>113</v>
      </c>
    </row>
    <row r="25" spans="1:2" x14ac:dyDescent="0.25">
      <c r="A25" s="3">
        <v>1000</v>
      </c>
      <c r="B25">
        <v>1.0603691805584388</v>
      </c>
    </row>
    <row r="26" spans="1:2" x14ac:dyDescent="0.25">
      <c r="A26" s="3">
        <v>1500</v>
      </c>
      <c r="B26">
        <v>1.040202927998809</v>
      </c>
    </row>
    <row r="27" spans="1:2" x14ac:dyDescent="0.25">
      <c r="A27" s="3">
        <v>2000</v>
      </c>
      <c r="B27">
        <v>1.0403647643547909</v>
      </c>
    </row>
    <row r="28" spans="1:2" x14ac:dyDescent="0.25">
      <c r="A28" s="3">
        <v>2500</v>
      </c>
      <c r="B28">
        <v>1.0438474099571873</v>
      </c>
    </row>
    <row r="29" spans="1:2" x14ac:dyDescent="0.25">
      <c r="A29" s="3">
        <v>3000</v>
      </c>
      <c r="B29">
        <v>1.0612917031180698</v>
      </c>
    </row>
    <row r="30" spans="1:2" x14ac:dyDescent="0.25">
      <c r="A30" s="3">
        <v>3500</v>
      </c>
      <c r="B30">
        <v>0.9832733197488901</v>
      </c>
    </row>
    <row r="31" spans="1:2" x14ac:dyDescent="0.25">
      <c r="A31" s="3">
        <v>4000</v>
      </c>
      <c r="B31">
        <v>1.1100026488371324</v>
      </c>
    </row>
    <row r="32" spans="1:2" x14ac:dyDescent="0.25">
      <c r="A32" s="3" t="s">
        <v>112</v>
      </c>
      <c r="B32">
        <v>1.0438882197832215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D0E08-9E04-45F3-A664-A0F035789C60}">
  <dimension ref="A1:CH2872"/>
  <sheetViews>
    <sheetView topLeftCell="BQ2843" workbookViewId="0">
      <selection activeCell="CM2864" sqref="CM2864"/>
    </sheetView>
  </sheetViews>
  <sheetFormatPr defaultRowHeight="15" x14ac:dyDescent="0.25"/>
  <cols>
    <col min="1" max="1" width="12" bestFit="1" customWidth="1"/>
    <col min="2" max="2" width="12.85546875" customWidth="1"/>
    <col min="3" max="3" width="11.7109375" customWidth="1"/>
    <col min="4" max="4" width="19.5703125" customWidth="1"/>
    <col min="6" max="6" width="12.5703125" customWidth="1"/>
    <col min="7" max="7" width="13.85546875" customWidth="1"/>
    <col min="8" max="8" width="12.28515625" customWidth="1"/>
    <col min="9" max="9" width="11.5703125" customWidth="1"/>
    <col min="10" max="10" width="12" customWidth="1"/>
    <col min="11" max="12" width="14.140625" customWidth="1"/>
    <col min="13" max="13" width="19.140625" customWidth="1"/>
    <col min="14" max="14" width="13.85546875" customWidth="1"/>
    <col min="15" max="15" width="13.28515625" customWidth="1"/>
    <col min="18" max="18" width="14.140625" customWidth="1"/>
    <col min="19" max="19" width="12.28515625" customWidth="1"/>
    <col min="20" max="20" width="14.140625" customWidth="1"/>
    <col min="21" max="21" width="9.28515625" customWidth="1"/>
    <col min="22" max="22" width="11.5703125" customWidth="1"/>
    <col min="23" max="23" width="14.140625" customWidth="1"/>
    <col min="24" max="24" width="16.42578125" customWidth="1"/>
    <col min="25" max="25" width="10" customWidth="1"/>
    <col min="27" max="27" width="9.5703125" customWidth="1"/>
    <col min="28" max="28" width="18.85546875" customWidth="1"/>
    <col min="29" max="29" width="12.85546875" customWidth="1"/>
    <col min="30" max="30" width="12.5703125" customWidth="1"/>
    <col min="31" max="32" width="13.5703125" customWidth="1"/>
    <col min="33" max="33" width="11.140625" customWidth="1"/>
    <col min="34" max="35" width="13.5703125" customWidth="1"/>
    <col min="36" max="36" width="13.42578125" customWidth="1"/>
    <col min="37" max="37" width="9.7109375" customWidth="1"/>
    <col min="38" max="38" width="13.140625" customWidth="1"/>
    <col min="42" max="42" width="19.140625" customWidth="1"/>
    <col min="44" max="44" width="11" customWidth="1"/>
    <col min="45" max="45" width="9.5703125" customWidth="1"/>
    <col min="46" max="46" width="9.85546875" customWidth="1"/>
    <col min="47" max="47" width="12.140625" customWidth="1"/>
    <col min="48" max="48" width="11.7109375" customWidth="1"/>
    <col min="50" max="50" width="17.140625" customWidth="1"/>
    <col min="51" max="51" width="12.85546875" customWidth="1"/>
    <col min="52" max="55" width="18" customWidth="1"/>
    <col min="56" max="59" width="15.28515625" customWidth="1"/>
    <col min="60" max="60" width="12.85546875" customWidth="1"/>
    <col min="61" max="61" width="11.28515625" customWidth="1"/>
    <col min="62" max="62" width="20" customWidth="1"/>
    <col min="63" max="64" width="22.28515625" customWidth="1"/>
    <col min="65" max="65" width="18.42578125" customWidth="1"/>
    <col min="66" max="66" width="17" customWidth="1"/>
    <col min="67" max="67" width="19.28515625" customWidth="1"/>
    <col min="68" max="68" width="25" customWidth="1"/>
    <col min="69" max="69" width="19" customWidth="1"/>
    <col min="70" max="71" width="9.85546875" customWidth="1"/>
    <col min="72" max="72" width="10.7109375" customWidth="1"/>
    <col min="73" max="73" width="11.140625" customWidth="1"/>
    <col min="74" max="74" width="13.28515625" customWidth="1"/>
    <col min="75" max="76" width="10.28515625" customWidth="1"/>
    <col min="77" max="78" width="9.5703125" customWidth="1"/>
    <col min="79" max="79" width="12" customWidth="1"/>
    <col min="80" max="80" width="11.140625" customWidth="1"/>
    <col min="81" max="81" width="10.85546875" customWidth="1"/>
    <col min="82" max="82" width="11.5703125" customWidth="1"/>
    <col min="83" max="83" width="12.28515625" customWidth="1"/>
    <col min="86" max="86" width="9.7109375" bestFit="1" customWidth="1"/>
  </cols>
  <sheetData>
    <row r="1" spans="1:8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149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165</v>
      </c>
      <c r="AG1" t="s">
        <v>30</v>
      </c>
      <c r="AH1" t="s">
        <v>31</v>
      </c>
      <c r="AI1" t="s">
        <v>166</v>
      </c>
      <c r="AJ1" t="s">
        <v>167</v>
      </c>
      <c r="AK1" t="s">
        <v>33</v>
      </c>
      <c r="AL1" t="s">
        <v>34</v>
      </c>
      <c r="AM1" t="s">
        <v>35</v>
      </c>
      <c r="AN1" t="s">
        <v>168</v>
      </c>
      <c r="AO1" t="s">
        <v>169</v>
      </c>
      <c r="AP1" t="s">
        <v>36</v>
      </c>
      <c r="AQ1" t="s">
        <v>37</v>
      </c>
      <c r="AR1" t="s">
        <v>38</v>
      </c>
      <c r="AS1" t="s">
        <v>39</v>
      </c>
      <c r="AT1" t="s">
        <v>40</v>
      </c>
      <c r="AU1" t="s">
        <v>41</v>
      </c>
      <c r="AV1" t="s">
        <v>42</v>
      </c>
      <c r="AW1" t="s">
        <v>43</v>
      </c>
      <c r="AX1" t="s">
        <v>44</v>
      </c>
      <c r="AY1" t="s">
        <v>45</v>
      </c>
      <c r="AZ1" t="s">
        <v>46</v>
      </c>
      <c r="BA1" t="s">
        <v>170</v>
      </c>
      <c r="BB1" t="s">
        <v>171</v>
      </c>
      <c r="BC1" t="s">
        <v>172</v>
      </c>
      <c r="BD1" t="s">
        <v>47</v>
      </c>
      <c r="BE1" t="s">
        <v>173</v>
      </c>
      <c r="BF1" t="s">
        <v>178</v>
      </c>
      <c r="BG1" t="s">
        <v>179</v>
      </c>
      <c r="BH1" t="s">
        <v>108</v>
      </c>
      <c r="BI1" t="s">
        <v>92</v>
      </c>
      <c r="BJ1" t="s">
        <v>99</v>
      </c>
      <c r="BK1" t="s">
        <v>100</v>
      </c>
      <c r="BL1" t="s">
        <v>164</v>
      </c>
      <c r="BM1" t="s">
        <v>163</v>
      </c>
      <c r="BN1" t="s">
        <v>101</v>
      </c>
      <c r="BO1" t="s">
        <v>102</v>
      </c>
      <c r="BP1" t="s">
        <v>103</v>
      </c>
      <c r="BQ1" t="s">
        <v>174</v>
      </c>
      <c r="BR1" t="s">
        <v>147</v>
      </c>
      <c r="BS1" t="s">
        <v>176</v>
      </c>
      <c r="BT1" t="s">
        <v>126</v>
      </c>
      <c r="BU1" t="s">
        <v>127</v>
      </c>
      <c r="BV1" t="s">
        <v>117</v>
      </c>
      <c r="BW1" t="s">
        <v>118</v>
      </c>
      <c r="BX1" t="s">
        <v>177</v>
      </c>
      <c r="BY1" t="s">
        <v>148</v>
      </c>
      <c r="BZ1" t="s">
        <v>175</v>
      </c>
      <c r="CA1" t="s">
        <v>119</v>
      </c>
      <c r="CB1" t="s">
        <v>145</v>
      </c>
      <c r="CC1" t="s">
        <v>146</v>
      </c>
      <c r="CD1" t="s">
        <v>120</v>
      </c>
      <c r="CE1" t="s">
        <v>121</v>
      </c>
      <c r="CG1">
        <v>401</v>
      </c>
      <c r="CH1" s="1">
        <v>45179</v>
      </c>
    </row>
    <row r="2" spans="1:86" x14ac:dyDescent="0.25">
      <c r="A2">
        <v>23090432013</v>
      </c>
      <c r="B2">
        <v>1.42</v>
      </c>
      <c r="C2">
        <v>62041</v>
      </c>
      <c r="D2" t="s">
        <v>129</v>
      </c>
      <c r="E2" t="s">
        <v>53</v>
      </c>
      <c r="F2" t="s">
        <v>53</v>
      </c>
      <c r="G2">
        <v>4</v>
      </c>
      <c r="H2" t="s">
        <v>54</v>
      </c>
      <c r="I2">
        <v>162800</v>
      </c>
      <c r="J2">
        <v>38500</v>
      </c>
      <c r="K2">
        <v>1.42</v>
      </c>
      <c r="L2">
        <f>IF(Grandview_Inventory[[#This Row],[parcel_acres]]-Grandview_Inventory[[#This Row],[non_valued_acres]] =0,0,LN(Grandview_Inventory[[#This Row],[parcel_acres]]-Grandview_Inventory[[#This Row],[non_valued_acres]]))</f>
        <v>0.35065687161316933</v>
      </c>
      <c r="M2">
        <v>0</v>
      </c>
      <c r="N2">
        <v>0</v>
      </c>
      <c r="O2">
        <v>0</v>
      </c>
      <c r="P2">
        <v>13398.7528</v>
      </c>
      <c r="Q2">
        <v>63903</v>
      </c>
      <c r="R2">
        <f>(Grandview_Inventory[[#This Row],[ln_acres]]*Grandview_Inventory[[#This Row],[coeff]])+Grandview_Inventory[[#This Row],[const]]</f>
        <v>68601.364740366189</v>
      </c>
      <c r="S2" t="s">
        <v>68</v>
      </c>
      <c r="T2">
        <v>1</v>
      </c>
      <c r="U2" t="s">
        <v>80</v>
      </c>
      <c r="V2" t="s">
        <v>69</v>
      </c>
      <c r="W2">
        <v>0</v>
      </c>
      <c r="X2">
        <v>0</v>
      </c>
      <c r="Y2">
        <v>51</v>
      </c>
      <c r="Z2">
        <v>78</v>
      </c>
      <c r="AA2">
        <v>80</v>
      </c>
      <c r="AB2">
        <v>1500</v>
      </c>
      <c r="AC2">
        <v>1364</v>
      </c>
      <c r="AD2">
        <v>1364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73</v>
      </c>
      <c r="AM2">
        <v>0</v>
      </c>
      <c r="AN2">
        <v>64</v>
      </c>
      <c r="AO2">
        <v>0</v>
      </c>
      <c r="AP2">
        <v>5</v>
      </c>
      <c r="AQ2">
        <v>0</v>
      </c>
      <c r="AR2">
        <v>0</v>
      </c>
      <c r="AS2" t="s">
        <v>71</v>
      </c>
      <c r="AT2">
        <v>0</v>
      </c>
      <c r="AU2" t="s">
        <v>82</v>
      </c>
      <c r="AV2" t="s">
        <v>135</v>
      </c>
      <c r="AW2">
        <v>0</v>
      </c>
      <c r="AX2">
        <v>2</v>
      </c>
      <c r="AY2">
        <v>0</v>
      </c>
      <c r="AZ2">
        <v>0</v>
      </c>
      <c r="BA2">
        <v>100</v>
      </c>
      <c r="BB2">
        <v>100</v>
      </c>
      <c r="BC2">
        <v>100</v>
      </c>
      <c r="BD2">
        <v>100</v>
      </c>
      <c r="BE2">
        <v>1</v>
      </c>
      <c r="BF2">
        <v>15000</v>
      </c>
      <c r="BG2">
        <v>1000</v>
      </c>
      <c r="BH2" s="6">
        <f>Grandview_Inventory[[#This Row],[land_extract]]*Lookups!$B$3</f>
        <v>79666.579649302454</v>
      </c>
      <c r="BI2" s="6">
        <f>IF(Grandview_Inventory[[#This Row],[bldg_style]]="",0,Lookups!$B$2)</f>
        <v>155833.95000000001</v>
      </c>
      <c r="BJ2" s="6">
        <f>_xlfn.IFNA(VLOOKUP(Grandview_Inventory[[#This Row],[quality]],Lookups!$H$2:$J$14,3,FALSE),0)</f>
        <v>-28558</v>
      </c>
      <c r="BK2" s="6">
        <f>_xlfn.IFNA(VLOOKUP(Grandview_Inventory[[#This Row],[condition]],Lookups!$H$17:$J$24,3,FALSE),0)</f>
        <v>-4503</v>
      </c>
      <c r="BL2" s="6">
        <f>Grandview_Inventory[[#This Row],[Eff_Age]]*Lookups!$B$14</f>
        <v>-12197.496599999999</v>
      </c>
      <c r="BM2" s="6">
        <f>Grandview_Inventory[[#This Row],[living_area]]*Lookups!$B$15</f>
        <v>85087.483491999999</v>
      </c>
      <c r="BN2" s="6">
        <f>Grandview_Inventory[[#This Row],[Fin BSMT]]*Lookups!$B$16</f>
        <v>0</v>
      </c>
      <c r="BO2" s="6">
        <f>(Grandview_Inventory[[#This Row],[att_gar]]+Grandview_Inventory[[#This Row],[bltin_gar]])*Lookups!$B$17</f>
        <v>0</v>
      </c>
      <c r="BP2" s="6">
        <f>Grandview_Inventory[[#This Row],[Plumbing Fixtures]]*Lookups!$B$18</f>
        <v>10052.209000000001</v>
      </c>
      <c r="BQ2" s="6">
        <f>Grandview_Inventory[[#This Row],[detatched_value]]*Lookups!$B$19</f>
        <v>0</v>
      </c>
      <c r="BR2" s="6">
        <f>SUM(Grandview_Inventory[[#This Row],[Intercept]:[det_value]])*Grandview_Inventory[[#This Row],[res_pct]]</f>
        <v>205715.14589200003</v>
      </c>
      <c r="BS2" s="6">
        <f>Grandview_Inventory[[#This Row],[land_value]]</f>
        <v>79666.579649302454</v>
      </c>
      <c r="BT2" s="4">
        <f>_xlfn.IFNA(VLOOKUP(Grandview_Inventory[[#This Row],[quality]],Lookups!$A$26:$C$33,3,FALSE),1)</f>
        <v>0.9690360070159818</v>
      </c>
      <c r="BU2" s="4">
        <f>_xlfn.IFNA(VLOOKUP(Grandview_Inventory[[#This Row],[condition]],Lookups!$A$37:$C$44,3,FALSE),1)</f>
        <v>0.96469275950863709</v>
      </c>
      <c r="BV2" s="4">
        <f>IF(Grandview_Inventory[[#This Row],[bldg_style]]="",1,_xlfn.IFNA(VLOOKUP(Grandview_Inventory[[#This Row],[decade]],Lookups!$F$29:$H$43,3,FALSE),1))</f>
        <v>0.98763256963907298</v>
      </c>
      <c r="BW2" s="4">
        <f>_xlfn.IFNA(VLOOKUP(Grandview_Inventory[[#This Row],[living_area_range]],Lookups!$F$47:$H$56,3,FALSE),1)</f>
        <v>0.96135087979789358</v>
      </c>
      <c r="BX2" s="4">
        <f>AVERAGE(Grandview_Inventory[[#This Row],[qual_adj]:[size_adj]])</f>
        <v>0.97067805399039631</v>
      </c>
      <c r="BY2" s="6">
        <f>IF(Grandview_Inventory[[#This Row],[pre_res]]&lt;0,0,Grandview_Inventory[[#This Row],[pre_res]]*Grandview_Inventory[[#This Row],[overall_adj]])</f>
        <v>199683.17749079707</v>
      </c>
      <c r="BZ2" s="6">
        <f>(Grandview_Inventory[[#This Row],[sum_land]]-IF(Grandview_Inventory[[#This Row],[no_utilities]]=1,12000,0))/IF(Grandview_Inventory[[#This Row],[unbuildable]]=1,2,1)</f>
        <v>79666.579649302454</v>
      </c>
      <c r="CA2">
        <f>IF(ROUND(Grandview_Inventory[[#This Row],[adj_land]]*Lookups!$M$28,-2)&lt;Grandview_Inventory[[#This Row],[min_land]],Grandview_Inventory[[#This Row],[min_land]],ROUND(Grandview_Inventory[[#This Row],[adj_land]]*Lookups!$M$28,-2))</f>
        <v>75700</v>
      </c>
      <c r="CB2">
        <f>ROUND(Grandview_Inventory[[#This Row],[det_value]]*Lookups!$M$28,-2)</f>
        <v>0</v>
      </c>
      <c r="CC2">
        <f>IF(ROUND(Grandview_Inventory[[#This Row],[adj_res]]*Lookups!$M$28,-2)&lt;Grandview_Inventory[[#This Row],[min_res]],Grandview_Inventory[[#This Row],[min_res]],ROUND(Grandview_Inventory[[#This Row],[adj_res]]*Lookups!$M$28,-2))</f>
        <v>189700</v>
      </c>
      <c r="CD2">
        <f>Grandview_Inventory[[#This Row],[final_det]]+Grandview_Inventory[[#This Row],[final_res]]</f>
        <v>189700</v>
      </c>
      <c r="CE2">
        <f>Grandview_Inventory[[#This Row],[final_land]]+Grandview_Inventory[[#This Row],[final_imp]]+Grandview_Inventory[[#This Row],[crop_value]]</f>
        <v>265400</v>
      </c>
      <c r="CG2" t="str">
        <f>"update valuation set market_land ="&amp;CA2&amp;", market_bldg="&amp;CD2&amp;", market_total ="&amp;CE2&amp;", market_mdno ="&amp;$CG$1&amp;", market_date ='"&amp;TEXT($CH$1,"m/d/yyyy")&amp;"' where link_id = (select link_id from parcel where parcel_year = '2024' and parcel_id = '"&amp;A2&amp;"');"</f>
        <v>update valuation set market_land =75700, market_bldg=189700, market_total =265400, market_mdno =401, market_date ='9/10/2023' where link_id = (select link_id from parcel where parcel_year = '2024' and parcel_id = '23090432013');</v>
      </c>
    </row>
    <row r="3" spans="1:86" x14ac:dyDescent="0.25">
      <c r="A3">
        <v>23090911402</v>
      </c>
      <c r="B3">
        <v>2</v>
      </c>
      <c r="C3" t="s">
        <v>129</v>
      </c>
      <c r="D3" t="s">
        <v>129</v>
      </c>
      <c r="E3" t="s">
        <v>53</v>
      </c>
      <c r="F3" t="s">
        <v>53</v>
      </c>
      <c r="G3">
        <v>4</v>
      </c>
      <c r="H3" t="s">
        <v>54</v>
      </c>
      <c r="I3">
        <v>224300</v>
      </c>
      <c r="J3">
        <v>39900</v>
      </c>
      <c r="K3">
        <v>2</v>
      </c>
      <c r="L3">
        <f>IF(Grandview_Inventory[[#This Row],[parcel_acres]]-Grandview_Inventory[[#This Row],[non_valued_acres]] =0,0,LN(Grandview_Inventory[[#This Row],[parcel_acres]]-Grandview_Inventory[[#This Row],[non_valued_acres]]))</f>
        <v>0.69314718055994529</v>
      </c>
      <c r="M3">
        <v>0</v>
      </c>
      <c r="N3">
        <v>0</v>
      </c>
      <c r="O3">
        <v>0</v>
      </c>
      <c r="P3">
        <v>13398.7528</v>
      </c>
      <c r="Q3">
        <v>63903</v>
      </c>
      <c r="R3">
        <f>(Grandview_Inventory[[#This Row],[ln_acres]]*Grandview_Inventory[[#This Row],[coeff]])+Grandview_Inventory[[#This Row],[const]]</f>
        <v>73190.30772633967</v>
      </c>
      <c r="S3" t="s">
        <v>61</v>
      </c>
      <c r="T3">
        <v>1</v>
      </c>
      <c r="U3" t="s">
        <v>65</v>
      </c>
      <c r="V3" t="s">
        <v>69</v>
      </c>
      <c r="W3">
        <v>0</v>
      </c>
      <c r="X3">
        <v>0</v>
      </c>
      <c r="Y3">
        <v>49</v>
      </c>
      <c r="Z3">
        <v>68</v>
      </c>
      <c r="AA3">
        <v>70</v>
      </c>
      <c r="AB3">
        <v>2000</v>
      </c>
      <c r="AC3">
        <v>1512</v>
      </c>
      <c r="AD3">
        <v>1512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240</v>
      </c>
      <c r="AN3">
        <v>0</v>
      </c>
      <c r="AO3">
        <v>0</v>
      </c>
      <c r="AP3">
        <v>7</v>
      </c>
      <c r="AQ3">
        <v>0</v>
      </c>
      <c r="AR3">
        <v>1</v>
      </c>
      <c r="AS3" t="s">
        <v>76</v>
      </c>
      <c r="AT3">
        <v>1</v>
      </c>
      <c r="AU3" t="s">
        <v>59</v>
      </c>
      <c r="AV3" t="s">
        <v>60</v>
      </c>
      <c r="AW3">
        <v>1</v>
      </c>
      <c r="AX3">
        <v>3</v>
      </c>
      <c r="AY3">
        <v>0</v>
      </c>
      <c r="AZ3">
        <v>4200</v>
      </c>
      <c r="BA3">
        <v>100</v>
      </c>
      <c r="BB3">
        <v>100</v>
      </c>
      <c r="BC3">
        <v>100</v>
      </c>
      <c r="BD3">
        <v>100</v>
      </c>
      <c r="BE3">
        <v>1</v>
      </c>
      <c r="BF3">
        <v>15000</v>
      </c>
      <c r="BG3">
        <v>1000</v>
      </c>
      <c r="BH3" s="6">
        <f>Grandview_Inventory[[#This Row],[land_extract]]*Lookups!$B$3</f>
        <v>84995.706748767392</v>
      </c>
      <c r="BI3" s="6">
        <f>IF(Grandview_Inventory[[#This Row],[bldg_style]]="",0,Lookups!$B$2)</f>
        <v>155833.95000000001</v>
      </c>
      <c r="BJ3" s="6">
        <f>_xlfn.IFNA(VLOOKUP(Grandview_Inventory[[#This Row],[quality]],Lookups!$H$2:$J$14,3,FALSE),0)</f>
        <v>2251</v>
      </c>
      <c r="BK3" s="6">
        <f>_xlfn.IFNA(VLOOKUP(Grandview_Inventory[[#This Row],[condition]],Lookups!$H$17:$J$24,3,FALSE),0)</f>
        <v>-4503</v>
      </c>
      <c r="BL3" s="6">
        <f>Grandview_Inventory[[#This Row],[Eff_Age]]*Lookups!$B$14</f>
        <v>-11719.163399999999</v>
      </c>
      <c r="BM3" s="6">
        <f>Grandview_Inventory[[#This Row],[living_area]]*Lookups!$B$15</f>
        <v>94319.849736000004</v>
      </c>
      <c r="BN3" s="6">
        <f>Grandview_Inventory[[#This Row],[Fin BSMT]]*Lookups!$B$16</f>
        <v>0</v>
      </c>
      <c r="BO3" s="6">
        <f>(Grandview_Inventory[[#This Row],[att_gar]]+Grandview_Inventory[[#This Row],[bltin_gar]])*Lookups!$B$17</f>
        <v>0</v>
      </c>
      <c r="BP3" s="6">
        <f>Grandview_Inventory[[#This Row],[Plumbing Fixtures]]*Lookups!$B$18</f>
        <v>14073.0926</v>
      </c>
      <c r="BQ3" s="6">
        <f>Grandview_Inventory[[#This Row],[detatched_value]]*Lookups!$B$19</f>
        <v>3556.58142</v>
      </c>
      <c r="BR3" s="6">
        <f>SUM(Grandview_Inventory[[#This Row],[Intercept]:[det_value]])*Grandview_Inventory[[#This Row],[res_pct]]</f>
        <v>253812.31035600003</v>
      </c>
      <c r="BS3" s="6">
        <f>Grandview_Inventory[[#This Row],[land_value]]</f>
        <v>84995.706748767392</v>
      </c>
      <c r="BT3" s="4">
        <f>_xlfn.IFNA(VLOOKUP(Grandview_Inventory[[#This Row],[quality]],Lookups!$A$26:$C$33,3,FALSE),1)</f>
        <v>0.98763855981004833</v>
      </c>
      <c r="BU3" s="4">
        <f>_xlfn.IFNA(VLOOKUP(Grandview_Inventory[[#This Row],[condition]],Lookups!$A$37:$C$44,3,FALSE),1)</f>
        <v>0.96469275950863709</v>
      </c>
      <c r="BV3" s="4">
        <f>IF(Grandview_Inventory[[#This Row],[bldg_style]]="",1,_xlfn.IFNA(VLOOKUP(Grandview_Inventory[[#This Row],[decade]],Lookups!$F$29:$H$43,3,FALSE),1))</f>
        <v>0.99472141305414818</v>
      </c>
      <c r="BW3" s="4">
        <f>_xlfn.IFNA(VLOOKUP(Grandview_Inventory[[#This Row],[living_area_range]],Lookups!$F$47:$H$56,3,FALSE),1)</f>
        <v>0.96120133463014379</v>
      </c>
      <c r="BX3" s="4">
        <f>AVERAGE(Grandview_Inventory[[#This Row],[qual_adj]:[size_adj]])</f>
        <v>0.97706351675074443</v>
      </c>
      <c r="BY3" s="6">
        <f>IF(Grandview_Inventory[[#This Row],[pre_res]]&lt;0,0,Grandview_Inventory[[#This Row],[pre_res]]*Grandview_Inventory[[#This Row],[overall_adj]])</f>
        <v>247990.74855106478</v>
      </c>
      <c r="BZ3" s="6">
        <f>(Grandview_Inventory[[#This Row],[sum_land]]-IF(Grandview_Inventory[[#This Row],[no_utilities]]=1,12000,0))/IF(Grandview_Inventory[[#This Row],[unbuildable]]=1,2,1)</f>
        <v>84995.706748767392</v>
      </c>
      <c r="CA3">
        <f>IF(ROUND(Grandview_Inventory[[#This Row],[adj_land]]*Lookups!$M$28,-2)&lt;Grandview_Inventory[[#This Row],[min_land]],Grandview_Inventory[[#This Row],[min_land]],ROUND(Grandview_Inventory[[#This Row],[adj_land]]*Lookups!$M$28,-2))</f>
        <v>80700</v>
      </c>
      <c r="CB3">
        <f>ROUND(Grandview_Inventory[[#This Row],[det_value]]*Lookups!$M$28,-2)</f>
        <v>3400</v>
      </c>
      <c r="CC3">
        <f>IF(ROUND(Grandview_Inventory[[#This Row],[adj_res]]*Lookups!$M$28,-2)&lt;Grandview_Inventory[[#This Row],[min_res]],Grandview_Inventory[[#This Row],[min_res]],ROUND(Grandview_Inventory[[#This Row],[adj_res]]*Lookups!$M$28,-2))</f>
        <v>235600</v>
      </c>
      <c r="CD3">
        <f>Grandview_Inventory[[#This Row],[final_det]]+Grandview_Inventory[[#This Row],[final_res]]</f>
        <v>239000</v>
      </c>
      <c r="CE3">
        <f>Grandview_Inventory[[#This Row],[final_land]]+Grandview_Inventory[[#This Row],[final_imp]]+Grandview_Inventory[[#This Row],[crop_value]]</f>
        <v>319700</v>
      </c>
      <c r="CG3" t="str">
        <f t="shared" ref="CG3:CG66" si="0">"update valuation set market_land ="&amp;CA3&amp;", market_bldg="&amp;CD3&amp;", market_total ="&amp;CE3&amp;", market_mdno ="&amp;$CG$1&amp;", market_date ='"&amp;TEXT($CH$1,"m/d/yyyy")&amp;"' where link_id = (select link_id from parcel where parcel_year = '2024' and parcel_id = '"&amp;A3&amp;"');"</f>
        <v>update valuation set market_land =80700, market_bldg=239000, market_total =319700, market_mdno =401, market_date ='9/10/2023' where link_id = (select link_id from parcel where parcel_year = '2024' and parcel_id = '23090911402');</v>
      </c>
    </row>
    <row r="4" spans="1:86" x14ac:dyDescent="0.25">
      <c r="A4">
        <v>23090911404</v>
      </c>
      <c r="B4">
        <v>2.04</v>
      </c>
      <c r="C4">
        <v>88973</v>
      </c>
      <c r="D4" t="s">
        <v>129</v>
      </c>
      <c r="E4" t="s">
        <v>53</v>
      </c>
      <c r="F4" t="s">
        <v>53</v>
      </c>
      <c r="G4">
        <v>4</v>
      </c>
      <c r="H4" t="s">
        <v>54</v>
      </c>
      <c r="I4">
        <v>135100</v>
      </c>
      <c r="J4">
        <v>40000</v>
      </c>
      <c r="K4">
        <v>2.04</v>
      </c>
      <c r="L4">
        <f>IF(Grandview_Inventory[[#This Row],[parcel_acres]]-Grandview_Inventory[[#This Row],[non_valued_acres]] =0,0,LN(Grandview_Inventory[[#This Row],[parcel_acres]]-Grandview_Inventory[[#This Row],[non_valued_acres]]))</f>
        <v>0.71294980785612505</v>
      </c>
      <c r="M4">
        <v>0</v>
      </c>
      <c r="N4">
        <v>0</v>
      </c>
      <c r="O4">
        <v>0</v>
      </c>
      <c r="P4">
        <v>13398.7528</v>
      </c>
      <c r="Q4">
        <v>63903</v>
      </c>
      <c r="R4">
        <f>(Grandview_Inventory[[#This Row],[ln_acres]]*Grandview_Inventory[[#This Row],[coeff]])+Grandview_Inventory[[#This Row],[const]]</f>
        <v>73455.638234271712</v>
      </c>
      <c r="S4" t="s">
        <v>55</v>
      </c>
      <c r="T4">
        <v>2</v>
      </c>
      <c r="U4" t="s">
        <v>80</v>
      </c>
      <c r="V4" t="s">
        <v>78</v>
      </c>
      <c r="W4">
        <v>0</v>
      </c>
      <c r="X4">
        <v>0</v>
      </c>
      <c r="Y4">
        <v>65</v>
      </c>
      <c r="Z4">
        <v>113</v>
      </c>
      <c r="AA4">
        <v>120</v>
      </c>
      <c r="AB4">
        <v>1500</v>
      </c>
      <c r="AC4">
        <v>1196</v>
      </c>
      <c r="AD4">
        <v>872</v>
      </c>
      <c r="AE4">
        <v>324</v>
      </c>
      <c r="AF4">
        <v>0</v>
      </c>
      <c r="AG4">
        <v>0</v>
      </c>
      <c r="AH4">
        <v>0</v>
      </c>
      <c r="AI4">
        <v>483</v>
      </c>
      <c r="AJ4">
        <v>0</v>
      </c>
      <c r="AK4">
        <v>0</v>
      </c>
      <c r="AL4">
        <v>0</v>
      </c>
      <c r="AM4">
        <v>0</v>
      </c>
      <c r="AN4">
        <v>60</v>
      </c>
      <c r="AO4">
        <v>0</v>
      </c>
      <c r="AP4">
        <v>5</v>
      </c>
      <c r="AQ4">
        <v>1</v>
      </c>
      <c r="AR4">
        <v>0</v>
      </c>
      <c r="AS4" t="s">
        <v>71</v>
      </c>
      <c r="AT4">
        <v>1</v>
      </c>
      <c r="AU4" t="s">
        <v>75</v>
      </c>
      <c r="AV4" t="s">
        <v>60</v>
      </c>
      <c r="AW4">
        <v>0</v>
      </c>
      <c r="AX4">
        <v>3</v>
      </c>
      <c r="AY4">
        <v>0</v>
      </c>
      <c r="AZ4">
        <v>0</v>
      </c>
      <c r="BA4">
        <v>100</v>
      </c>
      <c r="BB4">
        <v>100</v>
      </c>
      <c r="BC4">
        <v>100</v>
      </c>
      <c r="BD4">
        <v>100</v>
      </c>
      <c r="BE4">
        <v>1</v>
      </c>
      <c r="BF4">
        <v>15000</v>
      </c>
      <c r="BG4">
        <v>1000</v>
      </c>
      <c r="BH4" s="6">
        <f>Grandview_Inventory[[#This Row],[land_extract]]*Lookups!$B$3</f>
        <v>85303.83435123651</v>
      </c>
      <c r="BI4" s="6">
        <f>IF(Grandview_Inventory[[#This Row],[bldg_style]]="",0,Lookups!$B$2)</f>
        <v>155833.95000000001</v>
      </c>
      <c r="BJ4" s="6">
        <f>_xlfn.IFNA(VLOOKUP(Grandview_Inventory[[#This Row],[quality]],Lookups!$H$2:$J$14,3,FALSE),0)</f>
        <v>-28558</v>
      </c>
      <c r="BK4" s="6">
        <f>_xlfn.IFNA(VLOOKUP(Grandview_Inventory[[#This Row],[condition]],Lookups!$H$17:$J$24,3,FALSE),0)</f>
        <v>-45357</v>
      </c>
      <c r="BL4" s="6">
        <f>Grandview_Inventory[[#This Row],[Eff_Age]]*Lookups!$B$14</f>
        <v>-15545.829</v>
      </c>
      <c r="BM4" s="6">
        <f>Grandview_Inventory[[#This Row],[living_area]]*Lookups!$B$15</f>
        <v>74607.500188000005</v>
      </c>
      <c r="BN4" s="6">
        <f>Grandview_Inventory[[#This Row],[Fin BSMT]]*Lookups!$B$16</f>
        <v>0</v>
      </c>
      <c r="BO4" s="6">
        <f>(Grandview_Inventory[[#This Row],[att_gar]]+Grandview_Inventory[[#This Row],[bltin_gar]])*Lookups!$B$17</f>
        <v>42272.371071000001</v>
      </c>
      <c r="BP4" s="6">
        <f>Grandview_Inventory[[#This Row],[Plumbing Fixtures]]*Lookups!$B$18</f>
        <v>10052.209000000001</v>
      </c>
      <c r="BQ4" s="6">
        <f>Grandview_Inventory[[#This Row],[detatched_value]]*Lookups!$B$19</f>
        <v>0</v>
      </c>
      <c r="BR4" s="6">
        <f>SUM(Grandview_Inventory[[#This Row],[Intercept]:[det_value]])*Grandview_Inventory[[#This Row],[res_pct]]</f>
        <v>193305.20125900002</v>
      </c>
      <c r="BS4" s="6">
        <f>Grandview_Inventory[[#This Row],[land_value]]</f>
        <v>85303.83435123651</v>
      </c>
      <c r="BT4" s="4">
        <f>_xlfn.IFNA(VLOOKUP(Grandview_Inventory[[#This Row],[quality]],Lookups!$A$26:$C$33,3,FALSE),1)</f>
        <v>0.9690360070159818</v>
      </c>
      <c r="BU4" s="4">
        <f>_xlfn.IFNA(VLOOKUP(Grandview_Inventory[[#This Row],[condition]],Lookups!$A$37:$C$44,3,FALSE),1)</f>
        <v>0.97161819570155394</v>
      </c>
      <c r="BV4" s="4">
        <f>IF(Grandview_Inventory[[#This Row],[bldg_style]]="",1,_xlfn.IFNA(VLOOKUP(Grandview_Inventory[[#This Row],[decade]],Lookups!$F$29:$H$43,3,FALSE),1))</f>
        <v>0.9251738460551937</v>
      </c>
      <c r="BW4" s="4">
        <f>_xlfn.IFNA(VLOOKUP(Grandview_Inventory[[#This Row],[living_area_range]],Lookups!$F$47:$H$56,3,FALSE),1)</f>
        <v>0.96135087979789358</v>
      </c>
      <c r="BX4" s="4">
        <f>AVERAGE(Grandview_Inventory[[#This Row],[qual_adj]:[size_adj]])</f>
        <v>0.95679473214265576</v>
      </c>
      <c r="BY4" s="6">
        <f>IF(Grandview_Inventory[[#This Row],[pre_res]]&lt;0,0,Grandview_Inventory[[#This Row],[pre_res]]*Grandview_Inventory[[#This Row],[overall_adj]])</f>
        <v>184953.3982603871</v>
      </c>
      <c r="BZ4" s="6">
        <f>(Grandview_Inventory[[#This Row],[sum_land]]-IF(Grandview_Inventory[[#This Row],[no_utilities]]=1,12000,0))/IF(Grandview_Inventory[[#This Row],[unbuildable]]=1,2,1)</f>
        <v>85303.83435123651</v>
      </c>
      <c r="CA4">
        <f>IF(ROUND(Grandview_Inventory[[#This Row],[adj_land]]*Lookups!$M$28,-2)&lt;Grandview_Inventory[[#This Row],[min_land]],Grandview_Inventory[[#This Row],[min_land]],ROUND(Grandview_Inventory[[#This Row],[adj_land]]*Lookups!$M$28,-2))</f>
        <v>81000</v>
      </c>
      <c r="CB4">
        <f>ROUND(Grandview_Inventory[[#This Row],[det_value]]*Lookups!$M$28,-2)</f>
        <v>0</v>
      </c>
      <c r="CC4">
        <f>IF(ROUND(Grandview_Inventory[[#This Row],[adj_res]]*Lookups!$M$28,-2)&lt;Grandview_Inventory[[#This Row],[min_res]],Grandview_Inventory[[#This Row],[min_res]],ROUND(Grandview_Inventory[[#This Row],[adj_res]]*Lookups!$M$28,-2))</f>
        <v>175700</v>
      </c>
      <c r="CD4">
        <f>Grandview_Inventory[[#This Row],[final_det]]+Grandview_Inventory[[#This Row],[final_res]]</f>
        <v>175700</v>
      </c>
      <c r="CE4">
        <f>Grandview_Inventory[[#This Row],[final_land]]+Grandview_Inventory[[#This Row],[final_imp]]+Grandview_Inventory[[#This Row],[crop_value]]</f>
        <v>256700</v>
      </c>
      <c r="CG4" t="str">
        <f t="shared" si="0"/>
        <v>update valuation set market_land =81000, market_bldg=175700, market_total =256700, market_mdno =401, market_date ='9/10/2023' where link_id = (select link_id from parcel where parcel_year = '2024' and parcel_id = '23090911404');</v>
      </c>
    </row>
    <row r="5" spans="1:86" x14ac:dyDescent="0.25">
      <c r="A5">
        <v>23090914002</v>
      </c>
      <c r="B5">
        <v>0.51</v>
      </c>
      <c r="C5" t="s">
        <v>129</v>
      </c>
      <c r="D5" t="s">
        <v>129</v>
      </c>
      <c r="E5" t="s">
        <v>53</v>
      </c>
      <c r="F5" t="s">
        <v>53</v>
      </c>
      <c r="G5">
        <v>4</v>
      </c>
      <c r="H5" t="s">
        <v>54</v>
      </c>
      <c r="I5">
        <v>153700</v>
      </c>
      <c r="J5">
        <v>34300</v>
      </c>
      <c r="K5">
        <v>0.51</v>
      </c>
      <c r="L5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5">
        <v>0</v>
      </c>
      <c r="N5">
        <v>0</v>
      </c>
      <c r="O5">
        <v>0</v>
      </c>
      <c r="P5">
        <v>13398.7528</v>
      </c>
      <c r="Q5">
        <v>63903</v>
      </c>
      <c r="R5">
        <f>(Grandview_Inventory[[#This Row],[ln_acres]]*Grandview_Inventory[[#This Row],[coeff]])+Grandview_Inventory[[#This Row],[const]]</f>
        <v>54881.022781592372</v>
      </c>
      <c r="S5" t="s">
        <v>55</v>
      </c>
      <c r="T5">
        <v>2</v>
      </c>
      <c r="U5" t="s">
        <v>83</v>
      </c>
      <c r="V5" t="s">
        <v>69</v>
      </c>
      <c r="W5">
        <v>0</v>
      </c>
      <c r="X5">
        <v>0</v>
      </c>
      <c r="Y5">
        <v>65</v>
      </c>
      <c r="Z5">
        <v>113</v>
      </c>
      <c r="AA5">
        <v>120</v>
      </c>
      <c r="AB5">
        <v>1500</v>
      </c>
      <c r="AC5">
        <v>1392</v>
      </c>
      <c r="AD5">
        <v>972</v>
      </c>
      <c r="AE5">
        <v>420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32</v>
      </c>
      <c r="AP5">
        <v>5</v>
      </c>
      <c r="AQ5">
        <v>0</v>
      </c>
      <c r="AR5">
        <v>0</v>
      </c>
      <c r="AS5" t="s">
        <v>58</v>
      </c>
      <c r="AT5">
        <v>1</v>
      </c>
      <c r="AU5" t="s">
        <v>75</v>
      </c>
      <c r="AV5" t="s">
        <v>60</v>
      </c>
      <c r="AW5">
        <v>0</v>
      </c>
      <c r="AX5">
        <v>3</v>
      </c>
      <c r="AY5">
        <v>0</v>
      </c>
      <c r="AZ5">
        <v>900</v>
      </c>
      <c r="BA5">
        <v>100</v>
      </c>
      <c r="BB5">
        <v>100</v>
      </c>
      <c r="BC5">
        <v>100</v>
      </c>
      <c r="BD5">
        <v>100</v>
      </c>
      <c r="BE5">
        <v>1</v>
      </c>
      <c r="BF5">
        <v>15000</v>
      </c>
      <c r="BG5">
        <v>1000</v>
      </c>
      <c r="BH5" s="6">
        <f>Grandview_Inventory[[#This Row],[land_extract]]*Lookups!$B$3</f>
        <v>63733.18357750171</v>
      </c>
      <c r="BI5" s="6">
        <f>IF(Grandview_Inventory[[#This Row],[bldg_style]]="",0,Lookups!$B$2)</f>
        <v>155833.95000000001</v>
      </c>
      <c r="BJ5" s="6">
        <f>_xlfn.IFNA(VLOOKUP(Grandview_Inventory[[#This Row],[quality]],Lookups!$H$2:$J$14,3,FALSE),0)</f>
        <v>-28558</v>
      </c>
      <c r="BK5" s="6">
        <f>_xlfn.IFNA(VLOOKUP(Grandview_Inventory[[#This Row],[condition]],Lookups!$H$17:$J$24,3,FALSE),0)</f>
        <v>-4503</v>
      </c>
      <c r="BL5" s="6">
        <f>Grandview_Inventory[[#This Row],[Eff_Age]]*Lookups!$B$14</f>
        <v>-15545.829</v>
      </c>
      <c r="BM5" s="6">
        <f>Grandview_Inventory[[#This Row],[living_area]]*Lookups!$B$15</f>
        <v>86834.147376000008</v>
      </c>
      <c r="BN5" s="6">
        <f>Grandview_Inventory[[#This Row],[Fin BSMT]]*Lookups!$B$16</f>
        <v>0</v>
      </c>
      <c r="BO5" s="6">
        <f>(Grandview_Inventory[[#This Row],[att_gar]]+Grandview_Inventory[[#This Row],[bltin_gar]])*Lookups!$B$17</f>
        <v>0</v>
      </c>
      <c r="BP5" s="6">
        <f>Grandview_Inventory[[#This Row],[Plumbing Fixtures]]*Lookups!$B$18</f>
        <v>10052.209000000001</v>
      </c>
      <c r="BQ5" s="6">
        <f>Grandview_Inventory[[#This Row],[detatched_value]]*Lookups!$B$19</f>
        <v>762.12459000000001</v>
      </c>
      <c r="BR5" s="6">
        <f>SUM(Grandview_Inventory[[#This Row],[Intercept]:[det_value]])*Grandview_Inventory[[#This Row],[res_pct]]</f>
        <v>204875.60196600002</v>
      </c>
      <c r="BS5" s="6">
        <f>Grandview_Inventory[[#This Row],[land_value]]</f>
        <v>63733.18357750171</v>
      </c>
      <c r="BT5" s="4">
        <f>_xlfn.IFNA(VLOOKUP(Grandview_Inventory[[#This Row],[quality]],Lookups!$A$26:$C$33,3,FALSE),1)</f>
        <v>0.96329552998502799</v>
      </c>
      <c r="BU5" s="4">
        <f>_xlfn.IFNA(VLOOKUP(Grandview_Inventory[[#This Row],[condition]],Lookups!$A$37:$C$44,3,FALSE),1)</f>
        <v>0.96469275950863709</v>
      </c>
      <c r="BV5" s="4">
        <f>IF(Grandview_Inventory[[#This Row],[bldg_style]]="",1,_xlfn.IFNA(VLOOKUP(Grandview_Inventory[[#This Row],[decade]],Lookups!$F$29:$H$43,3,FALSE),1))</f>
        <v>0.9251738460551937</v>
      </c>
      <c r="BW5" s="4">
        <f>_xlfn.IFNA(VLOOKUP(Grandview_Inventory[[#This Row],[living_area_range]],Lookups!$F$47:$H$56,3,FALSE),1)</f>
        <v>0.96135087979789358</v>
      </c>
      <c r="BX5" s="4">
        <f>AVERAGE(Grandview_Inventory[[#This Row],[qual_adj]:[size_adj]])</f>
        <v>0.95362825383668803</v>
      </c>
      <c r="BY5" s="6">
        <f>IF(Grandview_Inventory[[#This Row],[pre_res]]&lt;0,0,Grandview_Inventory[[#This Row],[pre_res]]*Grandview_Inventory[[#This Row],[overall_adj]])</f>
        <v>195375.16255657692</v>
      </c>
      <c r="BZ5" s="6">
        <f>(Grandview_Inventory[[#This Row],[sum_land]]-IF(Grandview_Inventory[[#This Row],[no_utilities]]=1,12000,0))/IF(Grandview_Inventory[[#This Row],[unbuildable]]=1,2,1)</f>
        <v>63733.18357750171</v>
      </c>
      <c r="CA5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5">
        <f>ROUND(Grandview_Inventory[[#This Row],[det_value]]*Lookups!$M$28,-2)</f>
        <v>700</v>
      </c>
      <c r="CC5">
        <f>IF(ROUND(Grandview_Inventory[[#This Row],[adj_res]]*Lookups!$M$28,-2)&lt;Grandview_Inventory[[#This Row],[min_res]],Grandview_Inventory[[#This Row],[min_res]],ROUND(Grandview_Inventory[[#This Row],[adj_res]]*Lookups!$M$28,-2))</f>
        <v>185600</v>
      </c>
      <c r="CD5">
        <f>Grandview_Inventory[[#This Row],[final_det]]+Grandview_Inventory[[#This Row],[final_res]]</f>
        <v>186300</v>
      </c>
      <c r="CE5">
        <f>Grandview_Inventory[[#This Row],[final_land]]+Grandview_Inventory[[#This Row],[final_imp]]+Grandview_Inventory[[#This Row],[crop_value]]</f>
        <v>246800</v>
      </c>
      <c r="CG5" t="str">
        <f t="shared" si="0"/>
        <v>update valuation set market_land =60500, market_bldg=186300, market_total =246800, market_mdno =401, market_date ='9/10/2023' where link_id = (select link_id from parcel where parcel_year = '2024' and parcel_id = '23090914002');</v>
      </c>
    </row>
    <row r="6" spans="1:86" x14ac:dyDescent="0.25">
      <c r="A6">
        <v>23091013404</v>
      </c>
      <c r="B6">
        <v>10.08</v>
      </c>
      <c r="C6">
        <v>439133</v>
      </c>
      <c r="D6" t="s">
        <v>129</v>
      </c>
      <c r="E6" t="s">
        <v>53</v>
      </c>
      <c r="F6" t="s">
        <v>53</v>
      </c>
      <c r="G6">
        <v>4</v>
      </c>
      <c r="H6" t="s">
        <v>54</v>
      </c>
      <c r="I6">
        <v>316500</v>
      </c>
      <c r="J6">
        <v>78500</v>
      </c>
      <c r="K6">
        <v>10.08</v>
      </c>
      <c r="L6">
        <f>IF(Grandview_Inventory[[#This Row],[parcel_acres]]-Grandview_Inventory[[#This Row],[non_valued_acres]] =0,0,LN(Grandview_Inventory[[#This Row],[parcel_acres]]-Grandview_Inventory[[#This Row],[non_valued_acres]]))</f>
        <v>2.3105532626432224</v>
      </c>
      <c r="M6">
        <v>0</v>
      </c>
      <c r="N6">
        <v>0</v>
      </c>
      <c r="O6">
        <v>0</v>
      </c>
      <c r="P6">
        <v>13398.7528</v>
      </c>
      <c r="Q6">
        <v>63903</v>
      </c>
      <c r="R6">
        <f>(Grandview_Inventory[[#This Row],[ln_acres]]*Grandview_Inventory[[#This Row],[coeff]])+Grandview_Inventory[[#This Row],[const]]</f>
        <v>94861.531997390004</v>
      </c>
      <c r="S6" t="s">
        <v>86</v>
      </c>
      <c r="T6">
        <v>2</v>
      </c>
      <c r="U6" t="s">
        <v>65</v>
      </c>
      <c r="V6" t="s">
        <v>69</v>
      </c>
      <c r="W6">
        <v>0</v>
      </c>
      <c r="X6">
        <v>0</v>
      </c>
      <c r="Y6">
        <v>50</v>
      </c>
      <c r="Z6">
        <v>73</v>
      </c>
      <c r="AA6">
        <v>80</v>
      </c>
      <c r="AB6">
        <v>3000</v>
      </c>
      <c r="AC6">
        <v>2868</v>
      </c>
      <c r="AD6">
        <v>2280</v>
      </c>
      <c r="AE6">
        <v>588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440</v>
      </c>
      <c r="AN6">
        <v>40</v>
      </c>
      <c r="AO6">
        <v>0</v>
      </c>
      <c r="AP6">
        <v>11</v>
      </c>
      <c r="AQ6">
        <v>1</v>
      </c>
      <c r="AR6">
        <v>0</v>
      </c>
      <c r="AS6" t="s">
        <v>58</v>
      </c>
      <c r="AT6">
        <v>1</v>
      </c>
      <c r="AU6" t="s">
        <v>59</v>
      </c>
      <c r="AV6" t="s">
        <v>64</v>
      </c>
      <c r="AW6">
        <v>1</v>
      </c>
      <c r="AX6">
        <v>5</v>
      </c>
      <c r="AY6">
        <v>0</v>
      </c>
      <c r="AZ6">
        <v>88900</v>
      </c>
      <c r="BA6">
        <v>100</v>
      </c>
      <c r="BB6">
        <v>100</v>
      </c>
      <c r="BC6">
        <v>100</v>
      </c>
      <c r="BD6">
        <v>100</v>
      </c>
      <c r="BE6">
        <v>1</v>
      </c>
      <c r="BF6">
        <v>15000</v>
      </c>
      <c r="BG6">
        <v>1000</v>
      </c>
      <c r="BH6" s="6">
        <f>Grandview_Inventory[[#This Row],[land_extract]]*Lookups!$B$3</f>
        <v>110162.44098243261</v>
      </c>
      <c r="BI6" s="6">
        <f>IF(Grandview_Inventory[[#This Row],[bldg_style]]="",0,Lookups!$B$2)</f>
        <v>155833.95000000001</v>
      </c>
      <c r="BJ6" s="6">
        <f>_xlfn.IFNA(VLOOKUP(Grandview_Inventory[[#This Row],[quality]],Lookups!$H$2:$J$14,3,FALSE),0)</f>
        <v>2251</v>
      </c>
      <c r="BK6" s="6">
        <f>_xlfn.IFNA(VLOOKUP(Grandview_Inventory[[#This Row],[condition]],Lookups!$H$17:$J$24,3,FALSE),0)</f>
        <v>-4503</v>
      </c>
      <c r="BL6" s="6">
        <f>Grandview_Inventory[[#This Row],[Eff_Age]]*Lookups!$B$14</f>
        <v>-11958.33</v>
      </c>
      <c r="BM6" s="6">
        <f>Grandview_Inventory[[#This Row],[living_area]]*Lookups!$B$15</f>
        <v>178908.28640400001</v>
      </c>
      <c r="BN6" s="6">
        <f>Grandview_Inventory[[#This Row],[Fin BSMT]]*Lookups!$B$16</f>
        <v>0</v>
      </c>
      <c r="BO6" s="6">
        <f>(Grandview_Inventory[[#This Row],[att_gar]]+Grandview_Inventory[[#This Row],[bltin_gar]])*Lookups!$B$17</f>
        <v>0</v>
      </c>
      <c r="BP6" s="6">
        <f>Grandview_Inventory[[#This Row],[Plumbing Fixtures]]*Lookups!$B$18</f>
        <v>22114.859800000002</v>
      </c>
      <c r="BQ6" s="6">
        <f>Grandview_Inventory[[#This Row],[detatched_value]]*Lookups!$B$19</f>
        <v>75280.973389999999</v>
      </c>
      <c r="BR6" s="6">
        <f>SUM(Grandview_Inventory[[#This Row],[Intercept]:[det_value]])*Grandview_Inventory[[#This Row],[res_pct]]</f>
        <v>417927.73959399998</v>
      </c>
      <c r="BS6" s="6">
        <f>Grandview_Inventory[[#This Row],[land_value]]</f>
        <v>110162.44098243261</v>
      </c>
      <c r="BT6" s="4">
        <f>_xlfn.IFNA(VLOOKUP(Grandview_Inventory[[#This Row],[quality]],Lookups!$A$26:$C$33,3,FALSE),1)</f>
        <v>0.98763855981004833</v>
      </c>
      <c r="BU6" s="4">
        <f>_xlfn.IFNA(VLOOKUP(Grandview_Inventory[[#This Row],[condition]],Lookups!$A$37:$C$44,3,FALSE),1)</f>
        <v>0.96469275950863709</v>
      </c>
      <c r="BV6" s="4">
        <f>IF(Grandview_Inventory[[#This Row],[bldg_style]]="",1,_xlfn.IFNA(VLOOKUP(Grandview_Inventory[[#This Row],[decade]],Lookups!$F$29:$H$43,3,FALSE),1))</f>
        <v>0.98763256963907298</v>
      </c>
      <c r="BW6" s="4">
        <f>_xlfn.IFNA(VLOOKUP(Grandview_Inventory[[#This Row],[living_area_range]],Lookups!$F$47:$H$56,3,FALSE),1)</f>
        <v>0.94224801443562123</v>
      </c>
      <c r="BX6" s="4">
        <f>AVERAGE(Grandview_Inventory[[#This Row],[qual_adj]:[size_adj]])</f>
        <v>0.97055297584834488</v>
      </c>
      <c r="BY6" s="6">
        <f>IF(Grandview_Inventory[[#This Row],[pre_res]]&lt;0,0,Grandview_Inventory[[#This Row],[pre_res]]*Grandview_Inventory[[#This Row],[overall_adj]])</f>
        <v>405621.01135252882</v>
      </c>
      <c r="BZ6" s="6">
        <f>(Grandview_Inventory[[#This Row],[sum_land]]-IF(Grandview_Inventory[[#This Row],[no_utilities]]=1,12000,0))/IF(Grandview_Inventory[[#This Row],[unbuildable]]=1,2,1)</f>
        <v>110162.44098243261</v>
      </c>
      <c r="CA6">
        <f>IF(ROUND(Grandview_Inventory[[#This Row],[adj_land]]*Lookups!$M$28,-2)&lt;Grandview_Inventory[[#This Row],[min_land]],Grandview_Inventory[[#This Row],[min_land]],ROUND(Grandview_Inventory[[#This Row],[adj_land]]*Lookups!$M$28,-2))</f>
        <v>104700</v>
      </c>
      <c r="CB6">
        <f>ROUND(Grandview_Inventory[[#This Row],[det_value]]*Lookups!$M$28,-2)</f>
        <v>71500</v>
      </c>
      <c r="CC6">
        <f>IF(ROUND(Grandview_Inventory[[#This Row],[adj_res]]*Lookups!$M$28,-2)&lt;Grandview_Inventory[[#This Row],[min_res]],Grandview_Inventory[[#This Row],[min_res]],ROUND(Grandview_Inventory[[#This Row],[adj_res]]*Lookups!$M$28,-2))</f>
        <v>385300</v>
      </c>
      <c r="CD6">
        <f>Grandview_Inventory[[#This Row],[final_det]]+Grandview_Inventory[[#This Row],[final_res]]</f>
        <v>456800</v>
      </c>
      <c r="CE6">
        <f>Grandview_Inventory[[#This Row],[final_land]]+Grandview_Inventory[[#This Row],[final_imp]]+Grandview_Inventory[[#This Row],[crop_value]]</f>
        <v>561500</v>
      </c>
      <c r="CG6" t="str">
        <f t="shared" si="0"/>
        <v>update valuation set market_land =104700, market_bldg=456800, market_total =561500, market_mdno =401, market_date ='9/10/2023' where link_id = (select link_id from parcel where parcel_year = '2024' and parcel_id = '23091013404');</v>
      </c>
    </row>
    <row r="7" spans="1:86" x14ac:dyDescent="0.25">
      <c r="A7">
        <v>23091023004</v>
      </c>
      <c r="B7">
        <v>0.42</v>
      </c>
      <c r="C7">
        <v>18480</v>
      </c>
      <c r="D7" t="s">
        <v>129</v>
      </c>
      <c r="E7" t="s">
        <v>53</v>
      </c>
      <c r="F7" t="s">
        <v>53</v>
      </c>
      <c r="G7">
        <v>4</v>
      </c>
      <c r="H7" t="s">
        <v>54</v>
      </c>
      <c r="I7">
        <v>176700</v>
      </c>
      <c r="J7">
        <v>41200</v>
      </c>
      <c r="K7">
        <v>0.42</v>
      </c>
      <c r="L7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7">
        <v>0</v>
      </c>
      <c r="N7">
        <v>0</v>
      </c>
      <c r="O7">
        <v>0</v>
      </c>
      <c r="P7">
        <v>13398.7528</v>
      </c>
      <c r="Q7">
        <v>63903</v>
      </c>
      <c r="R7">
        <f>(Grandview_Inventory[[#This Row],[ln_acres]]*Grandview_Inventory[[#This Row],[coeff]])+Grandview_Inventory[[#This Row],[const]]</f>
        <v>52279.574339464751</v>
      </c>
      <c r="S7" t="s">
        <v>68</v>
      </c>
      <c r="T7">
        <v>1</v>
      </c>
      <c r="U7" t="s">
        <v>70</v>
      </c>
      <c r="V7" t="s">
        <v>67</v>
      </c>
      <c r="W7">
        <v>0</v>
      </c>
      <c r="X7">
        <v>0</v>
      </c>
      <c r="Y7">
        <v>29</v>
      </c>
      <c r="Z7">
        <v>83</v>
      </c>
      <c r="AA7">
        <v>90</v>
      </c>
      <c r="AB7">
        <v>1500</v>
      </c>
      <c r="AC7">
        <v>1120</v>
      </c>
      <c r="AD7">
        <v>1120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220</v>
      </c>
      <c r="AN7">
        <v>96</v>
      </c>
      <c r="AO7">
        <v>0</v>
      </c>
      <c r="AP7">
        <v>5</v>
      </c>
      <c r="AQ7">
        <v>0</v>
      </c>
      <c r="AR7">
        <v>0</v>
      </c>
      <c r="AS7" t="s">
        <v>58</v>
      </c>
      <c r="AT7">
        <v>1</v>
      </c>
      <c r="AU7" t="s">
        <v>59</v>
      </c>
      <c r="AV7" t="s">
        <v>60</v>
      </c>
      <c r="AW7">
        <v>1</v>
      </c>
      <c r="AX7">
        <v>3</v>
      </c>
      <c r="AY7">
        <v>0</v>
      </c>
      <c r="AZ7">
        <v>0</v>
      </c>
      <c r="BA7">
        <v>100</v>
      </c>
      <c r="BB7">
        <v>100</v>
      </c>
      <c r="BC7">
        <v>100</v>
      </c>
      <c r="BD7">
        <v>100</v>
      </c>
      <c r="BE7">
        <v>1</v>
      </c>
      <c r="BF7">
        <v>15000</v>
      </c>
      <c r="BG7">
        <v>1000</v>
      </c>
      <c r="BH7" s="6">
        <f>Grandview_Inventory[[#This Row],[land_extract]]*Lookups!$B$3</f>
        <v>60712.1285255697</v>
      </c>
      <c r="BI7" s="6">
        <f>IF(Grandview_Inventory[[#This Row],[bldg_style]]="",0,Lookups!$B$2)</f>
        <v>155833.95000000001</v>
      </c>
      <c r="BJ7" s="6">
        <f>_xlfn.IFNA(VLOOKUP(Grandview_Inventory[[#This Row],[quality]],Lookups!$H$2:$J$14,3,FALSE),0)</f>
        <v>10733</v>
      </c>
      <c r="BK7" s="6">
        <f>_xlfn.IFNA(VLOOKUP(Grandview_Inventory[[#This Row],[condition]],Lookups!$H$17:$J$24,3,FALSE),0)</f>
        <v>22342</v>
      </c>
      <c r="BL7" s="6">
        <f>Grandview_Inventory[[#This Row],[Eff_Age]]*Lookups!$B$14</f>
        <v>-6935.8314</v>
      </c>
      <c r="BM7" s="6">
        <f>Grandview_Inventory[[#This Row],[living_area]]*Lookups!$B$15</f>
        <v>69866.555359999998</v>
      </c>
      <c r="BN7" s="6">
        <f>Grandview_Inventory[[#This Row],[Fin BSMT]]*Lookups!$B$16</f>
        <v>0</v>
      </c>
      <c r="BO7" s="6">
        <f>(Grandview_Inventory[[#This Row],[att_gar]]+Grandview_Inventory[[#This Row],[bltin_gar]])*Lookups!$B$17</f>
        <v>0</v>
      </c>
      <c r="BP7" s="6">
        <f>Grandview_Inventory[[#This Row],[Plumbing Fixtures]]*Lookups!$B$18</f>
        <v>10052.209000000001</v>
      </c>
      <c r="BQ7" s="6">
        <f>Grandview_Inventory[[#This Row],[detatched_value]]*Lookups!$B$19</f>
        <v>0</v>
      </c>
      <c r="BR7" s="6">
        <f>SUM(Grandview_Inventory[[#This Row],[Intercept]:[det_value]])*Grandview_Inventory[[#This Row],[res_pct]]</f>
        <v>261891.88296000002</v>
      </c>
      <c r="BS7" s="6">
        <f>Grandview_Inventory[[#This Row],[land_value]]</f>
        <v>60712.1285255697</v>
      </c>
      <c r="BT7" s="4">
        <f>_xlfn.IFNA(VLOOKUP(Grandview_Inventory[[#This Row],[quality]],Lookups!$A$26:$C$33,3,FALSE),1)</f>
        <v>0.98079741117310582</v>
      </c>
      <c r="BU7" s="4">
        <f>_xlfn.IFNA(VLOOKUP(Grandview_Inventory[[#This Row],[condition]],Lookups!$A$37:$C$44,3,FALSE),1)</f>
        <v>0.97383723671140243</v>
      </c>
      <c r="BV7" s="4">
        <f>IF(Grandview_Inventory[[#This Row],[bldg_style]]="",1,_xlfn.IFNA(VLOOKUP(Grandview_Inventory[[#This Row],[decade]],Lookups!$F$29:$H$43,3,FALSE),1))</f>
        <v>0.94161750052457416</v>
      </c>
      <c r="BW7" s="4">
        <f>_xlfn.IFNA(VLOOKUP(Grandview_Inventory[[#This Row],[living_area_range]],Lookups!$F$47:$H$56,3,FALSE),1)</f>
        <v>0.96135087979789358</v>
      </c>
      <c r="BX7" s="4">
        <f>AVERAGE(Grandview_Inventory[[#This Row],[qual_adj]:[size_adj]])</f>
        <v>0.964400757051744</v>
      </c>
      <c r="BY7" s="6">
        <f>IF(Grandview_Inventory[[#This Row],[pre_res]]&lt;0,0,Grandview_Inventory[[#This Row],[pre_res]]*Grandview_Inventory[[#This Row],[overall_adj]])</f>
        <v>252568.73019233075</v>
      </c>
      <c r="BZ7" s="6">
        <f>(Grandview_Inventory[[#This Row],[sum_land]]-IF(Grandview_Inventory[[#This Row],[no_utilities]]=1,12000,0))/IF(Grandview_Inventory[[#This Row],[unbuildable]]=1,2,1)</f>
        <v>60712.1285255697</v>
      </c>
      <c r="CA7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7">
        <f>ROUND(Grandview_Inventory[[#This Row],[det_value]]*Lookups!$M$28,-2)</f>
        <v>0</v>
      </c>
      <c r="CC7">
        <f>IF(ROUND(Grandview_Inventory[[#This Row],[adj_res]]*Lookups!$M$28,-2)&lt;Grandview_Inventory[[#This Row],[min_res]],Grandview_Inventory[[#This Row],[min_res]],ROUND(Grandview_Inventory[[#This Row],[adj_res]]*Lookups!$M$28,-2))</f>
        <v>239900</v>
      </c>
      <c r="CD7">
        <f>Grandview_Inventory[[#This Row],[final_det]]+Grandview_Inventory[[#This Row],[final_res]]</f>
        <v>239900</v>
      </c>
      <c r="CE7">
        <f>Grandview_Inventory[[#This Row],[final_land]]+Grandview_Inventory[[#This Row],[final_imp]]+Grandview_Inventory[[#This Row],[crop_value]]</f>
        <v>297600</v>
      </c>
      <c r="CG7" t="str">
        <f t="shared" si="0"/>
        <v>update valuation set market_land =57700, market_bldg=239900, market_total =297600, market_mdno =401, market_date ='9/10/2023' where link_id = (select link_id from parcel where parcel_year = '2024' and parcel_id = '23091023004');</v>
      </c>
    </row>
    <row r="8" spans="1:86" x14ac:dyDescent="0.25">
      <c r="A8">
        <v>23091023402</v>
      </c>
      <c r="B8">
        <v>2.0099999999999998</v>
      </c>
      <c r="C8">
        <v>87440</v>
      </c>
      <c r="D8" t="s">
        <v>129</v>
      </c>
      <c r="E8" t="s">
        <v>53</v>
      </c>
      <c r="F8" t="s">
        <v>53</v>
      </c>
      <c r="G8">
        <v>4</v>
      </c>
      <c r="H8" t="s">
        <v>54</v>
      </c>
      <c r="I8">
        <v>209500</v>
      </c>
      <c r="J8">
        <v>45800</v>
      </c>
      <c r="K8">
        <v>2.0099999999999998</v>
      </c>
      <c r="L8">
        <f>IF(Grandview_Inventory[[#This Row],[parcel_acres]]-Grandview_Inventory[[#This Row],[non_valued_acres]] =0,0,LN(Grandview_Inventory[[#This Row],[parcel_acres]]-Grandview_Inventory[[#This Row],[non_valued_acres]]))</f>
        <v>0.69813472207098426</v>
      </c>
      <c r="M8">
        <v>0</v>
      </c>
      <c r="N8">
        <v>0</v>
      </c>
      <c r="O8">
        <v>0</v>
      </c>
      <c r="P8">
        <v>13398.7528</v>
      </c>
      <c r="Q8">
        <v>63903</v>
      </c>
      <c r="R8">
        <f>(Grandview_Inventory[[#This Row],[ln_acres]]*Grandview_Inventory[[#This Row],[coeff]])+Grandview_Inventory[[#This Row],[const]]</f>
        <v>73257.134562125822</v>
      </c>
      <c r="S8" t="s">
        <v>86</v>
      </c>
      <c r="T8">
        <v>2</v>
      </c>
      <c r="U8" t="s">
        <v>62</v>
      </c>
      <c r="V8" t="s">
        <v>69</v>
      </c>
      <c r="W8">
        <v>0</v>
      </c>
      <c r="X8">
        <v>0</v>
      </c>
      <c r="Y8">
        <v>74</v>
      </c>
      <c r="Z8">
        <v>122</v>
      </c>
      <c r="AA8">
        <v>130</v>
      </c>
      <c r="AB8">
        <v>2500</v>
      </c>
      <c r="AC8">
        <v>2310</v>
      </c>
      <c r="AD8">
        <v>1446</v>
      </c>
      <c r="AE8">
        <v>864</v>
      </c>
      <c r="AF8">
        <v>0</v>
      </c>
      <c r="AG8">
        <v>0</v>
      </c>
      <c r="AH8">
        <v>1026</v>
      </c>
      <c r="AI8">
        <v>0</v>
      </c>
      <c r="AJ8">
        <v>180</v>
      </c>
      <c r="AK8">
        <v>0</v>
      </c>
      <c r="AL8">
        <v>0</v>
      </c>
      <c r="AM8">
        <v>0</v>
      </c>
      <c r="AN8">
        <v>321</v>
      </c>
      <c r="AO8">
        <v>0</v>
      </c>
      <c r="AP8">
        <v>10</v>
      </c>
      <c r="AQ8">
        <v>1</v>
      </c>
      <c r="AR8">
        <v>0</v>
      </c>
      <c r="AS8" t="s">
        <v>76</v>
      </c>
      <c r="AT8">
        <v>1</v>
      </c>
      <c r="AU8" t="s">
        <v>59</v>
      </c>
      <c r="AV8" t="s">
        <v>60</v>
      </c>
      <c r="AW8">
        <v>1</v>
      </c>
      <c r="AX8">
        <v>6</v>
      </c>
      <c r="AY8">
        <v>0</v>
      </c>
      <c r="AZ8">
        <v>0</v>
      </c>
      <c r="BA8">
        <v>100</v>
      </c>
      <c r="BB8">
        <v>100</v>
      </c>
      <c r="BC8">
        <v>100</v>
      </c>
      <c r="BD8">
        <v>100</v>
      </c>
      <c r="BE8">
        <v>1</v>
      </c>
      <c r="BF8">
        <v>15000</v>
      </c>
      <c r="BG8">
        <v>1000</v>
      </c>
      <c r="BH8" s="6">
        <f>Grandview_Inventory[[#This Row],[land_extract]]*Lookups!$B$3</f>
        <v>85073.312572733397</v>
      </c>
      <c r="BI8" s="6">
        <f>IF(Grandview_Inventory[[#This Row],[bldg_style]]="",0,Lookups!$B$2)</f>
        <v>155833.95000000001</v>
      </c>
      <c r="BJ8" s="6">
        <f>_xlfn.IFNA(VLOOKUP(Grandview_Inventory[[#This Row],[quality]],Lookups!$H$2:$J$14,3,FALSE),0)</f>
        <v>9808</v>
      </c>
      <c r="BK8" s="6">
        <f>_xlfn.IFNA(VLOOKUP(Grandview_Inventory[[#This Row],[condition]],Lookups!$H$17:$J$24,3,FALSE),0)</f>
        <v>-4503</v>
      </c>
      <c r="BL8" s="6">
        <f>Grandview_Inventory[[#This Row],[Eff_Age]]*Lookups!$B$14</f>
        <v>-17698.328399999999</v>
      </c>
      <c r="BM8" s="6">
        <f>Grandview_Inventory[[#This Row],[living_area]]*Lookups!$B$15</f>
        <v>144099.77043</v>
      </c>
      <c r="BN8" s="6">
        <f>Grandview_Inventory[[#This Row],[Fin BSMT]]*Lookups!$B$16</f>
        <v>0</v>
      </c>
      <c r="BO8" s="6">
        <f>(Grandview_Inventory[[#This Row],[att_gar]]+Grandview_Inventory[[#This Row],[bltin_gar]])*Lookups!$B$17</f>
        <v>15753.67866</v>
      </c>
      <c r="BP8" s="6">
        <f>Grandview_Inventory[[#This Row],[Plumbing Fixtures]]*Lookups!$B$18</f>
        <v>20104.418000000001</v>
      </c>
      <c r="BQ8" s="6">
        <f>Grandview_Inventory[[#This Row],[detatched_value]]*Lookups!$B$19</f>
        <v>0</v>
      </c>
      <c r="BR8" s="6">
        <f>SUM(Grandview_Inventory[[#This Row],[Intercept]:[det_value]])*Grandview_Inventory[[#This Row],[res_pct]]</f>
        <v>323398.48868999997</v>
      </c>
      <c r="BS8" s="6">
        <f>Grandview_Inventory[[#This Row],[land_value]]</f>
        <v>85073.312572733397</v>
      </c>
      <c r="BT8" s="4">
        <f>_xlfn.IFNA(VLOOKUP(Grandview_Inventory[[#This Row],[quality]],Lookups!$A$26:$C$33,3,FALSE),1)</f>
        <v>0.94295468617355149</v>
      </c>
      <c r="BU8" s="4">
        <f>_xlfn.IFNA(VLOOKUP(Grandview_Inventory[[#This Row],[condition]],Lookups!$A$37:$C$44,3,FALSE),1)</f>
        <v>0.96469275950863709</v>
      </c>
      <c r="BV8" s="4">
        <f>IF(Grandview_Inventory[[#This Row],[bldg_style]]="",1,_xlfn.IFNA(VLOOKUP(Grandview_Inventory[[#This Row],[decade]],Lookups!$F$29:$H$43,3,FALSE),1))</f>
        <v>0.9251738460551937</v>
      </c>
      <c r="BW8" s="4">
        <f>_xlfn.IFNA(VLOOKUP(Grandview_Inventory[[#This Row],[living_area_range]],Lookups!$F$47:$H$56,3,FALSE),1)</f>
        <v>0.95799442568048754</v>
      </c>
      <c r="BX8" s="4">
        <f>AVERAGE(Grandview_Inventory[[#This Row],[qual_adj]:[size_adj]])</f>
        <v>0.94770392935446746</v>
      </c>
      <c r="BY8" s="6">
        <f>IF(Grandview_Inventory[[#This Row],[pre_res]]&lt;0,0,Grandview_Inventory[[#This Row],[pre_res]]*Grandview_Inventory[[#This Row],[overall_adj]])</f>
        <v>306486.01847880927</v>
      </c>
      <c r="BZ8" s="6">
        <f>(Grandview_Inventory[[#This Row],[sum_land]]-IF(Grandview_Inventory[[#This Row],[no_utilities]]=1,12000,0))/IF(Grandview_Inventory[[#This Row],[unbuildable]]=1,2,1)</f>
        <v>85073.312572733397</v>
      </c>
      <c r="CA8">
        <f>IF(ROUND(Grandview_Inventory[[#This Row],[adj_land]]*Lookups!$M$28,-2)&lt;Grandview_Inventory[[#This Row],[min_land]],Grandview_Inventory[[#This Row],[min_land]],ROUND(Grandview_Inventory[[#This Row],[adj_land]]*Lookups!$M$28,-2))</f>
        <v>80800</v>
      </c>
      <c r="CB8">
        <f>ROUND(Grandview_Inventory[[#This Row],[det_value]]*Lookups!$M$28,-2)</f>
        <v>0</v>
      </c>
      <c r="CC8">
        <f>IF(ROUND(Grandview_Inventory[[#This Row],[adj_res]]*Lookups!$M$28,-2)&lt;Grandview_Inventory[[#This Row],[min_res]],Grandview_Inventory[[#This Row],[min_res]],ROUND(Grandview_Inventory[[#This Row],[adj_res]]*Lookups!$M$28,-2))</f>
        <v>291200</v>
      </c>
      <c r="CD8">
        <f>Grandview_Inventory[[#This Row],[final_det]]+Grandview_Inventory[[#This Row],[final_res]]</f>
        <v>291200</v>
      </c>
      <c r="CE8">
        <f>Grandview_Inventory[[#This Row],[final_land]]+Grandview_Inventory[[#This Row],[final_imp]]+Grandview_Inventory[[#This Row],[crop_value]]</f>
        <v>372000</v>
      </c>
      <c r="CG8" t="str">
        <f t="shared" si="0"/>
        <v>update valuation set market_land =80800, market_bldg=291200, market_total =372000, market_mdno =401, market_date ='9/10/2023' where link_id = (select link_id from parcel where parcel_year = '2024' and parcel_id = '23091023402');</v>
      </c>
    </row>
    <row r="9" spans="1:86" x14ac:dyDescent="0.25">
      <c r="A9">
        <v>23091034004</v>
      </c>
      <c r="B9">
        <v>1.19</v>
      </c>
      <c r="C9">
        <v>51722</v>
      </c>
      <c r="D9" t="s">
        <v>129</v>
      </c>
      <c r="E9" t="s">
        <v>53</v>
      </c>
      <c r="F9" t="s">
        <v>53</v>
      </c>
      <c r="G9">
        <v>4</v>
      </c>
      <c r="H9" t="s">
        <v>54</v>
      </c>
      <c r="I9">
        <v>163300</v>
      </c>
      <c r="J9">
        <v>49300</v>
      </c>
      <c r="K9">
        <v>1.19</v>
      </c>
      <c r="L9">
        <f>IF(Grandview_Inventory[[#This Row],[parcel_acres]]-Grandview_Inventory[[#This Row],[non_valued_acres]] =0,0,LN(Grandview_Inventory[[#This Row],[parcel_acres]]-Grandview_Inventory[[#This Row],[non_valued_acres]]))</f>
        <v>0.17395330712343798</v>
      </c>
      <c r="M9">
        <v>0</v>
      </c>
      <c r="N9">
        <v>0</v>
      </c>
      <c r="O9">
        <v>0</v>
      </c>
      <c r="P9">
        <v>13398.7528</v>
      </c>
      <c r="Q9">
        <v>63903</v>
      </c>
      <c r="R9">
        <f>(Grandview_Inventory[[#This Row],[ln_acres]]*Grandview_Inventory[[#This Row],[coeff]])+Grandview_Inventory[[#This Row],[const]]</f>
        <v>66233.757360889431</v>
      </c>
      <c r="S9" t="s">
        <v>61</v>
      </c>
      <c r="T9">
        <v>1</v>
      </c>
      <c r="U9" t="s">
        <v>65</v>
      </c>
      <c r="V9" t="s">
        <v>69</v>
      </c>
      <c r="W9">
        <v>0</v>
      </c>
      <c r="X9">
        <v>0</v>
      </c>
      <c r="Y9">
        <v>50</v>
      </c>
      <c r="Z9">
        <v>71</v>
      </c>
      <c r="AA9">
        <v>80</v>
      </c>
      <c r="AB9">
        <v>1500</v>
      </c>
      <c r="AC9">
        <v>1376</v>
      </c>
      <c r="AD9">
        <v>1376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128</v>
      </c>
      <c r="AN9">
        <v>0</v>
      </c>
      <c r="AO9">
        <v>144</v>
      </c>
      <c r="AP9">
        <v>5</v>
      </c>
      <c r="AQ9">
        <v>0</v>
      </c>
      <c r="AR9">
        <v>1</v>
      </c>
      <c r="AS9" t="s">
        <v>58</v>
      </c>
      <c r="AT9">
        <v>1</v>
      </c>
      <c r="AU9" t="s">
        <v>59</v>
      </c>
      <c r="AV9" t="s">
        <v>60</v>
      </c>
      <c r="AW9">
        <v>1</v>
      </c>
      <c r="AX9">
        <v>2</v>
      </c>
      <c r="AY9">
        <v>0</v>
      </c>
      <c r="AZ9">
        <v>29700</v>
      </c>
      <c r="BA9">
        <v>100</v>
      </c>
      <c r="BB9">
        <v>100</v>
      </c>
      <c r="BC9">
        <v>100</v>
      </c>
      <c r="BD9">
        <v>100</v>
      </c>
      <c r="BE9">
        <v>1</v>
      </c>
      <c r="BF9">
        <v>15000</v>
      </c>
      <c r="BG9">
        <v>1000</v>
      </c>
      <c r="BH9" s="6">
        <f>Grandview_Inventory[[#This Row],[land_extract]]*Lookups!$B$3</f>
        <v>76917.08359205602</v>
      </c>
      <c r="BI9" s="6">
        <f>IF(Grandview_Inventory[[#This Row],[bldg_style]]="",0,Lookups!$B$2)</f>
        <v>155833.95000000001</v>
      </c>
      <c r="BJ9" s="6">
        <f>_xlfn.IFNA(VLOOKUP(Grandview_Inventory[[#This Row],[quality]],Lookups!$H$2:$J$14,3,FALSE),0)</f>
        <v>2251</v>
      </c>
      <c r="BK9" s="6">
        <f>_xlfn.IFNA(VLOOKUP(Grandview_Inventory[[#This Row],[condition]],Lookups!$H$17:$J$24,3,FALSE),0)</f>
        <v>-4503</v>
      </c>
      <c r="BL9" s="6">
        <f>Grandview_Inventory[[#This Row],[Eff_Age]]*Lookups!$B$14</f>
        <v>-11958.33</v>
      </c>
      <c r="BM9" s="6">
        <f>Grandview_Inventory[[#This Row],[living_area]]*Lookups!$B$15</f>
        <v>85836.053727999999</v>
      </c>
      <c r="BN9" s="6">
        <f>Grandview_Inventory[[#This Row],[Fin BSMT]]*Lookups!$B$16</f>
        <v>0</v>
      </c>
      <c r="BO9" s="6">
        <f>(Grandview_Inventory[[#This Row],[att_gar]]+Grandview_Inventory[[#This Row],[bltin_gar]])*Lookups!$B$17</f>
        <v>0</v>
      </c>
      <c r="BP9" s="6">
        <f>Grandview_Inventory[[#This Row],[Plumbing Fixtures]]*Lookups!$B$18</f>
        <v>10052.209000000001</v>
      </c>
      <c r="BQ9" s="6">
        <f>Grandview_Inventory[[#This Row],[detatched_value]]*Lookups!$B$19</f>
        <v>25150.11147</v>
      </c>
      <c r="BR9" s="6">
        <f>SUM(Grandview_Inventory[[#This Row],[Intercept]:[det_value]])*Grandview_Inventory[[#This Row],[res_pct]]</f>
        <v>262661.994198</v>
      </c>
      <c r="BS9" s="6">
        <f>Grandview_Inventory[[#This Row],[land_value]]</f>
        <v>76917.08359205602</v>
      </c>
      <c r="BT9" s="4">
        <f>_xlfn.IFNA(VLOOKUP(Grandview_Inventory[[#This Row],[quality]],Lookups!$A$26:$C$33,3,FALSE),1)</f>
        <v>0.98763855981004833</v>
      </c>
      <c r="BU9" s="4">
        <f>_xlfn.IFNA(VLOOKUP(Grandview_Inventory[[#This Row],[condition]],Lookups!$A$37:$C$44,3,FALSE),1)</f>
        <v>0.96469275950863709</v>
      </c>
      <c r="BV9" s="4">
        <f>IF(Grandview_Inventory[[#This Row],[bldg_style]]="",1,_xlfn.IFNA(VLOOKUP(Grandview_Inventory[[#This Row],[decade]],Lookups!$F$29:$H$43,3,FALSE),1))</f>
        <v>0.98763256963907298</v>
      </c>
      <c r="BW9" s="4">
        <f>_xlfn.IFNA(VLOOKUP(Grandview_Inventory[[#This Row],[living_area_range]],Lookups!$F$47:$H$56,3,FALSE),1)</f>
        <v>0.96135087979789358</v>
      </c>
      <c r="BX9" s="4">
        <f>AVERAGE(Grandview_Inventory[[#This Row],[qual_adj]:[size_adj]])</f>
        <v>0.97532869218891294</v>
      </c>
      <c r="BY9" s="6">
        <f>IF(Grandview_Inventory[[#This Row],[pre_res]]&lt;0,0,Grandview_Inventory[[#This Row],[pre_res]]*Grandview_Inventory[[#This Row],[overall_adj]])</f>
        <v>256181.77928886717</v>
      </c>
      <c r="BZ9" s="6">
        <f>(Grandview_Inventory[[#This Row],[sum_land]]-IF(Grandview_Inventory[[#This Row],[no_utilities]]=1,12000,0))/IF(Grandview_Inventory[[#This Row],[unbuildable]]=1,2,1)</f>
        <v>76917.08359205602</v>
      </c>
      <c r="CA9">
        <f>IF(ROUND(Grandview_Inventory[[#This Row],[adj_land]]*Lookups!$M$28,-2)&lt;Grandview_Inventory[[#This Row],[min_land]],Grandview_Inventory[[#This Row],[min_land]],ROUND(Grandview_Inventory[[#This Row],[adj_land]]*Lookups!$M$28,-2))</f>
        <v>73100</v>
      </c>
      <c r="CB9">
        <f>ROUND(Grandview_Inventory[[#This Row],[det_value]]*Lookups!$M$28,-2)</f>
        <v>23900</v>
      </c>
      <c r="CC9">
        <f>IF(ROUND(Grandview_Inventory[[#This Row],[adj_res]]*Lookups!$M$28,-2)&lt;Grandview_Inventory[[#This Row],[min_res]],Grandview_Inventory[[#This Row],[min_res]],ROUND(Grandview_Inventory[[#This Row],[adj_res]]*Lookups!$M$28,-2))</f>
        <v>243400</v>
      </c>
      <c r="CD9">
        <f>Grandview_Inventory[[#This Row],[final_det]]+Grandview_Inventory[[#This Row],[final_res]]</f>
        <v>267300</v>
      </c>
      <c r="CE9">
        <f>Grandview_Inventory[[#This Row],[final_land]]+Grandview_Inventory[[#This Row],[final_imp]]+Grandview_Inventory[[#This Row],[crop_value]]</f>
        <v>340400</v>
      </c>
      <c r="CG9" t="str">
        <f t="shared" si="0"/>
        <v>update valuation set market_land =73100, market_bldg=267300, market_total =340400, market_mdno =401, market_date ='9/10/2023' where link_id = (select link_id from parcel where parcel_year = '2024' and parcel_id = '23091034004');</v>
      </c>
    </row>
    <row r="10" spans="1:86" x14ac:dyDescent="0.25">
      <c r="A10">
        <v>23091041003</v>
      </c>
      <c r="B10">
        <v>66.97</v>
      </c>
      <c r="C10" t="s">
        <v>129</v>
      </c>
      <c r="D10" t="s">
        <v>129</v>
      </c>
      <c r="E10" t="s">
        <v>53</v>
      </c>
      <c r="F10" t="s">
        <v>53</v>
      </c>
      <c r="G10">
        <v>4</v>
      </c>
      <c r="H10" t="s">
        <v>180</v>
      </c>
      <c r="I10">
        <v>374200</v>
      </c>
      <c r="J10">
        <v>394000</v>
      </c>
      <c r="K10">
        <v>66.97</v>
      </c>
      <c r="L10">
        <f>IF(Grandview_Inventory[[#This Row],[parcel_acres]]-Grandview_Inventory[[#This Row],[non_valued_acres]] =0,0,LN(Grandview_Inventory[[#This Row],[parcel_acres]]-Grandview_Inventory[[#This Row],[non_valued_acres]]))</f>
        <v>4.2042447579219591</v>
      </c>
      <c r="M10">
        <v>0</v>
      </c>
      <c r="N10">
        <v>0</v>
      </c>
      <c r="O10">
        <v>0</v>
      </c>
      <c r="P10">
        <v>13398.7528</v>
      </c>
      <c r="Q10">
        <v>63903</v>
      </c>
      <c r="R10">
        <f>(Grandview_Inventory[[#This Row],[ln_acres]]*Grandview_Inventory[[#This Row],[coeff]])+Grandview_Inventory[[#This Row],[const]]</f>
        <v>120234.63622209217</v>
      </c>
      <c r="S10" t="s">
        <v>68</v>
      </c>
      <c r="T10">
        <v>1</v>
      </c>
      <c r="U10" t="s">
        <v>70</v>
      </c>
      <c r="V10" t="s">
        <v>69</v>
      </c>
      <c r="W10">
        <v>0</v>
      </c>
      <c r="X10">
        <v>0</v>
      </c>
      <c r="Y10">
        <v>65</v>
      </c>
      <c r="Z10">
        <v>113</v>
      </c>
      <c r="AA10">
        <v>120</v>
      </c>
      <c r="AB10">
        <v>1500</v>
      </c>
      <c r="AC10">
        <v>1350</v>
      </c>
      <c r="AD10">
        <v>1350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78</v>
      </c>
      <c r="AO10">
        <v>0</v>
      </c>
      <c r="AP10">
        <v>8</v>
      </c>
      <c r="AQ10">
        <v>0</v>
      </c>
      <c r="AR10">
        <v>0</v>
      </c>
      <c r="AS10" t="s">
        <v>76</v>
      </c>
      <c r="AT10">
        <v>1</v>
      </c>
      <c r="AU10" t="s">
        <v>75</v>
      </c>
      <c r="AV10" t="s">
        <v>60</v>
      </c>
      <c r="AW10">
        <v>0</v>
      </c>
      <c r="AX10">
        <v>3</v>
      </c>
      <c r="AY10">
        <v>76000</v>
      </c>
      <c r="AZ10">
        <v>127500</v>
      </c>
      <c r="BA10">
        <v>100</v>
      </c>
      <c r="BB10">
        <v>100</v>
      </c>
      <c r="BC10">
        <v>100</v>
      </c>
      <c r="BD10">
        <v>100</v>
      </c>
      <c r="BE10">
        <v>1</v>
      </c>
      <c r="BF10">
        <v>15000</v>
      </c>
      <c r="BG10">
        <v>1000</v>
      </c>
      <c r="BH10" s="6">
        <f>Grandview_Inventory[[#This Row],[land_extract]]*Lookups!$B$3</f>
        <v>139628.15841119783</v>
      </c>
      <c r="BI10" s="6">
        <f>IF(Grandview_Inventory[[#This Row],[bldg_style]]="",0,Lookups!$B$2)</f>
        <v>155833.95000000001</v>
      </c>
      <c r="BJ10" s="6">
        <f>_xlfn.IFNA(VLOOKUP(Grandview_Inventory[[#This Row],[quality]],Lookups!$H$2:$J$14,3,FALSE),0)</f>
        <v>10733</v>
      </c>
      <c r="BK10" s="6">
        <f>_xlfn.IFNA(VLOOKUP(Grandview_Inventory[[#This Row],[condition]],Lookups!$H$17:$J$24,3,FALSE),0)</f>
        <v>-4503</v>
      </c>
      <c r="BL10" s="6">
        <f>Grandview_Inventory[[#This Row],[Eff_Age]]*Lookups!$B$14</f>
        <v>-15545.829</v>
      </c>
      <c r="BM10" s="6">
        <f>Grandview_Inventory[[#This Row],[living_area]]*Lookups!$B$15</f>
        <v>84214.15155000001</v>
      </c>
      <c r="BN10" s="6">
        <f>Grandview_Inventory[[#This Row],[Fin BSMT]]*Lookups!$B$16</f>
        <v>0</v>
      </c>
      <c r="BO10" s="6">
        <f>(Grandview_Inventory[[#This Row],[att_gar]]+Grandview_Inventory[[#This Row],[bltin_gar]])*Lookups!$B$17</f>
        <v>0</v>
      </c>
      <c r="BP10" s="6">
        <f>Grandview_Inventory[[#This Row],[Plumbing Fixtures]]*Lookups!$B$18</f>
        <v>16083.5344</v>
      </c>
      <c r="BQ10" s="6">
        <f>Grandview_Inventory[[#This Row],[detatched_value]]*Lookups!$B$19</f>
        <v>107967.65024999999</v>
      </c>
      <c r="BR10" s="6">
        <f>SUM(Grandview_Inventory[[#This Row],[Intercept]:[det_value]])*Grandview_Inventory[[#This Row],[res_pct]]</f>
        <v>354783.4572</v>
      </c>
      <c r="BS10" s="6">
        <f>Grandview_Inventory[[#This Row],[land_value]]</f>
        <v>139628.15841119783</v>
      </c>
      <c r="BT10" s="4">
        <f>_xlfn.IFNA(VLOOKUP(Grandview_Inventory[[#This Row],[quality]],Lookups!$A$26:$C$33,3,FALSE),1)</f>
        <v>0.98079741117310582</v>
      </c>
      <c r="BU10" s="4">
        <f>_xlfn.IFNA(VLOOKUP(Grandview_Inventory[[#This Row],[condition]],Lookups!$A$37:$C$44,3,FALSE),1)</f>
        <v>0.96469275950863709</v>
      </c>
      <c r="BV10" s="4">
        <f>IF(Grandview_Inventory[[#This Row],[bldg_style]]="",1,_xlfn.IFNA(VLOOKUP(Grandview_Inventory[[#This Row],[decade]],Lookups!$F$29:$H$43,3,FALSE),1))</f>
        <v>0.9251738460551937</v>
      </c>
      <c r="BW10" s="4">
        <f>_xlfn.IFNA(VLOOKUP(Grandview_Inventory[[#This Row],[living_area_range]],Lookups!$F$47:$H$56,3,FALSE),1)</f>
        <v>0.96135087979789358</v>
      </c>
      <c r="BX10" s="4">
        <f>AVERAGE(Grandview_Inventory[[#This Row],[qual_adj]:[size_adj]])</f>
        <v>0.9580037241337076</v>
      </c>
      <c r="BY10" s="6">
        <f>IF(Grandview_Inventory[[#This Row],[pre_res]]&lt;0,0,Grandview_Inventory[[#This Row],[pre_res]]*Grandview_Inventory[[#This Row],[overall_adj]])</f>
        <v>339883.87325863185</v>
      </c>
      <c r="BZ10" s="6">
        <f>(Grandview_Inventory[[#This Row],[sum_land]]-IF(Grandview_Inventory[[#This Row],[no_utilities]]=1,12000,0))/IF(Grandview_Inventory[[#This Row],[unbuildable]]=1,2,1)</f>
        <v>139628.15841119783</v>
      </c>
      <c r="CA10">
        <f>IF(ROUND(Grandview_Inventory[[#This Row],[adj_land]]*Lookups!$M$28,-2)&lt;Grandview_Inventory[[#This Row],[min_land]],Grandview_Inventory[[#This Row],[min_land]],ROUND(Grandview_Inventory[[#This Row],[adj_land]]*Lookups!$M$28,-2))</f>
        <v>132600</v>
      </c>
      <c r="CB10">
        <f>ROUND(Grandview_Inventory[[#This Row],[det_value]]*Lookups!$M$28,-2)</f>
        <v>102600</v>
      </c>
      <c r="CC10">
        <f>IF(ROUND(Grandview_Inventory[[#This Row],[adj_res]]*Lookups!$M$28,-2)&lt;Grandview_Inventory[[#This Row],[min_res]],Grandview_Inventory[[#This Row],[min_res]],ROUND(Grandview_Inventory[[#This Row],[adj_res]]*Lookups!$M$28,-2))</f>
        <v>322900</v>
      </c>
      <c r="CD10">
        <f>Grandview_Inventory[[#This Row],[final_det]]+Grandview_Inventory[[#This Row],[final_res]]</f>
        <v>425500</v>
      </c>
      <c r="CE10">
        <f>Grandview_Inventory[[#This Row],[final_land]]+Grandview_Inventory[[#This Row],[final_imp]]+Grandview_Inventory[[#This Row],[crop_value]]</f>
        <v>634100</v>
      </c>
      <c r="CG10" t="str">
        <f t="shared" si="0"/>
        <v>update valuation set market_land =132600, market_bldg=425500, market_total =634100, market_mdno =401, market_date ='9/10/2023' where link_id = (select link_id from parcel where parcel_year = '2024' and parcel_id = '23091041003');</v>
      </c>
    </row>
    <row r="11" spans="1:86" x14ac:dyDescent="0.25">
      <c r="A11">
        <v>23091321008</v>
      </c>
      <c r="B11">
        <v>15.65</v>
      </c>
      <c r="C11" t="s">
        <v>129</v>
      </c>
      <c r="D11" t="s">
        <v>129</v>
      </c>
      <c r="E11" t="s">
        <v>53</v>
      </c>
      <c r="F11" t="s">
        <v>53</v>
      </c>
      <c r="G11">
        <v>4</v>
      </c>
      <c r="H11" t="s">
        <v>54</v>
      </c>
      <c r="I11">
        <v>362000</v>
      </c>
      <c r="J11">
        <v>104300</v>
      </c>
      <c r="K11">
        <v>15.65</v>
      </c>
      <c r="L11">
        <f>IF(Grandview_Inventory[[#This Row],[parcel_acres]]-Grandview_Inventory[[#This Row],[non_valued_acres]] =0,0,LN(Grandview_Inventory[[#This Row],[parcel_acres]]-Grandview_Inventory[[#This Row],[non_valued_acres]]))</f>
        <v>2.7504709169861621</v>
      </c>
      <c r="M11">
        <v>0</v>
      </c>
      <c r="N11">
        <v>0</v>
      </c>
      <c r="O11">
        <v>0</v>
      </c>
      <c r="P11">
        <v>13398.7528</v>
      </c>
      <c r="Q11">
        <v>63903</v>
      </c>
      <c r="R11">
        <f>(Grandview_Inventory[[#This Row],[ln_acres]]*Grandview_Inventory[[#This Row],[coeff]])+Grandview_Inventory[[#This Row],[const]]</f>
        <v>100755.87990028691</v>
      </c>
      <c r="S11" t="s">
        <v>58</v>
      </c>
      <c r="T11">
        <v>1</v>
      </c>
      <c r="U11" t="s">
        <v>64</v>
      </c>
      <c r="V11" t="s">
        <v>66</v>
      </c>
      <c r="W11">
        <v>0</v>
      </c>
      <c r="X11">
        <v>0</v>
      </c>
      <c r="Y11">
        <v>13</v>
      </c>
      <c r="Z11">
        <v>13</v>
      </c>
      <c r="AA11">
        <v>20</v>
      </c>
      <c r="AB11">
        <v>3000</v>
      </c>
      <c r="AC11">
        <v>2564</v>
      </c>
      <c r="AD11">
        <v>2564</v>
      </c>
      <c r="AE11">
        <v>0</v>
      </c>
      <c r="AF11">
        <v>0</v>
      </c>
      <c r="AG11">
        <v>0</v>
      </c>
      <c r="AH11">
        <v>0</v>
      </c>
      <c r="AI11">
        <v>484</v>
      </c>
      <c r="AJ11">
        <v>0</v>
      </c>
      <c r="AK11">
        <v>0</v>
      </c>
      <c r="AL11">
        <v>672</v>
      </c>
      <c r="AM11">
        <v>0</v>
      </c>
      <c r="AN11">
        <v>64</v>
      </c>
      <c r="AO11">
        <v>112</v>
      </c>
      <c r="AP11">
        <v>15</v>
      </c>
      <c r="AQ11">
        <v>0</v>
      </c>
      <c r="AR11">
        <v>0</v>
      </c>
      <c r="AS11" t="s">
        <v>58</v>
      </c>
      <c r="AT11">
        <v>1</v>
      </c>
      <c r="AU11" t="s">
        <v>59</v>
      </c>
      <c r="AV11" t="s">
        <v>60</v>
      </c>
      <c r="AW11">
        <v>1</v>
      </c>
      <c r="AX11">
        <v>4</v>
      </c>
      <c r="AY11">
        <v>0</v>
      </c>
      <c r="AZ11">
        <v>29300</v>
      </c>
      <c r="BA11">
        <v>100</v>
      </c>
      <c r="BB11">
        <v>100</v>
      </c>
      <c r="BC11">
        <v>100</v>
      </c>
      <c r="BD11">
        <v>100</v>
      </c>
      <c r="BE11">
        <v>1</v>
      </c>
      <c r="BF11">
        <v>15000</v>
      </c>
      <c r="BG11">
        <v>1000</v>
      </c>
      <c r="BH11" s="6">
        <f>Grandview_Inventory[[#This Row],[land_extract]]*Lookups!$B$3</f>
        <v>117007.53128732745</v>
      </c>
      <c r="BI11" s="6">
        <f>IF(Grandview_Inventory[[#This Row],[bldg_style]]="",0,Lookups!$B$2)</f>
        <v>155833.95000000001</v>
      </c>
      <c r="BJ11" s="6">
        <f>_xlfn.IFNA(VLOOKUP(Grandview_Inventory[[#This Row],[quality]],Lookups!$H$2:$J$14,3,FALSE),0)</f>
        <v>20768</v>
      </c>
      <c r="BK11" s="6">
        <f>_xlfn.IFNA(VLOOKUP(Grandview_Inventory[[#This Row],[condition]],Lookups!$H$17:$J$24,3,FALSE),0)</f>
        <v>25818</v>
      </c>
      <c r="BL11" s="6">
        <f>Grandview_Inventory[[#This Row],[Eff_Age]]*Lookups!$B$14</f>
        <v>-3109.1657999999998</v>
      </c>
      <c r="BM11" s="6">
        <f>Grandview_Inventory[[#This Row],[living_area]]*Lookups!$B$15</f>
        <v>159944.50709200001</v>
      </c>
      <c r="BN11" s="6">
        <f>Grandview_Inventory[[#This Row],[Fin BSMT]]*Lookups!$B$16</f>
        <v>0</v>
      </c>
      <c r="BO11" s="6">
        <f>(Grandview_Inventory[[#This Row],[att_gar]]+Grandview_Inventory[[#This Row],[bltin_gar]])*Lookups!$B$17</f>
        <v>42359.891508000001</v>
      </c>
      <c r="BP11" s="6">
        <f>Grandview_Inventory[[#This Row],[Plumbing Fixtures]]*Lookups!$B$18</f>
        <v>30156.627</v>
      </c>
      <c r="BQ11" s="6">
        <f>Grandview_Inventory[[#This Row],[detatched_value]]*Lookups!$B$19</f>
        <v>24811.389429999999</v>
      </c>
      <c r="BR11" s="6">
        <f>SUM(Grandview_Inventory[[#This Row],[Intercept]:[det_value]])*Grandview_Inventory[[#This Row],[res_pct]]</f>
        <v>456583.19923000003</v>
      </c>
      <c r="BS11" s="6">
        <f>Grandview_Inventory[[#This Row],[land_value]]</f>
        <v>117007.53128732745</v>
      </c>
      <c r="BT11" s="4">
        <f>_xlfn.IFNA(VLOOKUP(Grandview_Inventory[[#This Row],[quality]],Lookups!$A$26:$C$33,3,FALSE),1)</f>
        <v>0.94960540378902636</v>
      </c>
      <c r="BU11" s="4">
        <f>_xlfn.IFNA(VLOOKUP(Grandview_Inventory[[#This Row],[condition]],Lookups!$A$37:$C$44,3,FALSE),1)</f>
        <v>0.96661476234146892</v>
      </c>
      <c r="BV11" s="4">
        <f>IF(Grandview_Inventory[[#This Row],[bldg_style]]="",1,_xlfn.IFNA(VLOOKUP(Grandview_Inventory[[#This Row],[decade]],Lookups!$F$29:$H$43,3,FALSE),1))</f>
        <v>0.96737494181490646</v>
      </c>
      <c r="BW11" s="4">
        <f>_xlfn.IFNA(VLOOKUP(Grandview_Inventory[[#This Row],[living_area_range]],Lookups!$F$47:$H$56,3,FALSE),1)</f>
        <v>0.94224801443562123</v>
      </c>
      <c r="BX11" s="4">
        <f>AVERAGE(Grandview_Inventory[[#This Row],[qual_adj]:[size_adj]])</f>
        <v>0.95646078059525574</v>
      </c>
      <c r="BY11" s="6">
        <f>IF(Grandview_Inventory[[#This Row],[pre_res]]&lt;0,0,Grandview_Inventory[[#This Row],[pre_res]]*Grandview_Inventory[[#This Row],[overall_adj]])</f>
        <v>436703.92314220499</v>
      </c>
      <c r="BZ11" s="6">
        <f>(Grandview_Inventory[[#This Row],[sum_land]]-IF(Grandview_Inventory[[#This Row],[no_utilities]]=1,12000,0))/IF(Grandview_Inventory[[#This Row],[unbuildable]]=1,2,1)</f>
        <v>117007.53128732745</v>
      </c>
      <c r="CA11">
        <f>IF(ROUND(Grandview_Inventory[[#This Row],[adj_land]]*Lookups!$M$28,-2)&lt;Grandview_Inventory[[#This Row],[min_land]],Grandview_Inventory[[#This Row],[min_land]],ROUND(Grandview_Inventory[[#This Row],[adj_land]]*Lookups!$M$28,-2))</f>
        <v>111200</v>
      </c>
      <c r="CB11">
        <f>ROUND(Grandview_Inventory[[#This Row],[det_value]]*Lookups!$M$28,-2)</f>
        <v>23600</v>
      </c>
      <c r="CC11">
        <f>IF(ROUND(Grandview_Inventory[[#This Row],[adj_res]]*Lookups!$M$28,-2)&lt;Grandview_Inventory[[#This Row],[min_res]],Grandview_Inventory[[#This Row],[min_res]],ROUND(Grandview_Inventory[[#This Row],[adj_res]]*Lookups!$M$28,-2))</f>
        <v>414900</v>
      </c>
      <c r="CD11">
        <f>Grandview_Inventory[[#This Row],[final_det]]+Grandview_Inventory[[#This Row],[final_res]]</f>
        <v>438500</v>
      </c>
      <c r="CE11">
        <f>Grandview_Inventory[[#This Row],[final_land]]+Grandview_Inventory[[#This Row],[final_imp]]+Grandview_Inventory[[#This Row],[crop_value]]</f>
        <v>549700</v>
      </c>
      <c r="CG11" t="str">
        <f t="shared" si="0"/>
        <v>update valuation set market_land =111200, market_bldg=438500, market_total =549700, market_mdno =401, market_date ='9/10/2023' where link_id = (select link_id from parcel where parcel_year = '2024' and parcel_id = '23091321008');</v>
      </c>
    </row>
    <row r="12" spans="1:86" x14ac:dyDescent="0.25">
      <c r="A12">
        <v>23091321009</v>
      </c>
      <c r="B12">
        <v>0.68</v>
      </c>
      <c r="C12" t="s">
        <v>129</v>
      </c>
      <c r="D12" t="s">
        <v>129</v>
      </c>
      <c r="E12" t="s">
        <v>53</v>
      </c>
      <c r="F12" t="s">
        <v>53</v>
      </c>
      <c r="G12">
        <v>4</v>
      </c>
      <c r="H12" t="s">
        <v>54</v>
      </c>
      <c r="I12">
        <v>174600</v>
      </c>
      <c r="J12">
        <v>49100</v>
      </c>
      <c r="K12">
        <v>0.68</v>
      </c>
      <c r="L12">
        <f>IF(Grandview_Inventory[[#This Row],[parcel_acres]]-Grandview_Inventory[[#This Row],[non_valued_acres]] =0,0,LN(Grandview_Inventory[[#This Row],[parcel_acres]]-Grandview_Inventory[[#This Row],[non_valued_acres]]))</f>
        <v>-0.38566248081198462</v>
      </c>
      <c r="M12">
        <v>0</v>
      </c>
      <c r="N12">
        <v>0</v>
      </c>
      <c r="O12">
        <v>0</v>
      </c>
      <c r="P12">
        <v>13398.7528</v>
      </c>
      <c r="Q12">
        <v>63903</v>
      </c>
      <c r="R12">
        <f>(Grandview_Inventory[[#This Row],[ln_acres]]*Grandview_Inventory[[#This Row],[coeff]])+Grandview_Inventory[[#This Row],[const]]</f>
        <v>58735.603755365475</v>
      </c>
      <c r="S12" t="s">
        <v>61</v>
      </c>
      <c r="T12">
        <v>1</v>
      </c>
      <c r="U12" t="s">
        <v>65</v>
      </c>
      <c r="V12" t="s">
        <v>69</v>
      </c>
      <c r="W12">
        <v>0</v>
      </c>
      <c r="X12">
        <v>0</v>
      </c>
      <c r="Y12">
        <v>49</v>
      </c>
      <c r="Z12">
        <v>68</v>
      </c>
      <c r="AA12">
        <v>70</v>
      </c>
      <c r="AB12">
        <v>2000</v>
      </c>
      <c r="AC12">
        <v>1622</v>
      </c>
      <c r="AD12">
        <v>1622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5</v>
      </c>
      <c r="AQ12">
        <v>0</v>
      </c>
      <c r="AR12">
        <v>1</v>
      </c>
      <c r="AS12" t="s">
        <v>58</v>
      </c>
      <c r="AT12">
        <v>1</v>
      </c>
      <c r="AU12" t="s">
        <v>63</v>
      </c>
      <c r="AV12" t="s">
        <v>81</v>
      </c>
      <c r="AW12">
        <v>1</v>
      </c>
      <c r="AX12">
        <v>3</v>
      </c>
      <c r="AY12">
        <v>0</v>
      </c>
      <c r="AZ12">
        <v>7000</v>
      </c>
      <c r="BA12">
        <v>100</v>
      </c>
      <c r="BB12">
        <v>100</v>
      </c>
      <c r="BC12">
        <v>100</v>
      </c>
      <c r="BD12">
        <v>100</v>
      </c>
      <c r="BE12">
        <v>1</v>
      </c>
      <c r="BF12">
        <v>15000</v>
      </c>
      <c r="BG12">
        <v>1000</v>
      </c>
      <c r="BH12" s="6">
        <f>Grandview_Inventory[[#This Row],[land_extract]]*Lookups!$B$3</f>
        <v>68209.498054975789</v>
      </c>
      <c r="BI12" s="6">
        <f>IF(Grandview_Inventory[[#This Row],[bldg_style]]="",0,Lookups!$B$2)</f>
        <v>155833.95000000001</v>
      </c>
      <c r="BJ12" s="6">
        <f>_xlfn.IFNA(VLOOKUP(Grandview_Inventory[[#This Row],[quality]],Lookups!$H$2:$J$14,3,FALSE),0)</f>
        <v>2251</v>
      </c>
      <c r="BK12" s="6">
        <f>_xlfn.IFNA(VLOOKUP(Grandview_Inventory[[#This Row],[condition]],Lookups!$H$17:$J$24,3,FALSE),0)</f>
        <v>-4503</v>
      </c>
      <c r="BL12" s="6">
        <f>Grandview_Inventory[[#This Row],[Eff_Age]]*Lookups!$B$14</f>
        <v>-11719.163399999999</v>
      </c>
      <c r="BM12" s="6">
        <f>Grandview_Inventory[[#This Row],[living_area]]*Lookups!$B$15</f>
        <v>101181.743566</v>
      </c>
      <c r="BN12" s="6">
        <f>Grandview_Inventory[[#This Row],[Fin BSMT]]*Lookups!$B$16</f>
        <v>0</v>
      </c>
      <c r="BO12" s="6">
        <f>(Grandview_Inventory[[#This Row],[att_gar]]+Grandview_Inventory[[#This Row],[bltin_gar]])*Lookups!$B$17</f>
        <v>0</v>
      </c>
      <c r="BP12" s="6">
        <f>Grandview_Inventory[[#This Row],[Plumbing Fixtures]]*Lookups!$B$18</f>
        <v>10052.209000000001</v>
      </c>
      <c r="BQ12" s="6">
        <f>Grandview_Inventory[[#This Row],[detatched_value]]*Lookups!$B$19</f>
        <v>5927.6356999999998</v>
      </c>
      <c r="BR12" s="6">
        <f>SUM(Grandview_Inventory[[#This Row],[Intercept]:[det_value]])*Grandview_Inventory[[#This Row],[res_pct]]</f>
        <v>259024.37486600003</v>
      </c>
      <c r="BS12" s="6">
        <f>Grandview_Inventory[[#This Row],[land_value]]</f>
        <v>68209.498054975789</v>
      </c>
      <c r="BT12" s="4">
        <f>_xlfn.IFNA(VLOOKUP(Grandview_Inventory[[#This Row],[quality]],Lookups!$A$26:$C$33,3,FALSE),1)</f>
        <v>0.98763855981004833</v>
      </c>
      <c r="BU12" s="4">
        <f>_xlfn.IFNA(VLOOKUP(Grandview_Inventory[[#This Row],[condition]],Lookups!$A$37:$C$44,3,FALSE),1)</f>
        <v>0.96469275950863709</v>
      </c>
      <c r="BV12" s="4">
        <f>IF(Grandview_Inventory[[#This Row],[bldg_style]]="",1,_xlfn.IFNA(VLOOKUP(Grandview_Inventory[[#This Row],[decade]],Lookups!$F$29:$H$43,3,FALSE),1))</f>
        <v>0.99472141305414818</v>
      </c>
      <c r="BW12" s="4">
        <f>_xlfn.IFNA(VLOOKUP(Grandview_Inventory[[#This Row],[living_area_range]],Lookups!$F$47:$H$56,3,FALSE),1)</f>
        <v>0.96120133463014379</v>
      </c>
      <c r="BX12" s="4">
        <f>AVERAGE(Grandview_Inventory[[#This Row],[qual_adj]:[size_adj]])</f>
        <v>0.97706351675074443</v>
      </c>
      <c r="BY12" s="6">
        <f>IF(Grandview_Inventory[[#This Row],[pre_res]]&lt;0,0,Grandview_Inventory[[#This Row],[pre_res]]*Grandview_Inventory[[#This Row],[overall_adj]])</f>
        <v>253083.26663073711</v>
      </c>
      <c r="BZ12" s="6">
        <f>(Grandview_Inventory[[#This Row],[sum_land]]-IF(Grandview_Inventory[[#This Row],[no_utilities]]=1,12000,0))/IF(Grandview_Inventory[[#This Row],[unbuildable]]=1,2,1)</f>
        <v>68209.498054975789</v>
      </c>
      <c r="CA12">
        <f>IF(ROUND(Grandview_Inventory[[#This Row],[adj_land]]*Lookups!$M$28,-2)&lt;Grandview_Inventory[[#This Row],[min_land]],Grandview_Inventory[[#This Row],[min_land]],ROUND(Grandview_Inventory[[#This Row],[adj_land]]*Lookups!$M$28,-2))</f>
        <v>64800</v>
      </c>
      <c r="CB12">
        <f>ROUND(Grandview_Inventory[[#This Row],[det_value]]*Lookups!$M$28,-2)</f>
        <v>5600</v>
      </c>
      <c r="CC12">
        <f>IF(ROUND(Grandview_Inventory[[#This Row],[adj_res]]*Lookups!$M$28,-2)&lt;Grandview_Inventory[[#This Row],[min_res]],Grandview_Inventory[[#This Row],[min_res]],ROUND(Grandview_Inventory[[#This Row],[adj_res]]*Lookups!$M$28,-2))</f>
        <v>240400</v>
      </c>
      <c r="CD12">
        <f>Grandview_Inventory[[#This Row],[final_det]]+Grandview_Inventory[[#This Row],[final_res]]</f>
        <v>246000</v>
      </c>
      <c r="CE12">
        <f>Grandview_Inventory[[#This Row],[final_land]]+Grandview_Inventory[[#This Row],[final_imp]]+Grandview_Inventory[[#This Row],[crop_value]]</f>
        <v>310800</v>
      </c>
      <c r="CG12" t="str">
        <f t="shared" si="0"/>
        <v>update valuation set market_land =64800, market_bldg=246000, market_total =310800, market_mdno =401, market_date ='9/10/2023' where link_id = (select link_id from parcel where parcel_year = '2024' and parcel_id = '23091321009');</v>
      </c>
    </row>
    <row r="13" spans="1:86" x14ac:dyDescent="0.25">
      <c r="A13">
        <v>23091323001</v>
      </c>
      <c r="B13">
        <v>10.68</v>
      </c>
      <c r="C13">
        <v>465030</v>
      </c>
      <c r="D13" t="s">
        <v>129</v>
      </c>
      <c r="E13" t="s">
        <v>53</v>
      </c>
      <c r="F13" t="s">
        <v>53</v>
      </c>
      <c r="G13">
        <v>4</v>
      </c>
      <c r="H13" t="s">
        <v>54</v>
      </c>
      <c r="I13">
        <v>125500</v>
      </c>
      <c r="J13">
        <v>82500</v>
      </c>
      <c r="K13">
        <v>10.68</v>
      </c>
      <c r="L13">
        <f>IF(Grandview_Inventory[[#This Row],[parcel_acres]]-Grandview_Inventory[[#This Row],[non_valued_acres]] =0,0,LN(Grandview_Inventory[[#This Row],[parcel_acres]]-Grandview_Inventory[[#This Row],[non_valued_acres]]))</f>
        <v>2.3683728335320486</v>
      </c>
      <c r="M13">
        <v>0</v>
      </c>
      <c r="N13">
        <v>0</v>
      </c>
      <c r="O13">
        <v>0</v>
      </c>
      <c r="P13">
        <v>13398.7528</v>
      </c>
      <c r="Q13">
        <v>63903</v>
      </c>
      <c r="R13">
        <f>(Grandview_Inventory[[#This Row],[ln_acres]]*Grandview_Inventory[[#This Row],[coeff]])+Grandview_Inventory[[#This Row],[const]]</f>
        <v>95636.242134731467</v>
      </c>
      <c r="S13" t="s">
        <v>68</v>
      </c>
      <c r="T13">
        <v>1</v>
      </c>
      <c r="U13" t="s">
        <v>70</v>
      </c>
      <c r="V13" t="s">
        <v>94</v>
      </c>
      <c r="W13">
        <v>0</v>
      </c>
      <c r="X13">
        <v>0</v>
      </c>
      <c r="Y13">
        <v>51</v>
      </c>
      <c r="Z13">
        <v>83</v>
      </c>
      <c r="AA13">
        <v>90</v>
      </c>
      <c r="AB13">
        <v>2000</v>
      </c>
      <c r="AC13">
        <v>1751</v>
      </c>
      <c r="AD13">
        <v>1751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630</v>
      </c>
      <c r="AN13">
        <v>468</v>
      </c>
      <c r="AO13">
        <v>378</v>
      </c>
      <c r="AP13">
        <v>8</v>
      </c>
      <c r="AQ13">
        <v>1</v>
      </c>
      <c r="AR13">
        <v>0</v>
      </c>
      <c r="AS13" t="s">
        <v>58</v>
      </c>
      <c r="AT13">
        <v>1</v>
      </c>
      <c r="AU13" t="s">
        <v>75</v>
      </c>
      <c r="AV13" t="s">
        <v>60</v>
      </c>
      <c r="AW13">
        <v>0</v>
      </c>
      <c r="AX13">
        <v>3</v>
      </c>
      <c r="AY13">
        <v>23400</v>
      </c>
      <c r="AZ13">
        <v>0</v>
      </c>
      <c r="BA13">
        <v>100</v>
      </c>
      <c r="BB13">
        <v>100</v>
      </c>
      <c r="BC13">
        <v>100</v>
      </c>
      <c r="BD13">
        <v>100</v>
      </c>
      <c r="BE13">
        <v>1</v>
      </c>
      <c r="BF13">
        <v>15000</v>
      </c>
      <c r="BG13">
        <v>1000</v>
      </c>
      <c r="BH13" s="6">
        <f>Grandview_Inventory[[#This Row],[land_extract]]*Lookups!$B$3</f>
        <v>111062.10977320989</v>
      </c>
      <c r="BI13" s="6">
        <f>IF(Grandview_Inventory[[#This Row],[bldg_style]]="",0,Lookups!$B$2)</f>
        <v>155833.95000000001</v>
      </c>
      <c r="BJ13" s="6">
        <f>_xlfn.IFNA(VLOOKUP(Grandview_Inventory[[#This Row],[quality]],Lookups!$H$2:$J$14,3,FALSE),0)</f>
        <v>10733</v>
      </c>
      <c r="BK13" s="6">
        <f>_xlfn.IFNA(VLOOKUP(Grandview_Inventory[[#This Row],[condition]],Lookups!$H$17:$J$24,3,FALSE),0)</f>
        <v>-77566.475205170951</v>
      </c>
      <c r="BL13" s="6">
        <f>Grandview_Inventory[[#This Row],[Eff_Age]]*Lookups!$B$14</f>
        <v>-12197.496599999999</v>
      </c>
      <c r="BM13" s="6">
        <f>Grandview_Inventory[[#This Row],[living_area]]*Lookups!$B$15</f>
        <v>109228.873603</v>
      </c>
      <c r="BN13" s="6">
        <f>Grandview_Inventory[[#This Row],[Fin BSMT]]*Lookups!$B$16</f>
        <v>0</v>
      </c>
      <c r="BO13" s="6">
        <f>(Grandview_Inventory[[#This Row],[att_gar]]+Grandview_Inventory[[#This Row],[bltin_gar]])*Lookups!$B$17</f>
        <v>0</v>
      </c>
      <c r="BP13" s="6">
        <f>Grandview_Inventory[[#This Row],[Plumbing Fixtures]]*Lookups!$B$18</f>
        <v>16083.5344</v>
      </c>
      <c r="BQ13" s="6">
        <f>Grandview_Inventory[[#This Row],[detatched_value]]*Lookups!$B$19</f>
        <v>0</v>
      </c>
      <c r="BR13" s="6">
        <f>SUM(Grandview_Inventory[[#This Row],[Intercept]:[det_value]])*Grandview_Inventory[[#This Row],[res_pct]]</f>
        <v>202115.38619782907</v>
      </c>
      <c r="BS13" s="6">
        <f>Grandview_Inventory[[#This Row],[land_value]]</f>
        <v>111062.10977320989</v>
      </c>
      <c r="BT13" s="4">
        <f>_xlfn.IFNA(VLOOKUP(Grandview_Inventory[[#This Row],[quality]],Lookups!$A$26:$C$33,3,FALSE),1)</f>
        <v>0.98079741117310582</v>
      </c>
      <c r="BU13" s="4">
        <f>_xlfn.IFNA(VLOOKUP(Grandview_Inventory[[#This Row],[condition]],Lookups!$A$37:$C$44,3,FALSE),1)</f>
        <v>0.97161819570155394</v>
      </c>
      <c r="BV13" s="4">
        <f>IF(Grandview_Inventory[[#This Row],[bldg_style]]="",1,_xlfn.IFNA(VLOOKUP(Grandview_Inventory[[#This Row],[decade]],Lookups!$F$29:$H$43,3,FALSE),1))</f>
        <v>0.94161750052457416</v>
      </c>
      <c r="BW13" s="4">
        <f>_xlfn.IFNA(VLOOKUP(Grandview_Inventory[[#This Row],[living_area_range]],Lookups!$F$47:$H$56,3,FALSE),1)</f>
        <v>0.96120133463014379</v>
      </c>
      <c r="BX13" s="4">
        <f>AVERAGE(Grandview_Inventory[[#This Row],[qual_adj]:[size_adj]])</f>
        <v>0.96380861050734445</v>
      </c>
      <c r="BY13" s="6">
        <f>IF(Grandview_Inventory[[#This Row],[pre_res]]&lt;0,0,Grandview_Inventory[[#This Row],[pre_res]]*Grandview_Inventory[[#This Row],[overall_adj]])</f>
        <v>194800.54953348494</v>
      </c>
      <c r="BZ13" s="6">
        <f>(Grandview_Inventory[[#This Row],[sum_land]]-IF(Grandview_Inventory[[#This Row],[no_utilities]]=1,12000,0))/IF(Grandview_Inventory[[#This Row],[unbuildable]]=1,2,1)</f>
        <v>111062.10977320989</v>
      </c>
      <c r="CA13">
        <f>IF(ROUND(Grandview_Inventory[[#This Row],[adj_land]]*Lookups!$M$28,-2)&lt;Grandview_Inventory[[#This Row],[min_land]],Grandview_Inventory[[#This Row],[min_land]],ROUND(Grandview_Inventory[[#This Row],[adj_land]]*Lookups!$M$28,-2))</f>
        <v>105500</v>
      </c>
      <c r="CB13">
        <f>ROUND(Grandview_Inventory[[#This Row],[det_value]]*Lookups!$M$28,-2)</f>
        <v>0</v>
      </c>
      <c r="CC13">
        <f>IF(ROUND(Grandview_Inventory[[#This Row],[adj_res]]*Lookups!$M$28,-2)&lt;Grandview_Inventory[[#This Row],[min_res]],Grandview_Inventory[[#This Row],[min_res]],ROUND(Grandview_Inventory[[#This Row],[adj_res]]*Lookups!$M$28,-2))</f>
        <v>185100</v>
      </c>
      <c r="CD13">
        <f>Grandview_Inventory[[#This Row],[final_det]]+Grandview_Inventory[[#This Row],[final_res]]</f>
        <v>185100</v>
      </c>
      <c r="CE13">
        <f>Grandview_Inventory[[#This Row],[final_land]]+Grandview_Inventory[[#This Row],[final_imp]]+Grandview_Inventory[[#This Row],[crop_value]]</f>
        <v>314000</v>
      </c>
      <c r="CG13" t="str">
        <f t="shared" si="0"/>
        <v>update valuation set market_land =105500, market_bldg=185100, market_total =314000, market_mdno =401, market_date ='9/10/2023' where link_id = (select link_id from parcel where parcel_year = '2024' and parcel_id = '23091323001');</v>
      </c>
    </row>
    <row r="14" spans="1:86" x14ac:dyDescent="0.25">
      <c r="A14">
        <v>23091323006</v>
      </c>
      <c r="B14">
        <v>1.47</v>
      </c>
      <c r="C14">
        <v>64164</v>
      </c>
      <c r="D14" t="s">
        <v>129</v>
      </c>
      <c r="E14" t="s">
        <v>53</v>
      </c>
      <c r="F14" t="s">
        <v>53</v>
      </c>
      <c r="G14">
        <v>4</v>
      </c>
      <c r="H14" t="s">
        <v>54</v>
      </c>
      <c r="I14">
        <v>405800</v>
      </c>
      <c r="J14">
        <v>44900</v>
      </c>
      <c r="K14">
        <v>1.47</v>
      </c>
      <c r="L14">
        <f>IF(Grandview_Inventory[[#This Row],[parcel_acres]]-Grandview_Inventory[[#This Row],[non_valued_acres]] =0,0,LN(Grandview_Inventory[[#This Row],[parcel_acres]]-Grandview_Inventory[[#This Row],[non_valued_acres]]))</f>
        <v>0.38526240079064489</v>
      </c>
      <c r="M14">
        <v>0</v>
      </c>
      <c r="N14">
        <v>0</v>
      </c>
      <c r="O14">
        <v>0</v>
      </c>
      <c r="P14">
        <v>13398.7528</v>
      </c>
      <c r="Q14">
        <v>63903</v>
      </c>
      <c r="R14">
        <f>(Grandview_Inventory[[#This Row],[ln_acres]]*Grandview_Inventory[[#This Row],[coeff]])+Grandview_Inventory[[#This Row],[const]]</f>
        <v>69065.035671328369</v>
      </c>
      <c r="S14" t="s">
        <v>61</v>
      </c>
      <c r="T14">
        <v>1</v>
      </c>
      <c r="U14" t="s">
        <v>62</v>
      </c>
      <c r="V14" t="s">
        <v>67</v>
      </c>
      <c r="W14">
        <v>0</v>
      </c>
      <c r="X14">
        <v>0</v>
      </c>
      <c r="Y14">
        <v>24</v>
      </c>
      <c r="Z14">
        <v>24</v>
      </c>
      <c r="AA14">
        <v>30</v>
      </c>
      <c r="AB14">
        <v>5000</v>
      </c>
      <c r="AC14">
        <v>4800</v>
      </c>
      <c r="AD14">
        <v>2400</v>
      </c>
      <c r="AE14">
        <v>0</v>
      </c>
      <c r="AF14">
        <v>0</v>
      </c>
      <c r="AG14">
        <v>2400</v>
      </c>
      <c r="AH14">
        <v>0</v>
      </c>
      <c r="AI14">
        <v>576</v>
      </c>
      <c r="AJ14">
        <v>0</v>
      </c>
      <c r="AK14">
        <v>0</v>
      </c>
      <c r="AL14">
        <v>0</v>
      </c>
      <c r="AM14">
        <v>0</v>
      </c>
      <c r="AN14">
        <v>576</v>
      </c>
      <c r="AO14">
        <v>0</v>
      </c>
      <c r="AP14">
        <v>8</v>
      </c>
      <c r="AQ14">
        <v>0</v>
      </c>
      <c r="AR14">
        <v>1</v>
      </c>
      <c r="AS14" t="s">
        <v>58</v>
      </c>
      <c r="AT14">
        <v>1</v>
      </c>
      <c r="AU14" t="s">
        <v>63</v>
      </c>
      <c r="AV14" t="s">
        <v>64</v>
      </c>
      <c r="AW14">
        <v>1</v>
      </c>
      <c r="AX14">
        <v>3</v>
      </c>
      <c r="AY14">
        <v>0</v>
      </c>
      <c r="AZ14">
        <v>44500</v>
      </c>
      <c r="BA14">
        <v>100</v>
      </c>
      <c r="BB14">
        <v>100</v>
      </c>
      <c r="BC14">
        <v>100</v>
      </c>
      <c r="BD14">
        <v>100</v>
      </c>
      <c r="BE14">
        <v>1</v>
      </c>
      <c r="BF14">
        <v>15000</v>
      </c>
      <c r="BG14">
        <v>1000</v>
      </c>
      <c r="BH14" s="6">
        <f>Grandview_Inventory[[#This Row],[land_extract]]*Lookups!$B$3</f>
        <v>80205.039449517324</v>
      </c>
      <c r="BI14" s="6">
        <f>IF(Grandview_Inventory[[#This Row],[bldg_style]]="",0,Lookups!$B$2)</f>
        <v>155833.95000000001</v>
      </c>
      <c r="BJ14" s="6">
        <f>_xlfn.IFNA(VLOOKUP(Grandview_Inventory[[#This Row],[quality]],Lookups!$H$2:$J$14,3,FALSE),0)</f>
        <v>9808</v>
      </c>
      <c r="BK14" s="6">
        <f>_xlfn.IFNA(VLOOKUP(Grandview_Inventory[[#This Row],[condition]],Lookups!$H$17:$J$24,3,FALSE),0)</f>
        <v>22342</v>
      </c>
      <c r="BL14" s="6">
        <f>Grandview_Inventory[[#This Row],[Eff_Age]]*Lookups!$B$14</f>
        <v>-5739.9983999999995</v>
      </c>
      <c r="BM14" s="6">
        <f>Grandview_Inventory[[#This Row],[living_area]]*Lookups!$B$15</f>
        <v>299428.0944</v>
      </c>
      <c r="BN14" s="6">
        <f>Grandview_Inventory[[#This Row],[Fin BSMT]]*Lookups!$B$16</f>
        <v>-65038.176000000007</v>
      </c>
      <c r="BO14" s="6">
        <f>(Grandview_Inventory[[#This Row],[att_gar]]+Grandview_Inventory[[#This Row],[bltin_gar]])*Lookups!$B$17</f>
        <v>50411.771712000002</v>
      </c>
      <c r="BP14" s="6">
        <f>Grandview_Inventory[[#This Row],[Plumbing Fixtures]]*Lookups!$B$18</f>
        <v>16083.5344</v>
      </c>
      <c r="BQ14" s="6">
        <f>Grandview_Inventory[[#This Row],[detatched_value]]*Lookups!$B$19</f>
        <v>37682.826950000002</v>
      </c>
      <c r="BR14" s="6">
        <f>SUM(Grandview_Inventory[[#This Row],[Intercept]:[det_value]])*Grandview_Inventory[[#This Row],[res_pct]]</f>
        <v>520812.00306200003</v>
      </c>
      <c r="BS14" s="6">
        <f>Grandview_Inventory[[#This Row],[land_value]]</f>
        <v>80205.039449517324</v>
      </c>
      <c r="BT14" s="4">
        <f>_xlfn.IFNA(VLOOKUP(Grandview_Inventory[[#This Row],[quality]],Lookups!$A$26:$C$33,3,FALSE),1)</f>
        <v>0.94295468617355149</v>
      </c>
      <c r="BU14" s="4">
        <f>_xlfn.IFNA(VLOOKUP(Grandview_Inventory[[#This Row],[condition]],Lookups!$A$37:$C$44,3,FALSE),1)</f>
        <v>0.97383723671140243</v>
      </c>
      <c r="BV14" s="4">
        <f>IF(Grandview_Inventory[[#This Row],[bldg_style]]="",1,_xlfn.IFNA(VLOOKUP(Grandview_Inventory[[#This Row],[decade]],Lookups!$F$29:$H$43,3,FALSE),1))</f>
        <v>0.98397821291089549</v>
      </c>
      <c r="BW14" s="4">
        <f>_xlfn.IFNA(VLOOKUP(Grandview_Inventory[[#This Row],[living_area_range]],Lookups!$F$47:$H$56,3,FALSE),1)</f>
        <v>0.90089875105039252</v>
      </c>
      <c r="BX14" s="4">
        <f>AVERAGE(Grandview_Inventory[[#This Row],[qual_adj]:[size_adj]])</f>
        <v>0.95041722171156051</v>
      </c>
      <c r="BY14" s="6">
        <f>IF(Grandview_Inventory[[#This Row],[pre_res]]&lt;0,0,Grandview_Inventory[[#This Row],[pre_res]]*Grandview_Inventory[[#This Row],[overall_adj]])</f>
        <v>494988.69698421884</v>
      </c>
      <c r="BZ14" s="6">
        <f>(Grandview_Inventory[[#This Row],[sum_land]]-IF(Grandview_Inventory[[#This Row],[no_utilities]]=1,12000,0))/IF(Grandview_Inventory[[#This Row],[unbuildable]]=1,2,1)</f>
        <v>80205.039449517324</v>
      </c>
      <c r="CA14">
        <f>IF(ROUND(Grandview_Inventory[[#This Row],[adj_land]]*Lookups!$M$28,-2)&lt;Grandview_Inventory[[#This Row],[min_land]],Grandview_Inventory[[#This Row],[min_land]],ROUND(Grandview_Inventory[[#This Row],[adj_land]]*Lookups!$M$28,-2))</f>
        <v>76200</v>
      </c>
      <c r="CB14">
        <f>ROUND(Grandview_Inventory[[#This Row],[det_value]]*Lookups!$M$28,-2)</f>
        <v>35800</v>
      </c>
      <c r="CC14">
        <f>IF(ROUND(Grandview_Inventory[[#This Row],[adj_res]]*Lookups!$M$28,-2)&lt;Grandview_Inventory[[#This Row],[min_res]],Grandview_Inventory[[#This Row],[min_res]],ROUND(Grandview_Inventory[[#This Row],[adj_res]]*Lookups!$M$28,-2))</f>
        <v>470200</v>
      </c>
      <c r="CD14">
        <f>Grandview_Inventory[[#This Row],[final_det]]+Grandview_Inventory[[#This Row],[final_res]]</f>
        <v>506000</v>
      </c>
      <c r="CE14">
        <f>Grandview_Inventory[[#This Row],[final_land]]+Grandview_Inventory[[#This Row],[final_imp]]+Grandview_Inventory[[#This Row],[crop_value]]</f>
        <v>582200</v>
      </c>
      <c r="CG14" t="str">
        <f t="shared" si="0"/>
        <v>update valuation set market_land =76200, market_bldg=506000, market_total =582200, market_mdno =401, market_date ='9/10/2023' where link_id = (select link_id from parcel where parcel_year = '2024' and parcel_id = '23091323006');</v>
      </c>
    </row>
    <row r="15" spans="1:86" x14ac:dyDescent="0.25">
      <c r="A15">
        <v>23091324401</v>
      </c>
      <c r="B15">
        <v>2.5</v>
      </c>
      <c r="C15" t="s">
        <v>129</v>
      </c>
      <c r="D15" t="s">
        <v>129</v>
      </c>
      <c r="E15" t="s">
        <v>53</v>
      </c>
      <c r="F15" t="s">
        <v>53</v>
      </c>
      <c r="G15">
        <v>4</v>
      </c>
      <c r="H15" t="s">
        <v>54</v>
      </c>
      <c r="I15">
        <v>298100</v>
      </c>
      <c r="J15">
        <v>46600</v>
      </c>
      <c r="K15">
        <v>2.5</v>
      </c>
      <c r="L15">
        <f>IF(Grandview_Inventory[[#This Row],[parcel_acres]]-Grandview_Inventory[[#This Row],[non_valued_acres]] =0,0,LN(Grandview_Inventory[[#This Row],[parcel_acres]]-Grandview_Inventory[[#This Row],[non_valued_acres]]))</f>
        <v>0.91629073187415511</v>
      </c>
      <c r="M15">
        <v>0</v>
      </c>
      <c r="N15">
        <v>0</v>
      </c>
      <c r="O15">
        <v>0</v>
      </c>
      <c r="P15">
        <v>13398.7528</v>
      </c>
      <c r="Q15">
        <v>63903</v>
      </c>
      <c r="R15">
        <f>(Grandview_Inventory[[#This Row],[ln_acres]]*Grandview_Inventory[[#This Row],[coeff]])+Grandview_Inventory[[#This Row],[const]]</f>
        <v>76180.153009312882</v>
      </c>
      <c r="S15" t="s">
        <v>130</v>
      </c>
      <c r="T15">
        <v>1</v>
      </c>
      <c r="U15" t="s">
        <v>56</v>
      </c>
      <c r="V15" t="s">
        <v>66</v>
      </c>
      <c r="W15">
        <v>30700</v>
      </c>
      <c r="X15">
        <v>0</v>
      </c>
      <c r="Y15">
        <v>16</v>
      </c>
      <c r="Z15">
        <v>16</v>
      </c>
      <c r="AA15">
        <v>20</v>
      </c>
      <c r="AB15">
        <v>3000</v>
      </c>
      <c r="AC15">
        <v>2973</v>
      </c>
      <c r="AD15">
        <v>2293</v>
      </c>
      <c r="AE15">
        <v>0</v>
      </c>
      <c r="AF15">
        <v>680</v>
      </c>
      <c r="AG15">
        <v>0</v>
      </c>
      <c r="AH15">
        <v>0</v>
      </c>
      <c r="AI15">
        <v>896</v>
      </c>
      <c r="AJ15">
        <v>0</v>
      </c>
      <c r="AK15">
        <v>0</v>
      </c>
      <c r="AL15">
        <v>0</v>
      </c>
      <c r="AM15">
        <v>0</v>
      </c>
      <c r="AN15">
        <v>181</v>
      </c>
      <c r="AO15">
        <v>0</v>
      </c>
      <c r="AP15">
        <v>14</v>
      </c>
      <c r="AQ15">
        <v>0</v>
      </c>
      <c r="AR15">
        <v>0</v>
      </c>
      <c r="AS15" t="s">
        <v>58</v>
      </c>
      <c r="AT15">
        <v>1</v>
      </c>
      <c r="AU15" t="s">
        <v>59</v>
      </c>
      <c r="AV15" t="s">
        <v>60</v>
      </c>
      <c r="AW15">
        <v>1</v>
      </c>
      <c r="AX15">
        <v>3</v>
      </c>
      <c r="AY15">
        <v>0</v>
      </c>
      <c r="AZ15">
        <v>4600</v>
      </c>
      <c r="BA15">
        <v>100</v>
      </c>
      <c r="BB15">
        <v>100</v>
      </c>
      <c r="BC15">
        <v>100</v>
      </c>
      <c r="BD15">
        <v>100</v>
      </c>
      <c r="BE15">
        <v>1</v>
      </c>
      <c r="BF15">
        <v>15000</v>
      </c>
      <c r="BG15">
        <v>1000</v>
      </c>
      <c r="BH15" s="6">
        <f>Grandview_Inventory[[#This Row],[land_extract]]*Lookups!$B$3</f>
        <v>88467.806003301928</v>
      </c>
      <c r="BI15" s="6">
        <f>IF(Grandview_Inventory[[#This Row],[bldg_style]]="",0,Lookups!$B$2)</f>
        <v>155833.95000000001</v>
      </c>
      <c r="BJ15" s="6">
        <f>_xlfn.IFNA(VLOOKUP(Grandview_Inventory[[#This Row],[quality]],Lookups!$H$2:$J$14,3,FALSE),0)</f>
        <v>56323</v>
      </c>
      <c r="BK15" s="6">
        <f>_xlfn.IFNA(VLOOKUP(Grandview_Inventory[[#This Row],[condition]],Lookups!$H$17:$J$24,3,FALSE),0)</f>
        <v>25818</v>
      </c>
      <c r="BL15" s="6">
        <f>Grandview_Inventory[[#This Row],[Eff_Age]]*Lookups!$B$14</f>
        <v>-3826.6655999999998</v>
      </c>
      <c r="BM15" s="6">
        <f>Grandview_Inventory[[#This Row],[living_area]]*Lookups!$B$15</f>
        <v>185458.27596900001</v>
      </c>
      <c r="BN15" s="6">
        <f>Grandview_Inventory[[#This Row],[Fin BSMT]]*Lookups!$B$16</f>
        <v>0</v>
      </c>
      <c r="BO15" s="6">
        <f>(Grandview_Inventory[[#This Row],[att_gar]]+Grandview_Inventory[[#This Row],[bltin_gar]])*Lookups!$B$17</f>
        <v>78418.311551999999</v>
      </c>
      <c r="BP15" s="6">
        <f>Grandview_Inventory[[#This Row],[Plumbing Fixtures]]*Lookups!$B$18</f>
        <v>28146.1852</v>
      </c>
      <c r="BQ15" s="6">
        <f>Grandview_Inventory[[#This Row],[detatched_value]]*Lookups!$B$19</f>
        <v>3895.3034600000001</v>
      </c>
      <c r="BR15" s="6">
        <f>SUM(Grandview_Inventory[[#This Row],[Intercept]:[det_value]])*Grandview_Inventory[[#This Row],[res_pct]]</f>
        <v>530066.36058099999</v>
      </c>
      <c r="BS15" s="6">
        <f>Grandview_Inventory[[#This Row],[land_value]]</f>
        <v>88467.806003301928</v>
      </c>
      <c r="BT15" s="4">
        <f>_xlfn.IFNA(VLOOKUP(Grandview_Inventory[[#This Row],[quality]],Lookups!$A$26:$C$33,3,FALSE),1)</f>
        <v>0.76437650671582003</v>
      </c>
      <c r="BU15" s="4">
        <f>_xlfn.IFNA(VLOOKUP(Grandview_Inventory[[#This Row],[condition]],Lookups!$A$37:$C$44,3,FALSE),1)</f>
        <v>0.96661476234146892</v>
      </c>
      <c r="BV15" s="4">
        <f>IF(Grandview_Inventory[[#This Row],[bldg_style]]="",1,_xlfn.IFNA(VLOOKUP(Grandview_Inventory[[#This Row],[decade]],Lookups!$F$29:$H$43,3,FALSE),1))</f>
        <v>0.96737494181490646</v>
      </c>
      <c r="BW15" s="4">
        <f>_xlfn.IFNA(VLOOKUP(Grandview_Inventory[[#This Row],[living_area_range]],Lookups!$F$47:$H$56,3,FALSE),1)</f>
        <v>0.94224801443562123</v>
      </c>
      <c r="BX15" s="4">
        <f>AVERAGE(Grandview_Inventory[[#This Row],[qual_adj]:[size_adj]])</f>
        <v>0.91015355632695416</v>
      </c>
      <c r="BY15" s="6">
        <f>IF(Grandview_Inventory[[#This Row],[pre_res]]&lt;0,0,Grandview_Inventory[[#This Row],[pre_res]]*Grandview_Inventory[[#This Row],[overall_adj]])</f>
        <v>482441.78317208274</v>
      </c>
      <c r="BZ15" s="6">
        <f>(Grandview_Inventory[[#This Row],[sum_land]]-IF(Grandview_Inventory[[#This Row],[no_utilities]]=1,12000,0))/IF(Grandview_Inventory[[#This Row],[unbuildable]]=1,2,1)</f>
        <v>88467.806003301928</v>
      </c>
      <c r="CA15">
        <f>IF(ROUND(Grandview_Inventory[[#This Row],[adj_land]]*Lookups!$M$28,-2)&lt;Grandview_Inventory[[#This Row],[min_land]],Grandview_Inventory[[#This Row],[min_land]],ROUND(Grandview_Inventory[[#This Row],[adj_land]]*Lookups!$M$28,-2))</f>
        <v>84000</v>
      </c>
      <c r="CB15">
        <f>ROUND(Grandview_Inventory[[#This Row],[det_value]]*Lookups!$M$28,-2)</f>
        <v>3700</v>
      </c>
      <c r="CC15">
        <f>IF(ROUND(Grandview_Inventory[[#This Row],[adj_res]]*Lookups!$M$28,-2)&lt;Grandview_Inventory[[#This Row],[min_res]],Grandview_Inventory[[#This Row],[min_res]],ROUND(Grandview_Inventory[[#This Row],[adj_res]]*Lookups!$M$28,-2))</f>
        <v>458300</v>
      </c>
      <c r="CD15">
        <f>Grandview_Inventory[[#This Row],[final_det]]+Grandview_Inventory[[#This Row],[final_res]]</f>
        <v>462000</v>
      </c>
      <c r="CE15">
        <f>Grandview_Inventory[[#This Row],[final_land]]+Grandview_Inventory[[#This Row],[final_imp]]+Grandview_Inventory[[#This Row],[crop_value]]</f>
        <v>546000</v>
      </c>
      <c r="CG15" t="str">
        <f t="shared" si="0"/>
        <v>update valuation set market_land =84000, market_bldg=462000, market_total =546000, market_mdno =401, market_date ='9/10/2023' where link_id = (select link_id from parcel where parcel_year = '2024' and parcel_id = '23091324401');</v>
      </c>
    </row>
    <row r="16" spans="1:86" x14ac:dyDescent="0.25">
      <c r="A16">
        <v>23091324402</v>
      </c>
      <c r="B16">
        <v>2.4900000000000002</v>
      </c>
      <c r="C16">
        <v>108343</v>
      </c>
      <c r="D16" t="s">
        <v>129</v>
      </c>
      <c r="E16" t="s">
        <v>53</v>
      </c>
      <c r="F16" t="s">
        <v>53</v>
      </c>
      <c r="G16">
        <v>4</v>
      </c>
      <c r="H16" t="s">
        <v>54</v>
      </c>
      <c r="I16">
        <v>251300</v>
      </c>
      <c r="J16">
        <v>25500</v>
      </c>
      <c r="K16">
        <v>2.4900000000000002</v>
      </c>
      <c r="L16">
        <f>IF(Grandview_Inventory[[#This Row],[parcel_acres]]-Grandview_Inventory[[#This Row],[non_valued_acres]] =0,0,LN(Grandview_Inventory[[#This Row],[parcel_acres]]-Grandview_Inventory[[#This Row],[non_valued_acres]]))</f>
        <v>0.91228271047661635</v>
      </c>
      <c r="M16">
        <v>0</v>
      </c>
      <c r="N16">
        <v>0</v>
      </c>
      <c r="O16">
        <v>0</v>
      </c>
      <c r="P16">
        <v>13398.7528</v>
      </c>
      <c r="Q16">
        <v>63903</v>
      </c>
      <c r="R16">
        <f>(Grandview_Inventory[[#This Row],[ln_acres]]*Grandview_Inventory[[#This Row],[coeff]])+Grandview_Inventory[[#This Row],[const]]</f>
        <v>76126.450521390158</v>
      </c>
      <c r="S16" t="s">
        <v>61</v>
      </c>
      <c r="T16">
        <v>1</v>
      </c>
      <c r="U16" t="s">
        <v>62</v>
      </c>
      <c r="V16" t="s">
        <v>57</v>
      </c>
      <c r="W16">
        <v>0</v>
      </c>
      <c r="X16">
        <v>0</v>
      </c>
      <c r="Y16">
        <v>1</v>
      </c>
      <c r="Z16">
        <v>1</v>
      </c>
      <c r="AA16">
        <v>10</v>
      </c>
      <c r="AB16">
        <v>1500</v>
      </c>
      <c r="AC16">
        <v>1372</v>
      </c>
      <c r="AD16">
        <v>1372</v>
      </c>
      <c r="AE16">
        <v>0</v>
      </c>
      <c r="AF16">
        <v>0</v>
      </c>
      <c r="AG16">
        <v>0</v>
      </c>
      <c r="AH16">
        <v>0</v>
      </c>
      <c r="AI16">
        <v>616</v>
      </c>
      <c r="AJ16">
        <v>0</v>
      </c>
      <c r="AK16">
        <v>0</v>
      </c>
      <c r="AL16">
        <v>0</v>
      </c>
      <c r="AM16">
        <v>144</v>
      </c>
      <c r="AN16">
        <v>48</v>
      </c>
      <c r="AO16">
        <v>144</v>
      </c>
      <c r="AP16">
        <v>9</v>
      </c>
      <c r="AQ16">
        <v>0</v>
      </c>
      <c r="AR16">
        <v>0</v>
      </c>
      <c r="AS16" t="s">
        <v>58</v>
      </c>
      <c r="AT16">
        <v>1</v>
      </c>
      <c r="AU16" t="s">
        <v>59</v>
      </c>
      <c r="AV16" t="s">
        <v>64</v>
      </c>
      <c r="AW16">
        <v>1</v>
      </c>
      <c r="AX16">
        <v>3</v>
      </c>
      <c r="AY16">
        <v>0</v>
      </c>
      <c r="AZ16">
        <v>0</v>
      </c>
      <c r="BA16">
        <v>100</v>
      </c>
      <c r="BB16">
        <v>100</v>
      </c>
      <c r="BC16">
        <v>100</v>
      </c>
      <c r="BD16">
        <v>100</v>
      </c>
      <c r="BE16">
        <v>1</v>
      </c>
      <c r="BF16">
        <v>15000</v>
      </c>
      <c r="BG16">
        <v>1000</v>
      </c>
      <c r="BH16" s="6">
        <f>Grandview_Inventory[[#This Row],[land_extract]]*Lookups!$B$3</f>
        <v>88405.441449073987</v>
      </c>
      <c r="BI16" s="6">
        <f>IF(Grandview_Inventory[[#This Row],[bldg_style]]="",0,Lookups!$B$2)</f>
        <v>155833.95000000001</v>
      </c>
      <c r="BJ16" s="6">
        <f>_xlfn.IFNA(VLOOKUP(Grandview_Inventory[[#This Row],[quality]],Lookups!$H$2:$J$14,3,FALSE),0)</f>
        <v>9808</v>
      </c>
      <c r="BK16" s="6">
        <f>_xlfn.IFNA(VLOOKUP(Grandview_Inventory[[#This Row],[condition]],Lookups!$H$17:$J$24,3,FALSE),0)</f>
        <v>25780</v>
      </c>
      <c r="BL16" s="6">
        <f>Grandview_Inventory[[#This Row],[Eff_Age]]*Lookups!$B$14</f>
        <v>-239.16659999999999</v>
      </c>
      <c r="BM16" s="6">
        <f>Grandview_Inventory[[#This Row],[living_area]]*Lookups!$B$15</f>
        <v>85586.530316000004</v>
      </c>
      <c r="BN16" s="6">
        <f>Grandview_Inventory[[#This Row],[Fin BSMT]]*Lookups!$B$16</f>
        <v>0</v>
      </c>
      <c r="BO16" s="6">
        <f>(Grandview_Inventory[[#This Row],[att_gar]]+Grandview_Inventory[[#This Row],[bltin_gar]])*Lookups!$B$17</f>
        <v>53912.589191999999</v>
      </c>
      <c r="BP16" s="6">
        <f>Grandview_Inventory[[#This Row],[Plumbing Fixtures]]*Lookups!$B$18</f>
        <v>18093.976200000001</v>
      </c>
      <c r="BQ16" s="6">
        <f>Grandview_Inventory[[#This Row],[detatched_value]]*Lookups!$B$19</f>
        <v>0</v>
      </c>
      <c r="BR16" s="6">
        <f>SUM(Grandview_Inventory[[#This Row],[Intercept]:[det_value]])*Grandview_Inventory[[#This Row],[res_pct]]</f>
        <v>348775.87910799996</v>
      </c>
      <c r="BS16" s="6">
        <f>Grandview_Inventory[[#This Row],[land_value]]</f>
        <v>88405.441449073987</v>
      </c>
      <c r="BT16" s="4">
        <f>_xlfn.IFNA(VLOOKUP(Grandview_Inventory[[#This Row],[quality]],Lookups!$A$26:$C$33,3,FALSE),1)</f>
        <v>0.94295468617355149</v>
      </c>
      <c r="BU16" s="4">
        <f>_xlfn.IFNA(VLOOKUP(Grandview_Inventory[[#This Row],[condition]],Lookups!$A$37:$C$44,3,FALSE),1)</f>
        <v>0.94347925387812148</v>
      </c>
      <c r="BV16" s="4">
        <f>IF(Grandview_Inventory[[#This Row],[bldg_style]]="",1,_xlfn.IFNA(VLOOKUP(Grandview_Inventory[[#This Row],[decade]],Lookups!$F$29:$H$43,3,FALSE),1))</f>
        <v>0.94601966599150278</v>
      </c>
      <c r="BW16" s="4">
        <f>_xlfn.IFNA(VLOOKUP(Grandview_Inventory[[#This Row],[living_area_range]],Lookups!$F$47:$H$56,3,FALSE),1)</f>
        <v>0.96135087979789358</v>
      </c>
      <c r="BX16" s="4">
        <f>AVERAGE(Grandview_Inventory[[#This Row],[qual_adj]:[size_adj]])</f>
        <v>0.94845112146026733</v>
      </c>
      <c r="BY16" s="6">
        <f>IF(Grandview_Inventory[[#This Row],[pre_res]]&lt;0,0,Grandview_Inventory[[#This Row],[pre_res]]*Grandview_Inventory[[#This Row],[overall_adj]])</f>
        <v>330796.87367827317</v>
      </c>
      <c r="BZ16" s="6">
        <f>(Grandview_Inventory[[#This Row],[sum_land]]-IF(Grandview_Inventory[[#This Row],[no_utilities]]=1,12000,0))/IF(Grandview_Inventory[[#This Row],[unbuildable]]=1,2,1)</f>
        <v>88405.441449073987</v>
      </c>
      <c r="CA16">
        <f>IF(ROUND(Grandview_Inventory[[#This Row],[adj_land]]*Lookups!$M$28,-2)&lt;Grandview_Inventory[[#This Row],[min_land]],Grandview_Inventory[[#This Row],[min_land]],ROUND(Grandview_Inventory[[#This Row],[adj_land]]*Lookups!$M$28,-2))</f>
        <v>84000</v>
      </c>
      <c r="CB16">
        <f>ROUND(Grandview_Inventory[[#This Row],[det_value]]*Lookups!$M$28,-2)</f>
        <v>0</v>
      </c>
      <c r="CC16">
        <f>IF(ROUND(Grandview_Inventory[[#This Row],[adj_res]]*Lookups!$M$28,-2)&lt;Grandview_Inventory[[#This Row],[min_res]],Grandview_Inventory[[#This Row],[min_res]],ROUND(Grandview_Inventory[[#This Row],[adj_res]]*Lookups!$M$28,-2))</f>
        <v>314300</v>
      </c>
      <c r="CD16">
        <f>Grandview_Inventory[[#This Row],[final_det]]+Grandview_Inventory[[#This Row],[final_res]]</f>
        <v>314300</v>
      </c>
      <c r="CE16">
        <f>Grandview_Inventory[[#This Row],[final_land]]+Grandview_Inventory[[#This Row],[final_imp]]+Grandview_Inventory[[#This Row],[crop_value]]</f>
        <v>398300</v>
      </c>
      <c r="CG16" t="str">
        <f t="shared" si="0"/>
        <v>update valuation set market_land =84000, market_bldg=314300, market_total =398300, market_mdno =401, market_date ='9/10/2023' where link_id = (select link_id from parcel where parcel_year = '2024' and parcel_id = '23091324402');</v>
      </c>
    </row>
    <row r="17" spans="1:85" x14ac:dyDescent="0.25">
      <c r="A17">
        <v>23091324403</v>
      </c>
      <c r="B17">
        <v>14.3</v>
      </c>
      <c r="C17" t="s">
        <v>129</v>
      </c>
      <c r="D17" t="s">
        <v>129</v>
      </c>
      <c r="E17" t="s">
        <v>53</v>
      </c>
      <c r="F17" t="s">
        <v>53</v>
      </c>
      <c r="G17">
        <v>4</v>
      </c>
      <c r="H17" t="s">
        <v>54</v>
      </c>
      <c r="I17">
        <v>188200</v>
      </c>
      <c r="J17">
        <v>97200</v>
      </c>
      <c r="K17">
        <v>14.3</v>
      </c>
      <c r="L17">
        <f>IF(Grandview_Inventory[[#This Row],[parcel_acres]]-Grandview_Inventory[[#This Row],[non_valued_acres]] =0,0,LN(Grandview_Inventory[[#This Row],[parcel_acres]]-Grandview_Inventory[[#This Row],[non_valued_acres]]))</f>
        <v>2.6602595372658615</v>
      </c>
      <c r="M17">
        <v>0</v>
      </c>
      <c r="N17">
        <v>0</v>
      </c>
      <c r="O17">
        <v>0</v>
      </c>
      <c r="P17">
        <v>13398.7528</v>
      </c>
      <c r="Q17">
        <v>63903</v>
      </c>
      <c r="R17">
        <f>(Grandview_Inventory[[#This Row],[ln_acres]]*Grandview_Inventory[[#This Row],[coeff]])+Grandview_Inventory[[#This Row],[const]]</f>
        <v>99547.15992366767</v>
      </c>
      <c r="S17" t="s">
        <v>68</v>
      </c>
      <c r="T17">
        <v>2</v>
      </c>
      <c r="U17" t="s">
        <v>70</v>
      </c>
      <c r="V17" t="s">
        <v>78</v>
      </c>
      <c r="W17">
        <v>0</v>
      </c>
      <c r="X17">
        <v>0</v>
      </c>
      <c r="Y17">
        <v>57</v>
      </c>
      <c r="Z17">
        <v>103</v>
      </c>
      <c r="AA17">
        <v>110</v>
      </c>
      <c r="AB17">
        <v>2000</v>
      </c>
      <c r="AC17">
        <v>1696</v>
      </c>
      <c r="AD17">
        <v>1126</v>
      </c>
      <c r="AE17">
        <v>570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96</v>
      </c>
      <c r="AM17">
        <v>0</v>
      </c>
      <c r="AN17">
        <v>0</v>
      </c>
      <c r="AO17">
        <v>216</v>
      </c>
      <c r="AP17">
        <v>5</v>
      </c>
      <c r="AQ17">
        <v>1</v>
      </c>
      <c r="AR17">
        <v>0</v>
      </c>
      <c r="AS17" t="s">
        <v>76</v>
      </c>
      <c r="AT17">
        <v>1</v>
      </c>
      <c r="AU17" t="s">
        <v>75</v>
      </c>
      <c r="AV17" t="s">
        <v>60</v>
      </c>
      <c r="AW17">
        <v>0</v>
      </c>
      <c r="AX17">
        <v>4</v>
      </c>
      <c r="AY17">
        <v>0</v>
      </c>
      <c r="AZ17">
        <v>40100</v>
      </c>
      <c r="BA17">
        <v>100</v>
      </c>
      <c r="BB17">
        <v>100</v>
      </c>
      <c r="BC17">
        <v>100</v>
      </c>
      <c r="BD17">
        <v>100</v>
      </c>
      <c r="BE17">
        <v>1</v>
      </c>
      <c r="BF17">
        <v>15000</v>
      </c>
      <c r="BG17">
        <v>1000</v>
      </c>
      <c r="BH17" s="6">
        <f>Grandview_Inventory[[#This Row],[land_extract]]*Lookups!$B$3</f>
        <v>115603.84804202347</v>
      </c>
      <c r="BI17" s="6">
        <f>IF(Grandview_Inventory[[#This Row],[bldg_style]]="",0,Lookups!$B$2)</f>
        <v>155833.95000000001</v>
      </c>
      <c r="BJ17" s="6">
        <f>_xlfn.IFNA(VLOOKUP(Grandview_Inventory[[#This Row],[quality]],Lookups!$H$2:$J$14,3,FALSE),0)</f>
        <v>10733</v>
      </c>
      <c r="BK17" s="6">
        <f>_xlfn.IFNA(VLOOKUP(Grandview_Inventory[[#This Row],[condition]],Lookups!$H$17:$J$24,3,FALSE),0)</f>
        <v>-45357</v>
      </c>
      <c r="BL17" s="6">
        <f>Grandview_Inventory[[#This Row],[Eff_Age]]*Lookups!$B$14</f>
        <v>-13632.4962</v>
      </c>
      <c r="BM17" s="6">
        <f>Grandview_Inventory[[#This Row],[living_area]]*Lookups!$B$15</f>
        <v>105797.92668800001</v>
      </c>
      <c r="BN17" s="6">
        <f>Grandview_Inventory[[#This Row],[Fin BSMT]]*Lookups!$B$16</f>
        <v>0</v>
      </c>
      <c r="BO17" s="6">
        <f>(Grandview_Inventory[[#This Row],[att_gar]]+Grandview_Inventory[[#This Row],[bltin_gar]])*Lookups!$B$17</f>
        <v>0</v>
      </c>
      <c r="BP17" s="6">
        <f>Grandview_Inventory[[#This Row],[Plumbing Fixtures]]*Lookups!$B$18</f>
        <v>10052.209000000001</v>
      </c>
      <c r="BQ17" s="6">
        <f>Grandview_Inventory[[#This Row],[detatched_value]]*Lookups!$B$19</f>
        <v>33956.884509999996</v>
      </c>
      <c r="BR17" s="6">
        <f>SUM(Grandview_Inventory[[#This Row],[Intercept]:[det_value]])*Grandview_Inventory[[#This Row],[res_pct]]</f>
        <v>257384.47399800003</v>
      </c>
      <c r="BS17" s="6">
        <f>Grandview_Inventory[[#This Row],[land_value]]</f>
        <v>115603.84804202347</v>
      </c>
      <c r="BT17" s="4">
        <f>_xlfn.IFNA(VLOOKUP(Grandview_Inventory[[#This Row],[quality]],Lookups!$A$26:$C$33,3,FALSE),1)</f>
        <v>0.98079741117310582</v>
      </c>
      <c r="BU17" s="4">
        <f>_xlfn.IFNA(VLOOKUP(Grandview_Inventory[[#This Row],[condition]],Lookups!$A$37:$C$44,3,FALSE),1)</f>
        <v>0.97161819570155394</v>
      </c>
      <c r="BV17" s="4">
        <f>IF(Grandview_Inventory[[#This Row],[bldg_style]]="",1,_xlfn.IFNA(VLOOKUP(Grandview_Inventory[[#This Row],[decade]],Lookups!$F$29:$H$43,3,FALSE),1))</f>
        <v>0.92255236374249616</v>
      </c>
      <c r="BW17" s="4">
        <f>_xlfn.IFNA(VLOOKUP(Grandview_Inventory[[#This Row],[living_area_range]],Lookups!$F$47:$H$56,3,FALSE),1)</f>
        <v>0.96120133463014379</v>
      </c>
      <c r="BX17" s="4">
        <f>AVERAGE(Grandview_Inventory[[#This Row],[qual_adj]:[size_adj]])</f>
        <v>0.95904232631182484</v>
      </c>
      <c r="BY17" s="6">
        <f>IF(Grandview_Inventory[[#This Row],[pre_res]]&lt;0,0,Grandview_Inventory[[#This Row],[pre_res]]*Grandview_Inventory[[#This Row],[overall_adj]])</f>
        <v>246842.60469958733</v>
      </c>
      <c r="BZ17" s="6">
        <f>(Grandview_Inventory[[#This Row],[sum_land]]-IF(Grandview_Inventory[[#This Row],[no_utilities]]=1,12000,0))/IF(Grandview_Inventory[[#This Row],[unbuildable]]=1,2,1)</f>
        <v>115603.84804202347</v>
      </c>
      <c r="CA17">
        <f>IF(ROUND(Grandview_Inventory[[#This Row],[adj_land]]*Lookups!$M$28,-2)&lt;Grandview_Inventory[[#This Row],[min_land]],Grandview_Inventory[[#This Row],[min_land]],ROUND(Grandview_Inventory[[#This Row],[adj_land]]*Lookups!$M$28,-2))</f>
        <v>109800</v>
      </c>
      <c r="CB17">
        <f>ROUND(Grandview_Inventory[[#This Row],[det_value]]*Lookups!$M$28,-2)</f>
        <v>32300</v>
      </c>
      <c r="CC17">
        <f>IF(ROUND(Grandview_Inventory[[#This Row],[adj_res]]*Lookups!$M$28,-2)&lt;Grandview_Inventory[[#This Row],[min_res]],Grandview_Inventory[[#This Row],[min_res]],ROUND(Grandview_Inventory[[#This Row],[adj_res]]*Lookups!$M$28,-2))</f>
        <v>234500</v>
      </c>
      <c r="CD17">
        <f>Grandview_Inventory[[#This Row],[final_det]]+Grandview_Inventory[[#This Row],[final_res]]</f>
        <v>266800</v>
      </c>
      <c r="CE17">
        <f>Grandview_Inventory[[#This Row],[final_land]]+Grandview_Inventory[[#This Row],[final_imp]]+Grandview_Inventory[[#This Row],[crop_value]]</f>
        <v>376600</v>
      </c>
      <c r="CG17" t="str">
        <f t="shared" si="0"/>
        <v>update valuation set market_land =109800, market_bldg=266800, market_total =376600, market_mdno =401, market_date ='9/10/2023' where link_id = (select link_id from parcel where parcel_year = '2024' and parcel_id = '23091324403');</v>
      </c>
    </row>
    <row r="18" spans="1:85" x14ac:dyDescent="0.25">
      <c r="A18">
        <v>23091331001</v>
      </c>
      <c r="B18">
        <v>19.59</v>
      </c>
      <c r="C18" t="s">
        <v>129</v>
      </c>
      <c r="D18" t="s">
        <v>129</v>
      </c>
      <c r="E18" t="s">
        <v>53</v>
      </c>
      <c r="F18" t="s">
        <v>53</v>
      </c>
      <c r="G18">
        <v>4</v>
      </c>
      <c r="H18" t="s">
        <v>54</v>
      </c>
      <c r="I18">
        <v>187400</v>
      </c>
      <c r="J18">
        <v>120900</v>
      </c>
      <c r="K18">
        <v>19.59</v>
      </c>
      <c r="L18">
        <f>IF(Grandview_Inventory[[#This Row],[parcel_acres]]-Grandview_Inventory[[#This Row],[non_valued_acres]] =0,0,LN(Grandview_Inventory[[#This Row],[parcel_acres]]-Grandview_Inventory[[#This Row],[non_valued_acres]]))</f>
        <v>2.9750192319564492</v>
      </c>
      <c r="M18">
        <v>0</v>
      </c>
      <c r="N18">
        <v>0</v>
      </c>
      <c r="O18">
        <v>0</v>
      </c>
      <c r="P18">
        <v>13398.7528</v>
      </c>
      <c r="Q18">
        <v>63903</v>
      </c>
      <c r="R18">
        <f>(Grandview_Inventory[[#This Row],[ln_acres]]*Grandview_Inventory[[#This Row],[coeff]])+Grandview_Inventory[[#This Row],[const]]</f>
        <v>103764.54726423032</v>
      </c>
      <c r="S18" t="s">
        <v>68</v>
      </c>
      <c r="T18">
        <v>1</v>
      </c>
      <c r="U18" t="s">
        <v>80</v>
      </c>
      <c r="V18" t="s">
        <v>69</v>
      </c>
      <c r="W18">
        <v>0</v>
      </c>
      <c r="X18">
        <v>0</v>
      </c>
      <c r="Y18">
        <v>58</v>
      </c>
      <c r="Z18">
        <v>104</v>
      </c>
      <c r="AA18">
        <v>110</v>
      </c>
      <c r="AB18">
        <v>1500</v>
      </c>
      <c r="AC18">
        <v>1430</v>
      </c>
      <c r="AD18">
        <v>1430</v>
      </c>
      <c r="AE18">
        <v>0</v>
      </c>
      <c r="AF18">
        <v>0</v>
      </c>
      <c r="AG18">
        <v>0</v>
      </c>
      <c r="AH18">
        <v>144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120</v>
      </c>
      <c r="AO18">
        <v>0</v>
      </c>
      <c r="AP18">
        <v>5</v>
      </c>
      <c r="AQ18">
        <v>0</v>
      </c>
      <c r="AR18">
        <v>1</v>
      </c>
      <c r="AS18" t="s">
        <v>71</v>
      </c>
      <c r="AT18">
        <v>1</v>
      </c>
      <c r="AU18" t="s">
        <v>75</v>
      </c>
      <c r="AV18" t="s">
        <v>60</v>
      </c>
      <c r="AW18">
        <v>0</v>
      </c>
      <c r="AX18">
        <v>3</v>
      </c>
      <c r="AY18">
        <v>27000</v>
      </c>
      <c r="AZ18">
        <v>20200</v>
      </c>
      <c r="BA18">
        <v>100</v>
      </c>
      <c r="BB18">
        <v>100</v>
      </c>
      <c r="BC18">
        <v>100</v>
      </c>
      <c r="BD18">
        <v>100</v>
      </c>
      <c r="BE18">
        <v>1</v>
      </c>
      <c r="BF18">
        <v>15000</v>
      </c>
      <c r="BG18">
        <v>1000</v>
      </c>
      <c r="BH18" s="6">
        <f>Grandview_Inventory[[#This Row],[land_extract]]*Lookups!$B$3</f>
        <v>120501.48857367305</v>
      </c>
      <c r="BI18" s="6">
        <f>IF(Grandview_Inventory[[#This Row],[bldg_style]]="",0,Lookups!$B$2)</f>
        <v>155833.95000000001</v>
      </c>
      <c r="BJ18" s="6">
        <f>_xlfn.IFNA(VLOOKUP(Grandview_Inventory[[#This Row],[quality]],Lookups!$H$2:$J$14,3,FALSE),0)</f>
        <v>-28558</v>
      </c>
      <c r="BK18" s="6">
        <f>_xlfn.IFNA(VLOOKUP(Grandview_Inventory[[#This Row],[condition]],Lookups!$H$17:$J$24,3,FALSE),0)</f>
        <v>-4503</v>
      </c>
      <c r="BL18" s="6">
        <f>Grandview_Inventory[[#This Row],[Eff_Age]]*Lookups!$B$14</f>
        <v>-13871.6628</v>
      </c>
      <c r="BM18" s="6">
        <f>Grandview_Inventory[[#This Row],[living_area]]*Lookups!$B$15</f>
        <v>89204.619789999997</v>
      </c>
      <c r="BN18" s="6">
        <f>Grandview_Inventory[[#This Row],[Fin BSMT]]*Lookups!$B$16</f>
        <v>0</v>
      </c>
      <c r="BO18" s="6">
        <f>(Grandview_Inventory[[#This Row],[att_gar]]+Grandview_Inventory[[#This Row],[bltin_gar]])*Lookups!$B$17</f>
        <v>0</v>
      </c>
      <c r="BP18" s="6">
        <f>Grandview_Inventory[[#This Row],[Plumbing Fixtures]]*Lookups!$B$18</f>
        <v>10052.209000000001</v>
      </c>
      <c r="BQ18" s="6">
        <f>Grandview_Inventory[[#This Row],[detatched_value]]*Lookups!$B$19</f>
        <v>17105.463019999999</v>
      </c>
      <c r="BR18" s="6">
        <f>SUM(Grandview_Inventory[[#This Row],[Intercept]:[det_value]])*Grandview_Inventory[[#This Row],[res_pct]]</f>
        <v>225263.57900999999</v>
      </c>
      <c r="BS18" s="6">
        <f>Grandview_Inventory[[#This Row],[land_value]]</f>
        <v>120501.48857367305</v>
      </c>
      <c r="BT18" s="4">
        <f>_xlfn.IFNA(VLOOKUP(Grandview_Inventory[[#This Row],[quality]],Lookups!$A$26:$C$33,3,FALSE),1)</f>
        <v>0.9690360070159818</v>
      </c>
      <c r="BU18" s="4">
        <f>_xlfn.IFNA(VLOOKUP(Grandview_Inventory[[#This Row],[condition]],Lookups!$A$37:$C$44,3,FALSE),1)</f>
        <v>0.96469275950863709</v>
      </c>
      <c r="BV18" s="4">
        <f>IF(Grandview_Inventory[[#This Row],[bldg_style]]="",1,_xlfn.IFNA(VLOOKUP(Grandview_Inventory[[#This Row],[decade]],Lookups!$F$29:$H$43,3,FALSE),1))</f>
        <v>0.92255236374249616</v>
      </c>
      <c r="BW18" s="4">
        <f>_xlfn.IFNA(VLOOKUP(Grandview_Inventory[[#This Row],[living_area_range]],Lookups!$F$47:$H$56,3,FALSE),1)</f>
        <v>0.96135087979789358</v>
      </c>
      <c r="BX18" s="4">
        <f>AVERAGE(Grandview_Inventory[[#This Row],[qual_adj]:[size_adj]])</f>
        <v>0.95440800251625213</v>
      </c>
      <c r="BY18" s="6">
        <f>IF(Grandview_Inventory[[#This Row],[pre_res]]&lt;0,0,Grandview_Inventory[[#This Row],[pre_res]]*Grandview_Inventory[[#This Row],[overall_adj]])</f>
        <v>214993.36248259601</v>
      </c>
      <c r="BZ18" s="6">
        <f>(Grandview_Inventory[[#This Row],[sum_land]]-IF(Grandview_Inventory[[#This Row],[no_utilities]]=1,12000,0))/IF(Grandview_Inventory[[#This Row],[unbuildable]]=1,2,1)</f>
        <v>120501.48857367305</v>
      </c>
      <c r="CA18">
        <f>IF(ROUND(Grandview_Inventory[[#This Row],[adj_land]]*Lookups!$M$28,-2)&lt;Grandview_Inventory[[#This Row],[min_land]],Grandview_Inventory[[#This Row],[min_land]],ROUND(Grandview_Inventory[[#This Row],[adj_land]]*Lookups!$M$28,-2))</f>
        <v>114500</v>
      </c>
      <c r="CB18">
        <f>ROUND(Grandview_Inventory[[#This Row],[det_value]]*Lookups!$M$28,-2)</f>
        <v>16300</v>
      </c>
      <c r="CC18">
        <f>IF(ROUND(Grandview_Inventory[[#This Row],[adj_res]]*Lookups!$M$28,-2)&lt;Grandview_Inventory[[#This Row],[min_res]],Grandview_Inventory[[#This Row],[min_res]],ROUND(Grandview_Inventory[[#This Row],[adj_res]]*Lookups!$M$28,-2))</f>
        <v>204200</v>
      </c>
      <c r="CD18">
        <f>Grandview_Inventory[[#This Row],[final_det]]+Grandview_Inventory[[#This Row],[final_res]]</f>
        <v>220500</v>
      </c>
      <c r="CE18">
        <f>Grandview_Inventory[[#This Row],[final_land]]+Grandview_Inventory[[#This Row],[final_imp]]+Grandview_Inventory[[#This Row],[crop_value]]</f>
        <v>362000</v>
      </c>
      <c r="CG18" t="str">
        <f t="shared" si="0"/>
        <v>update valuation set market_land =114500, market_bldg=220500, market_total =362000, market_mdno =401, market_date ='9/10/2023' where link_id = (select link_id from parcel where parcel_year = '2024' and parcel_id = '23091331001');</v>
      </c>
    </row>
    <row r="19" spans="1:85" x14ac:dyDescent="0.25">
      <c r="A19">
        <v>23091332004</v>
      </c>
      <c r="B19">
        <v>0.5</v>
      </c>
      <c r="C19">
        <v>21715</v>
      </c>
      <c r="D19" t="s">
        <v>129</v>
      </c>
      <c r="E19" t="s">
        <v>53</v>
      </c>
      <c r="F19" t="s">
        <v>53</v>
      </c>
      <c r="G19">
        <v>4</v>
      </c>
      <c r="H19" t="s">
        <v>54</v>
      </c>
      <c r="I19">
        <v>81000</v>
      </c>
      <c r="J19">
        <v>43700</v>
      </c>
      <c r="K19">
        <v>0.5</v>
      </c>
      <c r="L19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19">
        <v>0</v>
      </c>
      <c r="N19">
        <v>0</v>
      </c>
      <c r="O19">
        <v>0</v>
      </c>
      <c r="P19">
        <v>13398.7528</v>
      </c>
      <c r="Q19">
        <v>63903</v>
      </c>
      <c r="R19">
        <f>(Grandview_Inventory[[#This Row],[ln_acres]]*Grandview_Inventory[[#This Row],[coeff]])+Grandview_Inventory[[#This Row],[const]]</f>
        <v>54615.69227366033</v>
      </c>
      <c r="S19" t="s">
        <v>68</v>
      </c>
      <c r="T19">
        <v>1</v>
      </c>
      <c r="U19" t="s">
        <v>80</v>
      </c>
      <c r="V19" t="s">
        <v>78</v>
      </c>
      <c r="W19">
        <v>0</v>
      </c>
      <c r="X19">
        <v>0</v>
      </c>
      <c r="Y19">
        <v>51</v>
      </c>
      <c r="Z19">
        <v>78</v>
      </c>
      <c r="AA19">
        <v>80</v>
      </c>
      <c r="AB19">
        <v>1000</v>
      </c>
      <c r="AC19">
        <v>736</v>
      </c>
      <c r="AD19">
        <v>736</v>
      </c>
      <c r="AE19">
        <v>0</v>
      </c>
      <c r="AF19">
        <v>0</v>
      </c>
      <c r="AG19">
        <v>0</v>
      </c>
      <c r="AH19">
        <v>512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5</v>
      </c>
      <c r="AQ19">
        <v>1</v>
      </c>
      <c r="AR19">
        <v>0</v>
      </c>
      <c r="AS19" t="s">
        <v>58</v>
      </c>
      <c r="AT19">
        <v>1</v>
      </c>
      <c r="AU19" t="s">
        <v>75</v>
      </c>
      <c r="AV19" t="s">
        <v>60</v>
      </c>
      <c r="AW19">
        <v>0</v>
      </c>
      <c r="AX19">
        <v>3</v>
      </c>
      <c r="AY19">
        <v>0</v>
      </c>
      <c r="AZ19">
        <v>1600</v>
      </c>
      <c r="BA19">
        <v>100</v>
      </c>
      <c r="BB19">
        <v>100</v>
      </c>
      <c r="BC19">
        <v>100</v>
      </c>
      <c r="BD19">
        <v>100</v>
      </c>
      <c r="BE19">
        <v>1</v>
      </c>
      <c r="BF19">
        <v>15000</v>
      </c>
      <c r="BG19">
        <v>1000</v>
      </c>
      <c r="BH19" s="6">
        <f>Grandview_Inventory[[#This Row],[land_extract]]*Lookups!$B$3</f>
        <v>63425.055975032599</v>
      </c>
      <c r="BI19" s="6">
        <f>IF(Grandview_Inventory[[#This Row],[bldg_style]]="",0,Lookups!$B$2)</f>
        <v>155833.95000000001</v>
      </c>
      <c r="BJ19" s="6">
        <f>_xlfn.IFNA(VLOOKUP(Grandview_Inventory[[#This Row],[quality]],Lookups!$H$2:$J$14,3,FALSE),0)</f>
        <v>-28558</v>
      </c>
      <c r="BK19" s="6">
        <f>_xlfn.IFNA(VLOOKUP(Grandview_Inventory[[#This Row],[condition]],Lookups!$H$17:$J$24,3,FALSE),0)</f>
        <v>-45357</v>
      </c>
      <c r="BL19" s="6">
        <f>Grandview_Inventory[[#This Row],[Eff_Age]]*Lookups!$B$14</f>
        <v>-12197.496599999999</v>
      </c>
      <c r="BM19" s="6">
        <f>Grandview_Inventory[[#This Row],[living_area]]*Lookups!$B$15</f>
        <v>45912.307807999998</v>
      </c>
      <c r="BN19" s="6">
        <f>Grandview_Inventory[[#This Row],[Fin BSMT]]*Lookups!$B$16</f>
        <v>0</v>
      </c>
      <c r="BO19" s="6">
        <f>(Grandview_Inventory[[#This Row],[att_gar]]+Grandview_Inventory[[#This Row],[bltin_gar]])*Lookups!$B$17</f>
        <v>0</v>
      </c>
      <c r="BP19" s="6">
        <f>Grandview_Inventory[[#This Row],[Plumbing Fixtures]]*Lookups!$B$18</f>
        <v>10052.209000000001</v>
      </c>
      <c r="BQ19" s="6">
        <f>Grandview_Inventory[[#This Row],[detatched_value]]*Lookups!$B$19</f>
        <v>1354.88816</v>
      </c>
      <c r="BR19" s="6">
        <f>SUM(Grandview_Inventory[[#This Row],[Intercept]:[det_value]])*Grandview_Inventory[[#This Row],[res_pct]]</f>
        <v>127040.85836800002</v>
      </c>
      <c r="BS19" s="6">
        <f>Grandview_Inventory[[#This Row],[land_value]]</f>
        <v>63425.055975032599</v>
      </c>
      <c r="BT19" s="4">
        <f>_xlfn.IFNA(VLOOKUP(Grandview_Inventory[[#This Row],[quality]],Lookups!$A$26:$C$33,3,FALSE),1)</f>
        <v>0.9690360070159818</v>
      </c>
      <c r="BU19" s="4">
        <f>_xlfn.IFNA(VLOOKUP(Grandview_Inventory[[#This Row],[condition]],Lookups!$A$37:$C$44,3,FALSE),1)</f>
        <v>0.97161819570155394</v>
      </c>
      <c r="BV19" s="4">
        <f>IF(Grandview_Inventory[[#This Row],[bldg_style]]="",1,_xlfn.IFNA(VLOOKUP(Grandview_Inventory[[#This Row],[decade]],Lookups!$F$29:$H$43,3,FALSE),1))</f>
        <v>0.98763256963907298</v>
      </c>
      <c r="BW19" s="4">
        <f>_xlfn.IFNA(VLOOKUP(Grandview_Inventory[[#This Row],[living_area_range]],Lookups!$F$47:$H$56,3,FALSE),1)</f>
        <v>0.94306777142782894</v>
      </c>
      <c r="BX19" s="4">
        <f>AVERAGE(Grandview_Inventory[[#This Row],[qual_adj]:[size_adj]])</f>
        <v>0.96783863594610942</v>
      </c>
      <c r="BY19" s="6">
        <f>IF(Grandview_Inventory[[#This Row],[pre_res]]&lt;0,0,Grandview_Inventory[[#This Row],[pre_res]]*Grandview_Inventory[[#This Row],[overall_adj]])</f>
        <v>122955.05107230801</v>
      </c>
      <c r="BZ19" s="6">
        <f>(Grandview_Inventory[[#This Row],[sum_land]]-IF(Grandview_Inventory[[#This Row],[no_utilities]]=1,12000,0))/IF(Grandview_Inventory[[#This Row],[unbuildable]]=1,2,1)</f>
        <v>63425.055975032599</v>
      </c>
      <c r="CA19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19">
        <f>ROUND(Grandview_Inventory[[#This Row],[det_value]]*Lookups!$M$28,-2)</f>
        <v>1300</v>
      </c>
      <c r="CC19">
        <f>IF(ROUND(Grandview_Inventory[[#This Row],[adj_res]]*Lookups!$M$28,-2)&lt;Grandview_Inventory[[#This Row],[min_res]],Grandview_Inventory[[#This Row],[min_res]],ROUND(Grandview_Inventory[[#This Row],[adj_res]]*Lookups!$M$28,-2))</f>
        <v>116800</v>
      </c>
      <c r="CD19">
        <f>Grandview_Inventory[[#This Row],[final_det]]+Grandview_Inventory[[#This Row],[final_res]]</f>
        <v>118100</v>
      </c>
      <c r="CE19">
        <f>Grandview_Inventory[[#This Row],[final_land]]+Grandview_Inventory[[#This Row],[final_imp]]+Grandview_Inventory[[#This Row],[crop_value]]</f>
        <v>178400</v>
      </c>
      <c r="CG19" t="str">
        <f t="shared" si="0"/>
        <v>update valuation set market_land =60300, market_bldg=118100, market_total =178400, market_mdno =401, market_date ='9/10/2023' where link_id = (select link_id from parcel where parcel_year = '2024' and parcel_id = '23091332004');</v>
      </c>
    </row>
    <row r="20" spans="1:85" x14ac:dyDescent="0.25">
      <c r="A20">
        <v>23091332010</v>
      </c>
      <c r="B20">
        <v>0.59</v>
      </c>
      <c r="C20">
        <v>41173</v>
      </c>
      <c r="D20" t="s">
        <v>129</v>
      </c>
      <c r="E20" t="s">
        <v>53</v>
      </c>
      <c r="F20" t="s">
        <v>53</v>
      </c>
      <c r="G20">
        <v>4</v>
      </c>
      <c r="H20" t="s">
        <v>54</v>
      </c>
      <c r="I20">
        <v>169700</v>
      </c>
      <c r="J20">
        <v>45200</v>
      </c>
      <c r="K20">
        <v>0.59</v>
      </c>
      <c r="L20">
        <f>IF(Grandview_Inventory[[#This Row],[parcel_acres]]-Grandview_Inventory[[#This Row],[non_valued_acres]] =0,0,LN(Grandview_Inventory[[#This Row],[parcel_acres]]-Grandview_Inventory[[#This Row],[non_valued_acres]]))</f>
        <v>-0.52763274208237199</v>
      </c>
      <c r="M20">
        <v>0</v>
      </c>
      <c r="N20">
        <v>0</v>
      </c>
      <c r="O20">
        <v>0</v>
      </c>
      <c r="P20">
        <v>13398.7528</v>
      </c>
      <c r="Q20">
        <v>63903</v>
      </c>
      <c r="R20">
        <f>(Grandview_Inventory[[#This Row],[ln_acres]]*Grandview_Inventory[[#This Row],[coeff]])+Grandview_Inventory[[#This Row],[const]]</f>
        <v>56833.379319652144</v>
      </c>
      <c r="S20" t="s">
        <v>61</v>
      </c>
      <c r="T20">
        <v>1</v>
      </c>
      <c r="U20" t="s">
        <v>65</v>
      </c>
      <c r="V20" t="s">
        <v>69</v>
      </c>
      <c r="W20">
        <v>0</v>
      </c>
      <c r="X20">
        <v>0</v>
      </c>
      <c r="Y20">
        <v>49</v>
      </c>
      <c r="Z20">
        <v>69</v>
      </c>
      <c r="AA20">
        <v>70</v>
      </c>
      <c r="AB20">
        <v>1500</v>
      </c>
      <c r="AC20">
        <v>1426</v>
      </c>
      <c r="AD20">
        <v>1072</v>
      </c>
      <c r="AE20">
        <v>0</v>
      </c>
      <c r="AF20">
        <v>0</v>
      </c>
      <c r="AG20">
        <v>354</v>
      </c>
      <c r="AH20">
        <v>718</v>
      </c>
      <c r="AI20">
        <v>0</v>
      </c>
      <c r="AJ20">
        <v>0</v>
      </c>
      <c r="AK20">
        <v>0</v>
      </c>
      <c r="AL20">
        <v>0</v>
      </c>
      <c r="AM20">
        <v>394</v>
      </c>
      <c r="AN20">
        <v>72</v>
      </c>
      <c r="AO20">
        <v>0</v>
      </c>
      <c r="AP20">
        <v>8</v>
      </c>
      <c r="AQ20">
        <v>0</v>
      </c>
      <c r="AR20">
        <v>0</v>
      </c>
      <c r="AS20" t="s">
        <v>58</v>
      </c>
      <c r="AT20">
        <v>1</v>
      </c>
      <c r="AU20" t="s">
        <v>59</v>
      </c>
      <c r="AV20" t="s">
        <v>60</v>
      </c>
      <c r="AW20">
        <v>1</v>
      </c>
      <c r="AX20">
        <v>3</v>
      </c>
      <c r="AY20">
        <v>0</v>
      </c>
      <c r="AZ20">
        <v>22300</v>
      </c>
      <c r="BA20">
        <v>100</v>
      </c>
      <c r="BB20">
        <v>100</v>
      </c>
      <c r="BC20">
        <v>100</v>
      </c>
      <c r="BD20">
        <v>100</v>
      </c>
      <c r="BE20">
        <v>1</v>
      </c>
      <c r="BF20">
        <v>15000</v>
      </c>
      <c r="BG20">
        <v>1000</v>
      </c>
      <c r="BH20" s="6">
        <f>Grandview_Inventory[[#This Row],[land_extract]]*Lookups!$B$3</f>
        <v>66000.449953787873</v>
      </c>
      <c r="BI20" s="6">
        <f>IF(Grandview_Inventory[[#This Row],[bldg_style]]="",0,Lookups!$B$2)</f>
        <v>155833.95000000001</v>
      </c>
      <c r="BJ20" s="6">
        <f>_xlfn.IFNA(VLOOKUP(Grandview_Inventory[[#This Row],[quality]],Lookups!$H$2:$J$14,3,FALSE),0)</f>
        <v>2251</v>
      </c>
      <c r="BK20" s="6">
        <f>_xlfn.IFNA(VLOOKUP(Grandview_Inventory[[#This Row],[condition]],Lookups!$H$17:$J$24,3,FALSE),0)</f>
        <v>-4503</v>
      </c>
      <c r="BL20" s="6">
        <f>Grandview_Inventory[[#This Row],[Eff_Age]]*Lookups!$B$14</f>
        <v>-11719.163399999999</v>
      </c>
      <c r="BM20" s="6">
        <f>Grandview_Inventory[[#This Row],[living_area]]*Lookups!$B$15</f>
        <v>88955.096378000002</v>
      </c>
      <c r="BN20" s="6">
        <f>Grandview_Inventory[[#This Row],[Fin BSMT]]*Lookups!$B$16</f>
        <v>-9593.1309600000004</v>
      </c>
      <c r="BO20" s="6">
        <f>(Grandview_Inventory[[#This Row],[att_gar]]+Grandview_Inventory[[#This Row],[bltin_gar]])*Lookups!$B$17</f>
        <v>0</v>
      </c>
      <c r="BP20" s="6">
        <f>Grandview_Inventory[[#This Row],[Plumbing Fixtures]]*Lookups!$B$18</f>
        <v>16083.5344</v>
      </c>
      <c r="BQ20" s="6">
        <f>Grandview_Inventory[[#This Row],[detatched_value]]*Lookups!$B$19</f>
        <v>18883.75373</v>
      </c>
      <c r="BR20" s="6">
        <f>SUM(Grandview_Inventory[[#This Row],[Intercept]:[det_value]])*Grandview_Inventory[[#This Row],[res_pct]]</f>
        <v>256192.04014800003</v>
      </c>
      <c r="BS20" s="6">
        <f>Grandview_Inventory[[#This Row],[land_value]]</f>
        <v>66000.449953787873</v>
      </c>
      <c r="BT20" s="4">
        <f>_xlfn.IFNA(VLOOKUP(Grandview_Inventory[[#This Row],[quality]],Lookups!$A$26:$C$33,3,FALSE),1)</f>
        <v>0.98763855981004833</v>
      </c>
      <c r="BU20" s="4">
        <f>_xlfn.IFNA(VLOOKUP(Grandview_Inventory[[#This Row],[condition]],Lookups!$A$37:$C$44,3,FALSE),1)</f>
        <v>0.96469275950863709</v>
      </c>
      <c r="BV20" s="4">
        <f>IF(Grandview_Inventory[[#This Row],[bldg_style]]="",1,_xlfn.IFNA(VLOOKUP(Grandview_Inventory[[#This Row],[decade]],Lookups!$F$29:$H$43,3,FALSE),1))</f>
        <v>0.99472141305414818</v>
      </c>
      <c r="BW20" s="4">
        <f>_xlfn.IFNA(VLOOKUP(Grandview_Inventory[[#This Row],[living_area_range]],Lookups!$F$47:$H$56,3,FALSE),1)</f>
        <v>0.96135087979789358</v>
      </c>
      <c r="BX20" s="4">
        <f>AVERAGE(Grandview_Inventory[[#This Row],[qual_adj]:[size_adj]])</f>
        <v>0.97710090304268182</v>
      </c>
      <c r="BY20" s="6">
        <f>IF(Grandview_Inventory[[#This Row],[pre_res]]&lt;0,0,Grandview_Inventory[[#This Row],[pre_res]]*Grandview_Inventory[[#This Row],[overall_adj]])</f>
        <v>250325.47378095784</v>
      </c>
      <c r="BZ20" s="6">
        <f>(Grandview_Inventory[[#This Row],[sum_land]]-IF(Grandview_Inventory[[#This Row],[no_utilities]]=1,12000,0))/IF(Grandview_Inventory[[#This Row],[unbuildable]]=1,2,1)</f>
        <v>66000.449953787873</v>
      </c>
      <c r="CA20">
        <f>IF(ROUND(Grandview_Inventory[[#This Row],[adj_land]]*Lookups!$M$28,-2)&lt;Grandview_Inventory[[#This Row],[min_land]],Grandview_Inventory[[#This Row],[min_land]],ROUND(Grandview_Inventory[[#This Row],[adj_land]]*Lookups!$M$28,-2))</f>
        <v>62700</v>
      </c>
      <c r="CB20">
        <f>ROUND(Grandview_Inventory[[#This Row],[det_value]]*Lookups!$M$28,-2)</f>
        <v>17900</v>
      </c>
      <c r="CC20">
        <f>IF(ROUND(Grandview_Inventory[[#This Row],[adj_res]]*Lookups!$M$28,-2)&lt;Grandview_Inventory[[#This Row],[min_res]],Grandview_Inventory[[#This Row],[min_res]],ROUND(Grandview_Inventory[[#This Row],[adj_res]]*Lookups!$M$28,-2))</f>
        <v>237800</v>
      </c>
      <c r="CD20">
        <f>Grandview_Inventory[[#This Row],[final_det]]+Grandview_Inventory[[#This Row],[final_res]]</f>
        <v>255700</v>
      </c>
      <c r="CE20">
        <f>Grandview_Inventory[[#This Row],[final_land]]+Grandview_Inventory[[#This Row],[final_imp]]+Grandview_Inventory[[#This Row],[crop_value]]</f>
        <v>318400</v>
      </c>
      <c r="CG20" t="str">
        <f t="shared" si="0"/>
        <v>update valuation set market_land =62700, market_bldg=255700, market_total =318400, market_mdno =401, market_date ='9/10/2023' where link_id = (select link_id from parcel where parcel_year = '2024' and parcel_id = '23091332010');</v>
      </c>
    </row>
    <row r="21" spans="1:85" x14ac:dyDescent="0.25">
      <c r="A21">
        <v>23091332401</v>
      </c>
      <c r="B21">
        <v>0.52</v>
      </c>
      <c r="C21" t="s">
        <v>129</v>
      </c>
      <c r="D21" t="s">
        <v>129</v>
      </c>
      <c r="E21" t="s">
        <v>53</v>
      </c>
      <c r="F21" t="s">
        <v>53</v>
      </c>
      <c r="G21">
        <v>4</v>
      </c>
      <c r="H21" t="s">
        <v>54</v>
      </c>
      <c r="I21">
        <v>182700</v>
      </c>
      <c r="J21">
        <v>43700</v>
      </c>
      <c r="K21">
        <v>0.52</v>
      </c>
      <c r="L21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21">
        <v>0</v>
      </c>
      <c r="N21">
        <v>0</v>
      </c>
      <c r="O21">
        <v>0</v>
      </c>
      <c r="P21">
        <v>13398.7528</v>
      </c>
      <c r="Q21">
        <v>63903</v>
      </c>
      <c r="R21">
        <f>(Grandview_Inventory[[#This Row],[ln_acres]]*Grandview_Inventory[[#This Row],[coeff]])+Grandview_Inventory[[#This Row],[const]]</f>
        <v>55141.200913840854</v>
      </c>
      <c r="S21" t="s">
        <v>61</v>
      </c>
      <c r="T21">
        <v>1</v>
      </c>
      <c r="U21" t="s">
        <v>65</v>
      </c>
      <c r="V21" t="s">
        <v>69</v>
      </c>
      <c r="W21">
        <v>0</v>
      </c>
      <c r="X21">
        <v>0</v>
      </c>
      <c r="Y21">
        <v>43</v>
      </c>
      <c r="Z21">
        <v>43</v>
      </c>
      <c r="AA21">
        <v>50</v>
      </c>
      <c r="AB21">
        <v>1500</v>
      </c>
      <c r="AC21">
        <v>1389</v>
      </c>
      <c r="AD21">
        <v>1389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470</v>
      </c>
      <c r="AN21">
        <v>36</v>
      </c>
      <c r="AO21">
        <v>470</v>
      </c>
      <c r="AP21">
        <v>8</v>
      </c>
      <c r="AQ21">
        <v>1</v>
      </c>
      <c r="AR21">
        <v>0</v>
      </c>
      <c r="AS21" t="s">
        <v>58</v>
      </c>
      <c r="AT21">
        <v>1</v>
      </c>
      <c r="AU21" t="s">
        <v>63</v>
      </c>
      <c r="AV21" t="s">
        <v>60</v>
      </c>
      <c r="AW21">
        <v>0</v>
      </c>
      <c r="AX21">
        <v>2</v>
      </c>
      <c r="AY21">
        <v>0</v>
      </c>
      <c r="AZ21">
        <v>24700</v>
      </c>
      <c r="BA21">
        <v>100</v>
      </c>
      <c r="BB21">
        <v>100</v>
      </c>
      <c r="BC21">
        <v>100</v>
      </c>
      <c r="BD21">
        <v>100</v>
      </c>
      <c r="BE21">
        <v>1</v>
      </c>
      <c r="BF21">
        <v>15000</v>
      </c>
      <c r="BG21">
        <v>1000</v>
      </c>
      <c r="BH21" s="6">
        <f>Grandview_Inventory[[#This Row],[land_extract]]*Lookups!$B$3</f>
        <v>64035.327740000917</v>
      </c>
      <c r="BI21" s="6">
        <f>IF(Grandview_Inventory[[#This Row],[bldg_style]]="",0,Lookups!$B$2)</f>
        <v>155833.95000000001</v>
      </c>
      <c r="BJ21" s="6">
        <f>_xlfn.IFNA(VLOOKUP(Grandview_Inventory[[#This Row],[quality]],Lookups!$H$2:$J$14,3,FALSE),0)</f>
        <v>2251</v>
      </c>
      <c r="BK21" s="6">
        <f>_xlfn.IFNA(VLOOKUP(Grandview_Inventory[[#This Row],[condition]],Lookups!$H$17:$J$24,3,FALSE),0)</f>
        <v>-4503</v>
      </c>
      <c r="BL21" s="6">
        <f>Grandview_Inventory[[#This Row],[Eff_Age]]*Lookups!$B$14</f>
        <v>-10284.1638</v>
      </c>
      <c r="BM21" s="6">
        <f>Grandview_Inventory[[#This Row],[living_area]]*Lookups!$B$15</f>
        <v>86647.004817000008</v>
      </c>
      <c r="BN21" s="6">
        <f>Grandview_Inventory[[#This Row],[Fin BSMT]]*Lookups!$B$16</f>
        <v>0</v>
      </c>
      <c r="BO21" s="6">
        <f>(Grandview_Inventory[[#This Row],[att_gar]]+Grandview_Inventory[[#This Row],[bltin_gar]])*Lookups!$B$17</f>
        <v>0</v>
      </c>
      <c r="BP21" s="6">
        <f>Grandview_Inventory[[#This Row],[Plumbing Fixtures]]*Lookups!$B$18</f>
        <v>16083.5344</v>
      </c>
      <c r="BQ21" s="6">
        <f>Grandview_Inventory[[#This Row],[detatched_value]]*Lookups!$B$19</f>
        <v>20916.08597</v>
      </c>
      <c r="BR21" s="6">
        <f>SUM(Grandview_Inventory[[#This Row],[Intercept]:[det_value]])*Grandview_Inventory[[#This Row],[res_pct]]</f>
        <v>266944.411387</v>
      </c>
      <c r="BS21" s="6">
        <f>Grandview_Inventory[[#This Row],[land_value]]</f>
        <v>64035.327740000917</v>
      </c>
      <c r="BT21" s="4">
        <f>_xlfn.IFNA(VLOOKUP(Grandview_Inventory[[#This Row],[quality]],Lookups!$A$26:$C$33,3,FALSE),1)</f>
        <v>0.98763855981004833</v>
      </c>
      <c r="BU21" s="4">
        <f>_xlfn.IFNA(VLOOKUP(Grandview_Inventory[[#This Row],[condition]],Lookups!$A$37:$C$44,3,FALSE),1)</f>
        <v>0.96469275950863709</v>
      </c>
      <c r="BV21" s="4">
        <f>IF(Grandview_Inventory[[#This Row],[bldg_style]]="",1,_xlfn.IFNA(VLOOKUP(Grandview_Inventory[[#This Row],[decade]],Lookups!$F$29:$H$43,3,FALSE),1))</f>
        <v>0.9871940091910919</v>
      </c>
      <c r="BW21" s="4">
        <f>_xlfn.IFNA(VLOOKUP(Grandview_Inventory[[#This Row],[living_area_range]],Lookups!$F$47:$H$56,3,FALSE),1)</f>
        <v>0.96135087979789358</v>
      </c>
      <c r="BX21" s="4">
        <f>AVERAGE(Grandview_Inventory[[#This Row],[qual_adj]:[size_adj]])</f>
        <v>0.97521905207691773</v>
      </c>
      <c r="BY21" s="6">
        <f>IF(Grandview_Inventory[[#This Row],[pre_res]]&lt;0,0,Grandview_Inventory[[#This Row],[pre_res]]*Grandview_Inventory[[#This Row],[overall_adj]])</f>
        <v>260329.27583006091</v>
      </c>
      <c r="BZ21" s="6">
        <f>(Grandview_Inventory[[#This Row],[sum_land]]-IF(Grandview_Inventory[[#This Row],[no_utilities]]=1,12000,0))/IF(Grandview_Inventory[[#This Row],[unbuildable]]=1,2,1)</f>
        <v>64035.327740000917</v>
      </c>
      <c r="CA21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21">
        <f>ROUND(Grandview_Inventory[[#This Row],[det_value]]*Lookups!$M$28,-2)</f>
        <v>19900</v>
      </c>
      <c r="CC21">
        <f>IF(ROUND(Grandview_Inventory[[#This Row],[adj_res]]*Lookups!$M$28,-2)&lt;Grandview_Inventory[[#This Row],[min_res]],Grandview_Inventory[[#This Row],[min_res]],ROUND(Grandview_Inventory[[#This Row],[adj_res]]*Lookups!$M$28,-2))</f>
        <v>247300</v>
      </c>
      <c r="CD21">
        <f>Grandview_Inventory[[#This Row],[final_det]]+Grandview_Inventory[[#This Row],[final_res]]</f>
        <v>267200</v>
      </c>
      <c r="CE21">
        <f>Grandview_Inventory[[#This Row],[final_land]]+Grandview_Inventory[[#This Row],[final_imp]]+Grandview_Inventory[[#This Row],[crop_value]]</f>
        <v>328000</v>
      </c>
      <c r="CG21" t="str">
        <f t="shared" si="0"/>
        <v>update valuation set market_land =60800, market_bldg=267200, market_total =328000, market_mdno =401, market_date ='9/10/2023' where link_id = (select link_id from parcel where parcel_year = '2024' and parcel_id = '23091332401');</v>
      </c>
    </row>
    <row r="22" spans="1:85" x14ac:dyDescent="0.25">
      <c r="A22">
        <v>23091332402</v>
      </c>
      <c r="B22">
        <v>0.51</v>
      </c>
      <c r="C22" t="s">
        <v>129</v>
      </c>
      <c r="D22" t="s">
        <v>129</v>
      </c>
      <c r="E22" t="s">
        <v>53</v>
      </c>
      <c r="F22" t="s">
        <v>53</v>
      </c>
      <c r="G22">
        <v>4</v>
      </c>
      <c r="H22" t="s">
        <v>54</v>
      </c>
      <c r="I22">
        <v>217000</v>
      </c>
      <c r="J22">
        <v>46600</v>
      </c>
      <c r="K22">
        <v>0.51</v>
      </c>
      <c r="L22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22">
        <v>0</v>
      </c>
      <c r="N22">
        <v>0</v>
      </c>
      <c r="O22">
        <v>0</v>
      </c>
      <c r="P22">
        <v>13398.7528</v>
      </c>
      <c r="Q22">
        <v>63903</v>
      </c>
      <c r="R22">
        <f>(Grandview_Inventory[[#This Row],[ln_acres]]*Grandview_Inventory[[#This Row],[coeff]])+Grandview_Inventory[[#This Row],[const]]</f>
        <v>54881.022781592372</v>
      </c>
      <c r="S22" t="s">
        <v>58</v>
      </c>
      <c r="T22">
        <v>1</v>
      </c>
      <c r="U22" t="s">
        <v>65</v>
      </c>
      <c r="V22" t="s">
        <v>57</v>
      </c>
      <c r="W22">
        <v>0</v>
      </c>
      <c r="X22">
        <v>0</v>
      </c>
      <c r="Y22">
        <v>5</v>
      </c>
      <c r="Z22">
        <v>5</v>
      </c>
      <c r="AA22">
        <v>10</v>
      </c>
      <c r="AB22">
        <v>1500</v>
      </c>
      <c r="AC22">
        <v>1136</v>
      </c>
      <c r="AD22">
        <v>1136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24</v>
      </c>
      <c r="AM22">
        <v>0</v>
      </c>
      <c r="AN22">
        <v>192</v>
      </c>
      <c r="AO22">
        <v>24</v>
      </c>
      <c r="AP22">
        <v>5</v>
      </c>
      <c r="AQ22">
        <v>0</v>
      </c>
      <c r="AR22">
        <v>0</v>
      </c>
      <c r="AS22" t="s">
        <v>58</v>
      </c>
      <c r="AT22">
        <v>1</v>
      </c>
      <c r="AU22" t="s">
        <v>59</v>
      </c>
      <c r="AV22" t="s">
        <v>60</v>
      </c>
      <c r="AW22">
        <v>1</v>
      </c>
      <c r="AX22">
        <v>2</v>
      </c>
      <c r="AY22">
        <v>0</v>
      </c>
      <c r="AZ22">
        <v>7400</v>
      </c>
      <c r="BA22">
        <v>100</v>
      </c>
      <c r="BB22">
        <v>100</v>
      </c>
      <c r="BC22">
        <v>100</v>
      </c>
      <c r="BD22">
        <v>100</v>
      </c>
      <c r="BE22">
        <v>1</v>
      </c>
      <c r="BF22">
        <v>15000</v>
      </c>
      <c r="BG22">
        <v>1000</v>
      </c>
      <c r="BH22" s="6">
        <f>Grandview_Inventory[[#This Row],[land_extract]]*Lookups!$B$3</f>
        <v>63733.18357750171</v>
      </c>
      <c r="BI22" s="6">
        <f>IF(Grandview_Inventory[[#This Row],[bldg_style]]="",0,Lookups!$B$2)</f>
        <v>155833.95000000001</v>
      </c>
      <c r="BJ22" s="6">
        <f>_xlfn.IFNA(VLOOKUP(Grandview_Inventory[[#This Row],[quality]],Lookups!$H$2:$J$14,3,FALSE),0)</f>
        <v>2251</v>
      </c>
      <c r="BK22" s="6">
        <f>_xlfn.IFNA(VLOOKUP(Grandview_Inventory[[#This Row],[condition]],Lookups!$H$17:$J$24,3,FALSE),0)</f>
        <v>25780</v>
      </c>
      <c r="BL22" s="6">
        <f>Grandview_Inventory[[#This Row],[Eff_Age]]*Lookups!$B$14</f>
        <v>-1195.8329999999999</v>
      </c>
      <c r="BM22" s="6">
        <f>Grandview_Inventory[[#This Row],[living_area]]*Lookups!$B$15</f>
        <v>70864.649008000008</v>
      </c>
      <c r="BN22" s="6">
        <f>Grandview_Inventory[[#This Row],[Fin BSMT]]*Lookups!$B$16</f>
        <v>0</v>
      </c>
      <c r="BO22" s="6">
        <f>(Grandview_Inventory[[#This Row],[att_gar]]+Grandview_Inventory[[#This Row],[bltin_gar]])*Lookups!$B$17</f>
        <v>0</v>
      </c>
      <c r="BP22" s="6">
        <f>Grandview_Inventory[[#This Row],[Plumbing Fixtures]]*Lookups!$B$18</f>
        <v>10052.209000000001</v>
      </c>
      <c r="BQ22" s="6">
        <f>Grandview_Inventory[[#This Row],[detatched_value]]*Lookups!$B$19</f>
        <v>6266.3577399999995</v>
      </c>
      <c r="BR22" s="6">
        <f>SUM(Grandview_Inventory[[#This Row],[Intercept]:[det_value]])*Grandview_Inventory[[#This Row],[res_pct]]</f>
        <v>269852.33274799999</v>
      </c>
      <c r="BS22" s="6">
        <f>Grandview_Inventory[[#This Row],[land_value]]</f>
        <v>63733.18357750171</v>
      </c>
      <c r="BT22" s="4">
        <f>_xlfn.IFNA(VLOOKUP(Grandview_Inventory[[#This Row],[quality]],Lookups!$A$26:$C$33,3,FALSE),1)</f>
        <v>0.98763855981004833</v>
      </c>
      <c r="BU22" s="4">
        <f>_xlfn.IFNA(VLOOKUP(Grandview_Inventory[[#This Row],[condition]],Lookups!$A$37:$C$44,3,FALSE),1)</f>
        <v>0.94347925387812148</v>
      </c>
      <c r="BV22" s="4">
        <f>IF(Grandview_Inventory[[#This Row],[bldg_style]]="",1,_xlfn.IFNA(VLOOKUP(Grandview_Inventory[[#This Row],[decade]],Lookups!$F$29:$H$43,3,FALSE),1))</f>
        <v>0.94601966599150278</v>
      </c>
      <c r="BW22" s="4">
        <f>_xlfn.IFNA(VLOOKUP(Grandview_Inventory[[#This Row],[living_area_range]],Lookups!$F$47:$H$56,3,FALSE),1)</f>
        <v>0.96135087979789358</v>
      </c>
      <c r="BX22" s="4">
        <f>AVERAGE(Grandview_Inventory[[#This Row],[qual_adj]:[size_adj]])</f>
        <v>0.95962208986939146</v>
      </c>
      <c r="BY22" s="6">
        <f>IF(Grandview_Inventory[[#This Row],[pre_res]]&lt;0,0,Grandview_Inventory[[#This Row],[pre_res]]*Grandview_Inventory[[#This Row],[overall_adj]])</f>
        <v>258956.25950776617</v>
      </c>
      <c r="BZ22" s="6">
        <f>(Grandview_Inventory[[#This Row],[sum_land]]-IF(Grandview_Inventory[[#This Row],[no_utilities]]=1,12000,0))/IF(Grandview_Inventory[[#This Row],[unbuildable]]=1,2,1)</f>
        <v>63733.18357750171</v>
      </c>
      <c r="CA22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22">
        <f>ROUND(Grandview_Inventory[[#This Row],[det_value]]*Lookups!$M$28,-2)</f>
        <v>6000</v>
      </c>
      <c r="CC22">
        <f>IF(ROUND(Grandview_Inventory[[#This Row],[adj_res]]*Lookups!$M$28,-2)&lt;Grandview_Inventory[[#This Row],[min_res]],Grandview_Inventory[[#This Row],[min_res]],ROUND(Grandview_Inventory[[#This Row],[adj_res]]*Lookups!$M$28,-2))</f>
        <v>246000</v>
      </c>
      <c r="CD22">
        <f>Grandview_Inventory[[#This Row],[final_det]]+Grandview_Inventory[[#This Row],[final_res]]</f>
        <v>252000</v>
      </c>
      <c r="CE22">
        <f>Grandview_Inventory[[#This Row],[final_land]]+Grandview_Inventory[[#This Row],[final_imp]]+Grandview_Inventory[[#This Row],[crop_value]]</f>
        <v>312500</v>
      </c>
      <c r="CG22" t="str">
        <f t="shared" si="0"/>
        <v>update valuation set market_land =60500, market_bldg=252000, market_total =312500, market_mdno =401, market_date ='9/10/2023' where link_id = (select link_id from parcel where parcel_year = '2024' and parcel_id = '23091332402');</v>
      </c>
    </row>
    <row r="23" spans="1:85" x14ac:dyDescent="0.25">
      <c r="A23">
        <v>23091333002</v>
      </c>
      <c r="B23">
        <v>0.25</v>
      </c>
      <c r="C23">
        <v>11011</v>
      </c>
      <c r="D23" t="s">
        <v>129</v>
      </c>
      <c r="E23" t="s">
        <v>53</v>
      </c>
      <c r="F23" t="s">
        <v>53</v>
      </c>
      <c r="G23">
        <v>4</v>
      </c>
      <c r="H23" t="s">
        <v>54</v>
      </c>
      <c r="I23">
        <v>151500</v>
      </c>
      <c r="J23">
        <v>40000</v>
      </c>
      <c r="K23">
        <v>0.25</v>
      </c>
      <c r="L23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3">
        <v>0</v>
      </c>
      <c r="N23">
        <v>0</v>
      </c>
      <c r="O23">
        <v>0</v>
      </c>
      <c r="P23">
        <v>13398.7528</v>
      </c>
      <c r="Q23">
        <v>63903</v>
      </c>
      <c r="R23">
        <f>(Grandview_Inventory[[#This Row],[ln_acres]]*Grandview_Inventory[[#This Row],[coeff]])+Grandview_Inventory[[#This Row],[const]]</f>
        <v>45328.38454732066</v>
      </c>
      <c r="S23" t="s">
        <v>68</v>
      </c>
      <c r="T23">
        <v>1</v>
      </c>
      <c r="U23" t="s">
        <v>70</v>
      </c>
      <c r="V23" t="s">
        <v>69</v>
      </c>
      <c r="W23">
        <v>0</v>
      </c>
      <c r="X23">
        <v>0</v>
      </c>
      <c r="Y23">
        <v>51</v>
      </c>
      <c r="Z23">
        <v>78</v>
      </c>
      <c r="AA23">
        <v>80</v>
      </c>
      <c r="AB23">
        <v>1500</v>
      </c>
      <c r="AC23">
        <v>1167</v>
      </c>
      <c r="AD23">
        <v>1167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70</v>
      </c>
      <c r="AO23">
        <v>0</v>
      </c>
      <c r="AP23">
        <v>5</v>
      </c>
      <c r="AQ23">
        <v>0</v>
      </c>
      <c r="AR23">
        <v>0</v>
      </c>
      <c r="AS23" t="s">
        <v>58</v>
      </c>
      <c r="AT23">
        <v>1</v>
      </c>
      <c r="AU23" t="s">
        <v>63</v>
      </c>
      <c r="AV23" t="s">
        <v>60</v>
      </c>
      <c r="AW23">
        <v>1</v>
      </c>
      <c r="AX23">
        <v>2</v>
      </c>
      <c r="AY23">
        <v>0</v>
      </c>
      <c r="AZ23">
        <v>7700</v>
      </c>
      <c r="BA23">
        <v>100</v>
      </c>
      <c r="BB23">
        <v>100</v>
      </c>
      <c r="BC23">
        <v>100</v>
      </c>
      <c r="BD23">
        <v>100</v>
      </c>
      <c r="BE23">
        <v>1</v>
      </c>
      <c r="BF23">
        <v>15000</v>
      </c>
      <c r="BG23">
        <v>1000</v>
      </c>
      <c r="BH23" s="6">
        <f>Grandview_Inventory[[#This Row],[land_extract]]*Lookups!$B$3</f>
        <v>52639.730588165206</v>
      </c>
      <c r="BI23" s="6">
        <f>IF(Grandview_Inventory[[#This Row],[bldg_style]]="",0,Lookups!$B$2)</f>
        <v>155833.95000000001</v>
      </c>
      <c r="BJ23" s="6">
        <f>_xlfn.IFNA(VLOOKUP(Grandview_Inventory[[#This Row],[quality]],Lookups!$H$2:$J$14,3,FALSE),0)</f>
        <v>10733</v>
      </c>
      <c r="BK23" s="6">
        <f>_xlfn.IFNA(VLOOKUP(Grandview_Inventory[[#This Row],[condition]],Lookups!$H$17:$J$24,3,FALSE),0)</f>
        <v>-4503</v>
      </c>
      <c r="BL23" s="6">
        <f>Grandview_Inventory[[#This Row],[Eff_Age]]*Lookups!$B$14</f>
        <v>-12197.496599999999</v>
      </c>
      <c r="BM23" s="6">
        <f>Grandview_Inventory[[#This Row],[living_area]]*Lookups!$B$15</f>
        <v>72798.455451000002</v>
      </c>
      <c r="BN23" s="6">
        <f>Grandview_Inventory[[#This Row],[Fin BSMT]]*Lookups!$B$16</f>
        <v>0</v>
      </c>
      <c r="BO23" s="6">
        <f>(Grandview_Inventory[[#This Row],[att_gar]]+Grandview_Inventory[[#This Row],[bltin_gar]])*Lookups!$B$17</f>
        <v>0</v>
      </c>
      <c r="BP23" s="6">
        <f>Grandview_Inventory[[#This Row],[Plumbing Fixtures]]*Lookups!$B$18</f>
        <v>10052.209000000001</v>
      </c>
      <c r="BQ23" s="6">
        <f>Grandview_Inventory[[#This Row],[detatched_value]]*Lookups!$B$19</f>
        <v>6520.3992699999999</v>
      </c>
      <c r="BR23" s="6">
        <f>SUM(Grandview_Inventory[[#This Row],[Intercept]:[det_value]])*Grandview_Inventory[[#This Row],[res_pct]]</f>
        <v>239237.51712100001</v>
      </c>
      <c r="BS23" s="6">
        <f>Grandview_Inventory[[#This Row],[land_value]]</f>
        <v>52639.730588165206</v>
      </c>
      <c r="BT23" s="4">
        <f>_xlfn.IFNA(VLOOKUP(Grandview_Inventory[[#This Row],[quality]],Lookups!$A$26:$C$33,3,FALSE),1)</f>
        <v>0.98079741117310582</v>
      </c>
      <c r="BU23" s="4">
        <f>_xlfn.IFNA(VLOOKUP(Grandview_Inventory[[#This Row],[condition]],Lookups!$A$37:$C$44,3,FALSE),1)</f>
        <v>0.96469275950863709</v>
      </c>
      <c r="BV23" s="4">
        <f>IF(Grandview_Inventory[[#This Row],[bldg_style]]="",1,_xlfn.IFNA(VLOOKUP(Grandview_Inventory[[#This Row],[decade]],Lookups!$F$29:$H$43,3,FALSE),1))</f>
        <v>0.98763256963907298</v>
      </c>
      <c r="BW23" s="4">
        <f>_xlfn.IFNA(VLOOKUP(Grandview_Inventory[[#This Row],[living_area_range]],Lookups!$F$47:$H$56,3,FALSE),1)</f>
        <v>0.96135087979789358</v>
      </c>
      <c r="BX23" s="4">
        <f>AVERAGE(Grandview_Inventory[[#This Row],[qual_adj]:[size_adj]])</f>
        <v>0.97361840502967734</v>
      </c>
      <c r="BY23" s="6">
        <f>IF(Grandview_Inventory[[#This Row],[pre_res]]&lt;0,0,Grandview_Inventory[[#This Row],[pre_res]]*Grandview_Inventory[[#This Row],[overall_adj]])</f>
        <v>232926.04984260816</v>
      </c>
      <c r="BZ23" s="6">
        <f>(Grandview_Inventory[[#This Row],[sum_land]]-IF(Grandview_Inventory[[#This Row],[no_utilities]]=1,12000,0))/IF(Grandview_Inventory[[#This Row],[unbuildable]]=1,2,1)</f>
        <v>52639.730588165206</v>
      </c>
      <c r="CA23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3">
        <f>ROUND(Grandview_Inventory[[#This Row],[det_value]]*Lookups!$M$28,-2)</f>
        <v>6200</v>
      </c>
      <c r="CC23">
        <f>IF(ROUND(Grandview_Inventory[[#This Row],[adj_res]]*Lookups!$M$28,-2)&lt;Grandview_Inventory[[#This Row],[min_res]],Grandview_Inventory[[#This Row],[min_res]],ROUND(Grandview_Inventory[[#This Row],[adj_res]]*Lookups!$M$28,-2))</f>
        <v>221300</v>
      </c>
      <c r="CD23">
        <f>Grandview_Inventory[[#This Row],[final_det]]+Grandview_Inventory[[#This Row],[final_res]]</f>
        <v>227500</v>
      </c>
      <c r="CE23">
        <f>Grandview_Inventory[[#This Row],[final_land]]+Grandview_Inventory[[#This Row],[final_imp]]+Grandview_Inventory[[#This Row],[crop_value]]</f>
        <v>277500</v>
      </c>
      <c r="CG23" t="str">
        <f t="shared" si="0"/>
        <v>update valuation set market_land =50000, market_bldg=227500, market_total =277500, market_mdno =401, market_date ='9/10/2023' where link_id = (select link_id from parcel where parcel_year = '2024' and parcel_id = '23091333002');</v>
      </c>
    </row>
    <row r="24" spans="1:85" x14ac:dyDescent="0.25">
      <c r="A24">
        <v>23091333006</v>
      </c>
      <c r="B24">
        <v>0.32</v>
      </c>
      <c r="C24">
        <v>13731</v>
      </c>
      <c r="D24" t="s">
        <v>129</v>
      </c>
      <c r="E24" t="s">
        <v>53</v>
      </c>
      <c r="F24" t="s">
        <v>53</v>
      </c>
      <c r="G24">
        <v>4</v>
      </c>
      <c r="H24" t="s">
        <v>54</v>
      </c>
      <c r="I24">
        <v>74300</v>
      </c>
      <c r="J24">
        <v>41100</v>
      </c>
      <c r="K24">
        <v>0.32</v>
      </c>
      <c r="L24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24">
        <v>0</v>
      </c>
      <c r="N24">
        <v>0</v>
      </c>
      <c r="O24">
        <v>0</v>
      </c>
      <c r="P24">
        <v>13398.7528</v>
      </c>
      <c r="Q24">
        <v>63903</v>
      </c>
      <c r="R24">
        <f>(Grandview_Inventory[[#This Row],[ln_acres]]*Grandview_Inventory[[#This Row],[coeff]])+Grandview_Inventory[[#This Row],[const]]</f>
        <v>48636.001707713905</v>
      </c>
      <c r="S24" t="s">
        <v>68</v>
      </c>
      <c r="T24">
        <v>1</v>
      </c>
      <c r="U24" t="s">
        <v>80</v>
      </c>
      <c r="V24" t="s">
        <v>78</v>
      </c>
      <c r="W24">
        <v>0</v>
      </c>
      <c r="X24">
        <v>0</v>
      </c>
      <c r="Y24">
        <v>53</v>
      </c>
      <c r="Z24">
        <v>93</v>
      </c>
      <c r="AA24">
        <v>100</v>
      </c>
      <c r="AB24">
        <v>1000</v>
      </c>
      <c r="AC24">
        <v>921</v>
      </c>
      <c r="AD24">
        <v>921</v>
      </c>
      <c r="AE24">
        <v>0</v>
      </c>
      <c r="AF24">
        <v>0</v>
      </c>
      <c r="AG24">
        <v>0</v>
      </c>
      <c r="AH24">
        <v>963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5</v>
      </c>
      <c r="AQ24">
        <v>0</v>
      </c>
      <c r="AR24">
        <v>0</v>
      </c>
      <c r="AS24" t="s">
        <v>58</v>
      </c>
      <c r="AT24">
        <v>1</v>
      </c>
      <c r="AU24" t="s">
        <v>75</v>
      </c>
      <c r="AV24" t="s">
        <v>60</v>
      </c>
      <c r="AW24">
        <v>0</v>
      </c>
      <c r="AX24">
        <v>2</v>
      </c>
      <c r="AY24">
        <v>0</v>
      </c>
      <c r="AZ24">
        <v>0</v>
      </c>
      <c r="BA24">
        <v>100</v>
      </c>
      <c r="BB24">
        <v>100</v>
      </c>
      <c r="BC24">
        <v>100</v>
      </c>
      <c r="BD24">
        <v>100</v>
      </c>
      <c r="BE24">
        <v>1</v>
      </c>
      <c r="BF24">
        <v>15000</v>
      </c>
      <c r="BG24">
        <v>1000</v>
      </c>
      <c r="BH24" s="6">
        <f>Grandview_Inventory[[#This Row],[land_extract]]*Lookups!$B$3</f>
        <v>56480.857465963549</v>
      </c>
      <c r="BI24" s="6">
        <f>IF(Grandview_Inventory[[#This Row],[bldg_style]]="",0,Lookups!$B$2)</f>
        <v>155833.95000000001</v>
      </c>
      <c r="BJ24" s="6">
        <f>_xlfn.IFNA(VLOOKUP(Grandview_Inventory[[#This Row],[quality]],Lookups!$H$2:$J$14,3,FALSE),0)</f>
        <v>-28558</v>
      </c>
      <c r="BK24" s="6">
        <f>_xlfn.IFNA(VLOOKUP(Grandview_Inventory[[#This Row],[condition]],Lookups!$H$17:$J$24,3,FALSE),0)</f>
        <v>-45357</v>
      </c>
      <c r="BL24" s="6">
        <f>Grandview_Inventory[[#This Row],[Eff_Age]]*Lookups!$B$14</f>
        <v>-12675.8298</v>
      </c>
      <c r="BM24" s="6">
        <f>Grandview_Inventory[[#This Row],[living_area]]*Lookups!$B$15</f>
        <v>57452.765613000003</v>
      </c>
      <c r="BN24" s="6">
        <f>Grandview_Inventory[[#This Row],[Fin BSMT]]*Lookups!$B$16</f>
        <v>0</v>
      </c>
      <c r="BO24" s="6">
        <f>(Grandview_Inventory[[#This Row],[att_gar]]+Grandview_Inventory[[#This Row],[bltin_gar]])*Lookups!$B$17</f>
        <v>0</v>
      </c>
      <c r="BP24" s="6">
        <f>Grandview_Inventory[[#This Row],[Plumbing Fixtures]]*Lookups!$B$18</f>
        <v>10052.209000000001</v>
      </c>
      <c r="BQ24" s="6">
        <f>Grandview_Inventory[[#This Row],[detatched_value]]*Lookups!$B$19</f>
        <v>0</v>
      </c>
      <c r="BR24" s="6">
        <f>SUM(Grandview_Inventory[[#This Row],[Intercept]:[det_value]])*Grandview_Inventory[[#This Row],[res_pct]]</f>
        <v>136748.094813</v>
      </c>
      <c r="BS24" s="6">
        <f>Grandview_Inventory[[#This Row],[land_value]]</f>
        <v>56480.857465963549</v>
      </c>
      <c r="BT24" s="4">
        <f>_xlfn.IFNA(VLOOKUP(Grandview_Inventory[[#This Row],[quality]],Lookups!$A$26:$C$33,3,FALSE),1)</f>
        <v>0.9690360070159818</v>
      </c>
      <c r="BU24" s="4">
        <f>_xlfn.IFNA(VLOOKUP(Grandview_Inventory[[#This Row],[condition]],Lookups!$A$37:$C$44,3,FALSE),1)</f>
        <v>0.97161819570155394</v>
      </c>
      <c r="BV24" s="4">
        <f>IF(Grandview_Inventory[[#This Row],[bldg_style]]="",1,_xlfn.IFNA(VLOOKUP(Grandview_Inventory[[#This Row],[decade]],Lookups!$F$29:$H$43,3,FALSE),1))</f>
        <v>0.95244691841736806</v>
      </c>
      <c r="BW24" s="4">
        <f>_xlfn.IFNA(VLOOKUP(Grandview_Inventory[[#This Row],[living_area_range]],Lookups!$F$47:$H$56,3,FALSE),1)</f>
        <v>0.94306777142782894</v>
      </c>
      <c r="BX24" s="4">
        <f>AVERAGE(Grandview_Inventory[[#This Row],[qual_adj]:[size_adj]])</f>
        <v>0.9590422231406831</v>
      </c>
      <c r="BY24" s="6">
        <f>IF(Grandview_Inventory[[#This Row],[pre_res]]&lt;0,0,Grandview_Inventory[[#This Row],[pre_res]]*Grandview_Inventory[[#This Row],[overall_adj]])</f>
        <v>131147.19685971245</v>
      </c>
      <c r="BZ24" s="6">
        <f>(Grandview_Inventory[[#This Row],[sum_land]]-IF(Grandview_Inventory[[#This Row],[no_utilities]]=1,12000,0))/IF(Grandview_Inventory[[#This Row],[unbuildable]]=1,2,1)</f>
        <v>56480.857465963549</v>
      </c>
      <c r="CA24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24">
        <f>ROUND(Grandview_Inventory[[#This Row],[det_value]]*Lookups!$M$28,-2)</f>
        <v>0</v>
      </c>
      <c r="CC24">
        <f>IF(ROUND(Grandview_Inventory[[#This Row],[adj_res]]*Lookups!$M$28,-2)&lt;Grandview_Inventory[[#This Row],[min_res]],Grandview_Inventory[[#This Row],[min_res]],ROUND(Grandview_Inventory[[#This Row],[adj_res]]*Lookups!$M$28,-2))</f>
        <v>124600</v>
      </c>
      <c r="CD24">
        <f>Grandview_Inventory[[#This Row],[final_det]]+Grandview_Inventory[[#This Row],[final_res]]</f>
        <v>124600</v>
      </c>
      <c r="CE24">
        <f>Grandview_Inventory[[#This Row],[final_land]]+Grandview_Inventory[[#This Row],[final_imp]]+Grandview_Inventory[[#This Row],[crop_value]]</f>
        <v>178300</v>
      </c>
      <c r="CG24" t="str">
        <f t="shared" si="0"/>
        <v>update valuation set market_land =53700, market_bldg=124600, market_total =178300, market_mdno =401, market_date ='9/10/2023' where link_id = (select link_id from parcel where parcel_year = '2024' and parcel_id = '23091333006');</v>
      </c>
    </row>
    <row r="25" spans="1:85" x14ac:dyDescent="0.25">
      <c r="A25">
        <v>23091333007</v>
      </c>
      <c r="B25">
        <v>1.86</v>
      </c>
      <c r="C25">
        <v>81064</v>
      </c>
      <c r="D25" t="s">
        <v>129</v>
      </c>
      <c r="E25" t="s">
        <v>53</v>
      </c>
      <c r="F25" t="s">
        <v>53</v>
      </c>
      <c r="G25">
        <v>4</v>
      </c>
      <c r="H25" t="s">
        <v>54</v>
      </c>
      <c r="I25">
        <v>246900</v>
      </c>
      <c r="J25">
        <v>51000</v>
      </c>
      <c r="K25">
        <v>1.86</v>
      </c>
      <c r="L25">
        <f>IF(Grandview_Inventory[[#This Row],[parcel_acres]]-Grandview_Inventory[[#This Row],[non_valued_acres]] =0,0,LN(Grandview_Inventory[[#This Row],[parcel_acres]]-Grandview_Inventory[[#This Row],[non_valued_acres]]))</f>
        <v>0.62057648772510998</v>
      </c>
      <c r="M25">
        <v>0</v>
      </c>
      <c r="N25">
        <v>0</v>
      </c>
      <c r="O25">
        <v>0</v>
      </c>
      <c r="P25">
        <v>13398.7528</v>
      </c>
      <c r="Q25">
        <v>63903</v>
      </c>
      <c r="R25">
        <f>(Grandview_Inventory[[#This Row],[ln_acres]]*Grandview_Inventory[[#This Row],[coeff]])+Grandview_Inventory[[#This Row],[const]]</f>
        <v>72217.950952520987</v>
      </c>
      <c r="S25" t="s">
        <v>61</v>
      </c>
      <c r="T25">
        <v>1</v>
      </c>
      <c r="U25" t="s">
        <v>65</v>
      </c>
      <c r="V25" t="s">
        <v>69</v>
      </c>
      <c r="W25">
        <v>0</v>
      </c>
      <c r="X25">
        <v>0</v>
      </c>
      <c r="Y25">
        <v>39</v>
      </c>
      <c r="Z25">
        <v>39</v>
      </c>
      <c r="AA25">
        <v>40</v>
      </c>
      <c r="AB25">
        <v>2500</v>
      </c>
      <c r="AC25">
        <v>2298</v>
      </c>
      <c r="AD25">
        <v>2298</v>
      </c>
      <c r="AE25">
        <v>0</v>
      </c>
      <c r="AF25">
        <v>0</v>
      </c>
      <c r="AG25">
        <v>0</v>
      </c>
      <c r="AH25">
        <v>0</v>
      </c>
      <c r="AI25">
        <v>600</v>
      </c>
      <c r="AJ25">
        <v>0</v>
      </c>
      <c r="AK25">
        <v>0</v>
      </c>
      <c r="AL25">
        <v>0</v>
      </c>
      <c r="AM25">
        <v>0</v>
      </c>
      <c r="AN25">
        <v>150</v>
      </c>
      <c r="AO25">
        <v>128</v>
      </c>
      <c r="AP25">
        <v>8</v>
      </c>
      <c r="AQ25">
        <v>0</v>
      </c>
      <c r="AR25">
        <v>0</v>
      </c>
      <c r="AS25" t="s">
        <v>58</v>
      </c>
      <c r="AT25">
        <v>1</v>
      </c>
      <c r="AU25" t="s">
        <v>63</v>
      </c>
      <c r="AV25" t="s">
        <v>60</v>
      </c>
      <c r="AW25">
        <v>1</v>
      </c>
      <c r="AX25">
        <v>4</v>
      </c>
      <c r="AY25">
        <v>0</v>
      </c>
      <c r="AZ25">
        <v>0</v>
      </c>
      <c r="BA25">
        <v>100</v>
      </c>
      <c r="BB25">
        <v>100</v>
      </c>
      <c r="BC25">
        <v>100</v>
      </c>
      <c r="BD25">
        <v>100</v>
      </c>
      <c r="BE25">
        <v>1</v>
      </c>
      <c r="BF25">
        <v>15000</v>
      </c>
      <c r="BG25">
        <v>1000</v>
      </c>
      <c r="BH25" s="6">
        <f>Grandview_Inventory[[#This Row],[land_extract]]*Lookups!$B$3</f>
        <v>83866.511452695049</v>
      </c>
      <c r="BI25" s="6">
        <f>IF(Grandview_Inventory[[#This Row],[bldg_style]]="",0,Lookups!$B$2)</f>
        <v>155833.95000000001</v>
      </c>
      <c r="BJ25" s="6">
        <f>_xlfn.IFNA(VLOOKUP(Grandview_Inventory[[#This Row],[quality]],Lookups!$H$2:$J$14,3,FALSE),0)</f>
        <v>2251</v>
      </c>
      <c r="BK25" s="6">
        <f>_xlfn.IFNA(VLOOKUP(Grandview_Inventory[[#This Row],[condition]],Lookups!$H$17:$J$24,3,FALSE),0)</f>
        <v>-4503</v>
      </c>
      <c r="BL25" s="6">
        <f>Grandview_Inventory[[#This Row],[Eff_Age]]*Lookups!$B$14</f>
        <v>-9327.4974000000002</v>
      </c>
      <c r="BM25" s="6">
        <f>Grandview_Inventory[[#This Row],[living_area]]*Lookups!$B$15</f>
        <v>143351.200194</v>
      </c>
      <c r="BN25" s="6">
        <f>Grandview_Inventory[[#This Row],[Fin BSMT]]*Lookups!$B$16</f>
        <v>0</v>
      </c>
      <c r="BO25" s="6">
        <f>(Grandview_Inventory[[#This Row],[att_gar]]+Grandview_Inventory[[#This Row],[bltin_gar]])*Lookups!$B$17</f>
        <v>52512.262199999997</v>
      </c>
      <c r="BP25" s="6">
        <f>Grandview_Inventory[[#This Row],[Plumbing Fixtures]]*Lookups!$B$18</f>
        <v>16083.5344</v>
      </c>
      <c r="BQ25" s="6">
        <f>Grandview_Inventory[[#This Row],[detatched_value]]*Lookups!$B$19</f>
        <v>0</v>
      </c>
      <c r="BR25" s="6">
        <f>SUM(Grandview_Inventory[[#This Row],[Intercept]:[det_value]])*Grandview_Inventory[[#This Row],[res_pct]]</f>
        <v>356201.449394</v>
      </c>
      <c r="BS25" s="6">
        <f>Grandview_Inventory[[#This Row],[land_value]]</f>
        <v>83866.511452695049</v>
      </c>
      <c r="BT25" s="4">
        <f>_xlfn.IFNA(VLOOKUP(Grandview_Inventory[[#This Row],[quality]],Lookups!$A$26:$C$33,3,FALSE),1)</f>
        <v>0.98763855981004833</v>
      </c>
      <c r="BU25" s="4">
        <f>_xlfn.IFNA(VLOOKUP(Grandview_Inventory[[#This Row],[condition]],Lookups!$A$37:$C$44,3,FALSE),1)</f>
        <v>0.96469275950863709</v>
      </c>
      <c r="BV25" s="4">
        <f>IF(Grandview_Inventory[[#This Row],[bldg_style]]="",1,_xlfn.IFNA(VLOOKUP(Grandview_Inventory[[#This Row],[decade]],Lookups!$F$29:$H$43,3,FALSE),1))</f>
        <v>0.98031878267063854</v>
      </c>
      <c r="BW25" s="4">
        <f>_xlfn.IFNA(VLOOKUP(Grandview_Inventory[[#This Row],[living_area_range]],Lookups!$F$47:$H$56,3,FALSE),1)</f>
        <v>0.95799442568048754</v>
      </c>
      <c r="BX25" s="4">
        <f>AVERAGE(Grandview_Inventory[[#This Row],[qual_adj]:[size_adj]])</f>
        <v>0.97266113191745285</v>
      </c>
      <c r="BY25" s="6">
        <f>IF(Grandview_Inventory[[#This Row],[pre_res]]&lt;0,0,Grandview_Inventory[[#This Row],[pre_res]]*Grandview_Inventory[[#This Row],[overall_adj]])</f>
        <v>346463.30495820532</v>
      </c>
      <c r="BZ25" s="6">
        <f>(Grandview_Inventory[[#This Row],[sum_land]]-IF(Grandview_Inventory[[#This Row],[no_utilities]]=1,12000,0))/IF(Grandview_Inventory[[#This Row],[unbuildable]]=1,2,1)</f>
        <v>83866.511452695049</v>
      </c>
      <c r="CA25">
        <f>IF(ROUND(Grandview_Inventory[[#This Row],[adj_land]]*Lookups!$M$28,-2)&lt;Grandview_Inventory[[#This Row],[min_land]],Grandview_Inventory[[#This Row],[min_land]],ROUND(Grandview_Inventory[[#This Row],[adj_land]]*Lookups!$M$28,-2))</f>
        <v>79700</v>
      </c>
      <c r="CB25">
        <f>ROUND(Grandview_Inventory[[#This Row],[det_value]]*Lookups!$M$28,-2)</f>
        <v>0</v>
      </c>
      <c r="CC25">
        <f>IF(ROUND(Grandview_Inventory[[#This Row],[adj_res]]*Lookups!$M$28,-2)&lt;Grandview_Inventory[[#This Row],[min_res]],Grandview_Inventory[[#This Row],[min_res]],ROUND(Grandview_Inventory[[#This Row],[adj_res]]*Lookups!$M$28,-2))</f>
        <v>329100</v>
      </c>
      <c r="CD25">
        <f>Grandview_Inventory[[#This Row],[final_det]]+Grandview_Inventory[[#This Row],[final_res]]</f>
        <v>329100</v>
      </c>
      <c r="CE25">
        <f>Grandview_Inventory[[#This Row],[final_land]]+Grandview_Inventory[[#This Row],[final_imp]]+Grandview_Inventory[[#This Row],[crop_value]]</f>
        <v>408800</v>
      </c>
      <c r="CG25" t="str">
        <f t="shared" si="0"/>
        <v>update valuation set market_land =79700, market_bldg=329100, market_total =408800, market_mdno =401, market_date ='9/10/2023' where link_id = (select link_id from parcel where parcel_year = '2024' and parcel_id = '23091333007');</v>
      </c>
    </row>
    <row r="26" spans="1:85" x14ac:dyDescent="0.25">
      <c r="A26">
        <v>23091333018</v>
      </c>
      <c r="B26">
        <v>1.67</v>
      </c>
      <c r="C26">
        <v>72934</v>
      </c>
      <c r="D26" t="s">
        <v>129</v>
      </c>
      <c r="E26" t="s">
        <v>53</v>
      </c>
      <c r="F26" t="s">
        <v>53</v>
      </c>
      <c r="G26">
        <v>4</v>
      </c>
      <c r="H26" t="s">
        <v>54</v>
      </c>
      <c r="I26">
        <v>136300</v>
      </c>
      <c r="J26">
        <v>45400</v>
      </c>
      <c r="K26">
        <v>1.67</v>
      </c>
      <c r="L26">
        <f>IF(Grandview_Inventory[[#This Row],[parcel_acres]]-Grandview_Inventory[[#This Row],[non_valued_acres]] =0,0,LN(Grandview_Inventory[[#This Row],[parcel_acres]]-Grandview_Inventory[[#This Row],[non_valued_acres]]))</f>
        <v>0.51282362642866375</v>
      </c>
      <c r="M26">
        <v>0</v>
      </c>
      <c r="N26">
        <v>0</v>
      </c>
      <c r="O26">
        <v>0</v>
      </c>
      <c r="P26">
        <v>13398.7528</v>
      </c>
      <c r="Q26">
        <v>63903</v>
      </c>
      <c r="R26">
        <f>(Grandview_Inventory[[#This Row],[ln_acres]]*Grandview_Inventory[[#This Row],[coeff]])+Grandview_Inventory[[#This Row],[const]]</f>
        <v>70774.197000517219</v>
      </c>
      <c r="S26" t="s">
        <v>68</v>
      </c>
      <c r="T26">
        <v>1</v>
      </c>
      <c r="U26" t="s">
        <v>70</v>
      </c>
      <c r="V26" t="s">
        <v>69</v>
      </c>
      <c r="W26">
        <v>0</v>
      </c>
      <c r="X26">
        <v>0</v>
      </c>
      <c r="Y26">
        <v>50</v>
      </c>
      <c r="Z26">
        <v>73</v>
      </c>
      <c r="AA26">
        <v>80</v>
      </c>
      <c r="AB26">
        <v>1500</v>
      </c>
      <c r="AC26">
        <v>1068</v>
      </c>
      <c r="AD26">
        <v>1068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280</v>
      </c>
      <c r="AN26">
        <v>32</v>
      </c>
      <c r="AO26">
        <v>280</v>
      </c>
      <c r="AP26">
        <v>5</v>
      </c>
      <c r="AQ26">
        <v>0</v>
      </c>
      <c r="AR26">
        <v>0</v>
      </c>
      <c r="AS26" t="s">
        <v>58</v>
      </c>
      <c r="AT26">
        <v>0</v>
      </c>
      <c r="AU26" t="s">
        <v>82</v>
      </c>
      <c r="AV26" t="s">
        <v>60</v>
      </c>
      <c r="AW26">
        <v>0</v>
      </c>
      <c r="AX26">
        <v>3</v>
      </c>
      <c r="AY26">
        <v>0</v>
      </c>
      <c r="AZ26">
        <v>11500</v>
      </c>
      <c r="BA26">
        <v>100</v>
      </c>
      <c r="BB26">
        <v>100</v>
      </c>
      <c r="BC26">
        <v>100</v>
      </c>
      <c r="BD26">
        <v>100</v>
      </c>
      <c r="BE26">
        <v>1</v>
      </c>
      <c r="BF26">
        <v>15000</v>
      </c>
      <c r="BG26">
        <v>1000</v>
      </c>
      <c r="BH26" s="6">
        <f>Grandview_Inventory[[#This Row],[land_extract]]*Lookups!$B$3</f>
        <v>82189.883886368742</v>
      </c>
      <c r="BI26" s="6">
        <f>IF(Grandview_Inventory[[#This Row],[bldg_style]]="",0,Lookups!$B$2)</f>
        <v>155833.95000000001</v>
      </c>
      <c r="BJ26" s="6">
        <f>_xlfn.IFNA(VLOOKUP(Grandview_Inventory[[#This Row],[quality]],Lookups!$H$2:$J$14,3,FALSE),0)</f>
        <v>10733</v>
      </c>
      <c r="BK26" s="6">
        <f>_xlfn.IFNA(VLOOKUP(Grandview_Inventory[[#This Row],[condition]],Lookups!$H$17:$J$24,3,FALSE),0)</f>
        <v>-4503</v>
      </c>
      <c r="BL26" s="6">
        <f>Grandview_Inventory[[#This Row],[Eff_Age]]*Lookups!$B$14</f>
        <v>-11958.33</v>
      </c>
      <c r="BM26" s="6">
        <f>Grandview_Inventory[[#This Row],[living_area]]*Lookups!$B$15</f>
        <v>66622.751004000005</v>
      </c>
      <c r="BN26" s="6">
        <f>Grandview_Inventory[[#This Row],[Fin BSMT]]*Lookups!$B$16</f>
        <v>0</v>
      </c>
      <c r="BO26" s="6">
        <f>(Grandview_Inventory[[#This Row],[att_gar]]+Grandview_Inventory[[#This Row],[bltin_gar]])*Lookups!$B$17</f>
        <v>0</v>
      </c>
      <c r="BP26" s="6">
        <f>Grandview_Inventory[[#This Row],[Plumbing Fixtures]]*Lookups!$B$18</f>
        <v>10052.209000000001</v>
      </c>
      <c r="BQ26" s="6">
        <f>Grandview_Inventory[[#This Row],[detatched_value]]*Lookups!$B$19</f>
        <v>9738.2586499999998</v>
      </c>
      <c r="BR26" s="6">
        <f>SUM(Grandview_Inventory[[#This Row],[Intercept]:[det_value]])*Grandview_Inventory[[#This Row],[res_pct]]</f>
        <v>236518.83865400002</v>
      </c>
      <c r="BS26" s="6">
        <f>Grandview_Inventory[[#This Row],[land_value]]</f>
        <v>82189.883886368742</v>
      </c>
      <c r="BT26" s="4">
        <f>_xlfn.IFNA(VLOOKUP(Grandview_Inventory[[#This Row],[quality]],Lookups!$A$26:$C$33,3,FALSE),1)</f>
        <v>0.98079741117310582</v>
      </c>
      <c r="BU26" s="4">
        <f>_xlfn.IFNA(VLOOKUP(Grandview_Inventory[[#This Row],[condition]],Lookups!$A$37:$C$44,3,FALSE),1)</f>
        <v>0.96469275950863709</v>
      </c>
      <c r="BV26" s="4">
        <f>IF(Grandview_Inventory[[#This Row],[bldg_style]]="",1,_xlfn.IFNA(VLOOKUP(Grandview_Inventory[[#This Row],[decade]],Lookups!$F$29:$H$43,3,FALSE),1))</f>
        <v>0.98763256963907298</v>
      </c>
      <c r="BW26" s="4">
        <f>_xlfn.IFNA(VLOOKUP(Grandview_Inventory[[#This Row],[living_area_range]],Lookups!$F$47:$H$56,3,FALSE),1)</f>
        <v>0.96135087979789358</v>
      </c>
      <c r="BX26" s="4">
        <f>AVERAGE(Grandview_Inventory[[#This Row],[qual_adj]:[size_adj]])</f>
        <v>0.97361840502967734</v>
      </c>
      <c r="BY26" s="6">
        <f>IF(Grandview_Inventory[[#This Row],[pre_res]]&lt;0,0,Grandview_Inventory[[#This Row],[pre_res]]*Grandview_Inventory[[#This Row],[overall_adj]])</f>
        <v>230279.09444977911</v>
      </c>
      <c r="BZ26" s="6">
        <f>(Grandview_Inventory[[#This Row],[sum_land]]-IF(Grandview_Inventory[[#This Row],[no_utilities]]=1,12000,0))/IF(Grandview_Inventory[[#This Row],[unbuildable]]=1,2,1)</f>
        <v>82189.883886368742</v>
      </c>
      <c r="CA26">
        <f>IF(ROUND(Grandview_Inventory[[#This Row],[adj_land]]*Lookups!$M$28,-2)&lt;Grandview_Inventory[[#This Row],[min_land]],Grandview_Inventory[[#This Row],[min_land]],ROUND(Grandview_Inventory[[#This Row],[adj_land]]*Lookups!$M$28,-2))</f>
        <v>78100</v>
      </c>
      <c r="CB26">
        <f>ROUND(Grandview_Inventory[[#This Row],[det_value]]*Lookups!$M$28,-2)</f>
        <v>9300</v>
      </c>
      <c r="CC26">
        <f>IF(ROUND(Grandview_Inventory[[#This Row],[adj_res]]*Lookups!$M$28,-2)&lt;Grandview_Inventory[[#This Row],[min_res]],Grandview_Inventory[[#This Row],[min_res]],ROUND(Grandview_Inventory[[#This Row],[adj_res]]*Lookups!$M$28,-2))</f>
        <v>218800</v>
      </c>
      <c r="CD26">
        <f>Grandview_Inventory[[#This Row],[final_det]]+Grandview_Inventory[[#This Row],[final_res]]</f>
        <v>228100</v>
      </c>
      <c r="CE26">
        <f>Grandview_Inventory[[#This Row],[final_land]]+Grandview_Inventory[[#This Row],[final_imp]]+Grandview_Inventory[[#This Row],[crop_value]]</f>
        <v>306200</v>
      </c>
      <c r="CG26" t="str">
        <f t="shared" si="0"/>
        <v>update valuation set market_land =78100, market_bldg=228100, market_total =306200, market_mdno =401, market_date ='9/10/2023' where link_id = (select link_id from parcel where parcel_year = '2024' and parcel_id = '23091333018');</v>
      </c>
    </row>
    <row r="27" spans="1:85" x14ac:dyDescent="0.25">
      <c r="A27">
        <v>23091333022</v>
      </c>
      <c r="B27">
        <v>0.88</v>
      </c>
      <c r="C27" t="s">
        <v>129</v>
      </c>
      <c r="D27">
        <v>0</v>
      </c>
      <c r="E27" t="s">
        <v>53</v>
      </c>
      <c r="F27" t="s">
        <v>53</v>
      </c>
      <c r="G27">
        <v>4</v>
      </c>
      <c r="H27" t="s">
        <v>54</v>
      </c>
      <c r="I27">
        <v>247200</v>
      </c>
      <c r="J27">
        <v>45200</v>
      </c>
      <c r="K27">
        <v>0.88</v>
      </c>
      <c r="L27">
        <f>IF(Grandview_Inventory[[#This Row],[parcel_acres]]-Grandview_Inventory[[#This Row],[non_valued_acres]] =0,0,LN(Grandview_Inventory[[#This Row],[parcel_acres]]-Grandview_Inventory[[#This Row],[non_valued_acres]]))</f>
        <v>-0.12783337150988489</v>
      </c>
      <c r="M27">
        <v>0</v>
      </c>
      <c r="N27">
        <v>0</v>
      </c>
      <c r="O27">
        <v>0</v>
      </c>
      <c r="P27">
        <v>13398.7528</v>
      </c>
      <c r="Q27">
        <v>63903</v>
      </c>
      <c r="R27">
        <f>(Grandview_Inventory[[#This Row],[ln_acres]]*Grandview_Inventory[[#This Row],[coeff]])+Grandview_Inventory[[#This Row],[const]]</f>
        <v>62190.192255548493</v>
      </c>
      <c r="S27" t="s">
        <v>55</v>
      </c>
      <c r="T27">
        <v>2</v>
      </c>
      <c r="U27" t="s">
        <v>65</v>
      </c>
      <c r="V27" t="s">
        <v>69</v>
      </c>
      <c r="W27">
        <v>0</v>
      </c>
      <c r="X27">
        <v>0</v>
      </c>
      <c r="Y27">
        <v>74</v>
      </c>
      <c r="Z27">
        <v>122</v>
      </c>
      <c r="AA27">
        <v>130</v>
      </c>
      <c r="AB27">
        <v>2000</v>
      </c>
      <c r="AC27">
        <v>1836</v>
      </c>
      <c r="AD27">
        <v>1388</v>
      </c>
      <c r="AE27">
        <v>448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208</v>
      </c>
      <c r="AO27">
        <v>0</v>
      </c>
      <c r="AP27">
        <v>8</v>
      </c>
      <c r="AQ27">
        <v>0</v>
      </c>
      <c r="AR27">
        <v>1</v>
      </c>
      <c r="AS27" t="s">
        <v>58</v>
      </c>
      <c r="AT27">
        <v>1</v>
      </c>
      <c r="AU27" t="s">
        <v>63</v>
      </c>
      <c r="AV27" t="s">
        <v>64</v>
      </c>
      <c r="AW27">
        <v>1</v>
      </c>
      <c r="AX27">
        <v>3</v>
      </c>
      <c r="AY27">
        <v>0</v>
      </c>
      <c r="AZ27">
        <v>53400</v>
      </c>
      <c r="BA27">
        <v>100</v>
      </c>
      <c r="BB27">
        <v>100</v>
      </c>
      <c r="BC27">
        <v>100</v>
      </c>
      <c r="BD27">
        <v>100</v>
      </c>
      <c r="BE27">
        <v>1</v>
      </c>
      <c r="BF27">
        <v>15000</v>
      </c>
      <c r="BG27">
        <v>1000</v>
      </c>
      <c r="BH27" s="6">
        <f>Grandview_Inventory[[#This Row],[land_extract]]*Lookups!$B$3</f>
        <v>72221.30235284938</v>
      </c>
      <c r="BI27" s="6">
        <f>IF(Grandview_Inventory[[#This Row],[bldg_style]]="",0,Lookups!$B$2)</f>
        <v>155833.95000000001</v>
      </c>
      <c r="BJ27" s="6">
        <f>_xlfn.IFNA(VLOOKUP(Grandview_Inventory[[#This Row],[quality]],Lookups!$H$2:$J$14,3,FALSE),0)</f>
        <v>2251</v>
      </c>
      <c r="BK27" s="6">
        <f>_xlfn.IFNA(VLOOKUP(Grandview_Inventory[[#This Row],[condition]],Lookups!$H$17:$J$24,3,FALSE),0)</f>
        <v>-4503</v>
      </c>
      <c r="BL27" s="6">
        <f>Grandview_Inventory[[#This Row],[Eff_Age]]*Lookups!$B$14</f>
        <v>-17698.328399999999</v>
      </c>
      <c r="BM27" s="6">
        <f>Grandview_Inventory[[#This Row],[living_area]]*Lookups!$B$15</f>
        <v>114531.24610800001</v>
      </c>
      <c r="BN27" s="6">
        <f>Grandview_Inventory[[#This Row],[Fin BSMT]]*Lookups!$B$16</f>
        <v>0</v>
      </c>
      <c r="BO27" s="6">
        <f>(Grandview_Inventory[[#This Row],[att_gar]]+Grandview_Inventory[[#This Row],[bltin_gar]])*Lookups!$B$17</f>
        <v>0</v>
      </c>
      <c r="BP27" s="6">
        <f>Grandview_Inventory[[#This Row],[Plumbing Fixtures]]*Lookups!$B$18</f>
        <v>16083.5344</v>
      </c>
      <c r="BQ27" s="6">
        <f>Grandview_Inventory[[#This Row],[detatched_value]]*Lookups!$B$19</f>
        <v>45219.392339999999</v>
      </c>
      <c r="BR27" s="6">
        <f>SUM(Grandview_Inventory[[#This Row],[Intercept]:[det_value]])*Grandview_Inventory[[#This Row],[res_pct]]</f>
        <v>311717.79444800003</v>
      </c>
      <c r="BS27" s="6">
        <f>Grandview_Inventory[[#This Row],[land_value]]</f>
        <v>72221.30235284938</v>
      </c>
      <c r="BT27" s="4">
        <f>_xlfn.IFNA(VLOOKUP(Grandview_Inventory[[#This Row],[quality]],Lookups!$A$26:$C$33,3,FALSE),1)</f>
        <v>0.98763855981004833</v>
      </c>
      <c r="BU27" s="4">
        <f>_xlfn.IFNA(VLOOKUP(Grandview_Inventory[[#This Row],[condition]],Lookups!$A$37:$C$44,3,FALSE),1)</f>
        <v>0.96469275950863709</v>
      </c>
      <c r="BV27" s="4">
        <f>IF(Grandview_Inventory[[#This Row],[bldg_style]]="",1,_xlfn.IFNA(VLOOKUP(Grandview_Inventory[[#This Row],[decade]],Lookups!$F$29:$H$43,3,FALSE),1))</f>
        <v>0.9251738460551937</v>
      </c>
      <c r="BW27" s="4">
        <f>_xlfn.IFNA(VLOOKUP(Grandview_Inventory[[#This Row],[living_area_range]],Lookups!$F$47:$H$56,3,FALSE),1)</f>
        <v>0.96120133463014379</v>
      </c>
      <c r="BX27" s="4">
        <f>AVERAGE(Grandview_Inventory[[#This Row],[qual_adj]:[size_adj]])</f>
        <v>0.95967662500100581</v>
      </c>
      <c r="BY27" s="6">
        <f>IF(Grandview_Inventory[[#This Row],[pre_res]]&lt;0,0,Grandview_Inventory[[#This Row],[pre_res]]*Grandview_Inventory[[#This Row],[overall_adj]])</f>
        <v>299148.28092861391</v>
      </c>
      <c r="BZ27" s="6">
        <f>(Grandview_Inventory[[#This Row],[sum_land]]-IF(Grandview_Inventory[[#This Row],[no_utilities]]=1,12000,0))/IF(Grandview_Inventory[[#This Row],[unbuildable]]=1,2,1)</f>
        <v>72221.30235284938</v>
      </c>
      <c r="CA27">
        <f>IF(ROUND(Grandview_Inventory[[#This Row],[adj_land]]*Lookups!$M$28,-2)&lt;Grandview_Inventory[[#This Row],[min_land]],Grandview_Inventory[[#This Row],[min_land]],ROUND(Grandview_Inventory[[#This Row],[adj_land]]*Lookups!$M$28,-2))</f>
        <v>68600</v>
      </c>
      <c r="CB27">
        <f>ROUND(Grandview_Inventory[[#This Row],[det_value]]*Lookups!$M$28,-2)</f>
        <v>43000</v>
      </c>
      <c r="CC27">
        <f>IF(ROUND(Grandview_Inventory[[#This Row],[adj_res]]*Lookups!$M$28,-2)&lt;Grandview_Inventory[[#This Row],[min_res]],Grandview_Inventory[[#This Row],[min_res]],ROUND(Grandview_Inventory[[#This Row],[adj_res]]*Lookups!$M$28,-2))</f>
        <v>284200</v>
      </c>
      <c r="CD27">
        <f>Grandview_Inventory[[#This Row],[final_det]]+Grandview_Inventory[[#This Row],[final_res]]</f>
        <v>327200</v>
      </c>
      <c r="CE27">
        <f>Grandview_Inventory[[#This Row],[final_land]]+Grandview_Inventory[[#This Row],[final_imp]]+Grandview_Inventory[[#This Row],[crop_value]]</f>
        <v>395800</v>
      </c>
      <c r="CG27" t="str">
        <f t="shared" si="0"/>
        <v>update valuation set market_land =68600, market_bldg=327200, market_total =395800, market_mdno =401, market_date ='9/10/2023' where link_id = (select link_id from parcel where parcel_year = '2024' and parcel_id = '23091333022');</v>
      </c>
    </row>
    <row r="28" spans="1:85" x14ac:dyDescent="0.25">
      <c r="A28">
        <v>23091333401</v>
      </c>
      <c r="B28">
        <v>0.19</v>
      </c>
      <c r="C28" t="s">
        <v>129</v>
      </c>
      <c r="D28" t="s">
        <v>129</v>
      </c>
      <c r="E28" t="s">
        <v>53</v>
      </c>
      <c r="F28" t="s">
        <v>53</v>
      </c>
      <c r="G28">
        <v>4</v>
      </c>
      <c r="H28" t="s">
        <v>54</v>
      </c>
      <c r="I28">
        <v>164100</v>
      </c>
      <c r="J28">
        <v>39100</v>
      </c>
      <c r="K28">
        <v>0.19</v>
      </c>
      <c r="L2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">
        <v>0</v>
      </c>
      <c r="N28">
        <v>0</v>
      </c>
      <c r="O28">
        <v>0</v>
      </c>
      <c r="P28">
        <v>13398.7528</v>
      </c>
      <c r="Q28">
        <v>63903</v>
      </c>
      <c r="R28">
        <f>(Grandview_Inventory[[#This Row],[ln_acres]]*Grandview_Inventory[[#This Row],[coeff]])+Grandview_Inventory[[#This Row],[const]]</f>
        <v>41651.273092551026</v>
      </c>
      <c r="S28" t="s">
        <v>68</v>
      </c>
      <c r="T28">
        <v>1</v>
      </c>
      <c r="U28" t="s">
        <v>70</v>
      </c>
      <c r="V28" t="s">
        <v>69</v>
      </c>
      <c r="W28">
        <v>0</v>
      </c>
      <c r="X28">
        <v>0</v>
      </c>
      <c r="Y28">
        <v>50</v>
      </c>
      <c r="Z28">
        <v>73</v>
      </c>
      <c r="AA28">
        <v>80</v>
      </c>
      <c r="AB28">
        <v>2000</v>
      </c>
      <c r="AC28">
        <v>1957</v>
      </c>
      <c r="AD28">
        <v>1957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8</v>
      </c>
      <c r="AQ28">
        <v>0</v>
      </c>
      <c r="AR28">
        <v>0</v>
      </c>
      <c r="AS28" t="s">
        <v>58</v>
      </c>
      <c r="AT28">
        <v>1</v>
      </c>
      <c r="AU28" t="s">
        <v>63</v>
      </c>
      <c r="AV28" t="s">
        <v>64</v>
      </c>
      <c r="AW28">
        <v>0</v>
      </c>
      <c r="AX28">
        <v>3</v>
      </c>
      <c r="AY28">
        <v>0</v>
      </c>
      <c r="AZ28">
        <v>0</v>
      </c>
      <c r="BA28">
        <v>100</v>
      </c>
      <c r="BB28">
        <v>100</v>
      </c>
      <c r="BC28">
        <v>100</v>
      </c>
      <c r="BD28">
        <v>100</v>
      </c>
      <c r="BE28">
        <v>1</v>
      </c>
      <c r="BF28">
        <v>15000</v>
      </c>
      <c r="BG28">
        <v>1000</v>
      </c>
      <c r="BH28" s="6">
        <f>Grandview_Inventory[[#This Row],[land_extract]]*Lookups!$B$3</f>
        <v>48369.510983942157</v>
      </c>
      <c r="BI28" s="6">
        <f>IF(Grandview_Inventory[[#This Row],[bldg_style]]="",0,Lookups!$B$2)</f>
        <v>155833.95000000001</v>
      </c>
      <c r="BJ28" s="6">
        <f>_xlfn.IFNA(VLOOKUP(Grandview_Inventory[[#This Row],[quality]],Lookups!$H$2:$J$14,3,FALSE),0)</f>
        <v>10733</v>
      </c>
      <c r="BK28" s="6">
        <f>_xlfn.IFNA(VLOOKUP(Grandview_Inventory[[#This Row],[condition]],Lookups!$H$17:$J$24,3,FALSE),0)</f>
        <v>-4503</v>
      </c>
      <c r="BL28" s="6">
        <f>Grandview_Inventory[[#This Row],[Eff_Age]]*Lookups!$B$14</f>
        <v>-11958.33</v>
      </c>
      <c r="BM28" s="6">
        <f>Grandview_Inventory[[#This Row],[living_area]]*Lookups!$B$15</f>
        <v>122079.329321</v>
      </c>
      <c r="BN28" s="6">
        <f>Grandview_Inventory[[#This Row],[Fin BSMT]]*Lookups!$B$16</f>
        <v>0</v>
      </c>
      <c r="BO28" s="6">
        <f>(Grandview_Inventory[[#This Row],[att_gar]]+Grandview_Inventory[[#This Row],[bltin_gar]])*Lookups!$B$17</f>
        <v>0</v>
      </c>
      <c r="BP28" s="6">
        <f>Grandview_Inventory[[#This Row],[Plumbing Fixtures]]*Lookups!$B$18</f>
        <v>16083.5344</v>
      </c>
      <c r="BQ28" s="6">
        <f>Grandview_Inventory[[#This Row],[detatched_value]]*Lookups!$B$19</f>
        <v>0</v>
      </c>
      <c r="BR28" s="6">
        <f>SUM(Grandview_Inventory[[#This Row],[Intercept]:[det_value]])*Grandview_Inventory[[#This Row],[res_pct]]</f>
        <v>288268.48372100003</v>
      </c>
      <c r="BS28" s="6">
        <f>Grandview_Inventory[[#This Row],[land_value]]</f>
        <v>48369.510983942157</v>
      </c>
      <c r="BT28" s="4">
        <f>_xlfn.IFNA(VLOOKUP(Grandview_Inventory[[#This Row],[quality]],Lookups!$A$26:$C$33,3,FALSE),1)</f>
        <v>0.98079741117310582</v>
      </c>
      <c r="BU28" s="4">
        <f>_xlfn.IFNA(VLOOKUP(Grandview_Inventory[[#This Row],[condition]],Lookups!$A$37:$C$44,3,FALSE),1)</f>
        <v>0.96469275950863709</v>
      </c>
      <c r="BV28" s="4">
        <f>IF(Grandview_Inventory[[#This Row],[bldg_style]]="",1,_xlfn.IFNA(VLOOKUP(Grandview_Inventory[[#This Row],[decade]],Lookups!$F$29:$H$43,3,FALSE),1))</f>
        <v>0.98763256963907298</v>
      </c>
      <c r="BW28" s="4">
        <f>_xlfn.IFNA(VLOOKUP(Grandview_Inventory[[#This Row],[living_area_range]],Lookups!$F$47:$H$56,3,FALSE),1)</f>
        <v>0.96120133463014379</v>
      </c>
      <c r="BX28" s="4">
        <f>AVERAGE(Grandview_Inventory[[#This Row],[qual_adj]:[size_adj]])</f>
        <v>0.97358101873773983</v>
      </c>
      <c r="BY28" s="6">
        <f>IF(Grandview_Inventory[[#This Row],[pre_res]]&lt;0,0,Grandview_Inventory[[#This Row],[pre_res]]*Grandview_Inventory[[#This Row],[overall_adj]])</f>
        <v>280652.72405107477</v>
      </c>
      <c r="BZ28" s="6">
        <f>(Grandview_Inventory[[#This Row],[sum_land]]-IF(Grandview_Inventory[[#This Row],[no_utilities]]=1,12000,0))/IF(Grandview_Inventory[[#This Row],[unbuildable]]=1,2,1)</f>
        <v>48369.510983942157</v>
      </c>
      <c r="CA2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">
        <f>ROUND(Grandview_Inventory[[#This Row],[det_value]]*Lookups!$M$28,-2)</f>
        <v>0</v>
      </c>
      <c r="CC28">
        <f>IF(ROUND(Grandview_Inventory[[#This Row],[adj_res]]*Lookups!$M$28,-2)&lt;Grandview_Inventory[[#This Row],[min_res]],Grandview_Inventory[[#This Row],[min_res]],ROUND(Grandview_Inventory[[#This Row],[adj_res]]*Lookups!$M$28,-2))</f>
        <v>266600</v>
      </c>
      <c r="CD28">
        <f>Grandview_Inventory[[#This Row],[final_det]]+Grandview_Inventory[[#This Row],[final_res]]</f>
        <v>266600</v>
      </c>
      <c r="CE28">
        <f>Grandview_Inventory[[#This Row],[final_land]]+Grandview_Inventory[[#This Row],[final_imp]]+Grandview_Inventory[[#This Row],[crop_value]]</f>
        <v>312600</v>
      </c>
      <c r="CG28" t="str">
        <f t="shared" si="0"/>
        <v>update valuation set market_land =46000, market_bldg=266600, market_total =312600, market_mdno =401, market_date ='9/10/2023' where link_id = (select link_id from parcel where parcel_year = '2024' and parcel_id = '23091333401');</v>
      </c>
    </row>
    <row r="29" spans="1:85" x14ac:dyDescent="0.25">
      <c r="A29">
        <v>23091333402</v>
      </c>
      <c r="B29">
        <v>0.16</v>
      </c>
      <c r="C29" t="s">
        <v>129</v>
      </c>
      <c r="D29" t="s">
        <v>129</v>
      </c>
      <c r="E29" t="s">
        <v>53</v>
      </c>
      <c r="F29" t="s">
        <v>53</v>
      </c>
      <c r="G29">
        <v>4</v>
      </c>
      <c r="H29" t="s">
        <v>54</v>
      </c>
      <c r="I29">
        <v>115800</v>
      </c>
      <c r="J29">
        <v>38600</v>
      </c>
      <c r="K29">
        <v>0.16</v>
      </c>
      <c r="L2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9">
        <v>0</v>
      </c>
      <c r="N29">
        <v>0</v>
      </c>
      <c r="O29">
        <v>0</v>
      </c>
      <c r="P29">
        <v>13398.7528</v>
      </c>
      <c r="Q29">
        <v>63903</v>
      </c>
      <c r="R29">
        <f>(Grandview_Inventory[[#This Row],[ln_acres]]*Grandview_Inventory[[#This Row],[coeff]])+Grandview_Inventory[[#This Row],[const]]</f>
        <v>39348.693981374228</v>
      </c>
      <c r="S29" t="s">
        <v>68</v>
      </c>
      <c r="T29">
        <v>1</v>
      </c>
      <c r="U29" t="s">
        <v>83</v>
      </c>
      <c r="V29" t="s">
        <v>69</v>
      </c>
      <c r="W29">
        <v>0</v>
      </c>
      <c r="X29">
        <v>0</v>
      </c>
      <c r="Y29">
        <v>51</v>
      </c>
      <c r="Z29">
        <v>78</v>
      </c>
      <c r="AA29">
        <v>80</v>
      </c>
      <c r="AB29">
        <v>1000</v>
      </c>
      <c r="AC29">
        <v>864</v>
      </c>
      <c r="AD29">
        <v>864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5</v>
      </c>
      <c r="AQ29">
        <v>0</v>
      </c>
      <c r="AR29">
        <v>0</v>
      </c>
      <c r="AS29" t="s">
        <v>58</v>
      </c>
      <c r="AT29">
        <v>1</v>
      </c>
      <c r="AU29" t="s">
        <v>75</v>
      </c>
      <c r="AV29" t="s">
        <v>60</v>
      </c>
      <c r="AW29">
        <v>0</v>
      </c>
      <c r="AX29">
        <v>3</v>
      </c>
      <c r="AY29">
        <v>0</v>
      </c>
      <c r="AZ29">
        <v>0</v>
      </c>
      <c r="BA29">
        <v>100</v>
      </c>
      <c r="BB29">
        <v>100</v>
      </c>
      <c r="BC29">
        <v>100</v>
      </c>
      <c r="BD29">
        <v>100</v>
      </c>
      <c r="BE29">
        <v>1</v>
      </c>
      <c r="BF29">
        <v>15000</v>
      </c>
      <c r="BG29">
        <v>1000</v>
      </c>
      <c r="BH29" s="6">
        <f>Grandview_Inventory[[#This Row],[land_extract]]*Lookups!$B$3</f>
        <v>45695.532079096141</v>
      </c>
      <c r="BI29" s="6">
        <f>IF(Grandview_Inventory[[#This Row],[bldg_style]]="",0,Lookups!$B$2)</f>
        <v>155833.95000000001</v>
      </c>
      <c r="BJ29" s="6">
        <f>_xlfn.IFNA(VLOOKUP(Grandview_Inventory[[#This Row],[quality]],Lookups!$H$2:$J$14,3,FALSE),0)</f>
        <v>-28558</v>
      </c>
      <c r="BK29" s="6">
        <f>_xlfn.IFNA(VLOOKUP(Grandview_Inventory[[#This Row],[condition]],Lookups!$H$17:$J$24,3,FALSE),0)</f>
        <v>-4503</v>
      </c>
      <c r="BL29" s="6">
        <f>Grandview_Inventory[[#This Row],[Eff_Age]]*Lookups!$B$14</f>
        <v>-12197.496599999999</v>
      </c>
      <c r="BM29" s="6">
        <f>Grandview_Inventory[[#This Row],[living_area]]*Lookups!$B$15</f>
        <v>53897.056991999998</v>
      </c>
      <c r="BN29" s="6">
        <f>Grandview_Inventory[[#This Row],[Fin BSMT]]*Lookups!$B$16</f>
        <v>0</v>
      </c>
      <c r="BO29" s="6">
        <f>(Grandview_Inventory[[#This Row],[att_gar]]+Grandview_Inventory[[#This Row],[bltin_gar]])*Lookups!$B$17</f>
        <v>0</v>
      </c>
      <c r="BP29" s="6">
        <f>Grandview_Inventory[[#This Row],[Plumbing Fixtures]]*Lookups!$B$18</f>
        <v>10052.209000000001</v>
      </c>
      <c r="BQ29" s="6">
        <f>Grandview_Inventory[[#This Row],[detatched_value]]*Lookups!$B$19</f>
        <v>0</v>
      </c>
      <c r="BR29" s="6">
        <f>SUM(Grandview_Inventory[[#This Row],[Intercept]:[det_value]])*Grandview_Inventory[[#This Row],[res_pct]]</f>
        <v>174524.71939200003</v>
      </c>
      <c r="BS29" s="6">
        <f>Grandview_Inventory[[#This Row],[land_value]]</f>
        <v>45695.532079096141</v>
      </c>
      <c r="BT29" s="4">
        <f>_xlfn.IFNA(VLOOKUP(Grandview_Inventory[[#This Row],[quality]],Lookups!$A$26:$C$33,3,FALSE),1)</f>
        <v>0.96329552998502799</v>
      </c>
      <c r="BU29" s="4">
        <f>_xlfn.IFNA(VLOOKUP(Grandview_Inventory[[#This Row],[condition]],Lookups!$A$37:$C$44,3,FALSE),1)</f>
        <v>0.96469275950863709</v>
      </c>
      <c r="BV29" s="4">
        <f>IF(Grandview_Inventory[[#This Row],[bldg_style]]="",1,_xlfn.IFNA(VLOOKUP(Grandview_Inventory[[#This Row],[decade]],Lookups!$F$29:$H$43,3,FALSE),1))</f>
        <v>0.98763256963907298</v>
      </c>
      <c r="BW29" s="4">
        <f>_xlfn.IFNA(VLOOKUP(Grandview_Inventory[[#This Row],[living_area_range]],Lookups!$F$47:$H$56,3,FALSE),1)</f>
        <v>0.94306777142782894</v>
      </c>
      <c r="BX29" s="4">
        <f>AVERAGE(Grandview_Inventory[[#This Row],[qual_adj]:[size_adj]])</f>
        <v>0.96467215764014169</v>
      </c>
      <c r="BY29" s="6">
        <f>IF(Grandview_Inventory[[#This Row],[pre_res]]&lt;0,0,Grandview_Inventory[[#This Row],[pre_res]]*Grandview_Inventory[[#This Row],[overall_adj]])</f>
        <v>168359.13761742096</v>
      </c>
      <c r="BZ29" s="6">
        <f>(Grandview_Inventory[[#This Row],[sum_land]]-IF(Grandview_Inventory[[#This Row],[no_utilities]]=1,12000,0))/IF(Grandview_Inventory[[#This Row],[unbuildable]]=1,2,1)</f>
        <v>45695.532079096141</v>
      </c>
      <c r="CA2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9">
        <f>ROUND(Grandview_Inventory[[#This Row],[det_value]]*Lookups!$M$28,-2)</f>
        <v>0</v>
      </c>
      <c r="CC29">
        <f>IF(ROUND(Grandview_Inventory[[#This Row],[adj_res]]*Lookups!$M$28,-2)&lt;Grandview_Inventory[[#This Row],[min_res]],Grandview_Inventory[[#This Row],[min_res]],ROUND(Grandview_Inventory[[#This Row],[adj_res]]*Lookups!$M$28,-2))</f>
        <v>159900</v>
      </c>
      <c r="CD29">
        <f>Grandview_Inventory[[#This Row],[final_det]]+Grandview_Inventory[[#This Row],[final_res]]</f>
        <v>159900</v>
      </c>
      <c r="CE29">
        <f>Grandview_Inventory[[#This Row],[final_land]]+Grandview_Inventory[[#This Row],[final_imp]]+Grandview_Inventory[[#This Row],[crop_value]]</f>
        <v>203300</v>
      </c>
      <c r="CG29" t="str">
        <f t="shared" si="0"/>
        <v>update valuation set market_land =43400, market_bldg=159900, market_total =203300, market_mdno =401, market_date ='9/10/2023' where link_id = (select link_id from parcel where parcel_year = '2024' and parcel_id = '23091333402');</v>
      </c>
    </row>
    <row r="30" spans="1:85" x14ac:dyDescent="0.25">
      <c r="A30">
        <v>23091333403</v>
      </c>
      <c r="B30">
        <v>0.16</v>
      </c>
      <c r="C30" t="s">
        <v>129</v>
      </c>
      <c r="D30" t="s">
        <v>129</v>
      </c>
      <c r="E30" t="s">
        <v>53</v>
      </c>
      <c r="F30" t="s">
        <v>53</v>
      </c>
      <c r="G30">
        <v>4</v>
      </c>
      <c r="H30" t="s">
        <v>54</v>
      </c>
      <c r="I30">
        <v>176900</v>
      </c>
      <c r="J30">
        <v>38600</v>
      </c>
      <c r="K30">
        <v>0.16</v>
      </c>
      <c r="L3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30">
        <v>0</v>
      </c>
      <c r="N30">
        <v>0</v>
      </c>
      <c r="O30">
        <v>0</v>
      </c>
      <c r="P30">
        <v>13398.7528</v>
      </c>
      <c r="Q30">
        <v>63903</v>
      </c>
      <c r="R30">
        <f>(Grandview_Inventory[[#This Row],[ln_acres]]*Grandview_Inventory[[#This Row],[coeff]])+Grandview_Inventory[[#This Row],[const]]</f>
        <v>39348.693981374228</v>
      </c>
      <c r="S30" t="s">
        <v>61</v>
      </c>
      <c r="T30">
        <v>1</v>
      </c>
      <c r="U30" t="s">
        <v>70</v>
      </c>
      <c r="V30" t="s">
        <v>69</v>
      </c>
      <c r="W30">
        <v>0</v>
      </c>
      <c r="X30">
        <v>0</v>
      </c>
      <c r="Y30">
        <v>49</v>
      </c>
      <c r="Z30">
        <v>68</v>
      </c>
      <c r="AA30">
        <v>70</v>
      </c>
      <c r="AB30">
        <v>2000</v>
      </c>
      <c r="AC30">
        <v>1520</v>
      </c>
      <c r="AD30">
        <v>1520</v>
      </c>
      <c r="AE30">
        <v>0</v>
      </c>
      <c r="AF30">
        <v>0</v>
      </c>
      <c r="AG30">
        <v>0</v>
      </c>
      <c r="AH30">
        <v>0</v>
      </c>
      <c r="AI30">
        <v>288</v>
      </c>
      <c r="AJ30">
        <v>0</v>
      </c>
      <c r="AK30">
        <v>0</v>
      </c>
      <c r="AL30">
        <v>0</v>
      </c>
      <c r="AM30">
        <v>320</v>
      </c>
      <c r="AN30">
        <v>0</v>
      </c>
      <c r="AO30">
        <v>320</v>
      </c>
      <c r="AP30">
        <v>8</v>
      </c>
      <c r="AQ30">
        <v>0</v>
      </c>
      <c r="AR30">
        <v>0</v>
      </c>
      <c r="AS30" t="s">
        <v>58</v>
      </c>
      <c r="AT30">
        <v>1</v>
      </c>
      <c r="AU30" t="s">
        <v>75</v>
      </c>
      <c r="AV30" t="s">
        <v>60</v>
      </c>
      <c r="AW30">
        <v>0</v>
      </c>
      <c r="AX30">
        <v>3</v>
      </c>
      <c r="AY30">
        <v>0</v>
      </c>
      <c r="AZ30">
        <v>0</v>
      </c>
      <c r="BA30">
        <v>100</v>
      </c>
      <c r="BB30">
        <v>100</v>
      </c>
      <c r="BC30">
        <v>100</v>
      </c>
      <c r="BD30">
        <v>100</v>
      </c>
      <c r="BE30">
        <v>1</v>
      </c>
      <c r="BF30">
        <v>15000</v>
      </c>
      <c r="BG30">
        <v>1000</v>
      </c>
      <c r="BH30" s="6">
        <f>Grandview_Inventory[[#This Row],[land_extract]]*Lookups!$B$3</f>
        <v>45695.532079096141</v>
      </c>
      <c r="BI30" s="6">
        <f>IF(Grandview_Inventory[[#This Row],[bldg_style]]="",0,Lookups!$B$2)</f>
        <v>155833.95000000001</v>
      </c>
      <c r="BJ30" s="6">
        <f>_xlfn.IFNA(VLOOKUP(Grandview_Inventory[[#This Row],[quality]],Lookups!$H$2:$J$14,3,FALSE),0)</f>
        <v>10733</v>
      </c>
      <c r="BK30" s="6">
        <f>_xlfn.IFNA(VLOOKUP(Grandview_Inventory[[#This Row],[condition]],Lookups!$H$17:$J$24,3,FALSE),0)</f>
        <v>-4503</v>
      </c>
      <c r="BL30" s="6">
        <f>Grandview_Inventory[[#This Row],[Eff_Age]]*Lookups!$B$14</f>
        <v>-11719.163399999999</v>
      </c>
      <c r="BM30" s="6">
        <f>Grandview_Inventory[[#This Row],[living_area]]*Lookups!$B$15</f>
        <v>94818.896560000008</v>
      </c>
      <c r="BN30" s="6">
        <f>Grandview_Inventory[[#This Row],[Fin BSMT]]*Lookups!$B$16</f>
        <v>0</v>
      </c>
      <c r="BO30" s="6">
        <f>(Grandview_Inventory[[#This Row],[att_gar]]+Grandview_Inventory[[#This Row],[bltin_gar]])*Lookups!$B$17</f>
        <v>25205.885856000001</v>
      </c>
      <c r="BP30" s="6">
        <f>Grandview_Inventory[[#This Row],[Plumbing Fixtures]]*Lookups!$B$18</f>
        <v>16083.5344</v>
      </c>
      <c r="BQ30" s="6">
        <f>Grandview_Inventory[[#This Row],[detatched_value]]*Lookups!$B$19</f>
        <v>0</v>
      </c>
      <c r="BR30" s="6">
        <f>SUM(Grandview_Inventory[[#This Row],[Intercept]:[det_value]])*Grandview_Inventory[[#This Row],[res_pct]]</f>
        <v>286453.10341600003</v>
      </c>
      <c r="BS30" s="6">
        <f>Grandview_Inventory[[#This Row],[land_value]]</f>
        <v>45695.532079096141</v>
      </c>
      <c r="BT30" s="4">
        <f>_xlfn.IFNA(VLOOKUP(Grandview_Inventory[[#This Row],[quality]],Lookups!$A$26:$C$33,3,FALSE),1)</f>
        <v>0.98079741117310582</v>
      </c>
      <c r="BU30" s="4">
        <f>_xlfn.IFNA(VLOOKUP(Grandview_Inventory[[#This Row],[condition]],Lookups!$A$37:$C$44,3,FALSE),1)</f>
        <v>0.96469275950863709</v>
      </c>
      <c r="BV30" s="4">
        <f>IF(Grandview_Inventory[[#This Row],[bldg_style]]="",1,_xlfn.IFNA(VLOOKUP(Grandview_Inventory[[#This Row],[decade]],Lookups!$F$29:$H$43,3,FALSE),1))</f>
        <v>0.99472141305414818</v>
      </c>
      <c r="BW30" s="4">
        <f>_xlfn.IFNA(VLOOKUP(Grandview_Inventory[[#This Row],[living_area_range]],Lookups!$F$47:$H$56,3,FALSE),1)</f>
        <v>0.96120133463014379</v>
      </c>
      <c r="BX30" s="4">
        <f>AVERAGE(Grandview_Inventory[[#This Row],[qual_adj]:[size_adj]])</f>
        <v>0.97535322959150883</v>
      </c>
      <c r="BY30" s="6">
        <f>IF(Grandview_Inventory[[#This Row],[pre_res]]&lt;0,0,Grandview_Inventory[[#This Row],[pre_res]]*Grandview_Inventory[[#This Row],[overall_adj]])</f>
        <v>279392.95954330609</v>
      </c>
      <c r="BZ30" s="6">
        <f>(Grandview_Inventory[[#This Row],[sum_land]]-IF(Grandview_Inventory[[#This Row],[no_utilities]]=1,12000,0))/IF(Grandview_Inventory[[#This Row],[unbuildable]]=1,2,1)</f>
        <v>45695.532079096141</v>
      </c>
      <c r="CA3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30">
        <f>ROUND(Grandview_Inventory[[#This Row],[det_value]]*Lookups!$M$28,-2)</f>
        <v>0</v>
      </c>
      <c r="CC30">
        <f>IF(ROUND(Grandview_Inventory[[#This Row],[adj_res]]*Lookups!$M$28,-2)&lt;Grandview_Inventory[[#This Row],[min_res]],Grandview_Inventory[[#This Row],[min_res]],ROUND(Grandview_Inventory[[#This Row],[adj_res]]*Lookups!$M$28,-2))</f>
        <v>265400</v>
      </c>
      <c r="CD30">
        <f>Grandview_Inventory[[#This Row],[final_det]]+Grandview_Inventory[[#This Row],[final_res]]</f>
        <v>265400</v>
      </c>
      <c r="CE30">
        <f>Grandview_Inventory[[#This Row],[final_land]]+Grandview_Inventory[[#This Row],[final_imp]]+Grandview_Inventory[[#This Row],[crop_value]]</f>
        <v>308800</v>
      </c>
      <c r="CG30" t="str">
        <f t="shared" si="0"/>
        <v>update valuation set market_land =43400, market_bldg=265400, market_total =308800, market_mdno =401, market_date ='9/10/2023' where link_id = (select link_id from parcel where parcel_year = '2024' and parcel_id = '23091333403');</v>
      </c>
    </row>
    <row r="31" spans="1:85" x14ac:dyDescent="0.25">
      <c r="A31">
        <v>23091333404</v>
      </c>
      <c r="B31">
        <v>0.16</v>
      </c>
      <c r="C31" t="s">
        <v>129</v>
      </c>
      <c r="D31" t="s">
        <v>129</v>
      </c>
      <c r="E31" t="s">
        <v>53</v>
      </c>
      <c r="F31" t="s">
        <v>53</v>
      </c>
      <c r="G31">
        <v>4</v>
      </c>
      <c r="H31" t="s">
        <v>54</v>
      </c>
      <c r="I31">
        <v>101600</v>
      </c>
      <c r="J31">
        <v>38600</v>
      </c>
      <c r="K31">
        <v>0.16</v>
      </c>
      <c r="L3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31">
        <v>0</v>
      </c>
      <c r="N31">
        <v>0</v>
      </c>
      <c r="O31">
        <v>0</v>
      </c>
      <c r="P31">
        <v>13398.7528</v>
      </c>
      <c r="Q31">
        <v>63903</v>
      </c>
      <c r="R31">
        <f>(Grandview_Inventory[[#This Row],[ln_acres]]*Grandview_Inventory[[#This Row],[coeff]])+Grandview_Inventory[[#This Row],[const]]</f>
        <v>39348.693981374228</v>
      </c>
      <c r="S31" t="s">
        <v>68</v>
      </c>
      <c r="T31">
        <v>1</v>
      </c>
      <c r="U31" t="s">
        <v>80</v>
      </c>
      <c r="V31" t="s">
        <v>69</v>
      </c>
      <c r="W31">
        <v>0</v>
      </c>
      <c r="X31">
        <v>0</v>
      </c>
      <c r="Y31">
        <v>51</v>
      </c>
      <c r="Z31">
        <v>83</v>
      </c>
      <c r="AA31">
        <v>90</v>
      </c>
      <c r="AB31">
        <v>1000</v>
      </c>
      <c r="AC31">
        <v>808</v>
      </c>
      <c r="AD31">
        <v>808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320</v>
      </c>
      <c r="AL31">
        <v>0</v>
      </c>
      <c r="AM31">
        <v>392</v>
      </c>
      <c r="AN31">
        <v>0</v>
      </c>
      <c r="AO31">
        <v>392</v>
      </c>
      <c r="AP31">
        <v>5</v>
      </c>
      <c r="AQ31">
        <v>0</v>
      </c>
      <c r="AR31">
        <v>0</v>
      </c>
      <c r="AS31" t="s">
        <v>58</v>
      </c>
      <c r="AT31">
        <v>1</v>
      </c>
      <c r="AU31" t="s">
        <v>75</v>
      </c>
      <c r="AV31" t="s">
        <v>60</v>
      </c>
      <c r="AW31">
        <v>0</v>
      </c>
      <c r="AX31">
        <v>2</v>
      </c>
      <c r="AY31">
        <v>0</v>
      </c>
      <c r="AZ31">
        <v>0</v>
      </c>
      <c r="BA31">
        <v>100</v>
      </c>
      <c r="BB31">
        <v>100</v>
      </c>
      <c r="BC31">
        <v>100</v>
      </c>
      <c r="BD31">
        <v>100</v>
      </c>
      <c r="BE31">
        <v>1</v>
      </c>
      <c r="BF31">
        <v>15000</v>
      </c>
      <c r="BG31">
        <v>1000</v>
      </c>
      <c r="BH31" s="6">
        <f>Grandview_Inventory[[#This Row],[land_extract]]*Lookups!$B$3</f>
        <v>45695.532079096141</v>
      </c>
      <c r="BI31" s="6">
        <f>IF(Grandview_Inventory[[#This Row],[bldg_style]]="",0,Lookups!$B$2)</f>
        <v>155833.95000000001</v>
      </c>
      <c r="BJ31" s="6">
        <f>_xlfn.IFNA(VLOOKUP(Grandview_Inventory[[#This Row],[quality]],Lookups!$H$2:$J$14,3,FALSE),0)</f>
        <v>-28558</v>
      </c>
      <c r="BK31" s="6">
        <f>_xlfn.IFNA(VLOOKUP(Grandview_Inventory[[#This Row],[condition]],Lookups!$H$17:$J$24,3,FALSE),0)</f>
        <v>-4503</v>
      </c>
      <c r="BL31" s="6">
        <f>Grandview_Inventory[[#This Row],[Eff_Age]]*Lookups!$B$14</f>
        <v>-12197.496599999999</v>
      </c>
      <c r="BM31" s="6">
        <f>Grandview_Inventory[[#This Row],[living_area]]*Lookups!$B$15</f>
        <v>50403.729224000002</v>
      </c>
      <c r="BN31" s="6">
        <f>Grandview_Inventory[[#This Row],[Fin BSMT]]*Lookups!$B$16</f>
        <v>0</v>
      </c>
      <c r="BO31" s="6">
        <f>(Grandview_Inventory[[#This Row],[att_gar]]+Grandview_Inventory[[#This Row],[bltin_gar]])*Lookups!$B$17</f>
        <v>0</v>
      </c>
      <c r="BP31" s="6">
        <f>Grandview_Inventory[[#This Row],[Plumbing Fixtures]]*Lookups!$B$18</f>
        <v>10052.209000000001</v>
      </c>
      <c r="BQ31" s="6">
        <f>Grandview_Inventory[[#This Row],[detatched_value]]*Lookups!$B$19</f>
        <v>0</v>
      </c>
      <c r="BR31" s="6">
        <f>SUM(Grandview_Inventory[[#This Row],[Intercept]:[det_value]])*Grandview_Inventory[[#This Row],[res_pct]]</f>
        <v>171031.39162400001</v>
      </c>
      <c r="BS31" s="6">
        <f>Grandview_Inventory[[#This Row],[land_value]]</f>
        <v>45695.532079096141</v>
      </c>
      <c r="BT31" s="4">
        <f>_xlfn.IFNA(VLOOKUP(Grandview_Inventory[[#This Row],[quality]],Lookups!$A$26:$C$33,3,FALSE),1)</f>
        <v>0.9690360070159818</v>
      </c>
      <c r="BU31" s="4">
        <f>_xlfn.IFNA(VLOOKUP(Grandview_Inventory[[#This Row],[condition]],Lookups!$A$37:$C$44,3,FALSE),1)</f>
        <v>0.96469275950863709</v>
      </c>
      <c r="BV31" s="4">
        <f>IF(Grandview_Inventory[[#This Row],[bldg_style]]="",1,_xlfn.IFNA(VLOOKUP(Grandview_Inventory[[#This Row],[decade]],Lookups!$F$29:$H$43,3,FALSE),1))</f>
        <v>0.94161750052457416</v>
      </c>
      <c r="BW31" s="4">
        <f>_xlfn.IFNA(VLOOKUP(Grandview_Inventory[[#This Row],[living_area_range]],Lookups!$F$47:$H$56,3,FALSE),1)</f>
        <v>0.94306777142782894</v>
      </c>
      <c r="BX31" s="4">
        <f>AVERAGE(Grandview_Inventory[[#This Row],[qual_adj]:[size_adj]])</f>
        <v>0.95460350961925544</v>
      </c>
      <c r="BY31" s="6">
        <f>IF(Grandview_Inventory[[#This Row],[pre_res]]&lt;0,0,Grandview_Inventory[[#This Row],[pre_res]]*Grandview_Inventory[[#This Row],[overall_adj]])</f>
        <v>163267.16669933574</v>
      </c>
      <c r="BZ31" s="6">
        <f>(Grandview_Inventory[[#This Row],[sum_land]]-IF(Grandview_Inventory[[#This Row],[no_utilities]]=1,12000,0))/IF(Grandview_Inventory[[#This Row],[unbuildable]]=1,2,1)</f>
        <v>45695.532079096141</v>
      </c>
      <c r="CA3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31">
        <f>ROUND(Grandview_Inventory[[#This Row],[det_value]]*Lookups!$M$28,-2)</f>
        <v>0</v>
      </c>
      <c r="CC31">
        <f>IF(ROUND(Grandview_Inventory[[#This Row],[adj_res]]*Lookups!$M$28,-2)&lt;Grandview_Inventory[[#This Row],[min_res]],Grandview_Inventory[[#This Row],[min_res]],ROUND(Grandview_Inventory[[#This Row],[adj_res]]*Lookups!$M$28,-2))</f>
        <v>155100</v>
      </c>
      <c r="CD31">
        <f>Grandview_Inventory[[#This Row],[final_det]]+Grandview_Inventory[[#This Row],[final_res]]</f>
        <v>155100</v>
      </c>
      <c r="CE31">
        <f>Grandview_Inventory[[#This Row],[final_land]]+Grandview_Inventory[[#This Row],[final_imp]]+Grandview_Inventory[[#This Row],[crop_value]]</f>
        <v>198500</v>
      </c>
      <c r="CG31" t="str">
        <f t="shared" si="0"/>
        <v>update valuation set market_land =43400, market_bldg=155100, market_total =198500, market_mdno =401, market_date ='9/10/2023' where link_id = (select link_id from parcel where parcel_year = '2024' and parcel_id = '23091333404');</v>
      </c>
    </row>
    <row r="32" spans="1:85" x14ac:dyDescent="0.25">
      <c r="A32">
        <v>23091333405</v>
      </c>
      <c r="B32">
        <v>0.19</v>
      </c>
      <c r="C32" t="s">
        <v>129</v>
      </c>
      <c r="D32" t="s">
        <v>129</v>
      </c>
      <c r="E32" t="s">
        <v>53</v>
      </c>
      <c r="F32" t="s">
        <v>53</v>
      </c>
      <c r="G32">
        <v>4</v>
      </c>
      <c r="H32" t="s">
        <v>54</v>
      </c>
      <c r="I32">
        <v>68400</v>
      </c>
      <c r="J32">
        <v>39100</v>
      </c>
      <c r="K32">
        <v>0.19</v>
      </c>
      <c r="L3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32">
        <v>0</v>
      </c>
      <c r="N32">
        <v>0</v>
      </c>
      <c r="O32">
        <v>0</v>
      </c>
      <c r="P32">
        <v>13398.7528</v>
      </c>
      <c r="Q32">
        <v>63903</v>
      </c>
      <c r="R32">
        <f>(Grandview_Inventory[[#This Row],[ln_acres]]*Grandview_Inventory[[#This Row],[coeff]])+Grandview_Inventory[[#This Row],[const]]</f>
        <v>41651.273092551026</v>
      </c>
      <c r="S32" t="s">
        <v>68</v>
      </c>
      <c r="T32">
        <v>1</v>
      </c>
      <c r="U32" t="s">
        <v>80</v>
      </c>
      <c r="V32" t="s">
        <v>78</v>
      </c>
      <c r="W32">
        <v>0</v>
      </c>
      <c r="X32">
        <v>0</v>
      </c>
      <c r="Y32">
        <v>51</v>
      </c>
      <c r="Z32">
        <v>83</v>
      </c>
      <c r="AA32">
        <v>90</v>
      </c>
      <c r="AB32">
        <v>1000</v>
      </c>
      <c r="AC32">
        <v>768</v>
      </c>
      <c r="AD32">
        <v>768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640</v>
      </c>
      <c r="AO32">
        <v>0</v>
      </c>
      <c r="AP32">
        <v>5</v>
      </c>
      <c r="AQ32">
        <v>0</v>
      </c>
      <c r="AR32">
        <v>0</v>
      </c>
      <c r="AS32" t="s">
        <v>58</v>
      </c>
      <c r="AT32">
        <v>1</v>
      </c>
      <c r="AU32" t="s">
        <v>75</v>
      </c>
      <c r="AV32" t="s">
        <v>60</v>
      </c>
      <c r="AW32">
        <v>0</v>
      </c>
      <c r="AX32">
        <v>2</v>
      </c>
      <c r="AY32">
        <v>0</v>
      </c>
      <c r="AZ32">
        <v>0</v>
      </c>
      <c r="BA32">
        <v>100</v>
      </c>
      <c r="BB32">
        <v>100</v>
      </c>
      <c r="BC32">
        <v>100</v>
      </c>
      <c r="BD32">
        <v>100</v>
      </c>
      <c r="BE32">
        <v>1</v>
      </c>
      <c r="BF32">
        <v>15000</v>
      </c>
      <c r="BG32">
        <v>1000</v>
      </c>
      <c r="BH32" s="6">
        <f>Grandview_Inventory[[#This Row],[land_extract]]*Lookups!$B$3</f>
        <v>48369.510983942157</v>
      </c>
      <c r="BI32" s="6">
        <f>IF(Grandview_Inventory[[#This Row],[bldg_style]]="",0,Lookups!$B$2)</f>
        <v>155833.95000000001</v>
      </c>
      <c r="BJ32" s="6">
        <f>_xlfn.IFNA(VLOOKUP(Grandview_Inventory[[#This Row],[quality]],Lookups!$H$2:$J$14,3,FALSE),0)</f>
        <v>-28558</v>
      </c>
      <c r="BK32" s="6">
        <f>_xlfn.IFNA(VLOOKUP(Grandview_Inventory[[#This Row],[condition]],Lookups!$H$17:$J$24,3,FALSE),0)</f>
        <v>-45357</v>
      </c>
      <c r="BL32" s="6">
        <f>Grandview_Inventory[[#This Row],[Eff_Age]]*Lookups!$B$14</f>
        <v>-12197.496599999999</v>
      </c>
      <c r="BM32" s="6">
        <f>Grandview_Inventory[[#This Row],[living_area]]*Lookups!$B$15</f>
        <v>47908.495104000001</v>
      </c>
      <c r="BN32" s="6">
        <f>Grandview_Inventory[[#This Row],[Fin BSMT]]*Lookups!$B$16</f>
        <v>0</v>
      </c>
      <c r="BO32" s="6">
        <f>(Grandview_Inventory[[#This Row],[att_gar]]+Grandview_Inventory[[#This Row],[bltin_gar]])*Lookups!$B$17</f>
        <v>0</v>
      </c>
      <c r="BP32" s="6">
        <f>Grandview_Inventory[[#This Row],[Plumbing Fixtures]]*Lookups!$B$18</f>
        <v>10052.209000000001</v>
      </c>
      <c r="BQ32" s="6">
        <f>Grandview_Inventory[[#This Row],[detatched_value]]*Lookups!$B$19</f>
        <v>0</v>
      </c>
      <c r="BR32" s="6">
        <f>SUM(Grandview_Inventory[[#This Row],[Intercept]:[det_value]])*Grandview_Inventory[[#This Row],[res_pct]]</f>
        <v>127682.15750400002</v>
      </c>
      <c r="BS32" s="6">
        <f>Grandview_Inventory[[#This Row],[land_value]]</f>
        <v>48369.510983942157</v>
      </c>
      <c r="BT32" s="4">
        <f>_xlfn.IFNA(VLOOKUP(Grandview_Inventory[[#This Row],[quality]],Lookups!$A$26:$C$33,3,FALSE),1)</f>
        <v>0.9690360070159818</v>
      </c>
      <c r="BU32" s="4">
        <f>_xlfn.IFNA(VLOOKUP(Grandview_Inventory[[#This Row],[condition]],Lookups!$A$37:$C$44,3,FALSE),1)</f>
        <v>0.97161819570155394</v>
      </c>
      <c r="BV32" s="4">
        <f>IF(Grandview_Inventory[[#This Row],[bldg_style]]="",1,_xlfn.IFNA(VLOOKUP(Grandview_Inventory[[#This Row],[decade]],Lookups!$F$29:$H$43,3,FALSE),1))</f>
        <v>0.94161750052457416</v>
      </c>
      <c r="BW32" s="4">
        <f>_xlfn.IFNA(VLOOKUP(Grandview_Inventory[[#This Row],[living_area_range]],Lookups!$F$47:$H$56,3,FALSE),1)</f>
        <v>0.94306777142782894</v>
      </c>
      <c r="BX32" s="4">
        <f>AVERAGE(Grandview_Inventory[[#This Row],[qual_adj]:[size_adj]])</f>
        <v>0.95633486866748474</v>
      </c>
      <c r="BY32" s="6">
        <f>IF(Grandview_Inventory[[#This Row],[pre_res]]&lt;0,0,Grandview_Inventory[[#This Row],[pre_res]]*Grandview_Inventory[[#This Row],[overall_adj]])</f>
        <v>122106.89932776896</v>
      </c>
      <c r="BZ32" s="6">
        <f>(Grandview_Inventory[[#This Row],[sum_land]]-IF(Grandview_Inventory[[#This Row],[no_utilities]]=1,12000,0))/IF(Grandview_Inventory[[#This Row],[unbuildable]]=1,2,1)</f>
        <v>48369.510983942157</v>
      </c>
      <c r="CA3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32">
        <f>ROUND(Grandview_Inventory[[#This Row],[det_value]]*Lookups!$M$28,-2)</f>
        <v>0</v>
      </c>
      <c r="CC32">
        <f>IF(ROUND(Grandview_Inventory[[#This Row],[adj_res]]*Lookups!$M$28,-2)&lt;Grandview_Inventory[[#This Row],[min_res]],Grandview_Inventory[[#This Row],[min_res]],ROUND(Grandview_Inventory[[#This Row],[adj_res]]*Lookups!$M$28,-2))</f>
        <v>116000</v>
      </c>
      <c r="CD32">
        <f>Grandview_Inventory[[#This Row],[final_det]]+Grandview_Inventory[[#This Row],[final_res]]</f>
        <v>116000</v>
      </c>
      <c r="CE32">
        <f>Grandview_Inventory[[#This Row],[final_land]]+Grandview_Inventory[[#This Row],[final_imp]]+Grandview_Inventory[[#This Row],[crop_value]]</f>
        <v>162000</v>
      </c>
      <c r="CG32" t="str">
        <f t="shared" si="0"/>
        <v>update valuation set market_land =46000, market_bldg=116000, market_total =162000, market_mdno =401, market_date ='9/10/2023' where link_id = (select link_id from parcel where parcel_year = '2024' and parcel_id = '23091333405');</v>
      </c>
    </row>
    <row r="33" spans="1:85" x14ac:dyDescent="0.25">
      <c r="A33">
        <v>23091333406</v>
      </c>
      <c r="B33">
        <v>0.19</v>
      </c>
      <c r="C33" t="s">
        <v>129</v>
      </c>
      <c r="D33" t="s">
        <v>129</v>
      </c>
      <c r="E33" t="s">
        <v>53</v>
      </c>
      <c r="F33" t="s">
        <v>53</v>
      </c>
      <c r="G33">
        <v>4</v>
      </c>
      <c r="H33" t="s">
        <v>54</v>
      </c>
      <c r="I33">
        <v>251100</v>
      </c>
      <c r="J33">
        <v>39100</v>
      </c>
      <c r="K33">
        <v>0.19</v>
      </c>
      <c r="L3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33">
        <v>0</v>
      </c>
      <c r="N33">
        <v>0</v>
      </c>
      <c r="O33">
        <v>0</v>
      </c>
      <c r="P33">
        <v>13398.7528</v>
      </c>
      <c r="Q33">
        <v>63903</v>
      </c>
      <c r="R33">
        <f>(Grandview_Inventory[[#This Row],[ln_acres]]*Grandview_Inventory[[#This Row],[coeff]])+Grandview_Inventory[[#This Row],[const]]</f>
        <v>41651.273092551026</v>
      </c>
      <c r="S33" t="s">
        <v>68</v>
      </c>
      <c r="T33">
        <v>1</v>
      </c>
      <c r="U33" t="s">
        <v>70</v>
      </c>
      <c r="V33" t="s">
        <v>67</v>
      </c>
      <c r="W33">
        <v>0</v>
      </c>
      <c r="X33">
        <v>0</v>
      </c>
      <c r="Y33">
        <v>53</v>
      </c>
      <c r="Z33">
        <v>113</v>
      </c>
      <c r="AA33">
        <v>120</v>
      </c>
      <c r="AB33">
        <v>1500</v>
      </c>
      <c r="AC33">
        <v>1137</v>
      </c>
      <c r="AD33">
        <v>1137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5</v>
      </c>
      <c r="AQ33">
        <v>0</v>
      </c>
      <c r="AR33">
        <v>0</v>
      </c>
      <c r="AS33" t="s">
        <v>58</v>
      </c>
      <c r="AT33">
        <v>1</v>
      </c>
      <c r="AU33" t="s">
        <v>63</v>
      </c>
      <c r="AV33" t="s">
        <v>60</v>
      </c>
      <c r="AW33">
        <v>0</v>
      </c>
      <c r="AX33">
        <v>3</v>
      </c>
      <c r="AY33">
        <v>0</v>
      </c>
      <c r="AZ33">
        <v>76000</v>
      </c>
      <c r="BA33">
        <v>100</v>
      </c>
      <c r="BB33">
        <v>100</v>
      </c>
      <c r="BC33">
        <v>100</v>
      </c>
      <c r="BD33">
        <v>100</v>
      </c>
      <c r="BE33">
        <v>1</v>
      </c>
      <c r="BF33">
        <v>15000</v>
      </c>
      <c r="BG33">
        <v>1000</v>
      </c>
      <c r="BH33" s="6">
        <f>Grandview_Inventory[[#This Row],[land_extract]]*Lookups!$B$3</f>
        <v>48369.510983942157</v>
      </c>
      <c r="BI33" s="6">
        <f>IF(Grandview_Inventory[[#This Row],[bldg_style]]="",0,Lookups!$B$2)</f>
        <v>155833.95000000001</v>
      </c>
      <c r="BJ33" s="6">
        <f>_xlfn.IFNA(VLOOKUP(Grandview_Inventory[[#This Row],[quality]],Lookups!$H$2:$J$14,3,FALSE),0)</f>
        <v>10733</v>
      </c>
      <c r="BK33" s="6">
        <f>_xlfn.IFNA(VLOOKUP(Grandview_Inventory[[#This Row],[condition]],Lookups!$H$17:$J$24,3,FALSE),0)</f>
        <v>22342</v>
      </c>
      <c r="BL33" s="6">
        <f>Grandview_Inventory[[#This Row],[Eff_Age]]*Lookups!$B$14</f>
        <v>-12675.8298</v>
      </c>
      <c r="BM33" s="6">
        <f>Grandview_Inventory[[#This Row],[living_area]]*Lookups!$B$15</f>
        <v>70927.029861000003</v>
      </c>
      <c r="BN33" s="6">
        <f>Grandview_Inventory[[#This Row],[Fin BSMT]]*Lookups!$B$16</f>
        <v>0</v>
      </c>
      <c r="BO33" s="6">
        <f>(Grandview_Inventory[[#This Row],[att_gar]]+Grandview_Inventory[[#This Row],[bltin_gar]])*Lookups!$B$17</f>
        <v>0</v>
      </c>
      <c r="BP33" s="6">
        <f>Grandview_Inventory[[#This Row],[Plumbing Fixtures]]*Lookups!$B$18</f>
        <v>10052.209000000001</v>
      </c>
      <c r="BQ33" s="6">
        <f>Grandview_Inventory[[#This Row],[detatched_value]]*Lookups!$B$19</f>
        <v>64357.187599999997</v>
      </c>
      <c r="BR33" s="6">
        <f>SUM(Grandview_Inventory[[#This Row],[Intercept]:[det_value]])*Grandview_Inventory[[#This Row],[res_pct]]</f>
        <v>321569.546661</v>
      </c>
      <c r="BS33" s="6">
        <f>Grandview_Inventory[[#This Row],[land_value]]</f>
        <v>48369.510983942157</v>
      </c>
      <c r="BT33" s="4">
        <f>_xlfn.IFNA(VLOOKUP(Grandview_Inventory[[#This Row],[quality]],Lookups!$A$26:$C$33,3,FALSE),1)</f>
        <v>0.98079741117310582</v>
      </c>
      <c r="BU33" s="4">
        <f>_xlfn.IFNA(VLOOKUP(Grandview_Inventory[[#This Row],[condition]],Lookups!$A$37:$C$44,3,FALSE),1)</f>
        <v>0.97383723671140243</v>
      </c>
      <c r="BV33" s="4">
        <f>IF(Grandview_Inventory[[#This Row],[bldg_style]]="",1,_xlfn.IFNA(VLOOKUP(Grandview_Inventory[[#This Row],[decade]],Lookups!$F$29:$H$43,3,FALSE),1))</f>
        <v>0.9251738460551937</v>
      </c>
      <c r="BW33" s="4">
        <f>_xlfn.IFNA(VLOOKUP(Grandview_Inventory[[#This Row],[living_area_range]],Lookups!$F$47:$H$56,3,FALSE),1)</f>
        <v>0.96135087979789358</v>
      </c>
      <c r="BX33" s="4">
        <f>AVERAGE(Grandview_Inventory[[#This Row],[qual_adj]:[size_adj]])</f>
        <v>0.96028984343439894</v>
      </c>
      <c r="BY33" s="6">
        <f>IF(Grandview_Inventory[[#This Row],[pre_res]]&lt;0,0,Grandview_Inventory[[#This Row],[pre_res]]*Grandview_Inventory[[#This Row],[overall_adj]])</f>
        <v>308799.96961636236</v>
      </c>
      <c r="BZ33" s="6">
        <f>(Grandview_Inventory[[#This Row],[sum_land]]-IF(Grandview_Inventory[[#This Row],[no_utilities]]=1,12000,0))/IF(Grandview_Inventory[[#This Row],[unbuildable]]=1,2,1)</f>
        <v>48369.510983942157</v>
      </c>
      <c r="CA3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33">
        <f>ROUND(Grandview_Inventory[[#This Row],[det_value]]*Lookups!$M$28,-2)</f>
        <v>61100</v>
      </c>
      <c r="CC33">
        <f>IF(ROUND(Grandview_Inventory[[#This Row],[adj_res]]*Lookups!$M$28,-2)&lt;Grandview_Inventory[[#This Row],[min_res]],Grandview_Inventory[[#This Row],[min_res]],ROUND(Grandview_Inventory[[#This Row],[adj_res]]*Lookups!$M$28,-2))</f>
        <v>293400</v>
      </c>
      <c r="CD33">
        <f>Grandview_Inventory[[#This Row],[final_det]]+Grandview_Inventory[[#This Row],[final_res]]</f>
        <v>354500</v>
      </c>
      <c r="CE33">
        <f>Grandview_Inventory[[#This Row],[final_land]]+Grandview_Inventory[[#This Row],[final_imp]]+Grandview_Inventory[[#This Row],[crop_value]]</f>
        <v>400500</v>
      </c>
      <c r="CG33" t="str">
        <f t="shared" si="0"/>
        <v>update valuation set market_land =46000, market_bldg=354500, market_total =400500, market_mdno =401, market_date ='9/10/2023' where link_id = (select link_id from parcel where parcel_year = '2024' and parcel_id = '23091333406');</v>
      </c>
    </row>
    <row r="34" spans="1:85" x14ac:dyDescent="0.25">
      <c r="A34">
        <v>23091333407</v>
      </c>
      <c r="B34">
        <v>0.19</v>
      </c>
      <c r="C34" t="s">
        <v>129</v>
      </c>
      <c r="D34" t="s">
        <v>129</v>
      </c>
      <c r="E34" t="s">
        <v>53</v>
      </c>
      <c r="F34" t="s">
        <v>53</v>
      </c>
      <c r="G34">
        <v>4</v>
      </c>
      <c r="H34" t="s">
        <v>54</v>
      </c>
      <c r="I34">
        <v>134100</v>
      </c>
      <c r="J34">
        <v>39100</v>
      </c>
      <c r="K34">
        <v>0.19</v>
      </c>
      <c r="L3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34">
        <v>0</v>
      </c>
      <c r="N34">
        <v>0</v>
      </c>
      <c r="O34">
        <v>0</v>
      </c>
      <c r="P34">
        <v>13398.7528</v>
      </c>
      <c r="Q34">
        <v>63903</v>
      </c>
      <c r="R34">
        <f>(Grandview_Inventory[[#This Row],[ln_acres]]*Grandview_Inventory[[#This Row],[coeff]])+Grandview_Inventory[[#This Row],[const]]</f>
        <v>41651.273092551026</v>
      </c>
      <c r="S34" t="s">
        <v>68</v>
      </c>
      <c r="T34">
        <v>1</v>
      </c>
      <c r="U34" t="s">
        <v>70</v>
      </c>
      <c r="V34" t="s">
        <v>69</v>
      </c>
      <c r="W34">
        <v>0</v>
      </c>
      <c r="X34">
        <v>0</v>
      </c>
      <c r="Y34">
        <v>52</v>
      </c>
      <c r="Z34">
        <v>87</v>
      </c>
      <c r="AA34">
        <v>90</v>
      </c>
      <c r="AB34">
        <v>1000</v>
      </c>
      <c r="AC34">
        <v>856</v>
      </c>
      <c r="AD34">
        <v>856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288</v>
      </c>
      <c r="AL34">
        <v>0</v>
      </c>
      <c r="AM34">
        <v>0</v>
      </c>
      <c r="AN34">
        <v>0</v>
      </c>
      <c r="AO34">
        <v>0</v>
      </c>
      <c r="AP34">
        <v>5</v>
      </c>
      <c r="AQ34">
        <v>0</v>
      </c>
      <c r="AR34">
        <v>0</v>
      </c>
      <c r="AS34" t="s">
        <v>58</v>
      </c>
      <c r="AT34">
        <v>1</v>
      </c>
      <c r="AU34" t="s">
        <v>59</v>
      </c>
      <c r="AV34" t="s">
        <v>60</v>
      </c>
      <c r="AW34">
        <v>1</v>
      </c>
      <c r="AX34">
        <v>3</v>
      </c>
      <c r="AY34">
        <v>0</v>
      </c>
      <c r="AZ34">
        <v>0</v>
      </c>
      <c r="BA34">
        <v>100</v>
      </c>
      <c r="BB34">
        <v>100</v>
      </c>
      <c r="BC34">
        <v>100</v>
      </c>
      <c r="BD34">
        <v>100</v>
      </c>
      <c r="BE34">
        <v>1</v>
      </c>
      <c r="BF34">
        <v>15000</v>
      </c>
      <c r="BG34">
        <v>1000</v>
      </c>
      <c r="BH34" s="6">
        <f>Grandview_Inventory[[#This Row],[land_extract]]*Lookups!$B$3</f>
        <v>48369.510983942157</v>
      </c>
      <c r="BI34" s="6">
        <f>IF(Grandview_Inventory[[#This Row],[bldg_style]]="",0,Lookups!$B$2)</f>
        <v>155833.95000000001</v>
      </c>
      <c r="BJ34" s="6">
        <f>_xlfn.IFNA(VLOOKUP(Grandview_Inventory[[#This Row],[quality]],Lookups!$H$2:$J$14,3,FALSE),0)</f>
        <v>10733</v>
      </c>
      <c r="BK34" s="6">
        <f>_xlfn.IFNA(VLOOKUP(Grandview_Inventory[[#This Row],[condition]],Lookups!$H$17:$J$24,3,FALSE),0)</f>
        <v>-4503</v>
      </c>
      <c r="BL34" s="6">
        <f>Grandview_Inventory[[#This Row],[Eff_Age]]*Lookups!$B$14</f>
        <v>-12436.663199999999</v>
      </c>
      <c r="BM34" s="6">
        <f>Grandview_Inventory[[#This Row],[living_area]]*Lookups!$B$15</f>
        <v>53398.010168000001</v>
      </c>
      <c r="BN34" s="6">
        <f>Grandview_Inventory[[#This Row],[Fin BSMT]]*Lookups!$B$16</f>
        <v>0</v>
      </c>
      <c r="BO34" s="6">
        <f>(Grandview_Inventory[[#This Row],[att_gar]]+Grandview_Inventory[[#This Row],[bltin_gar]])*Lookups!$B$17</f>
        <v>0</v>
      </c>
      <c r="BP34" s="6">
        <f>Grandview_Inventory[[#This Row],[Plumbing Fixtures]]*Lookups!$B$18</f>
        <v>10052.209000000001</v>
      </c>
      <c r="BQ34" s="6">
        <f>Grandview_Inventory[[#This Row],[detatched_value]]*Lookups!$B$19</f>
        <v>0</v>
      </c>
      <c r="BR34" s="6">
        <f>SUM(Grandview_Inventory[[#This Row],[Intercept]:[det_value]])*Grandview_Inventory[[#This Row],[res_pct]]</f>
        <v>213077.50596800001</v>
      </c>
      <c r="BS34" s="6">
        <f>Grandview_Inventory[[#This Row],[land_value]]</f>
        <v>48369.510983942157</v>
      </c>
      <c r="BT34" s="4">
        <f>_xlfn.IFNA(VLOOKUP(Grandview_Inventory[[#This Row],[quality]],Lookups!$A$26:$C$33,3,FALSE),1)</f>
        <v>0.98079741117310582</v>
      </c>
      <c r="BU34" s="4">
        <f>_xlfn.IFNA(VLOOKUP(Grandview_Inventory[[#This Row],[condition]],Lookups!$A$37:$C$44,3,FALSE),1)</f>
        <v>0.96469275950863709</v>
      </c>
      <c r="BV34" s="4">
        <f>IF(Grandview_Inventory[[#This Row],[bldg_style]]="",1,_xlfn.IFNA(VLOOKUP(Grandview_Inventory[[#This Row],[decade]],Lookups!$F$29:$H$43,3,FALSE),1))</f>
        <v>0.94161750052457416</v>
      </c>
      <c r="BW34" s="4">
        <f>_xlfn.IFNA(VLOOKUP(Grandview_Inventory[[#This Row],[living_area_range]],Lookups!$F$47:$H$56,3,FALSE),1)</f>
        <v>0.94306777142782894</v>
      </c>
      <c r="BX34" s="4">
        <f>AVERAGE(Grandview_Inventory[[#This Row],[qual_adj]:[size_adj]])</f>
        <v>0.95754386065853647</v>
      </c>
      <c r="BY34" s="6">
        <f>IF(Grandview_Inventory[[#This Row],[pre_res]]&lt;0,0,Grandview_Inventory[[#This Row],[pre_res]]*Grandview_Inventory[[#This Row],[overall_adj]])</f>
        <v>204031.05768409107</v>
      </c>
      <c r="BZ34" s="6">
        <f>(Grandview_Inventory[[#This Row],[sum_land]]-IF(Grandview_Inventory[[#This Row],[no_utilities]]=1,12000,0))/IF(Grandview_Inventory[[#This Row],[unbuildable]]=1,2,1)</f>
        <v>48369.510983942157</v>
      </c>
      <c r="CA3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34">
        <f>ROUND(Grandview_Inventory[[#This Row],[det_value]]*Lookups!$M$28,-2)</f>
        <v>0</v>
      </c>
      <c r="CC34">
        <f>IF(ROUND(Grandview_Inventory[[#This Row],[adj_res]]*Lookups!$M$28,-2)&lt;Grandview_Inventory[[#This Row],[min_res]],Grandview_Inventory[[#This Row],[min_res]],ROUND(Grandview_Inventory[[#This Row],[adj_res]]*Lookups!$M$28,-2))</f>
        <v>193800</v>
      </c>
      <c r="CD34">
        <f>Grandview_Inventory[[#This Row],[final_det]]+Grandview_Inventory[[#This Row],[final_res]]</f>
        <v>193800</v>
      </c>
      <c r="CE34">
        <f>Grandview_Inventory[[#This Row],[final_land]]+Grandview_Inventory[[#This Row],[final_imp]]+Grandview_Inventory[[#This Row],[crop_value]]</f>
        <v>239800</v>
      </c>
      <c r="CG34" t="str">
        <f t="shared" si="0"/>
        <v>update valuation set market_land =46000, market_bldg=193800, market_total =239800, market_mdno =401, market_date ='9/10/2023' where link_id = (select link_id from parcel where parcel_year = '2024' and parcel_id = '23091333407');</v>
      </c>
    </row>
    <row r="35" spans="1:85" x14ac:dyDescent="0.25">
      <c r="A35">
        <v>23091333412</v>
      </c>
      <c r="B35">
        <v>0.55000000000000004</v>
      </c>
      <c r="C35" t="s">
        <v>129</v>
      </c>
      <c r="D35" t="s">
        <v>129</v>
      </c>
      <c r="E35" t="s">
        <v>53</v>
      </c>
      <c r="F35" t="s">
        <v>53</v>
      </c>
      <c r="G35">
        <v>4</v>
      </c>
      <c r="H35" t="s">
        <v>54</v>
      </c>
      <c r="I35">
        <v>5200</v>
      </c>
      <c r="J35">
        <v>41900</v>
      </c>
      <c r="K35">
        <v>0.55000000000000004</v>
      </c>
      <c r="L35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35">
        <v>0</v>
      </c>
      <c r="N35">
        <v>0</v>
      </c>
      <c r="O35">
        <v>0</v>
      </c>
      <c r="P35">
        <v>13398.7528</v>
      </c>
      <c r="Q35">
        <v>63903</v>
      </c>
      <c r="R35">
        <f>(Grandview_Inventory[[#This Row],[ln_acres]]*Grandview_Inventory[[#This Row],[coeff]])+Grandview_Inventory[[#This Row],[const]]</f>
        <v>55892.729812182028</v>
      </c>
      <c r="S35" t="s">
        <v>68</v>
      </c>
      <c r="T35">
        <v>1</v>
      </c>
      <c r="U35" t="s">
        <v>80</v>
      </c>
      <c r="V35" t="s">
        <v>74</v>
      </c>
      <c r="W35">
        <v>0</v>
      </c>
      <c r="X35">
        <v>0</v>
      </c>
      <c r="Y35">
        <v>51</v>
      </c>
      <c r="Z35">
        <v>78</v>
      </c>
      <c r="AA35">
        <v>80</v>
      </c>
      <c r="AB35">
        <v>1000</v>
      </c>
      <c r="AC35">
        <v>840</v>
      </c>
      <c r="AD35">
        <v>840</v>
      </c>
      <c r="AE35">
        <v>0</v>
      </c>
      <c r="AF35">
        <v>0</v>
      </c>
      <c r="AG35">
        <v>0</v>
      </c>
      <c r="AH35">
        <v>840</v>
      </c>
      <c r="AI35">
        <v>0</v>
      </c>
      <c r="AJ35">
        <v>0</v>
      </c>
      <c r="AK35">
        <v>0</v>
      </c>
      <c r="AL35">
        <v>0</v>
      </c>
      <c r="AM35">
        <v>156</v>
      </c>
      <c r="AN35">
        <v>0</v>
      </c>
      <c r="AO35">
        <v>0</v>
      </c>
      <c r="AP35">
        <v>5</v>
      </c>
      <c r="AQ35">
        <v>0</v>
      </c>
      <c r="AR35">
        <v>0</v>
      </c>
      <c r="AS35" t="s">
        <v>58</v>
      </c>
      <c r="AT35">
        <v>0</v>
      </c>
      <c r="AU35" t="s">
        <v>134</v>
      </c>
      <c r="AV35" t="s">
        <v>138</v>
      </c>
      <c r="AW35">
        <v>0</v>
      </c>
      <c r="AX35">
        <v>2</v>
      </c>
      <c r="AY35">
        <v>0</v>
      </c>
      <c r="AZ35">
        <v>4800</v>
      </c>
      <c r="BA35">
        <v>100</v>
      </c>
      <c r="BB35">
        <v>100</v>
      </c>
      <c r="BC35">
        <v>100</v>
      </c>
      <c r="BD35">
        <v>100</v>
      </c>
      <c r="BE35">
        <v>0</v>
      </c>
      <c r="BF35">
        <v>15000</v>
      </c>
      <c r="BG35">
        <v>0</v>
      </c>
      <c r="BH35" s="6">
        <f>Grandview_Inventory[[#This Row],[land_extract]]*Lookups!$B$3</f>
        <v>64908.076220516494</v>
      </c>
      <c r="BI35" s="6">
        <f>IF(Grandview_Inventory[[#This Row],[bldg_style]]="",0,Lookups!$B$2)</f>
        <v>155833.95000000001</v>
      </c>
      <c r="BJ35" s="6">
        <f>_xlfn.IFNA(VLOOKUP(Grandview_Inventory[[#This Row],[quality]],Lookups!$H$2:$J$14,3,FALSE),0)</f>
        <v>-28558</v>
      </c>
      <c r="BK35" s="6">
        <f>_xlfn.IFNA(VLOOKUP(Grandview_Inventory[[#This Row],[condition]],Lookups!$H$17:$J$24,3,FALSE),0)</f>
        <v>-222502</v>
      </c>
      <c r="BL35" s="6">
        <f>Grandview_Inventory[[#This Row],[Eff_Age]]*Lookups!$B$14</f>
        <v>-12197.496599999999</v>
      </c>
      <c r="BM35" s="6">
        <f>Grandview_Inventory[[#This Row],[living_area]]*Lookups!$B$15</f>
        <v>52399.916519999999</v>
      </c>
      <c r="BN35" s="6">
        <f>Grandview_Inventory[[#This Row],[Fin BSMT]]*Lookups!$B$16</f>
        <v>0</v>
      </c>
      <c r="BO35" s="6">
        <f>(Grandview_Inventory[[#This Row],[att_gar]]+Grandview_Inventory[[#This Row],[bltin_gar]])*Lookups!$B$17</f>
        <v>0</v>
      </c>
      <c r="BP35" s="6">
        <f>Grandview_Inventory[[#This Row],[Plumbing Fixtures]]*Lookups!$B$18</f>
        <v>10052.209000000001</v>
      </c>
      <c r="BQ35" s="6">
        <f>Grandview_Inventory[[#This Row],[detatched_value]]*Lookups!$B$19</f>
        <v>4064.6644799999999</v>
      </c>
      <c r="BR35" s="6">
        <f>SUM(Grandview_Inventory[[#This Row],[Intercept]:[det_value]])*Grandview_Inventory[[#This Row],[res_pct]]</f>
        <v>0</v>
      </c>
      <c r="BS35" s="6">
        <f>Grandview_Inventory[[#This Row],[land_value]]</f>
        <v>64908.076220516494</v>
      </c>
      <c r="BT35" s="4">
        <f>_xlfn.IFNA(VLOOKUP(Grandview_Inventory[[#This Row],[quality]],Lookups!$A$26:$C$33,3,FALSE),1)</f>
        <v>0.9690360070159818</v>
      </c>
      <c r="BU35" s="4">
        <f>_xlfn.IFNA(VLOOKUP(Grandview_Inventory[[#This Row],[condition]],Lookups!$A$37:$C$44,3,FALSE),1)</f>
        <v>0</v>
      </c>
      <c r="BV35" s="4">
        <f>IF(Grandview_Inventory[[#This Row],[bldg_style]]="",1,_xlfn.IFNA(VLOOKUP(Grandview_Inventory[[#This Row],[decade]],Lookups!$F$29:$H$43,3,FALSE),1))</f>
        <v>0.98763256963907298</v>
      </c>
      <c r="BW35" s="4">
        <f>_xlfn.IFNA(VLOOKUP(Grandview_Inventory[[#This Row],[living_area_range]],Lookups!$F$47:$H$56,3,FALSE),1)</f>
        <v>0.94306777142782894</v>
      </c>
      <c r="BX35" s="4">
        <f>AVERAGE(Grandview_Inventory[[#This Row],[qual_adj]:[size_adj]])</f>
        <v>0.72493408702072093</v>
      </c>
      <c r="BY35" s="6">
        <f>IF(Grandview_Inventory[[#This Row],[pre_res]]&lt;0,0,Grandview_Inventory[[#This Row],[pre_res]]*Grandview_Inventory[[#This Row],[overall_adj]])</f>
        <v>0</v>
      </c>
      <c r="BZ35" s="6">
        <f>(Grandview_Inventory[[#This Row],[sum_land]]-IF(Grandview_Inventory[[#This Row],[no_utilities]]=1,12000,0))/IF(Grandview_Inventory[[#This Row],[unbuildable]]=1,2,1)</f>
        <v>64908.076220516494</v>
      </c>
      <c r="CA35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35">
        <f>ROUND(Grandview_Inventory[[#This Row],[det_value]]*Lookups!$M$28,-2)</f>
        <v>3900</v>
      </c>
      <c r="CC3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35">
        <f>Grandview_Inventory[[#This Row],[final_det]]+Grandview_Inventory[[#This Row],[final_res]]</f>
        <v>3900</v>
      </c>
      <c r="CE35">
        <f>Grandview_Inventory[[#This Row],[final_land]]+Grandview_Inventory[[#This Row],[final_imp]]+Grandview_Inventory[[#This Row],[crop_value]]</f>
        <v>65600</v>
      </c>
      <c r="CG35" t="str">
        <f t="shared" si="0"/>
        <v>update valuation set market_land =61700, market_bldg=3900, market_total =65600, market_mdno =401, market_date ='9/10/2023' where link_id = (select link_id from parcel where parcel_year = '2024' and parcel_id = '23091333412');</v>
      </c>
    </row>
    <row r="36" spans="1:85" x14ac:dyDescent="0.25">
      <c r="A36">
        <v>23091333420</v>
      </c>
      <c r="B36">
        <v>4.8099999999999996</v>
      </c>
      <c r="C36" t="s">
        <v>129</v>
      </c>
      <c r="D36" t="s">
        <v>129</v>
      </c>
      <c r="E36" t="s">
        <v>53</v>
      </c>
      <c r="F36" t="s">
        <v>53</v>
      </c>
      <c r="G36">
        <v>4</v>
      </c>
      <c r="H36" t="s">
        <v>54</v>
      </c>
      <c r="I36">
        <v>456400</v>
      </c>
      <c r="J36">
        <v>48900</v>
      </c>
      <c r="K36">
        <v>4.8099999999999996</v>
      </c>
      <c r="L36">
        <f>IF(Grandview_Inventory[[#This Row],[parcel_acres]]-Grandview_Inventory[[#This Row],[non_valued_acres]] =0,0,LN(Grandview_Inventory[[#This Row],[parcel_acres]]-Grandview_Inventory[[#This Row],[non_valued_acres]]))</f>
        <v>1.5706970841176697</v>
      </c>
      <c r="M36">
        <v>0</v>
      </c>
      <c r="N36">
        <v>0</v>
      </c>
      <c r="O36">
        <v>0</v>
      </c>
      <c r="P36">
        <v>13398.7528</v>
      </c>
      <c r="Q36">
        <v>63903</v>
      </c>
      <c r="R36">
        <f>(Grandview_Inventory[[#This Row],[ln_acres]]*Grandview_Inventory[[#This Row],[coeff]])+Grandview_Inventory[[#This Row],[const]]</f>
        <v>84948.381953773467</v>
      </c>
      <c r="S36" t="s">
        <v>58</v>
      </c>
      <c r="T36">
        <v>1</v>
      </c>
      <c r="U36" t="s">
        <v>64</v>
      </c>
      <c r="V36" t="s">
        <v>57</v>
      </c>
      <c r="W36">
        <v>0</v>
      </c>
      <c r="X36">
        <v>0</v>
      </c>
      <c r="Y36">
        <v>6</v>
      </c>
      <c r="Z36">
        <v>6</v>
      </c>
      <c r="AA36">
        <v>10</v>
      </c>
      <c r="AB36">
        <v>3000</v>
      </c>
      <c r="AC36">
        <v>2545</v>
      </c>
      <c r="AD36">
        <v>2545</v>
      </c>
      <c r="AE36">
        <v>0</v>
      </c>
      <c r="AF36">
        <v>0</v>
      </c>
      <c r="AG36">
        <v>0</v>
      </c>
      <c r="AH36">
        <v>0</v>
      </c>
      <c r="AI36">
        <v>1415</v>
      </c>
      <c r="AJ36">
        <v>0</v>
      </c>
      <c r="AK36">
        <v>0</v>
      </c>
      <c r="AL36">
        <v>0</v>
      </c>
      <c r="AM36">
        <v>864</v>
      </c>
      <c r="AN36">
        <v>552</v>
      </c>
      <c r="AO36">
        <v>0</v>
      </c>
      <c r="AP36">
        <v>10</v>
      </c>
      <c r="AQ36">
        <v>0</v>
      </c>
      <c r="AR36">
        <v>0</v>
      </c>
      <c r="AS36" t="s">
        <v>58</v>
      </c>
      <c r="AT36">
        <v>1</v>
      </c>
      <c r="AU36" t="s">
        <v>59</v>
      </c>
      <c r="AV36" t="s">
        <v>64</v>
      </c>
      <c r="AW36">
        <v>1</v>
      </c>
      <c r="AX36">
        <v>3</v>
      </c>
      <c r="AY36">
        <v>0</v>
      </c>
      <c r="AZ36">
        <v>58000</v>
      </c>
      <c r="BA36">
        <v>100</v>
      </c>
      <c r="BB36">
        <v>100</v>
      </c>
      <c r="BC36">
        <v>100</v>
      </c>
      <c r="BD36">
        <v>100</v>
      </c>
      <c r="BE36">
        <v>1</v>
      </c>
      <c r="BF36">
        <v>15000</v>
      </c>
      <c r="BG36">
        <v>1000</v>
      </c>
      <c r="BH36" s="6">
        <f>Grandview_Inventory[[#This Row],[land_extract]]*Lookups!$B$3</f>
        <v>98650.326602285844</v>
      </c>
      <c r="BI36" s="6">
        <f>IF(Grandview_Inventory[[#This Row],[bldg_style]]="",0,Lookups!$B$2)</f>
        <v>155833.95000000001</v>
      </c>
      <c r="BJ36" s="6">
        <f>_xlfn.IFNA(VLOOKUP(Grandview_Inventory[[#This Row],[quality]],Lookups!$H$2:$J$14,3,FALSE),0)</f>
        <v>20768</v>
      </c>
      <c r="BK36" s="6">
        <f>_xlfn.IFNA(VLOOKUP(Grandview_Inventory[[#This Row],[condition]],Lookups!$H$17:$J$24,3,FALSE),0)</f>
        <v>25780</v>
      </c>
      <c r="BL36" s="6">
        <f>Grandview_Inventory[[#This Row],[Eff_Age]]*Lookups!$B$14</f>
        <v>-1434.9995999999999</v>
      </c>
      <c r="BM36" s="6">
        <f>Grandview_Inventory[[#This Row],[living_area]]*Lookups!$B$15</f>
        <v>158759.27088500001</v>
      </c>
      <c r="BN36" s="6">
        <f>Grandview_Inventory[[#This Row],[Fin BSMT]]*Lookups!$B$16</f>
        <v>0</v>
      </c>
      <c r="BO36" s="6">
        <f>(Grandview_Inventory[[#This Row],[att_gar]]+Grandview_Inventory[[#This Row],[bltin_gar]])*Lookups!$B$17</f>
        <v>123841.418355</v>
      </c>
      <c r="BP36" s="6">
        <f>Grandview_Inventory[[#This Row],[Plumbing Fixtures]]*Lookups!$B$18</f>
        <v>20104.418000000001</v>
      </c>
      <c r="BQ36" s="6">
        <f>Grandview_Inventory[[#This Row],[detatched_value]]*Lookups!$B$19</f>
        <v>49114.695800000001</v>
      </c>
      <c r="BR36" s="6">
        <f>SUM(Grandview_Inventory[[#This Row],[Intercept]:[det_value]])*Grandview_Inventory[[#This Row],[res_pct]]</f>
        <v>552766.75344</v>
      </c>
      <c r="BS36" s="6">
        <f>Grandview_Inventory[[#This Row],[land_value]]</f>
        <v>98650.326602285844</v>
      </c>
      <c r="BT36" s="4">
        <f>_xlfn.IFNA(VLOOKUP(Grandview_Inventory[[#This Row],[quality]],Lookups!$A$26:$C$33,3,FALSE),1)</f>
        <v>0.94960540378902636</v>
      </c>
      <c r="BU36" s="4">
        <f>_xlfn.IFNA(VLOOKUP(Grandview_Inventory[[#This Row],[condition]],Lookups!$A$37:$C$44,3,FALSE),1)</f>
        <v>0.94347925387812148</v>
      </c>
      <c r="BV36" s="4">
        <f>IF(Grandview_Inventory[[#This Row],[bldg_style]]="",1,_xlfn.IFNA(VLOOKUP(Grandview_Inventory[[#This Row],[decade]],Lookups!$F$29:$H$43,3,FALSE),1))</f>
        <v>0.94601966599150278</v>
      </c>
      <c r="BW36" s="4">
        <f>_xlfn.IFNA(VLOOKUP(Grandview_Inventory[[#This Row],[living_area_range]],Lookups!$F$47:$H$56,3,FALSE),1)</f>
        <v>0.94224801443562123</v>
      </c>
      <c r="BX36" s="4">
        <f>AVERAGE(Grandview_Inventory[[#This Row],[qual_adj]:[size_adj]])</f>
        <v>0.94533808452356805</v>
      </c>
      <c r="BY36" s="6">
        <f>IF(Grandview_Inventory[[#This Row],[pre_res]]&lt;0,0,Grandview_Inventory[[#This Row],[pre_res]]*Grandview_Inventory[[#This Row],[overall_adj]])</f>
        <v>522551.463885281</v>
      </c>
      <c r="BZ36" s="6">
        <f>(Grandview_Inventory[[#This Row],[sum_land]]-IF(Grandview_Inventory[[#This Row],[no_utilities]]=1,12000,0))/IF(Grandview_Inventory[[#This Row],[unbuildable]]=1,2,1)</f>
        <v>98650.326602285844</v>
      </c>
      <c r="CA36">
        <f>IF(ROUND(Grandview_Inventory[[#This Row],[adj_land]]*Lookups!$M$28,-2)&lt;Grandview_Inventory[[#This Row],[min_land]],Grandview_Inventory[[#This Row],[min_land]],ROUND(Grandview_Inventory[[#This Row],[adj_land]]*Lookups!$M$28,-2))</f>
        <v>93700</v>
      </c>
      <c r="CB36">
        <f>ROUND(Grandview_Inventory[[#This Row],[det_value]]*Lookups!$M$28,-2)</f>
        <v>46700</v>
      </c>
      <c r="CC36">
        <f>IF(ROUND(Grandview_Inventory[[#This Row],[adj_res]]*Lookups!$M$28,-2)&lt;Grandview_Inventory[[#This Row],[min_res]],Grandview_Inventory[[#This Row],[min_res]],ROUND(Grandview_Inventory[[#This Row],[adj_res]]*Lookups!$M$28,-2))</f>
        <v>496400</v>
      </c>
      <c r="CD36">
        <f>Grandview_Inventory[[#This Row],[final_det]]+Grandview_Inventory[[#This Row],[final_res]]</f>
        <v>543100</v>
      </c>
      <c r="CE36">
        <f>Grandview_Inventory[[#This Row],[final_land]]+Grandview_Inventory[[#This Row],[final_imp]]+Grandview_Inventory[[#This Row],[crop_value]]</f>
        <v>636800</v>
      </c>
      <c r="CG36" t="str">
        <f t="shared" si="0"/>
        <v>update valuation set market_land =93700, market_bldg=543100, market_total =636800, market_mdno =401, market_date ='9/10/2023' where link_id = (select link_id from parcel where parcel_year = '2024' and parcel_id = '23091333420');</v>
      </c>
    </row>
    <row r="37" spans="1:85" x14ac:dyDescent="0.25">
      <c r="A37">
        <v>23091334003</v>
      </c>
      <c r="B37">
        <v>0.75</v>
      </c>
      <c r="C37">
        <v>32714</v>
      </c>
      <c r="D37" t="s">
        <v>129</v>
      </c>
      <c r="E37" t="s">
        <v>53</v>
      </c>
      <c r="F37" t="s">
        <v>53</v>
      </c>
      <c r="G37">
        <v>4</v>
      </c>
      <c r="H37" t="s">
        <v>54</v>
      </c>
      <c r="I37">
        <v>146200</v>
      </c>
      <c r="J37">
        <v>43100</v>
      </c>
      <c r="K37">
        <v>0.75</v>
      </c>
      <c r="L37">
        <f>IF(Grandview_Inventory[[#This Row],[parcel_acres]]-Grandview_Inventory[[#This Row],[non_valued_acres]] =0,0,LN(Grandview_Inventory[[#This Row],[parcel_acres]]-Grandview_Inventory[[#This Row],[non_valued_acres]]))</f>
        <v>-0.2876820724517809</v>
      </c>
      <c r="M37">
        <v>0</v>
      </c>
      <c r="N37">
        <v>0</v>
      </c>
      <c r="O37">
        <v>0</v>
      </c>
      <c r="P37">
        <v>13398.7528</v>
      </c>
      <c r="Q37">
        <v>63903</v>
      </c>
      <c r="R37">
        <f>(Grandview_Inventory[[#This Row],[ln_acres]]*Grandview_Inventory[[#This Row],[coeff]])+Grandview_Inventory[[#This Row],[const]]</f>
        <v>60048.419026226897</v>
      </c>
      <c r="S37" t="s">
        <v>68</v>
      </c>
      <c r="T37">
        <v>1</v>
      </c>
      <c r="U37" t="s">
        <v>65</v>
      </c>
      <c r="V37" t="s">
        <v>69</v>
      </c>
      <c r="W37">
        <v>0</v>
      </c>
      <c r="X37">
        <v>0</v>
      </c>
      <c r="Y37">
        <v>57</v>
      </c>
      <c r="Z37">
        <v>103</v>
      </c>
      <c r="AA37">
        <v>110</v>
      </c>
      <c r="AB37">
        <v>2000</v>
      </c>
      <c r="AC37">
        <v>1694</v>
      </c>
      <c r="AD37">
        <v>1100</v>
      </c>
      <c r="AE37">
        <v>0</v>
      </c>
      <c r="AF37">
        <v>0</v>
      </c>
      <c r="AG37">
        <v>594</v>
      </c>
      <c r="AH37">
        <v>0</v>
      </c>
      <c r="AI37">
        <v>0</v>
      </c>
      <c r="AJ37">
        <v>0</v>
      </c>
      <c r="AK37">
        <v>0</v>
      </c>
      <c r="AL37">
        <v>128</v>
      </c>
      <c r="AM37">
        <v>220</v>
      </c>
      <c r="AN37">
        <v>0</v>
      </c>
      <c r="AO37">
        <v>220</v>
      </c>
      <c r="AP37">
        <v>5</v>
      </c>
      <c r="AQ37">
        <v>0</v>
      </c>
      <c r="AR37">
        <v>1</v>
      </c>
      <c r="AS37" t="s">
        <v>58</v>
      </c>
      <c r="AT37">
        <v>1</v>
      </c>
      <c r="AU37" t="s">
        <v>132</v>
      </c>
      <c r="AV37" t="s">
        <v>60</v>
      </c>
      <c r="AW37">
        <v>1</v>
      </c>
      <c r="AX37">
        <v>2</v>
      </c>
      <c r="AY37">
        <v>0</v>
      </c>
      <c r="AZ37">
        <v>11000</v>
      </c>
      <c r="BA37">
        <v>100</v>
      </c>
      <c r="BB37">
        <v>100</v>
      </c>
      <c r="BC37">
        <v>100</v>
      </c>
      <c r="BD37">
        <v>100</v>
      </c>
      <c r="BE37">
        <v>1</v>
      </c>
      <c r="BF37">
        <v>15000</v>
      </c>
      <c r="BG37">
        <v>1000</v>
      </c>
      <c r="BH37" s="6">
        <f>Grandview_Inventory[[#This Row],[land_extract]]*Lookups!$B$3</f>
        <v>69734.06688442592</v>
      </c>
      <c r="BI37" s="6">
        <f>IF(Grandview_Inventory[[#This Row],[bldg_style]]="",0,Lookups!$B$2)</f>
        <v>155833.95000000001</v>
      </c>
      <c r="BJ37" s="6">
        <f>_xlfn.IFNA(VLOOKUP(Grandview_Inventory[[#This Row],[quality]],Lookups!$H$2:$J$14,3,FALSE),0)</f>
        <v>2251</v>
      </c>
      <c r="BK37" s="6">
        <f>_xlfn.IFNA(VLOOKUP(Grandview_Inventory[[#This Row],[condition]],Lookups!$H$17:$J$24,3,FALSE),0)</f>
        <v>-4503</v>
      </c>
      <c r="BL37" s="6">
        <f>Grandview_Inventory[[#This Row],[Eff_Age]]*Lookups!$B$14</f>
        <v>-13632.4962</v>
      </c>
      <c r="BM37" s="6">
        <f>Grandview_Inventory[[#This Row],[living_area]]*Lookups!$B$15</f>
        <v>105673.164982</v>
      </c>
      <c r="BN37" s="6">
        <f>Grandview_Inventory[[#This Row],[Fin BSMT]]*Lookups!$B$16</f>
        <v>-16096.948560000001</v>
      </c>
      <c r="BO37" s="6">
        <f>(Grandview_Inventory[[#This Row],[att_gar]]+Grandview_Inventory[[#This Row],[bltin_gar]])*Lookups!$B$17</f>
        <v>0</v>
      </c>
      <c r="BP37" s="6">
        <f>Grandview_Inventory[[#This Row],[Plumbing Fixtures]]*Lookups!$B$18</f>
        <v>10052.209000000001</v>
      </c>
      <c r="BQ37" s="6">
        <f>Grandview_Inventory[[#This Row],[detatched_value]]*Lookups!$B$19</f>
        <v>9314.8560999999991</v>
      </c>
      <c r="BR37" s="6">
        <f>SUM(Grandview_Inventory[[#This Row],[Intercept]:[det_value]])*Grandview_Inventory[[#This Row],[res_pct]]</f>
        <v>248892.73532200005</v>
      </c>
      <c r="BS37" s="6">
        <f>Grandview_Inventory[[#This Row],[land_value]]</f>
        <v>69734.06688442592</v>
      </c>
      <c r="BT37" s="4">
        <f>_xlfn.IFNA(VLOOKUP(Grandview_Inventory[[#This Row],[quality]],Lookups!$A$26:$C$33,3,FALSE),1)</f>
        <v>0.98763855981004833</v>
      </c>
      <c r="BU37" s="4">
        <f>_xlfn.IFNA(VLOOKUP(Grandview_Inventory[[#This Row],[condition]],Lookups!$A$37:$C$44,3,FALSE),1)</f>
        <v>0.96469275950863709</v>
      </c>
      <c r="BV37" s="4">
        <f>IF(Grandview_Inventory[[#This Row],[bldg_style]]="",1,_xlfn.IFNA(VLOOKUP(Grandview_Inventory[[#This Row],[decade]],Lookups!$F$29:$H$43,3,FALSE),1))</f>
        <v>0.92255236374249616</v>
      </c>
      <c r="BW37" s="4">
        <f>_xlfn.IFNA(VLOOKUP(Grandview_Inventory[[#This Row],[living_area_range]],Lookups!$F$47:$H$56,3,FALSE),1)</f>
        <v>0.96120133463014379</v>
      </c>
      <c r="BX37" s="4">
        <f>AVERAGE(Grandview_Inventory[[#This Row],[qual_adj]:[size_adj]])</f>
        <v>0.95902125442283137</v>
      </c>
      <c r="BY37" s="6">
        <f>IF(Grandview_Inventory[[#This Row],[pre_res]]&lt;0,0,Grandview_Inventory[[#This Row],[pre_res]]*Grandview_Inventory[[#This Row],[overall_adj]])</f>
        <v>238693.42324523424</v>
      </c>
      <c r="BZ37" s="6">
        <f>(Grandview_Inventory[[#This Row],[sum_land]]-IF(Grandview_Inventory[[#This Row],[no_utilities]]=1,12000,0))/IF(Grandview_Inventory[[#This Row],[unbuildable]]=1,2,1)</f>
        <v>69734.06688442592</v>
      </c>
      <c r="CA37">
        <f>IF(ROUND(Grandview_Inventory[[#This Row],[adj_land]]*Lookups!$M$28,-2)&lt;Grandview_Inventory[[#This Row],[min_land]],Grandview_Inventory[[#This Row],[min_land]],ROUND(Grandview_Inventory[[#This Row],[adj_land]]*Lookups!$M$28,-2))</f>
        <v>66200</v>
      </c>
      <c r="CB37">
        <f>ROUND(Grandview_Inventory[[#This Row],[det_value]]*Lookups!$M$28,-2)</f>
        <v>8800</v>
      </c>
      <c r="CC37">
        <f>IF(ROUND(Grandview_Inventory[[#This Row],[adj_res]]*Lookups!$M$28,-2)&lt;Grandview_Inventory[[#This Row],[min_res]],Grandview_Inventory[[#This Row],[min_res]],ROUND(Grandview_Inventory[[#This Row],[adj_res]]*Lookups!$M$28,-2))</f>
        <v>226800</v>
      </c>
      <c r="CD37">
        <f>Grandview_Inventory[[#This Row],[final_det]]+Grandview_Inventory[[#This Row],[final_res]]</f>
        <v>235600</v>
      </c>
      <c r="CE37">
        <f>Grandview_Inventory[[#This Row],[final_land]]+Grandview_Inventory[[#This Row],[final_imp]]+Grandview_Inventory[[#This Row],[crop_value]]</f>
        <v>301800</v>
      </c>
      <c r="CG37" t="str">
        <f t="shared" si="0"/>
        <v>update valuation set market_land =66200, market_bldg=235600, market_total =301800, market_mdno =401, market_date ='9/10/2023' where link_id = (select link_id from parcel where parcel_year = '2024' and parcel_id = '23091334003');</v>
      </c>
    </row>
    <row r="38" spans="1:85" x14ac:dyDescent="0.25">
      <c r="A38">
        <v>23091334006</v>
      </c>
      <c r="B38">
        <v>2.08</v>
      </c>
      <c r="C38">
        <v>90678</v>
      </c>
      <c r="D38" t="s">
        <v>129</v>
      </c>
      <c r="E38" t="s">
        <v>53</v>
      </c>
      <c r="F38" t="s">
        <v>53</v>
      </c>
      <c r="G38">
        <v>4</v>
      </c>
      <c r="H38" t="s">
        <v>54</v>
      </c>
      <c r="I38">
        <v>140200</v>
      </c>
      <c r="J38">
        <v>46100</v>
      </c>
      <c r="K38">
        <v>2.08</v>
      </c>
      <c r="L38">
        <f>IF(Grandview_Inventory[[#This Row],[parcel_acres]]-Grandview_Inventory[[#This Row],[non_valued_acres]] =0,0,LN(Grandview_Inventory[[#This Row],[parcel_acres]]-Grandview_Inventory[[#This Row],[non_valued_acres]]))</f>
        <v>0.73236789371322664</v>
      </c>
      <c r="M38">
        <v>0</v>
      </c>
      <c r="N38">
        <v>0</v>
      </c>
      <c r="O38">
        <v>0</v>
      </c>
      <c r="P38">
        <v>13398.7528</v>
      </c>
      <c r="Q38">
        <v>63903</v>
      </c>
      <c r="R38">
        <f>(Grandview_Inventory[[#This Row],[ln_acres]]*Grandview_Inventory[[#This Row],[coeff]])+Grandview_Inventory[[#This Row],[const]]</f>
        <v>73715.816366520201</v>
      </c>
      <c r="S38" t="s">
        <v>68</v>
      </c>
      <c r="T38">
        <v>1</v>
      </c>
      <c r="U38" t="s">
        <v>80</v>
      </c>
      <c r="V38" t="s">
        <v>67</v>
      </c>
      <c r="W38">
        <v>0</v>
      </c>
      <c r="X38">
        <v>0</v>
      </c>
      <c r="Y38">
        <v>51</v>
      </c>
      <c r="Z38">
        <v>83</v>
      </c>
      <c r="AA38">
        <v>90</v>
      </c>
      <c r="AB38">
        <v>1000</v>
      </c>
      <c r="AC38">
        <v>936</v>
      </c>
      <c r="AD38">
        <v>936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20</v>
      </c>
      <c r="AO38">
        <v>0</v>
      </c>
      <c r="AP38">
        <v>5</v>
      </c>
      <c r="AQ38">
        <v>0</v>
      </c>
      <c r="AR38">
        <v>0</v>
      </c>
      <c r="AS38" t="s">
        <v>58</v>
      </c>
      <c r="AT38">
        <v>1</v>
      </c>
      <c r="AU38" t="s">
        <v>75</v>
      </c>
      <c r="AV38" t="s">
        <v>60</v>
      </c>
      <c r="AW38">
        <v>0</v>
      </c>
      <c r="AX38">
        <v>2</v>
      </c>
      <c r="AY38">
        <v>0</v>
      </c>
      <c r="AZ38">
        <v>10400</v>
      </c>
      <c r="BA38">
        <v>100</v>
      </c>
      <c r="BB38">
        <v>100</v>
      </c>
      <c r="BC38">
        <v>100</v>
      </c>
      <c r="BD38">
        <v>100</v>
      </c>
      <c r="BE38">
        <v>1</v>
      </c>
      <c r="BF38">
        <v>15000</v>
      </c>
      <c r="BG38">
        <v>1000</v>
      </c>
      <c r="BH38" s="6">
        <f>Grandview_Inventory[[#This Row],[land_extract]]*Lookups!$B$3</f>
        <v>85605.978513735725</v>
      </c>
      <c r="BI38" s="6">
        <f>IF(Grandview_Inventory[[#This Row],[bldg_style]]="",0,Lookups!$B$2)</f>
        <v>155833.95000000001</v>
      </c>
      <c r="BJ38" s="6">
        <f>_xlfn.IFNA(VLOOKUP(Grandview_Inventory[[#This Row],[quality]],Lookups!$H$2:$J$14,3,FALSE),0)</f>
        <v>-28558</v>
      </c>
      <c r="BK38" s="6">
        <f>_xlfn.IFNA(VLOOKUP(Grandview_Inventory[[#This Row],[condition]],Lookups!$H$17:$J$24,3,FALSE),0)</f>
        <v>22342</v>
      </c>
      <c r="BL38" s="6">
        <f>Grandview_Inventory[[#This Row],[Eff_Age]]*Lookups!$B$14</f>
        <v>-12197.496599999999</v>
      </c>
      <c r="BM38" s="6">
        <f>Grandview_Inventory[[#This Row],[living_area]]*Lookups!$B$15</f>
        <v>58388.478408000003</v>
      </c>
      <c r="BN38" s="6">
        <f>Grandview_Inventory[[#This Row],[Fin BSMT]]*Lookups!$B$16</f>
        <v>0</v>
      </c>
      <c r="BO38" s="6">
        <f>(Grandview_Inventory[[#This Row],[att_gar]]+Grandview_Inventory[[#This Row],[bltin_gar]])*Lookups!$B$17</f>
        <v>0</v>
      </c>
      <c r="BP38" s="6">
        <f>Grandview_Inventory[[#This Row],[Plumbing Fixtures]]*Lookups!$B$18</f>
        <v>10052.209000000001</v>
      </c>
      <c r="BQ38" s="6">
        <f>Grandview_Inventory[[#This Row],[detatched_value]]*Lookups!$B$19</f>
        <v>8806.77304</v>
      </c>
      <c r="BR38" s="6">
        <f>SUM(Grandview_Inventory[[#This Row],[Intercept]:[det_value]])*Grandview_Inventory[[#This Row],[res_pct]]</f>
        <v>214667.913848</v>
      </c>
      <c r="BS38" s="6">
        <f>Grandview_Inventory[[#This Row],[land_value]]</f>
        <v>85605.978513735725</v>
      </c>
      <c r="BT38" s="4">
        <f>_xlfn.IFNA(VLOOKUP(Grandview_Inventory[[#This Row],[quality]],Lookups!$A$26:$C$33,3,FALSE),1)</f>
        <v>0.9690360070159818</v>
      </c>
      <c r="BU38" s="4">
        <f>_xlfn.IFNA(VLOOKUP(Grandview_Inventory[[#This Row],[condition]],Lookups!$A$37:$C$44,3,FALSE),1)</f>
        <v>0.97383723671140243</v>
      </c>
      <c r="BV38" s="4">
        <f>IF(Grandview_Inventory[[#This Row],[bldg_style]]="",1,_xlfn.IFNA(VLOOKUP(Grandview_Inventory[[#This Row],[decade]],Lookups!$F$29:$H$43,3,FALSE),1))</f>
        <v>0.94161750052457416</v>
      </c>
      <c r="BW38" s="4">
        <f>_xlfn.IFNA(VLOOKUP(Grandview_Inventory[[#This Row],[living_area_range]],Lookups!$F$47:$H$56,3,FALSE),1)</f>
        <v>0.94306777142782894</v>
      </c>
      <c r="BX38" s="4">
        <f>AVERAGE(Grandview_Inventory[[#This Row],[qual_adj]:[size_adj]])</f>
        <v>0.95688962891994678</v>
      </c>
      <c r="BY38" s="6">
        <f>IF(Grandview_Inventory[[#This Row],[pre_res]]&lt;0,0,Grandview_Inventory[[#This Row],[pre_res]]*Grandview_Inventory[[#This Row],[overall_adj]])</f>
        <v>205413.50042303183</v>
      </c>
      <c r="BZ38" s="6">
        <f>(Grandview_Inventory[[#This Row],[sum_land]]-IF(Grandview_Inventory[[#This Row],[no_utilities]]=1,12000,0))/IF(Grandview_Inventory[[#This Row],[unbuildable]]=1,2,1)</f>
        <v>85605.978513735725</v>
      </c>
      <c r="CA38">
        <f>IF(ROUND(Grandview_Inventory[[#This Row],[adj_land]]*Lookups!$M$28,-2)&lt;Grandview_Inventory[[#This Row],[min_land]],Grandview_Inventory[[#This Row],[min_land]],ROUND(Grandview_Inventory[[#This Row],[adj_land]]*Lookups!$M$28,-2))</f>
        <v>81300</v>
      </c>
      <c r="CB38">
        <f>ROUND(Grandview_Inventory[[#This Row],[det_value]]*Lookups!$M$28,-2)</f>
        <v>8400</v>
      </c>
      <c r="CC38">
        <f>IF(ROUND(Grandview_Inventory[[#This Row],[adj_res]]*Lookups!$M$28,-2)&lt;Grandview_Inventory[[#This Row],[min_res]],Grandview_Inventory[[#This Row],[min_res]],ROUND(Grandview_Inventory[[#This Row],[adj_res]]*Lookups!$M$28,-2))</f>
        <v>195100</v>
      </c>
      <c r="CD38">
        <f>Grandview_Inventory[[#This Row],[final_det]]+Grandview_Inventory[[#This Row],[final_res]]</f>
        <v>203500</v>
      </c>
      <c r="CE38">
        <f>Grandview_Inventory[[#This Row],[final_land]]+Grandview_Inventory[[#This Row],[final_imp]]+Grandview_Inventory[[#This Row],[crop_value]]</f>
        <v>284800</v>
      </c>
      <c r="CG38" t="str">
        <f t="shared" si="0"/>
        <v>update valuation set market_land =81300, market_bldg=203500, market_total =284800, market_mdno =401, market_date ='9/10/2023' where link_id = (select link_id from parcel where parcel_year = '2024' and parcel_id = '23091334006');</v>
      </c>
    </row>
    <row r="39" spans="1:85" x14ac:dyDescent="0.25">
      <c r="A39">
        <v>23091342003</v>
      </c>
      <c r="B39">
        <v>19.72</v>
      </c>
      <c r="C39" t="s">
        <v>129</v>
      </c>
      <c r="D39" t="s">
        <v>129</v>
      </c>
      <c r="E39" t="s">
        <v>53</v>
      </c>
      <c r="F39" t="s">
        <v>53</v>
      </c>
      <c r="G39">
        <v>4</v>
      </c>
      <c r="H39" t="s">
        <v>54</v>
      </c>
      <c r="I39">
        <v>260100</v>
      </c>
      <c r="J39">
        <v>139000</v>
      </c>
      <c r="K39">
        <v>19.72</v>
      </c>
      <c r="L39">
        <f>IF(Grandview_Inventory[[#This Row],[parcel_acres]]-Grandview_Inventory[[#This Row],[non_valued_acres]] =0,0,LN(Grandview_Inventory[[#This Row],[parcel_acres]]-Grandview_Inventory[[#This Row],[non_valued_acres]]))</f>
        <v>2.9816333491744893</v>
      </c>
      <c r="M39">
        <v>0</v>
      </c>
      <c r="N39">
        <v>0</v>
      </c>
      <c r="O39">
        <v>0</v>
      </c>
      <c r="P39">
        <v>13398.7528</v>
      </c>
      <c r="Q39">
        <v>63903</v>
      </c>
      <c r="R39">
        <f>(Grandview_Inventory[[#This Row],[ln_acres]]*Grandview_Inventory[[#This Row],[coeff]])+Grandview_Inventory[[#This Row],[const]]</f>
        <v>103853.16818582507</v>
      </c>
      <c r="S39" t="s">
        <v>142</v>
      </c>
      <c r="T39">
        <v>1</v>
      </c>
      <c r="U39" t="s">
        <v>96</v>
      </c>
      <c r="V39" t="s">
        <v>94</v>
      </c>
      <c r="W39">
        <v>0</v>
      </c>
      <c r="X39">
        <v>0</v>
      </c>
      <c r="Y39">
        <v>73</v>
      </c>
      <c r="Z39">
        <v>73</v>
      </c>
      <c r="AA39">
        <v>80</v>
      </c>
      <c r="AB39">
        <v>2000</v>
      </c>
      <c r="AC39">
        <v>2000</v>
      </c>
      <c r="AD39">
        <v>2000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5</v>
      </c>
      <c r="AQ39">
        <v>0</v>
      </c>
      <c r="AR39">
        <v>0</v>
      </c>
      <c r="AS39" t="s">
        <v>71</v>
      </c>
      <c r="AT39">
        <v>0</v>
      </c>
      <c r="AU39" t="s">
        <v>82</v>
      </c>
      <c r="AV39" t="s">
        <v>60</v>
      </c>
      <c r="AW39">
        <v>0</v>
      </c>
      <c r="AX39">
        <v>3</v>
      </c>
      <c r="AY39">
        <v>0</v>
      </c>
      <c r="AZ39">
        <v>127000</v>
      </c>
      <c r="BA39">
        <v>100</v>
      </c>
      <c r="BB39">
        <v>100</v>
      </c>
      <c r="BC39">
        <v>100</v>
      </c>
      <c r="BD39">
        <v>100</v>
      </c>
      <c r="BE39">
        <v>1</v>
      </c>
      <c r="BF39">
        <v>15000</v>
      </c>
      <c r="BG39">
        <v>1000</v>
      </c>
      <c r="BH39" s="6">
        <f>Grandview_Inventory[[#This Row],[land_extract]]*Lookups!$B$3</f>
        <v>120604.40381064455</v>
      </c>
      <c r="BI39" s="6">
        <f>IF(Grandview_Inventory[[#This Row],[bldg_style]]="",0,Lookups!$B$2)</f>
        <v>155833.95000000001</v>
      </c>
      <c r="BJ39" s="6">
        <f>_xlfn.IFNA(VLOOKUP(Grandview_Inventory[[#This Row],[quality]],Lookups!$H$2:$J$14,3,FALSE),0)</f>
        <v>-47308</v>
      </c>
      <c r="BK39" s="6">
        <f>_xlfn.IFNA(VLOOKUP(Grandview_Inventory[[#This Row],[condition]],Lookups!$H$17:$J$24,3,FALSE),0)</f>
        <v>-77566.475205170951</v>
      </c>
      <c r="BL39" s="6">
        <f>Grandview_Inventory[[#This Row],[Eff_Age]]*Lookups!$B$14</f>
        <v>-17459.161799999998</v>
      </c>
      <c r="BM39" s="6">
        <f>Grandview_Inventory[[#This Row],[living_area]]*Lookups!$B$15</f>
        <v>124761.70600000001</v>
      </c>
      <c r="BN39" s="6">
        <f>Grandview_Inventory[[#This Row],[Fin BSMT]]*Lookups!$B$16</f>
        <v>0</v>
      </c>
      <c r="BO39" s="6">
        <f>(Grandview_Inventory[[#This Row],[att_gar]]+Grandview_Inventory[[#This Row],[bltin_gar]])*Lookups!$B$17</f>
        <v>0</v>
      </c>
      <c r="BP39" s="6">
        <f>Grandview_Inventory[[#This Row],[Plumbing Fixtures]]*Lookups!$B$18</f>
        <v>10052.209000000001</v>
      </c>
      <c r="BQ39" s="6">
        <f>Grandview_Inventory[[#This Row],[detatched_value]]*Lookups!$B$19</f>
        <v>107544.24769999999</v>
      </c>
      <c r="BR39" s="6">
        <f>SUM(Grandview_Inventory[[#This Row],[Intercept]:[det_value]])*Grandview_Inventory[[#This Row],[res_pct]]</f>
        <v>255858.47569482907</v>
      </c>
      <c r="BS39" s="6">
        <f>Grandview_Inventory[[#This Row],[land_value]]</f>
        <v>120604.40381064455</v>
      </c>
      <c r="BT39" s="4">
        <f>_xlfn.IFNA(VLOOKUP(Grandview_Inventory[[#This Row],[quality]],Lookups!$A$26:$C$33,3,FALSE),1)</f>
        <v>1</v>
      </c>
      <c r="BU39" s="4">
        <f>_xlfn.IFNA(VLOOKUP(Grandview_Inventory[[#This Row],[condition]],Lookups!$A$37:$C$44,3,FALSE),1)</f>
        <v>0.97161819570155394</v>
      </c>
      <c r="BV39" s="4">
        <f>IF(Grandview_Inventory[[#This Row],[bldg_style]]="",1,_xlfn.IFNA(VLOOKUP(Grandview_Inventory[[#This Row],[decade]],Lookups!$F$29:$H$43,3,FALSE),1))</f>
        <v>0.98763256963907298</v>
      </c>
      <c r="BW39" s="4">
        <f>_xlfn.IFNA(VLOOKUP(Grandview_Inventory[[#This Row],[living_area_range]],Lookups!$F$47:$H$56,3,FALSE),1)</f>
        <v>0.96120133463014379</v>
      </c>
      <c r="BX39" s="4">
        <f>AVERAGE(Grandview_Inventory[[#This Row],[qual_adj]:[size_adj]])</f>
        <v>0.98011302499269259</v>
      </c>
      <c r="BY39" s="6">
        <f>IF(Grandview_Inventory[[#This Row],[pre_res]]&lt;0,0,Grandview_Inventory[[#This Row],[pre_res]]*Grandview_Inventory[[#This Row],[overall_adj]])</f>
        <v>250770.22458327824</v>
      </c>
      <c r="BZ39" s="6">
        <f>(Grandview_Inventory[[#This Row],[sum_land]]-IF(Grandview_Inventory[[#This Row],[no_utilities]]=1,12000,0))/IF(Grandview_Inventory[[#This Row],[unbuildable]]=1,2,1)</f>
        <v>120604.40381064455</v>
      </c>
      <c r="CA39">
        <f>IF(ROUND(Grandview_Inventory[[#This Row],[adj_land]]*Lookups!$M$28,-2)&lt;Grandview_Inventory[[#This Row],[min_land]],Grandview_Inventory[[#This Row],[min_land]],ROUND(Grandview_Inventory[[#This Row],[adj_land]]*Lookups!$M$28,-2))</f>
        <v>114600</v>
      </c>
      <c r="CB39">
        <f>ROUND(Grandview_Inventory[[#This Row],[det_value]]*Lookups!$M$28,-2)</f>
        <v>102200</v>
      </c>
      <c r="CC39">
        <f>IF(ROUND(Grandview_Inventory[[#This Row],[adj_res]]*Lookups!$M$28,-2)&lt;Grandview_Inventory[[#This Row],[min_res]],Grandview_Inventory[[#This Row],[min_res]],ROUND(Grandview_Inventory[[#This Row],[adj_res]]*Lookups!$M$28,-2))</f>
        <v>238200</v>
      </c>
      <c r="CD39">
        <f>Grandview_Inventory[[#This Row],[final_det]]+Grandview_Inventory[[#This Row],[final_res]]</f>
        <v>340400</v>
      </c>
      <c r="CE39">
        <f>Grandview_Inventory[[#This Row],[final_land]]+Grandview_Inventory[[#This Row],[final_imp]]+Grandview_Inventory[[#This Row],[crop_value]]</f>
        <v>455000</v>
      </c>
      <c r="CG39" t="str">
        <f t="shared" si="0"/>
        <v>update valuation set market_land =114600, market_bldg=340400, market_total =455000, market_mdno =401, market_date ='9/10/2023' where link_id = (select link_id from parcel where parcel_year = '2024' and parcel_id = '23091342003');</v>
      </c>
    </row>
    <row r="40" spans="1:85" x14ac:dyDescent="0.25">
      <c r="A40">
        <v>23091342005</v>
      </c>
      <c r="B40">
        <v>0.93</v>
      </c>
      <c r="C40">
        <v>40344</v>
      </c>
      <c r="D40" t="s">
        <v>129</v>
      </c>
      <c r="E40" t="s">
        <v>53</v>
      </c>
      <c r="F40" t="s">
        <v>53</v>
      </c>
      <c r="G40">
        <v>4</v>
      </c>
      <c r="H40" t="s">
        <v>54</v>
      </c>
      <c r="I40">
        <v>216200</v>
      </c>
      <c r="J40">
        <v>50300</v>
      </c>
      <c r="K40">
        <v>0.93</v>
      </c>
      <c r="L40">
        <f>IF(Grandview_Inventory[[#This Row],[parcel_acres]]-Grandview_Inventory[[#This Row],[non_valued_acres]] =0,0,LN(Grandview_Inventory[[#This Row],[parcel_acres]]-Grandview_Inventory[[#This Row],[non_valued_acres]]))</f>
        <v>-7.2570692834835374E-2</v>
      </c>
      <c r="M40">
        <v>0</v>
      </c>
      <c r="N40">
        <v>0</v>
      </c>
      <c r="O40">
        <v>0</v>
      </c>
      <c r="P40">
        <v>13398.7528</v>
      </c>
      <c r="Q40">
        <v>63903</v>
      </c>
      <c r="R40">
        <f>(Grandview_Inventory[[#This Row],[ln_acres]]*Grandview_Inventory[[#This Row],[coeff]])+Grandview_Inventory[[#This Row],[const]]</f>
        <v>62930.64322618131</v>
      </c>
      <c r="S40" t="s">
        <v>68</v>
      </c>
      <c r="T40">
        <v>2</v>
      </c>
      <c r="U40" t="s">
        <v>70</v>
      </c>
      <c r="V40" t="s">
        <v>69</v>
      </c>
      <c r="W40">
        <v>0</v>
      </c>
      <c r="X40">
        <v>0</v>
      </c>
      <c r="Y40">
        <v>58</v>
      </c>
      <c r="Z40">
        <v>105</v>
      </c>
      <c r="AA40">
        <v>110</v>
      </c>
      <c r="AB40">
        <v>2500</v>
      </c>
      <c r="AC40">
        <v>2328</v>
      </c>
      <c r="AD40">
        <v>1056</v>
      </c>
      <c r="AE40">
        <v>648</v>
      </c>
      <c r="AF40">
        <v>0</v>
      </c>
      <c r="AG40">
        <v>624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168</v>
      </c>
      <c r="AO40">
        <v>0</v>
      </c>
      <c r="AP40">
        <v>8</v>
      </c>
      <c r="AQ40">
        <v>0</v>
      </c>
      <c r="AR40">
        <v>0</v>
      </c>
      <c r="AS40" t="s">
        <v>58</v>
      </c>
      <c r="AT40">
        <v>1</v>
      </c>
      <c r="AU40" t="s">
        <v>63</v>
      </c>
      <c r="AV40" t="s">
        <v>81</v>
      </c>
      <c r="AW40">
        <v>1</v>
      </c>
      <c r="AX40">
        <v>2</v>
      </c>
      <c r="AY40">
        <v>0</v>
      </c>
      <c r="AZ40">
        <v>45100</v>
      </c>
      <c r="BA40">
        <v>100</v>
      </c>
      <c r="BB40">
        <v>100</v>
      </c>
      <c r="BC40">
        <v>100</v>
      </c>
      <c r="BD40">
        <v>100</v>
      </c>
      <c r="BE40">
        <v>1</v>
      </c>
      <c r="BF40">
        <v>15000</v>
      </c>
      <c r="BG40">
        <v>1000</v>
      </c>
      <c r="BH40" s="6">
        <f>Grandview_Inventory[[#This Row],[land_extract]]*Lookups!$B$3</f>
        <v>73081.186065827642</v>
      </c>
      <c r="BI40" s="6">
        <f>IF(Grandview_Inventory[[#This Row],[bldg_style]]="",0,Lookups!$B$2)</f>
        <v>155833.95000000001</v>
      </c>
      <c r="BJ40" s="6">
        <f>_xlfn.IFNA(VLOOKUP(Grandview_Inventory[[#This Row],[quality]],Lookups!$H$2:$J$14,3,FALSE),0)</f>
        <v>10733</v>
      </c>
      <c r="BK40" s="6">
        <f>_xlfn.IFNA(VLOOKUP(Grandview_Inventory[[#This Row],[condition]],Lookups!$H$17:$J$24,3,FALSE),0)</f>
        <v>-4503</v>
      </c>
      <c r="BL40" s="6">
        <f>Grandview_Inventory[[#This Row],[Eff_Age]]*Lookups!$B$14</f>
        <v>-13871.6628</v>
      </c>
      <c r="BM40" s="6">
        <f>Grandview_Inventory[[#This Row],[living_area]]*Lookups!$B$15</f>
        <v>145222.625784</v>
      </c>
      <c r="BN40" s="6">
        <f>Grandview_Inventory[[#This Row],[Fin BSMT]]*Lookups!$B$16</f>
        <v>-16909.925760000002</v>
      </c>
      <c r="BO40" s="6">
        <f>(Grandview_Inventory[[#This Row],[att_gar]]+Grandview_Inventory[[#This Row],[bltin_gar]])*Lookups!$B$17</f>
        <v>0</v>
      </c>
      <c r="BP40" s="6">
        <f>Grandview_Inventory[[#This Row],[Plumbing Fixtures]]*Lookups!$B$18</f>
        <v>16083.5344</v>
      </c>
      <c r="BQ40" s="6">
        <f>Grandview_Inventory[[#This Row],[detatched_value]]*Lookups!$B$19</f>
        <v>38190.91001</v>
      </c>
      <c r="BR40" s="6">
        <f>SUM(Grandview_Inventory[[#This Row],[Intercept]:[det_value]])*Grandview_Inventory[[#This Row],[res_pct]]</f>
        <v>330779.43163400004</v>
      </c>
      <c r="BS40" s="6">
        <f>Grandview_Inventory[[#This Row],[land_value]]</f>
        <v>73081.186065827642</v>
      </c>
      <c r="BT40" s="4">
        <f>_xlfn.IFNA(VLOOKUP(Grandview_Inventory[[#This Row],[quality]],Lookups!$A$26:$C$33,3,FALSE),1)</f>
        <v>0.98079741117310582</v>
      </c>
      <c r="BU40" s="4">
        <f>_xlfn.IFNA(VLOOKUP(Grandview_Inventory[[#This Row],[condition]],Lookups!$A$37:$C$44,3,FALSE),1)</f>
        <v>0.96469275950863709</v>
      </c>
      <c r="BV40" s="4">
        <f>IF(Grandview_Inventory[[#This Row],[bldg_style]]="",1,_xlfn.IFNA(VLOOKUP(Grandview_Inventory[[#This Row],[decade]],Lookups!$F$29:$H$43,3,FALSE),1))</f>
        <v>0.92255236374249616</v>
      </c>
      <c r="BW40" s="4">
        <f>_xlfn.IFNA(VLOOKUP(Grandview_Inventory[[#This Row],[living_area_range]],Lookups!$F$47:$H$56,3,FALSE),1)</f>
        <v>0.95799442568048754</v>
      </c>
      <c r="BX40" s="4">
        <f>AVERAGE(Grandview_Inventory[[#This Row],[qual_adj]:[size_adj]])</f>
        <v>0.95650924002618165</v>
      </c>
      <c r="BY40" s="6">
        <f>IF(Grandview_Inventory[[#This Row],[pre_res]]&lt;0,0,Grandview_Inventory[[#This Row],[pre_res]]*Grandview_Inventory[[#This Row],[overall_adj]])</f>
        <v>316393.58276852971</v>
      </c>
      <c r="BZ40" s="6">
        <f>(Grandview_Inventory[[#This Row],[sum_land]]-IF(Grandview_Inventory[[#This Row],[no_utilities]]=1,12000,0))/IF(Grandview_Inventory[[#This Row],[unbuildable]]=1,2,1)</f>
        <v>73081.186065827642</v>
      </c>
      <c r="CA40">
        <f>IF(ROUND(Grandview_Inventory[[#This Row],[adj_land]]*Lookups!$M$28,-2)&lt;Grandview_Inventory[[#This Row],[min_land]],Grandview_Inventory[[#This Row],[min_land]],ROUND(Grandview_Inventory[[#This Row],[adj_land]]*Lookups!$M$28,-2))</f>
        <v>69400</v>
      </c>
      <c r="CB40">
        <f>ROUND(Grandview_Inventory[[#This Row],[det_value]]*Lookups!$M$28,-2)</f>
        <v>36300</v>
      </c>
      <c r="CC40">
        <f>IF(ROUND(Grandview_Inventory[[#This Row],[adj_res]]*Lookups!$M$28,-2)&lt;Grandview_Inventory[[#This Row],[min_res]],Grandview_Inventory[[#This Row],[min_res]],ROUND(Grandview_Inventory[[#This Row],[adj_res]]*Lookups!$M$28,-2))</f>
        <v>300600</v>
      </c>
      <c r="CD40">
        <f>Grandview_Inventory[[#This Row],[final_det]]+Grandview_Inventory[[#This Row],[final_res]]</f>
        <v>336900</v>
      </c>
      <c r="CE40">
        <f>Grandview_Inventory[[#This Row],[final_land]]+Grandview_Inventory[[#This Row],[final_imp]]+Grandview_Inventory[[#This Row],[crop_value]]</f>
        <v>406300</v>
      </c>
      <c r="CG40" t="str">
        <f t="shared" si="0"/>
        <v>update valuation set market_land =69400, market_bldg=336900, market_total =406300, market_mdno =401, market_date ='9/10/2023' where link_id = (select link_id from parcel where parcel_year = '2024' and parcel_id = '23091342005');</v>
      </c>
    </row>
    <row r="41" spans="1:85" x14ac:dyDescent="0.25">
      <c r="A41">
        <v>23091344004</v>
      </c>
      <c r="B41">
        <v>4.58</v>
      </c>
      <c r="C41">
        <v>199498</v>
      </c>
      <c r="D41" t="s">
        <v>129</v>
      </c>
      <c r="E41" t="s">
        <v>53</v>
      </c>
      <c r="F41" t="s">
        <v>53</v>
      </c>
      <c r="G41">
        <v>4</v>
      </c>
      <c r="H41" t="s">
        <v>54</v>
      </c>
      <c r="I41">
        <v>273800</v>
      </c>
      <c r="J41">
        <v>53600</v>
      </c>
      <c r="K41">
        <v>4.58</v>
      </c>
      <c r="L41">
        <f>IF(Grandview_Inventory[[#This Row],[parcel_acres]]-Grandview_Inventory[[#This Row],[non_valued_acres]] =0,0,LN(Grandview_Inventory[[#This Row],[parcel_acres]]-Grandview_Inventory[[#This Row],[non_valued_acres]]))</f>
        <v>1.5216989981260935</v>
      </c>
      <c r="M41">
        <v>0</v>
      </c>
      <c r="N41">
        <v>0</v>
      </c>
      <c r="O41">
        <v>0</v>
      </c>
      <c r="P41">
        <v>13398.7528</v>
      </c>
      <c r="Q41">
        <v>63903</v>
      </c>
      <c r="R41">
        <f>(Grandview_Inventory[[#This Row],[ln_acres]]*Grandview_Inventory[[#This Row],[coeff]])+Grandview_Inventory[[#This Row],[const]]</f>
        <v>84291.868711899195</v>
      </c>
      <c r="S41" t="s">
        <v>61</v>
      </c>
      <c r="T41">
        <v>1</v>
      </c>
      <c r="U41" t="s">
        <v>65</v>
      </c>
      <c r="V41" t="s">
        <v>69</v>
      </c>
      <c r="W41">
        <v>0</v>
      </c>
      <c r="X41">
        <v>0</v>
      </c>
      <c r="Y41">
        <v>50</v>
      </c>
      <c r="Z41">
        <v>76</v>
      </c>
      <c r="AA41">
        <v>80</v>
      </c>
      <c r="AB41">
        <v>2500</v>
      </c>
      <c r="AC41">
        <v>2170</v>
      </c>
      <c r="AD41">
        <v>2170</v>
      </c>
      <c r="AE41">
        <v>0</v>
      </c>
      <c r="AF41">
        <v>0</v>
      </c>
      <c r="AG41">
        <v>0</v>
      </c>
      <c r="AH41">
        <v>400</v>
      </c>
      <c r="AI41">
        <v>240</v>
      </c>
      <c r="AJ41">
        <v>0</v>
      </c>
      <c r="AK41">
        <v>0</v>
      </c>
      <c r="AL41">
        <v>264</v>
      </c>
      <c r="AM41">
        <v>0</v>
      </c>
      <c r="AN41">
        <v>0</v>
      </c>
      <c r="AO41">
        <v>264</v>
      </c>
      <c r="AP41">
        <v>8</v>
      </c>
      <c r="AQ41">
        <v>0</v>
      </c>
      <c r="AR41">
        <v>1</v>
      </c>
      <c r="AS41" t="s">
        <v>76</v>
      </c>
      <c r="AT41">
        <v>1</v>
      </c>
      <c r="AU41" t="s">
        <v>59</v>
      </c>
      <c r="AV41" t="s">
        <v>60</v>
      </c>
      <c r="AW41">
        <v>1</v>
      </c>
      <c r="AX41">
        <v>4</v>
      </c>
      <c r="AY41">
        <v>0</v>
      </c>
      <c r="AZ41">
        <v>30900</v>
      </c>
      <c r="BA41">
        <v>100</v>
      </c>
      <c r="BB41">
        <v>100</v>
      </c>
      <c r="BC41">
        <v>100</v>
      </c>
      <c r="BD41">
        <v>100</v>
      </c>
      <c r="BE41">
        <v>1</v>
      </c>
      <c r="BF41">
        <v>15000</v>
      </c>
      <c r="BG41">
        <v>1000</v>
      </c>
      <c r="BH41" s="6">
        <f>Grandview_Inventory[[#This Row],[land_extract]]*Lookups!$B$3</f>
        <v>97887.919547083016</v>
      </c>
      <c r="BI41" s="6">
        <f>IF(Grandview_Inventory[[#This Row],[bldg_style]]="",0,Lookups!$B$2)</f>
        <v>155833.95000000001</v>
      </c>
      <c r="BJ41" s="6">
        <f>_xlfn.IFNA(VLOOKUP(Grandview_Inventory[[#This Row],[quality]],Lookups!$H$2:$J$14,3,FALSE),0)</f>
        <v>2251</v>
      </c>
      <c r="BK41" s="6">
        <f>_xlfn.IFNA(VLOOKUP(Grandview_Inventory[[#This Row],[condition]],Lookups!$H$17:$J$24,3,FALSE),0)</f>
        <v>-4503</v>
      </c>
      <c r="BL41" s="6">
        <f>Grandview_Inventory[[#This Row],[Eff_Age]]*Lookups!$B$14</f>
        <v>-11958.33</v>
      </c>
      <c r="BM41" s="6">
        <f>Grandview_Inventory[[#This Row],[living_area]]*Lookups!$B$15</f>
        <v>135366.45100999999</v>
      </c>
      <c r="BN41" s="6">
        <f>Grandview_Inventory[[#This Row],[Fin BSMT]]*Lookups!$B$16</f>
        <v>0</v>
      </c>
      <c r="BO41" s="6">
        <f>(Grandview_Inventory[[#This Row],[att_gar]]+Grandview_Inventory[[#This Row],[bltin_gar]])*Lookups!$B$17</f>
        <v>21004.904880000002</v>
      </c>
      <c r="BP41" s="6">
        <f>Grandview_Inventory[[#This Row],[Plumbing Fixtures]]*Lookups!$B$18</f>
        <v>16083.5344</v>
      </c>
      <c r="BQ41" s="6">
        <f>Grandview_Inventory[[#This Row],[detatched_value]]*Lookups!$B$19</f>
        <v>26166.277589999998</v>
      </c>
      <c r="BR41" s="6">
        <f>SUM(Grandview_Inventory[[#This Row],[Intercept]:[det_value]])*Grandview_Inventory[[#This Row],[res_pct]]</f>
        <v>340244.78788000002</v>
      </c>
      <c r="BS41" s="6">
        <f>Grandview_Inventory[[#This Row],[land_value]]</f>
        <v>97887.919547083016</v>
      </c>
      <c r="BT41" s="4">
        <f>_xlfn.IFNA(VLOOKUP(Grandview_Inventory[[#This Row],[quality]],Lookups!$A$26:$C$33,3,FALSE),1)</f>
        <v>0.98763855981004833</v>
      </c>
      <c r="BU41" s="4">
        <f>_xlfn.IFNA(VLOOKUP(Grandview_Inventory[[#This Row],[condition]],Lookups!$A$37:$C$44,3,FALSE),1)</f>
        <v>0.96469275950863709</v>
      </c>
      <c r="BV41" s="4">
        <f>IF(Grandview_Inventory[[#This Row],[bldg_style]]="",1,_xlfn.IFNA(VLOOKUP(Grandview_Inventory[[#This Row],[decade]],Lookups!$F$29:$H$43,3,FALSE),1))</f>
        <v>0.98763256963907298</v>
      </c>
      <c r="BW41" s="4">
        <f>_xlfn.IFNA(VLOOKUP(Grandview_Inventory[[#This Row],[living_area_range]],Lookups!$F$47:$H$56,3,FALSE),1)</f>
        <v>0.95799442568048754</v>
      </c>
      <c r="BX41" s="4">
        <f>AVERAGE(Grandview_Inventory[[#This Row],[qual_adj]:[size_adj]])</f>
        <v>0.97448957865956143</v>
      </c>
      <c r="BY41" s="6">
        <f>IF(Grandview_Inventory[[#This Row],[pre_res]]&lt;0,0,Grandview_Inventory[[#This Row],[pre_res]]*Grandview_Inventory[[#This Row],[overall_adj]])</f>
        <v>331564.99998229305</v>
      </c>
      <c r="BZ41" s="6">
        <f>(Grandview_Inventory[[#This Row],[sum_land]]-IF(Grandview_Inventory[[#This Row],[no_utilities]]=1,12000,0))/IF(Grandview_Inventory[[#This Row],[unbuildable]]=1,2,1)</f>
        <v>97887.919547083016</v>
      </c>
      <c r="CA41">
        <f>IF(ROUND(Grandview_Inventory[[#This Row],[adj_land]]*Lookups!$M$28,-2)&lt;Grandview_Inventory[[#This Row],[min_land]],Grandview_Inventory[[#This Row],[min_land]],ROUND(Grandview_Inventory[[#This Row],[adj_land]]*Lookups!$M$28,-2))</f>
        <v>93000</v>
      </c>
      <c r="CB41">
        <f>ROUND(Grandview_Inventory[[#This Row],[det_value]]*Lookups!$M$28,-2)</f>
        <v>24900</v>
      </c>
      <c r="CC41">
        <f>IF(ROUND(Grandview_Inventory[[#This Row],[adj_res]]*Lookups!$M$28,-2)&lt;Grandview_Inventory[[#This Row],[min_res]],Grandview_Inventory[[#This Row],[min_res]],ROUND(Grandview_Inventory[[#This Row],[adj_res]]*Lookups!$M$28,-2))</f>
        <v>315000</v>
      </c>
      <c r="CD41">
        <f>Grandview_Inventory[[#This Row],[final_det]]+Grandview_Inventory[[#This Row],[final_res]]</f>
        <v>339900</v>
      </c>
      <c r="CE41">
        <f>Grandview_Inventory[[#This Row],[final_land]]+Grandview_Inventory[[#This Row],[final_imp]]+Grandview_Inventory[[#This Row],[crop_value]]</f>
        <v>432900</v>
      </c>
      <c r="CG41" t="str">
        <f t="shared" si="0"/>
        <v>update valuation set market_land =93000, market_bldg=339900, market_total =432900, market_mdno =401, market_date ='9/10/2023' where link_id = (select link_id from parcel where parcel_year = '2024' and parcel_id = '23091344004');</v>
      </c>
    </row>
    <row r="42" spans="1:85" x14ac:dyDescent="0.25">
      <c r="A42">
        <v>23091344402</v>
      </c>
      <c r="B42">
        <v>0.54</v>
      </c>
      <c r="C42">
        <v>23708</v>
      </c>
      <c r="D42" t="s">
        <v>129</v>
      </c>
      <c r="E42" t="s">
        <v>53</v>
      </c>
      <c r="F42" t="s">
        <v>53</v>
      </c>
      <c r="G42">
        <v>4</v>
      </c>
      <c r="H42" t="s">
        <v>54</v>
      </c>
      <c r="I42">
        <v>188400</v>
      </c>
      <c r="J42">
        <v>41900</v>
      </c>
      <c r="K42">
        <v>0.54</v>
      </c>
      <c r="L42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42">
        <v>0</v>
      </c>
      <c r="N42">
        <v>0</v>
      </c>
      <c r="O42">
        <v>0</v>
      </c>
      <c r="P42">
        <v>13398.7528</v>
      </c>
      <c r="Q42">
        <v>63903</v>
      </c>
      <c r="R42">
        <f>(Grandview_Inventory[[#This Row],[ln_acres]]*Grandview_Inventory[[#This Row],[coeff]])+Grandview_Inventory[[#This Row],[const]]</f>
        <v>55646.874239073943</v>
      </c>
      <c r="S42" t="s">
        <v>68</v>
      </c>
      <c r="T42">
        <v>1</v>
      </c>
      <c r="U42" t="s">
        <v>65</v>
      </c>
      <c r="V42" t="s">
        <v>69</v>
      </c>
      <c r="W42">
        <v>0</v>
      </c>
      <c r="X42">
        <v>0</v>
      </c>
      <c r="Y42">
        <v>51</v>
      </c>
      <c r="Z42">
        <v>83</v>
      </c>
      <c r="AA42">
        <v>90</v>
      </c>
      <c r="AB42">
        <v>2000</v>
      </c>
      <c r="AC42">
        <v>1758</v>
      </c>
      <c r="AD42">
        <v>1758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388</v>
      </c>
      <c r="AN42">
        <v>180</v>
      </c>
      <c r="AO42">
        <v>388</v>
      </c>
      <c r="AP42">
        <v>8</v>
      </c>
      <c r="AQ42">
        <v>0</v>
      </c>
      <c r="AR42">
        <v>1</v>
      </c>
      <c r="AS42" t="s">
        <v>58</v>
      </c>
      <c r="AT42">
        <v>1</v>
      </c>
      <c r="AU42" t="s">
        <v>59</v>
      </c>
      <c r="AV42" t="s">
        <v>60</v>
      </c>
      <c r="AW42">
        <v>1</v>
      </c>
      <c r="AX42">
        <v>3</v>
      </c>
      <c r="AY42">
        <v>0</v>
      </c>
      <c r="AZ42">
        <v>13100</v>
      </c>
      <c r="BA42">
        <v>100</v>
      </c>
      <c r="BB42">
        <v>100</v>
      </c>
      <c r="BC42">
        <v>100</v>
      </c>
      <c r="BD42">
        <v>100</v>
      </c>
      <c r="BE42">
        <v>1</v>
      </c>
      <c r="BF42">
        <v>15000</v>
      </c>
      <c r="BG42">
        <v>1000</v>
      </c>
      <c r="BH42" s="6">
        <f>Grandview_Inventory[[#This Row],[land_extract]]*Lookups!$B$3</f>
        <v>64622.564807276125</v>
      </c>
      <c r="BI42" s="6">
        <f>IF(Grandview_Inventory[[#This Row],[bldg_style]]="",0,Lookups!$B$2)</f>
        <v>155833.95000000001</v>
      </c>
      <c r="BJ42" s="6">
        <f>_xlfn.IFNA(VLOOKUP(Grandview_Inventory[[#This Row],[quality]],Lookups!$H$2:$J$14,3,FALSE),0)</f>
        <v>2251</v>
      </c>
      <c r="BK42" s="6">
        <f>_xlfn.IFNA(VLOOKUP(Grandview_Inventory[[#This Row],[condition]],Lookups!$H$17:$J$24,3,FALSE),0)</f>
        <v>-4503</v>
      </c>
      <c r="BL42" s="6">
        <f>Grandview_Inventory[[#This Row],[Eff_Age]]*Lookups!$B$14</f>
        <v>-12197.496599999999</v>
      </c>
      <c r="BM42" s="6">
        <f>Grandview_Inventory[[#This Row],[living_area]]*Lookups!$B$15</f>
        <v>109665.53957400001</v>
      </c>
      <c r="BN42" s="6">
        <f>Grandview_Inventory[[#This Row],[Fin BSMT]]*Lookups!$B$16</f>
        <v>0</v>
      </c>
      <c r="BO42" s="6">
        <f>(Grandview_Inventory[[#This Row],[att_gar]]+Grandview_Inventory[[#This Row],[bltin_gar]])*Lookups!$B$17</f>
        <v>0</v>
      </c>
      <c r="BP42" s="6">
        <f>Grandview_Inventory[[#This Row],[Plumbing Fixtures]]*Lookups!$B$18</f>
        <v>16083.5344</v>
      </c>
      <c r="BQ42" s="6">
        <f>Grandview_Inventory[[#This Row],[detatched_value]]*Lookups!$B$19</f>
        <v>11093.14681</v>
      </c>
      <c r="BR42" s="6">
        <f>SUM(Grandview_Inventory[[#This Row],[Intercept]:[det_value]])*Grandview_Inventory[[#This Row],[res_pct]]</f>
        <v>278226.674184</v>
      </c>
      <c r="BS42" s="6">
        <f>Grandview_Inventory[[#This Row],[land_value]]</f>
        <v>64622.564807276125</v>
      </c>
      <c r="BT42" s="4">
        <f>_xlfn.IFNA(VLOOKUP(Grandview_Inventory[[#This Row],[quality]],Lookups!$A$26:$C$33,3,FALSE),1)</f>
        <v>0.98763855981004833</v>
      </c>
      <c r="BU42" s="4">
        <f>_xlfn.IFNA(VLOOKUP(Grandview_Inventory[[#This Row],[condition]],Lookups!$A$37:$C$44,3,FALSE),1)</f>
        <v>0.96469275950863709</v>
      </c>
      <c r="BV42" s="4">
        <f>IF(Grandview_Inventory[[#This Row],[bldg_style]]="",1,_xlfn.IFNA(VLOOKUP(Grandview_Inventory[[#This Row],[decade]],Lookups!$F$29:$H$43,3,FALSE),1))</f>
        <v>0.94161750052457416</v>
      </c>
      <c r="BW42" s="4">
        <f>_xlfn.IFNA(VLOOKUP(Grandview_Inventory[[#This Row],[living_area_range]],Lookups!$F$47:$H$56,3,FALSE),1)</f>
        <v>0.96120133463014379</v>
      </c>
      <c r="BX42" s="4">
        <f>AVERAGE(Grandview_Inventory[[#This Row],[qual_adj]:[size_adj]])</f>
        <v>0.96378753861835076</v>
      </c>
      <c r="BY42" s="6">
        <f>IF(Grandview_Inventory[[#This Row],[pre_res]]&lt;0,0,Grandview_Inventory[[#This Row],[pre_res]]*Grandview_Inventory[[#This Row],[overall_adj]])</f>
        <v>268151.40148976719</v>
      </c>
      <c r="BZ42" s="6">
        <f>(Grandview_Inventory[[#This Row],[sum_land]]-IF(Grandview_Inventory[[#This Row],[no_utilities]]=1,12000,0))/IF(Grandview_Inventory[[#This Row],[unbuildable]]=1,2,1)</f>
        <v>64622.564807276125</v>
      </c>
      <c r="CA42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42">
        <f>ROUND(Grandview_Inventory[[#This Row],[det_value]]*Lookups!$M$28,-2)</f>
        <v>10500</v>
      </c>
      <c r="CC42">
        <f>IF(ROUND(Grandview_Inventory[[#This Row],[adj_res]]*Lookups!$M$28,-2)&lt;Grandview_Inventory[[#This Row],[min_res]],Grandview_Inventory[[#This Row],[min_res]],ROUND(Grandview_Inventory[[#This Row],[adj_res]]*Lookups!$M$28,-2))</f>
        <v>254700</v>
      </c>
      <c r="CD42">
        <f>Grandview_Inventory[[#This Row],[final_det]]+Grandview_Inventory[[#This Row],[final_res]]</f>
        <v>265200</v>
      </c>
      <c r="CE42">
        <f>Grandview_Inventory[[#This Row],[final_land]]+Grandview_Inventory[[#This Row],[final_imp]]+Grandview_Inventory[[#This Row],[crop_value]]</f>
        <v>326600</v>
      </c>
      <c r="CG42" t="str">
        <f t="shared" si="0"/>
        <v>update valuation set market_land =61400, market_bldg=265200, market_total =326600, market_mdno =401, market_date ='9/10/2023' where link_id = (select link_id from parcel where parcel_year = '2024' and parcel_id = '23091344402');</v>
      </c>
    </row>
    <row r="43" spans="1:85" x14ac:dyDescent="0.25">
      <c r="A43">
        <v>23091412402</v>
      </c>
      <c r="B43">
        <v>1.23</v>
      </c>
      <c r="C43" t="s">
        <v>129</v>
      </c>
      <c r="D43" t="s">
        <v>129</v>
      </c>
      <c r="E43" t="s">
        <v>53</v>
      </c>
      <c r="F43" t="s">
        <v>53</v>
      </c>
      <c r="G43">
        <v>4</v>
      </c>
      <c r="H43" t="s">
        <v>54</v>
      </c>
      <c r="I43">
        <v>182100</v>
      </c>
      <c r="J43">
        <v>46100</v>
      </c>
      <c r="K43">
        <v>1.23</v>
      </c>
      <c r="L43">
        <f>IF(Grandview_Inventory[[#This Row],[parcel_acres]]-Grandview_Inventory[[#This Row],[non_valued_acres]] =0,0,LN(Grandview_Inventory[[#This Row],[parcel_acres]]-Grandview_Inventory[[#This Row],[non_valued_acres]]))</f>
        <v>0.20701416938432612</v>
      </c>
      <c r="M43">
        <v>0</v>
      </c>
      <c r="N43">
        <v>0</v>
      </c>
      <c r="O43">
        <v>0</v>
      </c>
      <c r="P43">
        <v>13398.7528</v>
      </c>
      <c r="Q43">
        <v>63903</v>
      </c>
      <c r="R43">
        <f>(Grandview_Inventory[[#This Row],[ln_acres]]*Grandview_Inventory[[#This Row],[coeff]])+Grandview_Inventory[[#This Row],[const]]</f>
        <v>66676.73168167792</v>
      </c>
      <c r="S43" t="s">
        <v>68</v>
      </c>
      <c r="T43">
        <v>1</v>
      </c>
      <c r="U43" t="s">
        <v>65</v>
      </c>
      <c r="V43" t="s">
        <v>69</v>
      </c>
      <c r="W43">
        <v>0</v>
      </c>
      <c r="X43">
        <v>0</v>
      </c>
      <c r="Y43">
        <v>58</v>
      </c>
      <c r="Z43">
        <v>105</v>
      </c>
      <c r="AA43">
        <v>110</v>
      </c>
      <c r="AB43">
        <v>2000</v>
      </c>
      <c r="AC43">
        <v>1916</v>
      </c>
      <c r="AD43">
        <v>1559</v>
      </c>
      <c r="AE43">
        <v>0</v>
      </c>
      <c r="AF43">
        <v>0</v>
      </c>
      <c r="AG43">
        <v>357</v>
      </c>
      <c r="AH43">
        <v>724</v>
      </c>
      <c r="AI43">
        <v>0</v>
      </c>
      <c r="AJ43">
        <v>0</v>
      </c>
      <c r="AK43">
        <v>0</v>
      </c>
      <c r="AL43">
        <v>0</v>
      </c>
      <c r="AM43">
        <v>318</v>
      </c>
      <c r="AN43">
        <v>200</v>
      </c>
      <c r="AO43">
        <v>318</v>
      </c>
      <c r="AP43">
        <v>8</v>
      </c>
      <c r="AQ43">
        <v>0</v>
      </c>
      <c r="AR43">
        <v>1</v>
      </c>
      <c r="AS43" t="s">
        <v>76</v>
      </c>
      <c r="AT43">
        <v>1</v>
      </c>
      <c r="AU43" t="s">
        <v>75</v>
      </c>
      <c r="AV43" t="s">
        <v>60</v>
      </c>
      <c r="AW43">
        <v>0</v>
      </c>
      <c r="AX43">
        <v>2</v>
      </c>
      <c r="AY43">
        <v>0</v>
      </c>
      <c r="AZ43">
        <v>11300</v>
      </c>
      <c r="BA43">
        <v>100</v>
      </c>
      <c r="BB43">
        <v>100</v>
      </c>
      <c r="BC43">
        <v>100</v>
      </c>
      <c r="BD43">
        <v>100</v>
      </c>
      <c r="BE43">
        <v>1</v>
      </c>
      <c r="BF43">
        <v>15000</v>
      </c>
      <c r="BG43">
        <v>1000</v>
      </c>
      <c r="BH43" s="6">
        <f>Grandview_Inventory[[#This Row],[land_extract]]*Lookups!$B$3</f>
        <v>77431.508474757022</v>
      </c>
      <c r="BI43" s="6">
        <f>IF(Grandview_Inventory[[#This Row],[bldg_style]]="",0,Lookups!$B$2)</f>
        <v>155833.95000000001</v>
      </c>
      <c r="BJ43" s="6">
        <f>_xlfn.IFNA(VLOOKUP(Grandview_Inventory[[#This Row],[quality]],Lookups!$H$2:$J$14,3,FALSE),0)</f>
        <v>2251</v>
      </c>
      <c r="BK43" s="6">
        <f>_xlfn.IFNA(VLOOKUP(Grandview_Inventory[[#This Row],[condition]],Lookups!$H$17:$J$24,3,FALSE),0)</f>
        <v>-4503</v>
      </c>
      <c r="BL43" s="6">
        <f>Grandview_Inventory[[#This Row],[Eff_Age]]*Lookups!$B$14</f>
        <v>-13871.6628</v>
      </c>
      <c r="BM43" s="6">
        <f>Grandview_Inventory[[#This Row],[living_area]]*Lookups!$B$15</f>
        <v>119521.71434800001</v>
      </c>
      <c r="BN43" s="6">
        <f>Grandview_Inventory[[#This Row],[Fin BSMT]]*Lookups!$B$16</f>
        <v>-9674.4286800000009</v>
      </c>
      <c r="BO43" s="6">
        <f>(Grandview_Inventory[[#This Row],[att_gar]]+Grandview_Inventory[[#This Row],[bltin_gar]])*Lookups!$B$17</f>
        <v>0</v>
      </c>
      <c r="BP43" s="6">
        <f>Grandview_Inventory[[#This Row],[Plumbing Fixtures]]*Lookups!$B$18</f>
        <v>16083.5344</v>
      </c>
      <c r="BQ43" s="6">
        <f>Grandview_Inventory[[#This Row],[detatched_value]]*Lookups!$B$19</f>
        <v>9568.8976299999995</v>
      </c>
      <c r="BR43" s="6">
        <f>SUM(Grandview_Inventory[[#This Row],[Intercept]:[det_value]])*Grandview_Inventory[[#This Row],[res_pct]]</f>
        <v>275210.00489800004</v>
      </c>
      <c r="BS43" s="6">
        <f>Grandview_Inventory[[#This Row],[land_value]]</f>
        <v>77431.508474757022</v>
      </c>
      <c r="BT43" s="4">
        <f>_xlfn.IFNA(VLOOKUP(Grandview_Inventory[[#This Row],[quality]],Lookups!$A$26:$C$33,3,FALSE),1)</f>
        <v>0.98763855981004833</v>
      </c>
      <c r="BU43" s="4">
        <f>_xlfn.IFNA(VLOOKUP(Grandview_Inventory[[#This Row],[condition]],Lookups!$A$37:$C$44,3,FALSE),1)</f>
        <v>0.96469275950863709</v>
      </c>
      <c r="BV43" s="4">
        <f>IF(Grandview_Inventory[[#This Row],[bldg_style]]="",1,_xlfn.IFNA(VLOOKUP(Grandview_Inventory[[#This Row],[decade]],Lookups!$F$29:$H$43,3,FALSE),1))</f>
        <v>0.92255236374249616</v>
      </c>
      <c r="BW43" s="4">
        <f>_xlfn.IFNA(VLOOKUP(Grandview_Inventory[[#This Row],[living_area_range]],Lookups!$F$47:$H$56,3,FALSE),1)</f>
        <v>0.96120133463014379</v>
      </c>
      <c r="BX43" s="4">
        <f>AVERAGE(Grandview_Inventory[[#This Row],[qual_adj]:[size_adj]])</f>
        <v>0.95902125442283137</v>
      </c>
      <c r="BY43" s="6">
        <f>IF(Grandview_Inventory[[#This Row],[pre_res]]&lt;0,0,Grandview_Inventory[[#This Row],[pre_res]]*Grandview_Inventory[[#This Row],[overall_adj]])</f>
        <v>263932.24412699358</v>
      </c>
      <c r="BZ43" s="6">
        <f>(Grandview_Inventory[[#This Row],[sum_land]]-IF(Grandview_Inventory[[#This Row],[no_utilities]]=1,12000,0))/IF(Grandview_Inventory[[#This Row],[unbuildable]]=1,2,1)</f>
        <v>77431.508474757022</v>
      </c>
      <c r="CA43">
        <f>IF(ROUND(Grandview_Inventory[[#This Row],[adj_land]]*Lookups!$M$28,-2)&lt;Grandview_Inventory[[#This Row],[min_land]],Grandview_Inventory[[#This Row],[min_land]],ROUND(Grandview_Inventory[[#This Row],[adj_land]]*Lookups!$M$28,-2))</f>
        <v>73600</v>
      </c>
      <c r="CB43">
        <f>ROUND(Grandview_Inventory[[#This Row],[det_value]]*Lookups!$M$28,-2)</f>
        <v>9100</v>
      </c>
      <c r="CC43">
        <f>IF(ROUND(Grandview_Inventory[[#This Row],[adj_res]]*Lookups!$M$28,-2)&lt;Grandview_Inventory[[#This Row],[min_res]],Grandview_Inventory[[#This Row],[min_res]],ROUND(Grandview_Inventory[[#This Row],[adj_res]]*Lookups!$M$28,-2))</f>
        <v>250700</v>
      </c>
      <c r="CD43">
        <f>Grandview_Inventory[[#This Row],[final_det]]+Grandview_Inventory[[#This Row],[final_res]]</f>
        <v>259800</v>
      </c>
      <c r="CE43">
        <f>Grandview_Inventory[[#This Row],[final_land]]+Grandview_Inventory[[#This Row],[final_imp]]+Grandview_Inventory[[#This Row],[crop_value]]</f>
        <v>333400</v>
      </c>
      <c r="CG43" t="str">
        <f t="shared" si="0"/>
        <v>update valuation set market_land =73600, market_bldg=259800, market_total =333400, market_mdno =401, market_date ='9/10/2023' where link_id = (select link_id from parcel where parcel_year = '2024' and parcel_id = '23091412402');</v>
      </c>
    </row>
    <row r="44" spans="1:85" x14ac:dyDescent="0.25">
      <c r="A44">
        <v>23091413003</v>
      </c>
      <c r="B44">
        <v>10.87</v>
      </c>
      <c r="C44" t="s">
        <v>129</v>
      </c>
      <c r="D44" t="s">
        <v>129</v>
      </c>
      <c r="E44" t="s">
        <v>53</v>
      </c>
      <c r="F44" t="s">
        <v>53</v>
      </c>
      <c r="G44">
        <v>4</v>
      </c>
      <c r="H44" t="s">
        <v>54</v>
      </c>
      <c r="I44">
        <v>263400</v>
      </c>
      <c r="J44">
        <v>92000</v>
      </c>
      <c r="K44">
        <v>10.87</v>
      </c>
      <c r="L44">
        <f>IF(Grandview_Inventory[[#This Row],[parcel_acres]]-Grandview_Inventory[[#This Row],[non_valued_acres]] =0,0,LN(Grandview_Inventory[[#This Row],[parcel_acres]]-Grandview_Inventory[[#This Row],[non_valued_acres]]))</f>
        <v>2.3860067011331179</v>
      </c>
      <c r="M44">
        <v>0</v>
      </c>
      <c r="N44">
        <v>0</v>
      </c>
      <c r="O44">
        <v>0</v>
      </c>
      <c r="P44">
        <v>13398.7528</v>
      </c>
      <c r="Q44">
        <v>63903</v>
      </c>
      <c r="R44">
        <f>(Grandview_Inventory[[#This Row],[ln_acres]]*Grandview_Inventory[[#This Row],[coeff]])+Grandview_Inventory[[#This Row],[const]]</f>
        <v>95872.513967626131</v>
      </c>
      <c r="S44" t="s">
        <v>61</v>
      </c>
      <c r="T44">
        <v>1</v>
      </c>
      <c r="U44" t="s">
        <v>70</v>
      </c>
      <c r="V44" t="s">
        <v>69</v>
      </c>
      <c r="W44">
        <v>0</v>
      </c>
      <c r="X44">
        <v>0</v>
      </c>
      <c r="Y44">
        <v>50</v>
      </c>
      <c r="Z44">
        <v>73</v>
      </c>
      <c r="AA44">
        <v>80</v>
      </c>
      <c r="AB44">
        <v>2000</v>
      </c>
      <c r="AC44">
        <v>1724</v>
      </c>
      <c r="AD44">
        <v>1724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72</v>
      </c>
      <c r="AP44">
        <v>5</v>
      </c>
      <c r="AQ44">
        <v>0</v>
      </c>
      <c r="AR44">
        <v>1</v>
      </c>
      <c r="AS44" t="s">
        <v>58</v>
      </c>
      <c r="AT44">
        <v>1</v>
      </c>
      <c r="AU44" t="s">
        <v>75</v>
      </c>
      <c r="AV44" t="s">
        <v>60</v>
      </c>
      <c r="AW44">
        <v>0</v>
      </c>
      <c r="AX44">
        <v>3</v>
      </c>
      <c r="AY44">
        <v>34300</v>
      </c>
      <c r="AZ44">
        <v>39800</v>
      </c>
      <c r="BA44">
        <v>100</v>
      </c>
      <c r="BB44">
        <v>100</v>
      </c>
      <c r="BC44">
        <v>100</v>
      </c>
      <c r="BD44">
        <v>100</v>
      </c>
      <c r="BE44">
        <v>1</v>
      </c>
      <c r="BF44">
        <v>15000</v>
      </c>
      <c r="BG44">
        <v>1000</v>
      </c>
      <c r="BH44" s="6">
        <f>Grandview_Inventory[[#This Row],[land_extract]]*Lookups!$B$3</f>
        <v>111336.49161481651</v>
      </c>
      <c r="BI44" s="6">
        <f>IF(Grandview_Inventory[[#This Row],[bldg_style]]="",0,Lookups!$B$2)</f>
        <v>155833.95000000001</v>
      </c>
      <c r="BJ44" s="6">
        <f>_xlfn.IFNA(VLOOKUP(Grandview_Inventory[[#This Row],[quality]],Lookups!$H$2:$J$14,3,FALSE),0)</f>
        <v>10733</v>
      </c>
      <c r="BK44" s="6">
        <f>_xlfn.IFNA(VLOOKUP(Grandview_Inventory[[#This Row],[condition]],Lookups!$H$17:$J$24,3,FALSE),0)</f>
        <v>-4503</v>
      </c>
      <c r="BL44" s="6">
        <f>Grandview_Inventory[[#This Row],[Eff_Age]]*Lookups!$B$14</f>
        <v>-11958.33</v>
      </c>
      <c r="BM44" s="6">
        <f>Grandview_Inventory[[#This Row],[living_area]]*Lookups!$B$15</f>
        <v>107544.590572</v>
      </c>
      <c r="BN44" s="6">
        <f>Grandview_Inventory[[#This Row],[Fin BSMT]]*Lookups!$B$16</f>
        <v>0</v>
      </c>
      <c r="BO44" s="6">
        <f>(Grandview_Inventory[[#This Row],[att_gar]]+Grandview_Inventory[[#This Row],[bltin_gar]])*Lookups!$B$17</f>
        <v>0</v>
      </c>
      <c r="BP44" s="6">
        <f>Grandview_Inventory[[#This Row],[Plumbing Fixtures]]*Lookups!$B$18</f>
        <v>10052.209000000001</v>
      </c>
      <c r="BQ44" s="6">
        <f>Grandview_Inventory[[#This Row],[detatched_value]]*Lookups!$B$19</f>
        <v>33702.842980000001</v>
      </c>
      <c r="BR44" s="6">
        <f>SUM(Grandview_Inventory[[#This Row],[Intercept]:[det_value]])*Grandview_Inventory[[#This Row],[res_pct]]</f>
        <v>301405.262552</v>
      </c>
      <c r="BS44" s="6">
        <f>Grandview_Inventory[[#This Row],[land_value]]</f>
        <v>111336.49161481651</v>
      </c>
      <c r="BT44" s="4">
        <f>_xlfn.IFNA(VLOOKUP(Grandview_Inventory[[#This Row],[quality]],Lookups!$A$26:$C$33,3,FALSE),1)</f>
        <v>0.98079741117310582</v>
      </c>
      <c r="BU44" s="4">
        <f>_xlfn.IFNA(VLOOKUP(Grandview_Inventory[[#This Row],[condition]],Lookups!$A$37:$C$44,3,FALSE),1)</f>
        <v>0.96469275950863709</v>
      </c>
      <c r="BV44" s="4">
        <f>IF(Grandview_Inventory[[#This Row],[bldg_style]]="",1,_xlfn.IFNA(VLOOKUP(Grandview_Inventory[[#This Row],[decade]],Lookups!$F$29:$H$43,3,FALSE),1))</f>
        <v>0.98763256963907298</v>
      </c>
      <c r="BW44" s="4">
        <f>_xlfn.IFNA(VLOOKUP(Grandview_Inventory[[#This Row],[living_area_range]],Lookups!$F$47:$H$56,3,FALSE),1)</f>
        <v>0.96120133463014379</v>
      </c>
      <c r="BX44" s="4">
        <f>AVERAGE(Grandview_Inventory[[#This Row],[qual_adj]:[size_adj]])</f>
        <v>0.97358101873773983</v>
      </c>
      <c r="BY44" s="6">
        <f>IF(Grandview_Inventory[[#This Row],[pre_res]]&lt;0,0,Grandview_Inventory[[#This Row],[pre_res]]*Grandview_Inventory[[#This Row],[overall_adj]])</f>
        <v>293442.44256829208</v>
      </c>
      <c r="BZ44" s="6">
        <f>(Grandview_Inventory[[#This Row],[sum_land]]-IF(Grandview_Inventory[[#This Row],[no_utilities]]=1,12000,0))/IF(Grandview_Inventory[[#This Row],[unbuildable]]=1,2,1)</f>
        <v>111336.49161481651</v>
      </c>
      <c r="CA44">
        <f>IF(ROUND(Grandview_Inventory[[#This Row],[adj_land]]*Lookups!$M$28,-2)&lt;Grandview_Inventory[[#This Row],[min_land]],Grandview_Inventory[[#This Row],[min_land]],ROUND(Grandview_Inventory[[#This Row],[adj_land]]*Lookups!$M$28,-2))</f>
        <v>105800</v>
      </c>
      <c r="CB44">
        <f>ROUND(Grandview_Inventory[[#This Row],[det_value]]*Lookups!$M$28,-2)</f>
        <v>32000</v>
      </c>
      <c r="CC44">
        <f>IF(ROUND(Grandview_Inventory[[#This Row],[adj_res]]*Lookups!$M$28,-2)&lt;Grandview_Inventory[[#This Row],[min_res]],Grandview_Inventory[[#This Row],[min_res]],ROUND(Grandview_Inventory[[#This Row],[adj_res]]*Lookups!$M$28,-2))</f>
        <v>278800</v>
      </c>
      <c r="CD44">
        <f>Grandview_Inventory[[#This Row],[final_det]]+Grandview_Inventory[[#This Row],[final_res]]</f>
        <v>310800</v>
      </c>
      <c r="CE44">
        <f>Grandview_Inventory[[#This Row],[final_land]]+Grandview_Inventory[[#This Row],[final_imp]]+Grandview_Inventory[[#This Row],[crop_value]]</f>
        <v>450900</v>
      </c>
      <c r="CG44" t="str">
        <f t="shared" si="0"/>
        <v>update valuation set market_land =105800, market_bldg=310800, market_total =450900, market_mdno =401, market_date ='9/10/2023' where link_id = (select link_id from parcel where parcel_year = '2024' and parcel_id = '23091413003');</v>
      </c>
    </row>
    <row r="45" spans="1:85" x14ac:dyDescent="0.25">
      <c r="A45">
        <v>23091413401</v>
      </c>
      <c r="B45">
        <v>1.01</v>
      </c>
      <c r="C45">
        <v>43954</v>
      </c>
      <c r="D45" t="s">
        <v>129</v>
      </c>
      <c r="E45" t="s">
        <v>53</v>
      </c>
      <c r="F45" t="s">
        <v>53</v>
      </c>
      <c r="G45">
        <v>4</v>
      </c>
      <c r="H45" t="s">
        <v>54</v>
      </c>
      <c r="I45">
        <v>381800</v>
      </c>
      <c r="J45">
        <v>45600</v>
      </c>
      <c r="K45">
        <v>1.01</v>
      </c>
      <c r="L45">
        <f>IF(Grandview_Inventory[[#This Row],[parcel_acres]]-Grandview_Inventory[[#This Row],[non_valued_acres]] =0,0,LN(Grandview_Inventory[[#This Row],[parcel_acres]]-Grandview_Inventory[[#This Row],[non_valued_acres]]))</f>
        <v>9.950330853168092E-3</v>
      </c>
      <c r="M45">
        <v>0</v>
      </c>
      <c r="N45">
        <v>0</v>
      </c>
      <c r="O45">
        <v>0</v>
      </c>
      <c r="P45">
        <v>13398.7528</v>
      </c>
      <c r="Q45">
        <v>63903</v>
      </c>
      <c r="R45">
        <f>(Grandview_Inventory[[#This Row],[ln_acres]]*Grandview_Inventory[[#This Row],[coeff]])+Grandview_Inventory[[#This Row],[const]]</f>
        <v>64036.322023379813</v>
      </c>
      <c r="S45" t="s">
        <v>61</v>
      </c>
      <c r="T45">
        <v>1</v>
      </c>
      <c r="U45" t="s">
        <v>65</v>
      </c>
      <c r="V45" t="s">
        <v>69</v>
      </c>
      <c r="W45">
        <v>0</v>
      </c>
      <c r="X45">
        <v>0</v>
      </c>
      <c r="Y45">
        <v>47</v>
      </c>
      <c r="Z45">
        <v>58</v>
      </c>
      <c r="AA45">
        <v>60</v>
      </c>
      <c r="AB45">
        <v>2500</v>
      </c>
      <c r="AC45">
        <v>2316</v>
      </c>
      <c r="AD45">
        <v>1706</v>
      </c>
      <c r="AE45">
        <v>0</v>
      </c>
      <c r="AF45">
        <v>0</v>
      </c>
      <c r="AG45">
        <v>610</v>
      </c>
      <c r="AH45">
        <v>70</v>
      </c>
      <c r="AI45">
        <v>0</v>
      </c>
      <c r="AJ45">
        <v>0</v>
      </c>
      <c r="AK45">
        <v>0</v>
      </c>
      <c r="AL45">
        <v>408</v>
      </c>
      <c r="AM45">
        <v>0</v>
      </c>
      <c r="AN45">
        <v>96</v>
      </c>
      <c r="AO45">
        <v>673</v>
      </c>
      <c r="AP45">
        <v>8</v>
      </c>
      <c r="AQ45">
        <v>1</v>
      </c>
      <c r="AR45">
        <v>0</v>
      </c>
      <c r="AS45" t="s">
        <v>76</v>
      </c>
      <c r="AT45">
        <v>1</v>
      </c>
      <c r="AU45" t="s">
        <v>63</v>
      </c>
      <c r="AV45" t="s">
        <v>81</v>
      </c>
      <c r="AW45">
        <v>1</v>
      </c>
      <c r="AX45">
        <v>2</v>
      </c>
      <c r="AY45">
        <v>0</v>
      </c>
      <c r="AZ45">
        <v>160500</v>
      </c>
      <c r="BA45">
        <v>100</v>
      </c>
      <c r="BB45">
        <v>100</v>
      </c>
      <c r="BC45">
        <v>100</v>
      </c>
      <c r="BD45">
        <v>100</v>
      </c>
      <c r="BE45">
        <v>1</v>
      </c>
      <c r="BF45">
        <v>15000</v>
      </c>
      <c r="BG45">
        <v>1000</v>
      </c>
      <c r="BH45" s="6">
        <f>Grandview_Inventory[[#This Row],[land_extract]]*Lookups!$B$3</f>
        <v>74365.207867681514</v>
      </c>
      <c r="BI45" s="6">
        <f>IF(Grandview_Inventory[[#This Row],[bldg_style]]="",0,Lookups!$B$2)</f>
        <v>155833.95000000001</v>
      </c>
      <c r="BJ45" s="6">
        <f>_xlfn.IFNA(VLOOKUP(Grandview_Inventory[[#This Row],[quality]],Lookups!$H$2:$J$14,3,FALSE),0)</f>
        <v>2251</v>
      </c>
      <c r="BK45" s="6">
        <f>_xlfn.IFNA(VLOOKUP(Grandview_Inventory[[#This Row],[condition]],Lookups!$H$17:$J$24,3,FALSE),0)</f>
        <v>-4503</v>
      </c>
      <c r="BL45" s="6">
        <f>Grandview_Inventory[[#This Row],[Eff_Age]]*Lookups!$B$14</f>
        <v>-11240.8302</v>
      </c>
      <c r="BM45" s="6">
        <f>Grandview_Inventory[[#This Row],[living_area]]*Lookups!$B$15</f>
        <v>144474.055548</v>
      </c>
      <c r="BN45" s="6">
        <f>Grandview_Inventory[[#This Row],[Fin BSMT]]*Lookups!$B$16</f>
        <v>-16530.536400000001</v>
      </c>
      <c r="BO45" s="6">
        <f>(Grandview_Inventory[[#This Row],[att_gar]]+Grandview_Inventory[[#This Row],[bltin_gar]])*Lookups!$B$17</f>
        <v>0</v>
      </c>
      <c r="BP45" s="6">
        <f>Grandview_Inventory[[#This Row],[Plumbing Fixtures]]*Lookups!$B$18</f>
        <v>16083.5344</v>
      </c>
      <c r="BQ45" s="6">
        <f>Grandview_Inventory[[#This Row],[detatched_value]]*Lookups!$B$19</f>
        <v>135912.21854999999</v>
      </c>
      <c r="BR45" s="6">
        <f>SUM(Grandview_Inventory[[#This Row],[Intercept]:[det_value]])*Grandview_Inventory[[#This Row],[res_pct]]</f>
        <v>422280.39189800003</v>
      </c>
      <c r="BS45" s="6">
        <f>Grandview_Inventory[[#This Row],[land_value]]</f>
        <v>74365.207867681514</v>
      </c>
      <c r="BT45" s="4">
        <f>_xlfn.IFNA(VLOOKUP(Grandview_Inventory[[#This Row],[quality]],Lookups!$A$26:$C$33,3,FALSE),1)</f>
        <v>0.98763855981004833</v>
      </c>
      <c r="BU45" s="4">
        <f>_xlfn.IFNA(VLOOKUP(Grandview_Inventory[[#This Row],[condition]],Lookups!$A$37:$C$44,3,FALSE),1)</f>
        <v>0.96469275950863709</v>
      </c>
      <c r="BV45" s="4">
        <f>IF(Grandview_Inventory[[#This Row],[bldg_style]]="",1,_xlfn.IFNA(VLOOKUP(Grandview_Inventory[[#This Row],[decade]],Lookups!$F$29:$H$43,3,FALSE),1))</f>
        <v>0.95268620544463312</v>
      </c>
      <c r="BW45" s="4">
        <f>_xlfn.IFNA(VLOOKUP(Grandview_Inventory[[#This Row],[living_area_range]],Lookups!$F$47:$H$56,3,FALSE),1)</f>
        <v>0.95799442568048754</v>
      </c>
      <c r="BX45" s="4">
        <f>AVERAGE(Grandview_Inventory[[#This Row],[qual_adj]:[size_adj]])</f>
        <v>0.96575298761095152</v>
      </c>
      <c r="BY45" s="6">
        <f>IF(Grandview_Inventory[[#This Row],[pre_res]]&lt;0,0,Grandview_Inventory[[#This Row],[pre_res]]*Grandview_Inventory[[#This Row],[overall_adj]])</f>
        <v>407818.55008501699</v>
      </c>
      <c r="BZ45" s="6">
        <f>(Grandview_Inventory[[#This Row],[sum_land]]-IF(Grandview_Inventory[[#This Row],[no_utilities]]=1,12000,0))/IF(Grandview_Inventory[[#This Row],[unbuildable]]=1,2,1)</f>
        <v>74365.207867681514</v>
      </c>
      <c r="CA45">
        <f>IF(ROUND(Grandview_Inventory[[#This Row],[adj_land]]*Lookups!$M$28,-2)&lt;Grandview_Inventory[[#This Row],[min_land]],Grandview_Inventory[[#This Row],[min_land]],ROUND(Grandview_Inventory[[#This Row],[adj_land]]*Lookups!$M$28,-2))</f>
        <v>70600</v>
      </c>
      <c r="CB45">
        <f>ROUND(Grandview_Inventory[[#This Row],[det_value]]*Lookups!$M$28,-2)</f>
        <v>129100</v>
      </c>
      <c r="CC45">
        <f>IF(ROUND(Grandview_Inventory[[#This Row],[adj_res]]*Lookups!$M$28,-2)&lt;Grandview_Inventory[[#This Row],[min_res]],Grandview_Inventory[[#This Row],[min_res]],ROUND(Grandview_Inventory[[#This Row],[adj_res]]*Lookups!$M$28,-2))</f>
        <v>387400</v>
      </c>
      <c r="CD45">
        <f>Grandview_Inventory[[#This Row],[final_det]]+Grandview_Inventory[[#This Row],[final_res]]</f>
        <v>516500</v>
      </c>
      <c r="CE45">
        <f>Grandview_Inventory[[#This Row],[final_land]]+Grandview_Inventory[[#This Row],[final_imp]]+Grandview_Inventory[[#This Row],[crop_value]]</f>
        <v>587100</v>
      </c>
      <c r="CG45" t="str">
        <f t="shared" si="0"/>
        <v>update valuation set market_land =70600, market_bldg=516500, market_total =587100, market_mdno =401, market_date ='9/10/2023' where link_id = (select link_id from parcel where parcel_year = '2024' and parcel_id = '23091413401');</v>
      </c>
    </row>
    <row r="46" spans="1:85" x14ac:dyDescent="0.25">
      <c r="A46">
        <v>23091414008</v>
      </c>
      <c r="B46">
        <v>2.15</v>
      </c>
      <c r="C46">
        <v>93482</v>
      </c>
      <c r="D46" t="s">
        <v>129</v>
      </c>
      <c r="E46" t="s">
        <v>53</v>
      </c>
      <c r="F46" t="s">
        <v>53</v>
      </c>
      <c r="G46">
        <v>4</v>
      </c>
      <c r="H46" t="s">
        <v>54</v>
      </c>
      <c r="I46">
        <v>281700</v>
      </c>
      <c r="J46">
        <v>66400</v>
      </c>
      <c r="K46">
        <v>2.15</v>
      </c>
      <c r="L46">
        <f>IF(Grandview_Inventory[[#This Row],[parcel_acres]]-Grandview_Inventory[[#This Row],[non_valued_acres]] =0,0,LN(Grandview_Inventory[[#This Row],[parcel_acres]]-Grandview_Inventory[[#This Row],[non_valued_acres]]))</f>
        <v>0.76546784213957142</v>
      </c>
      <c r="M46">
        <v>0</v>
      </c>
      <c r="N46">
        <v>0</v>
      </c>
      <c r="O46">
        <v>0</v>
      </c>
      <c r="P46">
        <v>13398.7528</v>
      </c>
      <c r="Q46">
        <v>63903</v>
      </c>
      <c r="R46">
        <f>(Grandview_Inventory[[#This Row],[ln_acres]]*Grandview_Inventory[[#This Row],[coeff]])+Grandview_Inventory[[#This Row],[const]]</f>
        <v>74159.314393177541</v>
      </c>
      <c r="S46" t="s">
        <v>86</v>
      </c>
      <c r="T46">
        <v>2</v>
      </c>
      <c r="U46" t="s">
        <v>65</v>
      </c>
      <c r="V46" t="s">
        <v>69</v>
      </c>
      <c r="W46">
        <v>0</v>
      </c>
      <c r="X46">
        <v>0</v>
      </c>
      <c r="Y46">
        <v>60</v>
      </c>
      <c r="Z46">
        <v>108</v>
      </c>
      <c r="AA46">
        <v>110</v>
      </c>
      <c r="AB46">
        <v>2000</v>
      </c>
      <c r="AC46">
        <v>1702</v>
      </c>
      <c r="AD46">
        <v>1026</v>
      </c>
      <c r="AE46">
        <v>676</v>
      </c>
      <c r="AF46">
        <v>0</v>
      </c>
      <c r="AG46">
        <v>0</v>
      </c>
      <c r="AH46">
        <v>570</v>
      </c>
      <c r="AI46">
        <v>0</v>
      </c>
      <c r="AJ46">
        <v>0</v>
      </c>
      <c r="AK46">
        <v>0</v>
      </c>
      <c r="AL46">
        <v>0</v>
      </c>
      <c r="AM46">
        <v>200</v>
      </c>
      <c r="AN46">
        <v>0</v>
      </c>
      <c r="AO46">
        <v>0</v>
      </c>
      <c r="AP46">
        <v>6</v>
      </c>
      <c r="AQ46">
        <v>1</v>
      </c>
      <c r="AR46">
        <v>0</v>
      </c>
      <c r="AS46" t="s">
        <v>58</v>
      </c>
      <c r="AT46">
        <v>1</v>
      </c>
      <c r="AU46" t="s">
        <v>75</v>
      </c>
      <c r="AV46" t="s">
        <v>60</v>
      </c>
      <c r="AW46">
        <v>0</v>
      </c>
      <c r="AX46">
        <v>4</v>
      </c>
      <c r="AY46">
        <v>0</v>
      </c>
      <c r="AZ46">
        <v>86500</v>
      </c>
      <c r="BA46">
        <v>100</v>
      </c>
      <c r="BB46">
        <v>100</v>
      </c>
      <c r="BC46">
        <v>100</v>
      </c>
      <c r="BD46">
        <v>100</v>
      </c>
      <c r="BE46">
        <v>1</v>
      </c>
      <c r="BF46">
        <v>15000</v>
      </c>
      <c r="BG46">
        <v>1000</v>
      </c>
      <c r="BH46" s="6">
        <f>Grandview_Inventory[[#This Row],[land_extract]]*Lookups!$B$3</f>
        <v>86121.011574648219</v>
      </c>
      <c r="BI46" s="6">
        <f>IF(Grandview_Inventory[[#This Row],[bldg_style]]="",0,Lookups!$B$2)</f>
        <v>155833.95000000001</v>
      </c>
      <c r="BJ46" s="6">
        <f>_xlfn.IFNA(VLOOKUP(Grandview_Inventory[[#This Row],[quality]],Lookups!$H$2:$J$14,3,FALSE),0)</f>
        <v>2251</v>
      </c>
      <c r="BK46" s="6">
        <f>_xlfn.IFNA(VLOOKUP(Grandview_Inventory[[#This Row],[condition]],Lookups!$H$17:$J$24,3,FALSE),0)</f>
        <v>-4503</v>
      </c>
      <c r="BL46" s="6">
        <f>Grandview_Inventory[[#This Row],[Eff_Age]]*Lookups!$B$14</f>
        <v>-14349.995999999999</v>
      </c>
      <c r="BM46" s="6">
        <f>Grandview_Inventory[[#This Row],[living_area]]*Lookups!$B$15</f>
        <v>106172.21180600001</v>
      </c>
      <c r="BN46" s="6">
        <f>Grandview_Inventory[[#This Row],[Fin BSMT]]*Lookups!$B$16</f>
        <v>0</v>
      </c>
      <c r="BO46" s="6">
        <f>(Grandview_Inventory[[#This Row],[att_gar]]+Grandview_Inventory[[#This Row],[bltin_gar]])*Lookups!$B$17</f>
        <v>0</v>
      </c>
      <c r="BP46" s="6">
        <f>Grandview_Inventory[[#This Row],[Plumbing Fixtures]]*Lookups!$B$18</f>
        <v>12062.650799999999</v>
      </c>
      <c r="BQ46" s="6">
        <f>Grandview_Inventory[[#This Row],[detatched_value]]*Lookups!$B$19</f>
        <v>73248.641149999996</v>
      </c>
      <c r="BR46" s="6">
        <f>SUM(Grandview_Inventory[[#This Row],[Intercept]:[det_value]])*Grandview_Inventory[[#This Row],[res_pct]]</f>
        <v>330715.45775600005</v>
      </c>
      <c r="BS46" s="6">
        <f>Grandview_Inventory[[#This Row],[land_value]]</f>
        <v>86121.011574648219</v>
      </c>
      <c r="BT46" s="4">
        <f>_xlfn.IFNA(VLOOKUP(Grandview_Inventory[[#This Row],[quality]],Lookups!$A$26:$C$33,3,FALSE),1)</f>
        <v>0.98763855981004833</v>
      </c>
      <c r="BU46" s="4">
        <f>_xlfn.IFNA(VLOOKUP(Grandview_Inventory[[#This Row],[condition]],Lookups!$A$37:$C$44,3,FALSE),1)</f>
        <v>0.96469275950863709</v>
      </c>
      <c r="BV46" s="4">
        <f>IF(Grandview_Inventory[[#This Row],[bldg_style]]="",1,_xlfn.IFNA(VLOOKUP(Grandview_Inventory[[#This Row],[decade]],Lookups!$F$29:$H$43,3,FALSE),1))</f>
        <v>0.92255236374249616</v>
      </c>
      <c r="BW46" s="4">
        <f>_xlfn.IFNA(VLOOKUP(Grandview_Inventory[[#This Row],[living_area_range]],Lookups!$F$47:$H$56,3,FALSE),1)</f>
        <v>0.96120133463014379</v>
      </c>
      <c r="BX46" s="4">
        <f>AVERAGE(Grandview_Inventory[[#This Row],[qual_adj]:[size_adj]])</f>
        <v>0.95902125442283137</v>
      </c>
      <c r="BY46" s="6">
        <f>IF(Grandview_Inventory[[#This Row],[pre_res]]&lt;0,0,Grandview_Inventory[[#This Row],[pre_res]]*Grandview_Inventory[[#This Row],[overall_adj]])</f>
        <v>317163.15315418004</v>
      </c>
      <c r="BZ46" s="6">
        <f>(Grandview_Inventory[[#This Row],[sum_land]]-IF(Grandview_Inventory[[#This Row],[no_utilities]]=1,12000,0))/IF(Grandview_Inventory[[#This Row],[unbuildable]]=1,2,1)</f>
        <v>86121.011574648219</v>
      </c>
      <c r="CA46">
        <f>IF(ROUND(Grandview_Inventory[[#This Row],[adj_land]]*Lookups!$M$28,-2)&lt;Grandview_Inventory[[#This Row],[min_land]],Grandview_Inventory[[#This Row],[min_land]],ROUND(Grandview_Inventory[[#This Row],[adj_land]]*Lookups!$M$28,-2))</f>
        <v>81800</v>
      </c>
      <c r="CB46">
        <f>ROUND(Grandview_Inventory[[#This Row],[det_value]]*Lookups!$M$28,-2)</f>
        <v>69600</v>
      </c>
      <c r="CC46">
        <f>IF(ROUND(Grandview_Inventory[[#This Row],[adj_res]]*Lookups!$M$28,-2)&lt;Grandview_Inventory[[#This Row],[min_res]],Grandview_Inventory[[#This Row],[min_res]],ROUND(Grandview_Inventory[[#This Row],[adj_res]]*Lookups!$M$28,-2))</f>
        <v>301300</v>
      </c>
      <c r="CD46">
        <f>Grandview_Inventory[[#This Row],[final_det]]+Grandview_Inventory[[#This Row],[final_res]]</f>
        <v>370900</v>
      </c>
      <c r="CE46">
        <f>Grandview_Inventory[[#This Row],[final_land]]+Grandview_Inventory[[#This Row],[final_imp]]+Grandview_Inventory[[#This Row],[crop_value]]</f>
        <v>452700</v>
      </c>
      <c r="CG46" t="str">
        <f t="shared" si="0"/>
        <v>update valuation set market_land =81800, market_bldg=370900, market_total =452700, market_mdno =401, market_date ='9/10/2023' where link_id = (select link_id from parcel where parcel_year = '2024' and parcel_id = '23091414008');</v>
      </c>
    </row>
    <row r="47" spans="1:85" x14ac:dyDescent="0.25">
      <c r="A47">
        <v>23091414404</v>
      </c>
      <c r="B47">
        <v>0.52</v>
      </c>
      <c r="C47" t="s">
        <v>129</v>
      </c>
      <c r="D47" t="s">
        <v>129</v>
      </c>
      <c r="E47" t="s">
        <v>53</v>
      </c>
      <c r="F47" t="s">
        <v>53</v>
      </c>
      <c r="G47">
        <v>4</v>
      </c>
      <c r="H47" t="s">
        <v>54</v>
      </c>
      <c r="I47">
        <v>157000</v>
      </c>
      <c r="J47">
        <v>43700</v>
      </c>
      <c r="K47">
        <v>0.52</v>
      </c>
      <c r="L47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47">
        <v>0</v>
      </c>
      <c r="N47">
        <v>0</v>
      </c>
      <c r="O47">
        <v>0</v>
      </c>
      <c r="P47">
        <v>13398.7528</v>
      </c>
      <c r="Q47">
        <v>63903</v>
      </c>
      <c r="R47">
        <f>(Grandview_Inventory[[#This Row],[ln_acres]]*Grandview_Inventory[[#This Row],[coeff]])+Grandview_Inventory[[#This Row],[const]]</f>
        <v>55141.200913840854</v>
      </c>
      <c r="S47" t="s">
        <v>61</v>
      </c>
      <c r="T47">
        <v>1</v>
      </c>
      <c r="U47" t="s">
        <v>70</v>
      </c>
      <c r="V47" t="s">
        <v>69</v>
      </c>
      <c r="W47">
        <v>0</v>
      </c>
      <c r="X47">
        <v>0</v>
      </c>
      <c r="Y47">
        <v>30</v>
      </c>
      <c r="Z47">
        <v>30</v>
      </c>
      <c r="AA47">
        <v>30</v>
      </c>
      <c r="AB47">
        <v>1500</v>
      </c>
      <c r="AC47">
        <v>1144</v>
      </c>
      <c r="AD47">
        <v>1144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8</v>
      </c>
      <c r="AQ47">
        <v>0</v>
      </c>
      <c r="AR47">
        <v>0</v>
      </c>
      <c r="AS47" t="s">
        <v>58</v>
      </c>
      <c r="AT47">
        <v>1</v>
      </c>
      <c r="AU47" t="s">
        <v>59</v>
      </c>
      <c r="AV47" t="s">
        <v>60</v>
      </c>
      <c r="AW47">
        <v>1</v>
      </c>
      <c r="AX47">
        <v>3</v>
      </c>
      <c r="AY47">
        <v>0</v>
      </c>
      <c r="AZ47">
        <v>0</v>
      </c>
      <c r="BA47">
        <v>100</v>
      </c>
      <c r="BB47">
        <v>100</v>
      </c>
      <c r="BC47">
        <v>100</v>
      </c>
      <c r="BD47">
        <v>100</v>
      </c>
      <c r="BE47">
        <v>1</v>
      </c>
      <c r="BF47">
        <v>15000</v>
      </c>
      <c r="BG47">
        <v>1000</v>
      </c>
      <c r="BH47" s="6">
        <f>Grandview_Inventory[[#This Row],[land_extract]]*Lookups!$B$3</f>
        <v>64035.327740000917</v>
      </c>
      <c r="BI47" s="6">
        <f>IF(Grandview_Inventory[[#This Row],[bldg_style]]="",0,Lookups!$B$2)</f>
        <v>155833.95000000001</v>
      </c>
      <c r="BJ47" s="6">
        <f>_xlfn.IFNA(VLOOKUP(Grandview_Inventory[[#This Row],[quality]],Lookups!$H$2:$J$14,3,FALSE),0)</f>
        <v>10733</v>
      </c>
      <c r="BK47" s="6">
        <f>_xlfn.IFNA(VLOOKUP(Grandview_Inventory[[#This Row],[condition]],Lookups!$H$17:$J$24,3,FALSE),0)</f>
        <v>-4503</v>
      </c>
      <c r="BL47" s="6">
        <f>Grandview_Inventory[[#This Row],[Eff_Age]]*Lookups!$B$14</f>
        <v>-7174.9979999999996</v>
      </c>
      <c r="BM47" s="6">
        <f>Grandview_Inventory[[#This Row],[living_area]]*Lookups!$B$15</f>
        <v>71363.695831999998</v>
      </c>
      <c r="BN47" s="6">
        <f>Grandview_Inventory[[#This Row],[Fin BSMT]]*Lookups!$B$16</f>
        <v>0</v>
      </c>
      <c r="BO47" s="6">
        <f>(Grandview_Inventory[[#This Row],[att_gar]]+Grandview_Inventory[[#This Row],[bltin_gar]])*Lookups!$B$17</f>
        <v>0</v>
      </c>
      <c r="BP47" s="6">
        <f>Grandview_Inventory[[#This Row],[Plumbing Fixtures]]*Lookups!$B$18</f>
        <v>16083.5344</v>
      </c>
      <c r="BQ47" s="6">
        <f>Grandview_Inventory[[#This Row],[detatched_value]]*Lookups!$B$19</f>
        <v>0</v>
      </c>
      <c r="BR47" s="6">
        <f>SUM(Grandview_Inventory[[#This Row],[Intercept]:[det_value]])*Grandview_Inventory[[#This Row],[res_pct]]</f>
        <v>242336.18223200002</v>
      </c>
      <c r="BS47" s="6">
        <f>Grandview_Inventory[[#This Row],[land_value]]</f>
        <v>64035.327740000917</v>
      </c>
      <c r="BT47" s="4">
        <f>_xlfn.IFNA(VLOOKUP(Grandview_Inventory[[#This Row],[quality]],Lookups!$A$26:$C$33,3,FALSE),1)</f>
        <v>0.98079741117310582</v>
      </c>
      <c r="BU47" s="4">
        <f>_xlfn.IFNA(VLOOKUP(Grandview_Inventory[[#This Row],[condition]],Lookups!$A$37:$C$44,3,FALSE),1)</f>
        <v>0.96469275950863709</v>
      </c>
      <c r="BV47" s="4">
        <f>IF(Grandview_Inventory[[#This Row],[bldg_style]]="",1,_xlfn.IFNA(VLOOKUP(Grandview_Inventory[[#This Row],[decade]],Lookups!$F$29:$H$43,3,FALSE),1))</f>
        <v>0.98397821291089549</v>
      </c>
      <c r="BW47" s="4">
        <f>_xlfn.IFNA(VLOOKUP(Grandview_Inventory[[#This Row],[living_area_range]],Lookups!$F$47:$H$56,3,FALSE),1)</f>
        <v>0.96135087979789358</v>
      </c>
      <c r="BX47" s="4">
        <f>AVERAGE(Grandview_Inventory[[#This Row],[qual_adj]:[size_adj]])</f>
        <v>0.97270481584763302</v>
      </c>
      <c r="BY47" s="6">
        <f>IF(Grandview_Inventory[[#This Row],[pre_res]]&lt;0,0,Grandview_Inventory[[#This Row],[pre_res]]*Grandview_Inventory[[#This Row],[overall_adj]])</f>
        <v>235721.57151119603</v>
      </c>
      <c r="BZ47" s="6">
        <f>(Grandview_Inventory[[#This Row],[sum_land]]-IF(Grandview_Inventory[[#This Row],[no_utilities]]=1,12000,0))/IF(Grandview_Inventory[[#This Row],[unbuildable]]=1,2,1)</f>
        <v>64035.327740000917</v>
      </c>
      <c r="CA47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47">
        <f>ROUND(Grandview_Inventory[[#This Row],[det_value]]*Lookups!$M$28,-2)</f>
        <v>0</v>
      </c>
      <c r="CC47">
        <f>IF(ROUND(Grandview_Inventory[[#This Row],[adj_res]]*Lookups!$M$28,-2)&lt;Grandview_Inventory[[#This Row],[min_res]],Grandview_Inventory[[#This Row],[min_res]],ROUND(Grandview_Inventory[[#This Row],[adj_res]]*Lookups!$M$28,-2))</f>
        <v>223900</v>
      </c>
      <c r="CD47">
        <f>Grandview_Inventory[[#This Row],[final_det]]+Grandview_Inventory[[#This Row],[final_res]]</f>
        <v>223900</v>
      </c>
      <c r="CE47">
        <f>Grandview_Inventory[[#This Row],[final_land]]+Grandview_Inventory[[#This Row],[final_imp]]+Grandview_Inventory[[#This Row],[crop_value]]</f>
        <v>284700</v>
      </c>
      <c r="CG47" t="str">
        <f t="shared" si="0"/>
        <v>update valuation set market_land =60800, market_bldg=223900, market_total =284700, market_mdno =401, market_date ='9/10/2023' where link_id = (select link_id from parcel where parcel_year = '2024' and parcel_id = '23091414404');</v>
      </c>
    </row>
    <row r="48" spans="1:85" x14ac:dyDescent="0.25">
      <c r="A48">
        <v>23091414405</v>
      </c>
      <c r="B48">
        <v>0.89</v>
      </c>
      <c r="C48">
        <v>38905</v>
      </c>
      <c r="D48" t="s">
        <v>129</v>
      </c>
      <c r="E48" t="s">
        <v>53</v>
      </c>
      <c r="F48" t="s">
        <v>53</v>
      </c>
      <c r="G48">
        <v>4</v>
      </c>
      <c r="H48" t="s">
        <v>54</v>
      </c>
      <c r="I48">
        <v>206300</v>
      </c>
      <c r="J48">
        <v>43700</v>
      </c>
      <c r="K48">
        <v>0.89</v>
      </c>
      <c r="L48">
        <f>IF(Grandview_Inventory[[#This Row],[parcel_acres]]-Grandview_Inventory[[#This Row],[non_valued_acres]] =0,0,LN(Grandview_Inventory[[#This Row],[parcel_acres]]-Grandview_Inventory[[#This Row],[non_valued_acres]]))</f>
        <v>-0.11653381625595151</v>
      </c>
      <c r="M48">
        <v>0</v>
      </c>
      <c r="N48">
        <v>0</v>
      </c>
      <c r="O48">
        <v>0</v>
      </c>
      <c r="P48">
        <v>13398.7528</v>
      </c>
      <c r="Q48">
        <v>63903</v>
      </c>
      <c r="R48">
        <f>(Grandview_Inventory[[#This Row],[ln_acres]]*Grandview_Inventory[[#This Row],[coeff]])+Grandview_Inventory[[#This Row],[const]]</f>
        <v>62341.592203145883</v>
      </c>
      <c r="S48" t="s">
        <v>61</v>
      </c>
      <c r="T48">
        <v>2</v>
      </c>
      <c r="U48" t="s">
        <v>65</v>
      </c>
      <c r="V48" t="s">
        <v>78</v>
      </c>
      <c r="W48">
        <v>0</v>
      </c>
      <c r="X48">
        <v>0</v>
      </c>
      <c r="Y48">
        <v>51</v>
      </c>
      <c r="Z48">
        <v>79</v>
      </c>
      <c r="AA48">
        <v>80</v>
      </c>
      <c r="AB48">
        <v>2500</v>
      </c>
      <c r="AC48">
        <v>2256</v>
      </c>
      <c r="AD48">
        <v>1784</v>
      </c>
      <c r="AE48">
        <v>472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56</v>
      </c>
      <c r="AO48">
        <v>0</v>
      </c>
      <c r="AP48">
        <v>8</v>
      </c>
      <c r="AQ48">
        <v>0</v>
      </c>
      <c r="AR48">
        <v>1</v>
      </c>
      <c r="AS48" t="s">
        <v>58</v>
      </c>
      <c r="AT48">
        <v>1</v>
      </c>
      <c r="AU48" t="s">
        <v>59</v>
      </c>
      <c r="AV48" t="s">
        <v>60</v>
      </c>
      <c r="AW48">
        <v>1</v>
      </c>
      <c r="AX48">
        <v>3</v>
      </c>
      <c r="AY48">
        <v>0</v>
      </c>
      <c r="AZ48">
        <v>28200</v>
      </c>
      <c r="BA48">
        <v>100</v>
      </c>
      <c r="BB48">
        <v>100</v>
      </c>
      <c r="BC48">
        <v>100</v>
      </c>
      <c r="BD48">
        <v>100</v>
      </c>
      <c r="BE48">
        <v>1</v>
      </c>
      <c r="BF48">
        <v>15000</v>
      </c>
      <c r="BG48">
        <v>1000</v>
      </c>
      <c r="BH48" s="6">
        <f>Grandview_Inventory[[#This Row],[land_extract]]*Lookups!$B$3</f>
        <v>72397.122703214365</v>
      </c>
      <c r="BI48" s="6">
        <f>IF(Grandview_Inventory[[#This Row],[bldg_style]]="",0,Lookups!$B$2)</f>
        <v>155833.95000000001</v>
      </c>
      <c r="BJ48" s="6">
        <f>_xlfn.IFNA(VLOOKUP(Grandview_Inventory[[#This Row],[quality]],Lookups!$H$2:$J$14,3,FALSE),0)</f>
        <v>2251</v>
      </c>
      <c r="BK48" s="6">
        <f>_xlfn.IFNA(VLOOKUP(Grandview_Inventory[[#This Row],[condition]],Lookups!$H$17:$J$24,3,FALSE),0)</f>
        <v>-45357</v>
      </c>
      <c r="BL48" s="6">
        <f>Grandview_Inventory[[#This Row],[Eff_Age]]*Lookups!$B$14</f>
        <v>-12197.496599999999</v>
      </c>
      <c r="BM48" s="6">
        <f>Grandview_Inventory[[#This Row],[living_area]]*Lookups!$B$15</f>
        <v>140731.20436800001</v>
      </c>
      <c r="BN48" s="6">
        <f>Grandview_Inventory[[#This Row],[Fin BSMT]]*Lookups!$B$16</f>
        <v>0</v>
      </c>
      <c r="BO48" s="6">
        <f>(Grandview_Inventory[[#This Row],[att_gar]]+Grandview_Inventory[[#This Row],[bltin_gar]])*Lookups!$B$17</f>
        <v>0</v>
      </c>
      <c r="BP48" s="6">
        <f>Grandview_Inventory[[#This Row],[Plumbing Fixtures]]*Lookups!$B$18</f>
        <v>16083.5344</v>
      </c>
      <c r="BQ48" s="6">
        <f>Grandview_Inventory[[#This Row],[detatched_value]]*Lookups!$B$19</f>
        <v>23879.90382</v>
      </c>
      <c r="BR48" s="6">
        <f>SUM(Grandview_Inventory[[#This Row],[Intercept]:[det_value]])*Grandview_Inventory[[#This Row],[res_pct]]</f>
        <v>281225.09598800004</v>
      </c>
      <c r="BS48" s="6">
        <f>Grandview_Inventory[[#This Row],[land_value]]</f>
        <v>72397.122703214365</v>
      </c>
      <c r="BT48" s="4">
        <f>_xlfn.IFNA(VLOOKUP(Grandview_Inventory[[#This Row],[quality]],Lookups!$A$26:$C$33,3,FALSE),1)</f>
        <v>0.98763855981004833</v>
      </c>
      <c r="BU48" s="4">
        <f>_xlfn.IFNA(VLOOKUP(Grandview_Inventory[[#This Row],[condition]],Lookups!$A$37:$C$44,3,FALSE),1)</f>
        <v>0.97161819570155394</v>
      </c>
      <c r="BV48" s="4">
        <f>IF(Grandview_Inventory[[#This Row],[bldg_style]]="",1,_xlfn.IFNA(VLOOKUP(Grandview_Inventory[[#This Row],[decade]],Lookups!$F$29:$H$43,3,FALSE),1))</f>
        <v>0.98763256963907298</v>
      </c>
      <c r="BW48" s="4">
        <f>_xlfn.IFNA(VLOOKUP(Grandview_Inventory[[#This Row],[living_area_range]],Lookups!$F$47:$H$56,3,FALSE),1)</f>
        <v>0.95799442568048754</v>
      </c>
      <c r="BX48" s="4">
        <f>AVERAGE(Grandview_Inventory[[#This Row],[qual_adj]:[size_adj]])</f>
        <v>0.97622093770779073</v>
      </c>
      <c r="BY48" s="6">
        <f>IF(Grandview_Inventory[[#This Row],[pre_res]]&lt;0,0,Grandview_Inventory[[#This Row],[pre_res]]*Grandview_Inventory[[#This Row],[overall_adj]])</f>
        <v>274537.82691236888</v>
      </c>
      <c r="BZ48" s="6">
        <f>(Grandview_Inventory[[#This Row],[sum_land]]-IF(Grandview_Inventory[[#This Row],[no_utilities]]=1,12000,0))/IF(Grandview_Inventory[[#This Row],[unbuildable]]=1,2,1)</f>
        <v>72397.122703214365</v>
      </c>
      <c r="CA48">
        <f>IF(ROUND(Grandview_Inventory[[#This Row],[adj_land]]*Lookups!$M$28,-2)&lt;Grandview_Inventory[[#This Row],[min_land]],Grandview_Inventory[[#This Row],[min_land]],ROUND(Grandview_Inventory[[#This Row],[adj_land]]*Lookups!$M$28,-2))</f>
        <v>68800</v>
      </c>
      <c r="CB48">
        <f>ROUND(Grandview_Inventory[[#This Row],[det_value]]*Lookups!$M$28,-2)</f>
        <v>22700</v>
      </c>
      <c r="CC48">
        <f>IF(ROUND(Grandview_Inventory[[#This Row],[adj_res]]*Lookups!$M$28,-2)&lt;Grandview_Inventory[[#This Row],[min_res]],Grandview_Inventory[[#This Row],[min_res]],ROUND(Grandview_Inventory[[#This Row],[adj_res]]*Lookups!$M$28,-2))</f>
        <v>260800</v>
      </c>
      <c r="CD48">
        <f>Grandview_Inventory[[#This Row],[final_det]]+Grandview_Inventory[[#This Row],[final_res]]</f>
        <v>283500</v>
      </c>
      <c r="CE48">
        <f>Grandview_Inventory[[#This Row],[final_land]]+Grandview_Inventory[[#This Row],[final_imp]]+Grandview_Inventory[[#This Row],[crop_value]]</f>
        <v>352300</v>
      </c>
      <c r="CG48" t="str">
        <f t="shared" si="0"/>
        <v>update valuation set market_land =68800, market_bldg=283500, market_total =352300, market_mdno =401, market_date ='9/10/2023' where link_id = (select link_id from parcel where parcel_year = '2024' and parcel_id = '23091414405');</v>
      </c>
    </row>
    <row r="49" spans="1:85" x14ac:dyDescent="0.25">
      <c r="A49">
        <v>23091414406</v>
      </c>
      <c r="B49">
        <v>26.56</v>
      </c>
      <c r="C49" t="s">
        <v>129</v>
      </c>
      <c r="D49" t="s">
        <v>129</v>
      </c>
      <c r="E49" t="s">
        <v>53</v>
      </c>
      <c r="F49" t="s">
        <v>53</v>
      </c>
      <c r="G49">
        <v>4</v>
      </c>
      <c r="H49" t="s">
        <v>54</v>
      </c>
      <c r="I49">
        <v>249400</v>
      </c>
      <c r="J49">
        <v>168700</v>
      </c>
      <c r="K49">
        <v>26.56</v>
      </c>
      <c r="L49">
        <f>IF(Grandview_Inventory[[#This Row],[parcel_acres]]-Grandview_Inventory[[#This Row],[non_valued_acres]] =0,0,LN(Grandview_Inventory[[#This Row],[parcel_acres]]-Grandview_Inventory[[#This Row],[non_valued_acres]]))</f>
        <v>3.279406324608233</v>
      </c>
      <c r="M49">
        <v>0</v>
      </c>
      <c r="N49">
        <v>0</v>
      </c>
      <c r="O49">
        <v>0</v>
      </c>
      <c r="P49">
        <v>13398.7528</v>
      </c>
      <c r="Q49">
        <v>63903</v>
      </c>
      <c r="R49">
        <f>(Grandview_Inventory[[#This Row],[ln_acres]]*Grandview_Inventory[[#This Row],[coeff]])+Grandview_Inventory[[#This Row],[const]]</f>
        <v>107842.95467418227</v>
      </c>
      <c r="S49" t="s">
        <v>58</v>
      </c>
      <c r="T49">
        <v>1</v>
      </c>
      <c r="U49" t="s">
        <v>56</v>
      </c>
      <c r="V49" t="s">
        <v>66</v>
      </c>
      <c r="W49">
        <v>30700</v>
      </c>
      <c r="X49">
        <v>0</v>
      </c>
      <c r="Y49">
        <v>11</v>
      </c>
      <c r="Z49">
        <v>11</v>
      </c>
      <c r="AA49">
        <v>20</v>
      </c>
      <c r="AB49">
        <v>2000</v>
      </c>
      <c r="AC49">
        <v>1624</v>
      </c>
      <c r="AD49">
        <v>1624</v>
      </c>
      <c r="AE49">
        <v>0</v>
      </c>
      <c r="AF49">
        <v>0</v>
      </c>
      <c r="AG49">
        <v>0</v>
      </c>
      <c r="AH49">
        <v>0</v>
      </c>
      <c r="AI49">
        <v>732</v>
      </c>
      <c r="AJ49">
        <v>0</v>
      </c>
      <c r="AK49">
        <v>0</v>
      </c>
      <c r="AL49">
        <v>0</v>
      </c>
      <c r="AM49">
        <v>221</v>
      </c>
      <c r="AN49">
        <v>156</v>
      </c>
      <c r="AO49">
        <v>0</v>
      </c>
      <c r="AP49">
        <v>8</v>
      </c>
      <c r="AQ49">
        <v>0</v>
      </c>
      <c r="AR49">
        <v>0</v>
      </c>
      <c r="AS49" t="s">
        <v>58</v>
      </c>
      <c r="AT49">
        <v>1</v>
      </c>
      <c r="AU49" t="s">
        <v>63</v>
      </c>
      <c r="AV49" t="s">
        <v>64</v>
      </c>
      <c r="AW49">
        <v>1</v>
      </c>
      <c r="AX49">
        <v>3</v>
      </c>
      <c r="AY49">
        <v>0</v>
      </c>
      <c r="AZ49">
        <v>4800</v>
      </c>
      <c r="BA49">
        <v>100</v>
      </c>
      <c r="BB49">
        <v>100</v>
      </c>
      <c r="BC49">
        <v>100</v>
      </c>
      <c r="BD49">
        <v>100</v>
      </c>
      <c r="BE49">
        <v>1</v>
      </c>
      <c r="BF49">
        <v>15000</v>
      </c>
      <c r="BG49">
        <v>1000</v>
      </c>
      <c r="BH49" s="6">
        <f>Grandview_Inventory[[#This Row],[land_extract]]*Lookups!$B$3</f>
        <v>125237.73208715025</v>
      </c>
      <c r="BI49" s="6">
        <f>IF(Grandview_Inventory[[#This Row],[bldg_style]]="",0,Lookups!$B$2)</f>
        <v>155833.95000000001</v>
      </c>
      <c r="BJ49" s="6">
        <f>_xlfn.IFNA(VLOOKUP(Grandview_Inventory[[#This Row],[quality]],Lookups!$H$2:$J$14,3,FALSE),0)</f>
        <v>56323</v>
      </c>
      <c r="BK49" s="6">
        <f>_xlfn.IFNA(VLOOKUP(Grandview_Inventory[[#This Row],[condition]],Lookups!$H$17:$J$24,3,FALSE),0)</f>
        <v>25818</v>
      </c>
      <c r="BL49" s="6">
        <f>Grandview_Inventory[[#This Row],[Eff_Age]]*Lookups!$B$14</f>
        <v>-2630.8325999999997</v>
      </c>
      <c r="BM49" s="6">
        <f>Grandview_Inventory[[#This Row],[living_area]]*Lookups!$B$15</f>
        <v>101306.50527200001</v>
      </c>
      <c r="BN49" s="6">
        <f>Grandview_Inventory[[#This Row],[Fin BSMT]]*Lookups!$B$16</f>
        <v>0</v>
      </c>
      <c r="BO49" s="6">
        <f>(Grandview_Inventory[[#This Row],[att_gar]]+Grandview_Inventory[[#This Row],[bltin_gar]])*Lookups!$B$17</f>
        <v>64064.959884000004</v>
      </c>
      <c r="BP49" s="6">
        <f>Grandview_Inventory[[#This Row],[Plumbing Fixtures]]*Lookups!$B$18</f>
        <v>16083.5344</v>
      </c>
      <c r="BQ49" s="6">
        <f>Grandview_Inventory[[#This Row],[detatched_value]]*Lookups!$B$19</f>
        <v>4064.6644799999999</v>
      </c>
      <c r="BR49" s="6">
        <f>SUM(Grandview_Inventory[[#This Row],[Intercept]:[det_value]])*Grandview_Inventory[[#This Row],[res_pct]]</f>
        <v>420863.78143600002</v>
      </c>
      <c r="BS49" s="6">
        <f>Grandview_Inventory[[#This Row],[land_value]]</f>
        <v>125237.73208715025</v>
      </c>
      <c r="BT49" s="4">
        <f>_xlfn.IFNA(VLOOKUP(Grandview_Inventory[[#This Row],[quality]],Lookups!$A$26:$C$33,3,FALSE),1)</f>
        <v>0.76437650671582003</v>
      </c>
      <c r="BU49" s="4">
        <f>_xlfn.IFNA(VLOOKUP(Grandview_Inventory[[#This Row],[condition]],Lookups!$A$37:$C$44,3,FALSE),1)</f>
        <v>0.96661476234146892</v>
      </c>
      <c r="BV49" s="4">
        <f>IF(Grandview_Inventory[[#This Row],[bldg_style]]="",1,_xlfn.IFNA(VLOOKUP(Grandview_Inventory[[#This Row],[decade]],Lookups!$F$29:$H$43,3,FALSE),1))</f>
        <v>0.96737494181490646</v>
      </c>
      <c r="BW49" s="4">
        <f>_xlfn.IFNA(VLOOKUP(Grandview_Inventory[[#This Row],[living_area_range]],Lookups!$F$47:$H$56,3,FALSE),1)</f>
        <v>0.96120133463014379</v>
      </c>
      <c r="BX49" s="4">
        <f>AVERAGE(Grandview_Inventory[[#This Row],[qual_adj]:[size_adj]])</f>
        <v>0.91489188637558483</v>
      </c>
      <c r="BY49" s="6">
        <f>IF(Grandview_Inventory[[#This Row],[pre_res]]&lt;0,0,Grandview_Inventory[[#This Row],[pre_res]]*Grandview_Inventory[[#This Row],[overall_adj]])</f>
        <v>385044.85890514392</v>
      </c>
      <c r="BZ49" s="6">
        <f>(Grandview_Inventory[[#This Row],[sum_land]]-IF(Grandview_Inventory[[#This Row],[no_utilities]]=1,12000,0))/IF(Grandview_Inventory[[#This Row],[unbuildable]]=1,2,1)</f>
        <v>125237.73208715025</v>
      </c>
      <c r="CA49">
        <f>IF(ROUND(Grandview_Inventory[[#This Row],[adj_land]]*Lookups!$M$28,-2)&lt;Grandview_Inventory[[#This Row],[min_land]],Grandview_Inventory[[#This Row],[min_land]],ROUND(Grandview_Inventory[[#This Row],[adj_land]]*Lookups!$M$28,-2))</f>
        <v>119000</v>
      </c>
      <c r="CB49">
        <f>ROUND(Grandview_Inventory[[#This Row],[det_value]]*Lookups!$M$28,-2)</f>
        <v>3900</v>
      </c>
      <c r="CC49">
        <f>IF(ROUND(Grandview_Inventory[[#This Row],[adj_res]]*Lookups!$M$28,-2)&lt;Grandview_Inventory[[#This Row],[min_res]],Grandview_Inventory[[#This Row],[min_res]],ROUND(Grandview_Inventory[[#This Row],[adj_res]]*Lookups!$M$28,-2))</f>
        <v>365800</v>
      </c>
      <c r="CD49">
        <f>Grandview_Inventory[[#This Row],[final_det]]+Grandview_Inventory[[#This Row],[final_res]]</f>
        <v>369700</v>
      </c>
      <c r="CE49">
        <f>Grandview_Inventory[[#This Row],[final_land]]+Grandview_Inventory[[#This Row],[final_imp]]+Grandview_Inventory[[#This Row],[crop_value]]</f>
        <v>488700</v>
      </c>
      <c r="CG49" t="str">
        <f t="shared" si="0"/>
        <v>update valuation set market_land =119000, market_bldg=369700, market_total =488700, market_mdno =401, market_date ='9/10/2023' where link_id = (select link_id from parcel where parcel_year = '2024' and parcel_id = '23091414406');</v>
      </c>
    </row>
    <row r="50" spans="1:85" x14ac:dyDescent="0.25">
      <c r="A50">
        <v>23091421002</v>
      </c>
      <c r="B50">
        <v>1.1499999999999999</v>
      </c>
      <c r="C50">
        <v>50064</v>
      </c>
      <c r="D50" t="s">
        <v>129</v>
      </c>
      <c r="E50" t="s">
        <v>53</v>
      </c>
      <c r="F50" t="s">
        <v>53</v>
      </c>
      <c r="G50">
        <v>4</v>
      </c>
      <c r="H50" t="s">
        <v>54</v>
      </c>
      <c r="I50">
        <v>128200</v>
      </c>
      <c r="J50">
        <v>44200</v>
      </c>
      <c r="K50">
        <v>1.1499999999999999</v>
      </c>
      <c r="L50">
        <f>IF(Grandview_Inventory[[#This Row],[parcel_acres]]-Grandview_Inventory[[#This Row],[non_valued_acres]] =0,0,LN(Grandview_Inventory[[#This Row],[parcel_acres]]-Grandview_Inventory[[#This Row],[non_valued_acres]]))</f>
        <v>0.13976194237515863</v>
      </c>
      <c r="M50">
        <v>0</v>
      </c>
      <c r="N50">
        <v>0</v>
      </c>
      <c r="O50">
        <v>0</v>
      </c>
      <c r="P50">
        <v>13398.7528</v>
      </c>
      <c r="Q50">
        <v>63903</v>
      </c>
      <c r="R50">
        <f>(Grandview_Inventory[[#This Row],[ln_acres]]*Grandview_Inventory[[#This Row],[coeff]])+Grandview_Inventory[[#This Row],[const]]</f>
        <v>65775.635716732591</v>
      </c>
      <c r="S50" t="s">
        <v>61</v>
      </c>
      <c r="T50">
        <v>1</v>
      </c>
      <c r="U50" t="s">
        <v>70</v>
      </c>
      <c r="V50" t="s">
        <v>78</v>
      </c>
      <c r="W50">
        <v>0</v>
      </c>
      <c r="X50">
        <v>0</v>
      </c>
      <c r="Y50">
        <v>48</v>
      </c>
      <c r="Z50">
        <v>63</v>
      </c>
      <c r="AA50">
        <v>70</v>
      </c>
      <c r="AB50">
        <v>1500</v>
      </c>
      <c r="AC50">
        <v>1296</v>
      </c>
      <c r="AD50">
        <v>1296</v>
      </c>
      <c r="AE50">
        <v>0</v>
      </c>
      <c r="AF50">
        <v>0</v>
      </c>
      <c r="AG50">
        <v>0</v>
      </c>
      <c r="AH50">
        <v>384</v>
      </c>
      <c r="AI50">
        <v>0</v>
      </c>
      <c r="AJ50">
        <v>0</v>
      </c>
      <c r="AK50">
        <v>0</v>
      </c>
      <c r="AL50">
        <v>0</v>
      </c>
      <c r="AM50">
        <v>304</v>
      </c>
      <c r="AN50">
        <v>20</v>
      </c>
      <c r="AO50">
        <v>304</v>
      </c>
      <c r="AP50">
        <v>8</v>
      </c>
      <c r="AQ50">
        <v>0</v>
      </c>
      <c r="AR50">
        <v>0</v>
      </c>
      <c r="AS50" t="s">
        <v>58</v>
      </c>
      <c r="AT50">
        <v>1</v>
      </c>
      <c r="AU50" t="s">
        <v>75</v>
      </c>
      <c r="AV50" t="s">
        <v>60</v>
      </c>
      <c r="AW50">
        <v>0</v>
      </c>
      <c r="AX50">
        <v>3</v>
      </c>
      <c r="AY50">
        <v>0</v>
      </c>
      <c r="AZ50">
        <v>8500</v>
      </c>
      <c r="BA50">
        <v>100</v>
      </c>
      <c r="BB50">
        <v>100</v>
      </c>
      <c r="BC50">
        <v>100</v>
      </c>
      <c r="BD50">
        <v>100</v>
      </c>
      <c r="BE50">
        <v>1</v>
      </c>
      <c r="BF50">
        <v>15000</v>
      </c>
      <c r="BG50">
        <v>1000</v>
      </c>
      <c r="BH50" s="6">
        <f>Grandview_Inventory[[#This Row],[land_extract]]*Lookups!$B$3</f>
        <v>76385.068163625125</v>
      </c>
      <c r="BI50" s="6">
        <f>IF(Grandview_Inventory[[#This Row],[bldg_style]]="",0,Lookups!$B$2)</f>
        <v>155833.95000000001</v>
      </c>
      <c r="BJ50" s="6">
        <f>_xlfn.IFNA(VLOOKUP(Grandview_Inventory[[#This Row],[quality]],Lookups!$H$2:$J$14,3,FALSE),0)</f>
        <v>10733</v>
      </c>
      <c r="BK50" s="6">
        <f>_xlfn.IFNA(VLOOKUP(Grandview_Inventory[[#This Row],[condition]],Lookups!$H$17:$J$24,3,FALSE),0)</f>
        <v>-45357</v>
      </c>
      <c r="BL50" s="6">
        <f>Grandview_Inventory[[#This Row],[Eff_Age]]*Lookups!$B$14</f>
        <v>-11479.996799999999</v>
      </c>
      <c r="BM50" s="6">
        <f>Grandview_Inventory[[#This Row],[living_area]]*Lookups!$B$15</f>
        <v>80845.585487999997</v>
      </c>
      <c r="BN50" s="6">
        <f>Grandview_Inventory[[#This Row],[Fin BSMT]]*Lookups!$B$16</f>
        <v>0</v>
      </c>
      <c r="BO50" s="6">
        <f>(Grandview_Inventory[[#This Row],[att_gar]]+Grandview_Inventory[[#This Row],[bltin_gar]])*Lookups!$B$17</f>
        <v>0</v>
      </c>
      <c r="BP50" s="6">
        <f>Grandview_Inventory[[#This Row],[Plumbing Fixtures]]*Lookups!$B$18</f>
        <v>16083.5344</v>
      </c>
      <c r="BQ50" s="6">
        <f>Grandview_Inventory[[#This Row],[detatched_value]]*Lookups!$B$19</f>
        <v>7197.8433500000001</v>
      </c>
      <c r="BR50" s="6">
        <f>SUM(Grandview_Inventory[[#This Row],[Intercept]:[det_value]])*Grandview_Inventory[[#This Row],[res_pct]]</f>
        <v>213856.91643800001</v>
      </c>
      <c r="BS50" s="6">
        <f>Grandview_Inventory[[#This Row],[land_value]]</f>
        <v>76385.068163625125</v>
      </c>
      <c r="BT50" s="4">
        <f>_xlfn.IFNA(VLOOKUP(Grandview_Inventory[[#This Row],[quality]],Lookups!$A$26:$C$33,3,FALSE),1)</f>
        <v>0.98079741117310582</v>
      </c>
      <c r="BU50" s="4">
        <f>_xlfn.IFNA(VLOOKUP(Grandview_Inventory[[#This Row],[condition]],Lookups!$A$37:$C$44,3,FALSE),1)</f>
        <v>0.97161819570155394</v>
      </c>
      <c r="BV50" s="4">
        <f>IF(Grandview_Inventory[[#This Row],[bldg_style]]="",1,_xlfn.IFNA(VLOOKUP(Grandview_Inventory[[#This Row],[decade]],Lookups!$F$29:$H$43,3,FALSE),1))</f>
        <v>0.99472141305414818</v>
      </c>
      <c r="BW50" s="4">
        <f>_xlfn.IFNA(VLOOKUP(Grandview_Inventory[[#This Row],[living_area_range]],Lookups!$F$47:$H$56,3,FALSE),1)</f>
        <v>0.96135087979789358</v>
      </c>
      <c r="BX50" s="4">
        <f>AVERAGE(Grandview_Inventory[[#This Row],[qual_adj]:[size_adj]])</f>
        <v>0.9771219749316753</v>
      </c>
      <c r="BY50" s="6">
        <f>IF(Grandview_Inventory[[#This Row],[pre_res]]&lt;0,0,Grandview_Inventory[[#This Row],[pre_res]]*Grandview_Inventory[[#This Row],[overall_adj]])</f>
        <v>208964.29254269684</v>
      </c>
      <c r="BZ50" s="6">
        <f>(Grandview_Inventory[[#This Row],[sum_land]]-IF(Grandview_Inventory[[#This Row],[no_utilities]]=1,12000,0))/IF(Grandview_Inventory[[#This Row],[unbuildable]]=1,2,1)</f>
        <v>76385.068163625125</v>
      </c>
      <c r="CA50">
        <f>IF(ROUND(Grandview_Inventory[[#This Row],[adj_land]]*Lookups!$M$28,-2)&lt;Grandview_Inventory[[#This Row],[min_land]],Grandview_Inventory[[#This Row],[min_land]],ROUND(Grandview_Inventory[[#This Row],[adj_land]]*Lookups!$M$28,-2))</f>
        <v>72600</v>
      </c>
      <c r="CB50">
        <f>ROUND(Grandview_Inventory[[#This Row],[det_value]]*Lookups!$M$28,-2)</f>
        <v>6800</v>
      </c>
      <c r="CC50">
        <f>IF(ROUND(Grandview_Inventory[[#This Row],[adj_res]]*Lookups!$M$28,-2)&lt;Grandview_Inventory[[#This Row],[min_res]],Grandview_Inventory[[#This Row],[min_res]],ROUND(Grandview_Inventory[[#This Row],[adj_res]]*Lookups!$M$28,-2))</f>
        <v>198500</v>
      </c>
      <c r="CD50">
        <f>Grandview_Inventory[[#This Row],[final_det]]+Grandview_Inventory[[#This Row],[final_res]]</f>
        <v>205300</v>
      </c>
      <c r="CE50">
        <f>Grandview_Inventory[[#This Row],[final_land]]+Grandview_Inventory[[#This Row],[final_imp]]+Grandview_Inventory[[#This Row],[crop_value]]</f>
        <v>277900</v>
      </c>
      <c r="CG50" t="str">
        <f t="shared" si="0"/>
        <v>update valuation set market_land =72600, market_bldg=205300, market_total =277900, market_mdno =401, market_date ='9/10/2023' where link_id = (select link_id from parcel where parcel_year = '2024' and parcel_id = '23091421002');</v>
      </c>
    </row>
    <row r="51" spans="1:85" x14ac:dyDescent="0.25">
      <c r="A51">
        <v>23091421402</v>
      </c>
      <c r="B51">
        <v>5.4</v>
      </c>
      <c r="C51">
        <v>235166</v>
      </c>
      <c r="D51" t="s">
        <v>129</v>
      </c>
      <c r="E51" t="s">
        <v>53</v>
      </c>
      <c r="F51" t="s">
        <v>53</v>
      </c>
      <c r="G51">
        <v>4</v>
      </c>
      <c r="H51" t="s">
        <v>54</v>
      </c>
      <c r="I51">
        <v>279600</v>
      </c>
      <c r="J51">
        <v>51000</v>
      </c>
      <c r="K51">
        <v>5.4</v>
      </c>
      <c r="L51">
        <f>IF(Grandview_Inventory[[#This Row],[parcel_acres]]-Grandview_Inventory[[#This Row],[non_valued_acres]] =0,0,LN(Grandview_Inventory[[#This Row],[parcel_acres]]-Grandview_Inventory[[#This Row],[non_valued_acres]]))</f>
        <v>1.6863989535702288</v>
      </c>
      <c r="M51">
        <v>0</v>
      </c>
      <c r="N51">
        <v>0</v>
      </c>
      <c r="O51">
        <v>0</v>
      </c>
      <c r="P51">
        <v>13398.7528</v>
      </c>
      <c r="Q51">
        <v>63903</v>
      </c>
      <c r="R51">
        <f>(Grandview_Inventory[[#This Row],[ln_acres]]*Grandview_Inventory[[#This Row],[coeff]])+Grandview_Inventory[[#This Row],[const]]</f>
        <v>86498.642701066172</v>
      </c>
      <c r="S51" t="s">
        <v>61</v>
      </c>
      <c r="T51">
        <v>1</v>
      </c>
      <c r="U51" t="s">
        <v>65</v>
      </c>
      <c r="V51" t="s">
        <v>69</v>
      </c>
      <c r="W51">
        <v>0</v>
      </c>
      <c r="X51">
        <v>0</v>
      </c>
      <c r="Y51">
        <v>43</v>
      </c>
      <c r="Z51">
        <v>44</v>
      </c>
      <c r="AA51">
        <v>50</v>
      </c>
      <c r="AB51">
        <v>2500</v>
      </c>
      <c r="AC51">
        <v>2046</v>
      </c>
      <c r="AD51">
        <v>2046</v>
      </c>
      <c r="AE51">
        <v>0</v>
      </c>
      <c r="AF51">
        <v>0</v>
      </c>
      <c r="AG51">
        <v>0</v>
      </c>
      <c r="AH51">
        <v>0</v>
      </c>
      <c r="AI51">
        <v>540</v>
      </c>
      <c r="AJ51">
        <v>0</v>
      </c>
      <c r="AK51">
        <v>0</v>
      </c>
      <c r="AL51">
        <v>0</v>
      </c>
      <c r="AM51">
        <v>0</v>
      </c>
      <c r="AN51">
        <v>54</v>
      </c>
      <c r="AO51">
        <v>0</v>
      </c>
      <c r="AP51">
        <v>8</v>
      </c>
      <c r="AQ51">
        <v>0</v>
      </c>
      <c r="AR51">
        <v>1</v>
      </c>
      <c r="AS51" t="s">
        <v>58</v>
      </c>
      <c r="AT51">
        <v>1</v>
      </c>
      <c r="AU51" t="s">
        <v>63</v>
      </c>
      <c r="AV51" t="s">
        <v>60</v>
      </c>
      <c r="AW51">
        <v>1</v>
      </c>
      <c r="AX51">
        <v>3</v>
      </c>
      <c r="AY51">
        <v>0</v>
      </c>
      <c r="AZ51">
        <v>36700</v>
      </c>
      <c r="BA51">
        <v>100</v>
      </c>
      <c r="BB51">
        <v>100</v>
      </c>
      <c r="BC51">
        <v>100</v>
      </c>
      <c r="BD51">
        <v>100</v>
      </c>
      <c r="BE51">
        <v>1</v>
      </c>
      <c r="BF51">
        <v>15000</v>
      </c>
      <c r="BG51">
        <v>1000</v>
      </c>
      <c r="BH51" s="6">
        <f>Grandview_Inventory[[#This Row],[land_extract]]*Lookups!$B$3</f>
        <v>100450.64022241285</v>
      </c>
      <c r="BI51" s="6">
        <f>IF(Grandview_Inventory[[#This Row],[bldg_style]]="",0,Lookups!$B$2)</f>
        <v>155833.95000000001</v>
      </c>
      <c r="BJ51" s="6">
        <f>_xlfn.IFNA(VLOOKUP(Grandview_Inventory[[#This Row],[quality]],Lookups!$H$2:$J$14,3,FALSE),0)</f>
        <v>2251</v>
      </c>
      <c r="BK51" s="6">
        <f>_xlfn.IFNA(VLOOKUP(Grandview_Inventory[[#This Row],[condition]],Lookups!$H$17:$J$24,3,FALSE),0)</f>
        <v>-4503</v>
      </c>
      <c r="BL51" s="6">
        <f>Grandview_Inventory[[#This Row],[Eff_Age]]*Lookups!$B$14</f>
        <v>-10284.1638</v>
      </c>
      <c r="BM51" s="6">
        <f>Grandview_Inventory[[#This Row],[living_area]]*Lookups!$B$15</f>
        <v>127631.225238</v>
      </c>
      <c r="BN51" s="6">
        <f>Grandview_Inventory[[#This Row],[Fin BSMT]]*Lookups!$B$16</f>
        <v>0</v>
      </c>
      <c r="BO51" s="6">
        <f>(Grandview_Inventory[[#This Row],[att_gar]]+Grandview_Inventory[[#This Row],[bltin_gar]])*Lookups!$B$17</f>
        <v>47261.035980000001</v>
      </c>
      <c r="BP51" s="6">
        <f>Grandview_Inventory[[#This Row],[Plumbing Fixtures]]*Lookups!$B$18</f>
        <v>16083.5344</v>
      </c>
      <c r="BQ51" s="6">
        <f>Grandview_Inventory[[#This Row],[detatched_value]]*Lookups!$B$19</f>
        <v>31077.747169999999</v>
      </c>
      <c r="BR51" s="6">
        <f>SUM(Grandview_Inventory[[#This Row],[Intercept]:[det_value]])*Grandview_Inventory[[#This Row],[res_pct]]</f>
        <v>365351.32898799999</v>
      </c>
      <c r="BS51" s="6">
        <f>Grandview_Inventory[[#This Row],[land_value]]</f>
        <v>100450.64022241285</v>
      </c>
      <c r="BT51" s="4">
        <f>_xlfn.IFNA(VLOOKUP(Grandview_Inventory[[#This Row],[quality]],Lookups!$A$26:$C$33,3,FALSE),1)</f>
        <v>0.98763855981004833</v>
      </c>
      <c r="BU51" s="4">
        <f>_xlfn.IFNA(VLOOKUP(Grandview_Inventory[[#This Row],[condition]],Lookups!$A$37:$C$44,3,FALSE),1)</f>
        <v>0.96469275950863709</v>
      </c>
      <c r="BV51" s="4">
        <f>IF(Grandview_Inventory[[#This Row],[bldg_style]]="",1,_xlfn.IFNA(VLOOKUP(Grandview_Inventory[[#This Row],[decade]],Lookups!$F$29:$H$43,3,FALSE),1))</f>
        <v>0.9871940091910919</v>
      </c>
      <c r="BW51" s="4">
        <f>_xlfn.IFNA(VLOOKUP(Grandview_Inventory[[#This Row],[living_area_range]],Lookups!$F$47:$H$56,3,FALSE),1)</f>
        <v>0.95799442568048754</v>
      </c>
      <c r="BX51" s="4">
        <f>AVERAGE(Grandview_Inventory[[#This Row],[qual_adj]:[size_adj]])</f>
        <v>0.97437993854756622</v>
      </c>
      <c r="BY51" s="6">
        <f>IF(Grandview_Inventory[[#This Row],[pre_res]]&lt;0,0,Grandview_Inventory[[#This Row],[pre_res]]*Grandview_Inventory[[#This Row],[overall_adj]])</f>
        <v>355991.00548759906</v>
      </c>
      <c r="BZ51" s="6">
        <f>(Grandview_Inventory[[#This Row],[sum_land]]-IF(Grandview_Inventory[[#This Row],[no_utilities]]=1,12000,0))/IF(Grandview_Inventory[[#This Row],[unbuildable]]=1,2,1)</f>
        <v>100450.64022241285</v>
      </c>
      <c r="CA51">
        <f>IF(ROUND(Grandview_Inventory[[#This Row],[adj_land]]*Lookups!$M$28,-2)&lt;Grandview_Inventory[[#This Row],[min_land]],Grandview_Inventory[[#This Row],[min_land]],ROUND(Grandview_Inventory[[#This Row],[adj_land]]*Lookups!$M$28,-2))</f>
        <v>95400</v>
      </c>
      <c r="CB51">
        <f>ROUND(Grandview_Inventory[[#This Row],[det_value]]*Lookups!$M$28,-2)</f>
        <v>29500</v>
      </c>
      <c r="CC51">
        <f>IF(ROUND(Grandview_Inventory[[#This Row],[adj_res]]*Lookups!$M$28,-2)&lt;Grandview_Inventory[[#This Row],[min_res]],Grandview_Inventory[[#This Row],[min_res]],ROUND(Grandview_Inventory[[#This Row],[adj_res]]*Lookups!$M$28,-2))</f>
        <v>338200</v>
      </c>
      <c r="CD51">
        <f>Grandview_Inventory[[#This Row],[final_det]]+Grandview_Inventory[[#This Row],[final_res]]</f>
        <v>367700</v>
      </c>
      <c r="CE51">
        <f>Grandview_Inventory[[#This Row],[final_land]]+Grandview_Inventory[[#This Row],[final_imp]]+Grandview_Inventory[[#This Row],[crop_value]]</f>
        <v>463100</v>
      </c>
      <c r="CG51" t="str">
        <f t="shared" si="0"/>
        <v>update valuation set market_land =95400, market_bldg=367700, market_total =463100, market_mdno =401, market_date ='9/10/2023' where link_id = (select link_id from parcel where parcel_year = '2024' and parcel_id = '23091421402');</v>
      </c>
    </row>
    <row r="52" spans="1:85" x14ac:dyDescent="0.25">
      <c r="A52">
        <v>23091421403</v>
      </c>
      <c r="B52">
        <v>5.4</v>
      </c>
      <c r="C52">
        <v>235166</v>
      </c>
      <c r="D52" t="s">
        <v>129</v>
      </c>
      <c r="E52" t="s">
        <v>53</v>
      </c>
      <c r="F52" t="s">
        <v>53</v>
      </c>
      <c r="G52">
        <v>4</v>
      </c>
      <c r="H52" t="s">
        <v>54</v>
      </c>
      <c r="I52">
        <v>316400</v>
      </c>
      <c r="J52">
        <v>51000</v>
      </c>
      <c r="K52">
        <v>5.4</v>
      </c>
      <c r="L52">
        <f>IF(Grandview_Inventory[[#This Row],[parcel_acres]]-Grandview_Inventory[[#This Row],[non_valued_acres]] =0,0,LN(Grandview_Inventory[[#This Row],[parcel_acres]]-Grandview_Inventory[[#This Row],[non_valued_acres]]))</f>
        <v>1.6863989535702288</v>
      </c>
      <c r="M52">
        <v>0</v>
      </c>
      <c r="N52">
        <v>0</v>
      </c>
      <c r="O52">
        <v>0</v>
      </c>
      <c r="P52">
        <v>13398.7528</v>
      </c>
      <c r="Q52">
        <v>63903</v>
      </c>
      <c r="R52">
        <f>(Grandview_Inventory[[#This Row],[ln_acres]]*Grandview_Inventory[[#This Row],[coeff]])+Grandview_Inventory[[#This Row],[const]]</f>
        <v>86498.642701066172</v>
      </c>
      <c r="S52" t="s">
        <v>74</v>
      </c>
      <c r="T52">
        <v>1</v>
      </c>
      <c r="U52" t="s">
        <v>62</v>
      </c>
      <c r="V52" t="s">
        <v>69</v>
      </c>
      <c r="W52">
        <v>0</v>
      </c>
      <c r="X52">
        <v>0</v>
      </c>
      <c r="Y52">
        <v>43</v>
      </c>
      <c r="Z52">
        <v>45</v>
      </c>
      <c r="AA52">
        <v>50</v>
      </c>
      <c r="AB52">
        <v>3000</v>
      </c>
      <c r="AC52">
        <v>2637</v>
      </c>
      <c r="AD52">
        <v>1909</v>
      </c>
      <c r="AE52">
        <v>0</v>
      </c>
      <c r="AF52">
        <v>0</v>
      </c>
      <c r="AG52">
        <v>728</v>
      </c>
      <c r="AH52">
        <v>0</v>
      </c>
      <c r="AI52">
        <v>672</v>
      </c>
      <c r="AJ52">
        <v>0</v>
      </c>
      <c r="AK52">
        <v>594</v>
      </c>
      <c r="AL52">
        <v>0</v>
      </c>
      <c r="AM52">
        <v>128</v>
      </c>
      <c r="AN52">
        <v>16</v>
      </c>
      <c r="AO52">
        <v>128</v>
      </c>
      <c r="AP52">
        <v>8</v>
      </c>
      <c r="AQ52">
        <v>1</v>
      </c>
      <c r="AR52">
        <v>0</v>
      </c>
      <c r="AS52" t="s">
        <v>58</v>
      </c>
      <c r="AT52">
        <v>1</v>
      </c>
      <c r="AU52" t="s">
        <v>59</v>
      </c>
      <c r="AV52" t="s">
        <v>60</v>
      </c>
      <c r="AW52">
        <v>1</v>
      </c>
      <c r="AX52">
        <v>4</v>
      </c>
      <c r="AY52">
        <v>0</v>
      </c>
      <c r="AZ52">
        <v>8400</v>
      </c>
      <c r="BA52">
        <v>100</v>
      </c>
      <c r="BB52">
        <v>100</v>
      </c>
      <c r="BC52">
        <v>100</v>
      </c>
      <c r="BD52">
        <v>100</v>
      </c>
      <c r="BE52">
        <v>1</v>
      </c>
      <c r="BF52">
        <v>15000</v>
      </c>
      <c r="BG52">
        <v>1000</v>
      </c>
      <c r="BH52" s="6">
        <f>Grandview_Inventory[[#This Row],[land_extract]]*Lookups!$B$3</f>
        <v>100450.64022241285</v>
      </c>
      <c r="BI52" s="6">
        <f>IF(Grandview_Inventory[[#This Row],[bldg_style]]="",0,Lookups!$B$2)</f>
        <v>155833.95000000001</v>
      </c>
      <c r="BJ52" s="6">
        <f>_xlfn.IFNA(VLOOKUP(Grandview_Inventory[[#This Row],[quality]],Lookups!$H$2:$J$14,3,FALSE),0)</f>
        <v>9808</v>
      </c>
      <c r="BK52" s="6">
        <f>_xlfn.IFNA(VLOOKUP(Grandview_Inventory[[#This Row],[condition]],Lookups!$H$17:$J$24,3,FALSE),0)</f>
        <v>-4503</v>
      </c>
      <c r="BL52" s="6">
        <f>Grandview_Inventory[[#This Row],[Eff_Age]]*Lookups!$B$14</f>
        <v>-10284.1638</v>
      </c>
      <c r="BM52" s="6">
        <f>Grandview_Inventory[[#This Row],[living_area]]*Lookups!$B$15</f>
        <v>164498.30936099999</v>
      </c>
      <c r="BN52" s="6">
        <f>Grandview_Inventory[[#This Row],[Fin BSMT]]*Lookups!$B$16</f>
        <v>-19728.246720000003</v>
      </c>
      <c r="BO52" s="6">
        <f>(Grandview_Inventory[[#This Row],[att_gar]]+Grandview_Inventory[[#This Row],[bltin_gar]])*Lookups!$B$17</f>
        <v>58813.733663999999</v>
      </c>
      <c r="BP52" s="6">
        <f>Grandview_Inventory[[#This Row],[Plumbing Fixtures]]*Lookups!$B$18</f>
        <v>16083.5344</v>
      </c>
      <c r="BQ52" s="6">
        <f>Grandview_Inventory[[#This Row],[detatched_value]]*Lookups!$B$19</f>
        <v>7113.16284</v>
      </c>
      <c r="BR52" s="6">
        <f>SUM(Grandview_Inventory[[#This Row],[Intercept]:[det_value]])*Grandview_Inventory[[#This Row],[res_pct]]</f>
        <v>377635.27974500001</v>
      </c>
      <c r="BS52" s="6">
        <f>Grandview_Inventory[[#This Row],[land_value]]</f>
        <v>100450.64022241285</v>
      </c>
      <c r="BT52" s="4">
        <f>_xlfn.IFNA(VLOOKUP(Grandview_Inventory[[#This Row],[quality]],Lookups!$A$26:$C$33,3,FALSE),1)</f>
        <v>0.94295468617355149</v>
      </c>
      <c r="BU52" s="4">
        <f>_xlfn.IFNA(VLOOKUP(Grandview_Inventory[[#This Row],[condition]],Lookups!$A$37:$C$44,3,FALSE),1)</f>
        <v>0.96469275950863709</v>
      </c>
      <c r="BV52" s="4">
        <f>IF(Grandview_Inventory[[#This Row],[bldg_style]]="",1,_xlfn.IFNA(VLOOKUP(Grandview_Inventory[[#This Row],[decade]],Lookups!$F$29:$H$43,3,FALSE),1))</f>
        <v>0.9871940091910919</v>
      </c>
      <c r="BW52" s="4">
        <f>_xlfn.IFNA(VLOOKUP(Grandview_Inventory[[#This Row],[living_area_range]],Lookups!$F$47:$H$56,3,FALSE),1)</f>
        <v>0.94224801443562123</v>
      </c>
      <c r="BX52" s="4">
        <f>AVERAGE(Grandview_Inventory[[#This Row],[qual_adj]:[size_adj]])</f>
        <v>0.95927236732722543</v>
      </c>
      <c r="BY52" s="6">
        <f>IF(Grandview_Inventory[[#This Row],[pre_res]]&lt;0,0,Grandview_Inventory[[#This Row],[pre_res]]*Grandview_Inventory[[#This Row],[overall_adj]])</f>
        <v>362255.08878726518</v>
      </c>
      <c r="BZ52" s="6">
        <f>(Grandview_Inventory[[#This Row],[sum_land]]-IF(Grandview_Inventory[[#This Row],[no_utilities]]=1,12000,0))/IF(Grandview_Inventory[[#This Row],[unbuildable]]=1,2,1)</f>
        <v>100450.64022241285</v>
      </c>
      <c r="CA52">
        <f>IF(ROUND(Grandview_Inventory[[#This Row],[adj_land]]*Lookups!$M$28,-2)&lt;Grandview_Inventory[[#This Row],[min_land]],Grandview_Inventory[[#This Row],[min_land]],ROUND(Grandview_Inventory[[#This Row],[adj_land]]*Lookups!$M$28,-2))</f>
        <v>95400</v>
      </c>
      <c r="CB52">
        <f>ROUND(Grandview_Inventory[[#This Row],[det_value]]*Lookups!$M$28,-2)</f>
        <v>6800</v>
      </c>
      <c r="CC52">
        <f>IF(ROUND(Grandview_Inventory[[#This Row],[adj_res]]*Lookups!$M$28,-2)&lt;Grandview_Inventory[[#This Row],[min_res]],Grandview_Inventory[[#This Row],[min_res]],ROUND(Grandview_Inventory[[#This Row],[adj_res]]*Lookups!$M$28,-2))</f>
        <v>344100</v>
      </c>
      <c r="CD52">
        <f>Grandview_Inventory[[#This Row],[final_det]]+Grandview_Inventory[[#This Row],[final_res]]</f>
        <v>350900</v>
      </c>
      <c r="CE52">
        <f>Grandview_Inventory[[#This Row],[final_land]]+Grandview_Inventory[[#This Row],[final_imp]]+Grandview_Inventory[[#This Row],[crop_value]]</f>
        <v>446300</v>
      </c>
      <c r="CG52" t="str">
        <f t="shared" si="0"/>
        <v>update valuation set market_land =95400, market_bldg=350900, market_total =446300, market_mdno =401, market_date ='9/10/2023' where link_id = (select link_id from parcel where parcel_year = '2024' and parcel_id = '23091421403');</v>
      </c>
    </row>
    <row r="53" spans="1:85" x14ac:dyDescent="0.25">
      <c r="A53">
        <v>23091421404</v>
      </c>
      <c r="B53">
        <v>4.43</v>
      </c>
      <c r="C53">
        <v>192807</v>
      </c>
      <c r="D53" t="s">
        <v>129</v>
      </c>
      <c r="E53" t="s">
        <v>53</v>
      </c>
      <c r="F53" t="s">
        <v>53</v>
      </c>
      <c r="G53">
        <v>4</v>
      </c>
      <c r="H53" t="s">
        <v>54</v>
      </c>
      <c r="I53">
        <v>205400</v>
      </c>
      <c r="J53">
        <v>50300</v>
      </c>
      <c r="K53">
        <v>4.43</v>
      </c>
      <c r="L53">
        <f>IF(Grandview_Inventory[[#This Row],[parcel_acres]]-Grandview_Inventory[[#This Row],[non_valued_acres]] =0,0,LN(Grandview_Inventory[[#This Row],[parcel_acres]]-Grandview_Inventory[[#This Row],[non_valued_acres]]))</f>
        <v>1.4883995840570443</v>
      </c>
      <c r="M53">
        <v>0</v>
      </c>
      <c r="N53">
        <v>0</v>
      </c>
      <c r="O53">
        <v>0</v>
      </c>
      <c r="P53">
        <v>13398.7528</v>
      </c>
      <c r="Q53">
        <v>63903</v>
      </c>
      <c r="R53">
        <f>(Grandview_Inventory[[#This Row],[ln_acres]]*Grandview_Inventory[[#This Row],[coeff]])+Grandview_Inventory[[#This Row],[const]]</f>
        <v>83845.698094403153</v>
      </c>
      <c r="S53" t="s">
        <v>61</v>
      </c>
      <c r="T53">
        <v>1</v>
      </c>
      <c r="U53" t="s">
        <v>65</v>
      </c>
      <c r="V53" t="s">
        <v>69</v>
      </c>
      <c r="W53">
        <v>0</v>
      </c>
      <c r="X53">
        <v>0</v>
      </c>
      <c r="Y53">
        <v>36</v>
      </c>
      <c r="Z53">
        <v>36</v>
      </c>
      <c r="AA53">
        <v>40</v>
      </c>
      <c r="AB53">
        <v>2500</v>
      </c>
      <c r="AC53">
        <v>2078</v>
      </c>
      <c r="AD53">
        <v>1496</v>
      </c>
      <c r="AE53">
        <v>0</v>
      </c>
      <c r="AF53">
        <v>0</v>
      </c>
      <c r="AG53">
        <v>582</v>
      </c>
      <c r="AH53">
        <v>194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132</v>
      </c>
      <c r="AO53">
        <v>0</v>
      </c>
      <c r="AP53">
        <v>8</v>
      </c>
      <c r="AQ53">
        <v>0</v>
      </c>
      <c r="AR53">
        <v>1</v>
      </c>
      <c r="AS53" t="s">
        <v>58</v>
      </c>
      <c r="AT53">
        <v>1</v>
      </c>
      <c r="AU53" t="s">
        <v>63</v>
      </c>
      <c r="AV53" t="s">
        <v>60</v>
      </c>
      <c r="AW53">
        <v>0</v>
      </c>
      <c r="AX53">
        <v>3</v>
      </c>
      <c r="AY53">
        <v>0</v>
      </c>
      <c r="AZ53">
        <v>27100</v>
      </c>
      <c r="BA53">
        <v>100</v>
      </c>
      <c r="BB53">
        <v>100</v>
      </c>
      <c r="BC53">
        <v>100</v>
      </c>
      <c r="BD53">
        <v>100</v>
      </c>
      <c r="BE53">
        <v>1</v>
      </c>
      <c r="BF53">
        <v>15000</v>
      </c>
      <c r="BG53">
        <v>1000</v>
      </c>
      <c r="BH53" s="6">
        <f>Grandview_Inventory[[#This Row],[land_extract]]*Lookups!$B$3</f>
        <v>97369.782813645521</v>
      </c>
      <c r="BI53" s="6">
        <f>IF(Grandview_Inventory[[#This Row],[bldg_style]]="",0,Lookups!$B$2)</f>
        <v>155833.95000000001</v>
      </c>
      <c r="BJ53" s="6">
        <f>_xlfn.IFNA(VLOOKUP(Grandview_Inventory[[#This Row],[quality]],Lookups!$H$2:$J$14,3,FALSE),0)</f>
        <v>2251</v>
      </c>
      <c r="BK53" s="6">
        <f>_xlfn.IFNA(VLOOKUP(Grandview_Inventory[[#This Row],[condition]],Lookups!$H$17:$J$24,3,FALSE),0)</f>
        <v>-4503</v>
      </c>
      <c r="BL53" s="6">
        <f>Grandview_Inventory[[#This Row],[Eff_Age]]*Lookups!$B$14</f>
        <v>-8609.9975999999988</v>
      </c>
      <c r="BM53" s="6">
        <f>Grandview_Inventory[[#This Row],[living_area]]*Lookups!$B$15</f>
        <v>129627.412534</v>
      </c>
      <c r="BN53" s="6">
        <f>Grandview_Inventory[[#This Row],[Fin BSMT]]*Lookups!$B$16</f>
        <v>-15771.757680000001</v>
      </c>
      <c r="BO53" s="6">
        <f>(Grandview_Inventory[[#This Row],[att_gar]]+Grandview_Inventory[[#This Row],[bltin_gar]])*Lookups!$B$17</f>
        <v>0</v>
      </c>
      <c r="BP53" s="6">
        <f>Grandview_Inventory[[#This Row],[Plumbing Fixtures]]*Lookups!$B$18</f>
        <v>16083.5344</v>
      </c>
      <c r="BQ53" s="6">
        <f>Grandview_Inventory[[#This Row],[detatched_value]]*Lookups!$B$19</f>
        <v>22948.41821</v>
      </c>
      <c r="BR53" s="6">
        <f>SUM(Grandview_Inventory[[#This Row],[Intercept]:[det_value]])*Grandview_Inventory[[#This Row],[res_pct]]</f>
        <v>297859.55986399995</v>
      </c>
      <c r="BS53" s="6">
        <f>Grandview_Inventory[[#This Row],[land_value]]</f>
        <v>97369.782813645521</v>
      </c>
      <c r="BT53" s="4">
        <f>_xlfn.IFNA(VLOOKUP(Grandview_Inventory[[#This Row],[quality]],Lookups!$A$26:$C$33,3,FALSE),1)</f>
        <v>0.98763855981004833</v>
      </c>
      <c r="BU53" s="4">
        <f>_xlfn.IFNA(VLOOKUP(Grandview_Inventory[[#This Row],[condition]],Lookups!$A$37:$C$44,3,FALSE),1)</f>
        <v>0.96469275950863709</v>
      </c>
      <c r="BV53" s="4">
        <f>IF(Grandview_Inventory[[#This Row],[bldg_style]]="",1,_xlfn.IFNA(VLOOKUP(Grandview_Inventory[[#This Row],[decade]],Lookups!$F$29:$H$43,3,FALSE),1))</f>
        <v>0.98031878267063854</v>
      </c>
      <c r="BW53" s="4">
        <f>_xlfn.IFNA(VLOOKUP(Grandview_Inventory[[#This Row],[living_area_range]],Lookups!$F$47:$H$56,3,FALSE),1)</f>
        <v>0.95799442568048754</v>
      </c>
      <c r="BX53" s="4">
        <f>AVERAGE(Grandview_Inventory[[#This Row],[qual_adj]:[size_adj]])</f>
        <v>0.97266113191745285</v>
      </c>
      <c r="BY53" s="6">
        <f>IF(Grandview_Inventory[[#This Row],[pre_res]]&lt;0,0,Grandview_Inventory[[#This Row],[pre_res]]*Grandview_Inventory[[#This Row],[overall_adj]])</f>
        <v>289716.41664975253</v>
      </c>
      <c r="BZ53" s="6">
        <f>(Grandview_Inventory[[#This Row],[sum_land]]-IF(Grandview_Inventory[[#This Row],[no_utilities]]=1,12000,0))/IF(Grandview_Inventory[[#This Row],[unbuildable]]=1,2,1)</f>
        <v>97369.782813645521</v>
      </c>
      <c r="CA53">
        <f>IF(ROUND(Grandview_Inventory[[#This Row],[adj_land]]*Lookups!$M$28,-2)&lt;Grandview_Inventory[[#This Row],[min_land]],Grandview_Inventory[[#This Row],[min_land]],ROUND(Grandview_Inventory[[#This Row],[adj_land]]*Lookups!$M$28,-2))</f>
        <v>92500</v>
      </c>
      <c r="CB53">
        <f>ROUND(Grandview_Inventory[[#This Row],[det_value]]*Lookups!$M$28,-2)</f>
        <v>21800</v>
      </c>
      <c r="CC53">
        <f>IF(ROUND(Grandview_Inventory[[#This Row],[adj_res]]*Lookups!$M$28,-2)&lt;Grandview_Inventory[[#This Row],[min_res]],Grandview_Inventory[[#This Row],[min_res]],ROUND(Grandview_Inventory[[#This Row],[adj_res]]*Lookups!$M$28,-2))</f>
        <v>275200</v>
      </c>
      <c r="CD53">
        <f>Grandview_Inventory[[#This Row],[final_det]]+Grandview_Inventory[[#This Row],[final_res]]</f>
        <v>297000</v>
      </c>
      <c r="CE53">
        <f>Grandview_Inventory[[#This Row],[final_land]]+Grandview_Inventory[[#This Row],[final_imp]]+Grandview_Inventory[[#This Row],[crop_value]]</f>
        <v>389500</v>
      </c>
      <c r="CG53" t="str">
        <f t="shared" si="0"/>
        <v>update valuation set market_land =92500, market_bldg=297000, market_total =389500, market_mdno =401, market_date ='9/10/2023' where link_id = (select link_id from parcel where parcel_year = '2024' and parcel_id = '23091421404');</v>
      </c>
    </row>
    <row r="54" spans="1:85" x14ac:dyDescent="0.25">
      <c r="A54">
        <v>23091421405</v>
      </c>
      <c r="B54">
        <v>1.5</v>
      </c>
      <c r="C54">
        <v>65358</v>
      </c>
      <c r="D54" t="s">
        <v>129</v>
      </c>
      <c r="E54" t="s">
        <v>53</v>
      </c>
      <c r="F54" t="s">
        <v>53</v>
      </c>
      <c r="G54">
        <v>4</v>
      </c>
      <c r="H54" t="s">
        <v>54</v>
      </c>
      <c r="I54">
        <v>276800</v>
      </c>
      <c r="J54">
        <v>44900</v>
      </c>
      <c r="K54">
        <v>1.5</v>
      </c>
      <c r="L54">
        <f>IF(Grandview_Inventory[[#This Row],[parcel_acres]]-Grandview_Inventory[[#This Row],[non_valued_acres]] =0,0,LN(Grandview_Inventory[[#This Row],[parcel_acres]]-Grandview_Inventory[[#This Row],[non_valued_acres]]))</f>
        <v>0.40546510810816438</v>
      </c>
      <c r="M54">
        <v>0</v>
      </c>
      <c r="N54">
        <v>0</v>
      </c>
      <c r="O54">
        <v>0</v>
      </c>
      <c r="P54">
        <v>13398.7528</v>
      </c>
      <c r="Q54">
        <v>63903</v>
      </c>
      <c r="R54">
        <f>(Grandview_Inventory[[#This Row],[ln_acres]]*Grandview_Inventory[[#This Row],[coeff]])+Grandview_Inventory[[#This Row],[const]]</f>
        <v>69335.726752566567</v>
      </c>
      <c r="S54" t="s">
        <v>61</v>
      </c>
      <c r="T54">
        <v>1</v>
      </c>
      <c r="U54" t="s">
        <v>80</v>
      </c>
      <c r="V54" t="s">
        <v>69</v>
      </c>
      <c r="W54">
        <v>0</v>
      </c>
      <c r="X54">
        <v>0</v>
      </c>
      <c r="Y54">
        <v>49</v>
      </c>
      <c r="Z54">
        <v>68</v>
      </c>
      <c r="AA54">
        <v>70</v>
      </c>
      <c r="AB54">
        <v>2500</v>
      </c>
      <c r="AC54">
        <v>2288</v>
      </c>
      <c r="AD54">
        <v>1144</v>
      </c>
      <c r="AE54">
        <v>0</v>
      </c>
      <c r="AF54">
        <v>0</v>
      </c>
      <c r="AG54">
        <v>1144</v>
      </c>
      <c r="AH54">
        <v>0</v>
      </c>
      <c r="AI54">
        <v>0</v>
      </c>
      <c r="AJ54">
        <v>0</v>
      </c>
      <c r="AK54">
        <v>0</v>
      </c>
      <c r="AL54">
        <v>246</v>
      </c>
      <c r="AM54">
        <v>0</v>
      </c>
      <c r="AN54">
        <v>0</v>
      </c>
      <c r="AO54">
        <v>0</v>
      </c>
      <c r="AP54">
        <v>9</v>
      </c>
      <c r="AQ54">
        <v>1</v>
      </c>
      <c r="AR54">
        <v>0</v>
      </c>
      <c r="AS54" t="s">
        <v>58</v>
      </c>
      <c r="AT54">
        <v>1</v>
      </c>
      <c r="AU54" t="s">
        <v>75</v>
      </c>
      <c r="AV54" t="s">
        <v>60</v>
      </c>
      <c r="AW54">
        <v>0</v>
      </c>
      <c r="AX54">
        <v>3</v>
      </c>
      <c r="AY54">
        <v>0</v>
      </c>
      <c r="AZ54">
        <v>62700</v>
      </c>
      <c r="BA54">
        <v>100</v>
      </c>
      <c r="BB54">
        <v>100</v>
      </c>
      <c r="BC54">
        <v>100</v>
      </c>
      <c r="BD54">
        <v>100</v>
      </c>
      <c r="BE54">
        <v>1</v>
      </c>
      <c r="BF54">
        <v>15000</v>
      </c>
      <c r="BG54">
        <v>1000</v>
      </c>
      <c r="BH54" s="6">
        <f>Grandview_Inventory[[#This Row],[land_extract]]*Lookups!$B$3</f>
        <v>80519.392271293327</v>
      </c>
      <c r="BI54" s="6">
        <f>IF(Grandview_Inventory[[#This Row],[bldg_style]]="",0,Lookups!$B$2)</f>
        <v>155833.95000000001</v>
      </c>
      <c r="BJ54" s="6">
        <f>_xlfn.IFNA(VLOOKUP(Grandview_Inventory[[#This Row],[quality]],Lookups!$H$2:$J$14,3,FALSE),0)</f>
        <v>-28558</v>
      </c>
      <c r="BK54" s="6">
        <f>_xlfn.IFNA(VLOOKUP(Grandview_Inventory[[#This Row],[condition]],Lookups!$H$17:$J$24,3,FALSE),0)</f>
        <v>-4503</v>
      </c>
      <c r="BL54" s="6">
        <f>Grandview_Inventory[[#This Row],[Eff_Age]]*Lookups!$B$14</f>
        <v>-11719.163399999999</v>
      </c>
      <c r="BM54" s="6">
        <f>Grandview_Inventory[[#This Row],[living_area]]*Lookups!$B$15</f>
        <v>142727.391664</v>
      </c>
      <c r="BN54" s="6">
        <f>Grandview_Inventory[[#This Row],[Fin BSMT]]*Lookups!$B$16</f>
        <v>-31001.530560000003</v>
      </c>
      <c r="BO54" s="6">
        <f>(Grandview_Inventory[[#This Row],[att_gar]]+Grandview_Inventory[[#This Row],[bltin_gar]])*Lookups!$B$17</f>
        <v>0</v>
      </c>
      <c r="BP54" s="6">
        <f>Grandview_Inventory[[#This Row],[Plumbing Fixtures]]*Lookups!$B$18</f>
        <v>18093.976200000001</v>
      </c>
      <c r="BQ54" s="6">
        <f>Grandview_Inventory[[#This Row],[detatched_value]]*Lookups!$B$19</f>
        <v>53094.679769999995</v>
      </c>
      <c r="BR54" s="6">
        <f>SUM(Grandview_Inventory[[#This Row],[Intercept]:[det_value]])*Grandview_Inventory[[#This Row],[res_pct]]</f>
        <v>293968.30367399997</v>
      </c>
      <c r="BS54" s="6">
        <f>Grandview_Inventory[[#This Row],[land_value]]</f>
        <v>80519.392271293327</v>
      </c>
      <c r="BT54" s="4">
        <f>_xlfn.IFNA(VLOOKUP(Grandview_Inventory[[#This Row],[quality]],Lookups!$A$26:$C$33,3,FALSE),1)</f>
        <v>0.9690360070159818</v>
      </c>
      <c r="BU54" s="4">
        <f>_xlfn.IFNA(VLOOKUP(Grandview_Inventory[[#This Row],[condition]],Lookups!$A$37:$C$44,3,FALSE),1)</f>
        <v>0.96469275950863709</v>
      </c>
      <c r="BV54" s="4">
        <f>IF(Grandview_Inventory[[#This Row],[bldg_style]]="",1,_xlfn.IFNA(VLOOKUP(Grandview_Inventory[[#This Row],[decade]],Lookups!$F$29:$H$43,3,FALSE),1))</f>
        <v>0.99472141305414818</v>
      </c>
      <c r="BW54" s="4">
        <f>_xlfn.IFNA(VLOOKUP(Grandview_Inventory[[#This Row],[living_area_range]],Lookups!$F$47:$H$56,3,FALSE),1)</f>
        <v>0.95799442568048754</v>
      </c>
      <c r="BX54" s="4">
        <f>AVERAGE(Grandview_Inventory[[#This Row],[qual_adj]:[size_adj]])</f>
        <v>0.97161115131481357</v>
      </c>
      <c r="BY54" s="6">
        <f>IF(Grandview_Inventory[[#This Row],[pre_res]]&lt;0,0,Grandview_Inventory[[#This Row],[pre_res]]*Grandview_Inventory[[#This Row],[overall_adj]])</f>
        <v>285622.88198275783</v>
      </c>
      <c r="BZ54" s="6">
        <f>(Grandview_Inventory[[#This Row],[sum_land]]-IF(Grandview_Inventory[[#This Row],[no_utilities]]=1,12000,0))/IF(Grandview_Inventory[[#This Row],[unbuildable]]=1,2,1)</f>
        <v>80519.392271293327</v>
      </c>
      <c r="CA54">
        <f>IF(ROUND(Grandview_Inventory[[#This Row],[adj_land]]*Lookups!$M$28,-2)&lt;Grandview_Inventory[[#This Row],[min_land]],Grandview_Inventory[[#This Row],[min_land]],ROUND(Grandview_Inventory[[#This Row],[adj_land]]*Lookups!$M$28,-2))</f>
        <v>76500</v>
      </c>
      <c r="CB54">
        <f>ROUND(Grandview_Inventory[[#This Row],[det_value]]*Lookups!$M$28,-2)</f>
        <v>50400</v>
      </c>
      <c r="CC54">
        <f>IF(ROUND(Grandview_Inventory[[#This Row],[adj_res]]*Lookups!$M$28,-2)&lt;Grandview_Inventory[[#This Row],[min_res]],Grandview_Inventory[[#This Row],[min_res]],ROUND(Grandview_Inventory[[#This Row],[adj_res]]*Lookups!$M$28,-2))</f>
        <v>271300</v>
      </c>
      <c r="CD54">
        <f>Grandview_Inventory[[#This Row],[final_det]]+Grandview_Inventory[[#This Row],[final_res]]</f>
        <v>321700</v>
      </c>
      <c r="CE54">
        <f>Grandview_Inventory[[#This Row],[final_land]]+Grandview_Inventory[[#This Row],[final_imp]]+Grandview_Inventory[[#This Row],[crop_value]]</f>
        <v>398200</v>
      </c>
      <c r="CG54" t="str">
        <f t="shared" si="0"/>
        <v>update valuation set market_land =76500, market_bldg=321700, market_total =398200, market_mdno =401, market_date ='9/10/2023' where link_id = (select link_id from parcel where parcel_year = '2024' and parcel_id = '23091421405');</v>
      </c>
    </row>
    <row r="55" spans="1:85" x14ac:dyDescent="0.25">
      <c r="A55">
        <v>23091421407</v>
      </c>
      <c r="B55">
        <v>2.0499999999999998</v>
      </c>
      <c r="C55">
        <v>89183</v>
      </c>
      <c r="D55" t="s">
        <v>129</v>
      </c>
      <c r="E55" t="s">
        <v>53</v>
      </c>
      <c r="F55" t="s">
        <v>53</v>
      </c>
      <c r="G55">
        <v>4</v>
      </c>
      <c r="H55" t="s">
        <v>54</v>
      </c>
      <c r="I55">
        <v>335000</v>
      </c>
      <c r="J55">
        <v>45900</v>
      </c>
      <c r="K55">
        <v>2.0499999999999998</v>
      </c>
      <c r="L55">
        <f>IF(Grandview_Inventory[[#This Row],[parcel_acres]]-Grandview_Inventory[[#This Row],[non_valued_acres]] =0,0,LN(Grandview_Inventory[[#This Row],[parcel_acres]]-Grandview_Inventory[[#This Row],[non_valued_acres]]))</f>
        <v>0.71783979315031676</v>
      </c>
      <c r="M55">
        <v>0</v>
      </c>
      <c r="N55">
        <v>0</v>
      </c>
      <c r="O55">
        <v>0</v>
      </c>
      <c r="P55">
        <v>13398.7528</v>
      </c>
      <c r="Q55">
        <v>63903</v>
      </c>
      <c r="R55">
        <f>(Grandview_Inventory[[#This Row],[ln_acres]]*Grandview_Inventory[[#This Row],[coeff]])+Grandview_Inventory[[#This Row],[const]]</f>
        <v>73521.157938424221</v>
      </c>
      <c r="S55" t="s">
        <v>58</v>
      </c>
      <c r="T55">
        <v>1</v>
      </c>
      <c r="U55" t="s">
        <v>64</v>
      </c>
      <c r="V55" t="s">
        <v>67</v>
      </c>
      <c r="W55">
        <v>0</v>
      </c>
      <c r="X55">
        <v>0</v>
      </c>
      <c r="Y55">
        <v>22</v>
      </c>
      <c r="Z55">
        <v>22</v>
      </c>
      <c r="AA55">
        <v>30</v>
      </c>
      <c r="AB55">
        <v>2500</v>
      </c>
      <c r="AC55">
        <v>2258</v>
      </c>
      <c r="AD55">
        <v>2258</v>
      </c>
      <c r="AE55">
        <v>0</v>
      </c>
      <c r="AF55">
        <v>0</v>
      </c>
      <c r="AG55">
        <v>0</v>
      </c>
      <c r="AH55">
        <v>0</v>
      </c>
      <c r="AI55">
        <v>928</v>
      </c>
      <c r="AJ55">
        <v>0</v>
      </c>
      <c r="AK55">
        <v>0</v>
      </c>
      <c r="AL55">
        <v>0</v>
      </c>
      <c r="AM55">
        <v>489</v>
      </c>
      <c r="AN55">
        <v>276</v>
      </c>
      <c r="AO55">
        <v>0</v>
      </c>
      <c r="AP55">
        <v>13</v>
      </c>
      <c r="AQ55">
        <v>0</v>
      </c>
      <c r="AR55">
        <v>0</v>
      </c>
      <c r="AS55" t="s">
        <v>58</v>
      </c>
      <c r="AT55">
        <v>1</v>
      </c>
      <c r="AU55" t="s">
        <v>59</v>
      </c>
      <c r="AV55" t="s">
        <v>60</v>
      </c>
      <c r="AW55">
        <v>1</v>
      </c>
      <c r="AX55">
        <v>2</v>
      </c>
      <c r="AY55">
        <v>0</v>
      </c>
      <c r="AZ55">
        <v>0</v>
      </c>
      <c r="BA55">
        <v>100</v>
      </c>
      <c r="BB55">
        <v>100</v>
      </c>
      <c r="BC55">
        <v>100</v>
      </c>
      <c r="BD55">
        <v>100</v>
      </c>
      <c r="BE55">
        <v>1</v>
      </c>
      <c r="BF55">
        <v>15000</v>
      </c>
      <c r="BG55">
        <v>1000</v>
      </c>
      <c r="BH55" s="6">
        <f>Grandview_Inventory[[#This Row],[land_extract]]*Lookups!$B$3</f>
        <v>85379.922206765608</v>
      </c>
      <c r="BI55" s="6">
        <f>IF(Grandview_Inventory[[#This Row],[bldg_style]]="",0,Lookups!$B$2)</f>
        <v>155833.95000000001</v>
      </c>
      <c r="BJ55" s="6">
        <f>_xlfn.IFNA(VLOOKUP(Grandview_Inventory[[#This Row],[quality]],Lookups!$H$2:$J$14,3,FALSE),0)</f>
        <v>20768</v>
      </c>
      <c r="BK55" s="6">
        <f>_xlfn.IFNA(VLOOKUP(Grandview_Inventory[[#This Row],[condition]],Lookups!$H$17:$J$24,3,FALSE),0)</f>
        <v>22342</v>
      </c>
      <c r="BL55" s="6">
        <f>Grandview_Inventory[[#This Row],[Eff_Age]]*Lookups!$B$14</f>
        <v>-5261.6651999999995</v>
      </c>
      <c r="BM55" s="6">
        <f>Grandview_Inventory[[#This Row],[living_area]]*Lookups!$B$15</f>
        <v>140855.966074</v>
      </c>
      <c r="BN55" s="6">
        <f>Grandview_Inventory[[#This Row],[Fin BSMT]]*Lookups!$B$16</f>
        <v>0</v>
      </c>
      <c r="BO55" s="6">
        <f>(Grandview_Inventory[[#This Row],[att_gar]]+Grandview_Inventory[[#This Row],[bltin_gar]])*Lookups!$B$17</f>
        <v>81218.965536000003</v>
      </c>
      <c r="BP55" s="6">
        <f>Grandview_Inventory[[#This Row],[Plumbing Fixtures]]*Lookups!$B$18</f>
        <v>26135.743399999999</v>
      </c>
      <c r="BQ55" s="6">
        <f>Grandview_Inventory[[#This Row],[detatched_value]]*Lookups!$B$19</f>
        <v>0</v>
      </c>
      <c r="BR55" s="6">
        <f>SUM(Grandview_Inventory[[#This Row],[Intercept]:[det_value]])*Grandview_Inventory[[#This Row],[res_pct]]</f>
        <v>441892.95980999997</v>
      </c>
      <c r="BS55" s="6">
        <f>Grandview_Inventory[[#This Row],[land_value]]</f>
        <v>85379.922206765608</v>
      </c>
      <c r="BT55" s="4">
        <f>_xlfn.IFNA(VLOOKUP(Grandview_Inventory[[#This Row],[quality]],Lookups!$A$26:$C$33,3,FALSE),1)</f>
        <v>0.94960540378902636</v>
      </c>
      <c r="BU55" s="4">
        <f>_xlfn.IFNA(VLOOKUP(Grandview_Inventory[[#This Row],[condition]],Lookups!$A$37:$C$44,3,FALSE),1)</f>
        <v>0.97383723671140243</v>
      </c>
      <c r="BV55" s="4">
        <f>IF(Grandview_Inventory[[#This Row],[bldg_style]]="",1,_xlfn.IFNA(VLOOKUP(Grandview_Inventory[[#This Row],[decade]],Lookups!$F$29:$H$43,3,FALSE),1))</f>
        <v>0.98397821291089549</v>
      </c>
      <c r="BW55" s="4">
        <f>_xlfn.IFNA(VLOOKUP(Grandview_Inventory[[#This Row],[living_area_range]],Lookups!$F$47:$H$56,3,FALSE),1)</f>
        <v>0.95799442568048754</v>
      </c>
      <c r="BX55" s="4">
        <f>AVERAGE(Grandview_Inventory[[#This Row],[qual_adj]:[size_adj]])</f>
        <v>0.96635381977295298</v>
      </c>
      <c r="BY55" s="6">
        <f>IF(Grandview_Inventory[[#This Row],[pre_res]]&lt;0,0,Grandview_Inventory[[#This Row],[pre_res]]*Grandview_Inventory[[#This Row],[overall_adj]])</f>
        <v>427024.94964316947</v>
      </c>
      <c r="BZ55" s="6">
        <f>(Grandview_Inventory[[#This Row],[sum_land]]-IF(Grandview_Inventory[[#This Row],[no_utilities]]=1,12000,0))/IF(Grandview_Inventory[[#This Row],[unbuildable]]=1,2,1)</f>
        <v>85379.922206765608</v>
      </c>
      <c r="CA55">
        <f>IF(ROUND(Grandview_Inventory[[#This Row],[adj_land]]*Lookups!$M$28,-2)&lt;Grandview_Inventory[[#This Row],[min_land]],Grandview_Inventory[[#This Row],[min_land]],ROUND(Grandview_Inventory[[#This Row],[adj_land]]*Lookups!$M$28,-2))</f>
        <v>81100</v>
      </c>
      <c r="CB55">
        <f>ROUND(Grandview_Inventory[[#This Row],[det_value]]*Lookups!$M$28,-2)</f>
        <v>0</v>
      </c>
      <c r="CC55">
        <f>IF(ROUND(Grandview_Inventory[[#This Row],[adj_res]]*Lookups!$M$28,-2)&lt;Grandview_Inventory[[#This Row],[min_res]],Grandview_Inventory[[#This Row],[min_res]],ROUND(Grandview_Inventory[[#This Row],[adj_res]]*Lookups!$M$28,-2))</f>
        <v>405700</v>
      </c>
      <c r="CD55">
        <f>Grandview_Inventory[[#This Row],[final_det]]+Grandview_Inventory[[#This Row],[final_res]]</f>
        <v>405700</v>
      </c>
      <c r="CE55">
        <f>Grandview_Inventory[[#This Row],[final_land]]+Grandview_Inventory[[#This Row],[final_imp]]+Grandview_Inventory[[#This Row],[crop_value]]</f>
        <v>486800</v>
      </c>
      <c r="CG55" t="str">
        <f t="shared" si="0"/>
        <v>update valuation set market_land =81100, market_bldg=405700, market_total =486800, market_mdno =401, market_date ='9/10/2023' where link_id = (select link_id from parcel where parcel_year = '2024' and parcel_id = '23091421407');</v>
      </c>
    </row>
    <row r="56" spans="1:85" x14ac:dyDescent="0.25">
      <c r="A56">
        <v>23091421408</v>
      </c>
      <c r="B56">
        <v>11.91</v>
      </c>
      <c r="C56" t="s">
        <v>129</v>
      </c>
      <c r="D56" t="s">
        <v>129</v>
      </c>
      <c r="E56" t="s">
        <v>53</v>
      </c>
      <c r="F56" t="s">
        <v>53</v>
      </c>
      <c r="G56">
        <v>4</v>
      </c>
      <c r="H56" t="s">
        <v>54</v>
      </c>
      <c r="I56">
        <v>135900</v>
      </c>
      <c r="J56">
        <v>86400</v>
      </c>
      <c r="K56">
        <v>11.91</v>
      </c>
      <c r="L56">
        <f>IF(Grandview_Inventory[[#This Row],[parcel_acres]]-Grandview_Inventory[[#This Row],[non_valued_acres]] =0,0,LN(Grandview_Inventory[[#This Row],[parcel_acres]]-Grandview_Inventory[[#This Row],[non_valued_acres]]))</f>
        <v>2.4773783833672089</v>
      </c>
      <c r="M56">
        <v>0</v>
      </c>
      <c r="N56">
        <v>0</v>
      </c>
      <c r="O56">
        <v>0</v>
      </c>
      <c r="P56">
        <v>13398.7528</v>
      </c>
      <c r="Q56">
        <v>63903</v>
      </c>
      <c r="R56">
        <f>(Grandview_Inventory[[#This Row],[ln_acres]]*Grandview_Inventory[[#This Row],[coeff]])+Grandview_Inventory[[#This Row],[const]]</f>
        <v>97096.780550800875</v>
      </c>
      <c r="S56" t="s">
        <v>68</v>
      </c>
      <c r="T56">
        <v>1</v>
      </c>
      <c r="U56" t="s">
        <v>70</v>
      </c>
      <c r="V56" t="s">
        <v>78</v>
      </c>
      <c r="W56">
        <v>0</v>
      </c>
      <c r="X56">
        <v>0</v>
      </c>
      <c r="Y56">
        <v>57</v>
      </c>
      <c r="Z56">
        <v>103</v>
      </c>
      <c r="AA56">
        <v>110</v>
      </c>
      <c r="AB56">
        <v>1500</v>
      </c>
      <c r="AC56">
        <v>1188</v>
      </c>
      <c r="AD56">
        <v>1188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84</v>
      </c>
      <c r="AO56">
        <v>84</v>
      </c>
      <c r="AP56">
        <v>5</v>
      </c>
      <c r="AQ56">
        <v>1</v>
      </c>
      <c r="AR56">
        <v>0</v>
      </c>
      <c r="AS56" t="s">
        <v>58</v>
      </c>
      <c r="AT56">
        <v>1</v>
      </c>
      <c r="AU56" t="s">
        <v>75</v>
      </c>
      <c r="AV56" t="s">
        <v>60</v>
      </c>
      <c r="AW56">
        <v>0</v>
      </c>
      <c r="AX56">
        <v>3</v>
      </c>
      <c r="AY56">
        <v>18000</v>
      </c>
      <c r="AZ56">
        <v>3400</v>
      </c>
      <c r="BA56">
        <v>100</v>
      </c>
      <c r="BB56">
        <v>100</v>
      </c>
      <c r="BC56">
        <v>100</v>
      </c>
      <c r="BD56">
        <v>100</v>
      </c>
      <c r="BE56">
        <v>1</v>
      </c>
      <c r="BF56">
        <v>15000</v>
      </c>
      <c r="BG56">
        <v>1000</v>
      </c>
      <c r="BH56" s="6">
        <f>Grandview_Inventory[[#This Row],[land_extract]]*Lookups!$B$3</f>
        <v>112758.22909233757</v>
      </c>
      <c r="BI56" s="6">
        <f>IF(Grandview_Inventory[[#This Row],[bldg_style]]="",0,Lookups!$B$2)</f>
        <v>155833.95000000001</v>
      </c>
      <c r="BJ56" s="6">
        <f>_xlfn.IFNA(VLOOKUP(Grandview_Inventory[[#This Row],[quality]],Lookups!$H$2:$J$14,3,FALSE),0)</f>
        <v>10733</v>
      </c>
      <c r="BK56" s="6">
        <f>_xlfn.IFNA(VLOOKUP(Grandview_Inventory[[#This Row],[condition]],Lookups!$H$17:$J$24,3,FALSE),0)</f>
        <v>-45357</v>
      </c>
      <c r="BL56" s="6">
        <f>Grandview_Inventory[[#This Row],[Eff_Age]]*Lookups!$B$14</f>
        <v>-13632.4962</v>
      </c>
      <c r="BM56" s="6">
        <f>Grandview_Inventory[[#This Row],[living_area]]*Lookups!$B$15</f>
        <v>74108.453364000001</v>
      </c>
      <c r="BN56" s="6">
        <f>Grandview_Inventory[[#This Row],[Fin BSMT]]*Lookups!$B$16</f>
        <v>0</v>
      </c>
      <c r="BO56" s="6">
        <f>(Grandview_Inventory[[#This Row],[att_gar]]+Grandview_Inventory[[#This Row],[bltin_gar]])*Lookups!$B$17</f>
        <v>0</v>
      </c>
      <c r="BP56" s="6">
        <f>Grandview_Inventory[[#This Row],[Plumbing Fixtures]]*Lookups!$B$18</f>
        <v>10052.209000000001</v>
      </c>
      <c r="BQ56" s="6">
        <f>Grandview_Inventory[[#This Row],[detatched_value]]*Lookups!$B$19</f>
        <v>2879.1373399999998</v>
      </c>
      <c r="BR56" s="6">
        <f>SUM(Grandview_Inventory[[#This Row],[Intercept]:[det_value]])*Grandview_Inventory[[#This Row],[res_pct]]</f>
        <v>194617.25350400002</v>
      </c>
      <c r="BS56" s="6">
        <f>Grandview_Inventory[[#This Row],[land_value]]</f>
        <v>112758.22909233757</v>
      </c>
      <c r="BT56" s="4">
        <f>_xlfn.IFNA(VLOOKUP(Grandview_Inventory[[#This Row],[quality]],Lookups!$A$26:$C$33,3,FALSE),1)</f>
        <v>0.98079741117310582</v>
      </c>
      <c r="BU56" s="4">
        <f>_xlfn.IFNA(VLOOKUP(Grandview_Inventory[[#This Row],[condition]],Lookups!$A$37:$C$44,3,FALSE),1)</f>
        <v>0.97161819570155394</v>
      </c>
      <c r="BV56" s="4">
        <f>IF(Grandview_Inventory[[#This Row],[bldg_style]]="",1,_xlfn.IFNA(VLOOKUP(Grandview_Inventory[[#This Row],[decade]],Lookups!$F$29:$H$43,3,FALSE),1))</f>
        <v>0.92255236374249616</v>
      </c>
      <c r="BW56" s="4">
        <f>_xlfn.IFNA(VLOOKUP(Grandview_Inventory[[#This Row],[living_area_range]],Lookups!$F$47:$H$56,3,FALSE),1)</f>
        <v>0.96135087979789358</v>
      </c>
      <c r="BX56" s="4">
        <f>AVERAGE(Grandview_Inventory[[#This Row],[qual_adj]:[size_adj]])</f>
        <v>0.95907971260376235</v>
      </c>
      <c r="BY56" s="6">
        <f>IF(Grandview_Inventory[[#This Row],[pre_res]]&lt;0,0,Grandview_Inventory[[#This Row],[pre_res]]*Grandview_Inventory[[#This Row],[overall_adj]])</f>
        <v>186653.45955834989</v>
      </c>
      <c r="BZ56" s="6">
        <f>(Grandview_Inventory[[#This Row],[sum_land]]-IF(Grandview_Inventory[[#This Row],[no_utilities]]=1,12000,0))/IF(Grandview_Inventory[[#This Row],[unbuildable]]=1,2,1)</f>
        <v>112758.22909233757</v>
      </c>
      <c r="CA56">
        <f>IF(ROUND(Grandview_Inventory[[#This Row],[adj_land]]*Lookups!$M$28,-2)&lt;Grandview_Inventory[[#This Row],[min_land]],Grandview_Inventory[[#This Row],[min_land]],ROUND(Grandview_Inventory[[#This Row],[adj_land]]*Lookups!$M$28,-2))</f>
        <v>107100</v>
      </c>
      <c r="CB56">
        <f>ROUND(Grandview_Inventory[[#This Row],[det_value]]*Lookups!$M$28,-2)</f>
        <v>2700</v>
      </c>
      <c r="CC56">
        <f>IF(ROUND(Grandview_Inventory[[#This Row],[adj_res]]*Lookups!$M$28,-2)&lt;Grandview_Inventory[[#This Row],[min_res]],Grandview_Inventory[[#This Row],[min_res]],ROUND(Grandview_Inventory[[#This Row],[adj_res]]*Lookups!$M$28,-2))</f>
        <v>177300</v>
      </c>
      <c r="CD56">
        <f>Grandview_Inventory[[#This Row],[final_det]]+Grandview_Inventory[[#This Row],[final_res]]</f>
        <v>180000</v>
      </c>
      <c r="CE56">
        <f>Grandview_Inventory[[#This Row],[final_land]]+Grandview_Inventory[[#This Row],[final_imp]]+Grandview_Inventory[[#This Row],[crop_value]]</f>
        <v>305100</v>
      </c>
      <c r="CG56" t="str">
        <f t="shared" si="0"/>
        <v>update valuation set market_land =107100, market_bldg=180000, market_total =305100, market_mdno =401, market_date ='9/10/2023' where link_id = (select link_id from parcel where parcel_year = '2024' and parcel_id = '23091421408');</v>
      </c>
    </row>
    <row r="57" spans="1:85" x14ac:dyDescent="0.25">
      <c r="A57">
        <v>23091421409</v>
      </c>
      <c r="B57">
        <v>2.61</v>
      </c>
      <c r="C57">
        <v>113826</v>
      </c>
      <c r="D57" t="s">
        <v>129</v>
      </c>
      <c r="E57" t="s">
        <v>53</v>
      </c>
      <c r="F57" t="s">
        <v>53</v>
      </c>
      <c r="G57">
        <v>4</v>
      </c>
      <c r="H57" t="s">
        <v>54</v>
      </c>
      <c r="I57">
        <v>318100</v>
      </c>
      <c r="J57">
        <v>51700</v>
      </c>
      <c r="K57">
        <v>2.61</v>
      </c>
      <c r="L57">
        <f>IF(Grandview_Inventory[[#This Row],[parcel_acres]]-Grandview_Inventory[[#This Row],[non_valued_acres]] =0,0,LN(Grandview_Inventory[[#This Row],[parcel_acres]]-Grandview_Inventory[[#This Row],[non_valued_acres]]))</f>
        <v>0.95935022133460202</v>
      </c>
      <c r="M57">
        <v>0</v>
      </c>
      <c r="N57">
        <v>0</v>
      </c>
      <c r="O57">
        <v>0</v>
      </c>
      <c r="P57">
        <v>13398.7528</v>
      </c>
      <c r="Q57">
        <v>63903</v>
      </c>
      <c r="R57">
        <f>(Grandview_Inventory[[#This Row],[ln_acres]]*Grandview_Inventory[[#This Row],[coeff]])+Grandview_Inventory[[#This Row],[const]]</f>
        <v>76757.096464287621</v>
      </c>
      <c r="S57" t="s">
        <v>58</v>
      </c>
      <c r="T57">
        <v>1</v>
      </c>
      <c r="U57" t="s">
        <v>56</v>
      </c>
      <c r="V57" t="s">
        <v>66</v>
      </c>
      <c r="W57">
        <v>30700</v>
      </c>
      <c r="X57">
        <v>0</v>
      </c>
      <c r="Y57">
        <v>14</v>
      </c>
      <c r="Z57">
        <v>14</v>
      </c>
      <c r="AA57">
        <v>20</v>
      </c>
      <c r="AB57">
        <v>3000</v>
      </c>
      <c r="AC57">
        <v>2564</v>
      </c>
      <c r="AD57">
        <v>2564</v>
      </c>
      <c r="AE57">
        <v>0</v>
      </c>
      <c r="AF57">
        <v>0</v>
      </c>
      <c r="AG57">
        <v>0</v>
      </c>
      <c r="AH57">
        <v>0</v>
      </c>
      <c r="AI57">
        <v>484</v>
      </c>
      <c r="AJ57">
        <v>0</v>
      </c>
      <c r="AK57">
        <v>0</v>
      </c>
      <c r="AL57">
        <v>0</v>
      </c>
      <c r="AM57">
        <v>0</v>
      </c>
      <c r="AN57">
        <v>256</v>
      </c>
      <c r="AO57">
        <v>0</v>
      </c>
      <c r="AP57">
        <v>15</v>
      </c>
      <c r="AQ57">
        <v>0</v>
      </c>
      <c r="AR57">
        <v>0</v>
      </c>
      <c r="AS57" t="s">
        <v>58</v>
      </c>
      <c r="AT57">
        <v>1</v>
      </c>
      <c r="AU57" t="s">
        <v>59</v>
      </c>
      <c r="AV57" t="s">
        <v>60</v>
      </c>
      <c r="AW57">
        <v>1</v>
      </c>
      <c r="AX57">
        <v>4</v>
      </c>
      <c r="AY57">
        <v>0</v>
      </c>
      <c r="AZ57">
        <v>27800</v>
      </c>
      <c r="BA57">
        <v>100</v>
      </c>
      <c r="BB57">
        <v>100</v>
      </c>
      <c r="BC57">
        <v>100</v>
      </c>
      <c r="BD57">
        <v>100</v>
      </c>
      <c r="BE57">
        <v>1</v>
      </c>
      <c r="BF57">
        <v>15000</v>
      </c>
      <c r="BG57">
        <v>1000</v>
      </c>
      <c r="BH57" s="6">
        <f>Grandview_Inventory[[#This Row],[land_extract]]*Lookups!$B$3</f>
        <v>89137.808879816759</v>
      </c>
      <c r="BI57" s="6">
        <f>IF(Grandview_Inventory[[#This Row],[bldg_style]]="",0,Lookups!$B$2)</f>
        <v>155833.95000000001</v>
      </c>
      <c r="BJ57" s="6">
        <f>_xlfn.IFNA(VLOOKUP(Grandview_Inventory[[#This Row],[quality]],Lookups!$H$2:$J$14,3,FALSE),0)</f>
        <v>56323</v>
      </c>
      <c r="BK57" s="6">
        <f>_xlfn.IFNA(VLOOKUP(Grandview_Inventory[[#This Row],[condition]],Lookups!$H$17:$J$24,3,FALSE),0)</f>
        <v>25818</v>
      </c>
      <c r="BL57" s="6">
        <f>Grandview_Inventory[[#This Row],[Eff_Age]]*Lookups!$B$14</f>
        <v>-3348.3323999999998</v>
      </c>
      <c r="BM57" s="6">
        <f>Grandview_Inventory[[#This Row],[living_area]]*Lookups!$B$15</f>
        <v>159944.50709200001</v>
      </c>
      <c r="BN57" s="6">
        <f>Grandview_Inventory[[#This Row],[Fin BSMT]]*Lookups!$B$16</f>
        <v>0</v>
      </c>
      <c r="BO57" s="6">
        <f>(Grandview_Inventory[[#This Row],[att_gar]]+Grandview_Inventory[[#This Row],[bltin_gar]])*Lookups!$B$17</f>
        <v>42359.891508000001</v>
      </c>
      <c r="BP57" s="6">
        <f>Grandview_Inventory[[#This Row],[Plumbing Fixtures]]*Lookups!$B$18</f>
        <v>30156.627</v>
      </c>
      <c r="BQ57" s="6">
        <f>Grandview_Inventory[[#This Row],[detatched_value]]*Lookups!$B$19</f>
        <v>23541.181779999999</v>
      </c>
      <c r="BR57" s="6">
        <f>SUM(Grandview_Inventory[[#This Row],[Intercept]:[det_value]])*Grandview_Inventory[[#This Row],[res_pct]]</f>
        <v>490628.82497999992</v>
      </c>
      <c r="BS57" s="6">
        <f>Grandview_Inventory[[#This Row],[land_value]]</f>
        <v>89137.808879816759</v>
      </c>
      <c r="BT57" s="4">
        <f>_xlfn.IFNA(VLOOKUP(Grandview_Inventory[[#This Row],[quality]],Lookups!$A$26:$C$33,3,FALSE),1)</f>
        <v>0.76437650671582003</v>
      </c>
      <c r="BU57" s="4">
        <f>_xlfn.IFNA(VLOOKUP(Grandview_Inventory[[#This Row],[condition]],Lookups!$A$37:$C$44,3,FALSE),1)</f>
        <v>0.96661476234146892</v>
      </c>
      <c r="BV57" s="4">
        <f>IF(Grandview_Inventory[[#This Row],[bldg_style]]="",1,_xlfn.IFNA(VLOOKUP(Grandview_Inventory[[#This Row],[decade]],Lookups!$F$29:$H$43,3,FALSE),1))</f>
        <v>0.96737494181490646</v>
      </c>
      <c r="BW57" s="4">
        <f>_xlfn.IFNA(VLOOKUP(Grandview_Inventory[[#This Row],[living_area_range]],Lookups!$F$47:$H$56,3,FALSE),1)</f>
        <v>0.94224801443562123</v>
      </c>
      <c r="BX57" s="4">
        <f>AVERAGE(Grandview_Inventory[[#This Row],[qual_adj]:[size_adj]])</f>
        <v>0.91015355632695416</v>
      </c>
      <c r="BY57" s="6">
        <f>IF(Grandview_Inventory[[#This Row],[pre_res]]&lt;0,0,Grandview_Inventory[[#This Row],[pre_res]]*Grandview_Inventory[[#This Row],[overall_adj]])</f>
        <v>446547.5698920617</v>
      </c>
      <c r="BZ57" s="6">
        <f>(Grandview_Inventory[[#This Row],[sum_land]]-IF(Grandview_Inventory[[#This Row],[no_utilities]]=1,12000,0))/IF(Grandview_Inventory[[#This Row],[unbuildable]]=1,2,1)</f>
        <v>89137.808879816759</v>
      </c>
      <c r="CA57">
        <f>IF(ROUND(Grandview_Inventory[[#This Row],[adj_land]]*Lookups!$M$28,-2)&lt;Grandview_Inventory[[#This Row],[min_land]],Grandview_Inventory[[#This Row],[min_land]],ROUND(Grandview_Inventory[[#This Row],[adj_land]]*Lookups!$M$28,-2))</f>
        <v>84700</v>
      </c>
      <c r="CB57">
        <f>ROUND(Grandview_Inventory[[#This Row],[det_value]]*Lookups!$M$28,-2)</f>
        <v>22400</v>
      </c>
      <c r="CC57">
        <f>IF(ROUND(Grandview_Inventory[[#This Row],[adj_res]]*Lookups!$M$28,-2)&lt;Grandview_Inventory[[#This Row],[min_res]],Grandview_Inventory[[#This Row],[min_res]],ROUND(Grandview_Inventory[[#This Row],[adj_res]]*Lookups!$M$28,-2))</f>
        <v>424200</v>
      </c>
      <c r="CD57">
        <f>Grandview_Inventory[[#This Row],[final_det]]+Grandview_Inventory[[#This Row],[final_res]]</f>
        <v>446600</v>
      </c>
      <c r="CE57">
        <f>Grandview_Inventory[[#This Row],[final_land]]+Grandview_Inventory[[#This Row],[final_imp]]+Grandview_Inventory[[#This Row],[crop_value]]</f>
        <v>531300</v>
      </c>
      <c r="CG57" t="str">
        <f t="shared" si="0"/>
        <v>update valuation set market_land =84700, market_bldg=446600, market_total =531300, market_mdno =401, market_date ='9/10/2023' where link_id = (select link_id from parcel where parcel_year = '2024' and parcel_id = '23091421409');</v>
      </c>
    </row>
    <row r="58" spans="1:85" x14ac:dyDescent="0.25">
      <c r="A58">
        <v>23091422005</v>
      </c>
      <c r="B58">
        <v>25.63</v>
      </c>
      <c r="C58" t="s">
        <v>129</v>
      </c>
      <c r="D58" t="s">
        <v>129</v>
      </c>
      <c r="E58" t="s">
        <v>53</v>
      </c>
      <c r="F58" t="s">
        <v>53</v>
      </c>
      <c r="G58">
        <v>4</v>
      </c>
      <c r="H58" t="s">
        <v>180</v>
      </c>
      <c r="I58">
        <v>445900</v>
      </c>
      <c r="J58">
        <v>158800</v>
      </c>
      <c r="K58">
        <v>25.63</v>
      </c>
      <c r="L58">
        <f>IF(Grandview_Inventory[[#This Row],[parcel_acres]]-Grandview_Inventory[[#This Row],[non_valued_acres]] =0,0,LN(Grandview_Inventory[[#This Row],[parcel_acres]]-Grandview_Inventory[[#This Row],[non_valued_acres]]))</f>
        <v>3.2437635403759799</v>
      </c>
      <c r="M58">
        <v>0</v>
      </c>
      <c r="N58">
        <v>0</v>
      </c>
      <c r="O58">
        <v>0</v>
      </c>
      <c r="P58">
        <v>13398.7528</v>
      </c>
      <c r="Q58">
        <v>63903</v>
      </c>
      <c r="R58">
        <f>(Grandview_Inventory[[#This Row],[ln_acres]]*Grandview_Inventory[[#This Row],[coeff]])+Grandview_Inventory[[#This Row],[const]]</f>
        <v>107365.38581915057</v>
      </c>
      <c r="S58" t="s">
        <v>68</v>
      </c>
      <c r="T58">
        <v>1</v>
      </c>
      <c r="U58" t="s">
        <v>65</v>
      </c>
      <c r="V58" t="s">
        <v>69</v>
      </c>
      <c r="W58">
        <v>0</v>
      </c>
      <c r="X58">
        <v>0</v>
      </c>
      <c r="Y58">
        <v>50</v>
      </c>
      <c r="Z58">
        <v>75</v>
      </c>
      <c r="AA58">
        <v>80</v>
      </c>
      <c r="AB58">
        <v>2500</v>
      </c>
      <c r="AC58">
        <v>2176</v>
      </c>
      <c r="AD58">
        <v>1664</v>
      </c>
      <c r="AE58">
        <v>0</v>
      </c>
      <c r="AF58">
        <v>0</v>
      </c>
      <c r="AG58">
        <v>512</v>
      </c>
      <c r="AH58">
        <v>512</v>
      </c>
      <c r="AI58">
        <v>0</v>
      </c>
      <c r="AJ58">
        <v>0</v>
      </c>
      <c r="AK58">
        <v>576</v>
      </c>
      <c r="AL58">
        <v>672</v>
      </c>
      <c r="AM58">
        <v>0</v>
      </c>
      <c r="AN58">
        <v>480</v>
      </c>
      <c r="AO58">
        <v>0</v>
      </c>
      <c r="AP58">
        <v>8</v>
      </c>
      <c r="AQ58">
        <v>0</v>
      </c>
      <c r="AR58">
        <v>0</v>
      </c>
      <c r="AS58" t="s">
        <v>140</v>
      </c>
      <c r="AT58">
        <v>1</v>
      </c>
      <c r="AU58" t="s">
        <v>63</v>
      </c>
      <c r="AV58" t="s">
        <v>64</v>
      </c>
      <c r="AW58">
        <v>1</v>
      </c>
      <c r="AX58">
        <v>2</v>
      </c>
      <c r="AY58">
        <v>52500</v>
      </c>
      <c r="AZ58">
        <v>173300</v>
      </c>
      <c r="BA58">
        <v>100</v>
      </c>
      <c r="BB58">
        <v>100</v>
      </c>
      <c r="BC58">
        <v>100</v>
      </c>
      <c r="BD58">
        <v>100</v>
      </c>
      <c r="BE58">
        <v>1</v>
      </c>
      <c r="BF58">
        <v>15000</v>
      </c>
      <c r="BG58">
        <v>1000</v>
      </c>
      <c r="BH58" s="6">
        <f>Grandview_Inventory[[#This Row],[land_extract]]*Lookups!$B$3</f>
        <v>124683.13266523785</v>
      </c>
      <c r="BI58" s="6">
        <f>IF(Grandview_Inventory[[#This Row],[bldg_style]]="",0,Lookups!$B$2)</f>
        <v>155833.95000000001</v>
      </c>
      <c r="BJ58" s="6">
        <f>_xlfn.IFNA(VLOOKUP(Grandview_Inventory[[#This Row],[quality]],Lookups!$H$2:$J$14,3,FALSE),0)</f>
        <v>2251</v>
      </c>
      <c r="BK58" s="6">
        <f>_xlfn.IFNA(VLOOKUP(Grandview_Inventory[[#This Row],[condition]],Lookups!$H$17:$J$24,3,FALSE),0)</f>
        <v>-4503</v>
      </c>
      <c r="BL58" s="6">
        <f>Grandview_Inventory[[#This Row],[Eff_Age]]*Lookups!$B$14</f>
        <v>-11958.33</v>
      </c>
      <c r="BM58" s="6">
        <f>Grandview_Inventory[[#This Row],[living_area]]*Lookups!$B$15</f>
        <v>135740.73612800002</v>
      </c>
      <c r="BN58" s="6">
        <f>Grandview_Inventory[[#This Row],[Fin BSMT]]*Lookups!$B$16</f>
        <v>-13874.810880000001</v>
      </c>
      <c r="BO58" s="6">
        <f>(Grandview_Inventory[[#This Row],[att_gar]]+Grandview_Inventory[[#This Row],[bltin_gar]])*Lookups!$B$17</f>
        <v>0</v>
      </c>
      <c r="BP58" s="6">
        <f>Grandview_Inventory[[#This Row],[Plumbing Fixtures]]*Lookups!$B$18</f>
        <v>16083.5344</v>
      </c>
      <c r="BQ58" s="6">
        <f>Grandview_Inventory[[#This Row],[detatched_value]]*Lookups!$B$19</f>
        <v>146751.32383000001</v>
      </c>
      <c r="BR58" s="6">
        <f>SUM(Grandview_Inventory[[#This Row],[Intercept]:[det_value]])*Grandview_Inventory[[#This Row],[res_pct]]</f>
        <v>426324.40347800008</v>
      </c>
      <c r="BS58" s="6">
        <f>Grandview_Inventory[[#This Row],[land_value]]</f>
        <v>124683.13266523785</v>
      </c>
      <c r="BT58" s="4">
        <f>_xlfn.IFNA(VLOOKUP(Grandview_Inventory[[#This Row],[quality]],Lookups!$A$26:$C$33,3,FALSE),1)</f>
        <v>0.98763855981004833</v>
      </c>
      <c r="BU58" s="4">
        <f>_xlfn.IFNA(VLOOKUP(Grandview_Inventory[[#This Row],[condition]],Lookups!$A$37:$C$44,3,FALSE),1)</f>
        <v>0.96469275950863709</v>
      </c>
      <c r="BV58" s="4">
        <f>IF(Grandview_Inventory[[#This Row],[bldg_style]]="",1,_xlfn.IFNA(VLOOKUP(Grandview_Inventory[[#This Row],[decade]],Lookups!$F$29:$H$43,3,FALSE),1))</f>
        <v>0.98763256963907298</v>
      </c>
      <c r="BW58" s="4">
        <f>_xlfn.IFNA(VLOOKUP(Grandview_Inventory[[#This Row],[living_area_range]],Lookups!$F$47:$H$56,3,FALSE),1)</f>
        <v>0.95799442568048754</v>
      </c>
      <c r="BX58" s="4">
        <f>AVERAGE(Grandview_Inventory[[#This Row],[qual_adj]:[size_adj]])</f>
        <v>0.97448957865956143</v>
      </c>
      <c r="BY58" s="6">
        <f>IF(Grandview_Inventory[[#This Row],[pre_res]]&lt;0,0,Grandview_Inventory[[#This Row],[pre_res]]*Grandview_Inventory[[#This Row],[overall_adj]])</f>
        <v>415448.68831756519</v>
      </c>
      <c r="BZ58" s="6">
        <f>(Grandview_Inventory[[#This Row],[sum_land]]-IF(Grandview_Inventory[[#This Row],[no_utilities]]=1,12000,0))/IF(Grandview_Inventory[[#This Row],[unbuildable]]=1,2,1)</f>
        <v>124683.13266523785</v>
      </c>
      <c r="CA58">
        <f>IF(ROUND(Grandview_Inventory[[#This Row],[adj_land]]*Lookups!$M$28,-2)&lt;Grandview_Inventory[[#This Row],[min_land]],Grandview_Inventory[[#This Row],[min_land]],ROUND(Grandview_Inventory[[#This Row],[adj_land]]*Lookups!$M$28,-2))</f>
        <v>118400</v>
      </c>
      <c r="CB58">
        <f>ROUND(Grandview_Inventory[[#This Row],[det_value]]*Lookups!$M$28,-2)</f>
        <v>139400</v>
      </c>
      <c r="CC58">
        <f>IF(ROUND(Grandview_Inventory[[#This Row],[adj_res]]*Lookups!$M$28,-2)&lt;Grandview_Inventory[[#This Row],[min_res]],Grandview_Inventory[[#This Row],[min_res]],ROUND(Grandview_Inventory[[#This Row],[adj_res]]*Lookups!$M$28,-2))</f>
        <v>394700</v>
      </c>
      <c r="CD58">
        <f>Grandview_Inventory[[#This Row],[final_det]]+Grandview_Inventory[[#This Row],[final_res]]</f>
        <v>534100</v>
      </c>
      <c r="CE58">
        <f>Grandview_Inventory[[#This Row],[final_land]]+Grandview_Inventory[[#This Row],[final_imp]]+Grandview_Inventory[[#This Row],[crop_value]]</f>
        <v>705000</v>
      </c>
      <c r="CG58" t="str">
        <f t="shared" si="0"/>
        <v>update valuation set market_land =118400, market_bldg=534100, market_total =705000, market_mdno =401, market_date ='9/10/2023' where link_id = (select link_id from parcel where parcel_year = '2024' and parcel_id = '23091422005');</v>
      </c>
    </row>
    <row r="59" spans="1:85" x14ac:dyDescent="0.25">
      <c r="A59">
        <v>23091424006</v>
      </c>
      <c r="B59">
        <v>7.33</v>
      </c>
      <c r="C59">
        <v>319264</v>
      </c>
      <c r="D59" t="s">
        <v>129</v>
      </c>
      <c r="E59" t="s">
        <v>53</v>
      </c>
      <c r="F59" t="s">
        <v>53</v>
      </c>
      <c r="G59">
        <v>4</v>
      </c>
      <c r="H59" t="s">
        <v>54</v>
      </c>
      <c r="I59">
        <v>281100</v>
      </c>
      <c r="J59">
        <v>52100</v>
      </c>
      <c r="K59">
        <v>7.33</v>
      </c>
      <c r="L59">
        <f>IF(Grandview_Inventory[[#This Row],[parcel_acres]]-Grandview_Inventory[[#This Row],[non_valued_acres]] =0,0,LN(Grandview_Inventory[[#This Row],[parcel_acres]]-Grandview_Inventory[[#This Row],[non_valued_acres]]))</f>
        <v>1.9919755158985601</v>
      </c>
      <c r="M59">
        <v>0</v>
      </c>
      <c r="N59">
        <v>0</v>
      </c>
      <c r="O59">
        <v>0</v>
      </c>
      <c r="P59">
        <v>13398.7528</v>
      </c>
      <c r="Q59">
        <v>63903</v>
      </c>
      <c r="R59">
        <f>(Grandview_Inventory[[#This Row],[ln_acres]]*Grandview_Inventory[[#This Row],[coeff]])+Grandview_Inventory[[#This Row],[const]]</f>
        <v>90592.987521177274</v>
      </c>
      <c r="S59" t="s">
        <v>61</v>
      </c>
      <c r="T59">
        <v>1</v>
      </c>
      <c r="U59" t="s">
        <v>65</v>
      </c>
      <c r="V59" t="s">
        <v>67</v>
      </c>
      <c r="W59">
        <v>0</v>
      </c>
      <c r="X59">
        <v>0</v>
      </c>
      <c r="Y59">
        <v>47</v>
      </c>
      <c r="Z59">
        <v>58</v>
      </c>
      <c r="AA59">
        <v>60</v>
      </c>
      <c r="AB59">
        <v>3000</v>
      </c>
      <c r="AC59">
        <v>2626</v>
      </c>
      <c r="AD59">
        <v>2050</v>
      </c>
      <c r="AE59">
        <v>0</v>
      </c>
      <c r="AF59">
        <v>0</v>
      </c>
      <c r="AG59">
        <v>576</v>
      </c>
      <c r="AH59">
        <v>1152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248</v>
      </c>
      <c r="AO59">
        <v>0</v>
      </c>
      <c r="AP59">
        <v>9</v>
      </c>
      <c r="AQ59">
        <v>0</v>
      </c>
      <c r="AR59">
        <v>0</v>
      </c>
      <c r="AS59" t="s">
        <v>58</v>
      </c>
      <c r="AT59">
        <v>1</v>
      </c>
      <c r="AU59" t="s">
        <v>63</v>
      </c>
      <c r="AV59" t="s">
        <v>60</v>
      </c>
      <c r="AW59">
        <v>1</v>
      </c>
      <c r="AX59">
        <v>3</v>
      </c>
      <c r="AY59">
        <v>7500</v>
      </c>
      <c r="AZ59">
        <v>25200</v>
      </c>
      <c r="BA59">
        <v>100</v>
      </c>
      <c r="BB59">
        <v>100</v>
      </c>
      <c r="BC59">
        <v>100</v>
      </c>
      <c r="BD59">
        <v>100</v>
      </c>
      <c r="BE59">
        <v>1</v>
      </c>
      <c r="BF59">
        <v>15000</v>
      </c>
      <c r="BG59">
        <v>1000</v>
      </c>
      <c r="BH59" s="6">
        <f>Grandview_Inventory[[#This Row],[land_extract]]*Lookups!$B$3</f>
        <v>105205.39180727686</v>
      </c>
      <c r="BI59" s="6">
        <f>IF(Grandview_Inventory[[#This Row],[bldg_style]]="",0,Lookups!$B$2)</f>
        <v>155833.95000000001</v>
      </c>
      <c r="BJ59" s="6">
        <f>_xlfn.IFNA(VLOOKUP(Grandview_Inventory[[#This Row],[quality]],Lookups!$H$2:$J$14,3,FALSE),0)</f>
        <v>2251</v>
      </c>
      <c r="BK59" s="6">
        <f>_xlfn.IFNA(VLOOKUP(Grandview_Inventory[[#This Row],[condition]],Lookups!$H$17:$J$24,3,FALSE),0)</f>
        <v>22342</v>
      </c>
      <c r="BL59" s="6">
        <f>Grandview_Inventory[[#This Row],[Eff_Age]]*Lookups!$B$14</f>
        <v>-11240.8302</v>
      </c>
      <c r="BM59" s="6">
        <f>Grandview_Inventory[[#This Row],[living_area]]*Lookups!$B$15</f>
        <v>163812.119978</v>
      </c>
      <c r="BN59" s="6">
        <f>Grandview_Inventory[[#This Row],[Fin BSMT]]*Lookups!$B$16</f>
        <v>-15609.162240000001</v>
      </c>
      <c r="BO59" s="6">
        <f>(Grandview_Inventory[[#This Row],[att_gar]]+Grandview_Inventory[[#This Row],[bltin_gar]])*Lookups!$B$17</f>
        <v>0</v>
      </c>
      <c r="BP59" s="6">
        <f>Grandview_Inventory[[#This Row],[Plumbing Fixtures]]*Lookups!$B$18</f>
        <v>18093.976200000001</v>
      </c>
      <c r="BQ59" s="6">
        <f>Grandview_Inventory[[#This Row],[detatched_value]]*Lookups!$B$19</f>
        <v>21339.488519999999</v>
      </c>
      <c r="BR59" s="6">
        <f>SUM(Grandview_Inventory[[#This Row],[Intercept]:[det_value]])*Grandview_Inventory[[#This Row],[res_pct]]</f>
        <v>356822.54225800006</v>
      </c>
      <c r="BS59" s="6">
        <f>Grandview_Inventory[[#This Row],[land_value]]</f>
        <v>105205.39180727686</v>
      </c>
      <c r="BT59" s="4">
        <f>_xlfn.IFNA(VLOOKUP(Grandview_Inventory[[#This Row],[quality]],Lookups!$A$26:$C$33,3,FALSE),1)</f>
        <v>0.98763855981004833</v>
      </c>
      <c r="BU59" s="4">
        <f>_xlfn.IFNA(VLOOKUP(Grandview_Inventory[[#This Row],[condition]],Lookups!$A$37:$C$44,3,FALSE),1)</f>
        <v>0.97383723671140243</v>
      </c>
      <c r="BV59" s="4">
        <f>IF(Grandview_Inventory[[#This Row],[bldg_style]]="",1,_xlfn.IFNA(VLOOKUP(Grandview_Inventory[[#This Row],[decade]],Lookups!$F$29:$H$43,3,FALSE),1))</f>
        <v>0.95268620544463312</v>
      </c>
      <c r="BW59" s="4">
        <f>_xlfn.IFNA(VLOOKUP(Grandview_Inventory[[#This Row],[living_area_range]],Lookups!$F$47:$H$56,3,FALSE),1)</f>
        <v>0.94224801443562123</v>
      </c>
      <c r="BX59" s="4">
        <f>AVERAGE(Grandview_Inventory[[#This Row],[qual_adj]:[size_adj]])</f>
        <v>0.96410250410042631</v>
      </c>
      <c r="BY59" s="6">
        <f>IF(Grandview_Inventory[[#This Row],[pre_res]]&lt;0,0,Grandview_Inventory[[#This Row],[pre_res]]*Grandview_Inventory[[#This Row],[overall_adj]])</f>
        <v>344013.50651041802</v>
      </c>
      <c r="BZ59" s="6">
        <f>(Grandview_Inventory[[#This Row],[sum_land]]-IF(Grandview_Inventory[[#This Row],[no_utilities]]=1,12000,0))/IF(Grandview_Inventory[[#This Row],[unbuildable]]=1,2,1)</f>
        <v>105205.39180727686</v>
      </c>
      <c r="CA59">
        <f>IF(ROUND(Grandview_Inventory[[#This Row],[adj_land]]*Lookups!$M$28,-2)&lt;Grandview_Inventory[[#This Row],[min_land]],Grandview_Inventory[[#This Row],[min_land]],ROUND(Grandview_Inventory[[#This Row],[adj_land]]*Lookups!$M$28,-2))</f>
        <v>99900</v>
      </c>
      <c r="CB59">
        <f>ROUND(Grandview_Inventory[[#This Row],[det_value]]*Lookups!$M$28,-2)</f>
        <v>20300</v>
      </c>
      <c r="CC59">
        <f>IF(ROUND(Grandview_Inventory[[#This Row],[adj_res]]*Lookups!$M$28,-2)&lt;Grandview_Inventory[[#This Row],[min_res]],Grandview_Inventory[[#This Row],[min_res]],ROUND(Grandview_Inventory[[#This Row],[adj_res]]*Lookups!$M$28,-2))</f>
        <v>326800</v>
      </c>
      <c r="CD59">
        <f>Grandview_Inventory[[#This Row],[final_det]]+Grandview_Inventory[[#This Row],[final_res]]</f>
        <v>347100</v>
      </c>
      <c r="CE59">
        <f>Grandview_Inventory[[#This Row],[final_land]]+Grandview_Inventory[[#This Row],[final_imp]]+Grandview_Inventory[[#This Row],[crop_value]]</f>
        <v>454500</v>
      </c>
      <c r="CG59" t="str">
        <f t="shared" si="0"/>
        <v>update valuation set market_land =99900, market_bldg=347100, market_total =454500, market_mdno =401, market_date ='9/10/2023' where link_id = (select link_id from parcel where parcel_year = '2024' and parcel_id = '23091424006');</v>
      </c>
    </row>
    <row r="60" spans="1:85" x14ac:dyDescent="0.25">
      <c r="A60">
        <v>23091424008</v>
      </c>
      <c r="B60">
        <v>16.579999999999998</v>
      </c>
      <c r="C60" t="s">
        <v>129</v>
      </c>
      <c r="D60" t="s">
        <v>129</v>
      </c>
      <c r="E60" t="s">
        <v>53</v>
      </c>
      <c r="F60" t="s">
        <v>53</v>
      </c>
      <c r="G60">
        <v>4</v>
      </c>
      <c r="H60" t="s">
        <v>54</v>
      </c>
      <c r="I60">
        <v>194500</v>
      </c>
      <c r="J60">
        <v>111600</v>
      </c>
      <c r="K60">
        <v>16.579999999999998</v>
      </c>
      <c r="L60">
        <f>IF(Grandview_Inventory[[#This Row],[parcel_acres]]-Grandview_Inventory[[#This Row],[non_valued_acres]] =0,0,LN(Grandview_Inventory[[#This Row],[parcel_acres]]-Grandview_Inventory[[#This Row],[non_valued_acres]]))</f>
        <v>2.8081971497071487</v>
      </c>
      <c r="M60">
        <v>0</v>
      </c>
      <c r="N60">
        <v>0</v>
      </c>
      <c r="O60">
        <v>0</v>
      </c>
      <c r="P60">
        <v>13398.7528</v>
      </c>
      <c r="Q60">
        <v>63903</v>
      </c>
      <c r="R60">
        <f>(Grandview_Inventory[[#This Row],[ln_acres]]*Grandview_Inventory[[#This Row],[coeff]])+Grandview_Inventory[[#This Row],[const]]</f>
        <v>101529.33942259068</v>
      </c>
      <c r="S60" t="s">
        <v>68</v>
      </c>
      <c r="T60">
        <v>1</v>
      </c>
      <c r="U60" t="s">
        <v>65</v>
      </c>
      <c r="V60" t="s">
        <v>78</v>
      </c>
      <c r="W60">
        <v>0</v>
      </c>
      <c r="X60">
        <v>0</v>
      </c>
      <c r="Y60">
        <v>50</v>
      </c>
      <c r="Z60">
        <v>72</v>
      </c>
      <c r="AA60">
        <v>80</v>
      </c>
      <c r="AB60">
        <v>2000</v>
      </c>
      <c r="AC60">
        <v>1552</v>
      </c>
      <c r="AD60">
        <v>1552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314</v>
      </c>
      <c r="AM60">
        <v>440</v>
      </c>
      <c r="AN60">
        <v>25</v>
      </c>
      <c r="AO60">
        <v>440</v>
      </c>
      <c r="AP60">
        <v>5</v>
      </c>
      <c r="AQ60">
        <v>0</v>
      </c>
      <c r="AR60">
        <v>1</v>
      </c>
      <c r="AS60" t="s">
        <v>76</v>
      </c>
      <c r="AT60">
        <v>1</v>
      </c>
      <c r="AU60" t="s">
        <v>63</v>
      </c>
      <c r="AV60" t="s">
        <v>81</v>
      </c>
      <c r="AW60">
        <v>0</v>
      </c>
      <c r="AX60">
        <v>3</v>
      </c>
      <c r="AY60">
        <v>0</v>
      </c>
      <c r="AZ60">
        <v>41100</v>
      </c>
      <c r="BA60">
        <v>100</v>
      </c>
      <c r="BB60">
        <v>100</v>
      </c>
      <c r="BC60">
        <v>100</v>
      </c>
      <c r="BD60">
        <v>100</v>
      </c>
      <c r="BE60">
        <v>1</v>
      </c>
      <c r="BF60">
        <v>15000</v>
      </c>
      <c r="BG60">
        <v>1000</v>
      </c>
      <c r="BH60" s="6">
        <f>Grandview_Inventory[[#This Row],[land_extract]]*Lookups!$B$3</f>
        <v>117905.74774223812</v>
      </c>
      <c r="BI60" s="6">
        <f>IF(Grandview_Inventory[[#This Row],[bldg_style]]="",0,Lookups!$B$2)</f>
        <v>155833.95000000001</v>
      </c>
      <c r="BJ60" s="6">
        <f>_xlfn.IFNA(VLOOKUP(Grandview_Inventory[[#This Row],[quality]],Lookups!$H$2:$J$14,3,FALSE),0)</f>
        <v>2251</v>
      </c>
      <c r="BK60" s="6">
        <f>_xlfn.IFNA(VLOOKUP(Grandview_Inventory[[#This Row],[condition]],Lookups!$H$17:$J$24,3,FALSE),0)</f>
        <v>-45357</v>
      </c>
      <c r="BL60" s="6">
        <f>Grandview_Inventory[[#This Row],[Eff_Age]]*Lookups!$B$14</f>
        <v>-11958.33</v>
      </c>
      <c r="BM60" s="6">
        <f>Grandview_Inventory[[#This Row],[living_area]]*Lookups!$B$15</f>
        <v>96815.083855999997</v>
      </c>
      <c r="BN60" s="6">
        <f>Grandview_Inventory[[#This Row],[Fin BSMT]]*Lookups!$B$16</f>
        <v>0</v>
      </c>
      <c r="BO60" s="6">
        <f>(Grandview_Inventory[[#This Row],[att_gar]]+Grandview_Inventory[[#This Row],[bltin_gar]])*Lookups!$B$17</f>
        <v>0</v>
      </c>
      <c r="BP60" s="6">
        <f>Grandview_Inventory[[#This Row],[Plumbing Fixtures]]*Lookups!$B$18</f>
        <v>10052.209000000001</v>
      </c>
      <c r="BQ60" s="6">
        <f>Grandview_Inventory[[#This Row],[detatched_value]]*Lookups!$B$19</f>
        <v>34803.689610000001</v>
      </c>
      <c r="BR60" s="6">
        <f>SUM(Grandview_Inventory[[#This Row],[Intercept]:[det_value]])*Grandview_Inventory[[#This Row],[res_pct]]</f>
        <v>242440.60246600001</v>
      </c>
      <c r="BS60" s="6">
        <f>Grandview_Inventory[[#This Row],[land_value]]</f>
        <v>117905.74774223812</v>
      </c>
      <c r="BT60" s="4">
        <f>_xlfn.IFNA(VLOOKUP(Grandview_Inventory[[#This Row],[quality]],Lookups!$A$26:$C$33,3,FALSE),1)</f>
        <v>0.98763855981004833</v>
      </c>
      <c r="BU60" s="4">
        <f>_xlfn.IFNA(VLOOKUP(Grandview_Inventory[[#This Row],[condition]],Lookups!$A$37:$C$44,3,FALSE),1)</f>
        <v>0.97161819570155394</v>
      </c>
      <c r="BV60" s="4">
        <f>IF(Grandview_Inventory[[#This Row],[bldg_style]]="",1,_xlfn.IFNA(VLOOKUP(Grandview_Inventory[[#This Row],[decade]],Lookups!$F$29:$H$43,3,FALSE),1))</f>
        <v>0.98763256963907298</v>
      </c>
      <c r="BW60" s="4">
        <f>_xlfn.IFNA(VLOOKUP(Grandview_Inventory[[#This Row],[living_area_range]],Lookups!$F$47:$H$56,3,FALSE),1)</f>
        <v>0.96120133463014379</v>
      </c>
      <c r="BX60" s="4">
        <f>AVERAGE(Grandview_Inventory[[#This Row],[qual_adj]:[size_adj]])</f>
        <v>0.97702266494520473</v>
      </c>
      <c r="BY60" s="6">
        <f>IF(Grandview_Inventory[[#This Row],[pre_res]]&lt;0,0,Grandview_Inventory[[#This Row],[pre_res]]*Grandview_Inventory[[#This Row],[overall_adj]])</f>
        <v>236869.96351225232</v>
      </c>
      <c r="BZ60" s="6">
        <f>(Grandview_Inventory[[#This Row],[sum_land]]-IF(Grandview_Inventory[[#This Row],[no_utilities]]=1,12000,0))/IF(Grandview_Inventory[[#This Row],[unbuildable]]=1,2,1)</f>
        <v>117905.74774223812</v>
      </c>
      <c r="CA60">
        <f>IF(ROUND(Grandview_Inventory[[#This Row],[adj_land]]*Lookups!$M$28,-2)&lt;Grandview_Inventory[[#This Row],[min_land]],Grandview_Inventory[[#This Row],[min_land]],ROUND(Grandview_Inventory[[#This Row],[adj_land]]*Lookups!$M$28,-2))</f>
        <v>112000</v>
      </c>
      <c r="CB60">
        <f>ROUND(Grandview_Inventory[[#This Row],[det_value]]*Lookups!$M$28,-2)</f>
        <v>33100</v>
      </c>
      <c r="CC60">
        <f>IF(ROUND(Grandview_Inventory[[#This Row],[adj_res]]*Lookups!$M$28,-2)&lt;Grandview_Inventory[[#This Row],[min_res]],Grandview_Inventory[[#This Row],[min_res]],ROUND(Grandview_Inventory[[#This Row],[adj_res]]*Lookups!$M$28,-2))</f>
        <v>225000</v>
      </c>
      <c r="CD60">
        <f>Grandview_Inventory[[#This Row],[final_det]]+Grandview_Inventory[[#This Row],[final_res]]</f>
        <v>258100</v>
      </c>
      <c r="CE60">
        <f>Grandview_Inventory[[#This Row],[final_land]]+Grandview_Inventory[[#This Row],[final_imp]]+Grandview_Inventory[[#This Row],[crop_value]]</f>
        <v>370100</v>
      </c>
      <c r="CG60" t="str">
        <f t="shared" si="0"/>
        <v>update valuation set market_land =112000, market_bldg=258100, market_total =370100, market_mdno =401, market_date ='9/10/2023' where link_id = (select link_id from parcel where parcel_year = '2024' and parcel_id = '23091424008');</v>
      </c>
    </row>
    <row r="61" spans="1:85" x14ac:dyDescent="0.25">
      <c r="A61">
        <v>23091431004</v>
      </c>
      <c r="B61">
        <v>2.4</v>
      </c>
      <c r="C61" t="s">
        <v>129</v>
      </c>
      <c r="D61" t="s">
        <v>129</v>
      </c>
      <c r="E61" t="s">
        <v>53</v>
      </c>
      <c r="F61" t="s">
        <v>53</v>
      </c>
      <c r="G61">
        <v>4</v>
      </c>
      <c r="H61" t="s">
        <v>54</v>
      </c>
      <c r="I61">
        <v>170000</v>
      </c>
      <c r="J61">
        <v>46500</v>
      </c>
      <c r="K61">
        <v>2.4</v>
      </c>
      <c r="L61">
        <f>IF(Grandview_Inventory[[#This Row],[parcel_acres]]-Grandview_Inventory[[#This Row],[non_valued_acres]] =0,0,LN(Grandview_Inventory[[#This Row],[parcel_acres]]-Grandview_Inventory[[#This Row],[non_valued_acres]]))</f>
        <v>0.87546873735389985</v>
      </c>
      <c r="M61">
        <v>0</v>
      </c>
      <c r="N61">
        <v>0</v>
      </c>
      <c r="O61">
        <v>0</v>
      </c>
      <c r="P61">
        <v>13398.7528</v>
      </c>
      <c r="Q61">
        <v>63903</v>
      </c>
      <c r="R61">
        <f>(Grandview_Inventory[[#This Row],[ln_acres]]*Grandview_Inventory[[#This Row],[coeff]])+Grandview_Inventory[[#This Row],[const]]</f>
        <v>75633.189195933024</v>
      </c>
      <c r="S61" t="s">
        <v>61</v>
      </c>
      <c r="T61">
        <v>1</v>
      </c>
      <c r="U61" t="s">
        <v>65</v>
      </c>
      <c r="V61" t="s">
        <v>69</v>
      </c>
      <c r="W61">
        <v>0</v>
      </c>
      <c r="X61">
        <v>0</v>
      </c>
      <c r="Y61">
        <v>50</v>
      </c>
      <c r="Z61">
        <v>73</v>
      </c>
      <c r="AA61">
        <v>80</v>
      </c>
      <c r="AB61">
        <v>2000</v>
      </c>
      <c r="AC61">
        <v>1506</v>
      </c>
      <c r="AD61">
        <v>1506</v>
      </c>
      <c r="AE61">
        <v>0</v>
      </c>
      <c r="AF61">
        <v>0</v>
      </c>
      <c r="AG61">
        <v>0</v>
      </c>
      <c r="AH61">
        <v>1506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48</v>
      </c>
      <c r="AO61">
        <v>0</v>
      </c>
      <c r="AP61">
        <v>7</v>
      </c>
      <c r="AQ61">
        <v>1</v>
      </c>
      <c r="AR61">
        <v>0</v>
      </c>
      <c r="AS61" t="s">
        <v>58</v>
      </c>
      <c r="AT61">
        <v>1</v>
      </c>
      <c r="AU61" t="s">
        <v>63</v>
      </c>
      <c r="AV61" t="s">
        <v>81</v>
      </c>
      <c r="AW61">
        <v>0</v>
      </c>
      <c r="AX61">
        <v>3</v>
      </c>
      <c r="AY61">
        <v>0</v>
      </c>
      <c r="AZ61">
        <v>18700</v>
      </c>
      <c r="BA61">
        <v>100</v>
      </c>
      <c r="BB61">
        <v>100</v>
      </c>
      <c r="BC61">
        <v>100</v>
      </c>
      <c r="BD61">
        <v>100</v>
      </c>
      <c r="BE61">
        <v>1</v>
      </c>
      <c r="BF61">
        <v>15000</v>
      </c>
      <c r="BG61">
        <v>1000</v>
      </c>
      <c r="BH61" s="6">
        <f>Grandview_Inventory[[#This Row],[land_extract]]*Lookups!$B$3</f>
        <v>87832.618403626184</v>
      </c>
      <c r="BI61" s="6">
        <f>IF(Grandview_Inventory[[#This Row],[bldg_style]]="",0,Lookups!$B$2)</f>
        <v>155833.95000000001</v>
      </c>
      <c r="BJ61" s="6">
        <f>_xlfn.IFNA(VLOOKUP(Grandview_Inventory[[#This Row],[quality]],Lookups!$H$2:$J$14,3,FALSE),0)</f>
        <v>2251</v>
      </c>
      <c r="BK61" s="6">
        <f>_xlfn.IFNA(VLOOKUP(Grandview_Inventory[[#This Row],[condition]],Lookups!$H$17:$J$24,3,FALSE),0)</f>
        <v>-4503</v>
      </c>
      <c r="BL61" s="6">
        <f>Grandview_Inventory[[#This Row],[Eff_Age]]*Lookups!$B$14</f>
        <v>-11958.33</v>
      </c>
      <c r="BM61" s="6">
        <f>Grandview_Inventory[[#This Row],[living_area]]*Lookups!$B$15</f>
        <v>93945.564618000004</v>
      </c>
      <c r="BN61" s="6">
        <f>Grandview_Inventory[[#This Row],[Fin BSMT]]*Lookups!$B$16</f>
        <v>0</v>
      </c>
      <c r="BO61" s="6">
        <f>(Grandview_Inventory[[#This Row],[att_gar]]+Grandview_Inventory[[#This Row],[bltin_gar]])*Lookups!$B$17</f>
        <v>0</v>
      </c>
      <c r="BP61" s="6">
        <f>Grandview_Inventory[[#This Row],[Plumbing Fixtures]]*Lookups!$B$18</f>
        <v>14073.0926</v>
      </c>
      <c r="BQ61" s="6">
        <f>Grandview_Inventory[[#This Row],[detatched_value]]*Lookups!$B$19</f>
        <v>15835.255369999999</v>
      </c>
      <c r="BR61" s="6">
        <f>SUM(Grandview_Inventory[[#This Row],[Intercept]:[det_value]])*Grandview_Inventory[[#This Row],[res_pct]]</f>
        <v>265477.53258800006</v>
      </c>
      <c r="BS61" s="6">
        <f>Grandview_Inventory[[#This Row],[land_value]]</f>
        <v>87832.618403626184</v>
      </c>
      <c r="BT61" s="4">
        <f>_xlfn.IFNA(VLOOKUP(Grandview_Inventory[[#This Row],[quality]],Lookups!$A$26:$C$33,3,FALSE),1)</f>
        <v>0.98763855981004833</v>
      </c>
      <c r="BU61" s="4">
        <f>_xlfn.IFNA(VLOOKUP(Grandview_Inventory[[#This Row],[condition]],Lookups!$A$37:$C$44,3,FALSE),1)</f>
        <v>0.96469275950863709</v>
      </c>
      <c r="BV61" s="4">
        <f>IF(Grandview_Inventory[[#This Row],[bldg_style]]="",1,_xlfn.IFNA(VLOOKUP(Grandview_Inventory[[#This Row],[decade]],Lookups!$F$29:$H$43,3,FALSE),1))</f>
        <v>0.98763256963907298</v>
      </c>
      <c r="BW61" s="4">
        <f>_xlfn.IFNA(VLOOKUP(Grandview_Inventory[[#This Row],[living_area_range]],Lookups!$F$47:$H$56,3,FALSE),1)</f>
        <v>0.96120133463014379</v>
      </c>
      <c r="BX61" s="4">
        <f>AVERAGE(Grandview_Inventory[[#This Row],[qual_adj]:[size_adj]])</f>
        <v>0.97529130589697544</v>
      </c>
      <c r="BY61" s="6">
        <f>IF(Grandview_Inventory[[#This Row],[pre_res]]&lt;0,0,Grandview_Inventory[[#This Row],[pre_res]]*Grandview_Inventory[[#This Row],[overall_adj]])</f>
        <v>258917.92944405743</v>
      </c>
      <c r="BZ61" s="6">
        <f>(Grandview_Inventory[[#This Row],[sum_land]]-IF(Grandview_Inventory[[#This Row],[no_utilities]]=1,12000,0))/IF(Grandview_Inventory[[#This Row],[unbuildable]]=1,2,1)</f>
        <v>87832.618403626184</v>
      </c>
      <c r="CA61">
        <f>IF(ROUND(Grandview_Inventory[[#This Row],[adj_land]]*Lookups!$M$28,-2)&lt;Grandview_Inventory[[#This Row],[min_land]],Grandview_Inventory[[#This Row],[min_land]],ROUND(Grandview_Inventory[[#This Row],[adj_land]]*Lookups!$M$28,-2))</f>
        <v>83400</v>
      </c>
      <c r="CB61">
        <f>ROUND(Grandview_Inventory[[#This Row],[det_value]]*Lookups!$M$28,-2)</f>
        <v>15000</v>
      </c>
      <c r="CC61">
        <f>IF(ROUND(Grandview_Inventory[[#This Row],[adj_res]]*Lookups!$M$28,-2)&lt;Grandview_Inventory[[#This Row],[min_res]],Grandview_Inventory[[#This Row],[min_res]],ROUND(Grandview_Inventory[[#This Row],[adj_res]]*Lookups!$M$28,-2))</f>
        <v>246000</v>
      </c>
      <c r="CD61">
        <f>Grandview_Inventory[[#This Row],[final_det]]+Grandview_Inventory[[#This Row],[final_res]]</f>
        <v>261000</v>
      </c>
      <c r="CE61">
        <f>Grandview_Inventory[[#This Row],[final_land]]+Grandview_Inventory[[#This Row],[final_imp]]+Grandview_Inventory[[#This Row],[crop_value]]</f>
        <v>344400</v>
      </c>
      <c r="CG61" t="str">
        <f t="shared" si="0"/>
        <v>update valuation set market_land =83400, market_bldg=261000, market_total =344400, market_mdno =401, market_date ='9/10/2023' where link_id = (select link_id from parcel where parcel_year = '2024' and parcel_id = '23091431004');</v>
      </c>
    </row>
    <row r="62" spans="1:85" x14ac:dyDescent="0.25">
      <c r="A62">
        <v>23091431400</v>
      </c>
      <c r="B62">
        <v>0.25</v>
      </c>
      <c r="C62" t="s">
        <v>129</v>
      </c>
      <c r="D62" t="s">
        <v>129</v>
      </c>
      <c r="E62" t="s">
        <v>53</v>
      </c>
      <c r="F62" t="s">
        <v>53</v>
      </c>
      <c r="G62">
        <v>4</v>
      </c>
      <c r="H62" t="s">
        <v>54</v>
      </c>
      <c r="I62">
        <v>253000</v>
      </c>
      <c r="J62">
        <v>41600</v>
      </c>
      <c r="K62">
        <v>0.25</v>
      </c>
      <c r="L62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2">
        <v>0</v>
      </c>
      <c r="N62">
        <v>0</v>
      </c>
      <c r="O62">
        <v>0</v>
      </c>
      <c r="P62">
        <v>13398.7528</v>
      </c>
      <c r="Q62">
        <v>63903</v>
      </c>
      <c r="R62">
        <f>(Grandview_Inventory[[#This Row],[ln_acres]]*Grandview_Inventory[[#This Row],[coeff]])+Grandview_Inventory[[#This Row],[const]]</f>
        <v>45328.38454732066</v>
      </c>
      <c r="S62" t="s">
        <v>55</v>
      </c>
      <c r="T62">
        <v>2</v>
      </c>
      <c r="U62" t="s">
        <v>65</v>
      </c>
      <c r="V62" t="s">
        <v>69</v>
      </c>
      <c r="W62">
        <v>0</v>
      </c>
      <c r="X62">
        <v>0</v>
      </c>
      <c r="Y62">
        <v>52</v>
      </c>
      <c r="Z62">
        <v>88</v>
      </c>
      <c r="AA62">
        <v>90</v>
      </c>
      <c r="AB62">
        <v>3000</v>
      </c>
      <c r="AC62">
        <v>2522</v>
      </c>
      <c r="AD62">
        <v>1667</v>
      </c>
      <c r="AE62">
        <v>855</v>
      </c>
      <c r="AF62">
        <v>0</v>
      </c>
      <c r="AG62">
        <v>0</v>
      </c>
      <c r="AH62">
        <v>256</v>
      </c>
      <c r="AI62">
        <v>0</v>
      </c>
      <c r="AJ62">
        <v>0</v>
      </c>
      <c r="AK62">
        <v>0</v>
      </c>
      <c r="AL62">
        <v>240</v>
      </c>
      <c r="AM62">
        <v>0</v>
      </c>
      <c r="AN62">
        <v>0</v>
      </c>
      <c r="AO62">
        <v>96</v>
      </c>
      <c r="AP62">
        <v>8</v>
      </c>
      <c r="AQ62">
        <v>1</v>
      </c>
      <c r="AR62">
        <v>0</v>
      </c>
      <c r="AS62" t="s">
        <v>58</v>
      </c>
      <c r="AT62">
        <v>1</v>
      </c>
      <c r="AU62" t="s">
        <v>59</v>
      </c>
      <c r="AV62" t="s">
        <v>60</v>
      </c>
      <c r="AW62">
        <v>1</v>
      </c>
      <c r="AX62">
        <v>3</v>
      </c>
      <c r="AY62">
        <v>0</v>
      </c>
      <c r="AZ62">
        <v>15200</v>
      </c>
      <c r="BA62">
        <v>100</v>
      </c>
      <c r="BB62">
        <v>100</v>
      </c>
      <c r="BC62">
        <v>100</v>
      </c>
      <c r="BD62">
        <v>100</v>
      </c>
      <c r="BE62">
        <v>1</v>
      </c>
      <c r="BF62">
        <v>15000</v>
      </c>
      <c r="BG62">
        <v>1000</v>
      </c>
      <c r="BH62" s="6">
        <f>Grandview_Inventory[[#This Row],[land_extract]]*Lookups!$B$3</f>
        <v>52639.730588165206</v>
      </c>
      <c r="BI62" s="6">
        <f>IF(Grandview_Inventory[[#This Row],[bldg_style]]="",0,Lookups!$B$2)</f>
        <v>155833.95000000001</v>
      </c>
      <c r="BJ62" s="6">
        <f>_xlfn.IFNA(VLOOKUP(Grandview_Inventory[[#This Row],[quality]],Lookups!$H$2:$J$14,3,FALSE),0)</f>
        <v>2251</v>
      </c>
      <c r="BK62" s="6">
        <f>_xlfn.IFNA(VLOOKUP(Grandview_Inventory[[#This Row],[condition]],Lookups!$H$17:$J$24,3,FALSE),0)</f>
        <v>-4503</v>
      </c>
      <c r="BL62" s="6">
        <f>Grandview_Inventory[[#This Row],[Eff_Age]]*Lookups!$B$14</f>
        <v>-12436.663199999999</v>
      </c>
      <c r="BM62" s="6">
        <f>Grandview_Inventory[[#This Row],[living_area]]*Lookups!$B$15</f>
        <v>157324.51126600002</v>
      </c>
      <c r="BN62" s="6">
        <f>Grandview_Inventory[[#This Row],[Fin BSMT]]*Lookups!$B$16</f>
        <v>0</v>
      </c>
      <c r="BO62" s="6">
        <f>(Grandview_Inventory[[#This Row],[att_gar]]+Grandview_Inventory[[#This Row],[bltin_gar]])*Lookups!$B$17</f>
        <v>0</v>
      </c>
      <c r="BP62" s="6">
        <f>Grandview_Inventory[[#This Row],[Plumbing Fixtures]]*Lookups!$B$18</f>
        <v>16083.5344</v>
      </c>
      <c r="BQ62" s="6">
        <f>Grandview_Inventory[[#This Row],[detatched_value]]*Lookups!$B$19</f>
        <v>12871.437519999999</v>
      </c>
      <c r="BR62" s="6">
        <f>SUM(Grandview_Inventory[[#This Row],[Intercept]:[det_value]])*Grandview_Inventory[[#This Row],[res_pct]]</f>
        <v>327424.76998599997</v>
      </c>
      <c r="BS62" s="6">
        <f>Grandview_Inventory[[#This Row],[land_value]]</f>
        <v>52639.730588165206</v>
      </c>
      <c r="BT62" s="4">
        <f>_xlfn.IFNA(VLOOKUP(Grandview_Inventory[[#This Row],[quality]],Lookups!$A$26:$C$33,3,FALSE),1)</f>
        <v>0.98763855981004833</v>
      </c>
      <c r="BU62" s="4">
        <f>_xlfn.IFNA(VLOOKUP(Grandview_Inventory[[#This Row],[condition]],Lookups!$A$37:$C$44,3,FALSE),1)</f>
        <v>0.96469275950863709</v>
      </c>
      <c r="BV62" s="4">
        <f>IF(Grandview_Inventory[[#This Row],[bldg_style]]="",1,_xlfn.IFNA(VLOOKUP(Grandview_Inventory[[#This Row],[decade]],Lookups!$F$29:$H$43,3,FALSE),1))</f>
        <v>0.94161750052457416</v>
      </c>
      <c r="BW62" s="4">
        <f>_xlfn.IFNA(VLOOKUP(Grandview_Inventory[[#This Row],[living_area_range]],Lookups!$F$47:$H$56,3,FALSE),1)</f>
        <v>0.94224801443562123</v>
      </c>
      <c r="BX62" s="4">
        <f>AVERAGE(Grandview_Inventory[[#This Row],[qual_adj]:[size_adj]])</f>
        <v>0.9590492085697202</v>
      </c>
      <c r="BY62" s="6">
        <f>IF(Grandview_Inventory[[#This Row],[pre_res]]&lt;0,0,Grandview_Inventory[[#This Row],[pre_res]]*Grandview_Inventory[[#This Row],[overall_adj]])</f>
        <v>314016.46652119595</v>
      </c>
      <c r="BZ62" s="6">
        <f>(Grandview_Inventory[[#This Row],[sum_land]]-IF(Grandview_Inventory[[#This Row],[no_utilities]]=1,12000,0))/IF(Grandview_Inventory[[#This Row],[unbuildable]]=1,2,1)</f>
        <v>52639.730588165206</v>
      </c>
      <c r="CA62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2">
        <f>ROUND(Grandview_Inventory[[#This Row],[det_value]]*Lookups!$M$28,-2)</f>
        <v>12200</v>
      </c>
      <c r="CC62">
        <f>IF(ROUND(Grandview_Inventory[[#This Row],[adj_res]]*Lookups!$M$28,-2)&lt;Grandview_Inventory[[#This Row],[min_res]],Grandview_Inventory[[#This Row],[min_res]],ROUND(Grandview_Inventory[[#This Row],[adj_res]]*Lookups!$M$28,-2))</f>
        <v>298300</v>
      </c>
      <c r="CD62">
        <f>Grandview_Inventory[[#This Row],[final_det]]+Grandview_Inventory[[#This Row],[final_res]]</f>
        <v>310500</v>
      </c>
      <c r="CE62">
        <f>Grandview_Inventory[[#This Row],[final_land]]+Grandview_Inventory[[#This Row],[final_imp]]+Grandview_Inventory[[#This Row],[crop_value]]</f>
        <v>360500</v>
      </c>
      <c r="CG62" t="str">
        <f t="shared" si="0"/>
        <v>update valuation set market_land =50000, market_bldg=310500, market_total =360500, market_mdno =401, market_date ='9/10/2023' where link_id = (select link_id from parcel where parcel_year = '2024' and parcel_id = '23091431400');</v>
      </c>
    </row>
    <row r="63" spans="1:85" x14ac:dyDescent="0.25">
      <c r="A63">
        <v>23091432403</v>
      </c>
      <c r="B63">
        <v>0.63</v>
      </c>
      <c r="C63">
        <v>27272</v>
      </c>
      <c r="D63" t="s">
        <v>129</v>
      </c>
      <c r="E63" t="s">
        <v>53</v>
      </c>
      <c r="F63" t="s">
        <v>53</v>
      </c>
      <c r="G63">
        <v>4</v>
      </c>
      <c r="H63" t="s">
        <v>54</v>
      </c>
      <c r="I63">
        <v>95500</v>
      </c>
      <c r="J63">
        <v>44000</v>
      </c>
      <c r="K63">
        <v>0.63</v>
      </c>
      <c r="L63">
        <f>IF(Grandview_Inventory[[#This Row],[parcel_acres]]-Grandview_Inventory[[#This Row],[non_valued_acres]] =0,0,LN(Grandview_Inventory[[#This Row],[parcel_acres]]-Grandview_Inventory[[#This Row],[non_valued_acres]]))</f>
        <v>-0.46203545959655867</v>
      </c>
      <c r="M63">
        <v>0</v>
      </c>
      <c r="N63">
        <v>0</v>
      </c>
      <c r="O63">
        <v>0</v>
      </c>
      <c r="P63">
        <v>13398.7528</v>
      </c>
      <c r="Q63">
        <v>63903</v>
      </c>
      <c r="R63">
        <f>(Grandview_Inventory[[#This Row],[ln_acres]]*Grandview_Inventory[[#This Row],[coeff]])+Grandview_Inventory[[#This Row],[const]]</f>
        <v>57712.301092031325</v>
      </c>
      <c r="S63" t="s">
        <v>68</v>
      </c>
      <c r="T63">
        <v>1</v>
      </c>
      <c r="U63" t="s">
        <v>80</v>
      </c>
      <c r="V63" t="s">
        <v>78</v>
      </c>
      <c r="W63">
        <v>0</v>
      </c>
      <c r="X63">
        <v>0</v>
      </c>
      <c r="Y63">
        <v>53</v>
      </c>
      <c r="Z63">
        <v>93</v>
      </c>
      <c r="AA63">
        <v>100</v>
      </c>
      <c r="AB63">
        <v>1500</v>
      </c>
      <c r="AC63">
        <v>1180</v>
      </c>
      <c r="AD63">
        <v>980</v>
      </c>
      <c r="AE63">
        <v>0</v>
      </c>
      <c r="AF63">
        <v>0</v>
      </c>
      <c r="AG63">
        <v>200</v>
      </c>
      <c r="AH63">
        <v>400</v>
      </c>
      <c r="AI63">
        <v>0</v>
      </c>
      <c r="AJ63">
        <v>0</v>
      </c>
      <c r="AK63">
        <v>0</v>
      </c>
      <c r="AL63">
        <v>0</v>
      </c>
      <c r="AM63">
        <v>100</v>
      </c>
      <c r="AN63">
        <v>0</v>
      </c>
      <c r="AO63">
        <v>0</v>
      </c>
      <c r="AP63">
        <v>5</v>
      </c>
      <c r="AQ63">
        <v>0</v>
      </c>
      <c r="AR63">
        <v>0</v>
      </c>
      <c r="AS63" t="s">
        <v>58</v>
      </c>
      <c r="AT63">
        <v>1</v>
      </c>
      <c r="AU63" t="s">
        <v>75</v>
      </c>
      <c r="AV63" t="s">
        <v>60</v>
      </c>
      <c r="AW63">
        <v>0</v>
      </c>
      <c r="AX63">
        <v>3</v>
      </c>
      <c r="AY63">
        <v>0</v>
      </c>
      <c r="AZ63">
        <v>12900</v>
      </c>
      <c r="BA63">
        <v>100</v>
      </c>
      <c r="BB63">
        <v>100</v>
      </c>
      <c r="BC63">
        <v>100</v>
      </c>
      <c r="BD63">
        <v>100</v>
      </c>
      <c r="BE63">
        <v>1</v>
      </c>
      <c r="BF63">
        <v>15000</v>
      </c>
      <c r="BG63">
        <v>1000</v>
      </c>
      <c r="BH63" s="6">
        <f>Grandview_Inventory[[#This Row],[land_extract]]*Lookups!$B$3</f>
        <v>67021.139434963028</v>
      </c>
      <c r="BI63" s="6">
        <f>IF(Grandview_Inventory[[#This Row],[bldg_style]]="",0,Lookups!$B$2)</f>
        <v>155833.95000000001</v>
      </c>
      <c r="BJ63" s="6">
        <f>_xlfn.IFNA(VLOOKUP(Grandview_Inventory[[#This Row],[quality]],Lookups!$H$2:$J$14,3,FALSE),0)</f>
        <v>-28558</v>
      </c>
      <c r="BK63" s="6">
        <f>_xlfn.IFNA(VLOOKUP(Grandview_Inventory[[#This Row],[condition]],Lookups!$H$17:$J$24,3,FALSE),0)</f>
        <v>-45357</v>
      </c>
      <c r="BL63" s="6">
        <f>Grandview_Inventory[[#This Row],[Eff_Age]]*Lookups!$B$14</f>
        <v>-12675.8298</v>
      </c>
      <c r="BM63" s="6">
        <f>Grandview_Inventory[[#This Row],[living_area]]*Lookups!$B$15</f>
        <v>73609.406539999996</v>
      </c>
      <c r="BN63" s="6">
        <f>Grandview_Inventory[[#This Row],[Fin BSMT]]*Lookups!$B$16</f>
        <v>-5419.848</v>
      </c>
      <c r="BO63" s="6">
        <f>(Grandview_Inventory[[#This Row],[att_gar]]+Grandview_Inventory[[#This Row],[bltin_gar]])*Lookups!$B$17</f>
        <v>0</v>
      </c>
      <c r="BP63" s="6">
        <f>Grandview_Inventory[[#This Row],[Plumbing Fixtures]]*Lookups!$B$18</f>
        <v>10052.209000000001</v>
      </c>
      <c r="BQ63" s="6">
        <f>Grandview_Inventory[[#This Row],[detatched_value]]*Lookups!$B$19</f>
        <v>10923.78579</v>
      </c>
      <c r="BR63" s="6">
        <f>SUM(Grandview_Inventory[[#This Row],[Intercept]:[det_value]])*Grandview_Inventory[[#This Row],[res_pct]]</f>
        <v>158408.67353</v>
      </c>
      <c r="BS63" s="6">
        <f>Grandview_Inventory[[#This Row],[land_value]]</f>
        <v>67021.139434963028</v>
      </c>
      <c r="BT63" s="4">
        <f>_xlfn.IFNA(VLOOKUP(Grandview_Inventory[[#This Row],[quality]],Lookups!$A$26:$C$33,3,FALSE),1)</f>
        <v>0.9690360070159818</v>
      </c>
      <c r="BU63" s="4">
        <f>_xlfn.IFNA(VLOOKUP(Grandview_Inventory[[#This Row],[condition]],Lookups!$A$37:$C$44,3,FALSE),1)</f>
        <v>0.97161819570155394</v>
      </c>
      <c r="BV63" s="4">
        <f>IF(Grandview_Inventory[[#This Row],[bldg_style]]="",1,_xlfn.IFNA(VLOOKUP(Grandview_Inventory[[#This Row],[decade]],Lookups!$F$29:$H$43,3,FALSE),1))</f>
        <v>0.95244691841736806</v>
      </c>
      <c r="BW63" s="4">
        <f>_xlfn.IFNA(VLOOKUP(Grandview_Inventory[[#This Row],[living_area_range]],Lookups!$F$47:$H$56,3,FALSE),1)</f>
        <v>0.96135087979789358</v>
      </c>
      <c r="BX63" s="4">
        <f>AVERAGE(Grandview_Inventory[[#This Row],[qual_adj]:[size_adj]])</f>
        <v>0.96361300023319929</v>
      </c>
      <c r="BY63" s="6">
        <f>IF(Grandview_Inventory[[#This Row],[pre_res]]&lt;0,0,Grandview_Inventory[[#This Row],[pre_res]]*Grandview_Inventory[[#This Row],[overall_adj]])</f>
        <v>152644.65716320468</v>
      </c>
      <c r="BZ63" s="6">
        <f>(Grandview_Inventory[[#This Row],[sum_land]]-IF(Grandview_Inventory[[#This Row],[no_utilities]]=1,12000,0))/IF(Grandview_Inventory[[#This Row],[unbuildable]]=1,2,1)</f>
        <v>67021.139434963028</v>
      </c>
      <c r="CA63">
        <f>IF(ROUND(Grandview_Inventory[[#This Row],[adj_land]]*Lookups!$M$28,-2)&lt;Grandview_Inventory[[#This Row],[min_land]],Grandview_Inventory[[#This Row],[min_land]],ROUND(Grandview_Inventory[[#This Row],[adj_land]]*Lookups!$M$28,-2))</f>
        <v>63700</v>
      </c>
      <c r="CB63">
        <f>ROUND(Grandview_Inventory[[#This Row],[det_value]]*Lookups!$M$28,-2)</f>
        <v>10400</v>
      </c>
      <c r="CC63">
        <f>IF(ROUND(Grandview_Inventory[[#This Row],[adj_res]]*Lookups!$M$28,-2)&lt;Grandview_Inventory[[#This Row],[min_res]],Grandview_Inventory[[#This Row],[min_res]],ROUND(Grandview_Inventory[[#This Row],[adj_res]]*Lookups!$M$28,-2))</f>
        <v>145000</v>
      </c>
      <c r="CD63">
        <f>Grandview_Inventory[[#This Row],[final_det]]+Grandview_Inventory[[#This Row],[final_res]]</f>
        <v>155400</v>
      </c>
      <c r="CE63">
        <f>Grandview_Inventory[[#This Row],[final_land]]+Grandview_Inventory[[#This Row],[final_imp]]+Grandview_Inventory[[#This Row],[crop_value]]</f>
        <v>219100</v>
      </c>
      <c r="CG63" t="str">
        <f t="shared" si="0"/>
        <v>update valuation set market_land =63700, market_bldg=155400, market_total =219100, market_mdno =401, market_date ='9/10/2023' where link_id = (select link_id from parcel where parcel_year = '2024' and parcel_id = '23091432403');</v>
      </c>
    </row>
    <row r="64" spans="1:85" x14ac:dyDescent="0.25">
      <c r="A64">
        <v>23091432405</v>
      </c>
      <c r="B64">
        <v>0.16</v>
      </c>
      <c r="C64" t="s">
        <v>129</v>
      </c>
      <c r="D64" t="s">
        <v>129</v>
      </c>
      <c r="E64" t="s">
        <v>53</v>
      </c>
      <c r="F64" t="s">
        <v>53</v>
      </c>
      <c r="G64">
        <v>4</v>
      </c>
      <c r="H64" t="s">
        <v>54</v>
      </c>
      <c r="I64">
        <v>177700</v>
      </c>
      <c r="J64">
        <v>38600</v>
      </c>
      <c r="K64">
        <v>0.16</v>
      </c>
      <c r="L6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4">
        <v>0</v>
      </c>
      <c r="N64">
        <v>0</v>
      </c>
      <c r="O64">
        <v>0</v>
      </c>
      <c r="P64">
        <v>13398.7528</v>
      </c>
      <c r="Q64">
        <v>63903</v>
      </c>
      <c r="R64">
        <f>(Grandview_Inventory[[#This Row],[ln_acres]]*Grandview_Inventory[[#This Row],[coeff]])+Grandview_Inventory[[#This Row],[const]]</f>
        <v>39348.693981374228</v>
      </c>
      <c r="S64" t="s">
        <v>61</v>
      </c>
      <c r="T64">
        <v>1</v>
      </c>
      <c r="U64" t="s">
        <v>65</v>
      </c>
      <c r="V64" t="s">
        <v>69</v>
      </c>
      <c r="W64">
        <v>0</v>
      </c>
      <c r="X64">
        <v>0</v>
      </c>
      <c r="Y64">
        <v>25</v>
      </c>
      <c r="Z64">
        <v>25</v>
      </c>
      <c r="AA64">
        <v>30</v>
      </c>
      <c r="AB64">
        <v>1500</v>
      </c>
      <c r="AC64">
        <v>1248</v>
      </c>
      <c r="AD64">
        <v>1248</v>
      </c>
      <c r="AE64">
        <v>0</v>
      </c>
      <c r="AF64">
        <v>0</v>
      </c>
      <c r="AG64">
        <v>0</v>
      </c>
      <c r="AH64">
        <v>0</v>
      </c>
      <c r="AI64">
        <v>400</v>
      </c>
      <c r="AJ64">
        <v>0</v>
      </c>
      <c r="AK64">
        <v>0</v>
      </c>
      <c r="AL64">
        <v>284</v>
      </c>
      <c r="AM64">
        <v>0</v>
      </c>
      <c r="AN64">
        <v>56</v>
      </c>
      <c r="AO64">
        <v>0</v>
      </c>
      <c r="AP64">
        <v>8</v>
      </c>
      <c r="AQ64">
        <v>0</v>
      </c>
      <c r="AR64">
        <v>0</v>
      </c>
      <c r="AS64" t="s">
        <v>58</v>
      </c>
      <c r="AT64">
        <v>1</v>
      </c>
      <c r="AU64" t="s">
        <v>59</v>
      </c>
      <c r="AV64" t="s">
        <v>60</v>
      </c>
      <c r="AW64">
        <v>1</v>
      </c>
      <c r="AX64">
        <v>3</v>
      </c>
      <c r="AY64">
        <v>0</v>
      </c>
      <c r="AZ64">
        <v>0</v>
      </c>
      <c r="BA64">
        <v>100</v>
      </c>
      <c r="BB64">
        <v>100</v>
      </c>
      <c r="BC64">
        <v>100</v>
      </c>
      <c r="BD64">
        <v>100</v>
      </c>
      <c r="BE64">
        <v>1</v>
      </c>
      <c r="BF64">
        <v>15000</v>
      </c>
      <c r="BG64">
        <v>1000</v>
      </c>
      <c r="BH64" s="6">
        <f>Grandview_Inventory[[#This Row],[land_extract]]*Lookups!$B$3</f>
        <v>45695.532079096141</v>
      </c>
      <c r="BI64" s="6">
        <f>IF(Grandview_Inventory[[#This Row],[bldg_style]]="",0,Lookups!$B$2)</f>
        <v>155833.95000000001</v>
      </c>
      <c r="BJ64" s="6">
        <f>_xlfn.IFNA(VLOOKUP(Grandview_Inventory[[#This Row],[quality]],Lookups!$H$2:$J$14,3,FALSE),0)</f>
        <v>2251</v>
      </c>
      <c r="BK64" s="6">
        <f>_xlfn.IFNA(VLOOKUP(Grandview_Inventory[[#This Row],[condition]],Lookups!$H$17:$J$24,3,FALSE),0)</f>
        <v>-4503</v>
      </c>
      <c r="BL64" s="6">
        <f>Grandview_Inventory[[#This Row],[Eff_Age]]*Lookups!$B$14</f>
        <v>-5979.165</v>
      </c>
      <c r="BM64" s="6">
        <f>Grandview_Inventory[[#This Row],[living_area]]*Lookups!$B$15</f>
        <v>77851.304543999999</v>
      </c>
      <c r="BN64" s="6">
        <f>Grandview_Inventory[[#This Row],[Fin BSMT]]*Lookups!$B$16</f>
        <v>0</v>
      </c>
      <c r="BO64" s="6">
        <f>(Grandview_Inventory[[#This Row],[att_gar]]+Grandview_Inventory[[#This Row],[bltin_gar]])*Lookups!$B$17</f>
        <v>35008.174800000001</v>
      </c>
      <c r="BP64" s="6">
        <f>Grandview_Inventory[[#This Row],[Plumbing Fixtures]]*Lookups!$B$18</f>
        <v>16083.5344</v>
      </c>
      <c r="BQ64" s="6">
        <f>Grandview_Inventory[[#This Row],[detatched_value]]*Lookups!$B$19</f>
        <v>0</v>
      </c>
      <c r="BR64" s="6">
        <f>SUM(Grandview_Inventory[[#This Row],[Intercept]:[det_value]])*Grandview_Inventory[[#This Row],[res_pct]]</f>
        <v>276545.79874399997</v>
      </c>
      <c r="BS64" s="6">
        <f>Grandview_Inventory[[#This Row],[land_value]]</f>
        <v>45695.532079096141</v>
      </c>
      <c r="BT64" s="4">
        <f>_xlfn.IFNA(VLOOKUP(Grandview_Inventory[[#This Row],[quality]],Lookups!$A$26:$C$33,3,FALSE),1)</f>
        <v>0.98763855981004833</v>
      </c>
      <c r="BU64" s="4">
        <f>_xlfn.IFNA(VLOOKUP(Grandview_Inventory[[#This Row],[condition]],Lookups!$A$37:$C$44,3,FALSE),1)</f>
        <v>0.96469275950863709</v>
      </c>
      <c r="BV64" s="4">
        <f>IF(Grandview_Inventory[[#This Row],[bldg_style]]="",1,_xlfn.IFNA(VLOOKUP(Grandview_Inventory[[#This Row],[decade]],Lookups!$F$29:$H$43,3,FALSE),1))</f>
        <v>0.98397821291089549</v>
      </c>
      <c r="BW64" s="4">
        <f>_xlfn.IFNA(VLOOKUP(Grandview_Inventory[[#This Row],[living_area_range]],Lookups!$F$47:$H$56,3,FALSE),1)</f>
        <v>0.96135087979789358</v>
      </c>
      <c r="BX64" s="4">
        <f>AVERAGE(Grandview_Inventory[[#This Row],[qual_adj]:[size_adj]])</f>
        <v>0.97441510300686862</v>
      </c>
      <c r="BY64" s="6">
        <f>IF(Grandview_Inventory[[#This Row],[pre_res]]&lt;0,0,Grandview_Inventory[[#This Row],[pre_res]]*Grandview_Inventory[[#This Row],[overall_adj]])</f>
        <v>269470.4029692515</v>
      </c>
      <c r="BZ64" s="6">
        <f>(Grandview_Inventory[[#This Row],[sum_land]]-IF(Grandview_Inventory[[#This Row],[no_utilities]]=1,12000,0))/IF(Grandview_Inventory[[#This Row],[unbuildable]]=1,2,1)</f>
        <v>45695.532079096141</v>
      </c>
      <c r="CA6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4">
        <f>ROUND(Grandview_Inventory[[#This Row],[det_value]]*Lookups!$M$28,-2)</f>
        <v>0</v>
      </c>
      <c r="CC64">
        <f>IF(ROUND(Grandview_Inventory[[#This Row],[adj_res]]*Lookups!$M$28,-2)&lt;Grandview_Inventory[[#This Row],[min_res]],Grandview_Inventory[[#This Row],[min_res]],ROUND(Grandview_Inventory[[#This Row],[adj_res]]*Lookups!$M$28,-2))</f>
        <v>256000</v>
      </c>
      <c r="CD64">
        <f>Grandview_Inventory[[#This Row],[final_det]]+Grandview_Inventory[[#This Row],[final_res]]</f>
        <v>256000</v>
      </c>
      <c r="CE64">
        <f>Grandview_Inventory[[#This Row],[final_land]]+Grandview_Inventory[[#This Row],[final_imp]]+Grandview_Inventory[[#This Row],[crop_value]]</f>
        <v>299400</v>
      </c>
      <c r="CG64" t="str">
        <f t="shared" si="0"/>
        <v>update valuation set market_land =43400, market_bldg=256000, market_total =299400, market_mdno =401, market_date ='9/10/2023' where link_id = (select link_id from parcel where parcel_year = '2024' and parcel_id = '23091432405');</v>
      </c>
    </row>
    <row r="65" spans="1:85" x14ac:dyDescent="0.25">
      <c r="A65">
        <v>23091432406</v>
      </c>
      <c r="B65">
        <v>0.16</v>
      </c>
      <c r="C65" t="s">
        <v>129</v>
      </c>
      <c r="D65" t="s">
        <v>129</v>
      </c>
      <c r="E65" t="s">
        <v>53</v>
      </c>
      <c r="F65" t="s">
        <v>53</v>
      </c>
      <c r="G65">
        <v>4</v>
      </c>
      <c r="H65" t="s">
        <v>54</v>
      </c>
      <c r="I65">
        <v>247200</v>
      </c>
      <c r="J65">
        <v>38600</v>
      </c>
      <c r="K65">
        <v>0.16</v>
      </c>
      <c r="L6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5">
        <v>0</v>
      </c>
      <c r="N65">
        <v>0</v>
      </c>
      <c r="O65">
        <v>0</v>
      </c>
      <c r="P65">
        <v>13398.7528</v>
      </c>
      <c r="Q65">
        <v>63903</v>
      </c>
      <c r="R65">
        <f>(Grandview_Inventory[[#This Row],[ln_acres]]*Grandview_Inventory[[#This Row],[coeff]])+Grandview_Inventory[[#This Row],[const]]</f>
        <v>39348.693981374228</v>
      </c>
      <c r="S65" t="s">
        <v>61</v>
      </c>
      <c r="T65">
        <v>1</v>
      </c>
      <c r="U65" t="s">
        <v>62</v>
      </c>
      <c r="V65" t="s">
        <v>67</v>
      </c>
      <c r="W65">
        <v>0</v>
      </c>
      <c r="X65">
        <v>0</v>
      </c>
      <c r="Y65">
        <v>25</v>
      </c>
      <c r="Z65">
        <v>25</v>
      </c>
      <c r="AA65">
        <v>30</v>
      </c>
      <c r="AB65">
        <v>2000</v>
      </c>
      <c r="AC65">
        <v>1834</v>
      </c>
      <c r="AD65">
        <v>1834</v>
      </c>
      <c r="AE65">
        <v>0</v>
      </c>
      <c r="AF65">
        <v>0</v>
      </c>
      <c r="AG65">
        <v>0</v>
      </c>
      <c r="AH65">
        <v>0</v>
      </c>
      <c r="AI65">
        <v>400</v>
      </c>
      <c r="AJ65">
        <v>0</v>
      </c>
      <c r="AK65">
        <v>0</v>
      </c>
      <c r="AL65">
        <v>278</v>
      </c>
      <c r="AM65">
        <v>262</v>
      </c>
      <c r="AN65">
        <v>112</v>
      </c>
      <c r="AO65">
        <v>0</v>
      </c>
      <c r="AP65">
        <v>8</v>
      </c>
      <c r="AQ65">
        <v>0</v>
      </c>
      <c r="AR65">
        <v>0</v>
      </c>
      <c r="AS65" t="s">
        <v>58</v>
      </c>
      <c r="AT65">
        <v>1</v>
      </c>
      <c r="AU65" t="s">
        <v>59</v>
      </c>
      <c r="AV65" t="s">
        <v>60</v>
      </c>
      <c r="AW65">
        <v>1</v>
      </c>
      <c r="AX65">
        <v>4</v>
      </c>
      <c r="AY65">
        <v>0</v>
      </c>
      <c r="AZ65">
        <v>0</v>
      </c>
      <c r="BA65">
        <v>100</v>
      </c>
      <c r="BB65">
        <v>100</v>
      </c>
      <c r="BC65">
        <v>100</v>
      </c>
      <c r="BD65">
        <v>100</v>
      </c>
      <c r="BE65">
        <v>1</v>
      </c>
      <c r="BF65">
        <v>15000</v>
      </c>
      <c r="BG65">
        <v>1000</v>
      </c>
      <c r="BH65" s="6">
        <f>Grandview_Inventory[[#This Row],[land_extract]]*Lookups!$B$3</f>
        <v>45695.532079096141</v>
      </c>
      <c r="BI65" s="6">
        <f>IF(Grandview_Inventory[[#This Row],[bldg_style]]="",0,Lookups!$B$2)</f>
        <v>155833.95000000001</v>
      </c>
      <c r="BJ65" s="6">
        <f>_xlfn.IFNA(VLOOKUP(Grandview_Inventory[[#This Row],[quality]],Lookups!$H$2:$J$14,3,FALSE),0)</f>
        <v>9808</v>
      </c>
      <c r="BK65" s="6">
        <f>_xlfn.IFNA(VLOOKUP(Grandview_Inventory[[#This Row],[condition]],Lookups!$H$17:$J$24,3,FALSE),0)</f>
        <v>22342</v>
      </c>
      <c r="BL65" s="6">
        <f>Grandview_Inventory[[#This Row],[Eff_Age]]*Lookups!$B$14</f>
        <v>-5979.165</v>
      </c>
      <c r="BM65" s="6">
        <f>Grandview_Inventory[[#This Row],[living_area]]*Lookups!$B$15</f>
        <v>114406.484402</v>
      </c>
      <c r="BN65" s="6">
        <f>Grandview_Inventory[[#This Row],[Fin BSMT]]*Lookups!$B$16</f>
        <v>0</v>
      </c>
      <c r="BO65" s="6">
        <f>(Grandview_Inventory[[#This Row],[att_gar]]+Grandview_Inventory[[#This Row],[bltin_gar]])*Lookups!$B$17</f>
        <v>35008.174800000001</v>
      </c>
      <c r="BP65" s="6">
        <f>Grandview_Inventory[[#This Row],[Plumbing Fixtures]]*Lookups!$B$18</f>
        <v>16083.5344</v>
      </c>
      <c r="BQ65" s="6">
        <f>Grandview_Inventory[[#This Row],[detatched_value]]*Lookups!$B$19</f>
        <v>0</v>
      </c>
      <c r="BR65" s="6">
        <f>SUM(Grandview_Inventory[[#This Row],[Intercept]:[det_value]])*Grandview_Inventory[[#This Row],[res_pct]]</f>
        <v>347502.97860199999</v>
      </c>
      <c r="BS65" s="6">
        <f>Grandview_Inventory[[#This Row],[land_value]]</f>
        <v>45695.532079096141</v>
      </c>
      <c r="BT65" s="4">
        <f>_xlfn.IFNA(VLOOKUP(Grandview_Inventory[[#This Row],[quality]],Lookups!$A$26:$C$33,3,FALSE),1)</f>
        <v>0.94295468617355149</v>
      </c>
      <c r="BU65" s="4">
        <f>_xlfn.IFNA(VLOOKUP(Grandview_Inventory[[#This Row],[condition]],Lookups!$A$37:$C$44,3,FALSE),1)</f>
        <v>0.97383723671140243</v>
      </c>
      <c r="BV65" s="4">
        <f>IF(Grandview_Inventory[[#This Row],[bldg_style]]="",1,_xlfn.IFNA(VLOOKUP(Grandview_Inventory[[#This Row],[decade]],Lookups!$F$29:$H$43,3,FALSE),1))</f>
        <v>0.98397821291089549</v>
      </c>
      <c r="BW65" s="4">
        <f>_xlfn.IFNA(VLOOKUP(Grandview_Inventory[[#This Row],[living_area_range]],Lookups!$F$47:$H$56,3,FALSE),1)</f>
        <v>0.96120133463014379</v>
      </c>
      <c r="BX65" s="4">
        <f>AVERAGE(Grandview_Inventory[[#This Row],[qual_adj]:[size_adj]])</f>
        <v>0.96549286760649822</v>
      </c>
      <c r="BY65" s="6">
        <f>IF(Grandview_Inventory[[#This Row],[pre_res]]&lt;0,0,Grandview_Inventory[[#This Row],[pre_res]]*Grandview_Inventory[[#This Row],[overall_adj]])</f>
        <v>335511.64731224458</v>
      </c>
      <c r="BZ65" s="6">
        <f>(Grandview_Inventory[[#This Row],[sum_land]]-IF(Grandview_Inventory[[#This Row],[no_utilities]]=1,12000,0))/IF(Grandview_Inventory[[#This Row],[unbuildable]]=1,2,1)</f>
        <v>45695.532079096141</v>
      </c>
      <c r="CA6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5">
        <f>ROUND(Grandview_Inventory[[#This Row],[det_value]]*Lookups!$M$28,-2)</f>
        <v>0</v>
      </c>
      <c r="CC65">
        <f>IF(ROUND(Grandview_Inventory[[#This Row],[adj_res]]*Lookups!$M$28,-2)&lt;Grandview_Inventory[[#This Row],[min_res]],Grandview_Inventory[[#This Row],[min_res]],ROUND(Grandview_Inventory[[#This Row],[adj_res]]*Lookups!$M$28,-2))</f>
        <v>318700</v>
      </c>
      <c r="CD65">
        <f>Grandview_Inventory[[#This Row],[final_det]]+Grandview_Inventory[[#This Row],[final_res]]</f>
        <v>318700</v>
      </c>
      <c r="CE65">
        <f>Grandview_Inventory[[#This Row],[final_land]]+Grandview_Inventory[[#This Row],[final_imp]]+Grandview_Inventory[[#This Row],[crop_value]]</f>
        <v>362100</v>
      </c>
      <c r="CG65" t="str">
        <f t="shared" si="0"/>
        <v>update valuation set market_land =43400, market_bldg=318700, market_total =362100, market_mdno =401, market_date ='9/10/2023' where link_id = (select link_id from parcel where parcel_year = '2024' and parcel_id = '23091432406');</v>
      </c>
    </row>
    <row r="66" spans="1:85" x14ac:dyDescent="0.25">
      <c r="A66">
        <v>23091432407</v>
      </c>
      <c r="B66">
        <v>0.16</v>
      </c>
      <c r="C66" t="s">
        <v>129</v>
      </c>
      <c r="D66" t="s">
        <v>129</v>
      </c>
      <c r="E66" t="s">
        <v>53</v>
      </c>
      <c r="F66" t="s">
        <v>53</v>
      </c>
      <c r="G66">
        <v>4</v>
      </c>
      <c r="H66" t="s">
        <v>54</v>
      </c>
      <c r="I66">
        <v>161500</v>
      </c>
      <c r="J66">
        <v>38600</v>
      </c>
      <c r="K66">
        <v>0.16</v>
      </c>
      <c r="L6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6">
        <v>0</v>
      </c>
      <c r="N66">
        <v>0</v>
      </c>
      <c r="O66">
        <v>0</v>
      </c>
      <c r="P66">
        <v>13398.7528</v>
      </c>
      <c r="Q66">
        <v>63903</v>
      </c>
      <c r="R66">
        <f>(Grandview_Inventory[[#This Row],[ln_acres]]*Grandview_Inventory[[#This Row],[coeff]])+Grandview_Inventory[[#This Row],[const]]</f>
        <v>39348.693981374228</v>
      </c>
      <c r="S66" t="s">
        <v>61</v>
      </c>
      <c r="T66">
        <v>1</v>
      </c>
      <c r="U66" t="s">
        <v>65</v>
      </c>
      <c r="V66" t="s">
        <v>69</v>
      </c>
      <c r="W66">
        <v>0</v>
      </c>
      <c r="X66">
        <v>0</v>
      </c>
      <c r="Y66">
        <v>25</v>
      </c>
      <c r="Z66">
        <v>25</v>
      </c>
      <c r="AA66">
        <v>30</v>
      </c>
      <c r="AB66">
        <v>1500</v>
      </c>
      <c r="AC66">
        <v>1128</v>
      </c>
      <c r="AD66">
        <v>1128</v>
      </c>
      <c r="AE66">
        <v>0</v>
      </c>
      <c r="AF66">
        <v>0</v>
      </c>
      <c r="AG66">
        <v>0</v>
      </c>
      <c r="AH66">
        <v>0</v>
      </c>
      <c r="AI66">
        <v>240</v>
      </c>
      <c r="AJ66">
        <v>0</v>
      </c>
      <c r="AK66">
        <v>0</v>
      </c>
      <c r="AL66">
        <v>240</v>
      </c>
      <c r="AM66">
        <v>0</v>
      </c>
      <c r="AN66">
        <v>140</v>
      </c>
      <c r="AO66">
        <v>0</v>
      </c>
      <c r="AP66">
        <v>8</v>
      </c>
      <c r="AQ66">
        <v>0</v>
      </c>
      <c r="AR66">
        <v>0</v>
      </c>
      <c r="AS66" t="s">
        <v>58</v>
      </c>
      <c r="AT66">
        <v>1</v>
      </c>
      <c r="AU66" t="s">
        <v>59</v>
      </c>
      <c r="AV66" t="s">
        <v>60</v>
      </c>
      <c r="AW66">
        <v>1</v>
      </c>
      <c r="AX66">
        <v>3</v>
      </c>
      <c r="AY66">
        <v>0</v>
      </c>
      <c r="AZ66">
        <v>0</v>
      </c>
      <c r="BA66">
        <v>100</v>
      </c>
      <c r="BB66">
        <v>100</v>
      </c>
      <c r="BC66">
        <v>100</v>
      </c>
      <c r="BD66">
        <v>100</v>
      </c>
      <c r="BE66">
        <v>1</v>
      </c>
      <c r="BF66">
        <v>15000</v>
      </c>
      <c r="BG66">
        <v>1000</v>
      </c>
      <c r="BH66" s="6">
        <f>Grandview_Inventory[[#This Row],[land_extract]]*Lookups!$B$3</f>
        <v>45695.532079096141</v>
      </c>
      <c r="BI66" s="6">
        <f>IF(Grandview_Inventory[[#This Row],[bldg_style]]="",0,Lookups!$B$2)</f>
        <v>155833.95000000001</v>
      </c>
      <c r="BJ66" s="6">
        <f>_xlfn.IFNA(VLOOKUP(Grandview_Inventory[[#This Row],[quality]],Lookups!$H$2:$J$14,3,FALSE),0)</f>
        <v>2251</v>
      </c>
      <c r="BK66" s="6">
        <f>_xlfn.IFNA(VLOOKUP(Grandview_Inventory[[#This Row],[condition]],Lookups!$H$17:$J$24,3,FALSE),0)</f>
        <v>-4503</v>
      </c>
      <c r="BL66" s="6">
        <f>Grandview_Inventory[[#This Row],[Eff_Age]]*Lookups!$B$14</f>
        <v>-5979.165</v>
      </c>
      <c r="BM66" s="6">
        <f>Grandview_Inventory[[#This Row],[living_area]]*Lookups!$B$15</f>
        <v>70365.602184000003</v>
      </c>
      <c r="BN66" s="6">
        <f>Grandview_Inventory[[#This Row],[Fin BSMT]]*Lookups!$B$16</f>
        <v>0</v>
      </c>
      <c r="BO66" s="6">
        <f>(Grandview_Inventory[[#This Row],[att_gar]]+Grandview_Inventory[[#This Row],[bltin_gar]])*Lookups!$B$17</f>
        <v>21004.904880000002</v>
      </c>
      <c r="BP66" s="6">
        <f>Grandview_Inventory[[#This Row],[Plumbing Fixtures]]*Lookups!$B$18</f>
        <v>16083.5344</v>
      </c>
      <c r="BQ66" s="6">
        <f>Grandview_Inventory[[#This Row],[detatched_value]]*Lookups!$B$19</f>
        <v>0</v>
      </c>
      <c r="BR66" s="6">
        <f>SUM(Grandview_Inventory[[#This Row],[Intercept]:[det_value]])*Grandview_Inventory[[#This Row],[res_pct]]</f>
        <v>255056.82646399998</v>
      </c>
      <c r="BS66" s="6">
        <f>Grandview_Inventory[[#This Row],[land_value]]</f>
        <v>45695.532079096141</v>
      </c>
      <c r="BT66" s="4">
        <f>_xlfn.IFNA(VLOOKUP(Grandview_Inventory[[#This Row],[quality]],Lookups!$A$26:$C$33,3,FALSE),1)</f>
        <v>0.98763855981004833</v>
      </c>
      <c r="BU66" s="4">
        <f>_xlfn.IFNA(VLOOKUP(Grandview_Inventory[[#This Row],[condition]],Lookups!$A$37:$C$44,3,FALSE),1)</f>
        <v>0.96469275950863709</v>
      </c>
      <c r="BV66" s="4">
        <f>IF(Grandview_Inventory[[#This Row],[bldg_style]]="",1,_xlfn.IFNA(VLOOKUP(Grandview_Inventory[[#This Row],[decade]],Lookups!$F$29:$H$43,3,FALSE),1))</f>
        <v>0.98397821291089549</v>
      </c>
      <c r="BW66" s="4">
        <f>_xlfn.IFNA(VLOOKUP(Grandview_Inventory[[#This Row],[living_area_range]],Lookups!$F$47:$H$56,3,FALSE),1)</f>
        <v>0.96135087979789358</v>
      </c>
      <c r="BX66" s="4">
        <f>AVERAGE(Grandview_Inventory[[#This Row],[qual_adj]:[size_adj]])</f>
        <v>0.97441510300686862</v>
      </c>
      <c r="BY66" s="6">
        <f>IF(Grandview_Inventory[[#This Row],[pre_res]]&lt;0,0,Grandview_Inventory[[#This Row],[pre_res]]*Grandview_Inventory[[#This Row],[overall_adj]])</f>
        <v>248531.22383152356</v>
      </c>
      <c r="BZ66" s="6">
        <f>(Grandview_Inventory[[#This Row],[sum_land]]-IF(Grandview_Inventory[[#This Row],[no_utilities]]=1,12000,0))/IF(Grandview_Inventory[[#This Row],[unbuildable]]=1,2,1)</f>
        <v>45695.532079096141</v>
      </c>
      <c r="CA6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6">
        <f>ROUND(Grandview_Inventory[[#This Row],[det_value]]*Lookups!$M$28,-2)</f>
        <v>0</v>
      </c>
      <c r="CC66">
        <f>IF(ROUND(Grandview_Inventory[[#This Row],[adj_res]]*Lookups!$M$28,-2)&lt;Grandview_Inventory[[#This Row],[min_res]],Grandview_Inventory[[#This Row],[min_res]],ROUND(Grandview_Inventory[[#This Row],[adj_res]]*Lookups!$M$28,-2))</f>
        <v>236100</v>
      </c>
      <c r="CD66">
        <f>Grandview_Inventory[[#This Row],[final_det]]+Grandview_Inventory[[#This Row],[final_res]]</f>
        <v>236100</v>
      </c>
      <c r="CE66">
        <f>Grandview_Inventory[[#This Row],[final_land]]+Grandview_Inventory[[#This Row],[final_imp]]+Grandview_Inventory[[#This Row],[crop_value]]</f>
        <v>279500</v>
      </c>
      <c r="CG66" t="str">
        <f t="shared" si="0"/>
        <v>update valuation set market_land =43400, market_bldg=236100, market_total =279500, market_mdno =401, market_date ='9/10/2023' where link_id = (select link_id from parcel where parcel_year = '2024' and parcel_id = '23091432407');</v>
      </c>
    </row>
    <row r="67" spans="1:85" x14ac:dyDescent="0.25">
      <c r="A67">
        <v>23091432408</v>
      </c>
      <c r="B67">
        <v>0.16</v>
      </c>
      <c r="C67" t="s">
        <v>129</v>
      </c>
      <c r="D67" t="s">
        <v>129</v>
      </c>
      <c r="E67" t="s">
        <v>53</v>
      </c>
      <c r="F67" t="s">
        <v>53</v>
      </c>
      <c r="G67">
        <v>4</v>
      </c>
      <c r="H67" t="s">
        <v>54</v>
      </c>
      <c r="I67">
        <v>230600</v>
      </c>
      <c r="J67">
        <v>43000</v>
      </c>
      <c r="K67">
        <v>0.16</v>
      </c>
      <c r="L6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7">
        <v>0</v>
      </c>
      <c r="N67">
        <v>0</v>
      </c>
      <c r="O67">
        <v>0</v>
      </c>
      <c r="P67">
        <v>13398.7528</v>
      </c>
      <c r="Q67">
        <v>63903</v>
      </c>
      <c r="R67">
        <f>(Grandview_Inventory[[#This Row],[ln_acres]]*Grandview_Inventory[[#This Row],[coeff]])+Grandview_Inventory[[#This Row],[const]]</f>
        <v>39348.693981374228</v>
      </c>
      <c r="S67" t="s">
        <v>61</v>
      </c>
      <c r="T67">
        <v>1</v>
      </c>
      <c r="U67" t="s">
        <v>65</v>
      </c>
      <c r="V67" t="s">
        <v>67</v>
      </c>
      <c r="W67">
        <v>0</v>
      </c>
      <c r="X67">
        <v>0</v>
      </c>
      <c r="Y67">
        <v>25</v>
      </c>
      <c r="Z67">
        <v>25</v>
      </c>
      <c r="AA67">
        <v>30</v>
      </c>
      <c r="AB67">
        <v>1500</v>
      </c>
      <c r="AC67">
        <v>1468</v>
      </c>
      <c r="AD67">
        <v>1468</v>
      </c>
      <c r="AE67">
        <v>0</v>
      </c>
      <c r="AF67">
        <v>0</v>
      </c>
      <c r="AG67">
        <v>0</v>
      </c>
      <c r="AH67">
        <v>0</v>
      </c>
      <c r="AI67">
        <v>400</v>
      </c>
      <c r="AJ67">
        <v>0</v>
      </c>
      <c r="AK67">
        <v>0</v>
      </c>
      <c r="AL67">
        <v>200</v>
      </c>
      <c r="AM67">
        <v>0</v>
      </c>
      <c r="AN67">
        <v>24</v>
      </c>
      <c r="AO67">
        <v>200</v>
      </c>
      <c r="AP67">
        <v>8</v>
      </c>
      <c r="AQ67">
        <v>0</v>
      </c>
      <c r="AR67">
        <v>0</v>
      </c>
      <c r="AS67" t="s">
        <v>58</v>
      </c>
      <c r="AT67">
        <v>1</v>
      </c>
      <c r="AU67" t="s">
        <v>59</v>
      </c>
      <c r="AV67" t="s">
        <v>60</v>
      </c>
      <c r="AW67">
        <v>1</v>
      </c>
      <c r="AX67">
        <v>3</v>
      </c>
      <c r="AY67">
        <v>0</v>
      </c>
      <c r="AZ67">
        <v>2900</v>
      </c>
      <c r="BA67">
        <v>100</v>
      </c>
      <c r="BB67">
        <v>100</v>
      </c>
      <c r="BC67">
        <v>100</v>
      </c>
      <c r="BD67">
        <v>100</v>
      </c>
      <c r="BE67">
        <v>1</v>
      </c>
      <c r="BF67">
        <v>15000</v>
      </c>
      <c r="BG67">
        <v>1000</v>
      </c>
      <c r="BH67" s="6">
        <f>Grandview_Inventory[[#This Row],[land_extract]]*Lookups!$B$3</f>
        <v>45695.532079096141</v>
      </c>
      <c r="BI67" s="6">
        <f>IF(Grandview_Inventory[[#This Row],[bldg_style]]="",0,Lookups!$B$2)</f>
        <v>155833.95000000001</v>
      </c>
      <c r="BJ67" s="6">
        <f>_xlfn.IFNA(VLOOKUP(Grandview_Inventory[[#This Row],[quality]],Lookups!$H$2:$J$14,3,FALSE),0)</f>
        <v>2251</v>
      </c>
      <c r="BK67" s="6">
        <f>_xlfn.IFNA(VLOOKUP(Grandview_Inventory[[#This Row],[condition]],Lookups!$H$17:$J$24,3,FALSE),0)</f>
        <v>22342</v>
      </c>
      <c r="BL67" s="6">
        <f>Grandview_Inventory[[#This Row],[Eff_Age]]*Lookups!$B$14</f>
        <v>-5979.165</v>
      </c>
      <c r="BM67" s="6">
        <f>Grandview_Inventory[[#This Row],[living_area]]*Lookups!$B$15</f>
        <v>91575.092204</v>
      </c>
      <c r="BN67" s="6">
        <f>Grandview_Inventory[[#This Row],[Fin BSMT]]*Lookups!$B$16</f>
        <v>0</v>
      </c>
      <c r="BO67" s="6">
        <f>(Grandview_Inventory[[#This Row],[att_gar]]+Grandview_Inventory[[#This Row],[bltin_gar]])*Lookups!$B$17</f>
        <v>35008.174800000001</v>
      </c>
      <c r="BP67" s="6">
        <f>Grandview_Inventory[[#This Row],[Plumbing Fixtures]]*Lookups!$B$18</f>
        <v>16083.5344</v>
      </c>
      <c r="BQ67" s="6">
        <f>Grandview_Inventory[[#This Row],[detatched_value]]*Lookups!$B$19</f>
        <v>2455.73479</v>
      </c>
      <c r="BR67" s="6">
        <f>SUM(Grandview_Inventory[[#This Row],[Intercept]:[det_value]])*Grandview_Inventory[[#This Row],[res_pct]]</f>
        <v>319570.32119400002</v>
      </c>
      <c r="BS67" s="6">
        <f>Grandview_Inventory[[#This Row],[land_value]]</f>
        <v>45695.532079096141</v>
      </c>
      <c r="BT67" s="4">
        <f>_xlfn.IFNA(VLOOKUP(Grandview_Inventory[[#This Row],[quality]],Lookups!$A$26:$C$33,3,FALSE),1)</f>
        <v>0.98763855981004833</v>
      </c>
      <c r="BU67" s="4">
        <f>_xlfn.IFNA(VLOOKUP(Grandview_Inventory[[#This Row],[condition]],Lookups!$A$37:$C$44,3,FALSE),1)</f>
        <v>0.97383723671140243</v>
      </c>
      <c r="BV67" s="4">
        <f>IF(Grandview_Inventory[[#This Row],[bldg_style]]="",1,_xlfn.IFNA(VLOOKUP(Grandview_Inventory[[#This Row],[decade]],Lookups!$F$29:$H$43,3,FALSE),1))</f>
        <v>0.98397821291089549</v>
      </c>
      <c r="BW67" s="4">
        <f>_xlfn.IFNA(VLOOKUP(Grandview_Inventory[[#This Row],[living_area_range]],Lookups!$F$47:$H$56,3,FALSE),1)</f>
        <v>0.96135087979789358</v>
      </c>
      <c r="BX67" s="4">
        <f>AVERAGE(Grandview_Inventory[[#This Row],[qual_adj]:[size_adj]])</f>
        <v>0.97670122230755996</v>
      </c>
      <c r="BY67" s="6">
        <f>IF(Grandview_Inventory[[#This Row],[pre_res]]&lt;0,0,Grandview_Inventory[[#This Row],[pre_res]]*Grandview_Inventory[[#This Row],[overall_adj]])</f>
        <v>312124.72332339938</v>
      </c>
      <c r="BZ67" s="6">
        <f>(Grandview_Inventory[[#This Row],[sum_land]]-IF(Grandview_Inventory[[#This Row],[no_utilities]]=1,12000,0))/IF(Grandview_Inventory[[#This Row],[unbuildable]]=1,2,1)</f>
        <v>45695.532079096141</v>
      </c>
      <c r="CA6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7">
        <f>ROUND(Grandview_Inventory[[#This Row],[det_value]]*Lookups!$M$28,-2)</f>
        <v>2300</v>
      </c>
      <c r="CC67">
        <f>IF(ROUND(Grandview_Inventory[[#This Row],[adj_res]]*Lookups!$M$28,-2)&lt;Grandview_Inventory[[#This Row],[min_res]],Grandview_Inventory[[#This Row],[min_res]],ROUND(Grandview_Inventory[[#This Row],[adj_res]]*Lookups!$M$28,-2))</f>
        <v>296500</v>
      </c>
      <c r="CD67">
        <f>Grandview_Inventory[[#This Row],[final_det]]+Grandview_Inventory[[#This Row],[final_res]]</f>
        <v>298800</v>
      </c>
      <c r="CE67">
        <f>Grandview_Inventory[[#This Row],[final_land]]+Grandview_Inventory[[#This Row],[final_imp]]+Grandview_Inventory[[#This Row],[crop_value]]</f>
        <v>342200</v>
      </c>
      <c r="CG67" t="str">
        <f t="shared" ref="CG67:CG130" si="1">"update valuation set market_land ="&amp;CA67&amp;", market_bldg="&amp;CD67&amp;", market_total ="&amp;CE67&amp;", market_mdno ="&amp;$CG$1&amp;", market_date ='"&amp;TEXT($CH$1,"m/d/yyyy")&amp;"' where link_id = (select link_id from parcel where parcel_year = '2024' and parcel_id = '"&amp;A67&amp;"');"</f>
        <v>update valuation set market_land =43400, market_bldg=298800, market_total =342200, market_mdno =401, market_date ='9/10/2023' where link_id = (select link_id from parcel where parcel_year = '2024' and parcel_id = '23091432408');</v>
      </c>
    </row>
    <row r="68" spans="1:85" x14ac:dyDescent="0.25">
      <c r="A68">
        <v>23091432409</v>
      </c>
      <c r="B68">
        <v>0.16</v>
      </c>
      <c r="C68" t="s">
        <v>129</v>
      </c>
      <c r="D68" t="s">
        <v>129</v>
      </c>
      <c r="E68" t="s">
        <v>53</v>
      </c>
      <c r="F68" t="s">
        <v>53</v>
      </c>
      <c r="G68">
        <v>4</v>
      </c>
      <c r="H68" t="s">
        <v>54</v>
      </c>
      <c r="I68">
        <v>180800</v>
      </c>
      <c r="J68">
        <v>38600</v>
      </c>
      <c r="K68">
        <v>0.16</v>
      </c>
      <c r="L6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8">
        <v>0</v>
      </c>
      <c r="N68">
        <v>0</v>
      </c>
      <c r="O68">
        <v>0</v>
      </c>
      <c r="P68">
        <v>13398.7528</v>
      </c>
      <c r="Q68">
        <v>63903</v>
      </c>
      <c r="R68">
        <f>(Grandview_Inventory[[#This Row],[ln_acres]]*Grandview_Inventory[[#This Row],[coeff]])+Grandview_Inventory[[#This Row],[const]]</f>
        <v>39348.693981374228</v>
      </c>
      <c r="S68" t="s">
        <v>61</v>
      </c>
      <c r="T68">
        <v>1</v>
      </c>
      <c r="U68" t="s">
        <v>65</v>
      </c>
      <c r="V68" t="s">
        <v>69</v>
      </c>
      <c r="W68">
        <v>0</v>
      </c>
      <c r="X68">
        <v>0</v>
      </c>
      <c r="Y68">
        <v>25</v>
      </c>
      <c r="Z68">
        <v>25</v>
      </c>
      <c r="AA68">
        <v>30</v>
      </c>
      <c r="AB68">
        <v>1500</v>
      </c>
      <c r="AC68">
        <v>1230</v>
      </c>
      <c r="AD68">
        <v>1230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200</v>
      </c>
      <c r="AM68">
        <v>0</v>
      </c>
      <c r="AN68">
        <v>95</v>
      </c>
      <c r="AO68">
        <v>200</v>
      </c>
      <c r="AP68">
        <v>8</v>
      </c>
      <c r="AQ68">
        <v>0</v>
      </c>
      <c r="AR68">
        <v>0</v>
      </c>
      <c r="AS68" t="s">
        <v>58</v>
      </c>
      <c r="AT68">
        <v>1</v>
      </c>
      <c r="AU68" t="s">
        <v>59</v>
      </c>
      <c r="AV68" t="s">
        <v>60</v>
      </c>
      <c r="AW68">
        <v>1</v>
      </c>
      <c r="AX68">
        <v>3</v>
      </c>
      <c r="AY68">
        <v>0</v>
      </c>
      <c r="AZ68">
        <v>26800</v>
      </c>
      <c r="BA68">
        <v>100</v>
      </c>
      <c r="BB68">
        <v>100</v>
      </c>
      <c r="BC68">
        <v>100</v>
      </c>
      <c r="BD68">
        <v>100</v>
      </c>
      <c r="BE68">
        <v>1</v>
      </c>
      <c r="BF68">
        <v>15000</v>
      </c>
      <c r="BG68">
        <v>1000</v>
      </c>
      <c r="BH68" s="6">
        <f>Grandview_Inventory[[#This Row],[land_extract]]*Lookups!$B$3</f>
        <v>45695.532079096141</v>
      </c>
      <c r="BI68" s="6">
        <f>IF(Grandview_Inventory[[#This Row],[bldg_style]]="",0,Lookups!$B$2)</f>
        <v>155833.95000000001</v>
      </c>
      <c r="BJ68" s="6">
        <f>_xlfn.IFNA(VLOOKUP(Grandview_Inventory[[#This Row],[quality]],Lookups!$H$2:$J$14,3,FALSE),0)</f>
        <v>2251</v>
      </c>
      <c r="BK68" s="6">
        <f>_xlfn.IFNA(VLOOKUP(Grandview_Inventory[[#This Row],[condition]],Lookups!$H$17:$J$24,3,FALSE),0)</f>
        <v>-4503</v>
      </c>
      <c r="BL68" s="6">
        <f>Grandview_Inventory[[#This Row],[Eff_Age]]*Lookups!$B$14</f>
        <v>-5979.165</v>
      </c>
      <c r="BM68" s="6">
        <f>Grandview_Inventory[[#This Row],[living_area]]*Lookups!$B$15</f>
        <v>76728.449189999999</v>
      </c>
      <c r="BN68" s="6">
        <f>Grandview_Inventory[[#This Row],[Fin BSMT]]*Lookups!$B$16</f>
        <v>0</v>
      </c>
      <c r="BO68" s="6">
        <f>(Grandview_Inventory[[#This Row],[att_gar]]+Grandview_Inventory[[#This Row],[bltin_gar]])*Lookups!$B$17</f>
        <v>0</v>
      </c>
      <c r="BP68" s="6">
        <f>Grandview_Inventory[[#This Row],[Plumbing Fixtures]]*Lookups!$B$18</f>
        <v>16083.5344</v>
      </c>
      <c r="BQ68" s="6">
        <f>Grandview_Inventory[[#This Row],[detatched_value]]*Lookups!$B$19</f>
        <v>22694.376679999998</v>
      </c>
      <c r="BR68" s="6">
        <f>SUM(Grandview_Inventory[[#This Row],[Intercept]:[det_value]])*Grandview_Inventory[[#This Row],[res_pct]]</f>
        <v>263109.14526999998</v>
      </c>
      <c r="BS68" s="6">
        <f>Grandview_Inventory[[#This Row],[land_value]]</f>
        <v>45695.532079096141</v>
      </c>
      <c r="BT68" s="4">
        <f>_xlfn.IFNA(VLOOKUP(Grandview_Inventory[[#This Row],[quality]],Lookups!$A$26:$C$33,3,FALSE),1)</f>
        <v>0.98763855981004833</v>
      </c>
      <c r="BU68" s="4">
        <f>_xlfn.IFNA(VLOOKUP(Grandview_Inventory[[#This Row],[condition]],Lookups!$A$37:$C$44,3,FALSE),1)</f>
        <v>0.96469275950863709</v>
      </c>
      <c r="BV68" s="4">
        <f>IF(Grandview_Inventory[[#This Row],[bldg_style]]="",1,_xlfn.IFNA(VLOOKUP(Grandview_Inventory[[#This Row],[decade]],Lookups!$F$29:$H$43,3,FALSE),1))</f>
        <v>0.98397821291089549</v>
      </c>
      <c r="BW68" s="4">
        <f>_xlfn.IFNA(VLOOKUP(Grandview_Inventory[[#This Row],[living_area_range]],Lookups!$F$47:$H$56,3,FALSE),1)</f>
        <v>0.96135087979789358</v>
      </c>
      <c r="BX68" s="4">
        <f>AVERAGE(Grandview_Inventory[[#This Row],[qual_adj]:[size_adj]])</f>
        <v>0.97441510300686862</v>
      </c>
      <c r="BY68" s="6">
        <f>IF(Grandview_Inventory[[#This Row],[pre_res]]&lt;0,0,Grandview_Inventory[[#This Row],[pre_res]]*Grandview_Inventory[[#This Row],[overall_adj]])</f>
        <v>256377.52489031618</v>
      </c>
      <c r="BZ68" s="6">
        <f>(Grandview_Inventory[[#This Row],[sum_land]]-IF(Grandview_Inventory[[#This Row],[no_utilities]]=1,12000,0))/IF(Grandview_Inventory[[#This Row],[unbuildable]]=1,2,1)</f>
        <v>45695.532079096141</v>
      </c>
      <c r="CA6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8">
        <f>ROUND(Grandview_Inventory[[#This Row],[det_value]]*Lookups!$M$28,-2)</f>
        <v>21600</v>
      </c>
      <c r="CC68">
        <f>IF(ROUND(Grandview_Inventory[[#This Row],[adj_res]]*Lookups!$M$28,-2)&lt;Grandview_Inventory[[#This Row],[min_res]],Grandview_Inventory[[#This Row],[min_res]],ROUND(Grandview_Inventory[[#This Row],[adj_res]]*Lookups!$M$28,-2))</f>
        <v>243600</v>
      </c>
      <c r="CD68">
        <f>Grandview_Inventory[[#This Row],[final_det]]+Grandview_Inventory[[#This Row],[final_res]]</f>
        <v>265200</v>
      </c>
      <c r="CE68">
        <f>Grandview_Inventory[[#This Row],[final_land]]+Grandview_Inventory[[#This Row],[final_imp]]+Grandview_Inventory[[#This Row],[crop_value]]</f>
        <v>308600</v>
      </c>
      <c r="CG68" t="str">
        <f t="shared" si="1"/>
        <v>update valuation set market_land =43400, market_bldg=265200, market_total =308600, market_mdno =401, market_date ='9/10/2023' where link_id = (select link_id from parcel where parcel_year = '2024' and parcel_id = '23091432409');</v>
      </c>
    </row>
    <row r="69" spans="1:85" x14ac:dyDescent="0.25">
      <c r="A69">
        <v>23091432411</v>
      </c>
      <c r="B69">
        <v>0.16</v>
      </c>
      <c r="C69" t="s">
        <v>129</v>
      </c>
      <c r="D69" t="s">
        <v>129</v>
      </c>
      <c r="E69" t="s">
        <v>53</v>
      </c>
      <c r="F69" t="s">
        <v>53</v>
      </c>
      <c r="G69">
        <v>4</v>
      </c>
      <c r="H69" t="s">
        <v>54</v>
      </c>
      <c r="I69">
        <v>185900</v>
      </c>
      <c r="J69">
        <v>38600</v>
      </c>
      <c r="K69">
        <v>0.16</v>
      </c>
      <c r="L6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9">
        <v>0</v>
      </c>
      <c r="N69">
        <v>0</v>
      </c>
      <c r="O69">
        <v>0</v>
      </c>
      <c r="P69">
        <v>13398.7528</v>
      </c>
      <c r="Q69">
        <v>63903</v>
      </c>
      <c r="R69">
        <f>(Grandview_Inventory[[#This Row],[ln_acres]]*Grandview_Inventory[[#This Row],[coeff]])+Grandview_Inventory[[#This Row],[const]]</f>
        <v>39348.693981374228</v>
      </c>
      <c r="S69" t="s">
        <v>61</v>
      </c>
      <c r="T69">
        <v>1</v>
      </c>
      <c r="U69" t="s">
        <v>65</v>
      </c>
      <c r="V69" t="s">
        <v>67</v>
      </c>
      <c r="W69">
        <v>0</v>
      </c>
      <c r="X69">
        <v>0</v>
      </c>
      <c r="Y69">
        <v>24</v>
      </c>
      <c r="Z69">
        <v>24</v>
      </c>
      <c r="AA69">
        <v>30</v>
      </c>
      <c r="AB69">
        <v>1500</v>
      </c>
      <c r="AC69">
        <v>1180</v>
      </c>
      <c r="AD69">
        <v>1180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160</v>
      </c>
      <c r="AM69">
        <v>0</v>
      </c>
      <c r="AN69">
        <v>92</v>
      </c>
      <c r="AO69">
        <v>352</v>
      </c>
      <c r="AP69">
        <v>8</v>
      </c>
      <c r="AQ69">
        <v>0</v>
      </c>
      <c r="AR69">
        <v>0</v>
      </c>
      <c r="AS69" t="s">
        <v>58</v>
      </c>
      <c r="AT69">
        <v>1</v>
      </c>
      <c r="AU69" t="s">
        <v>59</v>
      </c>
      <c r="AV69" t="s">
        <v>60</v>
      </c>
      <c r="AW69">
        <v>1</v>
      </c>
      <c r="AX69">
        <v>3</v>
      </c>
      <c r="AY69">
        <v>0</v>
      </c>
      <c r="AZ69">
        <v>0</v>
      </c>
      <c r="BA69">
        <v>100</v>
      </c>
      <c r="BB69">
        <v>100</v>
      </c>
      <c r="BC69">
        <v>100</v>
      </c>
      <c r="BD69">
        <v>100</v>
      </c>
      <c r="BE69">
        <v>1</v>
      </c>
      <c r="BF69">
        <v>15000</v>
      </c>
      <c r="BG69">
        <v>1000</v>
      </c>
      <c r="BH69" s="6">
        <f>Grandview_Inventory[[#This Row],[land_extract]]*Lookups!$B$3</f>
        <v>45695.532079096141</v>
      </c>
      <c r="BI69" s="6">
        <f>IF(Grandview_Inventory[[#This Row],[bldg_style]]="",0,Lookups!$B$2)</f>
        <v>155833.95000000001</v>
      </c>
      <c r="BJ69" s="6">
        <f>_xlfn.IFNA(VLOOKUP(Grandview_Inventory[[#This Row],[quality]],Lookups!$H$2:$J$14,3,FALSE),0)</f>
        <v>2251</v>
      </c>
      <c r="BK69" s="6">
        <f>_xlfn.IFNA(VLOOKUP(Grandview_Inventory[[#This Row],[condition]],Lookups!$H$17:$J$24,3,FALSE),0)</f>
        <v>22342</v>
      </c>
      <c r="BL69" s="6">
        <f>Grandview_Inventory[[#This Row],[Eff_Age]]*Lookups!$B$14</f>
        <v>-5739.9983999999995</v>
      </c>
      <c r="BM69" s="6">
        <f>Grandview_Inventory[[#This Row],[living_area]]*Lookups!$B$15</f>
        <v>73609.406539999996</v>
      </c>
      <c r="BN69" s="6">
        <f>Grandview_Inventory[[#This Row],[Fin BSMT]]*Lookups!$B$16</f>
        <v>0</v>
      </c>
      <c r="BO69" s="6">
        <f>(Grandview_Inventory[[#This Row],[att_gar]]+Grandview_Inventory[[#This Row],[bltin_gar]])*Lookups!$B$17</f>
        <v>0</v>
      </c>
      <c r="BP69" s="6">
        <f>Grandview_Inventory[[#This Row],[Plumbing Fixtures]]*Lookups!$B$18</f>
        <v>16083.5344</v>
      </c>
      <c r="BQ69" s="6">
        <f>Grandview_Inventory[[#This Row],[detatched_value]]*Lookups!$B$19</f>
        <v>0</v>
      </c>
      <c r="BR69" s="6">
        <f>SUM(Grandview_Inventory[[#This Row],[Intercept]:[det_value]])*Grandview_Inventory[[#This Row],[res_pct]]</f>
        <v>264379.89253999997</v>
      </c>
      <c r="BS69" s="6">
        <f>Grandview_Inventory[[#This Row],[land_value]]</f>
        <v>45695.532079096141</v>
      </c>
      <c r="BT69" s="4">
        <f>_xlfn.IFNA(VLOOKUP(Grandview_Inventory[[#This Row],[quality]],Lookups!$A$26:$C$33,3,FALSE),1)</f>
        <v>0.98763855981004833</v>
      </c>
      <c r="BU69" s="4">
        <f>_xlfn.IFNA(VLOOKUP(Grandview_Inventory[[#This Row],[condition]],Lookups!$A$37:$C$44,3,FALSE),1)</f>
        <v>0.97383723671140243</v>
      </c>
      <c r="BV69" s="4">
        <f>IF(Grandview_Inventory[[#This Row],[bldg_style]]="",1,_xlfn.IFNA(VLOOKUP(Grandview_Inventory[[#This Row],[decade]],Lookups!$F$29:$H$43,3,FALSE),1))</f>
        <v>0.98397821291089549</v>
      </c>
      <c r="BW69" s="4">
        <f>_xlfn.IFNA(VLOOKUP(Grandview_Inventory[[#This Row],[living_area_range]],Lookups!$F$47:$H$56,3,FALSE),1)</f>
        <v>0.96135087979789358</v>
      </c>
      <c r="BX69" s="4">
        <f>AVERAGE(Grandview_Inventory[[#This Row],[qual_adj]:[size_adj]])</f>
        <v>0.97670122230755996</v>
      </c>
      <c r="BY69" s="6">
        <f>IF(Grandview_Inventory[[#This Row],[pre_res]]&lt;0,0,Grandview_Inventory[[#This Row],[pre_res]]*Grandview_Inventory[[#This Row],[overall_adj]])</f>
        <v>258220.16419735932</v>
      </c>
      <c r="BZ69" s="6">
        <f>(Grandview_Inventory[[#This Row],[sum_land]]-IF(Grandview_Inventory[[#This Row],[no_utilities]]=1,12000,0))/IF(Grandview_Inventory[[#This Row],[unbuildable]]=1,2,1)</f>
        <v>45695.532079096141</v>
      </c>
      <c r="CA6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9">
        <f>ROUND(Grandview_Inventory[[#This Row],[det_value]]*Lookups!$M$28,-2)</f>
        <v>0</v>
      </c>
      <c r="CC69">
        <f>IF(ROUND(Grandview_Inventory[[#This Row],[adj_res]]*Lookups!$M$28,-2)&lt;Grandview_Inventory[[#This Row],[min_res]],Grandview_Inventory[[#This Row],[min_res]],ROUND(Grandview_Inventory[[#This Row],[adj_res]]*Lookups!$M$28,-2))</f>
        <v>245300</v>
      </c>
      <c r="CD69">
        <f>Grandview_Inventory[[#This Row],[final_det]]+Grandview_Inventory[[#This Row],[final_res]]</f>
        <v>245300</v>
      </c>
      <c r="CE69">
        <f>Grandview_Inventory[[#This Row],[final_land]]+Grandview_Inventory[[#This Row],[final_imp]]+Grandview_Inventory[[#This Row],[crop_value]]</f>
        <v>288700</v>
      </c>
      <c r="CG69" t="str">
        <f t="shared" si="1"/>
        <v>update valuation set market_land =43400, market_bldg=245300, market_total =288700, market_mdno =401, market_date ='9/10/2023' where link_id = (select link_id from parcel where parcel_year = '2024' and parcel_id = '23091432411');</v>
      </c>
    </row>
    <row r="70" spans="1:85" x14ac:dyDescent="0.25">
      <c r="A70">
        <v>23091432412</v>
      </c>
      <c r="B70">
        <v>0.16</v>
      </c>
      <c r="C70" t="s">
        <v>129</v>
      </c>
      <c r="D70" t="s">
        <v>129</v>
      </c>
      <c r="E70" t="s">
        <v>53</v>
      </c>
      <c r="F70" t="s">
        <v>53</v>
      </c>
      <c r="G70">
        <v>4</v>
      </c>
      <c r="H70" t="s">
        <v>54</v>
      </c>
      <c r="I70">
        <v>215900</v>
      </c>
      <c r="J70">
        <v>38600</v>
      </c>
      <c r="K70">
        <v>0.16</v>
      </c>
      <c r="L7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0">
        <v>0</v>
      </c>
      <c r="N70">
        <v>0</v>
      </c>
      <c r="O70">
        <v>0</v>
      </c>
      <c r="P70">
        <v>13398.7528</v>
      </c>
      <c r="Q70">
        <v>63903</v>
      </c>
      <c r="R70">
        <f>(Grandview_Inventory[[#This Row],[ln_acres]]*Grandview_Inventory[[#This Row],[coeff]])+Grandview_Inventory[[#This Row],[const]]</f>
        <v>39348.693981374228</v>
      </c>
      <c r="S70" t="s">
        <v>61</v>
      </c>
      <c r="T70">
        <v>1</v>
      </c>
      <c r="U70" t="s">
        <v>65</v>
      </c>
      <c r="V70" t="s">
        <v>67</v>
      </c>
      <c r="W70">
        <v>0</v>
      </c>
      <c r="X70">
        <v>0</v>
      </c>
      <c r="Y70">
        <v>24</v>
      </c>
      <c r="Z70">
        <v>24</v>
      </c>
      <c r="AA70">
        <v>30</v>
      </c>
      <c r="AB70">
        <v>1500</v>
      </c>
      <c r="AC70">
        <v>1248</v>
      </c>
      <c r="AD70">
        <v>1248</v>
      </c>
      <c r="AE70">
        <v>0</v>
      </c>
      <c r="AF70">
        <v>0</v>
      </c>
      <c r="AG70">
        <v>0</v>
      </c>
      <c r="AH70">
        <v>0</v>
      </c>
      <c r="AI70">
        <v>400</v>
      </c>
      <c r="AJ70">
        <v>0</v>
      </c>
      <c r="AK70">
        <v>0</v>
      </c>
      <c r="AL70">
        <v>240</v>
      </c>
      <c r="AM70">
        <v>0</v>
      </c>
      <c r="AN70">
        <v>56</v>
      </c>
      <c r="AO70">
        <v>0</v>
      </c>
      <c r="AP70">
        <v>8</v>
      </c>
      <c r="AQ70">
        <v>0</v>
      </c>
      <c r="AR70">
        <v>0</v>
      </c>
      <c r="AS70" t="s">
        <v>58</v>
      </c>
      <c r="AT70">
        <v>1</v>
      </c>
      <c r="AU70" t="s">
        <v>59</v>
      </c>
      <c r="AV70" t="s">
        <v>60</v>
      </c>
      <c r="AW70">
        <v>1</v>
      </c>
      <c r="AX70">
        <v>3</v>
      </c>
      <c r="AY70">
        <v>0</v>
      </c>
      <c r="AZ70">
        <v>0</v>
      </c>
      <c r="BA70">
        <v>100</v>
      </c>
      <c r="BB70">
        <v>100</v>
      </c>
      <c r="BC70">
        <v>100</v>
      </c>
      <c r="BD70">
        <v>100</v>
      </c>
      <c r="BE70">
        <v>1</v>
      </c>
      <c r="BF70">
        <v>15000</v>
      </c>
      <c r="BG70">
        <v>1000</v>
      </c>
      <c r="BH70" s="6">
        <f>Grandview_Inventory[[#This Row],[land_extract]]*Lookups!$B$3</f>
        <v>45695.532079096141</v>
      </c>
      <c r="BI70" s="6">
        <f>IF(Grandview_Inventory[[#This Row],[bldg_style]]="",0,Lookups!$B$2)</f>
        <v>155833.95000000001</v>
      </c>
      <c r="BJ70" s="6">
        <f>_xlfn.IFNA(VLOOKUP(Grandview_Inventory[[#This Row],[quality]],Lookups!$H$2:$J$14,3,FALSE),0)</f>
        <v>2251</v>
      </c>
      <c r="BK70" s="6">
        <f>_xlfn.IFNA(VLOOKUP(Grandview_Inventory[[#This Row],[condition]],Lookups!$H$17:$J$24,3,FALSE),0)</f>
        <v>22342</v>
      </c>
      <c r="BL70" s="6">
        <f>Grandview_Inventory[[#This Row],[Eff_Age]]*Lookups!$B$14</f>
        <v>-5739.9983999999995</v>
      </c>
      <c r="BM70" s="6">
        <f>Grandview_Inventory[[#This Row],[living_area]]*Lookups!$B$15</f>
        <v>77851.304543999999</v>
      </c>
      <c r="BN70" s="6">
        <f>Grandview_Inventory[[#This Row],[Fin BSMT]]*Lookups!$B$16</f>
        <v>0</v>
      </c>
      <c r="BO70" s="6">
        <f>(Grandview_Inventory[[#This Row],[att_gar]]+Grandview_Inventory[[#This Row],[bltin_gar]])*Lookups!$B$17</f>
        <v>35008.174800000001</v>
      </c>
      <c r="BP70" s="6">
        <f>Grandview_Inventory[[#This Row],[Plumbing Fixtures]]*Lookups!$B$18</f>
        <v>16083.5344</v>
      </c>
      <c r="BQ70" s="6">
        <f>Grandview_Inventory[[#This Row],[detatched_value]]*Lookups!$B$19</f>
        <v>0</v>
      </c>
      <c r="BR70" s="6">
        <f>SUM(Grandview_Inventory[[#This Row],[Intercept]:[det_value]])*Grandview_Inventory[[#This Row],[res_pct]]</f>
        <v>303629.96534399997</v>
      </c>
      <c r="BS70" s="6">
        <f>Grandview_Inventory[[#This Row],[land_value]]</f>
        <v>45695.532079096141</v>
      </c>
      <c r="BT70" s="4">
        <f>_xlfn.IFNA(VLOOKUP(Grandview_Inventory[[#This Row],[quality]],Lookups!$A$26:$C$33,3,FALSE),1)</f>
        <v>0.98763855981004833</v>
      </c>
      <c r="BU70" s="4">
        <f>_xlfn.IFNA(VLOOKUP(Grandview_Inventory[[#This Row],[condition]],Lookups!$A$37:$C$44,3,FALSE),1)</f>
        <v>0.97383723671140243</v>
      </c>
      <c r="BV70" s="4">
        <f>IF(Grandview_Inventory[[#This Row],[bldg_style]]="",1,_xlfn.IFNA(VLOOKUP(Grandview_Inventory[[#This Row],[decade]],Lookups!$F$29:$H$43,3,FALSE),1))</f>
        <v>0.98397821291089549</v>
      </c>
      <c r="BW70" s="4">
        <f>_xlfn.IFNA(VLOOKUP(Grandview_Inventory[[#This Row],[living_area_range]],Lookups!$F$47:$H$56,3,FALSE),1)</f>
        <v>0.96135087979789358</v>
      </c>
      <c r="BX70" s="4">
        <f>AVERAGE(Grandview_Inventory[[#This Row],[qual_adj]:[size_adj]])</f>
        <v>0.97670122230755996</v>
      </c>
      <c r="BY70" s="6">
        <f>IF(Grandview_Inventory[[#This Row],[pre_res]]&lt;0,0,Grandview_Inventory[[#This Row],[pre_res]]*Grandview_Inventory[[#This Row],[overall_adj]])</f>
        <v>296555.75828068686</v>
      </c>
      <c r="BZ70" s="6">
        <f>(Grandview_Inventory[[#This Row],[sum_land]]-IF(Grandview_Inventory[[#This Row],[no_utilities]]=1,12000,0))/IF(Grandview_Inventory[[#This Row],[unbuildable]]=1,2,1)</f>
        <v>45695.532079096141</v>
      </c>
      <c r="CA7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0">
        <f>ROUND(Grandview_Inventory[[#This Row],[det_value]]*Lookups!$M$28,-2)</f>
        <v>0</v>
      </c>
      <c r="CC70">
        <f>IF(ROUND(Grandview_Inventory[[#This Row],[adj_res]]*Lookups!$M$28,-2)&lt;Grandview_Inventory[[#This Row],[min_res]],Grandview_Inventory[[#This Row],[min_res]],ROUND(Grandview_Inventory[[#This Row],[adj_res]]*Lookups!$M$28,-2))</f>
        <v>281700</v>
      </c>
      <c r="CD70">
        <f>Grandview_Inventory[[#This Row],[final_det]]+Grandview_Inventory[[#This Row],[final_res]]</f>
        <v>281700</v>
      </c>
      <c r="CE70">
        <f>Grandview_Inventory[[#This Row],[final_land]]+Grandview_Inventory[[#This Row],[final_imp]]+Grandview_Inventory[[#This Row],[crop_value]]</f>
        <v>325100</v>
      </c>
      <c r="CG70" t="str">
        <f t="shared" si="1"/>
        <v>update valuation set market_land =43400, market_bldg=281700, market_total =325100, market_mdno =401, market_date ='9/10/2023' where link_id = (select link_id from parcel where parcel_year = '2024' and parcel_id = '23091432412');</v>
      </c>
    </row>
    <row r="71" spans="1:85" x14ac:dyDescent="0.25">
      <c r="A71">
        <v>23091432413</v>
      </c>
      <c r="B71">
        <v>0.16</v>
      </c>
      <c r="C71" t="s">
        <v>129</v>
      </c>
      <c r="D71" t="s">
        <v>129</v>
      </c>
      <c r="E71" t="s">
        <v>53</v>
      </c>
      <c r="F71" t="s">
        <v>53</v>
      </c>
      <c r="G71">
        <v>4</v>
      </c>
      <c r="H71" t="s">
        <v>54</v>
      </c>
      <c r="I71">
        <v>189500</v>
      </c>
      <c r="J71">
        <v>38600</v>
      </c>
      <c r="K71">
        <v>0.16</v>
      </c>
      <c r="L7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1">
        <v>0</v>
      </c>
      <c r="N71">
        <v>0</v>
      </c>
      <c r="O71">
        <v>0</v>
      </c>
      <c r="P71">
        <v>13398.7528</v>
      </c>
      <c r="Q71">
        <v>63903</v>
      </c>
      <c r="R71">
        <f>(Grandview_Inventory[[#This Row],[ln_acres]]*Grandview_Inventory[[#This Row],[coeff]])+Grandview_Inventory[[#This Row],[const]]</f>
        <v>39348.693981374228</v>
      </c>
      <c r="S71" t="s">
        <v>61</v>
      </c>
      <c r="T71">
        <v>1</v>
      </c>
      <c r="U71" t="s">
        <v>65</v>
      </c>
      <c r="V71" t="s">
        <v>67</v>
      </c>
      <c r="W71">
        <v>0</v>
      </c>
      <c r="X71">
        <v>0</v>
      </c>
      <c r="Y71">
        <v>24</v>
      </c>
      <c r="Z71">
        <v>24</v>
      </c>
      <c r="AA71">
        <v>30</v>
      </c>
      <c r="AB71">
        <v>1500</v>
      </c>
      <c r="AC71">
        <v>1180</v>
      </c>
      <c r="AD71">
        <v>1180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160</v>
      </c>
      <c r="AM71">
        <v>0</v>
      </c>
      <c r="AN71">
        <v>92</v>
      </c>
      <c r="AO71">
        <v>160</v>
      </c>
      <c r="AP71">
        <v>8</v>
      </c>
      <c r="AQ71">
        <v>0</v>
      </c>
      <c r="AR71">
        <v>0</v>
      </c>
      <c r="AS71" t="s">
        <v>58</v>
      </c>
      <c r="AT71">
        <v>1</v>
      </c>
      <c r="AU71" t="s">
        <v>59</v>
      </c>
      <c r="AV71" t="s">
        <v>60</v>
      </c>
      <c r="AW71">
        <v>1</v>
      </c>
      <c r="AX71">
        <v>3</v>
      </c>
      <c r="AY71">
        <v>0</v>
      </c>
      <c r="AZ71">
        <v>3200</v>
      </c>
      <c r="BA71">
        <v>100</v>
      </c>
      <c r="BB71">
        <v>100</v>
      </c>
      <c r="BC71">
        <v>100</v>
      </c>
      <c r="BD71">
        <v>100</v>
      </c>
      <c r="BE71">
        <v>1</v>
      </c>
      <c r="BF71">
        <v>15000</v>
      </c>
      <c r="BG71">
        <v>1000</v>
      </c>
      <c r="BH71" s="6">
        <f>Grandview_Inventory[[#This Row],[land_extract]]*Lookups!$B$3</f>
        <v>45695.532079096141</v>
      </c>
      <c r="BI71" s="6">
        <f>IF(Grandview_Inventory[[#This Row],[bldg_style]]="",0,Lookups!$B$2)</f>
        <v>155833.95000000001</v>
      </c>
      <c r="BJ71" s="6">
        <f>_xlfn.IFNA(VLOOKUP(Grandview_Inventory[[#This Row],[quality]],Lookups!$H$2:$J$14,3,FALSE),0)</f>
        <v>2251</v>
      </c>
      <c r="BK71" s="6">
        <f>_xlfn.IFNA(VLOOKUP(Grandview_Inventory[[#This Row],[condition]],Lookups!$H$17:$J$24,3,FALSE),0)</f>
        <v>22342</v>
      </c>
      <c r="BL71" s="6">
        <f>Grandview_Inventory[[#This Row],[Eff_Age]]*Lookups!$B$14</f>
        <v>-5739.9983999999995</v>
      </c>
      <c r="BM71" s="6">
        <f>Grandview_Inventory[[#This Row],[living_area]]*Lookups!$B$15</f>
        <v>73609.406539999996</v>
      </c>
      <c r="BN71" s="6">
        <f>Grandview_Inventory[[#This Row],[Fin BSMT]]*Lookups!$B$16</f>
        <v>0</v>
      </c>
      <c r="BO71" s="6">
        <f>(Grandview_Inventory[[#This Row],[att_gar]]+Grandview_Inventory[[#This Row],[bltin_gar]])*Lookups!$B$17</f>
        <v>0</v>
      </c>
      <c r="BP71" s="6">
        <f>Grandview_Inventory[[#This Row],[Plumbing Fixtures]]*Lookups!$B$18</f>
        <v>16083.5344</v>
      </c>
      <c r="BQ71" s="6">
        <f>Grandview_Inventory[[#This Row],[detatched_value]]*Lookups!$B$19</f>
        <v>2709.7763199999999</v>
      </c>
      <c r="BR71" s="6">
        <f>SUM(Grandview_Inventory[[#This Row],[Intercept]:[det_value]])*Grandview_Inventory[[#This Row],[res_pct]]</f>
        <v>267089.66885999998</v>
      </c>
      <c r="BS71" s="6">
        <f>Grandview_Inventory[[#This Row],[land_value]]</f>
        <v>45695.532079096141</v>
      </c>
      <c r="BT71" s="4">
        <f>_xlfn.IFNA(VLOOKUP(Grandview_Inventory[[#This Row],[quality]],Lookups!$A$26:$C$33,3,FALSE),1)</f>
        <v>0.98763855981004833</v>
      </c>
      <c r="BU71" s="4">
        <f>_xlfn.IFNA(VLOOKUP(Grandview_Inventory[[#This Row],[condition]],Lookups!$A$37:$C$44,3,FALSE),1)</f>
        <v>0.97383723671140243</v>
      </c>
      <c r="BV71" s="4">
        <f>IF(Grandview_Inventory[[#This Row],[bldg_style]]="",1,_xlfn.IFNA(VLOOKUP(Grandview_Inventory[[#This Row],[decade]],Lookups!$F$29:$H$43,3,FALSE),1))</f>
        <v>0.98397821291089549</v>
      </c>
      <c r="BW71" s="4">
        <f>_xlfn.IFNA(VLOOKUP(Grandview_Inventory[[#This Row],[living_area_range]],Lookups!$F$47:$H$56,3,FALSE),1)</f>
        <v>0.96135087979789358</v>
      </c>
      <c r="BX71" s="4">
        <f>AVERAGE(Grandview_Inventory[[#This Row],[qual_adj]:[size_adj]])</f>
        <v>0.97670122230755996</v>
      </c>
      <c r="BY71" s="6">
        <f>IF(Grandview_Inventory[[#This Row],[pre_res]]&lt;0,0,Grandview_Inventory[[#This Row],[pre_res]]*Grandview_Inventory[[#This Row],[overall_adj]])</f>
        <v>260866.80604128342</v>
      </c>
      <c r="BZ71" s="6">
        <f>(Grandview_Inventory[[#This Row],[sum_land]]-IF(Grandview_Inventory[[#This Row],[no_utilities]]=1,12000,0))/IF(Grandview_Inventory[[#This Row],[unbuildable]]=1,2,1)</f>
        <v>45695.532079096141</v>
      </c>
      <c r="CA7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1">
        <f>ROUND(Grandview_Inventory[[#This Row],[det_value]]*Lookups!$M$28,-2)</f>
        <v>2600</v>
      </c>
      <c r="CC71">
        <f>IF(ROUND(Grandview_Inventory[[#This Row],[adj_res]]*Lookups!$M$28,-2)&lt;Grandview_Inventory[[#This Row],[min_res]],Grandview_Inventory[[#This Row],[min_res]],ROUND(Grandview_Inventory[[#This Row],[adj_res]]*Lookups!$M$28,-2))</f>
        <v>247800</v>
      </c>
      <c r="CD71">
        <f>Grandview_Inventory[[#This Row],[final_det]]+Grandview_Inventory[[#This Row],[final_res]]</f>
        <v>250400</v>
      </c>
      <c r="CE71">
        <f>Grandview_Inventory[[#This Row],[final_land]]+Grandview_Inventory[[#This Row],[final_imp]]+Grandview_Inventory[[#This Row],[crop_value]]</f>
        <v>293800</v>
      </c>
      <c r="CG71" t="str">
        <f t="shared" si="1"/>
        <v>update valuation set market_land =43400, market_bldg=250400, market_total =293800, market_mdno =401, market_date ='9/10/2023' where link_id = (select link_id from parcel where parcel_year = '2024' and parcel_id = '23091432413');</v>
      </c>
    </row>
    <row r="72" spans="1:85" x14ac:dyDescent="0.25">
      <c r="A72">
        <v>23091432414</v>
      </c>
      <c r="B72">
        <v>0.23</v>
      </c>
      <c r="C72" t="s">
        <v>129</v>
      </c>
      <c r="D72" t="s">
        <v>129</v>
      </c>
      <c r="E72" t="s">
        <v>53</v>
      </c>
      <c r="F72" t="s">
        <v>53</v>
      </c>
      <c r="G72">
        <v>4</v>
      </c>
      <c r="H72" t="s">
        <v>54</v>
      </c>
      <c r="I72">
        <v>215900</v>
      </c>
      <c r="J72">
        <v>39500</v>
      </c>
      <c r="K72">
        <v>0.23</v>
      </c>
      <c r="L7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72">
        <v>0</v>
      </c>
      <c r="N72">
        <v>0</v>
      </c>
      <c r="O72">
        <v>0</v>
      </c>
      <c r="P72">
        <v>13398.7528</v>
      </c>
      <c r="Q72">
        <v>63903</v>
      </c>
      <c r="R72">
        <f>(Grandview_Inventory[[#This Row],[ln_acres]]*Grandview_Inventory[[#This Row],[coeff]])+Grandview_Inventory[[#This Row],[const]]</f>
        <v>44211.174981080039</v>
      </c>
      <c r="S72" t="s">
        <v>61</v>
      </c>
      <c r="T72">
        <v>1</v>
      </c>
      <c r="U72" t="s">
        <v>65</v>
      </c>
      <c r="V72" t="s">
        <v>67</v>
      </c>
      <c r="W72">
        <v>0</v>
      </c>
      <c r="X72">
        <v>0</v>
      </c>
      <c r="Y72">
        <v>24</v>
      </c>
      <c r="Z72">
        <v>24</v>
      </c>
      <c r="AA72">
        <v>30</v>
      </c>
      <c r="AB72">
        <v>1500</v>
      </c>
      <c r="AC72">
        <v>1248</v>
      </c>
      <c r="AD72">
        <v>1248</v>
      </c>
      <c r="AE72">
        <v>0</v>
      </c>
      <c r="AF72">
        <v>0</v>
      </c>
      <c r="AG72">
        <v>0</v>
      </c>
      <c r="AH72">
        <v>0</v>
      </c>
      <c r="AI72">
        <v>400</v>
      </c>
      <c r="AJ72">
        <v>0</v>
      </c>
      <c r="AK72">
        <v>0</v>
      </c>
      <c r="AL72">
        <v>240</v>
      </c>
      <c r="AM72">
        <v>0</v>
      </c>
      <c r="AN72">
        <v>56</v>
      </c>
      <c r="AO72">
        <v>240</v>
      </c>
      <c r="AP72">
        <v>8</v>
      </c>
      <c r="AQ72">
        <v>0</v>
      </c>
      <c r="AR72">
        <v>0</v>
      </c>
      <c r="AS72" t="s">
        <v>58</v>
      </c>
      <c r="AT72">
        <v>1</v>
      </c>
      <c r="AU72" t="s">
        <v>59</v>
      </c>
      <c r="AV72" t="s">
        <v>60</v>
      </c>
      <c r="AW72">
        <v>1</v>
      </c>
      <c r="AX72">
        <v>3</v>
      </c>
      <c r="AY72">
        <v>0</v>
      </c>
      <c r="AZ72">
        <v>0</v>
      </c>
      <c r="BA72">
        <v>100</v>
      </c>
      <c r="BB72">
        <v>100</v>
      </c>
      <c r="BC72">
        <v>100</v>
      </c>
      <c r="BD72">
        <v>100</v>
      </c>
      <c r="BE72">
        <v>1</v>
      </c>
      <c r="BF72">
        <v>15000</v>
      </c>
      <c r="BG72">
        <v>1000</v>
      </c>
      <c r="BH72" s="6">
        <f>Grandview_Inventory[[#This Row],[land_extract]]*Lookups!$B$3</f>
        <v>51342.318135355803</v>
      </c>
      <c r="BI72" s="6">
        <f>IF(Grandview_Inventory[[#This Row],[bldg_style]]="",0,Lookups!$B$2)</f>
        <v>155833.95000000001</v>
      </c>
      <c r="BJ72" s="6">
        <f>_xlfn.IFNA(VLOOKUP(Grandview_Inventory[[#This Row],[quality]],Lookups!$H$2:$J$14,3,FALSE),0)</f>
        <v>2251</v>
      </c>
      <c r="BK72" s="6">
        <f>_xlfn.IFNA(VLOOKUP(Grandview_Inventory[[#This Row],[condition]],Lookups!$H$17:$J$24,3,FALSE),0)</f>
        <v>22342</v>
      </c>
      <c r="BL72" s="6">
        <f>Grandview_Inventory[[#This Row],[Eff_Age]]*Lookups!$B$14</f>
        <v>-5739.9983999999995</v>
      </c>
      <c r="BM72" s="6">
        <f>Grandview_Inventory[[#This Row],[living_area]]*Lookups!$B$15</f>
        <v>77851.304543999999</v>
      </c>
      <c r="BN72" s="6">
        <f>Grandview_Inventory[[#This Row],[Fin BSMT]]*Lookups!$B$16</f>
        <v>0</v>
      </c>
      <c r="BO72" s="6">
        <f>(Grandview_Inventory[[#This Row],[att_gar]]+Grandview_Inventory[[#This Row],[bltin_gar]])*Lookups!$B$17</f>
        <v>35008.174800000001</v>
      </c>
      <c r="BP72" s="6">
        <f>Grandview_Inventory[[#This Row],[Plumbing Fixtures]]*Lookups!$B$18</f>
        <v>16083.5344</v>
      </c>
      <c r="BQ72" s="6">
        <f>Grandview_Inventory[[#This Row],[detatched_value]]*Lookups!$B$19</f>
        <v>0</v>
      </c>
      <c r="BR72" s="6">
        <f>SUM(Grandview_Inventory[[#This Row],[Intercept]:[det_value]])*Grandview_Inventory[[#This Row],[res_pct]]</f>
        <v>303629.96534399997</v>
      </c>
      <c r="BS72" s="6">
        <f>Grandview_Inventory[[#This Row],[land_value]]</f>
        <v>51342.318135355803</v>
      </c>
      <c r="BT72" s="4">
        <f>_xlfn.IFNA(VLOOKUP(Grandview_Inventory[[#This Row],[quality]],Lookups!$A$26:$C$33,3,FALSE),1)</f>
        <v>0.98763855981004833</v>
      </c>
      <c r="BU72" s="4">
        <f>_xlfn.IFNA(VLOOKUP(Grandview_Inventory[[#This Row],[condition]],Lookups!$A$37:$C$44,3,FALSE),1)</f>
        <v>0.97383723671140243</v>
      </c>
      <c r="BV72" s="4">
        <f>IF(Grandview_Inventory[[#This Row],[bldg_style]]="",1,_xlfn.IFNA(VLOOKUP(Grandview_Inventory[[#This Row],[decade]],Lookups!$F$29:$H$43,3,FALSE),1))</f>
        <v>0.98397821291089549</v>
      </c>
      <c r="BW72" s="4">
        <f>_xlfn.IFNA(VLOOKUP(Grandview_Inventory[[#This Row],[living_area_range]],Lookups!$F$47:$H$56,3,FALSE),1)</f>
        <v>0.96135087979789358</v>
      </c>
      <c r="BX72" s="4">
        <f>AVERAGE(Grandview_Inventory[[#This Row],[qual_adj]:[size_adj]])</f>
        <v>0.97670122230755996</v>
      </c>
      <c r="BY72" s="6">
        <f>IF(Grandview_Inventory[[#This Row],[pre_res]]&lt;0,0,Grandview_Inventory[[#This Row],[pre_res]]*Grandview_Inventory[[#This Row],[overall_adj]])</f>
        <v>296555.75828068686</v>
      </c>
      <c r="BZ72" s="6">
        <f>(Grandview_Inventory[[#This Row],[sum_land]]-IF(Grandview_Inventory[[#This Row],[no_utilities]]=1,12000,0))/IF(Grandview_Inventory[[#This Row],[unbuildable]]=1,2,1)</f>
        <v>51342.318135355803</v>
      </c>
      <c r="CA7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72">
        <f>ROUND(Grandview_Inventory[[#This Row],[det_value]]*Lookups!$M$28,-2)</f>
        <v>0</v>
      </c>
      <c r="CC72">
        <f>IF(ROUND(Grandview_Inventory[[#This Row],[adj_res]]*Lookups!$M$28,-2)&lt;Grandview_Inventory[[#This Row],[min_res]],Grandview_Inventory[[#This Row],[min_res]],ROUND(Grandview_Inventory[[#This Row],[adj_res]]*Lookups!$M$28,-2))</f>
        <v>281700</v>
      </c>
      <c r="CD72">
        <f>Grandview_Inventory[[#This Row],[final_det]]+Grandview_Inventory[[#This Row],[final_res]]</f>
        <v>281700</v>
      </c>
      <c r="CE72">
        <f>Grandview_Inventory[[#This Row],[final_land]]+Grandview_Inventory[[#This Row],[final_imp]]+Grandview_Inventory[[#This Row],[crop_value]]</f>
        <v>330500</v>
      </c>
      <c r="CG72" t="str">
        <f t="shared" si="1"/>
        <v>update valuation set market_land =48800, market_bldg=281700, market_total =330500, market_mdno =401, market_date ='9/10/2023' where link_id = (select link_id from parcel where parcel_year = '2024' and parcel_id = '23091432414');</v>
      </c>
    </row>
    <row r="73" spans="1:85" x14ac:dyDescent="0.25">
      <c r="A73">
        <v>23091432415</v>
      </c>
      <c r="B73">
        <v>0.18</v>
      </c>
      <c r="C73" t="s">
        <v>129</v>
      </c>
      <c r="D73" t="s">
        <v>129</v>
      </c>
      <c r="E73" t="s">
        <v>53</v>
      </c>
      <c r="F73" t="s">
        <v>53</v>
      </c>
      <c r="G73">
        <v>4</v>
      </c>
      <c r="H73" t="s">
        <v>54</v>
      </c>
      <c r="I73">
        <v>182300</v>
      </c>
      <c r="J73">
        <v>39000</v>
      </c>
      <c r="K73">
        <v>0.18</v>
      </c>
      <c r="L7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73">
        <v>0</v>
      </c>
      <c r="N73">
        <v>0</v>
      </c>
      <c r="O73">
        <v>0</v>
      </c>
      <c r="P73">
        <v>13398.7528</v>
      </c>
      <c r="Q73">
        <v>63903</v>
      </c>
      <c r="R73">
        <f>(Grandview_Inventory[[#This Row],[ln_acres]]*Grandview_Inventory[[#This Row],[coeff]])+Grandview_Inventory[[#This Row],[const]]</f>
        <v>40926.839760167699</v>
      </c>
      <c r="S73" t="s">
        <v>61</v>
      </c>
      <c r="T73">
        <v>1</v>
      </c>
      <c r="U73" t="s">
        <v>65</v>
      </c>
      <c r="V73" t="s">
        <v>69</v>
      </c>
      <c r="W73">
        <v>0</v>
      </c>
      <c r="X73">
        <v>0</v>
      </c>
      <c r="Y73">
        <v>24</v>
      </c>
      <c r="Z73">
        <v>24</v>
      </c>
      <c r="AA73">
        <v>30</v>
      </c>
      <c r="AB73">
        <v>1500</v>
      </c>
      <c r="AC73">
        <v>1284</v>
      </c>
      <c r="AD73">
        <v>1284</v>
      </c>
      <c r="AE73">
        <v>0</v>
      </c>
      <c r="AF73">
        <v>0</v>
      </c>
      <c r="AG73">
        <v>0</v>
      </c>
      <c r="AH73">
        <v>0</v>
      </c>
      <c r="AI73">
        <v>440</v>
      </c>
      <c r="AJ73">
        <v>0</v>
      </c>
      <c r="AK73">
        <v>0</v>
      </c>
      <c r="AL73">
        <v>268</v>
      </c>
      <c r="AM73">
        <v>0</v>
      </c>
      <c r="AN73">
        <v>56</v>
      </c>
      <c r="AO73">
        <v>0</v>
      </c>
      <c r="AP73">
        <v>8</v>
      </c>
      <c r="AQ73">
        <v>0</v>
      </c>
      <c r="AR73">
        <v>0</v>
      </c>
      <c r="AS73" t="s">
        <v>58</v>
      </c>
      <c r="AT73">
        <v>1</v>
      </c>
      <c r="AU73" t="s">
        <v>59</v>
      </c>
      <c r="AV73" t="s">
        <v>60</v>
      </c>
      <c r="AW73">
        <v>1</v>
      </c>
      <c r="AX73">
        <v>3</v>
      </c>
      <c r="AY73">
        <v>0</v>
      </c>
      <c r="AZ73">
        <v>0</v>
      </c>
      <c r="BA73">
        <v>100</v>
      </c>
      <c r="BB73">
        <v>100</v>
      </c>
      <c r="BC73">
        <v>100</v>
      </c>
      <c r="BD73">
        <v>100</v>
      </c>
      <c r="BE73">
        <v>1</v>
      </c>
      <c r="BF73">
        <v>15000</v>
      </c>
      <c r="BG73">
        <v>1000</v>
      </c>
      <c r="BH73" s="6">
        <f>Grandview_Inventory[[#This Row],[land_extract]]*Lookups!$B$3</f>
        <v>47528.228511015397</v>
      </c>
      <c r="BI73" s="6">
        <f>IF(Grandview_Inventory[[#This Row],[bldg_style]]="",0,Lookups!$B$2)</f>
        <v>155833.95000000001</v>
      </c>
      <c r="BJ73" s="6">
        <f>_xlfn.IFNA(VLOOKUP(Grandview_Inventory[[#This Row],[quality]],Lookups!$H$2:$J$14,3,FALSE),0)</f>
        <v>2251</v>
      </c>
      <c r="BK73" s="6">
        <f>_xlfn.IFNA(VLOOKUP(Grandview_Inventory[[#This Row],[condition]],Lookups!$H$17:$J$24,3,FALSE),0)</f>
        <v>-4503</v>
      </c>
      <c r="BL73" s="6">
        <f>Grandview_Inventory[[#This Row],[Eff_Age]]*Lookups!$B$14</f>
        <v>-5739.9983999999995</v>
      </c>
      <c r="BM73" s="6">
        <f>Grandview_Inventory[[#This Row],[living_area]]*Lookups!$B$15</f>
        <v>80097.015251999997</v>
      </c>
      <c r="BN73" s="6">
        <f>Grandview_Inventory[[#This Row],[Fin BSMT]]*Lookups!$B$16</f>
        <v>0</v>
      </c>
      <c r="BO73" s="6">
        <f>(Grandview_Inventory[[#This Row],[att_gar]]+Grandview_Inventory[[#This Row],[bltin_gar]])*Lookups!$B$17</f>
        <v>38508.992279999999</v>
      </c>
      <c r="BP73" s="6">
        <f>Grandview_Inventory[[#This Row],[Plumbing Fixtures]]*Lookups!$B$18</f>
        <v>16083.5344</v>
      </c>
      <c r="BQ73" s="6">
        <f>Grandview_Inventory[[#This Row],[detatched_value]]*Lookups!$B$19</f>
        <v>0</v>
      </c>
      <c r="BR73" s="6">
        <f>SUM(Grandview_Inventory[[#This Row],[Intercept]:[det_value]])*Grandview_Inventory[[#This Row],[res_pct]]</f>
        <v>282531.49353199999</v>
      </c>
      <c r="BS73" s="6">
        <f>Grandview_Inventory[[#This Row],[land_value]]</f>
        <v>47528.228511015397</v>
      </c>
      <c r="BT73" s="4">
        <f>_xlfn.IFNA(VLOOKUP(Grandview_Inventory[[#This Row],[quality]],Lookups!$A$26:$C$33,3,FALSE),1)</f>
        <v>0.98763855981004833</v>
      </c>
      <c r="BU73" s="4">
        <f>_xlfn.IFNA(VLOOKUP(Grandview_Inventory[[#This Row],[condition]],Lookups!$A$37:$C$44,3,FALSE),1)</f>
        <v>0.96469275950863709</v>
      </c>
      <c r="BV73" s="4">
        <f>IF(Grandview_Inventory[[#This Row],[bldg_style]]="",1,_xlfn.IFNA(VLOOKUP(Grandview_Inventory[[#This Row],[decade]],Lookups!$F$29:$H$43,3,FALSE),1))</f>
        <v>0.98397821291089549</v>
      </c>
      <c r="BW73" s="4">
        <f>_xlfn.IFNA(VLOOKUP(Grandview_Inventory[[#This Row],[living_area_range]],Lookups!$F$47:$H$56,3,FALSE),1)</f>
        <v>0.96135087979789358</v>
      </c>
      <c r="BX73" s="4">
        <f>AVERAGE(Grandview_Inventory[[#This Row],[qual_adj]:[size_adj]])</f>
        <v>0.97441510300686862</v>
      </c>
      <c r="BY73" s="6">
        <f>IF(Grandview_Inventory[[#This Row],[pre_res]]&lt;0,0,Grandview_Inventory[[#This Row],[pre_res]]*Grandview_Inventory[[#This Row],[overall_adj]])</f>
        <v>275302.95437266823</v>
      </c>
      <c r="BZ73" s="6">
        <f>(Grandview_Inventory[[#This Row],[sum_land]]-IF(Grandview_Inventory[[#This Row],[no_utilities]]=1,12000,0))/IF(Grandview_Inventory[[#This Row],[unbuildable]]=1,2,1)</f>
        <v>47528.228511015397</v>
      </c>
      <c r="CA7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73">
        <f>ROUND(Grandview_Inventory[[#This Row],[det_value]]*Lookups!$M$28,-2)</f>
        <v>0</v>
      </c>
      <c r="CC73">
        <f>IF(ROUND(Grandview_Inventory[[#This Row],[adj_res]]*Lookups!$M$28,-2)&lt;Grandview_Inventory[[#This Row],[min_res]],Grandview_Inventory[[#This Row],[min_res]],ROUND(Grandview_Inventory[[#This Row],[adj_res]]*Lookups!$M$28,-2))</f>
        <v>261500</v>
      </c>
      <c r="CD73">
        <f>Grandview_Inventory[[#This Row],[final_det]]+Grandview_Inventory[[#This Row],[final_res]]</f>
        <v>261500</v>
      </c>
      <c r="CE73">
        <f>Grandview_Inventory[[#This Row],[final_land]]+Grandview_Inventory[[#This Row],[final_imp]]+Grandview_Inventory[[#This Row],[crop_value]]</f>
        <v>306700</v>
      </c>
      <c r="CG73" t="str">
        <f t="shared" si="1"/>
        <v>update valuation set market_land =45200, market_bldg=261500, market_total =306700, market_mdno =401, market_date ='9/10/2023' where link_id = (select link_id from parcel where parcel_year = '2024' and parcel_id = '23091432415');</v>
      </c>
    </row>
    <row r="74" spans="1:85" x14ac:dyDescent="0.25">
      <c r="A74">
        <v>23091432416</v>
      </c>
      <c r="B74">
        <v>0.23</v>
      </c>
      <c r="C74" t="s">
        <v>129</v>
      </c>
      <c r="D74" t="s">
        <v>129</v>
      </c>
      <c r="E74" t="s">
        <v>53</v>
      </c>
      <c r="F74" t="s">
        <v>53</v>
      </c>
      <c r="G74">
        <v>4</v>
      </c>
      <c r="H74" t="s">
        <v>54</v>
      </c>
      <c r="I74">
        <v>184200</v>
      </c>
      <c r="J74">
        <v>39500</v>
      </c>
      <c r="K74">
        <v>0.23</v>
      </c>
      <c r="L7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74">
        <v>0</v>
      </c>
      <c r="N74">
        <v>0</v>
      </c>
      <c r="O74">
        <v>0</v>
      </c>
      <c r="P74">
        <v>13398.7528</v>
      </c>
      <c r="Q74">
        <v>63903</v>
      </c>
      <c r="R74">
        <f>(Grandview_Inventory[[#This Row],[ln_acres]]*Grandview_Inventory[[#This Row],[coeff]])+Grandview_Inventory[[#This Row],[const]]</f>
        <v>44211.174981080039</v>
      </c>
      <c r="S74" t="s">
        <v>61</v>
      </c>
      <c r="T74">
        <v>1</v>
      </c>
      <c r="U74" t="s">
        <v>65</v>
      </c>
      <c r="V74" t="s">
        <v>78</v>
      </c>
      <c r="W74">
        <v>0</v>
      </c>
      <c r="X74">
        <v>0</v>
      </c>
      <c r="Y74">
        <v>24</v>
      </c>
      <c r="Z74">
        <v>24</v>
      </c>
      <c r="AA74">
        <v>30</v>
      </c>
      <c r="AB74">
        <v>1500</v>
      </c>
      <c r="AC74">
        <v>1320</v>
      </c>
      <c r="AD74">
        <v>1320</v>
      </c>
      <c r="AE74">
        <v>0</v>
      </c>
      <c r="AF74">
        <v>0</v>
      </c>
      <c r="AG74">
        <v>0</v>
      </c>
      <c r="AH74">
        <v>0</v>
      </c>
      <c r="AI74">
        <v>440</v>
      </c>
      <c r="AJ74">
        <v>0</v>
      </c>
      <c r="AK74">
        <v>0</v>
      </c>
      <c r="AL74">
        <v>240</v>
      </c>
      <c r="AM74">
        <v>0</v>
      </c>
      <c r="AN74">
        <v>48</v>
      </c>
      <c r="AO74">
        <v>0</v>
      </c>
      <c r="AP74">
        <v>8</v>
      </c>
      <c r="AQ74">
        <v>0</v>
      </c>
      <c r="AR74">
        <v>0</v>
      </c>
      <c r="AS74" t="s">
        <v>58</v>
      </c>
      <c r="AT74">
        <v>1</v>
      </c>
      <c r="AU74" t="s">
        <v>59</v>
      </c>
      <c r="AV74" t="s">
        <v>60</v>
      </c>
      <c r="AW74">
        <v>1</v>
      </c>
      <c r="AX74">
        <v>3</v>
      </c>
      <c r="AY74">
        <v>0</v>
      </c>
      <c r="AZ74">
        <v>0</v>
      </c>
      <c r="BA74">
        <v>100</v>
      </c>
      <c r="BB74">
        <v>100</v>
      </c>
      <c r="BC74">
        <v>100</v>
      </c>
      <c r="BD74">
        <v>100</v>
      </c>
      <c r="BE74">
        <v>1</v>
      </c>
      <c r="BF74">
        <v>15000</v>
      </c>
      <c r="BG74">
        <v>1000</v>
      </c>
      <c r="BH74" s="6">
        <f>Grandview_Inventory[[#This Row],[land_extract]]*Lookups!$B$3</f>
        <v>51342.318135355803</v>
      </c>
      <c r="BI74" s="6">
        <f>IF(Grandview_Inventory[[#This Row],[bldg_style]]="",0,Lookups!$B$2)</f>
        <v>155833.95000000001</v>
      </c>
      <c r="BJ74" s="6">
        <f>_xlfn.IFNA(VLOOKUP(Grandview_Inventory[[#This Row],[quality]],Lookups!$H$2:$J$14,3,FALSE),0)</f>
        <v>2251</v>
      </c>
      <c r="BK74" s="6">
        <f>_xlfn.IFNA(VLOOKUP(Grandview_Inventory[[#This Row],[condition]],Lookups!$H$17:$J$24,3,FALSE),0)</f>
        <v>-45357</v>
      </c>
      <c r="BL74" s="6">
        <f>Grandview_Inventory[[#This Row],[Eff_Age]]*Lookups!$B$14</f>
        <v>-5739.9983999999995</v>
      </c>
      <c r="BM74" s="6">
        <f>Grandview_Inventory[[#This Row],[living_area]]*Lookups!$B$15</f>
        <v>82342.725959999996</v>
      </c>
      <c r="BN74" s="6">
        <f>Grandview_Inventory[[#This Row],[Fin BSMT]]*Lookups!$B$16</f>
        <v>0</v>
      </c>
      <c r="BO74" s="6">
        <f>(Grandview_Inventory[[#This Row],[att_gar]]+Grandview_Inventory[[#This Row],[bltin_gar]])*Lookups!$B$17</f>
        <v>38508.992279999999</v>
      </c>
      <c r="BP74" s="6">
        <f>Grandview_Inventory[[#This Row],[Plumbing Fixtures]]*Lookups!$B$18</f>
        <v>16083.5344</v>
      </c>
      <c r="BQ74" s="6">
        <f>Grandview_Inventory[[#This Row],[detatched_value]]*Lookups!$B$19</f>
        <v>0</v>
      </c>
      <c r="BR74" s="6">
        <f>SUM(Grandview_Inventory[[#This Row],[Intercept]:[det_value]])*Grandview_Inventory[[#This Row],[res_pct]]</f>
        <v>243923.20424000002</v>
      </c>
      <c r="BS74" s="6">
        <f>Grandview_Inventory[[#This Row],[land_value]]</f>
        <v>51342.318135355803</v>
      </c>
      <c r="BT74" s="4">
        <f>_xlfn.IFNA(VLOOKUP(Grandview_Inventory[[#This Row],[quality]],Lookups!$A$26:$C$33,3,FALSE),1)</f>
        <v>0.98763855981004833</v>
      </c>
      <c r="BU74" s="4">
        <f>_xlfn.IFNA(VLOOKUP(Grandview_Inventory[[#This Row],[condition]],Lookups!$A$37:$C$44,3,FALSE),1)</f>
        <v>0.97161819570155394</v>
      </c>
      <c r="BV74" s="4">
        <f>IF(Grandview_Inventory[[#This Row],[bldg_style]]="",1,_xlfn.IFNA(VLOOKUP(Grandview_Inventory[[#This Row],[decade]],Lookups!$F$29:$H$43,3,FALSE),1))</f>
        <v>0.98397821291089549</v>
      </c>
      <c r="BW74" s="4">
        <f>_xlfn.IFNA(VLOOKUP(Grandview_Inventory[[#This Row],[living_area_range]],Lookups!$F$47:$H$56,3,FALSE),1)</f>
        <v>0.96135087979789358</v>
      </c>
      <c r="BX74" s="4">
        <f>AVERAGE(Grandview_Inventory[[#This Row],[qual_adj]:[size_adj]])</f>
        <v>0.97614646205509781</v>
      </c>
      <c r="BY74" s="6">
        <f>IF(Grandview_Inventory[[#This Row],[pre_res]]&lt;0,0,Grandview_Inventory[[#This Row],[pre_res]]*Grandview_Inventory[[#This Row],[overall_adj]])</f>
        <v>238104.77283201905</v>
      </c>
      <c r="BZ74" s="6">
        <f>(Grandview_Inventory[[#This Row],[sum_land]]-IF(Grandview_Inventory[[#This Row],[no_utilities]]=1,12000,0))/IF(Grandview_Inventory[[#This Row],[unbuildable]]=1,2,1)</f>
        <v>51342.318135355803</v>
      </c>
      <c r="CA7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74">
        <f>ROUND(Grandview_Inventory[[#This Row],[det_value]]*Lookups!$M$28,-2)</f>
        <v>0</v>
      </c>
      <c r="CC74">
        <f>IF(ROUND(Grandview_Inventory[[#This Row],[adj_res]]*Lookups!$M$28,-2)&lt;Grandview_Inventory[[#This Row],[min_res]],Grandview_Inventory[[#This Row],[min_res]],ROUND(Grandview_Inventory[[#This Row],[adj_res]]*Lookups!$M$28,-2))</f>
        <v>226200</v>
      </c>
      <c r="CD74">
        <f>Grandview_Inventory[[#This Row],[final_det]]+Grandview_Inventory[[#This Row],[final_res]]</f>
        <v>226200</v>
      </c>
      <c r="CE74">
        <f>Grandview_Inventory[[#This Row],[final_land]]+Grandview_Inventory[[#This Row],[final_imp]]+Grandview_Inventory[[#This Row],[crop_value]]</f>
        <v>275000</v>
      </c>
      <c r="CG74" t="str">
        <f t="shared" si="1"/>
        <v>update valuation set market_land =48800, market_bldg=226200, market_total =275000, market_mdno =401, market_date ='9/10/2023' where link_id = (select link_id from parcel where parcel_year = '2024' and parcel_id = '23091432416');</v>
      </c>
    </row>
    <row r="75" spans="1:85" x14ac:dyDescent="0.25">
      <c r="A75">
        <v>23091432417</v>
      </c>
      <c r="B75">
        <v>0.16</v>
      </c>
      <c r="C75" t="s">
        <v>129</v>
      </c>
      <c r="D75" t="s">
        <v>129</v>
      </c>
      <c r="E75" t="s">
        <v>53</v>
      </c>
      <c r="F75" t="s">
        <v>53</v>
      </c>
      <c r="G75">
        <v>4</v>
      </c>
      <c r="H75" t="s">
        <v>54</v>
      </c>
      <c r="I75">
        <v>225800</v>
      </c>
      <c r="J75">
        <v>38600</v>
      </c>
      <c r="K75">
        <v>0.16</v>
      </c>
      <c r="L7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5">
        <v>0</v>
      </c>
      <c r="N75">
        <v>0</v>
      </c>
      <c r="O75">
        <v>0</v>
      </c>
      <c r="P75">
        <v>13398.7528</v>
      </c>
      <c r="Q75">
        <v>63903</v>
      </c>
      <c r="R75">
        <f>(Grandview_Inventory[[#This Row],[ln_acres]]*Grandview_Inventory[[#This Row],[coeff]])+Grandview_Inventory[[#This Row],[const]]</f>
        <v>39348.693981374228</v>
      </c>
      <c r="S75" t="s">
        <v>61</v>
      </c>
      <c r="T75">
        <v>1</v>
      </c>
      <c r="U75" t="s">
        <v>70</v>
      </c>
      <c r="V75" t="s">
        <v>67</v>
      </c>
      <c r="W75">
        <v>0</v>
      </c>
      <c r="X75">
        <v>0</v>
      </c>
      <c r="Y75">
        <v>24</v>
      </c>
      <c r="Z75">
        <v>24</v>
      </c>
      <c r="AA75">
        <v>30</v>
      </c>
      <c r="AB75">
        <v>1500</v>
      </c>
      <c r="AC75">
        <v>1128</v>
      </c>
      <c r="AD75">
        <v>1128</v>
      </c>
      <c r="AE75">
        <v>0</v>
      </c>
      <c r="AF75">
        <v>0</v>
      </c>
      <c r="AG75">
        <v>0</v>
      </c>
      <c r="AH75">
        <v>0</v>
      </c>
      <c r="AI75">
        <v>500</v>
      </c>
      <c r="AJ75">
        <v>0</v>
      </c>
      <c r="AK75">
        <v>0</v>
      </c>
      <c r="AL75">
        <v>0</v>
      </c>
      <c r="AM75">
        <v>168</v>
      </c>
      <c r="AN75">
        <v>0</v>
      </c>
      <c r="AO75">
        <v>168</v>
      </c>
      <c r="AP75">
        <v>8</v>
      </c>
      <c r="AQ75">
        <v>0</v>
      </c>
      <c r="AR75">
        <v>0</v>
      </c>
      <c r="AS75" t="s">
        <v>58</v>
      </c>
      <c r="AT75">
        <v>1</v>
      </c>
      <c r="AU75" t="s">
        <v>59</v>
      </c>
      <c r="AV75" t="s">
        <v>60</v>
      </c>
      <c r="AW75">
        <v>1</v>
      </c>
      <c r="AX75">
        <v>3</v>
      </c>
      <c r="AY75">
        <v>0</v>
      </c>
      <c r="AZ75">
        <v>0</v>
      </c>
      <c r="BA75">
        <v>100</v>
      </c>
      <c r="BB75">
        <v>100</v>
      </c>
      <c r="BC75">
        <v>100</v>
      </c>
      <c r="BD75">
        <v>100</v>
      </c>
      <c r="BE75">
        <v>1</v>
      </c>
      <c r="BF75">
        <v>15000</v>
      </c>
      <c r="BG75">
        <v>1000</v>
      </c>
      <c r="BH75" s="6">
        <f>Grandview_Inventory[[#This Row],[land_extract]]*Lookups!$B$3</f>
        <v>45695.532079096141</v>
      </c>
      <c r="BI75" s="6">
        <f>IF(Grandview_Inventory[[#This Row],[bldg_style]]="",0,Lookups!$B$2)</f>
        <v>155833.95000000001</v>
      </c>
      <c r="BJ75" s="6">
        <f>_xlfn.IFNA(VLOOKUP(Grandview_Inventory[[#This Row],[quality]],Lookups!$H$2:$J$14,3,FALSE),0)</f>
        <v>10733</v>
      </c>
      <c r="BK75" s="6">
        <f>_xlfn.IFNA(VLOOKUP(Grandview_Inventory[[#This Row],[condition]],Lookups!$H$17:$J$24,3,FALSE),0)</f>
        <v>22342</v>
      </c>
      <c r="BL75" s="6">
        <f>Grandview_Inventory[[#This Row],[Eff_Age]]*Lookups!$B$14</f>
        <v>-5739.9983999999995</v>
      </c>
      <c r="BM75" s="6">
        <f>Grandview_Inventory[[#This Row],[living_area]]*Lookups!$B$15</f>
        <v>70365.602184000003</v>
      </c>
      <c r="BN75" s="6">
        <f>Grandview_Inventory[[#This Row],[Fin BSMT]]*Lookups!$B$16</f>
        <v>0</v>
      </c>
      <c r="BO75" s="6">
        <f>(Grandview_Inventory[[#This Row],[att_gar]]+Grandview_Inventory[[#This Row],[bltin_gar]])*Lookups!$B$17</f>
        <v>43760.218500000003</v>
      </c>
      <c r="BP75" s="6">
        <f>Grandview_Inventory[[#This Row],[Plumbing Fixtures]]*Lookups!$B$18</f>
        <v>16083.5344</v>
      </c>
      <c r="BQ75" s="6">
        <f>Grandview_Inventory[[#This Row],[detatched_value]]*Lookups!$B$19</f>
        <v>0</v>
      </c>
      <c r="BR75" s="6">
        <f>SUM(Grandview_Inventory[[#This Row],[Intercept]:[det_value]])*Grandview_Inventory[[#This Row],[res_pct]]</f>
        <v>313378.30668400001</v>
      </c>
      <c r="BS75" s="6">
        <f>Grandview_Inventory[[#This Row],[land_value]]</f>
        <v>45695.532079096141</v>
      </c>
      <c r="BT75" s="4">
        <f>_xlfn.IFNA(VLOOKUP(Grandview_Inventory[[#This Row],[quality]],Lookups!$A$26:$C$33,3,FALSE),1)</f>
        <v>0.98079741117310582</v>
      </c>
      <c r="BU75" s="4">
        <f>_xlfn.IFNA(VLOOKUP(Grandview_Inventory[[#This Row],[condition]],Lookups!$A$37:$C$44,3,FALSE),1)</f>
        <v>0.97383723671140243</v>
      </c>
      <c r="BV75" s="4">
        <f>IF(Grandview_Inventory[[#This Row],[bldg_style]]="",1,_xlfn.IFNA(VLOOKUP(Grandview_Inventory[[#This Row],[decade]],Lookups!$F$29:$H$43,3,FALSE),1))</f>
        <v>0.98397821291089549</v>
      </c>
      <c r="BW75" s="4">
        <f>_xlfn.IFNA(VLOOKUP(Grandview_Inventory[[#This Row],[living_area_range]],Lookups!$F$47:$H$56,3,FALSE),1)</f>
        <v>0.96135087979789358</v>
      </c>
      <c r="BX75" s="4">
        <f>AVERAGE(Grandview_Inventory[[#This Row],[qual_adj]:[size_adj]])</f>
        <v>0.97499093514832436</v>
      </c>
      <c r="BY75" s="6">
        <f>IF(Grandview_Inventory[[#This Row],[pre_res]]&lt;0,0,Grandview_Inventory[[#This Row],[pre_res]]*Grandview_Inventory[[#This Row],[overall_adj]])</f>
        <v>305541.00828903157</v>
      </c>
      <c r="BZ75" s="6">
        <f>(Grandview_Inventory[[#This Row],[sum_land]]-IF(Grandview_Inventory[[#This Row],[no_utilities]]=1,12000,0))/IF(Grandview_Inventory[[#This Row],[unbuildable]]=1,2,1)</f>
        <v>45695.532079096141</v>
      </c>
      <c r="CA7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5">
        <f>ROUND(Grandview_Inventory[[#This Row],[det_value]]*Lookups!$M$28,-2)</f>
        <v>0</v>
      </c>
      <c r="CC75">
        <f>IF(ROUND(Grandview_Inventory[[#This Row],[adj_res]]*Lookups!$M$28,-2)&lt;Grandview_Inventory[[#This Row],[min_res]],Grandview_Inventory[[#This Row],[min_res]],ROUND(Grandview_Inventory[[#This Row],[adj_res]]*Lookups!$M$28,-2))</f>
        <v>290300</v>
      </c>
      <c r="CD75">
        <f>Grandview_Inventory[[#This Row],[final_det]]+Grandview_Inventory[[#This Row],[final_res]]</f>
        <v>290300</v>
      </c>
      <c r="CE75">
        <f>Grandview_Inventory[[#This Row],[final_land]]+Grandview_Inventory[[#This Row],[final_imp]]+Grandview_Inventory[[#This Row],[crop_value]]</f>
        <v>333700</v>
      </c>
      <c r="CG75" t="str">
        <f t="shared" si="1"/>
        <v>update valuation set market_land =43400, market_bldg=290300, market_total =333700, market_mdno =401, market_date ='9/10/2023' where link_id = (select link_id from parcel where parcel_year = '2024' and parcel_id = '23091432417');</v>
      </c>
    </row>
    <row r="76" spans="1:85" x14ac:dyDescent="0.25">
      <c r="A76">
        <v>23091432418</v>
      </c>
      <c r="B76">
        <v>0.16</v>
      </c>
      <c r="C76" t="s">
        <v>129</v>
      </c>
      <c r="D76" t="s">
        <v>129</v>
      </c>
      <c r="E76" t="s">
        <v>53</v>
      </c>
      <c r="F76" t="s">
        <v>53</v>
      </c>
      <c r="G76">
        <v>4</v>
      </c>
      <c r="H76" t="s">
        <v>54</v>
      </c>
      <c r="I76">
        <v>193400</v>
      </c>
      <c r="J76">
        <v>38600</v>
      </c>
      <c r="K76">
        <v>0.16</v>
      </c>
      <c r="L7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6">
        <v>0</v>
      </c>
      <c r="N76">
        <v>0</v>
      </c>
      <c r="O76">
        <v>0</v>
      </c>
      <c r="P76">
        <v>13398.7528</v>
      </c>
      <c r="Q76">
        <v>63903</v>
      </c>
      <c r="R76">
        <f>(Grandview_Inventory[[#This Row],[ln_acres]]*Grandview_Inventory[[#This Row],[coeff]])+Grandview_Inventory[[#This Row],[const]]</f>
        <v>39348.693981374228</v>
      </c>
      <c r="S76" t="s">
        <v>61</v>
      </c>
      <c r="T76">
        <v>1</v>
      </c>
      <c r="U76" t="s">
        <v>70</v>
      </c>
      <c r="V76" t="s">
        <v>67</v>
      </c>
      <c r="W76">
        <v>0</v>
      </c>
      <c r="X76">
        <v>0</v>
      </c>
      <c r="Y76">
        <v>24</v>
      </c>
      <c r="Z76">
        <v>24</v>
      </c>
      <c r="AA76">
        <v>30</v>
      </c>
      <c r="AB76">
        <v>1500</v>
      </c>
      <c r="AC76">
        <v>1120</v>
      </c>
      <c r="AD76">
        <v>1120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160</v>
      </c>
      <c r="AM76">
        <v>0</v>
      </c>
      <c r="AN76">
        <v>0</v>
      </c>
      <c r="AO76">
        <v>0</v>
      </c>
      <c r="AP76">
        <v>8</v>
      </c>
      <c r="AQ76">
        <v>0</v>
      </c>
      <c r="AR76">
        <v>0</v>
      </c>
      <c r="AS76" t="s">
        <v>58</v>
      </c>
      <c r="AT76">
        <v>1</v>
      </c>
      <c r="AU76" t="s">
        <v>59</v>
      </c>
      <c r="AV76" t="s">
        <v>60</v>
      </c>
      <c r="AW76">
        <v>1</v>
      </c>
      <c r="AX76">
        <v>3</v>
      </c>
      <c r="AY76">
        <v>0</v>
      </c>
      <c r="AZ76">
        <v>0</v>
      </c>
      <c r="BA76">
        <v>100</v>
      </c>
      <c r="BB76">
        <v>100</v>
      </c>
      <c r="BC76">
        <v>100</v>
      </c>
      <c r="BD76">
        <v>100</v>
      </c>
      <c r="BE76">
        <v>1</v>
      </c>
      <c r="BF76">
        <v>15000</v>
      </c>
      <c r="BG76">
        <v>1000</v>
      </c>
      <c r="BH76" s="6">
        <f>Grandview_Inventory[[#This Row],[land_extract]]*Lookups!$B$3</f>
        <v>45695.532079096141</v>
      </c>
      <c r="BI76" s="6">
        <f>IF(Grandview_Inventory[[#This Row],[bldg_style]]="",0,Lookups!$B$2)</f>
        <v>155833.95000000001</v>
      </c>
      <c r="BJ76" s="6">
        <f>_xlfn.IFNA(VLOOKUP(Grandview_Inventory[[#This Row],[quality]],Lookups!$H$2:$J$14,3,FALSE),0)</f>
        <v>10733</v>
      </c>
      <c r="BK76" s="6">
        <f>_xlfn.IFNA(VLOOKUP(Grandview_Inventory[[#This Row],[condition]],Lookups!$H$17:$J$24,3,FALSE),0)</f>
        <v>22342</v>
      </c>
      <c r="BL76" s="6">
        <f>Grandview_Inventory[[#This Row],[Eff_Age]]*Lookups!$B$14</f>
        <v>-5739.9983999999995</v>
      </c>
      <c r="BM76" s="6">
        <f>Grandview_Inventory[[#This Row],[living_area]]*Lookups!$B$15</f>
        <v>69866.555359999998</v>
      </c>
      <c r="BN76" s="6">
        <f>Grandview_Inventory[[#This Row],[Fin BSMT]]*Lookups!$B$16</f>
        <v>0</v>
      </c>
      <c r="BO76" s="6">
        <f>(Grandview_Inventory[[#This Row],[att_gar]]+Grandview_Inventory[[#This Row],[bltin_gar]])*Lookups!$B$17</f>
        <v>0</v>
      </c>
      <c r="BP76" s="6">
        <f>Grandview_Inventory[[#This Row],[Plumbing Fixtures]]*Lookups!$B$18</f>
        <v>16083.5344</v>
      </c>
      <c r="BQ76" s="6">
        <f>Grandview_Inventory[[#This Row],[detatched_value]]*Lookups!$B$19</f>
        <v>0</v>
      </c>
      <c r="BR76" s="6">
        <f>SUM(Grandview_Inventory[[#This Row],[Intercept]:[det_value]])*Grandview_Inventory[[#This Row],[res_pct]]</f>
        <v>269119.04135999997</v>
      </c>
      <c r="BS76" s="6">
        <f>Grandview_Inventory[[#This Row],[land_value]]</f>
        <v>45695.532079096141</v>
      </c>
      <c r="BT76" s="4">
        <f>_xlfn.IFNA(VLOOKUP(Grandview_Inventory[[#This Row],[quality]],Lookups!$A$26:$C$33,3,FALSE),1)</f>
        <v>0.98079741117310582</v>
      </c>
      <c r="BU76" s="4">
        <f>_xlfn.IFNA(VLOOKUP(Grandview_Inventory[[#This Row],[condition]],Lookups!$A$37:$C$44,3,FALSE),1)</f>
        <v>0.97383723671140243</v>
      </c>
      <c r="BV76" s="4">
        <f>IF(Grandview_Inventory[[#This Row],[bldg_style]]="",1,_xlfn.IFNA(VLOOKUP(Grandview_Inventory[[#This Row],[decade]],Lookups!$F$29:$H$43,3,FALSE),1))</f>
        <v>0.98397821291089549</v>
      </c>
      <c r="BW76" s="4">
        <f>_xlfn.IFNA(VLOOKUP(Grandview_Inventory[[#This Row],[living_area_range]],Lookups!$F$47:$H$56,3,FALSE),1)</f>
        <v>0.96135087979789358</v>
      </c>
      <c r="BX76" s="4">
        <f>AVERAGE(Grandview_Inventory[[#This Row],[qual_adj]:[size_adj]])</f>
        <v>0.97499093514832436</v>
      </c>
      <c r="BY76" s="6">
        <f>IF(Grandview_Inventory[[#This Row],[pre_res]]&lt;0,0,Grandview_Inventory[[#This Row],[pre_res]]*Grandview_Inventory[[#This Row],[overall_adj]])</f>
        <v>262388.62580180698</v>
      </c>
      <c r="BZ76" s="6">
        <f>(Grandview_Inventory[[#This Row],[sum_land]]-IF(Grandview_Inventory[[#This Row],[no_utilities]]=1,12000,0))/IF(Grandview_Inventory[[#This Row],[unbuildable]]=1,2,1)</f>
        <v>45695.532079096141</v>
      </c>
      <c r="CA7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6">
        <f>ROUND(Grandview_Inventory[[#This Row],[det_value]]*Lookups!$M$28,-2)</f>
        <v>0</v>
      </c>
      <c r="CC76">
        <f>IF(ROUND(Grandview_Inventory[[#This Row],[adj_res]]*Lookups!$M$28,-2)&lt;Grandview_Inventory[[#This Row],[min_res]],Grandview_Inventory[[#This Row],[min_res]],ROUND(Grandview_Inventory[[#This Row],[adj_res]]*Lookups!$M$28,-2))</f>
        <v>249300</v>
      </c>
      <c r="CD76">
        <f>Grandview_Inventory[[#This Row],[final_det]]+Grandview_Inventory[[#This Row],[final_res]]</f>
        <v>249300</v>
      </c>
      <c r="CE76">
        <f>Grandview_Inventory[[#This Row],[final_land]]+Grandview_Inventory[[#This Row],[final_imp]]+Grandview_Inventory[[#This Row],[crop_value]]</f>
        <v>292700</v>
      </c>
      <c r="CG76" t="str">
        <f t="shared" si="1"/>
        <v>update valuation set market_land =43400, market_bldg=249300, market_total =292700, market_mdno =401, market_date ='9/10/2023' where link_id = (select link_id from parcel where parcel_year = '2024' and parcel_id = '23091432418');</v>
      </c>
    </row>
    <row r="77" spans="1:85" x14ac:dyDescent="0.25">
      <c r="A77">
        <v>23091432419</v>
      </c>
      <c r="B77">
        <v>0.16</v>
      </c>
      <c r="C77" t="s">
        <v>129</v>
      </c>
      <c r="D77" t="s">
        <v>129</v>
      </c>
      <c r="E77" t="s">
        <v>53</v>
      </c>
      <c r="F77" t="s">
        <v>53</v>
      </c>
      <c r="G77">
        <v>4</v>
      </c>
      <c r="H77" t="s">
        <v>54</v>
      </c>
      <c r="I77">
        <v>325600</v>
      </c>
      <c r="J77">
        <v>38600</v>
      </c>
      <c r="K77">
        <v>0.16</v>
      </c>
      <c r="L7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7">
        <v>0</v>
      </c>
      <c r="N77">
        <v>0</v>
      </c>
      <c r="O77">
        <v>0</v>
      </c>
      <c r="P77">
        <v>13398.7528</v>
      </c>
      <c r="Q77">
        <v>63903</v>
      </c>
      <c r="R77">
        <f>(Grandview_Inventory[[#This Row],[ln_acres]]*Grandview_Inventory[[#This Row],[coeff]])+Grandview_Inventory[[#This Row],[const]]</f>
        <v>39348.693981374228</v>
      </c>
      <c r="S77" t="s">
        <v>55</v>
      </c>
      <c r="T77">
        <v>2</v>
      </c>
      <c r="U77" t="s">
        <v>65</v>
      </c>
      <c r="V77" t="s">
        <v>67</v>
      </c>
      <c r="W77">
        <v>0</v>
      </c>
      <c r="X77">
        <v>0</v>
      </c>
      <c r="Y77">
        <v>24</v>
      </c>
      <c r="Z77">
        <v>24</v>
      </c>
      <c r="AA77">
        <v>30</v>
      </c>
      <c r="AB77">
        <v>3500</v>
      </c>
      <c r="AC77">
        <v>3054</v>
      </c>
      <c r="AD77">
        <v>2272</v>
      </c>
      <c r="AE77">
        <v>782</v>
      </c>
      <c r="AF77">
        <v>0</v>
      </c>
      <c r="AG77">
        <v>0</v>
      </c>
      <c r="AH77">
        <v>0</v>
      </c>
      <c r="AI77">
        <v>400</v>
      </c>
      <c r="AJ77">
        <v>0</v>
      </c>
      <c r="AK77">
        <v>0</v>
      </c>
      <c r="AL77">
        <v>0</v>
      </c>
      <c r="AM77">
        <v>0</v>
      </c>
      <c r="AN77">
        <v>148</v>
      </c>
      <c r="AO77">
        <v>0</v>
      </c>
      <c r="AP77">
        <v>12</v>
      </c>
      <c r="AQ77">
        <v>0</v>
      </c>
      <c r="AR77">
        <v>0</v>
      </c>
      <c r="AS77" t="s">
        <v>58</v>
      </c>
      <c r="AT77">
        <v>1</v>
      </c>
      <c r="AU77" t="s">
        <v>59</v>
      </c>
      <c r="AV77" t="s">
        <v>60</v>
      </c>
      <c r="AW77">
        <v>1</v>
      </c>
      <c r="AX77">
        <v>5</v>
      </c>
      <c r="AY77">
        <v>0</v>
      </c>
      <c r="AZ77">
        <v>0</v>
      </c>
      <c r="BA77">
        <v>100</v>
      </c>
      <c r="BB77">
        <v>100</v>
      </c>
      <c r="BC77">
        <v>100</v>
      </c>
      <c r="BD77">
        <v>100</v>
      </c>
      <c r="BE77">
        <v>1</v>
      </c>
      <c r="BF77">
        <v>15000</v>
      </c>
      <c r="BG77">
        <v>1000</v>
      </c>
      <c r="BH77" s="6">
        <f>Grandview_Inventory[[#This Row],[land_extract]]*Lookups!$B$3</f>
        <v>45695.532079096141</v>
      </c>
      <c r="BI77" s="6">
        <f>IF(Grandview_Inventory[[#This Row],[bldg_style]]="",0,Lookups!$B$2)</f>
        <v>155833.95000000001</v>
      </c>
      <c r="BJ77" s="6">
        <f>_xlfn.IFNA(VLOOKUP(Grandview_Inventory[[#This Row],[quality]],Lookups!$H$2:$J$14,3,FALSE),0)</f>
        <v>2251</v>
      </c>
      <c r="BK77" s="6">
        <f>_xlfn.IFNA(VLOOKUP(Grandview_Inventory[[#This Row],[condition]],Lookups!$H$17:$J$24,3,FALSE),0)</f>
        <v>22342</v>
      </c>
      <c r="BL77" s="6">
        <f>Grandview_Inventory[[#This Row],[Eff_Age]]*Lookups!$B$14</f>
        <v>-5739.9983999999995</v>
      </c>
      <c r="BM77" s="6">
        <f>Grandview_Inventory[[#This Row],[living_area]]*Lookups!$B$15</f>
        <v>190511.12506200001</v>
      </c>
      <c r="BN77" s="6">
        <f>Grandview_Inventory[[#This Row],[Fin BSMT]]*Lookups!$B$16</f>
        <v>0</v>
      </c>
      <c r="BO77" s="6">
        <f>(Grandview_Inventory[[#This Row],[att_gar]]+Grandview_Inventory[[#This Row],[bltin_gar]])*Lookups!$B$17</f>
        <v>35008.174800000001</v>
      </c>
      <c r="BP77" s="6">
        <f>Grandview_Inventory[[#This Row],[Plumbing Fixtures]]*Lookups!$B$18</f>
        <v>24125.301599999999</v>
      </c>
      <c r="BQ77" s="6">
        <f>Grandview_Inventory[[#This Row],[detatched_value]]*Lookups!$B$19</f>
        <v>0</v>
      </c>
      <c r="BR77" s="6">
        <f>SUM(Grandview_Inventory[[#This Row],[Intercept]:[det_value]])*Grandview_Inventory[[#This Row],[res_pct]]</f>
        <v>424331.55306200002</v>
      </c>
      <c r="BS77" s="6">
        <f>Grandview_Inventory[[#This Row],[land_value]]</f>
        <v>45695.532079096141</v>
      </c>
      <c r="BT77" s="4">
        <f>_xlfn.IFNA(VLOOKUP(Grandview_Inventory[[#This Row],[quality]],Lookups!$A$26:$C$33,3,FALSE),1)</f>
        <v>0.98763855981004833</v>
      </c>
      <c r="BU77" s="4">
        <f>_xlfn.IFNA(VLOOKUP(Grandview_Inventory[[#This Row],[condition]],Lookups!$A$37:$C$44,3,FALSE),1)</f>
        <v>0.97383723671140243</v>
      </c>
      <c r="BV77" s="4">
        <f>IF(Grandview_Inventory[[#This Row],[bldg_style]]="",1,_xlfn.IFNA(VLOOKUP(Grandview_Inventory[[#This Row],[decade]],Lookups!$F$29:$H$43,3,FALSE),1))</f>
        <v>0.98397821291089549</v>
      </c>
      <c r="BW77" s="4">
        <f>_xlfn.IFNA(VLOOKUP(Grandview_Inventory[[#This Row],[living_area_range]],Lookups!$F$47:$H$56,3,FALSE),1)</f>
        <v>1.0170112215140563</v>
      </c>
      <c r="BX77" s="4">
        <f>AVERAGE(Grandview_Inventory[[#This Row],[qual_adj]:[size_adj]])</f>
        <v>0.99061630773660059</v>
      </c>
      <c r="BY77" s="6">
        <f>IF(Grandview_Inventory[[#This Row],[pre_res]]&lt;0,0,Grandview_Inventory[[#This Row],[pre_res]]*Grandview_Inventory[[#This Row],[overall_adj]])</f>
        <v>420349.75635041588</v>
      </c>
      <c r="BZ77" s="6">
        <f>(Grandview_Inventory[[#This Row],[sum_land]]-IF(Grandview_Inventory[[#This Row],[no_utilities]]=1,12000,0))/IF(Grandview_Inventory[[#This Row],[unbuildable]]=1,2,1)</f>
        <v>45695.532079096141</v>
      </c>
      <c r="CA7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7">
        <f>ROUND(Grandview_Inventory[[#This Row],[det_value]]*Lookups!$M$28,-2)</f>
        <v>0</v>
      </c>
      <c r="CC77">
        <f>IF(ROUND(Grandview_Inventory[[#This Row],[adj_res]]*Lookups!$M$28,-2)&lt;Grandview_Inventory[[#This Row],[min_res]],Grandview_Inventory[[#This Row],[min_res]],ROUND(Grandview_Inventory[[#This Row],[adj_res]]*Lookups!$M$28,-2))</f>
        <v>399300</v>
      </c>
      <c r="CD77">
        <f>Grandview_Inventory[[#This Row],[final_det]]+Grandview_Inventory[[#This Row],[final_res]]</f>
        <v>399300</v>
      </c>
      <c r="CE77">
        <f>Grandview_Inventory[[#This Row],[final_land]]+Grandview_Inventory[[#This Row],[final_imp]]+Grandview_Inventory[[#This Row],[crop_value]]</f>
        <v>442700</v>
      </c>
      <c r="CG77" t="str">
        <f t="shared" si="1"/>
        <v>update valuation set market_land =43400, market_bldg=399300, market_total =442700, market_mdno =401, market_date ='9/10/2023' where link_id = (select link_id from parcel where parcel_year = '2024' and parcel_id = '23091432419');</v>
      </c>
    </row>
    <row r="78" spans="1:85" x14ac:dyDescent="0.25">
      <c r="A78">
        <v>23091432420</v>
      </c>
      <c r="B78">
        <v>0.16</v>
      </c>
      <c r="C78" t="s">
        <v>129</v>
      </c>
      <c r="D78" t="s">
        <v>129</v>
      </c>
      <c r="E78" t="s">
        <v>53</v>
      </c>
      <c r="F78" t="s">
        <v>53</v>
      </c>
      <c r="G78">
        <v>4</v>
      </c>
      <c r="H78" t="s">
        <v>54</v>
      </c>
      <c r="I78">
        <v>153800</v>
      </c>
      <c r="J78">
        <v>38600</v>
      </c>
      <c r="K78">
        <v>0.16</v>
      </c>
      <c r="L7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8">
        <v>0</v>
      </c>
      <c r="N78">
        <v>0</v>
      </c>
      <c r="O78">
        <v>0</v>
      </c>
      <c r="P78">
        <v>13398.7528</v>
      </c>
      <c r="Q78">
        <v>63903</v>
      </c>
      <c r="R78">
        <f>(Grandview_Inventory[[#This Row],[ln_acres]]*Grandview_Inventory[[#This Row],[coeff]])+Grandview_Inventory[[#This Row],[const]]</f>
        <v>39348.693981374228</v>
      </c>
      <c r="S78" t="s">
        <v>61</v>
      </c>
      <c r="T78">
        <v>1</v>
      </c>
      <c r="U78" t="s">
        <v>65</v>
      </c>
      <c r="V78" t="s">
        <v>69</v>
      </c>
      <c r="W78">
        <v>0</v>
      </c>
      <c r="X78">
        <v>0</v>
      </c>
      <c r="Y78">
        <v>24</v>
      </c>
      <c r="Z78">
        <v>24</v>
      </c>
      <c r="AA78">
        <v>30</v>
      </c>
      <c r="AB78">
        <v>1500</v>
      </c>
      <c r="AC78">
        <v>1268</v>
      </c>
      <c r="AD78">
        <v>1268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280</v>
      </c>
      <c r="AM78">
        <v>0</v>
      </c>
      <c r="AN78">
        <v>20</v>
      </c>
      <c r="AO78">
        <v>0</v>
      </c>
      <c r="AP78">
        <v>8</v>
      </c>
      <c r="AQ78">
        <v>0</v>
      </c>
      <c r="AR78">
        <v>0</v>
      </c>
      <c r="AS78" t="s">
        <v>58</v>
      </c>
      <c r="AT78">
        <v>1</v>
      </c>
      <c r="AU78" t="s">
        <v>59</v>
      </c>
      <c r="AV78" t="s">
        <v>60</v>
      </c>
      <c r="AW78">
        <v>1</v>
      </c>
      <c r="AX78">
        <v>3</v>
      </c>
      <c r="AY78">
        <v>0</v>
      </c>
      <c r="AZ78">
        <v>0</v>
      </c>
      <c r="BA78">
        <v>100</v>
      </c>
      <c r="BB78">
        <v>100</v>
      </c>
      <c r="BC78">
        <v>100</v>
      </c>
      <c r="BD78">
        <v>100</v>
      </c>
      <c r="BE78">
        <v>1</v>
      </c>
      <c r="BF78">
        <v>15000</v>
      </c>
      <c r="BG78">
        <v>1000</v>
      </c>
      <c r="BH78" s="6">
        <f>Grandview_Inventory[[#This Row],[land_extract]]*Lookups!$B$3</f>
        <v>45695.532079096141</v>
      </c>
      <c r="BI78" s="6">
        <f>IF(Grandview_Inventory[[#This Row],[bldg_style]]="",0,Lookups!$B$2)</f>
        <v>155833.95000000001</v>
      </c>
      <c r="BJ78" s="6">
        <f>_xlfn.IFNA(VLOOKUP(Grandview_Inventory[[#This Row],[quality]],Lookups!$H$2:$J$14,3,FALSE),0)</f>
        <v>2251</v>
      </c>
      <c r="BK78" s="6">
        <f>_xlfn.IFNA(VLOOKUP(Grandview_Inventory[[#This Row],[condition]],Lookups!$H$17:$J$24,3,FALSE),0)</f>
        <v>-4503</v>
      </c>
      <c r="BL78" s="6">
        <f>Grandview_Inventory[[#This Row],[Eff_Age]]*Lookups!$B$14</f>
        <v>-5739.9983999999995</v>
      </c>
      <c r="BM78" s="6">
        <f>Grandview_Inventory[[#This Row],[living_area]]*Lookups!$B$15</f>
        <v>79098.921604000003</v>
      </c>
      <c r="BN78" s="6">
        <f>Grandview_Inventory[[#This Row],[Fin BSMT]]*Lookups!$B$16</f>
        <v>0</v>
      </c>
      <c r="BO78" s="6">
        <f>(Grandview_Inventory[[#This Row],[att_gar]]+Grandview_Inventory[[#This Row],[bltin_gar]])*Lookups!$B$17</f>
        <v>0</v>
      </c>
      <c r="BP78" s="6">
        <f>Grandview_Inventory[[#This Row],[Plumbing Fixtures]]*Lookups!$B$18</f>
        <v>16083.5344</v>
      </c>
      <c r="BQ78" s="6">
        <f>Grandview_Inventory[[#This Row],[detatched_value]]*Lookups!$B$19</f>
        <v>0</v>
      </c>
      <c r="BR78" s="6">
        <f>SUM(Grandview_Inventory[[#This Row],[Intercept]:[det_value]])*Grandview_Inventory[[#This Row],[res_pct]]</f>
        <v>243024.40760400001</v>
      </c>
      <c r="BS78" s="6">
        <f>Grandview_Inventory[[#This Row],[land_value]]</f>
        <v>45695.532079096141</v>
      </c>
      <c r="BT78" s="4">
        <f>_xlfn.IFNA(VLOOKUP(Grandview_Inventory[[#This Row],[quality]],Lookups!$A$26:$C$33,3,FALSE),1)</f>
        <v>0.98763855981004833</v>
      </c>
      <c r="BU78" s="4">
        <f>_xlfn.IFNA(VLOOKUP(Grandview_Inventory[[#This Row],[condition]],Lookups!$A$37:$C$44,3,FALSE),1)</f>
        <v>0.96469275950863709</v>
      </c>
      <c r="BV78" s="4">
        <f>IF(Grandview_Inventory[[#This Row],[bldg_style]]="",1,_xlfn.IFNA(VLOOKUP(Grandview_Inventory[[#This Row],[decade]],Lookups!$F$29:$H$43,3,FALSE),1))</f>
        <v>0.98397821291089549</v>
      </c>
      <c r="BW78" s="4">
        <f>_xlfn.IFNA(VLOOKUP(Grandview_Inventory[[#This Row],[living_area_range]],Lookups!$F$47:$H$56,3,FALSE),1)</f>
        <v>0.96135087979789358</v>
      </c>
      <c r="BX78" s="4">
        <f>AVERAGE(Grandview_Inventory[[#This Row],[qual_adj]:[size_adj]])</f>
        <v>0.97441510300686862</v>
      </c>
      <c r="BY78" s="6">
        <f>IF(Grandview_Inventory[[#This Row],[pre_res]]&lt;0,0,Grandview_Inventory[[#This Row],[pre_res]]*Grandview_Inventory[[#This Row],[overall_adj]])</f>
        <v>236806.65316863489</v>
      </c>
      <c r="BZ78" s="6">
        <f>(Grandview_Inventory[[#This Row],[sum_land]]-IF(Grandview_Inventory[[#This Row],[no_utilities]]=1,12000,0))/IF(Grandview_Inventory[[#This Row],[unbuildable]]=1,2,1)</f>
        <v>45695.532079096141</v>
      </c>
      <c r="CA7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8">
        <f>ROUND(Grandview_Inventory[[#This Row],[det_value]]*Lookups!$M$28,-2)</f>
        <v>0</v>
      </c>
      <c r="CC78">
        <f>IF(ROUND(Grandview_Inventory[[#This Row],[adj_res]]*Lookups!$M$28,-2)&lt;Grandview_Inventory[[#This Row],[min_res]],Grandview_Inventory[[#This Row],[min_res]],ROUND(Grandview_Inventory[[#This Row],[adj_res]]*Lookups!$M$28,-2))</f>
        <v>225000</v>
      </c>
      <c r="CD78">
        <f>Grandview_Inventory[[#This Row],[final_det]]+Grandview_Inventory[[#This Row],[final_res]]</f>
        <v>225000</v>
      </c>
      <c r="CE78">
        <f>Grandview_Inventory[[#This Row],[final_land]]+Grandview_Inventory[[#This Row],[final_imp]]+Grandview_Inventory[[#This Row],[crop_value]]</f>
        <v>268400</v>
      </c>
      <c r="CG78" t="str">
        <f t="shared" si="1"/>
        <v>update valuation set market_land =43400, market_bldg=225000, market_total =268400, market_mdno =401, market_date ='9/10/2023' where link_id = (select link_id from parcel where parcel_year = '2024' and parcel_id = '23091432420');</v>
      </c>
    </row>
    <row r="79" spans="1:85" x14ac:dyDescent="0.25">
      <c r="A79">
        <v>23091432421</v>
      </c>
      <c r="B79">
        <v>0.16</v>
      </c>
      <c r="C79" t="s">
        <v>129</v>
      </c>
      <c r="D79" t="s">
        <v>129</v>
      </c>
      <c r="E79" t="s">
        <v>53</v>
      </c>
      <c r="F79" t="s">
        <v>53</v>
      </c>
      <c r="G79">
        <v>4</v>
      </c>
      <c r="H79" t="s">
        <v>54</v>
      </c>
      <c r="I79">
        <v>226100</v>
      </c>
      <c r="J79">
        <v>43000</v>
      </c>
      <c r="K79">
        <v>0.16</v>
      </c>
      <c r="L7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9">
        <v>0</v>
      </c>
      <c r="N79">
        <v>0</v>
      </c>
      <c r="O79">
        <v>0</v>
      </c>
      <c r="P79">
        <v>13398.7528</v>
      </c>
      <c r="Q79">
        <v>63903</v>
      </c>
      <c r="R79">
        <f>(Grandview_Inventory[[#This Row],[ln_acres]]*Grandview_Inventory[[#This Row],[coeff]])+Grandview_Inventory[[#This Row],[const]]</f>
        <v>39348.693981374228</v>
      </c>
      <c r="S79" t="s">
        <v>61</v>
      </c>
      <c r="T79">
        <v>1</v>
      </c>
      <c r="U79" t="s">
        <v>65</v>
      </c>
      <c r="V79" t="s">
        <v>67</v>
      </c>
      <c r="W79">
        <v>0</v>
      </c>
      <c r="X79">
        <v>0</v>
      </c>
      <c r="Y79">
        <v>23</v>
      </c>
      <c r="Z79">
        <v>23</v>
      </c>
      <c r="AA79">
        <v>30</v>
      </c>
      <c r="AB79">
        <v>1500</v>
      </c>
      <c r="AC79">
        <v>1416</v>
      </c>
      <c r="AD79">
        <v>1416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240</v>
      </c>
      <c r="AM79">
        <v>0</v>
      </c>
      <c r="AN79">
        <v>0</v>
      </c>
      <c r="AO79">
        <v>0</v>
      </c>
      <c r="AP79">
        <v>8</v>
      </c>
      <c r="AQ79">
        <v>0</v>
      </c>
      <c r="AR79">
        <v>0</v>
      </c>
      <c r="AS79" t="s">
        <v>58</v>
      </c>
      <c r="AT79">
        <v>1</v>
      </c>
      <c r="AU79" t="s">
        <v>59</v>
      </c>
      <c r="AV79" t="s">
        <v>60</v>
      </c>
      <c r="AW79">
        <v>1</v>
      </c>
      <c r="AX79">
        <v>4</v>
      </c>
      <c r="AY79">
        <v>0</v>
      </c>
      <c r="AZ79">
        <v>23700</v>
      </c>
      <c r="BA79">
        <v>100</v>
      </c>
      <c r="BB79">
        <v>100</v>
      </c>
      <c r="BC79">
        <v>100</v>
      </c>
      <c r="BD79">
        <v>100</v>
      </c>
      <c r="BE79">
        <v>1</v>
      </c>
      <c r="BF79">
        <v>15000</v>
      </c>
      <c r="BG79">
        <v>1000</v>
      </c>
      <c r="BH79" s="6">
        <f>Grandview_Inventory[[#This Row],[land_extract]]*Lookups!$B$3</f>
        <v>45695.532079096141</v>
      </c>
      <c r="BI79" s="6">
        <f>IF(Grandview_Inventory[[#This Row],[bldg_style]]="",0,Lookups!$B$2)</f>
        <v>155833.95000000001</v>
      </c>
      <c r="BJ79" s="6">
        <f>_xlfn.IFNA(VLOOKUP(Grandview_Inventory[[#This Row],[quality]],Lookups!$H$2:$J$14,3,FALSE),0)</f>
        <v>2251</v>
      </c>
      <c r="BK79" s="6">
        <f>_xlfn.IFNA(VLOOKUP(Grandview_Inventory[[#This Row],[condition]],Lookups!$H$17:$J$24,3,FALSE),0)</f>
        <v>22342</v>
      </c>
      <c r="BL79" s="6">
        <f>Grandview_Inventory[[#This Row],[Eff_Age]]*Lookups!$B$14</f>
        <v>-5500.8317999999999</v>
      </c>
      <c r="BM79" s="6">
        <f>Grandview_Inventory[[#This Row],[living_area]]*Lookups!$B$15</f>
        <v>88331.287848000007</v>
      </c>
      <c r="BN79" s="6">
        <f>Grandview_Inventory[[#This Row],[Fin BSMT]]*Lookups!$B$16</f>
        <v>0</v>
      </c>
      <c r="BO79" s="6">
        <f>(Grandview_Inventory[[#This Row],[att_gar]]+Grandview_Inventory[[#This Row],[bltin_gar]])*Lookups!$B$17</f>
        <v>0</v>
      </c>
      <c r="BP79" s="6">
        <f>Grandview_Inventory[[#This Row],[Plumbing Fixtures]]*Lookups!$B$18</f>
        <v>16083.5344</v>
      </c>
      <c r="BQ79" s="6">
        <f>Grandview_Inventory[[#This Row],[detatched_value]]*Lookups!$B$19</f>
        <v>20069.280869999999</v>
      </c>
      <c r="BR79" s="6">
        <f>SUM(Grandview_Inventory[[#This Row],[Intercept]:[det_value]])*Grandview_Inventory[[#This Row],[res_pct]]</f>
        <v>299410.22131800005</v>
      </c>
      <c r="BS79" s="6">
        <f>Grandview_Inventory[[#This Row],[land_value]]</f>
        <v>45695.532079096141</v>
      </c>
      <c r="BT79" s="4">
        <f>_xlfn.IFNA(VLOOKUP(Grandview_Inventory[[#This Row],[quality]],Lookups!$A$26:$C$33,3,FALSE),1)</f>
        <v>0.98763855981004833</v>
      </c>
      <c r="BU79" s="4">
        <f>_xlfn.IFNA(VLOOKUP(Grandview_Inventory[[#This Row],[condition]],Lookups!$A$37:$C$44,3,FALSE),1)</f>
        <v>0.97383723671140243</v>
      </c>
      <c r="BV79" s="4">
        <f>IF(Grandview_Inventory[[#This Row],[bldg_style]]="",1,_xlfn.IFNA(VLOOKUP(Grandview_Inventory[[#This Row],[decade]],Lookups!$F$29:$H$43,3,FALSE),1))</f>
        <v>0.98397821291089549</v>
      </c>
      <c r="BW79" s="4">
        <f>_xlfn.IFNA(VLOOKUP(Grandview_Inventory[[#This Row],[living_area_range]],Lookups!$F$47:$H$56,3,FALSE),1)</f>
        <v>0.96135087979789358</v>
      </c>
      <c r="BX79" s="4">
        <f>AVERAGE(Grandview_Inventory[[#This Row],[qual_adj]:[size_adj]])</f>
        <v>0.97670122230755996</v>
      </c>
      <c r="BY79" s="6">
        <f>IF(Grandview_Inventory[[#This Row],[pre_res]]&lt;0,0,Grandview_Inventory[[#This Row],[pre_res]]*Grandview_Inventory[[#This Row],[overall_adj]])</f>
        <v>292434.32913266768</v>
      </c>
      <c r="BZ79" s="6">
        <f>(Grandview_Inventory[[#This Row],[sum_land]]-IF(Grandview_Inventory[[#This Row],[no_utilities]]=1,12000,0))/IF(Grandview_Inventory[[#This Row],[unbuildable]]=1,2,1)</f>
        <v>45695.532079096141</v>
      </c>
      <c r="CA7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9">
        <f>ROUND(Grandview_Inventory[[#This Row],[det_value]]*Lookups!$M$28,-2)</f>
        <v>19100</v>
      </c>
      <c r="CC79">
        <f>IF(ROUND(Grandview_Inventory[[#This Row],[adj_res]]*Lookups!$M$28,-2)&lt;Grandview_Inventory[[#This Row],[min_res]],Grandview_Inventory[[#This Row],[min_res]],ROUND(Grandview_Inventory[[#This Row],[adj_res]]*Lookups!$M$28,-2))</f>
        <v>277800</v>
      </c>
      <c r="CD79">
        <f>Grandview_Inventory[[#This Row],[final_det]]+Grandview_Inventory[[#This Row],[final_res]]</f>
        <v>296900</v>
      </c>
      <c r="CE79">
        <f>Grandview_Inventory[[#This Row],[final_land]]+Grandview_Inventory[[#This Row],[final_imp]]+Grandview_Inventory[[#This Row],[crop_value]]</f>
        <v>340300</v>
      </c>
      <c r="CG79" t="str">
        <f t="shared" si="1"/>
        <v>update valuation set market_land =43400, market_bldg=296900, market_total =340300, market_mdno =401, market_date ='9/10/2023' where link_id = (select link_id from parcel where parcel_year = '2024' and parcel_id = '23091432421');</v>
      </c>
    </row>
    <row r="80" spans="1:85" x14ac:dyDescent="0.25">
      <c r="A80">
        <v>23091432422</v>
      </c>
      <c r="B80">
        <v>0.16</v>
      </c>
      <c r="C80" t="s">
        <v>129</v>
      </c>
      <c r="D80" t="s">
        <v>129</v>
      </c>
      <c r="E80" t="s">
        <v>53</v>
      </c>
      <c r="F80" t="s">
        <v>53</v>
      </c>
      <c r="G80">
        <v>4</v>
      </c>
      <c r="H80" t="s">
        <v>54</v>
      </c>
      <c r="I80">
        <v>188900</v>
      </c>
      <c r="J80">
        <v>38600</v>
      </c>
      <c r="K80">
        <v>0.16</v>
      </c>
      <c r="L8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80">
        <v>0</v>
      </c>
      <c r="N80">
        <v>0</v>
      </c>
      <c r="O80">
        <v>0</v>
      </c>
      <c r="P80">
        <v>13398.7528</v>
      </c>
      <c r="Q80">
        <v>63903</v>
      </c>
      <c r="R80">
        <f>(Grandview_Inventory[[#This Row],[ln_acres]]*Grandview_Inventory[[#This Row],[coeff]])+Grandview_Inventory[[#This Row],[const]]</f>
        <v>39348.693981374228</v>
      </c>
      <c r="S80" t="s">
        <v>61</v>
      </c>
      <c r="T80">
        <v>1</v>
      </c>
      <c r="U80" t="s">
        <v>65</v>
      </c>
      <c r="V80" t="s">
        <v>67</v>
      </c>
      <c r="W80">
        <v>0</v>
      </c>
      <c r="X80">
        <v>0</v>
      </c>
      <c r="Y80">
        <v>23</v>
      </c>
      <c r="Z80">
        <v>23</v>
      </c>
      <c r="AA80">
        <v>30</v>
      </c>
      <c r="AB80">
        <v>1500</v>
      </c>
      <c r="AC80">
        <v>1230</v>
      </c>
      <c r="AD80">
        <v>1230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240</v>
      </c>
      <c r="AM80">
        <v>0</v>
      </c>
      <c r="AN80">
        <v>90</v>
      </c>
      <c r="AO80">
        <v>240</v>
      </c>
      <c r="AP80">
        <v>8</v>
      </c>
      <c r="AQ80">
        <v>0</v>
      </c>
      <c r="AR80">
        <v>0</v>
      </c>
      <c r="AS80" t="s">
        <v>58</v>
      </c>
      <c r="AT80">
        <v>1</v>
      </c>
      <c r="AU80" t="s">
        <v>59</v>
      </c>
      <c r="AV80" t="s">
        <v>60</v>
      </c>
      <c r="AW80">
        <v>1</v>
      </c>
      <c r="AX80">
        <v>3</v>
      </c>
      <c r="AY80">
        <v>0</v>
      </c>
      <c r="AZ80">
        <v>0</v>
      </c>
      <c r="BA80">
        <v>100</v>
      </c>
      <c r="BB80">
        <v>100</v>
      </c>
      <c r="BC80">
        <v>100</v>
      </c>
      <c r="BD80">
        <v>100</v>
      </c>
      <c r="BE80">
        <v>1</v>
      </c>
      <c r="BF80">
        <v>15000</v>
      </c>
      <c r="BG80">
        <v>1000</v>
      </c>
      <c r="BH80" s="6">
        <f>Grandview_Inventory[[#This Row],[land_extract]]*Lookups!$B$3</f>
        <v>45695.532079096141</v>
      </c>
      <c r="BI80" s="6">
        <f>IF(Grandview_Inventory[[#This Row],[bldg_style]]="",0,Lookups!$B$2)</f>
        <v>155833.95000000001</v>
      </c>
      <c r="BJ80" s="6">
        <f>_xlfn.IFNA(VLOOKUP(Grandview_Inventory[[#This Row],[quality]],Lookups!$H$2:$J$14,3,FALSE),0)</f>
        <v>2251</v>
      </c>
      <c r="BK80" s="6">
        <f>_xlfn.IFNA(VLOOKUP(Grandview_Inventory[[#This Row],[condition]],Lookups!$H$17:$J$24,3,FALSE),0)</f>
        <v>22342</v>
      </c>
      <c r="BL80" s="6">
        <f>Grandview_Inventory[[#This Row],[Eff_Age]]*Lookups!$B$14</f>
        <v>-5500.8317999999999</v>
      </c>
      <c r="BM80" s="6">
        <f>Grandview_Inventory[[#This Row],[living_area]]*Lookups!$B$15</f>
        <v>76728.449189999999</v>
      </c>
      <c r="BN80" s="6">
        <f>Grandview_Inventory[[#This Row],[Fin BSMT]]*Lookups!$B$16</f>
        <v>0</v>
      </c>
      <c r="BO80" s="6">
        <f>(Grandview_Inventory[[#This Row],[att_gar]]+Grandview_Inventory[[#This Row],[bltin_gar]])*Lookups!$B$17</f>
        <v>0</v>
      </c>
      <c r="BP80" s="6">
        <f>Grandview_Inventory[[#This Row],[Plumbing Fixtures]]*Lookups!$B$18</f>
        <v>16083.5344</v>
      </c>
      <c r="BQ80" s="6">
        <f>Grandview_Inventory[[#This Row],[detatched_value]]*Lookups!$B$19</f>
        <v>0</v>
      </c>
      <c r="BR80" s="6">
        <f>SUM(Grandview_Inventory[[#This Row],[Intercept]:[det_value]])*Grandview_Inventory[[#This Row],[res_pct]]</f>
        <v>267738.10179000004</v>
      </c>
      <c r="BS80" s="6">
        <f>Grandview_Inventory[[#This Row],[land_value]]</f>
        <v>45695.532079096141</v>
      </c>
      <c r="BT80" s="4">
        <f>_xlfn.IFNA(VLOOKUP(Grandview_Inventory[[#This Row],[quality]],Lookups!$A$26:$C$33,3,FALSE),1)</f>
        <v>0.98763855981004833</v>
      </c>
      <c r="BU80" s="4">
        <f>_xlfn.IFNA(VLOOKUP(Grandview_Inventory[[#This Row],[condition]],Lookups!$A$37:$C$44,3,FALSE),1)</f>
        <v>0.97383723671140243</v>
      </c>
      <c r="BV80" s="4">
        <f>IF(Grandview_Inventory[[#This Row],[bldg_style]]="",1,_xlfn.IFNA(VLOOKUP(Grandview_Inventory[[#This Row],[decade]],Lookups!$F$29:$H$43,3,FALSE),1))</f>
        <v>0.98397821291089549</v>
      </c>
      <c r="BW80" s="4">
        <f>_xlfn.IFNA(VLOOKUP(Grandview_Inventory[[#This Row],[living_area_range]],Lookups!$F$47:$H$56,3,FALSE),1)</f>
        <v>0.96135087979789358</v>
      </c>
      <c r="BX80" s="4">
        <f>AVERAGE(Grandview_Inventory[[#This Row],[qual_adj]:[size_adj]])</f>
        <v>0.97670122230755996</v>
      </c>
      <c r="BY80" s="6">
        <f>IF(Grandview_Inventory[[#This Row],[pre_res]]&lt;0,0,Grandview_Inventory[[#This Row],[pre_res]]*Grandview_Inventory[[#This Row],[overall_adj]])</f>
        <v>261500.13127659896</v>
      </c>
      <c r="BZ80" s="6">
        <f>(Grandview_Inventory[[#This Row],[sum_land]]-IF(Grandview_Inventory[[#This Row],[no_utilities]]=1,12000,0))/IF(Grandview_Inventory[[#This Row],[unbuildable]]=1,2,1)</f>
        <v>45695.532079096141</v>
      </c>
      <c r="CA8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80">
        <f>ROUND(Grandview_Inventory[[#This Row],[det_value]]*Lookups!$M$28,-2)</f>
        <v>0</v>
      </c>
      <c r="CC80">
        <f>IF(ROUND(Grandview_Inventory[[#This Row],[adj_res]]*Lookups!$M$28,-2)&lt;Grandview_Inventory[[#This Row],[min_res]],Grandview_Inventory[[#This Row],[min_res]],ROUND(Grandview_Inventory[[#This Row],[adj_res]]*Lookups!$M$28,-2))</f>
        <v>248400</v>
      </c>
      <c r="CD80">
        <f>Grandview_Inventory[[#This Row],[final_det]]+Grandview_Inventory[[#This Row],[final_res]]</f>
        <v>248400</v>
      </c>
      <c r="CE80">
        <f>Grandview_Inventory[[#This Row],[final_land]]+Grandview_Inventory[[#This Row],[final_imp]]+Grandview_Inventory[[#This Row],[crop_value]]</f>
        <v>291800</v>
      </c>
      <c r="CG80" t="str">
        <f t="shared" si="1"/>
        <v>update valuation set market_land =43400, market_bldg=248400, market_total =291800, market_mdno =401, market_date ='9/10/2023' where link_id = (select link_id from parcel where parcel_year = '2024' and parcel_id = '23091432422');</v>
      </c>
    </row>
    <row r="81" spans="1:85" x14ac:dyDescent="0.25">
      <c r="A81">
        <v>23091432423</v>
      </c>
      <c r="B81">
        <v>0.23</v>
      </c>
      <c r="C81" t="s">
        <v>129</v>
      </c>
      <c r="D81" t="s">
        <v>129</v>
      </c>
      <c r="E81" t="s">
        <v>53</v>
      </c>
      <c r="F81" t="s">
        <v>53</v>
      </c>
      <c r="G81">
        <v>4</v>
      </c>
      <c r="H81" t="s">
        <v>54</v>
      </c>
      <c r="I81">
        <v>223800</v>
      </c>
      <c r="J81">
        <v>39500</v>
      </c>
      <c r="K81">
        <v>0.23</v>
      </c>
      <c r="L8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81">
        <v>0</v>
      </c>
      <c r="N81">
        <v>0</v>
      </c>
      <c r="O81">
        <v>0</v>
      </c>
      <c r="P81">
        <v>13398.7528</v>
      </c>
      <c r="Q81">
        <v>63903</v>
      </c>
      <c r="R81">
        <f>(Grandview_Inventory[[#This Row],[ln_acres]]*Grandview_Inventory[[#This Row],[coeff]])+Grandview_Inventory[[#This Row],[const]]</f>
        <v>44211.174981080039</v>
      </c>
      <c r="S81" t="s">
        <v>61</v>
      </c>
      <c r="T81">
        <v>1</v>
      </c>
      <c r="U81" t="s">
        <v>65</v>
      </c>
      <c r="V81" t="s">
        <v>67</v>
      </c>
      <c r="W81">
        <v>0</v>
      </c>
      <c r="X81">
        <v>0</v>
      </c>
      <c r="Y81">
        <v>24</v>
      </c>
      <c r="Z81">
        <v>24</v>
      </c>
      <c r="AA81">
        <v>30</v>
      </c>
      <c r="AB81">
        <v>1500</v>
      </c>
      <c r="AC81">
        <v>1396</v>
      </c>
      <c r="AD81">
        <v>1396</v>
      </c>
      <c r="AE81">
        <v>0</v>
      </c>
      <c r="AF81">
        <v>0</v>
      </c>
      <c r="AG81">
        <v>0</v>
      </c>
      <c r="AH81">
        <v>0</v>
      </c>
      <c r="AI81">
        <v>400</v>
      </c>
      <c r="AJ81">
        <v>0</v>
      </c>
      <c r="AK81">
        <v>0</v>
      </c>
      <c r="AL81">
        <v>240</v>
      </c>
      <c r="AM81">
        <v>0</v>
      </c>
      <c r="AN81">
        <v>40</v>
      </c>
      <c r="AO81">
        <v>0</v>
      </c>
      <c r="AP81">
        <v>8</v>
      </c>
      <c r="AQ81">
        <v>0</v>
      </c>
      <c r="AR81">
        <v>0</v>
      </c>
      <c r="AS81" t="s">
        <v>58</v>
      </c>
      <c r="AT81">
        <v>1</v>
      </c>
      <c r="AU81" t="s">
        <v>59</v>
      </c>
      <c r="AV81" t="s">
        <v>60</v>
      </c>
      <c r="AW81">
        <v>1</v>
      </c>
      <c r="AX81">
        <v>3</v>
      </c>
      <c r="AY81">
        <v>0</v>
      </c>
      <c r="AZ81">
        <v>0</v>
      </c>
      <c r="BA81">
        <v>100</v>
      </c>
      <c r="BB81">
        <v>100</v>
      </c>
      <c r="BC81">
        <v>100</v>
      </c>
      <c r="BD81">
        <v>100</v>
      </c>
      <c r="BE81">
        <v>1</v>
      </c>
      <c r="BF81">
        <v>15000</v>
      </c>
      <c r="BG81">
        <v>1000</v>
      </c>
      <c r="BH81" s="6">
        <f>Grandview_Inventory[[#This Row],[land_extract]]*Lookups!$B$3</f>
        <v>51342.318135355803</v>
      </c>
      <c r="BI81" s="6">
        <f>IF(Grandview_Inventory[[#This Row],[bldg_style]]="",0,Lookups!$B$2)</f>
        <v>155833.95000000001</v>
      </c>
      <c r="BJ81" s="6">
        <f>_xlfn.IFNA(VLOOKUP(Grandview_Inventory[[#This Row],[quality]],Lookups!$H$2:$J$14,3,FALSE),0)</f>
        <v>2251</v>
      </c>
      <c r="BK81" s="6">
        <f>_xlfn.IFNA(VLOOKUP(Grandview_Inventory[[#This Row],[condition]],Lookups!$H$17:$J$24,3,FALSE),0)</f>
        <v>22342</v>
      </c>
      <c r="BL81" s="6">
        <f>Grandview_Inventory[[#This Row],[Eff_Age]]*Lookups!$B$14</f>
        <v>-5739.9983999999995</v>
      </c>
      <c r="BM81" s="6">
        <f>Grandview_Inventory[[#This Row],[living_area]]*Lookups!$B$15</f>
        <v>87083.670788000003</v>
      </c>
      <c r="BN81" s="6">
        <f>Grandview_Inventory[[#This Row],[Fin BSMT]]*Lookups!$B$16</f>
        <v>0</v>
      </c>
      <c r="BO81" s="6">
        <f>(Grandview_Inventory[[#This Row],[att_gar]]+Grandview_Inventory[[#This Row],[bltin_gar]])*Lookups!$B$17</f>
        <v>35008.174800000001</v>
      </c>
      <c r="BP81" s="6">
        <f>Grandview_Inventory[[#This Row],[Plumbing Fixtures]]*Lookups!$B$18</f>
        <v>16083.5344</v>
      </c>
      <c r="BQ81" s="6">
        <f>Grandview_Inventory[[#This Row],[detatched_value]]*Lookups!$B$19</f>
        <v>0</v>
      </c>
      <c r="BR81" s="6">
        <f>SUM(Grandview_Inventory[[#This Row],[Intercept]:[det_value]])*Grandview_Inventory[[#This Row],[res_pct]]</f>
        <v>312862.331588</v>
      </c>
      <c r="BS81" s="6">
        <f>Grandview_Inventory[[#This Row],[land_value]]</f>
        <v>51342.318135355803</v>
      </c>
      <c r="BT81" s="4">
        <f>_xlfn.IFNA(VLOOKUP(Grandview_Inventory[[#This Row],[quality]],Lookups!$A$26:$C$33,3,FALSE),1)</f>
        <v>0.98763855981004833</v>
      </c>
      <c r="BU81" s="4">
        <f>_xlfn.IFNA(VLOOKUP(Grandview_Inventory[[#This Row],[condition]],Lookups!$A$37:$C$44,3,FALSE),1)</f>
        <v>0.97383723671140243</v>
      </c>
      <c r="BV81" s="4">
        <f>IF(Grandview_Inventory[[#This Row],[bldg_style]]="",1,_xlfn.IFNA(VLOOKUP(Grandview_Inventory[[#This Row],[decade]],Lookups!$F$29:$H$43,3,FALSE),1))</f>
        <v>0.98397821291089549</v>
      </c>
      <c r="BW81" s="4">
        <f>_xlfn.IFNA(VLOOKUP(Grandview_Inventory[[#This Row],[living_area_range]],Lookups!$F$47:$H$56,3,FALSE),1)</f>
        <v>0.96135087979789358</v>
      </c>
      <c r="BX81" s="4">
        <f>AVERAGE(Grandview_Inventory[[#This Row],[qual_adj]:[size_adj]])</f>
        <v>0.97670122230755996</v>
      </c>
      <c r="BY81" s="6">
        <f>IF(Grandview_Inventory[[#This Row],[pre_res]]&lt;0,0,Grandview_Inventory[[#This Row],[pre_res]]*Grandview_Inventory[[#This Row],[overall_adj]])</f>
        <v>305573.0216759927</v>
      </c>
      <c r="BZ81" s="6">
        <f>(Grandview_Inventory[[#This Row],[sum_land]]-IF(Grandview_Inventory[[#This Row],[no_utilities]]=1,12000,0))/IF(Grandview_Inventory[[#This Row],[unbuildable]]=1,2,1)</f>
        <v>51342.318135355803</v>
      </c>
      <c r="CA8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81">
        <f>ROUND(Grandview_Inventory[[#This Row],[det_value]]*Lookups!$M$28,-2)</f>
        <v>0</v>
      </c>
      <c r="CC81">
        <f>IF(ROUND(Grandview_Inventory[[#This Row],[adj_res]]*Lookups!$M$28,-2)&lt;Grandview_Inventory[[#This Row],[min_res]],Grandview_Inventory[[#This Row],[min_res]],ROUND(Grandview_Inventory[[#This Row],[adj_res]]*Lookups!$M$28,-2))</f>
        <v>290300</v>
      </c>
      <c r="CD81">
        <f>Grandview_Inventory[[#This Row],[final_det]]+Grandview_Inventory[[#This Row],[final_res]]</f>
        <v>290300</v>
      </c>
      <c r="CE81">
        <f>Grandview_Inventory[[#This Row],[final_land]]+Grandview_Inventory[[#This Row],[final_imp]]+Grandview_Inventory[[#This Row],[crop_value]]</f>
        <v>339100</v>
      </c>
      <c r="CG81" t="str">
        <f t="shared" si="1"/>
        <v>update valuation set market_land =48800, market_bldg=290300, market_total =339100, market_mdno =401, market_date ='9/10/2023' where link_id = (select link_id from parcel where parcel_year = '2024' and parcel_id = '23091432423');</v>
      </c>
    </row>
    <row r="82" spans="1:85" x14ac:dyDescent="0.25">
      <c r="A82">
        <v>23091432424</v>
      </c>
      <c r="B82">
        <v>0.18</v>
      </c>
      <c r="C82" t="s">
        <v>129</v>
      </c>
      <c r="D82" t="s">
        <v>129</v>
      </c>
      <c r="E82" t="s">
        <v>53</v>
      </c>
      <c r="F82" t="s">
        <v>53</v>
      </c>
      <c r="G82">
        <v>4</v>
      </c>
      <c r="H82" t="s">
        <v>54</v>
      </c>
      <c r="I82">
        <v>218700</v>
      </c>
      <c r="J82">
        <v>39000</v>
      </c>
      <c r="K82">
        <v>0.18</v>
      </c>
      <c r="L8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2">
        <v>0</v>
      </c>
      <c r="N82">
        <v>0</v>
      </c>
      <c r="O82">
        <v>0</v>
      </c>
      <c r="P82">
        <v>13398.7528</v>
      </c>
      <c r="Q82">
        <v>63903</v>
      </c>
      <c r="R82">
        <f>(Grandview_Inventory[[#This Row],[ln_acres]]*Grandview_Inventory[[#This Row],[coeff]])+Grandview_Inventory[[#This Row],[const]]</f>
        <v>40926.839760167699</v>
      </c>
      <c r="S82" t="s">
        <v>61</v>
      </c>
      <c r="T82">
        <v>1</v>
      </c>
      <c r="U82" t="s">
        <v>65</v>
      </c>
      <c r="V82" t="s">
        <v>67</v>
      </c>
      <c r="W82">
        <v>0</v>
      </c>
      <c r="X82">
        <v>0</v>
      </c>
      <c r="Y82">
        <v>23</v>
      </c>
      <c r="Z82">
        <v>23</v>
      </c>
      <c r="AA82">
        <v>30</v>
      </c>
      <c r="AB82">
        <v>1500</v>
      </c>
      <c r="AC82">
        <v>1444</v>
      </c>
      <c r="AD82">
        <v>1444</v>
      </c>
      <c r="AE82">
        <v>0</v>
      </c>
      <c r="AF82">
        <v>0</v>
      </c>
      <c r="AG82">
        <v>0</v>
      </c>
      <c r="AH82">
        <v>0</v>
      </c>
      <c r="AI82">
        <v>280</v>
      </c>
      <c r="AJ82">
        <v>0</v>
      </c>
      <c r="AK82">
        <v>0</v>
      </c>
      <c r="AL82">
        <v>280</v>
      </c>
      <c r="AM82">
        <v>0</v>
      </c>
      <c r="AN82">
        <v>56</v>
      </c>
      <c r="AO82">
        <v>0</v>
      </c>
      <c r="AP82">
        <v>8</v>
      </c>
      <c r="AQ82">
        <v>0</v>
      </c>
      <c r="AR82">
        <v>0</v>
      </c>
      <c r="AS82" t="s">
        <v>58</v>
      </c>
      <c r="AT82">
        <v>1</v>
      </c>
      <c r="AU82" t="s">
        <v>59</v>
      </c>
      <c r="AV82" t="s">
        <v>60</v>
      </c>
      <c r="AW82">
        <v>1</v>
      </c>
      <c r="AX82">
        <v>3</v>
      </c>
      <c r="AY82">
        <v>0</v>
      </c>
      <c r="AZ82">
        <v>0</v>
      </c>
      <c r="BA82">
        <v>100</v>
      </c>
      <c r="BB82">
        <v>100</v>
      </c>
      <c r="BC82">
        <v>100</v>
      </c>
      <c r="BD82">
        <v>100</v>
      </c>
      <c r="BE82">
        <v>1</v>
      </c>
      <c r="BF82">
        <v>15000</v>
      </c>
      <c r="BG82">
        <v>1000</v>
      </c>
      <c r="BH82" s="6">
        <f>Grandview_Inventory[[#This Row],[land_extract]]*Lookups!$B$3</f>
        <v>47528.228511015397</v>
      </c>
      <c r="BI82" s="6">
        <f>IF(Grandview_Inventory[[#This Row],[bldg_style]]="",0,Lookups!$B$2)</f>
        <v>155833.95000000001</v>
      </c>
      <c r="BJ82" s="6">
        <f>_xlfn.IFNA(VLOOKUP(Grandview_Inventory[[#This Row],[quality]],Lookups!$H$2:$J$14,3,FALSE),0)</f>
        <v>2251</v>
      </c>
      <c r="BK82" s="6">
        <f>_xlfn.IFNA(VLOOKUP(Grandview_Inventory[[#This Row],[condition]],Lookups!$H$17:$J$24,3,FALSE),0)</f>
        <v>22342</v>
      </c>
      <c r="BL82" s="6">
        <f>Grandview_Inventory[[#This Row],[Eff_Age]]*Lookups!$B$14</f>
        <v>-5500.8317999999999</v>
      </c>
      <c r="BM82" s="6">
        <f>Grandview_Inventory[[#This Row],[living_area]]*Lookups!$B$15</f>
        <v>90077.951732000001</v>
      </c>
      <c r="BN82" s="6">
        <f>Grandview_Inventory[[#This Row],[Fin BSMT]]*Lookups!$B$16</f>
        <v>0</v>
      </c>
      <c r="BO82" s="6">
        <f>(Grandview_Inventory[[#This Row],[att_gar]]+Grandview_Inventory[[#This Row],[bltin_gar]])*Lookups!$B$17</f>
        <v>24505.72236</v>
      </c>
      <c r="BP82" s="6">
        <f>Grandview_Inventory[[#This Row],[Plumbing Fixtures]]*Lookups!$B$18</f>
        <v>16083.5344</v>
      </c>
      <c r="BQ82" s="6">
        <f>Grandview_Inventory[[#This Row],[detatched_value]]*Lookups!$B$19</f>
        <v>0</v>
      </c>
      <c r="BR82" s="6">
        <f>SUM(Grandview_Inventory[[#This Row],[Intercept]:[det_value]])*Grandview_Inventory[[#This Row],[res_pct]]</f>
        <v>305593.32669200003</v>
      </c>
      <c r="BS82" s="6">
        <f>Grandview_Inventory[[#This Row],[land_value]]</f>
        <v>47528.228511015397</v>
      </c>
      <c r="BT82" s="4">
        <f>_xlfn.IFNA(VLOOKUP(Grandview_Inventory[[#This Row],[quality]],Lookups!$A$26:$C$33,3,FALSE),1)</f>
        <v>0.98763855981004833</v>
      </c>
      <c r="BU82" s="4">
        <f>_xlfn.IFNA(VLOOKUP(Grandview_Inventory[[#This Row],[condition]],Lookups!$A$37:$C$44,3,FALSE),1)</f>
        <v>0.97383723671140243</v>
      </c>
      <c r="BV82" s="4">
        <f>IF(Grandview_Inventory[[#This Row],[bldg_style]]="",1,_xlfn.IFNA(VLOOKUP(Grandview_Inventory[[#This Row],[decade]],Lookups!$F$29:$H$43,3,FALSE),1))</f>
        <v>0.98397821291089549</v>
      </c>
      <c r="BW82" s="4">
        <f>_xlfn.IFNA(VLOOKUP(Grandview_Inventory[[#This Row],[living_area_range]],Lookups!$F$47:$H$56,3,FALSE),1)</f>
        <v>0.96135087979789358</v>
      </c>
      <c r="BX82" s="4">
        <f>AVERAGE(Grandview_Inventory[[#This Row],[qual_adj]:[size_adj]])</f>
        <v>0.97670122230755996</v>
      </c>
      <c r="BY82" s="6">
        <f>IF(Grandview_Inventory[[#This Row],[pre_res]]&lt;0,0,Grandview_Inventory[[#This Row],[pre_res]]*Grandview_Inventory[[#This Row],[overall_adj]])</f>
        <v>298473.37570910994</v>
      </c>
      <c r="BZ82" s="6">
        <f>(Grandview_Inventory[[#This Row],[sum_land]]-IF(Grandview_Inventory[[#This Row],[no_utilities]]=1,12000,0))/IF(Grandview_Inventory[[#This Row],[unbuildable]]=1,2,1)</f>
        <v>47528.228511015397</v>
      </c>
      <c r="CA8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2">
        <f>ROUND(Grandview_Inventory[[#This Row],[det_value]]*Lookups!$M$28,-2)</f>
        <v>0</v>
      </c>
      <c r="CC82">
        <f>IF(ROUND(Grandview_Inventory[[#This Row],[adj_res]]*Lookups!$M$28,-2)&lt;Grandview_Inventory[[#This Row],[min_res]],Grandview_Inventory[[#This Row],[min_res]],ROUND(Grandview_Inventory[[#This Row],[adj_res]]*Lookups!$M$28,-2))</f>
        <v>283500</v>
      </c>
      <c r="CD82">
        <f>Grandview_Inventory[[#This Row],[final_det]]+Grandview_Inventory[[#This Row],[final_res]]</f>
        <v>283500</v>
      </c>
      <c r="CE82">
        <f>Grandview_Inventory[[#This Row],[final_land]]+Grandview_Inventory[[#This Row],[final_imp]]+Grandview_Inventory[[#This Row],[crop_value]]</f>
        <v>328700</v>
      </c>
      <c r="CG82" t="str">
        <f t="shared" si="1"/>
        <v>update valuation set market_land =45200, market_bldg=283500, market_total =328700, market_mdno =401, market_date ='9/10/2023' where link_id = (select link_id from parcel where parcel_year = '2024' and parcel_id = '23091432424');</v>
      </c>
    </row>
    <row r="83" spans="1:85" x14ac:dyDescent="0.25">
      <c r="A83">
        <v>23091432425</v>
      </c>
      <c r="B83">
        <v>0.18</v>
      </c>
      <c r="C83" t="s">
        <v>129</v>
      </c>
      <c r="D83" t="s">
        <v>129</v>
      </c>
      <c r="E83" t="s">
        <v>53</v>
      </c>
      <c r="F83" t="s">
        <v>53</v>
      </c>
      <c r="G83">
        <v>4</v>
      </c>
      <c r="H83" t="s">
        <v>54</v>
      </c>
      <c r="I83">
        <v>275600</v>
      </c>
      <c r="J83">
        <v>39000</v>
      </c>
      <c r="K83">
        <v>0.18</v>
      </c>
      <c r="L8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3">
        <v>0</v>
      </c>
      <c r="N83">
        <v>0</v>
      </c>
      <c r="O83">
        <v>0</v>
      </c>
      <c r="P83">
        <v>13398.7528</v>
      </c>
      <c r="Q83">
        <v>63903</v>
      </c>
      <c r="R83">
        <f>(Grandview_Inventory[[#This Row],[ln_acres]]*Grandview_Inventory[[#This Row],[coeff]])+Grandview_Inventory[[#This Row],[const]]</f>
        <v>40926.839760167699</v>
      </c>
      <c r="S83" t="s">
        <v>55</v>
      </c>
      <c r="T83">
        <v>2</v>
      </c>
      <c r="U83" t="s">
        <v>65</v>
      </c>
      <c r="V83" t="s">
        <v>67</v>
      </c>
      <c r="W83">
        <v>0</v>
      </c>
      <c r="X83">
        <v>0</v>
      </c>
      <c r="Y83">
        <v>23</v>
      </c>
      <c r="Z83">
        <v>23</v>
      </c>
      <c r="AA83">
        <v>30</v>
      </c>
      <c r="AB83">
        <v>2000</v>
      </c>
      <c r="AC83">
        <v>1867</v>
      </c>
      <c r="AD83">
        <v>1057</v>
      </c>
      <c r="AE83">
        <v>810</v>
      </c>
      <c r="AF83">
        <v>0</v>
      </c>
      <c r="AG83">
        <v>0</v>
      </c>
      <c r="AH83">
        <v>0</v>
      </c>
      <c r="AI83">
        <v>0</v>
      </c>
      <c r="AJ83">
        <v>702</v>
      </c>
      <c r="AK83">
        <v>0</v>
      </c>
      <c r="AL83">
        <v>60</v>
      </c>
      <c r="AM83">
        <v>0</v>
      </c>
      <c r="AN83">
        <v>94</v>
      </c>
      <c r="AO83">
        <v>0</v>
      </c>
      <c r="AP83">
        <v>10</v>
      </c>
      <c r="AQ83">
        <v>0</v>
      </c>
      <c r="AR83">
        <v>0</v>
      </c>
      <c r="AS83" t="s">
        <v>58</v>
      </c>
      <c r="AT83">
        <v>1</v>
      </c>
      <c r="AU83" t="s">
        <v>59</v>
      </c>
      <c r="AV83" t="s">
        <v>60</v>
      </c>
      <c r="AW83">
        <v>1</v>
      </c>
      <c r="AX83">
        <v>3</v>
      </c>
      <c r="AY83">
        <v>0</v>
      </c>
      <c r="AZ83">
        <v>0</v>
      </c>
      <c r="BA83">
        <v>100</v>
      </c>
      <c r="BB83">
        <v>100</v>
      </c>
      <c r="BC83">
        <v>100</v>
      </c>
      <c r="BD83">
        <v>100</v>
      </c>
      <c r="BE83">
        <v>1</v>
      </c>
      <c r="BF83">
        <v>15000</v>
      </c>
      <c r="BG83">
        <v>1000</v>
      </c>
      <c r="BH83" s="6">
        <f>Grandview_Inventory[[#This Row],[land_extract]]*Lookups!$B$3</f>
        <v>47528.228511015397</v>
      </c>
      <c r="BI83" s="6">
        <f>IF(Grandview_Inventory[[#This Row],[bldg_style]]="",0,Lookups!$B$2)</f>
        <v>155833.95000000001</v>
      </c>
      <c r="BJ83" s="6">
        <f>_xlfn.IFNA(VLOOKUP(Grandview_Inventory[[#This Row],[quality]],Lookups!$H$2:$J$14,3,FALSE),0)</f>
        <v>2251</v>
      </c>
      <c r="BK83" s="6">
        <f>_xlfn.IFNA(VLOOKUP(Grandview_Inventory[[#This Row],[condition]],Lookups!$H$17:$J$24,3,FALSE),0)</f>
        <v>22342</v>
      </c>
      <c r="BL83" s="6">
        <f>Grandview_Inventory[[#This Row],[Eff_Age]]*Lookups!$B$14</f>
        <v>-5500.8317999999999</v>
      </c>
      <c r="BM83" s="6">
        <f>Grandview_Inventory[[#This Row],[living_area]]*Lookups!$B$15</f>
        <v>116465.052551</v>
      </c>
      <c r="BN83" s="6">
        <f>Grandview_Inventory[[#This Row],[Fin BSMT]]*Lookups!$B$16</f>
        <v>0</v>
      </c>
      <c r="BO83" s="6">
        <f>(Grandview_Inventory[[#This Row],[att_gar]]+Grandview_Inventory[[#This Row],[bltin_gar]])*Lookups!$B$17</f>
        <v>61439.346773999998</v>
      </c>
      <c r="BP83" s="6">
        <f>Grandview_Inventory[[#This Row],[Plumbing Fixtures]]*Lookups!$B$18</f>
        <v>20104.418000000001</v>
      </c>
      <c r="BQ83" s="6">
        <f>Grandview_Inventory[[#This Row],[detatched_value]]*Lookups!$B$19</f>
        <v>0</v>
      </c>
      <c r="BR83" s="6">
        <f>SUM(Grandview_Inventory[[#This Row],[Intercept]:[det_value]])*Grandview_Inventory[[#This Row],[res_pct]]</f>
        <v>372934.93552500004</v>
      </c>
      <c r="BS83" s="6">
        <f>Grandview_Inventory[[#This Row],[land_value]]</f>
        <v>47528.228511015397</v>
      </c>
      <c r="BT83" s="4">
        <f>_xlfn.IFNA(VLOOKUP(Grandview_Inventory[[#This Row],[quality]],Lookups!$A$26:$C$33,3,FALSE),1)</f>
        <v>0.98763855981004833</v>
      </c>
      <c r="BU83" s="4">
        <f>_xlfn.IFNA(VLOOKUP(Grandview_Inventory[[#This Row],[condition]],Lookups!$A$37:$C$44,3,FALSE),1)</f>
        <v>0.97383723671140243</v>
      </c>
      <c r="BV83" s="4">
        <f>IF(Grandview_Inventory[[#This Row],[bldg_style]]="",1,_xlfn.IFNA(VLOOKUP(Grandview_Inventory[[#This Row],[decade]],Lookups!$F$29:$H$43,3,FALSE),1))</f>
        <v>0.98397821291089549</v>
      </c>
      <c r="BW83" s="4">
        <f>_xlfn.IFNA(VLOOKUP(Grandview_Inventory[[#This Row],[living_area_range]],Lookups!$F$47:$H$56,3,FALSE),1)</f>
        <v>0.96120133463014379</v>
      </c>
      <c r="BX83" s="4">
        <f>AVERAGE(Grandview_Inventory[[#This Row],[qual_adj]:[size_adj]])</f>
        <v>0.97666383601562257</v>
      </c>
      <c r="BY83" s="6">
        <f>IF(Grandview_Inventory[[#This Row],[pre_res]]&lt;0,0,Grandview_Inventory[[#This Row],[pre_res]]*Grandview_Inventory[[#This Row],[overall_adj]])</f>
        <v>364232.06471408543</v>
      </c>
      <c r="BZ83" s="6">
        <f>(Grandview_Inventory[[#This Row],[sum_land]]-IF(Grandview_Inventory[[#This Row],[no_utilities]]=1,12000,0))/IF(Grandview_Inventory[[#This Row],[unbuildable]]=1,2,1)</f>
        <v>47528.228511015397</v>
      </c>
      <c r="CA8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3">
        <f>ROUND(Grandview_Inventory[[#This Row],[det_value]]*Lookups!$M$28,-2)</f>
        <v>0</v>
      </c>
      <c r="CC83">
        <f>IF(ROUND(Grandview_Inventory[[#This Row],[adj_res]]*Lookups!$M$28,-2)&lt;Grandview_Inventory[[#This Row],[min_res]],Grandview_Inventory[[#This Row],[min_res]],ROUND(Grandview_Inventory[[#This Row],[adj_res]]*Lookups!$M$28,-2))</f>
        <v>346000</v>
      </c>
      <c r="CD83">
        <f>Grandview_Inventory[[#This Row],[final_det]]+Grandview_Inventory[[#This Row],[final_res]]</f>
        <v>346000</v>
      </c>
      <c r="CE83">
        <f>Grandview_Inventory[[#This Row],[final_land]]+Grandview_Inventory[[#This Row],[final_imp]]+Grandview_Inventory[[#This Row],[crop_value]]</f>
        <v>391200</v>
      </c>
      <c r="CG83" t="str">
        <f t="shared" si="1"/>
        <v>update valuation set market_land =45200, market_bldg=346000, market_total =391200, market_mdno =401, market_date ='9/10/2023' where link_id = (select link_id from parcel where parcel_year = '2024' and parcel_id = '23091432425');</v>
      </c>
    </row>
    <row r="84" spans="1:85" x14ac:dyDescent="0.25">
      <c r="A84">
        <v>23091432426</v>
      </c>
      <c r="B84">
        <v>0.19</v>
      </c>
      <c r="C84" t="s">
        <v>129</v>
      </c>
      <c r="D84" t="s">
        <v>129</v>
      </c>
      <c r="E84" t="s">
        <v>53</v>
      </c>
      <c r="F84" t="s">
        <v>53</v>
      </c>
      <c r="G84">
        <v>4</v>
      </c>
      <c r="H84" t="s">
        <v>54</v>
      </c>
      <c r="I84">
        <v>216100</v>
      </c>
      <c r="J84">
        <v>39100</v>
      </c>
      <c r="K84">
        <v>0.19</v>
      </c>
      <c r="L8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84">
        <v>0</v>
      </c>
      <c r="N84">
        <v>0</v>
      </c>
      <c r="O84">
        <v>0</v>
      </c>
      <c r="P84">
        <v>13398.7528</v>
      </c>
      <c r="Q84">
        <v>63903</v>
      </c>
      <c r="R84">
        <f>(Grandview_Inventory[[#This Row],[ln_acres]]*Grandview_Inventory[[#This Row],[coeff]])+Grandview_Inventory[[#This Row],[const]]</f>
        <v>41651.273092551026</v>
      </c>
      <c r="S84" t="s">
        <v>61</v>
      </c>
      <c r="T84">
        <v>1</v>
      </c>
      <c r="U84" t="s">
        <v>65</v>
      </c>
      <c r="V84" t="s">
        <v>67</v>
      </c>
      <c r="W84">
        <v>0</v>
      </c>
      <c r="X84">
        <v>0</v>
      </c>
      <c r="Y84">
        <v>23</v>
      </c>
      <c r="Z84">
        <v>23</v>
      </c>
      <c r="AA84">
        <v>30</v>
      </c>
      <c r="AB84">
        <v>1500</v>
      </c>
      <c r="AC84">
        <v>1248</v>
      </c>
      <c r="AD84">
        <v>1248</v>
      </c>
      <c r="AE84">
        <v>0</v>
      </c>
      <c r="AF84">
        <v>0</v>
      </c>
      <c r="AG84">
        <v>0</v>
      </c>
      <c r="AH84">
        <v>0</v>
      </c>
      <c r="AI84">
        <v>400</v>
      </c>
      <c r="AJ84">
        <v>0</v>
      </c>
      <c r="AK84">
        <v>0</v>
      </c>
      <c r="AL84">
        <v>240</v>
      </c>
      <c r="AM84">
        <v>0</v>
      </c>
      <c r="AN84">
        <v>56</v>
      </c>
      <c r="AO84">
        <v>0</v>
      </c>
      <c r="AP84">
        <v>8</v>
      </c>
      <c r="AQ84">
        <v>0</v>
      </c>
      <c r="AR84">
        <v>0</v>
      </c>
      <c r="AS84" t="s">
        <v>58</v>
      </c>
      <c r="AT84">
        <v>1</v>
      </c>
      <c r="AU84" t="s">
        <v>59</v>
      </c>
      <c r="AV84" t="s">
        <v>60</v>
      </c>
      <c r="AW84">
        <v>1</v>
      </c>
      <c r="AX84">
        <v>3</v>
      </c>
      <c r="AY84">
        <v>0</v>
      </c>
      <c r="AZ84">
        <v>0</v>
      </c>
      <c r="BA84">
        <v>100</v>
      </c>
      <c r="BB84">
        <v>100</v>
      </c>
      <c r="BC84">
        <v>100</v>
      </c>
      <c r="BD84">
        <v>100</v>
      </c>
      <c r="BE84">
        <v>1</v>
      </c>
      <c r="BF84">
        <v>15000</v>
      </c>
      <c r="BG84">
        <v>1000</v>
      </c>
      <c r="BH84" s="6">
        <f>Grandview_Inventory[[#This Row],[land_extract]]*Lookups!$B$3</f>
        <v>48369.510983942157</v>
      </c>
      <c r="BI84" s="6">
        <f>IF(Grandview_Inventory[[#This Row],[bldg_style]]="",0,Lookups!$B$2)</f>
        <v>155833.95000000001</v>
      </c>
      <c r="BJ84" s="6">
        <f>_xlfn.IFNA(VLOOKUP(Grandview_Inventory[[#This Row],[quality]],Lookups!$H$2:$J$14,3,FALSE),0)</f>
        <v>2251</v>
      </c>
      <c r="BK84" s="6">
        <f>_xlfn.IFNA(VLOOKUP(Grandview_Inventory[[#This Row],[condition]],Lookups!$H$17:$J$24,3,FALSE),0)</f>
        <v>22342</v>
      </c>
      <c r="BL84" s="6">
        <f>Grandview_Inventory[[#This Row],[Eff_Age]]*Lookups!$B$14</f>
        <v>-5500.8317999999999</v>
      </c>
      <c r="BM84" s="6">
        <f>Grandview_Inventory[[#This Row],[living_area]]*Lookups!$B$15</f>
        <v>77851.304543999999</v>
      </c>
      <c r="BN84" s="6">
        <f>Grandview_Inventory[[#This Row],[Fin BSMT]]*Lookups!$B$16</f>
        <v>0</v>
      </c>
      <c r="BO84" s="6">
        <f>(Grandview_Inventory[[#This Row],[att_gar]]+Grandview_Inventory[[#This Row],[bltin_gar]])*Lookups!$B$17</f>
        <v>35008.174800000001</v>
      </c>
      <c r="BP84" s="6">
        <f>Grandview_Inventory[[#This Row],[Plumbing Fixtures]]*Lookups!$B$18</f>
        <v>16083.5344</v>
      </c>
      <c r="BQ84" s="6">
        <f>Grandview_Inventory[[#This Row],[detatched_value]]*Lookups!$B$19</f>
        <v>0</v>
      </c>
      <c r="BR84" s="6">
        <f>SUM(Grandview_Inventory[[#This Row],[Intercept]:[det_value]])*Grandview_Inventory[[#This Row],[res_pct]]</f>
        <v>303869.13194400002</v>
      </c>
      <c r="BS84" s="6">
        <f>Grandview_Inventory[[#This Row],[land_value]]</f>
        <v>48369.510983942157</v>
      </c>
      <c r="BT84" s="4">
        <f>_xlfn.IFNA(VLOOKUP(Grandview_Inventory[[#This Row],[quality]],Lookups!$A$26:$C$33,3,FALSE),1)</f>
        <v>0.98763855981004833</v>
      </c>
      <c r="BU84" s="4">
        <f>_xlfn.IFNA(VLOOKUP(Grandview_Inventory[[#This Row],[condition]],Lookups!$A$37:$C$44,3,FALSE),1)</f>
        <v>0.97383723671140243</v>
      </c>
      <c r="BV84" s="4">
        <f>IF(Grandview_Inventory[[#This Row],[bldg_style]]="",1,_xlfn.IFNA(VLOOKUP(Grandview_Inventory[[#This Row],[decade]],Lookups!$F$29:$H$43,3,FALSE),1))</f>
        <v>0.98397821291089549</v>
      </c>
      <c r="BW84" s="4">
        <f>_xlfn.IFNA(VLOOKUP(Grandview_Inventory[[#This Row],[living_area_range]],Lookups!$F$47:$H$56,3,FALSE),1)</f>
        <v>0.96135087979789358</v>
      </c>
      <c r="BX84" s="4">
        <f>AVERAGE(Grandview_Inventory[[#This Row],[qual_adj]:[size_adj]])</f>
        <v>0.97670122230755996</v>
      </c>
      <c r="BY84" s="6">
        <f>IF(Grandview_Inventory[[#This Row],[pre_res]]&lt;0,0,Grandview_Inventory[[#This Row],[pre_res]]*Grandview_Inventory[[#This Row],[overall_adj]])</f>
        <v>296789.35259124206</v>
      </c>
      <c r="BZ84" s="6">
        <f>(Grandview_Inventory[[#This Row],[sum_land]]-IF(Grandview_Inventory[[#This Row],[no_utilities]]=1,12000,0))/IF(Grandview_Inventory[[#This Row],[unbuildable]]=1,2,1)</f>
        <v>48369.510983942157</v>
      </c>
      <c r="CA8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84">
        <f>ROUND(Grandview_Inventory[[#This Row],[det_value]]*Lookups!$M$28,-2)</f>
        <v>0</v>
      </c>
      <c r="CC84">
        <f>IF(ROUND(Grandview_Inventory[[#This Row],[adj_res]]*Lookups!$M$28,-2)&lt;Grandview_Inventory[[#This Row],[min_res]],Grandview_Inventory[[#This Row],[min_res]],ROUND(Grandview_Inventory[[#This Row],[adj_res]]*Lookups!$M$28,-2))</f>
        <v>281900</v>
      </c>
      <c r="CD84">
        <f>Grandview_Inventory[[#This Row],[final_det]]+Grandview_Inventory[[#This Row],[final_res]]</f>
        <v>281900</v>
      </c>
      <c r="CE84">
        <f>Grandview_Inventory[[#This Row],[final_land]]+Grandview_Inventory[[#This Row],[final_imp]]+Grandview_Inventory[[#This Row],[crop_value]]</f>
        <v>327900</v>
      </c>
      <c r="CG84" t="str">
        <f t="shared" si="1"/>
        <v>update valuation set market_land =46000, market_bldg=281900, market_total =327900, market_mdno =401, market_date ='9/10/2023' where link_id = (select link_id from parcel where parcel_year = '2024' and parcel_id = '23091432426');</v>
      </c>
    </row>
    <row r="85" spans="1:85" x14ac:dyDescent="0.25">
      <c r="A85">
        <v>23091432427</v>
      </c>
      <c r="B85">
        <v>0.16</v>
      </c>
      <c r="C85" t="s">
        <v>129</v>
      </c>
      <c r="D85" t="s">
        <v>129</v>
      </c>
      <c r="E85" t="s">
        <v>53</v>
      </c>
      <c r="F85" t="s">
        <v>53</v>
      </c>
      <c r="G85">
        <v>4</v>
      </c>
      <c r="H85" t="s">
        <v>54</v>
      </c>
      <c r="I85">
        <v>149300</v>
      </c>
      <c r="J85">
        <v>38600</v>
      </c>
      <c r="K85">
        <v>0.16</v>
      </c>
      <c r="L8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85">
        <v>0</v>
      </c>
      <c r="N85">
        <v>0</v>
      </c>
      <c r="O85">
        <v>0</v>
      </c>
      <c r="P85">
        <v>13398.7528</v>
      </c>
      <c r="Q85">
        <v>63903</v>
      </c>
      <c r="R85">
        <f>(Grandview_Inventory[[#This Row],[ln_acres]]*Grandview_Inventory[[#This Row],[coeff]])+Grandview_Inventory[[#This Row],[const]]</f>
        <v>39348.693981374228</v>
      </c>
      <c r="S85" t="s">
        <v>61</v>
      </c>
      <c r="T85">
        <v>1</v>
      </c>
      <c r="U85" t="s">
        <v>65</v>
      </c>
      <c r="V85" t="s">
        <v>69</v>
      </c>
      <c r="W85">
        <v>0</v>
      </c>
      <c r="X85">
        <v>0</v>
      </c>
      <c r="Y85">
        <v>24</v>
      </c>
      <c r="Z85">
        <v>24</v>
      </c>
      <c r="AA85">
        <v>30</v>
      </c>
      <c r="AB85">
        <v>1500</v>
      </c>
      <c r="AC85">
        <v>1180</v>
      </c>
      <c r="AD85">
        <v>1180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240</v>
      </c>
      <c r="AM85">
        <v>0</v>
      </c>
      <c r="AN85">
        <v>92</v>
      </c>
      <c r="AO85">
        <v>0</v>
      </c>
      <c r="AP85">
        <v>8</v>
      </c>
      <c r="AQ85">
        <v>0</v>
      </c>
      <c r="AR85">
        <v>0</v>
      </c>
      <c r="AS85" t="s">
        <v>58</v>
      </c>
      <c r="AT85">
        <v>1</v>
      </c>
      <c r="AU85" t="s">
        <v>59</v>
      </c>
      <c r="AV85" t="s">
        <v>60</v>
      </c>
      <c r="AW85">
        <v>1</v>
      </c>
      <c r="AX85">
        <v>3</v>
      </c>
      <c r="AY85">
        <v>0</v>
      </c>
      <c r="AZ85">
        <v>0</v>
      </c>
      <c r="BA85">
        <v>100</v>
      </c>
      <c r="BB85">
        <v>100</v>
      </c>
      <c r="BC85">
        <v>100</v>
      </c>
      <c r="BD85">
        <v>100</v>
      </c>
      <c r="BE85">
        <v>1</v>
      </c>
      <c r="BF85">
        <v>15000</v>
      </c>
      <c r="BG85">
        <v>1000</v>
      </c>
      <c r="BH85" s="6">
        <f>Grandview_Inventory[[#This Row],[land_extract]]*Lookups!$B$3</f>
        <v>45695.532079096141</v>
      </c>
      <c r="BI85" s="6">
        <f>IF(Grandview_Inventory[[#This Row],[bldg_style]]="",0,Lookups!$B$2)</f>
        <v>155833.95000000001</v>
      </c>
      <c r="BJ85" s="6">
        <f>_xlfn.IFNA(VLOOKUP(Grandview_Inventory[[#This Row],[quality]],Lookups!$H$2:$J$14,3,FALSE),0)</f>
        <v>2251</v>
      </c>
      <c r="BK85" s="6">
        <f>_xlfn.IFNA(VLOOKUP(Grandview_Inventory[[#This Row],[condition]],Lookups!$H$17:$J$24,3,FALSE),0)</f>
        <v>-4503</v>
      </c>
      <c r="BL85" s="6">
        <f>Grandview_Inventory[[#This Row],[Eff_Age]]*Lookups!$B$14</f>
        <v>-5739.9983999999995</v>
      </c>
      <c r="BM85" s="6">
        <f>Grandview_Inventory[[#This Row],[living_area]]*Lookups!$B$15</f>
        <v>73609.406539999996</v>
      </c>
      <c r="BN85" s="6">
        <f>Grandview_Inventory[[#This Row],[Fin BSMT]]*Lookups!$B$16</f>
        <v>0</v>
      </c>
      <c r="BO85" s="6">
        <f>(Grandview_Inventory[[#This Row],[att_gar]]+Grandview_Inventory[[#This Row],[bltin_gar]])*Lookups!$B$17</f>
        <v>0</v>
      </c>
      <c r="BP85" s="6">
        <f>Grandview_Inventory[[#This Row],[Plumbing Fixtures]]*Lookups!$B$18</f>
        <v>16083.5344</v>
      </c>
      <c r="BQ85" s="6">
        <f>Grandview_Inventory[[#This Row],[detatched_value]]*Lookups!$B$19</f>
        <v>0</v>
      </c>
      <c r="BR85" s="6">
        <f>SUM(Grandview_Inventory[[#This Row],[Intercept]:[det_value]])*Grandview_Inventory[[#This Row],[res_pct]]</f>
        <v>237534.89254</v>
      </c>
      <c r="BS85" s="6">
        <f>Grandview_Inventory[[#This Row],[land_value]]</f>
        <v>45695.532079096141</v>
      </c>
      <c r="BT85" s="4">
        <f>_xlfn.IFNA(VLOOKUP(Grandview_Inventory[[#This Row],[quality]],Lookups!$A$26:$C$33,3,FALSE),1)</f>
        <v>0.98763855981004833</v>
      </c>
      <c r="BU85" s="4">
        <f>_xlfn.IFNA(VLOOKUP(Grandview_Inventory[[#This Row],[condition]],Lookups!$A$37:$C$44,3,FALSE),1)</f>
        <v>0.96469275950863709</v>
      </c>
      <c r="BV85" s="4">
        <f>IF(Grandview_Inventory[[#This Row],[bldg_style]]="",1,_xlfn.IFNA(VLOOKUP(Grandview_Inventory[[#This Row],[decade]],Lookups!$F$29:$H$43,3,FALSE),1))</f>
        <v>0.98397821291089549</v>
      </c>
      <c r="BW85" s="4">
        <f>_xlfn.IFNA(VLOOKUP(Grandview_Inventory[[#This Row],[living_area_range]],Lookups!$F$47:$H$56,3,FALSE),1)</f>
        <v>0.96135087979789358</v>
      </c>
      <c r="BX85" s="4">
        <f>AVERAGE(Grandview_Inventory[[#This Row],[qual_adj]:[size_adj]])</f>
        <v>0.97441510300686862</v>
      </c>
      <c r="BY85" s="6">
        <f>IF(Grandview_Inventory[[#This Row],[pre_res]]&lt;0,0,Grandview_Inventory[[#This Row],[pre_res]]*Grandview_Inventory[[#This Row],[overall_adj]])</f>
        <v>231457.58678208958</v>
      </c>
      <c r="BZ85" s="6">
        <f>(Grandview_Inventory[[#This Row],[sum_land]]-IF(Grandview_Inventory[[#This Row],[no_utilities]]=1,12000,0))/IF(Grandview_Inventory[[#This Row],[unbuildable]]=1,2,1)</f>
        <v>45695.532079096141</v>
      </c>
      <c r="CA8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85">
        <f>ROUND(Grandview_Inventory[[#This Row],[det_value]]*Lookups!$M$28,-2)</f>
        <v>0</v>
      </c>
      <c r="CC85">
        <f>IF(ROUND(Grandview_Inventory[[#This Row],[adj_res]]*Lookups!$M$28,-2)&lt;Grandview_Inventory[[#This Row],[min_res]],Grandview_Inventory[[#This Row],[min_res]],ROUND(Grandview_Inventory[[#This Row],[adj_res]]*Lookups!$M$28,-2))</f>
        <v>219900</v>
      </c>
      <c r="CD85">
        <f>Grandview_Inventory[[#This Row],[final_det]]+Grandview_Inventory[[#This Row],[final_res]]</f>
        <v>219900</v>
      </c>
      <c r="CE85">
        <f>Grandview_Inventory[[#This Row],[final_land]]+Grandview_Inventory[[#This Row],[final_imp]]+Grandview_Inventory[[#This Row],[crop_value]]</f>
        <v>263300</v>
      </c>
      <c r="CG85" t="str">
        <f t="shared" si="1"/>
        <v>update valuation set market_land =43400, market_bldg=219900, market_total =263300, market_mdno =401, market_date ='9/10/2023' where link_id = (select link_id from parcel where parcel_year = '2024' and parcel_id = '23091432427');</v>
      </c>
    </row>
    <row r="86" spans="1:85" x14ac:dyDescent="0.25">
      <c r="A86">
        <v>23091432428</v>
      </c>
      <c r="B86">
        <v>0.16</v>
      </c>
      <c r="C86" t="s">
        <v>129</v>
      </c>
      <c r="D86" t="s">
        <v>129</v>
      </c>
      <c r="E86" t="s">
        <v>53</v>
      </c>
      <c r="F86" t="s">
        <v>53</v>
      </c>
      <c r="G86">
        <v>4</v>
      </c>
      <c r="H86" t="s">
        <v>54</v>
      </c>
      <c r="I86">
        <v>233500</v>
      </c>
      <c r="J86">
        <v>38600</v>
      </c>
      <c r="K86">
        <v>0.16</v>
      </c>
      <c r="L8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86">
        <v>0</v>
      </c>
      <c r="N86">
        <v>0</v>
      </c>
      <c r="O86">
        <v>0</v>
      </c>
      <c r="P86">
        <v>13398.7528</v>
      </c>
      <c r="Q86">
        <v>63903</v>
      </c>
      <c r="R86">
        <f>(Grandview_Inventory[[#This Row],[ln_acres]]*Grandview_Inventory[[#This Row],[coeff]])+Grandview_Inventory[[#This Row],[const]]</f>
        <v>39348.693981374228</v>
      </c>
      <c r="S86" t="s">
        <v>61</v>
      </c>
      <c r="T86">
        <v>1</v>
      </c>
      <c r="U86" t="s">
        <v>65</v>
      </c>
      <c r="V86" t="s">
        <v>67</v>
      </c>
      <c r="W86">
        <v>0</v>
      </c>
      <c r="X86">
        <v>0</v>
      </c>
      <c r="Y86">
        <v>23</v>
      </c>
      <c r="Z86">
        <v>23</v>
      </c>
      <c r="AA86">
        <v>30</v>
      </c>
      <c r="AB86">
        <v>2000</v>
      </c>
      <c r="AC86">
        <v>1900</v>
      </c>
      <c r="AD86">
        <v>1900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360</v>
      </c>
      <c r="AO86">
        <v>0</v>
      </c>
      <c r="AP86">
        <v>11</v>
      </c>
      <c r="AQ86">
        <v>0</v>
      </c>
      <c r="AR86">
        <v>0</v>
      </c>
      <c r="AS86" t="s">
        <v>58</v>
      </c>
      <c r="AT86">
        <v>1</v>
      </c>
      <c r="AU86" t="s">
        <v>59</v>
      </c>
      <c r="AV86" t="s">
        <v>60</v>
      </c>
      <c r="AW86">
        <v>1</v>
      </c>
      <c r="AX86">
        <v>5</v>
      </c>
      <c r="AY86">
        <v>0</v>
      </c>
      <c r="AZ86">
        <v>0</v>
      </c>
      <c r="BA86">
        <v>100</v>
      </c>
      <c r="BB86">
        <v>100</v>
      </c>
      <c r="BC86">
        <v>100</v>
      </c>
      <c r="BD86">
        <v>100</v>
      </c>
      <c r="BE86">
        <v>1</v>
      </c>
      <c r="BF86">
        <v>15000</v>
      </c>
      <c r="BG86">
        <v>1000</v>
      </c>
      <c r="BH86" s="6">
        <f>Grandview_Inventory[[#This Row],[land_extract]]*Lookups!$B$3</f>
        <v>45695.532079096141</v>
      </c>
      <c r="BI86" s="6">
        <f>IF(Grandview_Inventory[[#This Row],[bldg_style]]="",0,Lookups!$B$2)</f>
        <v>155833.95000000001</v>
      </c>
      <c r="BJ86" s="6">
        <f>_xlfn.IFNA(VLOOKUP(Grandview_Inventory[[#This Row],[quality]],Lookups!$H$2:$J$14,3,FALSE),0)</f>
        <v>2251</v>
      </c>
      <c r="BK86" s="6">
        <f>_xlfn.IFNA(VLOOKUP(Grandview_Inventory[[#This Row],[condition]],Lookups!$H$17:$J$24,3,FALSE),0)</f>
        <v>22342</v>
      </c>
      <c r="BL86" s="6">
        <f>Grandview_Inventory[[#This Row],[Eff_Age]]*Lookups!$B$14</f>
        <v>-5500.8317999999999</v>
      </c>
      <c r="BM86" s="6">
        <f>Grandview_Inventory[[#This Row],[living_area]]*Lookups!$B$15</f>
        <v>118523.6207</v>
      </c>
      <c r="BN86" s="6">
        <f>Grandview_Inventory[[#This Row],[Fin BSMT]]*Lookups!$B$16</f>
        <v>0</v>
      </c>
      <c r="BO86" s="6">
        <f>(Grandview_Inventory[[#This Row],[att_gar]]+Grandview_Inventory[[#This Row],[bltin_gar]])*Lookups!$B$17</f>
        <v>0</v>
      </c>
      <c r="BP86" s="6">
        <f>Grandview_Inventory[[#This Row],[Plumbing Fixtures]]*Lookups!$B$18</f>
        <v>22114.859800000002</v>
      </c>
      <c r="BQ86" s="6">
        <f>Grandview_Inventory[[#This Row],[detatched_value]]*Lookups!$B$19</f>
        <v>0</v>
      </c>
      <c r="BR86" s="6">
        <f>SUM(Grandview_Inventory[[#This Row],[Intercept]:[det_value]])*Grandview_Inventory[[#This Row],[res_pct]]</f>
        <v>315564.59869999997</v>
      </c>
      <c r="BS86" s="6">
        <f>Grandview_Inventory[[#This Row],[land_value]]</f>
        <v>45695.532079096141</v>
      </c>
      <c r="BT86" s="4">
        <f>_xlfn.IFNA(VLOOKUP(Grandview_Inventory[[#This Row],[quality]],Lookups!$A$26:$C$33,3,FALSE),1)</f>
        <v>0.98763855981004833</v>
      </c>
      <c r="BU86" s="4">
        <f>_xlfn.IFNA(VLOOKUP(Grandview_Inventory[[#This Row],[condition]],Lookups!$A$37:$C$44,3,FALSE),1)</f>
        <v>0.97383723671140243</v>
      </c>
      <c r="BV86" s="4">
        <f>IF(Grandview_Inventory[[#This Row],[bldg_style]]="",1,_xlfn.IFNA(VLOOKUP(Grandview_Inventory[[#This Row],[decade]],Lookups!$F$29:$H$43,3,FALSE),1))</f>
        <v>0.98397821291089549</v>
      </c>
      <c r="BW86" s="4">
        <f>_xlfn.IFNA(VLOOKUP(Grandview_Inventory[[#This Row],[living_area_range]],Lookups!$F$47:$H$56,3,FALSE),1)</f>
        <v>0.96120133463014379</v>
      </c>
      <c r="BX86" s="4">
        <f>AVERAGE(Grandview_Inventory[[#This Row],[qual_adj]:[size_adj]])</f>
        <v>0.97666383601562257</v>
      </c>
      <c r="BY86" s="6">
        <f>IF(Grandview_Inventory[[#This Row],[pre_res]]&lt;0,0,Grandview_Inventory[[#This Row],[pre_res]]*Grandview_Inventory[[#This Row],[overall_adj]])</f>
        <v>308200.53147707251</v>
      </c>
      <c r="BZ86" s="6">
        <f>(Grandview_Inventory[[#This Row],[sum_land]]-IF(Grandview_Inventory[[#This Row],[no_utilities]]=1,12000,0))/IF(Grandview_Inventory[[#This Row],[unbuildable]]=1,2,1)</f>
        <v>45695.532079096141</v>
      </c>
      <c r="CA8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86">
        <f>ROUND(Grandview_Inventory[[#This Row],[det_value]]*Lookups!$M$28,-2)</f>
        <v>0</v>
      </c>
      <c r="CC86">
        <f>IF(ROUND(Grandview_Inventory[[#This Row],[adj_res]]*Lookups!$M$28,-2)&lt;Grandview_Inventory[[#This Row],[min_res]],Grandview_Inventory[[#This Row],[min_res]],ROUND(Grandview_Inventory[[#This Row],[adj_res]]*Lookups!$M$28,-2))</f>
        <v>292800</v>
      </c>
      <c r="CD86">
        <f>Grandview_Inventory[[#This Row],[final_det]]+Grandview_Inventory[[#This Row],[final_res]]</f>
        <v>292800</v>
      </c>
      <c r="CE86">
        <f>Grandview_Inventory[[#This Row],[final_land]]+Grandview_Inventory[[#This Row],[final_imp]]+Grandview_Inventory[[#This Row],[crop_value]]</f>
        <v>336200</v>
      </c>
      <c r="CG86" t="str">
        <f t="shared" si="1"/>
        <v>update valuation set market_land =43400, market_bldg=292800, market_total =336200, market_mdno =401, market_date ='9/10/2023' where link_id = (select link_id from parcel where parcel_year = '2024' and parcel_id = '23091432428');</v>
      </c>
    </row>
    <row r="87" spans="1:85" x14ac:dyDescent="0.25">
      <c r="A87">
        <v>23091432429</v>
      </c>
      <c r="B87">
        <v>0.16</v>
      </c>
      <c r="C87">
        <v>7026</v>
      </c>
      <c r="D87" t="s">
        <v>129</v>
      </c>
      <c r="E87" t="s">
        <v>53</v>
      </c>
      <c r="F87" t="s">
        <v>53</v>
      </c>
      <c r="G87">
        <v>4</v>
      </c>
      <c r="H87" t="s">
        <v>54</v>
      </c>
      <c r="I87">
        <v>228900</v>
      </c>
      <c r="J87">
        <v>38600</v>
      </c>
      <c r="K87">
        <v>0.16</v>
      </c>
      <c r="L8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87">
        <v>0</v>
      </c>
      <c r="N87">
        <v>0</v>
      </c>
      <c r="O87">
        <v>0</v>
      </c>
      <c r="P87">
        <v>13398.7528</v>
      </c>
      <c r="Q87">
        <v>63903</v>
      </c>
      <c r="R87">
        <f>(Grandview_Inventory[[#This Row],[ln_acres]]*Grandview_Inventory[[#This Row],[coeff]])+Grandview_Inventory[[#This Row],[const]]</f>
        <v>39348.693981374228</v>
      </c>
      <c r="S87" t="s">
        <v>61</v>
      </c>
      <c r="T87">
        <v>1</v>
      </c>
      <c r="U87" t="s">
        <v>65</v>
      </c>
      <c r="V87" t="s">
        <v>66</v>
      </c>
      <c r="W87">
        <v>0</v>
      </c>
      <c r="X87">
        <v>0</v>
      </c>
      <c r="Y87">
        <v>20</v>
      </c>
      <c r="Z87">
        <v>23</v>
      </c>
      <c r="AA87">
        <v>30</v>
      </c>
      <c r="AB87">
        <v>1500</v>
      </c>
      <c r="AC87">
        <v>1392</v>
      </c>
      <c r="AD87">
        <v>1392</v>
      </c>
      <c r="AE87">
        <v>0</v>
      </c>
      <c r="AF87">
        <v>0</v>
      </c>
      <c r="AG87">
        <v>0</v>
      </c>
      <c r="AH87">
        <v>0</v>
      </c>
      <c r="AI87">
        <v>440</v>
      </c>
      <c r="AJ87">
        <v>0</v>
      </c>
      <c r="AK87">
        <v>0</v>
      </c>
      <c r="AL87">
        <v>0</v>
      </c>
      <c r="AM87">
        <v>504</v>
      </c>
      <c r="AN87">
        <v>224</v>
      </c>
      <c r="AO87">
        <v>0</v>
      </c>
      <c r="AP87">
        <v>8</v>
      </c>
      <c r="AQ87">
        <v>0</v>
      </c>
      <c r="AR87">
        <v>0</v>
      </c>
      <c r="AS87" t="s">
        <v>58</v>
      </c>
      <c r="AT87">
        <v>1</v>
      </c>
      <c r="AU87" t="s">
        <v>59</v>
      </c>
      <c r="AV87" t="s">
        <v>60</v>
      </c>
      <c r="AW87">
        <v>1</v>
      </c>
      <c r="AX87">
        <v>3</v>
      </c>
      <c r="AY87">
        <v>0</v>
      </c>
      <c r="AZ87">
        <v>0</v>
      </c>
      <c r="BA87">
        <v>100</v>
      </c>
      <c r="BB87">
        <v>100</v>
      </c>
      <c r="BC87">
        <v>100</v>
      </c>
      <c r="BD87">
        <v>100</v>
      </c>
      <c r="BE87">
        <v>1</v>
      </c>
      <c r="BF87">
        <v>15000</v>
      </c>
      <c r="BG87">
        <v>1000</v>
      </c>
      <c r="BH87" s="6">
        <f>Grandview_Inventory[[#This Row],[land_extract]]*Lookups!$B$3</f>
        <v>45695.532079096141</v>
      </c>
      <c r="BI87" s="6">
        <f>IF(Grandview_Inventory[[#This Row],[bldg_style]]="",0,Lookups!$B$2)</f>
        <v>155833.95000000001</v>
      </c>
      <c r="BJ87" s="6">
        <f>_xlfn.IFNA(VLOOKUP(Grandview_Inventory[[#This Row],[quality]],Lookups!$H$2:$J$14,3,FALSE),0)</f>
        <v>2251</v>
      </c>
      <c r="BK87" s="6">
        <f>_xlfn.IFNA(VLOOKUP(Grandview_Inventory[[#This Row],[condition]],Lookups!$H$17:$J$24,3,FALSE),0)</f>
        <v>25818</v>
      </c>
      <c r="BL87" s="6">
        <f>Grandview_Inventory[[#This Row],[Eff_Age]]*Lookups!$B$14</f>
        <v>-4783.3319999999994</v>
      </c>
      <c r="BM87" s="6">
        <f>Grandview_Inventory[[#This Row],[living_area]]*Lookups!$B$15</f>
        <v>86834.147376000008</v>
      </c>
      <c r="BN87" s="6">
        <f>Grandview_Inventory[[#This Row],[Fin BSMT]]*Lookups!$B$16</f>
        <v>0</v>
      </c>
      <c r="BO87" s="6">
        <f>(Grandview_Inventory[[#This Row],[att_gar]]+Grandview_Inventory[[#This Row],[bltin_gar]])*Lookups!$B$17</f>
        <v>38508.992279999999</v>
      </c>
      <c r="BP87" s="6">
        <f>Grandview_Inventory[[#This Row],[Plumbing Fixtures]]*Lookups!$B$18</f>
        <v>16083.5344</v>
      </c>
      <c r="BQ87" s="6">
        <f>Grandview_Inventory[[#This Row],[detatched_value]]*Lookups!$B$19</f>
        <v>0</v>
      </c>
      <c r="BR87" s="6">
        <f>SUM(Grandview_Inventory[[#This Row],[Intercept]:[det_value]])*Grandview_Inventory[[#This Row],[res_pct]]</f>
        <v>320546.29205600003</v>
      </c>
      <c r="BS87" s="6">
        <f>Grandview_Inventory[[#This Row],[land_value]]</f>
        <v>45695.532079096141</v>
      </c>
      <c r="BT87" s="4">
        <f>_xlfn.IFNA(VLOOKUP(Grandview_Inventory[[#This Row],[quality]],Lookups!$A$26:$C$33,3,FALSE),1)</f>
        <v>0.98763855981004833</v>
      </c>
      <c r="BU87" s="4">
        <f>_xlfn.IFNA(VLOOKUP(Grandview_Inventory[[#This Row],[condition]],Lookups!$A$37:$C$44,3,FALSE),1)</f>
        <v>0.96661476234146892</v>
      </c>
      <c r="BV87" s="4">
        <f>IF(Grandview_Inventory[[#This Row],[bldg_style]]="",1,_xlfn.IFNA(VLOOKUP(Grandview_Inventory[[#This Row],[decade]],Lookups!$F$29:$H$43,3,FALSE),1))</f>
        <v>0.98397821291089549</v>
      </c>
      <c r="BW87" s="4">
        <f>_xlfn.IFNA(VLOOKUP(Grandview_Inventory[[#This Row],[living_area_range]],Lookups!$F$47:$H$56,3,FALSE),1)</f>
        <v>0.96135087979789358</v>
      </c>
      <c r="BX87" s="4">
        <f>AVERAGE(Grandview_Inventory[[#This Row],[qual_adj]:[size_adj]])</f>
        <v>0.97489560371507655</v>
      </c>
      <c r="BY87" s="6">
        <f>IF(Grandview_Inventory[[#This Row],[pre_res]]&lt;0,0,Grandview_Inventory[[#This Row],[pre_res]]*Grandview_Inventory[[#This Row],[overall_adj]])</f>
        <v>312499.17091256339</v>
      </c>
      <c r="BZ87" s="6">
        <f>(Grandview_Inventory[[#This Row],[sum_land]]-IF(Grandview_Inventory[[#This Row],[no_utilities]]=1,12000,0))/IF(Grandview_Inventory[[#This Row],[unbuildable]]=1,2,1)</f>
        <v>45695.532079096141</v>
      </c>
      <c r="CA8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87">
        <f>ROUND(Grandview_Inventory[[#This Row],[det_value]]*Lookups!$M$28,-2)</f>
        <v>0</v>
      </c>
      <c r="CC87">
        <f>IF(ROUND(Grandview_Inventory[[#This Row],[adj_res]]*Lookups!$M$28,-2)&lt;Grandview_Inventory[[#This Row],[min_res]],Grandview_Inventory[[#This Row],[min_res]],ROUND(Grandview_Inventory[[#This Row],[adj_res]]*Lookups!$M$28,-2))</f>
        <v>296900</v>
      </c>
      <c r="CD87">
        <f>Grandview_Inventory[[#This Row],[final_det]]+Grandview_Inventory[[#This Row],[final_res]]</f>
        <v>296900</v>
      </c>
      <c r="CE87">
        <f>Grandview_Inventory[[#This Row],[final_land]]+Grandview_Inventory[[#This Row],[final_imp]]+Grandview_Inventory[[#This Row],[crop_value]]</f>
        <v>340300</v>
      </c>
      <c r="CG87" t="str">
        <f t="shared" si="1"/>
        <v>update valuation set market_land =43400, market_bldg=296900, market_total =340300, market_mdno =401, market_date ='9/10/2023' where link_id = (select link_id from parcel where parcel_year = '2024' and parcel_id = '23091432429');</v>
      </c>
    </row>
    <row r="88" spans="1:85" x14ac:dyDescent="0.25">
      <c r="A88">
        <v>23091432430</v>
      </c>
      <c r="B88">
        <v>0.16</v>
      </c>
      <c r="C88">
        <v>6942</v>
      </c>
      <c r="D88" t="s">
        <v>129</v>
      </c>
      <c r="E88" t="s">
        <v>53</v>
      </c>
      <c r="F88" t="s">
        <v>53</v>
      </c>
      <c r="G88">
        <v>4</v>
      </c>
      <c r="H88" t="s">
        <v>54</v>
      </c>
      <c r="I88">
        <v>225200</v>
      </c>
      <c r="J88">
        <v>42800</v>
      </c>
      <c r="K88">
        <v>0.16</v>
      </c>
      <c r="L8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88">
        <v>0</v>
      </c>
      <c r="N88">
        <v>0</v>
      </c>
      <c r="O88">
        <v>0</v>
      </c>
      <c r="P88">
        <v>13398.7528</v>
      </c>
      <c r="Q88">
        <v>63903</v>
      </c>
      <c r="R88">
        <f>(Grandview_Inventory[[#This Row],[ln_acres]]*Grandview_Inventory[[#This Row],[coeff]])+Grandview_Inventory[[#This Row],[const]]</f>
        <v>39348.693981374228</v>
      </c>
      <c r="S88" t="s">
        <v>61</v>
      </c>
      <c r="T88">
        <v>1</v>
      </c>
      <c r="U88" t="s">
        <v>65</v>
      </c>
      <c r="V88" t="s">
        <v>67</v>
      </c>
      <c r="W88">
        <v>0</v>
      </c>
      <c r="X88">
        <v>0</v>
      </c>
      <c r="Y88">
        <v>23</v>
      </c>
      <c r="Z88">
        <v>23</v>
      </c>
      <c r="AA88">
        <v>30</v>
      </c>
      <c r="AB88">
        <v>1500</v>
      </c>
      <c r="AC88">
        <v>1258</v>
      </c>
      <c r="AD88">
        <v>1258</v>
      </c>
      <c r="AE88">
        <v>0</v>
      </c>
      <c r="AF88">
        <v>0</v>
      </c>
      <c r="AG88">
        <v>0</v>
      </c>
      <c r="AH88">
        <v>0</v>
      </c>
      <c r="AI88">
        <v>460</v>
      </c>
      <c r="AJ88">
        <v>0</v>
      </c>
      <c r="AK88">
        <v>0</v>
      </c>
      <c r="AL88">
        <v>194</v>
      </c>
      <c r="AM88">
        <v>0</v>
      </c>
      <c r="AN88">
        <v>78</v>
      </c>
      <c r="AO88">
        <v>0</v>
      </c>
      <c r="AP88">
        <v>8</v>
      </c>
      <c r="AQ88">
        <v>0</v>
      </c>
      <c r="AR88">
        <v>0</v>
      </c>
      <c r="AS88" t="s">
        <v>58</v>
      </c>
      <c r="AT88">
        <v>1</v>
      </c>
      <c r="AU88" t="s">
        <v>63</v>
      </c>
      <c r="AV88" t="s">
        <v>60</v>
      </c>
      <c r="AW88">
        <v>1</v>
      </c>
      <c r="AX88">
        <v>3</v>
      </c>
      <c r="AY88">
        <v>0</v>
      </c>
      <c r="AZ88">
        <v>0</v>
      </c>
      <c r="BA88">
        <v>100</v>
      </c>
      <c r="BB88">
        <v>100</v>
      </c>
      <c r="BC88">
        <v>100</v>
      </c>
      <c r="BD88">
        <v>100</v>
      </c>
      <c r="BE88">
        <v>1</v>
      </c>
      <c r="BF88">
        <v>15000</v>
      </c>
      <c r="BG88">
        <v>1000</v>
      </c>
      <c r="BH88" s="6">
        <f>Grandview_Inventory[[#This Row],[land_extract]]*Lookups!$B$3</f>
        <v>45695.532079096141</v>
      </c>
      <c r="BI88" s="6">
        <f>IF(Grandview_Inventory[[#This Row],[bldg_style]]="",0,Lookups!$B$2)</f>
        <v>155833.95000000001</v>
      </c>
      <c r="BJ88" s="6">
        <f>_xlfn.IFNA(VLOOKUP(Grandview_Inventory[[#This Row],[quality]],Lookups!$H$2:$J$14,3,FALSE),0)</f>
        <v>2251</v>
      </c>
      <c r="BK88" s="6">
        <f>_xlfn.IFNA(VLOOKUP(Grandview_Inventory[[#This Row],[condition]],Lookups!$H$17:$J$24,3,FALSE),0)</f>
        <v>22342</v>
      </c>
      <c r="BL88" s="6">
        <f>Grandview_Inventory[[#This Row],[Eff_Age]]*Lookups!$B$14</f>
        <v>-5500.8317999999999</v>
      </c>
      <c r="BM88" s="6">
        <f>Grandview_Inventory[[#This Row],[living_area]]*Lookups!$B$15</f>
        <v>78475.113074000008</v>
      </c>
      <c r="BN88" s="6">
        <f>Grandview_Inventory[[#This Row],[Fin BSMT]]*Lookups!$B$16</f>
        <v>0</v>
      </c>
      <c r="BO88" s="6">
        <f>(Grandview_Inventory[[#This Row],[att_gar]]+Grandview_Inventory[[#This Row],[bltin_gar]])*Lookups!$B$17</f>
        <v>40259.401019999998</v>
      </c>
      <c r="BP88" s="6">
        <f>Grandview_Inventory[[#This Row],[Plumbing Fixtures]]*Lookups!$B$18</f>
        <v>16083.5344</v>
      </c>
      <c r="BQ88" s="6">
        <f>Grandview_Inventory[[#This Row],[detatched_value]]*Lookups!$B$19</f>
        <v>0</v>
      </c>
      <c r="BR88" s="6">
        <f>SUM(Grandview_Inventory[[#This Row],[Intercept]:[det_value]])*Grandview_Inventory[[#This Row],[res_pct]]</f>
        <v>309744.16669400001</v>
      </c>
      <c r="BS88" s="6">
        <f>Grandview_Inventory[[#This Row],[land_value]]</f>
        <v>45695.532079096141</v>
      </c>
      <c r="BT88" s="4">
        <f>_xlfn.IFNA(VLOOKUP(Grandview_Inventory[[#This Row],[quality]],Lookups!$A$26:$C$33,3,FALSE),1)</f>
        <v>0.98763855981004833</v>
      </c>
      <c r="BU88" s="4">
        <f>_xlfn.IFNA(VLOOKUP(Grandview_Inventory[[#This Row],[condition]],Lookups!$A$37:$C$44,3,FALSE),1)</f>
        <v>0.97383723671140243</v>
      </c>
      <c r="BV88" s="4">
        <f>IF(Grandview_Inventory[[#This Row],[bldg_style]]="",1,_xlfn.IFNA(VLOOKUP(Grandview_Inventory[[#This Row],[decade]],Lookups!$F$29:$H$43,3,FALSE),1))</f>
        <v>0.98397821291089549</v>
      </c>
      <c r="BW88" s="4">
        <f>_xlfn.IFNA(VLOOKUP(Grandview_Inventory[[#This Row],[living_area_range]],Lookups!$F$47:$H$56,3,FALSE),1)</f>
        <v>0.96135087979789358</v>
      </c>
      <c r="BX88" s="4">
        <f>AVERAGE(Grandview_Inventory[[#This Row],[qual_adj]:[size_adj]])</f>
        <v>0.97670122230755996</v>
      </c>
      <c r="BY88" s="6">
        <f>IF(Grandview_Inventory[[#This Row],[pre_res]]&lt;0,0,Grandview_Inventory[[#This Row],[pre_res]]*Grandview_Inventory[[#This Row],[overall_adj]])</f>
        <v>302527.5062126664</v>
      </c>
      <c r="BZ88" s="6">
        <f>(Grandview_Inventory[[#This Row],[sum_land]]-IF(Grandview_Inventory[[#This Row],[no_utilities]]=1,12000,0))/IF(Grandview_Inventory[[#This Row],[unbuildable]]=1,2,1)</f>
        <v>45695.532079096141</v>
      </c>
      <c r="CA8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88">
        <f>ROUND(Grandview_Inventory[[#This Row],[det_value]]*Lookups!$M$28,-2)</f>
        <v>0</v>
      </c>
      <c r="CC88">
        <f>IF(ROUND(Grandview_Inventory[[#This Row],[adj_res]]*Lookups!$M$28,-2)&lt;Grandview_Inventory[[#This Row],[min_res]],Grandview_Inventory[[#This Row],[min_res]],ROUND(Grandview_Inventory[[#This Row],[adj_res]]*Lookups!$M$28,-2))</f>
        <v>287400</v>
      </c>
      <c r="CD88">
        <f>Grandview_Inventory[[#This Row],[final_det]]+Grandview_Inventory[[#This Row],[final_res]]</f>
        <v>287400</v>
      </c>
      <c r="CE88">
        <f>Grandview_Inventory[[#This Row],[final_land]]+Grandview_Inventory[[#This Row],[final_imp]]+Grandview_Inventory[[#This Row],[crop_value]]</f>
        <v>330800</v>
      </c>
      <c r="CG88" t="str">
        <f t="shared" si="1"/>
        <v>update valuation set market_land =43400, market_bldg=287400, market_total =330800, market_mdno =401, market_date ='9/10/2023' where link_id = (select link_id from parcel where parcel_year = '2024' and parcel_id = '23091432430');</v>
      </c>
    </row>
    <row r="89" spans="1:85" x14ac:dyDescent="0.25">
      <c r="A89">
        <v>23091432431</v>
      </c>
      <c r="B89">
        <v>0.16</v>
      </c>
      <c r="C89">
        <v>6949</v>
      </c>
      <c r="D89" t="s">
        <v>129</v>
      </c>
      <c r="E89" t="s">
        <v>53</v>
      </c>
      <c r="F89" t="s">
        <v>53</v>
      </c>
      <c r="G89">
        <v>4</v>
      </c>
      <c r="H89" t="s">
        <v>54</v>
      </c>
      <c r="I89">
        <v>222000</v>
      </c>
      <c r="J89">
        <v>38600</v>
      </c>
      <c r="K89">
        <v>0.16</v>
      </c>
      <c r="L8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89">
        <v>0</v>
      </c>
      <c r="N89">
        <v>0</v>
      </c>
      <c r="O89">
        <v>0</v>
      </c>
      <c r="P89">
        <v>13398.7528</v>
      </c>
      <c r="Q89">
        <v>63903</v>
      </c>
      <c r="R89">
        <f>(Grandview_Inventory[[#This Row],[ln_acres]]*Grandview_Inventory[[#This Row],[coeff]])+Grandview_Inventory[[#This Row],[const]]</f>
        <v>39348.693981374228</v>
      </c>
      <c r="S89" t="s">
        <v>61</v>
      </c>
      <c r="T89">
        <v>1</v>
      </c>
      <c r="U89" t="s">
        <v>65</v>
      </c>
      <c r="V89" t="s">
        <v>67</v>
      </c>
      <c r="W89">
        <v>0</v>
      </c>
      <c r="X89">
        <v>0</v>
      </c>
      <c r="Y89">
        <v>23</v>
      </c>
      <c r="Z89">
        <v>23</v>
      </c>
      <c r="AA89">
        <v>30</v>
      </c>
      <c r="AB89">
        <v>1500</v>
      </c>
      <c r="AC89">
        <v>1224</v>
      </c>
      <c r="AD89">
        <v>1224</v>
      </c>
      <c r="AE89">
        <v>0</v>
      </c>
      <c r="AF89">
        <v>0</v>
      </c>
      <c r="AG89">
        <v>0</v>
      </c>
      <c r="AH89">
        <v>0</v>
      </c>
      <c r="AI89">
        <v>440</v>
      </c>
      <c r="AJ89">
        <v>0</v>
      </c>
      <c r="AK89">
        <v>0</v>
      </c>
      <c r="AL89">
        <v>0</v>
      </c>
      <c r="AM89">
        <v>0</v>
      </c>
      <c r="AN89">
        <v>56</v>
      </c>
      <c r="AO89">
        <v>0</v>
      </c>
      <c r="AP89">
        <v>8</v>
      </c>
      <c r="AQ89">
        <v>0</v>
      </c>
      <c r="AR89">
        <v>0</v>
      </c>
      <c r="AS89" t="s">
        <v>58</v>
      </c>
      <c r="AT89">
        <v>1</v>
      </c>
      <c r="AU89" t="s">
        <v>63</v>
      </c>
      <c r="AV89" t="s">
        <v>60</v>
      </c>
      <c r="AW89">
        <v>1</v>
      </c>
      <c r="AX89">
        <v>3</v>
      </c>
      <c r="AY89">
        <v>0</v>
      </c>
      <c r="AZ89">
        <v>0</v>
      </c>
      <c r="BA89">
        <v>100</v>
      </c>
      <c r="BB89">
        <v>100</v>
      </c>
      <c r="BC89">
        <v>100</v>
      </c>
      <c r="BD89">
        <v>100</v>
      </c>
      <c r="BE89">
        <v>1</v>
      </c>
      <c r="BF89">
        <v>15000</v>
      </c>
      <c r="BG89">
        <v>1000</v>
      </c>
      <c r="BH89" s="6">
        <f>Grandview_Inventory[[#This Row],[land_extract]]*Lookups!$B$3</f>
        <v>45695.532079096141</v>
      </c>
      <c r="BI89" s="6">
        <f>IF(Grandview_Inventory[[#This Row],[bldg_style]]="",0,Lookups!$B$2)</f>
        <v>155833.95000000001</v>
      </c>
      <c r="BJ89" s="6">
        <f>_xlfn.IFNA(VLOOKUP(Grandview_Inventory[[#This Row],[quality]],Lookups!$H$2:$J$14,3,FALSE),0)</f>
        <v>2251</v>
      </c>
      <c r="BK89" s="6">
        <f>_xlfn.IFNA(VLOOKUP(Grandview_Inventory[[#This Row],[condition]],Lookups!$H$17:$J$24,3,FALSE),0)</f>
        <v>22342</v>
      </c>
      <c r="BL89" s="6">
        <f>Grandview_Inventory[[#This Row],[Eff_Age]]*Lookups!$B$14</f>
        <v>-5500.8317999999999</v>
      </c>
      <c r="BM89" s="6">
        <f>Grandview_Inventory[[#This Row],[living_area]]*Lookups!$B$15</f>
        <v>76354.164072</v>
      </c>
      <c r="BN89" s="6">
        <f>Grandview_Inventory[[#This Row],[Fin BSMT]]*Lookups!$B$16</f>
        <v>0</v>
      </c>
      <c r="BO89" s="6">
        <f>(Grandview_Inventory[[#This Row],[att_gar]]+Grandview_Inventory[[#This Row],[bltin_gar]])*Lookups!$B$17</f>
        <v>38508.992279999999</v>
      </c>
      <c r="BP89" s="6">
        <f>Grandview_Inventory[[#This Row],[Plumbing Fixtures]]*Lookups!$B$18</f>
        <v>16083.5344</v>
      </c>
      <c r="BQ89" s="6">
        <f>Grandview_Inventory[[#This Row],[detatched_value]]*Lookups!$B$19</f>
        <v>0</v>
      </c>
      <c r="BR89" s="6">
        <f>SUM(Grandview_Inventory[[#This Row],[Intercept]:[det_value]])*Grandview_Inventory[[#This Row],[res_pct]]</f>
        <v>305872.80895200005</v>
      </c>
      <c r="BS89" s="6">
        <f>Grandview_Inventory[[#This Row],[land_value]]</f>
        <v>45695.532079096141</v>
      </c>
      <c r="BT89" s="4">
        <f>_xlfn.IFNA(VLOOKUP(Grandview_Inventory[[#This Row],[quality]],Lookups!$A$26:$C$33,3,FALSE),1)</f>
        <v>0.98763855981004833</v>
      </c>
      <c r="BU89" s="4">
        <f>_xlfn.IFNA(VLOOKUP(Grandview_Inventory[[#This Row],[condition]],Lookups!$A$37:$C$44,3,FALSE),1)</f>
        <v>0.97383723671140243</v>
      </c>
      <c r="BV89" s="4">
        <f>IF(Grandview_Inventory[[#This Row],[bldg_style]]="",1,_xlfn.IFNA(VLOOKUP(Grandview_Inventory[[#This Row],[decade]],Lookups!$F$29:$H$43,3,FALSE),1))</f>
        <v>0.98397821291089549</v>
      </c>
      <c r="BW89" s="4">
        <f>_xlfn.IFNA(VLOOKUP(Grandview_Inventory[[#This Row],[living_area_range]],Lookups!$F$47:$H$56,3,FALSE),1)</f>
        <v>0.96135087979789358</v>
      </c>
      <c r="BX89" s="4">
        <f>AVERAGE(Grandview_Inventory[[#This Row],[qual_adj]:[size_adj]])</f>
        <v>0.97670122230755996</v>
      </c>
      <c r="BY89" s="6">
        <f>IF(Grandview_Inventory[[#This Row],[pre_res]]&lt;0,0,Grandview_Inventory[[#This Row],[pre_res]]*Grandview_Inventory[[#This Row],[overall_adj]])</f>
        <v>298746.34637406521</v>
      </c>
      <c r="BZ89" s="6">
        <f>(Grandview_Inventory[[#This Row],[sum_land]]-IF(Grandview_Inventory[[#This Row],[no_utilities]]=1,12000,0))/IF(Grandview_Inventory[[#This Row],[unbuildable]]=1,2,1)</f>
        <v>45695.532079096141</v>
      </c>
      <c r="CA8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89">
        <f>ROUND(Grandview_Inventory[[#This Row],[det_value]]*Lookups!$M$28,-2)</f>
        <v>0</v>
      </c>
      <c r="CC89">
        <f>IF(ROUND(Grandview_Inventory[[#This Row],[adj_res]]*Lookups!$M$28,-2)&lt;Grandview_Inventory[[#This Row],[min_res]],Grandview_Inventory[[#This Row],[min_res]],ROUND(Grandview_Inventory[[#This Row],[adj_res]]*Lookups!$M$28,-2))</f>
        <v>283800</v>
      </c>
      <c r="CD89">
        <f>Grandview_Inventory[[#This Row],[final_det]]+Grandview_Inventory[[#This Row],[final_res]]</f>
        <v>283800</v>
      </c>
      <c r="CE89">
        <f>Grandview_Inventory[[#This Row],[final_land]]+Grandview_Inventory[[#This Row],[final_imp]]+Grandview_Inventory[[#This Row],[crop_value]]</f>
        <v>327200</v>
      </c>
      <c r="CG89" t="str">
        <f t="shared" si="1"/>
        <v>update valuation set market_land =43400, market_bldg=283800, market_total =327200, market_mdno =401, market_date ='9/10/2023' where link_id = (select link_id from parcel where parcel_year = '2024' and parcel_id = '23091432431');</v>
      </c>
    </row>
    <row r="90" spans="1:85" x14ac:dyDescent="0.25">
      <c r="A90">
        <v>23091432432</v>
      </c>
      <c r="B90">
        <v>0.17</v>
      </c>
      <c r="C90">
        <v>7408</v>
      </c>
      <c r="D90" t="s">
        <v>129</v>
      </c>
      <c r="E90" t="s">
        <v>53</v>
      </c>
      <c r="F90" t="s">
        <v>53</v>
      </c>
      <c r="G90">
        <v>4</v>
      </c>
      <c r="H90" t="s">
        <v>54</v>
      </c>
      <c r="I90">
        <v>183900</v>
      </c>
      <c r="J90">
        <v>38800</v>
      </c>
      <c r="K90">
        <v>0.17</v>
      </c>
      <c r="L9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90">
        <v>0</v>
      </c>
      <c r="N90">
        <v>0</v>
      </c>
      <c r="O90">
        <v>0</v>
      </c>
      <c r="P90">
        <v>13398.7528</v>
      </c>
      <c r="Q90">
        <v>63903</v>
      </c>
      <c r="R90">
        <f>(Grandview_Inventory[[#This Row],[ln_acres]]*Grandview_Inventory[[#This Row],[coeff]])+Grandview_Inventory[[#This Row],[const]]</f>
        <v>40160.988302686128</v>
      </c>
      <c r="S90" t="s">
        <v>61</v>
      </c>
      <c r="T90">
        <v>1</v>
      </c>
      <c r="U90" t="s">
        <v>65</v>
      </c>
      <c r="V90" t="s">
        <v>69</v>
      </c>
      <c r="W90">
        <v>0</v>
      </c>
      <c r="X90">
        <v>0</v>
      </c>
      <c r="Y90">
        <v>23</v>
      </c>
      <c r="Z90">
        <v>23</v>
      </c>
      <c r="AA90">
        <v>30</v>
      </c>
      <c r="AB90">
        <v>1500</v>
      </c>
      <c r="AC90">
        <v>1224</v>
      </c>
      <c r="AD90">
        <v>1224</v>
      </c>
      <c r="AE90">
        <v>0</v>
      </c>
      <c r="AF90">
        <v>0</v>
      </c>
      <c r="AG90">
        <v>0</v>
      </c>
      <c r="AH90">
        <v>0</v>
      </c>
      <c r="AI90">
        <v>440</v>
      </c>
      <c r="AJ90">
        <v>0</v>
      </c>
      <c r="AK90">
        <v>0</v>
      </c>
      <c r="AL90">
        <v>0</v>
      </c>
      <c r="AM90">
        <v>0</v>
      </c>
      <c r="AN90">
        <v>56</v>
      </c>
      <c r="AO90">
        <v>0</v>
      </c>
      <c r="AP90">
        <v>8</v>
      </c>
      <c r="AQ90">
        <v>0</v>
      </c>
      <c r="AR90">
        <v>0</v>
      </c>
      <c r="AS90" t="s">
        <v>58</v>
      </c>
      <c r="AT90">
        <v>1</v>
      </c>
      <c r="AU90" t="s">
        <v>63</v>
      </c>
      <c r="AV90" t="s">
        <v>60</v>
      </c>
      <c r="AW90">
        <v>1</v>
      </c>
      <c r="AX90">
        <v>3</v>
      </c>
      <c r="AY90">
        <v>0</v>
      </c>
      <c r="AZ90">
        <v>0</v>
      </c>
      <c r="BA90">
        <v>100</v>
      </c>
      <c r="BB90">
        <v>100</v>
      </c>
      <c r="BC90">
        <v>100</v>
      </c>
      <c r="BD90">
        <v>100</v>
      </c>
      <c r="BE90">
        <v>1</v>
      </c>
      <c r="BF90">
        <v>15000</v>
      </c>
      <c r="BG90">
        <v>1000</v>
      </c>
      <c r="BH90" s="6">
        <f>Grandview_Inventory[[#This Row],[land_extract]]*Lookups!$B$3</f>
        <v>46638.847281240982</v>
      </c>
      <c r="BI90" s="6">
        <f>IF(Grandview_Inventory[[#This Row],[bldg_style]]="",0,Lookups!$B$2)</f>
        <v>155833.95000000001</v>
      </c>
      <c r="BJ90" s="6">
        <f>_xlfn.IFNA(VLOOKUP(Grandview_Inventory[[#This Row],[quality]],Lookups!$H$2:$J$14,3,FALSE),0)</f>
        <v>2251</v>
      </c>
      <c r="BK90" s="6">
        <f>_xlfn.IFNA(VLOOKUP(Grandview_Inventory[[#This Row],[condition]],Lookups!$H$17:$J$24,3,FALSE),0)</f>
        <v>-4503</v>
      </c>
      <c r="BL90" s="6">
        <f>Grandview_Inventory[[#This Row],[Eff_Age]]*Lookups!$B$14</f>
        <v>-5500.8317999999999</v>
      </c>
      <c r="BM90" s="6">
        <f>Grandview_Inventory[[#This Row],[living_area]]*Lookups!$B$15</f>
        <v>76354.164072</v>
      </c>
      <c r="BN90" s="6">
        <f>Grandview_Inventory[[#This Row],[Fin BSMT]]*Lookups!$B$16</f>
        <v>0</v>
      </c>
      <c r="BO90" s="6">
        <f>(Grandview_Inventory[[#This Row],[att_gar]]+Grandview_Inventory[[#This Row],[bltin_gar]])*Lookups!$B$17</f>
        <v>38508.992279999999</v>
      </c>
      <c r="BP90" s="6">
        <f>Grandview_Inventory[[#This Row],[Plumbing Fixtures]]*Lookups!$B$18</f>
        <v>16083.5344</v>
      </c>
      <c r="BQ90" s="6">
        <f>Grandview_Inventory[[#This Row],[detatched_value]]*Lookups!$B$19</f>
        <v>0</v>
      </c>
      <c r="BR90" s="6">
        <f>SUM(Grandview_Inventory[[#This Row],[Intercept]:[det_value]])*Grandview_Inventory[[#This Row],[res_pct]]</f>
        <v>279027.80895200005</v>
      </c>
      <c r="BS90" s="6">
        <f>Grandview_Inventory[[#This Row],[land_value]]</f>
        <v>46638.847281240982</v>
      </c>
      <c r="BT90" s="4">
        <f>_xlfn.IFNA(VLOOKUP(Grandview_Inventory[[#This Row],[quality]],Lookups!$A$26:$C$33,3,FALSE),1)</f>
        <v>0.98763855981004833</v>
      </c>
      <c r="BU90" s="4">
        <f>_xlfn.IFNA(VLOOKUP(Grandview_Inventory[[#This Row],[condition]],Lookups!$A$37:$C$44,3,FALSE),1)</f>
        <v>0.96469275950863709</v>
      </c>
      <c r="BV90" s="4">
        <f>IF(Grandview_Inventory[[#This Row],[bldg_style]]="",1,_xlfn.IFNA(VLOOKUP(Grandview_Inventory[[#This Row],[decade]],Lookups!$F$29:$H$43,3,FALSE),1))</f>
        <v>0.98397821291089549</v>
      </c>
      <c r="BW90" s="4">
        <f>_xlfn.IFNA(VLOOKUP(Grandview_Inventory[[#This Row],[living_area_range]],Lookups!$F$47:$H$56,3,FALSE),1)</f>
        <v>0.96135087979789358</v>
      </c>
      <c r="BX90" s="4">
        <f>AVERAGE(Grandview_Inventory[[#This Row],[qual_adj]:[size_adj]])</f>
        <v>0.97441510300686862</v>
      </c>
      <c r="BY90" s="6">
        <f>IF(Grandview_Inventory[[#This Row],[pre_res]]&lt;0,0,Grandview_Inventory[[#This Row],[pre_res]]*Grandview_Inventory[[#This Row],[overall_adj]])</f>
        <v>271888.91120174399</v>
      </c>
      <c r="BZ90" s="6">
        <f>(Grandview_Inventory[[#This Row],[sum_land]]-IF(Grandview_Inventory[[#This Row],[no_utilities]]=1,12000,0))/IF(Grandview_Inventory[[#This Row],[unbuildable]]=1,2,1)</f>
        <v>46638.847281240982</v>
      </c>
      <c r="CA9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90">
        <f>ROUND(Grandview_Inventory[[#This Row],[det_value]]*Lookups!$M$28,-2)</f>
        <v>0</v>
      </c>
      <c r="CC90">
        <f>IF(ROUND(Grandview_Inventory[[#This Row],[adj_res]]*Lookups!$M$28,-2)&lt;Grandview_Inventory[[#This Row],[min_res]],Grandview_Inventory[[#This Row],[min_res]],ROUND(Grandview_Inventory[[#This Row],[adj_res]]*Lookups!$M$28,-2))</f>
        <v>258300</v>
      </c>
      <c r="CD90">
        <f>Grandview_Inventory[[#This Row],[final_det]]+Grandview_Inventory[[#This Row],[final_res]]</f>
        <v>258300</v>
      </c>
      <c r="CE90">
        <f>Grandview_Inventory[[#This Row],[final_land]]+Grandview_Inventory[[#This Row],[final_imp]]+Grandview_Inventory[[#This Row],[crop_value]]</f>
        <v>302600</v>
      </c>
      <c r="CG90" t="str">
        <f t="shared" si="1"/>
        <v>update valuation set market_land =44300, market_bldg=258300, market_total =302600, market_mdno =401, market_date ='9/10/2023' where link_id = (select link_id from parcel where parcel_year = '2024' and parcel_id = '23091432432');</v>
      </c>
    </row>
    <row r="91" spans="1:85" x14ac:dyDescent="0.25">
      <c r="A91">
        <v>23091432433</v>
      </c>
      <c r="B91">
        <v>0.16</v>
      </c>
      <c r="C91">
        <v>7024</v>
      </c>
      <c r="D91" t="s">
        <v>129</v>
      </c>
      <c r="E91" t="s">
        <v>53</v>
      </c>
      <c r="F91" t="s">
        <v>53</v>
      </c>
      <c r="G91">
        <v>4</v>
      </c>
      <c r="H91" t="s">
        <v>54</v>
      </c>
      <c r="I91">
        <v>188000</v>
      </c>
      <c r="J91">
        <v>38600</v>
      </c>
      <c r="K91">
        <v>0.16</v>
      </c>
      <c r="L9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1">
        <v>0</v>
      </c>
      <c r="N91">
        <v>0</v>
      </c>
      <c r="O91">
        <v>0</v>
      </c>
      <c r="P91">
        <v>13398.7528</v>
      </c>
      <c r="Q91">
        <v>63903</v>
      </c>
      <c r="R91">
        <f>(Grandview_Inventory[[#This Row],[ln_acres]]*Grandview_Inventory[[#This Row],[coeff]])+Grandview_Inventory[[#This Row],[const]]</f>
        <v>39348.693981374228</v>
      </c>
      <c r="S91" t="s">
        <v>61</v>
      </c>
      <c r="T91">
        <v>1</v>
      </c>
      <c r="U91" t="s">
        <v>65</v>
      </c>
      <c r="V91" t="s">
        <v>69</v>
      </c>
      <c r="W91">
        <v>0</v>
      </c>
      <c r="X91">
        <v>0</v>
      </c>
      <c r="Y91">
        <v>23</v>
      </c>
      <c r="Z91">
        <v>23</v>
      </c>
      <c r="AA91">
        <v>30</v>
      </c>
      <c r="AB91">
        <v>1500</v>
      </c>
      <c r="AC91">
        <v>1240</v>
      </c>
      <c r="AD91">
        <v>1240</v>
      </c>
      <c r="AE91">
        <v>0</v>
      </c>
      <c r="AF91">
        <v>0</v>
      </c>
      <c r="AG91">
        <v>0</v>
      </c>
      <c r="AH91">
        <v>0</v>
      </c>
      <c r="AI91">
        <v>464</v>
      </c>
      <c r="AJ91">
        <v>0</v>
      </c>
      <c r="AK91">
        <v>0</v>
      </c>
      <c r="AL91">
        <v>0</v>
      </c>
      <c r="AM91">
        <v>0</v>
      </c>
      <c r="AN91">
        <v>84</v>
      </c>
      <c r="AO91">
        <v>0</v>
      </c>
      <c r="AP91">
        <v>8</v>
      </c>
      <c r="AQ91">
        <v>0</v>
      </c>
      <c r="AR91">
        <v>0</v>
      </c>
      <c r="AS91" t="s">
        <v>58</v>
      </c>
      <c r="AT91">
        <v>1</v>
      </c>
      <c r="AU91" t="s">
        <v>63</v>
      </c>
      <c r="AV91" t="s">
        <v>60</v>
      </c>
      <c r="AW91">
        <v>1</v>
      </c>
      <c r="AX91">
        <v>4</v>
      </c>
      <c r="AY91">
        <v>0</v>
      </c>
      <c r="AZ91">
        <v>0</v>
      </c>
      <c r="BA91">
        <v>100</v>
      </c>
      <c r="BB91">
        <v>100</v>
      </c>
      <c r="BC91">
        <v>100</v>
      </c>
      <c r="BD91">
        <v>100</v>
      </c>
      <c r="BE91">
        <v>1</v>
      </c>
      <c r="BF91">
        <v>15000</v>
      </c>
      <c r="BG91">
        <v>1000</v>
      </c>
      <c r="BH91" s="6">
        <f>Grandview_Inventory[[#This Row],[land_extract]]*Lookups!$B$3</f>
        <v>45695.532079096141</v>
      </c>
      <c r="BI91" s="6">
        <f>IF(Grandview_Inventory[[#This Row],[bldg_style]]="",0,Lookups!$B$2)</f>
        <v>155833.95000000001</v>
      </c>
      <c r="BJ91" s="6">
        <f>_xlfn.IFNA(VLOOKUP(Grandview_Inventory[[#This Row],[quality]],Lookups!$H$2:$J$14,3,FALSE),0)</f>
        <v>2251</v>
      </c>
      <c r="BK91" s="6">
        <f>_xlfn.IFNA(VLOOKUP(Grandview_Inventory[[#This Row],[condition]],Lookups!$H$17:$J$24,3,FALSE),0)</f>
        <v>-4503</v>
      </c>
      <c r="BL91" s="6">
        <f>Grandview_Inventory[[#This Row],[Eff_Age]]*Lookups!$B$14</f>
        <v>-5500.8317999999999</v>
      </c>
      <c r="BM91" s="6">
        <f>Grandview_Inventory[[#This Row],[living_area]]*Lookups!$B$15</f>
        <v>77352.257720000009</v>
      </c>
      <c r="BN91" s="6">
        <f>Grandview_Inventory[[#This Row],[Fin BSMT]]*Lookups!$B$16</f>
        <v>0</v>
      </c>
      <c r="BO91" s="6">
        <f>(Grandview_Inventory[[#This Row],[att_gar]]+Grandview_Inventory[[#This Row],[bltin_gar]])*Lookups!$B$17</f>
        <v>40609.482768000002</v>
      </c>
      <c r="BP91" s="6">
        <f>Grandview_Inventory[[#This Row],[Plumbing Fixtures]]*Lookups!$B$18</f>
        <v>16083.5344</v>
      </c>
      <c r="BQ91" s="6">
        <f>Grandview_Inventory[[#This Row],[detatched_value]]*Lookups!$B$19</f>
        <v>0</v>
      </c>
      <c r="BR91" s="6">
        <f>SUM(Grandview_Inventory[[#This Row],[Intercept]:[det_value]])*Grandview_Inventory[[#This Row],[res_pct]]</f>
        <v>282126.39308800001</v>
      </c>
      <c r="BS91" s="6">
        <f>Grandview_Inventory[[#This Row],[land_value]]</f>
        <v>45695.532079096141</v>
      </c>
      <c r="BT91" s="4">
        <f>_xlfn.IFNA(VLOOKUP(Grandview_Inventory[[#This Row],[quality]],Lookups!$A$26:$C$33,3,FALSE),1)</f>
        <v>0.98763855981004833</v>
      </c>
      <c r="BU91" s="4">
        <f>_xlfn.IFNA(VLOOKUP(Grandview_Inventory[[#This Row],[condition]],Lookups!$A$37:$C$44,3,FALSE),1)</f>
        <v>0.96469275950863709</v>
      </c>
      <c r="BV91" s="4">
        <f>IF(Grandview_Inventory[[#This Row],[bldg_style]]="",1,_xlfn.IFNA(VLOOKUP(Grandview_Inventory[[#This Row],[decade]],Lookups!$F$29:$H$43,3,FALSE),1))</f>
        <v>0.98397821291089549</v>
      </c>
      <c r="BW91" s="4">
        <f>_xlfn.IFNA(VLOOKUP(Grandview_Inventory[[#This Row],[living_area_range]],Lookups!$F$47:$H$56,3,FALSE),1)</f>
        <v>0.96135087979789358</v>
      </c>
      <c r="BX91" s="4">
        <f>AVERAGE(Grandview_Inventory[[#This Row],[qual_adj]:[size_adj]])</f>
        <v>0.97441510300686862</v>
      </c>
      <c r="BY91" s="6">
        <f>IF(Grandview_Inventory[[#This Row],[pre_res]]&lt;0,0,Grandview_Inventory[[#This Row],[pre_res]]*Grandview_Inventory[[#This Row],[overall_adj]])</f>
        <v>274908.21838179982</v>
      </c>
      <c r="BZ91" s="6">
        <f>(Grandview_Inventory[[#This Row],[sum_land]]-IF(Grandview_Inventory[[#This Row],[no_utilities]]=1,12000,0))/IF(Grandview_Inventory[[#This Row],[unbuildable]]=1,2,1)</f>
        <v>45695.532079096141</v>
      </c>
      <c r="CA9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1">
        <f>ROUND(Grandview_Inventory[[#This Row],[det_value]]*Lookups!$M$28,-2)</f>
        <v>0</v>
      </c>
      <c r="CC91">
        <f>IF(ROUND(Grandview_Inventory[[#This Row],[adj_res]]*Lookups!$M$28,-2)&lt;Grandview_Inventory[[#This Row],[min_res]],Grandview_Inventory[[#This Row],[min_res]],ROUND(Grandview_Inventory[[#This Row],[adj_res]]*Lookups!$M$28,-2))</f>
        <v>261200</v>
      </c>
      <c r="CD91">
        <f>Grandview_Inventory[[#This Row],[final_det]]+Grandview_Inventory[[#This Row],[final_res]]</f>
        <v>261200</v>
      </c>
      <c r="CE91">
        <f>Grandview_Inventory[[#This Row],[final_land]]+Grandview_Inventory[[#This Row],[final_imp]]+Grandview_Inventory[[#This Row],[crop_value]]</f>
        <v>304600</v>
      </c>
      <c r="CG91" t="str">
        <f t="shared" si="1"/>
        <v>update valuation set market_land =43400, market_bldg=261200, market_total =304600, market_mdno =401, market_date ='9/10/2023' where link_id = (select link_id from parcel where parcel_year = '2024' and parcel_id = '23091432433');</v>
      </c>
    </row>
    <row r="92" spans="1:85" x14ac:dyDescent="0.25">
      <c r="A92">
        <v>23091432434</v>
      </c>
      <c r="B92">
        <v>0.19</v>
      </c>
      <c r="C92">
        <v>8407</v>
      </c>
      <c r="D92" t="s">
        <v>129</v>
      </c>
      <c r="E92" t="s">
        <v>53</v>
      </c>
      <c r="F92" t="s">
        <v>53</v>
      </c>
      <c r="G92">
        <v>4</v>
      </c>
      <c r="H92" t="s">
        <v>54</v>
      </c>
      <c r="I92">
        <v>188000</v>
      </c>
      <c r="J92">
        <v>39300</v>
      </c>
      <c r="K92">
        <v>0.19</v>
      </c>
      <c r="L9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2">
        <v>0</v>
      </c>
      <c r="N92">
        <v>0</v>
      </c>
      <c r="O92">
        <v>0</v>
      </c>
      <c r="P92">
        <v>13398.7528</v>
      </c>
      <c r="Q92">
        <v>63903</v>
      </c>
      <c r="R92">
        <f>(Grandview_Inventory[[#This Row],[ln_acres]]*Grandview_Inventory[[#This Row],[coeff]])+Grandview_Inventory[[#This Row],[const]]</f>
        <v>41651.273092551026</v>
      </c>
      <c r="S92" t="s">
        <v>61</v>
      </c>
      <c r="T92">
        <v>1</v>
      </c>
      <c r="U92" t="s">
        <v>65</v>
      </c>
      <c r="V92" t="s">
        <v>69</v>
      </c>
      <c r="W92">
        <v>0</v>
      </c>
      <c r="X92">
        <v>0</v>
      </c>
      <c r="Y92">
        <v>23</v>
      </c>
      <c r="Z92">
        <v>23</v>
      </c>
      <c r="AA92">
        <v>30</v>
      </c>
      <c r="AB92">
        <v>1500</v>
      </c>
      <c r="AC92">
        <v>1240</v>
      </c>
      <c r="AD92">
        <v>1240</v>
      </c>
      <c r="AE92">
        <v>0</v>
      </c>
      <c r="AF92">
        <v>0</v>
      </c>
      <c r="AG92">
        <v>0</v>
      </c>
      <c r="AH92">
        <v>0</v>
      </c>
      <c r="AI92">
        <v>464</v>
      </c>
      <c r="AJ92">
        <v>0</v>
      </c>
      <c r="AK92">
        <v>0</v>
      </c>
      <c r="AL92">
        <v>0</v>
      </c>
      <c r="AM92">
        <v>0</v>
      </c>
      <c r="AN92">
        <v>84</v>
      </c>
      <c r="AO92">
        <v>0</v>
      </c>
      <c r="AP92">
        <v>8</v>
      </c>
      <c r="AQ92">
        <v>0</v>
      </c>
      <c r="AR92">
        <v>0</v>
      </c>
      <c r="AS92" t="s">
        <v>58</v>
      </c>
      <c r="AT92">
        <v>1</v>
      </c>
      <c r="AU92" t="s">
        <v>63</v>
      </c>
      <c r="AV92" t="s">
        <v>60</v>
      </c>
      <c r="AW92">
        <v>1</v>
      </c>
      <c r="AX92">
        <v>4</v>
      </c>
      <c r="AY92">
        <v>0</v>
      </c>
      <c r="AZ92">
        <v>0</v>
      </c>
      <c r="BA92">
        <v>100</v>
      </c>
      <c r="BB92">
        <v>100</v>
      </c>
      <c r="BC92">
        <v>100</v>
      </c>
      <c r="BD92">
        <v>100</v>
      </c>
      <c r="BE92">
        <v>1</v>
      </c>
      <c r="BF92">
        <v>15000</v>
      </c>
      <c r="BG92">
        <v>1000</v>
      </c>
      <c r="BH92" s="6">
        <f>Grandview_Inventory[[#This Row],[land_extract]]*Lookups!$B$3</f>
        <v>48369.510983942157</v>
      </c>
      <c r="BI92" s="6">
        <f>IF(Grandview_Inventory[[#This Row],[bldg_style]]="",0,Lookups!$B$2)</f>
        <v>155833.95000000001</v>
      </c>
      <c r="BJ92" s="6">
        <f>_xlfn.IFNA(VLOOKUP(Grandview_Inventory[[#This Row],[quality]],Lookups!$H$2:$J$14,3,FALSE),0)</f>
        <v>2251</v>
      </c>
      <c r="BK92" s="6">
        <f>_xlfn.IFNA(VLOOKUP(Grandview_Inventory[[#This Row],[condition]],Lookups!$H$17:$J$24,3,FALSE),0)</f>
        <v>-4503</v>
      </c>
      <c r="BL92" s="6">
        <f>Grandview_Inventory[[#This Row],[Eff_Age]]*Lookups!$B$14</f>
        <v>-5500.8317999999999</v>
      </c>
      <c r="BM92" s="6">
        <f>Grandview_Inventory[[#This Row],[living_area]]*Lookups!$B$15</f>
        <v>77352.257720000009</v>
      </c>
      <c r="BN92" s="6">
        <f>Grandview_Inventory[[#This Row],[Fin BSMT]]*Lookups!$B$16</f>
        <v>0</v>
      </c>
      <c r="BO92" s="6">
        <f>(Grandview_Inventory[[#This Row],[att_gar]]+Grandview_Inventory[[#This Row],[bltin_gar]])*Lookups!$B$17</f>
        <v>40609.482768000002</v>
      </c>
      <c r="BP92" s="6">
        <f>Grandview_Inventory[[#This Row],[Plumbing Fixtures]]*Lookups!$B$18</f>
        <v>16083.5344</v>
      </c>
      <c r="BQ92" s="6">
        <f>Grandview_Inventory[[#This Row],[detatched_value]]*Lookups!$B$19</f>
        <v>0</v>
      </c>
      <c r="BR92" s="6">
        <f>SUM(Grandview_Inventory[[#This Row],[Intercept]:[det_value]])*Grandview_Inventory[[#This Row],[res_pct]]</f>
        <v>282126.39308800001</v>
      </c>
      <c r="BS92" s="6">
        <f>Grandview_Inventory[[#This Row],[land_value]]</f>
        <v>48369.510983942157</v>
      </c>
      <c r="BT92" s="4">
        <f>_xlfn.IFNA(VLOOKUP(Grandview_Inventory[[#This Row],[quality]],Lookups!$A$26:$C$33,3,FALSE),1)</f>
        <v>0.98763855981004833</v>
      </c>
      <c r="BU92" s="4">
        <f>_xlfn.IFNA(VLOOKUP(Grandview_Inventory[[#This Row],[condition]],Lookups!$A$37:$C$44,3,FALSE),1)</f>
        <v>0.96469275950863709</v>
      </c>
      <c r="BV92" s="4">
        <f>IF(Grandview_Inventory[[#This Row],[bldg_style]]="",1,_xlfn.IFNA(VLOOKUP(Grandview_Inventory[[#This Row],[decade]],Lookups!$F$29:$H$43,3,FALSE),1))</f>
        <v>0.98397821291089549</v>
      </c>
      <c r="BW92" s="4">
        <f>_xlfn.IFNA(VLOOKUP(Grandview_Inventory[[#This Row],[living_area_range]],Lookups!$F$47:$H$56,3,FALSE),1)</f>
        <v>0.96135087979789358</v>
      </c>
      <c r="BX92" s="4">
        <f>AVERAGE(Grandview_Inventory[[#This Row],[qual_adj]:[size_adj]])</f>
        <v>0.97441510300686862</v>
      </c>
      <c r="BY92" s="6">
        <f>IF(Grandview_Inventory[[#This Row],[pre_res]]&lt;0,0,Grandview_Inventory[[#This Row],[pre_res]]*Grandview_Inventory[[#This Row],[overall_adj]])</f>
        <v>274908.21838179982</v>
      </c>
      <c r="BZ92" s="6">
        <f>(Grandview_Inventory[[#This Row],[sum_land]]-IF(Grandview_Inventory[[#This Row],[no_utilities]]=1,12000,0))/IF(Grandview_Inventory[[#This Row],[unbuildable]]=1,2,1)</f>
        <v>48369.510983942157</v>
      </c>
      <c r="CA9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2">
        <f>ROUND(Grandview_Inventory[[#This Row],[det_value]]*Lookups!$M$28,-2)</f>
        <v>0</v>
      </c>
      <c r="CC92">
        <f>IF(ROUND(Grandview_Inventory[[#This Row],[adj_res]]*Lookups!$M$28,-2)&lt;Grandview_Inventory[[#This Row],[min_res]],Grandview_Inventory[[#This Row],[min_res]],ROUND(Grandview_Inventory[[#This Row],[adj_res]]*Lookups!$M$28,-2))</f>
        <v>261200</v>
      </c>
      <c r="CD92">
        <f>Grandview_Inventory[[#This Row],[final_det]]+Grandview_Inventory[[#This Row],[final_res]]</f>
        <v>261200</v>
      </c>
      <c r="CE92">
        <f>Grandview_Inventory[[#This Row],[final_land]]+Grandview_Inventory[[#This Row],[final_imp]]+Grandview_Inventory[[#This Row],[crop_value]]</f>
        <v>307200</v>
      </c>
      <c r="CG92" t="str">
        <f t="shared" si="1"/>
        <v>update valuation set market_land =46000, market_bldg=261200, market_total =307200, market_mdno =401, market_date ='9/10/2023' where link_id = (select link_id from parcel where parcel_year = '2024' and parcel_id = '23091432434');</v>
      </c>
    </row>
    <row r="93" spans="1:85" x14ac:dyDescent="0.25">
      <c r="A93">
        <v>23091432435</v>
      </c>
      <c r="B93">
        <v>0.16</v>
      </c>
      <c r="C93">
        <v>7061</v>
      </c>
      <c r="D93" t="s">
        <v>129</v>
      </c>
      <c r="E93" t="s">
        <v>53</v>
      </c>
      <c r="F93" t="s">
        <v>53</v>
      </c>
      <c r="G93">
        <v>4</v>
      </c>
      <c r="H93" t="s">
        <v>54</v>
      </c>
      <c r="I93">
        <v>226000</v>
      </c>
      <c r="J93">
        <v>38600</v>
      </c>
      <c r="K93">
        <v>0.16</v>
      </c>
      <c r="L9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3">
        <v>0</v>
      </c>
      <c r="N93">
        <v>0</v>
      </c>
      <c r="O93">
        <v>0</v>
      </c>
      <c r="P93">
        <v>13398.7528</v>
      </c>
      <c r="Q93">
        <v>63903</v>
      </c>
      <c r="R93">
        <f>(Grandview_Inventory[[#This Row],[ln_acres]]*Grandview_Inventory[[#This Row],[coeff]])+Grandview_Inventory[[#This Row],[const]]</f>
        <v>39348.693981374228</v>
      </c>
      <c r="S93" t="s">
        <v>61</v>
      </c>
      <c r="T93">
        <v>1</v>
      </c>
      <c r="U93" t="s">
        <v>64</v>
      </c>
      <c r="V93" t="s">
        <v>67</v>
      </c>
      <c r="W93">
        <v>0</v>
      </c>
      <c r="X93">
        <v>0</v>
      </c>
      <c r="Y93">
        <v>23</v>
      </c>
      <c r="Z93">
        <v>23</v>
      </c>
      <c r="AA93">
        <v>30</v>
      </c>
      <c r="AB93">
        <v>2000</v>
      </c>
      <c r="AC93">
        <v>1650</v>
      </c>
      <c r="AD93">
        <v>1650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600</v>
      </c>
      <c r="AN93">
        <v>54</v>
      </c>
      <c r="AO93">
        <v>0</v>
      </c>
      <c r="AP93">
        <v>8</v>
      </c>
      <c r="AQ93">
        <v>0</v>
      </c>
      <c r="AR93">
        <v>0</v>
      </c>
      <c r="AS93" t="s">
        <v>58</v>
      </c>
      <c r="AT93">
        <v>1</v>
      </c>
      <c r="AU93" t="s">
        <v>63</v>
      </c>
      <c r="AV93" t="s">
        <v>60</v>
      </c>
      <c r="AW93">
        <v>1</v>
      </c>
      <c r="AX93">
        <v>3</v>
      </c>
      <c r="AY93">
        <v>0</v>
      </c>
      <c r="AZ93">
        <v>0</v>
      </c>
      <c r="BA93">
        <v>100</v>
      </c>
      <c r="BB93">
        <v>100</v>
      </c>
      <c r="BC93">
        <v>100</v>
      </c>
      <c r="BD93">
        <v>100</v>
      </c>
      <c r="BE93">
        <v>1</v>
      </c>
      <c r="BF93">
        <v>15000</v>
      </c>
      <c r="BG93">
        <v>1000</v>
      </c>
      <c r="BH93" s="6">
        <f>Grandview_Inventory[[#This Row],[land_extract]]*Lookups!$B$3</f>
        <v>45695.532079096141</v>
      </c>
      <c r="BI93" s="6">
        <f>IF(Grandview_Inventory[[#This Row],[bldg_style]]="",0,Lookups!$B$2)</f>
        <v>155833.95000000001</v>
      </c>
      <c r="BJ93" s="6">
        <f>_xlfn.IFNA(VLOOKUP(Grandview_Inventory[[#This Row],[quality]],Lookups!$H$2:$J$14,3,FALSE),0)</f>
        <v>20768</v>
      </c>
      <c r="BK93" s="6">
        <f>_xlfn.IFNA(VLOOKUP(Grandview_Inventory[[#This Row],[condition]],Lookups!$H$17:$J$24,3,FALSE),0)</f>
        <v>22342</v>
      </c>
      <c r="BL93" s="6">
        <f>Grandview_Inventory[[#This Row],[Eff_Age]]*Lookups!$B$14</f>
        <v>-5500.8317999999999</v>
      </c>
      <c r="BM93" s="6">
        <f>Grandview_Inventory[[#This Row],[living_area]]*Lookups!$B$15</f>
        <v>102928.40745</v>
      </c>
      <c r="BN93" s="6">
        <f>Grandview_Inventory[[#This Row],[Fin BSMT]]*Lookups!$B$16</f>
        <v>0</v>
      </c>
      <c r="BO93" s="6">
        <f>(Grandview_Inventory[[#This Row],[att_gar]]+Grandview_Inventory[[#This Row],[bltin_gar]])*Lookups!$B$17</f>
        <v>0</v>
      </c>
      <c r="BP93" s="6">
        <f>Grandview_Inventory[[#This Row],[Plumbing Fixtures]]*Lookups!$B$18</f>
        <v>16083.5344</v>
      </c>
      <c r="BQ93" s="6">
        <f>Grandview_Inventory[[#This Row],[detatched_value]]*Lookups!$B$19</f>
        <v>0</v>
      </c>
      <c r="BR93" s="6">
        <f>SUM(Grandview_Inventory[[#This Row],[Intercept]:[det_value]])*Grandview_Inventory[[#This Row],[res_pct]]</f>
        <v>312455.06005000003</v>
      </c>
      <c r="BS93" s="6">
        <f>Grandview_Inventory[[#This Row],[land_value]]</f>
        <v>45695.532079096141</v>
      </c>
      <c r="BT93" s="4">
        <f>_xlfn.IFNA(VLOOKUP(Grandview_Inventory[[#This Row],[quality]],Lookups!$A$26:$C$33,3,FALSE),1)</f>
        <v>0.94960540378902636</v>
      </c>
      <c r="BU93" s="4">
        <f>_xlfn.IFNA(VLOOKUP(Grandview_Inventory[[#This Row],[condition]],Lookups!$A$37:$C$44,3,FALSE),1)</f>
        <v>0.97383723671140243</v>
      </c>
      <c r="BV93" s="4">
        <f>IF(Grandview_Inventory[[#This Row],[bldg_style]]="",1,_xlfn.IFNA(VLOOKUP(Grandview_Inventory[[#This Row],[decade]],Lookups!$F$29:$H$43,3,FALSE),1))</f>
        <v>0.98397821291089549</v>
      </c>
      <c r="BW93" s="4">
        <f>_xlfn.IFNA(VLOOKUP(Grandview_Inventory[[#This Row],[living_area_range]],Lookups!$F$47:$H$56,3,FALSE),1)</f>
        <v>0.96120133463014379</v>
      </c>
      <c r="BX93" s="4">
        <f>AVERAGE(Grandview_Inventory[[#This Row],[qual_adj]:[size_adj]])</f>
        <v>0.96715554701036699</v>
      </c>
      <c r="BY93" s="6">
        <f>IF(Grandview_Inventory[[#This Row],[pre_res]]&lt;0,0,Grandview_Inventory[[#This Row],[pre_res]]*Grandview_Inventory[[#This Row],[overall_adj]])</f>
        <v>302192.64451881486</v>
      </c>
      <c r="BZ93" s="6">
        <f>(Grandview_Inventory[[#This Row],[sum_land]]-IF(Grandview_Inventory[[#This Row],[no_utilities]]=1,12000,0))/IF(Grandview_Inventory[[#This Row],[unbuildable]]=1,2,1)</f>
        <v>45695.532079096141</v>
      </c>
      <c r="CA9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3">
        <f>ROUND(Grandview_Inventory[[#This Row],[det_value]]*Lookups!$M$28,-2)</f>
        <v>0</v>
      </c>
      <c r="CC93">
        <f>IF(ROUND(Grandview_Inventory[[#This Row],[adj_res]]*Lookups!$M$28,-2)&lt;Grandview_Inventory[[#This Row],[min_res]],Grandview_Inventory[[#This Row],[min_res]],ROUND(Grandview_Inventory[[#This Row],[adj_res]]*Lookups!$M$28,-2))</f>
        <v>287100</v>
      </c>
      <c r="CD93">
        <f>Grandview_Inventory[[#This Row],[final_det]]+Grandview_Inventory[[#This Row],[final_res]]</f>
        <v>287100</v>
      </c>
      <c r="CE93">
        <f>Grandview_Inventory[[#This Row],[final_land]]+Grandview_Inventory[[#This Row],[final_imp]]+Grandview_Inventory[[#This Row],[crop_value]]</f>
        <v>330500</v>
      </c>
      <c r="CG93" t="str">
        <f t="shared" si="1"/>
        <v>update valuation set market_land =43400, market_bldg=287100, market_total =330500, market_mdno =401, market_date ='9/10/2023' where link_id = (select link_id from parcel where parcel_year = '2024' and parcel_id = '23091432435');</v>
      </c>
    </row>
    <row r="94" spans="1:85" x14ac:dyDescent="0.25">
      <c r="A94">
        <v>23091432436</v>
      </c>
      <c r="B94">
        <v>0.16</v>
      </c>
      <c r="C94">
        <v>7167</v>
      </c>
      <c r="D94" t="s">
        <v>129</v>
      </c>
      <c r="E94" t="s">
        <v>53</v>
      </c>
      <c r="F94" t="s">
        <v>53</v>
      </c>
      <c r="G94">
        <v>4</v>
      </c>
      <c r="H94" t="s">
        <v>54</v>
      </c>
      <c r="I94">
        <v>183900</v>
      </c>
      <c r="J94">
        <v>38600</v>
      </c>
      <c r="K94">
        <v>0.16</v>
      </c>
      <c r="L9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4">
        <v>0</v>
      </c>
      <c r="N94">
        <v>0</v>
      </c>
      <c r="O94">
        <v>0</v>
      </c>
      <c r="P94">
        <v>13398.7528</v>
      </c>
      <c r="Q94">
        <v>63903</v>
      </c>
      <c r="R94">
        <f>(Grandview_Inventory[[#This Row],[ln_acres]]*Grandview_Inventory[[#This Row],[coeff]])+Grandview_Inventory[[#This Row],[const]]</f>
        <v>39348.693981374228</v>
      </c>
      <c r="S94" t="s">
        <v>61</v>
      </c>
      <c r="T94">
        <v>1</v>
      </c>
      <c r="U94" t="s">
        <v>65</v>
      </c>
      <c r="V94" t="s">
        <v>69</v>
      </c>
      <c r="W94">
        <v>0</v>
      </c>
      <c r="X94">
        <v>0</v>
      </c>
      <c r="Y94">
        <v>23</v>
      </c>
      <c r="Z94">
        <v>23</v>
      </c>
      <c r="AA94">
        <v>30</v>
      </c>
      <c r="AB94">
        <v>1500</v>
      </c>
      <c r="AC94">
        <v>1224</v>
      </c>
      <c r="AD94">
        <v>1224</v>
      </c>
      <c r="AE94">
        <v>0</v>
      </c>
      <c r="AF94">
        <v>0</v>
      </c>
      <c r="AG94">
        <v>0</v>
      </c>
      <c r="AH94">
        <v>0</v>
      </c>
      <c r="AI94">
        <v>440</v>
      </c>
      <c r="AJ94">
        <v>0</v>
      </c>
      <c r="AK94">
        <v>0</v>
      </c>
      <c r="AL94">
        <v>0</v>
      </c>
      <c r="AM94">
        <v>0</v>
      </c>
      <c r="AN94">
        <v>56</v>
      </c>
      <c r="AO94">
        <v>0</v>
      </c>
      <c r="AP94">
        <v>8</v>
      </c>
      <c r="AQ94">
        <v>0</v>
      </c>
      <c r="AR94">
        <v>0</v>
      </c>
      <c r="AS94" t="s">
        <v>58</v>
      </c>
      <c r="AT94">
        <v>1</v>
      </c>
      <c r="AU94" t="s">
        <v>63</v>
      </c>
      <c r="AV94" t="s">
        <v>60</v>
      </c>
      <c r="AW94">
        <v>1</v>
      </c>
      <c r="AX94">
        <v>3</v>
      </c>
      <c r="AY94">
        <v>0</v>
      </c>
      <c r="AZ94">
        <v>0</v>
      </c>
      <c r="BA94">
        <v>100</v>
      </c>
      <c r="BB94">
        <v>100</v>
      </c>
      <c r="BC94">
        <v>100</v>
      </c>
      <c r="BD94">
        <v>100</v>
      </c>
      <c r="BE94">
        <v>1</v>
      </c>
      <c r="BF94">
        <v>15000</v>
      </c>
      <c r="BG94">
        <v>1000</v>
      </c>
      <c r="BH94" s="6">
        <f>Grandview_Inventory[[#This Row],[land_extract]]*Lookups!$B$3</f>
        <v>45695.532079096141</v>
      </c>
      <c r="BI94" s="6">
        <f>IF(Grandview_Inventory[[#This Row],[bldg_style]]="",0,Lookups!$B$2)</f>
        <v>155833.95000000001</v>
      </c>
      <c r="BJ94" s="6">
        <f>_xlfn.IFNA(VLOOKUP(Grandview_Inventory[[#This Row],[quality]],Lookups!$H$2:$J$14,3,FALSE),0)</f>
        <v>2251</v>
      </c>
      <c r="BK94" s="6">
        <f>_xlfn.IFNA(VLOOKUP(Grandview_Inventory[[#This Row],[condition]],Lookups!$H$17:$J$24,3,FALSE),0)</f>
        <v>-4503</v>
      </c>
      <c r="BL94" s="6">
        <f>Grandview_Inventory[[#This Row],[Eff_Age]]*Lookups!$B$14</f>
        <v>-5500.8317999999999</v>
      </c>
      <c r="BM94" s="6">
        <f>Grandview_Inventory[[#This Row],[living_area]]*Lookups!$B$15</f>
        <v>76354.164072</v>
      </c>
      <c r="BN94" s="6">
        <f>Grandview_Inventory[[#This Row],[Fin BSMT]]*Lookups!$B$16</f>
        <v>0</v>
      </c>
      <c r="BO94" s="6">
        <f>(Grandview_Inventory[[#This Row],[att_gar]]+Grandview_Inventory[[#This Row],[bltin_gar]])*Lookups!$B$17</f>
        <v>38508.992279999999</v>
      </c>
      <c r="BP94" s="6">
        <f>Grandview_Inventory[[#This Row],[Plumbing Fixtures]]*Lookups!$B$18</f>
        <v>16083.5344</v>
      </c>
      <c r="BQ94" s="6">
        <f>Grandview_Inventory[[#This Row],[detatched_value]]*Lookups!$B$19</f>
        <v>0</v>
      </c>
      <c r="BR94" s="6">
        <f>SUM(Grandview_Inventory[[#This Row],[Intercept]:[det_value]])*Grandview_Inventory[[#This Row],[res_pct]]</f>
        <v>279027.80895200005</v>
      </c>
      <c r="BS94" s="6">
        <f>Grandview_Inventory[[#This Row],[land_value]]</f>
        <v>45695.532079096141</v>
      </c>
      <c r="BT94" s="4">
        <f>_xlfn.IFNA(VLOOKUP(Grandview_Inventory[[#This Row],[quality]],Lookups!$A$26:$C$33,3,FALSE),1)</f>
        <v>0.98763855981004833</v>
      </c>
      <c r="BU94" s="4">
        <f>_xlfn.IFNA(VLOOKUP(Grandview_Inventory[[#This Row],[condition]],Lookups!$A$37:$C$44,3,FALSE),1)</f>
        <v>0.96469275950863709</v>
      </c>
      <c r="BV94" s="4">
        <f>IF(Grandview_Inventory[[#This Row],[bldg_style]]="",1,_xlfn.IFNA(VLOOKUP(Grandview_Inventory[[#This Row],[decade]],Lookups!$F$29:$H$43,3,FALSE),1))</f>
        <v>0.98397821291089549</v>
      </c>
      <c r="BW94" s="4">
        <f>_xlfn.IFNA(VLOOKUP(Grandview_Inventory[[#This Row],[living_area_range]],Lookups!$F$47:$H$56,3,FALSE),1)</f>
        <v>0.96135087979789358</v>
      </c>
      <c r="BX94" s="4">
        <f>AVERAGE(Grandview_Inventory[[#This Row],[qual_adj]:[size_adj]])</f>
        <v>0.97441510300686862</v>
      </c>
      <c r="BY94" s="6">
        <f>IF(Grandview_Inventory[[#This Row],[pre_res]]&lt;0,0,Grandview_Inventory[[#This Row],[pre_res]]*Grandview_Inventory[[#This Row],[overall_adj]])</f>
        <v>271888.91120174399</v>
      </c>
      <c r="BZ94" s="6">
        <f>(Grandview_Inventory[[#This Row],[sum_land]]-IF(Grandview_Inventory[[#This Row],[no_utilities]]=1,12000,0))/IF(Grandview_Inventory[[#This Row],[unbuildable]]=1,2,1)</f>
        <v>45695.532079096141</v>
      </c>
      <c r="CA9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4">
        <f>ROUND(Grandview_Inventory[[#This Row],[det_value]]*Lookups!$M$28,-2)</f>
        <v>0</v>
      </c>
      <c r="CC94">
        <f>IF(ROUND(Grandview_Inventory[[#This Row],[adj_res]]*Lookups!$M$28,-2)&lt;Grandview_Inventory[[#This Row],[min_res]],Grandview_Inventory[[#This Row],[min_res]],ROUND(Grandview_Inventory[[#This Row],[adj_res]]*Lookups!$M$28,-2))</f>
        <v>258300</v>
      </c>
      <c r="CD94">
        <f>Grandview_Inventory[[#This Row],[final_det]]+Grandview_Inventory[[#This Row],[final_res]]</f>
        <v>258300</v>
      </c>
      <c r="CE94">
        <f>Grandview_Inventory[[#This Row],[final_land]]+Grandview_Inventory[[#This Row],[final_imp]]+Grandview_Inventory[[#This Row],[crop_value]]</f>
        <v>301700</v>
      </c>
      <c r="CG94" t="str">
        <f t="shared" si="1"/>
        <v>update valuation set market_land =43400, market_bldg=258300, market_total =301700, market_mdno =401, market_date ='9/10/2023' where link_id = (select link_id from parcel where parcel_year = '2024' and parcel_id = '23091432436');</v>
      </c>
    </row>
    <row r="95" spans="1:85" x14ac:dyDescent="0.25">
      <c r="A95">
        <v>23091432437</v>
      </c>
      <c r="B95">
        <v>0.16</v>
      </c>
      <c r="C95">
        <v>6997</v>
      </c>
      <c r="D95" t="s">
        <v>129</v>
      </c>
      <c r="E95" t="s">
        <v>53</v>
      </c>
      <c r="F95" t="s">
        <v>53</v>
      </c>
      <c r="G95">
        <v>4</v>
      </c>
      <c r="H95" t="s">
        <v>54</v>
      </c>
      <c r="I95">
        <v>184300</v>
      </c>
      <c r="J95">
        <v>43000</v>
      </c>
      <c r="K95">
        <v>0.16</v>
      </c>
      <c r="L9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5">
        <v>0</v>
      </c>
      <c r="N95">
        <v>0</v>
      </c>
      <c r="O95">
        <v>0</v>
      </c>
      <c r="P95">
        <v>13398.7528</v>
      </c>
      <c r="Q95">
        <v>63903</v>
      </c>
      <c r="R95">
        <f>(Grandview_Inventory[[#This Row],[ln_acres]]*Grandview_Inventory[[#This Row],[coeff]])+Grandview_Inventory[[#This Row],[const]]</f>
        <v>39348.693981374228</v>
      </c>
      <c r="S95" t="s">
        <v>61</v>
      </c>
      <c r="T95">
        <v>1</v>
      </c>
      <c r="U95" t="s">
        <v>65</v>
      </c>
      <c r="V95" t="s">
        <v>69</v>
      </c>
      <c r="W95">
        <v>0</v>
      </c>
      <c r="X95">
        <v>0</v>
      </c>
      <c r="Y95">
        <v>21</v>
      </c>
      <c r="Z95">
        <v>21</v>
      </c>
      <c r="AA95">
        <v>30</v>
      </c>
      <c r="AB95">
        <v>1500</v>
      </c>
      <c r="AC95">
        <v>1224</v>
      </c>
      <c r="AD95">
        <v>1224</v>
      </c>
      <c r="AE95">
        <v>0</v>
      </c>
      <c r="AF95">
        <v>0</v>
      </c>
      <c r="AG95">
        <v>0</v>
      </c>
      <c r="AH95">
        <v>0</v>
      </c>
      <c r="AI95">
        <v>440</v>
      </c>
      <c r="AJ95">
        <v>0</v>
      </c>
      <c r="AK95">
        <v>0</v>
      </c>
      <c r="AL95">
        <v>0</v>
      </c>
      <c r="AM95">
        <v>0</v>
      </c>
      <c r="AN95">
        <v>56</v>
      </c>
      <c r="AO95">
        <v>0</v>
      </c>
      <c r="AP95">
        <v>8</v>
      </c>
      <c r="AQ95">
        <v>0</v>
      </c>
      <c r="AR95">
        <v>0</v>
      </c>
      <c r="AS95" t="s">
        <v>58</v>
      </c>
      <c r="AT95">
        <v>1</v>
      </c>
      <c r="AU95" t="s">
        <v>63</v>
      </c>
      <c r="AV95" t="s">
        <v>60</v>
      </c>
      <c r="AW95">
        <v>1</v>
      </c>
      <c r="AX95">
        <v>3</v>
      </c>
      <c r="AY95">
        <v>0</v>
      </c>
      <c r="AZ95">
        <v>0</v>
      </c>
      <c r="BA95">
        <v>100</v>
      </c>
      <c r="BB95">
        <v>100</v>
      </c>
      <c r="BC95">
        <v>100</v>
      </c>
      <c r="BD95">
        <v>100</v>
      </c>
      <c r="BE95">
        <v>1</v>
      </c>
      <c r="BF95">
        <v>15000</v>
      </c>
      <c r="BG95">
        <v>1000</v>
      </c>
      <c r="BH95" s="6">
        <f>Grandview_Inventory[[#This Row],[land_extract]]*Lookups!$B$3</f>
        <v>45695.532079096141</v>
      </c>
      <c r="BI95" s="6">
        <f>IF(Grandview_Inventory[[#This Row],[bldg_style]]="",0,Lookups!$B$2)</f>
        <v>155833.95000000001</v>
      </c>
      <c r="BJ95" s="6">
        <f>_xlfn.IFNA(VLOOKUP(Grandview_Inventory[[#This Row],[quality]],Lookups!$H$2:$J$14,3,FALSE),0)</f>
        <v>2251</v>
      </c>
      <c r="BK95" s="6">
        <f>_xlfn.IFNA(VLOOKUP(Grandview_Inventory[[#This Row],[condition]],Lookups!$H$17:$J$24,3,FALSE),0)</f>
        <v>-4503</v>
      </c>
      <c r="BL95" s="6">
        <f>Grandview_Inventory[[#This Row],[Eff_Age]]*Lookups!$B$14</f>
        <v>-5022.4985999999999</v>
      </c>
      <c r="BM95" s="6">
        <f>Grandview_Inventory[[#This Row],[living_area]]*Lookups!$B$15</f>
        <v>76354.164072</v>
      </c>
      <c r="BN95" s="6">
        <f>Grandview_Inventory[[#This Row],[Fin BSMT]]*Lookups!$B$16</f>
        <v>0</v>
      </c>
      <c r="BO95" s="6">
        <f>(Grandview_Inventory[[#This Row],[att_gar]]+Grandview_Inventory[[#This Row],[bltin_gar]])*Lookups!$B$17</f>
        <v>38508.992279999999</v>
      </c>
      <c r="BP95" s="6">
        <f>Grandview_Inventory[[#This Row],[Plumbing Fixtures]]*Lookups!$B$18</f>
        <v>16083.5344</v>
      </c>
      <c r="BQ95" s="6">
        <f>Grandview_Inventory[[#This Row],[detatched_value]]*Lookups!$B$19</f>
        <v>0</v>
      </c>
      <c r="BR95" s="6">
        <f>SUM(Grandview_Inventory[[#This Row],[Intercept]:[det_value]])*Grandview_Inventory[[#This Row],[res_pct]]</f>
        <v>279506.14215200004</v>
      </c>
      <c r="BS95" s="6">
        <f>Grandview_Inventory[[#This Row],[land_value]]</f>
        <v>45695.532079096141</v>
      </c>
      <c r="BT95" s="4">
        <f>_xlfn.IFNA(VLOOKUP(Grandview_Inventory[[#This Row],[quality]],Lookups!$A$26:$C$33,3,FALSE),1)</f>
        <v>0.98763855981004833</v>
      </c>
      <c r="BU95" s="4">
        <f>_xlfn.IFNA(VLOOKUP(Grandview_Inventory[[#This Row],[condition]],Lookups!$A$37:$C$44,3,FALSE),1)</f>
        <v>0.96469275950863709</v>
      </c>
      <c r="BV95" s="4">
        <f>IF(Grandview_Inventory[[#This Row],[bldg_style]]="",1,_xlfn.IFNA(VLOOKUP(Grandview_Inventory[[#This Row],[decade]],Lookups!$F$29:$H$43,3,FALSE),1))</f>
        <v>0.98397821291089549</v>
      </c>
      <c r="BW95" s="4">
        <f>_xlfn.IFNA(VLOOKUP(Grandview_Inventory[[#This Row],[living_area_range]],Lookups!$F$47:$H$56,3,FALSE),1)</f>
        <v>0.96135087979789358</v>
      </c>
      <c r="BX95" s="4">
        <f>AVERAGE(Grandview_Inventory[[#This Row],[qual_adj]:[size_adj]])</f>
        <v>0.97441510300686862</v>
      </c>
      <c r="BY95" s="6">
        <f>IF(Grandview_Inventory[[#This Row],[pre_res]]&lt;0,0,Grandview_Inventory[[#This Row],[pre_res]]*Grandview_Inventory[[#This Row],[overall_adj]])</f>
        <v>272355.00629609358</v>
      </c>
      <c r="BZ95" s="6">
        <f>(Grandview_Inventory[[#This Row],[sum_land]]-IF(Grandview_Inventory[[#This Row],[no_utilities]]=1,12000,0))/IF(Grandview_Inventory[[#This Row],[unbuildable]]=1,2,1)</f>
        <v>45695.532079096141</v>
      </c>
      <c r="CA9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5">
        <f>ROUND(Grandview_Inventory[[#This Row],[det_value]]*Lookups!$M$28,-2)</f>
        <v>0</v>
      </c>
      <c r="CC95">
        <f>IF(ROUND(Grandview_Inventory[[#This Row],[adj_res]]*Lookups!$M$28,-2)&lt;Grandview_Inventory[[#This Row],[min_res]],Grandview_Inventory[[#This Row],[min_res]],ROUND(Grandview_Inventory[[#This Row],[adj_res]]*Lookups!$M$28,-2))</f>
        <v>258700</v>
      </c>
      <c r="CD95">
        <f>Grandview_Inventory[[#This Row],[final_det]]+Grandview_Inventory[[#This Row],[final_res]]</f>
        <v>258700</v>
      </c>
      <c r="CE95">
        <f>Grandview_Inventory[[#This Row],[final_land]]+Grandview_Inventory[[#This Row],[final_imp]]+Grandview_Inventory[[#This Row],[crop_value]]</f>
        <v>302100</v>
      </c>
      <c r="CG95" t="str">
        <f t="shared" si="1"/>
        <v>update valuation set market_land =43400, market_bldg=258700, market_total =302100, market_mdno =401, market_date ='9/10/2023' where link_id = (select link_id from parcel where parcel_year = '2024' and parcel_id = '23091432437');</v>
      </c>
    </row>
    <row r="96" spans="1:85" x14ac:dyDescent="0.25">
      <c r="A96">
        <v>23091432438</v>
      </c>
      <c r="B96">
        <v>0.16</v>
      </c>
      <c r="C96">
        <v>7176</v>
      </c>
      <c r="D96" t="s">
        <v>129</v>
      </c>
      <c r="E96" t="s">
        <v>53</v>
      </c>
      <c r="F96" t="s">
        <v>53</v>
      </c>
      <c r="G96">
        <v>4</v>
      </c>
      <c r="H96" t="s">
        <v>54</v>
      </c>
      <c r="I96">
        <v>216200</v>
      </c>
      <c r="J96">
        <v>38800</v>
      </c>
      <c r="K96">
        <v>0.16</v>
      </c>
      <c r="L9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6">
        <v>0</v>
      </c>
      <c r="N96">
        <v>0</v>
      </c>
      <c r="O96">
        <v>0</v>
      </c>
      <c r="P96">
        <v>13398.7528</v>
      </c>
      <c r="Q96">
        <v>63903</v>
      </c>
      <c r="R96">
        <f>(Grandview_Inventory[[#This Row],[ln_acres]]*Grandview_Inventory[[#This Row],[coeff]])+Grandview_Inventory[[#This Row],[const]]</f>
        <v>39348.693981374228</v>
      </c>
      <c r="S96" t="s">
        <v>61</v>
      </c>
      <c r="T96">
        <v>1</v>
      </c>
      <c r="U96" t="s">
        <v>65</v>
      </c>
      <c r="V96" t="s">
        <v>67</v>
      </c>
      <c r="W96">
        <v>0</v>
      </c>
      <c r="X96">
        <v>0</v>
      </c>
      <c r="Y96">
        <v>21</v>
      </c>
      <c r="Z96">
        <v>21</v>
      </c>
      <c r="AA96">
        <v>30</v>
      </c>
      <c r="AB96">
        <v>1500</v>
      </c>
      <c r="AC96">
        <v>1397</v>
      </c>
      <c r="AD96">
        <v>1397</v>
      </c>
      <c r="AE96">
        <v>0</v>
      </c>
      <c r="AF96">
        <v>0</v>
      </c>
      <c r="AG96">
        <v>0</v>
      </c>
      <c r="AH96">
        <v>0</v>
      </c>
      <c r="AI96">
        <v>400</v>
      </c>
      <c r="AJ96">
        <v>0</v>
      </c>
      <c r="AK96">
        <v>0</v>
      </c>
      <c r="AL96">
        <v>0</v>
      </c>
      <c r="AM96">
        <v>0</v>
      </c>
      <c r="AN96">
        <v>109</v>
      </c>
      <c r="AO96">
        <v>0</v>
      </c>
      <c r="AP96">
        <v>8</v>
      </c>
      <c r="AQ96">
        <v>0</v>
      </c>
      <c r="AR96">
        <v>0</v>
      </c>
      <c r="AS96" t="s">
        <v>58</v>
      </c>
      <c r="AT96">
        <v>1</v>
      </c>
      <c r="AU96" t="s">
        <v>63</v>
      </c>
      <c r="AV96" t="s">
        <v>60</v>
      </c>
      <c r="AW96">
        <v>0</v>
      </c>
      <c r="AX96">
        <v>5</v>
      </c>
      <c r="AY96">
        <v>0</v>
      </c>
      <c r="AZ96">
        <v>0</v>
      </c>
      <c r="BA96">
        <v>100</v>
      </c>
      <c r="BB96">
        <v>100</v>
      </c>
      <c r="BC96">
        <v>100</v>
      </c>
      <c r="BD96">
        <v>100</v>
      </c>
      <c r="BE96">
        <v>1</v>
      </c>
      <c r="BF96">
        <v>15000</v>
      </c>
      <c r="BG96">
        <v>1000</v>
      </c>
      <c r="BH96" s="6">
        <f>Grandview_Inventory[[#This Row],[land_extract]]*Lookups!$B$3</f>
        <v>45695.532079096141</v>
      </c>
      <c r="BI96" s="6">
        <f>IF(Grandview_Inventory[[#This Row],[bldg_style]]="",0,Lookups!$B$2)</f>
        <v>155833.95000000001</v>
      </c>
      <c r="BJ96" s="6">
        <f>_xlfn.IFNA(VLOOKUP(Grandview_Inventory[[#This Row],[quality]],Lookups!$H$2:$J$14,3,FALSE),0)</f>
        <v>2251</v>
      </c>
      <c r="BK96" s="6">
        <f>_xlfn.IFNA(VLOOKUP(Grandview_Inventory[[#This Row],[condition]],Lookups!$H$17:$J$24,3,FALSE),0)</f>
        <v>22342</v>
      </c>
      <c r="BL96" s="6">
        <f>Grandview_Inventory[[#This Row],[Eff_Age]]*Lookups!$B$14</f>
        <v>-5022.4985999999999</v>
      </c>
      <c r="BM96" s="6">
        <f>Grandview_Inventory[[#This Row],[living_area]]*Lookups!$B$15</f>
        <v>87146.051640999998</v>
      </c>
      <c r="BN96" s="6">
        <f>Grandview_Inventory[[#This Row],[Fin BSMT]]*Lookups!$B$16</f>
        <v>0</v>
      </c>
      <c r="BO96" s="6">
        <f>(Grandview_Inventory[[#This Row],[att_gar]]+Grandview_Inventory[[#This Row],[bltin_gar]])*Lookups!$B$17</f>
        <v>35008.174800000001</v>
      </c>
      <c r="BP96" s="6">
        <f>Grandview_Inventory[[#This Row],[Plumbing Fixtures]]*Lookups!$B$18</f>
        <v>16083.5344</v>
      </c>
      <c r="BQ96" s="6">
        <f>Grandview_Inventory[[#This Row],[detatched_value]]*Lookups!$B$19</f>
        <v>0</v>
      </c>
      <c r="BR96" s="6">
        <f>SUM(Grandview_Inventory[[#This Row],[Intercept]:[det_value]])*Grandview_Inventory[[#This Row],[res_pct]]</f>
        <v>313642.21224099997</v>
      </c>
      <c r="BS96" s="6">
        <f>Grandview_Inventory[[#This Row],[land_value]]</f>
        <v>45695.532079096141</v>
      </c>
      <c r="BT96" s="4">
        <f>_xlfn.IFNA(VLOOKUP(Grandview_Inventory[[#This Row],[quality]],Lookups!$A$26:$C$33,3,FALSE),1)</f>
        <v>0.98763855981004833</v>
      </c>
      <c r="BU96" s="4">
        <f>_xlfn.IFNA(VLOOKUP(Grandview_Inventory[[#This Row],[condition]],Lookups!$A$37:$C$44,3,FALSE),1)</f>
        <v>0.97383723671140243</v>
      </c>
      <c r="BV96" s="4">
        <f>IF(Grandview_Inventory[[#This Row],[bldg_style]]="",1,_xlfn.IFNA(VLOOKUP(Grandview_Inventory[[#This Row],[decade]],Lookups!$F$29:$H$43,3,FALSE),1))</f>
        <v>0.98397821291089549</v>
      </c>
      <c r="BW96" s="4">
        <f>_xlfn.IFNA(VLOOKUP(Grandview_Inventory[[#This Row],[living_area_range]],Lookups!$F$47:$H$56,3,FALSE),1)</f>
        <v>0.96135087979789358</v>
      </c>
      <c r="BX96" s="4">
        <f>AVERAGE(Grandview_Inventory[[#This Row],[qual_adj]:[size_adj]])</f>
        <v>0.97670122230755996</v>
      </c>
      <c r="BY96" s="6">
        <f>IF(Grandview_Inventory[[#This Row],[pre_res]]&lt;0,0,Grandview_Inventory[[#This Row],[pre_res]]*Grandview_Inventory[[#This Row],[overall_adj]])</f>
        <v>306334.73206303181</v>
      </c>
      <c r="BZ96" s="6">
        <f>(Grandview_Inventory[[#This Row],[sum_land]]-IF(Grandview_Inventory[[#This Row],[no_utilities]]=1,12000,0))/IF(Grandview_Inventory[[#This Row],[unbuildable]]=1,2,1)</f>
        <v>45695.532079096141</v>
      </c>
      <c r="CA9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6">
        <f>ROUND(Grandview_Inventory[[#This Row],[det_value]]*Lookups!$M$28,-2)</f>
        <v>0</v>
      </c>
      <c r="CC96">
        <f>IF(ROUND(Grandview_Inventory[[#This Row],[adj_res]]*Lookups!$M$28,-2)&lt;Grandview_Inventory[[#This Row],[min_res]],Grandview_Inventory[[#This Row],[min_res]],ROUND(Grandview_Inventory[[#This Row],[adj_res]]*Lookups!$M$28,-2))</f>
        <v>291000</v>
      </c>
      <c r="CD96">
        <f>Grandview_Inventory[[#This Row],[final_det]]+Grandview_Inventory[[#This Row],[final_res]]</f>
        <v>291000</v>
      </c>
      <c r="CE96">
        <f>Grandview_Inventory[[#This Row],[final_land]]+Grandview_Inventory[[#This Row],[final_imp]]+Grandview_Inventory[[#This Row],[crop_value]]</f>
        <v>334400</v>
      </c>
      <c r="CG96" t="str">
        <f t="shared" si="1"/>
        <v>update valuation set market_land =43400, market_bldg=291000, market_total =334400, market_mdno =401, market_date ='9/10/2023' where link_id = (select link_id from parcel where parcel_year = '2024' and parcel_id = '23091432438');</v>
      </c>
    </row>
    <row r="97" spans="1:85" x14ac:dyDescent="0.25">
      <c r="A97">
        <v>23091432439</v>
      </c>
      <c r="B97">
        <v>0.16</v>
      </c>
      <c r="C97">
        <v>7064</v>
      </c>
      <c r="D97" t="s">
        <v>129</v>
      </c>
      <c r="E97" t="s">
        <v>53</v>
      </c>
      <c r="F97" t="s">
        <v>53</v>
      </c>
      <c r="G97">
        <v>4</v>
      </c>
      <c r="H97" t="s">
        <v>54</v>
      </c>
      <c r="I97">
        <v>192300</v>
      </c>
      <c r="J97">
        <v>38800</v>
      </c>
      <c r="K97">
        <v>0.16</v>
      </c>
      <c r="L9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7">
        <v>0</v>
      </c>
      <c r="N97">
        <v>0</v>
      </c>
      <c r="O97">
        <v>0</v>
      </c>
      <c r="P97">
        <v>13398.7528</v>
      </c>
      <c r="Q97">
        <v>63903</v>
      </c>
      <c r="R97">
        <f>(Grandview_Inventory[[#This Row],[ln_acres]]*Grandview_Inventory[[#This Row],[coeff]])+Grandview_Inventory[[#This Row],[const]]</f>
        <v>39348.693981374228</v>
      </c>
      <c r="S97" t="s">
        <v>61</v>
      </c>
      <c r="T97">
        <v>1</v>
      </c>
      <c r="U97" t="s">
        <v>65</v>
      </c>
      <c r="V97" t="s">
        <v>69</v>
      </c>
      <c r="W97">
        <v>0</v>
      </c>
      <c r="X97">
        <v>0</v>
      </c>
      <c r="Y97">
        <v>23</v>
      </c>
      <c r="Z97">
        <v>23</v>
      </c>
      <c r="AA97">
        <v>30</v>
      </c>
      <c r="AB97">
        <v>1500</v>
      </c>
      <c r="AC97">
        <v>1324</v>
      </c>
      <c r="AD97">
        <v>1324</v>
      </c>
      <c r="AE97">
        <v>0</v>
      </c>
      <c r="AF97">
        <v>0</v>
      </c>
      <c r="AG97">
        <v>0</v>
      </c>
      <c r="AH97">
        <v>0</v>
      </c>
      <c r="AI97">
        <v>464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8</v>
      </c>
      <c r="AQ97">
        <v>0</v>
      </c>
      <c r="AR97">
        <v>0</v>
      </c>
      <c r="AS97" t="s">
        <v>58</v>
      </c>
      <c r="AT97">
        <v>1</v>
      </c>
      <c r="AU97" t="s">
        <v>63</v>
      </c>
      <c r="AV97" t="s">
        <v>60</v>
      </c>
      <c r="AW97">
        <v>1</v>
      </c>
      <c r="AX97">
        <v>4</v>
      </c>
      <c r="AY97">
        <v>0</v>
      </c>
      <c r="AZ97">
        <v>0</v>
      </c>
      <c r="BA97">
        <v>100</v>
      </c>
      <c r="BB97">
        <v>100</v>
      </c>
      <c r="BC97">
        <v>100</v>
      </c>
      <c r="BD97">
        <v>100</v>
      </c>
      <c r="BE97">
        <v>1</v>
      </c>
      <c r="BF97">
        <v>15000</v>
      </c>
      <c r="BG97">
        <v>1000</v>
      </c>
      <c r="BH97" s="6">
        <f>Grandview_Inventory[[#This Row],[land_extract]]*Lookups!$B$3</f>
        <v>45695.532079096141</v>
      </c>
      <c r="BI97" s="6">
        <f>IF(Grandview_Inventory[[#This Row],[bldg_style]]="",0,Lookups!$B$2)</f>
        <v>155833.95000000001</v>
      </c>
      <c r="BJ97" s="6">
        <f>_xlfn.IFNA(VLOOKUP(Grandview_Inventory[[#This Row],[quality]],Lookups!$H$2:$J$14,3,FALSE),0)</f>
        <v>2251</v>
      </c>
      <c r="BK97" s="6">
        <f>_xlfn.IFNA(VLOOKUP(Grandview_Inventory[[#This Row],[condition]],Lookups!$H$17:$J$24,3,FALSE),0)</f>
        <v>-4503</v>
      </c>
      <c r="BL97" s="6">
        <f>Grandview_Inventory[[#This Row],[Eff_Age]]*Lookups!$B$14</f>
        <v>-5500.8317999999999</v>
      </c>
      <c r="BM97" s="6">
        <f>Grandview_Inventory[[#This Row],[living_area]]*Lookups!$B$15</f>
        <v>82592.249372000006</v>
      </c>
      <c r="BN97" s="6">
        <f>Grandview_Inventory[[#This Row],[Fin BSMT]]*Lookups!$B$16</f>
        <v>0</v>
      </c>
      <c r="BO97" s="6">
        <f>(Grandview_Inventory[[#This Row],[att_gar]]+Grandview_Inventory[[#This Row],[bltin_gar]])*Lookups!$B$17</f>
        <v>40609.482768000002</v>
      </c>
      <c r="BP97" s="6">
        <f>Grandview_Inventory[[#This Row],[Plumbing Fixtures]]*Lookups!$B$18</f>
        <v>16083.5344</v>
      </c>
      <c r="BQ97" s="6">
        <f>Grandview_Inventory[[#This Row],[detatched_value]]*Lookups!$B$19</f>
        <v>0</v>
      </c>
      <c r="BR97" s="6">
        <f>SUM(Grandview_Inventory[[#This Row],[Intercept]:[det_value]])*Grandview_Inventory[[#This Row],[res_pct]]</f>
        <v>287366.38474000001</v>
      </c>
      <c r="BS97" s="6">
        <f>Grandview_Inventory[[#This Row],[land_value]]</f>
        <v>45695.532079096141</v>
      </c>
      <c r="BT97" s="4">
        <f>_xlfn.IFNA(VLOOKUP(Grandview_Inventory[[#This Row],[quality]],Lookups!$A$26:$C$33,3,FALSE),1)</f>
        <v>0.98763855981004833</v>
      </c>
      <c r="BU97" s="4">
        <f>_xlfn.IFNA(VLOOKUP(Grandview_Inventory[[#This Row],[condition]],Lookups!$A$37:$C$44,3,FALSE),1)</f>
        <v>0.96469275950863709</v>
      </c>
      <c r="BV97" s="4">
        <f>IF(Grandview_Inventory[[#This Row],[bldg_style]]="",1,_xlfn.IFNA(VLOOKUP(Grandview_Inventory[[#This Row],[decade]],Lookups!$F$29:$H$43,3,FALSE),1))</f>
        <v>0.98397821291089549</v>
      </c>
      <c r="BW97" s="4">
        <f>_xlfn.IFNA(VLOOKUP(Grandview_Inventory[[#This Row],[living_area_range]],Lookups!$F$47:$H$56,3,FALSE),1)</f>
        <v>0.96135087979789358</v>
      </c>
      <c r="BX97" s="4">
        <f>AVERAGE(Grandview_Inventory[[#This Row],[qual_adj]:[size_adj]])</f>
        <v>0.97441510300686862</v>
      </c>
      <c r="BY97" s="6">
        <f>IF(Grandview_Inventory[[#This Row],[pre_res]]&lt;0,0,Grandview_Inventory[[#This Row],[pre_res]]*Grandview_Inventory[[#This Row],[overall_adj]])</f>
        <v>280014.14538713853</v>
      </c>
      <c r="BZ97" s="6">
        <f>(Grandview_Inventory[[#This Row],[sum_land]]-IF(Grandview_Inventory[[#This Row],[no_utilities]]=1,12000,0))/IF(Grandview_Inventory[[#This Row],[unbuildable]]=1,2,1)</f>
        <v>45695.532079096141</v>
      </c>
      <c r="CA9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7">
        <f>ROUND(Grandview_Inventory[[#This Row],[det_value]]*Lookups!$M$28,-2)</f>
        <v>0</v>
      </c>
      <c r="CC97">
        <f>IF(ROUND(Grandview_Inventory[[#This Row],[adj_res]]*Lookups!$M$28,-2)&lt;Grandview_Inventory[[#This Row],[min_res]],Grandview_Inventory[[#This Row],[min_res]],ROUND(Grandview_Inventory[[#This Row],[adj_res]]*Lookups!$M$28,-2))</f>
        <v>266000</v>
      </c>
      <c r="CD97">
        <f>Grandview_Inventory[[#This Row],[final_det]]+Grandview_Inventory[[#This Row],[final_res]]</f>
        <v>266000</v>
      </c>
      <c r="CE97">
        <f>Grandview_Inventory[[#This Row],[final_land]]+Grandview_Inventory[[#This Row],[final_imp]]+Grandview_Inventory[[#This Row],[crop_value]]</f>
        <v>309400</v>
      </c>
      <c r="CG97" t="str">
        <f t="shared" si="1"/>
        <v>update valuation set market_land =43400, market_bldg=266000, market_total =309400, market_mdno =401, market_date ='9/10/2023' where link_id = (select link_id from parcel where parcel_year = '2024' and parcel_id = '23091432439');</v>
      </c>
    </row>
    <row r="98" spans="1:85" x14ac:dyDescent="0.25">
      <c r="A98">
        <v>23091432440</v>
      </c>
      <c r="B98">
        <v>0.16</v>
      </c>
      <c r="C98">
        <v>6810</v>
      </c>
      <c r="D98" t="s">
        <v>129</v>
      </c>
      <c r="E98" t="s">
        <v>53</v>
      </c>
      <c r="F98" t="s">
        <v>53</v>
      </c>
      <c r="G98">
        <v>4</v>
      </c>
      <c r="H98" t="s">
        <v>54</v>
      </c>
      <c r="I98">
        <v>232100</v>
      </c>
      <c r="J98">
        <v>38400</v>
      </c>
      <c r="K98">
        <v>0.16</v>
      </c>
      <c r="L9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8">
        <v>0</v>
      </c>
      <c r="N98">
        <v>0</v>
      </c>
      <c r="O98">
        <v>0</v>
      </c>
      <c r="P98">
        <v>13398.7528</v>
      </c>
      <c r="Q98">
        <v>63903</v>
      </c>
      <c r="R98">
        <f>(Grandview_Inventory[[#This Row],[ln_acres]]*Grandview_Inventory[[#This Row],[coeff]])+Grandview_Inventory[[#This Row],[const]]</f>
        <v>39348.693981374228</v>
      </c>
      <c r="S98" t="s">
        <v>61</v>
      </c>
      <c r="T98">
        <v>1</v>
      </c>
      <c r="U98" t="s">
        <v>65</v>
      </c>
      <c r="V98" t="s">
        <v>67</v>
      </c>
      <c r="W98">
        <v>0</v>
      </c>
      <c r="X98">
        <v>0</v>
      </c>
      <c r="Y98">
        <v>21</v>
      </c>
      <c r="Z98">
        <v>21</v>
      </c>
      <c r="AA98">
        <v>30</v>
      </c>
      <c r="AB98">
        <v>1500</v>
      </c>
      <c r="AC98">
        <v>1368</v>
      </c>
      <c r="AD98">
        <v>1368</v>
      </c>
      <c r="AE98">
        <v>0</v>
      </c>
      <c r="AF98">
        <v>0</v>
      </c>
      <c r="AG98">
        <v>0</v>
      </c>
      <c r="AH98">
        <v>0</v>
      </c>
      <c r="AI98">
        <v>440</v>
      </c>
      <c r="AJ98">
        <v>0</v>
      </c>
      <c r="AK98">
        <v>0</v>
      </c>
      <c r="AL98">
        <v>0</v>
      </c>
      <c r="AM98">
        <v>0</v>
      </c>
      <c r="AN98">
        <v>64</v>
      </c>
      <c r="AO98">
        <v>0</v>
      </c>
      <c r="AP98">
        <v>8</v>
      </c>
      <c r="AQ98">
        <v>0</v>
      </c>
      <c r="AR98">
        <v>0</v>
      </c>
      <c r="AS98" t="s">
        <v>58</v>
      </c>
      <c r="AT98">
        <v>1</v>
      </c>
      <c r="AU98" t="s">
        <v>63</v>
      </c>
      <c r="AV98" t="s">
        <v>60</v>
      </c>
      <c r="AW98">
        <v>1</v>
      </c>
      <c r="AX98">
        <v>4</v>
      </c>
      <c r="AY98">
        <v>0</v>
      </c>
      <c r="AZ98">
        <v>0</v>
      </c>
      <c r="BA98">
        <v>100</v>
      </c>
      <c r="BB98">
        <v>100</v>
      </c>
      <c r="BC98">
        <v>100</v>
      </c>
      <c r="BD98">
        <v>100</v>
      </c>
      <c r="BE98">
        <v>1</v>
      </c>
      <c r="BF98">
        <v>15000</v>
      </c>
      <c r="BG98">
        <v>1000</v>
      </c>
      <c r="BH98" s="6">
        <f>Grandview_Inventory[[#This Row],[land_extract]]*Lookups!$B$3</f>
        <v>45695.532079096141</v>
      </c>
      <c r="BI98" s="6">
        <f>IF(Grandview_Inventory[[#This Row],[bldg_style]]="",0,Lookups!$B$2)</f>
        <v>155833.95000000001</v>
      </c>
      <c r="BJ98" s="6">
        <f>_xlfn.IFNA(VLOOKUP(Grandview_Inventory[[#This Row],[quality]],Lookups!$H$2:$J$14,3,FALSE),0)</f>
        <v>2251</v>
      </c>
      <c r="BK98" s="6">
        <f>_xlfn.IFNA(VLOOKUP(Grandview_Inventory[[#This Row],[condition]],Lookups!$H$17:$J$24,3,FALSE),0)</f>
        <v>22342</v>
      </c>
      <c r="BL98" s="6">
        <f>Grandview_Inventory[[#This Row],[Eff_Age]]*Lookups!$B$14</f>
        <v>-5022.4985999999999</v>
      </c>
      <c r="BM98" s="6">
        <f>Grandview_Inventory[[#This Row],[living_area]]*Lookups!$B$15</f>
        <v>85337.006904000009</v>
      </c>
      <c r="BN98" s="6">
        <f>Grandview_Inventory[[#This Row],[Fin BSMT]]*Lookups!$B$16</f>
        <v>0</v>
      </c>
      <c r="BO98" s="6">
        <f>(Grandview_Inventory[[#This Row],[att_gar]]+Grandview_Inventory[[#This Row],[bltin_gar]])*Lookups!$B$17</f>
        <v>38508.992279999999</v>
      </c>
      <c r="BP98" s="6">
        <f>Grandview_Inventory[[#This Row],[Plumbing Fixtures]]*Lookups!$B$18</f>
        <v>16083.5344</v>
      </c>
      <c r="BQ98" s="6">
        <f>Grandview_Inventory[[#This Row],[detatched_value]]*Lookups!$B$19</f>
        <v>0</v>
      </c>
      <c r="BR98" s="6">
        <f>SUM(Grandview_Inventory[[#This Row],[Intercept]:[det_value]])*Grandview_Inventory[[#This Row],[res_pct]]</f>
        <v>315333.98498400004</v>
      </c>
      <c r="BS98" s="6">
        <f>Grandview_Inventory[[#This Row],[land_value]]</f>
        <v>45695.532079096141</v>
      </c>
      <c r="BT98" s="4">
        <f>_xlfn.IFNA(VLOOKUP(Grandview_Inventory[[#This Row],[quality]],Lookups!$A$26:$C$33,3,FALSE),1)</f>
        <v>0.98763855981004833</v>
      </c>
      <c r="BU98" s="4">
        <f>_xlfn.IFNA(VLOOKUP(Grandview_Inventory[[#This Row],[condition]],Lookups!$A$37:$C$44,3,FALSE),1)</f>
        <v>0.97383723671140243</v>
      </c>
      <c r="BV98" s="4">
        <f>IF(Grandview_Inventory[[#This Row],[bldg_style]]="",1,_xlfn.IFNA(VLOOKUP(Grandview_Inventory[[#This Row],[decade]],Lookups!$F$29:$H$43,3,FALSE),1))</f>
        <v>0.98397821291089549</v>
      </c>
      <c r="BW98" s="4">
        <f>_xlfn.IFNA(VLOOKUP(Grandview_Inventory[[#This Row],[living_area_range]],Lookups!$F$47:$H$56,3,FALSE),1)</f>
        <v>0.96135087979789358</v>
      </c>
      <c r="BX98" s="4">
        <f>AVERAGE(Grandview_Inventory[[#This Row],[qual_adj]:[size_adj]])</f>
        <v>0.97670122230755996</v>
      </c>
      <c r="BY98" s="6">
        <f>IF(Grandview_Inventory[[#This Row],[pre_res]]&lt;0,0,Grandview_Inventory[[#This Row],[pre_res]]*Grandview_Inventory[[#This Row],[overall_adj]])</f>
        <v>307987.08856898657</v>
      </c>
      <c r="BZ98" s="6">
        <f>(Grandview_Inventory[[#This Row],[sum_land]]-IF(Grandview_Inventory[[#This Row],[no_utilities]]=1,12000,0))/IF(Grandview_Inventory[[#This Row],[unbuildable]]=1,2,1)</f>
        <v>45695.532079096141</v>
      </c>
      <c r="CA9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8">
        <f>ROUND(Grandview_Inventory[[#This Row],[det_value]]*Lookups!$M$28,-2)</f>
        <v>0</v>
      </c>
      <c r="CC98">
        <f>IF(ROUND(Grandview_Inventory[[#This Row],[adj_res]]*Lookups!$M$28,-2)&lt;Grandview_Inventory[[#This Row],[min_res]],Grandview_Inventory[[#This Row],[min_res]],ROUND(Grandview_Inventory[[#This Row],[adj_res]]*Lookups!$M$28,-2))</f>
        <v>292600</v>
      </c>
      <c r="CD98">
        <f>Grandview_Inventory[[#This Row],[final_det]]+Grandview_Inventory[[#This Row],[final_res]]</f>
        <v>292600</v>
      </c>
      <c r="CE98">
        <f>Grandview_Inventory[[#This Row],[final_land]]+Grandview_Inventory[[#This Row],[final_imp]]+Grandview_Inventory[[#This Row],[crop_value]]</f>
        <v>336000</v>
      </c>
      <c r="CG98" t="str">
        <f t="shared" si="1"/>
        <v>update valuation set market_land =43400, market_bldg=292600, market_total =336000, market_mdno =401, market_date ='9/10/2023' where link_id = (select link_id from parcel where parcel_year = '2024' and parcel_id = '23091432440');</v>
      </c>
    </row>
    <row r="99" spans="1:85" x14ac:dyDescent="0.25">
      <c r="A99">
        <v>23091432441</v>
      </c>
      <c r="B99">
        <v>0.16</v>
      </c>
      <c r="C99">
        <v>7002</v>
      </c>
      <c r="D99" t="s">
        <v>129</v>
      </c>
      <c r="E99" t="s">
        <v>53</v>
      </c>
      <c r="F99" t="s">
        <v>53</v>
      </c>
      <c r="G99">
        <v>4</v>
      </c>
      <c r="H99" t="s">
        <v>54</v>
      </c>
      <c r="I99">
        <v>182400</v>
      </c>
      <c r="J99">
        <v>42800</v>
      </c>
      <c r="K99">
        <v>0.16</v>
      </c>
      <c r="L9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99">
        <v>0</v>
      </c>
      <c r="N99">
        <v>0</v>
      </c>
      <c r="O99">
        <v>0</v>
      </c>
      <c r="P99">
        <v>13398.7528</v>
      </c>
      <c r="Q99">
        <v>63903</v>
      </c>
      <c r="R99">
        <f>(Grandview_Inventory[[#This Row],[ln_acres]]*Grandview_Inventory[[#This Row],[coeff]])+Grandview_Inventory[[#This Row],[const]]</f>
        <v>39348.693981374228</v>
      </c>
      <c r="S99" t="s">
        <v>61</v>
      </c>
      <c r="T99">
        <v>1</v>
      </c>
      <c r="U99" t="s">
        <v>65</v>
      </c>
      <c r="V99" t="s">
        <v>69</v>
      </c>
      <c r="W99">
        <v>0</v>
      </c>
      <c r="X99">
        <v>0</v>
      </c>
      <c r="Y99">
        <v>21</v>
      </c>
      <c r="Z99">
        <v>21</v>
      </c>
      <c r="AA99">
        <v>30</v>
      </c>
      <c r="AB99">
        <v>2000</v>
      </c>
      <c r="AC99">
        <v>1728</v>
      </c>
      <c r="AD99">
        <v>1728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240</v>
      </c>
      <c r="AM99">
        <v>0</v>
      </c>
      <c r="AN99">
        <v>84</v>
      </c>
      <c r="AO99">
        <v>0</v>
      </c>
      <c r="AP99">
        <v>8</v>
      </c>
      <c r="AQ99">
        <v>0</v>
      </c>
      <c r="AR99">
        <v>0</v>
      </c>
      <c r="AS99" t="s">
        <v>58</v>
      </c>
      <c r="AT99">
        <v>1</v>
      </c>
      <c r="AU99" t="s">
        <v>63</v>
      </c>
      <c r="AV99" t="s">
        <v>60</v>
      </c>
      <c r="AW99">
        <v>1</v>
      </c>
      <c r="AX99">
        <v>3</v>
      </c>
      <c r="AY99">
        <v>0</v>
      </c>
      <c r="AZ99">
        <v>0</v>
      </c>
      <c r="BA99">
        <v>100</v>
      </c>
      <c r="BB99">
        <v>100</v>
      </c>
      <c r="BC99">
        <v>100</v>
      </c>
      <c r="BD99">
        <v>100</v>
      </c>
      <c r="BE99">
        <v>1</v>
      </c>
      <c r="BF99">
        <v>15000</v>
      </c>
      <c r="BG99">
        <v>1000</v>
      </c>
      <c r="BH99" s="6">
        <f>Grandview_Inventory[[#This Row],[land_extract]]*Lookups!$B$3</f>
        <v>45695.532079096141</v>
      </c>
      <c r="BI99" s="6">
        <f>IF(Grandview_Inventory[[#This Row],[bldg_style]]="",0,Lookups!$B$2)</f>
        <v>155833.95000000001</v>
      </c>
      <c r="BJ99" s="6">
        <f>_xlfn.IFNA(VLOOKUP(Grandview_Inventory[[#This Row],[quality]],Lookups!$H$2:$J$14,3,FALSE),0)</f>
        <v>2251</v>
      </c>
      <c r="BK99" s="6">
        <f>_xlfn.IFNA(VLOOKUP(Grandview_Inventory[[#This Row],[condition]],Lookups!$H$17:$J$24,3,FALSE),0)</f>
        <v>-4503</v>
      </c>
      <c r="BL99" s="6">
        <f>Grandview_Inventory[[#This Row],[Eff_Age]]*Lookups!$B$14</f>
        <v>-5022.4985999999999</v>
      </c>
      <c r="BM99" s="6">
        <f>Grandview_Inventory[[#This Row],[living_area]]*Lookups!$B$15</f>
        <v>107794.113984</v>
      </c>
      <c r="BN99" s="6">
        <f>Grandview_Inventory[[#This Row],[Fin BSMT]]*Lookups!$B$16</f>
        <v>0</v>
      </c>
      <c r="BO99" s="6">
        <f>(Grandview_Inventory[[#This Row],[att_gar]]+Grandview_Inventory[[#This Row],[bltin_gar]])*Lookups!$B$17</f>
        <v>0</v>
      </c>
      <c r="BP99" s="6">
        <f>Grandview_Inventory[[#This Row],[Plumbing Fixtures]]*Lookups!$B$18</f>
        <v>16083.5344</v>
      </c>
      <c r="BQ99" s="6">
        <f>Grandview_Inventory[[#This Row],[detatched_value]]*Lookups!$B$19</f>
        <v>0</v>
      </c>
      <c r="BR99" s="6">
        <f>SUM(Grandview_Inventory[[#This Row],[Intercept]:[det_value]])*Grandview_Inventory[[#This Row],[res_pct]]</f>
        <v>272437.09978400002</v>
      </c>
      <c r="BS99" s="6">
        <f>Grandview_Inventory[[#This Row],[land_value]]</f>
        <v>45695.532079096141</v>
      </c>
      <c r="BT99" s="4">
        <f>_xlfn.IFNA(VLOOKUP(Grandview_Inventory[[#This Row],[quality]],Lookups!$A$26:$C$33,3,FALSE),1)</f>
        <v>0.98763855981004833</v>
      </c>
      <c r="BU99" s="4">
        <f>_xlfn.IFNA(VLOOKUP(Grandview_Inventory[[#This Row],[condition]],Lookups!$A$37:$C$44,3,FALSE),1)</f>
        <v>0.96469275950863709</v>
      </c>
      <c r="BV99" s="4">
        <f>IF(Grandview_Inventory[[#This Row],[bldg_style]]="",1,_xlfn.IFNA(VLOOKUP(Grandview_Inventory[[#This Row],[decade]],Lookups!$F$29:$H$43,3,FALSE),1))</f>
        <v>0.98397821291089549</v>
      </c>
      <c r="BW99" s="4">
        <f>_xlfn.IFNA(VLOOKUP(Grandview_Inventory[[#This Row],[living_area_range]],Lookups!$F$47:$H$56,3,FALSE),1)</f>
        <v>0.96120133463014379</v>
      </c>
      <c r="BX99" s="4">
        <f>AVERAGE(Grandview_Inventory[[#This Row],[qual_adj]:[size_adj]])</f>
        <v>0.97437771671493123</v>
      </c>
      <c r="BY99" s="6">
        <f>IF(Grandview_Inventory[[#This Row],[pre_res]]&lt;0,0,Grandview_Inventory[[#This Row],[pre_res]]*Grandview_Inventory[[#This Row],[overall_adj]])</f>
        <v>265456.63923597184</v>
      </c>
      <c r="BZ99" s="6">
        <f>(Grandview_Inventory[[#This Row],[sum_land]]-IF(Grandview_Inventory[[#This Row],[no_utilities]]=1,12000,0))/IF(Grandview_Inventory[[#This Row],[unbuildable]]=1,2,1)</f>
        <v>45695.532079096141</v>
      </c>
      <c r="CA9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99">
        <f>ROUND(Grandview_Inventory[[#This Row],[det_value]]*Lookups!$M$28,-2)</f>
        <v>0</v>
      </c>
      <c r="CC99">
        <f>IF(ROUND(Grandview_Inventory[[#This Row],[adj_res]]*Lookups!$M$28,-2)&lt;Grandview_Inventory[[#This Row],[min_res]],Grandview_Inventory[[#This Row],[min_res]],ROUND(Grandview_Inventory[[#This Row],[adj_res]]*Lookups!$M$28,-2))</f>
        <v>252200</v>
      </c>
      <c r="CD99">
        <f>Grandview_Inventory[[#This Row],[final_det]]+Grandview_Inventory[[#This Row],[final_res]]</f>
        <v>252200</v>
      </c>
      <c r="CE99">
        <f>Grandview_Inventory[[#This Row],[final_land]]+Grandview_Inventory[[#This Row],[final_imp]]+Grandview_Inventory[[#This Row],[crop_value]]</f>
        <v>295600</v>
      </c>
      <c r="CG99" t="str">
        <f t="shared" si="1"/>
        <v>update valuation set market_land =43400, market_bldg=252200, market_total =295600, market_mdno =401, market_date ='9/10/2023' where link_id = (select link_id from parcel where parcel_year = '2024' and parcel_id = '23091432441');</v>
      </c>
    </row>
    <row r="100" spans="1:85" x14ac:dyDescent="0.25">
      <c r="A100">
        <v>23091432442</v>
      </c>
      <c r="B100">
        <v>0.17</v>
      </c>
      <c r="C100">
        <v>7208</v>
      </c>
      <c r="D100" t="s">
        <v>129</v>
      </c>
      <c r="E100" t="s">
        <v>53</v>
      </c>
      <c r="F100" t="s">
        <v>53</v>
      </c>
      <c r="G100">
        <v>4</v>
      </c>
      <c r="H100" t="s">
        <v>54</v>
      </c>
      <c r="I100">
        <v>172100</v>
      </c>
      <c r="J100">
        <v>38800</v>
      </c>
      <c r="K100">
        <v>0.17</v>
      </c>
      <c r="L10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">
        <v>0</v>
      </c>
      <c r="N100">
        <v>0</v>
      </c>
      <c r="O100">
        <v>0</v>
      </c>
      <c r="P100">
        <v>13398.7528</v>
      </c>
      <c r="Q100">
        <v>63903</v>
      </c>
      <c r="R100">
        <f>(Grandview_Inventory[[#This Row],[ln_acres]]*Grandview_Inventory[[#This Row],[coeff]])+Grandview_Inventory[[#This Row],[const]]</f>
        <v>40160.988302686128</v>
      </c>
      <c r="S100" t="s">
        <v>61</v>
      </c>
      <c r="T100">
        <v>1</v>
      </c>
      <c r="U100" t="s">
        <v>65</v>
      </c>
      <c r="V100" t="s">
        <v>69</v>
      </c>
      <c r="W100">
        <v>0</v>
      </c>
      <c r="X100">
        <v>0</v>
      </c>
      <c r="Y100">
        <v>21</v>
      </c>
      <c r="Z100">
        <v>21</v>
      </c>
      <c r="AA100">
        <v>30</v>
      </c>
      <c r="AB100">
        <v>1500</v>
      </c>
      <c r="AC100">
        <v>1248</v>
      </c>
      <c r="AD100">
        <v>1248</v>
      </c>
      <c r="AE100">
        <v>0</v>
      </c>
      <c r="AF100">
        <v>0</v>
      </c>
      <c r="AG100">
        <v>0</v>
      </c>
      <c r="AH100">
        <v>0</v>
      </c>
      <c r="AI100">
        <v>480</v>
      </c>
      <c r="AJ100">
        <v>0</v>
      </c>
      <c r="AK100">
        <v>0</v>
      </c>
      <c r="AL100">
        <v>0</v>
      </c>
      <c r="AM100">
        <v>0</v>
      </c>
      <c r="AN100">
        <v>84</v>
      </c>
      <c r="AO100">
        <v>0</v>
      </c>
      <c r="AP100">
        <v>8</v>
      </c>
      <c r="AQ100">
        <v>0</v>
      </c>
      <c r="AR100">
        <v>0</v>
      </c>
      <c r="AS100" t="s">
        <v>58</v>
      </c>
      <c r="AT100">
        <v>1</v>
      </c>
      <c r="AU100" t="s">
        <v>63</v>
      </c>
      <c r="AV100" t="s">
        <v>60</v>
      </c>
      <c r="AW100">
        <v>0</v>
      </c>
      <c r="AX100">
        <v>3</v>
      </c>
      <c r="AY100">
        <v>0</v>
      </c>
      <c r="AZ100">
        <v>0</v>
      </c>
      <c r="BA100">
        <v>100</v>
      </c>
      <c r="BB100">
        <v>100</v>
      </c>
      <c r="BC100">
        <v>100</v>
      </c>
      <c r="BD100">
        <v>100</v>
      </c>
      <c r="BE100">
        <v>1</v>
      </c>
      <c r="BF100">
        <v>15000</v>
      </c>
      <c r="BG100">
        <v>1000</v>
      </c>
      <c r="BH100" s="6">
        <f>Grandview_Inventory[[#This Row],[land_extract]]*Lookups!$B$3</f>
        <v>46638.847281240982</v>
      </c>
      <c r="BI100" s="6">
        <f>IF(Grandview_Inventory[[#This Row],[bldg_style]]="",0,Lookups!$B$2)</f>
        <v>155833.95000000001</v>
      </c>
      <c r="BJ100" s="6">
        <f>_xlfn.IFNA(VLOOKUP(Grandview_Inventory[[#This Row],[quality]],Lookups!$H$2:$J$14,3,FALSE),0)</f>
        <v>2251</v>
      </c>
      <c r="BK100" s="6">
        <f>_xlfn.IFNA(VLOOKUP(Grandview_Inventory[[#This Row],[condition]],Lookups!$H$17:$J$24,3,FALSE),0)</f>
        <v>-4503</v>
      </c>
      <c r="BL100" s="6">
        <f>Grandview_Inventory[[#This Row],[Eff_Age]]*Lookups!$B$14</f>
        <v>-5022.4985999999999</v>
      </c>
      <c r="BM100" s="6">
        <f>Grandview_Inventory[[#This Row],[living_area]]*Lookups!$B$15</f>
        <v>77851.304543999999</v>
      </c>
      <c r="BN100" s="6">
        <f>Grandview_Inventory[[#This Row],[Fin BSMT]]*Lookups!$B$16</f>
        <v>0</v>
      </c>
      <c r="BO100" s="6">
        <f>(Grandview_Inventory[[#This Row],[att_gar]]+Grandview_Inventory[[#This Row],[bltin_gar]])*Lookups!$B$17</f>
        <v>42009.809760000004</v>
      </c>
      <c r="BP100" s="6">
        <f>Grandview_Inventory[[#This Row],[Plumbing Fixtures]]*Lookups!$B$18</f>
        <v>16083.5344</v>
      </c>
      <c r="BQ100" s="6">
        <f>Grandview_Inventory[[#This Row],[detatched_value]]*Lookups!$B$19</f>
        <v>0</v>
      </c>
      <c r="BR100" s="6">
        <f>SUM(Grandview_Inventory[[#This Row],[Intercept]:[det_value]])*Grandview_Inventory[[#This Row],[res_pct]]</f>
        <v>284504.10010400007</v>
      </c>
      <c r="BS100" s="6">
        <f>Grandview_Inventory[[#This Row],[land_value]]</f>
        <v>46638.847281240982</v>
      </c>
      <c r="BT100" s="4">
        <f>_xlfn.IFNA(VLOOKUP(Grandview_Inventory[[#This Row],[quality]],Lookups!$A$26:$C$33,3,FALSE),1)</f>
        <v>0.98763855981004833</v>
      </c>
      <c r="BU100" s="4">
        <f>_xlfn.IFNA(VLOOKUP(Grandview_Inventory[[#This Row],[condition]],Lookups!$A$37:$C$44,3,FALSE),1)</f>
        <v>0.96469275950863709</v>
      </c>
      <c r="BV100" s="4">
        <f>IF(Grandview_Inventory[[#This Row],[bldg_style]]="",1,_xlfn.IFNA(VLOOKUP(Grandview_Inventory[[#This Row],[decade]],Lookups!$F$29:$H$43,3,FALSE),1))</f>
        <v>0.98397821291089549</v>
      </c>
      <c r="BW100" s="4">
        <f>_xlfn.IFNA(VLOOKUP(Grandview_Inventory[[#This Row],[living_area_range]],Lookups!$F$47:$H$56,3,FALSE),1)</f>
        <v>0.96135087979789358</v>
      </c>
      <c r="BX100" s="4">
        <f>AVERAGE(Grandview_Inventory[[#This Row],[qual_adj]:[size_adj]])</f>
        <v>0.97441510300686862</v>
      </c>
      <c r="BY100" s="6">
        <f>IF(Grandview_Inventory[[#This Row],[pre_res]]&lt;0,0,Grandview_Inventory[[#This Row],[pre_res]]*Grandview_Inventory[[#This Row],[overall_adj]])</f>
        <v>277225.09200871567</v>
      </c>
      <c r="BZ100" s="6">
        <f>(Grandview_Inventory[[#This Row],[sum_land]]-IF(Grandview_Inventory[[#This Row],[no_utilities]]=1,12000,0))/IF(Grandview_Inventory[[#This Row],[unbuildable]]=1,2,1)</f>
        <v>46638.847281240982</v>
      </c>
      <c r="CA10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">
        <f>ROUND(Grandview_Inventory[[#This Row],[det_value]]*Lookups!$M$28,-2)</f>
        <v>0</v>
      </c>
      <c r="CC100">
        <f>IF(ROUND(Grandview_Inventory[[#This Row],[adj_res]]*Lookups!$M$28,-2)&lt;Grandview_Inventory[[#This Row],[min_res]],Grandview_Inventory[[#This Row],[min_res]],ROUND(Grandview_Inventory[[#This Row],[adj_res]]*Lookups!$M$28,-2))</f>
        <v>263400</v>
      </c>
      <c r="CD100">
        <f>Grandview_Inventory[[#This Row],[final_det]]+Grandview_Inventory[[#This Row],[final_res]]</f>
        <v>263400</v>
      </c>
      <c r="CE100">
        <f>Grandview_Inventory[[#This Row],[final_land]]+Grandview_Inventory[[#This Row],[final_imp]]+Grandview_Inventory[[#This Row],[crop_value]]</f>
        <v>307700</v>
      </c>
      <c r="CG100" t="str">
        <f t="shared" si="1"/>
        <v>update valuation set market_land =44300, market_bldg=263400, market_total =307700, market_mdno =401, market_date ='9/10/2023' where link_id = (select link_id from parcel where parcel_year = '2024' and parcel_id = '23091432442');</v>
      </c>
    </row>
    <row r="101" spans="1:85" x14ac:dyDescent="0.25">
      <c r="A101">
        <v>23091432443</v>
      </c>
      <c r="B101">
        <v>0.16</v>
      </c>
      <c r="C101">
        <v>6999</v>
      </c>
      <c r="D101" t="s">
        <v>129</v>
      </c>
      <c r="E101" t="s">
        <v>53</v>
      </c>
      <c r="F101" t="s">
        <v>53</v>
      </c>
      <c r="G101">
        <v>4</v>
      </c>
      <c r="H101" t="s">
        <v>54</v>
      </c>
      <c r="I101">
        <v>186800</v>
      </c>
      <c r="J101">
        <v>38600</v>
      </c>
      <c r="K101">
        <v>0.16</v>
      </c>
      <c r="L10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01">
        <v>0</v>
      </c>
      <c r="N101">
        <v>0</v>
      </c>
      <c r="O101">
        <v>0</v>
      </c>
      <c r="P101">
        <v>13398.7528</v>
      </c>
      <c r="Q101">
        <v>63903</v>
      </c>
      <c r="R101">
        <f>(Grandview_Inventory[[#This Row],[ln_acres]]*Grandview_Inventory[[#This Row],[coeff]])+Grandview_Inventory[[#This Row],[const]]</f>
        <v>39348.693981374228</v>
      </c>
      <c r="S101" t="s">
        <v>61</v>
      </c>
      <c r="T101">
        <v>1</v>
      </c>
      <c r="U101" t="s">
        <v>65</v>
      </c>
      <c r="V101" t="s">
        <v>69</v>
      </c>
      <c r="W101">
        <v>0</v>
      </c>
      <c r="X101">
        <v>0</v>
      </c>
      <c r="Y101">
        <v>21</v>
      </c>
      <c r="Z101">
        <v>21</v>
      </c>
      <c r="AA101">
        <v>30</v>
      </c>
      <c r="AB101">
        <v>1500</v>
      </c>
      <c r="AC101">
        <v>1272</v>
      </c>
      <c r="AD101">
        <v>1272</v>
      </c>
      <c r="AE101">
        <v>0</v>
      </c>
      <c r="AF101">
        <v>0</v>
      </c>
      <c r="AG101">
        <v>0</v>
      </c>
      <c r="AH101">
        <v>0</v>
      </c>
      <c r="AI101">
        <v>440</v>
      </c>
      <c r="AJ101">
        <v>0</v>
      </c>
      <c r="AK101">
        <v>0</v>
      </c>
      <c r="AL101">
        <v>0</v>
      </c>
      <c r="AM101">
        <v>0</v>
      </c>
      <c r="AN101">
        <v>76</v>
      </c>
      <c r="AO101">
        <v>0</v>
      </c>
      <c r="AP101">
        <v>8</v>
      </c>
      <c r="AQ101">
        <v>0</v>
      </c>
      <c r="AR101">
        <v>0</v>
      </c>
      <c r="AS101" t="s">
        <v>58</v>
      </c>
      <c r="AT101">
        <v>1</v>
      </c>
      <c r="AU101" t="s">
        <v>63</v>
      </c>
      <c r="AV101" t="s">
        <v>60</v>
      </c>
      <c r="AW101">
        <v>1</v>
      </c>
      <c r="AX101">
        <v>3</v>
      </c>
      <c r="AY101">
        <v>0</v>
      </c>
      <c r="AZ101">
        <v>0</v>
      </c>
      <c r="BA101">
        <v>100</v>
      </c>
      <c r="BB101">
        <v>100</v>
      </c>
      <c r="BC101">
        <v>100</v>
      </c>
      <c r="BD101">
        <v>100</v>
      </c>
      <c r="BE101">
        <v>1</v>
      </c>
      <c r="BF101">
        <v>15000</v>
      </c>
      <c r="BG101">
        <v>1000</v>
      </c>
      <c r="BH101" s="6">
        <f>Grandview_Inventory[[#This Row],[land_extract]]*Lookups!$B$3</f>
        <v>45695.532079096141</v>
      </c>
      <c r="BI101" s="6">
        <f>IF(Grandview_Inventory[[#This Row],[bldg_style]]="",0,Lookups!$B$2)</f>
        <v>155833.95000000001</v>
      </c>
      <c r="BJ101" s="6">
        <f>_xlfn.IFNA(VLOOKUP(Grandview_Inventory[[#This Row],[quality]],Lookups!$H$2:$J$14,3,FALSE),0)</f>
        <v>2251</v>
      </c>
      <c r="BK101" s="6">
        <f>_xlfn.IFNA(VLOOKUP(Grandview_Inventory[[#This Row],[condition]],Lookups!$H$17:$J$24,3,FALSE),0)</f>
        <v>-4503</v>
      </c>
      <c r="BL101" s="6">
        <f>Grandview_Inventory[[#This Row],[Eff_Age]]*Lookups!$B$14</f>
        <v>-5022.4985999999999</v>
      </c>
      <c r="BM101" s="6">
        <f>Grandview_Inventory[[#This Row],[living_area]]*Lookups!$B$15</f>
        <v>79348.445015999998</v>
      </c>
      <c r="BN101" s="6">
        <f>Grandview_Inventory[[#This Row],[Fin BSMT]]*Lookups!$B$16</f>
        <v>0</v>
      </c>
      <c r="BO101" s="6">
        <f>(Grandview_Inventory[[#This Row],[att_gar]]+Grandview_Inventory[[#This Row],[bltin_gar]])*Lookups!$B$17</f>
        <v>38508.992279999999</v>
      </c>
      <c r="BP101" s="6">
        <f>Grandview_Inventory[[#This Row],[Plumbing Fixtures]]*Lookups!$B$18</f>
        <v>16083.5344</v>
      </c>
      <c r="BQ101" s="6">
        <f>Grandview_Inventory[[#This Row],[detatched_value]]*Lookups!$B$19</f>
        <v>0</v>
      </c>
      <c r="BR101" s="6">
        <f>SUM(Grandview_Inventory[[#This Row],[Intercept]:[det_value]])*Grandview_Inventory[[#This Row],[res_pct]]</f>
        <v>282500.42309600004</v>
      </c>
      <c r="BS101" s="6">
        <f>Grandview_Inventory[[#This Row],[land_value]]</f>
        <v>45695.532079096141</v>
      </c>
      <c r="BT101" s="4">
        <f>_xlfn.IFNA(VLOOKUP(Grandview_Inventory[[#This Row],[quality]],Lookups!$A$26:$C$33,3,FALSE),1)</f>
        <v>0.98763855981004833</v>
      </c>
      <c r="BU101" s="4">
        <f>_xlfn.IFNA(VLOOKUP(Grandview_Inventory[[#This Row],[condition]],Lookups!$A$37:$C$44,3,FALSE),1)</f>
        <v>0.96469275950863709</v>
      </c>
      <c r="BV101" s="4">
        <f>IF(Grandview_Inventory[[#This Row],[bldg_style]]="",1,_xlfn.IFNA(VLOOKUP(Grandview_Inventory[[#This Row],[decade]],Lookups!$F$29:$H$43,3,FALSE),1))</f>
        <v>0.98397821291089549</v>
      </c>
      <c r="BW101" s="4">
        <f>_xlfn.IFNA(VLOOKUP(Grandview_Inventory[[#This Row],[living_area_range]],Lookups!$F$47:$H$56,3,FALSE),1)</f>
        <v>0.96135087979789358</v>
      </c>
      <c r="BX101" s="4">
        <f>AVERAGE(Grandview_Inventory[[#This Row],[qual_adj]:[size_adj]])</f>
        <v>0.97441510300686862</v>
      </c>
      <c r="BY101" s="6">
        <f>IF(Grandview_Inventory[[#This Row],[pre_res]]&lt;0,0,Grandview_Inventory[[#This Row],[pre_res]]*Grandview_Inventory[[#This Row],[overall_adj]])</f>
        <v>275272.67887057282</v>
      </c>
      <c r="BZ101" s="6">
        <f>(Grandview_Inventory[[#This Row],[sum_land]]-IF(Grandview_Inventory[[#This Row],[no_utilities]]=1,12000,0))/IF(Grandview_Inventory[[#This Row],[unbuildable]]=1,2,1)</f>
        <v>45695.532079096141</v>
      </c>
      <c r="CA10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01">
        <f>ROUND(Grandview_Inventory[[#This Row],[det_value]]*Lookups!$M$28,-2)</f>
        <v>0</v>
      </c>
      <c r="CC101">
        <f>IF(ROUND(Grandview_Inventory[[#This Row],[adj_res]]*Lookups!$M$28,-2)&lt;Grandview_Inventory[[#This Row],[min_res]],Grandview_Inventory[[#This Row],[min_res]],ROUND(Grandview_Inventory[[#This Row],[adj_res]]*Lookups!$M$28,-2))</f>
        <v>261500</v>
      </c>
      <c r="CD101">
        <f>Grandview_Inventory[[#This Row],[final_det]]+Grandview_Inventory[[#This Row],[final_res]]</f>
        <v>261500</v>
      </c>
      <c r="CE101">
        <f>Grandview_Inventory[[#This Row],[final_land]]+Grandview_Inventory[[#This Row],[final_imp]]+Grandview_Inventory[[#This Row],[crop_value]]</f>
        <v>304900</v>
      </c>
      <c r="CG101" t="str">
        <f t="shared" si="1"/>
        <v>update valuation set market_land =43400, market_bldg=261500, market_total =304900, market_mdno =401, market_date ='9/10/2023' where link_id = (select link_id from parcel where parcel_year = '2024' and parcel_id = '23091432443');</v>
      </c>
    </row>
    <row r="102" spans="1:85" x14ac:dyDescent="0.25">
      <c r="A102">
        <v>23091432444</v>
      </c>
      <c r="B102">
        <v>0.16</v>
      </c>
      <c r="C102">
        <v>7026</v>
      </c>
      <c r="D102" t="s">
        <v>129</v>
      </c>
      <c r="E102" t="s">
        <v>53</v>
      </c>
      <c r="F102" t="s">
        <v>53</v>
      </c>
      <c r="G102">
        <v>4</v>
      </c>
      <c r="H102" t="s">
        <v>54</v>
      </c>
      <c r="I102">
        <v>184300</v>
      </c>
      <c r="J102">
        <v>42800</v>
      </c>
      <c r="K102">
        <v>0.16</v>
      </c>
      <c r="L10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02">
        <v>0</v>
      </c>
      <c r="N102">
        <v>0</v>
      </c>
      <c r="O102">
        <v>0</v>
      </c>
      <c r="P102">
        <v>13398.7528</v>
      </c>
      <c r="Q102">
        <v>63903</v>
      </c>
      <c r="R102">
        <f>(Grandview_Inventory[[#This Row],[ln_acres]]*Grandview_Inventory[[#This Row],[coeff]])+Grandview_Inventory[[#This Row],[const]]</f>
        <v>39348.693981374228</v>
      </c>
      <c r="S102" t="s">
        <v>61</v>
      </c>
      <c r="T102">
        <v>1</v>
      </c>
      <c r="U102" t="s">
        <v>65</v>
      </c>
      <c r="V102" t="s">
        <v>69</v>
      </c>
      <c r="W102">
        <v>0</v>
      </c>
      <c r="X102">
        <v>0</v>
      </c>
      <c r="Y102">
        <v>21</v>
      </c>
      <c r="Z102">
        <v>21</v>
      </c>
      <c r="AA102">
        <v>30</v>
      </c>
      <c r="AB102">
        <v>1500</v>
      </c>
      <c r="AC102">
        <v>1224</v>
      </c>
      <c r="AD102">
        <v>1224</v>
      </c>
      <c r="AE102">
        <v>0</v>
      </c>
      <c r="AF102">
        <v>0</v>
      </c>
      <c r="AG102">
        <v>0</v>
      </c>
      <c r="AH102">
        <v>0</v>
      </c>
      <c r="AI102">
        <v>440</v>
      </c>
      <c r="AJ102">
        <v>0</v>
      </c>
      <c r="AK102">
        <v>0</v>
      </c>
      <c r="AL102">
        <v>0</v>
      </c>
      <c r="AM102">
        <v>0</v>
      </c>
      <c r="AN102">
        <v>56</v>
      </c>
      <c r="AO102">
        <v>0</v>
      </c>
      <c r="AP102">
        <v>8</v>
      </c>
      <c r="AQ102">
        <v>0</v>
      </c>
      <c r="AR102">
        <v>0</v>
      </c>
      <c r="AS102" t="s">
        <v>58</v>
      </c>
      <c r="AT102">
        <v>1</v>
      </c>
      <c r="AU102" t="s">
        <v>63</v>
      </c>
      <c r="AV102" t="s">
        <v>60</v>
      </c>
      <c r="AW102">
        <v>1</v>
      </c>
      <c r="AX102">
        <v>3</v>
      </c>
      <c r="AY102">
        <v>0</v>
      </c>
      <c r="AZ102">
        <v>0</v>
      </c>
      <c r="BA102">
        <v>100</v>
      </c>
      <c r="BB102">
        <v>100</v>
      </c>
      <c r="BC102">
        <v>100</v>
      </c>
      <c r="BD102">
        <v>100</v>
      </c>
      <c r="BE102">
        <v>1</v>
      </c>
      <c r="BF102">
        <v>15000</v>
      </c>
      <c r="BG102">
        <v>1000</v>
      </c>
      <c r="BH102" s="6">
        <f>Grandview_Inventory[[#This Row],[land_extract]]*Lookups!$B$3</f>
        <v>45695.532079096141</v>
      </c>
      <c r="BI102" s="6">
        <f>IF(Grandview_Inventory[[#This Row],[bldg_style]]="",0,Lookups!$B$2)</f>
        <v>155833.95000000001</v>
      </c>
      <c r="BJ102" s="6">
        <f>_xlfn.IFNA(VLOOKUP(Grandview_Inventory[[#This Row],[quality]],Lookups!$H$2:$J$14,3,FALSE),0)</f>
        <v>2251</v>
      </c>
      <c r="BK102" s="6">
        <f>_xlfn.IFNA(VLOOKUP(Grandview_Inventory[[#This Row],[condition]],Lookups!$H$17:$J$24,3,FALSE),0)</f>
        <v>-4503</v>
      </c>
      <c r="BL102" s="6">
        <f>Grandview_Inventory[[#This Row],[Eff_Age]]*Lookups!$B$14</f>
        <v>-5022.4985999999999</v>
      </c>
      <c r="BM102" s="6">
        <f>Grandview_Inventory[[#This Row],[living_area]]*Lookups!$B$15</f>
        <v>76354.164072</v>
      </c>
      <c r="BN102" s="6">
        <f>Grandview_Inventory[[#This Row],[Fin BSMT]]*Lookups!$B$16</f>
        <v>0</v>
      </c>
      <c r="BO102" s="6">
        <f>(Grandview_Inventory[[#This Row],[att_gar]]+Grandview_Inventory[[#This Row],[bltin_gar]])*Lookups!$B$17</f>
        <v>38508.992279999999</v>
      </c>
      <c r="BP102" s="6">
        <f>Grandview_Inventory[[#This Row],[Plumbing Fixtures]]*Lookups!$B$18</f>
        <v>16083.5344</v>
      </c>
      <c r="BQ102" s="6">
        <f>Grandview_Inventory[[#This Row],[detatched_value]]*Lookups!$B$19</f>
        <v>0</v>
      </c>
      <c r="BR102" s="6">
        <f>SUM(Grandview_Inventory[[#This Row],[Intercept]:[det_value]])*Grandview_Inventory[[#This Row],[res_pct]]</f>
        <v>279506.14215200004</v>
      </c>
      <c r="BS102" s="6">
        <f>Grandview_Inventory[[#This Row],[land_value]]</f>
        <v>45695.532079096141</v>
      </c>
      <c r="BT102" s="4">
        <f>_xlfn.IFNA(VLOOKUP(Grandview_Inventory[[#This Row],[quality]],Lookups!$A$26:$C$33,3,FALSE),1)</f>
        <v>0.98763855981004833</v>
      </c>
      <c r="BU102" s="4">
        <f>_xlfn.IFNA(VLOOKUP(Grandview_Inventory[[#This Row],[condition]],Lookups!$A$37:$C$44,3,FALSE),1)</f>
        <v>0.96469275950863709</v>
      </c>
      <c r="BV102" s="4">
        <f>IF(Grandview_Inventory[[#This Row],[bldg_style]]="",1,_xlfn.IFNA(VLOOKUP(Grandview_Inventory[[#This Row],[decade]],Lookups!$F$29:$H$43,3,FALSE),1))</f>
        <v>0.98397821291089549</v>
      </c>
      <c r="BW102" s="4">
        <f>_xlfn.IFNA(VLOOKUP(Grandview_Inventory[[#This Row],[living_area_range]],Lookups!$F$47:$H$56,3,FALSE),1)</f>
        <v>0.96135087979789358</v>
      </c>
      <c r="BX102" s="4">
        <f>AVERAGE(Grandview_Inventory[[#This Row],[qual_adj]:[size_adj]])</f>
        <v>0.97441510300686862</v>
      </c>
      <c r="BY102" s="6">
        <f>IF(Grandview_Inventory[[#This Row],[pre_res]]&lt;0,0,Grandview_Inventory[[#This Row],[pre_res]]*Grandview_Inventory[[#This Row],[overall_adj]])</f>
        <v>272355.00629609358</v>
      </c>
      <c r="BZ102" s="6">
        <f>(Grandview_Inventory[[#This Row],[sum_land]]-IF(Grandview_Inventory[[#This Row],[no_utilities]]=1,12000,0))/IF(Grandview_Inventory[[#This Row],[unbuildable]]=1,2,1)</f>
        <v>45695.532079096141</v>
      </c>
      <c r="CA10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02">
        <f>ROUND(Grandview_Inventory[[#This Row],[det_value]]*Lookups!$M$28,-2)</f>
        <v>0</v>
      </c>
      <c r="CC102">
        <f>IF(ROUND(Grandview_Inventory[[#This Row],[adj_res]]*Lookups!$M$28,-2)&lt;Grandview_Inventory[[#This Row],[min_res]],Grandview_Inventory[[#This Row],[min_res]],ROUND(Grandview_Inventory[[#This Row],[adj_res]]*Lookups!$M$28,-2))</f>
        <v>258700</v>
      </c>
      <c r="CD102">
        <f>Grandview_Inventory[[#This Row],[final_det]]+Grandview_Inventory[[#This Row],[final_res]]</f>
        <v>258700</v>
      </c>
      <c r="CE102">
        <f>Grandview_Inventory[[#This Row],[final_land]]+Grandview_Inventory[[#This Row],[final_imp]]+Grandview_Inventory[[#This Row],[crop_value]]</f>
        <v>302100</v>
      </c>
      <c r="CG102" t="str">
        <f t="shared" si="1"/>
        <v>update valuation set market_land =43400, market_bldg=258700, market_total =302100, market_mdno =401, market_date ='9/10/2023' where link_id = (select link_id from parcel where parcel_year = '2024' and parcel_id = '23091432444');</v>
      </c>
    </row>
    <row r="103" spans="1:85" x14ac:dyDescent="0.25">
      <c r="A103">
        <v>23091432454</v>
      </c>
      <c r="B103">
        <v>0.19</v>
      </c>
      <c r="C103" t="s">
        <v>129</v>
      </c>
      <c r="D103" t="s">
        <v>129</v>
      </c>
      <c r="E103" t="s">
        <v>53</v>
      </c>
      <c r="F103" t="s">
        <v>53</v>
      </c>
      <c r="G103">
        <v>4</v>
      </c>
      <c r="H103" t="s">
        <v>54</v>
      </c>
      <c r="I103">
        <v>248000</v>
      </c>
      <c r="J103">
        <v>39800</v>
      </c>
      <c r="K103">
        <v>0.19</v>
      </c>
      <c r="L10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3">
        <v>0</v>
      </c>
      <c r="N103">
        <v>0</v>
      </c>
      <c r="O103">
        <v>0</v>
      </c>
      <c r="P103">
        <v>13398.7528</v>
      </c>
      <c r="Q103">
        <v>63903</v>
      </c>
      <c r="R103">
        <f>(Grandview_Inventory[[#This Row],[ln_acres]]*Grandview_Inventory[[#This Row],[coeff]])+Grandview_Inventory[[#This Row],[const]]</f>
        <v>41651.273092551026</v>
      </c>
      <c r="S103" t="s">
        <v>55</v>
      </c>
      <c r="T103">
        <v>1</v>
      </c>
      <c r="U103" t="s">
        <v>65</v>
      </c>
      <c r="V103" t="s">
        <v>57</v>
      </c>
      <c r="W103">
        <v>0</v>
      </c>
      <c r="X103">
        <v>0</v>
      </c>
      <c r="Y103">
        <v>6</v>
      </c>
      <c r="Z103">
        <v>6</v>
      </c>
      <c r="AA103">
        <v>10</v>
      </c>
      <c r="AB103">
        <v>1500</v>
      </c>
      <c r="AC103">
        <v>1216</v>
      </c>
      <c r="AD103">
        <v>1216</v>
      </c>
      <c r="AE103">
        <v>0</v>
      </c>
      <c r="AF103">
        <v>0</v>
      </c>
      <c r="AG103">
        <v>0</v>
      </c>
      <c r="AH103">
        <v>0</v>
      </c>
      <c r="AI103">
        <v>572</v>
      </c>
      <c r="AJ103">
        <v>0</v>
      </c>
      <c r="AK103">
        <v>0</v>
      </c>
      <c r="AL103">
        <v>0</v>
      </c>
      <c r="AM103">
        <v>0</v>
      </c>
      <c r="AN103">
        <v>48</v>
      </c>
      <c r="AO103">
        <v>0</v>
      </c>
      <c r="AP103">
        <v>8</v>
      </c>
      <c r="AQ103">
        <v>0</v>
      </c>
      <c r="AR103">
        <v>0</v>
      </c>
      <c r="AS103" t="s">
        <v>58</v>
      </c>
      <c r="AT103">
        <v>1</v>
      </c>
      <c r="AU103" t="s">
        <v>75</v>
      </c>
      <c r="AV103" t="s">
        <v>60</v>
      </c>
      <c r="AW103">
        <v>0</v>
      </c>
      <c r="AX103">
        <v>4</v>
      </c>
      <c r="AY103">
        <v>0</v>
      </c>
      <c r="AZ103">
        <v>0</v>
      </c>
      <c r="BA103">
        <v>100</v>
      </c>
      <c r="BB103">
        <v>100</v>
      </c>
      <c r="BC103">
        <v>100</v>
      </c>
      <c r="BD103">
        <v>100</v>
      </c>
      <c r="BE103">
        <v>1</v>
      </c>
      <c r="BF103">
        <v>15000</v>
      </c>
      <c r="BG103">
        <v>1000</v>
      </c>
      <c r="BH103" s="6">
        <f>Grandview_Inventory[[#This Row],[land_extract]]*Lookups!$B$3</f>
        <v>48369.510983942157</v>
      </c>
      <c r="BI103" s="6">
        <f>IF(Grandview_Inventory[[#This Row],[bldg_style]]="",0,Lookups!$B$2)</f>
        <v>155833.95000000001</v>
      </c>
      <c r="BJ103" s="6">
        <f>_xlfn.IFNA(VLOOKUP(Grandview_Inventory[[#This Row],[quality]],Lookups!$H$2:$J$14,3,FALSE),0)</f>
        <v>2251</v>
      </c>
      <c r="BK103" s="6">
        <f>_xlfn.IFNA(VLOOKUP(Grandview_Inventory[[#This Row],[condition]],Lookups!$H$17:$J$24,3,FALSE),0)</f>
        <v>25780</v>
      </c>
      <c r="BL103" s="6">
        <f>Grandview_Inventory[[#This Row],[Eff_Age]]*Lookups!$B$14</f>
        <v>-1434.9995999999999</v>
      </c>
      <c r="BM103" s="6">
        <f>Grandview_Inventory[[#This Row],[living_area]]*Lookups!$B$15</f>
        <v>75855.117247999995</v>
      </c>
      <c r="BN103" s="6">
        <f>Grandview_Inventory[[#This Row],[Fin BSMT]]*Lookups!$B$16</f>
        <v>0</v>
      </c>
      <c r="BO103" s="6">
        <f>(Grandview_Inventory[[#This Row],[att_gar]]+Grandview_Inventory[[#This Row],[bltin_gar]])*Lookups!$B$17</f>
        <v>50061.689963999997</v>
      </c>
      <c r="BP103" s="6">
        <f>Grandview_Inventory[[#This Row],[Plumbing Fixtures]]*Lookups!$B$18</f>
        <v>16083.5344</v>
      </c>
      <c r="BQ103" s="6">
        <f>Grandview_Inventory[[#This Row],[detatched_value]]*Lookups!$B$19</f>
        <v>0</v>
      </c>
      <c r="BR103" s="6">
        <f>SUM(Grandview_Inventory[[#This Row],[Intercept]:[det_value]])*Grandview_Inventory[[#This Row],[res_pct]]</f>
        <v>324430.29201199999</v>
      </c>
      <c r="BS103" s="6">
        <f>Grandview_Inventory[[#This Row],[land_value]]</f>
        <v>48369.510983942157</v>
      </c>
      <c r="BT103" s="4">
        <f>_xlfn.IFNA(VLOOKUP(Grandview_Inventory[[#This Row],[quality]],Lookups!$A$26:$C$33,3,FALSE),1)</f>
        <v>0.98763855981004833</v>
      </c>
      <c r="BU103" s="4">
        <f>_xlfn.IFNA(VLOOKUP(Grandview_Inventory[[#This Row],[condition]],Lookups!$A$37:$C$44,3,FALSE),1)</f>
        <v>0.94347925387812148</v>
      </c>
      <c r="BV103" s="4">
        <f>IF(Grandview_Inventory[[#This Row],[bldg_style]]="",1,_xlfn.IFNA(VLOOKUP(Grandview_Inventory[[#This Row],[decade]],Lookups!$F$29:$H$43,3,FALSE),1))</f>
        <v>0.94601966599150278</v>
      </c>
      <c r="BW103" s="4">
        <f>_xlfn.IFNA(VLOOKUP(Grandview_Inventory[[#This Row],[living_area_range]],Lookups!$F$47:$H$56,3,FALSE),1)</f>
        <v>0.96135087979789358</v>
      </c>
      <c r="BX103" s="4">
        <f>AVERAGE(Grandview_Inventory[[#This Row],[qual_adj]:[size_adj]])</f>
        <v>0.95962208986939146</v>
      </c>
      <c r="BY103" s="6">
        <f>IF(Grandview_Inventory[[#This Row],[pre_res]]&lt;0,0,Grandview_Inventory[[#This Row],[pre_res]]*Grandview_Inventory[[#This Row],[overall_adj]])</f>
        <v>311330.47483749239</v>
      </c>
      <c r="BZ103" s="6">
        <f>(Grandview_Inventory[[#This Row],[sum_land]]-IF(Grandview_Inventory[[#This Row],[no_utilities]]=1,12000,0))/IF(Grandview_Inventory[[#This Row],[unbuildable]]=1,2,1)</f>
        <v>48369.510983942157</v>
      </c>
      <c r="CA10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3">
        <f>ROUND(Grandview_Inventory[[#This Row],[det_value]]*Lookups!$M$28,-2)</f>
        <v>0</v>
      </c>
      <c r="CC103">
        <f>IF(ROUND(Grandview_Inventory[[#This Row],[adj_res]]*Lookups!$M$28,-2)&lt;Grandview_Inventory[[#This Row],[min_res]],Grandview_Inventory[[#This Row],[min_res]],ROUND(Grandview_Inventory[[#This Row],[adj_res]]*Lookups!$M$28,-2))</f>
        <v>295800</v>
      </c>
      <c r="CD103">
        <f>Grandview_Inventory[[#This Row],[final_det]]+Grandview_Inventory[[#This Row],[final_res]]</f>
        <v>295800</v>
      </c>
      <c r="CE103">
        <f>Grandview_Inventory[[#This Row],[final_land]]+Grandview_Inventory[[#This Row],[final_imp]]+Grandview_Inventory[[#This Row],[crop_value]]</f>
        <v>341800</v>
      </c>
      <c r="CG103" t="str">
        <f t="shared" si="1"/>
        <v>update valuation set market_land =46000, market_bldg=295800, market_total =341800, market_mdno =401, market_date ='9/10/2023' where link_id = (select link_id from parcel where parcel_year = '2024' and parcel_id = '23091432454');</v>
      </c>
    </row>
    <row r="104" spans="1:85" x14ac:dyDescent="0.25">
      <c r="A104">
        <v>23091432455</v>
      </c>
      <c r="B104">
        <v>0.17</v>
      </c>
      <c r="C104">
        <v>7351</v>
      </c>
      <c r="D104" t="s">
        <v>129</v>
      </c>
      <c r="E104" t="s">
        <v>53</v>
      </c>
      <c r="F104" t="s">
        <v>53</v>
      </c>
      <c r="G104">
        <v>4</v>
      </c>
      <c r="H104" t="s">
        <v>54</v>
      </c>
      <c r="I104">
        <v>229000</v>
      </c>
      <c r="J104">
        <v>33500</v>
      </c>
      <c r="K104">
        <v>0.17</v>
      </c>
      <c r="L10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4">
        <v>0</v>
      </c>
      <c r="N104">
        <v>0</v>
      </c>
      <c r="O104">
        <v>0</v>
      </c>
      <c r="P104">
        <v>13398.7528</v>
      </c>
      <c r="Q104">
        <v>63903</v>
      </c>
      <c r="R104">
        <f>(Grandview_Inventory[[#This Row],[ln_acres]]*Grandview_Inventory[[#This Row],[coeff]])+Grandview_Inventory[[#This Row],[const]]</f>
        <v>40160.988302686128</v>
      </c>
      <c r="S104" t="s">
        <v>61</v>
      </c>
      <c r="T104">
        <v>1</v>
      </c>
      <c r="U104" t="s">
        <v>65</v>
      </c>
      <c r="V104" t="s">
        <v>57</v>
      </c>
      <c r="W104">
        <v>0</v>
      </c>
      <c r="X104">
        <v>0</v>
      </c>
      <c r="Y104">
        <v>5</v>
      </c>
      <c r="Z104">
        <v>5</v>
      </c>
      <c r="AA104">
        <v>10</v>
      </c>
      <c r="AB104">
        <v>1500</v>
      </c>
      <c r="AC104">
        <v>1260</v>
      </c>
      <c r="AD104">
        <v>1260</v>
      </c>
      <c r="AE104">
        <v>0</v>
      </c>
      <c r="AF104">
        <v>0</v>
      </c>
      <c r="AG104">
        <v>0</v>
      </c>
      <c r="AH104">
        <v>0</v>
      </c>
      <c r="AI104">
        <v>440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8</v>
      </c>
      <c r="AQ104">
        <v>0</v>
      </c>
      <c r="AR104">
        <v>0</v>
      </c>
      <c r="AS104" t="s">
        <v>58</v>
      </c>
      <c r="AT104">
        <v>1</v>
      </c>
      <c r="AU104" t="s">
        <v>63</v>
      </c>
      <c r="AV104" t="s">
        <v>60</v>
      </c>
      <c r="AW104">
        <v>0</v>
      </c>
      <c r="AX104">
        <v>3</v>
      </c>
      <c r="AY104">
        <v>0</v>
      </c>
      <c r="AZ104">
        <v>0</v>
      </c>
      <c r="BA104">
        <v>100</v>
      </c>
      <c r="BB104">
        <v>100</v>
      </c>
      <c r="BC104">
        <v>100</v>
      </c>
      <c r="BD104">
        <v>100</v>
      </c>
      <c r="BE104">
        <v>1</v>
      </c>
      <c r="BF104">
        <v>15000</v>
      </c>
      <c r="BG104">
        <v>1000</v>
      </c>
      <c r="BH104" s="6">
        <f>Grandview_Inventory[[#This Row],[land_extract]]*Lookups!$B$3</f>
        <v>46638.847281240982</v>
      </c>
      <c r="BI104" s="6">
        <f>IF(Grandview_Inventory[[#This Row],[bldg_style]]="",0,Lookups!$B$2)</f>
        <v>155833.95000000001</v>
      </c>
      <c r="BJ104" s="6">
        <f>_xlfn.IFNA(VLOOKUP(Grandview_Inventory[[#This Row],[quality]],Lookups!$H$2:$J$14,3,FALSE),0)</f>
        <v>2251</v>
      </c>
      <c r="BK104" s="6">
        <f>_xlfn.IFNA(VLOOKUP(Grandview_Inventory[[#This Row],[condition]],Lookups!$H$17:$J$24,3,FALSE),0)</f>
        <v>25780</v>
      </c>
      <c r="BL104" s="6">
        <f>Grandview_Inventory[[#This Row],[Eff_Age]]*Lookups!$B$14</f>
        <v>-1195.8329999999999</v>
      </c>
      <c r="BM104" s="6">
        <f>Grandview_Inventory[[#This Row],[living_area]]*Lookups!$B$15</f>
        <v>78599.874779999998</v>
      </c>
      <c r="BN104" s="6">
        <f>Grandview_Inventory[[#This Row],[Fin BSMT]]*Lookups!$B$16</f>
        <v>0</v>
      </c>
      <c r="BO104" s="6">
        <f>(Grandview_Inventory[[#This Row],[att_gar]]+Grandview_Inventory[[#This Row],[bltin_gar]])*Lookups!$B$17</f>
        <v>38508.992279999999</v>
      </c>
      <c r="BP104" s="6">
        <f>Grandview_Inventory[[#This Row],[Plumbing Fixtures]]*Lookups!$B$18</f>
        <v>16083.5344</v>
      </c>
      <c r="BQ104" s="6">
        <f>Grandview_Inventory[[#This Row],[detatched_value]]*Lookups!$B$19</f>
        <v>0</v>
      </c>
      <c r="BR104" s="6">
        <f>SUM(Grandview_Inventory[[#This Row],[Intercept]:[det_value]])*Grandview_Inventory[[#This Row],[res_pct]]</f>
        <v>315861.51845999999</v>
      </c>
      <c r="BS104" s="6">
        <f>Grandview_Inventory[[#This Row],[land_value]]</f>
        <v>46638.847281240982</v>
      </c>
      <c r="BT104" s="4">
        <f>_xlfn.IFNA(VLOOKUP(Grandview_Inventory[[#This Row],[quality]],Lookups!$A$26:$C$33,3,FALSE),1)</f>
        <v>0.98763855981004833</v>
      </c>
      <c r="BU104" s="4">
        <f>_xlfn.IFNA(VLOOKUP(Grandview_Inventory[[#This Row],[condition]],Lookups!$A$37:$C$44,3,FALSE),1)</f>
        <v>0.94347925387812148</v>
      </c>
      <c r="BV104" s="4">
        <f>IF(Grandview_Inventory[[#This Row],[bldg_style]]="",1,_xlfn.IFNA(VLOOKUP(Grandview_Inventory[[#This Row],[decade]],Lookups!$F$29:$H$43,3,FALSE),1))</f>
        <v>0.94601966599150278</v>
      </c>
      <c r="BW104" s="4">
        <f>_xlfn.IFNA(VLOOKUP(Grandview_Inventory[[#This Row],[living_area_range]],Lookups!$F$47:$H$56,3,FALSE),1)</f>
        <v>0.96135087979789358</v>
      </c>
      <c r="BX104" s="4">
        <f>AVERAGE(Grandview_Inventory[[#This Row],[qual_adj]:[size_adj]])</f>
        <v>0.95962208986939146</v>
      </c>
      <c r="BY104" s="6">
        <f>IF(Grandview_Inventory[[#This Row],[pre_res]]&lt;0,0,Grandview_Inventory[[#This Row],[pre_res]]*Grandview_Inventory[[#This Row],[overall_adj]])</f>
        <v>303107.69045390456</v>
      </c>
      <c r="BZ104" s="6">
        <f>(Grandview_Inventory[[#This Row],[sum_land]]-IF(Grandview_Inventory[[#This Row],[no_utilities]]=1,12000,0))/IF(Grandview_Inventory[[#This Row],[unbuildable]]=1,2,1)</f>
        <v>46638.847281240982</v>
      </c>
      <c r="CA10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4">
        <f>ROUND(Grandview_Inventory[[#This Row],[det_value]]*Lookups!$M$28,-2)</f>
        <v>0</v>
      </c>
      <c r="CC104">
        <f>IF(ROUND(Grandview_Inventory[[#This Row],[adj_res]]*Lookups!$M$28,-2)&lt;Grandview_Inventory[[#This Row],[min_res]],Grandview_Inventory[[#This Row],[min_res]],ROUND(Grandview_Inventory[[#This Row],[adj_res]]*Lookups!$M$28,-2))</f>
        <v>288000</v>
      </c>
      <c r="CD104">
        <f>Grandview_Inventory[[#This Row],[final_det]]+Grandview_Inventory[[#This Row],[final_res]]</f>
        <v>288000</v>
      </c>
      <c r="CE104">
        <f>Grandview_Inventory[[#This Row],[final_land]]+Grandview_Inventory[[#This Row],[final_imp]]+Grandview_Inventory[[#This Row],[crop_value]]</f>
        <v>332300</v>
      </c>
      <c r="CG104" t="str">
        <f t="shared" si="1"/>
        <v>update valuation set market_land =44300, market_bldg=288000, market_total =332300, market_mdno =401, market_date ='9/10/2023' where link_id = (select link_id from parcel where parcel_year = '2024' and parcel_id = '23091432455');</v>
      </c>
    </row>
    <row r="105" spans="1:85" x14ac:dyDescent="0.25">
      <c r="A105">
        <v>23091432456</v>
      </c>
      <c r="B105">
        <v>0.19</v>
      </c>
      <c r="C105">
        <v>8458</v>
      </c>
      <c r="D105" t="s">
        <v>129</v>
      </c>
      <c r="E105" t="s">
        <v>53</v>
      </c>
      <c r="F105" t="s">
        <v>53</v>
      </c>
      <c r="G105">
        <v>4</v>
      </c>
      <c r="H105" t="s">
        <v>54</v>
      </c>
      <c r="I105">
        <v>235400</v>
      </c>
      <c r="J105">
        <v>40700</v>
      </c>
      <c r="K105">
        <v>0.19</v>
      </c>
      <c r="L1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5">
        <v>0</v>
      </c>
      <c r="N105">
        <v>0</v>
      </c>
      <c r="O105">
        <v>0</v>
      </c>
      <c r="P105">
        <v>13398.7528</v>
      </c>
      <c r="Q105">
        <v>63903</v>
      </c>
      <c r="R105">
        <f>(Grandview_Inventory[[#This Row],[ln_acres]]*Grandview_Inventory[[#This Row],[coeff]])+Grandview_Inventory[[#This Row],[const]]</f>
        <v>41651.273092551026</v>
      </c>
      <c r="S105" t="s">
        <v>61</v>
      </c>
      <c r="T105">
        <v>1</v>
      </c>
      <c r="U105" t="s">
        <v>65</v>
      </c>
      <c r="V105" t="s">
        <v>57</v>
      </c>
      <c r="W105">
        <v>0</v>
      </c>
      <c r="X105">
        <v>0</v>
      </c>
      <c r="Y105">
        <v>5</v>
      </c>
      <c r="Z105">
        <v>5</v>
      </c>
      <c r="AA105">
        <v>10</v>
      </c>
      <c r="AB105">
        <v>1500</v>
      </c>
      <c r="AC105">
        <v>1292</v>
      </c>
      <c r="AD105">
        <v>1292</v>
      </c>
      <c r="AE105">
        <v>0</v>
      </c>
      <c r="AF105">
        <v>0</v>
      </c>
      <c r="AG105">
        <v>0</v>
      </c>
      <c r="AH105">
        <v>0</v>
      </c>
      <c r="AI105">
        <v>484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8</v>
      </c>
      <c r="AQ105">
        <v>0</v>
      </c>
      <c r="AR105">
        <v>0</v>
      </c>
      <c r="AS105" t="s">
        <v>58</v>
      </c>
      <c r="AT105">
        <v>1</v>
      </c>
      <c r="AU105" t="s">
        <v>63</v>
      </c>
      <c r="AV105" t="s">
        <v>60</v>
      </c>
      <c r="AW105">
        <v>0</v>
      </c>
      <c r="AX105">
        <v>4</v>
      </c>
      <c r="AY105">
        <v>0</v>
      </c>
      <c r="AZ105">
        <v>0</v>
      </c>
      <c r="BA105">
        <v>100</v>
      </c>
      <c r="BB105">
        <v>100</v>
      </c>
      <c r="BC105">
        <v>100</v>
      </c>
      <c r="BD105">
        <v>100</v>
      </c>
      <c r="BE105">
        <v>1</v>
      </c>
      <c r="BF105">
        <v>15000</v>
      </c>
      <c r="BG105">
        <v>1000</v>
      </c>
      <c r="BH105" s="6">
        <f>Grandview_Inventory[[#This Row],[land_extract]]*Lookups!$B$3</f>
        <v>48369.510983942157</v>
      </c>
      <c r="BI105" s="6">
        <f>IF(Grandview_Inventory[[#This Row],[bldg_style]]="",0,Lookups!$B$2)</f>
        <v>155833.95000000001</v>
      </c>
      <c r="BJ105" s="6">
        <f>_xlfn.IFNA(VLOOKUP(Grandview_Inventory[[#This Row],[quality]],Lookups!$H$2:$J$14,3,FALSE),0)</f>
        <v>2251</v>
      </c>
      <c r="BK105" s="6">
        <f>_xlfn.IFNA(VLOOKUP(Grandview_Inventory[[#This Row],[condition]],Lookups!$H$17:$J$24,3,FALSE),0)</f>
        <v>25780</v>
      </c>
      <c r="BL105" s="6">
        <f>Grandview_Inventory[[#This Row],[Eff_Age]]*Lookups!$B$14</f>
        <v>-1195.8329999999999</v>
      </c>
      <c r="BM105" s="6">
        <f>Grandview_Inventory[[#This Row],[living_area]]*Lookups!$B$15</f>
        <v>80596.062076000002</v>
      </c>
      <c r="BN105" s="6">
        <f>Grandview_Inventory[[#This Row],[Fin BSMT]]*Lookups!$B$16</f>
        <v>0</v>
      </c>
      <c r="BO105" s="6">
        <f>(Grandview_Inventory[[#This Row],[att_gar]]+Grandview_Inventory[[#This Row],[bltin_gar]])*Lookups!$B$17</f>
        <v>42359.891508000001</v>
      </c>
      <c r="BP105" s="6">
        <f>Grandview_Inventory[[#This Row],[Plumbing Fixtures]]*Lookups!$B$18</f>
        <v>16083.5344</v>
      </c>
      <c r="BQ105" s="6">
        <f>Grandview_Inventory[[#This Row],[detatched_value]]*Lookups!$B$19</f>
        <v>0</v>
      </c>
      <c r="BR105" s="6">
        <f>SUM(Grandview_Inventory[[#This Row],[Intercept]:[det_value]])*Grandview_Inventory[[#This Row],[res_pct]]</f>
        <v>321708.60498399998</v>
      </c>
      <c r="BS105" s="6">
        <f>Grandview_Inventory[[#This Row],[land_value]]</f>
        <v>48369.510983942157</v>
      </c>
      <c r="BT105" s="4">
        <f>_xlfn.IFNA(VLOOKUP(Grandview_Inventory[[#This Row],[quality]],Lookups!$A$26:$C$33,3,FALSE),1)</f>
        <v>0.98763855981004833</v>
      </c>
      <c r="BU105" s="4">
        <f>_xlfn.IFNA(VLOOKUP(Grandview_Inventory[[#This Row],[condition]],Lookups!$A$37:$C$44,3,FALSE),1)</f>
        <v>0.94347925387812148</v>
      </c>
      <c r="BV105" s="4">
        <f>IF(Grandview_Inventory[[#This Row],[bldg_style]]="",1,_xlfn.IFNA(VLOOKUP(Grandview_Inventory[[#This Row],[decade]],Lookups!$F$29:$H$43,3,FALSE),1))</f>
        <v>0.94601966599150278</v>
      </c>
      <c r="BW105" s="4">
        <f>_xlfn.IFNA(VLOOKUP(Grandview_Inventory[[#This Row],[living_area_range]],Lookups!$F$47:$H$56,3,FALSE),1)</f>
        <v>0.96135087979789358</v>
      </c>
      <c r="BX105" s="4">
        <f>AVERAGE(Grandview_Inventory[[#This Row],[qual_adj]:[size_adj]])</f>
        <v>0.95962208986939146</v>
      </c>
      <c r="BY105" s="6">
        <f>IF(Grandview_Inventory[[#This Row],[pre_res]]&lt;0,0,Grandview_Inventory[[#This Row],[pre_res]]*Grandview_Inventory[[#This Row],[overall_adj]])</f>
        <v>308718.68384371256</v>
      </c>
      <c r="BZ105" s="6">
        <f>(Grandview_Inventory[[#This Row],[sum_land]]-IF(Grandview_Inventory[[#This Row],[no_utilities]]=1,12000,0))/IF(Grandview_Inventory[[#This Row],[unbuildable]]=1,2,1)</f>
        <v>48369.510983942157</v>
      </c>
      <c r="CA1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5">
        <f>ROUND(Grandview_Inventory[[#This Row],[det_value]]*Lookups!$M$28,-2)</f>
        <v>0</v>
      </c>
      <c r="CC105">
        <f>IF(ROUND(Grandview_Inventory[[#This Row],[adj_res]]*Lookups!$M$28,-2)&lt;Grandview_Inventory[[#This Row],[min_res]],Grandview_Inventory[[#This Row],[min_res]],ROUND(Grandview_Inventory[[#This Row],[adj_res]]*Lookups!$M$28,-2))</f>
        <v>293300</v>
      </c>
      <c r="CD105">
        <f>Grandview_Inventory[[#This Row],[final_det]]+Grandview_Inventory[[#This Row],[final_res]]</f>
        <v>293300</v>
      </c>
      <c r="CE105">
        <f>Grandview_Inventory[[#This Row],[final_land]]+Grandview_Inventory[[#This Row],[final_imp]]+Grandview_Inventory[[#This Row],[crop_value]]</f>
        <v>339300</v>
      </c>
      <c r="CG105" t="str">
        <f t="shared" si="1"/>
        <v>update valuation set market_land =46000, market_bldg=293300, market_total =339300, market_mdno =401, market_date ='9/10/2023' where link_id = (select link_id from parcel where parcel_year = '2024' and parcel_id = '23091432456');</v>
      </c>
    </row>
    <row r="106" spans="1:85" x14ac:dyDescent="0.25">
      <c r="A106">
        <v>23091432460</v>
      </c>
      <c r="B106">
        <v>0.16</v>
      </c>
      <c r="C106">
        <v>6923</v>
      </c>
      <c r="D106" t="s">
        <v>129</v>
      </c>
      <c r="E106" t="s">
        <v>53</v>
      </c>
      <c r="F106" t="s">
        <v>53</v>
      </c>
      <c r="G106">
        <v>4</v>
      </c>
      <c r="H106" t="s">
        <v>54</v>
      </c>
      <c r="I106">
        <v>215600</v>
      </c>
      <c r="J106">
        <v>38600</v>
      </c>
      <c r="K106">
        <v>0.16</v>
      </c>
      <c r="L10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06">
        <v>0</v>
      </c>
      <c r="N106">
        <v>0</v>
      </c>
      <c r="O106">
        <v>0</v>
      </c>
      <c r="P106">
        <v>13398.7528</v>
      </c>
      <c r="Q106">
        <v>63903</v>
      </c>
      <c r="R106">
        <f>(Grandview_Inventory[[#This Row],[ln_acres]]*Grandview_Inventory[[#This Row],[coeff]])+Grandview_Inventory[[#This Row],[const]]</f>
        <v>39348.693981374228</v>
      </c>
      <c r="S106" t="s">
        <v>61</v>
      </c>
      <c r="T106">
        <v>1</v>
      </c>
      <c r="U106" t="s">
        <v>70</v>
      </c>
      <c r="V106" t="s">
        <v>66</v>
      </c>
      <c r="W106">
        <v>0</v>
      </c>
      <c r="X106">
        <v>0</v>
      </c>
      <c r="Y106">
        <v>10</v>
      </c>
      <c r="Z106">
        <v>10</v>
      </c>
      <c r="AA106">
        <v>10</v>
      </c>
      <c r="AB106">
        <v>1500</v>
      </c>
      <c r="AC106">
        <v>1084</v>
      </c>
      <c r="AD106">
        <v>1084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268</v>
      </c>
      <c r="AO106">
        <v>0</v>
      </c>
      <c r="AP106">
        <v>8</v>
      </c>
      <c r="AQ106">
        <v>0</v>
      </c>
      <c r="AR106">
        <v>0</v>
      </c>
      <c r="AS106" t="s">
        <v>58</v>
      </c>
      <c r="AT106">
        <v>1</v>
      </c>
      <c r="AU106" t="s">
        <v>79</v>
      </c>
      <c r="AV106" t="s">
        <v>60</v>
      </c>
      <c r="AW106">
        <v>0</v>
      </c>
      <c r="AX106">
        <v>3</v>
      </c>
      <c r="AY106">
        <v>0</v>
      </c>
      <c r="AZ106">
        <v>6200</v>
      </c>
      <c r="BA106">
        <v>100</v>
      </c>
      <c r="BB106">
        <v>100</v>
      </c>
      <c r="BC106">
        <v>100</v>
      </c>
      <c r="BD106">
        <v>100</v>
      </c>
      <c r="BE106">
        <v>1</v>
      </c>
      <c r="BF106">
        <v>15000</v>
      </c>
      <c r="BG106">
        <v>1000</v>
      </c>
      <c r="BH106" s="6">
        <f>Grandview_Inventory[[#This Row],[land_extract]]*Lookups!$B$3</f>
        <v>45695.532079096141</v>
      </c>
      <c r="BI106" s="6">
        <f>IF(Grandview_Inventory[[#This Row],[bldg_style]]="",0,Lookups!$B$2)</f>
        <v>155833.95000000001</v>
      </c>
      <c r="BJ106" s="6">
        <f>_xlfn.IFNA(VLOOKUP(Grandview_Inventory[[#This Row],[quality]],Lookups!$H$2:$J$14,3,FALSE),0)</f>
        <v>10733</v>
      </c>
      <c r="BK106" s="6">
        <f>_xlfn.IFNA(VLOOKUP(Grandview_Inventory[[#This Row],[condition]],Lookups!$H$17:$J$24,3,FALSE),0)</f>
        <v>25818</v>
      </c>
      <c r="BL106" s="6">
        <f>Grandview_Inventory[[#This Row],[Eff_Age]]*Lookups!$B$14</f>
        <v>-2391.6659999999997</v>
      </c>
      <c r="BM106" s="6">
        <f>Grandview_Inventory[[#This Row],[living_area]]*Lookups!$B$15</f>
        <v>67620.844652</v>
      </c>
      <c r="BN106" s="6">
        <f>Grandview_Inventory[[#This Row],[Fin BSMT]]*Lookups!$B$16</f>
        <v>0</v>
      </c>
      <c r="BO106" s="6">
        <f>(Grandview_Inventory[[#This Row],[att_gar]]+Grandview_Inventory[[#This Row],[bltin_gar]])*Lookups!$B$17</f>
        <v>0</v>
      </c>
      <c r="BP106" s="6">
        <f>Grandview_Inventory[[#This Row],[Plumbing Fixtures]]*Lookups!$B$18</f>
        <v>16083.5344</v>
      </c>
      <c r="BQ106" s="6">
        <f>Grandview_Inventory[[#This Row],[detatched_value]]*Lookups!$B$19</f>
        <v>5250.1916199999996</v>
      </c>
      <c r="BR106" s="6">
        <f>SUM(Grandview_Inventory[[#This Row],[Intercept]:[det_value]])*Grandview_Inventory[[#This Row],[res_pct]]</f>
        <v>278947.85467199999</v>
      </c>
      <c r="BS106" s="6">
        <f>Grandview_Inventory[[#This Row],[land_value]]</f>
        <v>45695.532079096141</v>
      </c>
      <c r="BT106" s="4">
        <f>_xlfn.IFNA(VLOOKUP(Grandview_Inventory[[#This Row],[quality]],Lookups!$A$26:$C$33,3,FALSE),1)</f>
        <v>0.98079741117310582</v>
      </c>
      <c r="BU106" s="4">
        <f>_xlfn.IFNA(VLOOKUP(Grandview_Inventory[[#This Row],[condition]],Lookups!$A$37:$C$44,3,FALSE),1)</f>
        <v>0.96661476234146892</v>
      </c>
      <c r="BV106" s="4">
        <f>IF(Grandview_Inventory[[#This Row],[bldg_style]]="",1,_xlfn.IFNA(VLOOKUP(Grandview_Inventory[[#This Row],[decade]],Lookups!$F$29:$H$43,3,FALSE),1))</f>
        <v>0.94601966599150278</v>
      </c>
      <c r="BW106" s="4">
        <f>_xlfn.IFNA(VLOOKUP(Grandview_Inventory[[#This Row],[living_area_range]],Lookups!$F$47:$H$56,3,FALSE),1)</f>
        <v>0.96135087979789358</v>
      </c>
      <c r="BX106" s="4">
        <f>AVERAGE(Grandview_Inventory[[#This Row],[qual_adj]:[size_adj]])</f>
        <v>0.9636956798259928</v>
      </c>
      <c r="BY106" s="6">
        <f>IF(Grandview_Inventory[[#This Row],[pre_res]]&lt;0,0,Grandview_Inventory[[#This Row],[pre_res]]*Grandview_Inventory[[#This Row],[overall_adj]])</f>
        <v>268820.84244413528</v>
      </c>
      <c r="BZ106" s="6">
        <f>(Grandview_Inventory[[#This Row],[sum_land]]-IF(Grandview_Inventory[[#This Row],[no_utilities]]=1,12000,0))/IF(Grandview_Inventory[[#This Row],[unbuildable]]=1,2,1)</f>
        <v>45695.532079096141</v>
      </c>
      <c r="CA10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06">
        <f>ROUND(Grandview_Inventory[[#This Row],[det_value]]*Lookups!$M$28,-2)</f>
        <v>5000</v>
      </c>
      <c r="CC106">
        <f>IF(ROUND(Grandview_Inventory[[#This Row],[adj_res]]*Lookups!$M$28,-2)&lt;Grandview_Inventory[[#This Row],[min_res]],Grandview_Inventory[[#This Row],[min_res]],ROUND(Grandview_Inventory[[#This Row],[adj_res]]*Lookups!$M$28,-2))</f>
        <v>255400</v>
      </c>
      <c r="CD106">
        <f>Grandview_Inventory[[#This Row],[final_det]]+Grandview_Inventory[[#This Row],[final_res]]</f>
        <v>260400</v>
      </c>
      <c r="CE106">
        <f>Grandview_Inventory[[#This Row],[final_land]]+Grandview_Inventory[[#This Row],[final_imp]]+Grandview_Inventory[[#This Row],[crop_value]]</f>
        <v>303800</v>
      </c>
      <c r="CG106" t="str">
        <f t="shared" si="1"/>
        <v>update valuation set market_land =43400, market_bldg=260400, market_total =303800, market_mdno =401, market_date ='9/10/2023' where link_id = (select link_id from parcel where parcel_year = '2024' and parcel_id = '23091432460');</v>
      </c>
    </row>
    <row r="107" spans="1:85" x14ac:dyDescent="0.25">
      <c r="A107">
        <v>23091432461</v>
      </c>
      <c r="B107">
        <v>0.16</v>
      </c>
      <c r="C107">
        <v>6990</v>
      </c>
      <c r="D107" t="s">
        <v>129</v>
      </c>
      <c r="E107" t="s">
        <v>53</v>
      </c>
      <c r="F107" t="s">
        <v>53</v>
      </c>
      <c r="G107">
        <v>4</v>
      </c>
      <c r="H107" t="s">
        <v>54</v>
      </c>
      <c r="I107">
        <v>113000</v>
      </c>
      <c r="J107">
        <v>38600</v>
      </c>
      <c r="K107">
        <v>0.16</v>
      </c>
      <c r="L10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07">
        <v>0</v>
      </c>
      <c r="N107">
        <v>0</v>
      </c>
      <c r="O107">
        <v>0</v>
      </c>
      <c r="P107">
        <v>13398.7528</v>
      </c>
      <c r="Q107">
        <v>63903</v>
      </c>
      <c r="R107">
        <f>(Grandview_Inventory[[#This Row],[ln_acres]]*Grandview_Inventory[[#This Row],[coeff]])+Grandview_Inventory[[#This Row],[const]]</f>
        <v>39348.693981374228</v>
      </c>
      <c r="S107" t="s">
        <v>68</v>
      </c>
      <c r="T107">
        <v>1</v>
      </c>
      <c r="U107" t="s">
        <v>80</v>
      </c>
      <c r="V107" t="s">
        <v>69</v>
      </c>
      <c r="W107">
        <v>0</v>
      </c>
      <c r="X107">
        <v>0</v>
      </c>
      <c r="Y107">
        <v>53</v>
      </c>
      <c r="Z107">
        <v>93</v>
      </c>
      <c r="AA107">
        <v>100</v>
      </c>
      <c r="AB107">
        <v>1500</v>
      </c>
      <c r="AC107">
        <v>1476</v>
      </c>
      <c r="AD107">
        <v>1116</v>
      </c>
      <c r="AE107">
        <v>0</v>
      </c>
      <c r="AF107">
        <v>0</v>
      </c>
      <c r="AG107">
        <v>360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120</v>
      </c>
      <c r="AN107">
        <v>0</v>
      </c>
      <c r="AO107">
        <v>120</v>
      </c>
      <c r="AP107">
        <v>5</v>
      </c>
      <c r="AQ107">
        <v>0</v>
      </c>
      <c r="AR107">
        <v>0</v>
      </c>
      <c r="AS107" t="s">
        <v>58</v>
      </c>
      <c r="AT107">
        <v>1</v>
      </c>
      <c r="AU107" t="s">
        <v>75</v>
      </c>
      <c r="AV107" t="s">
        <v>60</v>
      </c>
      <c r="AW107">
        <v>0</v>
      </c>
      <c r="AX107">
        <v>2</v>
      </c>
      <c r="AY107">
        <v>0</v>
      </c>
      <c r="AZ107">
        <v>0</v>
      </c>
      <c r="BA107">
        <v>100</v>
      </c>
      <c r="BB107">
        <v>100</v>
      </c>
      <c r="BC107">
        <v>100</v>
      </c>
      <c r="BD107">
        <v>100</v>
      </c>
      <c r="BE107">
        <v>1</v>
      </c>
      <c r="BF107">
        <v>15000</v>
      </c>
      <c r="BG107">
        <v>1000</v>
      </c>
      <c r="BH107" s="6">
        <f>Grandview_Inventory[[#This Row],[land_extract]]*Lookups!$B$3</f>
        <v>45695.532079096141</v>
      </c>
      <c r="BI107" s="6">
        <f>IF(Grandview_Inventory[[#This Row],[bldg_style]]="",0,Lookups!$B$2)</f>
        <v>155833.95000000001</v>
      </c>
      <c r="BJ107" s="6">
        <f>_xlfn.IFNA(VLOOKUP(Grandview_Inventory[[#This Row],[quality]],Lookups!$H$2:$J$14,3,FALSE),0)</f>
        <v>-28558</v>
      </c>
      <c r="BK107" s="6">
        <f>_xlfn.IFNA(VLOOKUP(Grandview_Inventory[[#This Row],[condition]],Lookups!$H$17:$J$24,3,FALSE),0)</f>
        <v>-4503</v>
      </c>
      <c r="BL107" s="6">
        <f>Grandview_Inventory[[#This Row],[Eff_Age]]*Lookups!$B$14</f>
        <v>-12675.8298</v>
      </c>
      <c r="BM107" s="6">
        <f>Grandview_Inventory[[#This Row],[living_area]]*Lookups!$B$15</f>
        <v>92074.139028000005</v>
      </c>
      <c r="BN107" s="6">
        <f>Grandview_Inventory[[#This Row],[Fin BSMT]]*Lookups!$B$16</f>
        <v>-9755.7264000000014</v>
      </c>
      <c r="BO107" s="6">
        <f>(Grandview_Inventory[[#This Row],[att_gar]]+Grandview_Inventory[[#This Row],[bltin_gar]])*Lookups!$B$17</f>
        <v>0</v>
      </c>
      <c r="BP107" s="6">
        <f>Grandview_Inventory[[#This Row],[Plumbing Fixtures]]*Lookups!$B$18</f>
        <v>10052.209000000001</v>
      </c>
      <c r="BQ107" s="6">
        <f>Grandview_Inventory[[#This Row],[detatched_value]]*Lookups!$B$19</f>
        <v>0</v>
      </c>
      <c r="BR107" s="6">
        <f>SUM(Grandview_Inventory[[#This Row],[Intercept]:[det_value]])*Grandview_Inventory[[#This Row],[res_pct]]</f>
        <v>202467.741828</v>
      </c>
      <c r="BS107" s="6">
        <f>Grandview_Inventory[[#This Row],[land_value]]</f>
        <v>45695.532079096141</v>
      </c>
      <c r="BT107" s="4">
        <f>_xlfn.IFNA(VLOOKUP(Grandview_Inventory[[#This Row],[quality]],Lookups!$A$26:$C$33,3,FALSE),1)</f>
        <v>0.9690360070159818</v>
      </c>
      <c r="BU107" s="4">
        <f>_xlfn.IFNA(VLOOKUP(Grandview_Inventory[[#This Row],[condition]],Lookups!$A$37:$C$44,3,FALSE),1)</f>
        <v>0.96469275950863709</v>
      </c>
      <c r="BV107" s="4">
        <f>IF(Grandview_Inventory[[#This Row],[bldg_style]]="",1,_xlfn.IFNA(VLOOKUP(Grandview_Inventory[[#This Row],[decade]],Lookups!$F$29:$H$43,3,FALSE),1))</f>
        <v>0.95244691841736806</v>
      </c>
      <c r="BW107" s="4">
        <f>_xlfn.IFNA(VLOOKUP(Grandview_Inventory[[#This Row],[living_area_range]],Lookups!$F$47:$H$56,3,FALSE),1)</f>
        <v>0.96135087979789358</v>
      </c>
      <c r="BX107" s="4">
        <f>AVERAGE(Grandview_Inventory[[#This Row],[qual_adj]:[size_adj]])</f>
        <v>0.9618816411849701</v>
      </c>
      <c r="BY107" s="6">
        <f>IF(Grandview_Inventory[[#This Row],[pre_res]]&lt;0,0,Grandview_Inventory[[#This Row],[pre_res]]*Grandview_Inventory[[#This Row],[overall_adj]])</f>
        <v>194750.00379653147</v>
      </c>
      <c r="BZ107" s="6">
        <f>(Grandview_Inventory[[#This Row],[sum_land]]-IF(Grandview_Inventory[[#This Row],[no_utilities]]=1,12000,0))/IF(Grandview_Inventory[[#This Row],[unbuildable]]=1,2,1)</f>
        <v>45695.532079096141</v>
      </c>
      <c r="CA10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07">
        <f>ROUND(Grandview_Inventory[[#This Row],[det_value]]*Lookups!$M$28,-2)</f>
        <v>0</v>
      </c>
      <c r="CC107">
        <f>IF(ROUND(Grandview_Inventory[[#This Row],[adj_res]]*Lookups!$M$28,-2)&lt;Grandview_Inventory[[#This Row],[min_res]],Grandview_Inventory[[#This Row],[min_res]],ROUND(Grandview_Inventory[[#This Row],[adj_res]]*Lookups!$M$28,-2))</f>
        <v>185000</v>
      </c>
      <c r="CD107">
        <f>Grandview_Inventory[[#This Row],[final_det]]+Grandview_Inventory[[#This Row],[final_res]]</f>
        <v>185000</v>
      </c>
      <c r="CE107">
        <f>Grandview_Inventory[[#This Row],[final_land]]+Grandview_Inventory[[#This Row],[final_imp]]+Grandview_Inventory[[#This Row],[crop_value]]</f>
        <v>228400</v>
      </c>
      <c r="CG107" t="str">
        <f t="shared" si="1"/>
        <v>update valuation set market_land =43400, market_bldg=185000, market_total =228400, market_mdno =401, market_date ='9/10/2023' where link_id = (select link_id from parcel where parcel_year = '2024' and parcel_id = '23091432461');</v>
      </c>
    </row>
    <row r="108" spans="1:85" x14ac:dyDescent="0.25">
      <c r="A108">
        <v>23091432462</v>
      </c>
      <c r="B108">
        <v>0.18</v>
      </c>
      <c r="C108">
        <v>7697</v>
      </c>
      <c r="D108" t="s">
        <v>129</v>
      </c>
      <c r="E108" t="s">
        <v>53</v>
      </c>
      <c r="F108" t="s">
        <v>53</v>
      </c>
      <c r="G108">
        <v>4</v>
      </c>
      <c r="H108" t="s">
        <v>54</v>
      </c>
      <c r="I108">
        <v>226200</v>
      </c>
      <c r="J108">
        <v>39000</v>
      </c>
      <c r="K108">
        <v>0.18</v>
      </c>
      <c r="L10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8">
        <v>0</v>
      </c>
      <c r="N108">
        <v>0</v>
      </c>
      <c r="O108">
        <v>0</v>
      </c>
      <c r="P108">
        <v>13398.7528</v>
      </c>
      <c r="Q108">
        <v>63903</v>
      </c>
      <c r="R108">
        <f>(Grandview_Inventory[[#This Row],[ln_acres]]*Grandview_Inventory[[#This Row],[coeff]])+Grandview_Inventory[[#This Row],[const]]</f>
        <v>40926.839760167699</v>
      </c>
      <c r="S108" t="s">
        <v>61</v>
      </c>
      <c r="T108">
        <v>1</v>
      </c>
      <c r="U108" t="s">
        <v>65</v>
      </c>
      <c r="V108" t="s">
        <v>57</v>
      </c>
      <c r="W108">
        <v>0</v>
      </c>
      <c r="X108">
        <v>0</v>
      </c>
      <c r="Y108">
        <v>5</v>
      </c>
      <c r="Z108">
        <v>5</v>
      </c>
      <c r="AA108">
        <v>10</v>
      </c>
      <c r="AB108">
        <v>1500</v>
      </c>
      <c r="AC108">
        <v>1260</v>
      </c>
      <c r="AD108">
        <v>1260</v>
      </c>
      <c r="AE108">
        <v>0</v>
      </c>
      <c r="AF108">
        <v>0</v>
      </c>
      <c r="AG108">
        <v>0</v>
      </c>
      <c r="AH108">
        <v>0</v>
      </c>
      <c r="AI108">
        <v>440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8</v>
      </c>
      <c r="AQ108">
        <v>0</v>
      </c>
      <c r="AR108">
        <v>0</v>
      </c>
      <c r="AS108" t="s">
        <v>58</v>
      </c>
      <c r="AT108">
        <v>1</v>
      </c>
      <c r="AU108" t="s">
        <v>132</v>
      </c>
      <c r="AV108" t="s">
        <v>60</v>
      </c>
      <c r="AW108">
        <v>1</v>
      </c>
      <c r="AX108">
        <v>3</v>
      </c>
      <c r="AY108">
        <v>0</v>
      </c>
      <c r="AZ108">
        <v>0</v>
      </c>
      <c r="BA108">
        <v>100</v>
      </c>
      <c r="BB108">
        <v>100</v>
      </c>
      <c r="BC108">
        <v>100</v>
      </c>
      <c r="BD108">
        <v>100</v>
      </c>
      <c r="BE108">
        <v>1</v>
      </c>
      <c r="BF108">
        <v>15000</v>
      </c>
      <c r="BG108">
        <v>1000</v>
      </c>
      <c r="BH108" s="6">
        <f>Grandview_Inventory[[#This Row],[land_extract]]*Lookups!$B$3</f>
        <v>47528.228511015397</v>
      </c>
      <c r="BI108" s="6">
        <f>IF(Grandview_Inventory[[#This Row],[bldg_style]]="",0,Lookups!$B$2)</f>
        <v>155833.95000000001</v>
      </c>
      <c r="BJ108" s="6">
        <f>_xlfn.IFNA(VLOOKUP(Grandview_Inventory[[#This Row],[quality]],Lookups!$H$2:$J$14,3,FALSE),0)</f>
        <v>2251</v>
      </c>
      <c r="BK108" s="6">
        <f>_xlfn.IFNA(VLOOKUP(Grandview_Inventory[[#This Row],[condition]],Lookups!$H$17:$J$24,3,FALSE),0)</f>
        <v>25780</v>
      </c>
      <c r="BL108" s="6">
        <f>Grandview_Inventory[[#This Row],[Eff_Age]]*Lookups!$B$14</f>
        <v>-1195.8329999999999</v>
      </c>
      <c r="BM108" s="6">
        <f>Grandview_Inventory[[#This Row],[living_area]]*Lookups!$B$15</f>
        <v>78599.874779999998</v>
      </c>
      <c r="BN108" s="6">
        <f>Grandview_Inventory[[#This Row],[Fin BSMT]]*Lookups!$B$16</f>
        <v>0</v>
      </c>
      <c r="BO108" s="6">
        <f>(Grandview_Inventory[[#This Row],[att_gar]]+Grandview_Inventory[[#This Row],[bltin_gar]])*Lookups!$B$17</f>
        <v>38508.992279999999</v>
      </c>
      <c r="BP108" s="6">
        <f>Grandview_Inventory[[#This Row],[Plumbing Fixtures]]*Lookups!$B$18</f>
        <v>16083.5344</v>
      </c>
      <c r="BQ108" s="6">
        <f>Grandview_Inventory[[#This Row],[detatched_value]]*Lookups!$B$19</f>
        <v>0</v>
      </c>
      <c r="BR108" s="6">
        <f>SUM(Grandview_Inventory[[#This Row],[Intercept]:[det_value]])*Grandview_Inventory[[#This Row],[res_pct]]</f>
        <v>315861.51845999999</v>
      </c>
      <c r="BS108" s="6">
        <f>Grandview_Inventory[[#This Row],[land_value]]</f>
        <v>47528.228511015397</v>
      </c>
      <c r="BT108" s="4">
        <f>_xlfn.IFNA(VLOOKUP(Grandview_Inventory[[#This Row],[quality]],Lookups!$A$26:$C$33,3,FALSE),1)</f>
        <v>0.98763855981004833</v>
      </c>
      <c r="BU108" s="4">
        <f>_xlfn.IFNA(VLOOKUP(Grandview_Inventory[[#This Row],[condition]],Lookups!$A$37:$C$44,3,FALSE),1)</f>
        <v>0.94347925387812148</v>
      </c>
      <c r="BV108" s="4">
        <f>IF(Grandview_Inventory[[#This Row],[bldg_style]]="",1,_xlfn.IFNA(VLOOKUP(Grandview_Inventory[[#This Row],[decade]],Lookups!$F$29:$H$43,3,FALSE),1))</f>
        <v>0.94601966599150278</v>
      </c>
      <c r="BW108" s="4">
        <f>_xlfn.IFNA(VLOOKUP(Grandview_Inventory[[#This Row],[living_area_range]],Lookups!$F$47:$H$56,3,FALSE),1)</f>
        <v>0.96135087979789358</v>
      </c>
      <c r="BX108" s="4">
        <f>AVERAGE(Grandview_Inventory[[#This Row],[qual_adj]:[size_adj]])</f>
        <v>0.95962208986939146</v>
      </c>
      <c r="BY108" s="6">
        <f>IF(Grandview_Inventory[[#This Row],[pre_res]]&lt;0,0,Grandview_Inventory[[#This Row],[pre_res]]*Grandview_Inventory[[#This Row],[overall_adj]])</f>
        <v>303107.69045390456</v>
      </c>
      <c r="BZ108" s="6">
        <f>(Grandview_Inventory[[#This Row],[sum_land]]-IF(Grandview_Inventory[[#This Row],[no_utilities]]=1,12000,0))/IF(Grandview_Inventory[[#This Row],[unbuildable]]=1,2,1)</f>
        <v>47528.228511015397</v>
      </c>
      <c r="CA10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8">
        <f>ROUND(Grandview_Inventory[[#This Row],[det_value]]*Lookups!$M$28,-2)</f>
        <v>0</v>
      </c>
      <c r="CC108">
        <f>IF(ROUND(Grandview_Inventory[[#This Row],[adj_res]]*Lookups!$M$28,-2)&lt;Grandview_Inventory[[#This Row],[min_res]],Grandview_Inventory[[#This Row],[min_res]],ROUND(Grandview_Inventory[[#This Row],[adj_res]]*Lookups!$M$28,-2))</f>
        <v>288000</v>
      </c>
      <c r="CD108">
        <f>Grandview_Inventory[[#This Row],[final_det]]+Grandview_Inventory[[#This Row],[final_res]]</f>
        <v>288000</v>
      </c>
      <c r="CE108">
        <f>Grandview_Inventory[[#This Row],[final_land]]+Grandview_Inventory[[#This Row],[final_imp]]+Grandview_Inventory[[#This Row],[crop_value]]</f>
        <v>333200</v>
      </c>
      <c r="CG108" t="str">
        <f t="shared" si="1"/>
        <v>update valuation set market_land =45200, market_bldg=288000, market_total =333200, market_mdno =401, market_date ='9/10/2023' where link_id = (select link_id from parcel where parcel_year = '2024' and parcel_id = '23091432462');</v>
      </c>
    </row>
    <row r="109" spans="1:85" x14ac:dyDescent="0.25">
      <c r="A109">
        <v>23091432481</v>
      </c>
      <c r="B109" t="s">
        <v>129</v>
      </c>
      <c r="C109">
        <v>5209</v>
      </c>
      <c r="D109" t="s">
        <v>129</v>
      </c>
      <c r="E109" t="s">
        <v>53</v>
      </c>
      <c r="F109" t="s">
        <v>53</v>
      </c>
      <c r="G109">
        <v>4</v>
      </c>
      <c r="H109" t="s">
        <v>54</v>
      </c>
      <c r="I109" t="s">
        <v>129</v>
      </c>
      <c r="J109" t="s">
        <v>129</v>
      </c>
      <c r="K109">
        <v>0.12</v>
      </c>
      <c r="L10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09">
        <v>0</v>
      </c>
      <c r="N109">
        <v>0</v>
      </c>
      <c r="O109">
        <v>0</v>
      </c>
      <c r="P109">
        <v>13398.7528</v>
      </c>
      <c r="Q109">
        <v>63903</v>
      </c>
      <c r="R109">
        <f>(Grandview_Inventory[[#This Row],[ln_acres]]*Grandview_Inventory[[#This Row],[coeff]])+Grandview_Inventory[[#This Row],[const]]</f>
        <v>35494.113007601132</v>
      </c>
      <c r="S109" t="s">
        <v>61</v>
      </c>
      <c r="T109">
        <v>1</v>
      </c>
      <c r="U109" t="s">
        <v>65</v>
      </c>
      <c r="V109" t="s">
        <v>57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1500</v>
      </c>
      <c r="AC109">
        <v>1008</v>
      </c>
      <c r="AD109">
        <v>1008</v>
      </c>
      <c r="AE109">
        <v>0</v>
      </c>
      <c r="AF109">
        <v>0</v>
      </c>
      <c r="AG109">
        <v>0</v>
      </c>
      <c r="AH109">
        <v>0</v>
      </c>
      <c r="AI109">
        <v>400</v>
      </c>
      <c r="AJ109">
        <v>0</v>
      </c>
      <c r="AK109">
        <v>0</v>
      </c>
      <c r="AL109">
        <v>0</v>
      </c>
      <c r="AM109">
        <v>100</v>
      </c>
      <c r="AN109">
        <v>108</v>
      </c>
      <c r="AO109">
        <v>0</v>
      </c>
      <c r="AP109">
        <v>8</v>
      </c>
      <c r="AQ109">
        <v>0</v>
      </c>
      <c r="AR109">
        <v>0</v>
      </c>
      <c r="AS109" t="s">
        <v>58</v>
      </c>
      <c r="AT109">
        <v>1</v>
      </c>
      <c r="AU109" t="s">
        <v>59</v>
      </c>
      <c r="AV109" t="s">
        <v>60</v>
      </c>
      <c r="AW109">
        <v>1</v>
      </c>
      <c r="AX109">
        <v>2</v>
      </c>
      <c r="AY109">
        <v>0</v>
      </c>
      <c r="AZ109">
        <v>173600</v>
      </c>
      <c r="BA109">
        <v>100</v>
      </c>
      <c r="BB109">
        <v>100</v>
      </c>
      <c r="BC109">
        <v>100</v>
      </c>
      <c r="BD109">
        <v>8</v>
      </c>
      <c r="BE109">
        <v>0</v>
      </c>
      <c r="BF109">
        <v>15000</v>
      </c>
      <c r="BG109">
        <v>0</v>
      </c>
      <c r="BH109" s="6">
        <f>Grandview_Inventory[[#This Row],[land_extract]]*Lookups!$B$3</f>
        <v>41219.217601622076</v>
      </c>
      <c r="BI109" s="6">
        <f>IF(Grandview_Inventory[[#This Row],[bldg_style]]="",0,Lookups!$B$2)</f>
        <v>155833.95000000001</v>
      </c>
      <c r="BJ109" s="6">
        <f>_xlfn.IFNA(VLOOKUP(Grandview_Inventory[[#This Row],[quality]],Lookups!$H$2:$J$14,3,FALSE),0)</f>
        <v>2251</v>
      </c>
      <c r="BK109" s="6">
        <f>_xlfn.IFNA(VLOOKUP(Grandview_Inventory[[#This Row],[condition]],Lookups!$H$17:$J$24,3,FALSE),0)</f>
        <v>25780</v>
      </c>
      <c r="BL109" s="6">
        <f>Grandview_Inventory[[#This Row],[Eff_Age]]*Lookups!$B$14</f>
        <v>0</v>
      </c>
      <c r="BM109" s="6">
        <f>Grandview_Inventory[[#This Row],[living_area]]*Lookups!$B$15</f>
        <v>62879.899824</v>
      </c>
      <c r="BN109" s="6">
        <f>Grandview_Inventory[[#This Row],[Fin BSMT]]*Lookups!$B$16</f>
        <v>0</v>
      </c>
      <c r="BO109" s="6">
        <f>(Grandview_Inventory[[#This Row],[att_gar]]+Grandview_Inventory[[#This Row],[bltin_gar]])*Lookups!$B$17</f>
        <v>35008.174800000001</v>
      </c>
      <c r="BP109" s="6">
        <f>Grandview_Inventory[[#This Row],[Plumbing Fixtures]]*Lookups!$B$18</f>
        <v>16083.5344</v>
      </c>
      <c r="BQ109" s="6">
        <f>Grandview_Inventory[[#This Row],[detatched_value]]*Lookups!$B$19</f>
        <v>147005.36536</v>
      </c>
      <c r="BR109" s="6">
        <f>SUM(Grandview_Inventory[[#This Row],[Intercept]:[det_value]])*Grandview_Inventory[[#This Row],[res_pct]]</f>
        <v>0</v>
      </c>
      <c r="BS109" s="6">
        <f>Grandview_Inventory[[#This Row],[land_value]]</f>
        <v>41219.217601622076</v>
      </c>
      <c r="BT109" s="4">
        <f>_xlfn.IFNA(VLOOKUP(Grandview_Inventory[[#This Row],[quality]],Lookups!$A$26:$C$33,3,FALSE),1)</f>
        <v>0.98763855981004833</v>
      </c>
      <c r="BU109" s="4">
        <f>_xlfn.IFNA(VLOOKUP(Grandview_Inventory[[#This Row],[condition]],Lookups!$A$37:$C$44,3,FALSE),1)</f>
        <v>0.94347925387812148</v>
      </c>
      <c r="BV109" s="4">
        <f>IF(Grandview_Inventory[[#This Row],[bldg_style]]="",1,_xlfn.IFNA(VLOOKUP(Grandview_Inventory[[#This Row],[decade]],Lookups!$F$29:$H$43,3,FALSE),1))</f>
        <v>0.9413635517371044</v>
      </c>
      <c r="BW109" s="4">
        <f>_xlfn.IFNA(VLOOKUP(Grandview_Inventory[[#This Row],[living_area_range]],Lookups!$F$47:$H$56,3,FALSE),1)</f>
        <v>0.96135087979789358</v>
      </c>
      <c r="BX109" s="4">
        <f>AVERAGE(Grandview_Inventory[[#This Row],[qual_adj]:[size_adj]])</f>
        <v>0.95845806130579192</v>
      </c>
      <c r="BY109" s="6">
        <f>IF(Grandview_Inventory[[#This Row],[pre_res]]&lt;0,0,Grandview_Inventory[[#This Row],[pre_res]]*Grandview_Inventory[[#This Row],[overall_adj]])</f>
        <v>0</v>
      </c>
      <c r="BZ109" s="6">
        <f>(Grandview_Inventory[[#This Row],[sum_land]]-IF(Grandview_Inventory[[#This Row],[no_utilities]]=1,12000,0))/IF(Grandview_Inventory[[#This Row],[unbuildable]]=1,2,1)</f>
        <v>41219.217601622076</v>
      </c>
      <c r="CA10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09">
        <f>ROUND(Grandview_Inventory[[#This Row],[det_value]]*Lookups!$M$28,-2)</f>
        <v>139700</v>
      </c>
      <c r="CC10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09">
        <f>Grandview_Inventory[[#This Row],[final_det]]+Grandview_Inventory[[#This Row],[final_res]]</f>
        <v>139700</v>
      </c>
      <c r="CE109">
        <f>Grandview_Inventory[[#This Row],[final_land]]+Grandview_Inventory[[#This Row],[final_imp]]+Grandview_Inventory[[#This Row],[crop_value]]</f>
        <v>178900</v>
      </c>
      <c r="CG109" t="str">
        <f t="shared" si="1"/>
        <v>update valuation set market_land =39200, market_bldg=139700, market_total =178900, market_mdno =401, market_date ='9/10/2023' where link_id = (select link_id from parcel where parcel_year = '2024' and parcel_id = '23091432481');</v>
      </c>
    </row>
    <row r="110" spans="1:85" x14ac:dyDescent="0.25">
      <c r="A110">
        <v>23091432483</v>
      </c>
      <c r="B110" t="s">
        <v>129</v>
      </c>
      <c r="C110">
        <v>5280</v>
      </c>
      <c r="D110" t="s">
        <v>129</v>
      </c>
      <c r="E110" t="s">
        <v>53</v>
      </c>
      <c r="F110" t="s">
        <v>53</v>
      </c>
      <c r="G110">
        <v>4</v>
      </c>
      <c r="H110" t="s">
        <v>54</v>
      </c>
      <c r="I110" t="s">
        <v>129</v>
      </c>
      <c r="J110" t="s">
        <v>129</v>
      </c>
      <c r="K110">
        <v>0.12</v>
      </c>
      <c r="L11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10">
        <v>0</v>
      </c>
      <c r="N110">
        <v>0</v>
      </c>
      <c r="O110">
        <v>0</v>
      </c>
      <c r="P110">
        <v>13398.7528</v>
      </c>
      <c r="Q110">
        <v>63903</v>
      </c>
      <c r="R110">
        <f>(Grandview_Inventory[[#This Row],[ln_acres]]*Grandview_Inventory[[#This Row],[coeff]])+Grandview_Inventory[[#This Row],[const]]</f>
        <v>35494.113007601132</v>
      </c>
      <c r="S110" t="s">
        <v>61</v>
      </c>
      <c r="T110">
        <v>1</v>
      </c>
      <c r="U110" t="s">
        <v>62</v>
      </c>
      <c r="V110" t="s">
        <v>57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1500</v>
      </c>
      <c r="AC110">
        <v>1152</v>
      </c>
      <c r="AD110">
        <v>1152</v>
      </c>
      <c r="AE110">
        <v>0</v>
      </c>
      <c r="AF110">
        <v>0</v>
      </c>
      <c r="AG110">
        <v>0</v>
      </c>
      <c r="AH110">
        <v>0</v>
      </c>
      <c r="AI110">
        <v>400</v>
      </c>
      <c r="AJ110">
        <v>0</v>
      </c>
      <c r="AK110">
        <v>0</v>
      </c>
      <c r="AL110">
        <v>0</v>
      </c>
      <c r="AM110">
        <v>100</v>
      </c>
      <c r="AN110">
        <v>32</v>
      </c>
      <c r="AO110">
        <v>0</v>
      </c>
      <c r="AP110">
        <v>8</v>
      </c>
      <c r="AQ110">
        <v>0</v>
      </c>
      <c r="AR110">
        <v>0</v>
      </c>
      <c r="AS110" t="s">
        <v>58</v>
      </c>
      <c r="AT110">
        <v>1</v>
      </c>
      <c r="AU110" t="s">
        <v>59</v>
      </c>
      <c r="AV110" t="s">
        <v>60</v>
      </c>
      <c r="AW110">
        <v>1</v>
      </c>
      <c r="AX110">
        <v>3</v>
      </c>
      <c r="AY110">
        <v>0</v>
      </c>
      <c r="AZ110">
        <v>213800</v>
      </c>
      <c r="BA110">
        <v>100</v>
      </c>
      <c r="BB110">
        <v>100</v>
      </c>
      <c r="BC110">
        <v>100</v>
      </c>
      <c r="BD110">
        <v>8</v>
      </c>
      <c r="BE110">
        <v>0</v>
      </c>
      <c r="BF110">
        <v>15000</v>
      </c>
      <c r="BG110">
        <v>0</v>
      </c>
      <c r="BH110" s="6">
        <f>Grandview_Inventory[[#This Row],[land_extract]]*Lookups!$B$3</f>
        <v>41219.217601622076</v>
      </c>
      <c r="BI110" s="6">
        <f>IF(Grandview_Inventory[[#This Row],[bldg_style]]="",0,Lookups!$B$2)</f>
        <v>155833.95000000001</v>
      </c>
      <c r="BJ110" s="6">
        <f>_xlfn.IFNA(VLOOKUP(Grandview_Inventory[[#This Row],[quality]],Lookups!$H$2:$J$14,3,FALSE),0)</f>
        <v>9808</v>
      </c>
      <c r="BK110" s="6">
        <f>_xlfn.IFNA(VLOOKUP(Grandview_Inventory[[#This Row],[condition]],Lookups!$H$17:$J$24,3,FALSE),0)</f>
        <v>25780</v>
      </c>
      <c r="BL110" s="6">
        <f>Grandview_Inventory[[#This Row],[Eff_Age]]*Lookups!$B$14</f>
        <v>0</v>
      </c>
      <c r="BM110" s="6">
        <f>Grandview_Inventory[[#This Row],[living_area]]*Lookups!$B$15</f>
        <v>71862.742656000002</v>
      </c>
      <c r="BN110" s="6">
        <f>Grandview_Inventory[[#This Row],[Fin BSMT]]*Lookups!$B$16</f>
        <v>0</v>
      </c>
      <c r="BO110" s="6">
        <f>(Grandview_Inventory[[#This Row],[att_gar]]+Grandview_Inventory[[#This Row],[bltin_gar]])*Lookups!$B$17</f>
        <v>35008.174800000001</v>
      </c>
      <c r="BP110" s="6">
        <f>Grandview_Inventory[[#This Row],[Plumbing Fixtures]]*Lookups!$B$18</f>
        <v>16083.5344</v>
      </c>
      <c r="BQ110" s="6">
        <f>Grandview_Inventory[[#This Row],[detatched_value]]*Lookups!$B$19</f>
        <v>181046.93038000001</v>
      </c>
      <c r="BR110" s="6">
        <f>SUM(Grandview_Inventory[[#This Row],[Intercept]:[det_value]])*Grandview_Inventory[[#This Row],[res_pct]]</f>
        <v>0</v>
      </c>
      <c r="BS110" s="6">
        <f>Grandview_Inventory[[#This Row],[land_value]]</f>
        <v>41219.217601622076</v>
      </c>
      <c r="BT110" s="4">
        <f>_xlfn.IFNA(VLOOKUP(Grandview_Inventory[[#This Row],[quality]],Lookups!$A$26:$C$33,3,FALSE),1)</f>
        <v>0.94295468617355149</v>
      </c>
      <c r="BU110" s="4">
        <f>_xlfn.IFNA(VLOOKUP(Grandview_Inventory[[#This Row],[condition]],Lookups!$A$37:$C$44,3,FALSE),1)</f>
        <v>0.94347925387812148</v>
      </c>
      <c r="BV110" s="4">
        <f>IF(Grandview_Inventory[[#This Row],[bldg_style]]="",1,_xlfn.IFNA(VLOOKUP(Grandview_Inventory[[#This Row],[decade]],Lookups!$F$29:$H$43,3,FALSE),1))</f>
        <v>0.9413635517371044</v>
      </c>
      <c r="BW110" s="4">
        <f>_xlfn.IFNA(VLOOKUP(Grandview_Inventory[[#This Row],[living_area_range]],Lookups!$F$47:$H$56,3,FALSE),1)</f>
        <v>0.96135087979789358</v>
      </c>
      <c r="BX110" s="4">
        <f>AVERAGE(Grandview_Inventory[[#This Row],[qual_adj]:[size_adj]])</f>
        <v>0.94728709289666768</v>
      </c>
      <c r="BY110" s="6">
        <f>IF(Grandview_Inventory[[#This Row],[pre_res]]&lt;0,0,Grandview_Inventory[[#This Row],[pre_res]]*Grandview_Inventory[[#This Row],[overall_adj]])</f>
        <v>0</v>
      </c>
      <c r="BZ110" s="6">
        <f>(Grandview_Inventory[[#This Row],[sum_land]]-IF(Grandview_Inventory[[#This Row],[no_utilities]]=1,12000,0))/IF(Grandview_Inventory[[#This Row],[unbuildable]]=1,2,1)</f>
        <v>41219.217601622076</v>
      </c>
      <c r="CA11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10">
        <f>ROUND(Grandview_Inventory[[#This Row],[det_value]]*Lookups!$M$28,-2)</f>
        <v>172000</v>
      </c>
      <c r="CC11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10">
        <f>Grandview_Inventory[[#This Row],[final_det]]+Grandview_Inventory[[#This Row],[final_res]]</f>
        <v>172000</v>
      </c>
      <c r="CE110">
        <f>Grandview_Inventory[[#This Row],[final_land]]+Grandview_Inventory[[#This Row],[final_imp]]+Grandview_Inventory[[#This Row],[crop_value]]</f>
        <v>211200</v>
      </c>
      <c r="CG110" t="str">
        <f t="shared" si="1"/>
        <v>update valuation set market_land =39200, market_bldg=172000, market_total =211200, market_mdno =401, market_date ='9/10/2023' where link_id = (select link_id from parcel where parcel_year = '2024' and parcel_id = '23091432483');</v>
      </c>
    </row>
    <row r="111" spans="1:85" x14ac:dyDescent="0.25">
      <c r="A111">
        <v>23091432484</v>
      </c>
      <c r="B111" t="s">
        <v>129</v>
      </c>
      <c r="C111">
        <v>5910</v>
      </c>
      <c r="D111" t="s">
        <v>129</v>
      </c>
      <c r="E111" t="s">
        <v>53</v>
      </c>
      <c r="F111" t="s">
        <v>53</v>
      </c>
      <c r="G111">
        <v>4</v>
      </c>
      <c r="H111" t="s">
        <v>54</v>
      </c>
      <c r="I111" t="s">
        <v>129</v>
      </c>
      <c r="J111" t="s">
        <v>129</v>
      </c>
      <c r="K111">
        <v>0.14000000000000001</v>
      </c>
      <c r="L111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11">
        <v>0</v>
      </c>
      <c r="N111">
        <v>0</v>
      </c>
      <c r="O111">
        <v>0</v>
      </c>
      <c r="P111">
        <v>13398.7528</v>
      </c>
      <c r="Q111">
        <v>63903</v>
      </c>
      <c r="R111">
        <f>(Grandview_Inventory[[#This Row],[ln_acres]]*Grandview_Inventory[[#This Row],[coeff]])+Grandview_Inventory[[#This Row],[const]]</f>
        <v>37559.539860558507</v>
      </c>
      <c r="S111" t="s">
        <v>61</v>
      </c>
      <c r="T111">
        <v>1</v>
      </c>
      <c r="U111" t="s">
        <v>62</v>
      </c>
      <c r="V111" t="s">
        <v>57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1500</v>
      </c>
      <c r="AC111">
        <v>1412</v>
      </c>
      <c r="AD111">
        <v>1412</v>
      </c>
      <c r="AE111">
        <v>0</v>
      </c>
      <c r="AF111">
        <v>0</v>
      </c>
      <c r="AG111">
        <v>0</v>
      </c>
      <c r="AH111">
        <v>0</v>
      </c>
      <c r="AI111">
        <v>400</v>
      </c>
      <c r="AJ111">
        <v>0</v>
      </c>
      <c r="AK111">
        <v>0</v>
      </c>
      <c r="AL111">
        <v>0</v>
      </c>
      <c r="AM111">
        <v>100</v>
      </c>
      <c r="AN111">
        <v>24</v>
      </c>
      <c r="AO111">
        <v>0</v>
      </c>
      <c r="AP111">
        <v>9</v>
      </c>
      <c r="AQ111">
        <v>0</v>
      </c>
      <c r="AR111">
        <v>0</v>
      </c>
      <c r="AS111" t="s">
        <v>58</v>
      </c>
      <c r="AT111">
        <v>1</v>
      </c>
      <c r="AU111" t="s">
        <v>59</v>
      </c>
      <c r="AV111" t="s">
        <v>60</v>
      </c>
      <c r="AW111">
        <v>1</v>
      </c>
      <c r="AX111">
        <v>3</v>
      </c>
      <c r="AY111">
        <v>0</v>
      </c>
      <c r="AZ111">
        <v>252400</v>
      </c>
      <c r="BA111">
        <v>100</v>
      </c>
      <c r="BB111">
        <v>100</v>
      </c>
      <c r="BC111">
        <v>100</v>
      </c>
      <c r="BD111">
        <v>8</v>
      </c>
      <c r="BE111">
        <v>0</v>
      </c>
      <c r="BF111">
        <v>15000</v>
      </c>
      <c r="BG111">
        <v>0</v>
      </c>
      <c r="BH111" s="6">
        <f>Grandview_Inventory[[#This Row],[land_extract]]*Lookups!$B$3</f>
        <v>43617.792229308972</v>
      </c>
      <c r="BI111" s="6">
        <f>IF(Grandview_Inventory[[#This Row],[bldg_style]]="",0,Lookups!$B$2)</f>
        <v>155833.95000000001</v>
      </c>
      <c r="BJ111" s="6">
        <f>_xlfn.IFNA(VLOOKUP(Grandview_Inventory[[#This Row],[quality]],Lookups!$H$2:$J$14,3,FALSE),0)</f>
        <v>9808</v>
      </c>
      <c r="BK111" s="6">
        <f>_xlfn.IFNA(VLOOKUP(Grandview_Inventory[[#This Row],[condition]],Lookups!$H$17:$J$24,3,FALSE),0)</f>
        <v>25780</v>
      </c>
      <c r="BL111" s="6">
        <f>Grandview_Inventory[[#This Row],[Eff_Age]]*Lookups!$B$14</f>
        <v>0</v>
      </c>
      <c r="BM111" s="6">
        <f>Grandview_Inventory[[#This Row],[living_area]]*Lookups!$B$15</f>
        <v>88081.764435999998</v>
      </c>
      <c r="BN111" s="6">
        <f>Grandview_Inventory[[#This Row],[Fin BSMT]]*Lookups!$B$16</f>
        <v>0</v>
      </c>
      <c r="BO111" s="6">
        <f>(Grandview_Inventory[[#This Row],[att_gar]]+Grandview_Inventory[[#This Row],[bltin_gar]])*Lookups!$B$17</f>
        <v>35008.174800000001</v>
      </c>
      <c r="BP111" s="6">
        <f>Grandview_Inventory[[#This Row],[Plumbing Fixtures]]*Lookups!$B$18</f>
        <v>18093.976200000001</v>
      </c>
      <c r="BQ111" s="6">
        <f>Grandview_Inventory[[#This Row],[detatched_value]]*Lookups!$B$19</f>
        <v>213733.60723999998</v>
      </c>
      <c r="BR111" s="6">
        <f>SUM(Grandview_Inventory[[#This Row],[Intercept]:[det_value]])*Grandview_Inventory[[#This Row],[res_pct]]</f>
        <v>0</v>
      </c>
      <c r="BS111" s="6">
        <f>Grandview_Inventory[[#This Row],[land_value]]</f>
        <v>43617.792229308972</v>
      </c>
      <c r="BT111" s="4">
        <f>_xlfn.IFNA(VLOOKUP(Grandview_Inventory[[#This Row],[quality]],Lookups!$A$26:$C$33,3,FALSE),1)</f>
        <v>0.94295468617355149</v>
      </c>
      <c r="BU111" s="4">
        <f>_xlfn.IFNA(VLOOKUP(Grandview_Inventory[[#This Row],[condition]],Lookups!$A$37:$C$44,3,FALSE),1)</f>
        <v>0.94347925387812148</v>
      </c>
      <c r="BV111" s="4">
        <f>IF(Grandview_Inventory[[#This Row],[bldg_style]]="",1,_xlfn.IFNA(VLOOKUP(Grandview_Inventory[[#This Row],[decade]],Lookups!$F$29:$H$43,3,FALSE),1))</f>
        <v>0.9413635517371044</v>
      </c>
      <c r="BW111" s="4">
        <f>_xlfn.IFNA(VLOOKUP(Grandview_Inventory[[#This Row],[living_area_range]],Lookups!$F$47:$H$56,3,FALSE),1)</f>
        <v>0.96135087979789358</v>
      </c>
      <c r="BX111" s="4">
        <f>AVERAGE(Grandview_Inventory[[#This Row],[qual_adj]:[size_adj]])</f>
        <v>0.94728709289666768</v>
      </c>
      <c r="BY111" s="6">
        <f>IF(Grandview_Inventory[[#This Row],[pre_res]]&lt;0,0,Grandview_Inventory[[#This Row],[pre_res]]*Grandview_Inventory[[#This Row],[overall_adj]])</f>
        <v>0</v>
      </c>
      <c r="BZ111" s="6">
        <f>(Grandview_Inventory[[#This Row],[sum_land]]-IF(Grandview_Inventory[[#This Row],[no_utilities]]=1,12000,0))/IF(Grandview_Inventory[[#This Row],[unbuildable]]=1,2,1)</f>
        <v>43617.792229308972</v>
      </c>
      <c r="CA111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11">
        <f>ROUND(Grandview_Inventory[[#This Row],[det_value]]*Lookups!$M$28,-2)</f>
        <v>203000</v>
      </c>
      <c r="CC11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11">
        <f>Grandview_Inventory[[#This Row],[final_det]]+Grandview_Inventory[[#This Row],[final_res]]</f>
        <v>203000</v>
      </c>
      <c r="CE111">
        <f>Grandview_Inventory[[#This Row],[final_land]]+Grandview_Inventory[[#This Row],[final_imp]]+Grandview_Inventory[[#This Row],[crop_value]]</f>
        <v>244400</v>
      </c>
      <c r="CG111" t="str">
        <f t="shared" si="1"/>
        <v>update valuation set market_land =41400, market_bldg=203000, market_total =244400, market_mdno =401, market_date ='9/10/2023' where link_id = (select link_id from parcel where parcel_year = '2024' and parcel_id = '23091432484');</v>
      </c>
    </row>
    <row r="112" spans="1:85" x14ac:dyDescent="0.25">
      <c r="A112">
        <v>23091432487</v>
      </c>
      <c r="B112" t="s">
        <v>129</v>
      </c>
      <c r="C112">
        <v>6435</v>
      </c>
      <c r="D112" t="s">
        <v>129</v>
      </c>
      <c r="E112" t="s">
        <v>53</v>
      </c>
      <c r="F112" t="s">
        <v>53</v>
      </c>
      <c r="G112">
        <v>4</v>
      </c>
      <c r="H112" t="s">
        <v>54</v>
      </c>
      <c r="I112" t="s">
        <v>129</v>
      </c>
      <c r="J112" t="s">
        <v>129</v>
      </c>
      <c r="K112">
        <v>0.15</v>
      </c>
      <c r="L112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12">
        <v>0</v>
      </c>
      <c r="N112">
        <v>0</v>
      </c>
      <c r="O112">
        <v>0</v>
      </c>
      <c r="P112">
        <v>13398.7528</v>
      </c>
      <c r="Q112">
        <v>63903</v>
      </c>
      <c r="R112">
        <f>(Grandview_Inventory[[#This Row],[ln_acres]]*Grandview_Inventory[[#This Row],[coeff]])+Grandview_Inventory[[#This Row],[const]]</f>
        <v>38483.958290574345</v>
      </c>
      <c r="S112" t="s">
        <v>55</v>
      </c>
      <c r="T112">
        <v>1</v>
      </c>
      <c r="U112" t="s">
        <v>62</v>
      </c>
      <c r="V112" t="s">
        <v>57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2000</v>
      </c>
      <c r="AC112">
        <v>1580</v>
      </c>
      <c r="AD112">
        <v>1580</v>
      </c>
      <c r="AE112">
        <v>0</v>
      </c>
      <c r="AF112">
        <v>0</v>
      </c>
      <c r="AG112">
        <v>0</v>
      </c>
      <c r="AH112">
        <v>0</v>
      </c>
      <c r="AI112">
        <v>400</v>
      </c>
      <c r="AJ112">
        <v>0</v>
      </c>
      <c r="AK112">
        <v>0</v>
      </c>
      <c r="AL112">
        <v>0</v>
      </c>
      <c r="AM112">
        <v>0</v>
      </c>
      <c r="AN112">
        <v>264</v>
      </c>
      <c r="AO112">
        <v>0</v>
      </c>
      <c r="AP112">
        <v>9</v>
      </c>
      <c r="AQ112">
        <v>0</v>
      </c>
      <c r="AR112">
        <v>0</v>
      </c>
      <c r="AS112" t="s">
        <v>58</v>
      </c>
      <c r="AT112">
        <v>1</v>
      </c>
      <c r="AU112" t="s">
        <v>59</v>
      </c>
      <c r="AV112" t="s">
        <v>64</v>
      </c>
      <c r="AW112">
        <v>1</v>
      </c>
      <c r="AX112">
        <v>3</v>
      </c>
      <c r="AY112">
        <v>0</v>
      </c>
      <c r="AZ112">
        <v>288200</v>
      </c>
      <c r="BA112">
        <v>100</v>
      </c>
      <c r="BB112">
        <v>100</v>
      </c>
      <c r="BC112">
        <v>100</v>
      </c>
      <c r="BD112">
        <v>8</v>
      </c>
      <c r="BE112">
        <v>0</v>
      </c>
      <c r="BF112">
        <v>15000</v>
      </c>
      <c r="BG112">
        <v>0</v>
      </c>
      <c r="BH112" s="6">
        <f>Grandview_Inventory[[#This Row],[land_extract]]*Lookups!$B$3</f>
        <v>44691.316856156598</v>
      </c>
      <c r="BI112" s="6">
        <f>IF(Grandview_Inventory[[#This Row],[bldg_style]]="",0,Lookups!$B$2)</f>
        <v>155833.95000000001</v>
      </c>
      <c r="BJ112" s="6">
        <f>_xlfn.IFNA(VLOOKUP(Grandview_Inventory[[#This Row],[quality]],Lookups!$H$2:$J$14,3,FALSE),0)</f>
        <v>9808</v>
      </c>
      <c r="BK112" s="6">
        <f>_xlfn.IFNA(VLOOKUP(Grandview_Inventory[[#This Row],[condition]],Lookups!$H$17:$J$24,3,FALSE),0)</f>
        <v>25780</v>
      </c>
      <c r="BL112" s="6">
        <f>Grandview_Inventory[[#This Row],[Eff_Age]]*Lookups!$B$14</f>
        <v>0</v>
      </c>
      <c r="BM112" s="6">
        <f>Grandview_Inventory[[#This Row],[living_area]]*Lookups!$B$15</f>
        <v>98561.747740000006</v>
      </c>
      <c r="BN112" s="6">
        <f>Grandview_Inventory[[#This Row],[Fin BSMT]]*Lookups!$B$16</f>
        <v>0</v>
      </c>
      <c r="BO112" s="6">
        <f>(Grandview_Inventory[[#This Row],[att_gar]]+Grandview_Inventory[[#This Row],[bltin_gar]])*Lookups!$B$17</f>
        <v>35008.174800000001</v>
      </c>
      <c r="BP112" s="6">
        <f>Grandview_Inventory[[#This Row],[Plumbing Fixtures]]*Lookups!$B$18</f>
        <v>18093.976200000001</v>
      </c>
      <c r="BQ112" s="6">
        <f>Grandview_Inventory[[#This Row],[detatched_value]]*Lookups!$B$19</f>
        <v>244049.22982000001</v>
      </c>
      <c r="BR112" s="6">
        <f>SUM(Grandview_Inventory[[#This Row],[Intercept]:[det_value]])*Grandview_Inventory[[#This Row],[res_pct]]</f>
        <v>0</v>
      </c>
      <c r="BS112" s="6">
        <f>Grandview_Inventory[[#This Row],[land_value]]</f>
        <v>44691.316856156598</v>
      </c>
      <c r="BT112" s="4">
        <f>_xlfn.IFNA(VLOOKUP(Grandview_Inventory[[#This Row],[quality]],Lookups!$A$26:$C$33,3,FALSE),1)</f>
        <v>0.94295468617355149</v>
      </c>
      <c r="BU112" s="4">
        <f>_xlfn.IFNA(VLOOKUP(Grandview_Inventory[[#This Row],[condition]],Lookups!$A$37:$C$44,3,FALSE),1)</f>
        <v>0.94347925387812148</v>
      </c>
      <c r="BV112" s="4">
        <f>IF(Grandview_Inventory[[#This Row],[bldg_style]]="",1,_xlfn.IFNA(VLOOKUP(Grandview_Inventory[[#This Row],[decade]],Lookups!$F$29:$H$43,3,FALSE),1))</f>
        <v>0.9413635517371044</v>
      </c>
      <c r="BW112" s="4">
        <f>_xlfn.IFNA(VLOOKUP(Grandview_Inventory[[#This Row],[living_area_range]],Lookups!$F$47:$H$56,3,FALSE),1)</f>
        <v>0.96120133463014379</v>
      </c>
      <c r="BX112" s="4">
        <f>AVERAGE(Grandview_Inventory[[#This Row],[qual_adj]:[size_adj]])</f>
        <v>0.94724970660473029</v>
      </c>
      <c r="BY112" s="6">
        <f>IF(Grandview_Inventory[[#This Row],[pre_res]]&lt;0,0,Grandview_Inventory[[#This Row],[pre_res]]*Grandview_Inventory[[#This Row],[overall_adj]])</f>
        <v>0</v>
      </c>
      <c r="BZ112" s="6">
        <f>(Grandview_Inventory[[#This Row],[sum_land]]-IF(Grandview_Inventory[[#This Row],[no_utilities]]=1,12000,0))/IF(Grandview_Inventory[[#This Row],[unbuildable]]=1,2,1)</f>
        <v>44691.316856156598</v>
      </c>
      <c r="CA112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12">
        <f>ROUND(Grandview_Inventory[[#This Row],[det_value]]*Lookups!$M$28,-2)</f>
        <v>231800</v>
      </c>
      <c r="CC11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12">
        <f>Grandview_Inventory[[#This Row],[final_det]]+Grandview_Inventory[[#This Row],[final_res]]</f>
        <v>231800</v>
      </c>
      <c r="CE112">
        <f>Grandview_Inventory[[#This Row],[final_land]]+Grandview_Inventory[[#This Row],[final_imp]]+Grandview_Inventory[[#This Row],[crop_value]]</f>
        <v>274300</v>
      </c>
      <c r="CG112" t="str">
        <f t="shared" si="1"/>
        <v>update valuation set market_land =42500, market_bldg=231800, market_total =274300, market_mdno =401, market_date ='9/10/2023' where link_id = (select link_id from parcel where parcel_year = '2024' and parcel_id = '23091432487');</v>
      </c>
    </row>
    <row r="113" spans="1:85" x14ac:dyDescent="0.25">
      <c r="A113">
        <v>23091433401</v>
      </c>
      <c r="B113">
        <v>0.17</v>
      </c>
      <c r="C113" t="s">
        <v>129</v>
      </c>
      <c r="D113" t="s">
        <v>129</v>
      </c>
      <c r="E113" t="s">
        <v>53</v>
      </c>
      <c r="F113" t="s">
        <v>53</v>
      </c>
      <c r="G113">
        <v>4</v>
      </c>
      <c r="H113" t="s">
        <v>54</v>
      </c>
      <c r="I113">
        <v>172900</v>
      </c>
      <c r="J113">
        <v>38800</v>
      </c>
      <c r="K113">
        <v>0.17</v>
      </c>
      <c r="L11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3">
        <v>0</v>
      </c>
      <c r="N113">
        <v>0</v>
      </c>
      <c r="O113">
        <v>0</v>
      </c>
      <c r="P113">
        <v>13398.7528</v>
      </c>
      <c r="Q113">
        <v>63903</v>
      </c>
      <c r="R113">
        <f>(Grandview_Inventory[[#This Row],[ln_acres]]*Grandview_Inventory[[#This Row],[coeff]])+Grandview_Inventory[[#This Row],[const]]</f>
        <v>40160.988302686128</v>
      </c>
      <c r="S113" t="s">
        <v>68</v>
      </c>
      <c r="T113">
        <v>1</v>
      </c>
      <c r="U113" t="s">
        <v>70</v>
      </c>
      <c r="V113" t="s">
        <v>66</v>
      </c>
      <c r="W113">
        <v>0</v>
      </c>
      <c r="X113">
        <v>0</v>
      </c>
      <c r="Y113">
        <v>57</v>
      </c>
      <c r="Z113">
        <v>103</v>
      </c>
      <c r="AA113">
        <v>110</v>
      </c>
      <c r="AB113">
        <v>1500</v>
      </c>
      <c r="AC113">
        <v>1054</v>
      </c>
      <c r="AD113">
        <v>1054</v>
      </c>
      <c r="AE113">
        <v>0</v>
      </c>
      <c r="AF113">
        <v>0</v>
      </c>
      <c r="AG113">
        <v>0</v>
      </c>
      <c r="AH113">
        <v>682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99</v>
      </c>
      <c r="AO113">
        <v>0</v>
      </c>
      <c r="AP113">
        <v>8</v>
      </c>
      <c r="AQ113">
        <v>0</v>
      </c>
      <c r="AR113">
        <v>0</v>
      </c>
      <c r="AS113" t="s">
        <v>58</v>
      </c>
      <c r="AT113">
        <v>1</v>
      </c>
      <c r="AU113" t="s">
        <v>59</v>
      </c>
      <c r="AV113" t="s">
        <v>60</v>
      </c>
      <c r="AW113">
        <v>1</v>
      </c>
      <c r="AX113">
        <v>2</v>
      </c>
      <c r="AY113">
        <v>0</v>
      </c>
      <c r="AZ113">
        <v>0</v>
      </c>
      <c r="BA113">
        <v>100</v>
      </c>
      <c r="BB113">
        <v>100</v>
      </c>
      <c r="BC113">
        <v>100</v>
      </c>
      <c r="BD113">
        <v>100</v>
      </c>
      <c r="BE113">
        <v>1</v>
      </c>
      <c r="BF113">
        <v>15000</v>
      </c>
      <c r="BG113">
        <v>1000</v>
      </c>
      <c r="BH113" s="6">
        <f>Grandview_Inventory[[#This Row],[land_extract]]*Lookups!$B$3</f>
        <v>46638.847281240982</v>
      </c>
      <c r="BI113" s="6">
        <f>IF(Grandview_Inventory[[#This Row],[bldg_style]]="",0,Lookups!$B$2)</f>
        <v>155833.95000000001</v>
      </c>
      <c r="BJ113" s="6">
        <f>_xlfn.IFNA(VLOOKUP(Grandview_Inventory[[#This Row],[quality]],Lookups!$H$2:$J$14,3,FALSE),0)</f>
        <v>10733</v>
      </c>
      <c r="BK113" s="6">
        <f>_xlfn.IFNA(VLOOKUP(Grandview_Inventory[[#This Row],[condition]],Lookups!$H$17:$J$24,3,FALSE),0)</f>
        <v>25818</v>
      </c>
      <c r="BL113" s="6">
        <f>Grandview_Inventory[[#This Row],[Eff_Age]]*Lookups!$B$14</f>
        <v>-13632.4962</v>
      </c>
      <c r="BM113" s="6">
        <f>Grandview_Inventory[[#This Row],[living_area]]*Lookups!$B$15</f>
        <v>65749.419062000001</v>
      </c>
      <c r="BN113" s="6">
        <f>Grandview_Inventory[[#This Row],[Fin BSMT]]*Lookups!$B$16</f>
        <v>0</v>
      </c>
      <c r="BO113" s="6">
        <f>(Grandview_Inventory[[#This Row],[att_gar]]+Grandview_Inventory[[#This Row],[bltin_gar]])*Lookups!$B$17</f>
        <v>0</v>
      </c>
      <c r="BP113" s="6">
        <f>Grandview_Inventory[[#This Row],[Plumbing Fixtures]]*Lookups!$B$18</f>
        <v>16083.5344</v>
      </c>
      <c r="BQ113" s="6">
        <f>Grandview_Inventory[[#This Row],[detatched_value]]*Lookups!$B$19</f>
        <v>0</v>
      </c>
      <c r="BR113" s="6">
        <f>SUM(Grandview_Inventory[[#This Row],[Intercept]:[det_value]])*Grandview_Inventory[[#This Row],[res_pct]]</f>
        <v>260585.40726200002</v>
      </c>
      <c r="BS113" s="6">
        <f>Grandview_Inventory[[#This Row],[land_value]]</f>
        <v>46638.847281240982</v>
      </c>
      <c r="BT113" s="4">
        <f>_xlfn.IFNA(VLOOKUP(Grandview_Inventory[[#This Row],[quality]],Lookups!$A$26:$C$33,3,FALSE),1)</f>
        <v>0.98079741117310582</v>
      </c>
      <c r="BU113" s="4">
        <f>_xlfn.IFNA(VLOOKUP(Grandview_Inventory[[#This Row],[condition]],Lookups!$A$37:$C$44,3,FALSE),1)</f>
        <v>0.96661476234146892</v>
      </c>
      <c r="BV113" s="4">
        <f>IF(Grandview_Inventory[[#This Row],[bldg_style]]="",1,_xlfn.IFNA(VLOOKUP(Grandview_Inventory[[#This Row],[decade]],Lookups!$F$29:$H$43,3,FALSE),1))</f>
        <v>0.92255236374249616</v>
      </c>
      <c r="BW113" s="4">
        <f>_xlfn.IFNA(VLOOKUP(Grandview_Inventory[[#This Row],[living_area_range]],Lookups!$F$47:$H$56,3,FALSE),1)</f>
        <v>0.96135087979789358</v>
      </c>
      <c r="BX113" s="4">
        <f>AVERAGE(Grandview_Inventory[[#This Row],[qual_adj]:[size_adj]])</f>
        <v>0.95782885426374109</v>
      </c>
      <c r="BY113" s="6">
        <f>IF(Grandview_Inventory[[#This Row],[pre_res]]&lt;0,0,Grandview_Inventory[[#This Row],[pre_res]]*Grandview_Inventory[[#This Row],[overall_adj]])</f>
        <v>249596.22207561185</v>
      </c>
      <c r="BZ113" s="6">
        <f>(Grandview_Inventory[[#This Row],[sum_land]]-IF(Grandview_Inventory[[#This Row],[no_utilities]]=1,12000,0))/IF(Grandview_Inventory[[#This Row],[unbuildable]]=1,2,1)</f>
        <v>46638.847281240982</v>
      </c>
      <c r="CA11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3">
        <f>ROUND(Grandview_Inventory[[#This Row],[det_value]]*Lookups!$M$28,-2)</f>
        <v>0</v>
      </c>
      <c r="CC113">
        <f>IF(ROUND(Grandview_Inventory[[#This Row],[adj_res]]*Lookups!$M$28,-2)&lt;Grandview_Inventory[[#This Row],[min_res]],Grandview_Inventory[[#This Row],[min_res]],ROUND(Grandview_Inventory[[#This Row],[adj_res]]*Lookups!$M$28,-2))</f>
        <v>237100</v>
      </c>
      <c r="CD113">
        <f>Grandview_Inventory[[#This Row],[final_det]]+Grandview_Inventory[[#This Row],[final_res]]</f>
        <v>237100</v>
      </c>
      <c r="CE113">
        <f>Grandview_Inventory[[#This Row],[final_land]]+Grandview_Inventory[[#This Row],[final_imp]]+Grandview_Inventory[[#This Row],[crop_value]]</f>
        <v>281400</v>
      </c>
      <c r="CG113" t="str">
        <f t="shared" si="1"/>
        <v>update valuation set market_land =44300, market_bldg=237100, market_total =281400, market_mdno =401, market_date ='9/10/2023' where link_id = (select link_id from parcel where parcel_year = '2024' and parcel_id = '23091433401');</v>
      </c>
    </row>
    <row r="114" spans="1:85" x14ac:dyDescent="0.25">
      <c r="A114">
        <v>23091433402</v>
      </c>
      <c r="B114">
        <v>0.27</v>
      </c>
      <c r="C114" t="s">
        <v>129</v>
      </c>
      <c r="D114" t="s">
        <v>129</v>
      </c>
      <c r="E114" t="s">
        <v>53</v>
      </c>
      <c r="F114" t="s">
        <v>53</v>
      </c>
      <c r="G114">
        <v>4</v>
      </c>
      <c r="H114" t="s">
        <v>54</v>
      </c>
      <c r="I114">
        <v>155200</v>
      </c>
      <c r="J114">
        <v>40000</v>
      </c>
      <c r="K114">
        <v>0.27</v>
      </c>
      <c r="L11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14">
        <v>0</v>
      </c>
      <c r="N114">
        <v>0</v>
      </c>
      <c r="O114">
        <v>0</v>
      </c>
      <c r="P114">
        <v>13398.7528</v>
      </c>
      <c r="Q114">
        <v>63903</v>
      </c>
      <c r="R114">
        <f>(Grandview_Inventory[[#This Row],[ln_acres]]*Grandview_Inventory[[#This Row],[coeff]])+Grandview_Inventory[[#This Row],[const]]</f>
        <v>46359.566512734265</v>
      </c>
      <c r="S114" t="s">
        <v>68</v>
      </c>
      <c r="T114">
        <v>1</v>
      </c>
      <c r="U114" t="s">
        <v>70</v>
      </c>
      <c r="V114" t="s">
        <v>69</v>
      </c>
      <c r="W114">
        <v>0</v>
      </c>
      <c r="X114">
        <v>0</v>
      </c>
      <c r="Y114">
        <v>51</v>
      </c>
      <c r="Z114">
        <v>83</v>
      </c>
      <c r="AA114">
        <v>90</v>
      </c>
      <c r="AB114">
        <v>2000</v>
      </c>
      <c r="AC114">
        <v>1768</v>
      </c>
      <c r="AD114">
        <v>1768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60</v>
      </c>
      <c r="AP114">
        <v>8</v>
      </c>
      <c r="AQ114">
        <v>0</v>
      </c>
      <c r="AR114">
        <v>0</v>
      </c>
      <c r="AS114" t="s">
        <v>58</v>
      </c>
      <c r="AT114">
        <v>1</v>
      </c>
      <c r="AU114" t="s">
        <v>63</v>
      </c>
      <c r="AV114" t="s">
        <v>64</v>
      </c>
      <c r="AW114">
        <v>0</v>
      </c>
      <c r="AX114">
        <v>3</v>
      </c>
      <c r="AY114">
        <v>0</v>
      </c>
      <c r="AZ114">
        <v>0</v>
      </c>
      <c r="BA114">
        <v>100</v>
      </c>
      <c r="BB114">
        <v>100</v>
      </c>
      <c r="BC114">
        <v>100</v>
      </c>
      <c r="BD114">
        <v>100</v>
      </c>
      <c r="BE114">
        <v>1</v>
      </c>
      <c r="BF114">
        <v>15000</v>
      </c>
      <c r="BG114">
        <v>1000</v>
      </c>
      <c r="BH114" s="6">
        <f>Grandview_Inventory[[#This Row],[land_extract]]*Lookups!$B$3</f>
        <v>53837.239420408718</v>
      </c>
      <c r="BI114" s="6">
        <f>IF(Grandview_Inventory[[#This Row],[bldg_style]]="",0,Lookups!$B$2)</f>
        <v>155833.95000000001</v>
      </c>
      <c r="BJ114" s="6">
        <f>_xlfn.IFNA(VLOOKUP(Grandview_Inventory[[#This Row],[quality]],Lookups!$H$2:$J$14,3,FALSE),0)</f>
        <v>10733</v>
      </c>
      <c r="BK114" s="6">
        <f>_xlfn.IFNA(VLOOKUP(Grandview_Inventory[[#This Row],[condition]],Lookups!$H$17:$J$24,3,FALSE),0)</f>
        <v>-4503</v>
      </c>
      <c r="BL114" s="6">
        <f>Grandview_Inventory[[#This Row],[Eff_Age]]*Lookups!$B$14</f>
        <v>-12197.496599999999</v>
      </c>
      <c r="BM114" s="6">
        <f>Grandview_Inventory[[#This Row],[living_area]]*Lookups!$B$15</f>
        <v>110289.348104</v>
      </c>
      <c r="BN114" s="6">
        <f>Grandview_Inventory[[#This Row],[Fin BSMT]]*Lookups!$B$16</f>
        <v>0</v>
      </c>
      <c r="BO114" s="6">
        <f>(Grandview_Inventory[[#This Row],[att_gar]]+Grandview_Inventory[[#This Row],[bltin_gar]])*Lookups!$B$17</f>
        <v>0</v>
      </c>
      <c r="BP114" s="6">
        <f>Grandview_Inventory[[#This Row],[Plumbing Fixtures]]*Lookups!$B$18</f>
        <v>16083.5344</v>
      </c>
      <c r="BQ114" s="6">
        <f>Grandview_Inventory[[#This Row],[detatched_value]]*Lookups!$B$19</f>
        <v>0</v>
      </c>
      <c r="BR114" s="6">
        <f>SUM(Grandview_Inventory[[#This Row],[Intercept]:[det_value]])*Grandview_Inventory[[#This Row],[res_pct]]</f>
        <v>276239.33590399998</v>
      </c>
      <c r="BS114" s="6">
        <f>Grandview_Inventory[[#This Row],[land_value]]</f>
        <v>53837.239420408718</v>
      </c>
      <c r="BT114" s="4">
        <f>_xlfn.IFNA(VLOOKUP(Grandview_Inventory[[#This Row],[quality]],Lookups!$A$26:$C$33,3,FALSE),1)</f>
        <v>0.98079741117310582</v>
      </c>
      <c r="BU114" s="4">
        <f>_xlfn.IFNA(VLOOKUP(Grandview_Inventory[[#This Row],[condition]],Lookups!$A$37:$C$44,3,FALSE),1)</f>
        <v>0.96469275950863709</v>
      </c>
      <c r="BV114" s="4">
        <f>IF(Grandview_Inventory[[#This Row],[bldg_style]]="",1,_xlfn.IFNA(VLOOKUP(Grandview_Inventory[[#This Row],[decade]],Lookups!$F$29:$H$43,3,FALSE),1))</f>
        <v>0.94161750052457416</v>
      </c>
      <c r="BW114" s="4">
        <f>_xlfn.IFNA(VLOOKUP(Grandview_Inventory[[#This Row],[living_area_range]],Lookups!$F$47:$H$56,3,FALSE),1)</f>
        <v>0.96120133463014379</v>
      </c>
      <c r="BX114" s="4">
        <f>AVERAGE(Grandview_Inventory[[#This Row],[qual_adj]:[size_adj]])</f>
        <v>0.96207725145911516</v>
      </c>
      <c r="BY114" s="6">
        <f>IF(Grandview_Inventory[[#This Row],[pre_res]]&lt;0,0,Grandview_Inventory[[#This Row],[pre_res]]*Grandview_Inventory[[#This Row],[overall_adj]])</f>
        <v>265763.58103141154</v>
      </c>
      <c r="BZ114" s="6">
        <f>(Grandview_Inventory[[#This Row],[sum_land]]-IF(Grandview_Inventory[[#This Row],[no_utilities]]=1,12000,0))/IF(Grandview_Inventory[[#This Row],[unbuildable]]=1,2,1)</f>
        <v>53837.239420408718</v>
      </c>
      <c r="CA11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14">
        <f>ROUND(Grandview_Inventory[[#This Row],[det_value]]*Lookups!$M$28,-2)</f>
        <v>0</v>
      </c>
      <c r="CC114">
        <f>IF(ROUND(Grandview_Inventory[[#This Row],[adj_res]]*Lookups!$M$28,-2)&lt;Grandview_Inventory[[#This Row],[min_res]],Grandview_Inventory[[#This Row],[min_res]],ROUND(Grandview_Inventory[[#This Row],[adj_res]]*Lookups!$M$28,-2))</f>
        <v>252500</v>
      </c>
      <c r="CD114">
        <f>Grandview_Inventory[[#This Row],[final_det]]+Grandview_Inventory[[#This Row],[final_res]]</f>
        <v>252500</v>
      </c>
      <c r="CE114">
        <f>Grandview_Inventory[[#This Row],[final_land]]+Grandview_Inventory[[#This Row],[final_imp]]+Grandview_Inventory[[#This Row],[crop_value]]</f>
        <v>303600</v>
      </c>
      <c r="CG114" t="str">
        <f t="shared" si="1"/>
        <v>update valuation set market_land =51100, market_bldg=252500, market_total =303600, market_mdno =401, market_date ='9/10/2023' where link_id = (select link_id from parcel where parcel_year = '2024' and parcel_id = '23091433402');</v>
      </c>
    </row>
    <row r="115" spans="1:85" x14ac:dyDescent="0.25">
      <c r="A115">
        <v>23091433403</v>
      </c>
      <c r="B115">
        <v>0.34</v>
      </c>
      <c r="C115">
        <v>14845</v>
      </c>
      <c r="D115" t="s">
        <v>129</v>
      </c>
      <c r="E115" t="s">
        <v>53</v>
      </c>
      <c r="F115" t="s">
        <v>53</v>
      </c>
      <c r="G115">
        <v>4</v>
      </c>
      <c r="H115" t="s">
        <v>54</v>
      </c>
      <c r="I115">
        <v>87500</v>
      </c>
      <c r="J115">
        <v>41200</v>
      </c>
      <c r="K115">
        <v>0.34</v>
      </c>
      <c r="L115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15">
        <v>0</v>
      </c>
      <c r="N115">
        <v>0</v>
      </c>
      <c r="O115">
        <v>0</v>
      </c>
      <c r="P115">
        <v>13398.7528</v>
      </c>
      <c r="Q115">
        <v>63903</v>
      </c>
      <c r="R115">
        <f>(Grandview_Inventory[[#This Row],[ln_acres]]*Grandview_Inventory[[#This Row],[coeff]])+Grandview_Inventory[[#This Row],[const]]</f>
        <v>49448.296029025805</v>
      </c>
      <c r="S115" t="s">
        <v>61</v>
      </c>
      <c r="T115">
        <v>1</v>
      </c>
      <c r="U115" t="s">
        <v>80</v>
      </c>
      <c r="V115" t="s">
        <v>78</v>
      </c>
      <c r="W115">
        <v>0</v>
      </c>
      <c r="X115">
        <v>0</v>
      </c>
      <c r="Y115">
        <v>49</v>
      </c>
      <c r="Z115">
        <v>67</v>
      </c>
      <c r="AA115">
        <v>70</v>
      </c>
      <c r="AB115">
        <v>1000</v>
      </c>
      <c r="AC115">
        <v>966</v>
      </c>
      <c r="AD115">
        <v>966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8</v>
      </c>
      <c r="AQ115">
        <v>0</v>
      </c>
      <c r="AR115">
        <v>0</v>
      </c>
      <c r="AS115" t="s">
        <v>58</v>
      </c>
      <c r="AT115">
        <v>1</v>
      </c>
      <c r="AU115" t="s">
        <v>63</v>
      </c>
      <c r="AV115" t="s">
        <v>60</v>
      </c>
      <c r="AW115">
        <v>0</v>
      </c>
      <c r="AX115">
        <v>4</v>
      </c>
      <c r="AY115">
        <v>0</v>
      </c>
      <c r="AZ115">
        <v>0</v>
      </c>
      <c r="BA115">
        <v>100</v>
      </c>
      <c r="BB115">
        <v>100</v>
      </c>
      <c r="BC115">
        <v>100</v>
      </c>
      <c r="BD115">
        <v>100</v>
      </c>
      <c r="BE115">
        <v>1</v>
      </c>
      <c r="BF115">
        <v>15000</v>
      </c>
      <c r="BG115">
        <v>1000</v>
      </c>
      <c r="BH115" s="6">
        <f>Grandview_Inventory[[#This Row],[land_extract]]*Lookups!$B$3</f>
        <v>57424.172668108389</v>
      </c>
      <c r="BI115" s="6">
        <f>IF(Grandview_Inventory[[#This Row],[bldg_style]]="",0,Lookups!$B$2)</f>
        <v>155833.95000000001</v>
      </c>
      <c r="BJ115" s="6">
        <f>_xlfn.IFNA(VLOOKUP(Grandview_Inventory[[#This Row],[quality]],Lookups!$H$2:$J$14,3,FALSE),0)</f>
        <v>-28558</v>
      </c>
      <c r="BK115" s="6">
        <f>_xlfn.IFNA(VLOOKUP(Grandview_Inventory[[#This Row],[condition]],Lookups!$H$17:$J$24,3,FALSE),0)</f>
        <v>-45357</v>
      </c>
      <c r="BL115" s="6">
        <f>Grandview_Inventory[[#This Row],[Eff_Age]]*Lookups!$B$14</f>
        <v>-11719.163399999999</v>
      </c>
      <c r="BM115" s="6">
        <f>Grandview_Inventory[[#This Row],[living_area]]*Lookups!$B$15</f>
        <v>60259.903998000002</v>
      </c>
      <c r="BN115" s="6">
        <f>Grandview_Inventory[[#This Row],[Fin BSMT]]*Lookups!$B$16</f>
        <v>0</v>
      </c>
      <c r="BO115" s="6">
        <f>(Grandview_Inventory[[#This Row],[att_gar]]+Grandview_Inventory[[#This Row],[bltin_gar]])*Lookups!$B$17</f>
        <v>0</v>
      </c>
      <c r="BP115" s="6">
        <f>Grandview_Inventory[[#This Row],[Plumbing Fixtures]]*Lookups!$B$18</f>
        <v>16083.5344</v>
      </c>
      <c r="BQ115" s="6">
        <f>Grandview_Inventory[[#This Row],[detatched_value]]*Lookups!$B$19</f>
        <v>0</v>
      </c>
      <c r="BR115" s="6">
        <f>SUM(Grandview_Inventory[[#This Row],[Intercept]:[det_value]])*Grandview_Inventory[[#This Row],[res_pct]]</f>
        <v>146543.22499800002</v>
      </c>
      <c r="BS115" s="6">
        <f>Grandview_Inventory[[#This Row],[land_value]]</f>
        <v>57424.172668108389</v>
      </c>
      <c r="BT115" s="4">
        <f>_xlfn.IFNA(VLOOKUP(Grandview_Inventory[[#This Row],[quality]],Lookups!$A$26:$C$33,3,FALSE),1)</f>
        <v>0.9690360070159818</v>
      </c>
      <c r="BU115" s="4">
        <f>_xlfn.IFNA(VLOOKUP(Grandview_Inventory[[#This Row],[condition]],Lookups!$A$37:$C$44,3,FALSE),1)</f>
        <v>0.97161819570155394</v>
      </c>
      <c r="BV115" s="4">
        <f>IF(Grandview_Inventory[[#This Row],[bldg_style]]="",1,_xlfn.IFNA(VLOOKUP(Grandview_Inventory[[#This Row],[decade]],Lookups!$F$29:$H$43,3,FALSE),1))</f>
        <v>0.99472141305414818</v>
      </c>
      <c r="BW115" s="4">
        <f>_xlfn.IFNA(VLOOKUP(Grandview_Inventory[[#This Row],[living_area_range]],Lookups!$F$47:$H$56,3,FALSE),1)</f>
        <v>0.94306777142782894</v>
      </c>
      <c r="BX115" s="4">
        <f>AVERAGE(Grandview_Inventory[[#This Row],[qual_adj]:[size_adj]])</f>
        <v>0.96961084679987819</v>
      </c>
      <c r="BY115" s="6">
        <f>IF(Grandview_Inventory[[#This Row],[pre_res]]&lt;0,0,Grandview_Inventory[[#This Row],[pre_res]]*Grandview_Inventory[[#This Row],[overall_adj]])</f>
        <v>142089.90048309587</v>
      </c>
      <c r="BZ115" s="6">
        <f>(Grandview_Inventory[[#This Row],[sum_land]]-IF(Grandview_Inventory[[#This Row],[no_utilities]]=1,12000,0))/IF(Grandview_Inventory[[#This Row],[unbuildable]]=1,2,1)</f>
        <v>57424.172668108389</v>
      </c>
      <c r="CA115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15">
        <f>ROUND(Grandview_Inventory[[#This Row],[det_value]]*Lookups!$M$28,-2)</f>
        <v>0</v>
      </c>
      <c r="CC115">
        <f>IF(ROUND(Grandview_Inventory[[#This Row],[adj_res]]*Lookups!$M$28,-2)&lt;Grandview_Inventory[[#This Row],[min_res]],Grandview_Inventory[[#This Row],[min_res]],ROUND(Grandview_Inventory[[#This Row],[adj_res]]*Lookups!$M$28,-2))</f>
        <v>135000</v>
      </c>
      <c r="CD115">
        <f>Grandview_Inventory[[#This Row],[final_det]]+Grandview_Inventory[[#This Row],[final_res]]</f>
        <v>135000</v>
      </c>
      <c r="CE115">
        <f>Grandview_Inventory[[#This Row],[final_land]]+Grandview_Inventory[[#This Row],[final_imp]]+Grandview_Inventory[[#This Row],[crop_value]]</f>
        <v>189600</v>
      </c>
      <c r="CG115" t="str">
        <f t="shared" si="1"/>
        <v>update valuation set market_land =54600, market_bldg=135000, market_total =189600, market_mdno =401, market_date ='9/10/2023' where link_id = (select link_id from parcel where parcel_year = '2024' and parcel_id = '23091433403');</v>
      </c>
    </row>
    <row r="116" spans="1:85" x14ac:dyDescent="0.25">
      <c r="A116">
        <v>23091433412</v>
      </c>
      <c r="B116">
        <v>0.11</v>
      </c>
      <c r="C116">
        <v>4985</v>
      </c>
      <c r="D116" t="s">
        <v>129</v>
      </c>
      <c r="E116" t="s">
        <v>53</v>
      </c>
      <c r="F116" t="s">
        <v>53</v>
      </c>
      <c r="G116">
        <v>4</v>
      </c>
      <c r="H116" t="s">
        <v>54</v>
      </c>
      <c r="I116">
        <v>150400</v>
      </c>
      <c r="J116">
        <v>37700</v>
      </c>
      <c r="K116">
        <v>0.11</v>
      </c>
      <c r="L116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16">
        <v>0</v>
      </c>
      <c r="N116">
        <v>0</v>
      </c>
      <c r="O116">
        <v>0</v>
      </c>
      <c r="P116">
        <v>13398.7528</v>
      </c>
      <c r="Q116">
        <v>63903</v>
      </c>
      <c r="R116">
        <f>(Grandview_Inventory[[#This Row],[ln_acres]]*Grandview_Inventory[[#This Row],[coeff]])+Grandview_Inventory[[#This Row],[const]]</f>
        <v>34328.269076529468</v>
      </c>
      <c r="S116" t="s">
        <v>68</v>
      </c>
      <c r="T116">
        <v>1</v>
      </c>
      <c r="U116" t="s">
        <v>70</v>
      </c>
      <c r="V116" t="s">
        <v>69</v>
      </c>
      <c r="W116">
        <v>0</v>
      </c>
      <c r="X116">
        <v>0</v>
      </c>
      <c r="Y116">
        <v>49</v>
      </c>
      <c r="Z116">
        <v>68</v>
      </c>
      <c r="AA116">
        <v>70</v>
      </c>
      <c r="AB116">
        <v>1500</v>
      </c>
      <c r="AC116">
        <v>1252</v>
      </c>
      <c r="AD116">
        <v>1152</v>
      </c>
      <c r="AE116">
        <v>0</v>
      </c>
      <c r="AF116">
        <v>0</v>
      </c>
      <c r="AG116">
        <v>100</v>
      </c>
      <c r="AH116">
        <v>300</v>
      </c>
      <c r="AI116">
        <v>336</v>
      </c>
      <c r="AJ116">
        <v>0</v>
      </c>
      <c r="AK116">
        <v>0</v>
      </c>
      <c r="AL116">
        <v>0</v>
      </c>
      <c r="AM116">
        <v>0</v>
      </c>
      <c r="AN116">
        <v>24</v>
      </c>
      <c r="AO116">
        <v>0</v>
      </c>
      <c r="AP116">
        <v>5</v>
      </c>
      <c r="AQ116">
        <v>0</v>
      </c>
      <c r="AR116">
        <v>0</v>
      </c>
      <c r="AS116" t="s">
        <v>58</v>
      </c>
      <c r="AT116">
        <v>1</v>
      </c>
      <c r="AU116" t="s">
        <v>75</v>
      </c>
      <c r="AV116" t="s">
        <v>60</v>
      </c>
      <c r="AW116">
        <v>0</v>
      </c>
      <c r="AX116">
        <v>3</v>
      </c>
      <c r="AY116">
        <v>0</v>
      </c>
      <c r="AZ116">
        <v>0</v>
      </c>
      <c r="BA116">
        <v>100</v>
      </c>
      <c r="BB116">
        <v>100</v>
      </c>
      <c r="BC116">
        <v>100</v>
      </c>
      <c r="BD116">
        <v>100</v>
      </c>
      <c r="BE116">
        <v>1</v>
      </c>
      <c r="BF116">
        <v>15000</v>
      </c>
      <c r="BG116">
        <v>1000</v>
      </c>
      <c r="BH116" s="6">
        <f>Grandview_Inventory[[#This Row],[land_extract]]*Lookups!$B$3</f>
        <v>39865.326192247165</v>
      </c>
      <c r="BI116" s="6">
        <f>IF(Grandview_Inventory[[#This Row],[bldg_style]]="",0,Lookups!$B$2)</f>
        <v>155833.95000000001</v>
      </c>
      <c r="BJ116" s="6">
        <f>_xlfn.IFNA(VLOOKUP(Grandview_Inventory[[#This Row],[quality]],Lookups!$H$2:$J$14,3,FALSE),0)</f>
        <v>10733</v>
      </c>
      <c r="BK116" s="6">
        <f>_xlfn.IFNA(VLOOKUP(Grandview_Inventory[[#This Row],[condition]],Lookups!$H$17:$J$24,3,FALSE),0)</f>
        <v>-4503</v>
      </c>
      <c r="BL116" s="6">
        <f>Grandview_Inventory[[#This Row],[Eff_Age]]*Lookups!$B$14</f>
        <v>-11719.163399999999</v>
      </c>
      <c r="BM116" s="6">
        <f>Grandview_Inventory[[#This Row],[living_area]]*Lookups!$B$15</f>
        <v>78100.827956000008</v>
      </c>
      <c r="BN116" s="6">
        <f>Grandview_Inventory[[#This Row],[Fin BSMT]]*Lookups!$B$16</f>
        <v>-2709.924</v>
      </c>
      <c r="BO116" s="6">
        <f>(Grandview_Inventory[[#This Row],[att_gar]]+Grandview_Inventory[[#This Row],[bltin_gar]])*Lookups!$B$17</f>
        <v>29406.866832</v>
      </c>
      <c r="BP116" s="6">
        <f>Grandview_Inventory[[#This Row],[Plumbing Fixtures]]*Lookups!$B$18</f>
        <v>10052.209000000001</v>
      </c>
      <c r="BQ116" s="6">
        <f>Grandview_Inventory[[#This Row],[detatched_value]]*Lookups!$B$19</f>
        <v>0</v>
      </c>
      <c r="BR116" s="6">
        <f>SUM(Grandview_Inventory[[#This Row],[Intercept]:[det_value]])*Grandview_Inventory[[#This Row],[res_pct]]</f>
        <v>265194.76638800005</v>
      </c>
      <c r="BS116" s="6">
        <f>Grandview_Inventory[[#This Row],[land_value]]</f>
        <v>39865.326192247165</v>
      </c>
      <c r="BT116" s="4">
        <f>_xlfn.IFNA(VLOOKUP(Grandview_Inventory[[#This Row],[quality]],Lookups!$A$26:$C$33,3,FALSE),1)</f>
        <v>0.98079741117310582</v>
      </c>
      <c r="BU116" s="4">
        <f>_xlfn.IFNA(VLOOKUP(Grandview_Inventory[[#This Row],[condition]],Lookups!$A$37:$C$44,3,FALSE),1)</f>
        <v>0.96469275950863709</v>
      </c>
      <c r="BV116" s="4">
        <f>IF(Grandview_Inventory[[#This Row],[bldg_style]]="",1,_xlfn.IFNA(VLOOKUP(Grandview_Inventory[[#This Row],[decade]],Lookups!$F$29:$H$43,3,FALSE),1))</f>
        <v>0.99472141305414818</v>
      </c>
      <c r="BW116" s="4">
        <f>_xlfn.IFNA(VLOOKUP(Grandview_Inventory[[#This Row],[living_area_range]],Lookups!$F$47:$H$56,3,FALSE),1)</f>
        <v>0.96135087979789358</v>
      </c>
      <c r="BX116" s="4">
        <f>AVERAGE(Grandview_Inventory[[#This Row],[qual_adj]:[size_adj]])</f>
        <v>0.97539061588344622</v>
      </c>
      <c r="BY116" s="6">
        <f>IF(Grandview_Inventory[[#This Row],[pre_res]]&lt;0,0,Grandview_Inventory[[#This Row],[pre_res]]*Grandview_Inventory[[#This Row],[overall_adj]])</f>
        <v>258668.48651625801</v>
      </c>
      <c r="BZ116" s="6">
        <f>(Grandview_Inventory[[#This Row],[sum_land]]-IF(Grandview_Inventory[[#This Row],[no_utilities]]=1,12000,0))/IF(Grandview_Inventory[[#This Row],[unbuildable]]=1,2,1)</f>
        <v>39865.326192247165</v>
      </c>
      <c r="CA116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16">
        <f>ROUND(Grandview_Inventory[[#This Row],[det_value]]*Lookups!$M$28,-2)</f>
        <v>0</v>
      </c>
      <c r="CC116">
        <f>IF(ROUND(Grandview_Inventory[[#This Row],[adj_res]]*Lookups!$M$28,-2)&lt;Grandview_Inventory[[#This Row],[min_res]],Grandview_Inventory[[#This Row],[min_res]],ROUND(Grandview_Inventory[[#This Row],[adj_res]]*Lookups!$M$28,-2))</f>
        <v>245700</v>
      </c>
      <c r="CD116">
        <f>Grandview_Inventory[[#This Row],[final_det]]+Grandview_Inventory[[#This Row],[final_res]]</f>
        <v>245700</v>
      </c>
      <c r="CE116">
        <f>Grandview_Inventory[[#This Row],[final_land]]+Grandview_Inventory[[#This Row],[final_imp]]+Grandview_Inventory[[#This Row],[crop_value]]</f>
        <v>283600</v>
      </c>
      <c r="CG116" t="str">
        <f t="shared" si="1"/>
        <v>update valuation set market_land =37900, market_bldg=245700, market_total =283600, market_mdno =401, market_date ='9/10/2023' where link_id = (select link_id from parcel where parcel_year = '2024' and parcel_id = '23091433412');</v>
      </c>
    </row>
    <row r="117" spans="1:85" x14ac:dyDescent="0.25">
      <c r="A117">
        <v>23091433413</v>
      </c>
      <c r="B117">
        <v>0.21</v>
      </c>
      <c r="C117">
        <v>8958</v>
      </c>
      <c r="D117" t="s">
        <v>129</v>
      </c>
      <c r="E117" t="s">
        <v>53</v>
      </c>
      <c r="F117" t="s">
        <v>53</v>
      </c>
      <c r="G117">
        <v>4</v>
      </c>
      <c r="H117" t="s">
        <v>54</v>
      </c>
      <c r="I117">
        <v>185700</v>
      </c>
      <c r="J117">
        <v>43500</v>
      </c>
      <c r="K117">
        <v>0.21</v>
      </c>
      <c r="L11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17">
        <v>0</v>
      </c>
      <c r="N117">
        <v>0</v>
      </c>
      <c r="O117">
        <v>0</v>
      </c>
      <c r="P117">
        <v>13398.7528</v>
      </c>
      <c r="Q117">
        <v>63903</v>
      </c>
      <c r="R117">
        <f>(Grandview_Inventory[[#This Row],[ln_acres]]*Grandview_Inventory[[#This Row],[coeff]])+Grandview_Inventory[[#This Row],[const]]</f>
        <v>42992.266613125081</v>
      </c>
      <c r="S117" t="s">
        <v>61</v>
      </c>
      <c r="T117">
        <v>1</v>
      </c>
      <c r="U117" t="s">
        <v>65</v>
      </c>
      <c r="V117" t="s">
        <v>67</v>
      </c>
      <c r="W117">
        <v>0</v>
      </c>
      <c r="X117">
        <v>0</v>
      </c>
      <c r="Y117">
        <v>25</v>
      </c>
      <c r="Z117">
        <v>25</v>
      </c>
      <c r="AA117">
        <v>30</v>
      </c>
      <c r="AB117">
        <v>1500</v>
      </c>
      <c r="AC117">
        <v>1180</v>
      </c>
      <c r="AD117">
        <v>1180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240</v>
      </c>
      <c r="AM117">
        <v>0</v>
      </c>
      <c r="AN117">
        <v>60</v>
      </c>
      <c r="AO117">
        <v>0</v>
      </c>
      <c r="AP117">
        <v>8</v>
      </c>
      <c r="AQ117">
        <v>0</v>
      </c>
      <c r="AR117">
        <v>0</v>
      </c>
      <c r="AS117" t="s">
        <v>58</v>
      </c>
      <c r="AT117">
        <v>1</v>
      </c>
      <c r="AU117" t="s">
        <v>59</v>
      </c>
      <c r="AV117" t="s">
        <v>60</v>
      </c>
      <c r="AW117">
        <v>1</v>
      </c>
      <c r="AX117">
        <v>3</v>
      </c>
      <c r="AY117">
        <v>0</v>
      </c>
      <c r="AZ117">
        <v>0</v>
      </c>
      <c r="BA117">
        <v>100</v>
      </c>
      <c r="BB117">
        <v>100</v>
      </c>
      <c r="BC117">
        <v>100</v>
      </c>
      <c r="BD117">
        <v>100</v>
      </c>
      <c r="BE117">
        <v>1</v>
      </c>
      <c r="BF117">
        <v>15000</v>
      </c>
      <c r="BG117">
        <v>1000</v>
      </c>
      <c r="BH117" s="6">
        <f>Grandview_Inventory[[#This Row],[land_extract]]*Lookups!$B$3</f>
        <v>49926.8031387023</v>
      </c>
      <c r="BI117" s="6">
        <f>IF(Grandview_Inventory[[#This Row],[bldg_style]]="",0,Lookups!$B$2)</f>
        <v>155833.95000000001</v>
      </c>
      <c r="BJ117" s="6">
        <f>_xlfn.IFNA(VLOOKUP(Grandview_Inventory[[#This Row],[quality]],Lookups!$H$2:$J$14,3,FALSE),0)</f>
        <v>2251</v>
      </c>
      <c r="BK117" s="6">
        <f>_xlfn.IFNA(VLOOKUP(Grandview_Inventory[[#This Row],[condition]],Lookups!$H$17:$J$24,3,FALSE),0)</f>
        <v>22342</v>
      </c>
      <c r="BL117" s="6">
        <f>Grandview_Inventory[[#This Row],[Eff_Age]]*Lookups!$B$14</f>
        <v>-5979.165</v>
      </c>
      <c r="BM117" s="6">
        <f>Grandview_Inventory[[#This Row],[living_area]]*Lookups!$B$15</f>
        <v>73609.406539999996</v>
      </c>
      <c r="BN117" s="6">
        <f>Grandview_Inventory[[#This Row],[Fin BSMT]]*Lookups!$B$16</f>
        <v>0</v>
      </c>
      <c r="BO117" s="6">
        <f>(Grandview_Inventory[[#This Row],[att_gar]]+Grandview_Inventory[[#This Row],[bltin_gar]])*Lookups!$B$17</f>
        <v>0</v>
      </c>
      <c r="BP117" s="6">
        <f>Grandview_Inventory[[#This Row],[Plumbing Fixtures]]*Lookups!$B$18</f>
        <v>16083.5344</v>
      </c>
      <c r="BQ117" s="6">
        <f>Grandview_Inventory[[#This Row],[detatched_value]]*Lookups!$B$19</f>
        <v>0</v>
      </c>
      <c r="BR117" s="6">
        <f>SUM(Grandview_Inventory[[#This Row],[Intercept]:[det_value]])*Grandview_Inventory[[#This Row],[res_pct]]</f>
        <v>264140.72593999997</v>
      </c>
      <c r="BS117" s="6">
        <f>Grandview_Inventory[[#This Row],[land_value]]</f>
        <v>49926.8031387023</v>
      </c>
      <c r="BT117" s="4">
        <f>_xlfn.IFNA(VLOOKUP(Grandview_Inventory[[#This Row],[quality]],Lookups!$A$26:$C$33,3,FALSE),1)</f>
        <v>0.98763855981004833</v>
      </c>
      <c r="BU117" s="4">
        <f>_xlfn.IFNA(VLOOKUP(Grandview_Inventory[[#This Row],[condition]],Lookups!$A$37:$C$44,3,FALSE),1)</f>
        <v>0.97383723671140243</v>
      </c>
      <c r="BV117" s="4">
        <f>IF(Grandview_Inventory[[#This Row],[bldg_style]]="",1,_xlfn.IFNA(VLOOKUP(Grandview_Inventory[[#This Row],[decade]],Lookups!$F$29:$H$43,3,FALSE),1))</f>
        <v>0.98397821291089549</v>
      </c>
      <c r="BW117" s="4">
        <f>_xlfn.IFNA(VLOOKUP(Grandview_Inventory[[#This Row],[living_area_range]],Lookups!$F$47:$H$56,3,FALSE),1)</f>
        <v>0.96135087979789358</v>
      </c>
      <c r="BX117" s="4">
        <f>AVERAGE(Grandview_Inventory[[#This Row],[qual_adj]:[size_adj]])</f>
        <v>0.97670122230755996</v>
      </c>
      <c r="BY117" s="6">
        <f>IF(Grandview_Inventory[[#This Row],[pre_res]]&lt;0,0,Grandview_Inventory[[#This Row],[pre_res]]*Grandview_Inventory[[#This Row],[overall_adj]])</f>
        <v>257986.56988680418</v>
      </c>
      <c r="BZ117" s="6">
        <f>(Grandview_Inventory[[#This Row],[sum_land]]-IF(Grandview_Inventory[[#This Row],[no_utilities]]=1,12000,0))/IF(Grandview_Inventory[[#This Row],[unbuildable]]=1,2,1)</f>
        <v>49926.8031387023</v>
      </c>
      <c r="CA11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17">
        <f>ROUND(Grandview_Inventory[[#This Row],[det_value]]*Lookups!$M$28,-2)</f>
        <v>0</v>
      </c>
      <c r="CC117">
        <f>IF(ROUND(Grandview_Inventory[[#This Row],[adj_res]]*Lookups!$M$28,-2)&lt;Grandview_Inventory[[#This Row],[min_res]],Grandview_Inventory[[#This Row],[min_res]],ROUND(Grandview_Inventory[[#This Row],[adj_res]]*Lookups!$M$28,-2))</f>
        <v>245100</v>
      </c>
      <c r="CD117">
        <f>Grandview_Inventory[[#This Row],[final_det]]+Grandview_Inventory[[#This Row],[final_res]]</f>
        <v>245100</v>
      </c>
      <c r="CE117">
        <f>Grandview_Inventory[[#This Row],[final_land]]+Grandview_Inventory[[#This Row],[final_imp]]+Grandview_Inventory[[#This Row],[crop_value]]</f>
        <v>292500</v>
      </c>
      <c r="CG117" t="str">
        <f t="shared" si="1"/>
        <v>update valuation set market_land =47400, market_bldg=245100, market_total =292500, market_mdno =401, market_date ='9/10/2023' where link_id = (select link_id from parcel where parcel_year = '2024' and parcel_id = '23091433413');</v>
      </c>
    </row>
    <row r="118" spans="1:85" x14ac:dyDescent="0.25">
      <c r="A118">
        <v>23091433414</v>
      </c>
      <c r="B118">
        <v>0.18</v>
      </c>
      <c r="C118">
        <v>7840</v>
      </c>
      <c r="D118" t="s">
        <v>129</v>
      </c>
      <c r="E118" t="s">
        <v>53</v>
      </c>
      <c r="F118" t="s">
        <v>53</v>
      </c>
      <c r="G118">
        <v>4</v>
      </c>
      <c r="H118" t="s">
        <v>54</v>
      </c>
      <c r="I118">
        <v>145100</v>
      </c>
      <c r="J118">
        <v>39000</v>
      </c>
      <c r="K118">
        <v>0.18</v>
      </c>
      <c r="L11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8">
        <v>0</v>
      </c>
      <c r="N118">
        <v>0</v>
      </c>
      <c r="O118">
        <v>0</v>
      </c>
      <c r="P118">
        <v>13398.7528</v>
      </c>
      <c r="Q118">
        <v>63903</v>
      </c>
      <c r="R118">
        <f>(Grandview_Inventory[[#This Row],[ln_acres]]*Grandview_Inventory[[#This Row],[coeff]])+Grandview_Inventory[[#This Row],[const]]</f>
        <v>40926.839760167699</v>
      </c>
      <c r="S118" t="s">
        <v>68</v>
      </c>
      <c r="T118">
        <v>1</v>
      </c>
      <c r="U118" t="s">
        <v>70</v>
      </c>
      <c r="V118" t="s">
        <v>69</v>
      </c>
      <c r="W118">
        <v>0</v>
      </c>
      <c r="X118">
        <v>0</v>
      </c>
      <c r="Y118">
        <v>51</v>
      </c>
      <c r="Z118">
        <v>83</v>
      </c>
      <c r="AA118">
        <v>90</v>
      </c>
      <c r="AB118">
        <v>1500</v>
      </c>
      <c r="AC118">
        <v>1204</v>
      </c>
      <c r="AD118">
        <v>1204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308</v>
      </c>
      <c r="AL118">
        <v>112</v>
      </c>
      <c r="AM118">
        <v>0</v>
      </c>
      <c r="AN118">
        <v>0</v>
      </c>
      <c r="AO118">
        <v>0</v>
      </c>
      <c r="AP118">
        <v>8</v>
      </c>
      <c r="AQ118">
        <v>0</v>
      </c>
      <c r="AR118">
        <v>0</v>
      </c>
      <c r="AS118" t="s">
        <v>58</v>
      </c>
      <c r="AT118">
        <v>1</v>
      </c>
      <c r="AU118" t="s">
        <v>75</v>
      </c>
      <c r="AV118" t="s">
        <v>60</v>
      </c>
      <c r="AW118">
        <v>0</v>
      </c>
      <c r="AX118">
        <v>3</v>
      </c>
      <c r="AY118">
        <v>0</v>
      </c>
      <c r="AZ118">
        <v>900</v>
      </c>
      <c r="BA118">
        <v>100</v>
      </c>
      <c r="BB118">
        <v>100</v>
      </c>
      <c r="BC118">
        <v>100</v>
      </c>
      <c r="BD118">
        <v>100</v>
      </c>
      <c r="BE118">
        <v>1</v>
      </c>
      <c r="BF118">
        <v>15000</v>
      </c>
      <c r="BG118">
        <v>1000</v>
      </c>
      <c r="BH118" s="6">
        <f>Grandview_Inventory[[#This Row],[land_extract]]*Lookups!$B$3</f>
        <v>47528.228511015397</v>
      </c>
      <c r="BI118" s="6">
        <f>IF(Grandview_Inventory[[#This Row],[bldg_style]]="",0,Lookups!$B$2)</f>
        <v>155833.95000000001</v>
      </c>
      <c r="BJ118" s="6">
        <f>_xlfn.IFNA(VLOOKUP(Grandview_Inventory[[#This Row],[quality]],Lookups!$H$2:$J$14,3,FALSE),0)</f>
        <v>10733</v>
      </c>
      <c r="BK118" s="6">
        <f>_xlfn.IFNA(VLOOKUP(Grandview_Inventory[[#This Row],[condition]],Lookups!$H$17:$J$24,3,FALSE),0)</f>
        <v>-4503</v>
      </c>
      <c r="BL118" s="6">
        <f>Grandview_Inventory[[#This Row],[Eff_Age]]*Lookups!$B$14</f>
        <v>-12197.496599999999</v>
      </c>
      <c r="BM118" s="6">
        <f>Grandview_Inventory[[#This Row],[living_area]]*Lookups!$B$15</f>
        <v>75106.547011999995</v>
      </c>
      <c r="BN118" s="6">
        <f>Grandview_Inventory[[#This Row],[Fin BSMT]]*Lookups!$B$16</f>
        <v>0</v>
      </c>
      <c r="BO118" s="6">
        <f>(Grandview_Inventory[[#This Row],[att_gar]]+Grandview_Inventory[[#This Row],[bltin_gar]])*Lookups!$B$17</f>
        <v>0</v>
      </c>
      <c r="BP118" s="6">
        <f>Grandview_Inventory[[#This Row],[Plumbing Fixtures]]*Lookups!$B$18</f>
        <v>16083.5344</v>
      </c>
      <c r="BQ118" s="6">
        <f>Grandview_Inventory[[#This Row],[detatched_value]]*Lookups!$B$19</f>
        <v>762.12459000000001</v>
      </c>
      <c r="BR118" s="6">
        <f>SUM(Grandview_Inventory[[#This Row],[Intercept]:[det_value]])*Grandview_Inventory[[#This Row],[res_pct]]</f>
        <v>241818.65940199999</v>
      </c>
      <c r="BS118" s="6">
        <f>Grandview_Inventory[[#This Row],[land_value]]</f>
        <v>47528.228511015397</v>
      </c>
      <c r="BT118" s="4">
        <f>_xlfn.IFNA(VLOOKUP(Grandview_Inventory[[#This Row],[quality]],Lookups!$A$26:$C$33,3,FALSE),1)</f>
        <v>0.98079741117310582</v>
      </c>
      <c r="BU118" s="4">
        <f>_xlfn.IFNA(VLOOKUP(Grandview_Inventory[[#This Row],[condition]],Lookups!$A$37:$C$44,3,FALSE),1)</f>
        <v>0.96469275950863709</v>
      </c>
      <c r="BV118" s="4">
        <f>IF(Grandview_Inventory[[#This Row],[bldg_style]]="",1,_xlfn.IFNA(VLOOKUP(Grandview_Inventory[[#This Row],[decade]],Lookups!$F$29:$H$43,3,FALSE),1))</f>
        <v>0.94161750052457416</v>
      </c>
      <c r="BW118" s="4">
        <f>_xlfn.IFNA(VLOOKUP(Grandview_Inventory[[#This Row],[living_area_range]],Lookups!$F$47:$H$56,3,FALSE),1)</f>
        <v>0.96135087979789358</v>
      </c>
      <c r="BX118" s="4">
        <f>AVERAGE(Grandview_Inventory[[#This Row],[qual_adj]:[size_adj]])</f>
        <v>0.96211463775105266</v>
      </c>
      <c r="BY118" s="6">
        <f>IF(Grandview_Inventory[[#This Row],[pre_res]]&lt;0,0,Grandview_Inventory[[#This Row],[pre_res]]*Grandview_Inventory[[#This Row],[overall_adj]])</f>
        <v>232657.2718920004</v>
      </c>
      <c r="BZ118" s="6">
        <f>(Grandview_Inventory[[#This Row],[sum_land]]-IF(Grandview_Inventory[[#This Row],[no_utilities]]=1,12000,0))/IF(Grandview_Inventory[[#This Row],[unbuildable]]=1,2,1)</f>
        <v>47528.228511015397</v>
      </c>
      <c r="CA11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8">
        <f>ROUND(Grandview_Inventory[[#This Row],[det_value]]*Lookups!$M$28,-2)</f>
        <v>700</v>
      </c>
      <c r="CC118">
        <f>IF(ROUND(Grandview_Inventory[[#This Row],[adj_res]]*Lookups!$M$28,-2)&lt;Grandview_Inventory[[#This Row],[min_res]],Grandview_Inventory[[#This Row],[min_res]],ROUND(Grandview_Inventory[[#This Row],[adj_res]]*Lookups!$M$28,-2))</f>
        <v>221000</v>
      </c>
      <c r="CD118">
        <f>Grandview_Inventory[[#This Row],[final_det]]+Grandview_Inventory[[#This Row],[final_res]]</f>
        <v>221700</v>
      </c>
      <c r="CE118">
        <f>Grandview_Inventory[[#This Row],[final_land]]+Grandview_Inventory[[#This Row],[final_imp]]+Grandview_Inventory[[#This Row],[crop_value]]</f>
        <v>266900</v>
      </c>
      <c r="CG118" t="str">
        <f t="shared" si="1"/>
        <v>update valuation set market_land =45200, market_bldg=221700, market_total =266900, market_mdno =401, market_date ='9/10/2023' where link_id = (select link_id from parcel where parcel_year = '2024' and parcel_id = '23091433414');</v>
      </c>
    </row>
    <row r="119" spans="1:85" x14ac:dyDescent="0.25">
      <c r="A119">
        <v>23091433420</v>
      </c>
      <c r="B119">
        <v>0.14000000000000001</v>
      </c>
      <c r="C119">
        <v>6186</v>
      </c>
      <c r="D119" t="s">
        <v>129</v>
      </c>
      <c r="E119" t="s">
        <v>53</v>
      </c>
      <c r="F119" t="s">
        <v>53</v>
      </c>
      <c r="G119">
        <v>4</v>
      </c>
      <c r="H119" t="s">
        <v>54</v>
      </c>
      <c r="I119">
        <v>127100</v>
      </c>
      <c r="J119">
        <v>38300</v>
      </c>
      <c r="K119">
        <v>0.14000000000000001</v>
      </c>
      <c r="L119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19">
        <v>0</v>
      </c>
      <c r="N119">
        <v>0</v>
      </c>
      <c r="O119">
        <v>0</v>
      </c>
      <c r="P119">
        <v>13398.7528</v>
      </c>
      <c r="Q119">
        <v>63903</v>
      </c>
      <c r="R119">
        <f>(Grandview_Inventory[[#This Row],[ln_acres]]*Grandview_Inventory[[#This Row],[coeff]])+Grandview_Inventory[[#This Row],[const]]</f>
        <v>37559.539860558507</v>
      </c>
      <c r="S119" t="s">
        <v>68</v>
      </c>
      <c r="T119">
        <v>1</v>
      </c>
      <c r="U119" t="s">
        <v>70</v>
      </c>
      <c r="V119" t="s">
        <v>69</v>
      </c>
      <c r="W119">
        <v>0</v>
      </c>
      <c r="X119">
        <v>0</v>
      </c>
      <c r="Y119">
        <v>51</v>
      </c>
      <c r="Z119">
        <v>83</v>
      </c>
      <c r="AA119">
        <v>90</v>
      </c>
      <c r="AB119">
        <v>1500</v>
      </c>
      <c r="AC119">
        <v>1247</v>
      </c>
      <c r="AD119">
        <v>1247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36</v>
      </c>
      <c r="AO119">
        <v>0</v>
      </c>
      <c r="AP119">
        <v>5</v>
      </c>
      <c r="AQ119">
        <v>0</v>
      </c>
      <c r="AR119">
        <v>0</v>
      </c>
      <c r="AS119" t="s">
        <v>58</v>
      </c>
      <c r="AT119">
        <v>1</v>
      </c>
      <c r="AU119" t="s">
        <v>63</v>
      </c>
      <c r="AV119" t="s">
        <v>64</v>
      </c>
      <c r="AW119">
        <v>0</v>
      </c>
      <c r="AX119">
        <v>3</v>
      </c>
      <c r="AY119">
        <v>0</v>
      </c>
      <c r="AZ119">
        <v>0</v>
      </c>
      <c r="BA119">
        <v>100</v>
      </c>
      <c r="BB119">
        <v>100</v>
      </c>
      <c r="BC119">
        <v>100</v>
      </c>
      <c r="BD119">
        <v>100</v>
      </c>
      <c r="BE119">
        <v>1</v>
      </c>
      <c r="BF119">
        <v>15000</v>
      </c>
      <c r="BG119">
        <v>1000</v>
      </c>
      <c r="BH119" s="6">
        <f>Grandview_Inventory[[#This Row],[land_extract]]*Lookups!$B$3</f>
        <v>43617.792229308972</v>
      </c>
      <c r="BI119" s="6">
        <f>IF(Grandview_Inventory[[#This Row],[bldg_style]]="",0,Lookups!$B$2)</f>
        <v>155833.95000000001</v>
      </c>
      <c r="BJ119" s="6">
        <f>_xlfn.IFNA(VLOOKUP(Grandview_Inventory[[#This Row],[quality]],Lookups!$H$2:$J$14,3,FALSE),0)</f>
        <v>10733</v>
      </c>
      <c r="BK119" s="6">
        <f>_xlfn.IFNA(VLOOKUP(Grandview_Inventory[[#This Row],[condition]],Lookups!$H$17:$J$24,3,FALSE),0)</f>
        <v>-4503</v>
      </c>
      <c r="BL119" s="6">
        <f>Grandview_Inventory[[#This Row],[Eff_Age]]*Lookups!$B$14</f>
        <v>-12197.496599999999</v>
      </c>
      <c r="BM119" s="6">
        <f>Grandview_Inventory[[#This Row],[living_area]]*Lookups!$B$15</f>
        <v>77788.923691000004</v>
      </c>
      <c r="BN119" s="6">
        <f>Grandview_Inventory[[#This Row],[Fin BSMT]]*Lookups!$B$16</f>
        <v>0</v>
      </c>
      <c r="BO119" s="6">
        <f>(Grandview_Inventory[[#This Row],[att_gar]]+Grandview_Inventory[[#This Row],[bltin_gar]])*Lookups!$B$17</f>
        <v>0</v>
      </c>
      <c r="BP119" s="6">
        <f>Grandview_Inventory[[#This Row],[Plumbing Fixtures]]*Lookups!$B$18</f>
        <v>10052.209000000001</v>
      </c>
      <c r="BQ119" s="6">
        <f>Grandview_Inventory[[#This Row],[detatched_value]]*Lookups!$B$19</f>
        <v>0</v>
      </c>
      <c r="BR119" s="6">
        <f>SUM(Grandview_Inventory[[#This Row],[Intercept]:[det_value]])*Grandview_Inventory[[#This Row],[res_pct]]</f>
        <v>237707.586091</v>
      </c>
      <c r="BS119" s="6">
        <f>Grandview_Inventory[[#This Row],[land_value]]</f>
        <v>43617.792229308972</v>
      </c>
      <c r="BT119" s="4">
        <f>_xlfn.IFNA(VLOOKUP(Grandview_Inventory[[#This Row],[quality]],Lookups!$A$26:$C$33,3,FALSE),1)</f>
        <v>0.98079741117310582</v>
      </c>
      <c r="BU119" s="4">
        <f>_xlfn.IFNA(VLOOKUP(Grandview_Inventory[[#This Row],[condition]],Lookups!$A$37:$C$44,3,FALSE),1)</f>
        <v>0.96469275950863709</v>
      </c>
      <c r="BV119" s="4">
        <f>IF(Grandview_Inventory[[#This Row],[bldg_style]]="",1,_xlfn.IFNA(VLOOKUP(Grandview_Inventory[[#This Row],[decade]],Lookups!$F$29:$H$43,3,FALSE),1))</f>
        <v>0.94161750052457416</v>
      </c>
      <c r="BW119" s="4">
        <f>_xlfn.IFNA(VLOOKUP(Grandview_Inventory[[#This Row],[living_area_range]],Lookups!$F$47:$H$56,3,FALSE),1)</f>
        <v>0.96135087979789358</v>
      </c>
      <c r="BX119" s="4">
        <f>AVERAGE(Grandview_Inventory[[#This Row],[qual_adj]:[size_adj]])</f>
        <v>0.96211463775105266</v>
      </c>
      <c r="BY119" s="6">
        <f>IF(Grandview_Inventory[[#This Row],[pre_res]]&lt;0,0,Grandview_Inventory[[#This Row],[pre_res]]*Grandview_Inventory[[#This Row],[overall_adj]])</f>
        <v>228701.94808261964</v>
      </c>
      <c r="BZ119" s="6">
        <f>(Grandview_Inventory[[#This Row],[sum_land]]-IF(Grandview_Inventory[[#This Row],[no_utilities]]=1,12000,0))/IF(Grandview_Inventory[[#This Row],[unbuildable]]=1,2,1)</f>
        <v>43617.792229308972</v>
      </c>
      <c r="CA119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19">
        <f>ROUND(Grandview_Inventory[[#This Row],[det_value]]*Lookups!$M$28,-2)</f>
        <v>0</v>
      </c>
      <c r="CC119">
        <f>IF(ROUND(Grandview_Inventory[[#This Row],[adj_res]]*Lookups!$M$28,-2)&lt;Grandview_Inventory[[#This Row],[min_res]],Grandview_Inventory[[#This Row],[min_res]],ROUND(Grandview_Inventory[[#This Row],[adj_res]]*Lookups!$M$28,-2))</f>
        <v>217300</v>
      </c>
      <c r="CD119">
        <f>Grandview_Inventory[[#This Row],[final_det]]+Grandview_Inventory[[#This Row],[final_res]]</f>
        <v>217300</v>
      </c>
      <c r="CE119">
        <f>Grandview_Inventory[[#This Row],[final_land]]+Grandview_Inventory[[#This Row],[final_imp]]+Grandview_Inventory[[#This Row],[crop_value]]</f>
        <v>258700</v>
      </c>
      <c r="CG119" t="str">
        <f t="shared" si="1"/>
        <v>update valuation set market_land =41400, market_bldg=217300, market_total =258700, market_mdno =401, market_date ='9/10/2023' where link_id = (select link_id from parcel where parcel_year = '2024' and parcel_id = '23091433420');</v>
      </c>
    </row>
    <row r="120" spans="1:85" x14ac:dyDescent="0.25">
      <c r="A120">
        <v>23091433424</v>
      </c>
      <c r="B120">
        <v>0.12</v>
      </c>
      <c r="C120">
        <v>5183</v>
      </c>
      <c r="D120" t="s">
        <v>129</v>
      </c>
      <c r="E120" t="s">
        <v>53</v>
      </c>
      <c r="F120" t="s">
        <v>53</v>
      </c>
      <c r="G120">
        <v>4</v>
      </c>
      <c r="H120" t="s">
        <v>54</v>
      </c>
      <c r="I120">
        <v>126500</v>
      </c>
      <c r="J120">
        <v>42100</v>
      </c>
      <c r="K120">
        <v>0.12</v>
      </c>
      <c r="L12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0">
        <v>0</v>
      </c>
      <c r="N120">
        <v>0</v>
      </c>
      <c r="O120">
        <v>0</v>
      </c>
      <c r="P120">
        <v>13398.7528</v>
      </c>
      <c r="Q120">
        <v>63903</v>
      </c>
      <c r="R120">
        <f>(Grandview_Inventory[[#This Row],[ln_acres]]*Grandview_Inventory[[#This Row],[coeff]])+Grandview_Inventory[[#This Row],[const]]</f>
        <v>35494.113007601132</v>
      </c>
      <c r="S120" t="s">
        <v>68</v>
      </c>
      <c r="T120">
        <v>1</v>
      </c>
      <c r="U120" t="s">
        <v>70</v>
      </c>
      <c r="V120" t="s">
        <v>69</v>
      </c>
      <c r="W120">
        <v>0</v>
      </c>
      <c r="X120">
        <v>0</v>
      </c>
      <c r="Y120">
        <v>51</v>
      </c>
      <c r="Z120">
        <v>83</v>
      </c>
      <c r="AA120">
        <v>90</v>
      </c>
      <c r="AB120">
        <v>1500</v>
      </c>
      <c r="AC120">
        <v>1198</v>
      </c>
      <c r="AD120">
        <v>1198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110</v>
      </c>
      <c r="AO120">
        <v>110</v>
      </c>
      <c r="AP120">
        <v>5</v>
      </c>
      <c r="AQ120">
        <v>0</v>
      </c>
      <c r="AR120">
        <v>0</v>
      </c>
      <c r="AS120" t="s">
        <v>58</v>
      </c>
      <c r="AT120">
        <v>1</v>
      </c>
      <c r="AU120" t="s">
        <v>63</v>
      </c>
      <c r="AV120" t="s">
        <v>64</v>
      </c>
      <c r="AW120">
        <v>0</v>
      </c>
      <c r="AX120">
        <v>4</v>
      </c>
      <c r="AY120">
        <v>0</v>
      </c>
      <c r="AZ120">
        <v>0</v>
      </c>
      <c r="BA120">
        <v>100</v>
      </c>
      <c r="BB120">
        <v>100</v>
      </c>
      <c r="BC120">
        <v>100</v>
      </c>
      <c r="BD120">
        <v>100</v>
      </c>
      <c r="BE120">
        <v>1</v>
      </c>
      <c r="BF120">
        <v>15000</v>
      </c>
      <c r="BG120">
        <v>1000</v>
      </c>
      <c r="BH120" s="6">
        <f>Grandview_Inventory[[#This Row],[land_extract]]*Lookups!$B$3</f>
        <v>41219.217601622076</v>
      </c>
      <c r="BI120" s="6">
        <f>IF(Grandview_Inventory[[#This Row],[bldg_style]]="",0,Lookups!$B$2)</f>
        <v>155833.95000000001</v>
      </c>
      <c r="BJ120" s="6">
        <f>_xlfn.IFNA(VLOOKUP(Grandview_Inventory[[#This Row],[quality]],Lookups!$H$2:$J$14,3,FALSE),0)</f>
        <v>10733</v>
      </c>
      <c r="BK120" s="6">
        <f>_xlfn.IFNA(VLOOKUP(Grandview_Inventory[[#This Row],[condition]],Lookups!$H$17:$J$24,3,FALSE),0)</f>
        <v>-4503</v>
      </c>
      <c r="BL120" s="6">
        <f>Grandview_Inventory[[#This Row],[Eff_Age]]*Lookups!$B$14</f>
        <v>-12197.496599999999</v>
      </c>
      <c r="BM120" s="6">
        <f>Grandview_Inventory[[#This Row],[living_area]]*Lookups!$B$15</f>
        <v>74732.261893999996</v>
      </c>
      <c r="BN120" s="6">
        <f>Grandview_Inventory[[#This Row],[Fin BSMT]]*Lookups!$B$16</f>
        <v>0</v>
      </c>
      <c r="BO120" s="6">
        <f>(Grandview_Inventory[[#This Row],[att_gar]]+Grandview_Inventory[[#This Row],[bltin_gar]])*Lookups!$B$17</f>
        <v>0</v>
      </c>
      <c r="BP120" s="6">
        <f>Grandview_Inventory[[#This Row],[Plumbing Fixtures]]*Lookups!$B$18</f>
        <v>10052.209000000001</v>
      </c>
      <c r="BQ120" s="6">
        <f>Grandview_Inventory[[#This Row],[detatched_value]]*Lookups!$B$19</f>
        <v>0</v>
      </c>
      <c r="BR120" s="6">
        <f>SUM(Grandview_Inventory[[#This Row],[Intercept]:[det_value]])*Grandview_Inventory[[#This Row],[res_pct]]</f>
        <v>234650.924294</v>
      </c>
      <c r="BS120" s="6">
        <f>Grandview_Inventory[[#This Row],[land_value]]</f>
        <v>41219.217601622076</v>
      </c>
      <c r="BT120" s="4">
        <f>_xlfn.IFNA(VLOOKUP(Grandview_Inventory[[#This Row],[quality]],Lookups!$A$26:$C$33,3,FALSE),1)</f>
        <v>0.98079741117310582</v>
      </c>
      <c r="BU120" s="4">
        <f>_xlfn.IFNA(VLOOKUP(Grandview_Inventory[[#This Row],[condition]],Lookups!$A$37:$C$44,3,FALSE),1)</f>
        <v>0.96469275950863709</v>
      </c>
      <c r="BV120" s="4">
        <f>IF(Grandview_Inventory[[#This Row],[bldg_style]]="",1,_xlfn.IFNA(VLOOKUP(Grandview_Inventory[[#This Row],[decade]],Lookups!$F$29:$H$43,3,FALSE),1))</f>
        <v>0.94161750052457416</v>
      </c>
      <c r="BW120" s="4">
        <f>_xlfn.IFNA(VLOOKUP(Grandview_Inventory[[#This Row],[living_area_range]],Lookups!$F$47:$H$56,3,FALSE),1)</f>
        <v>0.96135087979789358</v>
      </c>
      <c r="BX120" s="4">
        <f>AVERAGE(Grandview_Inventory[[#This Row],[qual_adj]:[size_adj]])</f>
        <v>0.96211463775105266</v>
      </c>
      <c r="BY120" s="6">
        <f>IF(Grandview_Inventory[[#This Row],[pre_res]]&lt;0,0,Grandview_Inventory[[#This Row],[pre_res]]*Grandview_Inventory[[#This Row],[overall_adj]])</f>
        <v>225761.0890250715</v>
      </c>
      <c r="BZ120" s="6">
        <f>(Grandview_Inventory[[#This Row],[sum_land]]-IF(Grandview_Inventory[[#This Row],[no_utilities]]=1,12000,0))/IF(Grandview_Inventory[[#This Row],[unbuildable]]=1,2,1)</f>
        <v>41219.217601622076</v>
      </c>
      <c r="CA12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0">
        <f>ROUND(Grandview_Inventory[[#This Row],[det_value]]*Lookups!$M$28,-2)</f>
        <v>0</v>
      </c>
      <c r="CC120">
        <f>IF(ROUND(Grandview_Inventory[[#This Row],[adj_res]]*Lookups!$M$28,-2)&lt;Grandview_Inventory[[#This Row],[min_res]],Grandview_Inventory[[#This Row],[min_res]],ROUND(Grandview_Inventory[[#This Row],[adj_res]]*Lookups!$M$28,-2))</f>
        <v>214500</v>
      </c>
      <c r="CD120">
        <f>Grandview_Inventory[[#This Row],[final_det]]+Grandview_Inventory[[#This Row],[final_res]]</f>
        <v>214500</v>
      </c>
      <c r="CE120">
        <f>Grandview_Inventory[[#This Row],[final_land]]+Grandview_Inventory[[#This Row],[final_imp]]+Grandview_Inventory[[#This Row],[crop_value]]</f>
        <v>253700</v>
      </c>
      <c r="CG120" t="str">
        <f t="shared" si="1"/>
        <v>update valuation set market_land =39200, market_bldg=214500, market_total =253700, market_mdno =401, market_date ='9/10/2023' where link_id = (select link_id from parcel where parcel_year = '2024' and parcel_id = '23091433424');</v>
      </c>
    </row>
    <row r="121" spans="1:85" x14ac:dyDescent="0.25">
      <c r="A121">
        <v>23091433425</v>
      </c>
      <c r="B121">
        <v>0.12</v>
      </c>
      <c r="C121">
        <v>5183</v>
      </c>
      <c r="D121" t="s">
        <v>129</v>
      </c>
      <c r="E121" t="s">
        <v>53</v>
      </c>
      <c r="F121" t="s">
        <v>53</v>
      </c>
      <c r="G121">
        <v>4</v>
      </c>
      <c r="H121" t="s">
        <v>54</v>
      </c>
      <c r="I121">
        <v>81500</v>
      </c>
      <c r="J121">
        <v>37900</v>
      </c>
      <c r="K121">
        <v>0.12</v>
      </c>
      <c r="L121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1">
        <v>0</v>
      </c>
      <c r="N121">
        <v>0</v>
      </c>
      <c r="O121">
        <v>0</v>
      </c>
      <c r="P121">
        <v>13398.7528</v>
      </c>
      <c r="Q121">
        <v>63903</v>
      </c>
      <c r="R121">
        <f>(Grandview_Inventory[[#This Row],[ln_acres]]*Grandview_Inventory[[#This Row],[coeff]])+Grandview_Inventory[[#This Row],[const]]</f>
        <v>35494.113007601132</v>
      </c>
      <c r="S121" t="s">
        <v>68</v>
      </c>
      <c r="T121">
        <v>1</v>
      </c>
      <c r="U121" t="s">
        <v>80</v>
      </c>
      <c r="V121" t="s">
        <v>78</v>
      </c>
      <c r="W121">
        <v>0</v>
      </c>
      <c r="X121">
        <v>0</v>
      </c>
      <c r="Y121">
        <v>50</v>
      </c>
      <c r="Z121">
        <v>73</v>
      </c>
      <c r="AA121">
        <v>80</v>
      </c>
      <c r="AB121">
        <v>2000</v>
      </c>
      <c r="AC121">
        <v>1734</v>
      </c>
      <c r="AD121">
        <v>942</v>
      </c>
      <c r="AE121">
        <v>0</v>
      </c>
      <c r="AF121">
        <v>0</v>
      </c>
      <c r="AG121">
        <v>792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36</v>
      </c>
      <c r="AP121">
        <v>5</v>
      </c>
      <c r="AQ121">
        <v>0</v>
      </c>
      <c r="AR121">
        <v>0</v>
      </c>
      <c r="AS121" t="s">
        <v>58</v>
      </c>
      <c r="AT121">
        <v>1</v>
      </c>
      <c r="AU121" t="s">
        <v>63</v>
      </c>
      <c r="AV121" t="s">
        <v>81</v>
      </c>
      <c r="AW121">
        <v>0</v>
      </c>
      <c r="AX121">
        <v>2</v>
      </c>
      <c r="AY121">
        <v>0</v>
      </c>
      <c r="AZ121">
        <v>0</v>
      </c>
      <c r="BA121">
        <v>100</v>
      </c>
      <c r="BB121">
        <v>100</v>
      </c>
      <c r="BC121">
        <v>100</v>
      </c>
      <c r="BD121">
        <v>100</v>
      </c>
      <c r="BE121">
        <v>1</v>
      </c>
      <c r="BF121">
        <v>15000</v>
      </c>
      <c r="BG121">
        <v>1000</v>
      </c>
      <c r="BH121" s="6">
        <f>Grandview_Inventory[[#This Row],[land_extract]]*Lookups!$B$3</f>
        <v>41219.217601622076</v>
      </c>
      <c r="BI121" s="6">
        <f>IF(Grandview_Inventory[[#This Row],[bldg_style]]="",0,Lookups!$B$2)</f>
        <v>155833.95000000001</v>
      </c>
      <c r="BJ121" s="6">
        <f>_xlfn.IFNA(VLOOKUP(Grandview_Inventory[[#This Row],[quality]],Lookups!$H$2:$J$14,3,FALSE),0)</f>
        <v>-28558</v>
      </c>
      <c r="BK121" s="6">
        <f>_xlfn.IFNA(VLOOKUP(Grandview_Inventory[[#This Row],[condition]],Lookups!$H$17:$J$24,3,FALSE),0)</f>
        <v>-45357</v>
      </c>
      <c r="BL121" s="6">
        <f>Grandview_Inventory[[#This Row],[Eff_Age]]*Lookups!$B$14</f>
        <v>-11958.33</v>
      </c>
      <c r="BM121" s="6">
        <f>Grandview_Inventory[[#This Row],[living_area]]*Lookups!$B$15</f>
        <v>108168.39910200001</v>
      </c>
      <c r="BN121" s="6">
        <f>Grandview_Inventory[[#This Row],[Fin BSMT]]*Lookups!$B$16</f>
        <v>-21462.59808</v>
      </c>
      <c r="BO121" s="6">
        <f>(Grandview_Inventory[[#This Row],[att_gar]]+Grandview_Inventory[[#This Row],[bltin_gar]])*Lookups!$B$17</f>
        <v>0</v>
      </c>
      <c r="BP121" s="6">
        <f>Grandview_Inventory[[#This Row],[Plumbing Fixtures]]*Lookups!$B$18</f>
        <v>10052.209000000001</v>
      </c>
      <c r="BQ121" s="6">
        <f>Grandview_Inventory[[#This Row],[detatched_value]]*Lookups!$B$19</f>
        <v>0</v>
      </c>
      <c r="BR121" s="6">
        <f>SUM(Grandview_Inventory[[#This Row],[Intercept]:[det_value]])*Grandview_Inventory[[#This Row],[res_pct]]</f>
        <v>166718.63002200003</v>
      </c>
      <c r="BS121" s="6">
        <f>Grandview_Inventory[[#This Row],[land_value]]</f>
        <v>41219.217601622076</v>
      </c>
      <c r="BT121" s="4">
        <f>_xlfn.IFNA(VLOOKUP(Grandview_Inventory[[#This Row],[quality]],Lookups!$A$26:$C$33,3,FALSE),1)</f>
        <v>0.9690360070159818</v>
      </c>
      <c r="BU121" s="4">
        <f>_xlfn.IFNA(VLOOKUP(Grandview_Inventory[[#This Row],[condition]],Lookups!$A$37:$C$44,3,FALSE),1)</f>
        <v>0.97161819570155394</v>
      </c>
      <c r="BV121" s="4">
        <f>IF(Grandview_Inventory[[#This Row],[bldg_style]]="",1,_xlfn.IFNA(VLOOKUP(Grandview_Inventory[[#This Row],[decade]],Lookups!$F$29:$H$43,3,FALSE),1))</f>
        <v>0.98763256963907298</v>
      </c>
      <c r="BW121" s="4">
        <f>_xlfn.IFNA(VLOOKUP(Grandview_Inventory[[#This Row],[living_area_range]],Lookups!$F$47:$H$56,3,FALSE),1)</f>
        <v>0.96120133463014379</v>
      </c>
      <c r="BX121" s="4">
        <f>AVERAGE(Grandview_Inventory[[#This Row],[qual_adj]:[size_adj]])</f>
        <v>0.97237202674668821</v>
      </c>
      <c r="BY121" s="6">
        <f>IF(Grandview_Inventory[[#This Row],[pre_res]]&lt;0,0,Grandview_Inventory[[#This Row],[pre_res]]*Grandview_Inventory[[#This Row],[overall_adj]])</f>
        <v>162112.53217092343</v>
      </c>
      <c r="BZ121" s="6">
        <f>(Grandview_Inventory[[#This Row],[sum_land]]-IF(Grandview_Inventory[[#This Row],[no_utilities]]=1,12000,0))/IF(Grandview_Inventory[[#This Row],[unbuildable]]=1,2,1)</f>
        <v>41219.217601622076</v>
      </c>
      <c r="CA121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1">
        <f>ROUND(Grandview_Inventory[[#This Row],[det_value]]*Lookups!$M$28,-2)</f>
        <v>0</v>
      </c>
      <c r="CC121">
        <f>IF(ROUND(Grandview_Inventory[[#This Row],[adj_res]]*Lookups!$M$28,-2)&lt;Grandview_Inventory[[#This Row],[min_res]],Grandview_Inventory[[#This Row],[min_res]],ROUND(Grandview_Inventory[[#This Row],[adj_res]]*Lookups!$M$28,-2))</f>
        <v>154000</v>
      </c>
      <c r="CD121">
        <f>Grandview_Inventory[[#This Row],[final_det]]+Grandview_Inventory[[#This Row],[final_res]]</f>
        <v>154000</v>
      </c>
      <c r="CE121">
        <f>Grandview_Inventory[[#This Row],[final_land]]+Grandview_Inventory[[#This Row],[final_imp]]+Grandview_Inventory[[#This Row],[crop_value]]</f>
        <v>193200</v>
      </c>
      <c r="CG121" t="str">
        <f t="shared" si="1"/>
        <v>update valuation set market_land =39200, market_bldg=154000, market_total =193200, market_mdno =401, market_date ='9/10/2023' where link_id = (select link_id from parcel where parcel_year = '2024' and parcel_id = '23091433425');</v>
      </c>
    </row>
    <row r="122" spans="1:85" x14ac:dyDescent="0.25">
      <c r="A122">
        <v>23091433426</v>
      </c>
      <c r="B122">
        <v>0.12</v>
      </c>
      <c r="C122">
        <v>5256</v>
      </c>
      <c r="D122" t="s">
        <v>129</v>
      </c>
      <c r="E122" t="s">
        <v>53</v>
      </c>
      <c r="F122" t="s">
        <v>53</v>
      </c>
      <c r="G122">
        <v>4</v>
      </c>
      <c r="H122" t="s">
        <v>54</v>
      </c>
      <c r="I122">
        <v>148500</v>
      </c>
      <c r="J122">
        <v>38100</v>
      </c>
      <c r="K122">
        <v>0.12</v>
      </c>
      <c r="L12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2">
        <v>0</v>
      </c>
      <c r="N122">
        <v>0</v>
      </c>
      <c r="O122">
        <v>0</v>
      </c>
      <c r="P122">
        <v>13398.7528</v>
      </c>
      <c r="Q122">
        <v>63903</v>
      </c>
      <c r="R122">
        <f>(Grandview_Inventory[[#This Row],[ln_acres]]*Grandview_Inventory[[#This Row],[coeff]])+Grandview_Inventory[[#This Row],[const]]</f>
        <v>35494.113007601132</v>
      </c>
      <c r="S122" t="s">
        <v>68</v>
      </c>
      <c r="T122">
        <v>1</v>
      </c>
      <c r="U122" t="s">
        <v>70</v>
      </c>
      <c r="V122" t="s">
        <v>67</v>
      </c>
      <c r="W122">
        <v>0</v>
      </c>
      <c r="X122">
        <v>0</v>
      </c>
      <c r="Y122">
        <v>51</v>
      </c>
      <c r="Z122">
        <v>83</v>
      </c>
      <c r="AA122">
        <v>90</v>
      </c>
      <c r="AB122">
        <v>1000</v>
      </c>
      <c r="AC122">
        <v>894</v>
      </c>
      <c r="AD122">
        <v>894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5</v>
      </c>
      <c r="AQ122">
        <v>0</v>
      </c>
      <c r="AR122">
        <v>0</v>
      </c>
      <c r="AS122" t="s">
        <v>58</v>
      </c>
      <c r="AT122">
        <v>1</v>
      </c>
      <c r="AU122" t="s">
        <v>63</v>
      </c>
      <c r="AV122" t="s">
        <v>60</v>
      </c>
      <c r="AW122">
        <v>0</v>
      </c>
      <c r="AX122">
        <v>2</v>
      </c>
      <c r="AY122">
        <v>0</v>
      </c>
      <c r="AZ122">
        <v>0</v>
      </c>
      <c r="BA122">
        <v>100</v>
      </c>
      <c r="BB122">
        <v>100</v>
      </c>
      <c r="BC122">
        <v>100</v>
      </c>
      <c r="BD122">
        <v>100</v>
      </c>
      <c r="BE122">
        <v>1</v>
      </c>
      <c r="BF122">
        <v>15000</v>
      </c>
      <c r="BG122">
        <v>1000</v>
      </c>
      <c r="BH122" s="6">
        <f>Grandview_Inventory[[#This Row],[land_extract]]*Lookups!$B$3</f>
        <v>41219.217601622076</v>
      </c>
      <c r="BI122" s="6">
        <f>IF(Grandview_Inventory[[#This Row],[bldg_style]]="",0,Lookups!$B$2)</f>
        <v>155833.95000000001</v>
      </c>
      <c r="BJ122" s="6">
        <f>_xlfn.IFNA(VLOOKUP(Grandview_Inventory[[#This Row],[quality]],Lookups!$H$2:$J$14,3,FALSE),0)</f>
        <v>10733</v>
      </c>
      <c r="BK122" s="6">
        <f>_xlfn.IFNA(VLOOKUP(Grandview_Inventory[[#This Row],[condition]],Lookups!$H$17:$J$24,3,FALSE),0)</f>
        <v>22342</v>
      </c>
      <c r="BL122" s="6">
        <f>Grandview_Inventory[[#This Row],[Eff_Age]]*Lookups!$B$14</f>
        <v>-12197.496599999999</v>
      </c>
      <c r="BM122" s="6">
        <f>Grandview_Inventory[[#This Row],[living_area]]*Lookups!$B$15</f>
        <v>55768.482582000004</v>
      </c>
      <c r="BN122" s="6">
        <f>Grandview_Inventory[[#This Row],[Fin BSMT]]*Lookups!$B$16</f>
        <v>0</v>
      </c>
      <c r="BO122" s="6">
        <f>(Grandview_Inventory[[#This Row],[att_gar]]+Grandview_Inventory[[#This Row],[bltin_gar]])*Lookups!$B$17</f>
        <v>0</v>
      </c>
      <c r="BP122" s="6">
        <f>Grandview_Inventory[[#This Row],[Plumbing Fixtures]]*Lookups!$B$18</f>
        <v>10052.209000000001</v>
      </c>
      <c r="BQ122" s="6">
        <f>Grandview_Inventory[[#This Row],[detatched_value]]*Lookups!$B$19</f>
        <v>0</v>
      </c>
      <c r="BR122" s="6">
        <f>SUM(Grandview_Inventory[[#This Row],[Intercept]:[det_value]])*Grandview_Inventory[[#This Row],[res_pct]]</f>
        <v>242532.144982</v>
      </c>
      <c r="BS122" s="6">
        <f>Grandview_Inventory[[#This Row],[land_value]]</f>
        <v>41219.217601622076</v>
      </c>
      <c r="BT122" s="4">
        <f>_xlfn.IFNA(VLOOKUP(Grandview_Inventory[[#This Row],[quality]],Lookups!$A$26:$C$33,3,FALSE),1)</f>
        <v>0.98079741117310582</v>
      </c>
      <c r="BU122" s="4">
        <f>_xlfn.IFNA(VLOOKUP(Grandview_Inventory[[#This Row],[condition]],Lookups!$A$37:$C$44,3,FALSE),1)</f>
        <v>0.97383723671140243</v>
      </c>
      <c r="BV122" s="4">
        <f>IF(Grandview_Inventory[[#This Row],[bldg_style]]="",1,_xlfn.IFNA(VLOOKUP(Grandview_Inventory[[#This Row],[decade]],Lookups!$F$29:$H$43,3,FALSE),1))</f>
        <v>0.94161750052457416</v>
      </c>
      <c r="BW122" s="4">
        <f>_xlfn.IFNA(VLOOKUP(Grandview_Inventory[[#This Row],[living_area_range]],Lookups!$F$47:$H$56,3,FALSE),1)</f>
        <v>0.94306777142782894</v>
      </c>
      <c r="BX122" s="4">
        <f>AVERAGE(Grandview_Inventory[[#This Row],[qual_adj]:[size_adj]])</f>
        <v>0.95982997995922781</v>
      </c>
      <c r="BY122" s="6">
        <f>IF(Grandview_Inventory[[#This Row],[pre_res]]&lt;0,0,Grandview_Inventory[[#This Row],[pre_res]]*Grandview_Inventory[[#This Row],[overall_adj]])</f>
        <v>232789.62385754159</v>
      </c>
      <c r="BZ122" s="6">
        <f>(Grandview_Inventory[[#This Row],[sum_land]]-IF(Grandview_Inventory[[#This Row],[no_utilities]]=1,12000,0))/IF(Grandview_Inventory[[#This Row],[unbuildable]]=1,2,1)</f>
        <v>41219.217601622076</v>
      </c>
      <c r="CA12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2">
        <f>ROUND(Grandview_Inventory[[#This Row],[det_value]]*Lookups!$M$28,-2)</f>
        <v>0</v>
      </c>
      <c r="CC122">
        <f>IF(ROUND(Grandview_Inventory[[#This Row],[adj_res]]*Lookups!$M$28,-2)&lt;Grandview_Inventory[[#This Row],[min_res]],Grandview_Inventory[[#This Row],[min_res]],ROUND(Grandview_Inventory[[#This Row],[adj_res]]*Lookups!$M$28,-2))</f>
        <v>221200</v>
      </c>
      <c r="CD122">
        <f>Grandview_Inventory[[#This Row],[final_det]]+Grandview_Inventory[[#This Row],[final_res]]</f>
        <v>221200</v>
      </c>
      <c r="CE122">
        <f>Grandview_Inventory[[#This Row],[final_land]]+Grandview_Inventory[[#This Row],[final_imp]]+Grandview_Inventory[[#This Row],[crop_value]]</f>
        <v>260400</v>
      </c>
      <c r="CG122" t="str">
        <f t="shared" si="1"/>
        <v>update valuation set market_land =39200, market_bldg=221200, market_total =260400, market_mdno =401, market_date ='9/10/2023' where link_id = (select link_id from parcel where parcel_year = '2024' and parcel_id = '23091433426');</v>
      </c>
    </row>
    <row r="123" spans="1:85" x14ac:dyDescent="0.25">
      <c r="A123">
        <v>23091433428</v>
      </c>
      <c r="B123">
        <v>0.15</v>
      </c>
      <c r="C123">
        <v>6450</v>
      </c>
      <c r="D123" t="s">
        <v>129</v>
      </c>
      <c r="E123" t="s">
        <v>53</v>
      </c>
      <c r="F123" t="s">
        <v>53</v>
      </c>
      <c r="G123">
        <v>4</v>
      </c>
      <c r="H123" t="s">
        <v>54</v>
      </c>
      <c r="I123">
        <v>114600</v>
      </c>
      <c r="J123">
        <v>38400</v>
      </c>
      <c r="K123">
        <v>0.15</v>
      </c>
      <c r="L123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23">
        <v>0</v>
      </c>
      <c r="N123">
        <v>0</v>
      </c>
      <c r="O123">
        <v>0</v>
      </c>
      <c r="P123">
        <v>13398.7528</v>
      </c>
      <c r="Q123">
        <v>63903</v>
      </c>
      <c r="R123">
        <f>(Grandview_Inventory[[#This Row],[ln_acres]]*Grandview_Inventory[[#This Row],[coeff]])+Grandview_Inventory[[#This Row],[const]]</f>
        <v>38483.958290574345</v>
      </c>
      <c r="S123" t="s">
        <v>68</v>
      </c>
      <c r="T123">
        <v>1</v>
      </c>
      <c r="U123" t="s">
        <v>83</v>
      </c>
      <c r="V123" t="s">
        <v>69</v>
      </c>
      <c r="W123">
        <v>0</v>
      </c>
      <c r="X123">
        <v>0</v>
      </c>
      <c r="Y123">
        <v>51</v>
      </c>
      <c r="Z123">
        <v>83</v>
      </c>
      <c r="AA123">
        <v>90</v>
      </c>
      <c r="AB123">
        <v>1000</v>
      </c>
      <c r="AC123">
        <v>728</v>
      </c>
      <c r="AD123">
        <v>728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24</v>
      </c>
      <c r="AO123">
        <v>0</v>
      </c>
      <c r="AP123">
        <v>5</v>
      </c>
      <c r="AQ123">
        <v>0</v>
      </c>
      <c r="AR123">
        <v>0</v>
      </c>
      <c r="AS123" t="s">
        <v>58</v>
      </c>
      <c r="AT123">
        <v>1</v>
      </c>
      <c r="AU123" t="s">
        <v>75</v>
      </c>
      <c r="AV123" t="s">
        <v>60</v>
      </c>
      <c r="AW123">
        <v>0</v>
      </c>
      <c r="AX123">
        <v>2</v>
      </c>
      <c r="AY123">
        <v>0</v>
      </c>
      <c r="AZ123">
        <v>6000</v>
      </c>
      <c r="BA123">
        <v>100</v>
      </c>
      <c r="BB123">
        <v>100</v>
      </c>
      <c r="BC123">
        <v>100</v>
      </c>
      <c r="BD123">
        <v>100</v>
      </c>
      <c r="BE123">
        <v>1</v>
      </c>
      <c r="BF123">
        <v>15000</v>
      </c>
      <c r="BG123">
        <v>1000</v>
      </c>
      <c r="BH123" s="6">
        <f>Grandview_Inventory[[#This Row],[land_extract]]*Lookups!$B$3</f>
        <v>44691.316856156598</v>
      </c>
      <c r="BI123" s="6">
        <f>IF(Grandview_Inventory[[#This Row],[bldg_style]]="",0,Lookups!$B$2)</f>
        <v>155833.95000000001</v>
      </c>
      <c r="BJ123" s="6">
        <f>_xlfn.IFNA(VLOOKUP(Grandview_Inventory[[#This Row],[quality]],Lookups!$H$2:$J$14,3,FALSE),0)</f>
        <v>-28558</v>
      </c>
      <c r="BK123" s="6">
        <f>_xlfn.IFNA(VLOOKUP(Grandview_Inventory[[#This Row],[condition]],Lookups!$H$17:$J$24,3,FALSE),0)</f>
        <v>-4503</v>
      </c>
      <c r="BL123" s="6">
        <f>Grandview_Inventory[[#This Row],[Eff_Age]]*Lookups!$B$14</f>
        <v>-12197.496599999999</v>
      </c>
      <c r="BM123" s="6">
        <f>Grandview_Inventory[[#This Row],[living_area]]*Lookups!$B$15</f>
        <v>45413.260984</v>
      </c>
      <c r="BN123" s="6">
        <f>Grandview_Inventory[[#This Row],[Fin BSMT]]*Lookups!$B$16</f>
        <v>0</v>
      </c>
      <c r="BO123" s="6">
        <f>(Grandview_Inventory[[#This Row],[att_gar]]+Grandview_Inventory[[#This Row],[bltin_gar]])*Lookups!$B$17</f>
        <v>0</v>
      </c>
      <c r="BP123" s="6">
        <f>Grandview_Inventory[[#This Row],[Plumbing Fixtures]]*Lookups!$B$18</f>
        <v>10052.209000000001</v>
      </c>
      <c r="BQ123" s="6">
        <f>Grandview_Inventory[[#This Row],[detatched_value]]*Lookups!$B$19</f>
        <v>5080.8306000000002</v>
      </c>
      <c r="BR123" s="6">
        <f>SUM(Grandview_Inventory[[#This Row],[Intercept]:[det_value]])*Grandview_Inventory[[#This Row],[res_pct]]</f>
        <v>171121.75398400001</v>
      </c>
      <c r="BS123" s="6">
        <f>Grandview_Inventory[[#This Row],[land_value]]</f>
        <v>44691.316856156598</v>
      </c>
      <c r="BT123" s="4">
        <f>_xlfn.IFNA(VLOOKUP(Grandview_Inventory[[#This Row],[quality]],Lookups!$A$26:$C$33,3,FALSE),1)</f>
        <v>0.96329552998502799</v>
      </c>
      <c r="BU123" s="4">
        <f>_xlfn.IFNA(VLOOKUP(Grandview_Inventory[[#This Row],[condition]],Lookups!$A$37:$C$44,3,FALSE),1)</f>
        <v>0.96469275950863709</v>
      </c>
      <c r="BV123" s="4">
        <f>IF(Grandview_Inventory[[#This Row],[bldg_style]]="",1,_xlfn.IFNA(VLOOKUP(Grandview_Inventory[[#This Row],[decade]],Lookups!$F$29:$H$43,3,FALSE),1))</f>
        <v>0.94161750052457416</v>
      </c>
      <c r="BW123" s="4">
        <f>_xlfn.IFNA(VLOOKUP(Grandview_Inventory[[#This Row],[living_area_range]],Lookups!$F$47:$H$56,3,FALSE),1)</f>
        <v>0.94306777142782894</v>
      </c>
      <c r="BX123" s="4">
        <f>AVERAGE(Grandview_Inventory[[#This Row],[qual_adj]:[size_adj]])</f>
        <v>0.95316839036151702</v>
      </c>
      <c r="BY123" s="6">
        <f>IF(Grandview_Inventory[[#This Row],[pre_res]]&lt;0,0,Grandview_Inventory[[#This Row],[pre_res]]*Grandview_Inventory[[#This Row],[overall_adj]])</f>
        <v>163107.84680076881</v>
      </c>
      <c r="BZ123" s="6">
        <f>(Grandview_Inventory[[#This Row],[sum_land]]-IF(Grandview_Inventory[[#This Row],[no_utilities]]=1,12000,0))/IF(Grandview_Inventory[[#This Row],[unbuildable]]=1,2,1)</f>
        <v>44691.316856156598</v>
      </c>
      <c r="CA123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23">
        <f>ROUND(Grandview_Inventory[[#This Row],[det_value]]*Lookups!$M$28,-2)</f>
        <v>4800</v>
      </c>
      <c r="CC123">
        <f>IF(ROUND(Grandview_Inventory[[#This Row],[adj_res]]*Lookups!$M$28,-2)&lt;Grandview_Inventory[[#This Row],[min_res]],Grandview_Inventory[[#This Row],[min_res]],ROUND(Grandview_Inventory[[#This Row],[adj_res]]*Lookups!$M$28,-2))</f>
        <v>155000</v>
      </c>
      <c r="CD123">
        <f>Grandview_Inventory[[#This Row],[final_det]]+Grandview_Inventory[[#This Row],[final_res]]</f>
        <v>159800</v>
      </c>
      <c r="CE123">
        <f>Grandview_Inventory[[#This Row],[final_land]]+Grandview_Inventory[[#This Row],[final_imp]]+Grandview_Inventory[[#This Row],[crop_value]]</f>
        <v>202300</v>
      </c>
      <c r="CG123" t="str">
        <f t="shared" si="1"/>
        <v>update valuation set market_land =42500, market_bldg=159800, market_total =202300, market_mdno =401, market_date ='9/10/2023' where link_id = (select link_id from parcel where parcel_year = '2024' and parcel_id = '23091433428');</v>
      </c>
    </row>
    <row r="124" spans="1:85" x14ac:dyDescent="0.25">
      <c r="A124">
        <v>23091433429</v>
      </c>
      <c r="B124">
        <v>0.12</v>
      </c>
      <c r="C124">
        <v>5046</v>
      </c>
      <c r="D124" t="s">
        <v>129</v>
      </c>
      <c r="E124" t="s">
        <v>53</v>
      </c>
      <c r="F124" t="s">
        <v>53</v>
      </c>
      <c r="G124">
        <v>4</v>
      </c>
      <c r="H124" t="s">
        <v>54</v>
      </c>
      <c r="I124">
        <v>125200</v>
      </c>
      <c r="J124">
        <v>37700</v>
      </c>
      <c r="K124">
        <v>0.12</v>
      </c>
      <c r="L12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">
        <v>0</v>
      </c>
      <c r="N124">
        <v>0</v>
      </c>
      <c r="O124">
        <v>0</v>
      </c>
      <c r="P124">
        <v>13398.7528</v>
      </c>
      <c r="Q124">
        <v>63903</v>
      </c>
      <c r="R124">
        <f>(Grandview_Inventory[[#This Row],[ln_acres]]*Grandview_Inventory[[#This Row],[coeff]])+Grandview_Inventory[[#This Row],[const]]</f>
        <v>35494.113007601132</v>
      </c>
      <c r="S124" t="s">
        <v>55</v>
      </c>
      <c r="T124">
        <v>2</v>
      </c>
      <c r="U124" t="s">
        <v>80</v>
      </c>
      <c r="V124" t="s">
        <v>69</v>
      </c>
      <c r="W124">
        <v>0</v>
      </c>
      <c r="X124">
        <v>0</v>
      </c>
      <c r="Y124">
        <v>57</v>
      </c>
      <c r="Z124">
        <v>103</v>
      </c>
      <c r="AA124">
        <v>110</v>
      </c>
      <c r="AB124">
        <v>1500</v>
      </c>
      <c r="AC124">
        <v>1212</v>
      </c>
      <c r="AD124">
        <v>624</v>
      </c>
      <c r="AE124">
        <v>588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312</v>
      </c>
      <c r="AL124">
        <v>0</v>
      </c>
      <c r="AM124">
        <v>0</v>
      </c>
      <c r="AN124">
        <v>0</v>
      </c>
      <c r="AO124">
        <v>0</v>
      </c>
      <c r="AP124">
        <v>5</v>
      </c>
      <c r="AQ124">
        <v>0</v>
      </c>
      <c r="AR124">
        <v>0</v>
      </c>
      <c r="AS124" t="s">
        <v>58</v>
      </c>
      <c r="AT124">
        <v>1</v>
      </c>
      <c r="AU124" t="s">
        <v>63</v>
      </c>
      <c r="AV124" t="s">
        <v>64</v>
      </c>
      <c r="AW124">
        <v>0</v>
      </c>
      <c r="AX124">
        <v>3</v>
      </c>
      <c r="AY124">
        <v>0</v>
      </c>
      <c r="AZ124">
        <v>0</v>
      </c>
      <c r="BA124">
        <v>100</v>
      </c>
      <c r="BB124">
        <v>100</v>
      </c>
      <c r="BC124">
        <v>100</v>
      </c>
      <c r="BD124">
        <v>100</v>
      </c>
      <c r="BE124">
        <v>1</v>
      </c>
      <c r="BF124">
        <v>15000</v>
      </c>
      <c r="BG124">
        <v>1000</v>
      </c>
      <c r="BH124" s="6">
        <f>Grandview_Inventory[[#This Row],[land_extract]]*Lookups!$B$3</f>
        <v>41219.217601622076</v>
      </c>
      <c r="BI124" s="6">
        <f>IF(Grandview_Inventory[[#This Row],[bldg_style]]="",0,Lookups!$B$2)</f>
        <v>155833.95000000001</v>
      </c>
      <c r="BJ124" s="6">
        <f>_xlfn.IFNA(VLOOKUP(Grandview_Inventory[[#This Row],[quality]],Lookups!$H$2:$J$14,3,FALSE),0)</f>
        <v>-28558</v>
      </c>
      <c r="BK124" s="6">
        <f>_xlfn.IFNA(VLOOKUP(Grandview_Inventory[[#This Row],[condition]],Lookups!$H$17:$J$24,3,FALSE),0)</f>
        <v>-4503</v>
      </c>
      <c r="BL124" s="6">
        <f>Grandview_Inventory[[#This Row],[Eff_Age]]*Lookups!$B$14</f>
        <v>-13632.4962</v>
      </c>
      <c r="BM124" s="6">
        <f>Grandview_Inventory[[#This Row],[living_area]]*Lookups!$B$15</f>
        <v>75605.593836</v>
      </c>
      <c r="BN124" s="6">
        <f>Grandview_Inventory[[#This Row],[Fin BSMT]]*Lookups!$B$16</f>
        <v>0</v>
      </c>
      <c r="BO124" s="6">
        <f>(Grandview_Inventory[[#This Row],[att_gar]]+Grandview_Inventory[[#This Row],[bltin_gar]])*Lookups!$B$17</f>
        <v>0</v>
      </c>
      <c r="BP124" s="6">
        <f>Grandview_Inventory[[#This Row],[Plumbing Fixtures]]*Lookups!$B$18</f>
        <v>10052.209000000001</v>
      </c>
      <c r="BQ124" s="6">
        <f>Grandview_Inventory[[#This Row],[detatched_value]]*Lookups!$B$19</f>
        <v>0</v>
      </c>
      <c r="BR124" s="6">
        <f>SUM(Grandview_Inventory[[#This Row],[Intercept]:[det_value]])*Grandview_Inventory[[#This Row],[res_pct]]</f>
        <v>194798.25663600003</v>
      </c>
      <c r="BS124" s="6">
        <f>Grandview_Inventory[[#This Row],[land_value]]</f>
        <v>41219.217601622076</v>
      </c>
      <c r="BT124" s="4">
        <f>_xlfn.IFNA(VLOOKUP(Grandview_Inventory[[#This Row],[quality]],Lookups!$A$26:$C$33,3,FALSE),1)</f>
        <v>0.9690360070159818</v>
      </c>
      <c r="BU124" s="4">
        <f>_xlfn.IFNA(VLOOKUP(Grandview_Inventory[[#This Row],[condition]],Lookups!$A$37:$C$44,3,FALSE),1)</f>
        <v>0.96469275950863709</v>
      </c>
      <c r="BV124" s="4">
        <f>IF(Grandview_Inventory[[#This Row],[bldg_style]]="",1,_xlfn.IFNA(VLOOKUP(Grandview_Inventory[[#This Row],[decade]],Lookups!$F$29:$H$43,3,FALSE),1))</f>
        <v>0.92255236374249616</v>
      </c>
      <c r="BW124" s="4">
        <f>_xlfn.IFNA(VLOOKUP(Grandview_Inventory[[#This Row],[living_area_range]],Lookups!$F$47:$H$56,3,FALSE),1)</f>
        <v>0.96135087979789358</v>
      </c>
      <c r="BX124" s="4">
        <f>AVERAGE(Grandview_Inventory[[#This Row],[qual_adj]:[size_adj]])</f>
        <v>0.95440800251625213</v>
      </c>
      <c r="BY124" s="6">
        <f>IF(Grandview_Inventory[[#This Row],[pre_res]]&lt;0,0,Grandview_Inventory[[#This Row],[pre_res]]*Grandview_Inventory[[#This Row],[overall_adj]])</f>
        <v>185917.01500961304</v>
      </c>
      <c r="BZ124" s="6">
        <f>(Grandview_Inventory[[#This Row],[sum_land]]-IF(Grandview_Inventory[[#This Row],[no_utilities]]=1,12000,0))/IF(Grandview_Inventory[[#This Row],[unbuildable]]=1,2,1)</f>
        <v>41219.217601622076</v>
      </c>
      <c r="CA12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">
        <f>ROUND(Grandview_Inventory[[#This Row],[det_value]]*Lookups!$M$28,-2)</f>
        <v>0</v>
      </c>
      <c r="CC124">
        <f>IF(ROUND(Grandview_Inventory[[#This Row],[adj_res]]*Lookups!$M$28,-2)&lt;Grandview_Inventory[[#This Row],[min_res]],Grandview_Inventory[[#This Row],[min_res]],ROUND(Grandview_Inventory[[#This Row],[adj_res]]*Lookups!$M$28,-2))</f>
        <v>176600</v>
      </c>
      <c r="CD124">
        <f>Grandview_Inventory[[#This Row],[final_det]]+Grandview_Inventory[[#This Row],[final_res]]</f>
        <v>176600</v>
      </c>
      <c r="CE124">
        <f>Grandview_Inventory[[#This Row],[final_land]]+Grandview_Inventory[[#This Row],[final_imp]]+Grandview_Inventory[[#This Row],[crop_value]]</f>
        <v>215800</v>
      </c>
      <c r="CG124" t="str">
        <f t="shared" si="1"/>
        <v>update valuation set market_land =39200, market_bldg=176600, market_total =215800, market_mdno =401, market_date ='9/10/2023' where link_id = (select link_id from parcel where parcel_year = '2024' and parcel_id = '23091433429');</v>
      </c>
    </row>
    <row r="125" spans="1:85" x14ac:dyDescent="0.25">
      <c r="A125">
        <v>23091433430</v>
      </c>
      <c r="B125">
        <v>0.11</v>
      </c>
      <c r="C125">
        <v>5009</v>
      </c>
      <c r="D125" t="s">
        <v>129</v>
      </c>
      <c r="E125" t="s">
        <v>53</v>
      </c>
      <c r="F125" t="s">
        <v>53</v>
      </c>
      <c r="G125">
        <v>4</v>
      </c>
      <c r="H125" t="s">
        <v>54</v>
      </c>
      <c r="I125">
        <v>121500</v>
      </c>
      <c r="J125">
        <v>37700</v>
      </c>
      <c r="K125">
        <v>0.11</v>
      </c>
      <c r="L125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25">
        <v>0</v>
      </c>
      <c r="N125">
        <v>0</v>
      </c>
      <c r="O125">
        <v>0</v>
      </c>
      <c r="P125">
        <v>13398.7528</v>
      </c>
      <c r="Q125">
        <v>63903</v>
      </c>
      <c r="R125">
        <f>(Grandview_Inventory[[#This Row],[ln_acres]]*Grandview_Inventory[[#This Row],[coeff]])+Grandview_Inventory[[#This Row],[const]]</f>
        <v>34328.269076529468</v>
      </c>
      <c r="S125" t="s">
        <v>68</v>
      </c>
      <c r="T125">
        <v>1</v>
      </c>
      <c r="U125" t="s">
        <v>70</v>
      </c>
      <c r="V125" t="s">
        <v>69</v>
      </c>
      <c r="W125">
        <v>0</v>
      </c>
      <c r="X125">
        <v>0</v>
      </c>
      <c r="Y125">
        <v>52</v>
      </c>
      <c r="Z125">
        <v>88</v>
      </c>
      <c r="AA125">
        <v>90</v>
      </c>
      <c r="AB125">
        <v>1500</v>
      </c>
      <c r="AC125">
        <v>1131</v>
      </c>
      <c r="AD125">
        <v>1131</v>
      </c>
      <c r="AE125">
        <v>0</v>
      </c>
      <c r="AF125">
        <v>0</v>
      </c>
      <c r="AG125">
        <v>0</v>
      </c>
      <c r="AH125">
        <v>504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5</v>
      </c>
      <c r="AQ125">
        <v>0</v>
      </c>
      <c r="AR125">
        <v>0</v>
      </c>
      <c r="AS125" t="s">
        <v>58</v>
      </c>
      <c r="AT125">
        <v>1</v>
      </c>
      <c r="AU125" t="s">
        <v>63</v>
      </c>
      <c r="AV125" t="s">
        <v>64</v>
      </c>
      <c r="AW125">
        <v>0</v>
      </c>
      <c r="AX125">
        <v>3</v>
      </c>
      <c r="AY125">
        <v>0</v>
      </c>
      <c r="AZ125">
        <v>0</v>
      </c>
      <c r="BA125">
        <v>100</v>
      </c>
      <c r="BB125">
        <v>100</v>
      </c>
      <c r="BC125">
        <v>100</v>
      </c>
      <c r="BD125">
        <v>100</v>
      </c>
      <c r="BE125">
        <v>1</v>
      </c>
      <c r="BF125">
        <v>15000</v>
      </c>
      <c r="BG125">
        <v>1000</v>
      </c>
      <c r="BH125" s="6">
        <f>Grandview_Inventory[[#This Row],[land_extract]]*Lookups!$B$3</f>
        <v>39865.326192247165</v>
      </c>
      <c r="BI125" s="6">
        <f>IF(Grandview_Inventory[[#This Row],[bldg_style]]="",0,Lookups!$B$2)</f>
        <v>155833.95000000001</v>
      </c>
      <c r="BJ125" s="6">
        <f>_xlfn.IFNA(VLOOKUP(Grandview_Inventory[[#This Row],[quality]],Lookups!$H$2:$J$14,3,FALSE),0)</f>
        <v>10733</v>
      </c>
      <c r="BK125" s="6">
        <f>_xlfn.IFNA(VLOOKUP(Grandview_Inventory[[#This Row],[condition]],Lookups!$H$17:$J$24,3,FALSE),0)</f>
        <v>-4503</v>
      </c>
      <c r="BL125" s="6">
        <f>Grandview_Inventory[[#This Row],[Eff_Age]]*Lookups!$B$14</f>
        <v>-12436.663199999999</v>
      </c>
      <c r="BM125" s="6">
        <f>Grandview_Inventory[[#This Row],[living_area]]*Lookups!$B$15</f>
        <v>70552.744743000003</v>
      </c>
      <c r="BN125" s="6">
        <f>Grandview_Inventory[[#This Row],[Fin BSMT]]*Lookups!$B$16</f>
        <v>0</v>
      </c>
      <c r="BO125" s="6">
        <f>(Grandview_Inventory[[#This Row],[att_gar]]+Grandview_Inventory[[#This Row],[bltin_gar]])*Lookups!$B$17</f>
        <v>0</v>
      </c>
      <c r="BP125" s="6">
        <f>Grandview_Inventory[[#This Row],[Plumbing Fixtures]]*Lookups!$B$18</f>
        <v>10052.209000000001</v>
      </c>
      <c r="BQ125" s="6">
        <f>Grandview_Inventory[[#This Row],[detatched_value]]*Lookups!$B$19</f>
        <v>0</v>
      </c>
      <c r="BR125" s="6">
        <f>SUM(Grandview_Inventory[[#This Row],[Intercept]:[det_value]])*Grandview_Inventory[[#This Row],[res_pct]]</f>
        <v>230232.24054300002</v>
      </c>
      <c r="BS125" s="6">
        <f>Grandview_Inventory[[#This Row],[land_value]]</f>
        <v>39865.326192247165</v>
      </c>
      <c r="BT125" s="4">
        <f>_xlfn.IFNA(VLOOKUP(Grandview_Inventory[[#This Row],[quality]],Lookups!$A$26:$C$33,3,FALSE),1)</f>
        <v>0.98079741117310582</v>
      </c>
      <c r="BU125" s="4">
        <f>_xlfn.IFNA(VLOOKUP(Grandview_Inventory[[#This Row],[condition]],Lookups!$A$37:$C$44,3,FALSE),1)</f>
        <v>0.96469275950863709</v>
      </c>
      <c r="BV125" s="4">
        <f>IF(Grandview_Inventory[[#This Row],[bldg_style]]="",1,_xlfn.IFNA(VLOOKUP(Grandview_Inventory[[#This Row],[decade]],Lookups!$F$29:$H$43,3,FALSE),1))</f>
        <v>0.94161750052457416</v>
      </c>
      <c r="BW125" s="4">
        <f>_xlfn.IFNA(VLOOKUP(Grandview_Inventory[[#This Row],[living_area_range]],Lookups!$F$47:$H$56,3,FALSE),1)</f>
        <v>0.96135087979789358</v>
      </c>
      <c r="BX125" s="4">
        <f>AVERAGE(Grandview_Inventory[[#This Row],[qual_adj]:[size_adj]])</f>
        <v>0.96211463775105266</v>
      </c>
      <c r="BY125" s="6">
        <f>IF(Grandview_Inventory[[#This Row],[pre_res]]&lt;0,0,Grandview_Inventory[[#This Row],[pre_res]]*Grandview_Inventory[[#This Row],[overall_adj]])</f>
        <v>221509.80870864168</v>
      </c>
      <c r="BZ125" s="6">
        <f>(Grandview_Inventory[[#This Row],[sum_land]]-IF(Grandview_Inventory[[#This Row],[no_utilities]]=1,12000,0))/IF(Grandview_Inventory[[#This Row],[unbuildable]]=1,2,1)</f>
        <v>39865.326192247165</v>
      </c>
      <c r="CA125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25">
        <f>ROUND(Grandview_Inventory[[#This Row],[det_value]]*Lookups!$M$28,-2)</f>
        <v>0</v>
      </c>
      <c r="CC125">
        <f>IF(ROUND(Grandview_Inventory[[#This Row],[adj_res]]*Lookups!$M$28,-2)&lt;Grandview_Inventory[[#This Row],[min_res]],Grandview_Inventory[[#This Row],[min_res]],ROUND(Grandview_Inventory[[#This Row],[adj_res]]*Lookups!$M$28,-2))</f>
        <v>210400</v>
      </c>
      <c r="CD125">
        <f>Grandview_Inventory[[#This Row],[final_det]]+Grandview_Inventory[[#This Row],[final_res]]</f>
        <v>210400</v>
      </c>
      <c r="CE125">
        <f>Grandview_Inventory[[#This Row],[final_land]]+Grandview_Inventory[[#This Row],[final_imp]]+Grandview_Inventory[[#This Row],[crop_value]]</f>
        <v>248300</v>
      </c>
      <c r="CG125" t="str">
        <f t="shared" si="1"/>
        <v>update valuation set market_land =37900, market_bldg=210400, market_total =248300, market_mdno =401, market_date ='9/10/2023' where link_id = (select link_id from parcel where parcel_year = '2024' and parcel_id = '23091433430');</v>
      </c>
    </row>
    <row r="126" spans="1:85" x14ac:dyDescent="0.25">
      <c r="A126">
        <v>23091433431</v>
      </c>
      <c r="B126">
        <v>0.11</v>
      </c>
      <c r="C126">
        <v>4785</v>
      </c>
      <c r="D126" t="s">
        <v>129</v>
      </c>
      <c r="E126" t="s">
        <v>53</v>
      </c>
      <c r="F126" t="s">
        <v>53</v>
      </c>
      <c r="G126">
        <v>4</v>
      </c>
      <c r="H126" t="s">
        <v>54</v>
      </c>
      <c r="I126">
        <v>92600</v>
      </c>
      <c r="J126">
        <v>37700</v>
      </c>
      <c r="K126">
        <v>0.11</v>
      </c>
      <c r="L126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26">
        <v>0</v>
      </c>
      <c r="N126">
        <v>0</v>
      </c>
      <c r="O126">
        <v>0</v>
      </c>
      <c r="P126">
        <v>13398.7528</v>
      </c>
      <c r="Q126">
        <v>63903</v>
      </c>
      <c r="R126">
        <f>(Grandview_Inventory[[#This Row],[ln_acres]]*Grandview_Inventory[[#This Row],[coeff]])+Grandview_Inventory[[#This Row],[const]]</f>
        <v>34328.269076529468</v>
      </c>
      <c r="S126" t="s">
        <v>68</v>
      </c>
      <c r="T126">
        <v>1</v>
      </c>
      <c r="U126" t="s">
        <v>80</v>
      </c>
      <c r="V126" t="s">
        <v>69</v>
      </c>
      <c r="W126">
        <v>0</v>
      </c>
      <c r="X126">
        <v>0</v>
      </c>
      <c r="Y126">
        <v>51</v>
      </c>
      <c r="Z126">
        <v>83</v>
      </c>
      <c r="AA126">
        <v>90</v>
      </c>
      <c r="AB126">
        <v>1000</v>
      </c>
      <c r="AC126">
        <v>588</v>
      </c>
      <c r="AD126">
        <v>588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224</v>
      </c>
      <c r="AN126">
        <v>0</v>
      </c>
      <c r="AO126">
        <v>0</v>
      </c>
      <c r="AP126">
        <v>5</v>
      </c>
      <c r="AQ126">
        <v>0</v>
      </c>
      <c r="AR126">
        <v>0</v>
      </c>
      <c r="AS126" t="s">
        <v>58</v>
      </c>
      <c r="AT126">
        <v>0</v>
      </c>
      <c r="AU126" t="s">
        <v>134</v>
      </c>
      <c r="AV126" t="s">
        <v>138</v>
      </c>
      <c r="AW126">
        <v>0</v>
      </c>
      <c r="AX126">
        <v>2</v>
      </c>
      <c r="AY126">
        <v>0</v>
      </c>
      <c r="AZ126">
        <v>0</v>
      </c>
      <c r="BA126">
        <v>100</v>
      </c>
      <c r="BB126">
        <v>100</v>
      </c>
      <c r="BC126">
        <v>100</v>
      </c>
      <c r="BD126">
        <v>100</v>
      </c>
      <c r="BE126">
        <v>1</v>
      </c>
      <c r="BF126">
        <v>15000</v>
      </c>
      <c r="BG126">
        <v>1000</v>
      </c>
      <c r="BH126" s="6">
        <f>Grandview_Inventory[[#This Row],[land_extract]]*Lookups!$B$3</f>
        <v>39865.326192247165</v>
      </c>
      <c r="BI126" s="6">
        <f>IF(Grandview_Inventory[[#This Row],[bldg_style]]="",0,Lookups!$B$2)</f>
        <v>155833.95000000001</v>
      </c>
      <c r="BJ126" s="6">
        <f>_xlfn.IFNA(VLOOKUP(Grandview_Inventory[[#This Row],[quality]],Lookups!$H$2:$J$14,3,FALSE),0)</f>
        <v>-28558</v>
      </c>
      <c r="BK126" s="6">
        <f>_xlfn.IFNA(VLOOKUP(Grandview_Inventory[[#This Row],[condition]],Lookups!$H$17:$J$24,3,FALSE),0)</f>
        <v>-4503</v>
      </c>
      <c r="BL126" s="6">
        <f>Grandview_Inventory[[#This Row],[Eff_Age]]*Lookups!$B$14</f>
        <v>-12197.496599999999</v>
      </c>
      <c r="BM126" s="6">
        <f>Grandview_Inventory[[#This Row],[living_area]]*Lookups!$B$15</f>
        <v>36679.941564000001</v>
      </c>
      <c r="BN126" s="6">
        <f>Grandview_Inventory[[#This Row],[Fin BSMT]]*Lookups!$B$16</f>
        <v>0</v>
      </c>
      <c r="BO126" s="6">
        <f>(Grandview_Inventory[[#This Row],[att_gar]]+Grandview_Inventory[[#This Row],[bltin_gar]])*Lookups!$B$17</f>
        <v>0</v>
      </c>
      <c r="BP126" s="6">
        <f>Grandview_Inventory[[#This Row],[Plumbing Fixtures]]*Lookups!$B$18</f>
        <v>10052.209000000001</v>
      </c>
      <c r="BQ126" s="6">
        <f>Grandview_Inventory[[#This Row],[detatched_value]]*Lookups!$B$19</f>
        <v>0</v>
      </c>
      <c r="BR126" s="6">
        <f>SUM(Grandview_Inventory[[#This Row],[Intercept]:[det_value]])*Grandview_Inventory[[#This Row],[res_pct]]</f>
        <v>157307.60396400001</v>
      </c>
      <c r="BS126" s="6">
        <f>Grandview_Inventory[[#This Row],[land_value]]</f>
        <v>39865.326192247165</v>
      </c>
      <c r="BT126" s="4">
        <f>_xlfn.IFNA(VLOOKUP(Grandview_Inventory[[#This Row],[quality]],Lookups!$A$26:$C$33,3,FALSE),1)</f>
        <v>0.9690360070159818</v>
      </c>
      <c r="BU126" s="4">
        <f>_xlfn.IFNA(VLOOKUP(Grandview_Inventory[[#This Row],[condition]],Lookups!$A$37:$C$44,3,FALSE),1)</f>
        <v>0.96469275950863709</v>
      </c>
      <c r="BV126" s="4">
        <f>IF(Grandview_Inventory[[#This Row],[bldg_style]]="",1,_xlfn.IFNA(VLOOKUP(Grandview_Inventory[[#This Row],[decade]],Lookups!$F$29:$H$43,3,FALSE),1))</f>
        <v>0.94161750052457416</v>
      </c>
      <c r="BW126" s="4">
        <f>_xlfn.IFNA(VLOOKUP(Grandview_Inventory[[#This Row],[living_area_range]],Lookups!$F$47:$H$56,3,FALSE),1)</f>
        <v>0.94306777142782894</v>
      </c>
      <c r="BX126" s="4">
        <f>AVERAGE(Grandview_Inventory[[#This Row],[qual_adj]:[size_adj]])</f>
        <v>0.95460350961925544</v>
      </c>
      <c r="BY126" s="6">
        <f>IF(Grandview_Inventory[[#This Row],[pre_res]]&lt;0,0,Grandview_Inventory[[#This Row],[pre_res]]*Grandview_Inventory[[#This Row],[overall_adj]])</f>
        <v>150166.39083383032</v>
      </c>
      <c r="BZ126" s="6">
        <f>(Grandview_Inventory[[#This Row],[sum_land]]-IF(Grandview_Inventory[[#This Row],[no_utilities]]=1,12000,0))/IF(Grandview_Inventory[[#This Row],[unbuildable]]=1,2,1)</f>
        <v>39865.326192247165</v>
      </c>
      <c r="CA126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26">
        <f>ROUND(Grandview_Inventory[[#This Row],[det_value]]*Lookups!$M$28,-2)</f>
        <v>0</v>
      </c>
      <c r="CC126">
        <f>IF(ROUND(Grandview_Inventory[[#This Row],[adj_res]]*Lookups!$M$28,-2)&lt;Grandview_Inventory[[#This Row],[min_res]],Grandview_Inventory[[#This Row],[min_res]],ROUND(Grandview_Inventory[[#This Row],[adj_res]]*Lookups!$M$28,-2))</f>
        <v>142700</v>
      </c>
      <c r="CD126">
        <f>Grandview_Inventory[[#This Row],[final_det]]+Grandview_Inventory[[#This Row],[final_res]]</f>
        <v>142700</v>
      </c>
      <c r="CE126">
        <f>Grandview_Inventory[[#This Row],[final_land]]+Grandview_Inventory[[#This Row],[final_imp]]+Grandview_Inventory[[#This Row],[crop_value]]</f>
        <v>180600</v>
      </c>
      <c r="CG126" t="str">
        <f t="shared" si="1"/>
        <v>update valuation set market_land =37900, market_bldg=142700, market_total =180600, market_mdno =401, market_date ='9/10/2023' where link_id = (select link_id from parcel where parcel_year = '2024' and parcel_id = '23091433431');</v>
      </c>
    </row>
    <row r="127" spans="1:85" x14ac:dyDescent="0.25">
      <c r="A127">
        <v>23091433433</v>
      </c>
      <c r="B127">
        <v>0.13</v>
      </c>
      <c r="C127">
        <v>5815</v>
      </c>
      <c r="D127" t="s">
        <v>129</v>
      </c>
      <c r="E127" t="s">
        <v>53</v>
      </c>
      <c r="F127" t="s">
        <v>53</v>
      </c>
      <c r="G127">
        <v>4</v>
      </c>
      <c r="H127" t="s">
        <v>54</v>
      </c>
      <c r="I127">
        <v>135800</v>
      </c>
      <c r="J127">
        <v>38300</v>
      </c>
      <c r="K127">
        <v>0.13</v>
      </c>
      <c r="L127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27">
        <v>0</v>
      </c>
      <c r="N127">
        <v>0</v>
      </c>
      <c r="O127">
        <v>0</v>
      </c>
      <c r="P127">
        <v>13398.7528</v>
      </c>
      <c r="Q127">
        <v>63903</v>
      </c>
      <c r="R127">
        <f>(Grandview_Inventory[[#This Row],[ln_acres]]*Grandview_Inventory[[#This Row],[coeff]])+Grandview_Inventory[[#This Row],[const]]</f>
        <v>36566.585461161507</v>
      </c>
      <c r="S127" t="s">
        <v>61</v>
      </c>
      <c r="T127">
        <v>1</v>
      </c>
      <c r="U127" t="s">
        <v>70</v>
      </c>
      <c r="V127" t="s">
        <v>78</v>
      </c>
      <c r="W127">
        <v>0</v>
      </c>
      <c r="X127">
        <v>0</v>
      </c>
      <c r="Y127">
        <v>50</v>
      </c>
      <c r="Z127">
        <v>73</v>
      </c>
      <c r="AA127">
        <v>80</v>
      </c>
      <c r="AB127">
        <v>1500</v>
      </c>
      <c r="AC127">
        <v>1320</v>
      </c>
      <c r="AD127">
        <v>1320</v>
      </c>
      <c r="AE127">
        <v>0</v>
      </c>
      <c r="AF127">
        <v>0</v>
      </c>
      <c r="AG127">
        <v>0</v>
      </c>
      <c r="AH127">
        <v>0</v>
      </c>
      <c r="AI127">
        <v>336</v>
      </c>
      <c r="AJ127">
        <v>0</v>
      </c>
      <c r="AK127">
        <v>0</v>
      </c>
      <c r="AL127">
        <v>96</v>
      </c>
      <c r="AM127">
        <v>0</v>
      </c>
      <c r="AN127">
        <v>40</v>
      </c>
      <c r="AO127">
        <v>0</v>
      </c>
      <c r="AP127">
        <v>5</v>
      </c>
      <c r="AQ127">
        <v>0</v>
      </c>
      <c r="AR127">
        <v>0</v>
      </c>
      <c r="AS127" t="s">
        <v>58</v>
      </c>
      <c r="AT127">
        <v>1</v>
      </c>
      <c r="AU127" t="s">
        <v>75</v>
      </c>
      <c r="AV127" t="s">
        <v>60</v>
      </c>
      <c r="AW127">
        <v>0</v>
      </c>
      <c r="AX127">
        <v>3</v>
      </c>
      <c r="AY127">
        <v>0</v>
      </c>
      <c r="AZ127">
        <v>1000</v>
      </c>
      <c r="BA127">
        <v>100</v>
      </c>
      <c r="BB127">
        <v>100</v>
      </c>
      <c r="BC127">
        <v>100</v>
      </c>
      <c r="BD127">
        <v>100</v>
      </c>
      <c r="BE127">
        <v>1</v>
      </c>
      <c r="BF127">
        <v>15000</v>
      </c>
      <c r="BG127">
        <v>1000</v>
      </c>
      <c r="BH127" s="6">
        <f>Grandview_Inventory[[#This Row],[land_extract]]*Lookups!$B$3</f>
        <v>42464.67696626611</v>
      </c>
      <c r="BI127" s="6">
        <f>IF(Grandview_Inventory[[#This Row],[bldg_style]]="",0,Lookups!$B$2)</f>
        <v>155833.95000000001</v>
      </c>
      <c r="BJ127" s="6">
        <f>_xlfn.IFNA(VLOOKUP(Grandview_Inventory[[#This Row],[quality]],Lookups!$H$2:$J$14,3,FALSE),0)</f>
        <v>10733</v>
      </c>
      <c r="BK127" s="6">
        <f>_xlfn.IFNA(VLOOKUP(Grandview_Inventory[[#This Row],[condition]],Lookups!$H$17:$J$24,3,FALSE),0)</f>
        <v>-45357</v>
      </c>
      <c r="BL127" s="6">
        <f>Grandview_Inventory[[#This Row],[Eff_Age]]*Lookups!$B$14</f>
        <v>-11958.33</v>
      </c>
      <c r="BM127" s="6">
        <f>Grandview_Inventory[[#This Row],[living_area]]*Lookups!$B$15</f>
        <v>82342.725959999996</v>
      </c>
      <c r="BN127" s="6">
        <f>Grandview_Inventory[[#This Row],[Fin BSMT]]*Lookups!$B$16</f>
        <v>0</v>
      </c>
      <c r="BO127" s="6">
        <f>(Grandview_Inventory[[#This Row],[att_gar]]+Grandview_Inventory[[#This Row],[bltin_gar]])*Lookups!$B$17</f>
        <v>29406.866832</v>
      </c>
      <c r="BP127" s="6">
        <f>Grandview_Inventory[[#This Row],[Plumbing Fixtures]]*Lookups!$B$18</f>
        <v>10052.209000000001</v>
      </c>
      <c r="BQ127" s="6">
        <f>Grandview_Inventory[[#This Row],[detatched_value]]*Lookups!$B$19</f>
        <v>846.80509999999992</v>
      </c>
      <c r="BR127" s="6">
        <f>SUM(Grandview_Inventory[[#This Row],[Intercept]:[det_value]])*Grandview_Inventory[[#This Row],[res_pct]]</f>
        <v>231900.22689200001</v>
      </c>
      <c r="BS127" s="6">
        <f>Grandview_Inventory[[#This Row],[land_value]]</f>
        <v>42464.67696626611</v>
      </c>
      <c r="BT127" s="4">
        <f>_xlfn.IFNA(VLOOKUP(Grandview_Inventory[[#This Row],[quality]],Lookups!$A$26:$C$33,3,FALSE),1)</f>
        <v>0.98079741117310582</v>
      </c>
      <c r="BU127" s="4">
        <f>_xlfn.IFNA(VLOOKUP(Grandview_Inventory[[#This Row],[condition]],Lookups!$A$37:$C$44,3,FALSE),1)</f>
        <v>0.97161819570155394</v>
      </c>
      <c r="BV127" s="4">
        <f>IF(Grandview_Inventory[[#This Row],[bldg_style]]="",1,_xlfn.IFNA(VLOOKUP(Grandview_Inventory[[#This Row],[decade]],Lookups!$F$29:$H$43,3,FALSE),1))</f>
        <v>0.98763256963907298</v>
      </c>
      <c r="BW127" s="4">
        <f>_xlfn.IFNA(VLOOKUP(Grandview_Inventory[[#This Row],[living_area_range]],Lookups!$F$47:$H$56,3,FALSE),1)</f>
        <v>0.96135087979789358</v>
      </c>
      <c r="BX127" s="4">
        <f>AVERAGE(Grandview_Inventory[[#This Row],[qual_adj]:[size_adj]])</f>
        <v>0.97534976407790652</v>
      </c>
      <c r="BY127" s="6">
        <f>IF(Grandview_Inventory[[#This Row],[pre_res]]&lt;0,0,Grandview_Inventory[[#This Row],[pre_res]]*Grandview_Inventory[[#This Row],[overall_adj]])</f>
        <v>226183.83158872521</v>
      </c>
      <c r="BZ127" s="6">
        <f>(Grandview_Inventory[[#This Row],[sum_land]]-IF(Grandview_Inventory[[#This Row],[no_utilities]]=1,12000,0))/IF(Grandview_Inventory[[#This Row],[unbuildable]]=1,2,1)</f>
        <v>42464.67696626611</v>
      </c>
      <c r="CA127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27">
        <f>ROUND(Grandview_Inventory[[#This Row],[det_value]]*Lookups!$M$28,-2)</f>
        <v>800</v>
      </c>
      <c r="CC127">
        <f>IF(ROUND(Grandview_Inventory[[#This Row],[adj_res]]*Lookups!$M$28,-2)&lt;Grandview_Inventory[[#This Row],[min_res]],Grandview_Inventory[[#This Row],[min_res]],ROUND(Grandview_Inventory[[#This Row],[adj_res]]*Lookups!$M$28,-2))</f>
        <v>214900</v>
      </c>
      <c r="CD127">
        <f>Grandview_Inventory[[#This Row],[final_det]]+Grandview_Inventory[[#This Row],[final_res]]</f>
        <v>215700</v>
      </c>
      <c r="CE127">
        <f>Grandview_Inventory[[#This Row],[final_land]]+Grandview_Inventory[[#This Row],[final_imp]]+Grandview_Inventory[[#This Row],[crop_value]]</f>
        <v>256000</v>
      </c>
      <c r="CG127" t="str">
        <f t="shared" si="1"/>
        <v>update valuation set market_land =40300, market_bldg=215700, market_total =256000, market_mdno =401, market_date ='9/10/2023' where link_id = (select link_id from parcel where parcel_year = '2024' and parcel_id = '23091433433');</v>
      </c>
    </row>
    <row r="128" spans="1:85" x14ac:dyDescent="0.25">
      <c r="A128">
        <v>23091433434</v>
      </c>
      <c r="B128">
        <v>0.12</v>
      </c>
      <c r="C128">
        <v>5386</v>
      </c>
      <c r="D128" t="s">
        <v>129</v>
      </c>
      <c r="E128" t="s">
        <v>53</v>
      </c>
      <c r="F128" t="s">
        <v>53</v>
      </c>
      <c r="G128">
        <v>4</v>
      </c>
      <c r="H128" t="s">
        <v>54</v>
      </c>
      <c r="I128">
        <v>136600</v>
      </c>
      <c r="J128">
        <v>37900</v>
      </c>
      <c r="K128">
        <v>0.12</v>
      </c>
      <c r="L12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8">
        <v>0</v>
      </c>
      <c r="N128">
        <v>0</v>
      </c>
      <c r="O128">
        <v>0</v>
      </c>
      <c r="P128">
        <v>13398.7528</v>
      </c>
      <c r="Q128">
        <v>63903</v>
      </c>
      <c r="R128">
        <f>(Grandview_Inventory[[#This Row],[ln_acres]]*Grandview_Inventory[[#This Row],[coeff]])+Grandview_Inventory[[#This Row],[const]]</f>
        <v>35494.113007601132</v>
      </c>
      <c r="S128" t="s">
        <v>68</v>
      </c>
      <c r="T128">
        <v>1</v>
      </c>
      <c r="U128" t="s">
        <v>80</v>
      </c>
      <c r="V128" t="s">
        <v>66</v>
      </c>
      <c r="W128">
        <v>0</v>
      </c>
      <c r="X128">
        <v>0</v>
      </c>
      <c r="Y128">
        <v>50</v>
      </c>
      <c r="Z128">
        <v>73</v>
      </c>
      <c r="AA128">
        <v>80</v>
      </c>
      <c r="AB128">
        <v>1000</v>
      </c>
      <c r="AC128">
        <v>896</v>
      </c>
      <c r="AD128">
        <v>896</v>
      </c>
      <c r="AE128">
        <v>0</v>
      </c>
      <c r="AF128">
        <v>0</v>
      </c>
      <c r="AG128">
        <v>0</v>
      </c>
      <c r="AH128">
        <v>0</v>
      </c>
      <c r="AI128">
        <v>220</v>
      </c>
      <c r="AJ128">
        <v>0</v>
      </c>
      <c r="AK128">
        <v>0</v>
      </c>
      <c r="AL128">
        <v>0</v>
      </c>
      <c r="AM128">
        <v>0</v>
      </c>
      <c r="AN128">
        <v>25</v>
      </c>
      <c r="AO128">
        <v>0</v>
      </c>
      <c r="AP128">
        <v>5</v>
      </c>
      <c r="AQ128">
        <v>0</v>
      </c>
      <c r="AR128">
        <v>0</v>
      </c>
      <c r="AS128" t="s">
        <v>58</v>
      </c>
      <c r="AT128">
        <v>1</v>
      </c>
      <c r="AU128" t="s">
        <v>63</v>
      </c>
      <c r="AV128" t="s">
        <v>64</v>
      </c>
      <c r="AW128">
        <v>0</v>
      </c>
      <c r="AX128">
        <v>2</v>
      </c>
      <c r="AY128">
        <v>0</v>
      </c>
      <c r="AZ128">
        <v>0</v>
      </c>
      <c r="BA128">
        <v>100</v>
      </c>
      <c r="BB128">
        <v>100</v>
      </c>
      <c r="BC128">
        <v>100</v>
      </c>
      <c r="BD128">
        <v>100</v>
      </c>
      <c r="BE128">
        <v>1</v>
      </c>
      <c r="BF128">
        <v>15000</v>
      </c>
      <c r="BG128">
        <v>1000</v>
      </c>
      <c r="BH128" s="6">
        <f>Grandview_Inventory[[#This Row],[land_extract]]*Lookups!$B$3</f>
        <v>41219.217601622076</v>
      </c>
      <c r="BI128" s="6">
        <f>IF(Grandview_Inventory[[#This Row],[bldg_style]]="",0,Lookups!$B$2)</f>
        <v>155833.95000000001</v>
      </c>
      <c r="BJ128" s="6">
        <f>_xlfn.IFNA(VLOOKUP(Grandview_Inventory[[#This Row],[quality]],Lookups!$H$2:$J$14,3,FALSE),0)</f>
        <v>-28558</v>
      </c>
      <c r="BK128" s="6">
        <f>_xlfn.IFNA(VLOOKUP(Grandview_Inventory[[#This Row],[condition]],Lookups!$H$17:$J$24,3,FALSE),0)</f>
        <v>25818</v>
      </c>
      <c r="BL128" s="6">
        <f>Grandview_Inventory[[#This Row],[Eff_Age]]*Lookups!$B$14</f>
        <v>-11958.33</v>
      </c>
      <c r="BM128" s="6">
        <f>Grandview_Inventory[[#This Row],[living_area]]*Lookups!$B$15</f>
        <v>55893.244288000002</v>
      </c>
      <c r="BN128" s="6">
        <f>Grandview_Inventory[[#This Row],[Fin BSMT]]*Lookups!$B$16</f>
        <v>0</v>
      </c>
      <c r="BO128" s="6">
        <f>(Grandview_Inventory[[#This Row],[att_gar]]+Grandview_Inventory[[#This Row],[bltin_gar]])*Lookups!$B$17</f>
        <v>19254.496139999999</v>
      </c>
      <c r="BP128" s="6">
        <f>Grandview_Inventory[[#This Row],[Plumbing Fixtures]]*Lookups!$B$18</f>
        <v>10052.209000000001</v>
      </c>
      <c r="BQ128" s="6">
        <f>Grandview_Inventory[[#This Row],[detatched_value]]*Lookups!$B$19</f>
        <v>0</v>
      </c>
      <c r="BR128" s="6">
        <f>SUM(Grandview_Inventory[[#This Row],[Intercept]:[det_value]])*Grandview_Inventory[[#This Row],[res_pct]]</f>
        <v>226335.56942800005</v>
      </c>
      <c r="BS128" s="6">
        <f>Grandview_Inventory[[#This Row],[land_value]]</f>
        <v>41219.217601622076</v>
      </c>
      <c r="BT128" s="4">
        <f>_xlfn.IFNA(VLOOKUP(Grandview_Inventory[[#This Row],[quality]],Lookups!$A$26:$C$33,3,FALSE),1)</f>
        <v>0.9690360070159818</v>
      </c>
      <c r="BU128" s="4">
        <f>_xlfn.IFNA(VLOOKUP(Grandview_Inventory[[#This Row],[condition]],Lookups!$A$37:$C$44,3,FALSE),1)</f>
        <v>0.96661476234146892</v>
      </c>
      <c r="BV128" s="4">
        <f>IF(Grandview_Inventory[[#This Row],[bldg_style]]="",1,_xlfn.IFNA(VLOOKUP(Grandview_Inventory[[#This Row],[decade]],Lookups!$F$29:$H$43,3,FALSE),1))</f>
        <v>0.98763256963907298</v>
      </c>
      <c r="BW128" s="4">
        <f>_xlfn.IFNA(VLOOKUP(Grandview_Inventory[[#This Row],[living_area_range]],Lookups!$F$47:$H$56,3,FALSE),1)</f>
        <v>0.94306777142782894</v>
      </c>
      <c r="BX128" s="4">
        <f>AVERAGE(Grandview_Inventory[[#This Row],[qual_adj]:[size_adj]])</f>
        <v>0.96658777760608816</v>
      </c>
      <c r="BY128" s="6">
        <f>IF(Grandview_Inventory[[#This Row],[pre_res]]&lt;0,0,Grandview_Inventory[[#This Row],[pre_res]]*Grandview_Inventory[[#This Row],[overall_adj]])</f>
        <v>218773.19504661905</v>
      </c>
      <c r="BZ128" s="6">
        <f>(Grandview_Inventory[[#This Row],[sum_land]]-IF(Grandview_Inventory[[#This Row],[no_utilities]]=1,12000,0))/IF(Grandview_Inventory[[#This Row],[unbuildable]]=1,2,1)</f>
        <v>41219.217601622076</v>
      </c>
      <c r="CA12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8">
        <f>ROUND(Grandview_Inventory[[#This Row],[det_value]]*Lookups!$M$28,-2)</f>
        <v>0</v>
      </c>
      <c r="CC128">
        <f>IF(ROUND(Grandview_Inventory[[#This Row],[adj_res]]*Lookups!$M$28,-2)&lt;Grandview_Inventory[[#This Row],[min_res]],Grandview_Inventory[[#This Row],[min_res]],ROUND(Grandview_Inventory[[#This Row],[adj_res]]*Lookups!$M$28,-2))</f>
        <v>207800</v>
      </c>
      <c r="CD128">
        <f>Grandview_Inventory[[#This Row],[final_det]]+Grandview_Inventory[[#This Row],[final_res]]</f>
        <v>207800</v>
      </c>
      <c r="CE128">
        <f>Grandview_Inventory[[#This Row],[final_land]]+Grandview_Inventory[[#This Row],[final_imp]]+Grandview_Inventory[[#This Row],[crop_value]]</f>
        <v>247000</v>
      </c>
      <c r="CG128" t="str">
        <f t="shared" si="1"/>
        <v>update valuation set market_land =39200, market_bldg=207800, market_total =247000, market_mdno =401, market_date ='9/10/2023' where link_id = (select link_id from parcel where parcel_year = '2024' and parcel_id = '23091433434');</v>
      </c>
    </row>
    <row r="129" spans="1:85" x14ac:dyDescent="0.25">
      <c r="A129">
        <v>23091433435</v>
      </c>
      <c r="B129">
        <v>0.23</v>
      </c>
      <c r="C129">
        <v>9834</v>
      </c>
      <c r="D129" t="s">
        <v>129</v>
      </c>
      <c r="E129" t="s">
        <v>53</v>
      </c>
      <c r="F129" t="s">
        <v>53</v>
      </c>
      <c r="G129">
        <v>4</v>
      </c>
      <c r="H129" t="s">
        <v>54</v>
      </c>
      <c r="I129">
        <v>103300</v>
      </c>
      <c r="J129">
        <v>39500</v>
      </c>
      <c r="K129">
        <v>0.23</v>
      </c>
      <c r="L12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29">
        <v>0</v>
      </c>
      <c r="N129">
        <v>0</v>
      </c>
      <c r="O129">
        <v>0</v>
      </c>
      <c r="P129">
        <v>13398.7528</v>
      </c>
      <c r="Q129">
        <v>63903</v>
      </c>
      <c r="R129">
        <f>(Grandview_Inventory[[#This Row],[ln_acres]]*Grandview_Inventory[[#This Row],[coeff]])+Grandview_Inventory[[#This Row],[const]]</f>
        <v>44211.174981080039</v>
      </c>
      <c r="S129" t="s">
        <v>61</v>
      </c>
      <c r="T129">
        <v>1</v>
      </c>
      <c r="U129" t="s">
        <v>80</v>
      </c>
      <c r="V129" t="s">
        <v>69</v>
      </c>
      <c r="W129">
        <v>0</v>
      </c>
      <c r="X129">
        <v>0</v>
      </c>
      <c r="Y129">
        <v>50</v>
      </c>
      <c r="Z129">
        <v>73</v>
      </c>
      <c r="AA129">
        <v>80</v>
      </c>
      <c r="AB129">
        <v>1000</v>
      </c>
      <c r="AC129">
        <v>894</v>
      </c>
      <c r="AD129">
        <v>894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18</v>
      </c>
      <c r="AO129">
        <v>0</v>
      </c>
      <c r="AP129">
        <v>5</v>
      </c>
      <c r="AQ129">
        <v>0</v>
      </c>
      <c r="AR129">
        <v>0</v>
      </c>
      <c r="AS129" t="s">
        <v>58</v>
      </c>
      <c r="AT129">
        <v>1</v>
      </c>
      <c r="AU129" t="s">
        <v>75</v>
      </c>
      <c r="AV129" t="s">
        <v>60</v>
      </c>
      <c r="AW129">
        <v>0</v>
      </c>
      <c r="AX129">
        <v>3</v>
      </c>
      <c r="AY129">
        <v>0</v>
      </c>
      <c r="AZ129">
        <v>0</v>
      </c>
      <c r="BA129">
        <v>100</v>
      </c>
      <c r="BB129">
        <v>100</v>
      </c>
      <c r="BC129">
        <v>100</v>
      </c>
      <c r="BD129">
        <v>100</v>
      </c>
      <c r="BE129">
        <v>1</v>
      </c>
      <c r="BF129">
        <v>15000</v>
      </c>
      <c r="BG129">
        <v>1000</v>
      </c>
      <c r="BH129" s="6">
        <f>Grandview_Inventory[[#This Row],[land_extract]]*Lookups!$B$3</f>
        <v>51342.318135355803</v>
      </c>
      <c r="BI129" s="6">
        <f>IF(Grandview_Inventory[[#This Row],[bldg_style]]="",0,Lookups!$B$2)</f>
        <v>155833.95000000001</v>
      </c>
      <c r="BJ129" s="6">
        <f>_xlfn.IFNA(VLOOKUP(Grandview_Inventory[[#This Row],[quality]],Lookups!$H$2:$J$14,3,FALSE),0)</f>
        <v>-28558</v>
      </c>
      <c r="BK129" s="6">
        <f>_xlfn.IFNA(VLOOKUP(Grandview_Inventory[[#This Row],[condition]],Lookups!$H$17:$J$24,3,FALSE),0)</f>
        <v>-4503</v>
      </c>
      <c r="BL129" s="6">
        <f>Grandview_Inventory[[#This Row],[Eff_Age]]*Lookups!$B$14</f>
        <v>-11958.33</v>
      </c>
      <c r="BM129" s="6">
        <f>Grandview_Inventory[[#This Row],[living_area]]*Lookups!$B$15</f>
        <v>55768.482582000004</v>
      </c>
      <c r="BN129" s="6">
        <f>Grandview_Inventory[[#This Row],[Fin BSMT]]*Lookups!$B$16</f>
        <v>0</v>
      </c>
      <c r="BO129" s="6">
        <f>(Grandview_Inventory[[#This Row],[att_gar]]+Grandview_Inventory[[#This Row],[bltin_gar]])*Lookups!$B$17</f>
        <v>0</v>
      </c>
      <c r="BP129" s="6">
        <f>Grandview_Inventory[[#This Row],[Plumbing Fixtures]]*Lookups!$B$18</f>
        <v>10052.209000000001</v>
      </c>
      <c r="BQ129" s="6">
        <f>Grandview_Inventory[[#This Row],[detatched_value]]*Lookups!$B$19</f>
        <v>0</v>
      </c>
      <c r="BR129" s="6">
        <f>SUM(Grandview_Inventory[[#This Row],[Intercept]:[det_value]])*Grandview_Inventory[[#This Row],[res_pct]]</f>
        <v>176635.31158200002</v>
      </c>
      <c r="BS129" s="6">
        <f>Grandview_Inventory[[#This Row],[land_value]]</f>
        <v>51342.318135355803</v>
      </c>
      <c r="BT129" s="4">
        <f>_xlfn.IFNA(VLOOKUP(Grandview_Inventory[[#This Row],[quality]],Lookups!$A$26:$C$33,3,FALSE),1)</f>
        <v>0.9690360070159818</v>
      </c>
      <c r="BU129" s="4">
        <f>_xlfn.IFNA(VLOOKUP(Grandview_Inventory[[#This Row],[condition]],Lookups!$A$37:$C$44,3,FALSE),1)</f>
        <v>0.96469275950863709</v>
      </c>
      <c r="BV129" s="4">
        <f>IF(Grandview_Inventory[[#This Row],[bldg_style]]="",1,_xlfn.IFNA(VLOOKUP(Grandview_Inventory[[#This Row],[decade]],Lookups!$F$29:$H$43,3,FALSE),1))</f>
        <v>0.98763256963907298</v>
      </c>
      <c r="BW129" s="4">
        <f>_xlfn.IFNA(VLOOKUP(Grandview_Inventory[[#This Row],[living_area_range]],Lookups!$F$47:$H$56,3,FALSE),1)</f>
        <v>0.94306777142782894</v>
      </c>
      <c r="BX129" s="4">
        <f>AVERAGE(Grandview_Inventory[[#This Row],[qual_adj]:[size_adj]])</f>
        <v>0.96610727689788012</v>
      </c>
      <c r="BY129" s="6">
        <f>IF(Grandview_Inventory[[#This Row],[pre_res]]&lt;0,0,Grandview_Inventory[[#This Row],[pre_res]]*Grandview_Inventory[[#This Row],[overall_adj]])</f>
        <v>170648.65987649464</v>
      </c>
      <c r="BZ129" s="6">
        <f>(Grandview_Inventory[[#This Row],[sum_land]]-IF(Grandview_Inventory[[#This Row],[no_utilities]]=1,12000,0))/IF(Grandview_Inventory[[#This Row],[unbuildable]]=1,2,1)</f>
        <v>51342.318135355803</v>
      </c>
      <c r="CA12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29">
        <f>ROUND(Grandview_Inventory[[#This Row],[det_value]]*Lookups!$M$28,-2)</f>
        <v>0</v>
      </c>
      <c r="CC129">
        <f>IF(ROUND(Grandview_Inventory[[#This Row],[adj_res]]*Lookups!$M$28,-2)&lt;Grandview_Inventory[[#This Row],[min_res]],Grandview_Inventory[[#This Row],[min_res]],ROUND(Grandview_Inventory[[#This Row],[adj_res]]*Lookups!$M$28,-2))</f>
        <v>162100</v>
      </c>
      <c r="CD129">
        <f>Grandview_Inventory[[#This Row],[final_det]]+Grandview_Inventory[[#This Row],[final_res]]</f>
        <v>162100</v>
      </c>
      <c r="CE129">
        <f>Grandview_Inventory[[#This Row],[final_land]]+Grandview_Inventory[[#This Row],[final_imp]]+Grandview_Inventory[[#This Row],[crop_value]]</f>
        <v>210900</v>
      </c>
      <c r="CG129" t="str">
        <f t="shared" si="1"/>
        <v>update valuation set market_land =48800, market_bldg=162100, market_total =210900, market_mdno =401, market_date ='9/10/2023' where link_id = (select link_id from parcel where parcel_year = '2024' and parcel_id = '23091433435');</v>
      </c>
    </row>
    <row r="130" spans="1:85" x14ac:dyDescent="0.25">
      <c r="A130">
        <v>23091433437</v>
      </c>
      <c r="B130">
        <v>0.16</v>
      </c>
      <c r="C130">
        <v>6846</v>
      </c>
      <c r="D130" t="s">
        <v>129</v>
      </c>
      <c r="E130" t="s">
        <v>53</v>
      </c>
      <c r="F130" t="s">
        <v>53</v>
      </c>
      <c r="G130">
        <v>4</v>
      </c>
      <c r="H130" t="s">
        <v>54</v>
      </c>
      <c r="I130">
        <v>161200</v>
      </c>
      <c r="J130">
        <v>38600</v>
      </c>
      <c r="K130">
        <v>0.16</v>
      </c>
      <c r="L13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0">
        <v>0</v>
      </c>
      <c r="N130">
        <v>0</v>
      </c>
      <c r="O130">
        <v>0</v>
      </c>
      <c r="P130">
        <v>13398.7528</v>
      </c>
      <c r="Q130">
        <v>63903</v>
      </c>
      <c r="R130">
        <f>(Grandview_Inventory[[#This Row],[ln_acres]]*Grandview_Inventory[[#This Row],[coeff]])+Grandview_Inventory[[#This Row],[const]]</f>
        <v>39348.693981374228</v>
      </c>
      <c r="S130" t="s">
        <v>55</v>
      </c>
      <c r="T130">
        <v>2</v>
      </c>
      <c r="U130" t="s">
        <v>80</v>
      </c>
      <c r="V130" t="s">
        <v>69</v>
      </c>
      <c r="W130">
        <v>0</v>
      </c>
      <c r="X130">
        <v>0</v>
      </c>
      <c r="Y130">
        <v>50</v>
      </c>
      <c r="Z130">
        <v>76</v>
      </c>
      <c r="AA130">
        <v>80</v>
      </c>
      <c r="AB130">
        <v>2000</v>
      </c>
      <c r="AC130">
        <v>1792</v>
      </c>
      <c r="AD130">
        <v>896</v>
      </c>
      <c r="AE130">
        <v>896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376</v>
      </c>
      <c r="AN130">
        <v>24</v>
      </c>
      <c r="AO130">
        <v>0</v>
      </c>
      <c r="AP130">
        <v>8</v>
      </c>
      <c r="AQ130">
        <v>0</v>
      </c>
      <c r="AR130">
        <v>1</v>
      </c>
      <c r="AS130" t="s">
        <v>58</v>
      </c>
      <c r="AT130">
        <v>1</v>
      </c>
      <c r="AU130" t="s">
        <v>63</v>
      </c>
      <c r="AV130" t="s">
        <v>64</v>
      </c>
      <c r="AW130">
        <v>0</v>
      </c>
      <c r="AX130">
        <v>5</v>
      </c>
      <c r="AY130">
        <v>0</v>
      </c>
      <c r="AZ130">
        <v>0</v>
      </c>
      <c r="BA130">
        <v>100</v>
      </c>
      <c r="BB130">
        <v>100</v>
      </c>
      <c r="BC130">
        <v>100</v>
      </c>
      <c r="BD130">
        <v>100</v>
      </c>
      <c r="BE130">
        <v>1</v>
      </c>
      <c r="BF130">
        <v>15000</v>
      </c>
      <c r="BG130">
        <v>1000</v>
      </c>
      <c r="BH130" s="6">
        <f>Grandview_Inventory[[#This Row],[land_extract]]*Lookups!$B$3</f>
        <v>45695.532079096141</v>
      </c>
      <c r="BI130" s="6">
        <f>IF(Grandview_Inventory[[#This Row],[bldg_style]]="",0,Lookups!$B$2)</f>
        <v>155833.95000000001</v>
      </c>
      <c r="BJ130" s="6">
        <f>_xlfn.IFNA(VLOOKUP(Grandview_Inventory[[#This Row],[quality]],Lookups!$H$2:$J$14,3,FALSE),0)</f>
        <v>-28558</v>
      </c>
      <c r="BK130" s="6">
        <f>_xlfn.IFNA(VLOOKUP(Grandview_Inventory[[#This Row],[condition]],Lookups!$H$17:$J$24,3,FALSE),0)</f>
        <v>-4503</v>
      </c>
      <c r="BL130" s="6">
        <f>Grandview_Inventory[[#This Row],[Eff_Age]]*Lookups!$B$14</f>
        <v>-11958.33</v>
      </c>
      <c r="BM130" s="6">
        <f>Grandview_Inventory[[#This Row],[living_area]]*Lookups!$B$15</f>
        <v>111786.488576</v>
      </c>
      <c r="BN130" s="6">
        <f>Grandview_Inventory[[#This Row],[Fin BSMT]]*Lookups!$B$16</f>
        <v>0</v>
      </c>
      <c r="BO130" s="6">
        <f>(Grandview_Inventory[[#This Row],[att_gar]]+Grandview_Inventory[[#This Row],[bltin_gar]])*Lookups!$B$17</f>
        <v>0</v>
      </c>
      <c r="BP130" s="6">
        <f>Grandview_Inventory[[#This Row],[Plumbing Fixtures]]*Lookups!$B$18</f>
        <v>16083.5344</v>
      </c>
      <c r="BQ130" s="6">
        <f>Grandview_Inventory[[#This Row],[detatched_value]]*Lookups!$B$19</f>
        <v>0</v>
      </c>
      <c r="BR130" s="6">
        <f>SUM(Grandview_Inventory[[#This Row],[Intercept]:[det_value]])*Grandview_Inventory[[#This Row],[res_pct]]</f>
        <v>238684.64297600003</v>
      </c>
      <c r="BS130" s="6">
        <f>Grandview_Inventory[[#This Row],[land_value]]</f>
        <v>45695.532079096141</v>
      </c>
      <c r="BT130" s="4">
        <f>_xlfn.IFNA(VLOOKUP(Grandview_Inventory[[#This Row],[quality]],Lookups!$A$26:$C$33,3,FALSE),1)</f>
        <v>0.9690360070159818</v>
      </c>
      <c r="BU130" s="4">
        <f>_xlfn.IFNA(VLOOKUP(Grandview_Inventory[[#This Row],[condition]],Lookups!$A$37:$C$44,3,FALSE),1)</f>
        <v>0.96469275950863709</v>
      </c>
      <c r="BV130" s="4">
        <f>IF(Grandview_Inventory[[#This Row],[bldg_style]]="",1,_xlfn.IFNA(VLOOKUP(Grandview_Inventory[[#This Row],[decade]],Lookups!$F$29:$H$43,3,FALSE),1))</f>
        <v>0.98763256963907298</v>
      </c>
      <c r="BW130" s="4">
        <f>_xlfn.IFNA(VLOOKUP(Grandview_Inventory[[#This Row],[living_area_range]],Lookups!$F$47:$H$56,3,FALSE),1)</f>
        <v>0.96120133463014379</v>
      </c>
      <c r="BX130" s="4">
        <f>AVERAGE(Grandview_Inventory[[#This Row],[qual_adj]:[size_adj]])</f>
        <v>0.97064066769845891</v>
      </c>
      <c r="BY130" s="6">
        <f>IF(Grandview_Inventory[[#This Row],[pre_res]]&lt;0,0,Grandview_Inventory[[#This Row],[pre_res]]*Grandview_Inventory[[#This Row],[overall_adj]])</f>
        <v>231677.02122759295</v>
      </c>
      <c r="BZ130" s="6">
        <f>(Grandview_Inventory[[#This Row],[sum_land]]-IF(Grandview_Inventory[[#This Row],[no_utilities]]=1,12000,0))/IF(Grandview_Inventory[[#This Row],[unbuildable]]=1,2,1)</f>
        <v>45695.532079096141</v>
      </c>
      <c r="CA13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0">
        <f>ROUND(Grandview_Inventory[[#This Row],[det_value]]*Lookups!$M$28,-2)</f>
        <v>0</v>
      </c>
      <c r="CC130">
        <f>IF(ROUND(Grandview_Inventory[[#This Row],[adj_res]]*Lookups!$M$28,-2)&lt;Grandview_Inventory[[#This Row],[min_res]],Grandview_Inventory[[#This Row],[min_res]],ROUND(Grandview_Inventory[[#This Row],[adj_res]]*Lookups!$M$28,-2))</f>
        <v>220100</v>
      </c>
      <c r="CD130">
        <f>Grandview_Inventory[[#This Row],[final_det]]+Grandview_Inventory[[#This Row],[final_res]]</f>
        <v>220100</v>
      </c>
      <c r="CE130">
        <f>Grandview_Inventory[[#This Row],[final_land]]+Grandview_Inventory[[#This Row],[final_imp]]+Grandview_Inventory[[#This Row],[crop_value]]</f>
        <v>263500</v>
      </c>
      <c r="CG130" t="str">
        <f t="shared" si="1"/>
        <v>update valuation set market_land =43400, market_bldg=220100, market_total =263500, market_mdno =401, market_date ='9/10/2023' where link_id = (select link_id from parcel where parcel_year = '2024' and parcel_id = '23091433437');</v>
      </c>
    </row>
    <row r="131" spans="1:85" x14ac:dyDescent="0.25">
      <c r="A131">
        <v>23091433438</v>
      </c>
      <c r="B131">
        <v>0.13</v>
      </c>
      <c r="C131">
        <v>5724</v>
      </c>
      <c r="D131" t="s">
        <v>129</v>
      </c>
      <c r="E131" t="s">
        <v>53</v>
      </c>
      <c r="F131" t="s">
        <v>53</v>
      </c>
      <c r="G131">
        <v>4</v>
      </c>
      <c r="H131" t="s">
        <v>54</v>
      </c>
      <c r="I131">
        <v>149400</v>
      </c>
      <c r="J131">
        <v>38100</v>
      </c>
      <c r="K131">
        <v>0.13</v>
      </c>
      <c r="L131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31">
        <v>0</v>
      </c>
      <c r="N131">
        <v>0</v>
      </c>
      <c r="O131">
        <v>0</v>
      </c>
      <c r="P131">
        <v>13398.7528</v>
      </c>
      <c r="Q131">
        <v>63903</v>
      </c>
      <c r="R131">
        <f>(Grandview_Inventory[[#This Row],[ln_acres]]*Grandview_Inventory[[#This Row],[coeff]])+Grandview_Inventory[[#This Row],[const]]</f>
        <v>36566.585461161507</v>
      </c>
      <c r="S131" t="s">
        <v>68</v>
      </c>
      <c r="T131">
        <v>1</v>
      </c>
      <c r="U131" t="s">
        <v>70</v>
      </c>
      <c r="V131" t="s">
        <v>67</v>
      </c>
      <c r="W131">
        <v>0</v>
      </c>
      <c r="X131">
        <v>0</v>
      </c>
      <c r="Y131">
        <v>51</v>
      </c>
      <c r="Z131">
        <v>78</v>
      </c>
      <c r="AA131">
        <v>80</v>
      </c>
      <c r="AB131">
        <v>1000</v>
      </c>
      <c r="AC131">
        <v>807</v>
      </c>
      <c r="AD131">
        <v>807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5</v>
      </c>
      <c r="AQ131">
        <v>0</v>
      </c>
      <c r="AR131">
        <v>0</v>
      </c>
      <c r="AS131" t="s">
        <v>58</v>
      </c>
      <c r="AT131">
        <v>1</v>
      </c>
      <c r="AU131" t="s">
        <v>75</v>
      </c>
      <c r="AV131" t="s">
        <v>60</v>
      </c>
      <c r="AW131">
        <v>0</v>
      </c>
      <c r="AX131">
        <v>2</v>
      </c>
      <c r="AY131">
        <v>0</v>
      </c>
      <c r="AZ131">
        <v>5500</v>
      </c>
      <c r="BA131">
        <v>100</v>
      </c>
      <c r="BB131">
        <v>100</v>
      </c>
      <c r="BC131">
        <v>100</v>
      </c>
      <c r="BD131">
        <v>100</v>
      </c>
      <c r="BE131">
        <v>1</v>
      </c>
      <c r="BF131">
        <v>15000</v>
      </c>
      <c r="BG131">
        <v>1000</v>
      </c>
      <c r="BH131" s="6">
        <f>Grandview_Inventory[[#This Row],[land_extract]]*Lookups!$B$3</f>
        <v>42464.67696626611</v>
      </c>
      <c r="BI131" s="6">
        <f>IF(Grandview_Inventory[[#This Row],[bldg_style]]="",0,Lookups!$B$2)</f>
        <v>155833.95000000001</v>
      </c>
      <c r="BJ131" s="6">
        <f>_xlfn.IFNA(VLOOKUP(Grandview_Inventory[[#This Row],[quality]],Lookups!$H$2:$J$14,3,FALSE),0)</f>
        <v>10733</v>
      </c>
      <c r="BK131" s="6">
        <f>_xlfn.IFNA(VLOOKUP(Grandview_Inventory[[#This Row],[condition]],Lookups!$H$17:$J$24,3,FALSE),0)</f>
        <v>22342</v>
      </c>
      <c r="BL131" s="6">
        <f>Grandview_Inventory[[#This Row],[Eff_Age]]*Lookups!$B$14</f>
        <v>-12197.496599999999</v>
      </c>
      <c r="BM131" s="6">
        <f>Grandview_Inventory[[#This Row],[living_area]]*Lookups!$B$15</f>
        <v>50341.348371</v>
      </c>
      <c r="BN131" s="6">
        <f>Grandview_Inventory[[#This Row],[Fin BSMT]]*Lookups!$B$16</f>
        <v>0</v>
      </c>
      <c r="BO131" s="6">
        <f>(Grandview_Inventory[[#This Row],[att_gar]]+Grandview_Inventory[[#This Row],[bltin_gar]])*Lookups!$B$17</f>
        <v>0</v>
      </c>
      <c r="BP131" s="6">
        <f>Grandview_Inventory[[#This Row],[Plumbing Fixtures]]*Lookups!$B$18</f>
        <v>10052.209000000001</v>
      </c>
      <c r="BQ131" s="6">
        <f>Grandview_Inventory[[#This Row],[detatched_value]]*Lookups!$B$19</f>
        <v>4657.4280499999995</v>
      </c>
      <c r="BR131" s="6">
        <f>SUM(Grandview_Inventory[[#This Row],[Intercept]:[det_value]])*Grandview_Inventory[[#This Row],[res_pct]]</f>
        <v>241762.43882099999</v>
      </c>
      <c r="BS131" s="6">
        <f>Grandview_Inventory[[#This Row],[land_value]]</f>
        <v>42464.67696626611</v>
      </c>
      <c r="BT131" s="4">
        <f>_xlfn.IFNA(VLOOKUP(Grandview_Inventory[[#This Row],[quality]],Lookups!$A$26:$C$33,3,FALSE),1)</f>
        <v>0.98079741117310582</v>
      </c>
      <c r="BU131" s="4">
        <f>_xlfn.IFNA(VLOOKUP(Grandview_Inventory[[#This Row],[condition]],Lookups!$A$37:$C$44,3,FALSE),1)</f>
        <v>0.97383723671140243</v>
      </c>
      <c r="BV131" s="4">
        <f>IF(Grandview_Inventory[[#This Row],[bldg_style]]="",1,_xlfn.IFNA(VLOOKUP(Grandview_Inventory[[#This Row],[decade]],Lookups!$F$29:$H$43,3,FALSE),1))</f>
        <v>0.98763256963907298</v>
      </c>
      <c r="BW131" s="4">
        <f>_xlfn.IFNA(VLOOKUP(Grandview_Inventory[[#This Row],[living_area_range]],Lookups!$F$47:$H$56,3,FALSE),1)</f>
        <v>0.94306777142782894</v>
      </c>
      <c r="BX131" s="4">
        <f>AVERAGE(Grandview_Inventory[[#This Row],[qual_adj]:[size_adj]])</f>
        <v>0.97133374723785249</v>
      </c>
      <c r="BY131" s="6">
        <f>IF(Grandview_Inventory[[#This Row],[pre_res]]&lt;0,0,Grandview_Inventory[[#This Row],[pre_res]]*Grandview_Inventory[[#This Row],[overall_adj]])</f>
        <v>234832.01564136398</v>
      </c>
      <c r="BZ131" s="6">
        <f>(Grandview_Inventory[[#This Row],[sum_land]]-IF(Grandview_Inventory[[#This Row],[no_utilities]]=1,12000,0))/IF(Grandview_Inventory[[#This Row],[unbuildable]]=1,2,1)</f>
        <v>42464.67696626611</v>
      </c>
      <c r="CA131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31">
        <f>ROUND(Grandview_Inventory[[#This Row],[det_value]]*Lookups!$M$28,-2)</f>
        <v>4400</v>
      </c>
      <c r="CC131">
        <f>IF(ROUND(Grandview_Inventory[[#This Row],[adj_res]]*Lookups!$M$28,-2)&lt;Grandview_Inventory[[#This Row],[min_res]],Grandview_Inventory[[#This Row],[min_res]],ROUND(Grandview_Inventory[[#This Row],[adj_res]]*Lookups!$M$28,-2))</f>
        <v>223100</v>
      </c>
      <c r="CD131">
        <f>Grandview_Inventory[[#This Row],[final_det]]+Grandview_Inventory[[#This Row],[final_res]]</f>
        <v>227500</v>
      </c>
      <c r="CE131">
        <f>Grandview_Inventory[[#This Row],[final_land]]+Grandview_Inventory[[#This Row],[final_imp]]+Grandview_Inventory[[#This Row],[crop_value]]</f>
        <v>267800</v>
      </c>
      <c r="CG131" t="str">
        <f t="shared" ref="CG131:CG194" si="2">"update valuation set market_land ="&amp;CA131&amp;", market_bldg="&amp;CD131&amp;", market_total ="&amp;CE131&amp;", market_mdno ="&amp;$CG$1&amp;", market_date ='"&amp;TEXT($CH$1,"m/d/yyyy")&amp;"' where link_id = (select link_id from parcel where parcel_year = '2024' and parcel_id = '"&amp;A131&amp;"');"</f>
        <v>update valuation set market_land =40300, market_bldg=227500, market_total =267800, market_mdno =401, market_date ='9/10/2023' where link_id = (select link_id from parcel where parcel_year = '2024' and parcel_id = '23091433438');</v>
      </c>
    </row>
    <row r="132" spans="1:85" x14ac:dyDescent="0.25">
      <c r="A132">
        <v>23091433443</v>
      </c>
      <c r="B132">
        <v>0.11</v>
      </c>
      <c r="C132">
        <v>4808</v>
      </c>
      <c r="D132" t="s">
        <v>129</v>
      </c>
      <c r="E132" t="s">
        <v>53</v>
      </c>
      <c r="F132" t="s">
        <v>53</v>
      </c>
      <c r="G132">
        <v>4</v>
      </c>
      <c r="H132" t="s">
        <v>54</v>
      </c>
      <c r="I132">
        <v>153000</v>
      </c>
      <c r="J132">
        <v>37700</v>
      </c>
      <c r="K132">
        <v>0.11</v>
      </c>
      <c r="L132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32">
        <v>0</v>
      </c>
      <c r="N132">
        <v>0</v>
      </c>
      <c r="O132">
        <v>0</v>
      </c>
      <c r="P132">
        <v>13398.7528</v>
      </c>
      <c r="Q132">
        <v>63903</v>
      </c>
      <c r="R132">
        <f>(Grandview_Inventory[[#This Row],[ln_acres]]*Grandview_Inventory[[#This Row],[coeff]])+Grandview_Inventory[[#This Row],[const]]</f>
        <v>34328.269076529468</v>
      </c>
      <c r="S132" t="s">
        <v>61</v>
      </c>
      <c r="T132">
        <v>1</v>
      </c>
      <c r="U132" t="s">
        <v>80</v>
      </c>
      <c r="V132" t="s">
        <v>67</v>
      </c>
      <c r="W132">
        <v>0</v>
      </c>
      <c r="X132">
        <v>0</v>
      </c>
      <c r="Y132">
        <v>50</v>
      </c>
      <c r="Z132">
        <v>73</v>
      </c>
      <c r="AA132">
        <v>80</v>
      </c>
      <c r="AB132">
        <v>1500</v>
      </c>
      <c r="AC132">
        <v>1036</v>
      </c>
      <c r="AD132">
        <v>1036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192</v>
      </c>
      <c r="AL132">
        <v>0</v>
      </c>
      <c r="AM132">
        <v>192</v>
      </c>
      <c r="AN132">
        <v>0</v>
      </c>
      <c r="AO132">
        <v>0</v>
      </c>
      <c r="AP132">
        <v>5</v>
      </c>
      <c r="AQ132">
        <v>0</v>
      </c>
      <c r="AR132">
        <v>0</v>
      </c>
      <c r="AS132" t="s">
        <v>58</v>
      </c>
      <c r="AT132">
        <v>1</v>
      </c>
      <c r="AU132" t="s">
        <v>75</v>
      </c>
      <c r="AV132" t="s">
        <v>60</v>
      </c>
      <c r="AW132">
        <v>0</v>
      </c>
      <c r="AX132">
        <v>2</v>
      </c>
      <c r="AY132">
        <v>0</v>
      </c>
      <c r="AZ132">
        <v>6300</v>
      </c>
      <c r="BA132">
        <v>100</v>
      </c>
      <c r="BB132">
        <v>100</v>
      </c>
      <c r="BC132">
        <v>100</v>
      </c>
      <c r="BD132">
        <v>100</v>
      </c>
      <c r="BE132">
        <v>1</v>
      </c>
      <c r="BF132">
        <v>15000</v>
      </c>
      <c r="BG132">
        <v>1000</v>
      </c>
      <c r="BH132" s="6">
        <f>Grandview_Inventory[[#This Row],[land_extract]]*Lookups!$B$3</f>
        <v>39865.326192247165</v>
      </c>
      <c r="BI132" s="6">
        <f>IF(Grandview_Inventory[[#This Row],[bldg_style]]="",0,Lookups!$B$2)</f>
        <v>155833.95000000001</v>
      </c>
      <c r="BJ132" s="6">
        <f>_xlfn.IFNA(VLOOKUP(Grandview_Inventory[[#This Row],[quality]],Lookups!$H$2:$J$14,3,FALSE),0)</f>
        <v>-28558</v>
      </c>
      <c r="BK132" s="6">
        <f>_xlfn.IFNA(VLOOKUP(Grandview_Inventory[[#This Row],[condition]],Lookups!$H$17:$J$24,3,FALSE),0)</f>
        <v>22342</v>
      </c>
      <c r="BL132" s="6">
        <f>Grandview_Inventory[[#This Row],[Eff_Age]]*Lookups!$B$14</f>
        <v>-11958.33</v>
      </c>
      <c r="BM132" s="6">
        <f>Grandview_Inventory[[#This Row],[living_area]]*Lookups!$B$15</f>
        <v>64626.563708000001</v>
      </c>
      <c r="BN132" s="6">
        <f>Grandview_Inventory[[#This Row],[Fin BSMT]]*Lookups!$B$16</f>
        <v>0</v>
      </c>
      <c r="BO132" s="6">
        <f>(Grandview_Inventory[[#This Row],[att_gar]]+Grandview_Inventory[[#This Row],[bltin_gar]])*Lookups!$B$17</f>
        <v>0</v>
      </c>
      <c r="BP132" s="6">
        <f>Grandview_Inventory[[#This Row],[Plumbing Fixtures]]*Lookups!$B$18</f>
        <v>10052.209000000001</v>
      </c>
      <c r="BQ132" s="6">
        <f>Grandview_Inventory[[#This Row],[detatched_value]]*Lookups!$B$19</f>
        <v>5334.8721299999997</v>
      </c>
      <c r="BR132" s="6">
        <f>SUM(Grandview_Inventory[[#This Row],[Intercept]:[det_value]])*Grandview_Inventory[[#This Row],[res_pct]]</f>
        <v>217673.26483800003</v>
      </c>
      <c r="BS132" s="6">
        <f>Grandview_Inventory[[#This Row],[land_value]]</f>
        <v>39865.326192247165</v>
      </c>
      <c r="BT132" s="4">
        <f>_xlfn.IFNA(VLOOKUP(Grandview_Inventory[[#This Row],[quality]],Lookups!$A$26:$C$33,3,FALSE),1)</f>
        <v>0.9690360070159818</v>
      </c>
      <c r="BU132" s="4">
        <f>_xlfn.IFNA(VLOOKUP(Grandview_Inventory[[#This Row],[condition]],Lookups!$A$37:$C$44,3,FALSE),1)</f>
        <v>0.97383723671140243</v>
      </c>
      <c r="BV132" s="4">
        <f>IF(Grandview_Inventory[[#This Row],[bldg_style]]="",1,_xlfn.IFNA(VLOOKUP(Grandview_Inventory[[#This Row],[decade]],Lookups!$F$29:$H$43,3,FALSE),1))</f>
        <v>0.98763256963907298</v>
      </c>
      <c r="BW132" s="4">
        <f>_xlfn.IFNA(VLOOKUP(Grandview_Inventory[[#This Row],[living_area_range]],Lookups!$F$47:$H$56,3,FALSE),1)</f>
        <v>0.96135087979789358</v>
      </c>
      <c r="BX132" s="4">
        <f>AVERAGE(Grandview_Inventory[[#This Row],[qual_adj]:[size_adj]])</f>
        <v>0.97296417329108764</v>
      </c>
      <c r="BY132" s="6">
        <f>IF(Grandview_Inventory[[#This Row],[pre_res]]&lt;0,0,Grandview_Inventory[[#This Row],[pre_res]]*Grandview_Inventory[[#This Row],[overall_adj]])</f>
        <v>211788.28817067668</v>
      </c>
      <c r="BZ132" s="6">
        <f>(Grandview_Inventory[[#This Row],[sum_land]]-IF(Grandview_Inventory[[#This Row],[no_utilities]]=1,12000,0))/IF(Grandview_Inventory[[#This Row],[unbuildable]]=1,2,1)</f>
        <v>39865.326192247165</v>
      </c>
      <c r="CA132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32">
        <f>ROUND(Grandview_Inventory[[#This Row],[det_value]]*Lookups!$M$28,-2)</f>
        <v>5100</v>
      </c>
      <c r="CC132">
        <f>IF(ROUND(Grandview_Inventory[[#This Row],[adj_res]]*Lookups!$M$28,-2)&lt;Grandview_Inventory[[#This Row],[min_res]],Grandview_Inventory[[#This Row],[min_res]],ROUND(Grandview_Inventory[[#This Row],[adj_res]]*Lookups!$M$28,-2))</f>
        <v>201200</v>
      </c>
      <c r="CD132">
        <f>Grandview_Inventory[[#This Row],[final_det]]+Grandview_Inventory[[#This Row],[final_res]]</f>
        <v>206300</v>
      </c>
      <c r="CE132">
        <f>Grandview_Inventory[[#This Row],[final_land]]+Grandview_Inventory[[#This Row],[final_imp]]+Grandview_Inventory[[#This Row],[crop_value]]</f>
        <v>244200</v>
      </c>
      <c r="CG132" t="str">
        <f t="shared" si="2"/>
        <v>update valuation set market_land =37900, market_bldg=206300, market_total =244200, market_mdno =401, market_date ='9/10/2023' where link_id = (select link_id from parcel where parcel_year = '2024' and parcel_id = '23091433443');</v>
      </c>
    </row>
    <row r="133" spans="1:85" x14ac:dyDescent="0.25">
      <c r="A133">
        <v>23091433444</v>
      </c>
      <c r="B133">
        <v>0.11</v>
      </c>
      <c r="C133">
        <v>4775</v>
      </c>
      <c r="D133" t="s">
        <v>129</v>
      </c>
      <c r="E133" t="s">
        <v>53</v>
      </c>
      <c r="F133" t="s">
        <v>53</v>
      </c>
      <c r="G133">
        <v>4</v>
      </c>
      <c r="H133" t="s">
        <v>54</v>
      </c>
      <c r="I133">
        <v>95500</v>
      </c>
      <c r="J133">
        <v>37700</v>
      </c>
      <c r="K133">
        <v>0.11</v>
      </c>
      <c r="L133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33">
        <v>0</v>
      </c>
      <c r="N133">
        <v>0</v>
      </c>
      <c r="O133">
        <v>0</v>
      </c>
      <c r="P133">
        <v>13398.7528</v>
      </c>
      <c r="Q133">
        <v>63903</v>
      </c>
      <c r="R133">
        <f>(Grandview_Inventory[[#This Row],[ln_acres]]*Grandview_Inventory[[#This Row],[coeff]])+Grandview_Inventory[[#This Row],[const]]</f>
        <v>34328.269076529468</v>
      </c>
      <c r="S133" t="s">
        <v>61</v>
      </c>
      <c r="T133">
        <v>2</v>
      </c>
      <c r="U133" t="s">
        <v>80</v>
      </c>
      <c r="V133" t="s">
        <v>78</v>
      </c>
      <c r="W133">
        <v>0</v>
      </c>
      <c r="X133">
        <v>0</v>
      </c>
      <c r="Y133">
        <v>50</v>
      </c>
      <c r="Z133">
        <v>73</v>
      </c>
      <c r="AA133">
        <v>80</v>
      </c>
      <c r="AB133">
        <v>1500</v>
      </c>
      <c r="AC133">
        <v>1440</v>
      </c>
      <c r="AD133">
        <v>900</v>
      </c>
      <c r="AE133">
        <v>540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5</v>
      </c>
      <c r="AQ133">
        <v>0</v>
      </c>
      <c r="AR133">
        <v>0</v>
      </c>
      <c r="AS133" t="s">
        <v>58</v>
      </c>
      <c r="AT133">
        <v>1</v>
      </c>
      <c r="AU133" t="s">
        <v>75</v>
      </c>
      <c r="AV133" t="s">
        <v>60</v>
      </c>
      <c r="AW133">
        <v>0</v>
      </c>
      <c r="AX133">
        <v>2</v>
      </c>
      <c r="AY133">
        <v>0</v>
      </c>
      <c r="AZ133">
        <v>0</v>
      </c>
      <c r="BA133">
        <v>100</v>
      </c>
      <c r="BB133">
        <v>100</v>
      </c>
      <c r="BC133">
        <v>100</v>
      </c>
      <c r="BD133">
        <v>100</v>
      </c>
      <c r="BE133">
        <v>1</v>
      </c>
      <c r="BF133">
        <v>15000</v>
      </c>
      <c r="BG133">
        <v>1000</v>
      </c>
      <c r="BH133" s="6">
        <f>Grandview_Inventory[[#This Row],[land_extract]]*Lookups!$B$3</f>
        <v>39865.326192247165</v>
      </c>
      <c r="BI133" s="6">
        <f>IF(Grandview_Inventory[[#This Row],[bldg_style]]="",0,Lookups!$B$2)</f>
        <v>155833.95000000001</v>
      </c>
      <c r="BJ133" s="6">
        <f>_xlfn.IFNA(VLOOKUP(Grandview_Inventory[[#This Row],[quality]],Lookups!$H$2:$J$14,3,FALSE),0)</f>
        <v>-28558</v>
      </c>
      <c r="BK133" s="6">
        <f>_xlfn.IFNA(VLOOKUP(Grandview_Inventory[[#This Row],[condition]],Lookups!$H$17:$J$24,3,FALSE),0)</f>
        <v>-45357</v>
      </c>
      <c r="BL133" s="6">
        <f>Grandview_Inventory[[#This Row],[Eff_Age]]*Lookups!$B$14</f>
        <v>-11958.33</v>
      </c>
      <c r="BM133" s="6">
        <f>Grandview_Inventory[[#This Row],[living_area]]*Lookups!$B$15</f>
        <v>89828.428320000006</v>
      </c>
      <c r="BN133" s="6">
        <f>Grandview_Inventory[[#This Row],[Fin BSMT]]*Lookups!$B$16</f>
        <v>0</v>
      </c>
      <c r="BO133" s="6">
        <f>(Grandview_Inventory[[#This Row],[att_gar]]+Grandview_Inventory[[#This Row],[bltin_gar]])*Lookups!$B$17</f>
        <v>0</v>
      </c>
      <c r="BP133" s="6">
        <f>Grandview_Inventory[[#This Row],[Plumbing Fixtures]]*Lookups!$B$18</f>
        <v>10052.209000000001</v>
      </c>
      <c r="BQ133" s="6">
        <f>Grandview_Inventory[[#This Row],[detatched_value]]*Lookups!$B$19</f>
        <v>0</v>
      </c>
      <c r="BR133" s="6">
        <f>SUM(Grandview_Inventory[[#This Row],[Intercept]:[det_value]])*Grandview_Inventory[[#This Row],[res_pct]]</f>
        <v>169841.25732</v>
      </c>
      <c r="BS133" s="6">
        <f>Grandview_Inventory[[#This Row],[land_value]]</f>
        <v>39865.326192247165</v>
      </c>
      <c r="BT133" s="4">
        <f>_xlfn.IFNA(VLOOKUP(Grandview_Inventory[[#This Row],[quality]],Lookups!$A$26:$C$33,3,FALSE),1)</f>
        <v>0.9690360070159818</v>
      </c>
      <c r="BU133" s="4">
        <f>_xlfn.IFNA(VLOOKUP(Grandview_Inventory[[#This Row],[condition]],Lookups!$A$37:$C$44,3,FALSE),1)</f>
        <v>0.97161819570155394</v>
      </c>
      <c r="BV133" s="4">
        <f>IF(Grandview_Inventory[[#This Row],[bldg_style]]="",1,_xlfn.IFNA(VLOOKUP(Grandview_Inventory[[#This Row],[decade]],Lookups!$F$29:$H$43,3,FALSE),1))</f>
        <v>0.98763256963907298</v>
      </c>
      <c r="BW133" s="4">
        <f>_xlfn.IFNA(VLOOKUP(Grandview_Inventory[[#This Row],[living_area_range]],Lookups!$F$47:$H$56,3,FALSE),1)</f>
        <v>0.96135087979789358</v>
      </c>
      <c r="BX133" s="4">
        <f>AVERAGE(Grandview_Inventory[[#This Row],[qual_adj]:[size_adj]])</f>
        <v>0.9724094130386256</v>
      </c>
      <c r="BY133" s="6">
        <f>IF(Grandview_Inventory[[#This Row],[pre_res]]&lt;0,0,Grandview_Inventory[[#This Row],[pre_res]]*Grandview_Inventory[[#This Row],[overall_adj]])</f>
        <v>165155.23734028338</v>
      </c>
      <c r="BZ133" s="6">
        <f>(Grandview_Inventory[[#This Row],[sum_land]]-IF(Grandview_Inventory[[#This Row],[no_utilities]]=1,12000,0))/IF(Grandview_Inventory[[#This Row],[unbuildable]]=1,2,1)</f>
        <v>39865.326192247165</v>
      </c>
      <c r="CA133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33">
        <f>ROUND(Grandview_Inventory[[#This Row],[det_value]]*Lookups!$M$28,-2)</f>
        <v>0</v>
      </c>
      <c r="CC133">
        <f>IF(ROUND(Grandview_Inventory[[#This Row],[adj_res]]*Lookups!$M$28,-2)&lt;Grandview_Inventory[[#This Row],[min_res]],Grandview_Inventory[[#This Row],[min_res]],ROUND(Grandview_Inventory[[#This Row],[adj_res]]*Lookups!$M$28,-2))</f>
        <v>156900</v>
      </c>
      <c r="CD133">
        <f>Grandview_Inventory[[#This Row],[final_det]]+Grandview_Inventory[[#This Row],[final_res]]</f>
        <v>156900</v>
      </c>
      <c r="CE133">
        <f>Grandview_Inventory[[#This Row],[final_land]]+Grandview_Inventory[[#This Row],[final_imp]]+Grandview_Inventory[[#This Row],[crop_value]]</f>
        <v>194800</v>
      </c>
      <c r="CG133" t="str">
        <f t="shared" si="2"/>
        <v>update valuation set market_land =37900, market_bldg=156900, market_total =194800, market_mdno =401, market_date ='9/10/2023' where link_id = (select link_id from parcel where parcel_year = '2024' and parcel_id = '23091433444');</v>
      </c>
    </row>
    <row r="134" spans="1:85" x14ac:dyDescent="0.25">
      <c r="A134">
        <v>23091433445</v>
      </c>
      <c r="B134">
        <v>0.15</v>
      </c>
      <c r="C134">
        <v>6321</v>
      </c>
      <c r="D134" t="s">
        <v>129</v>
      </c>
      <c r="E134" t="s">
        <v>53</v>
      </c>
      <c r="F134" t="s">
        <v>53</v>
      </c>
      <c r="G134">
        <v>4</v>
      </c>
      <c r="H134" t="s">
        <v>54</v>
      </c>
      <c r="I134">
        <v>107000</v>
      </c>
      <c r="J134">
        <v>38300</v>
      </c>
      <c r="K134">
        <v>0.15</v>
      </c>
      <c r="L134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4">
        <v>0</v>
      </c>
      <c r="N134">
        <v>0</v>
      </c>
      <c r="O134">
        <v>0</v>
      </c>
      <c r="P134">
        <v>13398.7528</v>
      </c>
      <c r="Q134">
        <v>63903</v>
      </c>
      <c r="R134">
        <f>(Grandview_Inventory[[#This Row],[ln_acres]]*Grandview_Inventory[[#This Row],[coeff]])+Grandview_Inventory[[#This Row],[const]]</f>
        <v>38483.958290574345</v>
      </c>
      <c r="S134" t="s">
        <v>61</v>
      </c>
      <c r="T134">
        <v>1</v>
      </c>
      <c r="U134" t="s">
        <v>80</v>
      </c>
      <c r="V134" t="s">
        <v>69</v>
      </c>
      <c r="W134">
        <v>0</v>
      </c>
      <c r="X134">
        <v>0</v>
      </c>
      <c r="Y134">
        <v>50</v>
      </c>
      <c r="Z134">
        <v>75</v>
      </c>
      <c r="AA134">
        <v>80</v>
      </c>
      <c r="AB134">
        <v>1500</v>
      </c>
      <c r="AC134">
        <v>1008</v>
      </c>
      <c r="AD134">
        <v>1008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5</v>
      </c>
      <c r="AQ134">
        <v>0</v>
      </c>
      <c r="AR134">
        <v>0</v>
      </c>
      <c r="AS134" t="s">
        <v>58</v>
      </c>
      <c r="AT134">
        <v>1</v>
      </c>
      <c r="AU134" t="s">
        <v>75</v>
      </c>
      <c r="AV134" t="s">
        <v>60</v>
      </c>
      <c r="AW134">
        <v>0</v>
      </c>
      <c r="AX134">
        <v>2</v>
      </c>
      <c r="AY134">
        <v>0</v>
      </c>
      <c r="AZ134">
        <v>0</v>
      </c>
      <c r="BA134">
        <v>100</v>
      </c>
      <c r="BB134">
        <v>100</v>
      </c>
      <c r="BC134">
        <v>100</v>
      </c>
      <c r="BD134">
        <v>100</v>
      </c>
      <c r="BE134">
        <v>1</v>
      </c>
      <c r="BF134">
        <v>15000</v>
      </c>
      <c r="BG134">
        <v>1000</v>
      </c>
      <c r="BH134" s="6">
        <f>Grandview_Inventory[[#This Row],[land_extract]]*Lookups!$B$3</f>
        <v>44691.316856156598</v>
      </c>
      <c r="BI134" s="6">
        <f>IF(Grandview_Inventory[[#This Row],[bldg_style]]="",0,Lookups!$B$2)</f>
        <v>155833.95000000001</v>
      </c>
      <c r="BJ134" s="6">
        <f>_xlfn.IFNA(VLOOKUP(Grandview_Inventory[[#This Row],[quality]],Lookups!$H$2:$J$14,3,FALSE),0)</f>
        <v>-28558</v>
      </c>
      <c r="BK134" s="6">
        <f>_xlfn.IFNA(VLOOKUP(Grandview_Inventory[[#This Row],[condition]],Lookups!$H$17:$J$24,3,FALSE),0)</f>
        <v>-4503</v>
      </c>
      <c r="BL134" s="6">
        <f>Grandview_Inventory[[#This Row],[Eff_Age]]*Lookups!$B$14</f>
        <v>-11958.33</v>
      </c>
      <c r="BM134" s="6">
        <f>Grandview_Inventory[[#This Row],[living_area]]*Lookups!$B$15</f>
        <v>62879.899824</v>
      </c>
      <c r="BN134" s="6">
        <f>Grandview_Inventory[[#This Row],[Fin BSMT]]*Lookups!$B$16</f>
        <v>0</v>
      </c>
      <c r="BO134" s="6">
        <f>(Grandview_Inventory[[#This Row],[att_gar]]+Grandview_Inventory[[#This Row],[bltin_gar]])*Lookups!$B$17</f>
        <v>0</v>
      </c>
      <c r="BP134" s="6">
        <f>Grandview_Inventory[[#This Row],[Plumbing Fixtures]]*Lookups!$B$18</f>
        <v>10052.209000000001</v>
      </c>
      <c r="BQ134" s="6">
        <f>Grandview_Inventory[[#This Row],[detatched_value]]*Lookups!$B$19</f>
        <v>0</v>
      </c>
      <c r="BR134" s="6">
        <f>SUM(Grandview_Inventory[[#This Row],[Intercept]:[det_value]])*Grandview_Inventory[[#This Row],[res_pct]]</f>
        <v>183746.72882400002</v>
      </c>
      <c r="BS134" s="6">
        <f>Grandview_Inventory[[#This Row],[land_value]]</f>
        <v>44691.316856156598</v>
      </c>
      <c r="BT134" s="4">
        <f>_xlfn.IFNA(VLOOKUP(Grandview_Inventory[[#This Row],[quality]],Lookups!$A$26:$C$33,3,FALSE),1)</f>
        <v>0.9690360070159818</v>
      </c>
      <c r="BU134" s="4">
        <f>_xlfn.IFNA(VLOOKUP(Grandview_Inventory[[#This Row],[condition]],Lookups!$A$37:$C$44,3,FALSE),1)</f>
        <v>0.96469275950863709</v>
      </c>
      <c r="BV134" s="4">
        <f>IF(Grandview_Inventory[[#This Row],[bldg_style]]="",1,_xlfn.IFNA(VLOOKUP(Grandview_Inventory[[#This Row],[decade]],Lookups!$F$29:$H$43,3,FALSE),1))</f>
        <v>0.98763256963907298</v>
      </c>
      <c r="BW134" s="4">
        <f>_xlfn.IFNA(VLOOKUP(Grandview_Inventory[[#This Row],[living_area_range]],Lookups!$F$47:$H$56,3,FALSE),1)</f>
        <v>0.96135087979789358</v>
      </c>
      <c r="BX134" s="4">
        <f>AVERAGE(Grandview_Inventory[[#This Row],[qual_adj]:[size_adj]])</f>
        <v>0.97067805399039631</v>
      </c>
      <c r="BY134" s="6">
        <f>IF(Grandview_Inventory[[#This Row],[pre_res]]&lt;0,0,Grandview_Inventory[[#This Row],[pre_res]]*Grandview_Inventory[[#This Row],[overall_adj]])</f>
        <v>178358.9171619814</v>
      </c>
      <c r="BZ134" s="6">
        <f>(Grandview_Inventory[[#This Row],[sum_land]]-IF(Grandview_Inventory[[#This Row],[no_utilities]]=1,12000,0))/IF(Grandview_Inventory[[#This Row],[unbuildable]]=1,2,1)</f>
        <v>44691.316856156598</v>
      </c>
      <c r="CA134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4">
        <f>ROUND(Grandview_Inventory[[#This Row],[det_value]]*Lookups!$M$28,-2)</f>
        <v>0</v>
      </c>
      <c r="CC134">
        <f>IF(ROUND(Grandview_Inventory[[#This Row],[adj_res]]*Lookups!$M$28,-2)&lt;Grandview_Inventory[[#This Row],[min_res]],Grandview_Inventory[[#This Row],[min_res]],ROUND(Grandview_Inventory[[#This Row],[adj_res]]*Lookups!$M$28,-2))</f>
        <v>169400</v>
      </c>
      <c r="CD134">
        <f>Grandview_Inventory[[#This Row],[final_det]]+Grandview_Inventory[[#This Row],[final_res]]</f>
        <v>169400</v>
      </c>
      <c r="CE134">
        <f>Grandview_Inventory[[#This Row],[final_land]]+Grandview_Inventory[[#This Row],[final_imp]]+Grandview_Inventory[[#This Row],[crop_value]]</f>
        <v>211900</v>
      </c>
      <c r="CG134" t="str">
        <f t="shared" si="2"/>
        <v>update valuation set market_land =42500, market_bldg=169400, market_total =211900, market_mdno =401, market_date ='9/10/2023' where link_id = (select link_id from parcel where parcel_year = '2024' and parcel_id = '23091433445');</v>
      </c>
    </row>
    <row r="135" spans="1:85" x14ac:dyDescent="0.25">
      <c r="A135">
        <v>23091433446</v>
      </c>
      <c r="B135">
        <v>0.12</v>
      </c>
      <c r="C135">
        <v>5168</v>
      </c>
      <c r="D135" t="s">
        <v>129</v>
      </c>
      <c r="E135" t="s">
        <v>53</v>
      </c>
      <c r="F135" t="s">
        <v>53</v>
      </c>
      <c r="G135">
        <v>4</v>
      </c>
      <c r="H135" t="s">
        <v>54</v>
      </c>
      <c r="I135">
        <v>188100</v>
      </c>
      <c r="J135">
        <v>37900</v>
      </c>
      <c r="K135">
        <v>0.12</v>
      </c>
      <c r="L135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35">
        <v>0</v>
      </c>
      <c r="N135">
        <v>0</v>
      </c>
      <c r="O135">
        <v>0</v>
      </c>
      <c r="P135">
        <v>13398.7528</v>
      </c>
      <c r="Q135">
        <v>63903</v>
      </c>
      <c r="R135">
        <f>(Grandview_Inventory[[#This Row],[ln_acres]]*Grandview_Inventory[[#This Row],[coeff]])+Grandview_Inventory[[#This Row],[const]]</f>
        <v>35494.113007601132</v>
      </c>
      <c r="S135" t="s">
        <v>61</v>
      </c>
      <c r="T135">
        <v>1</v>
      </c>
      <c r="U135" t="s">
        <v>70</v>
      </c>
      <c r="V135" t="s">
        <v>66</v>
      </c>
      <c r="W135">
        <v>0</v>
      </c>
      <c r="X135">
        <v>0</v>
      </c>
      <c r="Y135">
        <v>16</v>
      </c>
      <c r="Z135">
        <v>16</v>
      </c>
      <c r="AA135">
        <v>20</v>
      </c>
      <c r="AB135">
        <v>1500</v>
      </c>
      <c r="AC135">
        <v>1125</v>
      </c>
      <c r="AD135">
        <v>1125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50</v>
      </c>
      <c r="AO135">
        <v>0</v>
      </c>
      <c r="AP135">
        <v>8</v>
      </c>
      <c r="AQ135">
        <v>0</v>
      </c>
      <c r="AR135">
        <v>0</v>
      </c>
      <c r="AS135" t="s">
        <v>58</v>
      </c>
      <c r="AT135">
        <v>1</v>
      </c>
      <c r="AU135" t="s">
        <v>75</v>
      </c>
      <c r="AV135" t="s">
        <v>60</v>
      </c>
      <c r="AW135">
        <v>0</v>
      </c>
      <c r="AX135">
        <v>3</v>
      </c>
      <c r="AY135">
        <v>0</v>
      </c>
      <c r="AZ135">
        <v>2100</v>
      </c>
      <c r="BA135">
        <v>100</v>
      </c>
      <c r="BB135">
        <v>100</v>
      </c>
      <c r="BC135">
        <v>100</v>
      </c>
      <c r="BD135">
        <v>100</v>
      </c>
      <c r="BE135">
        <v>1</v>
      </c>
      <c r="BF135">
        <v>15000</v>
      </c>
      <c r="BG135">
        <v>1000</v>
      </c>
      <c r="BH135" s="6">
        <f>Grandview_Inventory[[#This Row],[land_extract]]*Lookups!$B$3</f>
        <v>41219.217601622076</v>
      </c>
      <c r="BI135" s="6">
        <f>IF(Grandview_Inventory[[#This Row],[bldg_style]]="",0,Lookups!$B$2)</f>
        <v>155833.95000000001</v>
      </c>
      <c r="BJ135" s="6">
        <f>_xlfn.IFNA(VLOOKUP(Grandview_Inventory[[#This Row],[quality]],Lookups!$H$2:$J$14,3,FALSE),0)</f>
        <v>10733</v>
      </c>
      <c r="BK135" s="6">
        <f>_xlfn.IFNA(VLOOKUP(Grandview_Inventory[[#This Row],[condition]],Lookups!$H$17:$J$24,3,FALSE),0)</f>
        <v>25818</v>
      </c>
      <c r="BL135" s="6">
        <f>Grandview_Inventory[[#This Row],[Eff_Age]]*Lookups!$B$14</f>
        <v>-3826.6655999999998</v>
      </c>
      <c r="BM135" s="6">
        <f>Grandview_Inventory[[#This Row],[living_area]]*Lookups!$B$15</f>
        <v>70178.459625000003</v>
      </c>
      <c r="BN135" s="6">
        <f>Grandview_Inventory[[#This Row],[Fin BSMT]]*Lookups!$B$16</f>
        <v>0</v>
      </c>
      <c r="BO135" s="6">
        <f>(Grandview_Inventory[[#This Row],[att_gar]]+Grandview_Inventory[[#This Row],[bltin_gar]])*Lookups!$B$17</f>
        <v>0</v>
      </c>
      <c r="BP135" s="6">
        <f>Grandview_Inventory[[#This Row],[Plumbing Fixtures]]*Lookups!$B$18</f>
        <v>16083.5344</v>
      </c>
      <c r="BQ135" s="6">
        <f>Grandview_Inventory[[#This Row],[detatched_value]]*Lookups!$B$19</f>
        <v>1778.29071</v>
      </c>
      <c r="BR135" s="6">
        <f>SUM(Grandview_Inventory[[#This Row],[Intercept]:[det_value]])*Grandview_Inventory[[#This Row],[res_pct]]</f>
        <v>276598.569135</v>
      </c>
      <c r="BS135" s="6">
        <f>Grandview_Inventory[[#This Row],[land_value]]</f>
        <v>41219.217601622076</v>
      </c>
      <c r="BT135" s="4">
        <f>_xlfn.IFNA(VLOOKUP(Grandview_Inventory[[#This Row],[quality]],Lookups!$A$26:$C$33,3,FALSE),1)</f>
        <v>0.98079741117310582</v>
      </c>
      <c r="BU135" s="4">
        <f>_xlfn.IFNA(VLOOKUP(Grandview_Inventory[[#This Row],[condition]],Lookups!$A$37:$C$44,3,FALSE),1)</f>
        <v>0.96661476234146892</v>
      </c>
      <c r="BV135" s="4">
        <f>IF(Grandview_Inventory[[#This Row],[bldg_style]]="",1,_xlfn.IFNA(VLOOKUP(Grandview_Inventory[[#This Row],[decade]],Lookups!$F$29:$H$43,3,FALSE),1))</f>
        <v>0.96737494181490646</v>
      </c>
      <c r="BW135" s="4">
        <f>_xlfn.IFNA(VLOOKUP(Grandview_Inventory[[#This Row],[living_area_range]],Lookups!$F$47:$H$56,3,FALSE),1)</f>
        <v>0.96135087979789358</v>
      </c>
      <c r="BX135" s="4">
        <f>AVERAGE(Grandview_Inventory[[#This Row],[qual_adj]:[size_adj]])</f>
        <v>0.96903449878184367</v>
      </c>
      <c r="BY135" s="6">
        <f>IF(Grandview_Inventory[[#This Row],[pre_res]]&lt;0,0,Grandview_Inventory[[#This Row],[pre_res]]*Grandview_Inventory[[#This Row],[overall_adj]])</f>
        <v>268033.55580550985</v>
      </c>
      <c r="BZ135" s="6">
        <f>(Grandview_Inventory[[#This Row],[sum_land]]-IF(Grandview_Inventory[[#This Row],[no_utilities]]=1,12000,0))/IF(Grandview_Inventory[[#This Row],[unbuildable]]=1,2,1)</f>
        <v>41219.217601622076</v>
      </c>
      <c r="CA135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35">
        <f>ROUND(Grandview_Inventory[[#This Row],[det_value]]*Lookups!$M$28,-2)</f>
        <v>1700</v>
      </c>
      <c r="CC135">
        <f>IF(ROUND(Grandview_Inventory[[#This Row],[adj_res]]*Lookups!$M$28,-2)&lt;Grandview_Inventory[[#This Row],[min_res]],Grandview_Inventory[[#This Row],[min_res]],ROUND(Grandview_Inventory[[#This Row],[adj_res]]*Lookups!$M$28,-2))</f>
        <v>254600</v>
      </c>
      <c r="CD135">
        <f>Grandview_Inventory[[#This Row],[final_det]]+Grandview_Inventory[[#This Row],[final_res]]</f>
        <v>256300</v>
      </c>
      <c r="CE135">
        <f>Grandview_Inventory[[#This Row],[final_land]]+Grandview_Inventory[[#This Row],[final_imp]]+Grandview_Inventory[[#This Row],[crop_value]]</f>
        <v>295500</v>
      </c>
      <c r="CG135" t="str">
        <f t="shared" si="2"/>
        <v>update valuation set market_land =39200, market_bldg=256300, market_total =295500, market_mdno =401, market_date ='9/10/2023' where link_id = (select link_id from parcel where parcel_year = '2024' and parcel_id = '23091433446');</v>
      </c>
    </row>
    <row r="136" spans="1:85" x14ac:dyDescent="0.25">
      <c r="A136">
        <v>23091433447</v>
      </c>
      <c r="B136">
        <v>0.12</v>
      </c>
      <c r="C136">
        <v>5200</v>
      </c>
      <c r="D136" t="s">
        <v>129</v>
      </c>
      <c r="E136" t="s">
        <v>53</v>
      </c>
      <c r="F136" t="s">
        <v>53</v>
      </c>
      <c r="G136">
        <v>4</v>
      </c>
      <c r="H136" t="s">
        <v>54</v>
      </c>
      <c r="I136">
        <v>172300</v>
      </c>
      <c r="J136">
        <v>37900</v>
      </c>
      <c r="K136">
        <v>0.12</v>
      </c>
      <c r="L136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36">
        <v>0</v>
      </c>
      <c r="N136">
        <v>0</v>
      </c>
      <c r="O136">
        <v>0</v>
      </c>
      <c r="P136">
        <v>13398.7528</v>
      </c>
      <c r="Q136">
        <v>63903</v>
      </c>
      <c r="R136">
        <f>(Grandview_Inventory[[#This Row],[ln_acres]]*Grandview_Inventory[[#This Row],[coeff]])+Grandview_Inventory[[#This Row],[const]]</f>
        <v>35494.113007601132</v>
      </c>
      <c r="S136" t="s">
        <v>61</v>
      </c>
      <c r="T136">
        <v>1</v>
      </c>
      <c r="U136" t="s">
        <v>70</v>
      </c>
      <c r="V136" t="s">
        <v>67</v>
      </c>
      <c r="W136">
        <v>0</v>
      </c>
      <c r="X136">
        <v>0</v>
      </c>
      <c r="Y136">
        <v>21</v>
      </c>
      <c r="Z136">
        <v>21</v>
      </c>
      <c r="AA136">
        <v>30</v>
      </c>
      <c r="AB136">
        <v>1000</v>
      </c>
      <c r="AC136">
        <v>960</v>
      </c>
      <c r="AD136">
        <v>960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7</v>
      </c>
      <c r="AQ136">
        <v>0</v>
      </c>
      <c r="AR136">
        <v>0</v>
      </c>
      <c r="AS136" t="s">
        <v>58</v>
      </c>
      <c r="AT136">
        <v>1</v>
      </c>
      <c r="AU136" t="s">
        <v>63</v>
      </c>
      <c r="AV136" t="s">
        <v>60</v>
      </c>
      <c r="AW136">
        <v>0</v>
      </c>
      <c r="AX136">
        <v>3</v>
      </c>
      <c r="AY136">
        <v>0</v>
      </c>
      <c r="AZ136">
        <v>0</v>
      </c>
      <c r="BA136">
        <v>100</v>
      </c>
      <c r="BB136">
        <v>100</v>
      </c>
      <c r="BC136">
        <v>100</v>
      </c>
      <c r="BD136">
        <v>100</v>
      </c>
      <c r="BE136">
        <v>1</v>
      </c>
      <c r="BF136">
        <v>15000</v>
      </c>
      <c r="BG136">
        <v>1000</v>
      </c>
      <c r="BH136" s="6">
        <f>Grandview_Inventory[[#This Row],[land_extract]]*Lookups!$B$3</f>
        <v>41219.217601622076</v>
      </c>
      <c r="BI136" s="6">
        <f>IF(Grandview_Inventory[[#This Row],[bldg_style]]="",0,Lookups!$B$2)</f>
        <v>155833.95000000001</v>
      </c>
      <c r="BJ136" s="6">
        <f>_xlfn.IFNA(VLOOKUP(Grandview_Inventory[[#This Row],[quality]],Lookups!$H$2:$J$14,3,FALSE),0)</f>
        <v>10733</v>
      </c>
      <c r="BK136" s="6">
        <f>_xlfn.IFNA(VLOOKUP(Grandview_Inventory[[#This Row],[condition]],Lookups!$H$17:$J$24,3,FALSE),0)</f>
        <v>22342</v>
      </c>
      <c r="BL136" s="6">
        <f>Grandview_Inventory[[#This Row],[Eff_Age]]*Lookups!$B$14</f>
        <v>-5022.4985999999999</v>
      </c>
      <c r="BM136" s="6">
        <f>Grandview_Inventory[[#This Row],[living_area]]*Lookups!$B$15</f>
        <v>59885.618880000002</v>
      </c>
      <c r="BN136" s="6">
        <f>Grandview_Inventory[[#This Row],[Fin BSMT]]*Lookups!$B$16</f>
        <v>0</v>
      </c>
      <c r="BO136" s="6">
        <f>(Grandview_Inventory[[#This Row],[att_gar]]+Grandview_Inventory[[#This Row],[bltin_gar]])*Lookups!$B$17</f>
        <v>0</v>
      </c>
      <c r="BP136" s="6">
        <f>Grandview_Inventory[[#This Row],[Plumbing Fixtures]]*Lookups!$B$18</f>
        <v>14073.0926</v>
      </c>
      <c r="BQ136" s="6">
        <f>Grandview_Inventory[[#This Row],[detatched_value]]*Lookups!$B$19</f>
        <v>0</v>
      </c>
      <c r="BR136" s="6">
        <f>SUM(Grandview_Inventory[[#This Row],[Intercept]:[det_value]])*Grandview_Inventory[[#This Row],[res_pct]]</f>
        <v>257845.16288000002</v>
      </c>
      <c r="BS136" s="6">
        <f>Grandview_Inventory[[#This Row],[land_value]]</f>
        <v>41219.217601622076</v>
      </c>
      <c r="BT136" s="4">
        <f>_xlfn.IFNA(VLOOKUP(Grandview_Inventory[[#This Row],[quality]],Lookups!$A$26:$C$33,3,FALSE),1)</f>
        <v>0.98079741117310582</v>
      </c>
      <c r="BU136" s="4">
        <f>_xlfn.IFNA(VLOOKUP(Grandview_Inventory[[#This Row],[condition]],Lookups!$A$37:$C$44,3,FALSE),1)</f>
        <v>0.97383723671140243</v>
      </c>
      <c r="BV136" s="4">
        <f>IF(Grandview_Inventory[[#This Row],[bldg_style]]="",1,_xlfn.IFNA(VLOOKUP(Grandview_Inventory[[#This Row],[decade]],Lookups!$F$29:$H$43,3,FALSE),1))</f>
        <v>0.98397821291089549</v>
      </c>
      <c r="BW136" s="4">
        <f>_xlfn.IFNA(VLOOKUP(Grandview_Inventory[[#This Row],[living_area_range]],Lookups!$F$47:$H$56,3,FALSE),1)</f>
        <v>0.94306777142782894</v>
      </c>
      <c r="BX136" s="4">
        <f>AVERAGE(Grandview_Inventory[[#This Row],[qual_adj]:[size_adj]])</f>
        <v>0.97042015805580817</v>
      </c>
      <c r="BY136" s="6">
        <f>IF(Grandview_Inventory[[#This Row],[pre_res]]&lt;0,0,Grandview_Inventory[[#This Row],[pre_res]]*Grandview_Inventory[[#This Row],[overall_adj]])</f>
        <v>250218.14371593521</v>
      </c>
      <c r="BZ136" s="6">
        <f>(Grandview_Inventory[[#This Row],[sum_land]]-IF(Grandview_Inventory[[#This Row],[no_utilities]]=1,12000,0))/IF(Grandview_Inventory[[#This Row],[unbuildable]]=1,2,1)</f>
        <v>41219.217601622076</v>
      </c>
      <c r="CA136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36">
        <f>ROUND(Grandview_Inventory[[#This Row],[det_value]]*Lookups!$M$28,-2)</f>
        <v>0</v>
      </c>
      <c r="CC136">
        <f>IF(ROUND(Grandview_Inventory[[#This Row],[adj_res]]*Lookups!$M$28,-2)&lt;Grandview_Inventory[[#This Row],[min_res]],Grandview_Inventory[[#This Row],[min_res]],ROUND(Grandview_Inventory[[#This Row],[adj_res]]*Lookups!$M$28,-2))</f>
        <v>237700</v>
      </c>
      <c r="CD136">
        <f>Grandview_Inventory[[#This Row],[final_det]]+Grandview_Inventory[[#This Row],[final_res]]</f>
        <v>237700</v>
      </c>
      <c r="CE136">
        <f>Grandview_Inventory[[#This Row],[final_land]]+Grandview_Inventory[[#This Row],[final_imp]]+Grandview_Inventory[[#This Row],[crop_value]]</f>
        <v>276900</v>
      </c>
      <c r="CG136" t="str">
        <f t="shared" si="2"/>
        <v>update valuation set market_land =39200, market_bldg=237700, market_total =276900, market_mdno =401, market_date ='9/10/2023' where link_id = (select link_id from parcel where parcel_year = '2024' and parcel_id = '23091433447');</v>
      </c>
    </row>
    <row r="137" spans="1:85" x14ac:dyDescent="0.25">
      <c r="A137">
        <v>23091433448</v>
      </c>
      <c r="B137">
        <v>0.11</v>
      </c>
      <c r="C137">
        <v>4890</v>
      </c>
      <c r="D137" t="s">
        <v>129</v>
      </c>
      <c r="E137" t="s">
        <v>53</v>
      </c>
      <c r="F137" t="s">
        <v>53</v>
      </c>
      <c r="G137">
        <v>4</v>
      </c>
      <c r="H137" t="s">
        <v>54</v>
      </c>
      <c r="I137">
        <v>158000</v>
      </c>
      <c r="J137">
        <v>37700</v>
      </c>
      <c r="K137">
        <v>0.11</v>
      </c>
      <c r="L137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37">
        <v>0</v>
      </c>
      <c r="N137">
        <v>0</v>
      </c>
      <c r="O137">
        <v>0</v>
      </c>
      <c r="P137">
        <v>13398.7528</v>
      </c>
      <c r="Q137">
        <v>63903</v>
      </c>
      <c r="R137">
        <f>(Grandview_Inventory[[#This Row],[ln_acres]]*Grandview_Inventory[[#This Row],[coeff]])+Grandview_Inventory[[#This Row],[const]]</f>
        <v>34328.269076529468</v>
      </c>
      <c r="S137" t="s">
        <v>61</v>
      </c>
      <c r="T137">
        <v>1</v>
      </c>
      <c r="U137" t="s">
        <v>70</v>
      </c>
      <c r="V137" t="s">
        <v>69</v>
      </c>
      <c r="W137">
        <v>0</v>
      </c>
      <c r="X137">
        <v>0</v>
      </c>
      <c r="Y137">
        <v>38</v>
      </c>
      <c r="Z137">
        <v>40</v>
      </c>
      <c r="AA137">
        <v>40</v>
      </c>
      <c r="AB137">
        <v>1500</v>
      </c>
      <c r="AC137">
        <v>1425</v>
      </c>
      <c r="AD137">
        <v>1425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5</v>
      </c>
      <c r="AQ137">
        <v>0</v>
      </c>
      <c r="AR137">
        <v>0</v>
      </c>
      <c r="AS137" t="s">
        <v>58</v>
      </c>
      <c r="AT137">
        <v>1</v>
      </c>
      <c r="AU137" t="s">
        <v>75</v>
      </c>
      <c r="AV137" t="s">
        <v>60</v>
      </c>
      <c r="AW137">
        <v>0</v>
      </c>
      <c r="AX137">
        <v>4</v>
      </c>
      <c r="AY137">
        <v>0</v>
      </c>
      <c r="AZ137">
        <v>3600</v>
      </c>
      <c r="BA137">
        <v>100</v>
      </c>
      <c r="BB137">
        <v>100</v>
      </c>
      <c r="BC137">
        <v>100</v>
      </c>
      <c r="BD137">
        <v>100</v>
      </c>
      <c r="BE137">
        <v>1</v>
      </c>
      <c r="BF137">
        <v>15000</v>
      </c>
      <c r="BG137">
        <v>1000</v>
      </c>
      <c r="BH137" s="6">
        <f>Grandview_Inventory[[#This Row],[land_extract]]*Lookups!$B$3</f>
        <v>39865.326192247165</v>
      </c>
      <c r="BI137" s="6">
        <f>IF(Grandview_Inventory[[#This Row],[bldg_style]]="",0,Lookups!$B$2)</f>
        <v>155833.95000000001</v>
      </c>
      <c r="BJ137" s="6">
        <f>_xlfn.IFNA(VLOOKUP(Grandview_Inventory[[#This Row],[quality]],Lookups!$H$2:$J$14,3,FALSE),0)</f>
        <v>10733</v>
      </c>
      <c r="BK137" s="6">
        <f>_xlfn.IFNA(VLOOKUP(Grandview_Inventory[[#This Row],[condition]],Lookups!$H$17:$J$24,3,FALSE),0)</f>
        <v>-4503</v>
      </c>
      <c r="BL137" s="6">
        <f>Grandview_Inventory[[#This Row],[Eff_Age]]*Lookups!$B$14</f>
        <v>-9088.3307999999997</v>
      </c>
      <c r="BM137" s="6">
        <f>Grandview_Inventory[[#This Row],[living_area]]*Lookups!$B$15</f>
        <v>88892.715525000007</v>
      </c>
      <c r="BN137" s="6">
        <f>Grandview_Inventory[[#This Row],[Fin BSMT]]*Lookups!$B$16</f>
        <v>0</v>
      </c>
      <c r="BO137" s="6">
        <f>(Grandview_Inventory[[#This Row],[att_gar]]+Grandview_Inventory[[#This Row],[bltin_gar]])*Lookups!$B$17</f>
        <v>0</v>
      </c>
      <c r="BP137" s="6">
        <f>Grandview_Inventory[[#This Row],[Plumbing Fixtures]]*Lookups!$B$18</f>
        <v>10052.209000000001</v>
      </c>
      <c r="BQ137" s="6">
        <f>Grandview_Inventory[[#This Row],[detatched_value]]*Lookups!$B$19</f>
        <v>3048.49836</v>
      </c>
      <c r="BR137" s="6">
        <f>SUM(Grandview_Inventory[[#This Row],[Intercept]:[det_value]])*Grandview_Inventory[[#This Row],[res_pct]]</f>
        <v>254969.04208500002</v>
      </c>
      <c r="BS137" s="6">
        <f>Grandview_Inventory[[#This Row],[land_value]]</f>
        <v>39865.326192247165</v>
      </c>
      <c r="BT137" s="4">
        <f>_xlfn.IFNA(VLOOKUP(Grandview_Inventory[[#This Row],[quality]],Lookups!$A$26:$C$33,3,FALSE),1)</f>
        <v>0.98079741117310582</v>
      </c>
      <c r="BU137" s="4">
        <f>_xlfn.IFNA(VLOOKUP(Grandview_Inventory[[#This Row],[condition]],Lookups!$A$37:$C$44,3,FALSE),1)</f>
        <v>0.96469275950863709</v>
      </c>
      <c r="BV137" s="4">
        <f>IF(Grandview_Inventory[[#This Row],[bldg_style]]="",1,_xlfn.IFNA(VLOOKUP(Grandview_Inventory[[#This Row],[decade]],Lookups!$F$29:$H$43,3,FALSE),1))</f>
        <v>0.98031878267063854</v>
      </c>
      <c r="BW137" s="4">
        <f>_xlfn.IFNA(VLOOKUP(Grandview_Inventory[[#This Row],[living_area_range]],Lookups!$F$47:$H$56,3,FALSE),1)</f>
        <v>0.96135087979789358</v>
      </c>
      <c r="BX137" s="4">
        <f>AVERAGE(Grandview_Inventory[[#This Row],[qual_adj]:[size_adj]])</f>
        <v>0.97178995828756876</v>
      </c>
      <c r="BY137" s="6">
        <f>IF(Grandview_Inventory[[#This Row],[pre_res]]&lt;0,0,Grandview_Inventory[[#This Row],[pre_res]]*Grandview_Inventory[[#This Row],[overall_adj]])</f>
        <v>247776.35477240355</v>
      </c>
      <c r="BZ137" s="6">
        <f>(Grandview_Inventory[[#This Row],[sum_land]]-IF(Grandview_Inventory[[#This Row],[no_utilities]]=1,12000,0))/IF(Grandview_Inventory[[#This Row],[unbuildable]]=1,2,1)</f>
        <v>39865.326192247165</v>
      </c>
      <c r="CA137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37">
        <f>ROUND(Grandview_Inventory[[#This Row],[det_value]]*Lookups!$M$28,-2)</f>
        <v>2900</v>
      </c>
      <c r="CC137">
        <f>IF(ROUND(Grandview_Inventory[[#This Row],[adj_res]]*Lookups!$M$28,-2)&lt;Grandview_Inventory[[#This Row],[min_res]],Grandview_Inventory[[#This Row],[min_res]],ROUND(Grandview_Inventory[[#This Row],[adj_res]]*Lookups!$M$28,-2))</f>
        <v>235400</v>
      </c>
      <c r="CD137">
        <f>Grandview_Inventory[[#This Row],[final_det]]+Grandview_Inventory[[#This Row],[final_res]]</f>
        <v>238300</v>
      </c>
      <c r="CE137">
        <f>Grandview_Inventory[[#This Row],[final_land]]+Grandview_Inventory[[#This Row],[final_imp]]+Grandview_Inventory[[#This Row],[crop_value]]</f>
        <v>276200</v>
      </c>
      <c r="CG137" t="str">
        <f t="shared" si="2"/>
        <v>update valuation set market_land =37900, market_bldg=238300, market_total =276200, market_mdno =401, market_date ='9/10/2023' where link_id = (select link_id from parcel where parcel_year = '2024' and parcel_id = '23091433448');</v>
      </c>
    </row>
    <row r="138" spans="1:85" x14ac:dyDescent="0.25">
      <c r="A138">
        <v>23091433451</v>
      </c>
      <c r="B138">
        <v>0.12</v>
      </c>
      <c r="C138">
        <v>5212</v>
      </c>
      <c r="D138" t="s">
        <v>129</v>
      </c>
      <c r="E138" t="s">
        <v>53</v>
      </c>
      <c r="F138" t="s">
        <v>53</v>
      </c>
      <c r="G138">
        <v>4</v>
      </c>
      <c r="H138" t="s">
        <v>54</v>
      </c>
      <c r="I138">
        <v>86800</v>
      </c>
      <c r="J138">
        <v>37900</v>
      </c>
      <c r="K138">
        <v>0.12</v>
      </c>
      <c r="L13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38">
        <v>0</v>
      </c>
      <c r="N138">
        <v>0</v>
      </c>
      <c r="O138">
        <v>0</v>
      </c>
      <c r="P138">
        <v>13398.7528</v>
      </c>
      <c r="Q138">
        <v>63903</v>
      </c>
      <c r="R138">
        <f>(Grandview_Inventory[[#This Row],[ln_acres]]*Grandview_Inventory[[#This Row],[coeff]])+Grandview_Inventory[[#This Row],[const]]</f>
        <v>35494.113007601132</v>
      </c>
      <c r="S138" t="s">
        <v>68</v>
      </c>
      <c r="T138">
        <v>1</v>
      </c>
      <c r="U138" t="s">
        <v>80</v>
      </c>
      <c r="V138" t="s">
        <v>78</v>
      </c>
      <c r="W138">
        <v>0</v>
      </c>
      <c r="X138">
        <v>0</v>
      </c>
      <c r="Y138">
        <v>50</v>
      </c>
      <c r="Z138">
        <v>73</v>
      </c>
      <c r="AA138">
        <v>80</v>
      </c>
      <c r="AB138">
        <v>1500</v>
      </c>
      <c r="AC138">
        <v>1092</v>
      </c>
      <c r="AD138">
        <v>1092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16</v>
      </c>
      <c r="AO138">
        <v>0</v>
      </c>
      <c r="AP138">
        <v>5</v>
      </c>
      <c r="AQ138">
        <v>0</v>
      </c>
      <c r="AR138">
        <v>0</v>
      </c>
      <c r="AS138" t="s">
        <v>58</v>
      </c>
      <c r="AT138">
        <v>1</v>
      </c>
      <c r="AU138" t="s">
        <v>75</v>
      </c>
      <c r="AV138" t="s">
        <v>60</v>
      </c>
      <c r="AW138">
        <v>0</v>
      </c>
      <c r="AX138">
        <v>1</v>
      </c>
      <c r="AY138">
        <v>0</v>
      </c>
      <c r="AZ138">
        <v>5800</v>
      </c>
      <c r="BA138">
        <v>100</v>
      </c>
      <c r="BB138">
        <v>100</v>
      </c>
      <c r="BC138">
        <v>100</v>
      </c>
      <c r="BD138">
        <v>100</v>
      </c>
      <c r="BE138">
        <v>1</v>
      </c>
      <c r="BF138">
        <v>15000</v>
      </c>
      <c r="BG138">
        <v>1000</v>
      </c>
      <c r="BH138" s="6">
        <f>Grandview_Inventory[[#This Row],[land_extract]]*Lookups!$B$3</f>
        <v>41219.217601622076</v>
      </c>
      <c r="BI138" s="6">
        <f>IF(Grandview_Inventory[[#This Row],[bldg_style]]="",0,Lookups!$B$2)</f>
        <v>155833.95000000001</v>
      </c>
      <c r="BJ138" s="6">
        <f>_xlfn.IFNA(VLOOKUP(Grandview_Inventory[[#This Row],[quality]],Lookups!$H$2:$J$14,3,FALSE),0)</f>
        <v>-28558</v>
      </c>
      <c r="BK138" s="6">
        <f>_xlfn.IFNA(VLOOKUP(Grandview_Inventory[[#This Row],[condition]],Lookups!$H$17:$J$24,3,FALSE),0)</f>
        <v>-45357</v>
      </c>
      <c r="BL138" s="6">
        <f>Grandview_Inventory[[#This Row],[Eff_Age]]*Lookups!$B$14</f>
        <v>-11958.33</v>
      </c>
      <c r="BM138" s="6">
        <f>Grandview_Inventory[[#This Row],[living_area]]*Lookups!$B$15</f>
        <v>68119.891476000004</v>
      </c>
      <c r="BN138" s="6">
        <f>Grandview_Inventory[[#This Row],[Fin BSMT]]*Lookups!$B$16</f>
        <v>0</v>
      </c>
      <c r="BO138" s="6">
        <f>(Grandview_Inventory[[#This Row],[att_gar]]+Grandview_Inventory[[#This Row],[bltin_gar]])*Lookups!$B$17</f>
        <v>0</v>
      </c>
      <c r="BP138" s="6">
        <f>Grandview_Inventory[[#This Row],[Plumbing Fixtures]]*Lookups!$B$18</f>
        <v>10052.209000000001</v>
      </c>
      <c r="BQ138" s="6">
        <f>Grandview_Inventory[[#This Row],[detatched_value]]*Lookups!$B$19</f>
        <v>4911.46958</v>
      </c>
      <c r="BR138" s="6">
        <f>SUM(Grandview_Inventory[[#This Row],[Intercept]:[det_value]])*Grandview_Inventory[[#This Row],[res_pct]]</f>
        <v>153044.19005600002</v>
      </c>
      <c r="BS138" s="6">
        <f>Grandview_Inventory[[#This Row],[land_value]]</f>
        <v>41219.217601622076</v>
      </c>
      <c r="BT138" s="4">
        <f>_xlfn.IFNA(VLOOKUP(Grandview_Inventory[[#This Row],[quality]],Lookups!$A$26:$C$33,3,FALSE),1)</f>
        <v>0.9690360070159818</v>
      </c>
      <c r="BU138" s="4">
        <f>_xlfn.IFNA(VLOOKUP(Grandview_Inventory[[#This Row],[condition]],Lookups!$A$37:$C$44,3,FALSE),1)</f>
        <v>0.97161819570155394</v>
      </c>
      <c r="BV138" s="4">
        <f>IF(Grandview_Inventory[[#This Row],[bldg_style]]="",1,_xlfn.IFNA(VLOOKUP(Grandview_Inventory[[#This Row],[decade]],Lookups!$F$29:$H$43,3,FALSE),1))</f>
        <v>0.98763256963907298</v>
      </c>
      <c r="BW138" s="4">
        <f>_xlfn.IFNA(VLOOKUP(Grandview_Inventory[[#This Row],[living_area_range]],Lookups!$F$47:$H$56,3,FALSE),1)</f>
        <v>0.96135087979789358</v>
      </c>
      <c r="BX138" s="4">
        <f>AVERAGE(Grandview_Inventory[[#This Row],[qual_adj]:[size_adj]])</f>
        <v>0.9724094130386256</v>
      </c>
      <c r="BY138" s="6">
        <f>IF(Grandview_Inventory[[#This Row],[pre_res]]&lt;0,0,Grandview_Inventory[[#This Row],[pre_res]]*Grandview_Inventory[[#This Row],[overall_adj]])</f>
        <v>148821.61102132685</v>
      </c>
      <c r="BZ138" s="6">
        <f>(Grandview_Inventory[[#This Row],[sum_land]]-IF(Grandview_Inventory[[#This Row],[no_utilities]]=1,12000,0))/IF(Grandview_Inventory[[#This Row],[unbuildable]]=1,2,1)</f>
        <v>41219.217601622076</v>
      </c>
      <c r="CA13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38">
        <f>ROUND(Grandview_Inventory[[#This Row],[det_value]]*Lookups!$M$28,-2)</f>
        <v>4700</v>
      </c>
      <c r="CC138">
        <f>IF(ROUND(Grandview_Inventory[[#This Row],[adj_res]]*Lookups!$M$28,-2)&lt;Grandview_Inventory[[#This Row],[min_res]],Grandview_Inventory[[#This Row],[min_res]],ROUND(Grandview_Inventory[[#This Row],[adj_res]]*Lookups!$M$28,-2))</f>
        <v>141400</v>
      </c>
      <c r="CD138">
        <f>Grandview_Inventory[[#This Row],[final_det]]+Grandview_Inventory[[#This Row],[final_res]]</f>
        <v>146100</v>
      </c>
      <c r="CE138">
        <f>Grandview_Inventory[[#This Row],[final_land]]+Grandview_Inventory[[#This Row],[final_imp]]+Grandview_Inventory[[#This Row],[crop_value]]</f>
        <v>185300</v>
      </c>
      <c r="CG138" t="str">
        <f t="shared" si="2"/>
        <v>update valuation set market_land =39200, market_bldg=146100, market_total =185300, market_mdno =401, market_date ='9/10/2023' where link_id = (select link_id from parcel where parcel_year = '2024' and parcel_id = '23091433451');</v>
      </c>
    </row>
    <row r="139" spans="1:85" x14ac:dyDescent="0.25">
      <c r="A139">
        <v>23091433452</v>
      </c>
      <c r="B139">
        <v>0.12</v>
      </c>
      <c r="C139">
        <v>5198</v>
      </c>
      <c r="D139" t="s">
        <v>129</v>
      </c>
      <c r="E139" t="s">
        <v>53</v>
      </c>
      <c r="F139" t="s">
        <v>53</v>
      </c>
      <c r="G139">
        <v>4</v>
      </c>
      <c r="H139" t="s">
        <v>54</v>
      </c>
      <c r="I139">
        <v>127800</v>
      </c>
      <c r="J139">
        <v>37900</v>
      </c>
      <c r="K139">
        <v>0.12</v>
      </c>
      <c r="L13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39">
        <v>0</v>
      </c>
      <c r="N139">
        <v>0</v>
      </c>
      <c r="O139">
        <v>0</v>
      </c>
      <c r="P139">
        <v>13398.7528</v>
      </c>
      <c r="Q139">
        <v>63903</v>
      </c>
      <c r="R139">
        <f>(Grandview_Inventory[[#This Row],[ln_acres]]*Grandview_Inventory[[#This Row],[coeff]])+Grandview_Inventory[[#This Row],[const]]</f>
        <v>35494.113007601132</v>
      </c>
      <c r="S139" t="s">
        <v>68</v>
      </c>
      <c r="T139">
        <v>1</v>
      </c>
      <c r="U139" t="s">
        <v>80</v>
      </c>
      <c r="V139" t="s">
        <v>69</v>
      </c>
      <c r="W139">
        <v>0</v>
      </c>
      <c r="X139">
        <v>0</v>
      </c>
      <c r="Y139">
        <v>51</v>
      </c>
      <c r="Z139">
        <v>83</v>
      </c>
      <c r="AA139">
        <v>90</v>
      </c>
      <c r="AB139">
        <v>1500</v>
      </c>
      <c r="AC139">
        <v>1131</v>
      </c>
      <c r="AD139">
        <v>1131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336</v>
      </c>
      <c r="AN139">
        <v>56</v>
      </c>
      <c r="AO139">
        <v>264</v>
      </c>
      <c r="AP139">
        <v>5</v>
      </c>
      <c r="AQ139">
        <v>1</v>
      </c>
      <c r="AR139">
        <v>0</v>
      </c>
      <c r="AS139" t="s">
        <v>58</v>
      </c>
      <c r="AT139">
        <v>1</v>
      </c>
      <c r="AU139" t="s">
        <v>75</v>
      </c>
      <c r="AV139" t="s">
        <v>60</v>
      </c>
      <c r="AW139">
        <v>0</v>
      </c>
      <c r="AX139">
        <v>4</v>
      </c>
      <c r="AY139">
        <v>0</v>
      </c>
      <c r="AZ139">
        <v>5300</v>
      </c>
      <c r="BA139">
        <v>100</v>
      </c>
      <c r="BB139">
        <v>100</v>
      </c>
      <c r="BC139">
        <v>100</v>
      </c>
      <c r="BD139">
        <v>100</v>
      </c>
      <c r="BE139">
        <v>1</v>
      </c>
      <c r="BF139">
        <v>15000</v>
      </c>
      <c r="BG139">
        <v>1000</v>
      </c>
      <c r="BH139" s="6">
        <f>Grandview_Inventory[[#This Row],[land_extract]]*Lookups!$B$3</f>
        <v>41219.217601622076</v>
      </c>
      <c r="BI139" s="6">
        <f>IF(Grandview_Inventory[[#This Row],[bldg_style]]="",0,Lookups!$B$2)</f>
        <v>155833.95000000001</v>
      </c>
      <c r="BJ139" s="6">
        <f>_xlfn.IFNA(VLOOKUP(Grandview_Inventory[[#This Row],[quality]],Lookups!$H$2:$J$14,3,FALSE),0)</f>
        <v>-28558</v>
      </c>
      <c r="BK139" s="6">
        <f>_xlfn.IFNA(VLOOKUP(Grandview_Inventory[[#This Row],[condition]],Lookups!$H$17:$J$24,3,FALSE),0)</f>
        <v>-4503</v>
      </c>
      <c r="BL139" s="6">
        <f>Grandview_Inventory[[#This Row],[Eff_Age]]*Lookups!$B$14</f>
        <v>-12197.496599999999</v>
      </c>
      <c r="BM139" s="6">
        <f>Grandview_Inventory[[#This Row],[living_area]]*Lookups!$B$15</f>
        <v>70552.744743000003</v>
      </c>
      <c r="BN139" s="6">
        <f>Grandview_Inventory[[#This Row],[Fin BSMT]]*Lookups!$B$16</f>
        <v>0</v>
      </c>
      <c r="BO139" s="6">
        <f>(Grandview_Inventory[[#This Row],[att_gar]]+Grandview_Inventory[[#This Row],[bltin_gar]])*Lookups!$B$17</f>
        <v>0</v>
      </c>
      <c r="BP139" s="6">
        <f>Grandview_Inventory[[#This Row],[Plumbing Fixtures]]*Lookups!$B$18</f>
        <v>10052.209000000001</v>
      </c>
      <c r="BQ139" s="6">
        <f>Grandview_Inventory[[#This Row],[detatched_value]]*Lookups!$B$19</f>
        <v>4488.0670300000002</v>
      </c>
      <c r="BR139" s="6">
        <f>SUM(Grandview_Inventory[[#This Row],[Intercept]:[det_value]])*Grandview_Inventory[[#This Row],[res_pct]]</f>
        <v>195668.47417300002</v>
      </c>
      <c r="BS139" s="6">
        <f>Grandview_Inventory[[#This Row],[land_value]]</f>
        <v>41219.217601622076</v>
      </c>
      <c r="BT139" s="4">
        <f>_xlfn.IFNA(VLOOKUP(Grandview_Inventory[[#This Row],[quality]],Lookups!$A$26:$C$33,3,FALSE),1)</f>
        <v>0.9690360070159818</v>
      </c>
      <c r="BU139" s="4">
        <f>_xlfn.IFNA(VLOOKUP(Grandview_Inventory[[#This Row],[condition]],Lookups!$A$37:$C$44,3,FALSE),1)</f>
        <v>0.96469275950863709</v>
      </c>
      <c r="BV139" s="4">
        <f>IF(Grandview_Inventory[[#This Row],[bldg_style]]="",1,_xlfn.IFNA(VLOOKUP(Grandview_Inventory[[#This Row],[decade]],Lookups!$F$29:$H$43,3,FALSE),1))</f>
        <v>0.94161750052457416</v>
      </c>
      <c r="BW139" s="4">
        <f>_xlfn.IFNA(VLOOKUP(Grandview_Inventory[[#This Row],[living_area_range]],Lookups!$F$47:$H$56,3,FALSE),1)</f>
        <v>0.96135087979789358</v>
      </c>
      <c r="BX139" s="4">
        <f>AVERAGE(Grandview_Inventory[[#This Row],[qual_adj]:[size_adj]])</f>
        <v>0.95917428671177163</v>
      </c>
      <c r="BY139" s="6">
        <f>IF(Grandview_Inventory[[#This Row],[pre_res]]&lt;0,0,Grandview_Inventory[[#This Row],[pre_res]]*Grandview_Inventory[[#This Row],[overall_adj]])</f>
        <v>187680.16914686799</v>
      </c>
      <c r="BZ139" s="6">
        <f>(Grandview_Inventory[[#This Row],[sum_land]]-IF(Grandview_Inventory[[#This Row],[no_utilities]]=1,12000,0))/IF(Grandview_Inventory[[#This Row],[unbuildable]]=1,2,1)</f>
        <v>41219.217601622076</v>
      </c>
      <c r="CA13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39">
        <f>ROUND(Grandview_Inventory[[#This Row],[det_value]]*Lookups!$M$28,-2)</f>
        <v>4300</v>
      </c>
      <c r="CC139">
        <f>IF(ROUND(Grandview_Inventory[[#This Row],[adj_res]]*Lookups!$M$28,-2)&lt;Grandview_Inventory[[#This Row],[min_res]],Grandview_Inventory[[#This Row],[min_res]],ROUND(Grandview_Inventory[[#This Row],[adj_res]]*Lookups!$M$28,-2))</f>
        <v>178300</v>
      </c>
      <c r="CD139">
        <f>Grandview_Inventory[[#This Row],[final_det]]+Grandview_Inventory[[#This Row],[final_res]]</f>
        <v>182600</v>
      </c>
      <c r="CE139">
        <f>Grandview_Inventory[[#This Row],[final_land]]+Grandview_Inventory[[#This Row],[final_imp]]+Grandview_Inventory[[#This Row],[crop_value]]</f>
        <v>221800</v>
      </c>
      <c r="CG139" t="str">
        <f t="shared" si="2"/>
        <v>update valuation set market_land =39200, market_bldg=182600, market_total =221800, market_mdno =401, market_date ='9/10/2023' where link_id = (select link_id from parcel where parcel_year = '2024' and parcel_id = '23091433452');</v>
      </c>
    </row>
    <row r="140" spans="1:85" x14ac:dyDescent="0.25">
      <c r="A140">
        <v>23091433453</v>
      </c>
      <c r="B140">
        <v>0.12</v>
      </c>
      <c r="C140">
        <v>5212</v>
      </c>
      <c r="D140" t="s">
        <v>129</v>
      </c>
      <c r="E140" t="s">
        <v>53</v>
      </c>
      <c r="F140" t="s">
        <v>53</v>
      </c>
      <c r="G140">
        <v>4</v>
      </c>
      <c r="H140" t="s">
        <v>54</v>
      </c>
      <c r="I140">
        <v>117200</v>
      </c>
      <c r="J140">
        <v>37900</v>
      </c>
      <c r="K140">
        <v>0.12</v>
      </c>
      <c r="L14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40">
        <v>0</v>
      </c>
      <c r="N140">
        <v>0</v>
      </c>
      <c r="O140">
        <v>0</v>
      </c>
      <c r="P140">
        <v>13398.7528</v>
      </c>
      <c r="Q140">
        <v>63903</v>
      </c>
      <c r="R140">
        <f>(Grandview_Inventory[[#This Row],[ln_acres]]*Grandview_Inventory[[#This Row],[coeff]])+Grandview_Inventory[[#This Row],[const]]</f>
        <v>35494.113007601132</v>
      </c>
      <c r="S140" t="s">
        <v>68</v>
      </c>
      <c r="T140">
        <v>1</v>
      </c>
      <c r="U140" t="s">
        <v>70</v>
      </c>
      <c r="V140" t="s">
        <v>69</v>
      </c>
      <c r="W140">
        <v>0</v>
      </c>
      <c r="X140">
        <v>0</v>
      </c>
      <c r="Y140">
        <v>51</v>
      </c>
      <c r="Z140">
        <v>78</v>
      </c>
      <c r="AA140">
        <v>80</v>
      </c>
      <c r="AB140">
        <v>1500</v>
      </c>
      <c r="AC140">
        <v>1120</v>
      </c>
      <c r="AD140">
        <v>784</v>
      </c>
      <c r="AE140">
        <v>0</v>
      </c>
      <c r="AF140">
        <v>0</v>
      </c>
      <c r="AG140">
        <v>336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12</v>
      </c>
      <c r="AO140">
        <v>0</v>
      </c>
      <c r="AP140">
        <v>5</v>
      </c>
      <c r="AQ140">
        <v>0</v>
      </c>
      <c r="AR140">
        <v>0</v>
      </c>
      <c r="AS140" t="s">
        <v>58</v>
      </c>
      <c r="AT140">
        <v>1</v>
      </c>
      <c r="AU140" t="s">
        <v>75</v>
      </c>
      <c r="AV140" t="s">
        <v>60</v>
      </c>
      <c r="AW140">
        <v>0</v>
      </c>
      <c r="AX140">
        <v>2</v>
      </c>
      <c r="AY140">
        <v>0</v>
      </c>
      <c r="AZ140">
        <v>0</v>
      </c>
      <c r="BA140">
        <v>100</v>
      </c>
      <c r="BB140">
        <v>100</v>
      </c>
      <c r="BC140">
        <v>100</v>
      </c>
      <c r="BD140">
        <v>100</v>
      </c>
      <c r="BE140">
        <v>1</v>
      </c>
      <c r="BF140">
        <v>15000</v>
      </c>
      <c r="BG140">
        <v>1000</v>
      </c>
      <c r="BH140" s="6">
        <f>Grandview_Inventory[[#This Row],[land_extract]]*Lookups!$B$3</f>
        <v>41219.217601622076</v>
      </c>
      <c r="BI140" s="6">
        <f>IF(Grandview_Inventory[[#This Row],[bldg_style]]="",0,Lookups!$B$2)</f>
        <v>155833.95000000001</v>
      </c>
      <c r="BJ140" s="6">
        <f>_xlfn.IFNA(VLOOKUP(Grandview_Inventory[[#This Row],[quality]],Lookups!$H$2:$J$14,3,FALSE),0)</f>
        <v>10733</v>
      </c>
      <c r="BK140" s="6">
        <f>_xlfn.IFNA(VLOOKUP(Grandview_Inventory[[#This Row],[condition]],Lookups!$H$17:$J$24,3,FALSE),0)</f>
        <v>-4503</v>
      </c>
      <c r="BL140" s="6">
        <f>Grandview_Inventory[[#This Row],[Eff_Age]]*Lookups!$B$14</f>
        <v>-12197.496599999999</v>
      </c>
      <c r="BM140" s="6">
        <f>Grandview_Inventory[[#This Row],[living_area]]*Lookups!$B$15</f>
        <v>69866.555359999998</v>
      </c>
      <c r="BN140" s="6">
        <f>Grandview_Inventory[[#This Row],[Fin BSMT]]*Lookups!$B$16</f>
        <v>-9105.3446400000012</v>
      </c>
      <c r="BO140" s="6">
        <f>(Grandview_Inventory[[#This Row],[att_gar]]+Grandview_Inventory[[#This Row],[bltin_gar]])*Lookups!$B$17</f>
        <v>0</v>
      </c>
      <c r="BP140" s="6">
        <f>Grandview_Inventory[[#This Row],[Plumbing Fixtures]]*Lookups!$B$18</f>
        <v>10052.209000000001</v>
      </c>
      <c r="BQ140" s="6">
        <f>Grandview_Inventory[[#This Row],[detatched_value]]*Lookups!$B$19</f>
        <v>0</v>
      </c>
      <c r="BR140" s="6">
        <f>SUM(Grandview_Inventory[[#This Row],[Intercept]:[det_value]])*Grandview_Inventory[[#This Row],[res_pct]]</f>
        <v>220679.87312</v>
      </c>
      <c r="BS140" s="6">
        <f>Grandview_Inventory[[#This Row],[land_value]]</f>
        <v>41219.217601622076</v>
      </c>
      <c r="BT140" s="4">
        <f>_xlfn.IFNA(VLOOKUP(Grandview_Inventory[[#This Row],[quality]],Lookups!$A$26:$C$33,3,FALSE),1)</f>
        <v>0.98079741117310582</v>
      </c>
      <c r="BU140" s="4">
        <f>_xlfn.IFNA(VLOOKUP(Grandview_Inventory[[#This Row],[condition]],Lookups!$A$37:$C$44,3,FALSE),1)</f>
        <v>0.96469275950863709</v>
      </c>
      <c r="BV140" s="4">
        <f>IF(Grandview_Inventory[[#This Row],[bldg_style]]="",1,_xlfn.IFNA(VLOOKUP(Grandview_Inventory[[#This Row],[decade]],Lookups!$F$29:$H$43,3,FALSE),1))</f>
        <v>0.98763256963907298</v>
      </c>
      <c r="BW140" s="4">
        <f>_xlfn.IFNA(VLOOKUP(Grandview_Inventory[[#This Row],[living_area_range]],Lookups!$F$47:$H$56,3,FALSE),1)</f>
        <v>0.96135087979789358</v>
      </c>
      <c r="BX140" s="4">
        <f>AVERAGE(Grandview_Inventory[[#This Row],[qual_adj]:[size_adj]])</f>
        <v>0.97361840502967734</v>
      </c>
      <c r="BY140" s="6">
        <f>IF(Grandview_Inventory[[#This Row],[pre_res]]&lt;0,0,Grandview_Inventory[[#This Row],[pre_res]]*Grandview_Inventory[[#This Row],[overall_adj]])</f>
        <v>214857.98608924597</v>
      </c>
      <c r="BZ140" s="6">
        <f>(Grandview_Inventory[[#This Row],[sum_land]]-IF(Grandview_Inventory[[#This Row],[no_utilities]]=1,12000,0))/IF(Grandview_Inventory[[#This Row],[unbuildable]]=1,2,1)</f>
        <v>41219.217601622076</v>
      </c>
      <c r="CA14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40">
        <f>ROUND(Grandview_Inventory[[#This Row],[det_value]]*Lookups!$M$28,-2)</f>
        <v>0</v>
      </c>
      <c r="CC140">
        <f>IF(ROUND(Grandview_Inventory[[#This Row],[adj_res]]*Lookups!$M$28,-2)&lt;Grandview_Inventory[[#This Row],[min_res]],Grandview_Inventory[[#This Row],[min_res]],ROUND(Grandview_Inventory[[#This Row],[adj_res]]*Lookups!$M$28,-2))</f>
        <v>204100</v>
      </c>
      <c r="CD140">
        <f>Grandview_Inventory[[#This Row],[final_det]]+Grandview_Inventory[[#This Row],[final_res]]</f>
        <v>204100</v>
      </c>
      <c r="CE140">
        <f>Grandview_Inventory[[#This Row],[final_land]]+Grandview_Inventory[[#This Row],[final_imp]]+Grandview_Inventory[[#This Row],[crop_value]]</f>
        <v>243300</v>
      </c>
      <c r="CG140" t="str">
        <f t="shared" si="2"/>
        <v>update valuation set market_land =39200, market_bldg=204100, market_total =243300, market_mdno =401, market_date ='9/10/2023' where link_id = (select link_id from parcel where parcel_year = '2024' and parcel_id = '23091433453');</v>
      </c>
    </row>
    <row r="141" spans="1:85" x14ac:dyDescent="0.25">
      <c r="A141">
        <v>23091433456</v>
      </c>
      <c r="B141">
        <v>0.19</v>
      </c>
      <c r="C141">
        <v>8263</v>
      </c>
      <c r="D141" t="s">
        <v>129</v>
      </c>
      <c r="E141" t="s">
        <v>53</v>
      </c>
      <c r="F141" t="s">
        <v>53</v>
      </c>
      <c r="G141">
        <v>4</v>
      </c>
      <c r="H141" t="s">
        <v>54</v>
      </c>
      <c r="I141">
        <v>105900</v>
      </c>
      <c r="J141">
        <v>39100</v>
      </c>
      <c r="K141">
        <v>0.19</v>
      </c>
      <c r="L14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1">
        <v>0</v>
      </c>
      <c r="N141">
        <v>0</v>
      </c>
      <c r="O141">
        <v>0</v>
      </c>
      <c r="P141">
        <v>13398.7528</v>
      </c>
      <c r="Q141">
        <v>63903</v>
      </c>
      <c r="R141">
        <f>(Grandview_Inventory[[#This Row],[ln_acres]]*Grandview_Inventory[[#This Row],[coeff]])+Grandview_Inventory[[#This Row],[const]]</f>
        <v>41651.273092551026</v>
      </c>
      <c r="S141" t="s">
        <v>68</v>
      </c>
      <c r="T141">
        <v>1</v>
      </c>
      <c r="U141" t="s">
        <v>70</v>
      </c>
      <c r="V141" t="s">
        <v>78</v>
      </c>
      <c r="W141">
        <v>0</v>
      </c>
      <c r="X141">
        <v>0</v>
      </c>
      <c r="Y141">
        <v>50</v>
      </c>
      <c r="Z141">
        <v>73</v>
      </c>
      <c r="AA141">
        <v>80</v>
      </c>
      <c r="AB141">
        <v>1000</v>
      </c>
      <c r="AC141">
        <v>910</v>
      </c>
      <c r="AD141">
        <v>910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360</v>
      </c>
      <c r="AN141">
        <v>0</v>
      </c>
      <c r="AO141">
        <v>360</v>
      </c>
      <c r="AP141">
        <v>5</v>
      </c>
      <c r="AQ141">
        <v>0</v>
      </c>
      <c r="AR141">
        <v>1</v>
      </c>
      <c r="AS141" t="s">
        <v>58</v>
      </c>
      <c r="AT141">
        <v>1</v>
      </c>
      <c r="AU141" t="s">
        <v>75</v>
      </c>
      <c r="AV141" t="s">
        <v>60</v>
      </c>
      <c r="AW141">
        <v>0</v>
      </c>
      <c r="AX141">
        <v>2</v>
      </c>
      <c r="AY141">
        <v>0</v>
      </c>
      <c r="AZ141">
        <v>4500</v>
      </c>
      <c r="BA141">
        <v>100</v>
      </c>
      <c r="BB141">
        <v>100</v>
      </c>
      <c r="BC141">
        <v>100</v>
      </c>
      <c r="BD141">
        <v>100</v>
      </c>
      <c r="BE141">
        <v>1</v>
      </c>
      <c r="BF141">
        <v>15000</v>
      </c>
      <c r="BG141">
        <v>1000</v>
      </c>
      <c r="BH141" s="6">
        <f>Grandview_Inventory[[#This Row],[land_extract]]*Lookups!$B$3</f>
        <v>48369.510983942157</v>
      </c>
      <c r="BI141" s="6">
        <f>IF(Grandview_Inventory[[#This Row],[bldg_style]]="",0,Lookups!$B$2)</f>
        <v>155833.95000000001</v>
      </c>
      <c r="BJ141" s="6">
        <f>_xlfn.IFNA(VLOOKUP(Grandview_Inventory[[#This Row],[quality]],Lookups!$H$2:$J$14,3,FALSE),0)</f>
        <v>10733</v>
      </c>
      <c r="BK141" s="6">
        <f>_xlfn.IFNA(VLOOKUP(Grandview_Inventory[[#This Row],[condition]],Lookups!$H$17:$J$24,3,FALSE),0)</f>
        <v>-45357</v>
      </c>
      <c r="BL141" s="6">
        <f>Grandview_Inventory[[#This Row],[Eff_Age]]*Lookups!$B$14</f>
        <v>-11958.33</v>
      </c>
      <c r="BM141" s="6">
        <f>Grandview_Inventory[[#This Row],[living_area]]*Lookups!$B$15</f>
        <v>56766.576229999999</v>
      </c>
      <c r="BN141" s="6">
        <f>Grandview_Inventory[[#This Row],[Fin BSMT]]*Lookups!$B$16</f>
        <v>0</v>
      </c>
      <c r="BO141" s="6">
        <f>(Grandview_Inventory[[#This Row],[att_gar]]+Grandview_Inventory[[#This Row],[bltin_gar]])*Lookups!$B$17</f>
        <v>0</v>
      </c>
      <c r="BP141" s="6">
        <f>Grandview_Inventory[[#This Row],[Plumbing Fixtures]]*Lookups!$B$18</f>
        <v>10052.209000000001</v>
      </c>
      <c r="BQ141" s="6">
        <f>Grandview_Inventory[[#This Row],[detatched_value]]*Lookups!$B$19</f>
        <v>3810.6229499999999</v>
      </c>
      <c r="BR141" s="6">
        <f>SUM(Grandview_Inventory[[#This Row],[Intercept]:[det_value]])*Grandview_Inventory[[#This Row],[res_pct]]</f>
        <v>179881.02817999999</v>
      </c>
      <c r="BS141" s="6">
        <f>Grandview_Inventory[[#This Row],[land_value]]</f>
        <v>48369.510983942157</v>
      </c>
      <c r="BT141" s="4">
        <f>_xlfn.IFNA(VLOOKUP(Grandview_Inventory[[#This Row],[quality]],Lookups!$A$26:$C$33,3,FALSE),1)</f>
        <v>0.98079741117310582</v>
      </c>
      <c r="BU141" s="4">
        <f>_xlfn.IFNA(VLOOKUP(Grandview_Inventory[[#This Row],[condition]],Lookups!$A$37:$C$44,3,FALSE),1)</f>
        <v>0.97161819570155394</v>
      </c>
      <c r="BV141" s="4">
        <f>IF(Grandview_Inventory[[#This Row],[bldg_style]]="",1,_xlfn.IFNA(VLOOKUP(Grandview_Inventory[[#This Row],[decade]],Lookups!$F$29:$H$43,3,FALSE),1))</f>
        <v>0.98763256963907298</v>
      </c>
      <c r="BW141" s="4">
        <f>_xlfn.IFNA(VLOOKUP(Grandview_Inventory[[#This Row],[living_area_range]],Lookups!$F$47:$H$56,3,FALSE),1)</f>
        <v>0.94306777142782894</v>
      </c>
      <c r="BX141" s="4">
        <f>AVERAGE(Grandview_Inventory[[#This Row],[qual_adj]:[size_adj]])</f>
        <v>0.97077898698539034</v>
      </c>
      <c r="BY141" s="6">
        <f>IF(Grandview_Inventory[[#This Row],[pre_res]]&lt;0,0,Grandview_Inventory[[#This Row],[pre_res]]*Grandview_Inventory[[#This Row],[overall_adj]])</f>
        <v>174624.72231447086</v>
      </c>
      <c r="BZ141" s="6">
        <f>(Grandview_Inventory[[#This Row],[sum_land]]-IF(Grandview_Inventory[[#This Row],[no_utilities]]=1,12000,0))/IF(Grandview_Inventory[[#This Row],[unbuildable]]=1,2,1)</f>
        <v>48369.510983942157</v>
      </c>
      <c r="CA14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1">
        <f>ROUND(Grandview_Inventory[[#This Row],[det_value]]*Lookups!$M$28,-2)</f>
        <v>3600</v>
      </c>
      <c r="CC141">
        <f>IF(ROUND(Grandview_Inventory[[#This Row],[adj_res]]*Lookups!$M$28,-2)&lt;Grandview_Inventory[[#This Row],[min_res]],Grandview_Inventory[[#This Row],[min_res]],ROUND(Grandview_Inventory[[#This Row],[adj_res]]*Lookups!$M$28,-2))</f>
        <v>165900</v>
      </c>
      <c r="CD141">
        <f>Grandview_Inventory[[#This Row],[final_det]]+Grandview_Inventory[[#This Row],[final_res]]</f>
        <v>169500</v>
      </c>
      <c r="CE141">
        <f>Grandview_Inventory[[#This Row],[final_land]]+Grandview_Inventory[[#This Row],[final_imp]]+Grandview_Inventory[[#This Row],[crop_value]]</f>
        <v>215500</v>
      </c>
      <c r="CG141" t="str">
        <f t="shared" si="2"/>
        <v>update valuation set market_land =46000, market_bldg=169500, market_total =215500, market_mdno =401, market_date ='9/10/2023' where link_id = (select link_id from parcel where parcel_year = '2024' and parcel_id = '23091433456');</v>
      </c>
    </row>
    <row r="142" spans="1:85" x14ac:dyDescent="0.25">
      <c r="A142">
        <v>23091433474</v>
      </c>
      <c r="B142">
        <v>0.24</v>
      </c>
      <c r="C142" t="s">
        <v>129</v>
      </c>
      <c r="D142" t="s">
        <v>129</v>
      </c>
      <c r="E142" t="s">
        <v>53</v>
      </c>
      <c r="F142" t="s">
        <v>53</v>
      </c>
      <c r="G142">
        <v>4</v>
      </c>
      <c r="H142" t="s">
        <v>54</v>
      </c>
      <c r="I142">
        <v>209400</v>
      </c>
      <c r="J142">
        <v>41400</v>
      </c>
      <c r="K142">
        <v>0.24</v>
      </c>
      <c r="L142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2">
        <v>0</v>
      </c>
      <c r="N142">
        <v>0</v>
      </c>
      <c r="O142">
        <v>0</v>
      </c>
      <c r="P142">
        <v>13398.7528</v>
      </c>
      <c r="Q142">
        <v>63903</v>
      </c>
      <c r="R142">
        <f>(Grandview_Inventory[[#This Row],[ln_acres]]*Grandview_Inventory[[#This Row],[coeff]])+Grandview_Inventory[[#This Row],[const]]</f>
        <v>44781.420733940802</v>
      </c>
      <c r="S142" t="s">
        <v>61</v>
      </c>
      <c r="T142">
        <v>1</v>
      </c>
      <c r="U142" t="s">
        <v>65</v>
      </c>
      <c r="V142" t="s">
        <v>67</v>
      </c>
      <c r="W142">
        <v>0</v>
      </c>
      <c r="X142">
        <v>0</v>
      </c>
      <c r="Y142">
        <v>19</v>
      </c>
      <c r="Z142">
        <v>19</v>
      </c>
      <c r="AA142">
        <v>20</v>
      </c>
      <c r="AB142">
        <v>1500</v>
      </c>
      <c r="AC142">
        <v>1216</v>
      </c>
      <c r="AD142">
        <v>1216</v>
      </c>
      <c r="AE142">
        <v>0</v>
      </c>
      <c r="AF142">
        <v>0</v>
      </c>
      <c r="AG142">
        <v>0</v>
      </c>
      <c r="AH142">
        <v>0</v>
      </c>
      <c r="AI142">
        <v>308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8</v>
      </c>
      <c r="AQ142">
        <v>0</v>
      </c>
      <c r="AR142">
        <v>0</v>
      </c>
      <c r="AS142" t="s">
        <v>58</v>
      </c>
      <c r="AT142">
        <v>1</v>
      </c>
      <c r="AU142" t="s">
        <v>59</v>
      </c>
      <c r="AV142" t="s">
        <v>60</v>
      </c>
      <c r="AW142">
        <v>1</v>
      </c>
      <c r="AX142">
        <v>3</v>
      </c>
      <c r="AY142">
        <v>0</v>
      </c>
      <c r="AZ142">
        <v>0</v>
      </c>
      <c r="BA142">
        <v>100</v>
      </c>
      <c r="BB142">
        <v>100</v>
      </c>
      <c r="BC142">
        <v>100</v>
      </c>
      <c r="BD142">
        <v>100</v>
      </c>
      <c r="BE142">
        <v>1</v>
      </c>
      <c r="BF142">
        <v>15000</v>
      </c>
      <c r="BG142">
        <v>1000</v>
      </c>
      <c r="BH142" s="6">
        <f>Grandview_Inventory[[#This Row],[land_extract]]*Lookups!$B$3</f>
        <v>52004.542988489469</v>
      </c>
      <c r="BI142" s="6">
        <f>IF(Grandview_Inventory[[#This Row],[bldg_style]]="",0,Lookups!$B$2)</f>
        <v>155833.95000000001</v>
      </c>
      <c r="BJ142" s="6">
        <f>_xlfn.IFNA(VLOOKUP(Grandview_Inventory[[#This Row],[quality]],Lookups!$H$2:$J$14,3,FALSE),0)</f>
        <v>2251</v>
      </c>
      <c r="BK142" s="6">
        <f>_xlfn.IFNA(VLOOKUP(Grandview_Inventory[[#This Row],[condition]],Lookups!$H$17:$J$24,3,FALSE),0)</f>
        <v>22342</v>
      </c>
      <c r="BL142" s="6">
        <f>Grandview_Inventory[[#This Row],[Eff_Age]]*Lookups!$B$14</f>
        <v>-4544.1653999999999</v>
      </c>
      <c r="BM142" s="6">
        <f>Grandview_Inventory[[#This Row],[living_area]]*Lookups!$B$15</f>
        <v>75855.117247999995</v>
      </c>
      <c r="BN142" s="6">
        <f>Grandview_Inventory[[#This Row],[Fin BSMT]]*Lookups!$B$16</f>
        <v>0</v>
      </c>
      <c r="BO142" s="6">
        <f>(Grandview_Inventory[[#This Row],[att_gar]]+Grandview_Inventory[[#This Row],[bltin_gar]])*Lookups!$B$17</f>
        <v>26956.294596</v>
      </c>
      <c r="BP142" s="6">
        <f>Grandview_Inventory[[#This Row],[Plumbing Fixtures]]*Lookups!$B$18</f>
        <v>16083.5344</v>
      </c>
      <c r="BQ142" s="6">
        <f>Grandview_Inventory[[#This Row],[detatched_value]]*Lookups!$B$19</f>
        <v>0</v>
      </c>
      <c r="BR142" s="6">
        <f>SUM(Grandview_Inventory[[#This Row],[Intercept]:[det_value]])*Grandview_Inventory[[#This Row],[res_pct]]</f>
        <v>294777.73084400001</v>
      </c>
      <c r="BS142" s="6">
        <f>Grandview_Inventory[[#This Row],[land_value]]</f>
        <v>52004.542988489469</v>
      </c>
      <c r="BT142" s="4">
        <f>_xlfn.IFNA(VLOOKUP(Grandview_Inventory[[#This Row],[quality]],Lookups!$A$26:$C$33,3,FALSE),1)</f>
        <v>0.98763855981004833</v>
      </c>
      <c r="BU142" s="4">
        <f>_xlfn.IFNA(VLOOKUP(Grandview_Inventory[[#This Row],[condition]],Lookups!$A$37:$C$44,3,FALSE),1)</f>
        <v>0.97383723671140243</v>
      </c>
      <c r="BV142" s="4">
        <f>IF(Grandview_Inventory[[#This Row],[bldg_style]]="",1,_xlfn.IFNA(VLOOKUP(Grandview_Inventory[[#This Row],[decade]],Lookups!$F$29:$H$43,3,FALSE),1))</f>
        <v>0.96737494181490646</v>
      </c>
      <c r="BW142" s="4">
        <f>_xlfn.IFNA(VLOOKUP(Grandview_Inventory[[#This Row],[living_area_range]],Lookups!$F$47:$H$56,3,FALSE),1)</f>
        <v>0.96135087979789358</v>
      </c>
      <c r="BX142" s="4">
        <f>AVERAGE(Grandview_Inventory[[#This Row],[qual_adj]:[size_adj]])</f>
        <v>0.97255040453356267</v>
      </c>
      <c r="BY142" s="6">
        <f>IF(Grandview_Inventory[[#This Row],[pre_res]]&lt;0,0,Grandview_Inventory[[#This Row],[pre_res]]*Grandview_Inventory[[#This Row],[overall_adj]])</f>
        <v>286686.20137981785</v>
      </c>
      <c r="BZ142" s="6">
        <f>(Grandview_Inventory[[#This Row],[sum_land]]-IF(Grandview_Inventory[[#This Row],[no_utilities]]=1,12000,0))/IF(Grandview_Inventory[[#This Row],[unbuildable]]=1,2,1)</f>
        <v>52004.542988489469</v>
      </c>
      <c r="CA142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2">
        <f>ROUND(Grandview_Inventory[[#This Row],[det_value]]*Lookups!$M$28,-2)</f>
        <v>0</v>
      </c>
      <c r="CC142">
        <f>IF(ROUND(Grandview_Inventory[[#This Row],[adj_res]]*Lookups!$M$28,-2)&lt;Grandview_Inventory[[#This Row],[min_res]],Grandview_Inventory[[#This Row],[min_res]],ROUND(Grandview_Inventory[[#This Row],[adj_res]]*Lookups!$M$28,-2))</f>
        <v>272400</v>
      </c>
      <c r="CD142">
        <f>Grandview_Inventory[[#This Row],[final_det]]+Grandview_Inventory[[#This Row],[final_res]]</f>
        <v>272400</v>
      </c>
      <c r="CE142">
        <f>Grandview_Inventory[[#This Row],[final_land]]+Grandview_Inventory[[#This Row],[final_imp]]+Grandview_Inventory[[#This Row],[crop_value]]</f>
        <v>321800</v>
      </c>
      <c r="CG142" t="str">
        <f t="shared" si="2"/>
        <v>update valuation set market_land =49400, market_bldg=272400, market_total =321800, market_mdno =401, market_date ='9/10/2023' where link_id = (select link_id from parcel where parcel_year = '2024' and parcel_id = '23091433474');</v>
      </c>
    </row>
    <row r="143" spans="1:85" x14ac:dyDescent="0.25">
      <c r="A143">
        <v>23091433475</v>
      </c>
      <c r="B143">
        <v>0.24</v>
      </c>
      <c r="C143">
        <v>10454</v>
      </c>
      <c r="D143" t="s">
        <v>129</v>
      </c>
      <c r="E143" t="s">
        <v>53</v>
      </c>
      <c r="F143" t="s">
        <v>53</v>
      </c>
      <c r="G143">
        <v>4</v>
      </c>
      <c r="H143" t="s">
        <v>54</v>
      </c>
      <c r="I143">
        <v>214600</v>
      </c>
      <c r="J143">
        <v>41400</v>
      </c>
      <c r="K143">
        <v>0.24</v>
      </c>
      <c r="L14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3">
        <v>0</v>
      </c>
      <c r="N143">
        <v>0</v>
      </c>
      <c r="O143">
        <v>0</v>
      </c>
      <c r="P143">
        <v>13398.7528</v>
      </c>
      <c r="Q143">
        <v>63903</v>
      </c>
      <c r="R143">
        <f>(Grandview_Inventory[[#This Row],[ln_acres]]*Grandview_Inventory[[#This Row],[coeff]])+Grandview_Inventory[[#This Row],[const]]</f>
        <v>44781.420733940802</v>
      </c>
      <c r="S143" t="s">
        <v>61</v>
      </c>
      <c r="T143">
        <v>1</v>
      </c>
      <c r="U143" t="s">
        <v>65</v>
      </c>
      <c r="V143" t="s">
        <v>67</v>
      </c>
      <c r="W143">
        <v>0</v>
      </c>
      <c r="X143">
        <v>0</v>
      </c>
      <c r="Y143">
        <v>19</v>
      </c>
      <c r="Z143">
        <v>19</v>
      </c>
      <c r="AA143">
        <v>20</v>
      </c>
      <c r="AB143">
        <v>1500</v>
      </c>
      <c r="AC143">
        <v>1348</v>
      </c>
      <c r="AD143">
        <v>1348</v>
      </c>
      <c r="AE143">
        <v>0</v>
      </c>
      <c r="AF143">
        <v>0</v>
      </c>
      <c r="AG143">
        <v>0</v>
      </c>
      <c r="AH143">
        <v>0</v>
      </c>
      <c r="AI143">
        <v>280</v>
      </c>
      <c r="AJ143">
        <v>0</v>
      </c>
      <c r="AK143">
        <v>0</v>
      </c>
      <c r="AL143">
        <v>0</v>
      </c>
      <c r="AM143">
        <v>300</v>
      </c>
      <c r="AN143">
        <v>24</v>
      </c>
      <c r="AO143">
        <v>300</v>
      </c>
      <c r="AP143">
        <v>8</v>
      </c>
      <c r="AQ143">
        <v>0</v>
      </c>
      <c r="AR143">
        <v>0</v>
      </c>
      <c r="AS143" t="s">
        <v>58</v>
      </c>
      <c r="AT143">
        <v>1</v>
      </c>
      <c r="AU143" t="s">
        <v>59</v>
      </c>
      <c r="AV143" t="s">
        <v>60</v>
      </c>
      <c r="AW143">
        <v>1</v>
      </c>
      <c r="AX143">
        <v>3</v>
      </c>
      <c r="AY143">
        <v>0</v>
      </c>
      <c r="AZ143">
        <v>0</v>
      </c>
      <c r="BA143">
        <v>100</v>
      </c>
      <c r="BB143">
        <v>100</v>
      </c>
      <c r="BC143">
        <v>100</v>
      </c>
      <c r="BD143">
        <v>100</v>
      </c>
      <c r="BE143">
        <v>1</v>
      </c>
      <c r="BF143">
        <v>15000</v>
      </c>
      <c r="BG143">
        <v>1000</v>
      </c>
      <c r="BH143" s="6">
        <f>Grandview_Inventory[[#This Row],[land_extract]]*Lookups!$B$3</f>
        <v>52004.542988489469</v>
      </c>
      <c r="BI143" s="6">
        <f>IF(Grandview_Inventory[[#This Row],[bldg_style]]="",0,Lookups!$B$2)</f>
        <v>155833.95000000001</v>
      </c>
      <c r="BJ143" s="6">
        <f>_xlfn.IFNA(VLOOKUP(Grandview_Inventory[[#This Row],[quality]],Lookups!$H$2:$J$14,3,FALSE),0)</f>
        <v>2251</v>
      </c>
      <c r="BK143" s="6">
        <f>_xlfn.IFNA(VLOOKUP(Grandview_Inventory[[#This Row],[condition]],Lookups!$H$17:$J$24,3,FALSE),0)</f>
        <v>22342</v>
      </c>
      <c r="BL143" s="6">
        <f>Grandview_Inventory[[#This Row],[Eff_Age]]*Lookups!$B$14</f>
        <v>-4544.1653999999999</v>
      </c>
      <c r="BM143" s="6">
        <f>Grandview_Inventory[[#This Row],[living_area]]*Lookups!$B$15</f>
        <v>84089.389844000005</v>
      </c>
      <c r="BN143" s="6">
        <f>Grandview_Inventory[[#This Row],[Fin BSMT]]*Lookups!$B$16</f>
        <v>0</v>
      </c>
      <c r="BO143" s="6">
        <f>(Grandview_Inventory[[#This Row],[att_gar]]+Grandview_Inventory[[#This Row],[bltin_gar]])*Lookups!$B$17</f>
        <v>24505.72236</v>
      </c>
      <c r="BP143" s="6">
        <f>Grandview_Inventory[[#This Row],[Plumbing Fixtures]]*Lookups!$B$18</f>
        <v>16083.5344</v>
      </c>
      <c r="BQ143" s="6">
        <f>Grandview_Inventory[[#This Row],[detatched_value]]*Lookups!$B$19</f>
        <v>0</v>
      </c>
      <c r="BR143" s="6">
        <f>SUM(Grandview_Inventory[[#This Row],[Intercept]:[det_value]])*Grandview_Inventory[[#This Row],[res_pct]]</f>
        <v>300561.43120400002</v>
      </c>
      <c r="BS143" s="6">
        <f>Grandview_Inventory[[#This Row],[land_value]]</f>
        <v>52004.542988489469</v>
      </c>
      <c r="BT143" s="4">
        <f>_xlfn.IFNA(VLOOKUP(Grandview_Inventory[[#This Row],[quality]],Lookups!$A$26:$C$33,3,FALSE),1)</f>
        <v>0.98763855981004833</v>
      </c>
      <c r="BU143" s="4">
        <f>_xlfn.IFNA(VLOOKUP(Grandview_Inventory[[#This Row],[condition]],Lookups!$A$37:$C$44,3,FALSE),1)</f>
        <v>0.97383723671140243</v>
      </c>
      <c r="BV143" s="4">
        <f>IF(Grandview_Inventory[[#This Row],[bldg_style]]="",1,_xlfn.IFNA(VLOOKUP(Grandview_Inventory[[#This Row],[decade]],Lookups!$F$29:$H$43,3,FALSE),1))</f>
        <v>0.96737494181490646</v>
      </c>
      <c r="BW143" s="4">
        <f>_xlfn.IFNA(VLOOKUP(Grandview_Inventory[[#This Row],[living_area_range]],Lookups!$F$47:$H$56,3,FALSE),1)</f>
        <v>0.96135087979789358</v>
      </c>
      <c r="BX143" s="4">
        <f>AVERAGE(Grandview_Inventory[[#This Row],[qual_adj]:[size_adj]])</f>
        <v>0.97255040453356267</v>
      </c>
      <c r="BY143" s="6">
        <f>IF(Grandview_Inventory[[#This Row],[pre_res]]&lt;0,0,Grandview_Inventory[[#This Row],[pre_res]]*Grandview_Inventory[[#This Row],[overall_adj]])</f>
        <v>292311.14150463679</v>
      </c>
      <c r="BZ143" s="6">
        <f>(Grandview_Inventory[[#This Row],[sum_land]]-IF(Grandview_Inventory[[#This Row],[no_utilities]]=1,12000,0))/IF(Grandview_Inventory[[#This Row],[unbuildable]]=1,2,1)</f>
        <v>52004.542988489469</v>
      </c>
      <c r="CA14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3">
        <f>ROUND(Grandview_Inventory[[#This Row],[det_value]]*Lookups!$M$28,-2)</f>
        <v>0</v>
      </c>
      <c r="CC143">
        <f>IF(ROUND(Grandview_Inventory[[#This Row],[adj_res]]*Lookups!$M$28,-2)&lt;Grandview_Inventory[[#This Row],[min_res]],Grandview_Inventory[[#This Row],[min_res]],ROUND(Grandview_Inventory[[#This Row],[adj_res]]*Lookups!$M$28,-2))</f>
        <v>277700</v>
      </c>
      <c r="CD143">
        <f>Grandview_Inventory[[#This Row],[final_det]]+Grandview_Inventory[[#This Row],[final_res]]</f>
        <v>277700</v>
      </c>
      <c r="CE143">
        <f>Grandview_Inventory[[#This Row],[final_land]]+Grandview_Inventory[[#This Row],[final_imp]]+Grandview_Inventory[[#This Row],[crop_value]]</f>
        <v>327100</v>
      </c>
      <c r="CG143" t="str">
        <f t="shared" si="2"/>
        <v>update valuation set market_land =49400, market_bldg=277700, market_total =327100, market_mdno =401, market_date ='9/10/2023' where link_id = (select link_id from parcel where parcel_year = '2024' and parcel_id = '23091433475');</v>
      </c>
    </row>
    <row r="144" spans="1:85" x14ac:dyDescent="0.25">
      <c r="A144">
        <v>23091433476</v>
      </c>
      <c r="B144">
        <v>0.24</v>
      </c>
      <c r="C144">
        <v>10454</v>
      </c>
      <c r="D144" t="s">
        <v>129</v>
      </c>
      <c r="E144" t="s">
        <v>53</v>
      </c>
      <c r="F144" t="s">
        <v>53</v>
      </c>
      <c r="G144">
        <v>4</v>
      </c>
      <c r="H144" t="s">
        <v>54</v>
      </c>
      <c r="I144">
        <v>166600</v>
      </c>
      <c r="J144">
        <v>39800</v>
      </c>
      <c r="K144">
        <v>0.24</v>
      </c>
      <c r="L14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4">
        <v>0</v>
      </c>
      <c r="N144">
        <v>0</v>
      </c>
      <c r="O144">
        <v>0</v>
      </c>
      <c r="P144">
        <v>13398.7528</v>
      </c>
      <c r="Q144">
        <v>63903</v>
      </c>
      <c r="R144">
        <f>(Grandview_Inventory[[#This Row],[ln_acres]]*Grandview_Inventory[[#This Row],[coeff]])+Grandview_Inventory[[#This Row],[const]]</f>
        <v>44781.420733940802</v>
      </c>
      <c r="S144" t="s">
        <v>61</v>
      </c>
      <c r="T144">
        <v>1</v>
      </c>
      <c r="U144" t="s">
        <v>65</v>
      </c>
      <c r="V144" t="s">
        <v>69</v>
      </c>
      <c r="W144">
        <v>0</v>
      </c>
      <c r="X144">
        <v>0</v>
      </c>
      <c r="Y144">
        <v>19</v>
      </c>
      <c r="Z144">
        <v>19</v>
      </c>
      <c r="AA144">
        <v>20</v>
      </c>
      <c r="AB144">
        <v>1500</v>
      </c>
      <c r="AC144">
        <v>1496</v>
      </c>
      <c r="AD144">
        <v>1496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8</v>
      </c>
      <c r="AQ144">
        <v>0</v>
      </c>
      <c r="AR144">
        <v>0</v>
      </c>
      <c r="AS144" t="s">
        <v>58</v>
      </c>
      <c r="AT144">
        <v>1</v>
      </c>
      <c r="AU144" t="s">
        <v>59</v>
      </c>
      <c r="AV144" t="s">
        <v>60</v>
      </c>
      <c r="AW144">
        <v>1</v>
      </c>
      <c r="AX144">
        <v>3</v>
      </c>
      <c r="AY144">
        <v>0</v>
      </c>
      <c r="AZ144">
        <v>0</v>
      </c>
      <c r="BA144">
        <v>100</v>
      </c>
      <c r="BB144">
        <v>100</v>
      </c>
      <c r="BC144">
        <v>100</v>
      </c>
      <c r="BD144">
        <v>100</v>
      </c>
      <c r="BE144">
        <v>1</v>
      </c>
      <c r="BF144">
        <v>15000</v>
      </c>
      <c r="BG144">
        <v>1000</v>
      </c>
      <c r="BH144" s="6">
        <f>Grandview_Inventory[[#This Row],[land_extract]]*Lookups!$B$3</f>
        <v>52004.542988489469</v>
      </c>
      <c r="BI144" s="6">
        <f>IF(Grandview_Inventory[[#This Row],[bldg_style]]="",0,Lookups!$B$2)</f>
        <v>155833.95000000001</v>
      </c>
      <c r="BJ144" s="6">
        <f>_xlfn.IFNA(VLOOKUP(Grandview_Inventory[[#This Row],[quality]],Lookups!$H$2:$J$14,3,FALSE),0)</f>
        <v>2251</v>
      </c>
      <c r="BK144" s="6">
        <f>_xlfn.IFNA(VLOOKUP(Grandview_Inventory[[#This Row],[condition]],Lookups!$H$17:$J$24,3,FALSE),0)</f>
        <v>-4503</v>
      </c>
      <c r="BL144" s="6">
        <f>Grandview_Inventory[[#This Row],[Eff_Age]]*Lookups!$B$14</f>
        <v>-4544.1653999999999</v>
      </c>
      <c r="BM144" s="6">
        <f>Grandview_Inventory[[#This Row],[living_area]]*Lookups!$B$15</f>
        <v>93321.756088000009</v>
      </c>
      <c r="BN144" s="6">
        <f>Grandview_Inventory[[#This Row],[Fin BSMT]]*Lookups!$B$16</f>
        <v>0</v>
      </c>
      <c r="BO144" s="6">
        <f>(Grandview_Inventory[[#This Row],[att_gar]]+Grandview_Inventory[[#This Row],[bltin_gar]])*Lookups!$B$17</f>
        <v>0</v>
      </c>
      <c r="BP144" s="6">
        <f>Grandview_Inventory[[#This Row],[Plumbing Fixtures]]*Lookups!$B$18</f>
        <v>16083.5344</v>
      </c>
      <c r="BQ144" s="6">
        <f>Grandview_Inventory[[#This Row],[detatched_value]]*Lookups!$B$19</f>
        <v>0</v>
      </c>
      <c r="BR144" s="6">
        <f>SUM(Grandview_Inventory[[#This Row],[Intercept]:[det_value]])*Grandview_Inventory[[#This Row],[res_pct]]</f>
        <v>258443.07508800004</v>
      </c>
      <c r="BS144" s="6">
        <f>Grandview_Inventory[[#This Row],[land_value]]</f>
        <v>52004.542988489469</v>
      </c>
      <c r="BT144" s="4">
        <f>_xlfn.IFNA(VLOOKUP(Grandview_Inventory[[#This Row],[quality]],Lookups!$A$26:$C$33,3,FALSE),1)</f>
        <v>0.98763855981004833</v>
      </c>
      <c r="BU144" s="4">
        <f>_xlfn.IFNA(VLOOKUP(Grandview_Inventory[[#This Row],[condition]],Lookups!$A$37:$C$44,3,FALSE),1)</f>
        <v>0.96469275950863709</v>
      </c>
      <c r="BV144" s="4">
        <f>IF(Grandview_Inventory[[#This Row],[bldg_style]]="",1,_xlfn.IFNA(VLOOKUP(Grandview_Inventory[[#This Row],[decade]],Lookups!$F$29:$H$43,3,FALSE),1))</f>
        <v>0.96737494181490646</v>
      </c>
      <c r="BW144" s="4">
        <f>_xlfn.IFNA(VLOOKUP(Grandview_Inventory[[#This Row],[living_area_range]],Lookups!$F$47:$H$56,3,FALSE),1)</f>
        <v>0.96135087979789358</v>
      </c>
      <c r="BX144" s="4">
        <f>AVERAGE(Grandview_Inventory[[#This Row],[qual_adj]:[size_adj]])</f>
        <v>0.97026428523287134</v>
      </c>
      <c r="BY144" s="6">
        <f>IF(Grandview_Inventory[[#This Row],[pre_res]]&lt;0,0,Grandview_Inventory[[#This Row],[pre_res]]*Grandview_Inventory[[#This Row],[overall_adj]])</f>
        <v>250758.08552364365</v>
      </c>
      <c r="BZ144" s="6">
        <f>(Grandview_Inventory[[#This Row],[sum_land]]-IF(Grandview_Inventory[[#This Row],[no_utilities]]=1,12000,0))/IF(Grandview_Inventory[[#This Row],[unbuildable]]=1,2,1)</f>
        <v>52004.542988489469</v>
      </c>
      <c r="CA14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4">
        <f>ROUND(Grandview_Inventory[[#This Row],[det_value]]*Lookups!$M$28,-2)</f>
        <v>0</v>
      </c>
      <c r="CC144">
        <f>IF(ROUND(Grandview_Inventory[[#This Row],[adj_res]]*Lookups!$M$28,-2)&lt;Grandview_Inventory[[#This Row],[min_res]],Grandview_Inventory[[#This Row],[min_res]],ROUND(Grandview_Inventory[[#This Row],[adj_res]]*Lookups!$M$28,-2))</f>
        <v>238200</v>
      </c>
      <c r="CD144">
        <f>Grandview_Inventory[[#This Row],[final_det]]+Grandview_Inventory[[#This Row],[final_res]]</f>
        <v>238200</v>
      </c>
      <c r="CE144">
        <f>Grandview_Inventory[[#This Row],[final_land]]+Grandview_Inventory[[#This Row],[final_imp]]+Grandview_Inventory[[#This Row],[crop_value]]</f>
        <v>287600</v>
      </c>
      <c r="CG144" t="str">
        <f t="shared" si="2"/>
        <v>update valuation set market_land =49400, market_bldg=238200, market_total =287600, market_mdno =401, market_date ='9/10/2023' where link_id = (select link_id from parcel where parcel_year = '2024' and parcel_id = '23091433476');</v>
      </c>
    </row>
    <row r="145" spans="1:85" x14ac:dyDescent="0.25">
      <c r="A145">
        <v>23091433477</v>
      </c>
      <c r="B145">
        <v>0.24</v>
      </c>
      <c r="C145">
        <v>10454</v>
      </c>
      <c r="D145" t="s">
        <v>129</v>
      </c>
      <c r="E145" t="s">
        <v>53</v>
      </c>
      <c r="F145" t="s">
        <v>53</v>
      </c>
      <c r="G145">
        <v>4</v>
      </c>
      <c r="H145" t="s">
        <v>54</v>
      </c>
      <c r="I145">
        <v>217900</v>
      </c>
      <c r="J145">
        <v>39800</v>
      </c>
      <c r="K145">
        <v>0.24</v>
      </c>
      <c r="L14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5">
        <v>0</v>
      </c>
      <c r="N145">
        <v>0</v>
      </c>
      <c r="O145">
        <v>0</v>
      </c>
      <c r="P145">
        <v>13398.7528</v>
      </c>
      <c r="Q145">
        <v>63903</v>
      </c>
      <c r="R145">
        <f>(Grandview_Inventory[[#This Row],[ln_acres]]*Grandview_Inventory[[#This Row],[coeff]])+Grandview_Inventory[[#This Row],[const]]</f>
        <v>44781.420733940802</v>
      </c>
      <c r="S145" t="s">
        <v>61</v>
      </c>
      <c r="T145">
        <v>1</v>
      </c>
      <c r="U145" t="s">
        <v>65</v>
      </c>
      <c r="V145" t="s">
        <v>67</v>
      </c>
      <c r="W145">
        <v>0</v>
      </c>
      <c r="X145">
        <v>0</v>
      </c>
      <c r="Y145">
        <v>20</v>
      </c>
      <c r="Z145">
        <v>20</v>
      </c>
      <c r="AA145">
        <v>20</v>
      </c>
      <c r="AB145">
        <v>1500</v>
      </c>
      <c r="AC145">
        <v>1380</v>
      </c>
      <c r="AD145">
        <v>1380</v>
      </c>
      <c r="AE145">
        <v>0</v>
      </c>
      <c r="AF145">
        <v>0</v>
      </c>
      <c r="AG145">
        <v>0</v>
      </c>
      <c r="AH145">
        <v>0</v>
      </c>
      <c r="AI145">
        <v>308</v>
      </c>
      <c r="AJ145">
        <v>0</v>
      </c>
      <c r="AK145">
        <v>0</v>
      </c>
      <c r="AL145">
        <v>0</v>
      </c>
      <c r="AM145">
        <v>140</v>
      </c>
      <c r="AN145">
        <v>0</v>
      </c>
      <c r="AO145">
        <v>0</v>
      </c>
      <c r="AP145">
        <v>8</v>
      </c>
      <c r="AQ145">
        <v>0</v>
      </c>
      <c r="AR145">
        <v>0</v>
      </c>
      <c r="AS145" t="s">
        <v>58</v>
      </c>
      <c r="AT145">
        <v>1</v>
      </c>
      <c r="AU145" t="s">
        <v>59</v>
      </c>
      <c r="AV145" t="s">
        <v>60</v>
      </c>
      <c r="AW145">
        <v>1</v>
      </c>
      <c r="AX145">
        <v>3</v>
      </c>
      <c r="AY145">
        <v>0</v>
      </c>
      <c r="AZ145">
        <v>0</v>
      </c>
      <c r="BA145">
        <v>100</v>
      </c>
      <c r="BB145">
        <v>100</v>
      </c>
      <c r="BC145">
        <v>100</v>
      </c>
      <c r="BD145">
        <v>100</v>
      </c>
      <c r="BE145">
        <v>1</v>
      </c>
      <c r="BF145">
        <v>15000</v>
      </c>
      <c r="BG145">
        <v>1000</v>
      </c>
      <c r="BH145" s="6">
        <f>Grandview_Inventory[[#This Row],[land_extract]]*Lookups!$B$3</f>
        <v>52004.542988489469</v>
      </c>
      <c r="BI145" s="6">
        <f>IF(Grandview_Inventory[[#This Row],[bldg_style]]="",0,Lookups!$B$2)</f>
        <v>155833.95000000001</v>
      </c>
      <c r="BJ145" s="6">
        <f>_xlfn.IFNA(VLOOKUP(Grandview_Inventory[[#This Row],[quality]],Lookups!$H$2:$J$14,3,FALSE),0)</f>
        <v>2251</v>
      </c>
      <c r="BK145" s="6">
        <f>_xlfn.IFNA(VLOOKUP(Grandview_Inventory[[#This Row],[condition]],Lookups!$H$17:$J$24,3,FALSE),0)</f>
        <v>22342</v>
      </c>
      <c r="BL145" s="6">
        <f>Grandview_Inventory[[#This Row],[Eff_Age]]*Lookups!$B$14</f>
        <v>-4783.3319999999994</v>
      </c>
      <c r="BM145" s="6">
        <f>Grandview_Inventory[[#This Row],[living_area]]*Lookups!$B$15</f>
        <v>86085.577140000009</v>
      </c>
      <c r="BN145" s="6">
        <f>Grandview_Inventory[[#This Row],[Fin BSMT]]*Lookups!$B$16</f>
        <v>0</v>
      </c>
      <c r="BO145" s="6">
        <f>(Grandview_Inventory[[#This Row],[att_gar]]+Grandview_Inventory[[#This Row],[bltin_gar]])*Lookups!$B$17</f>
        <v>26956.294596</v>
      </c>
      <c r="BP145" s="6">
        <f>Grandview_Inventory[[#This Row],[Plumbing Fixtures]]*Lookups!$B$18</f>
        <v>16083.5344</v>
      </c>
      <c r="BQ145" s="6">
        <f>Grandview_Inventory[[#This Row],[detatched_value]]*Lookups!$B$19</f>
        <v>0</v>
      </c>
      <c r="BR145" s="6">
        <f>SUM(Grandview_Inventory[[#This Row],[Intercept]:[det_value]])*Grandview_Inventory[[#This Row],[res_pct]]</f>
        <v>304769.02413600002</v>
      </c>
      <c r="BS145" s="6">
        <f>Grandview_Inventory[[#This Row],[land_value]]</f>
        <v>52004.542988489469</v>
      </c>
      <c r="BT145" s="4">
        <f>_xlfn.IFNA(VLOOKUP(Grandview_Inventory[[#This Row],[quality]],Lookups!$A$26:$C$33,3,FALSE),1)</f>
        <v>0.98763855981004833</v>
      </c>
      <c r="BU145" s="4">
        <f>_xlfn.IFNA(VLOOKUP(Grandview_Inventory[[#This Row],[condition]],Lookups!$A$37:$C$44,3,FALSE),1)</f>
        <v>0.97383723671140243</v>
      </c>
      <c r="BV145" s="4">
        <f>IF(Grandview_Inventory[[#This Row],[bldg_style]]="",1,_xlfn.IFNA(VLOOKUP(Grandview_Inventory[[#This Row],[decade]],Lookups!$F$29:$H$43,3,FALSE),1))</f>
        <v>0.96737494181490646</v>
      </c>
      <c r="BW145" s="4">
        <f>_xlfn.IFNA(VLOOKUP(Grandview_Inventory[[#This Row],[living_area_range]],Lookups!$F$47:$H$56,3,FALSE),1)</f>
        <v>0.96135087979789358</v>
      </c>
      <c r="BX145" s="4">
        <f>AVERAGE(Grandview_Inventory[[#This Row],[qual_adj]:[size_adj]])</f>
        <v>0.97255040453356267</v>
      </c>
      <c r="BY145" s="6">
        <f>IF(Grandview_Inventory[[#This Row],[pre_res]]&lt;0,0,Grandview_Inventory[[#This Row],[pre_res]]*Grandview_Inventory[[#This Row],[overall_adj]])</f>
        <v>296403.23771276593</v>
      </c>
      <c r="BZ145" s="6">
        <f>(Grandview_Inventory[[#This Row],[sum_land]]-IF(Grandview_Inventory[[#This Row],[no_utilities]]=1,12000,0))/IF(Grandview_Inventory[[#This Row],[unbuildable]]=1,2,1)</f>
        <v>52004.542988489469</v>
      </c>
      <c r="CA14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5">
        <f>ROUND(Grandview_Inventory[[#This Row],[det_value]]*Lookups!$M$28,-2)</f>
        <v>0</v>
      </c>
      <c r="CC145">
        <f>IF(ROUND(Grandview_Inventory[[#This Row],[adj_res]]*Lookups!$M$28,-2)&lt;Grandview_Inventory[[#This Row],[min_res]],Grandview_Inventory[[#This Row],[min_res]],ROUND(Grandview_Inventory[[#This Row],[adj_res]]*Lookups!$M$28,-2))</f>
        <v>281600</v>
      </c>
      <c r="CD145">
        <f>Grandview_Inventory[[#This Row],[final_det]]+Grandview_Inventory[[#This Row],[final_res]]</f>
        <v>281600</v>
      </c>
      <c r="CE145">
        <f>Grandview_Inventory[[#This Row],[final_land]]+Grandview_Inventory[[#This Row],[final_imp]]+Grandview_Inventory[[#This Row],[crop_value]]</f>
        <v>331000</v>
      </c>
      <c r="CG145" t="str">
        <f t="shared" si="2"/>
        <v>update valuation set market_land =49400, market_bldg=281600, market_total =331000, market_mdno =401, market_date ='9/10/2023' where link_id = (select link_id from parcel where parcel_year = '2024' and parcel_id = '23091433477');</v>
      </c>
    </row>
    <row r="146" spans="1:85" x14ac:dyDescent="0.25">
      <c r="A146">
        <v>23091433479</v>
      </c>
      <c r="B146">
        <v>0.15</v>
      </c>
      <c r="C146">
        <v>6612</v>
      </c>
      <c r="D146" t="s">
        <v>129</v>
      </c>
      <c r="E146" t="s">
        <v>53</v>
      </c>
      <c r="F146" t="s">
        <v>53</v>
      </c>
      <c r="G146">
        <v>4</v>
      </c>
      <c r="H146" t="s">
        <v>54</v>
      </c>
      <c r="I146">
        <v>204600</v>
      </c>
      <c r="J146">
        <v>38400</v>
      </c>
      <c r="K146">
        <v>0.15</v>
      </c>
      <c r="L14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46">
        <v>0</v>
      </c>
      <c r="N146">
        <v>0</v>
      </c>
      <c r="O146">
        <v>0</v>
      </c>
      <c r="P146">
        <v>13398.7528</v>
      </c>
      <c r="Q146">
        <v>63903</v>
      </c>
      <c r="R146">
        <f>(Grandview_Inventory[[#This Row],[ln_acres]]*Grandview_Inventory[[#This Row],[coeff]])+Grandview_Inventory[[#This Row],[const]]</f>
        <v>38483.958290574345</v>
      </c>
      <c r="S146" t="s">
        <v>68</v>
      </c>
      <c r="T146">
        <v>1</v>
      </c>
      <c r="U146" t="s">
        <v>62</v>
      </c>
      <c r="V146" t="s">
        <v>69</v>
      </c>
      <c r="W146">
        <v>0</v>
      </c>
      <c r="X146">
        <v>0</v>
      </c>
      <c r="Y146">
        <v>51</v>
      </c>
      <c r="Z146">
        <v>77</v>
      </c>
      <c r="AA146">
        <v>80</v>
      </c>
      <c r="AB146">
        <v>2000</v>
      </c>
      <c r="AC146">
        <v>1718</v>
      </c>
      <c r="AD146">
        <v>1718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372</v>
      </c>
      <c r="AL146">
        <v>0</v>
      </c>
      <c r="AM146">
        <v>0</v>
      </c>
      <c r="AN146">
        <v>0</v>
      </c>
      <c r="AO146">
        <v>0</v>
      </c>
      <c r="AP146">
        <v>8</v>
      </c>
      <c r="AQ146">
        <v>1</v>
      </c>
      <c r="AR146">
        <v>2</v>
      </c>
      <c r="AS146" t="s">
        <v>58</v>
      </c>
      <c r="AT146">
        <v>1</v>
      </c>
      <c r="AU146" t="s">
        <v>59</v>
      </c>
      <c r="AV146" t="s">
        <v>60</v>
      </c>
      <c r="AW146">
        <v>1</v>
      </c>
      <c r="AX146">
        <v>3</v>
      </c>
      <c r="AY146">
        <v>0</v>
      </c>
      <c r="AZ146">
        <v>0</v>
      </c>
      <c r="BA146">
        <v>100</v>
      </c>
      <c r="BB146">
        <v>100</v>
      </c>
      <c r="BC146">
        <v>100</v>
      </c>
      <c r="BD146">
        <v>100</v>
      </c>
      <c r="BE146">
        <v>1</v>
      </c>
      <c r="BF146">
        <v>15000</v>
      </c>
      <c r="BG146">
        <v>1000</v>
      </c>
      <c r="BH146" s="6">
        <f>Grandview_Inventory[[#This Row],[land_extract]]*Lookups!$B$3</f>
        <v>44691.316856156598</v>
      </c>
      <c r="BI146" s="6">
        <f>IF(Grandview_Inventory[[#This Row],[bldg_style]]="",0,Lookups!$B$2)</f>
        <v>155833.95000000001</v>
      </c>
      <c r="BJ146" s="6">
        <f>_xlfn.IFNA(VLOOKUP(Grandview_Inventory[[#This Row],[quality]],Lookups!$H$2:$J$14,3,FALSE),0)</f>
        <v>9808</v>
      </c>
      <c r="BK146" s="6">
        <f>_xlfn.IFNA(VLOOKUP(Grandview_Inventory[[#This Row],[condition]],Lookups!$H$17:$J$24,3,FALSE),0)</f>
        <v>-4503</v>
      </c>
      <c r="BL146" s="6">
        <f>Grandview_Inventory[[#This Row],[Eff_Age]]*Lookups!$B$14</f>
        <v>-12197.496599999999</v>
      </c>
      <c r="BM146" s="6">
        <f>Grandview_Inventory[[#This Row],[living_area]]*Lookups!$B$15</f>
        <v>107170.305454</v>
      </c>
      <c r="BN146" s="6">
        <f>Grandview_Inventory[[#This Row],[Fin BSMT]]*Lookups!$B$16</f>
        <v>0</v>
      </c>
      <c r="BO146" s="6">
        <f>(Grandview_Inventory[[#This Row],[att_gar]]+Grandview_Inventory[[#This Row],[bltin_gar]])*Lookups!$B$17</f>
        <v>0</v>
      </c>
      <c r="BP146" s="6">
        <f>Grandview_Inventory[[#This Row],[Plumbing Fixtures]]*Lookups!$B$18</f>
        <v>16083.5344</v>
      </c>
      <c r="BQ146" s="6">
        <f>Grandview_Inventory[[#This Row],[detatched_value]]*Lookups!$B$19</f>
        <v>0</v>
      </c>
      <c r="BR146" s="6">
        <f>SUM(Grandview_Inventory[[#This Row],[Intercept]:[det_value]])*Grandview_Inventory[[#This Row],[res_pct]]</f>
        <v>272195.29325400002</v>
      </c>
      <c r="BS146" s="6">
        <f>Grandview_Inventory[[#This Row],[land_value]]</f>
        <v>44691.316856156598</v>
      </c>
      <c r="BT146" s="4">
        <f>_xlfn.IFNA(VLOOKUP(Grandview_Inventory[[#This Row],[quality]],Lookups!$A$26:$C$33,3,FALSE),1)</f>
        <v>0.94295468617355149</v>
      </c>
      <c r="BU146" s="4">
        <f>_xlfn.IFNA(VLOOKUP(Grandview_Inventory[[#This Row],[condition]],Lookups!$A$37:$C$44,3,FALSE),1)</f>
        <v>0.96469275950863709</v>
      </c>
      <c r="BV146" s="4">
        <f>IF(Grandview_Inventory[[#This Row],[bldg_style]]="",1,_xlfn.IFNA(VLOOKUP(Grandview_Inventory[[#This Row],[decade]],Lookups!$F$29:$H$43,3,FALSE),1))</f>
        <v>0.98763256963907298</v>
      </c>
      <c r="BW146" s="4">
        <f>_xlfn.IFNA(VLOOKUP(Grandview_Inventory[[#This Row],[living_area_range]],Lookups!$F$47:$H$56,3,FALSE),1)</f>
        <v>0.96120133463014379</v>
      </c>
      <c r="BX146" s="4">
        <f>AVERAGE(Grandview_Inventory[[#This Row],[qual_adj]:[size_adj]])</f>
        <v>0.96412033748785131</v>
      </c>
      <c r="BY146" s="6">
        <f>IF(Grandview_Inventory[[#This Row],[pre_res]]&lt;0,0,Grandview_Inventory[[#This Row],[pre_res]]*Grandview_Inventory[[#This Row],[overall_adj]])</f>
        <v>262429.01799465116</v>
      </c>
      <c r="BZ146" s="6">
        <f>(Grandview_Inventory[[#This Row],[sum_land]]-IF(Grandview_Inventory[[#This Row],[no_utilities]]=1,12000,0))/IF(Grandview_Inventory[[#This Row],[unbuildable]]=1,2,1)</f>
        <v>44691.316856156598</v>
      </c>
      <c r="CA14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46">
        <f>ROUND(Grandview_Inventory[[#This Row],[det_value]]*Lookups!$M$28,-2)</f>
        <v>0</v>
      </c>
      <c r="CC146">
        <f>IF(ROUND(Grandview_Inventory[[#This Row],[adj_res]]*Lookups!$M$28,-2)&lt;Grandview_Inventory[[#This Row],[min_res]],Grandview_Inventory[[#This Row],[min_res]],ROUND(Grandview_Inventory[[#This Row],[adj_res]]*Lookups!$M$28,-2))</f>
        <v>249300</v>
      </c>
      <c r="CD146">
        <f>Grandview_Inventory[[#This Row],[final_det]]+Grandview_Inventory[[#This Row],[final_res]]</f>
        <v>249300</v>
      </c>
      <c r="CE146">
        <f>Grandview_Inventory[[#This Row],[final_land]]+Grandview_Inventory[[#This Row],[final_imp]]+Grandview_Inventory[[#This Row],[crop_value]]</f>
        <v>291800</v>
      </c>
      <c r="CG146" t="str">
        <f t="shared" si="2"/>
        <v>update valuation set market_land =42500, market_bldg=249300, market_total =291800, market_mdno =401, market_date ='9/10/2023' where link_id = (select link_id from parcel where parcel_year = '2024' and parcel_id = '23091433479');</v>
      </c>
    </row>
    <row r="147" spans="1:85" x14ac:dyDescent="0.25">
      <c r="A147">
        <v>23091433482</v>
      </c>
      <c r="B147">
        <v>0.16</v>
      </c>
      <c r="C147" t="s">
        <v>129</v>
      </c>
      <c r="D147" t="s">
        <v>129</v>
      </c>
      <c r="E147" t="s">
        <v>53</v>
      </c>
      <c r="F147" t="s">
        <v>53</v>
      </c>
      <c r="G147">
        <v>4</v>
      </c>
      <c r="H147" t="s">
        <v>54</v>
      </c>
      <c r="I147">
        <v>180900</v>
      </c>
      <c r="J147">
        <v>38600</v>
      </c>
      <c r="K147">
        <v>0.16</v>
      </c>
      <c r="L14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7">
        <v>0</v>
      </c>
      <c r="N147">
        <v>0</v>
      </c>
      <c r="O147">
        <v>0</v>
      </c>
      <c r="P147">
        <v>13398.7528</v>
      </c>
      <c r="Q147">
        <v>63903</v>
      </c>
      <c r="R147">
        <f>(Grandview_Inventory[[#This Row],[ln_acres]]*Grandview_Inventory[[#This Row],[coeff]])+Grandview_Inventory[[#This Row],[const]]</f>
        <v>39348.693981374228</v>
      </c>
      <c r="S147" t="s">
        <v>61</v>
      </c>
      <c r="T147">
        <v>1</v>
      </c>
      <c r="U147" t="s">
        <v>65</v>
      </c>
      <c r="V147" t="s">
        <v>69</v>
      </c>
      <c r="W147">
        <v>0</v>
      </c>
      <c r="X147">
        <v>0</v>
      </c>
      <c r="Y147">
        <v>51</v>
      </c>
      <c r="Z147">
        <v>78</v>
      </c>
      <c r="AA147">
        <v>80</v>
      </c>
      <c r="AB147">
        <v>2000</v>
      </c>
      <c r="AC147">
        <v>1840</v>
      </c>
      <c r="AD147">
        <v>1840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448</v>
      </c>
      <c r="AL147">
        <v>0</v>
      </c>
      <c r="AM147">
        <v>192</v>
      </c>
      <c r="AN147">
        <v>0</v>
      </c>
      <c r="AO147">
        <v>192</v>
      </c>
      <c r="AP147">
        <v>9</v>
      </c>
      <c r="AQ147">
        <v>0</v>
      </c>
      <c r="AR147">
        <v>0</v>
      </c>
      <c r="AS147" t="s">
        <v>58</v>
      </c>
      <c r="AT147">
        <v>1</v>
      </c>
      <c r="AU147" t="s">
        <v>75</v>
      </c>
      <c r="AV147" t="s">
        <v>60</v>
      </c>
      <c r="AW147">
        <v>0</v>
      </c>
      <c r="AX147">
        <v>4</v>
      </c>
      <c r="AY147">
        <v>0</v>
      </c>
      <c r="AZ147">
        <v>0</v>
      </c>
      <c r="BA147">
        <v>100</v>
      </c>
      <c r="BB147">
        <v>100</v>
      </c>
      <c r="BC147">
        <v>100</v>
      </c>
      <c r="BD147">
        <v>100</v>
      </c>
      <c r="BE147">
        <v>1</v>
      </c>
      <c r="BF147">
        <v>15000</v>
      </c>
      <c r="BG147">
        <v>1000</v>
      </c>
      <c r="BH147" s="6">
        <f>Grandview_Inventory[[#This Row],[land_extract]]*Lookups!$B$3</f>
        <v>45695.532079096141</v>
      </c>
      <c r="BI147" s="6">
        <f>IF(Grandview_Inventory[[#This Row],[bldg_style]]="",0,Lookups!$B$2)</f>
        <v>155833.95000000001</v>
      </c>
      <c r="BJ147" s="6">
        <f>_xlfn.IFNA(VLOOKUP(Grandview_Inventory[[#This Row],[quality]],Lookups!$H$2:$J$14,3,FALSE),0)</f>
        <v>2251</v>
      </c>
      <c r="BK147" s="6">
        <f>_xlfn.IFNA(VLOOKUP(Grandview_Inventory[[#This Row],[condition]],Lookups!$H$17:$J$24,3,FALSE),0)</f>
        <v>-4503</v>
      </c>
      <c r="BL147" s="6">
        <f>Grandview_Inventory[[#This Row],[Eff_Age]]*Lookups!$B$14</f>
        <v>-12197.496599999999</v>
      </c>
      <c r="BM147" s="6">
        <f>Grandview_Inventory[[#This Row],[living_area]]*Lookups!$B$15</f>
        <v>114780.76952</v>
      </c>
      <c r="BN147" s="6">
        <f>Grandview_Inventory[[#This Row],[Fin BSMT]]*Lookups!$B$16</f>
        <v>0</v>
      </c>
      <c r="BO147" s="6">
        <f>(Grandview_Inventory[[#This Row],[att_gar]]+Grandview_Inventory[[#This Row],[bltin_gar]])*Lookups!$B$17</f>
        <v>0</v>
      </c>
      <c r="BP147" s="6">
        <f>Grandview_Inventory[[#This Row],[Plumbing Fixtures]]*Lookups!$B$18</f>
        <v>18093.976200000001</v>
      </c>
      <c r="BQ147" s="6">
        <f>Grandview_Inventory[[#This Row],[detatched_value]]*Lookups!$B$19</f>
        <v>0</v>
      </c>
      <c r="BR147" s="6">
        <f>SUM(Grandview_Inventory[[#This Row],[Intercept]:[det_value]])*Grandview_Inventory[[#This Row],[res_pct]]</f>
        <v>274259.19912</v>
      </c>
      <c r="BS147" s="6">
        <f>Grandview_Inventory[[#This Row],[land_value]]</f>
        <v>45695.532079096141</v>
      </c>
      <c r="BT147" s="4">
        <f>_xlfn.IFNA(VLOOKUP(Grandview_Inventory[[#This Row],[quality]],Lookups!$A$26:$C$33,3,FALSE),1)</f>
        <v>0.98763855981004833</v>
      </c>
      <c r="BU147" s="4">
        <f>_xlfn.IFNA(VLOOKUP(Grandview_Inventory[[#This Row],[condition]],Lookups!$A$37:$C$44,3,FALSE),1)</f>
        <v>0.96469275950863709</v>
      </c>
      <c r="BV147" s="4">
        <f>IF(Grandview_Inventory[[#This Row],[bldg_style]]="",1,_xlfn.IFNA(VLOOKUP(Grandview_Inventory[[#This Row],[decade]],Lookups!$F$29:$H$43,3,FALSE),1))</f>
        <v>0.98763256963907298</v>
      </c>
      <c r="BW147" s="4">
        <f>_xlfn.IFNA(VLOOKUP(Grandview_Inventory[[#This Row],[living_area_range]],Lookups!$F$47:$H$56,3,FALSE),1)</f>
        <v>0.96120133463014379</v>
      </c>
      <c r="BX147" s="4">
        <f>AVERAGE(Grandview_Inventory[[#This Row],[qual_adj]:[size_adj]])</f>
        <v>0.97529130589697544</v>
      </c>
      <c r="BY147" s="6">
        <f>IF(Grandview_Inventory[[#This Row],[pre_res]]&lt;0,0,Grandview_Inventory[[#This Row],[pre_res]]*Grandview_Inventory[[#This Row],[overall_adj]])</f>
        <v>267482.61246400344</v>
      </c>
      <c r="BZ147" s="6">
        <f>(Grandview_Inventory[[#This Row],[sum_land]]-IF(Grandview_Inventory[[#This Row],[no_utilities]]=1,12000,0))/IF(Grandview_Inventory[[#This Row],[unbuildable]]=1,2,1)</f>
        <v>45695.532079096141</v>
      </c>
      <c r="CA14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7">
        <f>ROUND(Grandview_Inventory[[#This Row],[det_value]]*Lookups!$M$28,-2)</f>
        <v>0</v>
      </c>
      <c r="CC147">
        <f>IF(ROUND(Grandview_Inventory[[#This Row],[adj_res]]*Lookups!$M$28,-2)&lt;Grandview_Inventory[[#This Row],[min_res]],Grandview_Inventory[[#This Row],[min_res]],ROUND(Grandview_Inventory[[#This Row],[adj_res]]*Lookups!$M$28,-2))</f>
        <v>254100</v>
      </c>
      <c r="CD147">
        <f>Grandview_Inventory[[#This Row],[final_det]]+Grandview_Inventory[[#This Row],[final_res]]</f>
        <v>254100</v>
      </c>
      <c r="CE147">
        <f>Grandview_Inventory[[#This Row],[final_land]]+Grandview_Inventory[[#This Row],[final_imp]]+Grandview_Inventory[[#This Row],[crop_value]]</f>
        <v>297500</v>
      </c>
      <c r="CG147" t="str">
        <f t="shared" si="2"/>
        <v>update valuation set market_land =43400, market_bldg=254100, market_total =297500, market_mdno =401, market_date ='9/10/2023' where link_id = (select link_id from parcel where parcel_year = '2024' and parcel_id = '23091433482');</v>
      </c>
    </row>
    <row r="148" spans="1:85" x14ac:dyDescent="0.25">
      <c r="A148">
        <v>23091433483</v>
      </c>
      <c r="B148">
        <v>0.17</v>
      </c>
      <c r="C148" t="s">
        <v>129</v>
      </c>
      <c r="D148" t="s">
        <v>129</v>
      </c>
      <c r="E148" t="s">
        <v>53</v>
      </c>
      <c r="F148" t="s">
        <v>53</v>
      </c>
      <c r="G148">
        <v>4</v>
      </c>
      <c r="H148" t="s">
        <v>54</v>
      </c>
      <c r="I148">
        <v>150600</v>
      </c>
      <c r="J148">
        <v>38800</v>
      </c>
      <c r="K148">
        <v>0.17</v>
      </c>
      <c r="L14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8">
        <v>0</v>
      </c>
      <c r="N148">
        <v>0</v>
      </c>
      <c r="O148">
        <v>0</v>
      </c>
      <c r="P148">
        <v>13398.7528</v>
      </c>
      <c r="Q148">
        <v>63903</v>
      </c>
      <c r="R148">
        <f>(Grandview_Inventory[[#This Row],[ln_acres]]*Grandview_Inventory[[#This Row],[coeff]])+Grandview_Inventory[[#This Row],[const]]</f>
        <v>40160.988302686128</v>
      </c>
      <c r="S148" t="s">
        <v>68</v>
      </c>
      <c r="T148">
        <v>1</v>
      </c>
      <c r="U148" t="s">
        <v>70</v>
      </c>
      <c r="V148" t="s">
        <v>69</v>
      </c>
      <c r="W148">
        <v>0</v>
      </c>
      <c r="X148">
        <v>0</v>
      </c>
      <c r="Y148">
        <v>51</v>
      </c>
      <c r="Z148">
        <v>83</v>
      </c>
      <c r="AA148">
        <v>90</v>
      </c>
      <c r="AB148">
        <v>1500</v>
      </c>
      <c r="AC148">
        <v>1332</v>
      </c>
      <c r="AD148">
        <v>1332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288</v>
      </c>
      <c r="AL148">
        <v>0</v>
      </c>
      <c r="AM148">
        <v>108</v>
      </c>
      <c r="AN148">
        <v>192</v>
      </c>
      <c r="AO148">
        <v>0</v>
      </c>
      <c r="AP148">
        <v>5</v>
      </c>
      <c r="AQ148">
        <v>1</v>
      </c>
      <c r="AR148">
        <v>0</v>
      </c>
      <c r="AS148" t="s">
        <v>58</v>
      </c>
      <c r="AT148">
        <v>1</v>
      </c>
      <c r="AU148" t="s">
        <v>63</v>
      </c>
      <c r="AV148" t="s">
        <v>64</v>
      </c>
      <c r="AW148">
        <v>0</v>
      </c>
      <c r="AX148">
        <v>3</v>
      </c>
      <c r="AY148">
        <v>0</v>
      </c>
      <c r="AZ148">
        <v>0</v>
      </c>
      <c r="BA148">
        <v>100</v>
      </c>
      <c r="BB148">
        <v>100</v>
      </c>
      <c r="BC148">
        <v>100</v>
      </c>
      <c r="BD148">
        <v>100</v>
      </c>
      <c r="BE148">
        <v>1</v>
      </c>
      <c r="BF148">
        <v>15000</v>
      </c>
      <c r="BG148">
        <v>1000</v>
      </c>
      <c r="BH148" s="6">
        <f>Grandview_Inventory[[#This Row],[land_extract]]*Lookups!$B$3</f>
        <v>46638.847281240982</v>
      </c>
      <c r="BI148" s="6">
        <f>IF(Grandview_Inventory[[#This Row],[bldg_style]]="",0,Lookups!$B$2)</f>
        <v>155833.95000000001</v>
      </c>
      <c r="BJ148" s="6">
        <f>_xlfn.IFNA(VLOOKUP(Grandview_Inventory[[#This Row],[quality]],Lookups!$H$2:$J$14,3,FALSE),0)</f>
        <v>10733</v>
      </c>
      <c r="BK148" s="6">
        <f>_xlfn.IFNA(VLOOKUP(Grandview_Inventory[[#This Row],[condition]],Lookups!$H$17:$J$24,3,FALSE),0)</f>
        <v>-4503</v>
      </c>
      <c r="BL148" s="6">
        <f>Grandview_Inventory[[#This Row],[Eff_Age]]*Lookups!$B$14</f>
        <v>-12197.496599999999</v>
      </c>
      <c r="BM148" s="6">
        <f>Grandview_Inventory[[#This Row],[living_area]]*Lookups!$B$15</f>
        <v>83091.296195999996</v>
      </c>
      <c r="BN148" s="6">
        <f>Grandview_Inventory[[#This Row],[Fin BSMT]]*Lookups!$B$16</f>
        <v>0</v>
      </c>
      <c r="BO148" s="6">
        <f>(Grandview_Inventory[[#This Row],[att_gar]]+Grandview_Inventory[[#This Row],[bltin_gar]])*Lookups!$B$17</f>
        <v>0</v>
      </c>
      <c r="BP148" s="6">
        <f>Grandview_Inventory[[#This Row],[Plumbing Fixtures]]*Lookups!$B$18</f>
        <v>10052.209000000001</v>
      </c>
      <c r="BQ148" s="6">
        <f>Grandview_Inventory[[#This Row],[detatched_value]]*Lookups!$B$19</f>
        <v>0</v>
      </c>
      <c r="BR148" s="6">
        <f>SUM(Grandview_Inventory[[#This Row],[Intercept]:[det_value]])*Grandview_Inventory[[#This Row],[res_pct]]</f>
        <v>243009.95859600001</v>
      </c>
      <c r="BS148" s="6">
        <f>Grandview_Inventory[[#This Row],[land_value]]</f>
        <v>46638.847281240982</v>
      </c>
      <c r="BT148" s="4">
        <f>_xlfn.IFNA(VLOOKUP(Grandview_Inventory[[#This Row],[quality]],Lookups!$A$26:$C$33,3,FALSE),1)</f>
        <v>0.98079741117310582</v>
      </c>
      <c r="BU148" s="4">
        <f>_xlfn.IFNA(VLOOKUP(Grandview_Inventory[[#This Row],[condition]],Lookups!$A$37:$C$44,3,FALSE),1)</f>
        <v>0.96469275950863709</v>
      </c>
      <c r="BV148" s="4">
        <f>IF(Grandview_Inventory[[#This Row],[bldg_style]]="",1,_xlfn.IFNA(VLOOKUP(Grandview_Inventory[[#This Row],[decade]],Lookups!$F$29:$H$43,3,FALSE),1))</f>
        <v>0.94161750052457416</v>
      </c>
      <c r="BW148" s="4">
        <f>_xlfn.IFNA(VLOOKUP(Grandview_Inventory[[#This Row],[living_area_range]],Lookups!$F$47:$H$56,3,FALSE),1)</f>
        <v>0.96135087979789358</v>
      </c>
      <c r="BX148" s="4">
        <f>AVERAGE(Grandview_Inventory[[#This Row],[qual_adj]:[size_adj]])</f>
        <v>0.96211463775105266</v>
      </c>
      <c r="BY148" s="6">
        <f>IF(Grandview_Inventory[[#This Row],[pre_res]]&lt;0,0,Grandview_Inventory[[#This Row],[pre_res]]*Grandview_Inventory[[#This Row],[overall_adj]])</f>
        <v>233803.43828448886</v>
      </c>
      <c r="BZ148" s="6">
        <f>(Grandview_Inventory[[#This Row],[sum_land]]-IF(Grandview_Inventory[[#This Row],[no_utilities]]=1,12000,0))/IF(Grandview_Inventory[[#This Row],[unbuildable]]=1,2,1)</f>
        <v>46638.847281240982</v>
      </c>
      <c r="CA14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8">
        <f>ROUND(Grandview_Inventory[[#This Row],[det_value]]*Lookups!$M$28,-2)</f>
        <v>0</v>
      </c>
      <c r="CC148">
        <f>IF(ROUND(Grandview_Inventory[[#This Row],[adj_res]]*Lookups!$M$28,-2)&lt;Grandview_Inventory[[#This Row],[min_res]],Grandview_Inventory[[#This Row],[min_res]],ROUND(Grandview_Inventory[[#This Row],[adj_res]]*Lookups!$M$28,-2))</f>
        <v>222100</v>
      </c>
      <c r="CD148">
        <f>Grandview_Inventory[[#This Row],[final_det]]+Grandview_Inventory[[#This Row],[final_res]]</f>
        <v>222100</v>
      </c>
      <c r="CE148">
        <f>Grandview_Inventory[[#This Row],[final_land]]+Grandview_Inventory[[#This Row],[final_imp]]+Grandview_Inventory[[#This Row],[crop_value]]</f>
        <v>266400</v>
      </c>
      <c r="CG148" t="str">
        <f t="shared" si="2"/>
        <v>update valuation set market_land =44300, market_bldg=222100, market_total =266400, market_mdno =401, market_date ='9/10/2023' where link_id = (select link_id from parcel where parcel_year = '2024' and parcel_id = '23091433483');</v>
      </c>
    </row>
    <row r="149" spans="1:85" x14ac:dyDescent="0.25">
      <c r="A149">
        <v>23091433484</v>
      </c>
      <c r="B149">
        <v>0.19</v>
      </c>
      <c r="C149">
        <v>8081</v>
      </c>
      <c r="D149" t="s">
        <v>129</v>
      </c>
      <c r="E149" t="s">
        <v>53</v>
      </c>
      <c r="F149" t="s">
        <v>53</v>
      </c>
      <c r="G149">
        <v>4</v>
      </c>
      <c r="H149" t="s">
        <v>54</v>
      </c>
      <c r="I149">
        <v>166600</v>
      </c>
      <c r="J149">
        <v>39000</v>
      </c>
      <c r="K149">
        <v>0.19</v>
      </c>
      <c r="L14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9">
        <v>0</v>
      </c>
      <c r="N149">
        <v>0</v>
      </c>
      <c r="O149">
        <v>0</v>
      </c>
      <c r="P149">
        <v>13398.7528</v>
      </c>
      <c r="Q149">
        <v>63903</v>
      </c>
      <c r="R149">
        <f>(Grandview_Inventory[[#This Row],[ln_acres]]*Grandview_Inventory[[#This Row],[coeff]])+Grandview_Inventory[[#This Row],[const]]</f>
        <v>41651.273092551026</v>
      </c>
      <c r="S149" t="s">
        <v>68</v>
      </c>
      <c r="T149">
        <v>1</v>
      </c>
      <c r="U149" t="s">
        <v>70</v>
      </c>
      <c r="V149" t="s">
        <v>69</v>
      </c>
      <c r="W149">
        <v>0</v>
      </c>
      <c r="X149">
        <v>0</v>
      </c>
      <c r="Y149">
        <v>48</v>
      </c>
      <c r="Z149">
        <v>63</v>
      </c>
      <c r="AA149">
        <v>70</v>
      </c>
      <c r="AB149">
        <v>1500</v>
      </c>
      <c r="AC149">
        <v>1428</v>
      </c>
      <c r="AD149">
        <v>1428</v>
      </c>
      <c r="AE149">
        <v>0</v>
      </c>
      <c r="AF149">
        <v>0</v>
      </c>
      <c r="AG149">
        <v>0</v>
      </c>
      <c r="AH149">
        <v>0</v>
      </c>
      <c r="AI149">
        <v>460</v>
      </c>
      <c r="AJ149">
        <v>0</v>
      </c>
      <c r="AK149">
        <v>0</v>
      </c>
      <c r="AL149">
        <v>0</v>
      </c>
      <c r="AM149">
        <v>128</v>
      </c>
      <c r="AN149">
        <v>0</v>
      </c>
      <c r="AO149">
        <v>128</v>
      </c>
      <c r="AP149">
        <v>5</v>
      </c>
      <c r="AQ149">
        <v>0</v>
      </c>
      <c r="AR149">
        <v>0</v>
      </c>
      <c r="AS149" t="s">
        <v>58</v>
      </c>
      <c r="AT149">
        <v>0</v>
      </c>
      <c r="AU149" t="s">
        <v>82</v>
      </c>
      <c r="AV149" t="s">
        <v>60</v>
      </c>
      <c r="AW149">
        <v>0</v>
      </c>
      <c r="AX149">
        <v>3</v>
      </c>
      <c r="AY149">
        <v>0</v>
      </c>
      <c r="AZ149">
        <v>0</v>
      </c>
      <c r="BA149">
        <v>100</v>
      </c>
      <c r="BB149">
        <v>100</v>
      </c>
      <c r="BC149">
        <v>100</v>
      </c>
      <c r="BD149">
        <v>100</v>
      </c>
      <c r="BE149">
        <v>1</v>
      </c>
      <c r="BF149">
        <v>15000</v>
      </c>
      <c r="BG149">
        <v>1000</v>
      </c>
      <c r="BH149" s="6">
        <f>Grandview_Inventory[[#This Row],[land_extract]]*Lookups!$B$3</f>
        <v>48369.510983942157</v>
      </c>
      <c r="BI149" s="6">
        <f>IF(Grandview_Inventory[[#This Row],[bldg_style]]="",0,Lookups!$B$2)</f>
        <v>155833.95000000001</v>
      </c>
      <c r="BJ149" s="6">
        <f>_xlfn.IFNA(VLOOKUP(Grandview_Inventory[[#This Row],[quality]],Lookups!$H$2:$J$14,3,FALSE),0)</f>
        <v>10733</v>
      </c>
      <c r="BK149" s="6">
        <f>_xlfn.IFNA(VLOOKUP(Grandview_Inventory[[#This Row],[condition]],Lookups!$H$17:$J$24,3,FALSE),0)</f>
        <v>-4503</v>
      </c>
      <c r="BL149" s="6">
        <f>Grandview_Inventory[[#This Row],[Eff_Age]]*Lookups!$B$14</f>
        <v>-11479.996799999999</v>
      </c>
      <c r="BM149" s="6">
        <f>Grandview_Inventory[[#This Row],[living_area]]*Lookups!$B$15</f>
        <v>89079.858084000007</v>
      </c>
      <c r="BN149" s="6">
        <f>Grandview_Inventory[[#This Row],[Fin BSMT]]*Lookups!$B$16</f>
        <v>0</v>
      </c>
      <c r="BO149" s="6">
        <f>(Grandview_Inventory[[#This Row],[att_gar]]+Grandview_Inventory[[#This Row],[bltin_gar]])*Lookups!$B$17</f>
        <v>40259.401019999998</v>
      </c>
      <c r="BP149" s="6">
        <f>Grandview_Inventory[[#This Row],[Plumbing Fixtures]]*Lookups!$B$18</f>
        <v>10052.209000000001</v>
      </c>
      <c r="BQ149" s="6">
        <f>Grandview_Inventory[[#This Row],[detatched_value]]*Lookups!$B$19</f>
        <v>0</v>
      </c>
      <c r="BR149" s="6">
        <f>SUM(Grandview_Inventory[[#This Row],[Intercept]:[det_value]])*Grandview_Inventory[[#This Row],[res_pct]]</f>
        <v>289975.42130400002</v>
      </c>
      <c r="BS149" s="6">
        <f>Grandview_Inventory[[#This Row],[land_value]]</f>
        <v>48369.510983942157</v>
      </c>
      <c r="BT149" s="4">
        <f>_xlfn.IFNA(VLOOKUP(Grandview_Inventory[[#This Row],[quality]],Lookups!$A$26:$C$33,3,FALSE),1)</f>
        <v>0.98079741117310582</v>
      </c>
      <c r="BU149" s="4">
        <f>_xlfn.IFNA(VLOOKUP(Grandview_Inventory[[#This Row],[condition]],Lookups!$A$37:$C$44,3,FALSE),1)</f>
        <v>0.96469275950863709</v>
      </c>
      <c r="BV149" s="4">
        <f>IF(Grandview_Inventory[[#This Row],[bldg_style]]="",1,_xlfn.IFNA(VLOOKUP(Grandview_Inventory[[#This Row],[decade]],Lookups!$F$29:$H$43,3,FALSE),1))</f>
        <v>0.99472141305414818</v>
      </c>
      <c r="BW149" s="4">
        <f>_xlfn.IFNA(VLOOKUP(Grandview_Inventory[[#This Row],[living_area_range]],Lookups!$F$47:$H$56,3,FALSE),1)</f>
        <v>0.96135087979789358</v>
      </c>
      <c r="BX149" s="4">
        <f>AVERAGE(Grandview_Inventory[[#This Row],[qual_adj]:[size_adj]])</f>
        <v>0.97539061588344622</v>
      </c>
      <c r="BY149" s="6">
        <f>IF(Grandview_Inventory[[#This Row],[pre_res]]&lt;0,0,Grandview_Inventory[[#This Row],[pre_res]]*Grandview_Inventory[[#This Row],[overall_adj]])</f>
        <v>282839.30477677035</v>
      </c>
      <c r="BZ149" s="6">
        <f>(Grandview_Inventory[[#This Row],[sum_land]]-IF(Grandview_Inventory[[#This Row],[no_utilities]]=1,12000,0))/IF(Grandview_Inventory[[#This Row],[unbuildable]]=1,2,1)</f>
        <v>48369.510983942157</v>
      </c>
      <c r="CA14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9">
        <f>ROUND(Grandview_Inventory[[#This Row],[det_value]]*Lookups!$M$28,-2)</f>
        <v>0</v>
      </c>
      <c r="CC149">
        <f>IF(ROUND(Grandview_Inventory[[#This Row],[adj_res]]*Lookups!$M$28,-2)&lt;Grandview_Inventory[[#This Row],[min_res]],Grandview_Inventory[[#This Row],[min_res]],ROUND(Grandview_Inventory[[#This Row],[adj_res]]*Lookups!$M$28,-2))</f>
        <v>268700</v>
      </c>
      <c r="CD149">
        <f>Grandview_Inventory[[#This Row],[final_det]]+Grandview_Inventory[[#This Row],[final_res]]</f>
        <v>268700</v>
      </c>
      <c r="CE149">
        <f>Grandview_Inventory[[#This Row],[final_land]]+Grandview_Inventory[[#This Row],[final_imp]]+Grandview_Inventory[[#This Row],[crop_value]]</f>
        <v>314700</v>
      </c>
      <c r="CG149" t="str">
        <f t="shared" si="2"/>
        <v>update valuation set market_land =46000, market_bldg=268700, market_total =314700, market_mdno =401, market_date ='9/10/2023' where link_id = (select link_id from parcel where parcel_year = '2024' and parcel_id = '23091433484');</v>
      </c>
    </row>
    <row r="150" spans="1:85" x14ac:dyDescent="0.25">
      <c r="A150">
        <v>23091433487</v>
      </c>
      <c r="B150">
        <v>0.2</v>
      </c>
      <c r="C150" t="s">
        <v>129</v>
      </c>
      <c r="D150" t="s">
        <v>129</v>
      </c>
      <c r="E150" t="s">
        <v>53</v>
      </c>
      <c r="F150" t="s">
        <v>53</v>
      </c>
      <c r="G150">
        <v>4</v>
      </c>
      <c r="H150" t="s">
        <v>54</v>
      </c>
      <c r="I150">
        <v>198400</v>
      </c>
      <c r="J150">
        <v>39300</v>
      </c>
      <c r="K150">
        <v>0.2</v>
      </c>
      <c r="L15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50">
        <v>0</v>
      </c>
      <c r="N150">
        <v>0</v>
      </c>
      <c r="O150">
        <v>0</v>
      </c>
      <c r="P150">
        <v>13398.7528</v>
      </c>
      <c r="Q150">
        <v>63903</v>
      </c>
      <c r="R150">
        <f>(Grandview_Inventory[[#This Row],[ln_acres]]*Grandview_Inventory[[#This Row],[coeff]])+Grandview_Inventory[[#This Row],[const]]</f>
        <v>42338.539264347448</v>
      </c>
      <c r="S150" t="s">
        <v>68</v>
      </c>
      <c r="T150">
        <v>1</v>
      </c>
      <c r="U150" t="s">
        <v>70</v>
      </c>
      <c r="V150" t="s">
        <v>67</v>
      </c>
      <c r="W150">
        <v>0</v>
      </c>
      <c r="X150">
        <v>0</v>
      </c>
      <c r="Y150">
        <v>51</v>
      </c>
      <c r="Z150">
        <v>83</v>
      </c>
      <c r="AA150">
        <v>90</v>
      </c>
      <c r="AB150">
        <v>2000</v>
      </c>
      <c r="AC150">
        <v>1632</v>
      </c>
      <c r="AD150">
        <v>1632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348</v>
      </c>
      <c r="AL150">
        <v>0</v>
      </c>
      <c r="AM150">
        <v>0</v>
      </c>
      <c r="AN150">
        <v>0</v>
      </c>
      <c r="AO150">
        <v>60</v>
      </c>
      <c r="AP150">
        <v>5</v>
      </c>
      <c r="AQ150">
        <v>0</v>
      </c>
      <c r="AR150">
        <v>0</v>
      </c>
      <c r="AS150" t="s">
        <v>58</v>
      </c>
      <c r="AT150">
        <v>1</v>
      </c>
      <c r="AU150" t="s">
        <v>63</v>
      </c>
      <c r="AV150" t="s">
        <v>60</v>
      </c>
      <c r="AW150">
        <v>0</v>
      </c>
      <c r="AX150">
        <v>5</v>
      </c>
      <c r="AY150">
        <v>0</v>
      </c>
      <c r="AZ150">
        <v>0</v>
      </c>
      <c r="BA150">
        <v>100</v>
      </c>
      <c r="BB150">
        <v>100</v>
      </c>
      <c r="BC150">
        <v>100</v>
      </c>
      <c r="BD150">
        <v>100</v>
      </c>
      <c r="BE150">
        <v>1</v>
      </c>
      <c r="BF150">
        <v>15000</v>
      </c>
      <c r="BG150">
        <v>1000</v>
      </c>
      <c r="BH150" s="6">
        <f>Grandview_Inventory[[#This Row],[land_extract]]*Lookups!$B$3</f>
        <v>49167.631333630678</v>
      </c>
      <c r="BI150" s="6">
        <f>IF(Grandview_Inventory[[#This Row],[bldg_style]]="",0,Lookups!$B$2)</f>
        <v>155833.95000000001</v>
      </c>
      <c r="BJ150" s="6">
        <f>_xlfn.IFNA(VLOOKUP(Grandview_Inventory[[#This Row],[quality]],Lookups!$H$2:$J$14,3,FALSE),0)</f>
        <v>10733</v>
      </c>
      <c r="BK150" s="6">
        <f>_xlfn.IFNA(VLOOKUP(Grandview_Inventory[[#This Row],[condition]],Lookups!$H$17:$J$24,3,FALSE),0)</f>
        <v>22342</v>
      </c>
      <c r="BL150" s="6">
        <f>Grandview_Inventory[[#This Row],[Eff_Age]]*Lookups!$B$14</f>
        <v>-12197.496599999999</v>
      </c>
      <c r="BM150" s="6">
        <f>Grandview_Inventory[[#This Row],[living_area]]*Lookups!$B$15</f>
        <v>101805.552096</v>
      </c>
      <c r="BN150" s="6">
        <f>Grandview_Inventory[[#This Row],[Fin BSMT]]*Lookups!$B$16</f>
        <v>0</v>
      </c>
      <c r="BO150" s="6">
        <f>(Grandview_Inventory[[#This Row],[att_gar]]+Grandview_Inventory[[#This Row],[bltin_gar]])*Lookups!$B$17</f>
        <v>0</v>
      </c>
      <c r="BP150" s="6">
        <f>Grandview_Inventory[[#This Row],[Plumbing Fixtures]]*Lookups!$B$18</f>
        <v>10052.209000000001</v>
      </c>
      <c r="BQ150" s="6">
        <f>Grandview_Inventory[[#This Row],[detatched_value]]*Lookups!$B$19</f>
        <v>0</v>
      </c>
      <c r="BR150" s="6">
        <f>SUM(Grandview_Inventory[[#This Row],[Intercept]:[det_value]])*Grandview_Inventory[[#This Row],[res_pct]]</f>
        <v>288569.21449599997</v>
      </c>
      <c r="BS150" s="6">
        <f>Grandview_Inventory[[#This Row],[land_value]]</f>
        <v>49167.631333630678</v>
      </c>
      <c r="BT150" s="4">
        <f>_xlfn.IFNA(VLOOKUP(Grandview_Inventory[[#This Row],[quality]],Lookups!$A$26:$C$33,3,FALSE),1)</f>
        <v>0.98079741117310582</v>
      </c>
      <c r="BU150" s="4">
        <f>_xlfn.IFNA(VLOOKUP(Grandview_Inventory[[#This Row],[condition]],Lookups!$A$37:$C$44,3,FALSE),1)</f>
        <v>0.97383723671140243</v>
      </c>
      <c r="BV150" s="4">
        <f>IF(Grandview_Inventory[[#This Row],[bldg_style]]="",1,_xlfn.IFNA(VLOOKUP(Grandview_Inventory[[#This Row],[decade]],Lookups!$F$29:$H$43,3,FALSE),1))</f>
        <v>0.94161750052457416</v>
      </c>
      <c r="BW150" s="4">
        <f>_xlfn.IFNA(VLOOKUP(Grandview_Inventory[[#This Row],[living_area_range]],Lookups!$F$47:$H$56,3,FALSE),1)</f>
        <v>0.96120133463014379</v>
      </c>
      <c r="BX150" s="4">
        <f>AVERAGE(Grandview_Inventory[[#This Row],[qual_adj]:[size_adj]])</f>
        <v>0.96436337075980649</v>
      </c>
      <c r="BY150" s="6">
        <f>IF(Grandview_Inventory[[#This Row],[pre_res]]&lt;0,0,Grandview_Inventory[[#This Row],[pre_res]]*Grandview_Inventory[[#This Row],[overall_adj]])</f>
        <v>278285.58038887213</v>
      </c>
      <c r="BZ150" s="6">
        <f>(Grandview_Inventory[[#This Row],[sum_land]]-IF(Grandview_Inventory[[#This Row],[no_utilities]]=1,12000,0))/IF(Grandview_Inventory[[#This Row],[unbuildable]]=1,2,1)</f>
        <v>49167.631333630678</v>
      </c>
      <c r="CA15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50">
        <f>ROUND(Grandview_Inventory[[#This Row],[det_value]]*Lookups!$M$28,-2)</f>
        <v>0</v>
      </c>
      <c r="CC150">
        <f>IF(ROUND(Grandview_Inventory[[#This Row],[adj_res]]*Lookups!$M$28,-2)&lt;Grandview_Inventory[[#This Row],[min_res]],Grandview_Inventory[[#This Row],[min_res]],ROUND(Grandview_Inventory[[#This Row],[adj_res]]*Lookups!$M$28,-2))</f>
        <v>264400</v>
      </c>
      <c r="CD150">
        <f>Grandview_Inventory[[#This Row],[final_det]]+Grandview_Inventory[[#This Row],[final_res]]</f>
        <v>264400</v>
      </c>
      <c r="CE150">
        <f>Grandview_Inventory[[#This Row],[final_land]]+Grandview_Inventory[[#This Row],[final_imp]]+Grandview_Inventory[[#This Row],[crop_value]]</f>
        <v>311100</v>
      </c>
      <c r="CG150" t="str">
        <f t="shared" si="2"/>
        <v>update valuation set market_land =46700, market_bldg=264400, market_total =311100, market_mdno =401, market_date ='9/10/2023' where link_id = (select link_id from parcel where parcel_year = '2024' and parcel_id = '23091433487');</v>
      </c>
    </row>
    <row r="151" spans="1:85" x14ac:dyDescent="0.25">
      <c r="A151">
        <v>23091433494</v>
      </c>
      <c r="B151">
        <v>0.17</v>
      </c>
      <c r="C151">
        <v>7487</v>
      </c>
      <c r="D151" t="s">
        <v>129</v>
      </c>
      <c r="E151" t="s">
        <v>53</v>
      </c>
      <c r="F151" t="s">
        <v>53</v>
      </c>
      <c r="G151">
        <v>4</v>
      </c>
      <c r="H151" t="s">
        <v>54</v>
      </c>
      <c r="I151">
        <v>187400</v>
      </c>
      <c r="J151">
        <v>38800</v>
      </c>
      <c r="K151">
        <v>0.17</v>
      </c>
      <c r="L15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1">
        <v>0</v>
      </c>
      <c r="N151">
        <v>0</v>
      </c>
      <c r="O151">
        <v>0</v>
      </c>
      <c r="P151">
        <v>13398.7528</v>
      </c>
      <c r="Q151">
        <v>63903</v>
      </c>
      <c r="R151">
        <f>(Grandview_Inventory[[#This Row],[ln_acres]]*Grandview_Inventory[[#This Row],[coeff]])+Grandview_Inventory[[#This Row],[const]]</f>
        <v>40160.988302686128</v>
      </c>
      <c r="S151" t="s">
        <v>61</v>
      </c>
      <c r="T151">
        <v>1</v>
      </c>
      <c r="U151" t="s">
        <v>70</v>
      </c>
      <c r="V151" t="s">
        <v>69</v>
      </c>
      <c r="W151">
        <v>0</v>
      </c>
      <c r="X151">
        <v>0</v>
      </c>
      <c r="Y151">
        <v>45</v>
      </c>
      <c r="Z151">
        <v>52</v>
      </c>
      <c r="AA151">
        <v>60</v>
      </c>
      <c r="AB151">
        <v>2000</v>
      </c>
      <c r="AC151">
        <v>1800</v>
      </c>
      <c r="AD151">
        <v>1800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118</v>
      </c>
      <c r="AM151">
        <v>100</v>
      </c>
      <c r="AN151">
        <v>40</v>
      </c>
      <c r="AO151">
        <v>0</v>
      </c>
      <c r="AP151">
        <v>7</v>
      </c>
      <c r="AQ151">
        <v>1</v>
      </c>
      <c r="AR151">
        <v>0</v>
      </c>
      <c r="AS151" t="s">
        <v>58</v>
      </c>
      <c r="AT151">
        <v>1</v>
      </c>
      <c r="AU151" t="s">
        <v>75</v>
      </c>
      <c r="AV151" t="s">
        <v>60</v>
      </c>
      <c r="AW151">
        <v>0</v>
      </c>
      <c r="AX151">
        <v>4</v>
      </c>
      <c r="AY151">
        <v>0</v>
      </c>
      <c r="AZ151">
        <v>0</v>
      </c>
      <c r="BA151">
        <v>100</v>
      </c>
      <c r="BB151">
        <v>100</v>
      </c>
      <c r="BC151">
        <v>100</v>
      </c>
      <c r="BD151">
        <v>100</v>
      </c>
      <c r="BE151">
        <v>1</v>
      </c>
      <c r="BF151">
        <v>15000</v>
      </c>
      <c r="BG151">
        <v>1000</v>
      </c>
      <c r="BH151" s="6">
        <f>Grandview_Inventory[[#This Row],[land_extract]]*Lookups!$B$3</f>
        <v>46638.847281240982</v>
      </c>
      <c r="BI151" s="6">
        <f>IF(Grandview_Inventory[[#This Row],[bldg_style]]="",0,Lookups!$B$2)</f>
        <v>155833.95000000001</v>
      </c>
      <c r="BJ151" s="6">
        <f>_xlfn.IFNA(VLOOKUP(Grandview_Inventory[[#This Row],[quality]],Lookups!$H$2:$J$14,3,FALSE),0)</f>
        <v>10733</v>
      </c>
      <c r="BK151" s="6">
        <f>_xlfn.IFNA(VLOOKUP(Grandview_Inventory[[#This Row],[condition]],Lookups!$H$17:$J$24,3,FALSE),0)</f>
        <v>-4503</v>
      </c>
      <c r="BL151" s="6">
        <f>Grandview_Inventory[[#This Row],[Eff_Age]]*Lookups!$B$14</f>
        <v>-10762.496999999999</v>
      </c>
      <c r="BM151" s="6">
        <f>Grandview_Inventory[[#This Row],[living_area]]*Lookups!$B$15</f>
        <v>112285.53540000001</v>
      </c>
      <c r="BN151" s="6">
        <f>Grandview_Inventory[[#This Row],[Fin BSMT]]*Lookups!$B$16</f>
        <v>0</v>
      </c>
      <c r="BO151" s="6">
        <f>(Grandview_Inventory[[#This Row],[att_gar]]+Grandview_Inventory[[#This Row],[bltin_gar]])*Lookups!$B$17</f>
        <v>0</v>
      </c>
      <c r="BP151" s="6">
        <f>Grandview_Inventory[[#This Row],[Plumbing Fixtures]]*Lookups!$B$18</f>
        <v>14073.0926</v>
      </c>
      <c r="BQ151" s="6">
        <f>Grandview_Inventory[[#This Row],[detatched_value]]*Lookups!$B$19</f>
        <v>0</v>
      </c>
      <c r="BR151" s="6">
        <f>SUM(Grandview_Inventory[[#This Row],[Intercept]:[det_value]])*Grandview_Inventory[[#This Row],[res_pct]]</f>
        <v>277660.08100000001</v>
      </c>
      <c r="BS151" s="6">
        <f>Grandview_Inventory[[#This Row],[land_value]]</f>
        <v>46638.847281240982</v>
      </c>
      <c r="BT151" s="4">
        <f>_xlfn.IFNA(VLOOKUP(Grandview_Inventory[[#This Row],[quality]],Lookups!$A$26:$C$33,3,FALSE),1)</f>
        <v>0.98079741117310582</v>
      </c>
      <c r="BU151" s="4">
        <f>_xlfn.IFNA(VLOOKUP(Grandview_Inventory[[#This Row],[condition]],Lookups!$A$37:$C$44,3,FALSE),1)</f>
        <v>0.96469275950863709</v>
      </c>
      <c r="BV151" s="4">
        <f>IF(Grandview_Inventory[[#This Row],[bldg_style]]="",1,_xlfn.IFNA(VLOOKUP(Grandview_Inventory[[#This Row],[decade]],Lookups!$F$29:$H$43,3,FALSE),1))</f>
        <v>0.95268620544463312</v>
      </c>
      <c r="BW151" s="4">
        <f>_xlfn.IFNA(VLOOKUP(Grandview_Inventory[[#This Row],[living_area_range]],Lookups!$F$47:$H$56,3,FALSE),1)</f>
        <v>0.96120133463014379</v>
      </c>
      <c r="BX151" s="4">
        <f>AVERAGE(Grandview_Inventory[[#This Row],[qual_adj]:[size_adj]])</f>
        <v>0.96484442768912992</v>
      </c>
      <c r="BY151" s="6">
        <f>IF(Grandview_Inventory[[#This Row],[pre_res]]&lt;0,0,Grandview_Inventory[[#This Row],[pre_res]]*Grandview_Inventory[[#This Row],[overall_adj]])</f>
        <v>267898.78194456245</v>
      </c>
      <c r="BZ151" s="6">
        <f>(Grandview_Inventory[[#This Row],[sum_land]]-IF(Grandview_Inventory[[#This Row],[no_utilities]]=1,12000,0))/IF(Grandview_Inventory[[#This Row],[unbuildable]]=1,2,1)</f>
        <v>46638.847281240982</v>
      </c>
      <c r="CA15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1">
        <f>ROUND(Grandview_Inventory[[#This Row],[det_value]]*Lookups!$M$28,-2)</f>
        <v>0</v>
      </c>
      <c r="CC151">
        <f>IF(ROUND(Grandview_Inventory[[#This Row],[adj_res]]*Lookups!$M$28,-2)&lt;Grandview_Inventory[[#This Row],[min_res]],Grandview_Inventory[[#This Row],[min_res]],ROUND(Grandview_Inventory[[#This Row],[adj_res]]*Lookups!$M$28,-2))</f>
        <v>254500</v>
      </c>
      <c r="CD151">
        <f>Grandview_Inventory[[#This Row],[final_det]]+Grandview_Inventory[[#This Row],[final_res]]</f>
        <v>254500</v>
      </c>
      <c r="CE151">
        <f>Grandview_Inventory[[#This Row],[final_land]]+Grandview_Inventory[[#This Row],[final_imp]]+Grandview_Inventory[[#This Row],[crop_value]]</f>
        <v>298800</v>
      </c>
      <c r="CG151" t="str">
        <f t="shared" si="2"/>
        <v>update valuation set market_land =44300, market_bldg=254500, market_total =298800, market_mdno =401, market_date ='9/10/2023' where link_id = (select link_id from parcel where parcel_year = '2024' and parcel_id = '23091433494');</v>
      </c>
    </row>
    <row r="152" spans="1:85" x14ac:dyDescent="0.25">
      <c r="A152">
        <v>23091433497</v>
      </c>
      <c r="B152">
        <v>0.34</v>
      </c>
      <c r="C152" t="s">
        <v>129</v>
      </c>
      <c r="D152" t="s">
        <v>129</v>
      </c>
      <c r="E152" t="s">
        <v>53</v>
      </c>
      <c r="F152" t="s">
        <v>53</v>
      </c>
      <c r="G152">
        <v>4</v>
      </c>
      <c r="H152" t="s">
        <v>54</v>
      </c>
      <c r="I152">
        <v>201900</v>
      </c>
      <c r="J152">
        <v>41200</v>
      </c>
      <c r="K152">
        <v>0.34</v>
      </c>
      <c r="L152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52">
        <v>0</v>
      </c>
      <c r="N152">
        <v>0</v>
      </c>
      <c r="O152">
        <v>0</v>
      </c>
      <c r="P152">
        <v>13398.7528</v>
      </c>
      <c r="Q152">
        <v>63903</v>
      </c>
      <c r="R152">
        <f>(Grandview_Inventory[[#This Row],[ln_acres]]*Grandview_Inventory[[#This Row],[coeff]])+Grandview_Inventory[[#This Row],[const]]</f>
        <v>49448.296029025805</v>
      </c>
      <c r="S152" t="s">
        <v>68</v>
      </c>
      <c r="T152">
        <v>1</v>
      </c>
      <c r="U152" t="s">
        <v>65</v>
      </c>
      <c r="V152" t="s">
        <v>67</v>
      </c>
      <c r="W152">
        <v>0</v>
      </c>
      <c r="X152">
        <v>0</v>
      </c>
      <c r="Y152">
        <v>50</v>
      </c>
      <c r="Z152">
        <v>73</v>
      </c>
      <c r="AA152">
        <v>80</v>
      </c>
      <c r="AB152">
        <v>2000</v>
      </c>
      <c r="AC152">
        <v>1570</v>
      </c>
      <c r="AD152">
        <v>1570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156</v>
      </c>
      <c r="AN152">
        <v>20</v>
      </c>
      <c r="AO152">
        <v>0</v>
      </c>
      <c r="AP152">
        <v>7</v>
      </c>
      <c r="AQ152">
        <v>1</v>
      </c>
      <c r="AR152">
        <v>0</v>
      </c>
      <c r="AS152" t="s">
        <v>58</v>
      </c>
      <c r="AT152">
        <v>1</v>
      </c>
      <c r="AU152" t="s">
        <v>59</v>
      </c>
      <c r="AV152" t="s">
        <v>60</v>
      </c>
      <c r="AW152">
        <v>1</v>
      </c>
      <c r="AX152">
        <v>4</v>
      </c>
      <c r="AY152">
        <v>0</v>
      </c>
      <c r="AZ152">
        <v>0</v>
      </c>
      <c r="BA152">
        <v>100</v>
      </c>
      <c r="BB152">
        <v>100</v>
      </c>
      <c r="BC152">
        <v>100</v>
      </c>
      <c r="BD152">
        <v>100</v>
      </c>
      <c r="BE152">
        <v>1</v>
      </c>
      <c r="BF152">
        <v>15000</v>
      </c>
      <c r="BG152">
        <v>1000</v>
      </c>
      <c r="BH152" s="6">
        <f>Grandview_Inventory[[#This Row],[land_extract]]*Lookups!$B$3</f>
        <v>57424.172668108389</v>
      </c>
      <c r="BI152" s="6">
        <f>IF(Grandview_Inventory[[#This Row],[bldg_style]]="",0,Lookups!$B$2)</f>
        <v>155833.95000000001</v>
      </c>
      <c r="BJ152" s="6">
        <f>_xlfn.IFNA(VLOOKUP(Grandview_Inventory[[#This Row],[quality]],Lookups!$H$2:$J$14,3,FALSE),0)</f>
        <v>2251</v>
      </c>
      <c r="BK152" s="6">
        <f>_xlfn.IFNA(VLOOKUP(Grandview_Inventory[[#This Row],[condition]],Lookups!$H$17:$J$24,3,FALSE),0)</f>
        <v>22342</v>
      </c>
      <c r="BL152" s="6">
        <f>Grandview_Inventory[[#This Row],[Eff_Age]]*Lookups!$B$14</f>
        <v>-11958.33</v>
      </c>
      <c r="BM152" s="6">
        <f>Grandview_Inventory[[#This Row],[living_area]]*Lookups!$B$15</f>
        <v>97937.939209999997</v>
      </c>
      <c r="BN152" s="6">
        <f>Grandview_Inventory[[#This Row],[Fin BSMT]]*Lookups!$B$16</f>
        <v>0</v>
      </c>
      <c r="BO152" s="6">
        <f>(Grandview_Inventory[[#This Row],[att_gar]]+Grandview_Inventory[[#This Row],[bltin_gar]])*Lookups!$B$17</f>
        <v>0</v>
      </c>
      <c r="BP152" s="6">
        <f>Grandview_Inventory[[#This Row],[Plumbing Fixtures]]*Lookups!$B$18</f>
        <v>14073.0926</v>
      </c>
      <c r="BQ152" s="6">
        <f>Grandview_Inventory[[#This Row],[detatched_value]]*Lookups!$B$19</f>
        <v>0</v>
      </c>
      <c r="BR152" s="6">
        <f>SUM(Grandview_Inventory[[#This Row],[Intercept]:[det_value]])*Grandview_Inventory[[#This Row],[res_pct]]</f>
        <v>280479.65181000001</v>
      </c>
      <c r="BS152" s="6">
        <f>Grandview_Inventory[[#This Row],[land_value]]</f>
        <v>57424.172668108389</v>
      </c>
      <c r="BT152" s="4">
        <f>_xlfn.IFNA(VLOOKUP(Grandview_Inventory[[#This Row],[quality]],Lookups!$A$26:$C$33,3,FALSE),1)</f>
        <v>0.98763855981004833</v>
      </c>
      <c r="BU152" s="4">
        <f>_xlfn.IFNA(VLOOKUP(Grandview_Inventory[[#This Row],[condition]],Lookups!$A$37:$C$44,3,FALSE),1)</f>
        <v>0.97383723671140243</v>
      </c>
      <c r="BV152" s="4">
        <f>IF(Grandview_Inventory[[#This Row],[bldg_style]]="",1,_xlfn.IFNA(VLOOKUP(Grandview_Inventory[[#This Row],[decade]],Lookups!$F$29:$H$43,3,FALSE),1))</f>
        <v>0.98763256963907298</v>
      </c>
      <c r="BW152" s="4">
        <f>_xlfn.IFNA(VLOOKUP(Grandview_Inventory[[#This Row],[living_area_range]],Lookups!$F$47:$H$56,3,FALSE),1)</f>
        <v>0.96120133463014379</v>
      </c>
      <c r="BX152" s="4">
        <f>AVERAGE(Grandview_Inventory[[#This Row],[qual_adj]:[size_adj]])</f>
        <v>0.97757742519766677</v>
      </c>
      <c r="BY152" s="6">
        <f>IF(Grandview_Inventory[[#This Row],[pre_res]]&lt;0,0,Grandview_Inventory[[#This Row],[pre_res]]*Grandview_Inventory[[#This Row],[overall_adj]])</f>
        <v>274190.5758367579</v>
      </c>
      <c r="BZ152" s="6">
        <f>(Grandview_Inventory[[#This Row],[sum_land]]-IF(Grandview_Inventory[[#This Row],[no_utilities]]=1,12000,0))/IF(Grandview_Inventory[[#This Row],[unbuildable]]=1,2,1)</f>
        <v>57424.172668108389</v>
      </c>
      <c r="CA152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52">
        <f>ROUND(Grandview_Inventory[[#This Row],[det_value]]*Lookups!$M$28,-2)</f>
        <v>0</v>
      </c>
      <c r="CC152">
        <f>IF(ROUND(Grandview_Inventory[[#This Row],[adj_res]]*Lookups!$M$28,-2)&lt;Grandview_Inventory[[#This Row],[min_res]],Grandview_Inventory[[#This Row],[min_res]],ROUND(Grandview_Inventory[[#This Row],[adj_res]]*Lookups!$M$28,-2))</f>
        <v>260500</v>
      </c>
      <c r="CD152">
        <f>Grandview_Inventory[[#This Row],[final_det]]+Grandview_Inventory[[#This Row],[final_res]]</f>
        <v>260500</v>
      </c>
      <c r="CE152">
        <f>Grandview_Inventory[[#This Row],[final_land]]+Grandview_Inventory[[#This Row],[final_imp]]+Grandview_Inventory[[#This Row],[crop_value]]</f>
        <v>315100</v>
      </c>
      <c r="CG152" t="str">
        <f t="shared" si="2"/>
        <v>update valuation set market_land =54600, market_bldg=260500, market_total =315100, market_mdno =401, market_date ='9/10/2023' where link_id = (select link_id from parcel where parcel_year = '2024' and parcel_id = '23091433497');</v>
      </c>
    </row>
    <row r="153" spans="1:85" x14ac:dyDescent="0.25">
      <c r="A153">
        <v>23091433499</v>
      </c>
      <c r="B153">
        <v>0.33</v>
      </c>
      <c r="C153">
        <v>14468</v>
      </c>
      <c r="D153" t="s">
        <v>129</v>
      </c>
      <c r="E153" t="s">
        <v>53</v>
      </c>
      <c r="F153" t="s">
        <v>53</v>
      </c>
      <c r="G153">
        <v>4</v>
      </c>
      <c r="H153" t="s">
        <v>54</v>
      </c>
      <c r="I153">
        <v>151200</v>
      </c>
      <c r="J153">
        <v>41200</v>
      </c>
      <c r="K153">
        <v>0.33</v>
      </c>
      <c r="L153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53">
        <v>0</v>
      </c>
      <c r="N153">
        <v>0</v>
      </c>
      <c r="O153">
        <v>0</v>
      </c>
      <c r="P153">
        <v>13398.7528</v>
      </c>
      <c r="Q153">
        <v>63903</v>
      </c>
      <c r="R153">
        <f>(Grandview_Inventory[[#This Row],[ln_acres]]*Grandview_Inventory[[#This Row],[coeff]])+Grandview_Inventory[[#This Row],[const]]</f>
        <v>49048.303555435712</v>
      </c>
      <c r="S153" t="s">
        <v>61</v>
      </c>
      <c r="T153">
        <v>1</v>
      </c>
      <c r="U153" t="s">
        <v>70</v>
      </c>
      <c r="V153" t="s">
        <v>69</v>
      </c>
      <c r="W153">
        <v>0</v>
      </c>
      <c r="X153">
        <v>0</v>
      </c>
      <c r="Y153">
        <v>43</v>
      </c>
      <c r="Z153">
        <v>44</v>
      </c>
      <c r="AA153">
        <v>50</v>
      </c>
      <c r="AB153">
        <v>1500</v>
      </c>
      <c r="AC153">
        <v>1056</v>
      </c>
      <c r="AD153">
        <v>1056</v>
      </c>
      <c r="AE153">
        <v>0</v>
      </c>
      <c r="AF153">
        <v>0</v>
      </c>
      <c r="AG153">
        <v>0</v>
      </c>
      <c r="AH153">
        <v>0</v>
      </c>
      <c r="AI153">
        <v>288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5</v>
      </c>
      <c r="AQ153">
        <v>0</v>
      </c>
      <c r="AR153">
        <v>0</v>
      </c>
      <c r="AS153" t="s">
        <v>58</v>
      </c>
      <c r="AT153">
        <v>1</v>
      </c>
      <c r="AU153" t="s">
        <v>63</v>
      </c>
      <c r="AV153" t="s">
        <v>60</v>
      </c>
      <c r="AW153">
        <v>0</v>
      </c>
      <c r="AX153">
        <v>3</v>
      </c>
      <c r="AY153">
        <v>0</v>
      </c>
      <c r="AZ153">
        <v>0</v>
      </c>
      <c r="BA153">
        <v>100</v>
      </c>
      <c r="BB153">
        <v>100</v>
      </c>
      <c r="BC153">
        <v>100</v>
      </c>
      <c r="BD153">
        <v>100</v>
      </c>
      <c r="BE153">
        <v>1</v>
      </c>
      <c r="BF153">
        <v>15000</v>
      </c>
      <c r="BG153">
        <v>1000</v>
      </c>
      <c r="BH153" s="6">
        <f>Grandview_Inventory[[#This Row],[land_extract]]*Lookups!$B$3</f>
        <v>56959.662488507893</v>
      </c>
      <c r="BI153" s="6">
        <f>IF(Grandview_Inventory[[#This Row],[bldg_style]]="",0,Lookups!$B$2)</f>
        <v>155833.95000000001</v>
      </c>
      <c r="BJ153" s="6">
        <f>_xlfn.IFNA(VLOOKUP(Grandview_Inventory[[#This Row],[quality]],Lookups!$H$2:$J$14,3,FALSE),0)</f>
        <v>10733</v>
      </c>
      <c r="BK153" s="6">
        <f>_xlfn.IFNA(VLOOKUP(Grandview_Inventory[[#This Row],[condition]],Lookups!$H$17:$J$24,3,FALSE),0)</f>
        <v>-4503</v>
      </c>
      <c r="BL153" s="6">
        <f>Grandview_Inventory[[#This Row],[Eff_Age]]*Lookups!$B$14</f>
        <v>-10284.1638</v>
      </c>
      <c r="BM153" s="6">
        <f>Grandview_Inventory[[#This Row],[living_area]]*Lookups!$B$15</f>
        <v>65874.180768000006</v>
      </c>
      <c r="BN153" s="6">
        <f>Grandview_Inventory[[#This Row],[Fin BSMT]]*Lookups!$B$16</f>
        <v>0</v>
      </c>
      <c r="BO153" s="6">
        <f>(Grandview_Inventory[[#This Row],[att_gar]]+Grandview_Inventory[[#This Row],[bltin_gar]])*Lookups!$B$17</f>
        <v>25205.885856000001</v>
      </c>
      <c r="BP153" s="6">
        <f>Grandview_Inventory[[#This Row],[Plumbing Fixtures]]*Lookups!$B$18</f>
        <v>10052.209000000001</v>
      </c>
      <c r="BQ153" s="6">
        <f>Grandview_Inventory[[#This Row],[detatched_value]]*Lookups!$B$19</f>
        <v>0</v>
      </c>
      <c r="BR153" s="6">
        <f>SUM(Grandview_Inventory[[#This Row],[Intercept]:[det_value]])*Grandview_Inventory[[#This Row],[res_pct]]</f>
        <v>252912.061824</v>
      </c>
      <c r="BS153" s="6">
        <f>Grandview_Inventory[[#This Row],[land_value]]</f>
        <v>56959.662488507893</v>
      </c>
      <c r="BT153" s="4">
        <f>_xlfn.IFNA(VLOOKUP(Grandview_Inventory[[#This Row],[quality]],Lookups!$A$26:$C$33,3,FALSE),1)</f>
        <v>0.98079741117310582</v>
      </c>
      <c r="BU153" s="4">
        <f>_xlfn.IFNA(VLOOKUP(Grandview_Inventory[[#This Row],[condition]],Lookups!$A$37:$C$44,3,FALSE),1)</f>
        <v>0.96469275950863709</v>
      </c>
      <c r="BV153" s="4">
        <f>IF(Grandview_Inventory[[#This Row],[bldg_style]]="",1,_xlfn.IFNA(VLOOKUP(Grandview_Inventory[[#This Row],[decade]],Lookups!$F$29:$H$43,3,FALSE),1))</f>
        <v>0.9871940091910919</v>
      </c>
      <c r="BW153" s="4">
        <f>_xlfn.IFNA(VLOOKUP(Grandview_Inventory[[#This Row],[living_area_range]],Lookups!$F$47:$H$56,3,FALSE),1)</f>
        <v>0.96135087979789358</v>
      </c>
      <c r="BX153" s="4">
        <f>AVERAGE(Grandview_Inventory[[#This Row],[qual_adj]:[size_adj]])</f>
        <v>0.97350876491768212</v>
      </c>
      <c r="BY153" s="6">
        <f>IF(Grandview_Inventory[[#This Row],[pre_res]]&lt;0,0,Grandview_Inventory[[#This Row],[pre_res]]*Grandview_Inventory[[#This Row],[overall_adj]])</f>
        <v>246212.1089390667</v>
      </c>
      <c r="BZ153" s="6">
        <f>(Grandview_Inventory[[#This Row],[sum_land]]-IF(Grandview_Inventory[[#This Row],[no_utilities]]=1,12000,0))/IF(Grandview_Inventory[[#This Row],[unbuildable]]=1,2,1)</f>
        <v>56959.662488507893</v>
      </c>
      <c r="CA153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53">
        <f>ROUND(Grandview_Inventory[[#This Row],[det_value]]*Lookups!$M$28,-2)</f>
        <v>0</v>
      </c>
      <c r="CC153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153">
        <f>Grandview_Inventory[[#This Row],[final_det]]+Grandview_Inventory[[#This Row],[final_res]]</f>
        <v>233900</v>
      </c>
      <c r="CE153">
        <f>Grandview_Inventory[[#This Row],[final_land]]+Grandview_Inventory[[#This Row],[final_imp]]+Grandview_Inventory[[#This Row],[crop_value]]</f>
        <v>288000</v>
      </c>
      <c r="CG153" t="str">
        <f t="shared" si="2"/>
        <v>update valuation set market_land =54100, market_bldg=233900, market_total =288000, market_mdno =401, market_date ='9/10/2023' where link_id = (select link_id from parcel where parcel_year = '2024' and parcel_id = '23091433499');</v>
      </c>
    </row>
    <row r="154" spans="1:85" x14ac:dyDescent="0.25">
      <c r="A154">
        <v>23091433500</v>
      </c>
      <c r="B154">
        <v>0.25</v>
      </c>
      <c r="C154">
        <v>11105</v>
      </c>
      <c r="D154" t="s">
        <v>129</v>
      </c>
      <c r="E154" t="s">
        <v>53</v>
      </c>
      <c r="F154" t="s">
        <v>53</v>
      </c>
      <c r="G154">
        <v>4</v>
      </c>
      <c r="H154" t="s">
        <v>54</v>
      </c>
      <c r="I154">
        <v>164300</v>
      </c>
      <c r="J154">
        <v>40200</v>
      </c>
      <c r="K154">
        <v>0.25</v>
      </c>
      <c r="L15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54">
        <v>0</v>
      </c>
      <c r="N154">
        <v>0</v>
      </c>
      <c r="O154">
        <v>0</v>
      </c>
      <c r="P154">
        <v>13398.7528</v>
      </c>
      <c r="Q154">
        <v>63903</v>
      </c>
      <c r="R154">
        <f>(Grandview_Inventory[[#This Row],[ln_acres]]*Grandview_Inventory[[#This Row],[coeff]])+Grandview_Inventory[[#This Row],[const]]</f>
        <v>45328.38454732066</v>
      </c>
      <c r="S154" t="s">
        <v>61</v>
      </c>
      <c r="T154">
        <v>1</v>
      </c>
      <c r="U154" t="s">
        <v>65</v>
      </c>
      <c r="V154" t="s">
        <v>78</v>
      </c>
      <c r="W154">
        <v>0</v>
      </c>
      <c r="X154">
        <v>0</v>
      </c>
      <c r="Y154">
        <v>45</v>
      </c>
      <c r="Z154">
        <v>51</v>
      </c>
      <c r="AA154">
        <v>60</v>
      </c>
      <c r="AB154">
        <v>2000</v>
      </c>
      <c r="AC154">
        <v>1505</v>
      </c>
      <c r="AD154">
        <v>1505</v>
      </c>
      <c r="AE154">
        <v>0</v>
      </c>
      <c r="AF154">
        <v>0</v>
      </c>
      <c r="AG154">
        <v>0</v>
      </c>
      <c r="AH154">
        <v>0</v>
      </c>
      <c r="AI154">
        <v>483</v>
      </c>
      <c r="AJ154">
        <v>0</v>
      </c>
      <c r="AK154">
        <v>0</v>
      </c>
      <c r="AL154">
        <v>0</v>
      </c>
      <c r="AM154">
        <v>0</v>
      </c>
      <c r="AN154">
        <v>24</v>
      </c>
      <c r="AO154">
        <v>0</v>
      </c>
      <c r="AP154">
        <v>7</v>
      </c>
      <c r="AQ154">
        <v>0</v>
      </c>
      <c r="AR154">
        <v>0</v>
      </c>
      <c r="AS154" t="s">
        <v>58</v>
      </c>
      <c r="AT154">
        <v>1</v>
      </c>
      <c r="AU154" t="s">
        <v>75</v>
      </c>
      <c r="AV154" t="s">
        <v>60</v>
      </c>
      <c r="AW154">
        <v>1</v>
      </c>
      <c r="AX154">
        <v>3</v>
      </c>
      <c r="AY154">
        <v>0</v>
      </c>
      <c r="AZ154">
        <v>3000</v>
      </c>
      <c r="BA154">
        <v>100</v>
      </c>
      <c r="BB154">
        <v>100</v>
      </c>
      <c r="BC154">
        <v>100</v>
      </c>
      <c r="BD154">
        <v>100</v>
      </c>
      <c r="BE154">
        <v>1</v>
      </c>
      <c r="BF154">
        <v>15000</v>
      </c>
      <c r="BG154">
        <v>1000</v>
      </c>
      <c r="BH154" s="6">
        <f>Grandview_Inventory[[#This Row],[land_extract]]*Lookups!$B$3</f>
        <v>52639.730588165206</v>
      </c>
      <c r="BI154" s="6">
        <f>IF(Grandview_Inventory[[#This Row],[bldg_style]]="",0,Lookups!$B$2)</f>
        <v>155833.95000000001</v>
      </c>
      <c r="BJ154" s="6">
        <f>_xlfn.IFNA(VLOOKUP(Grandview_Inventory[[#This Row],[quality]],Lookups!$H$2:$J$14,3,FALSE),0)</f>
        <v>2251</v>
      </c>
      <c r="BK154" s="6">
        <f>_xlfn.IFNA(VLOOKUP(Grandview_Inventory[[#This Row],[condition]],Lookups!$H$17:$J$24,3,FALSE),0)</f>
        <v>-45357</v>
      </c>
      <c r="BL154" s="6">
        <f>Grandview_Inventory[[#This Row],[Eff_Age]]*Lookups!$B$14</f>
        <v>-10762.496999999999</v>
      </c>
      <c r="BM154" s="6">
        <f>Grandview_Inventory[[#This Row],[living_area]]*Lookups!$B$15</f>
        <v>93883.183765000009</v>
      </c>
      <c r="BN154" s="6">
        <f>Grandview_Inventory[[#This Row],[Fin BSMT]]*Lookups!$B$16</f>
        <v>0</v>
      </c>
      <c r="BO154" s="6">
        <f>(Grandview_Inventory[[#This Row],[att_gar]]+Grandview_Inventory[[#This Row],[bltin_gar]])*Lookups!$B$17</f>
        <v>42272.371071000001</v>
      </c>
      <c r="BP154" s="6">
        <f>Grandview_Inventory[[#This Row],[Plumbing Fixtures]]*Lookups!$B$18</f>
        <v>14073.0926</v>
      </c>
      <c r="BQ154" s="6">
        <f>Grandview_Inventory[[#This Row],[detatched_value]]*Lookups!$B$19</f>
        <v>2540.4153000000001</v>
      </c>
      <c r="BR154" s="6">
        <f>SUM(Grandview_Inventory[[#This Row],[Intercept]:[det_value]])*Grandview_Inventory[[#This Row],[res_pct]]</f>
        <v>254734.515736</v>
      </c>
      <c r="BS154" s="6">
        <f>Grandview_Inventory[[#This Row],[land_value]]</f>
        <v>52639.730588165206</v>
      </c>
      <c r="BT154" s="4">
        <f>_xlfn.IFNA(VLOOKUP(Grandview_Inventory[[#This Row],[quality]],Lookups!$A$26:$C$33,3,FALSE),1)</f>
        <v>0.98763855981004833</v>
      </c>
      <c r="BU154" s="4">
        <f>_xlfn.IFNA(VLOOKUP(Grandview_Inventory[[#This Row],[condition]],Lookups!$A$37:$C$44,3,FALSE),1)</f>
        <v>0.97161819570155394</v>
      </c>
      <c r="BV154" s="4">
        <f>IF(Grandview_Inventory[[#This Row],[bldg_style]]="",1,_xlfn.IFNA(VLOOKUP(Grandview_Inventory[[#This Row],[decade]],Lookups!$F$29:$H$43,3,FALSE),1))</f>
        <v>0.95268620544463312</v>
      </c>
      <c r="BW154" s="4">
        <f>_xlfn.IFNA(VLOOKUP(Grandview_Inventory[[#This Row],[living_area_range]],Lookups!$F$47:$H$56,3,FALSE),1)</f>
        <v>0.96120133463014379</v>
      </c>
      <c r="BX154" s="4">
        <f>AVERAGE(Grandview_Inventory[[#This Row],[qual_adj]:[size_adj]])</f>
        <v>0.96828607389659482</v>
      </c>
      <c r="BY154" s="6">
        <f>IF(Grandview_Inventory[[#This Row],[pre_res]]&lt;0,0,Grandview_Inventory[[#This Row],[pre_res]]*Grandview_Inventory[[#This Row],[overall_adj]])</f>
        <v>246655.88412796179</v>
      </c>
      <c r="BZ154" s="6">
        <f>(Grandview_Inventory[[#This Row],[sum_land]]-IF(Grandview_Inventory[[#This Row],[no_utilities]]=1,12000,0))/IF(Grandview_Inventory[[#This Row],[unbuildable]]=1,2,1)</f>
        <v>52639.730588165206</v>
      </c>
      <c r="CA15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54">
        <f>ROUND(Grandview_Inventory[[#This Row],[det_value]]*Lookups!$M$28,-2)</f>
        <v>2400</v>
      </c>
      <c r="CC154">
        <f>IF(ROUND(Grandview_Inventory[[#This Row],[adj_res]]*Lookups!$M$28,-2)&lt;Grandview_Inventory[[#This Row],[min_res]],Grandview_Inventory[[#This Row],[min_res]],ROUND(Grandview_Inventory[[#This Row],[adj_res]]*Lookups!$M$28,-2))</f>
        <v>234300</v>
      </c>
      <c r="CD154">
        <f>Grandview_Inventory[[#This Row],[final_det]]+Grandview_Inventory[[#This Row],[final_res]]</f>
        <v>236700</v>
      </c>
      <c r="CE154">
        <f>Grandview_Inventory[[#This Row],[final_land]]+Grandview_Inventory[[#This Row],[final_imp]]+Grandview_Inventory[[#This Row],[crop_value]]</f>
        <v>286700</v>
      </c>
      <c r="CG154" t="str">
        <f t="shared" si="2"/>
        <v>update valuation set market_land =50000, market_bldg=236700, market_total =286700, market_mdno =401, market_date ='9/10/2023' where link_id = (select link_id from parcel where parcel_year = '2024' and parcel_id = '23091433500');</v>
      </c>
    </row>
    <row r="155" spans="1:85" x14ac:dyDescent="0.25">
      <c r="A155">
        <v>23091433504</v>
      </c>
      <c r="B155">
        <v>0.27</v>
      </c>
      <c r="C155">
        <v>11895</v>
      </c>
      <c r="D155" t="s">
        <v>129</v>
      </c>
      <c r="E155" t="s">
        <v>53</v>
      </c>
      <c r="F155" t="s">
        <v>53</v>
      </c>
      <c r="G155">
        <v>4</v>
      </c>
      <c r="H155" t="s">
        <v>54</v>
      </c>
      <c r="I155">
        <v>179900</v>
      </c>
      <c r="J155">
        <v>40000</v>
      </c>
      <c r="K155">
        <v>0.27</v>
      </c>
      <c r="L155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55">
        <v>0</v>
      </c>
      <c r="N155">
        <v>0</v>
      </c>
      <c r="O155">
        <v>0</v>
      </c>
      <c r="P155">
        <v>13398.7528</v>
      </c>
      <c r="Q155">
        <v>63903</v>
      </c>
      <c r="R155">
        <f>(Grandview_Inventory[[#This Row],[ln_acres]]*Grandview_Inventory[[#This Row],[coeff]])+Grandview_Inventory[[#This Row],[const]]</f>
        <v>46359.566512734265</v>
      </c>
      <c r="S155" t="s">
        <v>68</v>
      </c>
      <c r="T155">
        <v>1</v>
      </c>
      <c r="U155" t="s">
        <v>65</v>
      </c>
      <c r="V155" t="s">
        <v>67</v>
      </c>
      <c r="W155">
        <v>0</v>
      </c>
      <c r="X155">
        <v>0</v>
      </c>
      <c r="Y155">
        <v>51</v>
      </c>
      <c r="Z155">
        <v>78</v>
      </c>
      <c r="AA155">
        <v>80</v>
      </c>
      <c r="AB155">
        <v>1500</v>
      </c>
      <c r="AC155">
        <v>1362</v>
      </c>
      <c r="AD155">
        <v>1362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160</v>
      </c>
      <c r="AO155">
        <v>0</v>
      </c>
      <c r="AP155">
        <v>8</v>
      </c>
      <c r="AQ155">
        <v>0</v>
      </c>
      <c r="AR155">
        <v>0</v>
      </c>
      <c r="AS155" t="s">
        <v>58</v>
      </c>
      <c r="AT155">
        <v>1</v>
      </c>
      <c r="AU155" t="s">
        <v>59</v>
      </c>
      <c r="AV155" t="s">
        <v>60</v>
      </c>
      <c r="AW155">
        <v>1</v>
      </c>
      <c r="AX155">
        <v>3</v>
      </c>
      <c r="AY155">
        <v>0</v>
      </c>
      <c r="AZ155">
        <v>1500</v>
      </c>
      <c r="BA155">
        <v>100</v>
      </c>
      <c r="BB155">
        <v>100</v>
      </c>
      <c r="BC155">
        <v>100</v>
      </c>
      <c r="BD155">
        <v>100</v>
      </c>
      <c r="BE155">
        <v>1</v>
      </c>
      <c r="BF155">
        <v>15000</v>
      </c>
      <c r="BG155">
        <v>1000</v>
      </c>
      <c r="BH155" s="6">
        <f>Grandview_Inventory[[#This Row],[land_extract]]*Lookups!$B$3</f>
        <v>53837.239420408718</v>
      </c>
      <c r="BI155" s="6">
        <f>IF(Grandview_Inventory[[#This Row],[bldg_style]]="",0,Lookups!$B$2)</f>
        <v>155833.95000000001</v>
      </c>
      <c r="BJ155" s="6">
        <f>_xlfn.IFNA(VLOOKUP(Grandview_Inventory[[#This Row],[quality]],Lookups!$H$2:$J$14,3,FALSE),0)</f>
        <v>2251</v>
      </c>
      <c r="BK155" s="6">
        <f>_xlfn.IFNA(VLOOKUP(Grandview_Inventory[[#This Row],[condition]],Lookups!$H$17:$J$24,3,FALSE),0)</f>
        <v>22342</v>
      </c>
      <c r="BL155" s="6">
        <f>Grandview_Inventory[[#This Row],[Eff_Age]]*Lookups!$B$14</f>
        <v>-12197.496599999999</v>
      </c>
      <c r="BM155" s="6">
        <f>Grandview_Inventory[[#This Row],[living_area]]*Lookups!$B$15</f>
        <v>84962.721786000009</v>
      </c>
      <c r="BN155" s="6">
        <f>Grandview_Inventory[[#This Row],[Fin BSMT]]*Lookups!$B$16</f>
        <v>0</v>
      </c>
      <c r="BO155" s="6">
        <f>(Grandview_Inventory[[#This Row],[att_gar]]+Grandview_Inventory[[#This Row],[bltin_gar]])*Lookups!$B$17</f>
        <v>0</v>
      </c>
      <c r="BP155" s="6">
        <f>Grandview_Inventory[[#This Row],[Plumbing Fixtures]]*Lookups!$B$18</f>
        <v>16083.5344</v>
      </c>
      <c r="BQ155" s="6">
        <f>Grandview_Inventory[[#This Row],[detatched_value]]*Lookups!$B$19</f>
        <v>1270.2076500000001</v>
      </c>
      <c r="BR155" s="6">
        <f>SUM(Grandview_Inventory[[#This Row],[Intercept]:[det_value]])*Grandview_Inventory[[#This Row],[res_pct]]</f>
        <v>270545.91723600001</v>
      </c>
      <c r="BS155" s="6">
        <f>Grandview_Inventory[[#This Row],[land_value]]</f>
        <v>53837.239420408718</v>
      </c>
      <c r="BT155" s="4">
        <f>_xlfn.IFNA(VLOOKUP(Grandview_Inventory[[#This Row],[quality]],Lookups!$A$26:$C$33,3,FALSE),1)</f>
        <v>0.98763855981004833</v>
      </c>
      <c r="BU155" s="4">
        <f>_xlfn.IFNA(VLOOKUP(Grandview_Inventory[[#This Row],[condition]],Lookups!$A$37:$C$44,3,FALSE),1)</f>
        <v>0.97383723671140243</v>
      </c>
      <c r="BV155" s="4">
        <f>IF(Grandview_Inventory[[#This Row],[bldg_style]]="",1,_xlfn.IFNA(VLOOKUP(Grandview_Inventory[[#This Row],[decade]],Lookups!$F$29:$H$43,3,FALSE),1))</f>
        <v>0.98763256963907298</v>
      </c>
      <c r="BW155" s="4">
        <f>_xlfn.IFNA(VLOOKUP(Grandview_Inventory[[#This Row],[living_area_range]],Lookups!$F$47:$H$56,3,FALSE),1)</f>
        <v>0.96135087979789358</v>
      </c>
      <c r="BX155" s="4">
        <f>AVERAGE(Grandview_Inventory[[#This Row],[qual_adj]:[size_adj]])</f>
        <v>0.97761481148960427</v>
      </c>
      <c r="BY155" s="6">
        <f>IF(Grandview_Inventory[[#This Row],[pre_res]]&lt;0,0,Grandview_Inventory[[#This Row],[pre_res]]*Grandview_Inventory[[#This Row],[overall_adj]])</f>
        <v>264489.69587795425</v>
      </c>
      <c r="BZ155" s="6">
        <f>(Grandview_Inventory[[#This Row],[sum_land]]-IF(Grandview_Inventory[[#This Row],[no_utilities]]=1,12000,0))/IF(Grandview_Inventory[[#This Row],[unbuildable]]=1,2,1)</f>
        <v>53837.239420408718</v>
      </c>
      <c r="CA155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55">
        <f>ROUND(Grandview_Inventory[[#This Row],[det_value]]*Lookups!$M$28,-2)</f>
        <v>1200</v>
      </c>
      <c r="CC155">
        <f>IF(ROUND(Grandview_Inventory[[#This Row],[adj_res]]*Lookups!$M$28,-2)&lt;Grandview_Inventory[[#This Row],[min_res]],Grandview_Inventory[[#This Row],[min_res]],ROUND(Grandview_Inventory[[#This Row],[adj_res]]*Lookups!$M$28,-2))</f>
        <v>251300</v>
      </c>
      <c r="CD155">
        <f>Grandview_Inventory[[#This Row],[final_det]]+Grandview_Inventory[[#This Row],[final_res]]</f>
        <v>252500</v>
      </c>
      <c r="CE155">
        <f>Grandview_Inventory[[#This Row],[final_land]]+Grandview_Inventory[[#This Row],[final_imp]]+Grandview_Inventory[[#This Row],[crop_value]]</f>
        <v>303600</v>
      </c>
      <c r="CG155" t="str">
        <f t="shared" si="2"/>
        <v>update valuation set market_land =51100, market_bldg=252500, market_total =303600, market_mdno =401, market_date ='9/10/2023' where link_id = (select link_id from parcel where parcel_year = '2024' and parcel_id = '23091433504');</v>
      </c>
    </row>
    <row r="156" spans="1:85" x14ac:dyDescent="0.25">
      <c r="A156">
        <v>23091433506</v>
      </c>
      <c r="B156">
        <v>0.22</v>
      </c>
      <c r="C156" t="s">
        <v>129</v>
      </c>
      <c r="D156" t="s">
        <v>129</v>
      </c>
      <c r="E156" t="s">
        <v>53</v>
      </c>
      <c r="F156" t="s">
        <v>53</v>
      </c>
      <c r="G156">
        <v>4</v>
      </c>
      <c r="H156" t="s">
        <v>54</v>
      </c>
      <c r="I156">
        <v>153900</v>
      </c>
      <c r="J156">
        <v>39500</v>
      </c>
      <c r="K156">
        <v>0.22</v>
      </c>
      <c r="L15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56">
        <v>0</v>
      </c>
      <c r="N156">
        <v>0</v>
      </c>
      <c r="O156">
        <v>0</v>
      </c>
      <c r="P156">
        <v>13398.7528</v>
      </c>
      <c r="Q156">
        <v>63903</v>
      </c>
      <c r="R156">
        <f>(Grandview_Inventory[[#This Row],[ln_acres]]*Grandview_Inventory[[#This Row],[coeff]])+Grandview_Inventory[[#This Row],[const]]</f>
        <v>43615.576802869145</v>
      </c>
      <c r="S156" t="s">
        <v>61</v>
      </c>
      <c r="T156">
        <v>1</v>
      </c>
      <c r="U156" t="s">
        <v>70</v>
      </c>
      <c r="V156" t="s">
        <v>67</v>
      </c>
      <c r="W156">
        <v>0</v>
      </c>
      <c r="X156">
        <v>0</v>
      </c>
      <c r="Y156">
        <v>47</v>
      </c>
      <c r="Z156">
        <v>58</v>
      </c>
      <c r="AA156">
        <v>60</v>
      </c>
      <c r="AB156">
        <v>1000</v>
      </c>
      <c r="AC156">
        <v>825</v>
      </c>
      <c r="AD156">
        <v>825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144</v>
      </c>
      <c r="AM156">
        <v>0</v>
      </c>
      <c r="AN156">
        <v>28</v>
      </c>
      <c r="AO156">
        <v>144</v>
      </c>
      <c r="AP156">
        <v>5</v>
      </c>
      <c r="AQ156">
        <v>0</v>
      </c>
      <c r="AR156">
        <v>0</v>
      </c>
      <c r="AS156" t="s">
        <v>58</v>
      </c>
      <c r="AT156">
        <v>1</v>
      </c>
      <c r="AU156" t="s">
        <v>63</v>
      </c>
      <c r="AV156" t="s">
        <v>60</v>
      </c>
      <c r="AW156">
        <v>0</v>
      </c>
      <c r="AX156">
        <v>2</v>
      </c>
      <c r="AY156">
        <v>0</v>
      </c>
      <c r="AZ156">
        <v>0</v>
      </c>
      <c r="BA156">
        <v>100</v>
      </c>
      <c r="BB156">
        <v>100</v>
      </c>
      <c r="BC156">
        <v>100</v>
      </c>
      <c r="BD156">
        <v>100</v>
      </c>
      <c r="BE156">
        <v>1</v>
      </c>
      <c r="BF156">
        <v>15000</v>
      </c>
      <c r="BG156">
        <v>1000</v>
      </c>
      <c r="BH156" s="6">
        <f>Grandview_Inventory[[#This Row],[land_extract]]*Lookups!$B$3</f>
        <v>50650.651579114572</v>
      </c>
      <c r="BI156" s="6">
        <f>IF(Grandview_Inventory[[#This Row],[bldg_style]]="",0,Lookups!$B$2)</f>
        <v>155833.95000000001</v>
      </c>
      <c r="BJ156" s="6">
        <f>_xlfn.IFNA(VLOOKUP(Grandview_Inventory[[#This Row],[quality]],Lookups!$H$2:$J$14,3,FALSE),0)</f>
        <v>10733</v>
      </c>
      <c r="BK156" s="6">
        <f>_xlfn.IFNA(VLOOKUP(Grandview_Inventory[[#This Row],[condition]],Lookups!$H$17:$J$24,3,FALSE),0)</f>
        <v>22342</v>
      </c>
      <c r="BL156" s="6">
        <f>Grandview_Inventory[[#This Row],[Eff_Age]]*Lookups!$B$14</f>
        <v>-11240.8302</v>
      </c>
      <c r="BM156" s="6">
        <f>Grandview_Inventory[[#This Row],[living_area]]*Lookups!$B$15</f>
        <v>51464.203724999999</v>
      </c>
      <c r="BN156" s="6">
        <f>Grandview_Inventory[[#This Row],[Fin BSMT]]*Lookups!$B$16</f>
        <v>0</v>
      </c>
      <c r="BO156" s="6">
        <f>(Grandview_Inventory[[#This Row],[att_gar]]+Grandview_Inventory[[#This Row],[bltin_gar]])*Lookups!$B$17</f>
        <v>0</v>
      </c>
      <c r="BP156" s="6">
        <f>Grandview_Inventory[[#This Row],[Plumbing Fixtures]]*Lookups!$B$18</f>
        <v>10052.209000000001</v>
      </c>
      <c r="BQ156" s="6">
        <f>Grandview_Inventory[[#This Row],[detatched_value]]*Lookups!$B$19</f>
        <v>0</v>
      </c>
      <c r="BR156" s="6">
        <f>SUM(Grandview_Inventory[[#This Row],[Intercept]:[det_value]])*Grandview_Inventory[[#This Row],[res_pct]]</f>
        <v>239184.53252500002</v>
      </c>
      <c r="BS156" s="6">
        <f>Grandview_Inventory[[#This Row],[land_value]]</f>
        <v>50650.651579114572</v>
      </c>
      <c r="BT156" s="4">
        <f>_xlfn.IFNA(VLOOKUP(Grandview_Inventory[[#This Row],[quality]],Lookups!$A$26:$C$33,3,FALSE),1)</f>
        <v>0.98079741117310582</v>
      </c>
      <c r="BU156" s="4">
        <f>_xlfn.IFNA(VLOOKUP(Grandview_Inventory[[#This Row],[condition]],Lookups!$A$37:$C$44,3,FALSE),1)</f>
        <v>0.97383723671140243</v>
      </c>
      <c r="BV156" s="4">
        <f>IF(Grandview_Inventory[[#This Row],[bldg_style]]="",1,_xlfn.IFNA(VLOOKUP(Grandview_Inventory[[#This Row],[decade]],Lookups!$F$29:$H$43,3,FALSE),1))</f>
        <v>0.95268620544463312</v>
      </c>
      <c r="BW156" s="4">
        <f>_xlfn.IFNA(VLOOKUP(Grandview_Inventory[[#This Row],[living_area_range]],Lookups!$F$47:$H$56,3,FALSE),1)</f>
        <v>0.94306777142782894</v>
      </c>
      <c r="BX156" s="4">
        <f>AVERAGE(Grandview_Inventory[[#This Row],[qual_adj]:[size_adj]])</f>
        <v>0.96259715618924258</v>
      </c>
      <c r="BY156" s="6">
        <f>IF(Grandview_Inventory[[#This Row],[pre_res]]&lt;0,0,Grandview_Inventory[[#This Row],[pre_res]]*Grandview_Inventory[[#This Row],[overall_adj]])</f>
        <v>230238.35081301842</v>
      </c>
      <c r="BZ156" s="6">
        <f>(Grandview_Inventory[[#This Row],[sum_land]]-IF(Grandview_Inventory[[#This Row],[no_utilities]]=1,12000,0))/IF(Grandview_Inventory[[#This Row],[unbuildable]]=1,2,1)</f>
        <v>50650.651579114572</v>
      </c>
      <c r="CA15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56">
        <f>ROUND(Grandview_Inventory[[#This Row],[det_value]]*Lookups!$M$28,-2)</f>
        <v>0</v>
      </c>
      <c r="CC156">
        <f>IF(ROUND(Grandview_Inventory[[#This Row],[adj_res]]*Lookups!$M$28,-2)&lt;Grandview_Inventory[[#This Row],[min_res]],Grandview_Inventory[[#This Row],[min_res]],ROUND(Grandview_Inventory[[#This Row],[adj_res]]*Lookups!$M$28,-2))</f>
        <v>218700</v>
      </c>
      <c r="CD156">
        <f>Grandview_Inventory[[#This Row],[final_det]]+Grandview_Inventory[[#This Row],[final_res]]</f>
        <v>218700</v>
      </c>
      <c r="CE156">
        <f>Grandview_Inventory[[#This Row],[final_land]]+Grandview_Inventory[[#This Row],[final_imp]]+Grandview_Inventory[[#This Row],[crop_value]]</f>
        <v>266800</v>
      </c>
      <c r="CG156" t="str">
        <f t="shared" si="2"/>
        <v>update valuation set market_land =48100, market_bldg=218700, market_total =266800, market_mdno =401, market_date ='9/10/2023' where link_id = (select link_id from parcel where parcel_year = '2024' and parcel_id = '23091433506');</v>
      </c>
    </row>
    <row r="157" spans="1:85" x14ac:dyDescent="0.25">
      <c r="A157">
        <v>23091433510</v>
      </c>
      <c r="B157">
        <v>0.23</v>
      </c>
      <c r="C157">
        <v>9962</v>
      </c>
      <c r="D157" t="s">
        <v>129</v>
      </c>
      <c r="E157" t="s">
        <v>53</v>
      </c>
      <c r="F157" t="s">
        <v>53</v>
      </c>
      <c r="G157">
        <v>4</v>
      </c>
      <c r="H157" t="s">
        <v>54</v>
      </c>
      <c r="I157">
        <v>234500</v>
      </c>
      <c r="J157">
        <v>39500</v>
      </c>
      <c r="K157">
        <v>0.23</v>
      </c>
      <c r="L15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57">
        <v>0</v>
      </c>
      <c r="N157">
        <v>0</v>
      </c>
      <c r="O157">
        <v>0</v>
      </c>
      <c r="P157">
        <v>13398.7528</v>
      </c>
      <c r="Q157">
        <v>63903</v>
      </c>
      <c r="R157">
        <f>(Grandview_Inventory[[#This Row],[ln_acres]]*Grandview_Inventory[[#This Row],[coeff]])+Grandview_Inventory[[#This Row],[const]]</f>
        <v>44211.174981080039</v>
      </c>
      <c r="S157" t="s">
        <v>61</v>
      </c>
      <c r="T157">
        <v>1</v>
      </c>
      <c r="U157" t="s">
        <v>70</v>
      </c>
      <c r="V157" t="s">
        <v>69</v>
      </c>
      <c r="W157">
        <v>0</v>
      </c>
      <c r="X157">
        <v>0</v>
      </c>
      <c r="Y157">
        <v>48</v>
      </c>
      <c r="Z157">
        <v>61</v>
      </c>
      <c r="AA157">
        <v>70</v>
      </c>
      <c r="AB157">
        <v>2000</v>
      </c>
      <c r="AC157">
        <v>1807</v>
      </c>
      <c r="AD157">
        <v>1576</v>
      </c>
      <c r="AE157">
        <v>0</v>
      </c>
      <c r="AF157">
        <v>231</v>
      </c>
      <c r="AG157">
        <v>0</v>
      </c>
      <c r="AH157">
        <v>0</v>
      </c>
      <c r="AI157">
        <v>504</v>
      </c>
      <c r="AJ157">
        <v>0</v>
      </c>
      <c r="AK157">
        <v>0</v>
      </c>
      <c r="AL157">
        <v>0</v>
      </c>
      <c r="AM157">
        <v>316</v>
      </c>
      <c r="AN157">
        <v>0</v>
      </c>
      <c r="AO157">
        <v>115</v>
      </c>
      <c r="AP157">
        <v>8</v>
      </c>
      <c r="AQ157">
        <v>0</v>
      </c>
      <c r="AR157">
        <v>0</v>
      </c>
      <c r="AS157" t="s">
        <v>58</v>
      </c>
      <c r="AT157">
        <v>1</v>
      </c>
      <c r="AU157" t="s">
        <v>63</v>
      </c>
      <c r="AV157" t="s">
        <v>60</v>
      </c>
      <c r="AW157">
        <v>0</v>
      </c>
      <c r="AX157">
        <v>4</v>
      </c>
      <c r="AY157">
        <v>0</v>
      </c>
      <c r="AZ157">
        <v>35300</v>
      </c>
      <c r="BA157">
        <v>100</v>
      </c>
      <c r="BB157">
        <v>100</v>
      </c>
      <c r="BC157">
        <v>100</v>
      </c>
      <c r="BD157">
        <v>100</v>
      </c>
      <c r="BE157">
        <v>1</v>
      </c>
      <c r="BF157">
        <v>15000</v>
      </c>
      <c r="BG157">
        <v>1000</v>
      </c>
      <c r="BH157" s="6">
        <f>Grandview_Inventory[[#This Row],[land_extract]]*Lookups!$B$3</f>
        <v>51342.318135355803</v>
      </c>
      <c r="BI157" s="6">
        <f>IF(Grandview_Inventory[[#This Row],[bldg_style]]="",0,Lookups!$B$2)</f>
        <v>155833.95000000001</v>
      </c>
      <c r="BJ157" s="6">
        <f>_xlfn.IFNA(VLOOKUP(Grandview_Inventory[[#This Row],[quality]],Lookups!$H$2:$J$14,3,FALSE),0)</f>
        <v>10733</v>
      </c>
      <c r="BK157" s="6">
        <f>_xlfn.IFNA(VLOOKUP(Grandview_Inventory[[#This Row],[condition]],Lookups!$H$17:$J$24,3,FALSE),0)</f>
        <v>-4503</v>
      </c>
      <c r="BL157" s="6">
        <f>Grandview_Inventory[[#This Row],[Eff_Age]]*Lookups!$B$14</f>
        <v>-11479.996799999999</v>
      </c>
      <c r="BM157" s="6">
        <f>Grandview_Inventory[[#This Row],[living_area]]*Lookups!$B$15</f>
        <v>112722.201371</v>
      </c>
      <c r="BN157" s="6">
        <f>Grandview_Inventory[[#This Row],[Fin BSMT]]*Lookups!$B$16</f>
        <v>0</v>
      </c>
      <c r="BO157" s="6">
        <f>(Grandview_Inventory[[#This Row],[att_gar]]+Grandview_Inventory[[#This Row],[bltin_gar]])*Lookups!$B$17</f>
        <v>44110.300248</v>
      </c>
      <c r="BP157" s="6">
        <f>Grandview_Inventory[[#This Row],[Plumbing Fixtures]]*Lookups!$B$18</f>
        <v>16083.5344</v>
      </c>
      <c r="BQ157" s="6">
        <f>Grandview_Inventory[[#This Row],[detatched_value]]*Lookups!$B$19</f>
        <v>29892.22003</v>
      </c>
      <c r="BR157" s="6">
        <f>SUM(Grandview_Inventory[[#This Row],[Intercept]:[det_value]])*Grandview_Inventory[[#This Row],[res_pct]]</f>
        <v>353392.20924900007</v>
      </c>
      <c r="BS157" s="6">
        <f>Grandview_Inventory[[#This Row],[land_value]]</f>
        <v>51342.318135355803</v>
      </c>
      <c r="BT157" s="4">
        <f>_xlfn.IFNA(VLOOKUP(Grandview_Inventory[[#This Row],[quality]],Lookups!$A$26:$C$33,3,FALSE),1)</f>
        <v>0.98079741117310582</v>
      </c>
      <c r="BU157" s="4">
        <f>_xlfn.IFNA(VLOOKUP(Grandview_Inventory[[#This Row],[condition]],Lookups!$A$37:$C$44,3,FALSE),1)</f>
        <v>0.96469275950863709</v>
      </c>
      <c r="BV157" s="4">
        <f>IF(Grandview_Inventory[[#This Row],[bldg_style]]="",1,_xlfn.IFNA(VLOOKUP(Grandview_Inventory[[#This Row],[decade]],Lookups!$F$29:$H$43,3,FALSE),1))</f>
        <v>0.99472141305414818</v>
      </c>
      <c r="BW157" s="4">
        <f>_xlfn.IFNA(VLOOKUP(Grandview_Inventory[[#This Row],[living_area_range]],Lookups!$F$47:$H$56,3,FALSE),1)</f>
        <v>0.96120133463014379</v>
      </c>
      <c r="BX157" s="4">
        <f>AVERAGE(Grandview_Inventory[[#This Row],[qual_adj]:[size_adj]])</f>
        <v>0.97535322959150883</v>
      </c>
      <c r="BY157" s="6">
        <f>IF(Grandview_Inventory[[#This Row],[pre_res]]&lt;0,0,Grandview_Inventory[[#This Row],[pre_res]]*Grandview_Inventory[[#This Row],[overall_adj]])</f>
        <v>344682.23260349047</v>
      </c>
      <c r="BZ157" s="6">
        <f>(Grandview_Inventory[[#This Row],[sum_land]]-IF(Grandview_Inventory[[#This Row],[no_utilities]]=1,12000,0))/IF(Grandview_Inventory[[#This Row],[unbuildable]]=1,2,1)</f>
        <v>51342.318135355803</v>
      </c>
      <c r="CA15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57">
        <f>ROUND(Grandview_Inventory[[#This Row],[det_value]]*Lookups!$M$28,-2)</f>
        <v>28400</v>
      </c>
      <c r="CC157">
        <f>IF(ROUND(Grandview_Inventory[[#This Row],[adj_res]]*Lookups!$M$28,-2)&lt;Grandview_Inventory[[#This Row],[min_res]],Grandview_Inventory[[#This Row],[min_res]],ROUND(Grandview_Inventory[[#This Row],[adj_res]]*Lookups!$M$28,-2))</f>
        <v>327400</v>
      </c>
      <c r="CD157">
        <f>Grandview_Inventory[[#This Row],[final_det]]+Grandview_Inventory[[#This Row],[final_res]]</f>
        <v>355800</v>
      </c>
      <c r="CE157">
        <f>Grandview_Inventory[[#This Row],[final_land]]+Grandview_Inventory[[#This Row],[final_imp]]+Grandview_Inventory[[#This Row],[crop_value]]</f>
        <v>404600</v>
      </c>
      <c r="CG157" t="str">
        <f t="shared" si="2"/>
        <v>update valuation set market_land =48800, market_bldg=355800, market_total =404600, market_mdno =401, market_date ='9/10/2023' where link_id = (select link_id from parcel where parcel_year = '2024' and parcel_id = '23091433510');</v>
      </c>
    </row>
    <row r="158" spans="1:85" x14ac:dyDescent="0.25">
      <c r="A158">
        <v>23091433512</v>
      </c>
      <c r="B158">
        <v>0.16</v>
      </c>
      <c r="C158">
        <v>7080</v>
      </c>
      <c r="D158" t="s">
        <v>129</v>
      </c>
      <c r="E158" t="s">
        <v>53</v>
      </c>
      <c r="F158" t="s">
        <v>53</v>
      </c>
      <c r="G158">
        <v>4</v>
      </c>
      <c r="H158" t="s">
        <v>54</v>
      </c>
      <c r="I158">
        <v>151200</v>
      </c>
      <c r="J158">
        <v>38600</v>
      </c>
      <c r="K158">
        <v>0.16</v>
      </c>
      <c r="L15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8">
        <v>0</v>
      </c>
      <c r="N158">
        <v>0</v>
      </c>
      <c r="O158">
        <v>0</v>
      </c>
      <c r="P158">
        <v>13398.7528</v>
      </c>
      <c r="Q158">
        <v>63903</v>
      </c>
      <c r="R158">
        <f>(Grandview_Inventory[[#This Row],[ln_acres]]*Grandview_Inventory[[#This Row],[coeff]])+Grandview_Inventory[[#This Row],[const]]</f>
        <v>39348.693981374228</v>
      </c>
      <c r="S158" t="s">
        <v>61</v>
      </c>
      <c r="T158">
        <v>1</v>
      </c>
      <c r="U158" t="s">
        <v>70</v>
      </c>
      <c r="V158" t="s">
        <v>69</v>
      </c>
      <c r="W158">
        <v>0</v>
      </c>
      <c r="X158">
        <v>0</v>
      </c>
      <c r="Y158">
        <v>43</v>
      </c>
      <c r="Z158">
        <v>44</v>
      </c>
      <c r="AA158">
        <v>50</v>
      </c>
      <c r="AB158">
        <v>1500</v>
      </c>
      <c r="AC158">
        <v>1056</v>
      </c>
      <c r="AD158">
        <v>1056</v>
      </c>
      <c r="AE158">
        <v>0</v>
      </c>
      <c r="AF158">
        <v>0</v>
      </c>
      <c r="AG158">
        <v>0</v>
      </c>
      <c r="AH158">
        <v>0</v>
      </c>
      <c r="AI158">
        <v>288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5</v>
      </c>
      <c r="AQ158">
        <v>0</v>
      </c>
      <c r="AR158">
        <v>0</v>
      </c>
      <c r="AS158" t="s">
        <v>58</v>
      </c>
      <c r="AT158">
        <v>1</v>
      </c>
      <c r="AU158" t="s">
        <v>63</v>
      </c>
      <c r="AV158" t="s">
        <v>60</v>
      </c>
      <c r="AW158">
        <v>0</v>
      </c>
      <c r="AX158">
        <v>3</v>
      </c>
      <c r="AY158">
        <v>0</v>
      </c>
      <c r="AZ158">
        <v>0</v>
      </c>
      <c r="BA158">
        <v>100</v>
      </c>
      <c r="BB158">
        <v>100</v>
      </c>
      <c r="BC158">
        <v>100</v>
      </c>
      <c r="BD158">
        <v>100</v>
      </c>
      <c r="BE158">
        <v>1</v>
      </c>
      <c r="BF158">
        <v>15000</v>
      </c>
      <c r="BG158">
        <v>1000</v>
      </c>
      <c r="BH158" s="6">
        <f>Grandview_Inventory[[#This Row],[land_extract]]*Lookups!$B$3</f>
        <v>45695.532079096141</v>
      </c>
      <c r="BI158" s="6">
        <f>IF(Grandview_Inventory[[#This Row],[bldg_style]]="",0,Lookups!$B$2)</f>
        <v>155833.95000000001</v>
      </c>
      <c r="BJ158" s="6">
        <f>_xlfn.IFNA(VLOOKUP(Grandview_Inventory[[#This Row],[quality]],Lookups!$H$2:$J$14,3,FALSE),0)</f>
        <v>10733</v>
      </c>
      <c r="BK158" s="6">
        <f>_xlfn.IFNA(VLOOKUP(Grandview_Inventory[[#This Row],[condition]],Lookups!$H$17:$J$24,3,FALSE),0)</f>
        <v>-4503</v>
      </c>
      <c r="BL158" s="6">
        <f>Grandview_Inventory[[#This Row],[Eff_Age]]*Lookups!$B$14</f>
        <v>-10284.1638</v>
      </c>
      <c r="BM158" s="6">
        <f>Grandview_Inventory[[#This Row],[living_area]]*Lookups!$B$15</f>
        <v>65874.180768000006</v>
      </c>
      <c r="BN158" s="6">
        <f>Grandview_Inventory[[#This Row],[Fin BSMT]]*Lookups!$B$16</f>
        <v>0</v>
      </c>
      <c r="BO158" s="6">
        <f>(Grandview_Inventory[[#This Row],[att_gar]]+Grandview_Inventory[[#This Row],[bltin_gar]])*Lookups!$B$17</f>
        <v>25205.885856000001</v>
      </c>
      <c r="BP158" s="6">
        <f>Grandview_Inventory[[#This Row],[Plumbing Fixtures]]*Lookups!$B$18</f>
        <v>10052.209000000001</v>
      </c>
      <c r="BQ158" s="6">
        <f>Grandview_Inventory[[#This Row],[detatched_value]]*Lookups!$B$19</f>
        <v>0</v>
      </c>
      <c r="BR158" s="6">
        <f>SUM(Grandview_Inventory[[#This Row],[Intercept]:[det_value]])*Grandview_Inventory[[#This Row],[res_pct]]</f>
        <v>252912.061824</v>
      </c>
      <c r="BS158" s="6">
        <f>Grandview_Inventory[[#This Row],[land_value]]</f>
        <v>45695.532079096141</v>
      </c>
      <c r="BT158" s="4">
        <f>_xlfn.IFNA(VLOOKUP(Grandview_Inventory[[#This Row],[quality]],Lookups!$A$26:$C$33,3,FALSE),1)</f>
        <v>0.98079741117310582</v>
      </c>
      <c r="BU158" s="4">
        <f>_xlfn.IFNA(VLOOKUP(Grandview_Inventory[[#This Row],[condition]],Lookups!$A$37:$C$44,3,FALSE),1)</f>
        <v>0.96469275950863709</v>
      </c>
      <c r="BV158" s="4">
        <f>IF(Grandview_Inventory[[#This Row],[bldg_style]]="",1,_xlfn.IFNA(VLOOKUP(Grandview_Inventory[[#This Row],[decade]],Lookups!$F$29:$H$43,3,FALSE),1))</f>
        <v>0.9871940091910919</v>
      </c>
      <c r="BW158" s="4">
        <f>_xlfn.IFNA(VLOOKUP(Grandview_Inventory[[#This Row],[living_area_range]],Lookups!$F$47:$H$56,3,FALSE),1)</f>
        <v>0.96135087979789358</v>
      </c>
      <c r="BX158" s="4">
        <f>AVERAGE(Grandview_Inventory[[#This Row],[qual_adj]:[size_adj]])</f>
        <v>0.97350876491768212</v>
      </c>
      <c r="BY158" s="6">
        <f>IF(Grandview_Inventory[[#This Row],[pre_res]]&lt;0,0,Grandview_Inventory[[#This Row],[pre_res]]*Grandview_Inventory[[#This Row],[overall_adj]])</f>
        <v>246212.1089390667</v>
      </c>
      <c r="BZ158" s="6">
        <f>(Grandview_Inventory[[#This Row],[sum_land]]-IF(Grandview_Inventory[[#This Row],[no_utilities]]=1,12000,0))/IF(Grandview_Inventory[[#This Row],[unbuildable]]=1,2,1)</f>
        <v>45695.532079096141</v>
      </c>
      <c r="CA15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8">
        <f>ROUND(Grandview_Inventory[[#This Row],[det_value]]*Lookups!$M$28,-2)</f>
        <v>0</v>
      </c>
      <c r="CC158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158">
        <f>Grandview_Inventory[[#This Row],[final_det]]+Grandview_Inventory[[#This Row],[final_res]]</f>
        <v>233900</v>
      </c>
      <c r="CE158">
        <f>Grandview_Inventory[[#This Row],[final_land]]+Grandview_Inventory[[#This Row],[final_imp]]+Grandview_Inventory[[#This Row],[crop_value]]</f>
        <v>277300</v>
      </c>
      <c r="CG158" t="str">
        <f t="shared" si="2"/>
        <v>update valuation set market_land =43400, market_bldg=233900, market_total =277300, market_mdno =401, market_date ='9/10/2023' where link_id = (select link_id from parcel where parcel_year = '2024' and parcel_id = '23091433512');</v>
      </c>
    </row>
    <row r="159" spans="1:85" x14ac:dyDescent="0.25">
      <c r="A159">
        <v>23091433516</v>
      </c>
      <c r="B159">
        <v>0.34</v>
      </c>
      <c r="C159">
        <v>14829</v>
      </c>
      <c r="D159" t="s">
        <v>129</v>
      </c>
      <c r="E159" t="s">
        <v>53</v>
      </c>
      <c r="F159" t="s">
        <v>53</v>
      </c>
      <c r="G159">
        <v>4</v>
      </c>
      <c r="H159" t="s">
        <v>54</v>
      </c>
      <c r="I159">
        <v>153500</v>
      </c>
      <c r="J159">
        <v>41200</v>
      </c>
      <c r="K159">
        <v>0.34</v>
      </c>
      <c r="L159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59">
        <v>0</v>
      </c>
      <c r="N159">
        <v>0</v>
      </c>
      <c r="O159">
        <v>0</v>
      </c>
      <c r="P159">
        <v>13398.7528</v>
      </c>
      <c r="Q159">
        <v>63903</v>
      </c>
      <c r="R159">
        <f>(Grandview_Inventory[[#This Row],[ln_acres]]*Grandview_Inventory[[#This Row],[coeff]])+Grandview_Inventory[[#This Row],[const]]</f>
        <v>49448.296029025805</v>
      </c>
      <c r="S159" t="s">
        <v>61</v>
      </c>
      <c r="T159">
        <v>1</v>
      </c>
      <c r="U159" t="s">
        <v>65</v>
      </c>
      <c r="V159" t="s">
        <v>69</v>
      </c>
      <c r="W159">
        <v>0</v>
      </c>
      <c r="X159">
        <v>0</v>
      </c>
      <c r="Y159">
        <v>46</v>
      </c>
      <c r="Z159">
        <v>53</v>
      </c>
      <c r="AA159">
        <v>60</v>
      </c>
      <c r="AB159">
        <v>1500</v>
      </c>
      <c r="AC159">
        <v>1092</v>
      </c>
      <c r="AD159">
        <v>1092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94</v>
      </c>
      <c r="AN159">
        <v>0</v>
      </c>
      <c r="AO159">
        <v>0</v>
      </c>
      <c r="AP159">
        <v>7</v>
      </c>
      <c r="AQ159">
        <v>0</v>
      </c>
      <c r="AR159">
        <v>0</v>
      </c>
      <c r="AS159" t="s">
        <v>58</v>
      </c>
      <c r="AT159">
        <v>1</v>
      </c>
      <c r="AU159" t="s">
        <v>63</v>
      </c>
      <c r="AV159" t="s">
        <v>60</v>
      </c>
      <c r="AW159">
        <v>1</v>
      </c>
      <c r="AX159">
        <v>3</v>
      </c>
      <c r="AY159">
        <v>0</v>
      </c>
      <c r="AZ159">
        <v>9900</v>
      </c>
      <c r="BA159">
        <v>100</v>
      </c>
      <c r="BB159">
        <v>100</v>
      </c>
      <c r="BC159">
        <v>100</v>
      </c>
      <c r="BD159">
        <v>100</v>
      </c>
      <c r="BE159">
        <v>1</v>
      </c>
      <c r="BF159">
        <v>15000</v>
      </c>
      <c r="BG159">
        <v>1000</v>
      </c>
      <c r="BH159" s="6">
        <f>Grandview_Inventory[[#This Row],[land_extract]]*Lookups!$B$3</f>
        <v>57424.172668108389</v>
      </c>
      <c r="BI159" s="6">
        <f>IF(Grandview_Inventory[[#This Row],[bldg_style]]="",0,Lookups!$B$2)</f>
        <v>155833.95000000001</v>
      </c>
      <c r="BJ159" s="6">
        <f>_xlfn.IFNA(VLOOKUP(Grandview_Inventory[[#This Row],[quality]],Lookups!$H$2:$J$14,3,FALSE),0)</f>
        <v>2251</v>
      </c>
      <c r="BK159" s="6">
        <f>_xlfn.IFNA(VLOOKUP(Grandview_Inventory[[#This Row],[condition]],Lookups!$H$17:$J$24,3,FALSE),0)</f>
        <v>-4503</v>
      </c>
      <c r="BL159" s="6">
        <f>Grandview_Inventory[[#This Row],[Eff_Age]]*Lookups!$B$14</f>
        <v>-11001.6636</v>
      </c>
      <c r="BM159" s="6">
        <f>Grandview_Inventory[[#This Row],[living_area]]*Lookups!$B$15</f>
        <v>68119.891476000004</v>
      </c>
      <c r="BN159" s="6">
        <f>Grandview_Inventory[[#This Row],[Fin BSMT]]*Lookups!$B$16</f>
        <v>0</v>
      </c>
      <c r="BO159" s="6">
        <f>(Grandview_Inventory[[#This Row],[att_gar]]+Grandview_Inventory[[#This Row],[bltin_gar]])*Lookups!$B$17</f>
        <v>0</v>
      </c>
      <c r="BP159" s="6">
        <f>Grandview_Inventory[[#This Row],[Plumbing Fixtures]]*Lookups!$B$18</f>
        <v>14073.0926</v>
      </c>
      <c r="BQ159" s="6">
        <f>Grandview_Inventory[[#This Row],[detatched_value]]*Lookups!$B$19</f>
        <v>8383.3704899999993</v>
      </c>
      <c r="BR159" s="6">
        <f>SUM(Grandview_Inventory[[#This Row],[Intercept]:[det_value]])*Grandview_Inventory[[#This Row],[res_pct]]</f>
        <v>233156.64096600001</v>
      </c>
      <c r="BS159" s="6">
        <f>Grandview_Inventory[[#This Row],[land_value]]</f>
        <v>57424.172668108389</v>
      </c>
      <c r="BT159" s="4">
        <f>_xlfn.IFNA(VLOOKUP(Grandview_Inventory[[#This Row],[quality]],Lookups!$A$26:$C$33,3,FALSE),1)</f>
        <v>0.98763855981004833</v>
      </c>
      <c r="BU159" s="4">
        <f>_xlfn.IFNA(VLOOKUP(Grandview_Inventory[[#This Row],[condition]],Lookups!$A$37:$C$44,3,FALSE),1)</f>
        <v>0.96469275950863709</v>
      </c>
      <c r="BV159" s="4">
        <f>IF(Grandview_Inventory[[#This Row],[bldg_style]]="",1,_xlfn.IFNA(VLOOKUP(Grandview_Inventory[[#This Row],[decade]],Lookups!$F$29:$H$43,3,FALSE),1))</f>
        <v>0.95268620544463312</v>
      </c>
      <c r="BW159" s="4">
        <f>_xlfn.IFNA(VLOOKUP(Grandview_Inventory[[#This Row],[living_area_range]],Lookups!$F$47:$H$56,3,FALSE),1)</f>
        <v>0.96135087979789358</v>
      </c>
      <c r="BX159" s="4">
        <f>AVERAGE(Grandview_Inventory[[#This Row],[qual_adj]:[size_adj]])</f>
        <v>0.96659210114030303</v>
      </c>
      <c r="BY159" s="6">
        <f>IF(Grandview_Inventory[[#This Row],[pre_res]]&lt;0,0,Grandview_Inventory[[#This Row],[pre_res]]*Grandview_Inventory[[#This Row],[overall_adj]])</f>
        <v>225367.36748614119</v>
      </c>
      <c r="BZ159" s="6">
        <f>(Grandview_Inventory[[#This Row],[sum_land]]-IF(Grandview_Inventory[[#This Row],[no_utilities]]=1,12000,0))/IF(Grandview_Inventory[[#This Row],[unbuildable]]=1,2,1)</f>
        <v>57424.172668108389</v>
      </c>
      <c r="CA159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59">
        <f>ROUND(Grandview_Inventory[[#This Row],[det_value]]*Lookups!$M$28,-2)</f>
        <v>8000</v>
      </c>
      <c r="CC159">
        <f>IF(ROUND(Grandview_Inventory[[#This Row],[adj_res]]*Lookups!$M$28,-2)&lt;Grandview_Inventory[[#This Row],[min_res]],Grandview_Inventory[[#This Row],[min_res]],ROUND(Grandview_Inventory[[#This Row],[adj_res]]*Lookups!$M$28,-2))</f>
        <v>214100</v>
      </c>
      <c r="CD159">
        <f>Grandview_Inventory[[#This Row],[final_det]]+Grandview_Inventory[[#This Row],[final_res]]</f>
        <v>222100</v>
      </c>
      <c r="CE159">
        <f>Grandview_Inventory[[#This Row],[final_land]]+Grandview_Inventory[[#This Row],[final_imp]]+Grandview_Inventory[[#This Row],[crop_value]]</f>
        <v>276700</v>
      </c>
      <c r="CG159" t="str">
        <f t="shared" si="2"/>
        <v>update valuation set market_land =54600, market_bldg=222100, market_total =276700, market_mdno =401, market_date ='9/10/2023' where link_id = (select link_id from parcel where parcel_year = '2024' and parcel_id = '23091433516');</v>
      </c>
    </row>
    <row r="160" spans="1:85" x14ac:dyDescent="0.25">
      <c r="A160">
        <v>23091433519</v>
      </c>
      <c r="B160">
        <v>0.22</v>
      </c>
      <c r="C160">
        <v>9712</v>
      </c>
      <c r="D160" t="s">
        <v>129</v>
      </c>
      <c r="E160" t="s">
        <v>53</v>
      </c>
      <c r="F160" t="s">
        <v>53</v>
      </c>
      <c r="G160">
        <v>4</v>
      </c>
      <c r="H160" t="s">
        <v>54</v>
      </c>
      <c r="I160">
        <v>205300</v>
      </c>
      <c r="J160">
        <v>39500</v>
      </c>
      <c r="K160">
        <v>0.22</v>
      </c>
      <c r="L16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0">
        <v>0</v>
      </c>
      <c r="N160">
        <v>0</v>
      </c>
      <c r="O160">
        <v>0</v>
      </c>
      <c r="P160">
        <v>13398.7528</v>
      </c>
      <c r="Q160">
        <v>63903</v>
      </c>
      <c r="R160">
        <f>(Grandview_Inventory[[#This Row],[ln_acres]]*Grandview_Inventory[[#This Row],[coeff]])+Grandview_Inventory[[#This Row],[const]]</f>
        <v>43615.576802869145</v>
      </c>
      <c r="S160" t="s">
        <v>61</v>
      </c>
      <c r="T160">
        <v>1</v>
      </c>
      <c r="U160" t="s">
        <v>65</v>
      </c>
      <c r="V160" t="s">
        <v>69</v>
      </c>
      <c r="W160">
        <v>0</v>
      </c>
      <c r="X160">
        <v>0</v>
      </c>
      <c r="Y160">
        <v>43</v>
      </c>
      <c r="Z160">
        <v>44</v>
      </c>
      <c r="AA160">
        <v>50</v>
      </c>
      <c r="AB160">
        <v>1500</v>
      </c>
      <c r="AC160">
        <v>1396</v>
      </c>
      <c r="AD160">
        <v>1396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208</v>
      </c>
      <c r="AN160">
        <v>0</v>
      </c>
      <c r="AO160">
        <v>0</v>
      </c>
      <c r="AP160">
        <v>8</v>
      </c>
      <c r="AQ160">
        <v>0</v>
      </c>
      <c r="AR160">
        <v>1</v>
      </c>
      <c r="AS160" t="s">
        <v>58</v>
      </c>
      <c r="AT160">
        <v>1</v>
      </c>
      <c r="AU160" t="s">
        <v>63</v>
      </c>
      <c r="AV160" t="s">
        <v>64</v>
      </c>
      <c r="AW160">
        <v>1</v>
      </c>
      <c r="AX160">
        <v>3</v>
      </c>
      <c r="AY160">
        <v>0</v>
      </c>
      <c r="AZ160">
        <v>36600</v>
      </c>
      <c r="BA160">
        <v>100</v>
      </c>
      <c r="BB160">
        <v>100</v>
      </c>
      <c r="BC160">
        <v>100</v>
      </c>
      <c r="BD160">
        <v>100</v>
      </c>
      <c r="BE160">
        <v>1</v>
      </c>
      <c r="BF160">
        <v>15000</v>
      </c>
      <c r="BG160">
        <v>1000</v>
      </c>
      <c r="BH160" s="6">
        <f>Grandview_Inventory[[#This Row],[land_extract]]*Lookups!$B$3</f>
        <v>50650.651579114572</v>
      </c>
      <c r="BI160" s="6">
        <f>IF(Grandview_Inventory[[#This Row],[bldg_style]]="",0,Lookups!$B$2)</f>
        <v>155833.95000000001</v>
      </c>
      <c r="BJ160" s="6">
        <f>_xlfn.IFNA(VLOOKUP(Grandview_Inventory[[#This Row],[quality]],Lookups!$H$2:$J$14,3,FALSE),0)</f>
        <v>2251</v>
      </c>
      <c r="BK160" s="6">
        <f>_xlfn.IFNA(VLOOKUP(Grandview_Inventory[[#This Row],[condition]],Lookups!$H$17:$J$24,3,FALSE),0)</f>
        <v>-4503</v>
      </c>
      <c r="BL160" s="6">
        <f>Grandview_Inventory[[#This Row],[Eff_Age]]*Lookups!$B$14</f>
        <v>-10284.1638</v>
      </c>
      <c r="BM160" s="6">
        <f>Grandview_Inventory[[#This Row],[living_area]]*Lookups!$B$15</f>
        <v>87083.670788000003</v>
      </c>
      <c r="BN160" s="6">
        <f>Grandview_Inventory[[#This Row],[Fin BSMT]]*Lookups!$B$16</f>
        <v>0</v>
      </c>
      <c r="BO160" s="6">
        <f>(Grandview_Inventory[[#This Row],[att_gar]]+Grandview_Inventory[[#This Row],[bltin_gar]])*Lookups!$B$17</f>
        <v>0</v>
      </c>
      <c r="BP160" s="6">
        <f>Grandview_Inventory[[#This Row],[Plumbing Fixtures]]*Lookups!$B$18</f>
        <v>16083.5344</v>
      </c>
      <c r="BQ160" s="6">
        <f>Grandview_Inventory[[#This Row],[detatched_value]]*Lookups!$B$19</f>
        <v>30993.06666</v>
      </c>
      <c r="BR160" s="6">
        <f>SUM(Grandview_Inventory[[#This Row],[Intercept]:[det_value]])*Grandview_Inventory[[#This Row],[res_pct]]</f>
        <v>277458.05804800004</v>
      </c>
      <c r="BS160" s="6">
        <f>Grandview_Inventory[[#This Row],[land_value]]</f>
        <v>50650.651579114572</v>
      </c>
      <c r="BT160" s="4">
        <f>_xlfn.IFNA(VLOOKUP(Grandview_Inventory[[#This Row],[quality]],Lookups!$A$26:$C$33,3,FALSE),1)</f>
        <v>0.98763855981004833</v>
      </c>
      <c r="BU160" s="4">
        <f>_xlfn.IFNA(VLOOKUP(Grandview_Inventory[[#This Row],[condition]],Lookups!$A$37:$C$44,3,FALSE),1)</f>
        <v>0.96469275950863709</v>
      </c>
      <c r="BV160" s="4">
        <f>IF(Grandview_Inventory[[#This Row],[bldg_style]]="",1,_xlfn.IFNA(VLOOKUP(Grandview_Inventory[[#This Row],[decade]],Lookups!$F$29:$H$43,3,FALSE),1))</f>
        <v>0.9871940091910919</v>
      </c>
      <c r="BW160" s="4">
        <f>_xlfn.IFNA(VLOOKUP(Grandview_Inventory[[#This Row],[living_area_range]],Lookups!$F$47:$H$56,3,FALSE),1)</f>
        <v>0.96135087979789358</v>
      </c>
      <c r="BX160" s="4">
        <f>AVERAGE(Grandview_Inventory[[#This Row],[qual_adj]:[size_adj]])</f>
        <v>0.97521905207691773</v>
      </c>
      <c r="BY160" s="6">
        <f>IF(Grandview_Inventory[[#This Row],[pre_res]]&lt;0,0,Grandview_Inventory[[#This Row],[pre_res]]*Grandview_Inventory[[#This Row],[overall_adj]])</f>
        <v>270582.38436067302</v>
      </c>
      <c r="BZ160" s="6">
        <f>(Grandview_Inventory[[#This Row],[sum_land]]-IF(Grandview_Inventory[[#This Row],[no_utilities]]=1,12000,0))/IF(Grandview_Inventory[[#This Row],[unbuildable]]=1,2,1)</f>
        <v>50650.651579114572</v>
      </c>
      <c r="CA16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0">
        <f>ROUND(Grandview_Inventory[[#This Row],[det_value]]*Lookups!$M$28,-2)</f>
        <v>29400</v>
      </c>
      <c r="CC160">
        <f>IF(ROUND(Grandview_Inventory[[#This Row],[adj_res]]*Lookups!$M$28,-2)&lt;Grandview_Inventory[[#This Row],[min_res]],Grandview_Inventory[[#This Row],[min_res]],ROUND(Grandview_Inventory[[#This Row],[adj_res]]*Lookups!$M$28,-2))</f>
        <v>257100</v>
      </c>
      <c r="CD160">
        <f>Grandview_Inventory[[#This Row],[final_det]]+Grandview_Inventory[[#This Row],[final_res]]</f>
        <v>286500</v>
      </c>
      <c r="CE160">
        <f>Grandview_Inventory[[#This Row],[final_land]]+Grandview_Inventory[[#This Row],[final_imp]]+Grandview_Inventory[[#This Row],[crop_value]]</f>
        <v>334600</v>
      </c>
      <c r="CG160" t="str">
        <f t="shared" si="2"/>
        <v>update valuation set market_land =48100, market_bldg=286500, market_total =334600, market_mdno =401, market_date ='9/10/2023' where link_id = (select link_id from parcel where parcel_year = '2024' and parcel_id = '23091433519');</v>
      </c>
    </row>
    <row r="161" spans="1:85" x14ac:dyDescent="0.25">
      <c r="A161">
        <v>23091433521</v>
      </c>
      <c r="B161">
        <v>0.35</v>
      </c>
      <c r="C161">
        <v>15296</v>
      </c>
      <c r="D161" t="s">
        <v>129</v>
      </c>
      <c r="E161" t="s">
        <v>53</v>
      </c>
      <c r="F161" t="s">
        <v>53</v>
      </c>
      <c r="G161">
        <v>4</v>
      </c>
      <c r="H161" t="s">
        <v>54</v>
      </c>
      <c r="I161">
        <v>141000</v>
      </c>
      <c r="J161">
        <v>41200</v>
      </c>
      <c r="K161">
        <v>0.35</v>
      </c>
      <c r="L161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61">
        <v>0</v>
      </c>
      <c r="N161">
        <v>0</v>
      </c>
      <c r="O161">
        <v>0</v>
      </c>
      <c r="P161">
        <v>13398.7528</v>
      </c>
      <c r="Q161">
        <v>63903</v>
      </c>
      <c r="R161">
        <f>(Grandview_Inventory[[#This Row],[ln_acres]]*Grandview_Inventory[[#This Row],[coeff]])+Grandview_Inventory[[#This Row],[const]]</f>
        <v>49836.692869871389</v>
      </c>
      <c r="S161" t="s">
        <v>68</v>
      </c>
      <c r="T161">
        <v>1</v>
      </c>
      <c r="U161" t="s">
        <v>65</v>
      </c>
      <c r="V161" t="s">
        <v>69</v>
      </c>
      <c r="W161">
        <v>0</v>
      </c>
      <c r="X161">
        <v>0</v>
      </c>
      <c r="Y161">
        <v>50</v>
      </c>
      <c r="Z161">
        <v>73</v>
      </c>
      <c r="AA161">
        <v>80</v>
      </c>
      <c r="AB161">
        <v>1500</v>
      </c>
      <c r="AC161">
        <v>1024</v>
      </c>
      <c r="AD161">
        <v>1024</v>
      </c>
      <c r="AE161">
        <v>0</v>
      </c>
      <c r="AF161">
        <v>0</v>
      </c>
      <c r="AG161">
        <v>0</v>
      </c>
      <c r="AH161">
        <v>0</v>
      </c>
      <c r="AI161">
        <v>336</v>
      </c>
      <c r="AJ161">
        <v>0</v>
      </c>
      <c r="AK161">
        <v>0</v>
      </c>
      <c r="AL161">
        <v>0</v>
      </c>
      <c r="AM161">
        <v>64</v>
      </c>
      <c r="AN161">
        <v>72</v>
      </c>
      <c r="AO161">
        <v>0</v>
      </c>
      <c r="AP161">
        <v>5</v>
      </c>
      <c r="AQ161">
        <v>0</v>
      </c>
      <c r="AR161">
        <v>0</v>
      </c>
      <c r="AS161" t="s">
        <v>58</v>
      </c>
      <c r="AT161">
        <v>1</v>
      </c>
      <c r="AU161" t="s">
        <v>63</v>
      </c>
      <c r="AV161" t="s">
        <v>64</v>
      </c>
      <c r="AW161">
        <v>1</v>
      </c>
      <c r="AX161">
        <v>2</v>
      </c>
      <c r="AY161">
        <v>0</v>
      </c>
      <c r="AZ161">
        <v>2100</v>
      </c>
      <c r="BA161">
        <v>100</v>
      </c>
      <c r="BB161">
        <v>100</v>
      </c>
      <c r="BC161">
        <v>100</v>
      </c>
      <c r="BD161">
        <v>100</v>
      </c>
      <c r="BE161">
        <v>1</v>
      </c>
      <c r="BF161">
        <v>15000</v>
      </c>
      <c r="BG161">
        <v>1000</v>
      </c>
      <c r="BH161" s="6">
        <f>Grandview_Inventory[[#This Row],[land_extract]]*Lookups!$B$3</f>
        <v>57875.216870710894</v>
      </c>
      <c r="BI161" s="6">
        <f>IF(Grandview_Inventory[[#This Row],[bldg_style]]="",0,Lookups!$B$2)</f>
        <v>155833.95000000001</v>
      </c>
      <c r="BJ161" s="6">
        <f>_xlfn.IFNA(VLOOKUP(Grandview_Inventory[[#This Row],[quality]],Lookups!$H$2:$J$14,3,FALSE),0)</f>
        <v>2251</v>
      </c>
      <c r="BK161" s="6">
        <f>_xlfn.IFNA(VLOOKUP(Grandview_Inventory[[#This Row],[condition]],Lookups!$H$17:$J$24,3,FALSE),0)</f>
        <v>-4503</v>
      </c>
      <c r="BL161" s="6">
        <f>Grandview_Inventory[[#This Row],[Eff_Age]]*Lookups!$B$14</f>
        <v>-11958.33</v>
      </c>
      <c r="BM161" s="6">
        <f>Grandview_Inventory[[#This Row],[living_area]]*Lookups!$B$15</f>
        <v>63877.993472000002</v>
      </c>
      <c r="BN161" s="6">
        <f>Grandview_Inventory[[#This Row],[Fin BSMT]]*Lookups!$B$16</f>
        <v>0</v>
      </c>
      <c r="BO161" s="6">
        <f>(Grandview_Inventory[[#This Row],[att_gar]]+Grandview_Inventory[[#This Row],[bltin_gar]])*Lookups!$B$17</f>
        <v>29406.866832</v>
      </c>
      <c r="BP161" s="6">
        <f>Grandview_Inventory[[#This Row],[Plumbing Fixtures]]*Lookups!$B$18</f>
        <v>10052.209000000001</v>
      </c>
      <c r="BQ161" s="6">
        <f>Grandview_Inventory[[#This Row],[detatched_value]]*Lookups!$B$19</f>
        <v>1778.29071</v>
      </c>
      <c r="BR161" s="6">
        <f>SUM(Grandview_Inventory[[#This Row],[Intercept]:[det_value]])*Grandview_Inventory[[#This Row],[res_pct]]</f>
        <v>246738.98001400003</v>
      </c>
      <c r="BS161" s="6">
        <f>Grandview_Inventory[[#This Row],[land_value]]</f>
        <v>57875.216870710894</v>
      </c>
      <c r="BT161" s="4">
        <f>_xlfn.IFNA(VLOOKUP(Grandview_Inventory[[#This Row],[quality]],Lookups!$A$26:$C$33,3,FALSE),1)</f>
        <v>0.98763855981004833</v>
      </c>
      <c r="BU161" s="4">
        <f>_xlfn.IFNA(VLOOKUP(Grandview_Inventory[[#This Row],[condition]],Lookups!$A$37:$C$44,3,FALSE),1)</f>
        <v>0.96469275950863709</v>
      </c>
      <c r="BV161" s="4">
        <f>IF(Grandview_Inventory[[#This Row],[bldg_style]]="",1,_xlfn.IFNA(VLOOKUP(Grandview_Inventory[[#This Row],[decade]],Lookups!$F$29:$H$43,3,FALSE),1))</f>
        <v>0.98763256963907298</v>
      </c>
      <c r="BW161" s="4">
        <f>_xlfn.IFNA(VLOOKUP(Grandview_Inventory[[#This Row],[living_area_range]],Lookups!$F$47:$H$56,3,FALSE),1)</f>
        <v>0.96135087979789358</v>
      </c>
      <c r="BX161" s="4">
        <f>AVERAGE(Grandview_Inventory[[#This Row],[qual_adj]:[size_adj]])</f>
        <v>0.97532869218891294</v>
      </c>
      <c r="BY161" s="6">
        <f>IF(Grandview_Inventory[[#This Row],[pre_res]]&lt;0,0,Grandview_Inventory[[#This Row],[pre_res]]*Grandview_Inventory[[#This Row],[overall_adj]])</f>
        <v>240651.60668908097</v>
      </c>
      <c r="BZ161" s="6">
        <f>(Grandview_Inventory[[#This Row],[sum_land]]-IF(Grandview_Inventory[[#This Row],[no_utilities]]=1,12000,0))/IF(Grandview_Inventory[[#This Row],[unbuildable]]=1,2,1)</f>
        <v>57875.216870710894</v>
      </c>
      <c r="CA161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61">
        <f>ROUND(Grandview_Inventory[[#This Row],[det_value]]*Lookups!$M$28,-2)</f>
        <v>1700</v>
      </c>
      <c r="CC161">
        <f>IF(ROUND(Grandview_Inventory[[#This Row],[adj_res]]*Lookups!$M$28,-2)&lt;Grandview_Inventory[[#This Row],[min_res]],Grandview_Inventory[[#This Row],[min_res]],ROUND(Grandview_Inventory[[#This Row],[adj_res]]*Lookups!$M$28,-2))</f>
        <v>228600</v>
      </c>
      <c r="CD161">
        <f>Grandview_Inventory[[#This Row],[final_det]]+Grandview_Inventory[[#This Row],[final_res]]</f>
        <v>230300</v>
      </c>
      <c r="CE161">
        <f>Grandview_Inventory[[#This Row],[final_land]]+Grandview_Inventory[[#This Row],[final_imp]]+Grandview_Inventory[[#This Row],[crop_value]]</f>
        <v>285300</v>
      </c>
      <c r="CG161" t="str">
        <f t="shared" si="2"/>
        <v>update valuation set market_land =55000, market_bldg=230300, market_total =285300, market_mdno =401, market_date ='9/10/2023' where link_id = (select link_id from parcel where parcel_year = '2024' and parcel_id = '23091433521');</v>
      </c>
    </row>
    <row r="162" spans="1:85" x14ac:dyDescent="0.25">
      <c r="A162">
        <v>23091433528</v>
      </c>
      <c r="B162">
        <v>0.35</v>
      </c>
      <c r="C162">
        <v>15107</v>
      </c>
      <c r="D162" t="s">
        <v>129</v>
      </c>
      <c r="E162" t="s">
        <v>53</v>
      </c>
      <c r="F162" t="s">
        <v>53</v>
      </c>
      <c r="G162">
        <v>4</v>
      </c>
      <c r="H162" t="s">
        <v>54</v>
      </c>
      <c r="I162">
        <v>110200</v>
      </c>
      <c r="J162">
        <v>41200</v>
      </c>
      <c r="K162">
        <v>0.35</v>
      </c>
      <c r="L162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62">
        <v>0</v>
      </c>
      <c r="N162">
        <v>0</v>
      </c>
      <c r="O162">
        <v>0</v>
      </c>
      <c r="P162">
        <v>13398.7528</v>
      </c>
      <c r="Q162">
        <v>63903</v>
      </c>
      <c r="R162">
        <f>(Grandview_Inventory[[#This Row],[ln_acres]]*Grandview_Inventory[[#This Row],[coeff]])+Grandview_Inventory[[#This Row],[const]]</f>
        <v>49836.692869871389</v>
      </c>
      <c r="S162" t="s">
        <v>68</v>
      </c>
      <c r="T162">
        <v>1</v>
      </c>
      <c r="U162" t="s">
        <v>70</v>
      </c>
      <c r="V162" t="s">
        <v>78</v>
      </c>
      <c r="W162">
        <v>0</v>
      </c>
      <c r="X162">
        <v>0</v>
      </c>
      <c r="Y162">
        <v>51</v>
      </c>
      <c r="Z162">
        <v>83</v>
      </c>
      <c r="AA162">
        <v>90</v>
      </c>
      <c r="AB162">
        <v>1000</v>
      </c>
      <c r="AC162">
        <v>946</v>
      </c>
      <c r="AD162">
        <v>946</v>
      </c>
      <c r="AE162">
        <v>0</v>
      </c>
      <c r="AF162">
        <v>0</v>
      </c>
      <c r="AG162">
        <v>0</v>
      </c>
      <c r="AH162">
        <v>0</v>
      </c>
      <c r="AI162">
        <v>280</v>
      </c>
      <c r="AJ162">
        <v>0</v>
      </c>
      <c r="AK162">
        <v>0</v>
      </c>
      <c r="AL162">
        <v>0</v>
      </c>
      <c r="AM162">
        <v>220</v>
      </c>
      <c r="AN162">
        <v>48</v>
      </c>
      <c r="AO162">
        <v>220</v>
      </c>
      <c r="AP162">
        <v>5</v>
      </c>
      <c r="AQ162">
        <v>0</v>
      </c>
      <c r="AR162">
        <v>0</v>
      </c>
      <c r="AS162" t="s">
        <v>58</v>
      </c>
      <c r="AT162">
        <v>1</v>
      </c>
      <c r="AU162" t="s">
        <v>63</v>
      </c>
      <c r="AV162" t="s">
        <v>60</v>
      </c>
      <c r="AW162">
        <v>0</v>
      </c>
      <c r="AX162">
        <v>2</v>
      </c>
      <c r="AY162">
        <v>0</v>
      </c>
      <c r="AZ162">
        <v>2400</v>
      </c>
      <c r="BA162">
        <v>100</v>
      </c>
      <c r="BB162">
        <v>100</v>
      </c>
      <c r="BC162">
        <v>100</v>
      </c>
      <c r="BD162">
        <v>100</v>
      </c>
      <c r="BE162">
        <v>1</v>
      </c>
      <c r="BF162">
        <v>15000</v>
      </c>
      <c r="BG162">
        <v>1000</v>
      </c>
      <c r="BH162" s="6">
        <f>Grandview_Inventory[[#This Row],[land_extract]]*Lookups!$B$3</f>
        <v>57875.216870710894</v>
      </c>
      <c r="BI162" s="6">
        <f>IF(Grandview_Inventory[[#This Row],[bldg_style]]="",0,Lookups!$B$2)</f>
        <v>155833.95000000001</v>
      </c>
      <c r="BJ162" s="6">
        <f>_xlfn.IFNA(VLOOKUP(Grandview_Inventory[[#This Row],[quality]],Lookups!$H$2:$J$14,3,FALSE),0)</f>
        <v>10733</v>
      </c>
      <c r="BK162" s="6">
        <f>_xlfn.IFNA(VLOOKUP(Grandview_Inventory[[#This Row],[condition]],Lookups!$H$17:$J$24,3,FALSE),0)</f>
        <v>-45357</v>
      </c>
      <c r="BL162" s="6">
        <f>Grandview_Inventory[[#This Row],[Eff_Age]]*Lookups!$B$14</f>
        <v>-12197.496599999999</v>
      </c>
      <c r="BM162" s="6">
        <f>Grandview_Inventory[[#This Row],[living_area]]*Lookups!$B$15</f>
        <v>59012.286938000005</v>
      </c>
      <c r="BN162" s="6">
        <f>Grandview_Inventory[[#This Row],[Fin BSMT]]*Lookups!$B$16</f>
        <v>0</v>
      </c>
      <c r="BO162" s="6">
        <f>(Grandview_Inventory[[#This Row],[att_gar]]+Grandview_Inventory[[#This Row],[bltin_gar]])*Lookups!$B$17</f>
        <v>24505.72236</v>
      </c>
      <c r="BP162" s="6">
        <f>Grandview_Inventory[[#This Row],[Plumbing Fixtures]]*Lookups!$B$18</f>
        <v>10052.209000000001</v>
      </c>
      <c r="BQ162" s="6">
        <f>Grandview_Inventory[[#This Row],[detatched_value]]*Lookups!$B$19</f>
        <v>2032.33224</v>
      </c>
      <c r="BR162" s="6">
        <f>SUM(Grandview_Inventory[[#This Row],[Intercept]:[det_value]])*Grandview_Inventory[[#This Row],[res_pct]]</f>
        <v>204615.00393800001</v>
      </c>
      <c r="BS162" s="6">
        <f>Grandview_Inventory[[#This Row],[land_value]]</f>
        <v>57875.216870710894</v>
      </c>
      <c r="BT162" s="4">
        <f>_xlfn.IFNA(VLOOKUP(Grandview_Inventory[[#This Row],[quality]],Lookups!$A$26:$C$33,3,FALSE),1)</f>
        <v>0.98079741117310582</v>
      </c>
      <c r="BU162" s="4">
        <f>_xlfn.IFNA(VLOOKUP(Grandview_Inventory[[#This Row],[condition]],Lookups!$A$37:$C$44,3,FALSE),1)</f>
        <v>0.97161819570155394</v>
      </c>
      <c r="BV162" s="4">
        <f>IF(Grandview_Inventory[[#This Row],[bldg_style]]="",1,_xlfn.IFNA(VLOOKUP(Grandview_Inventory[[#This Row],[decade]],Lookups!$F$29:$H$43,3,FALSE),1))</f>
        <v>0.94161750052457416</v>
      </c>
      <c r="BW162" s="4">
        <f>_xlfn.IFNA(VLOOKUP(Grandview_Inventory[[#This Row],[living_area_range]],Lookups!$F$47:$H$56,3,FALSE),1)</f>
        <v>0.94306777142782894</v>
      </c>
      <c r="BX162" s="4">
        <f>AVERAGE(Grandview_Inventory[[#This Row],[qual_adj]:[size_adj]])</f>
        <v>0.95927521970676566</v>
      </c>
      <c r="BY162" s="6">
        <f>IF(Grandview_Inventory[[#This Row],[pre_res]]&lt;0,0,Grandview_Inventory[[#This Row],[pre_res]]*Grandview_Inventory[[#This Row],[overall_adj]])</f>
        <v>196282.10285792567</v>
      </c>
      <c r="BZ162" s="6">
        <f>(Grandview_Inventory[[#This Row],[sum_land]]-IF(Grandview_Inventory[[#This Row],[no_utilities]]=1,12000,0))/IF(Grandview_Inventory[[#This Row],[unbuildable]]=1,2,1)</f>
        <v>57875.216870710894</v>
      </c>
      <c r="CA162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62">
        <f>ROUND(Grandview_Inventory[[#This Row],[det_value]]*Lookups!$M$28,-2)</f>
        <v>1900</v>
      </c>
      <c r="CC162">
        <f>IF(ROUND(Grandview_Inventory[[#This Row],[adj_res]]*Lookups!$M$28,-2)&lt;Grandview_Inventory[[#This Row],[min_res]],Grandview_Inventory[[#This Row],[min_res]],ROUND(Grandview_Inventory[[#This Row],[adj_res]]*Lookups!$M$28,-2))</f>
        <v>186500</v>
      </c>
      <c r="CD162">
        <f>Grandview_Inventory[[#This Row],[final_det]]+Grandview_Inventory[[#This Row],[final_res]]</f>
        <v>188400</v>
      </c>
      <c r="CE162">
        <f>Grandview_Inventory[[#This Row],[final_land]]+Grandview_Inventory[[#This Row],[final_imp]]+Grandview_Inventory[[#This Row],[crop_value]]</f>
        <v>243400</v>
      </c>
      <c r="CG162" t="str">
        <f t="shared" si="2"/>
        <v>update valuation set market_land =55000, market_bldg=188400, market_total =243400, market_mdno =401, market_date ='9/10/2023' where link_id = (select link_id from parcel where parcel_year = '2024' and parcel_id = '23091433528');</v>
      </c>
    </row>
    <row r="163" spans="1:85" x14ac:dyDescent="0.25">
      <c r="A163">
        <v>23091433529</v>
      </c>
      <c r="B163">
        <v>0.23</v>
      </c>
      <c r="C163">
        <v>9892</v>
      </c>
      <c r="D163" t="s">
        <v>129</v>
      </c>
      <c r="E163" t="s">
        <v>53</v>
      </c>
      <c r="F163" t="s">
        <v>53</v>
      </c>
      <c r="G163">
        <v>4</v>
      </c>
      <c r="H163" t="s">
        <v>54</v>
      </c>
      <c r="I163">
        <v>194000</v>
      </c>
      <c r="J163">
        <v>43800</v>
      </c>
      <c r="K163">
        <v>0.23</v>
      </c>
      <c r="L16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63">
        <v>0</v>
      </c>
      <c r="N163">
        <v>0</v>
      </c>
      <c r="O163">
        <v>0</v>
      </c>
      <c r="P163">
        <v>13398.7528</v>
      </c>
      <c r="Q163">
        <v>63903</v>
      </c>
      <c r="R163">
        <f>(Grandview_Inventory[[#This Row],[ln_acres]]*Grandview_Inventory[[#This Row],[coeff]])+Grandview_Inventory[[#This Row],[const]]</f>
        <v>44211.174981080039</v>
      </c>
      <c r="S163" t="s">
        <v>61</v>
      </c>
      <c r="T163">
        <v>1</v>
      </c>
      <c r="U163" t="s">
        <v>65</v>
      </c>
      <c r="V163" t="s">
        <v>67</v>
      </c>
      <c r="W163">
        <v>0</v>
      </c>
      <c r="X163">
        <v>0</v>
      </c>
      <c r="Y163">
        <v>26</v>
      </c>
      <c r="Z163">
        <v>26</v>
      </c>
      <c r="AA163">
        <v>30</v>
      </c>
      <c r="AB163">
        <v>1500</v>
      </c>
      <c r="AC163">
        <v>1218</v>
      </c>
      <c r="AD163">
        <v>1218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24</v>
      </c>
      <c r="AO163">
        <v>0</v>
      </c>
      <c r="AP163">
        <v>8</v>
      </c>
      <c r="AQ163">
        <v>0</v>
      </c>
      <c r="AR163">
        <v>0</v>
      </c>
      <c r="AS163" t="s">
        <v>58</v>
      </c>
      <c r="AT163">
        <v>1</v>
      </c>
      <c r="AU163" t="s">
        <v>63</v>
      </c>
      <c r="AV163" t="s">
        <v>60</v>
      </c>
      <c r="AW163">
        <v>1</v>
      </c>
      <c r="AX163">
        <v>4</v>
      </c>
      <c r="AY163">
        <v>0</v>
      </c>
      <c r="AZ163">
        <v>0</v>
      </c>
      <c r="BA163">
        <v>100</v>
      </c>
      <c r="BB163">
        <v>100</v>
      </c>
      <c r="BC163">
        <v>100</v>
      </c>
      <c r="BD163">
        <v>100</v>
      </c>
      <c r="BE163">
        <v>1</v>
      </c>
      <c r="BF163">
        <v>15000</v>
      </c>
      <c r="BG163">
        <v>1000</v>
      </c>
      <c r="BH163" s="6">
        <f>Grandview_Inventory[[#This Row],[land_extract]]*Lookups!$B$3</f>
        <v>51342.318135355803</v>
      </c>
      <c r="BI163" s="6">
        <f>IF(Grandview_Inventory[[#This Row],[bldg_style]]="",0,Lookups!$B$2)</f>
        <v>155833.95000000001</v>
      </c>
      <c r="BJ163" s="6">
        <f>_xlfn.IFNA(VLOOKUP(Grandview_Inventory[[#This Row],[quality]],Lookups!$H$2:$J$14,3,FALSE),0)</f>
        <v>2251</v>
      </c>
      <c r="BK163" s="6">
        <f>_xlfn.IFNA(VLOOKUP(Grandview_Inventory[[#This Row],[condition]],Lookups!$H$17:$J$24,3,FALSE),0)</f>
        <v>22342</v>
      </c>
      <c r="BL163" s="6">
        <f>Grandview_Inventory[[#This Row],[Eff_Age]]*Lookups!$B$14</f>
        <v>-6218.3315999999995</v>
      </c>
      <c r="BM163" s="6">
        <f>Grandview_Inventory[[#This Row],[living_area]]*Lookups!$B$15</f>
        <v>75979.878954</v>
      </c>
      <c r="BN163" s="6">
        <f>Grandview_Inventory[[#This Row],[Fin BSMT]]*Lookups!$B$16</f>
        <v>0</v>
      </c>
      <c r="BO163" s="6">
        <f>(Grandview_Inventory[[#This Row],[att_gar]]+Grandview_Inventory[[#This Row],[bltin_gar]])*Lookups!$B$17</f>
        <v>0</v>
      </c>
      <c r="BP163" s="6">
        <f>Grandview_Inventory[[#This Row],[Plumbing Fixtures]]*Lookups!$B$18</f>
        <v>16083.5344</v>
      </c>
      <c r="BQ163" s="6">
        <f>Grandview_Inventory[[#This Row],[detatched_value]]*Lookups!$B$19</f>
        <v>0</v>
      </c>
      <c r="BR163" s="6">
        <f>SUM(Grandview_Inventory[[#This Row],[Intercept]:[det_value]])*Grandview_Inventory[[#This Row],[res_pct]]</f>
        <v>266272.031754</v>
      </c>
      <c r="BS163" s="6">
        <f>Grandview_Inventory[[#This Row],[land_value]]</f>
        <v>51342.318135355803</v>
      </c>
      <c r="BT163" s="4">
        <f>_xlfn.IFNA(VLOOKUP(Grandview_Inventory[[#This Row],[quality]],Lookups!$A$26:$C$33,3,FALSE),1)</f>
        <v>0.98763855981004833</v>
      </c>
      <c r="BU163" s="4">
        <f>_xlfn.IFNA(VLOOKUP(Grandview_Inventory[[#This Row],[condition]],Lookups!$A$37:$C$44,3,FALSE),1)</f>
        <v>0.97383723671140243</v>
      </c>
      <c r="BV163" s="4">
        <f>IF(Grandview_Inventory[[#This Row],[bldg_style]]="",1,_xlfn.IFNA(VLOOKUP(Grandview_Inventory[[#This Row],[decade]],Lookups!$F$29:$H$43,3,FALSE),1))</f>
        <v>0.98397821291089549</v>
      </c>
      <c r="BW163" s="4">
        <f>_xlfn.IFNA(VLOOKUP(Grandview_Inventory[[#This Row],[living_area_range]],Lookups!$F$47:$H$56,3,FALSE),1)</f>
        <v>0.96135087979789358</v>
      </c>
      <c r="BX163" s="4">
        <f>AVERAGE(Grandview_Inventory[[#This Row],[qual_adj]:[size_adj]])</f>
        <v>0.97670122230755996</v>
      </c>
      <c r="BY163" s="6">
        <f>IF(Grandview_Inventory[[#This Row],[pre_res]]&lt;0,0,Grandview_Inventory[[#This Row],[pre_res]]*Grandview_Inventory[[#This Row],[overall_adj]])</f>
        <v>260068.21888044922</v>
      </c>
      <c r="BZ163" s="6">
        <f>(Grandview_Inventory[[#This Row],[sum_land]]-IF(Grandview_Inventory[[#This Row],[no_utilities]]=1,12000,0))/IF(Grandview_Inventory[[#This Row],[unbuildable]]=1,2,1)</f>
        <v>51342.318135355803</v>
      </c>
      <c r="CA16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63">
        <f>ROUND(Grandview_Inventory[[#This Row],[det_value]]*Lookups!$M$28,-2)</f>
        <v>0</v>
      </c>
      <c r="CC163">
        <f>IF(ROUND(Grandview_Inventory[[#This Row],[adj_res]]*Lookups!$M$28,-2)&lt;Grandview_Inventory[[#This Row],[min_res]],Grandview_Inventory[[#This Row],[min_res]],ROUND(Grandview_Inventory[[#This Row],[adj_res]]*Lookups!$M$28,-2))</f>
        <v>247100</v>
      </c>
      <c r="CD163">
        <f>Grandview_Inventory[[#This Row],[final_det]]+Grandview_Inventory[[#This Row],[final_res]]</f>
        <v>247100</v>
      </c>
      <c r="CE163">
        <f>Grandview_Inventory[[#This Row],[final_land]]+Grandview_Inventory[[#This Row],[final_imp]]+Grandview_Inventory[[#This Row],[crop_value]]</f>
        <v>295900</v>
      </c>
      <c r="CG163" t="str">
        <f t="shared" si="2"/>
        <v>update valuation set market_land =48800, market_bldg=247100, market_total =295900, market_mdno =401, market_date ='9/10/2023' where link_id = (select link_id from parcel where parcel_year = '2024' and parcel_id = '23091433529');</v>
      </c>
    </row>
    <row r="164" spans="1:85" x14ac:dyDescent="0.25">
      <c r="A164">
        <v>23091433530</v>
      </c>
      <c r="B164">
        <v>0.2</v>
      </c>
      <c r="C164" t="s">
        <v>129</v>
      </c>
      <c r="D164" t="s">
        <v>129</v>
      </c>
      <c r="E164" t="s">
        <v>53</v>
      </c>
      <c r="F164" t="s">
        <v>53</v>
      </c>
      <c r="G164">
        <v>4</v>
      </c>
      <c r="H164" t="s">
        <v>54</v>
      </c>
      <c r="I164">
        <v>148800</v>
      </c>
      <c r="J164">
        <v>39300</v>
      </c>
      <c r="K164">
        <v>0.2</v>
      </c>
      <c r="L16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4">
        <v>0</v>
      </c>
      <c r="N164">
        <v>0</v>
      </c>
      <c r="O164">
        <v>0</v>
      </c>
      <c r="P164">
        <v>13398.7528</v>
      </c>
      <c r="Q164">
        <v>63903</v>
      </c>
      <c r="R164">
        <f>(Grandview_Inventory[[#This Row],[ln_acres]]*Grandview_Inventory[[#This Row],[coeff]])+Grandview_Inventory[[#This Row],[const]]</f>
        <v>42338.539264347448</v>
      </c>
      <c r="S164" t="s">
        <v>61</v>
      </c>
      <c r="T164">
        <v>1</v>
      </c>
      <c r="U164" t="s">
        <v>65</v>
      </c>
      <c r="V164" t="s">
        <v>69</v>
      </c>
      <c r="W164">
        <v>0</v>
      </c>
      <c r="X164">
        <v>0</v>
      </c>
      <c r="Y164">
        <v>27</v>
      </c>
      <c r="Z164">
        <v>27</v>
      </c>
      <c r="AA164">
        <v>30</v>
      </c>
      <c r="AB164">
        <v>1500</v>
      </c>
      <c r="AC164">
        <v>1052</v>
      </c>
      <c r="AD164">
        <v>1052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228</v>
      </c>
      <c r="AL164">
        <v>0</v>
      </c>
      <c r="AM164">
        <v>0</v>
      </c>
      <c r="AN164">
        <v>42</v>
      </c>
      <c r="AO164">
        <v>0</v>
      </c>
      <c r="AP164">
        <v>8</v>
      </c>
      <c r="AQ164">
        <v>0</v>
      </c>
      <c r="AR164">
        <v>0</v>
      </c>
      <c r="AS164" t="s">
        <v>58</v>
      </c>
      <c r="AT164">
        <v>1</v>
      </c>
      <c r="AU164" t="s">
        <v>59</v>
      </c>
      <c r="AV164" t="s">
        <v>60</v>
      </c>
      <c r="AW164">
        <v>1</v>
      </c>
      <c r="AX164">
        <v>3</v>
      </c>
      <c r="AY164">
        <v>0</v>
      </c>
      <c r="AZ164">
        <v>0</v>
      </c>
      <c r="BA164">
        <v>100</v>
      </c>
      <c r="BB164">
        <v>100</v>
      </c>
      <c r="BC164">
        <v>100</v>
      </c>
      <c r="BD164">
        <v>100</v>
      </c>
      <c r="BE164">
        <v>1</v>
      </c>
      <c r="BF164">
        <v>15000</v>
      </c>
      <c r="BG164">
        <v>1000</v>
      </c>
      <c r="BH164" s="6">
        <f>Grandview_Inventory[[#This Row],[land_extract]]*Lookups!$B$3</f>
        <v>49167.631333630678</v>
      </c>
      <c r="BI164" s="6">
        <f>IF(Grandview_Inventory[[#This Row],[bldg_style]]="",0,Lookups!$B$2)</f>
        <v>155833.95000000001</v>
      </c>
      <c r="BJ164" s="6">
        <f>_xlfn.IFNA(VLOOKUP(Grandview_Inventory[[#This Row],[quality]],Lookups!$H$2:$J$14,3,FALSE),0)</f>
        <v>2251</v>
      </c>
      <c r="BK164" s="6">
        <f>_xlfn.IFNA(VLOOKUP(Grandview_Inventory[[#This Row],[condition]],Lookups!$H$17:$J$24,3,FALSE),0)</f>
        <v>-4503</v>
      </c>
      <c r="BL164" s="6">
        <f>Grandview_Inventory[[#This Row],[Eff_Age]]*Lookups!$B$14</f>
        <v>-6457.4982</v>
      </c>
      <c r="BM164" s="6">
        <f>Grandview_Inventory[[#This Row],[living_area]]*Lookups!$B$15</f>
        <v>65624.657355999996</v>
      </c>
      <c r="BN164" s="6">
        <f>Grandview_Inventory[[#This Row],[Fin BSMT]]*Lookups!$B$16</f>
        <v>0</v>
      </c>
      <c r="BO164" s="6">
        <f>(Grandview_Inventory[[#This Row],[att_gar]]+Grandview_Inventory[[#This Row],[bltin_gar]])*Lookups!$B$17</f>
        <v>0</v>
      </c>
      <c r="BP164" s="6">
        <f>Grandview_Inventory[[#This Row],[Plumbing Fixtures]]*Lookups!$B$18</f>
        <v>16083.5344</v>
      </c>
      <c r="BQ164" s="6">
        <f>Grandview_Inventory[[#This Row],[detatched_value]]*Lookups!$B$19</f>
        <v>0</v>
      </c>
      <c r="BR164" s="6">
        <f>SUM(Grandview_Inventory[[#This Row],[Intercept]:[det_value]])*Grandview_Inventory[[#This Row],[res_pct]]</f>
        <v>228832.64355600002</v>
      </c>
      <c r="BS164" s="6">
        <f>Grandview_Inventory[[#This Row],[land_value]]</f>
        <v>49167.631333630678</v>
      </c>
      <c r="BT164" s="4">
        <f>_xlfn.IFNA(VLOOKUP(Grandview_Inventory[[#This Row],[quality]],Lookups!$A$26:$C$33,3,FALSE),1)</f>
        <v>0.98763855981004833</v>
      </c>
      <c r="BU164" s="4">
        <f>_xlfn.IFNA(VLOOKUP(Grandview_Inventory[[#This Row],[condition]],Lookups!$A$37:$C$44,3,FALSE),1)</f>
        <v>0.96469275950863709</v>
      </c>
      <c r="BV164" s="4">
        <f>IF(Grandview_Inventory[[#This Row],[bldg_style]]="",1,_xlfn.IFNA(VLOOKUP(Grandview_Inventory[[#This Row],[decade]],Lookups!$F$29:$H$43,3,FALSE),1))</f>
        <v>0.98397821291089549</v>
      </c>
      <c r="BW164" s="4">
        <f>_xlfn.IFNA(VLOOKUP(Grandview_Inventory[[#This Row],[living_area_range]],Lookups!$F$47:$H$56,3,FALSE),1)</f>
        <v>0.96135087979789358</v>
      </c>
      <c r="BX164" s="4">
        <f>AVERAGE(Grandview_Inventory[[#This Row],[qual_adj]:[size_adj]])</f>
        <v>0.97441510300686862</v>
      </c>
      <c r="BY164" s="6">
        <f>IF(Grandview_Inventory[[#This Row],[pre_res]]&lt;0,0,Grandview_Inventory[[#This Row],[pre_res]]*Grandview_Inventory[[#This Row],[overall_adj]])</f>
        <v>222977.9839419538</v>
      </c>
      <c r="BZ164" s="6">
        <f>(Grandview_Inventory[[#This Row],[sum_land]]-IF(Grandview_Inventory[[#This Row],[no_utilities]]=1,12000,0))/IF(Grandview_Inventory[[#This Row],[unbuildable]]=1,2,1)</f>
        <v>49167.631333630678</v>
      </c>
      <c r="CA16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4">
        <f>ROUND(Grandview_Inventory[[#This Row],[det_value]]*Lookups!$M$28,-2)</f>
        <v>0</v>
      </c>
      <c r="CC164">
        <f>IF(ROUND(Grandview_Inventory[[#This Row],[adj_res]]*Lookups!$M$28,-2)&lt;Grandview_Inventory[[#This Row],[min_res]],Grandview_Inventory[[#This Row],[min_res]],ROUND(Grandview_Inventory[[#This Row],[adj_res]]*Lookups!$M$28,-2))</f>
        <v>211800</v>
      </c>
      <c r="CD164">
        <f>Grandview_Inventory[[#This Row],[final_det]]+Grandview_Inventory[[#This Row],[final_res]]</f>
        <v>211800</v>
      </c>
      <c r="CE164">
        <f>Grandview_Inventory[[#This Row],[final_land]]+Grandview_Inventory[[#This Row],[final_imp]]+Grandview_Inventory[[#This Row],[crop_value]]</f>
        <v>258500</v>
      </c>
      <c r="CG164" t="str">
        <f t="shared" si="2"/>
        <v>update valuation set market_land =46700, market_bldg=211800, market_total =258500, market_mdno =401, market_date ='9/10/2023' where link_id = (select link_id from parcel where parcel_year = '2024' and parcel_id = '23091433530');</v>
      </c>
    </row>
    <row r="165" spans="1:85" x14ac:dyDescent="0.25">
      <c r="A165">
        <v>23091433531</v>
      </c>
      <c r="B165">
        <v>0.2</v>
      </c>
      <c r="C165" t="s">
        <v>129</v>
      </c>
      <c r="D165" t="s">
        <v>129</v>
      </c>
      <c r="E165" t="s">
        <v>53</v>
      </c>
      <c r="F165" t="s">
        <v>53</v>
      </c>
      <c r="G165">
        <v>4</v>
      </c>
      <c r="H165" t="s">
        <v>54</v>
      </c>
      <c r="I165">
        <v>146200</v>
      </c>
      <c r="J165">
        <v>39300</v>
      </c>
      <c r="K165">
        <v>0.2</v>
      </c>
      <c r="L16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5">
        <v>0</v>
      </c>
      <c r="N165">
        <v>0</v>
      </c>
      <c r="O165">
        <v>0</v>
      </c>
      <c r="P165">
        <v>13398.7528</v>
      </c>
      <c r="Q165">
        <v>63903</v>
      </c>
      <c r="R165">
        <f>(Grandview_Inventory[[#This Row],[ln_acres]]*Grandview_Inventory[[#This Row],[coeff]])+Grandview_Inventory[[#This Row],[const]]</f>
        <v>42338.539264347448</v>
      </c>
      <c r="S165" t="s">
        <v>61</v>
      </c>
      <c r="T165">
        <v>1</v>
      </c>
      <c r="U165" t="s">
        <v>70</v>
      </c>
      <c r="V165" t="s">
        <v>69</v>
      </c>
      <c r="W165">
        <v>0</v>
      </c>
      <c r="X165">
        <v>0</v>
      </c>
      <c r="Y165">
        <v>50</v>
      </c>
      <c r="Z165">
        <v>73</v>
      </c>
      <c r="AA165">
        <v>80</v>
      </c>
      <c r="AB165">
        <v>1500</v>
      </c>
      <c r="AC165">
        <v>1084</v>
      </c>
      <c r="AD165">
        <v>1084</v>
      </c>
      <c r="AE165">
        <v>0</v>
      </c>
      <c r="AF165">
        <v>0</v>
      </c>
      <c r="AG165">
        <v>0</v>
      </c>
      <c r="AH165">
        <v>384</v>
      </c>
      <c r="AI165">
        <v>288</v>
      </c>
      <c r="AJ165">
        <v>0</v>
      </c>
      <c r="AK165">
        <v>0</v>
      </c>
      <c r="AL165">
        <v>0</v>
      </c>
      <c r="AM165">
        <v>0</v>
      </c>
      <c r="AN165">
        <v>12</v>
      </c>
      <c r="AO165">
        <v>70</v>
      </c>
      <c r="AP165">
        <v>8</v>
      </c>
      <c r="AQ165">
        <v>0</v>
      </c>
      <c r="AR165">
        <v>0</v>
      </c>
      <c r="AS165" t="s">
        <v>58</v>
      </c>
      <c r="AT165">
        <v>1</v>
      </c>
      <c r="AU165" t="s">
        <v>63</v>
      </c>
      <c r="AV165" t="s">
        <v>64</v>
      </c>
      <c r="AW165">
        <v>0</v>
      </c>
      <c r="AX165">
        <v>2</v>
      </c>
      <c r="AY165">
        <v>0</v>
      </c>
      <c r="AZ165">
        <v>0</v>
      </c>
      <c r="BA165">
        <v>100</v>
      </c>
      <c r="BB165">
        <v>100</v>
      </c>
      <c r="BC165">
        <v>100</v>
      </c>
      <c r="BD165">
        <v>100</v>
      </c>
      <c r="BE165">
        <v>1</v>
      </c>
      <c r="BF165">
        <v>15000</v>
      </c>
      <c r="BG165">
        <v>1000</v>
      </c>
      <c r="BH165" s="6">
        <f>Grandview_Inventory[[#This Row],[land_extract]]*Lookups!$B$3</f>
        <v>49167.631333630678</v>
      </c>
      <c r="BI165" s="6">
        <f>IF(Grandview_Inventory[[#This Row],[bldg_style]]="",0,Lookups!$B$2)</f>
        <v>155833.95000000001</v>
      </c>
      <c r="BJ165" s="6">
        <f>_xlfn.IFNA(VLOOKUP(Grandview_Inventory[[#This Row],[quality]],Lookups!$H$2:$J$14,3,FALSE),0)</f>
        <v>10733</v>
      </c>
      <c r="BK165" s="6">
        <f>_xlfn.IFNA(VLOOKUP(Grandview_Inventory[[#This Row],[condition]],Lookups!$H$17:$J$24,3,FALSE),0)</f>
        <v>-4503</v>
      </c>
      <c r="BL165" s="6">
        <f>Grandview_Inventory[[#This Row],[Eff_Age]]*Lookups!$B$14</f>
        <v>-11958.33</v>
      </c>
      <c r="BM165" s="6">
        <f>Grandview_Inventory[[#This Row],[living_area]]*Lookups!$B$15</f>
        <v>67620.844652</v>
      </c>
      <c r="BN165" s="6">
        <f>Grandview_Inventory[[#This Row],[Fin BSMT]]*Lookups!$B$16</f>
        <v>0</v>
      </c>
      <c r="BO165" s="6">
        <f>(Grandview_Inventory[[#This Row],[att_gar]]+Grandview_Inventory[[#This Row],[bltin_gar]])*Lookups!$B$17</f>
        <v>25205.885856000001</v>
      </c>
      <c r="BP165" s="6">
        <f>Grandview_Inventory[[#This Row],[Plumbing Fixtures]]*Lookups!$B$18</f>
        <v>16083.5344</v>
      </c>
      <c r="BQ165" s="6">
        <f>Grandview_Inventory[[#This Row],[detatched_value]]*Lookups!$B$19</f>
        <v>0</v>
      </c>
      <c r="BR165" s="6">
        <f>SUM(Grandview_Inventory[[#This Row],[Intercept]:[det_value]])*Grandview_Inventory[[#This Row],[res_pct]]</f>
        <v>259015.88490800004</v>
      </c>
      <c r="BS165" s="6">
        <f>Grandview_Inventory[[#This Row],[land_value]]</f>
        <v>49167.631333630678</v>
      </c>
      <c r="BT165" s="4">
        <f>_xlfn.IFNA(VLOOKUP(Grandview_Inventory[[#This Row],[quality]],Lookups!$A$26:$C$33,3,FALSE),1)</f>
        <v>0.98079741117310582</v>
      </c>
      <c r="BU165" s="4">
        <f>_xlfn.IFNA(VLOOKUP(Grandview_Inventory[[#This Row],[condition]],Lookups!$A$37:$C$44,3,FALSE),1)</f>
        <v>0.96469275950863709</v>
      </c>
      <c r="BV165" s="4">
        <f>IF(Grandview_Inventory[[#This Row],[bldg_style]]="",1,_xlfn.IFNA(VLOOKUP(Grandview_Inventory[[#This Row],[decade]],Lookups!$F$29:$H$43,3,FALSE),1))</f>
        <v>0.98763256963907298</v>
      </c>
      <c r="BW165" s="4">
        <f>_xlfn.IFNA(VLOOKUP(Grandview_Inventory[[#This Row],[living_area_range]],Lookups!$F$47:$H$56,3,FALSE),1)</f>
        <v>0.96135087979789358</v>
      </c>
      <c r="BX165" s="4">
        <f>AVERAGE(Grandview_Inventory[[#This Row],[qual_adj]:[size_adj]])</f>
        <v>0.97361840502967734</v>
      </c>
      <c r="BY165" s="6">
        <f>IF(Grandview_Inventory[[#This Row],[pre_res]]&lt;0,0,Grandview_Inventory[[#This Row],[pre_res]]*Grandview_Inventory[[#This Row],[overall_adj]])</f>
        <v>252182.63274147746</v>
      </c>
      <c r="BZ165" s="6">
        <f>(Grandview_Inventory[[#This Row],[sum_land]]-IF(Grandview_Inventory[[#This Row],[no_utilities]]=1,12000,0))/IF(Grandview_Inventory[[#This Row],[unbuildable]]=1,2,1)</f>
        <v>49167.631333630678</v>
      </c>
      <c r="CA16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5">
        <f>ROUND(Grandview_Inventory[[#This Row],[det_value]]*Lookups!$M$28,-2)</f>
        <v>0</v>
      </c>
      <c r="CC165">
        <f>IF(ROUND(Grandview_Inventory[[#This Row],[adj_res]]*Lookups!$M$28,-2)&lt;Grandview_Inventory[[#This Row],[min_res]],Grandview_Inventory[[#This Row],[min_res]],ROUND(Grandview_Inventory[[#This Row],[adj_res]]*Lookups!$M$28,-2))</f>
        <v>239600</v>
      </c>
      <c r="CD165">
        <f>Grandview_Inventory[[#This Row],[final_det]]+Grandview_Inventory[[#This Row],[final_res]]</f>
        <v>239600</v>
      </c>
      <c r="CE165">
        <f>Grandview_Inventory[[#This Row],[final_land]]+Grandview_Inventory[[#This Row],[final_imp]]+Grandview_Inventory[[#This Row],[crop_value]]</f>
        <v>286300</v>
      </c>
      <c r="CG165" t="str">
        <f t="shared" si="2"/>
        <v>update valuation set market_land =46700, market_bldg=239600, market_total =286300, market_mdno =401, market_date ='9/10/2023' where link_id = (select link_id from parcel where parcel_year = '2024' and parcel_id = '23091433531');</v>
      </c>
    </row>
    <row r="166" spans="1:85" x14ac:dyDescent="0.25">
      <c r="A166">
        <v>23091433532</v>
      </c>
      <c r="B166">
        <v>0.18</v>
      </c>
      <c r="C166">
        <v>7711</v>
      </c>
      <c r="D166" t="s">
        <v>129</v>
      </c>
      <c r="E166" t="s">
        <v>53</v>
      </c>
      <c r="F166" t="s">
        <v>53</v>
      </c>
      <c r="G166">
        <v>4</v>
      </c>
      <c r="H166" t="s">
        <v>54</v>
      </c>
      <c r="I166">
        <v>139700</v>
      </c>
      <c r="J166">
        <v>38800</v>
      </c>
      <c r="K166">
        <v>0.18</v>
      </c>
      <c r="L16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66">
        <v>0</v>
      </c>
      <c r="N166">
        <v>0</v>
      </c>
      <c r="O166">
        <v>0</v>
      </c>
      <c r="P166">
        <v>13398.7528</v>
      </c>
      <c r="Q166">
        <v>63903</v>
      </c>
      <c r="R166">
        <f>(Grandview_Inventory[[#This Row],[ln_acres]]*Grandview_Inventory[[#This Row],[coeff]])+Grandview_Inventory[[#This Row],[const]]</f>
        <v>40926.839760167699</v>
      </c>
      <c r="S166" t="s">
        <v>61</v>
      </c>
      <c r="T166">
        <v>1</v>
      </c>
      <c r="U166" t="s">
        <v>70</v>
      </c>
      <c r="V166" t="s">
        <v>69</v>
      </c>
      <c r="W166">
        <v>0</v>
      </c>
      <c r="X166">
        <v>0</v>
      </c>
      <c r="Y166">
        <v>43</v>
      </c>
      <c r="Z166">
        <v>44</v>
      </c>
      <c r="AA166">
        <v>50</v>
      </c>
      <c r="AB166">
        <v>1500</v>
      </c>
      <c r="AC166">
        <v>1336</v>
      </c>
      <c r="AD166">
        <v>1336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128</v>
      </c>
      <c r="AN166">
        <v>0</v>
      </c>
      <c r="AO166">
        <v>0</v>
      </c>
      <c r="AP166">
        <v>5</v>
      </c>
      <c r="AQ166">
        <v>0</v>
      </c>
      <c r="AR166">
        <v>0</v>
      </c>
      <c r="AS166" t="s">
        <v>58</v>
      </c>
      <c r="AT166">
        <v>1</v>
      </c>
      <c r="AU166" t="s">
        <v>63</v>
      </c>
      <c r="AV166" t="s">
        <v>64</v>
      </c>
      <c r="AW166">
        <v>0</v>
      </c>
      <c r="AX166">
        <v>3</v>
      </c>
      <c r="AY166">
        <v>0</v>
      </c>
      <c r="AZ166">
        <v>0</v>
      </c>
      <c r="BA166">
        <v>100</v>
      </c>
      <c r="BB166">
        <v>100</v>
      </c>
      <c r="BC166">
        <v>100</v>
      </c>
      <c r="BD166">
        <v>100</v>
      </c>
      <c r="BE166">
        <v>1</v>
      </c>
      <c r="BF166">
        <v>15000</v>
      </c>
      <c r="BG166">
        <v>1000</v>
      </c>
      <c r="BH166" s="6">
        <f>Grandview_Inventory[[#This Row],[land_extract]]*Lookups!$B$3</f>
        <v>47528.228511015397</v>
      </c>
      <c r="BI166" s="6">
        <f>IF(Grandview_Inventory[[#This Row],[bldg_style]]="",0,Lookups!$B$2)</f>
        <v>155833.95000000001</v>
      </c>
      <c r="BJ166" s="6">
        <f>_xlfn.IFNA(VLOOKUP(Grandview_Inventory[[#This Row],[quality]],Lookups!$H$2:$J$14,3,FALSE),0)</f>
        <v>10733</v>
      </c>
      <c r="BK166" s="6">
        <f>_xlfn.IFNA(VLOOKUP(Grandview_Inventory[[#This Row],[condition]],Lookups!$H$17:$J$24,3,FALSE),0)</f>
        <v>-4503</v>
      </c>
      <c r="BL166" s="6">
        <f>Grandview_Inventory[[#This Row],[Eff_Age]]*Lookups!$B$14</f>
        <v>-10284.1638</v>
      </c>
      <c r="BM166" s="6">
        <f>Grandview_Inventory[[#This Row],[living_area]]*Lookups!$B$15</f>
        <v>83340.819608000005</v>
      </c>
      <c r="BN166" s="6">
        <f>Grandview_Inventory[[#This Row],[Fin BSMT]]*Lookups!$B$16</f>
        <v>0</v>
      </c>
      <c r="BO166" s="6">
        <f>(Grandview_Inventory[[#This Row],[att_gar]]+Grandview_Inventory[[#This Row],[bltin_gar]])*Lookups!$B$17</f>
        <v>0</v>
      </c>
      <c r="BP166" s="6">
        <f>Grandview_Inventory[[#This Row],[Plumbing Fixtures]]*Lookups!$B$18</f>
        <v>10052.209000000001</v>
      </c>
      <c r="BQ166" s="6">
        <f>Grandview_Inventory[[#This Row],[detatched_value]]*Lookups!$B$19</f>
        <v>0</v>
      </c>
      <c r="BR166" s="6">
        <f>SUM(Grandview_Inventory[[#This Row],[Intercept]:[det_value]])*Grandview_Inventory[[#This Row],[res_pct]]</f>
        <v>245172.81480800002</v>
      </c>
      <c r="BS166" s="6">
        <f>Grandview_Inventory[[#This Row],[land_value]]</f>
        <v>47528.228511015397</v>
      </c>
      <c r="BT166" s="4">
        <f>_xlfn.IFNA(VLOOKUP(Grandview_Inventory[[#This Row],[quality]],Lookups!$A$26:$C$33,3,FALSE),1)</f>
        <v>0.98079741117310582</v>
      </c>
      <c r="BU166" s="4">
        <f>_xlfn.IFNA(VLOOKUP(Grandview_Inventory[[#This Row],[condition]],Lookups!$A$37:$C$44,3,FALSE),1)</f>
        <v>0.96469275950863709</v>
      </c>
      <c r="BV166" s="4">
        <f>IF(Grandview_Inventory[[#This Row],[bldg_style]]="",1,_xlfn.IFNA(VLOOKUP(Grandview_Inventory[[#This Row],[decade]],Lookups!$F$29:$H$43,3,FALSE),1))</f>
        <v>0.9871940091910919</v>
      </c>
      <c r="BW166" s="4">
        <f>_xlfn.IFNA(VLOOKUP(Grandview_Inventory[[#This Row],[living_area_range]],Lookups!$F$47:$H$56,3,FALSE),1)</f>
        <v>0.96135087979789358</v>
      </c>
      <c r="BX166" s="4">
        <f>AVERAGE(Grandview_Inventory[[#This Row],[qual_adj]:[size_adj]])</f>
        <v>0.97350876491768212</v>
      </c>
      <c r="BY166" s="6">
        <f>IF(Grandview_Inventory[[#This Row],[pre_res]]&lt;0,0,Grandview_Inventory[[#This Row],[pre_res]]*Grandview_Inventory[[#This Row],[overall_adj]])</f>
        <v>238677.88413512771</v>
      </c>
      <c r="BZ166" s="6">
        <f>(Grandview_Inventory[[#This Row],[sum_land]]-IF(Grandview_Inventory[[#This Row],[no_utilities]]=1,12000,0))/IF(Grandview_Inventory[[#This Row],[unbuildable]]=1,2,1)</f>
        <v>47528.228511015397</v>
      </c>
      <c r="CA16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66">
        <f>ROUND(Grandview_Inventory[[#This Row],[det_value]]*Lookups!$M$28,-2)</f>
        <v>0</v>
      </c>
      <c r="CC166">
        <f>IF(ROUND(Grandview_Inventory[[#This Row],[adj_res]]*Lookups!$M$28,-2)&lt;Grandview_Inventory[[#This Row],[min_res]],Grandview_Inventory[[#This Row],[min_res]],ROUND(Grandview_Inventory[[#This Row],[adj_res]]*Lookups!$M$28,-2))</f>
        <v>226700</v>
      </c>
      <c r="CD166">
        <f>Grandview_Inventory[[#This Row],[final_det]]+Grandview_Inventory[[#This Row],[final_res]]</f>
        <v>226700</v>
      </c>
      <c r="CE166">
        <f>Grandview_Inventory[[#This Row],[final_land]]+Grandview_Inventory[[#This Row],[final_imp]]+Grandview_Inventory[[#This Row],[crop_value]]</f>
        <v>271900</v>
      </c>
      <c r="CG166" t="str">
        <f t="shared" si="2"/>
        <v>update valuation set market_land =45200, market_bldg=226700, market_total =271900, market_mdno =401, market_date ='9/10/2023' where link_id = (select link_id from parcel where parcel_year = '2024' and parcel_id = '23091433532');</v>
      </c>
    </row>
    <row r="167" spans="1:85" x14ac:dyDescent="0.25">
      <c r="A167">
        <v>23091433537</v>
      </c>
      <c r="B167">
        <v>0.32</v>
      </c>
      <c r="C167">
        <v>13728</v>
      </c>
      <c r="D167" t="s">
        <v>129</v>
      </c>
      <c r="E167" t="s">
        <v>53</v>
      </c>
      <c r="F167" t="s">
        <v>53</v>
      </c>
      <c r="G167">
        <v>4</v>
      </c>
      <c r="H167" t="s">
        <v>54</v>
      </c>
      <c r="I167">
        <v>180900</v>
      </c>
      <c r="J167">
        <v>41100</v>
      </c>
      <c r="K167">
        <v>0.32</v>
      </c>
      <c r="L167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67">
        <v>0</v>
      </c>
      <c r="N167">
        <v>0</v>
      </c>
      <c r="O167">
        <v>0</v>
      </c>
      <c r="P167">
        <v>13398.7528</v>
      </c>
      <c r="Q167">
        <v>63903</v>
      </c>
      <c r="R167">
        <f>(Grandview_Inventory[[#This Row],[ln_acres]]*Grandview_Inventory[[#This Row],[coeff]])+Grandview_Inventory[[#This Row],[const]]</f>
        <v>48636.001707713905</v>
      </c>
      <c r="S167" t="s">
        <v>61</v>
      </c>
      <c r="T167">
        <v>1</v>
      </c>
      <c r="U167" t="s">
        <v>70</v>
      </c>
      <c r="V167" t="s">
        <v>67</v>
      </c>
      <c r="W167">
        <v>0</v>
      </c>
      <c r="X167">
        <v>0</v>
      </c>
      <c r="Y167">
        <v>29</v>
      </c>
      <c r="Z167">
        <v>29</v>
      </c>
      <c r="AA167">
        <v>30</v>
      </c>
      <c r="AB167">
        <v>1500</v>
      </c>
      <c r="AC167">
        <v>1162</v>
      </c>
      <c r="AD167">
        <v>1162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44</v>
      </c>
      <c r="AO167">
        <v>0</v>
      </c>
      <c r="AP167">
        <v>7</v>
      </c>
      <c r="AQ167">
        <v>0</v>
      </c>
      <c r="AR167">
        <v>0</v>
      </c>
      <c r="AS167" t="s">
        <v>58</v>
      </c>
      <c r="AT167">
        <v>1</v>
      </c>
      <c r="AU167" t="s">
        <v>63</v>
      </c>
      <c r="AV167" t="s">
        <v>60</v>
      </c>
      <c r="AW167">
        <v>0</v>
      </c>
      <c r="AX167">
        <v>3</v>
      </c>
      <c r="AY167">
        <v>0</v>
      </c>
      <c r="AZ167">
        <v>0</v>
      </c>
      <c r="BA167">
        <v>100</v>
      </c>
      <c r="BB167">
        <v>100</v>
      </c>
      <c r="BC167">
        <v>100</v>
      </c>
      <c r="BD167">
        <v>100</v>
      </c>
      <c r="BE167">
        <v>1</v>
      </c>
      <c r="BF167">
        <v>15000</v>
      </c>
      <c r="BG167">
        <v>1000</v>
      </c>
      <c r="BH167" s="6">
        <f>Grandview_Inventory[[#This Row],[land_extract]]*Lookups!$B$3</f>
        <v>56480.857465963549</v>
      </c>
      <c r="BI167" s="6">
        <f>IF(Grandview_Inventory[[#This Row],[bldg_style]]="",0,Lookups!$B$2)</f>
        <v>155833.95000000001</v>
      </c>
      <c r="BJ167" s="6">
        <f>_xlfn.IFNA(VLOOKUP(Grandview_Inventory[[#This Row],[quality]],Lookups!$H$2:$J$14,3,FALSE),0)</f>
        <v>10733</v>
      </c>
      <c r="BK167" s="6">
        <f>_xlfn.IFNA(VLOOKUP(Grandview_Inventory[[#This Row],[condition]],Lookups!$H$17:$J$24,3,FALSE),0)</f>
        <v>22342</v>
      </c>
      <c r="BL167" s="6">
        <f>Grandview_Inventory[[#This Row],[Eff_Age]]*Lookups!$B$14</f>
        <v>-6935.8314</v>
      </c>
      <c r="BM167" s="6">
        <f>Grandview_Inventory[[#This Row],[living_area]]*Lookups!$B$15</f>
        <v>72486.551185999997</v>
      </c>
      <c r="BN167" s="6">
        <f>Grandview_Inventory[[#This Row],[Fin BSMT]]*Lookups!$B$16</f>
        <v>0</v>
      </c>
      <c r="BO167" s="6">
        <f>(Grandview_Inventory[[#This Row],[att_gar]]+Grandview_Inventory[[#This Row],[bltin_gar]])*Lookups!$B$17</f>
        <v>0</v>
      </c>
      <c r="BP167" s="6">
        <f>Grandview_Inventory[[#This Row],[Plumbing Fixtures]]*Lookups!$B$18</f>
        <v>14073.0926</v>
      </c>
      <c r="BQ167" s="6">
        <f>Grandview_Inventory[[#This Row],[detatched_value]]*Lookups!$B$19</f>
        <v>0</v>
      </c>
      <c r="BR167" s="6">
        <f>SUM(Grandview_Inventory[[#This Row],[Intercept]:[det_value]])*Grandview_Inventory[[#This Row],[res_pct]]</f>
        <v>268532.76238600002</v>
      </c>
      <c r="BS167" s="6">
        <f>Grandview_Inventory[[#This Row],[land_value]]</f>
        <v>56480.857465963549</v>
      </c>
      <c r="BT167" s="4">
        <f>_xlfn.IFNA(VLOOKUP(Grandview_Inventory[[#This Row],[quality]],Lookups!$A$26:$C$33,3,FALSE),1)</f>
        <v>0.98079741117310582</v>
      </c>
      <c r="BU167" s="4">
        <f>_xlfn.IFNA(VLOOKUP(Grandview_Inventory[[#This Row],[condition]],Lookups!$A$37:$C$44,3,FALSE),1)</f>
        <v>0.97383723671140243</v>
      </c>
      <c r="BV167" s="4">
        <f>IF(Grandview_Inventory[[#This Row],[bldg_style]]="",1,_xlfn.IFNA(VLOOKUP(Grandview_Inventory[[#This Row],[decade]],Lookups!$F$29:$H$43,3,FALSE),1))</f>
        <v>0.98397821291089549</v>
      </c>
      <c r="BW167" s="4">
        <f>_xlfn.IFNA(VLOOKUP(Grandview_Inventory[[#This Row],[living_area_range]],Lookups!$F$47:$H$56,3,FALSE),1)</f>
        <v>0.96135087979789358</v>
      </c>
      <c r="BX167" s="4">
        <f>AVERAGE(Grandview_Inventory[[#This Row],[qual_adj]:[size_adj]])</f>
        <v>0.97499093514832436</v>
      </c>
      <c r="BY167" s="6">
        <f>IF(Grandview_Inventory[[#This Row],[pre_res]]&lt;0,0,Grandview_Inventory[[#This Row],[pre_res]]*Grandview_Inventory[[#This Row],[overall_adj]])</f>
        <v>261817.00911668895</v>
      </c>
      <c r="BZ167" s="6">
        <f>(Grandview_Inventory[[#This Row],[sum_land]]-IF(Grandview_Inventory[[#This Row],[no_utilities]]=1,12000,0))/IF(Grandview_Inventory[[#This Row],[unbuildable]]=1,2,1)</f>
        <v>56480.857465963549</v>
      </c>
      <c r="CA167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67">
        <f>ROUND(Grandview_Inventory[[#This Row],[det_value]]*Lookups!$M$28,-2)</f>
        <v>0</v>
      </c>
      <c r="CC167">
        <f>IF(ROUND(Grandview_Inventory[[#This Row],[adj_res]]*Lookups!$M$28,-2)&lt;Grandview_Inventory[[#This Row],[min_res]],Grandview_Inventory[[#This Row],[min_res]],ROUND(Grandview_Inventory[[#This Row],[adj_res]]*Lookups!$M$28,-2))</f>
        <v>248700</v>
      </c>
      <c r="CD167">
        <f>Grandview_Inventory[[#This Row],[final_det]]+Grandview_Inventory[[#This Row],[final_res]]</f>
        <v>248700</v>
      </c>
      <c r="CE167">
        <f>Grandview_Inventory[[#This Row],[final_land]]+Grandview_Inventory[[#This Row],[final_imp]]+Grandview_Inventory[[#This Row],[crop_value]]</f>
        <v>302400</v>
      </c>
      <c r="CG167" t="str">
        <f t="shared" si="2"/>
        <v>update valuation set market_land =53700, market_bldg=248700, market_total =302400, market_mdno =401, market_date ='9/10/2023' where link_id = (select link_id from parcel where parcel_year = '2024' and parcel_id = '23091433537');</v>
      </c>
    </row>
    <row r="168" spans="1:85" x14ac:dyDescent="0.25">
      <c r="A168">
        <v>23091433538</v>
      </c>
      <c r="B168">
        <v>0.33</v>
      </c>
      <c r="C168">
        <v>14169</v>
      </c>
      <c r="D168" t="s">
        <v>129</v>
      </c>
      <c r="E168" t="s">
        <v>53</v>
      </c>
      <c r="F168" t="s">
        <v>53</v>
      </c>
      <c r="G168">
        <v>4</v>
      </c>
      <c r="H168" t="s">
        <v>54</v>
      </c>
      <c r="I168">
        <v>206100</v>
      </c>
      <c r="J168">
        <v>45800</v>
      </c>
      <c r="K168">
        <v>0.33</v>
      </c>
      <c r="L168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68">
        <v>0</v>
      </c>
      <c r="N168">
        <v>0</v>
      </c>
      <c r="O168">
        <v>0</v>
      </c>
      <c r="P168">
        <v>13398.7528</v>
      </c>
      <c r="Q168">
        <v>63903</v>
      </c>
      <c r="R168">
        <f>(Grandview_Inventory[[#This Row],[ln_acres]]*Grandview_Inventory[[#This Row],[coeff]])+Grandview_Inventory[[#This Row],[const]]</f>
        <v>49048.303555435712</v>
      </c>
      <c r="S168" t="s">
        <v>61</v>
      </c>
      <c r="T168">
        <v>1</v>
      </c>
      <c r="U168" t="s">
        <v>65</v>
      </c>
      <c r="V168" t="s">
        <v>67</v>
      </c>
      <c r="W168">
        <v>0</v>
      </c>
      <c r="X168">
        <v>0</v>
      </c>
      <c r="Y168">
        <v>27</v>
      </c>
      <c r="Z168">
        <v>27</v>
      </c>
      <c r="AA168">
        <v>30</v>
      </c>
      <c r="AB168">
        <v>1500</v>
      </c>
      <c r="AC168">
        <v>1104</v>
      </c>
      <c r="AD168">
        <v>1104</v>
      </c>
      <c r="AE168">
        <v>0</v>
      </c>
      <c r="AF168">
        <v>0</v>
      </c>
      <c r="AG168">
        <v>0</v>
      </c>
      <c r="AH168">
        <v>0</v>
      </c>
      <c r="AI168">
        <v>336</v>
      </c>
      <c r="AJ168">
        <v>0</v>
      </c>
      <c r="AK168">
        <v>0</v>
      </c>
      <c r="AL168">
        <v>0</v>
      </c>
      <c r="AM168">
        <v>0</v>
      </c>
      <c r="AN168">
        <v>48</v>
      </c>
      <c r="AO168">
        <v>0</v>
      </c>
      <c r="AP168">
        <v>7</v>
      </c>
      <c r="AQ168">
        <v>0</v>
      </c>
      <c r="AR168">
        <v>0</v>
      </c>
      <c r="AS168" t="s">
        <v>58</v>
      </c>
      <c r="AT168">
        <v>1</v>
      </c>
      <c r="AU168" t="s">
        <v>63</v>
      </c>
      <c r="AV168" t="s">
        <v>60</v>
      </c>
      <c r="AW168">
        <v>1</v>
      </c>
      <c r="AX168">
        <v>3</v>
      </c>
      <c r="AY168">
        <v>0</v>
      </c>
      <c r="AZ168">
        <v>0</v>
      </c>
      <c r="BA168">
        <v>100</v>
      </c>
      <c r="BB168">
        <v>100</v>
      </c>
      <c r="BC168">
        <v>100</v>
      </c>
      <c r="BD168">
        <v>100</v>
      </c>
      <c r="BE168">
        <v>1</v>
      </c>
      <c r="BF168">
        <v>15000</v>
      </c>
      <c r="BG168">
        <v>1000</v>
      </c>
      <c r="BH168" s="6">
        <f>Grandview_Inventory[[#This Row],[land_extract]]*Lookups!$B$3</f>
        <v>56959.662488507893</v>
      </c>
      <c r="BI168" s="6">
        <f>IF(Grandview_Inventory[[#This Row],[bldg_style]]="",0,Lookups!$B$2)</f>
        <v>155833.95000000001</v>
      </c>
      <c r="BJ168" s="6">
        <f>_xlfn.IFNA(VLOOKUP(Grandview_Inventory[[#This Row],[quality]],Lookups!$H$2:$J$14,3,FALSE),0)</f>
        <v>2251</v>
      </c>
      <c r="BK168" s="6">
        <f>_xlfn.IFNA(VLOOKUP(Grandview_Inventory[[#This Row],[condition]],Lookups!$H$17:$J$24,3,FALSE),0)</f>
        <v>22342</v>
      </c>
      <c r="BL168" s="6">
        <f>Grandview_Inventory[[#This Row],[Eff_Age]]*Lookups!$B$14</f>
        <v>-6457.4982</v>
      </c>
      <c r="BM168" s="6">
        <f>Grandview_Inventory[[#This Row],[living_area]]*Lookups!$B$15</f>
        <v>68868.461712000004</v>
      </c>
      <c r="BN168" s="6">
        <f>Grandview_Inventory[[#This Row],[Fin BSMT]]*Lookups!$B$16</f>
        <v>0</v>
      </c>
      <c r="BO168" s="6">
        <f>(Grandview_Inventory[[#This Row],[att_gar]]+Grandview_Inventory[[#This Row],[bltin_gar]])*Lookups!$B$17</f>
        <v>29406.866832</v>
      </c>
      <c r="BP168" s="6">
        <f>Grandview_Inventory[[#This Row],[Plumbing Fixtures]]*Lookups!$B$18</f>
        <v>14073.0926</v>
      </c>
      <c r="BQ168" s="6">
        <f>Grandview_Inventory[[#This Row],[detatched_value]]*Lookups!$B$19</f>
        <v>0</v>
      </c>
      <c r="BR168" s="6">
        <f>SUM(Grandview_Inventory[[#This Row],[Intercept]:[det_value]])*Grandview_Inventory[[#This Row],[res_pct]]</f>
        <v>286317.87294399994</v>
      </c>
      <c r="BS168" s="6">
        <f>Grandview_Inventory[[#This Row],[land_value]]</f>
        <v>56959.662488507893</v>
      </c>
      <c r="BT168" s="4">
        <f>_xlfn.IFNA(VLOOKUP(Grandview_Inventory[[#This Row],[quality]],Lookups!$A$26:$C$33,3,FALSE),1)</f>
        <v>0.98763855981004833</v>
      </c>
      <c r="BU168" s="4">
        <f>_xlfn.IFNA(VLOOKUP(Grandview_Inventory[[#This Row],[condition]],Lookups!$A$37:$C$44,3,FALSE),1)</f>
        <v>0.97383723671140243</v>
      </c>
      <c r="BV168" s="4">
        <f>IF(Grandview_Inventory[[#This Row],[bldg_style]]="",1,_xlfn.IFNA(VLOOKUP(Grandview_Inventory[[#This Row],[decade]],Lookups!$F$29:$H$43,3,FALSE),1))</f>
        <v>0.98397821291089549</v>
      </c>
      <c r="BW168" s="4">
        <f>_xlfn.IFNA(VLOOKUP(Grandview_Inventory[[#This Row],[living_area_range]],Lookups!$F$47:$H$56,3,FALSE),1)</f>
        <v>0.96135087979789358</v>
      </c>
      <c r="BX168" s="4">
        <f>AVERAGE(Grandview_Inventory[[#This Row],[qual_adj]:[size_adj]])</f>
        <v>0.97670122230755996</v>
      </c>
      <c r="BY168" s="6">
        <f>IF(Grandview_Inventory[[#This Row],[pre_res]]&lt;0,0,Grandview_Inventory[[#This Row],[pre_res]]*Grandview_Inventory[[#This Row],[overall_adj]])</f>
        <v>279647.01647290541</v>
      </c>
      <c r="BZ168" s="6">
        <f>(Grandview_Inventory[[#This Row],[sum_land]]-IF(Grandview_Inventory[[#This Row],[no_utilities]]=1,12000,0))/IF(Grandview_Inventory[[#This Row],[unbuildable]]=1,2,1)</f>
        <v>56959.662488507893</v>
      </c>
      <c r="CA168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68">
        <f>ROUND(Grandview_Inventory[[#This Row],[det_value]]*Lookups!$M$28,-2)</f>
        <v>0</v>
      </c>
      <c r="CC168">
        <f>IF(ROUND(Grandview_Inventory[[#This Row],[adj_res]]*Lookups!$M$28,-2)&lt;Grandview_Inventory[[#This Row],[min_res]],Grandview_Inventory[[#This Row],[min_res]],ROUND(Grandview_Inventory[[#This Row],[adj_res]]*Lookups!$M$28,-2))</f>
        <v>265700</v>
      </c>
      <c r="CD168">
        <f>Grandview_Inventory[[#This Row],[final_det]]+Grandview_Inventory[[#This Row],[final_res]]</f>
        <v>265700</v>
      </c>
      <c r="CE168">
        <f>Grandview_Inventory[[#This Row],[final_land]]+Grandview_Inventory[[#This Row],[final_imp]]+Grandview_Inventory[[#This Row],[crop_value]]</f>
        <v>319800</v>
      </c>
      <c r="CG168" t="str">
        <f t="shared" si="2"/>
        <v>update valuation set market_land =54100, market_bldg=265700, market_total =319800, market_mdno =401, market_date ='9/10/2023' where link_id = (select link_id from parcel where parcel_year = '2024' and parcel_id = '23091433538');</v>
      </c>
    </row>
    <row r="169" spans="1:85" x14ac:dyDescent="0.25">
      <c r="A169">
        <v>23091433539</v>
      </c>
      <c r="B169">
        <v>0.27</v>
      </c>
      <c r="C169">
        <v>11797</v>
      </c>
      <c r="D169" t="s">
        <v>129</v>
      </c>
      <c r="E169" t="s">
        <v>53</v>
      </c>
      <c r="F169" t="s">
        <v>53</v>
      </c>
      <c r="G169">
        <v>4</v>
      </c>
      <c r="H169" t="s">
        <v>54</v>
      </c>
      <c r="I169">
        <v>140600</v>
      </c>
      <c r="J169">
        <v>40000</v>
      </c>
      <c r="K169">
        <v>0.27</v>
      </c>
      <c r="L169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69">
        <v>0</v>
      </c>
      <c r="N169">
        <v>0</v>
      </c>
      <c r="O169">
        <v>0</v>
      </c>
      <c r="P169">
        <v>13398.7528</v>
      </c>
      <c r="Q169">
        <v>63903</v>
      </c>
      <c r="R169">
        <f>(Grandview_Inventory[[#This Row],[ln_acres]]*Grandview_Inventory[[#This Row],[coeff]])+Grandview_Inventory[[#This Row],[const]]</f>
        <v>46359.566512734265</v>
      </c>
      <c r="S169" t="s">
        <v>61</v>
      </c>
      <c r="T169">
        <v>1</v>
      </c>
      <c r="U169" t="s">
        <v>65</v>
      </c>
      <c r="V169" t="s">
        <v>69</v>
      </c>
      <c r="W169">
        <v>0</v>
      </c>
      <c r="X169">
        <v>0</v>
      </c>
      <c r="Y169">
        <v>43</v>
      </c>
      <c r="Z169">
        <v>44</v>
      </c>
      <c r="AA169">
        <v>50</v>
      </c>
      <c r="AB169">
        <v>1500</v>
      </c>
      <c r="AC169">
        <v>1008</v>
      </c>
      <c r="AD169">
        <v>1008</v>
      </c>
      <c r="AE169">
        <v>0</v>
      </c>
      <c r="AF169">
        <v>0</v>
      </c>
      <c r="AG169">
        <v>0</v>
      </c>
      <c r="AH169">
        <v>0</v>
      </c>
      <c r="AI169">
        <v>336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5</v>
      </c>
      <c r="AQ169">
        <v>0</v>
      </c>
      <c r="AR169">
        <v>0</v>
      </c>
      <c r="AS169" t="s">
        <v>58</v>
      </c>
      <c r="AT169">
        <v>1</v>
      </c>
      <c r="AU169" t="s">
        <v>63</v>
      </c>
      <c r="AV169" t="s">
        <v>60</v>
      </c>
      <c r="AW169">
        <v>0</v>
      </c>
      <c r="AX169">
        <v>3</v>
      </c>
      <c r="AY169">
        <v>0</v>
      </c>
      <c r="AZ169">
        <v>0</v>
      </c>
      <c r="BA169">
        <v>100</v>
      </c>
      <c r="BB169">
        <v>100</v>
      </c>
      <c r="BC169">
        <v>100</v>
      </c>
      <c r="BD169">
        <v>100</v>
      </c>
      <c r="BE169">
        <v>1</v>
      </c>
      <c r="BF169">
        <v>15000</v>
      </c>
      <c r="BG169">
        <v>1000</v>
      </c>
      <c r="BH169" s="6">
        <f>Grandview_Inventory[[#This Row],[land_extract]]*Lookups!$B$3</f>
        <v>53837.239420408718</v>
      </c>
      <c r="BI169" s="6">
        <f>IF(Grandview_Inventory[[#This Row],[bldg_style]]="",0,Lookups!$B$2)</f>
        <v>155833.95000000001</v>
      </c>
      <c r="BJ169" s="6">
        <f>_xlfn.IFNA(VLOOKUP(Grandview_Inventory[[#This Row],[quality]],Lookups!$H$2:$J$14,3,FALSE),0)</f>
        <v>2251</v>
      </c>
      <c r="BK169" s="6">
        <f>_xlfn.IFNA(VLOOKUP(Grandview_Inventory[[#This Row],[condition]],Lookups!$H$17:$J$24,3,FALSE),0)</f>
        <v>-4503</v>
      </c>
      <c r="BL169" s="6">
        <f>Grandview_Inventory[[#This Row],[Eff_Age]]*Lookups!$B$14</f>
        <v>-10284.1638</v>
      </c>
      <c r="BM169" s="6">
        <f>Grandview_Inventory[[#This Row],[living_area]]*Lookups!$B$15</f>
        <v>62879.899824</v>
      </c>
      <c r="BN169" s="6">
        <f>Grandview_Inventory[[#This Row],[Fin BSMT]]*Lookups!$B$16</f>
        <v>0</v>
      </c>
      <c r="BO169" s="6">
        <f>(Grandview_Inventory[[#This Row],[att_gar]]+Grandview_Inventory[[#This Row],[bltin_gar]])*Lookups!$B$17</f>
        <v>29406.866832</v>
      </c>
      <c r="BP169" s="6">
        <f>Grandview_Inventory[[#This Row],[Plumbing Fixtures]]*Lookups!$B$18</f>
        <v>10052.209000000001</v>
      </c>
      <c r="BQ169" s="6">
        <f>Grandview_Inventory[[#This Row],[detatched_value]]*Lookups!$B$19</f>
        <v>0</v>
      </c>
      <c r="BR169" s="6">
        <f>SUM(Grandview_Inventory[[#This Row],[Intercept]:[det_value]])*Grandview_Inventory[[#This Row],[res_pct]]</f>
        <v>245636.761856</v>
      </c>
      <c r="BS169" s="6">
        <f>Grandview_Inventory[[#This Row],[land_value]]</f>
        <v>53837.239420408718</v>
      </c>
      <c r="BT169" s="4">
        <f>_xlfn.IFNA(VLOOKUP(Grandview_Inventory[[#This Row],[quality]],Lookups!$A$26:$C$33,3,FALSE),1)</f>
        <v>0.98763855981004833</v>
      </c>
      <c r="BU169" s="4">
        <f>_xlfn.IFNA(VLOOKUP(Grandview_Inventory[[#This Row],[condition]],Lookups!$A$37:$C$44,3,FALSE),1)</f>
        <v>0.96469275950863709</v>
      </c>
      <c r="BV169" s="4">
        <f>IF(Grandview_Inventory[[#This Row],[bldg_style]]="",1,_xlfn.IFNA(VLOOKUP(Grandview_Inventory[[#This Row],[decade]],Lookups!$F$29:$H$43,3,FALSE),1))</f>
        <v>0.9871940091910919</v>
      </c>
      <c r="BW169" s="4">
        <f>_xlfn.IFNA(VLOOKUP(Grandview_Inventory[[#This Row],[living_area_range]],Lookups!$F$47:$H$56,3,FALSE),1)</f>
        <v>0.96135087979789358</v>
      </c>
      <c r="BX169" s="4">
        <f>AVERAGE(Grandview_Inventory[[#This Row],[qual_adj]:[size_adj]])</f>
        <v>0.97521905207691773</v>
      </c>
      <c r="BY169" s="6">
        <f>IF(Grandview_Inventory[[#This Row],[pre_res]]&lt;0,0,Grandview_Inventory[[#This Row],[pre_res]]*Grandview_Inventory[[#This Row],[overall_adj]])</f>
        <v>239549.65005245191</v>
      </c>
      <c r="BZ169" s="6">
        <f>(Grandview_Inventory[[#This Row],[sum_land]]-IF(Grandview_Inventory[[#This Row],[no_utilities]]=1,12000,0))/IF(Grandview_Inventory[[#This Row],[unbuildable]]=1,2,1)</f>
        <v>53837.239420408718</v>
      </c>
      <c r="CA169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69">
        <f>ROUND(Grandview_Inventory[[#This Row],[det_value]]*Lookups!$M$28,-2)</f>
        <v>0</v>
      </c>
      <c r="CC169">
        <f>IF(ROUND(Grandview_Inventory[[#This Row],[adj_res]]*Lookups!$M$28,-2)&lt;Grandview_Inventory[[#This Row],[min_res]],Grandview_Inventory[[#This Row],[min_res]],ROUND(Grandview_Inventory[[#This Row],[adj_res]]*Lookups!$M$28,-2))</f>
        <v>227600</v>
      </c>
      <c r="CD169">
        <f>Grandview_Inventory[[#This Row],[final_det]]+Grandview_Inventory[[#This Row],[final_res]]</f>
        <v>227600</v>
      </c>
      <c r="CE169">
        <f>Grandview_Inventory[[#This Row],[final_land]]+Grandview_Inventory[[#This Row],[final_imp]]+Grandview_Inventory[[#This Row],[crop_value]]</f>
        <v>278700</v>
      </c>
      <c r="CG169" t="str">
        <f t="shared" si="2"/>
        <v>update valuation set market_land =51100, market_bldg=227600, market_total =278700, market_mdno =401, market_date ='9/10/2023' where link_id = (select link_id from parcel where parcel_year = '2024' and parcel_id = '23091433539');</v>
      </c>
    </row>
    <row r="170" spans="1:85" x14ac:dyDescent="0.25">
      <c r="A170">
        <v>23091433540</v>
      </c>
      <c r="B170">
        <v>0.28000000000000003</v>
      </c>
      <c r="C170">
        <v>11991</v>
      </c>
      <c r="D170" t="s">
        <v>129</v>
      </c>
      <c r="E170" t="s">
        <v>53</v>
      </c>
      <c r="F170" t="s">
        <v>53</v>
      </c>
      <c r="G170">
        <v>4</v>
      </c>
      <c r="H170" t="s">
        <v>54</v>
      </c>
      <c r="I170">
        <v>122200</v>
      </c>
      <c r="J170">
        <v>40000</v>
      </c>
      <c r="K170">
        <v>0.28000000000000003</v>
      </c>
      <c r="L170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70">
        <v>0</v>
      </c>
      <c r="N170">
        <v>0</v>
      </c>
      <c r="O170">
        <v>0</v>
      </c>
      <c r="P170">
        <v>13398.7528</v>
      </c>
      <c r="Q170">
        <v>63903</v>
      </c>
      <c r="R170">
        <f>(Grandview_Inventory[[#This Row],[ln_acres]]*Grandview_Inventory[[#This Row],[coeff]])+Grandview_Inventory[[#This Row],[const]]</f>
        <v>46846.847586898184</v>
      </c>
      <c r="S170" t="s">
        <v>61</v>
      </c>
      <c r="T170">
        <v>1</v>
      </c>
      <c r="U170" t="s">
        <v>70</v>
      </c>
      <c r="V170" t="s">
        <v>78</v>
      </c>
      <c r="W170">
        <v>0</v>
      </c>
      <c r="X170">
        <v>0</v>
      </c>
      <c r="Y170">
        <v>43</v>
      </c>
      <c r="Z170">
        <v>44</v>
      </c>
      <c r="AA170">
        <v>50</v>
      </c>
      <c r="AB170">
        <v>1500</v>
      </c>
      <c r="AC170">
        <v>1008</v>
      </c>
      <c r="AD170">
        <v>1008</v>
      </c>
      <c r="AE170">
        <v>0</v>
      </c>
      <c r="AF170">
        <v>0</v>
      </c>
      <c r="AG170">
        <v>0</v>
      </c>
      <c r="AH170">
        <v>0</v>
      </c>
      <c r="AI170">
        <v>336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5</v>
      </c>
      <c r="AQ170">
        <v>0</v>
      </c>
      <c r="AR170">
        <v>0</v>
      </c>
      <c r="AS170" t="s">
        <v>58</v>
      </c>
      <c r="AT170">
        <v>1</v>
      </c>
      <c r="AU170" t="s">
        <v>63</v>
      </c>
      <c r="AV170" t="s">
        <v>60</v>
      </c>
      <c r="AW170">
        <v>0</v>
      </c>
      <c r="AX170">
        <v>3</v>
      </c>
      <c r="AY170">
        <v>0</v>
      </c>
      <c r="AZ170">
        <v>0</v>
      </c>
      <c r="BA170">
        <v>100</v>
      </c>
      <c r="BB170">
        <v>100</v>
      </c>
      <c r="BC170">
        <v>100</v>
      </c>
      <c r="BD170">
        <v>100</v>
      </c>
      <c r="BE170">
        <v>1</v>
      </c>
      <c r="BF170">
        <v>15000</v>
      </c>
      <c r="BG170">
        <v>1000</v>
      </c>
      <c r="BH170" s="6">
        <f>Grandview_Inventory[[#This Row],[land_extract]]*Lookups!$B$3</f>
        <v>54403.117616176372</v>
      </c>
      <c r="BI170" s="6">
        <f>IF(Grandview_Inventory[[#This Row],[bldg_style]]="",0,Lookups!$B$2)</f>
        <v>155833.95000000001</v>
      </c>
      <c r="BJ170" s="6">
        <f>_xlfn.IFNA(VLOOKUP(Grandview_Inventory[[#This Row],[quality]],Lookups!$H$2:$J$14,3,FALSE),0)</f>
        <v>10733</v>
      </c>
      <c r="BK170" s="6">
        <f>_xlfn.IFNA(VLOOKUP(Grandview_Inventory[[#This Row],[condition]],Lookups!$H$17:$J$24,3,FALSE),0)</f>
        <v>-45357</v>
      </c>
      <c r="BL170" s="6">
        <f>Grandview_Inventory[[#This Row],[Eff_Age]]*Lookups!$B$14</f>
        <v>-10284.1638</v>
      </c>
      <c r="BM170" s="6">
        <f>Grandview_Inventory[[#This Row],[living_area]]*Lookups!$B$15</f>
        <v>62879.899824</v>
      </c>
      <c r="BN170" s="6">
        <f>Grandview_Inventory[[#This Row],[Fin BSMT]]*Lookups!$B$16</f>
        <v>0</v>
      </c>
      <c r="BO170" s="6">
        <f>(Grandview_Inventory[[#This Row],[att_gar]]+Grandview_Inventory[[#This Row],[bltin_gar]])*Lookups!$B$17</f>
        <v>29406.866832</v>
      </c>
      <c r="BP170" s="6">
        <f>Grandview_Inventory[[#This Row],[Plumbing Fixtures]]*Lookups!$B$18</f>
        <v>10052.209000000001</v>
      </c>
      <c r="BQ170" s="6">
        <f>Grandview_Inventory[[#This Row],[detatched_value]]*Lookups!$B$19</f>
        <v>0</v>
      </c>
      <c r="BR170" s="6">
        <f>SUM(Grandview_Inventory[[#This Row],[Intercept]:[det_value]])*Grandview_Inventory[[#This Row],[res_pct]]</f>
        <v>213264.76185600003</v>
      </c>
      <c r="BS170" s="6">
        <f>Grandview_Inventory[[#This Row],[land_value]]</f>
        <v>54403.117616176372</v>
      </c>
      <c r="BT170" s="4">
        <f>_xlfn.IFNA(VLOOKUP(Grandview_Inventory[[#This Row],[quality]],Lookups!$A$26:$C$33,3,FALSE),1)</f>
        <v>0.98079741117310582</v>
      </c>
      <c r="BU170" s="4">
        <f>_xlfn.IFNA(VLOOKUP(Grandview_Inventory[[#This Row],[condition]],Lookups!$A$37:$C$44,3,FALSE),1)</f>
        <v>0.97161819570155394</v>
      </c>
      <c r="BV170" s="4">
        <f>IF(Grandview_Inventory[[#This Row],[bldg_style]]="",1,_xlfn.IFNA(VLOOKUP(Grandview_Inventory[[#This Row],[decade]],Lookups!$F$29:$H$43,3,FALSE),1))</f>
        <v>0.9871940091910919</v>
      </c>
      <c r="BW170" s="4">
        <f>_xlfn.IFNA(VLOOKUP(Grandview_Inventory[[#This Row],[living_area_range]],Lookups!$F$47:$H$56,3,FALSE),1)</f>
        <v>0.96135087979789358</v>
      </c>
      <c r="BX170" s="4">
        <f>AVERAGE(Grandview_Inventory[[#This Row],[qual_adj]:[size_adj]])</f>
        <v>0.97524012396591131</v>
      </c>
      <c r="BY170" s="6">
        <f>IF(Grandview_Inventory[[#This Row],[pre_res]]&lt;0,0,Grandview_Inventory[[#This Row],[pre_res]]*Grandview_Inventory[[#This Row],[overall_adj]])</f>
        <v>207984.35279000603</v>
      </c>
      <c r="BZ170" s="6">
        <f>(Grandview_Inventory[[#This Row],[sum_land]]-IF(Grandview_Inventory[[#This Row],[no_utilities]]=1,12000,0))/IF(Grandview_Inventory[[#This Row],[unbuildable]]=1,2,1)</f>
        <v>54403.117616176372</v>
      </c>
      <c r="CA170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70">
        <f>ROUND(Grandview_Inventory[[#This Row],[det_value]]*Lookups!$M$28,-2)</f>
        <v>0</v>
      </c>
      <c r="CC170">
        <f>IF(ROUND(Grandview_Inventory[[#This Row],[adj_res]]*Lookups!$M$28,-2)&lt;Grandview_Inventory[[#This Row],[min_res]],Grandview_Inventory[[#This Row],[min_res]],ROUND(Grandview_Inventory[[#This Row],[adj_res]]*Lookups!$M$28,-2))</f>
        <v>197600</v>
      </c>
      <c r="CD170">
        <f>Grandview_Inventory[[#This Row],[final_det]]+Grandview_Inventory[[#This Row],[final_res]]</f>
        <v>197600</v>
      </c>
      <c r="CE170">
        <f>Grandview_Inventory[[#This Row],[final_land]]+Grandview_Inventory[[#This Row],[final_imp]]+Grandview_Inventory[[#This Row],[crop_value]]</f>
        <v>249300</v>
      </c>
      <c r="CG170" t="str">
        <f t="shared" si="2"/>
        <v>update valuation set market_land =51700, market_bldg=197600, market_total =249300, market_mdno =401, market_date ='9/10/2023' where link_id = (select link_id from parcel where parcel_year = '2024' and parcel_id = '23091433540');</v>
      </c>
    </row>
    <row r="171" spans="1:85" x14ac:dyDescent="0.25">
      <c r="A171">
        <v>23091433541</v>
      </c>
      <c r="B171">
        <v>0.26</v>
      </c>
      <c r="C171">
        <v>11480</v>
      </c>
      <c r="D171" t="s">
        <v>129</v>
      </c>
      <c r="E171" t="s">
        <v>53</v>
      </c>
      <c r="F171" t="s">
        <v>53</v>
      </c>
      <c r="G171">
        <v>4</v>
      </c>
      <c r="H171" t="s">
        <v>54</v>
      </c>
      <c r="I171">
        <v>160400</v>
      </c>
      <c r="J171">
        <v>40200</v>
      </c>
      <c r="K171">
        <v>0.26</v>
      </c>
      <c r="L171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71">
        <v>0</v>
      </c>
      <c r="N171">
        <v>0</v>
      </c>
      <c r="O171">
        <v>0</v>
      </c>
      <c r="P171">
        <v>13398.7528</v>
      </c>
      <c r="Q171">
        <v>63903</v>
      </c>
      <c r="R171">
        <f>(Grandview_Inventory[[#This Row],[ln_acres]]*Grandview_Inventory[[#This Row],[coeff]])+Grandview_Inventory[[#This Row],[const]]</f>
        <v>45853.893187501177</v>
      </c>
      <c r="S171" t="s">
        <v>61</v>
      </c>
      <c r="T171">
        <v>1</v>
      </c>
      <c r="U171" t="s">
        <v>70</v>
      </c>
      <c r="V171" t="s">
        <v>69</v>
      </c>
      <c r="W171">
        <v>0</v>
      </c>
      <c r="X171">
        <v>0</v>
      </c>
      <c r="Y171">
        <v>27</v>
      </c>
      <c r="Z171">
        <v>27</v>
      </c>
      <c r="AA171">
        <v>30</v>
      </c>
      <c r="AB171">
        <v>1500</v>
      </c>
      <c r="AC171">
        <v>1132</v>
      </c>
      <c r="AD171">
        <v>1132</v>
      </c>
      <c r="AE171">
        <v>0</v>
      </c>
      <c r="AF171">
        <v>0</v>
      </c>
      <c r="AG171">
        <v>0</v>
      </c>
      <c r="AH171">
        <v>0</v>
      </c>
      <c r="AI171">
        <v>264</v>
      </c>
      <c r="AJ171">
        <v>0</v>
      </c>
      <c r="AK171">
        <v>0</v>
      </c>
      <c r="AL171">
        <v>0</v>
      </c>
      <c r="AM171">
        <v>0</v>
      </c>
      <c r="AN171">
        <v>12</v>
      </c>
      <c r="AO171">
        <v>0</v>
      </c>
      <c r="AP171">
        <v>7</v>
      </c>
      <c r="AQ171">
        <v>0</v>
      </c>
      <c r="AR171">
        <v>0</v>
      </c>
      <c r="AS171" t="s">
        <v>58</v>
      </c>
      <c r="AT171">
        <v>1</v>
      </c>
      <c r="AU171" t="s">
        <v>63</v>
      </c>
      <c r="AV171" t="s">
        <v>60</v>
      </c>
      <c r="AW171">
        <v>0</v>
      </c>
      <c r="AX171">
        <v>3</v>
      </c>
      <c r="AY171">
        <v>0</v>
      </c>
      <c r="AZ171">
        <v>0</v>
      </c>
      <c r="BA171">
        <v>100</v>
      </c>
      <c r="BB171">
        <v>100</v>
      </c>
      <c r="BC171">
        <v>100</v>
      </c>
      <c r="BD171">
        <v>100</v>
      </c>
      <c r="BE171">
        <v>1</v>
      </c>
      <c r="BF171">
        <v>15000</v>
      </c>
      <c r="BG171">
        <v>1000</v>
      </c>
      <c r="BH171" s="6">
        <f>Grandview_Inventory[[#This Row],[land_extract]]*Lookups!$B$3</f>
        <v>53250.00235313351</v>
      </c>
      <c r="BI171" s="6">
        <f>IF(Grandview_Inventory[[#This Row],[bldg_style]]="",0,Lookups!$B$2)</f>
        <v>155833.95000000001</v>
      </c>
      <c r="BJ171" s="6">
        <f>_xlfn.IFNA(VLOOKUP(Grandview_Inventory[[#This Row],[quality]],Lookups!$H$2:$J$14,3,FALSE),0)</f>
        <v>10733</v>
      </c>
      <c r="BK171" s="6">
        <f>_xlfn.IFNA(VLOOKUP(Grandview_Inventory[[#This Row],[condition]],Lookups!$H$17:$J$24,3,FALSE),0)</f>
        <v>-4503</v>
      </c>
      <c r="BL171" s="6">
        <f>Grandview_Inventory[[#This Row],[Eff_Age]]*Lookups!$B$14</f>
        <v>-6457.4982</v>
      </c>
      <c r="BM171" s="6">
        <f>Grandview_Inventory[[#This Row],[living_area]]*Lookups!$B$15</f>
        <v>70615.125595999998</v>
      </c>
      <c r="BN171" s="6">
        <f>Grandview_Inventory[[#This Row],[Fin BSMT]]*Lookups!$B$16</f>
        <v>0</v>
      </c>
      <c r="BO171" s="6">
        <f>(Grandview_Inventory[[#This Row],[att_gar]]+Grandview_Inventory[[#This Row],[bltin_gar]])*Lookups!$B$17</f>
        <v>23105.395368000001</v>
      </c>
      <c r="BP171" s="6">
        <f>Grandview_Inventory[[#This Row],[Plumbing Fixtures]]*Lookups!$B$18</f>
        <v>14073.0926</v>
      </c>
      <c r="BQ171" s="6">
        <f>Grandview_Inventory[[#This Row],[detatched_value]]*Lookups!$B$19</f>
        <v>0</v>
      </c>
      <c r="BR171" s="6">
        <f>SUM(Grandview_Inventory[[#This Row],[Intercept]:[det_value]])*Grandview_Inventory[[#This Row],[res_pct]]</f>
        <v>263400.06536399998</v>
      </c>
      <c r="BS171" s="6">
        <f>Grandview_Inventory[[#This Row],[land_value]]</f>
        <v>53250.00235313351</v>
      </c>
      <c r="BT171" s="4">
        <f>_xlfn.IFNA(VLOOKUP(Grandview_Inventory[[#This Row],[quality]],Lookups!$A$26:$C$33,3,FALSE),1)</f>
        <v>0.98079741117310582</v>
      </c>
      <c r="BU171" s="4">
        <f>_xlfn.IFNA(VLOOKUP(Grandview_Inventory[[#This Row],[condition]],Lookups!$A$37:$C$44,3,FALSE),1)</f>
        <v>0.96469275950863709</v>
      </c>
      <c r="BV171" s="4">
        <f>IF(Grandview_Inventory[[#This Row],[bldg_style]]="",1,_xlfn.IFNA(VLOOKUP(Grandview_Inventory[[#This Row],[decade]],Lookups!$F$29:$H$43,3,FALSE),1))</f>
        <v>0.98397821291089549</v>
      </c>
      <c r="BW171" s="4">
        <f>_xlfn.IFNA(VLOOKUP(Grandview_Inventory[[#This Row],[living_area_range]],Lookups!$F$47:$H$56,3,FALSE),1)</f>
        <v>0.96135087979789358</v>
      </c>
      <c r="BX171" s="4">
        <f>AVERAGE(Grandview_Inventory[[#This Row],[qual_adj]:[size_adj]])</f>
        <v>0.97270481584763302</v>
      </c>
      <c r="BY171" s="6">
        <f>IF(Grandview_Inventory[[#This Row],[pre_res]]&lt;0,0,Grandview_Inventory[[#This Row],[pre_res]]*Grandview_Inventory[[#This Row],[overall_adj]])</f>
        <v>256210.51207414409</v>
      </c>
      <c r="BZ171" s="6">
        <f>(Grandview_Inventory[[#This Row],[sum_land]]-IF(Grandview_Inventory[[#This Row],[no_utilities]]=1,12000,0))/IF(Grandview_Inventory[[#This Row],[unbuildable]]=1,2,1)</f>
        <v>53250.00235313351</v>
      </c>
      <c r="CA171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71">
        <f>ROUND(Grandview_Inventory[[#This Row],[det_value]]*Lookups!$M$28,-2)</f>
        <v>0</v>
      </c>
      <c r="CC171">
        <f>IF(ROUND(Grandview_Inventory[[#This Row],[adj_res]]*Lookups!$M$28,-2)&lt;Grandview_Inventory[[#This Row],[min_res]],Grandview_Inventory[[#This Row],[min_res]],ROUND(Grandview_Inventory[[#This Row],[adj_res]]*Lookups!$M$28,-2))</f>
        <v>243400</v>
      </c>
      <c r="CD171">
        <f>Grandview_Inventory[[#This Row],[final_det]]+Grandview_Inventory[[#This Row],[final_res]]</f>
        <v>243400</v>
      </c>
      <c r="CE171">
        <f>Grandview_Inventory[[#This Row],[final_land]]+Grandview_Inventory[[#This Row],[final_imp]]+Grandview_Inventory[[#This Row],[crop_value]]</f>
        <v>294000</v>
      </c>
      <c r="CG171" t="str">
        <f t="shared" si="2"/>
        <v>update valuation set market_land =50600, market_bldg=243400, market_total =294000, market_mdno =401, market_date ='9/10/2023' where link_id = (select link_id from parcel where parcel_year = '2024' and parcel_id = '23091433541');</v>
      </c>
    </row>
    <row r="172" spans="1:85" x14ac:dyDescent="0.25">
      <c r="A172">
        <v>23091433542</v>
      </c>
      <c r="B172">
        <v>0.26</v>
      </c>
      <c r="C172">
        <v>11432</v>
      </c>
      <c r="D172" t="s">
        <v>129</v>
      </c>
      <c r="E172" t="s">
        <v>53</v>
      </c>
      <c r="F172" t="s">
        <v>53</v>
      </c>
      <c r="G172">
        <v>4</v>
      </c>
      <c r="H172" t="s">
        <v>54</v>
      </c>
      <c r="I172">
        <v>178600</v>
      </c>
      <c r="J172">
        <v>44500</v>
      </c>
      <c r="K172">
        <v>0.26</v>
      </c>
      <c r="L17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72">
        <v>0</v>
      </c>
      <c r="N172">
        <v>0</v>
      </c>
      <c r="O172">
        <v>0</v>
      </c>
      <c r="P172">
        <v>13398.7528</v>
      </c>
      <c r="Q172">
        <v>63903</v>
      </c>
      <c r="R172">
        <f>(Grandview_Inventory[[#This Row],[ln_acres]]*Grandview_Inventory[[#This Row],[coeff]])+Grandview_Inventory[[#This Row],[const]]</f>
        <v>45853.893187501177</v>
      </c>
      <c r="S172" t="s">
        <v>61</v>
      </c>
      <c r="T172">
        <v>1</v>
      </c>
      <c r="U172" t="s">
        <v>65</v>
      </c>
      <c r="V172" t="s">
        <v>69</v>
      </c>
      <c r="W172">
        <v>0</v>
      </c>
      <c r="X172">
        <v>0</v>
      </c>
      <c r="Y172">
        <v>27</v>
      </c>
      <c r="Z172">
        <v>27</v>
      </c>
      <c r="AA172">
        <v>30</v>
      </c>
      <c r="AB172">
        <v>1500</v>
      </c>
      <c r="AC172">
        <v>1264</v>
      </c>
      <c r="AD172">
        <v>1264</v>
      </c>
      <c r="AE172">
        <v>0</v>
      </c>
      <c r="AF172">
        <v>0</v>
      </c>
      <c r="AG172">
        <v>0</v>
      </c>
      <c r="AH172">
        <v>0</v>
      </c>
      <c r="AI172">
        <v>336</v>
      </c>
      <c r="AJ172">
        <v>0</v>
      </c>
      <c r="AK172">
        <v>0</v>
      </c>
      <c r="AL172">
        <v>0</v>
      </c>
      <c r="AM172">
        <v>140</v>
      </c>
      <c r="AN172">
        <v>16</v>
      </c>
      <c r="AO172">
        <v>0</v>
      </c>
      <c r="AP172">
        <v>7</v>
      </c>
      <c r="AQ172">
        <v>0</v>
      </c>
      <c r="AR172">
        <v>0</v>
      </c>
      <c r="AS172" t="s">
        <v>58</v>
      </c>
      <c r="AT172">
        <v>1</v>
      </c>
      <c r="AU172" t="s">
        <v>63</v>
      </c>
      <c r="AV172" t="s">
        <v>60</v>
      </c>
      <c r="AW172">
        <v>1</v>
      </c>
      <c r="AX172">
        <v>4</v>
      </c>
      <c r="AY172">
        <v>0</v>
      </c>
      <c r="AZ172">
        <v>0</v>
      </c>
      <c r="BA172">
        <v>100</v>
      </c>
      <c r="BB172">
        <v>100</v>
      </c>
      <c r="BC172">
        <v>100</v>
      </c>
      <c r="BD172">
        <v>100</v>
      </c>
      <c r="BE172">
        <v>1</v>
      </c>
      <c r="BF172">
        <v>15000</v>
      </c>
      <c r="BG172">
        <v>1000</v>
      </c>
      <c r="BH172" s="6">
        <f>Grandview_Inventory[[#This Row],[land_extract]]*Lookups!$B$3</f>
        <v>53250.00235313351</v>
      </c>
      <c r="BI172" s="6">
        <f>IF(Grandview_Inventory[[#This Row],[bldg_style]]="",0,Lookups!$B$2)</f>
        <v>155833.95000000001</v>
      </c>
      <c r="BJ172" s="6">
        <f>_xlfn.IFNA(VLOOKUP(Grandview_Inventory[[#This Row],[quality]],Lookups!$H$2:$J$14,3,FALSE),0)</f>
        <v>2251</v>
      </c>
      <c r="BK172" s="6">
        <f>_xlfn.IFNA(VLOOKUP(Grandview_Inventory[[#This Row],[condition]],Lookups!$H$17:$J$24,3,FALSE),0)</f>
        <v>-4503</v>
      </c>
      <c r="BL172" s="6">
        <f>Grandview_Inventory[[#This Row],[Eff_Age]]*Lookups!$B$14</f>
        <v>-6457.4982</v>
      </c>
      <c r="BM172" s="6">
        <f>Grandview_Inventory[[#This Row],[living_area]]*Lookups!$B$15</f>
        <v>78849.398192000008</v>
      </c>
      <c r="BN172" s="6">
        <f>Grandview_Inventory[[#This Row],[Fin BSMT]]*Lookups!$B$16</f>
        <v>0</v>
      </c>
      <c r="BO172" s="6">
        <f>(Grandview_Inventory[[#This Row],[att_gar]]+Grandview_Inventory[[#This Row],[bltin_gar]])*Lookups!$B$17</f>
        <v>29406.866832</v>
      </c>
      <c r="BP172" s="6">
        <f>Grandview_Inventory[[#This Row],[Plumbing Fixtures]]*Lookups!$B$18</f>
        <v>14073.0926</v>
      </c>
      <c r="BQ172" s="6">
        <f>Grandview_Inventory[[#This Row],[detatched_value]]*Lookups!$B$19</f>
        <v>0</v>
      </c>
      <c r="BR172" s="6">
        <f>SUM(Grandview_Inventory[[#This Row],[Intercept]:[det_value]])*Grandview_Inventory[[#This Row],[res_pct]]</f>
        <v>269453.80942400004</v>
      </c>
      <c r="BS172" s="6">
        <f>Grandview_Inventory[[#This Row],[land_value]]</f>
        <v>53250.00235313351</v>
      </c>
      <c r="BT172" s="4">
        <f>_xlfn.IFNA(VLOOKUP(Grandview_Inventory[[#This Row],[quality]],Lookups!$A$26:$C$33,3,FALSE),1)</f>
        <v>0.98763855981004833</v>
      </c>
      <c r="BU172" s="4">
        <f>_xlfn.IFNA(VLOOKUP(Grandview_Inventory[[#This Row],[condition]],Lookups!$A$37:$C$44,3,FALSE),1)</f>
        <v>0.96469275950863709</v>
      </c>
      <c r="BV172" s="4">
        <f>IF(Grandview_Inventory[[#This Row],[bldg_style]]="",1,_xlfn.IFNA(VLOOKUP(Grandview_Inventory[[#This Row],[decade]],Lookups!$F$29:$H$43,3,FALSE),1))</f>
        <v>0.98397821291089549</v>
      </c>
      <c r="BW172" s="4">
        <f>_xlfn.IFNA(VLOOKUP(Grandview_Inventory[[#This Row],[living_area_range]],Lookups!$F$47:$H$56,3,FALSE),1)</f>
        <v>0.96135087979789358</v>
      </c>
      <c r="BX172" s="4">
        <f>AVERAGE(Grandview_Inventory[[#This Row],[qual_adj]:[size_adj]])</f>
        <v>0.97441510300686862</v>
      </c>
      <c r="BY172" s="6">
        <f>IF(Grandview_Inventory[[#This Row],[pre_res]]&lt;0,0,Grandview_Inventory[[#This Row],[pre_res]]*Grandview_Inventory[[#This Row],[overall_adj]])</f>
        <v>262559.86146548012</v>
      </c>
      <c r="BZ172" s="6">
        <f>(Grandview_Inventory[[#This Row],[sum_land]]-IF(Grandview_Inventory[[#This Row],[no_utilities]]=1,12000,0))/IF(Grandview_Inventory[[#This Row],[unbuildable]]=1,2,1)</f>
        <v>53250.00235313351</v>
      </c>
      <c r="CA17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72">
        <f>ROUND(Grandview_Inventory[[#This Row],[det_value]]*Lookups!$M$28,-2)</f>
        <v>0</v>
      </c>
      <c r="CC172">
        <f>IF(ROUND(Grandview_Inventory[[#This Row],[adj_res]]*Lookups!$M$28,-2)&lt;Grandview_Inventory[[#This Row],[min_res]],Grandview_Inventory[[#This Row],[min_res]],ROUND(Grandview_Inventory[[#This Row],[adj_res]]*Lookups!$M$28,-2))</f>
        <v>249400</v>
      </c>
      <c r="CD172">
        <f>Grandview_Inventory[[#This Row],[final_det]]+Grandview_Inventory[[#This Row],[final_res]]</f>
        <v>249400</v>
      </c>
      <c r="CE172">
        <f>Grandview_Inventory[[#This Row],[final_land]]+Grandview_Inventory[[#This Row],[final_imp]]+Grandview_Inventory[[#This Row],[crop_value]]</f>
        <v>300000</v>
      </c>
      <c r="CG172" t="str">
        <f t="shared" si="2"/>
        <v>update valuation set market_land =50600, market_bldg=249400, market_total =300000, market_mdno =401, market_date ='9/10/2023' where link_id = (select link_id from parcel where parcel_year = '2024' and parcel_id = '23091433542');</v>
      </c>
    </row>
    <row r="173" spans="1:85" x14ac:dyDescent="0.25">
      <c r="A173">
        <v>23091433543</v>
      </c>
      <c r="B173">
        <v>0.23</v>
      </c>
      <c r="C173">
        <v>9932</v>
      </c>
      <c r="D173" t="s">
        <v>129</v>
      </c>
      <c r="E173" t="s">
        <v>53</v>
      </c>
      <c r="F173" t="s">
        <v>53</v>
      </c>
      <c r="G173">
        <v>4</v>
      </c>
      <c r="H173" t="s">
        <v>54</v>
      </c>
      <c r="I173">
        <v>162500</v>
      </c>
      <c r="J173">
        <v>39500</v>
      </c>
      <c r="K173">
        <v>0.23</v>
      </c>
      <c r="L17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3">
        <v>0</v>
      </c>
      <c r="N173">
        <v>0</v>
      </c>
      <c r="O173">
        <v>0</v>
      </c>
      <c r="P173">
        <v>13398.7528</v>
      </c>
      <c r="Q173">
        <v>63903</v>
      </c>
      <c r="R173">
        <f>(Grandview_Inventory[[#This Row],[ln_acres]]*Grandview_Inventory[[#This Row],[coeff]])+Grandview_Inventory[[#This Row],[const]]</f>
        <v>44211.174981080039</v>
      </c>
      <c r="S173" t="s">
        <v>61</v>
      </c>
      <c r="T173">
        <v>1</v>
      </c>
      <c r="U173" t="s">
        <v>70</v>
      </c>
      <c r="V173" t="s">
        <v>69</v>
      </c>
      <c r="W173">
        <v>0</v>
      </c>
      <c r="X173">
        <v>0</v>
      </c>
      <c r="Y173">
        <v>42</v>
      </c>
      <c r="Z173">
        <v>42</v>
      </c>
      <c r="AA173">
        <v>50</v>
      </c>
      <c r="AB173">
        <v>1500</v>
      </c>
      <c r="AC173">
        <v>1044</v>
      </c>
      <c r="AD173">
        <v>1044</v>
      </c>
      <c r="AE173">
        <v>0</v>
      </c>
      <c r="AF173">
        <v>0</v>
      </c>
      <c r="AG173">
        <v>0</v>
      </c>
      <c r="AH173">
        <v>0</v>
      </c>
      <c r="AI173">
        <v>294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5</v>
      </c>
      <c r="AQ173">
        <v>0</v>
      </c>
      <c r="AR173">
        <v>0</v>
      </c>
      <c r="AS173" t="s">
        <v>58</v>
      </c>
      <c r="AT173">
        <v>1</v>
      </c>
      <c r="AU173" t="s">
        <v>59</v>
      </c>
      <c r="AV173" t="s">
        <v>60</v>
      </c>
      <c r="AW173">
        <v>1</v>
      </c>
      <c r="AX173">
        <v>3</v>
      </c>
      <c r="AY173">
        <v>0</v>
      </c>
      <c r="AZ173">
        <v>0</v>
      </c>
      <c r="BA173">
        <v>100</v>
      </c>
      <c r="BB173">
        <v>100</v>
      </c>
      <c r="BC173">
        <v>100</v>
      </c>
      <c r="BD173">
        <v>100</v>
      </c>
      <c r="BE173">
        <v>1</v>
      </c>
      <c r="BF173">
        <v>15000</v>
      </c>
      <c r="BG173">
        <v>1000</v>
      </c>
      <c r="BH173" s="6">
        <f>Grandview_Inventory[[#This Row],[land_extract]]*Lookups!$B$3</f>
        <v>51342.318135355803</v>
      </c>
      <c r="BI173" s="6">
        <f>IF(Grandview_Inventory[[#This Row],[bldg_style]]="",0,Lookups!$B$2)</f>
        <v>155833.95000000001</v>
      </c>
      <c r="BJ173" s="6">
        <f>_xlfn.IFNA(VLOOKUP(Grandview_Inventory[[#This Row],[quality]],Lookups!$H$2:$J$14,3,FALSE),0)</f>
        <v>10733</v>
      </c>
      <c r="BK173" s="6">
        <f>_xlfn.IFNA(VLOOKUP(Grandview_Inventory[[#This Row],[condition]],Lookups!$H$17:$J$24,3,FALSE),0)</f>
        <v>-4503</v>
      </c>
      <c r="BL173" s="6">
        <f>Grandview_Inventory[[#This Row],[Eff_Age]]*Lookups!$B$14</f>
        <v>-10044.9972</v>
      </c>
      <c r="BM173" s="6">
        <f>Grandview_Inventory[[#This Row],[living_area]]*Lookups!$B$15</f>
        <v>65125.610531999999</v>
      </c>
      <c r="BN173" s="6">
        <f>Grandview_Inventory[[#This Row],[Fin BSMT]]*Lookups!$B$16</f>
        <v>0</v>
      </c>
      <c r="BO173" s="6">
        <f>(Grandview_Inventory[[#This Row],[att_gar]]+Grandview_Inventory[[#This Row],[bltin_gar]])*Lookups!$B$17</f>
        <v>25731.008478</v>
      </c>
      <c r="BP173" s="6">
        <f>Grandview_Inventory[[#This Row],[Plumbing Fixtures]]*Lookups!$B$18</f>
        <v>10052.209000000001</v>
      </c>
      <c r="BQ173" s="6">
        <f>Grandview_Inventory[[#This Row],[detatched_value]]*Lookups!$B$19</f>
        <v>0</v>
      </c>
      <c r="BR173" s="6">
        <f>SUM(Grandview_Inventory[[#This Row],[Intercept]:[det_value]])*Grandview_Inventory[[#This Row],[res_pct]]</f>
        <v>252927.78081</v>
      </c>
      <c r="BS173" s="6">
        <f>Grandview_Inventory[[#This Row],[land_value]]</f>
        <v>51342.318135355803</v>
      </c>
      <c r="BT173" s="4">
        <f>_xlfn.IFNA(VLOOKUP(Grandview_Inventory[[#This Row],[quality]],Lookups!$A$26:$C$33,3,FALSE),1)</f>
        <v>0.98079741117310582</v>
      </c>
      <c r="BU173" s="4">
        <f>_xlfn.IFNA(VLOOKUP(Grandview_Inventory[[#This Row],[condition]],Lookups!$A$37:$C$44,3,FALSE),1)</f>
        <v>0.96469275950863709</v>
      </c>
      <c r="BV173" s="4">
        <f>IF(Grandview_Inventory[[#This Row],[bldg_style]]="",1,_xlfn.IFNA(VLOOKUP(Grandview_Inventory[[#This Row],[decade]],Lookups!$F$29:$H$43,3,FALSE),1))</f>
        <v>0.9871940091910919</v>
      </c>
      <c r="BW173" s="4">
        <f>_xlfn.IFNA(VLOOKUP(Grandview_Inventory[[#This Row],[living_area_range]],Lookups!$F$47:$H$56,3,FALSE),1)</f>
        <v>0.96135087979789358</v>
      </c>
      <c r="BX173" s="4">
        <f>AVERAGE(Grandview_Inventory[[#This Row],[qual_adj]:[size_adj]])</f>
        <v>0.97350876491768212</v>
      </c>
      <c r="BY173" s="6">
        <f>IF(Grandview_Inventory[[#This Row],[pre_res]]&lt;0,0,Grandview_Inventory[[#This Row],[pre_res]]*Grandview_Inventory[[#This Row],[overall_adj]])</f>
        <v>246227.41150971333</v>
      </c>
      <c r="BZ173" s="6">
        <f>(Grandview_Inventory[[#This Row],[sum_land]]-IF(Grandview_Inventory[[#This Row],[no_utilities]]=1,12000,0))/IF(Grandview_Inventory[[#This Row],[unbuildable]]=1,2,1)</f>
        <v>51342.318135355803</v>
      </c>
      <c r="CA17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3">
        <f>ROUND(Grandview_Inventory[[#This Row],[det_value]]*Lookups!$M$28,-2)</f>
        <v>0</v>
      </c>
      <c r="CC173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173">
        <f>Grandview_Inventory[[#This Row],[final_det]]+Grandview_Inventory[[#This Row],[final_res]]</f>
        <v>233900</v>
      </c>
      <c r="CE173">
        <f>Grandview_Inventory[[#This Row],[final_land]]+Grandview_Inventory[[#This Row],[final_imp]]+Grandview_Inventory[[#This Row],[crop_value]]</f>
        <v>282700</v>
      </c>
      <c r="CG173" t="str">
        <f t="shared" si="2"/>
        <v>update valuation set market_land =48800, market_bldg=233900, market_total =282700, market_mdno =401, market_date ='9/10/2023' where link_id = (select link_id from parcel where parcel_year = '2024' and parcel_id = '23091433543');</v>
      </c>
    </row>
    <row r="174" spans="1:85" x14ac:dyDescent="0.25">
      <c r="A174">
        <v>23091433544</v>
      </c>
      <c r="B174">
        <v>0.22</v>
      </c>
      <c r="C174">
        <v>9613</v>
      </c>
      <c r="D174" t="s">
        <v>129</v>
      </c>
      <c r="E174" t="s">
        <v>53</v>
      </c>
      <c r="F174" t="s">
        <v>53</v>
      </c>
      <c r="G174">
        <v>4</v>
      </c>
      <c r="H174" t="s">
        <v>54</v>
      </c>
      <c r="I174">
        <v>171200</v>
      </c>
      <c r="J174">
        <v>43800</v>
      </c>
      <c r="K174">
        <v>0.22</v>
      </c>
      <c r="L17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4">
        <v>0</v>
      </c>
      <c r="N174">
        <v>0</v>
      </c>
      <c r="O174">
        <v>0</v>
      </c>
      <c r="P174">
        <v>13398.7528</v>
      </c>
      <c r="Q174">
        <v>63903</v>
      </c>
      <c r="R174">
        <f>(Grandview_Inventory[[#This Row],[ln_acres]]*Grandview_Inventory[[#This Row],[coeff]])+Grandview_Inventory[[#This Row],[const]]</f>
        <v>43615.576802869145</v>
      </c>
      <c r="S174" t="s">
        <v>61</v>
      </c>
      <c r="T174">
        <v>1</v>
      </c>
      <c r="U174" t="s">
        <v>70</v>
      </c>
      <c r="V174" t="s">
        <v>69</v>
      </c>
      <c r="W174">
        <v>0</v>
      </c>
      <c r="X174">
        <v>0</v>
      </c>
      <c r="Y174">
        <v>43</v>
      </c>
      <c r="Z174">
        <v>44</v>
      </c>
      <c r="AA174">
        <v>50</v>
      </c>
      <c r="AB174">
        <v>1500</v>
      </c>
      <c r="AC174">
        <v>1380</v>
      </c>
      <c r="AD174">
        <v>1380</v>
      </c>
      <c r="AE174">
        <v>0</v>
      </c>
      <c r="AF174">
        <v>0</v>
      </c>
      <c r="AG174">
        <v>0</v>
      </c>
      <c r="AH174">
        <v>0</v>
      </c>
      <c r="AI174">
        <v>312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7</v>
      </c>
      <c r="AQ174">
        <v>0</v>
      </c>
      <c r="AR174">
        <v>0</v>
      </c>
      <c r="AS174" t="s">
        <v>58</v>
      </c>
      <c r="AT174">
        <v>1</v>
      </c>
      <c r="AU174" t="s">
        <v>75</v>
      </c>
      <c r="AV174" t="s">
        <v>60</v>
      </c>
      <c r="AW174">
        <v>0</v>
      </c>
      <c r="AX174">
        <v>3</v>
      </c>
      <c r="AY174">
        <v>0</v>
      </c>
      <c r="AZ174">
        <v>0</v>
      </c>
      <c r="BA174">
        <v>100</v>
      </c>
      <c r="BB174">
        <v>100</v>
      </c>
      <c r="BC174">
        <v>100</v>
      </c>
      <c r="BD174">
        <v>100</v>
      </c>
      <c r="BE174">
        <v>1</v>
      </c>
      <c r="BF174">
        <v>15000</v>
      </c>
      <c r="BG174">
        <v>1000</v>
      </c>
      <c r="BH174" s="6">
        <f>Grandview_Inventory[[#This Row],[land_extract]]*Lookups!$B$3</f>
        <v>50650.651579114572</v>
      </c>
      <c r="BI174" s="6">
        <f>IF(Grandview_Inventory[[#This Row],[bldg_style]]="",0,Lookups!$B$2)</f>
        <v>155833.95000000001</v>
      </c>
      <c r="BJ174" s="6">
        <f>_xlfn.IFNA(VLOOKUP(Grandview_Inventory[[#This Row],[quality]],Lookups!$H$2:$J$14,3,FALSE),0)</f>
        <v>10733</v>
      </c>
      <c r="BK174" s="6">
        <f>_xlfn.IFNA(VLOOKUP(Grandview_Inventory[[#This Row],[condition]],Lookups!$H$17:$J$24,3,FALSE),0)</f>
        <v>-4503</v>
      </c>
      <c r="BL174" s="6">
        <f>Grandview_Inventory[[#This Row],[Eff_Age]]*Lookups!$B$14</f>
        <v>-10284.1638</v>
      </c>
      <c r="BM174" s="6">
        <f>Grandview_Inventory[[#This Row],[living_area]]*Lookups!$B$15</f>
        <v>86085.577140000009</v>
      </c>
      <c r="BN174" s="6">
        <f>Grandview_Inventory[[#This Row],[Fin BSMT]]*Lookups!$B$16</f>
        <v>0</v>
      </c>
      <c r="BO174" s="6">
        <f>(Grandview_Inventory[[#This Row],[att_gar]]+Grandview_Inventory[[#This Row],[bltin_gar]])*Lookups!$B$17</f>
        <v>27306.376344</v>
      </c>
      <c r="BP174" s="6">
        <f>Grandview_Inventory[[#This Row],[Plumbing Fixtures]]*Lookups!$B$18</f>
        <v>14073.0926</v>
      </c>
      <c r="BQ174" s="6">
        <f>Grandview_Inventory[[#This Row],[detatched_value]]*Lookups!$B$19</f>
        <v>0</v>
      </c>
      <c r="BR174" s="6">
        <f>SUM(Grandview_Inventory[[#This Row],[Intercept]:[det_value]])*Grandview_Inventory[[#This Row],[res_pct]]</f>
        <v>279244.832284</v>
      </c>
      <c r="BS174" s="6">
        <f>Grandview_Inventory[[#This Row],[land_value]]</f>
        <v>50650.651579114572</v>
      </c>
      <c r="BT174" s="4">
        <f>_xlfn.IFNA(VLOOKUP(Grandview_Inventory[[#This Row],[quality]],Lookups!$A$26:$C$33,3,FALSE),1)</f>
        <v>0.98079741117310582</v>
      </c>
      <c r="BU174" s="4">
        <f>_xlfn.IFNA(VLOOKUP(Grandview_Inventory[[#This Row],[condition]],Lookups!$A$37:$C$44,3,FALSE),1)</f>
        <v>0.96469275950863709</v>
      </c>
      <c r="BV174" s="4">
        <f>IF(Grandview_Inventory[[#This Row],[bldg_style]]="",1,_xlfn.IFNA(VLOOKUP(Grandview_Inventory[[#This Row],[decade]],Lookups!$F$29:$H$43,3,FALSE),1))</f>
        <v>0.9871940091910919</v>
      </c>
      <c r="BW174" s="4">
        <f>_xlfn.IFNA(VLOOKUP(Grandview_Inventory[[#This Row],[living_area_range]],Lookups!$F$47:$H$56,3,FALSE),1)</f>
        <v>0.96135087979789358</v>
      </c>
      <c r="BX174" s="4">
        <f>AVERAGE(Grandview_Inventory[[#This Row],[qual_adj]:[size_adj]])</f>
        <v>0.97350876491768212</v>
      </c>
      <c r="BY174" s="6">
        <f>IF(Grandview_Inventory[[#This Row],[pre_res]]&lt;0,0,Grandview_Inventory[[#This Row],[pre_res]]*Grandview_Inventory[[#This Row],[overall_adj]])</f>
        <v>271847.2917864421</v>
      </c>
      <c r="BZ174" s="6">
        <f>(Grandview_Inventory[[#This Row],[sum_land]]-IF(Grandview_Inventory[[#This Row],[no_utilities]]=1,12000,0))/IF(Grandview_Inventory[[#This Row],[unbuildable]]=1,2,1)</f>
        <v>50650.651579114572</v>
      </c>
      <c r="CA17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4">
        <f>ROUND(Grandview_Inventory[[#This Row],[det_value]]*Lookups!$M$28,-2)</f>
        <v>0</v>
      </c>
      <c r="CC174">
        <f>IF(ROUND(Grandview_Inventory[[#This Row],[adj_res]]*Lookups!$M$28,-2)&lt;Grandview_Inventory[[#This Row],[min_res]],Grandview_Inventory[[#This Row],[min_res]],ROUND(Grandview_Inventory[[#This Row],[adj_res]]*Lookups!$M$28,-2))</f>
        <v>258300</v>
      </c>
      <c r="CD174">
        <f>Grandview_Inventory[[#This Row],[final_det]]+Grandview_Inventory[[#This Row],[final_res]]</f>
        <v>258300</v>
      </c>
      <c r="CE174">
        <f>Grandview_Inventory[[#This Row],[final_land]]+Grandview_Inventory[[#This Row],[final_imp]]+Grandview_Inventory[[#This Row],[crop_value]]</f>
        <v>306400</v>
      </c>
      <c r="CG174" t="str">
        <f t="shared" si="2"/>
        <v>update valuation set market_land =48100, market_bldg=258300, market_total =306400, market_mdno =401, market_date ='9/10/2023' where link_id = (select link_id from parcel where parcel_year = '2024' and parcel_id = '23091433544');</v>
      </c>
    </row>
    <row r="175" spans="1:85" x14ac:dyDescent="0.25">
      <c r="A175">
        <v>23091433545</v>
      </c>
      <c r="B175">
        <v>0.25</v>
      </c>
      <c r="C175">
        <v>10951</v>
      </c>
      <c r="D175" t="s">
        <v>129</v>
      </c>
      <c r="E175" t="s">
        <v>53</v>
      </c>
      <c r="F175" t="s">
        <v>53</v>
      </c>
      <c r="G175">
        <v>4</v>
      </c>
      <c r="H175" t="s">
        <v>54</v>
      </c>
      <c r="I175">
        <v>229600</v>
      </c>
      <c r="J175">
        <v>44400</v>
      </c>
      <c r="K175">
        <v>0.25</v>
      </c>
      <c r="L17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5">
        <v>0</v>
      </c>
      <c r="N175">
        <v>0</v>
      </c>
      <c r="O175">
        <v>0</v>
      </c>
      <c r="P175">
        <v>13398.7528</v>
      </c>
      <c r="Q175">
        <v>63903</v>
      </c>
      <c r="R175">
        <f>(Grandview_Inventory[[#This Row],[ln_acres]]*Grandview_Inventory[[#This Row],[coeff]])+Grandview_Inventory[[#This Row],[const]]</f>
        <v>45328.38454732066</v>
      </c>
      <c r="S175" t="s">
        <v>61</v>
      </c>
      <c r="T175">
        <v>1</v>
      </c>
      <c r="U175" t="s">
        <v>65</v>
      </c>
      <c r="V175" t="s">
        <v>67</v>
      </c>
      <c r="W175">
        <v>0</v>
      </c>
      <c r="X175">
        <v>0</v>
      </c>
      <c r="Y175">
        <v>26</v>
      </c>
      <c r="Z175">
        <v>26</v>
      </c>
      <c r="AA175">
        <v>30</v>
      </c>
      <c r="AB175">
        <v>2000</v>
      </c>
      <c r="AC175">
        <v>1822</v>
      </c>
      <c r="AD175">
        <v>1822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260</v>
      </c>
      <c r="AL175">
        <v>0</v>
      </c>
      <c r="AM175">
        <v>0</v>
      </c>
      <c r="AN175">
        <v>70</v>
      </c>
      <c r="AO175">
        <v>48</v>
      </c>
      <c r="AP175">
        <v>8</v>
      </c>
      <c r="AQ175">
        <v>0</v>
      </c>
      <c r="AR175">
        <v>0</v>
      </c>
      <c r="AS175" t="s">
        <v>58</v>
      </c>
      <c r="AT175">
        <v>1</v>
      </c>
      <c r="AU175" t="s">
        <v>59</v>
      </c>
      <c r="AV175" t="s">
        <v>60</v>
      </c>
      <c r="AW175">
        <v>1</v>
      </c>
      <c r="AX175">
        <v>4</v>
      </c>
      <c r="AY175">
        <v>0</v>
      </c>
      <c r="AZ175">
        <v>0</v>
      </c>
      <c r="BA175">
        <v>100</v>
      </c>
      <c r="BB175">
        <v>100</v>
      </c>
      <c r="BC175">
        <v>100</v>
      </c>
      <c r="BD175">
        <v>100</v>
      </c>
      <c r="BE175">
        <v>1</v>
      </c>
      <c r="BF175">
        <v>15000</v>
      </c>
      <c r="BG175">
        <v>1000</v>
      </c>
      <c r="BH175" s="6">
        <f>Grandview_Inventory[[#This Row],[land_extract]]*Lookups!$B$3</f>
        <v>52639.730588165206</v>
      </c>
      <c r="BI175" s="6">
        <f>IF(Grandview_Inventory[[#This Row],[bldg_style]]="",0,Lookups!$B$2)</f>
        <v>155833.95000000001</v>
      </c>
      <c r="BJ175" s="6">
        <f>_xlfn.IFNA(VLOOKUP(Grandview_Inventory[[#This Row],[quality]],Lookups!$H$2:$J$14,3,FALSE),0)</f>
        <v>2251</v>
      </c>
      <c r="BK175" s="6">
        <f>_xlfn.IFNA(VLOOKUP(Grandview_Inventory[[#This Row],[condition]],Lookups!$H$17:$J$24,3,FALSE),0)</f>
        <v>22342</v>
      </c>
      <c r="BL175" s="6">
        <f>Grandview_Inventory[[#This Row],[Eff_Age]]*Lookups!$B$14</f>
        <v>-6218.3315999999995</v>
      </c>
      <c r="BM175" s="6">
        <f>Grandview_Inventory[[#This Row],[living_area]]*Lookups!$B$15</f>
        <v>113657.914166</v>
      </c>
      <c r="BN175" s="6">
        <f>Grandview_Inventory[[#This Row],[Fin BSMT]]*Lookups!$B$16</f>
        <v>0</v>
      </c>
      <c r="BO175" s="6">
        <f>(Grandview_Inventory[[#This Row],[att_gar]]+Grandview_Inventory[[#This Row],[bltin_gar]])*Lookups!$B$17</f>
        <v>0</v>
      </c>
      <c r="BP175" s="6">
        <f>Grandview_Inventory[[#This Row],[Plumbing Fixtures]]*Lookups!$B$18</f>
        <v>16083.5344</v>
      </c>
      <c r="BQ175" s="6">
        <f>Grandview_Inventory[[#This Row],[detatched_value]]*Lookups!$B$19</f>
        <v>0</v>
      </c>
      <c r="BR175" s="6">
        <f>SUM(Grandview_Inventory[[#This Row],[Intercept]:[det_value]])*Grandview_Inventory[[#This Row],[res_pct]]</f>
        <v>303950.06696600001</v>
      </c>
      <c r="BS175" s="6">
        <f>Grandview_Inventory[[#This Row],[land_value]]</f>
        <v>52639.730588165206</v>
      </c>
      <c r="BT175" s="4">
        <f>_xlfn.IFNA(VLOOKUP(Grandview_Inventory[[#This Row],[quality]],Lookups!$A$26:$C$33,3,FALSE),1)</f>
        <v>0.98763855981004833</v>
      </c>
      <c r="BU175" s="4">
        <f>_xlfn.IFNA(VLOOKUP(Grandview_Inventory[[#This Row],[condition]],Lookups!$A$37:$C$44,3,FALSE),1)</f>
        <v>0.97383723671140243</v>
      </c>
      <c r="BV175" s="4">
        <f>IF(Grandview_Inventory[[#This Row],[bldg_style]]="",1,_xlfn.IFNA(VLOOKUP(Grandview_Inventory[[#This Row],[decade]],Lookups!$F$29:$H$43,3,FALSE),1))</f>
        <v>0.98397821291089549</v>
      </c>
      <c r="BW175" s="4">
        <f>_xlfn.IFNA(VLOOKUP(Grandview_Inventory[[#This Row],[living_area_range]],Lookups!$F$47:$H$56,3,FALSE),1)</f>
        <v>0.96120133463014379</v>
      </c>
      <c r="BX175" s="4">
        <f>AVERAGE(Grandview_Inventory[[#This Row],[qual_adj]:[size_adj]])</f>
        <v>0.97666383601562257</v>
      </c>
      <c r="BY175" s="6">
        <f>IF(Grandview_Inventory[[#This Row],[pre_res]]&lt;0,0,Grandview_Inventory[[#This Row],[pre_res]]*Grandview_Inventory[[#This Row],[overall_adj]])</f>
        <v>296857.03836021892</v>
      </c>
      <c r="BZ175" s="6">
        <f>(Grandview_Inventory[[#This Row],[sum_land]]-IF(Grandview_Inventory[[#This Row],[no_utilities]]=1,12000,0))/IF(Grandview_Inventory[[#This Row],[unbuildable]]=1,2,1)</f>
        <v>52639.730588165206</v>
      </c>
      <c r="CA17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5">
        <f>ROUND(Grandview_Inventory[[#This Row],[det_value]]*Lookups!$M$28,-2)</f>
        <v>0</v>
      </c>
      <c r="CC175">
        <f>IF(ROUND(Grandview_Inventory[[#This Row],[adj_res]]*Lookups!$M$28,-2)&lt;Grandview_Inventory[[#This Row],[min_res]],Grandview_Inventory[[#This Row],[min_res]],ROUND(Grandview_Inventory[[#This Row],[adj_res]]*Lookups!$M$28,-2))</f>
        <v>282000</v>
      </c>
      <c r="CD175">
        <f>Grandview_Inventory[[#This Row],[final_det]]+Grandview_Inventory[[#This Row],[final_res]]</f>
        <v>282000</v>
      </c>
      <c r="CE175">
        <f>Grandview_Inventory[[#This Row],[final_land]]+Grandview_Inventory[[#This Row],[final_imp]]+Grandview_Inventory[[#This Row],[crop_value]]</f>
        <v>332000</v>
      </c>
      <c r="CG175" t="str">
        <f t="shared" si="2"/>
        <v>update valuation set market_land =50000, market_bldg=282000, market_total =332000, market_mdno =401, market_date ='9/10/2023' where link_id = (select link_id from parcel where parcel_year = '2024' and parcel_id = '23091433545');</v>
      </c>
    </row>
    <row r="176" spans="1:85" x14ac:dyDescent="0.25">
      <c r="A176">
        <v>23091433546</v>
      </c>
      <c r="B176">
        <v>0.27</v>
      </c>
      <c r="C176">
        <v>11775</v>
      </c>
      <c r="D176" t="s">
        <v>129</v>
      </c>
      <c r="E176" t="s">
        <v>53</v>
      </c>
      <c r="F176" t="s">
        <v>53</v>
      </c>
      <c r="G176">
        <v>4</v>
      </c>
      <c r="H176" t="s">
        <v>54</v>
      </c>
      <c r="I176">
        <v>148100</v>
      </c>
      <c r="J176">
        <v>40000</v>
      </c>
      <c r="K176">
        <v>0.27</v>
      </c>
      <c r="L176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6">
        <v>0</v>
      </c>
      <c r="N176">
        <v>0</v>
      </c>
      <c r="O176">
        <v>0</v>
      </c>
      <c r="P176">
        <v>13398.7528</v>
      </c>
      <c r="Q176">
        <v>63903</v>
      </c>
      <c r="R176">
        <f>(Grandview_Inventory[[#This Row],[ln_acres]]*Grandview_Inventory[[#This Row],[coeff]])+Grandview_Inventory[[#This Row],[const]]</f>
        <v>46359.566512734265</v>
      </c>
      <c r="S176" t="s">
        <v>61</v>
      </c>
      <c r="T176">
        <v>1</v>
      </c>
      <c r="U176" t="s">
        <v>70</v>
      </c>
      <c r="V176" t="s">
        <v>69</v>
      </c>
      <c r="W176">
        <v>0</v>
      </c>
      <c r="X176">
        <v>0</v>
      </c>
      <c r="Y176">
        <v>24</v>
      </c>
      <c r="Z176">
        <v>24</v>
      </c>
      <c r="AA176">
        <v>30</v>
      </c>
      <c r="AB176">
        <v>1500</v>
      </c>
      <c r="AC176">
        <v>1032</v>
      </c>
      <c r="AD176">
        <v>1032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48</v>
      </c>
      <c r="AO176">
        <v>0</v>
      </c>
      <c r="AP176">
        <v>5</v>
      </c>
      <c r="AQ176">
        <v>0</v>
      </c>
      <c r="AR176">
        <v>0</v>
      </c>
      <c r="AS176" t="s">
        <v>58</v>
      </c>
      <c r="AT176">
        <v>1</v>
      </c>
      <c r="AU176" t="s">
        <v>59</v>
      </c>
      <c r="AV176" t="s">
        <v>60</v>
      </c>
      <c r="AW176">
        <v>1</v>
      </c>
      <c r="AX176">
        <v>3</v>
      </c>
      <c r="AY176">
        <v>0</v>
      </c>
      <c r="AZ176">
        <v>0</v>
      </c>
      <c r="BA176">
        <v>100</v>
      </c>
      <c r="BB176">
        <v>100</v>
      </c>
      <c r="BC176">
        <v>100</v>
      </c>
      <c r="BD176">
        <v>100</v>
      </c>
      <c r="BE176">
        <v>1</v>
      </c>
      <c r="BF176">
        <v>15000</v>
      </c>
      <c r="BG176">
        <v>1000</v>
      </c>
      <c r="BH176" s="6">
        <f>Grandview_Inventory[[#This Row],[land_extract]]*Lookups!$B$3</f>
        <v>53837.239420408718</v>
      </c>
      <c r="BI176" s="6">
        <f>IF(Grandview_Inventory[[#This Row],[bldg_style]]="",0,Lookups!$B$2)</f>
        <v>155833.95000000001</v>
      </c>
      <c r="BJ176" s="6">
        <f>_xlfn.IFNA(VLOOKUP(Grandview_Inventory[[#This Row],[quality]],Lookups!$H$2:$J$14,3,FALSE),0)</f>
        <v>10733</v>
      </c>
      <c r="BK176" s="6">
        <f>_xlfn.IFNA(VLOOKUP(Grandview_Inventory[[#This Row],[condition]],Lookups!$H$17:$J$24,3,FALSE),0)</f>
        <v>-4503</v>
      </c>
      <c r="BL176" s="6">
        <f>Grandview_Inventory[[#This Row],[Eff_Age]]*Lookups!$B$14</f>
        <v>-5739.9983999999995</v>
      </c>
      <c r="BM176" s="6">
        <f>Grandview_Inventory[[#This Row],[living_area]]*Lookups!$B$15</f>
        <v>64377.040295999999</v>
      </c>
      <c r="BN176" s="6">
        <f>Grandview_Inventory[[#This Row],[Fin BSMT]]*Lookups!$B$16</f>
        <v>0</v>
      </c>
      <c r="BO176" s="6">
        <f>(Grandview_Inventory[[#This Row],[att_gar]]+Grandview_Inventory[[#This Row],[bltin_gar]])*Lookups!$B$17</f>
        <v>0</v>
      </c>
      <c r="BP176" s="6">
        <f>Grandview_Inventory[[#This Row],[Plumbing Fixtures]]*Lookups!$B$18</f>
        <v>10052.209000000001</v>
      </c>
      <c r="BQ176" s="6">
        <f>Grandview_Inventory[[#This Row],[detatched_value]]*Lookups!$B$19</f>
        <v>0</v>
      </c>
      <c r="BR176" s="6">
        <f>SUM(Grandview_Inventory[[#This Row],[Intercept]:[det_value]])*Grandview_Inventory[[#This Row],[res_pct]]</f>
        <v>230753.20089599999</v>
      </c>
      <c r="BS176" s="6">
        <f>Grandview_Inventory[[#This Row],[land_value]]</f>
        <v>53837.239420408718</v>
      </c>
      <c r="BT176" s="4">
        <f>_xlfn.IFNA(VLOOKUP(Grandview_Inventory[[#This Row],[quality]],Lookups!$A$26:$C$33,3,FALSE),1)</f>
        <v>0.98079741117310582</v>
      </c>
      <c r="BU176" s="4">
        <f>_xlfn.IFNA(VLOOKUP(Grandview_Inventory[[#This Row],[condition]],Lookups!$A$37:$C$44,3,FALSE),1)</f>
        <v>0.96469275950863709</v>
      </c>
      <c r="BV176" s="4">
        <f>IF(Grandview_Inventory[[#This Row],[bldg_style]]="",1,_xlfn.IFNA(VLOOKUP(Grandview_Inventory[[#This Row],[decade]],Lookups!$F$29:$H$43,3,FALSE),1))</f>
        <v>0.98397821291089549</v>
      </c>
      <c r="BW176" s="4">
        <f>_xlfn.IFNA(VLOOKUP(Grandview_Inventory[[#This Row],[living_area_range]],Lookups!$F$47:$H$56,3,FALSE),1)</f>
        <v>0.96135087979789358</v>
      </c>
      <c r="BX176" s="4">
        <f>AVERAGE(Grandview_Inventory[[#This Row],[qual_adj]:[size_adj]])</f>
        <v>0.97270481584763302</v>
      </c>
      <c r="BY176" s="6">
        <f>IF(Grandview_Inventory[[#This Row],[pre_res]]&lt;0,0,Grandview_Inventory[[#This Row],[pre_res]]*Grandview_Inventory[[#This Row],[overall_adj]])</f>
        <v>224454.74978379553</v>
      </c>
      <c r="BZ176" s="6">
        <f>(Grandview_Inventory[[#This Row],[sum_land]]-IF(Grandview_Inventory[[#This Row],[no_utilities]]=1,12000,0))/IF(Grandview_Inventory[[#This Row],[unbuildable]]=1,2,1)</f>
        <v>53837.239420408718</v>
      </c>
      <c r="CA176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6">
        <f>ROUND(Grandview_Inventory[[#This Row],[det_value]]*Lookups!$M$28,-2)</f>
        <v>0</v>
      </c>
      <c r="CC176">
        <f>IF(ROUND(Grandview_Inventory[[#This Row],[adj_res]]*Lookups!$M$28,-2)&lt;Grandview_Inventory[[#This Row],[min_res]],Grandview_Inventory[[#This Row],[min_res]],ROUND(Grandview_Inventory[[#This Row],[adj_res]]*Lookups!$M$28,-2))</f>
        <v>213200</v>
      </c>
      <c r="CD176">
        <f>Grandview_Inventory[[#This Row],[final_det]]+Grandview_Inventory[[#This Row],[final_res]]</f>
        <v>213200</v>
      </c>
      <c r="CE176">
        <f>Grandview_Inventory[[#This Row],[final_land]]+Grandview_Inventory[[#This Row],[final_imp]]+Grandview_Inventory[[#This Row],[crop_value]]</f>
        <v>264300</v>
      </c>
      <c r="CG176" t="str">
        <f t="shared" si="2"/>
        <v>update valuation set market_land =51100, market_bldg=213200, market_total =264300, market_mdno =401, market_date ='9/10/2023' where link_id = (select link_id from parcel where parcel_year = '2024' and parcel_id = '23091433546');</v>
      </c>
    </row>
    <row r="177" spans="1:85" x14ac:dyDescent="0.25">
      <c r="A177">
        <v>23091433547</v>
      </c>
      <c r="B177">
        <v>0.22</v>
      </c>
      <c r="C177">
        <v>9699</v>
      </c>
      <c r="D177" t="s">
        <v>129</v>
      </c>
      <c r="E177" t="s">
        <v>53</v>
      </c>
      <c r="F177" t="s">
        <v>53</v>
      </c>
      <c r="G177">
        <v>4</v>
      </c>
      <c r="H177" t="s">
        <v>54</v>
      </c>
      <c r="I177">
        <v>247000</v>
      </c>
      <c r="J177">
        <v>39500</v>
      </c>
      <c r="K177">
        <v>0.22</v>
      </c>
      <c r="L17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7">
        <v>0</v>
      </c>
      <c r="N177">
        <v>0</v>
      </c>
      <c r="O177">
        <v>0</v>
      </c>
      <c r="P177">
        <v>13398.7528</v>
      </c>
      <c r="Q177">
        <v>63903</v>
      </c>
      <c r="R177">
        <f>(Grandview_Inventory[[#This Row],[ln_acres]]*Grandview_Inventory[[#This Row],[coeff]])+Grandview_Inventory[[#This Row],[const]]</f>
        <v>43615.576802869145</v>
      </c>
      <c r="S177" t="s">
        <v>61</v>
      </c>
      <c r="T177">
        <v>1</v>
      </c>
      <c r="U177" t="s">
        <v>70</v>
      </c>
      <c r="V177" t="s">
        <v>67</v>
      </c>
      <c r="W177">
        <v>0</v>
      </c>
      <c r="X177">
        <v>0</v>
      </c>
      <c r="Y177">
        <v>15</v>
      </c>
      <c r="Z177">
        <v>44</v>
      </c>
      <c r="AA177">
        <v>50</v>
      </c>
      <c r="AB177">
        <v>2500</v>
      </c>
      <c r="AC177">
        <v>2112</v>
      </c>
      <c r="AD177">
        <v>2112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64</v>
      </c>
      <c r="AO177">
        <v>0</v>
      </c>
      <c r="AP177">
        <v>8</v>
      </c>
      <c r="AQ177">
        <v>0</v>
      </c>
      <c r="AR177">
        <v>0</v>
      </c>
      <c r="AS177" t="s">
        <v>58</v>
      </c>
      <c r="AT177">
        <v>1</v>
      </c>
      <c r="AU177" t="s">
        <v>59</v>
      </c>
      <c r="AV177" t="s">
        <v>60</v>
      </c>
      <c r="AW177">
        <v>1</v>
      </c>
      <c r="AX177">
        <v>3</v>
      </c>
      <c r="AY177">
        <v>0</v>
      </c>
      <c r="AZ177">
        <v>0</v>
      </c>
      <c r="BA177">
        <v>100</v>
      </c>
      <c r="BB177">
        <v>100</v>
      </c>
      <c r="BC177">
        <v>100</v>
      </c>
      <c r="BD177">
        <v>100</v>
      </c>
      <c r="BE177">
        <v>1</v>
      </c>
      <c r="BF177">
        <v>15000</v>
      </c>
      <c r="BG177">
        <v>1000</v>
      </c>
      <c r="BH177" s="6">
        <f>Grandview_Inventory[[#This Row],[land_extract]]*Lookups!$B$3</f>
        <v>50650.651579114572</v>
      </c>
      <c r="BI177" s="6">
        <f>IF(Grandview_Inventory[[#This Row],[bldg_style]]="",0,Lookups!$B$2)</f>
        <v>155833.95000000001</v>
      </c>
      <c r="BJ177" s="6">
        <f>_xlfn.IFNA(VLOOKUP(Grandview_Inventory[[#This Row],[quality]],Lookups!$H$2:$J$14,3,FALSE),0)</f>
        <v>10733</v>
      </c>
      <c r="BK177" s="6">
        <f>_xlfn.IFNA(VLOOKUP(Grandview_Inventory[[#This Row],[condition]],Lookups!$H$17:$J$24,3,FALSE),0)</f>
        <v>22342</v>
      </c>
      <c r="BL177" s="6">
        <f>Grandview_Inventory[[#This Row],[Eff_Age]]*Lookups!$B$14</f>
        <v>-3587.4989999999998</v>
      </c>
      <c r="BM177" s="6">
        <f>Grandview_Inventory[[#This Row],[living_area]]*Lookups!$B$15</f>
        <v>131748.36153600001</v>
      </c>
      <c r="BN177" s="6">
        <f>Grandview_Inventory[[#This Row],[Fin BSMT]]*Lookups!$B$16</f>
        <v>0</v>
      </c>
      <c r="BO177" s="6">
        <f>(Grandview_Inventory[[#This Row],[att_gar]]+Grandview_Inventory[[#This Row],[bltin_gar]])*Lookups!$B$17</f>
        <v>0</v>
      </c>
      <c r="BP177" s="6">
        <f>Grandview_Inventory[[#This Row],[Plumbing Fixtures]]*Lookups!$B$18</f>
        <v>16083.5344</v>
      </c>
      <c r="BQ177" s="6">
        <f>Grandview_Inventory[[#This Row],[detatched_value]]*Lookups!$B$19</f>
        <v>0</v>
      </c>
      <c r="BR177" s="6">
        <f>SUM(Grandview_Inventory[[#This Row],[Intercept]:[det_value]])*Grandview_Inventory[[#This Row],[res_pct]]</f>
        <v>333153.34693600005</v>
      </c>
      <c r="BS177" s="6">
        <f>Grandview_Inventory[[#This Row],[land_value]]</f>
        <v>50650.651579114572</v>
      </c>
      <c r="BT177" s="4">
        <f>_xlfn.IFNA(VLOOKUP(Grandview_Inventory[[#This Row],[quality]],Lookups!$A$26:$C$33,3,FALSE),1)</f>
        <v>0.98079741117310582</v>
      </c>
      <c r="BU177" s="4">
        <f>_xlfn.IFNA(VLOOKUP(Grandview_Inventory[[#This Row],[condition]],Lookups!$A$37:$C$44,3,FALSE),1)</f>
        <v>0.97383723671140243</v>
      </c>
      <c r="BV177" s="4">
        <f>IF(Grandview_Inventory[[#This Row],[bldg_style]]="",1,_xlfn.IFNA(VLOOKUP(Grandview_Inventory[[#This Row],[decade]],Lookups!$F$29:$H$43,3,FALSE),1))</f>
        <v>0.9871940091910919</v>
      </c>
      <c r="BW177" s="4">
        <f>_xlfn.IFNA(VLOOKUP(Grandview_Inventory[[#This Row],[living_area_range]],Lookups!$F$47:$H$56,3,FALSE),1)</f>
        <v>0.95799442568048754</v>
      </c>
      <c r="BX177" s="4">
        <f>AVERAGE(Grandview_Inventory[[#This Row],[qual_adj]:[size_adj]])</f>
        <v>0.97495577068902195</v>
      </c>
      <c r="BY177" s="6">
        <f>IF(Grandview_Inventory[[#This Row],[pre_res]]&lt;0,0,Grandview_Inventory[[#This Row],[pre_res]]*Grandview_Inventory[[#This Row],[overall_adj]])</f>
        <v>324809.77811961505</v>
      </c>
      <c r="BZ177" s="6">
        <f>(Grandview_Inventory[[#This Row],[sum_land]]-IF(Grandview_Inventory[[#This Row],[no_utilities]]=1,12000,0))/IF(Grandview_Inventory[[#This Row],[unbuildable]]=1,2,1)</f>
        <v>50650.651579114572</v>
      </c>
      <c r="CA17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7">
        <f>ROUND(Grandview_Inventory[[#This Row],[det_value]]*Lookups!$M$28,-2)</f>
        <v>0</v>
      </c>
      <c r="CC177">
        <f>IF(ROUND(Grandview_Inventory[[#This Row],[adj_res]]*Lookups!$M$28,-2)&lt;Grandview_Inventory[[#This Row],[min_res]],Grandview_Inventory[[#This Row],[min_res]],ROUND(Grandview_Inventory[[#This Row],[adj_res]]*Lookups!$M$28,-2))</f>
        <v>308600</v>
      </c>
      <c r="CD177">
        <f>Grandview_Inventory[[#This Row],[final_det]]+Grandview_Inventory[[#This Row],[final_res]]</f>
        <v>308600</v>
      </c>
      <c r="CE177">
        <f>Grandview_Inventory[[#This Row],[final_land]]+Grandview_Inventory[[#This Row],[final_imp]]+Grandview_Inventory[[#This Row],[crop_value]]</f>
        <v>356700</v>
      </c>
      <c r="CG177" t="str">
        <f t="shared" si="2"/>
        <v>update valuation set market_land =48100, market_bldg=308600, market_total =356700, market_mdno =401, market_date ='9/10/2023' where link_id = (select link_id from parcel where parcel_year = '2024' and parcel_id = '23091433547');</v>
      </c>
    </row>
    <row r="178" spans="1:85" x14ac:dyDescent="0.25">
      <c r="A178">
        <v>23091433548</v>
      </c>
      <c r="B178">
        <v>0.24</v>
      </c>
      <c r="C178" t="s">
        <v>129</v>
      </c>
      <c r="D178" t="s">
        <v>129</v>
      </c>
      <c r="E178" t="s">
        <v>53</v>
      </c>
      <c r="F178" t="s">
        <v>53</v>
      </c>
      <c r="G178">
        <v>4</v>
      </c>
      <c r="H178" t="s">
        <v>54</v>
      </c>
      <c r="I178">
        <v>147100</v>
      </c>
      <c r="J178">
        <v>39800</v>
      </c>
      <c r="K178">
        <v>0.24</v>
      </c>
      <c r="L178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8">
        <v>0</v>
      </c>
      <c r="N178">
        <v>0</v>
      </c>
      <c r="O178">
        <v>0</v>
      </c>
      <c r="P178">
        <v>13398.7528</v>
      </c>
      <c r="Q178">
        <v>63903</v>
      </c>
      <c r="R178">
        <f>(Grandview_Inventory[[#This Row],[ln_acres]]*Grandview_Inventory[[#This Row],[coeff]])+Grandview_Inventory[[#This Row],[const]]</f>
        <v>44781.420733940802</v>
      </c>
      <c r="S178" t="s">
        <v>61</v>
      </c>
      <c r="T178">
        <v>1</v>
      </c>
      <c r="U178" t="s">
        <v>70</v>
      </c>
      <c r="V178" t="s">
        <v>69</v>
      </c>
      <c r="W178">
        <v>0</v>
      </c>
      <c r="X178">
        <v>0</v>
      </c>
      <c r="Y178">
        <v>43</v>
      </c>
      <c r="Z178">
        <v>44</v>
      </c>
      <c r="AA178">
        <v>50</v>
      </c>
      <c r="AB178">
        <v>1500</v>
      </c>
      <c r="AC178">
        <v>1344</v>
      </c>
      <c r="AD178">
        <v>1344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5</v>
      </c>
      <c r="AQ178">
        <v>0</v>
      </c>
      <c r="AR178">
        <v>0</v>
      </c>
      <c r="AS178" t="s">
        <v>58</v>
      </c>
      <c r="AT178">
        <v>1</v>
      </c>
      <c r="AU178" t="s">
        <v>75</v>
      </c>
      <c r="AV178" t="s">
        <v>60</v>
      </c>
      <c r="AW178">
        <v>0</v>
      </c>
      <c r="AX178">
        <v>3</v>
      </c>
      <c r="AY178">
        <v>0</v>
      </c>
      <c r="AZ178">
        <v>0</v>
      </c>
      <c r="BA178">
        <v>100</v>
      </c>
      <c r="BB178">
        <v>100</v>
      </c>
      <c r="BC178">
        <v>100</v>
      </c>
      <c r="BD178">
        <v>100</v>
      </c>
      <c r="BE178">
        <v>1</v>
      </c>
      <c r="BF178">
        <v>15000</v>
      </c>
      <c r="BG178">
        <v>1000</v>
      </c>
      <c r="BH178" s="6">
        <f>Grandview_Inventory[[#This Row],[land_extract]]*Lookups!$B$3</f>
        <v>52004.542988489469</v>
      </c>
      <c r="BI178" s="6">
        <f>IF(Grandview_Inventory[[#This Row],[bldg_style]]="",0,Lookups!$B$2)</f>
        <v>155833.95000000001</v>
      </c>
      <c r="BJ178" s="6">
        <f>_xlfn.IFNA(VLOOKUP(Grandview_Inventory[[#This Row],[quality]],Lookups!$H$2:$J$14,3,FALSE),0)</f>
        <v>10733</v>
      </c>
      <c r="BK178" s="6">
        <f>_xlfn.IFNA(VLOOKUP(Grandview_Inventory[[#This Row],[condition]],Lookups!$H$17:$J$24,3,FALSE),0)</f>
        <v>-4503</v>
      </c>
      <c r="BL178" s="6">
        <f>Grandview_Inventory[[#This Row],[Eff_Age]]*Lookups!$B$14</f>
        <v>-10284.1638</v>
      </c>
      <c r="BM178" s="6">
        <f>Grandview_Inventory[[#This Row],[living_area]]*Lookups!$B$15</f>
        <v>83839.86643200001</v>
      </c>
      <c r="BN178" s="6">
        <f>Grandview_Inventory[[#This Row],[Fin BSMT]]*Lookups!$B$16</f>
        <v>0</v>
      </c>
      <c r="BO178" s="6">
        <f>(Grandview_Inventory[[#This Row],[att_gar]]+Grandview_Inventory[[#This Row],[bltin_gar]])*Lookups!$B$17</f>
        <v>0</v>
      </c>
      <c r="BP178" s="6">
        <f>Grandview_Inventory[[#This Row],[Plumbing Fixtures]]*Lookups!$B$18</f>
        <v>10052.209000000001</v>
      </c>
      <c r="BQ178" s="6">
        <f>Grandview_Inventory[[#This Row],[detatched_value]]*Lookups!$B$19</f>
        <v>0</v>
      </c>
      <c r="BR178" s="6">
        <f>SUM(Grandview_Inventory[[#This Row],[Intercept]:[det_value]])*Grandview_Inventory[[#This Row],[res_pct]]</f>
        <v>245671.86163200001</v>
      </c>
      <c r="BS178" s="6">
        <f>Grandview_Inventory[[#This Row],[land_value]]</f>
        <v>52004.542988489469</v>
      </c>
      <c r="BT178" s="4">
        <f>_xlfn.IFNA(VLOOKUP(Grandview_Inventory[[#This Row],[quality]],Lookups!$A$26:$C$33,3,FALSE),1)</f>
        <v>0.98079741117310582</v>
      </c>
      <c r="BU178" s="4">
        <f>_xlfn.IFNA(VLOOKUP(Grandview_Inventory[[#This Row],[condition]],Lookups!$A$37:$C$44,3,FALSE),1)</f>
        <v>0.96469275950863709</v>
      </c>
      <c r="BV178" s="4">
        <f>IF(Grandview_Inventory[[#This Row],[bldg_style]]="",1,_xlfn.IFNA(VLOOKUP(Grandview_Inventory[[#This Row],[decade]],Lookups!$F$29:$H$43,3,FALSE),1))</f>
        <v>0.9871940091910919</v>
      </c>
      <c r="BW178" s="4">
        <f>_xlfn.IFNA(VLOOKUP(Grandview_Inventory[[#This Row],[living_area_range]],Lookups!$F$47:$H$56,3,FALSE),1)</f>
        <v>0.96135087979789358</v>
      </c>
      <c r="BX178" s="4">
        <f>AVERAGE(Grandview_Inventory[[#This Row],[qual_adj]:[size_adj]])</f>
        <v>0.97350876491768212</v>
      </c>
      <c r="BY178" s="6">
        <f>IF(Grandview_Inventory[[#This Row],[pre_res]]&lt;0,0,Grandview_Inventory[[#This Row],[pre_res]]*Grandview_Inventory[[#This Row],[overall_adj]])</f>
        <v>239163.71059239603</v>
      </c>
      <c r="BZ178" s="6">
        <f>(Grandview_Inventory[[#This Row],[sum_land]]-IF(Grandview_Inventory[[#This Row],[no_utilities]]=1,12000,0))/IF(Grandview_Inventory[[#This Row],[unbuildable]]=1,2,1)</f>
        <v>52004.542988489469</v>
      </c>
      <c r="CA178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8">
        <f>ROUND(Grandview_Inventory[[#This Row],[det_value]]*Lookups!$M$28,-2)</f>
        <v>0</v>
      </c>
      <c r="CC178">
        <f>IF(ROUND(Grandview_Inventory[[#This Row],[adj_res]]*Lookups!$M$28,-2)&lt;Grandview_Inventory[[#This Row],[min_res]],Grandview_Inventory[[#This Row],[min_res]],ROUND(Grandview_Inventory[[#This Row],[adj_res]]*Lookups!$M$28,-2))</f>
        <v>227200</v>
      </c>
      <c r="CD178">
        <f>Grandview_Inventory[[#This Row],[final_det]]+Grandview_Inventory[[#This Row],[final_res]]</f>
        <v>227200</v>
      </c>
      <c r="CE178">
        <f>Grandview_Inventory[[#This Row],[final_land]]+Grandview_Inventory[[#This Row],[final_imp]]+Grandview_Inventory[[#This Row],[crop_value]]</f>
        <v>276600</v>
      </c>
      <c r="CG178" t="str">
        <f t="shared" si="2"/>
        <v>update valuation set market_land =49400, market_bldg=227200, market_total =276600, market_mdno =401, market_date ='9/10/2023' where link_id = (select link_id from parcel where parcel_year = '2024' and parcel_id = '23091433548');</v>
      </c>
    </row>
    <row r="179" spans="1:85" x14ac:dyDescent="0.25">
      <c r="A179">
        <v>23091433549</v>
      </c>
      <c r="B179">
        <v>0.31</v>
      </c>
      <c r="C179">
        <v>13472</v>
      </c>
      <c r="D179" t="s">
        <v>129</v>
      </c>
      <c r="E179" t="s">
        <v>53</v>
      </c>
      <c r="F179" t="s">
        <v>53</v>
      </c>
      <c r="G179">
        <v>4</v>
      </c>
      <c r="H179" t="s">
        <v>54</v>
      </c>
      <c r="I179">
        <v>226400</v>
      </c>
      <c r="J179">
        <v>41100</v>
      </c>
      <c r="K179">
        <v>0.31</v>
      </c>
      <c r="L179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79">
        <v>0</v>
      </c>
      <c r="N179">
        <v>0</v>
      </c>
      <c r="O179">
        <v>0</v>
      </c>
      <c r="P179">
        <v>13398.7528</v>
      </c>
      <c r="Q179">
        <v>63903</v>
      </c>
      <c r="R179">
        <f>(Grandview_Inventory[[#This Row],[ln_acres]]*Grandview_Inventory[[#This Row],[coeff]])+Grandview_Inventory[[#This Row],[const]]</f>
        <v>48210.608747275066</v>
      </c>
      <c r="S179" t="s">
        <v>61</v>
      </c>
      <c r="T179">
        <v>1</v>
      </c>
      <c r="U179" t="s">
        <v>65</v>
      </c>
      <c r="V179" t="s">
        <v>67</v>
      </c>
      <c r="W179">
        <v>0</v>
      </c>
      <c r="X179">
        <v>0</v>
      </c>
      <c r="Y179">
        <v>21</v>
      </c>
      <c r="Z179">
        <v>21</v>
      </c>
      <c r="AA179">
        <v>30</v>
      </c>
      <c r="AB179">
        <v>1500</v>
      </c>
      <c r="AC179">
        <v>1248</v>
      </c>
      <c r="AD179">
        <v>1248</v>
      </c>
      <c r="AE179">
        <v>0</v>
      </c>
      <c r="AF179">
        <v>0</v>
      </c>
      <c r="AG179">
        <v>0</v>
      </c>
      <c r="AH179">
        <v>0</v>
      </c>
      <c r="AI179">
        <v>480</v>
      </c>
      <c r="AJ179">
        <v>0</v>
      </c>
      <c r="AK179">
        <v>0</v>
      </c>
      <c r="AL179">
        <v>0</v>
      </c>
      <c r="AM179">
        <v>0</v>
      </c>
      <c r="AN179">
        <v>84</v>
      </c>
      <c r="AO179">
        <v>0</v>
      </c>
      <c r="AP179">
        <v>8</v>
      </c>
      <c r="AQ179">
        <v>0</v>
      </c>
      <c r="AR179">
        <v>0</v>
      </c>
      <c r="AS179" t="s">
        <v>58</v>
      </c>
      <c r="AT179">
        <v>1</v>
      </c>
      <c r="AU179" t="s">
        <v>63</v>
      </c>
      <c r="AV179" t="s">
        <v>60</v>
      </c>
      <c r="AW179">
        <v>1</v>
      </c>
      <c r="AX179">
        <v>3</v>
      </c>
      <c r="AY179">
        <v>0</v>
      </c>
      <c r="AZ179">
        <v>0</v>
      </c>
      <c r="BA179">
        <v>100</v>
      </c>
      <c r="BB179">
        <v>100</v>
      </c>
      <c r="BC179">
        <v>100</v>
      </c>
      <c r="BD179">
        <v>100</v>
      </c>
      <c r="BE179">
        <v>1</v>
      </c>
      <c r="BF179">
        <v>15000</v>
      </c>
      <c r="BG179">
        <v>1000</v>
      </c>
      <c r="BH179" s="6">
        <f>Grandview_Inventory[[#This Row],[land_extract]]*Lookups!$B$3</f>
        <v>55986.849769566914</v>
      </c>
      <c r="BI179" s="6">
        <f>IF(Grandview_Inventory[[#This Row],[bldg_style]]="",0,Lookups!$B$2)</f>
        <v>155833.95000000001</v>
      </c>
      <c r="BJ179" s="6">
        <f>_xlfn.IFNA(VLOOKUP(Grandview_Inventory[[#This Row],[quality]],Lookups!$H$2:$J$14,3,FALSE),0)</f>
        <v>2251</v>
      </c>
      <c r="BK179" s="6">
        <f>_xlfn.IFNA(VLOOKUP(Grandview_Inventory[[#This Row],[condition]],Lookups!$H$17:$J$24,3,FALSE),0)</f>
        <v>22342</v>
      </c>
      <c r="BL179" s="6">
        <f>Grandview_Inventory[[#This Row],[Eff_Age]]*Lookups!$B$14</f>
        <v>-5022.4985999999999</v>
      </c>
      <c r="BM179" s="6">
        <f>Grandview_Inventory[[#This Row],[living_area]]*Lookups!$B$15</f>
        <v>77851.304543999999</v>
      </c>
      <c r="BN179" s="6">
        <f>Grandview_Inventory[[#This Row],[Fin BSMT]]*Lookups!$B$16</f>
        <v>0</v>
      </c>
      <c r="BO179" s="6">
        <f>(Grandview_Inventory[[#This Row],[att_gar]]+Grandview_Inventory[[#This Row],[bltin_gar]])*Lookups!$B$17</f>
        <v>42009.809760000004</v>
      </c>
      <c r="BP179" s="6">
        <f>Grandview_Inventory[[#This Row],[Plumbing Fixtures]]*Lookups!$B$18</f>
        <v>16083.5344</v>
      </c>
      <c r="BQ179" s="6">
        <f>Grandview_Inventory[[#This Row],[detatched_value]]*Lookups!$B$19</f>
        <v>0</v>
      </c>
      <c r="BR179" s="6">
        <f>SUM(Grandview_Inventory[[#This Row],[Intercept]:[det_value]])*Grandview_Inventory[[#This Row],[res_pct]]</f>
        <v>311349.10010400007</v>
      </c>
      <c r="BS179" s="6">
        <f>Grandview_Inventory[[#This Row],[land_value]]</f>
        <v>55986.849769566914</v>
      </c>
      <c r="BT179" s="4">
        <f>_xlfn.IFNA(VLOOKUP(Grandview_Inventory[[#This Row],[quality]],Lookups!$A$26:$C$33,3,FALSE),1)</f>
        <v>0.98763855981004833</v>
      </c>
      <c r="BU179" s="4">
        <f>_xlfn.IFNA(VLOOKUP(Grandview_Inventory[[#This Row],[condition]],Lookups!$A$37:$C$44,3,FALSE),1)</f>
        <v>0.97383723671140243</v>
      </c>
      <c r="BV179" s="4">
        <f>IF(Grandview_Inventory[[#This Row],[bldg_style]]="",1,_xlfn.IFNA(VLOOKUP(Grandview_Inventory[[#This Row],[decade]],Lookups!$F$29:$H$43,3,FALSE),1))</f>
        <v>0.98397821291089549</v>
      </c>
      <c r="BW179" s="4">
        <f>_xlfn.IFNA(VLOOKUP(Grandview_Inventory[[#This Row],[living_area_range]],Lookups!$F$47:$H$56,3,FALSE),1)</f>
        <v>0.96135087979789358</v>
      </c>
      <c r="BX179" s="4">
        <f>AVERAGE(Grandview_Inventory[[#This Row],[qual_adj]:[size_adj]])</f>
        <v>0.97670122230755996</v>
      </c>
      <c r="BY179" s="6">
        <f>IF(Grandview_Inventory[[#This Row],[pre_res]]&lt;0,0,Grandview_Inventory[[#This Row],[pre_res]]*Grandview_Inventory[[#This Row],[overall_adj]])</f>
        <v>304095.04663593572</v>
      </c>
      <c r="BZ179" s="6">
        <f>(Grandview_Inventory[[#This Row],[sum_land]]-IF(Grandview_Inventory[[#This Row],[no_utilities]]=1,12000,0))/IF(Grandview_Inventory[[#This Row],[unbuildable]]=1,2,1)</f>
        <v>55986.849769566914</v>
      </c>
      <c r="CA179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79">
        <f>ROUND(Grandview_Inventory[[#This Row],[det_value]]*Lookups!$M$28,-2)</f>
        <v>0</v>
      </c>
      <c r="CC179">
        <f>IF(ROUND(Grandview_Inventory[[#This Row],[adj_res]]*Lookups!$M$28,-2)&lt;Grandview_Inventory[[#This Row],[min_res]],Grandview_Inventory[[#This Row],[min_res]],ROUND(Grandview_Inventory[[#This Row],[adj_res]]*Lookups!$M$28,-2))</f>
        <v>288900</v>
      </c>
      <c r="CD179">
        <f>Grandview_Inventory[[#This Row],[final_det]]+Grandview_Inventory[[#This Row],[final_res]]</f>
        <v>288900</v>
      </c>
      <c r="CE179">
        <f>Grandview_Inventory[[#This Row],[final_land]]+Grandview_Inventory[[#This Row],[final_imp]]+Grandview_Inventory[[#This Row],[crop_value]]</f>
        <v>342100</v>
      </c>
      <c r="CG179" t="str">
        <f t="shared" si="2"/>
        <v>update valuation set market_land =53200, market_bldg=288900, market_total =342100, market_mdno =401, market_date ='9/10/2023' where link_id = (select link_id from parcel where parcel_year = '2024' and parcel_id = '23091433549');</v>
      </c>
    </row>
    <row r="180" spans="1:85" x14ac:dyDescent="0.25">
      <c r="A180">
        <v>23091433550</v>
      </c>
      <c r="B180">
        <v>0.33</v>
      </c>
      <c r="C180">
        <v>14217</v>
      </c>
      <c r="D180" t="s">
        <v>129</v>
      </c>
      <c r="E180" t="s">
        <v>53</v>
      </c>
      <c r="F180" t="s">
        <v>53</v>
      </c>
      <c r="G180">
        <v>4</v>
      </c>
      <c r="H180" t="s">
        <v>54</v>
      </c>
      <c r="I180">
        <v>205300</v>
      </c>
      <c r="J180">
        <v>41200</v>
      </c>
      <c r="K180">
        <v>0.33</v>
      </c>
      <c r="L180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80">
        <v>0</v>
      </c>
      <c r="N180">
        <v>0</v>
      </c>
      <c r="O180">
        <v>0</v>
      </c>
      <c r="P180">
        <v>13398.7528</v>
      </c>
      <c r="Q180">
        <v>63903</v>
      </c>
      <c r="R180">
        <f>(Grandview_Inventory[[#This Row],[ln_acres]]*Grandview_Inventory[[#This Row],[coeff]])+Grandview_Inventory[[#This Row],[const]]</f>
        <v>49048.303555435712</v>
      </c>
      <c r="S180" t="s">
        <v>61</v>
      </c>
      <c r="T180">
        <v>1</v>
      </c>
      <c r="U180" t="s">
        <v>65</v>
      </c>
      <c r="V180" t="s">
        <v>67</v>
      </c>
      <c r="W180">
        <v>0</v>
      </c>
      <c r="X180">
        <v>0</v>
      </c>
      <c r="Y180">
        <v>20</v>
      </c>
      <c r="Z180">
        <v>20</v>
      </c>
      <c r="AA180">
        <v>20</v>
      </c>
      <c r="AB180">
        <v>2000</v>
      </c>
      <c r="AC180">
        <v>1524</v>
      </c>
      <c r="AD180">
        <v>1524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216</v>
      </c>
      <c r="AM180">
        <v>0</v>
      </c>
      <c r="AN180">
        <v>0</v>
      </c>
      <c r="AO180">
        <v>216</v>
      </c>
      <c r="AP180">
        <v>8</v>
      </c>
      <c r="AQ180">
        <v>0</v>
      </c>
      <c r="AR180">
        <v>0</v>
      </c>
      <c r="AS180" t="s">
        <v>58</v>
      </c>
      <c r="AT180">
        <v>1</v>
      </c>
      <c r="AU180" t="s">
        <v>59</v>
      </c>
      <c r="AV180" t="s">
        <v>60</v>
      </c>
      <c r="AW180">
        <v>1</v>
      </c>
      <c r="AX180">
        <v>3</v>
      </c>
      <c r="AY180">
        <v>0</v>
      </c>
      <c r="AZ180">
        <v>0</v>
      </c>
      <c r="BA180">
        <v>100</v>
      </c>
      <c r="BB180">
        <v>100</v>
      </c>
      <c r="BC180">
        <v>100</v>
      </c>
      <c r="BD180">
        <v>100</v>
      </c>
      <c r="BE180">
        <v>1</v>
      </c>
      <c r="BF180">
        <v>15000</v>
      </c>
      <c r="BG180">
        <v>1000</v>
      </c>
      <c r="BH180" s="6">
        <f>Grandview_Inventory[[#This Row],[land_extract]]*Lookups!$B$3</f>
        <v>56959.662488507893</v>
      </c>
      <c r="BI180" s="6">
        <f>IF(Grandview_Inventory[[#This Row],[bldg_style]]="",0,Lookups!$B$2)</f>
        <v>155833.95000000001</v>
      </c>
      <c r="BJ180" s="6">
        <f>_xlfn.IFNA(VLOOKUP(Grandview_Inventory[[#This Row],[quality]],Lookups!$H$2:$J$14,3,FALSE),0)</f>
        <v>2251</v>
      </c>
      <c r="BK180" s="6">
        <f>_xlfn.IFNA(VLOOKUP(Grandview_Inventory[[#This Row],[condition]],Lookups!$H$17:$J$24,3,FALSE),0)</f>
        <v>22342</v>
      </c>
      <c r="BL180" s="6">
        <f>Grandview_Inventory[[#This Row],[Eff_Age]]*Lookups!$B$14</f>
        <v>-4783.3319999999994</v>
      </c>
      <c r="BM180" s="6">
        <f>Grandview_Inventory[[#This Row],[living_area]]*Lookups!$B$15</f>
        <v>95068.419972000003</v>
      </c>
      <c r="BN180" s="6">
        <f>Grandview_Inventory[[#This Row],[Fin BSMT]]*Lookups!$B$16</f>
        <v>0</v>
      </c>
      <c r="BO180" s="6">
        <f>(Grandview_Inventory[[#This Row],[att_gar]]+Grandview_Inventory[[#This Row],[bltin_gar]])*Lookups!$B$17</f>
        <v>0</v>
      </c>
      <c r="BP180" s="6">
        <f>Grandview_Inventory[[#This Row],[Plumbing Fixtures]]*Lookups!$B$18</f>
        <v>16083.5344</v>
      </c>
      <c r="BQ180" s="6">
        <f>Grandview_Inventory[[#This Row],[detatched_value]]*Lookups!$B$19</f>
        <v>0</v>
      </c>
      <c r="BR180" s="6">
        <f>SUM(Grandview_Inventory[[#This Row],[Intercept]:[det_value]])*Grandview_Inventory[[#This Row],[res_pct]]</f>
        <v>286795.57237200002</v>
      </c>
      <c r="BS180" s="6">
        <f>Grandview_Inventory[[#This Row],[land_value]]</f>
        <v>56959.662488507893</v>
      </c>
      <c r="BT180" s="4">
        <f>_xlfn.IFNA(VLOOKUP(Grandview_Inventory[[#This Row],[quality]],Lookups!$A$26:$C$33,3,FALSE),1)</f>
        <v>0.98763855981004833</v>
      </c>
      <c r="BU180" s="4">
        <f>_xlfn.IFNA(VLOOKUP(Grandview_Inventory[[#This Row],[condition]],Lookups!$A$37:$C$44,3,FALSE),1)</f>
        <v>0.97383723671140243</v>
      </c>
      <c r="BV180" s="4">
        <f>IF(Grandview_Inventory[[#This Row],[bldg_style]]="",1,_xlfn.IFNA(VLOOKUP(Grandview_Inventory[[#This Row],[decade]],Lookups!$F$29:$H$43,3,FALSE),1))</f>
        <v>0.96737494181490646</v>
      </c>
      <c r="BW180" s="4">
        <f>_xlfn.IFNA(VLOOKUP(Grandview_Inventory[[#This Row],[living_area_range]],Lookups!$F$47:$H$56,3,FALSE),1)</f>
        <v>0.96120133463014379</v>
      </c>
      <c r="BX180" s="4">
        <f>AVERAGE(Grandview_Inventory[[#This Row],[qual_adj]:[size_adj]])</f>
        <v>0.97251301824162528</v>
      </c>
      <c r="BY180" s="6">
        <f>IF(Grandview_Inventory[[#This Row],[pre_res]]&lt;0,0,Grandview_Inventory[[#This Row],[pre_res]]*Grandview_Inventory[[#This Row],[overall_adj]])</f>
        <v>278912.42770582822</v>
      </c>
      <c r="BZ180" s="6">
        <f>(Grandview_Inventory[[#This Row],[sum_land]]-IF(Grandview_Inventory[[#This Row],[no_utilities]]=1,12000,0))/IF(Grandview_Inventory[[#This Row],[unbuildable]]=1,2,1)</f>
        <v>56959.662488507893</v>
      </c>
      <c r="CA180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80">
        <f>ROUND(Grandview_Inventory[[#This Row],[det_value]]*Lookups!$M$28,-2)</f>
        <v>0</v>
      </c>
      <c r="CC180">
        <f>IF(ROUND(Grandview_Inventory[[#This Row],[adj_res]]*Lookups!$M$28,-2)&lt;Grandview_Inventory[[#This Row],[min_res]],Grandview_Inventory[[#This Row],[min_res]],ROUND(Grandview_Inventory[[#This Row],[adj_res]]*Lookups!$M$28,-2))</f>
        <v>265000</v>
      </c>
      <c r="CD180">
        <f>Grandview_Inventory[[#This Row],[final_det]]+Grandview_Inventory[[#This Row],[final_res]]</f>
        <v>265000</v>
      </c>
      <c r="CE180">
        <f>Grandview_Inventory[[#This Row],[final_land]]+Grandview_Inventory[[#This Row],[final_imp]]+Grandview_Inventory[[#This Row],[crop_value]]</f>
        <v>319100</v>
      </c>
      <c r="CG180" t="str">
        <f t="shared" si="2"/>
        <v>update valuation set market_land =54100, market_bldg=265000, market_total =319100, market_mdno =401, market_date ='9/10/2023' where link_id = (select link_id from parcel where parcel_year = '2024' and parcel_id = '23091433550');</v>
      </c>
    </row>
    <row r="181" spans="1:85" x14ac:dyDescent="0.25">
      <c r="A181">
        <v>23091433551</v>
      </c>
      <c r="B181">
        <v>0.28000000000000003</v>
      </c>
      <c r="C181">
        <v>12005</v>
      </c>
      <c r="D181" t="s">
        <v>129</v>
      </c>
      <c r="E181" t="s">
        <v>53</v>
      </c>
      <c r="F181" t="s">
        <v>53</v>
      </c>
      <c r="G181">
        <v>4</v>
      </c>
      <c r="H181" t="s">
        <v>54</v>
      </c>
      <c r="I181">
        <v>122200</v>
      </c>
      <c r="J181">
        <v>40000</v>
      </c>
      <c r="K181">
        <v>0.28000000000000003</v>
      </c>
      <c r="L181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81">
        <v>0</v>
      </c>
      <c r="N181">
        <v>0</v>
      </c>
      <c r="O181">
        <v>0</v>
      </c>
      <c r="P181">
        <v>13398.7528</v>
      </c>
      <c r="Q181">
        <v>63903</v>
      </c>
      <c r="R181">
        <f>(Grandview_Inventory[[#This Row],[ln_acres]]*Grandview_Inventory[[#This Row],[coeff]])+Grandview_Inventory[[#This Row],[const]]</f>
        <v>46846.847586898184</v>
      </c>
      <c r="S181" t="s">
        <v>61</v>
      </c>
      <c r="T181">
        <v>1</v>
      </c>
      <c r="U181" t="s">
        <v>70</v>
      </c>
      <c r="V181" t="s">
        <v>78</v>
      </c>
      <c r="W181">
        <v>0</v>
      </c>
      <c r="X181">
        <v>0</v>
      </c>
      <c r="Y181">
        <v>43</v>
      </c>
      <c r="Z181">
        <v>44</v>
      </c>
      <c r="AA181">
        <v>50</v>
      </c>
      <c r="AB181">
        <v>1500</v>
      </c>
      <c r="AC181">
        <v>1008</v>
      </c>
      <c r="AD181">
        <v>1008</v>
      </c>
      <c r="AE181">
        <v>0</v>
      </c>
      <c r="AF181">
        <v>0</v>
      </c>
      <c r="AG181">
        <v>0</v>
      </c>
      <c r="AH181">
        <v>0</v>
      </c>
      <c r="AI181">
        <v>336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5</v>
      </c>
      <c r="AQ181">
        <v>0</v>
      </c>
      <c r="AR181">
        <v>0</v>
      </c>
      <c r="AS181" t="s">
        <v>58</v>
      </c>
      <c r="AT181">
        <v>1</v>
      </c>
      <c r="AU181" t="s">
        <v>63</v>
      </c>
      <c r="AV181" t="s">
        <v>60</v>
      </c>
      <c r="AW181">
        <v>0</v>
      </c>
      <c r="AX181">
        <v>3</v>
      </c>
      <c r="AY181">
        <v>0</v>
      </c>
      <c r="AZ181">
        <v>0</v>
      </c>
      <c r="BA181">
        <v>100</v>
      </c>
      <c r="BB181">
        <v>100</v>
      </c>
      <c r="BC181">
        <v>100</v>
      </c>
      <c r="BD181">
        <v>100</v>
      </c>
      <c r="BE181">
        <v>1</v>
      </c>
      <c r="BF181">
        <v>15000</v>
      </c>
      <c r="BG181">
        <v>1000</v>
      </c>
      <c r="BH181" s="6">
        <f>Grandview_Inventory[[#This Row],[land_extract]]*Lookups!$B$3</f>
        <v>54403.117616176372</v>
      </c>
      <c r="BI181" s="6">
        <f>IF(Grandview_Inventory[[#This Row],[bldg_style]]="",0,Lookups!$B$2)</f>
        <v>155833.95000000001</v>
      </c>
      <c r="BJ181" s="6">
        <f>_xlfn.IFNA(VLOOKUP(Grandview_Inventory[[#This Row],[quality]],Lookups!$H$2:$J$14,3,FALSE),0)</f>
        <v>10733</v>
      </c>
      <c r="BK181" s="6">
        <f>_xlfn.IFNA(VLOOKUP(Grandview_Inventory[[#This Row],[condition]],Lookups!$H$17:$J$24,3,FALSE),0)</f>
        <v>-45357</v>
      </c>
      <c r="BL181" s="6">
        <f>Grandview_Inventory[[#This Row],[Eff_Age]]*Lookups!$B$14</f>
        <v>-10284.1638</v>
      </c>
      <c r="BM181" s="6">
        <f>Grandview_Inventory[[#This Row],[living_area]]*Lookups!$B$15</f>
        <v>62879.899824</v>
      </c>
      <c r="BN181" s="6">
        <f>Grandview_Inventory[[#This Row],[Fin BSMT]]*Lookups!$B$16</f>
        <v>0</v>
      </c>
      <c r="BO181" s="6">
        <f>(Grandview_Inventory[[#This Row],[att_gar]]+Grandview_Inventory[[#This Row],[bltin_gar]])*Lookups!$B$17</f>
        <v>29406.866832</v>
      </c>
      <c r="BP181" s="6">
        <f>Grandview_Inventory[[#This Row],[Plumbing Fixtures]]*Lookups!$B$18</f>
        <v>10052.209000000001</v>
      </c>
      <c r="BQ181" s="6">
        <f>Grandview_Inventory[[#This Row],[detatched_value]]*Lookups!$B$19</f>
        <v>0</v>
      </c>
      <c r="BR181" s="6">
        <f>SUM(Grandview_Inventory[[#This Row],[Intercept]:[det_value]])*Grandview_Inventory[[#This Row],[res_pct]]</f>
        <v>213264.76185600003</v>
      </c>
      <c r="BS181" s="6">
        <f>Grandview_Inventory[[#This Row],[land_value]]</f>
        <v>54403.117616176372</v>
      </c>
      <c r="BT181" s="4">
        <f>_xlfn.IFNA(VLOOKUP(Grandview_Inventory[[#This Row],[quality]],Lookups!$A$26:$C$33,3,FALSE),1)</f>
        <v>0.98079741117310582</v>
      </c>
      <c r="BU181" s="4">
        <f>_xlfn.IFNA(VLOOKUP(Grandview_Inventory[[#This Row],[condition]],Lookups!$A$37:$C$44,3,FALSE),1)</f>
        <v>0.97161819570155394</v>
      </c>
      <c r="BV181" s="4">
        <f>IF(Grandview_Inventory[[#This Row],[bldg_style]]="",1,_xlfn.IFNA(VLOOKUP(Grandview_Inventory[[#This Row],[decade]],Lookups!$F$29:$H$43,3,FALSE),1))</f>
        <v>0.9871940091910919</v>
      </c>
      <c r="BW181" s="4">
        <f>_xlfn.IFNA(VLOOKUP(Grandview_Inventory[[#This Row],[living_area_range]],Lookups!$F$47:$H$56,3,FALSE),1)</f>
        <v>0.96135087979789358</v>
      </c>
      <c r="BX181" s="4">
        <f>AVERAGE(Grandview_Inventory[[#This Row],[qual_adj]:[size_adj]])</f>
        <v>0.97524012396591131</v>
      </c>
      <c r="BY181" s="6">
        <f>IF(Grandview_Inventory[[#This Row],[pre_res]]&lt;0,0,Grandview_Inventory[[#This Row],[pre_res]]*Grandview_Inventory[[#This Row],[overall_adj]])</f>
        <v>207984.35279000603</v>
      </c>
      <c r="BZ181" s="6">
        <f>(Grandview_Inventory[[#This Row],[sum_land]]-IF(Grandview_Inventory[[#This Row],[no_utilities]]=1,12000,0))/IF(Grandview_Inventory[[#This Row],[unbuildable]]=1,2,1)</f>
        <v>54403.117616176372</v>
      </c>
      <c r="CA181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81">
        <f>ROUND(Grandview_Inventory[[#This Row],[det_value]]*Lookups!$M$28,-2)</f>
        <v>0</v>
      </c>
      <c r="CC181">
        <f>IF(ROUND(Grandview_Inventory[[#This Row],[adj_res]]*Lookups!$M$28,-2)&lt;Grandview_Inventory[[#This Row],[min_res]],Grandview_Inventory[[#This Row],[min_res]],ROUND(Grandview_Inventory[[#This Row],[adj_res]]*Lookups!$M$28,-2))</f>
        <v>197600</v>
      </c>
      <c r="CD181">
        <f>Grandview_Inventory[[#This Row],[final_det]]+Grandview_Inventory[[#This Row],[final_res]]</f>
        <v>197600</v>
      </c>
      <c r="CE181">
        <f>Grandview_Inventory[[#This Row],[final_land]]+Grandview_Inventory[[#This Row],[final_imp]]+Grandview_Inventory[[#This Row],[crop_value]]</f>
        <v>249300</v>
      </c>
      <c r="CG181" t="str">
        <f t="shared" si="2"/>
        <v>update valuation set market_land =51700, market_bldg=197600, market_total =249300, market_mdno =401, market_date ='9/10/2023' where link_id = (select link_id from parcel where parcel_year = '2024' and parcel_id = '23091433551');</v>
      </c>
    </row>
    <row r="182" spans="1:85" x14ac:dyDescent="0.25">
      <c r="A182">
        <v>23091433552</v>
      </c>
      <c r="B182">
        <v>0.27</v>
      </c>
      <c r="C182">
        <v>11552</v>
      </c>
      <c r="D182" t="s">
        <v>129</v>
      </c>
      <c r="E182" t="s">
        <v>53</v>
      </c>
      <c r="F182" t="s">
        <v>53</v>
      </c>
      <c r="G182">
        <v>4</v>
      </c>
      <c r="H182" t="s">
        <v>54</v>
      </c>
      <c r="I182">
        <v>151000</v>
      </c>
      <c r="J182">
        <v>40200</v>
      </c>
      <c r="K182">
        <v>0.27</v>
      </c>
      <c r="L18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82">
        <v>0</v>
      </c>
      <c r="N182">
        <v>0</v>
      </c>
      <c r="O182">
        <v>0</v>
      </c>
      <c r="P182">
        <v>13398.7528</v>
      </c>
      <c r="Q182">
        <v>63903</v>
      </c>
      <c r="R182">
        <f>(Grandview_Inventory[[#This Row],[ln_acres]]*Grandview_Inventory[[#This Row],[coeff]])+Grandview_Inventory[[#This Row],[const]]</f>
        <v>46359.566512734265</v>
      </c>
      <c r="S182" t="s">
        <v>61</v>
      </c>
      <c r="T182">
        <v>1</v>
      </c>
      <c r="U182" t="s">
        <v>70</v>
      </c>
      <c r="V182" t="s">
        <v>69</v>
      </c>
      <c r="W182">
        <v>0</v>
      </c>
      <c r="X182">
        <v>0</v>
      </c>
      <c r="Y182">
        <v>43</v>
      </c>
      <c r="Z182">
        <v>44</v>
      </c>
      <c r="AA182">
        <v>50</v>
      </c>
      <c r="AB182">
        <v>1500</v>
      </c>
      <c r="AC182">
        <v>1008</v>
      </c>
      <c r="AD182">
        <v>1008</v>
      </c>
      <c r="AE182">
        <v>0</v>
      </c>
      <c r="AF182">
        <v>0</v>
      </c>
      <c r="AG182">
        <v>0</v>
      </c>
      <c r="AH182">
        <v>0</v>
      </c>
      <c r="AI182">
        <v>336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5</v>
      </c>
      <c r="AQ182">
        <v>0</v>
      </c>
      <c r="AR182">
        <v>0</v>
      </c>
      <c r="AS182" t="s">
        <v>58</v>
      </c>
      <c r="AT182">
        <v>1</v>
      </c>
      <c r="AU182" t="s">
        <v>75</v>
      </c>
      <c r="AV182" t="s">
        <v>60</v>
      </c>
      <c r="AW182">
        <v>0</v>
      </c>
      <c r="AX182">
        <v>3</v>
      </c>
      <c r="AY182">
        <v>0</v>
      </c>
      <c r="AZ182">
        <v>0</v>
      </c>
      <c r="BA182">
        <v>100</v>
      </c>
      <c r="BB182">
        <v>100</v>
      </c>
      <c r="BC182">
        <v>100</v>
      </c>
      <c r="BD182">
        <v>100</v>
      </c>
      <c r="BE182">
        <v>1</v>
      </c>
      <c r="BF182">
        <v>15000</v>
      </c>
      <c r="BG182">
        <v>1000</v>
      </c>
      <c r="BH182" s="6">
        <f>Grandview_Inventory[[#This Row],[land_extract]]*Lookups!$B$3</f>
        <v>53837.239420408718</v>
      </c>
      <c r="BI182" s="6">
        <f>IF(Grandview_Inventory[[#This Row],[bldg_style]]="",0,Lookups!$B$2)</f>
        <v>155833.95000000001</v>
      </c>
      <c r="BJ182" s="6">
        <f>_xlfn.IFNA(VLOOKUP(Grandview_Inventory[[#This Row],[quality]],Lookups!$H$2:$J$14,3,FALSE),0)</f>
        <v>10733</v>
      </c>
      <c r="BK182" s="6">
        <f>_xlfn.IFNA(VLOOKUP(Grandview_Inventory[[#This Row],[condition]],Lookups!$H$17:$J$24,3,FALSE),0)</f>
        <v>-4503</v>
      </c>
      <c r="BL182" s="6">
        <f>Grandview_Inventory[[#This Row],[Eff_Age]]*Lookups!$B$14</f>
        <v>-10284.1638</v>
      </c>
      <c r="BM182" s="6">
        <f>Grandview_Inventory[[#This Row],[living_area]]*Lookups!$B$15</f>
        <v>62879.899824</v>
      </c>
      <c r="BN182" s="6">
        <f>Grandview_Inventory[[#This Row],[Fin BSMT]]*Lookups!$B$16</f>
        <v>0</v>
      </c>
      <c r="BO182" s="6">
        <f>(Grandview_Inventory[[#This Row],[att_gar]]+Grandview_Inventory[[#This Row],[bltin_gar]])*Lookups!$B$17</f>
        <v>29406.866832</v>
      </c>
      <c r="BP182" s="6">
        <f>Grandview_Inventory[[#This Row],[Plumbing Fixtures]]*Lookups!$B$18</f>
        <v>10052.209000000001</v>
      </c>
      <c r="BQ182" s="6">
        <f>Grandview_Inventory[[#This Row],[detatched_value]]*Lookups!$B$19</f>
        <v>0</v>
      </c>
      <c r="BR182" s="6">
        <f>SUM(Grandview_Inventory[[#This Row],[Intercept]:[det_value]])*Grandview_Inventory[[#This Row],[res_pct]]</f>
        <v>254118.761856</v>
      </c>
      <c r="BS182" s="6">
        <f>Grandview_Inventory[[#This Row],[land_value]]</f>
        <v>53837.239420408718</v>
      </c>
      <c r="BT182" s="4">
        <f>_xlfn.IFNA(VLOOKUP(Grandview_Inventory[[#This Row],[quality]],Lookups!$A$26:$C$33,3,FALSE),1)</f>
        <v>0.98079741117310582</v>
      </c>
      <c r="BU182" s="4">
        <f>_xlfn.IFNA(VLOOKUP(Grandview_Inventory[[#This Row],[condition]],Lookups!$A$37:$C$44,3,FALSE),1)</f>
        <v>0.96469275950863709</v>
      </c>
      <c r="BV182" s="4">
        <f>IF(Grandview_Inventory[[#This Row],[bldg_style]]="",1,_xlfn.IFNA(VLOOKUP(Grandview_Inventory[[#This Row],[decade]],Lookups!$F$29:$H$43,3,FALSE),1))</f>
        <v>0.9871940091910919</v>
      </c>
      <c r="BW182" s="4">
        <f>_xlfn.IFNA(VLOOKUP(Grandview_Inventory[[#This Row],[living_area_range]],Lookups!$F$47:$H$56,3,FALSE),1)</f>
        <v>0.96135087979789358</v>
      </c>
      <c r="BX182" s="4">
        <f>AVERAGE(Grandview_Inventory[[#This Row],[qual_adj]:[size_adj]])</f>
        <v>0.97350876491768212</v>
      </c>
      <c r="BY182" s="6">
        <f>IF(Grandview_Inventory[[#This Row],[pre_res]]&lt;0,0,Grandview_Inventory[[#This Row],[pre_res]]*Grandview_Inventory[[#This Row],[overall_adj]])</f>
        <v>247386.84199684515</v>
      </c>
      <c r="BZ182" s="6">
        <f>(Grandview_Inventory[[#This Row],[sum_land]]-IF(Grandview_Inventory[[#This Row],[no_utilities]]=1,12000,0))/IF(Grandview_Inventory[[#This Row],[unbuildable]]=1,2,1)</f>
        <v>53837.239420408718</v>
      </c>
      <c r="CA18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82">
        <f>ROUND(Grandview_Inventory[[#This Row],[det_value]]*Lookups!$M$28,-2)</f>
        <v>0</v>
      </c>
      <c r="CC182">
        <f>IF(ROUND(Grandview_Inventory[[#This Row],[adj_res]]*Lookups!$M$28,-2)&lt;Grandview_Inventory[[#This Row],[min_res]],Grandview_Inventory[[#This Row],[min_res]],ROUND(Grandview_Inventory[[#This Row],[adj_res]]*Lookups!$M$28,-2))</f>
        <v>235000</v>
      </c>
      <c r="CD182">
        <f>Grandview_Inventory[[#This Row],[final_det]]+Grandview_Inventory[[#This Row],[final_res]]</f>
        <v>235000</v>
      </c>
      <c r="CE182">
        <f>Grandview_Inventory[[#This Row],[final_land]]+Grandview_Inventory[[#This Row],[final_imp]]+Grandview_Inventory[[#This Row],[crop_value]]</f>
        <v>286100</v>
      </c>
      <c r="CG182" t="str">
        <f t="shared" si="2"/>
        <v>update valuation set market_land =51100, market_bldg=235000, market_total =286100, market_mdno =401, market_date ='9/10/2023' where link_id = (select link_id from parcel where parcel_year = '2024' and parcel_id = '23091433552');</v>
      </c>
    </row>
    <row r="183" spans="1:85" x14ac:dyDescent="0.25">
      <c r="A183">
        <v>23091433553</v>
      </c>
      <c r="B183">
        <v>0.66</v>
      </c>
      <c r="C183" t="s">
        <v>129</v>
      </c>
      <c r="D183" t="s">
        <v>129</v>
      </c>
      <c r="E183" t="s">
        <v>53</v>
      </c>
      <c r="F183" t="s">
        <v>53</v>
      </c>
      <c r="G183">
        <v>4</v>
      </c>
      <c r="H183" t="s">
        <v>54</v>
      </c>
      <c r="I183">
        <v>239600</v>
      </c>
      <c r="J183">
        <v>42600</v>
      </c>
      <c r="K183">
        <v>0.66</v>
      </c>
      <c r="L183">
        <f>IF(Grandview_Inventory[[#This Row],[parcel_acres]]-Grandview_Inventory[[#This Row],[non_valued_acres]] =0,0,LN(Grandview_Inventory[[#This Row],[parcel_acres]]-Grandview_Inventory[[#This Row],[non_valued_acres]]))</f>
        <v>-0.41551544396166579</v>
      </c>
      <c r="M183">
        <v>0</v>
      </c>
      <c r="N183">
        <v>0</v>
      </c>
      <c r="O183">
        <v>0</v>
      </c>
      <c r="P183">
        <v>13398.7528</v>
      </c>
      <c r="Q183">
        <v>63903</v>
      </c>
      <c r="R183">
        <f>(Grandview_Inventory[[#This Row],[ln_acres]]*Grandview_Inventory[[#This Row],[coeff]])+Grandview_Inventory[[#This Row],[const]]</f>
        <v>58335.611281775389</v>
      </c>
      <c r="S183" t="s">
        <v>61</v>
      </c>
      <c r="T183">
        <v>1</v>
      </c>
      <c r="U183" t="s">
        <v>65</v>
      </c>
      <c r="V183" t="s">
        <v>67</v>
      </c>
      <c r="W183">
        <v>0</v>
      </c>
      <c r="X183">
        <v>0</v>
      </c>
      <c r="Y183">
        <v>46</v>
      </c>
      <c r="Z183">
        <v>53</v>
      </c>
      <c r="AA183">
        <v>60</v>
      </c>
      <c r="AB183">
        <v>1500</v>
      </c>
      <c r="AC183">
        <v>1464</v>
      </c>
      <c r="AD183">
        <v>1464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610</v>
      </c>
      <c r="AN183">
        <v>64</v>
      </c>
      <c r="AO183">
        <v>610</v>
      </c>
      <c r="AP183">
        <v>8</v>
      </c>
      <c r="AQ183">
        <v>1</v>
      </c>
      <c r="AR183">
        <v>0</v>
      </c>
      <c r="AS183" t="s">
        <v>58</v>
      </c>
      <c r="AT183">
        <v>1</v>
      </c>
      <c r="AU183" t="s">
        <v>59</v>
      </c>
      <c r="AV183" t="s">
        <v>60</v>
      </c>
      <c r="AW183">
        <v>1</v>
      </c>
      <c r="AX183">
        <v>3</v>
      </c>
      <c r="AY183">
        <v>0</v>
      </c>
      <c r="AZ183">
        <v>27700</v>
      </c>
      <c r="BA183">
        <v>100</v>
      </c>
      <c r="BB183">
        <v>100</v>
      </c>
      <c r="BC183">
        <v>100</v>
      </c>
      <c r="BD183">
        <v>100</v>
      </c>
      <c r="BE183">
        <v>1</v>
      </c>
      <c r="BF183">
        <v>15000</v>
      </c>
      <c r="BG183">
        <v>1000</v>
      </c>
      <c r="BH183" s="6">
        <f>Grandview_Inventory[[#This Row],[land_extract]]*Lookups!$B$3</f>
        <v>67744.9878753753</v>
      </c>
      <c r="BI183" s="6">
        <f>IF(Grandview_Inventory[[#This Row],[bldg_style]]="",0,Lookups!$B$2)</f>
        <v>155833.95000000001</v>
      </c>
      <c r="BJ183" s="6">
        <f>_xlfn.IFNA(VLOOKUP(Grandview_Inventory[[#This Row],[quality]],Lookups!$H$2:$J$14,3,FALSE),0)</f>
        <v>2251</v>
      </c>
      <c r="BK183" s="6">
        <f>_xlfn.IFNA(VLOOKUP(Grandview_Inventory[[#This Row],[condition]],Lookups!$H$17:$J$24,3,FALSE),0)</f>
        <v>22342</v>
      </c>
      <c r="BL183" s="6">
        <f>Grandview_Inventory[[#This Row],[Eff_Age]]*Lookups!$B$14</f>
        <v>-11001.6636</v>
      </c>
      <c r="BM183" s="6">
        <f>Grandview_Inventory[[#This Row],[living_area]]*Lookups!$B$15</f>
        <v>91325.568792000005</v>
      </c>
      <c r="BN183" s="6">
        <f>Grandview_Inventory[[#This Row],[Fin BSMT]]*Lookups!$B$16</f>
        <v>0</v>
      </c>
      <c r="BO183" s="6">
        <f>(Grandview_Inventory[[#This Row],[att_gar]]+Grandview_Inventory[[#This Row],[bltin_gar]])*Lookups!$B$17</f>
        <v>0</v>
      </c>
      <c r="BP183" s="6">
        <f>Grandview_Inventory[[#This Row],[Plumbing Fixtures]]*Lookups!$B$18</f>
        <v>16083.5344</v>
      </c>
      <c r="BQ183" s="6">
        <f>Grandview_Inventory[[#This Row],[detatched_value]]*Lookups!$B$19</f>
        <v>23456.501270000001</v>
      </c>
      <c r="BR183" s="6">
        <f>SUM(Grandview_Inventory[[#This Row],[Intercept]:[det_value]])*Grandview_Inventory[[#This Row],[res_pct]]</f>
        <v>300290.890862</v>
      </c>
      <c r="BS183" s="6">
        <f>Grandview_Inventory[[#This Row],[land_value]]</f>
        <v>67744.9878753753</v>
      </c>
      <c r="BT183" s="4">
        <f>_xlfn.IFNA(VLOOKUP(Grandview_Inventory[[#This Row],[quality]],Lookups!$A$26:$C$33,3,FALSE),1)</f>
        <v>0.98763855981004833</v>
      </c>
      <c r="BU183" s="4">
        <f>_xlfn.IFNA(VLOOKUP(Grandview_Inventory[[#This Row],[condition]],Lookups!$A$37:$C$44,3,FALSE),1)</f>
        <v>0.97383723671140243</v>
      </c>
      <c r="BV183" s="4">
        <f>IF(Grandview_Inventory[[#This Row],[bldg_style]]="",1,_xlfn.IFNA(VLOOKUP(Grandview_Inventory[[#This Row],[decade]],Lookups!$F$29:$H$43,3,FALSE),1))</f>
        <v>0.95268620544463312</v>
      </c>
      <c r="BW183" s="4">
        <f>_xlfn.IFNA(VLOOKUP(Grandview_Inventory[[#This Row],[living_area_range]],Lookups!$F$47:$H$56,3,FALSE),1)</f>
        <v>0.96135087979789358</v>
      </c>
      <c r="BX183" s="4">
        <f>AVERAGE(Grandview_Inventory[[#This Row],[qual_adj]:[size_adj]])</f>
        <v>0.96887822044099436</v>
      </c>
      <c r="BY183" s="6">
        <f>IF(Grandview_Inventory[[#This Row],[pre_res]]&lt;0,0,Grandview_Inventory[[#This Row],[pre_res]]*Grandview_Inventory[[#This Row],[overall_adj]])</f>
        <v>290945.30395301542</v>
      </c>
      <c r="BZ183" s="6">
        <f>(Grandview_Inventory[[#This Row],[sum_land]]-IF(Grandview_Inventory[[#This Row],[no_utilities]]=1,12000,0))/IF(Grandview_Inventory[[#This Row],[unbuildable]]=1,2,1)</f>
        <v>67744.9878753753</v>
      </c>
      <c r="CA183">
        <f>IF(ROUND(Grandview_Inventory[[#This Row],[adj_land]]*Lookups!$M$28,-2)&lt;Grandview_Inventory[[#This Row],[min_land]],Grandview_Inventory[[#This Row],[min_land]],ROUND(Grandview_Inventory[[#This Row],[adj_land]]*Lookups!$M$28,-2))</f>
        <v>64400</v>
      </c>
      <c r="CB183">
        <f>ROUND(Grandview_Inventory[[#This Row],[det_value]]*Lookups!$M$28,-2)</f>
        <v>22300</v>
      </c>
      <c r="CC183">
        <f>IF(ROUND(Grandview_Inventory[[#This Row],[adj_res]]*Lookups!$M$28,-2)&lt;Grandview_Inventory[[#This Row],[min_res]],Grandview_Inventory[[#This Row],[min_res]],ROUND(Grandview_Inventory[[#This Row],[adj_res]]*Lookups!$M$28,-2))</f>
        <v>276400</v>
      </c>
      <c r="CD183">
        <f>Grandview_Inventory[[#This Row],[final_det]]+Grandview_Inventory[[#This Row],[final_res]]</f>
        <v>298700</v>
      </c>
      <c r="CE183">
        <f>Grandview_Inventory[[#This Row],[final_land]]+Grandview_Inventory[[#This Row],[final_imp]]+Grandview_Inventory[[#This Row],[crop_value]]</f>
        <v>363100</v>
      </c>
      <c r="CG183" t="str">
        <f t="shared" si="2"/>
        <v>update valuation set market_land =64400, market_bldg=298700, market_total =363100, market_mdno =401, market_date ='9/10/2023' where link_id = (select link_id from parcel where parcel_year = '2024' and parcel_id = '23091433553');</v>
      </c>
    </row>
    <row r="184" spans="1:85" x14ac:dyDescent="0.25">
      <c r="A184">
        <v>23091433555</v>
      </c>
      <c r="B184">
        <v>0.52</v>
      </c>
      <c r="C184">
        <v>22517</v>
      </c>
      <c r="D184" t="s">
        <v>129</v>
      </c>
      <c r="E184" t="s">
        <v>53</v>
      </c>
      <c r="F184" t="s">
        <v>53</v>
      </c>
      <c r="G184">
        <v>4</v>
      </c>
      <c r="H184" t="s">
        <v>54</v>
      </c>
      <c r="I184">
        <v>129500</v>
      </c>
      <c r="J184">
        <v>41900</v>
      </c>
      <c r="K184">
        <v>0.52</v>
      </c>
      <c r="L184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184">
        <v>0</v>
      </c>
      <c r="N184">
        <v>0</v>
      </c>
      <c r="O184">
        <v>0</v>
      </c>
      <c r="P184">
        <v>13398.7528</v>
      </c>
      <c r="Q184">
        <v>63903</v>
      </c>
      <c r="R184">
        <f>(Grandview_Inventory[[#This Row],[ln_acres]]*Grandview_Inventory[[#This Row],[coeff]])+Grandview_Inventory[[#This Row],[const]]</f>
        <v>55141.200913840854</v>
      </c>
      <c r="S184" t="s">
        <v>68</v>
      </c>
      <c r="T184">
        <v>1</v>
      </c>
      <c r="U184" t="s">
        <v>70</v>
      </c>
      <c r="V184" t="s">
        <v>69</v>
      </c>
      <c r="W184">
        <v>0</v>
      </c>
      <c r="X184">
        <v>0</v>
      </c>
      <c r="Y184">
        <v>51</v>
      </c>
      <c r="Z184">
        <v>81</v>
      </c>
      <c r="AA184">
        <v>90</v>
      </c>
      <c r="AB184">
        <v>1000</v>
      </c>
      <c r="AC184">
        <v>952</v>
      </c>
      <c r="AD184">
        <v>952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5</v>
      </c>
      <c r="AQ184">
        <v>0</v>
      </c>
      <c r="AR184">
        <v>0</v>
      </c>
      <c r="AS184" t="s">
        <v>58</v>
      </c>
      <c r="AT184">
        <v>1</v>
      </c>
      <c r="AU184" t="s">
        <v>63</v>
      </c>
      <c r="AV184" t="s">
        <v>60</v>
      </c>
      <c r="AW184">
        <v>0</v>
      </c>
      <c r="AX184">
        <v>3</v>
      </c>
      <c r="AY184">
        <v>0</v>
      </c>
      <c r="AZ184">
        <v>8100</v>
      </c>
      <c r="BA184">
        <v>100</v>
      </c>
      <c r="BB184">
        <v>100</v>
      </c>
      <c r="BC184">
        <v>100</v>
      </c>
      <c r="BD184">
        <v>100</v>
      </c>
      <c r="BE184">
        <v>1</v>
      </c>
      <c r="BF184">
        <v>15000</v>
      </c>
      <c r="BG184">
        <v>1000</v>
      </c>
      <c r="BH184" s="6">
        <f>Grandview_Inventory[[#This Row],[land_extract]]*Lookups!$B$3</f>
        <v>64035.327740000917</v>
      </c>
      <c r="BI184" s="6">
        <f>IF(Grandview_Inventory[[#This Row],[bldg_style]]="",0,Lookups!$B$2)</f>
        <v>155833.95000000001</v>
      </c>
      <c r="BJ184" s="6">
        <f>_xlfn.IFNA(VLOOKUP(Grandview_Inventory[[#This Row],[quality]],Lookups!$H$2:$J$14,3,FALSE),0)</f>
        <v>10733</v>
      </c>
      <c r="BK184" s="6">
        <f>_xlfn.IFNA(VLOOKUP(Grandview_Inventory[[#This Row],[condition]],Lookups!$H$17:$J$24,3,FALSE),0)</f>
        <v>-4503</v>
      </c>
      <c r="BL184" s="6">
        <f>Grandview_Inventory[[#This Row],[Eff_Age]]*Lookups!$B$14</f>
        <v>-12197.496599999999</v>
      </c>
      <c r="BM184" s="6">
        <f>Grandview_Inventory[[#This Row],[living_area]]*Lookups!$B$15</f>
        <v>59386.572056000005</v>
      </c>
      <c r="BN184" s="6">
        <f>Grandview_Inventory[[#This Row],[Fin BSMT]]*Lookups!$B$16</f>
        <v>0</v>
      </c>
      <c r="BO184" s="6">
        <f>(Grandview_Inventory[[#This Row],[att_gar]]+Grandview_Inventory[[#This Row],[bltin_gar]])*Lookups!$B$17</f>
        <v>0</v>
      </c>
      <c r="BP184" s="6">
        <f>Grandview_Inventory[[#This Row],[Plumbing Fixtures]]*Lookups!$B$18</f>
        <v>10052.209000000001</v>
      </c>
      <c r="BQ184" s="6">
        <f>Grandview_Inventory[[#This Row],[detatched_value]]*Lookups!$B$19</f>
        <v>6859.1213099999995</v>
      </c>
      <c r="BR184" s="6">
        <f>SUM(Grandview_Inventory[[#This Row],[Intercept]:[det_value]])*Grandview_Inventory[[#This Row],[res_pct]]</f>
        <v>226164.35576599999</v>
      </c>
      <c r="BS184" s="6">
        <f>Grandview_Inventory[[#This Row],[land_value]]</f>
        <v>64035.327740000917</v>
      </c>
      <c r="BT184" s="4">
        <f>_xlfn.IFNA(VLOOKUP(Grandview_Inventory[[#This Row],[quality]],Lookups!$A$26:$C$33,3,FALSE),1)</f>
        <v>0.98079741117310582</v>
      </c>
      <c r="BU184" s="4">
        <f>_xlfn.IFNA(VLOOKUP(Grandview_Inventory[[#This Row],[condition]],Lookups!$A$37:$C$44,3,FALSE),1)</f>
        <v>0.96469275950863709</v>
      </c>
      <c r="BV184" s="4">
        <f>IF(Grandview_Inventory[[#This Row],[bldg_style]]="",1,_xlfn.IFNA(VLOOKUP(Grandview_Inventory[[#This Row],[decade]],Lookups!$F$29:$H$43,3,FALSE),1))</f>
        <v>0.94161750052457416</v>
      </c>
      <c r="BW184" s="4">
        <f>_xlfn.IFNA(VLOOKUP(Grandview_Inventory[[#This Row],[living_area_range]],Lookups!$F$47:$H$56,3,FALSE),1)</f>
        <v>0.94306777142782894</v>
      </c>
      <c r="BX184" s="4">
        <f>AVERAGE(Grandview_Inventory[[#This Row],[qual_adj]:[size_adj]])</f>
        <v>0.95754386065853647</v>
      </c>
      <c r="BY184" s="6">
        <f>IF(Grandview_Inventory[[#This Row],[pre_res]]&lt;0,0,Grandview_Inventory[[#This Row],[pre_res]]*Grandview_Inventory[[#This Row],[overall_adj]])</f>
        <v>216562.29036352638</v>
      </c>
      <c r="BZ184" s="6">
        <f>(Grandview_Inventory[[#This Row],[sum_land]]-IF(Grandview_Inventory[[#This Row],[no_utilities]]=1,12000,0))/IF(Grandview_Inventory[[#This Row],[unbuildable]]=1,2,1)</f>
        <v>64035.327740000917</v>
      </c>
      <c r="CA184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184">
        <f>ROUND(Grandview_Inventory[[#This Row],[det_value]]*Lookups!$M$28,-2)</f>
        <v>6500</v>
      </c>
      <c r="CC184">
        <f>IF(ROUND(Grandview_Inventory[[#This Row],[adj_res]]*Lookups!$M$28,-2)&lt;Grandview_Inventory[[#This Row],[min_res]],Grandview_Inventory[[#This Row],[min_res]],ROUND(Grandview_Inventory[[#This Row],[adj_res]]*Lookups!$M$28,-2))</f>
        <v>205700</v>
      </c>
      <c r="CD184">
        <f>Grandview_Inventory[[#This Row],[final_det]]+Grandview_Inventory[[#This Row],[final_res]]</f>
        <v>212200</v>
      </c>
      <c r="CE184">
        <f>Grandview_Inventory[[#This Row],[final_land]]+Grandview_Inventory[[#This Row],[final_imp]]+Grandview_Inventory[[#This Row],[crop_value]]</f>
        <v>273000</v>
      </c>
      <c r="CG184" t="str">
        <f t="shared" si="2"/>
        <v>update valuation set market_land =60800, market_bldg=212200, market_total =273000, market_mdno =401, market_date ='9/10/2023' where link_id = (select link_id from parcel where parcel_year = '2024' and parcel_id = '23091433555');</v>
      </c>
    </row>
    <row r="185" spans="1:85" x14ac:dyDescent="0.25">
      <c r="A185">
        <v>23091433556</v>
      </c>
      <c r="B185">
        <v>0.23</v>
      </c>
      <c r="C185">
        <v>9995</v>
      </c>
      <c r="D185" t="s">
        <v>129</v>
      </c>
      <c r="E185" t="s">
        <v>53</v>
      </c>
      <c r="F185" t="s">
        <v>53</v>
      </c>
      <c r="G185">
        <v>4</v>
      </c>
      <c r="H185" t="s">
        <v>54</v>
      </c>
      <c r="I185">
        <v>129100</v>
      </c>
      <c r="J185">
        <v>39500</v>
      </c>
      <c r="K185">
        <v>0.23</v>
      </c>
      <c r="L18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5">
        <v>0</v>
      </c>
      <c r="N185">
        <v>0</v>
      </c>
      <c r="O185">
        <v>0</v>
      </c>
      <c r="P185">
        <v>13398.7528</v>
      </c>
      <c r="Q185">
        <v>63903</v>
      </c>
      <c r="R185">
        <f>(Grandview_Inventory[[#This Row],[ln_acres]]*Grandview_Inventory[[#This Row],[coeff]])+Grandview_Inventory[[#This Row],[const]]</f>
        <v>44211.174981080039</v>
      </c>
      <c r="S185" t="s">
        <v>68</v>
      </c>
      <c r="T185">
        <v>1</v>
      </c>
      <c r="U185" t="s">
        <v>70</v>
      </c>
      <c r="V185" t="s">
        <v>69</v>
      </c>
      <c r="W185">
        <v>0</v>
      </c>
      <c r="X185">
        <v>0</v>
      </c>
      <c r="Y185">
        <v>51</v>
      </c>
      <c r="Z185">
        <v>78</v>
      </c>
      <c r="AA185">
        <v>80</v>
      </c>
      <c r="AB185">
        <v>1000</v>
      </c>
      <c r="AC185">
        <v>768</v>
      </c>
      <c r="AD185">
        <v>768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192</v>
      </c>
      <c r="AN185">
        <v>36</v>
      </c>
      <c r="AO185">
        <v>80</v>
      </c>
      <c r="AP185">
        <v>5</v>
      </c>
      <c r="AQ185">
        <v>1</v>
      </c>
      <c r="AR185">
        <v>0</v>
      </c>
      <c r="AS185" t="s">
        <v>58</v>
      </c>
      <c r="AT185">
        <v>1</v>
      </c>
      <c r="AU185" t="s">
        <v>63</v>
      </c>
      <c r="AV185" t="s">
        <v>60</v>
      </c>
      <c r="AW185">
        <v>0</v>
      </c>
      <c r="AX185">
        <v>2</v>
      </c>
      <c r="AY185">
        <v>0</v>
      </c>
      <c r="AZ185">
        <v>5900</v>
      </c>
      <c r="BA185">
        <v>100</v>
      </c>
      <c r="BB185">
        <v>100</v>
      </c>
      <c r="BC185">
        <v>100</v>
      </c>
      <c r="BD185">
        <v>100</v>
      </c>
      <c r="BE185">
        <v>1</v>
      </c>
      <c r="BF185">
        <v>15000</v>
      </c>
      <c r="BG185">
        <v>1000</v>
      </c>
      <c r="BH185" s="6">
        <f>Grandview_Inventory[[#This Row],[land_extract]]*Lookups!$B$3</f>
        <v>51342.318135355803</v>
      </c>
      <c r="BI185" s="6">
        <f>IF(Grandview_Inventory[[#This Row],[bldg_style]]="",0,Lookups!$B$2)</f>
        <v>155833.95000000001</v>
      </c>
      <c r="BJ185" s="6">
        <f>_xlfn.IFNA(VLOOKUP(Grandview_Inventory[[#This Row],[quality]],Lookups!$H$2:$J$14,3,FALSE),0)</f>
        <v>10733</v>
      </c>
      <c r="BK185" s="6">
        <f>_xlfn.IFNA(VLOOKUP(Grandview_Inventory[[#This Row],[condition]],Lookups!$H$17:$J$24,3,FALSE),0)</f>
        <v>-4503</v>
      </c>
      <c r="BL185" s="6">
        <f>Grandview_Inventory[[#This Row],[Eff_Age]]*Lookups!$B$14</f>
        <v>-12197.496599999999</v>
      </c>
      <c r="BM185" s="6">
        <f>Grandview_Inventory[[#This Row],[living_area]]*Lookups!$B$15</f>
        <v>47908.495104000001</v>
      </c>
      <c r="BN185" s="6">
        <f>Grandview_Inventory[[#This Row],[Fin BSMT]]*Lookups!$B$16</f>
        <v>0</v>
      </c>
      <c r="BO185" s="6">
        <f>(Grandview_Inventory[[#This Row],[att_gar]]+Grandview_Inventory[[#This Row],[bltin_gar]])*Lookups!$B$17</f>
        <v>0</v>
      </c>
      <c r="BP185" s="6">
        <f>Grandview_Inventory[[#This Row],[Plumbing Fixtures]]*Lookups!$B$18</f>
        <v>10052.209000000001</v>
      </c>
      <c r="BQ185" s="6">
        <f>Grandview_Inventory[[#This Row],[detatched_value]]*Lookups!$B$19</f>
        <v>4996.1500900000001</v>
      </c>
      <c r="BR185" s="6">
        <f>SUM(Grandview_Inventory[[#This Row],[Intercept]:[det_value]])*Grandview_Inventory[[#This Row],[res_pct]]</f>
        <v>212823.30759400001</v>
      </c>
      <c r="BS185" s="6">
        <f>Grandview_Inventory[[#This Row],[land_value]]</f>
        <v>51342.318135355803</v>
      </c>
      <c r="BT185" s="4">
        <f>_xlfn.IFNA(VLOOKUP(Grandview_Inventory[[#This Row],[quality]],Lookups!$A$26:$C$33,3,FALSE),1)</f>
        <v>0.98079741117310582</v>
      </c>
      <c r="BU185" s="4">
        <f>_xlfn.IFNA(VLOOKUP(Grandview_Inventory[[#This Row],[condition]],Lookups!$A$37:$C$44,3,FALSE),1)</f>
        <v>0.96469275950863709</v>
      </c>
      <c r="BV185" s="4">
        <f>IF(Grandview_Inventory[[#This Row],[bldg_style]]="",1,_xlfn.IFNA(VLOOKUP(Grandview_Inventory[[#This Row],[decade]],Lookups!$F$29:$H$43,3,FALSE),1))</f>
        <v>0.98763256963907298</v>
      </c>
      <c r="BW185" s="4">
        <f>_xlfn.IFNA(VLOOKUP(Grandview_Inventory[[#This Row],[living_area_range]],Lookups!$F$47:$H$56,3,FALSE),1)</f>
        <v>0.94306777142782894</v>
      </c>
      <c r="BX185" s="4">
        <f>AVERAGE(Grandview_Inventory[[#This Row],[qual_adj]:[size_adj]])</f>
        <v>0.96904762793716115</v>
      </c>
      <c r="BY185" s="6">
        <f>IF(Grandview_Inventory[[#This Row],[pre_res]]&lt;0,0,Grandview_Inventory[[#This Row],[pre_res]]*Grandview_Inventory[[#This Row],[overall_adj]])</f>
        <v>206235.92139370652</v>
      </c>
      <c r="BZ185" s="6">
        <f>(Grandview_Inventory[[#This Row],[sum_land]]-IF(Grandview_Inventory[[#This Row],[no_utilities]]=1,12000,0))/IF(Grandview_Inventory[[#This Row],[unbuildable]]=1,2,1)</f>
        <v>51342.318135355803</v>
      </c>
      <c r="CA18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5">
        <f>ROUND(Grandview_Inventory[[#This Row],[det_value]]*Lookups!$M$28,-2)</f>
        <v>4700</v>
      </c>
      <c r="CC185">
        <f>IF(ROUND(Grandview_Inventory[[#This Row],[adj_res]]*Lookups!$M$28,-2)&lt;Grandview_Inventory[[#This Row],[min_res]],Grandview_Inventory[[#This Row],[min_res]],ROUND(Grandview_Inventory[[#This Row],[adj_res]]*Lookups!$M$28,-2))</f>
        <v>195900</v>
      </c>
      <c r="CD185">
        <f>Grandview_Inventory[[#This Row],[final_det]]+Grandview_Inventory[[#This Row],[final_res]]</f>
        <v>200600</v>
      </c>
      <c r="CE185">
        <f>Grandview_Inventory[[#This Row],[final_land]]+Grandview_Inventory[[#This Row],[final_imp]]+Grandview_Inventory[[#This Row],[crop_value]]</f>
        <v>249400</v>
      </c>
      <c r="CG185" t="str">
        <f t="shared" si="2"/>
        <v>update valuation set market_land =48800, market_bldg=200600, market_total =249400, market_mdno =401, market_date ='9/10/2023' where link_id = (select link_id from parcel where parcel_year = '2024' and parcel_id = '23091433556');</v>
      </c>
    </row>
    <row r="186" spans="1:85" x14ac:dyDescent="0.25">
      <c r="A186">
        <v>23091433558</v>
      </c>
      <c r="B186">
        <v>0.28999999999999998</v>
      </c>
      <c r="C186" t="s">
        <v>129</v>
      </c>
      <c r="D186" t="s">
        <v>129</v>
      </c>
      <c r="E186" t="s">
        <v>53</v>
      </c>
      <c r="F186" t="s">
        <v>53</v>
      </c>
      <c r="G186">
        <v>4</v>
      </c>
      <c r="H186" t="s">
        <v>54</v>
      </c>
      <c r="I186">
        <v>269500</v>
      </c>
      <c r="J186">
        <v>40500</v>
      </c>
      <c r="K186">
        <v>0.28999999999999998</v>
      </c>
      <c r="L186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86">
        <v>0</v>
      </c>
      <c r="N186">
        <v>0</v>
      </c>
      <c r="O186">
        <v>0</v>
      </c>
      <c r="P186">
        <v>13398.7528</v>
      </c>
      <c r="Q186">
        <v>63903</v>
      </c>
      <c r="R186">
        <f>(Grandview_Inventory[[#This Row],[ln_acres]]*Grandview_Inventory[[#This Row],[coeff]])+Grandview_Inventory[[#This Row],[const]]</f>
        <v>47317.027506475133</v>
      </c>
      <c r="S186" t="s">
        <v>58</v>
      </c>
      <c r="T186">
        <v>1</v>
      </c>
      <c r="U186" t="s">
        <v>62</v>
      </c>
      <c r="V186" t="s">
        <v>66</v>
      </c>
      <c r="W186">
        <v>0</v>
      </c>
      <c r="X186">
        <v>0</v>
      </c>
      <c r="Y186">
        <v>9</v>
      </c>
      <c r="Z186">
        <v>9</v>
      </c>
      <c r="AA186">
        <v>10</v>
      </c>
      <c r="AB186">
        <v>2000</v>
      </c>
      <c r="AC186">
        <v>1506</v>
      </c>
      <c r="AD186">
        <v>1506</v>
      </c>
      <c r="AE186">
        <v>0</v>
      </c>
      <c r="AF186">
        <v>0</v>
      </c>
      <c r="AG186">
        <v>0</v>
      </c>
      <c r="AH186">
        <v>0</v>
      </c>
      <c r="AI186">
        <v>484</v>
      </c>
      <c r="AJ186">
        <v>0</v>
      </c>
      <c r="AK186">
        <v>0</v>
      </c>
      <c r="AL186">
        <v>0</v>
      </c>
      <c r="AM186">
        <v>0</v>
      </c>
      <c r="AN186">
        <v>838</v>
      </c>
      <c r="AO186">
        <v>0</v>
      </c>
      <c r="AP186">
        <v>8</v>
      </c>
      <c r="AQ186">
        <v>0</v>
      </c>
      <c r="AR186">
        <v>0</v>
      </c>
      <c r="AS186" t="s">
        <v>58</v>
      </c>
      <c r="AT186">
        <v>1</v>
      </c>
      <c r="AU186" t="s">
        <v>63</v>
      </c>
      <c r="AV186" t="s">
        <v>60</v>
      </c>
      <c r="AW186">
        <v>1</v>
      </c>
      <c r="AX186">
        <v>3</v>
      </c>
      <c r="AY186">
        <v>0</v>
      </c>
      <c r="AZ186">
        <v>0</v>
      </c>
      <c r="BA186">
        <v>100</v>
      </c>
      <c r="BB186">
        <v>100</v>
      </c>
      <c r="BC186">
        <v>100</v>
      </c>
      <c r="BD186">
        <v>100</v>
      </c>
      <c r="BE186">
        <v>1</v>
      </c>
      <c r="BF186">
        <v>15000</v>
      </c>
      <c r="BG186">
        <v>1000</v>
      </c>
      <c r="BH186" s="6">
        <f>Grandview_Inventory[[#This Row],[land_extract]]*Lookups!$B$3</f>
        <v>54949.136287295303</v>
      </c>
      <c r="BI186" s="6">
        <f>IF(Grandview_Inventory[[#This Row],[bldg_style]]="",0,Lookups!$B$2)</f>
        <v>155833.95000000001</v>
      </c>
      <c r="BJ186" s="6">
        <f>_xlfn.IFNA(VLOOKUP(Grandview_Inventory[[#This Row],[quality]],Lookups!$H$2:$J$14,3,FALSE),0)</f>
        <v>9808</v>
      </c>
      <c r="BK186" s="6">
        <f>_xlfn.IFNA(VLOOKUP(Grandview_Inventory[[#This Row],[condition]],Lookups!$H$17:$J$24,3,FALSE),0)</f>
        <v>25818</v>
      </c>
      <c r="BL186" s="6">
        <f>Grandview_Inventory[[#This Row],[Eff_Age]]*Lookups!$B$14</f>
        <v>-2152.4993999999997</v>
      </c>
      <c r="BM186" s="6">
        <f>Grandview_Inventory[[#This Row],[living_area]]*Lookups!$B$15</f>
        <v>93945.564618000004</v>
      </c>
      <c r="BN186" s="6">
        <f>Grandview_Inventory[[#This Row],[Fin BSMT]]*Lookups!$B$16</f>
        <v>0</v>
      </c>
      <c r="BO186" s="6">
        <f>(Grandview_Inventory[[#This Row],[att_gar]]+Grandview_Inventory[[#This Row],[bltin_gar]])*Lookups!$B$17</f>
        <v>42359.891508000001</v>
      </c>
      <c r="BP186" s="6">
        <f>Grandview_Inventory[[#This Row],[Plumbing Fixtures]]*Lookups!$B$18</f>
        <v>16083.5344</v>
      </c>
      <c r="BQ186" s="6">
        <f>Grandview_Inventory[[#This Row],[detatched_value]]*Lookups!$B$19</f>
        <v>0</v>
      </c>
      <c r="BR186" s="6">
        <f>SUM(Grandview_Inventory[[#This Row],[Intercept]:[det_value]])*Grandview_Inventory[[#This Row],[res_pct]]</f>
        <v>341696.44112600002</v>
      </c>
      <c r="BS186" s="6">
        <f>Grandview_Inventory[[#This Row],[land_value]]</f>
        <v>54949.136287295303</v>
      </c>
      <c r="BT186" s="4">
        <f>_xlfn.IFNA(VLOOKUP(Grandview_Inventory[[#This Row],[quality]],Lookups!$A$26:$C$33,3,FALSE),1)</f>
        <v>0.94295468617355149</v>
      </c>
      <c r="BU186" s="4">
        <f>_xlfn.IFNA(VLOOKUP(Grandview_Inventory[[#This Row],[condition]],Lookups!$A$37:$C$44,3,FALSE),1)</f>
        <v>0.96661476234146892</v>
      </c>
      <c r="BV186" s="4">
        <f>IF(Grandview_Inventory[[#This Row],[bldg_style]]="",1,_xlfn.IFNA(VLOOKUP(Grandview_Inventory[[#This Row],[decade]],Lookups!$F$29:$H$43,3,FALSE),1))</f>
        <v>0.94601966599150278</v>
      </c>
      <c r="BW186" s="4">
        <f>_xlfn.IFNA(VLOOKUP(Grandview_Inventory[[#This Row],[living_area_range]],Lookups!$F$47:$H$56,3,FALSE),1)</f>
        <v>0.96120133463014379</v>
      </c>
      <c r="BX186" s="4">
        <f>AVERAGE(Grandview_Inventory[[#This Row],[qual_adj]:[size_adj]])</f>
        <v>0.95419761228416689</v>
      </c>
      <c r="BY186" s="6">
        <f>IF(Grandview_Inventory[[#This Row],[pre_res]]&lt;0,0,Grandview_Inventory[[#This Row],[pre_res]]*Grandview_Inventory[[#This Row],[overall_adj]])</f>
        <v>326045.92824842664</v>
      </c>
      <c r="BZ186" s="6">
        <f>(Grandview_Inventory[[#This Row],[sum_land]]-IF(Grandview_Inventory[[#This Row],[no_utilities]]=1,12000,0))/IF(Grandview_Inventory[[#This Row],[unbuildable]]=1,2,1)</f>
        <v>54949.136287295303</v>
      </c>
      <c r="CA186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86">
        <f>ROUND(Grandview_Inventory[[#This Row],[det_value]]*Lookups!$M$28,-2)</f>
        <v>0</v>
      </c>
      <c r="CC186">
        <f>IF(ROUND(Grandview_Inventory[[#This Row],[adj_res]]*Lookups!$M$28,-2)&lt;Grandview_Inventory[[#This Row],[min_res]],Grandview_Inventory[[#This Row],[min_res]],ROUND(Grandview_Inventory[[#This Row],[adj_res]]*Lookups!$M$28,-2))</f>
        <v>309700</v>
      </c>
      <c r="CD186">
        <f>Grandview_Inventory[[#This Row],[final_det]]+Grandview_Inventory[[#This Row],[final_res]]</f>
        <v>309700</v>
      </c>
      <c r="CE186">
        <f>Grandview_Inventory[[#This Row],[final_land]]+Grandview_Inventory[[#This Row],[final_imp]]+Grandview_Inventory[[#This Row],[crop_value]]</f>
        <v>361900</v>
      </c>
      <c r="CG186" t="str">
        <f t="shared" si="2"/>
        <v>update valuation set market_land =52200, market_bldg=309700, market_total =361900, market_mdno =401, market_date ='9/10/2023' where link_id = (select link_id from parcel where parcel_year = '2024' and parcel_id = '23091433558');</v>
      </c>
    </row>
    <row r="187" spans="1:85" x14ac:dyDescent="0.25">
      <c r="A187">
        <v>23091433559</v>
      </c>
      <c r="B187">
        <v>0.12</v>
      </c>
      <c r="C187">
        <v>5438</v>
      </c>
      <c r="D187" t="s">
        <v>129</v>
      </c>
      <c r="E187" t="s">
        <v>53</v>
      </c>
      <c r="F187" t="s">
        <v>53</v>
      </c>
      <c r="G187">
        <v>4</v>
      </c>
      <c r="H187" t="s">
        <v>54</v>
      </c>
      <c r="I187">
        <v>112700</v>
      </c>
      <c r="J187">
        <v>38100</v>
      </c>
      <c r="K187">
        <v>0.12</v>
      </c>
      <c r="L18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87">
        <v>0</v>
      </c>
      <c r="N187">
        <v>0</v>
      </c>
      <c r="O187">
        <v>0</v>
      </c>
      <c r="P187">
        <v>13398.7528</v>
      </c>
      <c r="Q187">
        <v>63903</v>
      </c>
      <c r="R187">
        <f>(Grandview_Inventory[[#This Row],[ln_acres]]*Grandview_Inventory[[#This Row],[coeff]])+Grandview_Inventory[[#This Row],[const]]</f>
        <v>35494.113007601132</v>
      </c>
      <c r="S187" t="s">
        <v>68</v>
      </c>
      <c r="T187">
        <v>1</v>
      </c>
      <c r="U187" t="s">
        <v>83</v>
      </c>
      <c r="V187" t="s">
        <v>78</v>
      </c>
      <c r="W187">
        <v>0</v>
      </c>
      <c r="X187">
        <v>0</v>
      </c>
      <c r="Y187">
        <v>57</v>
      </c>
      <c r="Z187">
        <v>103</v>
      </c>
      <c r="AA187">
        <v>110</v>
      </c>
      <c r="AB187">
        <v>1500</v>
      </c>
      <c r="AC187">
        <v>1420</v>
      </c>
      <c r="AD187">
        <v>1420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5</v>
      </c>
      <c r="AQ187">
        <v>0</v>
      </c>
      <c r="AR187">
        <v>0</v>
      </c>
      <c r="AS187" t="s">
        <v>58</v>
      </c>
      <c r="AT187">
        <v>1</v>
      </c>
      <c r="AU187" t="s">
        <v>75</v>
      </c>
      <c r="AV187" t="s">
        <v>60</v>
      </c>
      <c r="AW187">
        <v>0</v>
      </c>
      <c r="AX187">
        <v>3</v>
      </c>
      <c r="AY187">
        <v>0</v>
      </c>
      <c r="AZ187">
        <v>0</v>
      </c>
      <c r="BA187">
        <v>100</v>
      </c>
      <c r="BB187">
        <v>100</v>
      </c>
      <c r="BC187">
        <v>100</v>
      </c>
      <c r="BD187">
        <v>100</v>
      </c>
      <c r="BE187">
        <v>1</v>
      </c>
      <c r="BF187">
        <v>15000</v>
      </c>
      <c r="BG187">
        <v>1000</v>
      </c>
      <c r="BH187" s="6">
        <f>Grandview_Inventory[[#This Row],[land_extract]]*Lookups!$B$3</f>
        <v>41219.217601622076</v>
      </c>
      <c r="BI187" s="6">
        <f>IF(Grandview_Inventory[[#This Row],[bldg_style]]="",0,Lookups!$B$2)</f>
        <v>155833.95000000001</v>
      </c>
      <c r="BJ187" s="6">
        <f>_xlfn.IFNA(VLOOKUP(Grandview_Inventory[[#This Row],[quality]],Lookups!$H$2:$J$14,3,FALSE),0)</f>
        <v>-28558</v>
      </c>
      <c r="BK187" s="6">
        <f>_xlfn.IFNA(VLOOKUP(Grandview_Inventory[[#This Row],[condition]],Lookups!$H$17:$J$24,3,FALSE),0)</f>
        <v>-45357</v>
      </c>
      <c r="BL187" s="6">
        <f>Grandview_Inventory[[#This Row],[Eff_Age]]*Lookups!$B$14</f>
        <v>-13632.4962</v>
      </c>
      <c r="BM187" s="6">
        <f>Grandview_Inventory[[#This Row],[living_area]]*Lookups!$B$15</f>
        <v>88580.811260000002</v>
      </c>
      <c r="BN187" s="6">
        <f>Grandview_Inventory[[#This Row],[Fin BSMT]]*Lookups!$B$16</f>
        <v>0</v>
      </c>
      <c r="BO187" s="6">
        <f>(Grandview_Inventory[[#This Row],[att_gar]]+Grandview_Inventory[[#This Row],[bltin_gar]])*Lookups!$B$17</f>
        <v>0</v>
      </c>
      <c r="BP187" s="6">
        <f>Grandview_Inventory[[#This Row],[Plumbing Fixtures]]*Lookups!$B$18</f>
        <v>10052.209000000001</v>
      </c>
      <c r="BQ187" s="6">
        <f>Grandview_Inventory[[#This Row],[detatched_value]]*Lookups!$B$19</f>
        <v>0</v>
      </c>
      <c r="BR187" s="6">
        <f>SUM(Grandview_Inventory[[#This Row],[Intercept]:[det_value]])*Grandview_Inventory[[#This Row],[res_pct]]</f>
        <v>166919.47406000001</v>
      </c>
      <c r="BS187" s="6">
        <f>Grandview_Inventory[[#This Row],[land_value]]</f>
        <v>41219.217601622076</v>
      </c>
      <c r="BT187" s="4">
        <f>_xlfn.IFNA(VLOOKUP(Grandview_Inventory[[#This Row],[quality]],Lookups!$A$26:$C$33,3,FALSE),1)</f>
        <v>0.96329552998502799</v>
      </c>
      <c r="BU187" s="4">
        <f>_xlfn.IFNA(VLOOKUP(Grandview_Inventory[[#This Row],[condition]],Lookups!$A$37:$C$44,3,FALSE),1)</f>
        <v>0.97161819570155394</v>
      </c>
      <c r="BV187" s="4">
        <f>IF(Grandview_Inventory[[#This Row],[bldg_style]]="",1,_xlfn.IFNA(VLOOKUP(Grandview_Inventory[[#This Row],[decade]],Lookups!$F$29:$H$43,3,FALSE),1))</f>
        <v>0.92255236374249616</v>
      </c>
      <c r="BW187" s="4">
        <f>_xlfn.IFNA(VLOOKUP(Grandview_Inventory[[#This Row],[living_area_range]],Lookups!$F$47:$H$56,3,FALSE),1)</f>
        <v>0.96135087979789358</v>
      </c>
      <c r="BX187" s="4">
        <f>AVERAGE(Grandview_Inventory[[#This Row],[qual_adj]:[size_adj]])</f>
        <v>0.95470424230674289</v>
      </c>
      <c r="BY187" s="6">
        <f>IF(Grandview_Inventory[[#This Row],[pre_res]]&lt;0,0,Grandview_Inventory[[#This Row],[pre_res]]*Grandview_Inventory[[#This Row],[overall_adj]])</f>
        <v>159358.73000869234</v>
      </c>
      <c r="BZ187" s="6">
        <f>(Grandview_Inventory[[#This Row],[sum_land]]-IF(Grandview_Inventory[[#This Row],[no_utilities]]=1,12000,0))/IF(Grandview_Inventory[[#This Row],[unbuildable]]=1,2,1)</f>
        <v>41219.217601622076</v>
      </c>
      <c r="CA18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87">
        <f>ROUND(Grandview_Inventory[[#This Row],[det_value]]*Lookups!$M$28,-2)</f>
        <v>0</v>
      </c>
      <c r="CC187">
        <f>IF(ROUND(Grandview_Inventory[[#This Row],[adj_res]]*Lookups!$M$28,-2)&lt;Grandview_Inventory[[#This Row],[min_res]],Grandview_Inventory[[#This Row],[min_res]],ROUND(Grandview_Inventory[[#This Row],[adj_res]]*Lookups!$M$28,-2))</f>
        <v>151400</v>
      </c>
      <c r="CD187">
        <f>Grandview_Inventory[[#This Row],[final_det]]+Grandview_Inventory[[#This Row],[final_res]]</f>
        <v>151400</v>
      </c>
      <c r="CE187">
        <f>Grandview_Inventory[[#This Row],[final_land]]+Grandview_Inventory[[#This Row],[final_imp]]+Grandview_Inventory[[#This Row],[crop_value]]</f>
        <v>190600</v>
      </c>
      <c r="CG187" t="str">
        <f t="shared" si="2"/>
        <v>update valuation set market_land =39200, market_bldg=151400, market_total =190600, market_mdno =401, market_date ='9/10/2023' where link_id = (select link_id from parcel where parcel_year = '2024' and parcel_id = '23091433559');</v>
      </c>
    </row>
    <row r="188" spans="1:85" x14ac:dyDescent="0.25">
      <c r="A188">
        <v>23091433575</v>
      </c>
      <c r="B188">
        <v>0.39</v>
      </c>
      <c r="C188">
        <v>17065</v>
      </c>
      <c r="D188" t="s">
        <v>129</v>
      </c>
      <c r="E188" t="s">
        <v>53</v>
      </c>
      <c r="F188" t="s">
        <v>53</v>
      </c>
      <c r="G188">
        <v>4</v>
      </c>
      <c r="H188" t="s">
        <v>54</v>
      </c>
      <c r="I188">
        <v>123200</v>
      </c>
      <c r="J188">
        <v>41200</v>
      </c>
      <c r="K188">
        <v>0.39</v>
      </c>
      <c r="L188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188">
        <v>0</v>
      </c>
      <c r="N188">
        <v>0</v>
      </c>
      <c r="O188">
        <v>0</v>
      </c>
      <c r="P188">
        <v>13398.7528</v>
      </c>
      <c r="Q188">
        <v>63903</v>
      </c>
      <c r="R188">
        <f>(Grandview_Inventory[[#This Row],[ln_acres]]*Grandview_Inventory[[#This Row],[coeff]])+Grandview_Inventory[[#This Row],[const]]</f>
        <v>51286.619940067751</v>
      </c>
      <c r="S188" t="s">
        <v>68</v>
      </c>
      <c r="T188">
        <v>1</v>
      </c>
      <c r="U188" t="s">
        <v>80</v>
      </c>
      <c r="V188" t="s">
        <v>69</v>
      </c>
      <c r="W188">
        <v>0</v>
      </c>
      <c r="X188">
        <v>0</v>
      </c>
      <c r="Y188">
        <v>57</v>
      </c>
      <c r="Z188">
        <v>103</v>
      </c>
      <c r="AA188">
        <v>110</v>
      </c>
      <c r="AB188">
        <v>1500</v>
      </c>
      <c r="AC188">
        <v>1152</v>
      </c>
      <c r="AD188">
        <v>1152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108</v>
      </c>
      <c r="AN188">
        <v>24</v>
      </c>
      <c r="AO188">
        <v>108</v>
      </c>
      <c r="AP188">
        <v>5</v>
      </c>
      <c r="AQ188">
        <v>0</v>
      </c>
      <c r="AR188">
        <v>1</v>
      </c>
      <c r="AS188" t="s">
        <v>71</v>
      </c>
      <c r="AT188">
        <v>1</v>
      </c>
      <c r="AU188" t="s">
        <v>75</v>
      </c>
      <c r="AV188" t="s">
        <v>60</v>
      </c>
      <c r="AW188">
        <v>0</v>
      </c>
      <c r="AX188">
        <v>2</v>
      </c>
      <c r="AY188">
        <v>0</v>
      </c>
      <c r="AZ188">
        <v>0</v>
      </c>
      <c r="BA188">
        <v>100</v>
      </c>
      <c r="BB188">
        <v>100</v>
      </c>
      <c r="BC188">
        <v>100</v>
      </c>
      <c r="BD188">
        <v>100</v>
      </c>
      <c r="BE188">
        <v>1</v>
      </c>
      <c r="BF188">
        <v>15000</v>
      </c>
      <c r="BG188">
        <v>1000</v>
      </c>
      <c r="BH188" s="6">
        <f>Grandview_Inventory[[#This Row],[land_extract]]*Lookups!$B$3</f>
        <v>59559.013262526838</v>
      </c>
      <c r="BI188" s="6">
        <f>IF(Grandview_Inventory[[#This Row],[bldg_style]]="",0,Lookups!$B$2)</f>
        <v>155833.95000000001</v>
      </c>
      <c r="BJ188" s="6">
        <f>_xlfn.IFNA(VLOOKUP(Grandview_Inventory[[#This Row],[quality]],Lookups!$H$2:$J$14,3,FALSE),0)</f>
        <v>-28558</v>
      </c>
      <c r="BK188" s="6">
        <f>_xlfn.IFNA(VLOOKUP(Grandview_Inventory[[#This Row],[condition]],Lookups!$H$17:$J$24,3,FALSE),0)</f>
        <v>-4503</v>
      </c>
      <c r="BL188" s="6">
        <f>Grandview_Inventory[[#This Row],[Eff_Age]]*Lookups!$B$14</f>
        <v>-13632.4962</v>
      </c>
      <c r="BM188" s="6">
        <f>Grandview_Inventory[[#This Row],[living_area]]*Lookups!$B$15</f>
        <v>71862.742656000002</v>
      </c>
      <c r="BN188" s="6">
        <f>Grandview_Inventory[[#This Row],[Fin BSMT]]*Lookups!$B$16</f>
        <v>0</v>
      </c>
      <c r="BO188" s="6">
        <f>(Grandview_Inventory[[#This Row],[att_gar]]+Grandview_Inventory[[#This Row],[bltin_gar]])*Lookups!$B$17</f>
        <v>0</v>
      </c>
      <c r="BP188" s="6">
        <f>Grandview_Inventory[[#This Row],[Plumbing Fixtures]]*Lookups!$B$18</f>
        <v>10052.209000000001</v>
      </c>
      <c r="BQ188" s="6">
        <f>Grandview_Inventory[[#This Row],[detatched_value]]*Lookups!$B$19</f>
        <v>0</v>
      </c>
      <c r="BR188" s="6">
        <f>SUM(Grandview_Inventory[[#This Row],[Intercept]:[det_value]])*Grandview_Inventory[[#This Row],[res_pct]]</f>
        <v>191055.40545600004</v>
      </c>
      <c r="BS188" s="6">
        <f>Grandview_Inventory[[#This Row],[land_value]]</f>
        <v>59559.013262526838</v>
      </c>
      <c r="BT188" s="4">
        <f>_xlfn.IFNA(VLOOKUP(Grandview_Inventory[[#This Row],[quality]],Lookups!$A$26:$C$33,3,FALSE),1)</f>
        <v>0.9690360070159818</v>
      </c>
      <c r="BU188" s="4">
        <f>_xlfn.IFNA(VLOOKUP(Grandview_Inventory[[#This Row],[condition]],Lookups!$A$37:$C$44,3,FALSE),1)</f>
        <v>0.96469275950863709</v>
      </c>
      <c r="BV188" s="4">
        <f>IF(Grandview_Inventory[[#This Row],[bldg_style]]="",1,_xlfn.IFNA(VLOOKUP(Grandview_Inventory[[#This Row],[decade]],Lookups!$F$29:$H$43,3,FALSE),1))</f>
        <v>0.92255236374249616</v>
      </c>
      <c r="BW188" s="4">
        <f>_xlfn.IFNA(VLOOKUP(Grandview_Inventory[[#This Row],[living_area_range]],Lookups!$F$47:$H$56,3,FALSE),1)</f>
        <v>0.96135087979789358</v>
      </c>
      <c r="BX188" s="4">
        <f>AVERAGE(Grandview_Inventory[[#This Row],[qual_adj]:[size_adj]])</f>
        <v>0.95440800251625213</v>
      </c>
      <c r="BY188" s="6">
        <f>IF(Grandview_Inventory[[#This Row],[pre_res]]&lt;0,0,Grandview_Inventory[[#This Row],[pre_res]]*Grandview_Inventory[[#This Row],[overall_adj]])</f>
        <v>182344.80789119366</v>
      </c>
      <c r="BZ188" s="6">
        <f>(Grandview_Inventory[[#This Row],[sum_land]]-IF(Grandview_Inventory[[#This Row],[no_utilities]]=1,12000,0))/IF(Grandview_Inventory[[#This Row],[unbuildable]]=1,2,1)</f>
        <v>59559.013262526838</v>
      </c>
      <c r="CA188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188">
        <f>ROUND(Grandview_Inventory[[#This Row],[det_value]]*Lookups!$M$28,-2)</f>
        <v>0</v>
      </c>
      <c r="CC188">
        <f>IF(ROUND(Grandview_Inventory[[#This Row],[adj_res]]*Lookups!$M$28,-2)&lt;Grandview_Inventory[[#This Row],[min_res]],Grandview_Inventory[[#This Row],[min_res]],ROUND(Grandview_Inventory[[#This Row],[adj_res]]*Lookups!$M$28,-2))</f>
        <v>173200</v>
      </c>
      <c r="CD188">
        <f>Grandview_Inventory[[#This Row],[final_det]]+Grandview_Inventory[[#This Row],[final_res]]</f>
        <v>173200</v>
      </c>
      <c r="CE188">
        <f>Grandview_Inventory[[#This Row],[final_land]]+Grandview_Inventory[[#This Row],[final_imp]]+Grandview_Inventory[[#This Row],[crop_value]]</f>
        <v>229800</v>
      </c>
      <c r="CG188" t="str">
        <f t="shared" si="2"/>
        <v>update valuation set market_land =56600, market_bldg=173200, market_total =229800, market_mdno =401, market_date ='9/10/2023' where link_id = (select link_id from parcel where parcel_year = '2024' and parcel_id = '23091433575');</v>
      </c>
    </row>
    <row r="189" spans="1:85" x14ac:dyDescent="0.25">
      <c r="A189">
        <v>23091433579</v>
      </c>
      <c r="B189">
        <v>0.17</v>
      </c>
      <c r="C189">
        <v>7575</v>
      </c>
      <c r="D189" t="s">
        <v>129</v>
      </c>
      <c r="E189" t="s">
        <v>53</v>
      </c>
      <c r="F189" t="s">
        <v>53</v>
      </c>
      <c r="G189">
        <v>4</v>
      </c>
      <c r="H189" t="s">
        <v>54</v>
      </c>
      <c r="I189">
        <v>150500</v>
      </c>
      <c r="J189">
        <v>38800</v>
      </c>
      <c r="K189">
        <v>0.17</v>
      </c>
      <c r="L18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89">
        <v>0</v>
      </c>
      <c r="N189">
        <v>0</v>
      </c>
      <c r="O189">
        <v>0</v>
      </c>
      <c r="P189">
        <v>13398.7528</v>
      </c>
      <c r="Q189">
        <v>63903</v>
      </c>
      <c r="R189">
        <f>(Grandview_Inventory[[#This Row],[ln_acres]]*Grandview_Inventory[[#This Row],[coeff]])+Grandview_Inventory[[#This Row],[const]]</f>
        <v>40160.988302686128</v>
      </c>
      <c r="S189" t="s">
        <v>61</v>
      </c>
      <c r="T189">
        <v>1</v>
      </c>
      <c r="U189" t="s">
        <v>70</v>
      </c>
      <c r="V189" t="s">
        <v>69</v>
      </c>
      <c r="W189">
        <v>0</v>
      </c>
      <c r="X189">
        <v>0</v>
      </c>
      <c r="Y189">
        <v>41</v>
      </c>
      <c r="Z189">
        <v>41</v>
      </c>
      <c r="AA189">
        <v>50</v>
      </c>
      <c r="AB189">
        <v>1500</v>
      </c>
      <c r="AC189">
        <v>1032</v>
      </c>
      <c r="AD189">
        <v>1032</v>
      </c>
      <c r="AE189">
        <v>0</v>
      </c>
      <c r="AF189">
        <v>0</v>
      </c>
      <c r="AG189">
        <v>0</v>
      </c>
      <c r="AH189">
        <v>0</v>
      </c>
      <c r="AI189">
        <v>288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5</v>
      </c>
      <c r="AQ189">
        <v>0</v>
      </c>
      <c r="AR189">
        <v>0</v>
      </c>
      <c r="AS189" t="s">
        <v>58</v>
      </c>
      <c r="AT189">
        <v>1</v>
      </c>
      <c r="AU189" t="s">
        <v>63</v>
      </c>
      <c r="AV189" t="s">
        <v>60</v>
      </c>
      <c r="AW189">
        <v>0</v>
      </c>
      <c r="AX189">
        <v>3</v>
      </c>
      <c r="AY189">
        <v>0</v>
      </c>
      <c r="AZ189">
        <v>0</v>
      </c>
      <c r="BA189">
        <v>100</v>
      </c>
      <c r="BB189">
        <v>100</v>
      </c>
      <c r="BC189">
        <v>100</v>
      </c>
      <c r="BD189">
        <v>100</v>
      </c>
      <c r="BE189">
        <v>1</v>
      </c>
      <c r="BF189">
        <v>15000</v>
      </c>
      <c r="BG189">
        <v>1000</v>
      </c>
      <c r="BH189" s="6">
        <f>Grandview_Inventory[[#This Row],[land_extract]]*Lookups!$B$3</f>
        <v>46638.847281240982</v>
      </c>
      <c r="BI189" s="6">
        <f>IF(Grandview_Inventory[[#This Row],[bldg_style]]="",0,Lookups!$B$2)</f>
        <v>155833.95000000001</v>
      </c>
      <c r="BJ189" s="6">
        <f>_xlfn.IFNA(VLOOKUP(Grandview_Inventory[[#This Row],[quality]],Lookups!$H$2:$J$14,3,FALSE),0)</f>
        <v>10733</v>
      </c>
      <c r="BK189" s="6">
        <f>_xlfn.IFNA(VLOOKUP(Grandview_Inventory[[#This Row],[condition]],Lookups!$H$17:$J$24,3,FALSE),0)</f>
        <v>-4503</v>
      </c>
      <c r="BL189" s="6">
        <f>Grandview_Inventory[[#This Row],[Eff_Age]]*Lookups!$B$14</f>
        <v>-9805.8305999999993</v>
      </c>
      <c r="BM189" s="6">
        <f>Grandview_Inventory[[#This Row],[living_area]]*Lookups!$B$15</f>
        <v>64377.040295999999</v>
      </c>
      <c r="BN189" s="6">
        <f>Grandview_Inventory[[#This Row],[Fin BSMT]]*Lookups!$B$16</f>
        <v>0</v>
      </c>
      <c r="BO189" s="6">
        <f>(Grandview_Inventory[[#This Row],[att_gar]]+Grandview_Inventory[[#This Row],[bltin_gar]])*Lookups!$B$17</f>
        <v>25205.885856000001</v>
      </c>
      <c r="BP189" s="6">
        <f>Grandview_Inventory[[#This Row],[Plumbing Fixtures]]*Lookups!$B$18</f>
        <v>10052.209000000001</v>
      </c>
      <c r="BQ189" s="6">
        <f>Grandview_Inventory[[#This Row],[detatched_value]]*Lookups!$B$19</f>
        <v>0</v>
      </c>
      <c r="BR189" s="6">
        <f>SUM(Grandview_Inventory[[#This Row],[Intercept]:[det_value]])*Grandview_Inventory[[#This Row],[res_pct]]</f>
        <v>251893.25455200003</v>
      </c>
      <c r="BS189" s="6">
        <f>Grandview_Inventory[[#This Row],[land_value]]</f>
        <v>46638.847281240982</v>
      </c>
      <c r="BT189" s="4">
        <f>_xlfn.IFNA(VLOOKUP(Grandview_Inventory[[#This Row],[quality]],Lookups!$A$26:$C$33,3,FALSE),1)</f>
        <v>0.98079741117310582</v>
      </c>
      <c r="BU189" s="4">
        <f>_xlfn.IFNA(VLOOKUP(Grandview_Inventory[[#This Row],[condition]],Lookups!$A$37:$C$44,3,FALSE),1)</f>
        <v>0.96469275950863709</v>
      </c>
      <c r="BV189" s="4">
        <f>IF(Grandview_Inventory[[#This Row],[bldg_style]]="",1,_xlfn.IFNA(VLOOKUP(Grandview_Inventory[[#This Row],[decade]],Lookups!$F$29:$H$43,3,FALSE),1))</f>
        <v>0.9871940091910919</v>
      </c>
      <c r="BW189" s="4">
        <f>_xlfn.IFNA(VLOOKUP(Grandview_Inventory[[#This Row],[living_area_range]],Lookups!$F$47:$H$56,3,FALSE),1)</f>
        <v>0.96135087979789358</v>
      </c>
      <c r="BX189" s="4">
        <f>AVERAGE(Grandview_Inventory[[#This Row],[qual_adj]:[size_adj]])</f>
        <v>0.97350876491768212</v>
      </c>
      <c r="BY189" s="6">
        <f>IF(Grandview_Inventory[[#This Row],[pre_res]]&lt;0,0,Grandview_Inventory[[#This Row],[pre_res]]*Grandview_Inventory[[#This Row],[overall_adj]])</f>
        <v>245220.29113001286</v>
      </c>
      <c r="BZ189" s="6">
        <f>(Grandview_Inventory[[#This Row],[sum_land]]-IF(Grandview_Inventory[[#This Row],[no_utilities]]=1,12000,0))/IF(Grandview_Inventory[[#This Row],[unbuildable]]=1,2,1)</f>
        <v>46638.847281240982</v>
      </c>
      <c r="CA18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89">
        <f>ROUND(Grandview_Inventory[[#This Row],[det_value]]*Lookups!$M$28,-2)</f>
        <v>0</v>
      </c>
      <c r="CC189">
        <f>IF(ROUND(Grandview_Inventory[[#This Row],[adj_res]]*Lookups!$M$28,-2)&lt;Grandview_Inventory[[#This Row],[min_res]],Grandview_Inventory[[#This Row],[min_res]],ROUND(Grandview_Inventory[[#This Row],[adj_res]]*Lookups!$M$28,-2))</f>
        <v>233000</v>
      </c>
      <c r="CD189">
        <f>Grandview_Inventory[[#This Row],[final_det]]+Grandview_Inventory[[#This Row],[final_res]]</f>
        <v>233000</v>
      </c>
      <c r="CE189">
        <f>Grandview_Inventory[[#This Row],[final_land]]+Grandview_Inventory[[#This Row],[final_imp]]+Grandview_Inventory[[#This Row],[crop_value]]</f>
        <v>277300</v>
      </c>
      <c r="CG189" t="str">
        <f t="shared" si="2"/>
        <v>update valuation set market_land =44300, market_bldg=233000, market_total =277300, market_mdno =401, market_date ='9/10/2023' where link_id = (select link_id from parcel where parcel_year = '2024' and parcel_id = '23091433579');</v>
      </c>
    </row>
    <row r="190" spans="1:85" x14ac:dyDescent="0.25">
      <c r="A190">
        <v>23091433580</v>
      </c>
      <c r="B190">
        <v>0.2</v>
      </c>
      <c r="C190">
        <v>8600</v>
      </c>
      <c r="D190" t="s">
        <v>129</v>
      </c>
      <c r="E190" t="s">
        <v>53</v>
      </c>
      <c r="F190" t="s">
        <v>53</v>
      </c>
      <c r="G190">
        <v>4</v>
      </c>
      <c r="H190" t="s">
        <v>54</v>
      </c>
      <c r="I190">
        <v>121300</v>
      </c>
      <c r="J190">
        <v>39100</v>
      </c>
      <c r="K190">
        <v>0.2</v>
      </c>
      <c r="L19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90">
        <v>0</v>
      </c>
      <c r="N190">
        <v>0</v>
      </c>
      <c r="O190">
        <v>0</v>
      </c>
      <c r="P190">
        <v>13398.7528</v>
      </c>
      <c r="Q190">
        <v>63903</v>
      </c>
      <c r="R190">
        <f>(Grandview_Inventory[[#This Row],[ln_acres]]*Grandview_Inventory[[#This Row],[coeff]])+Grandview_Inventory[[#This Row],[const]]</f>
        <v>42338.539264347448</v>
      </c>
      <c r="S190" t="s">
        <v>61</v>
      </c>
      <c r="T190">
        <v>1</v>
      </c>
      <c r="U190" t="s">
        <v>70</v>
      </c>
      <c r="V190" t="s">
        <v>78</v>
      </c>
      <c r="W190">
        <v>0</v>
      </c>
      <c r="X190">
        <v>0</v>
      </c>
      <c r="Y190">
        <v>41</v>
      </c>
      <c r="Z190">
        <v>41</v>
      </c>
      <c r="AA190">
        <v>50</v>
      </c>
      <c r="AB190">
        <v>1500</v>
      </c>
      <c r="AC190">
        <v>1008</v>
      </c>
      <c r="AD190">
        <v>1008</v>
      </c>
      <c r="AE190">
        <v>0</v>
      </c>
      <c r="AF190">
        <v>0</v>
      </c>
      <c r="AG190">
        <v>0</v>
      </c>
      <c r="AH190">
        <v>0</v>
      </c>
      <c r="AI190">
        <v>312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5</v>
      </c>
      <c r="AQ190">
        <v>0</v>
      </c>
      <c r="AR190">
        <v>0</v>
      </c>
      <c r="AS190" t="s">
        <v>58</v>
      </c>
      <c r="AT190">
        <v>1</v>
      </c>
      <c r="AU190" t="s">
        <v>63</v>
      </c>
      <c r="AV190" t="s">
        <v>60</v>
      </c>
      <c r="AW190">
        <v>0</v>
      </c>
      <c r="AX190">
        <v>3</v>
      </c>
      <c r="AY190">
        <v>0</v>
      </c>
      <c r="AZ190">
        <v>0</v>
      </c>
      <c r="BA190">
        <v>100</v>
      </c>
      <c r="BB190">
        <v>100</v>
      </c>
      <c r="BC190">
        <v>100</v>
      </c>
      <c r="BD190">
        <v>100</v>
      </c>
      <c r="BE190">
        <v>1</v>
      </c>
      <c r="BF190">
        <v>15000</v>
      </c>
      <c r="BG190">
        <v>1000</v>
      </c>
      <c r="BH190" s="6">
        <f>Grandview_Inventory[[#This Row],[land_extract]]*Lookups!$B$3</f>
        <v>49167.631333630678</v>
      </c>
      <c r="BI190" s="6">
        <f>IF(Grandview_Inventory[[#This Row],[bldg_style]]="",0,Lookups!$B$2)</f>
        <v>155833.95000000001</v>
      </c>
      <c r="BJ190" s="6">
        <f>_xlfn.IFNA(VLOOKUP(Grandview_Inventory[[#This Row],[quality]],Lookups!$H$2:$J$14,3,FALSE),0)</f>
        <v>10733</v>
      </c>
      <c r="BK190" s="6">
        <f>_xlfn.IFNA(VLOOKUP(Grandview_Inventory[[#This Row],[condition]],Lookups!$H$17:$J$24,3,FALSE),0)</f>
        <v>-45357</v>
      </c>
      <c r="BL190" s="6">
        <f>Grandview_Inventory[[#This Row],[Eff_Age]]*Lookups!$B$14</f>
        <v>-9805.8305999999993</v>
      </c>
      <c r="BM190" s="6">
        <f>Grandview_Inventory[[#This Row],[living_area]]*Lookups!$B$15</f>
        <v>62879.899824</v>
      </c>
      <c r="BN190" s="6">
        <f>Grandview_Inventory[[#This Row],[Fin BSMT]]*Lookups!$B$16</f>
        <v>0</v>
      </c>
      <c r="BO190" s="6">
        <f>(Grandview_Inventory[[#This Row],[att_gar]]+Grandview_Inventory[[#This Row],[bltin_gar]])*Lookups!$B$17</f>
        <v>27306.376344</v>
      </c>
      <c r="BP190" s="6">
        <f>Grandview_Inventory[[#This Row],[Plumbing Fixtures]]*Lookups!$B$18</f>
        <v>10052.209000000001</v>
      </c>
      <c r="BQ190" s="6">
        <f>Grandview_Inventory[[#This Row],[detatched_value]]*Lookups!$B$19</f>
        <v>0</v>
      </c>
      <c r="BR190" s="6">
        <f>SUM(Grandview_Inventory[[#This Row],[Intercept]:[det_value]])*Grandview_Inventory[[#This Row],[res_pct]]</f>
        <v>211642.60456800001</v>
      </c>
      <c r="BS190" s="6">
        <f>Grandview_Inventory[[#This Row],[land_value]]</f>
        <v>49167.631333630678</v>
      </c>
      <c r="BT190" s="4">
        <f>_xlfn.IFNA(VLOOKUP(Grandview_Inventory[[#This Row],[quality]],Lookups!$A$26:$C$33,3,FALSE),1)</f>
        <v>0.98079741117310582</v>
      </c>
      <c r="BU190" s="4">
        <f>_xlfn.IFNA(VLOOKUP(Grandview_Inventory[[#This Row],[condition]],Lookups!$A$37:$C$44,3,FALSE),1)</f>
        <v>0.97161819570155394</v>
      </c>
      <c r="BV190" s="4">
        <f>IF(Grandview_Inventory[[#This Row],[bldg_style]]="",1,_xlfn.IFNA(VLOOKUP(Grandview_Inventory[[#This Row],[decade]],Lookups!$F$29:$H$43,3,FALSE),1))</f>
        <v>0.9871940091910919</v>
      </c>
      <c r="BW190" s="4">
        <f>_xlfn.IFNA(VLOOKUP(Grandview_Inventory[[#This Row],[living_area_range]],Lookups!$F$47:$H$56,3,FALSE),1)</f>
        <v>0.96135087979789358</v>
      </c>
      <c r="BX190" s="4">
        <f>AVERAGE(Grandview_Inventory[[#This Row],[qual_adj]:[size_adj]])</f>
        <v>0.97524012396591131</v>
      </c>
      <c r="BY190" s="6">
        <f>IF(Grandview_Inventory[[#This Row],[pre_res]]&lt;0,0,Grandview_Inventory[[#This Row],[pre_res]]*Grandview_Inventory[[#This Row],[overall_adj]])</f>
        <v>206402.35991536468</v>
      </c>
      <c r="BZ190" s="6">
        <f>(Grandview_Inventory[[#This Row],[sum_land]]-IF(Grandview_Inventory[[#This Row],[no_utilities]]=1,12000,0))/IF(Grandview_Inventory[[#This Row],[unbuildable]]=1,2,1)</f>
        <v>49167.631333630678</v>
      </c>
      <c r="CA19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90">
        <f>ROUND(Grandview_Inventory[[#This Row],[det_value]]*Lookups!$M$28,-2)</f>
        <v>0</v>
      </c>
      <c r="CC190">
        <f>IF(ROUND(Grandview_Inventory[[#This Row],[adj_res]]*Lookups!$M$28,-2)&lt;Grandview_Inventory[[#This Row],[min_res]],Grandview_Inventory[[#This Row],[min_res]],ROUND(Grandview_Inventory[[#This Row],[adj_res]]*Lookups!$M$28,-2))</f>
        <v>196100</v>
      </c>
      <c r="CD190">
        <f>Grandview_Inventory[[#This Row],[final_det]]+Grandview_Inventory[[#This Row],[final_res]]</f>
        <v>196100</v>
      </c>
      <c r="CE190">
        <f>Grandview_Inventory[[#This Row],[final_land]]+Grandview_Inventory[[#This Row],[final_imp]]+Grandview_Inventory[[#This Row],[crop_value]]</f>
        <v>242800</v>
      </c>
      <c r="CG190" t="str">
        <f t="shared" si="2"/>
        <v>update valuation set market_land =46700, market_bldg=196100, market_total =242800, market_mdno =401, market_date ='9/10/2023' where link_id = (select link_id from parcel where parcel_year = '2024' and parcel_id = '23091433580');</v>
      </c>
    </row>
    <row r="191" spans="1:85" x14ac:dyDescent="0.25">
      <c r="A191">
        <v>23091433581</v>
      </c>
      <c r="B191">
        <v>0.19</v>
      </c>
      <c r="C191" t="s">
        <v>129</v>
      </c>
      <c r="D191" t="s">
        <v>129</v>
      </c>
      <c r="E191" t="s">
        <v>53</v>
      </c>
      <c r="F191" t="s">
        <v>53</v>
      </c>
      <c r="G191">
        <v>4</v>
      </c>
      <c r="H191" t="s">
        <v>54</v>
      </c>
      <c r="I191">
        <v>164600</v>
      </c>
      <c r="J191">
        <v>39100</v>
      </c>
      <c r="K191">
        <v>0.19</v>
      </c>
      <c r="L19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91">
        <v>0</v>
      </c>
      <c r="N191">
        <v>0</v>
      </c>
      <c r="O191">
        <v>0</v>
      </c>
      <c r="P191">
        <v>13398.7528</v>
      </c>
      <c r="Q191">
        <v>63903</v>
      </c>
      <c r="R191">
        <f>(Grandview_Inventory[[#This Row],[ln_acres]]*Grandview_Inventory[[#This Row],[coeff]])+Grandview_Inventory[[#This Row],[const]]</f>
        <v>41651.273092551026</v>
      </c>
      <c r="S191" t="s">
        <v>61</v>
      </c>
      <c r="T191">
        <v>1</v>
      </c>
      <c r="U191" t="s">
        <v>70</v>
      </c>
      <c r="V191" t="s">
        <v>69</v>
      </c>
      <c r="W191">
        <v>0</v>
      </c>
      <c r="X191">
        <v>0</v>
      </c>
      <c r="Y191">
        <v>41</v>
      </c>
      <c r="Z191">
        <v>41</v>
      </c>
      <c r="AA191">
        <v>50</v>
      </c>
      <c r="AB191">
        <v>1500</v>
      </c>
      <c r="AC191">
        <v>1088</v>
      </c>
      <c r="AD191">
        <v>1088</v>
      </c>
      <c r="AE191">
        <v>0</v>
      </c>
      <c r="AF191">
        <v>0</v>
      </c>
      <c r="AG191">
        <v>0</v>
      </c>
      <c r="AH191">
        <v>0</v>
      </c>
      <c r="AI191">
        <v>288</v>
      </c>
      <c r="AJ191">
        <v>0</v>
      </c>
      <c r="AK191">
        <v>0</v>
      </c>
      <c r="AL191">
        <v>0</v>
      </c>
      <c r="AM191">
        <v>196</v>
      </c>
      <c r="AN191">
        <v>0</v>
      </c>
      <c r="AO191">
        <v>0</v>
      </c>
      <c r="AP191">
        <v>5</v>
      </c>
      <c r="AQ191">
        <v>0</v>
      </c>
      <c r="AR191">
        <v>0</v>
      </c>
      <c r="AS191" t="s">
        <v>58</v>
      </c>
      <c r="AT191">
        <v>1</v>
      </c>
      <c r="AU191" t="s">
        <v>59</v>
      </c>
      <c r="AV191" t="s">
        <v>60</v>
      </c>
      <c r="AW191">
        <v>1</v>
      </c>
      <c r="AX191">
        <v>3</v>
      </c>
      <c r="AY191">
        <v>0</v>
      </c>
      <c r="AZ191">
        <v>0</v>
      </c>
      <c r="BA191">
        <v>100</v>
      </c>
      <c r="BB191">
        <v>100</v>
      </c>
      <c r="BC191">
        <v>100</v>
      </c>
      <c r="BD191">
        <v>100</v>
      </c>
      <c r="BE191">
        <v>1</v>
      </c>
      <c r="BF191">
        <v>15000</v>
      </c>
      <c r="BG191">
        <v>1000</v>
      </c>
      <c r="BH191" s="6">
        <f>Grandview_Inventory[[#This Row],[land_extract]]*Lookups!$B$3</f>
        <v>48369.510983942157</v>
      </c>
      <c r="BI191" s="6">
        <f>IF(Grandview_Inventory[[#This Row],[bldg_style]]="",0,Lookups!$B$2)</f>
        <v>155833.95000000001</v>
      </c>
      <c r="BJ191" s="6">
        <f>_xlfn.IFNA(VLOOKUP(Grandview_Inventory[[#This Row],[quality]],Lookups!$H$2:$J$14,3,FALSE),0)</f>
        <v>10733</v>
      </c>
      <c r="BK191" s="6">
        <f>_xlfn.IFNA(VLOOKUP(Grandview_Inventory[[#This Row],[condition]],Lookups!$H$17:$J$24,3,FALSE),0)</f>
        <v>-4503</v>
      </c>
      <c r="BL191" s="6">
        <f>Grandview_Inventory[[#This Row],[Eff_Age]]*Lookups!$B$14</f>
        <v>-9805.8305999999993</v>
      </c>
      <c r="BM191" s="6">
        <f>Grandview_Inventory[[#This Row],[living_area]]*Lookups!$B$15</f>
        <v>67870.368064000009</v>
      </c>
      <c r="BN191" s="6">
        <f>Grandview_Inventory[[#This Row],[Fin BSMT]]*Lookups!$B$16</f>
        <v>0</v>
      </c>
      <c r="BO191" s="6">
        <f>(Grandview_Inventory[[#This Row],[att_gar]]+Grandview_Inventory[[#This Row],[bltin_gar]])*Lookups!$B$17</f>
        <v>25205.885856000001</v>
      </c>
      <c r="BP191" s="6">
        <f>Grandview_Inventory[[#This Row],[Plumbing Fixtures]]*Lookups!$B$18</f>
        <v>10052.209000000001</v>
      </c>
      <c r="BQ191" s="6">
        <f>Grandview_Inventory[[#This Row],[detatched_value]]*Lookups!$B$19</f>
        <v>0</v>
      </c>
      <c r="BR191" s="6">
        <f>SUM(Grandview_Inventory[[#This Row],[Intercept]:[det_value]])*Grandview_Inventory[[#This Row],[res_pct]]</f>
        <v>255386.58232000005</v>
      </c>
      <c r="BS191" s="6">
        <f>Grandview_Inventory[[#This Row],[land_value]]</f>
        <v>48369.510983942157</v>
      </c>
      <c r="BT191" s="4">
        <f>_xlfn.IFNA(VLOOKUP(Grandview_Inventory[[#This Row],[quality]],Lookups!$A$26:$C$33,3,FALSE),1)</f>
        <v>0.98079741117310582</v>
      </c>
      <c r="BU191" s="4">
        <f>_xlfn.IFNA(VLOOKUP(Grandview_Inventory[[#This Row],[condition]],Lookups!$A$37:$C$44,3,FALSE),1)</f>
        <v>0.96469275950863709</v>
      </c>
      <c r="BV191" s="4">
        <f>IF(Grandview_Inventory[[#This Row],[bldg_style]]="",1,_xlfn.IFNA(VLOOKUP(Grandview_Inventory[[#This Row],[decade]],Lookups!$F$29:$H$43,3,FALSE),1))</f>
        <v>0.9871940091910919</v>
      </c>
      <c r="BW191" s="4">
        <f>_xlfn.IFNA(VLOOKUP(Grandview_Inventory[[#This Row],[living_area_range]],Lookups!$F$47:$H$56,3,FALSE),1)</f>
        <v>0.96135087979789358</v>
      </c>
      <c r="BX191" s="4">
        <f>AVERAGE(Grandview_Inventory[[#This Row],[qual_adj]:[size_adj]])</f>
        <v>0.97350876491768212</v>
      </c>
      <c r="BY191" s="6">
        <f>IF(Grandview_Inventory[[#This Row],[pre_res]]&lt;0,0,Grandview_Inventory[[#This Row],[pre_res]]*Grandview_Inventory[[#This Row],[overall_adj]])</f>
        <v>248621.0763308912</v>
      </c>
      <c r="BZ191" s="6">
        <f>(Grandview_Inventory[[#This Row],[sum_land]]-IF(Grandview_Inventory[[#This Row],[no_utilities]]=1,12000,0))/IF(Grandview_Inventory[[#This Row],[unbuildable]]=1,2,1)</f>
        <v>48369.510983942157</v>
      </c>
      <c r="CA19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91">
        <f>ROUND(Grandview_Inventory[[#This Row],[det_value]]*Lookups!$M$28,-2)</f>
        <v>0</v>
      </c>
      <c r="CC191">
        <f>IF(ROUND(Grandview_Inventory[[#This Row],[adj_res]]*Lookups!$M$28,-2)&lt;Grandview_Inventory[[#This Row],[min_res]],Grandview_Inventory[[#This Row],[min_res]],ROUND(Grandview_Inventory[[#This Row],[adj_res]]*Lookups!$M$28,-2))</f>
        <v>236200</v>
      </c>
      <c r="CD191">
        <f>Grandview_Inventory[[#This Row],[final_det]]+Grandview_Inventory[[#This Row],[final_res]]</f>
        <v>236200</v>
      </c>
      <c r="CE191">
        <f>Grandview_Inventory[[#This Row],[final_land]]+Grandview_Inventory[[#This Row],[final_imp]]+Grandview_Inventory[[#This Row],[crop_value]]</f>
        <v>282200</v>
      </c>
      <c r="CG191" t="str">
        <f t="shared" si="2"/>
        <v>update valuation set market_land =46000, market_bldg=236200, market_total =282200, market_mdno =401, market_date ='9/10/2023' where link_id = (select link_id from parcel where parcel_year = '2024' and parcel_id = '23091433581');</v>
      </c>
    </row>
    <row r="192" spans="1:85" x14ac:dyDescent="0.25">
      <c r="A192">
        <v>23091433583</v>
      </c>
      <c r="B192">
        <v>0.18</v>
      </c>
      <c r="C192" t="s">
        <v>129</v>
      </c>
      <c r="D192" t="s">
        <v>129</v>
      </c>
      <c r="E192" t="s">
        <v>53</v>
      </c>
      <c r="F192" t="s">
        <v>53</v>
      </c>
      <c r="G192">
        <v>4</v>
      </c>
      <c r="H192" t="s">
        <v>54</v>
      </c>
      <c r="I192">
        <v>150500</v>
      </c>
      <c r="J192">
        <v>39000</v>
      </c>
      <c r="K192">
        <v>0.18</v>
      </c>
      <c r="L19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2">
        <v>0</v>
      </c>
      <c r="N192">
        <v>0</v>
      </c>
      <c r="O192">
        <v>0</v>
      </c>
      <c r="P192">
        <v>13398.7528</v>
      </c>
      <c r="Q192">
        <v>63903</v>
      </c>
      <c r="R192">
        <f>(Grandview_Inventory[[#This Row],[ln_acres]]*Grandview_Inventory[[#This Row],[coeff]])+Grandview_Inventory[[#This Row],[const]]</f>
        <v>40926.839760167699</v>
      </c>
      <c r="S192" t="s">
        <v>61</v>
      </c>
      <c r="T192">
        <v>1</v>
      </c>
      <c r="U192" t="s">
        <v>70</v>
      </c>
      <c r="V192" t="s">
        <v>78</v>
      </c>
      <c r="W192">
        <v>0</v>
      </c>
      <c r="X192">
        <v>0</v>
      </c>
      <c r="Y192">
        <v>37</v>
      </c>
      <c r="Z192">
        <v>37</v>
      </c>
      <c r="AA192">
        <v>40</v>
      </c>
      <c r="AB192">
        <v>1500</v>
      </c>
      <c r="AC192">
        <v>1200</v>
      </c>
      <c r="AD192">
        <v>1200</v>
      </c>
      <c r="AE192">
        <v>0</v>
      </c>
      <c r="AF192">
        <v>0</v>
      </c>
      <c r="AG192">
        <v>0</v>
      </c>
      <c r="AH192">
        <v>0</v>
      </c>
      <c r="AI192">
        <v>312</v>
      </c>
      <c r="AJ192">
        <v>0</v>
      </c>
      <c r="AK192">
        <v>0</v>
      </c>
      <c r="AL192">
        <v>0</v>
      </c>
      <c r="AM192">
        <v>0</v>
      </c>
      <c r="AN192">
        <v>88</v>
      </c>
      <c r="AO192">
        <v>0</v>
      </c>
      <c r="AP192">
        <v>8</v>
      </c>
      <c r="AQ192">
        <v>0</v>
      </c>
      <c r="AR192">
        <v>0</v>
      </c>
      <c r="AS192" t="s">
        <v>58</v>
      </c>
      <c r="AT192">
        <v>1</v>
      </c>
      <c r="AU192" t="s">
        <v>63</v>
      </c>
      <c r="AV192" t="s">
        <v>60</v>
      </c>
      <c r="AW192">
        <v>1</v>
      </c>
      <c r="AX192">
        <v>3</v>
      </c>
      <c r="AY192">
        <v>0</v>
      </c>
      <c r="AZ192">
        <v>0</v>
      </c>
      <c r="BA192">
        <v>100</v>
      </c>
      <c r="BB192">
        <v>100</v>
      </c>
      <c r="BC192">
        <v>100</v>
      </c>
      <c r="BD192">
        <v>100</v>
      </c>
      <c r="BE192">
        <v>1</v>
      </c>
      <c r="BF192">
        <v>15000</v>
      </c>
      <c r="BG192">
        <v>1000</v>
      </c>
      <c r="BH192" s="6">
        <f>Grandview_Inventory[[#This Row],[land_extract]]*Lookups!$B$3</f>
        <v>47528.228511015397</v>
      </c>
      <c r="BI192" s="6">
        <f>IF(Grandview_Inventory[[#This Row],[bldg_style]]="",0,Lookups!$B$2)</f>
        <v>155833.95000000001</v>
      </c>
      <c r="BJ192" s="6">
        <f>_xlfn.IFNA(VLOOKUP(Grandview_Inventory[[#This Row],[quality]],Lookups!$H$2:$J$14,3,FALSE),0)</f>
        <v>10733</v>
      </c>
      <c r="BK192" s="6">
        <f>_xlfn.IFNA(VLOOKUP(Grandview_Inventory[[#This Row],[condition]],Lookups!$H$17:$J$24,3,FALSE),0)</f>
        <v>-45357</v>
      </c>
      <c r="BL192" s="6">
        <f>Grandview_Inventory[[#This Row],[Eff_Age]]*Lookups!$B$14</f>
        <v>-8849.1641999999993</v>
      </c>
      <c r="BM192" s="6">
        <f>Grandview_Inventory[[#This Row],[living_area]]*Lookups!$B$15</f>
        <v>74857.0236</v>
      </c>
      <c r="BN192" s="6">
        <f>Grandview_Inventory[[#This Row],[Fin BSMT]]*Lookups!$B$16</f>
        <v>0</v>
      </c>
      <c r="BO192" s="6">
        <f>(Grandview_Inventory[[#This Row],[att_gar]]+Grandview_Inventory[[#This Row],[bltin_gar]])*Lookups!$B$17</f>
        <v>27306.376344</v>
      </c>
      <c r="BP192" s="6">
        <f>Grandview_Inventory[[#This Row],[Plumbing Fixtures]]*Lookups!$B$18</f>
        <v>16083.5344</v>
      </c>
      <c r="BQ192" s="6">
        <f>Grandview_Inventory[[#This Row],[detatched_value]]*Lookups!$B$19</f>
        <v>0</v>
      </c>
      <c r="BR192" s="6">
        <f>SUM(Grandview_Inventory[[#This Row],[Intercept]:[det_value]])*Grandview_Inventory[[#This Row],[res_pct]]</f>
        <v>230607.72014400002</v>
      </c>
      <c r="BS192" s="6">
        <f>Grandview_Inventory[[#This Row],[land_value]]</f>
        <v>47528.228511015397</v>
      </c>
      <c r="BT192" s="4">
        <f>_xlfn.IFNA(VLOOKUP(Grandview_Inventory[[#This Row],[quality]],Lookups!$A$26:$C$33,3,FALSE),1)</f>
        <v>0.98079741117310582</v>
      </c>
      <c r="BU192" s="4">
        <f>_xlfn.IFNA(VLOOKUP(Grandview_Inventory[[#This Row],[condition]],Lookups!$A$37:$C$44,3,FALSE),1)</f>
        <v>0.97161819570155394</v>
      </c>
      <c r="BV192" s="4">
        <f>IF(Grandview_Inventory[[#This Row],[bldg_style]]="",1,_xlfn.IFNA(VLOOKUP(Grandview_Inventory[[#This Row],[decade]],Lookups!$F$29:$H$43,3,FALSE),1))</f>
        <v>0.98031878267063854</v>
      </c>
      <c r="BW192" s="4">
        <f>_xlfn.IFNA(VLOOKUP(Grandview_Inventory[[#This Row],[living_area_range]],Lookups!$F$47:$H$56,3,FALSE),1)</f>
        <v>0.96135087979789358</v>
      </c>
      <c r="BX192" s="4">
        <f>AVERAGE(Grandview_Inventory[[#This Row],[qual_adj]:[size_adj]])</f>
        <v>0.97352131733579794</v>
      </c>
      <c r="BY192" s="6">
        <f>IF(Grandview_Inventory[[#This Row],[pre_res]]&lt;0,0,Grandview_Inventory[[#This Row],[pre_res]]*Grandview_Inventory[[#This Row],[overall_adj]])</f>
        <v>224501.53150239194</v>
      </c>
      <c r="BZ192" s="6">
        <f>(Grandview_Inventory[[#This Row],[sum_land]]-IF(Grandview_Inventory[[#This Row],[no_utilities]]=1,12000,0))/IF(Grandview_Inventory[[#This Row],[unbuildable]]=1,2,1)</f>
        <v>47528.228511015397</v>
      </c>
      <c r="CA19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2">
        <f>ROUND(Grandview_Inventory[[#This Row],[det_value]]*Lookups!$M$28,-2)</f>
        <v>0</v>
      </c>
      <c r="CC192">
        <f>IF(ROUND(Grandview_Inventory[[#This Row],[adj_res]]*Lookups!$M$28,-2)&lt;Grandview_Inventory[[#This Row],[min_res]],Grandview_Inventory[[#This Row],[min_res]],ROUND(Grandview_Inventory[[#This Row],[adj_res]]*Lookups!$M$28,-2))</f>
        <v>213300</v>
      </c>
      <c r="CD192">
        <f>Grandview_Inventory[[#This Row],[final_det]]+Grandview_Inventory[[#This Row],[final_res]]</f>
        <v>213300</v>
      </c>
      <c r="CE192">
        <f>Grandview_Inventory[[#This Row],[final_land]]+Grandview_Inventory[[#This Row],[final_imp]]+Grandview_Inventory[[#This Row],[crop_value]]</f>
        <v>258500</v>
      </c>
      <c r="CG192" t="str">
        <f t="shared" si="2"/>
        <v>update valuation set market_land =45200, market_bldg=213300, market_total =258500, market_mdno =401, market_date ='9/10/2023' where link_id = (select link_id from parcel where parcel_year = '2024' and parcel_id = '23091433583');</v>
      </c>
    </row>
    <row r="193" spans="1:85" x14ac:dyDescent="0.25">
      <c r="A193">
        <v>23091433584</v>
      </c>
      <c r="B193">
        <v>0.2</v>
      </c>
      <c r="C193" t="s">
        <v>129</v>
      </c>
      <c r="D193" t="s">
        <v>129</v>
      </c>
      <c r="E193" t="s">
        <v>53</v>
      </c>
      <c r="F193" t="s">
        <v>53</v>
      </c>
      <c r="G193">
        <v>4</v>
      </c>
      <c r="H193" t="s">
        <v>54</v>
      </c>
      <c r="I193">
        <v>142700</v>
      </c>
      <c r="J193">
        <v>39300</v>
      </c>
      <c r="K193">
        <v>0.2</v>
      </c>
      <c r="L19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93">
        <v>0</v>
      </c>
      <c r="N193">
        <v>0</v>
      </c>
      <c r="O193">
        <v>0</v>
      </c>
      <c r="P193">
        <v>13398.7528</v>
      </c>
      <c r="Q193">
        <v>63903</v>
      </c>
      <c r="R193">
        <f>(Grandview_Inventory[[#This Row],[ln_acres]]*Grandview_Inventory[[#This Row],[coeff]])+Grandview_Inventory[[#This Row],[const]]</f>
        <v>42338.539264347448</v>
      </c>
      <c r="S193" t="s">
        <v>61</v>
      </c>
      <c r="T193">
        <v>1</v>
      </c>
      <c r="U193" t="s">
        <v>70</v>
      </c>
      <c r="V193" t="s">
        <v>69</v>
      </c>
      <c r="W193">
        <v>0</v>
      </c>
      <c r="X193">
        <v>0</v>
      </c>
      <c r="Y193">
        <v>31</v>
      </c>
      <c r="Z193">
        <v>36</v>
      </c>
      <c r="AA193">
        <v>40</v>
      </c>
      <c r="AB193">
        <v>1500</v>
      </c>
      <c r="AC193">
        <v>1200</v>
      </c>
      <c r="AD193">
        <v>1200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5</v>
      </c>
      <c r="AQ193">
        <v>0</v>
      </c>
      <c r="AR193">
        <v>0</v>
      </c>
      <c r="AS193" t="s">
        <v>58</v>
      </c>
      <c r="AT193">
        <v>1</v>
      </c>
      <c r="AU193" t="s">
        <v>75</v>
      </c>
      <c r="AV193" t="s">
        <v>60</v>
      </c>
      <c r="AW193">
        <v>0</v>
      </c>
      <c r="AX193">
        <v>3</v>
      </c>
      <c r="AY193">
        <v>0</v>
      </c>
      <c r="AZ193">
        <v>0</v>
      </c>
      <c r="BA193">
        <v>100</v>
      </c>
      <c r="BB193">
        <v>100</v>
      </c>
      <c r="BC193">
        <v>100</v>
      </c>
      <c r="BD193">
        <v>100</v>
      </c>
      <c r="BE193">
        <v>1</v>
      </c>
      <c r="BF193">
        <v>15000</v>
      </c>
      <c r="BG193">
        <v>1000</v>
      </c>
      <c r="BH193" s="6">
        <f>Grandview_Inventory[[#This Row],[land_extract]]*Lookups!$B$3</f>
        <v>49167.631333630678</v>
      </c>
      <c r="BI193" s="6">
        <f>IF(Grandview_Inventory[[#This Row],[bldg_style]]="",0,Lookups!$B$2)</f>
        <v>155833.95000000001</v>
      </c>
      <c r="BJ193" s="6">
        <f>_xlfn.IFNA(VLOOKUP(Grandview_Inventory[[#This Row],[quality]],Lookups!$H$2:$J$14,3,FALSE),0)</f>
        <v>10733</v>
      </c>
      <c r="BK193" s="6">
        <f>_xlfn.IFNA(VLOOKUP(Grandview_Inventory[[#This Row],[condition]],Lookups!$H$17:$J$24,3,FALSE),0)</f>
        <v>-4503</v>
      </c>
      <c r="BL193" s="6">
        <f>Grandview_Inventory[[#This Row],[Eff_Age]]*Lookups!$B$14</f>
        <v>-7414.1646000000001</v>
      </c>
      <c r="BM193" s="6">
        <f>Grandview_Inventory[[#This Row],[living_area]]*Lookups!$B$15</f>
        <v>74857.0236</v>
      </c>
      <c r="BN193" s="6">
        <f>Grandview_Inventory[[#This Row],[Fin BSMT]]*Lookups!$B$16</f>
        <v>0</v>
      </c>
      <c r="BO193" s="6">
        <f>(Grandview_Inventory[[#This Row],[att_gar]]+Grandview_Inventory[[#This Row],[bltin_gar]])*Lookups!$B$17</f>
        <v>0</v>
      </c>
      <c r="BP193" s="6">
        <f>Grandview_Inventory[[#This Row],[Plumbing Fixtures]]*Lookups!$B$18</f>
        <v>10052.209000000001</v>
      </c>
      <c r="BQ193" s="6">
        <f>Grandview_Inventory[[#This Row],[detatched_value]]*Lookups!$B$19</f>
        <v>0</v>
      </c>
      <c r="BR193" s="6">
        <f>SUM(Grandview_Inventory[[#This Row],[Intercept]:[det_value]])*Grandview_Inventory[[#This Row],[res_pct]]</f>
        <v>239559.01800000001</v>
      </c>
      <c r="BS193" s="6">
        <f>Grandview_Inventory[[#This Row],[land_value]]</f>
        <v>49167.631333630678</v>
      </c>
      <c r="BT193" s="4">
        <f>_xlfn.IFNA(VLOOKUP(Grandview_Inventory[[#This Row],[quality]],Lookups!$A$26:$C$33,3,FALSE),1)</f>
        <v>0.98079741117310582</v>
      </c>
      <c r="BU193" s="4">
        <f>_xlfn.IFNA(VLOOKUP(Grandview_Inventory[[#This Row],[condition]],Lookups!$A$37:$C$44,3,FALSE),1)</f>
        <v>0.96469275950863709</v>
      </c>
      <c r="BV193" s="4">
        <f>IF(Grandview_Inventory[[#This Row],[bldg_style]]="",1,_xlfn.IFNA(VLOOKUP(Grandview_Inventory[[#This Row],[decade]],Lookups!$F$29:$H$43,3,FALSE),1))</f>
        <v>0.98031878267063854</v>
      </c>
      <c r="BW193" s="4">
        <f>_xlfn.IFNA(VLOOKUP(Grandview_Inventory[[#This Row],[living_area_range]],Lookups!$F$47:$H$56,3,FALSE),1)</f>
        <v>0.96135087979789358</v>
      </c>
      <c r="BX193" s="4">
        <f>AVERAGE(Grandview_Inventory[[#This Row],[qual_adj]:[size_adj]])</f>
        <v>0.97178995828756876</v>
      </c>
      <c r="BY193" s="6">
        <f>IF(Grandview_Inventory[[#This Row],[pre_res]]&lt;0,0,Grandview_Inventory[[#This Row],[pre_res]]*Grandview_Inventory[[#This Row],[overall_adj]])</f>
        <v>232801.04810963094</v>
      </c>
      <c r="BZ193" s="6">
        <f>(Grandview_Inventory[[#This Row],[sum_land]]-IF(Grandview_Inventory[[#This Row],[no_utilities]]=1,12000,0))/IF(Grandview_Inventory[[#This Row],[unbuildable]]=1,2,1)</f>
        <v>49167.631333630678</v>
      </c>
      <c r="CA19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93">
        <f>ROUND(Grandview_Inventory[[#This Row],[det_value]]*Lookups!$M$28,-2)</f>
        <v>0</v>
      </c>
      <c r="CC193">
        <f>IF(ROUND(Grandview_Inventory[[#This Row],[adj_res]]*Lookups!$M$28,-2)&lt;Grandview_Inventory[[#This Row],[min_res]],Grandview_Inventory[[#This Row],[min_res]],ROUND(Grandview_Inventory[[#This Row],[adj_res]]*Lookups!$M$28,-2))</f>
        <v>221200</v>
      </c>
      <c r="CD193">
        <f>Grandview_Inventory[[#This Row],[final_det]]+Grandview_Inventory[[#This Row],[final_res]]</f>
        <v>221200</v>
      </c>
      <c r="CE193">
        <f>Grandview_Inventory[[#This Row],[final_land]]+Grandview_Inventory[[#This Row],[final_imp]]+Grandview_Inventory[[#This Row],[crop_value]]</f>
        <v>267900</v>
      </c>
      <c r="CG193" t="str">
        <f t="shared" si="2"/>
        <v>update valuation set market_land =46700, market_bldg=221200, market_total =267900, market_mdno =401, market_date ='9/10/2023' where link_id = (select link_id from parcel where parcel_year = '2024' and parcel_id = '23091433584');</v>
      </c>
    </row>
    <row r="194" spans="1:85" x14ac:dyDescent="0.25">
      <c r="A194">
        <v>23091433585</v>
      </c>
      <c r="B194">
        <v>0.16</v>
      </c>
      <c r="C194" t="s">
        <v>129</v>
      </c>
      <c r="D194" t="s">
        <v>129</v>
      </c>
      <c r="E194" t="s">
        <v>53</v>
      </c>
      <c r="F194" t="s">
        <v>53</v>
      </c>
      <c r="G194">
        <v>4</v>
      </c>
      <c r="H194" t="s">
        <v>54</v>
      </c>
      <c r="I194">
        <v>207800</v>
      </c>
      <c r="J194">
        <v>38600</v>
      </c>
      <c r="K194">
        <v>0.16</v>
      </c>
      <c r="L19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">
        <v>0</v>
      </c>
      <c r="N194">
        <v>0</v>
      </c>
      <c r="O194">
        <v>0</v>
      </c>
      <c r="P194">
        <v>13398.7528</v>
      </c>
      <c r="Q194">
        <v>63903</v>
      </c>
      <c r="R194">
        <f>(Grandview_Inventory[[#This Row],[ln_acres]]*Grandview_Inventory[[#This Row],[coeff]])+Grandview_Inventory[[#This Row],[const]]</f>
        <v>39348.693981374228</v>
      </c>
      <c r="S194" t="s">
        <v>61</v>
      </c>
      <c r="T194">
        <v>1</v>
      </c>
      <c r="U194" t="s">
        <v>65</v>
      </c>
      <c r="V194" t="s">
        <v>66</v>
      </c>
      <c r="W194">
        <v>0</v>
      </c>
      <c r="X194">
        <v>0</v>
      </c>
      <c r="Y194">
        <v>18</v>
      </c>
      <c r="Z194">
        <v>18</v>
      </c>
      <c r="AA194">
        <v>20</v>
      </c>
      <c r="AB194">
        <v>1500</v>
      </c>
      <c r="AC194">
        <v>1270</v>
      </c>
      <c r="AD194">
        <v>1270</v>
      </c>
      <c r="AE194">
        <v>0</v>
      </c>
      <c r="AF194">
        <v>0</v>
      </c>
      <c r="AG194">
        <v>0</v>
      </c>
      <c r="AH194">
        <v>0</v>
      </c>
      <c r="AI194">
        <v>200</v>
      </c>
      <c r="AJ194">
        <v>0</v>
      </c>
      <c r="AK194">
        <v>0</v>
      </c>
      <c r="AL194">
        <v>0</v>
      </c>
      <c r="AM194">
        <v>176</v>
      </c>
      <c r="AN194">
        <v>0</v>
      </c>
      <c r="AO194">
        <v>0</v>
      </c>
      <c r="AP194">
        <v>8</v>
      </c>
      <c r="AQ194">
        <v>0</v>
      </c>
      <c r="AR194">
        <v>0</v>
      </c>
      <c r="AS194" t="s">
        <v>58</v>
      </c>
      <c r="AT194">
        <v>1</v>
      </c>
      <c r="AU194" t="s">
        <v>59</v>
      </c>
      <c r="AV194" t="s">
        <v>60</v>
      </c>
      <c r="AW194">
        <v>1</v>
      </c>
      <c r="AX194">
        <v>3</v>
      </c>
      <c r="AY194">
        <v>0</v>
      </c>
      <c r="AZ194">
        <v>0</v>
      </c>
      <c r="BA194">
        <v>100</v>
      </c>
      <c r="BB194">
        <v>100</v>
      </c>
      <c r="BC194">
        <v>100</v>
      </c>
      <c r="BD194">
        <v>100</v>
      </c>
      <c r="BE194">
        <v>1</v>
      </c>
      <c r="BF194">
        <v>15000</v>
      </c>
      <c r="BG194">
        <v>1000</v>
      </c>
      <c r="BH194" s="6">
        <f>Grandview_Inventory[[#This Row],[land_extract]]*Lookups!$B$3</f>
        <v>45695.532079096141</v>
      </c>
      <c r="BI194" s="6">
        <f>IF(Grandview_Inventory[[#This Row],[bldg_style]]="",0,Lookups!$B$2)</f>
        <v>155833.95000000001</v>
      </c>
      <c r="BJ194" s="6">
        <f>_xlfn.IFNA(VLOOKUP(Grandview_Inventory[[#This Row],[quality]],Lookups!$H$2:$J$14,3,FALSE),0)</f>
        <v>2251</v>
      </c>
      <c r="BK194" s="6">
        <f>_xlfn.IFNA(VLOOKUP(Grandview_Inventory[[#This Row],[condition]],Lookups!$H$17:$J$24,3,FALSE),0)</f>
        <v>25818</v>
      </c>
      <c r="BL194" s="6">
        <f>Grandview_Inventory[[#This Row],[Eff_Age]]*Lookups!$B$14</f>
        <v>-4304.9987999999994</v>
      </c>
      <c r="BM194" s="6">
        <f>Grandview_Inventory[[#This Row],[living_area]]*Lookups!$B$15</f>
        <v>79223.683310000008</v>
      </c>
      <c r="BN194" s="6">
        <f>Grandview_Inventory[[#This Row],[Fin BSMT]]*Lookups!$B$16</f>
        <v>0</v>
      </c>
      <c r="BO194" s="6">
        <f>(Grandview_Inventory[[#This Row],[att_gar]]+Grandview_Inventory[[#This Row],[bltin_gar]])*Lookups!$B$17</f>
        <v>17504.0874</v>
      </c>
      <c r="BP194" s="6">
        <f>Grandview_Inventory[[#This Row],[Plumbing Fixtures]]*Lookups!$B$18</f>
        <v>16083.5344</v>
      </c>
      <c r="BQ194" s="6">
        <f>Grandview_Inventory[[#This Row],[detatched_value]]*Lookups!$B$19</f>
        <v>0</v>
      </c>
      <c r="BR194" s="6">
        <f>SUM(Grandview_Inventory[[#This Row],[Intercept]:[det_value]])*Grandview_Inventory[[#This Row],[res_pct]]</f>
        <v>292409.25631000003</v>
      </c>
      <c r="BS194" s="6">
        <f>Grandview_Inventory[[#This Row],[land_value]]</f>
        <v>45695.532079096141</v>
      </c>
      <c r="BT194" s="4">
        <f>_xlfn.IFNA(VLOOKUP(Grandview_Inventory[[#This Row],[quality]],Lookups!$A$26:$C$33,3,FALSE),1)</f>
        <v>0.98763855981004833</v>
      </c>
      <c r="BU194" s="4">
        <f>_xlfn.IFNA(VLOOKUP(Grandview_Inventory[[#This Row],[condition]],Lookups!$A$37:$C$44,3,FALSE),1)</f>
        <v>0.96661476234146892</v>
      </c>
      <c r="BV194" s="4">
        <f>IF(Grandview_Inventory[[#This Row],[bldg_style]]="",1,_xlfn.IFNA(VLOOKUP(Grandview_Inventory[[#This Row],[decade]],Lookups!$F$29:$H$43,3,FALSE),1))</f>
        <v>0.96737494181490646</v>
      </c>
      <c r="BW194" s="4">
        <f>_xlfn.IFNA(VLOOKUP(Grandview_Inventory[[#This Row],[living_area_range]],Lookups!$F$47:$H$56,3,FALSE),1)</f>
        <v>0.96135087979789358</v>
      </c>
      <c r="BX194" s="4">
        <f>AVERAGE(Grandview_Inventory[[#This Row],[qual_adj]:[size_adj]])</f>
        <v>0.97074478594107938</v>
      </c>
      <c r="BY194" s="6">
        <f>IF(Grandview_Inventory[[#This Row],[pre_res]]&lt;0,0,Grandview_Inventory[[#This Row],[pre_res]]*Grandview_Inventory[[#This Row],[overall_adj]])</f>
        <v>283854.76092384121</v>
      </c>
      <c r="BZ194" s="6">
        <f>(Grandview_Inventory[[#This Row],[sum_land]]-IF(Grandview_Inventory[[#This Row],[no_utilities]]=1,12000,0))/IF(Grandview_Inventory[[#This Row],[unbuildable]]=1,2,1)</f>
        <v>45695.532079096141</v>
      </c>
      <c r="CA19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">
        <f>ROUND(Grandview_Inventory[[#This Row],[det_value]]*Lookups!$M$28,-2)</f>
        <v>0</v>
      </c>
      <c r="CC194">
        <f>IF(ROUND(Grandview_Inventory[[#This Row],[adj_res]]*Lookups!$M$28,-2)&lt;Grandview_Inventory[[#This Row],[min_res]],Grandview_Inventory[[#This Row],[min_res]],ROUND(Grandview_Inventory[[#This Row],[adj_res]]*Lookups!$M$28,-2))</f>
        <v>269700</v>
      </c>
      <c r="CD194">
        <f>Grandview_Inventory[[#This Row],[final_det]]+Grandview_Inventory[[#This Row],[final_res]]</f>
        <v>269700</v>
      </c>
      <c r="CE194">
        <f>Grandview_Inventory[[#This Row],[final_land]]+Grandview_Inventory[[#This Row],[final_imp]]+Grandview_Inventory[[#This Row],[crop_value]]</f>
        <v>313100</v>
      </c>
      <c r="CG194" t="str">
        <f t="shared" si="2"/>
        <v>update valuation set market_land =43400, market_bldg=269700, market_total =313100, market_mdno =401, market_date ='9/10/2023' where link_id = (select link_id from parcel where parcel_year = '2024' and parcel_id = '23091433585');</v>
      </c>
    </row>
    <row r="195" spans="1:85" x14ac:dyDescent="0.25">
      <c r="A195">
        <v>23091433587</v>
      </c>
      <c r="B195">
        <v>0.16</v>
      </c>
      <c r="C195" t="s">
        <v>129</v>
      </c>
      <c r="D195" t="s">
        <v>129</v>
      </c>
      <c r="E195" t="s">
        <v>53</v>
      </c>
      <c r="F195" t="s">
        <v>53</v>
      </c>
      <c r="G195">
        <v>4</v>
      </c>
      <c r="H195" t="s">
        <v>54</v>
      </c>
      <c r="I195">
        <v>159800</v>
      </c>
      <c r="J195">
        <v>38600</v>
      </c>
      <c r="K195">
        <v>0.16</v>
      </c>
      <c r="L19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5">
        <v>0</v>
      </c>
      <c r="N195">
        <v>0</v>
      </c>
      <c r="O195">
        <v>0</v>
      </c>
      <c r="P195">
        <v>13398.7528</v>
      </c>
      <c r="Q195">
        <v>63903</v>
      </c>
      <c r="R195">
        <f>(Grandview_Inventory[[#This Row],[ln_acres]]*Grandview_Inventory[[#This Row],[coeff]])+Grandview_Inventory[[#This Row],[const]]</f>
        <v>39348.693981374228</v>
      </c>
      <c r="S195" t="s">
        <v>61</v>
      </c>
      <c r="T195">
        <v>1</v>
      </c>
      <c r="U195" t="s">
        <v>70</v>
      </c>
      <c r="V195" t="s">
        <v>69</v>
      </c>
      <c r="W195">
        <v>0</v>
      </c>
      <c r="X195">
        <v>0</v>
      </c>
      <c r="Y195">
        <v>39</v>
      </c>
      <c r="Z195">
        <v>39</v>
      </c>
      <c r="AA195">
        <v>40</v>
      </c>
      <c r="AB195">
        <v>1500</v>
      </c>
      <c r="AC195">
        <v>1484</v>
      </c>
      <c r="AD195">
        <v>1484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240</v>
      </c>
      <c r="AN195">
        <v>70</v>
      </c>
      <c r="AO195">
        <v>240</v>
      </c>
      <c r="AP195">
        <v>8</v>
      </c>
      <c r="AQ195">
        <v>0</v>
      </c>
      <c r="AR195">
        <v>0</v>
      </c>
      <c r="AS195" t="s">
        <v>58</v>
      </c>
      <c r="AT195">
        <v>1</v>
      </c>
      <c r="AU195" t="s">
        <v>75</v>
      </c>
      <c r="AV195" t="s">
        <v>60</v>
      </c>
      <c r="AW195">
        <v>0</v>
      </c>
      <c r="AX195">
        <v>3</v>
      </c>
      <c r="AY195">
        <v>0</v>
      </c>
      <c r="AZ195">
        <v>0</v>
      </c>
      <c r="BA195">
        <v>100</v>
      </c>
      <c r="BB195">
        <v>100</v>
      </c>
      <c r="BC195">
        <v>100</v>
      </c>
      <c r="BD195">
        <v>100</v>
      </c>
      <c r="BE195">
        <v>1</v>
      </c>
      <c r="BF195">
        <v>15000</v>
      </c>
      <c r="BG195">
        <v>1000</v>
      </c>
      <c r="BH195" s="6">
        <f>Grandview_Inventory[[#This Row],[land_extract]]*Lookups!$B$3</f>
        <v>45695.532079096141</v>
      </c>
      <c r="BI195" s="6">
        <f>IF(Grandview_Inventory[[#This Row],[bldg_style]]="",0,Lookups!$B$2)</f>
        <v>155833.95000000001</v>
      </c>
      <c r="BJ195" s="6">
        <f>_xlfn.IFNA(VLOOKUP(Grandview_Inventory[[#This Row],[quality]],Lookups!$H$2:$J$14,3,FALSE),0)</f>
        <v>10733</v>
      </c>
      <c r="BK195" s="6">
        <f>_xlfn.IFNA(VLOOKUP(Grandview_Inventory[[#This Row],[condition]],Lookups!$H$17:$J$24,3,FALSE),0)</f>
        <v>-4503</v>
      </c>
      <c r="BL195" s="6">
        <f>Grandview_Inventory[[#This Row],[Eff_Age]]*Lookups!$B$14</f>
        <v>-9327.4974000000002</v>
      </c>
      <c r="BM195" s="6">
        <f>Grandview_Inventory[[#This Row],[living_area]]*Lookups!$B$15</f>
        <v>92573.18585200001</v>
      </c>
      <c r="BN195" s="6">
        <f>Grandview_Inventory[[#This Row],[Fin BSMT]]*Lookups!$B$16</f>
        <v>0</v>
      </c>
      <c r="BO195" s="6">
        <f>(Grandview_Inventory[[#This Row],[att_gar]]+Grandview_Inventory[[#This Row],[bltin_gar]])*Lookups!$B$17</f>
        <v>0</v>
      </c>
      <c r="BP195" s="6">
        <f>Grandview_Inventory[[#This Row],[Plumbing Fixtures]]*Lookups!$B$18</f>
        <v>16083.5344</v>
      </c>
      <c r="BQ195" s="6">
        <f>Grandview_Inventory[[#This Row],[detatched_value]]*Lookups!$B$19</f>
        <v>0</v>
      </c>
      <c r="BR195" s="6">
        <f>SUM(Grandview_Inventory[[#This Row],[Intercept]:[det_value]])*Grandview_Inventory[[#This Row],[res_pct]]</f>
        <v>261393.17285200005</v>
      </c>
      <c r="BS195" s="6">
        <f>Grandview_Inventory[[#This Row],[land_value]]</f>
        <v>45695.532079096141</v>
      </c>
      <c r="BT195" s="4">
        <f>_xlfn.IFNA(VLOOKUP(Grandview_Inventory[[#This Row],[quality]],Lookups!$A$26:$C$33,3,FALSE),1)</f>
        <v>0.98079741117310582</v>
      </c>
      <c r="BU195" s="4">
        <f>_xlfn.IFNA(VLOOKUP(Grandview_Inventory[[#This Row],[condition]],Lookups!$A$37:$C$44,3,FALSE),1)</f>
        <v>0.96469275950863709</v>
      </c>
      <c r="BV195" s="4">
        <f>IF(Grandview_Inventory[[#This Row],[bldg_style]]="",1,_xlfn.IFNA(VLOOKUP(Grandview_Inventory[[#This Row],[decade]],Lookups!$F$29:$H$43,3,FALSE),1))</f>
        <v>0.98031878267063854</v>
      </c>
      <c r="BW195" s="4">
        <f>_xlfn.IFNA(VLOOKUP(Grandview_Inventory[[#This Row],[living_area_range]],Lookups!$F$47:$H$56,3,FALSE),1)</f>
        <v>0.96135087979789358</v>
      </c>
      <c r="BX195" s="4">
        <f>AVERAGE(Grandview_Inventory[[#This Row],[qual_adj]:[size_adj]])</f>
        <v>0.97178995828756876</v>
      </c>
      <c r="BY195" s="6">
        <f>IF(Grandview_Inventory[[#This Row],[pre_res]]&lt;0,0,Grandview_Inventory[[#This Row],[pre_res]]*Grandview_Inventory[[#This Row],[overall_adj]])</f>
        <v>254019.26054250039</v>
      </c>
      <c r="BZ195" s="6">
        <f>(Grandview_Inventory[[#This Row],[sum_land]]-IF(Grandview_Inventory[[#This Row],[no_utilities]]=1,12000,0))/IF(Grandview_Inventory[[#This Row],[unbuildable]]=1,2,1)</f>
        <v>45695.532079096141</v>
      </c>
      <c r="CA19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5">
        <f>ROUND(Grandview_Inventory[[#This Row],[det_value]]*Lookups!$M$28,-2)</f>
        <v>0</v>
      </c>
      <c r="CC195">
        <f>IF(ROUND(Grandview_Inventory[[#This Row],[adj_res]]*Lookups!$M$28,-2)&lt;Grandview_Inventory[[#This Row],[min_res]],Grandview_Inventory[[#This Row],[min_res]],ROUND(Grandview_Inventory[[#This Row],[adj_res]]*Lookups!$M$28,-2))</f>
        <v>241300</v>
      </c>
      <c r="CD195">
        <f>Grandview_Inventory[[#This Row],[final_det]]+Grandview_Inventory[[#This Row],[final_res]]</f>
        <v>241300</v>
      </c>
      <c r="CE195">
        <f>Grandview_Inventory[[#This Row],[final_land]]+Grandview_Inventory[[#This Row],[final_imp]]+Grandview_Inventory[[#This Row],[crop_value]]</f>
        <v>284700</v>
      </c>
      <c r="CG195" t="str">
        <f t="shared" ref="CG195:CG258" si="3">"update valuation set market_land ="&amp;CA195&amp;", market_bldg="&amp;CD195&amp;", market_total ="&amp;CE195&amp;", market_mdno ="&amp;$CG$1&amp;", market_date ='"&amp;TEXT($CH$1,"m/d/yyyy")&amp;"' where link_id = (select link_id from parcel where parcel_year = '2024' and parcel_id = '"&amp;A195&amp;"');"</f>
        <v>update valuation set market_land =43400, market_bldg=241300, market_total =284700, market_mdno =401, market_date ='9/10/2023' where link_id = (select link_id from parcel where parcel_year = '2024' and parcel_id = '23091433587');</v>
      </c>
    </row>
    <row r="196" spans="1:85" x14ac:dyDescent="0.25">
      <c r="A196">
        <v>23091433589</v>
      </c>
      <c r="B196">
        <v>0.23</v>
      </c>
      <c r="C196">
        <v>10228</v>
      </c>
      <c r="D196" t="s">
        <v>129</v>
      </c>
      <c r="E196" t="s">
        <v>53</v>
      </c>
      <c r="F196" t="s">
        <v>53</v>
      </c>
      <c r="G196">
        <v>4</v>
      </c>
      <c r="H196" t="s">
        <v>54</v>
      </c>
      <c r="I196">
        <v>232400</v>
      </c>
      <c r="J196">
        <v>39700</v>
      </c>
      <c r="K196">
        <v>0.23</v>
      </c>
      <c r="L19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96">
        <v>0</v>
      </c>
      <c r="N196">
        <v>0</v>
      </c>
      <c r="O196">
        <v>0</v>
      </c>
      <c r="P196">
        <v>13398.7528</v>
      </c>
      <c r="Q196">
        <v>63903</v>
      </c>
      <c r="R196">
        <f>(Grandview_Inventory[[#This Row],[ln_acres]]*Grandview_Inventory[[#This Row],[coeff]])+Grandview_Inventory[[#This Row],[const]]</f>
        <v>44211.174981080039</v>
      </c>
      <c r="S196" t="s">
        <v>55</v>
      </c>
      <c r="T196">
        <v>2</v>
      </c>
      <c r="U196" t="s">
        <v>65</v>
      </c>
      <c r="V196" t="s">
        <v>78</v>
      </c>
      <c r="W196">
        <v>0</v>
      </c>
      <c r="X196">
        <v>0</v>
      </c>
      <c r="Y196">
        <v>51</v>
      </c>
      <c r="Z196">
        <v>83</v>
      </c>
      <c r="AA196">
        <v>90</v>
      </c>
      <c r="AB196">
        <v>2500</v>
      </c>
      <c r="AC196">
        <v>2498</v>
      </c>
      <c r="AD196">
        <v>1346</v>
      </c>
      <c r="AE196">
        <v>816</v>
      </c>
      <c r="AF196">
        <v>0</v>
      </c>
      <c r="AG196">
        <v>336</v>
      </c>
      <c r="AH196">
        <v>1010</v>
      </c>
      <c r="AI196">
        <v>0</v>
      </c>
      <c r="AJ196">
        <v>0</v>
      </c>
      <c r="AK196">
        <v>0</v>
      </c>
      <c r="AL196">
        <v>0</v>
      </c>
      <c r="AM196">
        <v>468</v>
      </c>
      <c r="AN196">
        <v>24</v>
      </c>
      <c r="AO196">
        <v>468</v>
      </c>
      <c r="AP196">
        <v>9</v>
      </c>
      <c r="AQ196">
        <v>0</v>
      </c>
      <c r="AR196">
        <v>2</v>
      </c>
      <c r="AS196" t="s">
        <v>76</v>
      </c>
      <c r="AT196">
        <v>1</v>
      </c>
      <c r="AU196" t="s">
        <v>63</v>
      </c>
      <c r="AV196" t="s">
        <v>60</v>
      </c>
      <c r="AW196">
        <v>1</v>
      </c>
      <c r="AX196">
        <v>4</v>
      </c>
      <c r="AY196">
        <v>0</v>
      </c>
      <c r="AZ196">
        <v>16000</v>
      </c>
      <c r="BA196">
        <v>100</v>
      </c>
      <c r="BB196">
        <v>100</v>
      </c>
      <c r="BC196">
        <v>100</v>
      </c>
      <c r="BD196">
        <v>100</v>
      </c>
      <c r="BE196">
        <v>1</v>
      </c>
      <c r="BF196">
        <v>15000</v>
      </c>
      <c r="BG196">
        <v>1000</v>
      </c>
      <c r="BH196" s="6">
        <f>Grandview_Inventory[[#This Row],[land_extract]]*Lookups!$B$3</f>
        <v>51342.318135355803</v>
      </c>
      <c r="BI196" s="6">
        <f>IF(Grandview_Inventory[[#This Row],[bldg_style]]="",0,Lookups!$B$2)</f>
        <v>155833.95000000001</v>
      </c>
      <c r="BJ196" s="6">
        <f>_xlfn.IFNA(VLOOKUP(Grandview_Inventory[[#This Row],[quality]],Lookups!$H$2:$J$14,3,FALSE),0)</f>
        <v>2251</v>
      </c>
      <c r="BK196" s="6">
        <f>_xlfn.IFNA(VLOOKUP(Grandview_Inventory[[#This Row],[condition]],Lookups!$H$17:$J$24,3,FALSE),0)</f>
        <v>-45357</v>
      </c>
      <c r="BL196" s="6">
        <f>Grandview_Inventory[[#This Row],[Eff_Age]]*Lookups!$B$14</f>
        <v>-12197.496599999999</v>
      </c>
      <c r="BM196" s="6">
        <f>Grandview_Inventory[[#This Row],[living_area]]*Lookups!$B$15</f>
        <v>155827.37079400002</v>
      </c>
      <c r="BN196" s="6">
        <f>Grandview_Inventory[[#This Row],[Fin BSMT]]*Lookups!$B$16</f>
        <v>-9105.3446400000012</v>
      </c>
      <c r="BO196" s="6">
        <f>(Grandview_Inventory[[#This Row],[att_gar]]+Grandview_Inventory[[#This Row],[bltin_gar]])*Lookups!$B$17</f>
        <v>0</v>
      </c>
      <c r="BP196" s="6">
        <f>Grandview_Inventory[[#This Row],[Plumbing Fixtures]]*Lookups!$B$18</f>
        <v>18093.976200000001</v>
      </c>
      <c r="BQ196" s="6">
        <f>Grandview_Inventory[[#This Row],[detatched_value]]*Lookups!$B$19</f>
        <v>13548.881599999999</v>
      </c>
      <c r="BR196" s="6">
        <f>SUM(Grandview_Inventory[[#This Row],[Intercept]:[det_value]])*Grandview_Inventory[[#This Row],[res_pct]]</f>
        <v>278895.33735400008</v>
      </c>
      <c r="BS196" s="6">
        <f>Grandview_Inventory[[#This Row],[land_value]]</f>
        <v>51342.318135355803</v>
      </c>
      <c r="BT196" s="4">
        <f>_xlfn.IFNA(VLOOKUP(Grandview_Inventory[[#This Row],[quality]],Lookups!$A$26:$C$33,3,FALSE),1)</f>
        <v>0.98763855981004833</v>
      </c>
      <c r="BU196" s="4">
        <f>_xlfn.IFNA(VLOOKUP(Grandview_Inventory[[#This Row],[condition]],Lookups!$A$37:$C$44,3,FALSE),1)</f>
        <v>0.97161819570155394</v>
      </c>
      <c r="BV196" s="4">
        <f>IF(Grandview_Inventory[[#This Row],[bldg_style]]="",1,_xlfn.IFNA(VLOOKUP(Grandview_Inventory[[#This Row],[decade]],Lookups!$F$29:$H$43,3,FALSE),1))</f>
        <v>0.94161750052457416</v>
      </c>
      <c r="BW196" s="4">
        <f>_xlfn.IFNA(VLOOKUP(Grandview_Inventory[[#This Row],[living_area_range]],Lookups!$F$47:$H$56,3,FALSE),1)</f>
        <v>0.95799442568048754</v>
      </c>
      <c r="BX196" s="4">
        <f>AVERAGE(Grandview_Inventory[[#This Row],[qual_adj]:[size_adj]])</f>
        <v>0.96471717042916594</v>
      </c>
      <c r="BY196" s="6">
        <f>IF(Grandview_Inventory[[#This Row],[pre_res]]&lt;0,0,Grandview_Inventory[[#This Row],[pre_res]]*Grandview_Inventory[[#This Row],[overall_adj]])</f>
        <v>269055.12069803861</v>
      </c>
      <c r="BZ196" s="6">
        <f>(Grandview_Inventory[[#This Row],[sum_land]]-IF(Grandview_Inventory[[#This Row],[no_utilities]]=1,12000,0))/IF(Grandview_Inventory[[#This Row],[unbuildable]]=1,2,1)</f>
        <v>51342.318135355803</v>
      </c>
      <c r="CA19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96">
        <f>ROUND(Grandview_Inventory[[#This Row],[det_value]]*Lookups!$M$28,-2)</f>
        <v>12900</v>
      </c>
      <c r="CC196">
        <f>IF(ROUND(Grandview_Inventory[[#This Row],[adj_res]]*Lookups!$M$28,-2)&lt;Grandview_Inventory[[#This Row],[min_res]],Grandview_Inventory[[#This Row],[min_res]],ROUND(Grandview_Inventory[[#This Row],[adj_res]]*Lookups!$M$28,-2))</f>
        <v>255600</v>
      </c>
      <c r="CD196">
        <f>Grandview_Inventory[[#This Row],[final_det]]+Grandview_Inventory[[#This Row],[final_res]]</f>
        <v>268500</v>
      </c>
      <c r="CE196">
        <f>Grandview_Inventory[[#This Row],[final_land]]+Grandview_Inventory[[#This Row],[final_imp]]+Grandview_Inventory[[#This Row],[crop_value]]</f>
        <v>317300</v>
      </c>
      <c r="CG196" t="str">
        <f t="shared" si="3"/>
        <v>update valuation set market_land =48800, market_bldg=268500, market_total =317300, market_mdno =401, market_date ='9/10/2023' where link_id = (select link_id from parcel where parcel_year = '2024' and parcel_id = '23091433589');</v>
      </c>
    </row>
    <row r="197" spans="1:85" x14ac:dyDescent="0.25">
      <c r="A197">
        <v>23091433599</v>
      </c>
      <c r="B197">
        <v>0.42</v>
      </c>
      <c r="C197">
        <v>18360</v>
      </c>
      <c r="D197" t="s">
        <v>129</v>
      </c>
      <c r="E197" t="s">
        <v>53</v>
      </c>
      <c r="F197" t="s">
        <v>53</v>
      </c>
      <c r="G197">
        <v>4</v>
      </c>
      <c r="H197" t="s">
        <v>54</v>
      </c>
      <c r="I197">
        <v>225400</v>
      </c>
      <c r="J197">
        <v>41200</v>
      </c>
      <c r="K197">
        <v>0.42</v>
      </c>
      <c r="L197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197">
        <v>0</v>
      </c>
      <c r="N197">
        <v>0</v>
      </c>
      <c r="O197">
        <v>0</v>
      </c>
      <c r="P197">
        <v>13398.7528</v>
      </c>
      <c r="Q197">
        <v>63903</v>
      </c>
      <c r="R197">
        <f>(Grandview_Inventory[[#This Row],[ln_acres]]*Grandview_Inventory[[#This Row],[coeff]])+Grandview_Inventory[[#This Row],[const]]</f>
        <v>52279.574339464751</v>
      </c>
      <c r="S197" t="s">
        <v>61</v>
      </c>
      <c r="T197">
        <v>1</v>
      </c>
      <c r="U197" t="s">
        <v>65</v>
      </c>
      <c r="V197" t="s">
        <v>69</v>
      </c>
      <c r="W197">
        <v>0</v>
      </c>
      <c r="X197">
        <v>0</v>
      </c>
      <c r="Y197">
        <v>45</v>
      </c>
      <c r="Z197">
        <v>50</v>
      </c>
      <c r="AA197">
        <v>50</v>
      </c>
      <c r="AB197">
        <v>2000</v>
      </c>
      <c r="AC197">
        <v>1782</v>
      </c>
      <c r="AD197">
        <v>1782</v>
      </c>
      <c r="AE197">
        <v>0</v>
      </c>
      <c r="AF197">
        <v>0</v>
      </c>
      <c r="AG197">
        <v>0</v>
      </c>
      <c r="AH197">
        <v>0</v>
      </c>
      <c r="AI197">
        <v>324</v>
      </c>
      <c r="AJ197">
        <v>0</v>
      </c>
      <c r="AK197">
        <v>0</v>
      </c>
      <c r="AL197">
        <v>0</v>
      </c>
      <c r="AM197">
        <v>144</v>
      </c>
      <c r="AN197">
        <v>0</v>
      </c>
      <c r="AO197">
        <v>144</v>
      </c>
      <c r="AP197">
        <v>8</v>
      </c>
      <c r="AQ197">
        <v>0</v>
      </c>
      <c r="AR197">
        <v>0</v>
      </c>
      <c r="AS197" t="s">
        <v>71</v>
      </c>
      <c r="AT197">
        <v>1</v>
      </c>
      <c r="AU197" t="s">
        <v>63</v>
      </c>
      <c r="AV197" t="s">
        <v>60</v>
      </c>
      <c r="AW197">
        <v>0</v>
      </c>
      <c r="AX197">
        <v>3</v>
      </c>
      <c r="AY197">
        <v>0</v>
      </c>
      <c r="AZ197">
        <v>32200</v>
      </c>
      <c r="BA197">
        <v>100</v>
      </c>
      <c r="BB197">
        <v>100</v>
      </c>
      <c r="BC197">
        <v>100</v>
      </c>
      <c r="BD197">
        <v>100</v>
      </c>
      <c r="BE197">
        <v>1</v>
      </c>
      <c r="BF197">
        <v>15000</v>
      </c>
      <c r="BG197">
        <v>1000</v>
      </c>
      <c r="BH197" s="6">
        <f>Grandview_Inventory[[#This Row],[land_extract]]*Lookups!$B$3</f>
        <v>60712.1285255697</v>
      </c>
      <c r="BI197" s="6">
        <f>IF(Grandview_Inventory[[#This Row],[bldg_style]]="",0,Lookups!$B$2)</f>
        <v>155833.95000000001</v>
      </c>
      <c r="BJ197" s="6">
        <f>_xlfn.IFNA(VLOOKUP(Grandview_Inventory[[#This Row],[quality]],Lookups!$H$2:$J$14,3,FALSE),0)</f>
        <v>2251</v>
      </c>
      <c r="BK197" s="6">
        <f>_xlfn.IFNA(VLOOKUP(Grandview_Inventory[[#This Row],[condition]],Lookups!$H$17:$J$24,3,FALSE),0)</f>
        <v>-4503</v>
      </c>
      <c r="BL197" s="6">
        <f>Grandview_Inventory[[#This Row],[Eff_Age]]*Lookups!$B$14</f>
        <v>-10762.496999999999</v>
      </c>
      <c r="BM197" s="6">
        <f>Grandview_Inventory[[#This Row],[living_area]]*Lookups!$B$15</f>
        <v>111162.68004600001</v>
      </c>
      <c r="BN197" s="6">
        <f>Grandview_Inventory[[#This Row],[Fin BSMT]]*Lookups!$B$16</f>
        <v>0</v>
      </c>
      <c r="BO197" s="6">
        <f>(Grandview_Inventory[[#This Row],[att_gar]]+Grandview_Inventory[[#This Row],[bltin_gar]])*Lookups!$B$17</f>
        <v>28356.621588000002</v>
      </c>
      <c r="BP197" s="6">
        <f>Grandview_Inventory[[#This Row],[Plumbing Fixtures]]*Lookups!$B$18</f>
        <v>16083.5344</v>
      </c>
      <c r="BQ197" s="6">
        <f>Grandview_Inventory[[#This Row],[detatched_value]]*Lookups!$B$19</f>
        <v>27267.124219999998</v>
      </c>
      <c r="BR197" s="6">
        <f>SUM(Grandview_Inventory[[#This Row],[Intercept]:[det_value]])*Grandview_Inventory[[#This Row],[res_pct]]</f>
        <v>325689.41325400001</v>
      </c>
      <c r="BS197" s="6">
        <f>Grandview_Inventory[[#This Row],[land_value]]</f>
        <v>60712.1285255697</v>
      </c>
      <c r="BT197" s="4">
        <f>_xlfn.IFNA(VLOOKUP(Grandview_Inventory[[#This Row],[quality]],Lookups!$A$26:$C$33,3,FALSE),1)</f>
        <v>0.98763855981004833</v>
      </c>
      <c r="BU197" s="4">
        <f>_xlfn.IFNA(VLOOKUP(Grandview_Inventory[[#This Row],[condition]],Lookups!$A$37:$C$44,3,FALSE),1)</f>
        <v>0.96469275950863709</v>
      </c>
      <c r="BV197" s="4">
        <f>IF(Grandview_Inventory[[#This Row],[bldg_style]]="",1,_xlfn.IFNA(VLOOKUP(Grandview_Inventory[[#This Row],[decade]],Lookups!$F$29:$H$43,3,FALSE),1))</f>
        <v>0.9871940091910919</v>
      </c>
      <c r="BW197" s="4">
        <f>_xlfn.IFNA(VLOOKUP(Grandview_Inventory[[#This Row],[living_area_range]],Lookups!$F$47:$H$56,3,FALSE),1)</f>
        <v>0.96120133463014379</v>
      </c>
      <c r="BX197" s="4">
        <f>AVERAGE(Grandview_Inventory[[#This Row],[qual_adj]:[size_adj]])</f>
        <v>0.97518166578498033</v>
      </c>
      <c r="BY197" s="6">
        <f>IF(Grandview_Inventory[[#This Row],[pre_res]]&lt;0,0,Grandview_Inventory[[#This Row],[pre_res]]*Grandview_Inventory[[#This Row],[overall_adj]])</f>
        <v>317606.34454556857</v>
      </c>
      <c r="BZ197" s="6">
        <f>(Grandview_Inventory[[#This Row],[sum_land]]-IF(Grandview_Inventory[[#This Row],[no_utilities]]=1,12000,0))/IF(Grandview_Inventory[[#This Row],[unbuildable]]=1,2,1)</f>
        <v>60712.1285255697</v>
      </c>
      <c r="CA197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197">
        <f>ROUND(Grandview_Inventory[[#This Row],[det_value]]*Lookups!$M$28,-2)</f>
        <v>25900</v>
      </c>
      <c r="CC197">
        <f>IF(ROUND(Grandview_Inventory[[#This Row],[adj_res]]*Lookups!$M$28,-2)&lt;Grandview_Inventory[[#This Row],[min_res]],Grandview_Inventory[[#This Row],[min_res]],ROUND(Grandview_Inventory[[#This Row],[adj_res]]*Lookups!$M$28,-2))</f>
        <v>301700</v>
      </c>
      <c r="CD197">
        <f>Grandview_Inventory[[#This Row],[final_det]]+Grandview_Inventory[[#This Row],[final_res]]</f>
        <v>327600</v>
      </c>
      <c r="CE197">
        <f>Grandview_Inventory[[#This Row],[final_land]]+Grandview_Inventory[[#This Row],[final_imp]]+Grandview_Inventory[[#This Row],[crop_value]]</f>
        <v>385300</v>
      </c>
      <c r="CG197" t="str">
        <f t="shared" si="3"/>
        <v>update valuation set market_land =57700, market_bldg=327600, market_total =385300, market_mdno =401, market_date ='9/10/2023' where link_id = (select link_id from parcel where parcel_year = '2024' and parcel_id = '23091433599');</v>
      </c>
    </row>
    <row r="198" spans="1:85" x14ac:dyDescent="0.25">
      <c r="A198">
        <v>23091433600</v>
      </c>
      <c r="B198">
        <v>0.17</v>
      </c>
      <c r="C198">
        <v>7272</v>
      </c>
      <c r="D198" t="s">
        <v>129</v>
      </c>
      <c r="E198" t="s">
        <v>53</v>
      </c>
      <c r="F198" t="s">
        <v>53</v>
      </c>
      <c r="G198">
        <v>4</v>
      </c>
      <c r="H198" t="s">
        <v>54</v>
      </c>
      <c r="I198">
        <v>221800</v>
      </c>
      <c r="J198">
        <v>38800</v>
      </c>
      <c r="K198">
        <v>0.17</v>
      </c>
      <c r="L19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8">
        <v>0</v>
      </c>
      <c r="N198">
        <v>0</v>
      </c>
      <c r="O198">
        <v>0</v>
      </c>
      <c r="P198">
        <v>13398.7528</v>
      </c>
      <c r="Q198">
        <v>63903</v>
      </c>
      <c r="R198">
        <f>(Grandview_Inventory[[#This Row],[ln_acres]]*Grandview_Inventory[[#This Row],[coeff]])+Grandview_Inventory[[#This Row],[const]]</f>
        <v>40160.988302686128</v>
      </c>
      <c r="S198" t="s">
        <v>61</v>
      </c>
      <c r="T198">
        <v>1</v>
      </c>
      <c r="U198" t="s">
        <v>65</v>
      </c>
      <c r="V198" t="s">
        <v>67</v>
      </c>
      <c r="W198">
        <v>0</v>
      </c>
      <c r="X198">
        <v>0</v>
      </c>
      <c r="Y198">
        <v>19</v>
      </c>
      <c r="Z198">
        <v>19</v>
      </c>
      <c r="AA198">
        <v>20</v>
      </c>
      <c r="AB198">
        <v>1500</v>
      </c>
      <c r="AC198">
        <v>1422</v>
      </c>
      <c r="AD198">
        <v>1422</v>
      </c>
      <c r="AE198">
        <v>0</v>
      </c>
      <c r="AF198">
        <v>0</v>
      </c>
      <c r="AG198">
        <v>0</v>
      </c>
      <c r="AH198">
        <v>0</v>
      </c>
      <c r="AI198">
        <v>330</v>
      </c>
      <c r="AJ198">
        <v>0</v>
      </c>
      <c r="AK198">
        <v>0</v>
      </c>
      <c r="AL198">
        <v>0</v>
      </c>
      <c r="AM198">
        <v>250</v>
      </c>
      <c r="AN198">
        <v>76</v>
      </c>
      <c r="AO198">
        <v>0</v>
      </c>
      <c r="AP198">
        <v>8</v>
      </c>
      <c r="AQ198">
        <v>0</v>
      </c>
      <c r="AR198">
        <v>0</v>
      </c>
      <c r="AS198" t="s">
        <v>58</v>
      </c>
      <c r="AT198">
        <v>1</v>
      </c>
      <c r="AU198" t="s">
        <v>59</v>
      </c>
      <c r="AV198" t="s">
        <v>60</v>
      </c>
      <c r="AW198">
        <v>1</v>
      </c>
      <c r="AX198">
        <v>3</v>
      </c>
      <c r="AY198">
        <v>0</v>
      </c>
      <c r="AZ198">
        <v>0</v>
      </c>
      <c r="BA198">
        <v>100</v>
      </c>
      <c r="BB198">
        <v>100</v>
      </c>
      <c r="BC198">
        <v>100</v>
      </c>
      <c r="BD198">
        <v>100</v>
      </c>
      <c r="BE198">
        <v>1</v>
      </c>
      <c r="BF198">
        <v>15000</v>
      </c>
      <c r="BG198">
        <v>1000</v>
      </c>
      <c r="BH198" s="6">
        <f>Grandview_Inventory[[#This Row],[land_extract]]*Lookups!$B$3</f>
        <v>46638.847281240982</v>
      </c>
      <c r="BI198" s="6">
        <f>IF(Grandview_Inventory[[#This Row],[bldg_style]]="",0,Lookups!$B$2)</f>
        <v>155833.95000000001</v>
      </c>
      <c r="BJ198" s="6">
        <f>_xlfn.IFNA(VLOOKUP(Grandview_Inventory[[#This Row],[quality]],Lookups!$H$2:$J$14,3,FALSE),0)</f>
        <v>2251</v>
      </c>
      <c r="BK198" s="6">
        <f>_xlfn.IFNA(VLOOKUP(Grandview_Inventory[[#This Row],[condition]],Lookups!$H$17:$J$24,3,FALSE),0)</f>
        <v>22342</v>
      </c>
      <c r="BL198" s="6">
        <f>Grandview_Inventory[[#This Row],[Eff_Age]]*Lookups!$B$14</f>
        <v>-4544.1653999999999</v>
      </c>
      <c r="BM198" s="6">
        <f>Grandview_Inventory[[#This Row],[living_area]]*Lookups!$B$15</f>
        <v>88705.572966000007</v>
      </c>
      <c r="BN198" s="6">
        <f>Grandview_Inventory[[#This Row],[Fin BSMT]]*Lookups!$B$16</f>
        <v>0</v>
      </c>
      <c r="BO198" s="6">
        <f>(Grandview_Inventory[[#This Row],[att_gar]]+Grandview_Inventory[[#This Row],[bltin_gar]])*Lookups!$B$17</f>
        <v>28881.744210000001</v>
      </c>
      <c r="BP198" s="6">
        <f>Grandview_Inventory[[#This Row],[Plumbing Fixtures]]*Lookups!$B$18</f>
        <v>16083.5344</v>
      </c>
      <c r="BQ198" s="6">
        <f>Grandview_Inventory[[#This Row],[detatched_value]]*Lookups!$B$19</f>
        <v>0</v>
      </c>
      <c r="BR198" s="6">
        <f>SUM(Grandview_Inventory[[#This Row],[Intercept]:[det_value]])*Grandview_Inventory[[#This Row],[res_pct]]</f>
        <v>309553.636176</v>
      </c>
      <c r="BS198" s="6">
        <f>Grandview_Inventory[[#This Row],[land_value]]</f>
        <v>46638.847281240982</v>
      </c>
      <c r="BT198" s="4">
        <f>_xlfn.IFNA(VLOOKUP(Grandview_Inventory[[#This Row],[quality]],Lookups!$A$26:$C$33,3,FALSE),1)</f>
        <v>0.98763855981004833</v>
      </c>
      <c r="BU198" s="4">
        <f>_xlfn.IFNA(VLOOKUP(Grandview_Inventory[[#This Row],[condition]],Lookups!$A$37:$C$44,3,FALSE),1)</f>
        <v>0.97383723671140243</v>
      </c>
      <c r="BV198" s="4">
        <f>IF(Grandview_Inventory[[#This Row],[bldg_style]]="",1,_xlfn.IFNA(VLOOKUP(Grandview_Inventory[[#This Row],[decade]],Lookups!$F$29:$H$43,3,FALSE),1))</f>
        <v>0.96737494181490646</v>
      </c>
      <c r="BW198" s="4">
        <f>_xlfn.IFNA(VLOOKUP(Grandview_Inventory[[#This Row],[living_area_range]],Lookups!$F$47:$H$56,3,FALSE),1)</f>
        <v>0.96135087979789358</v>
      </c>
      <c r="BX198" s="4">
        <f>AVERAGE(Grandview_Inventory[[#This Row],[qual_adj]:[size_adj]])</f>
        <v>0.97255040453356267</v>
      </c>
      <c r="BY198" s="6">
        <f>IF(Grandview_Inventory[[#This Row],[pre_res]]&lt;0,0,Grandview_Inventory[[#This Row],[pre_res]]*Grandview_Inventory[[#This Row],[overall_adj]])</f>
        <v>301056.51408780407</v>
      </c>
      <c r="BZ198" s="6">
        <f>(Grandview_Inventory[[#This Row],[sum_land]]-IF(Grandview_Inventory[[#This Row],[no_utilities]]=1,12000,0))/IF(Grandview_Inventory[[#This Row],[unbuildable]]=1,2,1)</f>
        <v>46638.847281240982</v>
      </c>
      <c r="CA19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8">
        <f>ROUND(Grandview_Inventory[[#This Row],[det_value]]*Lookups!$M$28,-2)</f>
        <v>0</v>
      </c>
      <c r="CC198">
        <f>IF(ROUND(Grandview_Inventory[[#This Row],[adj_res]]*Lookups!$M$28,-2)&lt;Grandview_Inventory[[#This Row],[min_res]],Grandview_Inventory[[#This Row],[min_res]],ROUND(Grandview_Inventory[[#This Row],[adj_res]]*Lookups!$M$28,-2))</f>
        <v>286000</v>
      </c>
      <c r="CD198">
        <f>Grandview_Inventory[[#This Row],[final_det]]+Grandview_Inventory[[#This Row],[final_res]]</f>
        <v>286000</v>
      </c>
      <c r="CE198">
        <f>Grandview_Inventory[[#This Row],[final_land]]+Grandview_Inventory[[#This Row],[final_imp]]+Grandview_Inventory[[#This Row],[crop_value]]</f>
        <v>330300</v>
      </c>
      <c r="CG198" t="str">
        <f t="shared" si="3"/>
        <v>update valuation set market_land =44300, market_bldg=286000, market_total =330300, market_mdno =401, market_date ='9/10/2023' where link_id = (select link_id from parcel where parcel_year = '2024' and parcel_id = '23091433600');</v>
      </c>
    </row>
    <row r="199" spans="1:85" x14ac:dyDescent="0.25">
      <c r="A199">
        <v>23091433601</v>
      </c>
      <c r="B199">
        <v>0.16</v>
      </c>
      <c r="C199">
        <v>7023</v>
      </c>
      <c r="D199" t="s">
        <v>129</v>
      </c>
      <c r="E199" t="s">
        <v>53</v>
      </c>
      <c r="F199" t="s">
        <v>53</v>
      </c>
      <c r="G199">
        <v>4</v>
      </c>
      <c r="H199" t="s">
        <v>54</v>
      </c>
      <c r="I199">
        <v>214100</v>
      </c>
      <c r="J199">
        <v>42800</v>
      </c>
      <c r="K199">
        <v>0.16</v>
      </c>
      <c r="L19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9">
        <v>0</v>
      </c>
      <c r="N199">
        <v>0</v>
      </c>
      <c r="O199">
        <v>0</v>
      </c>
      <c r="P199">
        <v>13398.7528</v>
      </c>
      <c r="Q199">
        <v>63903</v>
      </c>
      <c r="R199">
        <f>(Grandview_Inventory[[#This Row],[ln_acres]]*Grandview_Inventory[[#This Row],[coeff]])+Grandview_Inventory[[#This Row],[const]]</f>
        <v>39348.693981374228</v>
      </c>
      <c r="S199" t="s">
        <v>61</v>
      </c>
      <c r="T199">
        <v>1</v>
      </c>
      <c r="U199" t="s">
        <v>65</v>
      </c>
      <c r="V199" t="s">
        <v>67</v>
      </c>
      <c r="W199">
        <v>0</v>
      </c>
      <c r="X199">
        <v>0</v>
      </c>
      <c r="Y199">
        <v>19</v>
      </c>
      <c r="Z199">
        <v>19</v>
      </c>
      <c r="AA199">
        <v>20</v>
      </c>
      <c r="AB199">
        <v>1500</v>
      </c>
      <c r="AC199">
        <v>1364</v>
      </c>
      <c r="AD199">
        <v>1364</v>
      </c>
      <c r="AE199">
        <v>0</v>
      </c>
      <c r="AF199">
        <v>0</v>
      </c>
      <c r="AG199">
        <v>0</v>
      </c>
      <c r="AH199">
        <v>0</v>
      </c>
      <c r="AI199">
        <v>260</v>
      </c>
      <c r="AJ199">
        <v>0</v>
      </c>
      <c r="AK199">
        <v>0</v>
      </c>
      <c r="AL199">
        <v>0</v>
      </c>
      <c r="AM199">
        <v>208</v>
      </c>
      <c r="AN199">
        <v>0</v>
      </c>
      <c r="AO199">
        <v>422</v>
      </c>
      <c r="AP199">
        <v>8</v>
      </c>
      <c r="AQ199">
        <v>0</v>
      </c>
      <c r="AR199">
        <v>0</v>
      </c>
      <c r="AS199" t="s">
        <v>58</v>
      </c>
      <c r="AT199">
        <v>1</v>
      </c>
      <c r="AU199" t="s">
        <v>59</v>
      </c>
      <c r="AV199" t="s">
        <v>60</v>
      </c>
      <c r="AW199">
        <v>1</v>
      </c>
      <c r="AX199">
        <v>3</v>
      </c>
      <c r="AY199">
        <v>0</v>
      </c>
      <c r="AZ199">
        <v>0</v>
      </c>
      <c r="BA199">
        <v>100</v>
      </c>
      <c r="BB199">
        <v>100</v>
      </c>
      <c r="BC199">
        <v>100</v>
      </c>
      <c r="BD199">
        <v>100</v>
      </c>
      <c r="BE199">
        <v>1</v>
      </c>
      <c r="BF199">
        <v>15000</v>
      </c>
      <c r="BG199">
        <v>1000</v>
      </c>
      <c r="BH199" s="6">
        <f>Grandview_Inventory[[#This Row],[land_extract]]*Lookups!$B$3</f>
        <v>45695.532079096141</v>
      </c>
      <c r="BI199" s="6">
        <f>IF(Grandview_Inventory[[#This Row],[bldg_style]]="",0,Lookups!$B$2)</f>
        <v>155833.95000000001</v>
      </c>
      <c r="BJ199" s="6">
        <f>_xlfn.IFNA(VLOOKUP(Grandview_Inventory[[#This Row],[quality]],Lookups!$H$2:$J$14,3,FALSE),0)</f>
        <v>2251</v>
      </c>
      <c r="BK199" s="6">
        <f>_xlfn.IFNA(VLOOKUP(Grandview_Inventory[[#This Row],[condition]],Lookups!$H$17:$J$24,3,FALSE),0)</f>
        <v>22342</v>
      </c>
      <c r="BL199" s="6">
        <f>Grandview_Inventory[[#This Row],[Eff_Age]]*Lookups!$B$14</f>
        <v>-4544.1653999999999</v>
      </c>
      <c r="BM199" s="6">
        <f>Grandview_Inventory[[#This Row],[living_area]]*Lookups!$B$15</f>
        <v>85087.483491999999</v>
      </c>
      <c r="BN199" s="6">
        <f>Grandview_Inventory[[#This Row],[Fin BSMT]]*Lookups!$B$16</f>
        <v>0</v>
      </c>
      <c r="BO199" s="6">
        <f>(Grandview_Inventory[[#This Row],[att_gar]]+Grandview_Inventory[[#This Row],[bltin_gar]])*Lookups!$B$17</f>
        <v>22755.313620000001</v>
      </c>
      <c r="BP199" s="6">
        <f>Grandview_Inventory[[#This Row],[Plumbing Fixtures]]*Lookups!$B$18</f>
        <v>16083.5344</v>
      </c>
      <c r="BQ199" s="6">
        <f>Grandview_Inventory[[#This Row],[detatched_value]]*Lookups!$B$19</f>
        <v>0</v>
      </c>
      <c r="BR199" s="6">
        <f>SUM(Grandview_Inventory[[#This Row],[Intercept]:[det_value]])*Grandview_Inventory[[#This Row],[res_pct]]</f>
        <v>299809.11611200002</v>
      </c>
      <c r="BS199" s="6">
        <f>Grandview_Inventory[[#This Row],[land_value]]</f>
        <v>45695.532079096141</v>
      </c>
      <c r="BT199" s="4">
        <f>_xlfn.IFNA(VLOOKUP(Grandview_Inventory[[#This Row],[quality]],Lookups!$A$26:$C$33,3,FALSE),1)</f>
        <v>0.98763855981004833</v>
      </c>
      <c r="BU199" s="4">
        <f>_xlfn.IFNA(VLOOKUP(Grandview_Inventory[[#This Row],[condition]],Lookups!$A$37:$C$44,3,FALSE),1)</f>
        <v>0.97383723671140243</v>
      </c>
      <c r="BV199" s="4">
        <f>IF(Grandview_Inventory[[#This Row],[bldg_style]]="",1,_xlfn.IFNA(VLOOKUP(Grandview_Inventory[[#This Row],[decade]],Lookups!$F$29:$H$43,3,FALSE),1))</f>
        <v>0.96737494181490646</v>
      </c>
      <c r="BW199" s="4">
        <f>_xlfn.IFNA(VLOOKUP(Grandview_Inventory[[#This Row],[living_area_range]],Lookups!$F$47:$H$56,3,FALSE),1)</f>
        <v>0.96135087979789358</v>
      </c>
      <c r="BX199" s="4">
        <f>AVERAGE(Grandview_Inventory[[#This Row],[qual_adj]:[size_adj]])</f>
        <v>0.97255040453356267</v>
      </c>
      <c r="BY199" s="6">
        <f>IF(Grandview_Inventory[[#This Row],[pre_res]]&lt;0,0,Grandview_Inventory[[#This Row],[pre_res]]*Grandview_Inventory[[#This Row],[overall_adj]])</f>
        <v>291579.47715757549</v>
      </c>
      <c r="BZ199" s="6">
        <f>(Grandview_Inventory[[#This Row],[sum_land]]-IF(Grandview_Inventory[[#This Row],[no_utilities]]=1,12000,0))/IF(Grandview_Inventory[[#This Row],[unbuildable]]=1,2,1)</f>
        <v>45695.532079096141</v>
      </c>
      <c r="CA19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9">
        <f>ROUND(Grandview_Inventory[[#This Row],[det_value]]*Lookups!$M$28,-2)</f>
        <v>0</v>
      </c>
      <c r="CC199">
        <f>IF(ROUND(Grandview_Inventory[[#This Row],[adj_res]]*Lookups!$M$28,-2)&lt;Grandview_Inventory[[#This Row],[min_res]],Grandview_Inventory[[#This Row],[min_res]],ROUND(Grandview_Inventory[[#This Row],[adj_res]]*Lookups!$M$28,-2))</f>
        <v>277000</v>
      </c>
      <c r="CD199">
        <f>Grandview_Inventory[[#This Row],[final_det]]+Grandview_Inventory[[#This Row],[final_res]]</f>
        <v>277000</v>
      </c>
      <c r="CE199">
        <f>Grandview_Inventory[[#This Row],[final_land]]+Grandview_Inventory[[#This Row],[final_imp]]+Grandview_Inventory[[#This Row],[crop_value]]</f>
        <v>320400</v>
      </c>
      <c r="CG199" t="str">
        <f t="shared" si="3"/>
        <v>update valuation set market_land =43400, market_bldg=277000, market_total =320400, market_mdno =401, market_date ='9/10/2023' where link_id = (select link_id from parcel where parcel_year = '2024' and parcel_id = '23091433601');</v>
      </c>
    </row>
    <row r="200" spans="1:85" x14ac:dyDescent="0.25">
      <c r="A200">
        <v>23091433602</v>
      </c>
      <c r="B200">
        <v>0.2</v>
      </c>
      <c r="C200">
        <v>8821</v>
      </c>
      <c r="D200" t="s">
        <v>129</v>
      </c>
      <c r="E200" t="s">
        <v>53</v>
      </c>
      <c r="F200" t="s">
        <v>53</v>
      </c>
      <c r="G200">
        <v>4</v>
      </c>
      <c r="H200" t="s">
        <v>54</v>
      </c>
      <c r="I200">
        <v>181200</v>
      </c>
      <c r="J200">
        <v>39300</v>
      </c>
      <c r="K200">
        <v>0.2</v>
      </c>
      <c r="L20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0">
        <v>0</v>
      </c>
      <c r="N200">
        <v>0</v>
      </c>
      <c r="O200">
        <v>0</v>
      </c>
      <c r="P200">
        <v>13398.7528</v>
      </c>
      <c r="Q200">
        <v>63903</v>
      </c>
      <c r="R200">
        <f>(Grandview_Inventory[[#This Row],[ln_acres]]*Grandview_Inventory[[#This Row],[coeff]])+Grandview_Inventory[[#This Row],[const]]</f>
        <v>42338.539264347448</v>
      </c>
      <c r="S200" t="s">
        <v>61</v>
      </c>
      <c r="T200">
        <v>1</v>
      </c>
      <c r="U200" t="s">
        <v>65</v>
      </c>
      <c r="V200" t="s">
        <v>69</v>
      </c>
      <c r="W200">
        <v>0</v>
      </c>
      <c r="X200">
        <v>0</v>
      </c>
      <c r="Y200">
        <v>19</v>
      </c>
      <c r="Z200">
        <v>19</v>
      </c>
      <c r="AA200">
        <v>20</v>
      </c>
      <c r="AB200">
        <v>2000</v>
      </c>
      <c r="AC200">
        <v>1664</v>
      </c>
      <c r="AD200">
        <v>1664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356</v>
      </c>
      <c r="AN200">
        <v>0</v>
      </c>
      <c r="AO200">
        <v>0</v>
      </c>
      <c r="AP200">
        <v>9</v>
      </c>
      <c r="AQ200">
        <v>0</v>
      </c>
      <c r="AR200">
        <v>0</v>
      </c>
      <c r="AS200" t="s">
        <v>58</v>
      </c>
      <c r="AT200">
        <v>1</v>
      </c>
      <c r="AU200" t="s">
        <v>63</v>
      </c>
      <c r="AV200" t="s">
        <v>60</v>
      </c>
      <c r="AW200">
        <v>1</v>
      </c>
      <c r="AX200">
        <v>3</v>
      </c>
      <c r="AY200">
        <v>0</v>
      </c>
      <c r="AZ200">
        <v>0</v>
      </c>
      <c r="BA200">
        <v>100</v>
      </c>
      <c r="BB200">
        <v>100</v>
      </c>
      <c r="BC200">
        <v>100</v>
      </c>
      <c r="BD200">
        <v>100</v>
      </c>
      <c r="BE200">
        <v>1</v>
      </c>
      <c r="BF200">
        <v>15000</v>
      </c>
      <c r="BG200">
        <v>1000</v>
      </c>
      <c r="BH200" s="6">
        <f>Grandview_Inventory[[#This Row],[land_extract]]*Lookups!$B$3</f>
        <v>49167.631333630678</v>
      </c>
      <c r="BI200" s="6">
        <f>IF(Grandview_Inventory[[#This Row],[bldg_style]]="",0,Lookups!$B$2)</f>
        <v>155833.95000000001</v>
      </c>
      <c r="BJ200" s="6">
        <f>_xlfn.IFNA(VLOOKUP(Grandview_Inventory[[#This Row],[quality]],Lookups!$H$2:$J$14,3,FALSE),0)</f>
        <v>2251</v>
      </c>
      <c r="BK200" s="6">
        <f>_xlfn.IFNA(VLOOKUP(Grandview_Inventory[[#This Row],[condition]],Lookups!$H$17:$J$24,3,FALSE),0)</f>
        <v>-4503</v>
      </c>
      <c r="BL200" s="6">
        <f>Grandview_Inventory[[#This Row],[Eff_Age]]*Lookups!$B$14</f>
        <v>-4544.1653999999999</v>
      </c>
      <c r="BM200" s="6">
        <f>Grandview_Inventory[[#This Row],[living_area]]*Lookups!$B$15</f>
        <v>103801.739392</v>
      </c>
      <c r="BN200" s="6">
        <f>Grandview_Inventory[[#This Row],[Fin BSMT]]*Lookups!$B$16</f>
        <v>0</v>
      </c>
      <c r="BO200" s="6">
        <f>(Grandview_Inventory[[#This Row],[att_gar]]+Grandview_Inventory[[#This Row],[bltin_gar]])*Lookups!$B$17</f>
        <v>0</v>
      </c>
      <c r="BP200" s="6">
        <f>Grandview_Inventory[[#This Row],[Plumbing Fixtures]]*Lookups!$B$18</f>
        <v>18093.976200000001</v>
      </c>
      <c r="BQ200" s="6">
        <f>Grandview_Inventory[[#This Row],[detatched_value]]*Lookups!$B$19</f>
        <v>0</v>
      </c>
      <c r="BR200" s="6">
        <f>SUM(Grandview_Inventory[[#This Row],[Intercept]:[det_value]])*Grandview_Inventory[[#This Row],[res_pct]]</f>
        <v>270933.50019200001</v>
      </c>
      <c r="BS200" s="6">
        <f>Grandview_Inventory[[#This Row],[land_value]]</f>
        <v>49167.631333630678</v>
      </c>
      <c r="BT200" s="4">
        <f>_xlfn.IFNA(VLOOKUP(Grandview_Inventory[[#This Row],[quality]],Lookups!$A$26:$C$33,3,FALSE),1)</f>
        <v>0.98763855981004833</v>
      </c>
      <c r="BU200" s="4">
        <f>_xlfn.IFNA(VLOOKUP(Grandview_Inventory[[#This Row],[condition]],Lookups!$A$37:$C$44,3,FALSE),1)</f>
        <v>0.96469275950863709</v>
      </c>
      <c r="BV200" s="4">
        <f>IF(Grandview_Inventory[[#This Row],[bldg_style]]="",1,_xlfn.IFNA(VLOOKUP(Grandview_Inventory[[#This Row],[decade]],Lookups!$F$29:$H$43,3,FALSE),1))</f>
        <v>0.96737494181490646</v>
      </c>
      <c r="BW200" s="4">
        <f>_xlfn.IFNA(VLOOKUP(Grandview_Inventory[[#This Row],[living_area_range]],Lookups!$F$47:$H$56,3,FALSE),1)</f>
        <v>0.96120133463014379</v>
      </c>
      <c r="BX200" s="4">
        <f>AVERAGE(Grandview_Inventory[[#This Row],[qual_adj]:[size_adj]])</f>
        <v>0.97022689894093395</v>
      </c>
      <c r="BY200" s="6">
        <f>IF(Grandview_Inventory[[#This Row],[pre_res]]&lt;0,0,Grandview_Inventory[[#This Row],[pre_res]]*Grandview_Inventory[[#This Row],[overall_adj]])</f>
        <v>262866.96971049713</v>
      </c>
      <c r="BZ200" s="6">
        <f>(Grandview_Inventory[[#This Row],[sum_land]]-IF(Grandview_Inventory[[#This Row],[no_utilities]]=1,12000,0))/IF(Grandview_Inventory[[#This Row],[unbuildable]]=1,2,1)</f>
        <v>49167.631333630678</v>
      </c>
      <c r="CA20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0">
        <f>ROUND(Grandview_Inventory[[#This Row],[det_value]]*Lookups!$M$28,-2)</f>
        <v>0</v>
      </c>
      <c r="CC200">
        <f>IF(ROUND(Grandview_Inventory[[#This Row],[adj_res]]*Lookups!$M$28,-2)&lt;Grandview_Inventory[[#This Row],[min_res]],Grandview_Inventory[[#This Row],[min_res]],ROUND(Grandview_Inventory[[#This Row],[adj_res]]*Lookups!$M$28,-2))</f>
        <v>249700</v>
      </c>
      <c r="CD200">
        <f>Grandview_Inventory[[#This Row],[final_det]]+Grandview_Inventory[[#This Row],[final_res]]</f>
        <v>249700</v>
      </c>
      <c r="CE200">
        <f>Grandview_Inventory[[#This Row],[final_land]]+Grandview_Inventory[[#This Row],[final_imp]]+Grandview_Inventory[[#This Row],[crop_value]]</f>
        <v>296400</v>
      </c>
      <c r="CG200" t="str">
        <f t="shared" si="3"/>
        <v>update valuation set market_land =46700, market_bldg=249700, market_total =296400, market_mdno =401, market_date ='9/10/2023' where link_id = (select link_id from parcel where parcel_year = '2024' and parcel_id = '23091433602');</v>
      </c>
    </row>
    <row r="201" spans="1:85" x14ac:dyDescent="0.25">
      <c r="A201">
        <v>23091433606</v>
      </c>
      <c r="B201">
        <v>0.51</v>
      </c>
      <c r="C201">
        <v>22408</v>
      </c>
      <c r="D201" t="s">
        <v>129</v>
      </c>
      <c r="E201" t="s">
        <v>53</v>
      </c>
      <c r="F201" t="s">
        <v>53</v>
      </c>
      <c r="G201">
        <v>4</v>
      </c>
      <c r="H201" t="s">
        <v>54</v>
      </c>
      <c r="I201">
        <v>155500</v>
      </c>
      <c r="J201">
        <v>41900</v>
      </c>
      <c r="K201">
        <v>0.51</v>
      </c>
      <c r="L201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201">
        <v>0</v>
      </c>
      <c r="N201">
        <v>0</v>
      </c>
      <c r="O201">
        <v>0</v>
      </c>
      <c r="P201">
        <v>13398.7528</v>
      </c>
      <c r="Q201">
        <v>63903</v>
      </c>
      <c r="R201">
        <f>(Grandview_Inventory[[#This Row],[ln_acres]]*Grandview_Inventory[[#This Row],[coeff]])+Grandview_Inventory[[#This Row],[const]]</f>
        <v>54881.022781592372</v>
      </c>
      <c r="S201" t="s">
        <v>55</v>
      </c>
      <c r="T201">
        <v>2</v>
      </c>
      <c r="U201" t="s">
        <v>70</v>
      </c>
      <c r="V201" t="s">
        <v>69</v>
      </c>
      <c r="W201">
        <v>0</v>
      </c>
      <c r="X201">
        <v>0</v>
      </c>
      <c r="Y201">
        <v>57</v>
      </c>
      <c r="Z201">
        <v>103</v>
      </c>
      <c r="AA201">
        <v>110</v>
      </c>
      <c r="AB201">
        <v>1500</v>
      </c>
      <c r="AC201">
        <v>1318</v>
      </c>
      <c r="AD201">
        <v>1058</v>
      </c>
      <c r="AE201">
        <v>260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5</v>
      </c>
      <c r="AQ201">
        <v>0</v>
      </c>
      <c r="AR201">
        <v>0</v>
      </c>
      <c r="AS201" t="s">
        <v>58</v>
      </c>
      <c r="AT201">
        <v>1</v>
      </c>
      <c r="AU201" t="s">
        <v>63</v>
      </c>
      <c r="AV201" t="s">
        <v>64</v>
      </c>
      <c r="AW201">
        <v>0</v>
      </c>
      <c r="AX201">
        <v>3</v>
      </c>
      <c r="AY201">
        <v>0</v>
      </c>
      <c r="AZ201">
        <v>9200</v>
      </c>
      <c r="BA201">
        <v>100</v>
      </c>
      <c r="BB201">
        <v>100</v>
      </c>
      <c r="BC201">
        <v>100</v>
      </c>
      <c r="BD201">
        <v>100</v>
      </c>
      <c r="BE201">
        <v>1</v>
      </c>
      <c r="BF201">
        <v>15000</v>
      </c>
      <c r="BG201">
        <v>1000</v>
      </c>
      <c r="BH201" s="6">
        <f>Grandview_Inventory[[#This Row],[land_extract]]*Lookups!$B$3</f>
        <v>63733.18357750171</v>
      </c>
      <c r="BI201" s="6">
        <f>IF(Grandview_Inventory[[#This Row],[bldg_style]]="",0,Lookups!$B$2)</f>
        <v>155833.95000000001</v>
      </c>
      <c r="BJ201" s="6">
        <f>_xlfn.IFNA(VLOOKUP(Grandview_Inventory[[#This Row],[quality]],Lookups!$H$2:$J$14,3,FALSE),0)</f>
        <v>10733</v>
      </c>
      <c r="BK201" s="6">
        <f>_xlfn.IFNA(VLOOKUP(Grandview_Inventory[[#This Row],[condition]],Lookups!$H$17:$J$24,3,FALSE),0)</f>
        <v>-4503</v>
      </c>
      <c r="BL201" s="6">
        <f>Grandview_Inventory[[#This Row],[Eff_Age]]*Lookups!$B$14</f>
        <v>-13632.4962</v>
      </c>
      <c r="BM201" s="6">
        <f>Grandview_Inventory[[#This Row],[living_area]]*Lookups!$B$15</f>
        <v>82217.964254000006</v>
      </c>
      <c r="BN201" s="6">
        <f>Grandview_Inventory[[#This Row],[Fin BSMT]]*Lookups!$B$16</f>
        <v>0</v>
      </c>
      <c r="BO201" s="6">
        <f>(Grandview_Inventory[[#This Row],[att_gar]]+Grandview_Inventory[[#This Row],[bltin_gar]])*Lookups!$B$17</f>
        <v>0</v>
      </c>
      <c r="BP201" s="6">
        <f>Grandview_Inventory[[#This Row],[Plumbing Fixtures]]*Lookups!$B$18</f>
        <v>10052.209000000001</v>
      </c>
      <c r="BQ201" s="6">
        <f>Grandview_Inventory[[#This Row],[detatched_value]]*Lookups!$B$19</f>
        <v>7790.6069200000002</v>
      </c>
      <c r="BR201" s="6">
        <f>SUM(Grandview_Inventory[[#This Row],[Intercept]:[det_value]])*Grandview_Inventory[[#This Row],[res_pct]]</f>
        <v>248492.233974</v>
      </c>
      <c r="BS201" s="6">
        <f>Grandview_Inventory[[#This Row],[land_value]]</f>
        <v>63733.18357750171</v>
      </c>
      <c r="BT201" s="4">
        <f>_xlfn.IFNA(VLOOKUP(Grandview_Inventory[[#This Row],[quality]],Lookups!$A$26:$C$33,3,FALSE),1)</f>
        <v>0.98079741117310582</v>
      </c>
      <c r="BU201" s="4">
        <f>_xlfn.IFNA(VLOOKUP(Grandview_Inventory[[#This Row],[condition]],Lookups!$A$37:$C$44,3,FALSE),1)</f>
        <v>0.96469275950863709</v>
      </c>
      <c r="BV201" s="4">
        <f>IF(Grandview_Inventory[[#This Row],[bldg_style]]="",1,_xlfn.IFNA(VLOOKUP(Grandview_Inventory[[#This Row],[decade]],Lookups!$F$29:$H$43,3,FALSE),1))</f>
        <v>0.92255236374249616</v>
      </c>
      <c r="BW201" s="4">
        <f>_xlfn.IFNA(VLOOKUP(Grandview_Inventory[[#This Row],[living_area_range]],Lookups!$F$47:$H$56,3,FALSE),1)</f>
        <v>0.96135087979789358</v>
      </c>
      <c r="BX201" s="4">
        <f>AVERAGE(Grandview_Inventory[[#This Row],[qual_adj]:[size_adj]])</f>
        <v>0.95734835355553316</v>
      </c>
      <c r="BY201" s="6">
        <f>IF(Grandview_Inventory[[#This Row],[pre_res]]&lt;0,0,Grandview_Inventory[[#This Row],[pre_res]]*Grandview_Inventory[[#This Row],[overall_adj]])</f>
        <v>237893.63106634523</v>
      </c>
      <c r="BZ201" s="6">
        <f>(Grandview_Inventory[[#This Row],[sum_land]]-IF(Grandview_Inventory[[#This Row],[no_utilities]]=1,12000,0))/IF(Grandview_Inventory[[#This Row],[unbuildable]]=1,2,1)</f>
        <v>63733.18357750171</v>
      </c>
      <c r="CA201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201">
        <f>ROUND(Grandview_Inventory[[#This Row],[det_value]]*Lookups!$M$28,-2)</f>
        <v>7400</v>
      </c>
      <c r="CC201">
        <f>IF(ROUND(Grandview_Inventory[[#This Row],[adj_res]]*Lookups!$M$28,-2)&lt;Grandview_Inventory[[#This Row],[min_res]],Grandview_Inventory[[#This Row],[min_res]],ROUND(Grandview_Inventory[[#This Row],[adj_res]]*Lookups!$M$28,-2))</f>
        <v>226000</v>
      </c>
      <c r="CD201">
        <f>Grandview_Inventory[[#This Row],[final_det]]+Grandview_Inventory[[#This Row],[final_res]]</f>
        <v>233400</v>
      </c>
      <c r="CE201">
        <f>Grandview_Inventory[[#This Row],[final_land]]+Grandview_Inventory[[#This Row],[final_imp]]+Grandview_Inventory[[#This Row],[crop_value]]</f>
        <v>293900</v>
      </c>
      <c r="CG201" t="str">
        <f t="shared" si="3"/>
        <v>update valuation set market_land =60500, market_bldg=233400, market_total =293900, market_mdno =401, market_date ='9/10/2023' where link_id = (select link_id from parcel where parcel_year = '2024' and parcel_id = '23091433606');</v>
      </c>
    </row>
    <row r="202" spans="1:85" x14ac:dyDescent="0.25">
      <c r="A202">
        <v>23091433607</v>
      </c>
      <c r="B202">
        <v>0.25</v>
      </c>
      <c r="C202">
        <v>11032</v>
      </c>
      <c r="D202" t="s">
        <v>129</v>
      </c>
      <c r="E202" t="s">
        <v>53</v>
      </c>
      <c r="F202" t="s">
        <v>53</v>
      </c>
      <c r="G202">
        <v>4</v>
      </c>
      <c r="H202" t="s">
        <v>54</v>
      </c>
      <c r="I202">
        <v>235400</v>
      </c>
      <c r="J202">
        <v>40000</v>
      </c>
      <c r="K202">
        <v>0.25</v>
      </c>
      <c r="L202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02">
        <v>0</v>
      </c>
      <c r="N202">
        <v>0</v>
      </c>
      <c r="O202">
        <v>0</v>
      </c>
      <c r="P202">
        <v>13398.7528</v>
      </c>
      <c r="Q202">
        <v>63903</v>
      </c>
      <c r="R202">
        <f>(Grandview_Inventory[[#This Row],[ln_acres]]*Grandview_Inventory[[#This Row],[coeff]])+Grandview_Inventory[[#This Row],[const]]</f>
        <v>45328.38454732066</v>
      </c>
      <c r="S202" t="s">
        <v>61</v>
      </c>
      <c r="T202">
        <v>1</v>
      </c>
      <c r="U202" t="s">
        <v>65</v>
      </c>
      <c r="V202" t="s">
        <v>66</v>
      </c>
      <c r="W202">
        <v>0</v>
      </c>
      <c r="X202">
        <v>0</v>
      </c>
      <c r="Y202">
        <v>17</v>
      </c>
      <c r="Z202">
        <v>17</v>
      </c>
      <c r="AA202">
        <v>20</v>
      </c>
      <c r="AB202">
        <v>2000</v>
      </c>
      <c r="AC202">
        <v>1504</v>
      </c>
      <c r="AD202">
        <v>1504</v>
      </c>
      <c r="AE202">
        <v>0</v>
      </c>
      <c r="AF202">
        <v>0</v>
      </c>
      <c r="AG202">
        <v>0</v>
      </c>
      <c r="AH202">
        <v>0</v>
      </c>
      <c r="AI202">
        <v>440</v>
      </c>
      <c r="AJ202">
        <v>0</v>
      </c>
      <c r="AK202">
        <v>0</v>
      </c>
      <c r="AL202">
        <v>0</v>
      </c>
      <c r="AM202">
        <v>96</v>
      </c>
      <c r="AN202">
        <v>0</v>
      </c>
      <c r="AO202">
        <v>0</v>
      </c>
      <c r="AP202">
        <v>8</v>
      </c>
      <c r="AQ202">
        <v>0</v>
      </c>
      <c r="AR202">
        <v>0</v>
      </c>
      <c r="AS202" t="s">
        <v>58</v>
      </c>
      <c r="AT202">
        <v>1</v>
      </c>
      <c r="AU202" t="s">
        <v>59</v>
      </c>
      <c r="AV202" t="s">
        <v>60</v>
      </c>
      <c r="AW202">
        <v>1</v>
      </c>
      <c r="AX202">
        <v>3</v>
      </c>
      <c r="AY202">
        <v>0</v>
      </c>
      <c r="AZ202">
        <v>0</v>
      </c>
      <c r="BA202">
        <v>100</v>
      </c>
      <c r="BB202">
        <v>100</v>
      </c>
      <c r="BC202">
        <v>100</v>
      </c>
      <c r="BD202">
        <v>100</v>
      </c>
      <c r="BE202">
        <v>1</v>
      </c>
      <c r="BF202">
        <v>15000</v>
      </c>
      <c r="BG202">
        <v>1000</v>
      </c>
      <c r="BH202" s="6">
        <f>Grandview_Inventory[[#This Row],[land_extract]]*Lookups!$B$3</f>
        <v>52639.730588165206</v>
      </c>
      <c r="BI202" s="6">
        <f>IF(Grandview_Inventory[[#This Row],[bldg_style]]="",0,Lookups!$B$2)</f>
        <v>155833.95000000001</v>
      </c>
      <c r="BJ202" s="6">
        <f>_xlfn.IFNA(VLOOKUP(Grandview_Inventory[[#This Row],[quality]],Lookups!$H$2:$J$14,3,FALSE),0)</f>
        <v>2251</v>
      </c>
      <c r="BK202" s="6">
        <f>_xlfn.IFNA(VLOOKUP(Grandview_Inventory[[#This Row],[condition]],Lookups!$H$17:$J$24,3,FALSE),0)</f>
        <v>25818</v>
      </c>
      <c r="BL202" s="6">
        <f>Grandview_Inventory[[#This Row],[Eff_Age]]*Lookups!$B$14</f>
        <v>-4065.8321999999998</v>
      </c>
      <c r="BM202" s="6">
        <f>Grandview_Inventory[[#This Row],[living_area]]*Lookups!$B$15</f>
        <v>93820.802911999999</v>
      </c>
      <c r="BN202" s="6">
        <f>Grandview_Inventory[[#This Row],[Fin BSMT]]*Lookups!$B$16</f>
        <v>0</v>
      </c>
      <c r="BO202" s="6">
        <f>(Grandview_Inventory[[#This Row],[att_gar]]+Grandview_Inventory[[#This Row],[bltin_gar]])*Lookups!$B$17</f>
        <v>38508.992279999999</v>
      </c>
      <c r="BP202" s="6">
        <f>Grandview_Inventory[[#This Row],[Plumbing Fixtures]]*Lookups!$B$18</f>
        <v>16083.5344</v>
      </c>
      <c r="BQ202" s="6">
        <f>Grandview_Inventory[[#This Row],[detatched_value]]*Lookups!$B$19</f>
        <v>0</v>
      </c>
      <c r="BR202" s="6">
        <f>SUM(Grandview_Inventory[[#This Row],[Intercept]:[det_value]])*Grandview_Inventory[[#This Row],[res_pct]]</f>
        <v>328250.447392</v>
      </c>
      <c r="BS202" s="6">
        <f>Grandview_Inventory[[#This Row],[land_value]]</f>
        <v>52639.730588165206</v>
      </c>
      <c r="BT202" s="4">
        <f>_xlfn.IFNA(VLOOKUP(Grandview_Inventory[[#This Row],[quality]],Lookups!$A$26:$C$33,3,FALSE),1)</f>
        <v>0.98763855981004833</v>
      </c>
      <c r="BU202" s="4">
        <f>_xlfn.IFNA(VLOOKUP(Grandview_Inventory[[#This Row],[condition]],Lookups!$A$37:$C$44,3,FALSE),1)</f>
        <v>0.96661476234146892</v>
      </c>
      <c r="BV202" s="4">
        <f>IF(Grandview_Inventory[[#This Row],[bldg_style]]="",1,_xlfn.IFNA(VLOOKUP(Grandview_Inventory[[#This Row],[decade]],Lookups!$F$29:$H$43,3,FALSE),1))</f>
        <v>0.96737494181490646</v>
      </c>
      <c r="BW202" s="4">
        <f>_xlfn.IFNA(VLOOKUP(Grandview_Inventory[[#This Row],[living_area_range]],Lookups!$F$47:$H$56,3,FALSE),1)</f>
        <v>0.96120133463014379</v>
      </c>
      <c r="BX202" s="4">
        <f>AVERAGE(Grandview_Inventory[[#This Row],[qual_adj]:[size_adj]])</f>
        <v>0.97070739964914199</v>
      </c>
      <c r="BY202" s="6">
        <f>IF(Grandview_Inventory[[#This Row],[pre_res]]&lt;0,0,Grandview_Inventory[[#This Row],[pre_res]]*Grandview_Inventory[[#This Row],[overall_adj]])</f>
        <v>318635.1382215558</v>
      </c>
      <c r="BZ202" s="6">
        <f>(Grandview_Inventory[[#This Row],[sum_land]]-IF(Grandview_Inventory[[#This Row],[no_utilities]]=1,12000,0))/IF(Grandview_Inventory[[#This Row],[unbuildable]]=1,2,1)</f>
        <v>52639.730588165206</v>
      </c>
      <c r="CA202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02">
        <f>ROUND(Grandview_Inventory[[#This Row],[det_value]]*Lookups!$M$28,-2)</f>
        <v>0</v>
      </c>
      <c r="CC202">
        <f>IF(ROUND(Grandview_Inventory[[#This Row],[adj_res]]*Lookups!$M$28,-2)&lt;Grandview_Inventory[[#This Row],[min_res]],Grandview_Inventory[[#This Row],[min_res]],ROUND(Grandview_Inventory[[#This Row],[adj_res]]*Lookups!$M$28,-2))</f>
        <v>302700</v>
      </c>
      <c r="CD202">
        <f>Grandview_Inventory[[#This Row],[final_det]]+Grandview_Inventory[[#This Row],[final_res]]</f>
        <v>302700</v>
      </c>
      <c r="CE202">
        <f>Grandview_Inventory[[#This Row],[final_land]]+Grandview_Inventory[[#This Row],[final_imp]]+Grandview_Inventory[[#This Row],[crop_value]]</f>
        <v>352700</v>
      </c>
      <c r="CG202" t="str">
        <f t="shared" si="3"/>
        <v>update valuation set market_land =50000, market_bldg=302700, market_total =352700, market_mdno =401, market_date ='9/10/2023' where link_id = (select link_id from parcel where parcel_year = '2024' and parcel_id = '23091433607');</v>
      </c>
    </row>
    <row r="203" spans="1:85" x14ac:dyDescent="0.25">
      <c r="A203">
        <v>23091433609</v>
      </c>
      <c r="B203">
        <v>0.17</v>
      </c>
      <c r="C203">
        <v>7227</v>
      </c>
      <c r="D203" t="s">
        <v>129</v>
      </c>
      <c r="E203" t="s">
        <v>53</v>
      </c>
      <c r="F203" t="s">
        <v>53</v>
      </c>
      <c r="G203">
        <v>4</v>
      </c>
      <c r="H203" t="s">
        <v>54</v>
      </c>
      <c r="I203">
        <v>171700</v>
      </c>
      <c r="J203">
        <v>38800</v>
      </c>
      <c r="K203">
        <v>0.17</v>
      </c>
      <c r="L20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03">
        <v>0</v>
      </c>
      <c r="N203">
        <v>0</v>
      </c>
      <c r="O203">
        <v>0</v>
      </c>
      <c r="P203">
        <v>13398.7528</v>
      </c>
      <c r="Q203">
        <v>63903</v>
      </c>
      <c r="R203">
        <f>(Grandview_Inventory[[#This Row],[ln_acres]]*Grandview_Inventory[[#This Row],[coeff]])+Grandview_Inventory[[#This Row],[const]]</f>
        <v>40160.988302686128</v>
      </c>
      <c r="S203" t="s">
        <v>68</v>
      </c>
      <c r="T203">
        <v>1</v>
      </c>
      <c r="U203" t="s">
        <v>70</v>
      </c>
      <c r="V203" t="s">
        <v>67</v>
      </c>
      <c r="W203">
        <v>0</v>
      </c>
      <c r="X203">
        <v>0</v>
      </c>
      <c r="Y203">
        <v>51</v>
      </c>
      <c r="Z203">
        <v>83</v>
      </c>
      <c r="AA203">
        <v>90</v>
      </c>
      <c r="AB203">
        <v>1500</v>
      </c>
      <c r="AC203">
        <v>1228</v>
      </c>
      <c r="AD203">
        <v>1228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224</v>
      </c>
      <c r="AN203">
        <v>0</v>
      </c>
      <c r="AO203">
        <v>224</v>
      </c>
      <c r="AP203">
        <v>8</v>
      </c>
      <c r="AQ203">
        <v>0</v>
      </c>
      <c r="AR203">
        <v>0</v>
      </c>
      <c r="AS203" t="s">
        <v>58</v>
      </c>
      <c r="AT203">
        <v>1</v>
      </c>
      <c r="AU203" t="s">
        <v>75</v>
      </c>
      <c r="AV203" t="s">
        <v>60</v>
      </c>
      <c r="AW203">
        <v>0</v>
      </c>
      <c r="AX203">
        <v>4</v>
      </c>
      <c r="AY203">
        <v>0</v>
      </c>
      <c r="AZ203">
        <v>0</v>
      </c>
      <c r="BA203">
        <v>100</v>
      </c>
      <c r="BB203">
        <v>100</v>
      </c>
      <c r="BC203">
        <v>100</v>
      </c>
      <c r="BD203">
        <v>100</v>
      </c>
      <c r="BE203">
        <v>1</v>
      </c>
      <c r="BF203">
        <v>15000</v>
      </c>
      <c r="BG203">
        <v>1000</v>
      </c>
      <c r="BH203" s="6">
        <f>Grandview_Inventory[[#This Row],[land_extract]]*Lookups!$B$3</f>
        <v>46638.847281240982</v>
      </c>
      <c r="BI203" s="6">
        <f>IF(Grandview_Inventory[[#This Row],[bldg_style]]="",0,Lookups!$B$2)</f>
        <v>155833.95000000001</v>
      </c>
      <c r="BJ203" s="6">
        <f>_xlfn.IFNA(VLOOKUP(Grandview_Inventory[[#This Row],[quality]],Lookups!$H$2:$J$14,3,FALSE),0)</f>
        <v>10733</v>
      </c>
      <c r="BK203" s="6">
        <f>_xlfn.IFNA(VLOOKUP(Grandview_Inventory[[#This Row],[condition]],Lookups!$H$17:$J$24,3,FALSE),0)</f>
        <v>22342</v>
      </c>
      <c r="BL203" s="6">
        <f>Grandview_Inventory[[#This Row],[Eff_Age]]*Lookups!$B$14</f>
        <v>-12197.496599999999</v>
      </c>
      <c r="BM203" s="6">
        <f>Grandview_Inventory[[#This Row],[living_area]]*Lookups!$B$15</f>
        <v>76603.687484000009</v>
      </c>
      <c r="BN203" s="6">
        <f>Grandview_Inventory[[#This Row],[Fin BSMT]]*Lookups!$B$16</f>
        <v>0</v>
      </c>
      <c r="BO203" s="6">
        <f>(Grandview_Inventory[[#This Row],[att_gar]]+Grandview_Inventory[[#This Row],[bltin_gar]])*Lookups!$B$17</f>
        <v>0</v>
      </c>
      <c r="BP203" s="6">
        <f>Grandview_Inventory[[#This Row],[Plumbing Fixtures]]*Lookups!$B$18</f>
        <v>16083.5344</v>
      </c>
      <c r="BQ203" s="6">
        <f>Grandview_Inventory[[#This Row],[detatched_value]]*Lookups!$B$19</f>
        <v>0</v>
      </c>
      <c r="BR203" s="6">
        <f>SUM(Grandview_Inventory[[#This Row],[Intercept]:[det_value]])*Grandview_Inventory[[#This Row],[res_pct]]</f>
        <v>269398.675284</v>
      </c>
      <c r="BS203" s="6">
        <f>Grandview_Inventory[[#This Row],[land_value]]</f>
        <v>46638.847281240982</v>
      </c>
      <c r="BT203" s="4">
        <f>_xlfn.IFNA(VLOOKUP(Grandview_Inventory[[#This Row],[quality]],Lookups!$A$26:$C$33,3,FALSE),1)</f>
        <v>0.98079741117310582</v>
      </c>
      <c r="BU203" s="4">
        <f>_xlfn.IFNA(VLOOKUP(Grandview_Inventory[[#This Row],[condition]],Lookups!$A$37:$C$44,3,FALSE),1)</f>
        <v>0.97383723671140243</v>
      </c>
      <c r="BV203" s="4">
        <f>IF(Grandview_Inventory[[#This Row],[bldg_style]]="",1,_xlfn.IFNA(VLOOKUP(Grandview_Inventory[[#This Row],[decade]],Lookups!$F$29:$H$43,3,FALSE),1))</f>
        <v>0.94161750052457416</v>
      </c>
      <c r="BW203" s="4">
        <f>_xlfn.IFNA(VLOOKUP(Grandview_Inventory[[#This Row],[living_area_range]],Lookups!$F$47:$H$56,3,FALSE),1)</f>
        <v>0.96135087979789358</v>
      </c>
      <c r="BX203" s="4">
        <f>AVERAGE(Grandview_Inventory[[#This Row],[qual_adj]:[size_adj]])</f>
        <v>0.964400757051744</v>
      </c>
      <c r="BY203" s="6">
        <f>IF(Grandview_Inventory[[#This Row],[pre_res]]&lt;0,0,Grandview_Inventory[[#This Row],[pre_res]]*Grandview_Inventory[[#This Row],[overall_adj]])</f>
        <v>259808.28639262656</v>
      </c>
      <c r="BZ203" s="6">
        <f>(Grandview_Inventory[[#This Row],[sum_land]]-IF(Grandview_Inventory[[#This Row],[no_utilities]]=1,12000,0))/IF(Grandview_Inventory[[#This Row],[unbuildable]]=1,2,1)</f>
        <v>46638.847281240982</v>
      </c>
      <c r="CA20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03">
        <f>ROUND(Grandview_Inventory[[#This Row],[det_value]]*Lookups!$M$28,-2)</f>
        <v>0</v>
      </c>
      <c r="CC203">
        <f>IF(ROUND(Grandview_Inventory[[#This Row],[adj_res]]*Lookups!$M$28,-2)&lt;Grandview_Inventory[[#This Row],[min_res]],Grandview_Inventory[[#This Row],[min_res]],ROUND(Grandview_Inventory[[#This Row],[adj_res]]*Lookups!$M$28,-2))</f>
        <v>246800</v>
      </c>
      <c r="CD203">
        <f>Grandview_Inventory[[#This Row],[final_det]]+Grandview_Inventory[[#This Row],[final_res]]</f>
        <v>246800</v>
      </c>
      <c r="CE203">
        <f>Grandview_Inventory[[#This Row],[final_land]]+Grandview_Inventory[[#This Row],[final_imp]]+Grandview_Inventory[[#This Row],[crop_value]]</f>
        <v>291100</v>
      </c>
      <c r="CG203" t="str">
        <f t="shared" si="3"/>
        <v>update valuation set market_land =44300, market_bldg=246800, market_total =291100, market_mdno =401, market_date ='9/10/2023' where link_id = (select link_id from parcel where parcel_year = '2024' and parcel_id = '23091433609');</v>
      </c>
    </row>
    <row r="204" spans="1:85" x14ac:dyDescent="0.25">
      <c r="A204">
        <v>23091433611</v>
      </c>
      <c r="B204">
        <v>0.51</v>
      </c>
      <c r="C204">
        <v>22041</v>
      </c>
      <c r="D204" t="s">
        <v>129</v>
      </c>
      <c r="E204" t="s">
        <v>53</v>
      </c>
      <c r="F204" t="s">
        <v>53</v>
      </c>
      <c r="G204">
        <v>4</v>
      </c>
      <c r="H204" t="s">
        <v>54</v>
      </c>
      <c r="I204">
        <v>162100</v>
      </c>
      <c r="J204">
        <v>41900</v>
      </c>
      <c r="K204">
        <v>0.51</v>
      </c>
      <c r="L204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204">
        <v>0</v>
      </c>
      <c r="N204">
        <v>0</v>
      </c>
      <c r="O204">
        <v>0</v>
      </c>
      <c r="P204">
        <v>13398.7528</v>
      </c>
      <c r="Q204">
        <v>63903</v>
      </c>
      <c r="R204">
        <f>(Grandview_Inventory[[#This Row],[ln_acres]]*Grandview_Inventory[[#This Row],[coeff]])+Grandview_Inventory[[#This Row],[const]]</f>
        <v>54881.022781592372</v>
      </c>
      <c r="S204" t="s">
        <v>61</v>
      </c>
      <c r="T204">
        <v>1</v>
      </c>
      <c r="U204" t="s">
        <v>70</v>
      </c>
      <c r="V204" t="s">
        <v>78</v>
      </c>
      <c r="W204">
        <v>0</v>
      </c>
      <c r="X204">
        <v>0</v>
      </c>
      <c r="Y204">
        <v>41</v>
      </c>
      <c r="Z204">
        <v>41</v>
      </c>
      <c r="AA204">
        <v>50</v>
      </c>
      <c r="AB204">
        <v>1500</v>
      </c>
      <c r="AC204">
        <v>1376</v>
      </c>
      <c r="AD204">
        <v>1376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16</v>
      </c>
      <c r="AO204">
        <v>0</v>
      </c>
      <c r="AP204">
        <v>5</v>
      </c>
      <c r="AQ204">
        <v>1</v>
      </c>
      <c r="AR204">
        <v>0</v>
      </c>
      <c r="AS204" t="s">
        <v>58</v>
      </c>
      <c r="AT204">
        <v>1</v>
      </c>
      <c r="AU204" t="s">
        <v>63</v>
      </c>
      <c r="AV204" t="s">
        <v>60</v>
      </c>
      <c r="AW204">
        <v>0</v>
      </c>
      <c r="AX204">
        <v>3</v>
      </c>
      <c r="AY204">
        <v>0</v>
      </c>
      <c r="AZ204">
        <v>26800</v>
      </c>
      <c r="BA204">
        <v>100</v>
      </c>
      <c r="BB204">
        <v>100</v>
      </c>
      <c r="BC204">
        <v>100</v>
      </c>
      <c r="BD204">
        <v>100</v>
      </c>
      <c r="BE204">
        <v>1</v>
      </c>
      <c r="BF204">
        <v>15000</v>
      </c>
      <c r="BG204">
        <v>1000</v>
      </c>
      <c r="BH204" s="6">
        <f>Grandview_Inventory[[#This Row],[land_extract]]*Lookups!$B$3</f>
        <v>63733.18357750171</v>
      </c>
      <c r="BI204" s="6">
        <f>IF(Grandview_Inventory[[#This Row],[bldg_style]]="",0,Lookups!$B$2)</f>
        <v>155833.95000000001</v>
      </c>
      <c r="BJ204" s="6">
        <f>_xlfn.IFNA(VLOOKUP(Grandview_Inventory[[#This Row],[quality]],Lookups!$H$2:$J$14,3,FALSE),0)</f>
        <v>10733</v>
      </c>
      <c r="BK204" s="6">
        <f>_xlfn.IFNA(VLOOKUP(Grandview_Inventory[[#This Row],[condition]],Lookups!$H$17:$J$24,3,FALSE),0)</f>
        <v>-45357</v>
      </c>
      <c r="BL204" s="6">
        <f>Grandview_Inventory[[#This Row],[Eff_Age]]*Lookups!$B$14</f>
        <v>-9805.8305999999993</v>
      </c>
      <c r="BM204" s="6">
        <f>Grandview_Inventory[[#This Row],[living_area]]*Lookups!$B$15</f>
        <v>85836.053727999999</v>
      </c>
      <c r="BN204" s="6">
        <f>Grandview_Inventory[[#This Row],[Fin BSMT]]*Lookups!$B$16</f>
        <v>0</v>
      </c>
      <c r="BO204" s="6">
        <f>(Grandview_Inventory[[#This Row],[att_gar]]+Grandview_Inventory[[#This Row],[bltin_gar]])*Lookups!$B$17</f>
        <v>0</v>
      </c>
      <c r="BP204" s="6">
        <f>Grandview_Inventory[[#This Row],[Plumbing Fixtures]]*Lookups!$B$18</f>
        <v>10052.209000000001</v>
      </c>
      <c r="BQ204" s="6">
        <f>Grandview_Inventory[[#This Row],[detatched_value]]*Lookups!$B$19</f>
        <v>22694.376679999998</v>
      </c>
      <c r="BR204" s="6">
        <f>SUM(Grandview_Inventory[[#This Row],[Intercept]:[det_value]])*Grandview_Inventory[[#This Row],[res_pct]]</f>
        <v>229986.75880799998</v>
      </c>
      <c r="BS204" s="6">
        <f>Grandview_Inventory[[#This Row],[land_value]]</f>
        <v>63733.18357750171</v>
      </c>
      <c r="BT204" s="4">
        <f>_xlfn.IFNA(VLOOKUP(Grandview_Inventory[[#This Row],[quality]],Lookups!$A$26:$C$33,3,FALSE),1)</f>
        <v>0.98079741117310582</v>
      </c>
      <c r="BU204" s="4">
        <f>_xlfn.IFNA(VLOOKUP(Grandview_Inventory[[#This Row],[condition]],Lookups!$A$37:$C$44,3,FALSE),1)</f>
        <v>0.97161819570155394</v>
      </c>
      <c r="BV204" s="4">
        <f>IF(Grandview_Inventory[[#This Row],[bldg_style]]="",1,_xlfn.IFNA(VLOOKUP(Grandview_Inventory[[#This Row],[decade]],Lookups!$F$29:$H$43,3,FALSE),1))</f>
        <v>0.9871940091910919</v>
      </c>
      <c r="BW204" s="4">
        <f>_xlfn.IFNA(VLOOKUP(Grandview_Inventory[[#This Row],[living_area_range]],Lookups!$F$47:$H$56,3,FALSE),1)</f>
        <v>0.96135087979789358</v>
      </c>
      <c r="BX204" s="4">
        <f>AVERAGE(Grandview_Inventory[[#This Row],[qual_adj]:[size_adj]])</f>
        <v>0.97524012396591131</v>
      </c>
      <c r="BY204" s="6">
        <f>IF(Grandview_Inventory[[#This Row],[pre_res]]&lt;0,0,Grandview_Inventory[[#This Row],[pre_res]]*Grandview_Inventory[[#This Row],[overall_adj]])</f>
        <v>224292.31517043206</v>
      </c>
      <c r="BZ204" s="6">
        <f>(Grandview_Inventory[[#This Row],[sum_land]]-IF(Grandview_Inventory[[#This Row],[no_utilities]]=1,12000,0))/IF(Grandview_Inventory[[#This Row],[unbuildable]]=1,2,1)</f>
        <v>63733.18357750171</v>
      </c>
      <c r="CA204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204">
        <f>ROUND(Grandview_Inventory[[#This Row],[det_value]]*Lookups!$M$28,-2)</f>
        <v>21600</v>
      </c>
      <c r="CC204">
        <f>IF(ROUND(Grandview_Inventory[[#This Row],[adj_res]]*Lookups!$M$28,-2)&lt;Grandview_Inventory[[#This Row],[min_res]],Grandview_Inventory[[#This Row],[min_res]],ROUND(Grandview_Inventory[[#This Row],[adj_res]]*Lookups!$M$28,-2))</f>
        <v>213100</v>
      </c>
      <c r="CD204">
        <f>Grandview_Inventory[[#This Row],[final_det]]+Grandview_Inventory[[#This Row],[final_res]]</f>
        <v>234700</v>
      </c>
      <c r="CE204">
        <f>Grandview_Inventory[[#This Row],[final_land]]+Grandview_Inventory[[#This Row],[final_imp]]+Grandview_Inventory[[#This Row],[crop_value]]</f>
        <v>295200</v>
      </c>
      <c r="CG204" t="str">
        <f t="shared" si="3"/>
        <v>update valuation set market_land =60500, market_bldg=234700, market_total =295200, market_mdno =401, market_date ='9/10/2023' where link_id = (select link_id from parcel where parcel_year = '2024' and parcel_id = '23091433611');</v>
      </c>
    </row>
    <row r="205" spans="1:85" x14ac:dyDescent="0.25">
      <c r="A205">
        <v>23091434003</v>
      </c>
      <c r="B205">
        <v>0.36</v>
      </c>
      <c r="C205">
        <v>15484</v>
      </c>
      <c r="D205" t="s">
        <v>129</v>
      </c>
      <c r="E205" t="s">
        <v>53</v>
      </c>
      <c r="F205" t="s">
        <v>53</v>
      </c>
      <c r="G205">
        <v>4</v>
      </c>
      <c r="H205" t="s">
        <v>54</v>
      </c>
      <c r="I205">
        <v>137800</v>
      </c>
      <c r="J205">
        <v>41100</v>
      </c>
      <c r="K205">
        <v>0.36</v>
      </c>
      <c r="L205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205">
        <v>0</v>
      </c>
      <c r="N205">
        <v>0</v>
      </c>
      <c r="O205">
        <v>0</v>
      </c>
      <c r="P205">
        <v>13398.7528</v>
      </c>
      <c r="Q205">
        <v>63903</v>
      </c>
      <c r="R205">
        <f>(Grandview_Inventory[[#This Row],[ln_acres]]*Grandview_Inventory[[#This Row],[coeff]])+Grandview_Inventory[[#This Row],[const]]</f>
        <v>50214.147486507369</v>
      </c>
      <c r="S205" t="s">
        <v>68</v>
      </c>
      <c r="T205">
        <v>1</v>
      </c>
      <c r="U205" t="s">
        <v>80</v>
      </c>
      <c r="V205" t="s">
        <v>69</v>
      </c>
      <c r="W205">
        <v>0</v>
      </c>
      <c r="X205">
        <v>0</v>
      </c>
      <c r="Y205">
        <v>52</v>
      </c>
      <c r="Z205">
        <v>88</v>
      </c>
      <c r="AA205">
        <v>90</v>
      </c>
      <c r="AB205">
        <v>1000</v>
      </c>
      <c r="AC205">
        <v>960</v>
      </c>
      <c r="AD205">
        <v>960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180</v>
      </c>
      <c r="AL205">
        <v>0</v>
      </c>
      <c r="AM205">
        <v>96</v>
      </c>
      <c r="AN205">
        <v>0</v>
      </c>
      <c r="AO205">
        <v>180</v>
      </c>
      <c r="AP205">
        <v>5</v>
      </c>
      <c r="AQ205">
        <v>1</v>
      </c>
      <c r="AR205">
        <v>0</v>
      </c>
      <c r="AS205" t="s">
        <v>58</v>
      </c>
      <c r="AT205">
        <v>1</v>
      </c>
      <c r="AU205" t="s">
        <v>75</v>
      </c>
      <c r="AV205" t="s">
        <v>60</v>
      </c>
      <c r="AW205">
        <v>0</v>
      </c>
      <c r="AX205">
        <v>2</v>
      </c>
      <c r="AY205">
        <v>0</v>
      </c>
      <c r="AZ205">
        <v>20500</v>
      </c>
      <c r="BA205">
        <v>100</v>
      </c>
      <c r="BB205">
        <v>100</v>
      </c>
      <c r="BC205">
        <v>100</v>
      </c>
      <c r="BD205">
        <v>100</v>
      </c>
      <c r="BE205">
        <v>1</v>
      </c>
      <c r="BF205">
        <v>15000</v>
      </c>
      <c r="BG205">
        <v>1000</v>
      </c>
      <c r="BH205" s="6">
        <f>Grandview_Inventory[[#This Row],[land_extract]]*Lookups!$B$3</f>
        <v>58313.55389788279</v>
      </c>
      <c r="BI205" s="6">
        <f>IF(Grandview_Inventory[[#This Row],[bldg_style]]="",0,Lookups!$B$2)</f>
        <v>155833.95000000001</v>
      </c>
      <c r="BJ205" s="6">
        <f>_xlfn.IFNA(VLOOKUP(Grandview_Inventory[[#This Row],[quality]],Lookups!$H$2:$J$14,3,FALSE),0)</f>
        <v>-28558</v>
      </c>
      <c r="BK205" s="6">
        <f>_xlfn.IFNA(VLOOKUP(Grandview_Inventory[[#This Row],[condition]],Lookups!$H$17:$J$24,3,FALSE),0)</f>
        <v>-4503</v>
      </c>
      <c r="BL205" s="6">
        <f>Grandview_Inventory[[#This Row],[Eff_Age]]*Lookups!$B$14</f>
        <v>-12436.663199999999</v>
      </c>
      <c r="BM205" s="6">
        <f>Grandview_Inventory[[#This Row],[living_area]]*Lookups!$B$15</f>
        <v>59885.618880000002</v>
      </c>
      <c r="BN205" s="6">
        <f>Grandview_Inventory[[#This Row],[Fin BSMT]]*Lookups!$B$16</f>
        <v>0</v>
      </c>
      <c r="BO205" s="6">
        <f>(Grandview_Inventory[[#This Row],[att_gar]]+Grandview_Inventory[[#This Row],[bltin_gar]])*Lookups!$B$17</f>
        <v>0</v>
      </c>
      <c r="BP205" s="6">
        <f>Grandview_Inventory[[#This Row],[Plumbing Fixtures]]*Lookups!$B$18</f>
        <v>10052.209000000001</v>
      </c>
      <c r="BQ205" s="6">
        <f>Grandview_Inventory[[#This Row],[detatched_value]]*Lookups!$B$19</f>
        <v>17359.504549999998</v>
      </c>
      <c r="BR205" s="6">
        <f>SUM(Grandview_Inventory[[#This Row],[Intercept]:[det_value]])*Grandview_Inventory[[#This Row],[res_pct]]</f>
        <v>197633.61923000001</v>
      </c>
      <c r="BS205" s="6">
        <f>Grandview_Inventory[[#This Row],[land_value]]</f>
        <v>58313.55389788279</v>
      </c>
      <c r="BT205" s="4">
        <f>_xlfn.IFNA(VLOOKUP(Grandview_Inventory[[#This Row],[quality]],Lookups!$A$26:$C$33,3,FALSE),1)</f>
        <v>0.9690360070159818</v>
      </c>
      <c r="BU205" s="4">
        <f>_xlfn.IFNA(VLOOKUP(Grandview_Inventory[[#This Row],[condition]],Lookups!$A$37:$C$44,3,FALSE),1)</f>
        <v>0.96469275950863709</v>
      </c>
      <c r="BV205" s="4">
        <f>IF(Grandview_Inventory[[#This Row],[bldg_style]]="",1,_xlfn.IFNA(VLOOKUP(Grandview_Inventory[[#This Row],[decade]],Lookups!$F$29:$H$43,3,FALSE),1))</f>
        <v>0.94161750052457416</v>
      </c>
      <c r="BW205" s="4">
        <f>_xlfn.IFNA(VLOOKUP(Grandview_Inventory[[#This Row],[living_area_range]],Lookups!$F$47:$H$56,3,FALSE),1)</f>
        <v>0.94306777142782894</v>
      </c>
      <c r="BX205" s="4">
        <f>AVERAGE(Grandview_Inventory[[#This Row],[qual_adj]:[size_adj]])</f>
        <v>0.95460350961925544</v>
      </c>
      <c r="BY205" s="6">
        <f>IF(Grandview_Inventory[[#This Row],[pre_res]]&lt;0,0,Grandview_Inventory[[#This Row],[pre_res]]*Grandview_Inventory[[#This Row],[overall_adj]])</f>
        <v>188661.74653571358</v>
      </c>
      <c r="BZ205" s="6">
        <f>(Grandview_Inventory[[#This Row],[sum_land]]-IF(Grandview_Inventory[[#This Row],[no_utilities]]=1,12000,0))/IF(Grandview_Inventory[[#This Row],[unbuildable]]=1,2,1)</f>
        <v>58313.55389788279</v>
      </c>
      <c r="CA205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205">
        <f>ROUND(Grandview_Inventory[[#This Row],[det_value]]*Lookups!$M$28,-2)</f>
        <v>16500</v>
      </c>
      <c r="CC205">
        <f>IF(ROUND(Grandview_Inventory[[#This Row],[adj_res]]*Lookups!$M$28,-2)&lt;Grandview_Inventory[[#This Row],[min_res]],Grandview_Inventory[[#This Row],[min_res]],ROUND(Grandview_Inventory[[#This Row],[adj_res]]*Lookups!$M$28,-2))</f>
        <v>179200</v>
      </c>
      <c r="CD205">
        <f>Grandview_Inventory[[#This Row],[final_det]]+Grandview_Inventory[[#This Row],[final_res]]</f>
        <v>195700</v>
      </c>
      <c r="CE205">
        <f>Grandview_Inventory[[#This Row],[final_land]]+Grandview_Inventory[[#This Row],[final_imp]]+Grandview_Inventory[[#This Row],[crop_value]]</f>
        <v>251100</v>
      </c>
      <c r="CG205" t="str">
        <f t="shared" si="3"/>
        <v>update valuation set market_land =55400, market_bldg=195700, market_total =251100, market_mdno =401, market_date ='9/10/2023' where link_id = (select link_id from parcel where parcel_year = '2024' and parcel_id = '23091434003');</v>
      </c>
    </row>
    <row r="206" spans="1:85" x14ac:dyDescent="0.25">
      <c r="A206">
        <v>23091434006</v>
      </c>
      <c r="B206">
        <v>0.98</v>
      </c>
      <c r="C206">
        <v>42640</v>
      </c>
      <c r="D206" t="s">
        <v>129</v>
      </c>
      <c r="E206" t="s">
        <v>53</v>
      </c>
      <c r="F206" t="s">
        <v>53</v>
      </c>
      <c r="G206">
        <v>4</v>
      </c>
      <c r="H206" t="s">
        <v>54</v>
      </c>
      <c r="I206">
        <v>196300</v>
      </c>
      <c r="J206">
        <v>45400</v>
      </c>
      <c r="K206">
        <v>0.98</v>
      </c>
      <c r="L206">
        <f>IF(Grandview_Inventory[[#This Row],[parcel_acres]]-Grandview_Inventory[[#This Row],[non_valued_acres]] =0,0,LN(Grandview_Inventory[[#This Row],[parcel_acres]]-Grandview_Inventory[[#This Row],[non_valued_acres]]))</f>
        <v>-2.0202707317519466E-2</v>
      </c>
      <c r="M206">
        <v>0</v>
      </c>
      <c r="N206">
        <v>0</v>
      </c>
      <c r="O206">
        <v>0</v>
      </c>
      <c r="P206">
        <v>13398.7528</v>
      </c>
      <c r="Q206">
        <v>63903</v>
      </c>
      <c r="R206">
        <f>(Grandview_Inventory[[#This Row],[ln_acres]]*Grandview_Inventory[[#This Row],[coeff]])+Grandview_Inventory[[#This Row],[const]]</f>
        <v>63632.308918761802</v>
      </c>
      <c r="S206" t="s">
        <v>68</v>
      </c>
      <c r="T206">
        <v>1</v>
      </c>
      <c r="U206" t="s">
        <v>70</v>
      </c>
      <c r="V206" t="s">
        <v>69</v>
      </c>
      <c r="W206">
        <v>0</v>
      </c>
      <c r="X206">
        <v>0</v>
      </c>
      <c r="Y206">
        <v>57</v>
      </c>
      <c r="Z206">
        <v>103</v>
      </c>
      <c r="AA206">
        <v>110</v>
      </c>
      <c r="AB206">
        <v>1500</v>
      </c>
      <c r="AC206">
        <v>1402</v>
      </c>
      <c r="AD206">
        <v>1402</v>
      </c>
      <c r="AE206">
        <v>0</v>
      </c>
      <c r="AF206">
        <v>0</v>
      </c>
      <c r="AG206">
        <v>0</v>
      </c>
      <c r="AH206">
        <v>0</v>
      </c>
      <c r="AI206">
        <v>820</v>
      </c>
      <c r="AJ206">
        <v>0</v>
      </c>
      <c r="AK206">
        <v>0</v>
      </c>
      <c r="AL206">
        <v>0</v>
      </c>
      <c r="AM206">
        <v>0</v>
      </c>
      <c r="AN206">
        <v>15</v>
      </c>
      <c r="AO206">
        <v>0</v>
      </c>
      <c r="AP206">
        <v>7</v>
      </c>
      <c r="AQ206">
        <v>0</v>
      </c>
      <c r="AR206">
        <v>0</v>
      </c>
      <c r="AS206" t="s">
        <v>58</v>
      </c>
      <c r="AT206">
        <v>1</v>
      </c>
      <c r="AU206" t="s">
        <v>63</v>
      </c>
      <c r="AV206" t="s">
        <v>64</v>
      </c>
      <c r="AW206">
        <v>1</v>
      </c>
      <c r="AX206">
        <v>3</v>
      </c>
      <c r="AY206">
        <v>0</v>
      </c>
      <c r="AZ206">
        <v>0</v>
      </c>
      <c r="BA206">
        <v>100</v>
      </c>
      <c r="BB206">
        <v>100</v>
      </c>
      <c r="BC206">
        <v>100</v>
      </c>
      <c r="BD206">
        <v>100</v>
      </c>
      <c r="BE206">
        <v>1</v>
      </c>
      <c r="BF206">
        <v>15000</v>
      </c>
      <c r="BG206">
        <v>1000</v>
      </c>
      <c r="BH206" s="6">
        <f>Grandview_Inventory[[#This Row],[land_extract]]*Lookups!$B$3</f>
        <v>73896.028540123996</v>
      </c>
      <c r="BI206" s="6">
        <f>IF(Grandview_Inventory[[#This Row],[bldg_style]]="",0,Lookups!$B$2)</f>
        <v>155833.95000000001</v>
      </c>
      <c r="BJ206" s="6">
        <f>_xlfn.IFNA(VLOOKUP(Grandview_Inventory[[#This Row],[quality]],Lookups!$H$2:$J$14,3,FALSE),0)</f>
        <v>10733</v>
      </c>
      <c r="BK206" s="6">
        <f>_xlfn.IFNA(VLOOKUP(Grandview_Inventory[[#This Row],[condition]],Lookups!$H$17:$J$24,3,FALSE),0)</f>
        <v>-4503</v>
      </c>
      <c r="BL206" s="6">
        <f>Grandview_Inventory[[#This Row],[Eff_Age]]*Lookups!$B$14</f>
        <v>-13632.4962</v>
      </c>
      <c r="BM206" s="6">
        <f>Grandview_Inventory[[#This Row],[living_area]]*Lookups!$B$15</f>
        <v>87457.955906000003</v>
      </c>
      <c r="BN206" s="6">
        <f>Grandview_Inventory[[#This Row],[Fin BSMT]]*Lookups!$B$16</f>
        <v>0</v>
      </c>
      <c r="BO206" s="6">
        <f>(Grandview_Inventory[[#This Row],[att_gar]]+Grandview_Inventory[[#This Row],[bltin_gar]])*Lookups!$B$17</f>
        <v>71766.75834</v>
      </c>
      <c r="BP206" s="6">
        <f>Grandview_Inventory[[#This Row],[Plumbing Fixtures]]*Lookups!$B$18</f>
        <v>14073.0926</v>
      </c>
      <c r="BQ206" s="6">
        <f>Grandview_Inventory[[#This Row],[detatched_value]]*Lookups!$B$19</f>
        <v>0</v>
      </c>
      <c r="BR206" s="6">
        <f>SUM(Grandview_Inventory[[#This Row],[Intercept]:[det_value]])*Grandview_Inventory[[#This Row],[res_pct]]</f>
        <v>321729.26064599998</v>
      </c>
      <c r="BS206" s="6">
        <f>Grandview_Inventory[[#This Row],[land_value]]</f>
        <v>73896.028540123996</v>
      </c>
      <c r="BT206" s="4">
        <f>_xlfn.IFNA(VLOOKUP(Grandview_Inventory[[#This Row],[quality]],Lookups!$A$26:$C$33,3,FALSE),1)</f>
        <v>0.98079741117310582</v>
      </c>
      <c r="BU206" s="4">
        <f>_xlfn.IFNA(VLOOKUP(Grandview_Inventory[[#This Row],[condition]],Lookups!$A$37:$C$44,3,FALSE),1)</f>
        <v>0.96469275950863709</v>
      </c>
      <c r="BV206" s="4">
        <f>IF(Grandview_Inventory[[#This Row],[bldg_style]]="",1,_xlfn.IFNA(VLOOKUP(Grandview_Inventory[[#This Row],[decade]],Lookups!$F$29:$H$43,3,FALSE),1))</f>
        <v>0.92255236374249616</v>
      </c>
      <c r="BW206" s="4">
        <f>_xlfn.IFNA(VLOOKUP(Grandview_Inventory[[#This Row],[living_area_range]],Lookups!$F$47:$H$56,3,FALSE),1)</f>
        <v>0.96135087979789358</v>
      </c>
      <c r="BX206" s="4">
        <f>AVERAGE(Grandview_Inventory[[#This Row],[qual_adj]:[size_adj]])</f>
        <v>0.95734835355553316</v>
      </c>
      <c r="BY206" s="6">
        <f>IF(Grandview_Inventory[[#This Row],[pre_res]]&lt;0,0,Grandview_Inventory[[#This Row],[pre_res]]*Grandview_Inventory[[#This Row],[overall_adj]])</f>
        <v>308006.97797008709</v>
      </c>
      <c r="BZ206" s="6">
        <f>(Grandview_Inventory[[#This Row],[sum_land]]-IF(Grandview_Inventory[[#This Row],[no_utilities]]=1,12000,0))/IF(Grandview_Inventory[[#This Row],[unbuildable]]=1,2,1)</f>
        <v>73896.028540123996</v>
      </c>
      <c r="CA206">
        <f>IF(ROUND(Grandview_Inventory[[#This Row],[adj_land]]*Lookups!$M$28,-2)&lt;Grandview_Inventory[[#This Row],[min_land]],Grandview_Inventory[[#This Row],[min_land]],ROUND(Grandview_Inventory[[#This Row],[adj_land]]*Lookups!$M$28,-2))</f>
        <v>70200</v>
      </c>
      <c r="CB206">
        <f>ROUND(Grandview_Inventory[[#This Row],[det_value]]*Lookups!$M$28,-2)</f>
        <v>0</v>
      </c>
      <c r="CC206">
        <f>IF(ROUND(Grandview_Inventory[[#This Row],[adj_res]]*Lookups!$M$28,-2)&lt;Grandview_Inventory[[#This Row],[min_res]],Grandview_Inventory[[#This Row],[min_res]],ROUND(Grandview_Inventory[[#This Row],[adj_res]]*Lookups!$M$28,-2))</f>
        <v>292600</v>
      </c>
      <c r="CD206">
        <f>Grandview_Inventory[[#This Row],[final_det]]+Grandview_Inventory[[#This Row],[final_res]]</f>
        <v>292600</v>
      </c>
      <c r="CE206">
        <f>Grandview_Inventory[[#This Row],[final_land]]+Grandview_Inventory[[#This Row],[final_imp]]+Grandview_Inventory[[#This Row],[crop_value]]</f>
        <v>362800</v>
      </c>
      <c r="CG206" t="str">
        <f t="shared" si="3"/>
        <v>update valuation set market_land =70200, market_bldg=292600, market_total =362800, market_mdno =401, market_date ='9/10/2023' where link_id = (select link_id from parcel where parcel_year = '2024' and parcel_id = '23091434006');</v>
      </c>
    </row>
    <row r="207" spans="1:85" x14ac:dyDescent="0.25">
      <c r="A207">
        <v>23091434009</v>
      </c>
      <c r="B207">
        <v>0.76</v>
      </c>
      <c r="C207" t="s">
        <v>129</v>
      </c>
      <c r="D207" t="s">
        <v>129</v>
      </c>
      <c r="E207" t="s">
        <v>53</v>
      </c>
      <c r="F207" t="s">
        <v>53</v>
      </c>
      <c r="G207">
        <v>4</v>
      </c>
      <c r="H207" t="s">
        <v>54</v>
      </c>
      <c r="I207">
        <v>114500</v>
      </c>
      <c r="J207">
        <v>44900</v>
      </c>
      <c r="K207">
        <v>0.76</v>
      </c>
      <c r="L207">
        <f>IF(Grandview_Inventory[[#This Row],[parcel_acres]]-Grandview_Inventory[[#This Row],[non_valued_acres]] =0,0,LN(Grandview_Inventory[[#This Row],[parcel_acres]]-Grandview_Inventory[[#This Row],[non_valued_acres]]))</f>
        <v>-0.2744368457017603</v>
      </c>
      <c r="M207">
        <v>0</v>
      </c>
      <c r="N207">
        <v>0</v>
      </c>
      <c r="O207">
        <v>0</v>
      </c>
      <c r="P207">
        <v>13398.7528</v>
      </c>
      <c r="Q207">
        <v>63903</v>
      </c>
      <c r="R207">
        <f>(Grandview_Inventory[[#This Row],[ln_acres]]*Grandview_Inventory[[#This Row],[coeff]])+Grandview_Inventory[[#This Row],[const]]</f>
        <v>60225.888545230373</v>
      </c>
      <c r="S207" t="s">
        <v>68</v>
      </c>
      <c r="T207">
        <v>1</v>
      </c>
      <c r="U207" t="s">
        <v>70</v>
      </c>
      <c r="V207" t="s">
        <v>78</v>
      </c>
      <c r="W207">
        <v>0</v>
      </c>
      <c r="X207">
        <v>0</v>
      </c>
      <c r="Y207">
        <v>52</v>
      </c>
      <c r="Z207">
        <v>88</v>
      </c>
      <c r="AA207">
        <v>90</v>
      </c>
      <c r="AB207">
        <v>1500</v>
      </c>
      <c r="AC207">
        <v>1284</v>
      </c>
      <c r="AD207">
        <v>1284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500</v>
      </c>
      <c r="AL207">
        <v>0</v>
      </c>
      <c r="AM207">
        <v>0</v>
      </c>
      <c r="AN207">
        <v>0</v>
      </c>
      <c r="AO207">
        <v>0</v>
      </c>
      <c r="AP207">
        <v>5</v>
      </c>
      <c r="AQ207">
        <v>0</v>
      </c>
      <c r="AR207">
        <v>0</v>
      </c>
      <c r="AS207" t="s">
        <v>58</v>
      </c>
      <c r="AT207">
        <v>1</v>
      </c>
      <c r="AU207" t="s">
        <v>63</v>
      </c>
      <c r="AV207" t="s">
        <v>64</v>
      </c>
      <c r="AW207">
        <v>0</v>
      </c>
      <c r="AX207">
        <v>3</v>
      </c>
      <c r="AY207">
        <v>0</v>
      </c>
      <c r="AZ207">
        <v>0</v>
      </c>
      <c r="BA207">
        <v>100</v>
      </c>
      <c r="BB207">
        <v>100</v>
      </c>
      <c r="BC207">
        <v>100</v>
      </c>
      <c r="BD207">
        <v>100</v>
      </c>
      <c r="BE207">
        <v>1</v>
      </c>
      <c r="BF207">
        <v>15000</v>
      </c>
      <c r="BG207">
        <v>1000</v>
      </c>
      <c r="BH207" s="6">
        <f>Grandview_Inventory[[#This Row],[land_extract]]*Lookups!$B$3</f>
        <v>69940.161757676964</v>
      </c>
      <c r="BI207" s="6">
        <f>IF(Grandview_Inventory[[#This Row],[bldg_style]]="",0,Lookups!$B$2)</f>
        <v>155833.95000000001</v>
      </c>
      <c r="BJ207" s="6">
        <f>_xlfn.IFNA(VLOOKUP(Grandview_Inventory[[#This Row],[quality]],Lookups!$H$2:$J$14,3,FALSE),0)</f>
        <v>10733</v>
      </c>
      <c r="BK207" s="6">
        <f>_xlfn.IFNA(VLOOKUP(Grandview_Inventory[[#This Row],[condition]],Lookups!$H$17:$J$24,3,FALSE),0)</f>
        <v>-45357</v>
      </c>
      <c r="BL207" s="6">
        <f>Grandview_Inventory[[#This Row],[Eff_Age]]*Lookups!$B$14</f>
        <v>-12436.663199999999</v>
      </c>
      <c r="BM207" s="6">
        <f>Grandview_Inventory[[#This Row],[living_area]]*Lookups!$B$15</f>
        <v>80097.015251999997</v>
      </c>
      <c r="BN207" s="6">
        <f>Grandview_Inventory[[#This Row],[Fin BSMT]]*Lookups!$B$16</f>
        <v>0</v>
      </c>
      <c r="BO207" s="6">
        <f>(Grandview_Inventory[[#This Row],[att_gar]]+Grandview_Inventory[[#This Row],[bltin_gar]])*Lookups!$B$17</f>
        <v>0</v>
      </c>
      <c r="BP207" s="6">
        <f>Grandview_Inventory[[#This Row],[Plumbing Fixtures]]*Lookups!$B$18</f>
        <v>10052.209000000001</v>
      </c>
      <c r="BQ207" s="6">
        <f>Grandview_Inventory[[#This Row],[detatched_value]]*Lookups!$B$19</f>
        <v>0</v>
      </c>
      <c r="BR207" s="6">
        <f>SUM(Grandview_Inventory[[#This Row],[Intercept]:[det_value]])*Grandview_Inventory[[#This Row],[res_pct]]</f>
        <v>198922.51105200002</v>
      </c>
      <c r="BS207" s="6">
        <f>Grandview_Inventory[[#This Row],[land_value]]</f>
        <v>69940.161757676964</v>
      </c>
      <c r="BT207" s="4">
        <f>_xlfn.IFNA(VLOOKUP(Grandview_Inventory[[#This Row],[quality]],Lookups!$A$26:$C$33,3,FALSE),1)</f>
        <v>0.98079741117310582</v>
      </c>
      <c r="BU207" s="4">
        <f>_xlfn.IFNA(VLOOKUP(Grandview_Inventory[[#This Row],[condition]],Lookups!$A$37:$C$44,3,FALSE),1)</f>
        <v>0.97161819570155394</v>
      </c>
      <c r="BV207" s="4">
        <f>IF(Grandview_Inventory[[#This Row],[bldg_style]]="",1,_xlfn.IFNA(VLOOKUP(Grandview_Inventory[[#This Row],[decade]],Lookups!$F$29:$H$43,3,FALSE),1))</f>
        <v>0.94161750052457416</v>
      </c>
      <c r="BW207" s="4">
        <f>_xlfn.IFNA(VLOOKUP(Grandview_Inventory[[#This Row],[living_area_range]],Lookups!$F$47:$H$56,3,FALSE),1)</f>
        <v>0.96135087979789358</v>
      </c>
      <c r="BX207" s="4">
        <f>AVERAGE(Grandview_Inventory[[#This Row],[qual_adj]:[size_adj]])</f>
        <v>0.96384599679928185</v>
      </c>
      <c r="BY207" s="6">
        <f>IF(Grandview_Inventory[[#This Row],[pre_res]]&lt;0,0,Grandview_Inventory[[#This Row],[pre_res]]*Grandview_Inventory[[#This Row],[overall_adj]])</f>
        <v>191730.66595073111</v>
      </c>
      <c r="BZ207" s="6">
        <f>(Grandview_Inventory[[#This Row],[sum_land]]-IF(Grandview_Inventory[[#This Row],[no_utilities]]=1,12000,0))/IF(Grandview_Inventory[[#This Row],[unbuildable]]=1,2,1)</f>
        <v>69940.161757676964</v>
      </c>
      <c r="CA207">
        <f>IF(ROUND(Grandview_Inventory[[#This Row],[adj_land]]*Lookups!$M$28,-2)&lt;Grandview_Inventory[[#This Row],[min_land]],Grandview_Inventory[[#This Row],[min_land]],ROUND(Grandview_Inventory[[#This Row],[adj_land]]*Lookups!$M$28,-2))</f>
        <v>66400</v>
      </c>
      <c r="CB207">
        <f>ROUND(Grandview_Inventory[[#This Row],[det_value]]*Lookups!$M$28,-2)</f>
        <v>0</v>
      </c>
      <c r="CC207">
        <f>IF(ROUND(Grandview_Inventory[[#This Row],[adj_res]]*Lookups!$M$28,-2)&lt;Grandview_Inventory[[#This Row],[min_res]],Grandview_Inventory[[#This Row],[min_res]],ROUND(Grandview_Inventory[[#This Row],[adj_res]]*Lookups!$M$28,-2))</f>
        <v>182100</v>
      </c>
      <c r="CD207">
        <f>Grandview_Inventory[[#This Row],[final_det]]+Grandview_Inventory[[#This Row],[final_res]]</f>
        <v>182100</v>
      </c>
      <c r="CE207">
        <f>Grandview_Inventory[[#This Row],[final_land]]+Grandview_Inventory[[#This Row],[final_imp]]+Grandview_Inventory[[#This Row],[crop_value]]</f>
        <v>248500</v>
      </c>
      <c r="CG207" t="str">
        <f t="shared" si="3"/>
        <v>update valuation set market_land =66400, market_bldg=182100, market_total =248500, market_mdno =401, market_date ='9/10/2023' where link_id = (select link_id from parcel where parcel_year = '2024' and parcel_id = '23091434009');</v>
      </c>
    </row>
    <row r="208" spans="1:85" x14ac:dyDescent="0.25">
      <c r="A208">
        <v>23091434401</v>
      </c>
      <c r="B208">
        <v>0.48</v>
      </c>
      <c r="C208">
        <v>20999</v>
      </c>
      <c r="D208" t="s">
        <v>129</v>
      </c>
      <c r="E208" t="s">
        <v>53</v>
      </c>
      <c r="F208" t="s">
        <v>53</v>
      </c>
      <c r="G208">
        <v>4</v>
      </c>
      <c r="H208" t="s">
        <v>54</v>
      </c>
      <c r="I208">
        <v>180300</v>
      </c>
      <c r="J208">
        <v>41800</v>
      </c>
      <c r="K208">
        <v>0.48</v>
      </c>
      <c r="L208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208">
        <v>0</v>
      </c>
      <c r="N208">
        <v>0</v>
      </c>
      <c r="O208">
        <v>0</v>
      </c>
      <c r="P208">
        <v>13398.7528</v>
      </c>
      <c r="Q208">
        <v>63903</v>
      </c>
      <c r="R208">
        <f>(Grandview_Inventory[[#This Row],[ln_acres]]*Grandview_Inventory[[#This Row],[coeff]])+Grandview_Inventory[[#This Row],[const]]</f>
        <v>54068.728460280472</v>
      </c>
      <c r="S208" t="s">
        <v>68</v>
      </c>
      <c r="T208">
        <v>1</v>
      </c>
      <c r="U208" t="s">
        <v>70</v>
      </c>
      <c r="V208" t="s">
        <v>67</v>
      </c>
      <c r="W208">
        <v>0</v>
      </c>
      <c r="X208">
        <v>0</v>
      </c>
      <c r="Y208">
        <v>51</v>
      </c>
      <c r="Z208">
        <v>83</v>
      </c>
      <c r="AA208">
        <v>90</v>
      </c>
      <c r="AB208">
        <v>1500</v>
      </c>
      <c r="AC208">
        <v>1461</v>
      </c>
      <c r="AD208">
        <v>1461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7</v>
      </c>
      <c r="AQ208">
        <v>0</v>
      </c>
      <c r="AR208">
        <v>0</v>
      </c>
      <c r="AS208" t="s">
        <v>58</v>
      </c>
      <c r="AT208">
        <v>1</v>
      </c>
      <c r="AU208" t="s">
        <v>63</v>
      </c>
      <c r="AV208" t="s">
        <v>60</v>
      </c>
      <c r="AW208">
        <v>0</v>
      </c>
      <c r="AX208">
        <v>3</v>
      </c>
      <c r="AY208">
        <v>0</v>
      </c>
      <c r="AZ208">
        <v>0</v>
      </c>
      <c r="BA208">
        <v>100</v>
      </c>
      <c r="BB208">
        <v>100</v>
      </c>
      <c r="BC208">
        <v>100</v>
      </c>
      <c r="BD208">
        <v>100</v>
      </c>
      <c r="BE208">
        <v>1</v>
      </c>
      <c r="BF208">
        <v>15000</v>
      </c>
      <c r="BG208">
        <v>1000</v>
      </c>
      <c r="BH208" s="6">
        <f>Grandview_Inventory[[#This Row],[land_extract]]*Lookups!$B$3</f>
        <v>62789.868375356869</v>
      </c>
      <c r="BI208" s="6">
        <f>IF(Grandview_Inventory[[#This Row],[bldg_style]]="",0,Lookups!$B$2)</f>
        <v>155833.95000000001</v>
      </c>
      <c r="BJ208" s="6">
        <f>_xlfn.IFNA(VLOOKUP(Grandview_Inventory[[#This Row],[quality]],Lookups!$H$2:$J$14,3,FALSE),0)</f>
        <v>10733</v>
      </c>
      <c r="BK208" s="6">
        <f>_xlfn.IFNA(VLOOKUP(Grandview_Inventory[[#This Row],[condition]],Lookups!$H$17:$J$24,3,FALSE),0)</f>
        <v>22342</v>
      </c>
      <c r="BL208" s="6">
        <f>Grandview_Inventory[[#This Row],[Eff_Age]]*Lookups!$B$14</f>
        <v>-12197.496599999999</v>
      </c>
      <c r="BM208" s="6">
        <f>Grandview_Inventory[[#This Row],[living_area]]*Lookups!$B$15</f>
        <v>91138.426233000006</v>
      </c>
      <c r="BN208" s="6">
        <f>Grandview_Inventory[[#This Row],[Fin BSMT]]*Lookups!$B$16</f>
        <v>0</v>
      </c>
      <c r="BO208" s="6">
        <f>(Grandview_Inventory[[#This Row],[att_gar]]+Grandview_Inventory[[#This Row],[bltin_gar]])*Lookups!$B$17</f>
        <v>0</v>
      </c>
      <c r="BP208" s="6">
        <f>Grandview_Inventory[[#This Row],[Plumbing Fixtures]]*Lookups!$B$18</f>
        <v>14073.0926</v>
      </c>
      <c r="BQ208" s="6">
        <f>Grandview_Inventory[[#This Row],[detatched_value]]*Lookups!$B$19</f>
        <v>0</v>
      </c>
      <c r="BR208" s="6">
        <f>SUM(Grandview_Inventory[[#This Row],[Intercept]:[det_value]])*Grandview_Inventory[[#This Row],[res_pct]]</f>
        <v>281922.97223299998</v>
      </c>
      <c r="BS208" s="6">
        <f>Grandview_Inventory[[#This Row],[land_value]]</f>
        <v>62789.868375356869</v>
      </c>
      <c r="BT208" s="4">
        <f>_xlfn.IFNA(VLOOKUP(Grandview_Inventory[[#This Row],[quality]],Lookups!$A$26:$C$33,3,FALSE),1)</f>
        <v>0.98079741117310582</v>
      </c>
      <c r="BU208" s="4">
        <f>_xlfn.IFNA(VLOOKUP(Grandview_Inventory[[#This Row],[condition]],Lookups!$A$37:$C$44,3,FALSE),1)</f>
        <v>0.97383723671140243</v>
      </c>
      <c r="BV208" s="4">
        <f>IF(Grandview_Inventory[[#This Row],[bldg_style]]="",1,_xlfn.IFNA(VLOOKUP(Grandview_Inventory[[#This Row],[decade]],Lookups!$F$29:$H$43,3,FALSE),1))</f>
        <v>0.94161750052457416</v>
      </c>
      <c r="BW208" s="4">
        <f>_xlfn.IFNA(VLOOKUP(Grandview_Inventory[[#This Row],[living_area_range]],Lookups!$F$47:$H$56,3,FALSE),1)</f>
        <v>0.96135087979789358</v>
      </c>
      <c r="BX208" s="4">
        <f>AVERAGE(Grandview_Inventory[[#This Row],[qual_adj]:[size_adj]])</f>
        <v>0.964400757051744</v>
      </c>
      <c r="BY208" s="6">
        <f>IF(Grandview_Inventory[[#This Row],[pre_res]]&lt;0,0,Grandview_Inventory[[#This Row],[pre_res]]*Grandview_Inventory[[#This Row],[overall_adj]])</f>
        <v>271886.72785178298</v>
      </c>
      <c r="BZ208" s="6">
        <f>(Grandview_Inventory[[#This Row],[sum_land]]-IF(Grandview_Inventory[[#This Row],[no_utilities]]=1,12000,0))/IF(Grandview_Inventory[[#This Row],[unbuildable]]=1,2,1)</f>
        <v>62789.868375356869</v>
      </c>
      <c r="CA208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208">
        <f>ROUND(Grandview_Inventory[[#This Row],[det_value]]*Lookups!$M$28,-2)</f>
        <v>0</v>
      </c>
      <c r="CC208">
        <f>IF(ROUND(Grandview_Inventory[[#This Row],[adj_res]]*Lookups!$M$28,-2)&lt;Grandview_Inventory[[#This Row],[min_res]],Grandview_Inventory[[#This Row],[min_res]],ROUND(Grandview_Inventory[[#This Row],[adj_res]]*Lookups!$M$28,-2))</f>
        <v>258300</v>
      </c>
      <c r="CD208">
        <f>Grandview_Inventory[[#This Row],[final_det]]+Grandview_Inventory[[#This Row],[final_res]]</f>
        <v>258300</v>
      </c>
      <c r="CE208">
        <f>Grandview_Inventory[[#This Row],[final_land]]+Grandview_Inventory[[#This Row],[final_imp]]+Grandview_Inventory[[#This Row],[crop_value]]</f>
        <v>318000</v>
      </c>
      <c r="CG208" t="str">
        <f t="shared" si="3"/>
        <v>update valuation set market_land =59700, market_bldg=258300, market_total =318000, market_mdno =401, market_date ='9/10/2023' where link_id = (select link_id from parcel where parcel_year = '2024' and parcel_id = '23091434401');</v>
      </c>
    </row>
    <row r="209" spans="1:85" x14ac:dyDescent="0.25">
      <c r="A209">
        <v>23091434402</v>
      </c>
      <c r="B209">
        <v>0.49</v>
      </c>
      <c r="C209">
        <v>21195</v>
      </c>
      <c r="D209" t="s">
        <v>129</v>
      </c>
      <c r="E209" t="s">
        <v>53</v>
      </c>
      <c r="F209" t="s">
        <v>53</v>
      </c>
      <c r="G209">
        <v>4</v>
      </c>
      <c r="H209" t="s">
        <v>54</v>
      </c>
      <c r="I209">
        <v>130800</v>
      </c>
      <c r="J209">
        <v>41900</v>
      </c>
      <c r="K209">
        <v>0.49</v>
      </c>
      <c r="L209">
        <f>IF(Grandview_Inventory[[#This Row],[parcel_acres]]-Grandview_Inventory[[#This Row],[non_valued_acres]] =0,0,LN(Grandview_Inventory[[#This Row],[parcel_acres]]-Grandview_Inventory[[#This Row],[non_valued_acres]]))</f>
        <v>-0.71334988787746478</v>
      </c>
      <c r="M209">
        <v>0</v>
      </c>
      <c r="N209">
        <v>0</v>
      </c>
      <c r="O209">
        <v>0</v>
      </c>
      <c r="P209">
        <v>13398.7528</v>
      </c>
      <c r="Q209">
        <v>63903</v>
      </c>
      <c r="R209">
        <f>(Grandview_Inventory[[#This Row],[ln_acres]]*Grandview_Inventory[[#This Row],[coeff]])+Grandview_Inventory[[#This Row],[const]]</f>
        <v>54345.001192422133</v>
      </c>
      <c r="S209" t="s">
        <v>68</v>
      </c>
      <c r="T209">
        <v>1</v>
      </c>
      <c r="U209" t="s">
        <v>80</v>
      </c>
      <c r="V209" t="s">
        <v>67</v>
      </c>
      <c r="W209">
        <v>0</v>
      </c>
      <c r="X209">
        <v>0</v>
      </c>
      <c r="Y209">
        <v>53</v>
      </c>
      <c r="Z209">
        <v>93</v>
      </c>
      <c r="AA209">
        <v>100</v>
      </c>
      <c r="AB209">
        <v>1500</v>
      </c>
      <c r="AC209">
        <v>1092</v>
      </c>
      <c r="AD209">
        <v>1092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5</v>
      </c>
      <c r="AQ209">
        <v>0</v>
      </c>
      <c r="AR209">
        <v>0</v>
      </c>
      <c r="AS209" t="s">
        <v>58</v>
      </c>
      <c r="AT209">
        <v>1</v>
      </c>
      <c r="AU209" t="s">
        <v>63</v>
      </c>
      <c r="AV209" t="s">
        <v>64</v>
      </c>
      <c r="AW209">
        <v>0</v>
      </c>
      <c r="AX209">
        <v>3</v>
      </c>
      <c r="AY209">
        <v>0</v>
      </c>
      <c r="AZ209">
        <v>0</v>
      </c>
      <c r="BA209">
        <v>100</v>
      </c>
      <c r="BB209">
        <v>100</v>
      </c>
      <c r="BC209">
        <v>100</v>
      </c>
      <c r="BD209">
        <v>100</v>
      </c>
      <c r="BE209">
        <v>1</v>
      </c>
      <c r="BF209">
        <v>15000</v>
      </c>
      <c r="BG209">
        <v>1000</v>
      </c>
      <c r="BH209" s="6">
        <f>Grandview_Inventory[[#This Row],[land_extract]]*Lookups!$B$3</f>
        <v>63110.703153256603</v>
      </c>
      <c r="BI209" s="6">
        <f>IF(Grandview_Inventory[[#This Row],[bldg_style]]="",0,Lookups!$B$2)</f>
        <v>155833.95000000001</v>
      </c>
      <c r="BJ209" s="6">
        <f>_xlfn.IFNA(VLOOKUP(Grandview_Inventory[[#This Row],[quality]],Lookups!$H$2:$J$14,3,FALSE),0)</f>
        <v>-28558</v>
      </c>
      <c r="BK209" s="6">
        <f>_xlfn.IFNA(VLOOKUP(Grandview_Inventory[[#This Row],[condition]],Lookups!$H$17:$J$24,3,FALSE),0)</f>
        <v>22342</v>
      </c>
      <c r="BL209" s="6">
        <f>Grandview_Inventory[[#This Row],[Eff_Age]]*Lookups!$B$14</f>
        <v>-12675.8298</v>
      </c>
      <c r="BM209" s="6">
        <f>Grandview_Inventory[[#This Row],[living_area]]*Lookups!$B$15</f>
        <v>68119.891476000004</v>
      </c>
      <c r="BN209" s="6">
        <f>Grandview_Inventory[[#This Row],[Fin BSMT]]*Lookups!$B$16</f>
        <v>0</v>
      </c>
      <c r="BO209" s="6">
        <f>(Grandview_Inventory[[#This Row],[att_gar]]+Grandview_Inventory[[#This Row],[bltin_gar]])*Lookups!$B$17</f>
        <v>0</v>
      </c>
      <c r="BP209" s="6">
        <f>Grandview_Inventory[[#This Row],[Plumbing Fixtures]]*Lookups!$B$18</f>
        <v>10052.209000000001</v>
      </c>
      <c r="BQ209" s="6">
        <f>Grandview_Inventory[[#This Row],[detatched_value]]*Lookups!$B$19</f>
        <v>0</v>
      </c>
      <c r="BR209" s="6">
        <f>SUM(Grandview_Inventory[[#This Row],[Intercept]:[det_value]])*Grandview_Inventory[[#This Row],[res_pct]]</f>
        <v>215114.22067600003</v>
      </c>
      <c r="BS209" s="6">
        <f>Grandview_Inventory[[#This Row],[land_value]]</f>
        <v>63110.703153256603</v>
      </c>
      <c r="BT209" s="4">
        <f>_xlfn.IFNA(VLOOKUP(Grandview_Inventory[[#This Row],[quality]],Lookups!$A$26:$C$33,3,FALSE),1)</f>
        <v>0.9690360070159818</v>
      </c>
      <c r="BU209" s="4">
        <f>_xlfn.IFNA(VLOOKUP(Grandview_Inventory[[#This Row],[condition]],Lookups!$A$37:$C$44,3,FALSE),1)</f>
        <v>0.97383723671140243</v>
      </c>
      <c r="BV209" s="4">
        <f>IF(Grandview_Inventory[[#This Row],[bldg_style]]="",1,_xlfn.IFNA(VLOOKUP(Grandview_Inventory[[#This Row],[decade]],Lookups!$F$29:$H$43,3,FALSE),1))</f>
        <v>0.95244691841736806</v>
      </c>
      <c r="BW209" s="4">
        <f>_xlfn.IFNA(VLOOKUP(Grandview_Inventory[[#This Row],[living_area_range]],Lookups!$F$47:$H$56,3,FALSE),1)</f>
        <v>0.96135087979789358</v>
      </c>
      <c r="BX209" s="4">
        <f>AVERAGE(Grandview_Inventory[[#This Row],[qual_adj]:[size_adj]])</f>
        <v>0.96416776048566144</v>
      </c>
      <c r="BY209" s="6">
        <f>IF(Grandview_Inventory[[#This Row],[pre_res]]&lt;0,0,Grandview_Inventory[[#This Row],[pre_res]]*Grandview_Inventory[[#This Row],[overall_adj]])</f>
        <v>207406.19639779732</v>
      </c>
      <c r="BZ209" s="6">
        <f>(Grandview_Inventory[[#This Row],[sum_land]]-IF(Grandview_Inventory[[#This Row],[no_utilities]]=1,12000,0))/IF(Grandview_Inventory[[#This Row],[unbuildable]]=1,2,1)</f>
        <v>63110.703153256603</v>
      </c>
      <c r="CA209">
        <f>IF(ROUND(Grandview_Inventory[[#This Row],[adj_land]]*Lookups!$M$28,-2)&lt;Grandview_Inventory[[#This Row],[min_land]],Grandview_Inventory[[#This Row],[min_land]],ROUND(Grandview_Inventory[[#This Row],[adj_land]]*Lookups!$M$28,-2))</f>
        <v>60000</v>
      </c>
      <c r="CB209">
        <f>ROUND(Grandview_Inventory[[#This Row],[det_value]]*Lookups!$M$28,-2)</f>
        <v>0</v>
      </c>
      <c r="CC209">
        <f>IF(ROUND(Grandview_Inventory[[#This Row],[adj_res]]*Lookups!$M$28,-2)&lt;Grandview_Inventory[[#This Row],[min_res]],Grandview_Inventory[[#This Row],[min_res]],ROUND(Grandview_Inventory[[#This Row],[adj_res]]*Lookups!$M$28,-2))</f>
        <v>197000</v>
      </c>
      <c r="CD209">
        <f>Grandview_Inventory[[#This Row],[final_det]]+Grandview_Inventory[[#This Row],[final_res]]</f>
        <v>197000</v>
      </c>
      <c r="CE209">
        <f>Grandview_Inventory[[#This Row],[final_land]]+Grandview_Inventory[[#This Row],[final_imp]]+Grandview_Inventory[[#This Row],[crop_value]]</f>
        <v>257000</v>
      </c>
      <c r="CG209" t="str">
        <f t="shared" si="3"/>
        <v>update valuation set market_land =60000, market_bldg=197000, market_total =257000, market_mdno =401, market_date ='9/10/2023' where link_id = (select link_id from parcel where parcel_year = '2024' and parcel_id = '23091434402');</v>
      </c>
    </row>
    <row r="210" spans="1:85" x14ac:dyDescent="0.25">
      <c r="A210">
        <v>23091434403</v>
      </c>
      <c r="B210">
        <v>0.54</v>
      </c>
      <c r="C210">
        <v>23550</v>
      </c>
      <c r="D210" t="s">
        <v>129</v>
      </c>
      <c r="E210" t="s">
        <v>53</v>
      </c>
      <c r="F210" t="s">
        <v>53</v>
      </c>
      <c r="G210">
        <v>4</v>
      </c>
      <c r="H210" t="s">
        <v>54</v>
      </c>
      <c r="I210">
        <v>165600</v>
      </c>
      <c r="J210">
        <v>41900</v>
      </c>
      <c r="K210">
        <v>0.54</v>
      </c>
      <c r="L210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10">
        <v>0</v>
      </c>
      <c r="N210">
        <v>0</v>
      </c>
      <c r="O210">
        <v>0</v>
      </c>
      <c r="P210">
        <v>13398.7528</v>
      </c>
      <c r="Q210">
        <v>63903</v>
      </c>
      <c r="R210">
        <f>(Grandview_Inventory[[#This Row],[ln_acres]]*Grandview_Inventory[[#This Row],[coeff]])+Grandview_Inventory[[#This Row],[const]]</f>
        <v>55646.874239073943</v>
      </c>
      <c r="S210" t="s">
        <v>68</v>
      </c>
      <c r="T210">
        <v>1</v>
      </c>
      <c r="U210" t="s">
        <v>70</v>
      </c>
      <c r="V210" t="s">
        <v>69</v>
      </c>
      <c r="W210">
        <v>0</v>
      </c>
      <c r="X210">
        <v>0</v>
      </c>
      <c r="Y210">
        <v>51</v>
      </c>
      <c r="Z210">
        <v>83</v>
      </c>
      <c r="AA210">
        <v>90</v>
      </c>
      <c r="AB210">
        <v>2000</v>
      </c>
      <c r="AC210">
        <v>1761</v>
      </c>
      <c r="AD210">
        <v>1761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8</v>
      </c>
      <c r="AQ210">
        <v>0</v>
      </c>
      <c r="AR210">
        <v>0</v>
      </c>
      <c r="AS210" t="s">
        <v>58</v>
      </c>
      <c r="AT210">
        <v>1</v>
      </c>
      <c r="AU210" t="s">
        <v>75</v>
      </c>
      <c r="AV210" t="s">
        <v>60</v>
      </c>
      <c r="AW210">
        <v>0</v>
      </c>
      <c r="AX210">
        <v>3</v>
      </c>
      <c r="AY210">
        <v>0</v>
      </c>
      <c r="AZ210">
        <v>3900</v>
      </c>
      <c r="BA210">
        <v>100</v>
      </c>
      <c r="BB210">
        <v>100</v>
      </c>
      <c r="BC210">
        <v>100</v>
      </c>
      <c r="BD210">
        <v>100</v>
      </c>
      <c r="BE210">
        <v>1</v>
      </c>
      <c r="BF210">
        <v>15000</v>
      </c>
      <c r="BG210">
        <v>1000</v>
      </c>
      <c r="BH210" s="6">
        <f>Grandview_Inventory[[#This Row],[land_extract]]*Lookups!$B$3</f>
        <v>64622.564807276125</v>
      </c>
      <c r="BI210" s="6">
        <f>IF(Grandview_Inventory[[#This Row],[bldg_style]]="",0,Lookups!$B$2)</f>
        <v>155833.95000000001</v>
      </c>
      <c r="BJ210" s="6">
        <f>_xlfn.IFNA(VLOOKUP(Grandview_Inventory[[#This Row],[quality]],Lookups!$H$2:$J$14,3,FALSE),0)</f>
        <v>10733</v>
      </c>
      <c r="BK210" s="6">
        <f>_xlfn.IFNA(VLOOKUP(Grandview_Inventory[[#This Row],[condition]],Lookups!$H$17:$J$24,3,FALSE),0)</f>
        <v>-4503</v>
      </c>
      <c r="BL210" s="6">
        <f>Grandview_Inventory[[#This Row],[Eff_Age]]*Lookups!$B$14</f>
        <v>-12197.496599999999</v>
      </c>
      <c r="BM210" s="6">
        <f>Grandview_Inventory[[#This Row],[living_area]]*Lookups!$B$15</f>
        <v>109852.68213300001</v>
      </c>
      <c r="BN210" s="6">
        <f>Grandview_Inventory[[#This Row],[Fin BSMT]]*Lookups!$B$16</f>
        <v>0</v>
      </c>
      <c r="BO210" s="6">
        <f>(Grandview_Inventory[[#This Row],[att_gar]]+Grandview_Inventory[[#This Row],[bltin_gar]])*Lookups!$B$17</f>
        <v>0</v>
      </c>
      <c r="BP210" s="6">
        <f>Grandview_Inventory[[#This Row],[Plumbing Fixtures]]*Lookups!$B$18</f>
        <v>16083.5344</v>
      </c>
      <c r="BQ210" s="6">
        <f>Grandview_Inventory[[#This Row],[detatched_value]]*Lookups!$B$19</f>
        <v>3302.53989</v>
      </c>
      <c r="BR210" s="6">
        <f>SUM(Grandview_Inventory[[#This Row],[Intercept]:[det_value]])*Grandview_Inventory[[#This Row],[res_pct]]</f>
        <v>279105.20982300001</v>
      </c>
      <c r="BS210" s="6">
        <f>Grandview_Inventory[[#This Row],[land_value]]</f>
        <v>64622.564807276125</v>
      </c>
      <c r="BT210" s="4">
        <f>_xlfn.IFNA(VLOOKUP(Grandview_Inventory[[#This Row],[quality]],Lookups!$A$26:$C$33,3,FALSE),1)</f>
        <v>0.98079741117310582</v>
      </c>
      <c r="BU210" s="4">
        <f>_xlfn.IFNA(VLOOKUP(Grandview_Inventory[[#This Row],[condition]],Lookups!$A$37:$C$44,3,FALSE),1)</f>
        <v>0.96469275950863709</v>
      </c>
      <c r="BV210" s="4">
        <f>IF(Grandview_Inventory[[#This Row],[bldg_style]]="",1,_xlfn.IFNA(VLOOKUP(Grandview_Inventory[[#This Row],[decade]],Lookups!$F$29:$H$43,3,FALSE),1))</f>
        <v>0.94161750052457416</v>
      </c>
      <c r="BW210" s="4">
        <f>_xlfn.IFNA(VLOOKUP(Grandview_Inventory[[#This Row],[living_area_range]],Lookups!$F$47:$H$56,3,FALSE),1)</f>
        <v>0.96120133463014379</v>
      </c>
      <c r="BX210" s="4">
        <f>AVERAGE(Grandview_Inventory[[#This Row],[qual_adj]:[size_adj]])</f>
        <v>0.96207725145911516</v>
      </c>
      <c r="BY210" s="6">
        <f>IF(Grandview_Inventory[[#This Row],[pre_res]]&lt;0,0,Grandview_Inventory[[#This Row],[pre_res]]*Grandview_Inventory[[#This Row],[overall_adj]])</f>
        <v>268520.77313443145</v>
      </c>
      <c r="BZ210" s="6">
        <f>(Grandview_Inventory[[#This Row],[sum_land]]-IF(Grandview_Inventory[[#This Row],[no_utilities]]=1,12000,0))/IF(Grandview_Inventory[[#This Row],[unbuildable]]=1,2,1)</f>
        <v>64622.564807276125</v>
      </c>
      <c r="CA210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10">
        <f>ROUND(Grandview_Inventory[[#This Row],[det_value]]*Lookups!$M$28,-2)</f>
        <v>3100</v>
      </c>
      <c r="CC210">
        <f>IF(ROUND(Grandview_Inventory[[#This Row],[adj_res]]*Lookups!$M$28,-2)&lt;Grandview_Inventory[[#This Row],[min_res]],Grandview_Inventory[[#This Row],[min_res]],ROUND(Grandview_Inventory[[#This Row],[adj_res]]*Lookups!$M$28,-2))</f>
        <v>255100</v>
      </c>
      <c r="CD210">
        <f>Grandview_Inventory[[#This Row],[final_det]]+Grandview_Inventory[[#This Row],[final_res]]</f>
        <v>258200</v>
      </c>
      <c r="CE210">
        <f>Grandview_Inventory[[#This Row],[final_land]]+Grandview_Inventory[[#This Row],[final_imp]]+Grandview_Inventory[[#This Row],[crop_value]]</f>
        <v>319600</v>
      </c>
      <c r="CG210" t="str">
        <f t="shared" si="3"/>
        <v>update valuation set market_land =61400, market_bldg=258200, market_total =319600, market_mdno =401, market_date ='9/10/2023' where link_id = (select link_id from parcel where parcel_year = '2024' and parcel_id = '23091434403');</v>
      </c>
    </row>
    <row r="211" spans="1:85" x14ac:dyDescent="0.25">
      <c r="A211">
        <v>23091434404</v>
      </c>
      <c r="B211">
        <v>0.54</v>
      </c>
      <c r="C211">
        <v>23550</v>
      </c>
      <c r="D211" t="s">
        <v>129</v>
      </c>
      <c r="E211" t="s">
        <v>53</v>
      </c>
      <c r="F211" t="s">
        <v>53</v>
      </c>
      <c r="G211">
        <v>4</v>
      </c>
      <c r="H211" t="s">
        <v>54</v>
      </c>
      <c r="I211">
        <v>162700</v>
      </c>
      <c r="J211">
        <v>41900</v>
      </c>
      <c r="K211">
        <v>0.54</v>
      </c>
      <c r="L211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11">
        <v>0</v>
      </c>
      <c r="N211">
        <v>0</v>
      </c>
      <c r="O211">
        <v>0</v>
      </c>
      <c r="P211">
        <v>13398.7528</v>
      </c>
      <c r="Q211">
        <v>63903</v>
      </c>
      <c r="R211">
        <f>(Grandview_Inventory[[#This Row],[ln_acres]]*Grandview_Inventory[[#This Row],[coeff]])+Grandview_Inventory[[#This Row],[const]]</f>
        <v>55646.874239073943</v>
      </c>
      <c r="S211" t="s">
        <v>55</v>
      </c>
      <c r="T211">
        <v>2</v>
      </c>
      <c r="U211" t="s">
        <v>65</v>
      </c>
      <c r="V211" t="s">
        <v>69</v>
      </c>
      <c r="W211">
        <v>0</v>
      </c>
      <c r="X211">
        <v>0</v>
      </c>
      <c r="Y211">
        <v>52</v>
      </c>
      <c r="Z211">
        <v>88</v>
      </c>
      <c r="AA211">
        <v>90</v>
      </c>
      <c r="AB211">
        <v>2000</v>
      </c>
      <c r="AC211">
        <v>1848</v>
      </c>
      <c r="AD211">
        <v>1432</v>
      </c>
      <c r="AE211">
        <v>416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224</v>
      </c>
      <c r="AP211">
        <v>5</v>
      </c>
      <c r="AQ211">
        <v>0</v>
      </c>
      <c r="AR211">
        <v>0</v>
      </c>
      <c r="AS211" t="s">
        <v>58</v>
      </c>
      <c r="AT211">
        <v>1</v>
      </c>
      <c r="AU211" t="s">
        <v>63</v>
      </c>
      <c r="AV211" t="s">
        <v>64</v>
      </c>
      <c r="AW211">
        <v>0</v>
      </c>
      <c r="AX211">
        <v>4</v>
      </c>
      <c r="AY211">
        <v>0</v>
      </c>
      <c r="AZ211">
        <v>0</v>
      </c>
      <c r="BA211">
        <v>100</v>
      </c>
      <c r="BB211">
        <v>100</v>
      </c>
      <c r="BC211">
        <v>100</v>
      </c>
      <c r="BD211">
        <v>100</v>
      </c>
      <c r="BE211">
        <v>1</v>
      </c>
      <c r="BF211">
        <v>15000</v>
      </c>
      <c r="BG211">
        <v>1000</v>
      </c>
      <c r="BH211" s="6">
        <f>Grandview_Inventory[[#This Row],[land_extract]]*Lookups!$B$3</f>
        <v>64622.564807276125</v>
      </c>
      <c r="BI211" s="6">
        <f>IF(Grandview_Inventory[[#This Row],[bldg_style]]="",0,Lookups!$B$2)</f>
        <v>155833.95000000001</v>
      </c>
      <c r="BJ211" s="6">
        <f>_xlfn.IFNA(VLOOKUP(Grandview_Inventory[[#This Row],[quality]],Lookups!$H$2:$J$14,3,FALSE),0)</f>
        <v>2251</v>
      </c>
      <c r="BK211" s="6">
        <f>_xlfn.IFNA(VLOOKUP(Grandview_Inventory[[#This Row],[condition]],Lookups!$H$17:$J$24,3,FALSE),0)</f>
        <v>-4503</v>
      </c>
      <c r="BL211" s="6">
        <f>Grandview_Inventory[[#This Row],[Eff_Age]]*Lookups!$B$14</f>
        <v>-12436.663199999999</v>
      </c>
      <c r="BM211" s="6">
        <f>Grandview_Inventory[[#This Row],[living_area]]*Lookups!$B$15</f>
        <v>115279.81634400001</v>
      </c>
      <c r="BN211" s="6">
        <f>Grandview_Inventory[[#This Row],[Fin BSMT]]*Lookups!$B$16</f>
        <v>0</v>
      </c>
      <c r="BO211" s="6">
        <f>(Grandview_Inventory[[#This Row],[att_gar]]+Grandview_Inventory[[#This Row],[bltin_gar]])*Lookups!$B$17</f>
        <v>0</v>
      </c>
      <c r="BP211" s="6">
        <f>Grandview_Inventory[[#This Row],[Plumbing Fixtures]]*Lookups!$B$18</f>
        <v>10052.209000000001</v>
      </c>
      <c r="BQ211" s="6">
        <f>Grandview_Inventory[[#This Row],[detatched_value]]*Lookups!$B$19</f>
        <v>0</v>
      </c>
      <c r="BR211" s="6">
        <f>SUM(Grandview_Inventory[[#This Row],[Intercept]:[det_value]])*Grandview_Inventory[[#This Row],[res_pct]]</f>
        <v>266477.31214399997</v>
      </c>
      <c r="BS211" s="6">
        <f>Grandview_Inventory[[#This Row],[land_value]]</f>
        <v>64622.564807276125</v>
      </c>
      <c r="BT211" s="4">
        <f>_xlfn.IFNA(VLOOKUP(Grandview_Inventory[[#This Row],[quality]],Lookups!$A$26:$C$33,3,FALSE),1)</f>
        <v>0.98763855981004833</v>
      </c>
      <c r="BU211" s="4">
        <f>_xlfn.IFNA(VLOOKUP(Grandview_Inventory[[#This Row],[condition]],Lookups!$A$37:$C$44,3,FALSE),1)</f>
        <v>0.96469275950863709</v>
      </c>
      <c r="BV211" s="4">
        <f>IF(Grandview_Inventory[[#This Row],[bldg_style]]="",1,_xlfn.IFNA(VLOOKUP(Grandview_Inventory[[#This Row],[decade]],Lookups!$F$29:$H$43,3,FALSE),1))</f>
        <v>0.94161750052457416</v>
      </c>
      <c r="BW211" s="4">
        <f>_xlfn.IFNA(VLOOKUP(Grandview_Inventory[[#This Row],[living_area_range]],Lookups!$F$47:$H$56,3,FALSE),1)</f>
        <v>0.96120133463014379</v>
      </c>
      <c r="BX211" s="4">
        <f>AVERAGE(Grandview_Inventory[[#This Row],[qual_adj]:[size_adj]])</f>
        <v>0.96378753861835076</v>
      </c>
      <c r="BY211" s="6">
        <f>IF(Grandview_Inventory[[#This Row],[pre_res]]&lt;0,0,Grandview_Inventory[[#This Row],[pre_res]]*Grandview_Inventory[[#This Row],[overall_adj]])</f>
        <v>256827.51276889967</v>
      </c>
      <c r="BZ211" s="6">
        <f>(Grandview_Inventory[[#This Row],[sum_land]]-IF(Grandview_Inventory[[#This Row],[no_utilities]]=1,12000,0))/IF(Grandview_Inventory[[#This Row],[unbuildable]]=1,2,1)</f>
        <v>64622.564807276125</v>
      </c>
      <c r="CA211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11">
        <f>ROUND(Grandview_Inventory[[#This Row],[det_value]]*Lookups!$M$28,-2)</f>
        <v>0</v>
      </c>
      <c r="CC211">
        <f>IF(ROUND(Grandview_Inventory[[#This Row],[adj_res]]*Lookups!$M$28,-2)&lt;Grandview_Inventory[[#This Row],[min_res]],Grandview_Inventory[[#This Row],[min_res]],ROUND(Grandview_Inventory[[#This Row],[adj_res]]*Lookups!$M$28,-2))</f>
        <v>244000</v>
      </c>
      <c r="CD211">
        <f>Grandview_Inventory[[#This Row],[final_det]]+Grandview_Inventory[[#This Row],[final_res]]</f>
        <v>244000</v>
      </c>
      <c r="CE211">
        <f>Grandview_Inventory[[#This Row],[final_land]]+Grandview_Inventory[[#This Row],[final_imp]]+Grandview_Inventory[[#This Row],[crop_value]]</f>
        <v>305400</v>
      </c>
      <c r="CG211" t="str">
        <f t="shared" si="3"/>
        <v>update valuation set market_land =61400, market_bldg=244000, market_total =305400, market_mdno =401, market_date ='9/10/2023' where link_id = (select link_id from parcel where parcel_year = '2024' and parcel_id = '23091434404');</v>
      </c>
    </row>
    <row r="212" spans="1:85" x14ac:dyDescent="0.25">
      <c r="A212">
        <v>23091434405</v>
      </c>
      <c r="B212">
        <v>0.54</v>
      </c>
      <c r="C212">
        <v>23550</v>
      </c>
      <c r="D212" t="s">
        <v>129</v>
      </c>
      <c r="E212" t="s">
        <v>53</v>
      </c>
      <c r="F212" t="s">
        <v>53</v>
      </c>
      <c r="G212">
        <v>4</v>
      </c>
      <c r="H212" t="s">
        <v>54</v>
      </c>
      <c r="I212">
        <v>196000</v>
      </c>
      <c r="J212">
        <v>46500</v>
      </c>
      <c r="K212">
        <v>0.54</v>
      </c>
      <c r="L212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12">
        <v>0</v>
      </c>
      <c r="N212">
        <v>0</v>
      </c>
      <c r="O212">
        <v>0</v>
      </c>
      <c r="P212">
        <v>13398.7528</v>
      </c>
      <c r="Q212">
        <v>63903</v>
      </c>
      <c r="R212">
        <f>(Grandview_Inventory[[#This Row],[ln_acres]]*Grandview_Inventory[[#This Row],[coeff]])+Grandview_Inventory[[#This Row],[const]]</f>
        <v>55646.874239073943</v>
      </c>
      <c r="S212" t="s">
        <v>68</v>
      </c>
      <c r="T212">
        <v>1</v>
      </c>
      <c r="U212" t="s">
        <v>65</v>
      </c>
      <c r="V212" t="s">
        <v>66</v>
      </c>
      <c r="W212">
        <v>0</v>
      </c>
      <c r="X212">
        <v>0</v>
      </c>
      <c r="Y212">
        <v>33</v>
      </c>
      <c r="Z212">
        <v>93</v>
      </c>
      <c r="AA212">
        <v>100</v>
      </c>
      <c r="AB212">
        <v>2000</v>
      </c>
      <c r="AC212">
        <v>1594</v>
      </c>
      <c r="AD212">
        <v>1594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459</v>
      </c>
      <c r="AL212">
        <v>164</v>
      </c>
      <c r="AM212">
        <v>192</v>
      </c>
      <c r="AN212">
        <v>60</v>
      </c>
      <c r="AO212">
        <v>422</v>
      </c>
      <c r="AP212">
        <v>8</v>
      </c>
      <c r="AQ212">
        <v>0</v>
      </c>
      <c r="AR212">
        <v>0</v>
      </c>
      <c r="AS212" t="s">
        <v>58</v>
      </c>
      <c r="AT212">
        <v>1</v>
      </c>
      <c r="AU212" t="s">
        <v>59</v>
      </c>
      <c r="AV212" t="s">
        <v>60</v>
      </c>
      <c r="AW212">
        <v>1</v>
      </c>
      <c r="AX212">
        <v>3</v>
      </c>
      <c r="AY212">
        <v>0</v>
      </c>
      <c r="AZ212">
        <v>0</v>
      </c>
      <c r="BA212">
        <v>100</v>
      </c>
      <c r="BB212">
        <v>100</v>
      </c>
      <c r="BC212">
        <v>100</v>
      </c>
      <c r="BD212">
        <v>100</v>
      </c>
      <c r="BE212">
        <v>1</v>
      </c>
      <c r="BF212">
        <v>15000</v>
      </c>
      <c r="BG212">
        <v>1000</v>
      </c>
      <c r="BH212" s="6">
        <f>Grandview_Inventory[[#This Row],[land_extract]]*Lookups!$B$3</f>
        <v>64622.564807276125</v>
      </c>
      <c r="BI212" s="6">
        <f>IF(Grandview_Inventory[[#This Row],[bldg_style]]="",0,Lookups!$B$2)</f>
        <v>155833.95000000001</v>
      </c>
      <c r="BJ212" s="6">
        <f>_xlfn.IFNA(VLOOKUP(Grandview_Inventory[[#This Row],[quality]],Lookups!$H$2:$J$14,3,FALSE),0)</f>
        <v>2251</v>
      </c>
      <c r="BK212" s="6">
        <f>_xlfn.IFNA(VLOOKUP(Grandview_Inventory[[#This Row],[condition]],Lookups!$H$17:$J$24,3,FALSE),0)</f>
        <v>25818</v>
      </c>
      <c r="BL212" s="6">
        <f>Grandview_Inventory[[#This Row],[Eff_Age]]*Lookups!$B$14</f>
        <v>-7892.4977999999992</v>
      </c>
      <c r="BM212" s="6">
        <f>Grandview_Inventory[[#This Row],[living_area]]*Lookups!$B$15</f>
        <v>99435.079681999996</v>
      </c>
      <c r="BN212" s="6">
        <f>Grandview_Inventory[[#This Row],[Fin BSMT]]*Lookups!$B$16</f>
        <v>0</v>
      </c>
      <c r="BO212" s="6">
        <f>(Grandview_Inventory[[#This Row],[att_gar]]+Grandview_Inventory[[#This Row],[bltin_gar]])*Lookups!$B$17</f>
        <v>0</v>
      </c>
      <c r="BP212" s="6">
        <f>Grandview_Inventory[[#This Row],[Plumbing Fixtures]]*Lookups!$B$18</f>
        <v>16083.5344</v>
      </c>
      <c r="BQ212" s="6">
        <f>Grandview_Inventory[[#This Row],[detatched_value]]*Lookups!$B$19</f>
        <v>0</v>
      </c>
      <c r="BR212" s="6">
        <f>SUM(Grandview_Inventory[[#This Row],[Intercept]:[det_value]])*Grandview_Inventory[[#This Row],[res_pct]]</f>
        <v>291529.06628199999</v>
      </c>
      <c r="BS212" s="6">
        <f>Grandview_Inventory[[#This Row],[land_value]]</f>
        <v>64622.564807276125</v>
      </c>
      <c r="BT212" s="4">
        <f>_xlfn.IFNA(VLOOKUP(Grandview_Inventory[[#This Row],[quality]],Lookups!$A$26:$C$33,3,FALSE),1)</f>
        <v>0.98763855981004833</v>
      </c>
      <c r="BU212" s="4">
        <f>_xlfn.IFNA(VLOOKUP(Grandview_Inventory[[#This Row],[condition]],Lookups!$A$37:$C$44,3,FALSE),1)</f>
        <v>0.96661476234146892</v>
      </c>
      <c r="BV212" s="4">
        <f>IF(Grandview_Inventory[[#This Row],[bldg_style]]="",1,_xlfn.IFNA(VLOOKUP(Grandview_Inventory[[#This Row],[decade]],Lookups!$F$29:$H$43,3,FALSE),1))</f>
        <v>0.95244691841736806</v>
      </c>
      <c r="BW212" s="4">
        <f>_xlfn.IFNA(VLOOKUP(Grandview_Inventory[[#This Row],[living_area_range]],Lookups!$F$47:$H$56,3,FALSE),1)</f>
        <v>0.96120133463014379</v>
      </c>
      <c r="BX212" s="4">
        <f>AVERAGE(Grandview_Inventory[[#This Row],[qual_adj]:[size_adj]])</f>
        <v>0.96697539379975739</v>
      </c>
      <c r="BY212" s="6">
        <f>IF(Grandview_Inventory[[#This Row],[pre_res]]&lt;0,0,Grandview_Inventory[[#This Row],[pre_res]]*Grandview_Inventory[[#This Row],[overall_adj]])</f>
        <v>281901.43367211253</v>
      </c>
      <c r="BZ212" s="6">
        <f>(Grandview_Inventory[[#This Row],[sum_land]]-IF(Grandview_Inventory[[#This Row],[no_utilities]]=1,12000,0))/IF(Grandview_Inventory[[#This Row],[unbuildable]]=1,2,1)</f>
        <v>64622.564807276125</v>
      </c>
      <c r="CA212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12">
        <f>ROUND(Grandview_Inventory[[#This Row],[det_value]]*Lookups!$M$28,-2)</f>
        <v>0</v>
      </c>
      <c r="CC212">
        <f>IF(ROUND(Grandview_Inventory[[#This Row],[adj_res]]*Lookups!$M$28,-2)&lt;Grandview_Inventory[[#This Row],[min_res]],Grandview_Inventory[[#This Row],[min_res]],ROUND(Grandview_Inventory[[#This Row],[adj_res]]*Lookups!$M$28,-2))</f>
        <v>267800</v>
      </c>
      <c r="CD212">
        <f>Grandview_Inventory[[#This Row],[final_det]]+Grandview_Inventory[[#This Row],[final_res]]</f>
        <v>267800</v>
      </c>
      <c r="CE212">
        <f>Grandview_Inventory[[#This Row],[final_land]]+Grandview_Inventory[[#This Row],[final_imp]]+Grandview_Inventory[[#This Row],[crop_value]]</f>
        <v>329200</v>
      </c>
      <c r="CG212" t="str">
        <f t="shared" si="3"/>
        <v>update valuation set market_land =61400, market_bldg=267800, market_total =329200, market_mdno =401, market_date ='9/10/2023' where link_id = (select link_id from parcel where parcel_year = '2024' and parcel_id = '23091434405');</v>
      </c>
    </row>
    <row r="213" spans="1:85" x14ac:dyDescent="0.25">
      <c r="A213">
        <v>23091434406</v>
      </c>
      <c r="B213">
        <v>0.54</v>
      </c>
      <c r="C213">
        <v>23550</v>
      </c>
      <c r="D213" t="s">
        <v>129</v>
      </c>
      <c r="E213" t="s">
        <v>53</v>
      </c>
      <c r="F213" t="s">
        <v>53</v>
      </c>
      <c r="G213">
        <v>4</v>
      </c>
      <c r="H213" t="s">
        <v>54</v>
      </c>
      <c r="I213">
        <v>64600</v>
      </c>
      <c r="J213">
        <v>41900</v>
      </c>
      <c r="K213">
        <v>0.54</v>
      </c>
      <c r="L213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13">
        <v>0</v>
      </c>
      <c r="N213">
        <v>0</v>
      </c>
      <c r="O213">
        <v>0</v>
      </c>
      <c r="P213">
        <v>13398.7528</v>
      </c>
      <c r="Q213">
        <v>63903</v>
      </c>
      <c r="R213">
        <f>(Grandview_Inventory[[#This Row],[ln_acres]]*Grandview_Inventory[[#This Row],[coeff]])+Grandview_Inventory[[#This Row],[const]]</f>
        <v>55646.874239073943</v>
      </c>
      <c r="S213" t="s">
        <v>68</v>
      </c>
      <c r="T213">
        <v>1</v>
      </c>
      <c r="U213" t="s">
        <v>80</v>
      </c>
      <c r="V213" t="s">
        <v>78</v>
      </c>
      <c r="W213">
        <v>0</v>
      </c>
      <c r="X213">
        <v>0</v>
      </c>
      <c r="Y213">
        <v>57</v>
      </c>
      <c r="Z213">
        <v>103</v>
      </c>
      <c r="AA213">
        <v>110</v>
      </c>
      <c r="AB213">
        <v>1000</v>
      </c>
      <c r="AC213">
        <v>946</v>
      </c>
      <c r="AD213">
        <v>946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5</v>
      </c>
      <c r="AQ213">
        <v>0</v>
      </c>
      <c r="AR213">
        <v>0</v>
      </c>
      <c r="AS213" t="s">
        <v>58</v>
      </c>
      <c r="AT213">
        <v>0</v>
      </c>
      <c r="AU213" t="s">
        <v>82</v>
      </c>
      <c r="AV213" t="s">
        <v>81</v>
      </c>
      <c r="AW213">
        <v>0</v>
      </c>
      <c r="AX213">
        <v>2</v>
      </c>
      <c r="AY213">
        <v>0</v>
      </c>
      <c r="AZ213">
        <v>0</v>
      </c>
      <c r="BA213">
        <v>100</v>
      </c>
      <c r="BB213">
        <v>100</v>
      </c>
      <c r="BC213">
        <v>100</v>
      </c>
      <c r="BD213">
        <v>100</v>
      </c>
      <c r="BE213">
        <v>1</v>
      </c>
      <c r="BF213">
        <v>15000</v>
      </c>
      <c r="BG213">
        <v>1000</v>
      </c>
      <c r="BH213" s="6">
        <f>Grandview_Inventory[[#This Row],[land_extract]]*Lookups!$B$3</f>
        <v>64622.564807276125</v>
      </c>
      <c r="BI213" s="6">
        <f>IF(Grandview_Inventory[[#This Row],[bldg_style]]="",0,Lookups!$B$2)</f>
        <v>155833.95000000001</v>
      </c>
      <c r="BJ213" s="6">
        <f>_xlfn.IFNA(VLOOKUP(Grandview_Inventory[[#This Row],[quality]],Lookups!$H$2:$J$14,3,FALSE),0)</f>
        <v>-28558</v>
      </c>
      <c r="BK213" s="6">
        <f>_xlfn.IFNA(VLOOKUP(Grandview_Inventory[[#This Row],[condition]],Lookups!$H$17:$J$24,3,FALSE),0)</f>
        <v>-45357</v>
      </c>
      <c r="BL213" s="6">
        <f>Grandview_Inventory[[#This Row],[Eff_Age]]*Lookups!$B$14</f>
        <v>-13632.4962</v>
      </c>
      <c r="BM213" s="6">
        <f>Grandview_Inventory[[#This Row],[living_area]]*Lookups!$B$15</f>
        <v>59012.286938000005</v>
      </c>
      <c r="BN213" s="6">
        <f>Grandview_Inventory[[#This Row],[Fin BSMT]]*Lookups!$B$16</f>
        <v>0</v>
      </c>
      <c r="BO213" s="6">
        <f>(Grandview_Inventory[[#This Row],[att_gar]]+Grandview_Inventory[[#This Row],[bltin_gar]])*Lookups!$B$17</f>
        <v>0</v>
      </c>
      <c r="BP213" s="6">
        <f>Grandview_Inventory[[#This Row],[Plumbing Fixtures]]*Lookups!$B$18</f>
        <v>10052.209000000001</v>
      </c>
      <c r="BQ213" s="6">
        <f>Grandview_Inventory[[#This Row],[detatched_value]]*Lookups!$B$19</f>
        <v>0</v>
      </c>
      <c r="BR213" s="6">
        <f>SUM(Grandview_Inventory[[#This Row],[Intercept]:[det_value]])*Grandview_Inventory[[#This Row],[res_pct]]</f>
        <v>137350.94973800002</v>
      </c>
      <c r="BS213" s="6">
        <f>Grandview_Inventory[[#This Row],[land_value]]</f>
        <v>64622.564807276125</v>
      </c>
      <c r="BT213" s="4">
        <f>_xlfn.IFNA(VLOOKUP(Grandview_Inventory[[#This Row],[quality]],Lookups!$A$26:$C$33,3,FALSE),1)</f>
        <v>0.9690360070159818</v>
      </c>
      <c r="BU213" s="4">
        <f>_xlfn.IFNA(VLOOKUP(Grandview_Inventory[[#This Row],[condition]],Lookups!$A$37:$C$44,3,FALSE),1)</f>
        <v>0.97161819570155394</v>
      </c>
      <c r="BV213" s="4">
        <f>IF(Grandview_Inventory[[#This Row],[bldg_style]]="",1,_xlfn.IFNA(VLOOKUP(Grandview_Inventory[[#This Row],[decade]],Lookups!$F$29:$H$43,3,FALSE),1))</f>
        <v>0.92255236374249616</v>
      </c>
      <c r="BW213" s="4">
        <f>_xlfn.IFNA(VLOOKUP(Grandview_Inventory[[#This Row],[living_area_range]],Lookups!$F$47:$H$56,3,FALSE),1)</f>
        <v>0.94306777142782894</v>
      </c>
      <c r="BX213" s="4">
        <f>AVERAGE(Grandview_Inventory[[#This Row],[qual_adj]:[size_adj]])</f>
        <v>0.95156858447196513</v>
      </c>
      <c r="BY213" s="6">
        <f>IF(Grandview_Inventory[[#This Row],[pre_res]]&lt;0,0,Grandview_Inventory[[#This Row],[pre_res]]*Grandview_Inventory[[#This Row],[overall_adj]])</f>
        <v>130698.84881806871</v>
      </c>
      <c r="BZ213" s="6">
        <f>(Grandview_Inventory[[#This Row],[sum_land]]-IF(Grandview_Inventory[[#This Row],[no_utilities]]=1,12000,0))/IF(Grandview_Inventory[[#This Row],[unbuildable]]=1,2,1)</f>
        <v>64622.564807276125</v>
      </c>
      <c r="CA213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13">
        <f>ROUND(Grandview_Inventory[[#This Row],[det_value]]*Lookups!$M$28,-2)</f>
        <v>0</v>
      </c>
      <c r="CC213">
        <f>IF(ROUND(Grandview_Inventory[[#This Row],[adj_res]]*Lookups!$M$28,-2)&lt;Grandview_Inventory[[#This Row],[min_res]],Grandview_Inventory[[#This Row],[min_res]],ROUND(Grandview_Inventory[[#This Row],[adj_res]]*Lookups!$M$28,-2))</f>
        <v>124200</v>
      </c>
      <c r="CD213">
        <f>Grandview_Inventory[[#This Row],[final_det]]+Grandview_Inventory[[#This Row],[final_res]]</f>
        <v>124200</v>
      </c>
      <c r="CE213">
        <f>Grandview_Inventory[[#This Row],[final_land]]+Grandview_Inventory[[#This Row],[final_imp]]+Grandview_Inventory[[#This Row],[crop_value]]</f>
        <v>185600</v>
      </c>
      <c r="CG213" t="str">
        <f t="shared" si="3"/>
        <v>update valuation set market_land =61400, market_bldg=124200, market_total =185600, market_mdno =401, market_date ='9/10/2023' where link_id = (select link_id from parcel where parcel_year = '2024' and parcel_id = '23091434406');</v>
      </c>
    </row>
    <row r="214" spans="1:85" x14ac:dyDescent="0.25">
      <c r="A214">
        <v>23091434407</v>
      </c>
      <c r="B214">
        <v>0.54</v>
      </c>
      <c r="C214">
        <v>23550</v>
      </c>
      <c r="D214" t="s">
        <v>129</v>
      </c>
      <c r="E214" t="s">
        <v>53</v>
      </c>
      <c r="F214" t="s">
        <v>53</v>
      </c>
      <c r="G214">
        <v>4</v>
      </c>
      <c r="H214" t="s">
        <v>54</v>
      </c>
      <c r="I214">
        <v>200800</v>
      </c>
      <c r="J214">
        <v>41900</v>
      </c>
      <c r="K214">
        <v>0.54</v>
      </c>
      <c r="L214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14">
        <v>0</v>
      </c>
      <c r="N214">
        <v>0</v>
      </c>
      <c r="O214">
        <v>0</v>
      </c>
      <c r="P214">
        <v>13398.7528</v>
      </c>
      <c r="Q214">
        <v>63903</v>
      </c>
      <c r="R214">
        <f>(Grandview_Inventory[[#This Row],[ln_acres]]*Grandview_Inventory[[#This Row],[coeff]])+Grandview_Inventory[[#This Row],[const]]</f>
        <v>55646.874239073943</v>
      </c>
      <c r="S214" t="s">
        <v>58</v>
      </c>
      <c r="T214">
        <v>1</v>
      </c>
      <c r="U214" t="s">
        <v>65</v>
      </c>
      <c r="V214" t="s">
        <v>66</v>
      </c>
      <c r="W214">
        <v>0</v>
      </c>
      <c r="X214">
        <v>0</v>
      </c>
      <c r="Y214">
        <v>17</v>
      </c>
      <c r="Z214">
        <v>17</v>
      </c>
      <c r="AA214">
        <v>20</v>
      </c>
      <c r="AB214">
        <v>1500</v>
      </c>
      <c r="AC214">
        <v>1184</v>
      </c>
      <c r="AD214">
        <v>1184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108</v>
      </c>
      <c r="AO214">
        <v>0</v>
      </c>
      <c r="AP214">
        <v>8</v>
      </c>
      <c r="AQ214">
        <v>0</v>
      </c>
      <c r="AR214">
        <v>0</v>
      </c>
      <c r="AS214" t="s">
        <v>58</v>
      </c>
      <c r="AT214">
        <v>1</v>
      </c>
      <c r="AU214" t="s">
        <v>59</v>
      </c>
      <c r="AV214" t="s">
        <v>60</v>
      </c>
      <c r="AW214">
        <v>1</v>
      </c>
      <c r="AX214">
        <v>3</v>
      </c>
      <c r="AY214">
        <v>0</v>
      </c>
      <c r="AZ214">
        <v>0</v>
      </c>
      <c r="BA214">
        <v>100</v>
      </c>
      <c r="BB214">
        <v>100</v>
      </c>
      <c r="BC214">
        <v>100</v>
      </c>
      <c r="BD214">
        <v>100</v>
      </c>
      <c r="BE214">
        <v>1</v>
      </c>
      <c r="BF214">
        <v>15000</v>
      </c>
      <c r="BG214">
        <v>1000</v>
      </c>
      <c r="BH214" s="6">
        <f>Grandview_Inventory[[#This Row],[land_extract]]*Lookups!$B$3</f>
        <v>64622.564807276125</v>
      </c>
      <c r="BI214" s="6">
        <f>IF(Grandview_Inventory[[#This Row],[bldg_style]]="",0,Lookups!$B$2)</f>
        <v>155833.95000000001</v>
      </c>
      <c r="BJ214" s="6">
        <f>_xlfn.IFNA(VLOOKUP(Grandview_Inventory[[#This Row],[quality]],Lookups!$H$2:$J$14,3,FALSE),0)</f>
        <v>2251</v>
      </c>
      <c r="BK214" s="6">
        <f>_xlfn.IFNA(VLOOKUP(Grandview_Inventory[[#This Row],[condition]],Lookups!$H$17:$J$24,3,FALSE),0)</f>
        <v>25818</v>
      </c>
      <c r="BL214" s="6">
        <f>Grandview_Inventory[[#This Row],[Eff_Age]]*Lookups!$B$14</f>
        <v>-4065.8321999999998</v>
      </c>
      <c r="BM214" s="6">
        <f>Grandview_Inventory[[#This Row],[living_area]]*Lookups!$B$15</f>
        <v>73858.929952000006</v>
      </c>
      <c r="BN214" s="6">
        <f>Grandview_Inventory[[#This Row],[Fin BSMT]]*Lookups!$B$16</f>
        <v>0</v>
      </c>
      <c r="BO214" s="6">
        <f>(Grandview_Inventory[[#This Row],[att_gar]]+Grandview_Inventory[[#This Row],[bltin_gar]])*Lookups!$B$17</f>
        <v>0</v>
      </c>
      <c r="BP214" s="6">
        <f>Grandview_Inventory[[#This Row],[Plumbing Fixtures]]*Lookups!$B$18</f>
        <v>16083.5344</v>
      </c>
      <c r="BQ214" s="6">
        <f>Grandview_Inventory[[#This Row],[detatched_value]]*Lookups!$B$19</f>
        <v>0</v>
      </c>
      <c r="BR214" s="6">
        <f>SUM(Grandview_Inventory[[#This Row],[Intercept]:[det_value]])*Grandview_Inventory[[#This Row],[res_pct]]</f>
        <v>269779.58215199999</v>
      </c>
      <c r="BS214" s="6">
        <f>Grandview_Inventory[[#This Row],[land_value]]</f>
        <v>64622.564807276125</v>
      </c>
      <c r="BT214" s="4">
        <f>_xlfn.IFNA(VLOOKUP(Grandview_Inventory[[#This Row],[quality]],Lookups!$A$26:$C$33,3,FALSE),1)</f>
        <v>0.98763855981004833</v>
      </c>
      <c r="BU214" s="4">
        <f>_xlfn.IFNA(VLOOKUP(Grandview_Inventory[[#This Row],[condition]],Lookups!$A$37:$C$44,3,FALSE),1)</f>
        <v>0.96661476234146892</v>
      </c>
      <c r="BV214" s="4">
        <f>IF(Grandview_Inventory[[#This Row],[bldg_style]]="",1,_xlfn.IFNA(VLOOKUP(Grandview_Inventory[[#This Row],[decade]],Lookups!$F$29:$H$43,3,FALSE),1))</f>
        <v>0.96737494181490646</v>
      </c>
      <c r="BW214" s="4">
        <f>_xlfn.IFNA(VLOOKUP(Grandview_Inventory[[#This Row],[living_area_range]],Lookups!$F$47:$H$56,3,FALSE),1)</f>
        <v>0.96135087979789358</v>
      </c>
      <c r="BX214" s="4">
        <f>AVERAGE(Grandview_Inventory[[#This Row],[qual_adj]:[size_adj]])</f>
        <v>0.97074478594107938</v>
      </c>
      <c r="BY214" s="6">
        <f>IF(Grandview_Inventory[[#This Row],[pre_res]]&lt;0,0,Grandview_Inventory[[#This Row],[pre_res]]*Grandview_Inventory[[#This Row],[overall_adj]])</f>
        <v>261887.12272741707</v>
      </c>
      <c r="BZ214" s="6">
        <f>(Grandview_Inventory[[#This Row],[sum_land]]-IF(Grandview_Inventory[[#This Row],[no_utilities]]=1,12000,0))/IF(Grandview_Inventory[[#This Row],[unbuildable]]=1,2,1)</f>
        <v>64622.564807276125</v>
      </c>
      <c r="CA214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14">
        <f>ROUND(Grandview_Inventory[[#This Row],[det_value]]*Lookups!$M$28,-2)</f>
        <v>0</v>
      </c>
      <c r="CC214">
        <f>IF(ROUND(Grandview_Inventory[[#This Row],[adj_res]]*Lookups!$M$28,-2)&lt;Grandview_Inventory[[#This Row],[min_res]],Grandview_Inventory[[#This Row],[min_res]],ROUND(Grandview_Inventory[[#This Row],[adj_res]]*Lookups!$M$28,-2))</f>
        <v>248800</v>
      </c>
      <c r="CD214">
        <f>Grandview_Inventory[[#This Row],[final_det]]+Grandview_Inventory[[#This Row],[final_res]]</f>
        <v>248800</v>
      </c>
      <c r="CE214">
        <f>Grandview_Inventory[[#This Row],[final_land]]+Grandview_Inventory[[#This Row],[final_imp]]+Grandview_Inventory[[#This Row],[crop_value]]</f>
        <v>310200</v>
      </c>
      <c r="CG214" t="str">
        <f t="shared" si="3"/>
        <v>update valuation set market_land =61400, market_bldg=248800, market_total =310200, market_mdno =401, market_date ='9/10/2023' where link_id = (select link_id from parcel where parcel_year = '2024' and parcel_id = '23091434407');</v>
      </c>
    </row>
    <row r="215" spans="1:85" x14ac:dyDescent="0.25">
      <c r="A215">
        <v>23091434410</v>
      </c>
      <c r="B215">
        <v>0.18</v>
      </c>
      <c r="C215">
        <v>7961</v>
      </c>
      <c r="D215" t="s">
        <v>129</v>
      </c>
      <c r="E215" t="s">
        <v>53</v>
      </c>
      <c r="F215" t="s">
        <v>53</v>
      </c>
      <c r="G215">
        <v>4</v>
      </c>
      <c r="H215" t="s">
        <v>54</v>
      </c>
      <c r="I215">
        <v>120800</v>
      </c>
      <c r="J215">
        <v>39000</v>
      </c>
      <c r="K215">
        <v>0.18</v>
      </c>
      <c r="L21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15">
        <v>0</v>
      </c>
      <c r="N215">
        <v>0</v>
      </c>
      <c r="O215">
        <v>0</v>
      </c>
      <c r="P215">
        <v>13398.7528</v>
      </c>
      <c r="Q215">
        <v>63903</v>
      </c>
      <c r="R215">
        <f>(Grandview_Inventory[[#This Row],[ln_acres]]*Grandview_Inventory[[#This Row],[coeff]])+Grandview_Inventory[[#This Row],[const]]</f>
        <v>40926.839760167699</v>
      </c>
      <c r="S215" t="s">
        <v>55</v>
      </c>
      <c r="T215">
        <v>2</v>
      </c>
      <c r="U215" t="s">
        <v>80</v>
      </c>
      <c r="V215" t="s">
        <v>78</v>
      </c>
      <c r="W215">
        <v>0</v>
      </c>
      <c r="X215">
        <v>0</v>
      </c>
      <c r="Y215">
        <v>52</v>
      </c>
      <c r="Z215">
        <v>88</v>
      </c>
      <c r="AA215">
        <v>90</v>
      </c>
      <c r="AB215">
        <v>1500</v>
      </c>
      <c r="AC215">
        <v>1440</v>
      </c>
      <c r="AD215">
        <v>1200</v>
      </c>
      <c r="AE215">
        <v>240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32</v>
      </c>
      <c r="AO215">
        <v>0</v>
      </c>
      <c r="AP215">
        <v>5</v>
      </c>
      <c r="AQ215">
        <v>1</v>
      </c>
      <c r="AR215">
        <v>0</v>
      </c>
      <c r="AS215" t="s">
        <v>58</v>
      </c>
      <c r="AT215">
        <v>1</v>
      </c>
      <c r="AU215" t="s">
        <v>75</v>
      </c>
      <c r="AV215" t="s">
        <v>60</v>
      </c>
      <c r="AW215">
        <v>0</v>
      </c>
      <c r="AX215">
        <v>2</v>
      </c>
      <c r="AY215">
        <v>0</v>
      </c>
      <c r="AZ215">
        <v>0</v>
      </c>
      <c r="BA215">
        <v>100</v>
      </c>
      <c r="BB215">
        <v>100</v>
      </c>
      <c r="BC215">
        <v>100</v>
      </c>
      <c r="BD215">
        <v>100</v>
      </c>
      <c r="BE215">
        <v>1</v>
      </c>
      <c r="BF215">
        <v>15000</v>
      </c>
      <c r="BG215">
        <v>1000</v>
      </c>
      <c r="BH215" s="6">
        <f>Grandview_Inventory[[#This Row],[land_extract]]*Lookups!$B$3</f>
        <v>47528.228511015397</v>
      </c>
      <c r="BI215" s="6">
        <f>IF(Grandview_Inventory[[#This Row],[bldg_style]]="",0,Lookups!$B$2)</f>
        <v>155833.95000000001</v>
      </c>
      <c r="BJ215" s="6">
        <f>_xlfn.IFNA(VLOOKUP(Grandview_Inventory[[#This Row],[quality]],Lookups!$H$2:$J$14,3,FALSE),0)</f>
        <v>-28558</v>
      </c>
      <c r="BK215" s="6">
        <f>_xlfn.IFNA(VLOOKUP(Grandview_Inventory[[#This Row],[condition]],Lookups!$H$17:$J$24,3,FALSE),0)</f>
        <v>-45357</v>
      </c>
      <c r="BL215" s="6">
        <f>Grandview_Inventory[[#This Row],[Eff_Age]]*Lookups!$B$14</f>
        <v>-12436.663199999999</v>
      </c>
      <c r="BM215" s="6">
        <f>Grandview_Inventory[[#This Row],[living_area]]*Lookups!$B$15</f>
        <v>89828.428320000006</v>
      </c>
      <c r="BN215" s="6">
        <f>Grandview_Inventory[[#This Row],[Fin BSMT]]*Lookups!$B$16</f>
        <v>0</v>
      </c>
      <c r="BO215" s="6">
        <f>(Grandview_Inventory[[#This Row],[att_gar]]+Grandview_Inventory[[#This Row],[bltin_gar]])*Lookups!$B$17</f>
        <v>0</v>
      </c>
      <c r="BP215" s="6">
        <f>Grandview_Inventory[[#This Row],[Plumbing Fixtures]]*Lookups!$B$18</f>
        <v>10052.209000000001</v>
      </c>
      <c r="BQ215" s="6">
        <f>Grandview_Inventory[[#This Row],[detatched_value]]*Lookups!$B$19</f>
        <v>0</v>
      </c>
      <c r="BR215" s="6">
        <f>SUM(Grandview_Inventory[[#This Row],[Intercept]:[det_value]])*Grandview_Inventory[[#This Row],[res_pct]]</f>
        <v>169362.92412000001</v>
      </c>
      <c r="BS215" s="6">
        <f>Grandview_Inventory[[#This Row],[land_value]]</f>
        <v>47528.228511015397</v>
      </c>
      <c r="BT215" s="4">
        <f>_xlfn.IFNA(VLOOKUP(Grandview_Inventory[[#This Row],[quality]],Lookups!$A$26:$C$33,3,FALSE),1)</f>
        <v>0.9690360070159818</v>
      </c>
      <c r="BU215" s="4">
        <f>_xlfn.IFNA(VLOOKUP(Grandview_Inventory[[#This Row],[condition]],Lookups!$A$37:$C$44,3,FALSE),1)</f>
        <v>0.97161819570155394</v>
      </c>
      <c r="BV215" s="4">
        <f>IF(Grandview_Inventory[[#This Row],[bldg_style]]="",1,_xlfn.IFNA(VLOOKUP(Grandview_Inventory[[#This Row],[decade]],Lookups!$F$29:$H$43,3,FALSE),1))</f>
        <v>0.94161750052457416</v>
      </c>
      <c r="BW215" s="4">
        <f>_xlfn.IFNA(VLOOKUP(Grandview_Inventory[[#This Row],[living_area_range]],Lookups!$F$47:$H$56,3,FALSE),1)</f>
        <v>0.96135087979789358</v>
      </c>
      <c r="BX215" s="4">
        <f>AVERAGE(Grandview_Inventory[[#This Row],[qual_adj]:[size_adj]])</f>
        <v>0.96090564576000093</v>
      </c>
      <c r="BY215" s="6">
        <f>IF(Grandview_Inventory[[#This Row],[pre_res]]&lt;0,0,Grandview_Inventory[[#This Row],[pre_res]]*Grandview_Inventory[[#This Row],[overall_adj]])</f>
        <v>162741.78996933065</v>
      </c>
      <c r="BZ215" s="6">
        <f>(Grandview_Inventory[[#This Row],[sum_land]]-IF(Grandview_Inventory[[#This Row],[no_utilities]]=1,12000,0))/IF(Grandview_Inventory[[#This Row],[unbuildable]]=1,2,1)</f>
        <v>47528.228511015397</v>
      </c>
      <c r="CA21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15">
        <f>ROUND(Grandview_Inventory[[#This Row],[det_value]]*Lookups!$M$28,-2)</f>
        <v>0</v>
      </c>
      <c r="CC215">
        <f>IF(ROUND(Grandview_Inventory[[#This Row],[adj_res]]*Lookups!$M$28,-2)&lt;Grandview_Inventory[[#This Row],[min_res]],Grandview_Inventory[[#This Row],[min_res]],ROUND(Grandview_Inventory[[#This Row],[adj_res]]*Lookups!$M$28,-2))</f>
        <v>154600</v>
      </c>
      <c r="CD215">
        <f>Grandview_Inventory[[#This Row],[final_det]]+Grandview_Inventory[[#This Row],[final_res]]</f>
        <v>154600</v>
      </c>
      <c r="CE215">
        <f>Grandview_Inventory[[#This Row],[final_land]]+Grandview_Inventory[[#This Row],[final_imp]]+Grandview_Inventory[[#This Row],[crop_value]]</f>
        <v>199800</v>
      </c>
      <c r="CG215" t="str">
        <f t="shared" si="3"/>
        <v>update valuation set market_land =45200, market_bldg=154600, market_total =199800, market_mdno =401, market_date ='9/10/2023' where link_id = (select link_id from parcel where parcel_year = '2024' and parcel_id = '23091434410');</v>
      </c>
    </row>
    <row r="216" spans="1:85" x14ac:dyDescent="0.25">
      <c r="A216">
        <v>23091434411</v>
      </c>
      <c r="B216">
        <v>0.17</v>
      </c>
      <c r="C216">
        <v>7298</v>
      </c>
      <c r="D216" t="s">
        <v>129</v>
      </c>
      <c r="E216" t="s">
        <v>53</v>
      </c>
      <c r="F216" t="s">
        <v>53</v>
      </c>
      <c r="G216">
        <v>4</v>
      </c>
      <c r="H216" t="s">
        <v>54</v>
      </c>
      <c r="I216">
        <v>139700</v>
      </c>
      <c r="J216">
        <v>38800</v>
      </c>
      <c r="K216">
        <v>0.17</v>
      </c>
      <c r="L21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6">
        <v>0</v>
      </c>
      <c r="N216">
        <v>0</v>
      </c>
      <c r="O216">
        <v>0</v>
      </c>
      <c r="P216">
        <v>13398.7528</v>
      </c>
      <c r="Q216">
        <v>63903</v>
      </c>
      <c r="R216">
        <f>(Grandview_Inventory[[#This Row],[ln_acres]]*Grandview_Inventory[[#This Row],[coeff]])+Grandview_Inventory[[#This Row],[const]]</f>
        <v>40160.988302686128</v>
      </c>
      <c r="S216" t="s">
        <v>61</v>
      </c>
      <c r="T216">
        <v>1</v>
      </c>
      <c r="U216" t="s">
        <v>70</v>
      </c>
      <c r="V216" t="s">
        <v>69</v>
      </c>
      <c r="W216">
        <v>0</v>
      </c>
      <c r="X216">
        <v>0</v>
      </c>
      <c r="Y216">
        <v>48</v>
      </c>
      <c r="Z216">
        <v>63</v>
      </c>
      <c r="AA216">
        <v>70</v>
      </c>
      <c r="AB216">
        <v>1000</v>
      </c>
      <c r="AC216">
        <v>990</v>
      </c>
      <c r="AD216">
        <v>990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5</v>
      </c>
      <c r="AQ216">
        <v>1</v>
      </c>
      <c r="AR216">
        <v>0</v>
      </c>
      <c r="AS216" t="s">
        <v>58</v>
      </c>
      <c r="AT216">
        <v>1</v>
      </c>
      <c r="AU216" t="s">
        <v>75</v>
      </c>
      <c r="AV216" t="s">
        <v>60</v>
      </c>
      <c r="AW216">
        <v>0</v>
      </c>
      <c r="AX216">
        <v>2</v>
      </c>
      <c r="AY216">
        <v>0</v>
      </c>
      <c r="AZ216">
        <v>0</v>
      </c>
      <c r="BA216">
        <v>100</v>
      </c>
      <c r="BB216">
        <v>100</v>
      </c>
      <c r="BC216">
        <v>100</v>
      </c>
      <c r="BD216">
        <v>100</v>
      </c>
      <c r="BE216">
        <v>1</v>
      </c>
      <c r="BF216">
        <v>15000</v>
      </c>
      <c r="BG216">
        <v>1000</v>
      </c>
      <c r="BH216" s="6">
        <f>Grandview_Inventory[[#This Row],[land_extract]]*Lookups!$B$3</f>
        <v>46638.847281240982</v>
      </c>
      <c r="BI216" s="6">
        <f>IF(Grandview_Inventory[[#This Row],[bldg_style]]="",0,Lookups!$B$2)</f>
        <v>155833.95000000001</v>
      </c>
      <c r="BJ216" s="6">
        <f>_xlfn.IFNA(VLOOKUP(Grandview_Inventory[[#This Row],[quality]],Lookups!$H$2:$J$14,3,FALSE),0)</f>
        <v>10733</v>
      </c>
      <c r="BK216" s="6">
        <f>_xlfn.IFNA(VLOOKUP(Grandview_Inventory[[#This Row],[condition]],Lookups!$H$17:$J$24,3,FALSE),0)</f>
        <v>-4503</v>
      </c>
      <c r="BL216" s="6">
        <f>Grandview_Inventory[[#This Row],[Eff_Age]]*Lookups!$B$14</f>
        <v>-11479.996799999999</v>
      </c>
      <c r="BM216" s="6">
        <f>Grandview_Inventory[[#This Row],[living_area]]*Lookups!$B$15</f>
        <v>61757.044470000001</v>
      </c>
      <c r="BN216" s="6">
        <f>Grandview_Inventory[[#This Row],[Fin BSMT]]*Lookups!$B$16</f>
        <v>0</v>
      </c>
      <c r="BO216" s="6">
        <f>(Grandview_Inventory[[#This Row],[att_gar]]+Grandview_Inventory[[#This Row],[bltin_gar]])*Lookups!$B$17</f>
        <v>0</v>
      </c>
      <c r="BP216" s="6">
        <f>Grandview_Inventory[[#This Row],[Plumbing Fixtures]]*Lookups!$B$18</f>
        <v>10052.209000000001</v>
      </c>
      <c r="BQ216" s="6">
        <f>Grandview_Inventory[[#This Row],[detatched_value]]*Lookups!$B$19</f>
        <v>0</v>
      </c>
      <c r="BR216" s="6">
        <f>SUM(Grandview_Inventory[[#This Row],[Intercept]:[det_value]])*Grandview_Inventory[[#This Row],[res_pct]]</f>
        <v>222393.20667000001</v>
      </c>
      <c r="BS216" s="6">
        <f>Grandview_Inventory[[#This Row],[land_value]]</f>
        <v>46638.847281240982</v>
      </c>
      <c r="BT216" s="4">
        <f>_xlfn.IFNA(VLOOKUP(Grandview_Inventory[[#This Row],[quality]],Lookups!$A$26:$C$33,3,FALSE),1)</f>
        <v>0.98079741117310582</v>
      </c>
      <c r="BU216" s="4">
        <f>_xlfn.IFNA(VLOOKUP(Grandview_Inventory[[#This Row],[condition]],Lookups!$A$37:$C$44,3,FALSE),1)</f>
        <v>0.96469275950863709</v>
      </c>
      <c r="BV216" s="4">
        <f>IF(Grandview_Inventory[[#This Row],[bldg_style]]="",1,_xlfn.IFNA(VLOOKUP(Grandview_Inventory[[#This Row],[decade]],Lookups!$F$29:$H$43,3,FALSE),1))</f>
        <v>0.99472141305414818</v>
      </c>
      <c r="BW216" s="4">
        <f>_xlfn.IFNA(VLOOKUP(Grandview_Inventory[[#This Row],[living_area_range]],Lookups!$F$47:$H$56,3,FALSE),1)</f>
        <v>0.94306777142782894</v>
      </c>
      <c r="BX216" s="4">
        <f>AVERAGE(Grandview_Inventory[[#This Row],[qual_adj]:[size_adj]])</f>
        <v>0.97081983879093003</v>
      </c>
      <c r="BY216" s="6">
        <f>IF(Grandview_Inventory[[#This Row],[pre_res]]&lt;0,0,Grandview_Inventory[[#This Row],[pre_res]]*Grandview_Inventory[[#This Row],[overall_adj]])</f>
        <v>215903.73704756741</v>
      </c>
      <c r="BZ216" s="6">
        <f>(Grandview_Inventory[[#This Row],[sum_land]]-IF(Grandview_Inventory[[#This Row],[no_utilities]]=1,12000,0))/IF(Grandview_Inventory[[#This Row],[unbuildable]]=1,2,1)</f>
        <v>46638.847281240982</v>
      </c>
      <c r="CA21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6">
        <f>ROUND(Grandview_Inventory[[#This Row],[det_value]]*Lookups!$M$28,-2)</f>
        <v>0</v>
      </c>
      <c r="CC216">
        <f>IF(ROUND(Grandview_Inventory[[#This Row],[adj_res]]*Lookups!$M$28,-2)&lt;Grandview_Inventory[[#This Row],[min_res]],Grandview_Inventory[[#This Row],[min_res]],ROUND(Grandview_Inventory[[#This Row],[adj_res]]*Lookups!$M$28,-2))</f>
        <v>205100</v>
      </c>
      <c r="CD216">
        <f>Grandview_Inventory[[#This Row],[final_det]]+Grandview_Inventory[[#This Row],[final_res]]</f>
        <v>205100</v>
      </c>
      <c r="CE216">
        <f>Grandview_Inventory[[#This Row],[final_land]]+Grandview_Inventory[[#This Row],[final_imp]]+Grandview_Inventory[[#This Row],[crop_value]]</f>
        <v>249400</v>
      </c>
      <c r="CG216" t="str">
        <f t="shared" si="3"/>
        <v>update valuation set market_land =44300, market_bldg=205100, market_total =249400, market_mdno =401, market_date ='9/10/2023' where link_id = (select link_id from parcel where parcel_year = '2024' and parcel_id = '23091434411');</v>
      </c>
    </row>
    <row r="217" spans="1:85" x14ac:dyDescent="0.25">
      <c r="A217">
        <v>23091434412</v>
      </c>
      <c r="B217">
        <v>0.16</v>
      </c>
      <c r="C217">
        <v>6900</v>
      </c>
      <c r="D217" t="s">
        <v>129</v>
      </c>
      <c r="E217" t="s">
        <v>53</v>
      </c>
      <c r="F217" t="s">
        <v>53</v>
      </c>
      <c r="G217">
        <v>4</v>
      </c>
      <c r="H217" t="s">
        <v>54</v>
      </c>
      <c r="I217">
        <v>115200</v>
      </c>
      <c r="J217">
        <v>38600</v>
      </c>
      <c r="K217">
        <v>0.16</v>
      </c>
      <c r="L21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7">
        <v>0</v>
      </c>
      <c r="N217">
        <v>0</v>
      </c>
      <c r="O217">
        <v>0</v>
      </c>
      <c r="P217">
        <v>13398.7528</v>
      </c>
      <c r="Q217">
        <v>63903</v>
      </c>
      <c r="R217">
        <f>(Grandview_Inventory[[#This Row],[ln_acres]]*Grandview_Inventory[[#This Row],[coeff]])+Grandview_Inventory[[#This Row],[const]]</f>
        <v>39348.693981374228</v>
      </c>
      <c r="S217" t="s">
        <v>68</v>
      </c>
      <c r="T217">
        <v>1</v>
      </c>
      <c r="U217" t="s">
        <v>80</v>
      </c>
      <c r="V217" t="s">
        <v>69</v>
      </c>
      <c r="W217">
        <v>0</v>
      </c>
      <c r="X217">
        <v>0</v>
      </c>
      <c r="Y217">
        <v>51</v>
      </c>
      <c r="Z217">
        <v>83</v>
      </c>
      <c r="AA217">
        <v>90</v>
      </c>
      <c r="AB217">
        <v>1000</v>
      </c>
      <c r="AC217">
        <v>807</v>
      </c>
      <c r="AD217">
        <v>807</v>
      </c>
      <c r="AE217">
        <v>0</v>
      </c>
      <c r="AF217">
        <v>0</v>
      </c>
      <c r="AG217">
        <v>0</v>
      </c>
      <c r="AH217">
        <v>0</v>
      </c>
      <c r="AI217">
        <v>237</v>
      </c>
      <c r="AJ217">
        <v>0</v>
      </c>
      <c r="AK217">
        <v>0</v>
      </c>
      <c r="AL217">
        <v>0</v>
      </c>
      <c r="AM217">
        <v>0</v>
      </c>
      <c r="AN217">
        <v>36</v>
      </c>
      <c r="AO217">
        <v>0</v>
      </c>
      <c r="AP217">
        <v>5</v>
      </c>
      <c r="AQ217">
        <v>0</v>
      </c>
      <c r="AR217">
        <v>0</v>
      </c>
      <c r="AS217" t="s">
        <v>58</v>
      </c>
      <c r="AT217">
        <v>1</v>
      </c>
      <c r="AU217" t="s">
        <v>63</v>
      </c>
      <c r="AV217" t="s">
        <v>64</v>
      </c>
      <c r="AW217">
        <v>1</v>
      </c>
      <c r="AX217">
        <v>3</v>
      </c>
      <c r="AY217">
        <v>0</v>
      </c>
      <c r="AZ217">
        <v>0</v>
      </c>
      <c r="BA217">
        <v>100</v>
      </c>
      <c r="BB217">
        <v>100</v>
      </c>
      <c r="BC217">
        <v>100</v>
      </c>
      <c r="BD217">
        <v>100</v>
      </c>
      <c r="BE217">
        <v>1</v>
      </c>
      <c r="BF217">
        <v>15000</v>
      </c>
      <c r="BG217">
        <v>1000</v>
      </c>
      <c r="BH217" s="6">
        <f>Grandview_Inventory[[#This Row],[land_extract]]*Lookups!$B$3</f>
        <v>45695.532079096141</v>
      </c>
      <c r="BI217" s="6">
        <f>IF(Grandview_Inventory[[#This Row],[bldg_style]]="",0,Lookups!$B$2)</f>
        <v>155833.95000000001</v>
      </c>
      <c r="BJ217" s="6">
        <f>_xlfn.IFNA(VLOOKUP(Grandview_Inventory[[#This Row],[quality]],Lookups!$H$2:$J$14,3,FALSE),0)</f>
        <v>-28558</v>
      </c>
      <c r="BK217" s="6">
        <f>_xlfn.IFNA(VLOOKUP(Grandview_Inventory[[#This Row],[condition]],Lookups!$H$17:$J$24,3,FALSE),0)</f>
        <v>-4503</v>
      </c>
      <c r="BL217" s="6">
        <f>Grandview_Inventory[[#This Row],[Eff_Age]]*Lookups!$B$14</f>
        <v>-12197.496599999999</v>
      </c>
      <c r="BM217" s="6">
        <f>Grandview_Inventory[[#This Row],[living_area]]*Lookups!$B$15</f>
        <v>50341.348371</v>
      </c>
      <c r="BN217" s="6">
        <f>Grandview_Inventory[[#This Row],[Fin BSMT]]*Lookups!$B$16</f>
        <v>0</v>
      </c>
      <c r="BO217" s="6">
        <f>(Grandview_Inventory[[#This Row],[att_gar]]+Grandview_Inventory[[#This Row],[bltin_gar]])*Lookups!$B$17</f>
        <v>20742.343569000001</v>
      </c>
      <c r="BP217" s="6">
        <f>Grandview_Inventory[[#This Row],[Plumbing Fixtures]]*Lookups!$B$18</f>
        <v>10052.209000000001</v>
      </c>
      <c r="BQ217" s="6">
        <f>Grandview_Inventory[[#This Row],[detatched_value]]*Lookups!$B$19</f>
        <v>0</v>
      </c>
      <c r="BR217" s="6">
        <f>SUM(Grandview_Inventory[[#This Row],[Intercept]:[det_value]])*Grandview_Inventory[[#This Row],[res_pct]]</f>
        <v>191711.35434000002</v>
      </c>
      <c r="BS217" s="6">
        <f>Grandview_Inventory[[#This Row],[land_value]]</f>
        <v>45695.532079096141</v>
      </c>
      <c r="BT217" s="4">
        <f>_xlfn.IFNA(VLOOKUP(Grandview_Inventory[[#This Row],[quality]],Lookups!$A$26:$C$33,3,FALSE),1)</f>
        <v>0.9690360070159818</v>
      </c>
      <c r="BU217" s="4">
        <f>_xlfn.IFNA(VLOOKUP(Grandview_Inventory[[#This Row],[condition]],Lookups!$A$37:$C$44,3,FALSE),1)</f>
        <v>0.96469275950863709</v>
      </c>
      <c r="BV217" s="4">
        <f>IF(Grandview_Inventory[[#This Row],[bldg_style]]="",1,_xlfn.IFNA(VLOOKUP(Grandview_Inventory[[#This Row],[decade]],Lookups!$F$29:$H$43,3,FALSE),1))</f>
        <v>0.94161750052457416</v>
      </c>
      <c r="BW217" s="4">
        <f>_xlfn.IFNA(VLOOKUP(Grandview_Inventory[[#This Row],[living_area_range]],Lookups!$F$47:$H$56,3,FALSE),1)</f>
        <v>0.94306777142782894</v>
      </c>
      <c r="BX217" s="4">
        <f>AVERAGE(Grandview_Inventory[[#This Row],[qual_adj]:[size_adj]])</f>
        <v>0.95460350961925544</v>
      </c>
      <c r="BY217" s="6">
        <f>IF(Grandview_Inventory[[#This Row],[pre_res]]&lt;0,0,Grandview_Inventory[[#This Row],[pre_res]]*Grandview_Inventory[[#This Row],[overall_adj]])</f>
        <v>183008.33168682471</v>
      </c>
      <c r="BZ217" s="6">
        <f>(Grandview_Inventory[[#This Row],[sum_land]]-IF(Grandview_Inventory[[#This Row],[no_utilities]]=1,12000,0))/IF(Grandview_Inventory[[#This Row],[unbuildable]]=1,2,1)</f>
        <v>45695.532079096141</v>
      </c>
      <c r="CA21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7">
        <f>ROUND(Grandview_Inventory[[#This Row],[det_value]]*Lookups!$M$28,-2)</f>
        <v>0</v>
      </c>
      <c r="CC217">
        <f>IF(ROUND(Grandview_Inventory[[#This Row],[adj_res]]*Lookups!$M$28,-2)&lt;Grandview_Inventory[[#This Row],[min_res]],Grandview_Inventory[[#This Row],[min_res]],ROUND(Grandview_Inventory[[#This Row],[adj_res]]*Lookups!$M$28,-2))</f>
        <v>173900</v>
      </c>
      <c r="CD217">
        <f>Grandview_Inventory[[#This Row],[final_det]]+Grandview_Inventory[[#This Row],[final_res]]</f>
        <v>173900</v>
      </c>
      <c r="CE217">
        <f>Grandview_Inventory[[#This Row],[final_land]]+Grandview_Inventory[[#This Row],[final_imp]]+Grandview_Inventory[[#This Row],[crop_value]]</f>
        <v>217300</v>
      </c>
      <c r="CG217" t="str">
        <f t="shared" si="3"/>
        <v>update valuation set market_land =43400, market_bldg=173900, market_total =217300, market_mdno =401, market_date ='9/10/2023' where link_id = (select link_id from parcel where parcel_year = '2024' and parcel_id = '23091434412');</v>
      </c>
    </row>
    <row r="218" spans="1:85" x14ac:dyDescent="0.25">
      <c r="A218">
        <v>23091434413</v>
      </c>
      <c r="B218">
        <v>0.23</v>
      </c>
      <c r="C218">
        <v>9930</v>
      </c>
      <c r="D218" t="s">
        <v>129</v>
      </c>
      <c r="E218" t="s">
        <v>53</v>
      </c>
      <c r="F218" t="s">
        <v>53</v>
      </c>
      <c r="G218">
        <v>4</v>
      </c>
      <c r="H218" t="s">
        <v>54</v>
      </c>
      <c r="I218">
        <v>126600</v>
      </c>
      <c r="J218">
        <v>39500</v>
      </c>
      <c r="K218">
        <v>0.23</v>
      </c>
      <c r="L21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8">
        <v>0</v>
      </c>
      <c r="N218">
        <v>0</v>
      </c>
      <c r="O218">
        <v>0</v>
      </c>
      <c r="P218">
        <v>13398.7528</v>
      </c>
      <c r="Q218">
        <v>63903</v>
      </c>
      <c r="R218">
        <f>(Grandview_Inventory[[#This Row],[ln_acres]]*Grandview_Inventory[[#This Row],[coeff]])+Grandview_Inventory[[#This Row],[const]]</f>
        <v>44211.174981080039</v>
      </c>
      <c r="S218" t="s">
        <v>68</v>
      </c>
      <c r="T218">
        <v>1</v>
      </c>
      <c r="U218" t="s">
        <v>65</v>
      </c>
      <c r="V218" t="s">
        <v>69</v>
      </c>
      <c r="W218">
        <v>0</v>
      </c>
      <c r="X218">
        <v>0</v>
      </c>
      <c r="Y218">
        <v>57</v>
      </c>
      <c r="Z218">
        <v>103</v>
      </c>
      <c r="AA218">
        <v>110</v>
      </c>
      <c r="AB218">
        <v>1500</v>
      </c>
      <c r="AC218">
        <v>1236</v>
      </c>
      <c r="AD218">
        <v>1236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168</v>
      </c>
      <c r="AO218">
        <v>0</v>
      </c>
      <c r="AP218">
        <v>5</v>
      </c>
      <c r="AQ218">
        <v>0</v>
      </c>
      <c r="AR218">
        <v>1</v>
      </c>
      <c r="AS218" t="s">
        <v>58</v>
      </c>
      <c r="AT218">
        <v>1</v>
      </c>
      <c r="AU218" t="s">
        <v>63</v>
      </c>
      <c r="AV218" t="s">
        <v>64</v>
      </c>
      <c r="AW218">
        <v>0</v>
      </c>
      <c r="AX218">
        <v>2</v>
      </c>
      <c r="AY218">
        <v>0</v>
      </c>
      <c r="AZ218">
        <v>2300</v>
      </c>
      <c r="BA218">
        <v>100</v>
      </c>
      <c r="BB218">
        <v>100</v>
      </c>
      <c r="BC218">
        <v>100</v>
      </c>
      <c r="BD218">
        <v>100</v>
      </c>
      <c r="BE218">
        <v>1</v>
      </c>
      <c r="BF218">
        <v>15000</v>
      </c>
      <c r="BG218">
        <v>1000</v>
      </c>
      <c r="BH218" s="6">
        <f>Grandview_Inventory[[#This Row],[land_extract]]*Lookups!$B$3</f>
        <v>51342.318135355803</v>
      </c>
      <c r="BI218" s="6">
        <f>IF(Grandview_Inventory[[#This Row],[bldg_style]]="",0,Lookups!$B$2)</f>
        <v>155833.95000000001</v>
      </c>
      <c r="BJ218" s="6">
        <f>_xlfn.IFNA(VLOOKUP(Grandview_Inventory[[#This Row],[quality]],Lookups!$H$2:$J$14,3,FALSE),0)</f>
        <v>2251</v>
      </c>
      <c r="BK218" s="6">
        <f>_xlfn.IFNA(VLOOKUP(Grandview_Inventory[[#This Row],[condition]],Lookups!$H$17:$J$24,3,FALSE),0)</f>
        <v>-4503</v>
      </c>
      <c r="BL218" s="6">
        <f>Grandview_Inventory[[#This Row],[Eff_Age]]*Lookups!$B$14</f>
        <v>-13632.4962</v>
      </c>
      <c r="BM218" s="6">
        <f>Grandview_Inventory[[#This Row],[living_area]]*Lookups!$B$15</f>
        <v>77102.734307999999</v>
      </c>
      <c r="BN218" s="6">
        <f>Grandview_Inventory[[#This Row],[Fin BSMT]]*Lookups!$B$16</f>
        <v>0</v>
      </c>
      <c r="BO218" s="6">
        <f>(Grandview_Inventory[[#This Row],[att_gar]]+Grandview_Inventory[[#This Row],[bltin_gar]])*Lookups!$B$17</f>
        <v>0</v>
      </c>
      <c r="BP218" s="6">
        <f>Grandview_Inventory[[#This Row],[Plumbing Fixtures]]*Lookups!$B$18</f>
        <v>10052.209000000001</v>
      </c>
      <c r="BQ218" s="6">
        <f>Grandview_Inventory[[#This Row],[detatched_value]]*Lookups!$B$19</f>
        <v>1947.65173</v>
      </c>
      <c r="BR218" s="6">
        <f>SUM(Grandview_Inventory[[#This Row],[Intercept]:[det_value]])*Grandview_Inventory[[#This Row],[res_pct]]</f>
        <v>229052.04883800005</v>
      </c>
      <c r="BS218" s="6">
        <f>Grandview_Inventory[[#This Row],[land_value]]</f>
        <v>51342.318135355803</v>
      </c>
      <c r="BT218" s="4">
        <f>_xlfn.IFNA(VLOOKUP(Grandview_Inventory[[#This Row],[quality]],Lookups!$A$26:$C$33,3,FALSE),1)</f>
        <v>0.98763855981004833</v>
      </c>
      <c r="BU218" s="4">
        <f>_xlfn.IFNA(VLOOKUP(Grandview_Inventory[[#This Row],[condition]],Lookups!$A$37:$C$44,3,FALSE),1)</f>
        <v>0.96469275950863709</v>
      </c>
      <c r="BV218" s="4">
        <f>IF(Grandview_Inventory[[#This Row],[bldg_style]]="",1,_xlfn.IFNA(VLOOKUP(Grandview_Inventory[[#This Row],[decade]],Lookups!$F$29:$H$43,3,FALSE),1))</f>
        <v>0.92255236374249616</v>
      </c>
      <c r="BW218" s="4">
        <f>_xlfn.IFNA(VLOOKUP(Grandview_Inventory[[#This Row],[living_area_range]],Lookups!$F$47:$H$56,3,FALSE),1)</f>
        <v>0.96135087979789358</v>
      </c>
      <c r="BX218" s="4">
        <f>AVERAGE(Grandview_Inventory[[#This Row],[qual_adj]:[size_adj]])</f>
        <v>0.95905864071476876</v>
      </c>
      <c r="BY218" s="6">
        <f>IF(Grandview_Inventory[[#This Row],[pre_res]]&lt;0,0,Grandview_Inventory[[#This Row],[pre_res]]*Grandview_Inventory[[#This Row],[overall_adj]])</f>
        <v>219674.34661150514</v>
      </c>
      <c r="BZ218" s="6">
        <f>(Grandview_Inventory[[#This Row],[sum_land]]-IF(Grandview_Inventory[[#This Row],[no_utilities]]=1,12000,0))/IF(Grandview_Inventory[[#This Row],[unbuildable]]=1,2,1)</f>
        <v>51342.318135355803</v>
      </c>
      <c r="CA21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8">
        <f>ROUND(Grandview_Inventory[[#This Row],[det_value]]*Lookups!$M$28,-2)</f>
        <v>1900</v>
      </c>
      <c r="CC218">
        <f>IF(ROUND(Grandview_Inventory[[#This Row],[adj_res]]*Lookups!$M$28,-2)&lt;Grandview_Inventory[[#This Row],[min_res]],Grandview_Inventory[[#This Row],[min_res]],ROUND(Grandview_Inventory[[#This Row],[adj_res]]*Lookups!$M$28,-2))</f>
        <v>208700</v>
      </c>
      <c r="CD218">
        <f>Grandview_Inventory[[#This Row],[final_det]]+Grandview_Inventory[[#This Row],[final_res]]</f>
        <v>210600</v>
      </c>
      <c r="CE218">
        <f>Grandview_Inventory[[#This Row],[final_land]]+Grandview_Inventory[[#This Row],[final_imp]]+Grandview_Inventory[[#This Row],[crop_value]]</f>
        <v>259400</v>
      </c>
      <c r="CG218" t="str">
        <f t="shared" si="3"/>
        <v>update valuation set market_land =48800, market_bldg=210600, market_total =259400, market_mdno =401, market_date ='9/10/2023' where link_id = (select link_id from parcel where parcel_year = '2024' and parcel_id = '23091434413');</v>
      </c>
    </row>
    <row r="219" spans="1:85" x14ac:dyDescent="0.25">
      <c r="A219">
        <v>23091434415</v>
      </c>
      <c r="B219">
        <v>0.15</v>
      </c>
      <c r="C219">
        <v>6675</v>
      </c>
      <c r="D219" t="s">
        <v>129</v>
      </c>
      <c r="E219" t="s">
        <v>53</v>
      </c>
      <c r="F219" t="s">
        <v>53</v>
      </c>
      <c r="G219">
        <v>4</v>
      </c>
      <c r="H219" t="s">
        <v>54</v>
      </c>
      <c r="I219">
        <v>184100</v>
      </c>
      <c r="J219">
        <v>39100</v>
      </c>
      <c r="K219">
        <v>0.15</v>
      </c>
      <c r="L219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19">
        <v>0</v>
      </c>
      <c r="N219">
        <v>0</v>
      </c>
      <c r="O219">
        <v>0</v>
      </c>
      <c r="P219">
        <v>13398.7528</v>
      </c>
      <c r="Q219">
        <v>63903</v>
      </c>
      <c r="R219">
        <f>(Grandview_Inventory[[#This Row],[ln_acres]]*Grandview_Inventory[[#This Row],[coeff]])+Grandview_Inventory[[#This Row],[const]]</f>
        <v>38483.958290574345</v>
      </c>
      <c r="S219" t="s">
        <v>61</v>
      </c>
      <c r="T219">
        <v>1</v>
      </c>
      <c r="U219" t="s">
        <v>70</v>
      </c>
      <c r="V219" t="s">
        <v>67</v>
      </c>
      <c r="W219">
        <v>0</v>
      </c>
      <c r="X219">
        <v>0</v>
      </c>
      <c r="Y219">
        <v>43</v>
      </c>
      <c r="Z219">
        <v>44</v>
      </c>
      <c r="AA219">
        <v>50</v>
      </c>
      <c r="AB219">
        <v>1000</v>
      </c>
      <c r="AC219">
        <v>988</v>
      </c>
      <c r="AD219">
        <v>988</v>
      </c>
      <c r="AE219">
        <v>0</v>
      </c>
      <c r="AF219">
        <v>0</v>
      </c>
      <c r="AG219">
        <v>0</v>
      </c>
      <c r="AH219">
        <v>0</v>
      </c>
      <c r="AI219">
        <v>308</v>
      </c>
      <c r="AJ219">
        <v>0</v>
      </c>
      <c r="AK219">
        <v>0</v>
      </c>
      <c r="AL219">
        <v>0</v>
      </c>
      <c r="AM219">
        <v>280</v>
      </c>
      <c r="AN219">
        <v>0</v>
      </c>
      <c r="AO219">
        <v>280</v>
      </c>
      <c r="AP219">
        <v>5</v>
      </c>
      <c r="AQ219">
        <v>0</v>
      </c>
      <c r="AR219">
        <v>0</v>
      </c>
      <c r="AS219" t="s">
        <v>58</v>
      </c>
      <c r="AT219">
        <v>1</v>
      </c>
      <c r="AU219" t="s">
        <v>75</v>
      </c>
      <c r="AV219" t="s">
        <v>60</v>
      </c>
      <c r="AW219">
        <v>0</v>
      </c>
      <c r="AX219">
        <v>3</v>
      </c>
      <c r="AY219">
        <v>0</v>
      </c>
      <c r="AZ219">
        <v>0</v>
      </c>
      <c r="BA219">
        <v>100</v>
      </c>
      <c r="BB219">
        <v>100</v>
      </c>
      <c r="BC219">
        <v>100</v>
      </c>
      <c r="BD219">
        <v>100</v>
      </c>
      <c r="BE219">
        <v>1</v>
      </c>
      <c r="BF219">
        <v>15000</v>
      </c>
      <c r="BG219">
        <v>1000</v>
      </c>
      <c r="BH219" s="6">
        <f>Grandview_Inventory[[#This Row],[land_extract]]*Lookups!$B$3</f>
        <v>44691.316856156598</v>
      </c>
      <c r="BI219" s="6">
        <f>IF(Grandview_Inventory[[#This Row],[bldg_style]]="",0,Lookups!$B$2)</f>
        <v>155833.95000000001</v>
      </c>
      <c r="BJ219" s="6">
        <f>_xlfn.IFNA(VLOOKUP(Grandview_Inventory[[#This Row],[quality]],Lookups!$H$2:$J$14,3,FALSE),0)</f>
        <v>10733</v>
      </c>
      <c r="BK219" s="6">
        <f>_xlfn.IFNA(VLOOKUP(Grandview_Inventory[[#This Row],[condition]],Lookups!$H$17:$J$24,3,FALSE),0)</f>
        <v>22342</v>
      </c>
      <c r="BL219" s="6">
        <f>Grandview_Inventory[[#This Row],[Eff_Age]]*Lookups!$B$14</f>
        <v>-10284.1638</v>
      </c>
      <c r="BM219" s="6">
        <f>Grandview_Inventory[[#This Row],[living_area]]*Lookups!$B$15</f>
        <v>61632.282764000003</v>
      </c>
      <c r="BN219" s="6">
        <f>Grandview_Inventory[[#This Row],[Fin BSMT]]*Lookups!$B$16</f>
        <v>0</v>
      </c>
      <c r="BO219" s="6">
        <f>(Grandview_Inventory[[#This Row],[att_gar]]+Grandview_Inventory[[#This Row],[bltin_gar]])*Lookups!$B$17</f>
        <v>26956.294596</v>
      </c>
      <c r="BP219" s="6">
        <f>Grandview_Inventory[[#This Row],[Plumbing Fixtures]]*Lookups!$B$18</f>
        <v>10052.209000000001</v>
      </c>
      <c r="BQ219" s="6">
        <f>Grandview_Inventory[[#This Row],[detatched_value]]*Lookups!$B$19</f>
        <v>0</v>
      </c>
      <c r="BR219" s="6">
        <f>SUM(Grandview_Inventory[[#This Row],[Intercept]:[det_value]])*Grandview_Inventory[[#This Row],[res_pct]]</f>
        <v>277265.57256</v>
      </c>
      <c r="BS219" s="6">
        <f>Grandview_Inventory[[#This Row],[land_value]]</f>
        <v>44691.316856156598</v>
      </c>
      <c r="BT219" s="4">
        <f>_xlfn.IFNA(VLOOKUP(Grandview_Inventory[[#This Row],[quality]],Lookups!$A$26:$C$33,3,FALSE),1)</f>
        <v>0.98079741117310582</v>
      </c>
      <c r="BU219" s="4">
        <f>_xlfn.IFNA(VLOOKUP(Grandview_Inventory[[#This Row],[condition]],Lookups!$A$37:$C$44,3,FALSE),1)</f>
        <v>0.97383723671140243</v>
      </c>
      <c r="BV219" s="4">
        <f>IF(Grandview_Inventory[[#This Row],[bldg_style]]="",1,_xlfn.IFNA(VLOOKUP(Grandview_Inventory[[#This Row],[decade]],Lookups!$F$29:$H$43,3,FALSE),1))</f>
        <v>0.9871940091910919</v>
      </c>
      <c r="BW219" s="4">
        <f>_xlfn.IFNA(VLOOKUP(Grandview_Inventory[[#This Row],[living_area_range]],Lookups!$F$47:$H$56,3,FALSE),1)</f>
        <v>0.94306777142782894</v>
      </c>
      <c r="BX219" s="4">
        <f>AVERAGE(Grandview_Inventory[[#This Row],[qual_adj]:[size_adj]])</f>
        <v>0.97122410712585727</v>
      </c>
      <c r="BY219" s="6">
        <f>IF(Grandview_Inventory[[#This Row],[pre_res]]&lt;0,0,Grandview_Inventory[[#This Row],[pre_res]]*Grandview_Inventory[[#This Row],[overall_adj]])</f>
        <v>269287.00814632559</v>
      </c>
      <c r="BZ219" s="6">
        <f>(Grandview_Inventory[[#This Row],[sum_land]]-IF(Grandview_Inventory[[#This Row],[no_utilities]]=1,12000,0))/IF(Grandview_Inventory[[#This Row],[unbuildable]]=1,2,1)</f>
        <v>44691.316856156598</v>
      </c>
      <c r="CA219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19">
        <f>ROUND(Grandview_Inventory[[#This Row],[det_value]]*Lookups!$M$28,-2)</f>
        <v>0</v>
      </c>
      <c r="CC219">
        <f>IF(ROUND(Grandview_Inventory[[#This Row],[adj_res]]*Lookups!$M$28,-2)&lt;Grandview_Inventory[[#This Row],[min_res]],Grandview_Inventory[[#This Row],[min_res]],ROUND(Grandview_Inventory[[#This Row],[adj_res]]*Lookups!$M$28,-2))</f>
        <v>255800</v>
      </c>
      <c r="CD219">
        <f>Grandview_Inventory[[#This Row],[final_det]]+Grandview_Inventory[[#This Row],[final_res]]</f>
        <v>255800</v>
      </c>
      <c r="CE219">
        <f>Grandview_Inventory[[#This Row],[final_land]]+Grandview_Inventory[[#This Row],[final_imp]]+Grandview_Inventory[[#This Row],[crop_value]]</f>
        <v>298300</v>
      </c>
      <c r="CG219" t="str">
        <f t="shared" si="3"/>
        <v>update valuation set market_land =42500, market_bldg=255800, market_total =298300, market_mdno =401, market_date ='9/10/2023' where link_id = (select link_id from parcel where parcel_year = '2024' and parcel_id = '23091434415');</v>
      </c>
    </row>
    <row r="220" spans="1:85" x14ac:dyDescent="0.25">
      <c r="A220">
        <v>23091434416</v>
      </c>
      <c r="B220">
        <v>0.15</v>
      </c>
      <c r="C220">
        <v>6675</v>
      </c>
      <c r="D220" t="s">
        <v>129</v>
      </c>
      <c r="E220" t="s">
        <v>53</v>
      </c>
      <c r="F220" t="s">
        <v>53</v>
      </c>
      <c r="G220">
        <v>4</v>
      </c>
      <c r="H220" t="s">
        <v>54</v>
      </c>
      <c r="I220">
        <v>184400</v>
      </c>
      <c r="J220">
        <v>39100</v>
      </c>
      <c r="K220">
        <v>0.15</v>
      </c>
      <c r="L220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20">
        <v>0</v>
      </c>
      <c r="N220">
        <v>0</v>
      </c>
      <c r="O220">
        <v>0</v>
      </c>
      <c r="P220">
        <v>13398.7528</v>
      </c>
      <c r="Q220">
        <v>63903</v>
      </c>
      <c r="R220">
        <f>(Grandview_Inventory[[#This Row],[ln_acres]]*Grandview_Inventory[[#This Row],[coeff]])+Grandview_Inventory[[#This Row],[const]]</f>
        <v>38483.958290574345</v>
      </c>
      <c r="S220" t="s">
        <v>61</v>
      </c>
      <c r="T220">
        <v>1</v>
      </c>
      <c r="U220" t="s">
        <v>70</v>
      </c>
      <c r="V220" t="s">
        <v>67</v>
      </c>
      <c r="W220">
        <v>0</v>
      </c>
      <c r="X220">
        <v>0</v>
      </c>
      <c r="Y220">
        <v>43</v>
      </c>
      <c r="Z220">
        <v>44</v>
      </c>
      <c r="AA220">
        <v>50</v>
      </c>
      <c r="AB220">
        <v>1500</v>
      </c>
      <c r="AC220">
        <v>1032</v>
      </c>
      <c r="AD220">
        <v>1032</v>
      </c>
      <c r="AE220">
        <v>0</v>
      </c>
      <c r="AF220">
        <v>0</v>
      </c>
      <c r="AG220">
        <v>0</v>
      </c>
      <c r="AH220">
        <v>0</v>
      </c>
      <c r="AI220">
        <v>264</v>
      </c>
      <c r="AJ220">
        <v>0</v>
      </c>
      <c r="AK220">
        <v>0</v>
      </c>
      <c r="AL220">
        <v>0</v>
      </c>
      <c r="AM220">
        <v>252</v>
      </c>
      <c r="AN220">
        <v>49</v>
      </c>
      <c r="AO220">
        <v>0</v>
      </c>
      <c r="AP220">
        <v>5</v>
      </c>
      <c r="AQ220">
        <v>0</v>
      </c>
      <c r="AR220">
        <v>0</v>
      </c>
      <c r="AS220" t="s">
        <v>58</v>
      </c>
      <c r="AT220">
        <v>1</v>
      </c>
      <c r="AU220" t="s">
        <v>63</v>
      </c>
      <c r="AV220" t="s">
        <v>60</v>
      </c>
      <c r="AW220">
        <v>0</v>
      </c>
      <c r="AX220">
        <v>3</v>
      </c>
      <c r="AY220">
        <v>0</v>
      </c>
      <c r="AZ220">
        <v>0</v>
      </c>
      <c r="BA220">
        <v>100</v>
      </c>
      <c r="BB220">
        <v>100</v>
      </c>
      <c r="BC220">
        <v>100</v>
      </c>
      <c r="BD220">
        <v>100</v>
      </c>
      <c r="BE220">
        <v>1</v>
      </c>
      <c r="BF220">
        <v>15000</v>
      </c>
      <c r="BG220">
        <v>1000</v>
      </c>
      <c r="BH220" s="6">
        <f>Grandview_Inventory[[#This Row],[land_extract]]*Lookups!$B$3</f>
        <v>44691.316856156598</v>
      </c>
      <c r="BI220" s="6">
        <f>IF(Grandview_Inventory[[#This Row],[bldg_style]]="",0,Lookups!$B$2)</f>
        <v>155833.95000000001</v>
      </c>
      <c r="BJ220" s="6">
        <f>_xlfn.IFNA(VLOOKUP(Grandview_Inventory[[#This Row],[quality]],Lookups!$H$2:$J$14,3,FALSE),0)</f>
        <v>10733</v>
      </c>
      <c r="BK220" s="6">
        <f>_xlfn.IFNA(VLOOKUP(Grandview_Inventory[[#This Row],[condition]],Lookups!$H$17:$J$24,3,FALSE),0)</f>
        <v>22342</v>
      </c>
      <c r="BL220" s="6">
        <f>Grandview_Inventory[[#This Row],[Eff_Age]]*Lookups!$B$14</f>
        <v>-10284.1638</v>
      </c>
      <c r="BM220" s="6">
        <f>Grandview_Inventory[[#This Row],[living_area]]*Lookups!$B$15</f>
        <v>64377.040295999999</v>
      </c>
      <c r="BN220" s="6">
        <f>Grandview_Inventory[[#This Row],[Fin BSMT]]*Lookups!$B$16</f>
        <v>0</v>
      </c>
      <c r="BO220" s="6">
        <f>(Grandview_Inventory[[#This Row],[att_gar]]+Grandview_Inventory[[#This Row],[bltin_gar]])*Lookups!$B$17</f>
        <v>23105.395368000001</v>
      </c>
      <c r="BP220" s="6">
        <f>Grandview_Inventory[[#This Row],[Plumbing Fixtures]]*Lookups!$B$18</f>
        <v>10052.209000000001</v>
      </c>
      <c r="BQ220" s="6">
        <f>Grandview_Inventory[[#This Row],[detatched_value]]*Lookups!$B$19</f>
        <v>0</v>
      </c>
      <c r="BR220" s="6">
        <f>SUM(Grandview_Inventory[[#This Row],[Intercept]:[det_value]])*Grandview_Inventory[[#This Row],[res_pct]]</f>
        <v>276159.43086399999</v>
      </c>
      <c r="BS220" s="6">
        <f>Grandview_Inventory[[#This Row],[land_value]]</f>
        <v>44691.316856156598</v>
      </c>
      <c r="BT220" s="4">
        <f>_xlfn.IFNA(VLOOKUP(Grandview_Inventory[[#This Row],[quality]],Lookups!$A$26:$C$33,3,FALSE),1)</f>
        <v>0.98079741117310582</v>
      </c>
      <c r="BU220" s="4">
        <f>_xlfn.IFNA(VLOOKUP(Grandview_Inventory[[#This Row],[condition]],Lookups!$A$37:$C$44,3,FALSE),1)</f>
        <v>0.97383723671140243</v>
      </c>
      <c r="BV220" s="4">
        <f>IF(Grandview_Inventory[[#This Row],[bldg_style]]="",1,_xlfn.IFNA(VLOOKUP(Grandview_Inventory[[#This Row],[decade]],Lookups!$F$29:$H$43,3,FALSE),1))</f>
        <v>0.9871940091910919</v>
      </c>
      <c r="BW220" s="4">
        <f>_xlfn.IFNA(VLOOKUP(Grandview_Inventory[[#This Row],[living_area_range]],Lookups!$F$47:$H$56,3,FALSE),1)</f>
        <v>0.96135087979789358</v>
      </c>
      <c r="BX220" s="4">
        <f>AVERAGE(Grandview_Inventory[[#This Row],[qual_adj]:[size_adj]])</f>
        <v>0.97579488421837346</v>
      </c>
      <c r="BY220" s="6">
        <f>IF(Grandview_Inventory[[#This Row],[pre_res]]&lt;0,0,Grandview_Inventory[[#This Row],[pre_res]]*Grandview_Inventory[[#This Row],[overall_adj]])</f>
        <v>269474.95986574877</v>
      </c>
      <c r="BZ220" s="6">
        <f>(Grandview_Inventory[[#This Row],[sum_land]]-IF(Grandview_Inventory[[#This Row],[no_utilities]]=1,12000,0))/IF(Grandview_Inventory[[#This Row],[unbuildable]]=1,2,1)</f>
        <v>44691.316856156598</v>
      </c>
      <c r="CA220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20">
        <f>ROUND(Grandview_Inventory[[#This Row],[det_value]]*Lookups!$M$28,-2)</f>
        <v>0</v>
      </c>
      <c r="CC220">
        <f>IF(ROUND(Grandview_Inventory[[#This Row],[adj_res]]*Lookups!$M$28,-2)&lt;Grandview_Inventory[[#This Row],[min_res]],Grandview_Inventory[[#This Row],[min_res]],ROUND(Grandview_Inventory[[#This Row],[adj_res]]*Lookups!$M$28,-2))</f>
        <v>256000</v>
      </c>
      <c r="CD220">
        <f>Grandview_Inventory[[#This Row],[final_det]]+Grandview_Inventory[[#This Row],[final_res]]</f>
        <v>256000</v>
      </c>
      <c r="CE220">
        <f>Grandview_Inventory[[#This Row],[final_land]]+Grandview_Inventory[[#This Row],[final_imp]]+Grandview_Inventory[[#This Row],[crop_value]]</f>
        <v>298500</v>
      </c>
      <c r="CG220" t="str">
        <f t="shared" si="3"/>
        <v>update valuation set market_land =42500, market_bldg=256000, market_total =298500, market_mdno =401, market_date ='9/10/2023' where link_id = (select link_id from parcel where parcel_year = '2024' and parcel_id = '23091434416');</v>
      </c>
    </row>
    <row r="221" spans="1:85" x14ac:dyDescent="0.25">
      <c r="A221">
        <v>23091434417</v>
      </c>
      <c r="B221">
        <v>0.34</v>
      </c>
      <c r="C221">
        <v>14685</v>
      </c>
      <c r="D221" t="s">
        <v>129</v>
      </c>
      <c r="E221" t="s">
        <v>53</v>
      </c>
      <c r="F221" t="s">
        <v>53</v>
      </c>
      <c r="G221">
        <v>4</v>
      </c>
      <c r="H221" t="s">
        <v>54</v>
      </c>
      <c r="I221">
        <v>221000</v>
      </c>
      <c r="J221">
        <v>40900</v>
      </c>
      <c r="K221">
        <v>0.34</v>
      </c>
      <c r="L221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221">
        <v>0</v>
      </c>
      <c r="N221">
        <v>0</v>
      </c>
      <c r="O221">
        <v>0</v>
      </c>
      <c r="P221">
        <v>13398.7528</v>
      </c>
      <c r="Q221">
        <v>63903</v>
      </c>
      <c r="R221">
        <f>(Grandview_Inventory[[#This Row],[ln_acres]]*Grandview_Inventory[[#This Row],[coeff]])+Grandview_Inventory[[#This Row],[const]]</f>
        <v>49448.296029025805</v>
      </c>
      <c r="S221" t="s">
        <v>86</v>
      </c>
      <c r="T221">
        <v>2</v>
      </c>
      <c r="U221" t="s">
        <v>65</v>
      </c>
      <c r="V221" t="s">
        <v>67</v>
      </c>
      <c r="W221">
        <v>0</v>
      </c>
      <c r="X221">
        <v>0</v>
      </c>
      <c r="Y221">
        <v>65</v>
      </c>
      <c r="Z221">
        <v>113</v>
      </c>
      <c r="AA221">
        <v>120</v>
      </c>
      <c r="AB221">
        <v>2500</v>
      </c>
      <c r="AC221">
        <v>2007</v>
      </c>
      <c r="AD221">
        <v>1019</v>
      </c>
      <c r="AE221">
        <v>988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7</v>
      </c>
      <c r="AQ221">
        <v>0</v>
      </c>
      <c r="AR221">
        <v>1</v>
      </c>
      <c r="AS221" t="s">
        <v>58</v>
      </c>
      <c r="AT221">
        <v>1</v>
      </c>
      <c r="AU221" t="s">
        <v>63</v>
      </c>
      <c r="AV221" t="s">
        <v>64</v>
      </c>
      <c r="AW221">
        <v>0</v>
      </c>
      <c r="AX221">
        <v>4</v>
      </c>
      <c r="AY221">
        <v>0</v>
      </c>
      <c r="AZ221">
        <v>38800</v>
      </c>
      <c r="BA221">
        <v>100</v>
      </c>
      <c r="BB221">
        <v>100</v>
      </c>
      <c r="BC221">
        <v>100</v>
      </c>
      <c r="BD221">
        <v>100</v>
      </c>
      <c r="BE221">
        <v>1</v>
      </c>
      <c r="BF221">
        <v>15000</v>
      </c>
      <c r="BG221">
        <v>1000</v>
      </c>
      <c r="BH221" s="6">
        <f>Grandview_Inventory[[#This Row],[land_extract]]*Lookups!$B$3</f>
        <v>57424.172668108389</v>
      </c>
      <c r="BI221" s="6">
        <f>IF(Grandview_Inventory[[#This Row],[bldg_style]]="",0,Lookups!$B$2)</f>
        <v>155833.95000000001</v>
      </c>
      <c r="BJ221" s="6">
        <f>_xlfn.IFNA(VLOOKUP(Grandview_Inventory[[#This Row],[quality]],Lookups!$H$2:$J$14,3,FALSE),0)</f>
        <v>2251</v>
      </c>
      <c r="BK221" s="6">
        <f>_xlfn.IFNA(VLOOKUP(Grandview_Inventory[[#This Row],[condition]],Lookups!$H$17:$J$24,3,FALSE),0)</f>
        <v>22342</v>
      </c>
      <c r="BL221" s="6">
        <f>Grandview_Inventory[[#This Row],[Eff_Age]]*Lookups!$B$14</f>
        <v>-15545.829</v>
      </c>
      <c r="BM221" s="6">
        <f>Grandview_Inventory[[#This Row],[living_area]]*Lookups!$B$15</f>
        <v>125198.371971</v>
      </c>
      <c r="BN221" s="6">
        <f>Grandview_Inventory[[#This Row],[Fin BSMT]]*Lookups!$B$16</f>
        <v>0</v>
      </c>
      <c r="BO221" s="6">
        <f>(Grandview_Inventory[[#This Row],[att_gar]]+Grandview_Inventory[[#This Row],[bltin_gar]])*Lookups!$B$17</f>
        <v>0</v>
      </c>
      <c r="BP221" s="6">
        <f>Grandview_Inventory[[#This Row],[Plumbing Fixtures]]*Lookups!$B$18</f>
        <v>14073.0926</v>
      </c>
      <c r="BQ221" s="6">
        <f>Grandview_Inventory[[#This Row],[detatched_value]]*Lookups!$B$19</f>
        <v>32856.037879999996</v>
      </c>
      <c r="BR221" s="6">
        <f>SUM(Grandview_Inventory[[#This Row],[Intercept]:[det_value]])*Grandview_Inventory[[#This Row],[res_pct]]</f>
        <v>337008.62345100002</v>
      </c>
      <c r="BS221" s="6">
        <f>Grandview_Inventory[[#This Row],[land_value]]</f>
        <v>57424.172668108389</v>
      </c>
      <c r="BT221" s="4">
        <f>_xlfn.IFNA(VLOOKUP(Grandview_Inventory[[#This Row],[quality]],Lookups!$A$26:$C$33,3,FALSE),1)</f>
        <v>0.98763855981004833</v>
      </c>
      <c r="BU221" s="4">
        <f>_xlfn.IFNA(VLOOKUP(Grandview_Inventory[[#This Row],[condition]],Lookups!$A$37:$C$44,3,FALSE),1)</f>
        <v>0.97383723671140243</v>
      </c>
      <c r="BV221" s="4">
        <f>IF(Grandview_Inventory[[#This Row],[bldg_style]]="",1,_xlfn.IFNA(VLOOKUP(Grandview_Inventory[[#This Row],[decade]],Lookups!$F$29:$H$43,3,FALSE),1))</f>
        <v>0.9251738460551937</v>
      </c>
      <c r="BW221" s="4">
        <f>_xlfn.IFNA(VLOOKUP(Grandview_Inventory[[#This Row],[living_area_range]],Lookups!$F$47:$H$56,3,FALSE),1)</f>
        <v>0.95799442568048754</v>
      </c>
      <c r="BX221" s="4">
        <f>AVERAGE(Grandview_Inventory[[#This Row],[qual_adj]:[size_adj]])</f>
        <v>0.96116101706428303</v>
      </c>
      <c r="BY221" s="6">
        <f>IF(Grandview_Inventory[[#This Row],[pre_res]]&lt;0,0,Grandview_Inventory[[#This Row],[pre_res]]*Grandview_Inventory[[#This Row],[overall_adj]])</f>
        <v>323919.55127559719</v>
      </c>
      <c r="BZ221" s="6">
        <f>(Grandview_Inventory[[#This Row],[sum_land]]-IF(Grandview_Inventory[[#This Row],[no_utilities]]=1,12000,0))/IF(Grandview_Inventory[[#This Row],[unbuildable]]=1,2,1)</f>
        <v>57424.172668108389</v>
      </c>
      <c r="CA221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221">
        <f>ROUND(Grandview_Inventory[[#This Row],[det_value]]*Lookups!$M$28,-2)</f>
        <v>31200</v>
      </c>
      <c r="CC221">
        <f>IF(ROUND(Grandview_Inventory[[#This Row],[adj_res]]*Lookups!$M$28,-2)&lt;Grandview_Inventory[[#This Row],[min_res]],Grandview_Inventory[[#This Row],[min_res]],ROUND(Grandview_Inventory[[#This Row],[adj_res]]*Lookups!$M$28,-2))</f>
        <v>307700</v>
      </c>
      <c r="CD221">
        <f>Grandview_Inventory[[#This Row],[final_det]]+Grandview_Inventory[[#This Row],[final_res]]</f>
        <v>338900</v>
      </c>
      <c r="CE221">
        <f>Grandview_Inventory[[#This Row],[final_land]]+Grandview_Inventory[[#This Row],[final_imp]]+Grandview_Inventory[[#This Row],[crop_value]]</f>
        <v>393500</v>
      </c>
      <c r="CG221" t="str">
        <f t="shared" si="3"/>
        <v>update valuation set market_land =54600, market_bldg=338900, market_total =393500, market_mdno =401, market_date ='9/10/2023' where link_id = (select link_id from parcel where parcel_year = '2024' and parcel_id = '23091434417');</v>
      </c>
    </row>
    <row r="222" spans="1:85" x14ac:dyDescent="0.25">
      <c r="A222">
        <v>23091434419</v>
      </c>
      <c r="B222">
        <v>0.22</v>
      </c>
      <c r="C222">
        <v>9620</v>
      </c>
      <c r="D222" t="s">
        <v>129</v>
      </c>
      <c r="E222" t="s">
        <v>53</v>
      </c>
      <c r="F222" t="s">
        <v>53</v>
      </c>
      <c r="G222">
        <v>4</v>
      </c>
      <c r="H222" t="s">
        <v>54</v>
      </c>
      <c r="I222">
        <v>133400</v>
      </c>
      <c r="J222">
        <v>39500</v>
      </c>
      <c r="K222">
        <v>0.22</v>
      </c>
      <c r="L22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22">
        <v>0</v>
      </c>
      <c r="N222">
        <v>0</v>
      </c>
      <c r="O222">
        <v>0</v>
      </c>
      <c r="P222">
        <v>13398.7528</v>
      </c>
      <c r="Q222">
        <v>63903</v>
      </c>
      <c r="R222">
        <f>(Grandview_Inventory[[#This Row],[ln_acres]]*Grandview_Inventory[[#This Row],[coeff]])+Grandview_Inventory[[#This Row],[const]]</f>
        <v>43615.576802869145</v>
      </c>
      <c r="S222" t="s">
        <v>68</v>
      </c>
      <c r="T222">
        <v>1</v>
      </c>
      <c r="U222" t="s">
        <v>80</v>
      </c>
      <c r="V222" t="s">
        <v>69</v>
      </c>
      <c r="W222">
        <v>0</v>
      </c>
      <c r="X222">
        <v>0</v>
      </c>
      <c r="Y222">
        <v>57</v>
      </c>
      <c r="Z222">
        <v>103</v>
      </c>
      <c r="AA222">
        <v>110</v>
      </c>
      <c r="AB222">
        <v>1500</v>
      </c>
      <c r="AC222">
        <v>1166</v>
      </c>
      <c r="AD222">
        <v>1166</v>
      </c>
      <c r="AE222">
        <v>0</v>
      </c>
      <c r="AF222">
        <v>0</v>
      </c>
      <c r="AG222">
        <v>0</v>
      </c>
      <c r="AH222">
        <v>777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24</v>
      </c>
      <c r="AO222">
        <v>0</v>
      </c>
      <c r="AP222">
        <v>5</v>
      </c>
      <c r="AQ222">
        <v>0</v>
      </c>
      <c r="AR222">
        <v>0</v>
      </c>
      <c r="AS222" t="s">
        <v>139</v>
      </c>
      <c r="AT222">
        <v>1</v>
      </c>
      <c r="AU222" t="s">
        <v>63</v>
      </c>
      <c r="AV222" t="s">
        <v>60</v>
      </c>
      <c r="AW222">
        <v>1</v>
      </c>
      <c r="AX222">
        <v>2</v>
      </c>
      <c r="AY222">
        <v>0</v>
      </c>
      <c r="AZ222">
        <v>0</v>
      </c>
      <c r="BA222">
        <v>100</v>
      </c>
      <c r="BB222">
        <v>100</v>
      </c>
      <c r="BC222">
        <v>100</v>
      </c>
      <c r="BD222">
        <v>100</v>
      </c>
      <c r="BE222">
        <v>1</v>
      </c>
      <c r="BF222">
        <v>15000</v>
      </c>
      <c r="BG222">
        <v>1000</v>
      </c>
      <c r="BH222" s="6">
        <f>Grandview_Inventory[[#This Row],[land_extract]]*Lookups!$B$3</f>
        <v>50650.651579114572</v>
      </c>
      <c r="BI222" s="6">
        <f>IF(Grandview_Inventory[[#This Row],[bldg_style]]="",0,Lookups!$B$2)</f>
        <v>155833.95000000001</v>
      </c>
      <c r="BJ222" s="6">
        <f>_xlfn.IFNA(VLOOKUP(Grandview_Inventory[[#This Row],[quality]],Lookups!$H$2:$J$14,3,FALSE),0)</f>
        <v>-28558</v>
      </c>
      <c r="BK222" s="6">
        <f>_xlfn.IFNA(VLOOKUP(Grandview_Inventory[[#This Row],[condition]],Lookups!$H$17:$J$24,3,FALSE),0)</f>
        <v>-4503</v>
      </c>
      <c r="BL222" s="6">
        <f>Grandview_Inventory[[#This Row],[Eff_Age]]*Lookups!$B$14</f>
        <v>-13632.4962</v>
      </c>
      <c r="BM222" s="6">
        <f>Grandview_Inventory[[#This Row],[living_area]]*Lookups!$B$15</f>
        <v>72736.074598000007</v>
      </c>
      <c r="BN222" s="6">
        <f>Grandview_Inventory[[#This Row],[Fin BSMT]]*Lookups!$B$16</f>
        <v>0</v>
      </c>
      <c r="BO222" s="6">
        <f>(Grandview_Inventory[[#This Row],[att_gar]]+Grandview_Inventory[[#This Row],[bltin_gar]])*Lookups!$B$17</f>
        <v>0</v>
      </c>
      <c r="BP222" s="6">
        <f>Grandview_Inventory[[#This Row],[Plumbing Fixtures]]*Lookups!$B$18</f>
        <v>10052.209000000001</v>
      </c>
      <c r="BQ222" s="6">
        <f>Grandview_Inventory[[#This Row],[detatched_value]]*Lookups!$B$19</f>
        <v>0</v>
      </c>
      <c r="BR222" s="6">
        <f>SUM(Grandview_Inventory[[#This Row],[Intercept]:[det_value]])*Grandview_Inventory[[#This Row],[res_pct]]</f>
        <v>191928.73739800003</v>
      </c>
      <c r="BS222" s="6">
        <f>Grandview_Inventory[[#This Row],[land_value]]</f>
        <v>50650.651579114572</v>
      </c>
      <c r="BT222" s="4">
        <f>_xlfn.IFNA(VLOOKUP(Grandview_Inventory[[#This Row],[quality]],Lookups!$A$26:$C$33,3,FALSE),1)</f>
        <v>0.9690360070159818</v>
      </c>
      <c r="BU222" s="4">
        <f>_xlfn.IFNA(VLOOKUP(Grandview_Inventory[[#This Row],[condition]],Lookups!$A$37:$C$44,3,FALSE),1)</f>
        <v>0.96469275950863709</v>
      </c>
      <c r="BV222" s="4">
        <f>IF(Grandview_Inventory[[#This Row],[bldg_style]]="",1,_xlfn.IFNA(VLOOKUP(Grandview_Inventory[[#This Row],[decade]],Lookups!$F$29:$H$43,3,FALSE),1))</f>
        <v>0.92255236374249616</v>
      </c>
      <c r="BW222" s="4">
        <f>_xlfn.IFNA(VLOOKUP(Grandview_Inventory[[#This Row],[living_area_range]],Lookups!$F$47:$H$56,3,FALSE),1)</f>
        <v>0.96135087979789358</v>
      </c>
      <c r="BX222" s="4">
        <f>AVERAGE(Grandview_Inventory[[#This Row],[qual_adj]:[size_adj]])</f>
        <v>0.95440800251625213</v>
      </c>
      <c r="BY222" s="6">
        <f>IF(Grandview_Inventory[[#This Row],[pre_res]]&lt;0,0,Grandview_Inventory[[#This Row],[pre_res]]*Grandview_Inventory[[#This Row],[overall_adj]])</f>
        <v>183178.32288549151</v>
      </c>
      <c r="BZ222" s="6">
        <f>(Grandview_Inventory[[#This Row],[sum_land]]-IF(Grandview_Inventory[[#This Row],[no_utilities]]=1,12000,0))/IF(Grandview_Inventory[[#This Row],[unbuildable]]=1,2,1)</f>
        <v>50650.651579114572</v>
      </c>
      <c r="CA22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22">
        <f>ROUND(Grandview_Inventory[[#This Row],[det_value]]*Lookups!$M$28,-2)</f>
        <v>0</v>
      </c>
      <c r="CC222">
        <f>IF(ROUND(Grandview_Inventory[[#This Row],[adj_res]]*Lookups!$M$28,-2)&lt;Grandview_Inventory[[#This Row],[min_res]],Grandview_Inventory[[#This Row],[min_res]],ROUND(Grandview_Inventory[[#This Row],[adj_res]]*Lookups!$M$28,-2))</f>
        <v>174000</v>
      </c>
      <c r="CD222">
        <f>Grandview_Inventory[[#This Row],[final_det]]+Grandview_Inventory[[#This Row],[final_res]]</f>
        <v>174000</v>
      </c>
      <c r="CE222">
        <f>Grandview_Inventory[[#This Row],[final_land]]+Grandview_Inventory[[#This Row],[final_imp]]+Grandview_Inventory[[#This Row],[crop_value]]</f>
        <v>222100</v>
      </c>
      <c r="CG222" t="str">
        <f t="shared" si="3"/>
        <v>update valuation set market_land =48100, market_bldg=174000, market_total =222100, market_mdno =401, market_date ='9/10/2023' where link_id = (select link_id from parcel where parcel_year = '2024' and parcel_id = '23091434419');</v>
      </c>
    </row>
    <row r="223" spans="1:85" x14ac:dyDescent="0.25">
      <c r="A223">
        <v>23091434420</v>
      </c>
      <c r="B223">
        <v>0.28999999999999998</v>
      </c>
      <c r="C223">
        <v>12834</v>
      </c>
      <c r="D223" t="s">
        <v>129</v>
      </c>
      <c r="E223" t="s">
        <v>53</v>
      </c>
      <c r="F223" t="s">
        <v>53</v>
      </c>
      <c r="G223">
        <v>4</v>
      </c>
      <c r="H223" t="s">
        <v>54</v>
      </c>
      <c r="I223">
        <v>207800</v>
      </c>
      <c r="J223">
        <v>40700</v>
      </c>
      <c r="K223">
        <v>0.28999999999999998</v>
      </c>
      <c r="L223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223">
        <v>0</v>
      </c>
      <c r="N223">
        <v>0</v>
      </c>
      <c r="O223">
        <v>0</v>
      </c>
      <c r="P223">
        <v>13398.7528</v>
      </c>
      <c r="Q223">
        <v>63903</v>
      </c>
      <c r="R223">
        <f>(Grandview_Inventory[[#This Row],[ln_acres]]*Grandview_Inventory[[#This Row],[coeff]])+Grandview_Inventory[[#This Row],[const]]</f>
        <v>47317.027506475133</v>
      </c>
      <c r="S223" t="s">
        <v>61</v>
      </c>
      <c r="T223">
        <v>1</v>
      </c>
      <c r="U223" t="s">
        <v>70</v>
      </c>
      <c r="V223" t="s">
        <v>69</v>
      </c>
      <c r="W223">
        <v>0</v>
      </c>
      <c r="X223">
        <v>0</v>
      </c>
      <c r="Y223">
        <v>24</v>
      </c>
      <c r="Z223">
        <v>24</v>
      </c>
      <c r="AA223">
        <v>30</v>
      </c>
      <c r="AB223">
        <v>2500</v>
      </c>
      <c r="AC223">
        <v>2016</v>
      </c>
      <c r="AD223">
        <v>2016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128</v>
      </c>
      <c r="AM223">
        <v>0</v>
      </c>
      <c r="AN223">
        <v>0</v>
      </c>
      <c r="AO223">
        <v>0</v>
      </c>
      <c r="AP223">
        <v>8</v>
      </c>
      <c r="AQ223">
        <v>0</v>
      </c>
      <c r="AR223">
        <v>0</v>
      </c>
      <c r="AS223" t="s">
        <v>58</v>
      </c>
      <c r="AT223">
        <v>1</v>
      </c>
      <c r="AU223" t="s">
        <v>63</v>
      </c>
      <c r="AV223" t="s">
        <v>60</v>
      </c>
      <c r="AW223">
        <v>1</v>
      </c>
      <c r="AX223">
        <v>4</v>
      </c>
      <c r="AY223">
        <v>0</v>
      </c>
      <c r="AZ223">
        <v>0</v>
      </c>
      <c r="BA223">
        <v>100</v>
      </c>
      <c r="BB223">
        <v>100</v>
      </c>
      <c r="BC223">
        <v>100</v>
      </c>
      <c r="BD223">
        <v>100</v>
      </c>
      <c r="BE223">
        <v>1</v>
      </c>
      <c r="BF223">
        <v>15000</v>
      </c>
      <c r="BG223">
        <v>1000</v>
      </c>
      <c r="BH223" s="6">
        <f>Grandview_Inventory[[#This Row],[land_extract]]*Lookups!$B$3</f>
        <v>54949.136287295303</v>
      </c>
      <c r="BI223" s="6">
        <f>IF(Grandview_Inventory[[#This Row],[bldg_style]]="",0,Lookups!$B$2)</f>
        <v>155833.95000000001</v>
      </c>
      <c r="BJ223" s="6">
        <f>_xlfn.IFNA(VLOOKUP(Grandview_Inventory[[#This Row],[quality]],Lookups!$H$2:$J$14,3,FALSE),0)</f>
        <v>10733</v>
      </c>
      <c r="BK223" s="6">
        <f>_xlfn.IFNA(VLOOKUP(Grandview_Inventory[[#This Row],[condition]],Lookups!$H$17:$J$24,3,FALSE),0)</f>
        <v>-4503</v>
      </c>
      <c r="BL223" s="6">
        <f>Grandview_Inventory[[#This Row],[Eff_Age]]*Lookups!$B$14</f>
        <v>-5739.9983999999995</v>
      </c>
      <c r="BM223" s="6">
        <f>Grandview_Inventory[[#This Row],[living_area]]*Lookups!$B$15</f>
        <v>125759.799648</v>
      </c>
      <c r="BN223" s="6">
        <f>Grandview_Inventory[[#This Row],[Fin BSMT]]*Lookups!$B$16</f>
        <v>0</v>
      </c>
      <c r="BO223" s="6">
        <f>(Grandview_Inventory[[#This Row],[att_gar]]+Grandview_Inventory[[#This Row],[bltin_gar]])*Lookups!$B$17</f>
        <v>0</v>
      </c>
      <c r="BP223" s="6">
        <f>Grandview_Inventory[[#This Row],[Plumbing Fixtures]]*Lookups!$B$18</f>
        <v>16083.5344</v>
      </c>
      <c r="BQ223" s="6">
        <f>Grandview_Inventory[[#This Row],[detatched_value]]*Lookups!$B$19</f>
        <v>0</v>
      </c>
      <c r="BR223" s="6">
        <f>SUM(Grandview_Inventory[[#This Row],[Intercept]:[det_value]])*Grandview_Inventory[[#This Row],[res_pct]]</f>
        <v>298167.28564800002</v>
      </c>
      <c r="BS223" s="6">
        <f>Grandview_Inventory[[#This Row],[land_value]]</f>
        <v>54949.136287295303</v>
      </c>
      <c r="BT223" s="4">
        <f>_xlfn.IFNA(VLOOKUP(Grandview_Inventory[[#This Row],[quality]],Lookups!$A$26:$C$33,3,FALSE),1)</f>
        <v>0.98079741117310582</v>
      </c>
      <c r="BU223" s="4">
        <f>_xlfn.IFNA(VLOOKUP(Grandview_Inventory[[#This Row],[condition]],Lookups!$A$37:$C$44,3,FALSE),1)</f>
        <v>0.96469275950863709</v>
      </c>
      <c r="BV223" s="4">
        <f>IF(Grandview_Inventory[[#This Row],[bldg_style]]="",1,_xlfn.IFNA(VLOOKUP(Grandview_Inventory[[#This Row],[decade]],Lookups!$F$29:$H$43,3,FALSE),1))</f>
        <v>0.98397821291089549</v>
      </c>
      <c r="BW223" s="4">
        <f>_xlfn.IFNA(VLOOKUP(Grandview_Inventory[[#This Row],[living_area_range]],Lookups!$F$47:$H$56,3,FALSE),1)</f>
        <v>0.95799442568048754</v>
      </c>
      <c r="BX223" s="4">
        <f>AVERAGE(Grandview_Inventory[[#This Row],[qual_adj]:[size_adj]])</f>
        <v>0.97186570231828151</v>
      </c>
      <c r="BY223" s="6">
        <f>IF(Grandview_Inventory[[#This Row],[pre_res]]&lt;0,0,Grandview_Inventory[[#This Row],[pre_res]]*Grandview_Inventory[[#This Row],[overall_adj]])</f>
        <v>289778.55847462919</v>
      </c>
      <c r="BZ223" s="6">
        <f>(Grandview_Inventory[[#This Row],[sum_land]]-IF(Grandview_Inventory[[#This Row],[no_utilities]]=1,12000,0))/IF(Grandview_Inventory[[#This Row],[unbuildable]]=1,2,1)</f>
        <v>54949.136287295303</v>
      </c>
      <c r="CA223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223">
        <f>ROUND(Grandview_Inventory[[#This Row],[det_value]]*Lookups!$M$28,-2)</f>
        <v>0</v>
      </c>
      <c r="CC223">
        <f>IF(ROUND(Grandview_Inventory[[#This Row],[adj_res]]*Lookups!$M$28,-2)&lt;Grandview_Inventory[[#This Row],[min_res]],Grandview_Inventory[[#This Row],[min_res]],ROUND(Grandview_Inventory[[#This Row],[adj_res]]*Lookups!$M$28,-2))</f>
        <v>275300</v>
      </c>
      <c r="CD223">
        <f>Grandview_Inventory[[#This Row],[final_det]]+Grandview_Inventory[[#This Row],[final_res]]</f>
        <v>275300</v>
      </c>
      <c r="CE223">
        <f>Grandview_Inventory[[#This Row],[final_land]]+Grandview_Inventory[[#This Row],[final_imp]]+Grandview_Inventory[[#This Row],[crop_value]]</f>
        <v>327500</v>
      </c>
      <c r="CG223" t="str">
        <f t="shared" si="3"/>
        <v>update valuation set market_land =52200, market_bldg=275300, market_total =327500, market_mdno =401, market_date ='9/10/2023' where link_id = (select link_id from parcel where parcel_year = '2024' and parcel_id = '23091434420');</v>
      </c>
    </row>
    <row r="224" spans="1:85" x14ac:dyDescent="0.25">
      <c r="A224">
        <v>23091434421</v>
      </c>
      <c r="B224">
        <v>0.17</v>
      </c>
      <c r="C224">
        <v>7384</v>
      </c>
      <c r="D224" t="s">
        <v>129</v>
      </c>
      <c r="E224" t="s">
        <v>53</v>
      </c>
      <c r="F224" t="s">
        <v>53</v>
      </c>
      <c r="G224">
        <v>4</v>
      </c>
      <c r="H224" t="s">
        <v>54</v>
      </c>
      <c r="I224">
        <v>207900</v>
      </c>
      <c r="J224">
        <v>38800</v>
      </c>
      <c r="K224">
        <v>0.17</v>
      </c>
      <c r="L22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4">
        <v>0</v>
      </c>
      <c r="N224">
        <v>0</v>
      </c>
      <c r="O224">
        <v>0</v>
      </c>
      <c r="P224">
        <v>13398.7528</v>
      </c>
      <c r="Q224">
        <v>63903</v>
      </c>
      <c r="R224">
        <f>(Grandview_Inventory[[#This Row],[ln_acres]]*Grandview_Inventory[[#This Row],[coeff]])+Grandview_Inventory[[#This Row],[const]]</f>
        <v>40160.988302686128</v>
      </c>
      <c r="S224" t="s">
        <v>61</v>
      </c>
      <c r="T224">
        <v>1</v>
      </c>
      <c r="U224" t="s">
        <v>70</v>
      </c>
      <c r="V224" t="s">
        <v>66</v>
      </c>
      <c r="W224">
        <v>0</v>
      </c>
      <c r="X224">
        <v>0</v>
      </c>
      <c r="Y224">
        <v>10</v>
      </c>
      <c r="Z224">
        <v>10</v>
      </c>
      <c r="AA224">
        <v>10</v>
      </c>
      <c r="AB224">
        <v>1500</v>
      </c>
      <c r="AC224">
        <v>1216</v>
      </c>
      <c r="AD224">
        <v>1216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220</v>
      </c>
      <c r="AM224">
        <v>0</v>
      </c>
      <c r="AN224">
        <v>50</v>
      </c>
      <c r="AO224">
        <v>220</v>
      </c>
      <c r="AP224">
        <v>8</v>
      </c>
      <c r="AQ224">
        <v>0</v>
      </c>
      <c r="AR224">
        <v>0</v>
      </c>
      <c r="AS224" t="s">
        <v>58</v>
      </c>
      <c r="AT224">
        <v>1</v>
      </c>
      <c r="AU224" t="s">
        <v>75</v>
      </c>
      <c r="AV224" t="s">
        <v>60</v>
      </c>
      <c r="AW224">
        <v>0</v>
      </c>
      <c r="AX224">
        <v>4</v>
      </c>
      <c r="AY224">
        <v>0</v>
      </c>
      <c r="AZ224">
        <v>0</v>
      </c>
      <c r="BA224">
        <v>100</v>
      </c>
      <c r="BB224">
        <v>100</v>
      </c>
      <c r="BC224">
        <v>100</v>
      </c>
      <c r="BD224">
        <v>100</v>
      </c>
      <c r="BE224">
        <v>1</v>
      </c>
      <c r="BF224">
        <v>15000</v>
      </c>
      <c r="BG224">
        <v>1000</v>
      </c>
      <c r="BH224" s="6">
        <f>Grandview_Inventory[[#This Row],[land_extract]]*Lookups!$B$3</f>
        <v>46638.847281240982</v>
      </c>
      <c r="BI224" s="6">
        <f>IF(Grandview_Inventory[[#This Row],[bldg_style]]="",0,Lookups!$B$2)</f>
        <v>155833.95000000001</v>
      </c>
      <c r="BJ224" s="6">
        <f>_xlfn.IFNA(VLOOKUP(Grandview_Inventory[[#This Row],[quality]],Lookups!$H$2:$J$14,3,FALSE),0)</f>
        <v>10733</v>
      </c>
      <c r="BK224" s="6">
        <f>_xlfn.IFNA(VLOOKUP(Grandview_Inventory[[#This Row],[condition]],Lookups!$H$17:$J$24,3,FALSE),0)</f>
        <v>25818</v>
      </c>
      <c r="BL224" s="6">
        <f>Grandview_Inventory[[#This Row],[Eff_Age]]*Lookups!$B$14</f>
        <v>-2391.6659999999997</v>
      </c>
      <c r="BM224" s="6">
        <f>Grandview_Inventory[[#This Row],[living_area]]*Lookups!$B$15</f>
        <v>75855.117247999995</v>
      </c>
      <c r="BN224" s="6">
        <f>Grandview_Inventory[[#This Row],[Fin BSMT]]*Lookups!$B$16</f>
        <v>0</v>
      </c>
      <c r="BO224" s="6">
        <f>(Grandview_Inventory[[#This Row],[att_gar]]+Grandview_Inventory[[#This Row],[bltin_gar]])*Lookups!$B$17</f>
        <v>0</v>
      </c>
      <c r="BP224" s="6">
        <f>Grandview_Inventory[[#This Row],[Plumbing Fixtures]]*Lookups!$B$18</f>
        <v>16083.5344</v>
      </c>
      <c r="BQ224" s="6">
        <f>Grandview_Inventory[[#This Row],[detatched_value]]*Lookups!$B$19</f>
        <v>0</v>
      </c>
      <c r="BR224" s="6">
        <f>SUM(Grandview_Inventory[[#This Row],[Intercept]:[det_value]])*Grandview_Inventory[[#This Row],[res_pct]]</f>
        <v>281931.93564799998</v>
      </c>
      <c r="BS224" s="6">
        <f>Grandview_Inventory[[#This Row],[land_value]]</f>
        <v>46638.847281240982</v>
      </c>
      <c r="BT224" s="4">
        <f>_xlfn.IFNA(VLOOKUP(Grandview_Inventory[[#This Row],[quality]],Lookups!$A$26:$C$33,3,FALSE),1)</f>
        <v>0.98079741117310582</v>
      </c>
      <c r="BU224" s="4">
        <f>_xlfn.IFNA(VLOOKUP(Grandview_Inventory[[#This Row],[condition]],Lookups!$A$37:$C$44,3,FALSE),1)</f>
        <v>0.96661476234146892</v>
      </c>
      <c r="BV224" s="4">
        <f>IF(Grandview_Inventory[[#This Row],[bldg_style]]="",1,_xlfn.IFNA(VLOOKUP(Grandview_Inventory[[#This Row],[decade]],Lookups!$F$29:$H$43,3,FALSE),1))</f>
        <v>0.94601966599150278</v>
      </c>
      <c r="BW224" s="4">
        <f>_xlfn.IFNA(VLOOKUP(Grandview_Inventory[[#This Row],[living_area_range]],Lookups!$F$47:$H$56,3,FALSE),1)</f>
        <v>0.96135087979789358</v>
      </c>
      <c r="BX224" s="4">
        <f>AVERAGE(Grandview_Inventory[[#This Row],[qual_adj]:[size_adj]])</f>
        <v>0.9636956798259928</v>
      </c>
      <c r="BY224" s="6">
        <f>IF(Grandview_Inventory[[#This Row],[pre_res]]&lt;0,0,Grandview_Inventory[[#This Row],[pre_res]]*Grandview_Inventory[[#This Row],[overall_adj]])</f>
        <v>271696.58838895737</v>
      </c>
      <c r="BZ224" s="6">
        <f>(Grandview_Inventory[[#This Row],[sum_land]]-IF(Grandview_Inventory[[#This Row],[no_utilities]]=1,12000,0))/IF(Grandview_Inventory[[#This Row],[unbuildable]]=1,2,1)</f>
        <v>46638.847281240982</v>
      </c>
      <c r="CA22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4">
        <f>ROUND(Grandview_Inventory[[#This Row],[det_value]]*Lookups!$M$28,-2)</f>
        <v>0</v>
      </c>
      <c r="CC224">
        <f>IF(ROUND(Grandview_Inventory[[#This Row],[adj_res]]*Lookups!$M$28,-2)&lt;Grandview_Inventory[[#This Row],[min_res]],Grandview_Inventory[[#This Row],[min_res]],ROUND(Grandview_Inventory[[#This Row],[adj_res]]*Lookups!$M$28,-2))</f>
        <v>258100</v>
      </c>
      <c r="CD224">
        <f>Grandview_Inventory[[#This Row],[final_det]]+Grandview_Inventory[[#This Row],[final_res]]</f>
        <v>258100</v>
      </c>
      <c r="CE224">
        <f>Grandview_Inventory[[#This Row],[final_land]]+Grandview_Inventory[[#This Row],[final_imp]]+Grandview_Inventory[[#This Row],[crop_value]]</f>
        <v>302400</v>
      </c>
      <c r="CG224" t="str">
        <f t="shared" si="3"/>
        <v>update valuation set market_land =44300, market_bldg=258100, market_total =302400, market_mdno =401, market_date ='9/10/2023' where link_id = (select link_id from parcel where parcel_year = '2024' and parcel_id = '23091434421');</v>
      </c>
    </row>
    <row r="225" spans="1:85" x14ac:dyDescent="0.25">
      <c r="A225">
        <v>23091434422</v>
      </c>
      <c r="B225">
        <v>0.18</v>
      </c>
      <c r="C225">
        <v>7866</v>
      </c>
      <c r="D225" t="s">
        <v>129</v>
      </c>
      <c r="E225" t="s">
        <v>53</v>
      </c>
      <c r="F225" t="s">
        <v>53</v>
      </c>
      <c r="G225">
        <v>4</v>
      </c>
      <c r="H225" t="s">
        <v>54</v>
      </c>
      <c r="I225">
        <v>198700</v>
      </c>
      <c r="J225">
        <v>39000</v>
      </c>
      <c r="K225">
        <v>0.18</v>
      </c>
      <c r="L22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25">
        <v>0</v>
      </c>
      <c r="N225">
        <v>0</v>
      </c>
      <c r="O225">
        <v>0</v>
      </c>
      <c r="P225">
        <v>13398.7528</v>
      </c>
      <c r="Q225">
        <v>63903</v>
      </c>
      <c r="R225">
        <f>(Grandview_Inventory[[#This Row],[ln_acres]]*Grandview_Inventory[[#This Row],[coeff]])+Grandview_Inventory[[#This Row],[const]]</f>
        <v>40926.839760167699</v>
      </c>
      <c r="S225" t="s">
        <v>68</v>
      </c>
      <c r="T225">
        <v>1</v>
      </c>
      <c r="U225" t="s">
        <v>65</v>
      </c>
      <c r="V225" t="s">
        <v>66</v>
      </c>
      <c r="W225">
        <v>0</v>
      </c>
      <c r="X225">
        <v>0</v>
      </c>
      <c r="Y225">
        <v>10</v>
      </c>
      <c r="Z225">
        <v>10</v>
      </c>
      <c r="AA225">
        <v>10</v>
      </c>
      <c r="AB225">
        <v>1500</v>
      </c>
      <c r="AC225">
        <v>1260</v>
      </c>
      <c r="AD225">
        <v>1260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180</v>
      </c>
      <c r="AO225">
        <v>0</v>
      </c>
      <c r="AP225">
        <v>8</v>
      </c>
      <c r="AQ225">
        <v>0</v>
      </c>
      <c r="AR225">
        <v>0</v>
      </c>
      <c r="AS225" t="s">
        <v>58</v>
      </c>
      <c r="AT225">
        <v>1</v>
      </c>
      <c r="AU225" t="s">
        <v>59</v>
      </c>
      <c r="AV225" t="s">
        <v>60</v>
      </c>
      <c r="AW225">
        <v>1</v>
      </c>
      <c r="AX225">
        <v>3</v>
      </c>
      <c r="AY225">
        <v>0</v>
      </c>
      <c r="AZ225">
        <v>0</v>
      </c>
      <c r="BA225">
        <v>100</v>
      </c>
      <c r="BB225">
        <v>100</v>
      </c>
      <c r="BC225">
        <v>100</v>
      </c>
      <c r="BD225">
        <v>100</v>
      </c>
      <c r="BE225">
        <v>1</v>
      </c>
      <c r="BF225">
        <v>15000</v>
      </c>
      <c r="BG225">
        <v>1000</v>
      </c>
      <c r="BH225" s="6">
        <f>Grandview_Inventory[[#This Row],[land_extract]]*Lookups!$B$3</f>
        <v>47528.228511015397</v>
      </c>
      <c r="BI225" s="6">
        <f>IF(Grandview_Inventory[[#This Row],[bldg_style]]="",0,Lookups!$B$2)</f>
        <v>155833.95000000001</v>
      </c>
      <c r="BJ225" s="6">
        <f>_xlfn.IFNA(VLOOKUP(Grandview_Inventory[[#This Row],[quality]],Lookups!$H$2:$J$14,3,FALSE),0)</f>
        <v>2251</v>
      </c>
      <c r="BK225" s="6">
        <f>_xlfn.IFNA(VLOOKUP(Grandview_Inventory[[#This Row],[condition]],Lookups!$H$17:$J$24,3,FALSE),0)</f>
        <v>25818</v>
      </c>
      <c r="BL225" s="6">
        <f>Grandview_Inventory[[#This Row],[Eff_Age]]*Lookups!$B$14</f>
        <v>-2391.6659999999997</v>
      </c>
      <c r="BM225" s="6">
        <f>Grandview_Inventory[[#This Row],[living_area]]*Lookups!$B$15</f>
        <v>78599.874779999998</v>
      </c>
      <c r="BN225" s="6">
        <f>Grandview_Inventory[[#This Row],[Fin BSMT]]*Lookups!$B$16</f>
        <v>0</v>
      </c>
      <c r="BO225" s="6">
        <f>(Grandview_Inventory[[#This Row],[att_gar]]+Grandview_Inventory[[#This Row],[bltin_gar]])*Lookups!$B$17</f>
        <v>0</v>
      </c>
      <c r="BP225" s="6">
        <f>Grandview_Inventory[[#This Row],[Plumbing Fixtures]]*Lookups!$B$18</f>
        <v>16083.5344</v>
      </c>
      <c r="BQ225" s="6">
        <f>Grandview_Inventory[[#This Row],[detatched_value]]*Lookups!$B$19</f>
        <v>0</v>
      </c>
      <c r="BR225" s="6">
        <f>SUM(Grandview_Inventory[[#This Row],[Intercept]:[det_value]])*Grandview_Inventory[[#This Row],[res_pct]]</f>
        <v>276194.69318</v>
      </c>
      <c r="BS225" s="6">
        <f>Grandview_Inventory[[#This Row],[land_value]]</f>
        <v>47528.228511015397</v>
      </c>
      <c r="BT225" s="4">
        <f>_xlfn.IFNA(VLOOKUP(Grandview_Inventory[[#This Row],[quality]],Lookups!$A$26:$C$33,3,FALSE),1)</f>
        <v>0.98763855981004833</v>
      </c>
      <c r="BU225" s="4">
        <f>_xlfn.IFNA(VLOOKUP(Grandview_Inventory[[#This Row],[condition]],Lookups!$A$37:$C$44,3,FALSE),1)</f>
        <v>0.96661476234146892</v>
      </c>
      <c r="BV225" s="4">
        <f>IF(Grandview_Inventory[[#This Row],[bldg_style]]="",1,_xlfn.IFNA(VLOOKUP(Grandview_Inventory[[#This Row],[decade]],Lookups!$F$29:$H$43,3,FALSE),1))</f>
        <v>0.94601966599150278</v>
      </c>
      <c r="BW225" s="4">
        <f>_xlfn.IFNA(VLOOKUP(Grandview_Inventory[[#This Row],[living_area_range]],Lookups!$F$47:$H$56,3,FALSE),1)</f>
        <v>0.96135087979789358</v>
      </c>
      <c r="BX225" s="4">
        <f>AVERAGE(Grandview_Inventory[[#This Row],[qual_adj]:[size_adj]])</f>
        <v>0.9654059669852284</v>
      </c>
      <c r="BY225" s="6">
        <f>IF(Grandview_Inventory[[#This Row],[pre_res]]&lt;0,0,Grandview_Inventory[[#This Row],[pre_res]]*Grandview_Inventory[[#This Row],[overall_adj]])</f>
        <v>266640.00484562636</v>
      </c>
      <c r="BZ225" s="6">
        <f>(Grandview_Inventory[[#This Row],[sum_land]]-IF(Grandview_Inventory[[#This Row],[no_utilities]]=1,12000,0))/IF(Grandview_Inventory[[#This Row],[unbuildable]]=1,2,1)</f>
        <v>47528.228511015397</v>
      </c>
      <c r="CA22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25">
        <f>ROUND(Grandview_Inventory[[#This Row],[det_value]]*Lookups!$M$28,-2)</f>
        <v>0</v>
      </c>
      <c r="CC225">
        <f>IF(ROUND(Grandview_Inventory[[#This Row],[adj_res]]*Lookups!$M$28,-2)&lt;Grandview_Inventory[[#This Row],[min_res]],Grandview_Inventory[[#This Row],[min_res]],ROUND(Grandview_Inventory[[#This Row],[adj_res]]*Lookups!$M$28,-2))</f>
        <v>253300</v>
      </c>
      <c r="CD225">
        <f>Grandview_Inventory[[#This Row],[final_det]]+Grandview_Inventory[[#This Row],[final_res]]</f>
        <v>253300</v>
      </c>
      <c r="CE225">
        <f>Grandview_Inventory[[#This Row],[final_land]]+Grandview_Inventory[[#This Row],[final_imp]]+Grandview_Inventory[[#This Row],[crop_value]]</f>
        <v>298500</v>
      </c>
      <c r="CG225" t="str">
        <f t="shared" si="3"/>
        <v>update valuation set market_land =45200, market_bldg=253300, market_total =298500, market_mdno =401, market_date ='9/10/2023' where link_id = (select link_id from parcel where parcel_year = '2024' and parcel_id = '23091434422');</v>
      </c>
    </row>
    <row r="226" spans="1:85" x14ac:dyDescent="0.25">
      <c r="A226">
        <v>23091434424</v>
      </c>
      <c r="B226">
        <v>0.25</v>
      </c>
      <c r="C226" t="s">
        <v>129</v>
      </c>
      <c r="D226" t="s">
        <v>129</v>
      </c>
      <c r="E226" t="s">
        <v>53</v>
      </c>
      <c r="F226" t="s">
        <v>53</v>
      </c>
      <c r="G226">
        <v>4</v>
      </c>
      <c r="H226" t="s">
        <v>54</v>
      </c>
      <c r="I226">
        <v>221200</v>
      </c>
      <c r="J226">
        <v>41600</v>
      </c>
      <c r="K226">
        <v>0.25</v>
      </c>
      <c r="L22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26">
        <v>0</v>
      </c>
      <c r="N226">
        <v>0</v>
      </c>
      <c r="O226">
        <v>0</v>
      </c>
      <c r="P226">
        <v>13398.7528</v>
      </c>
      <c r="Q226">
        <v>63903</v>
      </c>
      <c r="R226">
        <f>(Grandview_Inventory[[#This Row],[ln_acres]]*Grandview_Inventory[[#This Row],[coeff]])+Grandview_Inventory[[#This Row],[const]]</f>
        <v>45328.38454732066</v>
      </c>
      <c r="S226" t="s">
        <v>68</v>
      </c>
      <c r="T226">
        <v>1</v>
      </c>
      <c r="U226" t="s">
        <v>65</v>
      </c>
      <c r="V226" t="s">
        <v>57</v>
      </c>
      <c r="W226">
        <v>0</v>
      </c>
      <c r="X226">
        <v>0</v>
      </c>
      <c r="Y226">
        <v>14</v>
      </c>
      <c r="Z226">
        <v>88</v>
      </c>
      <c r="AA226">
        <v>90</v>
      </c>
      <c r="AB226">
        <v>1500</v>
      </c>
      <c r="AC226">
        <v>1500</v>
      </c>
      <c r="AD226">
        <v>1500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323</v>
      </c>
      <c r="AN226">
        <v>0</v>
      </c>
      <c r="AO226">
        <v>323</v>
      </c>
      <c r="AP226">
        <v>8</v>
      </c>
      <c r="AQ226">
        <v>0</v>
      </c>
      <c r="AR226">
        <v>1</v>
      </c>
      <c r="AS226" t="s">
        <v>58</v>
      </c>
      <c r="AT226">
        <v>1</v>
      </c>
      <c r="AU226" t="s">
        <v>59</v>
      </c>
      <c r="AV226" t="s">
        <v>60</v>
      </c>
      <c r="AW226">
        <v>1</v>
      </c>
      <c r="AX226">
        <v>3</v>
      </c>
      <c r="AY226">
        <v>0</v>
      </c>
      <c r="AZ226">
        <v>0</v>
      </c>
      <c r="BA226">
        <v>100</v>
      </c>
      <c r="BB226">
        <v>100</v>
      </c>
      <c r="BC226">
        <v>100</v>
      </c>
      <c r="BD226">
        <v>100</v>
      </c>
      <c r="BE226">
        <v>1</v>
      </c>
      <c r="BF226">
        <v>15000</v>
      </c>
      <c r="BG226">
        <v>1000</v>
      </c>
      <c r="BH226" s="6">
        <f>Grandview_Inventory[[#This Row],[land_extract]]*Lookups!$B$3</f>
        <v>52639.730588165206</v>
      </c>
      <c r="BI226" s="6">
        <f>IF(Grandview_Inventory[[#This Row],[bldg_style]]="",0,Lookups!$B$2)</f>
        <v>155833.95000000001</v>
      </c>
      <c r="BJ226" s="6">
        <f>_xlfn.IFNA(VLOOKUP(Grandview_Inventory[[#This Row],[quality]],Lookups!$H$2:$J$14,3,FALSE),0)</f>
        <v>2251</v>
      </c>
      <c r="BK226" s="6">
        <f>_xlfn.IFNA(VLOOKUP(Grandview_Inventory[[#This Row],[condition]],Lookups!$H$17:$J$24,3,FALSE),0)</f>
        <v>25780</v>
      </c>
      <c r="BL226" s="6">
        <f>Grandview_Inventory[[#This Row],[Eff_Age]]*Lookups!$B$14</f>
        <v>-3348.3323999999998</v>
      </c>
      <c r="BM226" s="6">
        <f>Grandview_Inventory[[#This Row],[living_area]]*Lookups!$B$15</f>
        <v>93571.279500000004</v>
      </c>
      <c r="BN226" s="6">
        <f>Grandview_Inventory[[#This Row],[Fin BSMT]]*Lookups!$B$16</f>
        <v>0</v>
      </c>
      <c r="BO226" s="6">
        <f>(Grandview_Inventory[[#This Row],[att_gar]]+Grandview_Inventory[[#This Row],[bltin_gar]])*Lookups!$B$17</f>
        <v>0</v>
      </c>
      <c r="BP226" s="6">
        <f>Grandview_Inventory[[#This Row],[Plumbing Fixtures]]*Lookups!$B$18</f>
        <v>16083.5344</v>
      </c>
      <c r="BQ226" s="6">
        <f>Grandview_Inventory[[#This Row],[detatched_value]]*Lookups!$B$19</f>
        <v>0</v>
      </c>
      <c r="BR226" s="6">
        <f>SUM(Grandview_Inventory[[#This Row],[Intercept]:[det_value]])*Grandview_Inventory[[#This Row],[res_pct]]</f>
        <v>290171.43150000001</v>
      </c>
      <c r="BS226" s="6">
        <f>Grandview_Inventory[[#This Row],[land_value]]</f>
        <v>52639.730588165206</v>
      </c>
      <c r="BT226" s="4">
        <f>_xlfn.IFNA(VLOOKUP(Grandview_Inventory[[#This Row],[quality]],Lookups!$A$26:$C$33,3,FALSE),1)</f>
        <v>0.98763855981004833</v>
      </c>
      <c r="BU226" s="4">
        <f>_xlfn.IFNA(VLOOKUP(Grandview_Inventory[[#This Row],[condition]],Lookups!$A$37:$C$44,3,FALSE),1)</f>
        <v>0.94347925387812148</v>
      </c>
      <c r="BV226" s="4">
        <f>IF(Grandview_Inventory[[#This Row],[bldg_style]]="",1,_xlfn.IFNA(VLOOKUP(Grandview_Inventory[[#This Row],[decade]],Lookups!$F$29:$H$43,3,FALSE),1))</f>
        <v>0.94161750052457416</v>
      </c>
      <c r="BW226" s="4">
        <f>_xlfn.IFNA(VLOOKUP(Grandview_Inventory[[#This Row],[living_area_range]],Lookups!$F$47:$H$56,3,FALSE),1)</f>
        <v>0.96135087979789358</v>
      </c>
      <c r="BX226" s="4">
        <f>AVERAGE(Grandview_Inventory[[#This Row],[qual_adj]:[size_adj]])</f>
        <v>0.95852154850265936</v>
      </c>
      <c r="BY226" s="6">
        <f>IF(Grandview_Inventory[[#This Row],[pre_res]]&lt;0,0,Grandview_Inventory[[#This Row],[pre_res]]*Grandview_Inventory[[#This Row],[overall_adj]])</f>
        <v>278135.56985261338</v>
      </c>
      <c r="BZ226" s="6">
        <f>(Grandview_Inventory[[#This Row],[sum_land]]-IF(Grandview_Inventory[[#This Row],[no_utilities]]=1,12000,0))/IF(Grandview_Inventory[[#This Row],[unbuildable]]=1,2,1)</f>
        <v>52639.730588165206</v>
      </c>
      <c r="CA22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26">
        <f>ROUND(Grandview_Inventory[[#This Row],[det_value]]*Lookups!$M$28,-2)</f>
        <v>0</v>
      </c>
      <c r="CC226">
        <f>IF(ROUND(Grandview_Inventory[[#This Row],[adj_res]]*Lookups!$M$28,-2)&lt;Grandview_Inventory[[#This Row],[min_res]],Grandview_Inventory[[#This Row],[min_res]],ROUND(Grandview_Inventory[[#This Row],[adj_res]]*Lookups!$M$28,-2))</f>
        <v>264200</v>
      </c>
      <c r="CD226">
        <f>Grandview_Inventory[[#This Row],[final_det]]+Grandview_Inventory[[#This Row],[final_res]]</f>
        <v>264200</v>
      </c>
      <c r="CE226">
        <f>Grandview_Inventory[[#This Row],[final_land]]+Grandview_Inventory[[#This Row],[final_imp]]+Grandview_Inventory[[#This Row],[crop_value]]</f>
        <v>314200</v>
      </c>
      <c r="CG226" t="str">
        <f t="shared" si="3"/>
        <v>update valuation set market_land =50000, market_bldg=264200, market_total =314200, market_mdno =401, market_date ='9/10/2023' where link_id = (select link_id from parcel where parcel_year = '2024' and parcel_id = '23091434424');</v>
      </c>
    </row>
    <row r="227" spans="1:85" x14ac:dyDescent="0.25">
      <c r="A227">
        <v>23091441009</v>
      </c>
      <c r="B227">
        <v>1.28</v>
      </c>
      <c r="C227">
        <v>55851</v>
      </c>
      <c r="D227" t="s">
        <v>129</v>
      </c>
      <c r="E227" t="s">
        <v>53</v>
      </c>
      <c r="F227" t="s">
        <v>53</v>
      </c>
      <c r="G227">
        <v>4</v>
      </c>
      <c r="H227" t="s">
        <v>54</v>
      </c>
      <c r="I227">
        <v>160400</v>
      </c>
      <c r="J227">
        <v>51400</v>
      </c>
      <c r="K227">
        <v>1.28</v>
      </c>
      <c r="L227">
        <f>IF(Grandview_Inventory[[#This Row],[parcel_acres]]-Grandview_Inventory[[#This Row],[non_valued_acres]] =0,0,LN(Grandview_Inventory[[#This Row],[parcel_acres]]-Grandview_Inventory[[#This Row],[non_valued_acres]]))</f>
        <v>0.24686007793152581</v>
      </c>
      <c r="M227">
        <v>0</v>
      </c>
      <c r="N227">
        <v>0</v>
      </c>
      <c r="O227">
        <v>0</v>
      </c>
      <c r="P227">
        <v>13398.7528</v>
      </c>
      <c r="Q227">
        <v>63903</v>
      </c>
      <c r="R227">
        <f>(Grandview_Inventory[[#This Row],[ln_acres]]*Grandview_Inventory[[#This Row],[coeff]])+Grandview_Inventory[[#This Row],[const]]</f>
        <v>67210.617160393245</v>
      </c>
      <c r="S227" t="s">
        <v>68</v>
      </c>
      <c r="T227">
        <v>1</v>
      </c>
      <c r="U227" t="s">
        <v>65</v>
      </c>
      <c r="V227" t="s">
        <v>69</v>
      </c>
      <c r="W227">
        <v>0</v>
      </c>
      <c r="X227">
        <v>0</v>
      </c>
      <c r="Y227">
        <v>57</v>
      </c>
      <c r="Z227">
        <v>103</v>
      </c>
      <c r="AA227">
        <v>110</v>
      </c>
      <c r="AB227">
        <v>2500</v>
      </c>
      <c r="AC227">
        <v>2262</v>
      </c>
      <c r="AD227">
        <v>1176</v>
      </c>
      <c r="AE227">
        <v>0</v>
      </c>
      <c r="AF227">
        <v>0</v>
      </c>
      <c r="AG227">
        <v>1086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11</v>
      </c>
      <c r="AQ227">
        <v>0</v>
      </c>
      <c r="AR227">
        <v>0</v>
      </c>
      <c r="AS227" t="s">
        <v>58</v>
      </c>
      <c r="AT227">
        <v>1</v>
      </c>
      <c r="AU227" t="s">
        <v>59</v>
      </c>
      <c r="AV227" t="s">
        <v>60</v>
      </c>
      <c r="AW227">
        <v>1</v>
      </c>
      <c r="AX227">
        <v>3</v>
      </c>
      <c r="AY227">
        <v>0</v>
      </c>
      <c r="AZ227">
        <v>0</v>
      </c>
      <c r="BA227">
        <v>100</v>
      </c>
      <c r="BB227">
        <v>100</v>
      </c>
      <c r="BC227">
        <v>100</v>
      </c>
      <c r="BD227">
        <v>100</v>
      </c>
      <c r="BE227">
        <v>1</v>
      </c>
      <c r="BF227">
        <v>15000</v>
      </c>
      <c r="BG227">
        <v>1000</v>
      </c>
      <c r="BH227" s="6">
        <f>Grandview_Inventory[[#This Row],[land_extract]]*Lookups!$B$3</f>
        <v>78051.508239698334</v>
      </c>
      <c r="BI227" s="6">
        <f>IF(Grandview_Inventory[[#This Row],[bldg_style]]="",0,Lookups!$B$2)</f>
        <v>155833.95000000001</v>
      </c>
      <c r="BJ227" s="6">
        <f>_xlfn.IFNA(VLOOKUP(Grandview_Inventory[[#This Row],[quality]],Lookups!$H$2:$J$14,3,FALSE),0)</f>
        <v>2251</v>
      </c>
      <c r="BK227" s="6">
        <f>_xlfn.IFNA(VLOOKUP(Grandview_Inventory[[#This Row],[condition]],Lookups!$H$17:$J$24,3,FALSE),0)</f>
        <v>-4503</v>
      </c>
      <c r="BL227" s="6">
        <f>Grandview_Inventory[[#This Row],[Eff_Age]]*Lookups!$B$14</f>
        <v>-13632.4962</v>
      </c>
      <c r="BM227" s="6">
        <f>Grandview_Inventory[[#This Row],[living_area]]*Lookups!$B$15</f>
        <v>141105.48948600001</v>
      </c>
      <c r="BN227" s="6">
        <f>Grandview_Inventory[[#This Row],[Fin BSMT]]*Lookups!$B$16</f>
        <v>-29429.774640000003</v>
      </c>
      <c r="BO227" s="6">
        <f>(Grandview_Inventory[[#This Row],[att_gar]]+Grandview_Inventory[[#This Row],[bltin_gar]])*Lookups!$B$17</f>
        <v>0</v>
      </c>
      <c r="BP227" s="6">
        <f>Grandview_Inventory[[#This Row],[Plumbing Fixtures]]*Lookups!$B$18</f>
        <v>22114.859800000002</v>
      </c>
      <c r="BQ227" s="6">
        <f>Grandview_Inventory[[#This Row],[detatched_value]]*Lookups!$B$19</f>
        <v>0</v>
      </c>
      <c r="BR227" s="6">
        <f>SUM(Grandview_Inventory[[#This Row],[Intercept]:[det_value]])*Grandview_Inventory[[#This Row],[res_pct]]</f>
        <v>273740.02844600001</v>
      </c>
      <c r="BS227" s="6">
        <f>Grandview_Inventory[[#This Row],[land_value]]</f>
        <v>78051.508239698334</v>
      </c>
      <c r="BT227" s="4">
        <f>_xlfn.IFNA(VLOOKUP(Grandview_Inventory[[#This Row],[quality]],Lookups!$A$26:$C$33,3,FALSE),1)</f>
        <v>0.98763855981004833</v>
      </c>
      <c r="BU227" s="4">
        <f>_xlfn.IFNA(VLOOKUP(Grandview_Inventory[[#This Row],[condition]],Lookups!$A$37:$C$44,3,FALSE),1)</f>
        <v>0.96469275950863709</v>
      </c>
      <c r="BV227" s="4">
        <f>IF(Grandview_Inventory[[#This Row],[bldg_style]]="",1,_xlfn.IFNA(VLOOKUP(Grandview_Inventory[[#This Row],[decade]],Lookups!$F$29:$H$43,3,FALSE),1))</f>
        <v>0.92255236374249616</v>
      </c>
      <c r="BW227" s="4">
        <f>_xlfn.IFNA(VLOOKUP(Grandview_Inventory[[#This Row],[living_area_range]],Lookups!$F$47:$H$56,3,FALSE),1)</f>
        <v>0.95799442568048754</v>
      </c>
      <c r="BX227" s="4">
        <f>AVERAGE(Grandview_Inventory[[#This Row],[qual_adj]:[size_adj]])</f>
        <v>0.95821952718541725</v>
      </c>
      <c r="BY227" s="6">
        <f>IF(Grandview_Inventory[[#This Row],[pre_res]]&lt;0,0,Grandview_Inventory[[#This Row],[pre_res]]*Grandview_Inventory[[#This Row],[overall_adj]])</f>
        <v>262303.04062924878</v>
      </c>
      <c r="BZ227" s="6">
        <f>(Grandview_Inventory[[#This Row],[sum_land]]-IF(Grandview_Inventory[[#This Row],[no_utilities]]=1,12000,0))/IF(Grandview_Inventory[[#This Row],[unbuildable]]=1,2,1)</f>
        <v>78051.508239698334</v>
      </c>
      <c r="CA227">
        <f>IF(ROUND(Grandview_Inventory[[#This Row],[adj_land]]*Lookups!$M$28,-2)&lt;Grandview_Inventory[[#This Row],[min_land]],Grandview_Inventory[[#This Row],[min_land]],ROUND(Grandview_Inventory[[#This Row],[adj_land]]*Lookups!$M$28,-2))</f>
        <v>74100</v>
      </c>
      <c r="CB227">
        <f>ROUND(Grandview_Inventory[[#This Row],[det_value]]*Lookups!$M$28,-2)</f>
        <v>0</v>
      </c>
      <c r="CC227">
        <f>IF(ROUND(Grandview_Inventory[[#This Row],[adj_res]]*Lookups!$M$28,-2)&lt;Grandview_Inventory[[#This Row],[min_res]],Grandview_Inventory[[#This Row],[min_res]],ROUND(Grandview_Inventory[[#This Row],[adj_res]]*Lookups!$M$28,-2))</f>
        <v>249200</v>
      </c>
      <c r="CD227">
        <f>Grandview_Inventory[[#This Row],[final_det]]+Grandview_Inventory[[#This Row],[final_res]]</f>
        <v>249200</v>
      </c>
      <c r="CE227">
        <f>Grandview_Inventory[[#This Row],[final_land]]+Grandview_Inventory[[#This Row],[final_imp]]+Grandview_Inventory[[#This Row],[crop_value]]</f>
        <v>323300</v>
      </c>
      <c r="CG227" t="str">
        <f t="shared" si="3"/>
        <v>update valuation set market_land =74100, market_bldg=249200, market_total =323300, market_mdno =401, market_date ='9/10/2023' where link_id = (select link_id from parcel where parcel_year = '2024' and parcel_id = '23091441009');</v>
      </c>
    </row>
    <row r="228" spans="1:85" x14ac:dyDescent="0.25">
      <c r="A228">
        <v>23091442005</v>
      </c>
      <c r="B228">
        <v>24.34</v>
      </c>
      <c r="C228" t="s">
        <v>129</v>
      </c>
      <c r="D228" t="s">
        <v>129</v>
      </c>
      <c r="E228" t="s">
        <v>53</v>
      </c>
      <c r="F228" t="s">
        <v>53</v>
      </c>
      <c r="G228">
        <v>4</v>
      </c>
      <c r="H228" t="s">
        <v>54</v>
      </c>
      <c r="I228">
        <v>0</v>
      </c>
      <c r="J228">
        <v>143700</v>
      </c>
      <c r="K228">
        <v>24.34</v>
      </c>
      <c r="L228">
        <f>IF(Grandview_Inventory[[#This Row],[parcel_acres]]-Grandview_Inventory[[#This Row],[non_valued_acres]] =0,0,LN(Grandview_Inventory[[#This Row],[parcel_acres]]-Grandview_Inventory[[#This Row],[non_valued_acres]]))</f>
        <v>3.1921210875593813</v>
      </c>
      <c r="M228">
        <v>0</v>
      </c>
      <c r="N228">
        <v>0</v>
      </c>
      <c r="O228">
        <v>0</v>
      </c>
      <c r="P228">
        <v>13398.7528</v>
      </c>
      <c r="Q228">
        <v>63903</v>
      </c>
      <c r="R228">
        <f>(Grandview_Inventory[[#This Row],[ln_acres]]*Grandview_Inventory[[#This Row],[coeff]])+Grandview_Inventory[[#This Row],[const]]</f>
        <v>106673.44135987532</v>
      </c>
      <c r="S228" t="s">
        <v>55</v>
      </c>
      <c r="T228">
        <v>2</v>
      </c>
      <c r="U228" t="s">
        <v>65</v>
      </c>
      <c r="V228" t="s">
        <v>74</v>
      </c>
      <c r="W228">
        <v>0</v>
      </c>
      <c r="X228">
        <v>0</v>
      </c>
      <c r="Y228">
        <v>60</v>
      </c>
      <c r="Z228">
        <v>108</v>
      </c>
      <c r="AA228">
        <v>110</v>
      </c>
      <c r="AB228">
        <v>2000</v>
      </c>
      <c r="AC228">
        <v>1652</v>
      </c>
      <c r="AD228">
        <v>1092</v>
      </c>
      <c r="AE228">
        <v>560</v>
      </c>
      <c r="AF228">
        <v>0</v>
      </c>
      <c r="AG228">
        <v>0</v>
      </c>
      <c r="AH228">
        <v>850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5</v>
      </c>
      <c r="AQ228">
        <v>0</v>
      </c>
      <c r="AR228">
        <v>1</v>
      </c>
      <c r="AS228" t="s">
        <v>58</v>
      </c>
      <c r="AT228">
        <v>0</v>
      </c>
      <c r="AU228" t="s">
        <v>82</v>
      </c>
      <c r="AV228" t="s">
        <v>64</v>
      </c>
      <c r="AW228">
        <v>0</v>
      </c>
      <c r="AX228">
        <v>3</v>
      </c>
      <c r="AY228">
        <v>0</v>
      </c>
      <c r="AZ228">
        <v>0</v>
      </c>
      <c r="BA228">
        <v>100</v>
      </c>
      <c r="BB228">
        <v>100</v>
      </c>
      <c r="BC228">
        <v>100</v>
      </c>
      <c r="BD228">
        <v>100</v>
      </c>
      <c r="BE228">
        <v>0</v>
      </c>
      <c r="BF228">
        <v>15000</v>
      </c>
      <c r="BG228">
        <v>0</v>
      </c>
      <c r="BH228" s="6">
        <f>Grandview_Inventory[[#This Row],[land_extract]]*Lookups!$B$3</f>
        <v>123879.57943293152</v>
      </c>
      <c r="BI228" s="6">
        <f>IF(Grandview_Inventory[[#This Row],[bldg_style]]="",0,Lookups!$B$2)</f>
        <v>155833.95000000001</v>
      </c>
      <c r="BJ228" s="6">
        <f>_xlfn.IFNA(VLOOKUP(Grandview_Inventory[[#This Row],[quality]],Lookups!$H$2:$J$14,3,FALSE),0)</f>
        <v>2251</v>
      </c>
      <c r="BK228" s="6">
        <f>_xlfn.IFNA(VLOOKUP(Grandview_Inventory[[#This Row],[condition]],Lookups!$H$17:$J$24,3,FALSE),0)</f>
        <v>-222502</v>
      </c>
      <c r="BL228" s="6">
        <f>Grandview_Inventory[[#This Row],[Eff_Age]]*Lookups!$B$14</f>
        <v>-14349.995999999999</v>
      </c>
      <c r="BM228" s="6">
        <f>Grandview_Inventory[[#This Row],[living_area]]*Lookups!$B$15</f>
        <v>103053.169156</v>
      </c>
      <c r="BN228" s="6">
        <f>Grandview_Inventory[[#This Row],[Fin BSMT]]*Lookups!$B$16</f>
        <v>0</v>
      </c>
      <c r="BO228" s="6">
        <f>(Grandview_Inventory[[#This Row],[att_gar]]+Grandview_Inventory[[#This Row],[bltin_gar]])*Lookups!$B$17</f>
        <v>0</v>
      </c>
      <c r="BP228" s="6">
        <f>Grandview_Inventory[[#This Row],[Plumbing Fixtures]]*Lookups!$B$18</f>
        <v>10052.209000000001</v>
      </c>
      <c r="BQ228" s="6">
        <f>Grandview_Inventory[[#This Row],[detatched_value]]*Lookups!$B$19</f>
        <v>0</v>
      </c>
      <c r="BR228" s="6">
        <f>SUM(Grandview_Inventory[[#This Row],[Intercept]:[det_value]])*Grandview_Inventory[[#This Row],[res_pct]]</f>
        <v>0</v>
      </c>
      <c r="BS228" s="6">
        <f>Grandview_Inventory[[#This Row],[land_value]]</f>
        <v>123879.57943293152</v>
      </c>
      <c r="BT228" s="4">
        <f>_xlfn.IFNA(VLOOKUP(Grandview_Inventory[[#This Row],[quality]],Lookups!$A$26:$C$33,3,FALSE),1)</f>
        <v>0.98763855981004833</v>
      </c>
      <c r="BU228" s="4">
        <f>_xlfn.IFNA(VLOOKUP(Grandview_Inventory[[#This Row],[condition]],Lookups!$A$37:$C$44,3,FALSE),1)</f>
        <v>0</v>
      </c>
      <c r="BV228" s="4">
        <f>IF(Grandview_Inventory[[#This Row],[bldg_style]]="",1,_xlfn.IFNA(VLOOKUP(Grandview_Inventory[[#This Row],[decade]],Lookups!$F$29:$H$43,3,FALSE),1))</f>
        <v>0.92255236374249616</v>
      </c>
      <c r="BW228" s="4">
        <f>_xlfn.IFNA(VLOOKUP(Grandview_Inventory[[#This Row],[living_area_range]],Lookups!$F$47:$H$56,3,FALSE),1)</f>
        <v>0.96120133463014379</v>
      </c>
      <c r="BX228" s="4">
        <f>AVERAGE(Grandview_Inventory[[#This Row],[qual_adj]:[size_adj]])</f>
        <v>0.71784806454567207</v>
      </c>
      <c r="BY228" s="6">
        <f>IF(Grandview_Inventory[[#This Row],[pre_res]]&lt;0,0,Grandview_Inventory[[#This Row],[pre_res]]*Grandview_Inventory[[#This Row],[overall_adj]])</f>
        <v>0</v>
      </c>
      <c r="BZ228" s="6">
        <f>(Grandview_Inventory[[#This Row],[sum_land]]-IF(Grandview_Inventory[[#This Row],[no_utilities]]=1,12000,0))/IF(Grandview_Inventory[[#This Row],[unbuildable]]=1,2,1)</f>
        <v>123879.57943293152</v>
      </c>
      <c r="CA228">
        <f>IF(ROUND(Grandview_Inventory[[#This Row],[adj_land]]*Lookups!$M$28,-2)&lt;Grandview_Inventory[[#This Row],[min_land]],Grandview_Inventory[[#This Row],[min_land]],ROUND(Grandview_Inventory[[#This Row],[adj_land]]*Lookups!$M$28,-2))</f>
        <v>117700</v>
      </c>
      <c r="CB228">
        <f>ROUND(Grandview_Inventory[[#This Row],[det_value]]*Lookups!$M$28,-2)</f>
        <v>0</v>
      </c>
      <c r="CC22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28">
        <f>Grandview_Inventory[[#This Row],[final_det]]+Grandview_Inventory[[#This Row],[final_res]]</f>
        <v>0</v>
      </c>
      <c r="CE228">
        <f>Grandview_Inventory[[#This Row],[final_land]]+Grandview_Inventory[[#This Row],[final_imp]]+Grandview_Inventory[[#This Row],[crop_value]]</f>
        <v>117700</v>
      </c>
      <c r="CG228" t="str">
        <f t="shared" si="3"/>
        <v>update valuation set market_land =117700, market_bldg=0, market_total =117700, market_mdno =401, market_date ='9/10/2023' where link_id = (select link_id from parcel where parcel_year = '2024' and parcel_id = '23091442005');</v>
      </c>
    </row>
    <row r="229" spans="1:85" x14ac:dyDescent="0.25">
      <c r="A229">
        <v>23091442411</v>
      </c>
      <c r="B229">
        <v>0.19</v>
      </c>
      <c r="C229">
        <v>8086</v>
      </c>
      <c r="D229" t="s">
        <v>129</v>
      </c>
      <c r="E229" t="s">
        <v>53</v>
      </c>
      <c r="F229" t="s">
        <v>53</v>
      </c>
      <c r="G229">
        <v>4</v>
      </c>
      <c r="H229" t="s">
        <v>54</v>
      </c>
      <c r="I229">
        <v>235800</v>
      </c>
      <c r="J229">
        <v>43300</v>
      </c>
      <c r="K229">
        <v>0.19</v>
      </c>
      <c r="L22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9">
        <v>0</v>
      </c>
      <c r="N229">
        <v>0</v>
      </c>
      <c r="O229">
        <v>0</v>
      </c>
      <c r="P229">
        <v>13398.7528</v>
      </c>
      <c r="Q229">
        <v>63903</v>
      </c>
      <c r="R229">
        <f>(Grandview_Inventory[[#This Row],[ln_acres]]*Grandview_Inventory[[#This Row],[coeff]])+Grandview_Inventory[[#This Row],[const]]</f>
        <v>41651.273092551026</v>
      </c>
      <c r="S229" t="s">
        <v>61</v>
      </c>
      <c r="T229">
        <v>1</v>
      </c>
      <c r="U229" t="s">
        <v>65</v>
      </c>
      <c r="V229" t="s">
        <v>67</v>
      </c>
      <c r="W229">
        <v>0</v>
      </c>
      <c r="X229">
        <v>0</v>
      </c>
      <c r="Y229">
        <v>17</v>
      </c>
      <c r="Z229">
        <v>17</v>
      </c>
      <c r="AA229">
        <v>20</v>
      </c>
      <c r="AB229">
        <v>2000</v>
      </c>
      <c r="AC229">
        <v>1590</v>
      </c>
      <c r="AD229">
        <v>1590</v>
      </c>
      <c r="AE229">
        <v>0</v>
      </c>
      <c r="AF229">
        <v>0</v>
      </c>
      <c r="AG229">
        <v>0</v>
      </c>
      <c r="AH229">
        <v>0</v>
      </c>
      <c r="AI229">
        <v>400</v>
      </c>
      <c r="AJ229">
        <v>0</v>
      </c>
      <c r="AK229">
        <v>0</v>
      </c>
      <c r="AL229">
        <v>0</v>
      </c>
      <c r="AM229">
        <v>180</v>
      </c>
      <c r="AN229">
        <v>108</v>
      </c>
      <c r="AO229">
        <v>0</v>
      </c>
      <c r="AP229">
        <v>8</v>
      </c>
      <c r="AQ229">
        <v>0</v>
      </c>
      <c r="AR229">
        <v>0</v>
      </c>
      <c r="AS229" t="s">
        <v>58</v>
      </c>
      <c r="AT229">
        <v>1</v>
      </c>
      <c r="AU229" t="s">
        <v>59</v>
      </c>
      <c r="AV229" t="s">
        <v>60</v>
      </c>
      <c r="AW229">
        <v>1</v>
      </c>
      <c r="AX229">
        <v>3</v>
      </c>
      <c r="AY229">
        <v>0</v>
      </c>
      <c r="AZ229">
        <v>0</v>
      </c>
      <c r="BA229">
        <v>100</v>
      </c>
      <c r="BB229">
        <v>100</v>
      </c>
      <c r="BC229">
        <v>100</v>
      </c>
      <c r="BD229">
        <v>100</v>
      </c>
      <c r="BE229">
        <v>1</v>
      </c>
      <c r="BF229">
        <v>15000</v>
      </c>
      <c r="BG229">
        <v>1000</v>
      </c>
      <c r="BH229" s="6">
        <f>Grandview_Inventory[[#This Row],[land_extract]]*Lookups!$B$3</f>
        <v>48369.510983942157</v>
      </c>
      <c r="BI229" s="6">
        <f>IF(Grandview_Inventory[[#This Row],[bldg_style]]="",0,Lookups!$B$2)</f>
        <v>155833.95000000001</v>
      </c>
      <c r="BJ229" s="6">
        <f>_xlfn.IFNA(VLOOKUP(Grandview_Inventory[[#This Row],[quality]],Lookups!$H$2:$J$14,3,FALSE),0)</f>
        <v>2251</v>
      </c>
      <c r="BK229" s="6">
        <f>_xlfn.IFNA(VLOOKUP(Grandview_Inventory[[#This Row],[condition]],Lookups!$H$17:$J$24,3,FALSE),0)</f>
        <v>22342</v>
      </c>
      <c r="BL229" s="6">
        <f>Grandview_Inventory[[#This Row],[Eff_Age]]*Lookups!$B$14</f>
        <v>-4065.8321999999998</v>
      </c>
      <c r="BM229" s="6">
        <f>Grandview_Inventory[[#This Row],[living_area]]*Lookups!$B$15</f>
        <v>99185.556270000001</v>
      </c>
      <c r="BN229" s="6">
        <f>Grandview_Inventory[[#This Row],[Fin BSMT]]*Lookups!$B$16</f>
        <v>0</v>
      </c>
      <c r="BO229" s="6">
        <f>(Grandview_Inventory[[#This Row],[att_gar]]+Grandview_Inventory[[#This Row],[bltin_gar]])*Lookups!$B$17</f>
        <v>35008.174800000001</v>
      </c>
      <c r="BP229" s="6">
        <f>Grandview_Inventory[[#This Row],[Plumbing Fixtures]]*Lookups!$B$18</f>
        <v>16083.5344</v>
      </c>
      <c r="BQ229" s="6">
        <f>Grandview_Inventory[[#This Row],[detatched_value]]*Lookups!$B$19</f>
        <v>0</v>
      </c>
      <c r="BR229" s="6">
        <f>SUM(Grandview_Inventory[[#This Row],[Intercept]:[det_value]])*Grandview_Inventory[[#This Row],[res_pct]]</f>
        <v>326638.38326999999</v>
      </c>
      <c r="BS229" s="6">
        <f>Grandview_Inventory[[#This Row],[land_value]]</f>
        <v>48369.510983942157</v>
      </c>
      <c r="BT229" s="4">
        <f>_xlfn.IFNA(VLOOKUP(Grandview_Inventory[[#This Row],[quality]],Lookups!$A$26:$C$33,3,FALSE),1)</f>
        <v>0.98763855981004833</v>
      </c>
      <c r="BU229" s="4">
        <f>_xlfn.IFNA(VLOOKUP(Grandview_Inventory[[#This Row],[condition]],Lookups!$A$37:$C$44,3,FALSE),1)</f>
        <v>0.97383723671140243</v>
      </c>
      <c r="BV229" s="4">
        <f>IF(Grandview_Inventory[[#This Row],[bldg_style]]="",1,_xlfn.IFNA(VLOOKUP(Grandview_Inventory[[#This Row],[decade]],Lookups!$F$29:$H$43,3,FALSE),1))</f>
        <v>0.96737494181490646</v>
      </c>
      <c r="BW229" s="4">
        <f>_xlfn.IFNA(VLOOKUP(Grandview_Inventory[[#This Row],[living_area_range]],Lookups!$F$47:$H$56,3,FALSE),1)</f>
        <v>0.96120133463014379</v>
      </c>
      <c r="BX229" s="4">
        <f>AVERAGE(Grandview_Inventory[[#This Row],[qual_adj]:[size_adj]])</f>
        <v>0.97251301824162528</v>
      </c>
      <c r="BY229" s="6">
        <f>IF(Grandview_Inventory[[#This Row],[pre_res]]&lt;0,0,Grandview_Inventory[[#This Row],[pre_res]]*Grandview_Inventory[[#This Row],[overall_adj]])</f>
        <v>317660.07998747251</v>
      </c>
      <c r="BZ229" s="6">
        <f>(Grandview_Inventory[[#This Row],[sum_land]]-IF(Grandview_Inventory[[#This Row],[no_utilities]]=1,12000,0))/IF(Grandview_Inventory[[#This Row],[unbuildable]]=1,2,1)</f>
        <v>48369.510983942157</v>
      </c>
      <c r="CA22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9">
        <f>ROUND(Grandview_Inventory[[#This Row],[det_value]]*Lookups!$M$28,-2)</f>
        <v>0</v>
      </c>
      <c r="CC229">
        <f>IF(ROUND(Grandview_Inventory[[#This Row],[adj_res]]*Lookups!$M$28,-2)&lt;Grandview_Inventory[[#This Row],[min_res]],Grandview_Inventory[[#This Row],[min_res]],ROUND(Grandview_Inventory[[#This Row],[adj_res]]*Lookups!$M$28,-2))</f>
        <v>301800</v>
      </c>
      <c r="CD229">
        <f>Grandview_Inventory[[#This Row],[final_det]]+Grandview_Inventory[[#This Row],[final_res]]</f>
        <v>301800</v>
      </c>
      <c r="CE229">
        <f>Grandview_Inventory[[#This Row],[final_land]]+Grandview_Inventory[[#This Row],[final_imp]]+Grandview_Inventory[[#This Row],[crop_value]]</f>
        <v>347800</v>
      </c>
      <c r="CG229" t="str">
        <f t="shared" si="3"/>
        <v>update valuation set market_land =46000, market_bldg=301800, market_total =347800, market_mdno =401, market_date ='9/10/2023' where link_id = (select link_id from parcel where parcel_year = '2024' and parcel_id = '23091442411');</v>
      </c>
    </row>
    <row r="230" spans="1:85" x14ac:dyDescent="0.25">
      <c r="A230">
        <v>23091442412</v>
      </c>
      <c r="B230">
        <v>0.16</v>
      </c>
      <c r="C230">
        <v>7005</v>
      </c>
      <c r="D230" t="s">
        <v>129</v>
      </c>
      <c r="E230" t="s">
        <v>53</v>
      </c>
      <c r="F230" t="s">
        <v>53</v>
      </c>
      <c r="G230">
        <v>4</v>
      </c>
      <c r="H230" t="s">
        <v>54</v>
      </c>
      <c r="I230">
        <v>218700</v>
      </c>
      <c r="J230">
        <v>38600</v>
      </c>
      <c r="K230">
        <v>0.16</v>
      </c>
      <c r="L23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30">
        <v>0</v>
      </c>
      <c r="N230">
        <v>0</v>
      </c>
      <c r="O230">
        <v>0</v>
      </c>
      <c r="P230">
        <v>13398.7528</v>
      </c>
      <c r="Q230">
        <v>63903</v>
      </c>
      <c r="R230">
        <f>(Grandview_Inventory[[#This Row],[ln_acres]]*Grandview_Inventory[[#This Row],[coeff]])+Grandview_Inventory[[#This Row],[const]]</f>
        <v>39348.693981374228</v>
      </c>
      <c r="S230" t="s">
        <v>61</v>
      </c>
      <c r="T230">
        <v>1</v>
      </c>
      <c r="U230" t="s">
        <v>65</v>
      </c>
      <c r="V230" t="s">
        <v>66</v>
      </c>
      <c r="W230">
        <v>0</v>
      </c>
      <c r="X230">
        <v>0</v>
      </c>
      <c r="Y230">
        <v>16</v>
      </c>
      <c r="Z230">
        <v>16</v>
      </c>
      <c r="AA230">
        <v>20</v>
      </c>
      <c r="AB230">
        <v>1500</v>
      </c>
      <c r="AC230">
        <v>1225</v>
      </c>
      <c r="AD230">
        <v>1225</v>
      </c>
      <c r="AE230">
        <v>0</v>
      </c>
      <c r="AF230">
        <v>0</v>
      </c>
      <c r="AG230">
        <v>0</v>
      </c>
      <c r="AH230">
        <v>0</v>
      </c>
      <c r="AI230">
        <v>400</v>
      </c>
      <c r="AJ230">
        <v>0</v>
      </c>
      <c r="AK230">
        <v>0</v>
      </c>
      <c r="AL230">
        <v>0</v>
      </c>
      <c r="AM230">
        <v>162</v>
      </c>
      <c r="AN230">
        <v>24</v>
      </c>
      <c r="AO230">
        <v>0</v>
      </c>
      <c r="AP230">
        <v>8</v>
      </c>
      <c r="AQ230">
        <v>0</v>
      </c>
      <c r="AR230">
        <v>0</v>
      </c>
      <c r="AS230" t="s">
        <v>58</v>
      </c>
      <c r="AT230">
        <v>1</v>
      </c>
      <c r="AU230" t="s">
        <v>59</v>
      </c>
      <c r="AV230" t="s">
        <v>60</v>
      </c>
      <c r="AW230">
        <v>1</v>
      </c>
      <c r="AX230">
        <v>3</v>
      </c>
      <c r="AY230">
        <v>0</v>
      </c>
      <c r="AZ230">
        <v>0</v>
      </c>
      <c r="BA230">
        <v>100</v>
      </c>
      <c r="BB230">
        <v>100</v>
      </c>
      <c r="BC230">
        <v>100</v>
      </c>
      <c r="BD230">
        <v>100</v>
      </c>
      <c r="BE230">
        <v>1</v>
      </c>
      <c r="BF230">
        <v>15000</v>
      </c>
      <c r="BG230">
        <v>1000</v>
      </c>
      <c r="BH230" s="6">
        <f>Grandview_Inventory[[#This Row],[land_extract]]*Lookups!$B$3</f>
        <v>45695.532079096141</v>
      </c>
      <c r="BI230" s="6">
        <f>IF(Grandview_Inventory[[#This Row],[bldg_style]]="",0,Lookups!$B$2)</f>
        <v>155833.95000000001</v>
      </c>
      <c r="BJ230" s="6">
        <f>_xlfn.IFNA(VLOOKUP(Grandview_Inventory[[#This Row],[quality]],Lookups!$H$2:$J$14,3,FALSE),0)</f>
        <v>2251</v>
      </c>
      <c r="BK230" s="6">
        <f>_xlfn.IFNA(VLOOKUP(Grandview_Inventory[[#This Row],[condition]],Lookups!$H$17:$J$24,3,FALSE),0)</f>
        <v>25818</v>
      </c>
      <c r="BL230" s="6">
        <f>Grandview_Inventory[[#This Row],[Eff_Age]]*Lookups!$B$14</f>
        <v>-3826.6655999999998</v>
      </c>
      <c r="BM230" s="6">
        <f>Grandview_Inventory[[#This Row],[living_area]]*Lookups!$B$15</f>
        <v>76416.544925000009</v>
      </c>
      <c r="BN230" s="6">
        <f>Grandview_Inventory[[#This Row],[Fin BSMT]]*Lookups!$B$16</f>
        <v>0</v>
      </c>
      <c r="BO230" s="6">
        <f>(Grandview_Inventory[[#This Row],[att_gar]]+Grandview_Inventory[[#This Row],[bltin_gar]])*Lookups!$B$17</f>
        <v>35008.174800000001</v>
      </c>
      <c r="BP230" s="6">
        <f>Grandview_Inventory[[#This Row],[Plumbing Fixtures]]*Lookups!$B$18</f>
        <v>16083.5344</v>
      </c>
      <c r="BQ230" s="6">
        <f>Grandview_Inventory[[#This Row],[detatched_value]]*Lookups!$B$19</f>
        <v>0</v>
      </c>
      <c r="BR230" s="6">
        <f>SUM(Grandview_Inventory[[#This Row],[Intercept]:[det_value]])*Grandview_Inventory[[#This Row],[res_pct]]</f>
        <v>307584.53852499998</v>
      </c>
      <c r="BS230" s="6">
        <f>Grandview_Inventory[[#This Row],[land_value]]</f>
        <v>45695.532079096141</v>
      </c>
      <c r="BT230" s="4">
        <f>_xlfn.IFNA(VLOOKUP(Grandview_Inventory[[#This Row],[quality]],Lookups!$A$26:$C$33,3,FALSE),1)</f>
        <v>0.98763855981004833</v>
      </c>
      <c r="BU230" s="4">
        <f>_xlfn.IFNA(VLOOKUP(Grandview_Inventory[[#This Row],[condition]],Lookups!$A$37:$C$44,3,FALSE),1)</f>
        <v>0.96661476234146892</v>
      </c>
      <c r="BV230" s="4">
        <f>IF(Grandview_Inventory[[#This Row],[bldg_style]]="",1,_xlfn.IFNA(VLOOKUP(Grandview_Inventory[[#This Row],[decade]],Lookups!$F$29:$H$43,3,FALSE),1))</f>
        <v>0.96737494181490646</v>
      </c>
      <c r="BW230" s="4">
        <f>_xlfn.IFNA(VLOOKUP(Grandview_Inventory[[#This Row],[living_area_range]],Lookups!$F$47:$H$56,3,FALSE),1)</f>
        <v>0.96135087979789358</v>
      </c>
      <c r="BX230" s="4">
        <f>AVERAGE(Grandview_Inventory[[#This Row],[qual_adj]:[size_adj]])</f>
        <v>0.97074478594107938</v>
      </c>
      <c r="BY230" s="6">
        <f>IF(Grandview_Inventory[[#This Row],[pre_res]]&lt;0,0,Grandview_Inventory[[#This Row],[pre_res]]*Grandview_Inventory[[#This Row],[overall_adj]])</f>
        <v>298586.0870092368</v>
      </c>
      <c r="BZ230" s="6">
        <f>(Grandview_Inventory[[#This Row],[sum_land]]-IF(Grandview_Inventory[[#This Row],[no_utilities]]=1,12000,0))/IF(Grandview_Inventory[[#This Row],[unbuildable]]=1,2,1)</f>
        <v>45695.532079096141</v>
      </c>
      <c r="CA23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30">
        <f>ROUND(Grandview_Inventory[[#This Row],[det_value]]*Lookups!$M$28,-2)</f>
        <v>0</v>
      </c>
      <c r="CC230">
        <f>IF(ROUND(Grandview_Inventory[[#This Row],[adj_res]]*Lookups!$M$28,-2)&lt;Grandview_Inventory[[#This Row],[min_res]],Grandview_Inventory[[#This Row],[min_res]],ROUND(Grandview_Inventory[[#This Row],[adj_res]]*Lookups!$M$28,-2))</f>
        <v>283700</v>
      </c>
      <c r="CD230">
        <f>Grandview_Inventory[[#This Row],[final_det]]+Grandview_Inventory[[#This Row],[final_res]]</f>
        <v>283700</v>
      </c>
      <c r="CE230">
        <f>Grandview_Inventory[[#This Row],[final_land]]+Grandview_Inventory[[#This Row],[final_imp]]+Grandview_Inventory[[#This Row],[crop_value]]</f>
        <v>327100</v>
      </c>
      <c r="CG230" t="str">
        <f t="shared" si="3"/>
        <v>update valuation set market_land =43400, market_bldg=283700, market_total =327100, market_mdno =401, market_date ='9/10/2023' where link_id = (select link_id from parcel where parcel_year = '2024' and parcel_id = '23091442412');</v>
      </c>
    </row>
    <row r="231" spans="1:85" x14ac:dyDescent="0.25">
      <c r="A231">
        <v>23091442413</v>
      </c>
      <c r="B231">
        <v>0.16</v>
      </c>
      <c r="C231">
        <v>7005</v>
      </c>
      <c r="D231" t="s">
        <v>129</v>
      </c>
      <c r="E231" t="s">
        <v>53</v>
      </c>
      <c r="F231" t="s">
        <v>53</v>
      </c>
      <c r="G231">
        <v>4</v>
      </c>
      <c r="H231" t="s">
        <v>54</v>
      </c>
      <c r="I231">
        <v>220400</v>
      </c>
      <c r="J231">
        <v>38600</v>
      </c>
      <c r="K231">
        <v>0.16</v>
      </c>
      <c r="L23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31">
        <v>0</v>
      </c>
      <c r="N231">
        <v>0</v>
      </c>
      <c r="O231">
        <v>0</v>
      </c>
      <c r="P231">
        <v>13398.7528</v>
      </c>
      <c r="Q231">
        <v>63903</v>
      </c>
      <c r="R231">
        <f>(Grandview_Inventory[[#This Row],[ln_acres]]*Grandview_Inventory[[#This Row],[coeff]])+Grandview_Inventory[[#This Row],[const]]</f>
        <v>39348.693981374228</v>
      </c>
      <c r="S231" t="s">
        <v>61</v>
      </c>
      <c r="T231">
        <v>1</v>
      </c>
      <c r="U231" t="s">
        <v>65</v>
      </c>
      <c r="V231" t="s">
        <v>66</v>
      </c>
      <c r="W231">
        <v>0</v>
      </c>
      <c r="X231">
        <v>0</v>
      </c>
      <c r="Y231">
        <v>17</v>
      </c>
      <c r="Z231">
        <v>17</v>
      </c>
      <c r="AA231">
        <v>20</v>
      </c>
      <c r="AB231">
        <v>1500</v>
      </c>
      <c r="AC231">
        <v>1205</v>
      </c>
      <c r="AD231">
        <v>1205</v>
      </c>
      <c r="AE231">
        <v>0</v>
      </c>
      <c r="AF231">
        <v>0</v>
      </c>
      <c r="AG231">
        <v>0</v>
      </c>
      <c r="AH231">
        <v>0</v>
      </c>
      <c r="AI231">
        <v>420</v>
      </c>
      <c r="AJ231">
        <v>0</v>
      </c>
      <c r="AK231">
        <v>0</v>
      </c>
      <c r="AL231">
        <v>0</v>
      </c>
      <c r="AM231">
        <v>0</v>
      </c>
      <c r="AN231">
        <v>36</v>
      </c>
      <c r="AO231">
        <v>0</v>
      </c>
      <c r="AP231">
        <v>9</v>
      </c>
      <c r="AQ231">
        <v>0</v>
      </c>
      <c r="AR231">
        <v>0</v>
      </c>
      <c r="AS231" t="s">
        <v>58</v>
      </c>
      <c r="AT231">
        <v>1</v>
      </c>
      <c r="AU231" t="s">
        <v>59</v>
      </c>
      <c r="AV231" t="s">
        <v>60</v>
      </c>
      <c r="AW231">
        <v>1</v>
      </c>
      <c r="AX231">
        <v>3</v>
      </c>
      <c r="AY231">
        <v>0</v>
      </c>
      <c r="AZ231">
        <v>0</v>
      </c>
      <c r="BA231">
        <v>100</v>
      </c>
      <c r="BB231">
        <v>100</v>
      </c>
      <c r="BC231">
        <v>100</v>
      </c>
      <c r="BD231">
        <v>100</v>
      </c>
      <c r="BE231">
        <v>1</v>
      </c>
      <c r="BF231">
        <v>15000</v>
      </c>
      <c r="BG231">
        <v>1000</v>
      </c>
      <c r="BH231" s="6">
        <f>Grandview_Inventory[[#This Row],[land_extract]]*Lookups!$B$3</f>
        <v>45695.532079096141</v>
      </c>
      <c r="BI231" s="6">
        <f>IF(Grandview_Inventory[[#This Row],[bldg_style]]="",0,Lookups!$B$2)</f>
        <v>155833.95000000001</v>
      </c>
      <c r="BJ231" s="6">
        <f>_xlfn.IFNA(VLOOKUP(Grandview_Inventory[[#This Row],[quality]],Lookups!$H$2:$J$14,3,FALSE),0)</f>
        <v>2251</v>
      </c>
      <c r="BK231" s="6">
        <f>_xlfn.IFNA(VLOOKUP(Grandview_Inventory[[#This Row],[condition]],Lookups!$H$17:$J$24,3,FALSE),0)</f>
        <v>25818</v>
      </c>
      <c r="BL231" s="6">
        <f>Grandview_Inventory[[#This Row],[Eff_Age]]*Lookups!$B$14</f>
        <v>-4065.8321999999998</v>
      </c>
      <c r="BM231" s="6">
        <f>Grandview_Inventory[[#This Row],[living_area]]*Lookups!$B$15</f>
        <v>75168.927865000005</v>
      </c>
      <c r="BN231" s="6">
        <f>Grandview_Inventory[[#This Row],[Fin BSMT]]*Lookups!$B$16</f>
        <v>0</v>
      </c>
      <c r="BO231" s="6">
        <f>(Grandview_Inventory[[#This Row],[att_gar]]+Grandview_Inventory[[#This Row],[bltin_gar]])*Lookups!$B$17</f>
        <v>36758.58354</v>
      </c>
      <c r="BP231" s="6">
        <f>Grandview_Inventory[[#This Row],[Plumbing Fixtures]]*Lookups!$B$18</f>
        <v>18093.976200000001</v>
      </c>
      <c r="BQ231" s="6">
        <f>Grandview_Inventory[[#This Row],[detatched_value]]*Lookups!$B$19</f>
        <v>0</v>
      </c>
      <c r="BR231" s="6">
        <f>SUM(Grandview_Inventory[[#This Row],[Intercept]:[det_value]])*Grandview_Inventory[[#This Row],[res_pct]]</f>
        <v>309858.60540499998</v>
      </c>
      <c r="BS231" s="6">
        <f>Grandview_Inventory[[#This Row],[land_value]]</f>
        <v>45695.532079096141</v>
      </c>
      <c r="BT231" s="4">
        <f>_xlfn.IFNA(VLOOKUP(Grandview_Inventory[[#This Row],[quality]],Lookups!$A$26:$C$33,3,FALSE),1)</f>
        <v>0.98763855981004833</v>
      </c>
      <c r="BU231" s="4">
        <f>_xlfn.IFNA(VLOOKUP(Grandview_Inventory[[#This Row],[condition]],Lookups!$A$37:$C$44,3,FALSE),1)</f>
        <v>0.96661476234146892</v>
      </c>
      <c r="BV231" s="4">
        <f>IF(Grandview_Inventory[[#This Row],[bldg_style]]="",1,_xlfn.IFNA(VLOOKUP(Grandview_Inventory[[#This Row],[decade]],Lookups!$F$29:$H$43,3,FALSE),1))</f>
        <v>0.96737494181490646</v>
      </c>
      <c r="BW231" s="4">
        <f>_xlfn.IFNA(VLOOKUP(Grandview_Inventory[[#This Row],[living_area_range]],Lookups!$F$47:$H$56,3,FALSE),1)</f>
        <v>0.96135087979789358</v>
      </c>
      <c r="BX231" s="4">
        <f>AVERAGE(Grandview_Inventory[[#This Row],[qual_adj]:[size_adj]])</f>
        <v>0.97074478594107938</v>
      </c>
      <c r="BY231" s="6">
        <f>IF(Grandview_Inventory[[#This Row],[pre_res]]&lt;0,0,Grandview_Inventory[[#This Row],[pre_res]]*Grandview_Inventory[[#This Row],[overall_adj]])</f>
        <v>300793.62557587808</v>
      </c>
      <c r="BZ231" s="6">
        <f>(Grandview_Inventory[[#This Row],[sum_land]]-IF(Grandview_Inventory[[#This Row],[no_utilities]]=1,12000,0))/IF(Grandview_Inventory[[#This Row],[unbuildable]]=1,2,1)</f>
        <v>45695.532079096141</v>
      </c>
      <c r="CA23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31">
        <f>ROUND(Grandview_Inventory[[#This Row],[det_value]]*Lookups!$M$28,-2)</f>
        <v>0</v>
      </c>
      <c r="CC231">
        <f>IF(ROUND(Grandview_Inventory[[#This Row],[adj_res]]*Lookups!$M$28,-2)&lt;Grandview_Inventory[[#This Row],[min_res]],Grandview_Inventory[[#This Row],[min_res]],ROUND(Grandview_Inventory[[#This Row],[adj_res]]*Lookups!$M$28,-2))</f>
        <v>285800</v>
      </c>
      <c r="CD231">
        <f>Grandview_Inventory[[#This Row],[final_det]]+Grandview_Inventory[[#This Row],[final_res]]</f>
        <v>285800</v>
      </c>
      <c r="CE231">
        <f>Grandview_Inventory[[#This Row],[final_land]]+Grandview_Inventory[[#This Row],[final_imp]]+Grandview_Inventory[[#This Row],[crop_value]]</f>
        <v>329200</v>
      </c>
      <c r="CG231" t="str">
        <f t="shared" si="3"/>
        <v>update valuation set market_land =43400, market_bldg=285800, market_total =329200, market_mdno =401, market_date ='9/10/2023' where link_id = (select link_id from parcel where parcel_year = '2024' and parcel_id = '23091442413');</v>
      </c>
    </row>
    <row r="232" spans="1:85" x14ac:dyDescent="0.25">
      <c r="A232">
        <v>23091442414</v>
      </c>
      <c r="B232">
        <v>0.16</v>
      </c>
      <c r="C232">
        <v>7000</v>
      </c>
      <c r="D232" t="s">
        <v>129</v>
      </c>
      <c r="E232" t="s">
        <v>53</v>
      </c>
      <c r="F232" t="s">
        <v>53</v>
      </c>
      <c r="G232">
        <v>4</v>
      </c>
      <c r="H232" t="s">
        <v>54</v>
      </c>
      <c r="I232">
        <v>203800</v>
      </c>
      <c r="J232">
        <v>38600</v>
      </c>
      <c r="K232">
        <v>0.16</v>
      </c>
      <c r="L23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32">
        <v>0</v>
      </c>
      <c r="N232">
        <v>0</v>
      </c>
      <c r="O232">
        <v>0</v>
      </c>
      <c r="P232">
        <v>13398.7528</v>
      </c>
      <c r="Q232">
        <v>63903</v>
      </c>
      <c r="R232">
        <f>(Grandview_Inventory[[#This Row],[ln_acres]]*Grandview_Inventory[[#This Row],[coeff]])+Grandview_Inventory[[#This Row],[const]]</f>
        <v>39348.693981374228</v>
      </c>
      <c r="S232" t="s">
        <v>61</v>
      </c>
      <c r="T232">
        <v>1</v>
      </c>
      <c r="U232" t="s">
        <v>65</v>
      </c>
      <c r="V232" t="s">
        <v>66</v>
      </c>
      <c r="W232">
        <v>0</v>
      </c>
      <c r="X232">
        <v>0</v>
      </c>
      <c r="Y232">
        <v>17</v>
      </c>
      <c r="Z232">
        <v>17</v>
      </c>
      <c r="AA232">
        <v>20</v>
      </c>
      <c r="AB232">
        <v>1500</v>
      </c>
      <c r="AC232">
        <v>1088</v>
      </c>
      <c r="AD232">
        <v>1088</v>
      </c>
      <c r="AE232">
        <v>0</v>
      </c>
      <c r="AF232">
        <v>0</v>
      </c>
      <c r="AG232">
        <v>0</v>
      </c>
      <c r="AH232">
        <v>0</v>
      </c>
      <c r="AI232">
        <v>280</v>
      </c>
      <c r="AJ232">
        <v>0</v>
      </c>
      <c r="AK232">
        <v>0</v>
      </c>
      <c r="AL232">
        <v>0</v>
      </c>
      <c r="AM232">
        <v>0</v>
      </c>
      <c r="AN232">
        <v>95</v>
      </c>
      <c r="AO232">
        <v>0</v>
      </c>
      <c r="AP232">
        <v>8</v>
      </c>
      <c r="AQ232">
        <v>0</v>
      </c>
      <c r="AR232">
        <v>0</v>
      </c>
      <c r="AS232" t="s">
        <v>58</v>
      </c>
      <c r="AT232">
        <v>1</v>
      </c>
      <c r="AU232" t="s">
        <v>59</v>
      </c>
      <c r="AV232" t="s">
        <v>60</v>
      </c>
      <c r="AW232">
        <v>1</v>
      </c>
      <c r="AX232">
        <v>3</v>
      </c>
      <c r="AY232">
        <v>0</v>
      </c>
      <c r="AZ232">
        <v>0</v>
      </c>
      <c r="BA232">
        <v>100</v>
      </c>
      <c r="BB232">
        <v>100</v>
      </c>
      <c r="BC232">
        <v>100</v>
      </c>
      <c r="BD232">
        <v>100</v>
      </c>
      <c r="BE232">
        <v>1</v>
      </c>
      <c r="BF232">
        <v>15000</v>
      </c>
      <c r="BG232">
        <v>1000</v>
      </c>
      <c r="BH232" s="6">
        <f>Grandview_Inventory[[#This Row],[land_extract]]*Lookups!$B$3</f>
        <v>45695.532079096141</v>
      </c>
      <c r="BI232" s="6">
        <f>IF(Grandview_Inventory[[#This Row],[bldg_style]]="",0,Lookups!$B$2)</f>
        <v>155833.95000000001</v>
      </c>
      <c r="BJ232" s="6">
        <f>_xlfn.IFNA(VLOOKUP(Grandview_Inventory[[#This Row],[quality]],Lookups!$H$2:$J$14,3,FALSE),0)</f>
        <v>2251</v>
      </c>
      <c r="BK232" s="6">
        <f>_xlfn.IFNA(VLOOKUP(Grandview_Inventory[[#This Row],[condition]],Lookups!$H$17:$J$24,3,FALSE),0)</f>
        <v>25818</v>
      </c>
      <c r="BL232" s="6">
        <f>Grandview_Inventory[[#This Row],[Eff_Age]]*Lookups!$B$14</f>
        <v>-4065.8321999999998</v>
      </c>
      <c r="BM232" s="6">
        <f>Grandview_Inventory[[#This Row],[living_area]]*Lookups!$B$15</f>
        <v>67870.368064000009</v>
      </c>
      <c r="BN232" s="6">
        <f>Grandview_Inventory[[#This Row],[Fin BSMT]]*Lookups!$B$16</f>
        <v>0</v>
      </c>
      <c r="BO232" s="6">
        <f>(Grandview_Inventory[[#This Row],[att_gar]]+Grandview_Inventory[[#This Row],[bltin_gar]])*Lookups!$B$17</f>
        <v>24505.72236</v>
      </c>
      <c r="BP232" s="6">
        <f>Grandview_Inventory[[#This Row],[Plumbing Fixtures]]*Lookups!$B$18</f>
        <v>16083.5344</v>
      </c>
      <c r="BQ232" s="6">
        <f>Grandview_Inventory[[#This Row],[detatched_value]]*Lookups!$B$19</f>
        <v>0</v>
      </c>
      <c r="BR232" s="6">
        <f>SUM(Grandview_Inventory[[#This Row],[Intercept]:[det_value]])*Grandview_Inventory[[#This Row],[res_pct]]</f>
        <v>288296.74262400001</v>
      </c>
      <c r="BS232" s="6">
        <f>Grandview_Inventory[[#This Row],[land_value]]</f>
        <v>45695.532079096141</v>
      </c>
      <c r="BT232" s="4">
        <f>_xlfn.IFNA(VLOOKUP(Grandview_Inventory[[#This Row],[quality]],Lookups!$A$26:$C$33,3,FALSE),1)</f>
        <v>0.98763855981004833</v>
      </c>
      <c r="BU232" s="4">
        <f>_xlfn.IFNA(VLOOKUP(Grandview_Inventory[[#This Row],[condition]],Lookups!$A$37:$C$44,3,FALSE),1)</f>
        <v>0.96661476234146892</v>
      </c>
      <c r="BV232" s="4">
        <f>IF(Grandview_Inventory[[#This Row],[bldg_style]]="",1,_xlfn.IFNA(VLOOKUP(Grandview_Inventory[[#This Row],[decade]],Lookups!$F$29:$H$43,3,FALSE),1))</f>
        <v>0.96737494181490646</v>
      </c>
      <c r="BW232" s="4">
        <f>_xlfn.IFNA(VLOOKUP(Grandview_Inventory[[#This Row],[living_area_range]],Lookups!$F$47:$H$56,3,FALSE),1)</f>
        <v>0.96135087979789358</v>
      </c>
      <c r="BX232" s="4">
        <f>AVERAGE(Grandview_Inventory[[#This Row],[qual_adj]:[size_adj]])</f>
        <v>0.97074478594107938</v>
      </c>
      <c r="BY232" s="6">
        <f>IF(Grandview_Inventory[[#This Row],[pre_res]]&lt;0,0,Grandview_Inventory[[#This Row],[pre_res]]*Grandview_Inventory[[#This Row],[overall_adj]])</f>
        <v>279862.55970604531</v>
      </c>
      <c r="BZ232" s="6">
        <f>(Grandview_Inventory[[#This Row],[sum_land]]-IF(Grandview_Inventory[[#This Row],[no_utilities]]=1,12000,0))/IF(Grandview_Inventory[[#This Row],[unbuildable]]=1,2,1)</f>
        <v>45695.532079096141</v>
      </c>
      <c r="CA23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32">
        <f>ROUND(Grandview_Inventory[[#This Row],[det_value]]*Lookups!$M$28,-2)</f>
        <v>0</v>
      </c>
      <c r="CC232">
        <f>IF(ROUND(Grandview_Inventory[[#This Row],[adj_res]]*Lookups!$M$28,-2)&lt;Grandview_Inventory[[#This Row],[min_res]],Grandview_Inventory[[#This Row],[min_res]],ROUND(Grandview_Inventory[[#This Row],[adj_res]]*Lookups!$M$28,-2))</f>
        <v>265900</v>
      </c>
      <c r="CD232">
        <f>Grandview_Inventory[[#This Row],[final_det]]+Grandview_Inventory[[#This Row],[final_res]]</f>
        <v>265900</v>
      </c>
      <c r="CE232">
        <f>Grandview_Inventory[[#This Row],[final_land]]+Grandview_Inventory[[#This Row],[final_imp]]+Grandview_Inventory[[#This Row],[crop_value]]</f>
        <v>309300</v>
      </c>
      <c r="CG232" t="str">
        <f t="shared" si="3"/>
        <v>update valuation set market_land =43400, market_bldg=265900, market_total =309300, market_mdno =401, market_date ='9/10/2023' where link_id = (select link_id from parcel where parcel_year = '2024' and parcel_id = '23091442414');</v>
      </c>
    </row>
    <row r="233" spans="1:85" x14ac:dyDescent="0.25">
      <c r="A233">
        <v>23091442415</v>
      </c>
      <c r="B233">
        <v>0.16</v>
      </c>
      <c r="C233">
        <v>7000</v>
      </c>
      <c r="D233" t="s">
        <v>129</v>
      </c>
      <c r="E233" t="s">
        <v>53</v>
      </c>
      <c r="F233" t="s">
        <v>53</v>
      </c>
      <c r="G233">
        <v>4</v>
      </c>
      <c r="H233" t="s">
        <v>54</v>
      </c>
      <c r="I233">
        <v>198800</v>
      </c>
      <c r="J233">
        <v>38600</v>
      </c>
      <c r="K233">
        <v>0.16</v>
      </c>
      <c r="L23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33">
        <v>0</v>
      </c>
      <c r="N233">
        <v>0</v>
      </c>
      <c r="O233">
        <v>0</v>
      </c>
      <c r="P233">
        <v>13398.7528</v>
      </c>
      <c r="Q233">
        <v>63903</v>
      </c>
      <c r="R233">
        <f>(Grandview_Inventory[[#This Row],[ln_acres]]*Grandview_Inventory[[#This Row],[coeff]])+Grandview_Inventory[[#This Row],[const]]</f>
        <v>39348.693981374228</v>
      </c>
      <c r="S233" t="s">
        <v>61</v>
      </c>
      <c r="T233">
        <v>1</v>
      </c>
      <c r="U233" t="s">
        <v>65</v>
      </c>
      <c r="V233" t="s">
        <v>67</v>
      </c>
      <c r="W233">
        <v>0</v>
      </c>
      <c r="X233">
        <v>0</v>
      </c>
      <c r="Y233">
        <v>17</v>
      </c>
      <c r="Z233">
        <v>17</v>
      </c>
      <c r="AA233">
        <v>20</v>
      </c>
      <c r="AB233">
        <v>1500</v>
      </c>
      <c r="AC233">
        <v>1388</v>
      </c>
      <c r="AD233">
        <v>1388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144</v>
      </c>
      <c r="AM233">
        <v>180</v>
      </c>
      <c r="AN233">
        <v>0</v>
      </c>
      <c r="AO233">
        <v>180</v>
      </c>
      <c r="AP233">
        <v>8</v>
      </c>
      <c r="AQ233">
        <v>0</v>
      </c>
      <c r="AR233">
        <v>0</v>
      </c>
      <c r="AS233" t="s">
        <v>58</v>
      </c>
      <c r="AT233">
        <v>1</v>
      </c>
      <c r="AU233" t="s">
        <v>59</v>
      </c>
      <c r="AV233" t="s">
        <v>60</v>
      </c>
      <c r="AW233">
        <v>1</v>
      </c>
      <c r="AX233">
        <v>3</v>
      </c>
      <c r="AY233">
        <v>0</v>
      </c>
      <c r="AZ233">
        <v>0</v>
      </c>
      <c r="BA233">
        <v>100</v>
      </c>
      <c r="BB233">
        <v>100</v>
      </c>
      <c r="BC233">
        <v>100</v>
      </c>
      <c r="BD233">
        <v>100</v>
      </c>
      <c r="BE233">
        <v>1</v>
      </c>
      <c r="BF233">
        <v>15000</v>
      </c>
      <c r="BG233">
        <v>1000</v>
      </c>
      <c r="BH233" s="6">
        <f>Grandview_Inventory[[#This Row],[land_extract]]*Lookups!$B$3</f>
        <v>45695.532079096141</v>
      </c>
      <c r="BI233" s="6">
        <f>IF(Grandview_Inventory[[#This Row],[bldg_style]]="",0,Lookups!$B$2)</f>
        <v>155833.95000000001</v>
      </c>
      <c r="BJ233" s="6">
        <f>_xlfn.IFNA(VLOOKUP(Grandview_Inventory[[#This Row],[quality]],Lookups!$H$2:$J$14,3,FALSE),0)</f>
        <v>2251</v>
      </c>
      <c r="BK233" s="6">
        <f>_xlfn.IFNA(VLOOKUP(Grandview_Inventory[[#This Row],[condition]],Lookups!$H$17:$J$24,3,FALSE),0)</f>
        <v>22342</v>
      </c>
      <c r="BL233" s="6">
        <f>Grandview_Inventory[[#This Row],[Eff_Age]]*Lookups!$B$14</f>
        <v>-4065.8321999999998</v>
      </c>
      <c r="BM233" s="6">
        <f>Grandview_Inventory[[#This Row],[living_area]]*Lookups!$B$15</f>
        <v>86584.623963999999</v>
      </c>
      <c r="BN233" s="6">
        <f>Grandview_Inventory[[#This Row],[Fin BSMT]]*Lookups!$B$16</f>
        <v>0</v>
      </c>
      <c r="BO233" s="6">
        <f>(Grandview_Inventory[[#This Row],[att_gar]]+Grandview_Inventory[[#This Row],[bltin_gar]])*Lookups!$B$17</f>
        <v>0</v>
      </c>
      <c r="BP233" s="6">
        <f>Grandview_Inventory[[#This Row],[Plumbing Fixtures]]*Lookups!$B$18</f>
        <v>16083.5344</v>
      </c>
      <c r="BQ233" s="6">
        <f>Grandview_Inventory[[#This Row],[detatched_value]]*Lookups!$B$19</f>
        <v>0</v>
      </c>
      <c r="BR233" s="6">
        <f>SUM(Grandview_Inventory[[#This Row],[Intercept]:[det_value]])*Grandview_Inventory[[#This Row],[res_pct]]</f>
        <v>279029.27616400004</v>
      </c>
      <c r="BS233" s="6">
        <f>Grandview_Inventory[[#This Row],[land_value]]</f>
        <v>45695.532079096141</v>
      </c>
      <c r="BT233" s="4">
        <f>_xlfn.IFNA(VLOOKUP(Grandview_Inventory[[#This Row],[quality]],Lookups!$A$26:$C$33,3,FALSE),1)</f>
        <v>0.98763855981004833</v>
      </c>
      <c r="BU233" s="4">
        <f>_xlfn.IFNA(VLOOKUP(Grandview_Inventory[[#This Row],[condition]],Lookups!$A$37:$C$44,3,FALSE),1)</f>
        <v>0.97383723671140243</v>
      </c>
      <c r="BV233" s="4">
        <f>IF(Grandview_Inventory[[#This Row],[bldg_style]]="",1,_xlfn.IFNA(VLOOKUP(Grandview_Inventory[[#This Row],[decade]],Lookups!$F$29:$H$43,3,FALSE),1))</f>
        <v>0.96737494181490646</v>
      </c>
      <c r="BW233" s="4">
        <f>_xlfn.IFNA(VLOOKUP(Grandview_Inventory[[#This Row],[living_area_range]],Lookups!$F$47:$H$56,3,FALSE),1)</f>
        <v>0.96135087979789358</v>
      </c>
      <c r="BX233" s="4">
        <f>AVERAGE(Grandview_Inventory[[#This Row],[qual_adj]:[size_adj]])</f>
        <v>0.97255040453356267</v>
      </c>
      <c r="BY233" s="6">
        <f>IF(Grandview_Inventory[[#This Row],[pre_res]]&lt;0,0,Grandview_Inventory[[#This Row],[pre_res]]*Grandview_Inventory[[#This Row],[overall_adj]])</f>
        <v>271370.03541000542</v>
      </c>
      <c r="BZ233" s="6">
        <f>(Grandview_Inventory[[#This Row],[sum_land]]-IF(Grandview_Inventory[[#This Row],[no_utilities]]=1,12000,0))/IF(Grandview_Inventory[[#This Row],[unbuildable]]=1,2,1)</f>
        <v>45695.532079096141</v>
      </c>
      <c r="CA23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33">
        <f>ROUND(Grandview_Inventory[[#This Row],[det_value]]*Lookups!$M$28,-2)</f>
        <v>0</v>
      </c>
      <c r="CC233">
        <f>IF(ROUND(Grandview_Inventory[[#This Row],[adj_res]]*Lookups!$M$28,-2)&lt;Grandview_Inventory[[#This Row],[min_res]],Grandview_Inventory[[#This Row],[min_res]],ROUND(Grandview_Inventory[[#This Row],[adj_res]]*Lookups!$M$28,-2))</f>
        <v>257800</v>
      </c>
      <c r="CD233">
        <f>Grandview_Inventory[[#This Row],[final_det]]+Grandview_Inventory[[#This Row],[final_res]]</f>
        <v>257800</v>
      </c>
      <c r="CE233">
        <f>Grandview_Inventory[[#This Row],[final_land]]+Grandview_Inventory[[#This Row],[final_imp]]+Grandview_Inventory[[#This Row],[crop_value]]</f>
        <v>301200</v>
      </c>
      <c r="CG233" t="str">
        <f t="shared" si="3"/>
        <v>update valuation set market_land =43400, market_bldg=257800, market_total =301200, market_mdno =401, market_date ='9/10/2023' where link_id = (select link_id from parcel where parcel_year = '2024' and parcel_id = '23091442415');</v>
      </c>
    </row>
    <row r="234" spans="1:85" x14ac:dyDescent="0.25">
      <c r="A234">
        <v>23091442416</v>
      </c>
      <c r="B234">
        <v>0.16</v>
      </c>
      <c r="C234">
        <v>7000</v>
      </c>
      <c r="D234" t="s">
        <v>129</v>
      </c>
      <c r="E234" t="s">
        <v>53</v>
      </c>
      <c r="F234" t="s">
        <v>53</v>
      </c>
      <c r="G234">
        <v>4</v>
      </c>
      <c r="H234" t="s">
        <v>54</v>
      </c>
      <c r="I234">
        <v>203800</v>
      </c>
      <c r="J234">
        <v>38600</v>
      </c>
      <c r="K234">
        <v>0.16</v>
      </c>
      <c r="L23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34">
        <v>0</v>
      </c>
      <c r="N234">
        <v>0</v>
      </c>
      <c r="O234">
        <v>0</v>
      </c>
      <c r="P234">
        <v>13398.7528</v>
      </c>
      <c r="Q234">
        <v>63903</v>
      </c>
      <c r="R234">
        <f>(Grandview_Inventory[[#This Row],[ln_acres]]*Grandview_Inventory[[#This Row],[coeff]])+Grandview_Inventory[[#This Row],[const]]</f>
        <v>39348.693981374228</v>
      </c>
      <c r="S234" t="s">
        <v>61</v>
      </c>
      <c r="T234">
        <v>1</v>
      </c>
      <c r="U234" t="s">
        <v>65</v>
      </c>
      <c r="V234" t="s">
        <v>66</v>
      </c>
      <c r="W234">
        <v>0</v>
      </c>
      <c r="X234">
        <v>0</v>
      </c>
      <c r="Y234">
        <v>17</v>
      </c>
      <c r="Z234">
        <v>17</v>
      </c>
      <c r="AA234">
        <v>20</v>
      </c>
      <c r="AB234">
        <v>1500</v>
      </c>
      <c r="AC234">
        <v>1088</v>
      </c>
      <c r="AD234">
        <v>1088</v>
      </c>
      <c r="AE234">
        <v>0</v>
      </c>
      <c r="AF234">
        <v>0</v>
      </c>
      <c r="AG234">
        <v>0</v>
      </c>
      <c r="AH234">
        <v>0</v>
      </c>
      <c r="AI234">
        <v>280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8</v>
      </c>
      <c r="AQ234">
        <v>0</v>
      </c>
      <c r="AR234">
        <v>0</v>
      </c>
      <c r="AS234" t="s">
        <v>58</v>
      </c>
      <c r="AT234">
        <v>1</v>
      </c>
      <c r="AU234" t="s">
        <v>59</v>
      </c>
      <c r="AV234" t="s">
        <v>60</v>
      </c>
      <c r="AW234">
        <v>1</v>
      </c>
      <c r="AX234">
        <v>3</v>
      </c>
      <c r="AY234">
        <v>0</v>
      </c>
      <c r="AZ234">
        <v>0</v>
      </c>
      <c r="BA234">
        <v>100</v>
      </c>
      <c r="BB234">
        <v>100</v>
      </c>
      <c r="BC234">
        <v>100</v>
      </c>
      <c r="BD234">
        <v>100</v>
      </c>
      <c r="BE234">
        <v>1</v>
      </c>
      <c r="BF234">
        <v>15000</v>
      </c>
      <c r="BG234">
        <v>1000</v>
      </c>
      <c r="BH234" s="6">
        <f>Grandview_Inventory[[#This Row],[land_extract]]*Lookups!$B$3</f>
        <v>45695.532079096141</v>
      </c>
      <c r="BI234" s="6">
        <f>IF(Grandview_Inventory[[#This Row],[bldg_style]]="",0,Lookups!$B$2)</f>
        <v>155833.95000000001</v>
      </c>
      <c r="BJ234" s="6">
        <f>_xlfn.IFNA(VLOOKUP(Grandview_Inventory[[#This Row],[quality]],Lookups!$H$2:$J$14,3,FALSE),0)</f>
        <v>2251</v>
      </c>
      <c r="BK234" s="6">
        <f>_xlfn.IFNA(VLOOKUP(Grandview_Inventory[[#This Row],[condition]],Lookups!$H$17:$J$24,3,FALSE),0)</f>
        <v>25818</v>
      </c>
      <c r="BL234" s="6">
        <f>Grandview_Inventory[[#This Row],[Eff_Age]]*Lookups!$B$14</f>
        <v>-4065.8321999999998</v>
      </c>
      <c r="BM234" s="6">
        <f>Grandview_Inventory[[#This Row],[living_area]]*Lookups!$B$15</f>
        <v>67870.368064000009</v>
      </c>
      <c r="BN234" s="6">
        <f>Grandview_Inventory[[#This Row],[Fin BSMT]]*Lookups!$B$16</f>
        <v>0</v>
      </c>
      <c r="BO234" s="6">
        <f>(Grandview_Inventory[[#This Row],[att_gar]]+Grandview_Inventory[[#This Row],[bltin_gar]])*Lookups!$B$17</f>
        <v>24505.72236</v>
      </c>
      <c r="BP234" s="6">
        <f>Grandview_Inventory[[#This Row],[Plumbing Fixtures]]*Lookups!$B$18</f>
        <v>16083.5344</v>
      </c>
      <c r="BQ234" s="6">
        <f>Grandview_Inventory[[#This Row],[detatched_value]]*Lookups!$B$19</f>
        <v>0</v>
      </c>
      <c r="BR234" s="6">
        <f>SUM(Grandview_Inventory[[#This Row],[Intercept]:[det_value]])*Grandview_Inventory[[#This Row],[res_pct]]</f>
        <v>288296.74262400001</v>
      </c>
      <c r="BS234" s="6">
        <f>Grandview_Inventory[[#This Row],[land_value]]</f>
        <v>45695.532079096141</v>
      </c>
      <c r="BT234" s="4">
        <f>_xlfn.IFNA(VLOOKUP(Grandview_Inventory[[#This Row],[quality]],Lookups!$A$26:$C$33,3,FALSE),1)</f>
        <v>0.98763855981004833</v>
      </c>
      <c r="BU234" s="4">
        <f>_xlfn.IFNA(VLOOKUP(Grandview_Inventory[[#This Row],[condition]],Lookups!$A$37:$C$44,3,FALSE),1)</f>
        <v>0.96661476234146892</v>
      </c>
      <c r="BV234" s="4">
        <f>IF(Grandview_Inventory[[#This Row],[bldg_style]]="",1,_xlfn.IFNA(VLOOKUP(Grandview_Inventory[[#This Row],[decade]],Lookups!$F$29:$H$43,3,FALSE),1))</f>
        <v>0.96737494181490646</v>
      </c>
      <c r="BW234" s="4">
        <f>_xlfn.IFNA(VLOOKUP(Grandview_Inventory[[#This Row],[living_area_range]],Lookups!$F$47:$H$56,3,FALSE),1)</f>
        <v>0.96135087979789358</v>
      </c>
      <c r="BX234" s="4">
        <f>AVERAGE(Grandview_Inventory[[#This Row],[qual_adj]:[size_adj]])</f>
        <v>0.97074478594107938</v>
      </c>
      <c r="BY234" s="6">
        <f>IF(Grandview_Inventory[[#This Row],[pre_res]]&lt;0,0,Grandview_Inventory[[#This Row],[pre_res]]*Grandview_Inventory[[#This Row],[overall_adj]])</f>
        <v>279862.55970604531</v>
      </c>
      <c r="BZ234" s="6">
        <f>(Grandview_Inventory[[#This Row],[sum_land]]-IF(Grandview_Inventory[[#This Row],[no_utilities]]=1,12000,0))/IF(Grandview_Inventory[[#This Row],[unbuildable]]=1,2,1)</f>
        <v>45695.532079096141</v>
      </c>
      <c r="CA23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34">
        <f>ROUND(Grandview_Inventory[[#This Row],[det_value]]*Lookups!$M$28,-2)</f>
        <v>0</v>
      </c>
      <c r="CC234">
        <f>IF(ROUND(Grandview_Inventory[[#This Row],[adj_res]]*Lookups!$M$28,-2)&lt;Grandview_Inventory[[#This Row],[min_res]],Grandview_Inventory[[#This Row],[min_res]],ROUND(Grandview_Inventory[[#This Row],[adj_res]]*Lookups!$M$28,-2))</f>
        <v>265900</v>
      </c>
      <c r="CD234">
        <f>Grandview_Inventory[[#This Row],[final_det]]+Grandview_Inventory[[#This Row],[final_res]]</f>
        <v>265900</v>
      </c>
      <c r="CE234">
        <f>Grandview_Inventory[[#This Row],[final_land]]+Grandview_Inventory[[#This Row],[final_imp]]+Grandview_Inventory[[#This Row],[crop_value]]</f>
        <v>309300</v>
      </c>
      <c r="CG234" t="str">
        <f t="shared" si="3"/>
        <v>update valuation set market_land =43400, market_bldg=265900, market_total =309300, market_mdno =401, market_date ='9/10/2023' where link_id = (select link_id from parcel where parcel_year = '2024' and parcel_id = '23091442416');</v>
      </c>
    </row>
    <row r="235" spans="1:85" x14ac:dyDescent="0.25">
      <c r="A235">
        <v>23091442417</v>
      </c>
      <c r="B235">
        <v>0.16</v>
      </c>
      <c r="C235">
        <v>7024</v>
      </c>
      <c r="D235" t="s">
        <v>129</v>
      </c>
      <c r="E235" t="s">
        <v>53</v>
      </c>
      <c r="F235" t="s">
        <v>53</v>
      </c>
      <c r="G235">
        <v>4</v>
      </c>
      <c r="H235" t="s">
        <v>54</v>
      </c>
      <c r="I235">
        <v>203800</v>
      </c>
      <c r="J235">
        <v>38600</v>
      </c>
      <c r="K235">
        <v>0.16</v>
      </c>
      <c r="L23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35">
        <v>0</v>
      </c>
      <c r="N235">
        <v>0</v>
      </c>
      <c r="O235">
        <v>0</v>
      </c>
      <c r="P235">
        <v>13398.7528</v>
      </c>
      <c r="Q235">
        <v>63903</v>
      </c>
      <c r="R235">
        <f>(Grandview_Inventory[[#This Row],[ln_acres]]*Grandview_Inventory[[#This Row],[coeff]])+Grandview_Inventory[[#This Row],[const]]</f>
        <v>39348.693981374228</v>
      </c>
      <c r="S235" t="s">
        <v>61</v>
      </c>
      <c r="T235">
        <v>1</v>
      </c>
      <c r="U235" t="s">
        <v>65</v>
      </c>
      <c r="V235" t="s">
        <v>66</v>
      </c>
      <c r="W235">
        <v>0</v>
      </c>
      <c r="X235">
        <v>0</v>
      </c>
      <c r="Y235">
        <v>17</v>
      </c>
      <c r="Z235">
        <v>17</v>
      </c>
      <c r="AA235">
        <v>20</v>
      </c>
      <c r="AB235">
        <v>1500</v>
      </c>
      <c r="AC235">
        <v>1088</v>
      </c>
      <c r="AD235">
        <v>1088</v>
      </c>
      <c r="AE235">
        <v>0</v>
      </c>
      <c r="AF235">
        <v>0</v>
      </c>
      <c r="AG235">
        <v>0</v>
      </c>
      <c r="AH235">
        <v>0</v>
      </c>
      <c r="AI235">
        <v>280</v>
      </c>
      <c r="AJ235">
        <v>0</v>
      </c>
      <c r="AK235">
        <v>0</v>
      </c>
      <c r="AL235">
        <v>196</v>
      </c>
      <c r="AM235">
        <v>0</v>
      </c>
      <c r="AN235">
        <v>0</v>
      </c>
      <c r="AO235">
        <v>196</v>
      </c>
      <c r="AP235">
        <v>8</v>
      </c>
      <c r="AQ235">
        <v>0</v>
      </c>
      <c r="AR235">
        <v>0</v>
      </c>
      <c r="AS235" t="s">
        <v>58</v>
      </c>
      <c r="AT235">
        <v>1</v>
      </c>
      <c r="AU235" t="s">
        <v>59</v>
      </c>
      <c r="AV235" t="s">
        <v>60</v>
      </c>
      <c r="AW235">
        <v>1</v>
      </c>
      <c r="AX235">
        <v>3</v>
      </c>
      <c r="AY235">
        <v>0</v>
      </c>
      <c r="AZ235">
        <v>0</v>
      </c>
      <c r="BA235">
        <v>100</v>
      </c>
      <c r="BB235">
        <v>100</v>
      </c>
      <c r="BC235">
        <v>100</v>
      </c>
      <c r="BD235">
        <v>100</v>
      </c>
      <c r="BE235">
        <v>1</v>
      </c>
      <c r="BF235">
        <v>15000</v>
      </c>
      <c r="BG235">
        <v>1000</v>
      </c>
      <c r="BH235" s="6">
        <f>Grandview_Inventory[[#This Row],[land_extract]]*Lookups!$B$3</f>
        <v>45695.532079096141</v>
      </c>
      <c r="BI235" s="6">
        <f>IF(Grandview_Inventory[[#This Row],[bldg_style]]="",0,Lookups!$B$2)</f>
        <v>155833.95000000001</v>
      </c>
      <c r="BJ235" s="6">
        <f>_xlfn.IFNA(VLOOKUP(Grandview_Inventory[[#This Row],[quality]],Lookups!$H$2:$J$14,3,FALSE),0)</f>
        <v>2251</v>
      </c>
      <c r="BK235" s="6">
        <f>_xlfn.IFNA(VLOOKUP(Grandview_Inventory[[#This Row],[condition]],Lookups!$H$17:$J$24,3,FALSE),0)</f>
        <v>25818</v>
      </c>
      <c r="BL235" s="6">
        <f>Grandview_Inventory[[#This Row],[Eff_Age]]*Lookups!$B$14</f>
        <v>-4065.8321999999998</v>
      </c>
      <c r="BM235" s="6">
        <f>Grandview_Inventory[[#This Row],[living_area]]*Lookups!$B$15</f>
        <v>67870.368064000009</v>
      </c>
      <c r="BN235" s="6">
        <f>Grandview_Inventory[[#This Row],[Fin BSMT]]*Lookups!$B$16</f>
        <v>0</v>
      </c>
      <c r="BO235" s="6">
        <f>(Grandview_Inventory[[#This Row],[att_gar]]+Grandview_Inventory[[#This Row],[bltin_gar]])*Lookups!$B$17</f>
        <v>24505.72236</v>
      </c>
      <c r="BP235" s="6">
        <f>Grandview_Inventory[[#This Row],[Plumbing Fixtures]]*Lookups!$B$18</f>
        <v>16083.5344</v>
      </c>
      <c r="BQ235" s="6">
        <f>Grandview_Inventory[[#This Row],[detatched_value]]*Lookups!$B$19</f>
        <v>0</v>
      </c>
      <c r="BR235" s="6">
        <f>SUM(Grandview_Inventory[[#This Row],[Intercept]:[det_value]])*Grandview_Inventory[[#This Row],[res_pct]]</f>
        <v>288296.74262400001</v>
      </c>
      <c r="BS235" s="6">
        <f>Grandview_Inventory[[#This Row],[land_value]]</f>
        <v>45695.532079096141</v>
      </c>
      <c r="BT235" s="4">
        <f>_xlfn.IFNA(VLOOKUP(Grandview_Inventory[[#This Row],[quality]],Lookups!$A$26:$C$33,3,FALSE),1)</f>
        <v>0.98763855981004833</v>
      </c>
      <c r="BU235" s="4">
        <f>_xlfn.IFNA(VLOOKUP(Grandview_Inventory[[#This Row],[condition]],Lookups!$A$37:$C$44,3,FALSE),1)</f>
        <v>0.96661476234146892</v>
      </c>
      <c r="BV235" s="4">
        <f>IF(Grandview_Inventory[[#This Row],[bldg_style]]="",1,_xlfn.IFNA(VLOOKUP(Grandview_Inventory[[#This Row],[decade]],Lookups!$F$29:$H$43,3,FALSE),1))</f>
        <v>0.96737494181490646</v>
      </c>
      <c r="BW235" s="4">
        <f>_xlfn.IFNA(VLOOKUP(Grandview_Inventory[[#This Row],[living_area_range]],Lookups!$F$47:$H$56,3,FALSE),1)</f>
        <v>0.96135087979789358</v>
      </c>
      <c r="BX235" s="4">
        <f>AVERAGE(Grandview_Inventory[[#This Row],[qual_adj]:[size_adj]])</f>
        <v>0.97074478594107938</v>
      </c>
      <c r="BY235" s="6">
        <f>IF(Grandview_Inventory[[#This Row],[pre_res]]&lt;0,0,Grandview_Inventory[[#This Row],[pre_res]]*Grandview_Inventory[[#This Row],[overall_adj]])</f>
        <v>279862.55970604531</v>
      </c>
      <c r="BZ235" s="6">
        <f>(Grandview_Inventory[[#This Row],[sum_land]]-IF(Grandview_Inventory[[#This Row],[no_utilities]]=1,12000,0))/IF(Grandview_Inventory[[#This Row],[unbuildable]]=1,2,1)</f>
        <v>45695.532079096141</v>
      </c>
      <c r="CA23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35">
        <f>ROUND(Grandview_Inventory[[#This Row],[det_value]]*Lookups!$M$28,-2)</f>
        <v>0</v>
      </c>
      <c r="CC235">
        <f>IF(ROUND(Grandview_Inventory[[#This Row],[adj_res]]*Lookups!$M$28,-2)&lt;Grandview_Inventory[[#This Row],[min_res]],Grandview_Inventory[[#This Row],[min_res]],ROUND(Grandview_Inventory[[#This Row],[adj_res]]*Lookups!$M$28,-2))</f>
        <v>265900</v>
      </c>
      <c r="CD235">
        <f>Grandview_Inventory[[#This Row],[final_det]]+Grandview_Inventory[[#This Row],[final_res]]</f>
        <v>265900</v>
      </c>
      <c r="CE235">
        <f>Grandview_Inventory[[#This Row],[final_land]]+Grandview_Inventory[[#This Row],[final_imp]]+Grandview_Inventory[[#This Row],[crop_value]]</f>
        <v>309300</v>
      </c>
      <c r="CG235" t="str">
        <f t="shared" si="3"/>
        <v>update valuation set market_land =43400, market_bldg=265900, market_total =309300, market_mdno =401, market_date ='9/10/2023' where link_id = (select link_id from parcel where parcel_year = '2024' and parcel_id = '23091442417');</v>
      </c>
    </row>
    <row r="236" spans="1:85" x14ac:dyDescent="0.25">
      <c r="A236">
        <v>23091442418</v>
      </c>
      <c r="B236">
        <v>0.17</v>
      </c>
      <c r="C236">
        <v>7387</v>
      </c>
      <c r="D236" t="s">
        <v>129</v>
      </c>
      <c r="E236" t="s">
        <v>53</v>
      </c>
      <c r="F236" t="s">
        <v>53</v>
      </c>
      <c r="G236">
        <v>4</v>
      </c>
      <c r="H236" t="s">
        <v>54</v>
      </c>
      <c r="I236">
        <v>214300</v>
      </c>
      <c r="J236">
        <v>43000</v>
      </c>
      <c r="K236">
        <v>0.17</v>
      </c>
      <c r="L23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36">
        <v>0</v>
      </c>
      <c r="N236">
        <v>0</v>
      </c>
      <c r="O236">
        <v>0</v>
      </c>
      <c r="P236">
        <v>13398.7528</v>
      </c>
      <c r="Q236">
        <v>63903</v>
      </c>
      <c r="R236">
        <f>(Grandview_Inventory[[#This Row],[ln_acres]]*Grandview_Inventory[[#This Row],[coeff]])+Grandview_Inventory[[#This Row],[const]]</f>
        <v>40160.988302686128</v>
      </c>
      <c r="S236" t="s">
        <v>61</v>
      </c>
      <c r="T236">
        <v>1</v>
      </c>
      <c r="U236" t="s">
        <v>65</v>
      </c>
      <c r="V236" t="s">
        <v>66</v>
      </c>
      <c r="W236">
        <v>0</v>
      </c>
      <c r="X236">
        <v>0</v>
      </c>
      <c r="Y236">
        <v>17</v>
      </c>
      <c r="Z236">
        <v>17</v>
      </c>
      <c r="AA236">
        <v>20</v>
      </c>
      <c r="AB236">
        <v>1500</v>
      </c>
      <c r="AC236">
        <v>1256</v>
      </c>
      <c r="AD236">
        <v>1256</v>
      </c>
      <c r="AE236">
        <v>0</v>
      </c>
      <c r="AF236">
        <v>0</v>
      </c>
      <c r="AG236">
        <v>0</v>
      </c>
      <c r="AH236">
        <v>0</v>
      </c>
      <c r="AI236">
        <v>280</v>
      </c>
      <c r="AJ236">
        <v>0</v>
      </c>
      <c r="AK236">
        <v>0</v>
      </c>
      <c r="AL236">
        <v>0</v>
      </c>
      <c r="AM236">
        <v>0</v>
      </c>
      <c r="AN236">
        <v>335</v>
      </c>
      <c r="AO236">
        <v>0</v>
      </c>
      <c r="AP236">
        <v>8</v>
      </c>
      <c r="AQ236">
        <v>0</v>
      </c>
      <c r="AR236">
        <v>0</v>
      </c>
      <c r="AS236" t="s">
        <v>58</v>
      </c>
      <c r="AT236">
        <v>1</v>
      </c>
      <c r="AU236" t="s">
        <v>59</v>
      </c>
      <c r="AV236" t="s">
        <v>60</v>
      </c>
      <c r="AW236">
        <v>1</v>
      </c>
      <c r="AX236">
        <v>4</v>
      </c>
      <c r="AY236">
        <v>0</v>
      </c>
      <c r="AZ236">
        <v>0</v>
      </c>
      <c r="BA236">
        <v>100</v>
      </c>
      <c r="BB236">
        <v>100</v>
      </c>
      <c r="BC236">
        <v>100</v>
      </c>
      <c r="BD236">
        <v>100</v>
      </c>
      <c r="BE236">
        <v>1</v>
      </c>
      <c r="BF236">
        <v>15000</v>
      </c>
      <c r="BG236">
        <v>1000</v>
      </c>
      <c r="BH236" s="6">
        <f>Grandview_Inventory[[#This Row],[land_extract]]*Lookups!$B$3</f>
        <v>46638.847281240982</v>
      </c>
      <c r="BI236" s="6">
        <f>IF(Grandview_Inventory[[#This Row],[bldg_style]]="",0,Lookups!$B$2)</f>
        <v>155833.95000000001</v>
      </c>
      <c r="BJ236" s="6">
        <f>_xlfn.IFNA(VLOOKUP(Grandview_Inventory[[#This Row],[quality]],Lookups!$H$2:$J$14,3,FALSE),0)</f>
        <v>2251</v>
      </c>
      <c r="BK236" s="6">
        <f>_xlfn.IFNA(VLOOKUP(Grandview_Inventory[[#This Row],[condition]],Lookups!$H$17:$J$24,3,FALSE),0)</f>
        <v>25818</v>
      </c>
      <c r="BL236" s="6">
        <f>Grandview_Inventory[[#This Row],[Eff_Age]]*Lookups!$B$14</f>
        <v>-4065.8321999999998</v>
      </c>
      <c r="BM236" s="6">
        <f>Grandview_Inventory[[#This Row],[living_area]]*Lookups!$B$15</f>
        <v>78350.351368000003</v>
      </c>
      <c r="BN236" s="6">
        <f>Grandview_Inventory[[#This Row],[Fin BSMT]]*Lookups!$B$16</f>
        <v>0</v>
      </c>
      <c r="BO236" s="6">
        <f>(Grandview_Inventory[[#This Row],[att_gar]]+Grandview_Inventory[[#This Row],[bltin_gar]])*Lookups!$B$17</f>
        <v>24505.72236</v>
      </c>
      <c r="BP236" s="6">
        <f>Grandview_Inventory[[#This Row],[Plumbing Fixtures]]*Lookups!$B$18</f>
        <v>16083.5344</v>
      </c>
      <c r="BQ236" s="6">
        <f>Grandview_Inventory[[#This Row],[detatched_value]]*Lookups!$B$19</f>
        <v>0</v>
      </c>
      <c r="BR236" s="6">
        <f>SUM(Grandview_Inventory[[#This Row],[Intercept]:[det_value]])*Grandview_Inventory[[#This Row],[res_pct]]</f>
        <v>298776.725928</v>
      </c>
      <c r="BS236" s="6">
        <f>Grandview_Inventory[[#This Row],[land_value]]</f>
        <v>46638.847281240982</v>
      </c>
      <c r="BT236" s="4">
        <f>_xlfn.IFNA(VLOOKUP(Grandview_Inventory[[#This Row],[quality]],Lookups!$A$26:$C$33,3,FALSE),1)</f>
        <v>0.98763855981004833</v>
      </c>
      <c r="BU236" s="4">
        <f>_xlfn.IFNA(VLOOKUP(Grandview_Inventory[[#This Row],[condition]],Lookups!$A$37:$C$44,3,FALSE),1)</f>
        <v>0.96661476234146892</v>
      </c>
      <c r="BV236" s="4">
        <f>IF(Grandview_Inventory[[#This Row],[bldg_style]]="",1,_xlfn.IFNA(VLOOKUP(Grandview_Inventory[[#This Row],[decade]],Lookups!$F$29:$H$43,3,FALSE),1))</f>
        <v>0.96737494181490646</v>
      </c>
      <c r="BW236" s="4">
        <f>_xlfn.IFNA(VLOOKUP(Grandview_Inventory[[#This Row],[living_area_range]],Lookups!$F$47:$H$56,3,FALSE),1)</f>
        <v>0.96135087979789358</v>
      </c>
      <c r="BX236" s="4">
        <f>AVERAGE(Grandview_Inventory[[#This Row],[qual_adj]:[size_adj]])</f>
        <v>0.97074478594107938</v>
      </c>
      <c r="BY236" s="6">
        <f>IF(Grandview_Inventory[[#This Row],[pre_res]]&lt;0,0,Grandview_Inventory[[#This Row],[pre_res]]*Grandview_Inventory[[#This Row],[overall_adj]])</f>
        <v>290035.94885515288</v>
      </c>
      <c r="BZ236" s="6">
        <f>(Grandview_Inventory[[#This Row],[sum_land]]-IF(Grandview_Inventory[[#This Row],[no_utilities]]=1,12000,0))/IF(Grandview_Inventory[[#This Row],[unbuildable]]=1,2,1)</f>
        <v>46638.847281240982</v>
      </c>
      <c r="CA23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36">
        <f>ROUND(Grandview_Inventory[[#This Row],[det_value]]*Lookups!$M$28,-2)</f>
        <v>0</v>
      </c>
      <c r="CC236">
        <f>IF(ROUND(Grandview_Inventory[[#This Row],[adj_res]]*Lookups!$M$28,-2)&lt;Grandview_Inventory[[#This Row],[min_res]],Grandview_Inventory[[#This Row],[min_res]],ROUND(Grandview_Inventory[[#This Row],[adj_res]]*Lookups!$M$28,-2))</f>
        <v>275500</v>
      </c>
      <c r="CD236">
        <f>Grandview_Inventory[[#This Row],[final_det]]+Grandview_Inventory[[#This Row],[final_res]]</f>
        <v>275500</v>
      </c>
      <c r="CE236">
        <f>Grandview_Inventory[[#This Row],[final_land]]+Grandview_Inventory[[#This Row],[final_imp]]+Grandview_Inventory[[#This Row],[crop_value]]</f>
        <v>319800</v>
      </c>
      <c r="CG236" t="str">
        <f t="shared" si="3"/>
        <v>update valuation set market_land =44300, market_bldg=275500, market_total =319800, market_mdno =401, market_date ='9/10/2023' where link_id = (select link_id from parcel where parcel_year = '2024' and parcel_id = '23091442418');</v>
      </c>
    </row>
    <row r="237" spans="1:85" x14ac:dyDescent="0.25">
      <c r="A237">
        <v>23091442419</v>
      </c>
      <c r="B237">
        <v>0.18</v>
      </c>
      <c r="C237">
        <v>8001</v>
      </c>
      <c r="D237" t="s">
        <v>129</v>
      </c>
      <c r="E237" t="s">
        <v>53</v>
      </c>
      <c r="F237" t="s">
        <v>53</v>
      </c>
      <c r="G237">
        <v>4</v>
      </c>
      <c r="H237" t="s">
        <v>54</v>
      </c>
      <c r="I237">
        <v>218700</v>
      </c>
      <c r="J237">
        <v>39000</v>
      </c>
      <c r="K237">
        <v>0.18</v>
      </c>
      <c r="L23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7">
        <v>0</v>
      </c>
      <c r="N237">
        <v>0</v>
      </c>
      <c r="O237">
        <v>0</v>
      </c>
      <c r="P237">
        <v>13398.7528</v>
      </c>
      <c r="Q237">
        <v>63903</v>
      </c>
      <c r="R237">
        <f>(Grandview_Inventory[[#This Row],[ln_acres]]*Grandview_Inventory[[#This Row],[coeff]])+Grandview_Inventory[[#This Row],[const]]</f>
        <v>40926.839760167699</v>
      </c>
      <c r="S237" t="s">
        <v>61</v>
      </c>
      <c r="T237">
        <v>1</v>
      </c>
      <c r="U237" t="s">
        <v>65</v>
      </c>
      <c r="V237" t="s">
        <v>66</v>
      </c>
      <c r="W237">
        <v>0</v>
      </c>
      <c r="X237">
        <v>0</v>
      </c>
      <c r="Y237">
        <v>17</v>
      </c>
      <c r="Z237">
        <v>17</v>
      </c>
      <c r="AA237">
        <v>20</v>
      </c>
      <c r="AB237">
        <v>1500</v>
      </c>
      <c r="AC237">
        <v>1205</v>
      </c>
      <c r="AD237">
        <v>1205</v>
      </c>
      <c r="AE237">
        <v>0</v>
      </c>
      <c r="AF237">
        <v>0</v>
      </c>
      <c r="AG237">
        <v>0</v>
      </c>
      <c r="AH237">
        <v>0</v>
      </c>
      <c r="AI237">
        <v>420</v>
      </c>
      <c r="AJ237">
        <v>0</v>
      </c>
      <c r="AK237">
        <v>0</v>
      </c>
      <c r="AL237">
        <v>0</v>
      </c>
      <c r="AM237">
        <v>0</v>
      </c>
      <c r="AN237">
        <v>42</v>
      </c>
      <c r="AO237">
        <v>0</v>
      </c>
      <c r="AP237">
        <v>8</v>
      </c>
      <c r="AQ237">
        <v>0</v>
      </c>
      <c r="AR237">
        <v>0</v>
      </c>
      <c r="AS237" t="s">
        <v>58</v>
      </c>
      <c r="AT237">
        <v>1</v>
      </c>
      <c r="AU237" t="s">
        <v>59</v>
      </c>
      <c r="AV237" t="s">
        <v>60</v>
      </c>
      <c r="AW237">
        <v>1</v>
      </c>
      <c r="AX237">
        <v>3</v>
      </c>
      <c r="AY237">
        <v>0</v>
      </c>
      <c r="AZ237">
        <v>0</v>
      </c>
      <c r="BA237">
        <v>100</v>
      </c>
      <c r="BB237">
        <v>100</v>
      </c>
      <c r="BC237">
        <v>100</v>
      </c>
      <c r="BD237">
        <v>100</v>
      </c>
      <c r="BE237">
        <v>1</v>
      </c>
      <c r="BF237">
        <v>15000</v>
      </c>
      <c r="BG237">
        <v>1000</v>
      </c>
      <c r="BH237" s="6">
        <f>Grandview_Inventory[[#This Row],[land_extract]]*Lookups!$B$3</f>
        <v>47528.228511015397</v>
      </c>
      <c r="BI237" s="6">
        <f>IF(Grandview_Inventory[[#This Row],[bldg_style]]="",0,Lookups!$B$2)</f>
        <v>155833.95000000001</v>
      </c>
      <c r="BJ237" s="6">
        <f>_xlfn.IFNA(VLOOKUP(Grandview_Inventory[[#This Row],[quality]],Lookups!$H$2:$J$14,3,FALSE),0)</f>
        <v>2251</v>
      </c>
      <c r="BK237" s="6">
        <f>_xlfn.IFNA(VLOOKUP(Grandview_Inventory[[#This Row],[condition]],Lookups!$H$17:$J$24,3,FALSE),0)</f>
        <v>25818</v>
      </c>
      <c r="BL237" s="6">
        <f>Grandview_Inventory[[#This Row],[Eff_Age]]*Lookups!$B$14</f>
        <v>-4065.8321999999998</v>
      </c>
      <c r="BM237" s="6">
        <f>Grandview_Inventory[[#This Row],[living_area]]*Lookups!$B$15</f>
        <v>75168.927865000005</v>
      </c>
      <c r="BN237" s="6">
        <f>Grandview_Inventory[[#This Row],[Fin BSMT]]*Lookups!$B$16</f>
        <v>0</v>
      </c>
      <c r="BO237" s="6">
        <f>(Grandview_Inventory[[#This Row],[att_gar]]+Grandview_Inventory[[#This Row],[bltin_gar]])*Lookups!$B$17</f>
        <v>36758.58354</v>
      </c>
      <c r="BP237" s="6">
        <f>Grandview_Inventory[[#This Row],[Plumbing Fixtures]]*Lookups!$B$18</f>
        <v>16083.5344</v>
      </c>
      <c r="BQ237" s="6">
        <f>Grandview_Inventory[[#This Row],[detatched_value]]*Lookups!$B$19</f>
        <v>0</v>
      </c>
      <c r="BR237" s="6">
        <f>SUM(Grandview_Inventory[[#This Row],[Intercept]:[det_value]])*Grandview_Inventory[[#This Row],[res_pct]]</f>
        <v>307848.16360500001</v>
      </c>
      <c r="BS237" s="6">
        <f>Grandview_Inventory[[#This Row],[land_value]]</f>
        <v>47528.228511015397</v>
      </c>
      <c r="BT237" s="4">
        <f>_xlfn.IFNA(VLOOKUP(Grandview_Inventory[[#This Row],[quality]],Lookups!$A$26:$C$33,3,FALSE),1)</f>
        <v>0.98763855981004833</v>
      </c>
      <c r="BU237" s="4">
        <f>_xlfn.IFNA(VLOOKUP(Grandview_Inventory[[#This Row],[condition]],Lookups!$A$37:$C$44,3,FALSE),1)</f>
        <v>0.96661476234146892</v>
      </c>
      <c r="BV237" s="4">
        <f>IF(Grandview_Inventory[[#This Row],[bldg_style]]="",1,_xlfn.IFNA(VLOOKUP(Grandview_Inventory[[#This Row],[decade]],Lookups!$F$29:$H$43,3,FALSE),1))</f>
        <v>0.96737494181490646</v>
      </c>
      <c r="BW237" s="4">
        <f>_xlfn.IFNA(VLOOKUP(Grandview_Inventory[[#This Row],[living_area_range]],Lookups!$F$47:$H$56,3,FALSE),1)</f>
        <v>0.96135087979789358</v>
      </c>
      <c r="BX237" s="4">
        <f>AVERAGE(Grandview_Inventory[[#This Row],[qual_adj]:[size_adj]])</f>
        <v>0.97074478594107938</v>
      </c>
      <c r="BY237" s="6">
        <f>IF(Grandview_Inventory[[#This Row],[pre_res]]&lt;0,0,Grandview_Inventory[[#This Row],[pre_res]]*Grandview_Inventory[[#This Row],[overall_adj]])</f>
        <v>298841.99968109012</v>
      </c>
      <c r="BZ237" s="6">
        <f>(Grandview_Inventory[[#This Row],[sum_land]]-IF(Grandview_Inventory[[#This Row],[no_utilities]]=1,12000,0))/IF(Grandview_Inventory[[#This Row],[unbuildable]]=1,2,1)</f>
        <v>47528.228511015397</v>
      </c>
      <c r="CA23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7">
        <f>ROUND(Grandview_Inventory[[#This Row],[det_value]]*Lookups!$M$28,-2)</f>
        <v>0</v>
      </c>
      <c r="CC237">
        <f>IF(ROUND(Grandview_Inventory[[#This Row],[adj_res]]*Lookups!$M$28,-2)&lt;Grandview_Inventory[[#This Row],[min_res]],Grandview_Inventory[[#This Row],[min_res]],ROUND(Grandview_Inventory[[#This Row],[adj_res]]*Lookups!$M$28,-2))</f>
        <v>283900</v>
      </c>
      <c r="CD237">
        <f>Grandview_Inventory[[#This Row],[final_det]]+Grandview_Inventory[[#This Row],[final_res]]</f>
        <v>283900</v>
      </c>
      <c r="CE237">
        <f>Grandview_Inventory[[#This Row],[final_land]]+Grandview_Inventory[[#This Row],[final_imp]]+Grandview_Inventory[[#This Row],[crop_value]]</f>
        <v>329100</v>
      </c>
      <c r="CG237" t="str">
        <f t="shared" si="3"/>
        <v>update valuation set market_land =45200, market_bldg=283900, market_total =329100, market_mdno =401, market_date ='9/10/2023' where link_id = (select link_id from parcel where parcel_year = '2024' and parcel_id = '23091442419');</v>
      </c>
    </row>
    <row r="238" spans="1:85" x14ac:dyDescent="0.25">
      <c r="A238">
        <v>23091442420</v>
      </c>
      <c r="B238">
        <v>0.19</v>
      </c>
      <c r="C238">
        <v>8468</v>
      </c>
      <c r="D238" t="s">
        <v>129</v>
      </c>
      <c r="E238" t="s">
        <v>53</v>
      </c>
      <c r="F238" t="s">
        <v>53</v>
      </c>
      <c r="G238">
        <v>4</v>
      </c>
      <c r="H238" t="s">
        <v>54</v>
      </c>
      <c r="I238">
        <v>254400</v>
      </c>
      <c r="J238">
        <v>39100</v>
      </c>
      <c r="K238">
        <v>0.19</v>
      </c>
      <c r="L23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8">
        <v>0</v>
      </c>
      <c r="N238">
        <v>0</v>
      </c>
      <c r="O238">
        <v>0</v>
      </c>
      <c r="P238">
        <v>13398.7528</v>
      </c>
      <c r="Q238">
        <v>63903</v>
      </c>
      <c r="R238">
        <f>(Grandview_Inventory[[#This Row],[ln_acres]]*Grandview_Inventory[[#This Row],[coeff]])+Grandview_Inventory[[#This Row],[const]]</f>
        <v>41651.273092551026</v>
      </c>
      <c r="S238" t="s">
        <v>58</v>
      </c>
      <c r="T238">
        <v>1</v>
      </c>
      <c r="U238" t="s">
        <v>62</v>
      </c>
      <c r="V238" t="s">
        <v>57</v>
      </c>
      <c r="W238">
        <v>0</v>
      </c>
      <c r="X238">
        <v>0</v>
      </c>
      <c r="Y238">
        <v>7</v>
      </c>
      <c r="Z238">
        <v>7</v>
      </c>
      <c r="AA238">
        <v>10</v>
      </c>
      <c r="AB238">
        <v>1500</v>
      </c>
      <c r="AC238">
        <v>1274</v>
      </c>
      <c r="AD238">
        <v>1274</v>
      </c>
      <c r="AE238">
        <v>0</v>
      </c>
      <c r="AF238">
        <v>0</v>
      </c>
      <c r="AG238">
        <v>0</v>
      </c>
      <c r="AH238">
        <v>0</v>
      </c>
      <c r="AI238">
        <v>480</v>
      </c>
      <c r="AJ238">
        <v>0</v>
      </c>
      <c r="AK238">
        <v>0</v>
      </c>
      <c r="AL238">
        <v>0</v>
      </c>
      <c r="AM238">
        <v>0</v>
      </c>
      <c r="AN238">
        <v>228</v>
      </c>
      <c r="AO238">
        <v>0</v>
      </c>
      <c r="AP238">
        <v>9</v>
      </c>
      <c r="AQ238">
        <v>0</v>
      </c>
      <c r="AR238">
        <v>0</v>
      </c>
      <c r="AS238" t="s">
        <v>58</v>
      </c>
      <c r="AT238">
        <v>1</v>
      </c>
      <c r="AU238" t="s">
        <v>59</v>
      </c>
      <c r="AV238" t="s">
        <v>60</v>
      </c>
      <c r="AW238">
        <v>1</v>
      </c>
      <c r="AX238">
        <v>3</v>
      </c>
      <c r="AY238">
        <v>0</v>
      </c>
      <c r="AZ238">
        <v>0</v>
      </c>
      <c r="BA238">
        <v>100</v>
      </c>
      <c r="BB238">
        <v>100</v>
      </c>
      <c r="BC238">
        <v>100</v>
      </c>
      <c r="BD238">
        <v>100</v>
      </c>
      <c r="BE238">
        <v>1</v>
      </c>
      <c r="BF238">
        <v>15000</v>
      </c>
      <c r="BG238">
        <v>1000</v>
      </c>
      <c r="BH238" s="6">
        <f>Grandview_Inventory[[#This Row],[land_extract]]*Lookups!$B$3</f>
        <v>48369.510983942157</v>
      </c>
      <c r="BI238" s="6">
        <f>IF(Grandview_Inventory[[#This Row],[bldg_style]]="",0,Lookups!$B$2)</f>
        <v>155833.95000000001</v>
      </c>
      <c r="BJ238" s="6">
        <f>_xlfn.IFNA(VLOOKUP(Grandview_Inventory[[#This Row],[quality]],Lookups!$H$2:$J$14,3,FALSE),0)</f>
        <v>9808</v>
      </c>
      <c r="BK238" s="6">
        <f>_xlfn.IFNA(VLOOKUP(Grandview_Inventory[[#This Row],[condition]],Lookups!$H$17:$J$24,3,FALSE),0)</f>
        <v>25780</v>
      </c>
      <c r="BL238" s="6">
        <f>Grandview_Inventory[[#This Row],[Eff_Age]]*Lookups!$B$14</f>
        <v>-1674.1661999999999</v>
      </c>
      <c r="BM238" s="6">
        <f>Grandview_Inventory[[#This Row],[living_area]]*Lookups!$B$15</f>
        <v>79473.206722000003</v>
      </c>
      <c r="BN238" s="6">
        <f>Grandview_Inventory[[#This Row],[Fin BSMT]]*Lookups!$B$16</f>
        <v>0</v>
      </c>
      <c r="BO238" s="6">
        <f>(Grandview_Inventory[[#This Row],[att_gar]]+Grandview_Inventory[[#This Row],[bltin_gar]])*Lookups!$B$17</f>
        <v>42009.809760000004</v>
      </c>
      <c r="BP238" s="6">
        <f>Grandview_Inventory[[#This Row],[Plumbing Fixtures]]*Lookups!$B$18</f>
        <v>18093.976200000001</v>
      </c>
      <c r="BQ238" s="6">
        <f>Grandview_Inventory[[#This Row],[detatched_value]]*Lookups!$B$19</f>
        <v>0</v>
      </c>
      <c r="BR238" s="6">
        <f>SUM(Grandview_Inventory[[#This Row],[Intercept]:[det_value]])*Grandview_Inventory[[#This Row],[res_pct]]</f>
        <v>329324.77648199996</v>
      </c>
      <c r="BS238" s="6">
        <f>Grandview_Inventory[[#This Row],[land_value]]</f>
        <v>48369.510983942157</v>
      </c>
      <c r="BT238" s="4">
        <f>_xlfn.IFNA(VLOOKUP(Grandview_Inventory[[#This Row],[quality]],Lookups!$A$26:$C$33,3,FALSE),1)</f>
        <v>0.94295468617355149</v>
      </c>
      <c r="BU238" s="4">
        <f>_xlfn.IFNA(VLOOKUP(Grandview_Inventory[[#This Row],[condition]],Lookups!$A$37:$C$44,3,FALSE),1)</f>
        <v>0.94347925387812148</v>
      </c>
      <c r="BV238" s="4">
        <f>IF(Grandview_Inventory[[#This Row],[bldg_style]]="",1,_xlfn.IFNA(VLOOKUP(Grandview_Inventory[[#This Row],[decade]],Lookups!$F$29:$H$43,3,FALSE),1))</f>
        <v>0.94601966599150278</v>
      </c>
      <c r="BW238" s="4">
        <f>_xlfn.IFNA(VLOOKUP(Grandview_Inventory[[#This Row],[living_area_range]],Lookups!$F$47:$H$56,3,FALSE),1)</f>
        <v>0.96135087979789358</v>
      </c>
      <c r="BX238" s="4">
        <f>AVERAGE(Grandview_Inventory[[#This Row],[qual_adj]:[size_adj]])</f>
        <v>0.94845112146026733</v>
      </c>
      <c r="BY238" s="6">
        <f>IF(Grandview_Inventory[[#This Row],[pre_res]]&lt;0,0,Grandview_Inventory[[#This Row],[pre_res]]*Grandview_Inventory[[#This Row],[overall_adj]])</f>
        <v>312348.45357900474</v>
      </c>
      <c r="BZ238" s="6">
        <f>(Grandview_Inventory[[#This Row],[sum_land]]-IF(Grandview_Inventory[[#This Row],[no_utilities]]=1,12000,0))/IF(Grandview_Inventory[[#This Row],[unbuildable]]=1,2,1)</f>
        <v>48369.510983942157</v>
      </c>
      <c r="CA23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8">
        <f>ROUND(Grandview_Inventory[[#This Row],[det_value]]*Lookups!$M$28,-2)</f>
        <v>0</v>
      </c>
      <c r="CC238">
        <f>IF(ROUND(Grandview_Inventory[[#This Row],[adj_res]]*Lookups!$M$28,-2)&lt;Grandview_Inventory[[#This Row],[min_res]],Grandview_Inventory[[#This Row],[min_res]],ROUND(Grandview_Inventory[[#This Row],[adj_res]]*Lookups!$M$28,-2))</f>
        <v>296700</v>
      </c>
      <c r="CD238">
        <f>Grandview_Inventory[[#This Row],[final_det]]+Grandview_Inventory[[#This Row],[final_res]]</f>
        <v>296700</v>
      </c>
      <c r="CE238">
        <f>Grandview_Inventory[[#This Row],[final_land]]+Grandview_Inventory[[#This Row],[final_imp]]+Grandview_Inventory[[#This Row],[crop_value]]</f>
        <v>342700</v>
      </c>
      <c r="CG238" t="str">
        <f t="shared" si="3"/>
        <v>update valuation set market_land =46000, market_bldg=296700, market_total =342700, market_mdno =401, market_date ='9/10/2023' where link_id = (select link_id from parcel where parcel_year = '2024' and parcel_id = '23091442420');</v>
      </c>
    </row>
    <row r="239" spans="1:85" x14ac:dyDescent="0.25">
      <c r="A239">
        <v>23091442421</v>
      </c>
      <c r="B239">
        <v>0.2</v>
      </c>
      <c r="C239">
        <v>8520</v>
      </c>
      <c r="D239" t="s">
        <v>129</v>
      </c>
      <c r="E239" t="s">
        <v>53</v>
      </c>
      <c r="F239" t="s">
        <v>53</v>
      </c>
      <c r="G239">
        <v>4</v>
      </c>
      <c r="H239" t="s">
        <v>54</v>
      </c>
      <c r="I239">
        <v>220100</v>
      </c>
      <c r="J239">
        <v>39300</v>
      </c>
      <c r="K239">
        <v>0.2</v>
      </c>
      <c r="L23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9">
        <v>0</v>
      </c>
      <c r="N239">
        <v>0</v>
      </c>
      <c r="O239">
        <v>0</v>
      </c>
      <c r="P239">
        <v>13398.7528</v>
      </c>
      <c r="Q239">
        <v>63903</v>
      </c>
      <c r="R239">
        <f>(Grandview_Inventory[[#This Row],[ln_acres]]*Grandview_Inventory[[#This Row],[coeff]])+Grandview_Inventory[[#This Row],[const]]</f>
        <v>42338.539264347448</v>
      </c>
      <c r="S239" t="s">
        <v>61</v>
      </c>
      <c r="T239">
        <v>1</v>
      </c>
      <c r="U239" t="s">
        <v>65</v>
      </c>
      <c r="V239" t="s">
        <v>66</v>
      </c>
      <c r="W239">
        <v>0</v>
      </c>
      <c r="X239">
        <v>0</v>
      </c>
      <c r="Y239">
        <v>16</v>
      </c>
      <c r="Z239">
        <v>16</v>
      </c>
      <c r="AA239">
        <v>20</v>
      </c>
      <c r="AB239">
        <v>1500</v>
      </c>
      <c r="AC239">
        <v>1228</v>
      </c>
      <c r="AD239">
        <v>1228</v>
      </c>
      <c r="AE239">
        <v>0</v>
      </c>
      <c r="AF239">
        <v>0</v>
      </c>
      <c r="AG239">
        <v>0</v>
      </c>
      <c r="AH239">
        <v>0</v>
      </c>
      <c r="AI239">
        <v>420</v>
      </c>
      <c r="AJ239">
        <v>0</v>
      </c>
      <c r="AK239">
        <v>0</v>
      </c>
      <c r="AL239">
        <v>0</v>
      </c>
      <c r="AM239">
        <v>112</v>
      </c>
      <c r="AN239">
        <v>30</v>
      </c>
      <c r="AO239">
        <v>0</v>
      </c>
      <c r="AP239">
        <v>8</v>
      </c>
      <c r="AQ239">
        <v>0</v>
      </c>
      <c r="AR239">
        <v>0</v>
      </c>
      <c r="AS239" t="s">
        <v>58</v>
      </c>
      <c r="AT239">
        <v>1</v>
      </c>
      <c r="AU239" t="s">
        <v>59</v>
      </c>
      <c r="AV239" t="s">
        <v>60</v>
      </c>
      <c r="AW239">
        <v>1</v>
      </c>
      <c r="AX239">
        <v>3</v>
      </c>
      <c r="AY239">
        <v>0</v>
      </c>
      <c r="AZ239">
        <v>0</v>
      </c>
      <c r="BA239">
        <v>100</v>
      </c>
      <c r="BB239">
        <v>100</v>
      </c>
      <c r="BC239">
        <v>100</v>
      </c>
      <c r="BD239">
        <v>100</v>
      </c>
      <c r="BE239">
        <v>1</v>
      </c>
      <c r="BF239">
        <v>15000</v>
      </c>
      <c r="BG239">
        <v>1000</v>
      </c>
      <c r="BH239" s="6">
        <f>Grandview_Inventory[[#This Row],[land_extract]]*Lookups!$B$3</f>
        <v>49167.631333630678</v>
      </c>
      <c r="BI239" s="6">
        <f>IF(Grandview_Inventory[[#This Row],[bldg_style]]="",0,Lookups!$B$2)</f>
        <v>155833.95000000001</v>
      </c>
      <c r="BJ239" s="6">
        <f>_xlfn.IFNA(VLOOKUP(Grandview_Inventory[[#This Row],[quality]],Lookups!$H$2:$J$14,3,FALSE),0)</f>
        <v>2251</v>
      </c>
      <c r="BK239" s="6">
        <f>_xlfn.IFNA(VLOOKUP(Grandview_Inventory[[#This Row],[condition]],Lookups!$H$17:$J$24,3,FALSE),0)</f>
        <v>25818</v>
      </c>
      <c r="BL239" s="6">
        <f>Grandview_Inventory[[#This Row],[Eff_Age]]*Lookups!$B$14</f>
        <v>-3826.6655999999998</v>
      </c>
      <c r="BM239" s="6">
        <f>Grandview_Inventory[[#This Row],[living_area]]*Lookups!$B$15</f>
        <v>76603.687484000009</v>
      </c>
      <c r="BN239" s="6">
        <f>Grandview_Inventory[[#This Row],[Fin BSMT]]*Lookups!$B$16</f>
        <v>0</v>
      </c>
      <c r="BO239" s="6">
        <f>(Grandview_Inventory[[#This Row],[att_gar]]+Grandview_Inventory[[#This Row],[bltin_gar]])*Lookups!$B$17</f>
        <v>36758.58354</v>
      </c>
      <c r="BP239" s="6">
        <f>Grandview_Inventory[[#This Row],[Plumbing Fixtures]]*Lookups!$B$18</f>
        <v>16083.5344</v>
      </c>
      <c r="BQ239" s="6">
        <f>Grandview_Inventory[[#This Row],[detatched_value]]*Lookups!$B$19</f>
        <v>0</v>
      </c>
      <c r="BR239" s="6">
        <f>SUM(Grandview_Inventory[[#This Row],[Intercept]:[det_value]])*Grandview_Inventory[[#This Row],[res_pct]]</f>
        <v>309522.08982400002</v>
      </c>
      <c r="BS239" s="6">
        <f>Grandview_Inventory[[#This Row],[land_value]]</f>
        <v>49167.631333630678</v>
      </c>
      <c r="BT239" s="4">
        <f>_xlfn.IFNA(VLOOKUP(Grandview_Inventory[[#This Row],[quality]],Lookups!$A$26:$C$33,3,FALSE),1)</f>
        <v>0.98763855981004833</v>
      </c>
      <c r="BU239" s="4">
        <f>_xlfn.IFNA(VLOOKUP(Grandview_Inventory[[#This Row],[condition]],Lookups!$A$37:$C$44,3,FALSE),1)</f>
        <v>0.96661476234146892</v>
      </c>
      <c r="BV239" s="4">
        <f>IF(Grandview_Inventory[[#This Row],[bldg_style]]="",1,_xlfn.IFNA(VLOOKUP(Grandview_Inventory[[#This Row],[decade]],Lookups!$F$29:$H$43,3,FALSE),1))</f>
        <v>0.96737494181490646</v>
      </c>
      <c r="BW239" s="4">
        <f>_xlfn.IFNA(VLOOKUP(Grandview_Inventory[[#This Row],[living_area_range]],Lookups!$F$47:$H$56,3,FALSE),1)</f>
        <v>0.96135087979789358</v>
      </c>
      <c r="BX239" s="4">
        <f>AVERAGE(Grandview_Inventory[[#This Row],[qual_adj]:[size_adj]])</f>
        <v>0.97074478594107938</v>
      </c>
      <c r="BY239" s="6">
        <f>IF(Grandview_Inventory[[#This Row],[pre_res]]&lt;0,0,Grandview_Inventory[[#This Row],[pre_res]]*Grandview_Inventory[[#This Row],[overall_adj]])</f>
        <v>300466.95483023446</v>
      </c>
      <c r="BZ239" s="6">
        <f>(Grandview_Inventory[[#This Row],[sum_land]]-IF(Grandview_Inventory[[#This Row],[no_utilities]]=1,12000,0))/IF(Grandview_Inventory[[#This Row],[unbuildable]]=1,2,1)</f>
        <v>49167.631333630678</v>
      </c>
      <c r="CA23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9">
        <f>ROUND(Grandview_Inventory[[#This Row],[det_value]]*Lookups!$M$28,-2)</f>
        <v>0</v>
      </c>
      <c r="CC239">
        <f>IF(ROUND(Grandview_Inventory[[#This Row],[adj_res]]*Lookups!$M$28,-2)&lt;Grandview_Inventory[[#This Row],[min_res]],Grandview_Inventory[[#This Row],[min_res]],ROUND(Grandview_Inventory[[#This Row],[adj_res]]*Lookups!$M$28,-2))</f>
        <v>285400</v>
      </c>
      <c r="CD239">
        <f>Grandview_Inventory[[#This Row],[final_det]]+Grandview_Inventory[[#This Row],[final_res]]</f>
        <v>285400</v>
      </c>
      <c r="CE239">
        <f>Grandview_Inventory[[#This Row],[final_land]]+Grandview_Inventory[[#This Row],[final_imp]]+Grandview_Inventory[[#This Row],[crop_value]]</f>
        <v>332100</v>
      </c>
      <c r="CG239" t="str">
        <f t="shared" si="3"/>
        <v>update valuation set market_land =46700, market_bldg=285400, market_total =332100, market_mdno =401, market_date ='9/10/2023' where link_id = (select link_id from parcel where parcel_year = '2024' and parcel_id = '23091442421');</v>
      </c>
    </row>
    <row r="240" spans="1:85" x14ac:dyDescent="0.25">
      <c r="A240">
        <v>23091442422</v>
      </c>
      <c r="B240">
        <v>0.2</v>
      </c>
      <c r="C240">
        <v>8520</v>
      </c>
      <c r="D240" t="s">
        <v>129</v>
      </c>
      <c r="E240" t="s">
        <v>53</v>
      </c>
      <c r="F240" t="s">
        <v>53</v>
      </c>
      <c r="G240">
        <v>4</v>
      </c>
      <c r="H240" t="s">
        <v>54</v>
      </c>
      <c r="I240">
        <v>206100</v>
      </c>
      <c r="J240">
        <v>39300</v>
      </c>
      <c r="K240">
        <v>0.2</v>
      </c>
      <c r="L24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0">
        <v>0</v>
      </c>
      <c r="N240">
        <v>0</v>
      </c>
      <c r="O240">
        <v>0</v>
      </c>
      <c r="P240">
        <v>13398.7528</v>
      </c>
      <c r="Q240">
        <v>63903</v>
      </c>
      <c r="R240">
        <f>(Grandview_Inventory[[#This Row],[ln_acres]]*Grandview_Inventory[[#This Row],[coeff]])+Grandview_Inventory[[#This Row],[const]]</f>
        <v>42338.539264347448</v>
      </c>
      <c r="S240" t="s">
        <v>61</v>
      </c>
      <c r="T240">
        <v>1</v>
      </c>
      <c r="U240" t="s">
        <v>65</v>
      </c>
      <c r="V240" t="s">
        <v>66</v>
      </c>
      <c r="W240">
        <v>0</v>
      </c>
      <c r="X240">
        <v>0</v>
      </c>
      <c r="Y240">
        <v>15</v>
      </c>
      <c r="Z240">
        <v>15</v>
      </c>
      <c r="AA240">
        <v>20</v>
      </c>
      <c r="AB240">
        <v>1500</v>
      </c>
      <c r="AC240">
        <v>1114</v>
      </c>
      <c r="AD240">
        <v>1114</v>
      </c>
      <c r="AE240">
        <v>0</v>
      </c>
      <c r="AF240">
        <v>0</v>
      </c>
      <c r="AG240">
        <v>0</v>
      </c>
      <c r="AH240">
        <v>0</v>
      </c>
      <c r="AI240">
        <v>288</v>
      </c>
      <c r="AJ240">
        <v>0</v>
      </c>
      <c r="AK240">
        <v>0</v>
      </c>
      <c r="AL240">
        <v>0</v>
      </c>
      <c r="AM240">
        <v>100</v>
      </c>
      <c r="AN240">
        <v>32</v>
      </c>
      <c r="AO240">
        <v>100</v>
      </c>
      <c r="AP240">
        <v>8</v>
      </c>
      <c r="AQ240">
        <v>0</v>
      </c>
      <c r="AR240">
        <v>0</v>
      </c>
      <c r="AS240" t="s">
        <v>58</v>
      </c>
      <c r="AT240">
        <v>1</v>
      </c>
      <c r="AU240" t="s">
        <v>59</v>
      </c>
      <c r="AV240" t="s">
        <v>60</v>
      </c>
      <c r="AW240">
        <v>1</v>
      </c>
      <c r="AX240">
        <v>3</v>
      </c>
      <c r="AY240">
        <v>0</v>
      </c>
      <c r="AZ240">
        <v>0</v>
      </c>
      <c r="BA240">
        <v>100</v>
      </c>
      <c r="BB240">
        <v>100</v>
      </c>
      <c r="BC240">
        <v>100</v>
      </c>
      <c r="BD240">
        <v>100</v>
      </c>
      <c r="BE240">
        <v>1</v>
      </c>
      <c r="BF240">
        <v>15000</v>
      </c>
      <c r="BG240">
        <v>1000</v>
      </c>
      <c r="BH240" s="6">
        <f>Grandview_Inventory[[#This Row],[land_extract]]*Lookups!$B$3</f>
        <v>49167.631333630678</v>
      </c>
      <c r="BI240" s="6">
        <f>IF(Grandview_Inventory[[#This Row],[bldg_style]]="",0,Lookups!$B$2)</f>
        <v>155833.95000000001</v>
      </c>
      <c r="BJ240" s="6">
        <f>_xlfn.IFNA(VLOOKUP(Grandview_Inventory[[#This Row],[quality]],Lookups!$H$2:$J$14,3,FALSE),0)</f>
        <v>2251</v>
      </c>
      <c r="BK240" s="6">
        <f>_xlfn.IFNA(VLOOKUP(Grandview_Inventory[[#This Row],[condition]],Lookups!$H$17:$J$24,3,FALSE),0)</f>
        <v>25818</v>
      </c>
      <c r="BL240" s="6">
        <f>Grandview_Inventory[[#This Row],[Eff_Age]]*Lookups!$B$14</f>
        <v>-3587.4989999999998</v>
      </c>
      <c r="BM240" s="6">
        <f>Grandview_Inventory[[#This Row],[living_area]]*Lookups!$B$15</f>
        <v>69492.270241999999</v>
      </c>
      <c r="BN240" s="6">
        <f>Grandview_Inventory[[#This Row],[Fin BSMT]]*Lookups!$B$16</f>
        <v>0</v>
      </c>
      <c r="BO240" s="6">
        <f>(Grandview_Inventory[[#This Row],[att_gar]]+Grandview_Inventory[[#This Row],[bltin_gar]])*Lookups!$B$17</f>
        <v>25205.885856000001</v>
      </c>
      <c r="BP240" s="6">
        <f>Grandview_Inventory[[#This Row],[Plumbing Fixtures]]*Lookups!$B$18</f>
        <v>16083.5344</v>
      </c>
      <c r="BQ240" s="6">
        <f>Grandview_Inventory[[#This Row],[detatched_value]]*Lookups!$B$19</f>
        <v>0</v>
      </c>
      <c r="BR240" s="6">
        <f>SUM(Grandview_Inventory[[#This Row],[Intercept]:[det_value]])*Grandview_Inventory[[#This Row],[res_pct]]</f>
        <v>291097.14149800001</v>
      </c>
      <c r="BS240" s="6">
        <f>Grandview_Inventory[[#This Row],[land_value]]</f>
        <v>49167.631333630678</v>
      </c>
      <c r="BT240" s="4">
        <f>_xlfn.IFNA(VLOOKUP(Grandview_Inventory[[#This Row],[quality]],Lookups!$A$26:$C$33,3,FALSE),1)</f>
        <v>0.98763855981004833</v>
      </c>
      <c r="BU240" s="4">
        <f>_xlfn.IFNA(VLOOKUP(Grandview_Inventory[[#This Row],[condition]],Lookups!$A$37:$C$44,3,FALSE),1)</f>
        <v>0.96661476234146892</v>
      </c>
      <c r="BV240" s="4">
        <f>IF(Grandview_Inventory[[#This Row],[bldg_style]]="",1,_xlfn.IFNA(VLOOKUP(Grandview_Inventory[[#This Row],[decade]],Lookups!$F$29:$H$43,3,FALSE),1))</f>
        <v>0.96737494181490646</v>
      </c>
      <c r="BW240" s="4">
        <f>_xlfn.IFNA(VLOOKUP(Grandview_Inventory[[#This Row],[living_area_range]],Lookups!$F$47:$H$56,3,FALSE),1)</f>
        <v>0.96135087979789358</v>
      </c>
      <c r="BX240" s="4">
        <f>AVERAGE(Grandview_Inventory[[#This Row],[qual_adj]:[size_adj]])</f>
        <v>0.97074478594107938</v>
      </c>
      <c r="BY240" s="6">
        <f>IF(Grandview_Inventory[[#This Row],[pre_res]]&lt;0,0,Grandview_Inventory[[#This Row],[pre_res]]*Grandview_Inventory[[#This Row],[overall_adj]])</f>
        <v>282581.03231153614</v>
      </c>
      <c r="BZ240" s="6">
        <f>(Grandview_Inventory[[#This Row],[sum_land]]-IF(Grandview_Inventory[[#This Row],[no_utilities]]=1,12000,0))/IF(Grandview_Inventory[[#This Row],[unbuildable]]=1,2,1)</f>
        <v>49167.631333630678</v>
      </c>
      <c r="CA24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0">
        <f>ROUND(Grandview_Inventory[[#This Row],[det_value]]*Lookups!$M$28,-2)</f>
        <v>0</v>
      </c>
      <c r="CC240">
        <f>IF(ROUND(Grandview_Inventory[[#This Row],[adj_res]]*Lookups!$M$28,-2)&lt;Grandview_Inventory[[#This Row],[min_res]],Grandview_Inventory[[#This Row],[min_res]],ROUND(Grandview_Inventory[[#This Row],[adj_res]]*Lookups!$M$28,-2))</f>
        <v>268500</v>
      </c>
      <c r="CD240">
        <f>Grandview_Inventory[[#This Row],[final_det]]+Grandview_Inventory[[#This Row],[final_res]]</f>
        <v>268500</v>
      </c>
      <c r="CE240">
        <f>Grandview_Inventory[[#This Row],[final_land]]+Grandview_Inventory[[#This Row],[final_imp]]+Grandview_Inventory[[#This Row],[crop_value]]</f>
        <v>315200</v>
      </c>
      <c r="CG240" t="str">
        <f t="shared" si="3"/>
        <v>update valuation set market_land =46700, market_bldg=268500, market_total =315200, market_mdno =401, market_date ='9/10/2023' where link_id = (select link_id from parcel where parcel_year = '2024' and parcel_id = '23091442422');</v>
      </c>
    </row>
    <row r="241" spans="1:85" x14ac:dyDescent="0.25">
      <c r="A241">
        <v>23091442423</v>
      </c>
      <c r="B241">
        <v>0.2</v>
      </c>
      <c r="C241">
        <v>8520</v>
      </c>
      <c r="D241" t="s">
        <v>129</v>
      </c>
      <c r="E241" t="s">
        <v>53</v>
      </c>
      <c r="F241" t="s">
        <v>53</v>
      </c>
      <c r="G241">
        <v>4</v>
      </c>
      <c r="H241" t="s">
        <v>54</v>
      </c>
      <c r="I241">
        <v>206100</v>
      </c>
      <c r="J241">
        <v>39300</v>
      </c>
      <c r="K241">
        <v>0.2</v>
      </c>
      <c r="L24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1">
        <v>0</v>
      </c>
      <c r="N241">
        <v>0</v>
      </c>
      <c r="O241">
        <v>0</v>
      </c>
      <c r="P241">
        <v>13398.7528</v>
      </c>
      <c r="Q241">
        <v>63903</v>
      </c>
      <c r="R241">
        <f>(Grandview_Inventory[[#This Row],[ln_acres]]*Grandview_Inventory[[#This Row],[coeff]])+Grandview_Inventory[[#This Row],[const]]</f>
        <v>42338.539264347448</v>
      </c>
      <c r="S241" t="s">
        <v>61</v>
      </c>
      <c r="T241">
        <v>1</v>
      </c>
      <c r="U241" t="s">
        <v>65</v>
      </c>
      <c r="V241" t="s">
        <v>66</v>
      </c>
      <c r="W241">
        <v>0</v>
      </c>
      <c r="X241">
        <v>0</v>
      </c>
      <c r="Y241">
        <v>15</v>
      </c>
      <c r="Z241">
        <v>15</v>
      </c>
      <c r="AA241">
        <v>20</v>
      </c>
      <c r="AB241">
        <v>1500</v>
      </c>
      <c r="AC241">
        <v>1114</v>
      </c>
      <c r="AD241">
        <v>1114</v>
      </c>
      <c r="AE241">
        <v>0</v>
      </c>
      <c r="AF241">
        <v>0</v>
      </c>
      <c r="AG241">
        <v>0</v>
      </c>
      <c r="AH241">
        <v>0</v>
      </c>
      <c r="AI241">
        <v>288</v>
      </c>
      <c r="AJ241">
        <v>0</v>
      </c>
      <c r="AK241">
        <v>0</v>
      </c>
      <c r="AL241">
        <v>0</v>
      </c>
      <c r="AM241">
        <v>112</v>
      </c>
      <c r="AN241">
        <v>92</v>
      </c>
      <c r="AO241">
        <v>0</v>
      </c>
      <c r="AP241">
        <v>8</v>
      </c>
      <c r="AQ241">
        <v>0</v>
      </c>
      <c r="AR241">
        <v>0</v>
      </c>
      <c r="AS241" t="s">
        <v>58</v>
      </c>
      <c r="AT241">
        <v>1</v>
      </c>
      <c r="AU241" t="s">
        <v>59</v>
      </c>
      <c r="AV241" t="s">
        <v>60</v>
      </c>
      <c r="AW241">
        <v>1</v>
      </c>
      <c r="AX241">
        <v>3</v>
      </c>
      <c r="AY241">
        <v>0</v>
      </c>
      <c r="AZ241">
        <v>0</v>
      </c>
      <c r="BA241">
        <v>100</v>
      </c>
      <c r="BB241">
        <v>100</v>
      </c>
      <c r="BC241">
        <v>100</v>
      </c>
      <c r="BD241">
        <v>100</v>
      </c>
      <c r="BE241">
        <v>1</v>
      </c>
      <c r="BF241">
        <v>15000</v>
      </c>
      <c r="BG241">
        <v>1000</v>
      </c>
      <c r="BH241" s="6">
        <f>Grandview_Inventory[[#This Row],[land_extract]]*Lookups!$B$3</f>
        <v>49167.631333630678</v>
      </c>
      <c r="BI241" s="6">
        <f>IF(Grandview_Inventory[[#This Row],[bldg_style]]="",0,Lookups!$B$2)</f>
        <v>155833.95000000001</v>
      </c>
      <c r="BJ241" s="6">
        <f>_xlfn.IFNA(VLOOKUP(Grandview_Inventory[[#This Row],[quality]],Lookups!$H$2:$J$14,3,FALSE),0)</f>
        <v>2251</v>
      </c>
      <c r="BK241" s="6">
        <f>_xlfn.IFNA(VLOOKUP(Grandview_Inventory[[#This Row],[condition]],Lookups!$H$17:$J$24,3,FALSE),0)</f>
        <v>25818</v>
      </c>
      <c r="BL241" s="6">
        <f>Grandview_Inventory[[#This Row],[Eff_Age]]*Lookups!$B$14</f>
        <v>-3587.4989999999998</v>
      </c>
      <c r="BM241" s="6">
        <f>Grandview_Inventory[[#This Row],[living_area]]*Lookups!$B$15</f>
        <v>69492.270241999999</v>
      </c>
      <c r="BN241" s="6">
        <f>Grandview_Inventory[[#This Row],[Fin BSMT]]*Lookups!$B$16</f>
        <v>0</v>
      </c>
      <c r="BO241" s="6">
        <f>(Grandview_Inventory[[#This Row],[att_gar]]+Grandview_Inventory[[#This Row],[bltin_gar]])*Lookups!$B$17</f>
        <v>25205.885856000001</v>
      </c>
      <c r="BP241" s="6">
        <f>Grandview_Inventory[[#This Row],[Plumbing Fixtures]]*Lookups!$B$18</f>
        <v>16083.5344</v>
      </c>
      <c r="BQ241" s="6">
        <f>Grandview_Inventory[[#This Row],[detatched_value]]*Lookups!$B$19</f>
        <v>0</v>
      </c>
      <c r="BR241" s="6">
        <f>SUM(Grandview_Inventory[[#This Row],[Intercept]:[det_value]])*Grandview_Inventory[[#This Row],[res_pct]]</f>
        <v>291097.14149800001</v>
      </c>
      <c r="BS241" s="6">
        <f>Grandview_Inventory[[#This Row],[land_value]]</f>
        <v>49167.631333630678</v>
      </c>
      <c r="BT241" s="4">
        <f>_xlfn.IFNA(VLOOKUP(Grandview_Inventory[[#This Row],[quality]],Lookups!$A$26:$C$33,3,FALSE),1)</f>
        <v>0.98763855981004833</v>
      </c>
      <c r="BU241" s="4">
        <f>_xlfn.IFNA(VLOOKUP(Grandview_Inventory[[#This Row],[condition]],Lookups!$A$37:$C$44,3,FALSE),1)</f>
        <v>0.96661476234146892</v>
      </c>
      <c r="BV241" s="4">
        <f>IF(Grandview_Inventory[[#This Row],[bldg_style]]="",1,_xlfn.IFNA(VLOOKUP(Grandview_Inventory[[#This Row],[decade]],Lookups!$F$29:$H$43,3,FALSE),1))</f>
        <v>0.96737494181490646</v>
      </c>
      <c r="BW241" s="4">
        <f>_xlfn.IFNA(VLOOKUP(Grandview_Inventory[[#This Row],[living_area_range]],Lookups!$F$47:$H$56,3,FALSE),1)</f>
        <v>0.96135087979789358</v>
      </c>
      <c r="BX241" s="4">
        <f>AVERAGE(Grandview_Inventory[[#This Row],[qual_adj]:[size_adj]])</f>
        <v>0.97074478594107938</v>
      </c>
      <c r="BY241" s="6">
        <f>IF(Grandview_Inventory[[#This Row],[pre_res]]&lt;0,0,Grandview_Inventory[[#This Row],[pre_res]]*Grandview_Inventory[[#This Row],[overall_adj]])</f>
        <v>282581.03231153614</v>
      </c>
      <c r="BZ241" s="6">
        <f>(Grandview_Inventory[[#This Row],[sum_land]]-IF(Grandview_Inventory[[#This Row],[no_utilities]]=1,12000,0))/IF(Grandview_Inventory[[#This Row],[unbuildable]]=1,2,1)</f>
        <v>49167.631333630678</v>
      </c>
      <c r="CA24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1">
        <f>ROUND(Grandview_Inventory[[#This Row],[det_value]]*Lookups!$M$28,-2)</f>
        <v>0</v>
      </c>
      <c r="CC241">
        <f>IF(ROUND(Grandview_Inventory[[#This Row],[adj_res]]*Lookups!$M$28,-2)&lt;Grandview_Inventory[[#This Row],[min_res]],Grandview_Inventory[[#This Row],[min_res]],ROUND(Grandview_Inventory[[#This Row],[adj_res]]*Lookups!$M$28,-2))</f>
        <v>268500</v>
      </c>
      <c r="CD241">
        <f>Grandview_Inventory[[#This Row],[final_det]]+Grandview_Inventory[[#This Row],[final_res]]</f>
        <v>268500</v>
      </c>
      <c r="CE241">
        <f>Grandview_Inventory[[#This Row],[final_land]]+Grandview_Inventory[[#This Row],[final_imp]]+Grandview_Inventory[[#This Row],[crop_value]]</f>
        <v>315200</v>
      </c>
      <c r="CG241" t="str">
        <f t="shared" si="3"/>
        <v>update valuation set market_land =46700, market_bldg=268500, market_total =315200, market_mdno =401, market_date ='9/10/2023' where link_id = (select link_id from parcel where parcel_year = '2024' and parcel_id = '23091442423');</v>
      </c>
    </row>
    <row r="242" spans="1:85" x14ac:dyDescent="0.25">
      <c r="A242">
        <v>23091442424</v>
      </c>
      <c r="B242">
        <v>0.2</v>
      </c>
      <c r="C242">
        <v>8520</v>
      </c>
      <c r="D242" t="s">
        <v>129</v>
      </c>
      <c r="E242" t="s">
        <v>53</v>
      </c>
      <c r="F242" t="s">
        <v>53</v>
      </c>
      <c r="G242">
        <v>4</v>
      </c>
      <c r="H242" t="s">
        <v>54</v>
      </c>
      <c r="I242">
        <v>204200</v>
      </c>
      <c r="J242">
        <v>39300</v>
      </c>
      <c r="K242">
        <v>0.2</v>
      </c>
      <c r="L24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2">
        <v>0</v>
      </c>
      <c r="N242">
        <v>0</v>
      </c>
      <c r="O242">
        <v>0</v>
      </c>
      <c r="P242">
        <v>13398.7528</v>
      </c>
      <c r="Q242">
        <v>63903</v>
      </c>
      <c r="R242">
        <f>(Grandview_Inventory[[#This Row],[ln_acres]]*Grandview_Inventory[[#This Row],[coeff]])+Grandview_Inventory[[#This Row],[const]]</f>
        <v>42338.539264347448</v>
      </c>
      <c r="S242" t="s">
        <v>61</v>
      </c>
      <c r="T242">
        <v>1</v>
      </c>
      <c r="U242" t="s">
        <v>62</v>
      </c>
      <c r="V242" t="s">
        <v>66</v>
      </c>
      <c r="W242">
        <v>0</v>
      </c>
      <c r="X242">
        <v>0</v>
      </c>
      <c r="Y242">
        <v>15</v>
      </c>
      <c r="Z242">
        <v>15</v>
      </c>
      <c r="AA242">
        <v>20</v>
      </c>
      <c r="AB242">
        <v>1500</v>
      </c>
      <c r="AC242">
        <v>1116</v>
      </c>
      <c r="AD242">
        <v>1116</v>
      </c>
      <c r="AE242">
        <v>0</v>
      </c>
      <c r="AF242">
        <v>0</v>
      </c>
      <c r="AG242">
        <v>0</v>
      </c>
      <c r="AH242">
        <v>0</v>
      </c>
      <c r="AI242">
        <v>288</v>
      </c>
      <c r="AJ242">
        <v>0</v>
      </c>
      <c r="AK242">
        <v>0</v>
      </c>
      <c r="AL242">
        <v>0</v>
      </c>
      <c r="AM242">
        <v>152</v>
      </c>
      <c r="AN242">
        <v>32</v>
      </c>
      <c r="AO242">
        <v>0</v>
      </c>
      <c r="AP242">
        <v>8</v>
      </c>
      <c r="AQ242">
        <v>0</v>
      </c>
      <c r="AR242">
        <v>0</v>
      </c>
      <c r="AS242" t="s">
        <v>58</v>
      </c>
      <c r="AT242">
        <v>1</v>
      </c>
      <c r="AU242" t="s">
        <v>59</v>
      </c>
      <c r="AV242" t="s">
        <v>60</v>
      </c>
      <c r="AW242">
        <v>1</v>
      </c>
      <c r="AX242">
        <v>3</v>
      </c>
      <c r="AY242">
        <v>0</v>
      </c>
      <c r="AZ242">
        <v>0</v>
      </c>
      <c r="BA242">
        <v>100</v>
      </c>
      <c r="BB242">
        <v>100</v>
      </c>
      <c r="BC242">
        <v>100</v>
      </c>
      <c r="BD242">
        <v>100</v>
      </c>
      <c r="BE242">
        <v>1</v>
      </c>
      <c r="BF242">
        <v>15000</v>
      </c>
      <c r="BG242">
        <v>1000</v>
      </c>
      <c r="BH242" s="6">
        <f>Grandview_Inventory[[#This Row],[land_extract]]*Lookups!$B$3</f>
        <v>49167.631333630678</v>
      </c>
      <c r="BI242" s="6">
        <f>IF(Grandview_Inventory[[#This Row],[bldg_style]]="",0,Lookups!$B$2)</f>
        <v>155833.95000000001</v>
      </c>
      <c r="BJ242" s="6">
        <f>_xlfn.IFNA(VLOOKUP(Grandview_Inventory[[#This Row],[quality]],Lookups!$H$2:$J$14,3,FALSE),0)</f>
        <v>9808</v>
      </c>
      <c r="BK242" s="6">
        <f>_xlfn.IFNA(VLOOKUP(Grandview_Inventory[[#This Row],[condition]],Lookups!$H$17:$J$24,3,FALSE),0)</f>
        <v>25818</v>
      </c>
      <c r="BL242" s="6">
        <f>Grandview_Inventory[[#This Row],[Eff_Age]]*Lookups!$B$14</f>
        <v>-3587.4989999999998</v>
      </c>
      <c r="BM242" s="6">
        <f>Grandview_Inventory[[#This Row],[living_area]]*Lookups!$B$15</f>
        <v>69617.031948000003</v>
      </c>
      <c r="BN242" s="6">
        <f>Grandview_Inventory[[#This Row],[Fin BSMT]]*Lookups!$B$16</f>
        <v>0</v>
      </c>
      <c r="BO242" s="6">
        <f>(Grandview_Inventory[[#This Row],[att_gar]]+Grandview_Inventory[[#This Row],[bltin_gar]])*Lookups!$B$17</f>
        <v>25205.885856000001</v>
      </c>
      <c r="BP242" s="6">
        <f>Grandview_Inventory[[#This Row],[Plumbing Fixtures]]*Lookups!$B$18</f>
        <v>16083.5344</v>
      </c>
      <c r="BQ242" s="6">
        <f>Grandview_Inventory[[#This Row],[detatched_value]]*Lookups!$B$19</f>
        <v>0</v>
      </c>
      <c r="BR242" s="6">
        <f>SUM(Grandview_Inventory[[#This Row],[Intercept]:[det_value]])*Grandview_Inventory[[#This Row],[res_pct]]</f>
        <v>298778.90320400003</v>
      </c>
      <c r="BS242" s="6">
        <f>Grandview_Inventory[[#This Row],[land_value]]</f>
        <v>49167.631333630678</v>
      </c>
      <c r="BT242" s="4">
        <f>_xlfn.IFNA(VLOOKUP(Grandview_Inventory[[#This Row],[quality]],Lookups!$A$26:$C$33,3,FALSE),1)</f>
        <v>0.94295468617355149</v>
      </c>
      <c r="BU242" s="4">
        <f>_xlfn.IFNA(VLOOKUP(Grandview_Inventory[[#This Row],[condition]],Lookups!$A$37:$C$44,3,FALSE),1)</f>
        <v>0.96661476234146892</v>
      </c>
      <c r="BV242" s="4">
        <f>IF(Grandview_Inventory[[#This Row],[bldg_style]]="",1,_xlfn.IFNA(VLOOKUP(Grandview_Inventory[[#This Row],[decade]],Lookups!$F$29:$H$43,3,FALSE),1))</f>
        <v>0.96737494181490646</v>
      </c>
      <c r="BW242" s="4">
        <f>_xlfn.IFNA(VLOOKUP(Grandview_Inventory[[#This Row],[living_area_range]],Lookups!$F$47:$H$56,3,FALSE),1)</f>
        <v>0.96135087979789358</v>
      </c>
      <c r="BX242" s="4">
        <f>AVERAGE(Grandview_Inventory[[#This Row],[qual_adj]:[size_adj]])</f>
        <v>0.95957381753195514</v>
      </c>
      <c r="BY242" s="6">
        <f>IF(Grandview_Inventory[[#This Row],[pre_res]]&lt;0,0,Grandview_Inventory[[#This Row],[pre_res]]*Grandview_Inventory[[#This Row],[overall_adj]])</f>
        <v>286700.4127454728</v>
      </c>
      <c r="BZ242" s="6">
        <f>(Grandview_Inventory[[#This Row],[sum_land]]-IF(Grandview_Inventory[[#This Row],[no_utilities]]=1,12000,0))/IF(Grandview_Inventory[[#This Row],[unbuildable]]=1,2,1)</f>
        <v>49167.631333630678</v>
      </c>
      <c r="CA24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2">
        <f>ROUND(Grandview_Inventory[[#This Row],[det_value]]*Lookups!$M$28,-2)</f>
        <v>0</v>
      </c>
      <c r="CC242">
        <f>IF(ROUND(Grandview_Inventory[[#This Row],[adj_res]]*Lookups!$M$28,-2)&lt;Grandview_Inventory[[#This Row],[min_res]],Grandview_Inventory[[#This Row],[min_res]],ROUND(Grandview_Inventory[[#This Row],[adj_res]]*Lookups!$M$28,-2))</f>
        <v>272400</v>
      </c>
      <c r="CD242">
        <f>Grandview_Inventory[[#This Row],[final_det]]+Grandview_Inventory[[#This Row],[final_res]]</f>
        <v>272400</v>
      </c>
      <c r="CE242">
        <f>Grandview_Inventory[[#This Row],[final_land]]+Grandview_Inventory[[#This Row],[final_imp]]+Grandview_Inventory[[#This Row],[crop_value]]</f>
        <v>319100</v>
      </c>
      <c r="CG242" t="str">
        <f t="shared" si="3"/>
        <v>update valuation set market_land =46700, market_bldg=272400, market_total =319100, market_mdno =401, market_date ='9/10/2023' where link_id = (select link_id from parcel where parcel_year = '2024' and parcel_id = '23091442424');</v>
      </c>
    </row>
    <row r="243" spans="1:85" x14ac:dyDescent="0.25">
      <c r="A243">
        <v>23091442425</v>
      </c>
      <c r="B243">
        <v>0.2</v>
      </c>
      <c r="C243">
        <v>8520</v>
      </c>
      <c r="D243" t="s">
        <v>129</v>
      </c>
      <c r="E243" t="s">
        <v>53</v>
      </c>
      <c r="F243" t="s">
        <v>53</v>
      </c>
      <c r="G243">
        <v>4</v>
      </c>
      <c r="H243" t="s">
        <v>54</v>
      </c>
      <c r="I243">
        <v>206400</v>
      </c>
      <c r="J243">
        <v>39300</v>
      </c>
      <c r="K243">
        <v>0.2</v>
      </c>
      <c r="L24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3">
        <v>0</v>
      </c>
      <c r="N243">
        <v>0</v>
      </c>
      <c r="O243">
        <v>0</v>
      </c>
      <c r="P243">
        <v>13398.7528</v>
      </c>
      <c r="Q243">
        <v>63903</v>
      </c>
      <c r="R243">
        <f>(Grandview_Inventory[[#This Row],[ln_acres]]*Grandview_Inventory[[#This Row],[coeff]])+Grandview_Inventory[[#This Row],[const]]</f>
        <v>42338.539264347448</v>
      </c>
      <c r="S243" t="s">
        <v>61</v>
      </c>
      <c r="T243">
        <v>1</v>
      </c>
      <c r="U243" t="s">
        <v>65</v>
      </c>
      <c r="V243" t="s">
        <v>66</v>
      </c>
      <c r="W243">
        <v>0</v>
      </c>
      <c r="X243">
        <v>0</v>
      </c>
      <c r="Y243">
        <v>15</v>
      </c>
      <c r="Z243">
        <v>15</v>
      </c>
      <c r="AA243">
        <v>20</v>
      </c>
      <c r="AB243">
        <v>1500</v>
      </c>
      <c r="AC243">
        <v>1119</v>
      </c>
      <c r="AD243">
        <v>1119</v>
      </c>
      <c r="AE243">
        <v>0</v>
      </c>
      <c r="AF243">
        <v>0</v>
      </c>
      <c r="AG243">
        <v>0</v>
      </c>
      <c r="AH243">
        <v>0</v>
      </c>
      <c r="AI243">
        <v>288</v>
      </c>
      <c r="AJ243">
        <v>0</v>
      </c>
      <c r="AK243">
        <v>0</v>
      </c>
      <c r="AL243">
        <v>0</v>
      </c>
      <c r="AM243">
        <v>120</v>
      </c>
      <c r="AN243">
        <v>32</v>
      </c>
      <c r="AO243">
        <v>0</v>
      </c>
      <c r="AP243">
        <v>8</v>
      </c>
      <c r="AQ243">
        <v>0</v>
      </c>
      <c r="AR243">
        <v>0</v>
      </c>
      <c r="AS243" t="s">
        <v>58</v>
      </c>
      <c r="AT243">
        <v>1</v>
      </c>
      <c r="AU243" t="s">
        <v>59</v>
      </c>
      <c r="AV243" t="s">
        <v>60</v>
      </c>
      <c r="AW243">
        <v>1</v>
      </c>
      <c r="AX243">
        <v>3</v>
      </c>
      <c r="AY243">
        <v>0</v>
      </c>
      <c r="AZ243">
        <v>0</v>
      </c>
      <c r="BA243">
        <v>100</v>
      </c>
      <c r="BB243">
        <v>100</v>
      </c>
      <c r="BC243">
        <v>100</v>
      </c>
      <c r="BD243">
        <v>100</v>
      </c>
      <c r="BE243">
        <v>1</v>
      </c>
      <c r="BF243">
        <v>15000</v>
      </c>
      <c r="BG243">
        <v>1000</v>
      </c>
      <c r="BH243" s="6">
        <f>Grandview_Inventory[[#This Row],[land_extract]]*Lookups!$B$3</f>
        <v>49167.631333630678</v>
      </c>
      <c r="BI243" s="6">
        <f>IF(Grandview_Inventory[[#This Row],[bldg_style]]="",0,Lookups!$B$2)</f>
        <v>155833.95000000001</v>
      </c>
      <c r="BJ243" s="6">
        <f>_xlfn.IFNA(VLOOKUP(Grandview_Inventory[[#This Row],[quality]],Lookups!$H$2:$J$14,3,FALSE),0)</f>
        <v>2251</v>
      </c>
      <c r="BK243" s="6">
        <f>_xlfn.IFNA(VLOOKUP(Grandview_Inventory[[#This Row],[condition]],Lookups!$H$17:$J$24,3,FALSE),0)</f>
        <v>25818</v>
      </c>
      <c r="BL243" s="6">
        <f>Grandview_Inventory[[#This Row],[Eff_Age]]*Lookups!$B$14</f>
        <v>-3587.4989999999998</v>
      </c>
      <c r="BM243" s="6">
        <f>Grandview_Inventory[[#This Row],[living_area]]*Lookups!$B$15</f>
        <v>69804.174507000003</v>
      </c>
      <c r="BN243" s="6">
        <f>Grandview_Inventory[[#This Row],[Fin BSMT]]*Lookups!$B$16</f>
        <v>0</v>
      </c>
      <c r="BO243" s="6">
        <f>(Grandview_Inventory[[#This Row],[att_gar]]+Grandview_Inventory[[#This Row],[bltin_gar]])*Lookups!$B$17</f>
        <v>25205.885856000001</v>
      </c>
      <c r="BP243" s="6">
        <f>Grandview_Inventory[[#This Row],[Plumbing Fixtures]]*Lookups!$B$18</f>
        <v>16083.5344</v>
      </c>
      <c r="BQ243" s="6">
        <f>Grandview_Inventory[[#This Row],[detatched_value]]*Lookups!$B$19</f>
        <v>0</v>
      </c>
      <c r="BR243" s="6">
        <f>SUM(Grandview_Inventory[[#This Row],[Intercept]:[det_value]])*Grandview_Inventory[[#This Row],[res_pct]]</f>
        <v>291409.04576300003</v>
      </c>
      <c r="BS243" s="6">
        <f>Grandview_Inventory[[#This Row],[land_value]]</f>
        <v>49167.631333630678</v>
      </c>
      <c r="BT243" s="4">
        <f>_xlfn.IFNA(VLOOKUP(Grandview_Inventory[[#This Row],[quality]],Lookups!$A$26:$C$33,3,FALSE),1)</f>
        <v>0.98763855981004833</v>
      </c>
      <c r="BU243" s="4">
        <f>_xlfn.IFNA(VLOOKUP(Grandview_Inventory[[#This Row],[condition]],Lookups!$A$37:$C$44,3,FALSE),1)</f>
        <v>0.96661476234146892</v>
      </c>
      <c r="BV243" s="4">
        <f>IF(Grandview_Inventory[[#This Row],[bldg_style]]="",1,_xlfn.IFNA(VLOOKUP(Grandview_Inventory[[#This Row],[decade]],Lookups!$F$29:$H$43,3,FALSE),1))</f>
        <v>0.96737494181490646</v>
      </c>
      <c r="BW243" s="4">
        <f>_xlfn.IFNA(VLOOKUP(Grandview_Inventory[[#This Row],[living_area_range]],Lookups!$F$47:$H$56,3,FALSE),1)</f>
        <v>0.96135087979789358</v>
      </c>
      <c r="BX243" s="4">
        <f>AVERAGE(Grandview_Inventory[[#This Row],[qual_adj]:[size_adj]])</f>
        <v>0.97074478594107938</v>
      </c>
      <c r="BY243" s="6">
        <f>IF(Grandview_Inventory[[#This Row],[pre_res]]&lt;0,0,Grandview_Inventory[[#This Row],[pre_res]]*Grandview_Inventory[[#This Row],[overall_adj]])</f>
        <v>282883.81175049767</v>
      </c>
      <c r="BZ243" s="6">
        <f>(Grandview_Inventory[[#This Row],[sum_land]]-IF(Grandview_Inventory[[#This Row],[no_utilities]]=1,12000,0))/IF(Grandview_Inventory[[#This Row],[unbuildable]]=1,2,1)</f>
        <v>49167.631333630678</v>
      </c>
      <c r="CA24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3">
        <f>ROUND(Grandview_Inventory[[#This Row],[det_value]]*Lookups!$M$28,-2)</f>
        <v>0</v>
      </c>
      <c r="CC243">
        <f>IF(ROUND(Grandview_Inventory[[#This Row],[adj_res]]*Lookups!$M$28,-2)&lt;Grandview_Inventory[[#This Row],[min_res]],Grandview_Inventory[[#This Row],[min_res]],ROUND(Grandview_Inventory[[#This Row],[adj_res]]*Lookups!$M$28,-2))</f>
        <v>268700</v>
      </c>
      <c r="CD243">
        <f>Grandview_Inventory[[#This Row],[final_det]]+Grandview_Inventory[[#This Row],[final_res]]</f>
        <v>268700</v>
      </c>
      <c r="CE243">
        <f>Grandview_Inventory[[#This Row],[final_land]]+Grandview_Inventory[[#This Row],[final_imp]]+Grandview_Inventory[[#This Row],[crop_value]]</f>
        <v>315400</v>
      </c>
      <c r="CG243" t="str">
        <f t="shared" si="3"/>
        <v>update valuation set market_land =46700, market_bldg=268700, market_total =315400, market_mdno =401, market_date ='9/10/2023' where link_id = (select link_id from parcel where parcel_year = '2024' and parcel_id = '23091442425');</v>
      </c>
    </row>
    <row r="244" spans="1:85" x14ac:dyDescent="0.25">
      <c r="A244">
        <v>23091442426</v>
      </c>
      <c r="B244">
        <v>0.2</v>
      </c>
      <c r="C244">
        <v>8533</v>
      </c>
      <c r="D244" t="s">
        <v>129</v>
      </c>
      <c r="E244" t="s">
        <v>53</v>
      </c>
      <c r="F244" t="s">
        <v>53</v>
      </c>
      <c r="G244">
        <v>4</v>
      </c>
      <c r="H244" t="s">
        <v>54</v>
      </c>
      <c r="I244">
        <v>206200</v>
      </c>
      <c r="J244">
        <v>39100</v>
      </c>
      <c r="K244">
        <v>0.2</v>
      </c>
      <c r="L24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4">
        <v>0</v>
      </c>
      <c r="N244">
        <v>0</v>
      </c>
      <c r="O244">
        <v>0</v>
      </c>
      <c r="P244">
        <v>13398.7528</v>
      </c>
      <c r="Q244">
        <v>63903</v>
      </c>
      <c r="R244">
        <f>(Grandview_Inventory[[#This Row],[ln_acres]]*Grandview_Inventory[[#This Row],[coeff]])+Grandview_Inventory[[#This Row],[const]]</f>
        <v>42338.539264347448</v>
      </c>
      <c r="S244" t="s">
        <v>61</v>
      </c>
      <c r="T244">
        <v>1</v>
      </c>
      <c r="U244" t="s">
        <v>65</v>
      </c>
      <c r="V244" t="s">
        <v>66</v>
      </c>
      <c r="W244">
        <v>0</v>
      </c>
      <c r="X244">
        <v>0</v>
      </c>
      <c r="Y244">
        <v>15</v>
      </c>
      <c r="Z244">
        <v>15</v>
      </c>
      <c r="AA244">
        <v>20</v>
      </c>
      <c r="AB244">
        <v>1500</v>
      </c>
      <c r="AC244">
        <v>1116</v>
      </c>
      <c r="AD244">
        <v>1116</v>
      </c>
      <c r="AE244">
        <v>0</v>
      </c>
      <c r="AF244">
        <v>0</v>
      </c>
      <c r="AG244">
        <v>0</v>
      </c>
      <c r="AH244">
        <v>0</v>
      </c>
      <c r="AI244">
        <v>288</v>
      </c>
      <c r="AJ244">
        <v>0</v>
      </c>
      <c r="AK244">
        <v>0</v>
      </c>
      <c r="AL244">
        <v>0</v>
      </c>
      <c r="AM244">
        <v>112</v>
      </c>
      <c r="AN244">
        <v>80</v>
      </c>
      <c r="AO244">
        <v>0</v>
      </c>
      <c r="AP244">
        <v>8</v>
      </c>
      <c r="AQ244">
        <v>0</v>
      </c>
      <c r="AR244">
        <v>0</v>
      </c>
      <c r="AS244" t="s">
        <v>58</v>
      </c>
      <c r="AT244">
        <v>1</v>
      </c>
      <c r="AU244" t="s">
        <v>59</v>
      </c>
      <c r="AV244" t="s">
        <v>60</v>
      </c>
      <c r="AW244">
        <v>1</v>
      </c>
      <c r="AX244">
        <v>3</v>
      </c>
      <c r="AY244">
        <v>0</v>
      </c>
      <c r="AZ244">
        <v>0</v>
      </c>
      <c r="BA244">
        <v>100</v>
      </c>
      <c r="BB244">
        <v>100</v>
      </c>
      <c r="BC244">
        <v>100</v>
      </c>
      <c r="BD244">
        <v>100</v>
      </c>
      <c r="BE244">
        <v>1</v>
      </c>
      <c r="BF244">
        <v>15000</v>
      </c>
      <c r="BG244">
        <v>1000</v>
      </c>
      <c r="BH244" s="6">
        <f>Grandview_Inventory[[#This Row],[land_extract]]*Lookups!$B$3</f>
        <v>49167.631333630678</v>
      </c>
      <c r="BI244" s="6">
        <f>IF(Grandview_Inventory[[#This Row],[bldg_style]]="",0,Lookups!$B$2)</f>
        <v>155833.95000000001</v>
      </c>
      <c r="BJ244" s="6">
        <f>_xlfn.IFNA(VLOOKUP(Grandview_Inventory[[#This Row],[quality]],Lookups!$H$2:$J$14,3,FALSE),0)</f>
        <v>2251</v>
      </c>
      <c r="BK244" s="6">
        <f>_xlfn.IFNA(VLOOKUP(Grandview_Inventory[[#This Row],[condition]],Lookups!$H$17:$J$24,3,FALSE),0)</f>
        <v>25818</v>
      </c>
      <c r="BL244" s="6">
        <f>Grandview_Inventory[[#This Row],[Eff_Age]]*Lookups!$B$14</f>
        <v>-3587.4989999999998</v>
      </c>
      <c r="BM244" s="6">
        <f>Grandview_Inventory[[#This Row],[living_area]]*Lookups!$B$15</f>
        <v>69617.031948000003</v>
      </c>
      <c r="BN244" s="6">
        <f>Grandview_Inventory[[#This Row],[Fin BSMT]]*Lookups!$B$16</f>
        <v>0</v>
      </c>
      <c r="BO244" s="6">
        <f>(Grandview_Inventory[[#This Row],[att_gar]]+Grandview_Inventory[[#This Row],[bltin_gar]])*Lookups!$B$17</f>
        <v>25205.885856000001</v>
      </c>
      <c r="BP244" s="6">
        <f>Grandview_Inventory[[#This Row],[Plumbing Fixtures]]*Lookups!$B$18</f>
        <v>16083.5344</v>
      </c>
      <c r="BQ244" s="6">
        <f>Grandview_Inventory[[#This Row],[detatched_value]]*Lookups!$B$19</f>
        <v>0</v>
      </c>
      <c r="BR244" s="6">
        <f>SUM(Grandview_Inventory[[#This Row],[Intercept]:[det_value]])*Grandview_Inventory[[#This Row],[res_pct]]</f>
        <v>291221.90320400003</v>
      </c>
      <c r="BS244" s="6">
        <f>Grandview_Inventory[[#This Row],[land_value]]</f>
        <v>49167.631333630678</v>
      </c>
      <c r="BT244" s="4">
        <f>_xlfn.IFNA(VLOOKUP(Grandview_Inventory[[#This Row],[quality]],Lookups!$A$26:$C$33,3,FALSE),1)</f>
        <v>0.98763855981004833</v>
      </c>
      <c r="BU244" s="4">
        <f>_xlfn.IFNA(VLOOKUP(Grandview_Inventory[[#This Row],[condition]],Lookups!$A$37:$C$44,3,FALSE),1)</f>
        <v>0.96661476234146892</v>
      </c>
      <c r="BV244" s="4">
        <f>IF(Grandview_Inventory[[#This Row],[bldg_style]]="",1,_xlfn.IFNA(VLOOKUP(Grandview_Inventory[[#This Row],[decade]],Lookups!$F$29:$H$43,3,FALSE),1))</f>
        <v>0.96737494181490646</v>
      </c>
      <c r="BW244" s="4">
        <f>_xlfn.IFNA(VLOOKUP(Grandview_Inventory[[#This Row],[living_area_range]],Lookups!$F$47:$H$56,3,FALSE),1)</f>
        <v>0.96135087979789358</v>
      </c>
      <c r="BX244" s="4">
        <f>AVERAGE(Grandview_Inventory[[#This Row],[qual_adj]:[size_adj]])</f>
        <v>0.97074478594107938</v>
      </c>
      <c r="BY244" s="6">
        <f>IF(Grandview_Inventory[[#This Row],[pre_res]]&lt;0,0,Grandview_Inventory[[#This Row],[pre_res]]*Grandview_Inventory[[#This Row],[overall_adj]])</f>
        <v>282702.14408712077</v>
      </c>
      <c r="BZ244" s="6">
        <f>(Grandview_Inventory[[#This Row],[sum_land]]-IF(Grandview_Inventory[[#This Row],[no_utilities]]=1,12000,0))/IF(Grandview_Inventory[[#This Row],[unbuildable]]=1,2,1)</f>
        <v>49167.631333630678</v>
      </c>
      <c r="CA24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4">
        <f>ROUND(Grandview_Inventory[[#This Row],[det_value]]*Lookups!$M$28,-2)</f>
        <v>0</v>
      </c>
      <c r="CC244">
        <f>IF(ROUND(Grandview_Inventory[[#This Row],[adj_res]]*Lookups!$M$28,-2)&lt;Grandview_Inventory[[#This Row],[min_res]],Grandview_Inventory[[#This Row],[min_res]],ROUND(Grandview_Inventory[[#This Row],[adj_res]]*Lookups!$M$28,-2))</f>
        <v>268600</v>
      </c>
      <c r="CD244">
        <f>Grandview_Inventory[[#This Row],[final_det]]+Grandview_Inventory[[#This Row],[final_res]]</f>
        <v>268600</v>
      </c>
      <c r="CE244">
        <f>Grandview_Inventory[[#This Row],[final_land]]+Grandview_Inventory[[#This Row],[final_imp]]+Grandview_Inventory[[#This Row],[crop_value]]</f>
        <v>315300</v>
      </c>
      <c r="CG244" t="str">
        <f t="shared" si="3"/>
        <v>update valuation set market_land =46700, market_bldg=268600, market_total =315300, market_mdno =401, market_date ='9/10/2023' where link_id = (select link_id from parcel where parcel_year = '2024' and parcel_id = '23091442426');</v>
      </c>
    </row>
    <row r="245" spans="1:85" x14ac:dyDescent="0.25">
      <c r="A245">
        <v>23091442427</v>
      </c>
      <c r="B245">
        <v>0.2</v>
      </c>
      <c r="C245">
        <v>8520</v>
      </c>
      <c r="D245" t="s">
        <v>129</v>
      </c>
      <c r="E245" t="s">
        <v>53</v>
      </c>
      <c r="F245" t="s">
        <v>53</v>
      </c>
      <c r="G245">
        <v>4</v>
      </c>
      <c r="H245" t="s">
        <v>54</v>
      </c>
      <c r="I245">
        <v>206200</v>
      </c>
      <c r="J245">
        <v>39300</v>
      </c>
      <c r="K245">
        <v>0.2</v>
      </c>
      <c r="L24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5">
        <v>0</v>
      </c>
      <c r="N245">
        <v>0</v>
      </c>
      <c r="O245">
        <v>0</v>
      </c>
      <c r="P245">
        <v>13398.7528</v>
      </c>
      <c r="Q245">
        <v>63903</v>
      </c>
      <c r="R245">
        <f>(Grandview_Inventory[[#This Row],[ln_acres]]*Grandview_Inventory[[#This Row],[coeff]])+Grandview_Inventory[[#This Row],[const]]</f>
        <v>42338.539264347448</v>
      </c>
      <c r="S245" t="s">
        <v>61</v>
      </c>
      <c r="T245">
        <v>1</v>
      </c>
      <c r="U245" t="s">
        <v>65</v>
      </c>
      <c r="V245" t="s">
        <v>66</v>
      </c>
      <c r="W245">
        <v>0</v>
      </c>
      <c r="X245">
        <v>0</v>
      </c>
      <c r="Y245">
        <v>15</v>
      </c>
      <c r="Z245">
        <v>15</v>
      </c>
      <c r="AA245">
        <v>20</v>
      </c>
      <c r="AB245">
        <v>1500</v>
      </c>
      <c r="AC245">
        <v>1116</v>
      </c>
      <c r="AD245">
        <v>1116</v>
      </c>
      <c r="AE245">
        <v>0</v>
      </c>
      <c r="AF245">
        <v>0</v>
      </c>
      <c r="AG245">
        <v>0</v>
      </c>
      <c r="AH245">
        <v>0</v>
      </c>
      <c r="AI245">
        <v>288</v>
      </c>
      <c r="AJ245">
        <v>0</v>
      </c>
      <c r="AK245">
        <v>0</v>
      </c>
      <c r="AL245">
        <v>0</v>
      </c>
      <c r="AM245">
        <v>0</v>
      </c>
      <c r="AN245">
        <v>190</v>
      </c>
      <c r="AO245">
        <v>0</v>
      </c>
      <c r="AP245">
        <v>8</v>
      </c>
      <c r="AQ245">
        <v>0</v>
      </c>
      <c r="AR245">
        <v>0</v>
      </c>
      <c r="AS245" t="s">
        <v>58</v>
      </c>
      <c r="AT245">
        <v>1</v>
      </c>
      <c r="AU245" t="s">
        <v>59</v>
      </c>
      <c r="AV245" t="s">
        <v>60</v>
      </c>
      <c r="AW245">
        <v>1</v>
      </c>
      <c r="AX245">
        <v>3</v>
      </c>
      <c r="AY245">
        <v>0</v>
      </c>
      <c r="AZ245">
        <v>0</v>
      </c>
      <c r="BA245">
        <v>100</v>
      </c>
      <c r="BB245">
        <v>100</v>
      </c>
      <c r="BC245">
        <v>100</v>
      </c>
      <c r="BD245">
        <v>100</v>
      </c>
      <c r="BE245">
        <v>1</v>
      </c>
      <c r="BF245">
        <v>15000</v>
      </c>
      <c r="BG245">
        <v>1000</v>
      </c>
      <c r="BH245" s="6">
        <f>Grandview_Inventory[[#This Row],[land_extract]]*Lookups!$B$3</f>
        <v>49167.631333630678</v>
      </c>
      <c r="BI245" s="6">
        <f>IF(Grandview_Inventory[[#This Row],[bldg_style]]="",0,Lookups!$B$2)</f>
        <v>155833.95000000001</v>
      </c>
      <c r="BJ245" s="6">
        <f>_xlfn.IFNA(VLOOKUP(Grandview_Inventory[[#This Row],[quality]],Lookups!$H$2:$J$14,3,FALSE),0)</f>
        <v>2251</v>
      </c>
      <c r="BK245" s="6">
        <f>_xlfn.IFNA(VLOOKUP(Grandview_Inventory[[#This Row],[condition]],Lookups!$H$17:$J$24,3,FALSE),0)</f>
        <v>25818</v>
      </c>
      <c r="BL245" s="6">
        <f>Grandview_Inventory[[#This Row],[Eff_Age]]*Lookups!$B$14</f>
        <v>-3587.4989999999998</v>
      </c>
      <c r="BM245" s="6">
        <f>Grandview_Inventory[[#This Row],[living_area]]*Lookups!$B$15</f>
        <v>69617.031948000003</v>
      </c>
      <c r="BN245" s="6">
        <f>Grandview_Inventory[[#This Row],[Fin BSMT]]*Lookups!$B$16</f>
        <v>0</v>
      </c>
      <c r="BO245" s="6">
        <f>(Grandview_Inventory[[#This Row],[att_gar]]+Grandview_Inventory[[#This Row],[bltin_gar]])*Lookups!$B$17</f>
        <v>25205.885856000001</v>
      </c>
      <c r="BP245" s="6">
        <f>Grandview_Inventory[[#This Row],[Plumbing Fixtures]]*Lookups!$B$18</f>
        <v>16083.5344</v>
      </c>
      <c r="BQ245" s="6">
        <f>Grandview_Inventory[[#This Row],[detatched_value]]*Lookups!$B$19</f>
        <v>0</v>
      </c>
      <c r="BR245" s="6">
        <f>SUM(Grandview_Inventory[[#This Row],[Intercept]:[det_value]])*Grandview_Inventory[[#This Row],[res_pct]]</f>
        <v>291221.90320400003</v>
      </c>
      <c r="BS245" s="6">
        <f>Grandview_Inventory[[#This Row],[land_value]]</f>
        <v>49167.631333630678</v>
      </c>
      <c r="BT245" s="4">
        <f>_xlfn.IFNA(VLOOKUP(Grandview_Inventory[[#This Row],[quality]],Lookups!$A$26:$C$33,3,FALSE),1)</f>
        <v>0.98763855981004833</v>
      </c>
      <c r="BU245" s="4">
        <f>_xlfn.IFNA(VLOOKUP(Grandview_Inventory[[#This Row],[condition]],Lookups!$A$37:$C$44,3,FALSE),1)</f>
        <v>0.96661476234146892</v>
      </c>
      <c r="BV245" s="4">
        <f>IF(Grandview_Inventory[[#This Row],[bldg_style]]="",1,_xlfn.IFNA(VLOOKUP(Grandview_Inventory[[#This Row],[decade]],Lookups!$F$29:$H$43,3,FALSE),1))</f>
        <v>0.96737494181490646</v>
      </c>
      <c r="BW245" s="4">
        <f>_xlfn.IFNA(VLOOKUP(Grandview_Inventory[[#This Row],[living_area_range]],Lookups!$F$47:$H$56,3,FALSE),1)</f>
        <v>0.96135087979789358</v>
      </c>
      <c r="BX245" s="4">
        <f>AVERAGE(Grandview_Inventory[[#This Row],[qual_adj]:[size_adj]])</f>
        <v>0.97074478594107938</v>
      </c>
      <c r="BY245" s="6">
        <f>IF(Grandview_Inventory[[#This Row],[pre_res]]&lt;0,0,Grandview_Inventory[[#This Row],[pre_res]]*Grandview_Inventory[[#This Row],[overall_adj]])</f>
        <v>282702.14408712077</v>
      </c>
      <c r="BZ245" s="6">
        <f>(Grandview_Inventory[[#This Row],[sum_land]]-IF(Grandview_Inventory[[#This Row],[no_utilities]]=1,12000,0))/IF(Grandview_Inventory[[#This Row],[unbuildable]]=1,2,1)</f>
        <v>49167.631333630678</v>
      </c>
      <c r="CA24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5">
        <f>ROUND(Grandview_Inventory[[#This Row],[det_value]]*Lookups!$M$28,-2)</f>
        <v>0</v>
      </c>
      <c r="CC245">
        <f>IF(ROUND(Grandview_Inventory[[#This Row],[adj_res]]*Lookups!$M$28,-2)&lt;Grandview_Inventory[[#This Row],[min_res]],Grandview_Inventory[[#This Row],[min_res]],ROUND(Grandview_Inventory[[#This Row],[adj_res]]*Lookups!$M$28,-2))</f>
        <v>268600</v>
      </c>
      <c r="CD245">
        <f>Grandview_Inventory[[#This Row],[final_det]]+Grandview_Inventory[[#This Row],[final_res]]</f>
        <v>268600</v>
      </c>
      <c r="CE245">
        <f>Grandview_Inventory[[#This Row],[final_land]]+Grandview_Inventory[[#This Row],[final_imp]]+Grandview_Inventory[[#This Row],[crop_value]]</f>
        <v>315300</v>
      </c>
      <c r="CG245" t="str">
        <f t="shared" si="3"/>
        <v>update valuation set market_land =46700, market_bldg=268600, market_total =315300, market_mdno =401, market_date ='9/10/2023' where link_id = (select link_id from parcel where parcel_year = '2024' and parcel_id = '23091442427');</v>
      </c>
    </row>
    <row r="246" spans="1:85" x14ac:dyDescent="0.25">
      <c r="A246">
        <v>23091442428</v>
      </c>
      <c r="B246">
        <v>0.2</v>
      </c>
      <c r="C246">
        <v>8534</v>
      </c>
      <c r="D246" t="s">
        <v>129</v>
      </c>
      <c r="E246" t="s">
        <v>53</v>
      </c>
      <c r="F246" t="s">
        <v>53</v>
      </c>
      <c r="G246">
        <v>4</v>
      </c>
      <c r="H246" t="s">
        <v>54</v>
      </c>
      <c r="I246">
        <v>219500</v>
      </c>
      <c r="J246">
        <v>39300</v>
      </c>
      <c r="K246">
        <v>0.2</v>
      </c>
      <c r="L24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6">
        <v>0</v>
      </c>
      <c r="N246">
        <v>0</v>
      </c>
      <c r="O246">
        <v>0</v>
      </c>
      <c r="P246">
        <v>13398.7528</v>
      </c>
      <c r="Q246">
        <v>63903</v>
      </c>
      <c r="R246">
        <f>(Grandview_Inventory[[#This Row],[ln_acres]]*Grandview_Inventory[[#This Row],[coeff]])+Grandview_Inventory[[#This Row],[const]]</f>
        <v>42338.539264347448</v>
      </c>
      <c r="S246" t="s">
        <v>61</v>
      </c>
      <c r="T246">
        <v>1</v>
      </c>
      <c r="U246" t="s">
        <v>62</v>
      </c>
      <c r="V246" t="s">
        <v>66</v>
      </c>
      <c r="W246">
        <v>0</v>
      </c>
      <c r="X246">
        <v>0</v>
      </c>
      <c r="Y246">
        <v>13</v>
      </c>
      <c r="Z246">
        <v>13</v>
      </c>
      <c r="AA246">
        <v>20</v>
      </c>
      <c r="AB246">
        <v>1500</v>
      </c>
      <c r="AC246">
        <v>1205</v>
      </c>
      <c r="AD246">
        <v>1205</v>
      </c>
      <c r="AE246">
        <v>0</v>
      </c>
      <c r="AF246">
        <v>0</v>
      </c>
      <c r="AG246">
        <v>0</v>
      </c>
      <c r="AH246">
        <v>0</v>
      </c>
      <c r="AI246">
        <v>420</v>
      </c>
      <c r="AJ246">
        <v>0</v>
      </c>
      <c r="AK246">
        <v>0</v>
      </c>
      <c r="AL246">
        <v>0</v>
      </c>
      <c r="AM246">
        <v>0</v>
      </c>
      <c r="AN246">
        <v>192</v>
      </c>
      <c r="AO246">
        <v>0</v>
      </c>
      <c r="AP246">
        <v>9</v>
      </c>
      <c r="AQ246">
        <v>0</v>
      </c>
      <c r="AR246">
        <v>0</v>
      </c>
      <c r="AS246" t="s">
        <v>58</v>
      </c>
      <c r="AT246">
        <v>1</v>
      </c>
      <c r="AU246" t="s">
        <v>59</v>
      </c>
      <c r="AV246" t="s">
        <v>60</v>
      </c>
      <c r="AW246">
        <v>1</v>
      </c>
      <c r="AX246">
        <v>3</v>
      </c>
      <c r="AY246">
        <v>0</v>
      </c>
      <c r="AZ246">
        <v>0</v>
      </c>
      <c r="BA246">
        <v>100</v>
      </c>
      <c r="BB246">
        <v>100</v>
      </c>
      <c r="BC246">
        <v>100</v>
      </c>
      <c r="BD246">
        <v>100</v>
      </c>
      <c r="BE246">
        <v>1</v>
      </c>
      <c r="BF246">
        <v>15000</v>
      </c>
      <c r="BG246">
        <v>1000</v>
      </c>
      <c r="BH246" s="6">
        <f>Grandview_Inventory[[#This Row],[land_extract]]*Lookups!$B$3</f>
        <v>49167.631333630678</v>
      </c>
      <c r="BI246" s="6">
        <f>IF(Grandview_Inventory[[#This Row],[bldg_style]]="",0,Lookups!$B$2)</f>
        <v>155833.95000000001</v>
      </c>
      <c r="BJ246" s="6">
        <f>_xlfn.IFNA(VLOOKUP(Grandview_Inventory[[#This Row],[quality]],Lookups!$H$2:$J$14,3,FALSE),0)</f>
        <v>9808</v>
      </c>
      <c r="BK246" s="6">
        <f>_xlfn.IFNA(VLOOKUP(Grandview_Inventory[[#This Row],[condition]],Lookups!$H$17:$J$24,3,FALSE),0)</f>
        <v>25818</v>
      </c>
      <c r="BL246" s="6">
        <f>Grandview_Inventory[[#This Row],[Eff_Age]]*Lookups!$B$14</f>
        <v>-3109.1657999999998</v>
      </c>
      <c r="BM246" s="6">
        <f>Grandview_Inventory[[#This Row],[living_area]]*Lookups!$B$15</f>
        <v>75168.927865000005</v>
      </c>
      <c r="BN246" s="6">
        <f>Grandview_Inventory[[#This Row],[Fin BSMT]]*Lookups!$B$16</f>
        <v>0</v>
      </c>
      <c r="BO246" s="6">
        <f>(Grandview_Inventory[[#This Row],[att_gar]]+Grandview_Inventory[[#This Row],[bltin_gar]])*Lookups!$B$17</f>
        <v>36758.58354</v>
      </c>
      <c r="BP246" s="6">
        <f>Grandview_Inventory[[#This Row],[Plumbing Fixtures]]*Lookups!$B$18</f>
        <v>18093.976200000001</v>
      </c>
      <c r="BQ246" s="6">
        <f>Grandview_Inventory[[#This Row],[detatched_value]]*Lookups!$B$19</f>
        <v>0</v>
      </c>
      <c r="BR246" s="6">
        <f>SUM(Grandview_Inventory[[#This Row],[Intercept]:[det_value]])*Grandview_Inventory[[#This Row],[res_pct]]</f>
        <v>318372.27180500003</v>
      </c>
      <c r="BS246" s="6">
        <f>Grandview_Inventory[[#This Row],[land_value]]</f>
        <v>49167.631333630678</v>
      </c>
      <c r="BT246" s="4">
        <f>_xlfn.IFNA(VLOOKUP(Grandview_Inventory[[#This Row],[quality]],Lookups!$A$26:$C$33,3,FALSE),1)</f>
        <v>0.94295468617355149</v>
      </c>
      <c r="BU246" s="4">
        <f>_xlfn.IFNA(VLOOKUP(Grandview_Inventory[[#This Row],[condition]],Lookups!$A$37:$C$44,3,FALSE),1)</f>
        <v>0.96661476234146892</v>
      </c>
      <c r="BV246" s="4">
        <f>IF(Grandview_Inventory[[#This Row],[bldg_style]]="",1,_xlfn.IFNA(VLOOKUP(Grandview_Inventory[[#This Row],[decade]],Lookups!$F$29:$H$43,3,FALSE),1))</f>
        <v>0.96737494181490646</v>
      </c>
      <c r="BW246" s="4">
        <f>_xlfn.IFNA(VLOOKUP(Grandview_Inventory[[#This Row],[living_area_range]],Lookups!$F$47:$H$56,3,FALSE),1)</f>
        <v>0.96135087979789358</v>
      </c>
      <c r="BX246" s="4">
        <f>AVERAGE(Grandview_Inventory[[#This Row],[qual_adj]:[size_adj]])</f>
        <v>0.95957381753195514</v>
      </c>
      <c r="BY246" s="6">
        <f>IF(Grandview_Inventory[[#This Row],[pre_res]]&lt;0,0,Grandview_Inventory[[#This Row],[pre_res]]*Grandview_Inventory[[#This Row],[overall_adj]])</f>
        <v>305501.69625224511</v>
      </c>
      <c r="BZ246" s="6">
        <f>(Grandview_Inventory[[#This Row],[sum_land]]-IF(Grandview_Inventory[[#This Row],[no_utilities]]=1,12000,0))/IF(Grandview_Inventory[[#This Row],[unbuildable]]=1,2,1)</f>
        <v>49167.631333630678</v>
      </c>
      <c r="CA24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6">
        <f>ROUND(Grandview_Inventory[[#This Row],[det_value]]*Lookups!$M$28,-2)</f>
        <v>0</v>
      </c>
      <c r="CC246">
        <f>IF(ROUND(Grandview_Inventory[[#This Row],[adj_res]]*Lookups!$M$28,-2)&lt;Grandview_Inventory[[#This Row],[min_res]],Grandview_Inventory[[#This Row],[min_res]],ROUND(Grandview_Inventory[[#This Row],[adj_res]]*Lookups!$M$28,-2))</f>
        <v>290200</v>
      </c>
      <c r="CD246">
        <f>Grandview_Inventory[[#This Row],[final_det]]+Grandview_Inventory[[#This Row],[final_res]]</f>
        <v>290200</v>
      </c>
      <c r="CE246">
        <f>Grandview_Inventory[[#This Row],[final_land]]+Grandview_Inventory[[#This Row],[final_imp]]+Grandview_Inventory[[#This Row],[crop_value]]</f>
        <v>336900</v>
      </c>
      <c r="CG246" t="str">
        <f t="shared" si="3"/>
        <v>update valuation set market_land =46700, market_bldg=290200, market_total =336900, market_mdno =401, market_date ='9/10/2023' where link_id = (select link_id from parcel where parcel_year = '2024' and parcel_id = '23091442428');</v>
      </c>
    </row>
    <row r="247" spans="1:85" x14ac:dyDescent="0.25">
      <c r="A247">
        <v>23091442429</v>
      </c>
      <c r="B247">
        <v>0.2</v>
      </c>
      <c r="C247">
        <v>8519</v>
      </c>
      <c r="D247" t="s">
        <v>129</v>
      </c>
      <c r="E247" t="s">
        <v>53</v>
      </c>
      <c r="F247" t="s">
        <v>53</v>
      </c>
      <c r="G247">
        <v>4</v>
      </c>
      <c r="H247" t="s">
        <v>54</v>
      </c>
      <c r="I247">
        <v>219700</v>
      </c>
      <c r="J247">
        <v>39300</v>
      </c>
      <c r="K247">
        <v>0.2</v>
      </c>
      <c r="L24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7">
        <v>0</v>
      </c>
      <c r="N247">
        <v>0</v>
      </c>
      <c r="O247">
        <v>0</v>
      </c>
      <c r="P247">
        <v>13398.7528</v>
      </c>
      <c r="Q247">
        <v>63903</v>
      </c>
      <c r="R247">
        <f>(Grandview_Inventory[[#This Row],[ln_acres]]*Grandview_Inventory[[#This Row],[coeff]])+Grandview_Inventory[[#This Row],[const]]</f>
        <v>42338.539264347448</v>
      </c>
      <c r="S247" t="s">
        <v>61</v>
      </c>
      <c r="T247">
        <v>1</v>
      </c>
      <c r="U247" t="s">
        <v>65</v>
      </c>
      <c r="V247" t="s">
        <v>66</v>
      </c>
      <c r="W247">
        <v>0</v>
      </c>
      <c r="X247">
        <v>0</v>
      </c>
      <c r="Y247">
        <v>13</v>
      </c>
      <c r="Z247">
        <v>13</v>
      </c>
      <c r="AA247">
        <v>20</v>
      </c>
      <c r="AB247">
        <v>1500</v>
      </c>
      <c r="AC247">
        <v>1205</v>
      </c>
      <c r="AD247">
        <v>1205</v>
      </c>
      <c r="AE247">
        <v>0</v>
      </c>
      <c r="AF247">
        <v>0</v>
      </c>
      <c r="AG247">
        <v>0</v>
      </c>
      <c r="AH247">
        <v>0</v>
      </c>
      <c r="AI247">
        <v>420</v>
      </c>
      <c r="AJ247">
        <v>0</v>
      </c>
      <c r="AK247">
        <v>0</v>
      </c>
      <c r="AL247">
        <v>0</v>
      </c>
      <c r="AM247">
        <v>0</v>
      </c>
      <c r="AN247">
        <v>192</v>
      </c>
      <c r="AO247">
        <v>0</v>
      </c>
      <c r="AP247">
        <v>8</v>
      </c>
      <c r="AQ247">
        <v>0</v>
      </c>
      <c r="AR247">
        <v>0</v>
      </c>
      <c r="AS247" t="s">
        <v>58</v>
      </c>
      <c r="AT247">
        <v>1</v>
      </c>
      <c r="AU247" t="s">
        <v>59</v>
      </c>
      <c r="AV247" t="s">
        <v>60</v>
      </c>
      <c r="AW247">
        <v>1</v>
      </c>
      <c r="AX247">
        <v>3</v>
      </c>
      <c r="AY247">
        <v>0</v>
      </c>
      <c r="AZ247">
        <v>0</v>
      </c>
      <c r="BA247">
        <v>100</v>
      </c>
      <c r="BB247">
        <v>100</v>
      </c>
      <c r="BC247">
        <v>100</v>
      </c>
      <c r="BD247">
        <v>100</v>
      </c>
      <c r="BE247">
        <v>1</v>
      </c>
      <c r="BF247">
        <v>15000</v>
      </c>
      <c r="BG247">
        <v>1000</v>
      </c>
      <c r="BH247" s="6">
        <f>Grandview_Inventory[[#This Row],[land_extract]]*Lookups!$B$3</f>
        <v>49167.631333630678</v>
      </c>
      <c r="BI247" s="6">
        <f>IF(Grandview_Inventory[[#This Row],[bldg_style]]="",0,Lookups!$B$2)</f>
        <v>155833.95000000001</v>
      </c>
      <c r="BJ247" s="6">
        <f>_xlfn.IFNA(VLOOKUP(Grandview_Inventory[[#This Row],[quality]],Lookups!$H$2:$J$14,3,FALSE),0)</f>
        <v>2251</v>
      </c>
      <c r="BK247" s="6">
        <f>_xlfn.IFNA(VLOOKUP(Grandview_Inventory[[#This Row],[condition]],Lookups!$H$17:$J$24,3,FALSE),0)</f>
        <v>25818</v>
      </c>
      <c r="BL247" s="6">
        <f>Grandview_Inventory[[#This Row],[Eff_Age]]*Lookups!$B$14</f>
        <v>-3109.1657999999998</v>
      </c>
      <c r="BM247" s="6">
        <f>Grandview_Inventory[[#This Row],[living_area]]*Lookups!$B$15</f>
        <v>75168.927865000005</v>
      </c>
      <c r="BN247" s="6">
        <f>Grandview_Inventory[[#This Row],[Fin BSMT]]*Lookups!$B$16</f>
        <v>0</v>
      </c>
      <c r="BO247" s="6">
        <f>(Grandview_Inventory[[#This Row],[att_gar]]+Grandview_Inventory[[#This Row],[bltin_gar]])*Lookups!$B$17</f>
        <v>36758.58354</v>
      </c>
      <c r="BP247" s="6">
        <f>Grandview_Inventory[[#This Row],[Plumbing Fixtures]]*Lookups!$B$18</f>
        <v>16083.5344</v>
      </c>
      <c r="BQ247" s="6">
        <f>Grandview_Inventory[[#This Row],[detatched_value]]*Lookups!$B$19</f>
        <v>0</v>
      </c>
      <c r="BR247" s="6">
        <f>SUM(Grandview_Inventory[[#This Row],[Intercept]:[det_value]])*Grandview_Inventory[[#This Row],[res_pct]]</f>
        <v>308804.83000500005</v>
      </c>
      <c r="BS247" s="6">
        <f>Grandview_Inventory[[#This Row],[land_value]]</f>
        <v>49167.631333630678</v>
      </c>
      <c r="BT247" s="4">
        <f>_xlfn.IFNA(VLOOKUP(Grandview_Inventory[[#This Row],[quality]],Lookups!$A$26:$C$33,3,FALSE),1)</f>
        <v>0.98763855981004833</v>
      </c>
      <c r="BU247" s="4">
        <f>_xlfn.IFNA(VLOOKUP(Grandview_Inventory[[#This Row],[condition]],Lookups!$A$37:$C$44,3,FALSE),1)</f>
        <v>0.96661476234146892</v>
      </c>
      <c r="BV247" s="4">
        <f>IF(Grandview_Inventory[[#This Row],[bldg_style]]="",1,_xlfn.IFNA(VLOOKUP(Grandview_Inventory[[#This Row],[decade]],Lookups!$F$29:$H$43,3,FALSE),1))</f>
        <v>0.96737494181490646</v>
      </c>
      <c r="BW247" s="4">
        <f>_xlfn.IFNA(VLOOKUP(Grandview_Inventory[[#This Row],[living_area_range]],Lookups!$F$47:$H$56,3,FALSE),1)</f>
        <v>0.96135087979789358</v>
      </c>
      <c r="BX247" s="4">
        <f>AVERAGE(Grandview_Inventory[[#This Row],[qual_adj]:[size_adj]])</f>
        <v>0.97074478594107938</v>
      </c>
      <c r="BY247" s="6">
        <f>IF(Grandview_Inventory[[#This Row],[pre_res]]&lt;0,0,Grandview_Inventory[[#This Row],[pre_res]]*Grandview_Inventory[[#This Row],[overall_adj]])</f>
        <v>299770.67860077519</v>
      </c>
      <c r="BZ247" s="6">
        <f>(Grandview_Inventory[[#This Row],[sum_land]]-IF(Grandview_Inventory[[#This Row],[no_utilities]]=1,12000,0))/IF(Grandview_Inventory[[#This Row],[unbuildable]]=1,2,1)</f>
        <v>49167.631333630678</v>
      </c>
      <c r="CA24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7">
        <f>ROUND(Grandview_Inventory[[#This Row],[det_value]]*Lookups!$M$28,-2)</f>
        <v>0</v>
      </c>
      <c r="CC247">
        <f>IF(ROUND(Grandview_Inventory[[#This Row],[adj_res]]*Lookups!$M$28,-2)&lt;Grandview_Inventory[[#This Row],[min_res]],Grandview_Inventory[[#This Row],[min_res]],ROUND(Grandview_Inventory[[#This Row],[adj_res]]*Lookups!$M$28,-2))</f>
        <v>284800</v>
      </c>
      <c r="CD247">
        <f>Grandview_Inventory[[#This Row],[final_det]]+Grandview_Inventory[[#This Row],[final_res]]</f>
        <v>284800</v>
      </c>
      <c r="CE247">
        <f>Grandview_Inventory[[#This Row],[final_land]]+Grandview_Inventory[[#This Row],[final_imp]]+Grandview_Inventory[[#This Row],[crop_value]]</f>
        <v>331500</v>
      </c>
      <c r="CG247" t="str">
        <f t="shared" si="3"/>
        <v>update valuation set market_land =46700, market_bldg=284800, market_total =331500, market_mdno =401, market_date ='9/10/2023' where link_id = (select link_id from parcel where parcel_year = '2024' and parcel_id = '23091442429');</v>
      </c>
    </row>
    <row r="248" spans="1:85" x14ac:dyDescent="0.25">
      <c r="A248">
        <v>23091442430</v>
      </c>
      <c r="B248">
        <v>0.2</v>
      </c>
      <c r="C248">
        <v>8522</v>
      </c>
      <c r="D248" t="s">
        <v>129</v>
      </c>
      <c r="E248" t="s">
        <v>53</v>
      </c>
      <c r="F248" t="s">
        <v>53</v>
      </c>
      <c r="G248">
        <v>4</v>
      </c>
      <c r="H248" t="s">
        <v>54</v>
      </c>
      <c r="I248">
        <v>218500</v>
      </c>
      <c r="J248">
        <v>39300</v>
      </c>
      <c r="K248">
        <v>0.2</v>
      </c>
      <c r="L24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8">
        <v>0</v>
      </c>
      <c r="N248">
        <v>0</v>
      </c>
      <c r="O248">
        <v>0</v>
      </c>
      <c r="P248">
        <v>13398.7528</v>
      </c>
      <c r="Q248">
        <v>63903</v>
      </c>
      <c r="R248">
        <f>(Grandview_Inventory[[#This Row],[ln_acres]]*Grandview_Inventory[[#This Row],[coeff]])+Grandview_Inventory[[#This Row],[const]]</f>
        <v>42338.539264347448</v>
      </c>
      <c r="S248" t="s">
        <v>61</v>
      </c>
      <c r="T248">
        <v>1</v>
      </c>
      <c r="U248" t="s">
        <v>65</v>
      </c>
      <c r="V248" t="s">
        <v>66</v>
      </c>
      <c r="W248">
        <v>0</v>
      </c>
      <c r="X248">
        <v>0</v>
      </c>
      <c r="Y248">
        <v>13</v>
      </c>
      <c r="Z248">
        <v>13</v>
      </c>
      <c r="AA248">
        <v>20</v>
      </c>
      <c r="AB248">
        <v>2000</v>
      </c>
      <c r="AC248">
        <v>1582</v>
      </c>
      <c r="AD248">
        <v>1582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16</v>
      </c>
      <c r="AO248">
        <v>0</v>
      </c>
      <c r="AP248">
        <v>9</v>
      </c>
      <c r="AQ248">
        <v>0</v>
      </c>
      <c r="AR248">
        <v>0</v>
      </c>
      <c r="AS248" t="s">
        <v>58</v>
      </c>
      <c r="AT248">
        <v>1</v>
      </c>
      <c r="AU248" t="s">
        <v>63</v>
      </c>
      <c r="AV248" t="s">
        <v>60</v>
      </c>
      <c r="AW248">
        <v>1</v>
      </c>
      <c r="AX248">
        <v>3</v>
      </c>
      <c r="AY248">
        <v>0</v>
      </c>
      <c r="AZ248">
        <v>0</v>
      </c>
      <c r="BA248">
        <v>100</v>
      </c>
      <c r="BB248">
        <v>100</v>
      </c>
      <c r="BC248">
        <v>100</v>
      </c>
      <c r="BD248">
        <v>100</v>
      </c>
      <c r="BE248">
        <v>1</v>
      </c>
      <c r="BF248">
        <v>15000</v>
      </c>
      <c r="BG248">
        <v>1000</v>
      </c>
      <c r="BH248" s="6">
        <f>Grandview_Inventory[[#This Row],[land_extract]]*Lookups!$B$3</f>
        <v>49167.631333630678</v>
      </c>
      <c r="BI248" s="6">
        <f>IF(Grandview_Inventory[[#This Row],[bldg_style]]="",0,Lookups!$B$2)</f>
        <v>155833.95000000001</v>
      </c>
      <c r="BJ248" s="6">
        <f>_xlfn.IFNA(VLOOKUP(Grandview_Inventory[[#This Row],[quality]],Lookups!$H$2:$J$14,3,FALSE),0)</f>
        <v>2251</v>
      </c>
      <c r="BK248" s="6">
        <f>_xlfn.IFNA(VLOOKUP(Grandview_Inventory[[#This Row],[condition]],Lookups!$H$17:$J$24,3,FALSE),0)</f>
        <v>25818</v>
      </c>
      <c r="BL248" s="6">
        <f>Grandview_Inventory[[#This Row],[Eff_Age]]*Lookups!$B$14</f>
        <v>-3109.1657999999998</v>
      </c>
      <c r="BM248" s="6">
        <f>Grandview_Inventory[[#This Row],[living_area]]*Lookups!$B$15</f>
        <v>98686.509445999996</v>
      </c>
      <c r="BN248" s="6">
        <f>Grandview_Inventory[[#This Row],[Fin BSMT]]*Lookups!$B$16</f>
        <v>0</v>
      </c>
      <c r="BO248" s="6">
        <f>(Grandview_Inventory[[#This Row],[att_gar]]+Grandview_Inventory[[#This Row],[bltin_gar]])*Lookups!$B$17</f>
        <v>0</v>
      </c>
      <c r="BP248" s="6">
        <f>Grandview_Inventory[[#This Row],[Plumbing Fixtures]]*Lookups!$B$18</f>
        <v>18093.976200000001</v>
      </c>
      <c r="BQ248" s="6">
        <f>Grandview_Inventory[[#This Row],[detatched_value]]*Lookups!$B$19</f>
        <v>0</v>
      </c>
      <c r="BR248" s="6">
        <f>SUM(Grandview_Inventory[[#This Row],[Intercept]:[det_value]])*Grandview_Inventory[[#This Row],[res_pct]]</f>
        <v>297574.26984600001</v>
      </c>
      <c r="BS248" s="6">
        <f>Grandview_Inventory[[#This Row],[land_value]]</f>
        <v>49167.631333630678</v>
      </c>
      <c r="BT248" s="4">
        <f>_xlfn.IFNA(VLOOKUP(Grandview_Inventory[[#This Row],[quality]],Lookups!$A$26:$C$33,3,FALSE),1)</f>
        <v>0.98763855981004833</v>
      </c>
      <c r="BU248" s="4">
        <f>_xlfn.IFNA(VLOOKUP(Grandview_Inventory[[#This Row],[condition]],Lookups!$A$37:$C$44,3,FALSE),1)</f>
        <v>0.96661476234146892</v>
      </c>
      <c r="BV248" s="4">
        <f>IF(Grandview_Inventory[[#This Row],[bldg_style]]="",1,_xlfn.IFNA(VLOOKUP(Grandview_Inventory[[#This Row],[decade]],Lookups!$F$29:$H$43,3,FALSE),1))</f>
        <v>0.96737494181490646</v>
      </c>
      <c r="BW248" s="4">
        <f>_xlfn.IFNA(VLOOKUP(Grandview_Inventory[[#This Row],[living_area_range]],Lookups!$F$47:$H$56,3,FALSE),1)</f>
        <v>0.96120133463014379</v>
      </c>
      <c r="BX248" s="4">
        <f>AVERAGE(Grandview_Inventory[[#This Row],[qual_adj]:[size_adj]])</f>
        <v>0.97070739964914199</v>
      </c>
      <c r="BY248" s="6">
        <f>IF(Grandview_Inventory[[#This Row],[pre_res]]&lt;0,0,Grandview_Inventory[[#This Row],[pre_res]]*Grandview_Inventory[[#This Row],[overall_adj]])</f>
        <v>288857.54568470275</v>
      </c>
      <c r="BZ248" s="6">
        <f>(Grandview_Inventory[[#This Row],[sum_land]]-IF(Grandview_Inventory[[#This Row],[no_utilities]]=1,12000,0))/IF(Grandview_Inventory[[#This Row],[unbuildable]]=1,2,1)</f>
        <v>49167.631333630678</v>
      </c>
      <c r="CA24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8">
        <f>ROUND(Grandview_Inventory[[#This Row],[det_value]]*Lookups!$M$28,-2)</f>
        <v>0</v>
      </c>
      <c r="CC248">
        <f>IF(ROUND(Grandview_Inventory[[#This Row],[adj_res]]*Lookups!$M$28,-2)&lt;Grandview_Inventory[[#This Row],[min_res]],Grandview_Inventory[[#This Row],[min_res]],ROUND(Grandview_Inventory[[#This Row],[adj_res]]*Lookups!$M$28,-2))</f>
        <v>274400</v>
      </c>
      <c r="CD248">
        <f>Grandview_Inventory[[#This Row],[final_det]]+Grandview_Inventory[[#This Row],[final_res]]</f>
        <v>274400</v>
      </c>
      <c r="CE248">
        <f>Grandview_Inventory[[#This Row],[final_land]]+Grandview_Inventory[[#This Row],[final_imp]]+Grandview_Inventory[[#This Row],[crop_value]]</f>
        <v>321100</v>
      </c>
      <c r="CG248" t="str">
        <f t="shared" si="3"/>
        <v>update valuation set market_land =46700, market_bldg=274400, market_total =321100, market_mdno =401, market_date ='9/10/2023' where link_id = (select link_id from parcel where parcel_year = '2024' and parcel_id = '23091442430');</v>
      </c>
    </row>
    <row r="249" spans="1:85" x14ac:dyDescent="0.25">
      <c r="A249">
        <v>23091442431</v>
      </c>
      <c r="B249">
        <v>0.28999999999999998</v>
      </c>
      <c r="C249">
        <v>12445</v>
      </c>
      <c r="D249" t="s">
        <v>129</v>
      </c>
      <c r="E249" t="s">
        <v>53</v>
      </c>
      <c r="F249" t="s">
        <v>53</v>
      </c>
      <c r="G249">
        <v>4</v>
      </c>
      <c r="H249" t="s">
        <v>54</v>
      </c>
      <c r="I249">
        <v>226200</v>
      </c>
      <c r="J249">
        <v>40400</v>
      </c>
      <c r="K249">
        <v>0.28999999999999998</v>
      </c>
      <c r="L249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249">
        <v>0</v>
      </c>
      <c r="N249">
        <v>0</v>
      </c>
      <c r="O249">
        <v>0</v>
      </c>
      <c r="P249">
        <v>13398.7528</v>
      </c>
      <c r="Q249">
        <v>63903</v>
      </c>
      <c r="R249">
        <f>(Grandview_Inventory[[#This Row],[ln_acres]]*Grandview_Inventory[[#This Row],[coeff]])+Grandview_Inventory[[#This Row],[const]]</f>
        <v>47317.027506475133</v>
      </c>
      <c r="S249" t="s">
        <v>61</v>
      </c>
      <c r="T249">
        <v>1</v>
      </c>
      <c r="U249" t="s">
        <v>65</v>
      </c>
      <c r="V249" t="s">
        <v>67</v>
      </c>
      <c r="W249">
        <v>0</v>
      </c>
      <c r="X249">
        <v>0</v>
      </c>
      <c r="Y249">
        <v>13</v>
      </c>
      <c r="Z249">
        <v>13</v>
      </c>
      <c r="AA249">
        <v>20</v>
      </c>
      <c r="AB249">
        <v>1500</v>
      </c>
      <c r="AC249">
        <v>1228</v>
      </c>
      <c r="AD249">
        <v>1228</v>
      </c>
      <c r="AE249">
        <v>0</v>
      </c>
      <c r="AF249">
        <v>0</v>
      </c>
      <c r="AG249">
        <v>0</v>
      </c>
      <c r="AH249">
        <v>0</v>
      </c>
      <c r="AI249">
        <v>532</v>
      </c>
      <c r="AJ249">
        <v>0</v>
      </c>
      <c r="AK249">
        <v>0</v>
      </c>
      <c r="AL249">
        <v>0</v>
      </c>
      <c r="AM249">
        <v>0</v>
      </c>
      <c r="AN249">
        <v>192</v>
      </c>
      <c r="AO249">
        <v>0</v>
      </c>
      <c r="AP249">
        <v>8</v>
      </c>
      <c r="AQ249">
        <v>0</v>
      </c>
      <c r="AR249">
        <v>0</v>
      </c>
      <c r="AS249" t="s">
        <v>58</v>
      </c>
      <c r="AT249">
        <v>1</v>
      </c>
      <c r="AU249" t="s">
        <v>59</v>
      </c>
      <c r="AV249" t="s">
        <v>60</v>
      </c>
      <c r="AW249">
        <v>1</v>
      </c>
      <c r="AX249">
        <v>3</v>
      </c>
      <c r="AY249">
        <v>0</v>
      </c>
      <c r="AZ249">
        <v>0</v>
      </c>
      <c r="BA249">
        <v>100</v>
      </c>
      <c r="BB249">
        <v>100</v>
      </c>
      <c r="BC249">
        <v>100</v>
      </c>
      <c r="BD249">
        <v>100</v>
      </c>
      <c r="BE249">
        <v>1</v>
      </c>
      <c r="BF249">
        <v>15000</v>
      </c>
      <c r="BG249">
        <v>1000</v>
      </c>
      <c r="BH249" s="6">
        <f>Grandview_Inventory[[#This Row],[land_extract]]*Lookups!$B$3</f>
        <v>54949.136287295303</v>
      </c>
      <c r="BI249" s="6">
        <f>IF(Grandview_Inventory[[#This Row],[bldg_style]]="",0,Lookups!$B$2)</f>
        <v>155833.95000000001</v>
      </c>
      <c r="BJ249" s="6">
        <f>_xlfn.IFNA(VLOOKUP(Grandview_Inventory[[#This Row],[quality]],Lookups!$H$2:$J$14,3,FALSE),0)</f>
        <v>2251</v>
      </c>
      <c r="BK249" s="6">
        <f>_xlfn.IFNA(VLOOKUP(Grandview_Inventory[[#This Row],[condition]],Lookups!$H$17:$J$24,3,FALSE),0)</f>
        <v>22342</v>
      </c>
      <c r="BL249" s="6">
        <f>Grandview_Inventory[[#This Row],[Eff_Age]]*Lookups!$B$14</f>
        <v>-3109.1657999999998</v>
      </c>
      <c r="BM249" s="6">
        <f>Grandview_Inventory[[#This Row],[living_area]]*Lookups!$B$15</f>
        <v>76603.687484000009</v>
      </c>
      <c r="BN249" s="6">
        <f>Grandview_Inventory[[#This Row],[Fin BSMT]]*Lookups!$B$16</f>
        <v>0</v>
      </c>
      <c r="BO249" s="6">
        <f>(Grandview_Inventory[[#This Row],[att_gar]]+Grandview_Inventory[[#This Row],[bltin_gar]])*Lookups!$B$17</f>
        <v>46560.872484</v>
      </c>
      <c r="BP249" s="6">
        <f>Grandview_Inventory[[#This Row],[Plumbing Fixtures]]*Lookups!$B$18</f>
        <v>16083.5344</v>
      </c>
      <c r="BQ249" s="6">
        <f>Grandview_Inventory[[#This Row],[detatched_value]]*Lookups!$B$19</f>
        <v>0</v>
      </c>
      <c r="BR249" s="6">
        <f>SUM(Grandview_Inventory[[#This Row],[Intercept]:[det_value]])*Grandview_Inventory[[#This Row],[res_pct]]</f>
        <v>316565.87856800004</v>
      </c>
      <c r="BS249" s="6">
        <f>Grandview_Inventory[[#This Row],[land_value]]</f>
        <v>54949.136287295303</v>
      </c>
      <c r="BT249" s="4">
        <f>_xlfn.IFNA(VLOOKUP(Grandview_Inventory[[#This Row],[quality]],Lookups!$A$26:$C$33,3,FALSE),1)</f>
        <v>0.98763855981004833</v>
      </c>
      <c r="BU249" s="4">
        <f>_xlfn.IFNA(VLOOKUP(Grandview_Inventory[[#This Row],[condition]],Lookups!$A$37:$C$44,3,FALSE),1)</f>
        <v>0.97383723671140243</v>
      </c>
      <c r="BV249" s="4">
        <f>IF(Grandview_Inventory[[#This Row],[bldg_style]]="",1,_xlfn.IFNA(VLOOKUP(Grandview_Inventory[[#This Row],[decade]],Lookups!$F$29:$H$43,3,FALSE),1))</f>
        <v>0.96737494181490646</v>
      </c>
      <c r="BW249" s="4">
        <f>_xlfn.IFNA(VLOOKUP(Grandview_Inventory[[#This Row],[living_area_range]],Lookups!$F$47:$H$56,3,FALSE),1)</f>
        <v>0.96135087979789358</v>
      </c>
      <c r="BX249" s="4">
        <f>AVERAGE(Grandview_Inventory[[#This Row],[qual_adj]:[size_adj]])</f>
        <v>0.97255040453356267</v>
      </c>
      <c r="BY249" s="6">
        <f>IF(Grandview_Inventory[[#This Row],[pre_res]]&lt;0,0,Grandview_Inventory[[#This Row],[pre_res]]*Grandview_Inventory[[#This Row],[overall_adj]])</f>
        <v>307876.27326283115</v>
      </c>
      <c r="BZ249" s="6">
        <f>(Grandview_Inventory[[#This Row],[sum_land]]-IF(Grandview_Inventory[[#This Row],[no_utilities]]=1,12000,0))/IF(Grandview_Inventory[[#This Row],[unbuildable]]=1,2,1)</f>
        <v>54949.136287295303</v>
      </c>
      <c r="CA249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249">
        <f>ROUND(Grandview_Inventory[[#This Row],[det_value]]*Lookups!$M$28,-2)</f>
        <v>0</v>
      </c>
      <c r="CC249">
        <f>IF(ROUND(Grandview_Inventory[[#This Row],[adj_res]]*Lookups!$M$28,-2)&lt;Grandview_Inventory[[#This Row],[min_res]],Grandview_Inventory[[#This Row],[min_res]],ROUND(Grandview_Inventory[[#This Row],[adj_res]]*Lookups!$M$28,-2))</f>
        <v>292500</v>
      </c>
      <c r="CD249">
        <f>Grandview_Inventory[[#This Row],[final_det]]+Grandview_Inventory[[#This Row],[final_res]]</f>
        <v>292500</v>
      </c>
      <c r="CE249">
        <f>Grandview_Inventory[[#This Row],[final_land]]+Grandview_Inventory[[#This Row],[final_imp]]+Grandview_Inventory[[#This Row],[crop_value]]</f>
        <v>344700</v>
      </c>
      <c r="CG249" t="str">
        <f t="shared" si="3"/>
        <v>update valuation set market_land =52200, market_bldg=292500, market_total =344700, market_mdno =401, market_date ='9/10/2023' where link_id = (select link_id from parcel where parcel_year = '2024' and parcel_id = '23091442431');</v>
      </c>
    </row>
    <row r="250" spans="1:85" x14ac:dyDescent="0.25">
      <c r="A250">
        <v>23091442432</v>
      </c>
      <c r="B250">
        <v>0.21</v>
      </c>
      <c r="C250">
        <v>9342</v>
      </c>
      <c r="D250" t="s">
        <v>129</v>
      </c>
      <c r="E250" t="s">
        <v>53</v>
      </c>
      <c r="F250" t="s">
        <v>53</v>
      </c>
      <c r="G250">
        <v>4</v>
      </c>
      <c r="H250" t="s">
        <v>54</v>
      </c>
      <c r="I250">
        <v>220600</v>
      </c>
      <c r="J250">
        <v>39500</v>
      </c>
      <c r="K250">
        <v>0.21</v>
      </c>
      <c r="L25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50">
        <v>0</v>
      </c>
      <c r="N250">
        <v>0</v>
      </c>
      <c r="O250">
        <v>0</v>
      </c>
      <c r="P250">
        <v>13398.7528</v>
      </c>
      <c r="Q250">
        <v>63903</v>
      </c>
      <c r="R250">
        <f>(Grandview_Inventory[[#This Row],[ln_acres]]*Grandview_Inventory[[#This Row],[coeff]])+Grandview_Inventory[[#This Row],[const]]</f>
        <v>42992.266613125081</v>
      </c>
      <c r="S250" t="s">
        <v>61</v>
      </c>
      <c r="T250">
        <v>1</v>
      </c>
      <c r="U250" t="s">
        <v>65</v>
      </c>
      <c r="V250" t="s">
        <v>66</v>
      </c>
      <c r="W250">
        <v>0</v>
      </c>
      <c r="X250">
        <v>0</v>
      </c>
      <c r="Y250">
        <v>17</v>
      </c>
      <c r="Z250">
        <v>17</v>
      </c>
      <c r="AA250">
        <v>20</v>
      </c>
      <c r="AB250">
        <v>1500</v>
      </c>
      <c r="AC250">
        <v>1380</v>
      </c>
      <c r="AD250">
        <v>1380</v>
      </c>
      <c r="AE250">
        <v>0</v>
      </c>
      <c r="AF250">
        <v>0</v>
      </c>
      <c r="AG250">
        <v>0</v>
      </c>
      <c r="AH250">
        <v>0</v>
      </c>
      <c r="AI250">
        <v>308</v>
      </c>
      <c r="AJ250">
        <v>0</v>
      </c>
      <c r="AK250">
        <v>0</v>
      </c>
      <c r="AL250">
        <v>120</v>
      </c>
      <c r="AM250">
        <v>0</v>
      </c>
      <c r="AN250">
        <v>88</v>
      </c>
      <c r="AO250">
        <v>0</v>
      </c>
      <c r="AP250">
        <v>8</v>
      </c>
      <c r="AQ250">
        <v>0</v>
      </c>
      <c r="AR250">
        <v>0</v>
      </c>
      <c r="AS250" t="s">
        <v>58</v>
      </c>
      <c r="AT250">
        <v>1</v>
      </c>
      <c r="AU250" t="s">
        <v>59</v>
      </c>
      <c r="AV250" t="s">
        <v>60</v>
      </c>
      <c r="AW250">
        <v>1</v>
      </c>
      <c r="AX250">
        <v>3</v>
      </c>
      <c r="AY250">
        <v>0</v>
      </c>
      <c r="AZ250">
        <v>0</v>
      </c>
      <c r="BA250">
        <v>100</v>
      </c>
      <c r="BB250">
        <v>100</v>
      </c>
      <c r="BC250">
        <v>100</v>
      </c>
      <c r="BD250">
        <v>100</v>
      </c>
      <c r="BE250">
        <v>1</v>
      </c>
      <c r="BF250">
        <v>15000</v>
      </c>
      <c r="BG250">
        <v>1000</v>
      </c>
      <c r="BH250" s="6">
        <f>Grandview_Inventory[[#This Row],[land_extract]]*Lookups!$B$3</f>
        <v>49926.8031387023</v>
      </c>
      <c r="BI250" s="6">
        <f>IF(Grandview_Inventory[[#This Row],[bldg_style]]="",0,Lookups!$B$2)</f>
        <v>155833.95000000001</v>
      </c>
      <c r="BJ250" s="6">
        <f>_xlfn.IFNA(VLOOKUP(Grandview_Inventory[[#This Row],[quality]],Lookups!$H$2:$J$14,3,FALSE),0)</f>
        <v>2251</v>
      </c>
      <c r="BK250" s="6">
        <f>_xlfn.IFNA(VLOOKUP(Grandview_Inventory[[#This Row],[condition]],Lookups!$H$17:$J$24,3,FALSE),0)</f>
        <v>25818</v>
      </c>
      <c r="BL250" s="6">
        <f>Grandview_Inventory[[#This Row],[Eff_Age]]*Lookups!$B$14</f>
        <v>-4065.8321999999998</v>
      </c>
      <c r="BM250" s="6">
        <f>Grandview_Inventory[[#This Row],[living_area]]*Lookups!$B$15</f>
        <v>86085.577140000009</v>
      </c>
      <c r="BN250" s="6">
        <f>Grandview_Inventory[[#This Row],[Fin BSMT]]*Lookups!$B$16</f>
        <v>0</v>
      </c>
      <c r="BO250" s="6">
        <f>(Grandview_Inventory[[#This Row],[att_gar]]+Grandview_Inventory[[#This Row],[bltin_gar]])*Lookups!$B$17</f>
        <v>26956.294596</v>
      </c>
      <c r="BP250" s="6">
        <f>Grandview_Inventory[[#This Row],[Plumbing Fixtures]]*Lookups!$B$18</f>
        <v>16083.5344</v>
      </c>
      <c r="BQ250" s="6">
        <f>Grandview_Inventory[[#This Row],[detatched_value]]*Lookups!$B$19</f>
        <v>0</v>
      </c>
      <c r="BR250" s="6">
        <f>SUM(Grandview_Inventory[[#This Row],[Intercept]:[det_value]])*Grandview_Inventory[[#This Row],[res_pct]]</f>
        <v>308962.52393600001</v>
      </c>
      <c r="BS250" s="6">
        <f>Grandview_Inventory[[#This Row],[land_value]]</f>
        <v>49926.8031387023</v>
      </c>
      <c r="BT250" s="4">
        <f>_xlfn.IFNA(VLOOKUP(Grandview_Inventory[[#This Row],[quality]],Lookups!$A$26:$C$33,3,FALSE),1)</f>
        <v>0.98763855981004833</v>
      </c>
      <c r="BU250" s="4">
        <f>_xlfn.IFNA(VLOOKUP(Grandview_Inventory[[#This Row],[condition]],Lookups!$A$37:$C$44,3,FALSE),1)</f>
        <v>0.96661476234146892</v>
      </c>
      <c r="BV250" s="4">
        <f>IF(Grandview_Inventory[[#This Row],[bldg_style]]="",1,_xlfn.IFNA(VLOOKUP(Grandview_Inventory[[#This Row],[decade]],Lookups!$F$29:$H$43,3,FALSE),1))</f>
        <v>0.96737494181490646</v>
      </c>
      <c r="BW250" s="4">
        <f>_xlfn.IFNA(VLOOKUP(Grandview_Inventory[[#This Row],[living_area_range]],Lookups!$F$47:$H$56,3,FALSE),1)</f>
        <v>0.96135087979789358</v>
      </c>
      <c r="BX250" s="4">
        <f>AVERAGE(Grandview_Inventory[[#This Row],[qual_adj]:[size_adj]])</f>
        <v>0.97074478594107938</v>
      </c>
      <c r="BY250" s="6">
        <f>IF(Grandview_Inventory[[#This Row],[pre_res]]&lt;0,0,Grandview_Inventory[[#This Row],[pre_res]]*Grandview_Inventory[[#This Row],[overall_adj]])</f>
        <v>299923.75916206796</v>
      </c>
      <c r="BZ250" s="6">
        <f>(Grandview_Inventory[[#This Row],[sum_land]]-IF(Grandview_Inventory[[#This Row],[no_utilities]]=1,12000,0))/IF(Grandview_Inventory[[#This Row],[unbuildable]]=1,2,1)</f>
        <v>49926.8031387023</v>
      </c>
      <c r="CA25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50">
        <f>ROUND(Grandview_Inventory[[#This Row],[det_value]]*Lookups!$M$28,-2)</f>
        <v>0</v>
      </c>
      <c r="CC250">
        <f>IF(ROUND(Grandview_Inventory[[#This Row],[adj_res]]*Lookups!$M$28,-2)&lt;Grandview_Inventory[[#This Row],[min_res]],Grandview_Inventory[[#This Row],[min_res]],ROUND(Grandview_Inventory[[#This Row],[adj_res]]*Lookups!$M$28,-2))</f>
        <v>284900</v>
      </c>
      <c r="CD250">
        <f>Grandview_Inventory[[#This Row],[final_det]]+Grandview_Inventory[[#This Row],[final_res]]</f>
        <v>284900</v>
      </c>
      <c r="CE250">
        <f>Grandview_Inventory[[#This Row],[final_land]]+Grandview_Inventory[[#This Row],[final_imp]]+Grandview_Inventory[[#This Row],[crop_value]]</f>
        <v>332300</v>
      </c>
      <c r="CG250" t="str">
        <f t="shared" si="3"/>
        <v>update valuation set market_land =47400, market_bldg=284900, market_total =332300, market_mdno =401, market_date ='9/10/2023' where link_id = (select link_id from parcel where parcel_year = '2024' and parcel_id = '23091442432');</v>
      </c>
    </row>
    <row r="251" spans="1:85" x14ac:dyDescent="0.25">
      <c r="A251">
        <v>23091442433</v>
      </c>
      <c r="B251">
        <v>0.22</v>
      </c>
      <c r="C251">
        <v>9377</v>
      </c>
      <c r="D251" t="s">
        <v>129</v>
      </c>
      <c r="E251" t="s">
        <v>53</v>
      </c>
      <c r="F251" t="s">
        <v>53</v>
      </c>
      <c r="G251">
        <v>4</v>
      </c>
      <c r="H251" t="s">
        <v>54</v>
      </c>
      <c r="I251">
        <v>201600</v>
      </c>
      <c r="J251">
        <v>39500</v>
      </c>
      <c r="K251">
        <v>0.22</v>
      </c>
      <c r="L25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1">
        <v>0</v>
      </c>
      <c r="N251">
        <v>0</v>
      </c>
      <c r="O251">
        <v>0</v>
      </c>
      <c r="P251">
        <v>13398.7528</v>
      </c>
      <c r="Q251">
        <v>63903</v>
      </c>
      <c r="R251">
        <f>(Grandview_Inventory[[#This Row],[ln_acres]]*Grandview_Inventory[[#This Row],[coeff]])+Grandview_Inventory[[#This Row],[const]]</f>
        <v>43615.576802869145</v>
      </c>
      <c r="S251" t="s">
        <v>61</v>
      </c>
      <c r="T251">
        <v>1</v>
      </c>
      <c r="U251" t="s">
        <v>65</v>
      </c>
      <c r="V251" t="s">
        <v>67</v>
      </c>
      <c r="W251">
        <v>0</v>
      </c>
      <c r="X251">
        <v>0</v>
      </c>
      <c r="Y251">
        <v>16</v>
      </c>
      <c r="Z251">
        <v>16</v>
      </c>
      <c r="AA251">
        <v>20</v>
      </c>
      <c r="AB251">
        <v>1500</v>
      </c>
      <c r="AC251">
        <v>1266</v>
      </c>
      <c r="AD251">
        <v>1266</v>
      </c>
      <c r="AE251">
        <v>0</v>
      </c>
      <c r="AF251">
        <v>0</v>
      </c>
      <c r="AG251">
        <v>0</v>
      </c>
      <c r="AH251">
        <v>0</v>
      </c>
      <c r="AI251">
        <v>294</v>
      </c>
      <c r="AJ251">
        <v>0</v>
      </c>
      <c r="AK251">
        <v>0</v>
      </c>
      <c r="AL251">
        <v>110</v>
      </c>
      <c r="AM251">
        <v>0</v>
      </c>
      <c r="AN251">
        <v>0</v>
      </c>
      <c r="AO251">
        <v>0</v>
      </c>
      <c r="AP251">
        <v>8</v>
      </c>
      <c r="AQ251">
        <v>0</v>
      </c>
      <c r="AR251">
        <v>0</v>
      </c>
      <c r="AS251" t="s">
        <v>58</v>
      </c>
      <c r="AT251">
        <v>1</v>
      </c>
      <c r="AU251" t="s">
        <v>59</v>
      </c>
      <c r="AV251" t="s">
        <v>64</v>
      </c>
      <c r="AW251">
        <v>1</v>
      </c>
      <c r="AX251">
        <v>2</v>
      </c>
      <c r="AY251">
        <v>0</v>
      </c>
      <c r="AZ251">
        <v>0</v>
      </c>
      <c r="BA251">
        <v>100</v>
      </c>
      <c r="BB251">
        <v>100</v>
      </c>
      <c r="BC251">
        <v>100</v>
      </c>
      <c r="BD251">
        <v>100</v>
      </c>
      <c r="BE251">
        <v>1</v>
      </c>
      <c r="BF251">
        <v>15000</v>
      </c>
      <c r="BG251">
        <v>1000</v>
      </c>
      <c r="BH251" s="6">
        <f>Grandview_Inventory[[#This Row],[land_extract]]*Lookups!$B$3</f>
        <v>50650.651579114572</v>
      </c>
      <c r="BI251" s="6">
        <f>IF(Grandview_Inventory[[#This Row],[bldg_style]]="",0,Lookups!$B$2)</f>
        <v>155833.95000000001</v>
      </c>
      <c r="BJ251" s="6">
        <f>_xlfn.IFNA(VLOOKUP(Grandview_Inventory[[#This Row],[quality]],Lookups!$H$2:$J$14,3,FALSE),0)</f>
        <v>2251</v>
      </c>
      <c r="BK251" s="6">
        <f>_xlfn.IFNA(VLOOKUP(Grandview_Inventory[[#This Row],[condition]],Lookups!$H$17:$J$24,3,FALSE),0)</f>
        <v>22342</v>
      </c>
      <c r="BL251" s="6">
        <f>Grandview_Inventory[[#This Row],[Eff_Age]]*Lookups!$B$14</f>
        <v>-3826.6655999999998</v>
      </c>
      <c r="BM251" s="6">
        <f>Grandview_Inventory[[#This Row],[living_area]]*Lookups!$B$15</f>
        <v>78974.159897999998</v>
      </c>
      <c r="BN251" s="6">
        <f>Grandview_Inventory[[#This Row],[Fin BSMT]]*Lookups!$B$16</f>
        <v>0</v>
      </c>
      <c r="BO251" s="6">
        <f>(Grandview_Inventory[[#This Row],[att_gar]]+Grandview_Inventory[[#This Row],[bltin_gar]])*Lookups!$B$17</f>
        <v>25731.008478</v>
      </c>
      <c r="BP251" s="6">
        <f>Grandview_Inventory[[#This Row],[Plumbing Fixtures]]*Lookups!$B$18</f>
        <v>16083.5344</v>
      </c>
      <c r="BQ251" s="6">
        <f>Grandview_Inventory[[#This Row],[detatched_value]]*Lookups!$B$19</f>
        <v>0</v>
      </c>
      <c r="BR251" s="6">
        <f>SUM(Grandview_Inventory[[#This Row],[Intercept]:[det_value]])*Grandview_Inventory[[#This Row],[res_pct]]</f>
        <v>297388.98717600002</v>
      </c>
      <c r="BS251" s="6">
        <f>Grandview_Inventory[[#This Row],[land_value]]</f>
        <v>50650.651579114572</v>
      </c>
      <c r="BT251" s="4">
        <f>_xlfn.IFNA(VLOOKUP(Grandview_Inventory[[#This Row],[quality]],Lookups!$A$26:$C$33,3,FALSE),1)</f>
        <v>0.98763855981004833</v>
      </c>
      <c r="BU251" s="4">
        <f>_xlfn.IFNA(VLOOKUP(Grandview_Inventory[[#This Row],[condition]],Lookups!$A$37:$C$44,3,FALSE),1)</f>
        <v>0.97383723671140243</v>
      </c>
      <c r="BV251" s="4">
        <f>IF(Grandview_Inventory[[#This Row],[bldg_style]]="",1,_xlfn.IFNA(VLOOKUP(Grandview_Inventory[[#This Row],[decade]],Lookups!$F$29:$H$43,3,FALSE),1))</f>
        <v>0.96737494181490646</v>
      </c>
      <c r="BW251" s="4">
        <f>_xlfn.IFNA(VLOOKUP(Grandview_Inventory[[#This Row],[living_area_range]],Lookups!$F$47:$H$56,3,FALSE),1)</f>
        <v>0.96135087979789358</v>
      </c>
      <c r="BX251" s="4">
        <f>AVERAGE(Grandview_Inventory[[#This Row],[qual_adj]:[size_adj]])</f>
        <v>0.97255040453356267</v>
      </c>
      <c r="BY251" s="6">
        <f>IF(Grandview_Inventory[[#This Row],[pre_res]]&lt;0,0,Grandview_Inventory[[#This Row],[pre_res]]*Grandview_Inventory[[#This Row],[overall_adj]])</f>
        <v>289225.77978184528</v>
      </c>
      <c r="BZ251" s="6">
        <f>(Grandview_Inventory[[#This Row],[sum_land]]-IF(Grandview_Inventory[[#This Row],[no_utilities]]=1,12000,0))/IF(Grandview_Inventory[[#This Row],[unbuildable]]=1,2,1)</f>
        <v>50650.651579114572</v>
      </c>
      <c r="CA25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1">
        <f>ROUND(Grandview_Inventory[[#This Row],[det_value]]*Lookups!$M$28,-2)</f>
        <v>0</v>
      </c>
      <c r="CC251">
        <f>IF(ROUND(Grandview_Inventory[[#This Row],[adj_res]]*Lookups!$M$28,-2)&lt;Grandview_Inventory[[#This Row],[min_res]],Grandview_Inventory[[#This Row],[min_res]],ROUND(Grandview_Inventory[[#This Row],[adj_res]]*Lookups!$M$28,-2))</f>
        <v>274800</v>
      </c>
      <c r="CD251">
        <f>Grandview_Inventory[[#This Row],[final_det]]+Grandview_Inventory[[#This Row],[final_res]]</f>
        <v>274800</v>
      </c>
      <c r="CE251">
        <f>Grandview_Inventory[[#This Row],[final_land]]+Grandview_Inventory[[#This Row],[final_imp]]+Grandview_Inventory[[#This Row],[crop_value]]</f>
        <v>322900</v>
      </c>
      <c r="CG251" t="str">
        <f t="shared" si="3"/>
        <v>update valuation set market_land =48100, market_bldg=274800, market_total =322900, market_mdno =401, market_date ='9/10/2023' where link_id = (select link_id from parcel where parcel_year = '2024' and parcel_id = '23091442433');</v>
      </c>
    </row>
    <row r="252" spans="1:85" x14ac:dyDescent="0.25">
      <c r="A252">
        <v>23091442434</v>
      </c>
      <c r="B252">
        <v>0.22</v>
      </c>
      <c r="C252">
        <v>9376</v>
      </c>
      <c r="D252" t="s">
        <v>129</v>
      </c>
      <c r="E252" t="s">
        <v>53</v>
      </c>
      <c r="F252" t="s">
        <v>53</v>
      </c>
      <c r="G252">
        <v>4</v>
      </c>
      <c r="H252" t="s">
        <v>54</v>
      </c>
      <c r="I252">
        <v>218100</v>
      </c>
      <c r="J252">
        <v>39500</v>
      </c>
      <c r="K252">
        <v>0.22</v>
      </c>
      <c r="L25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2">
        <v>0</v>
      </c>
      <c r="N252">
        <v>0</v>
      </c>
      <c r="O252">
        <v>0</v>
      </c>
      <c r="P252">
        <v>13398.7528</v>
      </c>
      <c r="Q252">
        <v>63903</v>
      </c>
      <c r="R252">
        <f>(Grandview_Inventory[[#This Row],[ln_acres]]*Grandview_Inventory[[#This Row],[coeff]])+Grandview_Inventory[[#This Row],[const]]</f>
        <v>43615.576802869145</v>
      </c>
      <c r="S252" t="s">
        <v>61</v>
      </c>
      <c r="T252">
        <v>1</v>
      </c>
      <c r="U252" t="s">
        <v>65</v>
      </c>
      <c r="V252" t="s">
        <v>67</v>
      </c>
      <c r="W252">
        <v>0</v>
      </c>
      <c r="X252">
        <v>0</v>
      </c>
      <c r="Y252">
        <v>14</v>
      </c>
      <c r="Z252">
        <v>14</v>
      </c>
      <c r="AA252">
        <v>20</v>
      </c>
      <c r="AB252">
        <v>1500</v>
      </c>
      <c r="AC252">
        <v>1116</v>
      </c>
      <c r="AD252">
        <v>1116</v>
      </c>
      <c r="AE252">
        <v>0</v>
      </c>
      <c r="AF252">
        <v>0</v>
      </c>
      <c r="AG252">
        <v>0</v>
      </c>
      <c r="AH252">
        <v>0</v>
      </c>
      <c r="AI252">
        <v>504</v>
      </c>
      <c r="AJ252">
        <v>0</v>
      </c>
      <c r="AK252">
        <v>0</v>
      </c>
      <c r="AL252">
        <v>0</v>
      </c>
      <c r="AM252">
        <v>0</v>
      </c>
      <c r="AN252">
        <v>148</v>
      </c>
      <c r="AO252">
        <v>0</v>
      </c>
      <c r="AP252">
        <v>8</v>
      </c>
      <c r="AQ252">
        <v>0</v>
      </c>
      <c r="AR252">
        <v>0</v>
      </c>
      <c r="AS252" t="s">
        <v>58</v>
      </c>
      <c r="AT252">
        <v>1</v>
      </c>
      <c r="AU252" t="s">
        <v>59</v>
      </c>
      <c r="AV252" t="s">
        <v>60</v>
      </c>
      <c r="AW252">
        <v>1</v>
      </c>
      <c r="AX252">
        <v>3</v>
      </c>
      <c r="AY252">
        <v>0</v>
      </c>
      <c r="AZ252">
        <v>0</v>
      </c>
      <c r="BA252">
        <v>100</v>
      </c>
      <c r="BB252">
        <v>100</v>
      </c>
      <c r="BC252">
        <v>100</v>
      </c>
      <c r="BD252">
        <v>100</v>
      </c>
      <c r="BE252">
        <v>1</v>
      </c>
      <c r="BF252">
        <v>15000</v>
      </c>
      <c r="BG252">
        <v>1000</v>
      </c>
      <c r="BH252" s="6">
        <f>Grandview_Inventory[[#This Row],[land_extract]]*Lookups!$B$3</f>
        <v>50650.651579114572</v>
      </c>
      <c r="BI252" s="6">
        <f>IF(Grandview_Inventory[[#This Row],[bldg_style]]="",0,Lookups!$B$2)</f>
        <v>155833.95000000001</v>
      </c>
      <c r="BJ252" s="6">
        <f>_xlfn.IFNA(VLOOKUP(Grandview_Inventory[[#This Row],[quality]],Lookups!$H$2:$J$14,3,FALSE),0)</f>
        <v>2251</v>
      </c>
      <c r="BK252" s="6">
        <f>_xlfn.IFNA(VLOOKUP(Grandview_Inventory[[#This Row],[condition]],Lookups!$H$17:$J$24,3,FALSE),0)</f>
        <v>22342</v>
      </c>
      <c r="BL252" s="6">
        <f>Grandview_Inventory[[#This Row],[Eff_Age]]*Lookups!$B$14</f>
        <v>-3348.3323999999998</v>
      </c>
      <c r="BM252" s="6">
        <f>Grandview_Inventory[[#This Row],[living_area]]*Lookups!$B$15</f>
        <v>69617.031948000003</v>
      </c>
      <c r="BN252" s="6">
        <f>Grandview_Inventory[[#This Row],[Fin BSMT]]*Lookups!$B$16</f>
        <v>0</v>
      </c>
      <c r="BO252" s="6">
        <f>(Grandview_Inventory[[#This Row],[att_gar]]+Grandview_Inventory[[#This Row],[bltin_gar]])*Lookups!$B$17</f>
        <v>44110.300248</v>
      </c>
      <c r="BP252" s="6">
        <f>Grandview_Inventory[[#This Row],[Plumbing Fixtures]]*Lookups!$B$18</f>
        <v>16083.5344</v>
      </c>
      <c r="BQ252" s="6">
        <f>Grandview_Inventory[[#This Row],[detatched_value]]*Lookups!$B$19</f>
        <v>0</v>
      </c>
      <c r="BR252" s="6">
        <f>SUM(Grandview_Inventory[[#This Row],[Intercept]:[det_value]])*Grandview_Inventory[[#This Row],[res_pct]]</f>
        <v>306889.48419600003</v>
      </c>
      <c r="BS252" s="6">
        <f>Grandview_Inventory[[#This Row],[land_value]]</f>
        <v>50650.651579114572</v>
      </c>
      <c r="BT252" s="4">
        <f>_xlfn.IFNA(VLOOKUP(Grandview_Inventory[[#This Row],[quality]],Lookups!$A$26:$C$33,3,FALSE),1)</f>
        <v>0.98763855981004833</v>
      </c>
      <c r="BU252" s="4">
        <f>_xlfn.IFNA(VLOOKUP(Grandview_Inventory[[#This Row],[condition]],Lookups!$A$37:$C$44,3,FALSE),1)</f>
        <v>0.97383723671140243</v>
      </c>
      <c r="BV252" s="4">
        <f>IF(Grandview_Inventory[[#This Row],[bldg_style]]="",1,_xlfn.IFNA(VLOOKUP(Grandview_Inventory[[#This Row],[decade]],Lookups!$F$29:$H$43,3,FALSE),1))</f>
        <v>0.96737494181490646</v>
      </c>
      <c r="BW252" s="4">
        <f>_xlfn.IFNA(VLOOKUP(Grandview_Inventory[[#This Row],[living_area_range]],Lookups!$F$47:$H$56,3,FALSE),1)</f>
        <v>0.96135087979789358</v>
      </c>
      <c r="BX252" s="4">
        <f>AVERAGE(Grandview_Inventory[[#This Row],[qual_adj]:[size_adj]])</f>
        <v>0.97255040453356267</v>
      </c>
      <c r="BY252" s="6">
        <f>IF(Grandview_Inventory[[#This Row],[pre_res]]&lt;0,0,Grandview_Inventory[[#This Row],[pre_res]]*Grandview_Inventory[[#This Row],[overall_adj]])</f>
        <v>298465.49200191622</v>
      </c>
      <c r="BZ252" s="6">
        <f>(Grandview_Inventory[[#This Row],[sum_land]]-IF(Grandview_Inventory[[#This Row],[no_utilities]]=1,12000,0))/IF(Grandview_Inventory[[#This Row],[unbuildable]]=1,2,1)</f>
        <v>50650.651579114572</v>
      </c>
      <c r="CA25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2">
        <f>ROUND(Grandview_Inventory[[#This Row],[det_value]]*Lookups!$M$28,-2)</f>
        <v>0</v>
      </c>
      <c r="CC252">
        <f>IF(ROUND(Grandview_Inventory[[#This Row],[adj_res]]*Lookups!$M$28,-2)&lt;Grandview_Inventory[[#This Row],[min_res]],Grandview_Inventory[[#This Row],[min_res]],ROUND(Grandview_Inventory[[#This Row],[adj_res]]*Lookups!$M$28,-2))</f>
        <v>283500</v>
      </c>
      <c r="CD252">
        <f>Grandview_Inventory[[#This Row],[final_det]]+Grandview_Inventory[[#This Row],[final_res]]</f>
        <v>283500</v>
      </c>
      <c r="CE252">
        <f>Grandview_Inventory[[#This Row],[final_land]]+Grandview_Inventory[[#This Row],[final_imp]]+Grandview_Inventory[[#This Row],[crop_value]]</f>
        <v>331600</v>
      </c>
      <c r="CG252" t="str">
        <f t="shared" si="3"/>
        <v>update valuation set market_land =48100, market_bldg=283500, market_total =331600, market_mdno =401, market_date ='9/10/2023' where link_id = (select link_id from parcel where parcel_year = '2024' and parcel_id = '23091442434');</v>
      </c>
    </row>
    <row r="253" spans="1:85" x14ac:dyDescent="0.25">
      <c r="A253">
        <v>23091442435</v>
      </c>
      <c r="B253">
        <v>0.22</v>
      </c>
      <c r="C253">
        <v>9375</v>
      </c>
      <c r="D253" t="s">
        <v>129</v>
      </c>
      <c r="E253" t="s">
        <v>53</v>
      </c>
      <c r="F253" t="s">
        <v>53</v>
      </c>
      <c r="G253">
        <v>4</v>
      </c>
      <c r="H253" t="s">
        <v>54</v>
      </c>
      <c r="I253">
        <v>220200</v>
      </c>
      <c r="J253">
        <v>39500</v>
      </c>
      <c r="K253">
        <v>0.22</v>
      </c>
      <c r="L25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3">
        <v>0</v>
      </c>
      <c r="N253">
        <v>0</v>
      </c>
      <c r="O253">
        <v>0</v>
      </c>
      <c r="P253">
        <v>13398.7528</v>
      </c>
      <c r="Q253">
        <v>63903</v>
      </c>
      <c r="R253">
        <f>(Grandview_Inventory[[#This Row],[ln_acres]]*Grandview_Inventory[[#This Row],[coeff]])+Grandview_Inventory[[#This Row],[const]]</f>
        <v>43615.576802869145</v>
      </c>
      <c r="S253" t="s">
        <v>61</v>
      </c>
      <c r="T253">
        <v>1</v>
      </c>
      <c r="U253" t="s">
        <v>65</v>
      </c>
      <c r="V253" t="s">
        <v>66</v>
      </c>
      <c r="W253">
        <v>0</v>
      </c>
      <c r="X253">
        <v>0</v>
      </c>
      <c r="Y253">
        <v>14</v>
      </c>
      <c r="Z253">
        <v>14</v>
      </c>
      <c r="AA253">
        <v>20</v>
      </c>
      <c r="AB253">
        <v>1500</v>
      </c>
      <c r="AC253">
        <v>1116</v>
      </c>
      <c r="AD253">
        <v>1116</v>
      </c>
      <c r="AE253">
        <v>0</v>
      </c>
      <c r="AF253">
        <v>0</v>
      </c>
      <c r="AG253">
        <v>0</v>
      </c>
      <c r="AH253">
        <v>0</v>
      </c>
      <c r="AI253">
        <v>504</v>
      </c>
      <c r="AJ253">
        <v>0</v>
      </c>
      <c r="AK253">
        <v>0</v>
      </c>
      <c r="AL253">
        <v>0</v>
      </c>
      <c r="AM253">
        <v>0</v>
      </c>
      <c r="AN253">
        <v>184</v>
      </c>
      <c r="AO253">
        <v>0</v>
      </c>
      <c r="AP253">
        <v>8</v>
      </c>
      <c r="AQ253">
        <v>0</v>
      </c>
      <c r="AR253">
        <v>0</v>
      </c>
      <c r="AS253" t="s">
        <v>58</v>
      </c>
      <c r="AT253">
        <v>1</v>
      </c>
      <c r="AU253" t="s">
        <v>59</v>
      </c>
      <c r="AV253" t="s">
        <v>60</v>
      </c>
      <c r="AW253">
        <v>1</v>
      </c>
      <c r="AX253">
        <v>3</v>
      </c>
      <c r="AY253">
        <v>0</v>
      </c>
      <c r="AZ253">
        <v>0</v>
      </c>
      <c r="BA253">
        <v>100</v>
      </c>
      <c r="BB253">
        <v>100</v>
      </c>
      <c r="BC253">
        <v>100</v>
      </c>
      <c r="BD253">
        <v>100</v>
      </c>
      <c r="BE253">
        <v>1</v>
      </c>
      <c r="BF253">
        <v>15000</v>
      </c>
      <c r="BG253">
        <v>1000</v>
      </c>
      <c r="BH253" s="6">
        <f>Grandview_Inventory[[#This Row],[land_extract]]*Lookups!$B$3</f>
        <v>50650.651579114572</v>
      </c>
      <c r="BI253" s="6">
        <f>IF(Grandview_Inventory[[#This Row],[bldg_style]]="",0,Lookups!$B$2)</f>
        <v>155833.95000000001</v>
      </c>
      <c r="BJ253" s="6">
        <f>_xlfn.IFNA(VLOOKUP(Grandview_Inventory[[#This Row],[quality]],Lookups!$H$2:$J$14,3,FALSE),0)</f>
        <v>2251</v>
      </c>
      <c r="BK253" s="6">
        <f>_xlfn.IFNA(VLOOKUP(Grandview_Inventory[[#This Row],[condition]],Lookups!$H$17:$J$24,3,FALSE),0)</f>
        <v>25818</v>
      </c>
      <c r="BL253" s="6">
        <f>Grandview_Inventory[[#This Row],[Eff_Age]]*Lookups!$B$14</f>
        <v>-3348.3323999999998</v>
      </c>
      <c r="BM253" s="6">
        <f>Grandview_Inventory[[#This Row],[living_area]]*Lookups!$B$15</f>
        <v>69617.031948000003</v>
      </c>
      <c r="BN253" s="6">
        <f>Grandview_Inventory[[#This Row],[Fin BSMT]]*Lookups!$B$16</f>
        <v>0</v>
      </c>
      <c r="BO253" s="6">
        <f>(Grandview_Inventory[[#This Row],[att_gar]]+Grandview_Inventory[[#This Row],[bltin_gar]])*Lookups!$B$17</f>
        <v>44110.300248</v>
      </c>
      <c r="BP253" s="6">
        <f>Grandview_Inventory[[#This Row],[Plumbing Fixtures]]*Lookups!$B$18</f>
        <v>16083.5344</v>
      </c>
      <c r="BQ253" s="6">
        <f>Grandview_Inventory[[#This Row],[detatched_value]]*Lookups!$B$19</f>
        <v>0</v>
      </c>
      <c r="BR253" s="6">
        <f>SUM(Grandview_Inventory[[#This Row],[Intercept]:[det_value]])*Grandview_Inventory[[#This Row],[res_pct]]</f>
        <v>310365.48419600003</v>
      </c>
      <c r="BS253" s="6">
        <f>Grandview_Inventory[[#This Row],[land_value]]</f>
        <v>50650.651579114572</v>
      </c>
      <c r="BT253" s="4">
        <f>_xlfn.IFNA(VLOOKUP(Grandview_Inventory[[#This Row],[quality]],Lookups!$A$26:$C$33,3,FALSE),1)</f>
        <v>0.98763855981004833</v>
      </c>
      <c r="BU253" s="4">
        <f>_xlfn.IFNA(VLOOKUP(Grandview_Inventory[[#This Row],[condition]],Lookups!$A$37:$C$44,3,FALSE),1)</f>
        <v>0.96661476234146892</v>
      </c>
      <c r="BV253" s="4">
        <f>IF(Grandview_Inventory[[#This Row],[bldg_style]]="",1,_xlfn.IFNA(VLOOKUP(Grandview_Inventory[[#This Row],[decade]],Lookups!$F$29:$H$43,3,FALSE),1))</f>
        <v>0.96737494181490646</v>
      </c>
      <c r="BW253" s="4">
        <f>_xlfn.IFNA(VLOOKUP(Grandview_Inventory[[#This Row],[living_area_range]],Lookups!$F$47:$H$56,3,FALSE),1)</f>
        <v>0.96135087979789358</v>
      </c>
      <c r="BX253" s="4">
        <f>AVERAGE(Grandview_Inventory[[#This Row],[qual_adj]:[size_adj]])</f>
        <v>0.97074478594107938</v>
      </c>
      <c r="BY253" s="6">
        <f>IF(Grandview_Inventory[[#This Row],[pre_res]]&lt;0,0,Grandview_Inventory[[#This Row],[pre_res]]*Grandview_Inventory[[#This Row],[overall_adj]])</f>
        <v>301285.6755193455</v>
      </c>
      <c r="BZ253" s="6">
        <f>(Grandview_Inventory[[#This Row],[sum_land]]-IF(Grandview_Inventory[[#This Row],[no_utilities]]=1,12000,0))/IF(Grandview_Inventory[[#This Row],[unbuildable]]=1,2,1)</f>
        <v>50650.651579114572</v>
      </c>
      <c r="CA25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3">
        <f>ROUND(Grandview_Inventory[[#This Row],[det_value]]*Lookups!$M$28,-2)</f>
        <v>0</v>
      </c>
      <c r="CC253">
        <f>IF(ROUND(Grandview_Inventory[[#This Row],[adj_res]]*Lookups!$M$28,-2)&lt;Grandview_Inventory[[#This Row],[min_res]],Grandview_Inventory[[#This Row],[min_res]],ROUND(Grandview_Inventory[[#This Row],[adj_res]]*Lookups!$M$28,-2))</f>
        <v>286200</v>
      </c>
      <c r="CD253">
        <f>Grandview_Inventory[[#This Row],[final_det]]+Grandview_Inventory[[#This Row],[final_res]]</f>
        <v>286200</v>
      </c>
      <c r="CE253">
        <f>Grandview_Inventory[[#This Row],[final_land]]+Grandview_Inventory[[#This Row],[final_imp]]+Grandview_Inventory[[#This Row],[crop_value]]</f>
        <v>334300</v>
      </c>
      <c r="CG253" t="str">
        <f t="shared" si="3"/>
        <v>update valuation set market_land =48100, market_bldg=286200, market_total =334300, market_mdno =401, market_date ='9/10/2023' where link_id = (select link_id from parcel where parcel_year = '2024' and parcel_id = '23091442435');</v>
      </c>
    </row>
    <row r="254" spans="1:85" x14ac:dyDescent="0.25">
      <c r="A254">
        <v>23091442436</v>
      </c>
      <c r="B254">
        <v>0.22</v>
      </c>
      <c r="C254">
        <v>9374</v>
      </c>
      <c r="D254" t="s">
        <v>129</v>
      </c>
      <c r="E254" t="s">
        <v>53</v>
      </c>
      <c r="F254" t="s">
        <v>53</v>
      </c>
      <c r="G254">
        <v>4</v>
      </c>
      <c r="H254" t="s">
        <v>54</v>
      </c>
      <c r="I254">
        <v>225300</v>
      </c>
      <c r="J254">
        <v>43700</v>
      </c>
      <c r="K254">
        <v>0.22</v>
      </c>
      <c r="L25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4">
        <v>0</v>
      </c>
      <c r="N254">
        <v>0</v>
      </c>
      <c r="O254">
        <v>0</v>
      </c>
      <c r="P254">
        <v>13398.7528</v>
      </c>
      <c r="Q254">
        <v>63903</v>
      </c>
      <c r="R254">
        <f>(Grandview_Inventory[[#This Row],[ln_acres]]*Grandview_Inventory[[#This Row],[coeff]])+Grandview_Inventory[[#This Row],[const]]</f>
        <v>43615.576802869145</v>
      </c>
      <c r="S254" t="s">
        <v>61</v>
      </c>
      <c r="T254">
        <v>1</v>
      </c>
      <c r="U254" t="s">
        <v>65</v>
      </c>
      <c r="V254" t="s">
        <v>66</v>
      </c>
      <c r="W254">
        <v>0</v>
      </c>
      <c r="X254">
        <v>0</v>
      </c>
      <c r="Y254">
        <v>15</v>
      </c>
      <c r="Z254">
        <v>15</v>
      </c>
      <c r="AA254">
        <v>20</v>
      </c>
      <c r="AB254">
        <v>1500</v>
      </c>
      <c r="AC254">
        <v>1205</v>
      </c>
      <c r="AD254">
        <v>1205</v>
      </c>
      <c r="AE254">
        <v>0</v>
      </c>
      <c r="AF254">
        <v>0</v>
      </c>
      <c r="AG254">
        <v>0</v>
      </c>
      <c r="AH254">
        <v>0</v>
      </c>
      <c r="AI254">
        <v>420</v>
      </c>
      <c r="AJ254">
        <v>0</v>
      </c>
      <c r="AK254">
        <v>0</v>
      </c>
      <c r="AL254">
        <v>0</v>
      </c>
      <c r="AM254">
        <v>128</v>
      </c>
      <c r="AN254">
        <v>0</v>
      </c>
      <c r="AO254">
        <v>0</v>
      </c>
      <c r="AP254">
        <v>9</v>
      </c>
      <c r="AQ254">
        <v>0</v>
      </c>
      <c r="AR254">
        <v>0</v>
      </c>
      <c r="AS254" t="s">
        <v>58</v>
      </c>
      <c r="AT254">
        <v>1</v>
      </c>
      <c r="AU254" t="s">
        <v>63</v>
      </c>
      <c r="AV254" t="s">
        <v>60</v>
      </c>
      <c r="AW254">
        <v>1</v>
      </c>
      <c r="AX254">
        <v>3</v>
      </c>
      <c r="AY254">
        <v>0</v>
      </c>
      <c r="AZ254">
        <v>0</v>
      </c>
      <c r="BA254">
        <v>100</v>
      </c>
      <c r="BB254">
        <v>100</v>
      </c>
      <c r="BC254">
        <v>100</v>
      </c>
      <c r="BD254">
        <v>100</v>
      </c>
      <c r="BE254">
        <v>1</v>
      </c>
      <c r="BF254">
        <v>15000</v>
      </c>
      <c r="BG254">
        <v>1000</v>
      </c>
      <c r="BH254" s="6">
        <f>Grandview_Inventory[[#This Row],[land_extract]]*Lookups!$B$3</f>
        <v>50650.651579114572</v>
      </c>
      <c r="BI254" s="6">
        <f>IF(Grandview_Inventory[[#This Row],[bldg_style]]="",0,Lookups!$B$2)</f>
        <v>155833.95000000001</v>
      </c>
      <c r="BJ254" s="6">
        <f>_xlfn.IFNA(VLOOKUP(Grandview_Inventory[[#This Row],[quality]],Lookups!$H$2:$J$14,3,FALSE),0)</f>
        <v>2251</v>
      </c>
      <c r="BK254" s="6">
        <f>_xlfn.IFNA(VLOOKUP(Grandview_Inventory[[#This Row],[condition]],Lookups!$H$17:$J$24,3,FALSE),0)</f>
        <v>25818</v>
      </c>
      <c r="BL254" s="6">
        <f>Grandview_Inventory[[#This Row],[Eff_Age]]*Lookups!$B$14</f>
        <v>-3587.4989999999998</v>
      </c>
      <c r="BM254" s="6">
        <f>Grandview_Inventory[[#This Row],[living_area]]*Lookups!$B$15</f>
        <v>75168.927865000005</v>
      </c>
      <c r="BN254" s="6">
        <f>Grandview_Inventory[[#This Row],[Fin BSMT]]*Lookups!$B$16</f>
        <v>0</v>
      </c>
      <c r="BO254" s="6">
        <f>(Grandview_Inventory[[#This Row],[att_gar]]+Grandview_Inventory[[#This Row],[bltin_gar]])*Lookups!$B$17</f>
        <v>36758.58354</v>
      </c>
      <c r="BP254" s="6">
        <f>Grandview_Inventory[[#This Row],[Plumbing Fixtures]]*Lookups!$B$18</f>
        <v>18093.976200000001</v>
      </c>
      <c r="BQ254" s="6">
        <f>Grandview_Inventory[[#This Row],[detatched_value]]*Lookups!$B$19</f>
        <v>0</v>
      </c>
      <c r="BR254" s="6">
        <f>SUM(Grandview_Inventory[[#This Row],[Intercept]:[det_value]])*Grandview_Inventory[[#This Row],[res_pct]]</f>
        <v>310336.93860499997</v>
      </c>
      <c r="BS254" s="6">
        <f>Grandview_Inventory[[#This Row],[land_value]]</f>
        <v>50650.651579114572</v>
      </c>
      <c r="BT254" s="4">
        <f>_xlfn.IFNA(VLOOKUP(Grandview_Inventory[[#This Row],[quality]],Lookups!$A$26:$C$33,3,FALSE),1)</f>
        <v>0.98763855981004833</v>
      </c>
      <c r="BU254" s="4">
        <f>_xlfn.IFNA(VLOOKUP(Grandview_Inventory[[#This Row],[condition]],Lookups!$A$37:$C$44,3,FALSE),1)</f>
        <v>0.96661476234146892</v>
      </c>
      <c r="BV254" s="4">
        <f>IF(Grandview_Inventory[[#This Row],[bldg_style]]="",1,_xlfn.IFNA(VLOOKUP(Grandview_Inventory[[#This Row],[decade]],Lookups!$F$29:$H$43,3,FALSE),1))</f>
        <v>0.96737494181490646</v>
      </c>
      <c r="BW254" s="4">
        <f>_xlfn.IFNA(VLOOKUP(Grandview_Inventory[[#This Row],[living_area_range]],Lookups!$F$47:$H$56,3,FALSE),1)</f>
        <v>0.96135087979789358</v>
      </c>
      <c r="BX254" s="4">
        <f>AVERAGE(Grandview_Inventory[[#This Row],[qual_adj]:[size_adj]])</f>
        <v>0.97074478594107938</v>
      </c>
      <c r="BY254" s="6">
        <f>IF(Grandview_Inventory[[#This Row],[pre_res]]&lt;0,0,Grandview_Inventory[[#This Row],[pre_res]]*Grandview_Inventory[[#This Row],[overall_adj]])</f>
        <v>301257.96503572061</v>
      </c>
      <c r="BZ254" s="6">
        <f>(Grandview_Inventory[[#This Row],[sum_land]]-IF(Grandview_Inventory[[#This Row],[no_utilities]]=1,12000,0))/IF(Grandview_Inventory[[#This Row],[unbuildable]]=1,2,1)</f>
        <v>50650.651579114572</v>
      </c>
      <c r="CA25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4">
        <f>ROUND(Grandview_Inventory[[#This Row],[det_value]]*Lookups!$M$28,-2)</f>
        <v>0</v>
      </c>
      <c r="CC254">
        <f>IF(ROUND(Grandview_Inventory[[#This Row],[adj_res]]*Lookups!$M$28,-2)&lt;Grandview_Inventory[[#This Row],[min_res]],Grandview_Inventory[[#This Row],[min_res]],ROUND(Grandview_Inventory[[#This Row],[adj_res]]*Lookups!$M$28,-2))</f>
        <v>286200</v>
      </c>
      <c r="CD254">
        <f>Grandview_Inventory[[#This Row],[final_det]]+Grandview_Inventory[[#This Row],[final_res]]</f>
        <v>286200</v>
      </c>
      <c r="CE254">
        <f>Grandview_Inventory[[#This Row],[final_land]]+Grandview_Inventory[[#This Row],[final_imp]]+Grandview_Inventory[[#This Row],[crop_value]]</f>
        <v>334300</v>
      </c>
      <c r="CG254" t="str">
        <f t="shared" si="3"/>
        <v>update valuation set market_land =48100, market_bldg=286200, market_total =334300, market_mdno =401, market_date ='9/10/2023' where link_id = (select link_id from parcel where parcel_year = '2024' and parcel_id = '23091442436');</v>
      </c>
    </row>
    <row r="255" spans="1:85" x14ac:dyDescent="0.25">
      <c r="A255">
        <v>23091442437</v>
      </c>
      <c r="B255">
        <v>0.22</v>
      </c>
      <c r="C255">
        <v>9373</v>
      </c>
      <c r="D255" t="s">
        <v>129</v>
      </c>
      <c r="E255" t="s">
        <v>53</v>
      </c>
      <c r="F255" t="s">
        <v>53</v>
      </c>
      <c r="G255">
        <v>4</v>
      </c>
      <c r="H255" t="s">
        <v>54</v>
      </c>
      <c r="I255">
        <v>247500</v>
      </c>
      <c r="J255">
        <v>39500</v>
      </c>
      <c r="K255">
        <v>0.22</v>
      </c>
      <c r="L25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5">
        <v>0</v>
      </c>
      <c r="N255">
        <v>0</v>
      </c>
      <c r="O255">
        <v>0</v>
      </c>
      <c r="P255">
        <v>13398.7528</v>
      </c>
      <c r="Q255">
        <v>63903</v>
      </c>
      <c r="R255">
        <f>(Grandview_Inventory[[#This Row],[ln_acres]]*Grandview_Inventory[[#This Row],[coeff]])+Grandview_Inventory[[#This Row],[const]]</f>
        <v>43615.576802869145</v>
      </c>
      <c r="S255" t="s">
        <v>61</v>
      </c>
      <c r="T255">
        <v>1</v>
      </c>
      <c r="U255" t="s">
        <v>65</v>
      </c>
      <c r="V255" t="s">
        <v>66</v>
      </c>
      <c r="W255">
        <v>0</v>
      </c>
      <c r="X255">
        <v>0</v>
      </c>
      <c r="Y255">
        <v>10</v>
      </c>
      <c r="Z255">
        <v>13</v>
      </c>
      <c r="AA255">
        <v>20</v>
      </c>
      <c r="AB255">
        <v>2000</v>
      </c>
      <c r="AC255">
        <v>1695</v>
      </c>
      <c r="AD255">
        <v>1695</v>
      </c>
      <c r="AE255">
        <v>0</v>
      </c>
      <c r="AF255">
        <v>0</v>
      </c>
      <c r="AG255">
        <v>0</v>
      </c>
      <c r="AH255">
        <v>0</v>
      </c>
      <c r="AI255">
        <v>420</v>
      </c>
      <c r="AJ255">
        <v>0</v>
      </c>
      <c r="AK255">
        <v>0</v>
      </c>
      <c r="AL255">
        <v>0</v>
      </c>
      <c r="AM255">
        <v>0</v>
      </c>
      <c r="AN255">
        <v>16</v>
      </c>
      <c r="AO255">
        <v>0</v>
      </c>
      <c r="AP255">
        <v>8</v>
      </c>
      <c r="AQ255">
        <v>0</v>
      </c>
      <c r="AR255">
        <v>0</v>
      </c>
      <c r="AS255" t="s">
        <v>58</v>
      </c>
      <c r="AT255">
        <v>1</v>
      </c>
      <c r="AU255" t="s">
        <v>59</v>
      </c>
      <c r="AV255" t="s">
        <v>60</v>
      </c>
      <c r="AW255">
        <v>1</v>
      </c>
      <c r="AX255">
        <v>4</v>
      </c>
      <c r="AY255">
        <v>0</v>
      </c>
      <c r="AZ255">
        <v>0</v>
      </c>
      <c r="BA255">
        <v>100</v>
      </c>
      <c r="BB255">
        <v>100</v>
      </c>
      <c r="BC255">
        <v>100</v>
      </c>
      <c r="BD255">
        <v>100</v>
      </c>
      <c r="BE255">
        <v>1</v>
      </c>
      <c r="BF255">
        <v>15000</v>
      </c>
      <c r="BG255">
        <v>1000</v>
      </c>
      <c r="BH255" s="6">
        <f>Grandview_Inventory[[#This Row],[land_extract]]*Lookups!$B$3</f>
        <v>50650.651579114572</v>
      </c>
      <c r="BI255" s="6">
        <f>IF(Grandview_Inventory[[#This Row],[bldg_style]]="",0,Lookups!$B$2)</f>
        <v>155833.95000000001</v>
      </c>
      <c r="BJ255" s="6">
        <f>_xlfn.IFNA(VLOOKUP(Grandview_Inventory[[#This Row],[quality]],Lookups!$H$2:$J$14,3,FALSE),0)</f>
        <v>2251</v>
      </c>
      <c r="BK255" s="6">
        <f>_xlfn.IFNA(VLOOKUP(Grandview_Inventory[[#This Row],[condition]],Lookups!$H$17:$J$24,3,FALSE),0)</f>
        <v>25818</v>
      </c>
      <c r="BL255" s="6">
        <f>Grandview_Inventory[[#This Row],[Eff_Age]]*Lookups!$B$14</f>
        <v>-2391.6659999999997</v>
      </c>
      <c r="BM255" s="6">
        <f>Grandview_Inventory[[#This Row],[living_area]]*Lookups!$B$15</f>
        <v>105735.545835</v>
      </c>
      <c r="BN255" s="6">
        <f>Grandview_Inventory[[#This Row],[Fin BSMT]]*Lookups!$B$16</f>
        <v>0</v>
      </c>
      <c r="BO255" s="6">
        <f>(Grandview_Inventory[[#This Row],[att_gar]]+Grandview_Inventory[[#This Row],[bltin_gar]])*Lookups!$B$17</f>
        <v>36758.58354</v>
      </c>
      <c r="BP255" s="6">
        <f>Grandview_Inventory[[#This Row],[Plumbing Fixtures]]*Lookups!$B$18</f>
        <v>16083.5344</v>
      </c>
      <c r="BQ255" s="6">
        <f>Grandview_Inventory[[#This Row],[detatched_value]]*Lookups!$B$19</f>
        <v>0</v>
      </c>
      <c r="BR255" s="6">
        <f>SUM(Grandview_Inventory[[#This Row],[Intercept]:[det_value]])*Grandview_Inventory[[#This Row],[res_pct]]</f>
        <v>340088.94777500001</v>
      </c>
      <c r="BS255" s="6">
        <f>Grandview_Inventory[[#This Row],[land_value]]</f>
        <v>50650.651579114572</v>
      </c>
      <c r="BT255" s="4">
        <f>_xlfn.IFNA(VLOOKUP(Grandview_Inventory[[#This Row],[quality]],Lookups!$A$26:$C$33,3,FALSE),1)</f>
        <v>0.98763855981004833</v>
      </c>
      <c r="BU255" s="4">
        <f>_xlfn.IFNA(VLOOKUP(Grandview_Inventory[[#This Row],[condition]],Lookups!$A$37:$C$44,3,FALSE),1)</f>
        <v>0.96661476234146892</v>
      </c>
      <c r="BV255" s="4">
        <f>IF(Grandview_Inventory[[#This Row],[bldg_style]]="",1,_xlfn.IFNA(VLOOKUP(Grandview_Inventory[[#This Row],[decade]],Lookups!$F$29:$H$43,3,FALSE),1))</f>
        <v>0.96737494181490646</v>
      </c>
      <c r="BW255" s="4">
        <f>_xlfn.IFNA(VLOOKUP(Grandview_Inventory[[#This Row],[living_area_range]],Lookups!$F$47:$H$56,3,FALSE),1)</f>
        <v>0.96120133463014379</v>
      </c>
      <c r="BX255" s="4">
        <f>AVERAGE(Grandview_Inventory[[#This Row],[qual_adj]:[size_adj]])</f>
        <v>0.97070739964914199</v>
      </c>
      <c r="BY255" s="6">
        <f>IF(Grandview_Inventory[[#This Row],[pre_res]]&lt;0,0,Grandview_Inventory[[#This Row],[pre_res]]*Grandview_Inventory[[#This Row],[overall_adj]])</f>
        <v>330126.85814408312</v>
      </c>
      <c r="BZ255" s="6">
        <f>(Grandview_Inventory[[#This Row],[sum_land]]-IF(Grandview_Inventory[[#This Row],[no_utilities]]=1,12000,0))/IF(Grandview_Inventory[[#This Row],[unbuildable]]=1,2,1)</f>
        <v>50650.651579114572</v>
      </c>
      <c r="CA25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5">
        <f>ROUND(Grandview_Inventory[[#This Row],[det_value]]*Lookups!$M$28,-2)</f>
        <v>0</v>
      </c>
      <c r="CC255">
        <f>IF(ROUND(Grandview_Inventory[[#This Row],[adj_res]]*Lookups!$M$28,-2)&lt;Grandview_Inventory[[#This Row],[min_res]],Grandview_Inventory[[#This Row],[min_res]],ROUND(Grandview_Inventory[[#This Row],[adj_res]]*Lookups!$M$28,-2))</f>
        <v>313600</v>
      </c>
      <c r="CD255">
        <f>Grandview_Inventory[[#This Row],[final_det]]+Grandview_Inventory[[#This Row],[final_res]]</f>
        <v>313600</v>
      </c>
      <c r="CE255">
        <f>Grandview_Inventory[[#This Row],[final_land]]+Grandview_Inventory[[#This Row],[final_imp]]+Grandview_Inventory[[#This Row],[crop_value]]</f>
        <v>361700</v>
      </c>
      <c r="CG255" t="str">
        <f t="shared" si="3"/>
        <v>update valuation set market_land =48100, market_bldg=313600, market_total =361700, market_mdno =401, market_date ='9/10/2023' where link_id = (select link_id from parcel where parcel_year = '2024' and parcel_id = '23091442437');</v>
      </c>
    </row>
    <row r="256" spans="1:85" x14ac:dyDescent="0.25">
      <c r="A256">
        <v>23091442438</v>
      </c>
      <c r="B256">
        <v>0.22</v>
      </c>
      <c r="C256">
        <v>9372</v>
      </c>
      <c r="D256" t="s">
        <v>129</v>
      </c>
      <c r="E256" t="s">
        <v>53</v>
      </c>
      <c r="F256" t="s">
        <v>53</v>
      </c>
      <c r="G256">
        <v>4</v>
      </c>
      <c r="H256" t="s">
        <v>54</v>
      </c>
      <c r="I256">
        <v>216400</v>
      </c>
      <c r="J256">
        <v>39500</v>
      </c>
      <c r="K256">
        <v>0.22</v>
      </c>
      <c r="L25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6">
        <v>0</v>
      </c>
      <c r="N256">
        <v>0</v>
      </c>
      <c r="O256">
        <v>0</v>
      </c>
      <c r="P256">
        <v>13398.7528</v>
      </c>
      <c r="Q256">
        <v>63903</v>
      </c>
      <c r="R256">
        <f>(Grandview_Inventory[[#This Row],[ln_acres]]*Grandview_Inventory[[#This Row],[coeff]])+Grandview_Inventory[[#This Row],[const]]</f>
        <v>43615.576802869145</v>
      </c>
      <c r="S256" t="s">
        <v>61</v>
      </c>
      <c r="T256">
        <v>1</v>
      </c>
      <c r="U256" t="s">
        <v>62</v>
      </c>
      <c r="V256" t="s">
        <v>67</v>
      </c>
      <c r="W256">
        <v>0</v>
      </c>
      <c r="X256">
        <v>0</v>
      </c>
      <c r="Y256">
        <v>13</v>
      </c>
      <c r="Z256">
        <v>13</v>
      </c>
      <c r="AA256">
        <v>20</v>
      </c>
      <c r="AB256">
        <v>1500</v>
      </c>
      <c r="AC256">
        <v>1116</v>
      </c>
      <c r="AD256">
        <v>1116</v>
      </c>
      <c r="AE256">
        <v>0</v>
      </c>
      <c r="AF256">
        <v>0</v>
      </c>
      <c r="AG256">
        <v>0</v>
      </c>
      <c r="AH256">
        <v>0</v>
      </c>
      <c r="AI256">
        <v>504</v>
      </c>
      <c r="AJ256">
        <v>0</v>
      </c>
      <c r="AK256">
        <v>0</v>
      </c>
      <c r="AL256">
        <v>0</v>
      </c>
      <c r="AM256">
        <v>0</v>
      </c>
      <c r="AN256">
        <v>192</v>
      </c>
      <c r="AO256">
        <v>0</v>
      </c>
      <c r="AP256">
        <v>8</v>
      </c>
      <c r="AQ256">
        <v>0</v>
      </c>
      <c r="AR256">
        <v>0</v>
      </c>
      <c r="AS256" t="s">
        <v>58</v>
      </c>
      <c r="AT256">
        <v>1</v>
      </c>
      <c r="AU256" t="s">
        <v>59</v>
      </c>
      <c r="AV256" t="s">
        <v>60</v>
      </c>
      <c r="AW256">
        <v>1</v>
      </c>
      <c r="AX256">
        <v>3</v>
      </c>
      <c r="AY256">
        <v>0</v>
      </c>
      <c r="AZ256">
        <v>0</v>
      </c>
      <c r="BA256">
        <v>100</v>
      </c>
      <c r="BB256">
        <v>100</v>
      </c>
      <c r="BC256">
        <v>100</v>
      </c>
      <c r="BD256">
        <v>100</v>
      </c>
      <c r="BE256">
        <v>1</v>
      </c>
      <c r="BF256">
        <v>15000</v>
      </c>
      <c r="BG256">
        <v>1000</v>
      </c>
      <c r="BH256" s="6">
        <f>Grandview_Inventory[[#This Row],[land_extract]]*Lookups!$B$3</f>
        <v>50650.651579114572</v>
      </c>
      <c r="BI256" s="6">
        <f>IF(Grandview_Inventory[[#This Row],[bldg_style]]="",0,Lookups!$B$2)</f>
        <v>155833.95000000001</v>
      </c>
      <c r="BJ256" s="6">
        <f>_xlfn.IFNA(VLOOKUP(Grandview_Inventory[[#This Row],[quality]],Lookups!$H$2:$J$14,3,FALSE),0)</f>
        <v>9808</v>
      </c>
      <c r="BK256" s="6">
        <f>_xlfn.IFNA(VLOOKUP(Grandview_Inventory[[#This Row],[condition]],Lookups!$H$17:$J$24,3,FALSE),0)</f>
        <v>22342</v>
      </c>
      <c r="BL256" s="6">
        <f>Grandview_Inventory[[#This Row],[Eff_Age]]*Lookups!$B$14</f>
        <v>-3109.1657999999998</v>
      </c>
      <c r="BM256" s="6">
        <f>Grandview_Inventory[[#This Row],[living_area]]*Lookups!$B$15</f>
        <v>69617.031948000003</v>
      </c>
      <c r="BN256" s="6">
        <f>Grandview_Inventory[[#This Row],[Fin BSMT]]*Lookups!$B$16</f>
        <v>0</v>
      </c>
      <c r="BO256" s="6">
        <f>(Grandview_Inventory[[#This Row],[att_gar]]+Grandview_Inventory[[#This Row],[bltin_gar]])*Lookups!$B$17</f>
        <v>44110.300248</v>
      </c>
      <c r="BP256" s="6">
        <f>Grandview_Inventory[[#This Row],[Plumbing Fixtures]]*Lookups!$B$18</f>
        <v>16083.5344</v>
      </c>
      <c r="BQ256" s="6">
        <f>Grandview_Inventory[[#This Row],[detatched_value]]*Lookups!$B$19</f>
        <v>0</v>
      </c>
      <c r="BR256" s="6">
        <f>SUM(Grandview_Inventory[[#This Row],[Intercept]:[det_value]])*Grandview_Inventory[[#This Row],[res_pct]]</f>
        <v>314685.65079600003</v>
      </c>
      <c r="BS256" s="6">
        <f>Grandview_Inventory[[#This Row],[land_value]]</f>
        <v>50650.651579114572</v>
      </c>
      <c r="BT256" s="4">
        <f>_xlfn.IFNA(VLOOKUP(Grandview_Inventory[[#This Row],[quality]],Lookups!$A$26:$C$33,3,FALSE),1)</f>
        <v>0.94295468617355149</v>
      </c>
      <c r="BU256" s="4">
        <f>_xlfn.IFNA(VLOOKUP(Grandview_Inventory[[#This Row],[condition]],Lookups!$A$37:$C$44,3,FALSE),1)</f>
        <v>0.97383723671140243</v>
      </c>
      <c r="BV256" s="4">
        <f>IF(Grandview_Inventory[[#This Row],[bldg_style]]="",1,_xlfn.IFNA(VLOOKUP(Grandview_Inventory[[#This Row],[decade]],Lookups!$F$29:$H$43,3,FALSE),1))</f>
        <v>0.96737494181490646</v>
      </c>
      <c r="BW256" s="4">
        <f>_xlfn.IFNA(VLOOKUP(Grandview_Inventory[[#This Row],[living_area_range]],Lookups!$F$47:$H$56,3,FALSE),1)</f>
        <v>0.96135087979789358</v>
      </c>
      <c r="BX256" s="4">
        <f>AVERAGE(Grandview_Inventory[[#This Row],[qual_adj]:[size_adj]])</f>
        <v>0.96137943612443855</v>
      </c>
      <c r="BY256" s="6">
        <f>IF(Grandview_Inventory[[#This Row],[pre_res]]&lt;0,0,Grandview_Inventory[[#This Row],[pre_res]]*Grandview_Inventory[[#This Row],[overall_adj]])</f>
        <v>302532.31351871049</v>
      </c>
      <c r="BZ256" s="6">
        <f>(Grandview_Inventory[[#This Row],[sum_land]]-IF(Grandview_Inventory[[#This Row],[no_utilities]]=1,12000,0))/IF(Grandview_Inventory[[#This Row],[unbuildable]]=1,2,1)</f>
        <v>50650.651579114572</v>
      </c>
      <c r="CA25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6">
        <f>ROUND(Grandview_Inventory[[#This Row],[det_value]]*Lookups!$M$28,-2)</f>
        <v>0</v>
      </c>
      <c r="CC256">
        <f>IF(ROUND(Grandview_Inventory[[#This Row],[adj_res]]*Lookups!$M$28,-2)&lt;Grandview_Inventory[[#This Row],[min_res]],Grandview_Inventory[[#This Row],[min_res]],ROUND(Grandview_Inventory[[#This Row],[adj_res]]*Lookups!$M$28,-2))</f>
        <v>287400</v>
      </c>
      <c r="CD256">
        <f>Grandview_Inventory[[#This Row],[final_det]]+Grandview_Inventory[[#This Row],[final_res]]</f>
        <v>287400</v>
      </c>
      <c r="CE256">
        <f>Grandview_Inventory[[#This Row],[final_land]]+Grandview_Inventory[[#This Row],[final_imp]]+Grandview_Inventory[[#This Row],[crop_value]]</f>
        <v>335500</v>
      </c>
      <c r="CG256" t="str">
        <f t="shared" si="3"/>
        <v>update valuation set market_land =48100, market_bldg=287400, market_total =335500, market_mdno =401, market_date ='9/10/2023' where link_id = (select link_id from parcel where parcel_year = '2024' and parcel_id = '23091442438');</v>
      </c>
    </row>
    <row r="257" spans="1:85" x14ac:dyDescent="0.25">
      <c r="A257">
        <v>23091442439</v>
      </c>
      <c r="B257">
        <v>0.22</v>
      </c>
      <c r="C257">
        <v>9371</v>
      </c>
      <c r="D257" t="s">
        <v>129</v>
      </c>
      <c r="E257" t="s">
        <v>53</v>
      </c>
      <c r="F257" t="s">
        <v>53</v>
      </c>
      <c r="G257">
        <v>4</v>
      </c>
      <c r="H257" t="s">
        <v>54</v>
      </c>
      <c r="I257">
        <v>234400</v>
      </c>
      <c r="J257">
        <v>39500</v>
      </c>
      <c r="K257">
        <v>0.22</v>
      </c>
      <c r="L25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7">
        <v>0</v>
      </c>
      <c r="N257">
        <v>0</v>
      </c>
      <c r="O257">
        <v>0</v>
      </c>
      <c r="P257">
        <v>13398.7528</v>
      </c>
      <c r="Q257">
        <v>63903</v>
      </c>
      <c r="R257">
        <f>(Grandview_Inventory[[#This Row],[ln_acres]]*Grandview_Inventory[[#This Row],[coeff]])+Grandview_Inventory[[#This Row],[const]]</f>
        <v>43615.576802869145</v>
      </c>
      <c r="S257" t="s">
        <v>61</v>
      </c>
      <c r="T257">
        <v>1</v>
      </c>
      <c r="U257" t="s">
        <v>65</v>
      </c>
      <c r="V257" t="s">
        <v>66</v>
      </c>
      <c r="W257">
        <v>0</v>
      </c>
      <c r="X257">
        <v>0</v>
      </c>
      <c r="Y257">
        <v>16</v>
      </c>
      <c r="Z257">
        <v>16</v>
      </c>
      <c r="AA257">
        <v>20</v>
      </c>
      <c r="AB257">
        <v>1500</v>
      </c>
      <c r="AC257">
        <v>1208</v>
      </c>
      <c r="AD257">
        <v>1208</v>
      </c>
      <c r="AE257">
        <v>0</v>
      </c>
      <c r="AF257">
        <v>0</v>
      </c>
      <c r="AG257">
        <v>0</v>
      </c>
      <c r="AH257">
        <v>0</v>
      </c>
      <c r="AI257">
        <v>660</v>
      </c>
      <c r="AJ257">
        <v>0</v>
      </c>
      <c r="AK257">
        <v>0</v>
      </c>
      <c r="AL257">
        <v>0</v>
      </c>
      <c r="AM257">
        <v>286</v>
      </c>
      <c r="AN257">
        <v>35</v>
      </c>
      <c r="AO257">
        <v>0</v>
      </c>
      <c r="AP257">
        <v>8</v>
      </c>
      <c r="AQ257">
        <v>0</v>
      </c>
      <c r="AR257">
        <v>0</v>
      </c>
      <c r="AS257" t="s">
        <v>58</v>
      </c>
      <c r="AT257">
        <v>1</v>
      </c>
      <c r="AU257" t="s">
        <v>59</v>
      </c>
      <c r="AV257" t="s">
        <v>60</v>
      </c>
      <c r="AW257">
        <v>1</v>
      </c>
      <c r="AX257">
        <v>3</v>
      </c>
      <c r="AY257">
        <v>0</v>
      </c>
      <c r="AZ257">
        <v>0</v>
      </c>
      <c r="BA257">
        <v>100</v>
      </c>
      <c r="BB257">
        <v>100</v>
      </c>
      <c r="BC257">
        <v>100</v>
      </c>
      <c r="BD257">
        <v>100</v>
      </c>
      <c r="BE257">
        <v>1</v>
      </c>
      <c r="BF257">
        <v>15000</v>
      </c>
      <c r="BG257">
        <v>1000</v>
      </c>
      <c r="BH257" s="6">
        <f>Grandview_Inventory[[#This Row],[land_extract]]*Lookups!$B$3</f>
        <v>50650.651579114572</v>
      </c>
      <c r="BI257" s="6">
        <f>IF(Grandview_Inventory[[#This Row],[bldg_style]]="",0,Lookups!$B$2)</f>
        <v>155833.95000000001</v>
      </c>
      <c r="BJ257" s="6">
        <f>_xlfn.IFNA(VLOOKUP(Grandview_Inventory[[#This Row],[quality]],Lookups!$H$2:$J$14,3,FALSE),0)</f>
        <v>2251</v>
      </c>
      <c r="BK257" s="6">
        <f>_xlfn.IFNA(VLOOKUP(Grandview_Inventory[[#This Row],[condition]],Lookups!$H$17:$J$24,3,FALSE),0)</f>
        <v>25818</v>
      </c>
      <c r="BL257" s="6">
        <f>Grandview_Inventory[[#This Row],[Eff_Age]]*Lookups!$B$14</f>
        <v>-3826.6655999999998</v>
      </c>
      <c r="BM257" s="6">
        <f>Grandview_Inventory[[#This Row],[living_area]]*Lookups!$B$15</f>
        <v>75356.070424000005</v>
      </c>
      <c r="BN257" s="6">
        <f>Grandview_Inventory[[#This Row],[Fin BSMT]]*Lookups!$B$16</f>
        <v>0</v>
      </c>
      <c r="BO257" s="6">
        <f>(Grandview_Inventory[[#This Row],[att_gar]]+Grandview_Inventory[[#This Row],[bltin_gar]])*Lookups!$B$17</f>
        <v>57763.488420000001</v>
      </c>
      <c r="BP257" s="6">
        <f>Grandview_Inventory[[#This Row],[Plumbing Fixtures]]*Lookups!$B$18</f>
        <v>16083.5344</v>
      </c>
      <c r="BQ257" s="6">
        <f>Grandview_Inventory[[#This Row],[detatched_value]]*Lookups!$B$19</f>
        <v>0</v>
      </c>
      <c r="BR257" s="6">
        <f>SUM(Grandview_Inventory[[#This Row],[Intercept]:[det_value]])*Grandview_Inventory[[#This Row],[res_pct]]</f>
        <v>329279.37764399999</v>
      </c>
      <c r="BS257" s="6">
        <f>Grandview_Inventory[[#This Row],[land_value]]</f>
        <v>50650.651579114572</v>
      </c>
      <c r="BT257" s="4">
        <f>_xlfn.IFNA(VLOOKUP(Grandview_Inventory[[#This Row],[quality]],Lookups!$A$26:$C$33,3,FALSE),1)</f>
        <v>0.98763855981004833</v>
      </c>
      <c r="BU257" s="4">
        <f>_xlfn.IFNA(VLOOKUP(Grandview_Inventory[[#This Row],[condition]],Lookups!$A$37:$C$44,3,FALSE),1)</f>
        <v>0.96661476234146892</v>
      </c>
      <c r="BV257" s="4">
        <f>IF(Grandview_Inventory[[#This Row],[bldg_style]]="",1,_xlfn.IFNA(VLOOKUP(Grandview_Inventory[[#This Row],[decade]],Lookups!$F$29:$H$43,3,FALSE),1))</f>
        <v>0.96737494181490646</v>
      </c>
      <c r="BW257" s="4">
        <f>_xlfn.IFNA(VLOOKUP(Grandview_Inventory[[#This Row],[living_area_range]],Lookups!$F$47:$H$56,3,FALSE),1)</f>
        <v>0.96135087979789358</v>
      </c>
      <c r="BX257" s="4">
        <f>AVERAGE(Grandview_Inventory[[#This Row],[qual_adj]:[size_adj]])</f>
        <v>0.97074478594107938</v>
      </c>
      <c r="BY257" s="6">
        <f>IF(Grandview_Inventory[[#This Row],[pre_res]]&lt;0,0,Grandview_Inventory[[#This Row],[pre_res]]*Grandview_Inventory[[#This Row],[overall_adj]])</f>
        <v>319646.23896583659</v>
      </c>
      <c r="BZ257" s="6">
        <f>(Grandview_Inventory[[#This Row],[sum_land]]-IF(Grandview_Inventory[[#This Row],[no_utilities]]=1,12000,0))/IF(Grandview_Inventory[[#This Row],[unbuildable]]=1,2,1)</f>
        <v>50650.651579114572</v>
      </c>
      <c r="CA25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7">
        <f>ROUND(Grandview_Inventory[[#This Row],[det_value]]*Lookups!$M$28,-2)</f>
        <v>0</v>
      </c>
      <c r="CC257">
        <f>IF(ROUND(Grandview_Inventory[[#This Row],[adj_res]]*Lookups!$M$28,-2)&lt;Grandview_Inventory[[#This Row],[min_res]],Grandview_Inventory[[#This Row],[min_res]],ROUND(Grandview_Inventory[[#This Row],[adj_res]]*Lookups!$M$28,-2))</f>
        <v>303700</v>
      </c>
      <c r="CD257">
        <f>Grandview_Inventory[[#This Row],[final_det]]+Grandview_Inventory[[#This Row],[final_res]]</f>
        <v>303700</v>
      </c>
      <c r="CE257">
        <f>Grandview_Inventory[[#This Row],[final_land]]+Grandview_Inventory[[#This Row],[final_imp]]+Grandview_Inventory[[#This Row],[crop_value]]</f>
        <v>351800</v>
      </c>
      <c r="CG257" t="str">
        <f t="shared" si="3"/>
        <v>update valuation set market_land =48100, market_bldg=303700, market_total =351800, market_mdno =401, market_date ='9/10/2023' where link_id = (select link_id from parcel where parcel_year = '2024' and parcel_id = '23091442439');</v>
      </c>
    </row>
    <row r="258" spans="1:85" x14ac:dyDescent="0.25">
      <c r="A258">
        <v>23091442440</v>
      </c>
      <c r="B258">
        <v>0.22</v>
      </c>
      <c r="C258">
        <v>9370</v>
      </c>
      <c r="D258" t="s">
        <v>129</v>
      </c>
      <c r="E258" t="s">
        <v>53</v>
      </c>
      <c r="F258" t="s">
        <v>53</v>
      </c>
      <c r="G258">
        <v>4</v>
      </c>
      <c r="H258" t="s">
        <v>54</v>
      </c>
      <c r="I258">
        <v>234400</v>
      </c>
      <c r="J258">
        <v>39500</v>
      </c>
      <c r="K258">
        <v>0.22</v>
      </c>
      <c r="L258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8">
        <v>0</v>
      </c>
      <c r="N258">
        <v>0</v>
      </c>
      <c r="O258">
        <v>0</v>
      </c>
      <c r="P258">
        <v>13398.7528</v>
      </c>
      <c r="Q258">
        <v>63903</v>
      </c>
      <c r="R258">
        <f>(Grandview_Inventory[[#This Row],[ln_acres]]*Grandview_Inventory[[#This Row],[coeff]])+Grandview_Inventory[[#This Row],[const]]</f>
        <v>43615.576802869145</v>
      </c>
      <c r="S258" t="s">
        <v>61</v>
      </c>
      <c r="T258">
        <v>1</v>
      </c>
      <c r="U258" t="s">
        <v>65</v>
      </c>
      <c r="V258" t="s">
        <v>66</v>
      </c>
      <c r="W258">
        <v>0</v>
      </c>
      <c r="X258">
        <v>0</v>
      </c>
      <c r="Y258">
        <v>16</v>
      </c>
      <c r="Z258">
        <v>16</v>
      </c>
      <c r="AA258">
        <v>20</v>
      </c>
      <c r="AB258">
        <v>1500</v>
      </c>
      <c r="AC258">
        <v>1208</v>
      </c>
      <c r="AD258">
        <v>1208</v>
      </c>
      <c r="AE258">
        <v>0</v>
      </c>
      <c r="AF258">
        <v>0</v>
      </c>
      <c r="AG258">
        <v>0</v>
      </c>
      <c r="AH258">
        <v>0</v>
      </c>
      <c r="AI258">
        <v>660</v>
      </c>
      <c r="AJ258">
        <v>0</v>
      </c>
      <c r="AK258">
        <v>0</v>
      </c>
      <c r="AL258">
        <v>0</v>
      </c>
      <c r="AM258">
        <v>168</v>
      </c>
      <c r="AN258">
        <v>35</v>
      </c>
      <c r="AO258">
        <v>0</v>
      </c>
      <c r="AP258">
        <v>8</v>
      </c>
      <c r="AQ258">
        <v>0</v>
      </c>
      <c r="AR258">
        <v>0</v>
      </c>
      <c r="AS258" t="s">
        <v>58</v>
      </c>
      <c r="AT258">
        <v>1</v>
      </c>
      <c r="AU258" t="s">
        <v>59</v>
      </c>
      <c r="AV258" t="s">
        <v>60</v>
      </c>
      <c r="AW258">
        <v>1</v>
      </c>
      <c r="AX258">
        <v>3</v>
      </c>
      <c r="AY258">
        <v>0</v>
      </c>
      <c r="AZ258">
        <v>0</v>
      </c>
      <c r="BA258">
        <v>100</v>
      </c>
      <c r="BB258">
        <v>100</v>
      </c>
      <c r="BC258">
        <v>100</v>
      </c>
      <c r="BD258">
        <v>100</v>
      </c>
      <c r="BE258">
        <v>1</v>
      </c>
      <c r="BF258">
        <v>15000</v>
      </c>
      <c r="BG258">
        <v>1000</v>
      </c>
      <c r="BH258" s="6">
        <f>Grandview_Inventory[[#This Row],[land_extract]]*Lookups!$B$3</f>
        <v>50650.651579114572</v>
      </c>
      <c r="BI258" s="6">
        <f>IF(Grandview_Inventory[[#This Row],[bldg_style]]="",0,Lookups!$B$2)</f>
        <v>155833.95000000001</v>
      </c>
      <c r="BJ258" s="6">
        <f>_xlfn.IFNA(VLOOKUP(Grandview_Inventory[[#This Row],[quality]],Lookups!$H$2:$J$14,3,FALSE),0)</f>
        <v>2251</v>
      </c>
      <c r="BK258" s="6">
        <f>_xlfn.IFNA(VLOOKUP(Grandview_Inventory[[#This Row],[condition]],Lookups!$H$17:$J$24,3,FALSE),0)</f>
        <v>25818</v>
      </c>
      <c r="BL258" s="6">
        <f>Grandview_Inventory[[#This Row],[Eff_Age]]*Lookups!$B$14</f>
        <v>-3826.6655999999998</v>
      </c>
      <c r="BM258" s="6">
        <f>Grandview_Inventory[[#This Row],[living_area]]*Lookups!$B$15</f>
        <v>75356.070424000005</v>
      </c>
      <c r="BN258" s="6">
        <f>Grandview_Inventory[[#This Row],[Fin BSMT]]*Lookups!$B$16</f>
        <v>0</v>
      </c>
      <c r="BO258" s="6">
        <f>(Grandview_Inventory[[#This Row],[att_gar]]+Grandview_Inventory[[#This Row],[bltin_gar]])*Lookups!$B$17</f>
        <v>57763.488420000001</v>
      </c>
      <c r="BP258" s="6">
        <f>Grandview_Inventory[[#This Row],[Plumbing Fixtures]]*Lookups!$B$18</f>
        <v>16083.5344</v>
      </c>
      <c r="BQ258" s="6">
        <f>Grandview_Inventory[[#This Row],[detatched_value]]*Lookups!$B$19</f>
        <v>0</v>
      </c>
      <c r="BR258" s="6">
        <f>SUM(Grandview_Inventory[[#This Row],[Intercept]:[det_value]])*Grandview_Inventory[[#This Row],[res_pct]]</f>
        <v>329279.37764399999</v>
      </c>
      <c r="BS258" s="6">
        <f>Grandview_Inventory[[#This Row],[land_value]]</f>
        <v>50650.651579114572</v>
      </c>
      <c r="BT258" s="4">
        <f>_xlfn.IFNA(VLOOKUP(Grandview_Inventory[[#This Row],[quality]],Lookups!$A$26:$C$33,3,FALSE),1)</f>
        <v>0.98763855981004833</v>
      </c>
      <c r="BU258" s="4">
        <f>_xlfn.IFNA(VLOOKUP(Grandview_Inventory[[#This Row],[condition]],Lookups!$A$37:$C$44,3,FALSE),1)</f>
        <v>0.96661476234146892</v>
      </c>
      <c r="BV258" s="4">
        <f>IF(Grandview_Inventory[[#This Row],[bldg_style]]="",1,_xlfn.IFNA(VLOOKUP(Grandview_Inventory[[#This Row],[decade]],Lookups!$F$29:$H$43,3,FALSE),1))</f>
        <v>0.96737494181490646</v>
      </c>
      <c r="BW258" s="4">
        <f>_xlfn.IFNA(VLOOKUP(Grandview_Inventory[[#This Row],[living_area_range]],Lookups!$F$47:$H$56,3,FALSE),1)</f>
        <v>0.96135087979789358</v>
      </c>
      <c r="BX258" s="4">
        <f>AVERAGE(Grandview_Inventory[[#This Row],[qual_adj]:[size_adj]])</f>
        <v>0.97074478594107938</v>
      </c>
      <c r="BY258" s="6">
        <f>IF(Grandview_Inventory[[#This Row],[pre_res]]&lt;0,0,Grandview_Inventory[[#This Row],[pre_res]]*Grandview_Inventory[[#This Row],[overall_adj]])</f>
        <v>319646.23896583659</v>
      </c>
      <c r="BZ258" s="6">
        <f>(Grandview_Inventory[[#This Row],[sum_land]]-IF(Grandview_Inventory[[#This Row],[no_utilities]]=1,12000,0))/IF(Grandview_Inventory[[#This Row],[unbuildable]]=1,2,1)</f>
        <v>50650.651579114572</v>
      </c>
      <c r="CA258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8">
        <f>ROUND(Grandview_Inventory[[#This Row],[det_value]]*Lookups!$M$28,-2)</f>
        <v>0</v>
      </c>
      <c r="CC258">
        <f>IF(ROUND(Grandview_Inventory[[#This Row],[adj_res]]*Lookups!$M$28,-2)&lt;Grandview_Inventory[[#This Row],[min_res]],Grandview_Inventory[[#This Row],[min_res]],ROUND(Grandview_Inventory[[#This Row],[adj_res]]*Lookups!$M$28,-2))</f>
        <v>303700</v>
      </c>
      <c r="CD258">
        <f>Grandview_Inventory[[#This Row],[final_det]]+Grandview_Inventory[[#This Row],[final_res]]</f>
        <v>303700</v>
      </c>
      <c r="CE258">
        <f>Grandview_Inventory[[#This Row],[final_land]]+Grandview_Inventory[[#This Row],[final_imp]]+Grandview_Inventory[[#This Row],[crop_value]]</f>
        <v>351800</v>
      </c>
      <c r="CG258" t="str">
        <f t="shared" si="3"/>
        <v>update valuation set market_land =48100, market_bldg=303700, market_total =351800, market_mdno =401, market_date ='9/10/2023' where link_id = (select link_id from parcel where parcel_year = '2024' and parcel_id = '23091442440');</v>
      </c>
    </row>
    <row r="259" spans="1:85" x14ac:dyDescent="0.25">
      <c r="A259">
        <v>23091442441</v>
      </c>
      <c r="B259">
        <v>0.22</v>
      </c>
      <c r="C259">
        <v>9422</v>
      </c>
      <c r="D259" t="s">
        <v>129</v>
      </c>
      <c r="E259" t="s">
        <v>53</v>
      </c>
      <c r="F259" t="s">
        <v>53</v>
      </c>
      <c r="G259">
        <v>4</v>
      </c>
      <c r="H259" t="s">
        <v>54</v>
      </c>
      <c r="I259">
        <v>161100</v>
      </c>
      <c r="J259">
        <v>39500</v>
      </c>
      <c r="K259">
        <v>0.22</v>
      </c>
      <c r="L25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59">
        <v>0</v>
      </c>
      <c r="N259">
        <v>0</v>
      </c>
      <c r="O259">
        <v>0</v>
      </c>
      <c r="P259">
        <v>13398.7528</v>
      </c>
      <c r="Q259">
        <v>63903</v>
      </c>
      <c r="R259">
        <f>(Grandview_Inventory[[#This Row],[ln_acres]]*Grandview_Inventory[[#This Row],[coeff]])+Grandview_Inventory[[#This Row],[const]]</f>
        <v>43615.576802869145</v>
      </c>
      <c r="S259" t="s">
        <v>61</v>
      </c>
      <c r="T259">
        <v>1</v>
      </c>
      <c r="U259" t="s">
        <v>65</v>
      </c>
      <c r="V259" t="s">
        <v>69</v>
      </c>
      <c r="W259">
        <v>0</v>
      </c>
      <c r="X259">
        <v>0</v>
      </c>
      <c r="Y259">
        <v>18</v>
      </c>
      <c r="Z259">
        <v>18</v>
      </c>
      <c r="AA259">
        <v>20</v>
      </c>
      <c r="AB259">
        <v>1500</v>
      </c>
      <c r="AC259">
        <v>1224</v>
      </c>
      <c r="AD259">
        <v>1224</v>
      </c>
      <c r="AE259">
        <v>0</v>
      </c>
      <c r="AF259">
        <v>0</v>
      </c>
      <c r="AG259">
        <v>0</v>
      </c>
      <c r="AH259">
        <v>0</v>
      </c>
      <c r="AI259">
        <v>440</v>
      </c>
      <c r="AJ259">
        <v>0</v>
      </c>
      <c r="AK259">
        <v>0</v>
      </c>
      <c r="AL259">
        <v>154</v>
      </c>
      <c r="AM259">
        <v>0</v>
      </c>
      <c r="AN259">
        <v>81</v>
      </c>
      <c r="AO259">
        <v>0</v>
      </c>
      <c r="AP259">
        <v>8</v>
      </c>
      <c r="AQ259">
        <v>0</v>
      </c>
      <c r="AR259">
        <v>0</v>
      </c>
      <c r="AS259" t="s">
        <v>58</v>
      </c>
      <c r="AT259">
        <v>1</v>
      </c>
      <c r="AU259" t="s">
        <v>63</v>
      </c>
      <c r="AV259" t="s">
        <v>64</v>
      </c>
      <c r="AW259">
        <v>0</v>
      </c>
      <c r="AX259">
        <v>3</v>
      </c>
      <c r="AY259">
        <v>0</v>
      </c>
      <c r="AZ259">
        <v>0</v>
      </c>
      <c r="BA259">
        <v>100</v>
      </c>
      <c r="BB259">
        <v>100</v>
      </c>
      <c r="BC259">
        <v>100</v>
      </c>
      <c r="BD259">
        <v>100</v>
      </c>
      <c r="BE259">
        <v>1</v>
      </c>
      <c r="BF259">
        <v>15000</v>
      </c>
      <c r="BG259">
        <v>1000</v>
      </c>
      <c r="BH259" s="6">
        <f>Grandview_Inventory[[#This Row],[land_extract]]*Lookups!$B$3</f>
        <v>50650.651579114572</v>
      </c>
      <c r="BI259" s="6">
        <f>IF(Grandview_Inventory[[#This Row],[bldg_style]]="",0,Lookups!$B$2)</f>
        <v>155833.95000000001</v>
      </c>
      <c r="BJ259" s="6">
        <f>_xlfn.IFNA(VLOOKUP(Grandview_Inventory[[#This Row],[quality]],Lookups!$H$2:$J$14,3,FALSE),0)</f>
        <v>2251</v>
      </c>
      <c r="BK259" s="6">
        <f>_xlfn.IFNA(VLOOKUP(Grandview_Inventory[[#This Row],[condition]],Lookups!$H$17:$J$24,3,FALSE),0)</f>
        <v>-4503</v>
      </c>
      <c r="BL259" s="6">
        <f>Grandview_Inventory[[#This Row],[Eff_Age]]*Lookups!$B$14</f>
        <v>-4304.9987999999994</v>
      </c>
      <c r="BM259" s="6">
        <f>Grandview_Inventory[[#This Row],[living_area]]*Lookups!$B$15</f>
        <v>76354.164072</v>
      </c>
      <c r="BN259" s="6">
        <f>Grandview_Inventory[[#This Row],[Fin BSMT]]*Lookups!$B$16</f>
        <v>0</v>
      </c>
      <c r="BO259" s="6">
        <f>(Grandview_Inventory[[#This Row],[att_gar]]+Grandview_Inventory[[#This Row],[bltin_gar]])*Lookups!$B$17</f>
        <v>38508.992279999999</v>
      </c>
      <c r="BP259" s="6">
        <f>Grandview_Inventory[[#This Row],[Plumbing Fixtures]]*Lookups!$B$18</f>
        <v>16083.5344</v>
      </c>
      <c r="BQ259" s="6">
        <f>Grandview_Inventory[[#This Row],[detatched_value]]*Lookups!$B$19</f>
        <v>0</v>
      </c>
      <c r="BR259" s="6">
        <f>SUM(Grandview_Inventory[[#This Row],[Intercept]:[det_value]])*Grandview_Inventory[[#This Row],[res_pct]]</f>
        <v>280223.64195200003</v>
      </c>
      <c r="BS259" s="6">
        <f>Grandview_Inventory[[#This Row],[land_value]]</f>
        <v>50650.651579114572</v>
      </c>
      <c r="BT259" s="4">
        <f>_xlfn.IFNA(VLOOKUP(Grandview_Inventory[[#This Row],[quality]],Lookups!$A$26:$C$33,3,FALSE),1)</f>
        <v>0.98763855981004833</v>
      </c>
      <c r="BU259" s="4">
        <f>_xlfn.IFNA(VLOOKUP(Grandview_Inventory[[#This Row],[condition]],Lookups!$A$37:$C$44,3,FALSE),1)</f>
        <v>0.96469275950863709</v>
      </c>
      <c r="BV259" s="4">
        <f>IF(Grandview_Inventory[[#This Row],[bldg_style]]="",1,_xlfn.IFNA(VLOOKUP(Grandview_Inventory[[#This Row],[decade]],Lookups!$F$29:$H$43,3,FALSE),1))</f>
        <v>0.96737494181490646</v>
      </c>
      <c r="BW259" s="4">
        <f>_xlfn.IFNA(VLOOKUP(Grandview_Inventory[[#This Row],[living_area_range]],Lookups!$F$47:$H$56,3,FALSE),1)</f>
        <v>0.96135087979789358</v>
      </c>
      <c r="BX259" s="4">
        <f>AVERAGE(Grandview_Inventory[[#This Row],[qual_adj]:[size_adj]])</f>
        <v>0.97026428523287134</v>
      </c>
      <c r="BY259" s="6">
        <f>IF(Grandview_Inventory[[#This Row],[pre_res]]&lt;0,0,Grandview_Inventory[[#This Row],[pre_res]]*Grandview_Inventory[[#This Row],[overall_adj]])</f>
        <v>271890.9916639094</v>
      </c>
      <c r="BZ259" s="6">
        <f>(Grandview_Inventory[[#This Row],[sum_land]]-IF(Grandview_Inventory[[#This Row],[no_utilities]]=1,12000,0))/IF(Grandview_Inventory[[#This Row],[unbuildable]]=1,2,1)</f>
        <v>50650.651579114572</v>
      </c>
      <c r="CA25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59">
        <f>ROUND(Grandview_Inventory[[#This Row],[det_value]]*Lookups!$M$28,-2)</f>
        <v>0</v>
      </c>
      <c r="CC259">
        <f>IF(ROUND(Grandview_Inventory[[#This Row],[adj_res]]*Lookups!$M$28,-2)&lt;Grandview_Inventory[[#This Row],[min_res]],Grandview_Inventory[[#This Row],[min_res]],ROUND(Grandview_Inventory[[#This Row],[adj_res]]*Lookups!$M$28,-2))</f>
        <v>258300</v>
      </c>
      <c r="CD259">
        <f>Grandview_Inventory[[#This Row],[final_det]]+Grandview_Inventory[[#This Row],[final_res]]</f>
        <v>258300</v>
      </c>
      <c r="CE259">
        <f>Grandview_Inventory[[#This Row],[final_land]]+Grandview_Inventory[[#This Row],[final_imp]]+Grandview_Inventory[[#This Row],[crop_value]]</f>
        <v>306400</v>
      </c>
      <c r="CG259" t="str">
        <f t="shared" ref="CG259:CG322" si="4">"update valuation set market_land ="&amp;CA259&amp;", market_bldg="&amp;CD259&amp;", market_total ="&amp;CE259&amp;", market_mdno ="&amp;$CG$1&amp;", market_date ='"&amp;TEXT($CH$1,"m/d/yyyy")&amp;"' where link_id = (select link_id from parcel where parcel_year = '2024' and parcel_id = '"&amp;A259&amp;"');"</f>
        <v>update valuation set market_land =48100, market_bldg=258300, market_total =306400, market_mdno =401, market_date ='9/10/2023' where link_id = (select link_id from parcel where parcel_year = '2024' and parcel_id = '23091442441');</v>
      </c>
    </row>
    <row r="260" spans="1:85" x14ac:dyDescent="0.25">
      <c r="A260">
        <v>23091442442</v>
      </c>
      <c r="B260">
        <v>0.23</v>
      </c>
      <c r="C260">
        <v>10195</v>
      </c>
      <c r="D260" t="s">
        <v>129</v>
      </c>
      <c r="E260" t="s">
        <v>53</v>
      </c>
      <c r="F260" t="s">
        <v>53</v>
      </c>
      <c r="G260">
        <v>4</v>
      </c>
      <c r="H260" t="s">
        <v>54</v>
      </c>
      <c r="I260">
        <v>215000</v>
      </c>
      <c r="J260">
        <v>39700</v>
      </c>
      <c r="K260">
        <v>0.23</v>
      </c>
      <c r="L26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60">
        <v>0</v>
      </c>
      <c r="N260">
        <v>0</v>
      </c>
      <c r="O260">
        <v>0</v>
      </c>
      <c r="P260">
        <v>13398.7528</v>
      </c>
      <c r="Q260">
        <v>63903</v>
      </c>
      <c r="R260">
        <f>(Grandview_Inventory[[#This Row],[ln_acres]]*Grandview_Inventory[[#This Row],[coeff]])+Grandview_Inventory[[#This Row],[const]]</f>
        <v>44211.174981080039</v>
      </c>
      <c r="S260" t="s">
        <v>61</v>
      </c>
      <c r="T260">
        <v>1</v>
      </c>
      <c r="U260" t="s">
        <v>65</v>
      </c>
      <c r="V260" t="s">
        <v>67</v>
      </c>
      <c r="W260">
        <v>0</v>
      </c>
      <c r="X260">
        <v>0</v>
      </c>
      <c r="Y260">
        <v>18</v>
      </c>
      <c r="Z260">
        <v>18</v>
      </c>
      <c r="AA260">
        <v>20</v>
      </c>
      <c r="AB260">
        <v>1500</v>
      </c>
      <c r="AC260">
        <v>1224</v>
      </c>
      <c r="AD260">
        <v>1224</v>
      </c>
      <c r="AE260">
        <v>0</v>
      </c>
      <c r="AF260">
        <v>0</v>
      </c>
      <c r="AG260">
        <v>0</v>
      </c>
      <c r="AH260">
        <v>0</v>
      </c>
      <c r="AI260">
        <v>440</v>
      </c>
      <c r="AJ260">
        <v>0</v>
      </c>
      <c r="AK260">
        <v>0</v>
      </c>
      <c r="AL260">
        <v>0</v>
      </c>
      <c r="AM260">
        <v>98</v>
      </c>
      <c r="AN260">
        <v>81</v>
      </c>
      <c r="AO260">
        <v>0</v>
      </c>
      <c r="AP260">
        <v>8</v>
      </c>
      <c r="AQ260">
        <v>0</v>
      </c>
      <c r="AR260">
        <v>0</v>
      </c>
      <c r="AS260" t="s">
        <v>58</v>
      </c>
      <c r="AT260">
        <v>1</v>
      </c>
      <c r="AU260" t="s">
        <v>63</v>
      </c>
      <c r="AV260" t="s">
        <v>64</v>
      </c>
      <c r="AW260">
        <v>1</v>
      </c>
      <c r="AX260">
        <v>3</v>
      </c>
      <c r="AY260">
        <v>0</v>
      </c>
      <c r="AZ260">
        <v>0</v>
      </c>
      <c r="BA260">
        <v>100</v>
      </c>
      <c r="BB260">
        <v>100</v>
      </c>
      <c r="BC260">
        <v>100</v>
      </c>
      <c r="BD260">
        <v>100</v>
      </c>
      <c r="BE260">
        <v>1</v>
      </c>
      <c r="BF260">
        <v>15000</v>
      </c>
      <c r="BG260">
        <v>1000</v>
      </c>
      <c r="BH260" s="6">
        <f>Grandview_Inventory[[#This Row],[land_extract]]*Lookups!$B$3</f>
        <v>51342.318135355803</v>
      </c>
      <c r="BI260" s="6">
        <f>IF(Grandview_Inventory[[#This Row],[bldg_style]]="",0,Lookups!$B$2)</f>
        <v>155833.95000000001</v>
      </c>
      <c r="BJ260" s="6">
        <f>_xlfn.IFNA(VLOOKUP(Grandview_Inventory[[#This Row],[quality]],Lookups!$H$2:$J$14,3,FALSE),0)</f>
        <v>2251</v>
      </c>
      <c r="BK260" s="6">
        <f>_xlfn.IFNA(VLOOKUP(Grandview_Inventory[[#This Row],[condition]],Lookups!$H$17:$J$24,3,FALSE),0)</f>
        <v>22342</v>
      </c>
      <c r="BL260" s="6">
        <f>Grandview_Inventory[[#This Row],[Eff_Age]]*Lookups!$B$14</f>
        <v>-4304.9987999999994</v>
      </c>
      <c r="BM260" s="6">
        <f>Grandview_Inventory[[#This Row],[living_area]]*Lookups!$B$15</f>
        <v>76354.164072</v>
      </c>
      <c r="BN260" s="6">
        <f>Grandview_Inventory[[#This Row],[Fin BSMT]]*Lookups!$B$16</f>
        <v>0</v>
      </c>
      <c r="BO260" s="6">
        <f>(Grandview_Inventory[[#This Row],[att_gar]]+Grandview_Inventory[[#This Row],[bltin_gar]])*Lookups!$B$17</f>
        <v>38508.992279999999</v>
      </c>
      <c r="BP260" s="6">
        <f>Grandview_Inventory[[#This Row],[Plumbing Fixtures]]*Lookups!$B$18</f>
        <v>16083.5344</v>
      </c>
      <c r="BQ260" s="6">
        <f>Grandview_Inventory[[#This Row],[detatched_value]]*Lookups!$B$19</f>
        <v>0</v>
      </c>
      <c r="BR260" s="6">
        <f>SUM(Grandview_Inventory[[#This Row],[Intercept]:[det_value]])*Grandview_Inventory[[#This Row],[res_pct]]</f>
        <v>307068.64195200003</v>
      </c>
      <c r="BS260" s="6">
        <f>Grandview_Inventory[[#This Row],[land_value]]</f>
        <v>51342.318135355803</v>
      </c>
      <c r="BT260" s="4">
        <f>_xlfn.IFNA(VLOOKUP(Grandview_Inventory[[#This Row],[quality]],Lookups!$A$26:$C$33,3,FALSE),1)</f>
        <v>0.98763855981004833</v>
      </c>
      <c r="BU260" s="4">
        <f>_xlfn.IFNA(VLOOKUP(Grandview_Inventory[[#This Row],[condition]],Lookups!$A$37:$C$44,3,FALSE),1)</f>
        <v>0.97383723671140243</v>
      </c>
      <c r="BV260" s="4">
        <f>IF(Grandview_Inventory[[#This Row],[bldg_style]]="",1,_xlfn.IFNA(VLOOKUP(Grandview_Inventory[[#This Row],[decade]],Lookups!$F$29:$H$43,3,FALSE),1))</f>
        <v>0.96737494181490646</v>
      </c>
      <c r="BW260" s="4">
        <f>_xlfn.IFNA(VLOOKUP(Grandview_Inventory[[#This Row],[living_area_range]],Lookups!$F$47:$H$56,3,FALSE),1)</f>
        <v>0.96135087979789358</v>
      </c>
      <c r="BX260" s="4">
        <f>AVERAGE(Grandview_Inventory[[#This Row],[qual_adj]:[size_adj]])</f>
        <v>0.97255040453356267</v>
      </c>
      <c r="BY260" s="6">
        <f>IF(Grandview_Inventory[[#This Row],[pre_res]]&lt;0,0,Grandview_Inventory[[#This Row],[pre_res]]*Grandview_Inventory[[#This Row],[overall_adj]])</f>
        <v>298639.73194998933</v>
      </c>
      <c r="BZ260" s="6">
        <f>(Grandview_Inventory[[#This Row],[sum_land]]-IF(Grandview_Inventory[[#This Row],[no_utilities]]=1,12000,0))/IF(Grandview_Inventory[[#This Row],[unbuildable]]=1,2,1)</f>
        <v>51342.318135355803</v>
      </c>
      <c r="CA26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60">
        <f>ROUND(Grandview_Inventory[[#This Row],[det_value]]*Lookups!$M$28,-2)</f>
        <v>0</v>
      </c>
      <c r="CC260">
        <f>IF(ROUND(Grandview_Inventory[[#This Row],[adj_res]]*Lookups!$M$28,-2)&lt;Grandview_Inventory[[#This Row],[min_res]],Grandview_Inventory[[#This Row],[min_res]],ROUND(Grandview_Inventory[[#This Row],[adj_res]]*Lookups!$M$28,-2))</f>
        <v>283700</v>
      </c>
      <c r="CD260">
        <f>Grandview_Inventory[[#This Row],[final_det]]+Grandview_Inventory[[#This Row],[final_res]]</f>
        <v>283700</v>
      </c>
      <c r="CE260">
        <f>Grandview_Inventory[[#This Row],[final_land]]+Grandview_Inventory[[#This Row],[final_imp]]+Grandview_Inventory[[#This Row],[crop_value]]</f>
        <v>332500</v>
      </c>
      <c r="CG260" t="str">
        <f t="shared" si="4"/>
        <v>update valuation set market_land =48800, market_bldg=283700, market_total =332500, market_mdno =401, market_date ='9/10/2023' where link_id = (select link_id from parcel where parcel_year = '2024' and parcel_id = '23091442442');</v>
      </c>
    </row>
    <row r="261" spans="1:85" x14ac:dyDescent="0.25">
      <c r="A261">
        <v>23091443401</v>
      </c>
      <c r="B261">
        <v>0.36</v>
      </c>
      <c r="C261">
        <v>15797</v>
      </c>
      <c r="D261" t="s">
        <v>129</v>
      </c>
      <c r="E261" t="s">
        <v>53</v>
      </c>
      <c r="F261" t="s">
        <v>53</v>
      </c>
      <c r="G261">
        <v>4</v>
      </c>
      <c r="H261" t="s">
        <v>54</v>
      </c>
      <c r="I261">
        <v>254600</v>
      </c>
      <c r="J261">
        <v>45400</v>
      </c>
      <c r="K261">
        <v>0.36</v>
      </c>
      <c r="L261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261">
        <v>0</v>
      </c>
      <c r="N261">
        <v>0</v>
      </c>
      <c r="O261">
        <v>0</v>
      </c>
      <c r="P261">
        <v>13398.7528</v>
      </c>
      <c r="Q261">
        <v>63903</v>
      </c>
      <c r="R261">
        <f>(Grandview_Inventory[[#This Row],[ln_acres]]*Grandview_Inventory[[#This Row],[coeff]])+Grandview_Inventory[[#This Row],[const]]</f>
        <v>50214.147486507369</v>
      </c>
      <c r="S261" t="s">
        <v>61</v>
      </c>
      <c r="T261">
        <v>1</v>
      </c>
      <c r="U261" t="s">
        <v>65</v>
      </c>
      <c r="V261" t="s">
        <v>69</v>
      </c>
      <c r="W261">
        <v>0</v>
      </c>
      <c r="X261">
        <v>0</v>
      </c>
      <c r="Y261">
        <v>44</v>
      </c>
      <c r="Z261">
        <v>47</v>
      </c>
      <c r="AA261">
        <v>50</v>
      </c>
      <c r="AB261">
        <v>1500</v>
      </c>
      <c r="AC261">
        <v>1400</v>
      </c>
      <c r="AD261">
        <v>1400</v>
      </c>
      <c r="AE261">
        <v>0</v>
      </c>
      <c r="AF261">
        <v>0</v>
      </c>
      <c r="AG261">
        <v>0</v>
      </c>
      <c r="AH261">
        <v>0</v>
      </c>
      <c r="AI261">
        <v>504</v>
      </c>
      <c r="AJ261">
        <v>0</v>
      </c>
      <c r="AK261">
        <v>0</v>
      </c>
      <c r="AL261">
        <v>0</v>
      </c>
      <c r="AM261">
        <v>240</v>
      </c>
      <c r="AN261">
        <v>220</v>
      </c>
      <c r="AO261">
        <v>180</v>
      </c>
      <c r="AP261">
        <v>7</v>
      </c>
      <c r="AQ261">
        <v>1</v>
      </c>
      <c r="AR261">
        <v>0</v>
      </c>
      <c r="AS261" t="s">
        <v>58</v>
      </c>
      <c r="AT261">
        <v>1</v>
      </c>
      <c r="AU261" t="s">
        <v>59</v>
      </c>
      <c r="AV261" t="s">
        <v>60</v>
      </c>
      <c r="AW261">
        <v>1</v>
      </c>
      <c r="AX261">
        <v>3</v>
      </c>
      <c r="AY261">
        <v>0</v>
      </c>
      <c r="AZ261">
        <v>49500</v>
      </c>
      <c r="BA261">
        <v>100</v>
      </c>
      <c r="BB261">
        <v>100</v>
      </c>
      <c r="BC261">
        <v>100</v>
      </c>
      <c r="BD261">
        <v>100</v>
      </c>
      <c r="BE261">
        <v>1</v>
      </c>
      <c r="BF261">
        <v>15000</v>
      </c>
      <c r="BG261">
        <v>1000</v>
      </c>
      <c r="BH261" s="6">
        <f>Grandview_Inventory[[#This Row],[land_extract]]*Lookups!$B$3</f>
        <v>58313.55389788279</v>
      </c>
      <c r="BI261" s="6">
        <f>IF(Grandview_Inventory[[#This Row],[bldg_style]]="",0,Lookups!$B$2)</f>
        <v>155833.95000000001</v>
      </c>
      <c r="BJ261" s="6">
        <f>_xlfn.IFNA(VLOOKUP(Grandview_Inventory[[#This Row],[quality]],Lookups!$H$2:$J$14,3,FALSE),0)</f>
        <v>2251</v>
      </c>
      <c r="BK261" s="6">
        <f>_xlfn.IFNA(VLOOKUP(Grandview_Inventory[[#This Row],[condition]],Lookups!$H$17:$J$24,3,FALSE),0)</f>
        <v>-4503</v>
      </c>
      <c r="BL261" s="6">
        <f>Grandview_Inventory[[#This Row],[Eff_Age]]*Lookups!$B$14</f>
        <v>-10523.330399999999</v>
      </c>
      <c r="BM261" s="6">
        <f>Grandview_Inventory[[#This Row],[living_area]]*Lookups!$B$15</f>
        <v>87333.194199999998</v>
      </c>
      <c r="BN261" s="6">
        <f>Grandview_Inventory[[#This Row],[Fin BSMT]]*Lookups!$B$16</f>
        <v>0</v>
      </c>
      <c r="BO261" s="6">
        <f>(Grandview_Inventory[[#This Row],[att_gar]]+Grandview_Inventory[[#This Row],[bltin_gar]])*Lookups!$B$17</f>
        <v>44110.300248</v>
      </c>
      <c r="BP261" s="6">
        <f>Grandview_Inventory[[#This Row],[Plumbing Fixtures]]*Lookups!$B$18</f>
        <v>14073.0926</v>
      </c>
      <c r="BQ261" s="6">
        <f>Grandview_Inventory[[#This Row],[detatched_value]]*Lookups!$B$19</f>
        <v>41916.852449999998</v>
      </c>
      <c r="BR261" s="6">
        <f>SUM(Grandview_Inventory[[#This Row],[Intercept]:[det_value]])*Grandview_Inventory[[#This Row],[res_pct]]</f>
        <v>330492.059098</v>
      </c>
      <c r="BS261" s="6">
        <f>Grandview_Inventory[[#This Row],[land_value]]</f>
        <v>58313.55389788279</v>
      </c>
      <c r="BT261" s="4">
        <f>_xlfn.IFNA(VLOOKUP(Grandview_Inventory[[#This Row],[quality]],Lookups!$A$26:$C$33,3,FALSE),1)</f>
        <v>0.98763855981004833</v>
      </c>
      <c r="BU261" s="4">
        <f>_xlfn.IFNA(VLOOKUP(Grandview_Inventory[[#This Row],[condition]],Lookups!$A$37:$C$44,3,FALSE),1)</f>
        <v>0.96469275950863709</v>
      </c>
      <c r="BV261" s="4">
        <f>IF(Grandview_Inventory[[#This Row],[bldg_style]]="",1,_xlfn.IFNA(VLOOKUP(Grandview_Inventory[[#This Row],[decade]],Lookups!$F$29:$H$43,3,FALSE),1))</f>
        <v>0.9871940091910919</v>
      </c>
      <c r="BW261" s="4">
        <f>_xlfn.IFNA(VLOOKUP(Grandview_Inventory[[#This Row],[living_area_range]],Lookups!$F$47:$H$56,3,FALSE),1)</f>
        <v>0.96135087979789358</v>
      </c>
      <c r="BX261" s="4">
        <f>AVERAGE(Grandview_Inventory[[#This Row],[qual_adj]:[size_adj]])</f>
        <v>0.97521905207691773</v>
      </c>
      <c r="BY261" s="6">
        <f>IF(Grandview_Inventory[[#This Row],[pre_res]]&lt;0,0,Grandview_Inventory[[#This Row],[pre_res]]*Grandview_Inventory[[#This Row],[overall_adj]])</f>
        <v>322302.15259250021</v>
      </c>
      <c r="BZ261" s="6">
        <f>(Grandview_Inventory[[#This Row],[sum_land]]-IF(Grandview_Inventory[[#This Row],[no_utilities]]=1,12000,0))/IF(Grandview_Inventory[[#This Row],[unbuildable]]=1,2,1)</f>
        <v>58313.55389788279</v>
      </c>
      <c r="CA261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261">
        <f>ROUND(Grandview_Inventory[[#This Row],[det_value]]*Lookups!$M$28,-2)</f>
        <v>39800</v>
      </c>
      <c r="CC261">
        <f>IF(ROUND(Grandview_Inventory[[#This Row],[adj_res]]*Lookups!$M$28,-2)&lt;Grandview_Inventory[[#This Row],[min_res]],Grandview_Inventory[[#This Row],[min_res]],ROUND(Grandview_Inventory[[#This Row],[adj_res]]*Lookups!$M$28,-2))</f>
        <v>306200</v>
      </c>
      <c r="CD261">
        <f>Grandview_Inventory[[#This Row],[final_det]]+Grandview_Inventory[[#This Row],[final_res]]</f>
        <v>346000</v>
      </c>
      <c r="CE261">
        <f>Grandview_Inventory[[#This Row],[final_land]]+Grandview_Inventory[[#This Row],[final_imp]]+Grandview_Inventory[[#This Row],[crop_value]]</f>
        <v>401400</v>
      </c>
      <c r="CG261" t="str">
        <f t="shared" si="4"/>
        <v>update valuation set market_land =55400, market_bldg=346000, market_total =401400, market_mdno =401, market_date ='9/10/2023' where link_id = (select link_id from parcel where parcel_year = '2024' and parcel_id = '23091443401');</v>
      </c>
    </row>
    <row r="262" spans="1:85" x14ac:dyDescent="0.25">
      <c r="A262">
        <v>23091443402</v>
      </c>
      <c r="B262">
        <v>0.26</v>
      </c>
      <c r="C262">
        <v>11494</v>
      </c>
      <c r="D262" t="s">
        <v>129</v>
      </c>
      <c r="E262" t="s">
        <v>53</v>
      </c>
      <c r="F262" t="s">
        <v>53</v>
      </c>
      <c r="G262">
        <v>4</v>
      </c>
      <c r="H262" t="s">
        <v>54</v>
      </c>
      <c r="I262">
        <v>247200</v>
      </c>
      <c r="J262">
        <v>40000</v>
      </c>
      <c r="K262">
        <v>0.26</v>
      </c>
      <c r="L26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62">
        <v>0</v>
      </c>
      <c r="N262">
        <v>0</v>
      </c>
      <c r="O262">
        <v>0</v>
      </c>
      <c r="P262">
        <v>13398.7528</v>
      </c>
      <c r="Q262">
        <v>63903</v>
      </c>
      <c r="R262">
        <f>(Grandview_Inventory[[#This Row],[ln_acres]]*Grandview_Inventory[[#This Row],[coeff]])+Grandview_Inventory[[#This Row],[const]]</f>
        <v>45853.893187501177</v>
      </c>
      <c r="S262" t="s">
        <v>61</v>
      </c>
      <c r="T262">
        <v>1</v>
      </c>
      <c r="U262" t="s">
        <v>65</v>
      </c>
      <c r="V262" t="s">
        <v>69</v>
      </c>
      <c r="W262">
        <v>0</v>
      </c>
      <c r="X262">
        <v>0</v>
      </c>
      <c r="Y262">
        <v>44</v>
      </c>
      <c r="Z262">
        <v>47</v>
      </c>
      <c r="AA262">
        <v>50</v>
      </c>
      <c r="AB262">
        <v>3000</v>
      </c>
      <c r="AC262">
        <v>2884</v>
      </c>
      <c r="AD262">
        <v>1442</v>
      </c>
      <c r="AE262">
        <v>0</v>
      </c>
      <c r="AF262">
        <v>0</v>
      </c>
      <c r="AG262">
        <v>1442</v>
      </c>
      <c r="AH262">
        <v>0</v>
      </c>
      <c r="AI262">
        <v>560</v>
      </c>
      <c r="AJ262">
        <v>0</v>
      </c>
      <c r="AK262">
        <v>0</v>
      </c>
      <c r="AL262">
        <v>0</v>
      </c>
      <c r="AM262">
        <v>120</v>
      </c>
      <c r="AN262">
        <v>25</v>
      </c>
      <c r="AO262">
        <v>120</v>
      </c>
      <c r="AP262">
        <v>10</v>
      </c>
      <c r="AQ262">
        <v>1</v>
      </c>
      <c r="AR262">
        <v>0</v>
      </c>
      <c r="AS262" t="s">
        <v>58</v>
      </c>
      <c r="AT262">
        <v>1</v>
      </c>
      <c r="AU262" t="s">
        <v>63</v>
      </c>
      <c r="AV262" t="s">
        <v>60</v>
      </c>
      <c r="AW262">
        <v>1</v>
      </c>
      <c r="AX262">
        <v>4</v>
      </c>
      <c r="AY262">
        <v>0</v>
      </c>
      <c r="AZ262">
        <v>0</v>
      </c>
      <c r="BA262">
        <v>100</v>
      </c>
      <c r="BB262">
        <v>100</v>
      </c>
      <c r="BC262">
        <v>100</v>
      </c>
      <c r="BD262">
        <v>100</v>
      </c>
      <c r="BE262">
        <v>1</v>
      </c>
      <c r="BF262">
        <v>15000</v>
      </c>
      <c r="BG262">
        <v>1000</v>
      </c>
      <c r="BH262" s="6">
        <f>Grandview_Inventory[[#This Row],[land_extract]]*Lookups!$B$3</f>
        <v>53250.00235313351</v>
      </c>
      <c r="BI262" s="6">
        <f>IF(Grandview_Inventory[[#This Row],[bldg_style]]="",0,Lookups!$B$2)</f>
        <v>155833.95000000001</v>
      </c>
      <c r="BJ262" s="6">
        <f>_xlfn.IFNA(VLOOKUP(Grandview_Inventory[[#This Row],[quality]],Lookups!$H$2:$J$14,3,FALSE),0)</f>
        <v>2251</v>
      </c>
      <c r="BK262" s="6">
        <f>_xlfn.IFNA(VLOOKUP(Grandview_Inventory[[#This Row],[condition]],Lookups!$H$17:$J$24,3,FALSE),0)</f>
        <v>-4503</v>
      </c>
      <c r="BL262" s="6">
        <f>Grandview_Inventory[[#This Row],[Eff_Age]]*Lookups!$B$14</f>
        <v>-10523.330399999999</v>
      </c>
      <c r="BM262" s="6">
        <f>Grandview_Inventory[[#This Row],[living_area]]*Lookups!$B$15</f>
        <v>179906.38005199999</v>
      </c>
      <c r="BN262" s="6">
        <f>Grandview_Inventory[[#This Row],[Fin BSMT]]*Lookups!$B$16</f>
        <v>-39077.104080000005</v>
      </c>
      <c r="BO262" s="6">
        <f>(Grandview_Inventory[[#This Row],[att_gar]]+Grandview_Inventory[[#This Row],[bltin_gar]])*Lookups!$B$17</f>
        <v>49011.44472</v>
      </c>
      <c r="BP262" s="6">
        <f>Grandview_Inventory[[#This Row],[Plumbing Fixtures]]*Lookups!$B$18</f>
        <v>20104.418000000001</v>
      </c>
      <c r="BQ262" s="6">
        <f>Grandview_Inventory[[#This Row],[detatched_value]]*Lookups!$B$19</f>
        <v>0</v>
      </c>
      <c r="BR262" s="6">
        <f>SUM(Grandview_Inventory[[#This Row],[Intercept]:[det_value]])*Grandview_Inventory[[#This Row],[res_pct]]</f>
        <v>353003.75829199998</v>
      </c>
      <c r="BS262" s="6">
        <f>Grandview_Inventory[[#This Row],[land_value]]</f>
        <v>53250.00235313351</v>
      </c>
      <c r="BT262" s="4">
        <f>_xlfn.IFNA(VLOOKUP(Grandview_Inventory[[#This Row],[quality]],Lookups!$A$26:$C$33,3,FALSE),1)</f>
        <v>0.98763855981004833</v>
      </c>
      <c r="BU262" s="4">
        <f>_xlfn.IFNA(VLOOKUP(Grandview_Inventory[[#This Row],[condition]],Lookups!$A$37:$C$44,3,FALSE),1)</f>
        <v>0.96469275950863709</v>
      </c>
      <c r="BV262" s="4">
        <f>IF(Grandview_Inventory[[#This Row],[bldg_style]]="",1,_xlfn.IFNA(VLOOKUP(Grandview_Inventory[[#This Row],[decade]],Lookups!$F$29:$H$43,3,FALSE),1))</f>
        <v>0.9871940091910919</v>
      </c>
      <c r="BW262" s="4">
        <f>_xlfn.IFNA(VLOOKUP(Grandview_Inventory[[#This Row],[living_area_range]],Lookups!$F$47:$H$56,3,FALSE),1)</f>
        <v>0.94224801443562123</v>
      </c>
      <c r="BX262" s="4">
        <f>AVERAGE(Grandview_Inventory[[#This Row],[qual_adj]:[size_adj]])</f>
        <v>0.97044333573634967</v>
      </c>
      <c r="BY262" s="6">
        <f>IF(Grandview_Inventory[[#This Row],[pre_res]]&lt;0,0,Grandview_Inventory[[#This Row],[pre_res]]*Grandview_Inventory[[#This Row],[overall_adj]])</f>
        <v>342570.14472435659</v>
      </c>
      <c r="BZ262" s="6">
        <f>(Grandview_Inventory[[#This Row],[sum_land]]-IF(Grandview_Inventory[[#This Row],[no_utilities]]=1,12000,0))/IF(Grandview_Inventory[[#This Row],[unbuildable]]=1,2,1)</f>
        <v>53250.00235313351</v>
      </c>
      <c r="CA26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62">
        <f>ROUND(Grandview_Inventory[[#This Row],[det_value]]*Lookups!$M$28,-2)</f>
        <v>0</v>
      </c>
      <c r="CC262">
        <f>IF(ROUND(Grandview_Inventory[[#This Row],[adj_res]]*Lookups!$M$28,-2)&lt;Grandview_Inventory[[#This Row],[min_res]],Grandview_Inventory[[#This Row],[min_res]],ROUND(Grandview_Inventory[[#This Row],[adj_res]]*Lookups!$M$28,-2))</f>
        <v>325400</v>
      </c>
      <c r="CD262">
        <f>Grandview_Inventory[[#This Row],[final_det]]+Grandview_Inventory[[#This Row],[final_res]]</f>
        <v>325400</v>
      </c>
      <c r="CE262">
        <f>Grandview_Inventory[[#This Row],[final_land]]+Grandview_Inventory[[#This Row],[final_imp]]+Grandview_Inventory[[#This Row],[crop_value]]</f>
        <v>376000</v>
      </c>
      <c r="CG262" t="str">
        <f t="shared" si="4"/>
        <v>update valuation set market_land =50600, market_bldg=325400, market_total =376000, market_mdno =401, market_date ='9/10/2023' where link_id = (select link_id from parcel where parcel_year = '2024' and parcel_id = '23091443402');</v>
      </c>
    </row>
    <row r="263" spans="1:85" x14ac:dyDescent="0.25">
      <c r="A263">
        <v>23091443403</v>
      </c>
      <c r="B263">
        <v>0.24</v>
      </c>
      <c r="C263">
        <v>10575</v>
      </c>
      <c r="D263" t="s">
        <v>129</v>
      </c>
      <c r="E263" t="s">
        <v>53</v>
      </c>
      <c r="F263" t="s">
        <v>53</v>
      </c>
      <c r="G263">
        <v>4</v>
      </c>
      <c r="H263" t="s">
        <v>54</v>
      </c>
      <c r="I263">
        <v>186900</v>
      </c>
      <c r="J263">
        <v>39800</v>
      </c>
      <c r="K263">
        <v>0.24</v>
      </c>
      <c r="L26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63">
        <v>0</v>
      </c>
      <c r="N263">
        <v>0</v>
      </c>
      <c r="O263">
        <v>0</v>
      </c>
      <c r="P263">
        <v>13398.7528</v>
      </c>
      <c r="Q263">
        <v>63903</v>
      </c>
      <c r="R263">
        <f>(Grandview_Inventory[[#This Row],[ln_acres]]*Grandview_Inventory[[#This Row],[coeff]])+Grandview_Inventory[[#This Row],[const]]</f>
        <v>44781.420733940802</v>
      </c>
      <c r="S263" t="s">
        <v>61</v>
      </c>
      <c r="T263">
        <v>1</v>
      </c>
      <c r="U263" t="s">
        <v>65</v>
      </c>
      <c r="V263" t="s">
        <v>69</v>
      </c>
      <c r="W263">
        <v>0</v>
      </c>
      <c r="X263">
        <v>0</v>
      </c>
      <c r="Y263">
        <v>44</v>
      </c>
      <c r="Z263">
        <v>47</v>
      </c>
      <c r="AA263">
        <v>50</v>
      </c>
      <c r="AB263">
        <v>1500</v>
      </c>
      <c r="AC263">
        <v>1428</v>
      </c>
      <c r="AD263">
        <v>1428</v>
      </c>
      <c r="AE263">
        <v>0</v>
      </c>
      <c r="AF263">
        <v>0</v>
      </c>
      <c r="AG263">
        <v>0</v>
      </c>
      <c r="AH263">
        <v>0</v>
      </c>
      <c r="AI263">
        <v>480</v>
      </c>
      <c r="AJ263">
        <v>0</v>
      </c>
      <c r="AK263">
        <v>0</v>
      </c>
      <c r="AL263">
        <v>144</v>
      </c>
      <c r="AM263">
        <v>144</v>
      </c>
      <c r="AN263">
        <v>0</v>
      </c>
      <c r="AO263">
        <v>288</v>
      </c>
      <c r="AP263">
        <v>7</v>
      </c>
      <c r="AQ263">
        <v>1</v>
      </c>
      <c r="AR263">
        <v>0</v>
      </c>
      <c r="AS263" t="s">
        <v>58</v>
      </c>
      <c r="AT263">
        <v>1</v>
      </c>
      <c r="AU263" t="s">
        <v>75</v>
      </c>
      <c r="AV263" t="s">
        <v>60</v>
      </c>
      <c r="AW263">
        <v>0</v>
      </c>
      <c r="AX263">
        <v>3</v>
      </c>
      <c r="AY263">
        <v>0</v>
      </c>
      <c r="AZ263">
        <v>0</v>
      </c>
      <c r="BA263">
        <v>100</v>
      </c>
      <c r="BB263">
        <v>100</v>
      </c>
      <c r="BC263">
        <v>100</v>
      </c>
      <c r="BD263">
        <v>100</v>
      </c>
      <c r="BE263">
        <v>1</v>
      </c>
      <c r="BF263">
        <v>15000</v>
      </c>
      <c r="BG263">
        <v>1000</v>
      </c>
      <c r="BH263" s="6">
        <f>Grandview_Inventory[[#This Row],[land_extract]]*Lookups!$B$3</f>
        <v>52004.542988489469</v>
      </c>
      <c r="BI263" s="6">
        <f>IF(Grandview_Inventory[[#This Row],[bldg_style]]="",0,Lookups!$B$2)</f>
        <v>155833.95000000001</v>
      </c>
      <c r="BJ263" s="6">
        <f>_xlfn.IFNA(VLOOKUP(Grandview_Inventory[[#This Row],[quality]],Lookups!$H$2:$J$14,3,FALSE),0)</f>
        <v>2251</v>
      </c>
      <c r="BK263" s="6">
        <f>_xlfn.IFNA(VLOOKUP(Grandview_Inventory[[#This Row],[condition]],Lookups!$H$17:$J$24,3,FALSE),0)</f>
        <v>-4503</v>
      </c>
      <c r="BL263" s="6">
        <f>Grandview_Inventory[[#This Row],[Eff_Age]]*Lookups!$B$14</f>
        <v>-10523.330399999999</v>
      </c>
      <c r="BM263" s="6">
        <f>Grandview_Inventory[[#This Row],[living_area]]*Lookups!$B$15</f>
        <v>89079.858084000007</v>
      </c>
      <c r="BN263" s="6">
        <f>Grandview_Inventory[[#This Row],[Fin BSMT]]*Lookups!$B$16</f>
        <v>0</v>
      </c>
      <c r="BO263" s="6">
        <f>(Grandview_Inventory[[#This Row],[att_gar]]+Grandview_Inventory[[#This Row],[bltin_gar]])*Lookups!$B$17</f>
        <v>42009.809760000004</v>
      </c>
      <c r="BP263" s="6">
        <f>Grandview_Inventory[[#This Row],[Plumbing Fixtures]]*Lookups!$B$18</f>
        <v>14073.0926</v>
      </c>
      <c r="BQ263" s="6">
        <f>Grandview_Inventory[[#This Row],[detatched_value]]*Lookups!$B$19</f>
        <v>0</v>
      </c>
      <c r="BR263" s="6">
        <f>SUM(Grandview_Inventory[[#This Row],[Intercept]:[det_value]])*Grandview_Inventory[[#This Row],[res_pct]]</f>
        <v>288221.38004399999</v>
      </c>
      <c r="BS263" s="6">
        <f>Grandview_Inventory[[#This Row],[land_value]]</f>
        <v>52004.542988489469</v>
      </c>
      <c r="BT263" s="4">
        <f>_xlfn.IFNA(VLOOKUP(Grandview_Inventory[[#This Row],[quality]],Lookups!$A$26:$C$33,3,FALSE),1)</f>
        <v>0.98763855981004833</v>
      </c>
      <c r="BU263" s="4">
        <f>_xlfn.IFNA(VLOOKUP(Grandview_Inventory[[#This Row],[condition]],Lookups!$A$37:$C$44,3,FALSE),1)</f>
        <v>0.96469275950863709</v>
      </c>
      <c r="BV263" s="4">
        <f>IF(Grandview_Inventory[[#This Row],[bldg_style]]="",1,_xlfn.IFNA(VLOOKUP(Grandview_Inventory[[#This Row],[decade]],Lookups!$F$29:$H$43,3,FALSE),1))</f>
        <v>0.9871940091910919</v>
      </c>
      <c r="BW263" s="4">
        <f>_xlfn.IFNA(VLOOKUP(Grandview_Inventory[[#This Row],[living_area_range]],Lookups!$F$47:$H$56,3,FALSE),1)</f>
        <v>0.96135087979789358</v>
      </c>
      <c r="BX263" s="4">
        <f>AVERAGE(Grandview_Inventory[[#This Row],[qual_adj]:[size_adj]])</f>
        <v>0.97521905207691773</v>
      </c>
      <c r="BY263" s="6">
        <f>IF(Grandview_Inventory[[#This Row],[pre_res]]&lt;0,0,Grandview_Inventory[[#This Row],[pre_res]]*Grandview_Inventory[[#This Row],[overall_adj]])</f>
        <v>281078.98103481071</v>
      </c>
      <c r="BZ263" s="6">
        <f>(Grandview_Inventory[[#This Row],[sum_land]]-IF(Grandview_Inventory[[#This Row],[no_utilities]]=1,12000,0))/IF(Grandview_Inventory[[#This Row],[unbuildable]]=1,2,1)</f>
        <v>52004.542988489469</v>
      </c>
      <c r="CA26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63">
        <f>ROUND(Grandview_Inventory[[#This Row],[det_value]]*Lookups!$M$28,-2)</f>
        <v>0</v>
      </c>
      <c r="CC263">
        <f>IF(ROUND(Grandview_Inventory[[#This Row],[adj_res]]*Lookups!$M$28,-2)&lt;Grandview_Inventory[[#This Row],[min_res]],Grandview_Inventory[[#This Row],[min_res]],ROUND(Grandview_Inventory[[#This Row],[adj_res]]*Lookups!$M$28,-2))</f>
        <v>267000</v>
      </c>
      <c r="CD263">
        <f>Grandview_Inventory[[#This Row],[final_det]]+Grandview_Inventory[[#This Row],[final_res]]</f>
        <v>267000</v>
      </c>
      <c r="CE263">
        <f>Grandview_Inventory[[#This Row],[final_land]]+Grandview_Inventory[[#This Row],[final_imp]]+Grandview_Inventory[[#This Row],[crop_value]]</f>
        <v>316400</v>
      </c>
      <c r="CG263" t="str">
        <f t="shared" si="4"/>
        <v>update valuation set market_land =49400, market_bldg=267000, market_total =316400, market_mdno =401, market_date ='9/10/2023' where link_id = (select link_id from parcel where parcel_year = '2024' and parcel_id = '23091443403');</v>
      </c>
    </row>
    <row r="264" spans="1:85" x14ac:dyDescent="0.25">
      <c r="A264">
        <v>23091443404</v>
      </c>
      <c r="B264">
        <v>0.26</v>
      </c>
      <c r="C264">
        <v>11433</v>
      </c>
      <c r="D264" t="s">
        <v>129</v>
      </c>
      <c r="E264" t="s">
        <v>53</v>
      </c>
      <c r="F264" t="s">
        <v>53</v>
      </c>
      <c r="G264">
        <v>4</v>
      </c>
      <c r="H264" t="s">
        <v>54</v>
      </c>
      <c r="I264">
        <v>179200</v>
      </c>
      <c r="J264">
        <v>40200</v>
      </c>
      <c r="K264">
        <v>0.26</v>
      </c>
      <c r="L264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64">
        <v>0</v>
      </c>
      <c r="N264">
        <v>0</v>
      </c>
      <c r="O264">
        <v>0</v>
      </c>
      <c r="P264">
        <v>13398.7528</v>
      </c>
      <c r="Q264">
        <v>63903</v>
      </c>
      <c r="R264">
        <f>(Grandview_Inventory[[#This Row],[ln_acres]]*Grandview_Inventory[[#This Row],[coeff]])+Grandview_Inventory[[#This Row],[const]]</f>
        <v>45853.893187501177</v>
      </c>
      <c r="S264" t="s">
        <v>61</v>
      </c>
      <c r="T264">
        <v>1</v>
      </c>
      <c r="U264" t="s">
        <v>65</v>
      </c>
      <c r="V264" t="s">
        <v>69</v>
      </c>
      <c r="W264">
        <v>0</v>
      </c>
      <c r="X264">
        <v>0</v>
      </c>
      <c r="Y264">
        <v>44</v>
      </c>
      <c r="Z264">
        <v>48</v>
      </c>
      <c r="AA264">
        <v>50</v>
      </c>
      <c r="AB264">
        <v>2000</v>
      </c>
      <c r="AC264">
        <v>1804</v>
      </c>
      <c r="AD264">
        <v>1804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416</v>
      </c>
      <c r="AN264">
        <v>12</v>
      </c>
      <c r="AO264">
        <v>416</v>
      </c>
      <c r="AP264">
        <v>7</v>
      </c>
      <c r="AQ264">
        <v>0</v>
      </c>
      <c r="AR264">
        <v>0</v>
      </c>
      <c r="AS264" t="s">
        <v>58</v>
      </c>
      <c r="AT264">
        <v>1</v>
      </c>
      <c r="AU264" t="s">
        <v>63</v>
      </c>
      <c r="AV264" t="s">
        <v>60</v>
      </c>
      <c r="AW264">
        <v>1</v>
      </c>
      <c r="AX264">
        <v>3</v>
      </c>
      <c r="AY264">
        <v>0</v>
      </c>
      <c r="AZ264">
        <v>0</v>
      </c>
      <c r="BA264">
        <v>100</v>
      </c>
      <c r="BB264">
        <v>100</v>
      </c>
      <c r="BC264">
        <v>100</v>
      </c>
      <c r="BD264">
        <v>100</v>
      </c>
      <c r="BE264">
        <v>1</v>
      </c>
      <c r="BF264">
        <v>15000</v>
      </c>
      <c r="BG264">
        <v>1000</v>
      </c>
      <c r="BH264" s="6">
        <f>Grandview_Inventory[[#This Row],[land_extract]]*Lookups!$B$3</f>
        <v>53250.00235313351</v>
      </c>
      <c r="BI264" s="6">
        <f>IF(Grandview_Inventory[[#This Row],[bldg_style]]="",0,Lookups!$B$2)</f>
        <v>155833.95000000001</v>
      </c>
      <c r="BJ264" s="6">
        <f>_xlfn.IFNA(VLOOKUP(Grandview_Inventory[[#This Row],[quality]],Lookups!$H$2:$J$14,3,FALSE),0)</f>
        <v>2251</v>
      </c>
      <c r="BK264" s="6">
        <f>_xlfn.IFNA(VLOOKUP(Grandview_Inventory[[#This Row],[condition]],Lookups!$H$17:$J$24,3,FALSE),0)</f>
        <v>-4503</v>
      </c>
      <c r="BL264" s="6">
        <f>Grandview_Inventory[[#This Row],[Eff_Age]]*Lookups!$B$14</f>
        <v>-10523.330399999999</v>
      </c>
      <c r="BM264" s="6">
        <f>Grandview_Inventory[[#This Row],[living_area]]*Lookups!$B$15</f>
        <v>112535.058812</v>
      </c>
      <c r="BN264" s="6">
        <f>Grandview_Inventory[[#This Row],[Fin BSMT]]*Lookups!$B$16</f>
        <v>0</v>
      </c>
      <c r="BO264" s="6">
        <f>(Grandview_Inventory[[#This Row],[att_gar]]+Grandview_Inventory[[#This Row],[bltin_gar]])*Lookups!$B$17</f>
        <v>0</v>
      </c>
      <c r="BP264" s="6">
        <f>Grandview_Inventory[[#This Row],[Plumbing Fixtures]]*Lookups!$B$18</f>
        <v>14073.0926</v>
      </c>
      <c r="BQ264" s="6">
        <f>Grandview_Inventory[[#This Row],[detatched_value]]*Lookups!$B$19</f>
        <v>0</v>
      </c>
      <c r="BR264" s="6">
        <f>SUM(Grandview_Inventory[[#This Row],[Intercept]:[det_value]])*Grandview_Inventory[[#This Row],[res_pct]]</f>
        <v>269666.77101199998</v>
      </c>
      <c r="BS264" s="6">
        <f>Grandview_Inventory[[#This Row],[land_value]]</f>
        <v>53250.00235313351</v>
      </c>
      <c r="BT264" s="4">
        <f>_xlfn.IFNA(VLOOKUP(Grandview_Inventory[[#This Row],[quality]],Lookups!$A$26:$C$33,3,FALSE),1)</f>
        <v>0.98763855981004833</v>
      </c>
      <c r="BU264" s="4">
        <f>_xlfn.IFNA(VLOOKUP(Grandview_Inventory[[#This Row],[condition]],Lookups!$A$37:$C$44,3,FALSE),1)</f>
        <v>0.96469275950863709</v>
      </c>
      <c r="BV264" s="4">
        <f>IF(Grandview_Inventory[[#This Row],[bldg_style]]="",1,_xlfn.IFNA(VLOOKUP(Grandview_Inventory[[#This Row],[decade]],Lookups!$F$29:$H$43,3,FALSE),1))</f>
        <v>0.9871940091910919</v>
      </c>
      <c r="BW264" s="4">
        <f>_xlfn.IFNA(VLOOKUP(Grandview_Inventory[[#This Row],[living_area_range]],Lookups!$F$47:$H$56,3,FALSE),1)</f>
        <v>0.96120133463014379</v>
      </c>
      <c r="BX264" s="4">
        <f>AVERAGE(Grandview_Inventory[[#This Row],[qual_adj]:[size_adj]])</f>
        <v>0.97518166578498033</v>
      </c>
      <c r="BY264" s="6">
        <f>IF(Grandview_Inventory[[#This Row],[pre_res]]&lt;0,0,Grandview_Inventory[[#This Row],[pre_res]]*Grandview_Inventory[[#This Row],[overall_adj]])</f>
        <v>262974.09096233902</v>
      </c>
      <c r="BZ264" s="6">
        <f>(Grandview_Inventory[[#This Row],[sum_land]]-IF(Grandview_Inventory[[#This Row],[no_utilities]]=1,12000,0))/IF(Grandview_Inventory[[#This Row],[unbuildable]]=1,2,1)</f>
        <v>53250.00235313351</v>
      </c>
      <c r="CA264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64">
        <f>ROUND(Grandview_Inventory[[#This Row],[det_value]]*Lookups!$M$28,-2)</f>
        <v>0</v>
      </c>
      <c r="CC264">
        <f>IF(ROUND(Grandview_Inventory[[#This Row],[adj_res]]*Lookups!$M$28,-2)&lt;Grandview_Inventory[[#This Row],[min_res]],Grandview_Inventory[[#This Row],[min_res]],ROUND(Grandview_Inventory[[#This Row],[adj_res]]*Lookups!$M$28,-2))</f>
        <v>249800</v>
      </c>
      <c r="CD264">
        <f>Grandview_Inventory[[#This Row],[final_det]]+Grandview_Inventory[[#This Row],[final_res]]</f>
        <v>249800</v>
      </c>
      <c r="CE264">
        <f>Grandview_Inventory[[#This Row],[final_land]]+Grandview_Inventory[[#This Row],[final_imp]]+Grandview_Inventory[[#This Row],[crop_value]]</f>
        <v>300400</v>
      </c>
      <c r="CG264" t="str">
        <f t="shared" si="4"/>
        <v>update valuation set market_land =50600, market_bldg=249800, market_total =300400, market_mdno =401, market_date ='9/10/2023' where link_id = (select link_id from parcel where parcel_year = '2024' and parcel_id = '23091443404');</v>
      </c>
    </row>
    <row r="265" spans="1:85" x14ac:dyDescent="0.25">
      <c r="A265">
        <v>23091443405</v>
      </c>
      <c r="B265">
        <v>0.26</v>
      </c>
      <c r="C265">
        <v>11375</v>
      </c>
      <c r="D265" t="s">
        <v>129</v>
      </c>
      <c r="E265" t="s">
        <v>53</v>
      </c>
      <c r="F265" t="s">
        <v>53</v>
      </c>
      <c r="G265">
        <v>4</v>
      </c>
      <c r="H265" t="s">
        <v>54</v>
      </c>
      <c r="I265">
        <v>186700</v>
      </c>
      <c r="J265">
        <v>44500</v>
      </c>
      <c r="K265">
        <v>0.26</v>
      </c>
      <c r="L265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65">
        <v>0</v>
      </c>
      <c r="N265">
        <v>0</v>
      </c>
      <c r="O265">
        <v>0</v>
      </c>
      <c r="P265">
        <v>13398.7528</v>
      </c>
      <c r="Q265">
        <v>63903</v>
      </c>
      <c r="R265">
        <f>(Grandview_Inventory[[#This Row],[ln_acres]]*Grandview_Inventory[[#This Row],[coeff]])+Grandview_Inventory[[#This Row],[const]]</f>
        <v>45853.893187501177</v>
      </c>
      <c r="S265" t="s">
        <v>61</v>
      </c>
      <c r="T265">
        <v>1</v>
      </c>
      <c r="U265" t="s">
        <v>65</v>
      </c>
      <c r="V265" t="s">
        <v>69</v>
      </c>
      <c r="W265">
        <v>0</v>
      </c>
      <c r="X265">
        <v>0</v>
      </c>
      <c r="Y265">
        <v>44</v>
      </c>
      <c r="Z265">
        <v>48</v>
      </c>
      <c r="AA265">
        <v>50</v>
      </c>
      <c r="AB265">
        <v>1500</v>
      </c>
      <c r="AC265">
        <v>1360</v>
      </c>
      <c r="AD265">
        <v>1360</v>
      </c>
      <c r="AE265">
        <v>0</v>
      </c>
      <c r="AF265">
        <v>0</v>
      </c>
      <c r="AG265">
        <v>0</v>
      </c>
      <c r="AH265">
        <v>0</v>
      </c>
      <c r="AI265">
        <v>480</v>
      </c>
      <c r="AJ265">
        <v>0</v>
      </c>
      <c r="AK265">
        <v>0</v>
      </c>
      <c r="AL265">
        <v>0</v>
      </c>
      <c r="AM265">
        <v>336</v>
      </c>
      <c r="AN265">
        <v>0</v>
      </c>
      <c r="AO265">
        <v>336</v>
      </c>
      <c r="AP265">
        <v>7</v>
      </c>
      <c r="AQ265">
        <v>0</v>
      </c>
      <c r="AR265">
        <v>0</v>
      </c>
      <c r="AS265" t="s">
        <v>58</v>
      </c>
      <c r="AT265">
        <v>1</v>
      </c>
      <c r="AU265" t="s">
        <v>63</v>
      </c>
      <c r="AV265" t="s">
        <v>60</v>
      </c>
      <c r="AW265">
        <v>1</v>
      </c>
      <c r="AX265">
        <v>3</v>
      </c>
      <c r="AY265">
        <v>0</v>
      </c>
      <c r="AZ265">
        <v>0</v>
      </c>
      <c r="BA265">
        <v>100</v>
      </c>
      <c r="BB265">
        <v>100</v>
      </c>
      <c r="BC265">
        <v>100</v>
      </c>
      <c r="BD265">
        <v>100</v>
      </c>
      <c r="BE265">
        <v>1</v>
      </c>
      <c r="BF265">
        <v>15000</v>
      </c>
      <c r="BG265">
        <v>1000</v>
      </c>
      <c r="BH265" s="6">
        <f>Grandview_Inventory[[#This Row],[land_extract]]*Lookups!$B$3</f>
        <v>53250.00235313351</v>
      </c>
      <c r="BI265" s="6">
        <f>IF(Grandview_Inventory[[#This Row],[bldg_style]]="",0,Lookups!$B$2)</f>
        <v>155833.95000000001</v>
      </c>
      <c r="BJ265" s="6">
        <f>_xlfn.IFNA(VLOOKUP(Grandview_Inventory[[#This Row],[quality]],Lookups!$H$2:$J$14,3,FALSE),0)</f>
        <v>2251</v>
      </c>
      <c r="BK265" s="6">
        <f>_xlfn.IFNA(VLOOKUP(Grandview_Inventory[[#This Row],[condition]],Lookups!$H$17:$J$24,3,FALSE),0)</f>
        <v>-4503</v>
      </c>
      <c r="BL265" s="6">
        <f>Grandview_Inventory[[#This Row],[Eff_Age]]*Lookups!$B$14</f>
        <v>-10523.330399999999</v>
      </c>
      <c r="BM265" s="6">
        <f>Grandview_Inventory[[#This Row],[living_area]]*Lookups!$B$15</f>
        <v>84837.960080000004</v>
      </c>
      <c r="BN265" s="6">
        <f>Grandview_Inventory[[#This Row],[Fin BSMT]]*Lookups!$B$16</f>
        <v>0</v>
      </c>
      <c r="BO265" s="6">
        <f>(Grandview_Inventory[[#This Row],[att_gar]]+Grandview_Inventory[[#This Row],[bltin_gar]])*Lookups!$B$17</f>
        <v>42009.809760000004</v>
      </c>
      <c r="BP265" s="6">
        <f>Grandview_Inventory[[#This Row],[Plumbing Fixtures]]*Lookups!$B$18</f>
        <v>14073.0926</v>
      </c>
      <c r="BQ265" s="6">
        <f>Grandview_Inventory[[#This Row],[detatched_value]]*Lookups!$B$19</f>
        <v>0</v>
      </c>
      <c r="BR265" s="6">
        <f>SUM(Grandview_Inventory[[#This Row],[Intercept]:[det_value]])*Grandview_Inventory[[#This Row],[res_pct]]</f>
        <v>283979.48204000003</v>
      </c>
      <c r="BS265" s="6">
        <f>Grandview_Inventory[[#This Row],[land_value]]</f>
        <v>53250.00235313351</v>
      </c>
      <c r="BT265" s="4">
        <f>_xlfn.IFNA(VLOOKUP(Grandview_Inventory[[#This Row],[quality]],Lookups!$A$26:$C$33,3,FALSE),1)</f>
        <v>0.98763855981004833</v>
      </c>
      <c r="BU265" s="4">
        <f>_xlfn.IFNA(VLOOKUP(Grandview_Inventory[[#This Row],[condition]],Lookups!$A$37:$C$44,3,FALSE),1)</f>
        <v>0.96469275950863709</v>
      </c>
      <c r="BV265" s="4">
        <f>IF(Grandview_Inventory[[#This Row],[bldg_style]]="",1,_xlfn.IFNA(VLOOKUP(Grandview_Inventory[[#This Row],[decade]],Lookups!$F$29:$H$43,3,FALSE),1))</f>
        <v>0.9871940091910919</v>
      </c>
      <c r="BW265" s="4">
        <f>_xlfn.IFNA(VLOOKUP(Grandview_Inventory[[#This Row],[living_area_range]],Lookups!$F$47:$H$56,3,FALSE),1)</f>
        <v>0.96135087979789358</v>
      </c>
      <c r="BX265" s="4">
        <f>AVERAGE(Grandview_Inventory[[#This Row],[qual_adj]:[size_adj]])</f>
        <v>0.97521905207691773</v>
      </c>
      <c r="BY265" s="6">
        <f>IF(Grandview_Inventory[[#This Row],[pre_res]]&lt;0,0,Grandview_Inventory[[#This Row],[pre_res]]*Grandview_Inventory[[#This Row],[overall_adj]])</f>
        <v>276942.20128434291</v>
      </c>
      <c r="BZ265" s="6">
        <f>(Grandview_Inventory[[#This Row],[sum_land]]-IF(Grandview_Inventory[[#This Row],[no_utilities]]=1,12000,0))/IF(Grandview_Inventory[[#This Row],[unbuildable]]=1,2,1)</f>
        <v>53250.00235313351</v>
      </c>
      <c r="CA265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65">
        <f>ROUND(Grandview_Inventory[[#This Row],[det_value]]*Lookups!$M$28,-2)</f>
        <v>0</v>
      </c>
      <c r="CC265">
        <f>IF(ROUND(Grandview_Inventory[[#This Row],[adj_res]]*Lookups!$M$28,-2)&lt;Grandview_Inventory[[#This Row],[min_res]],Grandview_Inventory[[#This Row],[min_res]],ROUND(Grandview_Inventory[[#This Row],[adj_res]]*Lookups!$M$28,-2))</f>
        <v>263100</v>
      </c>
      <c r="CD265">
        <f>Grandview_Inventory[[#This Row],[final_det]]+Grandview_Inventory[[#This Row],[final_res]]</f>
        <v>263100</v>
      </c>
      <c r="CE265">
        <f>Grandview_Inventory[[#This Row],[final_land]]+Grandview_Inventory[[#This Row],[final_imp]]+Grandview_Inventory[[#This Row],[crop_value]]</f>
        <v>313700</v>
      </c>
      <c r="CG265" t="str">
        <f t="shared" si="4"/>
        <v>update valuation set market_land =50600, market_bldg=263100, market_total =313700, market_mdno =401, market_date ='9/10/2023' where link_id = (select link_id from parcel where parcel_year = '2024' and parcel_id = '23091443405');</v>
      </c>
    </row>
    <row r="266" spans="1:85" x14ac:dyDescent="0.25">
      <c r="A266">
        <v>23091443406</v>
      </c>
      <c r="B266">
        <v>0.25</v>
      </c>
      <c r="C266">
        <v>10973</v>
      </c>
      <c r="D266" t="s">
        <v>129</v>
      </c>
      <c r="E266" t="s">
        <v>53</v>
      </c>
      <c r="F266" t="s">
        <v>53</v>
      </c>
      <c r="G266">
        <v>4</v>
      </c>
      <c r="H266" t="s">
        <v>54</v>
      </c>
      <c r="I266">
        <v>243500</v>
      </c>
      <c r="J266">
        <v>40200</v>
      </c>
      <c r="K266">
        <v>0.25</v>
      </c>
      <c r="L26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66">
        <v>0</v>
      </c>
      <c r="N266">
        <v>0</v>
      </c>
      <c r="O266">
        <v>0</v>
      </c>
      <c r="P266">
        <v>13398.7528</v>
      </c>
      <c r="Q266">
        <v>63903</v>
      </c>
      <c r="R266">
        <f>(Grandview_Inventory[[#This Row],[ln_acres]]*Grandview_Inventory[[#This Row],[coeff]])+Grandview_Inventory[[#This Row],[const]]</f>
        <v>45328.38454732066</v>
      </c>
      <c r="S266" t="s">
        <v>61</v>
      </c>
      <c r="T266">
        <v>1</v>
      </c>
      <c r="U266" t="s">
        <v>65</v>
      </c>
      <c r="V266" t="s">
        <v>69</v>
      </c>
      <c r="W266">
        <v>0</v>
      </c>
      <c r="X266">
        <v>0</v>
      </c>
      <c r="Y266">
        <v>44</v>
      </c>
      <c r="Z266">
        <v>48</v>
      </c>
      <c r="AA266">
        <v>50</v>
      </c>
      <c r="AB266">
        <v>2500</v>
      </c>
      <c r="AC266">
        <v>2256</v>
      </c>
      <c r="AD266">
        <v>2256</v>
      </c>
      <c r="AE266">
        <v>0</v>
      </c>
      <c r="AF266">
        <v>0</v>
      </c>
      <c r="AG266">
        <v>0</v>
      </c>
      <c r="AH266">
        <v>0</v>
      </c>
      <c r="AI266">
        <v>576</v>
      </c>
      <c r="AJ266">
        <v>0</v>
      </c>
      <c r="AK266">
        <v>0</v>
      </c>
      <c r="AL266">
        <v>0</v>
      </c>
      <c r="AM266">
        <v>270</v>
      </c>
      <c r="AN266">
        <v>0</v>
      </c>
      <c r="AO266">
        <v>0</v>
      </c>
      <c r="AP266">
        <v>10</v>
      </c>
      <c r="AQ266">
        <v>0</v>
      </c>
      <c r="AR266">
        <v>0</v>
      </c>
      <c r="AS266" t="s">
        <v>58</v>
      </c>
      <c r="AT266">
        <v>1</v>
      </c>
      <c r="AU266" t="s">
        <v>63</v>
      </c>
      <c r="AV266" t="s">
        <v>60</v>
      </c>
      <c r="AW266">
        <v>1</v>
      </c>
      <c r="AX266">
        <v>3</v>
      </c>
      <c r="AY266">
        <v>0</v>
      </c>
      <c r="AZ266">
        <v>0</v>
      </c>
      <c r="BA266">
        <v>100</v>
      </c>
      <c r="BB266">
        <v>100</v>
      </c>
      <c r="BC266">
        <v>100</v>
      </c>
      <c r="BD266">
        <v>100</v>
      </c>
      <c r="BE266">
        <v>1</v>
      </c>
      <c r="BF266">
        <v>15000</v>
      </c>
      <c r="BG266">
        <v>1000</v>
      </c>
      <c r="BH266" s="6">
        <f>Grandview_Inventory[[#This Row],[land_extract]]*Lookups!$B$3</f>
        <v>52639.730588165206</v>
      </c>
      <c r="BI266" s="6">
        <f>IF(Grandview_Inventory[[#This Row],[bldg_style]]="",0,Lookups!$B$2)</f>
        <v>155833.95000000001</v>
      </c>
      <c r="BJ266" s="6">
        <f>_xlfn.IFNA(VLOOKUP(Grandview_Inventory[[#This Row],[quality]],Lookups!$H$2:$J$14,3,FALSE),0)</f>
        <v>2251</v>
      </c>
      <c r="BK266" s="6">
        <f>_xlfn.IFNA(VLOOKUP(Grandview_Inventory[[#This Row],[condition]],Lookups!$H$17:$J$24,3,FALSE),0)</f>
        <v>-4503</v>
      </c>
      <c r="BL266" s="6">
        <f>Grandview_Inventory[[#This Row],[Eff_Age]]*Lookups!$B$14</f>
        <v>-10523.330399999999</v>
      </c>
      <c r="BM266" s="6">
        <f>Grandview_Inventory[[#This Row],[living_area]]*Lookups!$B$15</f>
        <v>140731.20436800001</v>
      </c>
      <c r="BN266" s="6">
        <f>Grandview_Inventory[[#This Row],[Fin BSMT]]*Lookups!$B$16</f>
        <v>0</v>
      </c>
      <c r="BO266" s="6">
        <f>(Grandview_Inventory[[#This Row],[att_gar]]+Grandview_Inventory[[#This Row],[bltin_gar]])*Lookups!$B$17</f>
        <v>50411.771712000002</v>
      </c>
      <c r="BP266" s="6">
        <f>Grandview_Inventory[[#This Row],[Plumbing Fixtures]]*Lookups!$B$18</f>
        <v>20104.418000000001</v>
      </c>
      <c r="BQ266" s="6">
        <f>Grandview_Inventory[[#This Row],[detatched_value]]*Lookups!$B$19</f>
        <v>0</v>
      </c>
      <c r="BR266" s="6">
        <f>SUM(Grandview_Inventory[[#This Row],[Intercept]:[det_value]])*Grandview_Inventory[[#This Row],[res_pct]]</f>
        <v>354306.01368000003</v>
      </c>
      <c r="BS266" s="6">
        <f>Grandview_Inventory[[#This Row],[land_value]]</f>
        <v>52639.730588165206</v>
      </c>
      <c r="BT266" s="4">
        <f>_xlfn.IFNA(VLOOKUP(Grandview_Inventory[[#This Row],[quality]],Lookups!$A$26:$C$33,3,FALSE),1)</f>
        <v>0.98763855981004833</v>
      </c>
      <c r="BU266" s="4">
        <f>_xlfn.IFNA(VLOOKUP(Grandview_Inventory[[#This Row],[condition]],Lookups!$A$37:$C$44,3,FALSE),1)</f>
        <v>0.96469275950863709</v>
      </c>
      <c r="BV266" s="4">
        <f>IF(Grandview_Inventory[[#This Row],[bldg_style]]="",1,_xlfn.IFNA(VLOOKUP(Grandview_Inventory[[#This Row],[decade]],Lookups!$F$29:$H$43,3,FALSE),1))</f>
        <v>0.9871940091910919</v>
      </c>
      <c r="BW266" s="4">
        <f>_xlfn.IFNA(VLOOKUP(Grandview_Inventory[[#This Row],[living_area_range]],Lookups!$F$47:$H$56,3,FALSE),1)</f>
        <v>0.95799442568048754</v>
      </c>
      <c r="BX266" s="4">
        <f>AVERAGE(Grandview_Inventory[[#This Row],[qual_adj]:[size_adj]])</f>
        <v>0.97437993854756622</v>
      </c>
      <c r="BY266" s="6">
        <f>IF(Grandview_Inventory[[#This Row],[pre_res]]&lt;0,0,Grandview_Inventory[[#This Row],[pre_res]]*Grandview_Inventory[[#This Row],[overall_adj]])</f>
        <v>345228.67183655157</v>
      </c>
      <c r="BZ266" s="6">
        <f>(Grandview_Inventory[[#This Row],[sum_land]]-IF(Grandview_Inventory[[#This Row],[no_utilities]]=1,12000,0))/IF(Grandview_Inventory[[#This Row],[unbuildable]]=1,2,1)</f>
        <v>52639.730588165206</v>
      </c>
      <c r="CA26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66">
        <f>ROUND(Grandview_Inventory[[#This Row],[det_value]]*Lookups!$M$28,-2)</f>
        <v>0</v>
      </c>
      <c r="CC266">
        <f>IF(ROUND(Grandview_Inventory[[#This Row],[adj_res]]*Lookups!$M$28,-2)&lt;Grandview_Inventory[[#This Row],[min_res]],Grandview_Inventory[[#This Row],[min_res]],ROUND(Grandview_Inventory[[#This Row],[adj_res]]*Lookups!$M$28,-2))</f>
        <v>328000</v>
      </c>
      <c r="CD266">
        <f>Grandview_Inventory[[#This Row],[final_det]]+Grandview_Inventory[[#This Row],[final_res]]</f>
        <v>328000</v>
      </c>
      <c r="CE266">
        <f>Grandview_Inventory[[#This Row],[final_land]]+Grandview_Inventory[[#This Row],[final_imp]]+Grandview_Inventory[[#This Row],[crop_value]]</f>
        <v>378000</v>
      </c>
      <c r="CG266" t="str">
        <f t="shared" si="4"/>
        <v>update valuation set market_land =50000, market_bldg=328000, market_total =378000, market_mdno =401, market_date ='9/10/2023' where link_id = (select link_id from parcel where parcel_year = '2024' and parcel_id = '23091443406');</v>
      </c>
    </row>
    <row r="267" spans="1:85" x14ac:dyDescent="0.25">
      <c r="A267">
        <v>23091443407</v>
      </c>
      <c r="B267">
        <v>0.25</v>
      </c>
      <c r="C267">
        <v>10941</v>
      </c>
      <c r="D267" t="s">
        <v>129</v>
      </c>
      <c r="E267" t="s">
        <v>53</v>
      </c>
      <c r="F267" t="s">
        <v>53</v>
      </c>
      <c r="G267">
        <v>4</v>
      </c>
      <c r="H267" t="s">
        <v>54</v>
      </c>
      <c r="I267">
        <v>225600</v>
      </c>
      <c r="J267">
        <v>40000</v>
      </c>
      <c r="K267">
        <v>0.25</v>
      </c>
      <c r="L26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67">
        <v>0</v>
      </c>
      <c r="N267">
        <v>0</v>
      </c>
      <c r="O267">
        <v>0</v>
      </c>
      <c r="P267">
        <v>13398.7528</v>
      </c>
      <c r="Q267">
        <v>63903</v>
      </c>
      <c r="R267">
        <f>(Grandview_Inventory[[#This Row],[ln_acres]]*Grandview_Inventory[[#This Row],[coeff]])+Grandview_Inventory[[#This Row],[const]]</f>
        <v>45328.38454732066</v>
      </c>
      <c r="S267" t="s">
        <v>61</v>
      </c>
      <c r="T267">
        <v>1</v>
      </c>
      <c r="U267" t="s">
        <v>65</v>
      </c>
      <c r="V267" t="s">
        <v>69</v>
      </c>
      <c r="W267">
        <v>0</v>
      </c>
      <c r="X267">
        <v>0</v>
      </c>
      <c r="Y267">
        <v>44</v>
      </c>
      <c r="Z267">
        <v>48</v>
      </c>
      <c r="AA267">
        <v>50</v>
      </c>
      <c r="AB267">
        <v>2000</v>
      </c>
      <c r="AC267">
        <v>1732</v>
      </c>
      <c r="AD267">
        <v>1732</v>
      </c>
      <c r="AE267">
        <v>0</v>
      </c>
      <c r="AF267">
        <v>0</v>
      </c>
      <c r="AG267">
        <v>0</v>
      </c>
      <c r="AH267">
        <v>0</v>
      </c>
      <c r="AI267">
        <v>504</v>
      </c>
      <c r="AJ267">
        <v>0</v>
      </c>
      <c r="AK267">
        <v>0</v>
      </c>
      <c r="AL267">
        <v>0</v>
      </c>
      <c r="AM267">
        <v>350</v>
      </c>
      <c r="AN267">
        <v>0</v>
      </c>
      <c r="AO267">
        <v>350</v>
      </c>
      <c r="AP267">
        <v>10</v>
      </c>
      <c r="AQ267">
        <v>1</v>
      </c>
      <c r="AR267">
        <v>0</v>
      </c>
      <c r="AS267" t="s">
        <v>58</v>
      </c>
      <c r="AT267">
        <v>1</v>
      </c>
      <c r="AU267" t="s">
        <v>63</v>
      </c>
      <c r="AV267" t="s">
        <v>60</v>
      </c>
      <c r="AW267">
        <v>1</v>
      </c>
      <c r="AX267">
        <v>3</v>
      </c>
      <c r="AY267">
        <v>0</v>
      </c>
      <c r="AZ267">
        <v>0</v>
      </c>
      <c r="BA267">
        <v>100</v>
      </c>
      <c r="BB267">
        <v>100</v>
      </c>
      <c r="BC267">
        <v>100</v>
      </c>
      <c r="BD267">
        <v>100</v>
      </c>
      <c r="BE267">
        <v>1</v>
      </c>
      <c r="BF267">
        <v>15000</v>
      </c>
      <c r="BG267">
        <v>1000</v>
      </c>
      <c r="BH267" s="6">
        <f>Grandview_Inventory[[#This Row],[land_extract]]*Lookups!$B$3</f>
        <v>52639.730588165206</v>
      </c>
      <c r="BI267" s="6">
        <f>IF(Grandview_Inventory[[#This Row],[bldg_style]]="",0,Lookups!$B$2)</f>
        <v>155833.95000000001</v>
      </c>
      <c r="BJ267" s="6">
        <f>_xlfn.IFNA(VLOOKUP(Grandview_Inventory[[#This Row],[quality]],Lookups!$H$2:$J$14,3,FALSE),0)</f>
        <v>2251</v>
      </c>
      <c r="BK267" s="6">
        <f>_xlfn.IFNA(VLOOKUP(Grandview_Inventory[[#This Row],[condition]],Lookups!$H$17:$J$24,3,FALSE),0)</f>
        <v>-4503</v>
      </c>
      <c r="BL267" s="6">
        <f>Grandview_Inventory[[#This Row],[Eff_Age]]*Lookups!$B$14</f>
        <v>-10523.330399999999</v>
      </c>
      <c r="BM267" s="6">
        <f>Grandview_Inventory[[#This Row],[living_area]]*Lookups!$B$15</f>
        <v>108043.63739600001</v>
      </c>
      <c r="BN267" s="6">
        <f>Grandview_Inventory[[#This Row],[Fin BSMT]]*Lookups!$B$16</f>
        <v>0</v>
      </c>
      <c r="BO267" s="6">
        <f>(Grandview_Inventory[[#This Row],[att_gar]]+Grandview_Inventory[[#This Row],[bltin_gar]])*Lookups!$B$17</f>
        <v>44110.300248</v>
      </c>
      <c r="BP267" s="6">
        <f>Grandview_Inventory[[#This Row],[Plumbing Fixtures]]*Lookups!$B$18</f>
        <v>20104.418000000001</v>
      </c>
      <c r="BQ267" s="6">
        <f>Grandview_Inventory[[#This Row],[detatched_value]]*Lookups!$B$19</f>
        <v>0</v>
      </c>
      <c r="BR267" s="6">
        <f>SUM(Grandview_Inventory[[#This Row],[Intercept]:[det_value]])*Grandview_Inventory[[#This Row],[res_pct]]</f>
        <v>315316.97524400003</v>
      </c>
      <c r="BS267" s="6">
        <f>Grandview_Inventory[[#This Row],[land_value]]</f>
        <v>52639.730588165206</v>
      </c>
      <c r="BT267" s="4">
        <f>_xlfn.IFNA(VLOOKUP(Grandview_Inventory[[#This Row],[quality]],Lookups!$A$26:$C$33,3,FALSE),1)</f>
        <v>0.98763855981004833</v>
      </c>
      <c r="BU267" s="4">
        <f>_xlfn.IFNA(VLOOKUP(Grandview_Inventory[[#This Row],[condition]],Lookups!$A$37:$C$44,3,FALSE),1)</f>
        <v>0.96469275950863709</v>
      </c>
      <c r="BV267" s="4">
        <f>IF(Grandview_Inventory[[#This Row],[bldg_style]]="",1,_xlfn.IFNA(VLOOKUP(Grandview_Inventory[[#This Row],[decade]],Lookups!$F$29:$H$43,3,FALSE),1))</f>
        <v>0.9871940091910919</v>
      </c>
      <c r="BW267" s="4">
        <f>_xlfn.IFNA(VLOOKUP(Grandview_Inventory[[#This Row],[living_area_range]],Lookups!$F$47:$H$56,3,FALSE),1)</f>
        <v>0.96120133463014379</v>
      </c>
      <c r="BX267" s="4">
        <f>AVERAGE(Grandview_Inventory[[#This Row],[qual_adj]:[size_adj]])</f>
        <v>0.97518166578498033</v>
      </c>
      <c r="BY267" s="6">
        <f>IF(Grandview_Inventory[[#This Row],[pre_res]]&lt;0,0,Grandview_Inventory[[#This Row],[pre_res]]*Grandview_Inventory[[#This Row],[overall_adj]])</f>
        <v>307491.33316872537</v>
      </c>
      <c r="BZ267" s="6">
        <f>(Grandview_Inventory[[#This Row],[sum_land]]-IF(Grandview_Inventory[[#This Row],[no_utilities]]=1,12000,0))/IF(Grandview_Inventory[[#This Row],[unbuildable]]=1,2,1)</f>
        <v>52639.730588165206</v>
      </c>
      <c r="CA26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67">
        <f>ROUND(Grandview_Inventory[[#This Row],[det_value]]*Lookups!$M$28,-2)</f>
        <v>0</v>
      </c>
      <c r="CC267">
        <f>IF(ROUND(Grandview_Inventory[[#This Row],[adj_res]]*Lookups!$M$28,-2)&lt;Grandview_Inventory[[#This Row],[min_res]],Grandview_Inventory[[#This Row],[min_res]],ROUND(Grandview_Inventory[[#This Row],[adj_res]]*Lookups!$M$28,-2))</f>
        <v>292100</v>
      </c>
      <c r="CD267">
        <f>Grandview_Inventory[[#This Row],[final_det]]+Grandview_Inventory[[#This Row],[final_res]]</f>
        <v>292100</v>
      </c>
      <c r="CE267">
        <f>Grandview_Inventory[[#This Row],[final_land]]+Grandview_Inventory[[#This Row],[final_imp]]+Grandview_Inventory[[#This Row],[crop_value]]</f>
        <v>342100</v>
      </c>
      <c r="CG267" t="str">
        <f t="shared" si="4"/>
        <v>update valuation set market_land =50000, market_bldg=292100, market_total =342100, market_mdno =401, market_date ='9/10/2023' where link_id = (select link_id from parcel where parcel_year = '2024' and parcel_id = '23091443407');</v>
      </c>
    </row>
    <row r="268" spans="1:85" x14ac:dyDescent="0.25">
      <c r="A268">
        <v>23091443408</v>
      </c>
      <c r="B268">
        <v>0.25</v>
      </c>
      <c r="C268">
        <v>10908</v>
      </c>
      <c r="D268" t="s">
        <v>129</v>
      </c>
      <c r="E268" t="s">
        <v>53</v>
      </c>
      <c r="F268" t="s">
        <v>53</v>
      </c>
      <c r="G268">
        <v>4</v>
      </c>
      <c r="H268" t="s">
        <v>54</v>
      </c>
      <c r="I268">
        <v>231500</v>
      </c>
      <c r="J268">
        <v>40000</v>
      </c>
      <c r="K268">
        <v>0.25</v>
      </c>
      <c r="L26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68">
        <v>0</v>
      </c>
      <c r="N268">
        <v>0</v>
      </c>
      <c r="O268">
        <v>0</v>
      </c>
      <c r="P268">
        <v>13398.7528</v>
      </c>
      <c r="Q268">
        <v>63903</v>
      </c>
      <c r="R268">
        <f>(Grandview_Inventory[[#This Row],[ln_acres]]*Grandview_Inventory[[#This Row],[coeff]])+Grandview_Inventory[[#This Row],[const]]</f>
        <v>45328.38454732066</v>
      </c>
      <c r="S268" t="s">
        <v>61</v>
      </c>
      <c r="T268">
        <v>1</v>
      </c>
      <c r="U268" t="s">
        <v>62</v>
      </c>
      <c r="V268" t="s">
        <v>67</v>
      </c>
      <c r="W268">
        <v>0</v>
      </c>
      <c r="X268">
        <v>0</v>
      </c>
      <c r="Y268">
        <v>45</v>
      </c>
      <c r="Z268">
        <v>50</v>
      </c>
      <c r="AA268">
        <v>50</v>
      </c>
      <c r="AB268">
        <v>2000</v>
      </c>
      <c r="AC268">
        <v>1872</v>
      </c>
      <c r="AD268">
        <v>1872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288</v>
      </c>
      <c r="AN268">
        <v>16</v>
      </c>
      <c r="AO268">
        <v>288</v>
      </c>
      <c r="AP268">
        <v>7</v>
      </c>
      <c r="AQ268">
        <v>0</v>
      </c>
      <c r="AR268">
        <v>1</v>
      </c>
      <c r="AS268" t="s">
        <v>58</v>
      </c>
      <c r="AT268">
        <v>1</v>
      </c>
      <c r="AU268" t="s">
        <v>63</v>
      </c>
      <c r="AV268" t="s">
        <v>60</v>
      </c>
      <c r="AW268">
        <v>1</v>
      </c>
      <c r="AX268">
        <v>3</v>
      </c>
      <c r="AY268">
        <v>0</v>
      </c>
      <c r="AZ268">
        <v>0</v>
      </c>
      <c r="BA268">
        <v>100</v>
      </c>
      <c r="BB268">
        <v>100</v>
      </c>
      <c r="BC268">
        <v>100</v>
      </c>
      <c r="BD268">
        <v>100</v>
      </c>
      <c r="BE268">
        <v>1</v>
      </c>
      <c r="BF268">
        <v>15000</v>
      </c>
      <c r="BG268">
        <v>1000</v>
      </c>
      <c r="BH268" s="6">
        <f>Grandview_Inventory[[#This Row],[land_extract]]*Lookups!$B$3</f>
        <v>52639.730588165206</v>
      </c>
      <c r="BI268" s="6">
        <f>IF(Grandview_Inventory[[#This Row],[bldg_style]]="",0,Lookups!$B$2)</f>
        <v>155833.95000000001</v>
      </c>
      <c r="BJ268" s="6">
        <f>_xlfn.IFNA(VLOOKUP(Grandview_Inventory[[#This Row],[quality]],Lookups!$H$2:$J$14,3,FALSE),0)</f>
        <v>9808</v>
      </c>
      <c r="BK268" s="6">
        <f>_xlfn.IFNA(VLOOKUP(Grandview_Inventory[[#This Row],[condition]],Lookups!$H$17:$J$24,3,FALSE),0)</f>
        <v>22342</v>
      </c>
      <c r="BL268" s="6">
        <f>Grandview_Inventory[[#This Row],[Eff_Age]]*Lookups!$B$14</f>
        <v>-10762.496999999999</v>
      </c>
      <c r="BM268" s="6">
        <f>Grandview_Inventory[[#This Row],[living_area]]*Lookups!$B$15</f>
        <v>116776.95681600001</v>
      </c>
      <c r="BN268" s="6">
        <f>Grandview_Inventory[[#This Row],[Fin BSMT]]*Lookups!$B$16</f>
        <v>0</v>
      </c>
      <c r="BO268" s="6">
        <f>(Grandview_Inventory[[#This Row],[att_gar]]+Grandview_Inventory[[#This Row],[bltin_gar]])*Lookups!$B$17</f>
        <v>0</v>
      </c>
      <c r="BP268" s="6">
        <f>Grandview_Inventory[[#This Row],[Plumbing Fixtures]]*Lookups!$B$18</f>
        <v>14073.0926</v>
      </c>
      <c r="BQ268" s="6">
        <f>Grandview_Inventory[[#This Row],[detatched_value]]*Lookups!$B$19</f>
        <v>0</v>
      </c>
      <c r="BR268" s="6">
        <f>SUM(Grandview_Inventory[[#This Row],[Intercept]:[det_value]])*Grandview_Inventory[[#This Row],[res_pct]]</f>
        <v>308071.502416</v>
      </c>
      <c r="BS268" s="6">
        <f>Grandview_Inventory[[#This Row],[land_value]]</f>
        <v>52639.730588165206</v>
      </c>
      <c r="BT268" s="4">
        <f>_xlfn.IFNA(VLOOKUP(Grandview_Inventory[[#This Row],[quality]],Lookups!$A$26:$C$33,3,FALSE),1)</f>
        <v>0.94295468617355149</v>
      </c>
      <c r="BU268" s="4">
        <f>_xlfn.IFNA(VLOOKUP(Grandview_Inventory[[#This Row],[condition]],Lookups!$A$37:$C$44,3,FALSE),1)</f>
        <v>0.97383723671140243</v>
      </c>
      <c r="BV268" s="4">
        <f>IF(Grandview_Inventory[[#This Row],[bldg_style]]="",1,_xlfn.IFNA(VLOOKUP(Grandview_Inventory[[#This Row],[decade]],Lookups!$F$29:$H$43,3,FALSE),1))</f>
        <v>0.9871940091910919</v>
      </c>
      <c r="BW268" s="4">
        <f>_xlfn.IFNA(VLOOKUP(Grandview_Inventory[[#This Row],[living_area_range]],Lookups!$F$47:$H$56,3,FALSE),1)</f>
        <v>0.96120133463014379</v>
      </c>
      <c r="BX268" s="4">
        <f>AVERAGE(Grandview_Inventory[[#This Row],[qual_adj]:[size_adj]])</f>
        <v>0.96629681667654732</v>
      </c>
      <c r="BY268" s="6">
        <f>IF(Grandview_Inventory[[#This Row],[pre_res]]&lt;0,0,Grandview_Inventory[[#This Row],[pre_res]]*Grandview_Inventory[[#This Row],[overall_adj]])</f>
        <v>297688.51209334208</v>
      </c>
      <c r="BZ268" s="6">
        <f>(Grandview_Inventory[[#This Row],[sum_land]]-IF(Grandview_Inventory[[#This Row],[no_utilities]]=1,12000,0))/IF(Grandview_Inventory[[#This Row],[unbuildable]]=1,2,1)</f>
        <v>52639.730588165206</v>
      </c>
      <c r="CA26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68">
        <f>ROUND(Grandview_Inventory[[#This Row],[det_value]]*Lookups!$M$28,-2)</f>
        <v>0</v>
      </c>
      <c r="CC268">
        <f>IF(ROUND(Grandview_Inventory[[#This Row],[adj_res]]*Lookups!$M$28,-2)&lt;Grandview_Inventory[[#This Row],[min_res]],Grandview_Inventory[[#This Row],[min_res]],ROUND(Grandview_Inventory[[#This Row],[adj_res]]*Lookups!$M$28,-2))</f>
        <v>282800</v>
      </c>
      <c r="CD268">
        <f>Grandview_Inventory[[#This Row],[final_det]]+Grandview_Inventory[[#This Row],[final_res]]</f>
        <v>282800</v>
      </c>
      <c r="CE268">
        <f>Grandview_Inventory[[#This Row],[final_land]]+Grandview_Inventory[[#This Row],[final_imp]]+Grandview_Inventory[[#This Row],[crop_value]]</f>
        <v>332800</v>
      </c>
      <c r="CG268" t="str">
        <f t="shared" si="4"/>
        <v>update valuation set market_land =50000, market_bldg=282800, market_total =332800, market_mdno =401, market_date ='9/10/2023' where link_id = (select link_id from parcel where parcel_year = '2024' and parcel_id = '23091443408');</v>
      </c>
    </row>
    <row r="269" spans="1:85" x14ac:dyDescent="0.25">
      <c r="A269">
        <v>23091443409</v>
      </c>
      <c r="B269">
        <v>0.25</v>
      </c>
      <c r="C269">
        <v>10908</v>
      </c>
      <c r="D269" t="s">
        <v>129</v>
      </c>
      <c r="E269" t="s">
        <v>53</v>
      </c>
      <c r="F269" t="s">
        <v>53</v>
      </c>
      <c r="G269">
        <v>4</v>
      </c>
      <c r="H269" t="s">
        <v>54</v>
      </c>
      <c r="I269">
        <v>232800</v>
      </c>
      <c r="J269">
        <v>44400</v>
      </c>
      <c r="K269">
        <v>0.25</v>
      </c>
      <c r="L26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69">
        <v>0</v>
      </c>
      <c r="N269">
        <v>0</v>
      </c>
      <c r="O269">
        <v>0</v>
      </c>
      <c r="P269">
        <v>13398.7528</v>
      </c>
      <c r="Q269">
        <v>63903</v>
      </c>
      <c r="R269">
        <f>(Grandview_Inventory[[#This Row],[ln_acres]]*Grandview_Inventory[[#This Row],[coeff]])+Grandview_Inventory[[#This Row],[const]]</f>
        <v>45328.38454732066</v>
      </c>
      <c r="S269" t="s">
        <v>61</v>
      </c>
      <c r="T269">
        <v>1</v>
      </c>
      <c r="U269" t="s">
        <v>65</v>
      </c>
      <c r="V269" t="s">
        <v>67</v>
      </c>
      <c r="W269">
        <v>0</v>
      </c>
      <c r="X269">
        <v>0</v>
      </c>
      <c r="Y269">
        <v>45</v>
      </c>
      <c r="Z269">
        <v>50</v>
      </c>
      <c r="AA269">
        <v>50</v>
      </c>
      <c r="AB269">
        <v>1500</v>
      </c>
      <c r="AC269">
        <v>1296</v>
      </c>
      <c r="AD269">
        <v>1296</v>
      </c>
      <c r="AE269">
        <v>0</v>
      </c>
      <c r="AF269">
        <v>0</v>
      </c>
      <c r="AG269">
        <v>0</v>
      </c>
      <c r="AH269">
        <v>0</v>
      </c>
      <c r="AI269">
        <v>528</v>
      </c>
      <c r="AJ269">
        <v>0</v>
      </c>
      <c r="AK269">
        <v>0</v>
      </c>
      <c r="AL269">
        <v>0</v>
      </c>
      <c r="AM269">
        <v>64</v>
      </c>
      <c r="AN269">
        <v>0</v>
      </c>
      <c r="AO269">
        <v>0</v>
      </c>
      <c r="AP269">
        <v>7</v>
      </c>
      <c r="AQ269">
        <v>0</v>
      </c>
      <c r="AR269">
        <v>1</v>
      </c>
      <c r="AS269" t="s">
        <v>58</v>
      </c>
      <c r="AT269">
        <v>1</v>
      </c>
      <c r="AU269" t="s">
        <v>59</v>
      </c>
      <c r="AV269" t="s">
        <v>60</v>
      </c>
      <c r="AW269">
        <v>1</v>
      </c>
      <c r="AX269">
        <v>3</v>
      </c>
      <c r="AY269">
        <v>0</v>
      </c>
      <c r="AZ269">
        <v>0</v>
      </c>
      <c r="BA269">
        <v>100</v>
      </c>
      <c r="BB269">
        <v>100</v>
      </c>
      <c r="BC269">
        <v>100</v>
      </c>
      <c r="BD269">
        <v>100</v>
      </c>
      <c r="BE269">
        <v>1</v>
      </c>
      <c r="BF269">
        <v>15000</v>
      </c>
      <c r="BG269">
        <v>1000</v>
      </c>
      <c r="BH269" s="6">
        <f>Grandview_Inventory[[#This Row],[land_extract]]*Lookups!$B$3</f>
        <v>52639.730588165206</v>
      </c>
      <c r="BI269" s="6">
        <f>IF(Grandview_Inventory[[#This Row],[bldg_style]]="",0,Lookups!$B$2)</f>
        <v>155833.95000000001</v>
      </c>
      <c r="BJ269" s="6">
        <f>_xlfn.IFNA(VLOOKUP(Grandview_Inventory[[#This Row],[quality]],Lookups!$H$2:$J$14,3,FALSE),0)</f>
        <v>2251</v>
      </c>
      <c r="BK269" s="6">
        <f>_xlfn.IFNA(VLOOKUP(Grandview_Inventory[[#This Row],[condition]],Lookups!$H$17:$J$24,3,FALSE),0)</f>
        <v>22342</v>
      </c>
      <c r="BL269" s="6">
        <f>Grandview_Inventory[[#This Row],[Eff_Age]]*Lookups!$B$14</f>
        <v>-10762.496999999999</v>
      </c>
      <c r="BM269" s="6">
        <f>Grandview_Inventory[[#This Row],[living_area]]*Lookups!$B$15</f>
        <v>80845.585487999997</v>
      </c>
      <c r="BN269" s="6">
        <f>Grandview_Inventory[[#This Row],[Fin BSMT]]*Lookups!$B$16</f>
        <v>0</v>
      </c>
      <c r="BO269" s="6">
        <f>(Grandview_Inventory[[#This Row],[att_gar]]+Grandview_Inventory[[#This Row],[bltin_gar]])*Lookups!$B$17</f>
        <v>46210.790736000003</v>
      </c>
      <c r="BP269" s="6">
        <f>Grandview_Inventory[[#This Row],[Plumbing Fixtures]]*Lookups!$B$18</f>
        <v>14073.0926</v>
      </c>
      <c r="BQ269" s="6">
        <f>Grandview_Inventory[[#This Row],[detatched_value]]*Lookups!$B$19</f>
        <v>0</v>
      </c>
      <c r="BR269" s="6">
        <f>SUM(Grandview_Inventory[[#This Row],[Intercept]:[det_value]])*Grandview_Inventory[[#This Row],[res_pct]]</f>
        <v>310793.92182399996</v>
      </c>
      <c r="BS269" s="6">
        <f>Grandview_Inventory[[#This Row],[land_value]]</f>
        <v>52639.730588165206</v>
      </c>
      <c r="BT269" s="4">
        <f>_xlfn.IFNA(VLOOKUP(Grandview_Inventory[[#This Row],[quality]],Lookups!$A$26:$C$33,3,FALSE),1)</f>
        <v>0.98763855981004833</v>
      </c>
      <c r="BU269" s="4">
        <f>_xlfn.IFNA(VLOOKUP(Grandview_Inventory[[#This Row],[condition]],Lookups!$A$37:$C$44,3,FALSE),1)</f>
        <v>0.97383723671140243</v>
      </c>
      <c r="BV269" s="4">
        <f>IF(Grandview_Inventory[[#This Row],[bldg_style]]="",1,_xlfn.IFNA(VLOOKUP(Grandview_Inventory[[#This Row],[decade]],Lookups!$F$29:$H$43,3,FALSE),1))</f>
        <v>0.9871940091910919</v>
      </c>
      <c r="BW269" s="4">
        <f>_xlfn.IFNA(VLOOKUP(Grandview_Inventory[[#This Row],[living_area_range]],Lookups!$F$47:$H$56,3,FALSE),1)</f>
        <v>0.96135087979789358</v>
      </c>
      <c r="BX269" s="4">
        <f>AVERAGE(Grandview_Inventory[[#This Row],[qual_adj]:[size_adj]])</f>
        <v>0.97750517137760906</v>
      </c>
      <c r="BY269" s="6">
        <f>IF(Grandview_Inventory[[#This Row],[pre_res]]&lt;0,0,Grandview_Inventory[[#This Row],[pre_res]]*Grandview_Inventory[[#This Row],[overall_adj]])</f>
        <v>303802.66581568832</v>
      </c>
      <c r="BZ269" s="6">
        <f>(Grandview_Inventory[[#This Row],[sum_land]]-IF(Grandview_Inventory[[#This Row],[no_utilities]]=1,12000,0))/IF(Grandview_Inventory[[#This Row],[unbuildable]]=1,2,1)</f>
        <v>52639.730588165206</v>
      </c>
      <c r="CA26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69">
        <f>ROUND(Grandview_Inventory[[#This Row],[det_value]]*Lookups!$M$28,-2)</f>
        <v>0</v>
      </c>
      <c r="CC269">
        <f>IF(ROUND(Grandview_Inventory[[#This Row],[adj_res]]*Lookups!$M$28,-2)&lt;Grandview_Inventory[[#This Row],[min_res]],Grandview_Inventory[[#This Row],[min_res]],ROUND(Grandview_Inventory[[#This Row],[adj_res]]*Lookups!$M$28,-2))</f>
        <v>288600</v>
      </c>
      <c r="CD269">
        <f>Grandview_Inventory[[#This Row],[final_det]]+Grandview_Inventory[[#This Row],[final_res]]</f>
        <v>288600</v>
      </c>
      <c r="CE269">
        <f>Grandview_Inventory[[#This Row],[final_land]]+Grandview_Inventory[[#This Row],[final_imp]]+Grandview_Inventory[[#This Row],[crop_value]]</f>
        <v>338600</v>
      </c>
      <c r="CG269" t="str">
        <f t="shared" si="4"/>
        <v>update valuation set market_land =50000, market_bldg=288600, market_total =338600, market_mdno =401, market_date ='9/10/2023' where link_id = (select link_id from parcel where parcel_year = '2024' and parcel_id = '23091443409');</v>
      </c>
    </row>
    <row r="270" spans="1:85" x14ac:dyDescent="0.25">
      <c r="A270">
        <v>23091443410</v>
      </c>
      <c r="B270">
        <v>0.24</v>
      </c>
      <c r="C270">
        <v>10321</v>
      </c>
      <c r="D270" t="s">
        <v>129</v>
      </c>
      <c r="E270" t="s">
        <v>53</v>
      </c>
      <c r="F270" t="s">
        <v>53</v>
      </c>
      <c r="G270">
        <v>4</v>
      </c>
      <c r="H270" t="s">
        <v>54</v>
      </c>
      <c r="I270">
        <v>189900</v>
      </c>
      <c r="J270">
        <v>39800</v>
      </c>
      <c r="K270">
        <v>0.24</v>
      </c>
      <c r="L27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70">
        <v>0</v>
      </c>
      <c r="N270">
        <v>0</v>
      </c>
      <c r="O270">
        <v>0</v>
      </c>
      <c r="P270">
        <v>13398.7528</v>
      </c>
      <c r="Q270">
        <v>63903</v>
      </c>
      <c r="R270">
        <f>(Grandview_Inventory[[#This Row],[ln_acres]]*Grandview_Inventory[[#This Row],[coeff]])+Grandview_Inventory[[#This Row],[const]]</f>
        <v>44781.420733940802</v>
      </c>
      <c r="S270" t="s">
        <v>61</v>
      </c>
      <c r="T270">
        <v>1</v>
      </c>
      <c r="U270" t="s">
        <v>65</v>
      </c>
      <c r="V270" t="s">
        <v>69</v>
      </c>
      <c r="W270">
        <v>0</v>
      </c>
      <c r="X270">
        <v>0</v>
      </c>
      <c r="Y270">
        <v>44</v>
      </c>
      <c r="Z270">
        <v>48</v>
      </c>
      <c r="AA270">
        <v>50</v>
      </c>
      <c r="AB270">
        <v>1500</v>
      </c>
      <c r="AC270">
        <v>1392</v>
      </c>
      <c r="AD270">
        <v>1392</v>
      </c>
      <c r="AE270">
        <v>0</v>
      </c>
      <c r="AF270">
        <v>0</v>
      </c>
      <c r="AG270">
        <v>0</v>
      </c>
      <c r="AH270">
        <v>0</v>
      </c>
      <c r="AI270">
        <v>504</v>
      </c>
      <c r="AJ270">
        <v>0</v>
      </c>
      <c r="AK270">
        <v>0</v>
      </c>
      <c r="AL270">
        <v>0</v>
      </c>
      <c r="AM270">
        <v>288</v>
      </c>
      <c r="AN270">
        <v>0</v>
      </c>
      <c r="AO270">
        <v>288</v>
      </c>
      <c r="AP270">
        <v>7</v>
      </c>
      <c r="AQ270">
        <v>0</v>
      </c>
      <c r="AR270">
        <v>0</v>
      </c>
      <c r="AS270" t="s">
        <v>58</v>
      </c>
      <c r="AT270">
        <v>1</v>
      </c>
      <c r="AU270" t="s">
        <v>63</v>
      </c>
      <c r="AV270" t="s">
        <v>60</v>
      </c>
      <c r="AW270">
        <v>1</v>
      </c>
      <c r="AX270">
        <v>3</v>
      </c>
      <c r="AY270">
        <v>0</v>
      </c>
      <c r="AZ270">
        <v>0</v>
      </c>
      <c r="BA270">
        <v>100</v>
      </c>
      <c r="BB270">
        <v>100</v>
      </c>
      <c r="BC270">
        <v>100</v>
      </c>
      <c r="BD270">
        <v>100</v>
      </c>
      <c r="BE270">
        <v>1</v>
      </c>
      <c r="BF270">
        <v>15000</v>
      </c>
      <c r="BG270">
        <v>1000</v>
      </c>
      <c r="BH270" s="6">
        <f>Grandview_Inventory[[#This Row],[land_extract]]*Lookups!$B$3</f>
        <v>52004.542988489469</v>
      </c>
      <c r="BI270" s="6">
        <f>IF(Grandview_Inventory[[#This Row],[bldg_style]]="",0,Lookups!$B$2)</f>
        <v>155833.95000000001</v>
      </c>
      <c r="BJ270" s="6">
        <f>_xlfn.IFNA(VLOOKUP(Grandview_Inventory[[#This Row],[quality]],Lookups!$H$2:$J$14,3,FALSE),0)</f>
        <v>2251</v>
      </c>
      <c r="BK270" s="6">
        <f>_xlfn.IFNA(VLOOKUP(Grandview_Inventory[[#This Row],[condition]],Lookups!$H$17:$J$24,3,FALSE),0)</f>
        <v>-4503</v>
      </c>
      <c r="BL270" s="6">
        <f>Grandview_Inventory[[#This Row],[Eff_Age]]*Lookups!$B$14</f>
        <v>-10523.330399999999</v>
      </c>
      <c r="BM270" s="6">
        <f>Grandview_Inventory[[#This Row],[living_area]]*Lookups!$B$15</f>
        <v>86834.147376000008</v>
      </c>
      <c r="BN270" s="6">
        <f>Grandview_Inventory[[#This Row],[Fin BSMT]]*Lookups!$B$16</f>
        <v>0</v>
      </c>
      <c r="BO270" s="6">
        <f>(Grandview_Inventory[[#This Row],[att_gar]]+Grandview_Inventory[[#This Row],[bltin_gar]])*Lookups!$B$17</f>
        <v>44110.300248</v>
      </c>
      <c r="BP270" s="6">
        <f>Grandview_Inventory[[#This Row],[Plumbing Fixtures]]*Lookups!$B$18</f>
        <v>14073.0926</v>
      </c>
      <c r="BQ270" s="6">
        <f>Grandview_Inventory[[#This Row],[detatched_value]]*Lookups!$B$19</f>
        <v>0</v>
      </c>
      <c r="BR270" s="6">
        <f>SUM(Grandview_Inventory[[#This Row],[Intercept]:[det_value]])*Grandview_Inventory[[#This Row],[res_pct]]</f>
        <v>288076.15982399997</v>
      </c>
      <c r="BS270" s="6">
        <f>Grandview_Inventory[[#This Row],[land_value]]</f>
        <v>52004.542988489469</v>
      </c>
      <c r="BT270" s="4">
        <f>_xlfn.IFNA(VLOOKUP(Grandview_Inventory[[#This Row],[quality]],Lookups!$A$26:$C$33,3,FALSE),1)</f>
        <v>0.98763855981004833</v>
      </c>
      <c r="BU270" s="4">
        <f>_xlfn.IFNA(VLOOKUP(Grandview_Inventory[[#This Row],[condition]],Lookups!$A$37:$C$44,3,FALSE),1)</f>
        <v>0.96469275950863709</v>
      </c>
      <c r="BV270" s="4">
        <f>IF(Grandview_Inventory[[#This Row],[bldg_style]]="",1,_xlfn.IFNA(VLOOKUP(Grandview_Inventory[[#This Row],[decade]],Lookups!$F$29:$H$43,3,FALSE),1))</f>
        <v>0.9871940091910919</v>
      </c>
      <c r="BW270" s="4">
        <f>_xlfn.IFNA(VLOOKUP(Grandview_Inventory[[#This Row],[living_area_range]],Lookups!$F$47:$H$56,3,FALSE),1)</f>
        <v>0.96135087979789358</v>
      </c>
      <c r="BX270" s="4">
        <f>AVERAGE(Grandview_Inventory[[#This Row],[qual_adj]:[size_adj]])</f>
        <v>0.97521905207691773</v>
      </c>
      <c r="BY270" s="6">
        <f>IF(Grandview_Inventory[[#This Row],[pre_res]]&lt;0,0,Grandview_Inventory[[#This Row],[pre_res]]*Grandview_Inventory[[#This Row],[overall_adj]])</f>
        <v>280937.35950951988</v>
      </c>
      <c r="BZ270" s="6">
        <f>(Grandview_Inventory[[#This Row],[sum_land]]-IF(Grandview_Inventory[[#This Row],[no_utilities]]=1,12000,0))/IF(Grandview_Inventory[[#This Row],[unbuildable]]=1,2,1)</f>
        <v>52004.542988489469</v>
      </c>
      <c r="CA27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70">
        <f>ROUND(Grandview_Inventory[[#This Row],[det_value]]*Lookups!$M$28,-2)</f>
        <v>0</v>
      </c>
      <c r="CC270">
        <f>IF(ROUND(Grandview_Inventory[[#This Row],[adj_res]]*Lookups!$M$28,-2)&lt;Grandview_Inventory[[#This Row],[min_res]],Grandview_Inventory[[#This Row],[min_res]],ROUND(Grandview_Inventory[[#This Row],[adj_res]]*Lookups!$M$28,-2))</f>
        <v>266900</v>
      </c>
      <c r="CD270">
        <f>Grandview_Inventory[[#This Row],[final_det]]+Grandview_Inventory[[#This Row],[final_res]]</f>
        <v>266900</v>
      </c>
      <c r="CE270">
        <f>Grandview_Inventory[[#This Row],[final_land]]+Grandview_Inventory[[#This Row],[final_imp]]+Grandview_Inventory[[#This Row],[crop_value]]</f>
        <v>316300</v>
      </c>
      <c r="CG270" t="str">
        <f t="shared" si="4"/>
        <v>update valuation set market_land =49400, market_bldg=266900, market_total =316300, market_mdno =401, market_date ='9/10/2023' where link_id = (select link_id from parcel where parcel_year = '2024' and parcel_id = '23091443410');</v>
      </c>
    </row>
    <row r="271" spans="1:85" x14ac:dyDescent="0.25">
      <c r="A271">
        <v>23091443411</v>
      </c>
      <c r="B271">
        <v>0.25</v>
      </c>
      <c r="C271">
        <v>10803</v>
      </c>
      <c r="D271" t="s">
        <v>129</v>
      </c>
      <c r="E271" t="s">
        <v>53</v>
      </c>
      <c r="F271" t="s">
        <v>53</v>
      </c>
      <c r="G271">
        <v>4</v>
      </c>
      <c r="H271" t="s">
        <v>54</v>
      </c>
      <c r="I271">
        <v>230700</v>
      </c>
      <c r="J271">
        <v>40000</v>
      </c>
      <c r="K271">
        <v>0.25</v>
      </c>
      <c r="L27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71">
        <v>0</v>
      </c>
      <c r="N271">
        <v>0</v>
      </c>
      <c r="O271">
        <v>0</v>
      </c>
      <c r="P271">
        <v>13398.7528</v>
      </c>
      <c r="Q271">
        <v>63903</v>
      </c>
      <c r="R271">
        <f>(Grandview_Inventory[[#This Row],[ln_acres]]*Grandview_Inventory[[#This Row],[coeff]])+Grandview_Inventory[[#This Row],[const]]</f>
        <v>45328.38454732066</v>
      </c>
      <c r="S271" t="s">
        <v>61</v>
      </c>
      <c r="T271">
        <v>1</v>
      </c>
      <c r="U271" t="s">
        <v>65</v>
      </c>
      <c r="V271" t="s">
        <v>67</v>
      </c>
      <c r="W271">
        <v>0</v>
      </c>
      <c r="X271">
        <v>0</v>
      </c>
      <c r="Y271">
        <v>44</v>
      </c>
      <c r="Z271">
        <v>48</v>
      </c>
      <c r="AA271">
        <v>50</v>
      </c>
      <c r="AB271">
        <v>1500</v>
      </c>
      <c r="AC271">
        <v>1419</v>
      </c>
      <c r="AD271">
        <v>1419</v>
      </c>
      <c r="AE271">
        <v>0</v>
      </c>
      <c r="AF271">
        <v>0</v>
      </c>
      <c r="AG271">
        <v>0</v>
      </c>
      <c r="AH271">
        <v>0</v>
      </c>
      <c r="AI271">
        <v>588</v>
      </c>
      <c r="AJ271">
        <v>0</v>
      </c>
      <c r="AK271">
        <v>0</v>
      </c>
      <c r="AL271">
        <v>0</v>
      </c>
      <c r="AM271">
        <v>160</v>
      </c>
      <c r="AN271">
        <v>20</v>
      </c>
      <c r="AO271">
        <v>160</v>
      </c>
      <c r="AP271">
        <v>7</v>
      </c>
      <c r="AQ271">
        <v>0</v>
      </c>
      <c r="AR271">
        <v>0</v>
      </c>
      <c r="AS271" t="s">
        <v>58</v>
      </c>
      <c r="AT271">
        <v>1</v>
      </c>
      <c r="AU271" t="s">
        <v>59</v>
      </c>
      <c r="AV271" t="s">
        <v>60</v>
      </c>
      <c r="AW271">
        <v>1</v>
      </c>
      <c r="AX271">
        <v>3</v>
      </c>
      <c r="AY271">
        <v>0</v>
      </c>
      <c r="AZ271">
        <v>0</v>
      </c>
      <c r="BA271">
        <v>100</v>
      </c>
      <c r="BB271">
        <v>100</v>
      </c>
      <c r="BC271">
        <v>100</v>
      </c>
      <c r="BD271">
        <v>100</v>
      </c>
      <c r="BE271">
        <v>1</v>
      </c>
      <c r="BF271">
        <v>15000</v>
      </c>
      <c r="BG271">
        <v>1000</v>
      </c>
      <c r="BH271" s="6">
        <f>Grandview_Inventory[[#This Row],[land_extract]]*Lookups!$B$3</f>
        <v>52639.730588165206</v>
      </c>
      <c r="BI271" s="6">
        <f>IF(Grandview_Inventory[[#This Row],[bldg_style]]="",0,Lookups!$B$2)</f>
        <v>155833.95000000001</v>
      </c>
      <c r="BJ271" s="6">
        <f>_xlfn.IFNA(VLOOKUP(Grandview_Inventory[[#This Row],[quality]],Lookups!$H$2:$J$14,3,FALSE),0)</f>
        <v>2251</v>
      </c>
      <c r="BK271" s="6">
        <f>_xlfn.IFNA(VLOOKUP(Grandview_Inventory[[#This Row],[condition]],Lookups!$H$17:$J$24,3,FALSE),0)</f>
        <v>22342</v>
      </c>
      <c r="BL271" s="6">
        <f>Grandview_Inventory[[#This Row],[Eff_Age]]*Lookups!$B$14</f>
        <v>-10523.330399999999</v>
      </c>
      <c r="BM271" s="6">
        <f>Grandview_Inventory[[#This Row],[living_area]]*Lookups!$B$15</f>
        <v>88518.430407000007</v>
      </c>
      <c r="BN271" s="6">
        <f>Grandview_Inventory[[#This Row],[Fin BSMT]]*Lookups!$B$16</f>
        <v>0</v>
      </c>
      <c r="BO271" s="6">
        <f>(Grandview_Inventory[[#This Row],[att_gar]]+Grandview_Inventory[[#This Row],[bltin_gar]])*Lookups!$B$17</f>
        <v>51462.016955999999</v>
      </c>
      <c r="BP271" s="6">
        <f>Grandview_Inventory[[#This Row],[Plumbing Fixtures]]*Lookups!$B$18</f>
        <v>14073.0926</v>
      </c>
      <c r="BQ271" s="6">
        <f>Grandview_Inventory[[#This Row],[detatched_value]]*Lookups!$B$19</f>
        <v>0</v>
      </c>
      <c r="BR271" s="6">
        <f>SUM(Grandview_Inventory[[#This Row],[Intercept]:[det_value]])*Grandview_Inventory[[#This Row],[res_pct]]</f>
        <v>323957.15956299996</v>
      </c>
      <c r="BS271" s="6">
        <f>Grandview_Inventory[[#This Row],[land_value]]</f>
        <v>52639.730588165206</v>
      </c>
      <c r="BT271" s="4">
        <f>_xlfn.IFNA(VLOOKUP(Grandview_Inventory[[#This Row],[quality]],Lookups!$A$26:$C$33,3,FALSE),1)</f>
        <v>0.98763855981004833</v>
      </c>
      <c r="BU271" s="4">
        <f>_xlfn.IFNA(VLOOKUP(Grandview_Inventory[[#This Row],[condition]],Lookups!$A$37:$C$44,3,FALSE),1)</f>
        <v>0.97383723671140243</v>
      </c>
      <c r="BV271" s="4">
        <f>IF(Grandview_Inventory[[#This Row],[bldg_style]]="",1,_xlfn.IFNA(VLOOKUP(Grandview_Inventory[[#This Row],[decade]],Lookups!$F$29:$H$43,3,FALSE),1))</f>
        <v>0.9871940091910919</v>
      </c>
      <c r="BW271" s="4">
        <f>_xlfn.IFNA(VLOOKUP(Grandview_Inventory[[#This Row],[living_area_range]],Lookups!$F$47:$H$56,3,FALSE),1)</f>
        <v>0.96135087979789358</v>
      </c>
      <c r="BX271" s="4">
        <f>AVERAGE(Grandview_Inventory[[#This Row],[qual_adj]:[size_adj]])</f>
        <v>0.97750517137760906</v>
      </c>
      <c r="BY271" s="6">
        <f>IF(Grandview_Inventory[[#This Row],[pre_res]]&lt;0,0,Grandview_Inventory[[#This Row],[pre_res]]*Grandview_Inventory[[#This Row],[overall_adj]])</f>
        <v>316669.7987776337</v>
      </c>
      <c r="BZ271" s="6">
        <f>(Grandview_Inventory[[#This Row],[sum_land]]-IF(Grandview_Inventory[[#This Row],[no_utilities]]=1,12000,0))/IF(Grandview_Inventory[[#This Row],[unbuildable]]=1,2,1)</f>
        <v>52639.730588165206</v>
      </c>
      <c r="CA27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71">
        <f>ROUND(Grandview_Inventory[[#This Row],[det_value]]*Lookups!$M$28,-2)</f>
        <v>0</v>
      </c>
      <c r="CC271">
        <f>IF(ROUND(Grandview_Inventory[[#This Row],[adj_res]]*Lookups!$M$28,-2)&lt;Grandview_Inventory[[#This Row],[min_res]],Grandview_Inventory[[#This Row],[min_res]],ROUND(Grandview_Inventory[[#This Row],[adj_res]]*Lookups!$M$28,-2))</f>
        <v>300800</v>
      </c>
      <c r="CD271">
        <f>Grandview_Inventory[[#This Row],[final_det]]+Grandview_Inventory[[#This Row],[final_res]]</f>
        <v>300800</v>
      </c>
      <c r="CE271">
        <f>Grandview_Inventory[[#This Row],[final_land]]+Grandview_Inventory[[#This Row],[final_imp]]+Grandview_Inventory[[#This Row],[crop_value]]</f>
        <v>350800</v>
      </c>
      <c r="CG271" t="str">
        <f t="shared" si="4"/>
        <v>update valuation set market_land =50000, market_bldg=300800, market_total =350800, market_mdno =401, market_date ='9/10/2023' where link_id = (select link_id from parcel where parcel_year = '2024' and parcel_id = '23091443411');</v>
      </c>
    </row>
    <row r="272" spans="1:85" x14ac:dyDescent="0.25">
      <c r="A272">
        <v>23091443412</v>
      </c>
      <c r="B272">
        <v>0.26</v>
      </c>
      <c r="C272">
        <v>11450</v>
      </c>
      <c r="D272" t="s">
        <v>129</v>
      </c>
      <c r="E272" t="s">
        <v>53</v>
      </c>
      <c r="F272" t="s">
        <v>53</v>
      </c>
      <c r="G272">
        <v>4</v>
      </c>
      <c r="H272" t="s">
        <v>54</v>
      </c>
      <c r="I272">
        <v>232300</v>
      </c>
      <c r="J272">
        <v>40200</v>
      </c>
      <c r="K272">
        <v>0.26</v>
      </c>
      <c r="L27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72">
        <v>0</v>
      </c>
      <c r="N272">
        <v>0</v>
      </c>
      <c r="O272">
        <v>0</v>
      </c>
      <c r="P272">
        <v>13398.7528</v>
      </c>
      <c r="Q272">
        <v>63903</v>
      </c>
      <c r="R272">
        <f>(Grandview_Inventory[[#This Row],[ln_acres]]*Grandview_Inventory[[#This Row],[coeff]])+Grandview_Inventory[[#This Row],[const]]</f>
        <v>45853.893187501177</v>
      </c>
      <c r="S272" t="s">
        <v>61</v>
      </c>
      <c r="T272">
        <v>1</v>
      </c>
      <c r="U272" t="s">
        <v>65</v>
      </c>
      <c r="V272" t="s">
        <v>67</v>
      </c>
      <c r="W272">
        <v>0</v>
      </c>
      <c r="X272">
        <v>0</v>
      </c>
      <c r="Y272">
        <v>44</v>
      </c>
      <c r="Z272">
        <v>47</v>
      </c>
      <c r="AA272">
        <v>50</v>
      </c>
      <c r="AB272">
        <v>1500</v>
      </c>
      <c r="AC272">
        <v>1439</v>
      </c>
      <c r="AD272">
        <v>1439</v>
      </c>
      <c r="AE272">
        <v>0</v>
      </c>
      <c r="AF272">
        <v>0</v>
      </c>
      <c r="AG272">
        <v>0</v>
      </c>
      <c r="AH272">
        <v>0</v>
      </c>
      <c r="AI272">
        <v>500</v>
      </c>
      <c r="AJ272">
        <v>0</v>
      </c>
      <c r="AK272">
        <v>0</v>
      </c>
      <c r="AL272">
        <v>0</v>
      </c>
      <c r="AM272">
        <v>220</v>
      </c>
      <c r="AN272">
        <v>0</v>
      </c>
      <c r="AO272">
        <v>0</v>
      </c>
      <c r="AP272">
        <v>8</v>
      </c>
      <c r="AQ272">
        <v>0</v>
      </c>
      <c r="AR272">
        <v>0</v>
      </c>
      <c r="AS272" t="s">
        <v>58</v>
      </c>
      <c r="AT272">
        <v>1</v>
      </c>
      <c r="AU272" t="s">
        <v>63</v>
      </c>
      <c r="AV272" t="s">
        <v>60</v>
      </c>
      <c r="AW272">
        <v>1</v>
      </c>
      <c r="AX272">
        <v>3</v>
      </c>
      <c r="AY272">
        <v>0</v>
      </c>
      <c r="AZ272">
        <v>0</v>
      </c>
      <c r="BA272">
        <v>100</v>
      </c>
      <c r="BB272">
        <v>100</v>
      </c>
      <c r="BC272">
        <v>100</v>
      </c>
      <c r="BD272">
        <v>100</v>
      </c>
      <c r="BE272">
        <v>1</v>
      </c>
      <c r="BF272">
        <v>15000</v>
      </c>
      <c r="BG272">
        <v>1000</v>
      </c>
      <c r="BH272" s="6">
        <f>Grandview_Inventory[[#This Row],[land_extract]]*Lookups!$B$3</f>
        <v>53250.00235313351</v>
      </c>
      <c r="BI272" s="6">
        <f>IF(Grandview_Inventory[[#This Row],[bldg_style]]="",0,Lookups!$B$2)</f>
        <v>155833.95000000001</v>
      </c>
      <c r="BJ272" s="6">
        <f>_xlfn.IFNA(VLOOKUP(Grandview_Inventory[[#This Row],[quality]],Lookups!$H$2:$J$14,3,FALSE),0)</f>
        <v>2251</v>
      </c>
      <c r="BK272" s="6">
        <f>_xlfn.IFNA(VLOOKUP(Grandview_Inventory[[#This Row],[condition]],Lookups!$H$17:$J$24,3,FALSE),0)</f>
        <v>22342</v>
      </c>
      <c r="BL272" s="6">
        <f>Grandview_Inventory[[#This Row],[Eff_Age]]*Lookups!$B$14</f>
        <v>-10523.330399999999</v>
      </c>
      <c r="BM272" s="6">
        <f>Grandview_Inventory[[#This Row],[living_area]]*Lookups!$B$15</f>
        <v>89766.047466999997</v>
      </c>
      <c r="BN272" s="6">
        <f>Grandview_Inventory[[#This Row],[Fin BSMT]]*Lookups!$B$16</f>
        <v>0</v>
      </c>
      <c r="BO272" s="6">
        <f>(Grandview_Inventory[[#This Row],[att_gar]]+Grandview_Inventory[[#This Row],[bltin_gar]])*Lookups!$B$17</f>
        <v>43760.218500000003</v>
      </c>
      <c r="BP272" s="6">
        <f>Grandview_Inventory[[#This Row],[Plumbing Fixtures]]*Lookups!$B$18</f>
        <v>16083.5344</v>
      </c>
      <c r="BQ272" s="6">
        <f>Grandview_Inventory[[#This Row],[detatched_value]]*Lookups!$B$19</f>
        <v>0</v>
      </c>
      <c r="BR272" s="6">
        <f>SUM(Grandview_Inventory[[#This Row],[Intercept]:[det_value]])*Grandview_Inventory[[#This Row],[res_pct]]</f>
        <v>319513.41996700002</v>
      </c>
      <c r="BS272" s="6">
        <f>Grandview_Inventory[[#This Row],[land_value]]</f>
        <v>53250.00235313351</v>
      </c>
      <c r="BT272" s="4">
        <f>_xlfn.IFNA(VLOOKUP(Grandview_Inventory[[#This Row],[quality]],Lookups!$A$26:$C$33,3,FALSE),1)</f>
        <v>0.98763855981004833</v>
      </c>
      <c r="BU272" s="4">
        <f>_xlfn.IFNA(VLOOKUP(Grandview_Inventory[[#This Row],[condition]],Lookups!$A$37:$C$44,3,FALSE),1)</f>
        <v>0.97383723671140243</v>
      </c>
      <c r="BV272" s="4">
        <f>IF(Grandview_Inventory[[#This Row],[bldg_style]]="",1,_xlfn.IFNA(VLOOKUP(Grandview_Inventory[[#This Row],[decade]],Lookups!$F$29:$H$43,3,FALSE),1))</f>
        <v>0.9871940091910919</v>
      </c>
      <c r="BW272" s="4">
        <f>_xlfn.IFNA(VLOOKUP(Grandview_Inventory[[#This Row],[living_area_range]],Lookups!$F$47:$H$56,3,FALSE),1)</f>
        <v>0.96135087979789358</v>
      </c>
      <c r="BX272" s="4">
        <f>AVERAGE(Grandview_Inventory[[#This Row],[qual_adj]:[size_adj]])</f>
        <v>0.97750517137760906</v>
      </c>
      <c r="BY272" s="6">
        <f>IF(Grandview_Inventory[[#This Row],[pre_res]]&lt;0,0,Grandview_Inventory[[#This Row],[pre_res]]*Grandview_Inventory[[#This Row],[overall_adj]])</f>
        <v>312326.02034228831</v>
      </c>
      <c r="BZ272" s="6">
        <f>(Grandview_Inventory[[#This Row],[sum_land]]-IF(Grandview_Inventory[[#This Row],[no_utilities]]=1,12000,0))/IF(Grandview_Inventory[[#This Row],[unbuildable]]=1,2,1)</f>
        <v>53250.00235313351</v>
      </c>
      <c r="CA27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72">
        <f>ROUND(Grandview_Inventory[[#This Row],[det_value]]*Lookups!$M$28,-2)</f>
        <v>0</v>
      </c>
      <c r="CC272">
        <f>IF(ROUND(Grandview_Inventory[[#This Row],[adj_res]]*Lookups!$M$28,-2)&lt;Grandview_Inventory[[#This Row],[min_res]],Grandview_Inventory[[#This Row],[min_res]],ROUND(Grandview_Inventory[[#This Row],[adj_res]]*Lookups!$M$28,-2))</f>
        <v>296700</v>
      </c>
      <c r="CD272">
        <f>Grandview_Inventory[[#This Row],[final_det]]+Grandview_Inventory[[#This Row],[final_res]]</f>
        <v>296700</v>
      </c>
      <c r="CE272">
        <f>Grandview_Inventory[[#This Row],[final_land]]+Grandview_Inventory[[#This Row],[final_imp]]+Grandview_Inventory[[#This Row],[crop_value]]</f>
        <v>347300</v>
      </c>
      <c r="CG272" t="str">
        <f t="shared" si="4"/>
        <v>update valuation set market_land =50600, market_bldg=296700, market_total =347300, market_mdno =401, market_date ='9/10/2023' where link_id = (select link_id from parcel where parcel_year = '2024' and parcel_id = '23091443412');</v>
      </c>
    </row>
    <row r="273" spans="1:85" x14ac:dyDescent="0.25">
      <c r="A273">
        <v>23091443413</v>
      </c>
      <c r="B273">
        <v>0.26</v>
      </c>
      <c r="C273">
        <v>11484</v>
      </c>
      <c r="D273" t="s">
        <v>129</v>
      </c>
      <c r="E273" t="s">
        <v>53</v>
      </c>
      <c r="F273" t="s">
        <v>53</v>
      </c>
      <c r="G273">
        <v>4</v>
      </c>
      <c r="H273" t="s">
        <v>54</v>
      </c>
      <c r="I273">
        <v>241000</v>
      </c>
      <c r="J273">
        <v>40200</v>
      </c>
      <c r="K273">
        <v>0.26</v>
      </c>
      <c r="L273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73">
        <v>0</v>
      </c>
      <c r="N273">
        <v>0</v>
      </c>
      <c r="O273">
        <v>0</v>
      </c>
      <c r="P273">
        <v>13398.7528</v>
      </c>
      <c r="Q273">
        <v>63903</v>
      </c>
      <c r="R273">
        <f>(Grandview_Inventory[[#This Row],[ln_acres]]*Grandview_Inventory[[#This Row],[coeff]])+Grandview_Inventory[[#This Row],[const]]</f>
        <v>45853.893187501177</v>
      </c>
      <c r="S273" t="s">
        <v>74</v>
      </c>
      <c r="T273">
        <v>1</v>
      </c>
      <c r="U273" t="s">
        <v>65</v>
      </c>
      <c r="V273" t="s">
        <v>69</v>
      </c>
      <c r="W273">
        <v>0</v>
      </c>
      <c r="X273">
        <v>0</v>
      </c>
      <c r="Y273">
        <v>44</v>
      </c>
      <c r="Z273">
        <v>46</v>
      </c>
      <c r="AA273">
        <v>50</v>
      </c>
      <c r="AB273">
        <v>2500</v>
      </c>
      <c r="AC273">
        <v>2144</v>
      </c>
      <c r="AD273">
        <v>1416</v>
      </c>
      <c r="AE273">
        <v>0</v>
      </c>
      <c r="AF273">
        <v>0</v>
      </c>
      <c r="AG273">
        <v>728</v>
      </c>
      <c r="AH273">
        <v>0</v>
      </c>
      <c r="AI273">
        <v>420</v>
      </c>
      <c r="AJ273">
        <v>0</v>
      </c>
      <c r="AK273">
        <v>0</v>
      </c>
      <c r="AL273">
        <v>0</v>
      </c>
      <c r="AM273">
        <v>160</v>
      </c>
      <c r="AN273">
        <v>20</v>
      </c>
      <c r="AO273">
        <v>80</v>
      </c>
      <c r="AP273">
        <v>8</v>
      </c>
      <c r="AQ273">
        <v>0</v>
      </c>
      <c r="AR273">
        <v>0</v>
      </c>
      <c r="AS273" t="s">
        <v>58</v>
      </c>
      <c r="AT273">
        <v>1</v>
      </c>
      <c r="AU273" t="s">
        <v>63</v>
      </c>
      <c r="AV273" t="s">
        <v>60</v>
      </c>
      <c r="AW273">
        <v>1</v>
      </c>
      <c r="AX273">
        <v>4</v>
      </c>
      <c r="AY273">
        <v>0</v>
      </c>
      <c r="AZ273">
        <v>0</v>
      </c>
      <c r="BA273">
        <v>100</v>
      </c>
      <c r="BB273">
        <v>100</v>
      </c>
      <c r="BC273">
        <v>100</v>
      </c>
      <c r="BD273">
        <v>100</v>
      </c>
      <c r="BE273">
        <v>1</v>
      </c>
      <c r="BF273">
        <v>15000</v>
      </c>
      <c r="BG273">
        <v>1000</v>
      </c>
      <c r="BH273" s="6">
        <f>Grandview_Inventory[[#This Row],[land_extract]]*Lookups!$B$3</f>
        <v>53250.00235313351</v>
      </c>
      <c r="BI273" s="6">
        <f>IF(Grandview_Inventory[[#This Row],[bldg_style]]="",0,Lookups!$B$2)</f>
        <v>155833.95000000001</v>
      </c>
      <c r="BJ273" s="6">
        <f>_xlfn.IFNA(VLOOKUP(Grandview_Inventory[[#This Row],[quality]],Lookups!$H$2:$J$14,3,FALSE),0)</f>
        <v>2251</v>
      </c>
      <c r="BK273" s="6">
        <f>_xlfn.IFNA(VLOOKUP(Grandview_Inventory[[#This Row],[condition]],Lookups!$H$17:$J$24,3,FALSE),0)</f>
        <v>-4503</v>
      </c>
      <c r="BL273" s="6">
        <f>Grandview_Inventory[[#This Row],[Eff_Age]]*Lookups!$B$14</f>
        <v>-10523.330399999999</v>
      </c>
      <c r="BM273" s="6">
        <f>Grandview_Inventory[[#This Row],[living_area]]*Lookups!$B$15</f>
        <v>133744.548832</v>
      </c>
      <c r="BN273" s="6">
        <f>Grandview_Inventory[[#This Row],[Fin BSMT]]*Lookups!$B$16</f>
        <v>-19728.246720000003</v>
      </c>
      <c r="BO273" s="6">
        <f>(Grandview_Inventory[[#This Row],[att_gar]]+Grandview_Inventory[[#This Row],[bltin_gar]])*Lookups!$B$17</f>
        <v>36758.58354</v>
      </c>
      <c r="BP273" s="6">
        <f>Grandview_Inventory[[#This Row],[Plumbing Fixtures]]*Lookups!$B$18</f>
        <v>16083.5344</v>
      </c>
      <c r="BQ273" s="6">
        <f>Grandview_Inventory[[#This Row],[detatched_value]]*Lookups!$B$19</f>
        <v>0</v>
      </c>
      <c r="BR273" s="6">
        <f>SUM(Grandview_Inventory[[#This Row],[Intercept]:[det_value]])*Grandview_Inventory[[#This Row],[res_pct]]</f>
        <v>309917.03965200001</v>
      </c>
      <c r="BS273" s="6">
        <f>Grandview_Inventory[[#This Row],[land_value]]</f>
        <v>53250.00235313351</v>
      </c>
      <c r="BT273" s="4">
        <f>_xlfn.IFNA(VLOOKUP(Grandview_Inventory[[#This Row],[quality]],Lookups!$A$26:$C$33,3,FALSE),1)</f>
        <v>0.98763855981004833</v>
      </c>
      <c r="BU273" s="4">
        <f>_xlfn.IFNA(VLOOKUP(Grandview_Inventory[[#This Row],[condition]],Lookups!$A$37:$C$44,3,FALSE),1)</f>
        <v>0.96469275950863709</v>
      </c>
      <c r="BV273" s="4">
        <f>IF(Grandview_Inventory[[#This Row],[bldg_style]]="",1,_xlfn.IFNA(VLOOKUP(Grandview_Inventory[[#This Row],[decade]],Lookups!$F$29:$H$43,3,FALSE),1))</f>
        <v>0.9871940091910919</v>
      </c>
      <c r="BW273" s="4">
        <f>_xlfn.IFNA(VLOOKUP(Grandview_Inventory[[#This Row],[living_area_range]],Lookups!$F$47:$H$56,3,FALSE),1)</f>
        <v>0.95799442568048754</v>
      </c>
      <c r="BX273" s="4">
        <f>AVERAGE(Grandview_Inventory[[#This Row],[qual_adj]:[size_adj]])</f>
        <v>0.97437993854756622</v>
      </c>
      <c r="BY273" s="6">
        <f>IF(Grandview_Inventory[[#This Row],[pre_res]]&lt;0,0,Grandview_Inventory[[#This Row],[pre_res]]*Grandview_Inventory[[#This Row],[overall_adj]])</f>
        <v>301976.94605095941</v>
      </c>
      <c r="BZ273" s="6">
        <f>(Grandview_Inventory[[#This Row],[sum_land]]-IF(Grandview_Inventory[[#This Row],[no_utilities]]=1,12000,0))/IF(Grandview_Inventory[[#This Row],[unbuildable]]=1,2,1)</f>
        <v>53250.00235313351</v>
      </c>
      <c r="CA273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73">
        <f>ROUND(Grandview_Inventory[[#This Row],[det_value]]*Lookups!$M$28,-2)</f>
        <v>0</v>
      </c>
      <c r="CC273">
        <f>IF(ROUND(Grandview_Inventory[[#This Row],[adj_res]]*Lookups!$M$28,-2)&lt;Grandview_Inventory[[#This Row],[min_res]],Grandview_Inventory[[#This Row],[min_res]],ROUND(Grandview_Inventory[[#This Row],[adj_res]]*Lookups!$M$28,-2))</f>
        <v>286900</v>
      </c>
      <c r="CD273">
        <f>Grandview_Inventory[[#This Row],[final_det]]+Grandview_Inventory[[#This Row],[final_res]]</f>
        <v>286900</v>
      </c>
      <c r="CE273">
        <f>Grandview_Inventory[[#This Row],[final_land]]+Grandview_Inventory[[#This Row],[final_imp]]+Grandview_Inventory[[#This Row],[crop_value]]</f>
        <v>337500</v>
      </c>
      <c r="CG273" t="str">
        <f t="shared" si="4"/>
        <v>update valuation set market_land =50600, market_bldg=286900, market_total =337500, market_mdno =401, market_date ='9/10/2023' where link_id = (select link_id from parcel where parcel_year = '2024' and parcel_id = '23091443413');</v>
      </c>
    </row>
    <row r="274" spans="1:85" x14ac:dyDescent="0.25">
      <c r="A274">
        <v>23091443414</v>
      </c>
      <c r="B274">
        <v>0.26</v>
      </c>
      <c r="C274">
        <v>11484</v>
      </c>
      <c r="D274" t="s">
        <v>129</v>
      </c>
      <c r="E274" t="s">
        <v>53</v>
      </c>
      <c r="F274" t="s">
        <v>53</v>
      </c>
      <c r="G274">
        <v>4</v>
      </c>
      <c r="H274" t="s">
        <v>54</v>
      </c>
      <c r="I274">
        <v>225500</v>
      </c>
      <c r="J274">
        <v>40200</v>
      </c>
      <c r="K274">
        <v>0.26</v>
      </c>
      <c r="L274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74">
        <v>0</v>
      </c>
      <c r="N274">
        <v>0</v>
      </c>
      <c r="O274">
        <v>0</v>
      </c>
      <c r="P274">
        <v>13398.7528</v>
      </c>
      <c r="Q274">
        <v>63903</v>
      </c>
      <c r="R274">
        <f>(Grandview_Inventory[[#This Row],[ln_acres]]*Grandview_Inventory[[#This Row],[coeff]])+Grandview_Inventory[[#This Row],[const]]</f>
        <v>45853.893187501177</v>
      </c>
      <c r="S274" t="s">
        <v>61</v>
      </c>
      <c r="T274">
        <v>1</v>
      </c>
      <c r="U274" t="s">
        <v>65</v>
      </c>
      <c r="V274" t="s">
        <v>69</v>
      </c>
      <c r="W274">
        <v>0</v>
      </c>
      <c r="X274">
        <v>0</v>
      </c>
      <c r="Y274">
        <v>44</v>
      </c>
      <c r="Z274">
        <v>46</v>
      </c>
      <c r="AA274">
        <v>50</v>
      </c>
      <c r="AB274">
        <v>2000</v>
      </c>
      <c r="AC274">
        <v>1770</v>
      </c>
      <c r="AD274">
        <v>1770</v>
      </c>
      <c r="AE274">
        <v>0</v>
      </c>
      <c r="AF274">
        <v>0</v>
      </c>
      <c r="AG274">
        <v>0</v>
      </c>
      <c r="AH274">
        <v>0</v>
      </c>
      <c r="AI274">
        <v>506</v>
      </c>
      <c r="AJ274">
        <v>0</v>
      </c>
      <c r="AK274">
        <v>380</v>
      </c>
      <c r="AL274">
        <v>0</v>
      </c>
      <c r="AM274">
        <v>140</v>
      </c>
      <c r="AN274">
        <v>0</v>
      </c>
      <c r="AO274">
        <v>140</v>
      </c>
      <c r="AP274">
        <v>10</v>
      </c>
      <c r="AQ274">
        <v>0</v>
      </c>
      <c r="AR274">
        <v>0</v>
      </c>
      <c r="AS274" t="s">
        <v>58</v>
      </c>
      <c r="AT274">
        <v>1</v>
      </c>
      <c r="AU274" t="s">
        <v>63</v>
      </c>
      <c r="AV274" t="s">
        <v>60</v>
      </c>
      <c r="AW274">
        <v>1</v>
      </c>
      <c r="AX274">
        <v>3</v>
      </c>
      <c r="AY274">
        <v>0</v>
      </c>
      <c r="AZ274">
        <v>0</v>
      </c>
      <c r="BA274">
        <v>100</v>
      </c>
      <c r="BB274">
        <v>100</v>
      </c>
      <c r="BC274">
        <v>100</v>
      </c>
      <c r="BD274">
        <v>100</v>
      </c>
      <c r="BE274">
        <v>1</v>
      </c>
      <c r="BF274">
        <v>15000</v>
      </c>
      <c r="BG274">
        <v>1000</v>
      </c>
      <c r="BH274" s="6">
        <f>Grandview_Inventory[[#This Row],[land_extract]]*Lookups!$B$3</f>
        <v>53250.00235313351</v>
      </c>
      <c r="BI274" s="6">
        <f>IF(Grandview_Inventory[[#This Row],[bldg_style]]="",0,Lookups!$B$2)</f>
        <v>155833.95000000001</v>
      </c>
      <c r="BJ274" s="6">
        <f>_xlfn.IFNA(VLOOKUP(Grandview_Inventory[[#This Row],[quality]],Lookups!$H$2:$J$14,3,FALSE),0)</f>
        <v>2251</v>
      </c>
      <c r="BK274" s="6">
        <f>_xlfn.IFNA(VLOOKUP(Grandview_Inventory[[#This Row],[condition]],Lookups!$H$17:$J$24,3,FALSE),0)</f>
        <v>-4503</v>
      </c>
      <c r="BL274" s="6">
        <f>Grandview_Inventory[[#This Row],[Eff_Age]]*Lookups!$B$14</f>
        <v>-10523.330399999999</v>
      </c>
      <c r="BM274" s="6">
        <f>Grandview_Inventory[[#This Row],[living_area]]*Lookups!$B$15</f>
        <v>110414.10981000001</v>
      </c>
      <c r="BN274" s="6">
        <f>Grandview_Inventory[[#This Row],[Fin BSMT]]*Lookups!$B$16</f>
        <v>0</v>
      </c>
      <c r="BO274" s="6">
        <f>(Grandview_Inventory[[#This Row],[att_gar]]+Grandview_Inventory[[#This Row],[bltin_gar]])*Lookups!$B$17</f>
        <v>44285.341121999998</v>
      </c>
      <c r="BP274" s="6">
        <f>Grandview_Inventory[[#This Row],[Plumbing Fixtures]]*Lookups!$B$18</f>
        <v>20104.418000000001</v>
      </c>
      <c r="BQ274" s="6">
        <f>Grandview_Inventory[[#This Row],[detatched_value]]*Lookups!$B$19</f>
        <v>0</v>
      </c>
      <c r="BR274" s="6">
        <f>SUM(Grandview_Inventory[[#This Row],[Intercept]:[det_value]])*Grandview_Inventory[[#This Row],[res_pct]]</f>
        <v>317862.48853200005</v>
      </c>
      <c r="BS274" s="6">
        <f>Grandview_Inventory[[#This Row],[land_value]]</f>
        <v>53250.00235313351</v>
      </c>
      <c r="BT274" s="4">
        <f>_xlfn.IFNA(VLOOKUP(Grandview_Inventory[[#This Row],[quality]],Lookups!$A$26:$C$33,3,FALSE),1)</f>
        <v>0.98763855981004833</v>
      </c>
      <c r="BU274" s="4">
        <f>_xlfn.IFNA(VLOOKUP(Grandview_Inventory[[#This Row],[condition]],Lookups!$A$37:$C$44,3,FALSE),1)</f>
        <v>0.96469275950863709</v>
      </c>
      <c r="BV274" s="4">
        <f>IF(Grandview_Inventory[[#This Row],[bldg_style]]="",1,_xlfn.IFNA(VLOOKUP(Grandview_Inventory[[#This Row],[decade]],Lookups!$F$29:$H$43,3,FALSE),1))</f>
        <v>0.9871940091910919</v>
      </c>
      <c r="BW274" s="4">
        <f>_xlfn.IFNA(VLOOKUP(Grandview_Inventory[[#This Row],[living_area_range]],Lookups!$F$47:$H$56,3,FALSE),1)</f>
        <v>0.96120133463014379</v>
      </c>
      <c r="BX274" s="4">
        <f>AVERAGE(Grandview_Inventory[[#This Row],[qual_adj]:[size_adj]])</f>
        <v>0.97518166578498033</v>
      </c>
      <c r="BY274" s="6">
        <f>IF(Grandview_Inventory[[#This Row],[pre_res]]&lt;0,0,Grandview_Inventory[[#This Row],[pre_res]]*Grandview_Inventory[[#This Row],[overall_adj]])</f>
        <v>309973.671057195</v>
      </c>
      <c r="BZ274" s="6">
        <f>(Grandview_Inventory[[#This Row],[sum_land]]-IF(Grandview_Inventory[[#This Row],[no_utilities]]=1,12000,0))/IF(Grandview_Inventory[[#This Row],[unbuildable]]=1,2,1)</f>
        <v>53250.00235313351</v>
      </c>
      <c r="CA274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74">
        <f>ROUND(Grandview_Inventory[[#This Row],[det_value]]*Lookups!$M$28,-2)</f>
        <v>0</v>
      </c>
      <c r="CC274">
        <f>IF(ROUND(Grandview_Inventory[[#This Row],[adj_res]]*Lookups!$M$28,-2)&lt;Grandview_Inventory[[#This Row],[min_res]],Grandview_Inventory[[#This Row],[min_res]],ROUND(Grandview_Inventory[[#This Row],[adj_res]]*Lookups!$M$28,-2))</f>
        <v>294500</v>
      </c>
      <c r="CD274">
        <f>Grandview_Inventory[[#This Row],[final_det]]+Grandview_Inventory[[#This Row],[final_res]]</f>
        <v>294500</v>
      </c>
      <c r="CE274">
        <f>Grandview_Inventory[[#This Row],[final_land]]+Grandview_Inventory[[#This Row],[final_imp]]+Grandview_Inventory[[#This Row],[crop_value]]</f>
        <v>345100</v>
      </c>
      <c r="CG274" t="str">
        <f t="shared" si="4"/>
        <v>update valuation set market_land =50600, market_bldg=294500, market_total =345100, market_mdno =401, market_date ='9/10/2023' where link_id = (select link_id from parcel where parcel_year = '2024' and parcel_id = '23091443414');</v>
      </c>
    </row>
    <row r="275" spans="1:85" x14ac:dyDescent="0.25">
      <c r="A275">
        <v>23091443415</v>
      </c>
      <c r="B275">
        <v>0.26</v>
      </c>
      <c r="C275">
        <v>11518</v>
      </c>
      <c r="D275" t="s">
        <v>129</v>
      </c>
      <c r="E275" t="s">
        <v>53</v>
      </c>
      <c r="F275" t="s">
        <v>53</v>
      </c>
      <c r="G275">
        <v>4</v>
      </c>
      <c r="H275" t="s">
        <v>54</v>
      </c>
      <c r="I275">
        <v>246400</v>
      </c>
      <c r="J275">
        <v>40000</v>
      </c>
      <c r="K275">
        <v>0.26</v>
      </c>
      <c r="L275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75">
        <v>0</v>
      </c>
      <c r="N275">
        <v>0</v>
      </c>
      <c r="O275">
        <v>0</v>
      </c>
      <c r="P275">
        <v>13398.7528</v>
      </c>
      <c r="Q275">
        <v>63903</v>
      </c>
      <c r="R275">
        <f>(Grandview_Inventory[[#This Row],[ln_acres]]*Grandview_Inventory[[#This Row],[coeff]])+Grandview_Inventory[[#This Row],[const]]</f>
        <v>45853.893187501177</v>
      </c>
      <c r="S275" t="s">
        <v>74</v>
      </c>
      <c r="T275">
        <v>1</v>
      </c>
      <c r="U275" t="s">
        <v>65</v>
      </c>
      <c r="V275" t="s">
        <v>69</v>
      </c>
      <c r="W275">
        <v>0</v>
      </c>
      <c r="X275">
        <v>0</v>
      </c>
      <c r="Y275">
        <v>43</v>
      </c>
      <c r="Z275">
        <v>45</v>
      </c>
      <c r="AA275">
        <v>50</v>
      </c>
      <c r="AB275">
        <v>2500</v>
      </c>
      <c r="AC275">
        <v>2280</v>
      </c>
      <c r="AD275">
        <v>1524</v>
      </c>
      <c r="AE275">
        <v>0</v>
      </c>
      <c r="AF275">
        <v>0</v>
      </c>
      <c r="AG275">
        <v>756</v>
      </c>
      <c r="AH275">
        <v>0</v>
      </c>
      <c r="AI275">
        <v>408</v>
      </c>
      <c r="AJ275">
        <v>0</v>
      </c>
      <c r="AK275">
        <v>0</v>
      </c>
      <c r="AL275">
        <v>0</v>
      </c>
      <c r="AM275">
        <v>280</v>
      </c>
      <c r="AN275">
        <v>24</v>
      </c>
      <c r="AO275">
        <v>0</v>
      </c>
      <c r="AP275">
        <v>8</v>
      </c>
      <c r="AQ275">
        <v>0</v>
      </c>
      <c r="AR275">
        <v>0</v>
      </c>
      <c r="AS275" t="s">
        <v>58</v>
      </c>
      <c r="AT275">
        <v>1</v>
      </c>
      <c r="AU275" t="s">
        <v>63</v>
      </c>
      <c r="AV275" t="s">
        <v>60</v>
      </c>
      <c r="AW275">
        <v>1</v>
      </c>
      <c r="AX275">
        <v>4</v>
      </c>
      <c r="AY275">
        <v>0</v>
      </c>
      <c r="AZ275">
        <v>0</v>
      </c>
      <c r="BA275">
        <v>100</v>
      </c>
      <c r="BB275">
        <v>100</v>
      </c>
      <c r="BC275">
        <v>100</v>
      </c>
      <c r="BD275">
        <v>100</v>
      </c>
      <c r="BE275">
        <v>1</v>
      </c>
      <c r="BF275">
        <v>15000</v>
      </c>
      <c r="BG275">
        <v>1000</v>
      </c>
      <c r="BH275" s="6">
        <f>Grandview_Inventory[[#This Row],[land_extract]]*Lookups!$B$3</f>
        <v>53250.00235313351</v>
      </c>
      <c r="BI275" s="6">
        <f>IF(Grandview_Inventory[[#This Row],[bldg_style]]="",0,Lookups!$B$2)</f>
        <v>155833.95000000001</v>
      </c>
      <c r="BJ275" s="6">
        <f>_xlfn.IFNA(VLOOKUP(Grandview_Inventory[[#This Row],[quality]],Lookups!$H$2:$J$14,3,FALSE),0)</f>
        <v>2251</v>
      </c>
      <c r="BK275" s="6">
        <f>_xlfn.IFNA(VLOOKUP(Grandview_Inventory[[#This Row],[condition]],Lookups!$H$17:$J$24,3,FALSE),0)</f>
        <v>-4503</v>
      </c>
      <c r="BL275" s="6">
        <f>Grandview_Inventory[[#This Row],[Eff_Age]]*Lookups!$B$14</f>
        <v>-10284.1638</v>
      </c>
      <c r="BM275" s="6">
        <f>Grandview_Inventory[[#This Row],[living_area]]*Lookups!$B$15</f>
        <v>142228.34484000001</v>
      </c>
      <c r="BN275" s="6">
        <f>Grandview_Inventory[[#This Row],[Fin BSMT]]*Lookups!$B$16</f>
        <v>-20487.025440000001</v>
      </c>
      <c r="BO275" s="6">
        <f>(Grandview_Inventory[[#This Row],[att_gar]]+Grandview_Inventory[[#This Row],[bltin_gar]])*Lookups!$B$17</f>
        <v>35708.338296000002</v>
      </c>
      <c r="BP275" s="6">
        <f>Grandview_Inventory[[#This Row],[Plumbing Fixtures]]*Lookups!$B$18</f>
        <v>16083.5344</v>
      </c>
      <c r="BQ275" s="6">
        <f>Grandview_Inventory[[#This Row],[detatched_value]]*Lookups!$B$19</f>
        <v>0</v>
      </c>
      <c r="BR275" s="6">
        <f>SUM(Grandview_Inventory[[#This Row],[Intercept]:[det_value]])*Grandview_Inventory[[#This Row],[res_pct]]</f>
        <v>316830.97829600004</v>
      </c>
      <c r="BS275" s="6">
        <f>Grandview_Inventory[[#This Row],[land_value]]</f>
        <v>53250.00235313351</v>
      </c>
      <c r="BT275" s="4">
        <f>_xlfn.IFNA(VLOOKUP(Grandview_Inventory[[#This Row],[quality]],Lookups!$A$26:$C$33,3,FALSE),1)</f>
        <v>0.98763855981004833</v>
      </c>
      <c r="BU275" s="4">
        <f>_xlfn.IFNA(VLOOKUP(Grandview_Inventory[[#This Row],[condition]],Lookups!$A$37:$C$44,3,FALSE),1)</f>
        <v>0.96469275950863709</v>
      </c>
      <c r="BV275" s="4">
        <f>IF(Grandview_Inventory[[#This Row],[bldg_style]]="",1,_xlfn.IFNA(VLOOKUP(Grandview_Inventory[[#This Row],[decade]],Lookups!$F$29:$H$43,3,FALSE),1))</f>
        <v>0.9871940091910919</v>
      </c>
      <c r="BW275" s="4">
        <f>_xlfn.IFNA(VLOOKUP(Grandview_Inventory[[#This Row],[living_area_range]],Lookups!$F$47:$H$56,3,FALSE),1)</f>
        <v>0.95799442568048754</v>
      </c>
      <c r="BX275" s="4">
        <f>AVERAGE(Grandview_Inventory[[#This Row],[qual_adj]:[size_adj]])</f>
        <v>0.97437993854756622</v>
      </c>
      <c r="BY275" s="6">
        <f>IF(Grandview_Inventory[[#This Row],[pre_res]]&lt;0,0,Grandview_Inventory[[#This Row],[pre_res]]*Grandview_Inventory[[#This Row],[overall_adj]])</f>
        <v>308713.74916202179</v>
      </c>
      <c r="BZ275" s="6">
        <f>(Grandview_Inventory[[#This Row],[sum_land]]-IF(Grandview_Inventory[[#This Row],[no_utilities]]=1,12000,0))/IF(Grandview_Inventory[[#This Row],[unbuildable]]=1,2,1)</f>
        <v>53250.00235313351</v>
      </c>
      <c r="CA275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75">
        <f>ROUND(Grandview_Inventory[[#This Row],[det_value]]*Lookups!$M$28,-2)</f>
        <v>0</v>
      </c>
      <c r="CC275">
        <f>IF(ROUND(Grandview_Inventory[[#This Row],[adj_res]]*Lookups!$M$28,-2)&lt;Grandview_Inventory[[#This Row],[min_res]],Grandview_Inventory[[#This Row],[min_res]],ROUND(Grandview_Inventory[[#This Row],[adj_res]]*Lookups!$M$28,-2))</f>
        <v>293300</v>
      </c>
      <c r="CD275">
        <f>Grandview_Inventory[[#This Row],[final_det]]+Grandview_Inventory[[#This Row],[final_res]]</f>
        <v>293300</v>
      </c>
      <c r="CE275">
        <f>Grandview_Inventory[[#This Row],[final_land]]+Grandview_Inventory[[#This Row],[final_imp]]+Grandview_Inventory[[#This Row],[crop_value]]</f>
        <v>343900</v>
      </c>
      <c r="CG275" t="str">
        <f t="shared" si="4"/>
        <v>update valuation set market_land =50600, market_bldg=293300, market_total =343900, market_mdno =401, market_date ='9/10/2023' where link_id = (select link_id from parcel where parcel_year = '2024' and parcel_id = '23091443415');</v>
      </c>
    </row>
    <row r="276" spans="1:85" x14ac:dyDescent="0.25">
      <c r="A276">
        <v>23091443416</v>
      </c>
      <c r="B276">
        <v>0.25</v>
      </c>
      <c r="C276">
        <v>10705</v>
      </c>
      <c r="D276" t="s">
        <v>129</v>
      </c>
      <c r="E276" t="s">
        <v>53</v>
      </c>
      <c r="F276" t="s">
        <v>53</v>
      </c>
      <c r="G276">
        <v>4</v>
      </c>
      <c r="H276" t="s">
        <v>54</v>
      </c>
      <c r="I276">
        <v>287700</v>
      </c>
      <c r="J276">
        <v>40000</v>
      </c>
      <c r="K276">
        <v>0.25</v>
      </c>
      <c r="L27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76">
        <v>0</v>
      </c>
      <c r="N276">
        <v>0</v>
      </c>
      <c r="O276">
        <v>0</v>
      </c>
      <c r="P276">
        <v>13398.7528</v>
      </c>
      <c r="Q276">
        <v>63903</v>
      </c>
      <c r="R276">
        <f>(Grandview_Inventory[[#This Row],[ln_acres]]*Grandview_Inventory[[#This Row],[coeff]])+Grandview_Inventory[[#This Row],[const]]</f>
        <v>45328.38454732066</v>
      </c>
      <c r="S276" t="s">
        <v>61</v>
      </c>
      <c r="T276">
        <v>1</v>
      </c>
      <c r="U276" t="s">
        <v>65</v>
      </c>
      <c r="V276" t="s">
        <v>67</v>
      </c>
      <c r="W276">
        <v>0</v>
      </c>
      <c r="X276">
        <v>0</v>
      </c>
      <c r="Y276">
        <v>43</v>
      </c>
      <c r="Z276">
        <v>45</v>
      </c>
      <c r="AA276">
        <v>50</v>
      </c>
      <c r="AB276">
        <v>2000</v>
      </c>
      <c r="AC276">
        <v>1646</v>
      </c>
      <c r="AD276">
        <v>1646</v>
      </c>
      <c r="AE276">
        <v>0</v>
      </c>
      <c r="AF276">
        <v>0</v>
      </c>
      <c r="AG276">
        <v>0</v>
      </c>
      <c r="AH276">
        <v>0</v>
      </c>
      <c r="AI276">
        <v>720</v>
      </c>
      <c r="AJ276">
        <v>0</v>
      </c>
      <c r="AK276">
        <v>0</v>
      </c>
      <c r="AL276">
        <v>0</v>
      </c>
      <c r="AM276">
        <v>288</v>
      </c>
      <c r="AN276">
        <v>30</v>
      </c>
      <c r="AO276">
        <v>288</v>
      </c>
      <c r="AP276">
        <v>8</v>
      </c>
      <c r="AQ276">
        <v>0</v>
      </c>
      <c r="AR276">
        <v>0</v>
      </c>
      <c r="AS276" t="s">
        <v>58</v>
      </c>
      <c r="AT276">
        <v>1</v>
      </c>
      <c r="AU276" t="s">
        <v>63</v>
      </c>
      <c r="AV276" t="s">
        <v>60</v>
      </c>
      <c r="AW276">
        <v>1</v>
      </c>
      <c r="AX276">
        <v>3</v>
      </c>
      <c r="AY276">
        <v>0</v>
      </c>
      <c r="AZ276">
        <v>26300</v>
      </c>
      <c r="BA276">
        <v>100</v>
      </c>
      <c r="BB276">
        <v>100</v>
      </c>
      <c r="BC276">
        <v>100</v>
      </c>
      <c r="BD276">
        <v>100</v>
      </c>
      <c r="BE276">
        <v>1</v>
      </c>
      <c r="BF276">
        <v>15000</v>
      </c>
      <c r="BG276">
        <v>1000</v>
      </c>
      <c r="BH276" s="6">
        <f>Grandview_Inventory[[#This Row],[land_extract]]*Lookups!$B$3</f>
        <v>52639.730588165206</v>
      </c>
      <c r="BI276" s="6">
        <f>IF(Grandview_Inventory[[#This Row],[bldg_style]]="",0,Lookups!$B$2)</f>
        <v>155833.95000000001</v>
      </c>
      <c r="BJ276" s="6">
        <f>_xlfn.IFNA(VLOOKUP(Grandview_Inventory[[#This Row],[quality]],Lookups!$H$2:$J$14,3,FALSE),0)</f>
        <v>2251</v>
      </c>
      <c r="BK276" s="6">
        <f>_xlfn.IFNA(VLOOKUP(Grandview_Inventory[[#This Row],[condition]],Lookups!$H$17:$J$24,3,FALSE),0)</f>
        <v>22342</v>
      </c>
      <c r="BL276" s="6">
        <f>Grandview_Inventory[[#This Row],[Eff_Age]]*Lookups!$B$14</f>
        <v>-10284.1638</v>
      </c>
      <c r="BM276" s="6">
        <f>Grandview_Inventory[[#This Row],[living_area]]*Lookups!$B$15</f>
        <v>102678.884038</v>
      </c>
      <c r="BN276" s="6">
        <f>Grandview_Inventory[[#This Row],[Fin BSMT]]*Lookups!$B$16</f>
        <v>0</v>
      </c>
      <c r="BO276" s="6">
        <f>(Grandview_Inventory[[#This Row],[att_gar]]+Grandview_Inventory[[#This Row],[bltin_gar]])*Lookups!$B$17</f>
        <v>63014.714639999998</v>
      </c>
      <c r="BP276" s="6">
        <f>Grandview_Inventory[[#This Row],[Plumbing Fixtures]]*Lookups!$B$18</f>
        <v>16083.5344</v>
      </c>
      <c r="BQ276" s="6">
        <f>Grandview_Inventory[[#This Row],[detatched_value]]*Lookups!$B$19</f>
        <v>22270.974129999999</v>
      </c>
      <c r="BR276" s="6">
        <f>SUM(Grandview_Inventory[[#This Row],[Intercept]:[det_value]])*Grandview_Inventory[[#This Row],[res_pct]]</f>
        <v>374190.893408</v>
      </c>
      <c r="BS276" s="6">
        <f>Grandview_Inventory[[#This Row],[land_value]]</f>
        <v>52639.730588165206</v>
      </c>
      <c r="BT276" s="4">
        <f>_xlfn.IFNA(VLOOKUP(Grandview_Inventory[[#This Row],[quality]],Lookups!$A$26:$C$33,3,FALSE),1)</f>
        <v>0.98763855981004833</v>
      </c>
      <c r="BU276" s="4">
        <f>_xlfn.IFNA(VLOOKUP(Grandview_Inventory[[#This Row],[condition]],Lookups!$A$37:$C$44,3,FALSE),1)</f>
        <v>0.97383723671140243</v>
      </c>
      <c r="BV276" s="4">
        <f>IF(Grandview_Inventory[[#This Row],[bldg_style]]="",1,_xlfn.IFNA(VLOOKUP(Grandview_Inventory[[#This Row],[decade]],Lookups!$F$29:$H$43,3,FALSE),1))</f>
        <v>0.9871940091910919</v>
      </c>
      <c r="BW276" s="4">
        <f>_xlfn.IFNA(VLOOKUP(Grandview_Inventory[[#This Row],[living_area_range]],Lookups!$F$47:$H$56,3,FALSE),1)</f>
        <v>0.96120133463014379</v>
      </c>
      <c r="BX276" s="4">
        <f>AVERAGE(Grandview_Inventory[[#This Row],[qual_adj]:[size_adj]])</f>
        <v>0.97746778508567167</v>
      </c>
      <c r="BY276" s="6">
        <f>IF(Grandview_Inventory[[#This Row],[pre_res]]&lt;0,0,Grandview_Inventory[[#This Row],[pre_res]]*Grandview_Inventory[[#This Row],[overall_adj]])</f>
        <v>365759.54377874645</v>
      </c>
      <c r="BZ276" s="6">
        <f>(Grandview_Inventory[[#This Row],[sum_land]]-IF(Grandview_Inventory[[#This Row],[no_utilities]]=1,12000,0))/IF(Grandview_Inventory[[#This Row],[unbuildable]]=1,2,1)</f>
        <v>52639.730588165206</v>
      </c>
      <c r="CA27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76">
        <f>ROUND(Grandview_Inventory[[#This Row],[det_value]]*Lookups!$M$28,-2)</f>
        <v>21200</v>
      </c>
      <c r="CC276">
        <f>IF(ROUND(Grandview_Inventory[[#This Row],[adj_res]]*Lookups!$M$28,-2)&lt;Grandview_Inventory[[#This Row],[min_res]],Grandview_Inventory[[#This Row],[min_res]],ROUND(Grandview_Inventory[[#This Row],[adj_res]]*Lookups!$M$28,-2))</f>
        <v>347500</v>
      </c>
      <c r="CD276">
        <f>Grandview_Inventory[[#This Row],[final_det]]+Grandview_Inventory[[#This Row],[final_res]]</f>
        <v>368700</v>
      </c>
      <c r="CE276">
        <f>Grandview_Inventory[[#This Row],[final_land]]+Grandview_Inventory[[#This Row],[final_imp]]+Grandview_Inventory[[#This Row],[crop_value]]</f>
        <v>418700</v>
      </c>
      <c r="CG276" t="str">
        <f t="shared" si="4"/>
        <v>update valuation set market_land =50000, market_bldg=368700, market_total =418700, market_mdno =401, market_date ='9/10/2023' where link_id = (select link_id from parcel where parcel_year = '2024' and parcel_id = '23091443416');</v>
      </c>
    </row>
    <row r="277" spans="1:85" x14ac:dyDescent="0.25">
      <c r="A277">
        <v>23091443417</v>
      </c>
      <c r="B277">
        <v>0.25</v>
      </c>
      <c r="C277">
        <v>10711</v>
      </c>
      <c r="D277" t="s">
        <v>129</v>
      </c>
      <c r="E277" t="s">
        <v>53</v>
      </c>
      <c r="F277" t="s">
        <v>53</v>
      </c>
      <c r="G277">
        <v>4</v>
      </c>
      <c r="H277" t="s">
        <v>54</v>
      </c>
      <c r="I277">
        <v>244600</v>
      </c>
      <c r="J277">
        <v>40000</v>
      </c>
      <c r="K277">
        <v>0.25</v>
      </c>
      <c r="L27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77">
        <v>0</v>
      </c>
      <c r="N277">
        <v>0</v>
      </c>
      <c r="O277">
        <v>0</v>
      </c>
      <c r="P277">
        <v>13398.7528</v>
      </c>
      <c r="Q277">
        <v>63903</v>
      </c>
      <c r="R277">
        <f>(Grandview_Inventory[[#This Row],[ln_acres]]*Grandview_Inventory[[#This Row],[coeff]])+Grandview_Inventory[[#This Row],[const]]</f>
        <v>45328.38454732066</v>
      </c>
      <c r="S277" t="s">
        <v>61</v>
      </c>
      <c r="T277">
        <v>1</v>
      </c>
      <c r="U277" t="s">
        <v>65</v>
      </c>
      <c r="V277" t="s">
        <v>67</v>
      </c>
      <c r="W277">
        <v>0</v>
      </c>
      <c r="X277">
        <v>0</v>
      </c>
      <c r="Y277">
        <v>44</v>
      </c>
      <c r="Z277">
        <v>48</v>
      </c>
      <c r="AA277">
        <v>50</v>
      </c>
      <c r="AB277">
        <v>1500</v>
      </c>
      <c r="AC277">
        <v>1416</v>
      </c>
      <c r="AD277">
        <v>1416</v>
      </c>
      <c r="AE277">
        <v>0</v>
      </c>
      <c r="AF277">
        <v>0</v>
      </c>
      <c r="AG277">
        <v>0</v>
      </c>
      <c r="AH277">
        <v>0</v>
      </c>
      <c r="AI277">
        <v>480</v>
      </c>
      <c r="AJ277">
        <v>0</v>
      </c>
      <c r="AK277">
        <v>0</v>
      </c>
      <c r="AL277">
        <v>0</v>
      </c>
      <c r="AM277">
        <v>525</v>
      </c>
      <c r="AN277">
        <v>0</v>
      </c>
      <c r="AO277">
        <v>525</v>
      </c>
      <c r="AP277">
        <v>9</v>
      </c>
      <c r="AQ277">
        <v>0</v>
      </c>
      <c r="AR277">
        <v>0</v>
      </c>
      <c r="AS277" t="s">
        <v>58</v>
      </c>
      <c r="AT277">
        <v>1</v>
      </c>
      <c r="AU277" t="s">
        <v>59</v>
      </c>
      <c r="AV277" t="s">
        <v>60</v>
      </c>
      <c r="AW277">
        <v>1</v>
      </c>
      <c r="AX277">
        <v>3</v>
      </c>
      <c r="AY277">
        <v>0</v>
      </c>
      <c r="AZ277">
        <v>16100</v>
      </c>
      <c r="BA277">
        <v>100</v>
      </c>
      <c r="BB277">
        <v>100</v>
      </c>
      <c r="BC277">
        <v>100</v>
      </c>
      <c r="BD277">
        <v>100</v>
      </c>
      <c r="BE277">
        <v>1</v>
      </c>
      <c r="BF277">
        <v>15000</v>
      </c>
      <c r="BG277">
        <v>1000</v>
      </c>
      <c r="BH277" s="6">
        <f>Grandview_Inventory[[#This Row],[land_extract]]*Lookups!$B$3</f>
        <v>52639.730588165206</v>
      </c>
      <c r="BI277" s="6">
        <f>IF(Grandview_Inventory[[#This Row],[bldg_style]]="",0,Lookups!$B$2)</f>
        <v>155833.95000000001</v>
      </c>
      <c r="BJ277" s="6">
        <f>_xlfn.IFNA(VLOOKUP(Grandview_Inventory[[#This Row],[quality]],Lookups!$H$2:$J$14,3,FALSE),0)</f>
        <v>2251</v>
      </c>
      <c r="BK277" s="6">
        <f>_xlfn.IFNA(VLOOKUP(Grandview_Inventory[[#This Row],[condition]],Lookups!$H$17:$J$24,3,FALSE),0)</f>
        <v>22342</v>
      </c>
      <c r="BL277" s="6">
        <f>Grandview_Inventory[[#This Row],[Eff_Age]]*Lookups!$B$14</f>
        <v>-10523.330399999999</v>
      </c>
      <c r="BM277" s="6">
        <f>Grandview_Inventory[[#This Row],[living_area]]*Lookups!$B$15</f>
        <v>88331.287848000007</v>
      </c>
      <c r="BN277" s="6">
        <f>Grandview_Inventory[[#This Row],[Fin BSMT]]*Lookups!$B$16</f>
        <v>0</v>
      </c>
      <c r="BO277" s="6">
        <f>(Grandview_Inventory[[#This Row],[att_gar]]+Grandview_Inventory[[#This Row],[bltin_gar]])*Lookups!$B$17</f>
        <v>42009.809760000004</v>
      </c>
      <c r="BP277" s="6">
        <f>Grandview_Inventory[[#This Row],[Plumbing Fixtures]]*Lookups!$B$18</f>
        <v>18093.976200000001</v>
      </c>
      <c r="BQ277" s="6">
        <f>Grandview_Inventory[[#This Row],[detatched_value]]*Lookups!$B$19</f>
        <v>13633.562109999999</v>
      </c>
      <c r="BR277" s="6">
        <f>SUM(Grandview_Inventory[[#This Row],[Intercept]:[det_value]])*Grandview_Inventory[[#This Row],[res_pct]]</f>
        <v>331972.25551799999</v>
      </c>
      <c r="BS277" s="6">
        <f>Grandview_Inventory[[#This Row],[land_value]]</f>
        <v>52639.730588165206</v>
      </c>
      <c r="BT277" s="4">
        <f>_xlfn.IFNA(VLOOKUP(Grandview_Inventory[[#This Row],[quality]],Lookups!$A$26:$C$33,3,FALSE),1)</f>
        <v>0.98763855981004833</v>
      </c>
      <c r="BU277" s="4">
        <f>_xlfn.IFNA(VLOOKUP(Grandview_Inventory[[#This Row],[condition]],Lookups!$A$37:$C$44,3,FALSE),1)</f>
        <v>0.97383723671140243</v>
      </c>
      <c r="BV277" s="4">
        <f>IF(Grandview_Inventory[[#This Row],[bldg_style]]="",1,_xlfn.IFNA(VLOOKUP(Grandview_Inventory[[#This Row],[decade]],Lookups!$F$29:$H$43,3,FALSE),1))</f>
        <v>0.9871940091910919</v>
      </c>
      <c r="BW277" s="4">
        <f>_xlfn.IFNA(VLOOKUP(Grandview_Inventory[[#This Row],[living_area_range]],Lookups!$F$47:$H$56,3,FALSE),1)</f>
        <v>0.96135087979789358</v>
      </c>
      <c r="BX277" s="4">
        <f>AVERAGE(Grandview_Inventory[[#This Row],[qual_adj]:[size_adj]])</f>
        <v>0.97750517137760906</v>
      </c>
      <c r="BY277" s="6">
        <f>IF(Grandview_Inventory[[#This Row],[pre_res]]&lt;0,0,Grandview_Inventory[[#This Row],[pre_res]]*Grandview_Inventory[[#This Row],[overall_adj]])</f>
        <v>324504.59652273403</v>
      </c>
      <c r="BZ277" s="6">
        <f>(Grandview_Inventory[[#This Row],[sum_land]]-IF(Grandview_Inventory[[#This Row],[no_utilities]]=1,12000,0))/IF(Grandview_Inventory[[#This Row],[unbuildable]]=1,2,1)</f>
        <v>52639.730588165206</v>
      </c>
      <c r="CA27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77">
        <f>ROUND(Grandview_Inventory[[#This Row],[det_value]]*Lookups!$M$28,-2)</f>
        <v>13000</v>
      </c>
      <c r="CC277">
        <f>IF(ROUND(Grandview_Inventory[[#This Row],[adj_res]]*Lookups!$M$28,-2)&lt;Grandview_Inventory[[#This Row],[min_res]],Grandview_Inventory[[#This Row],[min_res]],ROUND(Grandview_Inventory[[#This Row],[adj_res]]*Lookups!$M$28,-2))</f>
        <v>308300</v>
      </c>
      <c r="CD277">
        <f>Grandview_Inventory[[#This Row],[final_det]]+Grandview_Inventory[[#This Row],[final_res]]</f>
        <v>321300</v>
      </c>
      <c r="CE277">
        <f>Grandview_Inventory[[#This Row],[final_land]]+Grandview_Inventory[[#This Row],[final_imp]]+Grandview_Inventory[[#This Row],[crop_value]]</f>
        <v>371300</v>
      </c>
      <c r="CG277" t="str">
        <f t="shared" si="4"/>
        <v>update valuation set market_land =50000, market_bldg=321300, market_total =371300, market_mdno =401, market_date ='9/10/2023' where link_id = (select link_id from parcel where parcel_year = '2024' and parcel_id = '23091443417');</v>
      </c>
    </row>
    <row r="278" spans="1:85" x14ac:dyDescent="0.25">
      <c r="A278">
        <v>23091443418</v>
      </c>
      <c r="B278">
        <v>0.23</v>
      </c>
      <c r="C278">
        <v>9900</v>
      </c>
      <c r="D278" t="s">
        <v>129</v>
      </c>
      <c r="E278" t="s">
        <v>53</v>
      </c>
      <c r="F278" t="s">
        <v>53</v>
      </c>
      <c r="G278">
        <v>4</v>
      </c>
      <c r="H278" t="s">
        <v>54</v>
      </c>
      <c r="I278">
        <v>224300</v>
      </c>
      <c r="J278">
        <v>43800</v>
      </c>
      <c r="K278">
        <v>0.23</v>
      </c>
      <c r="L27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78">
        <v>0</v>
      </c>
      <c r="N278">
        <v>0</v>
      </c>
      <c r="O278">
        <v>0</v>
      </c>
      <c r="P278">
        <v>13398.7528</v>
      </c>
      <c r="Q278">
        <v>63903</v>
      </c>
      <c r="R278">
        <f>(Grandview_Inventory[[#This Row],[ln_acres]]*Grandview_Inventory[[#This Row],[coeff]])+Grandview_Inventory[[#This Row],[const]]</f>
        <v>44211.174981080039</v>
      </c>
      <c r="S278" t="s">
        <v>61</v>
      </c>
      <c r="T278">
        <v>1</v>
      </c>
      <c r="U278" t="s">
        <v>65</v>
      </c>
      <c r="V278" t="s">
        <v>67</v>
      </c>
      <c r="W278">
        <v>0</v>
      </c>
      <c r="X278">
        <v>0</v>
      </c>
      <c r="Y278">
        <v>43</v>
      </c>
      <c r="Z278">
        <v>44</v>
      </c>
      <c r="AA278">
        <v>50</v>
      </c>
      <c r="AB278">
        <v>1500</v>
      </c>
      <c r="AC278">
        <v>1460</v>
      </c>
      <c r="AD278">
        <v>1460</v>
      </c>
      <c r="AE278">
        <v>0</v>
      </c>
      <c r="AF278">
        <v>0</v>
      </c>
      <c r="AG278">
        <v>0</v>
      </c>
      <c r="AH278">
        <v>0</v>
      </c>
      <c r="AI278">
        <v>484</v>
      </c>
      <c r="AJ278">
        <v>0</v>
      </c>
      <c r="AK278">
        <v>0</v>
      </c>
      <c r="AL278">
        <v>0</v>
      </c>
      <c r="AM278">
        <v>210</v>
      </c>
      <c r="AN278">
        <v>60</v>
      </c>
      <c r="AO278">
        <v>150</v>
      </c>
      <c r="AP278">
        <v>8</v>
      </c>
      <c r="AQ278">
        <v>0</v>
      </c>
      <c r="AR278">
        <v>0</v>
      </c>
      <c r="AS278" t="s">
        <v>58</v>
      </c>
      <c r="AT278">
        <v>1</v>
      </c>
      <c r="AU278" t="s">
        <v>63</v>
      </c>
      <c r="AV278" t="s">
        <v>64</v>
      </c>
      <c r="AW278">
        <v>1</v>
      </c>
      <c r="AX278">
        <v>3</v>
      </c>
      <c r="AY278">
        <v>0</v>
      </c>
      <c r="AZ278">
        <v>0</v>
      </c>
      <c r="BA278">
        <v>100</v>
      </c>
      <c r="BB278">
        <v>100</v>
      </c>
      <c r="BC278">
        <v>100</v>
      </c>
      <c r="BD278">
        <v>100</v>
      </c>
      <c r="BE278">
        <v>1</v>
      </c>
      <c r="BF278">
        <v>15000</v>
      </c>
      <c r="BG278">
        <v>1000</v>
      </c>
      <c r="BH278" s="6">
        <f>Grandview_Inventory[[#This Row],[land_extract]]*Lookups!$B$3</f>
        <v>51342.318135355803</v>
      </c>
      <c r="BI278" s="6">
        <f>IF(Grandview_Inventory[[#This Row],[bldg_style]]="",0,Lookups!$B$2)</f>
        <v>155833.95000000001</v>
      </c>
      <c r="BJ278" s="6">
        <f>_xlfn.IFNA(VLOOKUP(Grandview_Inventory[[#This Row],[quality]],Lookups!$H$2:$J$14,3,FALSE),0)</f>
        <v>2251</v>
      </c>
      <c r="BK278" s="6">
        <f>_xlfn.IFNA(VLOOKUP(Grandview_Inventory[[#This Row],[condition]],Lookups!$H$17:$J$24,3,FALSE),0)</f>
        <v>22342</v>
      </c>
      <c r="BL278" s="6">
        <f>Grandview_Inventory[[#This Row],[Eff_Age]]*Lookups!$B$14</f>
        <v>-10284.1638</v>
      </c>
      <c r="BM278" s="6">
        <f>Grandview_Inventory[[#This Row],[living_area]]*Lookups!$B$15</f>
        <v>91076.045379999996</v>
      </c>
      <c r="BN278" s="6">
        <f>Grandview_Inventory[[#This Row],[Fin BSMT]]*Lookups!$B$16</f>
        <v>0</v>
      </c>
      <c r="BO278" s="6">
        <f>(Grandview_Inventory[[#This Row],[att_gar]]+Grandview_Inventory[[#This Row],[bltin_gar]])*Lookups!$B$17</f>
        <v>42359.891508000001</v>
      </c>
      <c r="BP278" s="6">
        <f>Grandview_Inventory[[#This Row],[Plumbing Fixtures]]*Lookups!$B$18</f>
        <v>16083.5344</v>
      </c>
      <c r="BQ278" s="6">
        <f>Grandview_Inventory[[#This Row],[detatched_value]]*Lookups!$B$19</f>
        <v>0</v>
      </c>
      <c r="BR278" s="6">
        <f>SUM(Grandview_Inventory[[#This Row],[Intercept]:[det_value]])*Grandview_Inventory[[#This Row],[res_pct]]</f>
        <v>319662.25748799997</v>
      </c>
      <c r="BS278" s="6">
        <f>Grandview_Inventory[[#This Row],[land_value]]</f>
        <v>51342.318135355803</v>
      </c>
      <c r="BT278" s="4">
        <f>_xlfn.IFNA(VLOOKUP(Grandview_Inventory[[#This Row],[quality]],Lookups!$A$26:$C$33,3,FALSE),1)</f>
        <v>0.98763855981004833</v>
      </c>
      <c r="BU278" s="4">
        <f>_xlfn.IFNA(VLOOKUP(Grandview_Inventory[[#This Row],[condition]],Lookups!$A$37:$C$44,3,FALSE),1)</f>
        <v>0.97383723671140243</v>
      </c>
      <c r="BV278" s="4">
        <f>IF(Grandview_Inventory[[#This Row],[bldg_style]]="",1,_xlfn.IFNA(VLOOKUP(Grandview_Inventory[[#This Row],[decade]],Lookups!$F$29:$H$43,3,FALSE),1))</f>
        <v>0.9871940091910919</v>
      </c>
      <c r="BW278" s="4">
        <f>_xlfn.IFNA(VLOOKUP(Grandview_Inventory[[#This Row],[living_area_range]],Lookups!$F$47:$H$56,3,FALSE),1)</f>
        <v>0.96135087979789358</v>
      </c>
      <c r="BX278" s="4">
        <f>AVERAGE(Grandview_Inventory[[#This Row],[qual_adj]:[size_adj]])</f>
        <v>0.97750517137760906</v>
      </c>
      <c r="BY278" s="6">
        <f>IF(Grandview_Inventory[[#This Row],[pre_res]]&lt;0,0,Grandview_Inventory[[#This Row],[pre_res]]*Grandview_Inventory[[#This Row],[overall_adj]])</f>
        <v>312471.5097887608</v>
      </c>
      <c r="BZ278" s="6">
        <f>(Grandview_Inventory[[#This Row],[sum_land]]-IF(Grandview_Inventory[[#This Row],[no_utilities]]=1,12000,0))/IF(Grandview_Inventory[[#This Row],[unbuildable]]=1,2,1)</f>
        <v>51342.318135355803</v>
      </c>
      <c r="CA27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78">
        <f>ROUND(Grandview_Inventory[[#This Row],[det_value]]*Lookups!$M$28,-2)</f>
        <v>0</v>
      </c>
      <c r="CC278">
        <f>IF(ROUND(Grandview_Inventory[[#This Row],[adj_res]]*Lookups!$M$28,-2)&lt;Grandview_Inventory[[#This Row],[min_res]],Grandview_Inventory[[#This Row],[min_res]],ROUND(Grandview_Inventory[[#This Row],[adj_res]]*Lookups!$M$28,-2))</f>
        <v>296800</v>
      </c>
      <c r="CD278">
        <f>Grandview_Inventory[[#This Row],[final_det]]+Grandview_Inventory[[#This Row],[final_res]]</f>
        <v>296800</v>
      </c>
      <c r="CE278">
        <f>Grandview_Inventory[[#This Row],[final_land]]+Grandview_Inventory[[#This Row],[final_imp]]+Grandview_Inventory[[#This Row],[crop_value]]</f>
        <v>345600</v>
      </c>
      <c r="CG278" t="str">
        <f t="shared" si="4"/>
        <v>update valuation set market_land =48800, market_bldg=296800, market_total =345600, market_mdno =401, market_date ='9/10/2023' where link_id = (select link_id from parcel where parcel_year = '2024' and parcel_id = '23091443418');</v>
      </c>
    </row>
    <row r="279" spans="1:85" x14ac:dyDescent="0.25">
      <c r="A279">
        <v>23091443419</v>
      </c>
      <c r="B279">
        <v>0.23</v>
      </c>
      <c r="C279">
        <v>9900</v>
      </c>
      <c r="D279" t="s">
        <v>129</v>
      </c>
      <c r="E279" t="s">
        <v>53</v>
      </c>
      <c r="F279" t="s">
        <v>53</v>
      </c>
      <c r="G279">
        <v>4</v>
      </c>
      <c r="H279" t="s">
        <v>54</v>
      </c>
      <c r="I279">
        <v>282300</v>
      </c>
      <c r="J279">
        <v>43800</v>
      </c>
      <c r="K279">
        <v>0.23</v>
      </c>
      <c r="L27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79">
        <v>0</v>
      </c>
      <c r="N279">
        <v>0</v>
      </c>
      <c r="O279">
        <v>0</v>
      </c>
      <c r="P279">
        <v>13398.7528</v>
      </c>
      <c r="Q279">
        <v>63903</v>
      </c>
      <c r="R279">
        <f>(Grandview_Inventory[[#This Row],[ln_acres]]*Grandview_Inventory[[#This Row],[coeff]])+Grandview_Inventory[[#This Row],[const]]</f>
        <v>44211.174981080039</v>
      </c>
      <c r="S279" t="s">
        <v>74</v>
      </c>
      <c r="T279">
        <v>1</v>
      </c>
      <c r="U279" t="s">
        <v>65</v>
      </c>
      <c r="V279" t="s">
        <v>67</v>
      </c>
      <c r="W279">
        <v>0</v>
      </c>
      <c r="X279">
        <v>0</v>
      </c>
      <c r="Y279">
        <v>43</v>
      </c>
      <c r="Z279">
        <v>44</v>
      </c>
      <c r="AA279">
        <v>50</v>
      </c>
      <c r="AB279">
        <v>2500</v>
      </c>
      <c r="AC279">
        <v>2247</v>
      </c>
      <c r="AD279">
        <v>1519</v>
      </c>
      <c r="AE279">
        <v>0</v>
      </c>
      <c r="AF279">
        <v>0</v>
      </c>
      <c r="AG279">
        <v>728</v>
      </c>
      <c r="AH279">
        <v>0</v>
      </c>
      <c r="AI279">
        <v>512</v>
      </c>
      <c r="AJ279">
        <v>0</v>
      </c>
      <c r="AK279">
        <v>0</v>
      </c>
      <c r="AL279">
        <v>0</v>
      </c>
      <c r="AM279">
        <v>0</v>
      </c>
      <c r="AN279">
        <v>9</v>
      </c>
      <c r="AO279">
        <v>0</v>
      </c>
      <c r="AP279">
        <v>8</v>
      </c>
      <c r="AQ279">
        <v>0</v>
      </c>
      <c r="AR279">
        <v>0</v>
      </c>
      <c r="AS279" t="s">
        <v>58</v>
      </c>
      <c r="AT279">
        <v>1</v>
      </c>
      <c r="AU279" t="s">
        <v>63</v>
      </c>
      <c r="AV279" t="s">
        <v>64</v>
      </c>
      <c r="AW279">
        <v>1</v>
      </c>
      <c r="AX279">
        <v>3</v>
      </c>
      <c r="AY279">
        <v>0</v>
      </c>
      <c r="AZ279">
        <v>0</v>
      </c>
      <c r="BA279">
        <v>100</v>
      </c>
      <c r="BB279">
        <v>100</v>
      </c>
      <c r="BC279">
        <v>100</v>
      </c>
      <c r="BD279">
        <v>100</v>
      </c>
      <c r="BE279">
        <v>1</v>
      </c>
      <c r="BF279">
        <v>15000</v>
      </c>
      <c r="BG279">
        <v>1000</v>
      </c>
      <c r="BH279" s="6">
        <f>Grandview_Inventory[[#This Row],[land_extract]]*Lookups!$B$3</f>
        <v>51342.318135355803</v>
      </c>
      <c r="BI279" s="6">
        <f>IF(Grandview_Inventory[[#This Row],[bldg_style]]="",0,Lookups!$B$2)</f>
        <v>155833.95000000001</v>
      </c>
      <c r="BJ279" s="6">
        <f>_xlfn.IFNA(VLOOKUP(Grandview_Inventory[[#This Row],[quality]],Lookups!$H$2:$J$14,3,FALSE),0)</f>
        <v>2251</v>
      </c>
      <c r="BK279" s="6">
        <f>_xlfn.IFNA(VLOOKUP(Grandview_Inventory[[#This Row],[condition]],Lookups!$H$17:$J$24,3,FALSE),0)</f>
        <v>22342</v>
      </c>
      <c r="BL279" s="6">
        <f>Grandview_Inventory[[#This Row],[Eff_Age]]*Lookups!$B$14</f>
        <v>-10284.1638</v>
      </c>
      <c r="BM279" s="6">
        <f>Grandview_Inventory[[#This Row],[living_area]]*Lookups!$B$15</f>
        <v>140169.77669100001</v>
      </c>
      <c r="BN279" s="6">
        <f>Grandview_Inventory[[#This Row],[Fin BSMT]]*Lookups!$B$16</f>
        <v>-19728.246720000003</v>
      </c>
      <c r="BO279" s="6">
        <f>(Grandview_Inventory[[#This Row],[att_gar]]+Grandview_Inventory[[#This Row],[bltin_gar]])*Lookups!$B$17</f>
        <v>44810.463744000001</v>
      </c>
      <c r="BP279" s="6">
        <f>Grandview_Inventory[[#This Row],[Plumbing Fixtures]]*Lookups!$B$18</f>
        <v>16083.5344</v>
      </c>
      <c r="BQ279" s="6">
        <f>Grandview_Inventory[[#This Row],[detatched_value]]*Lookups!$B$19</f>
        <v>0</v>
      </c>
      <c r="BR279" s="6">
        <f>SUM(Grandview_Inventory[[#This Row],[Intercept]:[det_value]])*Grandview_Inventory[[#This Row],[res_pct]]</f>
        <v>351478.31431500003</v>
      </c>
      <c r="BS279" s="6">
        <f>Grandview_Inventory[[#This Row],[land_value]]</f>
        <v>51342.318135355803</v>
      </c>
      <c r="BT279" s="4">
        <f>_xlfn.IFNA(VLOOKUP(Grandview_Inventory[[#This Row],[quality]],Lookups!$A$26:$C$33,3,FALSE),1)</f>
        <v>0.98763855981004833</v>
      </c>
      <c r="BU279" s="4">
        <f>_xlfn.IFNA(VLOOKUP(Grandview_Inventory[[#This Row],[condition]],Lookups!$A$37:$C$44,3,FALSE),1)</f>
        <v>0.97383723671140243</v>
      </c>
      <c r="BV279" s="4">
        <f>IF(Grandview_Inventory[[#This Row],[bldg_style]]="",1,_xlfn.IFNA(VLOOKUP(Grandview_Inventory[[#This Row],[decade]],Lookups!$F$29:$H$43,3,FALSE),1))</f>
        <v>0.9871940091910919</v>
      </c>
      <c r="BW279" s="4">
        <f>_xlfn.IFNA(VLOOKUP(Grandview_Inventory[[#This Row],[living_area_range]],Lookups!$F$47:$H$56,3,FALSE),1)</f>
        <v>0.95799442568048754</v>
      </c>
      <c r="BX279" s="4">
        <f>AVERAGE(Grandview_Inventory[[#This Row],[qual_adj]:[size_adj]])</f>
        <v>0.97666605784825755</v>
      </c>
      <c r="BY279" s="6">
        <f>IF(Grandview_Inventory[[#This Row],[pre_res]]&lt;0,0,Grandview_Inventory[[#This Row],[pre_res]]*Grandview_Inventory[[#This Row],[overall_adj]])</f>
        <v>343276.93966118188</v>
      </c>
      <c r="BZ279" s="6">
        <f>(Grandview_Inventory[[#This Row],[sum_land]]-IF(Grandview_Inventory[[#This Row],[no_utilities]]=1,12000,0))/IF(Grandview_Inventory[[#This Row],[unbuildable]]=1,2,1)</f>
        <v>51342.318135355803</v>
      </c>
      <c r="CA27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79">
        <f>ROUND(Grandview_Inventory[[#This Row],[det_value]]*Lookups!$M$28,-2)</f>
        <v>0</v>
      </c>
      <c r="CC279">
        <f>IF(ROUND(Grandview_Inventory[[#This Row],[adj_res]]*Lookups!$M$28,-2)&lt;Grandview_Inventory[[#This Row],[min_res]],Grandview_Inventory[[#This Row],[min_res]],ROUND(Grandview_Inventory[[#This Row],[adj_res]]*Lookups!$M$28,-2))</f>
        <v>326100</v>
      </c>
      <c r="CD279">
        <f>Grandview_Inventory[[#This Row],[final_det]]+Grandview_Inventory[[#This Row],[final_res]]</f>
        <v>326100</v>
      </c>
      <c r="CE279">
        <f>Grandview_Inventory[[#This Row],[final_land]]+Grandview_Inventory[[#This Row],[final_imp]]+Grandview_Inventory[[#This Row],[crop_value]]</f>
        <v>374900</v>
      </c>
      <c r="CG279" t="str">
        <f t="shared" si="4"/>
        <v>update valuation set market_land =48800, market_bldg=326100, market_total =374900, market_mdno =401, market_date ='9/10/2023' where link_id = (select link_id from parcel where parcel_year = '2024' and parcel_id = '23091443419');</v>
      </c>
    </row>
    <row r="280" spans="1:85" x14ac:dyDescent="0.25">
      <c r="A280">
        <v>23091443420</v>
      </c>
      <c r="B280">
        <v>0.23</v>
      </c>
      <c r="C280">
        <v>9900</v>
      </c>
      <c r="D280" t="s">
        <v>129</v>
      </c>
      <c r="E280" t="s">
        <v>53</v>
      </c>
      <c r="F280" t="s">
        <v>53</v>
      </c>
      <c r="G280">
        <v>4</v>
      </c>
      <c r="H280" t="s">
        <v>54</v>
      </c>
      <c r="I280">
        <v>185200</v>
      </c>
      <c r="J280">
        <v>41100</v>
      </c>
      <c r="K280">
        <v>0.23</v>
      </c>
      <c r="L28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80">
        <v>0</v>
      </c>
      <c r="N280">
        <v>0</v>
      </c>
      <c r="O280">
        <v>0</v>
      </c>
      <c r="P280">
        <v>13398.7528</v>
      </c>
      <c r="Q280">
        <v>63903</v>
      </c>
      <c r="R280">
        <f>(Grandview_Inventory[[#This Row],[ln_acres]]*Grandview_Inventory[[#This Row],[coeff]])+Grandview_Inventory[[#This Row],[const]]</f>
        <v>44211.174981080039</v>
      </c>
      <c r="S280" t="s">
        <v>61</v>
      </c>
      <c r="T280">
        <v>1</v>
      </c>
      <c r="U280" t="s">
        <v>65</v>
      </c>
      <c r="V280" t="s">
        <v>69</v>
      </c>
      <c r="W280">
        <v>0</v>
      </c>
      <c r="X280">
        <v>0</v>
      </c>
      <c r="Y280">
        <v>44</v>
      </c>
      <c r="Z280">
        <v>47</v>
      </c>
      <c r="AA280">
        <v>50</v>
      </c>
      <c r="AB280">
        <v>1500</v>
      </c>
      <c r="AC280">
        <v>1416</v>
      </c>
      <c r="AD280">
        <v>1416</v>
      </c>
      <c r="AE280">
        <v>0</v>
      </c>
      <c r="AF280">
        <v>0</v>
      </c>
      <c r="AG280">
        <v>0</v>
      </c>
      <c r="AH280">
        <v>0</v>
      </c>
      <c r="AI280">
        <v>480</v>
      </c>
      <c r="AJ280">
        <v>0</v>
      </c>
      <c r="AK280">
        <v>0</v>
      </c>
      <c r="AL280">
        <v>0</v>
      </c>
      <c r="AM280">
        <v>182</v>
      </c>
      <c r="AN280">
        <v>0</v>
      </c>
      <c r="AO280">
        <v>334</v>
      </c>
      <c r="AP280">
        <v>7</v>
      </c>
      <c r="AQ280">
        <v>0</v>
      </c>
      <c r="AR280">
        <v>0</v>
      </c>
      <c r="AS280" t="s">
        <v>58</v>
      </c>
      <c r="AT280">
        <v>1</v>
      </c>
      <c r="AU280" t="s">
        <v>59</v>
      </c>
      <c r="AV280" t="s">
        <v>60</v>
      </c>
      <c r="AW280">
        <v>1</v>
      </c>
      <c r="AX280">
        <v>3</v>
      </c>
      <c r="AY280">
        <v>0</v>
      </c>
      <c r="AZ280">
        <v>0</v>
      </c>
      <c r="BA280">
        <v>100</v>
      </c>
      <c r="BB280">
        <v>100</v>
      </c>
      <c r="BC280">
        <v>100</v>
      </c>
      <c r="BD280">
        <v>100</v>
      </c>
      <c r="BE280">
        <v>1</v>
      </c>
      <c r="BF280">
        <v>15000</v>
      </c>
      <c r="BG280">
        <v>1000</v>
      </c>
      <c r="BH280" s="6">
        <f>Grandview_Inventory[[#This Row],[land_extract]]*Lookups!$B$3</f>
        <v>51342.318135355803</v>
      </c>
      <c r="BI280" s="6">
        <f>IF(Grandview_Inventory[[#This Row],[bldg_style]]="",0,Lookups!$B$2)</f>
        <v>155833.95000000001</v>
      </c>
      <c r="BJ280" s="6">
        <f>_xlfn.IFNA(VLOOKUP(Grandview_Inventory[[#This Row],[quality]],Lookups!$H$2:$J$14,3,FALSE),0)</f>
        <v>2251</v>
      </c>
      <c r="BK280" s="6">
        <f>_xlfn.IFNA(VLOOKUP(Grandview_Inventory[[#This Row],[condition]],Lookups!$H$17:$J$24,3,FALSE),0)</f>
        <v>-4503</v>
      </c>
      <c r="BL280" s="6">
        <f>Grandview_Inventory[[#This Row],[Eff_Age]]*Lookups!$B$14</f>
        <v>-10523.330399999999</v>
      </c>
      <c r="BM280" s="6">
        <f>Grandview_Inventory[[#This Row],[living_area]]*Lookups!$B$15</f>
        <v>88331.287848000007</v>
      </c>
      <c r="BN280" s="6">
        <f>Grandview_Inventory[[#This Row],[Fin BSMT]]*Lookups!$B$16</f>
        <v>0</v>
      </c>
      <c r="BO280" s="6">
        <f>(Grandview_Inventory[[#This Row],[att_gar]]+Grandview_Inventory[[#This Row],[bltin_gar]])*Lookups!$B$17</f>
        <v>42009.809760000004</v>
      </c>
      <c r="BP280" s="6">
        <f>Grandview_Inventory[[#This Row],[Plumbing Fixtures]]*Lookups!$B$18</f>
        <v>14073.0926</v>
      </c>
      <c r="BQ280" s="6">
        <f>Grandview_Inventory[[#This Row],[detatched_value]]*Lookups!$B$19</f>
        <v>0</v>
      </c>
      <c r="BR280" s="6">
        <f>SUM(Grandview_Inventory[[#This Row],[Intercept]:[det_value]])*Grandview_Inventory[[#This Row],[res_pct]]</f>
        <v>287472.80980799999</v>
      </c>
      <c r="BS280" s="6">
        <f>Grandview_Inventory[[#This Row],[land_value]]</f>
        <v>51342.318135355803</v>
      </c>
      <c r="BT280" s="4">
        <f>_xlfn.IFNA(VLOOKUP(Grandview_Inventory[[#This Row],[quality]],Lookups!$A$26:$C$33,3,FALSE),1)</f>
        <v>0.98763855981004833</v>
      </c>
      <c r="BU280" s="4">
        <f>_xlfn.IFNA(VLOOKUP(Grandview_Inventory[[#This Row],[condition]],Lookups!$A$37:$C$44,3,FALSE),1)</f>
        <v>0.96469275950863709</v>
      </c>
      <c r="BV280" s="4">
        <f>IF(Grandview_Inventory[[#This Row],[bldg_style]]="",1,_xlfn.IFNA(VLOOKUP(Grandview_Inventory[[#This Row],[decade]],Lookups!$F$29:$H$43,3,FALSE),1))</f>
        <v>0.9871940091910919</v>
      </c>
      <c r="BW280" s="4">
        <f>_xlfn.IFNA(VLOOKUP(Grandview_Inventory[[#This Row],[living_area_range]],Lookups!$F$47:$H$56,3,FALSE),1)</f>
        <v>0.96135087979789358</v>
      </c>
      <c r="BX280" s="4">
        <f>AVERAGE(Grandview_Inventory[[#This Row],[qual_adj]:[size_adj]])</f>
        <v>0.97521905207691773</v>
      </c>
      <c r="BY280" s="6">
        <f>IF(Grandview_Inventory[[#This Row],[pre_res]]&lt;0,0,Grandview_Inventory[[#This Row],[pre_res]]*Grandview_Inventory[[#This Row],[overall_adj]])</f>
        <v>280348.96107884578</v>
      </c>
      <c r="BZ280" s="6">
        <f>(Grandview_Inventory[[#This Row],[sum_land]]-IF(Grandview_Inventory[[#This Row],[no_utilities]]=1,12000,0))/IF(Grandview_Inventory[[#This Row],[unbuildable]]=1,2,1)</f>
        <v>51342.318135355803</v>
      </c>
      <c r="CA28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80">
        <f>ROUND(Grandview_Inventory[[#This Row],[det_value]]*Lookups!$M$28,-2)</f>
        <v>0</v>
      </c>
      <c r="CC280">
        <f>IF(ROUND(Grandview_Inventory[[#This Row],[adj_res]]*Lookups!$M$28,-2)&lt;Grandview_Inventory[[#This Row],[min_res]],Grandview_Inventory[[#This Row],[min_res]],ROUND(Grandview_Inventory[[#This Row],[adj_res]]*Lookups!$M$28,-2))</f>
        <v>266300</v>
      </c>
      <c r="CD280">
        <f>Grandview_Inventory[[#This Row],[final_det]]+Grandview_Inventory[[#This Row],[final_res]]</f>
        <v>266300</v>
      </c>
      <c r="CE280">
        <f>Grandview_Inventory[[#This Row],[final_land]]+Grandview_Inventory[[#This Row],[final_imp]]+Grandview_Inventory[[#This Row],[crop_value]]</f>
        <v>315100</v>
      </c>
      <c r="CG280" t="str">
        <f t="shared" si="4"/>
        <v>update valuation set market_land =48800, market_bldg=266300, market_total =315100, market_mdno =401, market_date ='9/10/2023' where link_id = (select link_id from parcel where parcel_year = '2024' and parcel_id = '23091443420');</v>
      </c>
    </row>
    <row r="281" spans="1:85" x14ac:dyDescent="0.25">
      <c r="A281">
        <v>23091443421</v>
      </c>
      <c r="B281">
        <v>0.23</v>
      </c>
      <c r="C281">
        <v>9906</v>
      </c>
      <c r="D281" t="s">
        <v>129</v>
      </c>
      <c r="E281" t="s">
        <v>53</v>
      </c>
      <c r="F281" t="s">
        <v>53</v>
      </c>
      <c r="G281">
        <v>4</v>
      </c>
      <c r="H281" t="s">
        <v>54</v>
      </c>
      <c r="I281">
        <v>195600</v>
      </c>
      <c r="J281">
        <v>43800</v>
      </c>
      <c r="K281">
        <v>0.23</v>
      </c>
      <c r="L28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81">
        <v>0</v>
      </c>
      <c r="N281">
        <v>0</v>
      </c>
      <c r="O281">
        <v>0</v>
      </c>
      <c r="P281">
        <v>13398.7528</v>
      </c>
      <c r="Q281">
        <v>63903</v>
      </c>
      <c r="R281">
        <f>(Grandview_Inventory[[#This Row],[ln_acres]]*Grandview_Inventory[[#This Row],[coeff]])+Grandview_Inventory[[#This Row],[const]]</f>
        <v>44211.174981080039</v>
      </c>
      <c r="S281" t="s">
        <v>61</v>
      </c>
      <c r="T281">
        <v>1</v>
      </c>
      <c r="U281" t="s">
        <v>65</v>
      </c>
      <c r="V281" t="s">
        <v>69</v>
      </c>
      <c r="W281">
        <v>0</v>
      </c>
      <c r="X281">
        <v>0</v>
      </c>
      <c r="Y281">
        <v>43</v>
      </c>
      <c r="Z281">
        <v>45</v>
      </c>
      <c r="AA281">
        <v>50</v>
      </c>
      <c r="AB281">
        <v>1500</v>
      </c>
      <c r="AC281">
        <v>1410</v>
      </c>
      <c r="AD281">
        <v>1410</v>
      </c>
      <c r="AE281">
        <v>0</v>
      </c>
      <c r="AF281">
        <v>0</v>
      </c>
      <c r="AG281">
        <v>0</v>
      </c>
      <c r="AH281">
        <v>0</v>
      </c>
      <c r="AI281">
        <v>550</v>
      </c>
      <c r="AJ281">
        <v>0</v>
      </c>
      <c r="AK281">
        <v>0</v>
      </c>
      <c r="AL281">
        <v>0</v>
      </c>
      <c r="AM281">
        <v>60</v>
      </c>
      <c r="AN281">
        <v>0</v>
      </c>
      <c r="AO281">
        <v>0</v>
      </c>
      <c r="AP281">
        <v>8</v>
      </c>
      <c r="AQ281">
        <v>0</v>
      </c>
      <c r="AR281">
        <v>0</v>
      </c>
      <c r="AS281" t="s">
        <v>58</v>
      </c>
      <c r="AT281">
        <v>1</v>
      </c>
      <c r="AU281" t="s">
        <v>63</v>
      </c>
      <c r="AV281" t="s">
        <v>60</v>
      </c>
      <c r="AW281">
        <v>1</v>
      </c>
      <c r="AX281">
        <v>3</v>
      </c>
      <c r="AY281">
        <v>0</v>
      </c>
      <c r="AZ281">
        <v>0</v>
      </c>
      <c r="BA281">
        <v>100</v>
      </c>
      <c r="BB281">
        <v>100</v>
      </c>
      <c r="BC281">
        <v>100</v>
      </c>
      <c r="BD281">
        <v>100</v>
      </c>
      <c r="BE281">
        <v>1</v>
      </c>
      <c r="BF281">
        <v>15000</v>
      </c>
      <c r="BG281">
        <v>1000</v>
      </c>
      <c r="BH281" s="6">
        <f>Grandview_Inventory[[#This Row],[land_extract]]*Lookups!$B$3</f>
        <v>51342.318135355803</v>
      </c>
      <c r="BI281" s="6">
        <f>IF(Grandview_Inventory[[#This Row],[bldg_style]]="",0,Lookups!$B$2)</f>
        <v>155833.95000000001</v>
      </c>
      <c r="BJ281" s="6">
        <f>_xlfn.IFNA(VLOOKUP(Grandview_Inventory[[#This Row],[quality]],Lookups!$H$2:$J$14,3,FALSE),0)</f>
        <v>2251</v>
      </c>
      <c r="BK281" s="6">
        <f>_xlfn.IFNA(VLOOKUP(Grandview_Inventory[[#This Row],[condition]],Lookups!$H$17:$J$24,3,FALSE),0)</f>
        <v>-4503</v>
      </c>
      <c r="BL281" s="6">
        <f>Grandview_Inventory[[#This Row],[Eff_Age]]*Lookups!$B$14</f>
        <v>-10284.1638</v>
      </c>
      <c r="BM281" s="6">
        <f>Grandview_Inventory[[#This Row],[living_area]]*Lookups!$B$15</f>
        <v>87957.002730000007</v>
      </c>
      <c r="BN281" s="6">
        <f>Grandview_Inventory[[#This Row],[Fin BSMT]]*Lookups!$B$16</f>
        <v>0</v>
      </c>
      <c r="BO281" s="6">
        <f>(Grandview_Inventory[[#This Row],[att_gar]]+Grandview_Inventory[[#This Row],[bltin_gar]])*Lookups!$B$17</f>
        <v>48136.24035</v>
      </c>
      <c r="BP281" s="6">
        <f>Grandview_Inventory[[#This Row],[Plumbing Fixtures]]*Lookups!$B$18</f>
        <v>16083.5344</v>
      </c>
      <c r="BQ281" s="6">
        <f>Grandview_Inventory[[#This Row],[detatched_value]]*Lookups!$B$19</f>
        <v>0</v>
      </c>
      <c r="BR281" s="6">
        <f>SUM(Grandview_Inventory[[#This Row],[Intercept]:[det_value]])*Grandview_Inventory[[#This Row],[res_pct]]</f>
        <v>295474.56368000002</v>
      </c>
      <c r="BS281" s="6">
        <f>Grandview_Inventory[[#This Row],[land_value]]</f>
        <v>51342.318135355803</v>
      </c>
      <c r="BT281" s="4">
        <f>_xlfn.IFNA(VLOOKUP(Grandview_Inventory[[#This Row],[quality]],Lookups!$A$26:$C$33,3,FALSE),1)</f>
        <v>0.98763855981004833</v>
      </c>
      <c r="BU281" s="4">
        <f>_xlfn.IFNA(VLOOKUP(Grandview_Inventory[[#This Row],[condition]],Lookups!$A$37:$C$44,3,FALSE),1)</f>
        <v>0.96469275950863709</v>
      </c>
      <c r="BV281" s="4">
        <f>IF(Grandview_Inventory[[#This Row],[bldg_style]]="",1,_xlfn.IFNA(VLOOKUP(Grandview_Inventory[[#This Row],[decade]],Lookups!$F$29:$H$43,3,FALSE),1))</f>
        <v>0.9871940091910919</v>
      </c>
      <c r="BW281" s="4">
        <f>_xlfn.IFNA(VLOOKUP(Grandview_Inventory[[#This Row],[living_area_range]],Lookups!$F$47:$H$56,3,FALSE),1)</f>
        <v>0.96135087979789358</v>
      </c>
      <c r="BX281" s="4">
        <f>AVERAGE(Grandview_Inventory[[#This Row],[qual_adj]:[size_adj]])</f>
        <v>0.97521905207691773</v>
      </c>
      <c r="BY281" s="6">
        <f>IF(Grandview_Inventory[[#This Row],[pre_res]]&lt;0,0,Grandview_Inventory[[#This Row],[pre_res]]*Grandview_Inventory[[#This Row],[overall_adj]])</f>
        <v>288152.4239048505</v>
      </c>
      <c r="BZ281" s="6">
        <f>(Grandview_Inventory[[#This Row],[sum_land]]-IF(Grandview_Inventory[[#This Row],[no_utilities]]=1,12000,0))/IF(Grandview_Inventory[[#This Row],[unbuildable]]=1,2,1)</f>
        <v>51342.318135355803</v>
      </c>
      <c r="CA28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81">
        <f>ROUND(Grandview_Inventory[[#This Row],[det_value]]*Lookups!$M$28,-2)</f>
        <v>0</v>
      </c>
      <c r="CC281">
        <f>IF(ROUND(Grandview_Inventory[[#This Row],[adj_res]]*Lookups!$M$28,-2)&lt;Grandview_Inventory[[#This Row],[min_res]],Grandview_Inventory[[#This Row],[min_res]],ROUND(Grandview_Inventory[[#This Row],[adj_res]]*Lookups!$M$28,-2))</f>
        <v>273700</v>
      </c>
      <c r="CD281">
        <f>Grandview_Inventory[[#This Row],[final_det]]+Grandview_Inventory[[#This Row],[final_res]]</f>
        <v>273700</v>
      </c>
      <c r="CE281">
        <f>Grandview_Inventory[[#This Row],[final_land]]+Grandview_Inventory[[#This Row],[final_imp]]+Grandview_Inventory[[#This Row],[crop_value]]</f>
        <v>322500</v>
      </c>
      <c r="CG281" t="str">
        <f t="shared" si="4"/>
        <v>update valuation set market_land =48800, market_bldg=273700, market_total =322500, market_mdno =401, market_date ='9/10/2023' where link_id = (select link_id from parcel where parcel_year = '2024' and parcel_id = '23091443421');</v>
      </c>
    </row>
    <row r="282" spans="1:85" x14ac:dyDescent="0.25">
      <c r="A282">
        <v>23091443422</v>
      </c>
      <c r="B282">
        <v>0.24</v>
      </c>
      <c r="C282">
        <v>10413</v>
      </c>
      <c r="D282" t="s">
        <v>129</v>
      </c>
      <c r="E282" t="s">
        <v>53</v>
      </c>
      <c r="F282" t="s">
        <v>53</v>
      </c>
      <c r="G282">
        <v>4</v>
      </c>
      <c r="H282" t="s">
        <v>54</v>
      </c>
      <c r="I282">
        <v>243900</v>
      </c>
      <c r="J282">
        <v>44200</v>
      </c>
      <c r="K282">
        <v>0.24</v>
      </c>
      <c r="L282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82">
        <v>0</v>
      </c>
      <c r="N282">
        <v>0</v>
      </c>
      <c r="O282">
        <v>0</v>
      </c>
      <c r="P282">
        <v>13398.7528</v>
      </c>
      <c r="Q282">
        <v>63903</v>
      </c>
      <c r="R282">
        <f>(Grandview_Inventory[[#This Row],[ln_acres]]*Grandview_Inventory[[#This Row],[coeff]])+Grandview_Inventory[[#This Row],[const]]</f>
        <v>44781.420733940802</v>
      </c>
      <c r="S282" t="s">
        <v>61</v>
      </c>
      <c r="T282">
        <v>1</v>
      </c>
      <c r="U282" t="s">
        <v>65</v>
      </c>
      <c r="V282" t="s">
        <v>69</v>
      </c>
      <c r="W282">
        <v>0</v>
      </c>
      <c r="X282">
        <v>0</v>
      </c>
      <c r="Y282">
        <v>44</v>
      </c>
      <c r="Z282">
        <v>46</v>
      </c>
      <c r="AA282">
        <v>50</v>
      </c>
      <c r="AB282">
        <v>2500</v>
      </c>
      <c r="AC282">
        <v>2143</v>
      </c>
      <c r="AD282">
        <v>2143</v>
      </c>
      <c r="AE282">
        <v>0</v>
      </c>
      <c r="AF282">
        <v>0</v>
      </c>
      <c r="AG282">
        <v>0</v>
      </c>
      <c r="AH282">
        <v>0</v>
      </c>
      <c r="AI282">
        <v>460</v>
      </c>
      <c r="AJ282">
        <v>0</v>
      </c>
      <c r="AK282">
        <v>0</v>
      </c>
      <c r="AL282">
        <v>0</v>
      </c>
      <c r="AM282">
        <v>120</v>
      </c>
      <c r="AN282">
        <v>140</v>
      </c>
      <c r="AO282">
        <v>140</v>
      </c>
      <c r="AP282">
        <v>10</v>
      </c>
      <c r="AQ282">
        <v>0</v>
      </c>
      <c r="AR282">
        <v>0</v>
      </c>
      <c r="AS282" t="s">
        <v>76</v>
      </c>
      <c r="AT282">
        <v>1</v>
      </c>
      <c r="AU282" t="s">
        <v>63</v>
      </c>
      <c r="AV282" t="s">
        <v>60</v>
      </c>
      <c r="AW282">
        <v>1</v>
      </c>
      <c r="AX282">
        <v>3</v>
      </c>
      <c r="AY282">
        <v>0</v>
      </c>
      <c r="AZ282">
        <v>0</v>
      </c>
      <c r="BA282">
        <v>100</v>
      </c>
      <c r="BB282">
        <v>100</v>
      </c>
      <c r="BC282">
        <v>100</v>
      </c>
      <c r="BD282">
        <v>100</v>
      </c>
      <c r="BE282">
        <v>1</v>
      </c>
      <c r="BF282">
        <v>15000</v>
      </c>
      <c r="BG282">
        <v>1000</v>
      </c>
      <c r="BH282" s="6">
        <f>Grandview_Inventory[[#This Row],[land_extract]]*Lookups!$B$3</f>
        <v>52004.542988489469</v>
      </c>
      <c r="BI282" s="6">
        <f>IF(Grandview_Inventory[[#This Row],[bldg_style]]="",0,Lookups!$B$2)</f>
        <v>155833.95000000001</v>
      </c>
      <c r="BJ282" s="6">
        <f>_xlfn.IFNA(VLOOKUP(Grandview_Inventory[[#This Row],[quality]],Lookups!$H$2:$J$14,3,FALSE),0)</f>
        <v>2251</v>
      </c>
      <c r="BK282" s="6">
        <f>_xlfn.IFNA(VLOOKUP(Grandview_Inventory[[#This Row],[condition]],Lookups!$H$17:$J$24,3,FALSE),0)</f>
        <v>-4503</v>
      </c>
      <c r="BL282" s="6">
        <f>Grandview_Inventory[[#This Row],[Eff_Age]]*Lookups!$B$14</f>
        <v>-10523.330399999999</v>
      </c>
      <c r="BM282" s="6">
        <f>Grandview_Inventory[[#This Row],[living_area]]*Lookups!$B$15</f>
        <v>133682.16797899999</v>
      </c>
      <c r="BN282" s="6">
        <f>Grandview_Inventory[[#This Row],[Fin BSMT]]*Lookups!$B$16</f>
        <v>0</v>
      </c>
      <c r="BO282" s="6">
        <f>(Grandview_Inventory[[#This Row],[att_gar]]+Grandview_Inventory[[#This Row],[bltin_gar]])*Lookups!$B$17</f>
        <v>40259.401019999998</v>
      </c>
      <c r="BP282" s="6">
        <f>Grandview_Inventory[[#This Row],[Plumbing Fixtures]]*Lookups!$B$18</f>
        <v>20104.418000000001</v>
      </c>
      <c r="BQ282" s="6">
        <f>Grandview_Inventory[[#This Row],[detatched_value]]*Lookups!$B$19</f>
        <v>0</v>
      </c>
      <c r="BR282" s="6">
        <f>SUM(Grandview_Inventory[[#This Row],[Intercept]:[det_value]])*Grandview_Inventory[[#This Row],[res_pct]]</f>
        <v>337104.60659899999</v>
      </c>
      <c r="BS282" s="6">
        <f>Grandview_Inventory[[#This Row],[land_value]]</f>
        <v>52004.542988489469</v>
      </c>
      <c r="BT282" s="4">
        <f>_xlfn.IFNA(VLOOKUP(Grandview_Inventory[[#This Row],[quality]],Lookups!$A$26:$C$33,3,FALSE),1)</f>
        <v>0.98763855981004833</v>
      </c>
      <c r="BU282" s="4">
        <f>_xlfn.IFNA(VLOOKUP(Grandview_Inventory[[#This Row],[condition]],Lookups!$A$37:$C$44,3,FALSE),1)</f>
        <v>0.96469275950863709</v>
      </c>
      <c r="BV282" s="4">
        <f>IF(Grandview_Inventory[[#This Row],[bldg_style]]="",1,_xlfn.IFNA(VLOOKUP(Grandview_Inventory[[#This Row],[decade]],Lookups!$F$29:$H$43,3,FALSE),1))</f>
        <v>0.9871940091910919</v>
      </c>
      <c r="BW282" s="4">
        <f>_xlfn.IFNA(VLOOKUP(Grandview_Inventory[[#This Row],[living_area_range]],Lookups!$F$47:$H$56,3,FALSE),1)</f>
        <v>0.95799442568048754</v>
      </c>
      <c r="BX282" s="4">
        <f>AVERAGE(Grandview_Inventory[[#This Row],[qual_adj]:[size_adj]])</f>
        <v>0.97437993854756622</v>
      </c>
      <c r="BY282" s="6">
        <f>IF(Grandview_Inventory[[#This Row],[pre_res]]&lt;0,0,Grandview_Inventory[[#This Row],[pre_res]]*Grandview_Inventory[[#This Row],[overall_adj]])</f>
        <v>328467.96586203511</v>
      </c>
      <c r="BZ282" s="6">
        <f>(Grandview_Inventory[[#This Row],[sum_land]]-IF(Grandview_Inventory[[#This Row],[no_utilities]]=1,12000,0))/IF(Grandview_Inventory[[#This Row],[unbuildable]]=1,2,1)</f>
        <v>52004.542988489469</v>
      </c>
      <c r="CA282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82">
        <f>ROUND(Grandview_Inventory[[#This Row],[det_value]]*Lookups!$M$28,-2)</f>
        <v>0</v>
      </c>
      <c r="CC282">
        <f>IF(ROUND(Grandview_Inventory[[#This Row],[adj_res]]*Lookups!$M$28,-2)&lt;Grandview_Inventory[[#This Row],[min_res]],Grandview_Inventory[[#This Row],[min_res]],ROUND(Grandview_Inventory[[#This Row],[adj_res]]*Lookups!$M$28,-2))</f>
        <v>312000</v>
      </c>
      <c r="CD282">
        <f>Grandview_Inventory[[#This Row],[final_det]]+Grandview_Inventory[[#This Row],[final_res]]</f>
        <v>312000</v>
      </c>
      <c r="CE282">
        <f>Grandview_Inventory[[#This Row],[final_land]]+Grandview_Inventory[[#This Row],[final_imp]]+Grandview_Inventory[[#This Row],[crop_value]]</f>
        <v>361400</v>
      </c>
      <c r="CG282" t="str">
        <f t="shared" si="4"/>
        <v>update valuation set market_land =49400, market_bldg=312000, market_total =361400, market_mdno =401, market_date ='9/10/2023' where link_id = (select link_id from parcel where parcel_year = '2024' and parcel_id = '23091443422');</v>
      </c>
    </row>
    <row r="283" spans="1:85" x14ac:dyDescent="0.25">
      <c r="A283">
        <v>23091443427</v>
      </c>
      <c r="B283">
        <v>0.25</v>
      </c>
      <c r="C283">
        <v>10826</v>
      </c>
      <c r="D283" t="s">
        <v>129</v>
      </c>
      <c r="E283" t="s">
        <v>53</v>
      </c>
      <c r="F283" t="s">
        <v>53</v>
      </c>
      <c r="G283">
        <v>4</v>
      </c>
      <c r="H283" t="s">
        <v>54</v>
      </c>
      <c r="I283">
        <v>229900</v>
      </c>
      <c r="J283">
        <v>40000</v>
      </c>
      <c r="K283">
        <v>0.25</v>
      </c>
      <c r="L283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83">
        <v>0</v>
      </c>
      <c r="N283">
        <v>0</v>
      </c>
      <c r="O283">
        <v>0</v>
      </c>
      <c r="P283">
        <v>13398.7528</v>
      </c>
      <c r="Q283">
        <v>63903</v>
      </c>
      <c r="R283">
        <f>(Grandview_Inventory[[#This Row],[ln_acres]]*Grandview_Inventory[[#This Row],[coeff]])+Grandview_Inventory[[#This Row],[const]]</f>
        <v>45328.38454732066</v>
      </c>
      <c r="S283" t="s">
        <v>61</v>
      </c>
      <c r="T283">
        <v>1</v>
      </c>
      <c r="U283" t="s">
        <v>65</v>
      </c>
      <c r="V283" t="s">
        <v>69</v>
      </c>
      <c r="W283">
        <v>0</v>
      </c>
      <c r="X283">
        <v>0</v>
      </c>
      <c r="Y283">
        <v>43</v>
      </c>
      <c r="Z283">
        <v>45</v>
      </c>
      <c r="AA283">
        <v>50</v>
      </c>
      <c r="AB283">
        <v>2000</v>
      </c>
      <c r="AC283">
        <v>1784</v>
      </c>
      <c r="AD283">
        <v>1784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144</v>
      </c>
      <c r="AN283">
        <v>0</v>
      </c>
      <c r="AO283">
        <v>0</v>
      </c>
      <c r="AP283">
        <v>7</v>
      </c>
      <c r="AQ283">
        <v>1</v>
      </c>
      <c r="AR283">
        <v>0</v>
      </c>
      <c r="AS283" t="s">
        <v>58</v>
      </c>
      <c r="AT283">
        <v>1</v>
      </c>
      <c r="AU283" t="s">
        <v>63</v>
      </c>
      <c r="AV283" t="s">
        <v>60</v>
      </c>
      <c r="AW283">
        <v>1</v>
      </c>
      <c r="AX283">
        <v>3</v>
      </c>
      <c r="AY283">
        <v>0</v>
      </c>
      <c r="AZ283">
        <v>34600</v>
      </c>
      <c r="BA283">
        <v>100</v>
      </c>
      <c r="BB283">
        <v>100</v>
      </c>
      <c r="BC283">
        <v>100</v>
      </c>
      <c r="BD283">
        <v>100</v>
      </c>
      <c r="BE283">
        <v>1</v>
      </c>
      <c r="BF283">
        <v>15000</v>
      </c>
      <c r="BG283">
        <v>1000</v>
      </c>
      <c r="BH283" s="6">
        <f>Grandview_Inventory[[#This Row],[land_extract]]*Lookups!$B$3</f>
        <v>52639.730588165206</v>
      </c>
      <c r="BI283" s="6">
        <f>IF(Grandview_Inventory[[#This Row],[bldg_style]]="",0,Lookups!$B$2)</f>
        <v>155833.95000000001</v>
      </c>
      <c r="BJ283" s="6">
        <f>_xlfn.IFNA(VLOOKUP(Grandview_Inventory[[#This Row],[quality]],Lookups!$H$2:$J$14,3,FALSE),0)</f>
        <v>2251</v>
      </c>
      <c r="BK283" s="6">
        <f>_xlfn.IFNA(VLOOKUP(Grandview_Inventory[[#This Row],[condition]],Lookups!$H$17:$J$24,3,FALSE),0)</f>
        <v>-4503</v>
      </c>
      <c r="BL283" s="6">
        <f>Grandview_Inventory[[#This Row],[Eff_Age]]*Lookups!$B$14</f>
        <v>-10284.1638</v>
      </c>
      <c r="BM283" s="6">
        <f>Grandview_Inventory[[#This Row],[living_area]]*Lookups!$B$15</f>
        <v>111287.441752</v>
      </c>
      <c r="BN283" s="6">
        <f>Grandview_Inventory[[#This Row],[Fin BSMT]]*Lookups!$B$16</f>
        <v>0</v>
      </c>
      <c r="BO283" s="6">
        <f>(Grandview_Inventory[[#This Row],[att_gar]]+Grandview_Inventory[[#This Row],[bltin_gar]])*Lookups!$B$17</f>
        <v>0</v>
      </c>
      <c r="BP283" s="6">
        <f>Grandview_Inventory[[#This Row],[Plumbing Fixtures]]*Lookups!$B$18</f>
        <v>14073.0926</v>
      </c>
      <c r="BQ283" s="6">
        <f>Grandview_Inventory[[#This Row],[detatched_value]]*Lookups!$B$19</f>
        <v>29299.456459999998</v>
      </c>
      <c r="BR283" s="6">
        <f>SUM(Grandview_Inventory[[#This Row],[Intercept]:[det_value]])*Grandview_Inventory[[#This Row],[res_pct]]</f>
        <v>297957.77701199998</v>
      </c>
      <c r="BS283" s="6">
        <f>Grandview_Inventory[[#This Row],[land_value]]</f>
        <v>52639.730588165206</v>
      </c>
      <c r="BT283" s="4">
        <f>_xlfn.IFNA(VLOOKUP(Grandview_Inventory[[#This Row],[quality]],Lookups!$A$26:$C$33,3,FALSE),1)</f>
        <v>0.98763855981004833</v>
      </c>
      <c r="BU283" s="4">
        <f>_xlfn.IFNA(VLOOKUP(Grandview_Inventory[[#This Row],[condition]],Lookups!$A$37:$C$44,3,FALSE),1)</f>
        <v>0.96469275950863709</v>
      </c>
      <c r="BV283" s="4">
        <f>IF(Grandview_Inventory[[#This Row],[bldg_style]]="",1,_xlfn.IFNA(VLOOKUP(Grandview_Inventory[[#This Row],[decade]],Lookups!$F$29:$H$43,3,FALSE),1))</f>
        <v>0.9871940091910919</v>
      </c>
      <c r="BW283" s="4">
        <f>_xlfn.IFNA(VLOOKUP(Grandview_Inventory[[#This Row],[living_area_range]],Lookups!$F$47:$H$56,3,FALSE),1)</f>
        <v>0.96120133463014379</v>
      </c>
      <c r="BX283" s="4">
        <f>AVERAGE(Grandview_Inventory[[#This Row],[qual_adj]:[size_adj]])</f>
        <v>0.97518166578498033</v>
      </c>
      <c r="BY283" s="6">
        <f>IF(Grandview_Inventory[[#This Row],[pre_res]]&lt;0,0,Grandview_Inventory[[#This Row],[pre_res]]*Grandview_Inventory[[#This Row],[overall_adj]])</f>
        <v>290562.96132015187</v>
      </c>
      <c r="BZ283" s="6">
        <f>(Grandview_Inventory[[#This Row],[sum_land]]-IF(Grandview_Inventory[[#This Row],[no_utilities]]=1,12000,0))/IF(Grandview_Inventory[[#This Row],[unbuildable]]=1,2,1)</f>
        <v>52639.730588165206</v>
      </c>
      <c r="CA283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83">
        <f>ROUND(Grandview_Inventory[[#This Row],[det_value]]*Lookups!$M$28,-2)</f>
        <v>27800</v>
      </c>
      <c r="CC283">
        <f>IF(ROUND(Grandview_Inventory[[#This Row],[adj_res]]*Lookups!$M$28,-2)&lt;Grandview_Inventory[[#This Row],[min_res]],Grandview_Inventory[[#This Row],[min_res]],ROUND(Grandview_Inventory[[#This Row],[adj_res]]*Lookups!$M$28,-2))</f>
        <v>276000</v>
      </c>
      <c r="CD283">
        <f>Grandview_Inventory[[#This Row],[final_det]]+Grandview_Inventory[[#This Row],[final_res]]</f>
        <v>303800</v>
      </c>
      <c r="CE283">
        <f>Grandview_Inventory[[#This Row],[final_land]]+Grandview_Inventory[[#This Row],[final_imp]]+Grandview_Inventory[[#This Row],[crop_value]]</f>
        <v>353800</v>
      </c>
      <c r="CG283" t="str">
        <f t="shared" si="4"/>
        <v>update valuation set market_land =50000, market_bldg=303800, market_total =353800, market_mdno =401, market_date ='9/10/2023' where link_id = (select link_id from parcel where parcel_year = '2024' and parcel_id = '23091443427');</v>
      </c>
    </row>
    <row r="284" spans="1:85" x14ac:dyDescent="0.25">
      <c r="A284">
        <v>23091443428</v>
      </c>
      <c r="B284">
        <v>0.21</v>
      </c>
      <c r="C284">
        <v>9222</v>
      </c>
      <c r="D284" t="s">
        <v>129</v>
      </c>
      <c r="E284" t="s">
        <v>53</v>
      </c>
      <c r="F284" t="s">
        <v>53</v>
      </c>
      <c r="G284">
        <v>4</v>
      </c>
      <c r="H284" t="s">
        <v>54</v>
      </c>
      <c r="I284">
        <v>227200</v>
      </c>
      <c r="J284">
        <v>39500</v>
      </c>
      <c r="K284">
        <v>0.21</v>
      </c>
      <c r="L28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84">
        <v>0</v>
      </c>
      <c r="N284">
        <v>0</v>
      </c>
      <c r="O284">
        <v>0</v>
      </c>
      <c r="P284">
        <v>13398.7528</v>
      </c>
      <c r="Q284">
        <v>63903</v>
      </c>
      <c r="R284">
        <f>(Grandview_Inventory[[#This Row],[ln_acres]]*Grandview_Inventory[[#This Row],[coeff]])+Grandview_Inventory[[#This Row],[const]]</f>
        <v>42992.266613125081</v>
      </c>
      <c r="S284" t="s">
        <v>61</v>
      </c>
      <c r="T284">
        <v>1</v>
      </c>
      <c r="U284" t="s">
        <v>65</v>
      </c>
      <c r="V284" t="s">
        <v>69</v>
      </c>
      <c r="W284">
        <v>0</v>
      </c>
      <c r="X284">
        <v>0</v>
      </c>
      <c r="Y284">
        <v>43</v>
      </c>
      <c r="Z284">
        <v>45</v>
      </c>
      <c r="AA284">
        <v>50</v>
      </c>
      <c r="AB284">
        <v>1500</v>
      </c>
      <c r="AC284">
        <v>1408</v>
      </c>
      <c r="AD284">
        <v>1408</v>
      </c>
      <c r="AE284">
        <v>0</v>
      </c>
      <c r="AF284">
        <v>0</v>
      </c>
      <c r="AG284">
        <v>0</v>
      </c>
      <c r="AH284">
        <v>0</v>
      </c>
      <c r="AI284">
        <v>528</v>
      </c>
      <c r="AJ284">
        <v>0</v>
      </c>
      <c r="AK284">
        <v>0</v>
      </c>
      <c r="AL284">
        <v>372</v>
      </c>
      <c r="AM284">
        <v>0</v>
      </c>
      <c r="AN284">
        <v>192</v>
      </c>
      <c r="AO284">
        <v>0</v>
      </c>
      <c r="AP284">
        <v>8</v>
      </c>
      <c r="AQ284">
        <v>1</v>
      </c>
      <c r="AR284">
        <v>0</v>
      </c>
      <c r="AS284" t="s">
        <v>58</v>
      </c>
      <c r="AT284">
        <v>1</v>
      </c>
      <c r="AU284" t="s">
        <v>63</v>
      </c>
      <c r="AV284" t="s">
        <v>60</v>
      </c>
      <c r="AW284">
        <v>1</v>
      </c>
      <c r="AX284">
        <v>3</v>
      </c>
      <c r="AY284">
        <v>0</v>
      </c>
      <c r="AZ284">
        <v>18100</v>
      </c>
      <c r="BA284">
        <v>100</v>
      </c>
      <c r="BB284">
        <v>100</v>
      </c>
      <c r="BC284">
        <v>100</v>
      </c>
      <c r="BD284">
        <v>100</v>
      </c>
      <c r="BE284">
        <v>1</v>
      </c>
      <c r="BF284">
        <v>15000</v>
      </c>
      <c r="BG284">
        <v>1000</v>
      </c>
      <c r="BH284" s="6">
        <f>Grandview_Inventory[[#This Row],[land_extract]]*Lookups!$B$3</f>
        <v>49926.8031387023</v>
      </c>
      <c r="BI284" s="6">
        <f>IF(Grandview_Inventory[[#This Row],[bldg_style]]="",0,Lookups!$B$2)</f>
        <v>155833.95000000001</v>
      </c>
      <c r="BJ284" s="6">
        <f>_xlfn.IFNA(VLOOKUP(Grandview_Inventory[[#This Row],[quality]],Lookups!$H$2:$J$14,3,FALSE),0)</f>
        <v>2251</v>
      </c>
      <c r="BK284" s="6">
        <f>_xlfn.IFNA(VLOOKUP(Grandview_Inventory[[#This Row],[condition]],Lookups!$H$17:$J$24,3,FALSE),0)</f>
        <v>-4503</v>
      </c>
      <c r="BL284" s="6">
        <f>Grandview_Inventory[[#This Row],[Eff_Age]]*Lookups!$B$14</f>
        <v>-10284.1638</v>
      </c>
      <c r="BM284" s="6">
        <f>Grandview_Inventory[[#This Row],[living_area]]*Lookups!$B$15</f>
        <v>87832.241024000003</v>
      </c>
      <c r="BN284" s="6">
        <f>Grandview_Inventory[[#This Row],[Fin BSMT]]*Lookups!$B$16</f>
        <v>0</v>
      </c>
      <c r="BO284" s="6">
        <f>(Grandview_Inventory[[#This Row],[att_gar]]+Grandview_Inventory[[#This Row],[bltin_gar]])*Lookups!$B$17</f>
        <v>46210.790736000003</v>
      </c>
      <c r="BP284" s="6">
        <f>Grandview_Inventory[[#This Row],[Plumbing Fixtures]]*Lookups!$B$18</f>
        <v>16083.5344</v>
      </c>
      <c r="BQ284" s="6">
        <f>Grandview_Inventory[[#This Row],[detatched_value]]*Lookups!$B$19</f>
        <v>15327.17231</v>
      </c>
      <c r="BR284" s="6">
        <f>SUM(Grandview_Inventory[[#This Row],[Intercept]:[det_value]])*Grandview_Inventory[[#This Row],[res_pct]]</f>
        <v>308751.52467000001</v>
      </c>
      <c r="BS284" s="6">
        <f>Grandview_Inventory[[#This Row],[land_value]]</f>
        <v>49926.8031387023</v>
      </c>
      <c r="BT284" s="4">
        <f>_xlfn.IFNA(VLOOKUP(Grandview_Inventory[[#This Row],[quality]],Lookups!$A$26:$C$33,3,FALSE),1)</f>
        <v>0.98763855981004833</v>
      </c>
      <c r="BU284" s="4">
        <f>_xlfn.IFNA(VLOOKUP(Grandview_Inventory[[#This Row],[condition]],Lookups!$A$37:$C$44,3,FALSE),1)</f>
        <v>0.96469275950863709</v>
      </c>
      <c r="BV284" s="4">
        <f>IF(Grandview_Inventory[[#This Row],[bldg_style]]="",1,_xlfn.IFNA(VLOOKUP(Grandview_Inventory[[#This Row],[decade]],Lookups!$F$29:$H$43,3,FALSE),1))</f>
        <v>0.9871940091910919</v>
      </c>
      <c r="BW284" s="4">
        <f>_xlfn.IFNA(VLOOKUP(Grandview_Inventory[[#This Row],[living_area_range]],Lookups!$F$47:$H$56,3,FALSE),1)</f>
        <v>0.96135087979789358</v>
      </c>
      <c r="BX284" s="4">
        <f>AVERAGE(Grandview_Inventory[[#This Row],[qual_adj]:[size_adj]])</f>
        <v>0.97521905207691773</v>
      </c>
      <c r="BY284" s="6">
        <f>IF(Grandview_Inventory[[#This Row],[pre_res]]&lt;0,0,Grandview_Inventory[[#This Row],[pre_res]]*Grandview_Inventory[[#This Row],[overall_adj]])</f>
        <v>301100.36921598046</v>
      </c>
      <c r="BZ284" s="6">
        <f>(Grandview_Inventory[[#This Row],[sum_land]]-IF(Grandview_Inventory[[#This Row],[no_utilities]]=1,12000,0))/IF(Grandview_Inventory[[#This Row],[unbuildable]]=1,2,1)</f>
        <v>49926.8031387023</v>
      </c>
      <c r="CA28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84">
        <f>ROUND(Grandview_Inventory[[#This Row],[det_value]]*Lookups!$M$28,-2)</f>
        <v>14600</v>
      </c>
      <c r="CC284">
        <f>IF(ROUND(Grandview_Inventory[[#This Row],[adj_res]]*Lookups!$M$28,-2)&lt;Grandview_Inventory[[#This Row],[min_res]],Grandview_Inventory[[#This Row],[min_res]],ROUND(Grandview_Inventory[[#This Row],[adj_res]]*Lookups!$M$28,-2))</f>
        <v>286000</v>
      </c>
      <c r="CD284">
        <f>Grandview_Inventory[[#This Row],[final_det]]+Grandview_Inventory[[#This Row],[final_res]]</f>
        <v>300600</v>
      </c>
      <c r="CE284">
        <f>Grandview_Inventory[[#This Row],[final_land]]+Grandview_Inventory[[#This Row],[final_imp]]+Grandview_Inventory[[#This Row],[crop_value]]</f>
        <v>348000</v>
      </c>
      <c r="CG284" t="str">
        <f t="shared" si="4"/>
        <v>update valuation set market_land =47400, market_bldg=300600, market_total =348000, market_mdno =401, market_date ='9/10/2023' where link_id = (select link_id from parcel where parcel_year = '2024' and parcel_id = '23091443428');</v>
      </c>
    </row>
    <row r="285" spans="1:85" x14ac:dyDescent="0.25">
      <c r="A285">
        <v>23091443429</v>
      </c>
      <c r="B285">
        <v>0.28999999999999998</v>
      </c>
      <c r="C285">
        <v>12520</v>
      </c>
      <c r="D285" t="s">
        <v>129</v>
      </c>
      <c r="E285" t="s">
        <v>53</v>
      </c>
      <c r="F285" t="s">
        <v>53</v>
      </c>
      <c r="G285">
        <v>4</v>
      </c>
      <c r="H285" t="s">
        <v>54</v>
      </c>
      <c r="I285">
        <v>213600</v>
      </c>
      <c r="J285">
        <v>44900</v>
      </c>
      <c r="K285">
        <v>0.28999999999999998</v>
      </c>
      <c r="L285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285">
        <v>0</v>
      </c>
      <c r="N285">
        <v>0</v>
      </c>
      <c r="O285">
        <v>0</v>
      </c>
      <c r="P285">
        <v>13398.7528</v>
      </c>
      <c r="Q285">
        <v>63903</v>
      </c>
      <c r="R285">
        <f>(Grandview_Inventory[[#This Row],[ln_acres]]*Grandview_Inventory[[#This Row],[coeff]])+Grandview_Inventory[[#This Row],[const]]</f>
        <v>47317.027506475133</v>
      </c>
      <c r="S285" t="s">
        <v>77</v>
      </c>
      <c r="T285">
        <v>1</v>
      </c>
      <c r="U285" t="s">
        <v>65</v>
      </c>
      <c r="V285" t="s">
        <v>69</v>
      </c>
      <c r="W285">
        <v>0</v>
      </c>
      <c r="X285">
        <v>0</v>
      </c>
      <c r="Y285">
        <v>43</v>
      </c>
      <c r="Z285">
        <v>45</v>
      </c>
      <c r="AA285">
        <v>50</v>
      </c>
      <c r="AB285">
        <v>2500</v>
      </c>
      <c r="AC285">
        <v>2028</v>
      </c>
      <c r="AD285">
        <v>1039</v>
      </c>
      <c r="AE285">
        <v>0</v>
      </c>
      <c r="AF285">
        <v>0</v>
      </c>
      <c r="AG285">
        <v>989</v>
      </c>
      <c r="AH285">
        <v>0</v>
      </c>
      <c r="AI285">
        <v>667</v>
      </c>
      <c r="AJ285">
        <v>0</v>
      </c>
      <c r="AK285">
        <v>0</v>
      </c>
      <c r="AL285">
        <v>120</v>
      </c>
      <c r="AM285">
        <v>0</v>
      </c>
      <c r="AN285">
        <v>74</v>
      </c>
      <c r="AO285">
        <v>0</v>
      </c>
      <c r="AP285">
        <v>8</v>
      </c>
      <c r="AQ285">
        <v>0</v>
      </c>
      <c r="AR285">
        <v>0</v>
      </c>
      <c r="AS285" t="s">
        <v>58</v>
      </c>
      <c r="AT285">
        <v>1</v>
      </c>
      <c r="AU285" t="s">
        <v>63</v>
      </c>
      <c r="AV285" t="s">
        <v>60</v>
      </c>
      <c r="AW285">
        <v>1</v>
      </c>
      <c r="AX285">
        <v>4</v>
      </c>
      <c r="AY285">
        <v>0</v>
      </c>
      <c r="AZ285">
        <v>0</v>
      </c>
      <c r="BA285">
        <v>100</v>
      </c>
      <c r="BB285">
        <v>100</v>
      </c>
      <c r="BC285">
        <v>100</v>
      </c>
      <c r="BD285">
        <v>100</v>
      </c>
      <c r="BE285">
        <v>1</v>
      </c>
      <c r="BF285">
        <v>15000</v>
      </c>
      <c r="BG285">
        <v>1000</v>
      </c>
      <c r="BH285" s="6">
        <f>Grandview_Inventory[[#This Row],[land_extract]]*Lookups!$B$3</f>
        <v>54949.136287295303</v>
      </c>
      <c r="BI285" s="6">
        <f>IF(Grandview_Inventory[[#This Row],[bldg_style]]="",0,Lookups!$B$2)</f>
        <v>155833.95000000001</v>
      </c>
      <c r="BJ285" s="6">
        <f>_xlfn.IFNA(VLOOKUP(Grandview_Inventory[[#This Row],[quality]],Lookups!$H$2:$J$14,3,FALSE),0)</f>
        <v>2251</v>
      </c>
      <c r="BK285" s="6">
        <f>_xlfn.IFNA(VLOOKUP(Grandview_Inventory[[#This Row],[condition]],Lookups!$H$17:$J$24,3,FALSE),0)</f>
        <v>-4503</v>
      </c>
      <c r="BL285" s="6">
        <f>Grandview_Inventory[[#This Row],[Eff_Age]]*Lookups!$B$14</f>
        <v>-10284.1638</v>
      </c>
      <c r="BM285" s="6">
        <f>Grandview_Inventory[[#This Row],[living_area]]*Lookups!$B$15</f>
        <v>126508.369884</v>
      </c>
      <c r="BN285" s="6">
        <f>Grandview_Inventory[[#This Row],[Fin BSMT]]*Lookups!$B$16</f>
        <v>-26801.148360000003</v>
      </c>
      <c r="BO285" s="6">
        <f>(Grandview_Inventory[[#This Row],[att_gar]]+Grandview_Inventory[[#This Row],[bltin_gar]])*Lookups!$B$17</f>
        <v>58376.131479000003</v>
      </c>
      <c r="BP285" s="6">
        <f>Grandview_Inventory[[#This Row],[Plumbing Fixtures]]*Lookups!$B$18</f>
        <v>16083.5344</v>
      </c>
      <c r="BQ285" s="6">
        <f>Grandview_Inventory[[#This Row],[detatched_value]]*Lookups!$B$19</f>
        <v>0</v>
      </c>
      <c r="BR285" s="6">
        <f>SUM(Grandview_Inventory[[#This Row],[Intercept]:[det_value]])*Grandview_Inventory[[#This Row],[res_pct]]</f>
        <v>317464.673603</v>
      </c>
      <c r="BS285" s="6">
        <f>Grandview_Inventory[[#This Row],[land_value]]</f>
        <v>54949.136287295303</v>
      </c>
      <c r="BT285" s="4">
        <f>_xlfn.IFNA(VLOOKUP(Grandview_Inventory[[#This Row],[quality]],Lookups!$A$26:$C$33,3,FALSE),1)</f>
        <v>0.98763855981004833</v>
      </c>
      <c r="BU285" s="4">
        <f>_xlfn.IFNA(VLOOKUP(Grandview_Inventory[[#This Row],[condition]],Lookups!$A$37:$C$44,3,FALSE),1)</f>
        <v>0.96469275950863709</v>
      </c>
      <c r="BV285" s="4">
        <f>IF(Grandview_Inventory[[#This Row],[bldg_style]]="",1,_xlfn.IFNA(VLOOKUP(Grandview_Inventory[[#This Row],[decade]],Lookups!$F$29:$H$43,3,FALSE),1))</f>
        <v>0.9871940091910919</v>
      </c>
      <c r="BW285" s="4">
        <f>_xlfn.IFNA(VLOOKUP(Grandview_Inventory[[#This Row],[living_area_range]],Lookups!$F$47:$H$56,3,FALSE),1)</f>
        <v>0.95799442568048754</v>
      </c>
      <c r="BX285" s="4">
        <f>AVERAGE(Grandview_Inventory[[#This Row],[qual_adj]:[size_adj]])</f>
        <v>0.97437993854756622</v>
      </c>
      <c r="BY285" s="6">
        <f>IF(Grandview_Inventory[[#This Row],[pre_res]]&lt;0,0,Grandview_Inventory[[#This Row],[pre_res]]*Grandview_Inventory[[#This Row],[overall_adj]])</f>
        <v>309331.20915631432</v>
      </c>
      <c r="BZ285" s="6">
        <f>(Grandview_Inventory[[#This Row],[sum_land]]-IF(Grandview_Inventory[[#This Row],[no_utilities]]=1,12000,0))/IF(Grandview_Inventory[[#This Row],[unbuildable]]=1,2,1)</f>
        <v>54949.136287295303</v>
      </c>
      <c r="CA285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285">
        <f>ROUND(Grandview_Inventory[[#This Row],[det_value]]*Lookups!$M$28,-2)</f>
        <v>0</v>
      </c>
      <c r="CC285">
        <f>IF(ROUND(Grandview_Inventory[[#This Row],[adj_res]]*Lookups!$M$28,-2)&lt;Grandview_Inventory[[#This Row],[min_res]],Grandview_Inventory[[#This Row],[min_res]],ROUND(Grandview_Inventory[[#This Row],[adj_res]]*Lookups!$M$28,-2))</f>
        <v>293900</v>
      </c>
      <c r="CD285">
        <f>Grandview_Inventory[[#This Row],[final_det]]+Grandview_Inventory[[#This Row],[final_res]]</f>
        <v>293900</v>
      </c>
      <c r="CE285">
        <f>Grandview_Inventory[[#This Row],[final_land]]+Grandview_Inventory[[#This Row],[final_imp]]+Grandview_Inventory[[#This Row],[crop_value]]</f>
        <v>346100</v>
      </c>
      <c r="CG285" t="str">
        <f t="shared" si="4"/>
        <v>update valuation set market_land =52200, market_bldg=293900, market_total =346100, market_mdno =401, market_date ='9/10/2023' where link_id = (select link_id from parcel where parcel_year = '2024' and parcel_id = '23091443429');</v>
      </c>
    </row>
    <row r="286" spans="1:85" x14ac:dyDescent="0.25">
      <c r="A286">
        <v>23091443430</v>
      </c>
      <c r="B286">
        <v>0.26</v>
      </c>
      <c r="C286">
        <v>11329</v>
      </c>
      <c r="D286" t="s">
        <v>129</v>
      </c>
      <c r="E286" t="s">
        <v>53</v>
      </c>
      <c r="F286" t="s">
        <v>53</v>
      </c>
      <c r="G286">
        <v>4</v>
      </c>
      <c r="H286" t="s">
        <v>54</v>
      </c>
      <c r="I286">
        <v>237900</v>
      </c>
      <c r="J286">
        <v>40000</v>
      </c>
      <c r="K286">
        <v>0.26</v>
      </c>
      <c r="L28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86">
        <v>0</v>
      </c>
      <c r="N286">
        <v>0</v>
      </c>
      <c r="O286">
        <v>0</v>
      </c>
      <c r="P286">
        <v>13398.7528</v>
      </c>
      <c r="Q286">
        <v>63903</v>
      </c>
      <c r="R286">
        <f>(Grandview_Inventory[[#This Row],[ln_acres]]*Grandview_Inventory[[#This Row],[coeff]])+Grandview_Inventory[[#This Row],[const]]</f>
        <v>45853.893187501177</v>
      </c>
      <c r="S286" t="s">
        <v>74</v>
      </c>
      <c r="T286">
        <v>1</v>
      </c>
      <c r="U286" t="s">
        <v>65</v>
      </c>
      <c r="V286" t="s">
        <v>69</v>
      </c>
      <c r="W286">
        <v>0</v>
      </c>
      <c r="X286">
        <v>0</v>
      </c>
      <c r="Y286">
        <v>43</v>
      </c>
      <c r="Z286">
        <v>45</v>
      </c>
      <c r="AA286">
        <v>50</v>
      </c>
      <c r="AB286">
        <v>2000</v>
      </c>
      <c r="AC286">
        <v>1824</v>
      </c>
      <c r="AD286">
        <v>1200</v>
      </c>
      <c r="AE286">
        <v>0</v>
      </c>
      <c r="AF286">
        <v>0</v>
      </c>
      <c r="AG286">
        <v>624</v>
      </c>
      <c r="AH286">
        <v>0</v>
      </c>
      <c r="AI286">
        <v>576</v>
      </c>
      <c r="AJ286">
        <v>0</v>
      </c>
      <c r="AK286">
        <v>0</v>
      </c>
      <c r="AL286">
        <v>0</v>
      </c>
      <c r="AM286">
        <v>180</v>
      </c>
      <c r="AN286">
        <v>104</v>
      </c>
      <c r="AO286">
        <v>0</v>
      </c>
      <c r="AP286">
        <v>8</v>
      </c>
      <c r="AQ286">
        <v>0</v>
      </c>
      <c r="AR286">
        <v>0</v>
      </c>
      <c r="AS286" t="s">
        <v>58</v>
      </c>
      <c r="AT286">
        <v>1</v>
      </c>
      <c r="AU286" t="s">
        <v>63</v>
      </c>
      <c r="AV286" t="s">
        <v>60</v>
      </c>
      <c r="AW286">
        <v>1</v>
      </c>
      <c r="AX286">
        <v>4</v>
      </c>
      <c r="AY286">
        <v>0</v>
      </c>
      <c r="AZ286">
        <v>0</v>
      </c>
      <c r="BA286">
        <v>100</v>
      </c>
      <c r="BB286">
        <v>100</v>
      </c>
      <c r="BC286">
        <v>100</v>
      </c>
      <c r="BD286">
        <v>100</v>
      </c>
      <c r="BE286">
        <v>1</v>
      </c>
      <c r="BF286">
        <v>15000</v>
      </c>
      <c r="BG286">
        <v>1000</v>
      </c>
      <c r="BH286" s="6">
        <f>Grandview_Inventory[[#This Row],[land_extract]]*Lookups!$B$3</f>
        <v>53250.00235313351</v>
      </c>
      <c r="BI286" s="6">
        <f>IF(Grandview_Inventory[[#This Row],[bldg_style]]="",0,Lookups!$B$2)</f>
        <v>155833.95000000001</v>
      </c>
      <c r="BJ286" s="6">
        <f>_xlfn.IFNA(VLOOKUP(Grandview_Inventory[[#This Row],[quality]],Lookups!$H$2:$J$14,3,FALSE),0)</f>
        <v>2251</v>
      </c>
      <c r="BK286" s="6">
        <f>_xlfn.IFNA(VLOOKUP(Grandview_Inventory[[#This Row],[condition]],Lookups!$H$17:$J$24,3,FALSE),0)</f>
        <v>-4503</v>
      </c>
      <c r="BL286" s="6">
        <f>Grandview_Inventory[[#This Row],[Eff_Age]]*Lookups!$B$14</f>
        <v>-10284.1638</v>
      </c>
      <c r="BM286" s="6">
        <f>Grandview_Inventory[[#This Row],[living_area]]*Lookups!$B$15</f>
        <v>113782.67587200001</v>
      </c>
      <c r="BN286" s="6">
        <f>Grandview_Inventory[[#This Row],[Fin BSMT]]*Lookups!$B$16</f>
        <v>-16909.925760000002</v>
      </c>
      <c r="BO286" s="6">
        <f>(Grandview_Inventory[[#This Row],[att_gar]]+Grandview_Inventory[[#This Row],[bltin_gar]])*Lookups!$B$17</f>
        <v>50411.771712000002</v>
      </c>
      <c r="BP286" s="6">
        <f>Grandview_Inventory[[#This Row],[Plumbing Fixtures]]*Lookups!$B$18</f>
        <v>16083.5344</v>
      </c>
      <c r="BQ286" s="6">
        <f>Grandview_Inventory[[#This Row],[detatched_value]]*Lookups!$B$19</f>
        <v>0</v>
      </c>
      <c r="BR286" s="6">
        <f>SUM(Grandview_Inventory[[#This Row],[Intercept]:[det_value]])*Grandview_Inventory[[#This Row],[res_pct]]</f>
        <v>306665.84242400003</v>
      </c>
      <c r="BS286" s="6">
        <f>Grandview_Inventory[[#This Row],[land_value]]</f>
        <v>53250.00235313351</v>
      </c>
      <c r="BT286" s="4">
        <f>_xlfn.IFNA(VLOOKUP(Grandview_Inventory[[#This Row],[quality]],Lookups!$A$26:$C$33,3,FALSE),1)</f>
        <v>0.98763855981004833</v>
      </c>
      <c r="BU286" s="4">
        <f>_xlfn.IFNA(VLOOKUP(Grandview_Inventory[[#This Row],[condition]],Lookups!$A$37:$C$44,3,FALSE),1)</f>
        <v>0.96469275950863709</v>
      </c>
      <c r="BV286" s="4">
        <f>IF(Grandview_Inventory[[#This Row],[bldg_style]]="",1,_xlfn.IFNA(VLOOKUP(Grandview_Inventory[[#This Row],[decade]],Lookups!$F$29:$H$43,3,FALSE),1))</f>
        <v>0.9871940091910919</v>
      </c>
      <c r="BW286" s="4">
        <f>_xlfn.IFNA(VLOOKUP(Grandview_Inventory[[#This Row],[living_area_range]],Lookups!$F$47:$H$56,3,FALSE),1)</f>
        <v>0.96120133463014379</v>
      </c>
      <c r="BX286" s="4">
        <f>AVERAGE(Grandview_Inventory[[#This Row],[qual_adj]:[size_adj]])</f>
        <v>0.97518166578498033</v>
      </c>
      <c r="BY286" s="6">
        <f>IF(Grandview_Inventory[[#This Row],[pre_res]]&lt;0,0,Grandview_Inventory[[#This Row],[pre_res]]*Grandview_Inventory[[#This Row],[overall_adj]])</f>
        <v>299054.90705439064</v>
      </c>
      <c r="BZ286" s="6">
        <f>(Grandview_Inventory[[#This Row],[sum_land]]-IF(Grandview_Inventory[[#This Row],[no_utilities]]=1,12000,0))/IF(Grandview_Inventory[[#This Row],[unbuildable]]=1,2,1)</f>
        <v>53250.00235313351</v>
      </c>
      <c r="CA28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86">
        <f>ROUND(Grandview_Inventory[[#This Row],[det_value]]*Lookups!$M$28,-2)</f>
        <v>0</v>
      </c>
      <c r="CC286">
        <f>IF(ROUND(Grandview_Inventory[[#This Row],[adj_res]]*Lookups!$M$28,-2)&lt;Grandview_Inventory[[#This Row],[min_res]],Grandview_Inventory[[#This Row],[min_res]],ROUND(Grandview_Inventory[[#This Row],[adj_res]]*Lookups!$M$28,-2))</f>
        <v>284100</v>
      </c>
      <c r="CD286">
        <f>Grandview_Inventory[[#This Row],[final_det]]+Grandview_Inventory[[#This Row],[final_res]]</f>
        <v>284100</v>
      </c>
      <c r="CE286">
        <f>Grandview_Inventory[[#This Row],[final_land]]+Grandview_Inventory[[#This Row],[final_imp]]+Grandview_Inventory[[#This Row],[crop_value]]</f>
        <v>334700</v>
      </c>
      <c r="CG286" t="str">
        <f t="shared" si="4"/>
        <v>update valuation set market_land =50600, market_bldg=284100, market_total =334700, market_mdno =401, market_date ='9/10/2023' where link_id = (select link_id from parcel where parcel_year = '2024' and parcel_id = '23091443430');</v>
      </c>
    </row>
    <row r="287" spans="1:85" x14ac:dyDescent="0.25">
      <c r="A287">
        <v>23091443431</v>
      </c>
      <c r="B287">
        <v>0.23</v>
      </c>
      <c r="C287">
        <v>9846</v>
      </c>
      <c r="D287" t="s">
        <v>129</v>
      </c>
      <c r="E287" t="s">
        <v>53</v>
      </c>
      <c r="F287" t="s">
        <v>53</v>
      </c>
      <c r="G287">
        <v>4</v>
      </c>
      <c r="H287" t="s">
        <v>54</v>
      </c>
      <c r="I287">
        <v>211000</v>
      </c>
      <c r="J287">
        <v>39500</v>
      </c>
      <c r="K287">
        <v>0.23</v>
      </c>
      <c r="L28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87">
        <v>0</v>
      </c>
      <c r="N287">
        <v>0</v>
      </c>
      <c r="O287">
        <v>0</v>
      </c>
      <c r="P287">
        <v>13398.7528</v>
      </c>
      <c r="Q287">
        <v>63903</v>
      </c>
      <c r="R287">
        <f>(Grandview_Inventory[[#This Row],[ln_acres]]*Grandview_Inventory[[#This Row],[coeff]])+Grandview_Inventory[[#This Row],[const]]</f>
        <v>44211.174981080039</v>
      </c>
      <c r="S287" t="s">
        <v>55</v>
      </c>
      <c r="T287">
        <v>2</v>
      </c>
      <c r="U287" t="s">
        <v>65</v>
      </c>
      <c r="V287" t="s">
        <v>69</v>
      </c>
      <c r="W287">
        <v>0</v>
      </c>
      <c r="X287">
        <v>0</v>
      </c>
      <c r="Y287">
        <v>43</v>
      </c>
      <c r="Z287">
        <v>44</v>
      </c>
      <c r="AA287">
        <v>50</v>
      </c>
      <c r="AB287">
        <v>2000</v>
      </c>
      <c r="AC287">
        <v>1958</v>
      </c>
      <c r="AD287">
        <v>1198</v>
      </c>
      <c r="AE287">
        <v>760</v>
      </c>
      <c r="AF287">
        <v>0</v>
      </c>
      <c r="AG287">
        <v>0</v>
      </c>
      <c r="AH287">
        <v>0</v>
      </c>
      <c r="AI287">
        <v>484</v>
      </c>
      <c r="AJ287">
        <v>0</v>
      </c>
      <c r="AK287">
        <v>0</v>
      </c>
      <c r="AL287">
        <v>0</v>
      </c>
      <c r="AM287">
        <v>0</v>
      </c>
      <c r="AN287">
        <v>30</v>
      </c>
      <c r="AO287">
        <v>0</v>
      </c>
      <c r="AP287">
        <v>10</v>
      </c>
      <c r="AQ287">
        <v>0</v>
      </c>
      <c r="AR287">
        <v>0</v>
      </c>
      <c r="AS287" t="s">
        <v>58</v>
      </c>
      <c r="AT287">
        <v>1</v>
      </c>
      <c r="AU287" t="s">
        <v>63</v>
      </c>
      <c r="AV287" t="s">
        <v>60</v>
      </c>
      <c r="AW287">
        <v>0</v>
      </c>
      <c r="AX287">
        <v>3</v>
      </c>
      <c r="AY287">
        <v>0</v>
      </c>
      <c r="AZ287">
        <v>0</v>
      </c>
      <c r="BA287">
        <v>100</v>
      </c>
      <c r="BB287">
        <v>100</v>
      </c>
      <c r="BC287">
        <v>100</v>
      </c>
      <c r="BD287">
        <v>100</v>
      </c>
      <c r="BE287">
        <v>1</v>
      </c>
      <c r="BF287">
        <v>15000</v>
      </c>
      <c r="BG287">
        <v>1000</v>
      </c>
      <c r="BH287" s="6">
        <f>Grandview_Inventory[[#This Row],[land_extract]]*Lookups!$B$3</f>
        <v>51342.318135355803</v>
      </c>
      <c r="BI287" s="6">
        <f>IF(Grandview_Inventory[[#This Row],[bldg_style]]="",0,Lookups!$B$2)</f>
        <v>155833.95000000001</v>
      </c>
      <c r="BJ287" s="6">
        <f>_xlfn.IFNA(VLOOKUP(Grandview_Inventory[[#This Row],[quality]],Lookups!$H$2:$J$14,3,FALSE),0)</f>
        <v>2251</v>
      </c>
      <c r="BK287" s="6">
        <f>_xlfn.IFNA(VLOOKUP(Grandview_Inventory[[#This Row],[condition]],Lookups!$H$17:$J$24,3,FALSE),0)</f>
        <v>-4503</v>
      </c>
      <c r="BL287" s="6">
        <f>Grandview_Inventory[[#This Row],[Eff_Age]]*Lookups!$B$14</f>
        <v>-10284.1638</v>
      </c>
      <c r="BM287" s="6">
        <f>Grandview_Inventory[[#This Row],[living_area]]*Lookups!$B$15</f>
        <v>122141.71017400001</v>
      </c>
      <c r="BN287" s="6">
        <f>Grandview_Inventory[[#This Row],[Fin BSMT]]*Lookups!$B$16</f>
        <v>0</v>
      </c>
      <c r="BO287" s="6">
        <f>(Grandview_Inventory[[#This Row],[att_gar]]+Grandview_Inventory[[#This Row],[bltin_gar]])*Lookups!$B$17</f>
        <v>42359.891508000001</v>
      </c>
      <c r="BP287" s="6">
        <f>Grandview_Inventory[[#This Row],[Plumbing Fixtures]]*Lookups!$B$18</f>
        <v>20104.418000000001</v>
      </c>
      <c r="BQ287" s="6">
        <f>Grandview_Inventory[[#This Row],[detatched_value]]*Lookups!$B$19</f>
        <v>0</v>
      </c>
      <c r="BR287" s="6">
        <f>SUM(Grandview_Inventory[[#This Row],[Intercept]:[det_value]])*Grandview_Inventory[[#This Row],[res_pct]]</f>
        <v>327903.80588199996</v>
      </c>
      <c r="BS287" s="6">
        <f>Grandview_Inventory[[#This Row],[land_value]]</f>
        <v>51342.318135355803</v>
      </c>
      <c r="BT287" s="4">
        <f>_xlfn.IFNA(VLOOKUP(Grandview_Inventory[[#This Row],[quality]],Lookups!$A$26:$C$33,3,FALSE),1)</f>
        <v>0.98763855981004833</v>
      </c>
      <c r="BU287" s="4">
        <f>_xlfn.IFNA(VLOOKUP(Grandview_Inventory[[#This Row],[condition]],Lookups!$A$37:$C$44,3,FALSE),1)</f>
        <v>0.96469275950863709</v>
      </c>
      <c r="BV287" s="4">
        <f>IF(Grandview_Inventory[[#This Row],[bldg_style]]="",1,_xlfn.IFNA(VLOOKUP(Grandview_Inventory[[#This Row],[decade]],Lookups!$F$29:$H$43,3,FALSE),1))</f>
        <v>0.9871940091910919</v>
      </c>
      <c r="BW287" s="4">
        <f>_xlfn.IFNA(VLOOKUP(Grandview_Inventory[[#This Row],[living_area_range]],Lookups!$F$47:$H$56,3,FALSE),1)</f>
        <v>0.96120133463014379</v>
      </c>
      <c r="BX287" s="4">
        <f>AVERAGE(Grandview_Inventory[[#This Row],[qual_adj]:[size_adj]])</f>
        <v>0.97518166578498033</v>
      </c>
      <c r="BY287" s="6">
        <f>IF(Grandview_Inventory[[#This Row],[pre_res]]&lt;0,0,Grandview_Inventory[[#This Row],[pre_res]]*Grandview_Inventory[[#This Row],[overall_adj]])</f>
        <v>319765.77963724354</v>
      </c>
      <c r="BZ287" s="6">
        <f>(Grandview_Inventory[[#This Row],[sum_land]]-IF(Grandview_Inventory[[#This Row],[no_utilities]]=1,12000,0))/IF(Grandview_Inventory[[#This Row],[unbuildable]]=1,2,1)</f>
        <v>51342.318135355803</v>
      </c>
      <c r="CA28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87">
        <f>ROUND(Grandview_Inventory[[#This Row],[det_value]]*Lookups!$M$28,-2)</f>
        <v>0</v>
      </c>
      <c r="CC287">
        <f>IF(ROUND(Grandview_Inventory[[#This Row],[adj_res]]*Lookups!$M$28,-2)&lt;Grandview_Inventory[[#This Row],[min_res]],Grandview_Inventory[[#This Row],[min_res]],ROUND(Grandview_Inventory[[#This Row],[adj_res]]*Lookups!$M$28,-2))</f>
        <v>303800</v>
      </c>
      <c r="CD287">
        <f>Grandview_Inventory[[#This Row],[final_det]]+Grandview_Inventory[[#This Row],[final_res]]</f>
        <v>303800</v>
      </c>
      <c r="CE287">
        <f>Grandview_Inventory[[#This Row],[final_land]]+Grandview_Inventory[[#This Row],[final_imp]]+Grandview_Inventory[[#This Row],[crop_value]]</f>
        <v>352600</v>
      </c>
      <c r="CG287" t="str">
        <f t="shared" si="4"/>
        <v>update valuation set market_land =48800, market_bldg=303800, market_total =352600, market_mdno =401, market_date ='9/10/2023' where link_id = (select link_id from parcel where parcel_year = '2024' and parcel_id = '23091443431');</v>
      </c>
    </row>
    <row r="288" spans="1:85" x14ac:dyDescent="0.25">
      <c r="A288">
        <v>23091443432</v>
      </c>
      <c r="B288">
        <v>0.21</v>
      </c>
      <c r="C288">
        <v>9075</v>
      </c>
      <c r="D288" t="s">
        <v>129</v>
      </c>
      <c r="E288" t="s">
        <v>53</v>
      </c>
      <c r="F288" t="s">
        <v>53</v>
      </c>
      <c r="G288">
        <v>4</v>
      </c>
      <c r="H288" t="s">
        <v>54</v>
      </c>
      <c r="I288">
        <v>254800</v>
      </c>
      <c r="J288">
        <v>39300</v>
      </c>
      <c r="K288">
        <v>0.21</v>
      </c>
      <c r="L28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88">
        <v>0</v>
      </c>
      <c r="N288">
        <v>0</v>
      </c>
      <c r="O288">
        <v>0</v>
      </c>
      <c r="P288">
        <v>13398.7528</v>
      </c>
      <c r="Q288">
        <v>63903</v>
      </c>
      <c r="R288">
        <f>(Grandview_Inventory[[#This Row],[ln_acres]]*Grandview_Inventory[[#This Row],[coeff]])+Grandview_Inventory[[#This Row],[const]]</f>
        <v>42992.266613125081</v>
      </c>
      <c r="S288" t="s">
        <v>77</v>
      </c>
      <c r="T288">
        <v>1</v>
      </c>
      <c r="U288" t="s">
        <v>65</v>
      </c>
      <c r="V288" t="s">
        <v>67</v>
      </c>
      <c r="W288">
        <v>0</v>
      </c>
      <c r="X288">
        <v>0</v>
      </c>
      <c r="Y288">
        <v>43</v>
      </c>
      <c r="Z288">
        <v>45</v>
      </c>
      <c r="AA288">
        <v>50</v>
      </c>
      <c r="AB288">
        <v>2500</v>
      </c>
      <c r="AC288">
        <v>2148</v>
      </c>
      <c r="AD288">
        <v>1108</v>
      </c>
      <c r="AE288">
        <v>0</v>
      </c>
      <c r="AF288">
        <v>0</v>
      </c>
      <c r="AG288">
        <v>1040</v>
      </c>
      <c r="AH288">
        <v>0</v>
      </c>
      <c r="AI288">
        <v>616</v>
      </c>
      <c r="AJ288">
        <v>0</v>
      </c>
      <c r="AK288">
        <v>0</v>
      </c>
      <c r="AL288">
        <v>160</v>
      </c>
      <c r="AM288">
        <v>0</v>
      </c>
      <c r="AN288">
        <v>0</v>
      </c>
      <c r="AO288">
        <v>0</v>
      </c>
      <c r="AP288">
        <v>8</v>
      </c>
      <c r="AQ288">
        <v>0</v>
      </c>
      <c r="AR288">
        <v>0</v>
      </c>
      <c r="AS288" t="s">
        <v>58</v>
      </c>
      <c r="AT288">
        <v>1</v>
      </c>
      <c r="AU288" t="s">
        <v>63</v>
      </c>
      <c r="AV288" t="s">
        <v>60</v>
      </c>
      <c r="AW288">
        <v>1</v>
      </c>
      <c r="AX288">
        <v>4</v>
      </c>
      <c r="AY288">
        <v>0</v>
      </c>
      <c r="AZ288">
        <v>0</v>
      </c>
      <c r="BA288">
        <v>100</v>
      </c>
      <c r="BB288">
        <v>100</v>
      </c>
      <c r="BC288">
        <v>100</v>
      </c>
      <c r="BD288">
        <v>100</v>
      </c>
      <c r="BE288">
        <v>1</v>
      </c>
      <c r="BF288">
        <v>15000</v>
      </c>
      <c r="BG288">
        <v>1000</v>
      </c>
      <c r="BH288" s="6">
        <f>Grandview_Inventory[[#This Row],[land_extract]]*Lookups!$B$3</f>
        <v>49926.8031387023</v>
      </c>
      <c r="BI288" s="6">
        <f>IF(Grandview_Inventory[[#This Row],[bldg_style]]="",0,Lookups!$B$2)</f>
        <v>155833.95000000001</v>
      </c>
      <c r="BJ288" s="6">
        <f>_xlfn.IFNA(VLOOKUP(Grandview_Inventory[[#This Row],[quality]],Lookups!$H$2:$J$14,3,FALSE),0)</f>
        <v>2251</v>
      </c>
      <c r="BK288" s="6">
        <f>_xlfn.IFNA(VLOOKUP(Grandview_Inventory[[#This Row],[condition]],Lookups!$H$17:$J$24,3,FALSE),0)</f>
        <v>22342</v>
      </c>
      <c r="BL288" s="6">
        <f>Grandview_Inventory[[#This Row],[Eff_Age]]*Lookups!$B$14</f>
        <v>-10284.1638</v>
      </c>
      <c r="BM288" s="6">
        <f>Grandview_Inventory[[#This Row],[living_area]]*Lookups!$B$15</f>
        <v>133994.07224400001</v>
      </c>
      <c r="BN288" s="6">
        <f>Grandview_Inventory[[#This Row],[Fin BSMT]]*Lookups!$B$16</f>
        <v>-28183.209600000002</v>
      </c>
      <c r="BO288" s="6">
        <f>(Grandview_Inventory[[#This Row],[att_gar]]+Grandview_Inventory[[#This Row],[bltin_gar]])*Lookups!$B$17</f>
        <v>53912.589191999999</v>
      </c>
      <c r="BP288" s="6">
        <f>Grandview_Inventory[[#This Row],[Plumbing Fixtures]]*Lookups!$B$18</f>
        <v>16083.5344</v>
      </c>
      <c r="BQ288" s="6">
        <f>Grandview_Inventory[[#This Row],[detatched_value]]*Lookups!$B$19</f>
        <v>0</v>
      </c>
      <c r="BR288" s="6">
        <f>SUM(Grandview_Inventory[[#This Row],[Intercept]:[det_value]])*Grandview_Inventory[[#This Row],[res_pct]]</f>
        <v>345949.772436</v>
      </c>
      <c r="BS288" s="6">
        <f>Grandview_Inventory[[#This Row],[land_value]]</f>
        <v>49926.8031387023</v>
      </c>
      <c r="BT288" s="4">
        <f>_xlfn.IFNA(VLOOKUP(Grandview_Inventory[[#This Row],[quality]],Lookups!$A$26:$C$33,3,FALSE),1)</f>
        <v>0.98763855981004833</v>
      </c>
      <c r="BU288" s="4">
        <f>_xlfn.IFNA(VLOOKUP(Grandview_Inventory[[#This Row],[condition]],Lookups!$A$37:$C$44,3,FALSE),1)</f>
        <v>0.97383723671140243</v>
      </c>
      <c r="BV288" s="4">
        <f>IF(Grandview_Inventory[[#This Row],[bldg_style]]="",1,_xlfn.IFNA(VLOOKUP(Grandview_Inventory[[#This Row],[decade]],Lookups!$F$29:$H$43,3,FALSE),1))</f>
        <v>0.9871940091910919</v>
      </c>
      <c r="BW288" s="4">
        <f>_xlfn.IFNA(VLOOKUP(Grandview_Inventory[[#This Row],[living_area_range]],Lookups!$F$47:$H$56,3,FALSE),1)</f>
        <v>0.95799442568048754</v>
      </c>
      <c r="BX288" s="4">
        <f>AVERAGE(Grandview_Inventory[[#This Row],[qual_adj]:[size_adj]])</f>
        <v>0.97666605784825755</v>
      </c>
      <c r="BY288" s="6">
        <f>IF(Grandview_Inventory[[#This Row],[pre_res]]&lt;0,0,Grandview_Inventory[[#This Row],[pre_res]]*Grandview_Inventory[[#This Row],[overall_adj]])</f>
        <v>337877.40045856993</v>
      </c>
      <c r="BZ288" s="6">
        <f>(Grandview_Inventory[[#This Row],[sum_land]]-IF(Grandview_Inventory[[#This Row],[no_utilities]]=1,12000,0))/IF(Grandview_Inventory[[#This Row],[unbuildable]]=1,2,1)</f>
        <v>49926.8031387023</v>
      </c>
      <c r="CA28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88">
        <f>ROUND(Grandview_Inventory[[#This Row],[det_value]]*Lookups!$M$28,-2)</f>
        <v>0</v>
      </c>
      <c r="CC288">
        <f>IF(ROUND(Grandview_Inventory[[#This Row],[adj_res]]*Lookups!$M$28,-2)&lt;Grandview_Inventory[[#This Row],[min_res]],Grandview_Inventory[[#This Row],[min_res]],ROUND(Grandview_Inventory[[#This Row],[adj_res]]*Lookups!$M$28,-2))</f>
        <v>321000</v>
      </c>
      <c r="CD288">
        <f>Grandview_Inventory[[#This Row],[final_det]]+Grandview_Inventory[[#This Row],[final_res]]</f>
        <v>321000</v>
      </c>
      <c r="CE288">
        <f>Grandview_Inventory[[#This Row],[final_land]]+Grandview_Inventory[[#This Row],[final_imp]]+Grandview_Inventory[[#This Row],[crop_value]]</f>
        <v>368400</v>
      </c>
      <c r="CG288" t="str">
        <f t="shared" si="4"/>
        <v>update valuation set market_land =47400, market_bldg=321000, market_total =368400, market_mdno =401, market_date ='9/10/2023' where link_id = (select link_id from parcel where parcel_year = '2024' and parcel_id = '23091443432');</v>
      </c>
    </row>
    <row r="289" spans="1:85" x14ac:dyDescent="0.25">
      <c r="A289">
        <v>23091443433</v>
      </c>
      <c r="B289">
        <v>0.21</v>
      </c>
      <c r="C289">
        <v>9075</v>
      </c>
      <c r="D289" t="s">
        <v>129</v>
      </c>
      <c r="E289" t="s">
        <v>53</v>
      </c>
      <c r="F289" t="s">
        <v>53</v>
      </c>
      <c r="G289">
        <v>4</v>
      </c>
      <c r="H289" t="s">
        <v>54</v>
      </c>
      <c r="I289">
        <v>215100</v>
      </c>
      <c r="J289">
        <v>43700</v>
      </c>
      <c r="K289">
        <v>0.21</v>
      </c>
      <c r="L28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89">
        <v>0</v>
      </c>
      <c r="N289">
        <v>0</v>
      </c>
      <c r="O289">
        <v>0</v>
      </c>
      <c r="P289">
        <v>13398.7528</v>
      </c>
      <c r="Q289">
        <v>63903</v>
      </c>
      <c r="R289">
        <f>(Grandview_Inventory[[#This Row],[ln_acres]]*Grandview_Inventory[[#This Row],[coeff]])+Grandview_Inventory[[#This Row],[const]]</f>
        <v>42992.266613125081</v>
      </c>
      <c r="S289" t="s">
        <v>61</v>
      </c>
      <c r="T289">
        <v>1</v>
      </c>
      <c r="U289" t="s">
        <v>65</v>
      </c>
      <c r="V289" t="s">
        <v>69</v>
      </c>
      <c r="W289">
        <v>0</v>
      </c>
      <c r="X289">
        <v>0</v>
      </c>
      <c r="Y289">
        <v>44</v>
      </c>
      <c r="Z289">
        <v>46</v>
      </c>
      <c r="AA289">
        <v>50</v>
      </c>
      <c r="AB289">
        <v>1500</v>
      </c>
      <c r="AC289">
        <v>1296</v>
      </c>
      <c r="AD289">
        <v>1296</v>
      </c>
      <c r="AE289">
        <v>0</v>
      </c>
      <c r="AF289">
        <v>0</v>
      </c>
      <c r="AG289">
        <v>0</v>
      </c>
      <c r="AH289">
        <v>0</v>
      </c>
      <c r="AI289">
        <v>528</v>
      </c>
      <c r="AJ289">
        <v>0</v>
      </c>
      <c r="AK289">
        <v>0</v>
      </c>
      <c r="AL289">
        <v>0</v>
      </c>
      <c r="AM289">
        <v>160</v>
      </c>
      <c r="AN289">
        <v>20</v>
      </c>
      <c r="AO289">
        <v>0</v>
      </c>
      <c r="AP289">
        <v>8</v>
      </c>
      <c r="AQ289">
        <v>1</v>
      </c>
      <c r="AR289">
        <v>0</v>
      </c>
      <c r="AS289" t="s">
        <v>58</v>
      </c>
      <c r="AT289">
        <v>1</v>
      </c>
      <c r="AU289" t="s">
        <v>63</v>
      </c>
      <c r="AV289" t="s">
        <v>60</v>
      </c>
      <c r="AW289">
        <v>1</v>
      </c>
      <c r="AX289">
        <v>3</v>
      </c>
      <c r="AY289">
        <v>0</v>
      </c>
      <c r="AZ289">
        <v>0</v>
      </c>
      <c r="BA289">
        <v>100</v>
      </c>
      <c r="BB289">
        <v>100</v>
      </c>
      <c r="BC289">
        <v>100</v>
      </c>
      <c r="BD289">
        <v>100</v>
      </c>
      <c r="BE289">
        <v>1</v>
      </c>
      <c r="BF289">
        <v>15000</v>
      </c>
      <c r="BG289">
        <v>1000</v>
      </c>
      <c r="BH289" s="6">
        <f>Grandview_Inventory[[#This Row],[land_extract]]*Lookups!$B$3</f>
        <v>49926.8031387023</v>
      </c>
      <c r="BI289" s="6">
        <f>IF(Grandview_Inventory[[#This Row],[bldg_style]]="",0,Lookups!$B$2)</f>
        <v>155833.95000000001</v>
      </c>
      <c r="BJ289" s="6">
        <f>_xlfn.IFNA(VLOOKUP(Grandview_Inventory[[#This Row],[quality]],Lookups!$H$2:$J$14,3,FALSE),0)</f>
        <v>2251</v>
      </c>
      <c r="BK289" s="6">
        <f>_xlfn.IFNA(VLOOKUP(Grandview_Inventory[[#This Row],[condition]],Lookups!$H$17:$J$24,3,FALSE),0)</f>
        <v>-4503</v>
      </c>
      <c r="BL289" s="6">
        <f>Grandview_Inventory[[#This Row],[Eff_Age]]*Lookups!$B$14</f>
        <v>-10523.330399999999</v>
      </c>
      <c r="BM289" s="6">
        <f>Grandview_Inventory[[#This Row],[living_area]]*Lookups!$B$15</f>
        <v>80845.585487999997</v>
      </c>
      <c r="BN289" s="6">
        <f>Grandview_Inventory[[#This Row],[Fin BSMT]]*Lookups!$B$16</f>
        <v>0</v>
      </c>
      <c r="BO289" s="6">
        <f>(Grandview_Inventory[[#This Row],[att_gar]]+Grandview_Inventory[[#This Row],[bltin_gar]])*Lookups!$B$17</f>
        <v>46210.790736000003</v>
      </c>
      <c r="BP289" s="6">
        <f>Grandview_Inventory[[#This Row],[Plumbing Fixtures]]*Lookups!$B$18</f>
        <v>16083.5344</v>
      </c>
      <c r="BQ289" s="6">
        <f>Grandview_Inventory[[#This Row],[detatched_value]]*Lookups!$B$19</f>
        <v>0</v>
      </c>
      <c r="BR289" s="6">
        <f>SUM(Grandview_Inventory[[#This Row],[Intercept]:[det_value]])*Grandview_Inventory[[#This Row],[res_pct]]</f>
        <v>286198.53022399999</v>
      </c>
      <c r="BS289" s="6">
        <f>Grandview_Inventory[[#This Row],[land_value]]</f>
        <v>49926.8031387023</v>
      </c>
      <c r="BT289" s="4">
        <f>_xlfn.IFNA(VLOOKUP(Grandview_Inventory[[#This Row],[quality]],Lookups!$A$26:$C$33,3,FALSE),1)</f>
        <v>0.98763855981004833</v>
      </c>
      <c r="BU289" s="4">
        <f>_xlfn.IFNA(VLOOKUP(Grandview_Inventory[[#This Row],[condition]],Lookups!$A$37:$C$44,3,FALSE),1)</f>
        <v>0.96469275950863709</v>
      </c>
      <c r="BV289" s="4">
        <f>IF(Grandview_Inventory[[#This Row],[bldg_style]]="",1,_xlfn.IFNA(VLOOKUP(Grandview_Inventory[[#This Row],[decade]],Lookups!$F$29:$H$43,3,FALSE),1))</f>
        <v>0.9871940091910919</v>
      </c>
      <c r="BW289" s="4">
        <f>_xlfn.IFNA(VLOOKUP(Grandview_Inventory[[#This Row],[living_area_range]],Lookups!$F$47:$H$56,3,FALSE),1)</f>
        <v>0.96135087979789358</v>
      </c>
      <c r="BX289" s="4">
        <f>AVERAGE(Grandview_Inventory[[#This Row],[qual_adj]:[size_adj]])</f>
        <v>0.97521905207691773</v>
      </c>
      <c r="BY289" s="6">
        <f>IF(Grandview_Inventory[[#This Row],[pre_res]]&lt;0,0,Grandview_Inventory[[#This Row],[pre_res]]*Grandview_Inventory[[#This Row],[overall_adj]])</f>
        <v>279106.25935085636</v>
      </c>
      <c r="BZ289" s="6">
        <f>(Grandview_Inventory[[#This Row],[sum_land]]-IF(Grandview_Inventory[[#This Row],[no_utilities]]=1,12000,0))/IF(Grandview_Inventory[[#This Row],[unbuildable]]=1,2,1)</f>
        <v>49926.8031387023</v>
      </c>
      <c r="CA28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89">
        <f>ROUND(Grandview_Inventory[[#This Row],[det_value]]*Lookups!$M$28,-2)</f>
        <v>0</v>
      </c>
      <c r="CC289">
        <f>IF(ROUND(Grandview_Inventory[[#This Row],[adj_res]]*Lookups!$M$28,-2)&lt;Grandview_Inventory[[#This Row],[min_res]],Grandview_Inventory[[#This Row],[min_res]],ROUND(Grandview_Inventory[[#This Row],[adj_res]]*Lookups!$M$28,-2))</f>
        <v>265200</v>
      </c>
      <c r="CD289">
        <f>Grandview_Inventory[[#This Row],[final_det]]+Grandview_Inventory[[#This Row],[final_res]]</f>
        <v>265200</v>
      </c>
      <c r="CE289">
        <f>Grandview_Inventory[[#This Row],[final_land]]+Grandview_Inventory[[#This Row],[final_imp]]+Grandview_Inventory[[#This Row],[crop_value]]</f>
        <v>312600</v>
      </c>
      <c r="CG289" t="str">
        <f t="shared" si="4"/>
        <v>update valuation set market_land =47400, market_bldg=265200, market_total =312600, market_mdno =401, market_date ='9/10/2023' where link_id = (select link_id from parcel where parcel_year = '2024' and parcel_id = '23091443433');</v>
      </c>
    </row>
    <row r="290" spans="1:85" x14ac:dyDescent="0.25">
      <c r="A290">
        <v>23091443434</v>
      </c>
      <c r="B290">
        <v>0.23</v>
      </c>
      <c r="C290">
        <v>9814</v>
      </c>
      <c r="D290" t="s">
        <v>129</v>
      </c>
      <c r="E290" t="s">
        <v>53</v>
      </c>
      <c r="F290" t="s">
        <v>53</v>
      </c>
      <c r="G290">
        <v>4</v>
      </c>
      <c r="H290" t="s">
        <v>54</v>
      </c>
      <c r="I290">
        <v>208200</v>
      </c>
      <c r="J290">
        <v>43800</v>
      </c>
      <c r="K290">
        <v>0.23</v>
      </c>
      <c r="L29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90">
        <v>0</v>
      </c>
      <c r="N290">
        <v>0</v>
      </c>
      <c r="O290">
        <v>0</v>
      </c>
      <c r="P290">
        <v>13398.7528</v>
      </c>
      <c r="Q290">
        <v>63903</v>
      </c>
      <c r="R290">
        <f>(Grandview_Inventory[[#This Row],[ln_acres]]*Grandview_Inventory[[#This Row],[coeff]])+Grandview_Inventory[[#This Row],[const]]</f>
        <v>44211.174981080039</v>
      </c>
      <c r="S290" t="s">
        <v>77</v>
      </c>
      <c r="T290">
        <v>1</v>
      </c>
      <c r="U290" t="s">
        <v>65</v>
      </c>
      <c r="V290" t="s">
        <v>69</v>
      </c>
      <c r="W290">
        <v>0</v>
      </c>
      <c r="X290">
        <v>0</v>
      </c>
      <c r="Y290">
        <v>44</v>
      </c>
      <c r="Z290">
        <v>47</v>
      </c>
      <c r="AA290">
        <v>50</v>
      </c>
      <c r="AB290">
        <v>2500</v>
      </c>
      <c r="AC290">
        <v>2080</v>
      </c>
      <c r="AD290">
        <v>1073</v>
      </c>
      <c r="AE290">
        <v>0</v>
      </c>
      <c r="AF290">
        <v>0</v>
      </c>
      <c r="AG290">
        <v>1007</v>
      </c>
      <c r="AH290">
        <v>0</v>
      </c>
      <c r="AI290">
        <v>552</v>
      </c>
      <c r="AJ290">
        <v>0</v>
      </c>
      <c r="AK290">
        <v>0</v>
      </c>
      <c r="AL290">
        <v>160</v>
      </c>
      <c r="AM290">
        <v>0</v>
      </c>
      <c r="AN290">
        <v>0</v>
      </c>
      <c r="AO290">
        <v>0</v>
      </c>
      <c r="AP290">
        <v>8</v>
      </c>
      <c r="AQ290">
        <v>0</v>
      </c>
      <c r="AR290">
        <v>0</v>
      </c>
      <c r="AS290" t="s">
        <v>58</v>
      </c>
      <c r="AT290">
        <v>1</v>
      </c>
      <c r="AU290" t="s">
        <v>63</v>
      </c>
      <c r="AV290" t="s">
        <v>60</v>
      </c>
      <c r="AW290">
        <v>1</v>
      </c>
      <c r="AX290">
        <v>4</v>
      </c>
      <c r="AY290">
        <v>0</v>
      </c>
      <c r="AZ290">
        <v>0</v>
      </c>
      <c r="BA290">
        <v>100</v>
      </c>
      <c r="BB290">
        <v>100</v>
      </c>
      <c r="BC290">
        <v>100</v>
      </c>
      <c r="BD290">
        <v>100</v>
      </c>
      <c r="BE290">
        <v>1</v>
      </c>
      <c r="BF290">
        <v>15000</v>
      </c>
      <c r="BG290">
        <v>1000</v>
      </c>
      <c r="BH290" s="6">
        <f>Grandview_Inventory[[#This Row],[land_extract]]*Lookups!$B$3</f>
        <v>51342.318135355803</v>
      </c>
      <c r="BI290" s="6">
        <f>IF(Grandview_Inventory[[#This Row],[bldg_style]]="",0,Lookups!$B$2)</f>
        <v>155833.95000000001</v>
      </c>
      <c r="BJ290" s="6">
        <f>_xlfn.IFNA(VLOOKUP(Grandview_Inventory[[#This Row],[quality]],Lookups!$H$2:$J$14,3,FALSE),0)</f>
        <v>2251</v>
      </c>
      <c r="BK290" s="6">
        <f>_xlfn.IFNA(VLOOKUP(Grandview_Inventory[[#This Row],[condition]],Lookups!$H$17:$J$24,3,FALSE),0)</f>
        <v>-4503</v>
      </c>
      <c r="BL290" s="6">
        <f>Grandview_Inventory[[#This Row],[Eff_Age]]*Lookups!$B$14</f>
        <v>-10523.330399999999</v>
      </c>
      <c r="BM290" s="6">
        <f>Grandview_Inventory[[#This Row],[living_area]]*Lookups!$B$15</f>
        <v>129752.17424000001</v>
      </c>
      <c r="BN290" s="6">
        <f>Grandview_Inventory[[#This Row],[Fin BSMT]]*Lookups!$B$16</f>
        <v>-27288.934680000002</v>
      </c>
      <c r="BO290" s="6">
        <f>(Grandview_Inventory[[#This Row],[att_gar]]+Grandview_Inventory[[#This Row],[bltin_gar]])*Lookups!$B$17</f>
        <v>48311.281223999998</v>
      </c>
      <c r="BP290" s="6">
        <f>Grandview_Inventory[[#This Row],[Plumbing Fixtures]]*Lookups!$B$18</f>
        <v>16083.5344</v>
      </c>
      <c r="BQ290" s="6">
        <f>Grandview_Inventory[[#This Row],[detatched_value]]*Lookups!$B$19</f>
        <v>0</v>
      </c>
      <c r="BR290" s="6">
        <f>SUM(Grandview_Inventory[[#This Row],[Intercept]:[det_value]])*Grandview_Inventory[[#This Row],[res_pct]]</f>
        <v>309916.67478399997</v>
      </c>
      <c r="BS290" s="6">
        <f>Grandview_Inventory[[#This Row],[land_value]]</f>
        <v>51342.318135355803</v>
      </c>
      <c r="BT290" s="4">
        <f>_xlfn.IFNA(VLOOKUP(Grandview_Inventory[[#This Row],[quality]],Lookups!$A$26:$C$33,3,FALSE),1)</f>
        <v>0.98763855981004833</v>
      </c>
      <c r="BU290" s="4">
        <f>_xlfn.IFNA(VLOOKUP(Grandview_Inventory[[#This Row],[condition]],Lookups!$A$37:$C$44,3,FALSE),1)</f>
        <v>0.96469275950863709</v>
      </c>
      <c r="BV290" s="4">
        <f>IF(Grandview_Inventory[[#This Row],[bldg_style]]="",1,_xlfn.IFNA(VLOOKUP(Grandview_Inventory[[#This Row],[decade]],Lookups!$F$29:$H$43,3,FALSE),1))</f>
        <v>0.9871940091910919</v>
      </c>
      <c r="BW290" s="4">
        <f>_xlfn.IFNA(VLOOKUP(Grandview_Inventory[[#This Row],[living_area_range]],Lookups!$F$47:$H$56,3,FALSE),1)</f>
        <v>0.95799442568048754</v>
      </c>
      <c r="BX290" s="4">
        <f>AVERAGE(Grandview_Inventory[[#This Row],[qual_adj]:[size_adj]])</f>
        <v>0.97437993854756622</v>
      </c>
      <c r="BY290" s="6">
        <f>IF(Grandview_Inventory[[#This Row],[pre_res]]&lt;0,0,Grandview_Inventory[[#This Row],[pre_res]]*Grandview_Inventory[[#This Row],[overall_adj]])</f>
        <v>301976.59053089994</v>
      </c>
      <c r="BZ290" s="6">
        <f>(Grandview_Inventory[[#This Row],[sum_land]]-IF(Grandview_Inventory[[#This Row],[no_utilities]]=1,12000,0))/IF(Grandview_Inventory[[#This Row],[unbuildable]]=1,2,1)</f>
        <v>51342.318135355803</v>
      </c>
      <c r="CA29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90">
        <f>ROUND(Grandview_Inventory[[#This Row],[det_value]]*Lookups!$M$28,-2)</f>
        <v>0</v>
      </c>
      <c r="CC290">
        <f>IF(ROUND(Grandview_Inventory[[#This Row],[adj_res]]*Lookups!$M$28,-2)&lt;Grandview_Inventory[[#This Row],[min_res]],Grandview_Inventory[[#This Row],[min_res]],ROUND(Grandview_Inventory[[#This Row],[adj_res]]*Lookups!$M$28,-2))</f>
        <v>286900</v>
      </c>
      <c r="CD290">
        <f>Grandview_Inventory[[#This Row],[final_det]]+Grandview_Inventory[[#This Row],[final_res]]</f>
        <v>286900</v>
      </c>
      <c r="CE290">
        <f>Grandview_Inventory[[#This Row],[final_land]]+Grandview_Inventory[[#This Row],[final_imp]]+Grandview_Inventory[[#This Row],[crop_value]]</f>
        <v>335700</v>
      </c>
      <c r="CG290" t="str">
        <f t="shared" si="4"/>
        <v>update valuation set market_land =48800, market_bldg=286900, market_total =335700, market_mdno =401, market_date ='9/10/2023' where link_id = (select link_id from parcel where parcel_year = '2024' and parcel_id = '23091443434');</v>
      </c>
    </row>
    <row r="291" spans="1:85" x14ac:dyDescent="0.25">
      <c r="A291">
        <v>23091443435</v>
      </c>
      <c r="B291">
        <v>0.22</v>
      </c>
      <c r="C291">
        <v>9613</v>
      </c>
      <c r="D291" t="s">
        <v>129</v>
      </c>
      <c r="E291" t="s">
        <v>53</v>
      </c>
      <c r="F291" t="s">
        <v>53</v>
      </c>
      <c r="G291">
        <v>4</v>
      </c>
      <c r="H291" t="s">
        <v>54</v>
      </c>
      <c r="I291">
        <v>271900</v>
      </c>
      <c r="J291">
        <v>39500</v>
      </c>
      <c r="K291">
        <v>0.22</v>
      </c>
      <c r="L29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91">
        <v>0</v>
      </c>
      <c r="N291">
        <v>0</v>
      </c>
      <c r="O291">
        <v>0</v>
      </c>
      <c r="P291">
        <v>13398.7528</v>
      </c>
      <c r="Q291">
        <v>63903</v>
      </c>
      <c r="R291">
        <f>(Grandview_Inventory[[#This Row],[ln_acres]]*Grandview_Inventory[[#This Row],[coeff]])+Grandview_Inventory[[#This Row],[const]]</f>
        <v>43615.576802869145</v>
      </c>
      <c r="S291" t="s">
        <v>74</v>
      </c>
      <c r="T291">
        <v>1</v>
      </c>
      <c r="U291" t="s">
        <v>65</v>
      </c>
      <c r="V291" t="s">
        <v>69</v>
      </c>
      <c r="W291">
        <v>0</v>
      </c>
      <c r="X291">
        <v>0</v>
      </c>
      <c r="Y291">
        <v>43</v>
      </c>
      <c r="Z291">
        <v>45</v>
      </c>
      <c r="AA291">
        <v>50</v>
      </c>
      <c r="AB291">
        <v>2000</v>
      </c>
      <c r="AC291">
        <v>1776</v>
      </c>
      <c r="AD291">
        <v>1200</v>
      </c>
      <c r="AE291">
        <v>0</v>
      </c>
      <c r="AF291">
        <v>0</v>
      </c>
      <c r="AG291">
        <v>576</v>
      </c>
      <c r="AH291">
        <v>0</v>
      </c>
      <c r="AI291">
        <v>1248</v>
      </c>
      <c r="AJ291">
        <v>0</v>
      </c>
      <c r="AK291">
        <v>0</v>
      </c>
      <c r="AL291">
        <v>546</v>
      </c>
      <c r="AM291">
        <v>72</v>
      </c>
      <c r="AN291">
        <v>0</v>
      </c>
      <c r="AO291">
        <v>420</v>
      </c>
      <c r="AP291">
        <v>8</v>
      </c>
      <c r="AQ291">
        <v>0</v>
      </c>
      <c r="AR291">
        <v>0</v>
      </c>
      <c r="AS291" t="s">
        <v>58</v>
      </c>
      <c r="AT291">
        <v>1</v>
      </c>
      <c r="AU291" t="s">
        <v>59</v>
      </c>
      <c r="AV291" t="s">
        <v>60</v>
      </c>
      <c r="AW291">
        <v>1</v>
      </c>
      <c r="AX291">
        <v>3</v>
      </c>
      <c r="AY291">
        <v>0</v>
      </c>
      <c r="AZ291">
        <v>0</v>
      </c>
      <c r="BA291">
        <v>100</v>
      </c>
      <c r="BB291">
        <v>100</v>
      </c>
      <c r="BC291">
        <v>100</v>
      </c>
      <c r="BD291">
        <v>100</v>
      </c>
      <c r="BE291">
        <v>1</v>
      </c>
      <c r="BF291">
        <v>15000</v>
      </c>
      <c r="BG291">
        <v>1000</v>
      </c>
      <c r="BH291" s="6">
        <f>Grandview_Inventory[[#This Row],[land_extract]]*Lookups!$B$3</f>
        <v>50650.651579114572</v>
      </c>
      <c r="BI291" s="6">
        <f>IF(Grandview_Inventory[[#This Row],[bldg_style]]="",0,Lookups!$B$2)</f>
        <v>155833.95000000001</v>
      </c>
      <c r="BJ291" s="6">
        <f>_xlfn.IFNA(VLOOKUP(Grandview_Inventory[[#This Row],[quality]],Lookups!$H$2:$J$14,3,FALSE),0)</f>
        <v>2251</v>
      </c>
      <c r="BK291" s="6">
        <f>_xlfn.IFNA(VLOOKUP(Grandview_Inventory[[#This Row],[condition]],Lookups!$H$17:$J$24,3,FALSE),0)</f>
        <v>-4503</v>
      </c>
      <c r="BL291" s="6">
        <f>Grandview_Inventory[[#This Row],[Eff_Age]]*Lookups!$B$14</f>
        <v>-10284.1638</v>
      </c>
      <c r="BM291" s="6">
        <f>Grandview_Inventory[[#This Row],[living_area]]*Lookups!$B$15</f>
        <v>110788.39492800001</v>
      </c>
      <c r="BN291" s="6">
        <f>Grandview_Inventory[[#This Row],[Fin BSMT]]*Lookups!$B$16</f>
        <v>-15609.162240000001</v>
      </c>
      <c r="BO291" s="6">
        <f>(Grandview_Inventory[[#This Row],[att_gar]]+Grandview_Inventory[[#This Row],[bltin_gar]])*Lookups!$B$17</f>
        <v>109225.505376</v>
      </c>
      <c r="BP291" s="6">
        <f>Grandview_Inventory[[#This Row],[Plumbing Fixtures]]*Lookups!$B$18</f>
        <v>16083.5344</v>
      </c>
      <c r="BQ291" s="6">
        <f>Grandview_Inventory[[#This Row],[detatched_value]]*Lookups!$B$19</f>
        <v>0</v>
      </c>
      <c r="BR291" s="6">
        <f>SUM(Grandview_Inventory[[#This Row],[Intercept]:[det_value]])*Grandview_Inventory[[#This Row],[res_pct]]</f>
        <v>363786.05866400001</v>
      </c>
      <c r="BS291" s="6">
        <f>Grandview_Inventory[[#This Row],[land_value]]</f>
        <v>50650.651579114572</v>
      </c>
      <c r="BT291" s="4">
        <f>_xlfn.IFNA(VLOOKUP(Grandview_Inventory[[#This Row],[quality]],Lookups!$A$26:$C$33,3,FALSE),1)</f>
        <v>0.98763855981004833</v>
      </c>
      <c r="BU291" s="4">
        <f>_xlfn.IFNA(VLOOKUP(Grandview_Inventory[[#This Row],[condition]],Lookups!$A$37:$C$44,3,FALSE),1)</f>
        <v>0.96469275950863709</v>
      </c>
      <c r="BV291" s="4">
        <f>IF(Grandview_Inventory[[#This Row],[bldg_style]]="",1,_xlfn.IFNA(VLOOKUP(Grandview_Inventory[[#This Row],[decade]],Lookups!$F$29:$H$43,3,FALSE),1))</f>
        <v>0.9871940091910919</v>
      </c>
      <c r="BW291" s="4">
        <f>_xlfn.IFNA(VLOOKUP(Grandview_Inventory[[#This Row],[living_area_range]],Lookups!$F$47:$H$56,3,FALSE),1)</f>
        <v>0.96120133463014379</v>
      </c>
      <c r="BX291" s="4">
        <f>AVERAGE(Grandview_Inventory[[#This Row],[qual_adj]:[size_adj]])</f>
        <v>0.97518166578498033</v>
      </c>
      <c r="BY291" s="6">
        <f>IF(Grandview_Inventory[[#This Row],[pre_res]]&lt;0,0,Grandview_Inventory[[#This Row],[pre_res]]*Grandview_Inventory[[#This Row],[overall_adj]])</f>
        <v>354757.49467731209</v>
      </c>
      <c r="BZ291" s="6">
        <f>(Grandview_Inventory[[#This Row],[sum_land]]-IF(Grandview_Inventory[[#This Row],[no_utilities]]=1,12000,0))/IF(Grandview_Inventory[[#This Row],[unbuildable]]=1,2,1)</f>
        <v>50650.651579114572</v>
      </c>
      <c r="CA29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91">
        <f>ROUND(Grandview_Inventory[[#This Row],[det_value]]*Lookups!$M$28,-2)</f>
        <v>0</v>
      </c>
      <c r="CC291">
        <f>IF(ROUND(Grandview_Inventory[[#This Row],[adj_res]]*Lookups!$M$28,-2)&lt;Grandview_Inventory[[#This Row],[min_res]],Grandview_Inventory[[#This Row],[min_res]],ROUND(Grandview_Inventory[[#This Row],[adj_res]]*Lookups!$M$28,-2))</f>
        <v>337000</v>
      </c>
      <c r="CD291">
        <f>Grandview_Inventory[[#This Row],[final_det]]+Grandview_Inventory[[#This Row],[final_res]]</f>
        <v>337000</v>
      </c>
      <c r="CE291">
        <f>Grandview_Inventory[[#This Row],[final_land]]+Grandview_Inventory[[#This Row],[final_imp]]+Grandview_Inventory[[#This Row],[crop_value]]</f>
        <v>385100</v>
      </c>
      <c r="CG291" t="str">
        <f t="shared" si="4"/>
        <v>update valuation set market_land =48100, market_bldg=337000, market_total =385100, market_mdno =401, market_date ='9/10/2023' where link_id = (select link_id from parcel where parcel_year = '2024' and parcel_id = '23091443435');</v>
      </c>
    </row>
    <row r="292" spans="1:85" x14ac:dyDescent="0.25">
      <c r="A292">
        <v>23091443436</v>
      </c>
      <c r="B292">
        <v>0.21</v>
      </c>
      <c r="C292">
        <v>9304</v>
      </c>
      <c r="D292" t="s">
        <v>129</v>
      </c>
      <c r="E292" t="s">
        <v>53</v>
      </c>
      <c r="F292" t="s">
        <v>53</v>
      </c>
      <c r="G292">
        <v>4</v>
      </c>
      <c r="H292" t="s">
        <v>54</v>
      </c>
      <c r="I292">
        <v>252100</v>
      </c>
      <c r="J292">
        <v>39300</v>
      </c>
      <c r="K292">
        <v>0.21</v>
      </c>
      <c r="L29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92">
        <v>0</v>
      </c>
      <c r="N292">
        <v>0</v>
      </c>
      <c r="O292">
        <v>0</v>
      </c>
      <c r="P292">
        <v>13398.7528</v>
      </c>
      <c r="Q292">
        <v>63903</v>
      </c>
      <c r="R292">
        <f>(Grandview_Inventory[[#This Row],[ln_acres]]*Grandview_Inventory[[#This Row],[coeff]])+Grandview_Inventory[[#This Row],[const]]</f>
        <v>42992.266613125081</v>
      </c>
      <c r="S292" t="s">
        <v>77</v>
      </c>
      <c r="T292">
        <v>1</v>
      </c>
      <c r="U292" t="s">
        <v>65</v>
      </c>
      <c r="V292" t="s">
        <v>67</v>
      </c>
      <c r="W292">
        <v>0</v>
      </c>
      <c r="X292">
        <v>0</v>
      </c>
      <c r="Y292">
        <v>44</v>
      </c>
      <c r="Z292">
        <v>46</v>
      </c>
      <c r="AA292">
        <v>50</v>
      </c>
      <c r="AB292">
        <v>2000</v>
      </c>
      <c r="AC292">
        <v>1986</v>
      </c>
      <c r="AD292">
        <v>1026</v>
      </c>
      <c r="AE292">
        <v>0</v>
      </c>
      <c r="AF292">
        <v>0</v>
      </c>
      <c r="AG292">
        <v>960</v>
      </c>
      <c r="AH292">
        <v>0</v>
      </c>
      <c r="AI292">
        <v>624</v>
      </c>
      <c r="AJ292">
        <v>0</v>
      </c>
      <c r="AK292">
        <v>0</v>
      </c>
      <c r="AL292">
        <v>120</v>
      </c>
      <c r="AM292">
        <v>0</v>
      </c>
      <c r="AN292">
        <v>56</v>
      </c>
      <c r="AO292">
        <v>0</v>
      </c>
      <c r="AP292">
        <v>11</v>
      </c>
      <c r="AQ292">
        <v>0</v>
      </c>
      <c r="AR292">
        <v>0</v>
      </c>
      <c r="AS292" t="s">
        <v>58</v>
      </c>
      <c r="AT292">
        <v>1</v>
      </c>
      <c r="AU292" t="s">
        <v>63</v>
      </c>
      <c r="AV292" t="s">
        <v>60</v>
      </c>
      <c r="AW292">
        <v>1</v>
      </c>
      <c r="AX292">
        <v>3</v>
      </c>
      <c r="AY292">
        <v>0</v>
      </c>
      <c r="AZ292">
        <v>0</v>
      </c>
      <c r="BA292">
        <v>100</v>
      </c>
      <c r="BB292">
        <v>100</v>
      </c>
      <c r="BC292">
        <v>100</v>
      </c>
      <c r="BD292">
        <v>100</v>
      </c>
      <c r="BE292">
        <v>1</v>
      </c>
      <c r="BF292">
        <v>15000</v>
      </c>
      <c r="BG292">
        <v>1000</v>
      </c>
      <c r="BH292" s="6">
        <f>Grandview_Inventory[[#This Row],[land_extract]]*Lookups!$B$3</f>
        <v>49926.8031387023</v>
      </c>
      <c r="BI292" s="6">
        <f>IF(Grandview_Inventory[[#This Row],[bldg_style]]="",0,Lookups!$B$2)</f>
        <v>155833.95000000001</v>
      </c>
      <c r="BJ292" s="6">
        <f>_xlfn.IFNA(VLOOKUP(Grandview_Inventory[[#This Row],[quality]],Lookups!$H$2:$J$14,3,FALSE),0)</f>
        <v>2251</v>
      </c>
      <c r="BK292" s="6">
        <f>_xlfn.IFNA(VLOOKUP(Grandview_Inventory[[#This Row],[condition]],Lookups!$H$17:$J$24,3,FALSE),0)</f>
        <v>22342</v>
      </c>
      <c r="BL292" s="6">
        <f>Grandview_Inventory[[#This Row],[Eff_Age]]*Lookups!$B$14</f>
        <v>-10523.330399999999</v>
      </c>
      <c r="BM292" s="6">
        <f>Grandview_Inventory[[#This Row],[living_area]]*Lookups!$B$15</f>
        <v>123888.374058</v>
      </c>
      <c r="BN292" s="6">
        <f>Grandview_Inventory[[#This Row],[Fin BSMT]]*Lookups!$B$16</f>
        <v>-26015.270400000001</v>
      </c>
      <c r="BO292" s="6">
        <f>(Grandview_Inventory[[#This Row],[att_gar]]+Grandview_Inventory[[#This Row],[bltin_gar]])*Lookups!$B$17</f>
        <v>54612.752688</v>
      </c>
      <c r="BP292" s="6">
        <f>Grandview_Inventory[[#This Row],[Plumbing Fixtures]]*Lookups!$B$18</f>
        <v>22114.859800000002</v>
      </c>
      <c r="BQ292" s="6">
        <f>Grandview_Inventory[[#This Row],[detatched_value]]*Lookups!$B$19</f>
        <v>0</v>
      </c>
      <c r="BR292" s="6">
        <f>SUM(Grandview_Inventory[[#This Row],[Intercept]:[det_value]])*Grandview_Inventory[[#This Row],[res_pct]]</f>
        <v>344504.335746</v>
      </c>
      <c r="BS292" s="6">
        <f>Grandview_Inventory[[#This Row],[land_value]]</f>
        <v>49926.8031387023</v>
      </c>
      <c r="BT292" s="4">
        <f>_xlfn.IFNA(VLOOKUP(Grandview_Inventory[[#This Row],[quality]],Lookups!$A$26:$C$33,3,FALSE),1)</f>
        <v>0.98763855981004833</v>
      </c>
      <c r="BU292" s="4">
        <f>_xlfn.IFNA(VLOOKUP(Grandview_Inventory[[#This Row],[condition]],Lookups!$A$37:$C$44,3,FALSE),1)</f>
        <v>0.97383723671140243</v>
      </c>
      <c r="BV292" s="4">
        <f>IF(Grandview_Inventory[[#This Row],[bldg_style]]="",1,_xlfn.IFNA(VLOOKUP(Grandview_Inventory[[#This Row],[decade]],Lookups!$F$29:$H$43,3,FALSE),1))</f>
        <v>0.9871940091910919</v>
      </c>
      <c r="BW292" s="4">
        <f>_xlfn.IFNA(VLOOKUP(Grandview_Inventory[[#This Row],[living_area_range]],Lookups!$F$47:$H$56,3,FALSE),1)</f>
        <v>0.96120133463014379</v>
      </c>
      <c r="BX292" s="4">
        <f>AVERAGE(Grandview_Inventory[[#This Row],[qual_adj]:[size_adj]])</f>
        <v>0.97746778508567167</v>
      </c>
      <c r="BY292" s="6">
        <f>IF(Grandview_Inventory[[#This Row],[pre_res]]&lt;0,0,Grandview_Inventory[[#This Row],[pre_res]]*Grandview_Inventory[[#This Row],[overall_adj]])</f>
        <v>336741.89001405321</v>
      </c>
      <c r="BZ292" s="6">
        <f>(Grandview_Inventory[[#This Row],[sum_land]]-IF(Grandview_Inventory[[#This Row],[no_utilities]]=1,12000,0))/IF(Grandview_Inventory[[#This Row],[unbuildable]]=1,2,1)</f>
        <v>49926.8031387023</v>
      </c>
      <c r="CA29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92">
        <f>ROUND(Grandview_Inventory[[#This Row],[det_value]]*Lookups!$M$28,-2)</f>
        <v>0</v>
      </c>
      <c r="CC292">
        <f>IF(ROUND(Grandview_Inventory[[#This Row],[adj_res]]*Lookups!$M$28,-2)&lt;Grandview_Inventory[[#This Row],[min_res]],Grandview_Inventory[[#This Row],[min_res]],ROUND(Grandview_Inventory[[#This Row],[adj_res]]*Lookups!$M$28,-2))</f>
        <v>319900</v>
      </c>
      <c r="CD292">
        <f>Grandview_Inventory[[#This Row],[final_det]]+Grandview_Inventory[[#This Row],[final_res]]</f>
        <v>319900</v>
      </c>
      <c r="CE292">
        <f>Grandview_Inventory[[#This Row],[final_land]]+Grandview_Inventory[[#This Row],[final_imp]]+Grandview_Inventory[[#This Row],[crop_value]]</f>
        <v>367300</v>
      </c>
      <c r="CG292" t="str">
        <f t="shared" si="4"/>
        <v>update valuation set market_land =47400, market_bldg=319900, market_total =367300, market_mdno =401, market_date ='9/10/2023' where link_id = (select link_id from parcel where parcel_year = '2024' and parcel_id = '23091443436');</v>
      </c>
    </row>
    <row r="293" spans="1:85" x14ac:dyDescent="0.25">
      <c r="A293">
        <v>23091443437</v>
      </c>
      <c r="B293">
        <v>0.21</v>
      </c>
      <c r="C293">
        <v>9353</v>
      </c>
      <c r="D293" t="s">
        <v>129</v>
      </c>
      <c r="E293" t="s">
        <v>53</v>
      </c>
      <c r="F293" t="s">
        <v>53</v>
      </c>
      <c r="G293">
        <v>4</v>
      </c>
      <c r="H293" t="s">
        <v>54</v>
      </c>
      <c r="I293">
        <v>191500</v>
      </c>
      <c r="J293">
        <v>39500</v>
      </c>
      <c r="K293">
        <v>0.21</v>
      </c>
      <c r="L29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93">
        <v>0</v>
      </c>
      <c r="N293">
        <v>0</v>
      </c>
      <c r="O293">
        <v>0</v>
      </c>
      <c r="P293">
        <v>13398.7528</v>
      </c>
      <c r="Q293">
        <v>63903</v>
      </c>
      <c r="R293">
        <f>(Grandview_Inventory[[#This Row],[ln_acres]]*Grandview_Inventory[[#This Row],[coeff]])+Grandview_Inventory[[#This Row],[const]]</f>
        <v>42992.266613125081</v>
      </c>
      <c r="S293" t="s">
        <v>61</v>
      </c>
      <c r="T293">
        <v>1</v>
      </c>
      <c r="U293" t="s">
        <v>65</v>
      </c>
      <c r="V293" t="s">
        <v>69</v>
      </c>
      <c r="W293">
        <v>0</v>
      </c>
      <c r="X293">
        <v>0</v>
      </c>
      <c r="Y293">
        <v>43</v>
      </c>
      <c r="Z293">
        <v>44</v>
      </c>
      <c r="AA293">
        <v>50</v>
      </c>
      <c r="AB293">
        <v>1500</v>
      </c>
      <c r="AC293">
        <v>1408</v>
      </c>
      <c r="AD293">
        <v>1408</v>
      </c>
      <c r="AE293">
        <v>0</v>
      </c>
      <c r="AF293">
        <v>0</v>
      </c>
      <c r="AG293">
        <v>0</v>
      </c>
      <c r="AH293">
        <v>0</v>
      </c>
      <c r="AI293">
        <v>528</v>
      </c>
      <c r="AJ293">
        <v>0</v>
      </c>
      <c r="AK293">
        <v>0</v>
      </c>
      <c r="AL293">
        <v>168</v>
      </c>
      <c r="AM293">
        <v>0</v>
      </c>
      <c r="AN293">
        <v>0</v>
      </c>
      <c r="AO293">
        <v>168</v>
      </c>
      <c r="AP293">
        <v>8</v>
      </c>
      <c r="AQ293">
        <v>1</v>
      </c>
      <c r="AR293">
        <v>0</v>
      </c>
      <c r="AS293" t="s">
        <v>58</v>
      </c>
      <c r="AT293">
        <v>1</v>
      </c>
      <c r="AU293" t="s">
        <v>63</v>
      </c>
      <c r="AV293" t="s">
        <v>60</v>
      </c>
      <c r="AW293">
        <v>0</v>
      </c>
      <c r="AX293">
        <v>3</v>
      </c>
      <c r="AY293">
        <v>0</v>
      </c>
      <c r="AZ293">
        <v>0</v>
      </c>
      <c r="BA293">
        <v>100</v>
      </c>
      <c r="BB293">
        <v>100</v>
      </c>
      <c r="BC293">
        <v>100</v>
      </c>
      <c r="BD293">
        <v>100</v>
      </c>
      <c r="BE293">
        <v>1</v>
      </c>
      <c r="BF293">
        <v>15000</v>
      </c>
      <c r="BG293">
        <v>1000</v>
      </c>
      <c r="BH293" s="6">
        <f>Grandview_Inventory[[#This Row],[land_extract]]*Lookups!$B$3</f>
        <v>49926.8031387023</v>
      </c>
      <c r="BI293" s="6">
        <f>IF(Grandview_Inventory[[#This Row],[bldg_style]]="",0,Lookups!$B$2)</f>
        <v>155833.95000000001</v>
      </c>
      <c r="BJ293" s="6">
        <f>_xlfn.IFNA(VLOOKUP(Grandview_Inventory[[#This Row],[quality]],Lookups!$H$2:$J$14,3,FALSE),0)</f>
        <v>2251</v>
      </c>
      <c r="BK293" s="6">
        <f>_xlfn.IFNA(VLOOKUP(Grandview_Inventory[[#This Row],[condition]],Lookups!$H$17:$J$24,3,FALSE),0)</f>
        <v>-4503</v>
      </c>
      <c r="BL293" s="6">
        <f>Grandview_Inventory[[#This Row],[Eff_Age]]*Lookups!$B$14</f>
        <v>-10284.1638</v>
      </c>
      <c r="BM293" s="6">
        <f>Grandview_Inventory[[#This Row],[living_area]]*Lookups!$B$15</f>
        <v>87832.241024000003</v>
      </c>
      <c r="BN293" s="6">
        <f>Grandview_Inventory[[#This Row],[Fin BSMT]]*Lookups!$B$16</f>
        <v>0</v>
      </c>
      <c r="BO293" s="6">
        <f>(Grandview_Inventory[[#This Row],[att_gar]]+Grandview_Inventory[[#This Row],[bltin_gar]])*Lookups!$B$17</f>
        <v>46210.790736000003</v>
      </c>
      <c r="BP293" s="6">
        <f>Grandview_Inventory[[#This Row],[Plumbing Fixtures]]*Lookups!$B$18</f>
        <v>16083.5344</v>
      </c>
      <c r="BQ293" s="6">
        <f>Grandview_Inventory[[#This Row],[detatched_value]]*Lookups!$B$19</f>
        <v>0</v>
      </c>
      <c r="BR293" s="6">
        <f>SUM(Grandview_Inventory[[#This Row],[Intercept]:[det_value]])*Grandview_Inventory[[#This Row],[res_pct]]</f>
        <v>293424.35236000002</v>
      </c>
      <c r="BS293" s="6">
        <f>Grandview_Inventory[[#This Row],[land_value]]</f>
        <v>49926.8031387023</v>
      </c>
      <c r="BT293" s="4">
        <f>_xlfn.IFNA(VLOOKUP(Grandview_Inventory[[#This Row],[quality]],Lookups!$A$26:$C$33,3,FALSE),1)</f>
        <v>0.98763855981004833</v>
      </c>
      <c r="BU293" s="4">
        <f>_xlfn.IFNA(VLOOKUP(Grandview_Inventory[[#This Row],[condition]],Lookups!$A$37:$C$44,3,FALSE),1)</f>
        <v>0.96469275950863709</v>
      </c>
      <c r="BV293" s="4">
        <f>IF(Grandview_Inventory[[#This Row],[bldg_style]]="",1,_xlfn.IFNA(VLOOKUP(Grandview_Inventory[[#This Row],[decade]],Lookups!$F$29:$H$43,3,FALSE),1))</f>
        <v>0.9871940091910919</v>
      </c>
      <c r="BW293" s="4">
        <f>_xlfn.IFNA(VLOOKUP(Grandview_Inventory[[#This Row],[living_area_range]],Lookups!$F$47:$H$56,3,FALSE),1)</f>
        <v>0.96135087979789358</v>
      </c>
      <c r="BX293" s="4">
        <f>AVERAGE(Grandview_Inventory[[#This Row],[qual_adj]:[size_adj]])</f>
        <v>0.97521905207691773</v>
      </c>
      <c r="BY293" s="6">
        <f>IF(Grandview_Inventory[[#This Row],[pre_res]]&lt;0,0,Grandview_Inventory[[#This Row],[pre_res]]*Grandview_Inventory[[#This Row],[overall_adj]])</f>
        <v>286153.01876480272</v>
      </c>
      <c r="BZ293" s="6">
        <f>(Grandview_Inventory[[#This Row],[sum_land]]-IF(Grandview_Inventory[[#This Row],[no_utilities]]=1,12000,0))/IF(Grandview_Inventory[[#This Row],[unbuildable]]=1,2,1)</f>
        <v>49926.8031387023</v>
      </c>
      <c r="CA29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93">
        <f>ROUND(Grandview_Inventory[[#This Row],[det_value]]*Lookups!$M$28,-2)</f>
        <v>0</v>
      </c>
      <c r="CC293">
        <f>IF(ROUND(Grandview_Inventory[[#This Row],[adj_res]]*Lookups!$M$28,-2)&lt;Grandview_Inventory[[#This Row],[min_res]],Grandview_Inventory[[#This Row],[min_res]],ROUND(Grandview_Inventory[[#This Row],[adj_res]]*Lookups!$M$28,-2))</f>
        <v>271800</v>
      </c>
      <c r="CD293">
        <f>Grandview_Inventory[[#This Row],[final_det]]+Grandview_Inventory[[#This Row],[final_res]]</f>
        <v>271800</v>
      </c>
      <c r="CE293">
        <f>Grandview_Inventory[[#This Row],[final_land]]+Grandview_Inventory[[#This Row],[final_imp]]+Grandview_Inventory[[#This Row],[crop_value]]</f>
        <v>319200</v>
      </c>
      <c r="CG293" t="str">
        <f t="shared" si="4"/>
        <v>update valuation set market_land =47400, market_bldg=271800, market_total =319200, market_mdno =401, market_date ='9/10/2023' where link_id = (select link_id from parcel where parcel_year = '2024' and parcel_id = '23091443437');</v>
      </c>
    </row>
    <row r="294" spans="1:85" x14ac:dyDescent="0.25">
      <c r="A294">
        <v>23091443438</v>
      </c>
      <c r="B294">
        <v>0.22</v>
      </c>
      <c r="C294">
        <v>9771</v>
      </c>
      <c r="D294" t="s">
        <v>129</v>
      </c>
      <c r="E294" t="s">
        <v>53</v>
      </c>
      <c r="F294" t="s">
        <v>53</v>
      </c>
      <c r="G294">
        <v>4</v>
      </c>
      <c r="H294" t="s">
        <v>54</v>
      </c>
      <c r="I294">
        <v>275200</v>
      </c>
      <c r="J294">
        <v>39700</v>
      </c>
      <c r="K294">
        <v>0.22</v>
      </c>
      <c r="L29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94">
        <v>0</v>
      </c>
      <c r="N294">
        <v>0</v>
      </c>
      <c r="O294">
        <v>0</v>
      </c>
      <c r="P294">
        <v>13398.7528</v>
      </c>
      <c r="Q294">
        <v>63903</v>
      </c>
      <c r="R294">
        <f>(Grandview_Inventory[[#This Row],[ln_acres]]*Grandview_Inventory[[#This Row],[coeff]])+Grandview_Inventory[[#This Row],[const]]</f>
        <v>43615.576802869145</v>
      </c>
      <c r="S294" t="s">
        <v>74</v>
      </c>
      <c r="T294">
        <v>1</v>
      </c>
      <c r="U294" t="s">
        <v>62</v>
      </c>
      <c r="V294" t="s">
        <v>67</v>
      </c>
      <c r="W294">
        <v>0</v>
      </c>
      <c r="X294">
        <v>0</v>
      </c>
      <c r="Y294">
        <v>43</v>
      </c>
      <c r="Z294">
        <v>44</v>
      </c>
      <c r="AA294">
        <v>50</v>
      </c>
      <c r="AB294">
        <v>2000</v>
      </c>
      <c r="AC294">
        <v>1776</v>
      </c>
      <c r="AD294">
        <v>1200</v>
      </c>
      <c r="AE294">
        <v>0</v>
      </c>
      <c r="AF294">
        <v>0</v>
      </c>
      <c r="AG294">
        <v>576</v>
      </c>
      <c r="AH294">
        <v>0</v>
      </c>
      <c r="AI294">
        <v>576</v>
      </c>
      <c r="AJ294">
        <v>0</v>
      </c>
      <c r="AK294">
        <v>0</v>
      </c>
      <c r="AL294">
        <v>0</v>
      </c>
      <c r="AM294">
        <v>112</v>
      </c>
      <c r="AN294">
        <v>0</v>
      </c>
      <c r="AO294">
        <v>0</v>
      </c>
      <c r="AP294">
        <v>9</v>
      </c>
      <c r="AQ294">
        <v>0</v>
      </c>
      <c r="AR294">
        <v>0</v>
      </c>
      <c r="AS294" t="s">
        <v>58</v>
      </c>
      <c r="AT294">
        <v>1</v>
      </c>
      <c r="AU294" t="s">
        <v>63</v>
      </c>
      <c r="AV294" t="s">
        <v>60</v>
      </c>
      <c r="AW294">
        <v>1</v>
      </c>
      <c r="AX294">
        <v>3</v>
      </c>
      <c r="AY294">
        <v>0</v>
      </c>
      <c r="AZ294">
        <v>0</v>
      </c>
      <c r="BA294">
        <v>100</v>
      </c>
      <c r="BB294">
        <v>100</v>
      </c>
      <c r="BC294">
        <v>100</v>
      </c>
      <c r="BD294">
        <v>100</v>
      </c>
      <c r="BE294">
        <v>1</v>
      </c>
      <c r="BF294">
        <v>15000</v>
      </c>
      <c r="BG294">
        <v>1000</v>
      </c>
      <c r="BH294" s="6">
        <f>Grandview_Inventory[[#This Row],[land_extract]]*Lookups!$B$3</f>
        <v>50650.651579114572</v>
      </c>
      <c r="BI294" s="6">
        <f>IF(Grandview_Inventory[[#This Row],[bldg_style]]="",0,Lookups!$B$2)</f>
        <v>155833.95000000001</v>
      </c>
      <c r="BJ294" s="6">
        <f>_xlfn.IFNA(VLOOKUP(Grandview_Inventory[[#This Row],[quality]],Lookups!$H$2:$J$14,3,FALSE),0)</f>
        <v>9808</v>
      </c>
      <c r="BK294" s="6">
        <f>_xlfn.IFNA(VLOOKUP(Grandview_Inventory[[#This Row],[condition]],Lookups!$H$17:$J$24,3,FALSE),0)</f>
        <v>22342</v>
      </c>
      <c r="BL294" s="6">
        <f>Grandview_Inventory[[#This Row],[Eff_Age]]*Lookups!$B$14</f>
        <v>-10284.1638</v>
      </c>
      <c r="BM294" s="6">
        <f>Grandview_Inventory[[#This Row],[living_area]]*Lookups!$B$15</f>
        <v>110788.39492800001</v>
      </c>
      <c r="BN294" s="6">
        <f>Grandview_Inventory[[#This Row],[Fin BSMT]]*Lookups!$B$16</f>
        <v>-15609.162240000001</v>
      </c>
      <c r="BO294" s="6">
        <f>(Grandview_Inventory[[#This Row],[att_gar]]+Grandview_Inventory[[#This Row],[bltin_gar]])*Lookups!$B$17</f>
        <v>50411.771712000002</v>
      </c>
      <c r="BP294" s="6">
        <f>Grandview_Inventory[[#This Row],[Plumbing Fixtures]]*Lookups!$B$18</f>
        <v>18093.976200000001</v>
      </c>
      <c r="BQ294" s="6">
        <f>Grandview_Inventory[[#This Row],[detatched_value]]*Lookups!$B$19</f>
        <v>0</v>
      </c>
      <c r="BR294" s="6">
        <f>SUM(Grandview_Inventory[[#This Row],[Intercept]:[det_value]])*Grandview_Inventory[[#This Row],[res_pct]]</f>
        <v>341384.76680000004</v>
      </c>
      <c r="BS294" s="6">
        <f>Grandview_Inventory[[#This Row],[land_value]]</f>
        <v>50650.651579114572</v>
      </c>
      <c r="BT294" s="4">
        <f>_xlfn.IFNA(VLOOKUP(Grandview_Inventory[[#This Row],[quality]],Lookups!$A$26:$C$33,3,FALSE),1)</f>
        <v>0.94295468617355149</v>
      </c>
      <c r="BU294" s="4">
        <f>_xlfn.IFNA(VLOOKUP(Grandview_Inventory[[#This Row],[condition]],Lookups!$A$37:$C$44,3,FALSE),1)</f>
        <v>0.97383723671140243</v>
      </c>
      <c r="BV294" s="4">
        <f>IF(Grandview_Inventory[[#This Row],[bldg_style]]="",1,_xlfn.IFNA(VLOOKUP(Grandview_Inventory[[#This Row],[decade]],Lookups!$F$29:$H$43,3,FALSE),1))</f>
        <v>0.9871940091910919</v>
      </c>
      <c r="BW294" s="4">
        <f>_xlfn.IFNA(VLOOKUP(Grandview_Inventory[[#This Row],[living_area_range]],Lookups!$F$47:$H$56,3,FALSE),1)</f>
        <v>0.96120133463014379</v>
      </c>
      <c r="BX294" s="4">
        <f>AVERAGE(Grandview_Inventory[[#This Row],[qual_adj]:[size_adj]])</f>
        <v>0.96629681667654732</v>
      </c>
      <c r="BY294" s="6">
        <f>IF(Grandview_Inventory[[#This Row],[pre_res]]&lt;0,0,Grandview_Inventory[[#This Row],[pre_res]]*Grandview_Inventory[[#This Row],[overall_adj]])</f>
        <v>329879.01342070551</v>
      </c>
      <c r="BZ294" s="6">
        <f>(Grandview_Inventory[[#This Row],[sum_land]]-IF(Grandview_Inventory[[#This Row],[no_utilities]]=1,12000,0))/IF(Grandview_Inventory[[#This Row],[unbuildable]]=1,2,1)</f>
        <v>50650.651579114572</v>
      </c>
      <c r="CA29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94">
        <f>ROUND(Grandview_Inventory[[#This Row],[det_value]]*Lookups!$M$28,-2)</f>
        <v>0</v>
      </c>
      <c r="CC294">
        <f>IF(ROUND(Grandview_Inventory[[#This Row],[adj_res]]*Lookups!$M$28,-2)&lt;Grandview_Inventory[[#This Row],[min_res]],Grandview_Inventory[[#This Row],[min_res]],ROUND(Grandview_Inventory[[#This Row],[adj_res]]*Lookups!$M$28,-2))</f>
        <v>313400</v>
      </c>
      <c r="CD294">
        <f>Grandview_Inventory[[#This Row],[final_det]]+Grandview_Inventory[[#This Row],[final_res]]</f>
        <v>313400</v>
      </c>
      <c r="CE294">
        <f>Grandview_Inventory[[#This Row],[final_land]]+Grandview_Inventory[[#This Row],[final_imp]]+Grandview_Inventory[[#This Row],[crop_value]]</f>
        <v>361500</v>
      </c>
      <c r="CG294" t="str">
        <f t="shared" si="4"/>
        <v>update valuation set market_land =48100, market_bldg=313400, market_total =361500, market_mdno =401, market_date ='9/10/2023' where link_id = (select link_id from parcel where parcel_year = '2024' and parcel_id = '23091443438');</v>
      </c>
    </row>
    <row r="295" spans="1:85" x14ac:dyDescent="0.25">
      <c r="A295">
        <v>23091443442</v>
      </c>
      <c r="B295">
        <v>0.21</v>
      </c>
      <c r="C295">
        <v>9333</v>
      </c>
      <c r="D295" t="s">
        <v>129</v>
      </c>
      <c r="E295" t="s">
        <v>53</v>
      </c>
      <c r="F295" t="s">
        <v>53</v>
      </c>
      <c r="G295">
        <v>4</v>
      </c>
      <c r="H295" t="s">
        <v>54</v>
      </c>
      <c r="I295">
        <v>230200</v>
      </c>
      <c r="J295">
        <v>39500</v>
      </c>
      <c r="K295">
        <v>0.21</v>
      </c>
      <c r="L29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95">
        <v>0</v>
      </c>
      <c r="N295">
        <v>0</v>
      </c>
      <c r="O295">
        <v>0</v>
      </c>
      <c r="P295">
        <v>13398.7528</v>
      </c>
      <c r="Q295">
        <v>63903</v>
      </c>
      <c r="R295">
        <f>(Grandview_Inventory[[#This Row],[ln_acres]]*Grandview_Inventory[[#This Row],[coeff]])+Grandview_Inventory[[#This Row],[const]]</f>
        <v>42992.266613125081</v>
      </c>
      <c r="S295" t="s">
        <v>61</v>
      </c>
      <c r="T295">
        <v>1</v>
      </c>
      <c r="U295" t="s">
        <v>65</v>
      </c>
      <c r="V295" t="s">
        <v>67</v>
      </c>
      <c r="W295">
        <v>0</v>
      </c>
      <c r="X295">
        <v>0</v>
      </c>
      <c r="Y295">
        <v>26</v>
      </c>
      <c r="Z295">
        <v>26</v>
      </c>
      <c r="AA295">
        <v>30</v>
      </c>
      <c r="AB295">
        <v>1500</v>
      </c>
      <c r="AC295">
        <v>1476</v>
      </c>
      <c r="AD295">
        <v>1476</v>
      </c>
      <c r="AE295">
        <v>0</v>
      </c>
      <c r="AF295">
        <v>0</v>
      </c>
      <c r="AG295">
        <v>0</v>
      </c>
      <c r="AH295">
        <v>0</v>
      </c>
      <c r="AI295">
        <v>440</v>
      </c>
      <c r="AJ295">
        <v>0</v>
      </c>
      <c r="AK295">
        <v>0</v>
      </c>
      <c r="AL295">
        <v>320</v>
      </c>
      <c r="AM295">
        <v>0</v>
      </c>
      <c r="AN295">
        <v>0</v>
      </c>
      <c r="AO295">
        <v>0</v>
      </c>
      <c r="AP295">
        <v>8</v>
      </c>
      <c r="AQ295">
        <v>0</v>
      </c>
      <c r="AR295">
        <v>0</v>
      </c>
      <c r="AS295" t="s">
        <v>58</v>
      </c>
      <c r="AT295">
        <v>1</v>
      </c>
      <c r="AU295" t="s">
        <v>59</v>
      </c>
      <c r="AV295" t="s">
        <v>60</v>
      </c>
      <c r="AW295">
        <v>1</v>
      </c>
      <c r="AX295">
        <v>3</v>
      </c>
      <c r="AY295">
        <v>0</v>
      </c>
      <c r="AZ295">
        <v>0</v>
      </c>
      <c r="BA295">
        <v>100</v>
      </c>
      <c r="BB295">
        <v>100</v>
      </c>
      <c r="BC295">
        <v>100</v>
      </c>
      <c r="BD295">
        <v>100</v>
      </c>
      <c r="BE295">
        <v>1</v>
      </c>
      <c r="BF295">
        <v>15000</v>
      </c>
      <c r="BG295">
        <v>1000</v>
      </c>
      <c r="BH295" s="6">
        <f>Grandview_Inventory[[#This Row],[land_extract]]*Lookups!$B$3</f>
        <v>49926.8031387023</v>
      </c>
      <c r="BI295" s="6">
        <f>IF(Grandview_Inventory[[#This Row],[bldg_style]]="",0,Lookups!$B$2)</f>
        <v>155833.95000000001</v>
      </c>
      <c r="BJ295" s="6">
        <f>_xlfn.IFNA(VLOOKUP(Grandview_Inventory[[#This Row],[quality]],Lookups!$H$2:$J$14,3,FALSE),0)</f>
        <v>2251</v>
      </c>
      <c r="BK295" s="6">
        <f>_xlfn.IFNA(VLOOKUP(Grandview_Inventory[[#This Row],[condition]],Lookups!$H$17:$J$24,3,FALSE),0)</f>
        <v>22342</v>
      </c>
      <c r="BL295" s="6">
        <f>Grandview_Inventory[[#This Row],[Eff_Age]]*Lookups!$B$14</f>
        <v>-6218.3315999999995</v>
      </c>
      <c r="BM295" s="6">
        <f>Grandview_Inventory[[#This Row],[living_area]]*Lookups!$B$15</f>
        <v>92074.139028000005</v>
      </c>
      <c r="BN295" s="6">
        <f>Grandview_Inventory[[#This Row],[Fin BSMT]]*Lookups!$B$16</f>
        <v>0</v>
      </c>
      <c r="BO295" s="6">
        <f>(Grandview_Inventory[[#This Row],[att_gar]]+Grandview_Inventory[[#This Row],[bltin_gar]])*Lookups!$B$17</f>
        <v>38508.992279999999</v>
      </c>
      <c r="BP295" s="6">
        <f>Grandview_Inventory[[#This Row],[Plumbing Fixtures]]*Lookups!$B$18</f>
        <v>16083.5344</v>
      </c>
      <c r="BQ295" s="6">
        <f>Grandview_Inventory[[#This Row],[detatched_value]]*Lookups!$B$19</f>
        <v>0</v>
      </c>
      <c r="BR295" s="6">
        <f>SUM(Grandview_Inventory[[#This Row],[Intercept]:[det_value]])*Grandview_Inventory[[#This Row],[res_pct]]</f>
        <v>320875.28410799999</v>
      </c>
      <c r="BS295" s="6">
        <f>Grandview_Inventory[[#This Row],[land_value]]</f>
        <v>49926.8031387023</v>
      </c>
      <c r="BT295" s="4">
        <f>_xlfn.IFNA(VLOOKUP(Grandview_Inventory[[#This Row],[quality]],Lookups!$A$26:$C$33,3,FALSE),1)</f>
        <v>0.98763855981004833</v>
      </c>
      <c r="BU295" s="4">
        <f>_xlfn.IFNA(VLOOKUP(Grandview_Inventory[[#This Row],[condition]],Lookups!$A$37:$C$44,3,FALSE),1)</f>
        <v>0.97383723671140243</v>
      </c>
      <c r="BV295" s="4">
        <f>IF(Grandview_Inventory[[#This Row],[bldg_style]]="",1,_xlfn.IFNA(VLOOKUP(Grandview_Inventory[[#This Row],[decade]],Lookups!$F$29:$H$43,3,FALSE),1))</f>
        <v>0.98397821291089549</v>
      </c>
      <c r="BW295" s="4">
        <f>_xlfn.IFNA(VLOOKUP(Grandview_Inventory[[#This Row],[living_area_range]],Lookups!$F$47:$H$56,3,FALSE),1)</f>
        <v>0.96135087979789358</v>
      </c>
      <c r="BX295" s="4">
        <f>AVERAGE(Grandview_Inventory[[#This Row],[qual_adj]:[size_adj]])</f>
        <v>0.97670122230755996</v>
      </c>
      <c r="BY295" s="6">
        <f>IF(Grandview_Inventory[[#This Row],[pre_res]]&lt;0,0,Grandview_Inventory[[#This Row],[pre_res]]*Grandview_Inventory[[#This Row],[overall_adj]])</f>
        <v>313399.28219656914</v>
      </c>
      <c r="BZ295" s="6">
        <f>(Grandview_Inventory[[#This Row],[sum_land]]-IF(Grandview_Inventory[[#This Row],[no_utilities]]=1,12000,0))/IF(Grandview_Inventory[[#This Row],[unbuildable]]=1,2,1)</f>
        <v>49926.8031387023</v>
      </c>
      <c r="CA29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95">
        <f>ROUND(Grandview_Inventory[[#This Row],[det_value]]*Lookups!$M$28,-2)</f>
        <v>0</v>
      </c>
      <c r="CC295">
        <f>IF(ROUND(Grandview_Inventory[[#This Row],[adj_res]]*Lookups!$M$28,-2)&lt;Grandview_Inventory[[#This Row],[min_res]],Grandview_Inventory[[#This Row],[min_res]],ROUND(Grandview_Inventory[[#This Row],[adj_res]]*Lookups!$M$28,-2))</f>
        <v>297700</v>
      </c>
      <c r="CD295">
        <f>Grandview_Inventory[[#This Row],[final_det]]+Grandview_Inventory[[#This Row],[final_res]]</f>
        <v>297700</v>
      </c>
      <c r="CE295">
        <f>Grandview_Inventory[[#This Row],[final_land]]+Grandview_Inventory[[#This Row],[final_imp]]+Grandview_Inventory[[#This Row],[crop_value]]</f>
        <v>345100</v>
      </c>
      <c r="CG295" t="str">
        <f t="shared" si="4"/>
        <v>update valuation set market_land =47400, market_bldg=297700, market_total =345100, market_mdno =401, market_date ='9/10/2023' where link_id = (select link_id from parcel where parcel_year = '2024' and parcel_id = '23091443442');</v>
      </c>
    </row>
    <row r="296" spans="1:85" x14ac:dyDescent="0.25">
      <c r="A296">
        <v>23091443443</v>
      </c>
      <c r="B296">
        <v>0.22</v>
      </c>
      <c r="C296">
        <v>9450</v>
      </c>
      <c r="D296" t="s">
        <v>129</v>
      </c>
      <c r="E296" t="s">
        <v>53</v>
      </c>
      <c r="F296" t="s">
        <v>53</v>
      </c>
      <c r="G296">
        <v>4</v>
      </c>
      <c r="H296" t="s">
        <v>54</v>
      </c>
      <c r="I296">
        <v>248300</v>
      </c>
      <c r="J296">
        <v>39500</v>
      </c>
      <c r="K296">
        <v>0.22</v>
      </c>
      <c r="L29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96">
        <v>0</v>
      </c>
      <c r="N296">
        <v>0</v>
      </c>
      <c r="O296">
        <v>0</v>
      </c>
      <c r="P296">
        <v>13398.7528</v>
      </c>
      <c r="Q296">
        <v>63903</v>
      </c>
      <c r="R296">
        <f>(Grandview_Inventory[[#This Row],[ln_acres]]*Grandview_Inventory[[#This Row],[coeff]])+Grandview_Inventory[[#This Row],[const]]</f>
        <v>43615.576802869145</v>
      </c>
      <c r="S296" t="s">
        <v>61</v>
      </c>
      <c r="T296">
        <v>1</v>
      </c>
      <c r="U296" t="s">
        <v>65</v>
      </c>
      <c r="V296" t="s">
        <v>67</v>
      </c>
      <c r="W296">
        <v>0</v>
      </c>
      <c r="X296">
        <v>0</v>
      </c>
      <c r="Y296">
        <v>39</v>
      </c>
      <c r="Z296">
        <v>39</v>
      </c>
      <c r="AA296">
        <v>40</v>
      </c>
      <c r="AB296">
        <v>2000</v>
      </c>
      <c r="AC296">
        <v>1869</v>
      </c>
      <c r="AD296">
        <v>1869</v>
      </c>
      <c r="AE296">
        <v>0</v>
      </c>
      <c r="AF296">
        <v>0</v>
      </c>
      <c r="AG296">
        <v>0</v>
      </c>
      <c r="AH296">
        <v>0</v>
      </c>
      <c r="AI296">
        <v>324</v>
      </c>
      <c r="AJ296">
        <v>0</v>
      </c>
      <c r="AK296">
        <v>0</v>
      </c>
      <c r="AL296">
        <v>344</v>
      </c>
      <c r="AM296">
        <v>672</v>
      </c>
      <c r="AN296">
        <v>160</v>
      </c>
      <c r="AO296">
        <v>344</v>
      </c>
      <c r="AP296">
        <v>10</v>
      </c>
      <c r="AQ296">
        <v>0</v>
      </c>
      <c r="AR296">
        <v>0</v>
      </c>
      <c r="AS296" t="s">
        <v>58</v>
      </c>
      <c r="AT296">
        <v>1</v>
      </c>
      <c r="AU296" t="s">
        <v>63</v>
      </c>
      <c r="AV296" t="s">
        <v>60</v>
      </c>
      <c r="AW296">
        <v>1</v>
      </c>
      <c r="AX296">
        <v>3</v>
      </c>
      <c r="AY296">
        <v>0</v>
      </c>
      <c r="AZ296">
        <v>0</v>
      </c>
      <c r="BA296">
        <v>100</v>
      </c>
      <c r="BB296">
        <v>100</v>
      </c>
      <c r="BC296">
        <v>100</v>
      </c>
      <c r="BD296">
        <v>100</v>
      </c>
      <c r="BE296">
        <v>1</v>
      </c>
      <c r="BF296">
        <v>15000</v>
      </c>
      <c r="BG296">
        <v>1000</v>
      </c>
      <c r="BH296" s="6">
        <f>Grandview_Inventory[[#This Row],[land_extract]]*Lookups!$B$3</f>
        <v>50650.651579114572</v>
      </c>
      <c r="BI296" s="6">
        <f>IF(Grandview_Inventory[[#This Row],[bldg_style]]="",0,Lookups!$B$2)</f>
        <v>155833.95000000001</v>
      </c>
      <c r="BJ296" s="6">
        <f>_xlfn.IFNA(VLOOKUP(Grandview_Inventory[[#This Row],[quality]],Lookups!$H$2:$J$14,3,FALSE),0)</f>
        <v>2251</v>
      </c>
      <c r="BK296" s="6">
        <f>_xlfn.IFNA(VLOOKUP(Grandview_Inventory[[#This Row],[condition]],Lookups!$H$17:$J$24,3,FALSE),0)</f>
        <v>22342</v>
      </c>
      <c r="BL296" s="6">
        <f>Grandview_Inventory[[#This Row],[Eff_Age]]*Lookups!$B$14</f>
        <v>-9327.4974000000002</v>
      </c>
      <c r="BM296" s="6">
        <f>Grandview_Inventory[[#This Row],[living_area]]*Lookups!$B$15</f>
        <v>116589.81425700001</v>
      </c>
      <c r="BN296" s="6">
        <f>Grandview_Inventory[[#This Row],[Fin BSMT]]*Lookups!$B$16</f>
        <v>0</v>
      </c>
      <c r="BO296" s="6">
        <f>(Grandview_Inventory[[#This Row],[att_gar]]+Grandview_Inventory[[#This Row],[bltin_gar]])*Lookups!$B$17</f>
        <v>28356.621588000002</v>
      </c>
      <c r="BP296" s="6">
        <f>Grandview_Inventory[[#This Row],[Plumbing Fixtures]]*Lookups!$B$18</f>
        <v>20104.418000000001</v>
      </c>
      <c r="BQ296" s="6">
        <f>Grandview_Inventory[[#This Row],[detatched_value]]*Lookups!$B$19</f>
        <v>0</v>
      </c>
      <c r="BR296" s="6">
        <f>SUM(Grandview_Inventory[[#This Row],[Intercept]:[det_value]])*Grandview_Inventory[[#This Row],[res_pct]]</f>
        <v>336150.30644499999</v>
      </c>
      <c r="BS296" s="6">
        <f>Grandview_Inventory[[#This Row],[land_value]]</f>
        <v>50650.651579114572</v>
      </c>
      <c r="BT296" s="4">
        <f>_xlfn.IFNA(VLOOKUP(Grandview_Inventory[[#This Row],[quality]],Lookups!$A$26:$C$33,3,FALSE),1)</f>
        <v>0.98763855981004833</v>
      </c>
      <c r="BU296" s="4">
        <f>_xlfn.IFNA(VLOOKUP(Grandview_Inventory[[#This Row],[condition]],Lookups!$A$37:$C$44,3,FALSE),1)</f>
        <v>0.97383723671140243</v>
      </c>
      <c r="BV296" s="4">
        <f>IF(Grandview_Inventory[[#This Row],[bldg_style]]="",1,_xlfn.IFNA(VLOOKUP(Grandview_Inventory[[#This Row],[decade]],Lookups!$F$29:$H$43,3,FALSE),1))</f>
        <v>0.98031878267063854</v>
      </c>
      <c r="BW296" s="4">
        <f>_xlfn.IFNA(VLOOKUP(Grandview_Inventory[[#This Row],[living_area_range]],Lookups!$F$47:$H$56,3,FALSE),1)</f>
        <v>0.96120133463014379</v>
      </c>
      <c r="BX296" s="4">
        <f>AVERAGE(Grandview_Inventory[[#This Row],[qual_adj]:[size_adj]])</f>
        <v>0.97574897845555819</v>
      </c>
      <c r="BY296" s="6">
        <f>IF(Grandview_Inventory[[#This Row],[pre_res]]&lt;0,0,Grandview_Inventory[[#This Row],[pre_res]]*Grandview_Inventory[[#This Row],[overall_adj]])</f>
        <v>327998.31812123157</v>
      </c>
      <c r="BZ296" s="6">
        <f>(Grandview_Inventory[[#This Row],[sum_land]]-IF(Grandview_Inventory[[#This Row],[no_utilities]]=1,12000,0))/IF(Grandview_Inventory[[#This Row],[unbuildable]]=1,2,1)</f>
        <v>50650.651579114572</v>
      </c>
      <c r="CA29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96">
        <f>ROUND(Grandview_Inventory[[#This Row],[det_value]]*Lookups!$M$28,-2)</f>
        <v>0</v>
      </c>
      <c r="CC296">
        <f>IF(ROUND(Grandview_Inventory[[#This Row],[adj_res]]*Lookups!$M$28,-2)&lt;Grandview_Inventory[[#This Row],[min_res]],Grandview_Inventory[[#This Row],[min_res]],ROUND(Grandview_Inventory[[#This Row],[adj_res]]*Lookups!$M$28,-2))</f>
        <v>311600</v>
      </c>
      <c r="CD296">
        <f>Grandview_Inventory[[#This Row],[final_det]]+Grandview_Inventory[[#This Row],[final_res]]</f>
        <v>311600</v>
      </c>
      <c r="CE296">
        <f>Grandview_Inventory[[#This Row],[final_land]]+Grandview_Inventory[[#This Row],[final_imp]]+Grandview_Inventory[[#This Row],[crop_value]]</f>
        <v>359700</v>
      </c>
      <c r="CG296" t="str">
        <f t="shared" si="4"/>
        <v>update valuation set market_land =48100, market_bldg=311600, market_total =359700, market_mdno =401, market_date ='9/10/2023' where link_id = (select link_id from parcel where parcel_year = '2024' and parcel_id = '23091443443');</v>
      </c>
    </row>
    <row r="297" spans="1:85" x14ac:dyDescent="0.25">
      <c r="A297">
        <v>23091443444</v>
      </c>
      <c r="B297">
        <v>0.22</v>
      </c>
      <c r="C297">
        <v>9627</v>
      </c>
      <c r="D297" t="s">
        <v>129</v>
      </c>
      <c r="E297" t="s">
        <v>53</v>
      </c>
      <c r="F297" t="s">
        <v>53</v>
      </c>
      <c r="G297">
        <v>4</v>
      </c>
      <c r="H297" t="s">
        <v>54</v>
      </c>
      <c r="I297">
        <v>202100</v>
      </c>
      <c r="J297">
        <v>39500</v>
      </c>
      <c r="K297">
        <v>0.22</v>
      </c>
      <c r="L29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97">
        <v>0</v>
      </c>
      <c r="N297">
        <v>0</v>
      </c>
      <c r="O297">
        <v>0</v>
      </c>
      <c r="P297">
        <v>13398.7528</v>
      </c>
      <c r="Q297">
        <v>63903</v>
      </c>
      <c r="R297">
        <f>(Grandview_Inventory[[#This Row],[ln_acres]]*Grandview_Inventory[[#This Row],[coeff]])+Grandview_Inventory[[#This Row],[const]]</f>
        <v>43615.576802869145</v>
      </c>
      <c r="S297" t="s">
        <v>55</v>
      </c>
      <c r="T297">
        <v>2</v>
      </c>
      <c r="U297" t="s">
        <v>65</v>
      </c>
      <c r="V297" t="s">
        <v>69</v>
      </c>
      <c r="W297">
        <v>0</v>
      </c>
      <c r="X297">
        <v>0</v>
      </c>
      <c r="Y297">
        <v>40</v>
      </c>
      <c r="Z297">
        <v>40</v>
      </c>
      <c r="AA297">
        <v>40</v>
      </c>
      <c r="AB297">
        <v>2000</v>
      </c>
      <c r="AC297">
        <v>1856</v>
      </c>
      <c r="AD297">
        <v>1072</v>
      </c>
      <c r="AE297">
        <v>784</v>
      </c>
      <c r="AF297">
        <v>0</v>
      </c>
      <c r="AG297">
        <v>0</v>
      </c>
      <c r="AH297">
        <v>0</v>
      </c>
      <c r="AI297">
        <v>288</v>
      </c>
      <c r="AJ297">
        <v>0</v>
      </c>
      <c r="AK297">
        <v>0</v>
      </c>
      <c r="AL297">
        <v>144</v>
      </c>
      <c r="AM297">
        <v>0</v>
      </c>
      <c r="AN297">
        <v>112</v>
      </c>
      <c r="AO297">
        <v>0</v>
      </c>
      <c r="AP297">
        <v>10</v>
      </c>
      <c r="AQ297">
        <v>0</v>
      </c>
      <c r="AR297">
        <v>0</v>
      </c>
      <c r="AS297" t="s">
        <v>58</v>
      </c>
      <c r="AT297">
        <v>1</v>
      </c>
      <c r="AU297" t="s">
        <v>63</v>
      </c>
      <c r="AV297" t="s">
        <v>64</v>
      </c>
      <c r="AW297">
        <v>1</v>
      </c>
      <c r="AX297">
        <v>3</v>
      </c>
      <c r="AY297">
        <v>0</v>
      </c>
      <c r="AZ297">
        <v>0</v>
      </c>
      <c r="BA297">
        <v>100</v>
      </c>
      <c r="BB297">
        <v>100</v>
      </c>
      <c r="BC297">
        <v>100</v>
      </c>
      <c r="BD297">
        <v>100</v>
      </c>
      <c r="BE297">
        <v>1</v>
      </c>
      <c r="BF297">
        <v>15000</v>
      </c>
      <c r="BG297">
        <v>1000</v>
      </c>
      <c r="BH297" s="6">
        <f>Grandview_Inventory[[#This Row],[land_extract]]*Lookups!$B$3</f>
        <v>50650.651579114572</v>
      </c>
      <c r="BI297" s="6">
        <f>IF(Grandview_Inventory[[#This Row],[bldg_style]]="",0,Lookups!$B$2)</f>
        <v>155833.95000000001</v>
      </c>
      <c r="BJ297" s="6">
        <f>_xlfn.IFNA(VLOOKUP(Grandview_Inventory[[#This Row],[quality]],Lookups!$H$2:$J$14,3,FALSE),0)</f>
        <v>2251</v>
      </c>
      <c r="BK297" s="6">
        <f>_xlfn.IFNA(VLOOKUP(Grandview_Inventory[[#This Row],[condition]],Lookups!$H$17:$J$24,3,FALSE),0)</f>
        <v>-4503</v>
      </c>
      <c r="BL297" s="6">
        <f>Grandview_Inventory[[#This Row],[Eff_Age]]*Lookups!$B$14</f>
        <v>-9566.6639999999989</v>
      </c>
      <c r="BM297" s="6">
        <f>Grandview_Inventory[[#This Row],[living_area]]*Lookups!$B$15</f>
        <v>115778.86316800001</v>
      </c>
      <c r="BN297" s="6">
        <f>Grandview_Inventory[[#This Row],[Fin BSMT]]*Lookups!$B$16</f>
        <v>0</v>
      </c>
      <c r="BO297" s="6">
        <f>(Grandview_Inventory[[#This Row],[att_gar]]+Grandview_Inventory[[#This Row],[bltin_gar]])*Lookups!$B$17</f>
        <v>25205.885856000001</v>
      </c>
      <c r="BP297" s="6">
        <f>Grandview_Inventory[[#This Row],[Plumbing Fixtures]]*Lookups!$B$18</f>
        <v>20104.418000000001</v>
      </c>
      <c r="BQ297" s="6">
        <f>Grandview_Inventory[[#This Row],[detatched_value]]*Lookups!$B$19</f>
        <v>0</v>
      </c>
      <c r="BR297" s="6">
        <f>SUM(Grandview_Inventory[[#This Row],[Intercept]:[det_value]])*Grandview_Inventory[[#This Row],[res_pct]]</f>
        <v>305104.45302400005</v>
      </c>
      <c r="BS297" s="6">
        <f>Grandview_Inventory[[#This Row],[land_value]]</f>
        <v>50650.651579114572</v>
      </c>
      <c r="BT297" s="4">
        <f>_xlfn.IFNA(VLOOKUP(Grandview_Inventory[[#This Row],[quality]],Lookups!$A$26:$C$33,3,FALSE),1)</f>
        <v>0.98763855981004833</v>
      </c>
      <c r="BU297" s="4">
        <f>_xlfn.IFNA(VLOOKUP(Grandview_Inventory[[#This Row],[condition]],Lookups!$A$37:$C$44,3,FALSE),1)</f>
        <v>0.96469275950863709</v>
      </c>
      <c r="BV297" s="4">
        <f>IF(Grandview_Inventory[[#This Row],[bldg_style]]="",1,_xlfn.IFNA(VLOOKUP(Grandview_Inventory[[#This Row],[decade]],Lookups!$F$29:$H$43,3,FALSE),1))</f>
        <v>0.98031878267063854</v>
      </c>
      <c r="BW297" s="4">
        <f>_xlfn.IFNA(VLOOKUP(Grandview_Inventory[[#This Row],[living_area_range]],Lookups!$F$47:$H$56,3,FALSE),1)</f>
        <v>0.96120133463014379</v>
      </c>
      <c r="BX297" s="4">
        <f>AVERAGE(Grandview_Inventory[[#This Row],[qual_adj]:[size_adj]])</f>
        <v>0.97346285915486686</v>
      </c>
      <c r="BY297" s="6">
        <f>IF(Grandview_Inventory[[#This Row],[pre_res]]&lt;0,0,Grandview_Inventory[[#This Row],[pre_res]]*Grandview_Inventory[[#This Row],[overall_adj]])</f>
        <v>297007.85318162484</v>
      </c>
      <c r="BZ297" s="6">
        <f>(Grandview_Inventory[[#This Row],[sum_land]]-IF(Grandview_Inventory[[#This Row],[no_utilities]]=1,12000,0))/IF(Grandview_Inventory[[#This Row],[unbuildable]]=1,2,1)</f>
        <v>50650.651579114572</v>
      </c>
      <c r="CA29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97">
        <f>ROUND(Grandview_Inventory[[#This Row],[det_value]]*Lookups!$M$28,-2)</f>
        <v>0</v>
      </c>
      <c r="CC297">
        <f>IF(ROUND(Grandview_Inventory[[#This Row],[adj_res]]*Lookups!$M$28,-2)&lt;Grandview_Inventory[[#This Row],[min_res]],Grandview_Inventory[[#This Row],[min_res]],ROUND(Grandview_Inventory[[#This Row],[adj_res]]*Lookups!$M$28,-2))</f>
        <v>282200</v>
      </c>
      <c r="CD297">
        <f>Grandview_Inventory[[#This Row],[final_det]]+Grandview_Inventory[[#This Row],[final_res]]</f>
        <v>282200</v>
      </c>
      <c r="CE297">
        <f>Grandview_Inventory[[#This Row],[final_land]]+Grandview_Inventory[[#This Row],[final_imp]]+Grandview_Inventory[[#This Row],[crop_value]]</f>
        <v>330300</v>
      </c>
      <c r="CG297" t="str">
        <f t="shared" si="4"/>
        <v>update valuation set market_land =48100, market_bldg=282200, market_total =330300, market_mdno =401, market_date ='9/10/2023' where link_id = (select link_id from parcel where parcel_year = '2024' and parcel_id = '23091443444');</v>
      </c>
    </row>
    <row r="298" spans="1:85" x14ac:dyDescent="0.25">
      <c r="A298">
        <v>23091443445</v>
      </c>
      <c r="B298">
        <v>0.21</v>
      </c>
      <c r="C298">
        <v>8949</v>
      </c>
      <c r="D298" t="s">
        <v>129</v>
      </c>
      <c r="E298" t="s">
        <v>53</v>
      </c>
      <c r="F298" t="s">
        <v>53</v>
      </c>
      <c r="G298">
        <v>4</v>
      </c>
      <c r="H298" t="s">
        <v>54</v>
      </c>
      <c r="I298">
        <v>201800</v>
      </c>
      <c r="J298">
        <v>39300</v>
      </c>
      <c r="K298">
        <v>0.21</v>
      </c>
      <c r="L29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98">
        <v>0</v>
      </c>
      <c r="N298">
        <v>0</v>
      </c>
      <c r="O298">
        <v>0</v>
      </c>
      <c r="P298">
        <v>13398.7528</v>
      </c>
      <c r="Q298">
        <v>63903</v>
      </c>
      <c r="R298">
        <f>(Grandview_Inventory[[#This Row],[ln_acres]]*Grandview_Inventory[[#This Row],[coeff]])+Grandview_Inventory[[#This Row],[const]]</f>
        <v>42992.266613125081</v>
      </c>
      <c r="S298" t="s">
        <v>61</v>
      </c>
      <c r="T298">
        <v>1</v>
      </c>
      <c r="U298" t="s">
        <v>65</v>
      </c>
      <c r="V298" t="s">
        <v>67</v>
      </c>
      <c r="W298">
        <v>0</v>
      </c>
      <c r="X298">
        <v>0</v>
      </c>
      <c r="Y298">
        <v>36</v>
      </c>
      <c r="Z298">
        <v>36</v>
      </c>
      <c r="AA298">
        <v>40</v>
      </c>
      <c r="AB298">
        <v>2000</v>
      </c>
      <c r="AC298">
        <v>1760</v>
      </c>
      <c r="AD298">
        <v>1760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168</v>
      </c>
      <c r="AN298">
        <v>0</v>
      </c>
      <c r="AO298">
        <v>112</v>
      </c>
      <c r="AP298">
        <v>8</v>
      </c>
      <c r="AQ298">
        <v>0</v>
      </c>
      <c r="AR298">
        <v>0</v>
      </c>
      <c r="AS298" t="s">
        <v>58</v>
      </c>
      <c r="AT298">
        <v>1</v>
      </c>
      <c r="AU298" t="s">
        <v>63</v>
      </c>
      <c r="AV298" t="s">
        <v>60</v>
      </c>
      <c r="AW298">
        <v>0</v>
      </c>
      <c r="AX298">
        <v>3</v>
      </c>
      <c r="AY298">
        <v>0</v>
      </c>
      <c r="AZ298">
        <v>0</v>
      </c>
      <c r="BA298">
        <v>100</v>
      </c>
      <c r="BB298">
        <v>100</v>
      </c>
      <c r="BC298">
        <v>100</v>
      </c>
      <c r="BD298">
        <v>100</v>
      </c>
      <c r="BE298">
        <v>1</v>
      </c>
      <c r="BF298">
        <v>15000</v>
      </c>
      <c r="BG298">
        <v>1000</v>
      </c>
      <c r="BH298" s="6">
        <f>Grandview_Inventory[[#This Row],[land_extract]]*Lookups!$B$3</f>
        <v>49926.8031387023</v>
      </c>
      <c r="BI298" s="6">
        <f>IF(Grandview_Inventory[[#This Row],[bldg_style]]="",0,Lookups!$B$2)</f>
        <v>155833.95000000001</v>
      </c>
      <c r="BJ298" s="6">
        <f>_xlfn.IFNA(VLOOKUP(Grandview_Inventory[[#This Row],[quality]],Lookups!$H$2:$J$14,3,FALSE),0)</f>
        <v>2251</v>
      </c>
      <c r="BK298" s="6">
        <f>_xlfn.IFNA(VLOOKUP(Grandview_Inventory[[#This Row],[condition]],Lookups!$H$17:$J$24,3,FALSE),0)</f>
        <v>22342</v>
      </c>
      <c r="BL298" s="6">
        <f>Grandview_Inventory[[#This Row],[Eff_Age]]*Lookups!$B$14</f>
        <v>-8609.9975999999988</v>
      </c>
      <c r="BM298" s="6">
        <f>Grandview_Inventory[[#This Row],[living_area]]*Lookups!$B$15</f>
        <v>109790.30128</v>
      </c>
      <c r="BN298" s="6">
        <f>Grandview_Inventory[[#This Row],[Fin BSMT]]*Lookups!$B$16</f>
        <v>0</v>
      </c>
      <c r="BO298" s="6">
        <f>(Grandview_Inventory[[#This Row],[att_gar]]+Grandview_Inventory[[#This Row],[bltin_gar]])*Lookups!$B$17</f>
        <v>0</v>
      </c>
      <c r="BP298" s="6">
        <f>Grandview_Inventory[[#This Row],[Plumbing Fixtures]]*Lookups!$B$18</f>
        <v>16083.5344</v>
      </c>
      <c r="BQ298" s="6">
        <f>Grandview_Inventory[[#This Row],[detatched_value]]*Lookups!$B$19</f>
        <v>0</v>
      </c>
      <c r="BR298" s="6">
        <f>SUM(Grandview_Inventory[[#This Row],[Intercept]:[det_value]])*Grandview_Inventory[[#This Row],[res_pct]]</f>
        <v>297690.78808000003</v>
      </c>
      <c r="BS298" s="6">
        <f>Grandview_Inventory[[#This Row],[land_value]]</f>
        <v>49926.8031387023</v>
      </c>
      <c r="BT298" s="4">
        <f>_xlfn.IFNA(VLOOKUP(Grandview_Inventory[[#This Row],[quality]],Lookups!$A$26:$C$33,3,FALSE),1)</f>
        <v>0.98763855981004833</v>
      </c>
      <c r="BU298" s="4">
        <f>_xlfn.IFNA(VLOOKUP(Grandview_Inventory[[#This Row],[condition]],Lookups!$A$37:$C$44,3,FALSE),1)</f>
        <v>0.97383723671140243</v>
      </c>
      <c r="BV298" s="4">
        <f>IF(Grandview_Inventory[[#This Row],[bldg_style]]="",1,_xlfn.IFNA(VLOOKUP(Grandview_Inventory[[#This Row],[decade]],Lookups!$F$29:$H$43,3,FALSE),1))</f>
        <v>0.98031878267063854</v>
      </c>
      <c r="BW298" s="4">
        <f>_xlfn.IFNA(VLOOKUP(Grandview_Inventory[[#This Row],[living_area_range]],Lookups!$F$47:$H$56,3,FALSE),1)</f>
        <v>0.96120133463014379</v>
      </c>
      <c r="BX298" s="4">
        <f>AVERAGE(Grandview_Inventory[[#This Row],[qual_adj]:[size_adj]])</f>
        <v>0.97574897845555819</v>
      </c>
      <c r="BY298" s="6">
        <f>IF(Grandview_Inventory[[#This Row],[pre_res]]&lt;0,0,Grandview_Inventory[[#This Row],[pre_res]]*Grandview_Inventory[[#This Row],[overall_adj]])</f>
        <v>290471.48236469011</v>
      </c>
      <c r="BZ298" s="6">
        <f>(Grandview_Inventory[[#This Row],[sum_land]]-IF(Grandview_Inventory[[#This Row],[no_utilities]]=1,12000,0))/IF(Grandview_Inventory[[#This Row],[unbuildable]]=1,2,1)</f>
        <v>49926.8031387023</v>
      </c>
      <c r="CA29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98">
        <f>ROUND(Grandview_Inventory[[#This Row],[det_value]]*Lookups!$M$28,-2)</f>
        <v>0</v>
      </c>
      <c r="CC298">
        <f>IF(ROUND(Grandview_Inventory[[#This Row],[adj_res]]*Lookups!$M$28,-2)&lt;Grandview_Inventory[[#This Row],[min_res]],Grandview_Inventory[[#This Row],[min_res]],ROUND(Grandview_Inventory[[#This Row],[adj_res]]*Lookups!$M$28,-2))</f>
        <v>275900</v>
      </c>
      <c r="CD298">
        <f>Grandview_Inventory[[#This Row],[final_det]]+Grandview_Inventory[[#This Row],[final_res]]</f>
        <v>275900</v>
      </c>
      <c r="CE298">
        <f>Grandview_Inventory[[#This Row],[final_land]]+Grandview_Inventory[[#This Row],[final_imp]]+Grandview_Inventory[[#This Row],[crop_value]]</f>
        <v>323300</v>
      </c>
      <c r="CG298" t="str">
        <f t="shared" si="4"/>
        <v>update valuation set market_land =47400, market_bldg=275900, market_total =323300, market_mdno =401, market_date ='9/10/2023' where link_id = (select link_id from parcel where parcel_year = '2024' and parcel_id = '23091443445');</v>
      </c>
    </row>
    <row r="299" spans="1:85" x14ac:dyDescent="0.25">
      <c r="A299">
        <v>23091443446</v>
      </c>
      <c r="B299">
        <v>0.36</v>
      </c>
      <c r="C299">
        <v>15865</v>
      </c>
      <c r="D299" t="s">
        <v>129</v>
      </c>
      <c r="E299" t="s">
        <v>53</v>
      </c>
      <c r="F299" t="s">
        <v>53</v>
      </c>
      <c r="G299">
        <v>4</v>
      </c>
      <c r="H299" t="s">
        <v>54</v>
      </c>
      <c r="I299">
        <v>233500</v>
      </c>
      <c r="J299">
        <v>40900</v>
      </c>
      <c r="K299">
        <v>0.36</v>
      </c>
      <c r="L299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299">
        <v>0</v>
      </c>
      <c r="N299">
        <v>0</v>
      </c>
      <c r="O299">
        <v>0</v>
      </c>
      <c r="P299">
        <v>13398.7528</v>
      </c>
      <c r="Q299">
        <v>63903</v>
      </c>
      <c r="R299">
        <f>(Grandview_Inventory[[#This Row],[ln_acres]]*Grandview_Inventory[[#This Row],[coeff]])+Grandview_Inventory[[#This Row],[const]]</f>
        <v>50214.147486507369</v>
      </c>
      <c r="S299" t="s">
        <v>61</v>
      </c>
      <c r="T299">
        <v>1</v>
      </c>
      <c r="U299" t="s">
        <v>62</v>
      </c>
      <c r="V299" t="s">
        <v>67</v>
      </c>
      <c r="W299">
        <v>0</v>
      </c>
      <c r="X299">
        <v>0</v>
      </c>
      <c r="Y299">
        <v>43</v>
      </c>
      <c r="Z299">
        <v>43</v>
      </c>
      <c r="AA299">
        <v>50</v>
      </c>
      <c r="AB299">
        <v>2000</v>
      </c>
      <c r="AC299">
        <v>1787</v>
      </c>
      <c r="AD299">
        <v>1787</v>
      </c>
      <c r="AE299">
        <v>0</v>
      </c>
      <c r="AF299">
        <v>0</v>
      </c>
      <c r="AG299">
        <v>0</v>
      </c>
      <c r="AH299">
        <v>0</v>
      </c>
      <c r="AI299">
        <v>500</v>
      </c>
      <c r="AJ299">
        <v>0</v>
      </c>
      <c r="AK299">
        <v>0</v>
      </c>
      <c r="AL299">
        <v>192</v>
      </c>
      <c r="AM299">
        <v>0</v>
      </c>
      <c r="AN299">
        <v>42</v>
      </c>
      <c r="AO299">
        <v>0</v>
      </c>
      <c r="AP299">
        <v>9</v>
      </c>
      <c r="AQ299">
        <v>0</v>
      </c>
      <c r="AR299">
        <v>0</v>
      </c>
      <c r="AS299" t="s">
        <v>58</v>
      </c>
      <c r="AT299">
        <v>1</v>
      </c>
      <c r="AU299" t="s">
        <v>75</v>
      </c>
      <c r="AV299" t="s">
        <v>60</v>
      </c>
      <c r="AW299">
        <v>0</v>
      </c>
      <c r="AX299">
        <v>3</v>
      </c>
      <c r="AY299">
        <v>0</v>
      </c>
      <c r="AZ299">
        <v>0</v>
      </c>
      <c r="BA299">
        <v>100</v>
      </c>
      <c r="BB299">
        <v>100</v>
      </c>
      <c r="BC299">
        <v>100</v>
      </c>
      <c r="BD299">
        <v>100</v>
      </c>
      <c r="BE299">
        <v>1</v>
      </c>
      <c r="BF299">
        <v>15000</v>
      </c>
      <c r="BG299">
        <v>1000</v>
      </c>
      <c r="BH299" s="6">
        <f>Grandview_Inventory[[#This Row],[land_extract]]*Lookups!$B$3</f>
        <v>58313.55389788279</v>
      </c>
      <c r="BI299" s="6">
        <f>IF(Grandview_Inventory[[#This Row],[bldg_style]]="",0,Lookups!$B$2)</f>
        <v>155833.95000000001</v>
      </c>
      <c r="BJ299" s="6">
        <f>_xlfn.IFNA(VLOOKUP(Grandview_Inventory[[#This Row],[quality]],Lookups!$H$2:$J$14,3,FALSE),0)</f>
        <v>9808</v>
      </c>
      <c r="BK299" s="6">
        <f>_xlfn.IFNA(VLOOKUP(Grandview_Inventory[[#This Row],[condition]],Lookups!$H$17:$J$24,3,FALSE),0)</f>
        <v>22342</v>
      </c>
      <c r="BL299" s="6">
        <f>Grandview_Inventory[[#This Row],[Eff_Age]]*Lookups!$B$14</f>
        <v>-10284.1638</v>
      </c>
      <c r="BM299" s="6">
        <f>Grandview_Inventory[[#This Row],[living_area]]*Lookups!$B$15</f>
        <v>111474.584311</v>
      </c>
      <c r="BN299" s="6">
        <f>Grandview_Inventory[[#This Row],[Fin BSMT]]*Lookups!$B$16</f>
        <v>0</v>
      </c>
      <c r="BO299" s="6">
        <f>(Grandview_Inventory[[#This Row],[att_gar]]+Grandview_Inventory[[#This Row],[bltin_gar]])*Lookups!$B$17</f>
        <v>43760.218500000003</v>
      </c>
      <c r="BP299" s="6">
        <f>Grandview_Inventory[[#This Row],[Plumbing Fixtures]]*Lookups!$B$18</f>
        <v>18093.976200000001</v>
      </c>
      <c r="BQ299" s="6">
        <f>Grandview_Inventory[[#This Row],[detatched_value]]*Lookups!$B$19</f>
        <v>0</v>
      </c>
      <c r="BR299" s="6">
        <f>SUM(Grandview_Inventory[[#This Row],[Intercept]:[det_value]])*Grandview_Inventory[[#This Row],[res_pct]]</f>
        <v>351028.56521099998</v>
      </c>
      <c r="BS299" s="6">
        <f>Grandview_Inventory[[#This Row],[land_value]]</f>
        <v>58313.55389788279</v>
      </c>
      <c r="BT299" s="4">
        <f>_xlfn.IFNA(VLOOKUP(Grandview_Inventory[[#This Row],[quality]],Lookups!$A$26:$C$33,3,FALSE),1)</f>
        <v>0.94295468617355149</v>
      </c>
      <c r="BU299" s="4">
        <f>_xlfn.IFNA(VLOOKUP(Grandview_Inventory[[#This Row],[condition]],Lookups!$A$37:$C$44,3,FALSE),1)</f>
        <v>0.97383723671140243</v>
      </c>
      <c r="BV299" s="4">
        <f>IF(Grandview_Inventory[[#This Row],[bldg_style]]="",1,_xlfn.IFNA(VLOOKUP(Grandview_Inventory[[#This Row],[decade]],Lookups!$F$29:$H$43,3,FALSE),1))</f>
        <v>0.9871940091910919</v>
      </c>
      <c r="BW299" s="4">
        <f>_xlfn.IFNA(VLOOKUP(Grandview_Inventory[[#This Row],[living_area_range]],Lookups!$F$47:$H$56,3,FALSE),1)</f>
        <v>0.96120133463014379</v>
      </c>
      <c r="BX299" s="4">
        <f>AVERAGE(Grandview_Inventory[[#This Row],[qual_adj]:[size_adj]])</f>
        <v>0.96629681667654732</v>
      </c>
      <c r="BY299" s="6">
        <f>IF(Grandview_Inventory[[#This Row],[pre_res]]&lt;0,0,Grandview_Inventory[[#This Row],[pre_res]]*Grandview_Inventory[[#This Row],[overall_adj]])</f>
        <v>339197.78512592509</v>
      </c>
      <c r="BZ299" s="6">
        <f>(Grandview_Inventory[[#This Row],[sum_land]]-IF(Grandview_Inventory[[#This Row],[no_utilities]]=1,12000,0))/IF(Grandview_Inventory[[#This Row],[unbuildable]]=1,2,1)</f>
        <v>58313.55389788279</v>
      </c>
      <c r="CA299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299">
        <f>ROUND(Grandview_Inventory[[#This Row],[det_value]]*Lookups!$M$28,-2)</f>
        <v>0</v>
      </c>
      <c r="CC299">
        <f>IF(ROUND(Grandview_Inventory[[#This Row],[adj_res]]*Lookups!$M$28,-2)&lt;Grandview_Inventory[[#This Row],[min_res]],Grandview_Inventory[[#This Row],[min_res]],ROUND(Grandview_Inventory[[#This Row],[adj_res]]*Lookups!$M$28,-2))</f>
        <v>322200</v>
      </c>
      <c r="CD299">
        <f>Grandview_Inventory[[#This Row],[final_det]]+Grandview_Inventory[[#This Row],[final_res]]</f>
        <v>322200</v>
      </c>
      <c r="CE299">
        <f>Grandview_Inventory[[#This Row],[final_land]]+Grandview_Inventory[[#This Row],[final_imp]]+Grandview_Inventory[[#This Row],[crop_value]]</f>
        <v>377600</v>
      </c>
      <c r="CG299" t="str">
        <f t="shared" si="4"/>
        <v>update valuation set market_land =55400, market_bldg=322200, market_total =377600, market_mdno =401, market_date ='9/10/2023' where link_id = (select link_id from parcel where parcel_year = '2024' and parcel_id = '23091443446');</v>
      </c>
    </row>
    <row r="300" spans="1:85" x14ac:dyDescent="0.25">
      <c r="A300">
        <v>23091443447</v>
      </c>
      <c r="B300">
        <v>0.36</v>
      </c>
      <c r="C300">
        <v>15869</v>
      </c>
      <c r="D300" t="s">
        <v>129</v>
      </c>
      <c r="E300" t="s">
        <v>53</v>
      </c>
      <c r="F300" t="s">
        <v>53</v>
      </c>
      <c r="G300">
        <v>4</v>
      </c>
      <c r="H300" t="s">
        <v>54</v>
      </c>
      <c r="I300">
        <v>232700</v>
      </c>
      <c r="J300">
        <v>45400</v>
      </c>
      <c r="K300">
        <v>0.36</v>
      </c>
      <c r="L300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300">
        <v>0</v>
      </c>
      <c r="N300">
        <v>0</v>
      </c>
      <c r="O300">
        <v>0</v>
      </c>
      <c r="P300">
        <v>13398.7528</v>
      </c>
      <c r="Q300">
        <v>63903</v>
      </c>
      <c r="R300">
        <f>(Grandview_Inventory[[#This Row],[ln_acres]]*Grandview_Inventory[[#This Row],[coeff]])+Grandview_Inventory[[#This Row],[const]]</f>
        <v>50214.147486507369</v>
      </c>
      <c r="S300" t="s">
        <v>77</v>
      </c>
      <c r="T300">
        <v>1</v>
      </c>
      <c r="U300" t="s">
        <v>65</v>
      </c>
      <c r="V300" t="s">
        <v>69</v>
      </c>
      <c r="W300">
        <v>0</v>
      </c>
      <c r="X300">
        <v>0</v>
      </c>
      <c r="Y300">
        <v>43</v>
      </c>
      <c r="Z300">
        <v>43</v>
      </c>
      <c r="AA300">
        <v>50</v>
      </c>
      <c r="AB300">
        <v>2000</v>
      </c>
      <c r="AC300">
        <v>1884</v>
      </c>
      <c r="AD300">
        <v>1260</v>
      </c>
      <c r="AE300">
        <v>0</v>
      </c>
      <c r="AF300">
        <v>0</v>
      </c>
      <c r="AG300">
        <v>624</v>
      </c>
      <c r="AH300">
        <v>0</v>
      </c>
      <c r="AI300">
        <v>0</v>
      </c>
      <c r="AJ300">
        <v>552</v>
      </c>
      <c r="AK300">
        <v>0</v>
      </c>
      <c r="AL300">
        <v>112</v>
      </c>
      <c r="AM300">
        <v>0</v>
      </c>
      <c r="AN300">
        <v>0</v>
      </c>
      <c r="AO300">
        <v>0</v>
      </c>
      <c r="AP300">
        <v>8</v>
      </c>
      <c r="AQ300">
        <v>0</v>
      </c>
      <c r="AR300">
        <v>2</v>
      </c>
      <c r="AS300" t="s">
        <v>58</v>
      </c>
      <c r="AT300">
        <v>1</v>
      </c>
      <c r="AU300" t="s">
        <v>63</v>
      </c>
      <c r="AV300" t="s">
        <v>60</v>
      </c>
      <c r="AW300">
        <v>1</v>
      </c>
      <c r="AX300">
        <v>3</v>
      </c>
      <c r="AY300">
        <v>0</v>
      </c>
      <c r="AZ300">
        <v>0</v>
      </c>
      <c r="BA300">
        <v>100</v>
      </c>
      <c r="BB300">
        <v>100</v>
      </c>
      <c r="BC300">
        <v>100</v>
      </c>
      <c r="BD300">
        <v>100</v>
      </c>
      <c r="BE300">
        <v>1</v>
      </c>
      <c r="BF300">
        <v>15000</v>
      </c>
      <c r="BG300">
        <v>1000</v>
      </c>
      <c r="BH300" s="6">
        <f>Grandview_Inventory[[#This Row],[land_extract]]*Lookups!$B$3</f>
        <v>58313.55389788279</v>
      </c>
      <c r="BI300" s="6">
        <f>IF(Grandview_Inventory[[#This Row],[bldg_style]]="",0,Lookups!$B$2)</f>
        <v>155833.95000000001</v>
      </c>
      <c r="BJ300" s="6">
        <f>_xlfn.IFNA(VLOOKUP(Grandview_Inventory[[#This Row],[quality]],Lookups!$H$2:$J$14,3,FALSE),0)</f>
        <v>2251</v>
      </c>
      <c r="BK300" s="6">
        <f>_xlfn.IFNA(VLOOKUP(Grandview_Inventory[[#This Row],[condition]],Lookups!$H$17:$J$24,3,FALSE),0)</f>
        <v>-4503</v>
      </c>
      <c r="BL300" s="6">
        <f>Grandview_Inventory[[#This Row],[Eff_Age]]*Lookups!$B$14</f>
        <v>-10284.1638</v>
      </c>
      <c r="BM300" s="6">
        <f>Grandview_Inventory[[#This Row],[living_area]]*Lookups!$B$15</f>
        <v>117525.527052</v>
      </c>
      <c r="BN300" s="6">
        <f>Grandview_Inventory[[#This Row],[Fin BSMT]]*Lookups!$B$16</f>
        <v>-16909.925760000002</v>
      </c>
      <c r="BO300" s="6">
        <f>(Grandview_Inventory[[#This Row],[att_gar]]+Grandview_Inventory[[#This Row],[bltin_gar]])*Lookups!$B$17</f>
        <v>48311.281223999998</v>
      </c>
      <c r="BP300" s="6">
        <f>Grandview_Inventory[[#This Row],[Plumbing Fixtures]]*Lookups!$B$18</f>
        <v>16083.5344</v>
      </c>
      <c r="BQ300" s="6">
        <f>Grandview_Inventory[[#This Row],[detatched_value]]*Lookups!$B$19</f>
        <v>0</v>
      </c>
      <c r="BR300" s="6">
        <f>SUM(Grandview_Inventory[[#This Row],[Intercept]:[det_value]])*Grandview_Inventory[[#This Row],[res_pct]]</f>
        <v>308308.20311599999</v>
      </c>
      <c r="BS300" s="6">
        <f>Grandview_Inventory[[#This Row],[land_value]]</f>
        <v>58313.55389788279</v>
      </c>
      <c r="BT300" s="4">
        <f>_xlfn.IFNA(VLOOKUP(Grandview_Inventory[[#This Row],[quality]],Lookups!$A$26:$C$33,3,FALSE),1)</f>
        <v>0.98763855981004833</v>
      </c>
      <c r="BU300" s="4">
        <f>_xlfn.IFNA(VLOOKUP(Grandview_Inventory[[#This Row],[condition]],Lookups!$A$37:$C$44,3,FALSE),1)</f>
        <v>0.96469275950863709</v>
      </c>
      <c r="BV300" s="4">
        <f>IF(Grandview_Inventory[[#This Row],[bldg_style]]="",1,_xlfn.IFNA(VLOOKUP(Grandview_Inventory[[#This Row],[decade]],Lookups!$F$29:$H$43,3,FALSE),1))</f>
        <v>0.9871940091910919</v>
      </c>
      <c r="BW300" s="4">
        <f>_xlfn.IFNA(VLOOKUP(Grandview_Inventory[[#This Row],[living_area_range]],Lookups!$F$47:$H$56,3,FALSE),1)</f>
        <v>0.96120133463014379</v>
      </c>
      <c r="BX300" s="4">
        <f>AVERAGE(Grandview_Inventory[[#This Row],[qual_adj]:[size_adj]])</f>
        <v>0.97518166578498033</v>
      </c>
      <c r="BY300" s="6">
        <f>IF(Grandview_Inventory[[#This Row],[pre_res]]&lt;0,0,Grandview_Inventory[[#This Row],[pre_res]]*Grandview_Inventory[[#This Row],[overall_adj]])</f>
        <v>300656.50708983495</v>
      </c>
      <c r="BZ300" s="6">
        <f>(Grandview_Inventory[[#This Row],[sum_land]]-IF(Grandview_Inventory[[#This Row],[no_utilities]]=1,12000,0))/IF(Grandview_Inventory[[#This Row],[unbuildable]]=1,2,1)</f>
        <v>58313.55389788279</v>
      </c>
      <c r="CA300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300">
        <f>ROUND(Grandview_Inventory[[#This Row],[det_value]]*Lookups!$M$28,-2)</f>
        <v>0</v>
      </c>
      <c r="CC300">
        <f>IF(ROUND(Grandview_Inventory[[#This Row],[adj_res]]*Lookups!$M$28,-2)&lt;Grandview_Inventory[[#This Row],[min_res]],Grandview_Inventory[[#This Row],[min_res]],ROUND(Grandview_Inventory[[#This Row],[adj_res]]*Lookups!$M$28,-2))</f>
        <v>285600</v>
      </c>
      <c r="CD300">
        <f>Grandview_Inventory[[#This Row],[final_det]]+Grandview_Inventory[[#This Row],[final_res]]</f>
        <v>285600</v>
      </c>
      <c r="CE300">
        <f>Grandview_Inventory[[#This Row],[final_land]]+Grandview_Inventory[[#This Row],[final_imp]]+Grandview_Inventory[[#This Row],[crop_value]]</f>
        <v>341000</v>
      </c>
      <c r="CG300" t="str">
        <f t="shared" si="4"/>
        <v>update valuation set market_land =55400, market_bldg=285600, market_total =341000, market_mdno =401, market_date ='9/10/2023' where link_id = (select link_id from parcel where parcel_year = '2024' and parcel_id = '23091443447');</v>
      </c>
    </row>
    <row r="301" spans="1:85" x14ac:dyDescent="0.25">
      <c r="A301">
        <v>23091443448</v>
      </c>
      <c r="B301">
        <v>0.28999999999999998</v>
      </c>
      <c r="C301">
        <v>12493</v>
      </c>
      <c r="D301" t="s">
        <v>129</v>
      </c>
      <c r="E301" t="s">
        <v>53</v>
      </c>
      <c r="F301" t="s">
        <v>53</v>
      </c>
      <c r="G301">
        <v>4</v>
      </c>
      <c r="H301" t="s">
        <v>54</v>
      </c>
      <c r="I301">
        <v>239100</v>
      </c>
      <c r="J301">
        <v>40500</v>
      </c>
      <c r="K301">
        <v>0.28999999999999998</v>
      </c>
      <c r="L30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301">
        <v>0</v>
      </c>
      <c r="N301">
        <v>0</v>
      </c>
      <c r="O301">
        <v>0</v>
      </c>
      <c r="P301">
        <v>13398.7528</v>
      </c>
      <c r="Q301">
        <v>63903</v>
      </c>
      <c r="R301">
        <f>(Grandview_Inventory[[#This Row],[ln_acres]]*Grandview_Inventory[[#This Row],[coeff]])+Grandview_Inventory[[#This Row],[const]]</f>
        <v>47317.027506475133</v>
      </c>
      <c r="S301" t="s">
        <v>61</v>
      </c>
      <c r="T301">
        <v>1</v>
      </c>
      <c r="U301" t="s">
        <v>65</v>
      </c>
      <c r="V301" t="s">
        <v>67</v>
      </c>
      <c r="W301">
        <v>0</v>
      </c>
      <c r="X301">
        <v>0</v>
      </c>
      <c r="Y301">
        <v>42</v>
      </c>
      <c r="Z301">
        <v>42</v>
      </c>
      <c r="AA301">
        <v>50</v>
      </c>
      <c r="AB301">
        <v>1500</v>
      </c>
      <c r="AC301">
        <v>1416</v>
      </c>
      <c r="AD301">
        <v>1416</v>
      </c>
      <c r="AE301">
        <v>0</v>
      </c>
      <c r="AF301">
        <v>0</v>
      </c>
      <c r="AG301">
        <v>0</v>
      </c>
      <c r="AH301">
        <v>0</v>
      </c>
      <c r="AI301">
        <v>528</v>
      </c>
      <c r="AJ301">
        <v>0</v>
      </c>
      <c r="AK301">
        <v>0</v>
      </c>
      <c r="AL301">
        <v>0</v>
      </c>
      <c r="AM301">
        <v>140</v>
      </c>
      <c r="AN301">
        <v>25</v>
      </c>
      <c r="AO301">
        <v>140</v>
      </c>
      <c r="AP301">
        <v>8</v>
      </c>
      <c r="AQ301">
        <v>1</v>
      </c>
      <c r="AR301">
        <v>0</v>
      </c>
      <c r="AS301" t="s">
        <v>58</v>
      </c>
      <c r="AT301">
        <v>1</v>
      </c>
      <c r="AU301" t="s">
        <v>63</v>
      </c>
      <c r="AV301" t="s">
        <v>64</v>
      </c>
      <c r="AW301">
        <v>1</v>
      </c>
      <c r="AX301">
        <v>3</v>
      </c>
      <c r="AY301">
        <v>0</v>
      </c>
      <c r="AZ301">
        <v>0</v>
      </c>
      <c r="BA301">
        <v>100</v>
      </c>
      <c r="BB301">
        <v>100</v>
      </c>
      <c r="BC301">
        <v>100</v>
      </c>
      <c r="BD301">
        <v>100</v>
      </c>
      <c r="BE301">
        <v>1</v>
      </c>
      <c r="BF301">
        <v>15000</v>
      </c>
      <c r="BG301">
        <v>1000</v>
      </c>
      <c r="BH301" s="6">
        <f>Grandview_Inventory[[#This Row],[land_extract]]*Lookups!$B$3</f>
        <v>54949.136287295303</v>
      </c>
      <c r="BI301" s="6">
        <f>IF(Grandview_Inventory[[#This Row],[bldg_style]]="",0,Lookups!$B$2)</f>
        <v>155833.95000000001</v>
      </c>
      <c r="BJ301" s="6">
        <f>_xlfn.IFNA(VLOOKUP(Grandview_Inventory[[#This Row],[quality]],Lookups!$H$2:$J$14,3,FALSE),0)</f>
        <v>2251</v>
      </c>
      <c r="BK301" s="6">
        <f>_xlfn.IFNA(VLOOKUP(Grandview_Inventory[[#This Row],[condition]],Lookups!$H$17:$J$24,3,FALSE),0)</f>
        <v>22342</v>
      </c>
      <c r="BL301" s="6">
        <f>Grandview_Inventory[[#This Row],[Eff_Age]]*Lookups!$B$14</f>
        <v>-10044.9972</v>
      </c>
      <c r="BM301" s="6">
        <f>Grandview_Inventory[[#This Row],[living_area]]*Lookups!$B$15</f>
        <v>88331.287848000007</v>
      </c>
      <c r="BN301" s="6">
        <f>Grandview_Inventory[[#This Row],[Fin BSMT]]*Lookups!$B$16</f>
        <v>0</v>
      </c>
      <c r="BO301" s="6">
        <f>(Grandview_Inventory[[#This Row],[att_gar]]+Grandview_Inventory[[#This Row],[bltin_gar]])*Lookups!$B$17</f>
        <v>46210.790736000003</v>
      </c>
      <c r="BP301" s="6">
        <f>Grandview_Inventory[[#This Row],[Plumbing Fixtures]]*Lookups!$B$18</f>
        <v>16083.5344</v>
      </c>
      <c r="BQ301" s="6">
        <f>Grandview_Inventory[[#This Row],[detatched_value]]*Lookups!$B$19</f>
        <v>0</v>
      </c>
      <c r="BR301" s="6">
        <f>SUM(Grandview_Inventory[[#This Row],[Intercept]:[det_value]])*Grandview_Inventory[[#This Row],[res_pct]]</f>
        <v>321007.56578400003</v>
      </c>
      <c r="BS301" s="6">
        <f>Grandview_Inventory[[#This Row],[land_value]]</f>
        <v>54949.136287295303</v>
      </c>
      <c r="BT301" s="4">
        <f>_xlfn.IFNA(VLOOKUP(Grandview_Inventory[[#This Row],[quality]],Lookups!$A$26:$C$33,3,FALSE),1)</f>
        <v>0.98763855981004833</v>
      </c>
      <c r="BU301" s="4">
        <f>_xlfn.IFNA(VLOOKUP(Grandview_Inventory[[#This Row],[condition]],Lookups!$A$37:$C$44,3,FALSE),1)</f>
        <v>0.97383723671140243</v>
      </c>
      <c r="BV301" s="4">
        <f>IF(Grandview_Inventory[[#This Row],[bldg_style]]="",1,_xlfn.IFNA(VLOOKUP(Grandview_Inventory[[#This Row],[decade]],Lookups!$F$29:$H$43,3,FALSE),1))</f>
        <v>0.9871940091910919</v>
      </c>
      <c r="BW301" s="4">
        <f>_xlfn.IFNA(VLOOKUP(Grandview_Inventory[[#This Row],[living_area_range]],Lookups!$F$47:$H$56,3,FALSE),1)</f>
        <v>0.96135087979789358</v>
      </c>
      <c r="BX301" s="4">
        <f>AVERAGE(Grandview_Inventory[[#This Row],[qual_adj]:[size_adj]])</f>
        <v>0.97750517137760906</v>
      </c>
      <c r="BY301" s="6">
        <f>IF(Grandview_Inventory[[#This Row],[pre_res]]&lt;0,0,Grandview_Inventory[[#This Row],[pre_res]]*Grandview_Inventory[[#This Row],[overall_adj]])</f>
        <v>313786.55560519808</v>
      </c>
      <c r="BZ301" s="6">
        <f>(Grandview_Inventory[[#This Row],[sum_land]]-IF(Grandview_Inventory[[#This Row],[no_utilities]]=1,12000,0))/IF(Grandview_Inventory[[#This Row],[unbuildable]]=1,2,1)</f>
        <v>54949.136287295303</v>
      </c>
      <c r="CA30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301">
        <f>ROUND(Grandview_Inventory[[#This Row],[det_value]]*Lookups!$M$28,-2)</f>
        <v>0</v>
      </c>
      <c r="CC301">
        <f>IF(ROUND(Grandview_Inventory[[#This Row],[adj_res]]*Lookups!$M$28,-2)&lt;Grandview_Inventory[[#This Row],[min_res]],Grandview_Inventory[[#This Row],[min_res]],ROUND(Grandview_Inventory[[#This Row],[adj_res]]*Lookups!$M$28,-2))</f>
        <v>298100</v>
      </c>
      <c r="CD301">
        <f>Grandview_Inventory[[#This Row],[final_det]]+Grandview_Inventory[[#This Row],[final_res]]</f>
        <v>298100</v>
      </c>
      <c r="CE301">
        <f>Grandview_Inventory[[#This Row],[final_land]]+Grandview_Inventory[[#This Row],[final_imp]]+Grandview_Inventory[[#This Row],[crop_value]]</f>
        <v>350300</v>
      </c>
      <c r="CG301" t="str">
        <f t="shared" si="4"/>
        <v>update valuation set market_land =52200, market_bldg=298100, market_total =350300, market_mdno =401, market_date ='9/10/2023' where link_id = (select link_id from parcel where parcel_year = '2024' and parcel_id = '23091443448');</v>
      </c>
    </row>
    <row r="302" spans="1:85" x14ac:dyDescent="0.25">
      <c r="A302">
        <v>23091443449</v>
      </c>
      <c r="B302">
        <v>0.22</v>
      </c>
      <c r="C302">
        <v>9439</v>
      </c>
      <c r="D302" t="s">
        <v>129</v>
      </c>
      <c r="E302" t="s">
        <v>53</v>
      </c>
      <c r="F302" t="s">
        <v>53</v>
      </c>
      <c r="G302">
        <v>4</v>
      </c>
      <c r="H302" t="s">
        <v>54</v>
      </c>
      <c r="I302">
        <v>271600</v>
      </c>
      <c r="J302">
        <v>39500</v>
      </c>
      <c r="K302">
        <v>0.22</v>
      </c>
      <c r="L30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302">
        <v>0</v>
      </c>
      <c r="N302">
        <v>0</v>
      </c>
      <c r="O302">
        <v>0</v>
      </c>
      <c r="P302">
        <v>13398.7528</v>
      </c>
      <c r="Q302">
        <v>63903</v>
      </c>
      <c r="R302">
        <f>(Grandview_Inventory[[#This Row],[ln_acres]]*Grandview_Inventory[[#This Row],[coeff]])+Grandview_Inventory[[#This Row],[const]]</f>
        <v>43615.576802869145</v>
      </c>
      <c r="S302" t="s">
        <v>58</v>
      </c>
      <c r="T302">
        <v>1</v>
      </c>
      <c r="U302" t="s">
        <v>64</v>
      </c>
      <c r="V302" t="s">
        <v>67</v>
      </c>
      <c r="W302">
        <v>0</v>
      </c>
      <c r="X302">
        <v>0</v>
      </c>
      <c r="Y302">
        <v>13</v>
      </c>
      <c r="Z302">
        <v>13</v>
      </c>
      <c r="AA302">
        <v>20</v>
      </c>
      <c r="AB302">
        <v>2000</v>
      </c>
      <c r="AC302">
        <v>1732</v>
      </c>
      <c r="AD302">
        <v>1732</v>
      </c>
      <c r="AE302">
        <v>0</v>
      </c>
      <c r="AF302">
        <v>0</v>
      </c>
      <c r="AG302">
        <v>0</v>
      </c>
      <c r="AH302">
        <v>0</v>
      </c>
      <c r="AI302">
        <v>484</v>
      </c>
      <c r="AJ302">
        <v>0</v>
      </c>
      <c r="AK302">
        <v>0</v>
      </c>
      <c r="AL302">
        <v>0</v>
      </c>
      <c r="AM302">
        <v>0</v>
      </c>
      <c r="AN302">
        <v>18</v>
      </c>
      <c r="AO302">
        <v>0</v>
      </c>
      <c r="AP302">
        <v>8</v>
      </c>
      <c r="AQ302">
        <v>0</v>
      </c>
      <c r="AR302">
        <v>0</v>
      </c>
      <c r="AS302" t="s">
        <v>58</v>
      </c>
      <c r="AT302">
        <v>1</v>
      </c>
      <c r="AU302" t="s">
        <v>59</v>
      </c>
      <c r="AV302" t="s">
        <v>60</v>
      </c>
      <c r="AW302">
        <v>1</v>
      </c>
      <c r="AX302">
        <v>3</v>
      </c>
      <c r="AY302">
        <v>0</v>
      </c>
      <c r="AZ302">
        <v>0</v>
      </c>
      <c r="BA302">
        <v>100</v>
      </c>
      <c r="BB302">
        <v>100</v>
      </c>
      <c r="BC302">
        <v>100</v>
      </c>
      <c r="BD302">
        <v>100</v>
      </c>
      <c r="BE302">
        <v>1</v>
      </c>
      <c r="BF302">
        <v>15000</v>
      </c>
      <c r="BG302">
        <v>1000</v>
      </c>
      <c r="BH302" s="6">
        <f>Grandview_Inventory[[#This Row],[land_extract]]*Lookups!$B$3</f>
        <v>50650.651579114572</v>
      </c>
      <c r="BI302" s="6">
        <f>IF(Grandview_Inventory[[#This Row],[bldg_style]]="",0,Lookups!$B$2)</f>
        <v>155833.95000000001</v>
      </c>
      <c r="BJ302" s="6">
        <f>_xlfn.IFNA(VLOOKUP(Grandview_Inventory[[#This Row],[quality]],Lookups!$H$2:$J$14,3,FALSE),0)</f>
        <v>20768</v>
      </c>
      <c r="BK302" s="6">
        <f>_xlfn.IFNA(VLOOKUP(Grandview_Inventory[[#This Row],[condition]],Lookups!$H$17:$J$24,3,FALSE),0)</f>
        <v>22342</v>
      </c>
      <c r="BL302" s="6">
        <f>Grandview_Inventory[[#This Row],[Eff_Age]]*Lookups!$B$14</f>
        <v>-3109.1657999999998</v>
      </c>
      <c r="BM302" s="6">
        <f>Grandview_Inventory[[#This Row],[living_area]]*Lookups!$B$15</f>
        <v>108043.63739600001</v>
      </c>
      <c r="BN302" s="6">
        <f>Grandview_Inventory[[#This Row],[Fin BSMT]]*Lookups!$B$16</f>
        <v>0</v>
      </c>
      <c r="BO302" s="6">
        <f>(Grandview_Inventory[[#This Row],[att_gar]]+Grandview_Inventory[[#This Row],[bltin_gar]])*Lookups!$B$17</f>
        <v>42359.891508000001</v>
      </c>
      <c r="BP302" s="6">
        <f>Grandview_Inventory[[#This Row],[Plumbing Fixtures]]*Lookups!$B$18</f>
        <v>16083.5344</v>
      </c>
      <c r="BQ302" s="6">
        <f>Grandview_Inventory[[#This Row],[detatched_value]]*Lookups!$B$19</f>
        <v>0</v>
      </c>
      <c r="BR302" s="6">
        <f>SUM(Grandview_Inventory[[#This Row],[Intercept]:[det_value]])*Grandview_Inventory[[#This Row],[res_pct]]</f>
        <v>362321.84750400006</v>
      </c>
      <c r="BS302" s="6">
        <f>Grandview_Inventory[[#This Row],[land_value]]</f>
        <v>50650.651579114572</v>
      </c>
      <c r="BT302" s="4">
        <f>_xlfn.IFNA(VLOOKUP(Grandview_Inventory[[#This Row],[quality]],Lookups!$A$26:$C$33,3,FALSE),1)</f>
        <v>0.94960540378902636</v>
      </c>
      <c r="BU302" s="4">
        <f>_xlfn.IFNA(VLOOKUP(Grandview_Inventory[[#This Row],[condition]],Lookups!$A$37:$C$44,3,FALSE),1)</f>
        <v>0.97383723671140243</v>
      </c>
      <c r="BV302" s="4">
        <f>IF(Grandview_Inventory[[#This Row],[bldg_style]]="",1,_xlfn.IFNA(VLOOKUP(Grandview_Inventory[[#This Row],[decade]],Lookups!$F$29:$H$43,3,FALSE),1))</f>
        <v>0.96737494181490646</v>
      </c>
      <c r="BW302" s="4">
        <f>_xlfn.IFNA(VLOOKUP(Grandview_Inventory[[#This Row],[living_area_range]],Lookups!$F$47:$H$56,3,FALSE),1)</f>
        <v>0.96120133463014379</v>
      </c>
      <c r="BX302" s="4">
        <f>AVERAGE(Grandview_Inventory[[#This Row],[qual_adj]:[size_adj]])</f>
        <v>0.96300472923636971</v>
      </c>
      <c r="BY302" s="6">
        <f>IF(Grandview_Inventory[[#This Row],[pre_res]]&lt;0,0,Grandview_Inventory[[#This Row],[pre_res]]*Grandview_Inventory[[#This Row],[overall_adj]])</f>
        <v>348917.65265201079</v>
      </c>
      <c r="BZ302" s="6">
        <f>(Grandview_Inventory[[#This Row],[sum_land]]-IF(Grandview_Inventory[[#This Row],[no_utilities]]=1,12000,0))/IF(Grandview_Inventory[[#This Row],[unbuildable]]=1,2,1)</f>
        <v>50650.651579114572</v>
      </c>
      <c r="CA30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302">
        <f>ROUND(Grandview_Inventory[[#This Row],[det_value]]*Lookups!$M$28,-2)</f>
        <v>0</v>
      </c>
      <c r="CC302">
        <f>IF(ROUND(Grandview_Inventory[[#This Row],[adj_res]]*Lookups!$M$28,-2)&lt;Grandview_Inventory[[#This Row],[min_res]],Grandview_Inventory[[#This Row],[min_res]],ROUND(Grandview_Inventory[[#This Row],[adj_res]]*Lookups!$M$28,-2))</f>
        <v>331500</v>
      </c>
      <c r="CD302">
        <f>Grandview_Inventory[[#This Row],[final_det]]+Grandview_Inventory[[#This Row],[final_res]]</f>
        <v>331500</v>
      </c>
      <c r="CE302">
        <f>Grandview_Inventory[[#This Row],[final_land]]+Grandview_Inventory[[#This Row],[final_imp]]+Grandview_Inventory[[#This Row],[crop_value]]</f>
        <v>379600</v>
      </c>
      <c r="CG302" t="str">
        <f t="shared" si="4"/>
        <v>update valuation set market_land =48100, market_bldg=331500, market_total =379600, market_mdno =401, market_date ='9/10/2023' where link_id = (select link_id from parcel where parcel_year = '2024' and parcel_id = '23091443449');</v>
      </c>
    </row>
    <row r="303" spans="1:85" x14ac:dyDescent="0.25">
      <c r="A303">
        <v>23091443452</v>
      </c>
      <c r="B303">
        <v>0.22</v>
      </c>
      <c r="C303">
        <v>9488</v>
      </c>
      <c r="D303" t="s">
        <v>129</v>
      </c>
      <c r="E303" t="s">
        <v>53</v>
      </c>
      <c r="F303" t="s">
        <v>53</v>
      </c>
      <c r="G303">
        <v>4</v>
      </c>
      <c r="H303" t="s">
        <v>54</v>
      </c>
      <c r="I303">
        <v>189400</v>
      </c>
      <c r="J303">
        <v>39500</v>
      </c>
      <c r="K303">
        <v>0.22</v>
      </c>
      <c r="L30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303">
        <v>0</v>
      </c>
      <c r="N303">
        <v>0</v>
      </c>
      <c r="O303">
        <v>0</v>
      </c>
      <c r="P303">
        <v>13398.7528</v>
      </c>
      <c r="Q303">
        <v>63903</v>
      </c>
      <c r="R303">
        <f>(Grandview_Inventory[[#This Row],[ln_acres]]*Grandview_Inventory[[#This Row],[coeff]])+Grandview_Inventory[[#This Row],[const]]</f>
        <v>43615.576802869145</v>
      </c>
      <c r="S303" t="s">
        <v>55</v>
      </c>
      <c r="T303">
        <v>2</v>
      </c>
      <c r="U303" t="s">
        <v>62</v>
      </c>
      <c r="V303" t="s">
        <v>69</v>
      </c>
      <c r="W303">
        <v>0</v>
      </c>
      <c r="X303">
        <v>0</v>
      </c>
      <c r="Y303">
        <v>27</v>
      </c>
      <c r="Z303">
        <v>27</v>
      </c>
      <c r="AA303">
        <v>30</v>
      </c>
      <c r="AB303">
        <v>2000</v>
      </c>
      <c r="AC303">
        <v>1904</v>
      </c>
      <c r="AD303">
        <v>952</v>
      </c>
      <c r="AE303">
        <v>952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240</v>
      </c>
      <c r="AM303">
        <v>680</v>
      </c>
      <c r="AN303">
        <v>236</v>
      </c>
      <c r="AO303">
        <v>0</v>
      </c>
      <c r="AP303">
        <v>10</v>
      </c>
      <c r="AQ303">
        <v>0</v>
      </c>
      <c r="AR303">
        <v>0</v>
      </c>
      <c r="AS303" t="s">
        <v>58</v>
      </c>
      <c r="AT303">
        <v>1</v>
      </c>
      <c r="AU303" t="s">
        <v>59</v>
      </c>
      <c r="AV303" t="s">
        <v>60</v>
      </c>
      <c r="AW303">
        <v>1</v>
      </c>
      <c r="AX303">
        <v>3</v>
      </c>
      <c r="AY303">
        <v>0</v>
      </c>
      <c r="AZ303">
        <v>0</v>
      </c>
      <c r="BA303">
        <v>100</v>
      </c>
      <c r="BB303">
        <v>100</v>
      </c>
      <c r="BC303">
        <v>100</v>
      </c>
      <c r="BD303">
        <v>100</v>
      </c>
      <c r="BE303">
        <v>1</v>
      </c>
      <c r="BF303">
        <v>15000</v>
      </c>
      <c r="BG303">
        <v>1000</v>
      </c>
      <c r="BH303" s="6">
        <f>Grandview_Inventory[[#This Row],[land_extract]]*Lookups!$B$3</f>
        <v>50650.651579114572</v>
      </c>
      <c r="BI303" s="6">
        <f>IF(Grandview_Inventory[[#This Row],[bldg_style]]="",0,Lookups!$B$2)</f>
        <v>155833.95000000001</v>
      </c>
      <c r="BJ303" s="6">
        <f>_xlfn.IFNA(VLOOKUP(Grandview_Inventory[[#This Row],[quality]],Lookups!$H$2:$J$14,3,FALSE),0)</f>
        <v>9808</v>
      </c>
      <c r="BK303" s="6">
        <f>_xlfn.IFNA(VLOOKUP(Grandview_Inventory[[#This Row],[condition]],Lookups!$H$17:$J$24,3,FALSE),0)</f>
        <v>-4503</v>
      </c>
      <c r="BL303" s="6">
        <f>Grandview_Inventory[[#This Row],[Eff_Age]]*Lookups!$B$14</f>
        <v>-6457.4982</v>
      </c>
      <c r="BM303" s="6">
        <f>Grandview_Inventory[[#This Row],[living_area]]*Lookups!$B$15</f>
        <v>118773.14411200001</v>
      </c>
      <c r="BN303" s="6">
        <f>Grandview_Inventory[[#This Row],[Fin BSMT]]*Lookups!$B$16</f>
        <v>0</v>
      </c>
      <c r="BO303" s="6">
        <f>(Grandview_Inventory[[#This Row],[att_gar]]+Grandview_Inventory[[#This Row],[bltin_gar]])*Lookups!$B$17</f>
        <v>0</v>
      </c>
      <c r="BP303" s="6">
        <f>Grandview_Inventory[[#This Row],[Plumbing Fixtures]]*Lookups!$B$18</f>
        <v>20104.418000000001</v>
      </c>
      <c r="BQ303" s="6">
        <f>Grandview_Inventory[[#This Row],[detatched_value]]*Lookups!$B$19</f>
        <v>0</v>
      </c>
      <c r="BR303" s="6">
        <f>SUM(Grandview_Inventory[[#This Row],[Intercept]:[det_value]])*Grandview_Inventory[[#This Row],[res_pct]]</f>
        <v>293559.01391200005</v>
      </c>
      <c r="BS303" s="6">
        <f>Grandview_Inventory[[#This Row],[land_value]]</f>
        <v>50650.651579114572</v>
      </c>
      <c r="BT303" s="4">
        <f>_xlfn.IFNA(VLOOKUP(Grandview_Inventory[[#This Row],[quality]],Lookups!$A$26:$C$33,3,FALSE),1)</f>
        <v>0.94295468617355149</v>
      </c>
      <c r="BU303" s="4">
        <f>_xlfn.IFNA(VLOOKUP(Grandview_Inventory[[#This Row],[condition]],Lookups!$A$37:$C$44,3,FALSE),1)</f>
        <v>0.96469275950863709</v>
      </c>
      <c r="BV303" s="4">
        <f>IF(Grandview_Inventory[[#This Row],[bldg_style]]="",1,_xlfn.IFNA(VLOOKUP(Grandview_Inventory[[#This Row],[decade]],Lookups!$F$29:$H$43,3,FALSE),1))</f>
        <v>0.98397821291089549</v>
      </c>
      <c r="BW303" s="4">
        <f>_xlfn.IFNA(VLOOKUP(Grandview_Inventory[[#This Row],[living_area_range]],Lookups!$F$47:$H$56,3,FALSE),1)</f>
        <v>0.96120133463014379</v>
      </c>
      <c r="BX303" s="4">
        <f>AVERAGE(Grandview_Inventory[[#This Row],[qual_adj]:[size_adj]])</f>
        <v>0.96320674830580688</v>
      </c>
      <c r="BY303" s="6">
        <f>IF(Grandview_Inventory[[#This Row],[pre_res]]&lt;0,0,Grandview_Inventory[[#This Row],[pre_res]]*Grandview_Inventory[[#This Row],[overall_adj]])</f>
        <v>282758.02322603669</v>
      </c>
      <c r="BZ303" s="6">
        <f>(Grandview_Inventory[[#This Row],[sum_land]]-IF(Grandview_Inventory[[#This Row],[no_utilities]]=1,12000,0))/IF(Grandview_Inventory[[#This Row],[unbuildable]]=1,2,1)</f>
        <v>50650.651579114572</v>
      </c>
      <c r="CA30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303">
        <f>ROUND(Grandview_Inventory[[#This Row],[det_value]]*Lookups!$M$28,-2)</f>
        <v>0</v>
      </c>
      <c r="CC303">
        <f>IF(ROUND(Grandview_Inventory[[#This Row],[adj_res]]*Lookups!$M$28,-2)&lt;Grandview_Inventory[[#This Row],[min_res]],Grandview_Inventory[[#This Row],[min_res]],ROUND(Grandview_Inventory[[#This Row],[adj_res]]*Lookups!$M$28,-2))</f>
        <v>268600</v>
      </c>
      <c r="CD303">
        <f>Grandview_Inventory[[#This Row],[final_det]]+Grandview_Inventory[[#This Row],[final_res]]</f>
        <v>268600</v>
      </c>
      <c r="CE303">
        <f>Grandview_Inventory[[#This Row],[final_land]]+Grandview_Inventory[[#This Row],[final_imp]]+Grandview_Inventory[[#This Row],[crop_value]]</f>
        <v>316700</v>
      </c>
      <c r="CG303" t="str">
        <f t="shared" si="4"/>
        <v>update valuation set market_land =48100, market_bldg=268600, market_total =316700, market_mdno =401, market_date ='9/10/2023' where link_id = (select link_id from parcel where parcel_year = '2024' and parcel_id = '23091443452');</v>
      </c>
    </row>
    <row r="304" spans="1:85" x14ac:dyDescent="0.25">
      <c r="A304">
        <v>23091443453</v>
      </c>
      <c r="B304">
        <v>0.2</v>
      </c>
      <c r="C304">
        <v>8914</v>
      </c>
      <c r="D304" t="s">
        <v>129</v>
      </c>
      <c r="E304" t="s">
        <v>53</v>
      </c>
      <c r="F304" t="s">
        <v>53</v>
      </c>
      <c r="G304">
        <v>4</v>
      </c>
      <c r="H304" t="s">
        <v>54</v>
      </c>
      <c r="I304">
        <v>149900</v>
      </c>
      <c r="J304">
        <v>39300</v>
      </c>
      <c r="K304">
        <v>0.2</v>
      </c>
      <c r="L30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04">
        <v>0</v>
      </c>
      <c r="N304">
        <v>0</v>
      </c>
      <c r="O304">
        <v>0</v>
      </c>
      <c r="P304">
        <v>13398.7528</v>
      </c>
      <c r="Q304">
        <v>63903</v>
      </c>
      <c r="R304">
        <f>(Grandview_Inventory[[#This Row],[ln_acres]]*Grandview_Inventory[[#This Row],[coeff]])+Grandview_Inventory[[#This Row],[const]]</f>
        <v>42338.539264347448</v>
      </c>
      <c r="S304" t="s">
        <v>61</v>
      </c>
      <c r="T304">
        <v>1</v>
      </c>
      <c r="U304" t="s">
        <v>65</v>
      </c>
      <c r="V304" t="s">
        <v>69</v>
      </c>
      <c r="W304">
        <v>0</v>
      </c>
      <c r="X304">
        <v>0</v>
      </c>
      <c r="Y304">
        <v>33</v>
      </c>
      <c r="Z304">
        <v>36</v>
      </c>
      <c r="AA304">
        <v>40</v>
      </c>
      <c r="AB304">
        <v>1500</v>
      </c>
      <c r="AC304">
        <v>1498</v>
      </c>
      <c r="AD304">
        <v>1498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81</v>
      </c>
      <c r="AN304">
        <v>0</v>
      </c>
      <c r="AO304">
        <v>0</v>
      </c>
      <c r="AP304">
        <v>8</v>
      </c>
      <c r="AQ304">
        <v>0</v>
      </c>
      <c r="AR304">
        <v>0</v>
      </c>
      <c r="AS304" t="s">
        <v>58</v>
      </c>
      <c r="AT304">
        <v>1</v>
      </c>
      <c r="AU304" t="s">
        <v>63</v>
      </c>
      <c r="AV304" t="s">
        <v>60</v>
      </c>
      <c r="AW304">
        <v>0</v>
      </c>
      <c r="AX304">
        <v>2</v>
      </c>
      <c r="AY304">
        <v>0</v>
      </c>
      <c r="AZ304">
        <v>0</v>
      </c>
      <c r="BA304">
        <v>100</v>
      </c>
      <c r="BB304">
        <v>100</v>
      </c>
      <c r="BC304">
        <v>100</v>
      </c>
      <c r="BD304">
        <v>100</v>
      </c>
      <c r="BE304">
        <v>1</v>
      </c>
      <c r="BF304">
        <v>15000</v>
      </c>
      <c r="BG304">
        <v>1000</v>
      </c>
      <c r="BH304" s="6">
        <f>Grandview_Inventory[[#This Row],[land_extract]]*Lookups!$B$3</f>
        <v>49167.631333630678</v>
      </c>
      <c r="BI304" s="6">
        <f>IF(Grandview_Inventory[[#This Row],[bldg_style]]="",0,Lookups!$B$2)</f>
        <v>155833.95000000001</v>
      </c>
      <c r="BJ304" s="6">
        <f>_xlfn.IFNA(VLOOKUP(Grandview_Inventory[[#This Row],[quality]],Lookups!$H$2:$J$14,3,FALSE),0)</f>
        <v>2251</v>
      </c>
      <c r="BK304" s="6">
        <f>_xlfn.IFNA(VLOOKUP(Grandview_Inventory[[#This Row],[condition]],Lookups!$H$17:$J$24,3,FALSE),0)</f>
        <v>-4503</v>
      </c>
      <c r="BL304" s="6">
        <f>Grandview_Inventory[[#This Row],[Eff_Age]]*Lookups!$B$14</f>
        <v>-7892.4977999999992</v>
      </c>
      <c r="BM304" s="6">
        <f>Grandview_Inventory[[#This Row],[living_area]]*Lookups!$B$15</f>
        <v>93446.517793999999</v>
      </c>
      <c r="BN304" s="6">
        <f>Grandview_Inventory[[#This Row],[Fin BSMT]]*Lookups!$B$16</f>
        <v>0</v>
      </c>
      <c r="BO304" s="6">
        <f>(Grandview_Inventory[[#This Row],[att_gar]]+Grandview_Inventory[[#This Row],[bltin_gar]])*Lookups!$B$17</f>
        <v>0</v>
      </c>
      <c r="BP304" s="6">
        <f>Grandview_Inventory[[#This Row],[Plumbing Fixtures]]*Lookups!$B$18</f>
        <v>16083.5344</v>
      </c>
      <c r="BQ304" s="6">
        <f>Grandview_Inventory[[#This Row],[detatched_value]]*Lookups!$B$19</f>
        <v>0</v>
      </c>
      <c r="BR304" s="6">
        <f>SUM(Grandview_Inventory[[#This Row],[Intercept]:[det_value]])*Grandview_Inventory[[#This Row],[res_pct]]</f>
        <v>255219.50439399999</v>
      </c>
      <c r="BS304" s="6">
        <f>Grandview_Inventory[[#This Row],[land_value]]</f>
        <v>49167.631333630678</v>
      </c>
      <c r="BT304" s="4">
        <f>_xlfn.IFNA(VLOOKUP(Grandview_Inventory[[#This Row],[quality]],Lookups!$A$26:$C$33,3,FALSE),1)</f>
        <v>0.98763855981004833</v>
      </c>
      <c r="BU304" s="4">
        <f>_xlfn.IFNA(VLOOKUP(Grandview_Inventory[[#This Row],[condition]],Lookups!$A$37:$C$44,3,FALSE),1)</f>
        <v>0.96469275950863709</v>
      </c>
      <c r="BV304" s="4">
        <f>IF(Grandview_Inventory[[#This Row],[bldg_style]]="",1,_xlfn.IFNA(VLOOKUP(Grandview_Inventory[[#This Row],[decade]],Lookups!$F$29:$H$43,3,FALSE),1))</f>
        <v>0.98031878267063854</v>
      </c>
      <c r="BW304" s="4">
        <f>_xlfn.IFNA(VLOOKUP(Grandview_Inventory[[#This Row],[living_area_range]],Lookups!$F$47:$H$56,3,FALSE),1)</f>
        <v>0.96135087979789358</v>
      </c>
      <c r="BX304" s="4">
        <f>AVERAGE(Grandview_Inventory[[#This Row],[qual_adj]:[size_adj]])</f>
        <v>0.97350024544680436</v>
      </c>
      <c r="BY304" s="6">
        <f>IF(Grandview_Inventory[[#This Row],[pre_res]]&lt;0,0,Grandview_Inventory[[#This Row],[pre_res]]*Grandview_Inventory[[#This Row],[overall_adj]])</f>
        <v>248456.25017037074</v>
      </c>
      <c r="BZ304" s="6">
        <f>(Grandview_Inventory[[#This Row],[sum_land]]-IF(Grandview_Inventory[[#This Row],[no_utilities]]=1,12000,0))/IF(Grandview_Inventory[[#This Row],[unbuildable]]=1,2,1)</f>
        <v>49167.631333630678</v>
      </c>
      <c r="CA30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04">
        <f>ROUND(Grandview_Inventory[[#This Row],[det_value]]*Lookups!$M$28,-2)</f>
        <v>0</v>
      </c>
      <c r="CC304">
        <f>IF(ROUND(Grandview_Inventory[[#This Row],[adj_res]]*Lookups!$M$28,-2)&lt;Grandview_Inventory[[#This Row],[min_res]],Grandview_Inventory[[#This Row],[min_res]],ROUND(Grandview_Inventory[[#This Row],[adj_res]]*Lookups!$M$28,-2))</f>
        <v>236000</v>
      </c>
      <c r="CD304">
        <f>Grandview_Inventory[[#This Row],[final_det]]+Grandview_Inventory[[#This Row],[final_res]]</f>
        <v>236000</v>
      </c>
      <c r="CE304">
        <f>Grandview_Inventory[[#This Row],[final_land]]+Grandview_Inventory[[#This Row],[final_imp]]+Grandview_Inventory[[#This Row],[crop_value]]</f>
        <v>282700</v>
      </c>
      <c r="CG304" t="str">
        <f t="shared" si="4"/>
        <v>update valuation set market_land =46700, market_bldg=236000, market_total =282700, market_mdno =401, market_date ='9/10/2023' where link_id = (select link_id from parcel where parcel_year = '2024' and parcel_id = '23091443453');</v>
      </c>
    </row>
    <row r="305" spans="1:85" x14ac:dyDescent="0.25">
      <c r="A305">
        <v>23091443454</v>
      </c>
      <c r="B305">
        <v>0.2</v>
      </c>
      <c r="C305">
        <v>8583</v>
      </c>
      <c r="D305" t="s">
        <v>129</v>
      </c>
      <c r="E305" t="s">
        <v>53</v>
      </c>
      <c r="F305" t="s">
        <v>53</v>
      </c>
      <c r="G305">
        <v>4</v>
      </c>
      <c r="H305" t="s">
        <v>54</v>
      </c>
      <c r="I305">
        <v>203600</v>
      </c>
      <c r="J305">
        <v>39300</v>
      </c>
      <c r="K305">
        <v>0.2</v>
      </c>
      <c r="L30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05">
        <v>0</v>
      </c>
      <c r="N305">
        <v>0</v>
      </c>
      <c r="O305">
        <v>0</v>
      </c>
      <c r="P305">
        <v>13398.7528</v>
      </c>
      <c r="Q305">
        <v>63903</v>
      </c>
      <c r="R305">
        <f>(Grandview_Inventory[[#This Row],[ln_acres]]*Grandview_Inventory[[#This Row],[coeff]])+Grandview_Inventory[[#This Row],[const]]</f>
        <v>42338.539264347448</v>
      </c>
      <c r="S305" t="s">
        <v>61</v>
      </c>
      <c r="T305">
        <v>1</v>
      </c>
      <c r="U305" t="s">
        <v>62</v>
      </c>
      <c r="V305" t="s">
        <v>69</v>
      </c>
      <c r="W305">
        <v>0</v>
      </c>
      <c r="X305">
        <v>0</v>
      </c>
      <c r="Y305">
        <v>38</v>
      </c>
      <c r="Z305">
        <v>40</v>
      </c>
      <c r="AA305">
        <v>40</v>
      </c>
      <c r="AB305">
        <v>2000</v>
      </c>
      <c r="AC305">
        <v>1665</v>
      </c>
      <c r="AD305">
        <v>1665</v>
      </c>
      <c r="AE305">
        <v>0</v>
      </c>
      <c r="AF305">
        <v>0</v>
      </c>
      <c r="AG305">
        <v>0</v>
      </c>
      <c r="AH305">
        <v>0</v>
      </c>
      <c r="AI305">
        <v>484</v>
      </c>
      <c r="AJ305">
        <v>0</v>
      </c>
      <c r="AK305">
        <v>0</v>
      </c>
      <c r="AL305">
        <v>0</v>
      </c>
      <c r="AM305">
        <v>345</v>
      </c>
      <c r="AN305">
        <v>0</v>
      </c>
      <c r="AO305">
        <v>0</v>
      </c>
      <c r="AP305">
        <v>8</v>
      </c>
      <c r="AQ305">
        <v>0</v>
      </c>
      <c r="AR305">
        <v>0</v>
      </c>
      <c r="AS305" t="s">
        <v>58</v>
      </c>
      <c r="AT305">
        <v>1</v>
      </c>
      <c r="AU305" t="s">
        <v>63</v>
      </c>
      <c r="AV305" t="s">
        <v>60</v>
      </c>
      <c r="AW305">
        <v>1</v>
      </c>
      <c r="AX305">
        <v>3</v>
      </c>
      <c r="AY305">
        <v>0</v>
      </c>
      <c r="AZ305">
        <v>0</v>
      </c>
      <c r="BA305">
        <v>100</v>
      </c>
      <c r="BB305">
        <v>100</v>
      </c>
      <c r="BC305">
        <v>100</v>
      </c>
      <c r="BD305">
        <v>100</v>
      </c>
      <c r="BE305">
        <v>1</v>
      </c>
      <c r="BF305">
        <v>15000</v>
      </c>
      <c r="BG305">
        <v>1000</v>
      </c>
      <c r="BH305" s="6">
        <f>Grandview_Inventory[[#This Row],[land_extract]]*Lookups!$B$3</f>
        <v>49167.631333630678</v>
      </c>
      <c r="BI305" s="6">
        <f>IF(Grandview_Inventory[[#This Row],[bldg_style]]="",0,Lookups!$B$2)</f>
        <v>155833.95000000001</v>
      </c>
      <c r="BJ305" s="6">
        <f>_xlfn.IFNA(VLOOKUP(Grandview_Inventory[[#This Row],[quality]],Lookups!$H$2:$J$14,3,FALSE),0)</f>
        <v>9808</v>
      </c>
      <c r="BK305" s="6">
        <f>_xlfn.IFNA(VLOOKUP(Grandview_Inventory[[#This Row],[condition]],Lookups!$H$17:$J$24,3,FALSE),0)</f>
        <v>-4503</v>
      </c>
      <c r="BL305" s="6">
        <f>Grandview_Inventory[[#This Row],[Eff_Age]]*Lookups!$B$14</f>
        <v>-9088.3307999999997</v>
      </c>
      <c r="BM305" s="6">
        <f>Grandview_Inventory[[#This Row],[living_area]]*Lookups!$B$15</f>
        <v>103864.120245</v>
      </c>
      <c r="BN305" s="6">
        <f>Grandview_Inventory[[#This Row],[Fin BSMT]]*Lookups!$B$16</f>
        <v>0</v>
      </c>
      <c r="BO305" s="6">
        <f>(Grandview_Inventory[[#This Row],[att_gar]]+Grandview_Inventory[[#This Row],[bltin_gar]])*Lookups!$B$17</f>
        <v>42359.891508000001</v>
      </c>
      <c r="BP305" s="6">
        <f>Grandview_Inventory[[#This Row],[Plumbing Fixtures]]*Lookups!$B$18</f>
        <v>16083.5344</v>
      </c>
      <c r="BQ305" s="6">
        <f>Grandview_Inventory[[#This Row],[detatched_value]]*Lookups!$B$19</f>
        <v>0</v>
      </c>
      <c r="BR305" s="6">
        <f>SUM(Grandview_Inventory[[#This Row],[Intercept]:[det_value]])*Grandview_Inventory[[#This Row],[res_pct]]</f>
        <v>314358.16535300005</v>
      </c>
      <c r="BS305" s="6">
        <f>Grandview_Inventory[[#This Row],[land_value]]</f>
        <v>49167.631333630678</v>
      </c>
      <c r="BT305" s="4">
        <f>_xlfn.IFNA(VLOOKUP(Grandview_Inventory[[#This Row],[quality]],Lookups!$A$26:$C$33,3,FALSE),1)</f>
        <v>0.94295468617355149</v>
      </c>
      <c r="BU305" s="4">
        <f>_xlfn.IFNA(VLOOKUP(Grandview_Inventory[[#This Row],[condition]],Lookups!$A$37:$C$44,3,FALSE),1)</f>
        <v>0.96469275950863709</v>
      </c>
      <c r="BV305" s="4">
        <f>IF(Grandview_Inventory[[#This Row],[bldg_style]]="",1,_xlfn.IFNA(VLOOKUP(Grandview_Inventory[[#This Row],[decade]],Lookups!$F$29:$H$43,3,FALSE),1))</f>
        <v>0.98031878267063854</v>
      </c>
      <c r="BW305" s="4">
        <f>_xlfn.IFNA(VLOOKUP(Grandview_Inventory[[#This Row],[living_area_range]],Lookups!$F$47:$H$56,3,FALSE),1)</f>
        <v>0.96120133463014379</v>
      </c>
      <c r="BX305" s="4">
        <f>AVERAGE(Grandview_Inventory[[#This Row],[qual_adj]:[size_adj]])</f>
        <v>0.96229189074574273</v>
      </c>
      <c r="BY305" s="6">
        <f>IF(Grandview_Inventory[[#This Row],[pre_res]]&lt;0,0,Grandview_Inventory[[#This Row],[pre_res]]*Grandview_Inventory[[#This Row],[overall_adj]])</f>
        <v>302504.31330890127</v>
      </c>
      <c r="BZ305" s="6">
        <f>(Grandview_Inventory[[#This Row],[sum_land]]-IF(Grandview_Inventory[[#This Row],[no_utilities]]=1,12000,0))/IF(Grandview_Inventory[[#This Row],[unbuildable]]=1,2,1)</f>
        <v>49167.631333630678</v>
      </c>
      <c r="CA30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05">
        <f>ROUND(Grandview_Inventory[[#This Row],[det_value]]*Lookups!$M$28,-2)</f>
        <v>0</v>
      </c>
      <c r="CC305">
        <f>IF(ROUND(Grandview_Inventory[[#This Row],[adj_res]]*Lookups!$M$28,-2)&lt;Grandview_Inventory[[#This Row],[min_res]],Grandview_Inventory[[#This Row],[min_res]],ROUND(Grandview_Inventory[[#This Row],[adj_res]]*Lookups!$M$28,-2))</f>
        <v>287400</v>
      </c>
      <c r="CD305">
        <f>Grandview_Inventory[[#This Row],[final_det]]+Grandview_Inventory[[#This Row],[final_res]]</f>
        <v>287400</v>
      </c>
      <c r="CE305">
        <f>Grandview_Inventory[[#This Row],[final_land]]+Grandview_Inventory[[#This Row],[final_imp]]+Grandview_Inventory[[#This Row],[crop_value]]</f>
        <v>334100</v>
      </c>
      <c r="CG305" t="str">
        <f t="shared" si="4"/>
        <v>update valuation set market_land =46700, market_bldg=287400, market_total =334100, market_mdno =401, market_date ='9/10/2023' where link_id = (select link_id from parcel where parcel_year = '2024' and parcel_id = '23091443454');</v>
      </c>
    </row>
    <row r="306" spans="1:85" x14ac:dyDescent="0.25">
      <c r="A306">
        <v>23091443455</v>
      </c>
      <c r="B306">
        <v>0.2</v>
      </c>
      <c r="C306">
        <v>8800</v>
      </c>
      <c r="D306" t="s">
        <v>129</v>
      </c>
      <c r="E306" t="s">
        <v>53</v>
      </c>
      <c r="F306" t="s">
        <v>53</v>
      </c>
      <c r="G306">
        <v>4</v>
      </c>
      <c r="H306" t="s">
        <v>54</v>
      </c>
      <c r="I306">
        <v>192600</v>
      </c>
      <c r="J306">
        <v>39300</v>
      </c>
      <c r="K306">
        <v>0.2</v>
      </c>
      <c r="L30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06">
        <v>0</v>
      </c>
      <c r="N306">
        <v>0</v>
      </c>
      <c r="O306">
        <v>0</v>
      </c>
      <c r="P306">
        <v>13398.7528</v>
      </c>
      <c r="Q306">
        <v>63903</v>
      </c>
      <c r="R306">
        <f>(Grandview_Inventory[[#This Row],[ln_acres]]*Grandview_Inventory[[#This Row],[coeff]])+Grandview_Inventory[[#This Row],[const]]</f>
        <v>42338.539264347448</v>
      </c>
      <c r="S306" t="s">
        <v>61</v>
      </c>
      <c r="T306">
        <v>1</v>
      </c>
      <c r="U306" t="s">
        <v>62</v>
      </c>
      <c r="V306" t="s">
        <v>69</v>
      </c>
      <c r="W306">
        <v>0</v>
      </c>
      <c r="X306">
        <v>0</v>
      </c>
      <c r="Y306">
        <v>33</v>
      </c>
      <c r="Z306">
        <v>33</v>
      </c>
      <c r="AA306">
        <v>40</v>
      </c>
      <c r="AB306">
        <v>1500</v>
      </c>
      <c r="AC306">
        <v>1496</v>
      </c>
      <c r="AD306">
        <v>1496</v>
      </c>
      <c r="AE306">
        <v>0</v>
      </c>
      <c r="AF306">
        <v>0</v>
      </c>
      <c r="AG306">
        <v>0</v>
      </c>
      <c r="AH306">
        <v>0</v>
      </c>
      <c r="AI306">
        <v>500</v>
      </c>
      <c r="AJ306">
        <v>0</v>
      </c>
      <c r="AK306">
        <v>0</v>
      </c>
      <c r="AL306">
        <v>0</v>
      </c>
      <c r="AM306">
        <v>370</v>
      </c>
      <c r="AN306">
        <v>30</v>
      </c>
      <c r="AO306">
        <v>320</v>
      </c>
      <c r="AP306">
        <v>8</v>
      </c>
      <c r="AQ306">
        <v>0</v>
      </c>
      <c r="AR306">
        <v>0</v>
      </c>
      <c r="AS306" t="s">
        <v>58</v>
      </c>
      <c r="AT306">
        <v>1</v>
      </c>
      <c r="AU306" t="s">
        <v>59</v>
      </c>
      <c r="AV306" t="s">
        <v>60</v>
      </c>
      <c r="AW306">
        <v>1</v>
      </c>
      <c r="AX306">
        <v>3</v>
      </c>
      <c r="AY306">
        <v>0</v>
      </c>
      <c r="AZ306">
        <v>0</v>
      </c>
      <c r="BA306">
        <v>100</v>
      </c>
      <c r="BB306">
        <v>100</v>
      </c>
      <c r="BC306">
        <v>100</v>
      </c>
      <c r="BD306">
        <v>100</v>
      </c>
      <c r="BE306">
        <v>1</v>
      </c>
      <c r="BF306">
        <v>15000</v>
      </c>
      <c r="BG306">
        <v>1000</v>
      </c>
      <c r="BH306" s="6">
        <f>Grandview_Inventory[[#This Row],[land_extract]]*Lookups!$B$3</f>
        <v>49167.631333630678</v>
      </c>
      <c r="BI306" s="6">
        <f>IF(Grandview_Inventory[[#This Row],[bldg_style]]="",0,Lookups!$B$2)</f>
        <v>155833.95000000001</v>
      </c>
      <c r="BJ306" s="6">
        <f>_xlfn.IFNA(VLOOKUP(Grandview_Inventory[[#This Row],[quality]],Lookups!$H$2:$J$14,3,FALSE),0)</f>
        <v>9808</v>
      </c>
      <c r="BK306" s="6">
        <f>_xlfn.IFNA(VLOOKUP(Grandview_Inventory[[#This Row],[condition]],Lookups!$H$17:$J$24,3,FALSE),0)</f>
        <v>-4503</v>
      </c>
      <c r="BL306" s="6">
        <f>Grandview_Inventory[[#This Row],[Eff_Age]]*Lookups!$B$14</f>
        <v>-7892.4977999999992</v>
      </c>
      <c r="BM306" s="6">
        <f>Grandview_Inventory[[#This Row],[living_area]]*Lookups!$B$15</f>
        <v>93321.756088000009</v>
      </c>
      <c r="BN306" s="6">
        <f>Grandview_Inventory[[#This Row],[Fin BSMT]]*Lookups!$B$16</f>
        <v>0</v>
      </c>
      <c r="BO306" s="6">
        <f>(Grandview_Inventory[[#This Row],[att_gar]]+Grandview_Inventory[[#This Row],[bltin_gar]])*Lookups!$B$17</f>
        <v>43760.218500000003</v>
      </c>
      <c r="BP306" s="6">
        <f>Grandview_Inventory[[#This Row],[Plumbing Fixtures]]*Lookups!$B$18</f>
        <v>16083.5344</v>
      </c>
      <c r="BQ306" s="6">
        <f>Grandview_Inventory[[#This Row],[detatched_value]]*Lookups!$B$19</f>
        <v>0</v>
      </c>
      <c r="BR306" s="6">
        <f>SUM(Grandview_Inventory[[#This Row],[Intercept]:[det_value]])*Grandview_Inventory[[#This Row],[res_pct]]</f>
        <v>306411.96118800004</v>
      </c>
      <c r="BS306" s="6">
        <f>Grandview_Inventory[[#This Row],[land_value]]</f>
        <v>49167.631333630678</v>
      </c>
      <c r="BT306" s="4">
        <f>_xlfn.IFNA(VLOOKUP(Grandview_Inventory[[#This Row],[quality]],Lookups!$A$26:$C$33,3,FALSE),1)</f>
        <v>0.94295468617355149</v>
      </c>
      <c r="BU306" s="4">
        <f>_xlfn.IFNA(VLOOKUP(Grandview_Inventory[[#This Row],[condition]],Lookups!$A$37:$C$44,3,FALSE),1)</f>
        <v>0.96469275950863709</v>
      </c>
      <c r="BV306" s="4">
        <f>IF(Grandview_Inventory[[#This Row],[bldg_style]]="",1,_xlfn.IFNA(VLOOKUP(Grandview_Inventory[[#This Row],[decade]],Lookups!$F$29:$H$43,3,FALSE),1))</f>
        <v>0.98031878267063854</v>
      </c>
      <c r="BW306" s="4">
        <f>_xlfn.IFNA(VLOOKUP(Grandview_Inventory[[#This Row],[living_area_range]],Lookups!$F$47:$H$56,3,FALSE),1)</f>
        <v>0.96135087979789358</v>
      </c>
      <c r="BX306" s="4">
        <f>AVERAGE(Grandview_Inventory[[#This Row],[qual_adj]:[size_adj]])</f>
        <v>0.96232927703768012</v>
      </c>
      <c r="BY306" s="6">
        <f>IF(Grandview_Inventory[[#This Row],[pre_res]]&lt;0,0,Grandview_Inventory[[#This Row],[pre_res]]*Grandview_Inventory[[#This Row],[overall_adj]])</f>
        <v>294869.20108574576</v>
      </c>
      <c r="BZ306" s="6">
        <f>(Grandview_Inventory[[#This Row],[sum_land]]-IF(Grandview_Inventory[[#This Row],[no_utilities]]=1,12000,0))/IF(Grandview_Inventory[[#This Row],[unbuildable]]=1,2,1)</f>
        <v>49167.631333630678</v>
      </c>
      <c r="CA30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06">
        <f>ROUND(Grandview_Inventory[[#This Row],[det_value]]*Lookups!$M$28,-2)</f>
        <v>0</v>
      </c>
      <c r="CC306">
        <f>IF(ROUND(Grandview_Inventory[[#This Row],[adj_res]]*Lookups!$M$28,-2)&lt;Grandview_Inventory[[#This Row],[min_res]],Grandview_Inventory[[#This Row],[min_res]],ROUND(Grandview_Inventory[[#This Row],[adj_res]]*Lookups!$M$28,-2))</f>
        <v>280100</v>
      </c>
      <c r="CD306">
        <f>Grandview_Inventory[[#This Row],[final_det]]+Grandview_Inventory[[#This Row],[final_res]]</f>
        <v>280100</v>
      </c>
      <c r="CE306">
        <f>Grandview_Inventory[[#This Row],[final_land]]+Grandview_Inventory[[#This Row],[final_imp]]+Grandview_Inventory[[#This Row],[crop_value]]</f>
        <v>326800</v>
      </c>
      <c r="CG306" t="str">
        <f t="shared" si="4"/>
        <v>update valuation set market_land =46700, market_bldg=280100, market_total =326800, market_mdno =401, market_date ='9/10/2023' where link_id = (select link_id from parcel where parcel_year = '2024' and parcel_id = '23091443455');</v>
      </c>
    </row>
    <row r="307" spans="1:85" x14ac:dyDescent="0.25">
      <c r="A307">
        <v>23091443456</v>
      </c>
      <c r="B307">
        <v>0.24</v>
      </c>
      <c r="C307">
        <v>10356</v>
      </c>
      <c r="D307" t="s">
        <v>129</v>
      </c>
      <c r="E307" t="s">
        <v>53</v>
      </c>
      <c r="F307" t="s">
        <v>53</v>
      </c>
      <c r="G307">
        <v>4</v>
      </c>
      <c r="H307" t="s">
        <v>54</v>
      </c>
      <c r="I307">
        <v>220800</v>
      </c>
      <c r="J307">
        <v>39800</v>
      </c>
      <c r="K307">
        <v>0.24</v>
      </c>
      <c r="L307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307">
        <v>0</v>
      </c>
      <c r="N307">
        <v>0</v>
      </c>
      <c r="O307">
        <v>0</v>
      </c>
      <c r="P307">
        <v>13398.7528</v>
      </c>
      <c r="Q307">
        <v>63903</v>
      </c>
      <c r="R307">
        <f>(Grandview_Inventory[[#This Row],[ln_acres]]*Grandview_Inventory[[#This Row],[coeff]])+Grandview_Inventory[[#This Row],[const]]</f>
        <v>44781.420733940802</v>
      </c>
      <c r="S307" t="s">
        <v>55</v>
      </c>
      <c r="T307">
        <v>2</v>
      </c>
      <c r="U307" t="s">
        <v>64</v>
      </c>
      <c r="V307" t="s">
        <v>69</v>
      </c>
      <c r="W307">
        <v>0</v>
      </c>
      <c r="X307">
        <v>0</v>
      </c>
      <c r="Y307">
        <v>33</v>
      </c>
      <c r="Z307">
        <v>33</v>
      </c>
      <c r="AA307">
        <v>40</v>
      </c>
      <c r="AB307">
        <v>2000</v>
      </c>
      <c r="AC307">
        <v>1740</v>
      </c>
      <c r="AD307">
        <v>976</v>
      </c>
      <c r="AE307">
        <v>764</v>
      </c>
      <c r="AF307">
        <v>0</v>
      </c>
      <c r="AG307">
        <v>0</v>
      </c>
      <c r="AH307">
        <v>0</v>
      </c>
      <c r="AI307">
        <v>0</v>
      </c>
      <c r="AJ307">
        <v>440</v>
      </c>
      <c r="AK307">
        <v>0</v>
      </c>
      <c r="AL307">
        <v>352</v>
      </c>
      <c r="AM307">
        <v>0</v>
      </c>
      <c r="AN307">
        <v>84</v>
      </c>
      <c r="AO307">
        <v>0</v>
      </c>
      <c r="AP307">
        <v>10</v>
      </c>
      <c r="AQ307">
        <v>0</v>
      </c>
      <c r="AR307">
        <v>0</v>
      </c>
      <c r="AS307" t="s">
        <v>58</v>
      </c>
      <c r="AT307">
        <v>1</v>
      </c>
      <c r="AU307" t="s">
        <v>59</v>
      </c>
      <c r="AV307" t="s">
        <v>60</v>
      </c>
      <c r="AW307">
        <v>1</v>
      </c>
      <c r="AX307">
        <v>3</v>
      </c>
      <c r="AY307">
        <v>0</v>
      </c>
      <c r="AZ307">
        <v>0</v>
      </c>
      <c r="BA307">
        <v>100</v>
      </c>
      <c r="BB307">
        <v>100</v>
      </c>
      <c r="BC307">
        <v>100</v>
      </c>
      <c r="BD307">
        <v>100</v>
      </c>
      <c r="BE307">
        <v>1</v>
      </c>
      <c r="BF307">
        <v>15000</v>
      </c>
      <c r="BG307">
        <v>1000</v>
      </c>
      <c r="BH307" s="6">
        <f>Grandview_Inventory[[#This Row],[land_extract]]*Lookups!$B$3</f>
        <v>52004.542988489469</v>
      </c>
      <c r="BI307" s="6">
        <f>IF(Grandview_Inventory[[#This Row],[bldg_style]]="",0,Lookups!$B$2)</f>
        <v>155833.95000000001</v>
      </c>
      <c r="BJ307" s="6">
        <f>_xlfn.IFNA(VLOOKUP(Grandview_Inventory[[#This Row],[quality]],Lookups!$H$2:$J$14,3,FALSE),0)</f>
        <v>20768</v>
      </c>
      <c r="BK307" s="6">
        <f>_xlfn.IFNA(VLOOKUP(Grandview_Inventory[[#This Row],[condition]],Lookups!$H$17:$J$24,3,FALSE),0)</f>
        <v>-4503</v>
      </c>
      <c r="BL307" s="6">
        <f>Grandview_Inventory[[#This Row],[Eff_Age]]*Lookups!$B$14</f>
        <v>-7892.4977999999992</v>
      </c>
      <c r="BM307" s="6">
        <f>Grandview_Inventory[[#This Row],[living_area]]*Lookups!$B$15</f>
        <v>108542.68422000001</v>
      </c>
      <c r="BN307" s="6">
        <f>Grandview_Inventory[[#This Row],[Fin BSMT]]*Lookups!$B$16</f>
        <v>0</v>
      </c>
      <c r="BO307" s="6">
        <f>(Grandview_Inventory[[#This Row],[att_gar]]+Grandview_Inventory[[#This Row],[bltin_gar]])*Lookups!$B$17</f>
        <v>38508.992279999999</v>
      </c>
      <c r="BP307" s="6">
        <f>Grandview_Inventory[[#This Row],[Plumbing Fixtures]]*Lookups!$B$18</f>
        <v>20104.418000000001</v>
      </c>
      <c r="BQ307" s="6">
        <f>Grandview_Inventory[[#This Row],[detatched_value]]*Lookups!$B$19</f>
        <v>0</v>
      </c>
      <c r="BR307" s="6">
        <f>SUM(Grandview_Inventory[[#This Row],[Intercept]:[det_value]])*Grandview_Inventory[[#This Row],[res_pct]]</f>
        <v>331362.54670000001</v>
      </c>
      <c r="BS307" s="6">
        <f>Grandview_Inventory[[#This Row],[land_value]]</f>
        <v>52004.542988489469</v>
      </c>
      <c r="BT307" s="4">
        <f>_xlfn.IFNA(VLOOKUP(Grandview_Inventory[[#This Row],[quality]],Lookups!$A$26:$C$33,3,FALSE),1)</f>
        <v>0.94960540378902636</v>
      </c>
      <c r="BU307" s="4">
        <f>_xlfn.IFNA(VLOOKUP(Grandview_Inventory[[#This Row],[condition]],Lookups!$A$37:$C$44,3,FALSE),1)</f>
        <v>0.96469275950863709</v>
      </c>
      <c r="BV307" s="4">
        <f>IF(Grandview_Inventory[[#This Row],[bldg_style]]="",1,_xlfn.IFNA(VLOOKUP(Grandview_Inventory[[#This Row],[decade]],Lookups!$F$29:$H$43,3,FALSE),1))</f>
        <v>0.98031878267063854</v>
      </c>
      <c r="BW307" s="4">
        <f>_xlfn.IFNA(VLOOKUP(Grandview_Inventory[[#This Row],[living_area_range]],Lookups!$F$47:$H$56,3,FALSE),1)</f>
        <v>0.96120133463014379</v>
      </c>
      <c r="BX307" s="4">
        <f>AVERAGE(Grandview_Inventory[[#This Row],[qual_adj]:[size_adj]])</f>
        <v>0.9639545701496115</v>
      </c>
      <c r="BY307" s="6">
        <f>IF(Grandview_Inventory[[#This Row],[pre_res]]&lt;0,0,Grandview_Inventory[[#This Row],[pre_res]]*Grandview_Inventory[[#This Row],[overall_adj]])</f>
        <v>319418.4412678791</v>
      </c>
      <c r="BZ307" s="6">
        <f>(Grandview_Inventory[[#This Row],[sum_land]]-IF(Grandview_Inventory[[#This Row],[no_utilities]]=1,12000,0))/IF(Grandview_Inventory[[#This Row],[unbuildable]]=1,2,1)</f>
        <v>52004.542988489469</v>
      </c>
      <c r="CA307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307">
        <f>ROUND(Grandview_Inventory[[#This Row],[det_value]]*Lookups!$M$28,-2)</f>
        <v>0</v>
      </c>
      <c r="CC307">
        <f>IF(ROUND(Grandview_Inventory[[#This Row],[adj_res]]*Lookups!$M$28,-2)&lt;Grandview_Inventory[[#This Row],[min_res]],Grandview_Inventory[[#This Row],[min_res]],ROUND(Grandview_Inventory[[#This Row],[adj_res]]*Lookups!$M$28,-2))</f>
        <v>303400</v>
      </c>
      <c r="CD307">
        <f>Grandview_Inventory[[#This Row],[final_det]]+Grandview_Inventory[[#This Row],[final_res]]</f>
        <v>303400</v>
      </c>
      <c r="CE307">
        <f>Grandview_Inventory[[#This Row],[final_land]]+Grandview_Inventory[[#This Row],[final_imp]]+Grandview_Inventory[[#This Row],[crop_value]]</f>
        <v>352800</v>
      </c>
      <c r="CG307" t="str">
        <f t="shared" si="4"/>
        <v>update valuation set market_land =49400, market_bldg=303400, market_total =352800, market_mdno =401, market_date ='9/10/2023' where link_id = (select link_id from parcel where parcel_year = '2024' and parcel_id = '23091443456');</v>
      </c>
    </row>
    <row r="308" spans="1:85" x14ac:dyDescent="0.25">
      <c r="A308">
        <v>23091443457</v>
      </c>
      <c r="B308">
        <v>0.2</v>
      </c>
      <c r="C308">
        <v>8776</v>
      </c>
      <c r="D308" t="s">
        <v>129</v>
      </c>
      <c r="E308" t="s">
        <v>53</v>
      </c>
      <c r="F308" t="s">
        <v>53</v>
      </c>
      <c r="G308">
        <v>4</v>
      </c>
      <c r="H308" t="s">
        <v>54</v>
      </c>
      <c r="I308">
        <v>203900</v>
      </c>
      <c r="J308">
        <v>39300</v>
      </c>
      <c r="K308">
        <v>0.2</v>
      </c>
      <c r="L30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08">
        <v>0</v>
      </c>
      <c r="N308">
        <v>0</v>
      </c>
      <c r="O308">
        <v>0</v>
      </c>
      <c r="P308">
        <v>13398.7528</v>
      </c>
      <c r="Q308">
        <v>63903</v>
      </c>
      <c r="R308">
        <f>(Grandview_Inventory[[#This Row],[ln_acres]]*Grandview_Inventory[[#This Row],[coeff]])+Grandview_Inventory[[#This Row],[const]]</f>
        <v>42338.539264347448</v>
      </c>
      <c r="S308" t="s">
        <v>61</v>
      </c>
      <c r="T308">
        <v>1</v>
      </c>
      <c r="U308" t="s">
        <v>65</v>
      </c>
      <c r="V308" t="s">
        <v>69</v>
      </c>
      <c r="W308">
        <v>0</v>
      </c>
      <c r="X308">
        <v>0</v>
      </c>
      <c r="Y308">
        <v>43</v>
      </c>
      <c r="Z308">
        <v>44</v>
      </c>
      <c r="AA308">
        <v>50</v>
      </c>
      <c r="AB308">
        <v>1500</v>
      </c>
      <c r="AC308">
        <v>1393</v>
      </c>
      <c r="AD308">
        <v>1393</v>
      </c>
      <c r="AE308">
        <v>0</v>
      </c>
      <c r="AF308">
        <v>0</v>
      </c>
      <c r="AG308">
        <v>0</v>
      </c>
      <c r="AH308">
        <v>0</v>
      </c>
      <c r="AI308">
        <v>483</v>
      </c>
      <c r="AJ308">
        <v>0</v>
      </c>
      <c r="AK308">
        <v>0</v>
      </c>
      <c r="AL308">
        <v>432</v>
      </c>
      <c r="AM308">
        <v>0</v>
      </c>
      <c r="AN308">
        <v>0</v>
      </c>
      <c r="AO308">
        <v>252</v>
      </c>
      <c r="AP308">
        <v>8</v>
      </c>
      <c r="AQ308">
        <v>1</v>
      </c>
      <c r="AR308">
        <v>0</v>
      </c>
      <c r="AS308" t="s">
        <v>58</v>
      </c>
      <c r="AT308">
        <v>1</v>
      </c>
      <c r="AU308" t="s">
        <v>63</v>
      </c>
      <c r="AV308" t="s">
        <v>60</v>
      </c>
      <c r="AW308">
        <v>1</v>
      </c>
      <c r="AX308">
        <v>3</v>
      </c>
      <c r="AY308">
        <v>0</v>
      </c>
      <c r="AZ308">
        <v>0</v>
      </c>
      <c r="BA308">
        <v>100</v>
      </c>
      <c r="BB308">
        <v>100</v>
      </c>
      <c r="BC308">
        <v>100</v>
      </c>
      <c r="BD308">
        <v>100</v>
      </c>
      <c r="BE308">
        <v>1</v>
      </c>
      <c r="BF308">
        <v>15000</v>
      </c>
      <c r="BG308">
        <v>1000</v>
      </c>
      <c r="BH308" s="6">
        <f>Grandview_Inventory[[#This Row],[land_extract]]*Lookups!$B$3</f>
        <v>49167.631333630678</v>
      </c>
      <c r="BI308" s="6">
        <f>IF(Grandview_Inventory[[#This Row],[bldg_style]]="",0,Lookups!$B$2)</f>
        <v>155833.95000000001</v>
      </c>
      <c r="BJ308" s="6">
        <f>_xlfn.IFNA(VLOOKUP(Grandview_Inventory[[#This Row],[quality]],Lookups!$H$2:$J$14,3,FALSE),0)</f>
        <v>2251</v>
      </c>
      <c r="BK308" s="6">
        <f>_xlfn.IFNA(VLOOKUP(Grandview_Inventory[[#This Row],[condition]],Lookups!$H$17:$J$24,3,FALSE),0)</f>
        <v>-4503</v>
      </c>
      <c r="BL308" s="6">
        <f>Grandview_Inventory[[#This Row],[Eff_Age]]*Lookups!$B$14</f>
        <v>-10284.1638</v>
      </c>
      <c r="BM308" s="6">
        <f>Grandview_Inventory[[#This Row],[living_area]]*Lookups!$B$15</f>
        <v>86896.528229000003</v>
      </c>
      <c r="BN308" s="6">
        <f>Grandview_Inventory[[#This Row],[Fin BSMT]]*Lookups!$B$16</f>
        <v>0</v>
      </c>
      <c r="BO308" s="6">
        <f>(Grandview_Inventory[[#This Row],[att_gar]]+Grandview_Inventory[[#This Row],[bltin_gar]])*Lookups!$B$17</f>
        <v>42272.371071000001</v>
      </c>
      <c r="BP308" s="6">
        <f>Grandview_Inventory[[#This Row],[Plumbing Fixtures]]*Lookups!$B$18</f>
        <v>16083.5344</v>
      </c>
      <c r="BQ308" s="6">
        <f>Grandview_Inventory[[#This Row],[detatched_value]]*Lookups!$B$19</f>
        <v>0</v>
      </c>
      <c r="BR308" s="6">
        <f>SUM(Grandview_Inventory[[#This Row],[Intercept]:[det_value]])*Grandview_Inventory[[#This Row],[res_pct]]</f>
        <v>288550.21990000003</v>
      </c>
      <c r="BS308" s="6">
        <f>Grandview_Inventory[[#This Row],[land_value]]</f>
        <v>49167.631333630678</v>
      </c>
      <c r="BT308" s="4">
        <f>_xlfn.IFNA(VLOOKUP(Grandview_Inventory[[#This Row],[quality]],Lookups!$A$26:$C$33,3,FALSE),1)</f>
        <v>0.98763855981004833</v>
      </c>
      <c r="BU308" s="4">
        <f>_xlfn.IFNA(VLOOKUP(Grandview_Inventory[[#This Row],[condition]],Lookups!$A$37:$C$44,3,FALSE),1)</f>
        <v>0.96469275950863709</v>
      </c>
      <c r="BV308" s="4">
        <f>IF(Grandview_Inventory[[#This Row],[bldg_style]]="",1,_xlfn.IFNA(VLOOKUP(Grandview_Inventory[[#This Row],[decade]],Lookups!$F$29:$H$43,3,FALSE),1))</f>
        <v>0.9871940091910919</v>
      </c>
      <c r="BW308" s="4">
        <f>_xlfn.IFNA(VLOOKUP(Grandview_Inventory[[#This Row],[living_area_range]],Lookups!$F$47:$H$56,3,FALSE),1)</f>
        <v>0.96135087979789358</v>
      </c>
      <c r="BX308" s="4">
        <f>AVERAGE(Grandview_Inventory[[#This Row],[qual_adj]:[size_adj]])</f>
        <v>0.97521905207691773</v>
      </c>
      <c r="BY308" s="6">
        <f>IF(Grandview_Inventory[[#This Row],[pre_res]]&lt;0,0,Grandview_Inventory[[#This Row],[pre_res]]*Grandview_Inventory[[#This Row],[overall_adj]])</f>
        <v>281399.67192746419</v>
      </c>
      <c r="BZ308" s="6">
        <f>(Grandview_Inventory[[#This Row],[sum_land]]-IF(Grandview_Inventory[[#This Row],[no_utilities]]=1,12000,0))/IF(Grandview_Inventory[[#This Row],[unbuildable]]=1,2,1)</f>
        <v>49167.631333630678</v>
      </c>
      <c r="CA30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08">
        <f>ROUND(Grandview_Inventory[[#This Row],[det_value]]*Lookups!$M$28,-2)</f>
        <v>0</v>
      </c>
      <c r="CC308">
        <f>IF(ROUND(Grandview_Inventory[[#This Row],[adj_res]]*Lookups!$M$28,-2)&lt;Grandview_Inventory[[#This Row],[min_res]],Grandview_Inventory[[#This Row],[min_res]],ROUND(Grandview_Inventory[[#This Row],[adj_res]]*Lookups!$M$28,-2))</f>
        <v>267300</v>
      </c>
      <c r="CD308">
        <f>Grandview_Inventory[[#This Row],[final_det]]+Grandview_Inventory[[#This Row],[final_res]]</f>
        <v>267300</v>
      </c>
      <c r="CE308">
        <f>Grandview_Inventory[[#This Row],[final_land]]+Grandview_Inventory[[#This Row],[final_imp]]+Grandview_Inventory[[#This Row],[crop_value]]</f>
        <v>314000</v>
      </c>
      <c r="CG308" t="str">
        <f t="shared" si="4"/>
        <v>update valuation set market_land =46700, market_bldg=267300, market_total =314000, market_mdno =401, market_date ='9/10/2023' where link_id = (select link_id from parcel where parcel_year = '2024' and parcel_id = '23091443457');</v>
      </c>
    </row>
    <row r="309" spans="1:85" x14ac:dyDescent="0.25">
      <c r="A309">
        <v>23091443458</v>
      </c>
      <c r="B309">
        <v>0.22</v>
      </c>
      <c r="C309">
        <v>9780</v>
      </c>
      <c r="D309" t="s">
        <v>129</v>
      </c>
      <c r="E309" t="s">
        <v>53</v>
      </c>
      <c r="F309" t="s">
        <v>53</v>
      </c>
      <c r="G309">
        <v>4</v>
      </c>
      <c r="H309" t="s">
        <v>54</v>
      </c>
      <c r="I309">
        <v>192600</v>
      </c>
      <c r="J309">
        <v>39500</v>
      </c>
      <c r="K309">
        <v>0.22</v>
      </c>
      <c r="L30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309">
        <v>0</v>
      </c>
      <c r="N309">
        <v>0</v>
      </c>
      <c r="O309">
        <v>0</v>
      </c>
      <c r="P309">
        <v>13398.7528</v>
      </c>
      <c r="Q309">
        <v>63903</v>
      </c>
      <c r="R309">
        <f>(Grandview_Inventory[[#This Row],[ln_acres]]*Grandview_Inventory[[#This Row],[coeff]])+Grandview_Inventory[[#This Row],[const]]</f>
        <v>43615.576802869145</v>
      </c>
      <c r="S309" t="s">
        <v>61</v>
      </c>
      <c r="T309">
        <v>1</v>
      </c>
      <c r="U309" t="s">
        <v>62</v>
      </c>
      <c r="V309" t="s">
        <v>69</v>
      </c>
      <c r="W309">
        <v>0</v>
      </c>
      <c r="X309">
        <v>0</v>
      </c>
      <c r="Y309">
        <v>33</v>
      </c>
      <c r="Z309">
        <v>33</v>
      </c>
      <c r="AA309">
        <v>40</v>
      </c>
      <c r="AB309">
        <v>1500</v>
      </c>
      <c r="AC309">
        <v>1496</v>
      </c>
      <c r="AD309">
        <v>1496</v>
      </c>
      <c r="AE309">
        <v>0</v>
      </c>
      <c r="AF309">
        <v>0</v>
      </c>
      <c r="AG309">
        <v>0</v>
      </c>
      <c r="AH309">
        <v>0</v>
      </c>
      <c r="AI309">
        <v>500</v>
      </c>
      <c r="AJ309">
        <v>0</v>
      </c>
      <c r="AK309">
        <v>0</v>
      </c>
      <c r="AL309">
        <v>0</v>
      </c>
      <c r="AM309">
        <v>400</v>
      </c>
      <c r="AN309">
        <v>36</v>
      </c>
      <c r="AO309">
        <v>400</v>
      </c>
      <c r="AP309">
        <v>8</v>
      </c>
      <c r="AQ309">
        <v>0</v>
      </c>
      <c r="AR309">
        <v>0</v>
      </c>
      <c r="AS309" t="s">
        <v>58</v>
      </c>
      <c r="AT309">
        <v>1</v>
      </c>
      <c r="AU309" t="s">
        <v>59</v>
      </c>
      <c r="AV309" t="s">
        <v>60</v>
      </c>
      <c r="AW309">
        <v>1</v>
      </c>
      <c r="AX309">
        <v>3</v>
      </c>
      <c r="AY309">
        <v>0</v>
      </c>
      <c r="AZ309">
        <v>0</v>
      </c>
      <c r="BA309">
        <v>100</v>
      </c>
      <c r="BB309">
        <v>100</v>
      </c>
      <c r="BC309">
        <v>100</v>
      </c>
      <c r="BD309">
        <v>100</v>
      </c>
      <c r="BE309">
        <v>1</v>
      </c>
      <c r="BF309">
        <v>15000</v>
      </c>
      <c r="BG309">
        <v>1000</v>
      </c>
      <c r="BH309" s="6">
        <f>Grandview_Inventory[[#This Row],[land_extract]]*Lookups!$B$3</f>
        <v>50650.651579114572</v>
      </c>
      <c r="BI309" s="6">
        <f>IF(Grandview_Inventory[[#This Row],[bldg_style]]="",0,Lookups!$B$2)</f>
        <v>155833.95000000001</v>
      </c>
      <c r="BJ309" s="6">
        <f>_xlfn.IFNA(VLOOKUP(Grandview_Inventory[[#This Row],[quality]],Lookups!$H$2:$J$14,3,FALSE),0)</f>
        <v>9808</v>
      </c>
      <c r="BK309" s="6">
        <f>_xlfn.IFNA(VLOOKUP(Grandview_Inventory[[#This Row],[condition]],Lookups!$H$17:$J$24,3,FALSE),0)</f>
        <v>-4503</v>
      </c>
      <c r="BL309" s="6">
        <f>Grandview_Inventory[[#This Row],[Eff_Age]]*Lookups!$B$14</f>
        <v>-7892.4977999999992</v>
      </c>
      <c r="BM309" s="6">
        <f>Grandview_Inventory[[#This Row],[living_area]]*Lookups!$B$15</f>
        <v>93321.756088000009</v>
      </c>
      <c r="BN309" s="6">
        <f>Grandview_Inventory[[#This Row],[Fin BSMT]]*Lookups!$B$16</f>
        <v>0</v>
      </c>
      <c r="BO309" s="6">
        <f>(Grandview_Inventory[[#This Row],[att_gar]]+Grandview_Inventory[[#This Row],[bltin_gar]])*Lookups!$B$17</f>
        <v>43760.218500000003</v>
      </c>
      <c r="BP309" s="6">
        <f>Grandview_Inventory[[#This Row],[Plumbing Fixtures]]*Lookups!$B$18</f>
        <v>16083.5344</v>
      </c>
      <c r="BQ309" s="6">
        <f>Grandview_Inventory[[#This Row],[detatched_value]]*Lookups!$B$19</f>
        <v>0</v>
      </c>
      <c r="BR309" s="6">
        <f>SUM(Grandview_Inventory[[#This Row],[Intercept]:[det_value]])*Grandview_Inventory[[#This Row],[res_pct]]</f>
        <v>306411.96118800004</v>
      </c>
      <c r="BS309" s="6">
        <f>Grandview_Inventory[[#This Row],[land_value]]</f>
        <v>50650.651579114572</v>
      </c>
      <c r="BT309" s="4">
        <f>_xlfn.IFNA(VLOOKUP(Grandview_Inventory[[#This Row],[quality]],Lookups!$A$26:$C$33,3,FALSE),1)</f>
        <v>0.94295468617355149</v>
      </c>
      <c r="BU309" s="4">
        <f>_xlfn.IFNA(VLOOKUP(Grandview_Inventory[[#This Row],[condition]],Lookups!$A$37:$C$44,3,FALSE),1)</f>
        <v>0.96469275950863709</v>
      </c>
      <c r="BV309" s="4">
        <f>IF(Grandview_Inventory[[#This Row],[bldg_style]]="",1,_xlfn.IFNA(VLOOKUP(Grandview_Inventory[[#This Row],[decade]],Lookups!$F$29:$H$43,3,FALSE),1))</f>
        <v>0.98031878267063854</v>
      </c>
      <c r="BW309" s="4">
        <f>_xlfn.IFNA(VLOOKUP(Grandview_Inventory[[#This Row],[living_area_range]],Lookups!$F$47:$H$56,3,FALSE),1)</f>
        <v>0.96135087979789358</v>
      </c>
      <c r="BX309" s="4">
        <f>AVERAGE(Grandview_Inventory[[#This Row],[qual_adj]:[size_adj]])</f>
        <v>0.96232927703768012</v>
      </c>
      <c r="BY309" s="6">
        <f>IF(Grandview_Inventory[[#This Row],[pre_res]]&lt;0,0,Grandview_Inventory[[#This Row],[pre_res]]*Grandview_Inventory[[#This Row],[overall_adj]])</f>
        <v>294869.20108574576</v>
      </c>
      <c r="BZ309" s="6">
        <f>(Grandview_Inventory[[#This Row],[sum_land]]-IF(Grandview_Inventory[[#This Row],[no_utilities]]=1,12000,0))/IF(Grandview_Inventory[[#This Row],[unbuildable]]=1,2,1)</f>
        <v>50650.651579114572</v>
      </c>
      <c r="CA30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309">
        <f>ROUND(Grandview_Inventory[[#This Row],[det_value]]*Lookups!$M$28,-2)</f>
        <v>0</v>
      </c>
      <c r="CC309">
        <f>IF(ROUND(Grandview_Inventory[[#This Row],[adj_res]]*Lookups!$M$28,-2)&lt;Grandview_Inventory[[#This Row],[min_res]],Grandview_Inventory[[#This Row],[min_res]],ROUND(Grandview_Inventory[[#This Row],[adj_res]]*Lookups!$M$28,-2))</f>
        <v>280100</v>
      </c>
      <c r="CD309">
        <f>Grandview_Inventory[[#This Row],[final_det]]+Grandview_Inventory[[#This Row],[final_res]]</f>
        <v>280100</v>
      </c>
      <c r="CE309">
        <f>Grandview_Inventory[[#This Row],[final_land]]+Grandview_Inventory[[#This Row],[final_imp]]+Grandview_Inventory[[#This Row],[crop_value]]</f>
        <v>328200</v>
      </c>
      <c r="CG309" t="str">
        <f t="shared" si="4"/>
        <v>update valuation set market_land =48100, market_bldg=280100, market_total =328200, market_mdno =401, market_date ='9/10/2023' where link_id = (select link_id from parcel where parcel_year = '2024' and parcel_id = '23091443458');</v>
      </c>
    </row>
    <row r="310" spans="1:85" x14ac:dyDescent="0.25">
      <c r="A310">
        <v>23091443461</v>
      </c>
      <c r="B310">
        <v>0.25</v>
      </c>
      <c r="C310">
        <v>10686</v>
      </c>
      <c r="D310" t="s">
        <v>129</v>
      </c>
      <c r="E310" t="s">
        <v>53</v>
      </c>
      <c r="F310" t="s">
        <v>53</v>
      </c>
      <c r="G310">
        <v>4</v>
      </c>
      <c r="H310" t="s">
        <v>54</v>
      </c>
      <c r="I310">
        <v>153800</v>
      </c>
      <c r="J310">
        <v>40000</v>
      </c>
      <c r="K310">
        <v>0.25</v>
      </c>
      <c r="L310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310">
        <v>0</v>
      </c>
      <c r="N310">
        <v>0</v>
      </c>
      <c r="O310">
        <v>0</v>
      </c>
      <c r="P310">
        <v>13398.7528</v>
      </c>
      <c r="Q310">
        <v>63903</v>
      </c>
      <c r="R310">
        <f>(Grandview_Inventory[[#This Row],[ln_acres]]*Grandview_Inventory[[#This Row],[coeff]])+Grandview_Inventory[[#This Row],[const]]</f>
        <v>45328.38454732066</v>
      </c>
      <c r="S310" t="s">
        <v>61</v>
      </c>
      <c r="T310">
        <v>1</v>
      </c>
      <c r="U310" t="s">
        <v>65</v>
      </c>
      <c r="V310" t="s">
        <v>69</v>
      </c>
      <c r="W310">
        <v>0</v>
      </c>
      <c r="X310">
        <v>0</v>
      </c>
      <c r="Y310">
        <v>44</v>
      </c>
      <c r="Z310">
        <v>47</v>
      </c>
      <c r="AA310">
        <v>50</v>
      </c>
      <c r="AB310">
        <v>2000</v>
      </c>
      <c r="AC310">
        <v>1624</v>
      </c>
      <c r="AD310">
        <v>1624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384</v>
      </c>
      <c r="AN310">
        <v>0</v>
      </c>
      <c r="AO310">
        <v>0</v>
      </c>
      <c r="AP310">
        <v>7</v>
      </c>
      <c r="AQ310">
        <v>0</v>
      </c>
      <c r="AR310">
        <v>0</v>
      </c>
      <c r="AS310" t="s">
        <v>58</v>
      </c>
      <c r="AT310">
        <v>1</v>
      </c>
      <c r="AU310" t="s">
        <v>75</v>
      </c>
      <c r="AV310" t="s">
        <v>60</v>
      </c>
      <c r="AW310">
        <v>0</v>
      </c>
      <c r="AX310">
        <v>2</v>
      </c>
      <c r="AY310">
        <v>0</v>
      </c>
      <c r="AZ310">
        <v>2100</v>
      </c>
      <c r="BA310">
        <v>100</v>
      </c>
      <c r="BB310">
        <v>100</v>
      </c>
      <c r="BC310">
        <v>100</v>
      </c>
      <c r="BD310">
        <v>100</v>
      </c>
      <c r="BE310">
        <v>1</v>
      </c>
      <c r="BF310">
        <v>15000</v>
      </c>
      <c r="BG310">
        <v>1000</v>
      </c>
      <c r="BH310" s="6">
        <f>Grandview_Inventory[[#This Row],[land_extract]]*Lookups!$B$3</f>
        <v>52639.730588165206</v>
      </c>
      <c r="BI310" s="6">
        <f>IF(Grandview_Inventory[[#This Row],[bldg_style]]="",0,Lookups!$B$2)</f>
        <v>155833.95000000001</v>
      </c>
      <c r="BJ310" s="6">
        <f>_xlfn.IFNA(VLOOKUP(Grandview_Inventory[[#This Row],[quality]],Lookups!$H$2:$J$14,3,FALSE),0)</f>
        <v>2251</v>
      </c>
      <c r="BK310" s="6">
        <f>_xlfn.IFNA(VLOOKUP(Grandview_Inventory[[#This Row],[condition]],Lookups!$H$17:$J$24,3,FALSE),0)</f>
        <v>-4503</v>
      </c>
      <c r="BL310" s="6">
        <f>Grandview_Inventory[[#This Row],[Eff_Age]]*Lookups!$B$14</f>
        <v>-10523.330399999999</v>
      </c>
      <c r="BM310" s="6">
        <f>Grandview_Inventory[[#This Row],[living_area]]*Lookups!$B$15</f>
        <v>101306.50527200001</v>
      </c>
      <c r="BN310" s="6">
        <f>Grandview_Inventory[[#This Row],[Fin BSMT]]*Lookups!$B$16</f>
        <v>0</v>
      </c>
      <c r="BO310" s="6">
        <f>(Grandview_Inventory[[#This Row],[att_gar]]+Grandview_Inventory[[#This Row],[bltin_gar]])*Lookups!$B$17</f>
        <v>0</v>
      </c>
      <c r="BP310" s="6">
        <f>Grandview_Inventory[[#This Row],[Plumbing Fixtures]]*Lookups!$B$18</f>
        <v>14073.0926</v>
      </c>
      <c r="BQ310" s="6">
        <f>Grandview_Inventory[[#This Row],[detatched_value]]*Lookups!$B$19</f>
        <v>1778.29071</v>
      </c>
      <c r="BR310" s="6">
        <f>SUM(Grandview_Inventory[[#This Row],[Intercept]:[det_value]])*Grandview_Inventory[[#This Row],[res_pct]]</f>
        <v>260216.50818200002</v>
      </c>
      <c r="BS310" s="6">
        <f>Grandview_Inventory[[#This Row],[land_value]]</f>
        <v>52639.730588165206</v>
      </c>
      <c r="BT310" s="4">
        <f>_xlfn.IFNA(VLOOKUP(Grandview_Inventory[[#This Row],[quality]],Lookups!$A$26:$C$33,3,FALSE),1)</f>
        <v>0.98763855981004833</v>
      </c>
      <c r="BU310" s="4">
        <f>_xlfn.IFNA(VLOOKUP(Grandview_Inventory[[#This Row],[condition]],Lookups!$A$37:$C$44,3,FALSE),1)</f>
        <v>0.96469275950863709</v>
      </c>
      <c r="BV310" s="4">
        <f>IF(Grandview_Inventory[[#This Row],[bldg_style]]="",1,_xlfn.IFNA(VLOOKUP(Grandview_Inventory[[#This Row],[decade]],Lookups!$F$29:$H$43,3,FALSE),1))</f>
        <v>0.9871940091910919</v>
      </c>
      <c r="BW310" s="4">
        <f>_xlfn.IFNA(VLOOKUP(Grandview_Inventory[[#This Row],[living_area_range]],Lookups!$F$47:$H$56,3,FALSE),1)</f>
        <v>0.96120133463014379</v>
      </c>
      <c r="BX310" s="4">
        <f>AVERAGE(Grandview_Inventory[[#This Row],[qual_adj]:[size_adj]])</f>
        <v>0.97518166578498033</v>
      </c>
      <c r="BY310" s="6">
        <f>IF(Grandview_Inventory[[#This Row],[pre_res]]&lt;0,0,Grandview_Inventory[[#This Row],[pre_res]]*Grandview_Inventory[[#This Row],[overall_adj]])</f>
        <v>253758.36791367375</v>
      </c>
      <c r="BZ310" s="6">
        <f>(Grandview_Inventory[[#This Row],[sum_land]]-IF(Grandview_Inventory[[#This Row],[no_utilities]]=1,12000,0))/IF(Grandview_Inventory[[#This Row],[unbuildable]]=1,2,1)</f>
        <v>52639.730588165206</v>
      </c>
      <c r="CA310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310">
        <f>ROUND(Grandview_Inventory[[#This Row],[det_value]]*Lookups!$M$28,-2)</f>
        <v>1700</v>
      </c>
      <c r="CC310">
        <f>IF(ROUND(Grandview_Inventory[[#This Row],[adj_res]]*Lookups!$M$28,-2)&lt;Grandview_Inventory[[#This Row],[min_res]],Grandview_Inventory[[#This Row],[min_res]],ROUND(Grandview_Inventory[[#This Row],[adj_res]]*Lookups!$M$28,-2))</f>
        <v>241100</v>
      </c>
      <c r="CD310">
        <f>Grandview_Inventory[[#This Row],[final_det]]+Grandview_Inventory[[#This Row],[final_res]]</f>
        <v>242800</v>
      </c>
      <c r="CE310">
        <f>Grandview_Inventory[[#This Row],[final_land]]+Grandview_Inventory[[#This Row],[final_imp]]+Grandview_Inventory[[#This Row],[crop_value]]</f>
        <v>292800</v>
      </c>
      <c r="CG310" t="str">
        <f t="shared" si="4"/>
        <v>update valuation set market_land =50000, market_bldg=242800, market_total =292800, market_mdno =401, market_date ='9/10/2023' where link_id = (select link_id from parcel where parcel_year = '2024' and parcel_id = '23091443461');</v>
      </c>
    </row>
    <row r="311" spans="1:85" x14ac:dyDescent="0.25">
      <c r="A311">
        <v>23091443462</v>
      </c>
      <c r="B311">
        <v>0.27</v>
      </c>
      <c r="C311">
        <v>11942</v>
      </c>
      <c r="D311" t="s">
        <v>129</v>
      </c>
      <c r="E311" t="s">
        <v>53</v>
      </c>
      <c r="F311" t="s">
        <v>53</v>
      </c>
      <c r="G311">
        <v>4</v>
      </c>
      <c r="H311" t="s">
        <v>54</v>
      </c>
      <c r="I311">
        <v>198500</v>
      </c>
      <c r="J311">
        <v>44400</v>
      </c>
      <c r="K311">
        <v>0.27</v>
      </c>
      <c r="L311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311">
        <v>0</v>
      </c>
      <c r="N311">
        <v>0</v>
      </c>
      <c r="O311">
        <v>0</v>
      </c>
      <c r="P311">
        <v>13398.7528</v>
      </c>
      <c r="Q311">
        <v>63903</v>
      </c>
      <c r="R311">
        <f>(Grandview_Inventory[[#This Row],[ln_acres]]*Grandview_Inventory[[#This Row],[coeff]])+Grandview_Inventory[[#This Row],[const]]</f>
        <v>46359.566512734265</v>
      </c>
      <c r="S311" t="s">
        <v>61</v>
      </c>
      <c r="T311">
        <v>1</v>
      </c>
      <c r="U311" t="s">
        <v>65</v>
      </c>
      <c r="V311" t="s">
        <v>69</v>
      </c>
      <c r="W311">
        <v>0</v>
      </c>
      <c r="X311">
        <v>0</v>
      </c>
      <c r="Y311">
        <v>44</v>
      </c>
      <c r="Z311">
        <v>47</v>
      </c>
      <c r="AA311">
        <v>50</v>
      </c>
      <c r="AB311">
        <v>1500</v>
      </c>
      <c r="AC311">
        <v>1434</v>
      </c>
      <c r="AD311">
        <v>1434</v>
      </c>
      <c r="AE311">
        <v>0</v>
      </c>
      <c r="AF311">
        <v>0</v>
      </c>
      <c r="AG311">
        <v>0</v>
      </c>
      <c r="AH311">
        <v>0</v>
      </c>
      <c r="AI311">
        <v>462</v>
      </c>
      <c r="AJ311">
        <v>0</v>
      </c>
      <c r="AK311">
        <v>0</v>
      </c>
      <c r="AL311">
        <v>96</v>
      </c>
      <c r="AM311">
        <v>360</v>
      </c>
      <c r="AN311">
        <v>0</v>
      </c>
      <c r="AO311">
        <v>360</v>
      </c>
      <c r="AP311">
        <v>7</v>
      </c>
      <c r="AQ311">
        <v>1</v>
      </c>
      <c r="AR311">
        <v>0</v>
      </c>
      <c r="AS311" t="s">
        <v>58</v>
      </c>
      <c r="AT311">
        <v>1</v>
      </c>
      <c r="AU311" t="s">
        <v>59</v>
      </c>
      <c r="AV311" t="s">
        <v>60</v>
      </c>
      <c r="AW311">
        <v>1</v>
      </c>
      <c r="AX311">
        <v>3</v>
      </c>
      <c r="AY311">
        <v>0</v>
      </c>
      <c r="AZ311">
        <v>0</v>
      </c>
      <c r="BA311">
        <v>100</v>
      </c>
      <c r="BB311">
        <v>100</v>
      </c>
      <c r="BC311">
        <v>100</v>
      </c>
      <c r="BD311">
        <v>100</v>
      </c>
      <c r="BE311">
        <v>1</v>
      </c>
      <c r="BF311">
        <v>15000</v>
      </c>
      <c r="BG311">
        <v>1000</v>
      </c>
      <c r="BH311" s="6">
        <f>Grandview_Inventory[[#This Row],[land_extract]]*Lookups!$B$3</f>
        <v>53837.239420408718</v>
      </c>
      <c r="BI311" s="6">
        <f>IF(Grandview_Inventory[[#This Row],[bldg_style]]="",0,Lookups!$B$2)</f>
        <v>155833.95000000001</v>
      </c>
      <c r="BJ311" s="6">
        <f>_xlfn.IFNA(VLOOKUP(Grandview_Inventory[[#This Row],[quality]],Lookups!$H$2:$J$14,3,FALSE),0)</f>
        <v>2251</v>
      </c>
      <c r="BK311" s="6">
        <f>_xlfn.IFNA(VLOOKUP(Grandview_Inventory[[#This Row],[condition]],Lookups!$H$17:$J$24,3,FALSE),0)</f>
        <v>-4503</v>
      </c>
      <c r="BL311" s="6">
        <f>Grandview_Inventory[[#This Row],[Eff_Age]]*Lookups!$B$14</f>
        <v>-10523.330399999999</v>
      </c>
      <c r="BM311" s="6">
        <f>Grandview_Inventory[[#This Row],[living_area]]*Lookups!$B$15</f>
        <v>89454.143202000007</v>
      </c>
      <c r="BN311" s="6">
        <f>Grandview_Inventory[[#This Row],[Fin BSMT]]*Lookups!$B$16</f>
        <v>0</v>
      </c>
      <c r="BO311" s="6">
        <f>(Grandview_Inventory[[#This Row],[att_gar]]+Grandview_Inventory[[#This Row],[bltin_gar]])*Lookups!$B$17</f>
        <v>40434.441894000003</v>
      </c>
      <c r="BP311" s="6">
        <f>Grandview_Inventory[[#This Row],[Plumbing Fixtures]]*Lookups!$B$18</f>
        <v>14073.0926</v>
      </c>
      <c r="BQ311" s="6">
        <f>Grandview_Inventory[[#This Row],[detatched_value]]*Lookups!$B$19</f>
        <v>0</v>
      </c>
      <c r="BR311" s="6">
        <f>SUM(Grandview_Inventory[[#This Row],[Intercept]:[det_value]])*Grandview_Inventory[[#This Row],[res_pct]]</f>
        <v>287020.297296</v>
      </c>
      <c r="BS311" s="6">
        <f>Grandview_Inventory[[#This Row],[land_value]]</f>
        <v>53837.239420408718</v>
      </c>
      <c r="BT311" s="4">
        <f>_xlfn.IFNA(VLOOKUP(Grandview_Inventory[[#This Row],[quality]],Lookups!$A$26:$C$33,3,FALSE),1)</f>
        <v>0.98763855981004833</v>
      </c>
      <c r="BU311" s="4">
        <f>_xlfn.IFNA(VLOOKUP(Grandview_Inventory[[#This Row],[condition]],Lookups!$A$37:$C$44,3,FALSE),1)</f>
        <v>0.96469275950863709</v>
      </c>
      <c r="BV311" s="4">
        <f>IF(Grandview_Inventory[[#This Row],[bldg_style]]="",1,_xlfn.IFNA(VLOOKUP(Grandview_Inventory[[#This Row],[decade]],Lookups!$F$29:$H$43,3,FALSE),1))</f>
        <v>0.9871940091910919</v>
      </c>
      <c r="BW311" s="4">
        <f>_xlfn.IFNA(VLOOKUP(Grandview_Inventory[[#This Row],[living_area_range]],Lookups!$F$47:$H$56,3,FALSE),1)</f>
        <v>0.96135087979789358</v>
      </c>
      <c r="BX311" s="4">
        <f>AVERAGE(Grandview_Inventory[[#This Row],[qual_adj]:[size_adj]])</f>
        <v>0.97521905207691773</v>
      </c>
      <c r="BY311" s="6">
        <f>IF(Grandview_Inventory[[#This Row],[pre_res]]&lt;0,0,Grandview_Inventory[[#This Row],[pre_res]]*Grandview_Inventory[[#This Row],[overall_adj]])</f>
        <v>279907.66225584026</v>
      </c>
      <c r="BZ311" s="6">
        <f>(Grandview_Inventory[[#This Row],[sum_land]]-IF(Grandview_Inventory[[#This Row],[no_utilities]]=1,12000,0))/IF(Grandview_Inventory[[#This Row],[unbuildable]]=1,2,1)</f>
        <v>53837.239420408718</v>
      </c>
      <c r="CA311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311">
        <f>ROUND(Grandview_Inventory[[#This Row],[det_value]]*Lookups!$M$28,-2)</f>
        <v>0</v>
      </c>
      <c r="CC311">
        <f>IF(ROUND(Grandview_Inventory[[#This Row],[adj_res]]*Lookups!$M$28,-2)&lt;Grandview_Inventory[[#This Row],[min_res]],Grandview_Inventory[[#This Row],[min_res]],ROUND(Grandview_Inventory[[#This Row],[adj_res]]*Lookups!$M$28,-2))</f>
        <v>265900</v>
      </c>
      <c r="CD311">
        <f>Grandview_Inventory[[#This Row],[final_det]]+Grandview_Inventory[[#This Row],[final_res]]</f>
        <v>265900</v>
      </c>
      <c r="CE311">
        <f>Grandview_Inventory[[#This Row],[final_land]]+Grandview_Inventory[[#This Row],[final_imp]]+Grandview_Inventory[[#This Row],[crop_value]]</f>
        <v>317000</v>
      </c>
      <c r="CG311" t="str">
        <f t="shared" si="4"/>
        <v>update valuation set market_land =51100, market_bldg=265900, market_total =317000, market_mdno =401, market_date ='9/10/2023' where link_id = (select link_id from parcel where parcel_year = '2024' and parcel_id = '23091443462');</v>
      </c>
    </row>
    <row r="312" spans="1:85" x14ac:dyDescent="0.25">
      <c r="A312">
        <v>23091443463</v>
      </c>
      <c r="B312">
        <v>0.2</v>
      </c>
      <c r="C312">
        <v>8739</v>
      </c>
      <c r="D312" t="s">
        <v>129</v>
      </c>
      <c r="E312" t="s">
        <v>53</v>
      </c>
      <c r="F312" t="s">
        <v>53</v>
      </c>
      <c r="G312">
        <v>4</v>
      </c>
      <c r="H312" t="s">
        <v>54</v>
      </c>
      <c r="I312">
        <v>247300</v>
      </c>
      <c r="J312">
        <v>43500</v>
      </c>
      <c r="K312">
        <v>0.2</v>
      </c>
      <c r="L31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12">
        <v>0</v>
      </c>
      <c r="N312">
        <v>0</v>
      </c>
      <c r="O312">
        <v>0</v>
      </c>
      <c r="P312">
        <v>13398.7528</v>
      </c>
      <c r="Q312">
        <v>63903</v>
      </c>
      <c r="R312">
        <f>(Grandview_Inventory[[#This Row],[ln_acres]]*Grandview_Inventory[[#This Row],[coeff]])+Grandview_Inventory[[#This Row],[const]]</f>
        <v>42338.539264347448</v>
      </c>
      <c r="S312" t="s">
        <v>74</v>
      </c>
      <c r="T312">
        <v>1</v>
      </c>
      <c r="U312" t="s">
        <v>62</v>
      </c>
      <c r="V312" t="s">
        <v>69</v>
      </c>
      <c r="W312">
        <v>0</v>
      </c>
      <c r="X312">
        <v>0</v>
      </c>
      <c r="Y312">
        <v>44</v>
      </c>
      <c r="Z312">
        <v>46</v>
      </c>
      <c r="AA312">
        <v>50</v>
      </c>
      <c r="AB312">
        <v>2500</v>
      </c>
      <c r="AC312">
        <v>2290</v>
      </c>
      <c r="AD312">
        <v>1534</v>
      </c>
      <c r="AE312">
        <v>0</v>
      </c>
      <c r="AF312">
        <v>0</v>
      </c>
      <c r="AG312">
        <v>756</v>
      </c>
      <c r="AH312">
        <v>0</v>
      </c>
      <c r="AI312">
        <v>360</v>
      </c>
      <c r="AJ312">
        <v>0</v>
      </c>
      <c r="AK312">
        <v>0</v>
      </c>
      <c r="AL312">
        <v>0</v>
      </c>
      <c r="AM312">
        <v>96</v>
      </c>
      <c r="AN312">
        <v>496</v>
      </c>
      <c r="AO312">
        <v>0</v>
      </c>
      <c r="AP312">
        <v>11</v>
      </c>
      <c r="AQ312">
        <v>0</v>
      </c>
      <c r="AR312">
        <v>0</v>
      </c>
      <c r="AS312" t="s">
        <v>58</v>
      </c>
      <c r="AT312">
        <v>1</v>
      </c>
      <c r="AU312" t="s">
        <v>63</v>
      </c>
      <c r="AV312" t="s">
        <v>60</v>
      </c>
      <c r="AW312">
        <v>1</v>
      </c>
      <c r="AX312">
        <v>4</v>
      </c>
      <c r="AY312">
        <v>0</v>
      </c>
      <c r="AZ312">
        <v>0</v>
      </c>
      <c r="BA312">
        <v>100</v>
      </c>
      <c r="BB312">
        <v>100</v>
      </c>
      <c r="BC312">
        <v>100</v>
      </c>
      <c r="BD312">
        <v>100</v>
      </c>
      <c r="BE312">
        <v>1</v>
      </c>
      <c r="BF312">
        <v>15000</v>
      </c>
      <c r="BG312">
        <v>1000</v>
      </c>
      <c r="BH312" s="6">
        <f>Grandview_Inventory[[#This Row],[land_extract]]*Lookups!$B$3</f>
        <v>49167.631333630678</v>
      </c>
      <c r="BI312" s="6">
        <f>IF(Grandview_Inventory[[#This Row],[bldg_style]]="",0,Lookups!$B$2)</f>
        <v>155833.95000000001</v>
      </c>
      <c r="BJ312" s="6">
        <f>_xlfn.IFNA(VLOOKUP(Grandview_Inventory[[#This Row],[quality]],Lookups!$H$2:$J$14,3,FALSE),0)</f>
        <v>9808</v>
      </c>
      <c r="BK312" s="6">
        <f>_xlfn.IFNA(VLOOKUP(Grandview_Inventory[[#This Row],[condition]],Lookups!$H$17:$J$24,3,FALSE),0)</f>
        <v>-4503</v>
      </c>
      <c r="BL312" s="6">
        <f>Grandview_Inventory[[#This Row],[Eff_Age]]*Lookups!$B$14</f>
        <v>-10523.330399999999</v>
      </c>
      <c r="BM312" s="6">
        <f>Grandview_Inventory[[#This Row],[living_area]]*Lookups!$B$15</f>
        <v>142852.15337000001</v>
      </c>
      <c r="BN312" s="6">
        <f>Grandview_Inventory[[#This Row],[Fin BSMT]]*Lookups!$B$16</f>
        <v>-20487.025440000001</v>
      </c>
      <c r="BO312" s="6">
        <f>(Grandview_Inventory[[#This Row],[att_gar]]+Grandview_Inventory[[#This Row],[bltin_gar]])*Lookups!$B$17</f>
        <v>31507.357319999999</v>
      </c>
      <c r="BP312" s="6">
        <f>Grandview_Inventory[[#This Row],[Plumbing Fixtures]]*Lookups!$B$18</f>
        <v>22114.859800000002</v>
      </c>
      <c r="BQ312" s="6">
        <f>Grandview_Inventory[[#This Row],[detatched_value]]*Lookups!$B$19</f>
        <v>0</v>
      </c>
      <c r="BR312" s="6">
        <f>SUM(Grandview_Inventory[[#This Row],[Intercept]:[det_value]])*Grandview_Inventory[[#This Row],[res_pct]]</f>
        <v>326602.96465000004</v>
      </c>
      <c r="BS312" s="6">
        <f>Grandview_Inventory[[#This Row],[land_value]]</f>
        <v>49167.631333630678</v>
      </c>
      <c r="BT312" s="4">
        <f>_xlfn.IFNA(VLOOKUP(Grandview_Inventory[[#This Row],[quality]],Lookups!$A$26:$C$33,3,FALSE),1)</f>
        <v>0.94295468617355149</v>
      </c>
      <c r="BU312" s="4">
        <f>_xlfn.IFNA(VLOOKUP(Grandview_Inventory[[#This Row],[condition]],Lookups!$A$37:$C$44,3,FALSE),1)</f>
        <v>0.96469275950863709</v>
      </c>
      <c r="BV312" s="4">
        <f>IF(Grandview_Inventory[[#This Row],[bldg_style]]="",1,_xlfn.IFNA(VLOOKUP(Grandview_Inventory[[#This Row],[decade]],Lookups!$F$29:$H$43,3,FALSE),1))</f>
        <v>0.9871940091910919</v>
      </c>
      <c r="BW312" s="4">
        <f>_xlfn.IFNA(VLOOKUP(Grandview_Inventory[[#This Row],[living_area_range]],Lookups!$F$47:$H$56,3,FALSE),1)</f>
        <v>0.95799442568048754</v>
      </c>
      <c r="BX312" s="4">
        <f>AVERAGE(Grandview_Inventory[[#This Row],[qual_adj]:[size_adj]])</f>
        <v>0.96320897013844198</v>
      </c>
      <c r="BY312" s="6">
        <f>IF(Grandview_Inventory[[#This Row],[pre_res]]&lt;0,0,Grandview_Inventory[[#This Row],[pre_res]]*Grandview_Inventory[[#This Row],[overall_adj]])</f>
        <v>314586.90522468853</v>
      </c>
      <c r="BZ312" s="6">
        <f>(Grandview_Inventory[[#This Row],[sum_land]]-IF(Grandview_Inventory[[#This Row],[no_utilities]]=1,12000,0))/IF(Grandview_Inventory[[#This Row],[unbuildable]]=1,2,1)</f>
        <v>49167.631333630678</v>
      </c>
      <c r="CA31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12">
        <f>ROUND(Grandview_Inventory[[#This Row],[det_value]]*Lookups!$M$28,-2)</f>
        <v>0</v>
      </c>
      <c r="CC312">
        <f>IF(ROUND(Grandview_Inventory[[#This Row],[adj_res]]*Lookups!$M$28,-2)&lt;Grandview_Inventory[[#This Row],[min_res]],Grandview_Inventory[[#This Row],[min_res]],ROUND(Grandview_Inventory[[#This Row],[adj_res]]*Lookups!$M$28,-2))</f>
        <v>298900</v>
      </c>
      <c r="CD312">
        <f>Grandview_Inventory[[#This Row],[final_det]]+Grandview_Inventory[[#This Row],[final_res]]</f>
        <v>298900</v>
      </c>
      <c r="CE312">
        <f>Grandview_Inventory[[#This Row],[final_land]]+Grandview_Inventory[[#This Row],[final_imp]]+Grandview_Inventory[[#This Row],[crop_value]]</f>
        <v>345600</v>
      </c>
      <c r="CG312" t="str">
        <f t="shared" si="4"/>
        <v>update valuation set market_land =46700, market_bldg=298900, market_total =345600, market_mdno =401, market_date ='9/10/2023' where link_id = (select link_id from parcel where parcel_year = '2024' and parcel_id = '23091443463');</v>
      </c>
    </row>
    <row r="313" spans="1:85" x14ac:dyDescent="0.25">
      <c r="A313">
        <v>23091443464</v>
      </c>
      <c r="B313">
        <v>0.21</v>
      </c>
      <c r="C313">
        <v>9292</v>
      </c>
      <c r="D313" t="s">
        <v>129</v>
      </c>
      <c r="E313" t="s">
        <v>53</v>
      </c>
      <c r="F313" t="s">
        <v>53</v>
      </c>
      <c r="G313">
        <v>4</v>
      </c>
      <c r="H313" t="s">
        <v>54</v>
      </c>
      <c r="I313">
        <v>173800</v>
      </c>
      <c r="J313">
        <v>43800</v>
      </c>
      <c r="K313">
        <v>0.21</v>
      </c>
      <c r="L31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13">
        <v>0</v>
      </c>
      <c r="N313">
        <v>0</v>
      </c>
      <c r="O313">
        <v>0</v>
      </c>
      <c r="P313">
        <v>13398.7528</v>
      </c>
      <c r="Q313">
        <v>63903</v>
      </c>
      <c r="R313">
        <f>(Grandview_Inventory[[#This Row],[ln_acres]]*Grandview_Inventory[[#This Row],[coeff]])+Grandview_Inventory[[#This Row],[const]]</f>
        <v>42992.266613125081</v>
      </c>
      <c r="S313" t="s">
        <v>61</v>
      </c>
      <c r="T313">
        <v>1</v>
      </c>
      <c r="U313" t="s">
        <v>65</v>
      </c>
      <c r="V313" t="s">
        <v>69</v>
      </c>
      <c r="W313">
        <v>0</v>
      </c>
      <c r="X313">
        <v>0</v>
      </c>
      <c r="Y313">
        <v>43</v>
      </c>
      <c r="Z313">
        <v>45</v>
      </c>
      <c r="AA313">
        <v>50</v>
      </c>
      <c r="AB313">
        <v>1500</v>
      </c>
      <c r="AC313">
        <v>1424</v>
      </c>
      <c r="AD313">
        <v>1424</v>
      </c>
      <c r="AE313">
        <v>0</v>
      </c>
      <c r="AF313">
        <v>0</v>
      </c>
      <c r="AG313">
        <v>0</v>
      </c>
      <c r="AH313">
        <v>0</v>
      </c>
      <c r="AI313">
        <v>320</v>
      </c>
      <c r="AJ313">
        <v>0</v>
      </c>
      <c r="AK313">
        <v>0</v>
      </c>
      <c r="AL313">
        <v>720</v>
      </c>
      <c r="AM313">
        <v>0</v>
      </c>
      <c r="AN313">
        <v>0</v>
      </c>
      <c r="AO313">
        <v>720</v>
      </c>
      <c r="AP313">
        <v>8</v>
      </c>
      <c r="AQ313">
        <v>0</v>
      </c>
      <c r="AR313">
        <v>0</v>
      </c>
      <c r="AS313" t="s">
        <v>58</v>
      </c>
      <c r="AT313">
        <v>1</v>
      </c>
      <c r="AU313" t="s">
        <v>63</v>
      </c>
      <c r="AV313" t="s">
        <v>64</v>
      </c>
      <c r="AW313">
        <v>1</v>
      </c>
      <c r="AX313">
        <v>3</v>
      </c>
      <c r="AY313">
        <v>0</v>
      </c>
      <c r="AZ313">
        <v>0</v>
      </c>
      <c r="BA313">
        <v>100</v>
      </c>
      <c r="BB313">
        <v>100</v>
      </c>
      <c r="BC313">
        <v>100</v>
      </c>
      <c r="BD313">
        <v>100</v>
      </c>
      <c r="BE313">
        <v>1</v>
      </c>
      <c r="BF313">
        <v>15000</v>
      </c>
      <c r="BG313">
        <v>1000</v>
      </c>
      <c r="BH313" s="6">
        <f>Grandview_Inventory[[#This Row],[land_extract]]*Lookups!$B$3</f>
        <v>49926.8031387023</v>
      </c>
      <c r="BI313" s="6">
        <f>IF(Grandview_Inventory[[#This Row],[bldg_style]]="",0,Lookups!$B$2)</f>
        <v>155833.95000000001</v>
      </c>
      <c r="BJ313" s="6">
        <f>_xlfn.IFNA(VLOOKUP(Grandview_Inventory[[#This Row],[quality]],Lookups!$H$2:$J$14,3,FALSE),0)</f>
        <v>2251</v>
      </c>
      <c r="BK313" s="6">
        <f>_xlfn.IFNA(VLOOKUP(Grandview_Inventory[[#This Row],[condition]],Lookups!$H$17:$J$24,3,FALSE),0)</f>
        <v>-4503</v>
      </c>
      <c r="BL313" s="6">
        <f>Grandview_Inventory[[#This Row],[Eff_Age]]*Lookups!$B$14</f>
        <v>-10284.1638</v>
      </c>
      <c r="BM313" s="6">
        <f>Grandview_Inventory[[#This Row],[living_area]]*Lookups!$B$15</f>
        <v>88830.334671999997</v>
      </c>
      <c r="BN313" s="6">
        <f>Grandview_Inventory[[#This Row],[Fin BSMT]]*Lookups!$B$16</f>
        <v>0</v>
      </c>
      <c r="BO313" s="6">
        <f>(Grandview_Inventory[[#This Row],[att_gar]]+Grandview_Inventory[[#This Row],[bltin_gar]])*Lookups!$B$17</f>
        <v>28006.539840000001</v>
      </c>
      <c r="BP313" s="6">
        <f>Grandview_Inventory[[#This Row],[Plumbing Fixtures]]*Lookups!$B$18</f>
        <v>16083.5344</v>
      </c>
      <c r="BQ313" s="6">
        <f>Grandview_Inventory[[#This Row],[detatched_value]]*Lookups!$B$19</f>
        <v>0</v>
      </c>
      <c r="BR313" s="6">
        <f>SUM(Grandview_Inventory[[#This Row],[Intercept]:[det_value]])*Grandview_Inventory[[#This Row],[res_pct]]</f>
        <v>276218.19511199999</v>
      </c>
      <c r="BS313" s="6">
        <f>Grandview_Inventory[[#This Row],[land_value]]</f>
        <v>49926.8031387023</v>
      </c>
      <c r="BT313" s="4">
        <f>_xlfn.IFNA(VLOOKUP(Grandview_Inventory[[#This Row],[quality]],Lookups!$A$26:$C$33,3,FALSE),1)</f>
        <v>0.98763855981004833</v>
      </c>
      <c r="BU313" s="4">
        <f>_xlfn.IFNA(VLOOKUP(Grandview_Inventory[[#This Row],[condition]],Lookups!$A$37:$C$44,3,FALSE),1)</f>
        <v>0.96469275950863709</v>
      </c>
      <c r="BV313" s="4">
        <f>IF(Grandview_Inventory[[#This Row],[bldg_style]]="",1,_xlfn.IFNA(VLOOKUP(Grandview_Inventory[[#This Row],[decade]],Lookups!$F$29:$H$43,3,FALSE),1))</f>
        <v>0.9871940091910919</v>
      </c>
      <c r="BW313" s="4">
        <f>_xlfn.IFNA(VLOOKUP(Grandview_Inventory[[#This Row],[living_area_range]],Lookups!$F$47:$H$56,3,FALSE),1)</f>
        <v>0.96135087979789358</v>
      </c>
      <c r="BX313" s="4">
        <f>AVERAGE(Grandview_Inventory[[#This Row],[qual_adj]:[size_adj]])</f>
        <v>0.97521905207691773</v>
      </c>
      <c r="BY313" s="6">
        <f>IF(Grandview_Inventory[[#This Row],[pre_res]]&lt;0,0,Grandview_Inventory[[#This Row],[pre_res]]*Grandview_Inventory[[#This Row],[overall_adj]])</f>
        <v>269373.24640352174</v>
      </c>
      <c r="BZ313" s="6">
        <f>(Grandview_Inventory[[#This Row],[sum_land]]-IF(Grandview_Inventory[[#This Row],[no_utilities]]=1,12000,0))/IF(Grandview_Inventory[[#This Row],[unbuildable]]=1,2,1)</f>
        <v>49926.8031387023</v>
      </c>
      <c r="CA31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13">
        <f>ROUND(Grandview_Inventory[[#This Row],[det_value]]*Lookups!$M$28,-2)</f>
        <v>0</v>
      </c>
      <c r="CC313">
        <f>IF(ROUND(Grandview_Inventory[[#This Row],[adj_res]]*Lookups!$M$28,-2)&lt;Grandview_Inventory[[#This Row],[min_res]],Grandview_Inventory[[#This Row],[min_res]],ROUND(Grandview_Inventory[[#This Row],[adj_res]]*Lookups!$M$28,-2))</f>
        <v>255900</v>
      </c>
      <c r="CD313">
        <f>Grandview_Inventory[[#This Row],[final_det]]+Grandview_Inventory[[#This Row],[final_res]]</f>
        <v>255900</v>
      </c>
      <c r="CE313">
        <f>Grandview_Inventory[[#This Row],[final_land]]+Grandview_Inventory[[#This Row],[final_imp]]+Grandview_Inventory[[#This Row],[crop_value]]</f>
        <v>303300</v>
      </c>
      <c r="CG313" t="str">
        <f t="shared" si="4"/>
        <v>update valuation set market_land =47400, market_bldg=255900, market_total =303300, market_mdno =401, market_date ='9/10/2023' where link_id = (select link_id from parcel where parcel_year = '2024' and parcel_id = '23091443464');</v>
      </c>
    </row>
    <row r="314" spans="1:85" x14ac:dyDescent="0.25">
      <c r="A314">
        <v>23091443465</v>
      </c>
      <c r="B314">
        <v>0.32</v>
      </c>
      <c r="C314">
        <v>13813</v>
      </c>
      <c r="D314" t="s">
        <v>129</v>
      </c>
      <c r="E314" t="s">
        <v>53</v>
      </c>
      <c r="F314" t="s">
        <v>53</v>
      </c>
      <c r="G314">
        <v>4</v>
      </c>
      <c r="H314" t="s">
        <v>54</v>
      </c>
      <c r="I314">
        <v>113400</v>
      </c>
      <c r="J314">
        <v>41200</v>
      </c>
      <c r="K314">
        <v>0.32</v>
      </c>
      <c r="L314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314">
        <v>0</v>
      </c>
      <c r="N314">
        <v>0</v>
      </c>
      <c r="O314">
        <v>0</v>
      </c>
      <c r="P314">
        <v>13398.7528</v>
      </c>
      <c r="Q314">
        <v>63903</v>
      </c>
      <c r="R314">
        <f>(Grandview_Inventory[[#This Row],[ln_acres]]*Grandview_Inventory[[#This Row],[coeff]])+Grandview_Inventory[[#This Row],[const]]</f>
        <v>48636.001707713905</v>
      </c>
      <c r="S314" t="s">
        <v>86</v>
      </c>
      <c r="T314">
        <v>2</v>
      </c>
      <c r="U314" t="s">
        <v>64</v>
      </c>
      <c r="V314" t="s">
        <v>78</v>
      </c>
      <c r="W314">
        <v>0</v>
      </c>
      <c r="X314">
        <v>0</v>
      </c>
      <c r="Y314">
        <v>65</v>
      </c>
      <c r="Z314">
        <v>113</v>
      </c>
      <c r="AA314">
        <v>120</v>
      </c>
      <c r="AB314">
        <v>2000</v>
      </c>
      <c r="AC314">
        <v>1833</v>
      </c>
      <c r="AD314">
        <v>1017</v>
      </c>
      <c r="AE314">
        <v>816</v>
      </c>
      <c r="AF314">
        <v>0</v>
      </c>
      <c r="AG314">
        <v>0</v>
      </c>
      <c r="AH314">
        <v>672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168</v>
      </c>
      <c r="AO314">
        <v>0</v>
      </c>
      <c r="AP314">
        <v>8</v>
      </c>
      <c r="AQ314">
        <v>0</v>
      </c>
      <c r="AR314">
        <v>1</v>
      </c>
      <c r="AS314" t="s">
        <v>58</v>
      </c>
      <c r="AT314">
        <v>1</v>
      </c>
      <c r="AU314" t="s">
        <v>63</v>
      </c>
      <c r="AV314" t="s">
        <v>81</v>
      </c>
      <c r="AW314">
        <v>0</v>
      </c>
      <c r="AX314">
        <v>5</v>
      </c>
      <c r="AY314">
        <v>0</v>
      </c>
      <c r="AZ314">
        <v>0</v>
      </c>
      <c r="BA314">
        <v>100</v>
      </c>
      <c r="BB314">
        <v>100</v>
      </c>
      <c r="BC314">
        <v>100</v>
      </c>
      <c r="BD314">
        <v>100</v>
      </c>
      <c r="BE314">
        <v>1</v>
      </c>
      <c r="BF314">
        <v>15000</v>
      </c>
      <c r="BG314">
        <v>1000</v>
      </c>
      <c r="BH314" s="6">
        <f>Grandview_Inventory[[#This Row],[land_extract]]*Lookups!$B$3</f>
        <v>56480.857465963549</v>
      </c>
      <c r="BI314" s="6">
        <f>IF(Grandview_Inventory[[#This Row],[bldg_style]]="",0,Lookups!$B$2)</f>
        <v>155833.95000000001</v>
      </c>
      <c r="BJ314" s="6">
        <f>_xlfn.IFNA(VLOOKUP(Grandview_Inventory[[#This Row],[quality]],Lookups!$H$2:$J$14,3,FALSE),0)</f>
        <v>20768</v>
      </c>
      <c r="BK314" s="6">
        <f>_xlfn.IFNA(VLOOKUP(Grandview_Inventory[[#This Row],[condition]],Lookups!$H$17:$J$24,3,FALSE),0)</f>
        <v>-45357</v>
      </c>
      <c r="BL314" s="6">
        <f>Grandview_Inventory[[#This Row],[Eff_Age]]*Lookups!$B$14</f>
        <v>-15545.829</v>
      </c>
      <c r="BM314" s="6">
        <f>Grandview_Inventory[[#This Row],[living_area]]*Lookups!$B$15</f>
        <v>114344.10354900001</v>
      </c>
      <c r="BN314" s="6">
        <f>Grandview_Inventory[[#This Row],[Fin BSMT]]*Lookups!$B$16</f>
        <v>0</v>
      </c>
      <c r="BO314" s="6">
        <f>(Grandview_Inventory[[#This Row],[att_gar]]+Grandview_Inventory[[#This Row],[bltin_gar]])*Lookups!$B$17</f>
        <v>0</v>
      </c>
      <c r="BP314" s="6">
        <f>Grandview_Inventory[[#This Row],[Plumbing Fixtures]]*Lookups!$B$18</f>
        <v>16083.5344</v>
      </c>
      <c r="BQ314" s="6">
        <f>Grandview_Inventory[[#This Row],[detatched_value]]*Lookups!$B$19</f>
        <v>0</v>
      </c>
      <c r="BR314" s="6">
        <f>SUM(Grandview_Inventory[[#This Row],[Intercept]:[det_value]])*Grandview_Inventory[[#This Row],[res_pct]]</f>
        <v>246126.75894900004</v>
      </c>
      <c r="BS314" s="6">
        <f>Grandview_Inventory[[#This Row],[land_value]]</f>
        <v>56480.857465963549</v>
      </c>
      <c r="BT314" s="4">
        <f>_xlfn.IFNA(VLOOKUP(Grandview_Inventory[[#This Row],[quality]],Lookups!$A$26:$C$33,3,FALSE),1)</f>
        <v>0.94960540378902636</v>
      </c>
      <c r="BU314" s="4">
        <f>_xlfn.IFNA(VLOOKUP(Grandview_Inventory[[#This Row],[condition]],Lookups!$A$37:$C$44,3,FALSE),1)</f>
        <v>0.97161819570155394</v>
      </c>
      <c r="BV314" s="4">
        <f>IF(Grandview_Inventory[[#This Row],[bldg_style]]="",1,_xlfn.IFNA(VLOOKUP(Grandview_Inventory[[#This Row],[decade]],Lookups!$F$29:$H$43,3,FALSE),1))</f>
        <v>0.9251738460551937</v>
      </c>
      <c r="BW314" s="4">
        <f>_xlfn.IFNA(VLOOKUP(Grandview_Inventory[[#This Row],[living_area_range]],Lookups!$F$47:$H$56,3,FALSE),1)</f>
        <v>0.96120133463014379</v>
      </c>
      <c r="BX314" s="4">
        <f>AVERAGE(Grandview_Inventory[[#This Row],[qual_adj]:[size_adj]])</f>
        <v>0.95189969504397953</v>
      </c>
      <c r="BY314" s="6">
        <f>IF(Grandview_Inventory[[#This Row],[pre_res]]&lt;0,0,Grandview_Inventory[[#This Row],[pre_res]]*Grandview_Inventory[[#This Row],[overall_adj]])</f>
        <v>234287.9867857162</v>
      </c>
      <c r="BZ314" s="6">
        <f>(Grandview_Inventory[[#This Row],[sum_land]]-IF(Grandview_Inventory[[#This Row],[no_utilities]]=1,12000,0))/IF(Grandview_Inventory[[#This Row],[unbuildable]]=1,2,1)</f>
        <v>56480.857465963549</v>
      </c>
      <c r="CA314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314">
        <f>ROUND(Grandview_Inventory[[#This Row],[det_value]]*Lookups!$M$28,-2)</f>
        <v>0</v>
      </c>
      <c r="CC314">
        <f>IF(ROUND(Grandview_Inventory[[#This Row],[adj_res]]*Lookups!$M$28,-2)&lt;Grandview_Inventory[[#This Row],[min_res]],Grandview_Inventory[[#This Row],[min_res]],ROUND(Grandview_Inventory[[#This Row],[adj_res]]*Lookups!$M$28,-2))</f>
        <v>222600</v>
      </c>
      <c r="CD314">
        <f>Grandview_Inventory[[#This Row],[final_det]]+Grandview_Inventory[[#This Row],[final_res]]</f>
        <v>222600</v>
      </c>
      <c r="CE314">
        <f>Grandview_Inventory[[#This Row],[final_land]]+Grandview_Inventory[[#This Row],[final_imp]]+Grandview_Inventory[[#This Row],[crop_value]]</f>
        <v>276300</v>
      </c>
      <c r="CG314" t="str">
        <f t="shared" si="4"/>
        <v>update valuation set market_land =53700, market_bldg=222600, market_total =276300, market_mdno =401, market_date ='9/10/2023' where link_id = (select link_id from parcel where parcel_year = '2024' and parcel_id = '23091443465');</v>
      </c>
    </row>
    <row r="315" spans="1:85" x14ac:dyDescent="0.25">
      <c r="A315">
        <v>23091444006</v>
      </c>
      <c r="B315">
        <v>0.24</v>
      </c>
      <c r="C315">
        <v>10492</v>
      </c>
      <c r="D315" t="s">
        <v>129</v>
      </c>
      <c r="E315" t="s">
        <v>53</v>
      </c>
      <c r="F315" t="s">
        <v>53</v>
      </c>
      <c r="G315">
        <v>4</v>
      </c>
      <c r="H315" t="s">
        <v>54</v>
      </c>
      <c r="I315">
        <v>85400</v>
      </c>
      <c r="J315">
        <v>39800</v>
      </c>
      <c r="K315">
        <v>0.24</v>
      </c>
      <c r="L31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315">
        <v>0</v>
      </c>
      <c r="N315">
        <v>0</v>
      </c>
      <c r="O315">
        <v>0</v>
      </c>
      <c r="P315">
        <v>13398.7528</v>
      </c>
      <c r="Q315">
        <v>63903</v>
      </c>
      <c r="R315">
        <f>(Grandview_Inventory[[#This Row],[ln_acres]]*Grandview_Inventory[[#This Row],[coeff]])+Grandview_Inventory[[#This Row],[const]]</f>
        <v>44781.420733940802</v>
      </c>
      <c r="S315" t="s">
        <v>85</v>
      </c>
      <c r="T315">
        <v>1</v>
      </c>
      <c r="U315" t="s">
        <v>70</v>
      </c>
      <c r="V315" t="s">
        <v>78</v>
      </c>
      <c r="W315">
        <v>0</v>
      </c>
      <c r="X315">
        <v>0</v>
      </c>
      <c r="Y315">
        <v>57</v>
      </c>
      <c r="Z315">
        <v>103</v>
      </c>
      <c r="AA315">
        <v>110</v>
      </c>
      <c r="AB315">
        <v>1500</v>
      </c>
      <c r="AC315">
        <v>1080</v>
      </c>
      <c r="AD315">
        <v>1080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204</v>
      </c>
      <c r="AO315">
        <v>0</v>
      </c>
      <c r="AP315">
        <v>5</v>
      </c>
      <c r="AQ315">
        <v>0</v>
      </c>
      <c r="AR315">
        <v>0</v>
      </c>
      <c r="AS315" t="s">
        <v>58</v>
      </c>
      <c r="AT315">
        <v>0</v>
      </c>
      <c r="AU315" t="s">
        <v>82</v>
      </c>
      <c r="AV315" t="s">
        <v>81</v>
      </c>
      <c r="AW315">
        <v>0</v>
      </c>
      <c r="AX315">
        <v>3</v>
      </c>
      <c r="AY315">
        <v>0</v>
      </c>
      <c r="AZ315">
        <v>0</v>
      </c>
      <c r="BA315">
        <v>100</v>
      </c>
      <c r="BB315">
        <v>100</v>
      </c>
      <c r="BC315">
        <v>100</v>
      </c>
      <c r="BD315">
        <v>100</v>
      </c>
      <c r="BE315">
        <v>1</v>
      </c>
      <c r="BF315">
        <v>15000</v>
      </c>
      <c r="BG315">
        <v>1000</v>
      </c>
      <c r="BH315" s="6">
        <f>Grandview_Inventory[[#This Row],[land_extract]]*Lookups!$B$3</f>
        <v>52004.542988489469</v>
      </c>
      <c r="BI315" s="6">
        <f>IF(Grandview_Inventory[[#This Row],[bldg_style]]="",0,Lookups!$B$2)</f>
        <v>155833.95000000001</v>
      </c>
      <c r="BJ315" s="6">
        <f>_xlfn.IFNA(VLOOKUP(Grandview_Inventory[[#This Row],[quality]],Lookups!$H$2:$J$14,3,FALSE),0)</f>
        <v>10733</v>
      </c>
      <c r="BK315" s="6">
        <f>_xlfn.IFNA(VLOOKUP(Grandview_Inventory[[#This Row],[condition]],Lookups!$H$17:$J$24,3,FALSE),0)</f>
        <v>-45357</v>
      </c>
      <c r="BL315" s="6">
        <f>Grandview_Inventory[[#This Row],[Eff_Age]]*Lookups!$B$14</f>
        <v>-13632.4962</v>
      </c>
      <c r="BM315" s="6">
        <f>Grandview_Inventory[[#This Row],[living_area]]*Lookups!$B$15</f>
        <v>67371.321240000005</v>
      </c>
      <c r="BN315" s="6">
        <f>Grandview_Inventory[[#This Row],[Fin BSMT]]*Lookups!$B$16</f>
        <v>0</v>
      </c>
      <c r="BO315" s="6">
        <f>(Grandview_Inventory[[#This Row],[att_gar]]+Grandview_Inventory[[#This Row],[bltin_gar]])*Lookups!$B$17</f>
        <v>0</v>
      </c>
      <c r="BP315" s="6">
        <f>Grandview_Inventory[[#This Row],[Plumbing Fixtures]]*Lookups!$B$18</f>
        <v>10052.209000000001</v>
      </c>
      <c r="BQ315" s="6">
        <f>Grandview_Inventory[[#This Row],[detatched_value]]*Lookups!$B$19</f>
        <v>0</v>
      </c>
      <c r="BR315" s="6">
        <f>SUM(Grandview_Inventory[[#This Row],[Intercept]:[det_value]])*Grandview_Inventory[[#This Row],[res_pct]]</f>
        <v>185000.98404000004</v>
      </c>
      <c r="BS315" s="6">
        <f>Grandview_Inventory[[#This Row],[land_value]]</f>
        <v>52004.542988489469</v>
      </c>
      <c r="BT315" s="4">
        <f>_xlfn.IFNA(VLOOKUP(Grandview_Inventory[[#This Row],[quality]],Lookups!$A$26:$C$33,3,FALSE),1)</f>
        <v>0.98079741117310582</v>
      </c>
      <c r="BU315" s="4">
        <f>_xlfn.IFNA(VLOOKUP(Grandview_Inventory[[#This Row],[condition]],Lookups!$A$37:$C$44,3,FALSE),1)</f>
        <v>0.97161819570155394</v>
      </c>
      <c r="BV315" s="4">
        <f>IF(Grandview_Inventory[[#This Row],[bldg_style]]="",1,_xlfn.IFNA(VLOOKUP(Grandview_Inventory[[#This Row],[decade]],Lookups!$F$29:$H$43,3,FALSE),1))</f>
        <v>0.92255236374249616</v>
      </c>
      <c r="BW315" s="4">
        <f>_xlfn.IFNA(VLOOKUP(Grandview_Inventory[[#This Row],[living_area_range]],Lookups!$F$47:$H$56,3,FALSE),1)</f>
        <v>0.96135087979789358</v>
      </c>
      <c r="BX315" s="4">
        <f>AVERAGE(Grandview_Inventory[[#This Row],[qual_adj]:[size_adj]])</f>
        <v>0.95907971260376235</v>
      </c>
      <c r="BY315" s="6">
        <f>IF(Grandview_Inventory[[#This Row],[pre_res]]&lt;0,0,Grandview_Inventory[[#This Row],[pre_res]]*Grandview_Inventory[[#This Row],[overall_adj]])</f>
        <v>177430.69060449646</v>
      </c>
      <c r="BZ315" s="6">
        <f>(Grandview_Inventory[[#This Row],[sum_land]]-IF(Grandview_Inventory[[#This Row],[no_utilities]]=1,12000,0))/IF(Grandview_Inventory[[#This Row],[unbuildable]]=1,2,1)</f>
        <v>52004.542988489469</v>
      </c>
      <c r="CA31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315">
        <f>ROUND(Grandview_Inventory[[#This Row],[det_value]]*Lookups!$M$28,-2)</f>
        <v>0</v>
      </c>
      <c r="CC315">
        <f>IF(ROUND(Grandview_Inventory[[#This Row],[adj_res]]*Lookups!$M$28,-2)&lt;Grandview_Inventory[[#This Row],[min_res]],Grandview_Inventory[[#This Row],[min_res]],ROUND(Grandview_Inventory[[#This Row],[adj_res]]*Lookups!$M$28,-2))</f>
        <v>168600</v>
      </c>
      <c r="CD315">
        <f>Grandview_Inventory[[#This Row],[final_det]]+Grandview_Inventory[[#This Row],[final_res]]</f>
        <v>168600</v>
      </c>
      <c r="CE315">
        <f>Grandview_Inventory[[#This Row],[final_land]]+Grandview_Inventory[[#This Row],[final_imp]]+Grandview_Inventory[[#This Row],[crop_value]]</f>
        <v>218000</v>
      </c>
      <c r="CG315" t="str">
        <f t="shared" si="4"/>
        <v>update valuation set market_land =49400, market_bldg=168600, market_total =218000, market_mdno =401, market_date ='9/10/2023' where link_id = (select link_id from parcel where parcel_year = '2024' and parcel_id = '23091444006');</v>
      </c>
    </row>
    <row r="316" spans="1:85" x14ac:dyDescent="0.25">
      <c r="A316">
        <v>23091444408</v>
      </c>
      <c r="B316">
        <v>0.19</v>
      </c>
      <c r="C316" t="s">
        <v>129</v>
      </c>
      <c r="D316" t="s">
        <v>129</v>
      </c>
      <c r="E316" t="s">
        <v>53</v>
      </c>
      <c r="F316" t="s">
        <v>53</v>
      </c>
      <c r="G316">
        <v>4</v>
      </c>
      <c r="H316" t="s">
        <v>54</v>
      </c>
      <c r="I316">
        <v>267400</v>
      </c>
      <c r="J316">
        <v>39100</v>
      </c>
      <c r="K316">
        <v>0.19</v>
      </c>
      <c r="L31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316">
        <v>0</v>
      </c>
      <c r="N316">
        <v>0</v>
      </c>
      <c r="O316">
        <v>0</v>
      </c>
      <c r="P316">
        <v>13398.7528</v>
      </c>
      <c r="Q316">
        <v>63903</v>
      </c>
      <c r="R316">
        <f>(Grandview_Inventory[[#This Row],[ln_acres]]*Grandview_Inventory[[#This Row],[coeff]])+Grandview_Inventory[[#This Row],[const]]</f>
        <v>41651.273092551026</v>
      </c>
      <c r="S316" t="s">
        <v>130</v>
      </c>
      <c r="T316">
        <v>2</v>
      </c>
      <c r="U316" t="s">
        <v>72</v>
      </c>
      <c r="V316" t="s">
        <v>57</v>
      </c>
      <c r="W316">
        <v>78400</v>
      </c>
      <c r="X316">
        <v>0</v>
      </c>
      <c r="Y316">
        <v>2</v>
      </c>
      <c r="Z316">
        <v>2</v>
      </c>
      <c r="AA316">
        <v>10</v>
      </c>
      <c r="AB316">
        <v>2500</v>
      </c>
      <c r="AC316">
        <v>2026</v>
      </c>
      <c r="AD316">
        <v>1476</v>
      </c>
      <c r="AE316">
        <v>550</v>
      </c>
      <c r="AF316">
        <v>0</v>
      </c>
      <c r="AG316">
        <v>0</v>
      </c>
      <c r="AH316">
        <v>0</v>
      </c>
      <c r="AI316">
        <v>506</v>
      </c>
      <c r="AJ316">
        <v>0</v>
      </c>
      <c r="AK316">
        <v>0</v>
      </c>
      <c r="AL316">
        <v>0</v>
      </c>
      <c r="AM316">
        <v>0</v>
      </c>
      <c r="AN316">
        <v>480</v>
      </c>
      <c r="AO316">
        <v>0</v>
      </c>
      <c r="AP316">
        <v>14</v>
      </c>
      <c r="AQ316">
        <v>0</v>
      </c>
      <c r="AR316">
        <v>0</v>
      </c>
      <c r="AS316" t="s">
        <v>58</v>
      </c>
      <c r="AT316">
        <v>1</v>
      </c>
      <c r="AU316" t="s">
        <v>59</v>
      </c>
      <c r="AV316" t="s">
        <v>60</v>
      </c>
      <c r="AW316">
        <v>1</v>
      </c>
      <c r="AX316">
        <v>3</v>
      </c>
      <c r="AY316">
        <v>0</v>
      </c>
      <c r="AZ316">
        <v>0</v>
      </c>
      <c r="BA316">
        <v>100</v>
      </c>
      <c r="BB316">
        <v>100</v>
      </c>
      <c r="BC316">
        <v>100</v>
      </c>
      <c r="BD316">
        <v>100</v>
      </c>
      <c r="BE316">
        <v>1</v>
      </c>
      <c r="BF316">
        <v>15000</v>
      </c>
      <c r="BG316">
        <v>1000</v>
      </c>
      <c r="BH316" s="6">
        <f>Grandview_Inventory[[#This Row],[land_extract]]*Lookups!$B$3</f>
        <v>48369.510983942157</v>
      </c>
      <c r="BI316" s="6">
        <f>IF(Grandview_Inventory[[#This Row],[bldg_style]]="",0,Lookups!$B$2)</f>
        <v>155833.95000000001</v>
      </c>
      <c r="BJ316" s="6">
        <f>_xlfn.IFNA(VLOOKUP(Grandview_Inventory[[#This Row],[quality]],Lookups!$H$2:$J$14,3,FALSE),0)</f>
        <v>78466</v>
      </c>
      <c r="BK316" s="6">
        <f>_xlfn.IFNA(VLOOKUP(Grandview_Inventory[[#This Row],[condition]],Lookups!$H$17:$J$24,3,FALSE),0)</f>
        <v>25780</v>
      </c>
      <c r="BL316" s="6">
        <f>Grandview_Inventory[[#This Row],[Eff_Age]]*Lookups!$B$14</f>
        <v>-478.33319999999998</v>
      </c>
      <c r="BM316" s="6">
        <f>Grandview_Inventory[[#This Row],[living_area]]*Lookups!$B$15</f>
        <v>126383.60817800001</v>
      </c>
      <c r="BN316" s="6">
        <f>Grandview_Inventory[[#This Row],[Fin BSMT]]*Lookups!$B$16</f>
        <v>0</v>
      </c>
      <c r="BO316" s="6">
        <f>(Grandview_Inventory[[#This Row],[att_gar]]+Grandview_Inventory[[#This Row],[bltin_gar]])*Lookups!$B$17</f>
        <v>44285.341121999998</v>
      </c>
      <c r="BP316" s="6">
        <f>Grandview_Inventory[[#This Row],[Plumbing Fixtures]]*Lookups!$B$18</f>
        <v>28146.1852</v>
      </c>
      <c r="BQ316" s="6">
        <f>Grandview_Inventory[[#This Row],[detatched_value]]*Lookups!$B$19</f>
        <v>0</v>
      </c>
      <c r="BR316" s="6">
        <f>SUM(Grandview_Inventory[[#This Row],[Intercept]:[det_value]])*Grandview_Inventory[[#This Row],[res_pct]]</f>
        <v>458416.75130000006</v>
      </c>
      <c r="BS316" s="6">
        <f>Grandview_Inventory[[#This Row],[land_value]]</f>
        <v>48369.510983942157</v>
      </c>
      <c r="BT316" s="4">
        <f>_xlfn.IFNA(VLOOKUP(Grandview_Inventory[[#This Row],[quality]],Lookups!$A$26:$C$33,3,FALSE),1)</f>
        <v>1.0000000683533434</v>
      </c>
      <c r="BU316" s="4">
        <f>_xlfn.IFNA(VLOOKUP(Grandview_Inventory[[#This Row],[condition]],Lookups!$A$37:$C$44,3,FALSE),1)</f>
        <v>0.94347925387812148</v>
      </c>
      <c r="BV316" s="4">
        <f>IF(Grandview_Inventory[[#This Row],[bldg_style]]="",1,_xlfn.IFNA(VLOOKUP(Grandview_Inventory[[#This Row],[decade]],Lookups!$F$29:$H$43,3,FALSE),1))</f>
        <v>0.94601966599150278</v>
      </c>
      <c r="BW316" s="4">
        <f>_xlfn.IFNA(VLOOKUP(Grandview_Inventory[[#This Row],[living_area_range]],Lookups!$F$47:$H$56,3,FALSE),1)</f>
        <v>0.95799442568048754</v>
      </c>
      <c r="BX316" s="4">
        <f>AVERAGE(Grandview_Inventory[[#This Row],[qual_adj]:[size_adj]])</f>
        <v>0.96187335347586389</v>
      </c>
      <c r="BY316" s="6">
        <f>IF(Grandview_Inventory[[#This Row],[pre_res]]&lt;0,0,Grandview_Inventory[[#This Row],[pre_res]]*Grandview_Inventory[[#This Row],[overall_adj]])</f>
        <v>440938.85786244215</v>
      </c>
      <c r="BZ316" s="6">
        <f>(Grandview_Inventory[[#This Row],[sum_land]]-IF(Grandview_Inventory[[#This Row],[no_utilities]]=1,12000,0))/IF(Grandview_Inventory[[#This Row],[unbuildable]]=1,2,1)</f>
        <v>48369.510983942157</v>
      </c>
      <c r="CA31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316">
        <f>ROUND(Grandview_Inventory[[#This Row],[det_value]]*Lookups!$M$28,-2)</f>
        <v>0</v>
      </c>
      <c r="CC316">
        <f>IF(ROUND(Grandview_Inventory[[#This Row],[adj_res]]*Lookups!$M$28,-2)&lt;Grandview_Inventory[[#This Row],[min_res]],Grandview_Inventory[[#This Row],[min_res]],ROUND(Grandview_Inventory[[#This Row],[adj_res]]*Lookups!$M$28,-2))</f>
        <v>418900</v>
      </c>
      <c r="CD316">
        <f>Grandview_Inventory[[#This Row],[final_det]]+Grandview_Inventory[[#This Row],[final_res]]</f>
        <v>418900</v>
      </c>
      <c r="CE316">
        <f>Grandview_Inventory[[#This Row],[final_land]]+Grandview_Inventory[[#This Row],[final_imp]]+Grandview_Inventory[[#This Row],[crop_value]]</f>
        <v>464900</v>
      </c>
      <c r="CG316" t="str">
        <f t="shared" si="4"/>
        <v>update valuation set market_land =46000, market_bldg=418900, market_total =464900, market_mdno =401, market_date ='9/10/2023' where link_id = (select link_id from parcel where parcel_year = '2024' and parcel_id = '23091444408');</v>
      </c>
    </row>
    <row r="317" spans="1:85" x14ac:dyDescent="0.25">
      <c r="A317">
        <v>23091444409</v>
      </c>
      <c r="B317">
        <v>0.21</v>
      </c>
      <c r="C317" t="s">
        <v>129</v>
      </c>
      <c r="D317" t="s">
        <v>129</v>
      </c>
      <c r="E317" t="s">
        <v>53</v>
      </c>
      <c r="F317" t="s">
        <v>53</v>
      </c>
      <c r="G317">
        <v>4</v>
      </c>
      <c r="H317" t="s">
        <v>54</v>
      </c>
      <c r="I317">
        <v>282500</v>
      </c>
      <c r="J317">
        <v>39300</v>
      </c>
      <c r="K317">
        <v>0.21</v>
      </c>
      <c r="L31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17">
        <v>0</v>
      </c>
      <c r="N317">
        <v>0</v>
      </c>
      <c r="O317">
        <v>0</v>
      </c>
      <c r="P317">
        <v>13398.7528</v>
      </c>
      <c r="Q317">
        <v>63903</v>
      </c>
      <c r="R317">
        <f>(Grandview_Inventory[[#This Row],[ln_acres]]*Grandview_Inventory[[#This Row],[coeff]])+Grandview_Inventory[[#This Row],[const]]</f>
        <v>42992.266613125081</v>
      </c>
      <c r="S317" t="s">
        <v>130</v>
      </c>
      <c r="T317">
        <v>2</v>
      </c>
      <c r="U317" t="s">
        <v>56</v>
      </c>
      <c r="V317" t="s">
        <v>57</v>
      </c>
      <c r="W317">
        <v>30700</v>
      </c>
      <c r="X317">
        <v>0</v>
      </c>
      <c r="Y317">
        <v>1</v>
      </c>
      <c r="Z317">
        <v>1</v>
      </c>
      <c r="AA317">
        <v>10</v>
      </c>
      <c r="AB317">
        <v>2500</v>
      </c>
      <c r="AC317">
        <v>2100</v>
      </c>
      <c r="AD317">
        <v>1902</v>
      </c>
      <c r="AE317">
        <v>198</v>
      </c>
      <c r="AF317">
        <v>0</v>
      </c>
      <c r="AG317">
        <v>0</v>
      </c>
      <c r="AH317">
        <v>0</v>
      </c>
      <c r="AI317">
        <v>0</v>
      </c>
      <c r="AJ317">
        <v>484</v>
      </c>
      <c r="AK317">
        <v>0</v>
      </c>
      <c r="AL317">
        <v>0</v>
      </c>
      <c r="AM317">
        <v>328</v>
      </c>
      <c r="AN317">
        <v>102</v>
      </c>
      <c r="AO317">
        <v>0</v>
      </c>
      <c r="AP317">
        <v>10</v>
      </c>
      <c r="AQ317">
        <v>0</v>
      </c>
      <c r="AR317">
        <v>1</v>
      </c>
      <c r="AS317" t="s">
        <v>58</v>
      </c>
      <c r="AT317">
        <v>1</v>
      </c>
      <c r="AU317" t="s">
        <v>59</v>
      </c>
      <c r="AV317" t="s">
        <v>60</v>
      </c>
      <c r="AW317">
        <v>1</v>
      </c>
      <c r="AX317">
        <v>3</v>
      </c>
      <c r="AY317">
        <v>0</v>
      </c>
      <c r="AZ317">
        <v>0</v>
      </c>
      <c r="BA317">
        <v>100</v>
      </c>
      <c r="BB317">
        <v>100</v>
      </c>
      <c r="BC317">
        <v>100</v>
      </c>
      <c r="BD317">
        <v>100</v>
      </c>
      <c r="BE317">
        <v>1</v>
      </c>
      <c r="BF317">
        <v>15000</v>
      </c>
      <c r="BG317">
        <v>1000</v>
      </c>
      <c r="BH317" s="6">
        <f>Grandview_Inventory[[#This Row],[land_extract]]*Lookups!$B$3</f>
        <v>49926.8031387023</v>
      </c>
      <c r="BI317" s="6">
        <f>IF(Grandview_Inventory[[#This Row],[bldg_style]]="",0,Lookups!$B$2)</f>
        <v>155833.95000000001</v>
      </c>
      <c r="BJ317" s="6">
        <f>_xlfn.IFNA(VLOOKUP(Grandview_Inventory[[#This Row],[quality]],Lookups!$H$2:$J$14,3,FALSE),0)</f>
        <v>56323</v>
      </c>
      <c r="BK317" s="6">
        <f>_xlfn.IFNA(VLOOKUP(Grandview_Inventory[[#This Row],[condition]],Lookups!$H$17:$J$24,3,FALSE),0)</f>
        <v>25780</v>
      </c>
      <c r="BL317" s="6">
        <f>Grandview_Inventory[[#This Row],[Eff_Age]]*Lookups!$B$14</f>
        <v>-239.16659999999999</v>
      </c>
      <c r="BM317" s="6">
        <f>Grandview_Inventory[[#This Row],[living_area]]*Lookups!$B$15</f>
        <v>130999.7913</v>
      </c>
      <c r="BN317" s="6">
        <f>Grandview_Inventory[[#This Row],[Fin BSMT]]*Lookups!$B$16</f>
        <v>0</v>
      </c>
      <c r="BO317" s="6">
        <f>(Grandview_Inventory[[#This Row],[att_gar]]+Grandview_Inventory[[#This Row],[bltin_gar]])*Lookups!$B$17</f>
        <v>42359.891508000001</v>
      </c>
      <c r="BP317" s="6">
        <f>Grandview_Inventory[[#This Row],[Plumbing Fixtures]]*Lookups!$B$18</f>
        <v>20104.418000000001</v>
      </c>
      <c r="BQ317" s="6">
        <f>Grandview_Inventory[[#This Row],[detatched_value]]*Lookups!$B$19</f>
        <v>0</v>
      </c>
      <c r="BR317" s="6">
        <f>SUM(Grandview_Inventory[[#This Row],[Intercept]:[det_value]])*Grandview_Inventory[[#This Row],[res_pct]]</f>
        <v>431161.88420799997</v>
      </c>
      <c r="BS317" s="6">
        <f>Grandview_Inventory[[#This Row],[land_value]]</f>
        <v>49926.8031387023</v>
      </c>
      <c r="BT317" s="4">
        <f>_xlfn.IFNA(VLOOKUP(Grandview_Inventory[[#This Row],[quality]],Lookups!$A$26:$C$33,3,FALSE),1)</f>
        <v>0.76437650671582003</v>
      </c>
      <c r="BU317" s="4">
        <f>_xlfn.IFNA(VLOOKUP(Grandview_Inventory[[#This Row],[condition]],Lookups!$A$37:$C$44,3,FALSE),1)</f>
        <v>0.94347925387812148</v>
      </c>
      <c r="BV317" s="4">
        <f>IF(Grandview_Inventory[[#This Row],[bldg_style]]="",1,_xlfn.IFNA(VLOOKUP(Grandview_Inventory[[#This Row],[decade]],Lookups!$F$29:$H$43,3,FALSE),1))</f>
        <v>0.94601966599150278</v>
      </c>
      <c r="BW317" s="4">
        <f>_xlfn.IFNA(VLOOKUP(Grandview_Inventory[[#This Row],[living_area_range]],Lookups!$F$47:$H$56,3,FALSE),1)</f>
        <v>0.95799442568048754</v>
      </c>
      <c r="BX317" s="4">
        <f>AVERAGE(Grandview_Inventory[[#This Row],[qual_adj]:[size_adj]])</f>
        <v>0.90296746306648301</v>
      </c>
      <c r="BY317" s="6">
        <f>IF(Grandview_Inventory[[#This Row],[pre_res]]&lt;0,0,Grandview_Inventory[[#This Row],[pre_res]]*Grandview_Inventory[[#This Row],[overall_adj]])</f>
        <v>389325.15275426244</v>
      </c>
      <c r="BZ317" s="6">
        <f>(Grandview_Inventory[[#This Row],[sum_land]]-IF(Grandview_Inventory[[#This Row],[no_utilities]]=1,12000,0))/IF(Grandview_Inventory[[#This Row],[unbuildable]]=1,2,1)</f>
        <v>49926.8031387023</v>
      </c>
      <c r="CA31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17">
        <f>ROUND(Grandview_Inventory[[#This Row],[det_value]]*Lookups!$M$28,-2)</f>
        <v>0</v>
      </c>
      <c r="CC317">
        <f>IF(ROUND(Grandview_Inventory[[#This Row],[adj_res]]*Lookups!$M$28,-2)&lt;Grandview_Inventory[[#This Row],[min_res]],Grandview_Inventory[[#This Row],[min_res]],ROUND(Grandview_Inventory[[#This Row],[adj_res]]*Lookups!$M$28,-2))</f>
        <v>369900</v>
      </c>
      <c r="CD317">
        <f>Grandview_Inventory[[#This Row],[final_det]]+Grandview_Inventory[[#This Row],[final_res]]</f>
        <v>369900</v>
      </c>
      <c r="CE317">
        <f>Grandview_Inventory[[#This Row],[final_land]]+Grandview_Inventory[[#This Row],[final_imp]]+Grandview_Inventory[[#This Row],[crop_value]]</f>
        <v>417300</v>
      </c>
      <c r="CG317" t="str">
        <f t="shared" si="4"/>
        <v>update valuation set market_land =47400, market_bldg=369900, market_total =417300, market_mdno =401, market_date ='9/10/2023' where link_id = (select link_id from parcel where parcel_year = '2024' and parcel_id = '23091444409');</v>
      </c>
    </row>
    <row r="318" spans="1:85" x14ac:dyDescent="0.25">
      <c r="A318">
        <v>23091444410</v>
      </c>
      <c r="B318">
        <v>0.21</v>
      </c>
      <c r="C318" t="s">
        <v>129</v>
      </c>
      <c r="D318" t="s">
        <v>129</v>
      </c>
      <c r="E318" t="s">
        <v>53</v>
      </c>
      <c r="F318" t="s">
        <v>53</v>
      </c>
      <c r="G318">
        <v>4</v>
      </c>
      <c r="H318" t="s">
        <v>54</v>
      </c>
      <c r="I318">
        <v>297500</v>
      </c>
      <c r="J318">
        <v>39300</v>
      </c>
      <c r="K318">
        <v>0.21</v>
      </c>
      <c r="L31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18">
        <v>0</v>
      </c>
      <c r="N318">
        <v>0</v>
      </c>
      <c r="O318">
        <v>0</v>
      </c>
      <c r="P318">
        <v>13398.7528</v>
      </c>
      <c r="Q318">
        <v>63903</v>
      </c>
      <c r="R318">
        <f>(Grandview_Inventory[[#This Row],[ln_acres]]*Grandview_Inventory[[#This Row],[coeff]])+Grandview_Inventory[[#This Row],[const]]</f>
        <v>42992.266613125081</v>
      </c>
      <c r="S318" t="s">
        <v>58</v>
      </c>
      <c r="T318">
        <v>1</v>
      </c>
      <c r="U318" t="s">
        <v>64</v>
      </c>
      <c r="V318" t="s">
        <v>57</v>
      </c>
      <c r="W318">
        <v>0</v>
      </c>
      <c r="X318">
        <v>0</v>
      </c>
      <c r="Y318">
        <v>4</v>
      </c>
      <c r="Z318">
        <v>4</v>
      </c>
      <c r="AA318">
        <v>10</v>
      </c>
      <c r="AB318">
        <v>2000</v>
      </c>
      <c r="AC318">
        <v>1855</v>
      </c>
      <c r="AD318">
        <v>1855</v>
      </c>
      <c r="AE318">
        <v>0</v>
      </c>
      <c r="AF318">
        <v>0</v>
      </c>
      <c r="AG318">
        <v>0</v>
      </c>
      <c r="AH318">
        <v>0</v>
      </c>
      <c r="AI318">
        <v>399</v>
      </c>
      <c r="AJ318">
        <v>0</v>
      </c>
      <c r="AK318">
        <v>0</v>
      </c>
      <c r="AL318">
        <v>253</v>
      </c>
      <c r="AM318">
        <v>0</v>
      </c>
      <c r="AN318">
        <v>45</v>
      </c>
      <c r="AO318">
        <v>0</v>
      </c>
      <c r="AP318">
        <v>10</v>
      </c>
      <c r="AQ318">
        <v>0</v>
      </c>
      <c r="AR318">
        <v>0</v>
      </c>
      <c r="AS318" t="s">
        <v>58</v>
      </c>
      <c r="AT318">
        <v>1</v>
      </c>
      <c r="AU318" t="s">
        <v>59</v>
      </c>
      <c r="AV318" t="s">
        <v>60</v>
      </c>
      <c r="AW318">
        <v>1</v>
      </c>
      <c r="AX318">
        <v>4</v>
      </c>
      <c r="AY318">
        <v>0</v>
      </c>
      <c r="AZ318">
        <v>0</v>
      </c>
      <c r="BA318">
        <v>100</v>
      </c>
      <c r="BB318">
        <v>100</v>
      </c>
      <c r="BC318">
        <v>100</v>
      </c>
      <c r="BD318">
        <v>100</v>
      </c>
      <c r="BE318">
        <v>1</v>
      </c>
      <c r="BF318">
        <v>15000</v>
      </c>
      <c r="BG318">
        <v>1000</v>
      </c>
      <c r="BH318" s="6">
        <f>Grandview_Inventory[[#This Row],[land_extract]]*Lookups!$B$3</f>
        <v>49926.8031387023</v>
      </c>
      <c r="BI318" s="6">
        <f>IF(Grandview_Inventory[[#This Row],[bldg_style]]="",0,Lookups!$B$2)</f>
        <v>155833.95000000001</v>
      </c>
      <c r="BJ318" s="6">
        <f>_xlfn.IFNA(VLOOKUP(Grandview_Inventory[[#This Row],[quality]],Lookups!$H$2:$J$14,3,FALSE),0)</f>
        <v>20768</v>
      </c>
      <c r="BK318" s="6">
        <f>_xlfn.IFNA(VLOOKUP(Grandview_Inventory[[#This Row],[condition]],Lookups!$H$17:$J$24,3,FALSE),0)</f>
        <v>25780</v>
      </c>
      <c r="BL318" s="6">
        <f>Grandview_Inventory[[#This Row],[Eff_Age]]*Lookups!$B$14</f>
        <v>-956.66639999999995</v>
      </c>
      <c r="BM318" s="6">
        <f>Grandview_Inventory[[#This Row],[living_area]]*Lookups!$B$15</f>
        <v>115716.482315</v>
      </c>
      <c r="BN318" s="6">
        <f>Grandview_Inventory[[#This Row],[Fin BSMT]]*Lookups!$B$16</f>
        <v>0</v>
      </c>
      <c r="BO318" s="6">
        <f>(Grandview_Inventory[[#This Row],[att_gar]]+Grandview_Inventory[[#This Row],[bltin_gar]])*Lookups!$B$17</f>
        <v>34920.654363000001</v>
      </c>
      <c r="BP318" s="6">
        <f>Grandview_Inventory[[#This Row],[Plumbing Fixtures]]*Lookups!$B$18</f>
        <v>20104.418000000001</v>
      </c>
      <c r="BQ318" s="6">
        <f>Grandview_Inventory[[#This Row],[detatched_value]]*Lookups!$B$19</f>
        <v>0</v>
      </c>
      <c r="BR318" s="6">
        <f>SUM(Grandview_Inventory[[#This Row],[Intercept]:[det_value]])*Grandview_Inventory[[#This Row],[res_pct]]</f>
        <v>372166.83827800001</v>
      </c>
      <c r="BS318" s="6">
        <f>Grandview_Inventory[[#This Row],[land_value]]</f>
        <v>49926.8031387023</v>
      </c>
      <c r="BT318" s="4">
        <f>_xlfn.IFNA(VLOOKUP(Grandview_Inventory[[#This Row],[quality]],Lookups!$A$26:$C$33,3,FALSE),1)</f>
        <v>0.94960540378902636</v>
      </c>
      <c r="BU318" s="4">
        <f>_xlfn.IFNA(VLOOKUP(Grandview_Inventory[[#This Row],[condition]],Lookups!$A$37:$C$44,3,FALSE),1)</f>
        <v>0.94347925387812148</v>
      </c>
      <c r="BV318" s="4">
        <f>IF(Grandview_Inventory[[#This Row],[bldg_style]]="",1,_xlfn.IFNA(VLOOKUP(Grandview_Inventory[[#This Row],[decade]],Lookups!$F$29:$H$43,3,FALSE),1))</f>
        <v>0.94601966599150278</v>
      </c>
      <c r="BW318" s="4">
        <f>_xlfn.IFNA(VLOOKUP(Grandview_Inventory[[#This Row],[living_area_range]],Lookups!$F$47:$H$56,3,FALSE),1)</f>
        <v>0.96120133463014379</v>
      </c>
      <c r="BX318" s="4">
        <f>AVERAGE(Grandview_Inventory[[#This Row],[qual_adj]:[size_adj]])</f>
        <v>0.95007641457219871</v>
      </c>
      <c r="BY318" s="6">
        <f>IF(Grandview_Inventory[[#This Row],[pre_res]]&lt;0,0,Grandview_Inventory[[#This Row],[pre_res]]*Grandview_Inventory[[#This Row],[overall_adj]])</f>
        <v>353586.93533383356</v>
      </c>
      <c r="BZ318" s="6">
        <f>(Grandview_Inventory[[#This Row],[sum_land]]-IF(Grandview_Inventory[[#This Row],[no_utilities]]=1,12000,0))/IF(Grandview_Inventory[[#This Row],[unbuildable]]=1,2,1)</f>
        <v>49926.8031387023</v>
      </c>
      <c r="CA31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18">
        <f>ROUND(Grandview_Inventory[[#This Row],[det_value]]*Lookups!$M$28,-2)</f>
        <v>0</v>
      </c>
      <c r="CC318">
        <f>IF(ROUND(Grandview_Inventory[[#This Row],[adj_res]]*Lookups!$M$28,-2)&lt;Grandview_Inventory[[#This Row],[min_res]],Grandview_Inventory[[#This Row],[min_res]],ROUND(Grandview_Inventory[[#This Row],[adj_res]]*Lookups!$M$28,-2))</f>
        <v>335900</v>
      </c>
      <c r="CD318">
        <f>Grandview_Inventory[[#This Row],[final_det]]+Grandview_Inventory[[#This Row],[final_res]]</f>
        <v>335900</v>
      </c>
      <c r="CE318">
        <f>Grandview_Inventory[[#This Row],[final_land]]+Grandview_Inventory[[#This Row],[final_imp]]+Grandview_Inventory[[#This Row],[crop_value]]</f>
        <v>383300</v>
      </c>
      <c r="CG318" t="str">
        <f t="shared" si="4"/>
        <v>update valuation set market_land =47400, market_bldg=335900, market_total =383300, market_mdno =401, market_date ='9/10/2023' where link_id = (select link_id from parcel where parcel_year = '2024' and parcel_id = '23091444410');</v>
      </c>
    </row>
    <row r="319" spans="1:85" x14ac:dyDescent="0.25">
      <c r="A319">
        <v>23091444411</v>
      </c>
      <c r="B319">
        <v>0.21</v>
      </c>
      <c r="C319" t="s">
        <v>129</v>
      </c>
      <c r="D319" t="s">
        <v>129</v>
      </c>
      <c r="E319" t="s">
        <v>53</v>
      </c>
      <c r="F319" t="s">
        <v>53</v>
      </c>
      <c r="G319">
        <v>4</v>
      </c>
      <c r="H319" t="s">
        <v>54</v>
      </c>
      <c r="I319">
        <v>296700</v>
      </c>
      <c r="J319">
        <v>39300</v>
      </c>
      <c r="K319">
        <v>0.21</v>
      </c>
      <c r="L31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19">
        <v>0</v>
      </c>
      <c r="N319">
        <v>0</v>
      </c>
      <c r="O319">
        <v>0</v>
      </c>
      <c r="P319">
        <v>13398.7528</v>
      </c>
      <c r="Q319">
        <v>63903</v>
      </c>
      <c r="R319">
        <f>(Grandview_Inventory[[#This Row],[ln_acres]]*Grandview_Inventory[[#This Row],[coeff]])+Grandview_Inventory[[#This Row],[const]]</f>
        <v>42992.266613125081</v>
      </c>
      <c r="S319" t="s">
        <v>55</v>
      </c>
      <c r="T319">
        <v>1</v>
      </c>
      <c r="U319" t="s">
        <v>64</v>
      </c>
      <c r="V319" t="s">
        <v>57</v>
      </c>
      <c r="W319">
        <v>0</v>
      </c>
      <c r="X319">
        <v>0</v>
      </c>
      <c r="Y319">
        <v>3</v>
      </c>
      <c r="Z319">
        <v>3</v>
      </c>
      <c r="AA319">
        <v>10</v>
      </c>
      <c r="AB319">
        <v>2000</v>
      </c>
      <c r="AC319">
        <v>1855</v>
      </c>
      <c r="AD319">
        <v>1855</v>
      </c>
      <c r="AE319">
        <v>0</v>
      </c>
      <c r="AF319">
        <v>0</v>
      </c>
      <c r="AG319">
        <v>0</v>
      </c>
      <c r="AH319">
        <v>0</v>
      </c>
      <c r="AI319">
        <v>399</v>
      </c>
      <c r="AJ319">
        <v>0</v>
      </c>
      <c r="AK319">
        <v>0</v>
      </c>
      <c r="AL319">
        <v>253</v>
      </c>
      <c r="AM319">
        <v>0</v>
      </c>
      <c r="AN319">
        <v>36</v>
      </c>
      <c r="AO319">
        <v>0</v>
      </c>
      <c r="AP319">
        <v>10</v>
      </c>
      <c r="AQ319">
        <v>0</v>
      </c>
      <c r="AR319">
        <v>0</v>
      </c>
      <c r="AS319" t="s">
        <v>58</v>
      </c>
      <c r="AT319">
        <v>1</v>
      </c>
      <c r="AU319" t="s">
        <v>59</v>
      </c>
      <c r="AV319" t="s">
        <v>60</v>
      </c>
      <c r="AW319">
        <v>1</v>
      </c>
      <c r="AX319">
        <v>3</v>
      </c>
      <c r="AY319">
        <v>0</v>
      </c>
      <c r="AZ319">
        <v>0</v>
      </c>
      <c r="BA319">
        <v>100</v>
      </c>
      <c r="BB319">
        <v>100</v>
      </c>
      <c r="BC319">
        <v>100</v>
      </c>
      <c r="BD319">
        <v>100</v>
      </c>
      <c r="BE319">
        <v>1</v>
      </c>
      <c r="BF319">
        <v>15000</v>
      </c>
      <c r="BG319">
        <v>1000</v>
      </c>
      <c r="BH319" s="6">
        <f>Grandview_Inventory[[#This Row],[land_extract]]*Lookups!$B$3</f>
        <v>49926.8031387023</v>
      </c>
      <c r="BI319" s="6">
        <f>IF(Grandview_Inventory[[#This Row],[bldg_style]]="",0,Lookups!$B$2)</f>
        <v>155833.95000000001</v>
      </c>
      <c r="BJ319" s="6">
        <f>_xlfn.IFNA(VLOOKUP(Grandview_Inventory[[#This Row],[quality]],Lookups!$H$2:$J$14,3,FALSE),0)</f>
        <v>20768</v>
      </c>
      <c r="BK319" s="6">
        <f>_xlfn.IFNA(VLOOKUP(Grandview_Inventory[[#This Row],[condition]],Lookups!$H$17:$J$24,3,FALSE),0)</f>
        <v>25780</v>
      </c>
      <c r="BL319" s="6">
        <f>Grandview_Inventory[[#This Row],[Eff_Age]]*Lookups!$B$14</f>
        <v>-717.49979999999994</v>
      </c>
      <c r="BM319" s="6">
        <f>Grandview_Inventory[[#This Row],[living_area]]*Lookups!$B$15</f>
        <v>115716.482315</v>
      </c>
      <c r="BN319" s="6">
        <f>Grandview_Inventory[[#This Row],[Fin BSMT]]*Lookups!$B$16</f>
        <v>0</v>
      </c>
      <c r="BO319" s="6">
        <f>(Grandview_Inventory[[#This Row],[att_gar]]+Grandview_Inventory[[#This Row],[bltin_gar]])*Lookups!$B$17</f>
        <v>34920.654363000001</v>
      </c>
      <c r="BP319" s="6">
        <f>Grandview_Inventory[[#This Row],[Plumbing Fixtures]]*Lookups!$B$18</f>
        <v>20104.418000000001</v>
      </c>
      <c r="BQ319" s="6">
        <f>Grandview_Inventory[[#This Row],[detatched_value]]*Lookups!$B$19</f>
        <v>0</v>
      </c>
      <c r="BR319" s="6">
        <f>SUM(Grandview_Inventory[[#This Row],[Intercept]:[det_value]])*Grandview_Inventory[[#This Row],[res_pct]]</f>
        <v>372406.00487800001</v>
      </c>
      <c r="BS319" s="6">
        <f>Grandview_Inventory[[#This Row],[land_value]]</f>
        <v>49926.8031387023</v>
      </c>
      <c r="BT319" s="4">
        <f>_xlfn.IFNA(VLOOKUP(Grandview_Inventory[[#This Row],[quality]],Lookups!$A$26:$C$33,3,FALSE),1)</f>
        <v>0.94960540378902636</v>
      </c>
      <c r="BU319" s="4">
        <f>_xlfn.IFNA(VLOOKUP(Grandview_Inventory[[#This Row],[condition]],Lookups!$A$37:$C$44,3,FALSE),1)</f>
        <v>0.94347925387812148</v>
      </c>
      <c r="BV319" s="4">
        <f>IF(Grandview_Inventory[[#This Row],[bldg_style]]="",1,_xlfn.IFNA(VLOOKUP(Grandview_Inventory[[#This Row],[decade]],Lookups!$F$29:$H$43,3,FALSE),1))</f>
        <v>0.94601966599150278</v>
      </c>
      <c r="BW319" s="4">
        <f>_xlfn.IFNA(VLOOKUP(Grandview_Inventory[[#This Row],[living_area_range]],Lookups!$F$47:$H$56,3,FALSE),1)</f>
        <v>0.96120133463014379</v>
      </c>
      <c r="BX319" s="4">
        <f>AVERAGE(Grandview_Inventory[[#This Row],[qual_adj]:[size_adj]])</f>
        <v>0.95007641457219871</v>
      </c>
      <c r="BY319" s="6">
        <f>IF(Grandview_Inventory[[#This Row],[pre_res]]&lt;0,0,Grandview_Inventory[[#This Row],[pre_res]]*Grandview_Inventory[[#This Row],[overall_adj]])</f>
        <v>353814.161879647</v>
      </c>
      <c r="BZ319" s="6">
        <f>(Grandview_Inventory[[#This Row],[sum_land]]-IF(Grandview_Inventory[[#This Row],[no_utilities]]=1,12000,0))/IF(Grandview_Inventory[[#This Row],[unbuildable]]=1,2,1)</f>
        <v>49926.8031387023</v>
      </c>
      <c r="CA31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19">
        <f>ROUND(Grandview_Inventory[[#This Row],[det_value]]*Lookups!$M$28,-2)</f>
        <v>0</v>
      </c>
      <c r="CC319">
        <f>IF(ROUND(Grandview_Inventory[[#This Row],[adj_res]]*Lookups!$M$28,-2)&lt;Grandview_Inventory[[#This Row],[min_res]],Grandview_Inventory[[#This Row],[min_res]],ROUND(Grandview_Inventory[[#This Row],[adj_res]]*Lookups!$M$28,-2))</f>
        <v>336100</v>
      </c>
      <c r="CD319">
        <f>Grandview_Inventory[[#This Row],[final_det]]+Grandview_Inventory[[#This Row],[final_res]]</f>
        <v>336100</v>
      </c>
      <c r="CE319">
        <f>Grandview_Inventory[[#This Row],[final_land]]+Grandview_Inventory[[#This Row],[final_imp]]+Grandview_Inventory[[#This Row],[crop_value]]</f>
        <v>383500</v>
      </c>
      <c r="CG319" t="str">
        <f t="shared" si="4"/>
        <v>update valuation set market_land =47400, market_bldg=336100, market_total =383500, market_mdno =401, market_date ='9/10/2023' where link_id = (select link_id from parcel where parcel_year = '2024' and parcel_id = '23091444411');</v>
      </c>
    </row>
    <row r="320" spans="1:85" x14ac:dyDescent="0.25">
      <c r="A320">
        <v>23091512002</v>
      </c>
      <c r="B320">
        <v>0.22</v>
      </c>
      <c r="C320">
        <v>9583</v>
      </c>
      <c r="D320" t="s">
        <v>129</v>
      </c>
      <c r="E320" t="s">
        <v>53</v>
      </c>
      <c r="F320" t="s">
        <v>53</v>
      </c>
      <c r="G320">
        <v>4</v>
      </c>
      <c r="H320" t="s">
        <v>54</v>
      </c>
      <c r="I320">
        <v>44100</v>
      </c>
      <c r="J320">
        <v>39500</v>
      </c>
      <c r="K320">
        <v>0.22</v>
      </c>
      <c r="L32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320">
        <v>0</v>
      </c>
      <c r="N320">
        <v>0</v>
      </c>
      <c r="O320">
        <v>0</v>
      </c>
      <c r="P320">
        <v>13398.7528</v>
      </c>
      <c r="Q320">
        <v>63903</v>
      </c>
      <c r="R320">
        <f>(Grandview_Inventory[[#This Row],[ln_acres]]*Grandview_Inventory[[#This Row],[coeff]])+Grandview_Inventory[[#This Row],[const]]</f>
        <v>43615.576802869145</v>
      </c>
      <c r="S320" t="s">
        <v>142</v>
      </c>
      <c r="T320">
        <v>1</v>
      </c>
      <c r="U320" t="s">
        <v>96</v>
      </c>
      <c r="V320" t="s">
        <v>78</v>
      </c>
      <c r="W320">
        <v>0</v>
      </c>
      <c r="X320">
        <v>0</v>
      </c>
      <c r="Y320">
        <v>73</v>
      </c>
      <c r="Z320">
        <v>88</v>
      </c>
      <c r="AA320">
        <v>90</v>
      </c>
      <c r="AB320">
        <v>1000</v>
      </c>
      <c r="AC320">
        <v>560</v>
      </c>
      <c r="AD320">
        <v>560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200</v>
      </c>
      <c r="AN320">
        <v>0</v>
      </c>
      <c r="AO320">
        <v>200</v>
      </c>
      <c r="AP320">
        <v>5</v>
      </c>
      <c r="AQ320">
        <v>0</v>
      </c>
      <c r="AR320">
        <v>0</v>
      </c>
      <c r="AS320" t="s">
        <v>58</v>
      </c>
      <c r="AT320">
        <v>1</v>
      </c>
      <c r="AU320" t="s">
        <v>75</v>
      </c>
      <c r="AV320" t="s">
        <v>60</v>
      </c>
      <c r="AW320">
        <v>0</v>
      </c>
      <c r="AX320">
        <v>1</v>
      </c>
      <c r="AY320">
        <v>0</v>
      </c>
      <c r="AZ320">
        <v>0</v>
      </c>
      <c r="BA320">
        <v>100</v>
      </c>
      <c r="BB320">
        <v>100</v>
      </c>
      <c r="BC320">
        <v>100</v>
      </c>
      <c r="BD320">
        <v>100</v>
      </c>
      <c r="BE320">
        <v>1</v>
      </c>
      <c r="BF320">
        <v>15000</v>
      </c>
      <c r="BG320">
        <v>1000</v>
      </c>
      <c r="BH320" s="6">
        <f>Grandview_Inventory[[#This Row],[land_extract]]*Lookups!$B$3</f>
        <v>50650.651579114572</v>
      </c>
      <c r="BI320" s="6">
        <f>IF(Grandview_Inventory[[#This Row],[bldg_style]]="",0,Lookups!$B$2)</f>
        <v>155833.95000000001</v>
      </c>
      <c r="BJ320" s="6">
        <f>_xlfn.IFNA(VLOOKUP(Grandview_Inventory[[#This Row],[quality]],Lookups!$H$2:$J$14,3,FALSE),0)</f>
        <v>-47308</v>
      </c>
      <c r="BK320" s="6">
        <f>_xlfn.IFNA(VLOOKUP(Grandview_Inventory[[#This Row],[condition]],Lookups!$H$17:$J$24,3,FALSE),0)</f>
        <v>-45357</v>
      </c>
      <c r="BL320" s="6">
        <f>Grandview_Inventory[[#This Row],[Eff_Age]]*Lookups!$B$14</f>
        <v>-17459.161799999998</v>
      </c>
      <c r="BM320" s="6">
        <f>Grandview_Inventory[[#This Row],[living_area]]*Lookups!$B$15</f>
        <v>34933.277679999999</v>
      </c>
      <c r="BN320" s="6">
        <f>Grandview_Inventory[[#This Row],[Fin BSMT]]*Lookups!$B$16</f>
        <v>0</v>
      </c>
      <c r="BO320" s="6">
        <f>(Grandview_Inventory[[#This Row],[att_gar]]+Grandview_Inventory[[#This Row],[bltin_gar]])*Lookups!$B$17</f>
        <v>0</v>
      </c>
      <c r="BP320" s="6">
        <f>Grandview_Inventory[[#This Row],[Plumbing Fixtures]]*Lookups!$B$18</f>
        <v>10052.209000000001</v>
      </c>
      <c r="BQ320" s="6">
        <f>Grandview_Inventory[[#This Row],[detatched_value]]*Lookups!$B$19</f>
        <v>0</v>
      </c>
      <c r="BR320" s="6">
        <f>SUM(Grandview_Inventory[[#This Row],[Intercept]:[det_value]])*Grandview_Inventory[[#This Row],[res_pct]]</f>
        <v>90695.274880000012</v>
      </c>
      <c r="BS320" s="6">
        <f>Grandview_Inventory[[#This Row],[land_value]]</f>
        <v>50650.651579114572</v>
      </c>
      <c r="BT320" s="4">
        <f>_xlfn.IFNA(VLOOKUP(Grandview_Inventory[[#This Row],[quality]],Lookups!$A$26:$C$33,3,FALSE),1)</f>
        <v>1</v>
      </c>
      <c r="BU320" s="4">
        <f>_xlfn.IFNA(VLOOKUP(Grandview_Inventory[[#This Row],[condition]],Lookups!$A$37:$C$44,3,FALSE),1)</f>
        <v>0.97161819570155394</v>
      </c>
      <c r="BV320" s="4">
        <f>IF(Grandview_Inventory[[#This Row],[bldg_style]]="",1,_xlfn.IFNA(VLOOKUP(Grandview_Inventory[[#This Row],[decade]],Lookups!$F$29:$H$43,3,FALSE),1))</f>
        <v>0.94161750052457416</v>
      </c>
      <c r="BW320" s="4">
        <f>_xlfn.IFNA(VLOOKUP(Grandview_Inventory[[#This Row],[living_area_range]],Lookups!$F$47:$H$56,3,FALSE),1)</f>
        <v>0.94306777142782894</v>
      </c>
      <c r="BX320" s="4">
        <f>AVERAGE(Grandview_Inventory[[#This Row],[qual_adj]:[size_adj]])</f>
        <v>0.96407586691348923</v>
      </c>
      <c r="BY320" s="6">
        <f>IF(Grandview_Inventory[[#This Row],[pre_res]]&lt;0,0,Grandview_Inventory[[#This Row],[pre_res]]*Grandview_Inventory[[#This Row],[overall_adj]])</f>
        <v>87437.125754893219</v>
      </c>
      <c r="BZ320" s="6">
        <f>(Grandview_Inventory[[#This Row],[sum_land]]-IF(Grandview_Inventory[[#This Row],[no_utilities]]=1,12000,0))/IF(Grandview_Inventory[[#This Row],[unbuildable]]=1,2,1)</f>
        <v>50650.651579114572</v>
      </c>
      <c r="CA32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320">
        <f>ROUND(Grandview_Inventory[[#This Row],[det_value]]*Lookups!$M$28,-2)</f>
        <v>0</v>
      </c>
      <c r="CC320">
        <f>IF(ROUND(Grandview_Inventory[[#This Row],[adj_res]]*Lookups!$M$28,-2)&lt;Grandview_Inventory[[#This Row],[min_res]],Grandview_Inventory[[#This Row],[min_res]],ROUND(Grandview_Inventory[[#This Row],[adj_res]]*Lookups!$M$28,-2))</f>
        <v>83100</v>
      </c>
      <c r="CD320">
        <f>Grandview_Inventory[[#This Row],[final_det]]+Grandview_Inventory[[#This Row],[final_res]]</f>
        <v>83100</v>
      </c>
      <c r="CE320">
        <f>Grandview_Inventory[[#This Row],[final_land]]+Grandview_Inventory[[#This Row],[final_imp]]+Grandview_Inventory[[#This Row],[crop_value]]</f>
        <v>131200</v>
      </c>
      <c r="CG320" t="str">
        <f t="shared" si="4"/>
        <v>update valuation set market_land =48100, market_bldg=83100, market_total =131200, market_mdno =401, market_date ='9/10/2023' where link_id = (select link_id from parcel where parcel_year = '2024' and parcel_id = '23091512002');</v>
      </c>
    </row>
    <row r="321" spans="1:85" x14ac:dyDescent="0.25">
      <c r="A321">
        <v>23091512007</v>
      </c>
      <c r="B321">
        <v>1.35</v>
      </c>
      <c r="C321">
        <v>58909</v>
      </c>
      <c r="D321" t="s">
        <v>129</v>
      </c>
      <c r="E321" t="s">
        <v>53</v>
      </c>
      <c r="F321" t="s">
        <v>53</v>
      </c>
      <c r="G321">
        <v>4</v>
      </c>
      <c r="H321" t="s">
        <v>54</v>
      </c>
      <c r="I321">
        <v>205400</v>
      </c>
      <c r="J321">
        <v>44900</v>
      </c>
      <c r="K321">
        <v>1.35</v>
      </c>
      <c r="L321">
        <f>IF(Grandview_Inventory[[#This Row],[parcel_acres]]-Grandview_Inventory[[#This Row],[non_valued_acres]] =0,0,LN(Grandview_Inventory[[#This Row],[parcel_acres]]-Grandview_Inventory[[#This Row],[non_valued_acres]]))</f>
        <v>0.30010459245033816</v>
      </c>
      <c r="M321">
        <v>0</v>
      </c>
      <c r="N321">
        <v>0</v>
      </c>
      <c r="O321">
        <v>0</v>
      </c>
      <c r="P321">
        <v>13398.7528</v>
      </c>
      <c r="Q321">
        <v>63903</v>
      </c>
      <c r="R321">
        <f>(Grandview_Inventory[[#This Row],[ln_acres]]*Grandview_Inventory[[#This Row],[coeff]])+Grandview_Inventory[[#This Row],[const]]</f>
        <v>67924.027248386832</v>
      </c>
      <c r="S321" t="s">
        <v>68</v>
      </c>
      <c r="T321">
        <v>1</v>
      </c>
      <c r="U321" t="s">
        <v>70</v>
      </c>
      <c r="V321" t="s">
        <v>69</v>
      </c>
      <c r="W321">
        <v>0</v>
      </c>
      <c r="X321">
        <v>0</v>
      </c>
      <c r="Y321">
        <v>44</v>
      </c>
      <c r="Z321">
        <v>48</v>
      </c>
      <c r="AA321">
        <v>50</v>
      </c>
      <c r="AB321">
        <v>2000</v>
      </c>
      <c r="AC321">
        <v>1707</v>
      </c>
      <c r="AD321">
        <v>1707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60</v>
      </c>
      <c r="AN321">
        <v>0</v>
      </c>
      <c r="AO321">
        <v>60</v>
      </c>
      <c r="AP321">
        <v>8</v>
      </c>
      <c r="AQ321">
        <v>1</v>
      </c>
      <c r="AR321">
        <v>0</v>
      </c>
      <c r="AS321" t="s">
        <v>58</v>
      </c>
      <c r="AT321">
        <v>1</v>
      </c>
      <c r="AU321" t="s">
        <v>75</v>
      </c>
      <c r="AV321" t="s">
        <v>60</v>
      </c>
      <c r="AW321">
        <v>0</v>
      </c>
      <c r="AX321">
        <v>6</v>
      </c>
      <c r="AY321">
        <v>0</v>
      </c>
      <c r="AZ321">
        <v>23800</v>
      </c>
      <c r="BA321">
        <v>100</v>
      </c>
      <c r="BB321">
        <v>100</v>
      </c>
      <c r="BC321">
        <v>100</v>
      </c>
      <c r="BD321">
        <v>100</v>
      </c>
      <c r="BE321">
        <v>1</v>
      </c>
      <c r="BF321">
        <v>15000</v>
      </c>
      <c r="BG321">
        <v>1000</v>
      </c>
      <c r="BH321" s="6">
        <f>Grandview_Inventory[[#This Row],[land_extract]]*Lookups!$B$3</f>
        <v>78879.989448678054</v>
      </c>
      <c r="BI321" s="6">
        <f>IF(Grandview_Inventory[[#This Row],[bldg_style]]="",0,Lookups!$B$2)</f>
        <v>155833.95000000001</v>
      </c>
      <c r="BJ321" s="6">
        <f>_xlfn.IFNA(VLOOKUP(Grandview_Inventory[[#This Row],[quality]],Lookups!$H$2:$J$14,3,FALSE),0)</f>
        <v>10733</v>
      </c>
      <c r="BK321" s="6">
        <f>_xlfn.IFNA(VLOOKUP(Grandview_Inventory[[#This Row],[condition]],Lookups!$H$17:$J$24,3,FALSE),0)</f>
        <v>-4503</v>
      </c>
      <c r="BL321" s="6">
        <f>Grandview_Inventory[[#This Row],[Eff_Age]]*Lookups!$B$14</f>
        <v>-10523.330399999999</v>
      </c>
      <c r="BM321" s="6">
        <f>Grandview_Inventory[[#This Row],[living_area]]*Lookups!$B$15</f>
        <v>106484.116071</v>
      </c>
      <c r="BN321" s="6">
        <f>Grandview_Inventory[[#This Row],[Fin BSMT]]*Lookups!$B$16</f>
        <v>0</v>
      </c>
      <c r="BO321" s="6">
        <f>(Grandview_Inventory[[#This Row],[att_gar]]+Grandview_Inventory[[#This Row],[bltin_gar]])*Lookups!$B$17</f>
        <v>0</v>
      </c>
      <c r="BP321" s="6">
        <f>Grandview_Inventory[[#This Row],[Plumbing Fixtures]]*Lookups!$B$18</f>
        <v>16083.5344</v>
      </c>
      <c r="BQ321" s="6">
        <f>Grandview_Inventory[[#This Row],[detatched_value]]*Lookups!$B$19</f>
        <v>20153.961380000001</v>
      </c>
      <c r="BR321" s="6">
        <f>SUM(Grandview_Inventory[[#This Row],[Intercept]:[det_value]])*Grandview_Inventory[[#This Row],[res_pct]]</f>
        <v>294262.23145099997</v>
      </c>
      <c r="BS321" s="6">
        <f>Grandview_Inventory[[#This Row],[land_value]]</f>
        <v>78879.989448678054</v>
      </c>
      <c r="BT321" s="4">
        <f>_xlfn.IFNA(VLOOKUP(Grandview_Inventory[[#This Row],[quality]],Lookups!$A$26:$C$33,3,FALSE),1)</f>
        <v>0.98079741117310582</v>
      </c>
      <c r="BU321" s="4">
        <f>_xlfn.IFNA(VLOOKUP(Grandview_Inventory[[#This Row],[condition]],Lookups!$A$37:$C$44,3,FALSE),1)</f>
        <v>0.96469275950863709</v>
      </c>
      <c r="BV321" s="4">
        <f>IF(Grandview_Inventory[[#This Row],[bldg_style]]="",1,_xlfn.IFNA(VLOOKUP(Grandview_Inventory[[#This Row],[decade]],Lookups!$F$29:$H$43,3,FALSE),1))</f>
        <v>0.9871940091910919</v>
      </c>
      <c r="BW321" s="4">
        <f>_xlfn.IFNA(VLOOKUP(Grandview_Inventory[[#This Row],[living_area_range]],Lookups!$F$47:$H$56,3,FALSE),1)</f>
        <v>0.96120133463014379</v>
      </c>
      <c r="BX321" s="4">
        <f>AVERAGE(Grandview_Inventory[[#This Row],[qual_adj]:[size_adj]])</f>
        <v>0.97347137862574473</v>
      </c>
      <c r="BY321" s="6">
        <f>IF(Grandview_Inventory[[#This Row],[pre_res]]&lt;0,0,Grandview_Inventory[[#This Row],[pre_res]]*Grandview_Inventory[[#This Row],[overall_adj]])</f>
        <v>286455.86012809293</v>
      </c>
      <c r="BZ321" s="6">
        <f>(Grandview_Inventory[[#This Row],[sum_land]]-IF(Grandview_Inventory[[#This Row],[no_utilities]]=1,12000,0))/IF(Grandview_Inventory[[#This Row],[unbuildable]]=1,2,1)</f>
        <v>78879.989448678054</v>
      </c>
      <c r="CA321">
        <f>IF(ROUND(Grandview_Inventory[[#This Row],[adj_land]]*Lookups!$M$28,-2)&lt;Grandview_Inventory[[#This Row],[min_land]],Grandview_Inventory[[#This Row],[min_land]],ROUND(Grandview_Inventory[[#This Row],[adj_land]]*Lookups!$M$28,-2))</f>
        <v>74900</v>
      </c>
      <c r="CB321">
        <f>ROUND(Grandview_Inventory[[#This Row],[det_value]]*Lookups!$M$28,-2)</f>
        <v>19100</v>
      </c>
      <c r="CC321">
        <f>IF(ROUND(Grandview_Inventory[[#This Row],[adj_res]]*Lookups!$M$28,-2)&lt;Grandview_Inventory[[#This Row],[min_res]],Grandview_Inventory[[#This Row],[min_res]],ROUND(Grandview_Inventory[[#This Row],[adj_res]]*Lookups!$M$28,-2))</f>
        <v>272100</v>
      </c>
      <c r="CD321">
        <f>Grandview_Inventory[[#This Row],[final_det]]+Grandview_Inventory[[#This Row],[final_res]]</f>
        <v>291200</v>
      </c>
      <c r="CE321">
        <f>Grandview_Inventory[[#This Row],[final_land]]+Grandview_Inventory[[#This Row],[final_imp]]+Grandview_Inventory[[#This Row],[crop_value]]</f>
        <v>366100</v>
      </c>
      <c r="CG321" t="str">
        <f t="shared" si="4"/>
        <v>update valuation set market_land =74900, market_bldg=291200, market_total =366100, market_mdno =401, market_date ='9/10/2023' where link_id = (select link_id from parcel where parcel_year = '2024' and parcel_id = '23091512007');</v>
      </c>
    </row>
    <row r="322" spans="1:85" x14ac:dyDescent="0.25">
      <c r="A322">
        <v>23091512015</v>
      </c>
      <c r="B322">
        <v>0.22</v>
      </c>
      <c r="C322">
        <v>9583</v>
      </c>
      <c r="D322" t="s">
        <v>129</v>
      </c>
      <c r="E322" t="s">
        <v>53</v>
      </c>
      <c r="F322" t="s">
        <v>53</v>
      </c>
      <c r="G322">
        <v>4</v>
      </c>
      <c r="H322" t="s">
        <v>54</v>
      </c>
      <c r="I322">
        <v>85600</v>
      </c>
      <c r="J322">
        <v>39500</v>
      </c>
      <c r="K322">
        <v>0.22</v>
      </c>
      <c r="L32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322">
        <v>0</v>
      </c>
      <c r="N322">
        <v>0</v>
      </c>
      <c r="O322">
        <v>0</v>
      </c>
      <c r="P322">
        <v>13398.7528</v>
      </c>
      <c r="Q322">
        <v>63903</v>
      </c>
      <c r="R322">
        <f>(Grandview_Inventory[[#This Row],[ln_acres]]*Grandview_Inventory[[#This Row],[coeff]])+Grandview_Inventory[[#This Row],[const]]</f>
        <v>43615.576802869145</v>
      </c>
      <c r="S322" t="s">
        <v>142</v>
      </c>
      <c r="T322">
        <v>1</v>
      </c>
      <c r="U322" t="s">
        <v>83</v>
      </c>
      <c r="V322" t="s">
        <v>78</v>
      </c>
      <c r="W322">
        <v>0</v>
      </c>
      <c r="X322">
        <v>0</v>
      </c>
      <c r="Y322">
        <v>73</v>
      </c>
      <c r="Z322">
        <v>83</v>
      </c>
      <c r="AA322">
        <v>90</v>
      </c>
      <c r="AB322">
        <v>1000</v>
      </c>
      <c r="AC322">
        <v>892</v>
      </c>
      <c r="AD322">
        <v>892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64</v>
      </c>
      <c r="AO322">
        <v>0</v>
      </c>
      <c r="AP322">
        <v>5</v>
      </c>
      <c r="AQ322">
        <v>0</v>
      </c>
      <c r="AR322">
        <v>0</v>
      </c>
      <c r="AS322" t="s">
        <v>58</v>
      </c>
      <c r="AT322">
        <v>1</v>
      </c>
      <c r="AU322" t="s">
        <v>75</v>
      </c>
      <c r="AV322" t="s">
        <v>60</v>
      </c>
      <c r="AW322">
        <v>0</v>
      </c>
      <c r="AX322">
        <v>2</v>
      </c>
      <c r="AY322">
        <v>0</v>
      </c>
      <c r="AZ322">
        <v>0</v>
      </c>
      <c r="BA322">
        <v>100</v>
      </c>
      <c r="BB322">
        <v>100</v>
      </c>
      <c r="BC322">
        <v>100</v>
      </c>
      <c r="BD322">
        <v>100</v>
      </c>
      <c r="BE322">
        <v>1</v>
      </c>
      <c r="BF322">
        <v>15000</v>
      </c>
      <c r="BG322">
        <v>1000</v>
      </c>
      <c r="BH322" s="6">
        <f>Grandview_Inventory[[#This Row],[land_extract]]*Lookups!$B$3</f>
        <v>50650.651579114572</v>
      </c>
      <c r="BI322" s="6">
        <f>IF(Grandview_Inventory[[#This Row],[bldg_style]]="",0,Lookups!$B$2)</f>
        <v>155833.95000000001</v>
      </c>
      <c r="BJ322" s="6">
        <f>_xlfn.IFNA(VLOOKUP(Grandview_Inventory[[#This Row],[quality]],Lookups!$H$2:$J$14,3,FALSE),0)</f>
        <v>-28558</v>
      </c>
      <c r="BK322" s="6">
        <f>_xlfn.IFNA(VLOOKUP(Grandview_Inventory[[#This Row],[condition]],Lookups!$H$17:$J$24,3,FALSE),0)</f>
        <v>-45357</v>
      </c>
      <c r="BL322" s="6">
        <f>Grandview_Inventory[[#This Row],[Eff_Age]]*Lookups!$B$14</f>
        <v>-17459.161799999998</v>
      </c>
      <c r="BM322" s="6">
        <f>Grandview_Inventory[[#This Row],[living_area]]*Lookups!$B$15</f>
        <v>55643.720875999999</v>
      </c>
      <c r="BN322" s="6">
        <f>Grandview_Inventory[[#This Row],[Fin BSMT]]*Lookups!$B$16</f>
        <v>0</v>
      </c>
      <c r="BO322" s="6">
        <f>(Grandview_Inventory[[#This Row],[att_gar]]+Grandview_Inventory[[#This Row],[bltin_gar]])*Lookups!$B$17</f>
        <v>0</v>
      </c>
      <c r="BP322" s="6">
        <f>Grandview_Inventory[[#This Row],[Plumbing Fixtures]]*Lookups!$B$18</f>
        <v>10052.209000000001</v>
      </c>
      <c r="BQ322" s="6">
        <f>Grandview_Inventory[[#This Row],[detatched_value]]*Lookups!$B$19</f>
        <v>0</v>
      </c>
      <c r="BR322" s="6">
        <f>SUM(Grandview_Inventory[[#This Row],[Intercept]:[det_value]])*Grandview_Inventory[[#This Row],[res_pct]]</f>
        <v>130155.71807600002</v>
      </c>
      <c r="BS322" s="6">
        <f>Grandview_Inventory[[#This Row],[land_value]]</f>
        <v>50650.651579114572</v>
      </c>
      <c r="BT322" s="4">
        <f>_xlfn.IFNA(VLOOKUP(Grandview_Inventory[[#This Row],[quality]],Lookups!$A$26:$C$33,3,FALSE),1)</f>
        <v>0.96329552998502799</v>
      </c>
      <c r="BU322" s="4">
        <f>_xlfn.IFNA(VLOOKUP(Grandview_Inventory[[#This Row],[condition]],Lookups!$A$37:$C$44,3,FALSE),1)</f>
        <v>0.97161819570155394</v>
      </c>
      <c r="BV322" s="4">
        <f>IF(Grandview_Inventory[[#This Row],[bldg_style]]="",1,_xlfn.IFNA(VLOOKUP(Grandview_Inventory[[#This Row],[decade]],Lookups!$F$29:$H$43,3,FALSE),1))</f>
        <v>0.94161750052457416</v>
      </c>
      <c r="BW322" s="4">
        <f>_xlfn.IFNA(VLOOKUP(Grandview_Inventory[[#This Row],[living_area_range]],Lookups!$F$47:$H$56,3,FALSE),1)</f>
        <v>0.94306777142782894</v>
      </c>
      <c r="BX322" s="4">
        <f>AVERAGE(Grandview_Inventory[[#This Row],[qual_adj]:[size_adj]])</f>
        <v>0.9548997494097462</v>
      </c>
      <c r="BY322" s="6">
        <f>IF(Grandview_Inventory[[#This Row],[pre_res]]&lt;0,0,Grandview_Inventory[[#This Row],[pre_res]]*Grandview_Inventory[[#This Row],[overall_adj]])</f>
        <v>124285.662575018</v>
      </c>
      <c r="BZ322" s="6">
        <f>(Grandview_Inventory[[#This Row],[sum_land]]-IF(Grandview_Inventory[[#This Row],[no_utilities]]=1,12000,0))/IF(Grandview_Inventory[[#This Row],[unbuildable]]=1,2,1)</f>
        <v>50650.651579114572</v>
      </c>
      <c r="CA32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322">
        <f>ROUND(Grandview_Inventory[[#This Row],[det_value]]*Lookups!$M$28,-2)</f>
        <v>0</v>
      </c>
      <c r="CC322">
        <f>IF(ROUND(Grandview_Inventory[[#This Row],[adj_res]]*Lookups!$M$28,-2)&lt;Grandview_Inventory[[#This Row],[min_res]],Grandview_Inventory[[#This Row],[min_res]],ROUND(Grandview_Inventory[[#This Row],[adj_res]]*Lookups!$M$28,-2))</f>
        <v>118100</v>
      </c>
      <c r="CD322">
        <f>Grandview_Inventory[[#This Row],[final_det]]+Grandview_Inventory[[#This Row],[final_res]]</f>
        <v>118100</v>
      </c>
      <c r="CE322">
        <f>Grandview_Inventory[[#This Row],[final_land]]+Grandview_Inventory[[#This Row],[final_imp]]+Grandview_Inventory[[#This Row],[crop_value]]</f>
        <v>166200</v>
      </c>
      <c r="CG322" t="str">
        <f t="shared" si="4"/>
        <v>update valuation set market_land =48100, market_bldg=118100, market_total =166200, market_mdno =401, market_date ='9/10/2023' where link_id = (select link_id from parcel where parcel_year = '2024' and parcel_id = '23091512015');</v>
      </c>
    </row>
    <row r="323" spans="1:85" x14ac:dyDescent="0.25">
      <c r="A323">
        <v>23091513004</v>
      </c>
      <c r="B323">
        <v>0.64</v>
      </c>
      <c r="C323" t="s">
        <v>129</v>
      </c>
      <c r="D323" t="s">
        <v>129</v>
      </c>
      <c r="E323" t="s">
        <v>53</v>
      </c>
      <c r="F323" t="s">
        <v>53</v>
      </c>
      <c r="G323">
        <v>4</v>
      </c>
      <c r="H323" t="s">
        <v>54</v>
      </c>
      <c r="I323">
        <v>123000</v>
      </c>
      <c r="J323">
        <v>42400</v>
      </c>
      <c r="K323">
        <v>0.64</v>
      </c>
      <c r="L323">
        <f>IF(Grandview_Inventory[[#This Row],[parcel_acres]]-Grandview_Inventory[[#This Row],[non_valued_acres]] =0,0,LN(Grandview_Inventory[[#This Row],[parcel_acres]]-Grandview_Inventory[[#This Row],[non_valued_acres]]))</f>
        <v>-0.44628710262841947</v>
      </c>
      <c r="M323">
        <v>0</v>
      </c>
      <c r="N323">
        <v>0</v>
      </c>
      <c r="O323">
        <v>0</v>
      </c>
      <c r="P323">
        <v>13398.7528</v>
      </c>
      <c r="Q323">
        <v>63903</v>
      </c>
      <c r="R323">
        <f>(Grandview_Inventory[[#This Row],[ln_acres]]*Grandview_Inventory[[#This Row],[coeff]])+Grandview_Inventory[[#This Row],[const]]</f>
        <v>57923.309434053575</v>
      </c>
      <c r="S323" t="s">
        <v>68</v>
      </c>
      <c r="T323">
        <v>1</v>
      </c>
      <c r="U323" t="s">
        <v>65</v>
      </c>
      <c r="V323" t="s">
        <v>78</v>
      </c>
      <c r="W323">
        <v>0</v>
      </c>
      <c r="X323">
        <v>0</v>
      </c>
      <c r="Y323">
        <v>53</v>
      </c>
      <c r="Z323">
        <v>93</v>
      </c>
      <c r="AA323">
        <v>100</v>
      </c>
      <c r="AB323">
        <v>2000</v>
      </c>
      <c r="AC323">
        <v>1632</v>
      </c>
      <c r="AD323">
        <v>1632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120</v>
      </c>
      <c r="AN323">
        <v>0</v>
      </c>
      <c r="AO323">
        <v>120</v>
      </c>
      <c r="AP323">
        <v>8</v>
      </c>
      <c r="AQ323">
        <v>0</v>
      </c>
      <c r="AR323">
        <v>0</v>
      </c>
      <c r="AS323" t="s">
        <v>71</v>
      </c>
      <c r="AT323">
        <v>1</v>
      </c>
      <c r="AU323" t="s">
        <v>75</v>
      </c>
      <c r="AV323" t="s">
        <v>60</v>
      </c>
      <c r="AW323">
        <v>0</v>
      </c>
      <c r="AX323">
        <v>3</v>
      </c>
      <c r="AY323">
        <v>0</v>
      </c>
      <c r="AZ323">
        <v>0</v>
      </c>
      <c r="BA323">
        <v>100</v>
      </c>
      <c r="BB323">
        <v>100</v>
      </c>
      <c r="BC323">
        <v>100</v>
      </c>
      <c r="BD323">
        <v>100</v>
      </c>
      <c r="BE323">
        <v>1</v>
      </c>
      <c r="BF323">
        <v>15000</v>
      </c>
      <c r="BG323">
        <v>1000</v>
      </c>
      <c r="BH323" s="6">
        <f>Grandview_Inventory[[#This Row],[land_extract]]*Lookups!$B$3</f>
        <v>67266.182852830942</v>
      </c>
      <c r="BI323" s="6">
        <f>IF(Grandview_Inventory[[#This Row],[bldg_style]]="",0,Lookups!$B$2)</f>
        <v>155833.95000000001</v>
      </c>
      <c r="BJ323" s="6">
        <f>_xlfn.IFNA(VLOOKUP(Grandview_Inventory[[#This Row],[quality]],Lookups!$H$2:$J$14,3,FALSE),0)</f>
        <v>2251</v>
      </c>
      <c r="BK323" s="6">
        <f>_xlfn.IFNA(VLOOKUP(Grandview_Inventory[[#This Row],[condition]],Lookups!$H$17:$J$24,3,FALSE),0)</f>
        <v>-45357</v>
      </c>
      <c r="BL323" s="6">
        <f>Grandview_Inventory[[#This Row],[Eff_Age]]*Lookups!$B$14</f>
        <v>-12675.8298</v>
      </c>
      <c r="BM323" s="6">
        <f>Grandview_Inventory[[#This Row],[living_area]]*Lookups!$B$15</f>
        <v>101805.552096</v>
      </c>
      <c r="BN323" s="6">
        <f>Grandview_Inventory[[#This Row],[Fin BSMT]]*Lookups!$B$16</f>
        <v>0</v>
      </c>
      <c r="BO323" s="6">
        <f>(Grandview_Inventory[[#This Row],[att_gar]]+Grandview_Inventory[[#This Row],[bltin_gar]])*Lookups!$B$17</f>
        <v>0</v>
      </c>
      <c r="BP323" s="6">
        <f>Grandview_Inventory[[#This Row],[Plumbing Fixtures]]*Lookups!$B$18</f>
        <v>16083.5344</v>
      </c>
      <c r="BQ323" s="6">
        <f>Grandview_Inventory[[#This Row],[detatched_value]]*Lookups!$B$19</f>
        <v>0</v>
      </c>
      <c r="BR323" s="6">
        <f>SUM(Grandview_Inventory[[#This Row],[Intercept]:[det_value]])*Grandview_Inventory[[#This Row],[res_pct]]</f>
        <v>217941.20669600001</v>
      </c>
      <c r="BS323" s="6">
        <f>Grandview_Inventory[[#This Row],[land_value]]</f>
        <v>67266.182852830942</v>
      </c>
      <c r="BT323" s="4">
        <f>_xlfn.IFNA(VLOOKUP(Grandview_Inventory[[#This Row],[quality]],Lookups!$A$26:$C$33,3,FALSE),1)</f>
        <v>0.98763855981004833</v>
      </c>
      <c r="BU323" s="4">
        <f>_xlfn.IFNA(VLOOKUP(Grandview_Inventory[[#This Row],[condition]],Lookups!$A$37:$C$44,3,FALSE),1)</f>
        <v>0.97161819570155394</v>
      </c>
      <c r="BV323" s="4">
        <f>IF(Grandview_Inventory[[#This Row],[bldg_style]]="",1,_xlfn.IFNA(VLOOKUP(Grandview_Inventory[[#This Row],[decade]],Lookups!$F$29:$H$43,3,FALSE),1))</f>
        <v>0.95244691841736806</v>
      </c>
      <c r="BW323" s="4">
        <f>_xlfn.IFNA(VLOOKUP(Grandview_Inventory[[#This Row],[living_area_range]],Lookups!$F$47:$H$56,3,FALSE),1)</f>
        <v>0.96120133463014379</v>
      </c>
      <c r="BX323" s="4">
        <f>AVERAGE(Grandview_Inventory[[#This Row],[qual_adj]:[size_adj]])</f>
        <v>0.96822625213977864</v>
      </c>
      <c r="BY323" s="6">
        <f>IF(Grandview_Inventory[[#This Row],[pre_res]]&lt;0,0,Grandview_Inventory[[#This Row],[pre_res]]*Grandview_Inventory[[#This Row],[overall_adj]])</f>
        <v>211016.39774608891</v>
      </c>
      <c r="BZ323" s="6">
        <f>(Grandview_Inventory[[#This Row],[sum_land]]-IF(Grandview_Inventory[[#This Row],[no_utilities]]=1,12000,0))/IF(Grandview_Inventory[[#This Row],[unbuildable]]=1,2,1)</f>
        <v>67266.182852830942</v>
      </c>
      <c r="CA323">
        <f>IF(ROUND(Grandview_Inventory[[#This Row],[adj_land]]*Lookups!$M$28,-2)&lt;Grandview_Inventory[[#This Row],[min_land]],Grandview_Inventory[[#This Row],[min_land]],ROUND(Grandview_Inventory[[#This Row],[adj_land]]*Lookups!$M$28,-2))</f>
        <v>63900</v>
      </c>
      <c r="CB323">
        <f>ROUND(Grandview_Inventory[[#This Row],[det_value]]*Lookups!$M$28,-2)</f>
        <v>0</v>
      </c>
      <c r="CC323">
        <f>IF(ROUND(Grandview_Inventory[[#This Row],[adj_res]]*Lookups!$M$28,-2)&lt;Grandview_Inventory[[#This Row],[min_res]],Grandview_Inventory[[#This Row],[min_res]],ROUND(Grandview_Inventory[[#This Row],[adj_res]]*Lookups!$M$28,-2))</f>
        <v>200500</v>
      </c>
      <c r="CD323">
        <f>Grandview_Inventory[[#This Row],[final_det]]+Grandview_Inventory[[#This Row],[final_res]]</f>
        <v>200500</v>
      </c>
      <c r="CE323">
        <f>Grandview_Inventory[[#This Row],[final_land]]+Grandview_Inventory[[#This Row],[final_imp]]+Grandview_Inventory[[#This Row],[crop_value]]</f>
        <v>264400</v>
      </c>
      <c r="CG323" t="str">
        <f t="shared" ref="CG323:CG386" si="5">"update valuation set market_land ="&amp;CA323&amp;", market_bldg="&amp;CD323&amp;", market_total ="&amp;CE323&amp;", market_mdno ="&amp;$CG$1&amp;", market_date ='"&amp;TEXT($CH$1,"m/d/yyyy")&amp;"' where link_id = (select link_id from parcel where parcel_year = '2024' and parcel_id = '"&amp;A323&amp;"');"</f>
        <v>update valuation set market_land =63900, market_bldg=200500, market_total =264400, market_mdno =401, market_date ='9/10/2023' where link_id = (select link_id from parcel where parcel_year = '2024' and parcel_id = '23091513004');</v>
      </c>
    </row>
    <row r="324" spans="1:85" x14ac:dyDescent="0.25">
      <c r="A324">
        <v>23091513401</v>
      </c>
      <c r="B324">
        <v>0.94</v>
      </c>
      <c r="C324">
        <v>40946</v>
      </c>
      <c r="D324" t="s">
        <v>129</v>
      </c>
      <c r="E324" t="s">
        <v>53</v>
      </c>
      <c r="F324" t="s">
        <v>53</v>
      </c>
      <c r="G324">
        <v>4</v>
      </c>
      <c r="H324" t="s">
        <v>54</v>
      </c>
      <c r="I324">
        <v>0</v>
      </c>
      <c r="J324">
        <v>22500</v>
      </c>
      <c r="K324">
        <v>0.94</v>
      </c>
      <c r="L324">
        <f>IF(Grandview_Inventory[[#This Row],[parcel_acres]]-Grandview_Inventory[[#This Row],[non_valued_acres]] =0,0,LN(Grandview_Inventory[[#This Row],[parcel_acres]]-Grandview_Inventory[[#This Row],[non_valued_acres]]))</f>
        <v>-6.1875403718087529E-2</v>
      </c>
      <c r="M324">
        <v>0</v>
      </c>
      <c r="N324">
        <v>0</v>
      </c>
      <c r="O324">
        <v>1</v>
      </c>
      <c r="P324">
        <v>13398.7528</v>
      </c>
      <c r="Q324">
        <v>63903</v>
      </c>
      <c r="R324">
        <f>(Grandview_Inventory[[#This Row],[ln_acres]]*Grandview_Inventory[[#This Row],[coeff]])+Grandview_Inventory[[#This Row],[const]]</f>
        <v>63073.946761181141</v>
      </c>
      <c r="S324" t="s">
        <v>142</v>
      </c>
      <c r="T324">
        <v>1</v>
      </c>
      <c r="U324" t="s">
        <v>96</v>
      </c>
      <c r="V324" t="s">
        <v>74</v>
      </c>
      <c r="W324">
        <v>0</v>
      </c>
      <c r="X324">
        <v>0</v>
      </c>
      <c r="Y324">
        <v>103</v>
      </c>
      <c r="Z324">
        <v>103</v>
      </c>
      <c r="AA324">
        <v>110</v>
      </c>
      <c r="AB324">
        <v>1000</v>
      </c>
      <c r="AC324">
        <v>792</v>
      </c>
      <c r="AD324">
        <v>792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5</v>
      </c>
      <c r="AQ324">
        <v>0</v>
      </c>
      <c r="AR324">
        <v>0</v>
      </c>
      <c r="AS324" t="s">
        <v>140</v>
      </c>
      <c r="AT324">
        <v>0</v>
      </c>
      <c r="AU324" t="s">
        <v>82</v>
      </c>
      <c r="AV324" t="s">
        <v>135</v>
      </c>
      <c r="AW324">
        <v>0</v>
      </c>
      <c r="AX324">
        <v>2</v>
      </c>
      <c r="AY324">
        <v>0</v>
      </c>
      <c r="AZ324">
        <v>0</v>
      </c>
      <c r="BA324">
        <v>100</v>
      </c>
      <c r="BB324">
        <v>100</v>
      </c>
      <c r="BC324">
        <v>100</v>
      </c>
      <c r="BD324">
        <v>100</v>
      </c>
      <c r="BE324">
        <v>0</v>
      </c>
      <c r="BF324">
        <v>15000</v>
      </c>
      <c r="BG324">
        <v>0</v>
      </c>
      <c r="BH324" s="6">
        <f>Grandview_Inventory[[#This Row],[land_extract]]*Lookups!$B$3</f>
        <v>73247.604074103408</v>
      </c>
      <c r="BI324" s="6">
        <f>IF(Grandview_Inventory[[#This Row],[bldg_style]]="",0,Lookups!$B$2)</f>
        <v>155833.95000000001</v>
      </c>
      <c r="BJ324" s="6">
        <f>_xlfn.IFNA(VLOOKUP(Grandview_Inventory[[#This Row],[quality]],Lookups!$H$2:$J$14,3,FALSE),0)</f>
        <v>-47308</v>
      </c>
      <c r="BK324" s="6">
        <f>_xlfn.IFNA(VLOOKUP(Grandview_Inventory[[#This Row],[condition]],Lookups!$H$17:$J$24,3,FALSE),0)</f>
        <v>-222502</v>
      </c>
      <c r="BL324" s="6">
        <f>Grandview_Inventory[[#This Row],[Eff_Age]]*Lookups!$B$14</f>
        <v>-24634.159799999998</v>
      </c>
      <c r="BM324" s="6">
        <f>Grandview_Inventory[[#This Row],[living_area]]*Lookups!$B$15</f>
        <v>49405.635576000001</v>
      </c>
      <c r="BN324" s="6">
        <f>Grandview_Inventory[[#This Row],[Fin BSMT]]*Lookups!$B$16</f>
        <v>0</v>
      </c>
      <c r="BO324" s="6">
        <f>(Grandview_Inventory[[#This Row],[att_gar]]+Grandview_Inventory[[#This Row],[bltin_gar]])*Lookups!$B$17</f>
        <v>0</v>
      </c>
      <c r="BP324" s="6">
        <f>Grandview_Inventory[[#This Row],[Plumbing Fixtures]]*Lookups!$B$18</f>
        <v>10052.209000000001</v>
      </c>
      <c r="BQ324" s="6">
        <f>Grandview_Inventory[[#This Row],[detatched_value]]*Lookups!$B$19</f>
        <v>0</v>
      </c>
      <c r="BR324" s="6">
        <f>SUM(Grandview_Inventory[[#This Row],[Intercept]:[det_value]])*Grandview_Inventory[[#This Row],[res_pct]]</f>
        <v>0</v>
      </c>
      <c r="BS324" s="6">
        <f>Grandview_Inventory[[#This Row],[land_value]]</f>
        <v>73247.604074103408</v>
      </c>
      <c r="BT324" s="4">
        <f>_xlfn.IFNA(VLOOKUP(Grandview_Inventory[[#This Row],[quality]],Lookups!$A$26:$C$33,3,FALSE),1)</f>
        <v>1</v>
      </c>
      <c r="BU324" s="4">
        <f>_xlfn.IFNA(VLOOKUP(Grandview_Inventory[[#This Row],[condition]],Lookups!$A$37:$C$44,3,FALSE),1)</f>
        <v>0</v>
      </c>
      <c r="BV324" s="4">
        <f>IF(Grandview_Inventory[[#This Row],[bldg_style]]="",1,_xlfn.IFNA(VLOOKUP(Grandview_Inventory[[#This Row],[decade]],Lookups!$F$29:$H$43,3,FALSE),1))</f>
        <v>0.92255236374249616</v>
      </c>
      <c r="BW324" s="4">
        <f>_xlfn.IFNA(VLOOKUP(Grandview_Inventory[[#This Row],[living_area_range]],Lookups!$F$47:$H$56,3,FALSE),1)</f>
        <v>0.94306777142782894</v>
      </c>
      <c r="BX324" s="4">
        <f>AVERAGE(Grandview_Inventory[[#This Row],[qual_adj]:[size_adj]])</f>
        <v>0.71640503379258125</v>
      </c>
      <c r="BY324" s="6">
        <f>IF(Grandview_Inventory[[#This Row],[pre_res]]&lt;0,0,Grandview_Inventory[[#This Row],[pre_res]]*Grandview_Inventory[[#This Row],[overall_adj]])</f>
        <v>0</v>
      </c>
      <c r="BZ324" s="6">
        <f>(Grandview_Inventory[[#This Row],[sum_land]]-IF(Grandview_Inventory[[#This Row],[no_utilities]]=1,12000,0))/IF(Grandview_Inventory[[#This Row],[unbuildable]]=1,2,1)</f>
        <v>61247.604074103408</v>
      </c>
      <c r="CA324">
        <f>IF(ROUND(Grandview_Inventory[[#This Row],[adj_land]]*Lookups!$M$28,-2)&lt;Grandview_Inventory[[#This Row],[min_land]],Grandview_Inventory[[#This Row],[min_land]],ROUND(Grandview_Inventory[[#This Row],[adj_land]]*Lookups!$M$28,-2))</f>
        <v>58200</v>
      </c>
      <c r="CB324">
        <f>ROUND(Grandview_Inventory[[#This Row],[det_value]]*Lookups!$M$28,-2)</f>
        <v>0</v>
      </c>
      <c r="CC32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324">
        <f>Grandview_Inventory[[#This Row],[final_det]]+Grandview_Inventory[[#This Row],[final_res]]</f>
        <v>0</v>
      </c>
      <c r="CE324">
        <f>Grandview_Inventory[[#This Row],[final_land]]+Grandview_Inventory[[#This Row],[final_imp]]+Grandview_Inventory[[#This Row],[crop_value]]</f>
        <v>58200</v>
      </c>
      <c r="CG324" t="str">
        <f t="shared" si="5"/>
        <v>update valuation set market_land =58200, market_bldg=0, market_total =58200, market_mdno =401, market_date ='9/10/2023' where link_id = (select link_id from parcel where parcel_year = '2024' and parcel_id = '23091513401');</v>
      </c>
    </row>
    <row r="325" spans="1:85" x14ac:dyDescent="0.25">
      <c r="A325">
        <v>23091513405</v>
      </c>
      <c r="B325">
        <v>0.6</v>
      </c>
      <c r="C325">
        <v>26102</v>
      </c>
      <c r="D325" t="s">
        <v>129</v>
      </c>
      <c r="E325" t="s">
        <v>53</v>
      </c>
      <c r="F325" t="s">
        <v>53</v>
      </c>
      <c r="G325">
        <v>4</v>
      </c>
      <c r="H325" t="s">
        <v>54</v>
      </c>
      <c r="I325">
        <v>146500</v>
      </c>
      <c r="J325">
        <v>42300</v>
      </c>
      <c r="K325">
        <v>0.6</v>
      </c>
      <c r="L325">
        <f>IF(Grandview_Inventory[[#This Row],[parcel_acres]]-Grandview_Inventory[[#This Row],[non_valued_acres]] =0,0,LN(Grandview_Inventory[[#This Row],[parcel_acres]]-Grandview_Inventory[[#This Row],[non_valued_acres]]))</f>
        <v>-0.51082562376599072</v>
      </c>
      <c r="M325">
        <v>0</v>
      </c>
      <c r="N325">
        <v>0</v>
      </c>
      <c r="O325">
        <v>0</v>
      </c>
      <c r="P325">
        <v>13398.7528</v>
      </c>
      <c r="Q325">
        <v>63903</v>
      </c>
      <c r="R325">
        <f>(Grandview_Inventory[[#This Row],[ln_acres]]*Grandview_Inventory[[#This Row],[coeff]])+Grandview_Inventory[[#This Row],[const]]</f>
        <v>57058.573743253684</v>
      </c>
      <c r="S325" t="s">
        <v>61</v>
      </c>
      <c r="T325">
        <v>1</v>
      </c>
      <c r="U325" t="s">
        <v>65</v>
      </c>
      <c r="V325" t="s">
        <v>69</v>
      </c>
      <c r="W325">
        <v>0</v>
      </c>
      <c r="X325">
        <v>0</v>
      </c>
      <c r="Y325">
        <v>52</v>
      </c>
      <c r="Z325">
        <v>88</v>
      </c>
      <c r="AA325">
        <v>90</v>
      </c>
      <c r="AB325">
        <v>1500</v>
      </c>
      <c r="AC325">
        <v>1316</v>
      </c>
      <c r="AD325">
        <v>1316</v>
      </c>
      <c r="AE325">
        <v>0</v>
      </c>
      <c r="AF325">
        <v>0</v>
      </c>
      <c r="AG325">
        <v>0</v>
      </c>
      <c r="AH325">
        <v>952</v>
      </c>
      <c r="AI325">
        <v>0</v>
      </c>
      <c r="AJ325">
        <v>0</v>
      </c>
      <c r="AK325">
        <v>0</v>
      </c>
      <c r="AL325">
        <v>0</v>
      </c>
      <c r="AM325">
        <v>240</v>
      </c>
      <c r="AN325">
        <v>0</v>
      </c>
      <c r="AO325">
        <v>240</v>
      </c>
      <c r="AP325">
        <v>7</v>
      </c>
      <c r="AQ325">
        <v>0</v>
      </c>
      <c r="AR325">
        <v>0</v>
      </c>
      <c r="AS325" t="s">
        <v>58</v>
      </c>
      <c r="AT325">
        <v>1</v>
      </c>
      <c r="AU325" t="s">
        <v>63</v>
      </c>
      <c r="AV325" t="s">
        <v>81</v>
      </c>
      <c r="AW325">
        <v>0</v>
      </c>
      <c r="AX325">
        <v>3</v>
      </c>
      <c r="AY325">
        <v>0</v>
      </c>
      <c r="AZ325">
        <v>19100</v>
      </c>
      <c r="BA325">
        <v>100</v>
      </c>
      <c r="BB325">
        <v>100</v>
      </c>
      <c r="BC325">
        <v>100</v>
      </c>
      <c r="BD325">
        <v>100</v>
      </c>
      <c r="BE325">
        <v>1</v>
      </c>
      <c r="BF325">
        <v>15000</v>
      </c>
      <c r="BG325">
        <v>1000</v>
      </c>
      <c r="BH325" s="6">
        <f>Grandview_Inventory[[#This Row],[land_extract]]*Lookups!$B$3</f>
        <v>66261.967629891398</v>
      </c>
      <c r="BI325" s="6">
        <f>IF(Grandview_Inventory[[#This Row],[bldg_style]]="",0,Lookups!$B$2)</f>
        <v>155833.95000000001</v>
      </c>
      <c r="BJ325" s="6">
        <f>_xlfn.IFNA(VLOOKUP(Grandview_Inventory[[#This Row],[quality]],Lookups!$H$2:$J$14,3,FALSE),0)</f>
        <v>2251</v>
      </c>
      <c r="BK325" s="6">
        <f>_xlfn.IFNA(VLOOKUP(Grandview_Inventory[[#This Row],[condition]],Lookups!$H$17:$J$24,3,FALSE),0)</f>
        <v>-4503</v>
      </c>
      <c r="BL325" s="6">
        <f>Grandview_Inventory[[#This Row],[Eff_Age]]*Lookups!$B$14</f>
        <v>-12436.663199999999</v>
      </c>
      <c r="BM325" s="6">
        <f>Grandview_Inventory[[#This Row],[living_area]]*Lookups!$B$15</f>
        <v>82093.202548000001</v>
      </c>
      <c r="BN325" s="6">
        <f>Grandview_Inventory[[#This Row],[Fin BSMT]]*Lookups!$B$16</f>
        <v>0</v>
      </c>
      <c r="BO325" s="6">
        <f>(Grandview_Inventory[[#This Row],[att_gar]]+Grandview_Inventory[[#This Row],[bltin_gar]])*Lookups!$B$17</f>
        <v>0</v>
      </c>
      <c r="BP325" s="6">
        <f>Grandview_Inventory[[#This Row],[Plumbing Fixtures]]*Lookups!$B$18</f>
        <v>14073.0926</v>
      </c>
      <c r="BQ325" s="6">
        <f>Grandview_Inventory[[#This Row],[detatched_value]]*Lookups!$B$19</f>
        <v>16173.97741</v>
      </c>
      <c r="BR325" s="6">
        <f>SUM(Grandview_Inventory[[#This Row],[Intercept]:[det_value]])*Grandview_Inventory[[#This Row],[res_pct]]</f>
        <v>253485.559358</v>
      </c>
      <c r="BS325" s="6">
        <f>Grandview_Inventory[[#This Row],[land_value]]</f>
        <v>66261.967629891398</v>
      </c>
      <c r="BT325" s="4">
        <f>_xlfn.IFNA(VLOOKUP(Grandview_Inventory[[#This Row],[quality]],Lookups!$A$26:$C$33,3,FALSE),1)</f>
        <v>0.98763855981004833</v>
      </c>
      <c r="BU325" s="4">
        <f>_xlfn.IFNA(VLOOKUP(Grandview_Inventory[[#This Row],[condition]],Lookups!$A$37:$C$44,3,FALSE),1)</f>
        <v>0.96469275950863709</v>
      </c>
      <c r="BV325" s="4">
        <f>IF(Grandview_Inventory[[#This Row],[bldg_style]]="",1,_xlfn.IFNA(VLOOKUP(Grandview_Inventory[[#This Row],[decade]],Lookups!$F$29:$H$43,3,FALSE),1))</f>
        <v>0.94161750052457416</v>
      </c>
      <c r="BW325" s="4">
        <f>_xlfn.IFNA(VLOOKUP(Grandview_Inventory[[#This Row],[living_area_range]],Lookups!$F$47:$H$56,3,FALSE),1)</f>
        <v>0.96135087979789358</v>
      </c>
      <c r="BX325" s="4">
        <f>AVERAGE(Grandview_Inventory[[#This Row],[qual_adj]:[size_adj]])</f>
        <v>0.96382492491028826</v>
      </c>
      <c r="BY325" s="6">
        <f>IF(Grandview_Inventory[[#This Row],[pre_res]]&lt;0,0,Grandview_Inventory[[#This Row],[pre_res]]*Grandview_Inventory[[#This Row],[overall_adj]])</f>
        <v>244315.70021406678</v>
      </c>
      <c r="BZ325" s="6">
        <f>(Grandview_Inventory[[#This Row],[sum_land]]-IF(Grandview_Inventory[[#This Row],[no_utilities]]=1,12000,0))/IF(Grandview_Inventory[[#This Row],[unbuildable]]=1,2,1)</f>
        <v>66261.967629891398</v>
      </c>
      <c r="CA325">
        <f>IF(ROUND(Grandview_Inventory[[#This Row],[adj_land]]*Lookups!$M$28,-2)&lt;Grandview_Inventory[[#This Row],[min_land]],Grandview_Inventory[[#This Row],[min_land]],ROUND(Grandview_Inventory[[#This Row],[adj_land]]*Lookups!$M$28,-2))</f>
        <v>62900</v>
      </c>
      <c r="CB325">
        <f>ROUND(Grandview_Inventory[[#This Row],[det_value]]*Lookups!$M$28,-2)</f>
        <v>15400</v>
      </c>
      <c r="CC325">
        <f>IF(ROUND(Grandview_Inventory[[#This Row],[adj_res]]*Lookups!$M$28,-2)&lt;Grandview_Inventory[[#This Row],[min_res]],Grandview_Inventory[[#This Row],[min_res]],ROUND(Grandview_Inventory[[#This Row],[adj_res]]*Lookups!$M$28,-2))</f>
        <v>232100</v>
      </c>
      <c r="CD325">
        <f>Grandview_Inventory[[#This Row],[final_det]]+Grandview_Inventory[[#This Row],[final_res]]</f>
        <v>247500</v>
      </c>
      <c r="CE325">
        <f>Grandview_Inventory[[#This Row],[final_land]]+Grandview_Inventory[[#This Row],[final_imp]]+Grandview_Inventory[[#This Row],[crop_value]]</f>
        <v>310400</v>
      </c>
      <c r="CG325" t="str">
        <f t="shared" si="5"/>
        <v>update valuation set market_land =62900, market_bldg=247500, market_total =310400, market_mdno =401, market_date ='9/10/2023' where link_id = (select link_id from parcel where parcel_year = '2024' and parcel_id = '23091513405');</v>
      </c>
    </row>
    <row r="326" spans="1:85" x14ac:dyDescent="0.25">
      <c r="A326">
        <v>23091513406</v>
      </c>
      <c r="B326">
        <v>0.87</v>
      </c>
      <c r="C326" t="s">
        <v>129</v>
      </c>
      <c r="D326" t="s">
        <v>129</v>
      </c>
      <c r="E326" t="s">
        <v>53</v>
      </c>
      <c r="F326" t="s">
        <v>53</v>
      </c>
      <c r="G326">
        <v>4</v>
      </c>
      <c r="H326" t="s">
        <v>54</v>
      </c>
      <c r="I326">
        <v>121900</v>
      </c>
      <c r="J326">
        <v>48400</v>
      </c>
      <c r="K326">
        <v>0.87</v>
      </c>
      <c r="L326">
        <f>IF(Grandview_Inventory[[#This Row],[parcel_acres]]-Grandview_Inventory[[#This Row],[non_valued_acres]] =0,0,LN(Grandview_Inventory[[#This Row],[parcel_acres]]-Grandview_Inventory[[#This Row],[non_valued_acres]]))</f>
        <v>-0.13926206733350766</v>
      </c>
      <c r="M326">
        <v>0</v>
      </c>
      <c r="N326">
        <v>0</v>
      </c>
      <c r="O326">
        <v>0</v>
      </c>
      <c r="P326">
        <v>13398.7528</v>
      </c>
      <c r="Q326">
        <v>63903</v>
      </c>
      <c r="R326">
        <f>(Grandview_Inventory[[#This Row],[ln_acres]]*Grandview_Inventory[[#This Row],[coeff]])+Grandview_Inventory[[#This Row],[const]]</f>
        <v>62037.061985381377</v>
      </c>
      <c r="S326" t="s">
        <v>68</v>
      </c>
      <c r="T326">
        <v>2</v>
      </c>
      <c r="U326" t="s">
        <v>80</v>
      </c>
      <c r="V326" t="s">
        <v>69</v>
      </c>
      <c r="W326">
        <v>0</v>
      </c>
      <c r="X326">
        <v>0</v>
      </c>
      <c r="Y326">
        <v>52</v>
      </c>
      <c r="Z326">
        <v>88</v>
      </c>
      <c r="AA326">
        <v>90</v>
      </c>
      <c r="AB326">
        <v>2000</v>
      </c>
      <c r="AC326">
        <v>1606</v>
      </c>
      <c r="AD326">
        <v>952</v>
      </c>
      <c r="AE326">
        <v>404</v>
      </c>
      <c r="AF326">
        <v>0</v>
      </c>
      <c r="AG326">
        <v>250</v>
      </c>
      <c r="AH326">
        <v>702</v>
      </c>
      <c r="AI326">
        <v>0</v>
      </c>
      <c r="AJ326">
        <v>0</v>
      </c>
      <c r="AK326">
        <v>0</v>
      </c>
      <c r="AL326">
        <v>0</v>
      </c>
      <c r="AM326">
        <v>544</v>
      </c>
      <c r="AN326">
        <v>0</v>
      </c>
      <c r="AO326">
        <v>0</v>
      </c>
      <c r="AP326">
        <v>5</v>
      </c>
      <c r="AQ326">
        <v>0</v>
      </c>
      <c r="AR326">
        <v>0</v>
      </c>
      <c r="AS326" t="s">
        <v>58</v>
      </c>
      <c r="AT326">
        <v>1</v>
      </c>
      <c r="AU326" t="s">
        <v>63</v>
      </c>
      <c r="AV326" t="s">
        <v>60</v>
      </c>
      <c r="AW326">
        <v>0</v>
      </c>
      <c r="AX326">
        <v>4</v>
      </c>
      <c r="AY326">
        <v>0</v>
      </c>
      <c r="AZ326">
        <v>0</v>
      </c>
      <c r="BA326">
        <v>100</v>
      </c>
      <c r="BB326">
        <v>100</v>
      </c>
      <c r="BC326">
        <v>100</v>
      </c>
      <c r="BD326">
        <v>100</v>
      </c>
      <c r="BE326">
        <v>1</v>
      </c>
      <c r="BF326">
        <v>15000</v>
      </c>
      <c r="BG326">
        <v>1000</v>
      </c>
      <c r="BH326" s="6">
        <f>Grandview_Inventory[[#This Row],[land_extract]]*Lookups!$B$3</f>
        <v>72043.472583556024</v>
      </c>
      <c r="BI326" s="6">
        <f>IF(Grandview_Inventory[[#This Row],[bldg_style]]="",0,Lookups!$B$2)</f>
        <v>155833.95000000001</v>
      </c>
      <c r="BJ326" s="6">
        <f>_xlfn.IFNA(VLOOKUP(Grandview_Inventory[[#This Row],[quality]],Lookups!$H$2:$J$14,3,FALSE),0)</f>
        <v>-28558</v>
      </c>
      <c r="BK326" s="6">
        <f>_xlfn.IFNA(VLOOKUP(Grandview_Inventory[[#This Row],[condition]],Lookups!$H$17:$J$24,3,FALSE),0)</f>
        <v>-4503</v>
      </c>
      <c r="BL326" s="6">
        <f>Grandview_Inventory[[#This Row],[Eff_Age]]*Lookups!$B$14</f>
        <v>-12436.663199999999</v>
      </c>
      <c r="BM326" s="6">
        <f>Grandview_Inventory[[#This Row],[living_area]]*Lookups!$B$15</f>
        <v>100183.64991800001</v>
      </c>
      <c r="BN326" s="6">
        <f>Grandview_Inventory[[#This Row],[Fin BSMT]]*Lookups!$B$16</f>
        <v>-6774.81</v>
      </c>
      <c r="BO326" s="6">
        <f>(Grandview_Inventory[[#This Row],[att_gar]]+Grandview_Inventory[[#This Row],[bltin_gar]])*Lookups!$B$17</f>
        <v>0</v>
      </c>
      <c r="BP326" s="6">
        <f>Grandview_Inventory[[#This Row],[Plumbing Fixtures]]*Lookups!$B$18</f>
        <v>10052.209000000001</v>
      </c>
      <c r="BQ326" s="6">
        <f>Grandview_Inventory[[#This Row],[detatched_value]]*Lookups!$B$19</f>
        <v>0</v>
      </c>
      <c r="BR326" s="6">
        <f>SUM(Grandview_Inventory[[#This Row],[Intercept]:[det_value]])*Grandview_Inventory[[#This Row],[res_pct]]</f>
        <v>213797.33571800005</v>
      </c>
      <c r="BS326" s="6">
        <f>Grandview_Inventory[[#This Row],[land_value]]</f>
        <v>72043.472583556024</v>
      </c>
      <c r="BT326" s="4">
        <f>_xlfn.IFNA(VLOOKUP(Grandview_Inventory[[#This Row],[quality]],Lookups!$A$26:$C$33,3,FALSE),1)</f>
        <v>0.9690360070159818</v>
      </c>
      <c r="BU326" s="4">
        <f>_xlfn.IFNA(VLOOKUP(Grandview_Inventory[[#This Row],[condition]],Lookups!$A$37:$C$44,3,FALSE),1)</f>
        <v>0.96469275950863709</v>
      </c>
      <c r="BV326" s="4">
        <f>IF(Grandview_Inventory[[#This Row],[bldg_style]]="",1,_xlfn.IFNA(VLOOKUP(Grandview_Inventory[[#This Row],[decade]],Lookups!$F$29:$H$43,3,FALSE),1))</f>
        <v>0.94161750052457416</v>
      </c>
      <c r="BW326" s="4">
        <f>_xlfn.IFNA(VLOOKUP(Grandview_Inventory[[#This Row],[living_area_range]],Lookups!$F$47:$H$56,3,FALSE),1)</f>
        <v>0.96120133463014379</v>
      </c>
      <c r="BX326" s="4">
        <f>AVERAGE(Grandview_Inventory[[#This Row],[qual_adj]:[size_adj]])</f>
        <v>0.95913690041983424</v>
      </c>
      <c r="BY326" s="6">
        <f>IF(Grandview_Inventory[[#This Row],[pre_res]]&lt;0,0,Grandview_Inventory[[#This Row],[pre_res]]*Grandview_Inventory[[#This Row],[overall_adj]])</f>
        <v>205060.91389858129</v>
      </c>
      <c r="BZ326" s="6">
        <f>(Grandview_Inventory[[#This Row],[sum_land]]-IF(Grandview_Inventory[[#This Row],[no_utilities]]=1,12000,0))/IF(Grandview_Inventory[[#This Row],[unbuildable]]=1,2,1)</f>
        <v>72043.472583556024</v>
      </c>
      <c r="CA326">
        <f>IF(ROUND(Grandview_Inventory[[#This Row],[adj_land]]*Lookups!$M$28,-2)&lt;Grandview_Inventory[[#This Row],[min_land]],Grandview_Inventory[[#This Row],[min_land]],ROUND(Grandview_Inventory[[#This Row],[adj_land]]*Lookups!$M$28,-2))</f>
        <v>68400</v>
      </c>
      <c r="CB326">
        <f>ROUND(Grandview_Inventory[[#This Row],[det_value]]*Lookups!$M$28,-2)</f>
        <v>0</v>
      </c>
      <c r="CC326">
        <f>IF(ROUND(Grandview_Inventory[[#This Row],[adj_res]]*Lookups!$M$28,-2)&lt;Grandview_Inventory[[#This Row],[min_res]],Grandview_Inventory[[#This Row],[min_res]],ROUND(Grandview_Inventory[[#This Row],[adj_res]]*Lookups!$M$28,-2))</f>
        <v>194800</v>
      </c>
      <c r="CD326">
        <f>Grandview_Inventory[[#This Row],[final_det]]+Grandview_Inventory[[#This Row],[final_res]]</f>
        <v>194800</v>
      </c>
      <c r="CE326">
        <f>Grandview_Inventory[[#This Row],[final_land]]+Grandview_Inventory[[#This Row],[final_imp]]+Grandview_Inventory[[#This Row],[crop_value]]</f>
        <v>263200</v>
      </c>
      <c r="CG326" t="str">
        <f t="shared" si="5"/>
        <v>update valuation set market_land =68400, market_bldg=194800, market_total =263200, market_mdno =401, market_date ='9/10/2023' where link_id = (select link_id from parcel where parcel_year = '2024' and parcel_id = '23091513406');</v>
      </c>
    </row>
    <row r="327" spans="1:85" x14ac:dyDescent="0.25">
      <c r="A327">
        <v>23091514009</v>
      </c>
      <c r="B327">
        <v>0.55000000000000004</v>
      </c>
      <c r="C327">
        <v>24105</v>
      </c>
      <c r="D327" t="s">
        <v>129</v>
      </c>
      <c r="E327" t="s">
        <v>53</v>
      </c>
      <c r="F327" t="s">
        <v>53</v>
      </c>
      <c r="G327">
        <v>4</v>
      </c>
      <c r="H327" t="s">
        <v>54</v>
      </c>
      <c r="I327">
        <v>102900</v>
      </c>
      <c r="J327">
        <v>46600</v>
      </c>
      <c r="K327">
        <v>0.55000000000000004</v>
      </c>
      <c r="L327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327">
        <v>0</v>
      </c>
      <c r="N327">
        <v>0</v>
      </c>
      <c r="O327">
        <v>0</v>
      </c>
      <c r="P327">
        <v>13398.7528</v>
      </c>
      <c r="Q327">
        <v>63903</v>
      </c>
      <c r="R327">
        <f>(Grandview_Inventory[[#This Row],[ln_acres]]*Grandview_Inventory[[#This Row],[coeff]])+Grandview_Inventory[[#This Row],[const]]</f>
        <v>55892.729812182028</v>
      </c>
      <c r="S327" t="s">
        <v>68</v>
      </c>
      <c r="T327">
        <v>1</v>
      </c>
      <c r="U327" t="s">
        <v>80</v>
      </c>
      <c r="V327" t="s">
        <v>69</v>
      </c>
      <c r="W327">
        <v>0</v>
      </c>
      <c r="X327">
        <v>0</v>
      </c>
      <c r="Y327">
        <v>55</v>
      </c>
      <c r="Z327">
        <v>98</v>
      </c>
      <c r="AA327">
        <v>100</v>
      </c>
      <c r="AB327">
        <v>1000</v>
      </c>
      <c r="AC327">
        <v>768</v>
      </c>
      <c r="AD327">
        <v>768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96</v>
      </c>
      <c r="AO327">
        <v>0</v>
      </c>
      <c r="AP327">
        <v>5</v>
      </c>
      <c r="AQ327">
        <v>0</v>
      </c>
      <c r="AR327">
        <v>0</v>
      </c>
      <c r="AS327" t="s">
        <v>58</v>
      </c>
      <c r="AT327">
        <v>1</v>
      </c>
      <c r="AU327" t="s">
        <v>63</v>
      </c>
      <c r="AV327" t="s">
        <v>81</v>
      </c>
      <c r="AW327">
        <v>0</v>
      </c>
      <c r="AX327">
        <v>2</v>
      </c>
      <c r="AY327">
        <v>0</v>
      </c>
      <c r="AZ327">
        <v>18300</v>
      </c>
      <c r="BA327">
        <v>100</v>
      </c>
      <c r="BB327">
        <v>100</v>
      </c>
      <c r="BC327">
        <v>100</v>
      </c>
      <c r="BD327">
        <v>100</v>
      </c>
      <c r="BE327">
        <v>1</v>
      </c>
      <c r="BF327">
        <v>15000</v>
      </c>
      <c r="BG327">
        <v>1000</v>
      </c>
      <c r="BH327" s="6">
        <f>Grandview_Inventory[[#This Row],[land_extract]]*Lookups!$B$3</f>
        <v>64908.076220516494</v>
      </c>
      <c r="BI327" s="6">
        <f>IF(Grandview_Inventory[[#This Row],[bldg_style]]="",0,Lookups!$B$2)</f>
        <v>155833.95000000001</v>
      </c>
      <c r="BJ327" s="6">
        <f>_xlfn.IFNA(VLOOKUP(Grandview_Inventory[[#This Row],[quality]],Lookups!$H$2:$J$14,3,FALSE),0)</f>
        <v>-28558</v>
      </c>
      <c r="BK327" s="6">
        <f>_xlfn.IFNA(VLOOKUP(Grandview_Inventory[[#This Row],[condition]],Lookups!$H$17:$J$24,3,FALSE),0)</f>
        <v>-4503</v>
      </c>
      <c r="BL327" s="6">
        <f>Grandview_Inventory[[#This Row],[Eff_Age]]*Lookups!$B$14</f>
        <v>-13154.162999999999</v>
      </c>
      <c r="BM327" s="6">
        <f>Grandview_Inventory[[#This Row],[living_area]]*Lookups!$B$15</f>
        <v>47908.495104000001</v>
      </c>
      <c r="BN327" s="6">
        <f>Grandview_Inventory[[#This Row],[Fin BSMT]]*Lookups!$B$16</f>
        <v>0</v>
      </c>
      <c r="BO327" s="6">
        <f>(Grandview_Inventory[[#This Row],[att_gar]]+Grandview_Inventory[[#This Row],[bltin_gar]])*Lookups!$B$17</f>
        <v>0</v>
      </c>
      <c r="BP327" s="6">
        <f>Grandview_Inventory[[#This Row],[Plumbing Fixtures]]*Lookups!$B$18</f>
        <v>10052.209000000001</v>
      </c>
      <c r="BQ327" s="6">
        <f>Grandview_Inventory[[#This Row],[detatched_value]]*Lookups!$B$19</f>
        <v>15496.53333</v>
      </c>
      <c r="BR327" s="6">
        <f>SUM(Grandview_Inventory[[#This Row],[Intercept]:[det_value]])*Grandview_Inventory[[#This Row],[res_pct]]</f>
        <v>183076.02443400002</v>
      </c>
      <c r="BS327" s="6">
        <f>Grandview_Inventory[[#This Row],[land_value]]</f>
        <v>64908.076220516494</v>
      </c>
      <c r="BT327" s="4">
        <f>_xlfn.IFNA(VLOOKUP(Grandview_Inventory[[#This Row],[quality]],Lookups!$A$26:$C$33,3,FALSE),1)</f>
        <v>0.9690360070159818</v>
      </c>
      <c r="BU327" s="4">
        <f>_xlfn.IFNA(VLOOKUP(Grandview_Inventory[[#This Row],[condition]],Lookups!$A$37:$C$44,3,FALSE),1)</f>
        <v>0.96469275950863709</v>
      </c>
      <c r="BV327" s="4">
        <f>IF(Grandview_Inventory[[#This Row],[bldg_style]]="",1,_xlfn.IFNA(VLOOKUP(Grandview_Inventory[[#This Row],[decade]],Lookups!$F$29:$H$43,3,FALSE),1))</f>
        <v>0.95244691841736806</v>
      </c>
      <c r="BW327" s="4">
        <f>_xlfn.IFNA(VLOOKUP(Grandview_Inventory[[#This Row],[living_area_range]],Lookups!$F$47:$H$56,3,FALSE),1)</f>
        <v>0.94306777142782894</v>
      </c>
      <c r="BX327" s="4">
        <f>AVERAGE(Grandview_Inventory[[#This Row],[qual_adj]:[size_adj]])</f>
        <v>0.95731086409245392</v>
      </c>
      <c r="BY327" s="6">
        <f>IF(Grandview_Inventory[[#This Row],[pre_res]]&lt;0,0,Grandview_Inventory[[#This Row],[pre_res]]*Grandview_Inventory[[#This Row],[overall_adj]])</f>
        <v>175260.66714552377</v>
      </c>
      <c r="BZ327" s="6">
        <f>(Grandview_Inventory[[#This Row],[sum_land]]-IF(Grandview_Inventory[[#This Row],[no_utilities]]=1,12000,0))/IF(Grandview_Inventory[[#This Row],[unbuildable]]=1,2,1)</f>
        <v>64908.076220516494</v>
      </c>
      <c r="CA327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327">
        <f>ROUND(Grandview_Inventory[[#This Row],[det_value]]*Lookups!$M$28,-2)</f>
        <v>14700</v>
      </c>
      <c r="CC327">
        <f>IF(ROUND(Grandview_Inventory[[#This Row],[adj_res]]*Lookups!$M$28,-2)&lt;Grandview_Inventory[[#This Row],[min_res]],Grandview_Inventory[[#This Row],[min_res]],ROUND(Grandview_Inventory[[#This Row],[adj_res]]*Lookups!$M$28,-2))</f>
        <v>166500</v>
      </c>
      <c r="CD327">
        <f>Grandview_Inventory[[#This Row],[final_det]]+Grandview_Inventory[[#This Row],[final_res]]</f>
        <v>181200</v>
      </c>
      <c r="CE327">
        <f>Grandview_Inventory[[#This Row],[final_land]]+Grandview_Inventory[[#This Row],[final_imp]]+Grandview_Inventory[[#This Row],[crop_value]]</f>
        <v>242900</v>
      </c>
      <c r="CG327" t="str">
        <f t="shared" si="5"/>
        <v>update valuation set market_land =61700, market_bldg=181200, market_total =242900, market_mdno =401, market_date ='9/10/2023' where link_id = (select link_id from parcel where parcel_year = '2024' and parcel_id = '23091514009');</v>
      </c>
    </row>
    <row r="328" spans="1:85" x14ac:dyDescent="0.25">
      <c r="A328">
        <v>23091514010</v>
      </c>
      <c r="B328">
        <v>0.45</v>
      </c>
      <c r="C328">
        <v>19716</v>
      </c>
      <c r="D328" t="s">
        <v>129</v>
      </c>
      <c r="E328" t="s">
        <v>53</v>
      </c>
      <c r="F328" t="s">
        <v>53</v>
      </c>
      <c r="G328">
        <v>4</v>
      </c>
      <c r="H328" t="s">
        <v>54</v>
      </c>
      <c r="I328">
        <v>124200</v>
      </c>
      <c r="J328">
        <v>46100</v>
      </c>
      <c r="K328">
        <v>0.45</v>
      </c>
      <c r="L328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328">
        <v>0</v>
      </c>
      <c r="N328">
        <v>0</v>
      </c>
      <c r="O328">
        <v>0</v>
      </c>
      <c r="P328">
        <v>13398.7528</v>
      </c>
      <c r="Q328">
        <v>63903</v>
      </c>
      <c r="R328">
        <f>(Grandview_Inventory[[#This Row],[ln_acres]]*Grandview_Inventory[[#This Row],[coeff]])+Grandview_Inventory[[#This Row],[const]]</f>
        <v>53203.992769480581</v>
      </c>
      <c r="S328" t="s">
        <v>68</v>
      </c>
      <c r="T328">
        <v>1</v>
      </c>
      <c r="U328" t="s">
        <v>80</v>
      </c>
      <c r="V328" t="s">
        <v>78</v>
      </c>
      <c r="W328">
        <v>0</v>
      </c>
      <c r="X328">
        <v>0</v>
      </c>
      <c r="Y328">
        <v>52</v>
      </c>
      <c r="Z328">
        <v>88</v>
      </c>
      <c r="AA328">
        <v>90</v>
      </c>
      <c r="AB328">
        <v>2000</v>
      </c>
      <c r="AC328">
        <v>1550</v>
      </c>
      <c r="AD328">
        <v>1550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100</v>
      </c>
      <c r="AO328">
        <v>0</v>
      </c>
      <c r="AP328">
        <v>8</v>
      </c>
      <c r="AQ328">
        <v>1</v>
      </c>
      <c r="AR328">
        <v>0</v>
      </c>
      <c r="AS328" t="s">
        <v>58</v>
      </c>
      <c r="AT328">
        <v>0</v>
      </c>
      <c r="AU328" t="s">
        <v>134</v>
      </c>
      <c r="AV328" t="s">
        <v>135</v>
      </c>
      <c r="AW328">
        <v>0</v>
      </c>
      <c r="AX328">
        <v>3</v>
      </c>
      <c r="AY328">
        <v>0</v>
      </c>
      <c r="AZ328">
        <v>0</v>
      </c>
      <c r="BA328">
        <v>100</v>
      </c>
      <c r="BB328">
        <v>100</v>
      </c>
      <c r="BC328">
        <v>100</v>
      </c>
      <c r="BD328">
        <v>100</v>
      </c>
      <c r="BE328">
        <v>1</v>
      </c>
      <c r="BF328">
        <v>15000</v>
      </c>
      <c r="BG328">
        <v>1000</v>
      </c>
      <c r="BH328" s="6">
        <f>Grandview_Inventory[[#This Row],[land_extract]]*Lookups!$B$3</f>
        <v>61785.653152417319</v>
      </c>
      <c r="BI328" s="6">
        <f>IF(Grandview_Inventory[[#This Row],[bldg_style]]="",0,Lookups!$B$2)</f>
        <v>155833.95000000001</v>
      </c>
      <c r="BJ328" s="6">
        <f>_xlfn.IFNA(VLOOKUP(Grandview_Inventory[[#This Row],[quality]],Lookups!$H$2:$J$14,3,FALSE),0)</f>
        <v>-28558</v>
      </c>
      <c r="BK328" s="6">
        <f>_xlfn.IFNA(VLOOKUP(Grandview_Inventory[[#This Row],[condition]],Lookups!$H$17:$J$24,3,FALSE),0)</f>
        <v>-45357</v>
      </c>
      <c r="BL328" s="6">
        <f>Grandview_Inventory[[#This Row],[Eff_Age]]*Lookups!$B$14</f>
        <v>-12436.663199999999</v>
      </c>
      <c r="BM328" s="6">
        <f>Grandview_Inventory[[#This Row],[living_area]]*Lookups!$B$15</f>
        <v>96690.322150000007</v>
      </c>
      <c r="BN328" s="6">
        <f>Grandview_Inventory[[#This Row],[Fin BSMT]]*Lookups!$B$16</f>
        <v>0</v>
      </c>
      <c r="BO328" s="6">
        <f>(Grandview_Inventory[[#This Row],[att_gar]]+Grandview_Inventory[[#This Row],[bltin_gar]])*Lookups!$B$17</f>
        <v>0</v>
      </c>
      <c r="BP328" s="6">
        <f>Grandview_Inventory[[#This Row],[Plumbing Fixtures]]*Lookups!$B$18</f>
        <v>16083.5344</v>
      </c>
      <c r="BQ328" s="6">
        <f>Grandview_Inventory[[#This Row],[detatched_value]]*Lookups!$B$19</f>
        <v>0</v>
      </c>
      <c r="BR328" s="6">
        <f>SUM(Grandview_Inventory[[#This Row],[Intercept]:[det_value]])*Grandview_Inventory[[#This Row],[res_pct]]</f>
        <v>182256.14335000003</v>
      </c>
      <c r="BS328" s="6">
        <f>Grandview_Inventory[[#This Row],[land_value]]</f>
        <v>61785.653152417319</v>
      </c>
      <c r="BT328" s="4">
        <f>_xlfn.IFNA(VLOOKUP(Grandview_Inventory[[#This Row],[quality]],Lookups!$A$26:$C$33,3,FALSE),1)</f>
        <v>0.9690360070159818</v>
      </c>
      <c r="BU328" s="4">
        <f>_xlfn.IFNA(VLOOKUP(Grandview_Inventory[[#This Row],[condition]],Lookups!$A$37:$C$44,3,FALSE),1)</f>
        <v>0.97161819570155394</v>
      </c>
      <c r="BV328" s="4">
        <f>IF(Grandview_Inventory[[#This Row],[bldg_style]]="",1,_xlfn.IFNA(VLOOKUP(Grandview_Inventory[[#This Row],[decade]],Lookups!$F$29:$H$43,3,FALSE),1))</f>
        <v>0.94161750052457416</v>
      </c>
      <c r="BW328" s="4">
        <f>_xlfn.IFNA(VLOOKUP(Grandview_Inventory[[#This Row],[living_area_range]],Lookups!$F$47:$H$56,3,FALSE),1)</f>
        <v>0.96120133463014379</v>
      </c>
      <c r="BX328" s="4">
        <f>AVERAGE(Grandview_Inventory[[#This Row],[qual_adj]:[size_adj]])</f>
        <v>0.96086825946806353</v>
      </c>
      <c r="BY328" s="6">
        <f>IF(Grandview_Inventory[[#This Row],[pre_res]]&lt;0,0,Grandview_Inventory[[#This Row],[pre_res]]*Grandview_Inventory[[#This Row],[overall_adj]])</f>
        <v>175124.14323807642</v>
      </c>
      <c r="BZ328" s="6">
        <f>(Grandview_Inventory[[#This Row],[sum_land]]-IF(Grandview_Inventory[[#This Row],[no_utilities]]=1,12000,0))/IF(Grandview_Inventory[[#This Row],[unbuildable]]=1,2,1)</f>
        <v>61785.653152417319</v>
      </c>
      <c r="CA328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328">
        <f>ROUND(Grandview_Inventory[[#This Row],[det_value]]*Lookups!$M$28,-2)</f>
        <v>0</v>
      </c>
      <c r="CC328">
        <f>IF(ROUND(Grandview_Inventory[[#This Row],[adj_res]]*Lookups!$M$28,-2)&lt;Grandview_Inventory[[#This Row],[min_res]],Grandview_Inventory[[#This Row],[min_res]],ROUND(Grandview_Inventory[[#This Row],[adj_res]]*Lookups!$M$28,-2))</f>
        <v>166400</v>
      </c>
      <c r="CD328">
        <f>Grandview_Inventory[[#This Row],[final_det]]+Grandview_Inventory[[#This Row],[final_res]]</f>
        <v>166400</v>
      </c>
      <c r="CE328">
        <f>Grandview_Inventory[[#This Row],[final_land]]+Grandview_Inventory[[#This Row],[final_imp]]+Grandview_Inventory[[#This Row],[crop_value]]</f>
        <v>225100</v>
      </c>
      <c r="CG328" t="str">
        <f t="shared" si="5"/>
        <v>update valuation set market_land =58700, market_bldg=166400, market_total =225100, market_mdno =401, market_date ='9/10/2023' where link_id = (select link_id from parcel where parcel_year = '2024' and parcel_id = '23091514010');</v>
      </c>
    </row>
    <row r="329" spans="1:85" x14ac:dyDescent="0.25">
      <c r="A329">
        <v>23091514016</v>
      </c>
      <c r="B329">
        <v>0.43</v>
      </c>
      <c r="C329">
        <v>18651</v>
      </c>
      <c r="D329" t="s">
        <v>129</v>
      </c>
      <c r="E329" t="s">
        <v>53</v>
      </c>
      <c r="F329" t="s">
        <v>53</v>
      </c>
      <c r="G329">
        <v>4</v>
      </c>
      <c r="H329" t="s">
        <v>54</v>
      </c>
      <c r="I329">
        <v>258400</v>
      </c>
      <c r="J329">
        <v>41400</v>
      </c>
      <c r="K329">
        <v>0.43</v>
      </c>
      <c r="L329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329">
        <v>0</v>
      </c>
      <c r="N329">
        <v>0</v>
      </c>
      <c r="O329">
        <v>0</v>
      </c>
      <c r="P329">
        <v>13398.7528</v>
      </c>
      <c r="Q329">
        <v>63903</v>
      </c>
      <c r="R329">
        <f>(Grandview_Inventory[[#This Row],[ln_acres]]*Grandview_Inventory[[#This Row],[coeff]])+Grandview_Inventory[[#This Row],[const]]</f>
        <v>52594.853657524982</v>
      </c>
      <c r="S329" t="s">
        <v>61</v>
      </c>
      <c r="T329">
        <v>1</v>
      </c>
      <c r="U329" t="s">
        <v>65</v>
      </c>
      <c r="V329" t="s">
        <v>67</v>
      </c>
      <c r="W329">
        <v>0</v>
      </c>
      <c r="X329">
        <v>0</v>
      </c>
      <c r="Y329">
        <v>49</v>
      </c>
      <c r="Z329">
        <v>67</v>
      </c>
      <c r="AA329">
        <v>70</v>
      </c>
      <c r="AB329">
        <v>2500</v>
      </c>
      <c r="AC329">
        <v>2112</v>
      </c>
      <c r="AD329">
        <v>2112</v>
      </c>
      <c r="AE329">
        <v>0</v>
      </c>
      <c r="AF329">
        <v>0</v>
      </c>
      <c r="AG329">
        <v>0</v>
      </c>
      <c r="AH329">
        <v>0</v>
      </c>
      <c r="AI329">
        <v>288</v>
      </c>
      <c r="AJ329">
        <v>0</v>
      </c>
      <c r="AK329">
        <v>0</v>
      </c>
      <c r="AL329">
        <v>0</v>
      </c>
      <c r="AM329">
        <v>288</v>
      </c>
      <c r="AN329">
        <v>150</v>
      </c>
      <c r="AO329">
        <v>168</v>
      </c>
      <c r="AP329">
        <v>9</v>
      </c>
      <c r="AQ329">
        <v>0</v>
      </c>
      <c r="AR329">
        <v>0</v>
      </c>
      <c r="AS329" t="s">
        <v>58</v>
      </c>
      <c r="AT329">
        <v>1</v>
      </c>
      <c r="AU329" t="s">
        <v>59</v>
      </c>
      <c r="AV329" t="s">
        <v>60</v>
      </c>
      <c r="AW329">
        <v>1</v>
      </c>
      <c r="AX329">
        <v>4</v>
      </c>
      <c r="AY329">
        <v>0</v>
      </c>
      <c r="AZ329">
        <v>5900</v>
      </c>
      <c r="BA329">
        <v>100</v>
      </c>
      <c r="BB329">
        <v>100</v>
      </c>
      <c r="BC329">
        <v>100</v>
      </c>
      <c r="BD329">
        <v>100</v>
      </c>
      <c r="BE329">
        <v>1</v>
      </c>
      <c r="BF329">
        <v>15000</v>
      </c>
      <c r="BG329">
        <v>1000</v>
      </c>
      <c r="BH329" s="6">
        <f>Grandview_Inventory[[#This Row],[land_extract]]*Lookups!$B$3</f>
        <v>61078.261546378882</v>
      </c>
      <c r="BI329" s="6">
        <f>IF(Grandview_Inventory[[#This Row],[bldg_style]]="",0,Lookups!$B$2)</f>
        <v>155833.95000000001</v>
      </c>
      <c r="BJ329" s="6">
        <f>_xlfn.IFNA(VLOOKUP(Grandview_Inventory[[#This Row],[quality]],Lookups!$H$2:$J$14,3,FALSE),0)</f>
        <v>2251</v>
      </c>
      <c r="BK329" s="6">
        <f>_xlfn.IFNA(VLOOKUP(Grandview_Inventory[[#This Row],[condition]],Lookups!$H$17:$J$24,3,FALSE),0)</f>
        <v>22342</v>
      </c>
      <c r="BL329" s="6">
        <f>Grandview_Inventory[[#This Row],[Eff_Age]]*Lookups!$B$14</f>
        <v>-11719.163399999999</v>
      </c>
      <c r="BM329" s="6">
        <f>Grandview_Inventory[[#This Row],[living_area]]*Lookups!$B$15</f>
        <v>131748.36153600001</v>
      </c>
      <c r="BN329" s="6">
        <f>Grandview_Inventory[[#This Row],[Fin BSMT]]*Lookups!$B$16</f>
        <v>0</v>
      </c>
      <c r="BO329" s="6">
        <f>(Grandview_Inventory[[#This Row],[att_gar]]+Grandview_Inventory[[#This Row],[bltin_gar]])*Lookups!$B$17</f>
        <v>25205.885856000001</v>
      </c>
      <c r="BP329" s="6">
        <f>Grandview_Inventory[[#This Row],[Plumbing Fixtures]]*Lookups!$B$18</f>
        <v>18093.976200000001</v>
      </c>
      <c r="BQ329" s="6">
        <f>Grandview_Inventory[[#This Row],[detatched_value]]*Lookups!$B$19</f>
        <v>4996.1500900000001</v>
      </c>
      <c r="BR329" s="6">
        <f>SUM(Grandview_Inventory[[#This Row],[Intercept]:[det_value]])*Grandview_Inventory[[#This Row],[res_pct]]</f>
        <v>348752.16028200003</v>
      </c>
      <c r="BS329" s="6">
        <f>Grandview_Inventory[[#This Row],[land_value]]</f>
        <v>61078.261546378882</v>
      </c>
      <c r="BT329" s="4">
        <f>_xlfn.IFNA(VLOOKUP(Grandview_Inventory[[#This Row],[quality]],Lookups!$A$26:$C$33,3,FALSE),1)</f>
        <v>0.98763855981004833</v>
      </c>
      <c r="BU329" s="4">
        <f>_xlfn.IFNA(VLOOKUP(Grandview_Inventory[[#This Row],[condition]],Lookups!$A$37:$C$44,3,FALSE),1)</f>
        <v>0.97383723671140243</v>
      </c>
      <c r="BV329" s="4">
        <f>IF(Grandview_Inventory[[#This Row],[bldg_style]]="",1,_xlfn.IFNA(VLOOKUP(Grandview_Inventory[[#This Row],[decade]],Lookups!$F$29:$H$43,3,FALSE),1))</f>
        <v>0.99472141305414818</v>
      </c>
      <c r="BW329" s="4">
        <f>_xlfn.IFNA(VLOOKUP(Grandview_Inventory[[#This Row],[living_area_range]],Lookups!$F$47:$H$56,3,FALSE),1)</f>
        <v>0.95799442568048754</v>
      </c>
      <c r="BX329" s="4">
        <f>AVERAGE(Grandview_Inventory[[#This Row],[qual_adj]:[size_adj]])</f>
        <v>0.97854790881402165</v>
      </c>
      <c r="BY329" s="6">
        <f>IF(Grandview_Inventory[[#This Row],[pre_res]]&lt;0,0,Grandview_Inventory[[#This Row],[pre_res]]*Grandview_Inventory[[#This Row],[overall_adj]])</f>
        <v>341270.69713832362</v>
      </c>
      <c r="BZ329" s="6">
        <f>(Grandview_Inventory[[#This Row],[sum_land]]-IF(Grandview_Inventory[[#This Row],[no_utilities]]=1,12000,0))/IF(Grandview_Inventory[[#This Row],[unbuildable]]=1,2,1)</f>
        <v>61078.261546378882</v>
      </c>
      <c r="CA329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329">
        <f>ROUND(Grandview_Inventory[[#This Row],[det_value]]*Lookups!$M$28,-2)</f>
        <v>4700</v>
      </c>
      <c r="CC329">
        <f>IF(ROUND(Grandview_Inventory[[#This Row],[adj_res]]*Lookups!$M$28,-2)&lt;Grandview_Inventory[[#This Row],[min_res]],Grandview_Inventory[[#This Row],[min_res]],ROUND(Grandview_Inventory[[#This Row],[adj_res]]*Lookups!$M$28,-2))</f>
        <v>324200</v>
      </c>
      <c r="CD329">
        <f>Grandview_Inventory[[#This Row],[final_det]]+Grandview_Inventory[[#This Row],[final_res]]</f>
        <v>328900</v>
      </c>
      <c r="CE329">
        <f>Grandview_Inventory[[#This Row],[final_land]]+Grandview_Inventory[[#This Row],[final_imp]]+Grandview_Inventory[[#This Row],[crop_value]]</f>
        <v>386900</v>
      </c>
      <c r="CG329" t="str">
        <f t="shared" si="5"/>
        <v>update valuation set market_land =58000, market_bldg=328900, market_total =386900, market_mdno =401, market_date ='9/10/2023' where link_id = (select link_id from parcel where parcel_year = '2024' and parcel_id = '23091514016');</v>
      </c>
    </row>
    <row r="330" spans="1:85" x14ac:dyDescent="0.25">
      <c r="A330">
        <v>23091514019</v>
      </c>
      <c r="B330">
        <v>0.59</v>
      </c>
      <c r="C330">
        <v>25606</v>
      </c>
      <c r="D330" t="s">
        <v>129</v>
      </c>
      <c r="E330" t="s">
        <v>53</v>
      </c>
      <c r="F330" t="s">
        <v>53</v>
      </c>
      <c r="G330">
        <v>4</v>
      </c>
      <c r="H330" t="s">
        <v>54</v>
      </c>
      <c r="I330">
        <v>98300</v>
      </c>
      <c r="J330">
        <v>47000</v>
      </c>
      <c r="K330">
        <v>0.59</v>
      </c>
      <c r="L330">
        <f>IF(Grandview_Inventory[[#This Row],[parcel_acres]]-Grandview_Inventory[[#This Row],[non_valued_acres]] =0,0,LN(Grandview_Inventory[[#This Row],[parcel_acres]]-Grandview_Inventory[[#This Row],[non_valued_acres]]))</f>
        <v>-0.52763274208237199</v>
      </c>
      <c r="M330">
        <v>0</v>
      </c>
      <c r="N330">
        <v>0</v>
      </c>
      <c r="O330">
        <v>0</v>
      </c>
      <c r="P330">
        <v>13398.7528</v>
      </c>
      <c r="Q330">
        <v>63903</v>
      </c>
      <c r="R330">
        <f>(Grandview_Inventory[[#This Row],[ln_acres]]*Grandview_Inventory[[#This Row],[coeff]])+Grandview_Inventory[[#This Row],[const]]</f>
        <v>56833.379319652144</v>
      </c>
      <c r="S330" t="s">
        <v>61</v>
      </c>
      <c r="T330">
        <v>1</v>
      </c>
      <c r="U330" t="s">
        <v>80</v>
      </c>
      <c r="V330" t="s">
        <v>69</v>
      </c>
      <c r="W330">
        <v>0</v>
      </c>
      <c r="X330">
        <v>0</v>
      </c>
      <c r="Y330">
        <v>50</v>
      </c>
      <c r="Z330">
        <v>73</v>
      </c>
      <c r="AA330">
        <v>80</v>
      </c>
      <c r="AB330">
        <v>1500</v>
      </c>
      <c r="AC330">
        <v>1016</v>
      </c>
      <c r="AD330">
        <v>1016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5</v>
      </c>
      <c r="AQ330">
        <v>0</v>
      </c>
      <c r="AR330">
        <v>0</v>
      </c>
      <c r="AS330" t="s">
        <v>58</v>
      </c>
      <c r="AT330">
        <v>0</v>
      </c>
      <c r="AU330" t="s">
        <v>82</v>
      </c>
      <c r="AV330" t="s">
        <v>64</v>
      </c>
      <c r="AW330">
        <v>0</v>
      </c>
      <c r="AX330">
        <v>2</v>
      </c>
      <c r="AY330">
        <v>0</v>
      </c>
      <c r="AZ330">
        <v>0</v>
      </c>
      <c r="BA330">
        <v>100</v>
      </c>
      <c r="BB330">
        <v>100</v>
      </c>
      <c r="BC330">
        <v>100</v>
      </c>
      <c r="BD330">
        <v>100</v>
      </c>
      <c r="BE330">
        <v>1</v>
      </c>
      <c r="BF330">
        <v>15000</v>
      </c>
      <c r="BG330">
        <v>1000</v>
      </c>
      <c r="BH330" s="6">
        <f>Grandview_Inventory[[#This Row],[land_extract]]*Lookups!$B$3</f>
        <v>66000.449953787873</v>
      </c>
      <c r="BI330" s="6">
        <f>IF(Grandview_Inventory[[#This Row],[bldg_style]]="",0,Lookups!$B$2)</f>
        <v>155833.95000000001</v>
      </c>
      <c r="BJ330" s="6">
        <f>_xlfn.IFNA(VLOOKUP(Grandview_Inventory[[#This Row],[quality]],Lookups!$H$2:$J$14,3,FALSE),0)</f>
        <v>-28558</v>
      </c>
      <c r="BK330" s="6">
        <f>_xlfn.IFNA(VLOOKUP(Grandview_Inventory[[#This Row],[condition]],Lookups!$H$17:$J$24,3,FALSE),0)</f>
        <v>-4503</v>
      </c>
      <c r="BL330" s="6">
        <f>Grandview_Inventory[[#This Row],[Eff_Age]]*Lookups!$B$14</f>
        <v>-11958.33</v>
      </c>
      <c r="BM330" s="6">
        <f>Grandview_Inventory[[#This Row],[living_area]]*Lookups!$B$15</f>
        <v>63378.946648000005</v>
      </c>
      <c r="BN330" s="6">
        <f>Grandview_Inventory[[#This Row],[Fin BSMT]]*Lookups!$B$16</f>
        <v>0</v>
      </c>
      <c r="BO330" s="6">
        <f>(Grandview_Inventory[[#This Row],[att_gar]]+Grandview_Inventory[[#This Row],[bltin_gar]])*Lookups!$B$17</f>
        <v>0</v>
      </c>
      <c r="BP330" s="6">
        <f>Grandview_Inventory[[#This Row],[Plumbing Fixtures]]*Lookups!$B$18</f>
        <v>10052.209000000001</v>
      </c>
      <c r="BQ330" s="6">
        <f>Grandview_Inventory[[#This Row],[detatched_value]]*Lookups!$B$19</f>
        <v>0</v>
      </c>
      <c r="BR330" s="6">
        <f>SUM(Grandview_Inventory[[#This Row],[Intercept]:[det_value]])*Grandview_Inventory[[#This Row],[res_pct]]</f>
        <v>184245.77564800001</v>
      </c>
      <c r="BS330" s="6">
        <f>Grandview_Inventory[[#This Row],[land_value]]</f>
        <v>66000.449953787873</v>
      </c>
      <c r="BT330" s="4">
        <f>_xlfn.IFNA(VLOOKUP(Grandview_Inventory[[#This Row],[quality]],Lookups!$A$26:$C$33,3,FALSE),1)</f>
        <v>0.9690360070159818</v>
      </c>
      <c r="BU330" s="4">
        <f>_xlfn.IFNA(VLOOKUP(Grandview_Inventory[[#This Row],[condition]],Lookups!$A$37:$C$44,3,FALSE),1)</f>
        <v>0.96469275950863709</v>
      </c>
      <c r="BV330" s="4">
        <f>IF(Grandview_Inventory[[#This Row],[bldg_style]]="",1,_xlfn.IFNA(VLOOKUP(Grandview_Inventory[[#This Row],[decade]],Lookups!$F$29:$H$43,3,FALSE),1))</f>
        <v>0.98763256963907298</v>
      </c>
      <c r="BW330" s="4">
        <f>_xlfn.IFNA(VLOOKUP(Grandview_Inventory[[#This Row],[living_area_range]],Lookups!$F$47:$H$56,3,FALSE),1)</f>
        <v>0.96135087979789358</v>
      </c>
      <c r="BX330" s="4">
        <f>AVERAGE(Grandview_Inventory[[#This Row],[qual_adj]:[size_adj]])</f>
        <v>0.97067805399039631</v>
      </c>
      <c r="BY330" s="6">
        <f>IF(Grandview_Inventory[[#This Row],[pre_res]]&lt;0,0,Grandview_Inventory[[#This Row],[pre_res]]*Grandview_Inventory[[#This Row],[overall_adj]])</f>
        <v>178843.33096195181</v>
      </c>
      <c r="BZ330" s="6">
        <f>(Grandview_Inventory[[#This Row],[sum_land]]-IF(Grandview_Inventory[[#This Row],[no_utilities]]=1,12000,0))/IF(Grandview_Inventory[[#This Row],[unbuildable]]=1,2,1)</f>
        <v>66000.449953787873</v>
      </c>
      <c r="CA330">
        <f>IF(ROUND(Grandview_Inventory[[#This Row],[adj_land]]*Lookups!$M$28,-2)&lt;Grandview_Inventory[[#This Row],[min_land]],Grandview_Inventory[[#This Row],[min_land]],ROUND(Grandview_Inventory[[#This Row],[adj_land]]*Lookups!$M$28,-2))</f>
        <v>62700</v>
      </c>
      <c r="CB330">
        <f>ROUND(Grandview_Inventory[[#This Row],[det_value]]*Lookups!$M$28,-2)</f>
        <v>0</v>
      </c>
      <c r="CC330">
        <f>IF(ROUND(Grandview_Inventory[[#This Row],[adj_res]]*Lookups!$M$28,-2)&lt;Grandview_Inventory[[#This Row],[min_res]],Grandview_Inventory[[#This Row],[min_res]],ROUND(Grandview_Inventory[[#This Row],[adj_res]]*Lookups!$M$28,-2))</f>
        <v>169900</v>
      </c>
      <c r="CD330">
        <f>Grandview_Inventory[[#This Row],[final_det]]+Grandview_Inventory[[#This Row],[final_res]]</f>
        <v>169900</v>
      </c>
      <c r="CE330">
        <f>Grandview_Inventory[[#This Row],[final_land]]+Grandview_Inventory[[#This Row],[final_imp]]+Grandview_Inventory[[#This Row],[crop_value]]</f>
        <v>232600</v>
      </c>
      <c r="CG330" t="str">
        <f t="shared" si="5"/>
        <v>update valuation set market_land =62700, market_bldg=169900, market_total =232600, market_mdno =401, market_date ='9/10/2023' where link_id = (select link_id from parcel where parcel_year = '2024' and parcel_id = '23091514019');</v>
      </c>
    </row>
    <row r="331" spans="1:85" x14ac:dyDescent="0.25">
      <c r="A331">
        <v>23091514022</v>
      </c>
      <c r="B331">
        <v>1.03</v>
      </c>
      <c r="C331">
        <v>45070</v>
      </c>
      <c r="D331" t="s">
        <v>129</v>
      </c>
      <c r="E331" t="s">
        <v>53</v>
      </c>
      <c r="F331" t="s">
        <v>53</v>
      </c>
      <c r="G331">
        <v>4</v>
      </c>
      <c r="H331" t="s">
        <v>54</v>
      </c>
      <c r="I331">
        <v>183700</v>
      </c>
      <c r="J331">
        <v>43800</v>
      </c>
      <c r="K331">
        <v>1.03</v>
      </c>
      <c r="L331">
        <f>IF(Grandview_Inventory[[#This Row],[parcel_acres]]-Grandview_Inventory[[#This Row],[non_valued_acres]] =0,0,LN(Grandview_Inventory[[#This Row],[parcel_acres]]-Grandview_Inventory[[#This Row],[non_valued_acres]]))</f>
        <v>2.9558802241544429E-2</v>
      </c>
      <c r="M331">
        <v>0</v>
      </c>
      <c r="N331">
        <v>0</v>
      </c>
      <c r="O331">
        <v>0</v>
      </c>
      <c r="P331">
        <v>13398.7528</v>
      </c>
      <c r="Q331">
        <v>63903</v>
      </c>
      <c r="R331">
        <f>(Grandview_Inventory[[#This Row],[ln_acres]]*Grandview_Inventory[[#This Row],[coeff]])+Grandview_Inventory[[#This Row],[const]]</f>
        <v>64299.051084298539</v>
      </c>
      <c r="S331" t="s">
        <v>61</v>
      </c>
      <c r="T331">
        <v>1</v>
      </c>
      <c r="U331" t="s">
        <v>70</v>
      </c>
      <c r="V331" t="s">
        <v>69</v>
      </c>
      <c r="W331">
        <v>0</v>
      </c>
      <c r="X331">
        <v>0</v>
      </c>
      <c r="Y331">
        <v>43</v>
      </c>
      <c r="Z331">
        <v>44</v>
      </c>
      <c r="AA331">
        <v>50</v>
      </c>
      <c r="AB331">
        <v>1500</v>
      </c>
      <c r="AC331">
        <v>1488</v>
      </c>
      <c r="AD331">
        <v>1488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128</v>
      </c>
      <c r="AN331">
        <v>16</v>
      </c>
      <c r="AO331">
        <v>128</v>
      </c>
      <c r="AP331">
        <v>5</v>
      </c>
      <c r="AQ331">
        <v>1</v>
      </c>
      <c r="AR331">
        <v>0</v>
      </c>
      <c r="AS331" t="s">
        <v>58</v>
      </c>
      <c r="AT331">
        <v>1</v>
      </c>
      <c r="AU331" t="s">
        <v>63</v>
      </c>
      <c r="AV331" t="s">
        <v>60</v>
      </c>
      <c r="AW331">
        <v>1</v>
      </c>
      <c r="AX331">
        <v>3</v>
      </c>
      <c r="AY331">
        <v>0</v>
      </c>
      <c r="AZ331">
        <v>0</v>
      </c>
      <c r="BA331">
        <v>100</v>
      </c>
      <c r="BB331">
        <v>100</v>
      </c>
      <c r="BC331">
        <v>100</v>
      </c>
      <c r="BD331">
        <v>100</v>
      </c>
      <c r="BE331">
        <v>1</v>
      </c>
      <c r="BF331">
        <v>15000</v>
      </c>
      <c r="BG331">
        <v>1000</v>
      </c>
      <c r="BH331" s="6">
        <f>Grandview_Inventory[[#This Row],[land_extract]]*Lookups!$B$3</f>
        <v>74670.314416757959</v>
      </c>
      <c r="BI331" s="6">
        <f>IF(Grandview_Inventory[[#This Row],[bldg_style]]="",0,Lookups!$B$2)</f>
        <v>155833.95000000001</v>
      </c>
      <c r="BJ331" s="6">
        <f>_xlfn.IFNA(VLOOKUP(Grandview_Inventory[[#This Row],[quality]],Lookups!$H$2:$J$14,3,FALSE),0)</f>
        <v>10733</v>
      </c>
      <c r="BK331" s="6">
        <f>_xlfn.IFNA(VLOOKUP(Grandview_Inventory[[#This Row],[condition]],Lookups!$H$17:$J$24,3,FALSE),0)</f>
        <v>-4503</v>
      </c>
      <c r="BL331" s="6">
        <f>Grandview_Inventory[[#This Row],[Eff_Age]]*Lookups!$B$14</f>
        <v>-10284.1638</v>
      </c>
      <c r="BM331" s="6">
        <f>Grandview_Inventory[[#This Row],[living_area]]*Lookups!$B$15</f>
        <v>92822.709264000005</v>
      </c>
      <c r="BN331" s="6">
        <f>Grandview_Inventory[[#This Row],[Fin BSMT]]*Lookups!$B$16</f>
        <v>0</v>
      </c>
      <c r="BO331" s="6">
        <f>(Grandview_Inventory[[#This Row],[att_gar]]+Grandview_Inventory[[#This Row],[bltin_gar]])*Lookups!$B$17</f>
        <v>0</v>
      </c>
      <c r="BP331" s="6">
        <f>Grandview_Inventory[[#This Row],[Plumbing Fixtures]]*Lookups!$B$18</f>
        <v>10052.209000000001</v>
      </c>
      <c r="BQ331" s="6">
        <f>Grandview_Inventory[[#This Row],[detatched_value]]*Lookups!$B$19</f>
        <v>0</v>
      </c>
      <c r="BR331" s="6">
        <f>SUM(Grandview_Inventory[[#This Row],[Intercept]:[det_value]])*Grandview_Inventory[[#This Row],[res_pct]]</f>
        <v>254654.70446400001</v>
      </c>
      <c r="BS331" s="6">
        <f>Grandview_Inventory[[#This Row],[land_value]]</f>
        <v>74670.314416757959</v>
      </c>
      <c r="BT331" s="4">
        <f>_xlfn.IFNA(VLOOKUP(Grandview_Inventory[[#This Row],[quality]],Lookups!$A$26:$C$33,3,FALSE),1)</f>
        <v>0.98079741117310582</v>
      </c>
      <c r="BU331" s="4">
        <f>_xlfn.IFNA(VLOOKUP(Grandview_Inventory[[#This Row],[condition]],Lookups!$A$37:$C$44,3,FALSE),1)</f>
        <v>0.96469275950863709</v>
      </c>
      <c r="BV331" s="4">
        <f>IF(Grandview_Inventory[[#This Row],[bldg_style]]="",1,_xlfn.IFNA(VLOOKUP(Grandview_Inventory[[#This Row],[decade]],Lookups!$F$29:$H$43,3,FALSE),1))</f>
        <v>0.9871940091910919</v>
      </c>
      <c r="BW331" s="4">
        <f>_xlfn.IFNA(VLOOKUP(Grandview_Inventory[[#This Row],[living_area_range]],Lookups!$F$47:$H$56,3,FALSE),1)</f>
        <v>0.96135087979789358</v>
      </c>
      <c r="BX331" s="4">
        <f>AVERAGE(Grandview_Inventory[[#This Row],[qual_adj]:[size_adj]])</f>
        <v>0.97350876491768212</v>
      </c>
      <c r="BY331" s="6">
        <f>IF(Grandview_Inventory[[#This Row],[pre_res]]&lt;0,0,Grandview_Inventory[[#This Row],[pre_res]]*Grandview_Inventory[[#This Row],[overall_adj]])</f>
        <v>247908.58682322601</v>
      </c>
      <c r="BZ331" s="6">
        <f>(Grandview_Inventory[[#This Row],[sum_land]]-IF(Grandview_Inventory[[#This Row],[no_utilities]]=1,12000,0))/IF(Grandview_Inventory[[#This Row],[unbuildable]]=1,2,1)</f>
        <v>74670.314416757959</v>
      </c>
      <c r="CA331">
        <f>IF(ROUND(Grandview_Inventory[[#This Row],[adj_land]]*Lookups!$M$28,-2)&lt;Grandview_Inventory[[#This Row],[min_land]],Grandview_Inventory[[#This Row],[min_land]],ROUND(Grandview_Inventory[[#This Row],[adj_land]]*Lookups!$M$28,-2))</f>
        <v>70900</v>
      </c>
      <c r="CB331">
        <f>ROUND(Grandview_Inventory[[#This Row],[det_value]]*Lookups!$M$28,-2)</f>
        <v>0</v>
      </c>
      <c r="CC331">
        <f>IF(ROUND(Grandview_Inventory[[#This Row],[adj_res]]*Lookups!$M$28,-2)&lt;Grandview_Inventory[[#This Row],[min_res]],Grandview_Inventory[[#This Row],[min_res]],ROUND(Grandview_Inventory[[#This Row],[adj_res]]*Lookups!$M$28,-2))</f>
        <v>235500</v>
      </c>
      <c r="CD331">
        <f>Grandview_Inventory[[#This Row],[final_det]]+Grandview_Inventory[[#This Row],[final_res]]</f>
        <v>235500</v>
      </c>
      <c r="CE331">
        <f>Grandview_Inventory[[#This Row],[final_land]]+Grandview_Inventory[[#This Row],[final_imp]]+Grandview_Inventory[[#This Row],[crop_value]]</f>
        <v>306400</v>
      </c>
      <c r="CG331" t="str">
        <f t="shared" si="5"/>
        <v>update valuation set market_land =70900, market_bldg=235500, market_total =306400, market_mdno =401, market_date ='9/10/2023' where link_id = (select link_id from parcel where parcel_year = '2024' and parcel_id = '23091514022');</v>
      </c>
    </row>
    <row r="332" spans="1:85" x14ac:dyDescent="0.25">
      <c r="A332">
        <v>23091514026</v>
      </c>
      <c r="B332">
        <v>11.49</v>
      </c>
      <c r="C332" t="s">
        <v>129</v>
      </c>
      <c r="D332" t="s">
        <v>129</v>
      </c>
      <c r="E332" t="s">
        <v>53</v>
      </c>
      <c r="F332" t="s">
        <v>53</v>
      </c>
      <c r="G332">
        <v>4</v>
      </c>
      <c r="H332" t="s">
        <v>54</v>
      </c>
      <c r="I332">
        <v>303400</v>
      </c>
      <c r="J332">
        <v>93100</v>
      </c>
      <c r="K332">
        <v>11.49</v>
      </c>
      <c r="L332">
        <f>IF(Grandview_Inventory[[#This Row],[parcel_acres]]-Grandview_Inventory[[#This Row],[non_valued_acres]] =0,0,LN(Grandview_Inventory[[#This Row],[parcel_acres]]-Grandview_Inventory[[#This Row],[non_valued_acres]]))</f>
        <v>2.4414770918606643</v>
      </c>
      <c r="M332">
        <v>0</v>
      </c>
      <c r="N332">
        <v>0</v>
      </c>
      <c r="O332">
        <v>0</v>
      </c>
      <c r="P332">
        <v>13398.7528</v>
      </c>
      <c r="Q332">
        <v>63903</v>
      </c>
      <c r="R332">
        <f>(Grandview_Inventory[[#This Row],[ln_acres]]*Grandview_Inventory[[#This Row],[coeff]])+Grandview_Inventory[[#This Row],[const]]</f>
        <v>96615.748020703933</v>
      </c>
      <c r="S332" t="s">
        <v>68</v>
      </c>
      <c r="T332">
        <v>1</v>
      </c>
      <c r="U332" t="s">
        <v>65</v>
      </c>
      <c r="V332" t="s">
        <v>69</v>
      </c>
      <c r="W332">
        <v>0</v>
      </c>
      <c r="X332">
        <v>0</v>
      </c>
      <c r="Y332">
        <v>51</v>
      </c>
      <c r="Z332">
        <v>83</v>
      </c>
      <c r="AA332">
        <v>90</v>
      </c>
      <c r="AB332">
        <v>2000</v>
      </c>
      <c r="AC332">
        <v>1964</v>
      </c>
      <c r="AD332">
        <v>1722</v>
      </c>
      <c r="AE332">
        <v>0</v>
      </c>
      <c r="AF332">
        <v>0</v>
      </c>
      <c r="AG332">
        <v>242</v>
      </c>
      <c r="AH332">
        <v>242</v>
      </c>
      <c r="AI332">
        <v>0</v>
      </c>
      <c r="AJ332">
        <v>0</v>
      </c>
      <c r="AK332">
        <v>0</v>
      </c>
      <c r="AL332">
        <v>112</v>
      </c>
      <c r="AM332">
        <v>0</v>
      </c>
      <c r="AN332">
        <v>0</v>
      </c>
      <c r="AO332">
        <v>0</v>
      </c>
      <c r="AP332">
        <v>5</v>
      </c>
      <c r="AQ332">
        <v>0</v>
      </c>
      <c r="AR332">
        <v>0</v>
      </c>
      <c r="AS332" t="s">
        <v>58</v>
      </c>
      <c r="AT332">
        <v>1</v>
      </c>
      <c r="AU332" t="s">
        <v>63</v>
      </c>
      <c r="AV332" t="s">
        <v>60</v>
      </c>
      <c r="AW332">
        <v>0</v>
      </c>
      <c r="AX332">
        <v>3</v>
      </c>
      <c r="AY332">
        <v>0</v>
      </c>
      <c r="AZ332">
        <v>83700</v>
      </c>
      <c r="BA332">
        <v>100</v>
      </c>
      <c r="BB332">
        <v>100</v>
      </c>
      <c r="BC332">
        <v>100</v>
      </c>
      <c r="BD332">
        <v>100</v>
      </c>
      <c r="BE332">
        <v>1</v>
      </c>
      <c r="BF332">
        <v>15000</v>
      </c>
      <c r="BG332">
        <v>1000</v>
      </c>
      <c r="BH332" s="6">
        <f>Grandview_Inventory[[#This Row],[land_extract]]*Lookups!$B$3</f>
        <v>112199.60731392381</v>
      </c>
      <c r="BI332" s="6">
        <f>IF(Grandview_Inventory[[#This Row],[bldg_style]]="",0,Lookups!$B$2)</f>
        <v>155833.95000000001</v>
      </c>
      <c r="BJ332" s="6">
        <f>_xlfn.IFNA(VLOOKUP(Grandview_Inventory[[#This Row],[quality]],Lookups!$H$2:$J$14,3,FALSE),0)</f>
        <v>2251</v>
      </c>
      <c r="BK332" s="6">
        <f>_xlfn.IFNA(VLOOKUP(Grandview_Inventory[[#This Row],[condition]],Lookups!$H$17:$J$24,3,FALSE),0)</f>
        <v>-4503</v>
      </c>
      <c r="BL332" s="6">
        <f>Grandview_Inventory[[#This Row],[Eff_Age]]*Lookups!$B$14</f>
        <v>-12197.496599999999</v>
      </c>
      <c r="BM332" s="6">
        <f>Grandview_Inventory[[#This Row],[living_area]]*Lookups!$B$15</f>
        <v>122515.99529200001</v>
      </c>
      <c r="BN332" s="6">
        <f>Grandview_Inventory[[#This Row],[Fin BSMT]]*Lookups!$B$16</f>
        <v>-6558.0160800000003</v>
      </c>
      <c r="BO332" s="6">
        <f>(Grandview_Inventory[[#This Row],[att_gar]]+Grandview_Inventory[[#This Row],[bltin_gar]])*Lookups!$B$17</f>
        <v>0</v>
      </c>
      <c r="BP332" s="6">
        <f>Grandview_Inventory[[#This Row],[Plumbing Fixtures]]*Lookups!$B$18</f>
        <v>10052.209000000001</v>
      </c>
      <c r="BQ332" s="6">
        <f>Grandview_Inventory[[#This Row],[detatched_value]]*Lookups!$B$19</f>
        <v>70877.586869999999</v>
      </c>
      <c r="BR332" s="6">
        <f>SUM(Grandview_Inventory[[#This Row],[Intercept]:[det_value]])*Grandview_Inventory[[#This Row],[res_pct]]</f>
        <v>338272.22848200001</v>
      </c>
      <c r="BS332" s="6">
        <f>Grandview_Inventory[[#This Row],[land_value]]</f>
        <v>112199.60731392381</v>
      </c>
      <c r="BT332" s="4">
        <f>_xlfn.IFNA(VLOOKUP(Grandview_Inventory[[#This Row],[quality]],Lookups!$A$26:$C$33,3,FALSE),1)</f>
        <v>0.98763855981004833</v>
      </c>
      <c r="BU332" s="4">
        <f>_xlfn.IFNA(VLOOKUP(Grandview_Inventory[[#This Row],[condition]],Lookups!$A$37:$C$44,3,FALSE),1)</f>
        <v>0.96469275950863709</v>
      </c>
      <c r="BV332" s="4">
        <f>IF(Grandview_Inventory[[#This Row],[bldg_style]]="",1,_xlfn.IFNA(VLOOKUP(Grandview_Inventory[[#This Row],[decade]],Lookups!$F$29:$H$43,3,FALSE),1))</f>
        <v>0.94161750052457416</v>
      </c>
      <c r="BW332" s="4">
        <f>_xlfn.IFNA(VLOOKUP(Grandview_Inventory[[#This Row],[living_area_range]],Lookups!$F$47:$H$56,3,FALSE),1)</f>
        <v>0.96120133463014379</v>
      </c>
      <c r="BX332" s="4">
        <f>AVERAGE(Grandview_Inventory[[#This Row],[qual_adj]:[size_adj]])</f>
        <v>0.96378753861835076</v>
      </c>
      <c r="BY332" s="6">
        <f>IF(Grandview_Inventory[[#This Row],[pre_res]]&lt;0,0,Grandview_Inventory[[#This Row],[pre_res]]*Grandview_Inventory[[#This Row],[overall_adj]])</f>
        <v>326022.55847161118</v>
      </c>
      <c r="BZ332" s="6">
        <f>(Grandview_Inventory[[#This Row],[sum_land]]-IF(Grandview_Inventory[[#This Row],[no_utilities]]=1,12000,0))/IF(Grandview_Inventory[[#This Row],[unbuildable]]=1,2,1)</f>
        <v>112199.60731392381</v>
      </c>
      <c r="CA332">
        <f>IF(ROUND(Grandview_Inventory[[#This Row],[adj_land]]*Lookups!$M$28,-2)&lt;Grandview_Inventory[[#This Row],[min_land]],Grandview_Inventory[[#This Row],[min_land]],ROUND(Grandview_Inventory[[#This Row],[adj_land]]*Lookups!$M$28,-2))</f>
        <v>106600</v>
      </c>
      <c r="CB332">
        <f>ROUND(Grandview_Inventory[[#This Row],[det_value]]*Lookups!$M$28,-2)</f>
        <v>67300</v>
      </c>
      <c r="CC332">
        <f>IF(ROUND(Grandview_Inventory[[#This Row],[adj_res]]*Lookups!$M$28,-2)&lt;Grandview_Inventory[[#This Row],[min_res]],Grandview_Inventory[[#This Row],[min_res]],ROUND(Grandview_Inventory[[#This Row],[adj_res]]*Lookups!$M$28,-2))</f>
        <v>309700</v>
      </c>
      <c r="CD332">
        <f>Grandview_Inventory[[#This Row],[final_det]]+Grandview_Inventory[[#This Row],[final_res]]</f>
        <v>377000</v>
      </c>
      <c r="CE332">
        <f>Grandview_Inventory[[#This Row],[final_land]]+Grandview_Inventory[[#This Row],[final_imp]]+Grandview_Inventory[[#This Row],[crop_value]]</f>
        <v>483600</v>
      </c>
      <c r="CG332" t="str">
        <f t="shared" si="5"/>
        <v>update valuation set market_land =106600, market_bldg=377000, market_total =483600, market_mdno =401, market_date ='9/10/2023' where link_id = (select link_id from parcel where parcel_year = '2024' and parcel_id = '23091514026');</v>
      </c>
    </row>
    <row r="333" spans="1:85" x14ac:dyDescent="0.25">
      <c r="A333">
        <v>23091522401</v>
      </c>
      <c r="B333">
        <v>0.51</v>
      </c>
      <c r="C333">
        <v>22374</v>
      </c>
      <c r="D333" t="s">
        <v>129</v>
      </c>
      <c r="E333" t="s">
        <v>53</v>
      </c>
      <c r="F333" t="s">
        <v>53</v>
      </c>
      <c r="G333">
        <v>4</v>
      </c>
      <c r="H333" t="s">
        <v>54</v>
      </c>
      <c r="I333">
        <v>188800</v>
      </c>
      <c r="J333">
        <v>41900</v>
      </c>
      <c r="K333">
        <v>0.51</v>
      </c>
      <c r="L333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333">
        <v>0</v>
      </c>
      <c r="N333">
        <v>0</v>
      </c>
      <c r="O333">
        <v>0</v>
      </c>
      <c r="P333">
        <v>13398.7528</v>
      </c>
      <c r="Q333">
        <v>63903</v>
      </c>
      <c r="R333">
        <f>(Grandview_Inventory[[#This Row],[ln_acres]]*Grandview_Inventory[[#This Row],[coeff]])+Grandview_Inventory[[#This Row],[const]]</f>
        <v>54881.022781592372</v>
      </c>
      <c r="S333" t="s">
        <v>55</v>
      </c>
      <c r="T333">
        <v>2</v>
      </c>
      <c r="U333" t="s">
        <v>70</v>
      </c>
      <c r="V333" t="s">
        <v>69</v>
      </c>
      <c r="W333">
        <v>0</v>
      </c>
      <c r="X333">
        <v>0</v>
      </c>
      <c r="Y333">
        <v>50</v>
      </c>
      <c r="Z333">
        <v>76</v>
      </c>
      <c r="AA333">
        <v>80</v>
      </c>
      <c r="AB333">
        <v>1500</v>
      </c>
      <c r="AC333">
        <v>1140</v>
      </c>
      <c r="AD333">
        <v>780</v>
      </c>
      <c r="AE333">
        <v>360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336</v>
      </c>
      <c r="AM333">
        <v>0</v>
      </c>
      <c r="AN333">
        <v>0</v>
      </c>
      <c r="AO333">
        <v>25</v>
      </c>
      <c r="AP333">
        <v>5</v>
      </c>
      <c r="AQ333">
        <v>0</v>
      </c>
      <c r="AR333">
        <v>0</v>
      </c>
      <c r="AS333" t="s">
        <v>58</v>
      </c>
      <c r="AT333">
        <v>1</v>
      </c>
      <c r="AU333" t="s">
        <v>75</v>
      </c>
      <c r="AV333" t="s">
        <v>60</v>
      </c>
      <c r="AW333">
        <v>0</v>
      </c>
      <c r="AX333">
        <v>3</v>
      </c>
      <c r="AY333">
        <v>0</v>
      </c>
      <c r="AZ333">
        <v>40200</v>
      </c>
      <c r="BA333">
        <v>100</v>
      </c>
      <c r="BB333">
        <v>100</v>
      </c>
      <c r="BC333">
        <v>100</v>
      </c>
      <c r="BD333">
        <v>100</v>
      </c>
      <c r="BE333">
        <v>1</v>
      </c>
      <c r="BF333">
        <v>15000</v>
      </c>
      <c r="BG333">
        <v>1000</v>
      </c>
      <c r="BH333" s="6">
        <f>Grandview_Inventory[[#This Row],[land_extract]]*Lookups!$B$3</f>
        <v>63733.18357750171</v>
      </c>
      <c r="BI333" s="6">
        <f>IF(Grandview_Inventory[[#This Row],[bldg_style]]="",0,Lookups!$B$2)</f>
        <v>155833.95000000001</v>
      </c>
      <c r="BJ333" s="6">
        <f>_xlfn.IFNA(VLOOKUP(Grandview_Inventory[[#This Row],[quality]],Lookups!$H$2:$J$14,3,FALSE),0)</f>
        <v>10733</v>
      </c>
      <c r="BK333" s="6">
        <f>_xlfn.IFNA(VLOOKUP(Grandview_Inventory[[#This Row],[condition]],Lookups!$H$17:$J$24,3,FALSE),0)</f>
        <v>-4503</v>
      </c>
      <c r="BL333" s="6">
        <f>Grandview_Inventory[[#This Row],[Eff_Age]]*Lookups!$B$14</f>
        <v>-11958.33</v>
      </c>
      <c r="BM333" s="6">
        <f>Grandview_Inventory[[#This Row],[living_area]]*Lookups!$B$15</f>
        <v>71114.172420000003</v>
      </c>
      <c r="BN333" s="6">
        <f>Grandview_Inventory[[#This Row],[Fin BSMT]]*Lookups!$B$16</f>
        <v>0</v>
      </c>
      <c r="BO333" s="6">
        <f>(Grandview_Inventory[[#This Row],[att_gar]]+Grandview_Inventory[[#This Row],[bltin_gar]])*Lookups!$B$17</f>
        <v>0</v>
      </c>
      <c r="BP333" s="6">
        <f>Grandview_Inventory[[#This Row],[Plumbing Fixtures]]*Lookups!$B$18</f>
        <v>10052.209000000001</v>
      </c>
      <c r="BQ333" s="6">
        <f>Grandview_Inventory[[#This Row],[detatched_value]]*Lookups!$B$19</f>
        <v>34041.565020000002</v>
      </c>
      <c r="BR333" s="6">
        <f>SUM(Grandview_Inventory[[#This Row],[Intercept]:[det_value]])*Grandview_Inventory[[#This Row],[res_pct]]</f>
        <v>265313.56644000002</v>
      </c>
      <c r="BS333" s="6">
        <f>Grandview_Inventory[[#This Row],[land_value]]</f>
        <v>63733.18357750171</v>
      </c>
      <c r="BT333" s="4">
        <f>_xlfn.IFNA(VLOOKUP(Grandview_Inventory[[#This Row],[quality]],Lookups!$A$26:$C$33,3,FALSE),1)</f>
        <v>0.98079741117310582</v>
      </c>
      <c r="BU333" s="4">
        <f>_xlfn.IFNA(VLOOKUP(Grandview_Inventory[[#This Row],[condition]],Lookups!$A$37:$C$44,3,FALSE),1)</f>
        <v>0.96469275950863709</v>
      </c>
      <c r="BV333" s="4">
        <f>IF(Grandview_Inventory[[#This Row],[bldg_style]]="",1,_xlfn.IFNA(VLOOKUP(Grandview_Inventory[[#This Row],[decade]],Lookups!$F$29:$H$43,3,FALSE),1))</f>
        <v>0.98763256963907298</v>
      </c>
      <c r="BW333" s="4">
        <f>_xlfn.IFNA(VLOOKUP(Grandview_Inventory[[#This Row],[living_area_range]],Lookups!$F$47:$H$56,3,FALSE),1)</f>
        <v>0.96135087979789358</v>
      </c>
      <c r="BX333" s="4">
        <f>AVERAGE(Grandview_Inventory[[#This Row],[qual_adj]:[size_adj]])</f>
        <v>0.97361840502967734</v>
      </c>
      <c r="BY333" s="6">
        <f>IF(Grandview_Inventory[[#This Row],[pre_res]]&lt;0,0,Grandview_Inventory[[#This Row],[pre_res]]*Grandview_Inventory[[#This Row],[overall_adj]])</f>
        <v>258314.17139004814</v>
      </c>
      <c r="BZ333" s="6">
        <f>(Grandview_Inventory[[#This Row],[sum_land]]-IF(Grandview_Inventory[[#This Row],[no_utilities]]=1,12000,0))/IF(Grandview_Inventory[[#This Row],[unbuildable]]=1,2,1)</f>
        <v>63733.18357750171</v>
      </c>
      <c r="CA333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333">
        <f>ROUND(Grandview_Inventory[[#This Row],[det_value]]*Lookups!$M$28,-2)</f>
        <v>32300</v>
      </c>
      <c r="CC333">
        <f>IF(ROUND(Grandview_Inventory[[#This Row],[adj_res]]*Lookups!$M$28,-2)&lt;Grandview_Inventory[[#This Row],[min_res]],Grandview_Inventory[[#This Row],[min_res]],ROUND(Grandview_Inventory[[#This Row],[adj_res]]*Lookups!$M$28,-2))</f>
        <v>245400</v>
      </c>
      <c r="CD333">
        <f>Grandview_Inventory[[#This Row],[final_det]]+Grandview_Inventory[[#This Row],[final_res]]</f>
        <v>277700</v>
      </c>
      <c r="CE333">
        <f>Grandview_Inventory[[#This Row],[final_land]]+Grandview_Inventory[[#This Row],[final_imp]]+Grandview_Inventory[[#This Row],[crop_value]]</f>
        <v>338200</v>
      </c>
      <c r="CG333" t="str">
        <f t="shared" si="5"/>
        <v>update valuation set market_land =60500, market_bldg=277700, market_total =338200, market_mdno =401, market_date ='9/10/2023' where link_id = (select link_id from parcel where parcel_year = '2024' and parcel_id = '23091522401');</v>
      </c>
    </row>
    <row r="334" spans="1:85" x14ac:dyDescent="0.25">
      <c r="A334">
        <v>23091523002</v>
      </c>
      <c r="B334">
        <v>9.3699999999999992</v>
      </c>
      <c r="C334">
        <v>408318</v>
      </c>
      <c r="D334" t="s">
        <v>129</v>
      </c>
      <c r="E334" t="s">
        <v>53</v>
      </c>
      <c r="F334" t="s">
        <v>53</v>
      </c>
      <c r="G334">
        <v>4</v>
      </c>
      <c r="H334" t="s">
        <v>54</v>
      </c>
      <c r="I334">
        <v>253200</v>
      </c>
      <c r="J334">
        <v>52900</v>
      </c>
      <c r="K334">
        <v>9.3699999999999992</v>
      </c>
      <c r="L334">
        <f>IF(Grandview_Inventory[[#This Row],[parcel_acres]]-Grandview_Inventory[[#This Row],[non_valued_acres]] =0,0,LN(Grandview_Inventory[[#This Row],[parcel_acres]]-Grandview_Inventory[[#This Row],[non_valued_acres]]))</f>
        <v>2.2375130962503307</v>
      </c>
      <c r="M334">
        <v>0</v>
      </c>
      <c r="N334">
        <v>0</v>
      </c>
      <c r="O334">
        <v>0</v>
      </c>
      <c r="P334">
        <v>13398.7528</v>
      </c>
      <c r="Q334">
        <v>63903</v>
      </c>
      <c r="R334">
        <f>(Grandview_Inventory[[#This Row],[ln_acres]]*Grandview_Inventory[[#This Row],[coeff]])+Grandview_Inventory[[#This Row],[const]]</f>
        <v>93882.884863420797</v>
      </c>
      <c r="S334" t="s">
        <v>55</v>
      </c>
      <c r="T334">
        <v>2</v>
      </c>
      <c r="U334" t="s">
        <v>65</v>
      </c>
      <c r="V334" t="s">
        <v>69</v>
      </c>
      <c r="W334">
        <v>0</v>
      </c>
      <c r="X334">
        <v>0</v>
      </c>
      <c r="Y334">
        <v>45</v>
      </c>
      <c r="Z334">
        <v>52</v>
      </c>
      <c r="AA334">
        <v>60</v>
      </c>
      <c r="AB334">
        <v>2500</v>
      </c>
      <c r="AC334">
        <v>2078</v>
      </c>
      <c r="AD334">
        <v>1085</v>
      </c>
      <c r="AE334">
        <v>716</v>
      </c>
      <c r="AF334">
        <v>0</v>
      </c>
      <c r="AG334">
        <v>277</v>
      </c>
      <c r="AH334">
        <v>808</v>
      </c>
      <c r="AI334">
        <v>0</v>
      </c>
      <c r="AJ334">
        <v>0</v>
      </c>
      <c r="AK334">
        <v>0</v>
      </c>
      <c r="AL334">
        <v>444</v>
      </c>
      <c r="AM334">
        <v>0</v>
      </c>
      <c r="AN334">
        <v>0</v>
      </c>
      <c r="AO334">
        <v>0</v>
      </c>
      <c r="AP334">
        <v>8</v>
      </c>
      <c r="AQ334">
        <v>0</v>
      </c>
      <c r="AR334">
        <v>1</v>
      </c>
      <c r="AS334" t="s">
        <v>58</v>
      </c>
      <c r="AT334">
        <v>1</v>
      </c>
      <c r="AU334" t="s">
        <v>63</v>
      </c>
      <c r="AV334" t="s">
        <v>81</v>
      </c>
      <c r="AW334">
        <v>1</v>
      </c>
      <c r="AX334">
        <v>3</v>
      </c>
      <c r="AY334">
        <v>0</v>
      </c>
      <c r="AZ334">
        <v>54000</v>
      </c>
      <c r="BA334">
        <v>100</v>
      </c>
      <c r="BB334">
        <v>100</v>
      </c>
      <c r="BC334">
        <v>100</v>
      </c>
      <c r="BD334">
        <v>100</v>
      </c>
      <c r="BE334">
        <v>1</v>
      </c>
      <c r="BF334">
        <v>15000</v>
      </c>
      <c r="BG334">
        <v>1000</v>
      </c>
      <c r="BH334" s="6">
        <f>Grandview_Inventory[[#This Row],[land_extract]]*Lookups!$B$3</f>
        <v>109025.94070810144</v>
      </c>
      <c r="BI334" s="6">
        <f>IF(Grandview_Inventory[[#This Row],[bldg_style]]="",0,Lookups!$B$2)</f>
        <v>155833.95000000001</v>
      </c>
      <c r="BJ334" s="6">
        <f>_xlfn.IFNA(VLOOKUP(Grandview_Inventory[[#This Row],[quality]],Lookups!$H$2:$J$14,3,FALSE),0)</f>
        <v>2251</v>
      </c>
      <c r="BK334" s="6">
        <f>_xlfn.IFNA(VLOOKUP(Grandview_Inventory[[#This Row],[condition]],Lookups!$H$17:$J$24,3,FALSE),0)</f>
        <v>-4503</v>
      </c>
      <c r="BL334" s="6">
        <f>Grandview_Inventory[[#This Row],[Eff_Age]]*Lookups!$B$14</f>
        <v>-10762.496999999999</v>
      </c>
      <c r="BM334" s="6">
        <f>Grandview_Inventory[[#This Row],[living_area]]*Lookups!$B$15</f>
        <v>129627.412534</v>
      </c>
      <c r="BN334" s="6">
        <f>Grandview_Inventory[[#This Row],[Fin BSMT]]*Lookups!$B$16</f>
        <v>-7506.4894800000002</v>
      </c>
      <c r="BO334" s="6">
        <f>(Grandview_Inventory[[#This Row],[att_gar]]+Grandview_Inventory[[#This Row],[bltin_gar]])*Lookups!$B$17</f>
        <v>0</v>
      </c>
      <c r="BP334" s="6">
        <f>Grandview_Inventory[[#This Row],[Plumbing Fixtures]]*Lookups!$B$18</f>
        <v>16083.5344</v>
      </c>
      <c r="BQ334" s="6">
        <f>Grandview_Inventory[[#This Row],[detatched_value]]*Lookups!$B$19</f>
        <v>45727.475399999996</v>
      </c>
      <c r="BR334" s="6">
        <f>SUM(Grandview_Inventory[[#This Row],[Intercept]:[det_value]])*Grandview_Inventory[[#This Row],[res_pct]]</f>
        <v>326751.38585399999</v>
      </c>
      <c r="BS334" s="6">
        <f>Grandview_Inventory[[#This Row],[land_value]]</f>
        <v>109025.94070810144</v>
      </c>
      <c r="BT334" s="4">
        <f>_xlfn.IFNA(VLOOKUP(Grandview_Inventory[[#This Row],[quality]],Lookups!$A$26:$C$33,3,FALSE),1)</f>
        <v>0.98763855981004833</v>
      </c>
      <c r="BU334" s="4">
        <f>_xlfn.IFNA(VLOOKUP(Grandview_Inventory[[#This Row],[condition]],Lookups!$A$37:$C$44,3,FALSE),1)</f>
        <v>0.96469275950863709</v>
      </c>
      <c r="BV334" s="4">
        <f>IF(Grandview_Inventory[[#This Row],[bldg_style]]="",1,_xlfn.IFNA(VLOOKUP(Grandview_Inventory[[#This Row],[decade]],Lookups!$F$29:$H$43,3,FALSE),1))</f>
        <v>0.95268620544463312</v>
      </c>
      <c r="BW334" s="4">
        <f>_xlfn.IFNA(VLOOKUP(Grandview_Inventory[[#This Row],[living_area_range]],Lookups!$F$47:$H$56,3,FALSE),1)</f>
        <v>0.95799442568048754</v>
      </c>
      <c r="BX334" s="4">
        <f>AVERAGE(Grandview_Inventory[[#This Row],[qual_adj]:[size_adj]])</f>
        <v>0.96575298761095152</v>
      </c>
      <c r="BY334" s="6">
        <f>IF(Grandview_Inventory[[#This Row],[pre_res]]&lt;0,0,Grandview_Inventory[[#This Row],[pre_res]]*Grandview_Inventory[[#This Row],[overall_adj]])</f>
        <v>315561.12709451927</v>
      </c>
      <c r="BZ334" s="6">
        <f>(Grandview_Inventory[[#This Row],[sum_land]]-IF(Grandview_Inventory[[#This Row],[no_utilities]]=1,12000,0))/IF(Grandview_Inventory[[#This Row],[unbuildable]]=1,2,1)</f>
        <v>109025.94070810144</v>
      </c>
      <c r="CA334">
        <f>IF(ROUND(Grandview_Inventory[[#This Row],[adj_land]]*Lookups!$M$28,-2)&lt;Grandview_Inventory[[#This Row],[min_land]],Grandview_Inventory[[#This Row],[min_land]],ROUND(Grandview_Inventory[[#This Row],[adj_land]]*Lookups!$M$28,-2))</f>
        <v>103600</v>
      </c>
      <c r="CB334">
        <f>ROUND(Grandview_Inventory[[#This Row],[det_value]]*Lookups!$M$28,-2)</f>
        <v>43400</v>
      </c>
      <c r="CC334">
        <f>IF(ROUND(Grandview_Inventory[[#This Row],[adj_res]]*Lookups!$M$28,-2)&lt;Grandview_Inventory[[#This Row],[min_res]],Grandview_Inventory[[#This Row],[min_res]],ROUND(Grandview_Inventory[[#This Row],[adj_res]]*Lookups!$M$28,-2))</f>
        <v>299800</v>
      </c>
      <c r="CD334">
        <f>Grandview_Inventory[[#This Row],[final_det]]+Grandview_Inventory[[#This Row],[final_res]]</f>
        <v>343200</v>
      </c>
      <c r="CE334">
        <f>Grandview_Inventory[[#This Row],[final_land]]+Grandview_Inventory[[#This Row],[final_imp]]+Grandview_Inventory[[#This Row],[crop_value]]</f>
        <v>446800</v>
      </c>
      <c r="CG334" t="str">
        <f t="shared" si="5"/>
        <v>update valuation set market_land =103600, market_bldg=343200, market_total =446800, market_mdno =401, market_date ='9/10/2023' where link_id = (select link_id from parcel where parcel_year = '2024' and parcel_id = '23091523002');</v>
      </c>
    </row>
    <row r="335" spans="1:85" x14ac:dyDescent="0.25">
      <c r="A335">
        <v>23091523003</v>
      </c>
      <c r="B335">
        <v>9.7899999999999991</v>
      </c>
      <c r="C335">
        <v>426282</v>
      </c>
      <c r="D335" t="s">
        <v>129</v>
      </c>
      <c r="E335" t="s">
        <v>53</v>
      </c>
      <c r="F335" t="s">
        <v>53</v>
      </c>
      <c r="G335">
        <v>4</v>
      </c>
      <c r="H335" t="s">
        <v>54</v>
      </c>
      <c r="I335">
        <v>293900</v>
      </c>
      <c r="J335">
        <v>50800</v>
      </c>
      <c r="K335">
        <v>9.7899999999999991</v>
      </c>
      <c r="L335">
        <f>IF(Grandview_Inventory[[#This Row],[parcel_acres]]-Grandview_Inventory[[#This Row],[non_valued_acres]] =0,0,LN(Grandview_Inventory[[#This Row],[parcel_acres]]-Grandview_Inventory[[#This Row],[non_valued_acres]]))</f>
        <v>2.281361456542419</v>
      </c>
      <c r="M335">
        <v>0</v>
      </c>
      <c r="N335">
        <v>0</v>
      </c>
      <c r="O335">
        <v>0</v>
      </c>
      <c r="P335">
        <v>13398.7528</v>
      </c>
      <c r="Q335">
        <v>63903</v>
      </c>
      <c r="R335">
        <f>(Grandview_Inventory[[#This Row],[ln_acres]]*Grandview_Inventory[[#This Row],[coeff]])+Grandview_Inventory[[#This Row],[const]]</f>
        <v>94470.398203659817</v>
      </c>
      <c r="S335" t="s">
        <v>61</v>
      </c>
      <c r="T335">
        <v>1</v>
      </c>
      <c r="U335" t="s">
        <v>62</v>
      </c>
      <c r="V335" t="s">
        <v>69</v>
      </c>
      <c r="W335">
        <v>0</v>
      </c>
      <c r="X335">
        <v>0</v>
      </c>
      <c r="Y335">
        <v>36</v>
      </c>
      <c r="Z335">
        <v>36</v>
      </c>
      <c r="AA335">
        <v>40</v>
      </c>
      <c r="AB335">
        <v>2500</v>
      </c>
      <c r="AC335">
        <v>2156</v>
      </c>
      <c r="AD335">
        <v>2156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896</v>
      </c>
      <c r="AK335">
        <v>0</v>
      </c>
      <c r="AL335">
        <v>0</v>
      </c>
      <c r="AM335">
        <v>380</v>
      </c>
      <c r="AN335">
        <v>0</v>
      </c>
      <c r="AO335">
        <v>0</v>
      </c>
      <c r="AP335">
        <v>10</v>
      </c>
      <c r="AQ335">
        <v>0</v>
      </c>
      <c r="AR335">
        <v>0</v>
      </c>
      <c r="AS335" t="s">
        <v>58</v>
      </c>
      <c r="AT335">
        <v>1</v>
      </c>
      <c r="AU335" t="s">
        <v>63</v>
      </c>
      <c r="AV335" t="s">
        <v>60</v>
      </c>
      <c r="AW335">
        <v>1</v>
      </c>
      <c r="AX335">
        <v>4</v>
      </c>
      <c r="AY335">
        <v>0</v>
      </c>
      <c r="AZ335">
        <v>30100</v>
      </c>
      <c r="BA335">
        <v>100</v>
      </c>
      <c r="BB335">
        <v>100</v>
      </c>
      <c r="BC335">
        <v>100</v>
      </c>
      <c r="BD335">
        <v>100</v>
      </c>
      <c r="BE335">
        <v>1</v>
      </c>
      <c r="BF335">
        <v>15000</v>
      </c>
      <c r="BG335">
        <v>1000</v>
      </c>
      <c r="BH335" s="6">
        <f>Grandview_Inventory[[#This Row],[land_extract]]*Lookups!$B$3</f>
        <v>109708.218363835</v>
      </c>
      <c r="BI335" s="6">
        <f>IF(Grandview_Inventory[[#This Row],[bldg_style]]="",0,Lookups!$B$2)</f>
        <v>155833.95000000001</v>
      </c>
      <c r="BJ335" s="6">
        <f>_xlfn.IFNA(VLOOKUP(Grandview_Inventory[[#This Row],[quality]],Lookups!$H$2:$J$14,3,FALSE),0)</f>
        <v>9808</v>
      </c>
      <c r="BK335" s="6">
        <f>_xlfn.IFNA(VLOOKUP(Grandview_Inventory[[#This Row],[condition]],Lookups!$H$17:$J$24,3,FALSE),0)</f>
        <v>-4503</v>
      </c>
      <c r="BL335" s="6">
        <f>Grandview_Inventory[[#This Row],[Eff_Age]]*Lookups!$B$14</f>
        <v>-8609.9975999999988</v>
      </c>
      <c r="BM335" s="6">
        <f>Grandview_Inventory[[#This Row],[living_area]]*Lookups!$B$15</f>
        <v>134493.119068</v>
      </c>
      <c r="BN335" s="6">
        <f>Grandview_Inventory[[#This Row],[Fin BSMT]]*Lookups!$B$16</f>
        <v>0</v>
      </c>
      <c r="BO335" s="6">
        <f>(Grandview_Inventory[[#This Row],[att_gar]]+Grandview_Inventory[[#This Row],[bltin_gar]])*Lookups!$B$17</f>
        <v>78418.311551999999</v>
      </c>
      <c r="BP335" s="6">
        <f>Grandview_Inventory[[#This Row],[Plumbing Fixtures]]*Lookups!$B$18</f>
        <v>20104.418000000001</v>
      </c>
      <c r="BQ335" s="6">
        <f>Grandview_Inventory[[#This Row],[detatched_value]]*Lookups!$B$19</f>
        <v>25488.83351</v>
      </c>
      <c r="BR335" s="6">
        <f>SUM(Grandview_Inventory[[#This Row],[Intercept]:[det_value]])*Grandview_Inventory[[#This Row],[res_pct]]</f>
        <v>411033.63453000004</v>
      </c>
      <c r="BS335" s="6">
        <f>Grandview_Inventory[[#This Row],[land_value]]</f>
        <v>109708.218363835</v>
      </c>
      <c r="BT335" s="4">
        <f>_xlfn.IFNA(VLOOKUP(Grandview_Inventory[[#This Row],[quality]],Lookups!$A$26:$C$33,3,FALSE),1)</f>
        <v>0.94295468617355149</v>
      </c>
      <c r="BU335" s="4">
        <f>_xlfn.IFNA(VLOOKUP(Grandview_Inventory[[#This Row],[condition]],Lookups!$A$37:$C$44,3,FALSE),1)</f>
        <v>0.96469275950863709</v>
      </c>
      <c r="BV335" s="4">
        <f>IF(Grandview_Inventory[[#This Row],[bldg_style]]="",1,_xlfn.IFNA(VLOOKUP(Grandview_Inventory[[#This Row],[decade]],Lookups!$F$29:$H$43,3,FALSE),1))</f>
        <v>0.98031878267063854</v>
      </c>
      <c r="BW335" s="4">
        <f>_xlfn.IFNA(VLOOKUP(Grandview_Inventory[[#This Row],[living_area_range]],Lookups!$F$47:$H$56,3,FALSE),1)</f>
        <v>0.95799442568048754</v>
      </c>
      <c r="BX335" s="4">
        <f>AVERAGE(Grandview_Inventory[[#This Row],[qual_adj]:[size_adj]])</f>
        <v>0.96149016350832861</v>
      </c>
      <c r="BY335" s="6">
        <f>IF(Grandview_Inventory[[#This Row],[pre_res]]&lt;0,0,Grandview_Inventory[[#This Row],[pre_res]]*Grandview_Inventory[[#This Row],[overall_adj]])</f>
        <v>395204.79647167231</v>
      </c>
      <c r="BZ335" s="6">
        <f>(Grandview_Inventory[[#This Row],[sum_land]]-IF(Grandview_Inventory[[#This Row],[no_utilities]]=1,12000,0))/IF(Grandview_Inventory[[#This Row],[unbuildable]]=1,2,1)</f>
        <v>109708.218363835</v>
      </c>
      <c r="CA335">
        <f>IF(ROUND(Grandview_Inventory[[#This Row],[adj_land]]*Lookups!$M$28,-2)&lt;Grandview_Inventory[[#This Row],[min_land]],Grandview_Inventory[[#This Row],[min_land]],ROUND(Grandview_Inventory[[#This Row],[adj_land]]*Lookups!$M$28,-2))</f>
        <v>104200</v>
      </c>
      <c r="CB335">
        <f>ROUND(Grandview_Inventory[[#This Row],[det_value]]*Lookups!$M$28,-2)</f>
        <v>24200</v>
      </c>
      <c r="CC335">
        <f>IF(ROUND(Grandview_Inventory[[#This Row],[adj_res]]*Lookups!$M$28,-2)&lt;Grandview_Inventory[[#This Row],[min_res]],Grandview_Inventory[[#This Row],[min_res]],ROUND(Grandview_Inventory[[#This Row],[adj_res]]*Lookups!$M$28,-2))</f>
        <v>375400</v>
      </c>
      <c r="CD335">
        <f>Grandview_Inventory[[#This Row],[final_det]]+Grandview_Inventory[[#This Row],[final_res]]</f>
        <v>399600</v>
      </c>
      <c r="CE335">
        <f>Grandview_Inventory[[#This Row],[final_land]]+Grandview_Inventory[[#This Row],[final_imp]]+Grandview_Inventory[[#This Row],[crop_value]]</f>
        <v>503800</v>
      </c>
      <c r="CG335" t="str">
        <f t="shared" si="5"/>
        <v>update valuation set market_land =104200, market_bldg=399600, market_total =503800, market_mdno =401, market_date ='9/10/2023' where link_id = (select link_id from parcel where parcel_year = '2024' and parcel_id = '23091523003');</v>
      </c>
    </row>
    <row r="336" spans="1:85" x14ac:dyDescent="0.25">
      <c r="A336">
        <v>23091524008</v>
      </c>
      <c r="B336">
        <v>0.75</v>
      </c>
      <c r="C336">
        <v>32802</v>
      </c>
      <c r="D336" t="s">
        <v>129</v>
      </c>
      <c r="E336" t="s">
        <v>53</v>
      </c>
      <c r="F336" t="s">
        <v>53</v>
      </c>
      <c r="G336">
        <v>4</v>
      </c>
      <c r="H336" t="s">
        <v>54</v>
      </c>
      <c r="I336">
        <v>117400</v>
      </c>
      <c r="J336">
        <v>43100</v>
      </c>
      <c r="K336">
        <v>0.75</v>
      </c>
      <c r="L336">
        <f>IF(Grandview_Inventory[[#This Row],[parcel_acres]]-Grandview_Inventory[[#This Row],[non_valued_acres]] =0,0,LN(Grandview_Inventory[[#This Row],[parcel_acres]]-Grandview_Inventory[[#This Row],[non_valued_acres]]))</f>
        <v>-0.2876820724517809</v>
      </c>
      <c r="M336">
        <v>0</v>
      </c>
      <c r="N336">
        <v>0</v>
      </c>
      <c r="O336">
        <v>0</v>
      </c>
      <c r="P336">
        <v>13398.7528</v>
      </c>
      <c r="Q336">
        <v>63903</v>
      </c>
      <c r="R336">
        <f>(Grandview_Inventory[[#This Row],[ln_acres]]*Grandview_Inventory[[#This Row],[coeff]])+Grandview_Inventory[[#This Row],[const]]</f>
        <v>60048.419026226897</v>
      </c>
      <c r="S336" t="s">
        <v>68</v>
      </c>
      <c r="T336">
        <v>1</v>
      </c>
      <c r="U336" t="s">
        <v>80</v>
      </c>
      <c r="V336" t="s">
        <v>69</v>
      </c>
      <c r="W336">
        <v>0</v>
      </c>
      <c r="X336">
        <v>0</v>
      </c>
      <c r="Y336">
        <v>55</v>
      </c>
      <c r="Z336">
        <v>98</v>
      </c>
      <c r="AA336">
        <v>100</v>
      </c>
      <c r="AB336">
        <v>1000</v>
      </c>
      <c r="AC336">
        <v>984</v>
      </c>
      <c r="AD336">
        <v>984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192</v>
      </c>
      <c r="AN336">
        <v>0</v>
      </c>
      <c r="AO336">
        <v>192</v>
      </c>
      <c r="AP336">
        <v>5</v>
      </c>
      <c r="AQ336">
        <v>0</v>
      </c>
      <c r="AR336">
        <v>0</v>
      </c>
      <c r="AS336" t="s">
        <v>58</v>
      </c>
      <c r="AT336">
        <v>1</v>
      </c>
      <c r="AU336" t="s">
        <v>63</v>
      </c>
      <c r="AV336" t="s">
        <v>60</v>
      </c>
      <c r="AW336">
        <v>1</v>
      </c>
      <c r="AX336">
        <v>2</v>
      </c>
      <c r="AY336">
        <v>0</v>
      </c>
      <c r="AZ336">
        <v>24000</v>
      </c>
      <c r="BA336">
        <v>100</v>
      </c>
      <c r="BB336">
        <v>100</v>
      </c>
      <c r="BC336">
        <v>100</v>
      </c>
      <c r="BD336">
        <v>100</v>
      </c>
      <c r="BE336">
        <v>1</v>
      </c>
      <c r="BF336">
        <v>15000</v>
      </c>
      <c r="BG336">
        <v>1000</v>
      </c>
      <c r="BH336" s="6">
        <f>Grandview_Inventory[[#This Row],[land_extract]]*Lookups!$B$3</f>
        <v>69734.06688442592</v>
      </c>
      <c r="BI336" s="6">
        <f>IF(Grandview_Inventory[[#This Row],[bldg_style]]="",0,Lookups!$B$2)</f>
        <v>155833.95000000001</v>
      </c>
      <c r="BJ336" s="6">
        <f>_xlfn.IFNA(VLOOKUP(Grandview_Inventory[[#This Row],[quality]],Lookups!$H$2:$J$14,3,FALSE),0)</f>
        <v>-28558</v>
      </c>
      <c r="BK336" s="6">
        <f>_xlfn.IFNA(VLOOKUP(Grandview_Inventory[[#This Row],[condition]],Lookups!$H$17:$J$24,3,FALSE),0)</f>
        <v>-4503</v>
      </c>
      <c r="BL336" s="6">
        <f>Grandview_Inventory[[#This Row],[Eff_Age]]*Lookups!$B$14</f>
        <v>-13154.162999999999</v>
      </c>
      <c r="BM336" s="6">
        <f>Grandview_Inventory[[#This Row],[living_area]]*Lookups!$B$15</f>
        <v>61382.759352000001</v>
      </c>
      <c r="BN336" s="6">
        <f>Grandview_Inventory[[#This Row],[Fin BSMT]]*Lookups!$B$16</f>
        <v>0</v>
      </c>
      <c r="BO336" s="6">
        <f>(Grandview_Inventory[[#This Row],[att_gar]]+Grandview_Inventory[[#This Row],[bltin_gar]])*Lookups!$B$17</f>
        <v>0</v>
      </c>
      <c r="BP336" s="6">
        <f>Grandview_Inventory[[#This Row],[Plumbing Fixtures]]*Lookups!$B$18</f>
        <v>10052.209000000001</v>
      </c>
      <c r="BQ336" s="6">
        <f>Grandview_Inventory[[#This Row],[detatched_value]]*Lookups!$B$19</f>
        <v>20323.322400000001</v>
      </c>
      <c r="BR336" s="6">
        <f>SUM(Grandview_Inventory[[#This Row],[Intercept]:[det_value]])*Grandview_Inventory[[#This Row],[res_pct]]</f>
        <v>201377.07775200001</v>
      </c>
      <c r="BS336" s="6">
        <f>Grandview_Inventory[[#This Row],[land_value]]</f>
        <v>69734.06688442592</v>
      </c>
      <c r="BT336" s="4">
        <f>_xlfn.IFNA(VLOOKUP(Grandview_Inventory[[#This Row],[quality]],Lookups!$A$26:$C$33,3,FALSE),1)</f>
        <v>0.9690360070159818</v>
      </c>
      <c r="BU336" s="4">
        <f>_xlfn.IFNA(VLOOKUP(Grandview_Inventory[[#This Row],[condition]],Lookups!$A$37:$C$44,3,FALSE),1)</f>
        <v>0.96469275950863709</v>
      </c>
      <c r="BV336" s="4">
        <f>IF(Grandview_Inventory[[#This Row],[bldg_style]]="",1,_xlfn.IFNA(VLOOKUP(Grandview_Inventory[[#This Row],[decade]],Lookups!$F$29:$H$43,3,FALSE),1))</f>
        <v>0.95244691841736806</v>
      </c>
      <c r="BW336" s="4">
        <f>_xlfn.IFNA(VLOOKUP(Grandview_Inventory[[#This Row],[living_area_range]],Lookups!$F$47:$H$56,3,FALSE),1)</f>
        <v>0.94306777142782894</v>
      </c>
      <c r="BX336" s="4">
        <f>AVERAGE(Grandview_Inventory[[#This Row],[qual_adj]:[size_adj]])</f>
        <v>0.95731086409245392</v>
      </c>
      <c r="BY336" s="6">
        <f>IF(Grandview_Inventory[[#This Row],[pre_res]]&lt;0,0,Grandview_Inventory[[#This Row],[pre_res]]*Grandview_Inventory[[#This Row],[overall_adj]])</f>
        <v>192780.4643111804</v>
      </c>
      <c r="BZ336" s="6">
        <f>(Grandview_Inventory[[#This Row],[sum_land]]-IF(Grandview_Inventory[[#This Row],[no_utilities]]=1,12000,0))/IF(Grandview_Inventory[[#This Row],[unbuildable]]=1,2,1)</f>
        <v>69734.06688442592</v>
      </c>
      <c r="CA336">
        <f>IF(ROUND(Grandview_Inventory[[#This Row],[adj_land]]*Lookups!$M$28,-2)&lt;Grandview_Inventory[[#This Row],[min_land]],Grandview_Inventory[[#This Row],[min_land]],ROUND(Grandview_Inventory[[#This Row],[adj_land]]*Lookups!$M$28,-2))</f>
        <v>66200</v>
      </c>
      <c r="CB336">
        <f>ROUND(Grandview_Inventory[[#This Row],[det_value]]*Lookups!$M$28,-2)</f>
        <v>19300</v>
      </c>
      <c r="CC336">
        <f>IF(ROUND(Grandview_Inventory[[#This Row],[adj_res]]*Lookups!$M$28,-2)&lt;Grandview_Inventory[[#This Row],[min_res]],Grandview_Inventory[[#This Row],[min_res]],ROUND(Grandview_Inventory[[#This Row],[adj_res]]*Lookups!$M$28,-2))</f>
        <v>183100</v>
      </c>
      <c r="CD336">
        <f>Grandview_Inventory[[#This Row],[final_det]]+Grandview_Inventory[[#This Row],[final_res]]</f>
        <v>202400</v>
      </c>
      <c r="CE336">
        <f>Grandview_Inventory[[#This Row],[final_land]]+Grandview_Inventory[[#This Row],[final_imp]]+Grandview_Inventory[[#This Row],[crop_value]]</f>
        <v>268600</v>
      </c>
      <c r="CG336" t="str">
        <f t="shared" si="5"/>
        <v>update valuation set market_land =66200, market_bldg=202400, market_total =268600, market_mdno =401, market_date ='9/10/2023' where link_id = (select link_id from parcel where parcel_year = '2024' and parcel_id = '23091524008');</v>
      </c>
    </row>
    <row r="337" spans="1:85" x14ac:dyDescent="0.25">
      <c r="A337">
        <v>23091524011</v>
      </c>
      <c r="B337">
        <v>4.38</v>
      </c>
      <c r="C337">
        <v>190938</v>
      </c>
      <c r="D337" t="s">
        <v>129</v>
      </c>
      <c r="E337" t="s">
        <v>53</v>
      </c>
      <c r="F337" t="s">
        <v>53</v>
      </c>
      <c r="G337">
        <v>4</v>
      </c>
      <c r="H337" t="s">
        <v>54</v>
      </c>
      <c r="I337">
        <v>157900</v>
      </c>
      <c r="J337">
        <v>53600</v>
      </c>
      <c r="K337">
        <v>4.38</v>
      </c>
      <c r="L337">
        <f>IF(Grandview_Inventory[[#This Row],[parcel_acres]]-Grandview_Inventory[[#This Row],[non_valued_acres]] =0,0,LN(Grandview_Inventory[[#This Row],[parcel_acres]]-Grandview_Inventory[[#This Row],[non_valued_acres]]))</f>
        <v>1.4770487243883548</v>
      </c>
      <c r="M337">
        <v>0</v>
      </c>
      <c r="N337">
        <v>0</v>
      </c>
      <c r="O337">
        <v>0</v>
      </c>
      <c r="P337">
        <v>13398.7528</v>
      </c>
      <c r="Q337">
        <v>63903</v>
      </c>
      <c r="R337">
        <f>(Grandview_Inventory[[#This Row],[ln_acres]]*Grandview_Inventory[[#This Row],[coeff]])+Grandview_Inventory[[#This Row],[const]]</f>
        <v>83693.610731634893</v>
      </c>
      <c r="S337" t="s">
        <v>86</v>
      </c>
      <c r="T337">
        <v>2</v>
      </c>
      <c r="U337" t="s">
        <v>70</v>
      </c>
      <c r="V337" t="s">
        <v>69</v>
      </c>
      <c r="W337">
        <v>0</v>
      </c>
      <c r="X337">
        <v>0</v>
      </c>
      <c r="Y337">
        <v>68</v>
      </c>
      <c r="Z337">
        <v>116</v>
      </c>
      <c r="AA337">
        <v>120</v>
      </c>
      <c r="AB337">
        <v>2000</v>
      </c>
      <c r="AC337">
        <v>1556</v>
      </c>
      <c r="AD337">
        <v>1076</v>
      </c>
      <c r="AE337">
        <v>480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192</v>
      </c>
      <c r="AN337">
        <v>0</v>
      </c>
      <c r="AO337">
        <v>192</v>
      </c>
      <c r="AP337">
        <v>5</v>
      </c>
      <c r="AQ337">
        <v>0</v>
      </c>
      <c r="AR337">
        <v>1</v>
      </c>
      <c r="AS337" t="s">
        <v>76</v>
      </c>
      <c r="AT337">
        <v>1</v>
      </c>
      <c r="AU337" t="s">
        <v>75</v>
      </c>
      <c r="AV337" t="s">
        <v>60</v>
      </c>
      <c r="AW337">
        <v>0</v>
      </c>
      <c r="AX337">
        <v>2</v>
      </c>
      <c r="AY337">
        <v>0</v>
      </c>
      <c r="AZ337">
        <v>8700</v>
      </c>
      <c r="BA337">
        <v>100</v>
      </c>
      <c r="BB337">
        <v>100</v>
      </c>
      <c r="BC337">
        <v>100</v>
      </c>
      <c r="BD337">
        <v>100</v>
      </c>
      <c r="BE337">
        <v>1</v>
      </c>
      <c r="BF337">
        <v>15000</v>
      </c>
      <c r="BG337">
        <v>1000</v>
      </c>
      <c r="BH337" s="6">
        <f>Grandview_Inventory[[#This Row],[land_extract]]*Lookups!$B$3</f>
        <v>97193.16416989862</v>
      </c>
      <c r="BI337" s="6">
        <f>IF(Grandview_Inventory[[#This Row],[bldg_style]]="",0,Lookups!$B$2)</f>
        <v>155833.95000000001</v>
      </c>
      <c r="BJ337" s="6">
        <f>_xlfn.IFNA(VLOOKUP(Grandview_Inventory[[#This Row],[quality]],Lookups!$H$2:$J$14,3,FALSE),0)</f>
        <v>10733</v>
      </c>
      <c r="BK337" s="6">
        <f>_xlfn.IFNA(VLOOKUP(Grandview_Inventory[[#This Row],[condition]],Lookups!$H$17:$J$24,3,FALSE),0)</f>
        <v>-4503</v>
      </c>
      <c r="BL337" s="6">
        <f>Grandview_Inventory[[#This Row],[Eff_Age]]*Lookups!$B$14</f>
        <v>-16263.328799999999</v>
      </c>
      <c r="BM337" s="6">
        <f>Grandview_Inventory[[#This Row],[living_area]]*Lookups!$B$15</f>
        <v>97064.607268000007</v>
      </c>
      <c r="BN337" s="6">
        <f>Grandview_Inventory[[#This Row],[Fin BSMT]]*Lookups!$B$16</f>
        <v>0</v>
      </c>
      <c r="BO337" s="6">
        <f>(Grandview_Inventory[[#This Row],[att_gar]]+Grandview_Inventory[[#This Row],[bltin_gar]])*Lookups!$B$17</f>
        <v>0</v>
      </c>
      <c r="BP337" s="6">
        <f>Grandview_Inventory[[#This Row],[Plumbing Fixtures]]*Lookups!$B$18</f>
        <v>10052.209000000001</v>
      </c>
      <c r="BQ337" s="6">
        <f>Grandview_Inventory[[#This Row],[detatched_value]]*Lookups!$B$19</f>
        <v>7367.2043699999995</v>
      </c>
      <c r="BR337" s="6">
        <f>SUM(Grandview_Inventory[[#This Row],[Intercept]:[det_value]])*Grandview_Inventory[[#This Row],[res_pct]]</f>
        <v>260284.64183800001</v>
      </c>
      <c r="BS337" s="6">
        <f>Grandview_Inventory[[#This Row],[land_value]]</f>
        <v>97193.16416989862</v>
      </c>
      <c r="BT337" s="4">
        <f>_xlfn.IFNA(VLOOKUP(Grandview_Inventory[[#This Row],[quality]],Lookups!$A$26:$C$33,3,FALSE),1)</f>
        <v>0.98079741117310582</v>
      </c>
      <c r="BU337" s="4">
        <f>_xlfn.IFNA(VLOOKUP(Grandview_Inventory[[#This Row],[condition]],Lookups!$A$37:$C$44,3,FALSE),1)</f>
        <v>0.96469275950863709</v>
      </c>
      <c r="BV337" s="4">
        <f>IF(Grandview_Inventory[[#This Row],[bldg_style]]="",1,_xlfn.IFNA(VLOOKUP(Grandview_Inventory[[#This Row],[decade]],Lookups!$F$29:$H$43,3,FALSE),1))</f>
        <v>0.9251738460551937</v>
      </c>
      <c r="BW337" s="4">
        <f>_xlfn.IFNA(VLOOKUP(Grandview_Inventory[[#This Row],[living_area_range]],Lookups!$F$47:$H$56,3,FALSE),1)</f>
        <v>0.96120133463014379</v>
      </c>
      <c r="BX337" s="4">
        <f>AVERAGE(Grandview_Inventory[[#This Row],[qual_adj]:[size_adj]])</f>
        <v>0.95796633784177021</v>
      </c>
      <c r="BY337" s="6">
        <f>IF(Grandview_Inventory[[#This Row],[pre_res]]&lt;0,0,Grandview_Inventory[[#This Row],[pre_res]]*Grandview_Inventory[[#This Row],[overall_adj]])</f>
        <v>249343.92513800567</v>
      </c>
      <c r="BZ337" s="6">
        <f>(Grandview_Inventory[[#This Row],[sum_land]]-IF(Grandview_Inventory[[#This Row],[no_utilities]]=1,12000,0))/IF(Grandview_Inventory[[#This Row],[unbuildable]]=1,2,1)</f>
        <v>97193.16416989862</v>
      </c>
      <c r="CA337">
        <f>IF(ROUND(Grandview_Inventory[[#This Row],[adj_land]]*Lookups!$M$28,-2)&lt;Grandview_Inventory[[#This Row],[min_land]],Grandview_Inventory[[#This Row],[min_land]],ROUND(Grandview_Inventory[[#This Row],[adj_land]]*Lookups!$M$28,-2))</f>
        <v>92300</v>
      </c>
      <c r="CB337">
        <f>ROUND(Grandview_Inventory[[#This Row],[det_value]]*Lookups!$M$28,-2)</f>
        <v>7000</v>
      </c>
      <c r="CC337">
        <f>IF(ROUND(Grandview_Inventory[[#This Row],[adj_res]]*Lookups!$M$28,-2)&lt;Grandview_Inventory[[#This Row],[min_res]],Grandview_Inventory[[#This Row],[min_res]],ROUND(Grandview_Inventory[[#This Row],[adj_res]]*Lookups!$M$28,-2))</f>
        <v>236900</v>
      </c>
      <c r="CD337">
        <f>Grandview_Inventory[[#This Row],[final_det]]+Grandview_Inventory[[#This Row],[final_res]]</f>
        <v>243900</v>
      </c>
      <c r="CE337">
        <f>Grandview_Inventory[[#This Row],[final_land]]+Grandview_Inventory[[#This Row],[final_imp]]+Grandview_Inventory[[#This Row],[crop_value]]</f>
        <v>336200</v>
      </c>
      <c r="CG337" t="str">
        <f t="shared" si="5"/>
        <v>update valuation set market_land =92300, market_bldg=243900, market_total =336200, market_mdno =401, market_date ='9/10/2023' where link_id = (select link_id from parcel where parcel_year = '2024' and parcel_id = '23091524011');</v>
      </c>
    </row>
    <row r="338" spans="1:85" x14ac:dyDescent="0.25">
      <c r="A338">
        <v>23091524014</v>
      </c>
      <c r="B338">
        <v>1.82</v>
      </c>
      <c r="C338" t="s">
        <v>129</v>
      </c>
      <c r="D338" t="s">
        <v>129</v>
      </c>
      <c r="E338" t="s">
        <v>53</v>
      </c>
      <c r="F338" t="s">
        <v>53</v>
      </c>
      <c r="G338">
        <v>4</v>
      </c>
      <c r="H338" t="s">
        <v>54</v>
      </c>
      <c r="I338">
        <v>279800</v>
      </c>
      <c r="J338">
        <v>45800</v>
      </c>
      <c r="K338">
        <v>1.82</v>
      </c>
      <c r="L338">
        <f>IF(Grandview_Inventory[[#This Row],[parcel_acres]]-Grandview_Inventory[[#This Row],[non_valued_acres]] =0,0,LN(Grandview_Inventory[[#This Row],[parcel_acres]]-Grandview_Inventory[[#This Row],[non_valued_acres]]))</f>
        <v>0.59883650108870401</v>
      </c>
      <c r="M338">
        <v>0</v>
      </c>
      <c r="N338">
        <v>0</v>
      </c>
      <c r="O338">
        <v>0</v>
      </c>
      <c r="P338">
        <v>13398.7528</v>
      </c>
      <c r="Q338">
        <v>63903</v>
      </c>
      <c r="R338">
        <f>(Grandview_Inventory[[#This Row],[ln_acres]]*Grandview_Inventory[[#This Row],[coeff]])+Grandview_Inventory[[#This Row],[const]]</f>
        <v>71926.662245704472</v>
      </c>
      <c r="S338" t="s">
        <v>55</v>
      </c>
      <c r="T338">
        <v>2</v>
      </c>
      <c r="U338" t="s">
        <v>65</v>
      </c>
      <c r="V338" t="s">
        <v>69</v>
      </c>
      <c r="W338">
        <v>0</v>
      </c>
      <c r="X338">
        <v>0</v>
      </c>
      <c r="Y338">
        <v>50</v>
      </c>
      <c r="Z338">
        <v>73</v>
      </c>
      <c r="AA338">
        <v>80</v>
      </c>
      <c r="AB338">
        <v>3000</v>
      </c>
      <c r="AC338">
        <v>2656</v>
      </c>
      <c r="AD338">
        <v>1936</v>
      </c>
      <c r="AE338">
        <v>720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168</v>
      </c>
      <c r="AM338">
        <v>1057</v>
      </c>
      <c r="AN338">
        <v>168</v>
      </c>
      <c r="AO338">
        <v>168</v>
      </c>
      <c r="AP338">
        <v>8</v>
      </c>
      <c r="AQ338">
        <v>0</v>
      </c>
      <c r="AR338">
        <v>1</v>
      </c>
      <c r="AS338" t="s">
        <v>58</v>
      </c>
      <c r="AT338">
        <v>1</v>
      </c>
      <c r="AU338" t="s">
        <v>75</v>
      </c>
      <c r="AV338" t="s">
        <v>60</v>
      </c>
      <c r="AW338">
        <v>0</v>
      </c>
      <c r="AX338">
        <v>3</v>
      </c>
      <c r="AY338">
        <v>0</v>
      </c>
      <c r="AZ338">
        <v>51100</v>
      </c>
      <c r="BA338">
        <v>100</v>
      </c>
      <c r="BB338">
        <v>100</v>
      </c>
      <c r="BC338">
        <v>100</v>
      </c>
      <c r="BD338">
        <v>100</v>
      </c>
      <c r="BE338">
        <v>1</v>
      </c>
      <c r="BF338">
        <v>15000</v>
      </c>
      <c r="BG338">
        <v>1000</v>
      </c>
      <c r="BH338" s="6">
        <f>Grandview_Inventory[[#This Row],[land_extract]]*Lookups!$B$3</f>
        <v>83528.238663948534</v>
      </c>
      <c r="BI338" s="6">
        <f>IF(Grandview_Inventory[[#This Row],[bldg_style]]="",0,Lookups!$B$2)</f>
        <v>155833.95000000001</v>
      </c>
      <c r="BJ338" s="6">
        <f>_xlfn.IFNA(VLOOKUP(Grandview_Inventory[[#This Row],[quality]],Lookups!$H$2:$J$14,3,FALSE),0)</f>
        <v>2251</v>
      </c>
      <c r="BK338" s="6">
        <f>_xlfn.IFNA(VLOOKUP(Grandview_Inventory[[#This Row],[condition]],Lookups!$H$17:$J$24,3,FALSE),0)</f>
        <v>-4503</v>
      </c>
      <c r="BL338" s="6">
        <f>Grandview_Inventory[[#This Row],[Eff_Age]]*Lookups!$B$14</f>
        <v>-11958.33</v>
      </c>
      <c r="BM338" s="6">
        <f>Grandview_Inventory[[#This Row],[living_area]]*Lookups!$B$15</f>
        <v>165683.545568</v>
      </c>
      <c r="BN338" s="6">
        <f>Grandview_Inventory[[#This Row],[Fin BSMT]]*Lookups!$B$16</f>
        <v>0</v>
      </c>
      <c r="BO338" s="6">
        <f>(Grandview_Inventory[[#This Row],[att_gar]]+Grandview_Inventory[[#This Row],[bltin_gar]])*Lookups!$B$17</f>
        <v>0</v>
      </c>
      <c r="BP338" s="6">
        <f>Grandview_Inventory[[#This Row],[Plumbing Fixtures]]*Lookups!$B$18</f>
        <v>16083.5344</v>
      </c>
      <c r="BQ338" s="6">
        <f>Grandview_Inventory[[#This Row],[detatched_value]]*Lookups!$B$19</f>
        <v>43271.740610000001</v>
      </c>
      <c r="BR338" s="6">
        <f>SUM(Grandview_Inventory[[#This Row],[Intercept]:[det_value]])*Grandview_Inventory[[#This Row],[res_pct]]</f>
        <v>366662.44057800004</v>
      </c>
      <c r="BS338" s="6">
        <f>Grandview_Inventory[[#This Row],[land_value]]</f>
        <v>83528.238663948534</v>
      </c>
      <c r="BT338" s="4">
        <f>_xlfn.IFNA(VLOOKUP(Grandview_Inventory[[#This Row],[quality]],Lookups!$A$26:$C$33,3,FALSE),1)</f>
        <v>0.98763855981004833</v>
      </c>
      <c r="BU338" s="4">
        <f>_xlfn.IFNA(VLOOKUP(Grandview_Inventory[[#This Row],[condition]],Lookups!$A$37:$C$44,3,FALSE),1)</f>
        <v>0.96469275950863709</v>
      </c>
      <c r="BV338" s="4">
        <f>IF(Grandview_Inventory[[#This Row],[bldg_style]]="",1,_xlfn.IFNA(VLOOKUP(Grandview_Inventory[[#This Row],[decade]],Lookups!$F$29:$H$43,3,FALSE),1))</f>
        <v>0.98763256963907298</v>
      </c>
      <c r="BW338" s="4">
        <f>_xlfn.IFNA(VLOOKUP(Grandview_Inventory[[#This Row],[living_area_range]],Lookups!$F$47:$H$56,3,FALSE),1)</f>
        <v>0.94224801443562123</v>
      </c>
      <c r="BX338" s="4">
        <f>AVERAGE(Grandview_Inventory[[#This Row],[qual_adj]:[size_adj]])</f>
        <v>0.97055297584834488</v>
      </c>
      <c r="BY338" s="6">
        <f>IF(Grandview_Inventory[[#This Row],[pre_res]]&lt;0,0,Grandview_Inventory[[#This Row],[pre_res]]*Grandview_Inventory[[#This Row],[overall_adj]])</f>
        <v>355865.32283479488</v>
      </c>
      <c r="BZ338" s="6">
        <f>(Grandview_Inventory[[#This Row],[sum_land]]-IF(Grandview_Inventory[[#This Row],[no_utilities]]=1,12000,0))/IF(Grandview_Inventory[[#This Row],[unbuildable]]=1,2,1)</f>
        <v>83528.238663948534</v>
      </c>
      <c r="CA338">
        <f>IF(ROUND(Grandview_Inventory[[#This Row],[adj_land]]*Lookups!$M$28,-2)&lt;Grandview_Inventory[[#This Row],[min_land]],Grandview_Inventory[[#This Row],[min_land]],ROUND(Grandview_Inventory[[#This Row],[adj_land]]*Lookups!$M$28,-2))</f>
        <v>79400</v>
      </c>
      <c r="CB338">
        <f>ROUND(Grandview_Inventory[[#This Row],[det_value]]*Lookups!$M$28,-2)</f>
        <v>41100</v>
      </c>
      <c r="CC338">
        <f>IF(ROUND(Grandview_Inventory[[#This Row],[adj_res]]*Lookups!$M$28,-2)&lt;Grandview_Inventory[[#This Row],[min_res]],Grandview_Inventory[[#This Row],[min_res]],ROUND(Grandview_Inventory[[#This Row],[adj_res]]*Lookups!$M$28,-2))</f>
        <v>338100</v>
      </c>
      <c r="CD338">
        <f>Grandview_Inventory[[#This Row],[final_det]]+Grandview_Inventory[[#This Row],[final_res]]</f>
        <v>379200</v>
      </c>
      <c r="CE338">
        <f>Grandview_Inventory[[#This Row],[final_land]]+Grandview_Inventory[[#This Row],[final_imp]]+Grandview_Inventory[[#This Row],[crop_value]]</f>
        <v>458600</v>
      </c>
      <c r="CG338" t="str">
        <f t="shared" si="5"/>
        <v>update valuation set market_land =79400, market_bldg=379200, market_total =458600, market_mdno =401, market_date ='9/10/2023' where link_id = (select link_id from parcel where parcel_year = '2024' and parcel_id = '23091524014');</v>
      </c>
    </row>
    <row r="339" spans="1:85" x14ac:dyDescent="0.25">
      <c r="A339">
        <v>23091531003</v>
      </c>
      <c r="B339">
        <v>1.34</v>
      </c>
      <c r="C339">
        <v>58176</v>
      </c>
      <c r="D339" t="s">
        <v>129</v>
      </c>
      <c r="E339" t="s">
        <v>53</v>
      </c>
      <c r="F339" t="s">
        <v>53</v>
      </c>
      <c r="G339">
        <v>4</v>
      </c>
      <c r="H339" t="s">
        <v>54</v>
      </c>
      <c r="I339">
        <v>130700</v>
      </c>
      <c r="J339">
        <v>44700</v>
      </c>
      <c r="K339">
        <v>1.34</v>
      </c>
      <c r="L339">
        <f>IF(Grandview_Inventory[[#This Row],[parcel_acres]]-Grandview_Inventory[[#This Row],[non_valued_acres]] =0,0,LN(Grandview_Inventory[[#This Row],[parcel_acres]]-Grandview_Inventory[[#This Row],[non_valued_acres]]))</f>
        <v>0.29266961396282004</v>
      </c>
      <c r="M339">
        <v>0</v>
      </c>
      <c r="N339">
        <v>0</v>
      </c>
      <c r="O339">
        <v>0</v>
      </c>
      <c r="P339">
        <v>13398.7528</v>
      </c>
      <c r="Q339">
        <v>63903</v>
      </c>
      <c r="R339">
        <f>(Grandview_Inventory[[#This Row],[ln_acres]]*Grandview_Inventory[[#This Row],[coeff]])+Grandview_Inventory[[#This Row],[const]]</f>
        <v>67824.407809559256</v>
      </c>
      <c r="S339" t="s">
        <v>68</v>
      </c>
      <c r="T339">
        <v>1</v>
      </c>
      <c r="U339" t="s">
        <v>83</v>
      </c>
      <c r="V339" t="s">
        <v>69</v>
      </c>
      <c r="W339">
        <v>0</v>
      </c>
      <c r="X339">
        <v>0</v>
      </c>
      <c r="Y339">
        <v>57</v>
      </c>
      <c r="Z339">
        <v>103</v>
      </c>
      <c r="AA339">
        <v>110</v>
      </c>
      <c r="AB339">
        <v>1000</v>
      </c>
      <c r="AC339">
        <v>890</v>
      </c>
      <c r="AD339">
        <v>890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5</v>
      </c>
      <c r="AQ339">
        <v>0</v>
      </c>
      <c r="AR339">
        <v>0</v>
      </c>
      <c r="AS339" t="s">
        <v>71</v>
      </c>
      <c r="AT339">
        <v>0</v>
      </c>
      <c r="AU339" t="s">
        <v>82</v>
      </c>
      <c r="AV339" t="s">
        <v>138</v>
      </c>
      <c r="AW339">
        <v>0</v>
      </c>
      <c r="AX339">
        <v>1</v>
      </c>
      <c r="AY339">
        <v>0</v>
      </c>
      <c r="AZ339">
        <v>3300</v>
      </c>
      <c r="BA339">
        <v>100</v>
      </c>
      <c r="BB339">
        <v>100</v>
      </c>
      <c r="BC339">
        <v>100</v>
      </c>
      <c r="BD339">
        <v>100</v>
      </c>
      <c r="BE339">
        <v>1</v>
      </c>
      <c r="BF339">
        <v>15000</v>
      </c>
      <c r="BG339">
        <v>1000</v>
      </c>
      <c r="BH339" s="6">
        <f>Grandview_Inventory[[#This Row],[land_extract]]*Lookups!$B$3</f>
        <v>78764.301663340069</v>
      </c>
      <c r="BI339" s="6">
        <f>IF(Grandview_Inventory[[#This Row],[bldg_style]]="",0,Lookups!$B$2)</f>
        <v>155833.95000000001</v>
      </c>
      <c r="BJ339" s="6">
        <f>_xlfn.IFNA(VLOOKUP(Grandview_Inventory[[#This Row],[quality]],Lookups!$H$2:$J$14,3,FALSE),0)</f>
        <v>-28558</v>
      </c>
      <c r="BK339" s="6">
        <f>_xlfn.IFNA(VLOOKUP(Grandview_Inventory[[#This Row],[condition]],Lookups!$H$17:$J$24,3,FALSE),0)</f>
        <v>-4503</v>
      </c>
      <c r="BL339" s="6">
        <f>Grandview_Inventory[[#This Row],[Eff_Age]]*Lookups!$B$14</f>
        <v>-13632.4962</v>
      </c>
      <c r="BM339" s="6">
        <f>Grandview_Inventory[[#This Row],[living_area]]*Lookups!$B$15</f>
        <v>55518.959170000002</v>
      </c>
      <c r="BN339" s="6">
        <f>Grandview_Inventory[[#This Row],[Fin BSMT]]*Lookups!$B$16</f>
        <v>0</v>
      </c>
      <c r="BO339" s="6">
        <f>(Grandview_Inventory[[#This Row],[att_gar]]+Grandview_Inventory[[#This Row],[bltin_gar]])*Lookups!$B$17</f>
        <v>0</v>
      </c>
      <c r="BP339" s="6">
        <f>Grandview_Inventory[[#This Row],[Plumbing Fixtures]]*Lookups!$B$18</f>
        <v>10052.209000000001</v>
      </c>
      <c r="BQ339" s="6">
        <f>Grandview_Inventory[[#This Row],[detatched_value]]*Lookups!$B$19</f>
        <v>2794.4568300000001</v>
      </c>
      <c r="BR339" s="6">
        <f>SUM(Grandview_Inventory[[#This Row],[Intercept]:[det_value]])*Grandview_Inventory[[#This Row],[res_pct]]</f>
        <v>177506.07880000002</v>
      </c>
      <c r="BS339" s="6">
        <f>Grandview_Inventory[[#This Row],[land_value]]</f>
        <v>78764.301663340069</v>
      </c>
      <c r="BT339" s="4">
        <f>_xlfn.IFNA(VLOOKUP(Grandview_Inventory[[#This Row],[quality]],Lookups!$A$26:$C$33,3,FALSE),1)</f>
        <v>0.96329552998502799</v>
      </c>
      <c r="BU339" s="4">
        <f>_xlfn.IFNA(VLOOKUP(Grandview_Inventory[[#This Row],[condition]],Lookups!$A$37:$C$44,3,FALSE),1)</f>
        <v>0.96469275950863709</v>
      </c>
      <c r="BV339" s="4">
        <f>IF(Grandview_Inventory[[#This Row],[bldg_style]]="",1,_xlfn.IFNA(VLOOKUP(Grandview_Inventory[[#This Row],[decade]],Lookups!$F$29:$H$43,3,FALSE),1))</f>
        <v>0.92255236374249616</v>
      </c>
      <c r="BW339" s="4">
        <f>_xlfn.IFNA(VLOOKUP(Grandview_Inventory[[#This Row],[living_area_range]],Lookups!$F$47:$H$56,3,FALSE),1)</f>
        <v>0.94306777142782894</v>
      </c>
      <c r="BX339" s="4">
        <f>AVERAGE(Grandview_Inventory[[#This Row],[qual_adj]:[size_adj]])</f>
        <v>0.94840210616599752</v>
      </c>
      <c r="BY339" s="6">
        <f>IF(Grandview_Inventory[[#This Row],[pre_res]]&lt;0,0,Grandview_Inventory[[#This Row],[pre_res]]*Grandview_Inventory[[#This Row],[overall_adj]])</f>
        <v>168347.13899118753</v>
      </c>
      <c r="BZ339" s="6">
        <f>(Grandview_Inventory[[#This Row],[sum_land]]-IF(Grandview_Inventory[[#This Row],[no_utilities]]=1,12000,0))/IF(Grandview_Inventory[[#This Row],[unbuildable]]=1,2,1)</f>
        <v>78764.301663340069</v>
      </c>
      <c r="CA339">
        <f>IF(ROUND(Grandview_Inventory[[#This Row],[adj_land]]*Lookups!$M$28,-2)&lt;Grandview_Inventory[[#This Row],[min_land]],Grandview_Inventory[[#This Row],[min_land]],ROUND(Grandview_Inventory[[#This Row],[adj_land]]*Lookups!$M$28,-2))</f>
        <v>74800</v>
      </c>
      <c r="CB339">
        <f>ROUND(Grandview_Inventory[[#This Row],[det_value]]*Lookups!$M$28,-2)</f>
        <v>2700</v>
      </c>
      <c r="CC339">
        <f>IF(ROUND(Grandview_Inventory[[#This Row],[adj_res]]*Lookups!$M$28,-2)&lt;Grandview_Inventory[[#This Row],[min_res]],Grandview_Inventory[[#This Row],[min_res]],ROUND(Grandview_Inventory[[#This Row],[adj_res]]*Lookups!$M$28,-2))</f>
        <v>159900</v>
      </c>
      <c r="CD339">
        <f>Grandview_Inventory[[#This Row],[final_det]]+Grandview_Inventory[[#This Row],[final_res]]</f>
        <v>162600</v>
      </c>
      <c r="CE339">
        <f>Grandview_Inventory[[#This Row],[final_land]]+Grandview_Inventory[[#This Row],[final_imp]]+Grandview_Inventory[[#This Row],[crop_value]]</f>
        <v>237400</v>
      </c>
      <c r="CG339" t="str">
        <f t="shared" si="5"/>
        <v>update valuation set market_land =74800, market_bldg=162600, market_total =237400, market_mdno =401, market_date ='9/10/2023' where link_id = (select link_id from parcel where parcel_year = '2024' and parcel_id = '23091531003');</v>
      </c>
    </row>
    <row r="340" spans="1:85" x14ac:dyDescent="0.25">
      <c r="A340">
        <v>23091531005</v>
      </c>
      <c r="B340">
        <v>5.05</v>
      </c>
      <c r="C340" t="s">
        <v>129</v>
      </c>
      <c r="D340" t="s">
        <v>129</v>
      </c>
      <c r="E340" t="s">
        <v>53</v>
      </c>
      <c r="F340" t="s">
        <v>53</v>
      </c>
      <c r="G340">
        <v>4</v>
      </c>
      <c r="H340" t="s">
        <v>54</v>
      </c>
      <c r="I340">
        <v>276200</v>
      </c>
      <c r="J340">
        <v>48900</v>
      </c>
      <c r="K340">
        <v>5.05</v>
      </c>
      <c r="L340">
        <f>IF(Grandview_Inventory[[#This Row],[parcel_acres]]-Grandview_Inventory[[#This Row],[non_valued_acres]] =0,0,LN(Grandview_Inventory[[#This Row],[parcel_acres]]-Grandview_Inventory[[#This Row],[non_valued_acres]]))</f>
        <v>1.6193882432872684</v>
      </c>
      <c r="M340">
        <v>0</v>
      </c>
      <c r="N340">
        <v>0</v>
      </c>
      <c r="O340">
        <v>0</v>
      </c>
      <c r="P340">
        <v>13398.7528</v>
      </c>
      <c r="Q340">
        <v>63903</v>
      </c>
      <c r="R340">
        <f>(Grandview_Inventory[[#This Row],[ln_acres]]*Grandview_Inventory[[#This Row],[coeff]])+Grandview_Inventory[[#This Row],[const]]</f>
        <v>85600.782759032372</v>
      </c>
      <c r="S340" t="s">
        <v>86</v>
      </c>
      <c r="T340">
        <v>2</v>
      </c>
      <c r="U340" t="s">
        <v>65</v>
      </c>
      <c r="V340" t="s">
        <v>69</v>
      </c>
      <c r="W340">
        <v>0</v>
      </c>
      <c r="X340">
        <v>0</v>
      </c>
      <c r="Y340">
        <v>50</v>
      </c>
      <c r="Z340">
        <v>73</v>
      </c>
      <c r="AA340">
        <v>80</v>
      </c>
      <c r="AB340">
        <v>2500</v>
      </c>
      <c r="AC340">
        <v>2040</v>
      </c>
      <c r="AD340">
        <v>1656</v>
      </c>
      <c r="AE340">
        <v>384</v>
      </c>
      <c r="AF340">
        <v>0</v>
      </c>
      <c r="AG340">
        <v>0</v>
      </c>
      <c r="AH340">
        <v>144</v>
      </c>
      <c r="AI340">
        <v>0</v>
      </c>
      <c r="AJ340">
        <v>0</v>
      </c>
      <c r="AK340">
        <v>0</v>
      </c>
      <c r="AL340">
        <v>0</v>
      </c>
      <c r="AM340">
        <v>352</v>
      </c>
      <c r="AN340">
        <v>288</v>
      </c>
      <c r="AO340">
        <v>160</v>
      </c>
      <c r="AP340">
        <v>9</v>
      </c>
      <c r="AQ340">
        <v>1</v>
      </c>
      <c r="AR340">
        <v>0</v>
      </c>
      <c r="AS340" t="s">
        <v>76</v>
      </c>
      <c r="AT340">
        <v>1</v>
      </c>
      <c r="AU340" t="s">
        <v>75</v>
      </c>
      <c r="AV340" t="s">
        <v>60</v>
      </c>
      <c r="AW340">
        <v>0</v>
      </c>
      <c r="AX340">
        <v>3</v>
      </c>
      <c r="AY340">
        <v>5000</v>
      </c>
      <c r="AZ340">
        <v>84800</v>
      </c>
      <c r="BA340">
        <v>100</v>
      </c>
      <c r="BB340">
        <v>100</v>
      </c>
      <c r="BC340">
        <v>100</v>
      </c>
      <c r="BD340">
        <v>100</v>
      </c>
      <c r="BE340">
        <v>1</v>
      </c>
      <c r="BF340">
        <v>15000</v>
      </c>
      <c r="BG340">
        <v>1000</v>
      </c>
      <c r="BH340" s="6">
        <f>Grandview_Inventory[[#This Row],[land_extract]]*Lookups!$B$3</f>
        <v>99407.957895950836</v>
      </c>
      <c r="BI340" s="6">
        <f>IF(Grandview_Inventory[[#This Row],[bldg_style]]="",0,Lookups!$B$2)</f>
        <v>155833.95000000001</v>
      </c>
      <c r="BJ340" s="6">
        <f>_xlfn.IFNA(VLOOKUP(Grandview_Inventory[[#This Row],[quality]],Lookups!$H$2:$J$14,3,FALSE),0)</f>
        <v>2251</v>
      </c>
      <c r="BK340" s="6">
        <f>_xlfn.IFNA(VLOOKUP(Grandview_Inventory[[#This Row],[condition]],Lookups!$H$17:$J$24,3,FALSE),0)</f>
        <v>-4503</v>
      </c>
      <c r="BL340" s="6">
        <f>Grandview_Inventory[[#This Row],[Eff_Age]]*Lookups!$B$14</f>
        <v>-11958.33</v>
      </c>
      <c r="BM340" s="6">
        <f>Grandview_Inventory[[#This Row],[living_area]]*Lookups!$B$15</f>
        <v>127256.94012</v>
      </c>
      <c r="BN340" s="6">
        <f>Grandview_Inventory[[#This Row],[Fin BSMT]]*Lookups!$B$16</f>
        <v>0</v>
      </c>
      <c r="BO340" s="6">
        <f>(Grandview_Inventory[[#This Row],[att_gar]]+Grandview_Inventory[[#This Row],[bltin_gar]])*Lookups!$B$17</f>
        <v>0</v>
      </c>
      <c r="BP340" s="6">
        <f>Grandview_Inventory[[#This Row],[Plumbing Fixtures]]*Lookups!$B$18</f>
        <v>18093.976200000001</v>
      </c>
      <c r="BQ340" s="6">
        <f>Grandview_Inventory[[#This Row],[detatched_value]]*Lookups!$B$19</f>
        <v>71809.072480000003</v>
      </c>
      <c r="BR340" s="6">
        <f>SUM(Grandview_Inventory[[#This Row],[Intercept]:[det_value]])*Grandview_Inventory[[#This Row],[res_pct]]</f>
        <v>358783.60880000005</v>
      </c>
      <c r="BS340" s="6">
        <f>Grandview_Inventory[[#This Row],[land_value]]</f>
        <v>99407.957895950836</v>
      </c>
      <c r="BT340" s="4">
        <f>_xlfn.IFNA(VLOOKUP(Grandview_Inventory[[#This Row],[quality]],Lookups!$A$26:$C$33,3,FALSE),1)</f>
        <v>0.98763855981004833</v>
      </c>
      <c r="BU340" s="4">
        <f>_xlfn.IFNA(VLOOKUP(Grandview_Inventory[[#This Row],[condition]],Lookups!$A$37:$C$44,3,FALSE),1)</f>
        <v>0.96469275950863709</v>
      </c>
      <c r="BV340" s="4">
        <f>IF(Grandview_Inventory[[#This Row],[bldg_style]]="",1,_xlfn.IFNA(VLOOKUP(Grandview_Inventory[[#This Row],[decade]],Lookups!$F$29:$H$43,3,FALSE),1))</f>
        <v>0.98763256963907298</v>
      </c>
      <c r="BW340" s="4">
        <f>_xlfn.IFNA(VLOOKUP(Grandview_Inventory[[#This Row],[living_area_range]],Lookups!$F$47:$H$56,3,FALSE),1)</f>
        <v>0.95799442568048754</v>
      </c>
      <c r="BX340" s="4">
        <f>AVERAGE(Grandview_Inventory[[#This Row],[qual_adj]:[size_adj]])</f>
        <v>0.97448957865956143</v>
      </c>
      <c r="BY340" s="6">
        <f>IF(Grandview_Inventory[[#This Row],[pre_res]]&lt;0,0,Grandview_Inventory[[#This Row],[pre_res]]*Grandview_Inventory[[#This Row],[overall_adj]])</f>
        <v>349630.88776946894</v>
      </c>
      <c r="BZ340" s="6">
        <f>(Grandview_Inventory[[#This Row],[sum_land]]-IF(Grandview_Inventory[[#This Row],[no_utilities]]=1,12000,0))/IF(Grandview_Inventory[[#This Row],[unbuildable]]=1,2,1)</f>
        <v>99407.957895950836</v>
      </c>
      <c r="CA340">
        <f>IF(ROUND(Grandview_Inventory[[#This Row],[adj_land]]*Lookups!$M$28,-2)&lt;Grandview_Inventory[[#This Row],[min_land]],Grandview_Inventory[[#This Row],[min_land]],ROUND(Grandview_Inventory[[#This Row],[adj_land]]*Lookups!$M$28,-2))</f>
        <v>94400</v>
      </c>
      <c r="CB340">
        <f>ROUND(Grandview_Inventory[[#This Row],[det_value]]*Lookups!$M$28,-2)</f>
        <v>68200</v>
      </c>
      <c r="CC340">
        <f>IF(ROUND(Grandview_Inventory[[#This Row],[adj_res]]*Lookups!$M$28,-2)&lt;Grandview_Inventory[[#This Row],[min_res]],Grandview_Inventory[[#This Row],[min_res]],ROUND(Grandview_Inventory[[#This Row],[adj_res]]*Lookups!$M$28,-2))</f>
        <v>332100</v>
      </c>
      <c r="CD340">
        <f>Grandview_Inventory[[#This Row],[final_det]]+Grandview_Inventory[[#This Row],[final_res]]</f>
        <v>400300</v>
      </c>
      <c r="CE340">
        <f>Grandview_Inventory[[#This Row],[final_land]]+Grandview_Inventory[[#This Row],[final_imp]]+Grandview_Inventory[[#This Row],[crop_value]]</f>
        <v>499700</v>
      </c>
      <c r="CG340" t="str">
        <f t="shared" si="5"/>
        <v>update valuation set market_land =94400, market_bldg=400300, market_total =499700, market_mdno =401, market_date ='9/10/2023' where link_id = (select link_id from parcel where parcel_year = '2024' and parcel_id = '23091531005');</v>
      </c>
    </row>
    <row r="341" spans="1:85" x14ac:dyDescent="0.25">
      <c r="A341">
        <v>23091534001</v>
      </c>
      <c r="B341">
        <v>0.54</v>
      </c>
      <c r="C341">
        <v>27869</v>
      </c>
      <c r="D341" t="s">
        <v>129</v>
      </c>
      <c r="E341" t="s">
        <v>53</v>
      </c>
      <c r="F341" t="s">
        <v>53</v>
      </c>
      <c r="G341">
        <v>4</v>
      </c>
      <c r="H341" t="s">
        <v>54</v>
      </c>
      <c r="I341">
        <v>209300</v>
      </c>
      <c r="J341">
        <v>42400</v>
      </c>
      <c r="K341">
        <v>0.54</v>
      </c>
      <c r="L341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341">
        <v>0</v>
      </c>
      <c r="N341">
        <v>0</v>
      </c>
      <c r="O341">
        <v>0</v>
      </c>
      <c r="P341">
        <v>13398.7528</v>
      </c>
      <c r="Q341">
        <v>63903</v>
      </c>
      <c r="R341">
        <f>(Grandview_Inventory[[#This Row],[ln_acres]]*Grandview_Inventory[[#This Row],[coeff]])+Grandview_Inventory[[#This Row],[const]]</f>
        <v>55646.874239073943</v>
      </c>
      <c r="S341" t="s">
        <v>86</v>
      </c>
      <c r="T341">
        <v>2</v>
      </c>
      <c r="U341" t="s">
        <v>62</v>
      </c>
      <c r="V341" t="s">
        <v>66</v>
      </c>
      <c r="W341">
        <v>0</v>
      </c>
      <c r="X341">
        <v>0</v>
      </c>
      <c r="Y341">
        <v>9</v>
      </c>
      <c r="Z341">
        <v>9</v>
      </c>
      <c r="AA341">
        <v>10</v>
      </c>
      <c r="AB341">
        <v>2000</v>
      </c>
      <c r="AC341">
        <v>1766</v>
      </c>
      <c r="AD341">
        <v>1190</v>
      </c>
      <c r="AE341">
        <v>576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286</v>
      </c>
      <c r="AL341">
        <v>0</v>
      </c>
      <c r="AM341">
        <v>0</v>
      </c>
      <c r="AN341">
        <v>320</v>
      </c>
      <c r="AO341">
        <v>306</v>
      </c>
      <c r="AP341">
        <v>8</v>
      </c>
      <c r="AQ341">
        <v>0</v>
      </c>
      <c r="AR341">
        <v>0</v>
      </c>
      <c r="AS341" t="s">
        <v>58</v>
      </c>
      <c r="AT341">
        <v>1</v>
      </c>
      <c r="AU341" t="s">
        <v>63</v>
      </c>
      <c r="AV341" t="s">
        <v>60</v>
      </c>
      <c r="AW341">
        <v>1</v>
      </c>
      <c r="AX341">
        <v>5</v>
      </c>
      <c r="AY341">
        <v>0</v>
      </c>
      <c r="AZ341">
        <v>0</v>
      </c>
      <c r="BA341">
        <v>100</v>
      </c>
      <c r="BB341">
        <v>100</v>
      </c>
      <c r="BC341">
        <v>100</v>
      </c>
      <c r="BD341">
        <v>100</v>
      </c>
      <c r="BE341">
        <v>1</v>
      </c>
      <c r="BF341">
        <v>15000</v>
      </c>
      <c r="BG341">
        <v>1000</v>
      </c>
      <c r="BH341" s="6">
        <f>Grandview_Inventory[[#This Row],[land_extract]]*Lookups!$B$3</f>
        <v>64622.564807276125</v>
      </c>
      <c r="BI341" s="6">
        <f>IF(Grandview_Inventory[[#This Row],[bldg_style]]="",0,Lookups!$B$2)</f>
        <v>155833.95000000001</v>
      </c>
      <c r="BJ341" s="6">
        <f>_xlfn.IFNA(VLOOKUP(Grandview_Inventory[[#This Row],[quality]],Lookups!$H$2:$J$14,3,FALSE),0)</f>
        <v>9808</v>
      </c>
      <c r="BK341" s="6">
        <f>_xlfn.IFNA(VLOOKUP(Grandview_Inventory[[#This Row],[condition]],Lookups!$H$17:$J$24,3,FALSE),0)</f>
        <v>25818</v>
      </c>
      <c r="BL341" s="6">
        <f>Grandview_Inventory[[#This Row],[Eff_Age]]*Lookups!$B$14</f>
        <v>-2152.4993999999997</v>
      </c>
      <c r="BM341" s="6">
        <f>Grandview_Inventory[[#This Row],[living_area]]*Lookups!$B$15</f>
        <v>110164.586398</v>
      </c>
      <c r="BN341" s="6">
        <f>Grandview_Inventory[[#This Row],[Fin BSMT]]*Lookups!$B$16</f>
        <v>0</v>
      </c>
      <c r="BO341" s="6">
        <f>(Grandview_Inventory[[#This Row],[att_gar]]+Grandview_Inventory[[#This Row],[bltin_gar]])*Lookups!$B$17</f>
        <v>0</v>
      </c>
      <c r="BP341" s="6">
        <f>Grandview_Inventory[[#This Row],[Plumbing Fixtures]]*Lookups!$B$18</f>
        <v>16083.5344</v>
      </c>
      <c r="BQ341" s="6">
        <f>Grandview_Inventory[[#This Row],[detatched_value]]*Lookups!$B$19</f>
        <v>0</v>
      </c>
      <c r="BR341" s="6">
        <f>SUM(Grandview_Inventory[[#This Row],[Intercept]:[det_value]])*Grandview_Inventory[[#This Row],[res_pct]]</f>
        <v>315555.571398</v>
      </c>
      <c r="BS341" s="6">
        <f>Grandview_Inventory[[#This Row],[land_value]]</f>
        <v>64622.564807276125</v>
      </c>
      <c r="BT341" s="4">
        <f>_xlfn.IFNA(VLOOKUP(Grandview_Inventory[[#This Row],[quality]],Lookups!$A$26:$C$33,3,FALSE),1)</f>
        <v>0.94295468617355149</v>
      </c>
      <c r="BU341" s="4">
        <f>_xlfn.IFNA(VLOOKUP(Grandview_Inventory[[#This Row],[condition]],Lookups!$A$37:$C$44,3,FALSE),1)</f>
        <v>0.96661476234146892</v>
      </c>
      <c r="BV341" s="4">
        <f>IF(Grandview_Inventory[[#This Row],[bldg_style]]="",1,_xlfn.IFNA(VLOOKUP(Grandview_Inventory[[#This Row],[decade]],Lookups!$F$29:$H$43,3,FALSE),1))</f>
        <v>0.94601966599150278</v>
      </c>
      <c r="BW341" s="4">
        <f>_xlfn.IFNA(VLOOKUP(Grandview_Inventory[[#This Row],[living_area_range]],Lookups!$F$47:$H$56,3,FALSE),1)</f>
        <v>0.96120133463014379</v>
      </c>
      <c r="BX341" s="4">
        <f>AVERAGE(Grandview_Inventory[[#This Row],[qual_adj]:[size_adj]])</f>
        <v>0.95419761228416689</v>
      </c>
      <c r="BY341" s="6">
        <f>IF(Grandview_Inventory[[#This Row],[pre_res]]&lt;0,0,Grandview_Inventory[[#This Row],[pre_res]]*Grandview_Inventory[[#This Row],[overall_adj]])</f>
        <v>301102.37277093757</v>
      </c>
      <c r="BZ341" s="6">
        <f>(Grandview_Inventory[[#This Row],[sum_land]]-IF(Grandview_Inventory[[#This Row],[no_utilities]]=1,12000,0))/IF(Grandview_Inventory[[#This Row],[unbuildable]]=1,2,1)</f>
        <v>64622.564807276125</v>
      </c>
      <c r="CA341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341">
        <f>ROUND(Grandview_Inventory[[#This Row],[det_value]]*Lookups!$M$28,-2)</f>
        <v>0</v>
      </c>
      <c r="CC341">
        <f>IF(ROUND(Grandview_Inventory[[#This Row],[adj_res]]*Lookups!$M$28,-2)&lt;Grandview_Inventory[[#This Row],[min_res]],Grandview_Inventory[[#This Row],[min_res]],ROUND(Grandview_Inventory[[#This Row],[adj_res]]*Lookups!$M$28,-2))</f>
        <v>286000</v>
      </c>
      <c r="CD341">
        <f>Grandview_Inventory[[#This Row],[final_det]]+Grandview_Inventory[[#This Row],[final_res]]</f>
        <v>286000</v>
      </c>
      <c r="CE341">
        <f>Grandview_Inventory[[#This Row],[final_land]]+Grandview_Inventory[[#This Row],[final_imp]]+Grandview_Inventory[[#This Row],[crop_value]]</f>
        <v>347400</v>
      </c>
      <c r="CG341" t="str">
        <f t="shared" si="5"/>
        <v>update valuation set market_land =61400, market_bldg=286000, market_total =347400, market_mdno =401, market_date ='9/10/2023' where link_id = (select link_id from parcel where parcel_year = '2024' and parcel_id = '23091534001');</v>
      </c>
    </row>
    <row r="342" spans="1:85" x14ac:dyDescent="0.25">
      <c r="A342">
        <v>23091541008</v>
      </c>
      <c r="B342">
        <v>0.23</v>
      </c>
      <c r="C342">
        <v>10106</v>
      </c>
      <c r="D342" t="s">
        <v>129</v>
      </c>
      <c r="E342" t="s">
        <v>53</v>
      </c>
      <c r="F342" t="s">
        <v>53</v>
      </c>
      <c r="G342">
        <v>4</v>
      </c>
      <c r="H342" t="s">
        <v>54</v>
      </c>
      <c r="I342">
        <v>207900</v>
      </c>
      <c r="J342">
        <v>39700</v>
      </c>
      <c r="K342">
        <v>0.23</v>
      </c>
      <c r="L34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342">
        <v>0</v>
      </c>
      <c r="N342">
        <v>0</v>
      </c>
      <c r="O342">
        <v>0</v>
      </c>
      <c r="P342">
        <v>13398.7528</v>
      </c>
      <c r="Q342">
        <v>63903</v>
      </c>
      <c r="R342">
        <f>(Grandview_Inventory[[#This Row],[ln_acres]]*Grandview_Inventory[[#This Row],[coeff]])+Grandview_Inventory[[#This Row],[const]]</f>
        <v>44211.174981080039</v>
      </c>
      <c r="S342" t="s">
        <v>68</v>
      </c>
      <c r="T342">
        <v>1</v>
      </c>
      <c r="U342" t="s">
        <v>70</v>
      </c>
      <c r="V342" t="s">
        <v>69</v>
      </c>
      <c r="W342">
        <v>0</v>
      </c>
      <c r="X342">
        <v>0</v>
      </c>
      <c r="Y342">
        <v>51</v>
      </c>
      <c r="Z342">
        <v>83</v>
      </c>
      <c r="AA342">
        <v>90</v>
      </c>
      <c r="AB342">
        <v>1000</v>
      </c>
      <c r="AC342">
        <v>876</v>
      </c>
      <c r="AD342">
        <v>876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88</v>
      </c>
      <c r="AO342">
        <v>0</v>
      </c>
      <c r="AP342">
        <v>5</v>
      </c>
      <c r="AQ342">
        <v>0</v>
      </c>
      <c r="AR342">
        <v>0</v>
      </c>
      <c r="AS342" t="s">
        <v>58</v>
      </c>
      <c r="AT342">
        <v>1</v>
      </c>
      <c r="AU342" t="s">
        <v>63</v>
      </c>
      <c r="AV342" t="s">
        <v>64</v>
      </c>
      <c r="AW342">
        <v>0</v>
      </c>
      <c r="AX342">
        <v>2</v>
      </c>
      <c r="AY342">
        <v>0</v>
      </c>
      <c r="AZ342">
        <v>48600</v>
      </c>
      <c r="BA342">
        <v>100</v>
      </c>
      <c r="BB342">
        <v>100</v>
      </c>
      <c r="BC342">
        <v>100</v>
      </c>
      <c r="BD342">
        <v>100</v>
      </c>
      <c r="BE342">
        <v>1</v>
      </c>
      <c r="BF342">
        <v>15000</v>
      </c>
      <c r="BG342">
        <v>1000</v>
      </c>
      <c r="BH342" s="6">
        <f>Grandview_Inventory[[#This Row],[land_extract]]*Lookups!$B$3</f>
        <v>51342.318135355803</v>
      </c>
      <c r="BI342" s="6">
        <f>IF(Grandview_Inventory[[#This Row],[bldg_style]]="",0,Lookups!$B$2)</f>
        <v>155833.95000000001</v>
      </c>
      <c r="BJ342" s="6">
        <f>_xlfn.IFNA(VLOOKUP(Grandview_Inventory[[#This Row],[quality]],Lookups!$H$2:$J$14,3,FALSE),0)</f>
        <v>10733</v>
      </c>
      <c r="BK342" s="6">
        <f>_xlfn.IFNA(VLOOKUP(Grandview_Inventory[[#This Row],[condition]],Lookups!$H$17:$J$24,3,FALSE),0)</f>
        <v>-4503</v>
      </c>
      <c r="BL342" s="6">
        <f>Grandview_Inventory[[#This Row],[Eff_Age]]*Lookups!$B$14</f>
        <v>-12197.496599999999</v>
      </c>
      <c r="BM342" s="6">
        <f>Grandview_Inventory[[#This Row],[living_area]]*Lookups!$B$15</f>
        <v>54645.627228000005</v>
      </c>
      <c r="BN342" s="6">
        <f>Grandview_Inventory[[#This Row],[Fin BSMT]]*Lookups!$B$16</f>
        <v>0</v>
      </c>
      <c r="BO342" s="6">
        <f>(Grandview_Inventory[[#This Row],[att_gar]]+Grandview_Inventory[[#This Row],[bltin_gar]])*Lookups!$B$17</f>
        <v>0</v>
      </c>
      <c r="BP342" s="6">
        <f>Grandview_Inventory[[#This Row],[Plumbing Fixtures]]*Lookups!$B$18</f>
        <v>10052.209000000001</v>
      </c>
      <c r="BQ342" s="6">
        <f>Grandview_Inventory[[#This Row],[detatched_value]]*Lookups!$B$19</f>
        <v>41154.727859999999</v>
      </c>
      <c r="BR342" s="6">
        <f>SUM(Grandview_Inventory[[#This Row],[Intercept]:[det_value]])*Grandview_Inventory[[#This Row],[res_pct]]</f>
        <v>255719.01748799998</v>
      </c>
      <c r="BS342" s="6">
        <f>Grandview_Inventory[[#This Row],[land_value]]</f>
        <v>51342.318135355803</v>
      </c>
      <c r="BT342" s="4">
        <f>_xlfn.IFNA(VLOOKUP(Grandview_Inventory[[#This Row],[quality]],Lookups!$A$26:$C$33,3,FALSE),1)</f>
        <v>0.98079741117310582</v>
      </c>
      <c r="BU342" s="4">
        <f>_xlfn.IFNA(VLOOKUP(Grandview_Inventory[[#This Row],[condition]],Lookups!$A$37:$C$44,3,FALSE),1)</f>
        <v>0.96469275950863709</v>
      </c>
      <c r="BV342" s="4">
        <f>IF(Grandview_Inventory[[#This Row],[bldg_style]]="",1,_xlfn.IFNA(VLOOKUP(Grandview_Inventory[[#This Row],[decade]],Lookups!$F$29:$H$43,3,FALSE),1))</f>
        <v>0.94161750052457416</v>
      </c>
      <c r="BW342" s="4">
        <f>_xlfn.IFNA(VLOOKUP(Grandview_Inventory[[#This Row],[living_area_range]],Lookups!$F$47:$H$56,3,FALSE),1)</f>
        <v>0.94306777142782894</v>
      </c>
      <c r="BX342" s="4">
        <f>AVERAGE(Grandview_Inventory[[#This Row],[qual_adj]:[size_adj]])</f>
        <v>0.95754386065853647</v>
      </c>
      <c r="BY342" s="6">
        <f>IF(Grandview_Inventory[[#This Row],[pre_res]]&lt;0,0,Grandview_Inventory[[#This Row],[pre_res]]*Grandview_Inventory[[#This Row],[overall_adj]])</f>
        <v>244862.17524926731</v>
      </c>
      <c r="BZ342" s="6">
        <f>(Grandview_Inventory[[#This Row],[sum_land]]-IF(Grandview_Inventory[[#This Row],[no_utilities]]=1,12000,0))/IF(Grandview_Inventory[[#This Row],[unbuildable]]=1,2,1)</f>
        <v>51342.318135355803</v>
      </c>
      <c r="CA34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342">
        <f>ROUND(Grandview_Inventory[[#This Row],[det_value]]*Lookups!$M$28,-2)</f>
        <v>39100</v>
      </c>
      <c r="CC342">
        <f>IF(ROUND(Grandview_Inventory[[#This Row],[adj_res]]*Lookups!$M$28,-2)&lt;Grandview_Inventory[[#This Row],[min_res]],Grandview_Inventory[[#This Row],[min_res]],ROUND(Grandview_Inventory[[#This Row],[adj_res]]*Lookups!$M$28,-2))</f>
        <v>232600</v>
      </c>
      <c r="CD342">
        <f>Grandview_Inventory[[#This Row],[final_det]]+Grandview_Inventory[[#This Row],[final_res]]</f>
        <v>271700</v>
      </c>
      <c r="CE342">
        <f>Grandview_Inventory[[#This Row],[final_land]]+Grandview_Inventory[[#This Row],[final_imp]]+Grandview_Inventory[[#This Row],[crop_value]]</f>
        <v>320500</v>
      </c>
      <c r="CG342" t="str">
        <f t="shared" si="5"/>
        <v>update valuation set market_land =48800, market_bldg=271700, market_total =320500, market_mdno =401, market_date ='9/10/2023' where link_id = (select link_id from parcel where parcel_year = '2024' and parcel_id = '23091541008');</v>
      </c>
    </row>
    <row r="343" spans="1:85" x14ac:dyDescent="0.25">
      <c r="A343">
        <v>23091541011</v>
      </c>
      <c r="B343">
        <v>0.79</v>
      </c>
      <c r="C343">
        <v>34412</v>
      </c>
      <c r="D343" t="s">
        <v>129</v>
      </c>
      <c r="E343" t="s">
        <v>53</v>
      </c>
      <c r="F343" t="s">
        <v>53</v>
      </c>
      <c r="G343">
        <v>4</v>
      </c>
      <c r="H343" t="s">
        <v>54</v>
      </c>
      <c r="I343">
        <v>137700</v>
      </c>
      <c r="J343">
        <v>43100</v>
      </c>
      <c r="K343">
        <v>0.79</v>
      </c>
      <c r="L343">
        <f>IF(Grandview_Inventory[[#This Row],[parcel_acres]]-Grandview_Inventory[[#This Row],[non_valued_acres]] =0,0,LN(Grandview_Inventory[[#This Row],[parcel_acres]]-Grandview_Inventory[[#This Row],[non_valued_acres]]))</f>
        <v>-0.23572233352106983</v>
      </c>
      <c r="M343">
        <v>0</v>
      </c>
      <c r="N343">
        <v>0</v>
      </c>
      <c r="O343">
        <v>0</v>
      </c>
      <c r="P343">
        <v>13398.7528</v>
      </c>
      <c r="Q343">
        <v>63903</v>
      </c>
      <c r="R343">
        <f>(Grandview_Inventory[[#This Row],[ln_acres]]*Grandview_Inventory[[#This Row],[coeff]])+Grandview_Inventory[[#This Row],[const]]</f>
        <v>60744.614723712031</v>
      </c>
      <c r="S343" t="s">
        <v>55</v>
      </c>
      <c r="T343">
        <v>2</v>
      </c>
      <c r="U343" t="s">
        <v>65</v>
      </c>
      <c r="V343" t="s">
        <v>78</v>
      </c>
      <c r="W343">
        <v>0</v>
      </c>
      <c r="X343">
        <v>0</v>
      </c>
      <c r="Y343">
        <v>51</v>
      </c>
      <c r="Z343">
        <v>78</v>
      </c>
      <c r="AA343">
        <v>80</v>
      </c>
      <c r="AB343">
        <v>2000</v>
      </c>
      <c r="AC343">
        <v>1752</v>
      </c>
      <c r="AD343">
        <v>1368</v>
      </c>
      <c r="AE343">
        <v>384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456</v>
      </c>
      <c r="AN343">
        <v>0</v>
      </c>
      <c r="AO343">
        <v>456</v>
      </c>
      <c r="AP343">
        <v>5</v>
      </c>
      <c r="AQ343">
        <v>0</v>
      </c>
      <c r="AR343">
        <v>0</v>
      </c>
      <c r="AS343" t="s">
        <v>71</v>
      </c>
      <c r="AT343">
        <v>1</v>
      </c>
      <c r="AU343" t="s">
        <v>63</v>
      </c>
      <c r="AV343" t="s">
        <v>81</v>
      </c>
      <c r="AW343">
        <v>0</v>
      </c>
      <c r="AX343">
        <v>3</v>
      </c>
      <c r="AY343">
        <v>0</v>
      </c>
      <c r="AZ343">
        <v>6900</v>
      </c>
      <c r="BA343">
        <v>100</v>
      </c>
      <c r="BB343">
        <v>100</v>
      </c>
      <c r="BC343">
        <v>100</v>
      </c>
      <c r="BD343">
        <v>100</v>
      </c>
      <c r="BE343">
        <v>1</v>
      </c>
      <c r="BF343">
        <v>15000</v>
      </c>
      <c r="BG343">
        <v>1000</v>
      </c>
      <c r="BH343" s="6">
        <f>Grandview_Inventory[[#This Row],[land_extract]]*Lookups!$B$3</f>
        <v>70542.55706818703</v>
      </c>
      <c r="BI343" s="6">
        <f>IF(Grandview_Inventory[[#This Row],[bldg_style]]="",0,Lookups!$B$2)</f>
        <v>155833.95000000001</v>
      </c>
      <c r="BJ343" s="6">
        <f>_xlfn.IFNA(VLOOKUP(Grandview_Inventory[[#This Row],[quality]],Lookups!$H$2:$J$14,3,FALSE),0)</f>
        <v>2251</v>
      </c>
      <c r="BK343" s="6">
        <f>_xlfn.IFNA(VLOOKUP(Grandview_Inventory[[#This Row],[condition]],Lookups!$H$17:$J$24,3,FALSE),0)</f>
        <v>-45357</v>
      </c>
      <c r="BL343" s="6">
        <f>Grandview_Inventory[[#This Row],[Eff_Age]]*Lookups!$B$14</f>
        <v>-12197.496599999999</v>
      </c>
      <c r="BM343" s="6">
        <f>Grandview_Inventory[[#This Row],[living_area]]*Lookups!$B$15</f>
        <v>109291.25445600001</v>
      </c>
      <c r="BN343" s="6">
        <f>Grandview_Inventory[[#This Row],[Fin BSMT]]*Lookups!$B$16</f>
        <v>0</v>
      </c>
      <c r="BO343" s="6">
        <f>(Grandview_Inventory[[#This Row],[att_gar]]+Grandview_Inventory[[#This Row],[bltin_gar]])*Lookups!$B$17</f>
        <v>0</v>
      </c>
      <c r="BP343" s="6">
        <f>Grandview_Inventory[[#This Row],[Plumbing Fixtures]]*Lookups!$B$18</f>
        <v>10052.209000000001</v>
      </c>
      <c r="BQ343" s="6">
        <f>Grandview_Inventory[[#This Row],[detatched_value]]*Lookups!$B$19</f>
        <v>5842.9551899999997</v>
      </c>
      <c r="BR343" s="6">
        <f>SUM(Grandview_Inventory[[#This Row],[Intercept]:[det_value]])*Grandview_Inventory[[#This Row],[res_pct]]</f>
        <v>225716.87204600003</v>
      </c>
      <c r="BS343" s="6">
        <f>Grandview_Inventory[[#This Row],[land_value]]</f>
        <v>70542.55706818703</v>
      </c>
      <c r="BT343" s="4">
        <f>_xlfn.IFNA(VLOOKUP(Grandview_Inventory[[#This Row],[quality]],Lookups!$A$26:$C$33,3,FALSE),1)</f>
        <v>0.98763855981004833</v>
      </c>
      <c r="BU343" s="4">
        <f>_xlfn.IFNA(VLOOKUP(Grandview_Inventory[[#This Row],[condition]],Lookups!$A$37:$C$44,3,FALSE),1)</f>
        <v>0.97161819570155394</v>
      </c>
      <c r="BV343" s="4">
        <f>IF(Grandview_Inventory[[#This Row],[bldg_style]]="",1,_xlfn.IFNA(VLOOKUP(Grandview_Inventory[[#This Row],[decade]],Lookups!$F$29:$H$43,3,FALSE),1))</f>
        <v>0.98763256963907298</v>
      </c>
      <c r="BW343" s="4">
        <f>_xlfn.IFNA(VLOOKUP(Grandview_Inventory[[#This Row],[living_area_range]],Lookups!$F$47:$H$56,3,FALSE),1)</f>
        <v>0.96120133463014379</v>
      </c>
      <c r="BX343" s="4">
        <f>AVERAGE(Grandview_Inventory[[#This Row],[qual_adj]:[size_adj]])</f>
        <v>0.97702266494520473</v>
      </c>
      <c r="BY343" s="6">
        <f>IF(Grandview_Inventory[[#This Row],[pre_res]]&lt;0,0,Grandview_Inventory[[#This Row],[pre_res]]*Grandview_Inventory[[#This Row],[overall_adj]])</f>
        <v>220530.49984947874</v>
      </c>
      <c r="BZ343" s="6">
        <f>(Grandview_Inventory[[#This Row],[sum_land]]-IF(Grandview_Inventory[[#This Row],[no_utilities]]=1,12000,0))/IF(Grandview_Inventory[[#This Row],[unbuildable]]=1,2,1)</f>
        <v>70542.55706818703</v>
      </c>
      <c r="CA343">
        <f>IF(ROUND(Grandview_Inventory[[#This Row],[adj_land]]*Lookups!$M$28,-2)&lt;Grandview_Inventory[[#This Row],[min_land]],Grandview_Inventory[[#This Row],[min_land]],ROUND(Grandview_Inventory[[#This Row],[adj_land]]*Lookups!$M$28,-2))</f>
        <v>67000</v>
      </c>
      <c r="CB343">
        <f>ROUND(Grandview_Inventory[[#This Row],[det_value]]*Lookups!$M$28,-2)</f>
        <v>5600</v>
      </c>
      <c r="CC343">
        <f>IF(ROUND(Grandview_Inventory[[#This Row],[adj_res]]*Lookups!$M$28,-2)&lt;Grandview_Inventory[[#This Row],[min_res]],Grandview_Inventory[[#This Row],[min_res]],ROUND(Grandview_Inventory[[#This Row],[adj_res]]*Lookups!$M$28,-2))</f>
        <v>209500</v>
      </c>
      <c r="CD343">
        <f>Grandview_Inventory[[#This Row],[final_det]]+Grandview_Inventory[[#This Row],[final_res]]</f>
        <v>215100</v>
      </c>
      <c r="CE343">
        <f>Grandview_Inventory[[#This Row],[final_land]]+Grandview_Inventory[[#This Row],[final_imp]]+Grandview_Inventory[[#This Row],[crop_value]]</f>
        <v>282100</v>
      </c>
      <c r="CG343" t="str">
        <f t="shared" si="5"/>
        <v>update valuation set market_land =67000, market_bldg=215100, market_total =282100, market_mdno =401, market_date ='9/10/2023' where link_id = (select link_id from parcel where parcel_year = '2024' and parcel_id = '23091541011');</v>
      </c>
    </row>
    <row r="344" spans="1:85" x14ac:dyDescent="0.25">
      <c r="A344">
        <v>23091541012</v>
      </c>
      <c r="B344">
        <v>1.77</v>
      </c>
      <c r="C344">
        <v>77085</v>
      </c>
      <c r="D344" t="s">
        <v>129</v>
      </c>
      <c r="E344" t="s">
        <v>53</v>
      </c>
      <c r="F344" t="s">
        <v>53</v>
      </c>
      <c r="G344">
        <v>4</v>
      </c>
      <c r="H344" t="s">
        <v>54</v>
      </c>
      <c r="I344">
        <v>152600</v>
      </c>
      <c r="J344">
        <v>45600</v>
      </c>
      <c r="K344">
        <v>1.77</v>
      </c>
      <c r="L344">
        <f>IF(Grandview_Inventory[[#This Row],[parcel_acres]]-Grandview_Inventory[[#This Row],[non_valued_acres]] =0,0,LN(Grandview_Inventory[[#This Row],[parcel_acres]]-Grandview_Inventory[[#This Row],[non_valued_acres]]))</f>
        <v>0.5709795465857378</v>
      </c>
      <c r="M344">
        <v>0</v>
      </c>
      <c r="N344">
        <v>0</v>
      </c>
      <c r="O344">
        <v>0</v>
      </c>
      <c r="P344">
        <v>13398.7528</v>
      </c>
      <c r="Q344">
        <v>63903</v>
      </c>
      <c r="R344">
        <f>(Grandview_Inventory[[#This Row],[ln_acres]]*Grandview_Inventory[[#This Row],[coeff]])+Grandview_Inventory[[#This Row],[const]]</f>
        <v>71553.41379855838</v>
      </c>
      <c r="S344" t="s">
        <v>61</v>
      </c>
      <c r="T344">
        <v>1</v>
      </c>
      <c r="U344" t="s">
        <v>80</v>
      </c>
      <c r="V344" t="s">
        <v>69</v>
      </c>
      <c r="W344">
        <v>0</v>
      </c>
      <c r="X344">
        <v>0</v>
      </c>
      <c r="Y344">
        <v>49</v>
      </c>
      <c r="Z344">
        <v>68</v>
      </c>
      <c r="AA344">
        <v>70</v>
      </c>
      <c r="AB344">
        <v>2500</v>
      </c>
      <c r="AC344">
        <v>2023</v>
      </c>
      <c r="AD344">
        <v>1200</v>
      </c>
      <c r="AE344">
        <v>0</v>
      </c>
      <c r="AF344">
        <v>0</v>
      </c>
      <c r="AG344">
        <v>823</v>
      </c>
      <c r="AH344">
        <v>0</v>
      </c>
      <c r="AI344">
        <v>0</v>
      </c>
      <c r="AJ344">
        <v>0</v>
      </c>
      <c r="AK344">
        <v>0</v>
      </c>
      <c r="AL344">
        <v>927</v>
      </c>
      <c r="AM344">
        <v>352</v>
      </c>
      <c r="AN344">
        <v>0</v>
      </c>
      <c r="AO344">
        <v>927</v>
      </c>
      <c r="AP344">
        <v>8</v>
      </c>
      <c r="AQ344">
        <v>1</v>
      </c>
      <c r="AR344">
        <v>0</v>
      </c>
      <c r="AS344" t="s">
        <v>58</v>
      </c>
      <c r="AT344">
        <v>1</v>
      </c>
      <c r="AU344" t="s">
        <v>75</v>
      </c>
      <c r="AV344" t="s">
        <v>60</v>
      </c>
      <c r="AW344">
        <v>0</v>
      </c>
      <c r="AX344">
        <v>4</v>
      </c>
      <c r="AY344">
        <v>0</v>
      </c>
      <c r="AZ344">
        <v>0</v>
      </c>
      <c r="BA344">
        <v>100</v>
      </c>
      <c r="BB344">
        <v>100</v>
      </c>
      <c r="BC344">
        <v>100</v>
      </c>
      <c r="BD344">
        <v>100</v>
      </c>
      <c r="BE344">
        <v>1</v>
      </c>
      <c r="BF344">
        <v>15000</v>
      </c>
      <c r="BG344">
        <v>1000</v>
      </c>
      <c r="BH344" s="6">
        <f>Grandview_Inventory[[#This Row],[land_extract]]*Lookups!$B$3</f>
        <v>83094.786250048594</v>
      </c>
      <c r="BI344" s="6">
        <f>IF(Grandview_Inventory[[#This Row],[bldg_style]]="",0,Lookups!$B$2)</f>
        <v>155833.95000000001</v>
      </c>
      <c r="BJ344" s="6">
        <f>_xlfn.IFNA(VLOOKUP(Grandview_Inventory[[#This Row],[quality]],Lookups!$H$2:$J$14,3,FALSE),0)</f>
        <v>-28558</v>
      </c>
      <c r="BK344" s="6">
        <f>_xlfn.IFNA(VLOOKUP(Grandview_Inventory[[#This Row],[condition]],Lookups!$H$17:$J$24,3,FALSE),0)</f>
        <v>-4503</v>
      </c>
      <c r="BL344" s="6">
        <f>Grandview_Inventory[[#This Row],[Eff_Age]]*Lookups!$B$14</f>
        <v>-11719.163399999999</v>
      </c>
      <c r="BM344" s="6">
        <f>Grandview_Inventory[[#This Row],[living_area]]*Lookups!$B$15</f>
        <v>126196.46561900001</v>
      </c>
      <c r="BN344" s="6">
        <f>Grandview_Inventory[[#This Row],[Fin BSMT]]*Lookups!$B$16</f>
        <v>-22302.67452</v>
      </c>
      <c r="BO344" s="6">
        <f>(Grandview_Inventory[[#This Row],[att_gar]]+Grandview_Inventory[[#This Row],[bltin_gar]])*Lookups!$B$17</f>
        <v>0</v>
      </c>
      <c r="BP344" s="6">
        <f>Grandview_Inventory[[#This Row],[Plumbing Fixtures]]*Lookups!$B$18</f>
        <v>16083.5344</v>
      </c>
      <c r="BQ344" s="6">
        <f>Grandview_Inventory[[#This Row],[detatched_value]]*Lookups!$B$19</f>
        <v>0</v>
      </c>
      <c r="BR344" s="6">
        <f>SUM(Grandview_Inventory[[#This Row],[Intercept]:[det_value]])*Grandview_Inventory[[#This Row],[res_pct]]</f>
        <v>231031.11209900002</v>
      </c>
      <c r="BS344" s="6">
        <f>Grandview_Inventory[[#This Row],[land_value]]</f>
        <v>83094.786250048594</v>
      </c>
      <c r="BT344" s="4">
        <f>_xlfn.IFNA(VLOOKUP(Grandview_Inventory[[#This Row],[quality]],Lookups!$A$26:$C$33,3,FALSE),1)</f>
        <v>0.9690360070159818</v>
      </c>
      <c r="BU344" s="4">
        <f>_xlfn.IFNA(VLOOKUP(Grandview_Inventory[[#This Row],[condition]],Lookups!$A$37:$C$44,3,FALSE),1)</f>
        <v>0.96469275950863709</v>
      </c>
      <c r="BV344" s="4">
        <f>IF(Grandview_Inventory[[#This Row],[bldg_style]]="",1,_xlfn.IFNA(VLOOKUP(Grandview_Inventory[[#This Row],[decade]],Lookups!$F$29:$H$43,3,FALSE),1))</f>
        <v>0.99472141305414818</v>
      </c>
      <c r="BW344" s="4">
        <f>_xlfn.IFNA(VLOOKUP(Grandview_Inventory[[#This Row],[living_area_range]],Lookups!$F$47:$H$56,3,FALSE),1)</f>
        <v>0.95799442568048754</v>
      </c>
      <c r="BX344" s="4">
        <f>AVERAGE(Grandview_Inventory[[#This Row],[qual_adj]:[size_adj]])</f>
        <v>0.97161115131481357</v>
      </c>
      <c r="BY344" s="6">
        <f>IF(Grandview_Inventory[[#This Row],[pre_res]]&lt;0,0,Grandview_Inventory[[#This Row],[pre_res]]*Grandview_Inventory[[#This Row],[overall_adj]])</f>
        <v>224472.40481605116</v>
      </c>
      <c r="BZ344" s="6">
        <f>(Grandview_Inventory[[#This Row],[sum_land]]-IF(Grandview_Inventory[[#This Row],[no_utilities]]=1,12000,0))/IF(Grandview_Inventory[[#This Row],[unbuildable]]=1,2,1)</f>
        <v>83094.786250048594</v>
      </c>
      <c r="CA344">
        <f>IF(ROUND(Grandview_Inventory[[#This Row],[adj_land]]*Lookups!$M$28,-2)&lt;Grandview_Inventory[[#This Row],[min_land]],Grandview_Inventory[[#This Row],[min_land]],ROUND(Grandview_Inventory[[#This Row],[adj_land]]*Lookups!$M$28,-2))</f>
        <v>78900</v>
      </c>
      <c r="CB344">
        <f>ROUND(Grandview_Inventory[[#This Row],[det_value]]*Lookups!$M$28,-2)</f>
        <v>0</v>
      </c>
      <c r="CC344">
        <f>IF(ROUND(Grandview_Inventory[[#This Row],[adj_res]]*Lookups!$M$28,-2)&lt;Grandview_Inventory[[#This Row],[min_res]],Grandview_Inventory[[#This Row],[min_res]],ROUND(Grandview_Inventory[[#This Row],[adj_res]]*Lookups!$M$28,-2))</f>
        <v>213200</v>
      </c>
      <c r="CD344">
        <f>Grandview_Inventory[[#This Row],[final_det]]+Grandview_Inventory[[#This Row],[final_res]]</f>
        <v>213200</v>
      </c>
      <c r="CE344">
        <f>Grandview_Inventory[[#This Row],[final_land]]+Grandview_Inventory[[#This Row],[final_imp]]+Grandview_Inventory[[#This Row],[crop_value]]</f>
        <v>292100</v>
      </c>
      <c r="CG344" t="str">
        <f t="shared" si="5"/>
        <v>update valuation set market_land =78900, market_bldg=213200, market_total =292100, market_mdno =401, market_date ='9/10/2023' where link_id = (select link_id from parcel where parcel_year = '2024' and parcel_id = '23091541012');</v>
      </c>
    </row>
    <row r="345" spans="1:85" x14ac:dyDescent="0.25">
      <c r="A345">
        <v>23091541402</v>
      </c>
      <c r="B345">
        <v>0.21</v>
      </c>
      <c r="C345">
        <v>8980</v>
      </c>
      <c r="D345" t="s">
        <v>129</v>
      </c>
      <c r="E345" t="s">
        <v>53</v>
      </c>
      <c r="F345" t="s">
        <v>53</v>
      </c>
      <c r="G345">
        <v>4</v>
      </c>
      <c r="H345" t="s">
        <v>54</v>
      </c>
      <c r="I345">
        <v>134400</v>
      </c>
      <c r="J345">
        <v>39300</v>
      </c>
      <c r="K345">
        <v>0.21</v>
      </c>
      <c r="L34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45">
        <v>0</v>
      </c>
      <c r="N345">
        <v>0</v>
      </c>
      <c r="O345">
        <v>0</v>
      </c>
      <c r="P345">
        <v>13398.7528</v>
      </c>
      <c r="Q345">
        <v>63903</v>
      </c>
      <c r="R345">
        <f>(Grandview_Inventory[[#This Row],[ln_acres]]*Grandview_Inventory[[#This Row],[coeff]])+Grandview_Inventory[[#This Row],[const]]</f>
        <v>42992.266613125081</v>
      </c>
      <c r="S345" t="s">
        <v>68</v>
      </c>
      <c r="T345">
        <v>1</v>
      </c>
      <c r="U345" t="s">
        <v>80</v>
      </c>
      <c r="V345" t="s">
        <v>69</v>
      </c>
      <c r="W345">
        <v>0</v>
      </c>
      <c r="X345">
        <v>0</v>
      </c>
      <c r="Y345">
        <v>50</v>
      </c>
      <c r="Z345">
        <v>73</v>
      </c>
      <c r="AA345">
        <v>80</v>
      </c>
      <c r="AB345">
        <v>1500</v>
      </c>
      <c r="AC345">
        <v>1450</v>
      </c>
      <c r="AD345">
        <v>1450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198</v>
      </c>
      <c r="AO345">
        <v>0</v>
      </c>
      <c r="AP345">
        <v>5</v>
      </c>
      <c r="AQ345">
        <v>1</v>
      </c>
      <c r="AR345">
        <v>0</v>
      </c>
      <c r="AS345" t="s">
        <v>58</v>
      </c>
      <c r="AT345">
        <v>1</v>
      </c>
      <c r="AU345" t="s">
        <v>75</v>
      </c>
      <c r="AV345" t="s">
        <v>60</v>
      </c>
      <c r="AW345">
        <v>0</v>
      </c>
      <c r="AX345">
        <v>3</v>
      </c>
      <c r="AY345">
        <v>0</v>
      </c>
      <c r="AZ345">
        <v>0</v>
      </c>
      <c r="BA345">
        <v>100</v>
      </c>
      <c r="BB345">
        <v>100</v>
      </c>
      <c r="BC345">
        <v>100</v>
      </c>
      <c r="BD345">
        <v>100</v>
      </c>
      <c r="BE345">
        <v>1</v>
      </c>
      <c r="BF345">
        <v>15000</v>
      </c>
      <c r="BG345">
        <v>1000</v>
      </c>
      <c r="BH345" s="6">
        <f>Grandview_Inventory[[#This Row],[land_extract]]*Lookups!$B$3</f>
        <v>49926.8031387023</v>
      </c>
      <c r="BI345" s="6">
        <f>IF(Grandview_Inventory[[#This Row],[bldg_style]]="",0,Lookups!$B$2)</f>
        <v>155833.95000000001</v>
      </c>
      <c r="BJ345" s="6">
        <f>_xlfn.IFNA(VLOOKUP(Grandview_Inventory[[#This Row],[quality]],Lookups!$H$2:$J$14,3,FALSE),0)</f>
        <v>-28558</v>
      </c>
      <c r="BK345" s="6">
        <f>_xlfn.IFNA(VLOOKUP(Grandview_Inventory[[#This Row],[condition]],Lookups!$H$17:$J$24,3,FALSE),0)</f>
        <v>-4503</v>
      </c>
      <c r="BL345" s="6">
        <f>Grandview_Inventory[[#This Row],[Eff_Age]]*Lookups!$B$14</f>
        <v>-11958.33</v>
      </c>
      <c r="BM345" s="6">
        <f>Grandview_Inventory[[#This Row],[living_area]]*Lookups!$B$15</f>
        <v>90452.236850000001</v>
      </c>
      <c r="BN345" s="6">
        <f>Grandview_Inventory[[#This Row],[Fin BSMT]]*Lookups!$B$16</f>
        <v>0</v>
      </c>
      <c r="BO345" s="6">
        <f>(Grandview_Inventory[[#This Row],[att_gar]]+Grandview_Inventory[[#This Row],[bltin_gar]])*Lookups!$B$17</f>
        <v>0</v>
      </c>
      <c r="BP345" s="6">
        <f>Grandview_Inventory[[#This Row],[Plumbing Fixtures]]*Lookups!$B$18</f>
        <v>10052.209000000001</v>
      </c>
      <c r="BQ345" s="6">
        <f>Grandview_Inventory[[#This Row],[detatched_value]]*Lookups!$B$19</f>
        <v>0</v>
      </c>
      <c r="BR345" s="6">
        <f>SUM(Grandview_Inventory[[#This Row],[Intercept]:[det_value]])*Grandview_Inventory[[#This Row],[res_pct]]</f>
        <v>211319.06585000001</v>
      </c>
      <c r="BS345" s="6">
        <f>Grandview_Inventory[[#This Row],[land_value]]</f>
        <v>49926.8031387023</v>
      </c>
      <c r="BT345" s="4">
        <f>_xlfn.IFNA(VLOOKUP(Grandview_Inventory[[#This Row],[quality]],Lookups!$A$26:$C$33,3,FALSE),1)</f>
        <v>0.9690360070159818</v>
      </c>
      <c r="BU345" s="4">
        <f>_xlfn.IFNA(VLOOKUP(Grandview_Inventory[[#This Row],[condition]],Lookups!$A$37:$C$44,3,FALSE),1)</f>
        <v>0.96469275950863709</v>
      </c>
      <c r="BV345" s="4">
        <f>IF(Grandview_Inventory[[#This Row],[bldg_style]]="",1,_xlfn.IFNA(VLOOKUP(Grandview_Inventory[[#This Row],[decade]],Lookups!$F$29:$H$43,3,FALSE),1))</f>
        <v>0.98763256963907298</v>
      </c>
      <c r="BW345" s="4">
        <f>_xlfn.IFNA(VLOOKUP(Grandview_Inventory[[#This Row],[living_area_range]],Lookups!$F$47:$H$56,3,FALSE),1)</f>
        <v>0.96135087979789358</v>
      </c>
      <c r="BX345" s="4">
        <f>AVERAGE(Grandview_Inventory[[#This Row],[qual_adj]:[size_adj]])</f>
        <v>0.97067805399039631</v>
      </c>
      <c r="BY345" s="6">
        <f>IF(Grandview_Inventory[[#This Row],[pre_res]]&lt;0,0,Grandview_Inventory[[#This Row],[pre_res]]*Grandview_Inventory[[#This Row],[overall_adj]])</f>
        <v>205122.77961034642</v>
      </c>
      <c r="BZ345" s="6">
        <f>(Grandview_Inventory[[#This Row],[sum_land]]-IF(Grandview_Inventory[[#This Row],[no_utilities]]=1,12000,0))/IF(Grandview_Inventory[[#This Row],[unbuildable]]=1,2,1)</f>
        <v>49926.8031387023</v>
      </c>
      <c r="CA34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45">
        <f>ROUND(Grandview_Inventory[[#This Row],[det_value]]*Lookups!$M$28,-2)</f>
        <v>0</v>
      </c>
      <c r="CC345">
        <f>IF(ROUND(Grandview_Inventory[[#This Row],[adj_res]]*Lookups!$M$28,-2)&lt;Grandview_Inventory[[#This Row],[min_res]],Grandview_Inventory[[#This Row],[min_res]],ROUND(Grandview_Inventory[[#This Row],[adj_res]]*Lookups!$M$28,-2))</f>
        <v>194900</v>
      </c>
      <c r="CD345">
        <f>Grandview_Inventory[[#This Row],[final_det]]+Grandview_Inventory[[#This Row],[final_res]]</f>
        <v>194900</v>
      </c>
      <c r="CE345">
        <f>Grandview_Inventory[[#This Row],[final_land]]+Grandview_Inventory[[#This Row],[final_imp]]+Grandview_Inventory[[#This Row],[crop_value]]</f>
        <v>242300</v>
      </c>
      <c r="CG345" t="str">
        <f t="shared" si="5"/>
        <v>update valuation set market_land =47400, market_bldg=194900, market_total =242300, market_mdno =401, market_date ='9/10/2023' where link_id = (select link_id from parcel where parcel_year = '2024' and parcel_id = '23091541402');</v>
      </c>
    </row>
    <row r="346" spans="1:85" x14ac:dyDescent="0.25">
      <c r="A346">
        <v>23091541403</v>
      </c>
      <c r="B346">
        <v>0.21</v>
      </c>
      <c r="C346">
        <v>8980</v>
      </c>
      <c r="D346" t="s">
        <v>129</v>
      </c>
      <c r="E346" t="s">
        <v>53</v>
      </c>
      <c r="F346" t="s">
        <v>53</v>
      </c>
      <c r="G346">
        <v>4</v>
      </c>
      <c r="H346" t="s">
        <v>54</v>
      </c>
      <c r="I346">
        <v>133700</v>
      </c>
      <c r="J346">
        <v>43500</v>
      </c>
      <c r="K346">
        <v>0.21</v>
      </c>
      <c r="L34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46">
        <v>0</v>
      </c>
      <c r="N346">
        <v>0</v>
      </c>
      <c r="O346">
        <v>0</v>
      </c>
      <c r="P346">
        <v>13398.7528</v>
      </c>
      <c r="Q346">
        <v>63903</v>
      </c>
      <c r="R346">
        <f>(Grandview_Inventory[[#This Row],[ln_acres]]*Grandview_Inventory[[#This Row],[coeff]])+Grandview_Inventory[[#This Row],[const]]</f>
        <v>42992.266613125081</v>
      </c>
      <c r="S346" t="s">
        <v>61</v>
      </c>
      <c r="T346">
        <v>1</v>
      </c>
      <c r="U346" t="s">
        <v>70</v>
      </c>
      <c r="V346" t="s">
        <v>69</v>
      </c>
      <c r="W346">
        <v>0</v>
      </c>
      <c r="X346">
        <v>0</v>
      </c>
      <c r="Y346">
        <v>26</v>
      </c>
      <c r="Z346">
        <v>26</v>
      </c>
      <c r="AA346">
        <v>30</v>
      </c>
      <c r="AB346">
        <v>1500</v>
      </c>
      <c r="AC346">
        <v>1040</v>
      </c>
      <c r="AD346">
        <v>1040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35</v>
      </c>
      <c r="AO346">
        <v>0</v>
      </c>
      <c r="AP346">
        <v>8</v>
      </c>
      <c r="AQ346">
        <v>0</v>
      </c>
      <c r="AR346">
        <v>0</v>
      </c>
      <c r="AS346" t="s">
        <v>58</v>
      </c>
      <c r="AT346">
        <v>1</v>
      </c>
      <c r="AU346" t="s">
        <v>63</v>
      </c>
      <c r="AV346" t="s">
        <v>64</v>
      </c>
      <c r="AW346">
        <v>0</v>
      </c>
      <c r="AX346">
        <v>3</v>
      </c>
      <c r="AY346">
        <v>0</v>
      </c>
      <c r="AZ346">
        <v>0</v>
      </c>
      <c r="BA346">
        <v>100</v>
      </c>
      <c r="BB346">
        <v>100</v>
      </c>
      <c r="BC346">
        <v>100</v>
      </c>
      <c r="BD346">
        <v>100</v>
      </c>
      <c r="BE346">
        <v>1</v>
      </c>
      <c r="BF346">
        <v>15000</v>
      </c>
      <c r="BG346">
        <v>1000</v>
      </c>
      <c r="BH346" s="6">
        <f>Grandview_Inventory[[#This Row],[land_extract]]*Lookups!$B$3</f>
        <v>49926.8031387023</v>
      </c>
      <c r="BI346" s="6">
        <f>IF(Grandview_Inventory[[#This Row],[bldg_style]]="",0,Lookups!$B$2)</f>
        <v>155833.95000000001</v>
      </c>
      <c r="BJ346" s="6">
        <f>_xlfn.IFNA(VLOOKUP(Grandview_Inventory[[#This Row],[quality]],Lookups!$H$2:$J$14,3,FALSE),0)</f>
        <v>10733</v>
      </c>
      <c r="BK346" s="6">
        <f>_xlfn.IFNA(VLOOKUP(Grandview_Inventory[[#This Row],[condition]],Lookups!$H$17:$J$24,3,FALSE),0)</f>
        <v>-4503</v>
      </c>
      <c r="BL346" s="6">
        <f>Grandview_Inventory[[#This Row],[Eff_Age]]*Lookups!$B$14</f>
        <v>-6218.3315999999995</v>
      </c>
      <c r="BM346" s="6">
        <f>Grandview_Inventory[[#This Row],[living_area]]*Lookups!$B$15</f>
        <v>64876.087120000004</v>
      </c>
      <c r="BN346" s="6">
        <f>Grandview_Inventory[[#This Row],[Fin BSMT]]*Lookups!$B$16</f>
        <v>0</v>
      </c>
      <c r="BO346" s="6">
        <f>(Grandview_Inventory[[#This Row],[att_gar]]+Grandview_Inventory[[#This Row],[bltin_gar]])*Lookups!$B$17</f>
        <v>0</v>
      </c>
      <c r="BP346" s="6">
        <f>Grandview_Inventory[[#This Row],[Plumbing Fixtures]]*Lookups!$B$18</f>
        <v>16083.5344</v>
      </c>
      <c r="BQ346" s="6">
        <f>Grandview_Inventory[[#This Row],[detatched_value]]*Lookups!$B$19</f>
        <v>0</v>
      </c>
      <c r="BR346" s="6">
        <f>SUM(Grandview_Inventory[[#This Row],[Intercept]:[det_value]])*Grandview_Inventory[[#This Row],[res_pct]]</f>
        <v>236805.23992000002</v>
      </c>
      <c r="BS346" s="6">
        <f>Grandview_Inventory[[#This Row],[land_value]]</f>
        <v>49926.8031387023</v>
      </c>
      <c r="BT346" s="4">
        <f>_xlfn.IFNA(VLOOKUP(Grandview_Inventory[[#This Row],[quality]],Lookups!$A$26:$C$33,3,FALSE),1)</f>
        <v>0.98079741117310582</v>
      </c>
      <c r="BU346" s="4">
        <f>_xlfn.IFNA(VLOOKUP(Grandview_Inventory[[#This Row],[condition]],Lookups!$A$37:$C$44,3,FALSE),1)</f>
        <v>0.96469275950863709</v>
      </c>
      <c r="BV346" s="4">
        <f>IF(Grandview_Inventory[[#This Row],[bldg_style]]="",1,_xlfn.IFNA(VLOOKUP(Grandview_Inventory[[#This Row],[decade]],Lookups!$F$29:$H$43,3,FALSE),1))</f>
        <v>0.98397821291089549</v>
      </c>
      <c r="BW346" s="4">
        <f>_xlfn.IFNA(VLOOKUP(Grandview_Inventory[[#This Row],[living_area_range]],Lookups!$F$47:$H$56,3,FALSE),1)</f>
        <v>0.96135087979789358</v>
      </c>
      <c r="BX346" s="4">
        <f>AVERAGE(Grandview_Inventory[[#This Row],[qual_adj]:[size_adj]])</f>
        <v>0.97270481584763302</v>
      </c>
      <c r="BY346" s="6">
        <f>IF(Grandview_Inventory[[#This Row],[pre_res]]&lt;0,0,Grandview_Inventory[[#This Row],[pre_res]]*Grandview_Inventory[[#This Row],[overall_adj]])</f>
        <v>230341.59728813817</v>
      </c>
      <c r="BZ346" s="6">
        <f>(Grandview_Inventory[[#This Row],[sum_land]]-IF(Grandview_Inventory[[#This Row],[no_utilities]]=1,12000,0))/IF(Grandview_Inventory[[#This Row],[unbuildable]]=1,2,1)</f>
        <v>49926.8031387023</v>
      </c>
      <c r="CA34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46">
        <f>ROUND(Grandview_Inventory[[#This Row],[det_value]]*Lookups!$M$28,-2)</f>
        <v>0</v>
      </c>
      <c r="CC346">
        <f>IF(ROUND(Grandview_Inventory[[#This Row],[adj_res]]*Lookups!$M$28,-2)&lt;Grandview_Inventory[[#This Row],[min_res]],Grandview_Inventory[[#This Row],[min_res]],ROUND(Grandview_Inventory[[#This Row],[adj_res]]*Lookups!$M$28,-2))</f>
        <v>218800</v>
      </c>
      <c r="CD346">
        <f>Grandview_Inventory[[#This Row],[final_det]]+Grandview_Inventory[[#This Row],[final_res]]</f>
        <v>218800</v>
      </c>
      <c r="CE346">
        <f>Grandview_Inventory[[#This Row],[final_land]]+Grandview_Inventory[[#This Row],[final_imp]]+Grandview_Inventory[[#This Row],[crop_value]]</f>
        <v>266200</v>
      </c>
      <c r="CG346" t="str">
        <f t="shared" si="5"/>
        <v>update valuation set market_land =47400, market_bldg=218800, market_total =266200, market_mdno =401, market_date ='9/10/2023' where link_id = (select link_id from parcel where parcel_year = '2024' and parcel_id = '23091541403');</v>
      </c>
    </row>
    <row r="347" spans="1:85" x14ac:dyDescent="0.25">
      <c r="A347">
        <v>23091541404</v>
      </c>
      <c r="B347">
        <v>0.21</v>
      </c>
      <c r="C347">
        <v>8980</v>
      </c>
      <c r="D347" t="s">
        <v>129</v>
      </c>
      <c r="E347" t="s">
        <v>53</v>
      </c>
      <c r="F347" t="s">
        <v>53</v>
      </c>
      <c r="G347">
        <v>4</v>
      </c>
      <c r="H347" t="s">
        <v>54</v>
      </c>
      <c r="I347">
        <v>125100</v>
      </c>
      <c r="J347">
        <v>39300</v>
      </c>
      <c r="K347">
        <v>0.21</v>
      </c>
      <c r="L34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47">
        <v>0</v>
      </c>
      <c r="N347">
        <v>0</v>
      </c>
      <c r="O347">
        <v>0</v>
      </c>
      <c r="P347">
        <v>13398.7528</v>
      </c>
      <c r="Q347">
        <v>63903</v>
      </c>
      <c r="R347">
        <f>(Grandview_Inventory[[#This Row],[ln_acres]]*Grandview_Inventory[[#This Row],[coeff]])+Grandview_Inventory[[#This Row],[const]]</f>
        <v>42992.266613125081</v>
      </c>
      <c r="S347" t="s">
        <v>61</v>
      </c>
      <c r="T347">
        <v>1</v>
      </c>
      <c r="U347" t="s">
        <v>65</v>
      </c>
      <c r="V347" t="s">
        <v>69</v>
      </c>
      <c r="W347">
        <v>0</v>
      </c>
      <c r="X347">
        <v>0</v>
      </c>
      <c r="Y347">
        <v>27</v>
      </c>
      <c r="Z347">
        <v>27</v>
      </c>
      <c r="AA347">
        <v>30</v>
      </c>
      <c r="AB347">
        <v>1500</v>
      </c>
      <c r="AC347">
        <v>1104</v>
      </c>
      <c r="AD347">
        <v>1104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56</v>
      </c>
      <c r="AO347">
        <v>0</v>
      </c>
      <c r="AP347">
        <v>8</v>
      </c>
      <c r="AQ347">
        <v>0</v>
      </c>
      <c r="AR347">
        <v>0</v>
      </c>
      <c r="AS347" t="s">
        <v>58</v>
      </c>
      <c r="AT347">
        <v>1</v>
      </c>
      <c r="AU347" t="s">
        <v>63</v>
      </c>
      <c r="AV347" t="s">
        <v>64</v>
      </c>
      <c r="AW347">
        <v>0</v>
      </c>
      <c r="AX347">
        <v>3</v>
      </c>
      <c r="AY347">
        <v>0</v>
      </c>
      <c r="AZ347">
        <v>0</v>
      </c>
      <c r="BA347">
        <v>100</v>
      </c>
      <c r="BB347">
        <v>100</v>
      </c>
      <c r="BC347">
        <v>100</v>
      </c>
      <c r="BD347">
        <v>100</v>
      </c>
      <c r="BE347">
        <v>1</v>
      </c>
      <c r="BF347">
        <v>15000</v>
      </c>
      <c r="BG347">
        <v>1000</v>
      </c>
      <c r="BH347" s="6">
        <f>Grandview_Inventory[[#This Row],[land_extract]]*Lookups!$B$3</f>
        <v>49926.8031387023</v>
      </c>
      <c r="BI347" s="6">
        <f>IF(Grandview_Inventory[[#This Row],[bldg_style]]="",0,Lookups!$B$2)</f>
        <v>155833.95000000001</v>
      </c>
      <c r="BJ347" s="6">
        <f>_xlfn.IFNA(VLOOKUP(Grandview_Inventory[[#This Row],[quality]],Lookups!$H$2:$J$14,3,FALSE),0)</f>
        <v>2251</v>
      </c>
      <c r="BK347" s="6">
        <f>_xlfn.IFNA(VLOOKUP(Grandview_Inventory[[#This Row],[condition]],Lookups!$H$17:$J$24,3,FALSE),0)</f>
        <v>-4503</v>
      </c>
      <c r="BL347" s="6">
        <f>Grandview_Inventory[[#This Row],[Eff_Age]]*Lookups!$B$14</f>
        <v>-6457.4982</v>
      </c>
      <c r="BM347" s="6">
        <f>Grandview_Inventory[[#This Row],[living_area]]*Lookups!$B$15</f>
        <v>68868.461712000004</v>
      </c>
      <c r="BN347" s="6">
        <f>Grandview_Inventory[[#This Row],[Fin BSMT]]*Lookups!$B$16</f>
        <v>0</v>
      </c>
      <c r="BO347" s="6">
        <f>(Grandview_Inventory[[#This Row],[att_gar]]+Grandview_Inventory[[#This Row],[bltin_gar]])*Lookups!$B$17</f>
        <v>0</v>
      </c>
      <c r="BP347" s="6">
        <f>Grandview_Inventory[[#This Row],[Plumbing Fixtures]]*Lookups!$B$18</f>
        <v>16083.5344</v>
      </c>
      <c r="BQ347" s="6">
        <f>Grandview_Inventory[[#This Row],[detatched_value]]*Lookups!$B$19</f>
        <v>0</v>
      </c>
      <c r="BR347" s="6">
        <f>SUM(Grandview_Inventory[[#This Row],[Intercept]:[det_value]])*Grandview_Inventory[[#This Row],[res_pct]]</f>
        <v>232076.447912</v>
      </c>
      <c r="BS347" s="6">
        <f>Grandview_Inventory[[#This Row],[land_value]]</f>
        <v>49926.8031387023</v>
      </c>
      <c r="BT347" s="4">
        <f>_xlfn.IFNA(VLOOKUP(Grandview_Inventory[[#This Row],[quality]],Lookups!$A$26:$C$33,3,FALSE),1)</f>
        <v>0.98763855981004833</v>
      </c>
      <c r="BU347" s="4">
        <f>_xlfn.IFNA(VLOOKUP(Grandview_Inventory[[#This Row],[condition]],Lookups!$A$37:$C$44,3,FALSE),1)</f>
        <v>0.96469275950863709</v>
      </c>
      <c r="BV347" s="4">
        <f>IF(Grandview_Inventory[[#This Row],[bldg_style]]="",1,_xlfn.IFNA(VLOOKUP(Grandview_Inventory[[#This Row],[decade]],Lookups!$F$29:$H$43,3,FALSE),1))</f>
        <v>0.98397821291089549</v>
      </c>
      <c r="BW347" s="4">
        <f>_xlfn.IFNA(VLOOKUP(Grandview_Inventory[[#This Row],[living_area_range]],Lookups!$F$47:$H$56,3,FALSE),1)</f>
        <v>0.96135087979789358</v>
      </c>
      <c r="BX347" s="4">
        <f>AVERAGE(Grandview_Inventory[[#This Row],[qual_adj]:[size_adj]])</f>
        <v>0.97441510300686862</v>
      </c>
      <c r="BY347" s="6">
        <f>IF(Grandview_Inventory[[#This Row],[pre_res]]&lt;0,0,Grandview_Inventory[[#This Row],[pre_res]]*Grandview_Inventory[[#This Row],[overall_adj]])</f>
        <v>226138.79589763968</v>
      </c>
      <c r="BZ347" s="6">
        <f>(Grandview_Inventory[[#This Row],[sum_land]]-IF(Grandview_Inventory[[#This Row],[no_utilities]]=1,12000,0))/IF(Grandview_Inventory[[#This Row],[unbuildable]]=1,2,1)</f>
        <v>49926.8031387023</v>
      </c>
      <c r="CA34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47">
        <f>ROUND(Grandview_Inventory[[#This Row],[det_value]]*Lookups!$M$28,-2)</f>
        <v>0</v>
      </c>
      <c r="CC347">
        <f>IF(ROUND(Grandview_Inventory[[#This Row],[adj_res]]*Lookups!$M$28,-2)&lt;Grandview_Inventory[[#This Row],[min_res]],Grandview_Inventory[[#This Row],[min_res]],ROUND(Grandview_Inventory[[#This Row],[adj_res]]*Lookups!$M$28,-2))</f>
        <v>214800</v>
      </c>
      <c r="CD347">
        <f>Grandview_Inventory[[#This Row],[final_det]]+Grandview_Inventory[[#This Row],[final_res]]</f>
        <v>214800</v>
      </c>
      <c r="CE347">
        <f>Grandview_Inventory[[#This Row],[final_land]]+Grandview_Inventory[[#This Row],[final_imp]]+Grandview_Inventory[[#This Row],[crop_value]]</f>
        <v>262200</v>
      </c>
      <c r="CG347" t="str">
        <f t="shared" si="5"/>
        <v>update valuation set market_land =47400, market_bldg=214800, market_total =262200, market_mdno =401, market_date ='9/10/2023' where link_id = (select link_id from parcel where parcel_year = '2024' and parcel_id = '23091541404');</v>
      </c>
    </row>
    <row r="348" spans="1:85" x14ac:dyDescent="0.25">
      <c r="A348">
        <v>23091541406</v>
      </c>
      <c r="B348">
        <v>0.21</v>
      </c>
      <c r="C348">
        <v>8980</v>
      </c>
      <c r="D348" t="s">
        <v>129</v>
      </c>
      <c r="E348" t="s">
        <v>53</v>
      </c>
      <c r="F348" t="s">
        <v>53</v>
      </c>
      <c r="G348">
        <v>4</v>
      </c>
      <c r="H348" t="s">
        <v>54</v>
      </c>
      <c r="I348">
        <v>169500</v>
      </c>
      <c r="J348">
        <v>43500</v>
      </c>
      <c r="K348">
        <v>0.21</v>
      </c>
      <c r="L34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48">
        <v>0</v>
      </c>
      <c r="N348">
        <v>0</v>
      </c>
      <c r="O348">
        <v>0</v>
      </c>
      <c r="P348">
        <v>13398.7528</v>
      </c>
      <c r="Q348">
        <v>63903</v>
      </c>
      <c r="R348">
        <f>(Grandview_Inventory[[#This Row],[ln_acres]]*Grandview_Inventory[[#This Row],[coeff]])+Grandview_Inventory[[#This Row],[const]]</f>
        <v>42992.266613125081</v>
      </c>
      <c r="S348" t="s">
        <v>61</v>
      </c>
      <c r="T348">
        <v>1</v>
      </c>
      <c r="U348" t="s">
        <v>70</v>
      </c>
      <c r="V348" t="s">
        <v>69</v>
      </c>
      <c r="W348">
        <v>0</v>
      </c>
      <c r="X348">
        <v>0</v>
      </c>
      <c r="Y348">
        <v>49</v>
      </c>
      <c r="Z348">
        <v>66</v>
      </c>
      <c r="AA348">
        <v>70</v>
      </c>
      <c r="AB348">
        <v>1500</v>
      </c>
      <c r="AC348">
        <v>1480</v>
      </c>
      <c r="AD348">
        <v>1480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132</v>
      </c>
      <c r="AO348">
        <v>0</v>
      </c>
      <c r="AP348">
        <v>7</v>
      </c>
      <c r="AQ348">
        <v>0</v>
      </c>
      <c r="AR348">
        <v>0</v>
      </c>
      <c r="AS348" t="s">
        <v>58</v>
      </c>
      <c r="AT348">
        <v>1</v>
      </c>
      <c r="AU348" t="s">
        <v>59</v>
      </c>
      <c r="AV348" t="s">
        <v>60</v>
      </c>
      <c r="AW348">
        <v>1</v>
      </c>
      <c r="AX348">
        <v>4</v>
      </c>
      <c r="AY348">
        <v>0</v>
      </c>
      <c r="AZ348">
        <v>0</v>
      </c>
      <c r="BA348">
        <v>100</v>
      </c>
      <c r="BB348">
        <v>100</v>
      </c>
      <c r="BC348">
        <v>100</v>
      </c>
      <c r="BD348">
        <v>100</v>
      </c>
      <c r="BE348">
        <v>1</v>
      </c>
      <c r="BF348">
        <v>15000</v>
      </c>
      <c r="BG348">
        <v>1000</v>
      </c>
      <c r="BH348" s="6">
        <f>Grandview_Inventory[[#This Row],[land_extract]]*Lookups!$B$3</f>
        <v>49926.8031387023</v>
      </c>
      <c r="BI348" s="6">
        <f>IF(Grandview_Inventory[[#This Row],[bldg_style]]="",0,Lookups!$B$2)</f>
        <v>155833.95000000001</v>
      </c>
      <c r="BJ348" s="6">
        <f>_xlfn.IFNA(VLOOKUP(Grandview_Inventory[[#This Row],[quality]],Lookups!$H$2:$J$14,3,FALSE),0)</f>
        <v>10733</v>
      </c>
      <c r="BK348" s="6">
        <f>_xlfn.IFNA(VLOOKUP(Grandview_Inventory[[#This Row],[condition]],Lookups!$H$17:$J$24,3,FALSE),0)</f>
        <v>-4503</v>
      </c>
      <c r="BL348" s="6">
        <f>Grandview_Inventory[[#This Row],[Eff_Age]]*Lookups!$B$14</f>
        <v>-11719.163399999999</v>
      </c>
      <c r="BM348" s="6">
        <f>Grandview_Inventory[[#This Row],[living_area]]*Lookups!$B$15</f>
        <v>92323.66244</v>
      </c>
      <c r="BN348" s="6">
        <f>Grandview_Inventory[[#This Row],[Fin BSMT]]*Lookups!$B$16</f>
        <v>0</v>
      </c>
      <c r="BO348" s="6">
        <f>(Grandview_Inventory[[#This Row],[att_gar]]+Grandview_Inventory[[#This Row],[bltin_gar]])*Lookups!$B$17</f>
        <v>0</v>
      </c>
      <c r="BP348" s="6">
        <f>Grandview_Inventory[[#This Row],[Plumbing Fixtures]]*Lookups!$B$18</f>
        <v>14073.0926</v>
      </c>
      <c r="BQ348" s="6">
        <f>Grandview_Inventory[[#This Row],[detatched_value]]*Lookups!$B$19</f>
        <v>0</v>
      </c>
      <c r="BR348" s="6">
        <f>SUM(Grandview_Inventory[[#This Row],[Intercept]:[det_value]])*Grandview_Inventory[[#This Row],[res_pct]]</f>
        <v>256741.54164000004</v>
      </c>
      <c r="BS348" s="6">
        <f>Grandview_Inventory[[#This Row],[land_value]]</f>
        <v>49926.8031387023</v>
      </c>
      <c r="BT348" s="4">
        <f>_xlfn.IFNA(VLOOKUP(Grandview_Inventory[[#This Row],[quality]],Lookups!$A$26:$C$33,3,FALSE),1)</f>
        <v>0.98079741117310582</v>
      </c>
      <c r="BU348" s="4">
        <f>_xlfn.IFNA(VLOOKUP(Grandview_Inventory[[#This Row],[condition]],Lookups!$A$37:$C$44,3,FALSE),1)</f>
        <v>0.96469275950863709</v>
      </c>
      <c r="BV348" s="4">
        <f>IF(Grandview_Inventory[[#This Row],[bldg_style]]="",1,_xlfn.IFNA(VLOOKUP(Grandview_Inventory[[#This Row],[decade]],Lookups!$F$29:$H$43,3,FALSE),1))</f>
        <v>0.99472141305414818</v>
      </c>
      <c r="BW348" s="4">
        <f>_xlfn.IFNA(VLOOKUP(Grandview_Inventory[[#This Row],[living_area_range]],Lookups!$F$47:$H$56,3,FALSE),1)</f>
        <v>0.96135087979789358</v>
      </c>
      <c r="BX348" s="4">
        <f>AVERAGE(Grandview_Inventory[[#This Row],[qual_adj]:[size_adj]])</f>
        <v>0.97539061588344622</v>
      </c>
      <c r="BY348" s="6">
        <f>IF(Grandview_Inventory[[#This Row],[pre_res]]&lt;0,0,Grandview_Inventory[[#This Row],[pre_res]]*Grandview_Inventory[[#This Row],[overall_adj]])</f>
        <v>250423.29042310509</v>
      </c>
      <c r="BZ348" s="6">
        <f>(Grandview_Inventory[[#This Row],[sum_land]]-IF(Grandview_Inventory[[#This Row],[no_utilities]]=1,12000,0))/IF(Grandview_Inventory[[#This Row],[unbuildable]]=1,2,1)</f>
        <v>49926.8031387023</v>
      </c>
      <c r="CA34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48">
        <f>ROUND(Grandview_Inventory[[#This Row],[det_value]]*Lookups!$M$28,-2)</f>
        <v>0</v>
      </c>
      <c r="CC348">
        <f>IF(ROUND(Grandview_Inventory[[#This Row],[adj_res]]*Lookups!$M$28,-2)&lt;Grandview_Inventory[[#This Row],[min_res]],Grandview_Inventory[[#This Row],[min_res]],ROUND(Grandview_Inventory[[#This Row],[adj_res]]*Lookups!$M$28,-2))</f>
        <v>237900</v>
      </c>
      <c r="CD348">
        <f>Grandview_Inventory[[#This Row],[final_det]]+Grandview_Inventory[[#This Row],[final_res]]</f>
        <v>237900</v>
      </c>
      <c r="CE348">
        <f>Grandview_Inventory[[#This Row],[final_land]]+Grandview_Inventory[[#This Row],[final_imp]]+Grandview_Inventory[[#This Row],[crop_value]]</f>
        <v>285300</v>
      </c>
      <c r="CG348" t="str">
        <f t="shared" si="5"/>
        <v>update valuation set market_land =47400, market_bldg=237900, market_total =285300, market_mdno =401, market_date ='9/10/2023' where link_id = (select link_id from parcel where parcel_year = '2024' and parcel_id = '23091541406');</v>
      </c>
    </row>
    <row r="349" spans="1:85" x14ac:dyDescent="0.25">
      <c r="A349">
        <v>23091541407</v>
      </c>
      <c r="B349">
        <v>0.21</v>
      </c>
      <c r="C349">
        <v>8980</v>
      </c>
      <c r="D349" t="s">
        <v>129</v>
      </c>
      <c r="E349" t="s">
        <v>53</v>
      </c>
      <c r="F349" t="s">
        <v>53</v>
      </c>
      <c r="G349">
        <v>4</v>
      </c>
      <c r="H349" t="s">
        <v>54</v>
      </c>
      <c r="I349">
        <v>113400</v>
      </c>
      <c r="J349">
        <v>43500</v>
      </c>
      <c r="K349">
        <v>0.21</v>
      </c>
      <c r="L34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49">
        <v>0</v>
      </c>
      <c r="N349">
        <v>0</v>
      </c>
      <c r="O349">
        <v>0</v>
      </c>
      <c r="P349">
        <v>13398.7528</v>
      </c>
      <c r="Q349">
        <v>63903</v>
      </c>
      <c r="R349">
        <f>(Grandview_Inventory[[#This Row],[ln_acres]]*Grandview_Inventory[[#This Row],[coeff]])+Grandview_Inventory[[#This Row],[const]]</f>
        <v>42992.266613125081</v>
      </c>
      <c r="S349" t="s">
        <v>68</v>
      </c>
      <c r="T349">
        <v>1</v>
      </c>
      <c r="U349" t="s">
        <v>70</v>
      </c>
      <c r="V349" t="s">
        <v>69</v>
      </c>
      <c r="W349">
        <v>0</v>
      </c>
      <c r="X349">
        <v>0</v>
      </c>
      <c r="Y349">
        <v>51</v>
      </c>
      <c r="Z349">
        <v>83</v>
      </c>
      <c r="AA349">
        <v>90</v>
      </c>
      <c r="AB349">
        <v>1000</v>
      </c>
      <c r="AC349">
        <v>1000</v>
      </c>
      <c r="AD349">
        <v>1000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5</v>
      </c>
      <c r="AQ349">
        <v>0</v>
      </c>
      <c r="AR349">
        <v>0</v>
      </c>
      <c r="AS349" t="s">
        <v>58</v>
      </c>
      <c r="AT349">
        <v>1</v>
      </c>
      <c r="AU349" t="s">
        <v>63</v>
      </c>
      <c r="AV349" t="s">
        <v>81</v>
      </c>
      <c r="AW349">
        <v>0</v>
      </c>
      <c r="AX349">
        <v>3</v>
      </c>
      <c r="AY349">
        <v>0</v>
      </c>
      <c r="AZ349">
        <v>0</v>
      </c>
      <c r="BA349">
        <v>100</v>
      </c>
      <c r="BB349">
        <v>100</v>
      </c>
      <c r="BC349">
        <v>100</v>
      </c>
      <c r="BD349">
        <v>100</v>
      </c>
      <c r="BE349">
        <v>1</v>
      </c>
      <c r="BF349">
        <v>15000</v>
      </c>
      <c r="BG349">
        <v>1000</v>
      </c>
      <c r="BH349" s="6">
        <f>Grandview_Inventory[[#This Row],[land_extract]]*Lookups!$B$3</f>
        <v>49926.8031387023</v>
      </c>
      <c r="BI349" s="6">
        <f>IF(Grandview_Inventory[[#This Row],[bldg_style]]="",0,Lookups!$B$2)</f>
        <v>155833.95000000001</v>
      </c>
      <c r="BJ349" s="6">
        <f>_xlfn.IFNA(VLOOKUP(Grandview_Inventory[[#This Row],[quality]],Lookups!$H$2:$J$14,3,FALSE),0)</f>
        <v>10733</v>
      </c>
      <c r="BK349" s="6">
        <f>_xlfn.IFNA(VLOOKUP(Grandview_Inventory[[#This Row],[condition]],Lookups!$H$17:$J$24,3,FALSE),0)</f>
        <v>-4503</v>
      </c>
      <c r="BL349" s="6">
        <f>Grandview_Inventory[[#This Row],[Eff_Age]]*Lookups!$B$14</f>
        <v>-12197.496599999999</v>
      </c>
      <c r="BM349" s="6">
        <f>Grandview_Inventory[[#This Row],[living_area]]*Lookups!$B$15</f>
        <v>62380.853000000003</v>
      </c>
      <c r="BN349" s="6">
        <f>Grandview_Inventory[[#This Row],[Fin BSMT]]*Lookups!$B$16</f>
        <v>0</v>
      </c>
      <c r="BO349" s="6">
        <f>(Grandview_Inventory[[#This Row],[att_gar]]+Grandview_Inventory[[#This Row],[bltin_gar]])*Lookups!$B$17</f>
        <v>0</v>
      </c>
      <c r="BP349" s="6">
        <f>Grandview_Inventory[[#This Row],[Plumbing Fixtures]]*Lookups!$B$18</f>
        <v>10052.209000000001</v>
      </c>
      <c r="BQ349" s="6">
        <f>Grandview_Inventory[[#This Row],[detatched_value]]*Lookups!$B$19</f>
        <v>0</v>
      </c>
      <c r="BR349" s="6">
        <f>SUM(Grandview_Inventory[[#This Row],[Intercept]:[det_value]])*Grandview_Inventory[[#This Row],[res_pct]]</f>
        <v>222299.5154</v>
      </c>
      <c r="BS349" s="6">
        <f>Grandview_Inventory[[#This Row],[land_value]]</f>
        <v>49926.8031387023</v>
      </c>
      <c r="BT349" s="4">
        <f>_xlfn.IFNA(VLOOKUP(Grandview_Inventory[[#This Row],[quality]],Lookups!$A$26:$C$33,3,FALSE),1)</f>
        <v>0.98079741117310582</v>
      </c>
      <c r="BU349" s="4">
        <f>_xlfn.IFNA(VLOOKUP(Grandview_Inventory[[#This Row],[condition]],Lookups!$A$37:$C$44,3,FALSE),1)</f>
        <v>0.96469275950863709</v>
      </c>
      <c r="BV349" s="4">
        <f>IF(Grandview_Inventory[[#This Row],[bldg_style]]="",1,_xlfn.IFNA(VLOOKUP(Grandview_Inventory[[#This Row],[decade]],Lookups!$F$29:$H$43,3,FALSE),1))</f>
        <v>0.94161750052457416</v>
      </c>
      <c r="BW349" s="4">
        <f>_xlfn.IFNA(VLOOKUP(Grandview_Inventory[[#This Row],[living_area_range]],Lookups!$F$47:$H$56,3,FALSE),1)</f>
        <v>0.94306777142782894</v>
      </c>
      <c r="BX349" s="4">
        <f>AVERAGE(Grandview_Inventory[[#This Row],[qual_adj]:[size_adj]])</f>
        <v>0.95754386065853647</v>
      </c>
      <c r="BY349" s="6">
        <f>IF(Grandview_Inventory[[#This Row],[pre_res]]&lt;0,0,Grandview_Inventory[[#This Row],[pre_res]]*Grandview_Inventory[[#This Row],[overall_adj]])</f>
        <v>212861.5361986378</v>
      </c>
      <c r="BZ349" s="6">
        <f>(Grandview_Inventory[[#This Row],[sum_land]]-IF(Grandview_Inventory[[#This Row],[no_utilities]]=1,12000,0))/IF(Grandview_Inventory[[#This Row],[unbuildable]]=1,2,1)</f>
        <v>49926.8031387023</v>
      </c>
      <c r="CA34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49">
        <f>ROUND(Grandview_Inventory[[#This Row],[det_value]]*Lookups!$M$28,-2)</f>
        <v>0</v>
      </c>
      <c r="CC349">
        <f>IF(ROUND(Grandview_Inventory[[#This Row],[adj_res]]*Lookups!$M$28,-2)&lt;Grandview_Inventory[[#This Row],[min_res]],Grandview_Inventory[[#This Row],[min_res]],ROUND(Grandview_Inventory[[#This Row],[adj_res]]*Lookups!$M$28,-2))</f>
        <v>202200</v>
      </c>
      <c r="CD349">
        <f>Grandview_Inventory[[#This Row],[final_det]]+Grandview_Inventory[[#This Row],[final_res]]</f>
        <v>202200</v>
      </c>
      <c r="CE349">
        <f>Grandview_Inventory[[#This Row],[final_land]]+Grandview_Inventory[[#This Row],[final_imp]]+Grandview_Inventory[[#This Row],[crop_value]]</f>
        <v>249600</v>
      </c>
      <c r="CG349" t="str">
        <f t="shared" si="5"/>
        <v>update valuation set market_land =47400, market_bldg=202200, market_total =249600, market_mdno =401, market_date ='9/10/2023' where link_id = (select link_id from parcel where parcel_year = '2024' and parcel_id = '23091541407');</v>
      </c>
    </row>
    <row r="350" spans="1:85" x14ac:dyDescent="0.25">
      <c r="A350">
        <v>23091541408</v>
      </c>
      <c r="B350">
        <v>0.21</v>
      </c>
      <c r="C350">
        <v>8980</v>
      </c>
      <c r="D350" t="s">
        <v>129</v>
      </c>
      <c r="E350" t="s">
        <v>53</v>
      </c>
      <c r="F350" t="s">
        <v>53</v>
      </c>
      <c r="G350">
        <v>4</v>
      </c>
      <c r="H350" t="s">
        <v>54</v>
      </c>
      <c r="I350">
        <v>115900</v>
      </c>
      <c r="J350">
        <v>39300</v>
      </c>
      <c r="K350">
        <v>0.21</v>
      </c>
      <c r="L35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50">
        <v>0</v>
      </c>
      <c r="N350">
        <v>0</v>
      </c>
      <c r="O350">
        <v>0</v>
      </c>
      <c r="P350">
        <v>13398.7528</v>
      </c>
      <c r="Q350">
        <v>63903</v>
      </c>
      <c r="R350">
        <f>(Grandview_Inventory[[#This Row],[ln_acres]]*Grandview_Inventory[[#This Row],[coeff]])+Grandview_Inventory[[#This Row],[const]]</f>
        <v>42992.266613125081</v>
      </c>
      <c r="S350" t="s">
        <v>68</v>
      </c>
      <c r="T350">
        <v>1</v>
      </c>
      <c r="U350" t="s">
        <v>65</v>
      </c>
      <c r="V350" t="s">
        <v>69</v>
      </c>
      <c r="W350">
        <v>0</v>
      </c>
      <c r="X350">
        <v>0</v>
      </c>
      <c r="Y350">
        <v>33</v>
      </c>
      <c r="Z350">
        <v>82</v>
      </c>
      <c r="AA350">
        <v>90</v>
      </c>
      <c r="AB350">
        <v>1500</v>
      </c>
      <c r="AC350">
        <v>1176</v>
      </c>
      <c r="AD350">
        <v>1176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7</v>
      </c>
      <c r="AQ350">
        <v>0</v>
      </c>
      <c r="AR350">
        <v>0</v>
      </c>
      <c r="AS350" t="s">
        <v>58</v>
      </c>
      <c r="AT350">
        <v>1</v>
      </c>
      <c r="AU350" t="s">
        <v>63</v>
      </c>
      <c r="AV350" t="s">
        <v>81</v>
      </c>
      <c r="AW350">
        <v>0</v>
      </c>
      <c r="AX350">
        <v>2</v>
      </c>
      <c r="AY350">
        <v>0</v>
      </c>
      <c r="AZ350">
        <v>0</v>
      </c>
      <c r="BA350">
        <v>100</v>
      </c>
      <c r="BB350">
        <v>100</v>
      </c>
      <c r="BC350">
        <v>100</v>
      </c>
      <c r="BD350">
        <v>100</v>
      </c>
      <c r="BE350">
        <v>1</v>
      </c>
      <c r="BF350">
        <v>15000</v>
      </c>
      <c r="BG350">
        <v>1000</v>
      </c>
      <c r="BH350" s="6">
        <f>Grandview_Inventory[[#This Row],[land_extract]]*Lookups!$B$3</f>
        <v>49926.8031387023</v>
      </c>
      <c r="BI350" s="6">
        <f>IF(Grandview_Inventory[[#This Row],[bldg_style]]="",0,Lookups!$B$2)</f>
        <v>155833.95000000001</v>
      </c>
      <c r="BJ350" s="6">
        <f>_xlfn.IFNA(VLOOKUP(Grandview_Inventory[[#This Row],[quality]],Lookups!$H$2:$J$14,3,FALSE),0)</f>
        <v>2251</v>
      </c>
      <c r="BK350" s="6">
        <f>_xlfn.IFNA(VLOOKUP(Grandview_Inventory[[#This Row],[condition]],Lookups!$H$17:$J$24,3,FALSE),0)</f>
        <v>-4503</v>
      </c>
      <c r="BL350" s="6">
        <f>Grandview_Inventory[[#This Row],[Eff_Age]]*Lookups!$B$14</f>
        <v>-7892.4977999999992</v>
      </c>
      <c r="BM350" s="6">
        <f>Grandview_Inventory[[#This Row],[living_area]]*Lookups!$B$15</f>
        <v>73359.883128000001</v>
      </c>
      <c r="BN350" s="6">
        <f>Grandview_Inventory[[#This Row],[Fin BSMT]]*Lookups!$B$16</f>
        <v>0</v>
      </c>
      <c r="BO350" s="6">
        <f>(Grandview_Inventory[[#This Row],[att_gar]]+Grandview_Inventory[[#This Row],[bltin_gar]])*Lookups!$B$17</f>
        <v>0</v>
      </c>
      <c r="BP350" s="6">
        <f>Grandview_Inventory[[#This Row],[Plumbing Fixtures]]*Lookups!$B$18</f>
        <v>14073.0926</v>
      </c>
      <c r="BQ350" s="6">
        <f>Grandview_Inventory[[#This Row],[detatched_value]]*Lookups!$B$19</f>
        <v>0</v>
      </c>
      <c r="BR350" s="6">
        <f>SUM(Grandview_Inventory[[#This Row],[Intercept]:[det_value]])*Grandview_Inventory[[#This Row],[res_pct]]</f>
        <v>233122.42792800002</v>
      </c>
      <c r="BS350" s="6">
        <f>Grandview_Inventory[[#This Row],[land_value]]</f>
        <v>49926.8031387023</v>
      </c>
      <c r="BT350" s="4">
        <f>_xlfn.IFNA(VLOOKUP(Grandview_Inventory[[#This Row],[quality]],Lookups!$A$26:$C$33,3,FALSE),1)</f>
        <v>0.98763855981004833</v>
      </c>
      <c r="BU350" s="4">
        <f>_xlfn.IFNA(VLOOKUP(Grandview_Inventory[[#This Row],[condition]],Lookups!$A$37:$C$44,3,FALSE),1)</f>
        <v>0.96469275950863709</v>
      </c>
      <c r="BV350" s="4">
        <f>IF(Grandview_Inventory[[#This Row],[bldg_style]]="",1,_xlfn.IFNA(VLOOKUP(Grandview_Inventory[[#This Row],[decade]],Lookups!$F$29:$H$43,3,FALSE),1))</f>
        <v>0.94161750052457416</v>
      </c>
      <c r="BW350" s="4">
        <f>_xlfn.IFNA(VLOOKUP(Grandview_Inventory[[#This Row],[living_area_range]],Lookups!$F$47:$H$56,3,FALSE),1)</f>
        <v>0.96135087979789358</v>
      </c>
      <c r="BX350" s="4">
        <f>AVERAGE(Grandview_Inventory[[#This Row],[qual_adj]:[size_adj]])</f>
        <v>0.96382492491028826</v>
      </c>
      <c r="BY350" s="6">
        <f>IF(Grandview_Inventory[[#This Row],[pre_res]]&lt;0,0,Grandview_Inventory[[#This Row],[pre_res]]*Grandview_Inventory[[#This Row],[overall_adj]])</f>
        <v>224689.20659260871</v>
      </c>
      <c r="BZ350" s="6">
        <f>(Grandview_Inventory[[#This Row],[sum_land]]-IF(Grandview_Inventory[[#This Row],[no_utilities]]=1,12000,0))/IF(Grandview_Inventory[[#This Row],[unbuildable]]=1,2,1)</f>
        <v>49926.8031387023</v>
      </c>
      <c r="CA35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50">
        <f>ROUND(Grandview_Inventory[[#This Row],[det_value]]*Lookups!$M$28,-2)</f>
        <v>0</v>
      </c>
      <c r="CC350">
        <f>IF(ROUND(Grandview_Inventory[[#This Row],[adj_res]]*Lookups!$M$28,-2)&lt;Grandview_Inventory[[#This Row],[min_res]],Grandview_Inventory[[#This Row],[min_res]],ROUND(Grandview_Inventory[[#This Row],[adj_res]]*Lookups!$M$28,-2))</f>
        <v>213500</v>
      </c>
      <c r="CD350">
        <f>Grandview_Inventory[[#This Row],[final_det]]+Grandview_Inventory[[#This Row],[final_res]]</f>
        <v>213500</v>
      </c>
      <c r="CE350">
        <f>Grandview_Inventory[[#This Row],[final_land]]+Grandview_Inventory[[#This Row],[final_imp]]+Grandview_Inventory[[#This Row],[crop_value]]</f>
        <v>260900</v>
      </c>
      <c r="CG350" t="str">
        <f t="shared" si="5"/>
        <v>update valuation set market_land =47400, market_bldg=213500, market_total =260900, market_mdno =401, market_date ='9/10/2023' where link_id = (select link_id from parcel where parcel_year = '2024' and parcel_id = '23091541408');</v>
      </c>
    </row>
    <row r="351" spans="1:85" x14ac:dyDescent="0.25">
      <c r="A351">
        <v>23091541409</v>
      </c>
      <c r="B351">
        <v>0.39</v>
      </c>
      <c r="C351">
        <v>17155</v>
      </c>
      <c r="D351" t="s">
        <v>129</v>
      </c>
      <c r="E351" t="s">
        <v>53</v>
      </c>
      <c r="F351" t="s">
        <v>53</v>
      </c>
      <c r="G351">
        <v>4</v>
      </c>
      <c r="H351" t="s">
        <v>54</v>
      </c>
      <c r="I351">
        <v>199100</v>
      </c>
      <c r="J351">
        <v>47500</v>
      </c>
      <c r="K351">
        <v>0.39</v>
      </c>
      <c r="L351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51">
        <v>0</v>
      </c>
      <c r="N351">
        <v>0</v>
      </c>
      <c r="O351">
        <v>0</v>
      </c>
      <c r="P351">
        <v>13398.7528</v>
      </c>
      <c r="Q351">
        <v>63903</v>
      </c>
      <c r="R351">
        <f>(Grandview_Inventory[[#This Row],[ln_acres]]*Grandview_Inventory[[#This Row],[coeff]])+Grandview_Inventory[[#This Row],[const]]</f>
        <v>51286.619940067751</v>
      </c>
      <c r="S351" t="s">
        <v>68</v>
      </c>
      <c r="T351">
        <v>1</v>
      </c>
      <c r="U351" t="s">
        <v>70</v>
      </c>
      <c r="V351" t="s">
        <v>69</v>
      </c>
      <c r="W351">
        <v>0</v>
      </c>
      <c r="X351">
        <v>0</v>
      </c>
      <c r="Y351">
        <v>50</v>
      </c>
      <c r="Z351">
        <v>73</v>
      </c>
      <c r="AA351">
        <v>80</v>
      </c>
      <c r="AB351">
        <v>2000</v>
      </c>
      <c r="AC351">
        <v>1792</v>
      </c>
      <c r="AD351">
        <v>1792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140</v>
      </c>
      <c r="AN351">
        <v>0</v>
      </c>
      <c r="AO351">
        <v>250</v>
      </c>
      <c r="AP351">
        <v>6</v>
      </c>
      <c r="AQ351">
        <v>1</v>
      </c>
      <c r="AR351">
        <v>0</v>
      </c>
      <c r="AS351" t="s">
        <v>58</v>
      </c>
      <c r="AT351">
        <v>1</v>
      </c>
      <c r="AU351" t="s">
        <v>63</v>
      </c>
      <c r="AV351" t="s">
        <v>64</v>
      </c>
      <c r="AW351">
        <v>0</v>
      </c>
      <c r="AX351">
        <v>3</v>
      </c>
      <c r="AY351">
        <v>0</v>
      </c>
      <c r="AZ351">
        <v>30500</v>
      </c>
      <c r="BA351">
        <v>100</v>
      </c>
      <c r="BB351">
        <v>100</v>
      </c>
      <c r="BC351">
        <v>100</v>
      </c>
      <c r="BD351">
        <v>100</v>
      </c>
      <c r="BE351">
        <v>1</v>
      </c>
      <c r="BF351">
        <v>15000</v>
      </c>
      <c r="BG351">
        <v>1000</v>
      </c>
      <c r="BH351" s="6">
        <f>Grandview_Inventory[[#This Row],[land_extract]]*Lookups!$B$3</f>
        <v>59559.013262526838</v>
      </c>
      <c r="BI351" s="6">
        <f>IF(Grandview_Inventory[[#This Row],[bldg_style]]="",0,Lookups!$B$2)</f>
        <v>155833.95000000001</v>
      </c>
      <c r="BJ351" s="6">
        <f>_xlfn.IFNA(VLOOKUP(Grandview_Inventory[[#This Row],[quality]],Lookups!$H$2:$J$14,3,FALSE),0)</f>
        <v>10733</v>
      </c>
      <c r="BK351" s="6">
        <f>_xlfn.IFNA(VLOOKUP(Grandview_Inventory[[#This Row],[condition]],Lookups!$H$17:$J$24,3,FALSE),0)</f>
        <v>-4503</v>
      </c>
      <c r="BL351" s="6">
        <f>Grandview_Inventory[[#This Row],[Eff_Age]]*Lookups!$B$14</f>
        <v>-11958.33</v>
      </c>
      <c r="BM351" s="6">
        <f>Grandview_Inventory[[#This Row],[living_area]]*Lookups!$B$15</f>
        <v>111786.488576</v>
      </c>
      <c r="BN351" s="6">
        <f>Grandview_Inventory[[#This Row],[Fin BSMT]]*Lookups!$B$16</f>
        <v>0</v>
      </c>
      <c r="BO351" s="6">
        <f>(Grandview_Inventory[[#This Row],[att_gar]]+Grandview_Inventory[[#This Row],[bltin_gar]])*Lookups!$B$17</f>
        <v>0</v>
      </c>
      <c r="BP351" s="6">
        <f>Grandview_Inventory[[#This Row],[Plumbing Fixtures]]*Lookups!$B$18</f>
        <v>12062.650799999999</v>
      </c>
      <c r="BQ351" s="6">
        <f>Grandview_Inventory[[#This Row],[detatched_value]]*Lookups!$B$19</f>
        <v>25827.555550000001</v>
      </c>
      <c r="BR351" s="6">
        <f>SUM(Grandview_Inventory[[#This Row],[Intercept]:[det_value]])*Grandview_Inventory[[#This Row],[res_pct]]</f>
        <v>299782.31492600002</v>
      </c>
      <c r="BS351" s="6">
        <f>Grandview_Inventory[[#This Row],[land_value]]</f>
        <v>59559.013262526838</v>
      </c>
      <c r="BT351" s="4">
        <f>_xlfn.IFNA(VLOOKUP(Grandview_Inventory[[#This Row],[quality]],Lookups!$A$26:$C$33,3,FALSE),1)</f>
        <v>0.98079741117310582</v>
      </c>
      <c r="BU351" s="4">
        <f>_xlfn.IFNA(VLOOKUP(Grandview_Inventory[[#This Row],[condition]],Lookups!$A$37:$C$44,3,FALSE),1)</f>
        <v>0.96469275950863709</v>
      </c>
      <c r="BV351" s="4">
        <f>IF(Grandview_Inventory[[#This Row],[bldg_style]]="",1,_xlfn.IFNA(VLOOKUP(Grandview_Inventory[[#This Row],[decade]],Lookups!$F$29:$H$43,3,FALSE),1))</f>
        <v>0.98763256963907298</v>
      </c>
      <c r="BW351" s="4">
        <f>_xlfn.IFNA(VLOOKUP(Grandview_Inventory[[#This Row],[living_area_range]],Lookups!$F$47:$H$56,3,FALSE),1)</f>
        <v>0.96120133463014379</v>
      </c>
      <c r="BX351" s="4">
        <f>AVERAGE(Grandview_Inventory[[#This Row],[qual_adj]:[size_adj]])</f>
        <v>0.97358101873773983</v>
      </c>
      <c r="BY351" s="6">
        <f>IF(Grandview_Inventory[[#This Row],[pre_res]]&lt;0,0,Grandview_Inventory[[#This Row],[pre_res]]*Grandview_Inventory[[#This Row],[overall_adj]])</f>
        <v>291862.37156521308</v>
      </c>
      <c r="BZ351" s="6">
        <f>(Grandview_Inventory[[#This Row],[sum_land]]-IF(Grandview_Inventory[[#This Row],[no_utilities]]=1,12000,0))/IF(Grandview_Inventory[[#This Row],[unbuildable]]=1,2,1)</f>
        <v>59559.013262526838</v>
      </c>
      <c r="CA351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51">
        <f>ROUND(Grandview_Inventory[[#This Row],[det_value]]*Lookups!$M$28,-2)</f>
        <v>24500</v>
      </c>
      <c r="CC351">
        <f>IF(ROUND(Grandview_Inventory[[#This Row],[adj_res]]*Lookups!$M$28,-2)&lt;Grandview_Inventory[[#This Row],[min_res]],Grandview_Inventory[[#This Row],[min_res]],ROUND(Grandview_Inventory[[#This Row],[adj_res]]*Lookups!$M$28,-2))</f>
        <v>277300</v>
      </c>
      <c r="CD351">
        <f>Grandview_Inventory[[#This Row],[final_det]]+Grandview_Inventory[[#This Row],[final_res]]</f>
        <v>301800</v>
      </c>
      <c r="CE351">
        <f>Grandview_Inventory[[#This Row],[final_land]]+Grandview_Inventory[[#This Row],[final_imp]]+Grandview_Inventory[[#This Row],[crop_value]]</f>
        <v>358400</v>
      </c>
      <c r="CG351" t="str">
        <f t="shared" si="5"/>
        <v>update valuation set market_land =56600, market_bldg=301800, market_total =358400, market_mdno =401, market_date ='9/10/2023' where link_id = (select link_id from parcel where parcel_year = '2024' and parcel_id = '23091541409');</v>
      </c>
    </row>
    <row r="352" spans="1:85" x14ac:dyDescent="0.25">
      <c r="A352">
        <v>23091541410</v>
      </c>
      <c r="B352">
        <v>0.4</v>
      </c>
      <c r="C352">
        <v>17458</v>
      </c>
      <c r="D352" t="s">
        <v>129</v>
      </c>
      <c r="E352" t="s">
        <v>53</v>
      </c>
      <c r="F352" t="s">
        <v>53</v>
      </c>
      <c r="G352">
        <v>4</v>
      </c>
      <c r="H352" t="s">
        <v>54</v>
      </c>
      <c r="I352">
        <v>94400</v>
      </c>
      <c r="J352">
        <v>41200</v>
      </c>
      <c r="K352">
        <v>0.4</v>
      </c>
      <c r="L352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352">
        <v>0</v>
      </c>
      <c r="N352">
        <v>0</v>
      </c>
      <c r="O352">
        <v>0</v>
      </c>
      <c r="P352">
        <v>13398.7528</v>
      </c>
      <c r="Q352">
        <v>63903</v>
      </c>
      <c r="R352">
        <f>(Grandview_Inventory[[#This Row],[ln_acres]]*Grandview_Inventory[[#This Row],[coeff]])+Grandview_Inventory[[#This Row],[const]]</f>
        <v>51625.846990687118</v>
      </c>
      <c r="S352" t="s">
        <v>68</v>
      </c>
      <c r="T352">
        <v>1</v>
      </c>
      <c r="U352" t="s">
        <v>70</v>
      </c>
      <c r="V352" t="s">
        <v>69</v>
      </c>
      <c r="W352">
        <v>0</v>
      </c>
      <c r="X352">
        <v>0</v>
      </c>
      <c r="Y352">
        <v>53</v>
      </c>
      <c r="Z352">
        <v>93</v>
      </c>
      <c r="AA352">
        <v>100</v>
      </c>
      <c r="AB352">
        <v>1000</v>
      </c>
      <c r="AC352">
        <v>880</v>
      </c>
      <c r="AD352">
        <v>880</v>
      </c>
      <c r="AE352">
        <v>0</v>
      </c>
      <c r="AF352">
        <v>0</v>
      </c>
      <c r="AG352">
        <v>0</v>
      </c>
      <c r="AH352">
        <v>400</v>
      </c>
      <c r="AI352">
        <v>0</v>
      </c>
      <c r="AJ352">
        <v>0</v>
      </c>
      <c r="AK352">
        <v>0</v>
      </c>
      <c r="AL352">
        <v>0</v>
      </c>
      <c r="AM352">
        <v>512</v>
      </c>
      <c r="AN352">
        <v>0</v>
      </c>
      <c r="AO352">
        <v>512</v>
      </c>
      <c r="AP352">
        <v>5</v>
      </c>
      <c r="AQ352">
        <v>0</v>
      </c>
      <c r="AR352">
        <v>0</v>
      </c>
      <c r="AS352" t="s">
        <v>71</v>
      </c>
      <c r="AT352">
        <v>1</v>
      </c>
      <c r="AU352" t="s">
        <v>75</v>
      </c>
      <c r="AV352" t="s">
        <v>60</v>
      </c>
      <c r="AW352">
        <v>0</v>
      </c>
      <c r="AX352">
        <v>2</v>
      </c>
      <c r="AY352">
        <v>0</v>
      </c>
      <c r="AZ352">
        <v>0</v>
      </c>
      <c r="BA352">
        <v>100</v>
      </c>
      <c r="BB352">
        <v>100</v>
      </c>
      <c r="BC352">
        <v>100</v>
      </c>
      <c r="BD352">
        <v>100</v>
      </c>
      <c r="BE352">
        <v>1</v>
      </c>
      <c r="BF352">
        <v>15000</v>
      </c>
      <c r="BG352">
        <v>1000</v>
      </c>
      <c r="BH352" s="6">
        <f>Grandview_Inventory[[#This Row],[land_extract]]*Lookups!$B$3</f>
        <v>59952.95672049807</v>
      </c>
      <c r="BI352" s="6">
        <f>IF(Grandview_Inventory[[#This Row],[bldg_style]]="",0,Lookups!$B$2)</f>
        <v>155833.95000000001</v>
      </c>
      <c r="BJ352" s="6">
        <f>_xlfn.IFNA(VLOOKUP(Grandview_Inventory[[#This Row],[quality]],Lookups!$H$2:$J$14,3,FALSE),0)</f>
        <v>10733</v>
      </c>
      <c r="BK352" s="6">
        <f>_xlfn.IFNA(VLOOKUP(Grandview_Inventory[[#This Row],[condition]],Lookups!$H$17:$J$24,3,FALSE),0)</f>
        <v>-4503</v>
      </c>
      <c r="BL352" s="6">
        <f>Grandview_Inventory[[#This Row],[Eff_Age]]*Lookups!$B$14</f>
        <v>-12675.8298</v>
      </c>
      <c r="BM352" s="6">
        <f>Grandview_Inventory[[#This Row],[living_area]]*Lookups!$B$15</f>
        <v>54895.15064</v>
      </c>
      <c r="BN352" s="6">
        <f>Grandview_Inventory[[#This Row],[Fin BSMT]]*Lookups!$B$16</f>
        <v>0</v>
      </c>
      <c r="BO352" s="6">
        <f>(Grandview_Inventory[[#This Row],[att_gar]]+Grandview_Inventory[[#This Row],[bltin_gar]])*Lookups!$B$17</f>
        <v>0</v>
      </c>
      <c r="BP352" s="6">
        <f>Grandview_Inventory[[#This Row],[Plumbing Fixtures]]*Lookups!$B$18</f>
        <v>10052.209000000001</v>
      </c>
      <c r="BQ352" s="6">
        <f>Grandview_Inventory[[#This Row],[detatched_value]]*Lookups!$B$19</f>
        <v>0</v>
      </c>
      <c r="BR352" s="6">
        <f>SUM(Grandview_Inventory[[#This Row],[Intercept]:[det_value]])*Grandview_Inventory[[#This Row],[res_pct]]</f>
        <v>214335.47984000001</v>
      </c>
      <c r="BS352" s="6">
        <f>Grandview_Inventory[[#This Row],[land_value]]</f>
        <v>59952.95672049807</v>
      </c>
      <c r="BT352" s="4">
        <f>_xlfn.IFNA(VLOOKUP(Grandview_Inventory[[#This Row],[quality]],Lookups!$A$26:$C$33,3,FALSE),1)</f>
        <v>0.98079741117310582</v>
      </c>
      <c r="BU352" s="4">
        <f>_xlfn.IFNA(VLOOKUP(Grandview_Inventory[[#This Row],[condition]],Lookups!$A$37:$C$44,3,FALSE),1)</f>
        <v>0.96469275950863709</v>
      </c>
      <c r="BV352" s="4">
        <f>IF(Grandview_Inventory[[#This Row],[bldg_style]]="",1,_xlfn.IFNA(VLOOKUP(Grandview_Inventory[[#This Row],[decade]],Lookups!$F$29:$H$43,3,FALSE),1))</f>
        <v>0.95244691841736806</v>
      </c>
      <c r="BW352" s="4">
        <f>_xlfn.IFNA(VLOOKUP(Grandview_Inventory[[#This Row],[living_area_range]],Lookups!$F$47:$H$56,3,FALSE),1)</f>
        <v>0.94306777142782894</v>
      </c>
      <c r="BX352" s="4">
        <f>AVERAGE(Grandview_Inventory[[#This Row],[qual_adj]:[size_adj]])</f>
        <v>0.96025121513173495</v>
      </c>
      <c r="BY352" s="6">
        <f>IF(Grandview_Inventory[[#This Row],[pre_res]]&lt;0,0,Grandview_Inventory[[#This Row],[pre_res]]*Grandview_Inventory[[#This Row],[overall_adj]])</f>
        <v>205815.90496220349</v>
      </c>
      <c r="BZ352" s="6">
        <f>(Grandview_Inventory[[#This Row],[sum_land]]-IF(Grandview_Inventory[[#This Row],[no_utilities]]=1,12000,0))/IF(Grandview_Inventory[[#This Row],[unbuildable]]=1,2,1)</f>
        <v>59952.95672049807</v>
      </c>
      <c r="CA352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352">
        <f>ROUND(Grandview_Inventory[[#This Row],[det_value]]*Lookups!$M$28,-2)</f>
        <v>0</v>
      </c>
      <c r="CC352">
        <f>IF(ROUND(Grandview_Inventory[[#This Row],[adj_res]]*Lookups!$M$28,-2)&lt;Grandview_Inventory[[#This Row],[min_res]],Grandview_Inventory[[#This Row],[min_res]],ROUND(Grandview_Inventory[[#This Row],[adj_res]]*Lookups!$M$28,-2))</f>
        <v>195500</v>
      </c>
      <c r="CD352">
        <f>Grandview_Inventory[[#This Row],[final_det]]+Grandview_Inventory[[#This Row],[final_res]]</f>
        <v>195500</v>
      </c>
      <c r="CE352">
        <f>Grandview_Inventory[[#This Row],[final_land]]+Grandview_Inventory[[#This Row],[final_imp]]+Grandview_Inventory[[#This Row],[crop_value]]</f>
        <v>252500</v>
      </c>
      <c r="CG352" t="str">
        <f t="shared" si="5"/>
        <v>update valuation set market_land =57000, market_bldg=195500, market_total =252500, market_mdno =401, market_date ='9/10/2023' where link_id = (select link_id from parcel where parcel_year = '2024' and parcel_id = '23091541410');</v>
      </c>
    </row>
    <row r="353" spans="1:85" x14ac:dyDescent="0.25">
      <c r="A353">
        <v>23091541411</v>
      </c>
      <c r="B353">
        <v>0.21</v>
      </c>
      <c r="C353">
        <v>8949</v>
      </c>
      <c r="D353" t="s">
        <v>129</v>
      </c>
      <c r="E353" t="s">
        <v>53</v>
      </c>
      <c r="F353" t="s">
        <v>53</v>
      </c>
      <c r="G353">
        <v>4</v>
      </c>
      <c r="H353" t="s">
        <v>54</v>
      </c>
      <c r="I353">
        <v>148100</v>
      </c>
      <c r="J353">
        <v>39300</v>
      </c>
      <c r="K353">
        <v>0.21</v>
      </c>
      <c r="L35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353">
        <v>0</v>
      </c>
      <c r="N353">
        <v>0</v>
      </c>
      <c r="O353">
        <v>0</v>
      </c>
      <c r="P353">
        <v>13398.7528</v>
      </c>
      <c r="Q353">
        <v>63903</v>
      </c>
      <c r="R353">
        <f>(Grandview_Inventory[[#This Row],[ln_acres]]*Grandview_Inventory[[#This Row],[coeff]])+Grandview_Inventory[[#This Row],[const]]</f>
        <v>42992.266613125081</v>
      </c>
      <c r="S353" t="s">
        <v>61</v>
      </c>
      <c r="T353">
        <v>1</v>
      </c>
      <c r="U353" t="s">
        <v>70</v>
      </c>
      <c r="V353" t="s">
        <v>69</v>
      </c>
      <c r="W353">
        <v>0</v>
      </c>
      <c r="X353">
        <v>0</v>
      </c>
      <c r="Y353">
        <v>35</v>
      </c>
      <c r="Z353">
        <v>35</v>
      </c>
      <c r="AA353">
        <v>40</v>
      </c>
      <c r="AB353">
        <v>1500</v>
      </c>
      <c r="AC353">
        <v>1312</v>
      </c>
      <c r="AD353">
        <v>1312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72</v>
      </c>
      <c r="AO353">
        <v>0</v>
      </c>
      <c r="AP353">
        <v>5</v>
      </c>
      <c r="AQ353">
        <v>0</v>
      </c>
      <c r="AR353">
        <v>0</v>
      </c>
      <c r="AS353" t="s">
        <v>58</v>
      </c>
      <c r="AT353">
        <v>1</v>
      </c>
      <c r="AU353" t="s">
        <v>63</v>
      </c>
      <c r="AV353" t="s">
        <v>60</v>
      </c>
      <c r="AW353">
        <v>0</v>
      </c>
      <c r="AX353">
        <v>3</v>
      </c>
      <c r="AY353">
        <v>0</v>
      </c>
      <c r="AZ353">
        <v>0</v>
      </c>
      <c r="BA353">
        <v>100</v>
      </c>
      <c r="BB353">
        <v>100</v>
      </c>
      <c r="BC353">
        <v>100</v>
      </c>
      <c r="BD353">
        <v>100</v>
      </c>
      <c r="BE353">
        <v>1</v>
      </c>
      <c r="BF353">
        <v>15000</v>
      </c>
      <c r="BG353">
        <v>1000</v>
      </c>
      <c r="BH353" s="6">
        <f>Grandview_Inventory[[#This Row],[land_extract]]*Lookups!$B$3</f>
        <v>49926.8031387023</v>
      </c>
      <c r="BI353" s="6">
        <f>IF(Grandview_Inventory[[#This Row],[bldg_style]]="",0,Lookups!$B$2)</f>
        <v>155833.95000000001</v>
      </c>
      <c r="BJ353" s="6">
        <f>_xlfn.IFNA(VLOOKUP(Grandview_Inventory[[#This Row],[quality]],Lookups!$H$2:$J$14,3,FALSE),0)</f>
        <v>10733</v>
      </c>
      <c r="BK353" s="6">
        <f>_xlfn.IFNA(VLOOKUP(Grandview_Inventory[[#This Row],[condition]],Lookups!$H$17:$J$24,3,FALSE),0)</f>
        <v>-4503</v>
      </c>
      <c r="BL353" s="6">
        <f>Grandview_Inventory[[#This Row],[Eff_Age]]*Lookups!$B$14</f>
        <v>-8370.8310000000001</v>
      </c>
      <c r="BM353" s="6">
        <f>Grandview_Inventory[[#This Row],[living_area]]*Lookups!$B$15</f>
        <v>81843.679136000006</v>
      </c>
      <c r="BN353" s="6">
        <f>Grandview_Inventory[[#This Row],[Fin BSMT]]*Lookups!$B$16</f>
        <v>0</v>
      </c>
      <c r="BO353" s="6">
        <f>(Grandview_Inventory[[#This Row],[att_gar]]+Grandview_Inventory[[#This Row],[bltin_gar]])*Lookups!$B$17</f>
        <v>0</v>
      </c>
      <c r="BP353" s="6">
        <f>Grandview_Inventory[[#This Row],[Plumbing Fixtures]]*Lookups!$B$18</f>
        <v>10052.209000000001</v>
      </c>
      <c r="BQ353" s="6">
        <f>Grandview_Inventory[[#This Row],[detatched_value]]*Lookups!$B$19</f>
        <v>0</v>
      </c>
      <c r="BR353" s="6">
        <f>SUM(Grandview_Inventory[[#This Row],[Intercept]:[det_value]])*Grandview_Inventory[[#This Row],[res_pct]]</f>
        <v>245589.007136</v>
      </c>
      <c r="BS353" s="6">
        <f>Grandview_Inventory[[#This Row],[land_value]]</f>
        <v>49926.8031387023</v>
      </c>
      <c r="BT353" s="4">
        <f>_xlfn.IFNA(VLOOKUP(Grandview_Inventory[[#This Row],[quality]],Lookups!$A$26:$C$33,3,FALSE),1)</f>
        <v>0.98079741117310582</v>
      </c>
      <c r="BU353" s="4">
        <f>_xlfn.IFNA(VLOOKUP(Grandview_Inventory[[#This Row],[condition]],Lookups!$A$37:$C$44,3,FALSE),1)</f>
        <v>0.96469275950863709</v>
      </c>
      <c r="BV353" s="4">
        <f>IF(Grandview_Inventory[[#This Row],[bldg_style]]="",1,_xlfn.IFNA(VLOOKUP(Grandview_Inventory[[#This Row],[decade]],Lookups!$F$29:$H$43,3,FALSE),1))</f>
        <v>0.98031878267063854</v>
      </c>
      <c r="BW353" s="4">
        <f>_xlfn.IFNA(VLOOKUP(Grandview_Inventory[[#This Row],[living_area_range]],Lookups!$F$47:$H$56,3,FALSE),1)</f>
        <v>0.96135087979789358</v>
      </c>
      <c r="BX353" s="4">
        <f>AVERAGE(Grandview_Inventory[[#This Row],[qual_adj]:[size_adj]])</f>
        <v>0.97178995828756876</v>
      </c>
      <c r="BY353" s="6">
        <f>IF(Grandview_Inventory[[#This Row],[pre_res]]&lt;0,0,Grandview_Inventory[[#This Row],[pre_res]]*Grandview_Inventory[[#This Row],[overall_adj]])</f>
        <v>238660.93100057886</v>
      </c>
      <c r="BZ353" s="6">
        <f>(Grandview_Inventory[[#This Row],[sum_land]]-IF(Grandview_Inventory[[#This Row],[no_utilities]]=1,12000,0))/IF(Grandview_Inventory[[#This Row],[unbuildable]]=1,2,1)</f>
        <v>49926.8031387023</v>
      </c>
      <c r="CA35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353">
        <f>ROUND(Grandview_Inventory[[#This Row],[det_value]]*Lookups!$M$28,-2)</f>
        <v>0</v>
      </c>
      <c r="CC353">
        <f>IF(ROUND(Grandview_Inventory[[#This Row],[adj_res]]*Lookups!$M$28,-2)&lt;Grandview_Inventory[[#This Row],[min_res]],Grandview_Inventory[[#This Row],[min_res]],ROUND(Grandview_Inventory[[#This Row],[adj_res]]*Lookups!$M$28,-2))</f>
        <v>226700</v>
      </c>
      <c r="CD353">
        <f>Grandview_Inventory[[#This Row],[final_det]]+Grandview_Inventory[[#This Row],[final_res]]</f>
        <v>226700</v>
      </c>
      <c r="CE353">
        <f>Grandview_Inventory[[#This Row],[final_land]]+Grandview_Inventory[[#This Row],[final_imp]]+Grandview_Inventory[[#This Row],[crop_value]]</f>
        <v>274100</v>
      </c>
      <c r="CG353" t="str">
        <f t="shared" si="5"/>
        <v>update valuation set market_land =47400, market_bldg=226700, market_total =274100, market_mdno =401, market_date ='9/10/2023' where link_id = (select link_id from parcel where parcel_year = '2024' and parcel_id = '23091541411');</v>
      </c>
    </row>
    <row r="354" spans="1:85" x14ac:dyDescent="0.25">
      <c r="A354">
        <v>23091541412</v>
      </c>
      <c r="B354">
        <v>0.2</v>
      </c>
      <c r="C354">
        <v>8928</v>
      </c>
      <c r="D354" t="s">
        <v>129</v>
      </c>
      <c r="E354" t="s">
        <v>53</v>
      </c>
      <c r="F354" t="s">
        <v>53</v>
      </c>
      <c r="G354">
        <v>4</v>
      </c>
      <c r="H354" t="s">
        <v>54</v>
      </c>
      <c r="I354">
        <v>123000</v>
      </c>
      <c r="J354">
        <v>43500</v>
      </c>
      <c r="K354">
        <v>0.2</v>
      </c>
      <c r="L35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54">
        <v>0</v>
      </c>
      <c r="N354">
        <v>0</v>
      </c>
      <c r="O354">
        <v>0</v>
      </c>
      <c r="P354">
        <v>13398.7528</v>
      </c>
      <c r="Q354">
        <v>63903</v>
      </c>
      <c r="R354">
        <f>(Grandview_Inventory[[#This Row],[ln_acres]]*Grandview_Inventory[[#This Row],[coeff]])+Grandview_Inventory[[#This Row],[const]]</f>
        <v>42338.539264347448</v>
      </c>
      <c r="S354" t="s">
        <v>68</v>
      </c>
      <c r="T354">
        <v>1</v>
      </c>
      <c r="U354" t="s">
        <v>65</v>
      </c>
      <c r="V354" t="s">
        <v>69</v>
      </c>
      <c r="W354">
        <v>0</v>
      </c>
      <c r="X354">
        <v>0</v>
      </c>
      <c r="Y354">
        <v>57</v>
      </c>
      <c r="Z354">
        <v>103</v>
      </c>
      <c r="AA354">
        <v>110</v>
      </c>
      <c r="AB354">
        <v>1000</v>
      </c>
      <c r="AC354">
        <v>968</v>
      </c>
      <c r="AD354">
        <v>968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180</v>
      </c>
      <c r="AO354">
        <v>0</v>
      </c>
      <c r="AP354">
        <v>8</v>
      </c>
      <c r="AQ354">
        <v>0</v>
      </c>
      <c r="AR354">
        <v>0</v>
      </c>
      <c r="AS354" t="s">
        <v>58</v>
      </c>
      <c r="AT354">
        <v>1</v>
      </c>
      <c r="AU354" t="s">
        <v>63</v>
      </c>
      <c r="AV354" t="s">
        <v>64</v>
      </c>
      <c r="AW354">
        <v>1</v>
      </c>
      <c r="AX354">
        <v>4</v>
      </c>
      <c r="AY354">
        <v>0</v>
      </c>
      <c r="AZ354">
        <v>0</v>
      </c>
      <c r="BA354">
        <v>100</v>
      </c>
      <c r="BB354">
        <v>100</v>
      </c>
      <c r="BC354">
        <v>100</v>
      </c>
      <c r="BD354">
        <v>100</v>
      </c>
      <c r="BE354">
        <v>1</v>
      </c>
      <c r="BF354">
        <v>15000</v>
      </c>
      <c r="BG354">
        <v>1000</v>
      </c>
      <c r="BH354" s="6">
        <f>Grandview_Inventory[[#This Row],[land_extract]]*Lookups!$B$3</f>
        <v>49167.631333630678</v>
      </c>
      <c r="BI354" s="6">
        <f>IF(Grandview_Inventory[[#This Row],[bldg_style]]="",0,Lookups!$B$2)</f>
        <v>155833.95000000001</v>
      </c>
      <c r="BJ354" s="6">
        <f>_xlfn.IFNA(VLOOKUP(Grandview_Inventory[[#This Row],[quality]],Lookups!$H$2:$J$14,3,FALSE),0)</f>
        <v>2251</v>
      </c>
      <c r="BK354" s="6">
        <f>_xlfn.IFNA(VLOOKUP(Grandview_Inventory[[#This Row],[condition]],Lookups!$H$17:$J$24,3,FALSE),0)</f>
        <v>-4503</v>
      </c>
      <c r="BL354" s="6">
        <f>Grandview_Inventory[[#This Row],[Eff_Age]]*Lookups!$B$14</f>
        <v>-13632.4962</v>
      </c>
      <c r="BM354" s="6">
        <f>Grandview_Inventory[[#This Row],[living_area]]*Lookups!$B$15</f>
        <v>60384.665703999999</v>
      </c>
      <c r="BN354" s="6">
        <f>Grandview_Inventory[[#This Row],[Fin BSMT]]*Lookups!$B$16</f>
        <v>0</v>
      </c>
      <c r="BO354" s="6">
        <f>(Grandview_Inventory[[#This Row],[att_gar]]+Grandview_Inventory[[#This Row],[bltin_gar]])*Lookups!$B$17</f>
        <v>0</v>
      </c>
      <c r="BP354" s="6">
        <f>Grandview_Inventory[[#This Row],[Plumbing Fixtures]]*Lookups!$B$18</f>
        <v>16083.5344</v>
      </c>
      <c r="BQ354" s="6">
        <f>Grandview_Inventory[[#This Row],[detatched_value]]*Lookups!$B$19</f>
        <v>0</v>
      </c>
      <c r="BR354" s="6">
        <f>SUM(Grandview_Inventory[[#This Row],[Intercept]:[det_value]])*Grandview_Inventory[[#This Row],[res_pct]]</f>
        <v>216417.65390400001</v>
      </c>
      <c r="BS354" s="6">
        <f>Grandview_Inventory[[#This Row],[land_value]]</f>
        <v>49167.631333630678</v>
      </c>
      <c r="BT354" s="4">
        <f>_xlfn.IFNA(VLOOKUP(Grandview_Inventory[[#This Row],[quality]],Lookups!$A$26:$C$33,3,FALSE),1)</f>
        <v>0.98763855981004833</v>
      </c>
      <c r="BU354" s="4">
        <f>_xlfn.IFNA(VLOOKUP(Grandview_Inventory[[#This Row],[condition]],Lookups!$A$37:$C$44,3,FALSE),1)</f>
        <v>0.96469275950863709</v>
      </c>
      <c r="BV354" s="4">
        <f>IF(Grandview_Inventory[[#This Row],[bldg_style]]="",1,_xlfn.IFNA(VLOOKUP(Grandview_Inventory[[#This Row],[decade]],Lookups!$F$29:$H$43,3,FALSE),1))</f>
        <v>0.92255236374249616</v>
      </c>
      <c r="BW354" s="4">
        <f>_xlfn.IFNA(VLOOKUP(Grandview_Inventory[[#This Row],[living_area_range]],Lookups!$F$47:$H$56,3,FALSE),1)</f>
        <v>0.94306777142782894</v>
      </c>
      <c r="BX354" s="4">
        <f>AVERAGE(Grandview_Inventory[[#This Row],[qual_adj]:[size_adj]])</f>
        <v>0.95448786362225257</v>
      </c>
      <c r="BY354" s="6">
        <f>IF(Grandview_Inventory[[#This Row],[pre_res]]&lt;0,0,Grandview_Inventory[[#This Row],[pre_res]]*Grandview_Inventory[[#This Row],[overall_adj]])</f>
        <v>206568.02412496903</v>
      </c>
      <c r="BZ354" s="6">
        <f>(Grandview_Inventory[[#This Row],[sum_land]]-IF(Grandview_Inventory[[#This Row],[no_utilities]]=1,12000,0))/IF(Grandview_Inventory[[#This Row],[unbuildable]]=1,2,1)</f>
        <v>49167.631333630678</v>
      </c>
      <c r="CA35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54">
        <f>ROUND(Grandview_Inventory[[#This Row],[det_value]]*Lookups!$M$28,-2)</f>
        <v>0</v>
      </c>
      <c r="CC354">
        <f>IF(ROUND(Grandview_Inventory[[#This Row],[adj_res]]*Lookups!$M$28,-2)&lt;Grandview_Inventory[[#This Row],[min_res]],Grandview_Inventory[[#This Row],[min_res]],ROUND(Grandview_Inventory[[#This Row],[adj_res]]*Lookups!$M$28,-2))</f>
        <v>196200</v>
      </c>
      <c r="CD354">
        <f>Grandview_Inventory[[#This Row],[final_det]]+Grandview_Inventory[[#This Row],[final_res]]</f>
        <v>196200</v>
      </c>
      <c r="CE354">
        <f>Grandview_Inventory[[#This Row],[final_land]]+Grandview_Inventory[[#This Row],[final_imp]]+Grandview_Inventory[[#This Row],[crop_value]]</f>
        <v>242900</v>
      </c>
      <c r="CG354" t="str">
        <f t="shared" si="5"/>
        <v>update valuation set market_land =46700, market_bldg=196200, market_total =242900, market_mdno =401, market_date ='9/10/2023' where link_id = (select link_id from parcel where parcel_year = '2024' and parcel_id = '23091541412');</v>
      </c>
    </row>
    <row r="355" spans="1:85" x14ac:dyDescent="0.25">
      <c r="A355">
        <v>23091541413</v>
      </c>
      <c r="B355">
        <v>0.2</v>
      </c>
      <c r="C355">
        <v>8907</v>
      </c>
      <c r="D355" t="s">
        <v>129</v>
      </c>
      <c r="E355" t="s">
        <v>53</v>
      </c>
      <c r="F355" t="s">
        <v>53</v>
      </c>
      <c r="G355">
        <v>4</v>
      </c>
      <c r="H355" t="s">
        <v>54</v>
      </c>
      <c r="I355">
        <v>96900</v>
      </c>
      <c r="J355">
        <v>43500</v>
      </c>
      <c r="K355">
        <v>0.2</v>
      </c>
      <c r="L35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55">
        <v>0</v>
      </c>
      <c r="N355">
        <v>0</v>
      </c>
      <c r="O355">
        <v>0</v>
      </c>
      <c r="P355">
        <v>13398.7528</v>
      </c>
      <c r="Q355">
        <v>63903</v>
      </c>
      <c r="R355">
        <f>(Grandview_Inventory[[#This Row],[ln_acres]]*Grandview_Inventory[[#This Row],[coeff]])+Grandview_Inventory[[#This Row],[const]]</f>
        <v>42338.539264347448</v>
      </c>
      <c r="S355" t="s">
        <v>68</v>
      </c>
      <c r="T355">
        <v>1</v>
      </c>
      <c r="U355" t="s">
        <v>80</v>
      </c>
      <c r="V355" t="s">
        <v>69</v>
      </c>
      <c r="W355">
        <v>0</v>
      </c>
      <c r="X355">
        <v>0</v>
      </c>
      <c r="Y355">
        <v>50</v>
      </c>
      <c r="Z355">
        <v>73</v>
      </c>
      <c r="AA355">
        <v>80</v>
      </c>
      <c r="AB355">
        <v>1000</v>
      </c>
      <c r="AC355">
        <v>864</v>
      </c>
      <c r="AD355">
        <v>864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5</v>
      </c>
      <c r="AQ355">
        <v>0</v>
      </c>
      <c r="AR355">
        <v>0</v>
      </c>
      <c r="AS355" t="s">
        <v>58</v>
      </c>
      <c r="AT355">
        <v>1</v>
      </c>
      <c r="AU355" t="s">
        <v>63</v>
      </c>
      <c r="AV355" t="s">
        <v>60</v>
      </c>
      <c r="AW355">
        <v>0</v>
      </c>
      <c r="AX355">
        <v>2</v>
      </c>
      <c r="AY355">
        <v>0</v>
      </c>
      <c r="AZ355">
        <v>0</v>
      </c>
      <c r="BA355">
        <v>100</v>
      </c>
      <c r="BB355">
        <v>100</v>
      </c>
      <c r="BC355">
        <v>100</v>
      </c>
      <c r="BD355">
        <v>100</v>
      </c>
      <c r="BE355">
        <v>1</v>
      </c>
      <c r="BF355">
        <v>15000</v>
      </c>
      <c r="BG355">
        <v>1000</v>
      </c>
      <c r="BH355" s="6">
        <f>Grandview_Inventory[[#This Row],[land_extract]]*Lookups!$B$3</f>
        <v>49167.631333630678</v>
      </c>
      <c r="BI355" s="6">
        <f>IF(Grandview_Inventory[[#This Row],[bldg_style]]="",0,Lookups!$B$2)</f>
        <v>155833.95000000001</v>
      </c>
      <c r="BJ355" s="6">
        <f>_xlfn.IFNA(VLOOKUP(Grandview_Inventory[[#This Row],[quality]],Lookups!$H$2:$J$14,3,FALSE),0)</f>
        <v>-28558</v>
      </c>
      <c r="BK355" s="6">
        <f>_xlfn.IFNA(VLOOKUP(Grandview_Inventory[[#This Row],[condition]],Lookups!$H$17:$J$24,3,FALSE),0)</f>
        <v>-4503</v>
      </c>
      <c r="BL355" s="6">
        <f>Grandview_Inventory[[#This Row],[Eff_Age]]*Lookups!$B$14</f>
        <v>-11958.33</v>
      </c>
      <c r="BM355" s="6">
        <f>Grandview_Inventory[[#This Row],[living_area]]*Lookups!$B$15</f>
        <v>53897.056991999998</v>
      </c>
      <c r="BN355" s="6">
        <f>Grandview_Inventory[[#This Row],[Fin BSMT]]*Lookups!$B$16</f>
        <v>0</v>
      </c>
      <c r="BO355" s="6">
        <f>(Grandview_Inventory[[#This Row],[att_gar]]+Grandview_Inventory[[#This Row],[bltin_gar]])*Lookups!$B$17</f>
        <v>0</v>
      </c>
      <c r="BP355" s="6">
        <f>Grandview_Inventory[[#This Row],[Plumbing Fixtures]]*Lookups!$B$18</f>
        <v>10052.209000000001</v>
      </c>
      <c r="BQ355" s="6">
        <f>Grandview_Inventory[[#This Row],[detatched_value]]*Lookups!$B$19</f>
        <v>0</v>
      </c>
      <c r="BR355" s="6">
        <f>SUM(Grandview_Inventory[[#This Row],[Intercept]:[det_value]])*Grandview_Inventory[[#This Row],[res_pct]]</f>
        <v>174763.88599200002</v>
      </c>
      <c r="BS355" s="6">
        <f>Grandview_Inventory[[#This Row],[land_value]]</f>
        <v>49167.631333630678</v>
      </c>
      <c r="BT355" s="4">
        <f>_xlfn.IFNA(VLOOKUP(Grandview_Inventory[[#This Row],[quality]],Lookups!$A$26:$C$33,3,FALSE),1)</f>
        <v>0.9690360070159818</v>
      </c>
      <c r="BU355" s="4">
        <f>_xlfn.IFNA(VLOOKUP(Grandview_Inventory[[#This Row],[condition]],Lookups!$A$37:$C$44,3,FALSE),1)</f>
        <v>0.96469275950863709</v>
      </c>
      <c r="BV355" s="4">
        <f>IF(Grandview_Inventory[[#This Row],[bldg_style]]="",1,_xlfn.IFNA(VLOOKUP(Grandview_Inventory[[#This Row],[decade]],Lookups!$F$29:$H$43,3,FALSE),1))</f>
        <v>0.98763256963907298</v>
      </c>
      <c r="BW355" s="4">
        <f>_xlfn.IFNA(VLOOKUP(Grandview_Inventory[[#This Row],[living_area_range]],Lookups!$F$47:$H$56,3,FALSE),1)</f>
        <v>0.94306777142782894</v>
      </c>
      <c r="BX355" s="4">
        <f>AVERAGE(Grandview_Inventory[[#This Row],[qual_adj]:[size_adj]])</f>
        <v>0.96610727689788012</v>
      </c>
      <c r="BY355" s="6">
        <f>IF(Grandview_Inventory[[#This Row],[pre_res]]&lt;0,0,Grandview_Inventory[[#This Row],[pre_res]]*Grandview_Inventory[[#This Row],[overall_adj]])</f>
        <v>168840.66199582271</v>
      </c>
      <c r="BZ355" s="6">
        <f>(Grandview_Inventory[[#This Row],[sum_land]]-IF(Grandview_Inventory[[#This Row],[no_utilities]]=1,12000,0))/IF(Grandview_Inventory[[#This Row],[unbuildable]]=1,2,1)</f>
        <v>49167.631333630678</v>
      </c>
      <c r="CA35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55">
        <f>ROUND(Grandview_Inventory[[#This Row],[det_value]]*Lookups!$M$28,-2)</f>
        <v>0</v>
      </c>
      <c r="CC355">
        <f>IF(ROUND(Grandview_Inventory[[#This Row],[adj_res]]*Lookups!$M$28,-2)&lt;Grandview_Inventory[[#This Row],[min_res]],Grandview_Inventory[[#This Row],[min_res]],ROUND(Grandview_Inventory[[#This Row],[adj_res]]*Lookups!$M$28,-2))</f>
        <v>160400</v>
      </c>
      <c r="CD355">
        <f>Grandview_Inventory[[#This Row],[final_det]]+Grandview_Inventory[[#This Row],[final_res]]</f>
        <v>160400</v>
      </c>
      <c r="CE355">
        <f>Grandview_Inventory[[#This Row],[final_land]]+Grandview_Inventory[[#This Row],[final_imp]]+Grandview_Inventory[[#This Row],[crop_value]]</f>
        <v>207100</v>
      </c>
      <c r="CG355" t="str">
        <f t="shared" si="5"/>
        <v>update valuation set market_land =46700, market_bldg=160400, market_total =207100, market_mdno =401, market_date ='9/10/2023' where link_id = (select link_id from parcel where parcel_year = '2024' and parcel_id = '23091541413');</v>
      </c>
    </row>
    <row r="356" spans="1:85" x14ac:dyDescent="0.25">
      <c r="A356">
        <v>23091541414</v>
      </c>
      <c r="B356">
        <v>0.2</v>
      </c>
      <c r="C356">
        <v>8886</v>
      </c>
      <c r="D356" t="s">
        <v>129</v>
      </c>
      <c r="E356" t="s">
        <v>53</v>
      </c>
      <c r="F356" t="s">
        <v>53</v>
      </c>
      <c r="G356">
        <v>4</v>
      </c>
      <c r="H356" t="s">
        <v>54</v>
      </c>
      <c r="I356">
        <v>170300</v>
      </c>
      <c r="J356">
        <v>43700</v>
      </c>
      <c r="K356">
        <v>0.2</v>
      </c>
      <c r="L35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56">
        <v>0</v>
      </c>
      <c r="N356">
        <v>0</v>
      </c>
      <c r="O356">
        <v>0</v>
      </c>
      <c r="P356">
        <v>13398.7528</v>
      </c>
      <c r="Q356">
        <v>63903</v>
      </c>
      <c r="R356">
        <f>(Grandview_Inventory[[#This Row],[ln_acres]]*Grandview_Inventory[[#This Row],[coeff]])+Grandview_Inventory[[#This Row],[const]]</f>
        <v>42338.539264347448</v>
      </c>
      <c r="S356" t="s">
        <v>61</v>
      </c>
      <c r="T356">
        <v>1</v>
      </c>
      <c r="U356" t="s">
        <v>62</v>
      </c>
      <c r="V356" t="s">
        <v>69</v>
      </c>
      <c r="W356">
        <v>0</v>
      </c>
      <c r="X356">
        <v>0</v>
      </c>
      <c r="Y356">
        <v>18</v>
      </c>
      <c r="Z356">
        <v>18</v>
      </c>
      <c r="AA356">
        <v>20</v>
      </c>
      <c r="AB356">
        <v>1500</v>
      </c>
      <c r="AC356">
        <v>1230</v>
      </c>
      <c r="AD356">
        <v>1230</v>
      </c>
      <c r="AE356">
        <v>0</v>
      </c>
      <c r="AF356">
        <v>0</v>
      </c>
      <c r="AG356">
        <v>0</v>
      </c>
      <c r="AH356">
        <v>0</v>
      </c>
      <c r="AI356">
        <v>240</v>
      </c>
      <c r="AJ356">
        <v>0</v>
      </c>
      <c r="AK356">
        <v>0</v>
      </c>
      <c r="AL356">
        <v>0</v>
      </c>
      <c r="AM356">
        <v>100</v>
      </c>
      <c r="AN356">
        <v>0</v>
      </c>
      <c r="AO356">
        <v>0</v>
      </c>
      <c r="AP356">
        <v>8</v>
      </c>
      <c r="AQ356">
        <v>0</v>
      </c>
      <c r="AR356">
        <v>0</v>
      </c>
      <c r="AS356" t="s">
        <v>58</v>
      </c>
      <c r="AT356">
        <v>1</v>
      </c>
      <c r="AU356" t="s">
        <v>63</v>
      </c>
      <c r="AV356" t="s">
        <v>60</v>
      </c>
      <c r="AW356">
        <v>1</v>
      </c>
      <c r="AX356">
        <v>3</v>
      </c>
      <c r="AY356">
        <v>0</v>
      </c>
      <c r="AZ356">
        <v>0</v>
      </c>
      <c r="BA356">
        <v>100</v>
      </c>
      <c r="BB356">
        <v>100</v>
      </c>
      <c r="BC356">
        <v>100</v>
      </c>
      <c r="BD356">
        <v>100</v>
      </c>
      <c r="BE356">
        <v>1</v>
      </c>
      <c r="BF356">
        <v>15000</v>
      </c>
      <c r="BG356">
        <v>1000</v>
      </c>
      <c r="BH356" s="6">
        <f>Grandview_Inventory[[#This Row],[land_extract]]*Lookups!$B$3</f>
        <v>49167.631333630678</v>
      </c>
      <c r="BI356" s="6">
        <f>IF(Grandview_Inventory[[#This Row],[bldg_style]]="",0,Lookups!$B$2)</f>
        <v>155833.95000000001</v>
      </c>
      <c r="BJ356" s="6">
        <f>_xlfn.IFNA(VLOOKUP(Grandview_Inventory[[#This Row],[quality]],Lookups!$H$2:$J$14,3,FALSE),0)</f>
        <v>9808</v>
      </c>
      <c r="BK356" s="6">
        <f>_xlfn.IFNA(VLOOKUP(Grandview_Inventory[[#This Row],[condition]],Lookups!$H$17:$J$24,3,FALSE),0)</f>
        <v>-4503</v>
      </c>
      <c r="BL356" s="6">
        <f>Grandview_Inventory[[#This Row],[Eff_Age]]*Lookups!$B$14</f>
        <v>-4304.9987999999994</v>
      </c>
      <c r="BM356" s="6">
        <f>Grandview_Inventory[[#This Row],[living_area]]*Lookups!$B$15</f>
        <v>76728.449189999999</v>
      </c>
      <c r="BN356" s="6">
        <f>Grandview_Inventory[[#This Row],[Fin BSMT]]*Lookups!$B$16</f>
        <v>0</v>
      </c>
      <c r="BO356" s="6">
        <f>(Grandview_Inventory[[#This Row],[att_gar]]+Grandview_Inventory[[#This Row],[bltin_gar]])*Lookups!$B$17</f>
        <v>21004.904880000002</v>
      </c>
      <c r="BP356" s="6">
        <f>Grandview_Inventory[[#This Row],[Plumbing Fixtures]]*Lookups!$B$18</f>
        <v>16083.5344</v>
      </c>
      <c r="BQ356" s="6">
        <f>Grandview_Inventory[[#This Row],[detatched_value]]*Lookups!$B$19</f>
        <v>0</v>
      </c>
      <c r="BR356" s="6">
        <f>SUM(Grandview_Inventory[[#This Row],[Intercept]:[det_value]])*Grandview_Inventory[[#This Row],[res_pct]]</f>
        <v>270650.83967000002</v>
      </c>
      <c r="BS356" s="6">
        <f>Grandview_Inventory[[#This Row],[land_value]]</f>
        <v>49167.631333630678</v>
      </c>
      <c r="BT356" s="4">
        <f>_xlfn.IFNA(VLOOKUP(Grandview_Inventory[[#This Row],[quality]],Lookups!$A$26:$C$33,3,FALSE),1)</f>
        <v>0.94295468617355149</v>
      </c>
      <c r="BU356" s="4">
        <f>_xlfn.IFNA(VLOOKUP(Grandview_Inventory[[#This Row],[condition]],Lookups!$A$37:$C$44,3,FALSE),1)</f>
        <v>0.96469275950863709</v>
      </c>
      <c r="BV356" s="4">
        <f>IF(Grandview_Inventory[[#This Row],[bldg_style]]="",1,_xlfn.IFNA(VLOOKUP(Grandview_Inventory[[#This Row],[decade]],Lookups!$F$29:$H$43,3,FALSE),1))</f>
        <v>0.96737494181490646</v>
      </c>
      <c r="BW356" s="4">
        <f>_xlfn.IFNA(VLOOKUP(Grandview_Inventory[[#This Row],[living_area_range]],Lookups!$F$47:$H$56,3,FALSE),1)</f>
        <v>0.96135087979789358</v>
      </c>
      <c r="BX356" s="4">
        <f>AVERAGE(Grandview_Inventory[[#This Row],[qual_adj]:[size_adj]])</f>
        <v>0.95909331682374721</v>
      </c>
      <c r="BY356" s="6">
        <f>IF(Grandview_Inventory[[#This Row],[pre_res]]&lt;0,0,Grandview_Inventory[[#This Row],[pre_res]]*Grandview_Inventory[[#This Row],[overall_adj]])</f>
        <v>259579.41152023253</v>
      </c>
      <c r="BZ356" s="6">
        <f>(Grandview_Inventory[[#This Row],[sum_land]]-IF(Grandview_Inventory[[#This Row],[no_utilities]]=1,12000,0))/IF(Grandview_Inventory[[#This Row],[unbuildable]]=1,2,1)</f>
        <v>49167.631333630678</v>
      </c>
      <c r="CA35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56">
        <f>ROUND(Grandview_Inventory[[#This Row],[det_value]]*Lookups!$M$28,-2)</f>
        <v>0</v>
      </c>
      <c r="CC356">
        <f>IF(ROUND(Grandview_Inventory[[#This Row],[adj_res]]*Lookups!$M$28,-2)&lt;Grandview_Inventory[[#This Row],[min_res]],Grandview_Inventory[[#This Row],[min_res]],ROUND(Grandview_Inventory[[#This Row],[adj_res]]*Lookups!$M$28,-2))</f>
        <v>246600</v>
      </c>
      <c r="CD356">
        <f>Grandview_Inventory[[#This Row],[final_det]]+Grandview_Inventory[[#This Row],[final_res]]</f>
        <v>246600</v>
      </c>
      <c r="CE356">
        <f>Grandview_Inventory[[#This Row],[final_land]]+Grandview_Inventory[[#This Row],[final_imp]]+Grandview_Inventory[[#This Row],[crop_value]]</f>
        <v>293300</v>
      </c>
      <c r="CG356" t="str">
        <f t="shared" si="5"/>
        <v>update valuation set market_land =46700, market_bldg=246600, market_total =293300, market_mdno =401, market_date ='9/10/2023' where link_id = (select link_id from parcel where parcel_year = '2024' and parcel_id = '23091541414');</v>
      </c>
    </row>
    <row r="357" spans="1:85" x14ac:dyDescent="0.25">
      <c r="A357">
        <v>23091541416</v>
      </c>
      <c r="B357">
        <v>0.2</v>
      </c>
      <c r="C357">
        <v>8844</v>
      </c>
      <c r="D357" t="s">
        <v>129</v>
      </c>
      <c r="E357" t="s">
        <v>53</v>
      </c>
      <c r="F357" t="s">
        <v>53</v>
      </c>
      <c r="G357">
        <v>4</v>
      </c>
      <c r="H357" t="s">
        <v>54</v>
      </c>
      <c r="I357">
        <v>161700</v>
      </c>
      <c r="J357">
        <v>39300</v>
      </c>
      <c r="K357">
        <v>0.2</v>
      </c>
      <c r="L35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57">
        <v>0</v>
      </c>
      <c r="N357">
        <v>0</v>
      </c>
      <c r="O357">
        <v>0</v>
      </c>
      <c r="P357">
        <v>13398.7528</v>
      </c>
      <c r="Q357">
        <v>63903</v>
      </c>
      <c r="R357">
        <f>(Grandview_Inventory[[#This Row],[ln_acres]]*Grandview_Inventory[[#This Row],[coeff]])+Grandview_Inventory[[#This Row],[const]]</f>
        <v>42338.539264347448</v>
      </c>
      <c r="S357" t="s">
        <v>68</v>
      </c>
      <c r="T357">
        <v>1</v>
      </c>
      <c r="U357" t="s">
        <v>70</v>
      </c>
      <c r="V357" t="s">
        <v>69</v>
      </c>
      <c r="W357">
        <v>0</v>
      </c>
      <c r="X357">
        <v>0</v>
      </c>
      <c r="Y357">
        <v>50</v>
      </c>
      <c r="Z357">
        <v>72</v>
      </c>
      <c r="AA357">
        <v>80</v>
      </c>
      <c r="AB357">
        <v>1500</v>
      </c>
      <c r="AC357">
        <v>1361</v>
      </c>
      <c r="AD357">
        <v>1023</v>
      </c>
      <c r="AE357">
        <v>0</v>
      </c>
      <c r="AF357">
        <v>0</v>
      </c>
      <c r="AG357">
        <v>338</v>
      </c>
      <c r="AH357">
        <v>174</v>
      </c>
      <c r="AI357">
        <v>0</v>
      </c>
      <c r="AJ357">
        <v>0</v>
      </c>
      <c r="AK357">
        <v>594</v>
      </c>
      <c r="AL357">
        <v>0</v>
      </c>
      <c r="AM357">
        <v>0</v>
      </c>
      <c r="AN357">
        <v>48</v>
      </c>
      <c r="AO357">
        <v>0</v>
      </c>
      <c r="AP357">
        <v>5</v>
      </c>
      <c r="AQ357">
        <v>1</v>
      </c>
      <c r="AR357">
        <v>0</v>
      </c>
      <c r="AS357" t="s">
        <v>76</v>
      </c>
      <c r="AT357">
        <v>1</v>
      </c>
      <c r="AU357" t="s">
        <v>63</v>
      </c>
      <c r="AV357" t="s">
        <v>64</v>
      </c>
      <c r="AW357">
        <v>0</v>
      </c>
      <c r="AX357">
        <v>2</v>
      </c>
      <c r="AY357">
        <v>0</v>
      </c>
      <c r="AZ357">
        <v>0</v>
      </c>
      <c r="BA357">
        <v>100</v>
      </c>
      <c r="BB357">
        <v>100</v>
      </c>
      <c r="BC357">
        <v>100</v>
      </c>
      <c r="BD357">
        <v>100</v>
      </c>
      <c r="BE357">
        <v>1</v>
      </c>
      <c r="BF357">
        <v>15000</v>
      </c>
      <c r="BG357">
        <v>1000</v>
      </c>
      <c r="BH357" s="6">
        <f>Grandview_Inventory[[#This Row],[land_extract]]*Lookups!$B$3</f>
        <v>49167.631333630678</v>
      </c>
      <c r="BI357" s="6">
        <f>IF(Grandview_Inventory[[#This Row],[bldg_style]]="",0,Lookups!$B$2)</f>
        <v>155833.95000000001</v>
      </c>
      <c r="BJ357" s="6">
        <f>_xlfn.IFNA(VLOOKUP(Grandview_Inventory[[#This Row],[quality]],Lookups!$H$2:$J$14,3,FALSE),0)</f>
        <v>10733</v>
      </c>
      <c r="BK357" s="6">
        <f>_xlfn.IFNA(VLOOKUP(Grandview_Inventory[[#This Row],[condition]],Lookups!$H$17:$J$24,3,FALSE),0)</f>
        <v>-4503</v>
      </c>
      <c r="BL357" s="6">
        <f>Grandview_Inventory[[#This Row],[Eff_Age]]*Lookups!$B$14</f>
        <v>-11958.33</v>
      </c>
      <c r="BM357" s="6">
        <f>Grandview_Inventory[[#This Row],[living_area]]*Lookups!$B$15</f>
        <v>84900.340932999999</v>
      </c>
      <c r="BN357" s="6">
        <f>Grandview_Inventory[[#This Row],[Fin BSMT]]*Lookups!$B$16</f>
        <v>-9159.5431200000003</v>
      </c>
      <c r="BO357" s="6">
        <f>(Grandview_Inventory[[#This Row],[att_gar]]+Grandview_Inventory[[#This Row],[bltin_gar]])*Lookups!$B$17</f>
        <v>0</v>
      </c>
      <c r="BP357" s="6">
        <f>Grandview_Inventory[[#This Row],[Plumbing Fixtures]]*Lookups!$B$18</f>
        <v>10052.209000000001</v>
      </c>
      <c r="BQ357" s="6">
        <f>Grandview_Inventory[[#This Row],[detatched_value]]*Lookups!$B$19</f>
        <v>0</v>
      </c>
      <c r="BR357" s="6">
        <f>SUM(Grandview_Inventory[[#This Row],[Intercept]:[det_value]])*Grandview_Inventory[[#This Row],[res_pct]]</f>
        <v>235898.62681300004</v>
      </c>
      <c r="BS357" s="6">
        <f>Grandview_Inventory[[#This Row],[land_value]]</f>
        <v>49167.631333630678</v>
      </c>
      <c r="BT357" s="4">
        <f>_xlfn.IFNA(VLOOKUP(Grandview_Inventory[[#This Row],[quality]],Lookups!$A$26:$C$33,3,FALSE),1)</f>
        <v>0.98079741117310582</v>
      </c>
      <c r="BU357" s="4">
        <f>_xlfn.IFNA(VLOOKUP(Grandview_Inventory[[#This Row],[condition]],Lookups!$A$37:$C$44,3,FALSE),1)</f>
        <v>0.96469275950863709</v>
      </c>
      <c r="BV357" s="4">
        <f>IF(Grandview_Inventory[[#This Row],[bldg_style]]="",1,_xlfn.IFNA(VLOOKUP(Grandview_Inventory[[#This Row],[decade]],Lookups!$F$29:$H$43,3,FALSE),1))</f>
        <v>0.98763256963907298</v>
      </c>
      <c r="BW357" s="4">
        <f>_xlfn.IFNA(VLOOKUP(Grandview_Inventory[[#This Row],[living_area_range]],Lookups!$F$47:$H$56,3,FALSE),1)</f>
        <v>0.96135087979789358</v>
      </c>
      <c r="BX357" s="4">
        <f>AVERAGE(Grandview_Inventory[[#This Row],[qual_adj]:[size_adj]])</f>
        <v>0.97361840502967734</v>
      </c>
      <c r="BY357" s="6">
        <f>IF(Grandview_Inventory[[#This Row],[pre_res]]&lt;0,0,Grandview_Inventory[[#This Row],[pre_res]]*Grandview_Inventory[[#This Row],[overall_adj]])</f>
        <v>229675.24478636417</v>
      </c>
      <c r="BZ357" s="6">
        <f>(Grandview_Inventory[[#This Row],[sum_land]]-IF(Grandview_Inventory[[#This Row],[no_utilities]]=1,12000,0))/IF(Grandview_Inventory[[#This Row],[unbuildable]]=1,2,1)</f>
        <v>49167.631333630678</v>
      </c>
      <c r="CA35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57">
        <f>ROUND(Grandview_Inventory[[#This Row],[det_value]]*Lookups!$M$28,-2)</f>
        <v>0</v>
      </c>
      <c r="CC357">
        <f>IF(ROUND(Grandview_Inventory[[#This Row],[adj_res]]*Lookups!$M$28,-2)&lt;Grandview_Inventory[[#This Row],[min_res]],Grandview_Inventory[[#This Row],[min_res]],ROUND(Grandview_Inventory[[#This Row],[adj_res]]*Lookups!$M$28,-2))</f>
        <v>218200</v>
      </c>
      <c r="CD357">
        <f>Grandview_Inventory[[#This Row],[final_det]]+Grandview_Inventory[[#This Row],[final_res]]</f>
        <v>218200</v>
      </c>
      <c r="CE357">
        <f>Grandview_Inventory[[#This Row],[final_land]]+Grandview_Inventory[[#This Row],[final_imp]]+Grandview_Inventory[[#This Row],[crop_value]]</f>
        <v>264900</v>
      </c>
      <c r="CG357" t="str">
        <f t="shared" si="5"/>
        <v>update valuation set market_land =46700, market_bldg=218200, market_total =264900, market_mdno =401, market_date ='9/10/2023' where link_id = (select link_id from parcel where parcel_year = '2024' and parcel_id = '23091541416');</v>
      </c>
    </row>
    <row r="358" spans="1:85" x14ac:dyDescent="0.25">
      <c r="A358">
        <v>23091541417</v>
      </c>
      <c r="B358">
        <v>0.2</v>
      </c>
      <c r="C358">
        <v>8823</v>
      </c>
      <c r="D358" t="s">
        <v>129</v>
      </c>
      <c r="E358" t="s">
        <v>53</v>
      </c>
      <c r="F358" t="s">
        <v>53</v>
      </c>
      <c r="G358">
        <v>4</v>
      </c>
      <c r="H358" t="s">
        <v>54</v>
      </c>
      <c r="I358">
        <v>110300</v>
      </c>
      <c r="J358">
        <v>39300</v>
      </c>
      <c r="K358">
        <v>0.2</v>
      </c>
      <c r="L35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358">
        <v>0</v>
      </c>
      <c r="N358">
        <v>0</v>
      </c>
      <c r="O358">
        <v>0</v>
      </c>
      <c r="P358">
        <v>13398.7528</v>
      </c>
      <c r="Q358">
        <v>63903</v>
      </c>
      <c r="R358">
        <f>(Grandview_Inventory[[#This Row],[ln_acres]]*Grandview_Inventory[[#This Row],[coeff]])+Grandview_Inventory[[#This Row],[const]]</f>
        <v>42338.539264347448</v>
      </c>
      <c r="S358" t="s">
        <v>85</v>
      </c>
      <c r="T358">
        <v>1</v>
      </c>
      <c r="U358" t="s">
        <v>80</v>
      </c>
      <c r="V358" t="s">
        <v>69</v>
      </c>
      <c r="W358">
        <v>0</v>
      </c>
      <c r="X358">
        <v>0</v>
      </c>
      <c r="Y358">
        <v>50</v>
      </c>
      <c r="Z358">
        <v>72</v>
      </c>
      <c r="AA358">
        <v>80</v>
      </c>
      <c r="AB358">
        <v>1000</v>
      </c>
      <c r="AC358">
        <v>888</v>
      </c>
      <c r="AD358">
        <v>888</v>
      </c>
      <c r="AE358">
        <v>0</v>
      </c>
      <c r="AF358">
        <v>0</v>
      </c>
      <c r="AG358">
        <v>0</v>
      </c>
      <c r="AH358">
        <v>400</v>
      </c>
      <c r="AI358">
        <v>0</v>
      </c>
      <c r="AJ358">
        <v>0</v>
      </c>
      <c r="AK358">
        <v>356</v>
      </c>
      <c r="AL358">
        <v>0</v>
      </c>
      <c r="AM358">
        <v>0</v>
      </c>
      <c r="AN358">
        <v>0</v>
      </c>
      <c r="AO358">
        <v>0</v>
      </c>
      <c r="AP358">
        <v>5</v>
      </c>
      <c r="AQ358">
        <v>1</v>
      </c>
      <c r="AR358">
        <v>0</v>
      </c>
      <c r="AS358" t="s">
        <v>58</v>
      </c>
      <c r="AT358">
        <v>0</v>
      </c>
      <c r="AU358" t="s">
        <v>82</v>
      </c>
      <c r="AV358" t="s">
        <v>64</v>
      </c>
      <c r="AW358">
        <v>0</v>
      </c>
      <c r="AX358">
        <v>3</v>
      </c>
      <c r="AY358">
        <v>0</v>
      </c>
      <c r="AZ358">
        <v>0</v>
      </c>
      <c r="BA358">
        <v>100</v>
      </c>
      <c r="BB358">
        <v>100</v>
      </c>
      <c r="BC358">
        <v>100</v>
      </c>
      <c r="BD358">
        <v>100</v>
      </c>
      <c r="BE358">
        <v>1</v>
      </c>
      <c r="BF358">
        <v>15000</v>
      </c>
      <c r="BG358">
        <v>1000</v>
      </c>
      <c r="BH358" s="6">
        <f>Grandview_Inventory[[#This Row],[land_extract]]*Lookups!$B$3</f>
        <v>49167.631333630678</v>
      </c>
      <c r="BI358" s="6">
        <f>IF(Grandview_Inventory[[#This Row],[bldg_style]]="",0,Lookups!$B$2)</f>
        <v>155833.95000000001</v>
      </c>
      <c r="BJ358" s="6">
        <f>_xlfn.IFNA(VLOOKUP(Grandview_Inventory[[#This Row],[quality]],Lookups!$H$2:$J$14,3,FALSE),0)</f>
        <v>-28558</v>
      </c>
      <c r="BK358" s="6">
        <f>_xlfn.IFNA(VLOOKUP(Grandview_Inventory[[#This Row],[condition]],Lookups!$H$17:$J$24,3,FALSE),0)</f>
        <v>-4503</v>
      </c>
      <c r="BL358" s="6">
        <f>Grandview_Inventory[[#This Row],[Eff_Age]]*Lookups!$B$14</f>
        <v>-11958.33</v>
      </c>
      <c r="BM358" s="6">
        <f>Grandview_Inventory[[#This Row],[living_area]]*Lookups!$B$15</f>
        <v>55394.197464000004</v>
      </c>
      <c r="BN358" s="6">
        <f>Grandview_Inventory[[#This Row],[Fin BSMT]]*Lookups!$B$16</f>
        <v>0</v>
      </c>
      <c r="BO358" s="6">
        <f>(Grandview_Inventory[[#This Row],[att_gar]]+Grandview_Inventory[[#This Row],[bltin_gar]])*Lookups!$B$17</f>
        <v>0</v>
      </c>
      <c r="BP358" s="6">
        <f>Grandview_Inventory[[#This Row],[Plumbing Fixtures]]*Lookups!$B$18</f>
        <v>10052.209000000001</v>
      </c>
      <c r="BQ358" s="6">
        <f>Grandview_Inventory[[#This Row],[detatched_value]]*Lookups!$B$19</f>
        <v>0</v>
      </c>
      <c r="BR358" s="6">
        <f>SUM(Grandview_Inventory[[#This Row],[Intercept]:[det_value]])*Grandview_Inventory[[#This Row],[res_pct]]</f>
        <v>176261.02646400002</v>
      </c>
      <c r="BS358" s="6">
        <f>Grandview_Inventory[[#This Row],[land_value]]</f>
        <v>49167.631333630678</v>
      </c>
      <c r="BT358" s="4">
        <f>_xlfn.IFNA(VLOOKUP(Grandview_Inventory[[#This Row],[quality]],Lookups!$A$26:$C$33,3,FALSE),1)</f>
        <v>0.9690360070159818</v>
      </c>
      <c r="BU358" s="4">
        <f>_xlfn.IFNA(VLOOKUP(Grandview_Inventory[[#This Row],[condition]],Lookups!$A$37:$C$44,3,FALSE),1)</f>
        <v>0.96469275950863709</v>
      </c>
      <c r="BV358" s="4">
        <f>IF(Grandview_Inventory[[#This Row],[bldg_style]]="",1,_xlfn.IFNA(VLOOKUP(Grandview_Inventory[[#This Row],[decade]],Lookups!$F$29:$H$43,3,FALSE),1))</f>
        <v>0.98763256963907298</v>
      </c>
      <c r="BW358" s="4">
        <f>_xlfn.IFNA(VLOOKUP(Grandview_Inventory[[#This Row],[living_area_range]],Lookups!$F$47:$H$56,3,FALSE),1)</f>
        <v>0.94306777142782894</v>
      </c>
      <c r="BX358" s="4">
        <f>AVERAGE(Grandview_Inventory[[#This Row],[qual_adj]:[size_adj]])</f>
        <v>0.96610727689788012</v>
      </c>
      <c r="BY358" s="6">
        <f>IF(Grandview_Inventory[[#This Row],[pre_res]]&lt;0,0,Grandview_Inventory[[#This Row],[pre_res]]*Grandview_Inventory[[#This Row],[overall_adj]])</f>
        <v>170287.06030036026</v>
      </c>
      <c r="BZ358" s="6">
        <f>(Grandview_Inventory[[#This Row],[sum_land]]-IF(Grandview_Inventory[[#This Row],[no_utilities]]=1,12000,0))/IF(Grandview_Inventory[[#This Row],[unbuildable]]=1,2,1)</f>
        <v>49167.631333630678</v>
      </c>
      <c r="CA35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358">
        <f>ROUND(Grandview_Inventory[[#This Row],[det_value]]*Lookups!$M$28,-2)</f>
        <v>0</v>
      </c>
      <c r="CC358">
        <f>IF(ROUND(Grandview_Inventory[[#This Row],[adj_res]]*Lookups!$M$28,-2)&lt;Grandview_Inventory[[#This Row],[min_res]],Grandview_Inventory[[#This Row],[min_res]],ROUND(Grandview_Inventory[[#This Row],[adj_res]]*Lookups!$M$28,-2))</f>
        <v>161800</v>
      </c>
      <c r="CD358">
        <f>Grandview_Inventory[[#This Row],[final_det]]+Grandview_Inventory[[#This Row],[final_res]]</f>
        <v>161800</v>
      </c>
      <c r="CE358">
        <f>Grandview_Inventory[[#This Row],[final_land]]+Grandview_Inventory[[#This Row],[final_imp]]+Grandview_Inventory[[#This Row],[crop_value]]</f>
        <v>208500</v>
      </c>
      <c r="CG358" t="str">
        <f t="shared" si="5"/>
        <v>update valuation set market_land =46700, market_bldg=161800, market_total =208500, market_mdno =401, market_date ='9/10/2023' where link_id = (select link_id from parcel where parcel_year = '2024' and parcel_id = '23091541417');</v>
      </c>
    </row>
    <row r="359" spans="1:85" x14ac:dyDescent="0.25">
      <c r="A359">
        <v>23091541418</v>
      </c>
      <c r="B359">
        <v>0.22</v>
      </c>
      <c r="C359">
        <v>9656</v>
      </c>
      <c r="D359" t="s">
        <v>129</v>
      </c>
      <c r="E359" t="s">
        <v>53</v>
      </c>
      <c r="F359" t="s">
        <v>53</v>
      </c>
      <c r="G359">
        <v>4</v>
      </c>
      <c r="H359" t="s">
        <v>54</v>
      </c>
      <c r="I359">
        <v>132900</v>
      </c>
      <c r="J359">
        <v>43800</v>
      </c>
      <c r="K359">
        <v>0.22</v>
      </c>
      <c r="L35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359">
        <v>0</v>
      </c>
      <c r="N359">
        <v>0</v>
      </c>
      <c r="O359">
        <v>0</v>
      </c>
      <c r="P359">
        <v>13398.7528</v>
      </c>
      <c r="Q359">
        <v>63903</v>
      </c>
      <c r="R359">
        <f>(Grandview_Inventory[[#This Row],[ln_acres]]*Grandview_Inventory[[#This Row],[coeff]])+Grandview_Inventory[[#This Row],[const]]</f>
        <v>43615.576802869145</v>
      </c>
      <c r="S359" t="s">
        <v>68</v>
      </c>
      <c r="T359">
        <v>1</v>
      </c>
      <c r="U359" t="s">
        <v>70</v>
      </c>
      <c r="V359" t="s">
        <v>69</v>
      </c>
      <c r="W359">
        <v>0</v>
      </c>
      <c r="X359">
        <v>0</v>
      </c>
      <c r="Y359">
        <v>50</v>
      </c>
      <c r="Z359">
        <v>73</v>
      </c>
      <c r="AA359">
        <v>80</v>
      </c>
      <c r="AB359">
        <v>1000</v>
      </c>
      <c r="AC359">
        <v>891</v>
      </c>
      <c r="AD359">
        <v>891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0</v>
      </c>
      <c r="AP359">
        <v>5</v>
      </c>
      <c r="AQ359">
        <v>0</v>
      </c>
      <c r="AR359">
        <v>0</v>
      </c>
      <c r="AS359" t="s">
        <v>58</v>
      </c>
      <c r="AT359">
        <v>1</v>
      </c>
      <c r="AU359" t="s">
        <v>63</v>
      </c>
      <c r="AV359" t="s">
        <v>60</v>
      </c>
      <c r="AW359">
        <v>0</v>
      </c>
      <c r="AX359">
        <v>2</v>
      </c>
      <c r="AY359">
        <v>0</v>
      </c>
      <c r="AZ359">
        <v>14900</v>
      </c>
      <c r="BA359">
        <v>100</v>
      </c>
      <c r="BB359">
        <v>100</v>
      </c>
      <c r="BC359">
        <v>100</v>
      </c>
      <c r="BD359">
        <v>100</v>
      </c>
      <c r="BE359">
        <v>1</v>
      </c>
      <c r="BF359">
        <v>15000</v>
      </c>
      <c r="BG359">
        <v>1000</v>
      </c>
      <c r="BH359" s="6">
        <f>Grandview_Inventory[[#This Row],[land_extract]]*Lookups!$B$3</f>
        <v>50650.651579114572</v>
      </c>
      <c r="BI359" s="6">
        <f>IF(Grandview_Inventory[[#This Row],[bldg_style]]="",0,Lookups!$B$2)</f>
        <v>155833.95000000001</v>
      </c>
      <c r="BJ359" s="6">
        <f>_xlfn.IFNA(VLOOKUP(Grandview_Inventory[[#This Row],[quality]],Lookups!$H$2:$J$14,3,FALSE),0)</f>
        <v>10733</v>
      </c>
      <c r="BK359" s="6">
        <f>_xlfn.IFNA(VLOOKUP(Grandview_Inventory[[#This Row],[condition]],Lookups!$H$17:$J$24,3,FALSE),0)</f>
        <v>-4503</v>
      </c>
      <c r="BL359" s="6">
        <f>Grandview_Inventory[[#This Row],[Eff_Age]]*Lookups!$B$14</f>
        <v>-11958.33</v>
      </c>
      <c r="BM359" s="6">
        <f>Grandview_Inventory[[#This Row],[living_area]]*Lookups!$B$15</f>
        <v>55581.340023000004</v>
      </c>
      <c r="BN359" s="6">
        <f>Grandview_Inventory[[#This Row],[Fin BSMT]]*Lookups!$B$16</f>
        <v>0</v>
      </c>
      <c r="BO359" s="6">
        <f>(Grandview_Inventory[[#This Row],[att_gar]]+Grandview_Inventory[[#This Row],[bltin_gar]])*Lookups!$B$17</f>
        <v>0</v>
      </c>
      <c r="BP359" s="6">
        <f>Grandview_Inventory[[#This Row],[Plumbing Fixtures]]*Lookups!$B$18</f>
        <v>10052.209000000001</v>
      </c>
      <c r="BQ359" s="6">
        <f>Grandview_Inventory[[#This Row],[detatched_value]]*Lookups!$B$19</f>
        <v>12617.395989999999</v>
      </c>
      <c r="BR359" s="6">
        <f>SUM(Grandview_Inventory[[#This Row],[Intercept]:[det_value]])*Grandview_Inventory[[#This Row],[res_pct]]</f>
        <v>228356.56501300001</v>
      </c>
      <c r="BS359" s="6">
        <f>Grandview_Inventory[[#This Row],[land_value]]</f>
        <v>50650.651579114572</v>
      </c>
      <c r="BT359" s="4">
        <f>_xlfn.IFNA(VLOOKUP(Grandview_Inventory[[#This Row],[quality]],Lookups!$A$26:$C$33,3,FALSE),1)</f>
        <v>0.98079741117310582</v>
      </c>
      <c r="BU359" s="4">
        <f>_xlfn.IFNA(VLOOKUP(Grandview_Inventory[[#This Row],[condition]],Lookups!$A$37:$C$44,3,FALSE),1)</f>
        <v>0.96469275950863709</v>
      </c>
      <c r="BV359" s="4">
        <f>IF(Grandview_Inventory[[#This Row],[bldg_style]]="",1,_xlfn.IFNA(VLOOKUP(Grandview_Inventory[[#This Row],[decade]],Lookups!$F$29:$H$43,3,FALSE),1))</f>
        <v>0.98763256963907298</v>
      </c>
      <c r="BW359" s="4">
        <f>_xlfn.IFNA(VLOOKUP(Grandview_Inventory[[#This Row],[living_area_range]],Lookups!$F$47:$H$56,3,FALSE),1)</f>
        <v>0.94306777142782894</v>
      </c>
      <c r="BX359" s="4">
        <f>AVERAGE(Grandview_Inventory[[#This Row],[qual_adj]:[size_adj]])</f>
        <v>0.96904762793716115</v>
      </c>
      <c r="BY359" s="6">
        <f>IF(Grandview_Inventory[[#This Row],[pre_res]]&lt;0,0,Grandview_Inventory[[#This Row],[pre_res]]*Grandview_Inventory[[#This Row],[overall_adj]])</f>
        <v>221288.3876497258</v>
      </c>
      <c r="BZ359" s="6">
        <f>(Grandview_Inventory[[#This Row],[sum_land]]-IF(Grandview_Inventory[[#This Row],[no_utilities]]=1,12000,0))/IF(Grandview_Inventory[[#This Row],[unbuildable]]=1,2,1)</f>
        <v>50650.651579114572</v>
      </c>
      <c r="CA35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359">
        <f>ROUND(Grandview_Inventory[[#This Row],[det_value]]*Lookups!$M$28,-2)</f>
        <v>12000</v>
      </c>
      <c r="CC359">
        <f>IF(ROUND(Grandview_Inventory[[#This Row],[adj_res]]*Lookups!$M$28,-2)&lt;Grandview_Inventory[[#This Row],[min_res]],Grandview_Inventory[[#This Row],[min_res]],ROUND(Grandview_Inventory[[#This Row],[adj_res]]*Lookups!$M$28,-2))</f>
        <v>210200</v>
      </c>
      <c r="CD359">
        <f>Grandview_Inventory[[#This Row],[final_det]]+Grandview_Inventory[[#This Row],[final_res]]</f>
        <v>222200</v>
      </c>
      <c r="CE359">
        <f>Grandview_Inventory[[#This Row],[final_land]]+Grandview_Inventory[[#This Row],[final_imp]]+Grandview_Inventory[[#This Row],[crop_value]]</f>
        <v>270300</v>
      </c>
      <c r="CG359" t="str">
        <f t="shared" si="5"/>
        <v>update valuation set market_land =48100, market_bldg=222200, market_total =270300, market_mdno =401, market_date ='9/10/2023' where link_id = (select link_id from parcel where parcel_year = '2024' and parcel_id = '23091541418');</v>
      </c>
    </row>
    <row r="360" spans="1:85" x14ac:dyDescent="0.25">
      <c r="A360">
        <v>23091542003</v>
      </c>
      <c r="B360">
        <v>0.51</v>
      </c>
      <c r="C360">
        <v>22041</v>
      </c>
      <c r="D360" t="s">
        <v>129</v>
      </c>
      <c r="E360" t="s">
        <v>53</v>
      </c>
      <c r="F360" t="s">
        <v>53</v>
      </c>
      <c r="G360">
        <v>4</v>
      </c>
      <c r="H360" t="s">
        <v>54</v>
      </c>
      <c r="I360">
        <v>104100</v>
      </c>
      <c r="J360">
        <v>50500</v>
      </c>
      <c r="K360">
        <v>0.51</v>
      </c>
      <c r="L360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360">
        <v>0</v>
      </c>
      <c r="N360">
        <v>0</v>
      </c>
      <c r="O360">
        <v>0</v>
      </c>
      <c r="P360">
        <v>13398.7528</v>
      </c>
      <c r="Q360">
        <v>63903</v>
      </c>
      <c r="R360">
        <f>(Grandview_Inventory[[#This Row],[ln_acres]]*Grandview_Inventory[[#This Row],[coeff]])+Grandview_Inventory[[#This Row],[const]]</f>
        <v>54881.022781592372</v>
      </c>
      <c r="S360" t="s">
        <v>61</v>
      </c>
      <c r="T360">
        <v>1</v>
      </c>
      <c r="U360" t="s">
        <v>65</v>
      </c>
      <c r="V360" t="s">
        <v>78</v>
      </c>
      <c r="W360">
        <v>0</v>
      </c>
      <c r="X360">
        <v>0</v>
      </c>
      <c r="Y360">
        <v>50</v>
      </c>
      <c r="Z360">
        <v>72</v>
      </c>
      <c r="AA360">
        <v>80</v>
      </c>
      <c r="AB360">
        <v>1500</v>
      </c>
      <c r="AC360">
        <v>1088</v>
      </c>
      <c r="AD360">
        <v>1088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552</v>
      </c>
      <c r="AN360">
        <v>0</v>
      </c>
      <c r="AO360">
        <v>360</v>
      </c>
      <c r="AP360">
        <v>5</v>
      </c>
      <c r="AQ360">
        <v>0</v>
      </c>
      <c r="AR360">
        <v>0</v>
      </c>
      <c r="AS360" t="s">
        <v>58</v>
      </c>
      <c r="AT360">
        <v>1</v>
      </c>
      <c r="AU360" t="s">
        <v>63</v>
      </c>
      <c r="AV360" t="s">
        <v>60</v>
      </c>
      <c r="AW360">
        <v>0</v>
      </c>
      <c r="AX360">
        <v>3</v>
      </c>
      <c r="AY360">
        <v>0</v>
      </c>
      <c r="AZ360">
        <v>9900</v>
      </c>
      <c r="BA360">
        <v>100</v>
      </c>
      <c r="BB360">
        <v>100</v>
      </c>
      <c r="BC360">
        <v>100</v>
      </c>
      <c r="BD360">
        <v>100</v>
      </c>
      <c r="BE360">
        <v>1</v>
      </c>
      <c r="BF360">
        <v>15000</v>
      </c>
      <c r="BG360">
        <v>1000</v>
      </c>
      <c r="BH360" s="6">
        <f>Grandview_Inventory[[#This Row],[land_extract]]*Lookups!$B$3</f>
        <v>63733.18357750171</v>
      </c>
      <c r="BI360" s="6">
        <f>IF(Grandview_Inventory[[#This Row],[bldg_style]]="",0,Lookups!$B$2)</f>
        <v>155833.95000000001</v>
      </c>
      <c r="BJ360" s="6">
        <f>_xlfn.IFNA(VLOOKUP(Grandview_Inventory[[#This Row],[quality]],Lookups!$H$2:$J$14,3,FALSE),0)</f>
        <v>2251</v>
      </c>
      <c r="BK360" s="6">
        <f>_xlfn.IFNA(VLOOKUP(Grandview_Inventory[[#This Row],[condition]],Lookups!$H$17:$J$24,3,FALSE),0)</f>
        <v>-45357</v>
      </c>
      <c r="BL360" s="6">
        <f>Grandview_Inventory[[#This Row],[Eff_Age]]*Lookups!$B$14</f>
        <v>-11958.33</v>
      </c>
      <c r="BM360" s="6">
        <f>Grandview_Inventory[[#This Row],[living_area]]*Lookups!$B$15</f>
        <v>67870.368064000009</v>
      </c>
      <c r="BN360" s="6">
        <f>Grandview_Inventory[[#This Row],[Fin BSMT]]*Lookups!$B$16</f>
        <v>0</v>
      </c>
      <c r="BO360" s="6">
        <f>(Grandview_Inventory[[#This Row],[att_gar]]+Grandview_Inventory[[#This Row],[bltin_gar]])*Lookups!$B$17</f>
        <v>0</v>
      </c>
      <c r="BP360" s="6">
        <f>Grandview_Inventory[[#This Row],[Plumbing Fixtures]]*Lookups!$B$18</f>
        <v>10052.209000000001</v>
      </c>
      <c r="BQ360" s="6">
        <f>Grandview_Inventory[[#This Row],[detatched_value]]*Lookups!$B$19</f>
        <v>8383.3704899999993</v>
      </c>
      <c r="BR360" s="6">
        <f>SUM(Grandview_Inventory[[#This Row],[Intercept]:[det_value]])*Grandview_Inventory[[#This Row],[res_pct]]</f>
        <v>187075.56755400004</v>
      </c>
      <c r="BS360" s="6">
        <f>Grandview_Inventory[[#This Row],[land_value]]</f>
        <v>63733.18357750171</v>
      </c>
      <c r="BT360" s="4">
        <f>_xlfn.IFNA(VLOOKUP(Grandview_Inventory[[#This Row],[quality]],Lookups!$A$26:$C$33,3,FALSE),1)</f>
        <v>0.98763855981004833</v>
      </c>
      <c r="BU360" s="4">
        <f>_xlfn.IFNA(VLOOKUP(Grandview_Inventory[[#This Row],[condition]],Lookups!$A$37:$C$44,3,FALSE),1)</f>
        <v>0.97161819570155394</v>
      </c>
      <c r="BV360" s="4">
        <f>IF(Grandview_Inventory[[#This Row],[bldg_style]]="",1,_xlfn.IFNA(VLOOKUP(Grandview_Inventory[[#This Row],[decade]],Lookups!$F$29:$H$43,3,FALSE),1))</f>
        <v>0.98763256963907298</v>
      </c>
      <c r="BW360" s="4">
        <f>_xlfn.IFNA(VLOOKUP(Grandview_Inventory[[#This Row],[living_area_range]],Lookups!$F$47:$H$56,3,FALSE),1)</f>
        <v>0.96135087979789358</v>
      </c>
      <c r="BX360" s="4">
        <f>AVERAGE(Grandview_Inventory[[#This Row],[qual_adj]:[size_adj]])</f>
        <v>0.97706005123714224</v>
      </c>
      <c r="BY360" s="6">
        <f>IF(Grandview_Inventory[[#This Row],[pre_res]]&lt;0,0,Grandview_Inventory[[#This Row],[pre_res]]*Grandview_Inventory[[#This Row],[overall_adj]])</f>
        <v>182784.06361952875</v>
      </c>
      <c r="BZ360" s="6">
        <f>(Grandview_Inventory[[#This Row],[sum_land]]-IF(Grandview_Inventory[[#This Row],[no_utilities]]=1,12000,0))/IF(Grandview_Inventory[[#This Row],[unbuildable]]=1,2,1)</f>
        <v>63733.18357750171</v>
      </c>
      <c r="CA360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360">
        <f>ROUND(Grandview_Inventory[[#This Row],[det_value]]*Lookups!$M$28,-2)</f>
        <v>8000</v>
      </c>
      <c r="CC360">
        <f>IF(ROUND(Grandview_Inventory[[#This Row],[adj_res]]*Lookups!$M$28,-2)&lt;Grandview_Inventory[[#This Row],[min_res]],Grandview_Inventory[[#This Row],[min_res]],ROUND(Grandview_Inventory[[#This Row],[adj_res]]*Lookups!$M$28,-2))</f>
        <v>173600</v>
      </c>
      <c r="CD360">
        <f>Grandview_Inventory[[#This Row],[final_det]]+Grandview_Inventory[[#This Row],[final_res]]</f>
        <v>181600</v>
      </c>
      <c r="CE360">
        <f>Grandview_Inventory[[#This Row],[final_land]]+Grandview_Inventory[[#This Row],[final_imp]]+Grandview_Inventory[[#This Row],[crop_value]]</f>
        <v>242100</v>
      </c>
      <c r="CG360" t="str">
        <f t="shared" si="5"/>
        <v>update valuation set market_land =60500, market_bldg=181600, market_total =242100, market_mdno =401, market_date ='9/10/2023' where link_id = (select link_id from parcel where parcel_year = '2024' and parcel_id = '23091542003');</v>
      </c>
    </row>
    <row r="361" spans="1:85" x14ac:dyDescent="0.25">
      <c r="A361">
        <v>23091542401</v>
      </c>
      <c r="B361">
        <v>1.99</v>
      </c>
      <c r="C361">
        <v>86524</v>
      </c>
      <c r="D361" t="s">
        <v>129</v>
      </c>
      <c r="E361" t="s">
        <v>53</v>
      </c>
      <c r="F361" t="s">
        <v>53</v>
      </c>
      <c r="G361">
        <v>4</v>
      </c>
      <c r="H361" t="s">
        <v>54</v>
      </c>
      <c r="I361">
        <v>212300</v>
      </c>
      <c r="J361">
        <v>67800</v>
      </c>
      <c r="K361">
        <v>1.99</v>
      </c>
      <c r="L361">
        <f>IF(Grandview_Inventory[[#This Row],[parcel_acres]]-Grandview_Inventory[[#This Row],[non_valued_acres]] =0,0,LN(Grandview_Inventory[[#This Row],[parcel_acres]]-Grandview_Inventory[[#This Row],[non_valued_acres]]))</f>
        <v>0.68813463873640102</v>
      </c>
      <c r="M361">
        <v>0</v>
      </c>
      <c r="N361">
        <v>0</v>
      </c>
      <c r="O361">
        <v>0</v>
      </c>
      <c r="P361">
        <v>13398.7528</v>
      </c>
      <c r="Q361">
        <v>63903</v>
      </c>
      <c r="R361">
        <f>(Grandview_Inventory[[#This Row],[ln_acres]]*Grandview_Inventory[[#This Row],[coeff]])+Grandview_Inventory[[#This Row],[const]]</f>
        <v>73123.145917546339</v>
      </c>
      <c r="S361" t="s">
        <v>55</v>
      </c>
      <c r="T361">
        <v>2</v>
      </c>
      <c r="U361" t="s">
        <v>65</v>
      </c>
      <c r="V361" t="s">
        <v>69</v>
      </c>
      <c r="W361">
        <v>0</v>
      </c>
      <c r="X361">
        <v>0</v>
      </c>
      <c r="Y361">
        <v>28</v>
      </c>
      <c r="Z361">
        <v>116</v>
      </c>
      <c r="AA361">
        <v>120</v>
      </c>
      <c r="AB361">
        <v>1500</v>
      </c>
      <c r="AC361">
        <v>1342</v>
      </c>
      <c r="AD361">
        <v>862</v>
      </c>
      <c r="AE361">
        <v>480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550</v>
      </c>
      <c r="AM361">
        <v>0</v>
      </c>
      <c r="AN361">
        <v>0</v>
      </c>
      <c r="AO361">
        <v>409</v>
      </c>
      <c r="AP361">
        <v>8</v>
      </c>
      <c r="AQ361">
        <v>0</v>
      </c>
      <c r="AR361">
        <v>0</v>
      </c>
      <c r="AS361" t="s">
        <v>58</v>
      </c>
      <c r="AT361">
        <v>1</v>
      </c>
      <c r="AU361" t="s">
        <v>59</v>
      </c>
      <c r="AV361" t="s">
        <v>60</v>
      </c>
      <c r="AW361">
        <v>1</v>
      </c>
      <c r="AX361">
        <v>3</v>
      </c>
      <c r="AY361">
        <v>0</v>
      </c>
      <c r="AZ361">
        <v>42700</v>
      </c>
      <c r="BA361">
        <v>100</v>
      </c>
      <c r="BB361">
        <v>100</v>
      </c>
      <c r="BC361">
        <v>100</v>
      </c>
      <c r="BD361">
        <v>100</v>
      </c>
      <c r="BE361">
        <v>1</v>
      </c>
      <c r="BF361">
        <v>15000</v>
      </c>
      <c r="BG361">
        <v>1000</v>
      </c>
      <c r="BH361" s="6">
        <f>Grandview_Inventory[[#This Row],[land_extract]]*Lookups!$B$3</f>
        <v>84917.711921552589</v>
      </c>
      <c r="BI361" s="6">
        <f>IF(Grandview_Inventory[[#This Row],[bldg_style]]="",0,Lookups!$B$2)</f>
        <v>155833.95000000001</v>
      </c>
      <c r="BJ361" s="6">
        <f>_xlfn.IFNA(VLOOKUP(Grandview_Inventory[[#This Row],[quality]],Lookups!$H$2:$J$14,3,FALSE),0)</f>
        <v>2251</v>
      </c>
      <c r="BK361" s="6">
        <f>_xlfn.IFNA(VLOOKUP(Grandview_Inventory[[#This Row],[condition]],Lookups!$H$17:$J$24,3,FALSE),0)</f>
        <v>-4503</v>
      </c>
      <c r="BL361" s="6">
        <f>Grandview_Inventory[[#This Row],[Eff_Age]]*Lookups!$B$14</f>
        <v>-6696.6647999999996</v>
      </c>
      <c r="BM361" s="6">
        <f>Grandview_Inventory[[#This Row],[living_area]]*Lookups!$B$15</f>
        <v>83715.104726000005</v>
      </c>
      <c r="BN361" s="6">
        <f>Grandview_Inventory[[#This Row],[Fin BSMT]]*Lookups!$B$16</f>
        <v>0</v>
      </c>
      <c r="BO361" s="6">
        <f>(Grandview_Inventory[[#This Row],[att_gar]]+Grandview_Inventory[[#This Row],[bltin_gar]])*Lookups!$B$17</f>
        <v>0</v>
      </c>
      <c r="BP361" s="6">
        <f>Grandview_Inventory[[#This Row],[Plumbing Fixtures]]*Lookups!$B$18</f>
        <v>16083.5344</v>
      </c>
      <c r="BQ361" s="6">
        <f>Grandview_Inventory[[#This Row],[detatched_value]]*Lookups!$B$19</f>
        <v>36158.577769999996</v>
      </c>
      <c r="BR361" s="6">
        <f>SUM(Grandview_Inventory[[#This Row],[Intercept]:[det_value]])*Grandview_Inventory[[#This Row],[res_pct]]</f>
        <v>282842.50209600001</v>
      </c>
      <c r="BS361" s="6">
        <f>Grandview_Inventory[[#This Row],[land_value]]</f>
        <v>84917.711921552589</v>
      </c>
      <c r="BT361" s="4">
        <f>_xlfn.IFNA(VLOOKUP(Grandview_Inventory[[#This Row],[quality]],Lookups!$A$26:$C$33,3,FALSE),1)</f>
        <v>0.98763855981004833</v>
      </c>
      <c r="BU361" s="4">
        <f>_xlfn.IFNA(VLOOKUP(Grandview_Inventory[[#This Row],[condition]],Lookups!$A$37:$C$44,3,FALSE),1)</f>
        <v>0.96469275950863709</v>
      </c>
      <c r="BV361" s="4">
        <f>IF(Grandview_Inventory[[#This Row],[bldg_style]]="",1,_xlfn.IFNA(VLOOKUP(Grandview_Inventory[[#This Row],[decade]],Lookups!$F$29:$H$43,3,FALSE),1))</f>
        <v>0.9251738460551937</v>
      </c>
      <c r="BW361" s="4">
        <f>_xlfn.IFNA(VLOOKUP(Grandview_Inventory[[#This Row],[living_area_range]],Lookups!$F$47:$H$56,3,FALSE),1)</f>
        <v>0.96135087979789358</v>
      </c>
      <c r="BX361" s="4">
        <f>AVERAGE(Grandview_Inventory[[#This Row],[qual_adj]:[size_adj]])</f>
        <v>0.9597140112929432</v>
      </c>
      <c r="BY361" s="6">
        <f>IF(Grandview_Inventory[[#This Row],[pre_res]]&lt;0,0,Grandview_Inventory[[#This Row],[pre_res]]*Grandview_Inventory[[#This Row],[overall_adj]])</f>
        <v>271447.91225068487</v>
      </c>
      <c r="BZ361" s="6">
        <f>(Grandview_Inventory[[#This Row],[sum_land]]-IF(Grandview_Inventory[[#This Row],[no_utilities]]=1,12000,0))/IF(Grandview_Inventory[[#This Row],[unbuildable]]=1,2,1)</f>
        <v>84917.711921552589</v>
      </c>
      <c r="CA361">
        <f>IF(ROUND(Grandview_Inventory[[#This Row],[adj_land]]*Lookups!$M$28,-2)&lt;Grandview_Inventory[[#This Row],[min_land]],Grandview_Inventory[[#This Row],[min_land]],ROUND(Grandview_Inventory[[#This Row],[adj_land]]*Lookups!$M$28,-2))</f>
        <v>80700</v>
      </c>
      <c r="CB361">
        <f>ROUND(Grandview_Inventory[[#This Row],[det_value]]*Lookups!$M$28,-2)</f>
        <v>34400</v>
      </c>
      <c r="CC361">
        <f>IF(ROUND(Grandview_Inventory[[#This Row],[adj_res]]*Lookups!$M$28,-2)&lt;Grandview_Inventory[[#This Row],[min_res]],Grandview_Inventory[[#This Row],[min_res]],ROUND(Grandview_Inventory[[#This Row],[adj_res]]*Lookups!$M$28,-2))</f>
        <v>257900</v>
      </c>
      <c r="CD361">
        <f>Grandview_Inventory[[#This Row],[final_det]]+Grandview_Inventory[[#This Row],[final_res]]</f>
        <v>292300</v>
      </c>
      <c r="CE361">
        <f>Grandview_Inventory[[#This Row],[final_land]]+Grandview_Inventory[[#This Row],[final_imp]]+Grandview_Inventory[[#This Row],[crop_value]]</f>
        <v>373000</v>
      </c>
      <c r="CG361" t="str">
        <f t="shared" si="5"/>
        <v>update valuation set market_land =80700, market_bldg=292300, market_total =373000, market_mdno =401, market_date ='9/10/2023' where link_id = (select link_id from parcel where parcel_year = '2024' and parcel_id = '23091542401');</v>
      </c>
    </row>
    <row r="362" spans="1:85" x14ac:dyDescent="0.25">
      <c r="A362">
        <v>23091544001</v>
      </c>
      <c r="B362">
        <v>0.17</v>
      </c>
      <c r="C362">
        <v>7409</v>
      </c>
      <c r="D362" t="s">
        <v>129</v>
      </c>
      <c r="E362" t="s">
        <v>53</v>
      </c>
      <c r="F362" t="s">
        <v>53</v>
      </c>
      <c r="G362">
        <v>4</v>
      </c>
      <c r="H362" t="s">
        <v>54</v>
      </c>
      <c r="I362">
        <v>97800</v>
      </c>
      <c r="J362">
        <v>39500</v>
      </c>
      <c r="K362">
        <v>0.17</v>
      </c>
      <c r="L36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362">
        <v>0</v>
      </c>
      <c r="N362">
        <v>0</v>
      </c>
      <c r="O362">
        <v>0</v>
      </c>
      <c r="P362">
        <v>13398.7528</v>
      </c>
      <c r="Q362">
        <v>63903</v>
      </c>
      <c r="R362">
        <f>(Grandview_Inventory[[#This Row],[ln_acres]]*Grandview_Inventory[[#This Row],[coeff]])+Grandview_Inventory[[#This Row],[const]]</f>
        <v>40160.988302686128</v>
      </c>
      <c r="S362" t="s">
        <v>68</v>
      </c>
      <c r="T362">
        <v>1</v>
      </c>
      <c r="U362" t="s">
        <v>80</v>
      </c>
      <c r="V362" t="s">
        <v>69</v>
      </c>
      <c r="W362">
        <v>0</v>
      </c>
      <c r="X362">
        <v>0</v>
      </c>
      <c r="Y362">
        <v>50</v>
      </c>
      <c r="Z362">
        <v>72</v>
      </c>
      <c r="AA362">
        <v>80</v>
      </c>
      <c r="AB362">
        <v>1000</v>
      </c>
      <c r="AC362">
        <v>906</v>
      </c>
      <c r="AD362">
        <v>906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16</v>
      </c>
      <c r="AO362">
        <v>0</v>
      </c>
      <c r="AP362">
        <v>5</v>
      </c>
      <c r="AQ362">
        <v>0</v>
      </c>
      <c r="AR362">
        <v>0</v>
      </c>
      <c r="AS362" t="s">
        <v>58</v>
      </c>
      <c r="AT362">
        <v>0</v>
      </c>
      <c r="AU362" t="s">
        <v>82</v>
      </c>
      <c r="AV362" t="s">
        <v>60</v>
      </c>
      <c r="AW362">
        <v>0</v>
      </c>
      <c r="AX362">
        <v>2</v>
      </c>
      <c r="AY362">
        <v>0</v>
      </c>
      <c r="AZ362">
        <v>1300</v>
      </c>
      <c r="BA362">
        <v>100</v>
      </c>
      <c r="BB362">
        <v>100</v>
      </c>
      <c r="BC362">
        <v>100</v>
      </c>
      <c r="BD362">
        <v>100</v>
      </c>
      <c r="BE362">
        <v>1</v>
      </c>
      <c r="BF362">
        <v>15000</v>
      </c>
      <c r="BG362">
        <v>1000</v>
      </c>
      <c r="BH362" s="6">
        <f>Grandview_Inventory[[#This Row],[land_extract]]*Lookups!$B$3</f>
        <v>46638.847281240982</v>
      </c>
      <c r="BI362" s="6">
        <f>IF(Grandview_Inventory[[#This Row],[bldg_style]]="",0,Lookups!$B$2)</f>
        <v>155833.95000000001</v>
      </c>
      <c r="BJ362" s="6">
        <f>_xlfn.IFNA(VLOOKUP(Grandview_Inventory[[#This Row],[quality]],Lookups!$H$2:$J$14,3,FALSE),0)</f>
        <v>-28558</v>
      </c>
      <c r="BK362" s="6">
        <f>_xlfn.IFNA(VLOOKUP(Grandview_Inventory[[#This Row],[condition]],Lookups!$H$17:$J$24,3,FALSE),0)</f>
        <v>-4503</v>
      </c>
      <c r="BL362" s="6">
        <f>Grandview_Inventory[[#This Row],[Eff_Age]]*Lookups!$B$14</f>
        <v>-11958.33</v>
      </c>
      <c r="BM362" s="6">
        <f>Grandview_Inventory[[#This Row],[living_area]]*Lookups!$B$15</f>
        <v>56517.052818000004</v>
      </c>
      <c r="BN362" s="6">
        <f>Grandview_Inventory[[#This Row],[Fin BSMT]]*Lookups!$B$16</f>
        <v>0</v>
      </c>
      <c r="BO362" s="6">
        <f>(Grandview_Inventory[[#This Row],[att_gar]]+Grandview_Inventory[[#This Row],[bltin_gar]])*Lookups!$B$17</f>
        <v>0</v>
      </c>
      <c r="BP362" s="6">
        <f>Grandview_Inventory[[#This Row],[Plumbing Fixtures]]*Lookups!$B$18</f>
        <v>10052.209000000001</v>
      </c>
      <c r="BQ362" s="6">
        <f>Grandview_Inventory[[#This Row],[detatched_value]]*Lookups!$B$19</f>
        <v>1100.84663</v>
      </c>
      <c r="BR362" s="6">
        <f>SUM(Grandview_Inventory[[#This Row],[Intercept]:[det_value]])*Grandview_Inventory[[#This Row],[res_pct]]</f>
        <v>178484.72844800004</v>
      </c>
      <c r="BS362" s="6">
        <f>Grandview_Inventory[[#This Row],[land_value]]</f>
        <v>46638.847281240982</v>
      </c>
      <c r="BT362" s="4">
        <f>_xlfn.IFNA(VLOOKUP(Grandview_Inventory[[#This Row],[quality]],Lookups!$A$26:$C$33,3,FALSE),1)</f>
        <v>0.9690360070159818</v>
      </c>
      <c r="BU362" s="4">
        <f>_xlfn.IFNA(VLOOKUP(Grandview_Inventory[[#This Row],[condition]],Lookups!$A$37:$C$44,3,FALSE),1)</f>
        <v>0.96469275950863709</v>
      </c>
      <c r="BV362" s="4">
        <f>IF(Grandview_Inventory[[#This Row],[bldg_style]]="",1,_xlfn.IFNA(VLOOKUP(Grandview_Inventory[[#This Row],[decade]],Lookups!$F$29:$H$43,3,FALSE),1))</f>
        <v>0.98763256963907298</v>
      </c>
      <c r="BW362" s="4">
        <f>_xlfn.IFNA(VLOOKUP(Grandview_Inventory[[#This Row],[living_area_range]],Lookups!$F$47:$H$56,3,FALSE),1)</f>
        <v>0.94306777142782894</v>
      </c>
      <c r="BX362" s="4">
        <f>AVERAGE(Grandview_Inventory[[#This Row],[qual_adj]:[size_adj]])</f>
        <v>0.96610727689788012</v>
      </c>
      <c r="BY362" s="6">
        <f>IF(Grandview_Inventory[[#This Row],[pre_res]]&lt;0,0,Grandview_Inventory[[#This Row],[pre_res]]*Grandview_Inventory[[#This Row],[overall_adj]])</f>
        <v>172435.3949687549</v>
      </c>
      <c r="BZ362" s="6">
        <f>(Grandview_Inventory[[#This Row],[sum_land]]-IF(Grandview_Inventory[[#This Row],[no_utilities]]=1,12000,0))/IF(Grandview_Inventory[[#This Row],[unbuildable]]=1,2,1)</f>
        <v>46638.847281240982</v>
      </c>
      <c r="CA36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362">
        <f>ROUND(Grandview_Inventory[[#This Row],[det_value]]*Lookups!$M$28,-2)</f>
        <v>1000</v>
      </c>
      <c r="CC362">
        <f>IF(ROUND(Grandview_Inventory[[#This Row],[adj_res]]*Lookups!$M$28,-2)&lt;Grandview_Inventory[[#This Row],[min_res]],Grandview_Inventory[[#This Row],[min_res]],ROUND(Grandview_Inventory[[#This Row],[adj_res]]*Lookups!$M$28,-2))</f>
        <v>163800</v>
      </c>
      <c r="CD362">
        <f>Grandview_Inventory[[#This Row],[final_det]]+Grandview_Inventory[[#This Row],[final_res]]</f>
        <v>164800</v>
      </c>
      <c r="CE362">
        <f>Grandview_Inventory[[#This Row],[final_land]]+Grandview_Inventory[[#This Row],[final_imp]]+Grandview_Inventory[[#This Row],[crop_value]]</f>
        <v>209100</v>
      </c>
      <c r="CG362" t="str">
        <f t="shared" si="5"/>
        <v>update valuation set market_land =44300, market_bldg=164800, market_total =209100, market_mdno =401, market_date ='9/10/2023' where link_id = (select link_id from parcel where parcel_year = '2024' and parcel_id = '23091544001');</v>
      </c>
    </row>
    <row r="363" spans="1:85" x14ac:dyDescent="0.25">
      <c r="A363">
        <v>23091544002</v>
      </c>
      <c r="B363">
        <v>0.14000000000000001</v>
      </c>
      <c r="C363">
        <v>6098</v>
      </c>
      <c r="D363" t="s">
        <v>129</v>
      </c>
      <c r="E363" t="s">
        <v>53</v>
      </c>
      <c r="F363" t="s">
        <v>53</v>
      </c>
      <c r="G363">
        <v>4</v>
      </c>
      <c r="H363" t="s">
        <v>54</v>
      </c>
      <c r="I363">
        <v>117300</v>
      </c>
      <c r="J363">
        <v>37700</v>
      </c>
      <c r="K363">
        <v>0.14000000000000001</v>
      </c>
      <c r="L363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363">
        <v>0</v>
      </c>
      <c r="N363">
        <v>0</v>
      </c>
      <c r="O363">
        <v>0</v>
      </c>
      <c r="P363">
        <v>13398.7528</v>
      </c>
      <c r="Q363">
        <v>63903</v>
      </c>
      <c r="R363">
        <f>(Grandview_Inventory[[#This Row],[ln_acres]]*Grandview_Inventory[[#This Row],[coeff]])+Grandview_Inventory[[#This Row],[const]]</f>
        <v>37559.539860558507</v>
      </c>
      <c r="S363" t="s">
        <v>68</v>
      </c>
      <c r="T363">
        <v>1</v>
      </c>
      <c r="U363" t="s">
        <v>70</v>
      </c>
      <c r="V363" t="s">
        <v>69</v>
      </c>
      <c r="W363">
        <v>0</v>
      </c>
      <c r="X363">
        <v>0</v>
      </c>
      <c r="Y363">
        <v>50</v>
      </c>
      <c r="Z363">
        <v>75</v>
      </c>
      <c r="AA363">
        <v>80</v>
      </c>
      <c r="AB363">
        <v>1000</v>
      </c>
      <c r="AC363">
        <v>736</v>
      </c>
      <c r="AD363">
        <v>736</v>
      </c>
      <c r="AE363">
        <v>0</v>
      </c>
      <c r="AF363">
        <v>0</v>
      </c>
      <c r="AG363">
        <v>0</v>
      </c>
      <c r="AH363">
        <v>0</v>
      </c>
      <c r="AI363">
        <v>266</v>
      </c>
      <c r="AJ363">
        <v>0</v>
      </c>
      <c r="AK363">
        <v>0</v>
      </c>
      <c r="AL363">
        <v>0</v>
      </c>
      <c r="AM363">
        <v>0</v>
      </c>
      <c r="AN363">
        <v>25</v>
      </c>
      <c r="AO363">
        <v>0</v>
      </c>
      <c r="AP363">
        <v>5</v>
      </c>
      <c r="AQ363">
        <v>0</v>
      </c>
      <c r="AR363">
        <v>0</v>
      </c>
      <c r="AS363" t="s">
        <v>58</v>
      </c>
      <c r="AT363">
        <v>1</v>
      </c>
      <c r="AU363" t="s">
        <v>63</v>
      </c>
      <c r="AV363" t="s">
        <v>64</v>
      </c>
      <c r="AW363">
        <v>0</v>
      </c>
      <c r="AX363">
        <v>2</v>
      </c>
      <c r="AY363">
        <v>0</v>
      </c>
      <c r="AZ363">
        <v>0</v>
      </c>
      <c r="BA363">
        <v>100</v>
      </c>
      <c r="BB363">
        <v>100</v>
      </c>
      <c r="BC363">
        <v>100</v>
      </c>
      <c r="BD363">
        <v>100</v>
      </c>
      <c r="BE363">
        <v>1</v>
      </c>
      <c r="BF363">
        <v>15000</v>
      </c>
      <c r="BG363">
        <v>1000</v>
      </c>
      <c r="BH363" s="6">
        <f>Grandview_Inventory[[#This Row],[land_extract]]*Lookups!$B$3</f>
        <v>43617.792229308972</v>
      </c>
      <c r="BI363" s="6">
        <f>IF(Grandview_Inventory[[#This Row],[bldg_style]]="",0,Lookups!$B$2)</f>
        <v>155833.95000000001</v>
      </c>
      <c r="BJ363" s="6">
        <f>_xlfn.IFNA(VLOOKUP(Grandview_Inventory[[#This Row],[quality]],Lookups!$H$2:$J$14,3,FALSE),0)</f>
        <v>10733</v>
      </c>
      <c r="BK363" s="6">
        <f>_xlfn.IFNA(VLOOKUP(Grandview_Inventory[[#This Row],[condition]],Lookups!$H$17:$J$24,3,FALSE),0)</f>
        <v>-4503</v>
      </c>
      <c r="BL363" s="6">
        <f>Grandview_Inventory[[#This Row],[Eff_Age]]*Lookups!$B$14</f>
        <v>-11958.33</v>
      </c>
      <c r="BM363" s="6">
        <f>Grandview_Inventory[[#This Row],[living_area]]*Lookups!$B$15</f>
        <v>45912.307807999998</v>
      </c>
      <c r="BN363" s="6">
        <f>Grandview_Inventory[[#This Row],[Fin BSMT]]*Lookups!$B$16</f>
        <v>0</v>
      </c>
      <c r="BO363" s="6">
        <f>(Grandview_Inventory[[#This Row],[att_gar]]+Grandview_Inventory[[#This Row],[bltin_gar]])*Lookups!$B$17</f>
        <v>23280.436242</v>
      </c>
      <c r="BP363" s="6">
        <f>Grandview_Inventory[[#This Row],[Plumbing Fixtures]]*Lookups!$B$18</f>
        <v>10052.209000000001</v>
      </c>
      <c r="BQ363" s="6">
        <f>Grandview_Inventory[[#This Row],[detatched_value]]*Lookups!$B$19</f>
        <v>0</v>
      </c>
      <c r="BR363" s="6">
        <f>SUM(Grandview_Inventory[[#This Row],[Intercept]:[det_value]])*Grandview_Inventory[[#This Row],[res_pct]]</f>
        <v>229350.57305000001</v>
      </c>
      <c r="BS363" s="6">
        <f>Grandview_Inventory[[#This Row],[land_value]]</f>
        <v>43617.792229308972</v>
      </c>
      <c r="BT363" s="4">
        <f>_xlfn.IFNA(VLOOKUP(Grandview_Inventory[[#This Row],[quality]],Lookups!$A$26:$C$33,3,FALSE),1)</f>
        <v>0.98079741117310582</v>
      </c>
      <c r="BU363" s="4">
        <f>_xlfn.IFNA(VLOOKUP(Grandview_Inventory[[#This Row],[condition]],Lookups!$A$37:$C$44,3,FALSE),1)</f>
        <v>0.96469275950863709</v>
      </c>
      <c r="BV363" s="4">
        <f>IF(Grandview_Inventory[[#This Row],[bldg_style]]="",1,_xlfn.IFNA(VLOOKUP(Grandview_Inventory[[#This Row],[decade]],Lookups!$F$29:$H$43,3,FALSE),1))</f>
        <v>0.98763256963907298</v>
      </c>
      <c r="BW363" s="4">
        <f>_xlfn.IFNA(VLOOKUP(Grandview_Inventory[[#This Row],[living_area_range]],Lookups!$F$47:$H$56,3,FALSE),1)</f>
        <v>0.94306777142782894</v>
      </c>
      <c r="BX363" s="4">
        <f>AVERAGE(Grandview_Inventory[[#This Row],[qual_adj]:[size_adj]])</f>
        <v>0.96904762793716115</v>
      </c>
      <c r="BY363" s="6">
        <f>IF(Grandview_Inventory[[#This Row],[pre_res]]&lt;0,0,Grandview_Inventory[[#This Row],[pre_res]]*Grandview_Inventory[[#This Row],[overall_adj]])</f>
        <v>222251.62878013111</v>
      </c>
      <c r="BZ363" s="6">
        <f>(Grandview_Inventory[[#This Row],[sum_land]]-IF(Grandview_Inventory[[#This Row],[no_utilities]]=1,12000,0))/IF(Grandview_Inventory[[#This Row],[unbuildable]]=1,2,1)</f>
        <v>43617.792229308972</v>
      </c>
      <c r="CA363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363">
        <f>ROUND(Grandview_Inventory[[#This Row],[det_value]]*Lookups!$M$28,-2)</f>
        <v>0</v>
      </c>
      <c r="CC363">
        <f>IF(ROUND(Grandview_Inventory[[#This Row],[adj_res]]*Lookups!$M$28,-2)&lt;Grandview_Inventory[[#This Row],[min_res]],Grandview_Inventory[[#This Row],[min_res]],ROUND(Grandview_Inventory[[#This Row],[adj_res]]*Lookups!$M$28,-2))</f>
        <v>211100</v>
      </c>
      <c r="CD363">
        <f>Grandview_Inventory[[#This Row],[final_det]]+Grandview_Inventory[[#This Row],[final_res]]</f>
        <v>211100</v>
      </c>
      <c r="CE363">
        <f>Grandview_Inventory[[#This Row],[final_land]]+Grandview_Inventory[[#This Row],[final_imp]]+Grandview_Inventory[[#This Row],[crop_value]]</f>
        <v>252500</v>
      </c>
      <c r="CG363" t="str">
        <f t="shared" si="5"/>
        <v>update valuation set market_land =41400, market_bldg=211100, market_total =252500, market_mdno =401, market_date ='9/10/2023' where link_id = (select link_id from parcel where parcel_year = '2024' and parcel_id = '23091544002');</v>
      </c>
    </row>
    <row r="364" spans="1:85" x14ac:dyDescent="0.25">
      <c r="A364">
        <v>23091641001</v>
      </c>
      <c r="B364">
        <v>148.79</v>
      </c>
      <c r="C364" t="s">
        <v>129</v>
      </c>
      <c r="D364" t="s">
        <v>129</v>
      </c>
      <c r="E364" t="s">
        <v>53</v>
      </c>
      <c r="F364" t="s">
        <v>53</v>
      </c>
      <c r="G364">
        <v>4</v>
      </c>
      <c r="H364" t="s">
        <v>180</v>
      </c>
      <c r="I364">
        <v>713700</v>
      </c>
      <c r="J364">
        <v>873500</v>
      </c>
      <c r="K364">
        <v>148.79</v>
      </c>
      <c r="L364">
        <f>IF(Grandview_Inventory[[#This Row],[parcel_acres]]-Grandview_Inventory[[#This Row],[non_valued_acres]] =0,0,LN(Grandview_Inventory[[#This Row],[parcel_acres]]-Grandview_Inventory[[#This Row],[non_valued_acres]]))</f>
        <v>5.0025359158396059</v>
      </c>
      <c r="M364">
        <v>0</v>
      </c>
      <c r="N364">
        <v>0</v>
      </c>
      <c r="O364">
        <v>0</v>
      </c>
      <c r="P364">
        <v>13398.7528</v>
      </c>
      <c r="Q364">
        <v>63903</v>
      </c>
      <c r="R364">
        <f>(Grandview_Inventory[[#This Row],[ln_acres]]*Grandview_Inventory[[#This Row],[coeff]])+Grandview_Inventory[[#This Row],[const]]</f>
        <v>130930.74210945648</v>
      </c>
      <c r="S364" t="s">
        <v>86</v>
      </c>
      <c r="T364">
        <v>2</v>
      </c>
      <c r="U364" t="s">
        <v>70</v>
      </c>
      <c r="V364" t="s">
        <v>69</v>
      </c>
      <c r="W364">
        <v>0</v>
      </c>
      <c r="X364">
        <v>0</v>
      </c>
      <c r="Y364">
        <v>58</v>
      </c>
      <c r="Z364">
        <v>113</v>
      </c>
      <c r="AA364">
        <v>120</v>
      </c>
      <c r="AB364">
        <v>2000</v>
      </c>
      <c r="AC364">
        <v>1880</v>
      </c>
      <c r="AD364">
        <v>1216</v>
      </c>
      <c r="AE364">
        <v>664</v>
      </c>
      <c r="AF364">
        <v>0</v>
      </c>
      <c r="AG364">
        <v>0</v>
      </c>
      <c r="AH364">
        <v>400</v>
      </c>
      <c r="AI364">
        <v>0</v>
      </c>
      <c r="AJ364">
        <v>0</v>
      </c>
      <c r="AK364">
        <v>0</v>
      </c>
      <c r="AL364">
        <v>0</v>
      </c>
      <c r="AM364">
        <v>480</v>
      </c>
      <c r="AN364">
        <v>304</v>
      </c>
      <c r="AO364">
        <v>40</v>
      </c>
      <c r="AP364">
        <v>8</v>
      </c>
      <c r="AQ364">
        <v>0</v>
      </c>
      <c r="AR364">
        <v>0</v>
      </c>
      <c r="AS364" t="s">
        <v>58</v>
      </c>
      <c r="AT364">
        <v>1</v>
      </c>
      <c r="AU364" t="s">
        <v>63</v>
      </c>
      <c r="AV364" t="s">
        <v>81</v>
      </c>
      <c r="AW364">
        <v>0</v>
      </c>
      <c r="AX364">
        <v>5</v>
      </c>
      <c r="AY364">
        <v>360000</v>
      </c>
      <c r="AZ364">
        <v>159600</v>
      </c>
      <c r="BA364">
        <v>100</v>
      </c>
      <c r="BB364">
        <v>100</v>
      </c>
      <c r="BC364">
        <v>100</v>
      </c>
      <c r="BD364">
        <v>100</v>
      </c>
      <c r="BE364">
        <v>1</v>
      </c>
      <c r="BF364">
        <v>15000</v>
      </c>
      <c r="BG364">
        <v>1000</v>
      </c>
      <c r="BH364" s="6">
        <f>Grandview_Inventory[[#This Row],[land_extract]]*Lookups!$B$3</f>
        <v>152049.51729870812</v>
      </c>
      <c r="BI364" s="6">
        <f>IF(Grandview_Inventory[[#This Row],[bldg_style]]="",0,Lookups!$B$2)</f>
        <v>155833.95000000001</v>
      </c>
      <c r="BJ364" s="6">
        <f>_xlfn.IFNA(VLOOKUP(Grandview_Inventory[[#This Row],[quality]],Lookups!$H$2:$J$14,3,FALSE),0)</f>
        <v>10733</v>
      </c>
      <c r="BK364" s="6">
        <f>_xlfn.IFNA(VLOOKUP(Grandview_Inventory[[#This Row],[condition]],Lookups!$H$17:$J$24,3,FALSE),0)</f>
        <v>-4503</v>
      </c>
      <c r="BL364" s="6">
        <f>Grandview_Inventory[[#This Row],[Eff_Age]]*Lookups!$B$14</f>
        <v>-13871.6628</v>
      </c>
      <c r="BM364" s="6">
        <f>Grandview_Inventory[[#This Row],[living_area]]*Lookups!$B$15</f>
        <v>117276.00364000001</v>
      </c>
      <c r="BN364" s="6">
        <f>Grandview_Inventory[[#This Row],[Fin BSMT]]*Lookups!$B$16</f>
        <v>0</v>
      </c>
      <c r="BO364" s="6">
        <f>(Grandview_Inventory[[#This Row],[att_gar]]+Grandview_Inventory[[#This Row],[bltin_gar]])*Lookups!$B$17</f>
        <v>0</v>
      </c>
      <c r="BP364" s="6">
        <f>Grandview_Inventory[[#This Row],[Plumbing Fixtures]]*Lookups!$B$18</f>
        <v>16083.5344</v>
      </c>
      <c r="BQ364" s="6">
        <f>Grandview_Inventory[[#This Row],[detatched_value]]*Lookups!$B$19</f>
        <v>135150.09396</v>
      </c>
      <c r="BR364" s="6">
        <f>SUM(Grandview_Inventory[[#This Row],[Intercept]:[det_value]])*Grandview_Inventory[[#This Row],[res_pct]]</f>
        <v>416701.9192</v>
      </c>
      <c r="BS364" s="6">
        <f>Grandview_Inventory[[#This Row],[land_value]]</f>
        <v>152049.51729870812</v>
      </c>
      <c r="BT364" s="4">
        <f>_xlfn.IFNA(VLOOKUP(Grandview_Inventory[[#This Row],[quality]],Lookups!$A$26:$C$33,3,FALSE),1)</f>
        <v>0.98079741117310582</v>
      </c>
      <c r="BU364" s="4">
        <f>_xlfn.IFNA(VLOOKUP(Grandview_Inventory[[#This Row],[condition]],Lookups!$A$37:$C$44,3,FALSE),1)</f>
        <v>0.96469275950863709</v>
      </c>
      <c r="BV364" s="4">
        <f>IF(Grandview_Inventory[[#This Row],[bldg_style]]="",1,_xlfn.IFNA(VLOOKUP(Grandview_Inventory[[#This Row],[decade]],Lookups!$F$29:$H$43,3,FALSE),1))</f>
        <v>0.9251738460551937</v>
      </c>
      <c r="BW364" s="4">
        <f>_xlfn.IFNA(VLOOKUP(Grandview_Inventory[[#This Row],[living_area_range]],Lookups!$F$47:$H$56,3,FALSE),1)</f>
        <v>0.96120133463014379</v>
      </c>
      <c r="BX364" s="4">
        <f>AVERAGE(Grandview_Inventory[[#This Row],[qual_adj]:[size_adj]])</f>
        <v>0.95796633784177021</v>
      </c>
      <c r="BY364" s="6">
        <f>IF(Grandview_Inventory[[#This Row],[pre_res]]&lt;0,0,Grandview_Inventory[[#This Row],[pre_res]]*Grandview_Inventory[[#This Row],[overall_adj]])</f>
        <v>399186.41150766122</v>
      </c>
      <c r="BZ364" s="6">
        <f>(Grandview_Inventory[[#This Row],[sum_land]]-IF(Grandview_Inventory[[#This Row],[no_utilities]]=1,12000,0))/IF(Grandview_Inventory[[#This Row],[unbuildable]]=1,2,1)</f>
        <v>152049.51729870812</v>
      </c>
      <c r="CA364">
        <f>IF(ROUND(Grandview_Inventory[[#This Row],[adj_land]]*Lookups!$M$28,-2)&lt;Grandview_Inventory[[#This Row],[min_land]],Grandview_Inventory[[#This Row],[min_land]],ROUND(Grandview_Inventory[[#This Row],[adj_land]]*Lookups!$M$28,-2))</f>
        <v>144400</v>
      </c>
      <c r="CB364">
        <f>ROUND(Grandview_Inventory[[#This Row],[det_value]]*Lookups!$M$28,-2)</f>
        <v>128400</v>
      </c>
      <c r="CC364">
        <f>IF(ROUND(Grandview_Inventory[[#This Row],[adj_res]]*Lookups!$M$28,-2)&lt;Grandview_Inventory[[#This Row],[min_res]],Grandview_Inventory[[#This Row],[min_res]],ROUND(Grandview_Inventory[[#This Row],[adj_res]]*Lookups!$M$28,-2))</f>
        <v>379200</v>
      </c>
      <c r="CD364">
        <f>Grandview_Inventory[[#This Row],[final_det]]+Grandview_Inventory[[#This Row],[final_res]]</f>
        <v>507600</v>
      </c>
      <c r="CE364">
        <f>Grandview_Inventory[[#This Row],[final_land]]+Grandview_Inventory[[#This Row],[final_imp]]+Grandview_Inventory[[#This Row],[crop_value]]</f>
        <v>1012000</v>
      </c>
      <c r="CG364" t="str">
        <f t="shared" si="5"/>
        <v>update valuation set market_land =144400, market_bldg=507600, market_total =1012000, market_mdno =401, market_date ='9/10/2023' where link_id = (select link_id from parcel where parcel_year = '2024' and parcel_id = '23091641001');</v>
      </c>
    </row>
    <row r="365" spans="1:85" x14ac:dyDescent="0.25">
      <c r="A365">
        <v>23091911002</v>
      </c>
      <c r="B365">
        <v>2.46</v>
      </c>
      <c r="C365">
        <v>107081</v>
      </c>
      <c r="D365" t="s">
        <v>129</v>
      </c>
      <c r="E365" t="s">
        <v>53</v>
      </c>
      <c r="F365" t="s">
        <v>53</v>
      </c>
      <c r="G365">
        <v>4</v>
      </c>
      <c r="H365" t="s">
        <v>54</v>
      </c>
      <c r="I365">
        <v>648800</v>
      </c>
      <c r="J365">
        <v>47000</v>
      </c>
      <c r="K365">
        <v>2.46</v>
      </c>
      <c r="L365">
        <f>IF(Grandview_Inventory[[#This Row],[parcel_acres]]-Grandview_Inventory[[#This Row],[non_valued_acres]] =0,0,LN(Grandview_Inventory[[#This Row],[parcel_acres]]-Grandview_Inventory[[#This Row],[non_valued_acres]]))</f>
        <v>0.90016134994427144</v>
      </c>
      <c r="M365">
        <v>0</v>
      </c>
      <c r="N365">
        <v>0</v>
      </c>
      <c r="O365">
        <v>0</v>
      </c>
      <c r="P365">
        <v>13398.7528</v>
      </c>
      <c r="Q365">
        <v>63903</v>
      </c>
      <c r="R365">
        <f>(Grandview_Inventory[[#This Row],[ln_acres]]*Grandview_Inventory[[#This Row],[coeff]])+Grandview_Inventory[[#This Row],[const]]</f>
        <v>75964.03940801759</v>
      </c>
      <c r="S365" t="s">
        <v>130</v>
      </c>
      <c r="T365">
        <v>1</v>
      </c>
      <c r="U365" t="s">
        <v>60</v>
      </c>
      <c r="V365" t="s">
        <v>66</v>
      </c>
      <c r="W365">
        <v>271700</v>
      </c>
      <c r="X365">
        <v>0</v>
      </c>
      <c r="Y365">
        <v>6</v>
      </c>
      <c r="Z365">
        <v>6</v>
      </c>
      <c r="AA365">
        <v>10</v>
      </c>
      <c r="AB365">
        <v>3000</v>
      </c>
      <c r="AC365">
        <v>2843</v>
      </c>
      <c r="AD365">
        <v>2843</v>
      </c>
      <c r="AE365">
        <v>0</v>
      </c>
      <c r="AF365">
        <v>0</v>
      </c>
      <c r="AG365">
        <v>0</v>
      </c>
      <c r="AH365">
        <v>0</v>
      </c>
      <c r="AI365">
        <v>912</v>
      </c>
      <c r="AJ365">
        <v>0</v>
      </c>
      <c r="AK365">
        <v>0</v>
      </c>
      <c r="AL365">
        <v>0</v>
      </c>
      <c r="AM365">
        <v>60</v>
      </c>
      <c r="AN365">
        <v>0</v>
      </c>
      <c r="AO365">
        <v>0</v>
      </c>
      <c r="AP365">
        <v>15</v>
      </c>
      <c r="AQ365">
        <v>0</v>
      </c>
      <c r="AR365">
        <v>0</v>
      </c>
      <c r="AS365" t="s">
        <v>71</v>
      </c>
      <c r="AT365">
        <v>1</v>
      </c>
      <c r="AU365" t="s">
        <v>59</v>
      </c>
      <c r="AV365" t="s">
        <v>60</v>
      </c>
      <c r="AW365">
        <v>1</v>
      </c>
      <c r="AX365">
        <v>3</v>
      </c>
      <c r="AY365">
        <v>0</v>
      </c>
      <c r="AZ365">
        <v>86400</v>
      </c>
      <c r="BA365">
        <v>100</v>
      </c>
      <c r="BB365">
        <v>100</v>
      </c>
      <c r="BC365">
        <v>100</v>
      </c>
      <c r="BD365">
        <v>100</v>
      </c>
      <c r="BE365">
        <v>1</v>
      </c>
      <c r="BF365">
        <v>15000</v>
      </c>
      <c r="BG365">
        <v>1000</v>
      </c>
      <c r="BH365" s="6">
        <f>Grandview_Inventory[[#This Row],[land_extract]]*Lookups!$B$3</f>
        <v>88216.833861624429</v>
      </c>
      <c r="BI365" s="6">
        <f>IF(Grandview_Inventory[[#This Row],[bldg_style]]="",0,Lookups!$B$2)</f>
        <v>155833.95000000001</v>
      </c>
      <c r="BJ365" s="6">
        <f>_xlfn.IFNA(VLOOKUP(Grandview_Inventory[[#This Row],[quality]],Lookups!$H$2:$J$14,3,FALSE),0)</f>
        <v>93763</v>
      </c>
      <c r="BK365" s="6">
        <f>_xlfn.IFNA(VLOOKUP(Grandview_Inventory[[#This Row],[condition]],Lookups!$H$17:$J$24,3,FALSE),0)</f>
        <v>25818</v>
      </c>
      <c r="BL365" s="6">
        <f>Grandview_Inventory[[#This Row],[Eff_Age]]*Lookups!$B$14</f>
        <v>-1434.9995999999999</v>
      </c>
      <c r="BM365" s="6">
        <f>Grandview_Inventory[[#This Row],[living_area]]*Lookups!$B$15</f>
        <v>177348.765079</v>
      </c>
      <c r="BN365" s="6">
        <f>Grandview_Inventory[[#This Row],[Fin BSMT]]*Lookups!$B$16</f>
        <v>0</v>
      </c>
      <c r="BO365" s="6">
        <f>(Grandview_Inventory[[#This Row],[att_gar]]+Grandview_Inventory[[#This Row],[bltin_gar]])*Lookups!$B$17</f>
        <v>79818.638544000001</v>
      </c>
      <c r="BP365" s="6">
        <f>Grandview_Inventory[[#This Row],[Plumbing Fixtures]]*Lookups!$B$18</f>
        <v>30156.627</v>
      </c>
      <c r="BQ365" s="6">
        <f>Grandview_Inventory[[#This Row],[detatched_value]]*Lookups!$B$19</f>
        <v>73163.960640000005</v>
      </c>
      <c r="BR365" s="6">
        <f>SUM(Grandview_Inventory[[#This Row],[Intercept]:[det_value]])*Grandview_Inventory[[#This Row],[res_pct]]</f>
        <v>634467.94166300003</v>
      </c>
      <c r="BS365" s="6">
        <f>Grandview_Inventory[[#This Row],[land_value]]</f>
        <v>88216.833861624429</v>
      </c>
      <c r="BT365" s="4">
        <f>_xlfn.IFNA(VLOOKUP(Grandview_Inventory[[#This Row],[quality]],Lookups!$A$26:$C$33,3,FALSE),1)</f>
        <v>1</v>
      </c>
      <c r="BU365" s="4">
        <f>_xlfn.IFNA(VLOOKUP(Grandview_Inventory[[#This Row],[condition]],Lookups!$A$37:$C$44,3,FALSE),1)</f>
        <v>0.96661476234146892</v>
      </c>
      <c r="BV365" s="4">
        <f>IF(Grandview_Inventory[[#This Row],[bldg_style]]="",1,_xlfn.IFNA(VLOOKUP(Grandview_Inventory[[#This Row],[decade]],Lookups!$F$29:$H$43,3,FALSE),1))</f>
        <v>0.94601966599150278</v>
      </c>
      <c r="BW365" s="4">
        <f>_xlfn.IFNA(VLOOKUP(Grandview_Inventory[[#This Row],[living_area_range]],Lookups!$F$47:$H$56,3,FALSE),1)</f>
        <v>0.94224801443562123</v>
      </c>
      <c r="BX365" s="4">
        <f>AVERAGE(Grandview_Inventory[[#This Row],[qual_adj]:[size_adj]])</f>
        <v>0.96372061069214821</v>
      </c>
      <c r="BY365" s="6">
        <f>IF(Grandview_Inventory[[#This Row],[pre_res]]&lt;0,0,Grandview_Inventory[[#This Row],[pre_res]]*Grandview_Inventory[[#This Row],[overall_adj]])</f>
        <v>611449.83220405667</v>
      </c>
      <c r="BZ365" s="6">
        <f>(Grandview_Inventory[[#This Row],[sum_land]]-IF(Grandview_Inventory[[#This Row],[no_utilities]]=1,12000,0))/IF(Grandview_Inventory[[#This Row],[unbuildable]]=1,2,1)</f>
        <v>88216.833861624429</v>
      </c>
      <c r="CA365">
        <f>IF(ROUND(Grandview_Inventory[[#This Row],[adj_land]]*Lookups!$M$28,-2)&lt;Grandview_Inventory[[#This Row],[min_land]],Grandview_Inventory[[#This Row],[min_land]],ROUND(Grandview_Inventory[[#This Row],[adj_land]]*Lookups!$M$28,-2))</f>
        <v>83800</v>
      </c>
      <c r="CB365">
        <f>ROUND(Grandview_Inventory[[#This Row],[det_value]]*Lookups!$M$28,-2)</f>
        <v>69500</v>
      </c>
      <c r="CC365">
        <f>IF(ROUND(Grandview_Inventory[[#This Row],[adj_res]]*Lookups!$M$28,-2)&lt;Grandview_Inventory[[#This Row],[min_res]],Grandview_Inventory[[#This Row],[min_res]],ROUND(Grandview_Inventory[[#This Row],[adj_res]]*Lookups!$M$28,-2))</f>
        <v>580900</v>
      </c>
      <c r="CD365">
        <f>Grandview_Inventory[[#This Row],[final_det]]+Grandview_Inventory[[#This Row],[final_res]]</f>
        <v>650400</v>
      </c>
      <c r="CE365">
        <f>Grandview_Inventory[[#This Row],[final_land]]+Grandview_Inventory[[#This Row],[final_imp]]+Grandview_Inventory[[#This Row],[crop_value]]</f>
        <v>734200</v>
      </c>
      <c r="CG365" t="str">
        <f t="shared" si="5"/>
        <v>update valuation set market_land =83800, market_bldg=650400, market_total =734200, market_mdno =401, market_date ='9/10/2023' where link_id = (select link_id from parcel where parcel_year = '2024' and parcel_id = '23091911002');</v>
      </c>
    </row>
    <row r="366" spans="1:85" x14ac:dyDescent="0.25">
      <c r="A366">
        <v>23091911401</v>
      </c>
      <c r="B366">
        <v>0.38</v>
      </c>
      <c r="C366">
        <v>16708</v>
      </c>
      <c r="D366" t="s">
        <v>129</v>
      </c>
      <c r="E366" t="s">
        <v>53</v>
      </c>
      <c r="F366" t="s">
        <v>53</v>
      </c>
      <c r="G366">
        <v>4</v>
      </c>
      <c r="H366" t="s">
        <v>54</v>
      </c>
      <c r="I366">
        <v>249500</v>
      </c>
      <c r="J366">
        <v>41200</v>
      </c>
      <c r="K366">
        <v>0.38</v>
      </c>
      <c r="L366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366">
        <v>0</v>
      </c>
      <c r="N366">
        <v>0</v>
      </c>
      <c r="O366">
        <v>0</v>
      </c>
      <c r="P366">
        <v>13398.7528</v>
      </c>
      <c r="Q366">
        <v>63903</v>
      </c>
      <c r="R366">
        <f>(Grandview_Inventory[[#This Row],[ln_acres]]*Grandview_Inventory[[#This Row],[coeff]])+Grandview_Inventory[[#This Row],[const]]</f>
        <v>50938.580818890696</v>
      </c>
      <c r="S366" t="s">
        <v>58</v>
      </c>
      <c r="T366">
        <v>1</v>
      </c>
      <c r="U366" t="s">
        <v>62</v>
      </c>
      <c r="V366" t="s">
        <v>67</v>
      </c>
      <c r="W366">
        <v>0</v>
      </c>
      <c r="X366">
        <v>0</v>
      </c>
      <c r="Y366">
        <v>44</v>
      </c>
      <c r="Z366">
        <v>46</v>
      </c>
      <c r="AA366">
        <v>50</v>
      </c>
      <c r="AB366">
        <v>2000</v>
      </c>
      <c r="AC366">
        <v>1558</v>
      </c>
      <c r="AD366">
        <v>1558</v>
      </c>
      <c r="AE366">
        <v>0</v>
      </c>
      <c r="AF366">
        <v>0</v>
      </c>
      <c r="AG366">
        <v>0</v>
      </c>
      <c r="AH366">
        <v>0</v>
      </c>
      <c r="AI366">
        <v>506</v>
      </c>
      <c r="AJ366">
        <v>0</v>
      </c>
      <c r="AK366">
        <v>0</v>
      </c>
      <c r="AL366">
        <v>0</v>
      </c>
      <c r="AM366">
        <v>432</v>
      </c>
      <c r="AN366">
        <v>216</v>
      </c>
      <c r="AO366">
        <v>120</v>
      </c>
      <c r="AP366">
        <v>9</v>
      </c>
      <c r="AQ366">
        <v>0</v>
      </c>
      <c r="AR366">
        <v>0</v>
      </c>
      <c r="AS366" t="s">
        <v>58</v>
      </c>
      <c r="AT366">
        <v>1</v>
      </c>
      <c r="AU366" t="s">
        <v>63</v>
      </c>
      <c r="AV366" t="s">
        <v>60</v>
      </c>
      <c r="AW366">
        <v>1</v>
      </c>
      <c r="AX366">
        <v>3</v>
      </c>
      <c r="AY366">
        <v>0</v>
      </c>
      <c r="AZ366">
        <v>0</v>
      </c>
      <c r="BA366">
        <v>100</v>
      </c>
      <c r="BB366">
        <v>100</v>
      </c>
      <c r="BC366">
        <v>100</v>
      </c>
      <c r="BD366">
        <v>100</v>
      </c>
      <c r="BE366">
        <v>1</v>
      </c>
      <c r="BF366">
        <v>15000</v>
      </c>
      <c r="BG366">
        <v>1000</v>
      </c>
      <c r="BH366" s="6">
        <f>Grandview_Inventory[[#This Row],[land_extract]]*Lookups!$B$3</f>
        <v>59154.836370809549</v>
      </c>
      <c r="BI366" s="6">
        <f>IF(Grandview_Inventory[[#This Row],[bldg_style]]="",0,Lookups!$B$2)</f>
        <v>155833.95000000001</v>
      </c>
      <c r="BJ366" s="6">
        <f>_xlfn.IFNA(VLOOKUP(Grandview_Inventory[[#This Row],[quality]],Lookups!$H$2:$J$14,3,FALSE),0)</f>
        <v>9808</v>
      </c>
      <c r="BK366" s="6">
        <f>_xlfn.IFNA(VLOOKUP(Grandview_Inventory[[#This Row],[condition]],Lookups!$H$17:$J$24,3,FALSE),0)</f>
        <v>22342</v>
      </c>
      <c r="BL366" s="6">
        <f>Grandview_Inventory[[#This Row],[Eff_Age]]*Lookups!$B$14</f>
        <v>-10523.330399999999</v>
      </c>
      <c r="BM366" s="6">
        <f>Grandview_Inventory[[#This Row],[living_area]]*Lookups!$B$15</f>
        <v>97189.368973999997</v>
      </c>
      <c r="BN366" s="6">
        <f>Grandview_Inventory[[#This Row],[Fin BSMT]]*Lookups!$B$16</f>
        <v>0</v>
      </c>
      <c r="BO366" s="6">
        <f>(Grandview_Inventory[[#This Row],[att_gar]]+Grandview_Inventory[[#This Row],[bltin_gar]])*Lookups!$B$17</f>
        <v>44285.341121999998</v>
      </c>
      <c r="BP366" s="6">
        <f>Grandview_Inventory[[#This Row],[Plumbing Fixtures]]*Lookups!$B$18</f>
        <v>18093.976200000001</v>
      </c>
      <c r="BQ366" s="6">
        <f>Grandview_Inventory[[#This Row],[detatched_value]]*Lookups!$B$19</f>
        <v>0</v>
      </c>
      <c r="BR366" s="6">
        <f>SUM(Grandview_Inventory[[#This Row],[Intercept]:[det_value]])*Grandview_Inventory[[#This Row],[res_pct]]</f>
        <v>337029.30589600001</v>
      </c>
      <c r="BS366" s="6">
        <f>Grandview_Inventory[[#This Row],[land_value]]</f>
        <v>59154.836370809549</v>
      </c>
      <c r="BT366" s="4">
        <f>_xlfn.IFNA(VLOOKUP(Grandview_Inventory[[#This Row],[quality]],Lookups!$A$26:$C$33,3,FALSE),1)</f>
        <v>0.94295468617355149</v>
      </c>
      <c r="BU366" s="4">
        <f>_xlfn.IFNA(VLOOKUP(Grandview_Inventory[[#This Row],[condition]],Lookups!$A$37:$C$44,3,FALSE),1)</f>
        <v>0.97383723671140243</v>
      </c>
      <c r="BV366" s="4">
        <f>IF(Grandview_Inventory[[#This Row],[bldg_style]]="",1,_xlfn.IFNA(VLOOKUP(Grandview_Inventory[[#This Row],[decade]],Lookups!$F$29:$H$43,3,FALSE),1))</f>
        <v>0.9871940091910919</v>
      </c>
      <c r="BW366" s="4">
        <f>_xlfn.IFNA(VLOOKUP(Grandview_Inventory[[#This Row],[living_area_range]],Lookups!$F$47:$H$56,3,FALSE),1)</f>
        <v>0.96120133463014379</v>
      </c>
      <c r="BX366" s="4">
        <f>AVERAGE(Grandview_Inventory[[#This Row],[qual_adj]:[size_adj]])</f>
        <v>0.96629681667654732</v>
      </c>
      <c r="BY366" s="6">
        <f>IF(Grandview_Inventory[[#This Row],[pre_res]]&lt;0,0,Grandview_Inventory[[#This Row],[pre_res]]*Grandview_Inventory[[#This Row],[overall_adj]])</f>
        <v>325670.3454140111</v>
      </c>
      <c r="BZ366" s="6">
        <f>(Grandview_Inventory[[#This Row],[sum_land]]-IF(Grandview_Inventory[[#This Row],[no_utilities]]=1,12000,0))/IF(Grandview_Inventory[[#This Row],[unbuildable]]=1,2,1)</f>
        <v>59154.836370809549</v>
      </c>
      <c r="CA366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366">
        <f>ROUND(Grandview_Inventory[[#This Row],[det_value]]*Lookups!$M$28,-2)</f>
        <v>0</v>
      </c>
      <c r="CC366">
        <f>IF(ROUND(Grandview_Inventory[[#This Row],[adj_res]]*Lookups!$M$28,-2)&lt;Grandview_Inventory[[#This Row],[min_res]],Grandview_Inventory[[#This Row],[min_res]],ROUND(Grandview_Inventory[[#This Row],[adj_res]]*Lookups!$M$28,-2))</f>
        <v>309400</v>
      </c>
      <c r="CD366">
        <f>Grandview_Inventory[[#This Row],[final_det]]+Grandview_Inventory[[#This Row],[final_res]]</f>
        <v>309400</v>
      </c>
      <c r="CE366">
        <f>Grandview_Inventory[[#This Row],[final_land]]+Grandview_Inventory[[#This Row],[final_imp]]+Grandview_Inventory[[#This Row],[crop_value]]</f>
        <v>365600</v>
      </c>
      <c r="CG366" t="str">
        <f t="shared" si="5"/>
        <v>update valuation set market_land =56200, market_bldg=309400, market_total =365600, market_mdno =401, market_date ='9/10/2023' where link_id = (select link_id from parcel where parcel_year = '2024' and parcel_id = '23091911401');</v>
      </c>
    </row>
    <row r="367" spans="1:85" x14ac:dyDescent="0.25">
      <c r="A367">
        <v>23091911402</v>
      </c>
      <c r="B367">
        <v>0.39</v>
      </c>
      <c r="C367">
        <v>16798</v>
      </c>
      <c r="D367" t="s">
        <v>129</v>
      </c>
      <c r="E367" t="s">
        <v>53</v>
      </c>
      <c r="F367" t="s">
        <v>53</v>
      </c>
      <c r="G367">
        <v>4</v>
      </c>
      <c r="H367" t="s">
        <v>54</v>
      </c>
      <c r="I367">
        <v>207800</v>
      </c>
      <c r="J367">
        <v>41200</v>
      </c>
      <c r="K367">
        <v>0.39</v>
      </c>
      <c r="L367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67">
        <v>0</v>
      </c>
      <c r="N367">
        <v>0</v>
      </c>
      <c r="O367">
        <v>0</v>
      </c>
      <c r="P367">
        <v>13398.7528</v>
      </c>
      <c r="Q367">
        <v>63903</v>
      </c>
      <c r="R367">
        <f>(Grandview_Inventory[[#This Row],[ln_acres]]*Grandview_Inventory[[#This Row],[coeff]])+Grandview_Inventory[[#This Row],[const]]</f>
        <v>51286.619940067751</v>
      </c>
      <c r="S367" t="s">
        <v>61</v>
      </c>
      <c r="T367">
        <v>1</v>
      </c>
      <c r="U367" t="s">
        <v>62</v>
      </c>
      <c r="V367" t="s">
        <v>69</v>
      </c>
      <c r="W367">
        <v>0</v>
      </c>
      <c r="X367">
        <v>0</v>
      </c>
      <c r="Y367">
        <v>44</v>
      </c>
      <c r="Z367">
        <v>46</v>
      </c>
      <c r="AA367">
        <v>50</v>
      </c>
      <c r="AB367">
        <v>1500</v>
      </c>
      <c r="AC367">
        <v>1414</v>
      </c>
      <c r="AD367">
        <v>1414</v>
      </c>
      <c r="AE367">
        <v>0</v>
      </c>
      <c r="AF367">
        <v>0</v>
      </c>
      <c r="AG367">
        <v>0</v>
      </c>
      <c r="AH367">
        <v>0</v>
      </c>
      <c r="AI367">
        <v>506</v>
      </c>
      <c r="AJ367">
        <v>0</v>
      </c>
      <c r="AK367">
        <v>160</v>
      </c>
      <c r="AL367">
        <v>0</v>
      </c>
      <c r="AM367">
        <v>1484</v>
      </c>
      <c r="AN367">
        <v>0</v>
      </c>
      <c r="AO367">
        <v>1232</v>
      </c>
      <c r="AP367">
        <v>8</v>
      </c>
      <c r="AQ367">
        <v>0</v>
      </c>
      <c r="AR367">
        <v>1</v>
      </c>
      <c r="AS367" t="s">
        <v>58</v>
      </c>
      <c r="AT367">
        <v>1</v>
      </c>
      <c r="AU367" t="s">
        <v>63</v>
      </c>
      <c r="AV367" t="s">
        <v>60</v>
      </c>
      <c r="AW367">
        <v>1</v>
      </c>
      <c r="AX367">
        <v>3</v>
      </c>
      <c r="AY367">
        <v>0</v>
      </c>
      <c r="AZ367">
        <v>0</v>
      </c>
      <c r="BA367">
        <v>100</v>
      </c>
      <c r="BB367">
        <v>100</v>
      </c>
      <c r="BC367">
        <v>100</v>
      </c>
      <c r="BD367">
        <v>100</v>
      </c>
      <c r="BE367">
        <v>1</v>
      </c>
      <c r="BF367">
        <v>15000</v>
      </c>
      <c r="BG367">
        <v>1000</v>
      </c>
      <c r="BH367" s="6">
        <f>Grandview_Inventory[[#This Row],[land_extract]]*Lookups!$B$3</f>
        <v>59559.013262526838</v>
      </c>
      <c r="BI367" s="6">
        <f>IF(Grandview_Inventory[[#This Row],[bldg_style]]="",0,Lookups!$B$2)</f>
        <v>155833.95000000001</v>
      </c>
      <c r="BJ367" s="6">
        <f>_xlfn.IFNA(VLOOKUP(Grandview_Inventory[[#This Row],[quality]],Lookups!$H$2:$J$14,3,FALSE),0)</f>
        <v>9808</v>
      </c>
      <c r="BK367" s="6">
        <f>_xlfn.IFNA(VLOOKUP(Grandview_Inventory[[#This Row],[condition]],Lookups!$H$17:$J$24,3,FALSE),0)</f>
        <v>-4503</v>
      </c>
      <c r="BL367" s="6">
        <f>Grandview_Inventory[[#This Row],[Eff_Age]]*Lookups!$B$14</f>
        <v>-10523.330399999999</v>
      </c>
      <c r="BM367" s="6">
        <f>Grandview_Inventory[[#This Row],[living_area]]*Lookups!$B$15</f>
        <v>88206.526142000002</v>
      </c>
      <c r="BN367" s="6">
        <f>Grandview_Inventory[[#This Row],[Fin BSMT]]*Lookups!$B$16</f>
        <v>0</v>
      </c>
      <c r="BO367" s="6">
        <f>(Grandview_Inventory[[#This Row],[att_gar]]+Grandview_Inventory[[#This Row],[bltin_gar]])*Lookups!$B$17</f>
        <v>44285.341121999998</v>
      </c>
      <c r="BP367" s="6">
        <f>Grandview_Inventory[[#This Row],[Plumbing Fixtures]]*Lookups!$B$18</f>
        <v>16083.5344</v>
      </c>
      <c r="BQ367" s="6">
        <f>Grandview_Inventory[[#This Row],[detatched_value]]*Lookups!$B$19</f>
        <v>0</v>
      </c>
      <c r="BR367" s="6">
        <f>SUM(Grandview_Inventory[[#This Row],[Intercept]:[det_value]])*Grandview_Inventory[[#This Row],[res_pct]]</f>
        <v>299191.02126400004</v>
      </c>
      <c r="BS367" s="6">
        <f>Grandview_Inventory[[#This Row],[land_value]]</f>
        <v>59559.013262526838</v>
      </c>
      <c r="BT367" s="4">
        <f>_xlfn.IFNA(VLOOKUP(Grandview_Inventory[[#This Row],[quality]],Lookups!$A$26:$C$33,3,FALSE),1)</f>
        <v>0.94295468617355149</v>
      </c>
      <c r="BU367" s="4">
        <f>_xlfn.IFNA(VLOOKUP(Grandview_Inventory[[#This Row],[condition]],Lookups!$A$37:$C$44,3,FALSE),1)</f>
        <v>0.96469275950863709</v>
      </c>
      <c r="BV367" s="4">
        <f>IF(Grandview_Inventory[[#This Row],[bldg_style]]="",1,_xlfn.IFNA(VLOOKUP(Grandview_Inventory[[#This Row],[decade]],Lookups!$F$29:$H$43,3,FALSE),1))</f>
        <v>0.9871940091910919</v>
      </c>
      <c r="BW367" s="4">
        <f>_xlfn.IFNA(VLOOKUP(Grandview_Inventory[[#This Row],[living_area_range]],Lookups!$F$47:$H$56,3,FALSE),1)</f>
        <v>0.96135087979789358</v>
      </c>
      <c r="BX367" s="4">
        <f>AVERAGE(Grandview_Inventory[[#This Row],[qual_adj]:[size_adj]])</f>
        <v>0.96404808366779349</v>
      </c>
      <c r="BY367" s="6">
        <f>IF(Grandview_Inventory[[#This Row],[pre_res]]&lt;0,0,Grandview_Inventory[[#This Row],[pre_res]]*Grandview_Inventory[[#This Row],[overall_adj]])</f>
        <v>288434.53070016927</v>
      </c>
      <c r="BZ367" s="6">
        <f>(Grandview_Inventory[[#This Row],[sum_land]]-IF(Grandview_Inventory[[#This Row],[no_utilities]]=1,12000,0))/IF(Grandview_Inventory[[#This Row],[unbuildable]]=1,2,1)</f>
        <v>59559.013262526838</v>
      </c>
      <c r="CA367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67">
        <f>ROUND(Grandview_Inventory[[#This Row],[det_value]]*Lookups!$M$28,-2)</f>
        <v>0</v>
      </c>
      <c r="CC367">
        <f>IF(ROUND(Grandview_Inventory[[#This Row],[adj_res]]*Lookups!$M$28,-2)&lt;Grandview_Inventory[[#This Row],[min_res]],Grandview_Inventory[[#This Row],[min_res]],ROUND(Grandview_Inventory[[#This Row],[adj_res]]*Lookups!$M$28,-2))</f>
        <v>274000</v>
      </c>
      <c r="CD367">
        <f>Grandview_Inventory[[#This Row],[final_det]]+Grandview_Inventory[[#This Row],[final_res]]</f>
        <v>274000</v>
      </c>
      <c r="CE367">
        <f>Grandview_Inventory[[#This Row],[final_land]]+Grandview_Inventory[[#This Row],[final_imp]]+Grandview_Inventory[[#This Row],[crop_value]]</f>
        <v>330600</v>
      </c>
      <c r="CG367" t="str">
        <f t="shared" si="5"/>
        <v>update valuation set market_land =56600, market_bldg=274000, market_total =330600, market_mdno =401, market_date ='9/10/2023' where link_id = (select link_id from parcel where parcel_year = '2024' and parcel_id = '23091911402');</v>
      </c>
    </row>
    <row r="368" spans="1:85" x14ac:dyDescent="0.25">
      <c r="A368">
        <v>23091911403</v>
      </c>
      <c r="B368">
        <v>0.39</v>
      </c>
      <c r="C368">
        <v>16798</v>
      </c>
      <c r="D368" t="s">
        <v>129</v>
      </c>
      <c r="E368" t="s">
        <v>53</v>
      </c>
      <c r="F368" t="s">
        <v>53</v>
      </c>
      <c r="G368">
        <v>4</v>
      </c>
      <c r="H368" t="s">
        <v>54</v>
      </c>
      <c r="I368">
        <v>276300</v>
      </c>
      <c r="J368">
        <v>41200</v>
      </c>
      <c r="K368">
        <v>0.39</v>
      </c>
      <c r="L368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68">
        <v>0</v>
      </c>
      <c r="N368">
        <v>0</v>
      </c>
      <c r="O368">
        <v>0</v>
      </c>
      <c r="P368">
        <v>13398.7528</v>
      </c>
      <c r="Q368">
        <v>63903</v>
      </c>
      <c r="R368">
        <f>(Grandview_Inventory[[#This Row],[ln_acres]]*Grandview_Inventory[[#This Row],[coeff]])+Grandview_Inventory[[#This Row],[const]]</f>
        <v>51286.619940067751</v>
      </c>
      <c r="S368" t="s">
        <v>61</v>
      </c>
      <c r="T368">
        <v>1</v>
      </c>
      <c r="U368" t="s">
        <v>62</v>
      </c>
      <c r="V368" t="s">
        <v>67</v>
      </c>
      <c r="W368">
        <v>0</v>
      </c>
      <c r="X368">
        <v>0</v>
      </c>
      <c r="Y368">
        <v>44</v>
      </c>
      <c r="Z368">
        <v>46</v>
      </c>
      <c r="AA368">
        <v>50</v>
      </c>
      <c r="AB368">
        <v>2500</v>
      </c>
      <c r="AC368">
        <v>2374</v>
      </c>
      <c r="AD368">
        <v>2374</v>
      </c>
      <c r="AE368">
        <v>0</v>
      </c>
      <c r="AF368">
        <v>0</v>
      </c>
      <c r="AG368">
        <v>0</v>
      </c>
      <c r="AH368">
        <v>0</v>
      </c>
      <c r="AI368">
        <v>264</v>
      </c>
      <c r="AJ368">
        <v>0</v>
      </c>
      <c r="AK368">
        <v>0</v>
      </c>
      <c r="AL368">
        <v>0</v>
      </c>
      <c r="AM368">
        <v>1096</v>
      </c>
      <c r="AN368">
        <v>0</v>
      </c>
      <c r="AO368">
        <v>624</v>
      </c>
      <c r="AP368">
        <v>8</v>
      </c>
      <c r="AQ368">
        <v>0</v>
      </c>
      <c r="AR368">
        <v>1</v>
      </c>
      <c r="AS368" t="s">
        <v>58</v>
      </c>
      <c r="AT368">
        <v>1</v>
      </c>
      <c r="AU368" t="s">
        <v>63</v>
      </c>
      <c r="AV368" t="s">
        <v>60</v>
      </c>
      <c r="AW368">
        <v>1</v>
      </c>
      <c r="AX368">
        <v>2</v>
      </c>
      <c r="AY368">
        <v>0</v>
      </c>
      <c r="AZ368">
        <v>0</v>
      </c>
      <c r="BA368">
        <v>100</v>
      </c>
      <c r="BB368">
        <v>100</v>
      </c>
      <c r="BC368">
        <v>100</v>
      </c>
      <c r="BD368">
        <v>100</v>
      </c>
      <c r="BE368">
        <v>1</v>
      </c>
      <c r="BF368">
        <v>15000</v>
      </c>
      <c r="BG368">
        <v>1000</v>
      </c>
      <c r="BH368" s="6">
        <f>Grandview_Inventory[[#This Row],[land_extract]]*Lookups!$B$3</f>
        <v>59559.013262526838</v>
      </c>
      <c r="BI368" s="6">
        <f>IF(Grandview_Inventory[[#This Row],[bldg_style]]="",0,Lookups!$B$2)</f>
        <v>155833.95000000001</v>
      </c>
      <c r="BJ368" s="6">
        <f>_xlfn.IFNA(VLOOKUP(Grandview_Inventory[[#This Row],[quality]],Lookups!$H$2:$J$14,3,FALSE),0)</f>
        <v>9808</v>
      </c>
      <c r="BK368" s="6">
        <f>_xlfn.IFNA(VLOOKUP(Grandview_Inventory[[#This Row],[condition]],Lookups!$H$17:$J$24,3,FALSE),0)</f>
        <v>22342</v>
      </c>
      <c r="BL368" s="6">
        <f>Grandview_Inventory[[#This Row],[Eff_Age]]*Lookups!$B$14</f>
        <v>-10523.330399999999</v>
      </c>
      <c r="BM368" s="6">
        <f>Grandview_Inventory[[#This Row],[living_area]]*Lookups!$B$15</f>
        <v>148092.14502200001</v>
      </c>
      <c r="BN368" s="6">
        <f>Grandview_Inventory[[#This Row],[Fin BSMT]]*Lookups!$B$16</f>
        <v>0</v>
      </c>
      <c r="BO368" s="6">
        <f>(Grandview_Inventory[[#This Row],[att_gar]]+Grandview_Inventory[[#This Row],[bltin_gar]])*Lookups!$B$17</f>
        <v>23105.395368000001</v>
      </c>
      <c r="BP368" s="6">
        <f>Grandview_Inventory[[#This Row],[Plumbing Fixtures]]*Lookups!$B$18</f>
        <v>16083.5344</v>
      </c>
      <c r="BQ368" s="6">
        <f>Grandview_Inventory[[#This Row],[detatched_value]]*Lookups!$B$19</f>
        <v>0</v>
      </c>
      <c r="BR368" s="6">
        <f>SUM(Grandview_Inventory[[#This Row],[Intercept]:[det_value]])*Grandview_Inventory[[#This Row],[res_pct]]</f>
        <v>364741.69439000008</v>
      </c>
      <c r="BS368" s="6">
        <f>Grandview_Inventory[[#This Row],[land_value]]</f>
        <v>59559.013262526838</v>
      </c>
      <c r="BT368" s="4">
        <f>_xlfn.IFNA(VLOOKUP(Grandview_Inventory[[#This Row],[quality]],Lookups!$A$26:$C$33,3,FALSE),1)</f>
        <v>0.94295468617355149</v>
      </c>
      <c r="BU368" s="4">
        <f>_xlfn.IFNA(VLOOKUP(Grandview_Inventory[[#This Row],[condition]],Lookups!$A$37:$C$44,3,FALSE),1)</f>
        <v>0.97383723671140243</v>
      </c>
      <c r="BV368" s="4">
        <f>IF(Grandview_Inventory[[#This Row],[bldg_style]]="",1,_xlfn.IFNA(VLOOKUP(Grandview_Inventory[[#This Row],[decade]],Lookups!$F$29:$H$43,3,FALSE),1))</f>
        <v>0.9871940091910919</v>
      </c>
      <c r="BW368" s="4">
        <f>_xlfn.IFNA(VLOOKUP(Grandview_Inventory[[#This Row],[living_area_range]],Lookups!$F$47:$H$56,3,FALSE),1)</f>
        <v>0.95799442568048754</v>
      </c>
      <c r="BX368" s="4">
        <f>AVERAGE(Grandview_Inventory[[#This Row],[qual_adj]:[size_adj]])</f>
        <v>0.96549508943913331</v>
      </c>
      <c r="BY368" s="6">
        <f>IF(Grandview_Inventory[[#This Row],[pre_res]]&lt;0,0,Grandview_Inventory[[#This Row],[pre_res]]*Grandview_Inventory[[#This Row],[overall_adj]])</f>
        <v>352156.31484725414</v>
      </c>
      <c r="BZ368" s="6">
        <f>(Grandview_Inventory[[#This Row],[sum_land]]-IF(Grandview_Inventory[[#This Row],[no_utilities]]=1,12000,0))/IF(Grandview_Inventory[[#This Row],[unbuildable]]=1,2,1)</f>
        <v>59559.013262526838</v>
      </c>
      <c r="CA368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68">
        <f>ROUND(Grandview_Inventory[[#This Row],[det_value]]*Lookups!$M$28,-2)</f>
        <v>0</v>
      </c>
      <c r="CC368">
        <f>IF(ROUND(Grandview_Inventory[[#This Row],[adj_res]]*Lookups!$M$28,-2)&lt;Grandview_Inventory[[#This Row],[min_res]],Grandview_Inventory[[#This Row],[min_res]],ROUND(Grandview_Inventory[[#This Row],[adj_res]]*Lookups!$M$28,-2))</f>
        <v>334500</v>
      </c>
      <c r="CD368">
        <f>Grandview_Inventory[[#This Row],[final_det]]+Grandview_Inventory[[#This Row],[final_res]]</f>
        <v>334500</v>
      </c>
      <c r="CE368">
        <f>Grandview_Inventory[[#This Row],[final_land]]+Grandview_Inventory[[#This Row],[final_imp]]+Grandview_Inventory[[#This Row],[crop_value]]</f>
        <v>391100</v>
      </c>
      <c r="CG368" t="str">
        <f t="shared" si="5"/>
        <v>update valuation set market_land =56600, market_bldg=334500, market_total =391100, market_mdno =401, market_date ='9/10/2023' where link_id = (select link_id from parcel where parcel_year = '2024' and parcel_id = '23091911403');</v>
      </c>
    </row>
    <row r="369" spans="1:85" x14ac:dyDescent="0.25">
      <c r="A369">
        <v>23091911404</v>
      </c>
      <c r="B369">
        <v>0.39</v>
      </c>
      <c r="C369">
        <v>16798</v>
      </c>
      <c r="D369" t="s">
        <v>129</v>
      </c>
      <c r="E369" t="s">
        <v>53</v>
      </c>
      <c r="F369" t="s">
        <v>53</v>
      </c>
      <c r="G369">
        <v>4</v>
      </c>
      <c r="H369" t="s">
        <v>54</v>
      </c>
      <c r="I369">
        <v>217200</v>
      </c>
      <c r="J369">
        <v>41200</v>
      </c>
      <c r="K369">
        <v>0.39</v>
      </c>
      <c r="L369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69">
        <v>0</v>
      </c>
      <c r="N369">
        <v>0</v>
      </c>
      <c r="O369">
        <v>0</v>
      </c>
      <c r="P369">
        <v>13398.7528</v>
      </c>
      <c r="Q369">
        <v>63903</v>
      </c>
      <c r="R369">
        <f>(Grandview_Inventory[[#This Row],[ln_acres]]*Grandview_Inventory[[#This Row],[coeff]])+Grandview_Inventory[[#This Row],[const]]</f>
        <v>51286.619940067751</v>
      </c>
      <c r="S369" t="s">
        <v>61</v>
      </c>
      <c r="T369">
        <v>1</v>
      </c>
      <c r="U369" t="s">
        <v>65</v>
      </c>
      <c r="V369" t="s">
        <v>69</v>
      </c>
      <c r="W369">
        <v>0</v>
      </c>
      <c r="X369">
        <v>0</v>
      </c>
      <c r="Y369">
        <v>44</v>
      </c>
      <c r="Z369">
        <v>46</v>
      </c>
      <c r="AA369">
        <v>50</v>
      </c>
      <c r="AB369">
        <v>1500</v>
      </c>
      <c r="AC369">
        <v>1481</v>
      </c>
      <c r="AD369">
        <v>1481</v>
      </c>
      <c r="AE369">
        <v>0</v>
      </c>
      <c r="AF369">
        <v>0</v>
      </c>
      <c r="AG369">
        <v>0</v>
      </c>
      <c r="AH369">
        <v>0</v>
      </c>
      <c r="AI369">
        <v>600</v>
      </c>
      <c r="AJ369">
        <v>0</v>
      </c>
      <c r="AK369">
        <v>0</v>
      </c>
      <c r="AL369">
        <v>0</v>
      </c>
      <c r="AM369">
        <v>360</v>
      </c>
      <c r="AN369">
        <v>0</v>
      </c>
      <c r="AO369">
        <v>360</v>
      </c>
      <c r="AP369">
        <v>7</v>
      </c>
      <c r="AQ369">
        <v>0</v>
      </c>
      <c r="AR369">
        <v>0</v>
      </c>
      <c r="AS369" t="s">
        <v>58</v>
      </c>
      <c r="AT369">
        <v>1</v>
      </c>
      <c r="AU369" t="s">
        <v>63</v>
      </c>
      <c r="AV369" t="s">
        <v>60</v>
      </c>
      <c r="AW369">
        <v>1</v>
      </c>
      <c r="AX369">
        <v>3</v>
      </c>
      <c r="AY369">
        <v>0</v>
      </c>
      <c r="AZ369">
        <v>13700</v>
      </c>
      <c r="BA369">
        <v>100</v>
      </c>
      <c r="BB369">
        <v>100</v>
      </c>
      <c r="BC369">
        <v>100</v>
      </c>
      <c r="BD369">
        <v>100</v>
      </c>
      <c r="BE369">
        <v>1</v>
      </c>
      <c r="BF369">
        <v>15000</v>
      </c>
      <c r="BG369">
        <v>1000</v>
      </c>
      <c r="BH369" s="6">
        <f>Grandview_Inventory[[#This Row],[land_extract]]*Lookups!$B$3</f>
        <v>59559.013262526838</v>
      </c>
      <c r="BI369" s="6">
        <f>IF(Grandview_Inventory[[#This Row],[bldg_style]]="",0,Lookups!$B$2)</f>
        <v>155833.95000000001</v>
      </c>
      <c r="BJ369" s="6">
        <f>_xlfn.IFNA(VLOOKUP(Grandview_Inventory[[#This Row],[quality]],Lookups!$H$2:$J$14,3,FALSE),0)</f>
        <v>2251</v>
      </c>
      <c r="BK369" s="6">
        <f>_xlfn.IFNA(VLOOKUP(Grandview_Inventory[[#This Row],[condition]],Lookups!$H$17:$J$24,3,FALSE),0)</f>
        <v>-4503</v>
      </c>
      <c r="BL369" s="6">
        <f>Grandview_Inventory[[#This Row],[Eff_Age]]*Lookups!$B$14</f>
        <v>-10523.330399999999</v>
      </c>
      <c r="BM369" s="6">
        <f>Grandview_Inventory[[#This Row],[living_area]]*Lookups!$B$15</f>
        <v>92386.04329300001</v>
      </c>
      <c r="BN369" s="6">
        <f>Grandview_Inventory[[#This Row],[Fin BSMT]]*Lookups!$B$16</f>
        <v>0</v>
      </c>
      <c r="BO369" s="6">
        <f>(Grandview_Inventory[[#This Row],[att_gar]]+Grandview_Inventory[[#This Row],[bltin_gar]])*Lookups!$B$17</f>
        <v>52512.262199999997</v>
      </c>
      <c r="BP369" s="6">
        <f>Grandview_Inventory[[#This Row],[Plumbing Fixtures]]*Lookups!$B$18</f>
        <v>14073.0926</v>
      </c>
      <c r="BQ369" s="6">
        <f>Grandview_Inventory[[#This Row],[detatched_value]]*Lookups!$B$19</f>
        <v>11601.229869999999</v>
      </c>
      <c r="BR369" s="6">
        <f>SUM(Grandview_Inventory[[#This Row],[Intercept]:[det_value]])*Grandview_Inventory[[#This Row],[res_pct]]</f>
        <v>313631.24756299995</v>
      </c>
      <c r="BS369" s="6">
        <f>Grandview_Inventory[[#This Row],[land_value]]</f>
        <v>59559.013262526838</v>
      </c>
      <c r="BT369" s="4">
        <f>_xlfn.IFNA(VLOOKUP(Grandview_Inventory[[#This Row],[quality]],Lookups!$A$26:$C$33,3,FALSE),1)</f>
        <v>0.98763855981004833</v>
      </c>
      <c r="BU369" s="4">
        <f>_xlfn.IFNA(VLOOKUP(Grandview_Inventory[[#This Row],[condition]],Lookups!$A$37:$C$44,3,FALSE),1)</f>
        <v>0.96469275950863709</v>
      </c>
      <c r="BV369" s="4">
        <f>IF(Grandview_Inventory[[#This Row],[bldg_style]]="",1,_xlfn.IFNA(VLOOKUP(Grandview_Inventory[[#This Row],[decade]],Lookups!$F$29:$H$43,3,FALSE),1))</f>
        <v>0.9871940091910919</v>
      </c>
      <c r="BW369" s="4">
        <f>_xlfn.IFNA(VLOOKUP(Grandview_Inventory[[#This Row],[living_area_range]],Lookups!$F$47:$H$56,3,FALSE),1)</f>
        <v>0.96135087979789358</v>
      </c>
      <c r="BX369" s="4">
        <f>AVERAGE(Grandview_Inventory[[#This Row],[qual_adj]:[size_adj]])</f>
        <v>0.97521905207691773</v>
      </c>
      <c r="BY369" s="6">
        <f>IF(Grandview_Inventory[[#This Row],[pre_res]]&lt;0,0,Grandview_Inventory[[#This Row],[pre_res]]*Grandview_Inventory[[#This Row],[overall_adj]])</f>
        <v>305859.1679500899</v>
      </c>
      <c r="BZ369" s="6">
        <f>(Grandview_Inventory[[#This Row],[sum_land]]-IF(Grandview_Inventory[[#This Row],[no_utilities]]=1,12000,0))/IF(Grandview_Inventory[[#This Row],[unbuildable]]=1,2,1)</f>
        <v>59559.013262526838</v>
      </c>
      <c r="CA369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69">
        <f>ROUND(Grandview_Inventory[[#This Row],[det_value]]*Lookups!$M$28,-2)</f>
        <v>11000</v>
      </c>
      <c r="CC369">
        <f>IF(ROUND(Grandview_Inventory[[#This Row],[adj_res]]*Lookups!$M$28,-2)&lt;Grandview_Inventory[[#This Row],[min_res]],Grandview_Inventory[[#This Row],[min_res]],ROUND(Grandview_Inventory[[#This Row],[adj_res]]*Lookups!$M$28,-2))</f>
        <v>290600</v>
      </c>
      <c r="CD369">
        <f>Grandview_Inventory[[#This Row],[final_det]]+Grandview_Inventory[[#This Row],[final_res]]</f>
        <v>301600</v>
      </c>
      <c r="CE369">
        <f>Grandview_Inventory[[#This Row],[final_land]]+Grandview_Inventory[[#This Row],[final_imp]]+Grandview_Inventory[[#This Row],[crop_value]]</f>
        <v>358200</v>
      </c>
      <c r="CG369" t="str">
        <f t="shared" si="5"/>
        <v>update valuation set market_land =56600, market_bldg=301600, market_total =358200, market_mdno =401, market_date ='9/10/2023' where link_id = (select link_id from parcel where parcel_year = '2024' and parcel_id = '23091911404');</v>
      </c>
    </row>
    <row r="370" spans="1:85" x14ac:dyDescent="0.25">
      <c r="A370">
        <v>23091911405</v>
      </c>
      <c r="B370">
        <v>0.39</v>
      </c>
      <c r="C370">
        <v>16798</v>
      </c>
      <c r="D370" t="s">
        <v>129</v>
      </c>
      <c r="E370" t="s">
        <v>53</v>
      </c>
      <c r="F370" t="s">
        <v>53</v>
      </c>
      <c r="G370">
        <v>4</v>
      </c>
      <c r="H370" t="s">
        <v>54</v>
      </c>
      <c r="I370">
        <v>268000</v>
      </c>
      <c r="J370">
        <v>41200</v>
      </c>
      <c r="K370">
        <v>0.39</v>
      </c>
      <c r="L370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0">
        <v>0</v>
      </c>
      <c r="N370">
        <v>0</v>
      </c>
      <c r="O370">
        <v>0</v>
      </c>
      <c r="P370">
        <v>13398.7528</v>
      </c>
      <c r="Q370">
        <v>63903</v>
      </c>
      <c r="R370">
        <f>(Grandview_Inventory[[#This Row],[ln_acres]]*Grandview_Inventory[[#This Row],[coeff]])+Grandview_Inventory[[#This Row],[const]]</f>
        <v>51286.619940067751</v>
      </c>
      <c r="S370" t="s">
        <v>61</v>
      </c>
      <c r="T370">
        <v>1</v>
      </c>
      <c r="U370" t="s">
        <v>64</v>
      </c>
      <c r="V370" t="s">
        <v>69</v>
      </c>
      <c r="W370">
        <v>0</v>
      </c>
      <c r="X370">
        <v>0</v>
      </c>
      <c r="Y370">
        <v>45</v>
      </c>
      <c r="Z370">
        <v>50</v>
      </c>
      <c r="AA370">
        <v>50</v>
      </c>
      <c r="AB370">
        <v>2500</v>
      </c>
      <c r="AC370">
        <v>2149</v>
      </c>
      <c r="AD370">
        <v>2149</v>
      </c>
      <c r="AE370">
        <v>0</v>
      </c>
      <c r="AF370">
        <v>0</v>
      </c>
      <c r="AG370">
        <v>0</v>
      </c>
      <c r="AH370">
        <v>896</v>
      </c>
      <c r="AI370">
        <v>635</v>
      </c>
      <c r="AJ370">
        <v>0</v>
      </c>
      <c r="AK370">
        <v>0</v>
      </c>
      <c r="AL370">
        <v>0</v>
      </c>
      <c r="AM370">
        <v>256</v>
      </c>
      <c r="AN370">
        <v>0</v>
      </c>
      <c r="AO370">
        <v>256</v>
      </c>
      <c r="AP370">
        <v>12</v>
      </c>
      <c r="AQ370">
        <v>0</v>
      </c>
      <c r="AR370">
        <v>1</v>
      </c>
      <c r="AS370" t="s">
        <v>58</v>
      </c>
      <c r="AT370">
        <v>1</v>
      </c>
      <c r="AU370" t="s">
        <v>63</v>
      </c>
      <c r="AV370" t="s">
        <v>60</v>
      </c>
      <c r="AW370">
        <v>1</v>
      </c>
      <c r="AX370">
        <v>3</v>
      </c>
      <c r="AY370">
        <v>0</v>
      </c>
      <c r="AZ370">
        <v>0</v>
      </c>
      <c r="BA370">
        <v>100</v>
      </c>
      <c r="BB370">
        <v>100</v>
      </c>
      <c r="BC370">
        <v>100</v>
      </c>
      <c r="BD370">
        <v>100</v>
      </c>
      <c r="BE370">
        <v>1</v>
      </c>
      <c r="BF370">
        <v>15000</v>
      </c>
      <c r="BG370">
        <v>1000</v>
      </c>
      <c r="BH370" s="6">
        <f>Grandview_Inventory[[#This Row],[land_extract]]*Lookups!$B$3</f>
        <v>59559.013262526838</v>
      </c>
      <c r="BI370" s="6">
        <f>IF(Grandview_Inventory[[#This Row],[bldg_style]]="",0,Lookups!$B$2)</f>
        <v>155833.95000000001</v>
      </c>
      <c r="BJ370" s="6">
        <f>_xlfn.IFNA(VLOOKUP(Grandview_Inventory[[#This Row],[quality]],Lookups!$H$2:$J$14,3,FALSE),0)</f>
        <v>20768</v>
      </c>
      <c r="BK370" s="6">
        <f>_xlfn.IFNA(VLOOKUP(Grandview_Inventory[[#This Row],[condition]],Lookups!$H$17:$J$24,3,FALSE),0)</f>
        <v>-4503</v>
      </c>
      <c r="BL370" s="6">
        <f>Grandview_Inventory[[#This Row],[Eff_Age]]*Lookups!$B$14</f>
        <v>-10762.496999999999</v>
      </c>
      <c r="BM370" s="6">
        <f>Grandview_Inventory[[#This Row],[living_area]]*Lookups!$B$15</f>
        <v>134056.45309699999</v>
      </c>
      <c r="BN370" s="6">
        <f>Grandview_Inventory[[#This Row],[Fin BSMT]]*Lookups!$B$16</f>
        <v>0</v>
      </c>
      <c r="BO370" s="6">
        <f>(Grandview_Inventory[[#This Row],[att_gar]]+Grandview_Inventory[[#This Row],[bltin_gar]])*Lookups!$B$17</f>
        <v>55575.477494999999</v>
      </c>
      <c r="BP370" s="6">
        <f>Grandview_Inventory[[#This Row],[Plumbing Fixtures]]*Lookups!$B$18</f>
        <v>24125.301599999999</v>
      </c>
      <c r="BQ370" s="6">
        <f>Grandview_Inventory[[#This Row],[detatched_value]]*Lookups!$B$19</f>
        <v>0</v>
      </c>
      <c r="BR370" s="6">
        <f>SUM(Grandview_Inventory[[#This Row],[Intercept]:[det_value]])*Grandview_Inventory[[#This Row],[res_pct]]</f>
        <v>375093.685192</v>
      </c>
      <c r="BS370" s="6">
        <f>Grandview_Inventory[[#This Row],[land_value]]</f>
        <v>59559.013262526838</v>
      </c>
      <c r="BT370" s="4">
        <f>_xlfn.IFNA(VLOOKUP(Grandview_Inventory[[#This Row],[quality]],Lookups!$A$26:$C$33,3,FALSE),1)</f>
        <v>0.94960540378902636</v>
      </c>
      <c r="BU370" s="4">
        <f>_xlfn.IFNA(VLOOKUP(Grandview_Inventory[[#This Row],[condition]],Lookups!$A$37:$C$44,3,FALSE),1)</f>
        <v>0.96469275950863709</v>
      </c>
      <c r="BV370" s="4">
        <f>IF(Grandview_Inventory[[#This Row],[bldg_style]]="",1,_xlfn.IFNA(VLOOKUP(Grandview_Inventory[[#This Row],[decade]],Lookups!$F$29:$H$43,3,FALSE),1))</f>
        <v>0.9871940091910919</v>
      </c>
      <c r="BW370" s="4">
        <f>_xlfn.IFNA(VLOOKUP(Grandview_Inventory[[#This Row],[living_area_range]],Lookups!$F$47:$H$56,3,FALSE),1)</f>
        <v>0.95799442568048754</v>
      </c>
      <c r="BX370" s="4">
        <f>AVERAGE(Grandview_Inventory[[#This Row],[qual_adj]:[size_adj]])</f>
        <v>0.96487164954231075</v>
      </c>
      <c r="BY370" s="6">
        <f>IF(Grandview_Inventory[[#This Row],[pre_res]]&lt;0,0,Grandview_Inventory[[#This Row],[pre_res]]*Grandview_Inventory[[#This Row],[overall_adj]])</f>
        <v>361917.26276410924</v>
      </c>
      <c r="BZ370" s="6">
        <f>(Grandview_Inventory[[#This Row],[sum_land]]-IF(Grandview_Inventory[[#This Row],[no_utilities]]=1,12000,0))/IF(Grandview_Inventory[[#This Row],[unbuildable]]=1,2,1)</f>
        <v>59559.013262526838</v>
      </c>
      <c r="CA370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0">
        <f>ROUND(Grandview_Inventory[[#This Row],[det_value]]*Lookups!$M$28,-2)</f>
        <v>0</v>
      </c>
      <c r="CC370">
        <f>IF(ROUND(Grandview_Inventory[[#This Row],[adj_res]]*Lookups!$M$28,-2)&lt;Grandview_Inventory[[#This Row],[min_res]],Grandview_Inventory[[#This Row],[min_res]],ROUND(Grandview_Inventory[[#This Row],[adj_res]]*Lookups!$M$28,-2))</f>
        <v>343800</v>
      </c>
      <c r="CD370">
        <f>Grandview_Inventory[[#This Row],[final_det]]+Grandview_Inventory[[#This Row],[final_res]]</f>
        <v>343800</v>
      </c>
      <c r="CE370">
        <f>Grandview_Inventory[[#This Row],[final_land]]+Grandview_Inventory[[#This Row],[final_imp]]+Grandview_Inventory[[#This Row],[crop_value]]</f>
        <v>400400</v>
      </c>
      <c r="CG370" t="str">
        <f t="shared" si="5"/>
        <v>update valuation set market_land =56600, market_bldg=343800, market_total =400400, market_mdno =401, market_date ='9/10/2023' where link_id = (select link_id from parcel where parcel_year = '2024' and parcel_id = '23091911405');</v>
      </c>
    </row>
    <row r="371" spans="1:85" x14ac:dyDescent="0.25">
      <c r="A371">
        <v>23091911406</v>
      </c>
      <c r="B371">
        <v>0.39</v>
      </c>
      <c r="C371">
        <v>16798</v>
      </c>
      <c r="D371" t="s">
        <v>129</v>
      </c>
      <c r="E371" t="s">
        <v>53</v>
      </c>
      <c r="F371" t="s">
        <v>53</v>
      </c>
      <c r="G371">
        <v>4</v>
      </c>
      <c r="H371" t="s">
        <v>54</v>
      </c>
      <c r="I371">
        <v>287200</v>
      </c>
      <c r="J371">
        <v>41200</v>
      </c>
      <c r="K371">
        <v>0.39</v>
      </c>
      <c r="L371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1">
        <v>0</v>
      </c>
      <c r="N371">
        <v>0</v>
      </c>
      <c r="O371">
        <v>0</v>
      </c>
      <c r="P371">
        <v>13398.7528</v>
      </c>
      <c r="Q371">
        <v>63903</v>
      </c>
      <c r="R371">
        <f>(Grandview_Inventory[[#This Row],[ln_acres]]*Grandview_Inventory[[#This Row],[coeff]])+Grandview_Inventory[[#This Row],[const]]</f>
        <v>51286.619940067751</v>
      </c>
      <c r="S371" t="s">
        <v>61</v>
      </c>
      <c r="T371">
        <v>1</v>
      </c>
      <c r="U371" t="s">
        <v>62</v>
      </c>
      <c r="V371" t="s">
        <v>67</v>
      </c>
      <c r="W371">
        <v>0</v>
      </c>
      <c r="X371">
        <v>0</v>
      </c>
      <c r="Y371">
        <v>45</v>
      </c>
      <c r="Z371">
        <v>50</v>
      </c>
      <c r="AA371">
        <v>50</v>
      </c>
      <c r="AB371">
        <v>2000</v>
      </c>
      <c r="AC371">
        <v>1858</v>
      </c>
      <c r="AD371">
        <v>1858</v>
      </c>
      <c r="AE371">
        <v>0</v>
      </c>
      <c r="AF371">
        <v>0</v>
      </c>
      <c r="AG371">
        <v>0</v>
      </c>
      <c r="AH371">
        <v>144</v>
      </c>
      <c r="AI371">
        <v>642</v>
      </c>
      <c r="AJ371">
        <v>0</v>
      </c>
      <c r="AK371">
        <v>0</v>
      </c>
      <c r="AL371">
        <v>0</v>
      </c>
      <c r="AM371">
        <v>484</v>
      </c>
      <c r="AN371">
        <v>216</v>
      </c>
      <c r="AO371">
        <v>0</v>
      </c>
      <c r="AP371">
        <v>10</v>
      </c>
      <c r="AQ371">
        <v>0</v>
      </c>
      <c r="AR371">
        <v>1</v>
      </c>
      <c r="AS371" t="s">
        <v>58</v>
      </c>
      <c r="AT371">
        <v>1</v>
      </c>
      <c r="AU371" t="s">
        <v>63</v>
      </c>
      <c r="AV371" t="s">
        <v>60</v>
      </c>
      <c r="AW371">
        <v>1</v>
      </c>
      <c r="AX371">
        <v>3</v>
      </c>
      <c r="AY371">
        <v>0</v>
      </c>
      <c r="AZ371">
        <v>7500</v>
      </c>
      <c r="BA371">
        <v>100</v>
      </c>
      <c r="BB371">
        <v>100</v>
      </c>
      <c r="BC371">
        <v>100</v>
      </c>
      <c r="BD371">
        <v>100</v>
      </c>
      <c r="BE371">
        <v>1</v>
      </c>
      <c r="BF371">
        <v>15000</v>
      </c>
      <c r="BG371">
        <v>1000</v>
      </c>
      <c r="BH371" s="6">
        <f>Grandview_Inventory[[#This Row],[land_extract]]*Lookups!$B$3</f>
        <v>59559.013262526838</v>
      </c>
      <c r="BI371" s="6">
        <f>IF(Grandview_Inventory[[#This Row],[bldg_style]]="",0,Lookups!$B$2)</f>
        <v>155833.95000000001</v>
      </c>
      <c r="BJ371" s="6">
        <f>_xlfn.IFNA(VLOOKUP(Grandview_Inventory[[#This Row],[quality]],Lookups!$H$2:$J$14,3,FALSE),0)</f>
        <v>9808</v>
      </c>
      <c r="BK371" s="6">
        <f>_xlfn.IFNA(VLOOKUP(Grandview_Inventory[[#This Row],[condition]],Lookups!$H$17:$J$24,3,FALSE),0)</f>
        <v>22342</v>
      </c>
      <c r="BL371" s="6">
        <f>Grandview_Inventory[[#This Row],[Eff_Age]]*Lookups!$B$14</f>
        <v>-10762.496999999999</v>
      </c>
      <c r="BM371" s="6">
        <f>Grandview_Inventory[[#This Row],[living_area]]*Lookups!$B$15</f>
        <v>115903.624874</v>
      </c>
      <c r="BN371" s="6">
        <f>Grandview_Inventory[[#This Row],[Fin BSMT]]*Lookups!$B$16</f>
        <v>0</v>
      </c>
      <c r="BO371" s="6">
        <f>(Grandview_Inventory[[#This Row],[att_gar]]+Grandview_Inventory[[#This Row],[bltin_gar]])*Lookups!$B$17</f>
        <v>56188.120554000001</v>
      </c>
      <c r="BP371" s="6">
        <f>Grandview_Inventory[[#This Row],[Plumbing Fixtures]]*Lookups!$B$18</f>
        <v>20104.418000000001</v>
      </c>
      <c r="BQ371" s="6">
        <f>Grandview_Inventory[[#This Row],[detatched_value]]*Lookups!$B$19</f>
        <v>6351.0382499999996</v>
      </c>
      <c r="BR371" s="6">
        <f>SUM(Grandview_Inventory[[#This Row],[Intercept]:[det_value]])*Grandview_Inventory[[#This Row],[res_pct]]</f>
        <v>375768.65467800002</v>
      </c>
      <c r="BS371" s="6">
        <f>Grandview_Inventory[[#This Row],[land_value]]</f>
        <v>59559.013262526838</v>
      </c>
      <c r="BT371" s="4">
        <f>_xlfn.IFNA(VLOOKUP(Grandview_Inventory[[#This Row],[quality]],Lookups!$A$26:$C$33,3,FALSE),1)</f>
        <v>0.94295468617355149</v>
      </c>
      <c r="BU371" s="4">
        <f>_xlfn.IFNA(VLOOKUP(Grandview_Inventory[[#This Row],[condition]],Lookups!$A$37:$C$44,3,FALSE),1)</f>
        <v>0.97383723671140243</v>
      </c>
      <c r="BV371" s="4">
        <f>IF(Grandview_Inventory[[#This Row],[bldg_style]]="",1,_xlfn.IFNA(VLOOKUP(Grandview_Inventory[[#This Row],[decade]],Lookups!$F$29:$H$43,3,FALSE),1))</f>
        <v>0.9871940091910919</v>
      </c>
      <c r="BW371" s="4">
        <f>_xlfn.IFNA(VLOOKUP(Grandview_Inventory[[#This Row],[living_area_range]],Lookups!$F$47:$H$56,3,FALSE),1)</f>
        <v>0.96120133463014379</v>
      </c>
      <c r="BX371" s="4">
        <f>AVERAGE(Grandview_Inventory[[#This Row],[qual_adj]:[size_adj]])</f>
        <v>0.96629681667654732</v>
      </c>
      <c r="BY371" s="6">
        <f>IF(Grandview_Inventory[[#This Row],[pre_res]]&lt;0,0,Grandview_Inventory[[#This Row],[pre_res]]*Grandview_Inventory[[#This Row],[overall_adj]])</f>
        <v>363104.05482218019</v>
      </c>
      <c r="BZ371" s="6">
        <f>(Grandview_Inventory[[#This Row],[sum_land]]-IF(Grandview_Inventory[[#This Row],[no_utilities]]=1,12000,0))/IF(Grandview_Inventory[[#This Row],[unbuildable]]=1,2,1)</f>
        <v>59559.013262526838</v>
      </c>
      <c r="CA371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1">
        <f>ROUND(Grandview_Inventory[[#This Row],[det_value]]*Lookups!$M$28,-2)</f>
        <v>6000</v>
      </c>
      <c r="CC371">
        <f>IF(ROUND(Grandview_Inventory[[#This Row],[adj_res]]*Lookups!$M$28,-2)&lt;Grandview_Inventory[[#This Row],[min_res]],Grandview_Inventory[[#This Row],[min_res]],ROUND(Grandview_Inventory[[#This Row],[adj_res]]*Lookups!$M$28,-2))</f>
        <v>344900</v>
      </c>
      <c r="CD371">
        <f>Grandview_Inventory[[#This Row],[final_det]]+Grandview_Inventory[[#This Row],[final_res]]</f>
        <v>350900</v>
      </c>
      <c r="CE371">
        <f>Grandview_Inventory[[#This Row],[final_land]]+Grandview_Inventory[[#This Row],[final_imp]]+Grandview_Inventory[[#This Row],[crop_value]]</f>
        <v>407500</v>
      </c>
      <c r="CG371" t="str">
        <f t="shared" si="5"/>
        <v>update valuation set market_land =56600, market_bldg=350900, market_total =407500, market_mdno =401, market_date ='9/10/2023' where link_id = (select link_id from parcel where parcel_year = '2024' and parcel_id = '23091911406');</v>
      </c>
    </row>
    <row r="372" spans="1:85" x14ac:dyDescent="0.25">
      <c r="A372">
        <v>23091911407</v>
      </c>
      <c r="B372">
        <v>0.39</v>
      </c>
      <c r="C372">
        <v>16798</v>
      </c>
      <c r="D372" t="s">
        <v>129</v>
      </c>
      <c r="E372" t="s">
        <v>53</v>
      </c>
      <c r="F372" t="s">
        <v>53</v>
      </c>
      <c r="G372">
        <v>4</v>
      </c>
      <c r="H372" t="s">
        <v>54</v>
      </c>
      <c r="I372">
        <v>280600</v>
      </c>
      <c r="J372">
        <v>41200</v>
      </c>
      <c r="K372">
        <v>0.39</v>
      </c>
      <c r="L372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2">
        <v>0</v>
      </c>
      <c r="N372">
        <v>0</v>
      </c>
      <c r="O372">
        <v>0</v>
      </c>
      <c r="P372">
        <v>13398.7528</v>
      </c>
      <c r="Q372">
        <v>63903</v>
      </c>
      <c r="R372">
        <f>(Grandview_Inventory[[#This Row],[ln_acres]]*Grandview_Inventory[[#This Row],[coeff]])+Grandview_Inventory[[#This Row],[const]]</f>
        <v>51286.619940067751</v>
      </c>
      <c r="S372" t="s">
        <v>61</v>
      </c>
      <c r="T372">
        <v>1</v>
      </c>
      <c r="U372" t="s">
        <v>64</v>
      </c>
      <c r="V372" t="s">
        <v>69</v>
      </c>
      <c r="W372">
        <v>0</v>
      </c>
      <c r="X372">
        <v>0</v>
      </c>
      <c r="Y372">
        <v>45</v>
      </c>
      <c r="Z372">
        <v>51</v>
      </c>
      <c r="AA372">
        <v>60</v>
      </c>
      <c r="AB372">
        <v>2000</v>
      </c>
      <c r="AC372">
        <v>1704</v>
      </c>
      <c r="AD372">
        <v>1704</v>
      </c>
      <c r="AE372">
        <v>0</v>
      </c>
      <c r="AF372">
        <v>0</v>
      </c>
      <c r="AG372">
        <v>0</v>
      </c>
      <c r="AH372">
        <v>180</v>
      </c>
      <c r="AI372">
        <v>504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10</v>
      </c>
      <c r="AQ372">
        <v>0</v>
      </c>
      <c r="AR372">
        <v>1</v>
      </c>
      <c r="AS372" t="s">
        <v>73</v>
      </c>
      <c r="AT372">
        <v>1</v>
      </c>
      <c r="AU372" t="s">
        <v>63</v>
      </c>
      <c r="AV372" t="s">
        <v>60</v>
      </c>
      <c r="AW372">
        <v>1</v>
      </c>
      <c r="AX372">
        <v>3</v>
      </c>
      <c r="AY372">
        <v>0</v>
      </c>
      <c r="AZ372">
        <v>0</v>
      </c>
      <c r="BA372">
        <v>100</v>
      </c>
      <c r="BB372">
        <v>100</v>
      </c>
      <c r="BC372">
        <v>100</v>
      </c>
      <c r="BD372">
        <v>100</v>
      </c>
      <c r="BE372">
        <v>1</v>
      </c>
      <c r="BF372">
        <v>15000</v>
      </c>
      <c r="BG372">
        <v>1000</v>
      </c>
      <c r="BH372" s="6">
        <f>Grandview_Inventory[[#This Row],[land_extract]]*Lookups!$B$3</f>
        <v>59559.013262526838</v>
      </c>
      <c r="BI372" s="6">
        <f>IF(Grandview_Inventory[[#This Row],[bldg_style]]="",0,Lookups!$B$2)</f>
        <v>155833.95000000001</v>
      </c>
      <c r="BJ372" s="6">
        <f>_xlfn.IFNA(VLOOKUP(Grandview_Inventory[[#This Row],[quality]],Lookups!$H$2:$J$14,3,FALSE),0)</f>
        <v>20768</v>
      </c>
      <c r="BK372" s="6">
        <f>_xlfn.IFNA(VLOOKUP(Grandview_Inventory[[#This Row],[condition]],Lookups!$H$17:$J$24,3,FALSE),0)</f>
        <v>-4503</v>
      </c>
      <c r="BL372" s="6">
        <f>Grandview_Inventory[[#This Row],[Eff_Age]]*Lookups!$B$14</f>
        <v>-10762.496999999999</v>
      </c>
      <c r="BM372" s="6">
        <f>Grandview_Inventory[[#This Row],[living_area]]*Lookups!$B$15</f>
        <v>106296.973512</v>
      </c>
      <c r="BN372" s="6">
        <f>Grandview_Inventory[[#This Row],[Fin BSMT]]*Lookups!$B$16</f>
        <v>0</v>
      </c>
      <c r="BO372" s="6">
        <f>(Grandview_Inventory[[#This Row],[att_gar]]+Grandview_Inventory[[#This Row],[bltin_gar]])*Lookups!$B$17</f>
        <v>44110.300248</v>
      </c>
      <c r="BP372" s="6">
        <f>Grandview_Inventory[[#This Row],[Plumbing Fixtures]]*Lookups!$B$18</f>
        <v>20104.418000000001</v>
      </c>
      <c r="BQ372" s="6">
        <f>Grandview_Inventory[[#This Row],[detatched_value]]*Lookups!$B$19</f>
        <v>0</v>
      </c>
      <c r="BR372" s="6">
        <f>SUM(Grandview_Inventory[[#This Row],[Intercept]:[det_value]])*Grandview_Inventory[[#This Row],[res_pct]]</f>
        <v>331848.14476000005</v>
      </c>
      <c r="BS372" s="6">
        <f>Grandview_Inventory[[#This Row],[land_value]]</f>
        <v>59559.013262526838</v>
      </c>
      <c r="BT372" s="4">
        <f>_xlfn.IFNA(VLOOKUP(Grandview_Inventory[[#This Row],[quality]],Lookups!$A$26:$C$33,3,FALSE),1)</f>
        <v>0.94960540378902636</v>
      </c>
      <c r="BU372" s="4">
        <f>_xlfn.IFNA(VLOOKUP(Grandview_Inventory[[#This Row],[condition]],Lookups!$A$37:$C$44,3,FALSE),1)</f>
        <v>0.96469275950863709</v>
      </c>
      <c r="BV372" s="4">
        <f>IF(Grandview_Inventory[[#This Row],[bldg_style]]="",1,_xlfn.IFNA(VLOOKUP(Grandview_Inventory[[#This Row],[decade]],Lookups!$F$29:$H$43,3,FALSE),1))</f>
        <v>0.95268620544463312</v>
      </c>
      <c r="BW372" s="4">
        <f>_xlfn.IFNA(VLOOKUP(Grandview_Inventory[[#This Row],[living_area_range]],Lookups!$F$47:$H$56,3,FALSE),1)</f>
        <v>0.96120133463014379</v>
      </c>
      <c r="BX372" s="4">
        <f>AVERAGE(Grandview_Inventory[[#This Row],[qual_adj]:[size_adj]])</f>
        <v>0.95704642584311017</v>
      </c>
      <c r="BY372" s="6">
        <f>IF(Grandview_Inventory[[#This Row],[pre_res]]&lt;0,0,Grandview_Inventory[[#This Row],[pre_res]]*Grandview_Inventory[[#This Row],[overall_adj]])</f>
        <v>317594.08086522506</v>
      </c>
      <c r="BZ372" s="6">
        <f>(Grandview_Inventory[[#This Row],[sum_land]]-IF(Grandview_Inventory[[#This Row],[no_utilities]]=1,12000,0))/IF(Grandview_Inventory[[#This Row],[unbuildable]]=1,2,1)</f>
        <v>59559.013262526838</v>
      </c>
      <c r="CA372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2">
        <f>ROUND(Grandview_Inventory[[#This Row],[det_value]]*Lookups!$M$28,-2)</f>
        <v>0</v>
      </c>
      <c r="CC372">
        <f>IF(ROUND(Grandview_Inventory[[#This Row],[adj_res]]*Lookups!$M$28,-2)&lt;Grandview_Inventory[[#This Row],[min_res]],Grandview_Inventory[[#This Row],[min_res]],ROUND(Grandview_Inventory[[#This Row],[adj_res]]*Lookups!$M$28,-2))</f>
        <v>301700</v>
      </c>
      <c r="CD372">
        <f>Grandview_Inventory[[#This Row],[final_det]]+Grandview_Inventory[[#This Row],[final_res]]</f>
        <v>301700</v>
      </c>
      <c r="CE372">
        <f>Grandview_Inventory[[#This Row],[final_land]]+Grandview_Inventory[[#This Row],[final_imp]]+Grandview_Inventory[[#This Row],[crop_value]]</f>
        <v>358300</v>
      </c>
      <c r="CG372" t="str">
        <f t="shared" si="5"/>
        <v>update valuation set market_land =56600, market_bldg=301700, market_total =358300, market_mdno =401, market_date ='9/10/2023' where link_id = (select link_id from parcel where parcel_year = '2024' and parcel_id = '23091911407');</v>
      </c>
    </row>
    <row r="373" spans="1:85" x14ac:dyDescent="0.25">
      <c r="A373">
        <v>23091911408</v>
      </c>
      <c r="B373">
        <v>0.39</v>
      </c>
      <c r="C373">
        <v>16798</v>
      </c>
      <c r="D373" t="s">
        <v>129</v>
      </c>
      <c r="E373" t="s">
        <v>53</v>
      </c>
      <c r="F373" t="s">
        <v>53</v>
      </c>
      <c r="G373">
        <v>4</v>
      </c>
      <c r="H373" t="s">
        <v>54</v>
      </c>
      <c r="I373">
        <v>239700</v>
      </c>
      <c r="J373">
        <v>41200</v>
      </c>
      <c r="K373">
        <v>0.39</v>
      </c>
      <c r="L373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3">
        <v>0</v>
      </c>
      <c r="N373">
        <v>0</v>
      </c>
      <c r="O373">
        <v>0</v>
      </c>
      <c r="P373">
        <v>13398.7528</v>
      </c>
      <c r="Q373">
        <v>63903</v>
      </c>
      <c r="R373">
        <f>(Grandview_Inventory[[#This Row],[ln_acres]]*Grandview_Inventory[[#This Row],[coeff]])+Grandview_Inventory[[#This Row],[const]]</f>
        <v>51286.619940067751</v>
      </c>
      <c r="S373" t="s">
        <v>61</v>
      </c>
      <c r="T373">
        <v>1</v>
      </c>
      <c r="U373" t="s">
        <v>64</v>
      </c>
      <c r="V373" t="s">
        <v>69</v>
      </c>
      <c r="W373">
        <v>0</v>
      </c>
      <c r="X373">
        <v>0</v>
      </c>
      <c r="Y373">
        <v>45</v>
      </c>
      <c r="Z373">
        <v>52</v>
      </c>
      <c r="AA373">
        <v>60</v>
      </c>
      <c r="AB373">
        <v>2000</v>
      </c>
      <c r="AC373">
        <v>1750</v>
      </c>
      <c r="AD373">
        <v>1750</v>
      </c>
      <c r="AE373">
        <v>0</v>
      </c>
      <c r="AF373">
        <v>0</v>
      </c>
      <c r="AG373">
        <v>0</v>
      </c>
      <c r="AH373">
        <v>180</v>
      </c>
      <c r="AI373">
        <v>576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11</v>
      </c>
      <c r="AQ373">
        <v>0</v>
      </c>
      <c r="AR373">
        <v>1</v>
      </c>
      <c r="AS373" t="s">
        <v>58</v>
      </c>
      <c r="AT373">
        <v>1</v>
      </c>
      <c r="AU373" t="s">
        <v>63</v>
      </c>
      <c r="AV373" t="s">
        <v>60</v>
      </c>
      <c r="AW373">
        <v>1</v>
      </c>
      <c r="AX373">
        <v>2</v>
      </c>
      <c r="AY373">
        <v>0</v>
      </c>
      <c r="AZ373">
        <v>0</v>
      </c>
      <c r="BA373">
        <v>100</v>
      </c>
      <c r="BB373">
        <v>100</v>
      </c>
      <c r="BC373">
        <v>100</v>
      </c>
      <c r="BD373">
        <v>100</v>
      </c>
      <c r="BE373">
        <v>1</v>
      </c>
      <c r="BF373">
        <v>15000</v>
      </c>
      <c r="BG373">
        <v>1000</v>
      </c>
      <c r="BH373" s="6">
        <f>Grandview_Inventory[[#This Row],[land_extract]]*Lookups!$B$3</f>
        <v>59559.013262526838</v>
      </c>
      <c r="BI373" s="6">
        <f>IF(Grandview_Inventory[[#This Row],[bldg_style]]="",0,Lookups!$B$2)</f>
        <v>155833.95000000001</v>
      </c>
      <c r="BJ373" s="6">
        <f>_xlfn.IFNA(VLOOKUP(Grandview_Inventory[[#This Row],[quality]],Lookups!$H$2:$J$14,3,FALSE),0)</f>
        <v>20768</v>
      </c>
      <c r="BK373" s="6">
        <f>_xlfn.IFNA(VLOOKUP(Grandview_Inventory[[#This Row],[condition]],Lookups!$H$17:$J$24,3,FALSE),0)</f>
        <v>-4503</v>
      </c>
      <c r="BL373" s="6">
        <f>Grandview_Inventory[[#This Row],[Eff_Age]]*Lookups!$B$14</f>
        <v>-10762.496999999999</v>
      </c>
      <c r="BM373" s="6">
        <f>Grandview_Inventory[[#This Row],[living_area]]*Lookups!$B$15</f>
        <v>109166.49275</v>
      </c>
      <c r="BN373" s="6">
        <f>Grandview_Inventory[[#This Row],[Fin BSMT]]*Lookups!$B$16</f>
        <v>0</v>
      </c>
      <c r="BO373" s="6">
        <f>(Grandview_Inventory[[#This Row],[att_gar]]+Grandview_Inventory[[#This Row],[bltin_gar]])*Lookups!$B$17</f>
        <v>50411.771712000002</v>
      </c>
      <c r="BP373" s="6">
        <f>Grandview_Inventory[[#This Row],[Plumbing Fixtures]]*Lookups!$B$18</f>
        <v>22114.859800000002</v>
      </c>
      <c r="BQ373" s="6">
        <f>Grandview_Inventory[[#This Row],[detatched_value]]*Lookups!$B$19</f>
        <v>0</v>
      </c>
      <c r="BR373" s="6">
        <f>SUM(Grandview_Inventory[[#This Row],[Intercept]:[det_value]])*Grandview_Inventory[[#This Row],[res_pct]]</f>
        <v>343029.57726200001</v>
      </c>
      <c r="BS373" s="6">
        <f>Grandview_Inventory[[#This Row],[land_value]]</f>
        <v>59559.013262526838</v>
      </c>
      <c r="BT373" s="4">
        <f>_xlfn.IFNA(VLOOKUP(Grandview_Inventory[[#This Row],[quality]],Lookups!$A$26:$C$33,3,FALSE),1)</f>
        <v>0.94960540378902636</v>
      </c>
      <c r="BU373" s="4">
        <f>_xlfn.IFNA(VLOOKUP(Grandview_Inventory[[#This Row],[condition]],Lookups!$A$37:$C$44,3,FALSE),1)</f>
        <v>0.96469275950863709</v>
      </c>
      <c r="BV373" s="4">
        <f>IF(Grandview_Inventory[[#This Row],[bldg_style]]="",1,_xlfn.IFNA(VLOOKUP(Grandview_Inventory[[#This Row],[decade]],Lookups!$F$29:$H$43,3,FALSE),1))</f>
        <v>0.95268620544463312</v>
      </c>
      <c r="BW373" s="4">
        <f>_xlfn.IFNA(VLOOKUP(Grandview_Inventory[[#This Row],[living_area_range]],Lookups!$F$47:$H$56,3,FALSE),1)</f>
        <v>0.96120133463014379</v>
      </c>
      <c r="BX373" s="4">
        <f>AVERAGE(Grandview_Inventory[[#This Row],[qual_adj]:[size_adj]])</f>
        <v>0.95704642584311017</v>
      </c>
      <c r="BY373" s="6">
        <f>IF(Grandview_Inventory[[#This Row],[pre_res]]&lt;0,0,Grandview_Inventory[[#This Row],[pre_res]]*Grandview_Inventory[[#This Row],[overall_adj]])</f>
        <v>328295.23087707011</v>
      </c>
      <c r="BZ373" s="6">
        <f>(Grandview_Inventory[[#This Row],[sum_land]]-IF(Grandview_Inventory[[#This Row],[no_utilities]]=1,12000,0))/IF(Grandview_Inventory[[#This Row],[unbuildable]]=1,2,1)</f>
        <v>59559.013262526838</v>
      </c>
      <c r="CA373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3">
        <f>ROUND(Grandview_Inventory[[#This Row],[det_value]]*Lookups!$M$28,-2)</f>
        <v>0</v>
      </c>
      <c r="CC373">
        <f>IF(ROUND(Grandview_Inventory[[#This Row],[adj_res]]*Lookups!$M$28,-2)&lt;Grandview_Inventory[[#This Row],[min_res]],Grandview_Inventory[[#This Row],[min_res]],ROUND(Grandview_Inventory[[#This Row],[adj_res]]*Lookups!$M$28,-2))</f>
        <v>311900</v>
      </c>
      <c r="CD373">
        <f>Grandview_Inventory[[#This Row],[final_det]]+Grandview_Inventory[[#This Row],[final_res]]</f>
        <v>311900</v>
      </c>
      <c r="CE373">
        <f>Grandview_Inventory[[#This Row],[final_land]]+Grandview_Inventory[[#This Row],[final_imp]]+Grandview_Inventory[[#This Row],[crop_value]]</f>
        <v>368500</v>
      </c>
      <c r="CG373" t="str">
        <f t="shared" si="5"/>
        <v>update valuation set market_land =56600, market_bldg=311900, market_total =368500, market_mdno =401, market_date ='9/10/2023' where link_id = (select link_id from parcel where parcel_year = '2024' and parcel_id = '23091911408');</v>
      </c>
    </row>
    <row r="374" spans="1:85" x14ac:dyDescent="0.25">
      <c r="A374">
        <v>23091911409</v>
      </c>
      <c r="B374">
        <v>0.38</v>
      </c>
      <c r="C374">
        <v>16642</v>
      </c>
      <c r="D374" t="s">
        <v>129</v>
      </c>
      <c r="E374" t="s">
        <v>53</v>
      </c>
      <c r="F374" t="s">
        <v>53</v>
      </c>
      <c r="G374">
        <v>4</v>
      </c>
      <c r="H374" t="s">
        <v>54</v>
      </c>
      <c r="I374">
        <v>274600</v>
      </c>
      <c r="J374">
        <v>41100</v>
      </c>
      <c r="K374">
        <v>0.38</v>
      </c>
      <c r="L374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374">
        <v>0</v>
      </c>
      <c r="N374">
        <v>0</v>
      </c>
      <c r="O374">
        <v>0</v>
      </c>
      <c r="P374">
        <v>13398.7528</v>
      </c>
      <c r="Q374">
        <v>63903</v>
      </c>
      <c r="R374">
        <f>(Grandview_Inventory[[#This Row],[ln_acres]]*Grandview_Inventory[[#This Row],[coeff]])+Grandview_Inventory[[#This Row],[const]]</f>
        <v>50938.580818890696</v>
      </c>
      <c r="S374" t="s">
        <v>58</v>
      </c>
      <c r="T374">
        <v>1</v>
      </c>
      <c r="U374" t="s">
        <v>62</v>
      </c>
      <c r="V374" t="s">
        <v>67</v>
      </c>
      <c r="W374">
        <v>0</v>
      </c>
      <c r="X374">
        <v>0</v>
      </c>
      <c r="Y374">
        <v>40</v>
      </c>
      <c r="Z374">
        <v>40</v>
      </c>
      <c r="AA374">
        <v>40</v>
      </c>
      <c r="AB374">
        <v>2000</v>
      </c>
      <c r="AC374">
        <v>1563</v>
      </c>
      <c r="AD374">
        <v>1563</v>
      </c>
      <c r="AE374">
        <v>0</v>
      </c>
      <c r="AF374">
        <v>0</v>
      </c>
      <c r="AG374">
        <v>0</v>
      </c>
      <c r="AH374">
        <v>0</v>
      </c>
      <c r="AI374">
        <v>552</v>
      </c>
      <c r="AJ374">
        <v>0</v>
      </c>
      <c r="AK374">
        <v>0</v>
      </c>
      <c r="AL374">
        <v>0</v>
      </c>
      <c r="AM374">
        <v>184</v>
      </c>
      <c r="AN374">
        <v>0</v>
      </c>
      <c r="AO374">
        <v>0</v>
      </c>
      <c r="AP374">
        <v>8</v>
      </c>
      <c r="AQ374">
        <v>0</v>
      </c>
      <c r="AR374">
        <v>1</v>
      </c>
      <c r="AS374" t="s">
        <v>58</v>
      </c>
      <c r="AT374">
        <v>1</v>
      </c>
      <c r="AU374" t="s">
        <v>63</v>
      </c>
      <c r="AV374" t="s">
        <v>60</v>
      </c>
      <c r="AW374">
        <v>1</v>
      </c>
      <c r="AX374">
        <v>3</v>
      </c>
      <c r="AY374">
        <v>0</v>
      </c>
      <c r="AZ374">
        <v>7700</v>
      </c>
      <c r="BA374">
        <v>100</v>
      </c>
      <c r="BB374">
        <v>100</v>
      </c>
      <c r="BC374">
        <v>100</v>
      </c>
      <c r="BD374">
        <v>100</v>
      </c>
      <c r="BE374">
        <v>1</v>
      </c>
      <c r="BF374">
        <v>15000</v>
      </c>
      <c r="BG374">
        <v>1000</v>
      </c>
      <c r="BH374" s="6">
        <f>Grandview_Inventory[[#This Row],[land_extract]]*Lookups!$B$3</f>
        <v>59154.836370809549</v>
      </c>
      <c r="BI374" s="6">
        <f>IF(Grandview_Inventory[[#This Row],[bldg_style]]="",0,Lookups!$B$2)</f>
        <v>155833.95000000001</v>
      </c>
      <c r="BJ374" s="6">
        <f>_xlfn.IFNA(VLOOKUP(Grandview_Inventory[[#This Row],[quality]],Lookups!$H$2:$J$14,3,FALSE),0)</f>
        <v>9808</v>
      </c>
      <c r="BK374" s="6">
        <f>_xlfn.IFNA(VLOOKUP(Grandview_Inventory[[#This Row],[condition]],Lookups!$H$17:$J$24,3,FALSE),0)</f>
        <v>22342</v>
      </c>
      <c r="BL374" s="6">
        <f>Grandview_Inventory[[#This Row],[Eff_Age]]*Lookups!$B$14</f>
        <v>-9566.6639999999989</v>
      </c>
      <c r="BM374" s="6">
        <f>Grandview_Inventory[[#This Row],[living_area]]*Lookups!$B$15</f>
        <v>97501.273239000002</v>
      </c>
      <c r="BN374" s="6">
        <f>Grandview_Inventory[[#This Row],[Fin BSMT]]*Lookups!$B$16</f>
        <v>0</v>
      </c>
      <c r="BO374" s="6">
        <f>(Grandview_Inventory[[#This Row],[att_gar]]+Grandview_Inventory[[#This Row],[bltin_gar]])*Lookups!$B$17</f>
        <v>48311.281223999998</v>
      </c>
      <c r="BP374" s="6">
        <f>Grandview_Inventory[[#This Row],[Plumbing Fixtures]]*Lookups!$B$18</f>
        <v>16083.5344</v>
      </c>
      <c r="BQ374" s="6">
        <f>Grandview_Inventory[[#This Row],[detatched_value]]*Lookups!$B$19</f>
        <v>6520.3992699999999</v>
      </c>
      <c r="BR374" s="6">
        <f>SUM(Grandview_Inventory[[#This Row],[Intercept]:[det_value]])*Grandview_Inventory[[#This Row],[res_pct]]</f>
        <v>346833.774133</v>
      </c>
      <c r="BS374" s="6">
        <f>Grandview_Inventory[[#This Row],[land_value]]</f>
        <v>59154.836370809549</v>
      </c>
      <c r="BT374" s="4">
        <f>_xlfn.IFNA(VLOOKUP(Grandview_Inventory[[#This Row],[quality]],Lookups!$A$26:$C$33,3,FALSE),1)</f>
        <v>0.94295468617355149</v>
      </c>
      <c r="BU374" s="4">
        <f>_xlfn.IFNA(VLOOKUP(Grandview_Inventory[[#This Row],[condition]],Lookups!$A$37:$C$44,3,FALSE),1)</f>
        <v>0.97383723671140243</v>
      </c>
      <c r="BV374" s="4">
        <f>IF(Grandview_Inventory[[#This Row],[bldg_style]]="",1,_xlfn.IFNA(VLOOKUP(Grandview_Inventory[[#This Row],[decade]],Lookups!$F$29:$H$43,3,FALSE),1))</f>
        <v>0.98031878267063854</v>
      </c>
      <c r="BW374" s="4">
        <f>_xlfn.IFNA(VLOOKUP(Grandview_Inventory[[#This Row],[living_area_range]],Lookups!$F$47:$H$56,3,FALSE),1)</f>
        <v>0.96120133463014379</v>
      </c>
      <c r="BX374" s="4">
        <f>AVERAGE(Grandview_Inventory[[#This Row],[qual_adj]:[size_adj]])</f>
        <v>0.96457801004643406</v>
      </c>
      <c r="BY374" s="6">
        <f>IF(Grandview_Inventory[[#This Row],[pre_res]]&lt;0,0,Grandview_Inventory[[#This Row],[pre_res]]*Grandview_Inventory[[#This Row],[overall_adj]])</f>
        <v>334548.2316701035</v>
      </c>
      <c r="BZ374" s="6">
        <f>(Grandview_Inventory[[#This Row],[sum_land]]-IF(Grandview_Inventory[[#This Row],[no_utilities]]=1,12000,0))/IF(Grandview_Inventory[[#This Row],[unbuildable]]=1,2,1)</f>
        <v>59154.836370809549</v>
      </c>
      <c r="CA374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374">
        <f>ROUND(Grandview_Inventory[[#This Row],[det_value]]*Lookups!$M$28,-2)</f>
        <v>6200</v>
      </c>
      <c r="CC374">
        <f>IF(ROUND(Grandview_Inventory[[#This Row],[adj_res]]*Lookups!$M$28,-2)&lt;Grandview_Inventory[[#This Row],[min_res]],Grandview_Inventory[[#This Row],[min_res]],ROUND(Grandview_Inventory[[#This Row],[adj_res]]*Lookups!$M$28,-2))</f>
        <v>317800</v>
      </c>
      <c r="CD374">
        <f>Grandview_Inventory[[#This Row],[final_det]]+Grandview_Inventory[[#This Row],[final_res]]</f>
        <v>324000</v>
      </c>
      <c r="CE374">
        <f>Grandview_Inventory[[#This Row],[final_land]]+Grandview_Inventory[[#This Row],[final_imp]]+Grandview_Inventory[[#This Row],[crop_value]]</f>
        <v>380200</v>
      </c>
      <c r="CG374" t="str">
        <f t="shared" si="5"/>
        <v>update valuation set market_land =56200, market_bldg=324000, market_total =380200, market_mdno =401, market_date ='9/10/2023' where link_id = (select link_id from parcel where parcel_year = '2024' and parcel_id = '23091911409');</v>
      </c>
    </row>
    <row r="375" spans="1:85" x14ac:dyDescent="0.25">
      <c r="A375">
        <v>23091911410</v>
      </c>
      <c r="B375">
        <v>0.38</v>
      </c>
      <c r="C375">
        <v>16575</v>
      </c>
      <c r="D375" t="s">
        <v>129</v>
      </c>
      <c r="E375" t="s">
        <v>53</v>
      </c>
      <c r="F375" t="s">
        <v>53</v>
      </c>
      <c r="G375">
        <v>4</v>
      </c>
      <c r="H375" t="s">
        <v>54</v>
      </c>
      <c r="I375">
        <v>327900</v>
      </c>
      <c r="J375">
        <v>41100</v>
      </c>
      <c r="K375">
        <v>0.38</v>
      </c>
      <c r="L375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375">
        <v>0</v>
      </c>
      <c r="N375">
        <v>0</v>
      </c>
      <c r="O375">
        <v>0</v>
      </c>
      <c r="P375">
        <v>13398.7528</v>
      </c>
      <c r="Q375">
        <v>63903</v>
      </c>
      <c r="R375">
        <f>(Grandview_Inventory[[#This Row],[ln_acres]]*Grandview_Inventory[[#This Row],[coeff]])+Grandview_Inventory[[#This Row],[const]]</f>
        <v>50938.580818890696</v>
      </c>
      <c r="S375" t="s">
        <v>58</v>
      </c>
      <c r="T375">
        <v>1</v>
      </c>
      <c r="U375" t="s">
        <v>56</v>
      </c>
      <c r="V375" t="s">
        <v>67</v>
      </c>
      <c r="W375">
        <v>30700</v>
      </c>
      <c r="X375">
        <v>0</v>
      </c>
      <c r="Y375">
        <v>42</v>
      </c>
      <c r="Z375">
        <v>42</v>
      </c>
      <c r="AA375">
        <v>50</v>
      </c>
      <c r="AB375">
        <v>4500</v>
      </c>
      <c r="AC375">
        <v>4106</v>
      </c>
      <c r="AD375">
        <v>2053</v>
      </c>
      <c r="AE375">
        <v>0</v>
      </c>
      <c r="AF375">
        <v>0</v>
      </c>
      <c r="AG375">
        <v>2053</v>
      </c>
      <c r="AH375">
        <v>0</v>
      </c>
      <c r="AI375">
        <v>624</v>
      </c>
      <c r="AJ375">
        <v>0</v>
      </c>
      <c r="AK375">
        <v>0</v>
      </c>
      <c r="AL375">
        <v>441</v>
      </c>
      <c r="AM375">
        <v>206</v>
      </c>
      <c r="AN375">
        <v>0</v>
      </c>
      <c r="AO375">
        <v>0</v>
      </c>
      <c r="AP375">
        <v>11</v>
      </c>
      <c r="AQ375">
        <v>0</v>
      </c>
      <c r="AR375">
        <v>2</v>
      </c>
      <c r="AS375" t="s">
        <v>58</v>
      </c>
      <c r="AT375">
        <v>1</v>
      </c>
      <c r="AU375" t="s">
        <v>63</v>
      </c>
      <c r="AV375" t="s">
        <v>60</v>
      </c>
      <c r="AW375">
        <v>1</v>
      </c>
      <c r="AX375">
        <v>3</v>
      </c>
      <c r="AY375">
        <v>0</v>
      </c>
      <c r="AZ375">
        <v>0</v>
      </c>
      <c r="BA375">
        <v>100</v>
      </c>
      <c r="BB375">
        <v>100</v>
      </c>
      <c r="BC375">
        <v>100</v>
      </c>
      <c r="BD375">
        <v>100</v>
      </c>
      <c r="BE375">
        <v>1</v>
      </c>
      <c r="BF375">
        <v>15000</v>
      </c>
      <c r="BG375">
        <v>1000</v>
      </c>
      <c r="BH375" s="6">
        <f>Grandview_Inventory[[#This Row],[land_extract]]*Lookups!$B$3</f>
        <v>59154.836370809549</v>
      </c>
      <c r="BI375" s="6">
        <f>IF(Grandview_Inventory[[#This Row],[bldg_style]]="",0,Lookups!$B$2)</f>
        <v>155833.95000000001</v>
      </c>
      <c r="BJ375" s="6">
        <f>_xlfn.IFNA(VLOOKUP(Grandview_Inventory[[#This Row],[quality]],Lookups!$H$2:$J$14,3,FALSE),0)</f>
        <v>56323</v>
      </c>
      <c r="BK375" s="6">
        <f>_xlfn.IFNA(VLOOKUP(Grandview_Inventory[[#This Row],[condition]],Lookups!$H$17:$J$24,3,FALSE),0)</f>
        <v>22342</v>
      </c>
      <c r="BL375" s="6">
        <f>Grandview_Inventory[[#This Row],[Eff_Age]]*Lookups!$B$14</f>
        <v>-10044.9972</v>
      </c>
      <c r="BM375" s="6">
        <f>Grandview_Inventory[[#This Row],[living_area]]*Lookups!$B$15</f>
        <v>256135.78241800002</v>
      </c>
      <c r="BN375" s="6">
        <f>Grandview_Inventory[[#This Row],[Fin BSMT]]*Lookups!$B$16</f>
        <v>-55634.739720000005</v>
      </c>
      <c r="BO375" s="6">
        <f>(Grandview_Inventory[[#This Row],[att_gar]]+Grandview_Inventory[[#This Row],[bltin_gar]])*Lookups!$B$17</f>
        <v>54612.752688</v>
      </c>
      <c r="BP375" s="6">
        <f>Grandview_Inventory[[#This Row],[Plumbing Fixtures]]*Lookups!$B$18</f>
        <v>22114.859800000002</v>
      </c>
      <c r="BQ375" s="6">
        <f>Grandview_Inventory[[#This Row],[detatched_value]]*Lookups!$B$19</f>
        <v>0</v>
      </c>
      <c r="BR375" s="6">
        <f>SUM(Grandview_Inventory[[#This Row],[Intercept]:[det_value]])*Grandview_Inventory[[#This Row],[res_pct]]</f>
        <v>501682.60798599996</v>
      </c>
      <c r="BS375" s="6">
        <f>Grandview_Inventory[[#This Row],[land_value]]</f>
        <v>59154.836370809549</v>
      </c>
      <c r="BT375" s="4">
        <f>_xlfn.IFNA(VLOOKUP(Grandview_Inventory[[#This Row],[quality]],Lookups!$A$26:$C$33,3,FALSE),1)</f>
        <v>0.76437650671582003</v>
      </c>
      <c r="BU375" s="4">
        <f>_xlfn.IFNA(VLOOKUP(Grandview_Inventory[[#This Row],[condition]],Lookups!$A$37:$C$44,3,FALSE),1)</f>
        <v>0.97383723671140243</v>
      </c>
      <c r="BV375" s="4">
        <f>IF(Grandview_Inventory[[#This Row],[bldg_style]]="",1,_xlfn.IFNA(VLOOKUP(Grandview_Inventory[[#This Row],[decade]],Lookups!$F$29:$H$43,3,FALSE),1))</f>
        <v>0.9871940091910919</v>
      </c>
      <c r="BW375" s="4">
        <f>_xlfn.IFNA(VLOOKUP(Grandview_Inventory[[#This Row],[living_area_range]],Lookups!$F$47:$H$56,3,FALSE),1)</f>
        <v>0.90089875105039252</v>
      </c>
      <c r="BX375" s="4">
        <f>AVERAGE(Grandview_Inventory[[#This Row],[qual_adj]:[size_adj]])</f>
        <v>0.9065766259171768</v>
      </c>
      <c r="BY375" s="6">
        <f>IF(Grandview_Inventory[[#This Row],[pre_res]]&lt;0,0,Grandview_Inventory[[#This Row],[pre_res]]*Grandview_Inventory[[#This Row],[overall_adj]])</f>
        <v>454813.72602927755</v>
      </c>
      <c r="BZ375" s="6">
        <f>(Grandview_Inventory[[#This Row],[sum_land]]-IF(Grandview_Inventory[[#This Row],[no_utilities]]=1,12000,0))/IF(Grandview_Inventory[[#This Row],[unbuildable]]=1,2,1)</f>
        <v>59154.836370809549</v>
      </c>
      <c r="CA375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375">
        <f>ROUND(Grandview_Inventory[[#This Row],[det_value]]*Lookups!$M$28,-2)</f>
        <v>0</v>
      </c>
      <c r="CC375">
        <f>IF(ROUND(Grandview_Inventory[[#This Row],[adj_res]]*Lookups!$M$28,-2)&lt;Grandview_Inventory[[#This Row],[min_res]],Grandview_Inventory[[#This Row],[min_res]],ROUND(Grandview_Inventory[[#This Row],[adj_res]]*Lookups!$M$28,-2))</f>
        <v>432100</v>
      </c>
      <c r="CD375">
        <f>Grandview_Inventory[[#This Row],[final_det]]+Grandview_Inventory[[#This Row],[final_res]]</f>
        <v>432100</v>
      </c>
      <c r="CE375">
        <f>Grandview_Inventory[[#This Row],[final_land]]+Grandview_Inventory[[#This Row],[final_imp]]+Grandview_Inventory[[#This Row],[crop_value]]</f>
        <v>488300</v>
      </c>
      <c r="CG375" t="str">
        <f t="shared" si="5"/>
        <v>update valuation set market_land =56200, market_bldg=432100, market_total =488300, market_mdno =401, market_date ='9/10/2023' where link_id = (select link_id from parcel where parcel_year = '2024' and parcel_id = '23091911410');</v>
      </c>
    </row>
    <row r="376" spans="1:85" x14ac:dyDescent="0.25">
      <c r="A376">
        <v>23091911411</v>
      </c>
      <c r="B376">
        <v>0.39</v>
      </c>
      <c r="C376">
        <v>16884</v>
      </c>
      <c r="D376" t="s">
        <v>129</v>
      </c>
      <c r="E376" t="s">
        <v>53</v>
      </c>
      <c r="F376" t="s">
        <v>53</v>
      </c>
      <c r="G376">
        <v>4</v>
      </c>
      <c r="H376" t="s">
        <v>54</v>
      </c>
      <c r="I376">
        <v>192300</v>
      </c>
      <c r="J376">
        <v>41200</v>
      </c>
      <c r="K376">
        <v>0.39</v>
      </c>
      <c r="L376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6">
        <v>0</v>
      </c>
      <c r="N376">
        <v>0</v>
      </c>
      <c r="O376">
        <v>0</v>
      </c>
      <c r="P376">
        <v>13398.7528</v>
      </c>
      <c r="Q376">
        <v>63903</v>
      </c>
      <c r="R376">
        <f>(Grandview_Inventory[[#This Row],[ln_acres]]*Grandview_Inventory[[#This Row],[coeff]])+Grandview_Inventory[[#This Row],[const]]</f>
        <v>51286.619940067751</v>
      </c>
      <c r="S376" t="s">
        <v>61</v>
      </c>
      <c r="T376">
        <v>1</v>
      </c>
      <c r="U376" t="s">
        <v>62</v>
      </c>
      <c r="V376" t="s">
        <v>69</v>
      </c>
      <c r="W376">
        <v>0</v>
      </c>
      <c r="X376">
        <v>0</v>
      </c>
      <c r="Y376">
        <v>43</v>
      </c>
      <c r="Z376">
        <v>44</v>
      </c>
      <c r="AA376">
        <v>50</v>
      </c>
      <c r="AB376">
        <v>2500</v>
      </c>
      <c r="AC376">
        <v>2218</v>
      </c>
      <c r="AD376">
        <v>1514</v>
      </c>
      <c r="AE376">
        <v>0</v>
      </c>
      <c r="AF376">
        <v>0</v>
      </c>
      <c r="AG376">
        <v>704</v>
      </c>
      <c r="AH376">
        <v>0</v>
      </c>
      <c r="AI376">
        <v>462</v>
      </c>
      <c r="AJ376">
        <v>0</v>
      </c>
      <c r="AK376">
        <v>0</v>
      </c>
      <c r="AL376">
        <v>96</v>
      </c>
      <c r="AM376">
        <v>0</v>
      </c>
      <c r="AN376">
        <v>0</v>
      </c>
      <c r="AO376">
        <v>0</v>
      </c>
      <c r="AP376">
        <v>8</v>
      </c>
      <c r="AQ376">
        <v>0</v>
      </c>
      <c r="AR376">
        <v>0</v>
      </c>
      <c r="AS376" t="s">
        <v>58</v>
      </c>
      <c r="AT376">
        <v>1</v>
      </c>
      <c r="AU376" t="s">
        <v>63</v>
      </c>
      <c r="AV376" t="s">
        <v>60</v>
      </c>
      <c r="AW376">
        <v>0</v>
      </c>
      <c r="AX376">
        <v>3</v>
      </c>
      <c r="AY376">
        <v>0</v>
      </c>
      <c r="AZ376">
        <v>0</v>
      </c>
      <c r="BA376">
        <v>100</v>
      </c>
      <c r="BB376">
        <v>100</v>
      </c>
      <c r="BC376">
        <v>100</v>
      </c>
      <c r="BD376">
        <v>100</v>
      </c>
      <c r="BE376">
        <v>1</v>
      </c>
      <c r="BF376">
        <v>15000</v>
      </c>
      <c r="BG376">
        <v>1000</v>
      </c>
      <c r="BH376" s="6">
        <f>Grandview_Inventory[[#This Row],[land_extract]]*Lookups!$B$3</f>
        <v>59559.013262526838</v>
      </c>
      <c r="BI376" s="6">
        <f>IF(Grandview_Inventory[[#This Row],[bldg_style]]="",0,Lookups!$B$2)</f>
        <v>155833.95000000001</v>
      </c>
      <c r="BJ376" s="6">
        <f>_xlfn.IFNA(VLOOKUP(Grandview_Inventory[[#This Row],[quality]],Lookups!$H$2:$J$14,3,FALSE),0)</f>
        <v>9808</v>
      </c>
      <c r="BK376" s="6">
        <f>_xlfn.IFNA(VLOOKUP(Grandview_Inventory[[#This Row],[condition]],Lookups!$H$17:$J$24,3,FALSE),0)</f>
        <v>-4503</v>
      </c>
      <c r="BL376" s="6">
        <f>Grandview_Inventory[[#This Row],[Eff_Age]]*Lookups!$B$14</f>
        <v>-10284.1638</v>
      </c>
      <c r="BM376" s="6">
        <f>Grandview_Inventory[[#This Row],[living_area]]*Lookups!$B$15</f>
        <v>138360.73195400002</v>
      </c>
      <c r="BN376" s="6">
        <f>Grandview_Inventory[[#This Row],[Fin BSMT]]*Lookups!$B$16</f>
        <v>-19077.864960000003</v>
      </c>
      <c r="BO376" s="6">
        <f>(Grandview_Inventory[[#This Row],[att_gar]]+Grandview_Inventory[[#This Row],[bltin_gar]])*Lookups!$B$17</f>
        <v>40434.441894000003</v>
      </c>
      <c r="BP376" s="6">
        <f>Grandview_Inventory[[#This Row],[Plumbing Fixtures]]*Lookups!$B$18</f>
        <v>16083.5344</v>
      </c>
      <c r="BQ376" s="6">
        <f>Grandview_Inventory[[#This Row],[detatched_value]]*Lookups!$B$19</f>
        <v>0</v>
      </c>
      <c r="BR376" s="6">
        <f>SUM(Grandview_Inventory[[#This Row],[Intercept]:[det_value]])*Grandview_Inventory[[#This Row],[res_pct]]</f>
        <v>326655.62948800006</v>
      </c>
      <c r="BS376" s="6">
        <f>Grandview_Inventory[[#This Row],[land_value]]</f>
        <v>59559.013262526838</v>
      </c>
      <c r="BT376" s="4">
        <f>_xlfn.IFNA(VLOOKUP(Grandview_Inventory[[#This Row],[quality]],Lookups!$A$26:$C$33,3,FALSE),1)</f>
        <v>0.94295468617355149</v>
      </c>
      <c r="BU376" s="4">
        <f>_xlfn.IFNA(VLOOKUP(Grandview_Inventory[[#This Row],[condition]],Lookups!$A$37:$C$44,3,FALSE),1)</f>
        <v>0.96469275950863709</v>
      </c>
      <c r="BV376" s="4">
        <f>IF(Grandview_Inventory[[#This Row],[bldg_style]]="",1,_xlfn.IFNA(VLOOKUP(Grandview_Inventory[[#This Row],[decade]],Lookups!$F$29:$H$43,3,FALSE),1))</f>
        <v>0.9871940091910919</v>
      </c>
      <c r="BW376" s="4">
        <f>_xlfn.IFNA(VLOOKUP(Grandview_Inventory[[#This Row],[living_area_range]],Lookups!$F$47:$H$56,3,FALSE),1)</f>
        <v>0.95799442568048754</v>
      </c>
      <c r="BX376" s="4">
        <f>AVERAGE(Grandview_Inventory[[#This Row],[qual_adj]:[size_adj]])</f>
        <v>0.96320897013844198</v>
      </c>
      <c r="BY376" s="6">
        <f>IF(Grandview_Inventory[[#This Row],[pre_res]]&lt;0,0,Grandview_Inventory[[#This Row],[pre_res]]*Grandview_Inventory[[#This Row],[overall_adj]])</f>
        <v>314637.63246906101</v>
      </c>
      <c r="BZ376" s="6">
        <f>(Grandview_Inventory[[#This Row],[sum_land]]-IF(Grandview_Inventory[[#This Row],[no_utilities]]=1,12000,0))/IF(Grandview_Inventory[[#This Row],[unbuildable]]=1,2,1)</f>
        <v>59559.013262526838</v>
      </c>
      <c r="CA376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6">
        <f>ROUND(Grandview_Inventory[[#This Row],[det_value]]*Lookups!$M$28,-2)</f>
        <v>0</v>
      </c>
      <c r="CC376">
        <f>IF(ROUND(Grandview_Inventory[[#This Row],[adj_res]]*Lookups!$M$28,-2)&lt;Grandview_Inventory[[#This Row],[min_res]],Grandview_Inventory[[#This Row],[min_res]],ROUND(Grandview_Inventory[[#This Row],[adj_res]]*Lookups!$M$28,-2))</f>
        <v>298900</v>
      </c>
      <c r="CD376">
        <f>Grandview_Inventory[[#This Row],[final_det]]+Grandview_Inventory[[#This Row],[final_res]]</f>
        <v>298900</v>
      </c>
      <c r="CE376">
        <f>Grandview_Inventory[[#This Row],[final_land]]+Grandview_Inventory[[#This Row],[final_imp]]+Grandview_Inventory[[#This Row],[crop_value]]</f>
        <v>355500</v>
      </c>
      <c r="CG376" t="str">
        <f t="shared" si="5"/>
        <v>update valuation set market_land =56600, market_bldg=298900, market_total =355500, market_mdno =401, market_date ='9/10/2023' where link_id = (select link_id from parcel where parcel_year = '2024' and parcel_id = '23091911411');</v>
      </c>
    </row>
    <row r="377" spans="1:85" x14ac:dyDescent="0.25">
      <c r="A377">
        <v>23091911412</v>
      </c>
      <c r="B377">
        <v>0.39</v>
      </c>
      <c r="C377">
        <v>16867</v>
      </c>
      <c r="D377" t="s">
        <v>129</v>
      </c>
      <c r="E377" t="s">
        <v>53</v>
      </c>
      <c r="F377" t="s">
        <v>53</v>
      </c>
      <c r="G377">
        <v>4</v>
      </c>
      <c r="H377" t="s">
        <v>54</v>
      </c>
      <c r="I377">
        <v>284300</v>
      </c>
      <c r="J377">
        <v>41200</v>
      </c>
      <c r="K377">
        <v>0.39</v>
      </c>
      <c r="L377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7">
        <v>0</v>
      </c>
      <c r="N377">
        <v>0</v>
      </c>
      <c r="O377">
        <v>0</v>
      </c>
      <c r="P377">
        <v>13398.7528</v>
      </c>
      <c r="Q377">
        <v>63903</v>
      </c>
      <c r="R377">
        <f>(Grandview_Inventory[[#This Row],[ln_acres]]*Grandview_Inventory[[#This Row],[coeff]])+Grandview_Inventory[[#This Row],[const]]</f>
        <v>51286.619940067751</v>
      </c>
      <c r="S377" t="s">
        <v>58</v>
      </c>
      <c r="T377">
        <v>1</v>
      </c>
      <c r="U377" t="s">
        <v>64</v>
      </c>
      <c r="V377" t="s">
        <v>67</v>
      </c>
      <c r="W377">
        <v>0</v>
      </c>
      <c r="X377">
        <v>0</v>
      </c>
      <c r="Y377">
        <v>33</v>
      </c>
      <c r="Z377">
        <v>33</v>
      </c>
      <c r="AA377">
        <v>40</v>
      </c>
      <c r="AB377">
        <v>2500</v>
      </c>
      <c r="AC377">
        <v>2064</v>
      </c>
      <c r="AD377">
        <v>1137</v>
      </c>
      <c r="AE377">
        <v>0</v>
      </c>
      <c r="AF377">
        <v>0</v>
      </c>
      <c r="AG377">
        <v>927</v>
      </c>
      <c r="AH377">
        <v>163</v>
      </c>
      <c r="AI377">
        <v>648</v>
      </c>
      <c r="AJ377">
        <v>0</v>
      </c>
      <c r="AK377">
        <v>0</v>
      </c>
      <c r="AL377">
        <v>314</v>
      </c>
      <c r="AM377">
        <v>0</v>
      </c>
      <c r="AN377">
        <v>0</v>
      </c>
      <c r="AO377">
        <v>0</v>
      </c>
      <c r="AP377">
        <v>10</v>
      </c>
      <c r="AQ377">
        <v>1</v>
      </c>
      <c r="AR377">
        <v>0</v>
      </c>
      <c r="AS377" t="s">
        <v>58</v>
      </c>
      <c r="AT377">
        <v>1</v>
      </c>
      <c r="AU377" t="s">
        <v>59</v>
      </c>
      <c r="AV377" t="s">
        <v>60</v>
      </c>
      <c r="AW377">
        <v>1</v>
      </c>
      <c r="AX377">
        <v>3</v>
      </c>
      <c r="AY377">
        <v>0</v>
      </c>
      <c r="AZ377">
        <v>0</v>
      </c>
      <c r="BA377">
        <v>100</v>
      </c>
      <c r="BB377">
        <v>100</v>
      </c>
      <c r="BC377">
        <v>100</v>
      </c>
      <c r="BD377">
        <v>100</v>
      </c>
      <c r="BE377">
        <v>1</v>
      </c>
      <c r="BF377">
        <v>15000</v>
      </c>
      <c r="BG377">
        <v>1000</v>
      </c>
      <c r="BH377" s="6">
        <f>Grandview_Inventory[[#This Row],[land_extract]]*Lookups!$B$3</f>
        <v>59559.013262526838</v>
      </c>
      <c r="BI377" s="6">
        <f>IF(Grandview_Inventory[[#This Row],[bldg_style]]="",0,Lookups!$B$2)</f>
        <v>155833.95000000001</v>
      </c>
      <c r="BJ377" s="6">
        <f>_xlfn.IFNA(VLOOKUP(Grandview_Inventory[[#This Row],[quality]],Lookups!$H$2:$J$14,3,FALSE),0)</f>
        <v>20768</v>
      </c>
      <c r="BK377" s="6">
        <f>_xlfn.IFNA(VLOOKUP(Grandview_Inventory[[#This Row],[condition]],Lookups!$H$17:$J$24,3,FALSE),0)</f>
        <v>22342</v>
      </c>
      <c r="BL377" s="6">
        <f>Grandview_Inventory[[#This Row],[Eff_Age]]*Lookups!$B$14</f>
        <v>-7892.4977999999992</v>
      </c>
      <c r="BM377" s="6">
        <f>Grandview_Inventory[[#This Row],[living_area]]*Lookups!$B$15</f>
        <v>128754.080592</v>
      </c>
      <c r="BN377" s="6">
        <f>Grandview_Inventory[[#This Row],[Fin BSMT]]*Lookups!$B$16</f>
        <v>-25120.995480000001</v>
      </c>
      <c r="BO377" s="6">
        <f>(Grandview_Inventory[[#This Row],[att_gar]]+Grandview_Inventory[[#This Row],[bltin_gar]])*Lookups!$B$17</f>
        <v>56713.243176000004</v>
      </c>
      <c r="BP377" s="6">
        <f>Grandview_Inventory[[#This Row],[Plumbing Fixtures]]*Lookups!$B$18</f>
        <v>20104.418000000001</v>
      </c>
      <c r="BQ377" s="6">
        <f>Grandview_Inventory[[#This Row],[detatched_value]]*Lookups!$B$19</f>
        <v>0</v>
      </c>
      <c r="BR377" s="6">
        <f>SUM(Grandview_Inventory[[#This Row],[Intercept]:[det_value]])*Grandview_Inventory[[#This Row],[res_pct]]</f>
        <v>371502.19848800002</v>
      </c>
      <c r="BS377" s="6">
        <f>Grandview_Inventory[[#This Row],[land_value]]</f>
        <v>59559.013262526838</v>
      </c>
      <c r="BT377" s="4">
        <f>_xlfn.IFNA(VLOOKUP(Grandview_Inventory[[#This Row],[quality]],Lookups!$A$26:$C$33,3,FALSE),1)</f>
        <v>0.94960540378902636</v>
      </c>
      <c r="BU377" s="4">
        <f>_xlfn.IFNA(VLOOKUP(Grandview_Inventory[[#This Row],[condition]],Lookups!$A$37:$C$44,3,FALSE),1)</f>
        <v>0.97383723671140243</v>
      </c>
      <c r="BV377" s="4">
        <f>IF(Grandview_Inventory[[#This Row],[bldg_style]]="",1,_xlfn.IFNA(VLOOKUP(Grandview_Inventory[[#This Row],[decade]],Lookups!$F$29:$H$43,3,FALSE),1))</f>
        <v>0.98031878267063854</v>
      </c>
      <c r="BW377" s="4">
        <f>_xlfn.IFNA(VLOOKUP(Grandview_Inventory[[#This Row],[living_area_range]],Lookups!$F$47:$H$56,3,FALSE),1)</f>
        <v>0.95799442568048754</v>
      </c>
      <c r="BX377" s="4">
        <f>AVERAGE(Grandview_Inventory[[#This Row],[qual_adj]:[size_adj]])</f>
        <v>0.96543896221288872</v>
      </c>
      <c r="BY377" s="6">
        <f>IF(Grandview_Inventory[[#This Row],[pre_res]]&lt;0,0,Grandview_Inventory[[#This Row],[pre_res]]*Grandview_Inventory[[#This Row],[overall_adj]])</f>
        <v>358662.69696806133</v>
      </c>
      <c r="BZ377" s="6">
        <f>(Grandview_Inventory[[#This Row],[sum_land]]-IF(Grandview_Inventory[[#This Row],[no_utilities]]=1,12000,0))/IF(Grandview_Inventory[[#This Row],[unbuildable]]=1,2,1)</f>
        <v>59559.013262526838</v>
      </c>
      <c r="CA377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7">
        <f>ROUND(Grandview_Inventory[[#This Row],[det_value]]*Lookups!$M$28,-2)</f>
        <v>0</v>
      </c>
      <c r="CC377">
        <f>IF(ROUND(Grandview_Inventory[[#This Row],[adj_res]]*Lookups!$M$28,-2)&lt;Grandview_Inventory[[#This Row],[min_res]],Grandview_Inventory[[#This Row],[min_res]],ROUND(Grandview_Inventory[[#This Row],[adj_res]]*Lookups!$M$28,-2))</f>
        <v>340700</v>
      </c>
      <c r="CD377">
        <f>Grandview_Inventory[[#This Row],[final_det]]+Grandview_Inventory[[#This Row],[final_res]]</f>
        <v>340700</v>
      </c>
      <c r="CE377">
        <f>Grandview_Inventory[[#This Row],[final_land]]+Grandview_Inventory[[#This Row],[final_imp]]+Grandview_Inventory[[#This Row],[crop_value]]</f>
        <v>397300</v>
      </c>
      <c r="CG377" t="str">
        <f t="shared" si="5"/>
        <v>update valuation set market_land =56600, market_bldg=340700, market_total =397300, market_mdno =401, market_date ='9/10/2023' where link_id = (select link_id from parcel where parcel_year = '2024' and parcel_id = '23091911412');</v>
      </c>
    </row>
    <row r="378" spans="1:85" x14ac:dyDescent="0.25">
      <c r="A378">
        <v>23091911413</v>
      </c>
      <c r="B378">
        <v>0.39</v>
      </c>
      <c r="C378">
        <v>16850</v>
      </c>
      <c r="D378" t="s">
        <v>129</v>
      </c>
      <c r="E378" t="s">
        <v>53</v>
      </c>
      <c r="F378" t="s">
        <v>53</v>
      </c>
      <c r="G378">
        <v>4</v>
      </c>
      <c r="H378" t="s">
        <v>54</v>
      </c>
      <c r="I378">
        <v>233800</v>
      </c>
      <c r="J378">
        <v>41200</v>
      </c>
      <c r="K378">
        <v>0.39</v>
      </c>
      <c r="L378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8">
        <v>0</v>
      </c>
      <c r="N378">
        <v>0</v>
      </c>
      <c r="O378">
        <v>0</v>
      </c>
      <c r="P378">
        <v>13398.7528</v>
      </c>
      <c r="Q378">
        <v>63903</v>
      </c>
      <c r="R378">
        <f>(Grandview_Inventory[[#This Row],[ln_acres]]*Grandview_Inventory[[#This Row],[coeff]])+Grandview_Inventory[[#This Row],[const]]</f>
        <v>51286.619940067751</v>
      </c>
      <c r="S378" t="s">
        <v>61</v>
      </c>
      <c r="T378">
        <v>1</v>
      </c>
      <c r="U378" t="s">
        <v>64</v>
      </c>
      <c r="V378" t="s">
        <v>69</v>
      </c>
      <c r="W378">
        <v>0</v>
      </c>
      <c r="X378">
        <v>0</v>
      </c>
      <c r="Y378">
        <v>43</v>
      </c>
      <c r="Z378">
        <v>45</v>
      </c>
      <c r="AA378">
        <v>50</v>
      </c>
      <c r="AB378">
        <v>2000</v>
      </c>
      <c r="AC378">
        <v>1583</v>
      </c>
      <c r="AD378">
        <v>1583</v>
      </c>
      <c r="AE378">
        <v>0</v>
      </c>
      <c r="AF378">
        <v>0</v>
      </c>
      <c r="AG378">
        <v>0</v>
      </c>
      <c r="AH378">
        <v>0</v>
      </c>
      <c r="AI378">
        <v>642</v>
      </c>
      <c r="AJ378">
        <v>0</v>
      </c>
      <c r="AK378">
        <v>0</v>
      </c>
      <c r="AL378">
        <v>545</v>
      </c>
      <c r="AM378">
        <v>0</v>
      </c>
      <c r="AN378">
        <v>0</v>
      </c>
      <c r="AO378">
        <v>200</v>
      </c>
      <c r="AP378">
        <v>8</v>
      </c>
      <c r="AQ378">
        <v>0</v>
      </c>
      <c r="AR378">
        <v>0</v>
      </c>
      <c r="AS378" t="s">
        <v>76</v>
      </c>
      <c r="AT378">
        <v>1</v>
      </c>
      <c r="AU378" t="s">
        <v>63</v>
      </c>
      <c r="AV378" t="s">
        <v>60</v>
      </c>
      <c r="AW378">
        <v>1</v>
      </c>
      <c r="AX378">
        <v>3</v>
      </c>
      <c r="AY378">
        <v>0</v>
      </c>
      <c r="AZ378">
        <v>0</v>
      </c>
      <c r="BA378">
        <v>100</v>
      </c>
      <c r="BB378">
        <v>100</v>
      </c>
      <c r="BC378">
        <v>100</v>
      </c>
      <c r="BD378">
        <v>100</v>
      </c>
      <c r="BE378">
        <v>1</v>
      </c>
      <c r="BF378">
        <v>15000</v>
      </c>
      <c r="BG378">
        <v>1000</v>
      </c>
      <c r="BH378" s="6">
        <f>Grandview_Inventory[[#This Row],[land_extract]]*Lookups!$B$3</f>
        <v>59559.013262526838</v>
      </c>
      <c r="BI378" s="6">
        <f>IF(Grandview_Inventory[[#This Row],[bldg_style]]="",0,Lookups!$B$2)</f>
        <v>155833.95000000001</v>
      </c>
      <c r="BJ378" s="6">
        <f>_xlfn.IFNA(VLOOKUP(Grandview_Inventory[[#This Row],[quality]],Lookups!$H$2:$J$14,3,FALSE),0)</f>
        <v>20768</v>
      </c>
      <c r="BK378" s="6">
        <f>_xlfn.IFNA(VLOOKUP(Grandview_Inventory[[#This Row],[condition]],Lookups!$H$17:$J$24,3,FALSE),0)</f>
        <v>-4503</v>
      </c>
      <c r="BL378" s="6">
        <f>Grandview_Inventory[[#This Row],[Eff_Age]]*Lookups!$B$14</f>
        <v>-10284.1638</v>
      </c>
      <c r="BM378" s="6">
        <f>Grandview_Inventory[[#This Row],[living_area]]*Lookups!$B$15</f>
        <v>98748.890299000006</v>
      </c>
      <c r="BN378" s="6">
        <f>Grandview_Inventory[[#This Row],[Fin BSMT]]*Lookups!$B$16</f>
        <v>0</v>
      </c>
      <c r="BO378" s="6">
        <f>(Grandview_Inventory[[#This Row],[att_gar]]+Grandview_Inventory[[#This Row],[bltin_gar]])*Lookups!$B$17</f>
        <v>56188.120554000001</v>
      </c>
      <c r="BP378" s="6">
        <f>Grandview_Inventory[[#This Row],[Plumbing Fixtures]]*Lookups!$B$18</f>
        <v>16083.5344</v>
      </c>
      <c r="BQ378" s="6">
        <f>Grandview_Inventory[[#This Row],[detatched_value]]*Lookups!$B$19</f>
        <v>0</v>
      </c>
      <c r="BR378" s="6">
        <f>SUM(Grandview_Inventory[[#This Row],[Intercept]:[det_value]])*Grandview_Inventory[[#This Row],[res_pct]]</f>
        <v>332835.33145300002</v>
      </c>
      <c r="BS378" s="6">
        <f>Grandview_Inventory[[#This Row],[land_value]]</f>
        <v>59559.013262526838</v>
      </c>
      <c r="BT378" s="4">
        <f>_xlfn.IFNA(VLOOKUP(Grandview_Inventory[[#This Row],[quality]],Lookups!$A$26:$C$33,3,FALSE),1)</f>
        <v>0.94960540378902636</v>
      </c>
      <c r="BU378" s="4">
        <f>_xlfn.IFNA(VLOOKUP(Grandview_Inventory[[#This Row],[condition]],Lookups!$A$37:$C$44,3,FALSE),1)</f>
        <v>0.96469275950863709</v>
      </c>
      <c r="BV378" s="4">
        <f>IF(Grandview_Inventory[[#This Row],[bldg_style]]="",1,_xlfn.IFNA(VLOOKUP(Grandview_Inventory[[#This Row],[decade]],Lookups!$F$29:$H$43,3,FALSE),1))</f>
        <v>0.9871940091910919</v>
      </c>
      <c r="BW378" s="4">
        <f>_xlfn.IFNA(VLOOKUP(Grandview_Inventory[[#This Row],[living_area_range]],Lookups!$F$47:$H$56,3,FALSE),1)</f>
        <v>0.96120133463014379</v>
      </c>
      <c r="BX378" s="4">
        <f>AVERAGE(Grandview_Inventory[[#This Row],[qual_adj]:[size_adj]])</f>
        <v>0.96567337677972476</v>
      </c>
      <c r="BY378" s="6">
        <f>IF(Grandview_Inventory[[#This Row],[pre_res]]&lt;0,0,Grandview_Inventory[[#This Row],[pre_res]]*Grandview_Inventory[[#This Row],[overall_adj]])</f>
        <v>321410.21843581746</v>
      </c>
      <c r="BZ378" s="6">
        <f>(Grandview_Inventory[[#This Row],[sum_land]]-IF(Grandview_Inventory[[#This Row],[no_utilities]]=1,12000,0))/IF(Grandview_Inventory[[#This Row],[unbuildable]]=1,2,1)</f>
        <v>59559.013262526838</v>
      </c>
      <c r="CA378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8">
        <f>ROUND(Grandview_Inventory[[#This Row],[det_value]]*Lookups!$M$28,-2)</f>
        <v>0</v>
      </c>
      <c r="CC378">
        <f>IF(ROUND(Grandview_Inventory[[#This Row],[adj_res]]*Lookups!$M$28,-2)&lt;Grandview_Inventory[[#This Row],[min_res]],Grandview_Inventory[[#This Row],[min_res]],ROUND(Grandview_Inventory[[#This Row],[adj_res]]*Lookups!$M$28,-2))</f>
        <v>305300</v>
      </c>
      <c r="CD378">
        <f>Grandview_Inventory[[#This Row],[final_det]]+Grandview_Inventory[[#This Row],[final_res]]</f>
        <v>305300</v>
      </c>
      <c r="CE378">
        <f>Grandview_Inventory[[#This Row],[final_land]]+Grandview_Inventory[[#This Row],[final_imp]]+Grandview_Inventory[[#This Row],[crop_value]]</f>
        <v>361900</v>
      </c>
      <c r="CG378" t="str">
        <f t="shared" si="5"/>
        <v>update valuation set market_land =56600, market_bldg=305300, market_total =361900, market_mdno =401, market_date ='9/10/2023' where link_id = (select link_id from parcel where parcel_year = '2024' and parcel_id = '23091911413');</v>
      </c>
    </row>
    <row r="379" spans="1:85" x14ac:dyDescent="0.25">
      <c r="A379">
        <v>23091911414</v>
      </c>
      <c r="B379">
        <v>0.39</v>
      </c>
      <c r="C379">
        <v>16834</v>
      </c>
      <c r="D379" t="s">
        <v>129</v>
      </c>
      <c r="E379" t="s">
        <v>53</v>
      </c>
      <c r="F379" t="s">
        <v>53</v>
      </c>
      <c r="G379">
        <v>4</v>
      </c>
      <c r="H379" t="s">
        <v>54</v>
      </c>
      <c r="I379">
        <v>205100</v>
      </c>
      <c r="J379">
        <v>41200</v>
      </c>
      <c r="K379">
        <v>0.39</v>
      </c>
      <c r="L379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79">
        <v>0</v>
      </c>
      <c r="N379">
        <v>0</v>
      </c>
      <c r="O379">
        <v>0</v>
      </c>
      <c r="P379">
        <v>13398.7528</v>
      </c>
      <c r="Q379">
        <v>63903</v>
      </c>
      <c r="R379">
        <f>(Grandview_Inventory[[#This Row],[ln_acres]]*Grandview_Inventory[[#This Row],[coeff]])+Grandview_Inventory[[#This Row],[const]]</f>
        <v>51286.619940067751</v>
      </c>
      <c r="S379" t="s">
        <v>61</v>
      </c>
      <c r="T379">
        <v>1</v>
      </c>
      <c r="U379" t="s">
        <v>62</v>
      </c>
      <c r="V379" t="s">
        <v>69</v>
      </c>
      <c r="W379">
        <v>0</v>
      </c>
      <c r="X379">
        <v>0</v>
      </c>
      <c r="Y379">
        <v>43</v>
      </c>
      <c r="Z379">
        <v>45</v>
      </c>
      <c r="AA379">
        <v>50</v>
      </c>
      <c r="AB379">
        <v>2000</v>
      </c>
      <c r="AC379">
        <v>1635</v>
      </c>
      <c r="AD379">
        <v>1635</v>
      </c>
      <c r="AE379">
        <v>0</v>
      </c>
      <c r="AF379">
        <v>0</v>
      </c>
      <c r="AG379">
        <v>0</v>
      </c>
      <c r="AH379">
        <v>0</v>
      </c>
      <c r="AI379">
        <v>550</v>
      </c>
      <c r="AJ379">
        <v>0</v>
      </c>
      <c r="AK379">
        <v>0</v>
      </c>
      <c r="AL379">
        <v>398</v>
      </c>
      <c r="AM379">
        <v>146</v>
      </c>
      <c r="AN379">
        <v>48</v>
      </c>
      <c r="AO379">
        <v>200</v>
      </c>
      <c r="AP379">
        <v>8</v>
      </c>
      <c r="AQ379">
        <v>0</v>
      </c>
      <c r="AR379">
        <v>0</v>
      </c>
      <c r="AS379" t="s">
        <v>58</v>
      </c>
      <c r="AT379">
        <v>1</v>
      </c>
      <c r="AU379" t="s">
        <v>63</v>
      </c>
      <c r="AV379" t="s">
        <v>60</v>
      </c>
      <c r="AW379">
        <v>1</v>
      </c>
      <c r="AX379">
        <v>3</v>
      </c>
      <c r="AY379">
        <v>0</v>
      </c>
      <c r="AZ379">
        <v>0</v>
      </c>
      <c r="BA379">
        <v>100</v>
      </c>
      <c r="BB379">
        <v>100</v>
      </c>
      <c r="BC379">
        <v>100</v>
      </c>
      <c r="BD379">
        <v>100</v>
      </c>
      <c r="BE379">
        <v>1</v>
      </c>
      <c r="BF379">
        <v>15000</v>
      </c>
      <c r="BG379">
        <v>1000</v>
      </c>
      <c r="BH379" s="6">
        <f>Grandview_Inventory[[#This Row],[land_extract]]*Lookups!$B$3</f>
        <v>59559.013262526838</v>
      </c>
      <c r="BI379" s="6">
        <f>IF(Grandview_Inventory[[#This Row],[bldg_style]]="",0,Lookups!$B$2)</f>
        <v>155833.95000000001</v>
      </c>
      <c r="BJ379" s="6">
        <f>_xlfn.IFNA(VLOOKUP(Grandview_Inventory[[#This Row],[quality]],Lookups!$H$2:$J$14,3,FALSE),0)</f>
        <v>9808</v>
      </c>
      <c r="BK379" s="6">
        <f>_xlfn.IFNA(VLOOKUP(Grandview_Inventory[[#This Row],[condition]],Lookups!$H$17:$J$24,3,FALSE),0)</f>
        <v>-4503</v>
      </c>
      <c r="BL379" s="6">
        <f>Grandview_Inventory[[#This Row],[Eff_Age]]*Lookups!$B$14</f>
        <v>-10284.1638</v>
      </c>
      <c r="BM379" s="6">
        <f>Grandview_Inventory[[#This Row],[living_area]]*Lookups!$B$15</f>
        <v>101992.694655</v>
      </c>
      <c r="BN379" s="6">
        <f>Grandview_Inventory[[#This Row],[Fin BSMT]]*Lookups!$B$16</f>
        <v>0</v>
      </c>
      <c r="BO379" s="6">
        <f>(Grandview_Inventory[[#This Row],[att_gar]]+Grandview_Inventory[[#This Row],[bltin_gar]])*Lookups!$B$17</f>
        <v>48136.24035</v>
      </c>
      <c r="BP379" s="6">
        <f>Grandview_Inventory[[#This Row],[Plumbing Fixtures]]*Lookups!$B$18</f>
        <v>16083.5344</v>
      </c>
      <c r="BQ379" s="6">
        <f>Grandview_Inventory[[#This Row],[detatched_value]]*Lookups!$B$19</f>
        <v>0</v>
      </c>
      <c r="BR379" s="6">
        <f>SUM(Grandview_Inventory[[#This Row],[Intercept]:[det_value]])*Grandview_Inventory[[#This Row],[res_pct]]</f>
        <v>317067.25560500001</v>
      </c>
      <c r="BS379" s="6">
        <f>Grandview_Inventory[[#This Row],[land_value]]</f>
        <v>59559.013262526838</v>
      </c>
      <c r="BT379" s="4">
        <f>_xlfn.IFNA(VLOOKUP(Grandview_Inventory[[#This Row],[quality]],Lookups!$A$26:$C$33,3,FALSE),1)</f>
        <v>0.94295468617355149</v>
      </c>
      <c r="BU379" s="4">
        <f>_xlfn.IFNA(VLOOKUP(Grandview_Inventory[[#This Row],[condition]],Lookups!$A$37:$C$44,3,FALSE),1)</f>
        <v>0.96469275950863709</v>
      </c>
      <c r="BV379" s="4">
        <f>IF(Grandview_Inventory[[#This Row],[bldg_style]]="",1,_xlfn.IFNA(VLOOKUP(Grandview_Inventory[[#This Row],[decade]],Lookups!$F$29:$H$43,3,FALSE),1))</f>
        <v>0.9871940091910919</v>
      </c>
      <c r="BW379" s="4">
        <f>_xlfn.IFNA(VLOOKUP(Grandview_Inventory[[#This Row],[living_area_range]],Lookups!$F$47:$H$56,3,FALSE),1)</f>
        <v>0.96120133463014379</v>
      </c>
      <c r="BX379" s="4">
        <f>AVERAGE(Grandview_Inventory[[#This Row],[qual_adj]:[size_adj]])</f>
        <v>0.96401069737585598</v>
      </c>
      <c r="BY379" s="6">
        <f>IF(Grandview_Inventory[[#This Row],[pre_res]]&lt;0,0,Grandview_Inventory[[#This Row],[pre_res]]*Grandview_Inventory[[#This Row],[overall_adj]])</f>
        <v>305656.22619082482</v>
      </c>
      <c r="BZ379" s="6">
        <f>(Grandview_Inventory[[#This Row],[sum_land]]-IF(Grandview_Inventory[[#This Row],[no_utilities]]=1,12000,0))/IF(Grandview_Inventory[[#This Row],[unbuildable]]=1,2,1)</f>
        <v>59559.013262526838</v>
      </c>
      <c r="CA379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79">
        <f>ROUND(Grandview_Inventory[[#This Row],[det_value]]*Lookups!$M$28,-2)</f>
        <v>0</v>
      </c>
      <c r="CC379">
        <f>IF(ROUND(Grandview_Inventory[[#This Row],[adj_res]]*Lookups!$M$28,-2)&lt;Grandview_Inventory[[#This Row],[min_res]],Grandview_Inventory[[#This Row],[min_res]],ROUND(Grandview_Inventory[[#This Row],[adj_res]]*Lookups!$M$28,-2))</f>
        <v>290400</v>
      </c>
      <c r="CD379">
        <f>Grandview_Inventory[[#This Row],[final_det]]+Grandview_Inventory[[#This Row],[final_res]]</f>
        <v>290400</v>
      </c>
      <c r="CE379">
        <f>Grandview_Inventory[[#This Row],[final_land]]+Grandview_Inventory[[#This Row],[final_imp]]+Grandview_Inventory[[#This Row],[crop_value]]</f>
        <v>347000</v>
      </c>
      <c r="CG379" t="str">
        <f t="shared" si="5"/>
        <v>update valuation set market_land =56600, market_bldg=290400, market_total =347000, market_mdno =401, market_date ='9/10/2023' where link_id = (select link_id from parcel where parcel_year = '2024' and parcel_id = '23091911414');</v>
      </c>
    </row>
    <row r="380" spans="1:85" x14ac:dyDescent="0.25">
      <c r="A380">
        <v>23091911415</v>
      </c>
      <c r="B380">
        <v>0.39</v>
      </c>
      <c r="C380">
        <v>16817</v>
      </c>
      <c r="D380" t="s">
        <v>129</v>
      </c>
      <c r="E380" t="s">
        <v>53</v>
      </c>
      <c r="F380" t="s">
        <v>53</v>
      </c>
      <c r="G380">
        <v>4</v>
      </c>
      <c r="H380" t="s">
        <v>54</v>
      </c>
      <c r="I380">
        <v>291500</v>
      </c>
      <c r="J380">
        <v>41200</v>
      </c>
      <c r="K380">
        <v>0.39</v>
      </c>
      <c r="L380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0">
        <v>0</v>
      </c>
      <c r="N380">
        <v>0</v>
      </c>
      <c r="O380">
        <v>0</v>
      </c>
      <c r="P380">
        <v>13398.7528</v>
      </c>
      <c r="Q380">
        <v>63903</v>
      </c>
      <c r="R380">
        <f>(Grandview_Inventory[[#This Row],[ln_acres]]*Grandview_Inventory[[#This Row],[coeff]])+Grandview_Inventory[[#This Row],[const]]</f>
        <v>51286.619940067751</v>
      </c>
      <c r="S380" t="s">
        <v>58</v>
      </c>
      <c r="T380">
        <v>1</v>
      </c>
      <c r="U380" t="s">
        <v>62</v>
      </c>
      <c r="V380" t="s">
        <v>67</v>
      </c>
      <c r="W380">
        <v>0</v>
      </c>
      <c r="X380">
        <v>0</v>
      </c>
      <c r="Y380">
        <v>23</v>
      </c>
      <c r="Z380">
        <v>23</v>
      </c>
      <c r="AA380">
        <v>30</v>
      </c>
      <c r="AB380">
        <v>3000</v>
      </c>
      <c r="AC380">
        <v>2856</v>
      </c>
      <c r="AD380">
        <v>1728</v>
      </c>
      <c r="AE380">
        <v>0</v>
      </c>
      <c r="AF380">
        <v>0</v>
      </c>
      <c r="AG380">
        <v>1128</v>
      </c>
      <c r="AH380">
        <v>600</v>
      </c>
      <c r="AI380">
        <v>733</v>
      </c>
      <c r="AJ380">
        <v>0</v>
      </c>
      <c r="AK380">
        <v>0</v>
      </c>
      <c r="AL380">
        <v>522</v>
      </c>
      <c r="AM380">
        <v>505</v>
      </c>
      <c r="AN380">
        <v>72</v>
      </c>
      <c r="AO380">
        <v>0</v>
      </c>
      <c r="AP380">
        <v>11</v>
      </c>
      <c r="AQ380">
        <v>0</v>
      </c>
      <c r="AR380">
        <v>0</v>
      </c>
      <c r="AS380" t="s">
        <v>58</v>
      </c>
      <c r="AT380">
        <v>1</v>
      </c>
      <c r="AU380" t="s">
        <v>63</v>
      </c>
      <c r="AV380" t="s">
        <v>60</v>
      </c>
      <c r="AW380">
        <v>0</v>
      </c>
      <c r="AX380">
        <v>3</v>
      </c>
      <c r="AY380">
        <v>0</v>
      </c>
      <c r="AZ380">
        <v>0</v>
      </c>
      <c r="BA380">
        <v>100</v>
      </c>
      <c r="BB380">
        <v>100</v>
      </c>
      <c r="BC380">
        <v>100</v>
      </c>
      <c r="BD380">
        <v>100</v>
      </c>
      <c r="BE380">
        <v>1</v>
      </c>
      <c r="BF380">
        <v>15000</v>
      </c>
      <c r="BG380">
        <v>1000</v>
      </c>
      <c r="BH380" s="6">
        <f>Grandview_Inventory[[#This Row],[land_extract]]*Lookups!$B$3</f>
        <v>59559.013262526838</v>
      </c>
      <c r="BI380" s="6">
        <f>IF(Grandview_Inventory[[#This Row],[bldg_style]]="",0,Lookups!$B$2)</f>
        <v>155833.95000000001</v>
      </c>
      <c r="BJ380" s="6">
        <f>_xlfn.IFNA(VLOOKUP(Grandview_Inventory[[#This Row],[quality]],Lookups!$H$2:$J$14,3,FALSE),0)</f>
        <v>9808</v>
      </c>
      <c r="BK380" s="6">
        <f>_xlfn.IFNA(VLOOKUP(Grandview_Inventory[[#This Row],[condition]],Lookups!$H$17:$J$24,3,FALSE),0)</f>
        <v>22342</v>
      </c>
      <c r="BL380" s="6">
        <f>Grandview_Inventory[[#This Row],[Eff_Age]]*Lookups!$B$14</f>
        <v>-5500.8317999999999</v>
      </c>
      <c r="BM380" s="6">
        <f>Grandview_Inventory[[#This Row],[living_area]]*Lookups!$B$15</f>
        <v>178159.71616800001</v>
      </c>
      <c r="BN380" s="6">
        <f>Grandview_Inventory[[#This Row],[Fin BSMT]]*Lookups!$B$16</f>
        <v>-30567.942720000003</v>
      </c>
      <c r="BO380" s="6">
        <f>(Grandview_Inventory[[#This Row],[att_gar]]+Grandview_Inventory[[#This Row],[bltin_gar]])*Lookups!$B$17</f>
        <v>64152.480321000003</v>
      </c>
      <c r="BP380" s="6">
        <f>Grandview_Inventory[[#This Row],[Plumbing Fixtures]]*Lookups!$B$18</f>
        <v>22114.859800000002</v>
      </c>
      <c r="BQ380" s="6">
        <f>Grandview_Inventory[[#This Row],[detatched_value]]*Lookups!$B$19</f>
        <v>0</v>
      </c>
      <c r="BR380" s="6">
        <f>SUM(Grandview_Inventory[[#This Row],[Intercept]:[det_value]])*Grandview_Inventory[[#This Row],[res_pct]]</f>
        <v>416342.23176900001</v>
      </c>
      <c r="BS380" s="6">
        <f>Grandview_Inventory[[#This Row],[land_value]]</f>
        <v>59559.013262526838</v>
      </c>
      <c r="BT380" s="4">
        <f>_xlfn.IFNA(VLOOKUP(Grandview_Inventory[[#This Row],[quality]],Lookups!$A$26:$C$33,3,FALSE),1)</f>
        <v>0.94295468617355149</v>
      </c>
      <c r="BU380" s="4">
        <f>_xlfn.IFNA(VLOOKUP(Grandview_Inventory[[#This Row],[condition]],Lookups!$A$37:$C$44,3,FALSE),1)</f>
        <v>0.97383723671140243</v>
      </c>
      <c r="BV380" s="4">
        <f>IF(Grandview_Inventory[[#This Row],[bldg_style]]="",1,_xlfn.IFNA(VLOOKUP(Grandview_Inventory[[#This Row],[decade]],Lookups!$F$29:$H$43,3,FALSE),1))</f>
        <v>0.98397821291089549</v>
      </c>
      <c r="BW380" s="4">
        <f>_xlfn.IFNA(VLOOKUP(Grandview_Inventory[[#This Row],[living_area_range]],Lookups!$F$47:$H$56,3,FALSE),1)</f>
        <v>0.94224801443562123</v>
      </c>
      <c r="BX380" s="4">
        <f>AVERAGE(Grandview_Inventory[[#This Row],[qual_adj]:[size_adj]])</f>
        <v>0.96075453755786766</v>
      </c>
      <c r="BY380" s="6">
        <f>IF(Grandview_Inventory[[#This Row],[pre_res]]&lt;0,0,Grandview_Inventory[[#This Row],[pre_res]]*Grandview_Inventory[[#This Row],[overall_adj]])</f>
        <v>400002.68834903615</v>
      </c>
      <c r="BZ380" s="6">
        <f>(Grandview_Inventory[[#This Row],[sum_land]]-IF(Grandview_Inventory[[#This Row],[no_utilities]]=1,12000,0))/IF(Grandview_Inventory[[#This Row],[unbuildable]]=1,2,1)</f>
        <v>59559.013262526838</v>
      </c>
      <c r="CA380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0">
        <f>ROUND(Grandview_Inventory[[#This Row],[det_value]]*Lookups!$M$28,-2)</f>
        <v>0</v>
      </c>
      <c r="CC380">
        <f>IF(ROUND(Grandview_Inventory[[#This Row],[adj_res]]*Lookups!$M$28,-2)&lt;Grandview_Inventory[[#This Row],[min_res]],Grandview_Inventory[[#This Row],[min_res]],ROUND(Grandview_Inventory[[#This Row],[adj_res]]*Lookups!$M$28,-2))</f>
        <v>380000</v>
      </c>
      <c r="CD380">
        <f>Grandview_Inventory[[#This Row],[final_det]]+Grandview_Inventory[[#This Row],[final_res]]</f>
        <v>380000</v>
      </c>
      <c r="CE380">
        <f>Grandview_Inventory[[#This Row],[final_land]]+Grandview_Inventory[[#This Row],[final_imp]]+Grandview_Inventory[[#This Row],[crop_value]]</f>
        <v>436600</v>
      </c>
      <c r="CG380" t="str">
        <f t="shared" si="5"/>
        <v>update valuation set market_land =56600, market_bldg=380000, market_total =436600, market_mdno =401, market_date ='9/10/2023' where link_id = (select link_id from parcel where parcel_year = '2024' and parcel_id = '23091911415');</v>
      </c>
    </row>
    <row r="381" spans="1:85" x14ac:dyDescent="0.25">
      <c r="A381">
        <v>23091911416</v>
      </c>
      <c r="B381">
        <v>0.39</v>
      </c>
      <c r="C381">
        <v>16800</v>
      </c>
      <c r="D381" t="s">
        <v>129</v>
      </c>
      <c r="E381" t="s">
        <v>53</v>
      </c>
      <c r="F381" t="s">
        <v>53</v>
      </c>
      <c r="G381">
        <v>4</v>
      </c>
      <c r="H381" t="s">
        <v>54</v>
      </c>
      <c r="I381">
        <v>321300</v>
      </c>
      <c r="J381">
        <v>41200</v>
      </c>
      <c r="K381">
        <v>0.39</v>
      </c>
      <c r="L381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1">
        <v>0</v>
      </c>
      <c r="N381">
        <v>0</v>
      </c>
      <c r="O381">
        <v>0</v>
      </c>
      <c r="P381">
        <v>13398.7528</v>
      </c>
      <c r="Q381">
        <v>63903</v>
      </c>
      <c r="R381">
        <f>(Grandview_Inventory[[#This Row],[ln_acres]]*Grandview_Inventory[[#This Row],[coeff]])+Grandview_Inventory[[#This Row],[const]]</f>
        <v>51286.619940067751</v>
      </c>
      <c r="S381" t="s">
        <v>61</v>
      </c>
      <c r="T381">
        <v>1</v>
      </c>
      <c r="U381" t="s">
        <v>64</v>
      </c>
      <c r="V381" t="s">
        <v>69</v>
      </c>
      <c r="W381">
        <v>0</v>
      </c>
      <c r="X381">
        <v>0</v>
      </c>
      <c r="Y381">
        <v>43</v>
      </c>
      <c r="Z381">
        <v>44</v>
      </c>
      <c r="AA381">
        <v>50</v>
      </c>
      <c r="AB381">
        <v>2500</v>
      </c>
      <c r="AC381">
        <v>2091</v>
      </c>
      <c r="AD381">
        <v>1891</v>
      </c>
      <c r="AE381">
        <v>0</v>
      </c>
      <c r="AF381">
        <v>0</v>
      </c>
      <c r="AG381">
        <v>200</v>
      </c>
      <c r="AH381">
        <v>150</v>
      </c>
      <c r="AI381">
        <v>596</v>
      </c>
      <c r="AJ381">
        <v>0</v>
      </c>
      <c r="AK381">
        <v>0</v>
      </c>
      <c r="AL381">
        <v>481</v>
      </c>
      <c r="AM381">
        <v>132</v>
      </c>
      <c r="AN381">
        <v>55</v>
      </c>
      <c r="AO381">
        <v>55</v>
      </c>
      <c r="AP381">
        <v>14</v>
      </c>
      <c r="AQ381">
        <v>0</v>
      </c>
      <c r="AR381">
        <v>0</v>
      </c>
      <c r="AS381" t="s">
        <v>58</v>
      </c>
      <c r="AT381">
        <v>1</v>
      </c>
      <c r="AU381" t="s">
        <v>63</v>
      </c>
      <c r="AV381" t="s">
        <v>60</v>
      </c>
      <c r="AW381">
        <v>1</v>
      </c>
      <c r="AX381">
        <v>3</v>
      </c>
      <c r="AY381">
        <v>0</v>
      </c>
      <c r="AZ381">
        <v>66000</v>
      </c>
      <c r="BA381">
        <v>100</v>
      </c>
      <c r="BB381">
        <v>100</v>
      </c>
      <c r="BC381">
        <v>100</v>
      </c>
      <c r="BD381">
        <v>100</v>
      </c>
      <c r="BE381">
        <v>1</v>
      </c>
      <c r="BF381">
        <v>15000</v>
      </c>
      <c r="BG381">
        <v>1000</v>
      </c>
      <c r="BH381" s="6">
        <f>Grandview_Inventory[[#This Row],[land_extract]]*Lookups!$B$3</f>
        <v>59559.013262526838</v>
      </c>
      <c r="BI381" s="6">
        <f>IF(Grandview_Inventory[[#This Row],[bldg_style]]="",0,Lookups!$B$2)</f>
        <v>155833.95000000001</v>
      </c>
      <c r="BJ381" s="6">
        <f>_xlfn.IFNA(VLOOKUP(Grandview_Inventory[[#This Row],[quality]],Lookups!$H$2:$J$14,3,FALSE),0)</f>
        <v>20768</v>
      </c>
      <c r="BK381" s="6">
        <f>_xlfn.IFNA(VLOOKUP(Grandview_Inventory[[#This Row],[condition]],Lookups!$H$17:$J$24,3,FALSE),0)</f>
        <v>-4503</v>
      </c>
      <c r="BL381" s="6">
        <f>Grandview_Inventory[[#This Row],[Eff_Age]]*Lookups!$B$14</f>
        <v>-10284.1638</v>
      </c>
      <c r="BM381" s="6">
        <f>Grandview_Inventory[[#This Row],[living_area]]*Lookups!$B$15</f>
        <v>130438.363623</v>
      </c>
      <c r="BN381" s="6">
        <f>Grandview_Inventory[[#This Row],[Fin BSMT]]*Lookups!$B$16</f>
        <v>-5419.848</v>
      </c>
      <c r="BO381" s="6">
        <f>(Grandview_Inventory[[#This Row],[att_gar]]+Grandview_Inventory[[#This Row],[bltin_gar]])*Lookups!$B$17</f>
        <v>52162.180452000001</v>
      </c>
      <c r="BP381" s="6">
        <f>Grandview_Inventory[[#This Row],[Plumbing Fixtures]]*Lookups!$B$18</f>
        <v>28146.1852</v>
      </c>
      <c r="BQ381" s="6">
        <f>Grandview_Inventory[[#This Row],[detatched_value]]*Lookups!$B$19</f>
        <v>55889.136599999998</v>
      </c>
      <c r="BR381" s="6">
        <f>SUM(Grandview_Inventory[[#This Row],[Intercept]:[det_value]])*Grandview_Inventory[[#This Row],[res_pct]]</f>
        <v>423030.80407499999</v>
      </c>
      <c r="BS381" s="6">
        <f>Grandview_Inventory[[#This Row],[land_value]]</f>
        <v>59559.013262526838</v>
      </c>
      <c r="BT381" s="4">
        <f>_xlfn.IFNA(VLOOKUP(Grandview_Inventory[[#This Row],[quality]],Lookups!$A$26:$C$33,3,FALSE),1)</f>
        <v>0.94960540378902636</v>
      </c>
      <c r="BU381" s="4">
        <f>_xlfn.IFNA(VLOOKUP(Grandview_Inventory[[#This Row],[condition]],Lookups!$A$37:$C$44,3,FALSE),1)</f>
        <v>0.96469275950863709</v>
      </c>
      <c r="BV381" s="4">
        <f>IF(Grandview_Inventory[[#This Row],[bldg_style]]="",1,_xlfn.IFNA(VLOOKUP(Grandview_Inventory[[#This Row],[decade]],Lookups!$F$29:$H$43,3,FALSE),1))</f>
        <v>0.9871940091910919</v>
      </c>
      <c r="BW381" s="4">
        <f>_xlfn.IFNA(VLOOKUP(Grandview_Inventory[[#This Row],[living_area_range]],Lookups!$F$47:$H$56,3,FALSE),1)</f>
        <v>0.95799442568048754</v>
      </c>
      <c r="BX381" s="4">
        <f>AVERAGE(Grandview_Inventory[[#This Row],[qual_adj]:[size_adj]])</f>
        <v>0.96487164954231075</v>
      </c>
      <c r="BY381" s="6">
        <f>IF(Grandview_Inventory[[#This Row],[pre_res]]&lt;0,0,Grandview_Inventory[[#This Row],[pre_res]]*Grandview_Inventory[[#This Row],[overall_adj]])</f>
        <v>408170.42973505531</v>
      </c>
      <c r="BZ381" s="6">
        <f>(Grandview_Inventory[[#This Row],[sum_land]]-IF(Grandview_Inventory[[#This Row],[no_utilities]]=1,12000,0))/IF(Grandview_Inventory[[#This Row],[unbuildable]]=1,2,1)</f>
        <v>59559.013262526838</v>
      </c>
      <c r="CA381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1">
        <f>ROUND(Grandview_Inventory[[#This Row],[det_value]]*Lookups!$M$28,-2)</f>
        <v>53100</v>
      </c>
      <c r="CC381">
        <f>IF(ROUND(Grandview_Inventory[[#This Row],[adj_res]]*Lookups!$M$28,-2)&lt;Grandview_Inventory[[#This Row],[min_res]],Grandview_Inventory[[#This Row],[min_res]],ROUND(Grandview_Inventory[[#This Row],[adj_res]]*Lookups!$M$28,-2))</f>
        <v>387800</v>
      </c>
      <c r="CD381">
        <f>Grandview_Inventory[[#This Row],[final_det]]+Grandview_Inventory[[#This Row],[final_res]]</f>
        <v>440900</v>
      </c>
      <c r="CE381">
        <f>Grandview_Inventory[[#This Row],[final_land]]+Grandview_Inventory[[#This Row],[final_imp]]+Grandview_Inventory[[#This Row],[crop_value]]</f>
        <v>497500</v>
      </c>
      <c r="CG381" t="str">
        <f t="shared" si="5"/>
        <v>update valuation set market_land =56600, market_bldg=440900, market_total =497500, market_mdno =401, market_date ='9/10/2023' where link_id = (select link_id from parcel where parcel_year = '2024' and parcel_id = '23091911416');</v>
      </c>
    </row>
    <row r="382" spans="1:85" x14ac:dyDescent="0.25">
      <c r="A382">
        <v>23091911417</v>
      </c>
      <c r="B382">
        <v>0.39</v>
      </c>
      <c r="C382">
        <v>16783</v>
      </c>
      <c r="D382" t="s">
        <v>129</v>
      </c>
      <c r="E382" t="s">
        <v>53</v>
      </c>
      <c r="F382" t="s">
        <v>53</v>
      </c>
      <c r="G382">
        <v>4</v>
      </c>
      <c r="H382" t="s">
        <v>54</v>
      </c>
      <c r="I382">
        <v>299300</v>
      </c>
      <c r="J382">
        <v>41200</v>
      </c>
      <c r="K382">
        <v>0.39</v>
      </c>
      <c r="L382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2">
        <v>0</v>
      </c>
      <c r="N382">
        <v>0</v>
      </c>
      <c r="O382">
        <v>0</v>
      </c>
      <c r="P382">
        <v>13398.7528</v>
      </c>
      <c r="Q382">
        <v>63903</v>
      </c>
      <c r="R382">
        <f>(Grandview_Inventory[[#This Row],[ln_acres]]*Grandview_Inventory[[#This Row],[coeff]])+Grandview_Inventory[[#This Row],[const]]</f>
        <v>51286.619940067751</v>
      </c>
      <c r="S382" t="s">
        <v>58</v>
      </c>
      <c r="T382">
        <v>1</v>
      </c>
      <c r="U382" t="s">
        <v>62</v>
      </c>
      <c r="V382" t="s">
        <v>69</v>
      </c>
      <c r="W382">
        <v>0</v>
      </c>
      <c r="X382">
        <v>0</v>
      </c>
      <c r="Y382">
        <v>40</v>
      </c>
      <c r="Z382">
        <v>40</v>
      </c>
      <c r="AA382">
        <v>40</v>
      </c>
      <c r="AB382">
        <v>2500</v>
      </c>
      <c r="AC382">
        <v>2291</v>
      </c>
      <c r="AD382">
        <v>2291</v>
      </c>
      <c r="AE382">
        <v>0</v>
      </c>
      <c r="AF382">
        <v>0</v>
      </c>
      <c r="AG382">
        <v>0</v>
      </c>
      <c r="AH382">
        <v>0</v>
      </c>
      <c r="AI382">
        <v>528</v>
      </c>
      <c r="AJ382">
        <v>0</v>
      </c>
      <c r="AK382">
        <v>0</v>
      </c>
      <c r="AL382">
        <v>704</v>
      </c>
      <c r="AM382">
        <v>657</v>
      </c>
      <c r="AN382">
        <v>0</v>
      </c>
      <c r="AO382">
        <v>494</v>
      </c>
      <c r="AP382">
        <v>10</v>
      </c>
      <c r="AQ382">
        <v>1</v>
      </c>
      <c r="AR382">
        <v>0</v>
      </c>
      <c r="AS382" t="s">
        <v>58</v>
      </c>
      <c r="AT382">
        <v>1</v>
      </c>
      <c r="AU382" t="s">
        <v>63</v>
      </c>
      <c r="AV382" t="s">
        <v>60</v>
      </c>
      <c r="AW382">
        <v>1</v>
      </c>
      <c r="AX382">
        <v>4</v>
      </c>
      <c r="AY382">
        <v>0</v>
      </c>
      <c r="AZ382">
        <v>29600</v>
      </c>
      <c r="BA382">
        <v>100</v>
      </c>
      <c r="BB382">
        <v>100</v>
      </c>
      <c r="BC382">
        <v>100</v>
      </c>
      <c r="BD382">
        <v>100</v>
      </c>
      <c r="BE382">
        <v>1</v>
      </c>
      <c r="BF382">
        <v>15000</v>
      </c>
      <c r="BG382">
        <v>1000</v>
      </c>
      <c r="BH382" s="6">
        <f>Grandview_Inventory[[#This Row],[land_extract]]*Lookups!$B$3</f>
        <v>59559.013262526838</v>
      </c>
      <c r="BI382" s="6">
        <f>IF(Grandview_Inventory[[#This Row],[bldg_style]]="",0,Lookups!$B$2)</f>
        <v>155833.95000000001</v>
      </c>
      <c r="BJ382" s="6">
        <f>_xlfn.IFNA(VLOOKUP(Grandview_Inventory[[#This Row],[quality]],Lookups!$H$2:$J$14,3,FALSE),0)</f>
        <v>9808</v>
      </c>
      <c r="BK382" s="6">
        <f>_xlfn.IFNA(VLOOKUP(Grandview_Inventory[[#This Row],[condition]],Lookups!$H$17:$J$24,3,FALSE),0)</f>
        <v>-4503</v>
      </c>
      <c r="BL382" s="6">
        <f>Grandview_Inventory[[#This Row],[Eff_Age]]*Lookups!$B$14</f>
        <v>-9566.6639999999989</v>
      </c>
      <c r="BM382" s="6">
        <f>Grandview_Inventory[[#This Row],[living_area]]*Lookups!$B$15</f>
        <v>142914.534223</v>
      </c>
      <c r="BN382" s="6">
        <f>Grandview_Inventory[[#This Row],[Fin BSMT]]*Lookups!$B$16</f>
        <v>0</v>
      </c>
      <c r="BO382" s="6">
        <f>(Grandview_Inventory[[#This Row],[att_gar]]+Grandview_Inventory[[#This Row],[bltin_gar]])*Lookups!$B$17</f>
        <v>46210.790736000003</v>
      </c>
      <c r="BP382" s="6">
        <f>Grandview_Inventory[[#This Row],[Plumbing Fixtures]]*Lookups!$B$18</f>
        <v>20104.418000000001</v>
      </c>
      <c r="BQ382" s="6">
        <f>Grandview_Inventory[[#This Row],[detatched_value]]*Lookups!$B$19</f>
        <v>25065.430959999998</v>
      </c>
      <c r="BR382" s="6">
        <f>SUM(Grandview_Inventory[[#This Row],[Intercept]:[det_value]])*Grandview_Inventory[[#This Row],[res_pct]]</f>
        <v>385867.45991900004</v>
      </c>
      <c r="BS382" s="6">
        <f>Grandview_Inventory[[#This Row],[land_value]]</f>
        <v>59559.013262526838</v>
      </c>
      <c r="BT382" s="4">
        <f>_xlfn.IFNA(VLOOKUP(Grandview_Inventory[[#This Row],[quality]],Lookups!$A$26:$C$33,3,FALSE),1)</f>
        <v>0.94295468617355149</v>
      </c>
      <c r="BU382" s="4">
        <f>_xlfn.IFNA(VLOOKUP(Grandview_Inventory[[#This Row],[condition]],Lookups!$A$37:$C$44,3,FALSE),1)</f>
        <v>0.96469275950863709</v>
      </c>
      <c r="BV382" s="4">
        <f>IF(Grandview_Inventory[[#This Row],[bldg_style]]="",1,_xlfn.IFNA(VLOOKUP(Grandview_Inventory[[#This Row],[decade]],Lookups!$F$29:$H$43,3,FALSE),1))</f>
        <v>0.98031878267063854</v>
      </c>
      <c r="BW382" s="4">
        <f>_xlfn.IFNA(VLOOKUP(Grandview_Inventory[[#This Row],[living_area_range]],Lookups!$F$47:$H$56,3,FALSE),1)</f>
        <v>0.95799442568048754</v>
      </c>
      <c r="BX382" s="4">
        <f>AVERAGE(Grandview_Inventory[[#This Row],[qual_adj]:[size_adj]])</f>
        <v>0.96149016350832861</v>
      </c>
      <c r="BY382" s="6">
        <f>IF(Grandview_Inventory[[#This Row],[pre_res]]&lt;0,0,Grandview_Inventory[[#This Row],[pre_res]]*Grandview_Inventory[[#This Row],[overall_adj]])</f>
        <v>371007.7671300628</v>
      </c>
      <c r="BZ382" s="6">
        <f>(Grandview_Inventory[[#This Row],[sum_land]]-IF(Grandview_Inventory[[#This Row],[no_utilities]]=1,12000,0))/IF(Grandview_Inventory[[#This Row],[unbuildable]]=1,2,1)</f>
        <v>59559.013262526838</v>
      </c>
      <c r="CA382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2">
        <f>ROUND(Grandview_Inventory[[#This Row],[det_value]]*Lookups!$M$28,-2)</f>
        <v>23800</v>
      </c>
      <c r="CC382">
        <f>IF(ROUND(Grandview_Inventory[[#This Row],[adj_res]]*Lookups!$M$28,-2)&lt;Grandview_Inventory[[#This Row],[min_res]],Grandview_Inventory[[#This Row],[min_res]],ROUND(Grandview_Inventory[[#This Row],[adj_res]]*Lookups!$M$28,-2))</f>
        <v>352500</v>
      </c>
      <c r="CD382">
        <f>Grandview_Inventory[[#This Row],[final_det]]+Grandview_Inventory[[#This Row],[final_res]]</f>
        <v>376300</v>
      </c>
      <c r="CE382">
        <f>Grandview_Inventory[[#This Row],[final_land]]+Grandview_Inventory[[#This Row],[final_imp]]+Grandview_Inventory[[#This Row],[crop_value]]</f>
        <v>432900</v>
      </c>
      <c r="CG382" t="str">
        <f t="shared" si="5"/>
        <v>update valuation set market_land =56600, market_bldg=376300, market_total =432900, market_mdno =401, market_date ='9/10/2023' where link_id = (select link_id from parcel where parcel_year = '2024' and parcel_id = '23091911417');</v>
      </c>
    </row>
    <row r="383" spans="1:85" x14ac:dyDescent="0.25">
      <c r="A383">
        <v>23091911418</v>
      </c>
      <c r="B383">
        <v>0.38</v>
      </c>
      <c r="C383">
        <v>16682</v>
      </c>
      <c r="D383" t="s">
        <v>129</v>
      </c>
      <c r="E383" t="s">
        <v>53</v>
      </c>
      <c r="F383" t="s">
        <v>53</v>
      </c>
      <c r="G383">
        <v>4</v>
      </c>
      <c r="H383" t="s">
        <v>54</v>
      </c>
      <c r="I383">
        <v>251400</v>
      </c>
      <c r="J383">
        <v>41100</v>
      </c>
      <c r="K383">
        <v>0.38</v>
      </c>
      <c r="L383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383">
        <v>0</v>
      </c>
      <c r="N383">
        <v>0</v>
      </c>
      <c r="O383">
        <v>0</v>
      </c>
      <c r="P383">
        <v>13398.7528</v>
      </c>
      <c r="Q383">
        <v>63903</v>
      </c>
      <c r="R383">
        <f>(Grandview_Inventory[[#This Row],[ln_acres]]*Grandview_Inventory[[#This Row],[coeff]])+Grandview_Inventory[[#This Row],[const]]</f>
        <v>50938.580818890696</v>
      </c>
      <c r="S383" t="s">
        <v>58</v>
      </c>
      <c r="T383">
        <v>1</v>
      </c>
      <c r="U383" t="s">
        <v>62</v>
      </c>
      <c r="V383" t="s">
        <v>67</v>
      </c>
      <c r="W383">
        <v>0</v>
      </c>
      <c r="X383">
        <v>0</v>
      </c>
      <c r="Y383">
        <v>29</v>
      </c>
      <c r="Z383">
        <v>29</v>
      </c>
      <c r="AA383">
        <v>30</v>
      </c>
      <c r="AB383">
        <v>2000</v>
      </c>
      <c r="AC383">
        <v>1556</v>
      </c>
      <c r="AD383">
        <v>1556</v>
      </c>
      <c r="AE383">
        <v>0</v>
      </c>
      <c r="AF383">
        <v>0</v>
      </c>
      <c r="AG383">
        <v>0</v>
      </c>
      <c r="AH383">
        <v>0</v>
      </c>
      <c r="AI383">
        <v>506</v>
      </c>
      <c r="AJ383">
        <v>0</v>
      </c>
      <c r="AK383">
        <v>0</v>
      </c>
      <c r="AL383">
        <v>160</v>
      </c>
      <c r="AM383">
        <v>0</v>
      </c>
      <c r="AN383">
        <v>0</v>
      </c>
      <c r="AO383">
        <v>0</v>
      </c>
      <c r="AP383">
        <v>8</v>
      </c>
      <c r="AQ383">
        <v>0</v>
      </c>
      <c r="AR383">
        <v>0</v>
      </c>
      <c r="AS383" t="s">
        <v>58</v>
      </c>
      <c r="AT383">
        <v>1</v>
      </c>
      <c r="AU383" t="s">
        <v>63</v>
      </c>
      <c r="AV383" t="s">
        <v>60</v>
      </c>
      <c r="AW383">
        <v>1</v>
      </c>
      <c r="AX383">
        <v>3</v>
      </c>
      <c r="AY383">
        <v>0</v>
      </c>
      <c r="AZ383">
        <v>0</v>
      </c>
      <c r="BA383">
        <v>100</v>
      </c>
      <c r="BB383">
        <v>100</v>
      </c>
      <c r="BC383">
        <v>100</v>
      </c>
      <c r="BD383">
        <v>100</v>
      </c>
      <c r="BE383">
        <v>1</v>
      </c>
      <c r="BF383">
        <v>15000</v>
      </c>
      <c r="BG383">
        <v>1000</v>
      </c>
      <c r="BH383" s="6">
        <f>Grandview_Inventory[[#This Row],[land_extract]]*Lookups!$B$3</f>
        <v>59154.836370809549</v>
      </c>
      <c r="BI383" s="6">
        <f>IF(Grandview_Inventory[[#This Row],[bldg_style]]="",0,Lookups!$B$2)</f>
        <v>155833.95000000001</v>
      </c>
      <c r="BJ383" s="6">
        <f>_xlfn.IFNA(VLOOKUP(Grandview_Inventory[[#This Row],[quality]],Lookups!$H$2:$J$14,3,FALSE),0)</f>
        <v>9808</v>
      </c>
      <c r="BK383" s="6">
        <f>_xlfn.IFNA(VLOOKUP(Grandview_Inventory[[#This Row],[condition]],Lookups!$H$17:$J$24,3,FALSE),0)</f>
        <v>22342</v>
      </c>
      <c r="BL383" s="6">
        <f>Grandview_Inventory[[#This Row],[Eff_Age]]*Lookups!$B$14</f>
        <v>-6935.8314</v>
      </c>
      <c r="BM383" s="6">
        <f>Grandview_Inventory[[#This Row],[living_area]]*Lookups!$B$15</f>
        <v>97064.607268000007</v>
      </c>
      <c r="BN383" s="6">
        <f>Grandview_Inventory[[#This Row],[Fin BSMT]]*Lookups!$B$16</f>
        <v>0</v>
      </c>
      <c r="BO383" s="6">
        <f>(Grandview_Inventory[[#This Row],[att_gar]]+Grandview_Inventory[[#This Row],[bltin_gar]])*Lookups!$B$17</f>
        <v>44285.341121999998</v>
      </c>
      <c r="BP383" s="6">
        <f>Grandview_Inventory[[#This Row],[Plumbing Fixtures]]*Lookups!$B$18</f>
        <v>16083.5344</v>
      </c>
      <c r="BQ383" s="6">
        <f>Grandview_Inventory[[#This Row],[detatched_value]]*Lookups!$B$19</f>
        <v>0</v>
      </c>
      <c r="BR383" s="6">
        <f>SUM(Grandview_Inventory[[#This Row],[Intercept]:[det_value]])*Grandview_Inventory[[#This Row],[res_pct]]</f>
        <v>338481.60139000003</v>
      </c>
      <c r="BS383" s="6">
        <f>Grandview_Inventory[[#This Row],[land_value]]</f>
        <v>59154.836370809549</v>
      </c>
      <c r="BT383" s="4">
        <f>_xlfn.IFNA(VLOOKUP(Grandview_Inventory[[#This Row],[quality]],Lookups!$A$26:$C$33,3,FALSE),1)</f>
        <v>0.94295468617355149</v>
      </c>
      <c r="BU383" s="4">
        <f>_xlfn.IFNA(VLOOKUP(Grandview_Inventory[[#This Row],[condition]],Lookups!$A$37:$C$44,3,FALSE),1)</f>
        <v>0.97383723671140243</v>
      </c>
      <c r="BV383" s="4">
        <f>IF(Grandview_Inventory[[#This Row],[bldg_style]]="",1,_xlfn.IFNA(VLOOKUP(Grandview_Inventory[[#This Row],[decade]],Lookups!$F$29:$H$43,3,FALSE),1))</f>
        <v>0.98397821291089549</v>
      </c>
      <c r="BW383" s="4">
        <f>_xlfn.IFNA(VLOOKUP(Grandview_Inventory[[#This Row],[living_area_range]],Lookups!$F$47:$H$56,3,FALSE),1)</f>
        <v>0.96120133463014379</v>
      </c>
      <c r="BX383" s="4">
        <f>AVERAGE(Grandview_Inventory[[#This Row],[qual_adj]:[size_adj]])</f>
        <v>0.96549286760649822</v>
      </c>
      <c r="BY383" s="6">
        <f>IF(Grandview_Inventory[[#This Row],[pre_res]]&lt;0,0,Grandview_Inventory[[#This Row],[pre_res]]*Grandview_Inventory[[#This Row],[overall_adj]])</f>
        <v>326801.5719580708</v>
      </c>
      <c r="BZ383" s="6">
        <f>(Grandview_Inventory[[#This Row],[sum_land]]-IF(Grandview_Inventory[[#This Row],[no_utilities]]=1,12000,0))/IF(Grandview_Inventory[[#This Row],[unbuildable]]=1,2,1)</f>
        <v>59154.836370809549</v>
      </c>
      <c r="CA383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383">
        <f>ROUND(Grandview_Inventory[[#This Row],[det_value]]*Lookups!$M$28,-2)</f>
        <v>0</v>
      </c>
      <c r="CC383">
        <f>IF(ROUND(Grandview_Inventory[[#This Row],[adj_res]]*Lookups!$M$28,-2)&lt;Grandview_Inventory[[#This Row],[min_res]],Grandview_Inventory[[#This Row],[min_res]],ROUND(Grandview_Inventory[[#This Row],[adj_res]]*Lookups!$M$28,-2))</f>
        <v>310500</v>
      </c>
      <c r="CD383">
        <f>Grandview_Inventory[[#This Row],[final_det]]+Grandview_Inventory[[#This Row],[final_res]]</f>
        <v>310500</v>
      </c>
      <c r="CE383">
        <f>Grandview_Inventory[[#This Row],[final_land]]+Grandview_Inventory[[#This Row],[final_imp]]+Grandview_Inventory[[#This Row],[crop_value]]</f>
        <v>366700</v>
      </c>
      <c r="CG383" t="str">
        <f t="shared" si="5"/>
        <v>update valuation set market_land =56200, market_bldg=310500, market_total =366700, market_mdno =401, market_date ='9/10/2023' where link_id = (select link_id from parcel where parcel_year = '2024' and parcel_id = '23091911418');</v>
      </c>
    </row>
    <row r="384" spans="1:85" x14ac:dyDescent="0.25">
      <c r="A384">
        <v>23091911419</v>
      </c>
      <c r="B384">
        <v>0.33</v>
      </c>
      <c r="C384">
        <v>14176</v>
      </c>
      <c r="D384" t="s">
        <v>129</v>
      </c>
      <c r="E384" t="s">
        <v>53</v>
      </c>
      <c r="F384" t="s">
        <v>53</v>
      </c>
      <c r="G384">
        <v>4</v>
      </c>
      <c r="H384" t="s">
        <v>54</v>
      </c>
      <c r="I384">
        <v>247200</v>
      </c>
      <c r="J384">
        <v>39500</v>
      </c>
      <c r="K384">
        <v>0.33</v>
      </c>
      <c r="L384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384">
        <v>0</v>
      </c>
      <c r="N384">
        <v>0</v>
      </c>
      <c r="O384">
        <v>0</v>
      </c>
      <c r="P384">
        <v>13398.7528</v>
      </c>
      <c r="Q384">
        <v>63903</v>
      </c>
      <c r="R384">
        <f>(Grandview_Inventory[[#This Row],[ln_acres]]*Grandview_Inventory[[#This Row],[coeff]])+Grandview_Inventory[[#This Row],[const]]</f>
        <v>49048.303555435712</v>
      </c>
      <c r="S384" t="s">
        <v>58</v>
      </c>
      <c r="T384">
        <v>1</v>
      </c>
      <c r="U384" t="s">
        <v>64</v>
      </c>
      <c r="V384" t="s">
        <v>69</v>
      </c>
      <c r="W384">
        <v>0</v>
      </c>
      <c r="X384">
        <v>0</v>
      </c>
      <c r="Y384">
        <v>42</v>
      </c>
      <c r="Z384">
        <v>42</v>
      </c>
      <c r="AA384">
        <v>50</v>
      </c>
      <c r="AB384">
        <v>2000</v>
      </c>
      <c r="AC384">
        <v>1856</v>
      </c>
      <c r="AD384">
        <v>1856</v>
      </c>
      <c r="AE384">
        <v>0</v>
      </c>
      <c r="AF384">
        <v>0</v>
      </c>
      <c r="AG384">
        <v>0</v>
      </c>
      <c r="AH384">
        <v>0</v>
      </c>
      <c r="AI384">
        <v>504</v>
      </c>
      <c r="AJ384">
        <v>0</v>
      </c>
      <c r="AK384">
        <v>0</v>
      </c>
      <c r="AL384">
        <v>0</v>
      </c>
      <c r="AM384">
        <v>0</v>
      </c>
      <c r="AN384">
        <v>96</v>
      </c>
      <c r="AO384">
        <v>0</v>
      </c>
      <c r="AP384">
        <v>10</v>
      </c>
      <c r="AQ384">
        <v>0</v>
      </c>
      <c r="AR384">
        <v>1</v>
      </c>
      <c r="AS384" t="s">
        <v>58</v>
      </c>
      <c r="AT384">
        <v>1</v>
      </c>
      <c r="AU384" t="s">
        <v>59</v>
      </c>
      <c r="AV384" t="s">
        <v>60</v>
      </c>
      <c r="AW384">
        <v>1</v>
      </c>
      <c r="AX384">
        <v>3</v>
      </c>
      <c r="AY384">
        <v>0</v>
      </c>
      <c r="AZ384">
        <v>0</v>
      </c>
      <c r="BA384">
        <v>100</v>
      </c>
      <c r="BB384">
        <v>100</v>
      </c>
      <c r="BC384">
        <v>100</v>
      </c>
      <c r="BD384">
        <v>100</v>
      </c>
      <c r="BE384">
        <v>1</v>
      </c>
      <c r="BF384">
        <v>15000</v>
      </c>
      <c r="BG384">
        <v>1000</v>
      </c>
      <c r="BH384" s="6">
        <f>Grandview_Inventory[[#This Row],[land_extract]]*Lookups!$B$3</f>
        <v>56959.662488507893</v>
      </c>
      <c r="BI384" s="6">
        <f>IF(Grandview_Inventory[[#This Row],[bldg_style]]="",0,Lookups!$B$2)</f>
        <v>155833.95000000001</v>
      </c>
      <c r="BJ384" s="6">
        <f>_xlfn.IFNA(VLOOKUP(Grandview_Inventory[[#This Row],[quality]],Lookups!$H$2:$J$14,3,FALSE),0)</f>
        <v>20768</v>
      </c>
      <c r="BK384" s="6">
        <f>_xlfn.IFNA(VLOOKUP(Grandview_Inventory[[#This Row],[condition]],Lookups!$H$17:$J$24,3,FALSE),0)</f>
        <v>-4503</v>
      </c>
      <c r="BL384" s="6">
        <f>Grandview_Inventory[[#This Row],[Eff_Age]]*Lookups!$B$14</f>
        <v>-10044.9972</v>
      </c>
      <c r="BM384" s="6">
        <f>Grandview_Inventory[[#This Row],[living_area]]*Lookups!$B$15</f>
        <v>115778.86316800001</v>
      </c>
      <c r="BN384" s="6">
        <f>Grandview_Inventory[[#This Row],[Fin BSMT]]*Lookups!$B$16</f>
        <v>0</v>
      </c>
      <c r="BO384" s="6">
        <f>(Grandview_Inventory[[#This Row],[att_gar]]+Grandview_Inventory[[#This Row],[bltin_gar]])*Lookups!$B$17</f>
        <v>44110.300248</v>
      </c>
      <c r="BP384" s="6">
        <f>Grandview_Inventory[[#This Row],[Plumbing Fixtures]]*Lookups!$B$18</f>
        <v>20104.418000000001</v>
      </c>
      <c r="BQ384" s="6">
        <f>Grandview_Inventory[[#This Row],[detatched_value]]*Lookups!$B$19</f>
        <v>0</v>
      </c>
      <c r="BR384" s="6">
        <f>SUM(Grandview_Inventory[[#This Row],[Intercept]:[det_value]])*Grandview_Inventory[[#This Row],[res_pct]]</f>
        <v>342047.534216</v>
      </c>
      <c r="BS384" s="6">
        <f>Grandview_Inventory[[#This Row],[land_value]]</f>
        <v>56959.662488507893</v>
      </c>
      <c r="BT384" s="4">
        <f>_xlfn.IFNA(VLOOKUP(Grandview_Inventory[[#This Row],[quality]],Lookups!$A$26:$C$33,3,FALSE),1)</f>
        <v>0.94960540378902636</v>
      </c>
      <c r="BU384" s="4">
        <f>_xlfn.IFNA(VLOOKUP(Grandview_Inventory[[#This Row],[condition]],Lookups!$A$37:$C$44,3,FALSE),1)</f>
        <v>0.96469275950863709</v>
      </c>
      <c r="BV384" s="4">
        <f>IF(Grandview_Inventory[[#This Row],[bldg_style]]="",1,_xlfn.IFNA(VLOOKUP(Grandview_Inventory[[#This Row],[decade]],Lookups!$F$29:$H$43,3,FALSE),1))</f>
        <v>0.9871940091910919</v>
      </c>
      <c r="BW384" s="4">
        <f>_xlfn.IFNA(VLOOKUP(Grandview_Inventory[[#This Row],[living_area_range]],Lookups!$F$47:$H$56,3,FALSE),1)</f>
        <v>0.96120133463014379</v>
      </c>
      <c r="BX384" s="4">
        <f>AVERAGE(Grandview_Inventory[[#This Row],[qual_adj]:[size_adj]])</f>
        <v>0.96567337677972476</v>
      </c>
      <c r="BY384" s="6">
        <f>IF(Grandview_Inventory[[#This Row],[pre_res]]&lt;0,0,Grandview_Inventory[[#This Row],[pre_res]]*Grandview_Inventory[[#This Row],[overall_adj]])</f>
        <v>330306.19738554314</v>
      </c>
      <c r="BZ384" s="6">
        <f>(Grandview_Inventory[[#This Row],[sum_land]]-IF(Grandview_Inventory[[#This Row],[no_utilities]]=1,12000,0))/IF(Grandview_Inventory[[#This Row],[unbuildable]]=1,2,1)</f>
        <v>56959.662488507893</v>
      </c>
      <c r="CA384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384">
        <f>ROUND(Grandview_Inventory[[#This Row],[det_value]]*Lookups!$M$28,-2)</f>
        <v>0</v>
      </c>
      <c r="CC384">
        <f>IF(ROUND(Grandview_Inventory[[#This Row],[adj_res]]*Lookups!$M$28,-2)&lt;Grandview_Inventory[[#This Row],[min_res]],Grandview_Inventory[[#This Row],[min_res]],ROUND(Grandview_Inventory[[#This Row],[adj_res]]*Lookups!$M$28,-2))</f>
        <v>313800</v>
      </c>
      <c r="CD384">
        <f>Grandview_Inventory[[#This Row],[final_det]]+Grandview_Inventory[[#This Row],[final_res]]</f>
        <v>313800</v>
      </c>
      <c r="CE384">
        <f>Grandview_Inventory[[#This Row],[final_land]]+Grandview_Inventory[[#This Row],[final_imp]]+Grandview_Inventory[[#This Row],[crop_value]]</f>
        <v>367900</v>
      </c>
      <c r="CG384" t="str">
        <f t="shared" si="5"/>
        <v>update valuation set market_land =54100, market_bldg=313800, market_total =367900, market_mdno =401, market_date ='9/10/2023' where link_id = (select link_id from parcel where parcel_year = '2024' and parcel_id = '23091911419');</v>
      </c>
    </row>
    <row r="385" spans="1:85" x14ac:dyDescent="0.25">
      <c r="A385">
        <v>23091911420</v>
      </c>
      <c r="B385">
        <v>0.33</v>
      </c>
      <c r="C385">
        <v>14195</v>
      </c>
      <c r="D385" t="s">
        <v>129</v>
      </c>
      <c r="E385" t="s">
        <v>53</v>
      </c>
      <c r="F385" t="s">
        <v>53</v>
      </c>
      <c r="G385">
        <v>4</v>
      </c>
      <c r="H385" t="s">
        <v>54</v>
      </c>
      <c r="I385">
        <v>206500</v>
      </c>
      <c r="J385">
        <v>39500</v>
      </c>
      <c r="K385">
        <v>0.33</v>
      </c>
      <c r="L385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385">
        <v>0</v>
      </c>
      <c r="N385">
        <v>0</v>
      </c>
      <c r="O385">
        <v>0</v>
      </c>
      <c r="P385">
        <v>13398.7528</v>
      </c>
      <c r="Q385">
        <v>63903</v>
      </c>
      <c r="R385">
        <f>(Grandview_Inventory[[#This Row],[ln_acres]]*Grandview_Inventory[[#This Row],[coeff]])+Grandview_Inventory[[#This Row],[const]]</f>
        <v>49048.303555435712</v>
      </c>
      <c r="S385" t="s">
        <v>61</v>
      </c>
      <c r="T385">
        <v>1</v>
      </c>
      <c r="U385" t="s">
        <v>62</v>
      </c>
      <c r="V385" t="s">
        <v>69</v>
      </c>
      <c r="W385">
        <v>0</v>
      </c>
      <c r="X385">
        <v>0</v>
      </c>
      <c r="Y385">
        <v>43</v>
      </c>
      <c r="Z385">
        <v>44</v>
      </c>
      <c r="AA385">
        <v>50</v>
      </c>
      <c r="AB385">
        <v>2000</v>
      </c>
      <c r="AC385">
        <v>1690</v>
      </c>
      <c r="AD385">
        <v>1690</v>
      </c>
      <c r="AE385">
        <v>0</v>
      </c>
      <c r="AF385">
        <v>0</v>
      </c>
      <c r="AG385">
        <v>0</v>
      </c>
      <c r="AH385">
        <v>0</v>
      </c>
      <c r="AI385">
        <v>528</v>
      </c>
      <c r="AJ385">
        <v>0</v>
      </c>
      <c r="AK385">
        <v>0</v>
      </c>
      <c r="AL385">
        <v>0</v>
      </c>
      <c r="AM385">
        <v>0</v>
      </c>
      <c r="AN385">
        <v>12</v>
      </c>
      <c r="AO385">
        <v>0</v>
      </c>
      <c r="AP385">
        <v>8</v>
      </c>
      <c r="AQ385">
        <v>0</v>
      </c>
      <c r="AR385">
        <v>0</v>
      </c>
      <c r="AS385" t="s">
        <v>58</v>
      </c>
      <c r="AT385">
        <v>1</v>
      </c>
      <c r="AU385" t="s">
        <v>63</v>
      </c>
      <c r="AV385" t="s">
        <v>60</v>
      </c>
      <c r="AW385">
        <v>1</v>
      </c>
      <c r="AX385">
        <v>3</v>
      </c>
      <c r="AY385">
        <v>0</v>
      </c>
      <c r="AZ385">
        <v>0</v>
      </c>
      <c r="BA385">
        <v>100</v>
      </c>
      <c r="BB385">
        <v>100</v>
      </c>
      <c r="BC385">
        <v>100</v>
      </c>
      <c r="BD385">
        <v>100</v>
      </c>
      <c r="BE385">
        <v>1</v>
      </c>
      <c r="BF385">
        <v>15000</v>
      </c>
      <c r="BG385">
        <v>1000</v>
      </c>
      <c r="BH385" s="6">
        <f>Grandview_Inventory[[#This Row],[land_extract]]*Lookups!$B$3</f>
        <v>56959.662488507893</v>
      </c>
      <c r="BI385" s="6">
        <f>IF(Grandview_Inventory[[#This Row],[bldg_style]]="",0,Lookups!$B$2)</f>
        <v>155833.95000000001</v>
      </c>
      <c r="BJ385" s="6">
        <f>_xlfn.IFNA(VLOOKUP(Grandview_Inventory[[#This Row],[quality]],Lookups!$H$2:$J$14,3,FALSE),0)</f>
        <v>9808</v>
      </c>
      <c r="BK385" s="6">
        <f>_xlfn.IFNA(VLOOKUP(Grandview_Inventory[[#This Row],[condition]],Lookups!$H$17:$J$24,3,FALSE),0)</f>
        <v>-4503</v>
      </c>
      <c r="BL385" s="6">
        <f>Grandview_Inventory[[#This Row],[Eff_Age]]*Lookups!$B$14</f>
        <v>-10284.1638</v>
      </c>
      <c r="BM385" s="6">
        <f>Grandview_Inventory[[#This Row],[living_area]]*Lookups!$B$15</f>
        <v>105423.64157000001</v>
      </c>
      <c r="BN385" s="6">
        <f>Grandview_Inventory[[#This Row],[Fin BSMT]]*Lookups!$B$16</f>
        <v>0</v>
      </c>
      <c r="BO385" s="6">
        <f>(Grandview_Inventory[[#This Row],[att_gar]]+Grandview_Inventory[[#This Row],[bltin_gar]])*Lookups!$B$17</f>
        <v>46210.790736000003</v>
      </c>
      <c r="BP385" s="6">
        <f>Grandview_Inventory[[#This Row],[Plumbing Fixtures]]*Lookups!$B$18</f>
        <v>16083.5344</v>
      </c>
      <c r="BQ385" s="6">
        <f>Grandview_Inventory[[#This Row],[detatched_value]]*Lookups!$B$19</f>
        <v>0</v>
      </c>
      <c r="BR385" s="6">
        <f>SUM(Grandview_Inventory[[#This Row],[Intercept]:[det_value]])*Grandview_Inventory[[#This Row],[res_pct]]</f>
        <v>318572.75290600001</v>
      </c>
      <c r="BS385" s="6">
        <f>Grandview_Inventory[[#This Row],[land_value]]</f>
        <v>56959.662488507893</v>
      </c>
      <c r="BT385" s="4">
        <f>_xlfn.IFNA(VLOOKUP(Grandview_Inventory[[#This Row],[quality]],Lookups!$A$26:$C$33,3,FALSE),1)</f>
        <v>0.94295468617355149</v>
      </c>
      <c r="BU385" s="4">
        <f>_xlfn.IFNA(VLOOKUP(Grandview_Inventory[[#This Row],[condition]],Lookups!$A$37:$C$44,3,FALSE),1)</f>
        <v>0.96469275950863709</v>
      </c>
      <c r="BV385" s="4">
        <f>IF(Grandview_Inventory[[#This Row],[bldg_style]]="",1,_xlfn.IFNA(VLOOKUP(Grandview_Inventory[[#This Row],[decade]],Lookups!$F$29:$H$43,3,FALSE),1))</f>
        <v>0.9871940091910919</v>
      </c>
      <c r="BW385" s="4">
        <f>_xlfn.IFNA(VLOOKUP(Grandview_Inventory[[#This Row],[living_area_range]],Lookups!$F$47:$H$56,3,FALSE),1)</f>
        <v>0.96120133463014379</v>
      </c>
      <c r="BX385" s="4">
        <f>AVERAGE(Grandview_Inventory[[#This Row],[qual_adj]:[size_adj]])</f>
        <v>0.96401069737585598</v>
      </c>
      <c r="BY385" s="6">
        <f>IF(Grandview_Inventory[[#This Row],[pre_res]]&lt;0,0,Grandview_Inventory[[#This Row],[pre_res]]*Grandview_Inventory[[#This Row],[overall_adj]])</f>
        <v>307107.54169385933</v>
      </c>
      <c r="BZ385" s="6">
        <f>(Grandview_Inventory[[#This Row],[sum_land]]-IF(Grandview_Inventory[[#This Row],[no_utilities]]=1,12000,0))/IF(Grandview_Inventory[[#This Row],[unbuildable]]=1,2,1)</f>
        <v>56959.662488507893</v>
      </c>
      <c r="CA385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385">
        <f>ROUND(Grandview_Inventory[[#This Row],[det_value]]*Lookups!$M$28,-2)</f>
        <v>0</v>
      </c>
      <c r="CC385">
        <f>IF(ROUND(Grandview_Inventory[[#This Row],[adj_res]]*Lookups!$M$28,-2)&lt;Grandview_Inventory[[#This Row],[min_res]],Grandview_Inventory[[#This Row],[min_res]],ROUND(Grandview_Inventory[[#This Row],[adj_res]]*Lookups!$M$28,-2))</f>
        <v>291800</v>
      </c>
      <c r="CD385">
        <f>Grandview_Inventory[[#This Row],[final_det]]+Grandview_Inventory[[#This Row],[final_res]]</f>
        <v>291800</v>
      </c>
      <c r="CE385">
        <f>Grandview_Inventory[[#This Row],[final_land]]+Grandview_Inventory[[#This Row],[final_imp]]+Grandview_Inventory[[#This Row],[crop_value]]</f>
        <v>345900</v>
      </c>
      <c r="CG385" t="str">
        <f t="shared" si="5"/>
        <v>update valuation set market_land =54100, market_bldg=291800, market_total =345900, market_mdno =401, market_date ='9/10/2023' where link_id = (select link_id from parcel where parcel_year = '2024' and parcel_id = '23091911420');</v>
      </c>
    </row>
    <row r="386" spans="1:85" x14ac:dyDescent="0.25">
      <c r="A386">
        <v>23091911423</v>
      </c>
      <c r="B386">
        <v>0.39</v>
      </c>
      <c r="C386">
        <v>16798</v>
      </c>
      <c r="D386" t="s">
        <v>129</v>
      </c>
      <c r="E386" t="s">
        <v>53</v>
      </c>
      <c r="F386" t="s">
        <v>53</v>
      </c>
      <c r="G386">
        <v>4</v>
      </c>
      <c r="H386" t="s">
        <v>54</v>
      </c>
      <c r="I386">
        <v>225700</v>
      </c>
      <c r="J386">
        <v>41200</v>
      </c>
      <c r="K386">
        <v>0.39</v>
      </c>
      <c r="L386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6">
        <v>0</v>
      </c>
      <c r="N386">
        <v>0</v>
      </c>
      <c r="O386">
        <v>0</v>
      </c>
      <c r="P386">
        <v>13398.7528</v>
      </c>
      <c r="Q386">
        <v>63903</v>
      </c>
      <c r="R386">
        <f>(Grandview_Inventory[[#This Row],[ln_acres]]*Grandview_Inventory[[#This Row],[coeff]])+Grandview_Inventory[[#This Row],[const]]</f>
        <v>51286.619940067751</v>
      </c>
      <c r="S386" t="s">
        <v>77</v>
      </c>
      <c r="T386">
        <v>1</v>
      </c>
      <c r="U386" t="s">
        <v>62</v>
      </c>
      <c r="V386" t="s">
        <v>69</v>
      </c>
      <c r="W386">
        <v>0</v>
      </c>
      <c r="X386">
        <v>0</v>
      </c>
      <c r="Y386">
        <v>43</v>
      </c>
      <c r="Z386">
        <v>44</v>
      </c>
      <c r="AA386">
        <v>50</v>
      </c>
      <c r="AB386">
        <v>2500</v>
      </c>
      <c r="AC386">
        <v>2472</v>
      </c>
      <c r="AD386">
        <v>1276</v>
      </c>
      <c r="AE386">
        <v>0</v>
      </c>
      <c r="AF386">
        <v>0</v>
      </c>
      <c r="AG386">
        <v>1196</v>
      </c>
      <c r="AH386">
        <v>0</v>
      </c>
      <c r="AI386">
        <v>650</v>
      </c>
      <c r="AJ386">
        <v>0</v>
      </c>
      <c r="AK386">
        <v>0</v>
      </c>
      <c r="AL386">
        <v>192</v>
      </c>
      <c r="AM386">
        <v>0</v>
      </c>
      <c r="AN386">
        <v>0</v>
      </c>
      <c r="AO386">
        <v>0</v>
      </c>
      <c r="AP386">
        <v>8</v>
      </c>
      <c r="AQ386">
        <v>0</v>
      </c>
      <c r="AR386">
        <v>0</v>
      </c>
      <c r="AS386" t="s">
        <v>58</v>
      </c>
      <c r="AT386">
        <v>1</v>
      </c>
      <c r="AU386" t="s">
        <v>63</v>
      </c>
      <c r="AV386" t="s">
        <v>60</v>
      </c>
      <c r="AW386">
        <v>1</v>
      </c>
      <c r="AX386">
        <v>3</v>
      </c>
      <c r="AY386">
        <v>0</v>
      </c>
      <c r="AZ386">
        <v>0</v>
      </c>
      <c r="BA386">
        <v>100</v>
      </c>
      <c r="BB386">
        <v>100</v>
      </c>
      <c r="BC386">
        <v>100</v>
      </c>
      <c r="BD386">
        <v>100</v>
      </c>
      <c r="BE386">
        <v>1</v>
      </c>
      <c r="BF386">
        <v>15000</v>
      </c>
      <c r="BG386">
        <v>1000</v>
      </c>
      <c r="BH386" s="6">
        <f>Grandview_Inventory[[#This Row],[land_extract]]*Lookups!$B$3</f>
        <v>59559.013262526838</v>
      </c>
      <c r="BI386" s="6">
        <f>IF(Grandview_Inventory[[#This Row],[bldg_style]]="",0,Lookups!$B$2)</f>
        <v>155833.95000000001</v>
      </c>
      <c r="BJ386" s="6">
        <f>_xlfn.IFNA(VLOOKUP(Grandview_Inventory[[#This Row],[quality]],Lookups!$H$2:$J$14,3,FALSE),0)</f>
        <v>9808</v>
      </c>
      <c r="BK386" s="6">
        <f>_xlfn.IFNA(VLOOKUP(Grandview_Inventory[[#This Row],[condition]],Lookups!$H$17:$J$24,3,FALSE),0)</f>
        <v>-4503</v>
      </c>
      <c r="BL386" s="6">
        <f>Grandview_Inventory[[#This Row],[Eff_Age]]*Lookups!$B$14</f>
        <v>-10284.1638</v>
      </c>
      <c r="BM386" s="6">
        <f>Grandview_Inventory[[#This Row],[living_area]]*Lookups!$B$15</f>
        <v>154205.468616</v>
      </c>
      <c r="BN386" s="6">
        <f>Grandview_Inventory[[#This Row],[Fin BSMT]]*Lookups!$B$16</f>
        <v>-32410.691040000002</v>
      </c>
      <c r="BO386" s="6">
        <f>(Grandview_Inventory[[#This Row],[att_gar]]+Grandview_Inventory[[#This Row],[bltin_gar]])*Lookups!$B$17</f>
        <v>56888.284050000002</v>
      </c>
      <c r="BP386" s="6">
        <f>Grandview_Inventory[[#This Row],[Plumbing Fixtures]]*Lookups!$B$18</f>
        <v>16083.5344</v>
      </c>
      <c r="BQ386" s="6">
        <f>Grandview_Inventory[[#This Row],[detatched_value]]*Lookups!$B$19</f>
        <v>0</v>
      </c>
      <c r="BR386" s="6">
        <f>SUM(Grandview_Inventory[[#This Row],[Intercept]:[det_value]])*Grandview_Inventory[[#This Row],[res_pct]]</f>
        <v>345621.38222600002</v>
      </c>
      <c r="BS386" s="6">
        <f>Grandview_Inventory[[#This Row],[land_value]]</f>
        <v>59559.013262526838</v>
      </c>
      <c r="BT386" s="4">
        <f>_xlfn.IFNA(VLOOKUP(Grandview_Inventory[[#This Row],[quality]],Lookups!$A$26:$C$33,3,FALSE),1)</f>
        <v>0.94295468617355149</v>
      </c>
      <c r="BU386" s="4">
        <f>_xlfn.IFNA(VLOOKUP(Grandview_Inventory[[#This Row],[condition]],Lookups!$A$37:$C$44,3,FALSE),1)</f>
        <v>0.96469275950863709</v>
      </c>
      <c r="BV386" s="4">
        <f>IF(Grandview_Inventory[[#This Row],[bldg_style]]="",1,_xlfn.IFNA(VLOOKUP(Grandview_Inventory[[#This Row],[decade]],Lookups!$F$29:$H$43,3,FALSE),1))</f>
        <v>0.9871940091910919</v>
      </c>
      <c r="BW386" s="4">
        <f>_xlfn.IFNA(VLOOKUP(Grandview_Inventory[[#This Row],[living_area_range]],Lookups!$F$47:$H$56,3,FALSE),1)</f>
        <v>0.95799442568048754</v>
      </c>
      <c r="BX386" s="4">
        <f>AVERAGE(Grandview_Inventory[[#This Row],[qual_adj]:[size_adj]])</f>
        <v>0.96320897013844198</v>
      </c>
      <c r="BY386" s="6">
        <f>IF(Grandview_Inventory[[#This Row],[pre_res]]&lt;0,0,Grandview_Inventory[[#This Row],[pre_res]]*Grandview_Inventory[[#This Row],[overall_adj]])</f>
        <v>332905.6156317303</v>
      </c>
      <c r="BZ386" s="6">
        <f>(Grandview_Inventory[[#This Row],[sum_land]]-IF(Grandview_Inventory[[#This Row],[no_utilities]]=1,12000,0))/IF(Grandview_Inventory[[#This Row],[unbuildable]]=1,2,1)</f>
        <v>59559.013262526838</v>
      </c>
      <c r="CA386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6">
        <f>ROUND(Grandview_Inventory[[#This Row],[det_value]]*Lookups!$M$28,-2)</f>
        <v>0</v>
      </c>
      <c r="CC386">
        <f>IF(ROUND(Grandview_Inventory[[#This Row],[adj_res]]*Lookups!$M$28,-2)&lt;Grandview_Inventory[[#This Row],[min_res]],Grandview_Inventory[[#This Row],[min_res]],ROUND(Grandview_Inventory[[#This Row],[adj_res]]*Lookups!$M$28,-2))</f>
        <v>316300</v>
      </c>
      <c r="CD386">
        <f>Grandview_Inventory[[#This Row],[final_det]]+Grandview_Inventory[[#This Row],[final_res]]</f>
        <v>316300</v>
      </c>
      <c r="CE386">
        <f>Grandview_Inventory[[#This Row],[final_land]]+Grandview_Inventory[[#This Row],[final_imp]]+Grandview_Inventory[[#This Row],[crop_value]]</f>
        <v>372900</v>
      </c>
      <c r="CG386" t="str">
        <f t="shared" si="5"/>
        <v>update valuation set market_land =56600, market_bldg=316300, market_total =372900, market_mdno =401, market_date ='9/10/2023' where link_id = (select link_id from parcel where parcel_year = '2024' and parcel_id = '23091911423');</v>
      </c>
    </row>
    <row r="387" spans="1:85" x14ac:dyDescent="0.25">
      <c r="A387">
        <v>23091911424</v>
      </c>
      <c r="B387">
        <v>0.39</v>
      </c>
      <c r="C387">
        <v>16798</v>
      </c>
      <c r="D387" t="s">
        <v>129</v>
      </c>
      <c r="E387" t="s">
        <v>53</v>
      </c>
      <c r="F387" t="s">
        <v>53</v>
      </c>
      <c r="G387">
        <v>4</v>
      </c>
      <c r="H387" t="s">
        <v>54</v>
      </c>
      <c r="I387">
        <v>266900</v>
      </c>
      <c r="J387">
        <v>41200</v>
      </c>
      <c r="K387">
        <v>0.39</v>
      </c>
      <c r="L387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7">
        <v>0</v>
      </c>
      <c r="N387">
        <v>0</v>
      </c>
      <c r="O387">
        <v>0</v>
      </c>
      <c r="P387">
        <v>13398.7528</v>
      </c>
      <c r="Q387">
        <v>63903</v>
      </c>
      <c r="R387">
        <f>(Grandview_Inventory[[#This Row],[ln_acres]]*Grandview_Inventory[[#This Row],[coeff]])+Grandview_Inventory[[#This Row],[const]]</f>
        <v>51286.619940067751</v>
      </c>
      <c r="S387" t="s">
        <v>77</v>
      </c>
      <c r="T387">
        <v>1</v>
      </c>
      <c r="U387" t="s">
        <v>64</v>
      </c>
      <c r="V387" t="s">
        <v>69</v>
      </c>
      <c r="W387">
        <v>0</v>
      </c>
      <c r="X387">
        <v>0</v>
      </c>
      <c r="Y387">
        <v>43</v>
      </c>
      <c r="Z387">
        <v>44</v>
      </c>
      <c r="AA387">
        <v>50</v>
      </c>
      <c r="AB387">
        <v>3000</v>
      </c>
      <c r="AC387">
        <v>2524</v>
      </c>
      <c r="AD387">
        <v>1644</v>
      </c>
      <c r="AE387">
        <v>0</v>
      </c>
      <c r="AF387">
        <v>0</v>
      </c>
      <c r="AG387">
        <v>880</v>
      </c>
      <c r="AH387">
        <v>0</v>
      </c>
      <c r="AI387">
        <v>0</v>
      </c>
      <c r="AJ387">
        <v>528</v>
      </c>
      <c r="AK387">
        <v>0</v>
      </c>
      <c r="AL387">
        <v>232</v>
      </c>
      <c r="AM387">
        <v>594</v>
      </c>
      <c r="AN387">
        <v>0</v>
      </c>
      <c r="AO387">
        <v>232</v>
      </c>
      <c r="AP387">
        <v>8</v>
      </c>
      <c r="AQ387">
        <v>0</v>
      </c>
      <c r="AR387">
        <v>0</v>
      </c>
      <c r="AS387" t="s">
        <v>58</v>
      </c>
      <c r="AT387">
        <v>1</v>
      </c>
      <c r="AU387" t="s">
        <v>63</v>
      </c>
      <c r="AV387" t="s">
        <v>60</v>
      </c>
      <c r="AW387">
        <v>1</v>
      </c>
      <c r="AX387">
        <v>4</v>
      </c>
      <c r="AY387">
        <v>0</v>
      </c>
      <c r="AZ387">
        <v>19800</v>
      </c>
      <c r="BA387">
        <v>100</v>
      </c>
      <c r="BB387">
        <v>100</v>
      </c>
      <c r="BC387">
        <v>100</v>
      </c>
      <c r="BD387">
        <v>100</v>
      </c>
      <c r="BE387">
        <v>1</v>
      </c>
      <c r="BF387">
        <v>15000</v>
      </c>
      <c r="BG387">
        <v>1000</v>
      </c>
      <c r="BH387" s="6">
        <f>Grandview_Inventory[[#This Row],[land_extract]]*Lookups!$B$3</f>
        <v>59559.013262526838</v>
      </c>
      <c r="BI387" s="6">
        <f>IF(Grandview_Inventory[[#This Row],[bldg_style]]="",0,Lookups!$B$2)</f>
        <v>155833.95000000001</v>
      </c>
      <c r="BJ387" s="6">
        <f>_xlfn.IFNA(VLOOKUP(Grandview_Inventory[[#This Row],[quality]],Lookups!$H$2:$J$14,3,FALSE),0)</f>
        <v>20768</v>
      </c>
      <c r="BK387" s="6">
        <f>_xlfn.IFNA(VLOOKUP(Grandview_Inventory[[#This Row],[condition]],Lookups!$H$17:$J$24,3,FALSE),0)</f>
        <v>-4503</v>
      </c>
      <c r="BL387" s="6">
        <f>Grandview_Inventory[[#This Row],[Eff_Age]]*Lookups!$B$14</f>
        <v>-10284.1638</v>
      </c>
      <c r="BM387" s="6">
        <f>Grandview_Inventory[[#This Row],[living_area]]*Lookups!$B$15</f>
        <v>157449.27297200001</v>
      </c>
      <c r="BN387" s="6">
        <f>Grandview_Inventory[[#This Row],[Fin BSMT]]*Lookups!$B$16</f>
        <v>-23847.331200000001</v>
      </c>
      <c r="BO387" s="6">
        <f>(Grandview_Inventory[[#This Row],[att_gar]]+Grandview_Inventory[[#This Row],[bltin_gar]])*Lookups!$B$17</f>
        <v>46210.790736000003</v>
      </c>
      <c r="BP387" s="6">
        <f>Grandview_Inventory[[#This Row],[Plumbing Fixtures]]*Lookups!$B$18</f>
        <v>16083.5344</v>
      </c>
      <c r="BQ387" s="6">
        <f>Grandview_Inventory[[#This Row],[detatched_value]]*Lookups!$B$19</f>
        <v>16766.740979999999</v>
      </c>
      <c r="BR387" s="6">
        <f>SUM(Grandview_Inventory[[#This Row],[Intercept]:[det_value]])*Grandview_Inventory[[#This Row],[res_pct]]</f>
        <v>374477.79408800002</v>
      </c>
      <c r="BS387" s="6">
        <f>Grandview_Inventory[[#This Row],[land_value]]</f>
        <v>59559.013262526838</v>
      </c>
      <c r="BT387" s="4">
        <f>_xlfn.IFNA(VLOOKUP(Grandview_Inventory[[#This Row],[quality]],Lookups!$A$26:$C$33,3,FALSE),1)</f>
        <v>0.94960540378902636</v>
      </c>
      <c r="BU387" s="4">
        <f>_xlfn.IFNA(VLOOKUP(Grandview_Inventory[[#This Row],[condition]],Lookups!$A$37:$C$44,3,FALSE),1)</f>
        <v>0.96469275950863709</v>
      </c>
      <c r="BV387" s="4">
        <f>IF(Grandview_Inventory[[#This Row],[bldg_style]]="",1,_xlfn.IFNA(VLOOKUP(Grandview_Inventory[[#This Row],[decade]],Lookups!$F$29:$H$43,3,FALSE),1))</f>
        <v>0.9871940091910919</v>
      </c>
      <c r="BW387" s="4">
        <f>_xlfn.IFNA(VLOOKUP(Grandview_Inventory[[#This Row],[living_area_range]],Lookups!$F$47:$H$56,3,FALSE),1)</f>
        <v>0.94224801443562123</v>
      </c>
      <c r="BX387" s="4">
        <f>AVERAGE(Grandview_Inventory[[#This Row],[qual_adj]:[size_adj]])</f>
        <v>0.9609350467310942</v>
      </c>
      <c r="BY387" s="6">
        <f>IF(Grandview_Inventory[[#This Row],[pre_res]]&lt;0,0,Grandview_Inventory[[#This Row],[pre_res]]*Grandview_Inventory[[#This Row],[overall_adj]])</f>
        <v>359848.83656170935</v>
      </c>
      <c r="BZ387" s="6">
        <f>(Grandview_Inventory[[#This Row],[sum_land]]-IF(Grandview_Inventory[[#This Row],[no_utilities]]=1,12000,0))/IF(Grandview_Inventory[[#This Row],[unbuildable]]=1,2,1)</f>
        <v>59559.013262526838</v>
      </c>
      <c r="CA387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7">
        <f>ROUND(Grandview_Inventory[[#This Row],[det_value]]*Lookups!$M$28,-2)</f>
        <v>15900</v>
      </c>
      <c r="CC387">
        <f>IF(ROUND(Grandview_Inventory[[#This Row],[adj_res]]*Lookups!$M$28,-2)&lt;Grandview_Inventory[[#This Row],[min_res]],Grandview_Inventory[[#This Row],[min_res]],ROUND(Grandview_Inventory[[#This Row],[adj_res]]*Lookups!$M$28,-2))</f>
        <v>341900</v>
      </c>
      <c r="CD387">
        <f>Grandview_Inventory[[#This Row],[final_det]]+Grandview_Inventory[[#This Row],[final_res]]</f>
        <v>357800</v>
      </c>
      <c r="CE387">
        <f>Grandview_Inventory[[#This Row],[final_land]]+Grandview_Inventory[[#This Row],[final_imp]]+Grandview_Inventory[[#This Row],[crop_value]]</f>
        <v>414400</v>
      </c>
      <c r="CG387" t="str">
        <f t="shared" ref="CG387:CG450" si="6">"update valuation set market_land ="&amp;CA387&amp;", market_bldg="&amp;CD387&amp;", market_total ="&amp;CE387&amp;", market_mdno ="&amp;$CG$1&amp;", market_date ='"&amp;TEXT($CH$1,"m/d/yyyy")&amp;"' where link_id = (select link_id from parcel where parcel_year = '2024' and parcel_id = '"&amp;A387&amp;"');"</f>
        <v>update valuation set market_land =56600, market_bldg=357800, market_total =414400, market_mdno =401, market_date ='9/10/2023' where link_id = (select link_id from parcel where parcel_year = '2024' and parcel_id = '23091911424');</v>
      </c>
    </row>
    <row r="388" spans="1:85" x14ac:dyDescent="0.25">
      <c r="A388">
        <v>23091911425</v>
      </c>
      <c r="B388">
        <v>0.39</v>
      </c>
      <c r="C388">
        <v>16798</v>
      </c>
      <c r="D388" t="s">
        <v>129</v>
      </c>
      <c r="E388" t="s">
        <v>53</v>
      </c>
      <c r="F388" t="s">
        <v>53</v>
      </c>
      <c r="G388">
        <v>4</v>
      </c>
      <c r="H388" t="s">
        <v>54</v>
      </c>
      <c r="I388">
        <v>309800</v>
      </c>
      <c r="J388">
        <v>41200</v>
      </c>
      <c r="K388">
        <v>0.39</v>
      </c>
      <c r="L388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8">
        <v>0</v>
      </c>
      <c r="N388">
        <v>0</v>
      </c>
      <c r="O388">
        <v>0</v>
      </c>
      <c r="P388">
        <v>13398.7528</v>
      </c>
      <c r="Q388">
        <v>63903</v>
      </c>
      <c r="R388">
        <f>(Grandview_Inventory[[#This Row],[ln_acres]]*Grandview_Inventory[[#This Row],[coeff]])+Grandview_Inventory[[#This Row],[const]]</f>
        <v>51286.619940067751</v>
      </c>
      <c r="S388" t="s">
        <v>58</v>
      </c>
      <c r="T388">
        <v>1</v>
      </c>
      <c r="U388" t="s">
        <v>64</v>
      </c>
      <c r="V388" t="s">
        <v>67</v>
      </c>
      <c r="W388">
        <v>0</v>
      </c>
      <c r="X388">
        <v>0</v>
      </c>
      <c r="Y388">
        <v>42</v>
      </c>
      <c r="Z388">
        <v>42</v>
      </c>
      <c r="AA388">
        <v>50</v>
      </c>
      <c r="AB388">
        <v>3000</v>
      </c>
      <c r="AC388">
        <v>2800</v>
      </c>
      <c r="AD388">
        <v>1688</v>
      </c>
      <c r="AE388">
        <v>0</v>
      </c>
      <c r="AF388">
        <v>0</v>
      </c>
      <c r="AG388">
        <v>1112</v>
      </c>
      <c r="AH388">
        <v>0</v>
      </c>
      <c r="AI388">
        <v>0</v>
      </c>
      <c r="AJ388">
        <v>576</v>
      </c>
      <c r="AK388">
        <v>0</v>
      </c>
      <c r="AL388">
        <v>452</v>
      </c>
      <c r="AM388">
        <v>446</v>
      </c>
      <c r="AN388">
        <v>0</v>
      </c>
      <c r="AO388">
        <v>0</v>
      </c>
      <c r="AP388">
        <v>10</v>
      </c>
      <c r="AQ388">
        <v>0</v>
      </c>
      <c r="AR388">
        <v>0</v>
      </c>
      <c r="AS388" t="s">
        <v>76</v>
      </c>
      <c r="AT388">
        <v>1</v>
      </c>
      <c r="AU388" t="s">
        <v>63</v>
      </c>
      <c r="AV388" t="s">
        <v>64</v>
      </c>
      <c r="AW388">
        <v>1</v>
      </c>
      <c r="AX388">
        <v>4</v>
      </c>
      <c r="AY388">
        <v>0</v>
      </c>
      <c r="AZ388">
        <v>0</v>
      </c>
      <c r="BA388">
        <v>100</v>
      </c>
      <c r="BB388">
        <v>100</v>
      </c>
      <c r="BC388">
        <v>100</v>
      </c>
      <c r="BD388">
        <v>100</v>
      </c>
      <c r="BE388">
        <v>1</v>
      </c>
      <c r="BF388">
        <v>15000</v>
      </c>
      <c r="BG388">
        <v>1000</v>
      </c>
      <c r="BH388" s="6">
        <f>Grandview_Inventory[[#This Row],[land_extract]]*Lookups!$B$3</f>
        <v>59559.013262526838</v>
      </c>
      <c r="BI388" s="6">
        <f>IF(Grandview_Inventory[[#This Row],[bldg_style]]="",0,Lookups!$B$2)</f>
        <v>155833.95000000001</v>
      </c>
      <c r="BJ388" s="6">
        <f>_xlfn.IFNA(VLOOKUP(Grandview_Inventory[[#This Row],[quality]],Lookups!$H$2:$J$14,3,FALSE),0)</f>
        <v>20768</v>
      </c>
      <c r="BK388" s="6">
        <f>_xlfn.IFNA(VLOOKUP(Grandview_Inventory[[#This Row],[condition]],Lookups!$H$17:$J$24,3,FALSE),0)</f>
        <v>22342</v>
      </c>
      <c r="BL388" s="6">
        <f>Grandview_Inventory[[#This Row],[Eff_Age]]*Lookups!$B$14</f>
        <v>-10044.9972</v>
      </c>
      <c r="BM388" s="6">
        <f>Grandview_Inventory[[#This Row],[living_area]]*Lookups!$B$15</f>
        <v>174666.3884</v>
      </c>
      <c r="BN388" s="6">
        <f>Grandview_Inventory[[#This Row],[Fin BSMT]]*Lookups!$B$16</f>
        <v>-30134.354880000003</v>
      </c>
      <c r="BO388" s="6">
        <f>(Grandview_Inventory[[#This Row],[att_gar]]+Grandview_Inventory[[#This Row],[bltin_gar]])*Lookups!$B$17</f>
        <v>50411.771712000002</v>
      </c>
      <c r="BP388" s="6">
        <f>Grandview_Inventory[[#This Row],[Plumbing Fixtures]]*Lookups!$B$18</f>
        <v>20104.418000000001</v>
      </c>
      <c r="BQ388" s="6">
        <f>Grandview_Inventory[[#This Row],[detatched_value]]*Lookups!$B$19</f>
        <v>0</v>
      </c>
      <c r="BR388" s="6">
        <f>SUM(Grandview_Inventory[[#This Row],[Intercept]:[det_value]])*Grandview_Inventory[[#This Row],[res_pct]]</f>
        <v>403947.17603200005</v>
      </c>
      <c r="BS388" s="6">
        <f>Grandview_Inventory[[#This Row],[land_value]]</f>
        <v>59559.013262526838</v>
      </c>
      <c r="BT388" s="4">
        <f>_xlfn.IFNA(VLOOKUP(Grandview_Inventory[[#This Row],[quality]],Lookups!$A$26:$C$33,3,FALSE),1)</f>
        <v>0.94960540378902636</v>
      </c>
      <c r="BU388" s="4">
        <f>_xlfn.IFNA(VLOOKUP(Grandview_Inventory[[#This Row],[condition]],Lookups!$A$37:$C$44,3,FALSE),1)</f>
        <v>0.97383723671140243</v>
      </c>
      <c r="BV388" s="4">
        <f>IF(Grandview_Inventory[[#This Row],[bldg_style]]="",1,_xlfn.IFNA(VLOOKUP(Grandview_Inventory[[#This Row],[decade]],Lookups!$F$29:$H$43,3,FALSE),1))</f>
        <v>0.9871940091910919</v>
      </c>
      <c r="BW388" s="4">
        <f>_xlfn.IFNA(VLOOKUP(Grandview_Inventory[[#This Row],[living_area_range]],Lookups!$F$47:$H$56,3,FALSE),1)</f>
        <v>0.94224801443562123</v>
      </c>
      <c r="BX388" s="4">
        <f>AVERAGE(Grandview_Inventory[[#This Row],[qual_adj]:[size_adj]])</f>
        <v>0.96322116603178554</v>
      </c>
      <c r="BY388" s="6">
        <f>IF(Grandview_Inventory[[#This Row],[pre_res]]&lt;0,0,Grandview_Inventory[[#This Row],[pre_res]]*Grandview_Inventory[[#This Row],[overall_adj]])</f>
        <v>389090.46991278999</v>
      </c>
      <c r="BZ388" s="6">
        <f>(Grandview_Inventory[[#This Row],[sum_land]]-IF(Grandview_Inventory[[#This Row],[no_utilities]]=1,12000,0))/IF(Grandview_Inventory[[#This Row],[unbuildable]]=1,2,1)</f>
        <v>59559.013262526838</v>
      </c>
      <c r="CA388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8">
        <f>ROUND(Grandview_Inventory[[#This Row],[det_value]]*Lookups!$M$28,-2)</f>
        <v>0</v>
      </c>
      <c r="CC388">
        <f>IF(ROUND(Grandview_Inventory[[#This Row],[adj_res]]*Lookups!$M$28,-2)&lt;Grandview_Inventory[[#This Row],[min_res]],Grandview_Inventory[[#This Row],[min_res]],ROUND(Grandview_Inventory[[#This Row],[adj_res]]*Lookups!$M$28,-2))</f>
        <v>369600</v>
      </c>
      <c r="CD388">
        <f>Grandview_Inventory[[#This Row],[final_det]]+Grandview_Inventory[[#This Row],[final_res]]</f>
        <v>369600</v>
      </c>
      <c r="CE388">
        <f>Grandview_Inventory[[#This Row],[final_land]]+Grandview_Inventory[[#This Row],[final_imp]]+Grandview_Inventory[[#This Row],[crop_value]]</f>
        <v>426200</v>
      </c>
      <c r="CG388" t="str">
        <f t="shared" si="6"/>
        <v>update valuation set market_land =56600, market_bldg=369600, market_total =426200, market_mdno =401, market_date ='9/10/2023' where link_id = (select link_id from parcel where parcel_year = '2024' and parcel_id = '23091911425');</v>
      </c>
    </row>
    <row r="389" spans="1:85" x14ac:dyDescent="0.25">
      <c r="A389">
        <v>23091911426</v>
      </c>
      <c r="B389">
        <v>0.39</v>
      </c>
      <c r="C389">
        <v>16798</v>
      </c>
      <c r="D389" t="s">
        <v>129</v>
      </c>
      <c r="E389" t="s">
        <v>53</v>
      </c>
      <c r="F389" t="s">
        <v>53</v>
      </c>
      <c r="G389">
        <v>4</v>
      </c>
      <c r="H389" t="s">
        <v>54</v>
      </c>
      <c r="I389">
        <v>208000</v>
      </c>
      <c r="J389">
        <v>41200</v>
      </c>
      <c r="K389">
        <v>0.39</v>
      </c>
      <c r="L389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89">
        <v>0</v>
      </c>
      <c r="N389">
        <v>0</v>
      </c>
      <c r="O389">
        <v>0</v>
      </c>
      <c r="P389">
        <v>13398.7528</v>
      </c>
      <c r="Q389">
        <v>63903</v>
      </c>
      <c r="R389">
        <f>(Grandview_Inventory[[#This Row],[ln_acres]]*Grandview_Inventory[[#This Row],[coeff]])+Grandview_Inventory[[#This Row],[const]]</f>
        <v>51286.619940067751</v>
      </c>
      <c r="S389" t="s">
        <v>77</v>
      </c>
      <c r="T389">
        <v>1</v>
      </c>
      <c r="U389" t="s">
        <v>62</v>
      </c>
      <c r="V389" t="s">
        <v>69</v>
      </c>
      <c r="W389">
        <v>0</v>
      </c>
      <c r="X389">
        <v>0</v>
      </c>
      <c r="Y389">
        <v>43</v>
      </c>
      <c r="Z389">
        <v>44</v>
      </c>
      <c r="AA389">
        <v>50</v>
      </c>
      <c r="AB389">
        <v>2500</v>
      </c>
      <c r="AC389">
        <v>2158</v>
      </c>
      <c r="AD389">
        <v>1200</v>
      </c>
      <c r="AE389">
        <v>0</v>
      </c>
      <c r="AF389">
        <v>0</v>
      </c>
      <c r="AG389">
        <v>958</v>
      </c>
      <c r="AH389">
        <v>0</v>
      </c>
      <c r="AI389">
        <v>0</v>
      </c>
      <c r="AJ389">
        <v>440</v>
      </c>
      <c r="AK389">
        <v>0</v>
      </c>
      <c r="AL389">
        <v>112</v>
      </c>
      <c r="AM389">
        <v>0</v>
      </c>
      <c r="AN389">
        <v>0</v>
      </c>
      <c r="AO389">
        <v>112</v>
      </c>
      <c r="AP389">
        <v>11</v>
      </c>
      <c r="AQ389">
        <v>0</v>
      </c>
      <c r="AR389">
        <v>0</v>
      </c>
      <c r="AS389" t="s">
        <v>58</v>
      </c>
      <c r="AT389">
        <v>1</v>
      </c>
      <c r="AU389" t="s">
        <v>63</v>
      </c>
      <c r="AV389" t="s">
        <v>60</v>
      </c>
      <c r="AW389">
        <v>1</v>
      </c>
      <c r="AX389">
        <v>3</v>
      </c>
      <c r="AY389">
        <v>0</v>
      </c>
      <c r="AZ389">
        <v>0</v>
      </c>
      <c r="BA389">
        <v>100</v>
      </c>
      <c r="BB389">
        <v>100</v>
      </c>
      <c r="BC389">
        <v>100</v>
      </c>
      <c r="BD389">
        <v>100</v>
      </c>
      <c r="BE389">
        <v>1</v>
      </c>
      <c r="BF389">
        <v>15000</v>
      </c>
      <c r="BG389">
        <v>1000</v>
      </c>
      <c r="BH389" s="6">
        <f>Grandview_Inventory[[#This Row],[land_extract]]*Lookups!$B$3</f>
        <v>59559.013262526838</v>
      </c>
      <c r="BI389" s="6">
        <f>IF(Grandview_Inventory[[#This Row],[bldg_style]]="",0,Lookups!$B$2)</f>
        <v>155833.95000000001</v>
      </c>
      <c r="BJ389" s="6">
        <f>_xlfn.IFNA(VLOOKUP(Grandview_Inventory[[#This Row],[quality]],Lookups!$H$2:$J$14,3,FALSE),0)</f>
        <v>9808</v>
      </c>
      <c r="BK389" s="6">
        <f>_xlfn.IFNA(VLOOKUP(Grandview_Inventory[[#This Row],[condition]],Lookups!$H$17:$J$24,3,FALSE),0)</f>
        <v>-4503</v>
      </c>
      <c r="BL389" s="6">
        <f>Grandview_Inventory[[#This Row],[Eff_Age]]*Lookups!$B$14</f>
        <v>-10284.1638</v>
      </c>
      <c r="BM389" s="6">
        <f>Grandview_Inventory[[#This Row],[living_area]]*Lookups!$B$15</f>
        <v>134617.88077399999</v>
      </c>
      <c r="BN389" s="6">
        <f>Grandview_Inventory[[#This Row],[Fin BSMT]]*Lookups!$B$16</f>
        <v>-25961.071920000002</v>
      </c>
      <c r="BO389" s="6">
        <f>(Grandview_Inventory[[#This Row],[att_gar]]+Grandview_Inventory[[#This Row],[bltin_gar]])*Lookups!$B$17</f>
        <v>38508.992279999999</v>
      </c>
      <c r="BP389" s="6">
        <f>Grandview_Inventory[[#This Row],[Plumbing Fixtures]]*Lookups!$B$18</f>
        <v>22114.859800000002</v>
      </c>
      <c r="BQ389" s="6">
        <f>Grandview_Inventory[[#This Row],[detatched_value]]*Lookups!$B$19</f>
        <v>0</v>
      </c>
      <c r="BR389" s="6">
        <f>SUM(Grandview_Inventory[[#This Row],[Intercept]:[det_value]])*Grandview_Inventory[[#This Row],[res_pct]]</f>
        <v>320135.44713399996</v>
      </c>
      <c r="BS389" s="6">
        <f>Grandview_Inventory[[#This Row],[land_value]]</f>
        <v>59559.013262526838</v>
      </c>
      <c r="BT389" s="4">
        <f>_xlfn.IFNA(VLOOKUP(Grandview_Inventory[[#This Row],[quality]],Lookups!$A$26:$C$33,3,FALSE),1)</f>
        <v>0.94295468617355149</v>
      </c>
      <c r="BU389" s="4">
        <f>_xlfn.IFNA(VLOOKUP(Grandview_Inventory[[#This Row],[condition]],Lookups!$A$37:$C$44,3,FALSE),1)</f>
        <v>0.96469275950863709</v>
      </c>
      <c r="BV389" s="4">
        <f>IF(Grandview_Inventory[[#This Row],[bldg_style]]="",1,_xlfn.IFNA(VLOOKUP(Grandview_Inventory[[#This Row],[decade]],Lookups!$F$29:$H$43,3,FALSE),1))</f>
        <v>0.9871940091910919</v>
      </c>
      <c r="BW389" s="4">
        <f>_xlfn.IFNA(VLOOKUP(Grandview_Inventory[[#This Row],[living_area_range]],Lookups!$F$47:$H$56,3,FALSE),1)</f>
        <v>0.95799442568048754</v>
      </c>
      <c r="BX389" s="4">
        <f>AVERAGE(Grandview_Inventory[[#This Row],[qual_adj]:[size_adj]])</f>
        <v>0.96320897013844198</v>
      </c>
      <c r="BY389" s="6">
        <f>IF(Grandview_Inventory[[#This Row],[pre_res]]&lt;0,0,Grandview_Inventory[[#This Row],[pre_res]]*Grandview_Inventory[[#This Row],[overall_adj]])</f>
        <v>308357.33433874976</v>
      </c>
      <c r="BZ389" s="6">
        <f>(Grandview_Inventory[[#This Row],[sum_land]]-IF(Grandview_Inventory[[#This Row],[no_utilities]]=1,12000,0))/IF(Grandview_Inventory[[#This Row],[unbuildable]]=1,2,1)</f>
        <v>59559.013262526838</v>
      </c>
      <c r="CA389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89">
        <f>ROUND(Grandview_Inventory[[#This Row],[det_value]]*Lookups!$M$28,-2)</f>
        <v>0</v>
      </c>
      <c r="CC389">
        <f>IF(ROUND(Grandview_Inventory[[#This Row],[adj_res]]*Lookups!$M$28,-2)&lt;Grandview_Inventory[[#This Row],[min_res]],Grandview_Inventory[[#This Row],[min_res]],ROUND(Grandview_Inventory[[#This Row],[adj_res]]*Lookups!$M$28,-2))</f>
        <v>292900</v>
      </c>
      <c r="CD389">
        <f>Grandview_Inventory[[#This Row],[final_det]]+Grandview_Inventory[[#This Row],[final_res]]</f>
        <v>292900</v>
      </c>
      <c r="CE389">
        <f>Grandview_Inventory[[#This Row],[final_land]]+Grandview_Inventory[[#This Row],[final_imp]]+Grandview_Inventory[[#This Row],[crop_value]]</f>
        <v>349500</v>
      </c>
      <c r="CG389" t="str">
        <f t="shared" si="6"/>
        <v>update valuation set market_land =56600, market_bldg=292900, market_total =349500, market_mdno =401, market_date ='9/10/2023' where link_id = (select link_id from parcel where parcel_year = '2024' and parcel_id = '23091911426');</v>
      </c>
    </row>
    <row r="390" spans="1:85" x14ac:dyDescent="0.25">
      <c r="A390">
        <v>23091911427</v>
      </c>
      <c r="B390">
        <v>0.38</v>
      </c>
      <c r="C390">
        <v>16715</v>
      </c>
      <c r="D390" t="s">
        <v>129</v>
      </c>
      <c r="E390" t="s">
        <v>53</v>
      </c>
      <c r="F390" t="s">
        <v>53</v>
      </c>
      <c r="G390">
        <v>4</v>
      </c>
      <c r="H390" t="s">
        <v>54</v>
      </c>
      <c r="I390">
        <v>312700</v>
      </c>
      <c r="J390">
        <v>41100</v>
      </c>
      <c r="K390">
        <v>0.38</v>
      </c>
      <c r="L390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390">
        <v>0</v>
      </c>
      <c r="N390">
        <v>0</v>
      </c>
      <c r="O390">
        <v>0</v>
      </c>
      <c r="P390">
        <v>13398.7528</v>
      </c>
      <c r="Q390">
        <v>63903</v>
      </c>
      <c r="R390">
        <f>(Grandview_Inventory[[#This Row],[ln_acres]]*Grandview_Inventory[[#This Row],[coeff]])+Grandview_Inventory[[#This Row],[const]]</f>
        <v>50938.580818890696</v>
      </c>
      <c r="S390" t="s">
        <v>58</v>
      </c>
      <c r="T390">
        <v>1</v>
      </c>
      <c r="U390" t="s">
        <v>56</v>
      </c>
      <c r="V390" t="s">
        <v>67</v>
      </c>
      <c r="W390">
        <v>30700</v>
      </c>
      <c r="X390">
        <v>0</v>
      </c>
      <c r="Y390">
        <v>24</v>
      </c>
      <c r="Z390">
        <v>24</v>
      </c>
      <c r="AA390">
        <v>30</v>
      </c>
      <c r="AB390">
        <v>2000</v>
      </c>
      <c r="AC390">
        <v>1994</v>
      </c>
      <c r="AD390">
        <v>1994</v>
      </c>
      <c r="AE390">
        <v>0</v>
      </c>
      <c r="AF390">
        <v>0</v>
      </c>
      <c r="AG390">
        <v>0</v>
      </c>
      <c r="AH390">
        <v>0</v>
      </c>
      <c r="AI390">
        <v>624</v>
      </c>
      <c r="AJ390">
        <v>0</v>
      </c>
      <c r="AK390">
        <v>540</v>
      </c>
      <c r="AL390">
        <v>524</v>
      </c>
      <c r="AM390">
        <v>0</v>
      </c>
      <c r="AN390">
        <v>70</v>
      </c>
      <c r="AO390">
        <v>0</v>
      </c>
      <c r="AP390">
        <v>9</v>
      </c>
      <c r="AQ390">
        <v>0</v>
      </c>
      <c r="AR390">
        <v>0</v>
      </c>
      <c r="AS390" t="s">
        <v>73</v>
      </c>
      <c r="AT390">
        <v>1</v>
      </c>
      <c r="AU390" t="s">
        <v>63</v>
      </c>
      <c r="AV390" t="s">
        <v>64</v>
      </c>
      <c r="AW390">
        <v>1</v>
      </c>
      <c r="AX390">
        <v>3</v>
      </c>
      <c r="AY390">
        <v>0</v>
      </c>
      <c r="AZ390">
        <v>0</v>
      </c>
      <c r="BA390">
        <v>100</v>
      </c>
      <c r="BB390">
        <v>100</v>
      </c>
      <c r="BC390">
        <v>100</v>
      </c>
      <c r="BD390">
        <v>100</v>
      </c>
      <c r="BE390">
        <v>1</v>
      </c>
      <c r="BF390">
        <v>15000</v>
      </c>
      <c r="BG390">
        <v>1000</v>
      </c>
      <c r="BH390" s="6">
        <f>Grandview_Inventory[[#This Row],[land_extract]]*Lookups!$B$3</f>
        <v>59154.836370809549</v>
      </c>
      <c r="BI390" s="6">
        <f>IF(Grandview_Inventory[[#This Row],[bldg_style]]="",0,Lookups!$B$2)</f>
        <v>155833.95000000001</v>
      </c>
      <c r="BJ390" s="6">
        <f>_xlfn.IFNA(VLOOKUP(Grandview_Inventory[[#This Row],[quality]],Lookups!$H$2:$J$14,3,FALSE),0)</f>
        <v>56323</v>
      </c>
      <c r="BK390" s="6">
        <f>_xlfn.IFNA(VLOOKUP(Grandview_Inventory[[#This Row],[condition]],Lookups!$H$17:$J$24,3,FALSE),0)</f>
        <v>22342</v>
      </c>
      <c r="BL390" s="6">
        <f>Grandview_Inventory[[#This Row],[Eff_Age]]*Lookups!$B$14</f>
        <v>-5739.9983999999995</v>
      </c>
      <c r="BM390" s="6">
        <f>Grandview_Inventory[[#This Row],[living_area]]*Lookups!$B$15</f>
        <v>124387.42088200001</v>
      </c>
      <c r="BN390" s="6">
        <f>Grandview_Inventory[[#This Row],[Fin BSMT]]*Lookups!$B$16</f>
        <v>0</v>
      </c>
      <c r="BO390" s="6">
        <f>(Grandview_Inventory[[#This Row],[att_gar]]+Grandview_Inventory[[#This Row],[bltin_gar]])*Lookups!$B$17</f>
        <v>54612.752688</v>
      </c>
      <c r="BP390" s="6">
        <f>Grandview_Inventory[[#This Row],[Plumbing Fixtures]]*Lookups!$B$18</f>
        <v>18093.976200000001</v>
      </c>
      <c r="BQ390" s="6">
        <f>Grandview_Inventory[[#This Row],[detatched_value]]*Lookups!$B$19</f>
        <v>0</v>
      </c>
      <c r="BR390" s="6">
        <f>SUM(Grandview_Inventory[[#This Row],[Intercept]:[det_value]])*Grandview_Inventory[[#This Row],[res_pct]]</f>
        <v>425853.10136999999</v>
      </c>
      <c r="BS390" s="6">
        <f>Grandview_Inventory[[#This Row],[land_value]]</f>
        <v>59154.836370809549</v>
      </c>
      <c r="BT390" s="4">
        <f>_xlfn.IFNA(VLOOKUP(Grandview_Inventory[[#This Row],[quality]],Lookups!$A$26:$C$33,3,FALSE),1)</f>
        <v>0.76437650671582003</v>
      </c>
      <c r="BU390" s="4">
        <f>_xlfn.IFNA(VLOOKUP(Grandview_Inventory[[#This Row],[condition]],Lookups!$A$37:$C$44,3,FALSE),1)</f>
        <v>0.97383723671140243</v>
      </c>
      <c r="BV390" s="4">
        <f>IF(Grandview_Inventory[[#This Row],[bldg_style]]="",1,_xlfn.IFNA(VLOOKUP(Grandview_Inventory[[#This Row],[decade]],Lookups!$F$29:$H$43,3,FALSE),1))</f>
        <v>0.98397821291089549</v>
      </c>
      <c r="BW390" s="4">
        <f>_xlfn.IFNA(VLOOKUP(Grandview_Inventory[[#This Row],[living_area_range]],Lookups!$F$47:$H$56,3,FALSE),1)</f>
        <v>0.96120133463014379</v>
      </c>
      <c r="BX390" s="4">
        <f>AVERAGE(Grandview_Inventory[[#This Row],[qual_adj]:[size_adj]])</f>
        <v>0.92084832274206541</v>
      </c>
      <c r="BY390" s="6">
        <f>IF(Grandview_Inventory[[#This Row],[pre_res]]&lt;0,0,Grandview_Inventory[[#This Row],[pre_res]]*Grandview_Inventory[[#This Row],[overall_adj]])</f>
        <v>392146.11413107126</v>
      </c>
      <c r="BZ390" s="6">
        <f>(Grandview_Inventory[[#This Row],[sum_land]]-IF(Grandview_Inventory[[#This Row],[no_utilities]]=1,12000,0))/IF(Grandview_Inventory[[#This Row],[unbuildable]]=1,2,1)</f>
        <v>59154.836370809549</v>
      </c>
      <c r="CA390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390">
        <f>ROUND(Grandview_Inventory[[#This Row],[det_value]]*Lookups!$M$28,-2)</f>
        <v>0</v>
      </c>
      <c r="CC390">
        <f>IF(ROUND(Grandview_Inventory[[#This Row],[adj_res]]*Lookups!$M$28,-2)&lt;Grandview_Inventory[[#This Row],[min_res]],Grandview_Inventory[[#This Row],[min_res]],ROUND(Grandview_Inventory[[#This Row],[adj_res]]*Lookups!$M$28,-2))</f>
        <v>372500</v>
      </c>
      <c r="CD390">
        <f>Grandview_Inventory[[#This Row],[final_det]]+Grandview_Inventory[[#This Row],[final_res]]</f>
        <v>372500</v>
      </c>
      <c r="CE390">
        <f>Grandview_Inventory[[#This Row],[final_land]]+Grandview_Inventory[[#This Row],[final_imp]]+Grandview_Inventory[[#This Row],[crop_value]]</f>
        <v>428700</v>
      </c>
      <c r="CG390" t="str">
        <f t="shared" si="6"/>
        <v>update valuation set market_land =56200, market_bldg=372500, market_total =428700, market_mdno =401, market_date ='9/10/2023' where link_id = (select link_id from parcel where parcel_year = '2024' and parcel_id = '23091911427');</v>
      </c>
    </row>
    <row r="391" spans="1:85" x14ac:dyDescent="0.25">
      <c r="A391">
        <v>23091911428</v>
      </c>
      <c r="B391">
        <v>0.39</v>
      </c>
      <c r="C391">
        <v>16802</v>
      </c>
      <c r="D391" t="s">
        <v>129</v>
      </c>
      <c r="E391" t="s">
        <v>53</v>
      </c>
      <c r="F391" t="s">
        <v>53</v>
      </c>
      <c r="G391">
        <v>4</v>
      </c>
      <c r="H391" t="s">
        <v>54</v>
      </c>
      <c r="I391">
        <v>248100</v>
      </c>
      <c r="J391">
        <v>41200</v>
      </c>
      <c r="K391">
        <v>0.39</v>
      </c>
      <c r="L391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91">
        <v>0</v>
      </c>
      <c r="N391">
        <v>0</v>
      </c>
      <c r="O391">
        <v>0</v>
      </c>
      <c r="P391">
        <v>13398.7528</v>
      </c>
      <c r="Q391">
        <v>63903</v>
      </c>
      <c r="R391">
        <f>(Grandview_Inventory[[#This Row],[ln_acres]]*Grandview_Inventory[[#This Row],[coeff]])+Grandview_Inventory[[#This Row],[const]]</f>
        <v>51286.619940067751</v>
      </c>
      <c r="S391" t="s">
        <v>61</v>
      </c>
      <c r="T391">
        <v>1</v>
      </c>
      <c r="U391" t="s">
        <v>64</v>
      </c>
      <c r="V391" t="s">
        <v>69</v>
      </c>
      <c r="W391">
        <v>0</v>
      </c>
      <c r="X391">
        <v>0</v>
      </c>
      <c r="Y391">
        <v>44</v>
      </c>
      <c r="Z391">
        <v>46</v>
      </c>
      <c r="AA391">
        <v>50</v>
      </c>
      <c r="AB391">
        <v>2000</v>
      </c>
      <c r="AC391">
        <v>1968</v>
      </c>
      <c r="AD391">
        <v>1968</v>
      </c>
      <c r="AE391">
        <v>0</v>
      </c>
      <c r="AF391">
        <v>0</v>
      </c>
      <c r="AG391">
        <v>0</v>
      </c>
      <c r="AH391">
        <v>0</v>
      </c>
      <c r="AI391">
        <v>672</v>
      </c>
      <c r="AJ391">
        <v>0</v>
      </c>
      <c r="AK391">
        <v>0</v>
      </c>
      <c r="AL391">
        <v>0</v>
      </c>
      <c r="AM391">
        <v>666</v>
      </c>
      <c r="AN391">
        <v>0</v>
      </c>
      <c r="AO391">
        <v>666</v>
      </c>
      <c r="AP391">
        <v>8</v>
      </c>
      <c r="AQ391">
        <v>0</v>
      </c>
      <c r="AR391">
        <v>1</v>
      </c>
      <c r="AS391" t="s">
        <v>58</v>
      </c>
      <c r="AT391">
        <v>1</v>
      </c>
      <c r="AU391" t="s">
        <v>59</v>
      </c>
      <c r="AV391" t="s">
        <v>60</v>
      </c>
      <c r="AW391">
        <v>1</v>
      </c>
      <c r="AX391">
        <v>2</v>
      </c>
      <c r="AY391">
        <v>0</v>
      </c>
      <c r="AZ391">
        <v>0</v>
      </c>
      <c r="BA391">
        <v>100</v>
      </c>
      <c r="BB391">
        <v>100</v>
      </c>
      <c r="BC391">
        <v>100</v>
      </c>
      <c r="BD391">
        <v>100</v>
      </c>
      <c r="BE391">
        <v>1</v>
      </c>
      <c r="BF391">
        <v>15000</v>
      </c>
      <c r="BG391">
        <v>1000</v>
      </c>
      <c r="BH391" s="6">
        <f>Grandview_Inventory[[#This Row],[land_extract]]*Lookups!$B$3</f>
        <v>59559.013262526838</v>
      </c>
      <c r="BI391" s="6">
        <f>IF(Grandview_Inventory[[#This Row],[bldg_style]]="",0,Lookups!$B$2)</f>
        <v>155833.95000000001</v>
      </c>
      <c r="BJ391" s="6">
        <f>_xlfn.IFNA(VLOOKUP(Grandview_Inventory[[#This Row],[quality]],Lookups!$H$2:$J$14,3,FALSE),0)</f>
        <v>20768</v>
      </c>
      <c r="BK391" s="6">
        <f>_xlfn.IFNA(VLOOKUP(Grandview_Inventory[[#This Row],[condition]],Lookups!$H$17:$J$24,3,FALSE),0)</f>
        <v>-4503</v>
      </c>
      <c r="BL391" s="6">
        <f>Grandview_Inventory[[#This Row],[Eff_Age]]*Lookups!$B$14</f>
        <v>-10523.330399999999</v>
      </c>
      <c r="BM391" s="6">
        <f>Grandview_Inventory[[#This Row],[living_area]]*Lookups!$B$15</f>
        <v>122765.518704</v>
      </c>
      <c r="BN391" s="6">
        <f>Grandview_Inventory[[#This Row],[Fin BSMT]]*Lookups!$B$16</f>
        <v>0</v>
      </c>
      <c r="BO391" s="6">
        <f>(Grandview_Inventory[[#This Row],[att_gar]]+Grandview_Inventory[[#This Row],[bltin_gar]])*Lookups!$B$17</f>
        <v>58813.733663999999</v>
      </c>
      <c r="BP391" s="6">
        <f>Grandview_Inventory[[#This Row],[Plumbing Fixtures]]*Lookups!$B$18</f>
        <v>16083.5344</v>
      </c>
      <c r="BQ391" s="6">
        <f>Grandview_Inventory[[#This Row],[detatched_value]]*Lookups!$B$19</f>
        <v>0</v>
      </c>
      <c r="BR391" s="6">
        <f>SUM(Grandview_Inventory[[#This Row],[Intercept]:[det_value]])*Grandview_Inventory[[#This Row],[res_pct]]</f>
        <v>359238.40636800003</v>
      </c>
      <c r="BS391" s="6">
        <f>Grandview_Inventory[[#This Row],[land_value]]</f>
        <v>59559.013262526838</v>
      </c>
      <c r="BT391" s="4">
        <f>_xlfn.IFNA(VLOOKUP(Grandview_Inventory[[#This Row],[quality]],Lookups!$A$26:$C$33,3,FALSE),1)</f>
        <v>0.94960540378902636</v>
      </c>
      <c r="BU391" s="4">
        <f>_xlfn.IFNA(VLOOKUP(Grandview_Inventory[[#This Row],[condition]],Lookups!$A$37:$C$44,3,FALSE),1)</f>
        <v>0.96469275950863709</v>
      </c>
      <c r="BV391" s="4">
        <f>IF(Grandview_Inventory[[#This Row],[bldg_style]]="",1,_xlfn.IFNA(VLOOKUP(Grandview_Inventory[[#This Row],[decade]],Lookups!$F$29:$H$43,3,FALSE),1))</f>
        <v>0.9871940091910919</v>
      </c>
      <c r="BW391" s="4">
        <f>_xlfn.IFNA(VLOOKUP(Grandview_Inventory[[#This Row],[living_area_range]],Lookups!$F$47:$H$56,3,FALSE),1)</f>
        <v>0.96120133463014379</v>
      </c>
      <c r="BX391" s="4">
        <f>AVERAGE(Grandview_Inventory[[#This Row],[qual_adj]:[size_adj]])</f>
        <v>0.96567337677972476</v>
      </c>
      <c r="BY391" s="6">
        <f>IF(Grandview_Inventory[[#This Row],[pre_res]]&lt;0,0,Grandview_Inventory[[#This Row],[pre_res]]*Grandview_Inventory[[#This Row],[overall_adj]])</f>
        <v>346906.96494635358</v>
      </c>
      <c r="BZ391" s="6">
        <f>(Grandview_Inventory[[#This Row],[sum_land]]-IF(Grandview_Inventory[[#This Row],[no_utilities]]=1,12000,0))/IF(Grandview_Inventory[[#This Row],[unbuildable]]=1,2,1)</f>
        <v>59559.013262526838</v>
      </c>
      <c r="CA391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91">
        <f>ROUND(Grandview_Inventory[[#This Row],[det_value]]*Lookups!$M$28,-2)</f>
        <v>0</v>
      </c>
      <c r="CC391">
        <f>IF(ROUND(Grandview_Inventory[[#This Row],[adj_res]]*Lookups!$M$28,-2)&lt;Grandview_Inventory[[#This Row],[min_res]],Grandview_Inventory[[#This Row],[min_res]],ROUND(Grandview_Inventory[[#This Row],[adj_res]]*Lookups!$M$28,-2))</f>
        <v>329600</v>
      </c>
      <c r="CD391">
        <f>Grandview_Inventory[[#This Row],[final_det]]+Grandview_Inventory[[#This Row],[final_res]]</f>
        <v>329600</v>
      </c>
      <c r="CE391">
        <f>Grandview_Inventory[[#This Row],[final_land]]+Grandview_Inventory[[#This Row],[final_imp]]+Grandview_Inventory[[#This Row],[crop_value]]</f>
        <v>386200</v>
      </c>
      <c r="CG391" t="str">
        <f t="shared" si="6"/>
        <v>update valuation set market_land =56600, market_bldg=329600, market_total =386200, market_mdno =401, market_date ='9/10/2023' where link_id = (select link_id from parcel where parcel_year = '2024' and parcel_id = '23091911428');</v>
      </c>
    </row>
    <row r="392" spans="1:85" x14ac:dyDescent="0.25">
      <c r="A392">
        <v>23091911429</v>
      </c>
      <c r="B392">
        <v>0.39</v>
      </c>
      <c r="C392">
        <v>16872</v>
      </c>
      <c r="D392" t="s">
        <v>129</v>
      </c>
      <c r="E392" t="s">
        <v>53</v>
      </c>
      <c r="F392" t="s">
        <v>53</v>
      </c>
      <c r="G392">
        <v>4</v>
      </c>
      <c r="H392" t="s">
        <v>54</v>
      </c>
      <c r="I392">
        <v>264500</v>
      </c>
      <c r="J392">
        <v>41200</v>
      </c>
      <c r="K392">
        <v>0.39</v>
      </c>
      <c r="L392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92">
        <v>0</v>
      </c>
      <c r="N392">
        <v>0</v>
      </c>
      <c r="O392">
        <v>0</v>
      </c>
      <c r="P392">
        <v>13398.7528</v>
      </c>
      <c r="Q392">
        <v>63903</v>
      </c>
      <c r="R392">
        <f>(Grandview_Inventory[[#This Row],[ln_acres]]*Grandview_Inventory[[#This Row],[coeff]])+Grandview_Inventory[[#This Row],[const]]</f>
        <v>51286.619940067751</v>
      </c>
      <c r="S392" t="s">
        <v>58</v>
      </c>
      <c r="T392">
        <v>2</v>
      </c>
      <c r="U392" t="s">
        <v>62</v>
      </c>
      <c r="V392" t="s">
        <v>69</v>
      </c>
      <c r="W392">
        <v>0</v>
      </c>
      <c r="X392">
        <v>0</v>
      </c>
      <c r="Y392">
        <v>43</v>
      </c>
      <c r="Z392">
        <v>44</v>
      </c>
      <c r="AA392">
        <v>50</v>
      </c>
      <c r="AB392">
        <v>3000</v>
      </c>
      <c r="AC392">
        <v>2570</v>
      </c>
      <c r="AD392">
        <v>1774</v>
      </c>
      <c r="AE392">
        <v>796</v>
      </c>
      <c r="AF392">
        <v>0</v>
      </c>
      <c r="AG392">
        <v>0</v>
      </c>
      <c r="AH392">
        <v>1344</v>
      </c>
      <c r="AI392">
        <v>600</v>
      </c>
      <c r="AJ392">
        <v>0</v>
      </c>
      <c r="AK392">
        <v>0</v>
      </c>
      <c r="AL392">
        <v>0</v>
      </c>
      <c r="AM392">
        <v>168</v>
      </c>
      <c r="AN392">
        <v>0</v>
      </c>
      <c r="AO392">
        <v>0</v>
      </c>
      <c r="AP392">
        <v>13</v>
      </c>
      <c r="AQ392">
        <v>0</v>
      </c>
      <c r="AR392">
        <v>0</v>
      </c>
      <c r="AS392" t="s">
        <v>58</v>
      </c>
      <c r="AT392">
        <v>1</v>
      </c>
      <c r="AU392" t="s">
        <v>59</v>
      </c>
      <c r="AV392" t="s">
        <v>60</v>
      </c>
      <c r="AW392">
        <v>1</v>
      </c>
      <c r="AX392">
        <v>4</v>
      </c>
      <c r="AY392">
        <v>0</v>
      </c>
      <c r="AZ392">
        <v>0</v>
      </c>
      <c r="BA392">
        <v>100</v>
      </c>
      <c r="BB392">
        <v>100</v>
      </c>
      <c r="BC392">
        <v>100</v>
      </c>
      <c r="BD392">
        <v>100</v>
      </c>
      <c r="BE392">
        <v>1</v>
      </c>
      <c r="BF392">
        <v>15000</v>
      </c>
      <c r="BG392">
        <v>1000</v>
      </c>
      <c r="BH392" s="6">
        <f>Grandview_Inventory[[#This Row],[land_extract]]*Lookups!$B$3</f>
        <v>59559.013262526838</v>
      </c>
      <c r="BI392" s="6">
        <f>IF(Grandview_Inventory[[#This Row],[bldg_style]]="",0,Lookups!$B$2)</f>
        <v>155833.95000000001</v>
      </c>
      <c r="BJ392" s="6">
        <f>_xlfn.IFNA(VLOOKUP(Grandview_Inventory[[#This Row],[quality]],Lookups!$H$2:$J$14,3,FALSE),0)</f>
        <v>9808</v>
      </c>
      <c r="BK392" s="6">
        <f>_xlfn.IFNA(VLOOKUP(Grandview_Inventory[[#This Row],[condition]],Lookups!$H$17:$J$24,3,FALSE),0)</f>
        <v>-4503</v>
      </c>
      <c r="BL392" s="6">
        <f>Grandview_Inventory[[#This Row],[Eff_Age]]*Lookups!$B$14</f>
        <v>-10284.1638</v>
      </c>
      <c r="BM392" s="6">
        <f>Grandview_Inventory[[#This Row],[living_area]]*Lookups!$B$15</f>
        <v>160318.79221000001</v>
      </c>
      <c r="BN392" s="6">
        <f>Grandview_Inventory[[#This Row],[Fin BSMT]]*Lookups!$B$16</f>
        <v>0</v>
      </c>
      <c r="BO392" s="6">
        <f>(Grandview_Inventory[[#This Row],[att_gar]]+Grandview_Inventory[[#This Row],[bltin_gar]])*Lookups!$B$17</f>
        <v>52512.262199999997</v>
      </c>
      <c r="BP392" s="6">
        <f>Grandview_Inventory[[#This Row],[Plumbing Fixtures]]*Lookups!$B$18</f>
        <v>26135.743399999999</v>
      </c>
      <c r="BQ392" s="6">
        <f>Grandview_Inventory[[#This Row],[detatched_value]]*Lookups!$B$19</f>
        <v>0</v>
      </c>
      <c r="BR392" s="6">
        <f>SUM(Grandview_Inventory[[#This Row],[Intercept]:[det_value]])*Grandview_Inventory[[#This Row],[res_pct]]</f>
        <v>389821.58400999999</v>
      </c>
      <c r="BS392" s="6">
        <f>Grandview_Inventory[[#This Row],[land_value]]</f>
        <v>59559.013262526838</v>
      </c>
      <c r="BT392" s="4">
        <f>_xlfn.IFNA(VLOOKUP(Grandview_Inventory[[#This Row],[quality]],Lookups!$A$26:$C$33,3,FALSE),1)</f>
        <v>0.94295468617355149</v>
      </c>
      <c r="BU392" s="4">
        <f>_xlfn.IFNA(VLOOKUP(Grandview_Inventory[[#This Row],[condition]],Lookups!$A$37:$C$44,3,FALSE),1)</f>
        <v>0.96469275950863709</v>
      </c>
      <c r="BV392" s="4">
        <f>IF(Grandview_Inventory[[#This Row],[bldg_style]]="",1,_xlfn.IFNA(VLOOKUP(Grandview_Inventory[[#This Row],[decade]],Lookups!$F$29:$H$43,3,FALSE),1))</f>
        <v>0.9871940091910919</v>
      </c>
      <c r="BW392" s="4">
        <f>_xlfn.IFNA(VLOOKUP(Grandview_Inventory[[#This Row],[living_area_range]],Lookups!$F$47:$H$56,3,FALSE),1)</f>
        <v>0.94224801443562123</v>
      </c>
      <c r="BX392" s="4">
        <f>AVERAGE(Grandview_Inventory[[#This Row],[qual_adj]:[size_adj]])</f>
        <v>0.95927236732722543</v>
      </c>
      <c r="BY392" s="6">
        <f>IF(Grandview_Inventory[[#This Row],[pre_res]]&lt;0,0,Grandview_Inventory[[#This Row],[pre_res]]*Grandview_Inventory[[#This Row],[overall_adj]])</f>
        <v>373945.07372852159</v>
      </c>
      <c r="BZ392" s="6">
        <f>(Grandview_Inventory[[#This Row],[sum_land]]-IF(Grandview_Inventory[[#This Row],[no_utilities]]=1,12000,0))/IF(Grandview_Inventory[[#This Row],[unbuildable]]=1,2,1)</f>
        <v>59559.013262526838</v>
      </c>
      <c r="CA392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92">
        <f>ROUND(Grandview_Inventory[[#This Row],[det_value]]*Lookups!$M$28,-2)</f>
        <v>0</v>
      </c>
      <c r="CC392">
        <f>IF(ROUND(Grandview_Inventory[[#This Row],[adj_res]]*Lookups!$M$28,-2)&lt;Grandview_Inventory[[#This Row],[min_res]],Grandview_Inventory[[#This Row],[min_res]],ROUND(Grandview_Inventory[[#This Row],[adj_res]]*Lookups!$M$28,-2))</f>
        <v>355200</v>
      </c>
      <c r="CD392">
        <f>Grandview_Inventory[[#This Row],[final_det]]+Grandview_Inventory[[#This Row],[final_res]]</f>
        <v>355200</v>
      </c>
      <c r="CE392">
        <f>Grandview_Inventory[[#This Row],[final_land]]+Grandview_Inventory[[#This Row],[final_imp]]+Grandview_Inventory[[#This Row],[crop_value]]</f>
        <v>411800</v>
      </c>
      <c r="CG392" t="str">
        <f t="shared" si="6"/>
        <v>update valuation set market_land =56600, market_bldg=355200, market_total =411800, market_mdno =401, market_date ='9/10/2023' where link_id = (select link_id from parcel where parcel_year = '2024' and parcel_id = '23091911429');</v>
      </c>
    </row>
    <row r="393" spans="1:85" x14ac:dyDescent="0.25">
      <c r="A393">
        <v>23091911430</v>
      </c>
      <c r="B393">
        <v>0.39</v>
      </c>
      <c r="C393">
        <v>16872</v>
      </c>
      <c r="D393" t="s">
        <v>129</v>
      </c>
      <c r="E393" t="s">
        <v>53</v>
      </c>
      <c r="F393" t="s">
        <v>53</v>
      </c>
      <c r="G393">
        <v>4</v>
      </c>
      <c r="H393" t="s">
        <v>54</v>
      </c>
      <c r="I393">
        <v>288100</v>
      </c>
      <c r="J393">
        <v>41200</v>
      </c>
      <c r="K393">
        <v>0.39</v>
      </c>
      <c r="L393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93">
        <v>0</v>
      </c>
      <c r="N393">
        <v>0</v>
      </c>
      <c r="O393">
        <v>0</v>
      </c>
      <c r="P393">
        <v>13398.7528</v>
      </c>
      <c r="Q393">
        <v>63903</v>
      </c>
      <c r="R393">
        <f>(Grandview_Inventory[[#This Row],[ln_acres]]*Grandview_Inventory[[#This Row],[coeff]])+Grandview_Inventory[[#This Row],[const]]</f>
        <v>51286.619940067751</v>
      </c>
      <c r="S393" t="s">
        <v>61</v>
      </c>
      <c r="T393">
        <v>1</v>
      </c>
      <c r="U393" t="s">
        <v>64</v>
      </c>
      <c r="V393" t="s">
        <v>69</v>
      </c>
      <c r="W393">
        <v>0</v>
      </c>
      <c r="X393">
        <v>0</v>
      </c>
      <c r="Y393">
        <v>44</v>
      </c>
      <c r="Z393">
        <v>46</v>
      </c>
      <c r="AA393">
        <v>50</v>
      </c>
      <c r="AB393">
        <v>2500</v>
      </c>
      <c r="AC393">
        <v>2251</v>
      </c>
      <c r="AD393">
        <v>2251</v>
      </c>
      <c r="AE393">
        <v>0</v>
      </c>
      <c r="AF393">
        <v>0</v>
      </c>
      <c r="AG393">
        <v>0</v>
      </c>
      <c r="AH393">
        <v>750</v>
      </c>
      <c r="AI393">
        <v>699</v>
      </c>
      <c r="AJ393">
        <v>0</v>
      </c>
      <c r="AK393">
        <v>0</v>
      </c>
      <c r="AL393">
        <v>0</v>
      </c>
      <c r="AM393">
        <v>256</v>
      </c>
      <c r="AN393">
        <v>0</v>
      </c>
      <c r="AO393">
        <v>256</v>
      </c>
      <c r="AP393">
        <v>10</v>
      </c>
      <c r="AQ393">
        <v>0</v>
      </c>
      <c r="AR393">
        <v>1</v>
      </c>
      <c r="AS393" t="s">
        <v>76</v>
      </c>
      <c r="AT393">
        <v>1</v>
      </c>
      <c r="AU393" t="s">
        <v>63</v>
      </c>
      <c r="AV393" t="s">
        <v>60</v>
      </c>
      <c r="AW393">
        <v>1</v>
      </c>
      <c r="AX393">
        <v>3</v>
      </c>
      <c r="AY393">
        <v>0</v>
      </c>
      <c r="AZ393">
        <v>0</v>
      </c>
      <c r="BA393">
        <v>100</v>
      </c>
      <c r="BB393">
        <v>100</v>
      </c>
      <c r="BC393">
        <v>100</v>
      </c>
      <c r="BD393">
        <v>100</v>
      </c>
      <c r="BE393">
        <v>1</v>
      </c>
      <c r="BF393">
        <v>15000</v>
      </c>
      <c r="BG393">
        <v>1000</v>
      </c>
      <c r="BH393" s="6">
        <f>Grandview_Inventory[[#This Row],[land_extract]]*Lookups!$B$3</f>
        <v>59559.013262526838</v>
      </c>
      <c r="BI393" s="6">
        <f>IF(Grandview_Inventory[[#This Row],[bldg_style]]="",0,Lookups!$B$2)</f>
        <v>155833.95000000001</v>
      </c>
      <c r="BJ393" s="6">
        <f>_xlfn.IFNA(VLOOKUP(Grandview_Inventory[[#This Row],[quality]],Lookups!$H$2:$J$14,3,FALSE),0)</f>
        <v>20768</v>
      </c>
      <c r="BK393" s="6">
        <f>_xlfn.IFNA(VLOOKUP(Grandview_Inventory[[#This Row],[condition]],Lookups!$H$17:$J$24,3,FALSE),0)</f>
        <v>-4503</v>
      </c>
      <c r="BL393" s="6">
        <f>Grandview_Inventory[[#This Row],[Eff_Age]]*Lookups!$B$14</f>
        <v>-10523.330399999999</v>
      </c>
      <c r="BM393" s="6">
        <f>Grandview_Inventory[[#This Row],[living_area]]*Lookups!$B$15</f>
        <v>140419.30010300002</v>
      </c>
      <c r="BN393" s="6">
        <f>Grandview_Inventory[[#This Row],[Fin BSMT]]*Lookups!$B$16</f>
        <v>0</v>
      </c>
      <c r="BO393" s="6">
        <f>(Grandview_Inventory[[#This Row],[att_gar]]+Grandview_Inventory[[#This Row],[bltin_gar]])*Lookups!$B$17</f>
        <v>61176.785463</v>
      </c>
      <c r="BP393" s="6">
        <f>Grandview_Inventory[[#This Row],[Plumbing Fixtures]]*Lookups!$B$18</f>
        <v>20104.418000000001</v>
      </c>
      <c r="BQ393" s="6">
        <f>Grandview_Inventory[[#This Row],[detatched_value]]*Lookups!$B$19</f>
        <v>0</v>
      </c>
      <c r="BR393" s="6">
        <f>SUM(Grandview_Inventory[[#This Row],[Intercept]:[det_value]])*Grandview_Inventory[[#This Row],[res_pct]]</f>
        <v>383276.123166</v>
      </c>
      <c r="BS393" s="6">
        <f>Grandview_Inventory[[#This Row],[land_value]]</f>
        <v>59559.013262526838</v>
      </c>
      <c r="BT393" s="4">
        <f>_xlfn.IFNA(VLOOKUP(Grandview_Inventory[[#This Row],[quality]],Lookups!$A$26:$C$33,3,FALSE),1)</f>
        <v>0.94960540378902636</v>
      </c>
      <c r="BU393" s="4">
        <f>_xlfn.IFNA(VLOOKUP(Grandview_Inventory[[#This Row],[condition]],Lookups!$A$37:$C$44,3,FALSE),1)</f>
        <v>0.96469275950863709</v>
      </c>
      <c r="BV393" s="4">
        <f>IF(Grandview_Inventory[[#This Row],[bldg_style]]="",1,_xlfn.IFNA(VLOOKUP(Grandview_Inventory[[#This Row],[decade]],Lookups!$F$29:$H$43,3,FALSE),1))</f>
        <v>0.9871940091910919</v>
      </c>
      <c r="BW393" s="4">
        <f>_xlfn.IFNA(VLOOKUP(Grandview_Inventory[[#This Row],[living_area_range]],Lookups!$F$47:$H$56,3,FALSE),1)</f>
        <v>0.95799442568048754</v>
      </c>
      <c r="BX393" s="4">
        <f>AVERAGE(Grandview_Inventory[[#This Row],[qual_adj]:[size_adj]])</f>
        <v>0.96487164954231075</v>
      </c>
      <c r="BY393" s="6">
        <f>IF(Grandview_Inventory[[#This Row],[pre_res]]&lt;0,0,Grandview_Inventory[[#This Row],[pre_res]]*Grandview_Inventory[[#This Row],[overall_adj]])</f>
        <v>369812.2651893603</v>
      </c>
      <c r="BZ393" s="6">
        <f>(Grandview_Inventory[[#This Row],[sum_land]]-IF(Grandview_Inventory[[#This Row],[no_utilities]]=1,12000,0))/IF(Grandview_Inventory[[#This Row],[unbuildable]]=1,2,1)</f>
        <v>59559.013262526838</v>
      </c>
      <c r="CA393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93">
        <f>ROUND(Grandview_Inventory[[#This Row],[det_value]]*Lookups!$M$28,-2)</f>
        <v>0</v>
      </c>
      <c r="CC393">
        <f>IF(ROUND(Grandview_Inventory[[#This Row],[adj_res]]*Lookups!$M$28,-2)&lt;Grandview_Inventory[[#This Row],[min_res]],Grandview_Inventory[[#This Row],[min_res]],ROUND(Grandview_Inventory[[#This Row],[adj_res]]*Lookups!$M$28,-2))</f>
        <v>351300</v>
      </c>
      <c r="CD393">
        <f>Grandview_Inventory[[#This Row],[final_det]]+Grandview_Inventory[[#This Row],[final_res]]</f>
        <v>351300</v>
      </c>
      <c r="CE393">
        <f>Grandview_Inventory[[#This Row],[final_land]]+Grandview_Inventory[[#This Row],[final_imp]]+Grandview_Inventory[[#This Row],[crop_value]]</f>
        <v>407900</v>
      </c>
      <c r="CG393" t="str">
        <f t="shared" si="6"/>
        <v>update valuation set market_land =56600, market_bldg=351300, market_total =407900, market_mdno =401, market_date ='9/10/2023' where link_id = (select link_id from parcel where parcel_year = '2024' and parcel_id = '23091911430');</v>
      </c>
    </row>
    <row r="394" spans="1:85" x14ac:dyDescent="0.25">
      <c r="A394">
        <v>23091911431</v>
      </c>
      <c r="B394">
        <v>0.39</v>
      </c>
      <c r="C394">
        <v>16872</v>
      </c>
      <c r="D394" t="s">
        <v>129</v>
      </c>
      <c r="E394" t="s">
        <v>53</v>
      </c>
      <c r="F394" t="s">
        <v>53</v>
      </c>
      <c r="G394">
        <v>4</v>
      </c>
      <c r="H394" t="s">
        <v>54</v>
      </c>
      <c r="I394">
        <v>289400</v>
      </c>
      <c r="J394">
        <v>41200</v>
      </c>
      <c r="K394">
        <v>0.39</v>
      </c>
      <c r="L394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94">
        <v>0</v>
      </c>
      <c r="N394">
        <v>0</v>
      </c>
      <c r="O394">
        <v>0</v>
      </c>
      <c r="P394">
        <v>13398.7528</v>
      </c>
      <c r="Q394">
        <v>63903</v>
      </c>
      <c r="R394">
        <f>(Grandview_Inventory[[#This Row],[ln_acres]]*Grandview_Inventory[[#This Row],[coeff]])+Grandview_Inventory[[#This Row],[const]]</f>
        <v>51286.619940067751</v>
      </c>
      <c r="S394" t="s">
        <v>74</v>
      </c>
      <c r="T394">
        <v>1</v>
      </c>
      <c r="U394" t="s">
        <v>64</v>
      </c>
      <c r="V394" t="s">
        <v>69</v>
      </c>
      <c r="W394">
        <v>0</v>
      </c>
      <c r="X394">
        <v>0</v>
      </c>
      <c r="Y394">
        <v>43</v>
      </c>
      <c r="Z394">
        <v>45</v>
      </c>
      <c r="AA394">
        <v>50</v>
      </c>
      <c r="AB394">
        <v>2500</v>
      </c>
      <c r="AC394">
        <v>2044</v>
      </c>
      <c r="AD394">
        <v>1344</v>
      </c>
      <c r="AE394">
        <v>0</v>
      </c>
      <c r="AF394">
        <v>0</v>
      </c>
      <c r="AG394">
        <v>700</v>
      </c>
      <c r="AH394">
        <v>0</v>
      </c>
      <c r="AI394">
        <v>624</v>
      </c>
      <c r="AJ394">
        <v>0</v>
      </c>
      <c r="AK394">
        <v>0</v>
      </c>
      <c r="AL394">
        <v>288</v>
      </c>
      <c r="AM394">
        <v>288</v>
      </c>
      <c r="AN394">
        <v>142</v>
      </c>
      <c r="AO394">
        <v>0</v>
      </c>
      <c r="AP394">
        <v>11</v>
      </c>
      <c r="AQ394">
        <v>0</v>
      </c>
      <c r="AR394">
        <v>2</v>
      </c>
      <c r="AS394" t="s">
        <v>58</v>
      </c>
      <c r="AT394">
        <v>1</v>
      </c>
      <c r="AU394" t="s">
        <v>63</v>
      </c>
      <c r="AV394" t="s">
        <v>60</v>
      </c>
      <c r="AW394">
        <v>1</v>
      </c>
      <c r="AX394">
        <v>4</v>
      </c>
      <c r="AY394">
        <v>0</v>
      </c>
      <c r="AZ394">
        <v>0</v>
      </c>
      <c r="BA394">
        <v>100</v>
      </c>
      <c r="BB394">
        <v>100</v>
      </c>
      <c r="BC394">
        <v>100</v>
      </c>
      <c r="BD394">
        <v>100</v>
      </c>
      <c r="BE394">
        <v>1</v>
      </c>
      <c r="BF394">
        <v>15000</v>
      </c>
      <c r="BG394">
        <v>1000</v>
      </c>
      <c r="BH394" s="6">
        <f>Grandview_Inventory[[#This Row],[land_extract]]*Lookups!$B$3</f>
        <v>59559.013262526838</v>
      </c>
      <c r="BI394" s="6">
        <f>IF(Grandview_Inventory[[#This Row],[bldg_style]]="",0,Lookups!$B$2)</f>
        <v>155833.95000000001</v>
      </c>
      <c r="BJ394" s="6">
        <f>_xlfn.IFNA(VLOOKUP(Grandview_Inventory[[#This Row],[quality]],Lookups!$H$2:$J$14,3,FALSE),0)</f>
        <v>20768</v>
      </c>
      <c r="BK394" s="6">
        <f>_xlfn.IFNA(VLOOKUP(Grandview_Inventory[[#This Row],[condition]],Lookups!$H$17:$J$24,3,FALSE),0)</f>
        <v>-4503</v>
      </c>
      <c r="BL394" s="6">
        <f>Grandview_Inventory[[#This Row],[Eff_Age]]*Lookups!$B$14</f>
        <v>-10284.1638</v>
      </c>
      <c r="BM394" s="6">
        <f>Grandview_Inventory[[#This Row],[living_area]]*Lookups!$B$15</f>
        <v>127506.46353200001</v>
      </c>
      <c r="BN394" s="6">
        <f>Grandview_Inventory[[#This Row],[Fin BSMT]]*Lookups!$B$16</f>
        <v>-18969.468000000001</v>
      </c>
      <c r="BO394" s="6">
        <f>(Grandview_Inventory[[#This Row],[att_gar]]+Grandview_Inventory[[#This Row],[bltin_gar]])*Lookups!$B$17</f>
        <v>54612.752688</v>
      </c>
      <c r="BP394" s="6">
        <f>Grandview_Inventory[[#This Row],[Plumbing Fixtures]]*Lookups!$B$18</f>
        <v>22114.859800000002</v>
      </c>
      <c r="BQ394" s="6">
        <f>Grandview_Inventory[[#This Row],[detatched_value]]*Lookups!$B$19</f>
        <v>0</v>
      </c>
      <c r="BR394" s="6">
        <f>SUM(Grandview_Inventory[[#This Row],[Intercept]:[det_value]])*Grandview_Inventory[[#This Row],[res_pct]]</f>
        <v>347079.39421999996</v>
      </c>
      <c r="BS394" s="6">
        <f>Grandview_Inventory[[#This Row],[land_value]]</f>
        <v>59559.013262526838</v>
      </c>
      <c r="BT394" s="4">
        <f>_xlfn.IFNA(VLOOKUP(Grandview_Inventory[[#This Row],[quality]],Lookups!$A$26:$C$33,3,FALSE),1)</f>
        <v>0.94960540378902636</v>
      </c>
      <c r="BU394" s="4">
        <f>_xlfn.IFNA(VLOOKUP(Grandview_Inventory[[#This Row],[condition]],Lookups!$A$37:$C$44,3,FALSE),1)</f>
        <v>0.96469275950863709</v>
      </c>
      <c r="BV394" s="4">
        <f>IF(Grandview_Inventory[[#This Row],[bldg_style]]="",1,_xlfn.IFNA(VLOOKUP(Grandview_Inventory[[#This Row],[decade]],Lookups!$F$29:$H$43,3,FALSE),1))</f>
        <v>0.9871940091910919</v>
      </c>
      <c r="BW394" s="4">
        <f>_xlfn.IFNA(VLOOKUP(Grandview_Inventory[[#This Row],[living_area_range]],Lookups!$F$47:$H$56,3,FALSE),1)</f>
        <v>0.95799442568048754</v>
      </c>
      <c r="BX394" s="4">
        <f>AVERAGE(Grandview_Inventory[[#This Row],[qual_adj]:[size_adj]])</f>
        <v>0.96487164954231075</v>
      </c>
      <c r="BY394" s="6">
        <f>IF(Grandview_Inventory[[#This Row],[pre_res]]&lt;0,0,Grandview_Inventory[[#This Row],[pre_res]]*Grandview_Inventory[[#This Row],[overall_adj]])</f>
        <v>334887.06762319733</v>
      </c>
      <c r="BZ394" s="6">
        <f>(Grandview_Inventory[[#This Row],[sum_land]]-IF(Grandview_Inventory[[#This Row],[no_utilities]]=1,12000,0))/IF(Grandview_Inventory[[#This Row],[unbuildable]]=1,2,1)</f>
        <v>59559.013262526838</v>
      </c>
      <c r="CA394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94">
        <f>ROUND(Grandview_Inventory[[#This Row],[det_value]]*Lookups!$M$28,-2)</f>
        <v>0</v>
      </c>
      <c r="CC394">
        <f>IF(ROUND(Grandview_Inventory[[#This Row],[adj_res]]*Lookups!$M$28,-2)&lt;Grandview_Inventory[[#This Row],[min_res]],Grandview_Inventory[[#This Row],[min_res]],ROUND(Grandview_Inventory[[#This Row],[adj_res]]*Lookups!$M$28,-2))</f>
        <v>318100</v>
      </c>
      <c r="CD394">
        <f>Grandview_Inventory[[#This Row],[final_det]]+Grandview_Inventory[[#This Row],[final_res]]</f>
        <v>318100</v>
      </c>
      <c r="CE394">
        <f>Grandview_Inventory[[#This Row],[final_land]]+Grandview_Inventory[[#This Row],[final_imp]]+Grandview_Inventory[[#This Row],[crop_value]]</f>
        <v>374700</v>
      </c>
      <c r="CG394" t="str">
        <f t="shared" si="6"/>
        <v>update valuation set market_land =56600, market_bldg=318100, market_total =374700, market_mdno =401, market_date ='9/10/2023' where link_id = (select link_id from parcel where parcel_year = '2024' and parcel_id = '23091911431');</v>
      </c>
    </row>
    <row r="395" spans="1:85" x14ac:dyDescent="0.25">
      <c r="A395">
        <v>23091911432</v>
      </c>
      <c r="B395">
        <v>0.39</v>
      </c>
      <c r="C395">
        <v>16872</v>
      </c>
      <c r="D395" t="s">
        <v>129</v>
      </c>
      <c r="E395" t="s">
        <v>53</v>
      </c>
      <c r="F395" t="s">
        <v>53</v>
      </c>
      <c r="G395">
        <v>4</v>
      </c>
      <c r="H395" t="s">
        <v>54</v>
      </c>
      <c r="I395">
        <v>249400</v>
      </c>
      <c r="J395">
        <v>41200</v>
      </c>
      <c r="K395">
        <v>0.39</v>
      </c>
      <c r="L395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395">
        <v>0</v>
      </c>
      <c r="N395">
        <v>0</v>
      </c>
      <c r="O395">
        <v>0</v>
      </c>
      <c r="P395">
        <v>13398.7528</v>
      </c>
      <c r="Q395">
        <v>63903</v>
      </c>
      <c r="R395">
        <f>(Grandview_Inventory[[#This Row],[ln_acres]]*Grandview_Inventory[[#This Row],[coeff]])+Grandview_Inventory[[#This Row],[const]]</f>
        <v>51286.619940067751</v>
      </c>
      <c r="S395" t="s">
        <v>61</v>
      </c>
      <c r="T395">
        <v>1</v>
      </c>
      <c r="U395" t="s">
        <v>62</v>
      </c>
      <c r="V395" t="s">
        <v>69</v>
      </c>
      <c r="W395">
        <v>0</v>
      </c>
      <c r="X395">
        <v>0</v>
      </c>
      <c r="Y395">
        <v>44</v>
      </c>
      <c r="Z395">
        <v>46</v>
      </c>
      <c r="AA395">
        <v>50</v>
      </c>
      <c r="AB395">
        <v>3500</v>
      </c>
      <c r="AC395">
        <v>3440</v>
      </c>
      <c r="AD395">
        <v>1718</v>
      </c>
      <c r="AE395">
        <v>0</v>
      </c>
      <c r="AF395">
        <v>0</v>
      </c>
      <c r="AG395">
        <v>1722</v>
      </c>
      <c r="AH395">
        <v>0</v>
      </c>
      <c r="AI395">
        <v>0</v>
      </c>
      <c r="AJ395">
        <v>0</v>
      </c>
      <c r="AK395">
        <v>0</v>
      </c>
      <c r="AL395">
        <v>665</v>
      </c>
      <c r="AM395">
        <v>0</v>
      </c>
      <c r="AN395">
        <v>0</v>
      </c>
      <c r="AO395">
        <v>0</v>
      </c>
      <c r="AP395">
        <v>12</v>
      </c>
      <c r="AQ395">
        <v>0</v>
      </c>
      <c r="AR395">
        <v>0</v>
      </c>
      <c r="AS395" t="s">
        <v>76</v>
      </c>
      <c r="AT395">
        <v>1</v>
      </c>
      <c r="AU395" t="s">
        <v>63</v>
      </c>
      <c r="AV395" t="s">
        <v>60</v>
      </c>
      <c r="AW395">
        <v>1</v>
      </c>
      <c r="AX395">
        <v>4</v>
      </c>
      <c r="AY395">
        <v>0</v>
      </c>
      <c r="AZ395">
        <v>14200</v>
      </c>
      <c r="BA395">
        <v>100</v>
      </c>
      <c r="BB395">
        <v>100</v>
      </c>
      <c r="BC395">
        <v>100</v>
      </c>
      <c r="BD395">
        <v>100</v>
      </c>
      <c r="BE395">
        <v>1</v>
      </c>
      <c r="BF395">
        <v>15000</v>
      </c>
      <c r="BG395">
        <v>1000</v>
      </c>
      <c r="BH395" s="6">
        <f>Grandview_Inventory[[#This Row],[land_extract]]*Lookups!$B$3</f>
        <v>59559.013262526838</v>
      </c>
      <c r="BI395" s="6">
        <f>IF(Grandview_Inventory[[#This Row],[bldg_style]]="",0,Lookups!$B$2)</f>
        <v>155833.95000000001</v>
      </c>
      <c r="BJ395" s="6">
        <f>_xlfn.IFNA(VLOOKUP(Grandview_Inventory[[#This Row],[quality]],Lookups!$H$2:$J$14,3,FALSE),0)</f>
        <v>9808</v>
      </c>
      <c r="BK395" s="6">
        <f>_xlfn.IFNA(VLOOKUP(Grandview_Inventory[[#This Row],[condition]],Lookups!$H$17:$J$24,3,FALSE),0)</f>
        <v>-4503</v>
      </c>
      <c r="BL395" s="6">
        <f>Grandview_Inventory[[#This Row],[Eff_Age]]*Lookups!$B$14</f>
        <v>-10523.330399999999</v>
      </c>
      <c r="BM395" s="6">
        <f>Grandview_Inventory[[#This Row],[living_area]]*Lookups!$B$15</f>
        <v>214590.13432000001</v>
      </c>
      <c r="BN395" s="6">
        <f>Grandview_Inventory[[#This Row],[Fin BSMT]]*Lookups!$B$16</f>
        <v>-46664.891280000003</v>
      </c>
      <c r="BO395" s="6">
        <f>(Grandview_Inventory[[#This Row],[att_gar]]+Grandview_Inventory[[#This Row],[bltin_gar]])*Lookups!$B$17</f>
        <v>0</v>
      </c>
      <c r="BP395" s="6">
        <f>Grandview_Inventory[[#This Row],[Plumbing Fixtures]]*Lookups!$B$18</f>
        <v>24125.301599999999</v>
      </c>
      <c r="BQ395" s="6">
        <f>Grandview_Inventory[[#This Row],[detatched_value]]*Lookups!$B$19</f>
        <v>12024.63242</v>
      </c>
      <c r="BR395" s="6">
        <f>SUM(Grandview_Inventory[[#This Row],[Intercept]:[det_value]])*Grandview_Inventory[[#This Row],[res_pct]]</f>
        <v>354690.79666000005</v>
      </c>
      <c r="BS395" s="6">
        <f>Grandview_Inventory[[#This Row],[land_value]]</f>
        <v>59559.013262526838</v>
      </c>
      <c r="BT395" s="4">
        <f>_xlfn.IFNA(VLOOKUP(Grandview_Inventory[[#This Row],[quality]],Lookups!$A$26:$C$33,3,FALSE),1)</f>
        <v>0.94295468617355149</v>
      </c>
      <c r="BU395" s="4">
        <f>_xlfn.IFNA(VLOOKUP(Grandview_Inventory[[#This Row],[condition]],Lookups!$A$37:$C$44,3,FALSE),1)</f>
        <v>0.96469275950863709</v>
      </c>
      <c r="BV395" s="4">
        <f>IF(Grandview_Inventory[[#This Row],[bldg_style]]="",1,_xlfn.IFNA(VLOOKUP(Grandview_Inventory[[#This Row],[decade]],Lookups!$F$29:$H$43,3,FALSE),1))</f>
        <v>0.9871940091910919</v>
      </c>
      <c r="BW395" s="4">
        <f>_xlfn.IFNA(VLOOKUP(Grandview_Inventory[[#This Row],[living_area_range]],Lookups!$F$47:$H$56,3,FALSE),1)</f>
        <v>1.0170112215140563</v>
      </c>
      <c r="BX395" s="4">
        <f>AVERAGE(Grandview_Inventory[[#This Row],[qual_adj]:[size_adj]])</f>
        <v>0.97796316909683423</v>
      </c>
      <c r="BY395" s="6">
        <f>IF(Grandview_Inventory[[#This Row],[pre_res]]&lt;0,0,Grandview_Inventory[[#This Row],[pre_res]]*Grandview_Inventory[[#This Row],[overall_adj]])</f>
        <v>346874.53555109445</v>
      </c>
      <c r="BZ395" s="6">
        <f>(Grandview_Inventory[[#This Row],[sum_land]]-IF(Grandview_Inventory[[#This Row],[no_utilities]]=1,12000,0))/IF(Grandview_Inventory[[#This Row],[unbuildable]]=1,2,1)</f>
        <v>59559.013262526838</v>
      </c>
      <c r="CA395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395">
        <f>ROUND(Grandview_Inventory[[#This Row],[det_value]]*Lookups!$M$28,-2)</f>
        <v>11400</v>
      </c>
      <c r="CC395">
        <f>IF(ROUND(Grandview_Inventory[[#This Row],[adj_res]]*Lookups!$M$28,-2)&lt;Grandview_Inventory[[#This Row],[min_res]],Grandview_Inventory[[#This Row],[min_res]],ROUND(Grandview_Inventory[[#This Row],[adj_res]]*Lookups!$M$28,-2))</f>
        <v>329500</v>
      </c>
      <c r="CD395">
        <f>Grandview_Inventory[[#This Row],[final_det]]+Grandview_Inventory[[#This Row],[final_res]]</f>
        <v>340900</v>
      </c>
      <c r="CE395">
        <f>Grandview_Inventory[[#This Row],[final_land]]+Grandview_Inventory[[#This Row],[final_imp]]+Grandview_Inventory[[#This Row],[crop_value]]</f>
        <v>397500</v>
      </c>
      <c r="CG395" t="str">
        <f t="shared" si="6"/>
        <v>update valuation set market_land =56600, market_bldg=340900, market_total =397500, market_mdno =401, market_date ='9/10/2023' where link_id = (select link_id from parcel where parcel_year = '2024' and parcel_id = '23091911432');</v>
      </c>
    </row>
    <row r="396" spans="1:85" x14ac:dyDescent="0.25">
      <c r="A396">
        <v>23091911433</v>
      </c>
      <c r="B396">
        <v>0.38</v>
      </c>
      <c r="C396">
        <v>16548</v>
      </c>
      <c r="D396" t="s">
        <v>129</v>
      </c>
      <c r="E396" t="s">
        <v>53</v>
      </c>
      <c r="F396" t="s">
        <v>53</v>
      </c>
      <c r="G396">
        <v>4</v>
      </c>
      <c r="H396" t="s">
        <v>54</v>
      </c>
      <c r="I396">
        <v>259700</v>
      </c>
      <c r="J396">
        <v>41100</v>
      </c>
      <c r="K396">
        <v>0.38</v>
      </c>
      <c r="L396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396">
        <v>0</v>
      </c>
      <c r="N396">
        <v>0</v>
      </c>
      <c r="O396">
        <v>0</v>
      </c>
      <c r="P396">
        <v>13398.7528</v>
      </c>
      <c r="Q396">
        <v>63903</v>
      </c>
      <c r="R396">
        <f>(Grandview_Inventory[[#This Row],[ln_acres]]*Grandview_Inventory[[#This Row],[coeff]])+Grandview_Inventory[[#This Row],[const]]</f>
        <v>50938.580818890696</v>
      </c>
      <c r="S396" t="s">
        <v>74</v>
      </c>
      <c r="T396">
        <v>1</v>
      </c>
      <c r="U396" t="s">
        <v>64</v>
      </c>
      <c r="V396" t="s">
        <v>78</v>
      </c>
      <c r="W396">
        <v>0</v>
      </c>
      <c r="X396">
        <v>0</v>
      </c>
      <c r="Y396">
        <v>43</v>
      </c>
      <c r="Z396">
        <v>45</v>
      </c>
      <c r="AA396">
        <v>50</v>
      </c>
      <c r="AB396">
        <v>2500</v>
      </c>
      <c r="AC396">
        <v>2016</v>
      </c>
      <c r="AD396">
        <v>1344</v>
      </c>
      <c r="AE396">
        <v>0</v>
      </c>
      <c r="AF396">
        <v>0</v>
      </c>
      <c r="AG396">
        <v>672</v>
      </c>
      <c r="AH396">
        <v>0</v>
      </c>
      <c r="AI396">
        <v>0</v>
      </c>
      <c r="AJ396">
        <v>672</v>
      </c>
      <c r="AK396">
        <v>0</v>
      </c>
      <c r="AL396">
        <v>624</v>
      </c>
      <c r="AM396">
        <v>112</v>
      </c>
      <c r="AN396">
        <v>0</v>
      </c>
      <c r="AO396">
        <v>0</v>
      </c>
      <c r="AP396">
        <v>10</v>
      </c>
      <c r="AQ396">
        <v>0</v>
      </c>
      <c r="AR396">
        <v>2</v>
      </c>
      <c r="AS396" t="s">
        <v>76</v>
      </c>
      <c r="AT396">
        <v>1</v>
      </c>
      <c r="AU396" t="s">
        <v>59</v>
      </c>
      <c r="AV396" t="s">
        <v>60</v>
      </c>
      <c r="AW396">
        <v>1</v>
      </c>
      <c r="AX396">
        <v>3</v>
      </c>
      <c r="AY396">
        <v>0</v>
      </c>
      <c r="AZ396">
        <v>0</v>
      </c>
      <c r="BA396">
        <v>100</v>
      </c>
      <c r="BB396">
        <v>100</v>
      </c>
      <c r="BC396">
        <v>100</v>
      </c>
      <c r="BD396">
        <v>100</v>
      </c>
      <c r="BE396">
        <v>1</v>
      </c>
      <c r="BF396">
        <v>15000</v>
      </c>
      <c r="BG396">
        <v>1000</v>
      </c>
      <c r="BH396" s="6">
        <f>Grandview_Inventory[[#This Row],[land_extract]]*Lookups!$B$3</f>
        <v>59154.836370809549</v>
      </c>
      <c r="BI396" s="6">
        <f>IF(Grandview_Inventory[[#This Row],[bldg_style]]="",0,Lookups!$B$2)</f>
        <v>155833.95000000001</v>
      </c>
      <c r="BJ396" s="6">
        <f>_xlfn.IFNA(VLOOKUP(Grandview_Inventory[[#This Row],[quality]],Lookups!$H$2:$J$14,3,FALSE),0)</f>
        <v>20768</v>
      </c>
      <c r="BK396" s="6">
        <f>_xlfn.IFNA(VLOOKUP(Grandview_Inventory[[#This Row],[condition]],Lookups!$H$17:$J$24,3,FALSE),0)</f>
        <v>-45357</v>
      </c>
      <c r="BL396" s="6">
        <f>Grandview_Inventory[[#This Row],[Eff_Age]]*Lookups!$B$14</f>
        <v>-10284.1638</v>
      </c>
      <c r="BM396" s="6">
        <f>Grandview_Inventory[[#This Row],[living_area]]*Lookups!$B$15</f>
        <v>125759.799648</v>
      </c>
      <c r="BN396" s="6">
        <f>Grandview_Inventory[[#This Row],[Fin BSMT]]*Lookups!$B$16</f>
        <v>-18210.689280000002</v>
      </c>
      <c r="BO396" s="6">
        <f>(Grandview_Inventory[[#This Row],[att_gar]]+Grandview_Inventory[[#This Row],[bltin_gar]])*Lookups!$B$17</f>
        <v>58813.733663999999</v>
      </c>
      <c r="BP396" s="6">
        <f>Grandview_Inventory[[#This Row],[Plumbing Fixtures]]*Lookups!$B$18</f>
        <v>20104.418000000001</v>
      </c>
      <c r="BQ396" s="6">
        <f>Grandview_Inventory[[#This Row],[detatched_value]]*Lookups!$B$19</f>
        <v>0</v>
      </c>
      <c r="BR396" s="6">
        <f>SUM(Grandview_Inventory[[#This Row],[Intercept]:[det_value]])*Grandview_Inventory[[#This Row],[res_pct]]</f>
        <v>307428.04823200003</v>
      </c>
      <c r="BS396" s="6">
        <f>Grandview_Inventory[[#This Row],[land_value]]</f>
        <v>59154.836370809549</v>
      </c>
      <c r="BT396" s="4">
        <f>_xlfn.IFNA(VLOOKUP(Grandview_Inventory[[#This Row],[quality]],Lookups!$A$26:$C$33,3,FALSE),1)</f>
        <v>0.94960540378902636</v>
      </c>
      <c r="BU396" s="4">
        <f>_xlfn.IFNA(VLOOKUP(Grandview_Inventory[[#This Row],[condition]],Lookups!$A$37:$C$44,3,FALSE),1)</f>
        <v>0.97161819570155394</v>
      </c>
      <c r="BV396" s="4">
        <f>IF(Grandview_Inventory[[#This Row],[bldg_style]]="",1,_xlfn.IFNA(VLOOKUP(Grandview_Inventory[[#This Row],[decade]],Lookups!$F$29:$H$43,3,FALSE),1))</f>
        <v>0.9871940091910919</v>
      </c>
      <c r="BW396" s="4">
        <f>_xlfn.IFNA(VLOOKUP(Grandview_Inventory[[#This Row],[living_area_range]],Lookups!$F$47:$H$56,3,FALSE),1)</f>
        <v>0.95799442568048754</v>
      </c>
      <c r="BX396" s="4">
        <f>AVERAGE(Grandview_Inventory[[#This Row],[qual_adj]:[size_adj]])</f>
        <v>0.96660300859053994</v>
      </c>
      <c r="BY396" s="6">
        <f>IF(Grandview_Inventory[[#This Row],[pre_res]]&lt;0,0,Grandview_Inventory[[#This Row],[pre_res]]*Grandview_Inventory[[#This Row],[overall_adj]])</f>
        <v>297160.87634616886</v>
      </c>
      <c r="BZ396" s="6">
        <f>(Grandview_Inventory[[#This Row],[sum_land]]-IF(Grandview_Inventory[[#This Row],[no_utilities]]=1,12000,0))/IF(Grandview_Inventory[[#This Row],[unbuildable]]=1,2,1)</f>
        <v>59154.836370809549</v>
      </c>
      <c r="CA396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396">
        <f>ROUND(Grandview_Inventory[[#This Row],[det_value]]*Lookups!$M$28,-2)</f>
        <v>0</v>
      </c>
      <c r="CC396">
        <f>IF(ROUND(Grandview_Inventory[[#This Row],[adj_res]]*Lookups!$M$28,-2)&lt;Grandview_Inventory[[#This Row],[min_res]],Grandview_Inventory[[#This Row],[min_res]],ROUND(Grandview_Inventory[[#This Row],[adj_res]]*Lookups!$M$28,-2))</f>
        <v>282300</v>
      </c>
      <c r="CD396">
        <f>Grandview_Inventory[[#This Row],[final_det]]+Grandview_Inventory[[#This Row],[final_res]]</f>
        <v>282300</v>
      </c>
      <c r="CE396">
        <f>Grandview_Inventory[[#This Row],[final_land]]+Grandview_Inventory[[#This Row],[final_imp]]+Grandview_Inventory[[#This Row],[crop_value]]</f>
        <v>338500</v>
      </c>
      <c r="CG396" t="str">
        <f t="shared" si="6"/>
        <v>update valuation set market_land =56200, market_bldg=282300, market_total =338500, market_mdno =401, market_date ='9/10/2023' where link_id = (select link_id from parcel where parcel_year = '2024' and parcel_id = '23091911433');</v>
      </c>
    </row>
    <row r="397" spans="1:85" x14ac:dyDescent="0.25">
      <c r="A397">
        <v>23091911434</v>
      </c>
      <c r="B397">
        <v>0.33</v>
      </c>
      <c r="C397">
        <v>14438</v>
      </c>
      <c r="D397" t="s">
        <v>129</v>
      </c>
      <c r="E397" t="s">
        <v>53</v>
      </c>
      <c r="F397" t="s">
        <v>53</v>
      </c>
      <c r="G397">
        <v>4</v>
      </c>
      <c r="H397" t="s">
        <v>54</v>
      </c>
      <c r="I397">
        <v>284400</v>
      </c>
      <c r="J397">
        <v>39700</v>
      </c>
      <c r="K397">
        <v>0.33</v>
      </c>
      <c r="L397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397">
        <v>0</v>
      </c>
      <c r="N397">
        <v>0</v>
      </c>
      <c r="O397">
        <v>0</v>
      </c>
      <c r="P397">
        <v>13398.7528</v>
      </c>
      <c r="Q397">
        <v>63903</v>
      </c>
      <c r="R397">
        <f>(Grandview_Inventory[[#This Row],[ln_acres]]*Grandview_Inventory[[#This Row],[coeff]])+Grandview_Inventory[[#This Row],[const]]</f>
        <v>49048.303555435712</v>
      </c>
      <c r="S397" t="s">
        <v>74</v>
      </c>
      <c r="T397">
        <v>1</v>
      </c>
      <c r="U397" t="s">
        <v>64</v>
      </c>
      <c r="V397" t="s">
        <v>69</v>
      </c>
      <c r="W397">
        <v>0</v>
      </c>
      <c r="X397">
        <v>0</v>
      </c>
      <c r="Y397">
        <v>43</v>
      </c>
      <c r="Z397">
        <v>45</v>
      </c>
      <c r="AA397">
        <v>50</v>
      </c>
      <c r="AB397">
        <v>2500</v>
      </c>
      <c r="AC397">
        <v>2332</v>
      </c>
      <c r="AD397">
        <v>1552</v>
      </c>
      <c r="AE397">
        <v>0</v>
      </c>
      <c r="AF397">
        <v>0</v>
      </c>
      <c r="AG397">
        <v>780</v>
      </c>
      <c r="AH397">
        <v>0</v>
      </c>
      <c r="AI397">
        <v>816</v>
      </c>
      <c r="AJ397">
        <v>0</v>
      </c>
      <c r="AK397">
        <v>0</v>
      </c>
      <c r="AL397">
        <v>504</v>
      </c>
      <c r="AM397">
        <v>0</v>
      </c>
      <c r="AN397">
        <v>0</v>
      </c>
      <c r="AO397">
        <v>0</v>
      </c>
      <c r="AP397">
        <v>8</v>
      </c>
      <c r="AQ397">
        <v>0</v>
      </c>
      <c r="AR397">
        <v>0</v>
      </c>
      <c r="AS397" t="s">
        <v>58</v>
      </c>
      <c r="AT397">
        <v>1</v>
      </c>
      <c r="AU397" t="s">
        <v>63</v>
      </c>
      <c r="AV397" t="s">
        <v>60</v>
      </c>
      <c r="AW397">
        <v>1</v>
      </c>
      <c r="AX397">
        <v>4</v>
      </c>
      <c r="AY397">
        <v>0</v>
      </c>
      <c r="AZ397">
        <v>0</v>
      </c>
      <c r="BA397">
        <v>100</v>
      </c>
      <c r="BB397">
        <v>100</v>
      </c>
      <c r="BC397">
        <v>100</v>
      </c>
      <c r="BD397">
        <v>100</v>
      </c>
      <c r="BE397">
        <v>1</v>
      </c>
      <c r="BF397">
        <v>15000</v>
      </c>
      <c r="BG397">
        <v>1000</v>
      </c>
      <c r="BH397" s="6">
        <f>Grandview_Inventory[[#This Row],[land_extract]]*Lookups!$B$3</f>
        <v>56959.662488507893</v>
      </c>
      <c r="BI397" s="6">
        <f>IF(Grandview_Inventory[[#This Row],[bldg_style]]="",0,Lookups!$B$2)</f>
        <v>155833.95000000001</v>
      </c>
      <c r="BJ397" s="6">
        <f>_xlfn.IFNA(VLOOKUP(Grandview_Inventory[[#This Row],[quality]],Lookups!$H$2:$J$14,3,FALSE),0)</f>
        <v>20768</v>
      </c>
      <c r="BK397" s="6">
        <f>_xlfn.IFNA(VLOOKUP(Grandview_Inventory[[#This Row],[condition]],Lookups!$H$17:$J$24,3,FALSE),0)</f>
        <v>-4503</v>
      </c>
      <c r="BL397" s="6">
        <f>Grandview_Inventory[[#This Row],[Eff_Age]]*Lookups!$B$14</f>
        <v>-10284.1638</v>
      </c>
      <c r="BM397" s="6">
        <f>Grandview_Inventory[[#This Row],[living_area]]*Lookups!$B$15</f>
        <v>145472.14919600001</v>
      </c>
      <c r="BN397" s="6">
        <f>Grandview_Inventory[[#This Row],[Fin BSMT]]*Lookups!$B$16</f>
        <v>-21137.407200000001</v>
      </c>
      <c r="BO397" s="6">
        <f>(Grandview_Inventory[[#This Row],[att_gar]]+Grandview_Inventory[[#This Row],[bltin_gar]])*Lookups!$B$17</f>
        <v>71416.676592000003</v>
      </c>
      <c r="BP397" s="6">
        <f>Grandview_Inventory[[#This Row],[Plumbing Fixtures]]*Lookups!$B$18</f>
        <v>16083.5344</v>
      </c>
      <c r="BQ397" s="6">
        <f>Grandview_Inventory[[#This Row],[detatched_value]]*Lookups!$B$19</f>
        <v>0</v>
      </c>
      <c r="BR397" s="6">
        <f>SUM(Grandview_Inventory[[#This Row],[Intercept]:[det_value]])*Grandview_Inventory[[#This Row],[res_pct]]</f>
        <v>373649.73918800004</v>
      </c>
      <c r="BS397" s="6">
        <f>Grandview_Inventory[[#This Row],[land_value]]</f>
        <v>56959.662488507893</v>
      </c>
      <c r="BT397" s="4">
        <f>_xlfn.IFNA(VLOOKUP(Grandview_Inventory[[#This Row],[quality]],Lookups!$A$26:$C$33,3,FALSE),1)</f>
        <v>0.94960540378902636</v>
      </c>
      <c r="BU397" s="4">
        <f>_xlfn.IFNA(VLOOKUP(Grandview_Inventory[[#This Row],[condition]],Lookups!$A$37:$C$44,3,FALSE),1)</f>
        <v>0.96469275950863709</v>
      </c>
      <c r="BV397" s="4">
        <f>IF(Grandview_Inventory[[#This Row],[bldg_style]]="",1,_xlfn.IFNA(VLOOKUP(Grandview_Inventory[[#This Row],[decade]],Lookups!$F$29:$H$43,3,FALSE),1))</f>
        <v>0.9871940091910919</v>
      </c>
      <c r="BW397" s="4">
        <f>_xlfn.IFNA(VLOOKUP(Grandview_Inventory[[#This Row],[living_area_range]],Lookups!$F$47:$H$56,3,FALSE),1)</f>
        <v>0.95799442568048754</v>
      </c>
      <c r="BX397" s="4">
        <f>AVERAGE(Grandview_Inventory[[#This Row],[qual_adj]:[size_adj]])</f>
        <v>0.96487164954231075</v>
      </c>
      <c r="BY397" s="6">
        <f>IF(Grandview_Inventory[[#This Row],[pre_res]]&lt;0,0,Grandview_Inventory[[#This Row],[pre_res]]*Grandview_Inventory[[#This Row],[overall_adj]])</f>
        <v>360524.0402013798</v>
      </c>
      <c r="BZ397" s="6">
        <f>(Grandview_Inventory[[#This Row],[sum_land]]-IF(Grandview_Inventory[[#This Row],[no_utilities]]=1,12000,0))/IF(Grandview_Inventory[[#This Row],[unbuildable]]=1,2,1)</f>
        <v>56959.662488507893</v>
      </c>
      <c r="CA397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397">
        <f>ROUND(Grandview_Inventory[[#This Row],[det_value]]*Lookups!$M$28,-2)</f>
        <v>0</v>
      </c>
      <c r="CC397">
        <f>IF(ROUND(Grandview_Inventory[[#This Row],[adj_res]]*Lookups!$M$28,-2)&lt;Grandview_Inventory[[#This Row],[min_res]],Grandview_Inventory[[#This Row],[min_res]],ROUND(Grandview_Inventory[[#This Row],[adj_res]]*Lookups!$M$28,-2))</f>
        <v>342500</v>
      </c>
      <c r="CD397">
        <f>Grandview_Inventory[[#This Row],[final_det]]+Grandview_Inventory[[#This Row],[final_res]]</f>
        <v>342500</v>
      </c>
      <c r="CE397">
        <f>Grandview_Inventory[[#This Row],[final_land]]+Grandview_Inventory[[#This Row],[final_imp]]+Grandview_Inventory[[#This Row],[crop_value]]</f>
        <v>396600</v>
      </c>
      <c r="CG397" t="str">
        <f t="shared" si="6"/>
        <v>update valuation set market_land =54100, market_bldg=342500, market_total =396600, market_mdno =401, market_date ='9/10/2023' where link_id = (select link_id from parcel where parcel_year = '2024' and parcel_id = '23091911434');</v>
      </c>
    </row>
    <row r="398" spans="1:85" x14ac:dyDescent="0.25">
      <c r="A398">
        <v>23091911435</v>
      </c>
      <c r="B398">
        <v>0.33</v>
      </c>
      <c r="C398">
        <v>14268</v>
      </c>
      <c r="D398" t="s">
        <v>129</v>
      </c>
      <c r="E398" t="s">
        <v>53</v>
      </c>
      <c r="F398" t="s">
        <v>53</v>
      </c>
      <c r="G398">
        <v>4</v>
      </c>
      <c r="H398" t="s">
        <v>54</v>
      </c>
      <c r="I398">
        <v>249800</v>
      </c>
      <c r="J398">
        <v>39500</v>
      </c>
      <c r="K398">
        <v>0.33</v>
      </c>
      <c r="L398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398">
        <v>0</v>
      </c>
      <c r="N398">
        <v>0</v>
      </c>
      <c r="O398">
        <v>0</v>
      </c>
      <c r="P398">
        <v>13398.7528</v>
      </c>
      <c r="Q398">
        <v>63903</v>
      </c>
      <c r="R398">
        <f>(Grandview_Inventory[[#This Row],[ln_acres]]*Grandview_Inventory[[#This Row],[coeff]])+Grandview_Inventory[[#This Row],[const]]</f>
        <v>49048.303555435712</v>
      </c>
      <c r="S398" t="s">
        <v>58</v>
      </c>
      <c r="T398">
        <v>1</v>
      </c>
      <c r="U398" t="s">
        <v>62</v>
      </c>
      <c r="V398" t="s">
        <v>67</v>
      </c>
      <c r="W398">
        <v>0</v>
      </c>
      <c r="X398">
        <v>0</v>
      </c>
      <c r="Y398">
        <v>26</v>
      </c>
      <c r="Z398">
        <v>26</v>
      </c>
      <c r="AA398">
        <v>30</v>
      </c>
      <c r="AB398">
        <v>2000</v>
      </c>
      <c r="AC398">
        <v>1572</v>
      </c>
      <c r="AD398">
        <v>1572</v>
      </c>
      <c r="AE398">
        <v>0</v>
      </c>
      <c r="AF398">
        <v>0</v>
      </c>
      <c r="AG398">
        <v>0</v>
      </c>
      <c r="AH398">
        <v>0</v>
      </c>
      <c r="AI398">
        <v>528</v>
      </c>
      <c r="AJ398">
        <v>0</v>
      </c>
      <c r="AK398">
        <v>0</v>
      </c>
      <c r="AL398">
        <v>340</v>
      </c>
      <c r="AM398">
        <v>0</v>
      </c>
      <c r="AN398">
        <v>24</v>
      </c>
      <c r="AO398">
        <v>0</v>
      </c>
      <c r="AP398">
        <v>8</v>
      </c>
      <c r="AQ398">
        <v>0</v>
      </c>
      <c r="AR398">
        <v>0</v>
      </c>
      <c r="AS398" t="s">
        <v>58</v>
      </c>
      <c r="AT398">
        <v>1</v>
      </c>
      <c r="AU398" t="s">
        <v>59</v>
      </c>
      <c r="AV398" t="s">
        <v>60</v>
      </c>
      <c r="AW398">
        <v>1</v>
      </c>
      <c r="AX398">
        <v>3</v>
      </c>
      <c r="AY398">
        <v>0</v>
      </c>
      <c r="AZ398">
        <v>0</v>
      </c>
      <c r="BA398">
        <v>100</v>
      </c>
      <c r="BB398">
        <v>100</v>
      </c>
      <c r="BC398">
        <v>100</v>
      </c>
      <c r="BD398">
        <v>100</v>
      </c>
      <c r="BE398">
        <v>1</v>
      </c>
      <c r="BF398">
        <v>15000</v>
      </c>
      <c r="BG398">
        <v>1000</v>
      </c>
      <c r="BH398" s="6">
        <f>Grandview_Inventory[[#This Row],[land_extract]]*Lookups!$B$3</f>
        <v>56959.662488507893</v>
      </c>
      <c r="BI398" s="6">
        <f>IF(Grandview_Inventory[[#This Row],[bldg_style]]="",0,Lookups!$B$2)</f>
        <v>155833.95000000001</v>
      </c>
      <c r="BJ398" s="6">
        <f>_xlfn.IFNA(VLOOKUP(Grandview_Inventory[[#This Row],[quality]],Lookups!$H$2:$J$14,3,FALSE),0)</f>
        <v>9808</v>
      </c>
      <c r="BK398" s="6">
        <f>_xlfn.IFNA(VLOOKUP(Grandview_Inventory[[#This Row],[condition]],Lookups!$H$17:$J$24,3,FALSE),0)</f>
        <v>22342</v>
      </c>
      <c r="BL398" s="6">
        <f>Grandview_Inventory[[#This Row],[Eff_Age]]*Lookups!$B$14</f>
        <v>-6218.3315999999995</v>
      </c>
      <c r="BM398" s="6">
        <f>Grandview_Inventory[[#This Row],[living_area]]*Lookups!$B$15</f>
        <v>98062.700916000002</v>
      </c>
      <c r="BN398" s="6">
        <f>Grandview_Inventory[[#This Row],[Fin BSMT]]*Lookups!$B$16</f>
        <v>0</v>
      </c>
      <c r="BO398" s="6">
        <f>(Grandview_Inventory[[#This Row],[att_gar]]+Grandview_Inventory[[#This Row],[bltin_gar]])*Lookups!$B$17</f>
        <v>46210.790736000003</v>
      </c>
      <c r="BP398" s="6">
        <f>Grandview_Inventory[[#This Row],[Plumbing Fixtures]]*Lookups!$B$18</f>
        <v>16083.5344</v>
      </c>
      <c r="BQ398" s="6">
        <f>Grandview_Inventory[[#This Row],[detatched_value]]*Lookups!$B$19</f>
        <v>0</v>
      </c>
      <c r="BR398" s="6">
        <f>SUM(Grandview_Inventory[[#This Row],[Intercept]:[det_value]])*Grandview_Inventory[[#This Row],[res_pct]]</f>
        <v>342122.64445199998</v>
      </c>
      <c r="BS398" s="6">
        <f>Grandview_Inventory[[#This Row],[land_value]]</f>
        <v>56959.662488507893</v>
      </c>
      <c r="BT398" s="4">
        <f>_xlfn.IFNA(VLOOKUP(Grandview_Inventory[[#This Row],[quality]],Lookups!$A$26:$C$33,3,FALSE),1)</f>
        <v>0.94295468617355149</v>
      </c>
      <c r="BU398" s="4">
        <f>_xlfn.IFNA(VLOOKUP(Grandview_Inventory[[#This Row],[condition]],Lookups!$A$37:$C$44,3,FALSE),1)</f>
        <v>0.97383723671140243</v>
      </c>
      <c r="BV398" s="4">
        <f>IF(Grandview_Inventory[[#This Row],[bldg_style]]="",1,_xlfn.IFNA(VLOOKUP(Grandview_Inventory[[#This Row],[decade]],Lookups!$F$29:$H$43,3,FALSE),1))</f>
        <v>0.98397821291089549</v>
      </c>
      <c r="BW398" s="4">
        <f>_xlfn.IFNA(VLOOKUP(Grandview_Inventory[[#This Row],[living_area_range]],Lookups!$F$47:$H$56,3,FALSE),1)</f>
        <v>0.96120133463014379</v>
      </c>
      <c r="BX398" s="4">
        <f>AVERAGE(Grandview_Inventory[[#This Row],[qual_adj]:[size_adj]])</f>
        <v>0.96549286760649822</v>
      </c>
      <c r="BY398" s="6">
        <f>IF(Grandview_Inventory[[#This Row],[pre_res]]&lt;0,0,Grandview_Inventory[[#This Row],[pre_res]]*Grandview_Inventory[[#This Row],[overall_adj]])</f>
        <v>330316.97306507989</v>
      </c>
      <c r="BZ398" s="6">
        <f>(Grandview_Inventory[[#This Row],[sum_land]]-IF(Grandview_Inventory[[#This Row],[no_utilities]]=1,12000,0))/IF(Grandview_Inventory[[#This Row],[unbuildable]]=1,2,1)</f>
        <v>56959.662488507893</v>
      </c>
      <c r="CA398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398">
        <f>ROUND(Grandview_Inventory[[#This Row],[det_value]]*Lookups!$M$28,-2)</f>
        <v>0</v>
      </c>
      <c r="CC398">
        <f>IF(ROUND(Grandview_Inventory[[#This Row],[adj_res]]*Lookups!$M$28,-2)&lt;Grandview_Inventory[[#This Row],[min_res]],Grandview_Inventory[[#This Row],[min_res]],ROUND(Grandview_Inventory[[#This Row],[adj_res]]*Lookups!$M$28,-2))</f>
        <v>313800</v>
      </c>
      <c r="CD398">
        <f>Grandview_Inventory[[#This Row],[final_det]]+Grandview_Inventory[[#This Row],[final_res]]</f>
        <v>313800</v>
      </c>
      <c r="CE398">
        <f>Grandview_Inventory[[#This Row],[final_land]]+Grandview_Inventory[[#This Row],[final_imp]]+Grandview_Inventory[[#This Row],[crop_value]]</f>
        <v>367900</v>
      </c>
      <c r="CG398" t="str">
        <f t="shared" si="6"/>
        <v>update valuation set market_land =54100, market_bldg=313800, market_total =367900, market_mdno =401, market_date ='9/10/2023' where link_id = (select link_id from parcel where parcel_year = '2024' and parcel_id = '23091911435');</v>
      </c>
    </row>
    <row r="399" spans="1:85" x14ac:dyDescent="0.25">
      <c r="A399">
        <v>23091911436</v>
      </c>
      <c r="B399">
        <v>0.32</v>
      </c>
      <c r="C399">
        <v>14152</v>
      </c>
      <c r="D399" t="s">
        <v>129</v>
      </c>
      <c r="E399" t="s">
        <v>53</v>
      </c>
      <c r="F399" t="s">
        <v>53</v>
      </c>
      <c r="G399">
        <v>4</v>
      </c>
      <c r="H399" t="s">
        <v>54</v>
      </c>
      <c r="I399">
        <v>264800</v>
      </c>
      <c r="J399">
        <v>39500</v>
      </c>
      <c r="K399">
        <v>0.32</v>
      </c>
      <c r="L399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399">
        <v>0</v>
      </c>
      <c r="N399">
        <v>0</v>
      </c>
      <c r="O399">
        <v>0</v>
      </c>
      <c r="P399">
        <v>13398.7528</v>
      </c>
      <c r="Q399">
        <v>63903</v>
      </c>
      <c r="R399">
        <f>(Grandview_Inventory[[#This Row],[ln_acres]]*Grandview_Inventory[[#This Row],[coeff]])+Grandview_Inventory[[#This Row],[const]]</f>
        <v>48636.001707713905</v>
      </c>
      <c r="S399" t="s">
        <v>58</v>
      </c>
      <c r="T399">
        <v>1</v>
      </c>
      <c r="U399" t="s">
        <v>62</v>
      </c>
      <c r="V399" t="s">
        <v>67</v>
      </c>
      <c r="W399">
        <v>0</v>
      </c>
      <c r="X399">
        <v>0</v>
      </c>
      <c r="Y399">
        <v>26</v>
      </c>
      <c r="Z399">
        <v>26</v>
      </c>
      <c r="AA399">
        <v>30</v>
      </c>
      <c r="AB399">
        <v>2000</v>
      </c>
      <c r="AC399">
        <v>1700</v>
      </c>
      <c r="AD399">
        <v>1700</v>
      </c>
      <c r="AE399">
        <v>0</v>
      </c>
      <c r="AF399">
        <v>0</v>
      </c>
      <c r="AG399">
        <v>0</v>
      </c>
      <c r="AH399">
        <v>0</v>
      </c>
      <c r="AI399">
        <v>552</v>
      </c>
      <c r="AJ399">
        <v>0</v>
      </c>
      <c r="AK399">
        <v>0</v>
      </c>
      <c r="AL399">
        <v>91</v>
      </c>
      <c r="AM399">
        <v>0</v>
      </c>
      <c r="AN399">
        <v>126</v>
      </c>
      <c r="AO399">
        <v>0</v>
      </c>
      <c r="AP399">
        <v>9</v>
      </c>
      <c r="AQ399">
        <v>0</v>
      </c>
      <c r="AR399">
        <v>0</v>
      </c>
      <c r="AS399" t="s">
        <v>58</v>
      </c>
      <c r="AT399">
        <v>1</v>
      </c>
      <c r="AU399" t="s">
        <v>63</v>
      </c>
      <c r="AV399" t="s">
        <v>60</v>
      </c>
      <c r="AW399">
        <v>1</v>
      </c>
      <c r="AX399">
        <v>3</v>
      </c>
      <c r="AY399">
        <v>0</v>
      </c>
      <c r="AZ399">
        <v>0</v>
      </c>
      <c r="BA399">
        <v>100</v>
      </c>
      <c r="BB399">
        <v>100</v>
      </c>
      <c r="BC399">
        <v>100</v>
      </c>
      <c r="BD399">
        <v>100</v>
      </c>
      <c r="BE399">
        <v>1</v>
      </c>
      <c r="BF399">
        <v>15000</v>
      </c>
      <c r="BG399">
        <v>1000</v>
      </c>
      <c r="BH399" s="6">
        <f>Grandview_Inventory[[#This Row],[land_extract]]*Lookups!$B$3</f>
        <v>56480.857465963549</v>
      </c>
      <c r="BI399" s="6">
        <f>IF(Grandview_Inventory[[#This Row],[bldg_style]]="",0,Lookups!$B$2)</f>
        <v>155833.95000000001</v>
      </c>
      <c r="BJ399" s="6">
        <f>_xlfn.IFNA(VLOOKUP(Grandview_Inventory[[#This Row],[quality]],Lookups!$H$2:$J$14,3,FALSE),0)</f>
        <v>9808</v>
      </c>
      <c r="BK399" s="6">
        <f>_xlfn.IFNA(VLOOKUP(Grandview_Inventory[[#This Row],[condition]],Lookups!$H$17:$J$24,3,FALSE),0)</f>
        <v>22342</v>
      </c>
      <c r="BL399" s="6">
        <f>Grandview_Inventory[[#This Row],[Eff_Age]]*Lookups!$B$14</f>
        <v>-6218.3315999999995</v>
      </c>
      <c r="BM399" s="6">
        <f>Grandview_Inventory[[#This Row],[living_area]]*Lookups!$B$15</f>
        <v>106047.4501</v>
      </c>
      <c r="BN399" s="6">
        <f>Grandview_Inventory[[#This Row],[Fin BSMT]]*Lookups!$B$16</f>
        <v>0</v>
      </c>
      <c r="BO399" s="6">
        <f>(Grandview_Inventory[[#This Row],[att_gar]]+Grandview_Inventory[[#This Row],[bltin_gar]])*Lookups!$B$17</f>
        <v>48311.281223999998</v>
      </c>
      <c r="BP399" s="6">
        <f>Grandview_Inventory[[#This Row],[Plumbing Fixtures]]*Lookups!$B$18</f>
        <v>18093.976200000001</v>
      </c>
      <c r="BQ399" s="6">
        <f>Grandview_Inventory[[#This Row],[detatched_value]]*Lookups!$B$19</f>
        <v>0</v>
      </c>
      <c r="BR399" s="6">
        <f>SUM(Grandview_Inventory[[#This Row],[Intercept]:[det_value]])*Grandview_Inventory[[#This Row],[res_pct]]</f>
        <v>354218.32592399995</v>
      </c>
      <c r="BS399" s="6">
        <f>Grandview_Inventory[[#This Row],[land_value]]</f>
        <v>56480.857465963549</v>
      </c>
      <c r="BT399" s="4">
        <f>_xlfn.IFNA(VLOOKUP(Grandview_Inventory[[#This Row],[quality]],Lookups!$A$26:$C$33,3,FALSE),1)</f>
        <v>0.94295468617355149</v>
      </c>
      <c r="BU399" s="4">
        <f>_xlfn.IFNA(VLOOKUP(Grandview_Inventory[[#This Row],[condition]],Lookups!$A$37:$C$44,3,FALSE),1)</f>
        <v>0.97383723671140243</v>
      </c>
      <c r="BV399" s="4">
        <f>IF(Grandview_Inventory[[#This Row],[bldg_style]]="",1,_xlfn.IFNA(VLOOKUP(Grandview_Inventory[[#This Row],[decade]],Lookups!$F$29:$H$43,3,FALSE),1))</f>
        <v>0.98397821291089549</v>
      </c>
      <c r="BW399" s="4">
        <f>_xlfn.IFNA(VLOOKUP(Grandview_Inventory[[#This Row],[living_area_range]],Lookups!$F$47:$H$56,3,FALSE),1)</f>
        <v>0.96120133463014379</v>
      </c>
      <c r="BX399" s="4">
        <f>AVERAGE(Grandview_Inventory[[#This Row],[qual_adj]:[size_adj]])</f>
        <v>0.96549286760649822</v>
      </c>
      <c r="BY399" s="6">
        <f>IF(Grandview_Inventory[[#This Row],[pre_res]]&lt;0,0,Grandview_Inventory[[#This Row],[pre_res]]*Grandview_Inventory[[#This Row],[overall_adj]])</f>
        <v>341995.26725513593</v>
      </c>
      <c r="BZ399" s="6">
        <f>(Grandview_Inventory[[#This Row],[sum_land]]-IF(Grandview_Inventory[[#This Row],[no_utilities]]=1,12000,0))/IF(Grandview_Inventory[[#This Row],[unbuildable]]=1,2,1)</f>
        <v>56480.857465963549</v>
      </c>
      <c r="CA399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399">
        <f>ROUND(Grandview_Inventory[[#This Row],[det_value]]*Lookups!$M$28,-2)</f>
        <v>0</v>
      </c>
      <c r="CC399">
        <f>IF(ROUND(Grandview_Inventory[[#This Row],[adj_res]]*Lookups!$M$28,-2)&lt;Grandview_Inventory[[#This Row],[min_res]],Grandview_Inventory[[#This Row],[min_res]],ROUND(Grandview_Inventory[[#This Row],[adj_res]]*Lookups!$M$28,-2))</f>
        <v>324900</v>
      </c>
      <c r="CD399">
        <f>Grandview_Inventory[[#This Row],[final_det]]+Grandview_Inventory[[#This Row],[final_res]]</f>
        <v>324900</v>
      </c>
      <c r="CE399">
        <f>Grandview_Inventory[[#This Row],[final_land]]+Grandview_Inventory[[#This Row],[final_imp]]+Grandview_Inventory[[#This Row],[crop_value]]</f>
        <v>378600</v>
      </c>
      <c r="CG399" t="str">
        <f t="shared" si="6"/>
        <v>update valuation set market_land =53700, market_bldg=324900, market_total =378600, market_mdno =401, market_date ='9/10/2023' where link_id = (select link_id from parcel where parcel_year = '2024' and parcel_id = '23091911436');</v>
      </c>
    </row>
    <row r="400" spans="1:85" x14ac:dyDescent="0.25">
      <c r="A400">
        <v>23091911437</v>
      </c>
      <c r="B400">
        <v>0.95</v>
      </c>
      <c r="C400">
        <v>41273</v>
      </c>
      <c r="D400" t="s">
        <v>129</v>
      </c>
      <c r="E400" t="s">
        <v>53</v>
      </c>
      <c r="F400" t="s">
        <v>53</v>
      </c>
      <c r="G400">
        <v>4</v>
      </c>
      <c r="H400" t="s">
        <v>54</v>
      </c>
      <c r="I400">
        <v>358000</v>
      </c>
      <c r="J400">
        <v>50100</v>
      </c>
      <c r="K400">
        <v>0.95</v>
      </c>
      <c r="L400">
        <f>IF(Grandview_Inventory[[#This Row],[parcel_acres]]-Grandview_Inventory[[#This Row],[non_valued_acres]] =0,0,LN(Grandview_Inventory[[#This Row],[parcel_acres]]-Grandview_Inventory[[#This Row],[non_valued_acres]]))</f>
        <v>-5.1293294387550578E-2</v>
      </c>
      <c r="M400">
        <v>0</v>
      </c>
      <c r="N400">
        <v>0</v>
      </c>
      <c r="O400">
        <v>0</v>
      </c>
      <c r="P400">
        <v>13398.7528</v>
      </c>
      <c r="Q400">
        <v>63903</v>
      </c>
      <c r="R400">
        <f>(Grandview_Inventory[[#This Row],[ln_acres]]*Grandview_Inventory[[#This Row],[coeff]])+Grandview_Inventory[[#This Row],[const]]</f>
        <v>63215.733828203585</v>
      </c>
      <c r="S400" t="s">
        <v>74</v>
      </c>
      <c r="T400">
        <v>1</v>
      </c>
      <c r="U400" t="s">
        <v>64</v>
      </c>
      <c r="V400" t="s">
        <v>67</v>
      </c>
      <c r="W400">
        <v>0</v>
      </c>
      <c r="X400">
        <v>0</v>
      </c>
      <c r="Y400">
        <v>43</v>
      </c>
      <c r="Z400">
        <v>45</v>
      </c>
      <c r="AA400">
        <v>50</v>
      </c>
      <c r="AB400">
        <v>2500</v>
      </c>
      <c r="AC400">
        <v>2421</v>
      </c>
      <c r="AD400">
        <v>1638</v>
      </c>
      <c r="AE400">
        <v>0</v>
      </c>
      <c r="AF400">
        <v>0</v>
      </c>
      <c r="AG400">
        <v>783</v>
      </c>
      <c r="AH400">
        <v>0</v>
      </c>
      <c r="AI400">
        <v>0</v>
      </c>
      <c r="AJ400">
        <v>517</v>
      </c>
      <c r="AK400">
        <v>0</v>
      </c>
      <c r="AL400">
        <v>248</v>
      </c>
      <c r="AM400">
        <v>377</v>
      </c>
      <c r="AN400">
        <v>0</v>
      </c>
      <c r="AO400">
        <v>0</v>
      </c>
      <c r="AP400">
        <v>9</v>
      </c>
      <c r="AQ400">
        <v>0</v>
      </c>
      <c r="AR400">
        <v>0</v>
      </c>
      <c r="AS400" t="s">
        <v>58</v>
      </c>
      <c r="AT400">
        <v>1</v>
      </c>
      <c r="AU400" t="s">
        <v>59</v>
      </c>
      <c r="AV400" t="s">
        <v>60</v>
      </c>
      <c r="AW400">
        <v>1</v>
      </c>
      <c r="AX400">
        <v>3</v>
      </c>
      <c r="AY400">
        <v>0</v>
      </c>
      <c r="AZ400">
        <v>44200</v>
      </c>
      <c r="BA400">
        <v>100</v>
      </c>
      <c r="BB400">
        <v>100</v>
      </c>
      <c r="BC400">
        <v>100</v>
      </c>
      <c r="BD400">
        <v>100</v>
      </c>
      <c r="BE400">
        <v>1</v>
      </c>
      <c r="BF400">
        <v>15000</v>
      </c>
      <c r="BG400">
        <v>1000</v>
      </c>
      <c r="BH400" s="6">
        <f>Grandview_Inventory[[#This Row],[land_extract]]*Lookups!$B$3</f>
        <v>73412.261012211486</v>
      </c>
      <c r="BI400" s="6">
        <f>IF(Grandview_Inventory[[#This Row],[bldg_style]]="",0,Lookups!$B$2)</f>
        <v>155833.95000000001</v>
      </c>
      <c r="BJ400" s="6">
        <f>_xlfn.IFNA(VLOOKUP(Grandview_Inventory[[#This Row],[quality]],Lookups!$H$2:$J$14,3,FALSE),0)</f>
        <v>20768</v>
      </c>
      <c r="BK400" s="6">
        <f>_xlfn.IFNA(VLOOKUP(Grandview_Inventory[[#This Row],[condition]],Lookups!$H$17:$J$24,3,FALSE),0)</f>
        <v>22342</v>
      </c>
      <c r="BL400" s="6">
        <f>Grandview_Inventory[[#This Row],[Eff_Age]]*Lookups!$B$14</f>
        <v>-10284.1638</v>
      </c>
      <c r="BM400" s="6">
        <f>Grandview_Inventory[[#This Row],[living_area]]*Lookups!$B$15</f>
        <v>151024.045113</v>
      </c>
      <c r="BN400" s="6">
        <f>Grandview_Inventory[[#This Row],[Fin BSMT]]*Lookups!$B$16</f>
        <v>-21218.70492</v>
      </c>
      <c r="BO400" s="6">
        <f>(Grandview_Inventory[[#This Row],[att_gar]]+Grandview_Inventory[[#This Row],[bltin_gar]])*Lookups!$B$17</f>
        <v>45248.065929000004</v>
      </c>
      <c r="BP400" s="6">
        <f>Grandview_Inventory[[#This Row],[Plumbing Fixtures]]*Lookups!$B$18</f>
        <v>18093.976200000001</v>
      </c>
      <c r="BQ400" s="6">
        <f>Grandview_Inventory[[#This Row],[detatched_value]]*Lookups!$B$19</f>
        <v>37428.78542</v>
      </c>
      <c r="BR400" s="6">
        <f>SUM(Grandview_Inventory[[#This Row],[Intercept]:[det_value]])*Grandview_Inventory[[#This Row],[res_pct]]</f>
        <v>419235.95394200005</v>
      </c>
      <c r="BS400" s="6">
        <f>Grandview_Inventory[[#This Row],[land_value]]</f>
        <v>73412.261012211486</v>
      </c>
      <c r="BT400" s="4">
        <f>_xlfn.IFNA(VLOOKUP(Grandview_Inventory[[#This Row],[quality]],Lookups!$A$26:$C$33,3,FALSE),1)</f>
        <v>0.94960540378902636</v>
      </c>
      <c r="BU400" s="4">
        <f>_xlfn.IFNA(VLOOKUP(Grandview_Inventory[[#This Row],[condition]],Lookups!$A$37:$C$44,3,FALSE),1)</f>
        <v>0.97383723671140243</v>
      </c>
      <c r="BV400" s="4">
        <f>IF(Grandview_Inventory[[#This Row],[bldg_style]]="",1,_xlfn.IFNA(VLOOKUP(Grandview_Inventory[[#This Row],[decade]],Lookups!$F$29:$H$43,3,FALSE),1))</f>
        <v>0.9871940091910919</v>
      </c>
      <c r="BW400" s="4">
        <f>_xlfn.IFNA(VLOOKUP(Grandview_Inventory[[#This Row],[living_area_range]],Lookups!$F$47:$H$56,3,FALSE),1)</f>
        <v>0.95799442568048754</v>
      </c>
      <c r="BX400" s="4">
        <f>AVERAGE(Grandview_Inventory[[#This Row],[qual_adj]:[size_adj]])</f>
        <v>0.96715776884300209</v>
      </c>
      <c r="BY400" s="6">
        <f>IF(Grandview_Inventory[[#This Row],[pre_res]]&lt;0,0,Grandview_Inventory[[#This Row],[pre_res]]*Grandview_Inventory[[#This Row],[overall_adj]])</f>
        <v>405467.30983331235</v>
      </c>
      <c r="BZ400" s="6">
        <f>(Grandview_Inventory[[#This Row],[sum_land]]-IF(Grandview_Inventory[[#This Row],[no_utilities]]=1,12000,0))/IF(Grandview_Inventory[[#This Row],[unbuildable]]=1,2,1)</f>
        <v>73412.261012211486</v>
      </c>
      <c r="CA400">
        <f>IF(ROUND(Grandview_Inventory[[#This Row],[adj_land]]*Lookups!$M$28,-2)&lt;Grandview_Inventory[[#This Row],[min_land]],Grandview_Inventory[[#This Row],[min_land]],ROUND(Grandview_Inventory[[#This Row],[adj_land]]*Lookups!$M$28,-2))</f>
        <v>69700</v>
      </c>
      <c r="CB400">
        <f>ROUND(Grandview_Inventory[[#This Row],[det_value]]*Lookups!$M$28,-2)</f>
        <v>35600</v>
      </c>
      <c r="CC400">
        <f>IF(ROUND(Grandview_Inventory[[#This Row],[adj_res]]*Lookups!$M$28,-2)&lt;Grandview_Inventory[[#This Row],[min_res]],Grandview_Inventory[[#This Row],[min_res]],ROUND(Grandview_Inventory[[#This Row],[adj_res]]*Lookups!$M$28,-2))</f>
        <v>385200</v>
      </c>
      <c r="CD400">
        <f>Grandview_Inventory[[#This Row],[final_det]]+Grandview_Inventory[[#This Row],[final_res]]</f>
        <v>420800</v>
      </c>
      <c r="CE400">
        <f>Grandview_Inventory[[#This Row],[final_land]]+Grandview_Inventory[[#This Row],[final_imp]]+Grandview_Inventory[[#This Row],[crop_value]]</f>
        <v>490500</v>
      </c>
      <c r="CG400" t="str">
        <f t="shared" si="6"/>
        <v>update valuation set market_land =69700, market_bldg=420800, market_total =490500, market_mdno =401, market_date ='9/10/2023' where link_id = (select link_id from parcel where parcel_year = '2024' and parcel_id = '23091911437');</v>
      </c>
    </row>
    <row r="401" spans="1:85" x14ac:dyDescent="0.25">
      <c r="A401">
        <v>23091911438</v>
      </c>
      <c r="B401">
        <v>0.86</v>
      </c>
      <c r="C401">
        <v>37648</v>
      </c>
      <c r="D401" t="s">
        <v>129</v>
      </c>
      <c r="E401" t="s">
        <v>53</v>
      </c>
      <c r="F401" t="s">
        <v>53</v>
      </c>
      <c r="G401">
        <v>4</v>
      </c>
      <c r="H401" t="s">
        <v>54</v>
      </c>
      <c r="I401">
        <v>398700</v>
      </c>
      <c r="J401">
        <v>49100</v>
      </c>
      <c r="K401">
        <v>0.86</v>
      </c>
      <c r="L401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401">
        <v>0</v>
      </c>
      <c r="N401">
        <v>0</v>
      </c>
      <c r="O401">
        <v>0</v>
      </c>
      <c r="P401">
        <v>13398.7528</v>
      </c>
      <c r="Q401">
        <v>63903</v>
      </c>
      <c r="R401">
        <f>(Grandview_Inventory[[#This Row],[ln_acres]]*Grandview_Inventory[[#This Row],[coeff]])+Grandview_Inventory[[#This Row],[const]]</f>
        <v>61882.161383864659</v>
      </c>
      <c r="S401" t="s">
        <v>58</v>
      </c>
      <c r="T401">
        <v>2</v>
      </c>
      <c r="U401" t="s">
        <v>64</v>
      </c>
      <c r="V401" t="s">
        <v>67</v>
      </c>
      <c r="W401">
        <v>0</v>
      </c>
      <c r="X401">
        <v>0</v>
      </c>
      <c r="Y401">
        <v>43</v>
      </c>
      <c r="Z401">
        <v>44</v>
      </c>
      <c r="AA401">
        <v>50</v>
      </c>
      <c r="AB401">
        <v>2500</v>
      </c>
      <c r="AC401">
        <v>2269</v>
      </c>
      <c r="AD401">
        <v>1503</v>
      </c>
      <c r="AE401">
        <v>766</v>
      </c>
      <c r="AF401">
        <v>0</v>
      </c>
      <c r="AG401">
        <v>0</v>
      </c>
      <c r="AH401">
        <v>0</v>
      </c>
      <c r="AI401">
        <v>1810</v>
      </c>
      <c r="AJ401">
        <v>0</v>
      </c>
      <c r="AK401">
        <v>0</v>
      </c>
      <c r="AL401">
        <v>72</v>
      </c>
      <c r="AM401">
        <v>528</v>
      </c>
      <c r="AN401">
        <v>0</v>
      </c>
      <c r="AO401">
        <v>168</v>
      </c>
      <c r="AP401">
        <v>10</v>
      </c>
      <c r="AQ401">
        <v>0</v>
      </c>
      <c r="AR401">
        <v>0</v>
      </c>
      <c r="AS401" t="s">
        <v>58</v>
      </c>
      <c r="AT401">
        <v>1</v>
      </c>
      <c r="AU401" t="s">
        <v>59</v>
      </c>
      <c r="AV401" t="s">
        <v>60</v>
      </c>
      <c r="AW401">
        <v>1</v>
      </c>
      <c r="AX401">
        <v>3</v>
      </c>
      <c r="AY401">
        <v>0</v>
      </c>
      <c r="AZ401">
        <v>18100</v>
      </c>
      <c r="BA401">
        <v>100</v>
      </c>
      <c r="BB401">
        <v>100</v>
      </c>
      <c r="BC401">
        <v>100</v>
      </c>
      <c r="BD401">
        <v>100</v>
      </c>
      <c r="BE401">
        <v>1</v>
      </c>
      <c r="BF401">
        <v>15000</v>
      </c>
      <c r="BG401">
        <v>1000</v>
      </c>
      <c r="BH401" s="6">
        <f>Grandview_Inventory[[#This Row],[land_extract]]*Lookups!$B$3</f>
        <v>71863.58693324629</v>
      </c>
      <c r="BI401" s="6">
        <f>IF(Grandview_Inventory[[#This Row],[bldg_style]]="",0,Lookups!$B$2)</f>
        <v>155833.95000000001</v>
      </c>
      <c r="BJ401" s="6">
        <f>_xlfn.IFNA(VLOOKUP(Grandview_Inventory[[#This Row],[quality]],Lookups!$H$2:$J$14,3,FALSE),0)</f>
        <v>20768</v>
      </c>
      <c r="BK401" s="6">
        <f>_xlfn.IFNA(VLOOKUP(Grandview_Inventory[[#This Row],[condition]],Lookups!$H$17:$J$24,3,FALSE),0)</f>
        <v>22342</v>
      </c>
      <c r="BL401" s="6">
        <f>Grandview_Inventory[[#This Row],[Eff_Age]]*Lookups!$B$14</f>
        <v>-10284.1638</v>
      </c>
      <c r="BM401" s="6">
        <f>Grandview_Inventory[[#This Row],[living_area]]*Lookups!$B$15</f>
        <v>141542.15545700002</v>
      </c>
      <c r="BN401" s="6">
        <f>Grandview_Inventory[[#This Row],[Fin BSMT]]*Lookups!$B$16</f>
        <v>0</v>
      </c>
      <c r="BO401" s="6">
        <f>(Grandview_Inventory[[#This Row],[att_gar]]+Grandview_Inventory[[#This Row],[bltin_gar]])*Lookups!$B$17</f>
        <v>158411.99097000001</v>
      </c>
      <c r="BP401" s="6">
        <f>Grandview_Inventory[[#This Row],[Plumbing Fixtures]]*Lookups!$B$18</f>
        <v>20104.418000000001</v>
      </c>
      <c r="BQ401" s="6">
        <f>Grandview_Inventory[[#This Row],[detatched_value]]*Lookups!$B$19</f>
        <v>15327.17231</v>
      </c>
      <c r="BR401" s="6">
        <f>SUM(Grandview_Inventory[[#This Row],[Intercept]:[det_value]])*Grandview_Inventory[[#This Row],[res_pct]]</f>
        <v>524045.52293700003</v>
      </c>
      <c r="BS401" s="6">
        <f>Grandview_Inventory[[#This Row],[land_value]]</f>
        <v>71863.58693324629</v>
      </c>
      <c r="BT401" s="4">
        <f>_xlfn.IFNA(VLOOKUP(Grandview_Inventory[[#This Row],[quality]],Lookups!$A$26:$C$33,3,FALSE),1)</f>
        <v>0.94960540378902636</v>
      </c>
      <c r="BU401" s="4">
        <f>_xlfn.IFNA(VLOOKUP(Grandview_Inventory[[#This Row],[condition]],Lookups!$A$37:$C$44,3,FALSE),1)</f>
        <v>0.97383723671140243</v>
      </c>
      <c r="BV401" s="4">
        <f>IF(Grandview_Inventory[[#This Row],[bldg_style]]="",1,_xlfn.IFNA(VLOOKUP(Grandview_Inventory[[#This Row],[decade]],Lookups!$F$29:$H$43,3,FALSE),1))</f>
        <v>0.9871940091910919</v>
      </c>
      <c r="BW401" s="4">
        <f>_xlfn.IFNA(VLOOKUP(Grandview_Inventory[[#This Row],[living_area_range]],Lookups!$F$47:$H$56,3,FALSE),1)</f>
        <v>0.95799442568048754</v>
      </c>
      <c r="BX401" s="4">
        <f>AVERAGE(Grandview_Inventory[[#This Row],[qual_adj]:[size_adj]])</f>
        <v>0.96715776884300209</v>
      </c>
      <c r="BY401" s="6">
        <f>IF(Grandview_Inventory[[#This Row],[pre_res]]&lt;0,0,Grandview_Inventory[[#This Row],[pre_res]]*Grandview_Inventory[[#This Row],[overall_adj]])</f>
        <v>506834.6987359132</v>
      </c>
      <c r="BZ401" s="6">
        <f>(Grandview_Inventory[[#This Row],[sum_land]]-IF(Grandview_Inventory[[#This Row],[no_utilities]]=1,12000,0))/IF(Grandview_Inventory[[#This Row],[unbuildable]]=1,2,1)</f>
        <v>71863.58693324629</v>
      </c>
      <c r="CA401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401">
        <f>ROUND(Grandview_Inventory[[#This Row],[det_value]]*Lookups!$M$28,-2)</f>
        <v>14600</v>
      </c>
      <c r="CC401">
        <f>IF(ROUND(Grandview_Inventory[[#This Row],[adj_res]]*Lookups!$M$28,-2)&lt;Grandview_Inventory[[#This Row],[min_res]],Grandview_Inventory[[#This Row],[min_res]],ROUND(Grandview_Inventory[[#This Row],[adj_res]]*Lookups!$M$28,-2))</f>
        <v>481500</v>
      </c>
      <c r="CD401">
        <f>Grandview_Inventory[[#This Row],[final_det]]+Grandview_Inventory[[#This Row],[final_res]]</f>
        <v>496100</v>
      </c>
      <c r="CE401">
        <f>Grandview_Inventory[[#This Row],[final_land]]+Grandview_Inventory[[#This Row],[final_imp]]+Grandview_Inventory[[#This Row],[crop_value]]</f>
        <v>564400</v>
      </c>
      <c r="CG401" t="str">
        <f t="shared" si="6"/>
        <v>update valuation set market_land =68300, market_bldg=496100, market_total =564400, market_mdno =401, market_date ='9/10/2023' where link_id = (select link_id from parcel where parcel_year = '2024' and parcel_id = '23091911438');</v>
      </c>
    </row>
    <row r="402" spans="1:85" x14ac:dyDescent="0.25">
      <c r="A402">
        <v>23091911439</v>
      </c>
      <c r="B402">
        <v>0.86</v>
      </c>
      <c r="C402">
        <v>37473</v>
      </c>
      <c r="D402" t="s">
        <v>129</v>
      </c>
      <c r="E402" t="s">
        <v>53</v>
      </c>
      <c r="F402" t="s">
        <v>53</v>
      </c>
      <c r="G402">
        <v>4</v>
      </c>
      <c r="H402" t="s">
        <v>54</v>
      </c>
      <c r="I402">
        <v>386500</v>
      </c>
      <c r="J402">
        <v>49100</v>
      </c>
      <c r="K402">
        <v>0.86</v>
      </c>
      <c r="L402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402">
        <v>0</v>
      </c>
      <c r="N402">
        <v>0</v>
      </c>
      <c r="O402">
        <v>0</v>
      </c>
      <c r="P402">
        <v>13398.7528</v>
      </c>
      <c r="Q402">
        <v>63903</v>
      </c>
      <c r="R402">
        <f>(Grandview_Inventory[[#This Row],[ln_acres]]*Grandview_Inventory[[#This Row],[coeff]])+Grandview_Inventory[[#This Row],[const]]</f>
        <v>61882.161383864659</v>
      </c>
      <c r="S402" t="s">
        <v>58</v>
      </c>
      <c r="T402">
        <v>1</v>
      </c>
      <c r="U402" t="s">
        <v>72</v>
      </c>
      <c r="V402" t="s">
        <v>66</v>
      </c>
      <c r="W402">
        <v>78400</v>
      </c>
      <c r="X402">
        <v>0</v>
      </c>
      <c r="Y402">
        <v>24</v>
      </c>
      <c r="Z402">
        <v>24</v>
      </c>
      <c r="AA402">
        <v>30</v>
      </c>
      <c r="AB402">
        <v>3000</v>
      </c>
      <c r="AC402">
        <v>2686</v>
      </c>
      <c r="AD402">
        <v>2686</v>
      </c>
      <c r="AE402">
        <v>0</v>
      </c>
      <c r="AF402">
        <v>0</v>
      </c>
      <c r="AG402">
        <v>0</v>
      </c>
      <c r="AH402">
        <v>0</v>
      </c>
      <c r="AI402">
        <v>1118</v>
      </c>
      <c r="AJ402">
        <v>0</v>
      </c>
      <c r="AK402">
        <v>0</v>
      </c>
      <c r="AL402">
        <v>0</v>
      </c>
      <c r="AM402">
        <v>500</v>
      </c>
      <c r="AN402">
        <v>240</v>
      </c>
      <c r="AO402">
        <v>0</v>
      </c>
      <c r="AP402">
        <v>12</v>
      </c>
      <c r="AQ402">
        <v>0</v>
      </c>
      <c r="AR402">
        <v>2</v>
      </c>
      <c r="AS402" t="s">
        <v>73</v>
      </c>
      <c r="AT402">
        <v>1</v>
      </c>
      <c r="AU402" t="s">
        <v>63</v>
      </c>
      <c r="AV402" t="s">
        <v>60</v>
      </c>
      <c r="AW402">
        <v>1</v>
      </c>
      <c r="AX402">
        <v>3</v>
      </c>
      <c r="AY402">
        <v>0</v>
      </c>
      <c r="AZ402">
        <v>0</v>
      </c>
      <c r="BA402">
        <v>100</v>
      </c>
      <c r="BB402">
        <v>100</v>
      </c>
      <c r="BC402">
        <v>100</v>
      </c>
      <c r="BD402">
        <v>100</v>
      </c>
      <c r="BE402">
        <v>1</v>
      </c>
      <c r="BF402">
        <v>15000</v>
      </c>
      <c r="BG402">
        <v>1000</v>
      </c>
      <c r="BH402" s="6">
        <f>Grandview_Inventory[[#This Row],[land_extract]]*Lookups!$B$3</f>
        <v>71863.58693324629</v>
      </c>
      <c r="BI402" s="6">
        <f>IF(Grandview_Inventory[[#This Row],[bldg_style]]="",0,Lookups!$B$2)</f>
        <v>155833.95000000001</v>
      </c>
      <c r="BJ402" s="6">
        <f>_xlfn.IFNA(VLOOKUP(Grandview_Inventory[[#This Row],[quality]],Lookups!$H$2:$J$14,3,FALSE),0)</f>
        <v>78466</v>
      </c>
      <c r="BK402" s="6">
        <f>_xlfn.IFNA(VLOOKUP(Grandview_Inventory[[#This Row],[condition]],Lookups!$H$17:$J$24,3,FALSE),0)</f>
        <v>25818</v>
      </c>
      <c r="BL402" s="6">
        <f>Grandview_Inventory[[#This Row],[Eff_Age]]*Lookups!$B$14</f>
        <v>-5739.9983999999995</v>
      </c>
      <c r="BM402" s="6">
        <f>Grandview_Inventory[[#This Row],[living_area]]*Lookups!$B$15</f>
        <v>167554.971158</v>
      </c>
      <c r="BN402" s="6">
        <f>Grandview_Inventory[[#This Row],[Fin BSMT]]*Lookups!$B$16</f>
        <v>0</v>
      </c>
      <c r="BO402" s="6">
        <f>(Grandview_Inventory[[#This Row],[att_gar]]+Grandview_Inventory[[#This Row],[bltin_gar]])*Lookups!$B$17</f>
        <v>97847.848566000001</v>
      </c>
      <c r="BP402" s="6">
        <f>Grandview_Inventory[[#This Row],[Plumbing Fixtures]]*Lookups!$B$18</f>
        <v>24125.301599999999</v>
      </c>
      <c r="BQ402" s="6">
        <f>Grandview_Inventory[[#This Row],[detatched_value]]*Lookups!$B$19</f>
        <v>0</v>
      </c>
      <c r="BR402" s="6">
        <f>SUM(Grandview_Inventory[[#This Row],[Intercept]:[det_value]])*Grandview_Inventory[[#This Row],[res_pct]]</f>
        <v>543906.07292399998</v>
      </c>
      <c r="BS402" s="6">
        <f>Grandview_Inventory[[#This Row],[land_value]]</f>
        <v>71863.58693324629</v>
      </c>
      <c r="BT402" s="4">
        <f>_xlfn.IFNA(VLOOKUP(Grandview_Inventory[[#This Row],[quality]],Lookups!$A$26:$C$33,3,FALSE),1)</f>
        <v>1.0000000683533434</v>
      </c>
      <c r="BU402" s="4">
        <f>_xlfn.IFNA(VLOOKUP(Grandview_Inventory[[#This Row],[condition]],Lookups!$A$37:$C$44,3,FALSE),1)</f>
        <v>0.96661476234146892</v>
      </c>
      <c r="BV402" s="4">
        <f>IF(Grandview_Inventory[[#This Row],[bldg_style]]="",1,_xlfn.IFNA(VLOOKUP(Grandview_Inventory[[#This Row],[decade]],Lookups!$F$29:$H$43,3,FALSE),1))</f>
        <v>0.98397821291089549</v>
      </c>
      <c r="BW402" s="4">
        <f>_xlfn.IFNA(VLOOKUP(Grandview_Inventory[[#This Row],[living_area_range]],Lookups!$F$47:$H$56,3,FALSE),1)</f>
        <v>0.94224801443562123</v>
      </c>
      <c r="BX402" s="4">
        <f>AVERAGE(Grandview_Inventory[[#This Row],[qual_adj]:[size_adj]])</f>
        <v>0.97321026451033232</v>
      </c>
      <c r="BY402" s="6">
        <f>IF(Grandview_Inventory[[#This Row],[pre_res]]&lt;0,0,Grandview_Inventory[[#This Row],[pre_res]]*Grandview_Inventory[[#This Row],[overall_adj]])</f>
        <v>529334.97309914208</v>
      </c>
      <c r="BZ402" s="6">
        <f>(Grandview_Inventory[[#This Row],[sum_land]]-IF(Grandview_Inventory[[#This Row],[no_utilities]]=1,12000,0))/IF(Grandview_Inventory[[#This Row],[unbuildable]]=1,2,1)</f>
        <v>71863.58693324629</v>
      </c>
      <c r="CA402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402">
        <f>ROUND(Grandview_Inventory[[#This Row],[det_value]]*Lookups!$M$28,-2)</f>
        <v>0</v>
      </c>
      <c r="CC402">
        <f>IF(ROUND(Grandview_Inventory[[#This Row],[adj_res]]*Lookups!$M$28,-2)&lt;Grandview_Inventory[[#This Row],[min_res]],Grandview_Inventory[[#This Row],[min_res]],ROUND(Grandview_Inventory[[#This Row],[adj_res]]*Lookups!$M$28,-2))</f>
        <v>502900</v>
      </c>
      <c r="CD402">
        <f>Grandview_Inventory[[#This Row],[final_det]]+Grandview_Inventory[[#This Row],[final_res]]</f>
        <v>502900</v>
      </c>
      <c r="CE402">
        <f>Grandview_Inventory[[#This Row],[final_land]]+Grandview_Inventory[[#This Row],[final_imp]]+Grandview_Inventory[[#This Row],[crop_value]]</f>
        <v>571200</v>
      </c>
      <c r="CG402" t="str">
        <f t="shared" si="6"/>
        <v>update valuation set market_land =68300, market_bldg=502900, market_total =571200, market_mdno =401, market_date ='9/10/2023' where link_id = (select link_id from parcel where parcel_year = '2024' and parcel_id = '23091911439');</v>
      </c>
    </row>
    <row r="403" spans="1:85" x14ac:dyDescent="0.25">
      <c r="A403">
        <v>23091911440</v>
      </c>
      <c r="B403">
        <v>0.86</v>
      </c>
      <c r="C403">
        <v>37459</v>
      </c>
      <c r="D403" t="s">
        <v>129</v>
      </c>
      <c r="E403" t="s">
        <v>53</v>
      </c>
      <c r="F403" t="s">
        <v>53</v>
      </c>
      <c r="G403">
        <v>4</v>
      </c>
      <c r="H403" t="s">
        <v>54</v>
      </c>
      <c r="I403">
        <v>366700</v>
      </c>
      <c r="J403">
        <v>49100</v>
      </c>
      <c r="K403">
        <v>0.86</v>
      </c>
      <c r="L403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403">
        <v>0</v>
      </c>
      <c r="N403">
        <v>0</v>
      </c>
      <c r="O403">
        <v>0</v>
      </c>
      <c r="P403">
        <v>13398.7528</v>
      </c>
      <c r="Q403">
        <v>63903</v>
      </c>
      <c r="R403">
        <f>(Grandview_Inventory[[#This Row],[ln_acres]]*Grandview_Inventory[[#This Row],[coeff]])+Grandview_Inventory[[#This Row],[const]]</f>
        <v>61882.161383864659</v>
      </c>
      <c r="S403" t="s">
        <v>58</v>
      </c>
      <c r="T403">
        <v>2</v>
      </c>
      <c r="U403" t="s">
        <v>64</v>
      </c>
      <c r="V403" t="s">
        <v>67</v>
      </c>
      <c r="W403">
        <v>0</v>
      </c>
      <c r="X403">
        <v>0</v>
      </c>
      <c r="Y403">
        <v>43</v>
      </c>
      <c r="Z403">
        <v>44</v>
      </c>
      <c r="AA403">
        <v>50</v>
      </c>
      <c r="AB403">
        <v>3000</v>
      </c>
      <c r="AC403">
        <v>2756</v>
      </c>
      <c r="AD403">
        <v>1324</v>
      </c>
      <c r="AE403">
        <v>1432</v>
      </c>
      <c r="AF403">
        <v>0</v>
      </c>
      <c r="AG403">
        <v>0</v>
      </c>
      <c r="AH403">
        <v>0</v>
      </c>
      <c r="AI403">
        <v>0</v>
      </c>
      <c r="AJ403">
        <v>588</v>
      </c>
      <c r="AK403">
        <v>0</v>
      </c>
      <c r="AL403">
        <v>494</v>
      </c>
      <c r="AM403">
        <v>0</v>
      </c>
      <c r="AN403">
        <v>0</v>
      </c>
      <c r="AO403">
        <v>110</v>
      </c>
      <c r="AP403">
        <v>11</v>
      </c>
      <c r="AQ403">
        <v>0</v>
      </c>
      <c r="AR403">
        <v>0</v>
      </c>
      <c r="AS403" t="s">
        <v>58</v>
      </c>
      <c r="AT403">
        <v>1</v>
      </c>
      <c r="AU403" t="s">
        <v>63</v>
      </c>
      <c r="AV403" t="s">
        <v>60</v>
      </c>
      <c r="AW403">
        <v>1</v>
      </c>
      <c r="AX403">
        <v>4</v>
      </c>
      <c r="AY403">
        <v>0</v>
      </c>
      <c r="AZ403">
        <v>37600</v>
      </c>
      <c r="BA403">
        <v>100</v>
      </c>
      <c r="BB403">
        <v>100</v>
      </c>
      <c r="BC403">
        <v>100</v>
      </c>
      <c r="BD403">
        <v>100</v>
      </c>
      <c r="BE403">
        <v>1</v>
      </c>
      <c r="BF403">
        <v>15000</v>
      </c>
      <c r="BG403">
        <v>1000</v>
      </c>
      <c r="BH403" s="6">
        <f>Grandview_Inventory[[#This Row],[land_extract]]*Lookups!$B$3</f>
        <v>71863.58693324629</v>
      </c>
      <c r="BI403" s="6">
        <f>IF(Grandview_Inventory[[#This Row],[bldg_style]]="",0,Lookups!$B$2)</f>
        <v>155833.95000000001</v>
      </c>
      <c r="BJ403" s="6">
        <f>_xlfn.IFNA(VLOOKUP(Grandview_Inventory[[#This Row],[quality]],Lookups!$H$2:$J$14,3,FALSE),0)</f>
        <v>20768</v>
      </c>
      <c r="BK403" s="6">
        <f>_xlfn.IFNA(VLOOKUP(Grandview_Inventory[[#This Row],[condition]],Lookups!$H$17:$J$24,3,FALSE),0)</f>
        <v>22342</v>
      </c>
      <c r="BL403" s="6">
        <f>Grandview_Inventory[[#This Row],[Eff_Age]]*Lookups!$B$14</f>
        <v>-10284.1638</v>
      </c>
      <c r="BM403" s="6">
        <f>Grandview_Inventory[[#This Row],[living_area]]*Lookups!$B$15</f>
        <v>171921.63086800001</v>
      </c>
      <c r="BN403" s="6">
        <f>Grandview_Inventory[[#This Row],[Fin BSMT]]*Lookups!$B$16</f>
        <v>0</v>
      </c>
      <c r="BO403" s="6">
        <f>(Grandview_Inventory[[#This Row],[att_gar]]+Grandview_Inventory[[#This Row],[bltin_gar]])*Lookups!$B$17</f>
        <v>51462.016955999999</v>
      </c>
      <c r="BP403" s="6">
        <f>Grandview_Inventory[[#This Row],[Plumbing Fixtures]]*Lookups!$B$18</f>
        <v>22114.859800000002</v>
      </c>
      <c r="BQ403" s="6">
        <f>Grandview_Inventory[[#This Row],[detatched_value]]*Lookups!$B$19</f>
        <v>31839.871759999998</v>
      </c>
      <c r="BR403" s="6">
        <f>SUM(Grandview_Inventory[[#This Row],[Intercept]:[det_value]])*Grandview_Inventory[[#This Row],[res_pct]]</f>
        <v>465998.165584</v>
      </c>
      <c r="BS403" s="6">
        <f>Grandview_Inventory[[#This Row],[land_value]]</f>
        <v>71863.58693324629</v>
      </c>
      <c r="BT403" s="4">
        <f>_xlfn.IFNA(VLOOKUP(Grandview_Inventory[[#This Row],[quality]],Lookups!$A$26:$C$33,3,FALSE),1)</f>
        <v>0.94960540378902636</v>
      </c>
      <c r="BU403" s="4">
        <f>_xlfn.IFNA(VLOOKUP(Grandview_Inventory[[#This Row],[condition]],Lookups!$A$37:$C$44,3,FALSE),1)</f>
        <v>0.97383723671140243</v>
      </c>
      <c r="BV403" s="4">
        <f>IF(Grandview_Inventory[[#This Row],[bldg_style]]="",1,_xlfn.IFNA(VLOOKUP(Grandview_Inventory[[#This Row],[decade]],Lookups!$F$29:$H$43,3,FALSE),1))</f>
        <v>0.9871940091910919</v>
      </c>
      <c r="BW403" s="4">
        <f>_xlfn.IFNA(VLOOKUP(Grandview_Inventory[[#This Row],[living_area_range]],Lookups!$F$47:$H$56,3,FALSE),1)</f>
        <v>0.94224801443562123</v>
      </c>
      <c r="BX403" s="4">
        <f>AVERAGE(Grandview_Inventory[[#This Row],[qual_adj]:[size_adj]])</f>
        <v>0.96322116603178554</v>
      </c>
      <c r="BY403" s="6">
        <f>IF(Grandview_Inventory[[#This Row],[pre_res]]&lt;0,0,Grandview_Inventory[[#This Row],[pre_res]]*Grandview_Inventory[[#This Row],[overall_adj]])</f>
        <v>448859.29642249353</v>
      </c>
      <c r="BZ403" s="6">
        <f>(Grandview_Inventory[[#This Row],[sum_land]]-IF(Grandview_Inventory[[#This Row],[no_utilities]]=1,12000,0))/IF(Grandview_Inventory[[#This Row],[unbuildable]]=1,2,1)</f>
        <v>71863.58693324629</v>
      </c>
      <c r="CA403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403">
        <f>ROUND(Grandview_Inventory[[#This Row],[det_value]]*Lookups!$M$28,-2)</f>
        <v>30200</v>
      </c>
      <c r="CC403">
        <f>IF(ROUND(Grandview_Inventory[[#This Row],[adj_res]]*Lookups!$M$28,-2)&lt;Grandview_Inventory[[#This Row],[min_res]],Grandview_Inventory[[#This Row],[min_res]],ROUND(Grandview_Inventory[[#This Row],[adj_res]]*Lookups!$M$28,-2))</f>
        <v>426400</v>
      </c>
      <c r="CD403">
        <f>Grandview_Inventory[[#This Row],[final_det]]+Grandview_Inventory[[#This Row],[final_res]]</f>
        <v>456600</v>
      </c>
      <c r="CE403">
        <f>Grandview_Inventory[[#This Row],[final_land]]+Grandview_Inventory[[#This Row],[final_imp]]+Grandview_Inventory[[#This Row],[crop_value]]</f>
        <v>524900</v>
      </c>
      <c r="CG403" t="str">
        <f t="shared" si="6"/>
        <v>update valuation set market_land =68300, market_bldg=456600, market_total =524900, market_mdno =401, market_date ='9/10/2023' where link_id = (select link_id from parcel where parcel_year = '2024' and parcel_id = '23091911440');</v>
      </c>
    </row>
    <row r="404" spans="1:85" x14ac:dyDescent="0.25">
      <c r="A404">
        <v>23091911441</v>
      </c>
      <c r="B404">
        <v>0.86</v>
      </c>
      <c r="C404" t="s">
        <v>129</v>
      </c>
      <c r="D404" t="s">
        <v>129</v>
      </c>
      <c r="E404" t="s">
        <v>53</v>
      </c>
      <c r="F404" t="s">
        <v>53</v>
      </c>
      <c r="G404">
        <v>4</v>
      </c>
      <c r="H404" t="s">
        <v>54</v>
      </c>
      <c r="I404">
        <v>293600</v>
      </c>
      <c r="J404">
        <v>49100</v>
      </c>
      <c r="K404">
        <v>0.86</v>
      </c>
      <c r="L404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404">
        <v>0</v>
      </c>
      <c r="N404">
        <v>0</v>
      </c>
      <c r="O404">
        <v>0</v>
      </c>
      <c r="P404">
        <v>13398.7528</v>
      </c>
      <c r="Q404">
        <v>63903</v>
      </c>
      <c r="R404">
        <f>(Grandview_Inventory[[#This Row],[ln_acres]]*Grandview_Inventory[[#This Row],[coeff]])+Grandview_Inventory[[#This Row],[const]]</f>
        <v>61882.161383864659</v>
      </c>
      <c r="S404" t="s">
        <v>74</v>
      </c>
      <c r="T404">
        <v>1</v>
      </c>
      <c r="U404" t="s">
        <v>64</v>
      </c>
      <c r="V404" t="s">
        <v>69</v>
      </c>
      <c r="W404">
        <v>0</v>
      </c>
      <c r="X404">
        <v>0</v>
      </c>
      <c r="Y404">
        <v>43</v>
      </c>
      <c r="Z404">
        <v>45</v>
      </c>
      <c r="AA404">
        <v>50</v>
      </c>
      <c r="AB404">
        <v>2500</v>
      </c>
      <c r="AC404">
        <v>2342</v>
      </c>
      <c r="AD404">
        <v>1667</v>
      </c>
      <c r="AE404">
        <v>0</v>
      </c>
      <c r="AF404">
        <v>0</v>
      </c>
      <c r="AG404">
        <v>675</v>
      </c>
      <c r="AH404">
        <v>0</v>
      </c>
      <c r="AI404">
        <v>0</v>
      </c>
      <c r="AJ404">
        <v>0</v>
      </c>
      <c r="AK404">
        <v>648</v>
      </c>
      <c r="AL404">
        <v>54</v>
      </c>
      <c r="AM404">
        <v>126</v>
      </c>
      <c r="AN404">
        <v>50</v>
      </c>
      <c r="AO404">
        <v>0</v>
      </c>
      <c r="AP404">
        <v>9</v>
      </c>
      <c r="AQ404">
        <v>0</v>
      </c>
      <c r="AR404">
        <v>2</v>
      </c>
      <c r="AS404" t="s">
        <v>76</v>
      </c>
      <c r="AT404">
        <v>1</v>
      </c>
      <c r="AU404" t="s">
        <v>63</v>
      </c>
      <c r="AV404" t="s">
        <v>60</v>
      </c>
      <c r="AW404">
        <v>1</v>
      </c>
      <c r="AX404">
        <v>3</v>
      </c>
      <c r="AY404">
        <v>0</v>
      </c>
      <c r="AZ404">
        <v>0</v>
      </c>
      <c r="BA404">
        <v>100</v>
      </c>
      <c r="BB404">
        <v>100</v>
      </c>
      <c r="BC404">
        <v>100</v>
      </c>
      <c r="BD404">
        <v>100</v>
      </c>
      <c r="BE404">
        <v>1</v>
      </c>
      <c r="BF404">
        <v>15000</v>
      </c>
      <c r="BG404">
        <v>1000</v>
      </c>
      <c r="BH404" s="6">
        <f>Grandview_Inventory[[#This Row],[land_extract]]*Lookups!$B$3</f>
        <v>71863.58693324629</v>
      </c>
      <c r="BI404" s="6">
        <f>IF(Grandview_Inventory[[#This Row],[bldg_style]]="",0,Lookups!$B$2)</f>
        <v>155833.95000000001</v>
      </c>
      <c r="BJ404" s="6">
        <f>_xlfn.IFNA(VLOOKUP(Grandview_Inventory[[#This Row],[quality]],Lookups!$H$2:$J$14,3,FALSE),0)</f>
        <v>20768</v>
      </c>
      <c r="BK404" s="6">
        <f>_xlfn.IFNA(VLOOKUP(Grandview_Inventory[[#This Row],[condition]],Lookups!$H$17:$J$24,3,FALSE),0)</f>
        <v>-4503</v>
      </c>
      <c r="BL404" s="6">
        <f>Grandview_Inventory[[#This Row],[Eff_Age]]*Lookups!$B$14</f>
        <v>-10284.1638</v>
      </c>
      <c r="BM404" s="6">
        <f>Grandview_Inventory[[#This Row],[living_area]]*Lookups!$B$15</f>
        <v>146095.95772599999</v>
      </c>
      <c r="BN404" s="6">
        <f>Grandview_Inventory[[#This Row],[Fin BSMT]]*Lookups!$B$16</f>
        <v>-18291.987000000001</v>
      </c>
      <c r="BO404" s="6">
        <f>(Grandview_Inventory[[#This Row],[att_gar]]+Grandview_Inventory[[#This Row],[bltin_gar]])*Lookups!$B$17</f>
        <v>0</v>
      </c>
      <c r="BP404" s="6">
        <f>Grandview_Inventory[[#This Row],[Plumbing Fixtures]]*Lookups!$B$18</f>
        <v>18093.976200000001</v>
      </c>
      <c r="BQ404" s="6">
        <f>Grandview_Inventory[[#This Row],[detatched_value]]*Lookups!$B$19</f>
        <v>0</v>
      </c>
      <c r="BR404" s="6">
        <f>SUM(Grandview_Inventory[[#This Row],[Intercept]:[det_value]])*Grandview_Inventory[[#This Row],[res_pct]]</f>
        <v>307712.73312599992</v>
      </c>
      <c r="BS404" s="6">
        <f>Grandview_Inventory[[#This Row],[land_value]]</f>
        <v>71863.58693324629</v>
      </c>
      <c r="BT404" s="4">
        <f>_xlfn.IFNA(VLOOKUP(Grandview_Inventory[[#This Row],[quality]],Lookups!$A$26:$C$33,3,FALSE),1)</f>
        <v>0.94960540378902636</v>
      </c>
      <c r="BU404" s="4">
        <f>_xlfn.IFNA(VLOOKUP(Grandview_Inventory[[#This Row],[condition]],Lookups!$A$37:$C$44,3,FALSE),1)</f>
        <v>0.96469275950863709</v>
      </c>
      <c r="BV404" s="4">
        <f>IF(Grandview_Inventory[[#This Row],[bldg_style]]="",1,_xlfn.IFNA(VLOOKUP(Grandview_Inventory[[#This Row],[decade]],Lookups!$F$29:$H$43,3,FALSE),1))</f>
        <v>0.9871940091910919</v>
      </c>
      <c r="BW404" s="4">
        <f>_xlfn.IFNA(VLOOKUP(Grandview_Inventory[[#This Row],[living_area_range]],Lookups!$F$47:$H$56,3,FALSE),1)</f>
        <v>0.95799442568048754</v>
      </c>
      <c r="BX404" s="4">
        <f>AVERAGE(Grandview_Inventory[[#This Row],[qual_adj]:[size_adj]])</f>
        <v>0.96487164954231075</v>
      </c>
      <c r="BY404" s="6">
        <f>IF(Grandview_Inventory[[#This Row],[pre_res]]&lt;0,0,Grandview_Inventory[[#This Row],[pre_res]]*Grandview_Inventory[[#This Row],[overall_adj]])</f>
        <v>296903.29239645641</v>
      </c>
      <c r="BZ404" s="6">
        <f>(Grandview_Inventory[[#This Row],[sum_land]]-IF(Grandview_Inventory[[#This Row],[no_utilities]]=1,12000,0))/IF(Grandview_Inventory[[#This Row],[unbuildable]]=1,2,1)</f>
        <v>71863.58693324629</v>
      </c>
      <c r="CA404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404">
        <f>ROUND(Grandview_Inventory[[#This Row],[det_value]]*Lookups!$M$28,-2)</f>
        <v>0</v>
      </c>
      <c r="CC404">
        <f>IF(ROUND(Grandview_Inventory[[#This Row],[adj_res]]*Lookups!$M$28,-2)&lt;Grandview_Inventory[[#This Row],[min_res]],Grandview_Inventory[[#This Row],[min_res]],ROUND(Grandview_Inventory[[#This Row],[adj_res]]*Lookups!$M$28,-2))</f>
        <v>282100</v>
      </c>
      <c r="CD404">
        <f>Grandview_Inventory[[#This Row],[final_det]]+Grandview_Inventory[[#This Row],[final_res]]</f>
        <v>282100</v>
      </c>
      <c r="CE404">
        <f>Grandview_Inventory[[#This Row],[final_land]]+Grandview_Inventory[[#This Row],[final_imp]]+Grandview_Inventory[[#This Row],[crop_value]]</f>
        <v>350400</v>
      </c>
      <c r="CG404" t="str">
        <f t="shared" si="6"/>
        <v>update valuation set market_land =68300, market_bldg=282100, market_total =350400, market_mdno =401, market_date ='9/10/2023' where link_id = (select link_id from parcel where parcel_year = '2024' and parcel_id = '23091911441');</v>
      </c>
    </row>
    <row r="405" spans="1:85" x14ac:dyDescent="0.25">
      <c r="A405">
        <v>23091911442</v>
      </c>
      <c r="B405">
        <v>0.86</v>
      </c>
      <c r="C405">
        <v>37430</v>
      </c>
      <c r="D405" t="s">
        <v>129</v>
      </c>
      <c r="E405" t="s">
        <v>53</v>
      </c>
      <c r="F405" t="s">
        <v>53</v>
      </c>
      <c r="G405">
        <v>4</v>
      </c>
      <c r="H405" t="s">
        <v>54</v>
      </c>
      <c r="I405">
        <v>363300</v>
      </c>
      <c r="J405">
        <v>49100</v>
      </c>
      <c r="K405">
        <v>0.86</v>
      </c>
      <c r="L405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405">
        <v>0</v>
      </c>
      <c r="N405">
        <v>0</v>
      </c>
      <c r="O405">
        <v>0</v>
      </c>
      <c r="P405">
        <v>13398.7528</v>
      </c>
      <c r="Q405">
        <v>63903</v>
      </c>
      <c r="R405">
        <f>(Grandview_Inventory[[#This Row],[ln_acres]]*Grandview_Inventory[[#This Row],[coeff]])+Grandview_Inventory[[#This Row],[const]]</f>
        <v>61882.161383864659</v>
      </c>
      <c r="S405" t="s">
        <v>58</v>
      </c>
      <c r="T405">
        <v>2</v>
      </c>
      <c r="U405" t="s">
        <v>64</v>
      </c>
      <c r="V405" t="s">
        <v>69</v>
      </c>
      <c r="W405">
        <v>0</v>
      </c>
      <c r="X405">
        <v>0</v>
      </c>
      <c r="Y405">
        <v>44</v>
      </c>
      <c r="Z405">
        <v>46</v>
      </c>
      <c r="AA405">
        <v>50</v>
      </c>
      <c r="AB405">
        <v>3000</v>
      </c>
      <c r="AC405">
        <v>2720</v>
      </c>
      <c r="AD405">
        <v>952</v>
      </c>
      <c r="AE405">
        <v>1768</v>
      </c>
      <c r="AF405">
        <v>0</v>
      </c>
      <c r="AG405">
        <v>0</v>
      </c>
      <c r="AH405">
        <v>0</v>
      </c>
      <c r="AI405">
        <v>0</v>
      </c>
      <c r="AJ405">
        <v>768</v>
      </c>
      <c r="AK405">
        <v>0</v>
      </c>
      <c r="AL405">
        <v>244</v>
      </c>
      <c r="AM405">
        <v>144</v>
      </c>
      <c r="AN405">
        <v>242</v>
      </c>
      <c r="AO405">
        <v>0</v>
      </c>
      <c r="AP405">
        <v>12</v>
      </c>
      <c r="AQ405">
        <v>0</v>
      </c>
      <c r="AR405">
        <v>2</v>
      </c>
      <c r="AS405" t="s">
        <v>73</v>
      </c>
      <c r="AT405">
        <v>1</v>
      </c>
      <c r="AU405" t="s">
        <v>63</v>
      </c>
      <c r="AV405" t="s">
        <v>60</v>
      </c>
      <c r="AW405">
        <v>1</v>
      </c>
      <c r="AX405">
        <v>5</v>
      </c>
      <c r="AY405">
        <v>0</v>
      </c>
      <c r="AZ405">
        <v>0</v>
      </c>
      <c r="BA405">
        <v>100</v>
      </c>
      <c r="BB405">
        <v>100</v>
      </c>
      <c r="BC405">
        <v>100</v>
      </c>
      <c r="BD405">
        <v>100</v>
      </c>
      <c r="BE405">
        <v>1</v>
      </c>
      <c r="BF405">
        <v>15000</v>
      </c>
      <c r="BG405">
        <v>1000</v>
      </c>
      <c r="BH405" s="6">
        <f>Grandview_Inventory[[#This Row],[land_extract]]*Lookups!$B$3</f>
        <v>71863.58693324629</v>
      </c>
      <c r="BI405" s="6">
        <f>IF(Grandview_Inventory[[#This Row],[bldg_style]]="",0,Lookups!$B$2)</f>
        <v>155833.95000000001</v>
      </c>
      <c r="BJ405" s="6">
        <f>_xlfn.IFNA(VLOOKUP(Grandview_Inventory[[#This Row],[quality]],Lookups!$H$2:$J$14,3,FALSE),0)</f>
        <v>20768</v>
      </c>
      <c r="BK405" s="6">
        <f>_xlfn.IFNA(VLOOKUP(Grandview_Inventory[[#This Row],[condition]],Lookups!$H$17:$J$24,3,FALSE),0)</f>
        <v>-4503</v>
      </c>
      <c r="BL405" s="6">
        <f>Grandview_Inventory[[#This Row],[Eff_Age]]*Lookups!$B$14</f>
        <v>-10523.330399999999</v>
      </c>
      <c r="BM405" s="6">
        <f>Grandview_Inventory[[#This Row],[living_area]]*Lookups!$B$15</f>
        <v>169675.92016000001</v>
      </c>
      <c r="BN405" s="6">
        <f>Grandview_Inventory[[#This Row],[Fin BSMT]]*Lookups!$B$16</f>
        <v>0</v>
      </c>
      <c r="BO405" s="6">
        <f>(Grandview_Inventory[[#This Row],[att_gar]]+Grandview_Inventory[[#This Row],[bltin_gar]])*Lookups!$B$17</f>
        <v>67215.695615999997</v>
      </c>
      <c r="BP405" s="6">
        <f>Grandview_Inventory[[#This Row],[Plumbing Fixtures]]*Lookups!$B$18</f>
        <v>24125.301599999999</v>
      </c>
      <c r="BQ405" s="6">
        <f>Grandview_Inventory[[#This Row],[detatched_value]]*Lookups!$B$19</f>
        <v>0</v>
      </c>
      <c r="BR405" s="6">
        <f>SUM(Grandview_Inventory[[#This Row],[Intercept]:[det_value]])*Grandview_Inventory[[#This Row],[res_pct]]</f>
        <v>422592.536976</v>
      </c>
      <c r="BS405" s="6">
        <f>Grandview_Inventory[[#This Row],[land_value]]</f>
        <v>71863.58693324629</v>
      </c>
      <c r="BT405" s="4">
        <f>_xlfn.IFNA(VLOOKUP(Grandview_Inventory[[#This Row],[quality]],Lookups!$A$26:$C$33,3,FALSE),1)</f>
        <v>0.94960540378902636</v>
      </c>
      <c r="BU405" s="4">
        <f>_xlfn.IFNA(VLOOKUP(Grandview_Inventory[[#This Row],[condition]],Lookups!$A$37:$C$44,3,FALSE),1)</f>
        <v>0.96469275950863709</v>
      </c>
      <c r="BV405" s="4">
        <f>IF(Grandview_Inventory[[#This Row],[bldg_style]]="",1,_xlfn.IFNA(VLOOKUP(Grandview_Inventory[[#This Row],[decade]],Lookups!$F$29:$H$43,3,FALSE),1))</f>
        <v>0.9871940091910919</v>
      </c>
      <c r="BW405" s="4">
        <f>_xlfn.IFNA(VLOOKUP(Grandview_Inventory[[#This Row],[living_area_range]],Lookups!$F$47:$H$56,3,FALSE),1)</f>
        <v>0.94224801443562123</v>
      </c>
      <c r="BX405" s="4">
        <f>AVERAGE(Grandview_Inventory[[#This Row],[qual_adj]:[size_adj]])</f>
        <v>0.9609350467310942</v>
      </c>
      <c r="BY405" s="6">
        <f>IF(Grandview_Inventory[[#This Row],[pre_res]]&lt;0,0,Grandview_Inventory[[#This Row],[pre_res]]*Grandview_Inventory[[#This Row],[overall_adj]])</f>
        <v>406083.97926724423</v>
      </c>
      <c r="BZ405" s="6">
        <f>(Grandview_Inventory[[#This Row],[sum_land]]-IF(Grandview_Inventory[[#This Row],[no_utilities]]=1,12000,0))/IF(Grandview_Inventory[[#This Row],[unbuildable]]=1,2,1)</f>
        <v>71863.58693324629</v>
      </c>
      <c r="CA405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405">
        <f>ROUND(Grandview_Inventory[[#This Row],[det_value]]*Lookups!$M$28,-2)</f>
        <v>0</v>
      </c>
      <c r="CC405">
        <f>IF(ROUND(Grandview_Inventory[[#This Row],[adj_res]]*Lookups!$M$28,-2)&lt;Grandview_Inventory[[#This Row],[min_res]],Grandview_Inventory[[#This Row],[min_res]],ROUND(Grandview_Inventory[[#This Row],[adj_res]]*Lookups!$M$28,-2))</f>
        <v>385800</v>
      </c>
      <c r="CD405">
        <f>Grandview_Inventory[[#This Row],[final_det]]+Grandview_Inventory[[#This Row],[final_res]]</f>
        <v>385800</v>
      </c>
      <c r="CE405">
        <f>Grandview_Inventory[[#This Row],[final_land]]+Grandview_Inventory[[#This Row],[final_imp]]+Grandview_Inventory[[#This Row],[crop_value]]</f>
        <v>454100</v>
      </c>
      <c r="CG405" t="str">
        <f t="shared" si="6"/>
        <v>update valuation set market_land =68300, market_bldg=385800, market_total =454100, market_mdno =401, market_date ='9/10/2023' where link_id = (select link_id from parcel where parcel_year = '2024' and parcel_id = '23091911442');</v>
      </c>
    </row>
    <row r="406" spans="1:85" x14ac:dyDescent="0.25">
      <c r="A406">
        <v>23091911443</v>
      </c>
      <c r="B406">
        <v>0.86</v>
      </c>
      <c r="C406">
        <v>37416</v>
      </c>
      <c r="D406" t="s">
        <v>129</v>
      </c>
      <c r="E406" t="s">
        <v>53</v>
      </c>
      <c r="F406" t="s">
        <v>53</v>
      </c>
      <c r="G406">
        <v>4</v>
      </c>
      <c r="H406" t="s">
        <v>54</v>
      </c>
      <c r="I406">
        <v>303400</v>
      </c>
      <c r="J406">
        <v>49100</v>
      </c>
      <c r="K406">
        <v>0.86</v>
      </c>
      <c r="L406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406">
        <v>0</v>
      </c>
      <c r="N406">
        <v>0</v>
      </c>
      <c r="O406">
        <v>0</v>
      </c>
      <c r="P406">
        <v>13398.7528</v>
      </c>
      <c r="Q406">
        <v>63903</v>
      </c>
      <c r="R406">
        <f>(Grandview_Inventory[[#This Row],[ln_acres]]*Grandview_Inventory[[#This Row],[coeff]])+Grandview_Inventory[[#This Row],[const]]</f>
        <v>61882.161383864659</v>
      </c>
      <c r="S406" t="s">
        <v>58</v>
      </c>
      <c r="T406">
        <v>1</v>
      </c>
      <c r="U406" t="s">
        <v>64</v>
      </c>
      <c r="V406" t="s">
        <v>67</v>
      </c>
      <c r="W406">
        <v>0</v>
      </c>
      <c r="X406">
        <v>0</v>
      </c>
      <c r="Y406">
        <v>44</v>
      </c>
      <c r="Z406">
        <v>47</v>
      </c>
      <c r="AA406">
        <v>50</v>
      </c>
      <c r="AB406">
        <v>2500</v>
      </c>
      <c r="AC406">
        <v>2258</v>
      </c>
      <c r="AD406">
        <v>2258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665</v>
      </c>
      <c r="AO406">
        <v>0</v>
      </c>
      <c r="AP406">
        <v>9</v>
      </c>
      <c r="AQ406">
        <v>0</v>
      </c>
      <c r="AR406">
        <v>1</v>
      </c>
      <c r="AS406" t="s">
        <v>58</v>
      </c>
      <c r="AT406">
        <v>1</v>
      </c>
      <c r="AU406" t="s">
        <v>59</v>
      </c>
      <c r="AV406" t="s">
        <v>60</v>
      </c>
      <c r="AW406">
        <v>1</v>
      </c>
      <c r="AX406">
        <v>2</v>
      </c>
      <c r="AY406">
        <v>0</v>
      </c>
      <c r="AZ406">
        <v>28000</v>
      </c>
      <c r="BA406">
        <v>100</v>
      </c>
      <c r="BB406">
        <v>100</v>
      </c>
      <c r="BC406">
        <v>100</v>
      </c>
      <c r="BD406">
        <v>100</v>
      </c>
      <c r="BE406">
        <v>1</v>
      </c>
      <c r="BF406">
        <v>15000</v>
      </c>
      <c r="BG406">
        <v>1000</v>
      </c>
      <c r="BH406" s="6">
        <f>Grandview_Inventory[[#This Row],[land_extract]]*Lookups!$B$3</f>
        <v>71863.58693324629</v>
      </c>
      <c r="BI406" s="6">
        <f>IF(Grandview_Inventory[[#This Row],[bldg_style]]="",0,Lookups!$B$2)</f>
        <v>155833.95000000001</v>
      </c>
      <c r="BJ406" s="6">
        <f>_xlfn.IFNA(VLOOKUP(Grandview_Inventory[[#This Row],[quality]],Lookups!$H$2:$J$14,3,FALSE),0)</f>
        <v>20768</v>
      </c>
      <c r="BK406" s="6">
        <f>_xlfn.IFNA(VLOOKUP(Grandview_Inventory[[#This Row],[condition]],Lookups!$H$17:$J$24,3,FALSE),0)</f>
        <v>22342</v>
      </c>
      <c r="BL406" s="6">
        <f>Grandview_Inventory[[#This Row],[Eff_Age]]*Lookups!$B$14</f>
        <v>-10523.330399999999</v>
      </c>
      <c r="BM406" s="6">
        <f>Grandview_Inventory[[#This Row],[living_area]]*Lookups!$B$15</f>
        <v>140855.966074</v>
      </c>
      <c r="BN406" s="6">
        <f>Grandview_Inventory[[#This Row],[Fin BSMT]]*Lookups!$B$16</f>
        <v>0</v>
      </c>
      <c r="BO406" s="6">
        <f>(Grandview_Inventory[[#This Row],[att_gar]]+Grandview_Inventory[[#This Row],[bltin_gar]])*Lookups!$B$17</f>
        <v>0</v>
      </c>
      <c r="BP406" s="6">
        <f>Grandview_Inventory[[#This Row],[Plumbing Fixtures]]*Lookups!$B$18</f>
        <v>18093.976200000001</v>
      </c>
      <c r="BQ406" s="6">
        <f>Grandview_Inventory[[#This Row],[detatched_value]]*Lookups!$B$19</f>
        <v>23710.542799999999</v>
      </c>
      <c r="BR406" s="6">
        <f>SUM(Grandview_Inventory[[#This Row],[Intercept]:[det_value]])*Grandview_Inventory[[#This Row],[res_pct]]</f>
        <v>371081.10467399994</v>
      </c>
      <c r="BS406" s="6">
        <f>Grandview_Inventory[[#This Row],[land_value]]</f>
        <v>71863.58693324629</v>
      </c>
      <c r="BT406" s="4">
        <f>_xlfn.IFNA(VLOOKUP(Grandview_Inventory[[#This Row],[quality]],Lookups!$A$26:$C$33,3,FALSE),1)</f>
        <v>0.94960540378902636</v>
      </c>
      <c r="BU406" s="4">
        <f>_xlfn.IFNA(VLOOKUP(Grandview_Inventory[[#This Row],[condition]],Lookups!$A$37:$C$44,3,FALSE),1)</f>
        <v>0.97383723671140243</v>
      </c>
      <c r="BV406" s="4">
        <f>IF(Grandview_Inventory[[#This Row],[bldg_style]]="",1,_xlfn.IFNA(VLOOKUP(Grandview_Inventory[[#This Row],[decade]],Lookups!$F$29:$H$43,3,FALSE),1))</f>
        <v>0.9871940091910919</v>
      </c>
      <c r="BW406" s="4">
        <f>_xlfn.IFNA(VLOOKUP(Grandview_Inventory[[#This Row],[living_area_range]],Lookups!$F$47:$H$56,3,FALSE),1)</f>
        <v>0.95799442568048754</v>
      </c>
      <c r="BX406" s="4">
        <f>AVERAGE(Grandview_Inventory[[#This Row],[qual_adj]:[size_adj]])</f>
        <v>0.96715776884300209</v>
      </c>
      <c r="BY406" s="6">
        <f>IF(Grandview_Inventory[[#This Row],[pre_res]]&lt;0,0,Grandview_Inventory[[#This Row],[pre_res]]*Grandview_Inventory[[#This Row],[overall_adj]])</f>
        <v>358893.9732563023</v>
      </c>
      <c r="BZ406" s="6">
        <f>(Grandview_Inventory[[#This Row],[sum_land]]-IF(Grandview_Inventory[[#This Row],[no_utilities]]=1,12000,0))/IF(Grandview_Inventory[[#This Row],[unbuildable]]=1,2,1)</f>
        <v>71863.58693324629</v>
      </c>
      <c r="CA406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406">
        <f>ROUND(Grandview_Inventory[[#This Row],[det_value]]*Lookups!$M$28,-2)</f>
        <v>22500</v>
      </c>
      <c r="CC406">
        <f>IF(ROUND(Grandview_Inventory[[#This Row],[adj_res]]*Lookups!$M$28,-2)&lt;Grandview_Inventory[[#This Row],[min_res]],Grandview_Inventory[[#This Row],[min_res]],ROUND(Grandview_Inventory[[#This Row],[adj_res]]*Lookups!$M$28,-2))</f>
        <v>340900</v>
      </c>
      <c r="CD406">
        <f>Grandview_Inventory[[#This Row],[final_det]]+Grandview_Inventory[[#This Row],[final_res]]</f>
        <v>363400</v>
      </c>
      <c r="CE406">
        <f>Grandview_Inventory[[#This Row],[final_land]]+Grandview_Inventory[[#This Row],[final_imp]]+Grandview_Inventory[[#This Row],[crop_value]]</f>
        <v>431700</v>
      </c>
      <c r="CG406" t="str">
        <f t="shared" si="6"/>
        <v>update valuation set market_land =68300, market_bldg=363400, market_total =431700, market_mdno =401, market_date ='9/10/2023' where link_id = (select link_id from parcel where parcel_year = '2024' and parcel_id = '23091911443');</v>
      </c>
    </row>
    <row r="407" spans="1:85" x14ac:dyDescent="0.25">
      <c r="A407">
        <v>23091911445</v>
      </c>
      <c r="B407">
        <v>1.1299999999999999</v>
      </c>
      <c r="C407">
        <v>49182</v>
      </c>
      <c r="D407" t="s">
        <v>129</v>
      </c>
      <c r="E407" t="s">
        <v>53</v>
      </c>
      <c r="F407" t="s">
        <v>53</v>
      </c>
      <c r="G407">
        <v>4</v>
      </c>
      <c r="H407" t="s">
        <v>54</v>
      </c>
      <c r="I407">
        <v>256500</v>
      </c>
      <c r="J407">
        <v>52100</v>
      </c>
      <c r="K407">
        <v>1.1299999999999999</v>
      </c>
      <c r="L407">
        <f>IF(Grandview_Inventory[[#This Row],[parcel_acres]]-Grandview_Inventory[[#This Row],[non_valued_acres]] =0,0,LN(Grandview_Inventory[[#This Row],[parcel_acres]]-Grandview_Inventory[[#This Row],[non_valued_acres]]))</f>
        <v>0.12221763272424911</v>
      </c>
      <c r="M407">
        <v>0</v>
      </c>
      <c r="N407">
        <v>0</v>
      </c>
      <c r="O407">
        <v>0</v>
      </c>
      <c r="P407">
        <v>13398.7528</v>
      </c>
      <c r="Q407">
        <v>63903</v>
      </c>
      <c r="R407">
        <f>(Grandview_Inventory[[#This Row],[ln_acres]]*Grandview_Inventory[[#This Row],[coeff]])+Grandview_Inventory[[#This Row],[const]]</f>
        <v>65540.56384867341</v>
      </c>
      <c r="S407" t="s">
        <v>61</v>
      </c>
      <c r="T407">
        <v>1</v>
      </c>
      <c r="U407" t="s">
        <v>64</v>
      </c>
      <c r="V407" t="s">
        <v>69</v>
      </c>
      <c r="W407">
        <v>0</v>
      </c>
      <c r="X407">
        <v>0</v>
      </c>
      <c r="Y407">
        <v>44</v>
      </c>
      <c r="Z407">
        <v>47</v>
      </c>
      <c r="AA407">
        <v>50</v>
      </c>
      <c r="AB407">
        <v>3000</v>
      </c>
      <c r="AC407">
        <v>2684</v>
      </c>
      <c r="AD407">
        <v>1254</v>
      </c>
      <c r="AE407">
        <v>0</v>
      </c>
      <c r="AF407">
        <v>0</v>
      </c>
      <c r="AG407">
        <v>1430</v>
      </c>
      <c r="AH407">
        <v>0</v>
      </c>
      <c r="AI407">
        <v>0</v>
      </c>
      <c r="AJ407">
        <v>0</v>
      </c>
      <c r="AK407">
        <v>0</v>
      </c>
      <c r="AL407">
        <v>1000</v>
      </c>
      <c r="AM407">
        <v>0</v>
      </c>
      <c r="AN407">
        <v>176</v>
      </c>
      <c r="AO407">
        <v>320</v>
      </c>
      <c r="AP407">
        <v>9</v>
      </c>
      <c r="AQ407">
        <v>0</v>
      </c>
      <c r="AR407">
        <v>1</v>
      </c>
      <c r="AS407" t="s">
        <v>58</v>
      </c>
      <c r="AT407">
        <v>1</v>
      </c>
      <c r="AU407" t="s">
        <v>63</v>
      </c>
      <c r="AV407" t="s">
        <v>60</v>
      </c>
      <c r="AW407">
        <v>1</v>
      </c>
      <c r="AX407">
        <v>4</v>
      </c>
      <c r="AY407">
        <v>0</v>
      </c>
      <c r="AZ407">
        <v>42400</v>
      </c>
      <c r="BA407">
        <v>100</v>
      </c>
      <c r="BB407">
        <v>100</v>
      </c>
      <c r="BC407">
        <v>100</v>
      </c>
      <c r="BD407">
        <v>100</v>
      </c>
      <c r="BE407">
        <v>1</v>
      </c>
      <c r="BF407">
        <v>15000</v>
      </c>
      <c r="BG407">
        <v>1000</v>
      </c>
      <c r="BH407" s="6">
        <f>Grandview_Inventory[[#This Row],[land_extract]]*Lookups!$B$3</f>
        <v>76112.079837942045</v>
      </c>
      <c r="BI407" s="6">
        <f>IF(Grandview_Inventory[[#This Row],[bldg_style]]="",0,Lookups!$B$2)</f>
        <v>155833.95000000001</v>
      </c>
      <c r="BJ407" s="6">
        <f>_xlfn.IFNA(VLOOKUP(Grandview_Inventory[[#This Row],[quality]],Lookups!$H$2:$J$14,3,FALSE),0)</f>
        <v>20768</v>
      </c>
      <c r="BK407" s="6">
        <f>_xlfn.IFNA(VLOOKUP(Grandview_Inventory[[#This Row],[condition]],Lookups!$H$17:$J$24,3,FALSE),0)</f>
        <v>-4503</v>
      </c>
      <c r="BL407" s="6">
        <f>Grandview_Inventory[[#This Row],[Eff_Age]]*Lookups!$B$14</f>
        <v>-10523.330399999999</v>
      </c>
      <c r="BM407" s="6">
        <f>Grandview_Inventory[[#This Row],[living_area]]*Lookups!$B$15</f>
        <v>167430.20945200001</v>
      </c>
      <c r="BN407" s="6">
        <f>Grandview_Inventory[[#This Row],[Fin BSMT]]*Lookups!$B$16</f>
        <v>-38751.913200000003</v>
      </c>
      <c r="BO407" s="6">
        <f>(Grandview_Inventory[[#This Row],[att_gar]]+Grandview_Inventory[[#This Row],[bltin_gar]])*Lookups!$B$17</f>
        <v>0</v>
      </c>
      <c r="BP407" s="6">
        <f>Grandview_Inventory[[#This Row],[Plumbing Fixtures]]*Lookups!$B$18</f>
        <v>18093.976200000001</v>
      </c>
      <c r="BQ407" s="6">
        <f>Grandview_Inventory[[#This Row],[detatched_value]]*Lookups!$B$19</f>
        <v>35904.536240000001</v>
      </c>
      <c r="BR407" s="6">
        <f>SUM(Grandview_Inventory[[#This Row],[Intercept]:[det_value]])*Grandview_Inventory[[#This Row],[res_pct]]</f>
        <v>344252.42829199997</v>
      </c>
      <c r="BS407" s="6">
        <f>Grandview_Inventory[[#This Row],[land_value]]</f>
        <v>76112.079837942045</v>
      </c>
      <c r="BT407" s="4">
        <f>_xlfn.IFNA(VLOOKUP(Grandview_Inventory[[#This Row],[quality]],Lookups!$A$26:$C$33,3,FALSE),1)</f>
        <v>0.94960540378902636</v>
      </c>
      <c r="BU407" s="4">
        <f>_xlfn.IFNA(VLOOKUP(Grandview_Inventory[[#This Row],[condition]],Lookups!$A$37:$C$44,3,FALSE),1)</f>
        <v>0.96469275950863709</v>
      </c>
      <c r="BV407" s="4">
        <f>IF(Grandview_Inventory[[#This Row],[bldg_style]]="",1,_xlfn.IFNA(VLOOKUP(Grandview_Inventory[[#This Row],[decade]],Lookups!$F$29:$H$43,3,FALSE),1))</f>
        <v>0.9871940091910919</v>
      </c>
      <c r="BW407" s="4">
        <f>_xlfn.IFNA(VLOOKUP(Grandview_Inventory[[#This Row],[living_area_range]],Lookups!$F$47:$H$56,3,FALSE),1)</f>
        <v>0.94224801443562123</v>
      </c>
      <c r="BX407" s="4">
        <f>AVERAGE(Grandview_Inventory[[#This Row],[qual_adj]:[size_adj]])</f>
        <v>0.9609350467310942</v>
      </c>
      <c r="BY407" s="6">
        <f>IF(Grandview_Inventory[[#This Row],[pre_res]]&lt;0,0,Grandview_Inventory[[#This Row],[pre_res]]*Grandview_Inventory[[#This Row],[overall_adj]])</f>
        <v>330804.22326806566</v>
      </c>
      <c r="BZ407" s="6">
        <f>(Grandview_Inventory[[#This Row],[sum_land]]-IF(Grandview_Inventory[[#This Row],[no_utilities]]=1,12000,0))/IF(Grandview_Inventory[[#This Row],[unbuildable]]=1,2,1)</f>
        <v>76112.079837942045</v>
      </c>
      <c r="CA407">
        <f>IF(ROUND(Grandview_Inventory[[#This Row],[adj_land]]*Lookups!$M$28,-2)&lt;Grandview_Inventory[[#This Row],[min_land]],Grandview_Inventory[[#This Row],[min_land]],ROUND(Grandview_Inventory[[#This Row],[adj_land]]*Lookups!$M$28,-2))</f>
        <v>72300</v>
      </c>
      <c r="CB407">
        <f>ROUND(Grandview_Inventory[[#This Row],[det_value]]*Lookups!$M$28,-2)</f>
        <v>34100</v>
      </c>
      <c r="CC407">
        <f>IF(ROUND(Grandview_Inventory[[#This Row],[adj_res]]*Lookups!$M$28,-2)&lt;Grandview_Inventory[[#This Row],[min_res]],Grandview_Inventory[[#This Row],[min_res]],ROUND(Grandview_Inventory[[#This Row],[adj_res]]*Lookups!$M$28,-2))</f>
        <v>314300</v>
      </c>
      <c r="CD407">
        <f>Grandview_Inventory[[#This Row],[final_det]]+Grandview_Inventory[[#This Row],[final_res]]</f>
        <v>348400</v>
      </c>
      <c r="CE407">
        <f>Grandview_Inventory[[#This Row],[final_land]]+Grandview_Inventory[[#This Row],[final_imp]]+Grandview_Inventory[[#This Row],[crop_value]]</f>
        <v>420700</v>
      </c>
      <c r="CG407" t="str">
        <f t="shared" si="6"/>
        <v>update valuation set market_land =72300, market_bldg=348400, market_total =420700, market_mdno =401, market_date ='9/10/2023' where link_id = (select link_id from parcel where parcel_year = '2024' and parcel_id = '23091911445');</v>
      </c>
    </row>
    <row r="408" spans="1:85" x14ac:dyDescent="0.25">
      <c r="A408">
        <v>23091911446</v>
      </c>
      <c r="B408">
        <v>1.37</v>
      </c>
      <c r="C408">
        <v>59700</v>
      </c>
      <c r="D408" t="s">
        <v>129</v>
      </c>
      <c r="E408" t="s">
        <v>53</v>
      </c>
      <c r="F408" t="s">
        <v>53</v>
      </c>
      <c r="G408">
        <v>4</v>
      </c>
      <c r="H408" t="s">
        <v>54</v>
      </c>
      <c r="I408">
        <v>300400</v>
      </c>
      <c r="J408">
        <v>54500</v>
      </c>
      <c r="K408">
        <v>1.37</v>
      </c>
      <c r="L408">
        <f>IF(Grandview_Inventory[[#This Row],[parcel_acres]]-Grandview_Inventory[[#This Row],[non_valued_acres]] =0,0,LN(Grandview_Inventory[[#This Row],[parcel_acres]]-Grandview_Inventory[[#This Row],[non_valued_acres]]))</f>
        <v>0.3148107398400336</v>
      </c>
      <c r="M408">
        <v>0</v>
      </c>
      <c r="N408">
        <v>0</v>
      </c>
      <c r="O408">
        <v>0</v>
      </c>
      <c r="P408">
        <v>13398.7528</v>
      </c>
      <c r="Q408">
        <v>63903</v>
      </c>
      <c r="R408">
        <f>(Grandview_Inventory[[#This Row],[ln_acres]]*Grandview_Inventory[[#This Row],[coeff]])+Grandview_Inventory[[#This Row],[const]]</f>
        <v>68121.071281901721</v>
      </c>
      <c r="S408" t="s">
        <v>58</v>
      </c>
      <c r="T408">
        <v>1</v>
      </c>
      <c r="U408" t="s">
        <v>64</v>
      </c>
      <c r="V408" t="s">
        <v>67</v>
      </c>
      <c r="W408">
        <v>0</v>
      </c>
      <c r="X408">
        <v>0</v>
      </c>
      <c r="Y408">
        <v>26</v>
      </c>
      <c r="Z408">
        <v>26</v>
      </c>
      <c r="AA408">
        <v>30</v>
      </c>
      <c r="AB408">
        <v>3500</v>
      </c>
      <c r="AC408">
        <v>3304</v>
      </c>
      <c r="AD408">
        <v>1687</v>
      </c>
      <c r="AE408">
        <v>0</v>
      </c>
      <c r="AF408">
        <v>0</v>
      </c>
      <c r="AG408">
        <v>1617</v>
      </c>
      <c r="AH408">
        <v>0</v>
      </c>
      <c r="AI408">
        <v>420</v>
      </c>
      <c r="AJ408">
        <v>0</v>
      </c>
      <c r="AK408">
        <v>0</v>
      </c>
      <c r="AL408">
        <v>1179</v>
      </c>
      <c r="AM408">
        <v>0</v>
      </c>
      <c r="AN408">
        <v>66</v>
      </c>
      <c r="AO408">
        <v>0</v>
      </c>
      <c r="AP408">
        <v>10</v>
      </c>
      <c r="AQ408">
        <v>0</v>
      </c>
      <c r="AR408">
        <v>0</v>
      </c>
      <c r="AS408" t="s">
        <v>58</v>
      </c>
      <c r="AT408">
        <v>1</v>
      </c>
      <c r="AU408" t="s">
        <v>59</v>
      </c>
      <c r="AV408" t="s">
        <v>60</v>
      </c>
      <c r="AW408">
        <v>1</v>
      </c>
      <c r="AX408">
        <v>2</v>
      </c>
      <c r="AY408">
        <v>0</v>
      </c>
      <c r="AZ408">
        <v>0</v>
      </c>
      <c r="BA408">
        <v>100</v>
      </c>
      <c r="BB408">
        <v>100</v>
      </c>
      <c r="BC408">
        <v>100</v>
      </c>
      <c r="BD408">
        <v>100</v>
      </c>
      <c r="BE408">
        <v>1</v>
      </c>
      <c r="BF408">
        <v>15000</v>
      </c>
      <c r="BG408">
        <v>1000</v>
      </c>
      <c r="BH408" s="6">
        <f>Grandview_Inventory[[#This Row],[land_extract]]*Lookups!$B$3</f>
        <v>79108.816152780011</v>
      </c>
      <c r="BI408" s="6">
        <f>IF(Grandview_Inventory[[#This Row],[bldg_style]]="",0,Lookups!$B$2)</f>
        <v>155833.95000000001</v>
      </c>
      <c r="BJ408" s="6">
        <f>_xlfn.IFNA(VLOOKUP(Grandview_Inventory[[#This Row],[quality]],Lookups!$H$2:$J$14,3,FALSE),0)</f>
        <v>20768</v>
      </c>
      <c r="BK408" s="6">
        <f>_xlfn.IFNA(VLOOKUP(Grandview_Inventory[[#This Row],[condition]],Lookups!$H$17:$J$24,3,FALSE),0)</f>
        <v>22342</v>
      </c>
      <c r="BL408" s="6">
        <f>Grandview_Inventory[[#This Row],[Eff_Age]]*Lookups!$B$14</f>
        <v>-6218.3315999999995</v>
      </c>
      <c r="BM408" s="6">
        <f>Grandview_Inventory[[#This Row],[living_area]]*Lookups!$B$15</f>
        <v>206106.33831200001</v>
      </c>
      <c r="BN408" s="6">
        <f>Grandview_Inventory[[#This Row],[Fin BSMT]]*Lookups!$B$16</f>
        <v>-43819.471080000003</v>
      </c>
      <c r="BO408" s="6">
        <f>(Grandview_Inventory[[#This Row],[att_gar]]+Grandview_Inventory[[#This Row],[bltin_gar]])*Lookups!$B$17</f>
        <v>36758.58354</v>
      </c>
      <c r="BP408" s="6">
        <f>Grandview_Inventory[[#This Row],[Plumbing Fixtures]]*Lookups!$B$18</f>
        <v>20104.418000000001</v>
      </c>
      <c r="BQ408" s="6">
        <f>Grandview_Inventory[[#This Row],[detatched_value]]*Lookups!$B$19</f>
        <v>0</v>
      </c>
      <c r="BR408" s="6">
        <f>SUM(Grandview_Inventory[[#This Row],[Intercept]:[det_value]])*Grandview_Inventory[[#This Row],[res_pct]]</f>
        <v>411875.48717200005</v>
      </c>
      <c r="BS408" s="6">
        <f>Grandview_Inventory[[#This Row],[land_value]]</f>
        <v>79108.816152780011</v>
      </c>
      <c r="BT408" s="4">
        <f>_xlfn.IFNA(VLOOKUP(Grandview_Inventory[[#This Row],[quality]],Lookups!$A$26:$C$33,3,FALSE),1)</f>
        <v>0.94960540378902636</v>
      </c>
      <c r="BU408" s="4">
        <f>_xlfn.IFNA(VLOOKUP(Grandview_Inventory[[#This Row],[condition]],Lookups!$A$37:$C$44,3,FALSE),1)</f>
        <v>0.97383723671140243</v>
      </c>
      <c r="BV408" s="4">
        <f>IF(Grandview_Inventory[[#This Row],[bldg_style]]="",1,_xlfn.IFNA(VLOOKUP(Grandview_Inventory[[#This Row],[decade]],Lookups!$F$29:$H$43,3,FALSE),1))</f>
        <v>0.98397821291089549</v>
      </c>
      <c r="BW408" s="4">
        <f>_xlfn.IFNA(VLOOKUP(Grandview_Inventory[[#This Row],[living_area_range]],Lookups!$F$47:$H$56,3,FALSE),1)</f>
        <v>1.0170112215140563</v>
      </c>
      <c r="BX408" s="4">
        <f>AVERAGE(Grandview_Inventory[[#This Row],[qual_adj]:[size_adj]])</f>
        <v>0.98110801873134523</v>
      </c>
      <c r="BY408" s="6">
        <f>IF(Grandview_Inventory[[#This Row],[pre_res]]&lt;0,0,Grandview_Inventory[[#This Row],[pre_res]]*Grandview_Inventory[[#This Row],[overall_adj]])</f>
        <v>404094.34318332857</v>
      </c>
      <c r="BZ408" s="6">
        <f>(Grandview_Inventory[[#This Row],[sum_land]]-IF(Grandview_Inventory[[#This Row],[no_utilities]]=1,12000,0))/IF(Grandview_Inventory[[#This Row],[unbuildable]]=1,2,1)</f>
        <v>79108.816152780011</v>
      </c>
      <c r="CA408">
        <f>IF(ROUND(Grandview_Inventory[[#This Row],[adj_land]]*Lookups!$M$28,-2)&lt;Grandview_Inventory[[#This Row],[min_land]],Grandview_Inventory[[#This Row],[min_land]],ROUND(Grandview_Inventory[[#This Row],[adj_land]]*Lookups!$M$28,-2))</f>
        <v>75200</v>
      </c>
      <c r="CB408">
        <f>ROUND(Grandview_Inventory[[#This Row],[det_value]]*Lookups!$M$28,-2)</f>
        <v>0</v>
      </c>
      <c r="CC408">
        <f>IF(ROUND(Grandview_Inventory[[#This Row],[adj_res]]*Lookups!$M$28,-2)&lt;Grandview_Inventory[[#This Row],[min_res]],Grandview_Inventory[[#This Row],[min_res]],ROUND(Grandview_Inventory[[#This Row],[adj_res]]*Lookups!$M$28,-2))</f>
        <v>383900</v>
      </c>
      <c r="CD408">
        <f>Grandview_Inventory[[#This Row],[final_det]]+Grandview_Inventory[[#This Row],[final_res]]</f>
        <v>383900</v>
      </c>
      <c r="CE408">
        <f>Grandview_Inventory[[#This Row],[final_land]]+Grandview_Inventory[[#This Row],[final_imp]]+Grandview_Inventory[[#This Row],[crop_value]]</f>
        <v>459100</v>
      </c>
      <c r="CG408" t="str">
        <f t="shared" si="6"/>
        <v>update valuation set market_land =75200, market_bldg=383900, market_total =459100, market_mdno =401, market_date ='9/10/2023' where link_id = (select link_id from parcel where parcel_year = '2024' and parcel_id = '23091911446');</v>
      </c>
    </row>
    <row r="409" spans="1:85" x14ac:dyDescent="0.25">
      <c r="A409">
        <v>23091911447</v>
      </c>
      <c r="B409">
        <v>0.41</v>
      </c>
      <c r="C409" t="s">
        <v>129</v>
      </c>
      <c r="D409" t="s">
        <v>129</v>
      </c>
      <c r="E409" t="s">
        <v>53</v>
      </c>
      <c r="F409" t="s">
        <v>53</v>
      </c>
      <c r="G409">
        <v>4</v>
      </c>
      <c r="H409" t="s">
        <v>54</v>
      </c>
      <c r="I409">
        <v>290500</v>
      </c>
      <c r="J409">
        <v>41800</v>
      </c>
      <c r="K409">
        <v>0.41</v>
      </c>
      <c r="L409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409">
        <v>0</v>
      </c>
      <c r="N409">
        <v>0</v>
      </c>
      <c r="O409">
        <v>0</v>
      </c>
      <c r="P409">
        <v>13398.7528</v>
      </c>
      <c r="Q409">
        <v>63903</v>
      </c>
      <c r="R409">
        <f>(Grandview_Inventory[[#This Row],[ln_acres]]*Grandview_Inventory[[#This Row],[coeff]])+Grandview_Inventory[[#This Row],[const]]</f>
        <v>51956.697202771669</v>
      </c>
      <c r="S409" t="s">
        <v>61</v>
      </c>
      <c r="T409">
        <v>1</v>
      </c>
      <c r="U409" t="s">
        <v>62</v>
      </c>
      <c r="V409" t="s">
        <v>69</v>
      </c>
      <c r="W409">
        <v>0</v>
      </c>
      <c r="X409">
        <v>0</v>
      </c>
      <c r="Y409">
        <v>44</v>
      </c>
      <c r="Z409">
        <v>47</v>
      </c>
      <c r="AA409">
        <v>50</v>
      </c>
      <c r="AB409">
        <v>4000</v>
      </c>
      <c r="AC409">
        <v>3776</v>
      </c>
      <c r="AD409">
        <v>1960</v>
      </c>
      <c r="AE409">
        <v>0</v>
      </c>
      <c r="AF409">
        <v>0</v>
      </c>
      <c r="AG409">
        <v>1816</v>
      </c>
      <c r="AH409">
        <v>0</v>
      </c>
      <c r="AI409">
        <v>624</v>
      </c>
      <c r="AJ409">
        <v>0</v>
      </c>
      <c r="AK409">
        <v>0</v>
      </c>
      <c r="AL409">
        <v>262</v>
      </c>
      <c r="AM409">
        <v>0</v>
      </c>
      <c r="AN409">
        <v>92</v>
      </c>
      <c r="AO409">
        <v>262</v>
      </c>
      <c r="AP409">
        <v>13</v>
      </c>
      <c r="AQ409">
        <v>0</v>
      </c>
      <c r="AR409">
        <v>1</v>
      </c>
      <c r="AS409" t="s">
        <v>58</v>
      </c>
      <c r="AT409">
        <v>1</v>
      </c>
      <c r="AU409" t="s">
        <v>63</v>
      </c>
      <c r="AV409" t="s">
        <v>60</v>
      </c>
      <c r="AW409">
        <v>1</v>
      </c>
      <c r="AX409">
        <v>5</v>
      </c>
      <c r="AY409">
        <v>0</v>
      </c>
      <c r="AZ409">
        <v>0</v>
      </c>
      <c r="BA409">
        <v>100</v>
      </c>
      <c r="BB409">
        <v>100</v>
      </c>
      <c r="BC409">
        <v>100</v>
      </c>
      <c r="BD409">
        <v>100</v>
      </c>
      <c r="BE409">
        <v>1</v>
      </c>
      <c r="BF409">
        <v>15000</v>
      </c>
      <c r="BG409">
        <v>1000</v>
      </c>
      <c r="BH409" s="6">
        <f>Grandview_Inventory[[#This Row],[land_extract]]*Lookups!$B$3</f>
        <v>60337.172178496294</v>
      </c>
      <c r="BI409" s="6">
        <f>IF(Grandview_Inventory[[#This Row],[bldg_style]]="",0,Lookups!$B$2)</f>
        <v>155833.95000000001</v>
      </c>
      <c r="BJ409" s="6">
        <f>_xlfn.IFNA(VLOOKUP(Grandview_Inventory[[#This Row],[quality]],Lookups!$H$2:$J$14,3,FALSE),0)</f>
        <v>9808</v>
      </c>
      <c r="BK409" s="6">
        <f>_xlfn.IFNA(VLOOKUP(Grandview_Inventory[[#This Row],[condition]],Lookups!$H$17:$J$24,3,FALSE),0)</f>
        <v>-4503</v>
      </c>
      <c r="BL409" s="6">
        <f>Grandview_Inventory[[#This Row],[Eff_Age]]*Lookups!$B$14</f>
        <v>-10523.330399999999</v>
      </c>
      <c r="BM409" s="6">
        <f>Grandview_Inventory[[#This Row],[living_area]]*Lookups!$B$15</f>
        <v>235550.100928</v>
      </c>
      <c r="BN409" s="6">
        <f>Grandview_Inventory[[#This Row],[Fin BSMT]]*Lookups!$B$16</f>
        <v>-49212.219840000005</v>
      </c>
      <c r="BO409" s="6">
        <f>(Grandview_Inventory[[#This Row],[att_gar]]+Grandview_Inventory[[#This Row],[bltin_gar]])*Lookups!$B$17</f>
        <v>54612.752688</v>
      </c>
      <c r="BP409" s="6">
        <f>Grandview_Inventory[[#This Row],[Plumbing Fixtures]]*Lookups!$B$18</f>
        <v>26135.743399999999</v>
      </c>
      <c r="BQ409" s="6">
        <f>Grandview_Inventory[[#This Row],[detatched_value]]*Lookups!$B$19</f>
        <v>0</v>
      </c>
      <c r="BR409" s="6">
        <f>SUM(Grandview_Inventory[[#This Row],[Intercept]:[det_value]])*Grandview_Inventory[[#This Row],[res_pct]]</f>
        <v>417701.99677599996</v>
      </c>
      <c r="BS409" s="6">
        <f>Grandview_Inventory[[#This Row],[land_value]]</f>
        <v>60337.172178496294</v>
      </c>
      <c r="BT409" s="4">
        <f>_xlfn.IFNA(VLOOKUP(Grandview_Inventory[[#This Row],[quality]],Lookups!$A$26:$C$33,3,FALSE),1)</f>
        <v>0.94295468617355149</v>
      </c>
      <c r="BU409" s="4">
        <f>_xlfn.IFNA(VLOOKUP(Grandview_Inventory[[#This Row],[condition]],Lookups!$A$37:$C$44,3,FALSE),1)</f>
        <v>0.96469275950863709</v>
      </c>
      <c r="BV409" s="4">
        <f>IF(Grandview_Inventory[[#This Row],[bldg_style]]="",1,_xlfn.IFNA(VLOOKUP(Grandview_Inventory[[#This Row],[decade]],Lookups!$F$29:$H$43,3,FALSE),1))</f>
        <v>0.9871940091910919</v>
      </c>
      <c r="BW409" s="4">
        <f>_xlfn.IFNA(VLOOKUP(Grandview_Inventory[[#This Row],[living_area_range]],Lookups!$F$47:$H$56,3,FALSE),1)</f>
        <v>0.90089875105039252</v>
      </c>
      <c r="BX409" s="4">
        <f>AVERAGE(Grandview_Inventory[[#This Row],[qual_adj]:[size_adj]])</f>
        <v>0.94893505148091828</v>
      </c>
      <c r="BY409" s="6">
        <f>IF(Grandview_Inventory[[#This Row],[pre_res]]&lt;0,0,Grandview_Inventory[[#This Row],[pre_res]]*Grandview_Inventory[[#This Row],[overall_adj]])</f>
        <v>396372.06581431587</v>
      </c>
      <c r="BZ409" s="6">
        <f>(Grandview_Inventory[[#This Row],[sum_land]]-IF(Grandview_Inventory[[#This Row],[no_utilities]]=1,12000,0))/IF(Grandview_Inventory[[#This Row],[unbuildable]]=1,2,1)</f>
        <v>60337.172178496294</v>
      </c>
      <c r="CA409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409">
        <f>ROUND(Grandview_Inventory[[#This Row],[det_value]]*Lookups!$M$28,-2)</f>
        <v>0</v>
      </c>
      <c r="CC409">
        <f>IF(ROUND(Grandview_Inventory[[#This Row],[adj_res]]*Lookups!$M$28,-2)&lt;Grandview_Inventory[[#This Row],[min_res]],Grandview_Inventory[[#This Row],[min_res]],ROUND(Grandview_Inventory[[#This Row],[adj_res]]*Lookups!$M$28,-2))</f>
        <v>376600</v>
      </c>
      <c r="CD409">
        <f>Grandview_Inventory[[#This Row],[final_det]]+Grandview_Inventory[[#This Row],[final_res]]</f>
        <v>376600</v>
      </c>
      <c r="CE409">
        <f>Grandview_Inventory[[#This Row],[final_land]]+Grandview_Inventory[[#This Row],[final_imp]]+Grandview_Inventory[[#This Row],[crop_value]]</f>
        <v>433900</v>
      </c>
      <c r="CG409" t="str">
        <f t="shared" si="6"/>
        <v>update valuation set market_land =57300, market_bldg=376600, market_total =433900, market_mdno =401, market_date ='9/10/2023' where link_id = (select link_id from parcel where parcel_year = '2024' and parcel_id = '23091911447');</v>
      </c>
    </row>
    <row r="410" spans="1:85" x14ac:dyDescent="0.25">
      <c r="A410">
        <v>23091911448</v>
      </c>
      <c r="B410">
        <v>0.41</v>
      </c>
      <c r="C410" t="s">
        <v>129</v>
      </c>
      <c r="D410" t="s">
        <v>129</v>
      </c>
      <c r="E410" t="s">
        <v>53</v>
      </c>
      <c r="F410" t="s">
        <v>53</v>
      </c>
      <c r="G410">
        <v>4</v>
      </c>
      <c r="H410" t="s">
        <v>54</v>
      </c>
      <c r="I410">
        <v>231900</v>
      </c>
      <c r="J410">
        <v>41800</v>
      </c>
      <c r="K410">
        <v>0.41</v>
      </c>
      <c r="L410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410">
        <v>0</v>
      </c>
      <c r="N410">
        <v>0</v>
      </c>
      <c r="O410">
        <v>0</v>
      </c>
      <c r="P410">
        <v>13398.7528</v>
      </c>
      <c r="Q410">
        <v>63903</v>
      </c>
      <c r="R410">
        <f>(Grandview_Inventory[[#This Row],[ln_acres]]*Grandview_Inventory[[#This Row],[coeff]])+Grandview_Inventory[[#This Row],[const]]</f>
        <v>51956.697202771669</v>
      </c>
      <c r="S410" t="s">
        <v>61</v>
      </c>
      <c r="T410">
        <v>1</v>
      </c>
      <c r="U410" t="s">
        <v>62</v>
      </c>
      <c r="V410" t="s">
        <v>69</v>
      </c>
      <c r="W410">
        <v>0</v>
      </c>
      <c r="X410">
        <v>0</v>
      </c>
      <c r="Y410">
        <v>44</v>
      </c>
      <c r="Z410">
        <v>47</v>
      </c>
      <c r="AA410">
        <v>50</v>
      </c>
      <c r="AB410">
        <v>2500</v>
      </c>
      <c r="AC410">
        <v>2192</v>
      </c>
      <c r="AD410">
        <v>1214</v>
      </c>
      <c r="AE410">
        <v>0</v>
      </c>
      <c r="AF410">
        <v>0</v>
      </c>
      <c r="AG410">
        <v>978</v>
      </c>
      <c r="AH410">
        <v>236</v>
      </c>
      <c r="AI410">
        <v>624</v>
      </c>
      <c r="AJ410">
        <v>0</v>
      </c>
      <c r="AK410">
        <v>0</v>
      </c>
      <c r="AL410">
        <v>192</v>
      </c>
      <c r="AM410">
        <v>192</v>
      </c>
      <c r="AN410">
        <v>16</v>
      </c>
      <c r="AO410">
        <v>0</v>
      </c>
      <c r="AP410">
        <v>9</v>
      </c>
      <c r="AQ410">
        <v>0</v>
      </c>
      <c r="AR410">
        <v>0</v>
      </c>
      <c r="AS410" t="s">
        <v>58</v>
      </c>
      <c r="AT410">
        <v>1</v>
      </c>
      <c r="AU410" t="s">
        <v>63</v>
      </c>
      <c r="AV410" t="s">
        <v>60</v>
      </c>
      <c r="AW410">
        <v>1</v>
      </c>
      <c r="AX410">
        <v>4</v>
      </c>
      <c r="AY410">
        <v>0</v>
      </c>
      <c r="AZ410">
        <v>16900</v>
      </c>
      <c r="BA410">
        <v>100</v>
      </c>
      <c r="BB410">
        <v>100</v>
      </c>
      <c r="BC410">
        <v>100</v>
      </c>
      <c r="BD410">
        <v>100</v>
      </c>
      <c r="BE410">
        <v>1</v>
      </c>
      <c r="BF410">
        <v>15000</v>
      </c>
      <c r="BG410">
        <v>1000</v>
      </c>
      <c r="BH410" s="6">
        <f>Grandview_Inventory[[#This Row],[land_extract]]*Lookups!$B$3</f>
        <v>60337.172178496294</v>
      </c>
      <c r="BI410" s="6">
        <f>IF(Grandview_Inventory[[#This Row],[bldg_style]]="",0,Lookups!$B$2)</f>
        <v>155833.95000000001</v>
      </c>
      <c r="BJ410" s="6">
        <f>_xlfn.IFNA(VLOOKUP(Grandview_Inventory[[#This Row],[quality]],Lookups!$H$2:$J$14,3,FALSE),0)</f>
        <v>9808</v>
      </c>
      <c r="BK410" s="6">
        <f>_xlfn.IFNA(VLOOKUP(Grandview_Inventory[[#This Row],[condition]],Lookups!$H$17:$J$24,3,FALSE),0)</f>
        <v>-4503</v>
      </c>
      <c r="BL410" s="6">
        <f>Grandview_Inventory[[#This Row],[Eff_Age]]*Lookups!$B$14</f>
        <v>-10523.330399999999</v>
      </c>
      <c r="BM410" s="6">
        <f>Grandview_Inventory[[#This Row],[living_area]]*Lookups!$B$15</f>
        <v>136738.829776</v>
      </c>
      <c r="BN410" s="6">
        <f>Grandview_Inventory[[#This Row],[Fin BSMT]]*Lookups!$B$16</f>
        <v>-26503.05672</v>
      </c>
      <c r="BO410" s="6">
        <f>(Grandview_Inventory[[#This Row],[att_gar]]+Grandview_Inventory[[#This Row],[bltin_gar]])*Lookups!$B$17</f>
        <v>54612.752688</v>
      </c>
      <c r="BP410" s="6">
        <f>Grandview_Inventory[[#This Row],[Plumbing Fixtures]]*Lookups!$B$18</f>
        <v>18093.976200000001</v>
      </c>
      <c r="BQ410" s="6">
        <f>Grandview_Inventory[[#This Row],[detatched_value]]*Lookups!$B$19</f>
        <v>14311.00619</v>
      </c>
      <c r="BR410" s="6">
        <f>SUM(Grandview_Inventory[[#This Row],[Intercept]:[det_value]])*Grandview_Inventory[[#This Row],[res_pct]]</f>
        <v>347869.12773399992</v>
      </c>
      <c r="BS410" s="6">
        <f>Grandview_Inventory[[#This Row],[land_value]]</f>
        <v>60337.172178496294</v>
      </c>
      <c r="BT410" s="4">
        <f>_xlfn.IFNA(VLOOKUP(Grandview_Inventory[[#This Row],[quality]],Lookups!$A$26:$C$33,3,FALSE),1)</f>
        <v>0.94295468617355149</v>
      </c>
      <c r="BU410" s="4">
        <f>_xlfn.IFNA(VLOOKUP(Grandview_Inventory[[#This Row],[condition]],Lookups!$A$37:$C$44,3,FALSE),1)</f>
        <v>0.96469275950863709</v>
      </c>
      <c r="BV410" s="4">
        <f>IF(Grandview_Inventory[[#This Row],[bldg_style]]="",1,_xlfn.IFNA(VLOOKUP(Grandview_Inventory[[#This Row],[decade]],Lookups!$F$29:$H$43,3,FALSE),1))</f>
        <v>0.9871940091910919</v>
      </c>
      <c r="BW410" s="4">
        <f>_xlfn.IFNA(VLOOKUP(Grandview_Inventory[[#This Row],[living_area_range]],Lookups!$F$47:$H$56,3,FALSE),1)</f>
        <v>0.95799442568048754</v>
      </c>
      <c r="BX410" s="4">
        <f>AVERAGE(Grandview_Inventory[[#This Row],[qual_adj]:[size_adj]])</f>
        <v>0.96320897013844198</v>
      </c>
      <c r="BY410" s="6">
        <f>IF(Grandview_Inventory[[#This Row],[pre_res]]&lt;0,0,Grandview_Inventory[[#This Row],[pre_res]]*Grandview_Inventory[[#This Row],[overall_adj]])</f>
        <v>335070.6642676242</v>
      </c>
      <c r="BZ410" s="6">
        <f>(Grandview_Inventory[[#This Row],[sum_land]]-IF(Grandview_Inventory[[#This Row],[no_utilities]]=1,12000,0))/IF(Grandview_Inventory[[#This Row],[unbuildable]]=1,2,1)</f>
        <v>60337.172178496294</v>
      </c>
      <c r="CA410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410">
        <f>ROUND(Grandview_Inventory[[#This Row],[det_value]]*Lookups!$M$28,-2)</f>
        <v>13600</v>
      </c>
      <c r="CC410">
        <f>IF(ROUND(Grandview_Inventory[[#This Row],[adj_res]]*Lookups!$M$28,-2)&lt;Grandview_Inventory[[#This Row],[min_res]],Grandview_Inventory[[#This Row],[min_res]],ROUND(Grandview_Inventory[[#This Row],[adj_res]]*Lookups!$M$28,-2))</f>
        <v>318300</v>
      </c>
      <c r="CD410">
        <f>Grandview_Inventory[[#This Row],[final_det]]+Grandview_Inventory[[#This Row],[final_res]]</f>
        <v>331900</v>
      </c>
      <c r="CE410">
        <f>Grandview_Inventory[[#This Row],[final_land]]+Grandview_Inventory[[#This Row],[final_imp]]+Grandview_Inventory[[#This Row],[crop_value]]</f>
        <v>389200</v>
      </c>
      <c r="CG410" t="str">
        <f t="shared" si="6"/>
        <v>update valuation set market_land =57300, market_bldg=331900, market_total =389200, market_mdno =401, market_date ='9/10/2023' where link_id = (select link_id from parcel where parcel_year = '2024' and parcel_id = '23091911448');</v>
      </c>
    </row>
    <row r="411" spans="1:85" x14ac:dyDescent="0.25">
      <c r="A411">
        <v>23091911449</v>
      </c>
      <c r="B411">
        <v>0.41</v>
      </c>
      <c r="C411" t="s">
        <v>129</v>
      </c>
      <c r="D411" t="s">
        <v>129</v>
      </c>
      <c r="E411" t="s">
        <v>53</v>
      </c>
      <c r="F411" t="s">
        <v>53</v>
      </c>
      <c r="G411">
        <v>4</v>
      </c>
      <c r="H411" t="s">
        <v>54</v>
      </c>
      <c r="I411">
        <v>248300</v>
      </c>
      <c r="J411">
        <v>41800</v>
      </c>
      <c r="K411">
        <v>0.41</v>
      </c>
      <c r="L411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411">
        <v>0</v>
      </c>
      <c r="N411">
        <v>0</v>
      </c>
      <c r="O411">
        <v>0</v>
      </c>
      <c r="P411">
        <v>13398.7528</v>
      </c>
      <c r="Q411">
        <v>63903</v>
      </c>
      <c r="R411">
        <f>(Grandview_Inventory[[#This Row],[ln_acres]]*Grandview_Inventory[[#This Row],[coeff]])+Grandview_Inventory[[#This Row],[const]]</f>
        <v>51956.697202771669</v>
      </c>
      <c r="S411" t="s">
        <v>58</v>
      </c>
      <c r="T411">
        <v>1</v>
      </c>
      <c r="U411" t="s">
        <v>65</v>
      </c>
      <c r="V411" t="s">
        <v>67</v>
      </c>
      <c r="W411">
        <v>0</v>
      </c>
      <c r="X411">
        <v>0</v>
      </c>
      <c r="Y411">
        <v>44</v>
      </c>
      <c r="Z411">
        <v>46</v>
      </c>
      <c r="AA411">
        <v>50</v>
      </c>
      <c r="AB411">
        <v>2000</v>
      </c>
      <c r="AC411">
        <v>1512</v>
      </c>
      <c r="AD411">
        <v>1512</v>
      </c>
      <c r="AE411">
        <v>0</v>
      </c>
      <c r="AF411">
        <v>0</v>
      </c>
      <c r="AG411">
        <v>0</v>
      </c>
      <c r="AH411">
        <v>0</v>
      </c>
      <c r="AI411">
        <v>552</v>
      </c>
      <c r="AJ411">
        <v>0</v>
      </c>
      <c r="AK411">
        <v>0</v>
      </c>
      <c r="AL411">
        <v>0</v>
      </c>
      <c r="AM411">
        <v>168</v>
      </c>
      <c r="AN411">
        <v>270</v>
      </c>
      <c r="AO411">
        <v>168</v>
      </c>
      <c r="AP411">
        <v>8</v>
      </c>
      <c r="AQ411">
        <v>0</v>
      </c>
      <c r="AR411">
        <v>0</v>
      </c>
      <c r="AS411" t="s">
        <v>58</v>
      </c>
      <c r="AT411">
        <v>1</v>
      </c>
      <c r="AU411" t="s">
        <v>63</v>
      </c>
      <c r="AV411" t="s">
        <v>60</v>
      </c>
      <c r="AW411">
        <v>1</v>
      </c>
      <c r="AX411">
        <v>3</v>
      </c>
      <c r="AY411">
        <v>0</v>
      </c>
      <c r="AZ411">
        <v>0</v>
      </c>
      <c r="BA411">
        <v>100</v>
      </c>
      <c r="BB411">
        <v>100</v>
      </c>
      <c r="BC411">
        <v>100</v>
      </c>
      <c r="BD411">
        <v>100</v>
      </c>
      <c r="BE411">
        <v>1</v>
      </c>
      <c r="BF411">
        <v>15000</v>
      </c>
      <c r="BG411">
        <v>1000</v>
      </c>
      <c r="BH411" s="6">
        <f>Grandview_Inventory[[#This Row],[land_extract]]*Lookups!$B$3</f>
        <v>60337.172178496294</v>
      </c>
      <c r="BI411" s="6">
        <f>IF(Grandview_Inventory[[#This Row],[bldg_style]]="",0,Lookups!$B$2)</f>
        <v>155833.95000000001</v>
      </c>
      <c r="BJ411" s="6">
        <f>_xlfn.IFNA(VLOOKUP(Grandview_Inventory[[#This Row],[quality]],Lookups!$H$2:$J$14,3,FALSE),0)</f>
        <v>2251</v>
      </c>
      <c r="BK411" s="6">
        <f>_xlfn.IFNA(VLOOKUP(Grandview_Inventory[[#This Row],[condition]],Lookups!$H$17:$J$24,3,FALSE),0)</f>
        <v>22342</v>
      </c>
      <c r="BL411" s="6">
        <f>Grandview_Inventory[[#This Row],[Eff_Age]]*Lookups!$B$14</f>
        <v>-10523.330399999999</v>
      </c>
      <c r="BM411" s="6">
        <f>Grandview_Inventory[[#This Row],[living_area]]*Lookups!$B$15</f>
        <v>94319.849736000004</v>
      </c>
      <c r="BN411" s="6">
        <f>Grandview_Inventory[[#This Row],[Fin BSMT]]*Lookups!$B$16</f>
        <v>0</v>
      </c>
      <c r="BO411" s="6">
        <f>(Grandview_Inventory[[#This Row],[att_gar]]+Grandview_Inventory[[#This Row],[bltin_gar]])*Lookups!$B$17</f>
        <v>48311.281223999998</v>
      </c>
      <c r="BP411" s="6">
        <f>Grandview_Inventory[[#This Row],[Plumbing Fixtures]]*Lookups!$B$18</f>
        <v>16083.5344</v>
      </c>
      <c r="BQ411" s="6">
        <f>Grandview_Inventory[[#This Row],[detatched_value]]*Lookups!$B$19</f>
        <v>0</v>
      </c>
      <c r="BR411" s="6">
        <f>SUM(Grandview_Inventory[[#This Row],[Intercept]:[det_value]])*Grandview_Inventory[[#This Row],[res_pct]]</f>
        <v>328618.28496000002</v>
      </c>
      <c r="BS411" s="6">
        <f>Grandview_Inventory[[#This Row],[land_value]]</f>
        <v>60337.172178496294</v>
      </c>
      <c r="BT411" s="4">
        <f>_xlfn.IFNA(VLOOKUP(Grandview_Inventory[[#This Row],[quality]],Lookups!$A$26:$C$33,3,FALSE),1)</f>
        <v>0.98763855981004833</v>
      </c>
      <c r="BU411" s="4">
        <f>_xlfn.IFNA(VLOOKUP(Grandview_Inventory[[#This Row],[condition]],Lookups!$A$37:$C$44,3,FALSE),1)</f>
        <v>0.97383723671140243</v>
      </c>
      <c r="BV411" s="4">
        <f>IF(Grandview_Inventory[[#This Row],[bldg_style]]="",1,_xlfn.IFNA(VLOOKUP(Grandview_Inventory[[#This Row],[decade]],Lookups!$F$29:$H$43,3,FALSE),1))</f>
        <v>0.9871940091910919</v>
      </c>
      <c r="BW411" s="4">
        <f>_xlfn.IFNA(VLOOKUP(Grandview_Inventory[[#This Row],[living_area_range]],Lookups!$F$47:$H$56,3,FALSE),1)</f>
        <v>0.96120133463014379</v>
      </c>
      <c r="BX411" s="4">
        <f>AVERAGE(Grandview_Inventory[[#This Row],[qual_adj]:[size_adj]])</f>
        <v>0.97746778508567167</v>
      </c>
      <c r="BY411" s="6">
        <f>IF(Grandview_Inventory[[#This Row],[pre_res]]&lt;0,0,Grandview_Inventory[[#This Row],[pre_res]]*Grandview_Inventory[[#This Row],[overall_adj]])</f>
        <v>321213.78713850334</v>
      </c>
      <c r="BZ411" s="6">
        <f>(Grandview_Inventory[[#This Row],[sum_land]]-IF(Grandview_Inventory[[#This Row],[no_utilities]]=1,12000,0))/IF(Grandview_Inventory[[#This Row],[unbuildable]]=1,2,1)</f>
        <v>60337.172178496294</v>
      </c>
      <c r="CA411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411">
        <f>ROUND(Grandview_Inventory[[#This Row],[det_value]]*Lookups!$M$28,-2)</f>
        <v>0</v>
      </c>
      <c r="CC411">
        <f>IF(ROUND(Grandview_Inventory[[#This Row],[adj_res]]*Lookups!$M$28,-2)&lt;Grandview_Inventory[[#This Row],[min_res]],Grandview_Inventory[[#This Row],[min_res]],ROUND(Grandview_Inventory[[#This Row],[adj_res]]*Lookups!$M$28,-2))</f>
        <v>305200</v>
      </c>
      <c r="CD411">
        <f>Grandview_Inventory[[#This Row],[final_det]]+Grandview_Inventory[[#This Row],[final_res]]</f>
        <v>305200</v>
      </c>
      <c r="CE411">
        <f>Grandview_Inventory[[#This Row],[final_land]]+Grandview_Inventory[[#This Row],[final_imp]]+Grandview_Inventory[[#This Row],[crop_value]]</f>
        <v>362500</v>
      </c>
      <c r="CG411" t="str">
        <f t="shared" si="6"/>
        <v>update valuation set market_land =57300, market_bldg=305200, market_total =362500, market_mdno =401, market_date ='9/10/2023' where link_id = (select link_id from parcel where parcel_year = '2024' and parcel_id = '23091911449');</v>
      </c>
    </row>
    <row r="412" spans="1:85" x14ac:dyDescent="0.25">
      <c r="A412">
        <v>23091911450</v>
      </c>
      <c r="B412">
        <v>0.41</v>
      </c>
      <c r="C412">
        <v>17885</v>
      </c>
      <c r="D412" t="s">
        <v>129</v>
      </c>
      <c r="E412" t="s">
        <v>53</v>
      </c>
      <c r="F412" t="s">
        <v>53</v>
      </c>
      <c r="G412">
        <v>4</v>
      </c>
      <c r="H412" t="s">
        <v>54</v>
      </c>
      <c r="I412">
        <v>315400</v>
      </c>
      <c r="J412">
        <v>41800</v>
      </c>
      <c r="K412">
        <v>0.41</v>
      </c>
      <c r="L412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412">
        <v>0</v>
      </c>
      <c r="N412">
        <v>0</v>
      </c>
      <c r="O412">
        <v>0</v>
      </c>
      <c r="P412">
        <v>13398.7528</v>
      </c>
      <c r="Q412">
        <v>63903</v>
      </c>
      <c r="R412">
        <f>(Grandview_Inventory[[#This Row],[ln_acres]]*Grandview_Inventory[[#This Row],[coeff]])+Grandview_Inventory[[#This Row],[const]]</f>
        <v>51956.697202771669</v>
      </c>
      <c r="S412" t="s">
        <v>77</v>
      </c>
      <c r="T412">
        <v>1</v>
      </c>
      <c r="U412" t="s">
        <v>62</v>
      </c>
      <c r="V412" t="s">
        <v>67</v>
      </c>
      <c r="W412">
        <v>0</v>
      </c>
      <c r="X412">
        <v>0</v>
      </c>
      <c r="Y412">
        <v>44</v>
      </c>
      <c r="Z412">
        <v>47</v>
      </c>
      <c r="AA412">
        <v>50</v>
      </c>
      <c r="AB412">
        <v>3500</v>
      </c>
      <c r="AC412">
        <v>3032</v>
      </c>
      <c r="AD412">
        <v>1456</v>
      </c>
      <c r="AE412">
        <v>0</v>
      </c>
      <c r="AF412">
        <v>0</v>
      </c>
      <c r="AG412">
        <v>1576</v>
      </c>
      <c r="AH412">
        <v>0</v>
      </c>
      <c r="AI412">
        <v>520</v>
      </c>
      <c r="AJ412">
        <v>0</v>
      </c>
      <c r="AK412">
        <v>0</v>
      </c>
      <c r="AL412">
        <v>296</v>
      </c>
      <c r="AM412">
        <v>0</v>
      </c>
      <c r="AN412">
        <v>68</v>
      </c>
      <c r="AO412">
        <v>416</v>
      </c>
      <c r="AP412">
        <v>11</v>
      </c>
      <c r="AQ412">
        <v>0</v>
      </c>
      <c r="AR412">
        <v>2</v>
      </c>
      <c r="AS412" t="s">
        <v>58</v>
      </c>
      <c r="AT412">
        <v>1</v>
      </c>
      <c r="AU412" t="s">
        <v>63</v>
      </c>
      <c r="AV412" t="s">
        <v>60</v>
      </c>
      <c r="AW412">
        <v>1</v>
      </c>
      <c r="AX412">
        <v>3</v>
      </c>
      <c r="AY412">
        <v>0</v>
      </c>
      <c r="AZ412">
        <v>6800</v>
      </c>
      <c r="BA412">
        <v>100</v>
      </c>
      <c r="BB412">
        <v>100</v>
      </c>
      <c r="BC412">
        <v>100</v>
      </c>
      <c r="BD412">
        <v>100</v>
      </c>
      <c r="BE412">
        <v>1</v>
      </c>
      <c r="BF412">
        <v>15000</v>
      </c>
      <c r="BG412">
        <v>1000</v>
      </c>
      <c r="BH412" s="6">
        <f>Grandview_Inventory[[#This Row],[land_extract]]*Lookups!$B$3</f>
        <v>60337.172178496294</v>
      </c>
      <c r="BI412" s="6">
        <f>IF(Grandview_Inventory[[#This Row],[bldg_style]]="",0,Lookups!$B$2)</f>
        <v>155833.95000000001</v>
      </c>
      <c r="BJ412" s="6">
        <f>_xlfn.IFNA(VLOOKUP(Grandview_Inventory[[#This Row],[quality]],Lookups!$H$2:$J$14,3,FALSE),0)</f>
        <v>9808</v>
      </c>
      <c r="BK412" s="6">
        <f>_xlfn.IFNA(VLOOKUP(Grandview_Inventory[[#This Row],[condition]],Lookups!$H$17:$J$24,3,FALSE),0)</f>
        <v>22342</v>
      </c>
      <c r="BL412" s="6">
        <f>Grandview_Inventory[[#This Row],[Eff_Age]]*Lookups!$B$14</f>
        <v>-10523.330399999999</v>
      </c>
      <c r="BM412" s="6">
        <f>Grandview_Inventory[[#This Row],[living_area]]*Lookups!$B$15</f>
        <v>189138.746296</v>
      </c>
      <c r="BN412" s="6">
        <f>Grandview_Inventory[[#This Row],[Fin BSMT]]*Lookups!$B$16</f>
        <v>-42708.402240000003</v>
      </c>
      <c r="BO412" s="6">
        <f>(Grandview_Inventory[[#This Row],[att_gar]]+Grandview_Inventory[[#This Row],[bltin_gar]])*Lookups!$B$17</f>
        <v>45510.627240000002</v>
      </c>
      <c r="BP412" s="6">
        <f>Grandview_Inventory[[#This Row],[Plumbing Fixtures]]*Lookups!$B$18</f>
        <v>22114.859800000002</v>
      </c>
      <c r="BQ412" s="6">
        <f>Grandview_Inventory[[#This Row],[detatched_value]]*Lookups!$B$19</f>
        <v>5758.2746799999995</v>
      </c>
      <c r="BR412" s="6">
        <f>SUM(Grandview_Inventory[[#This Row],[Intercept]:[det_value]])*Grandview_Inventory[[#This Row],[res_pct]]</f>
        <v>397274.72537599993</v>
      </c>
      <c r="BS412" s="6">
        <f>Grandview_Inventory[[#This Row],[land_value]]</f>
        <v>60337.172178496294</v>
      </c>
      <c r="BT412" s="4">
        <f>_xlfn.IFNA(VLOOKUP(Grandview_Inventory[[#This Row],[quality]],Lookups!$A$26:$C$33,3,FALSE),1)</f>
        <v>0.94295468617355149</v>
      </c>
      <c r="BU412" s="4">
        <f>_xlfn.IFNA(VLOOKUP(Grandview_Inventory[[#This Row],[condition]],Lookups!$A$37:$C$44,3,FALSE),1)</f>
        <v>0.97383723671140243</v>
      </c>
      <c r="BV412" s="4">
        <f>IF(Grandview_Inventory[[#This Row],[bldg_style]]="",1,_xlfn.IFNA(VLOOKUP(Grandview_Inventory[[#This Row],[decade]],Lookups!$F$29:$H$43,3,FALSE),1))</f>
        <v>0.9871940091910919</v>
      </c>
      <c r="BW412" s="4">
        <f>_xlfn.IFNA(VLOOKUP(Grandview_Inventory[[#This Row],[living_area_range]],Lookups!$F$47:$H$56,3,FALSE),1)</f>
        <v>1.0170112215140563</v>
      </c>
      <c r="BX412" s="4">
        <f>AVERAGE(Grandview_Inventory[[#This Row],[qual_adj]:[size_adj]])</f>
        <v>0.98024928839752556</v>
      </c>
      <c r="BY412" s="6">
        <f>IF(Grandview_Inventory[[#This Row],[pre_res]]&lt;0,0,Grandview_Inventory[[#This Row],[pre_res]]*Grandview_Inventory[[#This Row],[overall_adj]])</f>
        <v>389428.26684814633</v>
      </c>
      <c r="BZ412" s="6">
        <f>(Grandview_Inventory[[#This Row],[sum_land]]-IF(Grandview_Inventory[[#This Row],[no_utilities]]=1,12000,0))/IF(Grandview_Inventory[[#This Row],[unbuildable]]=1,2,1)</f>
        <v>60337.172178496294</v>
      </c>
      <c r="CA412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412">
        <f>ROUND(Grandview_Inventory[[#This Row],[det_value]]*Lookups!$M$28,-2)</f>
        <v>5500</v>
      </c>
      <c r="CC412">
        <f>IF(ROUND(Grandview_Inventory[[#This Row],[adj_res]]*Lookups!$M$28,-2)&lt;Grandview_Inventory[[#This Row],[min_res]],Grandview_Inventory[[#This Row],[min_res]],ROUND(Grandview_Inventory[[#This Row],[adj_res]]*Lookups!$M$28,-2))</f>
        <v>370000</v>
      </c>
      <c r="CD412">
        <f>Grandview_Inventory[[#This Row],[final_det]]+Grandview_Inventory[[#This Row],[final_res]]</f>
        <v>375500</v>
      </c>
      <c r="CE412">
        <f>Grandview_Inventory[[#This Row],[final_land]]+Grandview_Inventory[[#This Row],[final_imp]]+Grandview_Inventory[[#This Row],[crop_value]]</f>
        <v>432800</v>
      </c>
      <c r="CG412" t="str">
        <f t="shared" si="6"/>
        <v>update valuation set market_land =57300, market_bldg=375500, market_total =432800, market_mdno =401, market_date ='9/10/2023' where link_id = (select link_id from parcel where parcel_year = '2024' and parcel_id = '23091911450');</v>
      </c>
    </row>
    <row r="413" spans="1:85" x14ac:dyDescent="0.25">
      <c r="A413">
        <v>23091911453</v>
      </c>
      <c r="B413">
        <v>3.13</v>
      </c>
      <c r="C413">
        <v>136506</v>
      </c>
      <c r="D413" t="s">
        <v>129</v>
      </c>
      <c r="E413" t="s">
        <v>53</v>
      </c>
      <c r="F413" t="s">
        <v>53</v>
      </c>
      <c r="G413">
        <v>4</v>
      </c>
      <c r="H413" t="s">
        <v>54</v>
      </c>
      <c r="I413">
        <v>380700</v>
      </c>
      <c r="J413">
        <v>65300</v>
      </c>
      <c r="K413">
        <v>3.13</v>
      </c>
      <c r="L413">
        <f>IF(Grandview_Inventory[[#This Row],[parcel_acres]]-Grandview_Inventory[[#This Row],[non_valued_acres]] =0,0,LN(Grandview_Inventory[[#This Row],[parcel_acres]]-Grandview_Inventory[[#This Row],[non_valued_acres]]))</f>
        <v>1.1410330045520618</v>
      </c>
      <c r="M413">
        <v>0</v>
      </c>
      <c r="N413">
        <v>0</v>
      </c>
      <c r="O413">
        <v>0</v>
      </c>
      <c r="P413">
        <v>13398.7528</v>
      </c>
      <c r="Q413">
        <v>63903</v>
      </c>
      <c r="R413">
        <f>(Grandview_Inventory[[#This Row],[ln_acres]]*Grandview_Inventory[[#This Row],[coeff]])+Grandview_Inventory[[#This Row],[const]]</f>
        <v>79191.419164634353</v>
      </c>
      <c r="S413" t="s">
        <v>58</v>
      </c>
      <c r="T413">
        <v>1</v>
      </c>
      <c r="U413" t="s">
        <v>64</v>
      </c>
      <c r="V413" t="s">
        <v>67</v>
      </c>
      <c r="W413">
        <v>0</v>
      </c>
      <c r="X413">
        <v>0</v>
      </c>
      <c r="Y413">
        <v>35</v>
      </c>
      <c r="Z413">
        <v>35</v>
      </c>
      <c r="AA413">
        <v>40</v>
      </c>
      <c r="AB413">
        <v>3500</v>
      </c>
      <c r="AC413">
        <v>3316</v>
      </c>
      <c r="AD413">
        <v>2568</v>
      </c>
      <c r="AE413">
        <v>0</v>
      </c>
      <c r="AF413">
        <v>0</v>
      </c>
      <c r="AG413">
        <v>748</v>
      </c>
      <c r="AH413">
        <v>0</v>
      </c>
      <c r="AI413">
        <v>0</v>
      </c>
      <c r="AJ413">
        <v>0</v>
      </c>
      <c r="AK413">
        <v>0</v>
      </c>
      <c r="AL413">
        <v>184</v>
      </c>
      <c r="AM413">
        <v>438</v>
      </c>
      <c r="AN413">
        <v>0</v>
      </c>
      <c r="AO413">
        <v>0</v>
      </c>
      <c r="AP413">
        <v>8</v>
      </c>
      <c r="AQ413">
        <v>1</v>
      </c>
      <c r="AR413">
        <v>0</v>
      </c>
      <c r="AS413" t="s">
        <v>76</v>
      </c>
      <c r="AT413">
        <v>1</v>
      </c>
      <c r="AU413" t="s">
        <v>59</v>
      </c>
      <c r="AV413" t="s">
        <v>60</v>
      </c>
      <c r="AW413">
        <v>1</v>
      </c>
      <c r="AX413">
        <v>3</v>
      </c>
      <c r="AY413">
        <v>0</v>
      </c>
      <c r="AZ413">
        <v>50600</v>
      </c>
      <c r="BA413">
        <v>100</v>
      </c>
      <c r="BB413">
        <v>100</v>
      </c>
      <c r="BC413">
        <v>100</v>
      </c>
      <c r="BD413">
        <v>100</v>
      </c>
      <c r="BE413">
        <v>1</v>
      </c>
      <c r="BF413">
        <v>15000</v>
      </c>
      <c r="BG413">
        <v>1000</v>
      </c>
      <c r="BH413" s="6">
        <f>Grandview_Inventory[[#This Row],[land_extract]]*Lookups!$B$3</f>
        <v>91964.781259058131</v>
      </c>
      <c r="BI413" s="6">
        <f>IF(Grandview_Inventory[[#This Row],[bldg_style]]="",0,Lookups!$B$2)</f>
        <v>155833.95000000001</v>
      </c>
      <c r="BJ413" s="6">
        <f>_xlfn.IFNA(VLOOKUP(Grandview_Inventory[[#This Row],[quality]],Lookups!$H$2:$J$14,3,FALSE),0)</f>
        <v>20768</v>
      </c>
      <c r="BK413" s="6">
        <f>_xlfn.IFNA(VLOOKUP(Grandview_Inventory[[#This Row],[condition]],Lookups!$H$17:$J$24,3,FALSE),0)</f>
        <v>22342</v>
      </c>
      <c r="BL413" s="6">
        <f>Grandview_Inventory[[#This Row],[Eff_Age]]*Lookups!$B$14</f>
        <v>-8370.8310000000001</v>
      </c>
      <c r="BM413" s="6">
        <f>Grandview_Inventory[[#This Row],[living_area]]*Lookups!$B$15</f>
        <v>206854.90854800001</v>
      </c>
      <c r="BN413" s="6">
        <f>Grandview_Inventory[[#This Row],[Fin BSMT]]*Lookups!$B$16</f>
        <v>-20270.231520000001</v>
      </c>
      <c r="BO413" s="6">
        <f>(Grandview_Inventory[[#This Row],[att_gar]]+Grandview_Inventory[[#This Row],[bltin_gar]])*Lookups!$B$17</f>
        <v>0</v>
      </c>
      <c r="BP413" s="6">
        <f>Grandview_Inventory[[#This Row],[Plumbing Fixtures]]*Lookups!$B$18</f>
        <v>16083.5344</v>
      </c>
      <c r="BQ413" s="6">
        <f>Grandview_Inventory[[#This Row],[detatched_value]]*Lookups!$B$19</f>
        <v>42848.338060000002</v>
      </c>
      <c r="BR413" s="6">
        <f>SUM(Grandview_Inventory[[#This Row],[Intercept]:[det_value]])*Grandview_Inventory[[#This Row],[res_pct]]</f>
        <v>436089.66848799994</v>
      </c>
      <c r="BS413" s="6">
        <f>Grandview_Inventory[[#This Row],[land_value]]</f>
        <v>91964.781259058131</v>
      </c>
      <c r="BT413" s="4">
        <f>_xlfn.IFNA(VLOOKUP(Grandview_Inventory[[#This Row],[quality]],Lookups!$A$26:$C$33,3,FALSE),1)</f>
        <v>0.94960540378902636</v>
      </c>
      <c r="BU413" s="4">
        <f>_xlfn.IFNA(VLOOKUP(Grandview_Inventory[[#This Row],[condition]],Lookups!$A$37:$C$44,3,FALSE),1)</f>
        <v>0.97383723671140243</v>
      </c>
      <c r="BV413" s="4">
        <f>IF(Grandview_Inventory[[#This Row],[bldg_style]]="",1,_xlfn.IFNA(VLOOKUP(Grandview_Inventory[[#This Row],[decade]],Lookups!$F$29:$H$43,3,FALSE),1))</f>
        <v>0.98031878267063854</v>
      </c>
      <c r="BW413" s="4">
        <f>_xlfn.IFNA(VLOOKUP(Grandview_Inventory[[#This Row],[living_area_range]],Lookups!$F$47:$H$56,3,FALSE),1)</f>
        <v>1.0170112215140563</v>
      </c>
      <c r="BX413" s="4">
        <f>AVERAGE(Grandview_Inventory[[#This Row],[qual_adj]:[size_adj]])</f>
        <v>0.98019316117128086</v>
      </c>
      <c r="BY413" s="6">
        <f>IF(Grandview_Inventory[[#This Row],[pre_res]]&lt;0,0,Grandview_Inventory[[#This Row],[pre_res]]*Grandview_Inventory[[#This Row],[overall_adj]])</f>
        <v>427452.11070938857</v>
      </c>
      <c r="BZ413" s="6">
        <f>(Grandview_Inventory[[#This Row],[sum_land]]-IF(Grandview_Inventory[[#This Row],[no_utilities]]=1,12000,0))/IF(Grandview_Inventory[[#This Row],[unbuildable]]=1,2,1)</f>
        <v>91964.781259058131</v>
      </c>
      <c r="CA413">
        <f>IF(ROUND(Grandview_Inventory[[#This Row],[adj_land]]*Lookups!$M$28,-2)&lt;Grandview_Inventory[[#This Row],[min_land]],Grandview_Inventory[[#This Row],[min_land]],ROUND(Grandview_Inventory[[#This Row],[adj_land]]*Lookups!$M$28,-2))</f>
        <v>87400</v>
      </c>
      <c r="CB413">
        <f>ROUND(Grandview_Inventory[[#This Row],[det_value]]*Lookups!$M$28,-2)</f>
        <v>40700</v>
      </c>
      <c r="CC413">
        <f>IF(ROUND(Grandview_Inventory[[#This Row],[adj_res]]*Lookups!$M$28,-2)&lt;Grandview_Inventory[[#This Row],[min_res]],Grandview_Inventory[[#This Row],[min_res]],ROUND(Grandview_Inventory[[#This Row],[adj_res]]*Lookups!$M$28,-2))</f>
        <v>406100</v>
      </c>
      <c r="CD413">
        <f>Grandview_Inventory[[#This Row],[final_det]]+Grandview_Inventory[[#This Row],[final_res]]</f>
        <v>446800</v>
      </c>
      <c r="CE413">
        <f>Grandview_Inventory[[#This Row],[final_land]]+Grandview_Inventory[[#This Row],[final_imp]]+Grandview_Inventory[[#This Row],[crop_value]]</f>
        <v>534200</v>
      </c>
      <c r="CG413" t="str">
        <f t="shared" si="6"/>
        <v>update valuation set market_land =87400, market_bldg=446800, market_total =534200, market_mdno =401, market_date ='9/10/2023' where link_id = (select link_id from parcel where parcel_year = '2024' and parcel_id = '23091911453');</v>
      </c>
    </row>
    <row r="414" spans="1:85" x14ac:dyDescent="0.25">
      <c r="A414">
        <v>23091911454</v>
      </c>
      <c r="B414">
        <v>2.87</v>
      </c>
      <c r="C414">
        <v>125055</v>
      </c>
      <c r="D414" t="s">
        <v>129</v>
      </c>
      <c r="E414" t="s">
        <v>53</v>
      </c>
      <c r="F414" t="s">
        <v>53</v>
      </c>
      <c r="G414">
        <v>4</v>
      </c>
      <c r="H414" t="s">
        <v>54</v>
      </c>
      <c r="I414">
        <v>233300</v>
      </c>
      <c r="J414">
        <v>64100</v>
      </c>
      <c r="K414">
        <v>2.87</v>
      </c>
      <c r="L414">
        <f>IF(Grandview_Inventory[[#This Row],[parcel_acres]]-Grandview_Inventory[[#This Row],[non_valued_acres]] =0,0,LN(Grandview_Inventory[[#This Row],[parcel_acres]]-Grandview_Inventory[[#This Row],[non_valued_acres]]))</f>
        <v>1.0543120297715298</v>
      </c>
      <c r="M414">
        <v>0</v>
      </c>
      <c r="N414">
        <v>0</v>
      </c>
      <c r="O414">
        <v>0</v>
      </c>
      <c r="P414">
        <v>13398.7528</v>
      </c>
      <c r="Q414">
        <v>63903</v>
      </c>
      <c r="R414">
        <f>(Grandview_Inventory[[#This Row],[ln_acres]]*Grandview_Inventory[[#This Row],[coeff]])+Grandview_Inventory[[#This Row],[const]]</f>
        <v>78029.466260974965</v>
      </c>
      <c r="S414" t="s">
        <v>58</v>
      </c>
      <c r="T414">
        <v>1</v>
      </c>
      <c r="U414" t="s">
        <v>56</v>
      </c>
      <c r="V414" t="s">
        <v>69</v>
      </c>
      <c r="W414">
        <v>30700</v>
      </c>
      <c r="X414">
        <v>0</v>
      </c>
      <c r="Y414">
        <v>45</v>
      </c>
      <c r="Z414">
        <v>50</v>
      </c>
      <c r="AA414">
        <v>50</v>
      </c>
      <c r="AB414">
        <v>2500</v>
      </c>
      <c r="AC414">
        <v>2424</v>
      </c>
      <c r="AD414">
        <v>1818</v>
      </c>
      <c r="AE414">
        <v>0</v>
      </c>
      <c r="AF414">
        <v>0</v>
      </c>
      <c r="AG414">
        <v>606</v>
      </c>
      <c r="AH414">
        <v>1212</v>
      </c>
      <c r="AI414">
        <v>598</v>
      </c>
      <c r="AJ414">
        <v>0</v>
      </c>
      <c r="AK414">
        <v>0</v>
      </c>
      <c r="AL414">
        <v>428</v>
      </c>
      <c r="AM414">
        <v>0</v>
      </c>
      <c r="AN414">
        <v>28</v>
      </c>
      <c r="AO414">
        <v>184</v>
      </c>
      <c r="AP414">
        <v>9</v>
      </c>
      <c r="AQ414">
        <v>0</v>
      </c>
      <c r="AR414">
        <v>1</v>
      </c>
      <c r="AS414" t="s">
        <v>58</v>
      </c>
      <c r="AT414">
        <v>1</v>
      </c>
      <c r="AU414" t="s">
        <v>63</v>
      </c>
      <c r="AV414" t="s">
        <v>60</v>
      </c>
      <c r="AW414">
        <v>1</v>
      </c>
      <c r="AX414">
        <v>3</v>
      </c>
      <c r="AY414">
        <v>0</v>
      </c>
      <c r="AZ414">
        <v>0</v>
      </c>
      <c r="BA414">
        <v>100</v>
      </c>
      <c r="BB414">
        <v>100</v>
      </c>
      <c r="BC414">
        <v>100</v>
      </c>
      <c r="BD414">
        <v>100</v>
      </c>
      <c r="BE414">
        <v>1</v>
      </c>
      <c r="BF414">
        <v>15000</v>
      </c>
      <c r="BG414">
        <v>1000</v>
      </c>
      <c r="BH414" s="6">
        <f>Grandview_Inventory[[#This Row],[land_extract]]*Lookups!$B$3</f>
        <v>90615.408489311318</v>
      </c>
      <c r="BI414" s="6">
        <f>IF(Grandview_Inventory[[#This Row],[bldg_style]]="",0,Lookups!$B$2)</f>
        <v>155833.95000000001</v>
      </c>
      <c r="BJ414" s="6">
        <f>_xlfn.IFNA(VLOOKUP(Grandview_Inventory[[#This Row],[quality]],Lookups!$H$2:$J$14,3,FALSE),0)</f>
        <v>56323</v>
      </c>
      <c r="BK414" s="6">
        <f>_xlfn.IFNA(VLOOKUP(Grandview_Inventory[[#This Row],[condition]],Lookups!$H$17:$J$24,3,FALSE),0)</f>
        <v>-4503</v>
      </c>
      <c r="BL414" s="6">
        <f>Grandview_Inventory[[#This Row],[Eff_Age]]*Lookups!$B$14</f>
        <v>-10762.496999999999</v>
      </c>
      <c r="BM414" s="6">
        <f>Grandview_Inventory[[#This Row],[living_area]]*Lookups!$B$15</f>
        <v>151211.187672</v>
      </c>
      <c r="BN414" s="6">
        <f>Grandview_Inventory[[#This Row],[Fin BSMT]]*Lookups!$B$16</f>
        <v>-16422.139440000003</v>
      </c>
      <c r="BO414" s="6">
        <f>(Grandview_Inventory[[#This Row],[att_gar]]+Grandview_Inventory[[#This Row],[bltin_gar]])*Lookups!$B$17</f>
        <v>52337.221325999999</v>
      </c>
      <c r="BP414" s="6">
        <f>Grandview_Inventory[[#This Row],[Plumbing Fixtures]]*Lookups!$B$18</f>
        <v>18093.976200000001</v>
      </c>
      <c r="BQ414" s="6">
        <f>Grandview_Inventory[[#This Row],[detatched_value]]*Lookups!$B$19</f>
        <v>0</v>
      </c>
      <c r="BR414" s="6">
        <f>SUM(Grandview_Inventory[[#This Row],[Intercept]:[det_value]])*Grandview_Inventory[[#This Row],[res_pct]]</f>
        <v>402111.69875799998</v>
      </c>
      <c r="BS414" s="6">
        <f>Grandview_Inventory[[#This Row],[land_value]]</f>
        <v>90615.408489311318</v>
      </c>
      <c r="BT414" s="4">
        <f>_xlfn.IFNA(VLOOKUP(Grandview_Inventory[[#This Row],[quality]],Lookups!$A$26:$C$33,3,FALSE),1)</f>
        <v>0.76437650671582003</v>
      </c>
      <c r="BU414" s="4">
        <f>_xlfn.IFNA(VLOOKUP(Grandview_Inventory[[#This Row],[condition]],Lookups!$A$37:$C$44,3,FALSE),1)</f>
        <v>0.96469275950863709</v>
      </c>
      <c r="BV414" s="4">
        <f>IF(Grandview_Inventory[[#This Row],[bldg_style]]="",1,_xlfn.IFNA(VLOOKUP(Grandview_Inventory[[#This Row],[decade]],Lookups!$F$29:$H$43,3,FALSE),1))</f>
        <v>0.9871940091910919</v>
      </c>
      <c r="BW414" s="4">
        <f>_xlfn.IFNA(VLOOKUP(Grandview_Inventory[[#This Row],[living_area_range]],Lookups!$F$47:$H$56,3,FALSE),1)</f>
        <v>0.95799442568048754</v>
      </c>
      <c r="BX414" s="4">
        <f>AVERAGE(Grandview_Inventory[[#This Row],[qual_adj]:[size_adj]])</f>
        <v>0.91856442527400917</v>
      </c>
      <c r="BY414" s="6">
        <f>IF(Grandview_Inventory[[#This Row],[pre_res]]&lt;0,0,Grandview_Inventory[[#This Row],[pre_res]]*Grandview_Inventory[[#This Row],[overall_adj]])</f>
        <v>369365.50146559777</v>
      </c>
      <c r="BZ414" s="6">
        <f>(Grandview_Inventory[[#This Row],[sum_land]]-IF(Grandview_Inventory[[#This Row],[no_utilities]]=1,12000,0))/IF(Grandview_Inventory[[#This Row],[unbuildable]]=1,2,1)</f>
        <v>90615.408489311318</v>
      </c>
      <c r="CA414">
        <f>IF(ROUND(Grandview_Inventory[[#This Row],[adj_land]]*Lookups!$M$28,-2)&lt;Grandview_Inventory[[#This Row],[min_land]],Grandview_Inventory[[#This Row],[min_land]],ROUND(Grandview_Inventory[[#This Row],[adj_land]]*Lookups!$M$28,-2))</f>
        <v>86100</v>
      </c>
      <c r="CB414">
        <f>ROUND(Grandview_Inventory[[#This Row],[det_value]]*Lookups!$M$28,-2)</f>
        <v>0</v>
      </c>
      <c r="CC414">
        <f>IF(ROUND(Grandview_Inventory[[#This Row],[adj_res]]*Lookups!$M$28,-2)&lt;Grandview_Inventory[[#This Row],[min_res]],Grandview_Inventory[[#This Row],[min_res]],ROUND(Grandview_Inventory[[#This Row],[adj_res]]*Lookups!$M$28,-2))</f>
        <v>350900</v>
      </c>
      <c r="CD414">
        <f>Grandview_Inventory[[#This Row],[final_det]]+Grandview_Inventory[[#This Row],[final_res]]</f>
        <v>350900</v>
      </c>
      <c r="CE414">
        <f>Grandview_Inventory[[#This Row],[final_land]]+Grandview_Inventory[[#This Row],[final_imp]]+Grandview_Inventory[[#This Row],[crop_value]]</f>
        <v>437000</v>
      </c>
      <c r="CG414" t="str">
        <f t="shared" si="6"/>
        <v>update valuation set market_land =86100, market_bldg=350900, market_total =437000, market_mdno =401, market_date ='9/10/2023' where link_id = (select link_id from parcel where parcel_year = '2024' and parcel_id = '23091911454');</v>
      </c>
    </row>
    <row r="415" spans="1:85" x14ac:dyDescent="0.25">
      <c r="A415">
        <v>23091911455</v>
      </c>
      <c r="B415">
        <v>0.68</v>
      </c>
      <c r="C415" t="s">
        <v>129</v>
      </c>
      <c r="D415" t="s">
        <v>129</v>
      </c>
      <c r="E415" t="s">
        <v>53</v>
      </c>
      <c r="F415" t="s">
        <v>53</v>
      </c>
      <c r="G415">
        <v>4</v>
      </c>
      <c r="H415" t="s">
        <v>54</v>
      </c>
      <c r="I415">
        <v>466200</v>
      </c>
      <c r="J415">
        <v>46600</v>
      </c>
      <c r="K415">
        <v>0.68</v>
      </c>
      <c r="L415">
        <f>IF(Grandview_Inventory[[#This Row],[parcel_acres]]-Grandview_Inventory[[#This Row],[non_valued_acres]] =0,0,LN(Grandview_Inventory[[#This Row],[parcel_acres]]-Grandview_Inventory[[#This Row],[non_valued_acres]]))</f>
        <v>-0.38566248081198462</v>
      </c>
      <c r="M415">
        <v>0</v>
      </c>
      <c r="N415">
        <v>0</v>
      </c>
      <c r="O415">
        <v>0</v>
      </c>
      <c r="P415">
        <v>13398.7528</v>
      </c>
      <c r="Q415">
        <v>63903</v>
      </c>
      <c r="R415">
        <f>(Grandview_Inventory[[#This Row],[ln_acres]]*Grandview_Inventory[[#This Row],[coeff]])+Grandview_Inventory[[#This Row],[const]]</f>
        <v>58735.603755365475</v>
      </c>
      <c r="S415" t="s">
        <v>61</v>
      </c>
      <c r="T415">
        <v>1</v>
      </c>
      <c r="U415" t="s">
        <v>64</v>
      </c>
      <c r="V415" t="s">
        <v>67</v>
      </c>
      <c r="W415">
        <v>0</v>
      </c>
      <c r="X415">
        <v>0</v>
      </c>
      <c r="Y415">
        <v>43</v>
      </c>
      <c r="Z415">
        <v>44</v>
      </c>
      <c r="AA415">
        <v>50</v>
      </c>
      <c r="AB415">
        <v>3000</v>
      </c>
      <c r="AC415">
        <v>2562</v>
      </c>
      <c r="AD415">
        <v>2562</v>
      </c>
      <c r="AE415">
        <v>0</v>
      </c>
      <c r="AF415">
        <v>0</v>
      </c>
      <c r="AG415">
        <v>0</v>
      </c>
      <c r="AH415">
        <v>0</v>
      </c>
      <c r="AI415">
        <v>1288</v>
      </c>
      <c r="AJ415">
        <v>0</v>
      </c>
      <c r="AK415">
        <v>0</v>
      </c>
      <c r="AL415">
        <v>498</v>
      </c>
      <c r="AM415">
        <v>547</v>
      </c>
      <c r="AN415">
        <v>0</v>
      </c>
      <c r="AO415">
        <v>0</v>
      </c>
      <c r="AP415">
        <v>12</v>
      </c>
      <c r="AQ415">
        <v>0</v>
      </c>
      <c r="AR415">
        <v>0</v>
      </c>
      <c r="AS415" t="s">
        <v>58</v>
      </c>
      <c r="AT415">
        <v>1</v>
      </c>
      <c r="AU415" t="s">
        <v>63</v>
      </c>
      <c r="AV415" t="s">
        <v>60</v>
      </c>
      <c r="AW415">
        <v>1</v>
      </c>
      <c r="AX415">
        <v>3</v>
      </c>
      <c r="AY415">
        <v>0</v>
      </c>
      <c r="AZ415">
        <v>93100</v>
      </c>
      <c r="BA415">
        <v>100</v>
      </c>
      <c r="BB415">
        <v>100</v>
      </c>
      <c r="BC415">
        <v>100</v>
      </c>
      <c r="BD415">
        <v>100</v>
      </c>
      <c r="BE415">
        <v>1</v>
      </c>
      <c r="BF415">
        <v>15000</v>
      </c>
      <c r="BG415">
        <v>1000</v>
      </c>
      <c r="BH415" s="6">
        <f>Grandview_Inventory[[#This Row],[land_extract]]*Lookups!$B$3</f>
        <v>68209.498054975789</v>
      </c>
      <c r="BI415" s="6">
        <f>IF(Grandview_Inventory[[#This Row],[bldg_style]]="",0,Lookups!$B$2)</f>
        <v>155833.95000000001</v>
      </c>
      <c r="BJ415" s="6">
        <f>_xlfn.IFNA(VLOOKUP(Grandview_Inventory[[#This Row],[quality]],Lookups!$H$2:$J$14,3,FALSE),0)</f>
        <v>20768</v>
      </c>
      <c r="BK415" s="6">
        <f>_xlfn.IFNA(VLOOKUP(Grandview_Inventory[[#This Row],[condition]],Lookups!$H$17:$J$24,3,FALSE),0)</f>
        <v>22342</v>
      </c>
      <c r="BL415" s="6">
        <f>Grandview_Inventory[[#This Row],[Eff_Age]]*Lookups!$B$14</f>
        <v>-10284.1638</v>
      </c>
      <c r="BM415" s="6">
        <f>Grandview_Inventory[[#This Row],[living_area]]*Lookups!$B$15</f>
        <v>159819.745386</v>
      </c>
      <c r="BN415" s="6">
        <f>Grandview_Inventory[[#This Row],[Fin BSMT]]*Lookups!$B$16</f>
        <v>0</v>
      </c>
      <c r="BO415" s="6">
        <f>(Grandview_Inventory[[#This Row],[att_gar]]+Grandview_Inventory[[#This Row],[bltin_gar]])*Lookups!$B$17</f>
        <v>112726.322856</v>
      </c>
      <c r="BP415" s="6">
        <f>Grandview_Inventory[[#This Row],[Plumbing Fixtures]]*Lookups!$B$18</f>
        <v>24125.301599999999</v>
      </c>
      <c r="BQ415" s="6">
        <f>Grandview_Inventory[[#This Row],[detatched_value]]*Lookups!$B$19</f>
        <v>78837.554810000001</v>
      </c>
      <c r="BR415" s="6">
        <f>SUM(Grandview_Inventory[[#This Row],[Intercept]:[det_value]])*Grandview_Inventory[[#This Row],[res_pct]]</f>
        <v>564168.71085199993</v>
      </c>
      <c r="BS415" s="6">
        <f>Grandview_Inventory[[#This Row],[land_value]]</f>
        <v>68209.498054975789</v>
      </c>
      <c r="BT415" s="4">
        <f>_xlfn.IFNA(VLOOKUP(Grandview_Inventory[[#This Row],[quality]],Lookups!$A$26:$C$33,3,FALSE),1)</f>
        <v>0.94960540378902636</v>
      </c>
      <c r="BU415" s="4">
        <f>_xlfn.IFNA(VLOOKUP(Grandview_Inventory[[#This Row],[condition]],Lookups!$A$37:$C$44,3,FALSE),1)</f>
        <v>0.97383723671140243</v>
      </c>
      <c r="BV415" s="4">
        <f>IF(Grandview_Inventory[[#This Row],[bldg_style]]="",1,_xlfn.IFNA(VLOOKUP(Grandview_Inventory[[#This Row],[decade]],Lookups!$F$29:$H$43,3,FALSE),1))</f>
        <v>0.9871940091910919</v>
      </c>
      <c r="BW415" s="4">
        <f>_xlfn.IFNA(VLOOKUP(Grandview_Inventory[[#This Row],[living_area_range]],Lookups!$F$47:$H$56,3,FALSE),1)</f>
        <v>0.94224801443562123</v>
      </c>
      <c r="BX415" s="4">
        <f>AVERAGE(Grandview_Inventory[[#This Row],[qual_adj]:[size_adj]])</f>
        <v>0.96322116603178554</v>
      </c>
      <c r="BY415" s="6">
        <f>IF(Grandview_Inventory[[#This Row],[pre_res]]&lt;0,0,Grandview_Inventory[[#This Row],[pre_res]]*Grandview_Inventory[[#This Row],[overall_adj]])</f>
        <v>543419.2435055126</v>
      </c>
      <c r="BZ415" s="6">
        <f>(Grandview_Inventory[[#This Row],[sum_land]]-IF(Grandview_Inventory[[#This Row],[no_utilities]]=1,12000,0))/IF(Grandview_Inventory[[#This Row],[unbuildable]]=1,2,1)</f>
        <v>68209.498054975789</v>
      </c>
      <c r="CA415">
        <f>IF(ROUND(Grandview_Inventory[[#This Row],[adj_land]]*Lookups!$M$28,-2)&lt;Grandview_Inventory[[#This Row],[min_land]],Grandview_Inventory[[#This Row],[min_land]],ROUND(Grandview_Inventory[[#This Row],[adj_land]]*Lookups!$M$28,-2))</f>
        <v>64800</v>
      </c>
      <c r="CB415">
        <f>ROUND(Grandview_Inventory[[#This Row],[det_value]]*Lookups!$M$28,-2)</f>
        <v>74900</v>
      </c>
      <c r="CC415">
        <f>IF(ROUND(Grandview_Inventory[[#This Row],[adj_res]]*Lookups!$M$28,-2)&lt;Grandview_Inventory[[#This Row],[min_res]],Grandview_Inventory[[#This Row],[min_res]],ROUND(Grandview_Inventory[[#This Row],[adj_res]]*Lookups!$M$28,-2))</f>
        <v>516200</v>
      </c>
      <c r="CD415">
        <f>Grandview_Inventory[[#This Row],[final_det]]+Grandview_Inventory[[#This Row],[final_res]]</f>
        <v>591100</v>
      </c>
      <c r="CE415">
        <f>Grandview_Inventory[[#This Row],[final_land]]+Grandview_Inventory[[#This Row],[final_imp]]+Grandview_Inventory[[#This Row],[crop_value]]</f>
        <v>655900</v>
      </c>
      <c r="CG415" t="str">
        <f t="shared" si="6"/>
        <v>update valuation set market_land =64800, market_bldg=591100, market_total =655900, market_mdno =401, market_date ='9/10/2023' where link_id = (select link_id from parcel where parcel_year = '2024' and parcel_id = '23091911455');</v>
      </c>
    </row>
    <row r="416" spans="1:85" x14ac:dyDescent="0.25">
      <c r="A416">
        <v>23092111406</v>
      </c>
      <c r="B416">
        <v>5.17</v>
      </c>
      <c r="C416">
        <v>225054</v>
      </c>
      <c r="D416" t="s">
        <v>129</v>
      </c>
      <c r="E416" t="s">
        <v>53</v>
      </c>
      <c r="F416" t="s">
        <v>53</v>
      </c>
      <c r="G416">
        <v>4</v>
      </c>
      <c r="H416" t="s">
        <v>54</v>
      </c>
      <c r="I416">
        <v>225300</v>
      </c>
      <c r="J416">
        <v>72700</v>
      </c>
      <c r="K416">
        <v>5.17</v>
      </c>
      <c r="L416">
        <f>IF(Grandview_Inventory[[#This Row],[parcel_acres]]-Grandview_Inventory[[#This Row],[non_valued_acres]] =0,0,LN(Grandview_Inventory[[#This Row],[parcel_acres]]-Grandview_Inventory[[#This Row],[non_valued_acres]]))</f>
        <v>1.6428726885203377</v>
      </c>
      <c r="M416">
        <v>0</v>
      </c>
      <c r="N416">
        <v>0</v>
      </c>
      <c r="O416">
        <v>0</v>
      </c>
      <c r="P416">
        <v>13398.7528</v>
      </c>
      <c r="Q416">
        <v>63903</v>
      </c>
      <c r="R416">
        <f>(Grandview_Inventory[[#This Row],[ln_acres]]*Grandview_Inventory[[#This Row],[coeff]])+Grandview_Inventory[[#This Row],[const]]</f>
        <v>85915.445035355398</v>
      </c>
      <c r="S416" t="s">
        <v>61</v>
      </c>
      <c r="T416">
        <v>1</v>
      </c>
      <c r="U416" t="s">
        <v>65</v>
      </c>
      <c r="V416" t="s">
        <v>69</v>
      </c>
      <c r="W416">
        <v>0</v>
      </c>
      <c r="X416">
        <v>0</v>
      </c>
      <c r="Y416">
        <v>46</v>
      </c>
      <c r="Z416">
        <v>55</v>
      </c>
      <c r="AA416">
        <v>60</v>
      </c>
      <c r="AB416">
        <v>1500</v>
      </c>
      <c r="AC416">
        <v>1288</v>
      </c>
      <c r="AD416">
        <v>1288</v>
      </c>
      <c r="AE416">
        <v>0</v>
      </c>
      <c r="AF416">
        <v>0</v>
      </c>
      <c r="AG416">
        <v>0</v>
      </c>
      <c r="AH416">
        <v>1288</v>
      </c>
      <c r="AI416">
        <v>0</v>
      </c>
      <c r="AJ416">
        <v>0</v>
      </c>
      <c r="AK416">
        <v>0</v>
      </c>
      <c r="AL416">
        <v>0</v>
      </c>
      <c r="AM416">
        <v>280</v>
      </c>
      <c r="AN416">
        <v>280</v>
      </c>
      <c r="AO416">
        <v>0</v>
      </c>
      <c r="AP416">
        <v>5</v>
      </c>
      <c r="AQ416">
        <v>0</v>
      </c>
      <c r="AR416">
        <v>1</v>
      </c>
      <c r="AS416" t="s">
        <v>76</v>
      </c>
      <c r="AT416">
        <v>1</v>
      </c>
      <c r="AU416" t="s">
        <v>59</v>
      </c>
      <c r="AV416" t="s">
        <v>60</v>
      </c>
      <c r="AW416">
        <v>1</v>
      </c>
      <c r="AX416">
        <v>2</v>
      </c>
      <c r="AY416">
        <v>0</v>
      </c>
      <c r="AZ416">
        <v>51800</v>
      </c>
      <c r="BA416">
        <v>100</v>
      </c>
      <c r="BB416">
        <v>100</v>
      </c>
      <c r="BC416">
        <v>100</v>
      </c>
      <c r="BD416">
        <v>100</v>
      </c>
      <c r="BE416">
        <v>1</v>
      </c>
      <c r="BF416">
        <v>15000</v>
      </c>
      <c r="BG416">
        <v>1000</v>
      </c>
      <c r="BH416" s="6">
        <f>Grandview_Inventory[[#This Row],[land_extract]]*Lookups!$B$3</f>
        <v>99773.374347856632</v>
      </c>
      <c r="BI416" s="6">
        <f>IF(Grandview_Inventory[[#This Row],[bldg_style]]="",0,Lookups!$B$2)</f>
        <v>155833.95000000001</v>
      </c>
      <c r="BJ416" s="6">
        <f>_xlfn.IFNA(VLOOKUP(Grandview_Inventory[[#This Row],[quality]],Lookups!$H$2:$J$14,3,FALSE),0)</f>
        <v>2251</v>
      </c>
      <c r="BK416" s="6">
        <f>_xlfn.IFNA(VLOOKUP(Grandview_Inventory[[#This Row],[condition]],Lookups!$H$17:$J$24,3,FALSE),0)</f>
        <v>-4503</v>
      </c>
      <c r="BL416" s="6">
        <f>Grandview_Inventory[[#This Row],[Eff_Age]]*Lookups!$B$14</f>
        <v>-11001.6636</v>
      </c>
      <c r="BM416" s="6">
        <f>Grandview_Inventory[[#This Row],[living_area]]*Lookups!$B$15</f>
        <v>80346.538664000007</v>
      </c>
      <c r="BN416" s="6">
        <f>Grandview_Inventory[[#This Row],[Fin BSMT]]*Lookups!$B$16</f>
        <v>0</v>
      </c>
      <c r="BO416" s="6">
        <f>(Grandview_Inventory[[#This Row],[att_gar]]+Grandview_Inventory[[#This Row],[bltin_gar]])*Lookups!$B$17</f>
        <v>0</v>
      </c>
      <c r="BP416" s="6">
        <f>Grandview_Inventory[[#This Row],[Plumbing Fixtures]]*Lookups!$B$18</f>
        <v>10052.209000000001</v>
      </c>
      <c r="BQ416" s="6">
        <f>Grandview_Inventory[[#This Row],[detatched_value]]*Lookups!$B$19</f>
        <v>43864.504179999996</v>
      </c>
      <c r="BR416" s="6">
        <f>SUM(Grandview_Inventory[[#This Row],[Intercept]:[det_value]])*Grandview_Inventory[[#This Row],[res_pct]]</f>
        <v>276843.53824400005</v>
      </c>
      <c r="BS416" s="6">
        <f>Grandview_Inventory[[#This Row],[land_value]]</f>
        <v>99773.374347856632</v>
      </c>
      <c r="BT416" s="4">
        <f>_xlfn.IFNA(VLOOKUP(Grandview_Inventory[[#This Row],[quality]],Lookups!$A$26:$C$33,3,FALSE),1)</f>
        <v>0.98763855981004833</v>
      </c>
      <c r="BU416" s="4">
        <f>_xlfn.IFNA(VLOOKUP(Grandview_Inventory[[#This Row],[condition]],Lookups!$A$37:$C$44,3,FALSE),1)</f>
        <v>0.96469275950863709</v>
      </c>
      <c r="BV416" s="4">
        <f>IF(Grandview_Inventory[[#This Row],[bldg_style]]="",1,_xlfn.IFNA(VLOOKUP(Grandview_Inventory[[#This Row],[decade]],Lookups!$F$29:$H$43,3,FALSE),1))</f>
        <v>0.95268620544463312</v>
      </c>
      <c r="BW416" s="4">
        <f>_xlfn.IFNA(VLOOKUP(Grandview_Inventory[[#This Row],[living_area_range]],Lookups!$F$47:$H$56,3,FALSE),1)</f>
        <v>0.96135087979789358</v>
      </c>
      <c r="BX416" s="4">
        <f>AVERAGE(Grandview_Inventory[[#This Row],[qual_adj]:[size_adj]])</f>
        <v>0.96659210114030303</v>
      </c>
      <c r="BY416" s="6">
        <f>IF(Grandview_Inventory[[#This Row],[pre_res]]&lt;0,0,Grandview_Inventory[[#This Row],[pre_res]]*Grandview_Inventory[[#This Row],[overall_adj]])</f>
        <v>267594.77731838386</v>
      </c>
      <c r="BZ416" s="6">
        <f>(Grandview_Inventory[[#This Row],[sum_land]]-IF(Grandview_Inventory[[#This Row],[no_utilities]]=1,12000,0))/IF(Grandview_Inventory[[#This Row],[unbuildable]]=1,2,1)</f>
        <v>99773.374347856632</v>
      </c>
      <c r="CA416">
        <f>IF(ROUND(Grandview_Inventory[[#This Row],[adj_land]]*Lookups!$M$28,-2)&lt;Grandview_Inventory[[#This Row],[min_land]],Grandview_Inventory[[#This Row],[min_land]],ROUND(Grandview_Inventory[[#This Row],[adj_land]]*Lookups!$M$28,-2))</f>
        <v>94800</v>
      </c>
      <c r="CB416">
        <f>ROUND(Grandview_Inventory[[#This Row],[det_value]]*Lookups!$M$28,-2)</f>
        <v>41700</v>
      </c>
      <c r="CC416">
        <f>IF(ROUND(Grandview_Inventory[[#This Row],[adj_res]]*Lookups!$M$28,-2)&lt;Grandview_Inventory[[#This Row],[min_res]],Grandview_Inventory[[#This Row],[min_res]],ROUND(Grandview_Inventory[[#This Row],[adj_res]]*Lookups!$M$28,-2))</f>
        <v>254200</v>
      </c>
      <c r="CD416">
        <f>Grandview_Inventory[[#This Row],[final_det]]+Grandview_Inventory[[#This Row],[final_res]]</f>
        <v>295900</v>
      </c>
      <c r="CE416">
        <f>Grandview_Inventory[[#This Row],[final_land]]+Grandview_Inventory[[#This Row],[final_imp]]+Grandview_Inventory[[#This Row],[crop_value]]</f>
        <v>390700</v>
      </c>
      <c r="CG416" t="str">
        <f t="shared" si="6"/>
        <v>update valuation set market_land =94800, market_bldg=295900, market_total =390700, market_mdno =401, market_date ='9/10/2023' where link_id = (select link_id from parcel where parcel_year = '2024' and parcel_id = '23092111406');</v>
      </c>
    </row>
    <row r="417" spans="1:85" x14ac:dyDescent="0.25">
      <c r="A417">
        <v>23092111411</v>
      </c>
      <c r="B417">
        <v>1.25</v>
      </c>
      <c r="C417">
        <v>54251</v>
      </c>
      <c r="D417" t="s">
        <v>129</v>
      </c>
      <c r="E417" t="s">
        <v>53</v>
      </c>
      <c r="F417" t="s">
        <v>53</v>
      </c>
      <c r="G417">
        <v>4</v>
      </c>
      <c r="H417" t="s">
        <v>54</v>
      </c>
      <c r="I417">
        <v>142900</v>
      </c>
      <c r="J417">
        <v>53300</v>
      </c>
      <c r="K417">
        <v>1.25</v>
      </c>
      <c r="L417">
        <f>IF(Grandview_Inventory[[#This Row],[parcel_acres]]-Grandview_Inventory[[#This Row],[non_valued_acres]] =0,0,LN(Grandview_Inventory[[#This Row],[parcel_acres]]-Grandview_Inventory[[#This Row],[non_valued_acres]]))</f>
        <v>0.22314355131420976</v>
      </c>
      <c r="M417">
        <v>0</v>
      </c>
      <c r="N417">
        <v>0</v>
      </c>
      <c r="O417">
        <v>0</v>
      </c>
      <c r="P417">
        <v>13398.7528</v>
      </c>
      <c r="Q417">
        <v>63903</v>
      </c>
      <c r="R417">
        <f>(Grandview_Inventory[[#This Row],[ln_acres]]*Grandview_Inventory[[#This Row],[coeff]])+Grandview_Inventory[[#This Row],[const]]</f>
        <v>66892.845282973212</v>
      </c>
      <c r="S417" t="s">
        <v>86</v>
      </c>
      <c r="T417">
        <v>2</v>
      </c>
      <c r="U417" t="s">
        <v>65</v>
      </c>
      <c r="V417" t="s">
        <v>69</v>
      </c>
      <c r="W417">
        <v>0</v>
      </c>
      <c r="X417">
        <v>0</v>
      </c>
      <c r="Y417">
        <v>53</v>
      </c>
      <c r="Z417">
        <v>93</v>
      </c>
      <c r="AA417">
        <v>100</v>
      </c>
      <c r="AB417">
        <v>2000</v>
      </c>
      <c r="AC417">
        <v>1728</v>
      </c>
      <c r="AD417">
        <v>1470</v>
      </c>
      <c r="AE417">
        <v>258</v>
      </c>
      <c r="AF417">
        <v>0</v>
      </c>
      <c r="AG417">
        <v>0</v>
      </c>
      <c r="AH417">
        <v>560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745</v>
      </c>
      <c r="AO417">
        <v>0</v>
      </c>
      <c r="AP417">
        <v>8</v>
      </c>
      <c r="AQ417">
        <v>1</v>
      </c>
      <c r="AR417">
        <v>0</v>
      </c>
      <c r="AS417" t="s">
        <v>58</v>
      </c>
      <c r="AT417">
        <v>1</v>
      </c>
      <c r="AU417" t="s">
        <v>63</v>
      </c>
      <c r="AV417" t="s">
        <v>81</v>
      </c>
      <c r="AW417">
        <v>0</v>
      </c>
      <c r="AX417">
        <v>4</v>
      </c>
      <c r="AY417">
        <v>0</v>
      </c>
      <c r="AZ417">
        <v>4400</v>
      </c>
      <c r="BA417">
        <v>100</v>
      </c>
      <c r="BB417">
        <v>100</v>
      </c>
      <c r="BC417">
        <v>100</v>
      </c>
      <c r="BD417">
        <v>100</v>
      </c>
      <c r="BE417">
        <v>1</v>
      </c>
      <c r="BF417">
        <v>15000</v>
      </c>
      <c r="BG417">
        <v>1000</v>
      </c>
      <c r="BH417" s="6">
        <f>Grandview_Inventory[[#This Row],[land_extract]]*Lookups!$B$3</f>
        <v>77682.480616434521</v>
      </c>
      <c r="BI417" s="6">
        <f>IF(Grandview_Inventory[[#This Row],[bldg_style]]="",0,Lookups!$B$2)</f>
        <v>155833.95000000001</v>
      </c>
      <c r="BJ417" s="6">
        <f>_xlfn.IFNA(VLOOKUP(Grandview_Inventory[[#This Row],[quality]],Lookups!$H$2:$J$14,3,FALSE),0)</f>
        <v>2251</v>
      </c>
      <c r="BK417" s="6">
        <f>_xlfn.IFNA(VLOOKUP(Grandview_Inventory[[#This Row],[condition]],Lookups!$H$17:$J$24,3,FALSE),0)</f>
        <v>-4503</v>
      </c>
      <c r="BL417" s="6">
        <f>Grandview_Inventory[[#This Row],[Eff_Age]]*Lookups!$B$14</f>
        <v>-12675.8298</v>
      </c>
      <c r="BM417" s="6">
        <f>Grandview_Inventory[[#This Row],[living_area]]*Lookups!$B$15</f>
        <v>107794.113984</v>
      </c>
      <c r="BN417" s="6">
        <f>Grandview_Inventory[[#This Row],[Fin BSMT]]*Lookups!$B$16</f>
        <v>0</v>
      </c>
      <c r="BO417" s="6">
        <f>(Grandview_Inventory[[#This Row],[att_gar]]+Grandview_Inventory[[#This Row],[bltin_gar]])*Lookups!$B$17</f>
        <v>0</v>
      </c>
      <c r="BP417" s="6">
        <f>Grandview_Inventory[[#This Row],[Plumbing Fixtures]]*Lookups!$B$18</f>
        <v>16083.5344</v>
      </c>
      <c r="BQ417" s="6">
        <f>Grandview_Inventory[[#This Row],[detatched_value]]*Lookups!$B$19</f>
        <v>3725.9424399999998</v>
      </c>
      <c r="BR417" s="6">
        <f>SUM(Grandview_Inventory[[#This Row],[Intercept]:[det_value]])*Grandview_Inventory[[#This Row],[res_pct]]</f>
        <v>268509.71102400002</v>
      </c>
      <c r="BS417" s="6">
        <f>Grandview_Inventory[[#This Row],[land_value]]</f>
        <v>77682.480616434521</v>
      </c>
      <c r="BT417" s="4">
        <f>_xlfn.IFNA(VLOOKUP(Grandview_Inventory[[#This Row],[quality]],Lookups!$A$26:$C$33,3,FALSE),1)</f>
        <v>0.98763855981004833</v>
      </c>
      <c r="BU417" s="4">
        <f>_xlfn.IFNA(VLOOKUP(Grandview_Inventory[[#This Row],[condition]],Lookups!$A$37:$C$44,3,FALSE),1)</f>
        <v>0.96469275950863709</v>
      </c>
      <c r="BV417" s="4">
        <f>IF(Grandview_Inventory[[#This Row],[bldg_style]]="",1,_xlfn.IFNA(VLOOKUP(Grandview_Inventory[[#This Row],[decade]],Lookups!$F$29:$H$43,3,FALSE),1))</f>
        <v>0.95244691841736806</v>
      </c>
      <c r="BW417" s="4">
        <f>_xlfn.IFNA(VLOOKUP(Grandview_Inventory[[#This Row],[living_area_range]],Lookups!$F$47:$H$56,3,FALSE),1)</f>
        <v>0.96120133463014379</v>
      </c>
      <c r="BX417" s="4">
        <f>AVERAGE(Grandview_Inventory[[#This Row],[qual_adj]:[size_adj]])</f>
        <v>0.96649489309154935</v>
      </c>
      <c r="BY417" s="6">
        <f>IF(Grandview_Inventory[[#This Row],[pre_res]]&lt;0,0,Grandview_Inventory[[#This Row],[pre_res]]*Grandview_Inventory[[#This Row],[overall_adj]])</f>
        <v>259513.26445018372</v>
      </c>
      <c r="BZ417" s="6">
        <f>(Grandview_Inventory[[#This Row],[sum_land]]-IF(Grandview_Inventory[[#This Row],[no_utilities]]=1,12000,0))/IF(Grandview_Inventory[[#This Row],[unbuildable]]=1,2,1)</f>
        <v>77682.480616434521</v>
      </c>
      <c r="CA417">
        <f>IF(ROUND(Grandview_Inventory[[#This Row],[adj_land]]*Lookups!$M$28,-2)&lt;Grandview_Inventory[[#This Row],[min_land]],Grandview_Inventory[[#This Row],[min_land]],ROUND(Grandview_Inventory[[#This Row],[adj_land]]*Lookups!$M$28,-2))</f>
        <v>73800</v>
      </c>
      <c r="CB417">
        <f>ROUND(Grandview_Inventory[[#This Row],[det_value]]*Lookups!$M$28,-2)</f>
        <v>3500</v>
      </c>
      <c r="CC417">
        <f>IF(ROUND(Grandview_Inventory[[#This Row],[adj_res]]*Lookups!$M$28,-2)&lt;Grandview_Inventory[[#This Row],[min_res]],Grandview_Inventory[[#This Row],[min_res]],ROUND(Grandview_Inventory[[#This Row],[adj_res]]*Lookups!$M$28,-2))</f>
        <v>246500</v>
      </c>
      <c r="CD417">
        <f>Grandview_Inventory[[#This Row],[final_det]]+Grandview_Inventory[[#This Row],[final_res]]</f>
        <v>250000</v>
      </c>
      <c r="CE417">
        <f>Grandview_Inventory[[#This Row],[final_land]]+Grandview_Inventory[[#This Row],[final_imp]]+Grandview_Inventory[[#This Row],[crop_value]]</f>
        <v>323800</v>
      </c>
      <c r="CG417" t="str">
        <f t="shared" si="6"/>
        <v>update valuation set market_land =73800, market_bldg=250000, market_total =323800, market_mdno =401, market_date ='9/10/2023' where link_id = (select link_id from parcel where parcel_year = '2024' and parcel_id = '23092111411');</v>
      </c>
    </row>
    <row r="418" spans="1:85" x14ac:dyDescent="0.25">
      <c r="A418">
        <v>23092111413</v>
      </c>
      <c r="B418">
        <v>2.76</v>
      </c>
      <c r="C418">
        <v>120363</v>
      </c>
      <c r="D418" t="s">
        <v>129</v>
      </c>
      <c r="E418" t="s">
        <v>53</v>
      </c>
      <c r="F418" t="s">
        <v>53</v>
      </c>
      <c r="G418">
        <v>4</v>
      </c>
      <c r="H418" t="s">
        <v>54</v>
      </c>
      <c r="I418">
        <v>214800</v>
      </c>
      <c r="J418">
        <v>63600</v>
      </c>
      <c r="K418">
        <v>2.76</v>
      </c>
      <c r="L418">
        <f>IF(Grandview_Inventory[[#This Row],[parcel_acres]]-Grandview_Inventory[[#This Row],[non_valued_acres]] =0,0,LN(Grandview_Inventory[[#This Row],[parcel_acres]]-Grandview_Inventory[[#This Row],[non_valued_acres]]))</f>
        <v>1.0152306797290584</v>
      </c>
      <c r="M418">
        <v>0</v>
      </c>
      <c r="N418">
        <v>0</v>
      </c>
      <c r="O418">
        <v>0</v>
      </c>
      <c r="P418">
        <v>13398.7528</v>
      </c>
      <c r="Q418">
        <v>63903</v>
      </c>
      <c r="R418">
        <f>(Grandview_Inventory[[#This Row],[ln_acres]]*Grandview_Inventory[[#This Row],[coeff]])+Grandview_Inventory[[#This Row],[const]]</f>
        <v>77505.82491266563</v>
      </c>
      <c r="S418" t="s">
        <v>68</v>
      </c>
      <c r="T418">
        <v>1</v>
      </c>
      <c r="U418" t="s">
        <v>65</v>
      </c>
      <c r="V418" t="s">
        <v>69</v>
      </c>
      <c r="W418">
        <v>0</v>
      </c>
      <c r="X418">
        <v>0</v>
      </c>
      <c r="Y418">
        <v>50</v>
      </c>
      <c r="Z418">
        <v>75</v>
      </c>
      <c r="AA418">
        <v>80</v>
      </c>
      <c r="AB418">
        <v>2500</v>
      </c>
      <c r="AC418">
        <v>2338</v>
      </c>
      <c r="AD418">
        <v>1502</v>
      </c>
      <c r="AE418">
        <v>0</v>
      </c>
      <c r="AF418">
        <v>0</v>
      </c>
      <c r="AG418">
        <v>836</v>
      </c>
      <c r="AH418">
        <v>0</v>
      </c>
      <c r="AI418">
        <v>840</v>
      </c>
      <c r="AJ418">
        <v>0</v>
      </c>
      <c r="AK418">
        <v>0</v>
      </c>
      <c r="AL418">
        <v>480</v>
      </c>
      <c r="AM418">
        <v>0</v>
      </c>
      <c r="AN418">
        <v>0</v>
      </c>
      <c r="AO418">
        <v>636</v>
      </c>
      <c r="AP418">
        <v>5</v>
      </c>
      <c r="AQ418">
        <v>0</v>
      </c>
      <c r="AR418">
        <v>0</v>
      </c>
      <c r="AS418" t="s">
        <v>58</v>
      </c>
      <c r="AT418">
        <v>1</v>
      </c>
      <c r="AU418" t="s">
        <v>63</v>
      </c>
      <c r="AV418" t="s">
        <v>64</v>
      </c>
      <c r="AW418">
        <v>1</v>
      </c>
      <c r="AX418">
        <v>2</v>
      </c>
      <c r="AY418">
        <v>0</v>
      </c>
      <c r="AZ418">
        <v>7300</v>
      </c>
      <c r="BA418">
        <v>100</v>
      </c>
      <c r="BB418">
        <v>100</v>
      </c>
      <c r="BC418">
        <v>100</v>
      </c>
      <c r="BD418">
        <v>100</v>
      </c>
      <c r="BE418">
        <v>1</v>
      </c>
      <c r="BF418">
        <v>15000</v>
      </c>
      <c r="BG418">
        <v>1000</v>
      </c>
      <c r="BH418" s="6">
        <f>Grandview_Inventory[[#This Row],[land_extract]]*Lookups!$B$3</f>
        <v>90007.305205351324</v>
      </c>
      <c r="BI418" s="6">
        <f>IF(Grandview_Inventory[[#This Row],[bldg_style]]="",0,Lookups!$B$2)</f>
        <v>155833.95000000001</v>
      </c>
      <c r="BJ418" s="6">
        <f>_xlfn.IFNA(VLOOKUP(Grandview_Inventory[[#This Row],[quality]],Lookups!$H$2:$J$14,3,FALSE),0)</f>
        <v>2251</v>
      </c>
      <c r="BK418" s="6">
        <f>_xlfn.IFNA(VLOOKUP(Grandview_Inventory[[#This Row],[condition]],Lookups!$H$17:$J$24,3,FALSE),0)</f>
        <v>-4503</v>
      </c>
      <c r="BL418" s="6">
        <f>Grandview_Inventory[[#This Row],[Eff_Age]]*Lookups!$B$14</f>
        <v>-11958.33</v>
      </c>
      <c r="BM418" s="6">
        <f>Grandview_Inventory[[#This Row],[living_area]]*Lookups!$B$15</f>
        <v>145846.43431400001</v>
      </c>
      <c r="BN418" s="6">
        <f>Grandview_Inventory[[#This Row],[Fin BSMT]]*Lookups!$B$16</f>
        <v>-22654.964640000002</v>
      </c>
      <c r="BO418" s="6">
        <f>(Grandview_Inventory[[#This Row],[att_gar]]+Grandview_Inventory[[#This Row],[bltin_gar]])*Lookups!$B$17</f>
        <v>73517.167079999999</v>
      </c>
      <c r="BP418" s="6">
        <f>Grandview_Inventory[[#This Row],[Plumbing Fixtures]]*Lookups!$B$18</f>
        <v>10052.209000000001</v>
      </c>
      <c r="BQ418" s="6">
        <f>Grandview_Inventory[[#This Row],[detatched_value]]*Lookups!$B$19</f>
        <v>6181.6772300000002</v>
      </c>
      <c r="BR418" s="6">
        <f>SUM(Grandview_Inventory[[#This Row],[Intercept]:[det_value]])*Grandview_Inventory[[#This Row],[res_pct]]</f>
        <v>354566.14298399998</v>
      </c>
      <c r="BS418" s="6">
        <f>Grandview_Inventory[[#This Row],[land_value]]</f>
        <v>90007.305205351324</v>
      </c>
      <c r="BT418" s="4">
        <f>_xlfn.IFNA(VLOOKUP(Grandview_Inventory[[#This Row],[quality]],Lookups!$A$26:$C$33,3,FALSE),1)</f>
        <v>0.98763855981004833</v>
      </c>
      <c r="BU418" s="4">
        <f>_xlfn.IFNA(VLOOKUP(Grandview_Inventory[[#This Row],[condition]],Lookups!$A$37:$C$44,3,FALSE),1)</f>
        <v>0.96469275950863709</v>
      </c>
      <c r="BV418" s="4">
        <f>IF(Grandview_Inventory[[#This Row],[bldg_style]]="",1,_xlfn.IFNA(VLOOKUP(Grandview_Inventory[[#This Row],[decade]],Lookups!$F$29:$H$43,3,FALSE),1))</f>
        <v>0.98763256963907298</v>
      </c>
      <c r="BW418" s="4">
        <f>_xlfn.IFNA(VLOOKUP(Grandview_Inventory[[#This Row],[living_area_range]],Lookups!$F$47:$H$56,3,FALSE),1)</f>
        <v>0.95799442568048754</v>
      </c>
      <c r="BX418" s="4">
        <f>AVERAGE(Grandview_Inventory[[#This Row],[qual_adj]:[size_adj]])</f>
        <v>0.97448957865956143</v>
      </c>
      <c r="BY418" s="6">
        <f>IF(Grandview_Inventory[[#This Row],[pre_res]]&lt;0,0,Grandview_Inventory[[#This Row],[pre_res]]*Grandview_Inventory[[#This Row],[overall_adj]])</f>
        <v>345521.01128342393</v>
      </c>
      <c r="BZ418" s="6">
        <f>(Grandview_Inventory[[#This Row],[sum_land]]-IF(Grandview_Inventory[[#This Row],[no_utilities]]=1,12000,0))/IF(Grandview_Inventory[[#This Row],[unbuildable]]=1,2,1)</f>
        <v>90007.305205351324</v>
      </c>
      <c r="CA418">
        <f>IF(ROUND(Grandview_Inventory[[#This Row],[adj_land]]*Lookups!$M$28,-2)&lt;Grandview_Inventory[[#This Row],[min_land]],Grandview_Inventory[[#This Row],[min_land]],ROUND(Grandview_Inventory[[#This Row],[adj_land]]*Lookups!$M$28,-2))</f>
        <v>85500</v>
      </c>
      <c r="CB418">
        <f>ROUND(Grandview_Inventory[[#This Row],[det_value]]*Lookups!$M$28,-2)</f>
        <v>5900</v>
      </c>
      <c r="CC418">
        <f>IF(ROUND(Grandview_Inventory[[#This Row],[adj_res]]*Lookups!$M$28,-2)&lt;Grandview_Inventory[[#This Row],[min_res]],Grandview_Inventory[[#This Row],[min_res]],ROUND(Grandview_Inventory[[#This Row],[adj_res]]*Lookups!$M$28,-2))</f>
        <v>328200</v>
      </c>
      <c r="CD418">
        <f>Grandview_Inventory[[#This Row],[final_det]]+Grandview_Inventory[[#This Row],[final_res]]</f>
        <v>334100</v>
      </c>
      <c r="CE418">
        <f>Grandview_Inventory[[#This Row],[final_land]]+Grandview_Inventory[[#This Row],[final_imp]]+Grandview_Inventory[[#This Row],[crop_value]]</f>
        <v>419600</v>
      </c>
      <c r="CG418" t="str">
        <f t="shared" si="6"/>
        <v>update valuation set market_land =85500, market_bldg=334100, market_total =419600, market_mdno =401, market_date ='9/10/2023' where link_id = (select link_id from parcel where parcel_year = '2024' and parcel_id = '23092111413');</v>
      </c>
    </row>
    <row r="419" spans="1:85" x14ac:dyDescent="0.25">
      <c r="A419">
        <v>23092114403</v>
      </c>
      <c r="B419">
        <v>1.86</v>
      </c>
      <c r="C419">
        <v>80960</v>
      </c>
      <c r="D419" t="s">
        <v>129</v>
      </c>
      <c r="E419" t="s">
        <v>53</v>
      </c>
      <c r="F419" t="s">
        <v>53</v>
      </c>
      <c r="G419">
        <v>4</v>
      </c>
      <c r="H419" t="s">
        <v>54</v>
      </c>
      <c r="I419">
        <v>336400</v>
      </c>
      <c r="J419">
        <v>58200</v>
      </c>
      <c r="K419">
        <v>1.86</v>
      </c>
      <c r="L419">
        <f>IF(Grandview_Inventory[[#This Row],[parcel_acres]]-Grandview_Inventory[[#This Row],[non_valued_acres]] =0,0,LN(Grandview_Inventory[[#This Row],[parcel_acres]]-Grandview_Inventory[[#This Row],[non_valued_acres]]))</f>
        <v>0.62057648772510998</v>
      </c>
      <c r="M419">
        <v>0</v>
      </c>
      <c r="N419">
        <v>0</v>
      </c>
      <c r="O419">
        <v>0</v>
      </c>
      <c r="P419">
        <v>13398.7528</v>
      </c>
      <c r="Q419">
        <v>63903</v>
      </c>
      <c r="R419">
        <f>(Grandview_Inventory[[#This Row],[ln_acres]]*Grandview_Inventory[[#This Row],[coeff]])+Grandview_Inventory[[#This Row],[const]]</f>
        <v>72217.950952520987</v>
      </c>
      <c r="S419" t="s">
        <v>61</v>
      </c>
      <c r="T419">
        <v>1</v>
      </c>
      <c r="U419" t="s">
        <v>64</v>
      </c>
      <c r="V419" t="s">
        <v>69</v>
      </c>
      <c r="W419">
        <v>0</v>
      </c>
      <c r="X419">
        <v>0</v>
      </c>
      <c r="Y419">
        <v>48</v>
      </c>
      <c r="Z419">
        <v>59</v>
      </c>
      <c r="AA419">
        <v>60</v>
      </c>
      <c r="AB419">
        <v>3000</v>
      </c>
      <c r="AC419">
        <v>2731</v>
      </c>
      <c r="AD419">
        <v>2237</v>
      </c>
      <c r="AE419">
        <v>0</v>
      </c>
      <c r="AF419">
        <v>0</v>
      </c>
      <c r="AG419">
        <v>494</v>
      </c>
      <c r="AH419">
        <v>495</v>
      </c>
      <c r="AI419">
        <v>918</v>
      </c>
      <c r="AJ419">
        <v>0</v>
      </c>
      <c r="AK419">
        <v>0</v>
      </c>
      <c r="AL419">
        <v>308</v>
      </c>
      <c r="AM419">
        <v>0</v>
      </c>
      <c r="AN419">
        <v>276</v>
      </c>
      <c r="AO419">
        <v>0</v>
      </c>
      <c r="AP419">
        <v>12</v>
      </c>
      <c r="AQ419">
        <v>0</v>
      </c>
      <c r="AR419">
        <v>0</v>
      </c>
      <c r="AS419" t="s">
        <v>76</v>
      </c>
      <c r="AT419">
        <v>1</v>
      </c>
      <c r="AU419" t="s">
        <v>63</v>
      </c>
      <c r="AV419" t="s">
        <v>64</v>
      </c>
      <c r="AW419">
        <v>1</v>
      </c>
      <c r="AX419">
        <v>3</v>
      </c>
      <c r="AY419">
        <v>0</v>
      </c>
      <c r="AZ419">
        <v>37500</v>
      </c>
      <c r="BA419">
        <v>100</v>
      </c>
      <c r="BB419">
        <v>100</v>
      </c>
      <c r="BC419">
        <v>100</v>
      </c>
      <c r="BD419">
        <v>100</v>
      </c>
      <c r="BE419">
        <v>1</v>
      </c>
      <c r="BF419">
        <v>15000</v>
      </c>
      <c r="BG419">
        <v>1000</v>
      </c>
      <c r="BH419" s="6">
        <f>Grandview_Inventory[[#This Row],[land_extract]]*Lookups!$B$3</f>
        <v>83866.511452695049</v>
      </c>
      <c r="BI419" s="6">
        <f>IF(Grandview_Inventory[[#This Row],[bldg_style]]="",0,Lookups!$B$2)</f>
        <v>155833.95000000001</v>
      </c>
      <c r="BJ419" s="6">
        <f>_xlfn.IFNA(VLOOKUP(Grandview_Inventory[[#This Row],[quality]],Lookups!$H$2:$J$14,3,FALSE),0)</f>
        <v>20768</v>
      </c>
      <c r="BK419" s="6">
        <f>_xlfn.IFNA(VLOOKUP(Grandview_Inventory[[#This Row],[condition]],Lookups!$H$17:$J$24,3,FALSE),0)</f>
        <v>-4503</v>
      </c>
      <c r="BL419" s="6">
        <f>Grandview_Inventory[[#This Row],[Eff_Age]]*Lookups!$B$14</f>
        <v>-11479.996799999999</v>
      </c>
      <c r="BM419" s="6">
        <f>Grandview_Inventory[[#This Row],[living_area]]*Lookups!$B$15</f>
        <v>170362.109543</v>
      </c>
      <c r="BN419" s="6">
        <f>Grandview_Inventory[[#This Row],[Fin BSMT]]*Lookups!$B$16</f>
        <v>-13387.024560000002</v>
      </c>
      <c r="BO419" s="6">
        <f>(Grandview_Inventory[[#This Row],[att_gar]]+Grandview_Inventory[[#This Row],[bltin_gar]])*Lookups!$B$17</f>
        <v>80343.761165999997</v>
      </c>
      <c r="BP419" s="6">
        <f>Grandview_Inventory[[#This Row],[Plumbing Fixtures]]*Lookups!$B$18</f>
        <v>24125.301599999999</v>
      </c>
      <c r="BQ419" s="6">
        <f>Grandview_Inventory[[#This Row],[detatched_value]]*Lookups!$B$19</f>
        <v>31755.19125</v>
      </c>
      <c r="BR419" s="6">
        <f>SUM(Grandview_Inventory[[#This Row],[Intercept]:[det_value]])*Grandview_Inventory[[#This Row],[res_pct]]</f>
        <v>453818.29219899996</v>
      </c>
      <c r="BS419" s="6">
        <f>Grandview_Inventory[[#This Row],[land_value]]</f>
        <v>83866.511452695049</v>
      </c>
      <c r="BT419" s="4">
        <f>_xlfn.IFNA(VLOOKUP(Grandview_Inventory[[#This Row],[quality]],Lookups!$A$26:$C$33,3,FALSE),1)</f>
        <v>0.94960540378902636</v>
      </c>
      <c r="BU419" s="4">
        <f>_xlfn.IFNA(VLOOKUP(Grandview_Inventory[[#This Row],[condition]],Lookups!$A$37:$C$44,3,FALSE),1)</f>
        <v>0.96469275950863709</v>
      </c>
      <c r="BV419" s="4">
        <f>IF(Grandview_Inventory[[#This Row],[bldg_style]]="",1,_xlfn.IFNA(VLOOKUP(Grandview_Inventory[[#This Row],[decade]],Lookups!$F$29:$H$43,3,FALSE),1))</f>
        <v>0.95268620544463312</v>
      </c>
      <c r="BW419" s="4">
        <f>_xlfn.IFNA(VLOOKUP(Grandview_Inventory[[#This Row],[living_area_range]],Lookups!$F$47:$H$56,3,FALSE),1)</f>
        <v>0.94224801443562123</v>
      </c>
      <c r="BX419" s="4">
        <f>AVERAGE(Grandview_Inventory[[#This Row],[qual_adj]:[size_adj]])</f>
        <v>0.9523080957944795</v>
      </c>
      <c r="BY419" s="6">
        <f>IF(Grandview_Inventory[[#This Row],[pre_res]]&lt;0,0,Grandview_Inventory[[#This Row],[pre_res]]*Grandview_Inventory[[#This Row],[overall_adj]])</f>
        <v>432174.83368073235</v>
      </c>
      <c r="BZ419" s="6">
        <f>(Grandview_Inventory[[#This Row],[sum_land]]-IF(Grandview_Inventory[[#This Row],[no_utilities]]=1,12000,0))/IF(Grandview_Inventory[[#This Row],[unbuildable]]=1,2,1)</f>
        <v>83866.511452695049</v>
      </c>
      <c r="CA419">
        <f>IF(ROUND(Grandview_Inventory[[#This Row],[adj_land]]*Lookups!$M$28,-2)&lt;Grandview_Inventory[[#This Row],[min_land]],Grandview_Inventory[[#This Row],[min_land]],ROUND(Grandview_Inventory[[#This Row],[adj_land]]*Lookups!$M$28,-2))</f>
        <v>79700</v>
      </c>
      <c r="CB419">
        <f>ROUND(Grandview_Inventory[[#This Row],[det_value]]*Lookups!$M$28,-2)</f>
        <v>30200</v>
      </c>
      <c r="CC419">
        <f>IF(ROUND(Grandview_Inventory[[#This Row],[adj_res]]*Lookups!$M$28,-2)&lt;Grandview_Inventory[[#This Row],[min_res]],Grandview_Inventory[[#This Row],[min_res]],ROUND(Grandview_Inventory[[#This Row],[adj_res]]*Lookups!$M$28,-2))</f>
        <v>410600</v>
      </c>
      <c r="CD419">
        <f>Grandview_Inventory[[#This Row],[final_det]]+Grandview_Inventory[[#This Row],[final_res]]</f>
        <v>440800</v>
      </c>
      <c r="CE419">
        <f>Grandview_Inventory[[#This Row],[final_land]]+Grandview_Inventory[[#This Row],[final_imp]]+Grandview_Inventory[[#This Row],[crop_value]]</f>
        <v>520500</v>
      </c>
      <c r="CG419" t="str">
        <f t="shared" si="6"/>
        <v>update valuation set market_land =79700, market_bldg=440800, market_total =520500, market_mdno =401, market_date ='9/10/2023' where link_id = (select link_id from parcel where parcel_year = '2024' and parcel_id = '23092114403');</v>
      </c>
    </row>
    <row r="420" spans="1:85" x14ac:dyDescent="0.25">
      <c r="A420">
        <v>23092114405</v>
      </c>
      <c r="B420">
        <v>4.6500000000000004</v>
      </c>
      <c r="C420">
        <v>202479</v>
      </c>
      <c r="D420" t="s">
        <v>129</v>
      </c>
      <c r="E420" t="s">
        <v>53</v>
      </c>
      <c r="F420" t="s">
        <v>53</v>
      </c>
      <c r="G420">
        <v>4</v>
      </c>
      <c r="H420" t="s">
        <v>54</v>
      </c>
      <c r="I420">
        <v>307000</v>
      </c>
      <c r="J420">
        <v>71100</v>
      </c>
      <c r="K420">
        <v>4.6500000000000004</v>
      </c>
      <c r="L420">
        <f>IF(Grandview_Inventory[[#This Row],[parcel_acres]]-Grandview_Inventory[[#This Row],[non_valued_acres]] =0,0,LN(Grandview_Inventory[[#This Row],[parcel_acres]]-Grandview_Inventory[[#This Row],[non_valued_acres]]))</f>
        <v>1.536867219599265</v>
      </c>
      <c r="M420">
        <v>0</v>
      </c>
      <c r="N420">
        <v>0</v>
      </c>
      <c r="O420">
        <v>0</v>
      </c>
      <c r="P420">
        <v>13398.7528</v>
      </c>
      <c r="Q420">
        <v>63903</v>
      </c>
      <c r="R420">
        <f>(Grandview_Inventory[[#This Row],[ln_acres]]*Grandview_Inventory[[#This Row],[coeff]])+Grandview_Inventory[[#This Row],[const]]</f>
        <v>84495.103961833869</v>
      </c>
      <c r="S420" t="s">
        <v>61</v>
      </c>
      <c r="T420">
        <v>1</v>
      </c>
      <c r="U420" t="s">
        <v>56</v>
      </c>
      <c r="V420" t="s">
        <v>69</v>
      </c>
      <c r="W420">
        <v>30700</v>
      </c>
      <c r="X420">
        <v>0</v>
      </c>
      <c r="Y420">
        <v>53</v>
      </c>
      <c r="Z420">
        <v>63</v>
      </c>
      <c r="AA420">
        <v>70</v>
      </c>
      <c r="AB420">
        <v>4500</v>
      </c>
      <c r="AC420">
        <v>4388</v>
      </c>
      <c r="AD420">
        <v>2194</v>
      </c>
      <c r="AE420">
        <v>0</v>
      </c>
      <c r="AF420">
        <v>0</v>
      </c>
      <c r="AG420">
        <v>2194</v>
      </c>
      <c r="AH420">
        <v>0</v>
      </c>
      <c r="AI420">
        <v>576</v>
      </c>
      <c r="AJ420">
        <v>0</v>
      </c>
      <c r="AK420">
        <v>0</v>
      </c>
      <c r="AL420">
        <v>0</v>
      </c>
      <c r="AM420">
        <v>238</v>
      </c>
      <c r="AN420">
        <v>0</v>
      </c>
      <c r="AO420">
        <v>170</v>
      </c>
      <c r="AP420">
        <v>10</v>
      </c>
      <c r="AQ420">
        <v>0</v>
      </c>
      <c r="AR420">
        <v>3</v>
      </c>
      <c r="AS420" t="s">
        <v>76</v>
      </c>
      <c r="AT420">
        <v>1</v>
      </c>
      <c r="AU420" t="s">
        <v>63</v>
      </c>
      <c r="AV420" t="s">
        <v>64</v>
      </c>
      <c r="AW420">
        <v>1</v>
      </c>
      <c r="AX420">
        <v>3</v>
      </c>
      <c r="AY420">
        <v>0</v>
      </c>
      <c r="AZ420">
        <v>7900</v>
      </c>
      <c r="BA420">
        <v>100</v>
      </c>
      <c r="BB420">
        <v>100</v>
      </c>
      <c r="BC420">
        <v>100</v>
      </c>
      <c r="BD420">
        <v>100</v>
      </c>
      <c r="BE420">
        <v>1</v>
      </c>
      <c r="BF420">
        <v>15000</v>
      </c>
      <c r="BG420">
        <v>1000</v>
      </c>
      <c r="BH420" s="6">
        <f>Grandview_Inventory[[#This Row],[land_extract]]*Lookups!$B$3</f>
        <v>98123.936094096978</v>
      </c>
      <c r="BI420" s="6">
        <f>IF(Grandview_Inventory[[#This Row],[bldg_style]]="",0,Lookups!$B$2)</f>
        <v>155833.95000000001</v>
      </c>
      <c r="BJ420" s="6">
        <f>_xlfn.IFNA(VLOOKUP(Grandview_Inventory[[#This Row],[quality]],Lookups!$H$2:$J$14,3,FALSE),0)</f>
        <v>56323</v>
      </c>
      <c r="BK420" s="6">
        <f>_xlfn.IFNA(VLOOKUP(Grandview_Inventory[[#This Row],[condition]],Lookups!$H$17:$J$24,3,FALSE),0)</f>
        <v>-4503</v>
      </c>
      <c r="BL420" s="6">
        <f>Grandview_Inventory[[#This Row],[Eff_Age]]*Lookups!$B$14</f>
        <v>-12675.8298</v>
      </c>
      <c r="BM420" s="6">
        <f>Grandview_Inventory[[#This Row],[living_area]]*Lookups!$B$15</f>
        <v>273727.18296400004</v>
      </c>
      <c r="BN420" s="6">
        <f>Grandview_Inventory[[#This Row],[Fin BSMT]]*Lookups!$B$16</f>
        <v>-59455.732560000004</v>
      </c>
      <c r="BO420" s="6">
        <f>(Grandview_Inventory[[#This Row],[att_gar]]+Grandview_Inventory[[#This Row],[bltin_gar]])*Lookups!$B$17</f>
        <v>50411.771712000002</v>
      </c>
      <c r="BP420" s="6">
        <f>Grandview_Inventory[[#This Row],[Plumbing Fixtures]]*Lookups!$B$18</f>
        <v>20104.418000000001</v>
      </c>
      <c r="BQ420" s="6">
        <f>Grandview_Inventory[[#This Row],[detatched_value]]*Lookups!$B$19</f>
        <v>6689.7602900000002</v>
      </c>
      <c r="BR420" s="6">
        <f>SUM(Grandview_Inventory[[#This Row],[Intercept]:[det_value]])*Grandview_Inventory[[#This Row],[res_pct]]</f>
        <v>486455.52060600003</v>
      </c>
      <c r="BS420" s="6">
        <f>Grandview_Inventory[[#This Row],[land_value]]</f>
        <v>98123.936094096978</v>
      </c>
      <c r="BT420" s="4">
        <f>_xlfn.IFNA(VLOOKUP(Grandview_Inventory[[#This Row],[quality]],Lookups!$A$26:$C$33,3,FALSE),1)</f>
        <v>0.76437650671582003</v>
      </c>
      <c r="BU420" s="4">
        <f>_xlfn.IFNA(VLOOKUP(Grandview_Inventory[[#This Row],[condition]],Lookups!$A$37:$C$44,3,FALSE),1)</f>
        <v>0.96469275950863709</v>
      </c>
      <c r="BV420" s="4">
        <f>IF(Grandview_Inventory[[#This Row],[bldg_style]]="",1,_xlfn.IFNA(VLOOKUP(Grandview_Inventory[[#This Row],[decade]],Lookups!$F$29:$H$43,3,FALSE),1))</f>
        <v>0.99472141305414818</v>
      </c>
      <c r="BW420" s="4">
        <f>_xlfn.IFNA(VLOOKUP(Grandview_Inventory[[#This Row],[living_area_range]],Lookups!$F$47:$H$56,3,FALSE),1)</f>
        <v>0.90089875105039252</v>
      </c>
      <c r="BX420" s="4">
        <f>AVERAGE(Grandview_Inventory[[#This Row],[qual_adj]:[size_adj]])</f>
        <v>0.90617235758224934</v>
      </c>
      <c r="BY420" s="6">
        <f>IF(Grandview_Inventory[[#This Row],[pre_res]]&lt;0,0,Grandview_Inventory[[#This Row],[pre_res]]*Grandview_Inventory[[#This Row],[overall_adj]])</f>
        <v>440812.54596643953</v>
      </c>
      <c r="BZ420" s="6">
        <f>(Grandview_Inventory[[#This Row],[sum_land]]-IF(Grandview_Inventory[[#This Row],[no_utilities]]=1,12000,0))/IF(Grandview_Inventory[[#This Row],[unbuildable]]=1,2,1)</f>
        <v>98123.936094096978</v>
      </c>
      <c r="CA420">
        <f>IF(ROUND(Grandview_Inventory[[#This Row],[adj_land]]*Lookups!$M$28,-2)&lt;Grandview_Inventory[[#This Row],[min_land]],Grandview_Inventory[[#This Row],[min_land]],ROUND(Grandview_Inventory[[#This Row],[adj_land]]*Lookups!$M$28,-2))</f>
        <v>93200</v>
      </c>
      <c r="CB420">
        <f>ROUND(Grandview_Inventory[[#This Row],[det_value]]*Lookups!$M$28,-2)</f>
        <v>6400</v>
      </c>
      <c r="CC420">
        <f>IF(ROUND(Grandview_Inventory[[#This Row],[adj_res]]*Lookups!$M$28,-2)&lt;Grandview_Inventory[[#This Row],[min_res]],Grandview_Inventory[[#This Row],[min_res]],ROUND(Grandview_Inventory[[#This Row],[adj_res]]*Lookups!$M$28,-2))</f>
        <v>418800</v>
      </c>
      <c r="CD420">
        <f>Grandview_Inventory[[#This Row],[final_det]]+Grandview_Inventory[[#This Row],[final_res]]</f>
        <v>425200</v>
      </c>
      <c r="CE420">
        <f>Grandview_Inventory[[#This Row],[final_land]]+Grandview_Inventory[[#This Row],[final_imp]]+Grandview_Inventory[[#This Row],[crop_value]]</f>
        <v>518400</v>
      </c>
      <c r="CG420" t="str">
        <f t="shared" si="6"/>
        <v>update valuation set market_land =93200, market_bldg=425200, market_total =518400, market_mdno =401, market_date ='9/10/2023' where link_id = (select link_id from parcel where parcel_year = '2024' and parcel_id = '23092114405');</v>
      </c>
    </row>
    <row r="421" spans="1:85" x14ac:dyDescent="0.25">
      <c r="A421">
        <v>23092141400</v>
      </c>
      <c r="B421">
        <v>0.32</v>
      </c>
      <c r="C421" t="s">
        <v>129</v>
      </c>
      <c r="D421" t="s">
        <v>129</v>
      </c>
      <c r="E421" t="s">
        <v>53</v>
      </c>
      <c r="F421" t="s">
        <v>53</v>
      </c>
      <c r="G421">
        <v>4</v>
      </c>
      <c r="H421" t="s">
        <v>54</v>
      </c>
      <c r="I421">
        <v>246100</v>
      </c>
      <c r="J421">
        <v>39300</v>
      </c>
      <c r="K421">
        <v>0.32</v>
      </c>
      <c r="L421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421">
        <v>0</v>
      </c>
      <c r="N421">
        <v>0</v>
      </c>
      <c r="O421">
        <v>0</v>
      </c>
      <c r="P421">
        <v>13398.7528</v>
      </c>
      <c r="Q421">
        <v>63903</v>
      </c>
      <c r="R421">
        <f>(Grandview_Inventory[[#This Row],[ln_acres]]*Grandview_Inventory[[#This Row],[coeff]])+Grandview_Inventory[[#This Row],[const]]</f>
        <v>48636.001707713905</v>
      </c>
      <c r="S421" t="s">
        <v>55</v>
      </c>
      <c r="T421">
        <v>2</v>
      </c>
      <c r="U421" t="s">
        <v>62</v>
      </c>
      <c r="V421" t="s">
        <v>69</v>
      </c>
      <c r="W421">
        <v>0</v>
      </c>
      <c r="X421">
        <v>0</v>
      </c>
      <c r="Y421">
        <v>55</v>
      </c>
      <c r="Z421">
        <v>98</v>
      </c>
      <c r="AA421">
        <v>100</v>
      </c>
      <c r="AB421">
        <v>3000</v>
      </c>
      <c r="AC421">
        <v>2523</v>
      </c>
      <c r="AD421">
        <v>1036</v>
      </c>
      <c r="AE421">
        <v>807</v>
      </c>
      <c r="AF421">
        <v>0</v>
      </c>
      <c r="AG421">
        <v>680</v>
      </c>
      <c r="AH421">
        <v>356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8</v>
      </c>
      <c r="AQ421">
        <v>0</v>
      </c>
      <c r="AR421">
        <v>1</v>
      </c>
      <c r="AS421" t="s">
        <v>58</v>
      </c>
      <c r="AT421">
        <v>1</v>
      </c>
      <c r="AU421" t="s">
        <v>63</v>
      </c>
      <c r="AV421" t="s">
        <v>64</v>
      </c>
      <c r="AW421">
        <v>1</v>
      </c>
      <c r="AX421">
        <v>4</v>
      </c>
      <c r="AY421">
        <v>0</v>
      </c>
      <c r="AZ421">
        <v>39700</v>
      </c>
      <c r="BA421">
        <v>100</v>
      </c>
      <c r="BB421">
        <v>100</v>
      </c>
      <c r="BC421">
        <v>100</v>
      </c>
      <c r="BD421">
        <v>100</v>
      </c>
      <c r="BE421">
        <v>1</v>
      </c>
      <c r="BF421">
        <v>15000</v>
      </c>
      <c r="BG421">
        <v>1000</v>
      </c>
      <c r="BH421" s="6">
        <f>Grandview_Inventory[[#This Row],[land_extract]]*Lookups!$B$3</f>
        <v>56480.857465963549</v>
      </c>
      <c r="BI421" s="6">
        <f>IF(Grandview_Inventory[[#This Row],[bldg_style]]="",0,Lookups!$B$2)</f>
        <v>155833.95000000001</v>
      </c>
      <c r="BJ421" s="6">
        <f>_xlfn.IFNA(VLOOKUP(Grandview_Inventory[[#This Row],[quality]],Lookups!$H$2:$J$14,3,FALSE),0)</f>
        <v>9808</v>
      </c>
      <c r="BK421" s="6">
        <f>_xlfn.IFNA(VLOOKUP(Grandview_Inventory[[#This Row],[condition]],Lookups!$H$17:$J$24,3,FALSE),0)</f>
        <v>-4503</v>
      </c>
      <c r="BL421" s="6">
        <f>Grandview_Inventory[[#This Row],[Eff_Age]]*Lookups!$B$14</f>
        <v>-13154.162999999999</v>
      </c>
      <c r="BM421" s="6">
        <f>Grandview_Inventory[[#This Row],[living_area]]*Lookups!$B$15</f>
        <v>157386.892119</v>
      </c>
      <c r="BN421" s="6">
        <f>Grandview_Inventory[[#This Row],[Fin BSMT]]*Lookups!$B$16</f>
        <v>-18427.483200000002</v>
      </c>
      <c r="BO421" s="6">
        <f>(Grandview_Inventory[[#This Row],[att_gar]]+Grandview_Inventory[[#This Row],[bltin_gar]])*Lookups!$B$17</f>
        <v>0</v>
      </c>
      <c r="BP421" s="6">
        <f>Grandview_Inventory[[#This Row],[Plumbing Fixtures]]*Lookups!$B$18</f>
        <v>16083.5344</v>
      </c>
      <c r="BQ421" s="6">
        <f>Grandview_Inventory[[#This Row],[detatched_value]]*Lookups!$B$19</f>
        <v>33618.162469999996</v>
      </c>
      <c r="BR421" s="6">
        <f>SUM(Grandview_Inventory[[#This Row],[Intercept]:[det_value]])*Grandview_Inventory[[#This Row],[res_pct]]</f>
        <v>336645.89278899995</v>
      </c>
      <c r="BS421" s="6">
        <f>Grandview_Inventory[[#This Row],[land_value]]</f>
        <v>56480.857465963549</v>
      </c>
      <c r="BT421" s="4">
        <f>_xlfn.IFNA(VLOOKUP(Grandview_Inventory[[#This Row],[quality]],Lookups!$A$26:$C$33,3,FALSE),1)</f>
        <v>0.94295468617355149</v>
      </c>
      <c r="BU421" s="4">
        <f>_xlfn.IFNA(VLOOKUP(Grandview_Inventory[[#This Row],[condition]],Lookups!$A$37:$C$44,3,FALSE),1)</f>
        <v>0.96469275950863709</v>
      </c>
      <c r="BV421" s="4">
        <f>IF(Grandview_Inventory[[#This Row],[bldg_style]]="",1,_xlfn.IFNA(VLOOKUP(Grandview_Inventory[[#This Row],[decade]],Lookups!$F$29:$H$43,3,FALSE),1))</f>
        <v>0.95244691841736806</v>
      </c>
      <c r="BW421" s="4">
        <f>_xlfn.IFNA(VLOOKUP(Grandview_Inventory[[#This Row],[living_area_range]],Lookups!$F$47:$H$56,3,FALSE),1)</f>
        <v>0.94224801443562123</v>
      </c>
      <c r="BX421" s="4">
        <f>AVERAGE(Grandview_Inventory[[#This Row],[qual_adj]:[size_adj]])</f>
        <v>0.95058559463379455</v>
      </c>
      <c r="BY421" s="6">
        <f>IF(Grandview_Inventory[[#This Row],[pre_res]]&lt;0,0,Grandview_Inventory[[#This Row],[pre_res]]*Grandview_Inventory[[#This Row],[overall_adj]])</f>
        <v>320010.73617785616</v>
      </c>
      <c r="BZ421" s="6">
        <f>(Grandview_Inventory[[#This Row],[sum_land]]-IF(Grandview_Inventory[[#This Row],[no_utilities]]=1,12000,0))/IF(Grandview_Inventory[[#This Row],[unbuildable]]=1,2,1)</f>
        <v>56480.857465963549</v>
      </c>
      <c r="CA421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421">
        <f>ROUND(Grandview_Inventory[[#This Row],[det_value]]*Lookups!$M$28,-2)</f>
        <v>31900</v>
      </c>
      <c r="CC421">
        <f>IF(ROUND(Grandview_Inventory[[#This Row],[adj_res]]*Lookups!$M$28,-2)&lt;Grandview_Inventory[[#This Row],[min_res]],Grandview_Inventory[[#This Row],[min_res]],ROUND(Grandview_Inventory[[#This Row],[adj_res]]*Lookups!$M$28,-2))</f>
        <v>304000</v>
      </c>
      <c r="CD421">
        <f>Grandview_Inventory[[#This Row],[final_det]]+Grandview_Inventory[[#This Row],[final_res]]</f>
        <v>335900</v>
      </c>
      <c r="CE421">
        <f>Grandview_Inventory[[#This Row],[final_land]]+Grandview_Inventory[[#This Row],[final_imp]]+Grandview_Inventory[[#This Row],[crop_value]]</f>
        <v>389600</v>
      </c>
      <c r="CG421" t="str">
        <f t="shared" si="6"/>
        <v>update valuation set market_land =53700, market_bldg=335900, market_total =389600, market_mdno =401, market_date ='9/10/2023' where link_id = (select link_id from parcel where parcel_year = '2024' and parcel_id = '23092141400');</v>
      </c>
    </row>
    <row r="422" spans="1:85" x14ac:dyDescent="0.25">
      <c r="A422">
        <v>23092141402</v>
      </c>
      <c r="B422">
        <v>1.45</v>
      </c>
      <c r="C422">
        <v>62979</v>
      </c>
      <c r="D422" t="s">
        <v>129</v>
      </c>
      <c r="E422" t="s">
        <v>53</v>
      </c>
      <c r="F422" t="s">
        <v>53</v>
      </c>
      <c r="G422">
        <v>4</v>
      </c>
      <c r="H422" t="s">
        <v>54</v>
      </c>
      <c r="I422">
        <v>222800</v>
      </c>
      <c r="J422">
        <v>55200</v>
      </c>
      <c r="K422">
        <v>1.45</v>
      </c>
      <c r="L422">
        <f>IF(Grandview_Inventory[[#This Row],[parcel_acres]]-Grandview_Inventory[[#This Row],[non_valued_acres]] =0,0,LN(Grandview_Inventory[[#This Row],[parcel_acres]]-Grandview_Inventory[[#This Row],[non_valued_acres]]))</f>
        <v>0.37156355643248301</v>
      </c>
      <c r="M422">
        <v>0</v>
      </c>
      <c r="N422">
        <v>0</v>
      </c>
      <c r="O422">
        <v>0</v>
      </c>
      <c r="P422">
        <v>13398.7528</v>
      </c>
      <c r="Q422">
        <v>63903</v>
      </c>
      <c r="R422">
        <f>(Grandview_Inventory[[#This Row],[ln_acres]]*Grandview_Inventory[[#This Row],[coeff]])+Grandview_Inventory[[#This Row],[const]]</f>
        <v>68881.488242127685</v>
      </c>
      <c r="S422" t="s">
        <v>61</v>
      </c>
      <c r="T422">
        <v>1</v>
      </c>
      <c r="U422" t="s">
        <v>65</v>
      </c>
      <c r="V422" t="s">
        <v>69</v>
      </c>
      <c r="W422">
        <v>0</v>
      </c>
      <c r="X422">
        <v>0</v>
      </c>
      <c r="Y422">
        <v>48</v>
      </c>
      <c r="Z422">
        <v>60</v>
      </c>
      <c r="AA422">
        <v>60</v>
      </c>
      <c r="AB422">
        <v>3000</v>
      </c>
      <c r="AC422">
        <v>2696</v>
      </c>
      <c r="AD422">
        <v>1348</v>
      </c>
      <c r="AE422">
        <v>0</v>
      </c>
      <c r="AF422">
        <v>0</v>
      </c>
      <c r="AG422">
        <v>1348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288</v>
      </c>
      <c r="AN422">
        <v>56</v>
      </c>
      <c r="AO422">
        <v>288</v>
      </c>
      <c r="AP422">
        <v>8</v>
      </c>
      <c r="AQ422">
        <v>1</v>
      </c>
      <c r="AR422">
        <v>0</v>
      </c>
      <c r="AS422" t="s">
        <v>58</v>
      </c>
      <c r="AT422">
        <v>1</v>
      </c>
      <c r="AU422" t="s">
        <v>59</v>
      </c>
      <c r="AV422" t="s">
        <v>60</v>
      </c>
      <c r="AW422">
        <v>1</v>
      </c>
      <c r="AX422">
        <v>4</v>
      </c>
      <c r="AY422">
        <v>0</v>
      </c>
      <c r="AZ422">
        <v>24000</v>
      </c>
      <c r="BA422">
        <v>100</v>
      </c>
      <c r="BB422">
        <v>100</v>
      </c>
      <c r="BC422">
        <v>100</v>
      </c>
      <c r="BD422">
        <v>100</v>
      </c>
      <c r="BE422">
        <v>1</v>
      </c>
      <c r="BF422">
        <v>15000</v>
      </c>
      <c r="BG422">
        <v>1000</v>
      </c>
      <c r="BH422" s="6">
        <f>Grandview_Inventory[[#This Row],[land_extract]]*Lookups!$B$3</f>
        <v>79991.886315564625</v>
      </c>
      <c r="BI422" s="6">
        <f>IF(Grandview_Inventory[[#This Row],[bldg_style]]="",0,Lookups!$B$2)</f>
        <v>155833.95000000001</v>
      </c>
      <c r="BJ422" s="6">
        <f>_xlfn.IFNA(VLOOKUP(Grandview_Inventory[[#This Row],[quality]],Lookups!$H$2:$J$14,3,FALSE),0)</f>
        <v>2251</v>
      </c>
      <c r="BK422" s="6">
        <f>_xlfn.IFNA(VLOOKUP(Grandview_Inventory[[#This Row],[condition]],Lookups!$H$17:$J$24,3,FALSE),0)</f>
        <v>-4503</v>
      </c>
      <c r="BL422" s="6">
        <f>Grandview_Inventory[[#This Row],[Eff_Age]]*Lookups!$B$14</f>
        <v>-11479.996799999999</v>
      </c>
      <c r="BM422" s="6">
        <f>Grandview_Inventory[[#This Row],[living_area]]*Lookups!$B$15</f>
        <v>168178.77968800001</v>
      </c>
      <c r="BN422" s="6">
        <f>Grandview_Inventory[[#This Row],[Fin BSMT]]*Lookups!$B$16</f>
        <v>-36529.775520000003</v>
      </c>
      <c r="BO422" s="6">
        <f>(Grandview_Inventory[[#This Row],[att_gar]]+Grandview_Inventory[[#This Row],[bltin_gar]])*Lookups!$B$17</f>
        <v>0</v>
      </c>
      <c r="BP422" s="6">
        <f>Grandview_Inventory[[#This Row],[Plumbing Fixtures]]*Lookups!$B$18</f>
        <v>16083.5344</v>
      </c>
      <c r="BQ422" s="6">
        <f>Grandview_Inventory[[#This Row],[detatched_value]]*Lookups!$B$19</f>
        <v>20323.322400000001</v>
      </c>
      <c r="BR422" s="6">
        <f>SUM(Grandview_Inventory[[#This Row],[Intercept]:[det_value]])*Grandview_Inventory[[#This Row],[res_pct]]</f>
        <v>310157.81416800001</v>
      </c>
      <c r="BS422" s="6">
        <f>Grandview_Inventory[[#This Row],[land_value]]</f>
        <v>79991.886315564625</v>
      </c>
      <c r="BT422" s="4">
        <f>_xlfn.IFNA(VLOOKUP(Grandview_Inventory[[#This Row],[quality]],Lookups!$A$26:$C$33,3,FALSE),1)</f>
        <v>0.98763855981004833</v>
      </c>
      <c r="BU422" s="4">
        <f>_xlfn.IFNA(VLOOKUP(Grandview_Inventory[[#This Row],[condition]],Lookups!$A$37:$C$44,3,FALSE),1)</f>
        <v>0.96469275950863709</v>
      </c>
      <c r="BV422" s="4">
        <f>IF(Grandview_Inventory[[#This Row],[bldg_style]]="",1,_xlfn.IFNA(VLOOKUP(Grandview_Inventory[[#This Row],[decade]],Lookups!$F$29:$H$43,3,FALSE),1))</f>
        <v>0.95268620544463312</v>
      </c>
      <c r="BW422" s="4">
        <f>_xlfn.IFNA(VLOOKUP(Grandview_Inventory[[#This Row],[living_area_range]],Lookups!$F$47:$H$56,3,FALSE),1)</f>
        <v>0.94224801443562123</v>
      </c>
      <c r="BX422" s="4">
        <f>AVERAGE(Grandview_Inventory[[#This Row],[qual_adj]:[size_adj]])</f>
        <v>0.96181638479973497</v>
      </c>
      <c r="BY422" s="6">
        <f>IF(Grandview_Inventory[[#This Row],[pre_res]]&lt;0,0,Grandview_Inventory[[#This Row],[pre_res]]*Grandview_Inventory[[#This Row],[overall_adj]])</f>
        <v>298314.86754045379</v>
      </c>
      <c r="BZ422" s="6">
        <f>(Grandview_Inventory[[#This Row],[sum_land]]-IF(Grandview_Inventory[[#This Row],[no_utilities]]=1,12000,0))/IF(Grandview_Inventory[[#This Row],[unbuildable]]=1,2,1)</f>
        <v>79991.886315564625</v>
      </c>
      <c r="CA422">
        <f>IF(ROUND(Grandview_Inventory[[#This Row],[adj_land]]*Lookups!$M$28,-2)&lt;Grandview_Inventory[[#This Row],[min_land]],Grandview_Inventory[[#This Row],[min_land]],ROUND(Grandview_Inventory[[#This Row],[adj_land]]*Lookups!$M$28,-2))</f>
        <v>76000</v>
      </c>
      <c r="CB422">
        <f>ROUND(Grandview_Inventory[[#This Row],[det_value]]*Lookups!$M$28,-2)</f>
        <v>19300</v>
      </c>
      <c r="CC422">
        <f>IF(ROUND(Grandview_Inventory[[#This Row],[adj_res]]*Lookups!$M$28,-2)&lt;Grandview_Inventory[[#This Row],[min_res]],Grandview_Inventory[[#This Row],[min_res]],ROUND(Grandview_Inventory[[#This Row],[adj_res]]*Lookups!$M$28,-2))</f>
        <v>283400</v>
      </c>
      <c r="CD422">
        <f>Grandview_Inventory[[#This Row],[final_det]]+Grandview_Inventory[[#This Row],[final_res]]</f>
        <v>302700</v>
      </c>
      <c r="CE422">
        <f>Grandview_Inventory[[#This Row],[final_land]]+Grandview_Inventory[[#This Row],[final_imp]]+Grandview_Inventory[[#This Row],[crop_value]]</f>
        <v>378700</v>
      </c>
      <c r="CG422" t="str">
        <f t="shared" si="6"/>
        <v>update valuation set market_land =76000, market_bldg=302700, market_total =378700, market_mdno =401, market_date ='9/10/2023' where link_id = (select link_id from parcel where parcel_year = '2024' and parcel_id = '23092141402');</v>
      </c>
    </row>
    <row r="423" spans="1:85" x14ac:dyDescent="0.25">
      <c r="A423">
        <v>23092141412</v>
      </c>
      <c r="B423">
        <v>0.56999999999999995</v>
      </c>
      <c r="C423" t="s">
        <v>129</v>
      </c>
      <c r="D423" t="s">
        <v>129</v>
      </c>
      <c r="E423" t="s">
        <v>53</v>
      </c>
      <c r="F423" t="s">
        <v>53</v>
      </c>
      <c r="G423">
        <v>4</v>
      </c>
      <c r="H423" t="s">
        <v>54</v>
      </c>
      <c r="I423">
        <v>192500</v>
      </c>
      <c r="J423">
        <v>43700</v>
      </c>
      <c r="K423">
        <v>0.56999999999999995</v>
      </c>
      <c r="L423">
        <f>IF(Grandview_Inventory[[#This Row],[parcel_acres]]-Grandview_Inventory[[#This Row],[non_valued_acres]] =0,0,LN(Grandview_Inventory[[#This Row],[parcel_acres]]-Grandview_Inventory[[#This Row],[non_valued_acres]]))</f>
        <v>-0.56211891815354131</v>
      </c>
      <c r="M423">
        <v>0</v>
      </c>
      <c r="N423">
        <v>0</v>
      </c>
      <c r="O423">
        <v>0</v>
      </c>
      <c r="P423">
        <v>13398.7528</v>
      </c>
      <c r="Q423">
        <v>63903</v>
      </c>
      <c r="R423">
        <f>(Grandview_Inventory[[#This Row],[ln_acres]]*Grandview_Inventory[[#This Row],[coeff]])+Grandview_Inventory[[#This Row],[const]]</f>
        <v>56371.30757145727</v>
      </c>
      <c r="S423" t="s">
        <v>68</v>
      </c>
      <c r="T423">
        <v>1</v>
      </c>
      <c r="U423" t="s">
        <v>65</v>
      </c>
      <c r="V423" t="s">
        <v>69</v>
      </c>
      <c r="W423">
        <v>0</v>
      </c>
      <c r="X423">
        <v>0</v>
      </c>
      <c r="Y423">
        <v>42</v>
      </c>
      <c r="Z423">
        <v>88</v>
      </c>
      <c r="AA423">
        <v>90</v>
      </c>
      <c r="AB423">
        <v>2500</v>
      </c>
      <c r="AC423">
        <v>2326</v>
      </c>
      <c r="AD423">
        <v>2018</v>
      </c>
      <c r="AE423">
        <v>0</v>
      </c>
      <c r="AF423">
        <v>0</v>
      </c>
      <c r="AG423">
        <v>308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286</v>
      </c>
      <c r="AO423">
        <v>0</v>
      </c>
      <c r="AP423">
        <v>7</v>
      </c>
      <c r="AQ423">
        <v>0</v>
      </c>
      <c r="AR423">
        <v>0</v>
      </c>
      <c r="AS423" t="s">
        <v>58</v>
      </c>
      <c r="AT423">
        <v>1</v>
      </c>
      <c r="AU423" t="s">
        <v>59</v>
      </c>
      <c r="AV423" t="s">
        <v>60</v>
      </c>
      <c r="AW423">
        <v>1</v>
      </c>
      <c r="AX423">
        <v>3</v>
      </c>
      <c r="AY423">
        <v>0</v>
      </c>
      <c r="AZ423">
        <v>9900</v>
      </c>
      <c r="BA423">
        <v>100</v>
      </c>
      <c r="BB423">
        <v>100</v>
      </c>
      <c r="BC423">
        <v>100</v>
      </c>
      <c r="BD423">
        <v>100</v>
      </c>
      <c r="BE423">
        <v>1</v>
      </c>
      <c r="BF423">
        <v>15000</v>
      </c>
      <c r="BG423">
        <v>1000</v>
      </c>
      <c r="BH423" s="6">
        <f>Grandview_Inventory[[#This Row],[land_extract]]*Lookups!$B$3</f>
        <v>65463.847280202885</v>
      </c>
      <c r="BI423" s="6">
        <f>IF(Grandview_Inventory[[#This Row],[bldg_style]]="",0,Lookups!$B$2)</f>
        <v>155833.95000000001</v>
      </c>
      <c r="BJ423" s="6">
        <f>_xlfn.IFNA(VLOOKUP(Grandview_Inventory[[#This Row],[quality]],Lookups!$H$2:$J$14,3,FALSE),0)</f>
        <v>2251</v>
      </c>
      <c r="BK423" s="6">
        <f>_xlfn.IFNA(VLOOKUP(Grandview_Inventory[[#This Row],[condition]],Lookups!$H$17:$J$24,3,FALSE),0)</f>
        <v>-4503</v>
      </c>
      <c r="BL423" s="6">
        <f>Grandview_Inventory[[#This Row],[Eff_Age]]*Lookups!$B$14</f>
        <v>-10044.9972</v>
      </c>
      <c r="BM423" s="6">
        <f>Grandview_Inventory[[#This Row],[living_area]]*Lookups!$B$15</f>
        <v>145097.86407800001</v>
      </c>
      <c r="BN423" s="6">
        <f>Grandview_Inventory[[#This Row],[Fin BSMT]]*Lookups!$B$16</f>
        <v>-8346.5659200000009</v>
      </c>
      <c r="BO423" s="6">
        <f>(Grandview_Inventory[[#This Row],[att_gar]]+Grandview_Inventory[[#This Row],[bltin_gar]])*Lookups!$B$17</f>
        <v>0</v>
      </c>
      <c r="BP423" s="6">
        <f>Grandview_Inventory[[#This Row],[Plumbing Fixtures]]*Lookups!$B$18</f>
        <v>14073.0926</v>
      </c>
      <c r="BQ423" s="6">
        <f>Grandview_Inventory[[#This Row],[detatched_value]]*Lookups!$B$19</f>
        <v>8383.3704899999993</v>
      </c>
      <c r="BR423" s="6">
        <f>SUM(Grandview_Inventory[[#This Row],[Intercept]:[det_value]])*Grandview_Inventory[[#This Row],[res_pct]]</f>
        <v>302744.71404799999</v>
      </c>
      <c r="BS423" s="6">
        <f>Grandview_Inventory[[#This Row],[land_value]]</f>
        <v>65463.847280202885</v>
      </c>
      <c r="BT423" s="4">
        <f>_xlfn.IFNA(VLOOKUP(Grandview_Inventory[[#This Row],[quality]],Lookups!$A$26:$C$33,3,FALSE),1)</f>
        <v>0.98763855981004833</v>
      </c>
      <c r="BU423" s="4">
        <f>_xlfn.IFNA(VLOOKUP(Grandview_Inventory[[#This Row],[condition]],Lookups!$A$37:$C$44,3,FALSE),1)</f>
        <v>0.96469275950863709</v>
      </c>
      <c r="BV423" s="4">
        <f>IF(Grandview_Inventory[[#This Row],[bldg_style]]="",1,_xlfn.IFNA(VLOOKUP(Grandview_Inventory[[#This Row],[decade]],Lookups!$F$29:$H$43,3,FALSE),1))</f>
        <v>0.94161750052457416</v>
      </c>
      <c r="BW423" s="4">
        <f>_xlfn.IFNA(VLOOKUP(Grandview_Inventory[[#This Row],[living_area_range]],Lookups!$F$47:$H$56,3,FALSE),1)</f>
        <v>0.95799442568048754</v>
      </c>
      <c r="BX423" s="4">
        <f>AVERAGE(Grandview_Inventory[[#This Row],[qual_adj]:[size_adj]])</f>
        <v>0.96298581138093675</v>
      </c>
      <c r="BY423" s="6">
        <f>IF(Grandview_Inventory[[#This Row],[pre_res]]&lt;0,0,Grandview_Inventory[[#This Row],[pre_res]]*Grandview_Inventory[[#This Row],[overall_adj]])</f>
        <v>291538.86409880297</v>
      </c>
      <c r="BZ423" s="6">
        <f>(Grandview_Inventory[[#This Row],[sum_land]]-IF(Grandview_Inventory[[#This Row],[no_utilities]]=1,12000,0))/IF(Grandview_Inventory[[#This Row],[unbuildable]]=1,2,1)</f>
        <v>65463.847280202885</v>
      </c>
      <c r="CA423">
        <f>IF(ROUND(Grandview_Inventory[[#This Row],[adj_land]]*Lookups!$M$28,-2)&lt;Grandview_Inventory[[#This Row],[min_land]],Grandview_Inventory[[#This Row],[min_land]],ROUND(Grandview_Inventory[[#This Row],[adj_land]]*Lookups!$M$28,-2))</f>
        <v>62200</v>
      </c>
      <c r="CB423">
        <f>ROUND(Grandview_Inventory[[#This Row],[det_value]]*Lookups!$M$28,-2)</f>
        <v>8000</v>
      </c>
      <c r="CC423">
        <f>IF(ROUND(Grandview_Inventory[[#This Row],[adj_res]]*Lookups!$M$28,-2)&lt;Grandview_Inventory[[#This Row],[min_res]],Grandview_Inventory[[#This Row],[min_res]],ROUND(Grandview_Inventory[[#This Row],[adj_res]]*Lookups!$M$28,-2))</f>
        <v>277000</v>
      </c>
      <c r="CD423">
        <f>Grandview_Inventory[[#This Row],[final_det]]+Grandview_Inventory[[#This Row],[final_res]]</f>
        <v>285000</v>
      </c>
      <c r="CE423">
        <f>Grandview_Inventory[[#This Row],[final_land]]+Grandview_Inventory[[#This Row],[final_imp]]+Grandview_Inventory[[#This Row],[crop_value]]</f>
        <v>347200</v>
      </c>
      <c r="CG423" t="str">
        <f t="shared" si="6"/>
        <v>update valuation set market_land =62200, market_bldg=285000, market_total =347200, market_mdno =401, market_date ='9/10/2023' where link_id = (select link_id from parcel where parcel_year = '2024' and parcel_id = '23092141412');</v>
      </c>
    </row>
    <row r="424" spans="1:85" x14ac:dyDescent="0.25">
      <c r="A424">
        <v>23092141415</v>
      </c>
      <c r="B424">
        <v>1</v>
      </c>
      <c r="C424" t="s">
        <v>129</v>
      </c>
      <c r="D424" t="s">
        <v>129</v>
      </c>
      <c r="E424" t="s">
        <v>53</v>
      </c>
      <c r="F424" t="s">
        <v>53</v>
      </c>
      <c r="G424">
        <v>4</v>
      </c>
      <c r="H424" t="s">
        <v>54</v>
      </c>
      <c r="I424">
        <v>293000</v>
      </c>
      <c r="J424">
        <v>50700</v>
      </c>
      <c r="K424">
        <v>1</v>
      </c>
      <c r="L424">
        <f>IF(Grandview_Inventory[[#This Row],[parcel_acres]]-Grandview_Inventory[[#This Row],[non_valued_acres]] =0,0,LN(Grandview_Inventory[[#This Row],[parcel_acres]]-Grandview_Inventory[[#This Row],[non_valued_acres]]))</f>
        <v>0</v>
      </c>
      <c r="M424">
        <v>0</v>
      </c>
      <c r="N424">
        <v>0</v>
      </c>
      <c r="O424">
        <v>0</v>
      </c>
      <c r="P424">
        <v>13398.7528</v>
      </c>
      <c r="Q424">
        <v>63903</v>
      </c>
      <c r="R424">
        <f>(Grandview_Inventory[[#This Row],[ln_acres]]*Grandview_Inventory[[#This Row],[coeff]])+Grandview_Inventory[[#This Row],[const]]</f>
        <v>63903</v>
      </c>
      <c r="S424" t="s">
        <v>55</v>
      </c>
      <c r="T424">
        <v>2</v>
      </c>
      <c r="U424" t="s">
        <v>64</v>
      </c>
      <c r="V424" t="s">
        <v>69</v>
      </c>
      <c r="W424">
        <v>0</v>
      </c>
      <c r="X424">
        <v>0</v>
      </c>
      <c r="Y424">
        <v>55</v>
      </c>
      <c r="Z424">
        <v>98</v>
      </c>
      <c r="AA424">
        <v>100</v>
      </c>
      <c r="AB424">
        <v>3000</v>
      </c>
      <c r="AC424">
        <v>2775</v>
      </c>
      <c r="AD424">
        <v>1967</v>
      </c>
      <c r="AE424">
        <v>808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484</v>
      </c>
      <c r="AM424">
        <v>0</v>
      </c>
      <c r="AN424">
        <v>252</v>
      </c>
      <c r="AO424">
        <v>484</v>
      </c>
      <c r="AP424">
        <v>9</v>
      </c>
      <c r="AQ424">
        <v>1</v>
      </c>
      <c r="AR424">
        <v>1</v>
      </c>
      <c r="AS424" t="s">
        <v>58</v>
      </c>
      <c r="AT424">
        <v>1</v>
      </c>
      <c r="AU424" t="s">
        <v>63</v>
      </c>
      <c r="AV424" t="s">
        <v>64</v>
      </c>
      <c r="AW424">
        <v>1</v>
      </c>
      <c r="AX424">
        <v>3</v>
      </c>
      <c r="AY424">
        <v>0</v>
      </c>
      <c r="AZ424">
        <v>27200</v>
      </c>
      <c r="BA424">
        <v>100</v>
      </c>
      <c r="BB424">
        <v>100</v>
      </c>
      <c r="BC424">
        <v>100</v>
      </c>
      <c r="BD424">
        <v>100</v>
      </c>
      <c r="BE424">
        <v>1</v>
      </c>
      <c r="BF424">
        <v>15000</v>
      </c>
      <c r="BG424">
        <v>1000</v>
      </c>
      <c r="BH424" s="6">
        <f>Grandview_Inventory[[#This Row],[land_extract]]*Lookups!$B$3</f>
        <v>74210.381361899999</v>
      </c>
      <c r="BI424" s="6">
        <f>IF(Grandview_Inventory[[#This Row],[bldg_style]]="",0,Lookups!$B$2)</f>
        <v>155833.95000000001</v>
      </c>
      <c r="BJ424" s="6">
        <f>_xlfn.IFNA(VLOOKUP(Grandview_Inventory[[#This Row],[quality]],Lookups!$H$2:$J$14,3,FALSE),0)</f>
        <v>20768</v>
      </c>
      <c r="BK424" s="6">
        <f>_xlfn.IFNA(VLOOKUP(Grandview_Inventory[[#This Row],[condition]],Lookups!$H$17:$J$24,3,FALSE),0)</f>
        <v>-4503</v>
      </c>
      <c r="BL424" s="6">
        <f>Grandview_Inventory[[#This Row],[Eff_Age]]*Lookups!$B$14</f>
        <v>-13154.162999999999</v>
      </c>
      <c r="BM424" s="6">
        <f>Grandview_Inventory[[#This Row],[living_area]]*Lookups!$B$15</f>
        <v>173106.86707500002</v>
      </c>
      <c r="BN424" s="6">
        <f>Grandview_Inventory[[#This Row],[Fin BSMT]]*Lookups!$B$16</f>
        <v>0</v>
      </c>
      <c r="BO424" s="6">
        <f>(Grandview_Inventory[[#This Row],[att_gar]]+Grandview_Inventory[[#This Row],[bltin_gar]])*Lookups!$B$17</f>
        <v>0</v>
      </c>
      <c r="BP424" s="6">
        <f>Grandview_Inventory[[#This Row],[Plumbing Fixtures]]*Lookups!$B$18</f>
        <v>18093.976200000001</v>
      </c>
      <c r="BQ424" s="6">
        <f>Grandview_Inventory[[#This Row],[detatched_value]]*Lookups!$B$19</f>
        <v>23033.098719999998</v>
      </c>
      <c r="BR424" s="6">
        <f>SUM(Grandview_Inventory[[#This Row],[Intercept]:[det_value]])*Grandview_Inventory[[#This Row],[res_pct]]</f>
        <v>373178.72899500001</v>
      </c>
      <c r="BS424" s="6">
        <f>Grandview_Inventory[[#This Row],[land_value]]</f>
        <v>74210.381361899999</v>
      </c>
      <c r="BT424" s="4">
        <f>_xlfn.IFNA(VLOOKUP(Grandview_Inventory[[#This Row],[quality]],Lookups!$A$26:$C$33,3,FALSE),1)</f>
        <v>0.94960540378902636</v>
      </c>
      <c r="BU424" s="4">
        <f>_xlfn.IFNA(VLOOKUP(Grandview_Inventory[[#This Row],[condition]],Lookups!$A$37:$C$44,3,FALSE),1)</f>
        <v>0.96469275950863709</v>
      </c>
      <c r="BV424" s="4">
        <f>IF(Grandview_Inventory[[#This Row],[bldg_style]]="",1,_xlfn.IFNA(VLOOKUP(Grandview_Inventory[[#This Row],[decade]],Lookups!$F$29:$H$43,3,FALSE),1))</f>
        <v>0.95244691841736806</v>
      </c>
      <c r="BW424" s="4">
        <f>_xlfn.IFNA(VLOOKUP(Grandview_Inventory[[#This Row],[living_area_range]],Lookups!$F$47:$H$56,3,FALSE),1)</f>
        <v>0.94224801443562123</v>
      </c>
      <c r="BX424" s="4">
        <f>AVERAGE(Grandview_Inventory[[#This Row],[qual_adj]:[size_adj]])</f>
        <v>0.95224827403766321</v>
      </c>
      <c r="BY424" s="6">
        <f>IF(Grandview_Inventory[[#This Row],[pre_res]]&lt;0,0,Grandview_Inventory[[#This Row],[pre_res]]*Grandview_Inventory[[#This Row],[overall_adj]])</f>
        <v>355358.80059305765</v>
      </c>
      <c r="BZ424" s="6">
        <f>(Grandview_Inventory[[#This Row],[sum_land]]-IF(Grandview_Inventory[[#This Row],[no_utilities]]=1,12000,0))/IF(Grandview_Inventory[[#This Row],[unbuildable]]=1,2,1)</f>
        <v>74210.381361899999</v>
      </c>
      <c r="CA424">
        <f>IF(ROUND(Grandview_Inventory[[#This Row],[adj_land]]*Lookups!$M$28,-2)&lt;Grandview_Inventory[[#This Row],[min_land]],Grandview_Inventory[[#This Row],[min_land]],ROUND(Grandview_Inventory[[#This Row],[adj_land]]*Lookups!$M$28,-2))</f>
        <v>70500</v>
      </c>
      <c r="CB424">
        <f>ROUND(Grandview_Inventory[[#This Row],[det_value]]*Lookups!$M$28,-2)</f>
        <v>21900</v>
      </c>
      <c r="CC424">
        <f>IF(ROUND(Grandview_Inventory[[#This Row],[adj_res]]*Lookups!$M$28,-2)&lt;Grandview_Inventory[[#This Row],[min_res]],Grandview_Inventory[[#This Row],[min_res]],ROUND(Grandview_Inventory[[#This Row],[adj_res]]*Lookups!$M$28,-2))</f>
        <v>337600</v>
      </c>
      <c r="CD424">
        <f>Grandview_Inventory[[#This Row],[final_det]]+Grandview_Inventory[[#This Row],[final_res]]</f>
        <v>359500</v>
      </c>
      <c r="CE424">
        <f>Grandview_Inventory[[#This Row],[final_land]]+Grandview_Inventory[[#This Row],[final_imp]]+Grandview_Inventory[[#This Row],[crop_value]]</f>
        <v>430000</v>
      </c>
      <c r="CG424" t="str">
        <f t="shared" si="6"/>
        <v>update valuation set market_land =70500, market_bldg=359500, market_total =430000, market_mdno =401, market_date ='9/10/2023' where link_id = (select link_id from parcel where parcel_year = '2024' and parcel_id = '23092141415');</v>
      </c>
    </row>
    <row r="425" spans="1:85" x14ac:dyDescent="0.25">
      <c r="A425">
        <v>23092143400</v>
      </c>
      <c r="B425">
        <v>1.0900000000000001</v>
      </c>
      <c r="C425">
        <v>47348</v>
      </c>
      <c r="D425" t="s">
        <v>129</v>
      </c>
      <c r="E425" t="s">
        <v>53</v>
      </c>
      <c r="F425" t="s">
        <v>53</v>
      </c>
      <c r="G425">
        <v>4</v>
      </c>
      <c r="H425" t="s">
        <v>54</v>
      </c>
      <c r="I425">
        <v>394300</v>
      </c>
      <c r="J425">
        <v>51500</v>
      </c>
      <c r="K425">
        <v>1.0900000000000001</v>
      </c>
      <c r="L425">
        <f>IF(Grandview_Inventory[[#This Row],[parcel_acres]]-Grandview_Inventory[[#This Row],[non_valued_acres]] =0,0,LN(Grandview_Inventory[[#This Row],[parcel_acres]]-Grandview_Inventory[[#This Row],[non_valued_acres]]))</f>
        <v>8.6177696241052412E-2</v>
      </c>
      <c r="M425">
        <v>0</v>
      </c>
      <c r="N425">
        <v>0</v>
      </c>
      <c r="O425">
        <v>0</v>
      </c>
      <c r="P425">
        <v>13398.7528</v>
      </c>
      <c r="Q425">
        <v>63903</v>
      </c>
      <c r="R425">
        <f>(Grandview_Inventory[[#This Row],[ln_acres]]*Grandview_Inventory[[#This Row],[coeff]])+Grandview_Inventory[[#This Row],[const]]</f>
        <v>65057.673648807351</v>
      </c>
      <c r="S425" t="s">
        <v>55</v>
      </c>
      <c r="T425">
        <v>2</v>
      </c>
      <c r="U425" t="s">
        <v>62</v>
      </c>
      <c r="V425" t="s">
        <v>69</v>
      </c>
      <c r="W425">
        <v>0</v>
      </c>
      <c r="X425">
        <v>0</v>
      </c>
      <c r="Y425">
        <v>65</v>
      </c>
      <c r="Z425">
        <v>113</v>
      </c>
      <c r="AA425">
        <v>120</v>
      </c>
      <c r="AB425">
        <v>3500</v>
      </c>
      <c r="AC425">
        <v>3064</v>
      </c>
      <c r="AD425">
        <v>2224</v>
      </c>
      <c r="AE425">
        <v>840</v>
      </c>
      <c r="AF425">
        <v>0</v>
      </c>
      <c r="AG425">
        <v>0</v>
      </c>
      <c r="AH425">
        <v>600</v>
      </c>
      <c r="AI425">
        <v>0</v>
      </c>
      <c r="AJ425">
        <v>0</v>
      </c>
      <c r="AK425">
        <v>0</v>
      </c>
      <c r="AL425">
        <v>272</v>
      </c>
      <c r="AM425">
        <v>0</v>
      </c>
      <c r="AN425">
        <v>336</v>
      </c>
      <c r="AO425">
        <v>216</v>
      </c>
      <c r="AP425">
        <v>8</v>
      </c>
      <c r="AQ425">
        <v>0</v>
      </c>
      <c r="AR425">
        <v>2</v>
      </c>
      <c r="AS425" t="s">
        <v>76</v>
      </c>
      <c r="AT425">
        <v>1</v>
      </c>
      <c r="AU425" t="s">
        <v>63</v>
      </c>
      <c r="AV425" t="s">
        <v>64</v>
      </c>
      <c r="AW425">
        <v>1</v>
      </c>
      <c r="AX425">
        <v>5</v>
      </c>
      <c r="AY425">
        <v>0</v>
      </c>
      <c r="AZ425">
        <v>101900</v>
      </c>
      <c r="BA425">
        <v>100</v>
      </c>
      <c r="BB425">
        <v>100</v>
      </c>
      <c r="BC425">
        <v>100</v>
      </c>
      <c r="BD425">
        <v>100</v>
      </c>
      <c r="BE425">
        <v>1</v>
      </c>
      <c r="BF425">
        <v>15000</v>
      </c>
      <c r="BG425">
        <v>1000</v>
      </c>
      <c r="BH425" s="6">
        <f>Grandview_Inventory[[#This Row],[land_extract]]*Lookups!$B$3</f>
        <v>75551.300752641124</v>
      </c>
      <c r="BI425" s="6">
        <f>IF(Grandview_Inventory[[#This Row],[bldg_style]]="",0,Lookups!$B$2)</f>
        <v>155833.95000000001</v>
      </c>
      <c r="BJ425" s="6">
        <f>_xlfn.IFNA(VLOOKUP(Grandview_Inventory[[#This Row],[quality]],Lookups!$H$2:$J$14,3,FALSE),0)</f>
        <v>9808</v>
      </c>
      <c r="BK425" s="6">
        <f>_xlfn.IFNA(VLOOKUP(Grandview_Inventory[[#This Row],[condition]],Lookups!$H$17:$J$24,3,FALSE),0)</f>
        <v>-4503</v>
      </c>
      <c r="BL425" s="6">
        <f>Grandview_Inventory[[#This Row],[Eff_Age]]*Lookups!$B$14</f>
        <v>-15545.829</v>
      </c>
      <c r="BM425" s="6">
        <f>Grandview_Inventory[[#This Row],[living_area]]*Lookups!$B$15</f>
        <v>191134.93359200002</v>
      </c>
      <c r="BN425" s="6">
        <f>Grandview_Inventory[[#This Row],[Fin BSMT]]*Lookups!$B$16</f>
        <v>0</v>
      </c>
      <c r="BO425" s="6">
        <f>(Grandview_Inventory[[#This Row],[att_gar]]+Grandview_Inventory[[#This Row],[bltin_gar]])*Lookups!$B$17</f>
        <v>0</v>
      </c>
      <c r="BP425" s="6">
        <f>Grandview_Inventory[[#This Row],[Plumbing Fixtures]]*Lookups!$B$18</f>
        <v>16083.5344</v>
      </c>
      <c r="BQ425" s="6">
        <f>Grandview_Inventory[[#This Row],[detatched_value]]*Lookups!$B$19</f>
        <v>86289.439689999999</v>
      </c>
      <c r="BR425" s="6">
        <f>SUM(Grandview_Inventory[[#This Row],[Intercept]:[det_value]])*Grandview_Inventory[[#This Row],[res_pct]]</f>
        <v>439101.028682</v>
      </c>
      <c r="BS425" s="6">
        <f>Grandview_Inventory[[#This Row],[land_value]]</f>
        <v>75551.300752641124</v>
      </c>
      <c r="BT425" s="4">
        <f>_xlfn.IFNA(VLOOKUP(Grandview_Inventory[[#This Row],[quality]],Lookups!$A$26:$C$33,3,FALSE),1)</f>
        <v>0.94295468617355149</v>
      </c>
      <c r="BU425" s="4">
        <f>_xlfn.IFNA(VLOOKUP(Grandview_Inventory[[#This Row],[condition]],Lookups!$A$37:$C$44,3,FALSE),1)</f>
        <v>0.96469275950863709</v>
      </c>
      <c r="BV425" s="4">
        <f>IF(Grandview_Inventory[[#This Row],[bldg_style]]="",1,_xlfn.IFNA(VLOOKUP(Grandview_Inventory[[#This Row],[decade]],Lookups!$F$29:$H$43,3,FALSE),1))</f>
        <v>0.9251738460551937</v>
      </c>
      <c r="BW425" s="4">
        <f>_xlfn.IFNA(VLOOKUP(Grandview_Inventory[[#This Row],[living_area_range]],Lookups!$F$47:$H$56,3,FALSE),1)</f>
        <v>1.0170112215140563</v>
      </c>
      <c r="BX425" s="4">
        <f>AVERAGE(Grandview_Inventory[[#This Row],[qual_adj]:[size_adj]])</f>
        <v>0.96245812831285971</v>
      </c>
      <c r="BY425" s="6">
        <f>IF(Grandview_Inventory[[#This Row],[pre_res]]&lt;0,0,Grandview_Inventory[[#This Row],[pre_res]]*Grandview_Inventory[[#This Row],[overall_adj]])</f>
        <v>422616.35420552903</v>
      </c>
      <c r="BZ425" s="6">
        <f>(Grandview_Inventory[[#This Row],[sum_land]]-IF(Grandview_Inventory[[#This Row],[no_utilities]]=1,12000,0))/IF(Grandview_Inventory[[#This Row],[unbuildable]]=1,2,1)</f>
        <v>75551.300752641124</v>
      </c>
      <c r="CA425">
        <f>IF(ROUND(Grandview_Inventory[[#This Row],[adj_land]]*Lookups!$M$28,-2)&lt;Grandview_Inventory[[#This Row],[min_land]],Grandview_Inventory[[#This Row],[min_land]],ROUND(Grandview_Inventory[[#This Row],[adj_land]]*Lookups!$M$28,-2))</f>
        <v>71800</v>
      </c>
      <c r="CB425">
        <f>ROUND(Grandview_Inventory[[#This Row],[det_value]]*Lookups!$M$28,-2)</f>
        <v>82000</v>
      </c>
      <c r="CC425">
        <f>IF(ROUND(Grandview_Inventory[[#This Row],[adj_res]]*Lookups!$M$28,-2)&lt;Grandview_Inventory[[#This Row],[min_res]],Grandview_Inventory[[#This Row],[min_res]],ROUND(Grandview_Inventory[[#This Row],[adj_res]]*Lookups!$M$28,-2))</f>
        <v>401500</v>
      </c>
      <c r="CD425">
        <f>Grandview_Inventory[[#This Row],[final_det]]+Grandview_Inventory[[#This Row],[final_res]]</f>
        <v>483500</v>
      </c>
      <c r="CE425">
        <f>Grandview_Inventory[[#This Row],[final_land]]+Grandview_Inventory[[#This Row],[final_imp]]+Grandview_Inventory[[#This Row],[crop_value]]</f>
        <v>555300</v>
      </c>
      <c r="CG425" t="str">
        <f t="shared" si="6"/>
        <v>update valuation set market_land =71800, market_bldg=483500, market_total =555300, market_mdno =401, market_date ='9/10/2023' where link_id = (select link_id from parcel where parcel_year = '2024' and parcel_id = '23092143400');</v>
      </c>
    </row>
    <row r="426" spans="1:85" x14ac:dyDescent="0.25">
      <c r="A426">
        <v>23092144402</v>
      </c>
      <c r="B426">
        <v>3.78</v>
      </c>
      <c r="C426">
        <v>164626</v>
      </c>
      <c r="D426" t="s">
        <v>129</v>
      </c>
      <c r="E426" t="s">
        <v>53</v>
      </c>
      <c r="F426" t="s">
        <v>53</v>
      </c>
      <c r="G426">
        <v>4</v>
      </c>
      <c r="H426" t="s">
        <v>54</v>
      </c>
      <c r="I426">
        <v>294700</v>
      </c>
      <c r="J426">
        <v>68000</v>
      </c>
      <c r="K426">
        <v>3.78</v>
      </c>
      <c r="L426">
        <f>IF(Grandview_Inventory[[#This Row],[parcel_acres]]-Grandview_Inventory[[#This Row],[non_valued_acres]] =0,0,LN(Grandview_Inventory[[#This Row],[parcel_acres]]-Grandview_Inventory[[#This Row],[non_valued_acres]]))</f>
        <v>1.3297240096314962</v>
      </c>
      <c r="M426">
        <v>0</v>
      </c>
      <c r="N426">
        <v>0</v>
      </c>
      <c r="O426">
        <v>0</v>
      </c>
      <c r="P426">
        <v>13398.7528</v>
      </c>
      <c r="Q426">
        <v>63903</v>
      </c>
      <c r="R426">
        <f>(Grandview_Inventory[[#This Row],[ln_acres]]*Grandview_Inventory[[#This Row],[coeff]])+Grandview_Inventory[[#This Row],[const]]</f>
        <v>81719.643297277245</v>
      </c>
      <c r="S426" t="s">
        <v>61</v>
      </c>
      <c r="T426">
        <v>1</v>
      </c>
      <c r="U426" t="s">
        <v>62</v>
      </c>
      <c r="V426" t="s">
        <v>69</v>
      </c>
      <c r="W426">
        <v>0</v>
      </c>
      <c r="X426">
        <v>0</v>
      </c>
      <c r="Y426">
        <v>44</v>
      </c>
      <c r="Z426">
        <v>46</v>
      </c>
      <c r="AA426">
        <v>50</v>
      </c>
      <c r="AB426">
        <v>2000</v>
      </c>
      <c r="AC426">
        <v>1720</v>
      </c>
      <c r="AD426">
        <v>1720</v>
      </c>
      <c r="AE426">
        <v>0</v>
      </c>
      <c r="AF426">
        <v>0</v>
      </c>
      <c r="AG426">
        <v>0</v>
      </c>
      <c r="AH426">
        <v>0</v>
      </c>
      <c r="AI426">
        <v>441</v>
      </c>
      <c r="AJ426">
        <v>0</v>
      </c>
      <c r="AK426">
        <v>0</v>
      </c>
      <c r="AL426">
        <v>0</v>
      </c>
      <c r="AM426">
        <v>0</v>
      </c>
      <c r="AN426">
        <v>65</v>
      </c>
      <c r="AO426">
        <v>0</v>
      </c>
      <c r="AP426">
        <v>8</v>
      </c>
      <c r="AQ426">
        <v>1</v>
      </c>
      <c r="AR426">
        <v>0</v>
      </c>
      <c r="AS426" t="s">
        <v>58</v>
      </c>
      <c r="AT426">
        <v>1</v>
      </c>
      <c r="AU426" t="s">
        <v>63</v>
      </c>
      <c r="AV426" t="s">
        <v>60</v>
      </c>
      <c r="AW426">
        <v>1</v>
      </c>
      <c r="AX426">
        <v>3</v>
      </c>
      <c r="AY426">
        <v>0</v>
      </c>
      <c r="AZ426">
        <v>72600</v>
      </c>
      <c r="BA426">
        <v>100</v>
      </c>
      <c r="BB426">
        <v>100</v>
      </c>
      <c r="BC426">
        <v>100</v>
      </c>
      <c r="BD426">
        <v>100</v>
      </c>
      <c r="BE426">
        <v>1</v>
      </c>
      <c r="BF426">
        <v>15000</v>
      </c>
      <c r="BG426">
        <v>1000</v>
      </c>
      <c r="BH426" s="6">
        <f>Grandview_Inventory[[#This Row],[land_extract]]*Lookups!$B$3</f>
        <v>94900.801118091156</v>
      </c>
      <c r="BI426" s="6">
        <f>IF(Grandview_Inventory[[#This Row],[bldg_style]]="",0,Lookups!$B$2)</f>
        <v>155833.95000000001</v>
      </c>
      <c r="BJ426" s="6">
        <f>_xlfn.IFNA(VLOOKUP(Grandview_Inventory[[#This Row],[quality]],Lookups!$H$2:$J$14,3,FALSE),0)</f>
        <v>9808</v>
      </c>
      <c r="BK426" s="6">
        <f>_xlfn.IFNA(VLOOKUP(Grandview_Inventory[[#This Row],[condition]],Lookups!$H$17:$J$24,3,FALSE),0)</f>
        <v>-4503</v>
      </c>
      <c r="BL426" s="6">
        <f>Grandview_Inventory[[#This Row],[Eff_Age]]*Lookups!$B$14</f>
        <v>-10523.330399999999</v>
      </c>
      <c r="BM426" s="6">
        <f>Grandview_Inventory[[#This Row],[living_area]]*Lookups!$B$15</f>
        <v>107295.06716000001</v>
      </c>
      <c r="BN426" s="6">
        <f>Grandview_Inventory[[#This Row],[Fin BSMT]]*Lookups!$B$16</f>
        <v>0</v>
      </c>
      <c r="BO426" s="6">
        <f>(Grandview_Inventory[[#This Row],[att_gar]]+Grandview_Inventory[[#This Row],[bltin_gar]])*Lookups!$B$17</f>
        <v>38596.512716999998</v>
      </c>
      <c r="BP426" s="6">
        <f>Grandview_Inventory[[#This Row],[Plumbing Fixtures]]*Lookups!$B$18</f>
        <v>16083.5344</v>
      </c>
      <c r="BQ426" s="6">
        <f>Grandview_Inventory[[#This Row],[detatched_value]]*Lookups!$B$19</f>
        <v>61478.050259999996</v>
      </c>
      <c r="BR426" s="6">
        <f>SUM(Grandview_Inventory[[#This Row],[Intercept]:[det_value]])*Grandview_Inventory[[#This Row],[res_pct]]</f>
        <v>374068.78413699998</v>
      </c>
      <c r="BS426" s="6">
        <f>Grandview_Inventory[[#This Row],[land_value]]</f>
        <v>94900.801118091156</v>
      </c>
      <c r="BT426" s="4">
        <f>_xlfn.IFNA(VLOOKUP(Grandview_Inventory[[#This Row],[quality]],Lookups!$A$26:$C$33,3,FALSE),1)</f>
        <v>0.94295468617355149</v>
      </c>
      <c r="BU426" s="4">
        <f>_xlfn.IFNA(VLOOKUP(Grandview_Inventory[[#This Row],[condition]],Lookups!$A$37:$C$44,3,FALSE),1)</f>
        <v>0.96469275950863709</v>
      </c>
      <c r="BV426" s="4">
        <f>IF(Grandview_Inventory[[#This Row],[bldg_style]]="",1,_xlfn.IFNA(VLOOKUP(Grandview_Inventory[[#This Row],[decade]],Lookups!$F$29:$H$43,3,FALSE),1))</f>
        <v>0.9871940091910919</v>
      </c>
      <c r="BW426" s="4">
        <f>_xlfn.IFNA(VLOOKUP(Grandview_Inventory[[#This Row],[living_area_range]],Lookups!$F$47:$H$56,3,FALSE),1)</f>
        <v>0.96120133463014379</v>
      </c>
      <c r="BX426" s="4">
        <f>AVERAGE(Grandview_Inventory[[#This Row],[qual_adj]:[size_adj]])</f>
        <v>0.96401069737585598</v>
      </c>
      <c r="BY426" s="6">
        <f>IF(Grandview_Inventory[[#This Row],[pre_res]]&lt;0,0,Grandview_Inventory[[#This Row],[pre_res]]*Grandview_Inventory[[#This Row],[overall_adj]])</f>
        <v>360606.30946244788</v>
      </c>
      <c r="BZ426" s="6">
        <f>(Grandview_Inventory[[#This Row],[sum_land]]-IF(Grandview_Inventory[[#This Row],[no_utilities]]=1,12000,0))/IF(Grandview_Inventory[[#This Row],[unbuildable]]=1,2,1)</f>
        <v>94900.801118091156</v>
      </c>
      <c r="CA426">
        <f>IF(ROUND(Grandview_Inventory[[#This Row],[adj_land]]*Lookups!$M$28,-2)&lt;Grandview_Inventory[[#This Row],[min_land]],Grandview_Inventory[[#This Row],[min_land]],ROUND(Grandview_Inventory[[#This Row],[adj_land]]*Lookups!$M$28,-2))</f>
        <v>90200</v>
      </c>
      <c r="CB426">
        <f>ROUND(Grandview_Inventory[[#This Row],[det_value]]*Lookups!$M$28,-2)</f>
        <v>58400</v>
      </c>
      <c r="CC426">
        <f>IF(ROUND(Grandview_Inventory[[#This Row],[adj_res]]*Lookups!$M$28,-2)&lt;Grandview_Inventory[[#This Row],[min_res]],Grandview_Inventory[[#This Row],[min_res]],ROUND(Grandview_Inventory[[#This Row],[adj_res]]*Lookups!$M$28,-2))</f>
        <v>342600</v>
      </c>
      <c r="CD426">
        <f>Grandview_Inventory[[#This Row],[final_det]]+Grandview_Inventory[[#This Row],[final_res]]</f>
        <v>401000</v>
      </c>
      <c r="CE426">
        <f>Grandview_Inventory[[#This Row],[final_land]]+Grandview_Inventory[[#This Row],[final_imp]]+Grandview_Inventory[[#This Row],[crop_value]]</f>
        <v>491200</v>
      </c>
      <c r="CG426" t="str">
        <f t="shared" si="6"/>
        <v>update valuation set market_land =90200, market_bldg=401000, market_total =491200, market_mdno =401, market_date ='9/10/2023' where link_id = (select link_id from parcel where parcel_year = '2024' and parcel_id = '23092144402');</v>
      </c>
    </row>
    <row r="427" spans="1:85" x14ac:dyDescent="0.25">
      <c r="A427">
        <v>23092144404</v>
      </c>
      <c r="B427">
        <v>7.4</v>
      </c>
      <c r="C427">
        <v>322384</v>
      </c>
      <c r="D427" t="s">
        <v>129</v>
      </c>
      <c r="E427" t="s">
        <v>53</v>
      </c>
      <c r="F427" t="s">
        <v>53</v>
      </c>
      <c r="G427">
        <v>4</v>
      </c>
      <c r="H427" t="s">
        <v>54</v>
      </c>
      <c r="I427">
        <v>275700</v>
      </c>
      <c r="J427">
        <v>78800</v>
      </c>
      <c r="K427">
        <v>7.4</v>
      </c>
      <c r="L427">
        <f>IF(Grandview_Inventory[[#This Row],[parcel_acres]]-Grandview_Inventory[[#This Row],[non_valued_acres]] =0,0,LN(Grandview_Inventory[[#This Row],[parcel_acres]]-Grandview_Inventory[[#This Row],[non_valued_acres]]))</f>
        <v>2.0014800002101243</v>
      </c>
      <c r="M427">
        <v>0</v>
      </c>
      <c r="N427">
        <v>0</v>
      </c>
      <c r="O427">
        <v>0</v>
      </c>
      <c r="P427">
        <v>13398.7528</v>
      </c>
      <c r="Q427">
        <v>63903</v>
      </c>
      <c r="R427">
        <f>(Grandview_Inventory[[#This Row],[ln_acres]]*Grandview_Inventory[[#This Row],[coeff]])+Grandview_Inventory[[#This Row],[const]]</f>
        <v>90720.335756959408</v>
      </c>
      <c r="S427" t="s">
        <v>74</v>
      </c>
      <c r="T427">
        <v>1</v>
      </c>
      <c r="U427" t="s">
        <v>62</v>
      </c>
      <c r="V427" t="s">
        <v>69</v>
      </c>
      <c r="W427">
        <v>0</v>
      </c>
      <c r="X427">
        <v>0</v>
      </c>
      <c r="Y427">
        <v>40</v>
      </c>
      <c r="Z427">
        <v>40</v>
      </c>
      <c r="AA427">
        <v>40</v>
      </c>
      <c r="AB427">
        <v>3000</v>
      </c>
      <c r="AC427">
        <v>2975</v>
      </c>
      <c r="AD427">
        <v>2192</v>
      </c>
      <c r="AE427">
        <v>0</v>
      </c>
      <c r="AF427">
        <v>0</v>
      </c>
      <c r="AG427">
        <v>783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626</v>
      </c>
      <c r="AN427">
        <v>12</v>
      </c>
      <c r="AO427">
        <v>0</v>
      </c>
      <c r="AP427">
        <v>9</v>
      </c>
      <c r="AQ427">
        <v>0</v>
      </c>
      <c r="AR427">
        <v>0</v>
      </c>
      <c r="AS427" t="s">
        <v>58</v>
      </c>
      <c r="AT427">
        <v>1</v>
      </c>
      <c r="AU427" t="s">
        <v>63</v>
      </c>
      <c r="AV427" t="s">
        <v>60</v>
      </c>
      <c r="AW427">
        <v>1</v>
      </c>
      <c r="AX427">
        <v>3</v>
      </c>
      <c r="AY427">
        <v>0</v>
      </c>
      <c r="AZ427">
        <v>19200</v>
      </c>
      <c r="BA427">
        <v>100</v>
      </c>
      <c r="BB427">
        <v>100</v>
      </c>
      <c r="BC427">
        <v>100</v>
      </c>
      <c r="BD427">
        <v>100</v>
      </c>
      <c r="BE427">
        <v>1</v>
      </c>
      <c r="BF427">
        <v>15000</v>
      </c>
      <c r="BG427">
        <v>1000</v>
      </c>
      <c r="BH427" s="6">
        <f>Grandview_Inventory[[#This Row],[land_extract]]*Lookups!$B$3</f>
        <v>105353.28096965041</v>
      </c>
      <c r="BI427" s="6">
        <f>IF(Grandview_Inventory[[#This Row],[bldg_style]]="",0,Lookups!$B$2)</f>
        <v>155833.95000000001</v>
      </c>
      <c r="BJ427" s="6">
        <f>_xlfn.IFNA(VLOOKUP(Grandview_Inventory[[#This Row],[quality]],Lookups!$H$2:$J$14,3,FALSE),0)</f>
        <v>9808</v>
      </c>
      <c r="BK427" s="6">
        <f>_xlfn.IFNA(VLOOKUP(Grandview_Inventory[[#This Row],[condition]],Lookups!$H$17:$J$24,3,FALSE),0)</f>
        <v>-4503</v>
      </c>
      <c r="BL427" s="6">
        <f>Grandview_Inventory[[#This Row],[Eff_Age]]*Lookups!$B$14</f>
        <v>-9566.6639999999989</v>
      </c>
      <c r="BM427" s="6">
        <f>Grandview_Inventory[[#This Row],[living_area]]*Lookups!$B$15</f>
        <v>185583.037675</v>
      </c>
      <c r="BN427" s="6">
        <f>Grandview_Inventory[[#This Row],[Fin BSMT]]*Lookups!$B$16</f>
        <v>-21218.70492</v>
      </c>
      <c r="BO427" s="6">
        <f>(Grandview_Inventory[[#This Row],[att_gar]]+Grandview_Inventory[[#This Row],[bltin_gar]])*Lookups!$B$17</f>
        <v>0</v>
      </c>
      <c r="BP427" s="6">
        <f>Grandview_Inventory[[#This Row],[Plumbing Fixtures]]*Lookups!$B$18</f>
        <v>18093.976200000001</v>
      </c>
      <c r="BQ427" s="6">
        <f>Grandview_Inventory[[#This Row],[detatched_value]]*Lookups!$B$19</f>
        <v>16258.65792</v>
      </c>
      <c r="BR427" s="6">
        <f>SUM(Grandview_Inventory[[#This Row],[Intercept]:[det_value]])*Grandview_Inventory[[#This Row],[res_pct]]</f>
        <v>350289.25287500001</v>
      </c>
      <c r="BS427" s="6">
        <f>Grandview_Inventory[[#This Row],[land_value]]</f>
        <v>105353.28096965041</v>
      </c>
      <c r="BT427" s="4">
        <f>_xlfn.IFNA(VLOOKUP(Grandview_Inventory[[#This Row],[quality]],Lookups!$A$26:$C$33,3,FALSE),1)</f>
        <v>0.94295468617355149</v>
      </c>
      <c r="BU427" s="4">
        <f>_xlfn.IFNA(VLOOKUP(Grandview_Inventory[[#This Row],[condition]],Lookups!$A$37:$C$44,3,FALSE),1)</f>
        <v>0.96469275950863709</v>
      </c>
      <c r="BV427" s="4">
        <f>IF(Grandview_Inventory[[#This Row],[bldg_style]]="",1,_xlfn.IFNA(VLOOKUP(Grandview_Inventory[[#This Row],[decade]],Lookups!$F$29:$H$43,3,FALSE),1))</f>
        <v>0.98031878267063854</v>
      </c>
      <c r="BW427" s="4">
        <f>_xlfn.IFNA(VLOOKUP(Grandview_Inventory[[#This Row],[living_area_range]],Lookups!$F$47:$H$56,3,FALSE),1)</f>
        <v>0.94224801443562123</v>
      </c>
      <c r="BX427" s="4">
        <f>AVERAGE(Grandview_Inventory[[#This Row],[qual_adj]:[size_adj]])</f>
        <v>0.95755356069711206</v>
      </c>
      <c r="BY427" s="6">
        <f>IF(Grandview_Inventory[[#This Row],[pre_res]]&lt;0,0,Grandview_Inventory[[#This Row],[pre_res]]*Grandview_Inventory[[#This Row],[overall_adj]])</f>
        <v>335420.72136438737</v>
      </c>
      <c r="BZ427" s="6">
        <f>(Grandview_Inventory[[#This Row],[sum_land]]-IF(Grandview_Inventory[[#This Row],[no_utilities]]=1,12000,0))/IF(Grandview_Inventory[[#This Row],[unbuildable]]=1,2,1)</f>
        <v>105353.28096965041</v>
      </c>
      <c r="CA427">
        <f>IF(ROUND(Grandview_Inventory[[#This Row],[adj_land]]*Lookups!$M$28,-2)&lt;Grandview_Inventory[[#This Row],[min_land]],Grandview_Inventory[[#This Row],[min_land]],ROUND(Grandview_Inventory[[#This Row],[adj_land]]*Lookups!$M$28,-2))</f>
        <v>100100</v>
      </c>
      <c r="CB427">
        <f>ROUND(Grandview_Inventory[[#This Row],[det_value]]*Lookups!$M$28,-2)</f>
        <v>15400</v>
      </c>
      <c r="CC427">
        <f>IF(ROUND(Grandview_Inventory[[#This Row],[adj_res]]*Lookups!$M$28,-2)&lt;Grandview_Inventory[[#This Row],[min_res]],Grandview_Inventory[[#This Row],[min_res]],ROUND(Grandview_Inventory[[#This Row],[adj_res]]*Lookups!$M$28,-2))</f>
        <v>318600</v>
      </c>
      <c r="CD427">
        <f>Grandview_Inventory[[#This Row],[final_det]]+Grandview_Inventory[[#This Row],[final_res]]</f>
        <v>334000</v>
      </c>
      <c r="CE427">
        <f>Grandview_Inventory[[#This Row],[final_land]]+Grandview_Inventory[[#This Row],[final_imp]]+Grandview_Inventory[[#This Row],[crop_value]]</f>
        <v>434100</v>
      </c>
      <c r="CG427" t="str">
        <f t="shared" si="6"/>
        <v>update valuation set market_land =100100, market_bldg=334000, market_total =434100, market_mdno =401, market_date ='9/10/2023' where link_id = (select link_id from parcel where parcel_year = '2024' and parcel_id = '23092144404');</v>
      </c>
    </row>
    <row r="428" spans="1:85" x14ac:dyDescent="0.25">
      <c r="A428">
        <v>23092144405</v>
      </c>
      <c r="B428">
        <v>1.08</v>
      </c>
      <c r="C428">
        <v>46838</v>
      </c>
      <c r="D428" t="s">
        <v>129</v>
      </c>
      <c r="E428" t="s">
        <v>53</v>
      </c>
      <c r="F428" t="s">
        <v>53</v>
      </c>
      <c r="G428">
        <v>4</v>
      </c>
      <c r="H428" t="s">
        <v>54</v>
      </c>
      <c r="I428">
        <v>299000</v>
      </c>
      <c r="J428">
        <v>51500</v>
      </c>
      <c r="K428">
        <v>1.08</v>
      </c>
      <c r="L428">
        <f>IF(Grandview_Inventory[[#This Row],[parcel_acres]]-Grandview_Inventory[[#This Row],[non_valued_acres]] =0,0,LN(Grandview_Inventory[[#This Row],[parcel_acres]]-Grandview_Inventory[[#This Row],[non_valued_acres]]))</f>
        <v>7.6961041136128394E-2</v>
      </c>
      <c r="M428">
        <v>0</v>
      </c>
      <c r="N428">
        <v>0</v>
      </c>
      <c r="O428">
        <v>0</v>
      </c>
      <c r="P428">
        <v>13398.7528</v>
      </c>
      <c r="Q428">
        <v>63903</v>
      </c>
      <c r="R428">
        <f>(Grandview_Inventory[[#This Row],[ln_acres]]*Grandview_Inventory[[#This Row],[coeff]])+Grandview_Inventory[[#This Row],[const]]</f>
        <v>64934.181965413612</v>
      </c>
      <c r="S428" t="s">
        <v>68</v>
      </c>
      <c r="T428">
        <v>1</v>
      </c>
      <c r="U428" t="s">
        <v>62</v>
      </c>
      <c r="V428" t="s">
        <v>69</v>
      </c>
      <c r="W428">
        <v>0</v>
      </c>
      <c r="X428">
        <v>0</v>
      </c>
      <c r="Y428">
        <v>51</v>
      </c>
      <c r="Z428">
        <v>83</v>
      </c>
      <c r="AA428">
        <v>90</v>
      </c>
      <c r="AB428">
        <v>2000</v>
      </c>
      <c r="AC428">
        <v>1811</v>
      </c>
      <c r="AD428">
        <v>1811</v>
      </c>
      <c r="AE428">
        <v>0</v>
      </c>
      <c r="AF428">
        <v>0</v>
      </c>
      <c r="AG428">
        <v>0</v>
      </c>
      <c r="AH428">
        <v>240</v>
      </c>
      <c r="AI428">
        <v>0</v>
      </c>
      <c r="AJ428">
        <v>0</v>
      </c>
      <c r="AK428">
        <v>0</v>
      </c>
      <c r="AL428">
        <v>0</v>
      </c>
      <c r="AM428">
        <v>548</v>
      </c>
      <c r="AN428">
        <v>95</v>
      </c>
      <c r="AO428">
        <v>548</v>
      </c>
      <c r="AP428">
        <v>8</v>
      </c>
      <c r="AQ428">
        <v>0</v>
      </c>
      <c r="AR428">
        <v>1</v>
      </c>
      <c r="AS428" t="s">
        <v>58</v>
      </c>
      <c r="AT428">
        <v>1</v>
      </c>
      <c r="AU428" t="s">
        <v>63</v>
      </c>
      <c r="AV428" t="s">
        <v>64</v>
      </c>
      <c r="AW428">
        <v>1</v>
      </c>
      <c r="AX428">
        <v>3</v>
      </c>
      <c r="AY428">
        <v>0</v>
      </c>
      <c r="AZ428">
        <v>105200</v>
      </c>
      <c r="BA428">
        <v>100</v>
      </c>
      <c r="BB428">
        <v>100</v>
      </c>
      <c r="BC428">
        <v>100</v>
      </c>
      <c r="BD428">
        <v>100</v>
      </c>
      <c r="BE428">
        <v>1</v>
      </c>
      <c r="BF428">
        <v>15000</v>
      </c>
      <c r="BG428">
        <v>1000</v>
      </c>
      <c r="BH428" s="6">
        <f>Grandview_Inventory[[#This Row],[land_extract]]*Lookups!$B$3</f>
        <v>75407.890194143518</v>
      </c>
      <c r="BI428" s="6">
        <f>IF(Grandview_Inventory[[#This Row],[bldg_style]]="",0,Lookups!$B$2)</f>
        <v>155833.95000000001</v>
      </c>
      <c r="BJ428" s="6">
        <f>_xlfn.IFNA(VLOOKUP(Grandview_Inventory[[#This Row],[quality]],Lookups!$H$2:$J$14,3,FALSE),0)</f>
        <v>9808</v>
      </c>
      <c r="BK428" s="6">
        <f>_xlfn.IFNA(VLOOKUP(Grandview_Inventory[[#This Row],[condition]],Lookups!$H$17:$J$24,3,FALSE),0)</f>
        <v>-4503</v>
      </c>
      <c r="BL428" s="6">
        <f>Grandview_Inventory[[#This Row],[Eff_Age]]*Lookups!$B$14</f>
        <v>-12197.496599999999</v>
      </c>
      <c r="BM428" s="6">
        <f>Grandview_Inventory[[#This Row],[living_area]]*Lookups!$B$15</f>
        <v>112971.724783</v>
      </c>
      <c r="BN428" s="6">
        <f>Grandview_Inventory[[#This Row],[Fin BSMT]]*Lookups!$B$16</f>
        <v>0</v>
      </c>
      <c r="BO428" s="6">
        <f>(Grandview_Inventory[[#This Row],[att_gar]]+Grandview_Inventory[[#This Row],[bltin_gar]])*Lookups!$B$17</f>
        <v>0</v>
      </c>
      <c r="BP428" s="6">
        <f>Grandview_Inventory[[#This Row],[Plumbing Fixtures]]*Lookups!$B$18</f>
        <v>16083.5344</v>
      </c>
      <c r="BQ428" s="6">
        <f>Grandview_Inventory[[#This Row],[detatched_value]]*Lookups!$B$19</f>
        <v>89083.896519999995</v>
      </c>
      <c r="BR428" s="6">
        <f>SUM(Grandview_Inventory[[#This Row],[Intercept]:[det_value]])*Grandview_Inventory[[#This Row],[res_pct]]</f>
        <v>367080.60910300002</v>
      </c>
      <c r="BS428" s="6">
        <f>Grandview_Inventory[[#This Row],[land_value]]</f>
        <v>75407.890194143518</v>
      </c>
      <c r="BT428" s="4">
        <f>_xlfn.IFNA(VLOOKUP(Grandview_Inventory[[#This Row],[quality]],Lookups!$A$26:$C$33,3,FALSE),1)</f>
        <v>0.94295468617355149</v>
      </c>
      <c r="BU428" s="4">
        <f>_xlfn.IFNA(VLOOKUP(Grandview_Inventory[[#This Row],[condition]],Lookups!$A$37:$C$44,3,FALSE),1)</f>
        <v>0.96469275950863709</v>
      </c>
      <c r="BV428" s="4">
        <f>IF(Grandview_Inventory[[#This Row],[bldg_style]]="",1,_xlfn.IFNA(VLOOKUP(Grandview_Inventory[[#This Row],[decade]],Lookups!$F$29:$H$43,3,FALSE),1))</f>
        <v>0.94161750052457416</v>
      </c>
      <c r="BW428" s="4">
        <f>_xlfn.IFNA(VLOOKUP(Grandview_Inventory[[#This Row],[living_area_range]],Lookups!$F$47:$H$56,3,FALSE),1)</f>
        <v>0.96120133463014379</v>
      </c>
      <c r="BX428" s="4">
        <f>AVERAGE(Grandview_Inventory[[#This Row],[qual_adj]:[size_adj]])</f>
        <v>0.95261657020922663</v>
      </c>
      <c r="BY428" s="6">
        <f>IF(Grandview_Inventory[[#This Row],[pre_res]]&lt;0,0,Grandview_Inventory[[#This Row],[pre_res]]*Grandview_Inventory[[#This Row],[overall_adj]])</f>
        <v>349687.07083401369</v>
      </c>
      <c r="BZ428" s="6">
        <f>(Grandview_Inventory[[#This Row],[sum_land]]-IF(Grandview_Inventory[[#This Row],[no_utilities]]=1,12000,0))/IF(Grandview_Inventory[[#This Row],[unbuildable]]=1,2,1)</f>
        <v>75407.890194143518</v>
      </c>
      <c r="CA428">
        <f>IF(ROUND(Grandview_Inventory[[#This Row],[adj_land]]*Lookups!$M$28,-2)&lt;Grandview_Inventory[[#This Row],[min_land]],Grandview_Inventory[[#This Row],[min_land]],ROUND(Grandview_Inventory[[#This Row],[adj_land]]*Lookups!$M$28,-2))</f>
        <v>71600</v>
      </c>
      <c r="CB428">
        <f>ROUND(Grandview_Inventory[[#This Row],[det_value]]*Lookups!$M$28,-2)</f>
        <v>84600</v>
      </c>
      <c r="CC428">
        <f>IF(ROUND(Grandview_Inventory[[#This Row],[adj_res]]*Lookups!$M$28,-2)&lt;Grandview_Inventory[[#This Row],[min_res]],Grandview_Inventory[[#This Row],[min_res]],ROUND(Grandview_Inventory[[#This Row],[adj_res]]*Lookups!$M$28,-2))</f>
        <v>332200</v>
      </c>
      <c r="CD428">
        <f>Grandview_Inventory[[#This Row],[final_det]]+Grandview_Inventory[[#This Row],[final_res]]</f>
        <v>416800</v>
      </c>
      <c r="CE428">
        <f>Grandview_Inventory[[#This Row],[final_land]]+Grandview_Inventory[[#This Row],[final_imp]]+Grandview_Inventory[[#This Row],[crop_value]]</f>
        <v>488400</v>
      </c>
      <c r="CG428" t="str">
        <f t="shared" si="6"/>
        <v>update valuation set market_land =71600, market_bldg=416800, market_total =488400, market_mdno =401, market_date ='9/10/2023' where link_id = (select link_id from parcel where parcel_year = '2024' and parcel_id = '23092144405');</v>
      </c>
    </row>
    <row r="429" spans="1:85" x14ac:dyDescent="0.25">
      <c r="A429">
        <v>23092144406</v>
      </c>
      <c r="B429">
        <v>1.26</v>
      </c>
      <c r="C429">
        <v>54853</v>
      </c>
      <c r="D429" t="s">
        <v>129</v>
      </c>
      <c r="E429" t="s">
        <v>53</v>
      </c>
      <c r="F429" t="s">
        <v>53</v>
      </c>
      <c r="G429">
        <v>4</v>
      </c>
      <c r="H429" t="s">
        <v>54</v>
      </c>
      <c r="I429">
        <v>180800</v>
      </c>
      <c r="J429">
        <v>53500</v>
      </c>
      <c r="K429">
        <v>1.26</v>
      </c>
      <c r="L429">
        <f>IF(Grandview_Inventory[[#This Row],[parcel_acres]]-Grandview_Inventory[[#This Row],[non_valued_acres]] =0,0,LN(Grandview_Inventory[[#This Row],[parcel_acres]]-Grandview_Inventory[[#This Row],[non_valued_acres]]))</f>
        <v>0.23111172096338664</v>
      </c>
      <c r="M429">
        <v>0</v>
      </c>
      <c r="N429">
        <v>0</v>
      </c>
      <c r="O429">
        <v>0</v>
      </c>
      <c r="P429">
        <v>13398.7528</v>
      </c>
      <c r="Q429">
        <v>63903</v>
      </c>
      <c r="R429">
        <f>(Grandview_Inventory[[#This Row],[ln_acres]]*Grandview_Inventory[[#This Row],[coeff]])+Grandview_Inventory[[#This Row],[const]]</f>
        <v>66999.608818370994</v>
      </c>
      <c r="S429" t="s">
        <v>55</v>
      </c>
      <c r="T429">
        <v>2</v>
      </c>
      <c r="U429" t="s">
        <v>65</v>
      </c>
      <c r="V429" t="s">
        <v>69</v>
      </c>
      <c r="W429">
        <v>0</v>
      </c>
      <c r="X429">
        <v>0</v>
      </c>
      <c r="Y429">
        <v>55</v>
      </c>
      <c r="Z429">
        <v>98</v>
      </c>
      <c r="AA429">
        <v>100</v>
      </c>
      <c r="AB429">
        <v>2000</v>
      </c>
      <c r="AC429">
        <v>1730</v>
      </c>
      <c r="AD429">
        <v>1180</v>
      </c>
      <c r="AE429">
        <v>550</v>
      </c>
      <c r="AF429">
        <v>0</v>
      </c>
      <c r="AG429">
        <v>0</v>
      </c>
      <c r="AH429">
        <v>912</v>
      </c>
      <c r="AI429">
        <v>0</v>
      </c>
      <c r="AJ429">
        <v>0</v>
      </c>
      <c r="AK429">
        <v>0</v>
      </c>
      <c r="AL429">
        <v>20</v>
      </c>
      <c r="AM429">
        <v>192</v>
      </c>
      <c r="AN429">
        <v>0</v>
      </c>
      <c r="AO429">
        <v>192</v>
      </c>
      <c r="AP429">
        <v>5</v>
      </c>
      <c r="AQ429">
        <v>0</v>
      </c>
      <c r="AR429">
        <v>1</v>
      </c>
      <c r="AS429" t="s">
        <v>58</v>
      </c>
      <c r="AT429">
        <v>1</v>
      </c>
      <c r="AU429" t="s">
        <v>63</v>
      </c>
      <c r="AV429" t="s">
        <v>64</v>
      </c>
      <c r="AW429">
        <v>1</v>
      </c>
      <c r="AX429">
        <v>3</v>
      </c>
      <c r="AY429">
        <v>0</v>
      </c>
      <c r="AZ429">
        <v>0</v>
      </c>
      <c r="BA429">
        <v>100</v>
      </c>
      <c r="BB429">
        <v>100</v>
      </c>
      <c r="BC429">
        <v>100</v>
      </c>
      <c r="BD429">
        <v>100</v>
      </c>
      <c r="BE429">
        <v>1</v>
      </c>
      <c r="BF429">
        <v>15000</v>
      </c>
      <c r="BG429">
        <v>1000</v>
      </c>
      <c r="BH429" s="6">
        <f>Grandview_Inventory[[#This Row],[land_extract]]*Lookups!$B$3</f>
        <v>77806.464821830421</v>
      </c>
      <c r="BI429" s="6">
        <f>IF(Grandview_Inventory[[#This Row],[bldg_style]]="",0,Lookups!$B$2)</f>
        <v>155833.95000000001</v>
      </c>
      <c r="BJ429" s="6">
        <f>_xlfn.IFNA(VLOOKUP(Grandview_Inventory[[#This Row],[quality]],Lookups!$H$2:$J$14,3,FALSE),0)</f>
        <v>2251</v>
      </c>
      <c r="BK429" s="6">
        <f>_xlfn.IFNA(VLOOKUP(Grandview_Inventory[[#This Row],[condition]],Lookups!$H$17:$J$24,3,FALSE),0)</f>
        <v>-4503</v>
      </c>
      <c r="BL429" s="6">
        <f>Grandview_Inventory[[#This Row],[Eff_Age]]*Lookups!$B$14</f>
        <v>-13154.162999999999</v>
      </c>
      <c r="BM429" s="6">
        <f>Grandview_Inventory[[#This Row],[living_area]]*Lookups!$B$15</f>
        <v>107918.87569</v>
      </c>
      <c r="BN429" s="6">
        <f>Grandview_Inventory[[#This Row],[Fin BSMT]]*Lookups!$B$16</f>
        <v>0</v>
      </c>
      <c r="BO429" s="6">
        <f>(Grandview_Inventory[[#This Row],[att_gar]]+Grandview_Inventory[[#This Row],[bltin_gar]])*Lookups!$B$17</f>
        <v>0</v>
      </c>
      <c r="BP429" s="6">
        <f>Grandview_Inventory[[#This Row],[Plumbing Fixtures]]*Lookups!$B$18</f>
        <v>10052.209000000001</v>
      </c>
      <c r="BQ429" s="6">
        <f>Grandview_Inventory[[#This Row],[detatched_value]]*Lookups!$B$19</f>
        <v>0</v>
      </c>
      <c r="BR429" s="6">
        <f>SUM(Grandview_Inventory[[#This Row],[Intercept]:[det_value]])*Grandview_Inventory[[#This Row],[res_pct]]</f>
        <v>258398.87169000003</v>
      </c>
      <c r="BS429" s="6">
        <f>Grandview_Inventory[[#This Row],[land_value]]</f>
        <v>77806.464821830421</v>
      </c>
      <c r="BT429" s="4">
        <f>_xlfn.IFNA(VLOOKUP(Grandview_Inventory[[#This Row],[quality]],Lookups!$A$26:$C$33,3,FALSE),1)</f>
        <v>0.98763855981004833</v>
      </c>
      <c r="BU429" s="4">
        <f>_xlfn.IFNA(VLOOKUP(Grandview_Inventory[[#This Row],[condition]],Lookups!$A$37:$C$44,3,FALSE),1)</f>
        <v>0.96469275950863709</v>
      </c>
      <c r="BV429" s="4">
        <f>IF(Grandview_Inventory[[#This Row],[bldg_style]]="",1,_xlfn.IFNA(VLOOKUP(Grandview_Inventory[[#This Row],[decade]],Lookups!$F$29:$H$43,3,FALSE),1))</f>
        <v>0.95244691841736806</v>
      </c>
      <c r="BW429" s="4">
        <f>_xlfn.IFNA(VLOOKUP(Grandview_Inventory[[#This Row],[living_area_range]],Lookups!$F$47:$H$56,3,FALSE),1)</f>
        <v>0.96120133463014379</v>
      </c>
      <c r="BX429" s="4">
        <f>AVERAGE(Grandview_Inventory[[#This Row],[qual_adj]:[size_adj]])</f>
        <v>0.96649489309154935</v>
      </c>
      <c r="BY429" s="6">
        <f>IF(Grandview_Inventory[[#This Row],[pre_res]]&lt;0,0,Grandview_Inventory[[#This Row],[pre_res]]*Grandview_Inventory[[#This Row],[overall_adj]])</f>
        <v>249741.18986900355</v>
      </c>
      <c r="BZ429" s="6">
        <f>(Grandview_Inventory[[#This Row],[sum_land]]-IF(Grandview_Inventory[[#This Row],[no_utilities]]=1,12000,0))/IF(Grandview_Inventory[[#This Row],[unbuildable]]=1,2,1)</f>
        <v>77806.464821830421</v>
      </c>
      <c r="CA429">
        <f>IF(ROUND(Grandview_Inventory[[#This Row],[adj_land]]*Lookups!$M$28,-2)&lt;Grandview_Inventory[[#This Row],[min_land]],Grandview_Inventory[[#This Row],[min_land]],ROUND(Grandview_Inventory[[#This Row],[adj_land]]*Lookups!$M$28,-2))</f>
        <v>73900</v>
      </c>
      <c r="CB429">
        <f>ROUND(Grandview_Inventory[[#This Row],[det_value]]*Lookups!$M$28,-2)</f>
        <v>0</v>
      </c>
      <c r="CC429">
        <f>IF(ROUND(Grandview_Inventory[[#This Row],[adj_res]]*Lookups!$M$28,-2)&lt;Grandview_Inventory[[#This Row],[min_res]],Grandview_Inventory[[#This Row],[min_res]],ROUND(Grandview_Inventory[[#This Row],[adj_res]]*Lookups!$M$28,-2))</f>
        <v>237300</v>
      </c>
      <c r="CD429">
        <f>Grandview_Inventory[[#This Row],[final_det]]+Grandview_Inventory[[#This Row],[final_res]]</f>
        <v>237300</v>
      </c>
      <c r="CE429">
        <f>Grandview_Inventory[[#This Row],[final_land]]+Grandview_Inventory[[#This Row],[final_imp]]+Grandview_Inventory[[#This Row],[crop_value]]</f>
        <v>311200</v>
      </c>
      <c r="CG429" t="str">
        <f t="shared" si="6"/>
        <v>update valuation set market_land =73900, market_bldg=237300, market_total =311200, market_mdno =401, market_date ='9/10/2023' where link_id = (select link_id from parcel where parcel_year = '2024' and parcel_id = '23092144406');</v>
      </c>
    </row>
    <row r="430" spans="1:85" x14ac:dyDescent="0.25">
      <c r="A430">
        <v>23092144407</v>
      </c>
      <c r="B430">
        <v>0.5</v>
      </c>
      <c r="C430" t="s">
        <v>129</v>
      </c>
      <c r="D430" t="s">
        <v>129</v>
      </c>
      <c r="E430" t="s">
        <v>53</v>
      </c>
      <c r="F430" t="s">
        <v>53</v>
      </c>
      <c r="G430">
        <v>4</v>
      </c>
      <c r="H430" t="s">
        <v>54</v>
      </c>
      <c r="I430">
        <v>279900</v>
      </c>
      <c r="J430">
        <v>43700</v>
      </c>
      <c r="K430">
        <v>0.5</v>
      </c>
      <c r="L430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430">
        <v>0</v>
      </c>
      <c r="N430">
        <v>0</v>
      </c>
      <c r="O430">
        <v>0</v>
      </c>
      <c r="P430">
        <v>13398.7528</v>
      </c>
      <c r="Q430">
        <v>63903</v>
      </c>
      <c r="R430">
        <f>(Grandview_Inventory[[#This Row],[ln_acres]]*Grandview_Inventory[[#This Row],[coeff]])+Grandview_Inventory[[#This Row],[const]]</f>
        <v>54615.69227366033</v>
      </c>
      <c r="S430" t="s">
        <v>55</v>
      </c>
      <c r="T430">
        <v>2</v>
      </c>
      <c r="U430" t="s">
        <v>56</v>
      </c>
      <c r="V430" t="s">
        <v>69</v>
      </c>
      <c r="W430">
        <v>30700</v>
      </c>
      <c r="X430">
        <v>0</v>
      </c>
      <c r="Y430">
        <v>50</v>
      </c>
      <c r="Z430">
        <v>72</v>
      </c>
      <c r="AA430">
        <v>80</v>
      </c>
      <c r="AB430">
        <v>3500</v>
      </c>
      <c r="AC430">
        <v>3417</v>
      </c>
      <c r="AD430">
        <v>1965</v>
      </c>
      <c r="AE430">
        <v>732</v>
      </c>
      <c r="AF430">
        <v>0</v>
      </c>
      <c r="AG430">
        <v>720</v>
      </c>
      <c r="AH430">
        <v>0</v>
      </c>
      <c r="AI430">
        <v>528</v>
      </c>
      <c r="AJ430">
        <v>0</v>
      </c>
      <c r="AK430">
        <v>0</v>
      </c>
      <c r="AL430">
        <v>0</v>
      </c>
      <c r="AM430">
        <v>712</v>
      </c>
      <c r="AN430">
        <v>456</v>
      </c>
      <c r="AO430">
        <v>712</v>
      </c>
      <c r="AP430">
        <v>14</v>
      </c>
      <c r="AQ430">
        <v>0</v>
      </c>
      <c r="AR430">
        <v>1</v>
      </c>
      <c r="AS430" t="s">
        <v>131</v>
      </c>
      <c r="AT430">
        <v>1</v>
      </c>
      <c r="AU430" t="s">
        <v>63</v>
      </c>
      <c r="AV430" t="s">
        <v>64</v>
      </c>
      <c r="AW430">
        <v>1</v>
      </c>
      <c r="AX430">
        <v>4</v>
      </c>
      <c r="AY430">
        <v>0</v>
      </c>
      <c r="AZ430">
        <v>1400</v>
      </c>
      <c r="BA430">
        <v>100</v>
      </c>
      <c r="BB430">
        <v>100</v>
      </c>
      <c r="BC430">
        <v>100</v>
      </c>
      <c r="BD430">
        <v>100</v>
      </c>
      <c r="BE430">
        <v>1</v>
      </c>
      <c r="BF430">
        <v>15000</v>
      </c>
      <c r="BG430">
        <v>1000</v>
      </c>
      <c r="BH430" s="6">
        <f>Grandview_Inventory[[#This Row],[land_extract]]*Lookups!$B$3</f>
        <v>63425.055975032599</v>
      </c>
      <c r="BI430" s="6">
        <f>IF(Grandview_Inventory[[#This Row],[bldg_style]]="",0,Lookups!$B$2)</f>
        <v>155833.95000000001</v>
      </c>
      <c r="BJ430" s="6">
        <f>_xlfn.IFNA(VLOOKUP(Grandview_Inventory[[#This Row],[quality]],Lookups!$H$2:$J$14,3,FALSE),0)</f>
        <v>56323</v>
      </c>
      <c r="BK430" s="6">
        <f>_xlfn.IFNA(VLOOKUP(Grandview_Inventory[[#This Row],[condition]],Lookups!$H$17:$J$24,3,FALSE),0)</f>
        <v>-4503</v>
      </c>
      <c r="BL430" s="6">
        <f>Grandview_Inventory[[#This Row],[Eff_Age]]*Lookups!$B$14</f>
        <v>-11958.33</v>
      </c>
      <c r="BM430" s="6">
        <f>Grandview_Inventory[[#This Row],[living_area]]*Lookups!$B$15</f>
        <v>213155.37470099999</v>
      </c>
      <c r="BN430" s="6">
        <f>Grandview_Inventory[[#This Row],[Fin BSMT]]*Lookups!$B$16</f>
        <v>-19511.452800000003</v>
      </c>
      <c r="BO430" s="6">
        <f>(Grandview_Inventory[[#This Row],[att_gar]]+Grandview_Inventory[[#This Row],[bltin_gar]])*Lookups!$B$17</f>
        <v>46210.790736000003</v>
      </c>
      <c r="BP430" s="6">
        <f>Grandview_Inventory[[#This Row],[Plumbing Fixtures]]*Lookups!$B$18</f>
        <v>28146.1852</v>
      </c>
      <c r="BQ430" s="6">
        <f>Grandview_Inventory[[#This Row],[detatched_value]]*Lookups!$B$19</f>
        <v>1185.5271399999999</v>
      </c>
      <c r="BR430" s="6">
        <f>SUM(Grandview_Inventory[[#This Row],[Intercept]:[det_value]])*Grandview_Inventory[[#This Row],[res_pct]]</f>
        <v>464882.04497700004</v>
      </c>
      <c r="BS430" s="6">
        <f>Grandview_Inventory[[#This Row],[land_value]]</f>
        <v>63425.055975032599</v>
      </c>
      <c r="BT430" s="4">
        <f>_xlfn.IFNA(VLOOKUP(Grandview_Inventory[[#This Row],[quality]],Lookups!$A$26:$C$33,3,FALSE),1)</f>
        <v>0.76437650671582003</v>
      </c>
      <c r="BU430" s="4">
        <f>_xlfn.IFNA(VLOOKUP(Grandview_Inventory[[#This Row],[condition]],Lookups!$A$37:$C$44,3,FALSE),1)</f>
        <v>0.96469275950863709</v>
      </c>
      <c r="BV430" s="4">
        <f>IF(Grandview_Inventory[[#This Row],[bldg_style]]="",1,_xlfn.IFNA(VLOOKUP(Grandview_Inventory[[#This Row],[decade]],Lookups!$F$29:$H$43,3,FALSE),1))</f>
        <v>0.98763256963907298</v>
      </c>
      <c r="BW430" s="4">
        <f>_xlfn.IFNA(VLOOKUP(Grandview_Inventory[[#This Row],[living_area_range]],Lookups!$F$47:$H$56,3,FALSE),1)</f>
        <v>1.0170112215140563</v>
      </c>
      <c r="BX430" s="4">
        <f>AVERAGE(Grandview_Inventory[[#This Row],[qual_adj]:[size_adj]])</f>
        <v>0.93342826434439652</v>
      </c>
      <c r="BY430" s="6">
        <f>IF(Grandview_Inventory[[#This Row],[pre_res]]&lt;0,0,Grandview_Inventory[[#This Row],[pre_res]]*Grandview_Inventory[[#This Row],[overall_adj]])</f>
        <v>433934.04036775482</v>
      </c>
      <c r="BZ430" s="6">
        <f>(Grandview_Inventory[[#This Row],[sum_land]]-IF(Grandview_Inventory[[#This Row],[no_utilities]]=1,12000,0))/IF(Grandview_Inventory[[#This Row],[unbuildable]]=1,2,1)</f>
        <v>63425.055975032599</v>
      </c>
      <c r="CA430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430">
        <f>ROUND(Grandview_Inventory[[#This Row],[det_value]]*Lookups!$M$28,-2)</f>
        <v>1100</v>
      </c>
      <c r="CC430">
        <f>IF(ROUND(Grandview_Inventory[[#This Row],[adj_res]]*Lookups!$M$28,-2)&lt;Grandview_Inventory[[#This Row],[min_res]],Grandview_Inventory[[#This Row],[min_res]],ROUND(Grandview_Inventory[[#This Row],[adj_res]]*Lookups!$M$28,-2))</f>
        <v>412200</v>
      </c>
      <c r="CD430">
        <f>Grandview_Inventory[[#This Row],[final_det]]+Grandview_Inventory[[#This Row],[final_res]]</f>
        <v>413300</v>
      </c>
      <c r="CE430">
        <f>Grandview_Inventory[[#This Row],[final_land]]+Grandview_Inventory[[#This Row],[final_imp]]+Grandview_Inventory[[#This Row],[crop_value]]</f>
        <v>473600</v>
      </c>
      <c r="CG430" t="str">
        <f t="shared" si="6"/>
        <v>update valuation set market_land =60300, market_bldg=413300, market_total =473600, market_mdno =401, market_date ='9/10/2023' where link_id = (select link_id from parcel where parcel_year = '2024' and parcel_id = '23092144407');</v>
      </c>
    </row>
    <row r="431" spans="1:85" x14ac:dyDescent="0.25">
      <c r="A431">
        <v>23092144409</v>
      </c>
      <c r="B431">
        <v>2</v>
      </c>
      <c r="C431" t="s">
        <v>129</v>
      </c>
      <c r="D431" t="s">
        <v>129</v>
      </c>
      <c r="E431" t="s">
        <v>53</v>
      </c>
      <c r="F431" t="s">
        <v>53</v>
      </c>
      <c r="G431">
        <v>4</v>
      </c>
      <c r="H431" t="s">
        <v>54</v>
      </c>
      <c r="I431">
        <v>190600</v>
      </c>
      <c r="J431">
        <v>59000</v>
      </c>
      <c r="K431">
        <v>2</v>
      </c>
      <c r="L431">
        <f>IF(Grandview_Inventory[[#This Row],[parcel_acres]]-Grandview_Inventory[[#This Row],[non_valued_acres]] =0,0,LN(Grandview_Inventory[[#This Row],[parcel_acres]]-Grandview_Inventory[[#This Row],[non_valued_acres]]))</f>
        <v>0.69314718055994529</v>
      </c>
      <c r="M431">
        <v>0</v>
      </c>
      <c r="N431">
        <v>0</v>
      </c>
      <c r="O431">
        <v>0</v>
      </c>
      <c r="P431">
        <v>13398.7528</v>
      </c>
      <c r="Q431">
        <v>63903</v>
      </c>
      <c r="R431">
        <f>(Grandview_Inventory[[#This Row],[ln_acres]]*Grandview_Inventory[[#This Row],[coeff]])+Grandview_Inventory[[#This Row],[const]]</f>
        <v>73190.30772633967</v>
      </c>
      <c r="S431" t="s">
        <v>61</v>
      </c>
      <c r="T431">
        <v>1</v>
      </c>
      <c r="U431" t="s">
        <v>65</v>
      </c>
      <c r="V431" t="s">
        <v>69</v>
      </c>
      <c r="W431">
        <v>0</v>
      </c>
      <c r="X431">
        <v>0</v>
      </c>
      <c r="Y431">
        <v>50</v>
      </c>
      <c r="Z431">
        <v>73</v>
      </c>
      <c r="AA431">
        <v>80</v>
      </c>
      <c r="AB431">
        <v>2000</v>
      </c>
      <c r="AC431">
        <v>1813</v>
      </c>
      <c r="AD431">
        <v>1813</v>
      </c>
      <c r="AE431">
        <v>0</v>
      </c>
      <c r="AF431">
        <v>0</v>
      </c>
      <c r="AG431">
        <v>0</v>
      </c>
      <c r="AH431">
        <v>1559</v>
      </c>
      <c r="AI431">
        <v>0</v>
      </c>
      <c r="AJ431">
        <v>240</v>
      </c>
      <c r="AK431">
        <v>0</v>
      </c>
      <c r="AL431">
        <v>0</v>
      </c>
      <c r="AM431">
        <v>132</v>
      </c>
      <c r="AN431">
        <v>0</v>
      </c>
      <c r="AO431">
        <v>132</v>
      </c>
      <c r="AP431">
        <v>8</v>
      </c>
      <c r="AQ431">
        <v>0</v>
      </c>
      <c r="AR431">
        <v>0</v>
      </c>
      <c r="AS431" t="s">
        <v>58</v>
      </c>
      <c r="AT431">
        <v>1</v>
      </c>
      <c r="AU431" t="s">
        <v>59</v>
      </c>
      <c r="AV431" t="s">
        <v>60</v>
      </c>
      <c r="AW431">
        <v>1</v>
      </c>
      <c r="AX431">
        <v>3</v>
      </c>
      <c r="AY431">
        <v>0</v>
      </c>
      <c r="AZ431">
        <v>0</v>
      </c>
      <c r="BA431">
        <v>100</v>
      </c>
      <c r="BB431">
        <v>100</v>
      </c>
      <c r="BC431">
        <v>100</v>
      </c>
      <c r="BD431">
        <v>100</v>
      </c>
      <c r="BE431">
        <v>1</v>
      </c>
      <c r="BF431">
        <v>15000</v>
      </c>
      <c r="BG431">
        <v>1000</v>
      </c>
      <c r="BH431" s="6">
        <f>Grandview_Inventory[[#This Row],[land_extract]]*Lookups!$B$3</f>
        <v>84995.706748767392</v>
      </c>
      <c r="BI431" s="6">
        <f>IF(Grandview_Inventory[[#This Row],[bldg_style]]="",0,Lookups!$B$2)</f>
        <v>155833.95000000001</v>
      </c>
      <c r="BJ431" s="6">
        <f>_xlfn.IFNA(VLOOKUP(Grandview_Inventory[[#This Row],[quality]],Lookups!$H$2:$J$14,3,FALSE),0)</f>
        <v>2251</v>
      </c>
      <c r="BK431" s="6">
        <f>_xlfn.IFNA(VLOOKUP(Grandview_Inventory[[#This Row],[condition]],Lookups!$H$17:$J$24,3,FALSE),0)</f>
        <v>-4503</v>
      </c>
      <c r="BL431" s="6">
        <f>Grandview_Inventory[[#This Row],[Eff_Age]]*Lookups!$B$14</f>
        <v>-11958.33</v>
      </c>
      <c r="BM431" s="6">
        <f>Grandview_Inventory[[#This Row],[living_area]]*Lookups!$B$15</f>
        <v>113096.486489</v>
      </c>
      <c r="BN431" s="6">
        <f>Grandview_Inventory[[#This Row],[Fin BSMT]]*Lookups!$B$16</f>
        <v>0</v>
      </c>
      <c r="BO431" s="6">
        <f>(Grandview_Inventory[[#This Row],[att_gar]]+Grandview_Inventory[[#This Row],[bltin_gar]])*Lookups!$B$17</f>
        <v>21004.904880000002</v>
      </c>
      <c r="BP431" s="6">
        <f>Grandview_Inventory[[#This Row],[Plumbing Fixtures]]*Lookups!$B$18</f>
        <v>16083.5344</v>
      </c>
      <c r="BQ431" s="6">
        <f>Grandview_Inventory[[#This Row],[detatched_value]]*Lookups!$B$19</f>
        <v>0</v>
      </c>
      <c r="BR431" s="6">
        <f>SUM(Grandview_Inventory[[#This Row],[Intercept]:[det_value]])*Grandview_Inventory[[#This Row],[res_pct]]</f>
        <v>291808.54576900002</v>
      </c>
      <c r="BS431" s="6">
        <f>Grandview_Inventory[[#This Row],[land_value]]</f>
        <v>84995.706748767392</v>
      </c>
      <c r="BT431" s="4">
        <f>_xlfn.IFNA(VLOOKUP(Grandview_Inventory[[#This Row],[quality]],Lookups!$A$26:$C$33,3,FALSE),1)</f>
        <v>0.98763855981004833</v>
      </c>
      <c r="BU431" s="4">
        <f>_xlfn.IFNA(VLOOKUP(Grandview_Inventory[[#This Row],[condition]],Lookups!$A$37:$C$44,3,FALSE),1)</f>
        <v>0.96469275950863709</v>
      </c>
      <c r="BV431" s="4">
        <f>IF(Grandview_Inventory[[#This Row],[bldg_style]]="",1,_xlfn.IFNA(VLOOKUP(Grandview_Inventory[[#This Row],[decade]],Lookups!$F$29:$H$43,3,FALSE),1))</f>
        <v>0.98763256963907298</v>
      </c>
      <c r="BW431" s="4">
        <f>_xlfn.IFNA(VLOOKUP(Grandview_Inventory[[#This Row],[living_area_range]],Lookups!$F$47:$H$56,3,FALSE),1)</f>
        <v>0.96120133463014379</v>
      </c>
      <c r="BX431" s="4">
        <f>AVERAGE(Grandview_Inventory[[#This Row],[qual_adj]:[size_adj]])</f>
        <v>0.97529130589697544</v>
      </c>
      <c r="BY431" s="6">
        <f>IF(Grandview_Inventory[[#This Row],[pre_res]]&lt;0,0,Grandview_Inventory[[#This Row],[pre_res]]*Grandview_Inventory[[#This Row],[overall_adj]])</f>
        <v>284598.33767494536</v>
      </c>
      <c r="BZ431" s="6">
        <f>(Grandview_Inventory[[#This Row],[sum_land]]-IF(Grandview_Inventory[[#This Row],[no_utilities]]=1,12000,0))/IF(Grandview_Inventory[[#This Row],[unbuildable]]=1,2,1)</f>
        <v>84995.706748767392</v>
      </c>
      <c r="CA431">
        <f>IF(ROUND(Grandview_Inventory[[#This Row],[adj_land]]*Lookups!$M$28,-2)&lt;Grandview_Inventory[[#This Row],[min_land]],Grandview_Inventory[[#This Row],[min_land]],ROUND(Grandview_Inventory[[#This Row],[adj_land]]*Lookups!$M$28,-2))</f>
        <v>80700</v>
      </c>
      <c r="CB431">
        <f>ROUND(Grandview_Inventory[[#This Row],[det_value]]*Lookups!$M$28,-2)</f>
        <v>0</v>
      </c>
      <c r="CC431">
        <f>IF(ROUND(Grandview_Inventory[[#This Row],[adj_res]]*Lookups!$M$28,-2)&lt;Grandview_Inventory[[#This Row],[min_res]],Grandview_Inventory[[#This Row],[min_res]],ROUND(Grandview_Inventory[[#This Row],[adj_res]]*Lookups!$M$28,-2))</f>
        <v>270400</v>
      </c>
      <c r="CD431">
        <f>Grandview_Inventory[[#This Row],[final_det]]+Grandview_Inventory[[#This Row],[final_res]]</f>
        <v>270400</v>
      </c>
      <c r="CE431">
        <f>Grandview_Inventory[[#This Row],[final_land]]+Grandview_Inventory[[#This Row],[final_imp]]+Grandview_Inventory[[#This Row],[crop_value]]</f>
        <v>351100</v>
      </c>
      <c r="CG431" t="str">
        <f t="shared" si="6"/>
        <v>update valuation set market_land =80700, market_bldg=270400, market_total =351100, market_mdno =401, market_date ='9/10/2023' where link_id = (select link_id from parcel where parcel_year = '2024' and parcel_id = '23092144409');</v>
      </c>
    </row>
    <row r="432" spans="1:85" x14ac:dyDescent="0.25">
      <c r="A432">
        <v>23092144410</v>
      </c>
      <c r="B432">
        <v>4.4800000000000004</v>
      </c>
      <c r="C432">
        <v>195163</v>
      </c>
      <c r="D432" t="s">
        <v>129</v>
      </c>
      <c r="E432" t="s">
        <v>53</v>
      </c>
      <c r="F432" t="s">
        <v>53</v>
      </c>
      <c r="G432">
        <v>4</v>
      </c>
      <c r="H432" t="s">
        <v>54</v>
      </c>
      <c r="I432">
        <v>378300</v>
      </c>
      <c r="J432">
        <v>70700</v>
      </c>
      <c r="K432">
        <v>4.4800000000000004</v>
      </c>
      <c r="L432">
        <f>IF(Grandview_Inventory[[#This Row],[parcel_acres]]-Grandview_Inventory[[#This Row],[non_valued_acres]] =0,0,LN(Grandview_Inventory[[#This Row],[parcel_acres]]-Grandview_Inventory[[#This Row],[non_valued_acres]]))</f>
        <v>1.4996230464268938</v>
      </c>
      <c r="M432">
        <v>0</v>
      </c>
      <c r="N432">
        <v>0</v>
      </c>
      <c r="O432">
        <v>0</v>
      </c>
      <c r="P432">
        <v>13398.7528</v>
      </c>
      <c r="Q432">
        <v>63903</v>
      </c>
      <c r="R432">
        <f>(Grandview_Inventory[[#This Row],[ln_acres]]*Grandview_Inventory[[#This Row],[coeff]])+Grandview_Inventory[[#This Row],[const]]</f>
        <v>83996.078492256871</v>
      </c>
      <c r="S432" t="s">
        <v>55</v>
      </c>
      <c r="T432">
        <v>2</v>
      </c>
      <c r="U432" t="s">
        <v>64</v>
      </c>
      <c r="V432" t="s">
        <v>69</v>
      </c>
      <c r="W432">
        <v>0</v>
      </c>
      <c r="X432">
        <v>0</v>
      </c>
      <c r="Y432">
        <v>25</v>
      </c>
      <c r="Z432">
        <v>25</v>
      </c>
      <c r="AA432">
        <v>30</v>
      </c>
      <c r="AB432">
        <v>3500</v>
      </c>
      <c r="AC432">
        <v>3248</v>
      </c>
      <c r="AD432">
        <v>1437</v>
      </c>
      <c r="AE432">
        <v>1135</v>
      </c>
      <c r="AF432">
        <v>0</v>
      </c>
      <c r="AG432">
        <v>676</v>
      </c>
      <c r="AH432">
        <v>0</v>
      </c>
      <c r="AI432">
        <v>877</v>
      </c>
      <c r="AJ432">
        <v>0</v>
      </c>
      <c r="AK432">
        <v>0</v>
      </c>
      <c r="AL432">
        <v>539</v>
      </c>
      <c r="AM432">
        <v>0</v>
      </c>
      <c r="AN432">
        <v>120</v>
      </c>
      <c r="AO432">
        <v>0</v>
      </c>
      <c r="AP432">
        <v>13</v>
      </c>
      <c r="AQ432">
        <v>0</v>
      </c>
      <c r="AR432">
        <v>0</v>
      </c>
      <c r="AS432" t="s">
        <v>58</v>
      </c>
      <c r="AT432">
        <v>1</v>
      </c>
      <c r="AU432" t="s">
        <v>63</v>
      </c>
      <c r="AV432" t="s">
        <v>64</v>
      </c>
      <c r="AW432">
        <v>1</v>
      </c>
      <c r="AX432">
        <v>4</v>
      </c>
      <c r="AY432">
        <v>0</v>
      </c>
      <c r="AZ432">
        <v>65700</v>
      </c>
      <c r="BA432">
        <v>100</v>
      </c>
      <c r="BB432">
        <v>100</v>
      </c>
      <c r="BC432">
        <v>100</v>
      </c>
      <c r="BD432">
        <v>100</v>
      </c>
      <c r="BE432">
        <v>1</v>
      </c>
      <c r="BF432">
        <v>15000</v>
      </c>
      <c r="BG432">
        <v>1000</v>
      </c>
      <c r="BH432" s="6">
        <f>Grandview_Inventory[[#This Row],[land_extract]]*Lookups!$B$3</f>
        <v>97544.419163645973</v>
      </c>
      <c r="BI432" s="6">
        <f>IF(Grandview_Inventory[[#This Row],[bldg_style]]="",0,Lookups!$B$2)</f>
        <v>155833.95000000001</v>
      </c>
      <c r="BJ432" s="6">
        <f>_xlfn.IFNA(VLOOKUP(Grandview_Inventory[[#This Row],[quality]],Lookups!$H$2:$J$14,3,FALSE),0)</f>
        <v>20768</v>
      </c>
      <c r="BK432" s="6">
        <f>_xlfn.IFNA(VLOOKUP(Grandview_Inventory[[#This Row],[condition]],Lookups!$H$17:$J$24,3,FALSE),0)</f>
        <v>-4503</v>
      </c>
      <c r="BL432" s="6">
        <f>Grandview_Inventory[[#This Row],[Eff_Age]]*Lookups!$B$14</f>
        <v>-5979.165</v>
      </c>
      <c r="BM432" s="6">
        <f>Grandview_Inventory[[#This Row],[living_area]]*Lookups!$B$15</f>
        <v>202613.01054400002</v>
      </c>
      <c r="BN432" s="6">
        <f>Grandview_Inventory[[#This Row],[Fin BSMT]]*Lookups!$B$16</f>
        <v>-18319.086240000001</v>
      </c>
      <c r="BO432" s="6">
        <f>(Grandview_Inventory[[#This Row],[att_gar]]+Grandview_Inventory[[#This Row],[bltin_gar]])*Lookups!$B$17</f>
        <v>76755.423248999999</v>
      </c>
      <c r="BP432" s="6">
        <f>Grandview_Inventory[[#This Row],[Plumbing Fixtures]]*Lookups!$B$18</f>
        <v>26135.743399999999</v>
      </c>
      <c r="BQ432" s="6">
        <f>Grandview_Inventory[[#This Row],[detatched_value]]*Lookups!$B$19</f>
        <v>55635.095069999996</v>
      </c>
      <c r="BR432" s="6">
        <f>SUM(Grandview_Inventory[[#This Row],[Intercept]:[det_value]])*Grandview_Inventory[[#This Row],[res_pct]]</f>
        <v>508939.97102299996</v>
      </c>
      <c r="BS432" s="6">
        <f>Grandview_Inventory[[#This Row],[land_value]]</f>
        <v>97544.419163645973</v>
      </c>
      <c r="BT432" s="4">
        <f>_xlfn.IFNA(VLOOKUP(Grandview_Inventory[[#This Row],[quality]],Lookups!$A$26:$C$33,3,FALSE),1)</f>
        <v>0.94960540378902636</v>
      </c>
      <c r="BU432" s="4">
        <f>_xlfn.IFNA(VLOOKUP(Grandview_Inventory[[#This Row],[condition]],Lookups!$A$37:$C$44,3,FALSE),1)</f>
        <v>0.96469275950863709</v>
      </c>
      <c r="BV432" s="4">
        <f>IF(Grandview_Inventory[[#This Row],[bldg_style]]="",1,_xlfn.IFNA(VLOOKUP(Grandview_Inventory[[#This Row],[decade]],Lookups!$F$29:$H$43,3,FALSE),1))</f>
        <v>0.98397821291089549</v>
      </c>
      <c r="BW432" s="4">
        <f>_xlfn.IFNA(VLOOKUP(Grandview_Inventory[[#This Row],[living_area_range]],Lookups!$F$47:$H$56,3,FALSE),1)</f>
        <v>1.0170112215140563</v>
      </c>
      <c r="BX432" s="4">
        <f>AVERAGE(Grandview_Inventory[[#This Row],[qual_adj]:[size_adj]])</f>
        <v>0.9788218994306539</v>
      </c>
      <c r="BY432" s="6">
        <f>IF(Grandview_Inventory[[#This Row],[pre_res]]&lt;0,0,Grandview_Inventory[[#This Row],[pre_res]]*Grandview_Inventory[[#This Row],[overall_adj]])</f>
        <v>498161.58913291479</v>
      </c>
      <c r="BZ432" s="6">
        <f>(Grandview_Inventory[[#This Row],[sum_land]]-IF(Grandview_Inventory[[#This Row],[no_utilities]]=1,12000,0))/IF(Grandview_Inventory[[#This Row],[unbuildable]]=1,2,1)</f>
        <v>97544.419163645973</v>
      </c>
      <c r="CA432">
        <f>IF(ROUND(Grandview_Inventory[[#This Row],[adj_land]]*Lookups!$M$28,-2)&lt;Grandview_Inventory[[#This Row],[min_land]],Grandview_Inventory[[#This Row],[min_land]],ROUND(Grandview_Inventory[[#This Row],[adj_land]]*Lookups!$M$28,-2))</f>
        <v>92700</v>
      </c>
      <c r="CB432">
        <f>ROUND(Grandview_Inventory[[#This Row],[det_value]]*Lookups!$M$28,-2)</f>
        <v>52900</v>
      </c>
      <c r="CC432">
        <f>IF(ROUND(Grandview_Inventory[[#This Row],[adj_res]]*Lookups!$M$28,-2)&lt;Grandview_Inventory[[#This Row],[min_res]],Grandview_Inventory[[#This Row],[min_res]],ROUND(Grandview_Inventory[[#This Row],[adj_res]]*Lookups!$M$28,-2))</f>
        <v>473300</v>
      </c>
      <c r="CD432">
        <f>Grandview_Inventory[[#This Row],[final_det]]+Grandview_Inventory[[#This Row],[final_res]]</f>
        <v>526200</v>
      </c>
      <c r="CE432">
        <f>Grandview_Inventory[[#This Row],[final_land]]+Grandview_Inventory[[#This Row],[final_imp]]+Grandview_Inventory[[#This Row],[crop_value]]</f>
        <v>618900</v>
      </c>
      <c r="CG432" t="str">
        <f t="shared" si="6"/>
        <v>update valuation set market_land =92700, market_bldg=526200, market_total =618900, market_mdno =401, market_date ='9/10/2023' where link_id = (select link_id from parcel where parcel_year = '2024' and parcel_id = '23092144410');</v>
      </c>
    </row>
    <row r="433" spans="1:85" x14ac:dyDescent="0.25">
      <c r="A433">
        <v>23092212001</v>
      </c>
      <c r="B433">
        <v>1.73</v>
      </c>
      <c r="C433">
        <v>75572</v>
      </c>
      <c r="D433" t="s">
        <v>129</v>
      </c>
      <c r="E433" t="s">
        <v>53</v>
      </c>
      <c r="F433" t="s">
        <v>53</v>
      </c>
      <c r="G433">
        <v>4</v>
      </c>
      <c r="H433" t="s">
        <v>54</v>
      </c>
      <c r="I433">
        <v>195500</v>
      </c>
      <c r="J433">
        <v>50500</v>
      </c>
      <c r="K433">
        <v>1.73</v>
      </c>
      <c r="L433">
        <f>IF(Grandview_Inventory[[#This Row],[parcel_acres]]-Grandview_Inventory[[#This Row],[non_valued_acres]] =0,0,LN(Grandview_Inventory[[#This Row],[parcel_acres]]-Grandview_Inventory[[#This Row],[non_valued_acres]]))</f>
        <v>0.5481214085096876</v>
      </c>
      <c r="M433">
        <v>0</v>
      </c>
      <c r="N433">
        <v>0</v>
      </c>
      <c r="O433">
        <v>0</v>
      </c>
      <c r="P433">
        <v>13398.7528</v>
      </c>
      <c r="Q433">
        <v>63903</v>
      </c>
      <c r="R433">
        <f>(Grandview_Inventory[[#This Row],[ln_acres]]*Grandview_Inventory[[#This Row],[coeff]])+Grandview_Inventory[[#This Row],[const]]</f>
        <v>71247.143257009127</v>
      </c>
      <c r="S433" t="s">
        <v>68</v>
      </c>
      <c r="T433">
        <v>1</v>
      </c>
      <c r="U433" t="s">
        <v>65</v>
      </c>
      <c r="V433" t="s">
        <v>69</v>
      </c>
      <c r="W433">
        <v>0</v>
      </c>
      <c r="X433">
        <v>0</v>
      </c>
      <c r="Y433">
        <v>50</v>
      </c>
      <c r="Z433">
        <v>73</v>
      </c>
      <c r="AA433">
        <v>80</v>
      </c>
      <c r="AB433">
        <v>2500</v>
      </c>
      <c r="AC433">
        <v>2476</v>
      </c>
      <c r="AD433">
        <v>1238</v>
      </c>
      <c r="AE433">
        <v>0</v>
      </c>
      <c r="AF433">
        <v>0</v>
      </c>
      <c r="AG433">
        <v>1238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648</v>
      </c>
      <c r="AN433">
        <v>0</v>
      </c>
      <c r="AO433">
        <v>0</v>
      </c>
      <c r="AP433">
        <v>5</v>
      </c>
      <c r="AQ433">
        <v>0</v>
      </c>
      <c r="AR433">
        <v>1</v>
      </c>
      <c r="AS433" t="s">
        <v>58</v>
      </c>
      <c r="AT433">
        <v>1</v>
      </c>
      <c r="AU433" t="s">
        <v>59</v>
      </c>
      <c r="AV433" t="s">
        <v>60</v>
      </c>
      <c r="AW433">
        <v>1</v>
      </c>
      <c r="AX433">
        <v>3</v>
      </c>
      <c r="AY433">
        <v>0</v>
      </c>
      <c r="AZ433">
        <v>21500</v>
      </c>
      <c r="BA433">
        <v>100</v>
      </c>
      <c r="BB433">
        <v>100</v>
      </c>
      <c r="BC433">
        <v>100</v>
      </c>
      <c r="BD433">
        <v>100</v>
      </c>
      <c r="BE433">
        <v>1</v>
      </c>
      <c r="BF433">
        <v>15000</v>
      </c>
      <c r="BG433">
        <v>1000</v>
      </c>
      <c r="BH433" s="6">
        <f>Grandview_Inventory[[#This Row],[land_extract]]*Lookups!$B$3</f>
        <v>82739.115097077898</v>
      </c>
      <c r="BI433" s="6">
        <f>IF(Grandview_Inventory[[#This Row],[bldg_style]]="",0,Lookups!$B$2)</f>
        <v>155833.95000000001</v>
      </c>
      <c r="BJ433" s="6">
        <f>_xlfn.IFNA(VLOOKUP(Grandview_Inventory[[#This Row],[quality]],Lookups!$H$2:$J$14,3,FALSE),0)</f>
        <v>2251</v>
      </c>
      <c r="BK433" s="6">
        <f>_xlfn.IFNA(VLOOKUP(Grandview_Inventory[[#This Row],[condition]],Lookups!$H$17:$J$24,3,FALSE),0)</f>
        <v>-4503</v>
      </c>
      <c r="BL433" s="6">
        <f>Grandview_Inventory[[#This Row],[Eff_Age]]*Lookups!$B$14</f>
        <v>-11958.33</v>
      </c>
      <c r="BM433" s="6">
        <f>Grandview_Inventory[[#This Row],[living_area]]*Lookups!$B$15</f>
        <v>154454.99202800001</v>
      </c>
      <c r="BN433" s="6">
        <f>Grandview_Inventory[[#This Row],[Fin BSMT]]*Lookups!$B$16</f>
        <v>-33548.859120000001</v>
      </c>
      <c r="BO433" s="6">
        <f>(Grandview_Inventory[[#This Row],[att_gar]]+Grandview_Inventory[[#This Row],[bltin_gar]])*Lookups!$B$17</f>
        <v>0</v>
      </c>
      <c r="BP433" s="6">
        <f>Grandview_Inventory[[#This Row],[Plumbing Fixtures]]*Lookups!$B$18</f>
        <v>10052.209000000001</v>
      </c>
      <c r="BQ433" s="6">
        <f>Grandview_Inventory[[#This Row],[detatched_value]]*Lookups!$B$19</f>
        <v>18206.309649999999</v>
      </c>
      <c r="BR433" s="6">
        <f>SUM(Grandview_Inventory[[#This Row],[Intercept]:[det_value]])*Grandview_Inventory[[#This Row],[res_pct]]</f>
        <v>290788.27155800007</v>
      </c>
      <c r="BS433" s="6">
        <f>Grandview_Inventory[[#This Row],[land_value]]</f>
        <v>82739.115097077898</v>
      </c>
      <c r="BT433" s="4">
        <f>_xlfn.IFNA(VLOOKUP(Grandview_Inventory[[#This Row],[quality]],Lookups!$A$26:$C$33,3,FALSE),1)</f>
        <v>0.98763855981004833</v>
      </c>
      <c r="BU433" s="4">
        <f>_xlfn.IFNA(VLOOKUP(Grandview_Inventory[[#This Row],[condition]],Lookups!$A$37:$C$44,3,FALSE),1)</f>
        <v>0.96469275950863709</v>
      </c>
      <c r="BV433" s="4">
        <f>IF(Grandview_Inventory[[#This Row],[bldg_style]]="",1,_xlfn.IFNA(VLOOKUP(Grandview_Inventory[[#This Row],[decade]],Lookups!$F$29:$H$43,3,FALSE),1))</f>
        <v>0.98763256963907298</v>
      </c>
      <c r="BW433" s="4">
        <f>_xlfn.IFNA(VLOOKUP(Grandview_Inventory[[#This Row],[living_area_range]],Lookups!$F$47:$H$56,3,FALSE),1)</f>
        <v>0.95799442568048754</v>
      </c>
      <c r="BX433" s="4">
        <f>AVERAGE(Grandview_Inventory[[#This Row],[qual_adj]:[size_adj]])</f>
        <v>0.97448957865956143</v>
      </c>
      <c r="BY433" s="6">
        <f>IF(Grandview_Inventory[[#This Row],[pre_res]]&lt;0,0,Grandview_Inventory[[#This Row],[pre_res]]*Grandview_Inventory[[#This Row],[overall_adj]])</f>
        <v>283370.14022969763</v>
      </c>
      <c r="BZ433" s="6">
        <f>(Grandview_Inventory[[#This Row],[sum_land]]-IF(Grandview_Inventory[[#This Row],[no_utilities]]=1,12000,0))/IF(Grandview_Inventory[[#This Row],[unbuildable]]=1,2,1)</f>
        <v>82739.115097077898</v>
      </c>
      <c r="CA433">
        <f>IF(ROUND(Grandview_Inventory[[#This Row],[adj_land]]*Lookups!$M$28,-2)&lt;Grandview_Inventory[[#This Row],[min_land]],Grandview_Inventory[[#This Row],[min_land]],ROUND(Grandview_Inventory[[#This Row],[adj_land]]*Lookups!$M$28,-2))</f>
        <v>78600</v>
      </c>
      <c r="CB433">
        <f>ROUND(Grandview_Inventory[[#This Row],[det_value]]*Lookups!$M$28,-2)</f>
        <v>17300</v>
      </c>
      <c r="CC433">
        <f>IF(ROUND(Grandview_Inventory[[#This Row],[adj_res]]*Lookups!$M$28,-2)&lt;Grandview_Inventory[[#This Row],[min_res]],Grandview_Inventory[[#This Row],[min_res]],ROUND(Grandview_Inventory[[#This Row],[adj_res]]*Lookups!$M$28,-2))</f>
        <v>269200</v>
      </c>
      <c r="CD433">
        <f>Grandview_Inventory[[#This Row],[final_det]]+Grandview_Inventory[[#This Row],[final_res]]</f>
        <v>286500</v>
      </c>
      <c r="CE433">
        <f>Grandview_Inventory[[#This Row],[final_land]]+Grandview_Inventory[[#This Row],[final_imp]]+Grandview_Inventory[[#This Row],[crop_value]]</f>
        <v>365100</v>
      </c>
      <c r="CG433" t="str">
        <f t="shared" si="6"/>
        <v>update valuation set market_land =78600, market_bldg=286500, market_total =365100, market_mdno =401, market_date ='9/10/2023' where link_id = (select link_id from parcel where parcel_year = '2024' and parcel_id = '23092212001');</v>
      </c>
    </row>
    <row r="434" spans="1:85" x14ac:dyDescent="0.25">
      <c r="A434">
        <v>23092212003</v>
      </c>
      <c r="B434">
        <v>0.93</v>
      </c>
      <c r="C434">
        <v>40391</v>
      </c>
      <c r="D434" t="s">
        <v>129</v>
      </c>
      <c r="E434" t="s">
        <v>53</v>
      </c>
      <c r="F434" t="s">
        <v>53</v>
      </c>
      <c r="G434">
        <v>4</v>
      </c>
      <c r="H434" t="s">
        <v>54</v>
      </c>
      <c r="I434">
        <v>257800</v>
      </c>
      <c r="J434">
        <v>43700</v>
      </c>
      <c r="K434">
        <v>0.93</v>
      </c>
      <c r="L434">
        <f>IF(Grandview_Inventory[[#This Row],[parcel_acres]]-Grandview_Inventory[[#This Row],[non_valued_acres]] =0,0,LN(Grandview_Inventory[[#This Row],[parcel_acres]]-Grandview_Inventory[[#This Row],[non_valued_acres]]))</f>
        <v>-7.2570692834835374E-2</v>
      </c>
      <c r="M434">
        <v>0</v>
      </c>
      <c r="N434">
        <v>0</v>
      </c>
      <c r="O434">
        <v>0</v>
      </c>
      <c r="P434">
        <v>13398.7528</v>
      </c>
      <c r="Q434">
        <v>63903</v>
      </c>
      <c r="R434">
        <f>(Grandview_Inventory[[#This Row],[ln_acres]]*Grandview_Inventory[[#This Row],[coeff]])+Grandview_Inventory[[#This Row],[const]]</f>
        <v>62930.64322618131</v>
      </c>
      <c r="S434" t="s">
        <v>61</v>
      </c>
      <c r="T434">
        <v>1</v>
      </c>
      <c r="U434" t="s">
        <v>65</v>
      </c>
      <c r="V434" t="s">
        <v>69</v>
      </c>
      <c r="W434">
        <v>0</v>
      </c>
      <c r="X434">
        <v>0</v>
      </c>
      <c r="Y434">
        <v>50</v>
      </c>
      <c r="Z434">
        <v>75</v>
      </c>
      <c r="AA434">
        <v>80</v>
      </c>
      <c r="AB434">
        <v>2000</v>
      </c>
      <c r="AC434">
        <v>1791</v>
      </c>
      <c r="AD434">
        <v>1791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180</v>
      </c>
      <c r="AM434">
        <v>0</v>
      </c>
      <c r="AN434">
        <v>114</v>
      </c>
      <c r="AO434">
        <v>180</v>
      </c>
      <c r="AP434">
        <v>8</v>
      </c>
      <c r="AQ434">
        <v>0</v>
      </c>
      <c r="AR434">
        <v>0</v>
      </c>
      <c r="AS434" t="s">
        <v>58</v>
      </c>
      <c r="AT434">
        <v>1</v>
      </c>
      <c r="AU434" t="s">
        <v>63</v>
      </c>
      <c r="AV434" t="s">
        <v>60</v>
      </c>
      <c r="AW434">
        <v>1</v>
      </c>
      <c r="AX434">
        <v>3</v>
      </c>
      <c r="AY434">
        <v>0</v>
      </c>
      <c r="AZ434">
        <v>77000</v>
      </c>
      <c r="BA434">
        <v>100</v>
      </c>
      <c r="BB434">
        <v>100</v>
      </c>
      <c r="BC434">
        <v>100</v>
      </c>
      <c r="BD434">
        <v>100</v>
      </c>
      <c r="BE434">
        <v>1</v>
      </c>
      <c r="BF434">
        <v>15000</v>
      </c>
      <c r="BG434">
        <v>1000</v>
      </c>
      <c r="BH434" s="6">
        <f>Grandview_Inventory[[#This Row],[land_extract]]*Lookups!$B$3</f>
        <v>73081.186065827642</v>
      </c>
      <c r="BI434" s="6">
        <f>IF(Grandview_Inventory[[#This Row],[bldg_style]]="",0,Lookups!$B$2)</f>
        <v>155833.95000000001</v>
      </c>
      <c r="BJ434" s="6">
        <f>_xlfn.IFNA(VLOOKUP(Grandview_Inventory[[#This Row],[quality]],Lookups!$H$2:$J$14,3,FALSE),0)</f>
        <v>2251</v>
      </c>
      <c r="BK434" s="6">
        <f>_xlfn.IFNA(VLOOKUP(Grandview_Inventory[[#This Row],[condition]],Lookups!$H$17:$J$24,3,FALSE),0)</f>
        <v>-4503</v>
      </c>
      <c r="BL434" s="6">
        <f>Grandview_Inventory[[#This Row],[Eff_Age]]*Lookups!$B$14</f>
        <v>-11958.33</v>
      </c>
      <c r="BM434" s="6">
        <f>Grandview_Inventory[[#This Row],[living_area]]*Lookups!$B$15</f>
        <v>111724.10772300001</v>
      </c>
      <c r="BN434" s="6">
        <f>Grandview_Inventory[[#This Row],[Fin BSMT]]*Lookups!$B$16</f>
        <v>0</v>
      </c>
      <c r="BO434" s="6">
        <f>(Grandview_Inventory[[#This Row],[att_gar]]+Grandview_Inventory[[#This Row],[bltin_gar]])*Lookups!$B$17</f>
        <v>0</v>
      </c>
      <c r="BP434" s="6">
        <f>Grandview_Inventory[[#This Row],[Plumbing Fixtures]]*Lookups!$B$18</f>
        <v>16083.5344</v>
      </c>
      <c r="BQ434" s="6">
        <f>Grandview_Inventory[[#This Row],[detatched_value]]*Lookups!$B$19</f>
        <v>65203.992699999995</v>
      </c>
      <c r="BR434" s="6">
        <f>SUM(Grandview_Inventory[[#This Row],[Intercept]:[det_value]])*Grandview_Inventory[[#This Row],[res_pct]]</f>
        <v>334635.25482300005</v>
      </c>
      <c r="BS434" s="6">
        <f>Grandview_Inventory[[#This Row],[land_value]]</f>
        <v>73081.186065827642</v>
      </c>
      <c r="BT434" s="4">
        <f>_xlfn.IFNA(VLOOKUP(Grandview_Inventory[[#This Row],[quality]],Lookups!$A$26:$C$33,3,FALSE),1)</f>
        <v>0.98763855981004833</v>
      </c>
      <c r="BU434" s="4">
        <f>_xlfn.IFNA(VLOOKUP(Grandview_Inventory[[#This Row],[condition]],Lookups!$A$37:$C$44,3,FALSE),1)</f>
        <v>0.96469275950863709</v>
      </c>
      <c r="BV434" s="4">
        <f>IF(Grandview_Inventory[[#This Row],[bldg_style]]="",1,_xlfn.IFNA(VLOOKUP(Grandview_Inventory[[#This Row],[decade]],Lookups!$F$29:$H$43,3,FALSE),1))</f>
        <v>0.98763256963907298</v>
      </c>
      <c r="BW434" s="4">
        <f>_xlfn.IFNA(VLOOKUP(Grandview_Inventory[[#This Row],[living_area_range]],Lookups!$F$47:$H$56,3,FALSE),1)</f>
        <v>0.96120133463014379</v>
      </c>
      <c r="BX434" s="4">
        <f>AVERAGE(Grandview_Inventory[[#This Row],[qual_adj]:[size_adj]])</f>
        <v>0.97529130589697544</v>
      </c>
      <c r="BY434" s="6">
        <f>IF(Grandview_Inventory[[#This Row],[pre_res]]&lt;0,0,Grandview_Inventory[[#This Row],[pre_res]]*Grandview_Inventory[[#This Row],[overall_adj]])</f>
        <v>326366.85467549087</v>
      </c>
      <c r="BZ434" s="6">
        <f>(Grandview_Inventory[[#This Row],[sum_land]]-IF(Grandview_Inventory[[#This Row],[no_utilities]]=1,12000,0))/IF(Grandview_Inventory[[#This Row],[unbuildable]]=1,2,1)</f>
        <v>73081.186065827642</v>
      </c>
      <c r="CA434">
        <f>IF(ROUND(Grandview_Inventory[[#This Row],[adj_land]]*Lookups!$M$28,-2)&lt;Grandview_Inventory[[#This Row],[min_land]],Grandview_Inventory[[#This Row],[min_land]],ROUND(Grandview_Inventory[[#This Row],[adj_land]]*Lookups!$M$28,-2))</f>
        <v>69400</v>
      </c>
      <c r="CB434">
        <f>ROUND(Grandview_Inventory[[#This Row],[det_value]]*Lookups!$M$28,-2)</f>
        <v>61900</v>
      </c>
      <c r="CC434">
        <f>IF(ROUND(Grandview_Inventory[[#This Row],[adj_res]]*Lookups!$M$28,-2)&lt;Grandview_Inventory[[#This Row],[min_res]],Grandview_Inventory[[#This Row],[min_res]],ROUND(Grandview_Inventory[[#This Row],[adj_res]]*Lookups!$M$28,-2))</f>
        <v>310000</v>
      </c>
      <c r="CD434">
        <f>Grandview_Inventory[[#This Row],[final_det]]+Grandview_Inventory[[#This Row],[final_res]]</f>
        <v>371900</v>
      </c>
      <c r="CE434">
        <f>Grandview_Inventory[[#This Row],[final_land]]+Grandview_Inventory[[#This Row],[final_imp]]+Grandview_Inventory[[#This Row],[crop_value]]</f>
        <v>441300</v>
      </c>
      <c r="CG434" t="str">
        <f t="shared" si="6"/>
        <v>update valuation set market_land =69400, market_bldg=371900, market_total =441300, market_mdno =401, market_date ='9/10/2023' where link_id = (select link_id from parcel where parcel_year = '2024' and parcel_id = '23092212003');</v>
      </c>
    </row>
    <row r="435" spans="1:85" x14ac:dyDescent="0.25">
      <c r="A435">
        <v>23092212005</v>
      </c>
      <c r="B435">
        <v>0.94</v>
      </c>
      <c r="C435">
        <v>41029</v>
      </c>
      <c r="D435" t="s">
        <v>129</v>
      </c>
      <c r="E435" t="s">
        <v>53</v>
      </c>
      <c r="F435" t="s">
        <v>53</v>
      </c>
      <c r="G435">
        <v>4</v>
      </c>
      <c r="H435" t="s">
        <v>54</v>
      </c>
      <c r="I435">
        <v>97600</v>
      </c>
      <c r="J435">
        <v>43500</v>
      </c>
      <c r="K435">
        <v>0.94</v>
      </c>
      <c r="L435">
        <f>IF(Grandview_Inventory[[#This Row],[parcel_acres]]-Grandview_Inventory[[#This Row],[non_valued_acres]] =0,0,LN(Grandview_Inventory[[#This Row],[parcel_acres]]-Grandview_Inventory[[#This Row],[non_valued_acres]]))</f>
        <v>-6.1875403718087529E-2</v>
      </c>
      <c r="M435">
        <v>0</v>
      </c>
      <c r="N435">
        <v>0</v>
      </c>
      <c r="O435">
        <v>0</v>
      </c>
      <c r="P435">
        <v>13398.7528</v>
      </c>
      <c r="Q435">
        <v>63903</v>
      </c>
      <c r="R435">
        <f>(Grandview_Inventory[[#This Row],[ln_acres]]*Grandview_Inventory[[#This Row],[coeff]])+Grandview_Inventory[[#This Row],[const]]</f>
        <v>63073.946761181141</v>
      </c>
      <c r="S435" t="s">
        <v>68</v>
      </c>
      <c r="T435">
        <v>1</v>
      </c>
      <c r="U435" t="s">
        <v>80</v>
      </c>
      <c r="V435" t="s">
        <v>69</v>
      </c>
      <c r="W435">
        <v>0</v>
      </c>
      <c r="X435">
        <v>0</v>
      </c>
      <c r="Y435">
        <v>51</v>
      </c>
      <c r="Z435">
        <v>78</v>
      </c>
      <c r="AA435">
        <v>80</v>
      </c>
      <c r="AB435">
        <v>1000</v>
      </c>
      <c r="AC435">
        <v>826</v>
      </c>
      <c r="AD435">
        <v>826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54</v>
      </c>
      <c r="AN435">
        <v>0</v>
      </c>
      <c r="AO435">
        <v>54</v>
      </c>
      <c r="AP435">
        <v>5</v>
      </c>
      <c r="AQ435">
        <v>0</v>
      </c>
      <c r="AR435">
        <v>0</v>
      </c>
      <c r="AS435" t="s">
        <v>58</v>
      </c>
      <c r="AT435">
        <v>1</v>
      </c>
      <c r="AU435" t="s">
        <v>75</v>
      </c>
      <c r="AV435" t="s">
        <v>60</v>
      </c>
      <c r="AW435">
        <v>0</v>
      </c>
      <c r="AX435">
        <v>2</v>
      </c>
      <c r="AY435">
        <v>0</v>
      </c>
      <c r="AZ435">
        <v>2900</v>
      </c>
      <c r="BA435">
        <v>100</v>
      </c>
      <c r="BB435">
        <v>100</v>
      </c>
      <c r="BC435">
        <v>100</v>
      </c>
      <c r="BD435">
        <v>100</v>
      </c>
      <c r="BE435">
        <v>1</v>
      </c>
      <c r="BF435">
        <v>15000</v>
      </c>
      <c r="BG435">
        <v>1000</v>
      </c>
      <c r="BH435" s="6">
        <f>Grandview_Inventory[[#This Row],[land_extract]]*Lookups!$B$3</f>
        <v>73247.604074103408</v>
      </c>
      <c r="BI435" s="6">
        <f>IF(Grandview_Inventory[[#This Row],[bldg_style]]="",0,Lookups!$B$2)</f>
        <v>155833.95000000001</v>
      </c>
      <c r="BJ435" s="6">
        <f>_xlfn.IFNA(VLOOKUP(Grandview_Inventory[[#This Row],[quality]],Lookups!$H$2:$J$14,3,FALSE),0)</f>
        <v>-28558</v>
      </c>
      <c r="BK435" s="6">
        <f>_xlfn.IFNA(VLOOKUP(Grandview_Inventory[[#This Row],[condition]],Lookups!$H$17:$J$24,3,FALSE),0)</f>
        <v>-4503</v>
      </c>
      <c r="BL435" s="6">
        <f>Grandview_Inventory[[#This Row],[Eff_Age]]*Lookups!$B$14</f>
        <v>-12197.496599999999</v>
      </c>
      <c r="BM435" s="6">
        <f>Grandview_Inventory[[#This Row],[living_area]]*Lookups!$B$15</f>
        <v>51526.584578000002</v>
      </c>
      <c r="BN435" s="6">
        <f>Grandview_Inventory[[#This Row],[Fin BSMT]]*Lookups!$B$16</f>
        <v>0</v>
      </c>
      <c r="BO435" s="6">
        <f>(Grandview_Inventory[[#This Row],[att_gar]]+Grandview_Inventory[[#This Row],[bltin_gar]])*Lookups!$B$17</f>
        <v>0</v>
      </c>
      <c r="BP435" s="6">
        <f>Grandview_Inventory[[#This Row],[Plumbing Fixtures]]*Lookups!$B$18</f>
        <v>10052.209000000001</v>
      </c>
      <c r="BQ435" s="6">
        <f>Grandview_Inventory[[#This Row],[detatched_value]]*Lookups!$B$19</f>
        <v>2455.73479</v>
      </c>
      <c r="BR435" s="6">
        <f>SUM(Grandview_Inventory[[#This Row],[Intercept]:[det_value]])*Grandview_Inventory[[#This Row],[res_pct]]</f>
        <v>174609.981768</v>
      </c>
      <c r="BS435" s="6">
        <f>Grandview_Inventory[[#This Row],[land_value]]</f>
        <v>73247.604074103408</v>
      </c>
      <c r="BT435" s="4">
        <f>_xlfn.IFNA(VLOOKUP(Grandview_Inventory[[#This Row],[quality]],Lookups!$A$26:$C$33,3,FALSE),1)</f>
        <v>0.9690360070159818</v>
      </c>
      <c r="BU435" s="4">
        <f>_xlfn.IFNA(VLOOKUP(Grandview_Inventory[[#This Row],[condition]],Lookups!$A$37:$C$44,3,FALSE),1)</f>
        <v>0.96469275950863709</v>
      </c>
      <c r="BV435" s="4">
        <f>IF(Grandview_Inventory[[#This Row],[bldg_style]]="",1,_xlfn.IFNA(VLOOKUP(Grandview_Inventory[[#This Row],[decade]],Lookups!$F$29:$H$43,3,FALSE),1))</f>
        <v>0.98763256963907298</v>
      </c>
      <c r="BW435" s="4">
        <f>_xlfn.IFNA(VLOOKUP(Grandview_Inventory[[#This Row],[living_area_range]],Lookups!$F$47:$H$56,3,FALSE),1)</f>
        <v>0.94306777142782894</v>
      </c>
      <c r="BX435" s="4">
        <f>AVERAGE(Grandview_Inventory[[#This Row],[qual_adj]:[size_adj]])</f>
        <v>0.96610727689788012</v>
      </c>
      <c r="BY435" s="6">
        <f>IF(Grandview_Inventory[[#This Row],[pre_res]]&lt;0,0,Grandview_Inventory[[#This Row],[pre_res]]*Grandview_Inventory[[#This Row],[overall_adj]])</f>
        <v>168691.97400507098</v>
      </c>
      <c r="BZ435" s="6">
        <f>(Grandview_Inventory[[#This Row],[sum_land]]-IF(Grandview_Inventory[[#This Row],[no_utilities]]=1,12000,0))/IF(Grandview_Inventory[[#This Row],[unbuildable]]=1,2,1)</f>
        <v>73247.604074103408</v>
      </c>
      <c r="CA435">
        <f>IF(ROUND(Grandview_Inventory[[#This Row],[adj_land]]*Lookups!$M$28,-2)&lt;Grandview_Inventory[[#This Row],[min_land]],Grandview_Inventory[[#This Row],[min_land]],ROUND(Grandview_Inventory[[#This Row],[adj_land]]*Lookups!$M$28,-2))</f>
        <v>69600</v>
      </c>
      <c r="CB435">
        <f>ROUND(Grandview_Inventory[[#This Row],[det_value]]*Lookups!$M$28,-2)</f>
        <v>2300</v>
      </c>
      <c r="CC435">
        <f>IF(ROUND(Grandview_Inventory[[#This Row],[adj_res]]*Lookups!$M$28,-2)&lt;Grandview_Inventory[[#This Row],[min_res]],Grandview_Inventory[[#This Row],[min_res]],ROUND(Grandview_Inventory[[#This Row],[adj_res]]*Lookups!$M$28,-2))</f>
        <v>160300</v>
      </c>
      <c r="CD435">
        <f>Grandview_Inventory[[#This Row],[final_det]]+Grandview_Inventory[[#This Row],[final_res]]</f>
        <v>162600</v>
      </c>
      <c r="CE435">
        <f>Grandview_Inventory[[#This Row],[final_land]]+Grandview_Inventory[[#This Row],[final_imp]]+Grandview_Inventory[[#This Row],[crop_value]]</f>
        <v>232200</v>
      </c>
      <c r="CG435" t="str">
        <f t="shared" si="6"/>
        <v>update valuation set market_land =69600, market_bldg=162600, market_total =232200, market_mdno =401, market_date ='9/10/2023' where link_id = (select link_id from parcel where parcel_year = '2024' and parcel_id = '23092212005');</v>
      </c>
    </row>
    <row r="436" spans="1:85" x14ac:dyDescent="0.25">
      <c r="A436">
        <v>23092214006</v>
      </c>
      <c r="B436">
        <v>0.25</v>
      </c>
      <c r="C436">
        <v>10721</v>
      </c>
      <c r="D436" t="s">
        <v>129</v>
      </c>
      <c r="E436" t="s">
        <v>53</v>
      </c>
      <c r="F436" t="s">
        <v>53</v>
      </c>
      <c r="G436">
        <v>4</v>
      </c>
      <c r="H436" t="s">
        <v>54</v>
      </c>
      <c r="I436">
        <v>132600</v>
      </c>
      <c r="J436">
        <v>40000</v>
      </c>
      <c r="K436">
        <v>0.25</v>
      </c>
      <c r="L43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436">
        <v>0</v>
      </c>
      <c r="N436">
        <v>0</v>
      </c>
      <c r="O436">
        <v>0</v>
      </c>
      <c r="P436">
        <v>13398.7528</v>
      </c>
      <c r="Q436">
        <v>63903</v>
      </c>
      <c r="R436">
        <f>(Grandview_Inventory[[#This Row],[ln_acres]]*Grandview_Inventory[[#This Row],[coeff]])+Grandview_Inventory[[#This Row],[const]]</f>
        <v>45328.38454732066</v>
      </c>
      <c r="S436" t="s">
        <v>68</v>
      </c>
      <c r="T436">
        <v>1</v>
      </c>
      <c r="U436" t="s">
        <v>70</v>
      </c>
      <c r="V436" t="s">
        <v>69</v>
      </c>
      <c r="W436">
        <v>0</v>
      </c>
      <c r="X436">
        <v>0</v>
      </c>
      <c r="Y436">
        <v>55</v>
      </c>
      <c r="Z436">
        <v>98</v>
      </c>
      <c r="AA436">
        <v>100</v>
      </c>
      <c r="AB436">
        <v>1500</v>
      </c>
      <c r="AC436">
        <v>1123</v>
      </c>
      <c r="AD436">
        <v>980</v>
      </c>
      <c r="AE436">
        <v>0</v>
      </c>
      <c r="AF436">
        <v>0</v>
      </c>
      <c r="AG436">
        <v>143</v>
      </c>
      <c r="AH436">
        <v>1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132</v>
      </c>
      <c r="AO436">
        <v>0</v>
      </c>
      <c r="AP436">
        <v>5</v>
      </c>
      <c r="AQ436">
        <v>0</v>
      </c>
      <c r="AR436">
        <v>0</v>
      </c>
      <c r="AS436" t="s">
        <v>58</v>
      </c>
      <c r="AT436">
        <v>1</v>
      </c>
      <c r="AU436" t="s">
        <v>63</v>
      </c>
      <c r="AV436" t="s">
        <v>64</v>
      </c>
      <c r="AW436">
        <v>1</v>
      </c>
      <c r="AX436">
        <v>3</v>
      </c>
      <c r="AY436">
        <v>0</v>
      </c>
      <c r="AZ436">
        <v>1400</v>
      </c>
      <c r="BA436">
        <v>100</v>
      </c>
      <c r="BB436">
        <v>100</v>
      </c>
      <c r="BC436">
        <v>100</v>
      </c>
      <c r="BD436">
        <v>100</v>
      </c>
      <c r="BE436">
        <v>1</v>
      </c>
      <c r="BF436">
        <v>15000</v>
      </c>
      <c r="BG436">
        <v>1000</v>
      </c>
      <c r="BH436" s="6">
        <f>Grandview_Inventory[[#This Row],[land_extract]]*Lookups!$B$3</f>
        <v>52639.730588165206</v>
      </c>
      <c r="BI436" s="6">
        <f>IF(Grandview_Inventory[[#This Row],[bldg_style]]="",0,Lookups!$B$2)</f>
        <v>155833.95000000001</v>
      </c>
      <c r="BJ436" s="6">
        <f>_xlfn.IFNA(VLOOKUP(Grandview_Inventory[[#This Row],[quality]],Lookups!$H$2:$J$14,3,FALSE),0)</f>
        <v>10733</v>
      </c>
      <c r="BK436" s="6">
        <f>_xlfn.IFNA(VLOOKUP(Grandview_Inventory[[#This Row],[condition]],Lookups!$H$17:$J$24,3,FALSE),0)</f>
        <v>-4503</v>
      </c>
      <c r="BL436" s="6">
        <f>Grandview_Inventory[[#This Row],[Eff_Age]]*Lookups!$B$14</f>
        <v>-13154.162999999999</v>
      </c>
      <c r="BM436" s="6">
        <f>Grandview_Inventory[[#This Row],[living_area]]*Lookups!$B$15</f>
        <v>70053.697918999998</v>
      </c>
      <c r="BN436" s="6">
        <f>Grandview_Inventory[[#This Row],[Fin BSMT]]*Lookups!$B$16</f>
        <v>-3875.1913200000004</v>
      </c>
      <c r="BO436" s="6">
        <f>(Grandview_Inventory[[#This Row],[att_gar]]+Grandview_Inventory[[#This Row],[bltin_gar]])*Lookups!$B$17</f>
        <v>0</v>
      </c>
      <c r="BP436" s="6">
        <f>Grandview_Inventory[[#This Row],[Plumbing Fixtures]]*Lookups!$B$18</f>
        <v>10052.209000000001</v>
      </c>
      <c r="BQ436" s="6">
        <f>Grandview_Inventory[[#This Row],[detatched_value]]*Lookups!$B$19</f>
        <v>1185.5271399999999</v>
      </c>
      <c r="BR436" s="6">
        <f>SUM(Grandview_Inventory[[#This Row],[Intercept]:[det_value]])*Grandview_Inventory[[#This Row],[res_pct]]</f>
        <v>226326.02973899999</v>
      </c>
      <c r="BS436" s="6">
        <f>Grandview_Inventory[[#This Row],[land_value]]</f>
        <v>52639.730588165206</v>
      </c>
      <c r="BT436" s="4">
        <f>_xlfn.IFNA(VLOOKUP(Grandview_Inventory[[#This Row],[quality]],Lookups!$A$26:$C$33,3,FALSE),1)</f>
        <v>0.98079741117310582</v>
      </c>
      <c r="BU436" s="4">
        <f>_xlfn.IFNA(VLOOKUP(Grandview_Inventory[[#This Row],[condition]],Lookups!$A$37:$C$44,3,FALSE),1)</f>
        <v>0.96469275950863709</v>
      </c>
      <c r="BV436" s="4">
        <f>IF(Grandview_Inventory[[#This Row],[bldg_style]]="",1,_xlfn.IFNA(VLOOKUP(Grandview_Inventory[[#This Row],[decade]],Lookups!$F$29:$H$43,3,FALSE),1))</f>
        <v>0.95244691841736806</v>
      </c>
      <c r="BW436" s="4">
        <f>_xlfn.IFNA(VLOOKUP(Grandview_Inventory[[#This Row],[living_area_range]],Lookups!$F$47:$H$56,3,FALSE),1)</f>
        <v>0.96135087979789358</v>
      </c>
      <c r="BX436" s="4">
        <f>AVERAGE(Grandview_Inventory[[#This Row],[qual_adj]:[size_adj]])</f>
        <v>0.96482199222425113</v>
      </c>
      <c r="BY436" s="6">
        <f>IF(Grandview_Inventory[[#This Row],[pre_res]]&lt;0,0,Grandview_Inventory[[#This Row],[pre_res]]*Grandview_Inventory[[#This Row],[overall_adj]])</f>
        <v>218364.33090498709</v>
      </c>
      <c r="BZ436" s="6">
        <f>(Grandview_Inventory[[#This Row],[sum_land]]-IF(Grandview_Inventory[[#This Row],[no_utilities]]=1,12000,0))/IF(Grandview_Inventory[[#This Row],[unbuildable]]=1,2,1)</f>
        <v>52639.730588165206</v>
      </c>
      <c r="CA43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436">
        <f>ROUND(Grandview_Inventory[[#This Row],[det_value]]*Lookups!$M$28,-2)</f>
        <v>1100</v>
      </c>
      <c r="CC436">
        <f>IF(ROUND(Grandview_Inventory[[#This Row],[adj_res]]*Lookups!$M$28,-2)&lt;Grandview_Inventory[[#This Row],[min_res]],Grandview_Inventory[[#This Row],[min_res]],ROUND(Grandview_Inventory[[#This Row],[adj_res]]*Lookups!$M$28,-2))</f>
        <v>207400</v>
      </c>
      <c r="CD436">
        <f>Grandview_Inventory[[#This Row],[final_det]]+Grandview_Inventory[[#This Row],[final_res]]</f>
        <v>208500</v>
      </c>
      <c r="CE436">
        <f>Grandview_Inventory[[#This Row],[final_land]]+Grandview_Inventory[[#This Row],[final_imp]]+Grandview_Inventory[[#This Row],[crop_value]]</f>
        <v>258500</v>
      </c>
      <c r="CG436" t="str">
        <f t="shared" si="6"/>
        <v>update valuation set market_land =50000, market_bldg=208500, market_total =258500, market_mdno =401, market_date ='9/10/2023' where link_id = (select link_id from parcel where parcel_year = '2024' and parcel_id = '23092214006');</v>
      </c>
    </row>
    <row r="437" spans="1:85" x14ac:dyDescent="0.25">
      <c r="A437">
        <v>23092214401</v>
      </c>
      <c r="B437">
        <v>0.22</v>
      </c>
      <c r="C437">
        <v>9536</v>
      </c>
      <c r="D437" t="s">
        <v>129</v>
      </c>
      <c r="E437" t="s">
        <v>53</v>
      </c>
      <c r="F437" t="s">
        <v>53</v>
      </c>
      <c r="G437">
        <v>4</v>
      </c>
      <c r="H437" t="s">
        <v>54</v>
      </c>
      <c r="I437">
        <v>199000</v>
      </c>
      <c r="J437">
        <v>43800</v>
      </c>
      <c r="K437">
        <v>0.22</v>
      </c>
      <c r="L43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37">
        <v>0</v>
      </c>
      <c r="N437">
        <v>0</v>
      </c>
      <c r="O437">
        <v>0</v>
      </c>
      <c r="P437">
        <v>13398.7528</v>
      </c>
      <c r="Q437">
        <v>63903</v>
      </c>
      <c r="R437">
        <f>(Grandview_Inventory[[#This Row],[ln_acres]]*Grandview_Inventory[[#This Row],[coeff]])+Grandview_Inventory[[#This Row],[const]]</f>
        <v>43615.576802869145</v>
      </c>
      <c r="S437" t="s">
        <v>61</v>
      </c>
      <c r="T437">
        <v>1</v>
      </c>
      <c r="U437" t="s">
        <v>65</v>
      </c>
      <c r="V437" t="s">
        <v>69</v>
      </c>
      <c r="W437">
        <v>0</v>
      </c>
      <c r="X437">
        <v>0</v>
      </c>
      <c r="Y437">
        <v>49</v>
      </c>
      <c r="Z437">
        <v>68</v>
      </c>
      <c r="AA437">
        <v>70</v>
      </c>
      <c r="AB437">
        <v>2500</v>
      </c>
      <c r="AC437">
        <v>2180</v>
      </c>
      <c r="AD437">
        <v>2180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8</v>
      </c>
      <c r="AQ437">
        <v>0</v>
      </c>
      <c r="AR437">
        <v>0</v>
      </c>
      <c r="AS437" t="s">
        <v>58</v>
      </c>
      <c r="AT437">
        <v>1</v>
      </c>
      <c r="AU437" t="s">
        <v>63</v>
      </c>
      <c r="AV437" t="s">
        <v>64</v>
      </c>
      <c r="AW437">
        <v>1</v>
      </c>
      <c r="AX437">
        <v>3</v>
      </c>
      <c r="AY437">
        <v>0</v>
      </c>
      <c r="AZ437">
        <v>7500</v>
      </c>
      <c r="BA437">
        <v>100</v>
      </c>
      <c r="BB437">
        <v>100</v>
      </c>
      <c r="BC437">
        <v>100</v>
      </c>
      <c r="BD437">
        <v>100</v>
      </c>
      <c r="BE437">
        <v>1</v>
      </c>
      <c r="BF437">
        <v>15000</v>
      </c>
      <c r="BG437">
        <v>1000</v>
      </c>
      <c r="BH437" s="6">
        <f>Grandview_Inventory[[#This Row],[land_extract]]*Lookups!$B$3</f>
        <v>50650.651579114572</v>
      </c>
      <c r="BI437" s="6">
        <f>IF(Grandview_Inventory[[#This Row],[bldg_style]]="",0,Lookups!$B$2)</f>
        <v>155833.95000000001</v>
      </c>
      <c r="BJ437" s="6">
        <f>_xlfn.IFNA(VLOOKUP(Grandview_Inventory[[#This Row],[quality]],Lookups!$H$2:$J$14,3,FALSE),0)</f>
        <v>2251</v>
      </c>
      <c r="BK437" s="6">
        <f>_xlfn.IFNA(VLOOKUP(Grandview_Inventory[[#This Row],[condition]],Lookups!$H$17:$J$24,3,FALSE),0)</f>
        <v>-4503</v>
      </c>
      <c r="BL437" s="6">
        <f>Grandview_Inventory[[#This Row],[Eff_Age]]*Lookups!$B$14</f>
        <v>-11719.163399999999</v>
      </c>
      <c r="BM437" s="6">
        <f>Grandview_Inventory[[#This Row],[living_area]]*Lookups!$B$15</f>
        <v>135990.25954</v>
      </c>
      <c r="BN437" s="6">
        <f>Grandview_Inventory[[#This Row],[Fin BSMT]]*Lookups!$B$16</f>
        <v>0</v>
      </c>
      <c r="BO437" s="6">
        <f>(Grandview_Inventory[[#This Row],[att_gar]]+Grandview_Inventory[[#This Row],[bltin_gar]])*Lookups!$B$17</f>
        <v>0</v>
      </c>
      <c r="BP437" s="6">
        <f>Grandview_Inventory[[#This Row],[Plumbing Fixtures]]*Lookups!$B$18</f>
        <v>16083.5344</v>
      </c>
      <c r="BQ437" s="6">
        <f>Grandview_Inventory[[#This Row],[detatched_value]]*Lookups!$B$19</f>
        <v>6351.0382499999996</v>
      </c>
      <c r="BR437" s="6">
        <f>SUM(Grandview_Inventory[[#This Row],[Intercept]:[det_value]])*Grandview_Inventory[[#This Row],[res_pct]]</f>
        <v>300287.61878999998</v>
      </c>
      <c r="BS437" s="6">
        <f>Grandview_Inventory[[#This Row],[land_value]]</f>
        <v>50650.651579114572</v>
      </c>
      <c r="BT437" s="4">
        <f>_xlfn.IFNA(VLOOKUP(Grandview_Inventory[[#This Row],[quality]],Lookups!$A$26:$C$33,3,FALSE),1)</f>
        <v>0.98763855981004833</v>
      </c>
      <c r="BU437" s="4">
        <f>_xlfn.IFNA(VLOOKUP(Grandview_Inventory[[#This Row],[condition]],Lookups!$A$37:$C$44,3,FALSE),1)</f>
        <v>0.96469275950863709</v>
      </c>
      <c r="BV437" s="4">
        <f>IF(Grandview_Inventory[[#This Row],[bldg_style]]="",1,_xlfn.IFNA(VLOOKUP(Grandview_Inventory[[#This Row],[decade]],Lookups!$F$29:$H$43,3,FALSE),1))</f>
        <v>0.99472141305414818</v>
      </c>
      <c r="BW437" s="4">
        <f>_xlfn.IFNA(VLOOKUP(Grandview_Inventory[[#This Row],[living_area_range]],Lookups!$F$47:$H$56,3,FALSE),1)</f>
        <v>0.95799442568048754</v>
      </c>
      <c r="BX437" s="4">
        <f>AVERAGE(Grandview_Inventory[[#This Row],[qual_adj]:[size_adj]])</f>
        <v>0.97626178951333031</v>
      </c>
      <c r="BY437" s="6">
        <f>IF(Grandview_Inventory[[#This Row],[pre_res]]&lt;0,0,Grandview_Inventory[[#This Row],[pre_res]]*Grandview_Inventory[[#This Row],[overall_adj]])</f>
        <v>293159.32808862213</v>
      </c>
      <c r="BZ437" s="6">
        <f>(Grandview_Inventory[[#This Row],[sum_land]]-IF(Grandview_Inventory[[#This Row],[no_utilities]]=1,12000,0))/IF(Grandview_Inventory[[#This Row],[unbuildable]]=1,2,1)</f>
        <v>50650.651579114572</v>
      </c>
      <c r="CA43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37">
        <f>ROUND(Grandview_Inventory[[#This Row],[det_value]]*Lookups!$M$28,-2)</f>
        <v>6000</v>
      </c>
      <c r="CC437">
        <f>IF(ROUND(Grandview_Inventory[[#This Row],[adj_res]]*Lookups!$M$28,-2)&lt;Grandview_Inventory[[#This Row],[min_res]],Grandview_Inventory[[#This Row],[min_res]],ROUND(Grandview_Inventory[[#This Row],[adj_res]]*Lookups!$M$28,-2))</f>
        <v>278500</v>
      </c>
      <c r="CD437">
        <f>Grandview_Inventory[[#This Row],[final_det]]+Grandview_Inventory[[#This Row],[final_res]]</f>
        <v>284500</v>
      </c>
      <c r="CE437">
        <f>Grandview_Inventory[[#This Row],[final_land]]+Grandview_Inventory[[#This Row],[final_imp]]+Grandview_Inventory[[#This Row],[crop_value]]</f>
        <v>332600</v>
      </c>
      <c r="CG437" t="str">
        <f t="shared" si="6"/>
        <v>update valuation set market_land =48100, market_bldg=284500, market_total =332600, market_mdno =401, market_date ='9/10/2023' where link_id = (select link_id from parcel where parcel_year = '2024' and parcel_id = '23092214401');</v>
      </c>
    </row>
    <row r="438" spans="1:85" x14ac:dyDescent="0.25">
      <c r="A438">
        <v>23092214404</v>
      </c>
      <c r="B438">
        <v>0.32</v>
      </c>
      <c r="C438">
        <v>13798</v>
      </c>
      <c r="D438" t="s">
        <v>129</v>
      </c>
      <c r="E438" t="s">
        <v>53</v>
      </c>
      <c r="F438" t="s">
        <v>53</v>
      </c>
      <c r="G438">
        <v>4</v>
      </c>
      <c r="H438" t="s">
        <v>54</v>
      </c>
      <c r="I438">
        <v>248900</v>
      </c>
      <c r="J438">
        <v>45600</v>
      </c>
      <c r="K438">
        <v>0.32</v>
      </c>
      <c r="L438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438">
        <v>0</v>
      </c>
      <c r="N438">
        <v>0</v>
      </c>
      <c r="O438">
        <v>0</v>
      </c>
      <c r="P438">
        <v>13398.7528</v>
      </c>
      <c r="Q438">
        <v>63903</v>
      </c>
      <c r="R438">
        <f>(Grandview_Inventory[[#This Row],[ln_acres]]*Grandview_Inventory[[#This Row],[coeff]])+Grandview_Inventory[[#This Row],[const]]</f>
        <v>48636.001707713905</v>
      </c>
      <c r="S438" t="s">
        <v>61</v>
      </c>
      <c r="T438">
        <v>1</v>
      </c>
      <c r="U438" t="s">
        <v>65</v>
      </c>
      <c r="V438" t="s">
        <v>69</v>
      </c>
      <c r="W438">
        <v>0</v>
      </c>
      <c r="X438">
        <v>0</v>
      </c>
      <c r="Y438">
        <v>49</v>
      </c>
      <c r="Z438">
        <v>68</v>
      </c>
      <c r="AA438">
        <v>70</v>
      </c>
      <c r="AB438">
        <v>3500</v>
      </c>
      <c r="AC438">
        <v>3329</v>
      </c>
      <c r="AD438">
        <v>1952</v>
      </c>
      <c r="AE438">
        <v>0</v>
      </c>
      <c r="AF438">
        <v>0</v>
      </c>
      <c r="AG438">
        <v>1377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10</v>
      </c>
      <c r="AQ438">
        <v>0</v>
      </c>
      <c r="AR438">
        <v>1</v>
      </c>
      <c r="AS438" t="s">
        <v>71</v>
      </c>
      <c r="AT438">
        <v>0</v>
      </c>
      <c r="AU438" t="s">
        <v>82</v>
      </c>
      <c r="AV438" t="s">
        <v>64</v>
      </c>
      <c r="AW438">
        <v>0</v>
      </c>
      <c r="AX438">
        <v>3</v>
      </c>
      <c r="AY438">
        <v>0</v>
      </c>
      <c r="AZ438">
        <v>33400</v>
      </c>
      <c r="BA438">
        <v>100</v>
      </c>
      <c r="BB438">
        <v>100</v>
      </c>
      <c r="BC438">
        <v>100</v>
      </c>
      <c r="BD438">
        <v>100</v>
      </c>
      <c r="BE438">
        <v>1</v>
      </c>
      <c r="BF438">
        <v>15000</v>
      </c>
      <c r="BG438">
        <v>1000</v>
      </c>
      <c r="BH438" s="6">
        <f>Grandview_Inventory[[#This Row],[land_extract]]*Lookups!$B$3</f>
        <v>56480.857465963549</v>
      </c>
      <c r="BI438" s="6">
        <f>IF(Grandview_Inventory[[#This Row],[bldg_style]]="",0,Lookups!$B$2)</f>
        <v>155833.95000000001</v>
      </c>
      <c r="BJ438" s="6">
        <f>_xlfn.IFNA(VLOOKUP(Grandview_Inventory[[#This Row],[quality]],Lookups!$H$2:$J$14,3,FALSE),0)</f>
        <v>2251</v>
      </c>
      <c r="BK438" s="6">
        <f>_xlfn.IFNA(VLOOKUP(Grandview_Inventory[[#This Row],[condition]],Lookups!$H$17:$J$24,3,FALSE),0)</f>
        <v>-4503</v>
      </c>
      <c r="BL438" s="6">
        <f>Grandview_Inventory[[#This Row],[Eff_Age]]*Lookups!$B$14</f>
        <v>-11719.163399999999</v>
      </c>
      <c r="BM438" s="6">
        <f>Grandview_Inventory[[#This Row],[living_area]]*Lookups!$B$15</f>
        <v>207665.85963700002</v>
      </c>
      <c r="BN438" s="6">
        <f>Grandview_Inventory[[#This Row],[Fin BSMT]]*Lookups!$B$16</f>
        <v>-37315.653480000001</v>
      </c>
      <c r="BO438" s="6">
        <f>(Grandview_Inventory[[#This Row],[att_gar]]+Grandview_Inventory[[#This Row],[bltin_gar]])*Lookups!$B$17</f>
        <v>0</v>
      </c>
      <c r="BP438" s="6">
        <f>Grandview_Inventory[[#This Row],[Plumbing Fixtures]]*Lookups!$B$18</f>
        <v>20104.418000000001</v>
      </c>
      <c r="BQ438" s="6">
        <f>Grandview_Inventory[[#This Row],[detatched_value]]*Lookups!$B$19</f>
        <v>28283.29034</v>
      </c>
      <c r="BR438" s="6">
        <f>SUM(Grandview_Inventory[[#This Row],[Intercept]:[det_value]])*Grandview_Inventory[[#This Row],[res_pct]]</f>
        <v>360600.70109700004</v>
      </c>
      <c r="BS438" s="6">
        <f>Grandview_Inventory[[#This Row],[land_value]]</f>
        <v>56480.857465963549</v>
      </c>
      <c r="BT438" s="4">
        <f>_xlfn.IFNA(VLOOKUP(Grandview_Inventory[[#This Row],[quality]],Lookups!$A$26:$C$33,3,FALSE),1)</f>
        <v>0.98763855981004833</v>
      </c>
      <c r="BU438" s="4">
        <f>_xlfn.IFNA(VLOOKUP(Grandview_Inventory[[#This Row],[condition]],Lookups!$A$37:$C$44,3,FALSE),1)</f>
        <v>0.96469275950863709</v>
      </c>
      <c r="BV438" s="4">
        <f>IF(Grandview_Inventory[[#This Row],[bldg_style]]="",1,_xlfn.IFNA(VLOOKUP(Grandview_Inventory[[#This Row],[decade]],Lookups!$F$29:$H$43,3,FALSE),1))</f>
        <v>0.99472141305414818</v>
      </c>
      <c r="BW438" s="4">
        <f>_xlfn.IFNA(VLOOKUP(Grandview_Inventory[[#This Row],[living_area_range]],Lookups!$F$47:$H$56,3,FALSE),1)</f>
        <v>1.0170112215140563</v>
      </c>
      <c r="BX438" s="4">
        <f>AVERAGE(Grandview_Inventory[[#This Row],[qual_adj]:[size_adj]])</f>
        <v>0.99101598847172245</v>
      </c>
      <c r="BY438" s="6">
        <f>IF(Grandview_Inventory[[#This Row],[pre_res]]&lt;0,0,Grandview_Inventory[[#This Row],[pre_res]]*Grandview_Inventory[[#This Row],[overall_adj]])</f>
        <v>357361.06024123961</v>
      </c>
      <c r="BZ438" s="6">
        <f>(Grandview_Inventory[[#This Row],[sum_land]]-IF(Grandview_Inventory[[#This Row],[no_utilities]]=1,12000,0))/IF(Grandview_Inventory[[#This Row],[unbuildable]]=1,2,1)</f>
        <v>56480.857465963549</v>
      </c>
      <c r="CA438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438">
        <f>ROUND(Grandview_Inventory[[#This Row],[det_value]]*Lookups!$M$28,-2)</f>
        <v>26900</v>
      </c>
      <c r="CC438">
        <f>IF(ROUND(Grandview_Inventory[[#This Row],[adj_res]]*Lookups!$M$28,-2)&lt;Grandview_Inventory[[#This Row],[min_res]],Grandview_Inventory[[#This Row],[min_res]],ROUND(Grandview_Inventory[[#This Row],[adj_res]]*Lookups!$M$28,-2))</f>
        <v>339500</v>
      </c>
      <c r="CD438">
        <f>Grandview_Inventory[[#This Row],[final_det]]+Grandview_Inventory[[#This Row],[final_res]]</f>
        <v>366400</v>
      </c>
      <c r="CE438">
        <f>Grandview_Inventory[[#This Row],[final_land]]+Grandview_Inventory[[#This Row],[final_imp]]+Grandview_Inventory[[#This Row],[crop_value]]</f>
        <v>420100</v>
      </c>
      <c r="CG438" t="str">
        <f t="shared" si="6"/>
        <v>update valuation set market_land =53700, market_bldg=366400, market_total =420100, market_mdno =401, market_date ='9/10/2023' where link_id = (select link_id from parcel where parcel_year = '2024' and parcel_id = '23092214404');</v>
      </c>
    </row>
    <row r="439" spans="1:85" x14ac:dyDescent="0.25">
      <c r="A439">
        <v>23092214405</v>
      </c>
      <c r="B439">
        <v>0.26</v>
      </c>
      <c r="C439">
        <v>11122</v>
      </c>
      <c r="D439" t="s">
        <v>129</v>
      </c>
      <c r="E439" t="s">
        <v>53</v>
      </c>
      <c r="F439" t="s">
        <v>53</v>
      </c>
      <c r="G439">
        <v>4</v>
      </c>
      <c r="H439" t="s">
        <v>54</v>
      </c>
      <c r="I439">
        <v>145400</v>
      </c>
      <c r="J439">
        <v>40200</v>
      </c>
      <c r="K439">
        <v>0.26</v>
      </c>
      <c r="L439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439">
        <v>0</v>
      </c>
      <c r="N439">
        <v>0</v>
      </c>
      <c r="O439">
        <v>0</v>
      </c>
      <c r="P439">
        <v>13398.7528</v>
      </c>
      <c r="Q439">
        <v>63903</v>
      </c>
      <c r="R439">
        <f>(Grandview_Inventory[[#This Row],[ln_acres]]*Grandview_Inventory[[#This Row],[coeff]])+Grandview_Inventory[[#This Row],[const]]</f>
        <v>45853.893187501177</v>
      </c>
      <c r="S439" t="s">
        <v>61</v>
      </c>
      <c r="T439">
        <v>1</v>
      </c>
      <c r="U439" t="s">
        <v>65</v>
      </c>
      <c r="V439" t="s">
        <v>69</v>
      </c>
      <c r="W439">
        <v>0</v>
      </c>
      <c r="X439">
        <v>0</v>
      </c>
      <c r="Y439">
        <v>49</v>
      </c>
      <c r="Z439">
        <v>65</v>
      </c>
      <c r="AA439">
        <v>70</v>
      </c>
      <c r="AB439">
        <v>1500</v>
      </c>
      <c r="AC439">
        <v>1052</v>
      </c>
      <c r="AD439">
        <v>1052</v>
      </c>
      <c r="AE439">
        <v>0</v>
      </c>
      <c r="AF439">
        <v>0</v>
      </c>
      <c r="AG439">
        <v>0</v>
      </c>
      <c r="AH439">
        <v>0</v>
      </c>
      <c r="AI439">
        <v>440</v>
      </c>
      <c r="AJ439">
        <v>0</v>
      </c>
      <c r="AK439">
        <v>0</v>
      </c>
      <c r="AL439">
        <v>0</v>
      </c>
      <c r="AM439">
        <v>1000</v>
      </c>
      <c r="AN439">
        <v>0</v>
      </c>
      <c r="AO439">
        <v>0</v>
      </c>
      <c r="AP439">
        <v>5</v>
      </c>
      <c r="AQ439">
        <v>0</v>
      </c>
      <c r="AR439">
        <v>0</v>
      </c>
      <c r="AS439" t="s">
        <v>58</v>
      </c>
      <c r="AT439">
        <v>1</v>
      </c>
      <c r="AU439" t="s">
        <v>75</v>
      </c>
      <c r="AV439" t="s">
        <v>60</v>
      </c>
      <c r="AW439">
        <v>0</v>
      </c>
      <c r="AX439">
        <v>2</v>
      </c>
      <c r="AY439">
        <v>0</v>
      </c>
      <c r="AZ439">
        <v>0</v>
      </c>
      <c r="BA439">
        <v>100</v>
      </c>
      <c r="BB439">
        <v>100</v>
      </c>
      <c r="BC439">
        <v>100</v>
      </c>
      <c r="BD439">
        <v>100</v>
      </c>
      <c r="BE439">
        <v>1</v>
      </c>
      <c r="BF439">
        <v>15000</v>
      </c>
      <c r="BG439">
        <v>1000</v>
      </c>
      <c r="BH439" s="6">
        <f>Grandview_Inventory[[#This Row],[land_extract]]*Lookups!$B$3</f>
        <v>53250.00235313351</v>
      </c>
      <c r="BI439" s="6">
        <f>IF(Grandview_Inventory[[#This Row],[bldg_style]]="",0,Lookups!$B$2)</f>
        <v>155833.95000000001</v>
      </c>
      <c r="BJ439" s="6">
        <f>_xlfn.IFNA(VLOOKUP(Grandview_Inventory[[#This Row],[quality]],Lookups!$H$2:$J$14,3,FALSE),0)</f>
        <v>2251</v>
      </c>
      <c r="BK439" s="6">
        <f>_xlfn.IFNA(VLOOKUP(Grandview_Inventory[[#This Row],[condition]],Lookups!$H$17:$J$24,3,FALSE),0)</f>
        <v>-4503</v>
      </c>
      <c r="BL439" s="6">
        <f>Grandview_Inventory[[#This Row],[Eff_Age]]*Lookups!$B$14</f>
        <v>-11719.163399999999</v>
      </c>
      <c r="BM439" s="6">
        <f>Grandview_Inventory[[#This Row],[living_area]]*Lookups!$B$15</f>
        <v>65624.657355999996</v>
      </c>
      <c r="BN439" s="6">
        <f>Grandview_Inventory[[#This Row],[Fin BSMT]]*Lookups!$B$16</f>
        <v>0</v>
      </c>
      <c r="BO439" s="6">
        <f>(Grandview_Inventory[[#This Row],[att_gar]]+Grandview_Inventory[[#This Row],[bltin_gar]])*Lookups!$B$17</f>
        <v>38508.992279999999</v>
      </c>
      <c r="BP439" s="6">
        <f>Grandview_Inventory[[#This Row],[Plumbing Fixtures]]*Lookups!$B$18</f>
        <v>10052.209000000001</v>
      </c>
      <c r="BQ439" s="6">
        <f>Grandview_Inventory[[#This Row],[detatched_value]]*Lookups!$B$19</f>
        <v>0</v>
      </c>
      <c r="BR439" s="6">
        <f>SUM(Grandview_Inventory[[#This Row],[Intercept]:[det_value]])*Grandview_Inventory[[#This Row],[res_pct]]</f>
        <v>256048.64523600004</v>
      </c>
      <c r="BS439" s="6">
        <f>Grandview_Inventory[[#This Row],[land_value]]</f>
        <v>53250.00235313351</v>
      </c>
      <c r="BT439" s="4">
        <f>_xlfn.IFNA(VLOOKUP(Grandview_Inventory[[#This Row],[quality]],Lookups!$A$26:$C$33,3,FALSE),1)</f>
        <v>0.98763855981004833</v>
      </c>
      <c r="BU439" s="4">
        <f>_xlfn.IFNA(VLOOKUP(Grandview_Inventory[[#This Row],[condition]],Lookups!$A$37:$C$44,3,FALSE),1)</f>
        <v>0.96469275950863709</v>
      </c>
      <c r="BV439" s="4">
        <f>IF(Grandview_Inventory[[#This Row],[bldg_style]]="",1,_xlfn.IFNA(VLOOKUP(Grandview_Inventory[[#This Row],[decade]],Lookups!$F$29:$H$43,3,FALSE),1))</f>
        <v>0.99472141305414818</v>
      </c>
      <c r="BW439" s="4">
        <f>_xlfn.IFNA(VLOOKUP(Grandview_Inventory[[#This Row],[living_area_range]],Lookups!$F$47:$H$56,3,FALSE),1)</f>
        <v>0.96135087979789358</v>
      </c>
      <c r="BX439" s="4">
        <f>AVERAGE(Grandview_Inventory[[#This Row],[qual_adj]:[size_adj]])</f>
        <v>0.97710090304268182</v>
      </c>
      <c r="BY439" s="6">
        <f>IF(Grandview_Inventory[[#This Row],[pre_res]]&lt;0,0,Grandview_Inventory[[#This Row],[pre_res]]*Grandview_Inventory[[#This Row],[overall_adj]])</f>
        <v>250185.36248295091</v>
      </c>
      <c r="BZ439" s="6">
        <f>(Grandview_Inventory[[#This Row],[sum_land]]-IF(Grandview_Inventory[[#This Row],[no_utilities]]=1,12000,0))/IF(Grandview_Inventory[[#This Row],[unbuildable]]=1,2,1)</f>
        <v>53250.00235313351</v>
      </c>
      <c r="CA439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439">
        <f>ROUND(Grandview_Inventory[[#This Row],[det_value]]*Lookups!$M$28,-2)</f>
        <v>0</v>
      </c>
      <c r="CC439">
        <f>IF(ROUND(Grandview_Inventory[[#This Row],[adj_res]]*Lookups!$M$28,-2)&lt;Grandview_Inventory[[#This Row],[min_res]],Grandview_Inventory[[#This Row],[min_res]],ROUND(Grandview_Inventory[[#This Row],[adj_res]]*Lookups!$M$28,-2))</f>
        <v>237700</v>
      </c>
      <c r="CD439">
        <f>Grandview_Inventory[[#This Row],[final_det]]+Grandview_Inventory[[#This Row],[final_res]]</f>
        <v>237700</v>
      </c>
      <c r="CE439">
        <f>Grandview_Inventory[[#This Row],[final_land]]+Grandview_Inventory[[#This Row],[final_imp]]+Grandview_Inventory[[#This Row],[crop_value]]</f>
        <v>288300</v>
      </c>
      <c r="CG439" t="str">
        <f t="shared" si="6"/>
        <v>update valuation set market_land =50600, market_bldg=237700, market_total =288300, market_mdno =401, market_date ='9/10/2023' where link_id = (select link_id from parcel where parcel_year = '2024' and parcel_id = '23092214405');</v>
      </c>
    </row>
    <row r="440" spans="1:85" x14ac:dyDescent="0.25">
      <c r="A440">
        <v>23092214406</v>
      </c>
      <c r="B440">
        <v>0.18</v>
      </c>
      <c r="C440" t="s">
        <v>129</v>
      </c>
      <c r="D440" t="s">
        <v>129</v>
      </c>
      <c r="E440" t="s">
        <v>53</v>
      </c>
      <c r="F440" t="s">
        <v>53</v>
      </c>
      <c r="G440">
        <v>4</v>
      </c>
      <c r="H440" t="s">
        <v>54</v>
      </c>
      <c r="I440">
        <v>200000</v>
      </c>
      <c r="J440">
        <v>43100</v>
      </c>
      <c r="K440">
        <v>0.18</v>
      </c>
      <c r="L44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40">
        <v>0</v>
      </c>
      <c r="N440">
        <v>0</v>
      </c>
      <c r="O440">
        <v>0</v>
      </c>
      <c r="P440">
        <v>13398.7528</v>
      </c>
      <c r="Q440">
        <v>63903</v>
      </c>
      <c r="R440">
        <f>(Grandview_Inventory[[#This Row],[ln_acres]]*Grandview_Inventory[[#This Row],[coeff]])+Grandview_Inventory[[#This Row],[const]]</f>
        <v>40926.839760167699</v>
      </c>
      <c r="S440" t="s">
        <v>61</v>
      </c>
      <c r="T440">
        <v>1</v>
      </c>
      <c r="U440" t="s">
        <v>65</v>
      </c>
      <c r="V440" t="s">
        <v>69</v>
      </c>
      <c r="W440">
        <v>0</v>
      </c>
      <c r="X440">
        <v>0</v>
      </c>
      <c r="Y440">
        <v>49</v>
      </c>
      <c r="Z440">
        <v>69</v>
      </c>
      <c r="AA440">
        <v>70</v>
      </c>
      <c r="AB440">
        <v>1500</v>
      </c>
      <c r="AC440">
        <v>1427</v>
      </c>
      <c r="AD440">
        <v>1427</v>
      </c>
      <c r="AE440">
        <v>0</v>
      </c>
      <c r="AF440">
        <v>0</v>
      </c>
      <c r="AG440">
        <v>0</v>
      </c>
      <c r="AH440">
        <v>0</v>
      </c>
      <c r="AI440">
        <v>640</v>
      </c>
      <c r="AJ440">
        <v>0</v>
      </c>
      <c r="AK440">
        <v>0</v>
      </c>
      <c r="AL440">
        <v>0</v>
      </c>
      <c r="AM440">
        <v>312</v>
      </c>
      <c r="AN440">
        <v>0</v>
      </c>
      <c r="AO440">
        <v>0</v>
      </c>
      <c r="AP440">
        <v>8</v>
      </c>
      <c r="AQ440">
        <v>1</v>
      </c>
      <c r="AR440">
        <v>0</v>
      </c>
      <c r="AS440" t="s">
        <v>58</v>
      </c>
      <c r="AT440">
        <v>1</v>
      </c>
      <c r="AU440" t="s">
        <v>63</v>
      </c>
      <c r="AV440" t="s">
        <v>60</v>
      </c>
      <c r="AW440">
        <v>0</v>
      </c>
      <c r="AX440">
        <v>4</v>
      </c>
      <c r="AY440">
        <v>0</v>
      </c>
      <c r="AZ440">
        <v>0</v>
      </c>
      <c r="BA440">
        <v>100</v>
      </c>
      <c r="BB440">
        <v>100</v>
      </c>
      <c r="BC440">
        <v>100</v>
      </c>
      <c r="BD440">
        <v>100</v>
      </c>
      <c r="BE440">
        <v>1</v>
      </c>
      <c r="BF440">
        <v>15000</v>
      </c>
      <c r="BG440">
        <v>1000</v>
      </c>
      <c r="BH440" s="6">
        <f>Grandview_Inventory[[#This Row],[land_extract]]*Lookups!$B$3</f>
        <v>47528.228511015397</v>
      </c>
      <c r="BI440" s="6">
        <f>IF(Grandview_Inventory[[#This Row],[bldg_style]]="",0,Lookups!$B$2)</f>
        <v>155833.95000000001</v>
      </c>
      <c r="BJ440" s="6">
        <f>_xlfn.IFNA(VLOOKUP(Grandview_Inventory[[#This Row],[quality]],Lookups!$H$2:$J$14,3,FALSE),0)</f>
        <v>2251</v>
      </c>
      <c r="BK440" s="6">
        <f>_xlfn.IFNA(VLOOKUP(Grandview_Inventory[[#This Row],[condition]],Lookups!$H$17:$J$24,3,FALSE),0)</f>
        <v>-4503</v>
      </c>
      <c r="BL440" s="6">
        <f>Grandview_Inventory[[#This Row],[Eff_Age]]*Lookups!$B$14</f>
        <v>-11719.163399999999</v>
      </c>
      <c r="BM440" s="6">
        <f>Grandview_Inventory[[#This Row],[living_area]]*Lookups!$B$15</f>
        <v>89017.477230999997</v>
      </c>
      <c r="BN440" s="6">
        <f>Grandview_Inventory[[#This Row],[Fin BSMT]]*Lookups!$B$16</f>
        <v>0</v>
      </c>
      <c r="BO440" s="6">
        <f>(Grandview_Inventory[[#This Row],[att_gar]]+Grandview_Inventory[[#This Row],[bltin_gar]])*Lookups!$B$17</f>
        <v>56013.079680000003</v>
      </c>
      <c r="BP440" s="6">
        <f>Grandview_Inventory[[#This Row],[Plumbing Fixtures]]*Lookups!$B$18</f>
        <v>16083.5344</v>
      </c>
      <c r="BQ440" s="6">
        <f>Grandview_Inventory[[#This Row],[detatched_value]]*Lookups!$B$19</f>
        <v>0</v>
      </c>
      <c r="BR440" s="6">
        <f>SUM(Grandview_Inventory[[#This Row],[Intercept]:[det_value]])*Grandview_Inventory[[#This Row],[res_pct]]</f>
        <v>302976.87791100005</v>
      </c>
      <c r="BS440" s="6">
        <f>Grandview_Inventory[[#This Row],[land_value]]</f>
        <v>47528.228511015397</v>
      </c>
      <c r="BT440" s="4">
        <f>_xlfn.IFNA(VLOOKUP(Grandview_Inventory[[#This Row],[quality]],Lookups!$A$26:$C$33,3,FALSE),1)</f>
        <v>0.98763855981004833</v>
      </c>
      <c r="BU440" s="4">
        <f>_xlfn.IFNA(VLOOKUP(Grandview_Inventory[[#This Row],[condition]],Lookups!$A$37:$C$44,3,FALSE),1)</f>
        <v>0.96469275950863709</v>
      </c>
      <c r="BV440" s="4">
        <f>IF(Grandview_Inventory[[#This Row],[bldg_style]]="",1,_xlfn.IFNA(VLOOKUP(Grandview_Inventory[[#This Row],[decade]],Lookups!$F$29:$H$43,3,FALSE),1))</f>
        <v>0.99472141305414818</v>
      </c>
      <c r="BW440" s="4">
        <f>_xlfn.IFNA(VLOOKUP(Grandview_Inventory[[#This Row],[living_area_range]],Lookups!$F$47:$H$56,3,FALSE),1)</f>
        <v>0.96135087979789358</v>
      </c>
      <c r="BX440" s="4">
        <f>AVERAGE(Grandview_Inventory[[#This Row],[qual_adj]:[size_adj]])</f>
        <v>0.97710090304268182</v>
      </c>
      <c r="BY440" s="6">
        <f>IF(Grandview_Inventory[[#This Row],[pre_res]]&lt;0,0,Grandview_Inventory[[#This Row],[pre_res]]*Grandview_Inventory[[#This Row],[overall_adj]])</f>
        <v>296038.98100789048</v>
      </c>
      <c r="BZ440" s="6">
        <f>(Grandview_Inventory[[#This Row],[sum_land]]-IF(Grandview_Inventory[[#This Row],[no_utilities]]=1,12000,0))/IF(Grandview_Inventory[[#This Row],[unbuildable]]=1,2,1)</f>
        <v>47528.228511015397</v>
      </c>
      <c r="CA44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40">
        <f>ROUND(Grandview_Inventory[[#This Row],[det_value]]*Lookups!$M$28,-2)</f>
        <v>0</v>
      </c>
      <c r="CC440">
        <f>IF(ROUND(Grandview_Inventory[[#This Row],[adj_res]]*Lookups!$M$28,-2)&lt;Grandview_Inventory[[#This Row],[min_res]],Grandview_Inventory[[#This Row],[min_res]],ROUND(Grandview_Inventory[[#This Row],[adj_res]]*Lookups!$M$28,-2))</f>
        <v>281200</v>
      </c>
      <c r="CD440">
        <f>Grandview_Inventory[[#This Row],[final_det]]+Grandview_Inventory[[#This Row],[final_res]]</f>
        <v>281200</v>
      </c>
      <c r="CE440">
        <f>Grandview_Inventory[[#This Row],[final_land]]+Grandview_Inventory[[#This Row],[final_imp]]+Grandview_Inventory[[#This Row],[crop_value]]</f>
        <v>326400</v>
      </c>
      <c r="CG440" t="str">
        <f t="shared" si="6"/>
        <v>update valuation set market_land =45200, market_bldg=281200, market_total =326400, market_mdno =401, market_date ='9/10/2023' where link_id = (select link_id from parcel where parcel_year = '2024' and parcel_id = '23092214406');</v>
      </c>
    </row>
    <row r="441" spans="1:85" x14ac:dyDescent="0.25">
      <c r="A441">
        <v>23092214407</v>
      </c>
      <c r="B441">
        <v>0.19</v>
      </c>
      <c r="C441">
        <v>8059</v>
      </c>
      <c r="D441" t="s">
        <v>129</v>
      </c>
      <c r="E441" t="s">
        <v>53</v>
      </c>
      <c r="F441" t="s">
        <v>53</v>
      </c>
      <c r="G441">
        <v>4</v>
      </c>
      <c r="H441" t="s">
        <v>54</v>
      </c>
      <c r="I441">
        <v>135300</v>
      </c>
      <c r="J441">
        <v>43100</v>
      </c>
      <c r="K441">
        <v>0.19</v>
      </c>
      <c r="L44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41">
        <v>0</v>
      </c>
      <c r="N441">
        <v>0</v>
      </c>
      <c r="O441">
        <v>0</v>
      </c>
      <c r="P441">
        <v>13398.7528</v>
      </c>
      <c r="Q441">
        <v>63903</v>
      </c>
      <c r="R441">
        <f>(Grandview_Inventory[[#This Row],[ln_acres]]*Grandview_Inventory[[#This Row],[coeff]])+Grandview_Inventory[[#This Row],[const]]</f>
        <v>41651.273092551026</v>
      </c>
      <c r="S441" t="s">
        <v>61</v>
      </c>
      <c r="T441">
        <v>1</v>
      </c>
      <c r="U441" t="s">
        <v>65</v>
      </c>
      <c r="V441" t="s">
        <v>69</v>
      </c>
      <c r="W441">
        <v>0</v>
      </c>
      <c r="X441">
        <v>0</v>
      </c>
      <c r="Y441">
        <v>49</v>
      </c>
      <c r="Z441">
        <v>69</v>
      </c>
      <c r="AA441">
        <v>70</v>
      </c>
      <c r="AB441">
        <v>1500</v>
      </c>
      <c r="AC441">
        <v>1188</v>
      </c>
      <c r="AD441">
        <v>1188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264</v>
      </c>
      <c r="AM441">
        <v>0</v>
      </c>
      <c r="AN441">
        <v>0</v>
      </c>
      <c r="AO441">
        <v>0</v>
      </c>
      <c r="AP441">
        <v>5</v>
      </c>
      <c r="AQ441">
        <v>0</v>
      </c>
      <c r="AR441">
        <v>0</v>
      </c>
      <c r="AS441" t="s">
        <v>58</v>
      </c>
      <c r="AT441">
        <v>1</v>
      </c>
      <c r="AU441" t="s">
        <v>63</v>
      </c>
      <c r="AV441" t="s">
        <v>64</v>
      </c>
      <c r="AW441">
        <v>1</v>
      </c>
      <c r="AX441">
        <v>3</v>
      </c>
      <c r="AY441">
        <v>0</v>
      </c>
      <c r="AZ441">
        <v>0</v>
      </c>
      <c r="BA441">
        <v>100</v>
      </c>
      <c r="BB441">
        <v>100</v>
      </c>
      <c r="BC441">
        <v>100</v>
      </c>
      <c r="BD441">
        <v>100</v>
      </c>
      <c r="BE441">
        <v>1</v>
      </c>
      <c r="BF441">
        <v>15000</v>
      </c>
      <c r="BG441">
        <v>1000</v>
      </c>
      <c r="BH441" s="6">
        <f>Grandview_Inventory[[#This Row],[land_extract]]*Lookups!$B$3</f>
        <v>48369.510983942157</v>
      </c>
      <c r="BI441" s="6">
        <f>IF(Grandview_Inventory[[#This Row],[bldg_style]]="",0,Lookups!$B$2)</f>
        <v>155833.95000000001</v>
      </c>
      <c r="BJ441" s="6">
        <f>_xlfn.IFNA(VLOOKUP(Grandview_Inventory[[#This Row],[quality]],Lookups!$H$2:$J$14,3,FALSE),0)</f>
        <v>2251</v>
      </c>
      <c r="BK441" s="6">
        <f>_xlfn.IFNA(VLOOKUP(Grandview_Inventory[[#This Row],[condition]],Lookups!$H$17:$J$24,3,FALSE),0)</f>
        <v>-4503</v>
      </c>
      <c r="BL441" s="6">
        <f>Grandview_Inventory[[#This Row],[Eff_Age]]*Lookups!$B$14</f>
        <v>-11719.163399999999</v>
      </c>
      <c r="BM441" s="6">
        <f>Grandview_Inventory[[#This Row],[living_area]]*Lookups!$B$15</f>
        <v>74108.453364000001</v>
      </c>
      <c r="BN441" s="6">
        <f>Grandview_Inventory[[#This Row],[Fin BSMT]]*Lookups!$B$16</f>
        <v>0</v>
      </c>
      <c r="BO441" s="6">
        <f>(Grandview_Inventory[[#This Row],[att_gar]]+Grandview_Inventory[[#This Row],[bltin_gar]])*Lookups!$B$17</f>
        <v>0</v>
      </c>
      <c r="BP441" s="6">
        <f>Grandview_Inventory[[#This Row],[Plumbing Fixtures]]*Lookups!$B$18</f>
        <v>10052.209000000001</v>
      </c>
      <c r="BQ441" s="6">
        <f>Grandview_Inventory[[#This Row],[detatched_value]]*Lookups!$B$19</f>
        <v>0</v>
      </c>
      <c r="BR441" s="6">
        <f>SUM(Grandview_Inventory[[#This Row],[Intercept]:[det_value]])*Grandview_Inventory[[#This Row],[res_pct]]</f>
        <v>226023.44896400001</v>
      </c>
      <c r="BS441" s="6">
        <f>Grandview_Inventory[[#This Row],[land_value]]</f>
        <v>48369.510983942157</v>
      </c>
      <c r="BT441" s="4">
        <f>_xlfn.IFNA(VLOOKUP(Grandview_Inventory[[#This Row],[quality]],Lookups!$A$26:$C$33,3,FALSE),1)</f>
        <v>0.98763855981004833</v>
      </c>
      <c r="BU441" s="4">
        <f>_xlfn.IFNA(VLOOKUP(Grandview_Inventory[[#This Row],[condition]],Lookups!$A$37:$C$44,3,FALSE),1)</f>
        <v>0.96469275950863709</v>
      </c>
      <c r="BV441" s="4">
        <f>IF(Grandview_Inventory[[#This Row],[bldg_style]]="",1,_xlfn.IFNA(VLOOKUP(Grandview_Inventory[[#This Row],[decade]],Lookups!$F$29:$H$43,3,FALSE),1))</f>
        <v>0.99472141305414818</v>
      </c>
      <c r="BW441" s="4">
        <f>_xlfn.IFNA(VLOOKUP(Grandview_Inventory[[#This Row],[living_area_range]],Lookups!$F$47:$H$56,3,FALSE),1)</f>
        <v>0.96135087979789358</v>
      </c>
      <c r="BX441" s="4">
        <f>AVERAGE(Grandview_Inventory[[#This Row],[qual_adj]:[size_adj]])</f>
        <v>0.97710090304268182</v>
      </c>
      <c r="BY441" s="6">
        <f>IF(Grandview_Inventory[[#This Row],[pre_res]]&lt;0,0,Grandview_Inventory[[#This Row],[pre_res]]*Grandview_Inventory[[#This Row],[overall_adj]])</f>
        <v>220847.71609154591</v>
      </c>
      <c r="BZ441" s="6">
        <f>(Grandview_Inventory[[#This Row],[sum_land]]-IF(Grandview_Inventory[[#This Row],[no_utilities]]=1,12000,0))/IF(Grandview_Inventory[[#This Row],[unbuildable]]=1,2,1)</f>
        <v>48369.510983942157</v>
      </c>
      <c r="CA44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41">
        <f>ROUND(Grandview_Inventory[[#This Row],[det_value]]*Lookups!$M$28,-2)</f>
        <v>0</v>
      </c>
      <c r="CC441">
        <f>IF(ROUND(Grandview_Inventory[[#This Row],[adj_res]]*Lookups!$M$28,-2)&lt;Grandview_Inventory[[#This Row],[min_res]],Grandview_Inventory[[#This Row],[min_res]],ROUND(Grandview_Inventory[[#This Row],[adj_res]]*Lookups!$M$28,-2))</f>
        <v>209800</v>
      </c>
      <c r="CD441">
        <f>Grandview_Inventory[[#This Row],[final_det]]+Grandview_Inventory[[#This Row],[final_res]]</f>
        <v>209800</v>
      </c>
      <c r="CE441">
        <f>Grandview_Inventory[[#This Row],[final_land]]+Grandview_Inventory[[#This Row],[final_imp]]+Grandview_Inventory[[#This Row],[crop_value]]</f>
        <v>255800</v>
      </c>
      <c r="CG441" t="str">
        <f t="shared" si="6"/>
        <v>update valuation set market_land =46000, market_bldg=209800, market_total =255800, market_mdno =401, market_date ='9/10/2023' where link_id = (select link_id from parcel where parcel_year = '2024' and parcel_id = '23092214407');</v>
      </c>
    </row>
    <row r="442" spans="1:85" x14ac:dyDescent="0.25">
      <c r="A442">
        <v>23092214408</v>
      </c>
      <c r="B442">
        <v>0.19</v>
      </c>
      <c r="C442">
        <v>8059</v>
      </c>
      <c r="D442" t="s">
        <v>129</v>
      </c>
      <c r="E442" t="s">
        <v>53</v>
      </c>
      <c r="F442" t="s">
        <v>53</v>
      </c>
      <c r="G442">
        <v>4</v>
      </c>
      <c r="H442" t="s">
        <v>54</v>
      </c>
      <c r="I442">
        <v>155800</v>
      </c>
      <c r="J442">
        <v>43100</v>
      </c>
      <c r="K442">
        <v>0.19</v>
      </c>
      <c r="L44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42">
        <v>0</v>
      </c>
      <c r="N442">
        <v>0</v>
      </c>
      <c r="O442">
        <v>0</v>
      </c>
      <c r="P442">
        <v>13398.7528</v>
      </c>
      <c r="Q442">
        <v>63903</v>
      </c>
      <c r="R442">
        <f>(Grandview_Inventory[[#This Row],[ln_acres]]*Grandview_Inventory[[#This Row],[coeff]])+Grandview_Inventory[[#This Row],[const]]</f>
        <v>41651.273092551026</v>
      </c>
      <c r="S442" t="s">
        <v>61</v>
      </c>
      <c r="T442">
        <v>1</v>
      </c>
      <c r="U442" t="s">
        <v>65</v>
      </c>
      <c r="V442" t="s">
        <v>69</v>
      </c>
      <c r="W442">
        <v>0</v>
      </c>
      <c r="X442">
        <v>0</v>
      </c>
      <c r="Y442">
        <v>50</v>
      </c>
      <c r="Z442">
        <v>71</v>
      </c>
      <c r="AA442">
        <v>80</v>
      </c>
      <c r="AB442">
        <v>2000</v>
      </c>
      <c r="AC442">
        <v>1696</v>
      </c>
      <c r="AD442">
        <v>1216</v>
      </c>
      <c r="AE442">
        <v>0</v>
      </c>
      <c r="AF442">
        <v>0</v>
      </c>
      <c r="AG442">
        <v>480</v>
      </c>
      <c r="AH442">
        <v>0</v>
      </c>
      <c r="AI442">
        <v>0</v>
      </c>
      <c r="AJ442">
        <v>0</v>
      </c>
      <c r="AK442">
        <v>0</v>
      </c>
      <c r="AL442">
        <v>440</v>
      </c>
      <c r="AM442">
        <v>0</v>
      </c>
      <c r="AN442">
        <v>0</v>
      </c>
      <c r="AO442">
        <v>0</v>
      </c>
      <c r="AP442">
        <v>5</v>
      </c>
      <c r="AQ442">
        <v>0</v>
      </c>
      <c r="AR442">
        <v>0</v>
      </c>
      <c r="AS442" t="s">
        <v>58</v>
      </c>
      <c r="AT442">
        <v>1</v>
      </c>
      <c r="AU442" t="s">
        <v>59</v>
      </c>
      <c r="AV442" t="s">
        <v>60</v>
      </c>
      <c r="AW442">
        <v>1</v>
      </c>
      <c r="AX442">
        <v>2</v>
      </c>
      <c r="AY442">
        <v>0</v>
      </c>
      <c r="AZ442">
        <v>6800</v>
      </c>
      <c r="BA442">
        <v>100</v>
      </c>
      <c r="BB442">
        <v>100</v>
      </c>
      <c r="BC442">
        <v>100</v>
      </c>
      <c r="BD442">
        <v>100</v>
      </c>
      <c r="BE442">
        <v>1</v>
      </c>
      <c r="BF442">
        <v>15000</v>
      </c>
      <c r="BG442">
        <v>1000</v>
      </c>
      <c r="BH442" s="6">
        <f>Grandview_Inventory[[#This Row],[land_extract]]*Lookups!$B$3</f>
        <v>48369.510983942157</v>
      </c>
      <c r="BI442" s="6">
        <f>IF(Grandview_Inventory[[#This Row],[bldg_style]]="",0,Lookups!$B$2)</f>
        <v>155833.95000000001</v>
      </c>
      <c r="BJ442" s="6">
        <f>_xlfn.IFNA(VLOOKUP(Grandview_Inventory[[#This Row],[quality]],Lookups!$H$2:$J$14,3,FALSE),0)</f>
        <v>2251</v>
      </c>
      <c r="BK442" s="6">
        <f>_xlfn.IFNA(VLOOKUP(Grandview_Inventory[[#This Row],[condition]],Lookups!$H$17:$J$24,3,FALSE),0)</f>
        <v>-4503</v>
      </c>
      <c r="BL442" s="6">
        <f>Grandview_Inventory[[#This Row],[Eff_Age]]*Lookups!$B$14</f>
        <v>-11958.33</v>
      </c>
      <c r="BM442" s="6">
        <f>Grandview_Inventory[[#This Row],[living_area]]*Lookups!$B$15</f>
        <v>105797.92668800001</v>
      </c>
      <c r="BN442" s="6">
        <f>Grandview_Inventory[[#This Row],[Fin BSMT]]*Lookups!$B$16</f>
        <v>-13007.635200000001</v>
      </c>
      <c r="BO442" s="6">
        <f>(Grandview_Inventory[[#This Row],[att_gar]]+Grandview_Inventory[[#This Row],[bltin_gar]])*Lookups!$B$17</f>
        <v>0</v>
      </c>
      <c r="BP442" s="6">
        <f>Grandview_Inventory[[#This Row],[Plumbing Fixtures]]*Lookups!$B$18</f>
        <v>10052.209000000001</v>
      </c>
      <c r="BQ442" s="6">
        <f>Grandview_Inventory[[#This Row],[detatched_value]]*Lookups!$B$19</f>
        <v>5758.2746799999995</v>
      </c>
      <c r="BR442" s="6">
        <f>SUM(Grandview_Inventory[[#This Row],[Intercept]:[det_value]])*Grandview_Inventory[[#This Row],[res_pct]]</f>
        <v>250224.39516800005</v>
      </c>
      <c r="BS442" s="6">
        <f>Grandview_Inventory[[#This Row],[land_value]]</f>
        <v>48369.510983942157</v>
      </c>
      <c r="BT442" s="4">
        <f>_xlfn.IFNA(VLOOKUP(Grandview_Inventory[[#This Row],[quality]],Lookups!$A$26:$C$33,3,FALSE),1)</f>
        <v>0.98763855981004833</v>
      </c>
      <c r="BU442" s="4">
        <f>_xlfn.IFNA(VLOOKUP(Grandview_Inventory[[#This Row],[condition]],Lookups!$A$37:$C$44,3,FALSE),1)</f>
        <v>0.96469275950863709</v>
      </c>
      <c r="BV442" s="4">
        <f>IF(Grandview_Inventory[[#This Row],[bldg_style]]="",1,_xlfn.IFNA(VLOOKUP(Grandview_Inventory[[#This Row],[decade]],Lookups!$F$29:$H$43,3,FALSE),1))</f>
        <v>0.98763256963907298</v>
      </c>
      <c r="BW442" s="4">
        <f>_xlfn.IFNA(VLOOKUP(Grandview_Inventory[[#This Row],[living_area_range]],Lookups!$F$47:$H$56,3,FALSE),1)</f>
        <v>0.96120133463014379</v>
      </c>
      <c r="BX442" s="4">
        <f>AVERAGE(Grandview_Inventory[[#This Row],[qual_adj]:[size_adj]])</f>
        <v>0.97529130589697544</v>
      </c>
      <c r="BY442" s="6">
        <f>IF(Grandview_Inventory[[#This Row],[pre_res]]&lt;0,0,Grandview_Inventory[[#This Row],[pre_res]]*Grandview_Inventory[[#This Row],[overall_adj]])</f>
        <v>244041.6771306796</v>
      </c>
      <c r="BZ442" s="6">
        <f>(Grandview_Inventory[[#This Row],[sum_land]]-IF(Grandview_Inventory[[#This Row],[no_utilities]]=1,12000,0))/IF(Grandview_Inventory[[#This Row],[unbuildable]]=1,2,1)</f>
        <v>48369.510983942157</v>
      </c>
      <c r="CA44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42">
        <f>ROUND(Grandview_Inventory[[#This Row],[det_value]]*Lookups!$M$28,-2)</f>
        <v>5500</v>
      </c>
      <c r="CC442">
        <f>IF(ROUND(Grandview_Inventory[[#This Row],[adj_res]]*Lookups!$M$28,-2)&lt;Grandview_Inventory[[#This Row],[min_res]],Grandview_Inventory[[#This Row],[min_res]],ROUND(Grandview_Inventory[[#This Row],[adj_res]]*Lookups!$M$28,-2))</f>
        <v>231800</v>
      </c>
      <c r="CD442">
        <f>Grandview_Inventory[[#This Row],[final_det]]+Grandview_Inventory[[#This Row],[final_res]]</f>
        <v>237300</v>
      </c>
      <c r="CE442">
        <f>Grandview_Inventory[[#This Row],[final_land]]+Grandview_Inventory[[#This Row],[final_imp]]+Grandview_Inventory[[#This Row],[crop_value]]</f>
        <v>283300</v>
      </c>
      <c r="CG442" t="str">
        <f t="shared" si="6"/>
        <v>update valuation set market_land =46000, market_bldg=237300, market_total =283300, market_mdno =401, market_date ='9/10/2023' where link_id = (select link_id from parcel where parcel_year = '2024' and parcel_id = '23092214408');</v>
      </c>
    </row>
    <row r="443" spans="1:85" x14ac:dyDescent="0.25">
      <c r="A443">
        <v>23092214409</v>
      </c>
      <c r="B443">
        <v>0.2</v>
      </c>
      <c r="C443">
        <v>8520</v>
      </c>
      <c r="D443" t="s">
        <v>129</v>
      </c>
      <c r="E443" t="s">
        <v>53</v>
      </c>
      <c r="F443" t="s">
        <v>53</v>
      </c>
      <c r="G443">
        <v>4</v>
      </c>
      <c r="H443" t="s">
        <v>54</v>
      </c>
      <c r="I443">
        <v>206000</v>
      </c>
      <c r="J443">
        <v>39300</v>
      </c>
      <c r="K443">
        <v>0.2</v>
      </c>
      <c r="L44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43">
        <v>0</v>
      </c>
      <c r="N443">
        <v>0</v>
      </c>
      <c r="O443">
        <v>0</v>
      </c>
      <c r="P443">
        <v>13398.7528</v>
      </c>
      <c r="Q443">
        <v>63903</v>
      </c>
      <c r="R443">
        <f>(Grandview_Inventory[[#This Row],[ln_acres]]*Grandview_Inventory[[#This Row],[coeff]])+Grandview_Inventory[[#This Row],[const]]</f>
        <v>42338.539264347448</v>
      </c>
      <c r="S443" t="s">
        <v>61</v>
      </c>
      <c r="T443">
        <v>1</v>
      </c>
      <c r="U443" t="s">
        <v>65</v>
      </c>
      <c r="V443" t="s">
        <v>69</v>
      </c>
      <c r="W443">
        <v>0</v>
      </c>
      <c r="X443">
        <v>0</v>
      </c>
      <c r="Y443">
        <v>49</v>
      </c>
      <c r="Z443">
        <v>68</v>
      </c>
      <c r="AA443">
        <v>70</v>
      </c>
      <c r="AB443">
        <v>2000</v>
      </c>
      <c r="AC443">
        <v>1681</v>
      </c>
      <c r="AD443">
        <v>1681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288</v>
      </c>
      <c r="AL443">
        <v>0</v>
      </c>
      <c r="AM443">
        <v>224</v>
      </c>
      <c r="AN443">
        <v>0</v>
      </c>
      <c r="AO443">
        <v>224</v>
      </c>
      <c r="AP443">
        <v>7</v>
      </c>
      <c r="AQ443">
        <v>1</v>
      </c>
      <c r="AR443">
        <v>1</v>
      </c>
      <c r="AS443" t="s">
        <v>58</v>
      </c>
      <c r="AT443">
        <v>1</v>
      </c>
      <c r="AU443" t="s">
        <v>63</v>
      </c>
      <c r="AV443" t="s">
        <v>60</v>
      </c>
      <c r="AW443">
        <v>1</v>
      </c>
      <c r="AX443">
        <v>3</v>
      </c>
      <c r="AY443">
        <v>0</v>
      </c>
      <c r="AZ443">
        <v>0</v>
      </c>
      <c r="BA443">
        <v>100</v>
      </c>
      <c r="BB443">
        <v>100</v>
      </c>
      <c r="BC443">
        <v>100</v>
      </c>
      <c r="BD443">
        <v>100</v>
      </c>
      <c r="BE443">
        <v>1</v>
      </c>
      <c r="BF443">
        <v>15000</v>
      </c>
      <c r="BG443">
        <v>1000</v>
      </c>
      <c r="BH443" s="6">
        <f>Grandview_Inventory[[#This Row],[land_extract]]*Lookups!$B$3</f>
        <v>49167.631333630678</v>
      </c>
      <c r="BI443" s="6">
        <f>IF(Grandview_Inventory[[#This Row],[bldg_style]]="",0,Lookups!$B$2)</f>
        <v>155833.95000000001</v>
      </c>
      <c r="BJ443" s="6">
        <f>_xlfn.IFNA(VLOOKUP(Grandview_Inventory[[#This Row],[quality]],Lookups!$H$2:$J$14,3,FALSE),0)</f>
        <v>2251</v>
      </c>
      <c r="BK443" s="6">
        <f>_xlfn.IFNA(VLOOKUP(Grandview_Inventory[[#This Row],[condition]],Lookups!$H$17:$J$24,3,FALSE),0)</f>
        <v>-4503</v>
      </c>
      <c r="BL443" s="6">
        <f>Grandview_Inventory[[#This Row],[Eff_Age]]*Lookups!$B$14</f>
        <v>-11719.163399999999</v>
      </c>
      <c r="BM443" s="6">
        <f>Grandview_Inventory[[#This Row],[living_area]]*Lookups!$B$15</f>
        <v>104862.21389300001</v>
      </c>
      <c r="BN443" s="6">
        <f>Grandview_Inventory[[#This Row],[Fin BSMT]]*Lookups!$B$16</f>
        <v>0</v>
      </c>
      <c r="BO443" s="6">
        <f>(Grandview_Inventory[[#This Row],[att_gar]]+Grandview_Inventory[[#This Row],[bltin_gar]])*Lookups!$B$17</f>
        <v>0</v>
      </c>
      <c r="BP443" s="6">
        <f>Grandview_Inventory[[#This Row],[Plumbing Fixtures]]*Lookups!$B$18</f>
        <v>14073.0926</v>
      </c>
      <c r="BQ443" s="6">
        <f>Grandview_Inventory[[#This Row],[detatched_value]]*Lookups!$B$19</f>
        <v>0</v>
      </c>
      <c r="BR443" s="6">
        <f>SUM(Grandview_Inventory[[#This Row],[Intercept]:[det_value]])*Grandview_Inventory[[#This Row],[res_pct]]</f>
        <v>260798.09309300003</v>
      </c>
      <c r="BS443" s="6">
        <f>Grandview_Inventory[[#This Row],[land_value]]</f>
        <v>49167.631333630678</v>
      </c>
      <c r="BT443" s="4">
        <f>_xlfn.IFNA(VLOOKUP(Grandview_Inventory[[#This Row],[quality]],Lookups!$A$26:$C$33,3,FALSE),1)</f>
        <v>0.98763855981004833</v>
      </c>
      <c r="BU443" s="4">
        <f>_xlfn.IFNA(VLOOKUP(Grandview_Inventory[[#This Row],[condition]],Lookups!$A$37:$C$44,3,FALSE),1)</f>
        <v>0.96469275950863709</v>
      </c>
      <c r="BV443" s="4">
        <f>IF(Grandview_Inventory[[#This Row],[bldg_style]]="",1,_xlfn.IFNA(VLOOKUP(Grandview_Inventory[[#This Row],[decade]],Lookups!$F$29:$H$43,3,FALSE),1))</f>
        <v>0.99472141305414818</v>
      </c>
      <c r="BW443" s="4">
        <f>_xlfn.IFNA(VLOOKUP(Grandview_Inventory[[#This Row],[living_area_range]],Lookups!$F$47:$H$56,3,FALSE),1)</f>
        <v>0.96120133463014379</v>
      </c>
      <c r="BX443" s="4">
        <f>AVERAGE(Grandview_Inventory[[#This Row],[qual_adj]:[size_adj]])</f>
        <v>0.97706351675074443</v>
      </c>
      <c r="BY443" s="6">
        <f>IF(Grandview_Inventory[[#This Row],[pre_res]]&lt;0,0,Grandview_Inventory[[#This Row],[pre_res]]*Grandview_Inventory[[#This Row],[overall_adj]])</f>
        <v>254816.30199933465</v>
      </c>
      <c r="BZ443" s="6">
        <f>(Grandview_Inventory[[#This Row],[sum_land]]-IF(Grandview_Inventory[[#This Row],[no_utilities]]=1,12000,0))/IF(Grandview_Inventory[[#This Row],[unbuildable]]=1,2,1)</f>
        <v>49167.631333630678</v>
      </c>
      <c r="CA44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43">
        <f>ROUND(Grandview_Inventory[[#This Row],[det_value]]*Lookups!$M$28,-2)</f>
        <v>0</v>
      </c>
      <c r="CC443">
        <f>IF(ROUND(Grandview_Inventory[[#This Row],[adj_res]]*Lookups!$M$28,-2)&lt;Grandview_Inventory[[#This Row],[min_res]],Grandview_Inventory[[#This Row],[min_res]],ROUND(Grandview_Inventory[[#This Row],[adj_res]]*Lookups!$M$28,-2))</f>
        <v>242100</v>
      </c>
      <c r="CD443">
        <f>Grandview_Inventory[[#This Row],[final_det]]+Grandview_Inventory[[#This Row],[final_res]]</f>
        <v>242100</v>
      </c>
      <c r="CE443">
        <f>Grandview_Inventory[[#This Row],[final_land]]+Grandview_Inventory[[#This Row],[final_imp]]+Grandview_Inventory[[#This Row],[crop_value]]</f>
        <v>288800</v>
      </c>
      <c r="CG443" t="str">
        <f t="shared" si="6"/>
        <v>update valuation set market_land =46700, market_bldg=242100, market_total =288800, market_mdno =401, market_date ='9/10/2023' where link_id = (select link_id from parcel where parcel_year = '2024' and parcel_id = '23092214409');</v>
      </c>
    </row>
    <row r="444" spans="1:85" x14ac:dyDescent="0.25">
      <c r="A444">
        <v>23092214410</v>
      </c>
      <c r="B444">
        <v>0.2</v>
      </c>
      <c r="C444">
        <v>8520</v>
      </c>
      <c r="D444" t="s">
        <v>129</v>
      </c>
      <c r="E444" t="s">
        <v>53</v>
      </c>
      <c r="F444" t="s">
        <v>53</v>
      </c>
      <c r="G444">
        <v>4</v>
      </c>
      <c r="H444" t="s">
        <v>54</v>
      </c>
      <c r="I444">
        <v>224200</v>
      </c>
      <c r="J444">
        <v>43500</v>
      </c>
      <c r="K444">
        <v>0.2</v>
      </c>
      <c r="L44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44">
        <v>0</v>
      </c>
      <c r="N444">
        <v>0</v>
      </c>
      <c r="O444">
        <v>0</v>
      </c>
      <c r="P444">
        <v>13398.7528</v>
      </c>
      <c r="Q444">
        <v>63903</v>
      </c>
      <c r="R444">
        <f>(Grandview_Inventory[[#This Row],[ln_acres]]*Grandview_Inventory[[#This Row],[coeff]])+Grandview_Inventory[[#This Row],[const]]</f>
        <v>42338.539264347448</v>
      </c>
      <c r="S444" t="s">
        <v>61</v>
      </c>
      <c r="T444">
        <v>1</v>
      </c>
      <c r="U444" t="s">
        <v>65</v>
      </c>
      <c r="V444" t="s">
        <v>69</v>
      </c>
      <c r="W444">
        <v>0</v>
      </c>
      <c r="X444">
        <v>0</v>
      </c>
      <c r="Y444">
        <v>49</v>
      </c>
      <c r="Z444">
        <v>65</v>
      </c>
      <c r="AA444">
        <v>70</v>
      </c>
      <c r="AB444">
        <v>3000</v>
      </c>
      <c r="AC444">
        <v>2820</v>
      </c>
      <c r="AD444">
        <v>1620</v>
      </c>
      <c r="AE444">
        <v>0</v>
      </c>
      <c r="AF444">
        <v>0</v>
      </c>
      <c r="AG444">
        <v>1200</v>
      </c>
      <c r="AH444">
        <v>0</v>
      </c>
      <c r="AI444">
        <v>0</v>
      </c>
      <c r="AJ444">
        <v>420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8</v>
      </c>
      <c r="AQ444">
        <v>0</v>
      </c>
      <c r="AR444">
        <v>1</v>
      </c>
      <c r="AS444" t="s">
        <v>58</v>
      </c>
      <c r="AT444">
        <v>1</v>
      </c>
      <c r="AU444" t="s">
        <v>63</v>
      </c>
      <c r="AV444" t="s">
        <v>81</v>
      </c>
      <c r="AW444">
        <v>1</v>
      </c>
      <c r="AX444">
        <v>3</v>
      </c>
      <c r="AY444">
        <v>0</v>
      </c>
      <c r="AZ444">
        <v>0</v>
      </c>
      <c r="BA444">
        <v>100</v>
      </c>
      <c r="BB444">
        <v>100</v>
      </c>
      <c r="BC444">
        <v>100</v>
      </c>
      <c r="BD444">
        <v>100</v>
      </c>
      <c r="BE444">
        <v>1</v>
      </c>
      <c r="BF444">
        <v>15000</v>
      </c>
      <c r="BG444">
        <v>1000</v>
      </c>
      <c r="BH444" s="6">
        <f>Grandview_Inventory[[#This Row],[land_extract]]*Lookups!$B$3</f>
        <v>49167.631333630678</v>
      </c>
      <c r="BI444" s="6">
        <f>IF(Grandview_Inventory[[#This Row],[bldg_style]]="",0,Lookups!$B$2)</f>
        <v>155833.95000000001</v>
      </c>
      <c r="BJ444" s="6">
        <f>_xlfn.IFNA(VLOOKUP(Grandview_Inventory[[#This Row],[quality]],Lookups!$H$2:$J$14,3,FALSE),0)</f>
        <v>2251</v>
      </c>
      <c r="BK444" s="6">
        <f>_xlfn.IFNA(VLOOKUP(Grandview_Inventory[[#This Row],[condition]],Lookups!$H$17:$J$24,3,FALSE),0)</f>
        <v>-4503</v>
      </c>
      <c r="BL444" s="6">
        <f>Grandview_Inventory[[#This Row],[Eff_Age]]*Lookups!$B$14</f>
        <v>-11719.163399999999</v>
      </c>
      <c r="BM444" s="6">
        <f>Grandview_Inventory[[#This Row],[living_area]]*Lookups!$B$15</f>
        <v>175914.00546000001</v>
      </c>
      <c r="BN444" s="6">
        <f>Grandview_Inventory[[#This Row],[Fin BSMT]]*Lookups!$B$16</f>
        <v>-32519.088000000003</v>
      </c>
      <c r="BO444" s="6">
        <f>(Grandview_Inventory[[#This Row],[att_gar]]+Grandview_Inventory[[#This Row],[bltin_gar]])*Lookups!$B$17</f>
        <v>36758.58354</v>
      </c>
      <c r="BP444" s="6">
        <f>Grandview_Inventory[[#This Row],[Plumbing Fixtures]]*Lookups!$B$18</f>
        <v>16083.5344</v>
      </c>
      <c r="BQ444" s="6">
        <f>Grandview_Inventory[[#This Row],[detatched_value]]*Lookups!$B$19</f>
        <v>0</v>
      </c>
      <c r="BR444" s="6">
        <f>SUM(Grandview_Inventory[[#This Row],[Intercept]:[det_value]])*Grandview_Inventory[[#This Row],[res_pct]]</f>
        <v>338099.82200000004</v>
      </c>
      <c r="BS444" s="6">
        <f>Grandview_Inventory[[#This Row],[land_value]]</f>
        <v>49167.631333630678</v>
      </c>
      <c r="BT444" s="4">
        <f>_xlfn.IFNA(VLOOKUP(Grandview_Inventory[[#This Row],[quality]],Lookups!$A$26:$C$33,3,FALSE),1)</f>
        <v>0.98763855981004833</v>
      </c>
      <c r="BU444" s="4">
        <f>_xlfn.IFNA(VLOOKUP(Grandview_Inventory[[#This Row],[condition]],Lookups!$A$37:$C$44,3,FALSE),1)</f>
        <v>0.96469275950863709</v>
      </c>
      <c r="BV444" s="4">
        <f>IF(Grandview_Inventory[[#This Row],[bldg_style]]="",1,_xlfn.IFNA(VLOOKUP(Grandview_Inventory[[#This Row],[decade]],Lookups!$F$29:$H$43,3,FALSE),1))</f>
        <v>0.99472141305414818</v>
      </c>
      <c r="BW444" s="4">
        <f>_xlfn.IFNA(VLOOKUP(Grandview_Inventory[[#This Row],[living_area_range]],Lookups!$F$47:$H$56,3,FALSE),1)</f>
        <v>0.94224801443562123</v>
      </c>
      <c r="BX444" s="4">
        <f>AVERAGE(Grandview_Inventory[[#This Row],[qual_adj]:[size_adj]])</f>
        <v>0.97232518670211376</v>
      </c>
      <c r="BY444" s="6">
        <f>IF(Grandview_Inventory[[#This Row],[pre_res]]&lt;0,0,Grandview_Inventory[[#This Row],[pre_res]]*Grandview_Inventory[[#This Row],[overall_adj]])</f>
        <v>328742.97255010146</v>
      </c>
      <c r="BZ444" s="6">
        <f>(Grandview_Inventory[[#This Row],[sum_land]]-IF(Grandview_Inventory[[#This Row],[no_utilities]]=1,12000,0))/IF(Grandview_Inventory[[#This Row],[unbuildable]]=1,2,1)</f>
        <v>49167.631333630678</v>
      </c>
      <c r="CA44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44">
        <f>ROUND(Grandview_Inventory[[#This Row],[det_value]]*Lookups!$M$28,-2)</f>
        <v>0</v>
      </c>
      <c r="CC444">
        <f>IF(ROUND(Grandview_Inventory[[#This Row],[adj_res]]*Lookups!$M$28,-2)&lt;Grandview_Inventory[[#This Row],[min_res]],Grandview_Inventory[[#This Row],[min_res]],ROUND(Grandview_Inventory[[#This Row],[adj_res]]*Lookups!$M$28,-2))</f>
        <v>312300</v>
      </c>
      <c r="CD444">
        <f>Grandview_Inventory[[#This Row],[final_det]]+Grandview_Inventory[[#This Row],[final_res]]</f>
        <v>312300</v>
      </c>
      <c r="CE444">
        <f>Grandview_Inventory[[#This Row],[final_land]]+Grandview_Inventory[[#This Row],[final_imp]]+Grandview_Inventory[[#This Row],[crop_value]]</f>
        <v>359000</v>
      </c>
      <c r="CG444" t="str">
        <f t="shared" si="6"/>
        <v>update valuation set market_land =46700, market_bldg=312300, market_total =359000, market_mdno =401, market_date ='9/10/2023' where link_id = (select link_id from parcel where parcel_year = '2024' and parcel_id = '23092214410');</v>
      </c>
    </row>
    <row r="445" spans="1:85" x14ac:dyDescent="0.25">
      <c r="A445">
        <v>23092214411</v>
      </c>
      <c r="B445">
        <v>0.28000000000000003</v>
      </c>
      <c r="C445">
        <v>12089</v>
      </c>
      <c r="D445" t="s">
        <v>129</v>
      </c>
      <c r="E445" t="s">
        <v>53</v>
      </c>
      <c r="F445" t="s">
        <v>53</v>
      </c>
      <c r="G445">
        <v>4</v>
      </c>
      <c r="H445" t="s">
        <v>54</v>
      </c>
      <c r="I445">
        <v>213900</v>
      </c>
      <c r="J445">
        <v>44500</v>
      </c>
      <c r="K445">
        <v>0.28000000000000003</v>
      </c>
      <c r="L445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445">
        <v>0</v>
      </c>
      <c r="N445">
        <v>0</v>
      </c>
      <c r="O445">
        <v>0</v>
      </c>
      <c r="P445">
        <v>13398.7528</v>
      </c>
      <c r="Q445">
        <v>63903</v>
      </c>
      <c r="R445">
        <f>(Grandview_Inventory[[#This Row],[ln_acres]]*Grandview_Inventory[[#This Row],[coeff]])+Grandview_Inventory[[#This Row],[const]]</f>
        <v>46846.847586898184</v>
      </c>
      <c r="S445" t="s">
        <v>61</v>
      </c>
      <c r="T445">
        <v>1</v>
      </c>
      <c r="U445" t="s">
        <v>64</v>
      </c>
      <c r="V445" t="s">
        <v>69</v>
      </c>
      <c r="W445">
        <v>0</v>
      </c>
      <c r="X445">
        <v>0</v>
      </c>
      <c r="Y445">
        <v>49</v>
      </c>
      <c r="Z445">
        <v>68</v>
      </c>
      <c r="AA445">
        <v>70</v>
      </c>
      <c r="AB445">
        <v>3000</v>
      </c>
      <c r="AC445">
        <v>2616</v>
      </c>
      <c r="AD445">
        <v>1590</v>
      </c>
      <c r="AE445">
        <v>0</v>
      </c>
      <c r="AF445">
        <v>0</v>
      </c>
      <c r="AG445">
        <v>1026</v>
      </c>
      <c r="AH445">
        <v>266</v>
      </c>
      <c r="AI445">
        <v>0</v>
      </c>
      <c r="AJ445">
        <v>0</v>
      </c>
      <c r="AK445">
        <v>308</v>
      </c>
      <c r="AL445">
        <v>72</v>
      </c>
      <c r="AM445">
        <v>356</v>
      </c>
      <c r="AN445">
        <v>0</v>
      </c>
      <c r="AO445">
        <v>74</v>
      </c>
      <c r="AP445">
        <v>8</v>
      </c>
      <c r="AQ445">
        <v>0</v>
      </c>
      <c r="AR445">
        <v>1</v>
      </c>
      <c r="AS445" t="s">
        <v>58</v>
      </c>
      <c r="AT445">
        <v>1</v>
      </c>
      <c r="AU445" t="s">
        <v>63</v>
      </c>
      <c r="AV445" t="s">
        <v>64</v>
      </c>
      <c r="AW445">
        <v>1</v>
      </c>
      <c r="AX445">
        <v>3</v>
      </c>
      <c r="AY445">
        <v>0</v>
      </c>
      <c r="AZ445">
        <v>0</v>
      </c>
      <c r="BA445">
        <v>100</v>
      </c>
      <c r="BB445">
        <v>100</v>
      </c>
      <c r="BC445">
        <v>100</v>
      </c>
      <c r="BD445">
        <v>100</v>
      </c>
      <c r="BE445">
        <v>1</v>
      </c>
      <c r="BF445">
        <v>15000</v>
      </c>
      <c r="BG445">
        <v>1000</v>
      </c>
      <c r="BH445" s="6">
        <f>Grandview_Inventory[[#This Row],[land_extract]]*Lookups!$B$3</f>
        <v>54403.117616176372</v>
      </c>
      <c r="BI445" s="6">
        <f>IF(Grandview_Inventory[[#This Row],[bldg_style]]="",0,Lookups!$B$2)</f>
        <v>155833.95000000001</v>
      </c>
      <c r="BJ445" s="6">
        <f>_xlfn.IFNA(VLOOKUP(Grandview_Inventory[[#This Row],[quality]],Lookups!$H$2:$J$14,3,FALSE),0)</f>
        <v>20768</v>
      </c>
      <c r="BK445" s="6">
        <f>_xlfn.IFNA(VLOOKUP(Grandview_Inventory[[#This Row],[condition]],Lookups!$H$17:$J$24,3,FALSE),0)</f>
        <v>-4503</v>
      </c>
      <c r="BL445" s="6">
        <f>Grandview_Inventory[[#This Row],[Eff_Age]]*Lookups!$B$14</f>
        <v>-11719.163399999999</v>
      </c>
      <c r="BM445" s="6">
        <f>Grandview_Inventory[[#This Row],[living_area]]*Lookups!$B$15</f>
        <v>163188.31144799999</v>
      </c>
      <c r="BN445" s="6">
        <f>Grandview_Inventory[[#This Row],[Fin BSMT]]*Lookups!$B$16</f>
        <v>-27803.820240000001</v>
      </c>
      <c r="BO445" s="6">
        <f>(Grandview_Inventory[[#This Row],[att_gar]]+Grandview_Inventory[[#This Row],[bltin_gar]])*Lookups!$B$17</f>
        <v>0</v>
      </c>
      <c r="BP445" s="6">
        <f>Grandview_Inventory[[#This Row],[Plumbing Fixtures]]*Lookups!$B$18</f>
        <v>16083.5344</v>
      </c>
      <c r="BQ445" s="6">
        <f>Grandview_Inventory[[#This Row],[detatched_value]]*Lookups!$B$19</f>
        <v>0</v>
      </c>
      <c r="BR445" s="6">
        <f>SUM(Grandview_Inventory[[#This Row],[Intercept]:[det_value]])*Grandview_Inventory[[#This Row],[res_pct]]</f>
        <v>311847.81220799999</v>
      </c>
      <c r="BS445" s="6">
        <f>Grandview_Inventory[[#This Row],[land_value]]</f>
        <v>54403.117616176372</v>
      </c>
      <c r="BT445" s="4">
        <f>_xlfn.IFNA(VLOOKUP(Grandview_Inventory[[#This Row],[quality]],Lookups!$A$26:$C$33,3,FALSE),1)</f>
        <v>0.94960540378902636</v>
      </c>
      <c r="BU445" s="4">
        <f>_xlfn.IFNA(VLOOKUP(Grandview_Inventory[[#This Row],[condition]],Lookups!$A$37:$C$44,3,FALSE),1)</f>
        <v>0.96469275950863709</v>
      </c>
      <c r="BV445" s="4">
        <f>IF(Grandview_Inventory[[#This Row],[bldg_style]]="",1,_xlfn.IFNA(VLOOKUP(Grandview_Inventory[[#This Row],[decade]],Lookups!$F$29:$H$43,3,FALSE),1))</f>
        <v>0.99472141305414818</v>
      </c>
      <c r="BW445" s="4">
        <f>_xlfn.IFNA(VLOOKUP(Grandview_Inventory[[#This Row],[living_area_range]],Lookups!$F$47:$H$56,3,FALSE),1)</f>
        <v>0.94224801443562123</v>
      </c>
      <c r="BX445" s="4">
        <f>AVERAGE(Grandview_Inventory[[#This Row],[qual_adj]:[size_adj]])</f>
        <v>0.96281689769685819</v>
      </c>
      <c r="BY445" s="6">
        <f>IF(Grandview_Inventory[[#This Row],[pre_res]]&lt;0,0,Grandview_Inventory[[#This Row],[pre_res]]*Grandview_Inventory[[#This Row],[overall_adj]])</f>
        <v>300252.34310365899</v>
      </c>
      <c r="BZ445" s="6">
        <f>(Grandview_Inventory[[#This Row],[sum_land]]-IF(Grandview_Inventory[[#This Row],[no_utilities]]=1,12000,0))/IF(Grandview_Inventory[[#This Row],[unbuildable]]=1,2,1)</f>
        <v>54403.117616176372</v>
      </c>
      <c r="CA445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445">
        <f>ROUND(Grandview_Inventory[[#This Row],[det_value]]*Lookups!$M$28,-2)</f>
        <v>0</v>
      </c>
      <c r="CC445">
        <f>IF(ROUND(Grandview_Inventory[[#This Row],[adj_res]]*Lookups!$M$28,-2)&lt;Grandview_Inventory[[#This Row],[min_res]],Grandview_Inventory[[#This Row],[min_res]],ROUND(Grandview_Inventory[[#This Row],[adj_res]]*Lookups!$M$28,-2))</f>
        <v>285200</v>
      </c>
      <c r="CD445">
        <f>Grandview_Inventory[[#This Row],[final_det]]+Grandview_Inventory[[#This Row],[final_res]]</f>
        <v>285200</v>
      </c>
      <c r="CE445">
        <f>Grandview_Inventory[[#This Row],[final_land]]+Grandview_Inventory[[#This Row],[final_imp]]+Grandview_Inventory[[#This Row],[crop_value]]</f>
        <v>336900</v>
      </c>
      <c r="CG445" t="str">
        <f t="shared" si="6"/>
        <v>update valuation set market_land =51700, market_bldg=285200, market_total =336900, market_mdno =401, market_date ='9/10/2023' where link_id = (select link_id from parcel where parcel_year = '2024' and parcel_id = '23092214411');</v>
      </c>
    </row>
    <row r="446" spans="1:85" x14ac:dyDescent="0.25">
      <c r="A446">
        <v>23092214412</v>
      </c>
      <c r="B446">
        <v>0.28000000000000003</v>
      </c>
      <c r="C446">
        <v>12117</v>
      </c>
      <c r="D446" t="s">
        <v>129</v>
      </c>
      <c r="E446" t="s">
        <v>53</v>
      </c>
      <c r="F446" t="s">
        <v>53</v>
      </c>
      <c r="G446">
        <v>4</v>
      </c>
      <c r="H446" t="s">
        <v>54</v>
      </c>
      <c r="I446">
        <v>317400</v>
      </c>
      <c r="J446">
        <v>44500</v>
      </c>
      <c r="K446">
        <v>0.28000000000000003</v>
      </c>
      <c r="L446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446">
        <v>0</v>
      </c>
      <c r="N446">
        <v>0</v>
      </c>
      <c r="O446">
        <v>0</v>
      </c>
      <c r="P446">
        <v>13398.7528</v>
      </c>
      <c r="Q446">
        <v>63903</v>
      </c>
      <c r="R446">
        <f>(Grandview_Inventory[[#This Row],[ln_acres]]*Grandview_Inventory[[#This Row],[coeff]])+Grandview_Inventory[[#This Row],[const]]</f>
        <v>46846.847586898184</v>
      </c>
      <c r="S446" t="s">
        <v>61</v>
      </c>
      <c r="T446">
        <v>1</v>
      </c>
      <c r="U446" t="s">
        <v>62</v>
      </c>
      <c r="V446" t="s">
        <v>67</v>
      </c>
      <c r="W446">
        <v>0</v>
      </c>
      <c r="X446">
        <v>0</v>
      </c>
      <c r="Y446">
        <v>44</v>
      </c>
      <c r="Z446">
        <v>48</v>
      </c>
      <c r="AA446">
        <v>50</v>
      </c>
      <c r="AB446">
        <v>3000</v>
      </c>
      <c r="AC446">
        <v>2528</v>
      </c>
      <c r="AD446">
        <v>2528</v>
      </c>
      <c r="AE446">
        <v>0</v>
      </c>
      <c r="AF446">
        <v>0</v>
      </c>
      <c r="AG446">
        <v>0</v>
      </c>
      <c r="AH446">
        <v>0</v>
      </c>
      <c r="AI446">
        <v>696</v>
      </c>
      <c r="AJ446">
        <v>0</v>
      </c>
      <c r="AK446">
        <v>0</v>
      </c>
      <c r="AL446">
        <v>216</v>
      </c>
      <c r="AM446">
        <v>84</v>
      </c>
      <c r="AN446">
        <v>98</v>
      </c>
      <c r="AO446">
        <v>85</v>
      </c>
      <c r="AP446">
        <v>8</v>
      </c>
      <c r="AQ446">
        <v>0</v>
      </c>
      <c r="AR446">
        <v>1</v>
      </c>
      <c r="AS446" t="s">
        <v>58</v>
      </c>
      <c r="AT446">
        <v>1</v>
      </c>
      <c r="AU446" t="s">
        <v>63</v>
      </c>
      <c r="AV446" t="s">
        <v>60</v>
      </c>
      <c r="AW446">
        <v>1</v>
      </c>
      <c r="AX446">
        <v>4</v>
      </c>
      <c r="AY446">
        <v>0</v>
      </c>
      <c r="AZ446">
        <v>0</v>
      </c>
      <c r="BA446">
        <v>100</v>
      </c>
      <c r="BB446">
        <v>100</v>
      </c>
      <c r="BC446">
        <v>100</v>
      </c>
      <c r="BD446">
        <v>100</v>
      </c>
      <c r="BE446">
        <v>1</v>
      </c>
      <c r="BF446">
        <v>15000</v>
      </c>
      <c r="BG446">
        <v>1000</v>
      </c>
      <c r="BH446" s="6">
        <f>Grandview_Inventory[[#This Row],[land_extract]]*Lookups!$B$3</f>
        <v>54403.117616176372</v>
      </c>
      <c r="BI446" s="6">
        <f>IF(Grandview_Inventory[[#This Row],[bldg_style]]="",0,Lookups!$B$2)</f>
        <v>155833.95000000001</v>
      </c>
      <c r="BJ446" s="6">
        <f>_xlfn.IFNA(VLOOKUP(Grandview_Inventory[[#This Row],[quality]],Lookups!$H$2:$J$14,3,FALSE),0)</f>
        <v>9808</v>
      </c>
      <c r="BK446" s="6">
        <f>_xlfn.IFNA(VLOOKUP(Grandview_Inventory[[#This Row],[condition]],Lookups!$H$17:$J$24,3,FALSE),0)</f>
        <v>22342</v>
      </c>
      <c r="BL446" s="6">
        <f>Grandview_Inventory[[#This Row],[Eff_Age]]*Lookups!$B$14</f>
        <v>-10523.330399999999</v>
      </c>
      <c r="BM446" s="6">
        <f>Grandview_Inventory[[#This Row],[living_area]]*Lookups!$B$15</f>
        <v>157698.79638400002</v>
      </c>
      <c r="BN446" s="6">
        <f>Grandview_Inventory[[#This Row],[Fin BSMT]]*Lookups!$B$16</f>
        <v>0</v>
      </c>
      <c r="BO446" s="6">
        <f>(Grandview_Inventory[[#This Row],[att_gar]]+Grandview_Inventory[[#This Row],[bltin_gar]])*Lookups!$B$17</f>
        <v>60914.224152000003</v>
      </c>
      <c r="BP446" s="6">
        <f>Grandview_Inventory[[#This Row],[Plumbing Fixtures]]*Lookups!$B$18</f>
        <v>16083.5344</v>
      </c>
      <c r="BQ446" s="6">
        <f>Grandview_Inventory[[#This Row],[detatched_value]]*Lookups!$B$19</f>
        <v>0</v>
      </c>
      <c r="BR446" s="6">
        <f>SUM(Grandview_Inventory[[#This Row],[Intercept]:[det_value]])*Grandview_Inventory[[#This Row],[res_pct]]</f>
        <v>412157.17453600001</v>
      </c>
      <c r="BS446" s="6">
        <f>Grandview_Inventory[[#This Row],[land_value]]</f>
        <v>54403.117616176372</v>
      </c>
      <c r="BT446" s="4">
        <f>_xlfn.IFNA(VLOOKUP(Grandview_Inventory[[#This Row],[quality]],Lookups!$A$26:$C$33,3,FALSE),1)</f>
        <v>0.94295468617355149</v>
      </c>
      <c r="BU446" s="4">
        <f>_xlfn.IFNA(VLOOKUP(Grandview_Inventory[[#This Row],[condition]],Lookups!$A$37:$C$44,3,FALSE),1)</f>
        <v>0.97383723671140243</v>
      </c>
      <c r="BV446" s="4">
        <f>IF(Grandview_Inventory[[#This Row],[bldg_style]]="",1,_xlfn.IFNA(VLOOKUP(Grandview_Inventory[[#This Row],[decade]],Lookups!$F$29:$H$43,3,FALSE),1))</f>
        <v>0.9871940091910919</v>
      </c>
      <c r="BW446" s="4">
        <f>_xlfn.IFNA(VLOOKUP(Grandview_Inventory[[#This Row],[living_area_range]],Lookups!$F$47:$H$56,3,FALSE),1)</f>
        <v>0.94224801443562123</v>
      </c>
      <c r="BX446" s="4">
        <f>AVERAGE(Grandview_Inventory[[#This Row],[qual_adj]:[size_adj]])</f>
        <v>0.96155848662791676</v>
      </c>
      <c r="BY446" s="6">
        <f>IF(Grandview_Inventory[[#This Row],[pre_res]]&lt;0,0,Grandview_Inventory[[#This Row],[pre_res]]*Grandview_Inventory[[#This Row],[overall_adj]])</f>
        <v>396313.22899967432</v>
      </c>
      <c r="BZ446" s="6">
        <f>(Grandview_Inventory[[#This Row],[sum_land]]-IF(Grandview_Inventory[[#This Row],[no_utilities]]=1,12000,0))/IF(Grandview_Inventory[[#This Row],[unbuildable]]=1,2,1)</f>
        <v>54403.117616176372</v>
      </c>
      <c r="CA446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446">
        <f>ROUND(Grandview_Inventory[[#This Row],[det_value]]*Lookups!$M$28,-2)</f>
        <v>0</v>
      </c>
      <c r="CC446">
        <f>IF(ROUND(Grandview_Inventory[[#This Row],[adj_res]]*Lookups!$M$28,-2)&lt;Grandview_Inventory[[#This Row],[min_res]],Grandview_Inventory[[#This Row],[min_res]],ROUND(Grandview_Inventory[[#This Row],[adj_res]]*Lookups!$M$28,-2))</f>
        <v>376500</v>
      </c>
      <c r="CD446">
        <f>Grandview_Inventory[[#This Row],[final_det]]+Grandview_Inventory[[#This Row],[final_res]]</f>
        <v>376500</v>
      </c>
      <c r="CE446">
        <f>Grandview_Inventory[[#This Row],[final_land]]+Grandview_Inventory[[#This Row],[final_imp]]+Grandview_Inventory[[#This Row],[crop_value]]</f>
        <v>428200</v>
      </c>
      <c r="CG446" t="str">
        <f t="shared" si="6"/>
        <v>update valuation set market_land =51700, market_bldg=376500, market_total =428200, market_mdno =401, market_date ='9/10/2023' where link_id = (select link_id from parcel where parcel_year = '2024' and parcel_id = '23092214412');</v>
      </c>
    </row>
    <row r="447" spans="1:85" x14ac:dyDescent="0.25">
      <c r="A447">
        <v>23092214413</v>
      </c>
      <c r="B447">
        <v>0.19</v>
      </c>
      <c r="C447" t="s">
        <v>129</v>
      </c>
      <c r="D447" t="s">
        <v>129</v>
      </c>
      <c r="E447" t="s">
        <v>53</v>
      </c>
      <c r="F447" t="s">
        <v>53</v>
      </c>
      <c r="G447">
        <v>4</v>
      </c>
      <c r="H447" t="s">
        <v>54</v>
      </c>
      <c r="I447">
        <v>247400</v>
      </c>
      <c r="J447">
        <v>43500</v>
      </c>
      <c r="K447">
        <v>0.19</v>
      </c>
      <c r="L44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47">
        <v>0</v>
      </c>
      <c r="N447">
        <v>0</v>
      </c>
      <c r="O447">
        <v>0</v>
      </c>
      <c r="P447">
        <v>13398.7528</v>
      </c>
      <c r="Q447">
        <v>63903</v>
      </c>
      <c r="R447">
        <f>(Grandview_Inventory[[#This Row],[ln_acres]]*Grandview_Inventory[[#This Row],[coeff]])+Grandview_Inventory[[#This Row],[const]]</f>
        <v>41651.273092551026</v>
      </c>
      <c r="S447" t="s">
        <v>61</v>
      </c>
      <c r="T447">
        <v>1</v>
      </c>
      <c r="U447" t="s">
        <v>62</v>
      </c>
      <c r="V447" t="s">
        <v>67</v>
      </c>
      <c r="W447">
        <v>0</v>
      </c>
      <c r="X447">
        <v>0</v>
      </c>
      <c r="Y447">
        <v>49</v>
      </c>
      <c r="Z447">
        <v>68</v>
      </c>
      <c r="AA447">
        <v>70</v>
      </c>
      <c r="AB447">
        <v>2500</v>
      </c>
      <c r="AC447">
        <v>2262</v>
      </c>
      <c r="AD447">
        <v>1131</v>
      </c>
      <c r="AE447">
        <v>0</v>
      </c>
      <c r="AF447">
        <v>0</v>
      </c>
      <c r="AG447">
        <v>1131</v>
      </c>
      <c r="AH447">
        <v>0</v>
      </c>
      <c r="AI447">
        <v>322</v>
      </c>
      <c r="AJ447">
        <v>0</v>
      </c>
      <c r="AK447">
        <v>0</v>
      </c>
      <c r="AL447">
        <v>0</v>
      </c>
      <c r="AM447">
        <v>249</v>
      </c>
      <c r="AN447">
        <v>21</v>
      </c>
      <c r="AO447">
        <v>0</v>
      </c>
      <c r="AP447">
        <v>9</v>
      </c>
      <c r="AQ447">
        <v>0</v>
      </c>
      <c r="AR447">
        <v>1</v>
      </c>
      <c r="AS447" t="s">
        <v>71</v>
      </c>
      <c r="AT447">
        <v>1</v>
      </c>
      <c r="AU447" t="s">
        <v>59</v>
      </c>
      <c r="AV447" t="s">
        <v>60</v>
      </c>
      <c r="AW447">
        <v>1</v>
      </c>
      <c r="AX447">
        <v>5</v>
      </c>
      <c r="AY447">
        <v>0</v>
      </c>
      <c r="AZ447">
        <v>0</v>
      </c>
      <c r="BA447">
        <v>100</v>
      </c>
      <c r="BB447">
        <v>100</v>
      </c>
      <c r="BC447">
        <v>100</v>
      </c>
      <c r="BD447">
        <v>100</v>
      </c>
      <c r="BE447">
        <v>1</v>
      </c>
      <c r="BF447">
        <v>15000</v>
      </c>
      <c r="BG447">
        <v>1000</v>
      </c>
      <c r="BH447" s="6">
        <f>Grandview_Inventory[[#This Row],[land_extract]]*Lookups!$B$3</f>
        <v>48369.510983942157</v>
      </c>
      <c r="BI447" s="6">
        <f>IF(Grandview_Inventory[[#This Row],[bldg_style]]="",0,Lookups!$B$2)</f>
        <v>155833.95000000001</v>
      </c>
      <c r="BJ447" s="6">
        <f>_xlfn.IFNA(VLOOKUP(Grandview_Inventory[[#This Row],[quality]],Lookups!$H$2:$J$14,3,FALSE),0)</f>
        <v>9808</v>
      </c>
      <c r="BK447" s="6">
        <f>_xlfn.IFNA(VLOOKUP(Grandview_Inventory[[#This Row],[condition]],Lookups!$H$17:$J$24,3,FALSE),0)</f>
        <v>22342</v>
      </c>
      <c r="BL447" s="6">
        <f>Grandview_Inventory[[#This Row],[Eff_Age]]*Lookups!$B$14</f>
        <v>-11719.163399999999</v>
      </c>
      <c r="BM447" s="6">
        <f>Grandview_Inventory[[#This Row],[living_area]]*Lookups!$B$15</f>
        <v>141105.48948600001</v>
      </c>
      <c r="BN447" s="6">
        <f>Grandview_Inventory[[#This Row],[Fin BSMT]]*Lookups!$B$16</f>
        <v>-30649.240440000001</v>
      </c>
      <c r="BO447" s="6">
        <f>(Grandview_Inventory[[#This Row],[att_gar]]+Grandview_Inventory[[#This Row],[bltin_gar]])*Lookups!$B$17</f>
        <v>28181.580714</v>
      </c>
      <c r="BP447" s="6">
        <f>Grandview_Inventory[[#This Row],[Plumbing Fixtures]]*Lookups!$B$18</f>
        <v>18093.976200000001</v>
      </c>
      <c r="BQ447" s="6">
        <f>Grandview_Inventory[[#This Row],[detatched_value]]*Lookups!$B$19</f>
        <v>0</v>
      </c>
      <c r="BR447" s="6">
        <f>SUM(Grandview_Inventory[[#This Row],[Intercept]:[det_value]])*Grandview_Inventory[[#This Row],[res_pct]]</f>
        <v>332996.59255999996</v>
      </c>
      <c r="BS447" s="6">
        <f>Grandview_Inventory[[#This Row],[land_value]]</f>
        <v>48369.510983942157</v>
      </c>
      <c r="BT447" s="4">
        <f>_xlfn.IFNA(VLOOKUP(Grandview_Inventory[[#This Row],[quality]],Lookups!$A$26:$C$33,3,FALSE),1)</f>
        <v>0.94295468617355149</v>
      </c>
      <c r="BU447" s="4">
        <f>_xlfn.IFNA(VLOOKUP(Grandview_Inventory[[#This Row],[condition]],Lookups!$A$37:$C$44,3,FALSE),1)</f>
        <v>0.97383723671140243</v>
      </c>
      <c r="BV447" s="4">
        <f>IF(Grandview_Inventory[[#This Row],[bldg_style]]="",1,_xlfn.IFNA(VLOOKUP(Grandview_Inventory[[#This Row],[decade]],Lookups!$F$29:$H$43,3,FALSE),1))</f>
        <v>0.99472141305414818</v>
      </c>
      <c r="BW447" s="4">
        <f>_xlfn.IFNA(VLOOKUP(Grandview_Inventory[[#This Row],[living_area_range]],Lookups!$F$47:$H$56,3,FALSE),1)</f>
        <v>0.95799442568048754</v>
      </c>
      <c r="BX447" s="4">
        <f>AVERAGE(Grandview_Inventory[[#This Row],[qual_adj]:[size_adj]])</f>
        <v>0.96737694040489741</v>
      </c>
      <c r="BY447" s="6">
        <f>IF(Grandview_Inventory[[#This Row],[pre_res]]&lt;0,0,Grandview_Inventory[[#This Row],[pre_res]]*Grandview_Inventory[[#This Row],[overall_adj]])</f>
        <v>322133.22487594897</v>
      </c>
      <c r="BZ447" s="6">
        <f>(Grandview_Inventory[[#This Row],[sum_land]]-IF(Grandview_Inventory[[#This Row],[no_utilities]]=1,12000,0))/IF(Grandview_Inventory[[#This Row],[unbuildable]]=1,2,1)</f>
        <v>48369.510983942157</v>
      </c>
      <c r="CA44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47">
        <f>ROUND(Grandview_Inventory[[#This Row],[det_value]]*Lookups!$M$28,-2)</f>
        <v>0</v>
      </c>
      <c r="CC447">
        <f>IF(ROUND(Grandview_Inventory[[#This Row],[adj_res]]*Lookups!$M$28,-2)&lt;Grandview_Inventory[[#This Row],[min_res]],Grandview_Inventory[[#This Row],[min_res]],ROUND(Grandview_Inventory[[#This Row],[adj_res]]*Lookups!$M$28,-2))</f>
        <v>306000</v>
      </c>
      <c r="CD447">
        <f>Grandview_Inventory[[#This Row],[final_det]]+Grandview_Inventory[[#This Row],[final_res]]</f>
        <v>306000</v>
      </c>
      <c r="CE447">
        <f>Grandview_Inventory[[#This Row],[final_land]]+Grandview_Inventory[[#This Row],[final_imp]]+Grandview_Inventory[[#This Row],[crop_value]]</f>
        <v>352000</v>
      </c>
      <c r="CG447" t="str">
        <f t="shared" si="6"/>
        <v>update valuation set market_land =46000, market_bldg=306000, market_total =352000, market_mdno =401, market_date ='9/10/2023' where link_id = (select link_id from parcel where parcel_year = '2024' and parcel_id = '23092214413');</v>
      </c>
    </row>
    <row r="448" spans="1:85" x14ac:dyDescent="0.25">
      <c r="A448">
        <v>23092214414</v>
      </c>
      <c r="B448">
        <v>0.18</v>
      </c>
      <c r="C448" t="s">
        <v>129</v>
      </c>
      <c r="D448" t="s">
        <v>129</v>
      </c>
      <c r="E448" t="s">
        <v>53</v>
      </c>
      <c r="F448" t="s">
        <v>53</v>
      </c>
      <c r="G448">
        <v>4</v>
      </c>
      <c r="H448" t="s">
        <v>54</v>
      </c>
      <c r="I448">
        <v>139900</v>
      </c>
      <c r="J448">
        <v>39000</v>
      </c>
      <c r="K448">
        <v>0.18</v>
      </c>
      <c r="L44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48">
        <v>0</v>
      </c>
      <c r="N448">
        <v>0</v>
      </c>
      <c r="O448">
        <v>0</v>
      </c>
      <c r="P448">
        <v>13398.7528</v>
      </c>
      <c r="Q448">
        <v>63903</v>
      </c>
      <c r="R448">
        <f>(Grandview_Inventory[[#This Row],[ln_acres]]*Grandview_Inventory[[#This Row],[coeff]])+Grandview_Inventory[[#This Row],[const]]</f>
        <v>40926.839760167699</v>
      </c>
      <c r="S448" t="s">
        <v>61</v>
      </c>
      <c r="T448">
        <v>1</v>
      </c>
      <c r="U448" t="s">
        <v>65</v>
      </c>
      <c r="V448" t="s">
        <v>69</v>
      </c>
      <c r="W448">
        <v>0</v>
      </c>
      <c r="X448">
        <v>0</v>
      </c>
      <c r="Y448">
        <v>49</v>
      </c>
      <c r="Z448">
        <v>65</v>
      </c>
      <c r="AA448">
        <v>70</v>
      </c>
      <c r="AB448">
        <v>1500</v>
      </c>
      <c r="AC448">
        <v>1055</v>
      </c>
      <c r="AD448">
        <v>1055</v>
      </c>
      <c r="AE448">
        <v>0</v>
      </c>
      <c r="AF448">
        <v>0</v>
      </c>
      <c r="AG448">
        <v>0</v>
      </c>
      <c r="AH448">
        <v>0</v>
      </c>
      <c r="AI448">
        <v>252</v>
      </c>
      <c r="AJ448">
        <v>0</v>
      </c>
      <c r="AK448">
        <v>755</v>
      </c>
      <c r="AL448">
        <v>0</v>
      </c>
      <c r="AM448">
        <v>264</v>
      </c>
      <c r="AN448">
        <v>0</v>
      </c>
      <c r="AO448">
        <v>264</v>
      </c>
      <c r="AP448">
        <v>5</v>
      </c>
      <c r="AQ448">
        <v>0</v>
      </c>
      <c r="AR448">
        <v>0</v>
      </c>
      <c r="AS448" t="s">
        <v>58</v>
      </c>
      <c r="AT448">
        <v>1</v>
      </c>
      <c r="AU448" t="s">
        <v>132</v>
      </c>
      <c r="AV448" t="s">
        <v>60</v>
      </c>
      <c r="AW448">
        <v>1</v>
      </c>
      <c r="AX448">
        <v>2</v>
      </c>
      <c r="AY448">
        <v>0</v>
      </c>
      <c r="AZ448">
        <v>0</v>
      </c>
      <c r="BA448">
        <v>100</v>
      </c>
      <c r="BB448">
        <v>100</v>
      </c>
      <c r="BC448">
        <v>100</v>
      </c>
      <c r="BD448">
        <v>100</v>
      </c>
      <c r="BE448">
        <v>1</v>
      </c>
      <c r="BF448">
        <v>15000</v>
      </c>
      <c r="BG448">
        <v>1000</v>
      </c>
      <c r="BH448" s="6">
        <f>Grandview_Inventory[[#This Row],[land_extract]]*Lookups!$B$3</f>
        <v>47528.228511015397</v>
      </c>
      <c r="BI448" s="6">
        <f>IF(Grandview_Inventory[[#This Row],[bldg_style]]="",0,Lookups!$B$2)</f>
        <v>155833.95000000001</v>
      </c>
      <c r="BJ448" s="6">
        <f>_xlfn.IFNA(VLOOKUP(Grandview_Inventory[[#This Row],[quality]],Lookups!$H$2:$J$14,3,FALSE),0)</f>
        <v>2251</v>
      </c>
      <c r="BK448" s="6">
        <f>_xlfn.IFNA(VLOOKUP(Grandview_Inventory[[#This Row],[condition]],Lookups!$H$17:$J$24,3,FALSE),0)</f>
        <v>-4503</v>
      </c>
      <c r="BL448" s="6">
        <f>Grandview_Inventory[[#This Row],[Eff_Age]]*Lookups!$B$14</f>
        <v>-11719.163399999999</v>
      </c>
      <c r="BM448" s="6">
        <f>Grandview_Inventory[[#This Row],[living_area]]*Lookups!$B$15</f>
        <v>65811.799914999996</v>
      </c>
      <c r="BN448" s="6">
        <f>Grandview_Inventory[[#This Row],[Fin BSMT]]*Lookups!$B$16</f>
        <v>0</v>
      </c>
      <c r="BO448" s="6">
        <f>(Grandview_Inventory[[#This Row],[att_gar]]+Grandview_Inventory[[#This Row],[bltin_gar]])*Lookups!$B$17</f>
        <v>22055.150124</v>
      </c>
      <c r="BP448" s="6">
        <f>Grandview_Inventory[[#This Row],[Plumbing Fixtures]]*Lookups!$B$18</f>
        <v>10052.209000000001</v>
      </c>
      <c r="BQ448" s="6">
        <f>Grandview_Inventory[[#This Row],[detatched_value]]*Lookups!$B$19</f>
        <v>0</v>
      </c>
      <c r="BR448" s="6">
        <f>SUM(Grandview_Inventory[[#This Row],[Intercept]:[det_value]])*Grandview_Inventory[[#This Row],[res_pct]]</f>
        <v>239781.94563900004</v>
      </c>
      <c r="BS448" s="6">
        <f>Grandview_Inventory[[#This Row],[land_value]]</f>
        <v>47528.228511015397</v>
      </c>
      <c r="BT448" s="4">
        <f>_xlfn.IFNA(VLOOKUP(Grandview_Inventory[[#This Row],[quality]],Lookups!$A$26:$C$33,3,FALSE),1)</f>
        <v>0.98763855981004833</v>
      </c>
      <c r="BU448" s="4">
        <f>_xlfn.IFNA(VLOOKUP(Grandview_Inventory[[#This Row],[condition]],Lookups!$A$37:$C$44,3,FALSE),1)</f>
        <v>0.96469275950863709</v>
      </c>
      <c r="BV448" s="4">
        <f>IF(Grandview_Inventory[[#This Row],[bldg_style]]="",1,_xlfn.IFNA(VLOOKUP(Grandview_Inventory[[#This Row],[decade]],Lookups!$F$29:$H$43,3,FALSE),1))</f>
        <v>0.99472141305414818</v>
      </c>
      <c r="BW448" s="4">
        <f>_xlfn.IFNA(VLOOKUP(Grandview_Inventory[[#This Row],[living_area_range]],Lookups!$F$47:$H$56,3,FALSE),1)</f>
        <v>0.96135087979789358</v>
      </c>
      <c r="BX448" s="4">
        <f>AVERAGE(Grandview_Inventory[[#This Row],[qual_adj]:[size_adj]])</f>
        <v>0.97710090304268182</v>
      </c>
      <c r="BY448" s="6">
        <f>IF(Grandview_Inventory[[#This Row],[pre_res]]&lt;0,0,Grandview_Inventory[[#This Row],[pre_res]]*Grandview_Inventory[[#This Row],[overall_adj]])</f>
        <v>234291.15561719818</v>
      </c>
      <c r="BZ448" s="6">
        <f>(Grandview_Inventory[[#This Row],[sum_land]]-IF(Grandview_Inventory[[#This Row],[no_utilities]]=1,12000,0))/IF(Grandview_Inventory[[#This Row],[unbuildable]]=1,2,1)</f>
        <v>47528.228511015397</v>
      </c>
      <c r="CA44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48">
        <f>ROUND(Grandview_Inventory[[#This Row],[det_value]]*Lookups!$M$28,-2)</f>
        <v>0</v>
      </c>
      <c r="CC448">
        <f>IF(ROUND(Grandview_Inventory[[#This Row],[adj_res]]*Lookups!$M$28,-2)&lt;Grandview_Inventory[[#This Row],[min_res]],Grandview_Inventory[[#This Row],[min_res]],ROUND(Grandview_Inventory[[#This Row],[adj_res]]*Lookups!$M$28,-2))</f>
        <v>222600</v>
      </c>
      <c r="CD448">
        <f>Grandview_Inventory[[#This Row],[final_det]]+Grandview_Inventory[[#This Row],[final_res]]</f>
        <v>222600</v>
      </c>
      <c r="CE448">
        <f>Grandview_Inventory[[#This Row],[final_land]]+Grandview_Inventory[[#This Row],[final_imp]]+Grandview_Inventory[[#This Row],[crop_value]]</f>
        <v>267800</v>
      </c>
      <c r="CG448" t="str">
        <f t="shared" si="6"/>
        <v>update valuation set market_land =45200, market_bldg=222600, market_total =267800, market_mdno =401, market_date ='9/10/2023' where link_id = (select link_id from parcel where parcel_year = '2024' and parcel_id = '23092214414');</v>
      </c>
    </row>
    <row r="449" spans="1:85" x14ac:dyDescent="0.25">
      <c r="A449">
        <v>23092214415</v>
      </c>
      <c r="B449">
        <v>0.18</v>
      </c>
      <c r="C449" t="s">
        <v>129</v>
      </c>
      <c r="D449" t="s">
        <v>129</v>
      </c>
      <c r="E449" t="s">
        <v>53</v>
      </c>
      <c r="F449" t="s">
        <v>53</v>
      </c>
      <c r="G449">
        <v>4</v>
      </c>
      <c r="H449" t="s">
        <v>54</v>
      </c>
      <c r="I449">
        <v>140900</v>
      </c>
      <c r="J449">
        <v>43100</v>
      </c>
      <c r="K449">
        <v>0.18</v>
      </c>
      <c r="L44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49">
        <v>0</v>
      </c>
      <c r="N449">
        <v>0</v>
      </c>
      <c r="O449">
        <v>0</v>
      </c>
      <c r="P449">
        <v>13398.7528</v>
      </c>
      <c r="Q449">
        <v>63903</v>
      </c>
      <c r="R449">
        <f>(Grandview_Inventory[[#This Row],[ln_acres]]*Grandview_Inventory[[#This Row],[coeff]])+Grandview_Inventory[[#This Row],[const]]</f>
        <v>40926.839760167699</v>
      </c>
      <c r="S449" t="s">
        <v>61</v>
      </c>
      <c r="T449">
        <v>1</v>
      </c>
      <c r="U449" t="s">
        <v>65</v>
      </c>
      <c r="V449" t="s">
        <v>69</v>
      </c>
      <c r="W449">
        <v>0</v>
      </c>
      <c r="X449">
        <v>0</v>
      </c>
      <c r="Y449">
        <v>51</v>
      </c>
      <c r="Z449">
        <v>83</v>
      </c>
      <c r="AA449">
        <v>90</v>
      </c>
      <c r="AB449">
        <v>1500</v>
      </c>
      <c r="AC449">
        <v>1080</v>
      </c>
      <c r="AD449">
        <v>1080</v>
      </c>
      <c r="AE449">
        <v>0</v>
      </c>
      <c r="AF449">
        <v>0</v>
      </c>
      <c r="AG449">
        <v>0</v>
      </c>
      <c r="AH449">
        <v>0</v>
      </c>
      <c r="AI449">
        <v>312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5</v>
      </c>
      <c r="AQ449">
        <v>0</v>
      </c>
      <c r="AR449">
        <v>0</v>
      </c>
      <c r="AS449" t="s">
        <v>58</v>
      </c>
      <c r="AT449">
        <v>1</v>
      </c>
      <c r="AU449" t="s">
        <v>63</v>
      </c>
      <c r="AV449" t="s">
        <v>60</v>
      </c>
      <c r="AW449">
        <v>0</v>
      </c>
      <c r="AX449">
        <v>3</v>
      </c>
      <c r="AY449">
        <v>0</v>
      </c>
      <c r="AZ449">
        <v>0</v>
      </c>
      <c r="BA449">
        <v>100</v>
      </c>
      <c r="BB449">
        <v>100</v>
      </c>
      <c r="BC449">
        <v>100</v>
      </c>
      <c r="BD449">
        <v>100</v>
      </c>
      <c r="BE449">
        <v>1</v>
      </c>
      <c r="BF449">
        <v>15000</v>
      </c>
      <c r="BG449">
        <v>1000</v>
      </c>
      <c r="BH449" s="6">
        <f>Grandview_Inventory[[#This Row],[land_extract]]*Lookups!$B$3</f>
        <v>47528.228511015397</v>
      </c>
      <c r="BI449" s="6">
        <f>IF(Grandview_Inventory[[#This Row],[bldg_style]]="",0,Lookups!$B$2)</f>
        <v>155833.95000000001</v>
      </c>
      <c r="BJ449" s="6">
        <f>_xlfn.IFNA(VLOOKUP(Grandview_Inventory[[#This Row],[quality]],Lookups!$H$2:$J$14,3,FALSE),0)</f>
        <v>2251</v>
      </c>
      <c r="BK449" s="6">
        <f>_xlfn.IFNA(VLOOKUP(Grandview_Inventory[[#This Row],[condition]],Lookups!$H$17:$J$24,3,FALSE),0)</f>
        <v>-4503</v>
      </c>
      <c r="BL449" s="6">
        <f>Grandview_Inventory[[#This Row],[Eff_Age]]*Lookups!$B$14</f>
        <v>-12197.496599999999</v>
      </c>
      <c r="BM449" s="6">
        <f>Grandview_Inventory[[#This Row],[living_area]]*Lookups!$B$15</f>
        <v>67371.321240000005</v>
      </c>
      <c r="BN449" s="6">
        <f>Grandview_Inventory[[#This Row],[Fin BSMT]]*Lookups!$B$16</f>
        <v>0</v>
      </c>
      <c r="BO449" s="6">
        <f>(Grandview_Inventory[[#This Row],[att_gar]]+Grandview_Inventory[[#This Row],[bltin_gar]])*Lookups!$B$17</f>
        <v>27306.376344</v>
      </c>
      <c r="BP449" s="6">
        <f>Grandview_Inventory[[#This Row],[Plumbing Fixtures]]*Lookups!$B$18</f>
        <v>10052.209000000001</v>
      </c>
      <c r="BQ449" s="6">
        <f>Grandview_Inventory[[#This Row],[detatched_value]]*Lookups!$B$19</f>
        <v>0</v>
      </c>
      <c r="BR449" s="6">
        <f>SUM(Grandview_Inventory[[#This Row],[Intercept]:[det_value]])*Grandview_Inventory[[#This Row],[res_pct]]</f>
        <v>246114.35998400001</v>
      </c>
      <c r="BS449" s="6">
        <f>Grandview_Inventory[[#This Row],[land_value]]</f>
        <v>47528.228511015397</v>
      </c>
      <c r="BT449" s="4">
        <f>_xlfn.IFNA(VLOOKUP(Grandview_Inventory[[#This Row],[quality]],Lookups!$A$26:$C$33,3,FALSE),1)</f>
        <v>0.98763855981004833</v>
      </c>
      <c r="BU449" s="4">
        <f>_xlfn.IFNA(VLOOKUP(Grandview_Inventory[[#This Row],[condition]],Lookups!$A$37:$C$44,3,FALSE),1)</f>
        <v>0.96469275950863709</v>
      </c>
      <c r="BV449" s="4">
        <f>IF(Grandview_Inventory[[#This Row],[bldg_style]]="",1,_xlfn.IFNA(VLOOKUP(Grandview_Inventory[[#This Row],[decade]],Lookups!$F$29:$H$43,3,FALSE),1))</f>
        <v>0.94161750052457416</v>
      </c>
      <c r="BW449" s="4">
        <f>_xlfn.IFNA(VLOOKUP(Grandview_Inventory[[#This Row],[living_area_range]],Lookups!$F$47:$H$56,3,FALSE),1)</f>
        <v>0.96135087979789358</v>
      </c>
      <c r="BX449" s="4">
        <f>AVERAGE(Grandview_Inventory[[#This Row],[qual_adj]:[size_adj]])</f>
        <v>0.96382492491028826</v>
      </c>
      <c r="BY449" s="6">
        <f>IF(Grandview_Inventory[[#This Row],[pre_res]]&lt;0,0,Grandview_Inventory[[#This Row],[pre_res]]*Grandview_Inventory[[#This Row],[overall_adj]])</f>
        <v>237211.15453092247</v>
      </c>
      <c r="BZ449" s="6">
        <f>(Grandview_Inventory[[#This Row],[sum_land]]-IF(Grandview_Inventory[[#This Row],[no_utilities]]=1,12000,0))/IF(Grandview_Inventory[[#This Row],[unbuildable]]=1,2,1)</f>
        <v>47528.228511015397</v>
      </c>
      <c r="CA44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49">
        <f>ROUND(Grandview_Inventory[[#This Row],[det_value]]*Lookups!$M$28,-2)</f>
        <v>0</v>
      </c>
      <c r="CC449">
        <f>IF(ROUND(Grandview_Inventory[[#This Row],[adj_res]]*Lookups!$M$28,-2)&lt;Grandview_Inventory[[#This Row],[min_res]],Grandview_Inventory[[#This Row],[min_res]],ROUND(Grandview_Inventory[[#This Row],[adj_res]]*Lookups!$M$28,-2))</f>
        <v>225400</v>
      </c>
      <c r="CD449">
        <f>Grandview_Inventory[[#This Row],[final_det]]+Grandview_Inventory[[#This Row],[final_res]]</f>
        <v>225400</v>
      </c>
      <c r="CE449">
        <f>Grandview_Inventory[[#This Row],[final_land]]+Grandview_Inventory[[#This Row],[final_imp]]+Grandview_Inventory[[#This Row],[crop_value]]</f>
        <v>270600</v>
      </c>
      <c r="CG449" t="str">
        <f t="shared" si="6"/>
        <v>update valuation set market_land =45200, market_bldg=225400, market_total =270600, market_mdno =401, market_date ='9/10/2023' where link_id = (select link_id from parcel where parcel_year = '2024' and parcel_id = '23092214415');</v>
      </c>
    </row>
    <row r="450" spans="1:85" x14ac:dyDescent="0.25">
      <c r="A450">
        <v>23092214416</v>
      </c>
      <c r="B450">
        <v>0.19</v>
      </c>
      <c r="C450">
        <v>8149</v>
      </c>
      <c r="D450" t="s">
        <v>129</v>
      </c>
      <c r="E450" t="s">
        <v>53</v>
      </c>
      <c r="F450" t="s">
        <v>53</v>
      </c>
      <c r="G450">
        <v>4</v>
      </c>
      <c r="H450" t="s">
        <v>54</v>
      </c>
      <c r="I450">
        <v>144500</v>
      </c>
      <c r="J450">
        <v>43300</v>
      </c>
      <c r="K450">
        <v>0.19</v>
      </c>
      <c r="L45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50">
        <v>0</v>
      </c>
      <c r="N450">
        <v>0</v>
      </c>
      <c r="O450">
        <v>0</v>
      </c>
      <c r="P450">
        <v>13398.7528</v>
      </c>
      <c r="Q450">
        <v>63903</v>
      </c>
      <c r="R450">
        <f>(Grandview_Inventory[[#This Row],[ln_acres]]*Grandview_Inventory[[#This Row],[coeff]])+Grandview_Inventory[[#This Row],[const]]</f>
        <v>41651.273092551026</v>
      </c>
      <c r="S450" t="s">
        <v>61</v>
      </c>
      <c r="T450">
        <v>1</v>
      </c>
      <c r="U450" t="s">
        <v>65</v>
      </c>
      <c r="V450" t="s">
        <v>69</v>
      </c>
      <c r="W450">
        <v>0</v>
      </c>
      <c r="X450">
        <v>0</v>
      </c>
      <c r="Y450">
        <v>49</v>
      </c>
      <c r="Z450">
        <v>69</v>
      </c>
      <c r="AA450">
        <v>70</v>
      </c>
      <c r="AB450">
        <v>1500</v>
      </c>
      <c r="AC450">
        <v>1500</v>
      </c>
      <c r="AD450">
        <v>1500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168</v>
      </c>
      <c r="AN450">
        <v>0</v>
      </c>
      <c r="AO450">
        <v>168</v>
      </c>
      <c r="AP450">
        <v>5</v>
      </c>
      <c r="AQ450">
        <v>0</v>
      </c>
      <c r="AR450">
        <v>0</v>
      </c>
      <c r="AS450" t="s">
        <v>58</v>
      </c>
      <c r="AT450">
        <v>1</v>
      </c>
      <c r="AU450" t="s">
        <v>63</v>
      </c>
      <c r="AV450" t="s">
        <v>64</v>
      </c>
      <c r="AW450">
        <v>0</v>
      </c>
      <c r="AX450">
        <v>3</v>
      </c>
      <c r="AY450">
        <v>0</v>
      </c>
      <c r="AZ450">
        <v>8700</v>
      </c>
      <c r="BA450">
        <v>100</v>
      </c>
      <c r="BB450">
        <v>100</v>
      </c>
      <c r="BC450">
        <v>100</v>
      </c>
      <c r="BD450">
        <v>100</v>
      </c>
      <c r="BE450">
        <v>1</v>
      </c>
      <c r="BF450">
        <v>15000</v>
      </c>
      <c r="BG450">
        <v>1000</v>
      </c>
      <c r="BH450" s="6">
        <f>Grandview_Inventory[[#This Row],[land_extract]]*Lookups!$B$3</f>
        <v>48369.510983942157</v>
      </c>
      <c r="BI450" s="6">
        <f>IF(Grandview_Inventory[[#This Row],[bldg_style]]="",0,Lookups!$B$2)</f>
        <v>155833.95000000001</v>
      </c>
      <c r="BJ450" s="6">
        <f>_xlfn.IFNA(VLOOKUP(Grandview_Inventory[[#This Row],[quality]],Lookups!$H$2:$J$14,3,FALSE),0)</f>
        <v>2251</v>
      </c>
      <c r="BK450" s="6">
        <f>_xlfn.IFNA(VLOOKUP(Grandview_Inventory[[#This Row],[condition]],Lookups!$H$17:$J$24,3,FALSE),0)</f>
        <v>-4503</v>
      </c>
      <c r="BL450" s="6">
        <f>Grandview_Inventory[[#This Row],[Eff_Age]]*Lookups!$B$14</f>
        <v>-11719.163399999999</v>
      </c>
      <c r="BM450" s="6">
        <f>Grandview_Inventory[[#This Row],[living_area]]*Lookups!$B$15</f>
        <v>93571.279500000004</v>
      </c>
      <c r="BN450" s="6">
        <f>Grandview_Inventory[[#This Row],[Fin BSMT]]*Lookups!$B$16</f>
        <v>0</v>
      </c>
      <c r="BO450" s="6">
        <f>(Grandview_Inventory[[#This Row],[att_gar]]+Grandview_Inventory[[#This Row],[bltin_gar]])*Lookups!$B$17</f>
        <v>0</v>
      </c>
      <c r="BP450" s="6">
        <f>Grandview_Inventory[[#This Row],[Plumbing Fixtures]]*Lookups!$B$18</f>
        <v>10052.209000000001</v>
      </c>
      <c r="BQ450" s="6">
        <f>Grandview_Inventory[[#This Row],[detatched_value]]*Lookups!$B$19</f>
        <v>7367.2043699999995</v>
      </c>
      <c r="BR450" s="6">
        <f>SUM(Grandview_Inventory[[#This Row],[Intercept]:[det_value]])*Grandview_Inventory[[#This Row],[res_pct]]</f>
        <v>252853.47947000002</v>
      </c>
      <c r="BS450" s="6">
        <f>Grandview_Inventory[[#This Row],[land_value]]</f>
        <v>48369.510983942157</v>
      </c>
      <c r="BT450" s="4">
        <f>_xlfn.IFNA(VLOOKUP(Grandview_Inventory[[#This Row],[quality]],Lookups!$A$26:$C$33,3,FALSE),1)</f>
        <v>0.98763855981004833</v>
      </c>
      <c r="BU450" s="4">
        <f>_xlfn.IFNA(VLOOKUP(Grandview_Inventory[[#This Row],[condition]],Lookups!$A$37:$C$44,3,FALSE),1)</f>
        <v>0.96469275950863709</v>
      </c>
      <c r="BV450" s="4">
        <f>IF(Grandview_Inventory[[#This Row],[bldg_style]]="",1,_xlfn.IFNA(VLOOKUP(Grandview_Inventory[[#This Row],[decade]],Lookups!$F$29:$H$43,3,FALSE),1))</f>
        <v>0.99472141305414818</v>
      </c>
      <c r="BW450" s="4">
        <f>_xlfn.IFNA(VLOOKUP(Grandview_Inventory[[#This Row],[living_area_range]],Lookups!$F$47:$H$56,3,FALSE),1)</f>
        <v>0.96135087979789358</v>
      </c>
      <c r="BX450" s="4">
        <f>AVERAGE(Grandview_Inventory[[#This Row],[qual_adj]:[size_adj]])</f>
        <v>0.97710090304268182</v>
      </c>
      <c r="BY450" s="6">
        <f>IF(Grandview_Inventory[[#This Row],[pre_res]]&lt;0,0,Grandview_Inventory[[#This Row],[pre_res]]*Grandview_Inventory[[#This Row],[overall_adj]])</f>
        <v>247063.36312762124</v>
      </c>
      <c r="BZ450" s="6">
        <f>(Grandview_Inventory[[#This Row],[sum_land]]-IF(Grandview_Inventory[[#This Row],[no_utilities]]=1,12000,0))/IF(Grandview_Inventory[[#This Row],[unbuildable]]=1,2,1)</f>
        <v>48369.510983942157</v>
      </c>
      <c r="CA45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50">
        <f>ROUND(Grandview_Inventory[[#This Row],[det_value]]*Lookups!$M$28,-2)</f>
        <v>7000</v>
      </c>
      <c r="CC450">
        <f>IF(ROUND(Grandview_Inventory[[#This Row],[adj_res]]*Lookups!$M$28,-2)&lt;Grandview_Inventory[[#This Row],[min_res]],Grandview_Inventory[[#This Row],[min_res]],ROUND(Grandview_Inventory[[#This Row],[adj_res]]*Lookups!$M$28,-2))</f>
        <v>234700</v>
      </c>
      <c r="CD450">
        <f>Grandview_Inventory[[#This Row],[final_det]]+Grandview_Inventory[[#This Row],[final_res]]</f>
        <v>241700</v>
      </c>
      <c r="CE450">
        <f>Grandview_Inventory[[#This Row],[final_land]]+Grandview_Inventory[[#This Row],[final_imp]]+Grandview_Inventory[[#This Row],[crop_value]]</f>
        <v>287700</v>
      </c>
      <c r="CG450" t="str">
        <f t="shared" si="6"/>
        <v>update valuation set market_land =46000, market_bldg=241700, market_total =287700, market_mdno =401, market_date ='9/10/2023' where link_id = (select link_id from parcel where parcel_year = '2024' and parcel_id = '23092214416');</v>
      </c>
    </row>
    <row r="451" spans="1:85" x14ac:dyDescent="0.25">
      <c r="A451">
        <v>23092214418</v>
      </c>
      <c r="B451">
        <v>0.18</v>
      </c>
      <c r="C451" t="s">
        <v>129</v>
      </c>
      <c r="D451" t="s">
        <v>129</v>
      </c>
      <c r="E451" t="s">
        <v>53</v>
      </c>
      <c r="F451" t="s">
        <v>53</v>
      </c>
      <c r="G451">
        <v>4</v>
      </c>
      <c r="H451" t="s">
        <v>54</v>
      </c>
      <c r="I451">
        <v>137900</v>
      </c>
      <c r="J451">
        <v>43100</v>
      </c>
      <c r="K451">
        <v>0.18</v>
      </c>
      <c r="L45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51">
        <v>0</v>
      </c>
      <c r="N451">
        <v>0</v>
      </c>
      <c r="O451">
        <v>0</v>
      </c>
      <c r="P451">
        <v>13398.7528</v>
      </c>
      <c r="Q451">
        <v>63903</v>
      </c>
      <c r="R451">
        <f>(Grandview_Inventory[[#This Row],[ln_acres]]*Grandview_Inventory[[#This Row],[coeff]])+Grandview_Inventory[[#This Row],[const]]</f>
        <v>40926.839760167699</v>
      </c>
      <c r="S451" t="s">
        <v>61</v>
      </c>
      <c r="T451">
        <v>1</v>
      </c>
      <c r="U451" t="s">
        <v>65</v>
      </c>
      <c r="V451" t="s">
        <v>69</v>
      </c>
      <c r="W451">
        <v>0</v>
      </c>
      <c r="X451">
        <v>0</v>
      </c>
      <c r="Y451">
        <v>49</v>
      </c>
      <c r="Z451">
        <v>66</v>
      </c>
      <c r="AA451">
        <v>70</v>
      </c>
      <c r="AB451">
        <v>1500</v>
      </c>
      <c r="AC451">
        <v>1136</v>
      </c>
      <c r="AD451">
        <v>1136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216</v>
      </c>
      <c r="AL451">
        <v>0</v>
      </c>
      <c r="AM451">
        <v>160</v>
      </c>
      <c r="AN451">
        <v>0</v>
      </c>
      <c r="AO451">
        <v>0</v>
      </c>
      <c r="AP451">
        <v>5</v>
      </c>
      <c r="AQ451">
        <v>0</v>
      </c>
      <c r="AR451">
        <v>0</v>
      </c>
      <c r="AS451" t="s">
        <v>58</v>
      </c>
      <c r="AT451">
        <v>1</v>
      </c>
      <c r="AU451" t="s">
        <v>63</v>
      </c>
      <c r="AV451" t="s">
        <v>60</v>
      </c>
      <c r="AW451">
        <v>0</v>
      </c>
      <c r="AX451">
        <v>3</v>
      </c>
      <c r="AY451">
        <v>0</v>
      </c>
      <c r="AZ451">
        <v>6400</v>
      </c>
      <c r="BA451">
        <v>100</v>
      </c>
      <c r="BB451">
        <v>100</v>
      </c>
      <c r="BC451">
        <v>100</v>
      </c>
      <c r="BD451">
        <v>100</v>
      </c>
      <c r="BE451">
        <v>1</v>
      </c>
      <c r="BF451">
        <v>15000</v>
      </c>
      <c r="BG451">
        <v>1000</v>
      </c>
      <c r="BH451" s="6">
        <f>Grandview_Inventory[[#This Row],[land_extract]]*Lookups!$B$3</f>
        <v>47528.228511015397</v>
      </c>
      <c r="BI451" s="6">
        <f>IF(Grandview_Inventory[[#This Row],[bldg_style]]="",0,Lookups!$B$2)</f>
        <v>155833.95000000001</v>
      </c>
      <c r="BJ451" s="6">
        <f>_xlfn.IFNA(VLOOKUP(Grandview_Inventory[[#This Row],[quality]],Lookups!$H$2:$J$14,3,FALSE),0)</f>
        <v>2251</v>
      </c>
      <c r="BK451" s="6">
        <f>_xlfn.IFNA(VLOOKUP(Grandview_Inventory[[#This Row],[condition]],Lookups!$H$17:$J$24,3,FALSE),0)</f>
        <v>-4503</v>
      </c>
      <c r="BL451" s="6">
        <f>Grandview_Inventory[[#This Row],[Eff_Age]]*Lookups!$B$14</f>
        <v>-11719.163399999999</v>
      </c>
      <c r="BM451" s="6">
        <f>Grandview_Inventory[[#This Row],[living_area]]*Lookups!$B$15</f>
        <v>70864.649008000008</v>
      </c>
      <c r="BN451" s="6">
        <f>Grandview_Inventory[[#This Row],[Fin BSMT]]*Lookups!$B$16</f>
        <v>0</v>
      </c>
      <c r="BO451" s="6">
        <f>(Grandview_Inventory[[#This Row],[att_gar]]+Grandview_Inventory[[#This Row],[bltin_gar]])*Lookups!$B$17</f>
        <v>0</v>
      </c>
      <c r="BP451" s="6">
        <f>Grandview_Inventory[[#This Row],[Plumbing Fixtures]]*Lookups!$B$18</f>
        <v>10052.209000000001</v>
      </c>
      <c r="BQ451" s="6">
        <f>Grandview_Inventory[[#This Row],[detatched_value]]*Lookups!$B$19</f>
        <v>5419.5526399999999</v>
      </c>
      <c r="BR451" s="6">
        <f>SUM(Grandview_Inventory[[#This Row],[Intercept]:[det_value]])*Grandview_Inventory[[#This Row],[res_pct]]</f>
        <v>228199.19724800004</v>
      </c>
      <c r="BS451" s="6">
        <f>Grandview_Inventory[[#This Row],[land_value]]</f>
        <v>47528.228511015397</v>
      </c>
      <c r="BT451" s="4">
        <f>_xlfn.IFNA(VLOOKUP(Grandview_Inventory[[#This Row],[quality]],Lookups!$A$26:$C$33,3,FALSE),1)</f>
        <v>0.98763855981004833</v>
      </c>
      <c r="BU451" s="4">
        <f>_xlfn.IFNA(VLOOKUP(Grandview_Inventory[[#This Row],[condition]],Lookups!$A$37:$C$44,3,FALSE),1)</f>
        <v>0.96469275950863709</v>
      </c>
      <c r="BV451" s="4">
        <f>IF(Grandview_Inventory[[#This Row],[bldg_style]]="",1,_xlfn.IFNA(VLOOKUP(Grandview_Inventory[[#This Row],[decade]],Lookups!$F$29:$H$43,3,FALSE),1))</f>
        <v>0.99472141305414818</v>
      </c>
      <c r="BW451" s="4">
        <f>_xlfn.IFNA(VLOOKUP(Grandview_Inventory[[#This Row],[living_area_range]],Lookups!$F$47:$H$56,3,FALSE),1)</f>
        <v>0.96135087979789358</v>
      </c>
      <c r="BX451" s="4">
        <f>AVERAGE(Grandview_Inventory[[#This Row],[qual_adj]:[size_adj]])</f>
        <v>0.97710090304268182</v>
      </c>
      <c r="BY451" s="6">
        <f>IF(Grandview_Inventory[[#This Row],[pre_res]]&lt;0,0,Grandview_Inventory[[#This Row],[pre_res]]*Grandview_Inventory[[#This Row],[overall_adj]])</f>
        <v>222973.6417046359</v>
      </c>
      <c r="BZ451" s="6">
        <f>(Grandview_Inventory[[#This Row],[sum_land]]-IF(Grandview_Inventory[[#This Row],[no_utilities]]=1,12000,0))/IF(Grandview_Inventory[[#This Row],[unbuildable]]=1,2,1)</f>
        <v>47528.228511015397</v>
      </c>
      <c r="CA45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51">
        <f>ROUND(Grandview_Inventory[[#This Row],[det_value]]*Lookups!$M$28,-2)</f>
        <v>5100</v>
      </c>
      <c r="CC451">
        <f>IF(ROUND(Grandview_Inventory[[#This Row],[adj_res]]*Lookups!$M$28,-2)&lt;Grandview_Inventory[[#This Row],[min_res]],Grandview_Inventory[[#This Row],[min_res]],ROUND(Grandview_Inventory[[#This Row],[adj_res]]*Lookups!$M$28,-2))</f>
        <v>211800</v>
      </c>
      <c r="CD451">
        <f>Grandview_Inventory[[#This Row],[final_det]]+Grandview_Inventory[[#This Row],[final_res]]</f>
        <v>216900</v>
      </c>
      <c r="CE451">
        <f>Grandview_Inventory[[#This Row],[final_land]]+Grandview_Inventory[[#This Row],[final_imp]]+Grandview_Inventory[[#This Row],[crop_value]]</f>
        <v>262100</v>
      </c>
      <c r="CG451" t="str">
        <f t="shared" ref="CG451:CG514" si="7">"update valuation set market_land ="&amp;CA451&amp;", market_bldg="&amp;CD451&amp;", market_total ="&amp;CE451&amp;", market_mdno ="&amp;$CG$1&amp;", market_date ='"&amp;TEXT($CH$1,"m/d/yyyy")&amp;"' where link_id = (select link_id from parcel where parcel_year = '2024' and parcel_id = '"&amp;A451&amp;"');"</f>
        <v>update valuation set market_land =45200, market_bldg=216900, market_total =262100, market_mdno =401, market_date ='9/10/2023' where link_id = (select link_id from parcel where parcel_year = '2024' and parcel_id = '23092214418');</v>
      </c>
    </row>
    <row r="452" spans="1:85" x14ac:dyDescent="0.25">
      <c r="A452">
        <v>23092214419</v>
      </c>
      <c r="B452">
        <v>0.18</v>
      </c>
      <c r="C452" t="s">
        <v>129</v>
      </c>
      <c r="D452" t="s">
        <v>129</v>
      </c>
      <c r="E452" t="s">
        <v>53</v>
      </c>
      <c r="F452" t="s">
        <v>53</v>
      </c>
      <c r="G452">
        <v>4</v>
      </c>
      <c r="H452" t="s">
        <v>54</v>
      </c>
      <c r="I452">
        <v>150200</v>
      </c>
      <c r="J452">
        <v>43100</v>
      </c>
      <c r="K452">
        <v>0.18</v>
      </c>
      <c r="L45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52">
        <v>0</v>
      </c>
      <c r="N452">
        <v>0</v>
      </c>
      <c r="O452">
        <v>0</v>
      </c>
      <c r="P452">
        <v>13398.7528</v>
      </c>
      <c r="Q452">
        <v>63903</v>
      </c>
      <c r="R452">
        <f>(Grandview_Inventory[[#This Row],[ln_acres]]*Grandview_Inventory[[#This Row],[coeff]])+Grandview_Inventory[[#This Row],[const]]</f>
        <v>40926.839760167699</v>
      </c>
      <c r="S452" t="s">
        <v>61</v>
      </c>
      <c r="T452">
        <v>1</v>
      </c>
      <c r="U452" t="s">
        <v>65</v>
      </c>
      <c r="V452" t="s">
        <v>69</v>
      </c>
      <c r="W452">
        <v>0</v>
      </c>
      <c r="X452">
        <v>0</v>
      </c>
      <c r="Y452">
        <v>49</v>
      </c>
      <c r="Z452">
        <v>68</v>
      </c>
      <c r="AA452">
        <v>70</v>
      </c>
      <c r="AB452">
        <v>1500</v>
      </c>
      <c r="AC452">
        <v>1242</v>
      </c>
      <c r="AD452">
        <v>1242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510</v>
      </c>
      <c r="AN452">
        <v>0</v>
      </c>
      <c r="AO452">
        <v>510</v>
      </c>
      <c r="AP452">
        <v>5</v>
      </c>
      <c r="AQ452">
        <v>0</v>
      </c>
      <c r="AR452">
        <v>0</v>
      </c>
      <c r="AS452" t="s">
        <v>58</v>
      </c>
      <c r="AT452">
        <v>1</v>
      </c>
      <c r="AU452" t="s">
        <v>59</v>
      </c>
      <c r="AV452" t="s">
        <v>60</v>
      </c>
      <c r="AW452">
        <v>1</v>
      </c>
      <c r="AX452">
        <v>3</v>
      </c>
      <c r="AY452">
        <v>0</v>
      </c>
      <c r="AZ452">
        <v>8000</v>
      </c>
      <c r="BA452">
        <v>100</v>
      </c>
      <c r="BB452">
        <v>100</v>
      </c>
      <c r="BC452">
        <v>100</v>
      </c>
      <c r="BD452">
        <v>100</v>
      </c>
      <c r="BE452">
        <v>1</v>
      </c>
      <c r="BF452">
        <v>15000</v>
      </c>
      <c r="BG452">
        <v>1000</v>
      </c>
      <c r="BH452" s="6">
        <f>Grandview_Inventory[[#This Row],[land_extract]]*Lookups!$B$3</f>
        <v>47528.228511015397</v>
      </c>
      <c r="BI452" s="6">
        <f>IF(Grandview_Inventory[[#This Row],[bldg_style]]="",0,Lookups!$B$2)</f>
        <v>155833.95000000001</v>
      </c>
      <c r="BJ452" s="6">
        <f>_xlfn.IFNA(VLOOKUP(Grandview_Inventory[[#This Row],[quality]],Lookups!$H$2:$J$14,3,FALSE),0)</f>
        <v>2251</v>
      </c>
      <c r="BK452" s="6">
        <f>_xlfn.IFNA(VLOOKUP(Grandview_Inventory[[#This Row],[condition]],Lookups!$H$17:$J$24,3,FALSE),0)</f>
        <v>-4503</v>
      </c>
      <c r="BL452" s="6">
        <f>Grandview_Inventory[[#This Row],[Eff_Age]]*Lookups!$B$14</f>
        <v>-11719.163399999999</v>
      </c>
      <c r="BM452" s="6">
        <f>Grandview_Inventory[[#This Row],[living_area]]*Lookups!$B$15</f>
        <v>77477.019425999999</v>
      </c>
      <c r="BN452" s="6">
        <f>Grandview_Inventory[[#This Row],[Fin BSMT]]*Lookups!$B$16</f>
        <v>0</v>
      </c>
      <c r="BO452" s="6">
        <f>(Grandview_Inventory[[#This Row],[att_gar]]+Grandview_Inventory[[#This Row],[bltin_gar]])*Lookups!$B$17</f>
        <v>0</v>
      </c>
      <c r="BP452" s="6">
        <f>Grandview_Inventory[[#This Row],[Plumbing Fixtures]]*Lookups!$B$18</f>
        <v>10052.209000000001</v>
      </c>
      <c r="BQ452" s="6">
        <f>Grandview_Inventory[[#This Row],[detatched_value]]*Lookups!$B$19</f>
        <v>6774.4407999999994</v>
      </c>
      <c r="BR452" s="6">
        <f>SUM(Grandview_Inventory[[#This Row],[Intercept]:[det_value]])*Grandview_Inventory[[#This Row],[res_pct]]</f>
        <v>236166.45582600002</v>
      </c>
      <c r="BS452" s="6">
        <f>Grandview_Inventory[[#This Row],[land_value]]</f>
        <v>47528.228511015397</v>
      </c>
      <c r="BT452" s="4">
        <f>_xlfn.IFNA(VLOOKUP(Grandview_Inventory[[#This Row],[quality]],Lookups!$A$26:$C$33,3,FALSE),1)</f>
        <v>0.98763855981004833</v>
      </c>
      <c r="BU452" s="4">
        <f>_xlfn.IFNA(VLOOKUP(Grandview_Inventory[[#This Row],[condition]],Lookups!$A$37:$C$44,3,FALSE),1)</f>
        <v>0.96469275950863709</v>
      </c>
      <c r="BV452" s="4">
        <f>IF(Grandview_Inventory[[#This Row],[bldg_style]]="",1,_xlfn.IFNA(VLOOKUP(Grandview_Inventory[[#This Row],[decade]],Lookups!$F$29:$H$43,3,FALSE),1))</f>
        <v>0.99472141305414818</v>
      </c>
      <c r="BW452" s="4">
        <f>_xlfn.IFNA(VLOOKUP(Grandview_Inventory[[#This Row],[living_area_range]],Lookups!$F$47:$H$56,3,FALSE),1)</f>
        <v>0.96135087979789358</v>
      </c>
      <c r="BX452" s="4">
        <f>AVERAGE(Grandview_Inventory[[#This Row],[qual_adj]:[size_adj]])</f>
        <v>0.97710090304268182</v>
      </c>
      <c r="BY452" s="6">
        <f>IF(Grandview_Inventory[[#This Row],[pre_res]]&lt;0,0,Grandview_Inventory[[#This Row],[pre_res]]*Grandview_Inventory[[#This Row],[overall_adj]])</f>
        <v>230758.45725597424</v>
      </c>
      <c r="BZ452" s="6">
        <f>(Grandview_Inventory[[#This Row],[sum_land]]-IF(Grandview_Inventory[[#This Row],[no_utilities]]=1,12000,0))/IF(Grandview_Inventory[[#This Row],[unbuildable]]=1,2,1)</f>
        <v>47528.228511015397</v>
      </c>
      <c r="CA45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52">
        <f>ROUND(Grandview_Inventory[[#This Row],[det_value]]*Lookups!$M$28,-2)</f>
        <v>6400</v>
      </c>
      <c r="CC452">
        <f>IF(ROUND(Grandview_Inventory[[#This Row],[adj_res]]*Lookups!$M$28,-2)&lt;Grandview_Inventory[[#This Row],[min_res]],Grandview_Inventory[[#This Row],[min_res]],ROUND(Grandview_Inventory[[#This Row],[adj_res]]*Lookups!$M$28,-2))</f>
        <v>219200</v>
      </c>
      <c r="CD452">
        <f>Grandview_Inventory[[#This Row],[final_det]]+Grandview_Inventory[[#This Row],[final_res]]</f>
        <v>225600</v>
      </c>
      <c r="CE452">
        <f>Grandview_Inventory[[#This Row],[final_land]]+Grandview_Inventory[[#This Row],[final_imp]]+Grandview_Inventory[[#This Row],[crop_value]]</f>
        <v>270800</v>
      </c>
      <c r="CG452" t="str">
        <f t="shared" si="7"/>
        <v>update valuation set market_land =45200, market_bldg=225600, market_total =270800, market_mdno =401, market_date ='9/10/2023' where link_id = (select link_id from parcel where parcel_year = '2024' and parcel_id = '23092214419');</v>
      </c>
    </row>
    <row r="453" spans="1:85" x14ac:dyDescent="0.25">
      <c r="A453">
        <v>23092214420</v>
      </c>
      <c r="B453">
        <v>0.19</v>
      </c>
      <c r="C453">
        <v>8395</v>
      </c>
      <c r="D453" t="s">
        <v>129</v>
      </c>
      <c r="E453" t="s">
        <v>53</v>
      </c>
      <c r="F453" t="s">
        <v>53</v>
      </c>
      <c r="G453">
        <v>4</v>
      </c>
      <c r="H453" t="s">
        <v>54</v>
      </c>
      <c r="I453">
        <v>164700</v>
      </c>
      <c r="J453">
        <v>43500</v>
      </c>
      <c r="K453">
        <v>0.19</v>
      </c>
      <c r="L45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53">
        <v>0</v>
      </c>
      <c r="N453">
        <v>0</v>
      </c>
      <c r="O453">
        <v>0</v>
      </c>
      <c r="P453">
        <v>13398.7528</v>
      </c>
      <c r="Q453">
        <v>63903</v>
      </c>
      <c r="R453">
        <f>(Grandview_Inventory[[#This Row],[ln_acres]]*Grandview_Inventory[[#This Row],[coeff]])+Grandview_Inventory[[#This Row],[const]]</f>
        <v>41651.273092551026</v>
      </c>
      <c r="S453" t="s">
        <v>68</v>
      </c>
      <c r="T453">
        <v>1</v>
      </c>
      <c r="U453" t="s">
        <v>65</v>
      </c>
      <c r="V453" t="s">
        <v>69</v>
      </c>
      <c r="W453">
        <v>0</v>
      </c>
      <c r="X453">
        <v>0</v>
      </c>
      <c r="Y453">
        <v>49</v>
      </c>
      <c r="Z453">
        <v>68</v>
      </c>
      <c r="AA453">
        <v>70</v>
      </c>
      <c r="AB453">
        <v>2500</v>
      </c>
      <c r="AC453">
        <v>2046</v>
      </c>
      <c r="AD453">
        <v>1137</v>
      </c>
      <c r="AE453">
        <v>0</v>
      </c>
      <c r="AF453">
        <v>0</v>
      </c>
      <c r="AG453">
        <v>909</v>
      </c>
      <c r="AH453">
        <v>228</v>
      </c>
      <c r="AI453">
        <v>0</v>
      </c>
      <c r="AJ453">
        <v>0</v>
      </c>
      <c r="AK453">
        <v>304</v>
      </c>
      <c r="AL453">
        <v>0</v>
      </c>
      <c r="AM453">
        <v>954</v>
      </c>
      <c r="AN453">
        <v>86</v>
      </c>
      <c r="AO453">
        <v>954</v>
      </c>
      <c r="AP453">
        <v>8</v>
      </c>
      <c r="AQ453">
        <v>0</v>
      </c>
      <c r="AR453">
        <v>1</v>
      </c>
      <c r="AS453" t="s">
        <v>58</v>
      </c>
      <c r="AT453">
        <v>1</v>
      </c>
      <c r="AU453" t="s">
        <v>63</v>
      </c>
      <c r="AV453" t="s">
        <v>64</v>
      </c>
      <c r="AW453">
        <v>0</v>
      </c>
      <c r="AX453">
        <v>4</v>
      </c>
      <c r="AY453">
        <v>0</v>
      </c>
      <c r="AZ453">
        <v>8500</v>
      </c>
      <c r="BA453">
        <v>100</v>
      </c>
      <c r="BB453">
        <v>100</v>
      </c>
      <c r="BC453">
        <v>100</v>
      </c>
      <c r="BD453">
        <v>100</v>
      </c>
      <c r="BE453">
        <v>1</v>
      </c>
      <c r="BF453">
        <v>15000</v>
      </c>
      <c r="BG453">
        <v>1000</v>
      </c>
      <c r="BH453" s="6">
        <f>Grandview_Inventory[[#This Row],[land_extract]]*Lookups!$B$3</f>
        <v>48369.510983942157</v>
      </c>
      <c r="BI453" s="6">
        <f>IF(Grandview_Inventory[[#This Row],[bldg_style]]="",0,Lookups!$B$2)</f>
        <v>155833.95000000001</v>
      </c>
      <c r="BJ453" s="6">
        <f>_xlfn.IFNA(VLOOKUP(Grandview_Inventory[[#This Row],[quality]],Lookups!$H$2:$J$14,3,FALSE),0)</f>
        <v>2251</v>
      </c>
      <c r="BK453" s="6">
        <f>_xlfn.IFNA(VLOOKUP(Grandview_Inventory[[#This Row],[condition]],Lookups!$H$17:$J$24,3,FALSE),0)</f>
        <v>-4503</v>
      </c>
      <c r="BL453" s="6">
        <f>Grandview_Inventory[[#This Row],[Eff_Age]]*Lookups!$B$14</f>
        <v>-11719.163399999999</v>
      </c>
      <c r="BM453" s="6">
        <f>Grandview_Inventory[[#This Row],[living_area]]*Lookups!$B$15</f>
        <v>127631.225238</v>
      </c>
      <c r="BN453" s="6">
        <f>Grandview_Inventory[[#This Row],[Fin BSMT]]*Lookups!$B$16</f>
        <v>-24633.209160000002</v>
      </c>
      <c r="BO453" s="6">
        <f>(Grandview_Inventory[[#This Row],[att_gar]]+Grandview_Inventory[[#This Row],[bltin_gar]])*Lookups!$B$17</f>
        <v>0</v>
      </c>
      <c r="BP453" s="6">
        <f>Grandview_Inventory[[#This Row],[Plumbing Fixtures]]*Lookups!$B$18</f>
        <v>16083.5344</v>
      </c>
      <c r="BQ453" s="6">
        <f>Grandview_Inventory[[#This Row],[detatched_value]]*Lookups!$B$19</f>
        <v>7197.8433500000001</v>
      </c>
      <c r="BR453" s="6">
        <f>SUM(Grandview_Inventory[[#This Row],[Intercept]:[det_value]])*Grandview_Inventory[[#This Row],[res_pct]]</f>
        <v>268142.18042800005</v>
      </c>
      <c r="BS453" s="6">
        <f>Grandview_Inventory[[#This Row],[land_value]]</f>
        <v>48369.510983942157</v>
      </c>
      <c r="BT453" s="4">
        <f>_xlfn.IFNA(VLOOKUP(Grandview_Inventory[[#This Row],[quality]],Lookups!$A$26:$C$33,3,FALSE),1)</f>
        <v>0.98763855981004833</v>
      </c>
      <c r="BU453" s="4">
        <f>_xlfn.IFNA(VLOOKUP(Grandview_Inventory[[#This Row],[condition]],Lookups!$A$37:$C$44,3,FALSE),1)</f>
        <v>0.96469275950863709</v>
      </c>
      <c r="BV453" s="4">
        <f>IF(Grandview_Inventory[[#This Row],[bldg_style]]="",1,_xlfn.IFNA(VLOOKUP(Grandview_Inventory[[#This Row],[decade]],Lookups!$F$29:$H$43,3,FALSE),1))</f>
        <v>0.99472141305414818</v>
      </c>
      <c r="BW453" s="4">
        <f>_xlfn.IFNA(VLOOKUP(Grandview_Inventory[[#This Row],[living_area_range]],Lookups!$F$47:$H$56,3,FALSE),1)</f>
        <v>0.95799442568048754</v>
      </c>
      <c r="BX453" s="4">
        <f>AVERAGE(Grandview_Inventory[[#This Row],[qual_adj]:[size_adj]])</f>
        <v>0.97626178951333031</v>
      </c>
      <c r="BY453" s="6">
        <f>IF(Grandview_Inventory[[#This Row],[pre_res]]&lt;0,0,Grandview_Inventory[[#This Row],[pre_res]]*Grandview_Inventory[[#This Row],[overall_adj]])</f>
        <v>261776.96490864563</v>
      </c>
      <c r="BZ453" s="6">
        <f>(Grandview_Inventory[[#This Row],[sum_land]]-IF(Grandview_Inventory[[#This Row],[no_utilities]]=1,12000,0))/IF(Grandview_Inventory[[#This Row],[unbuildable]]=1,2,1)</f>
        <v>48369.510983942157</v>
      </c>
      <c r="CA45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53">
        <f>ROUND(Grandview_Inventory[[#This Row],[det_value]]*Lookups!$M$28,-2)</f>
        <v>6800</v>
      </c>
      <c r="CC453">
        <f>IF(ROUND(Grandview_Inventory[[#This Row],[adj_res]]*Lookups!$M$28,-2)&lt;Grandview_Inventory[[#This Row],[min_res]],Grandview_Inventory[[#This Row],[min_res]],ROUND(Grandview_Inventory[[#This Row],[adj_res]]*Lookups!$M$28,-2))</f>
        <v>248700</v>
      </c>
      <c r="CD453">
        <f>Grandview_Inventory[[#This Row],[final_det]]+Grandview_Inventory[[#This Row],[final_res]]</f>
        <v>255500</v>
      </c>
      <c r="CE453">
        <f>Grandview_Inventory[[#This Row],[final_land]]+Grandview_Inventory[[#This Row],[final_imp]]+Grandview_Inventory[[#This Row],[crop_value]]</f>
        <v>301500</v>
      </c>
      <c r="CG453" t="str">
        <f t="shared" si="7"/>
        <v>update valuation set market_land =46000, market_bldg=255500, market_total =301500, market_mdno =401, market_date ='9/10/2023' where link_id = (select link_id from parcel where parcel_year = '2024' and parcel_id = '23092214420');</v>
      </c>
    </row>
    <row r="454" spans="1:85" x14ac:dyDescent="0.25">
      <c r="A454">
        <v>23092214421</v>
      </c>
      <c r="B454">
        <v>0.19</v>
      </c>
      <c r="C454">
        <v>8395</v>
      </c>
      <c r="D454" t="s">
        <v>129</v>
      </c>
      <c r="E454" t="s">
        <v>53</v>
      </c>
      <c r="F454" t="s">
        <v>53</v>
      </c>
      <c r="G454">
        <v>4</v>
      </c>
      <c r="H454" t="s">
        <v>54</v>
      </c>
      <c r="I454">
        <v>223600</v>
      </c>
      <c r="J454">
        <v>43500</v>
      </c>
      <c r="K454">
        <v>0.19</v>
      </c>
      <c r="L45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54">
        <v>0</v>
      </c>
      <c r="N454">
        <v>0</v>
      </c>
      <c r="O454">
        <v>0</v>
      </c>
      <c r="P454">
        <v>13398.7528</v>
      </c>
      <c r="Q454">
        <v>63903</v>
      </c>
      <c r="R454">
        <f>(Grandview_Inventory[[#This Row],[ln_acres]]*Grandview_Inventory[[#This Row],[coeff]])+Grandview_Inventory[[#This Row],[const]]</f>
        <v>41651.273092551026</v>
      </c>
      <c r="S454" t="s">
        <v>61</v>
      </c>
      <c r="T454">
        <v>1</v>
      </c>
      <c r="U454" t="s">
        <v>65</v>
      </c>
      <c r="V454" t="s">
        <v>69</v>
      </c>
      <c r="W454">
        <v>0</v>
      </c>
      <c r="X454">
        <v>0</v>
      </c>
      <c r="Y454">
        <v>49</v>
      </c>
      <c r="Z454">
        <v>68</v>
      </c>
      <c r="AA454">
        <v>70</v>
      </c>
      <c r="AB454">
        <v>3000</v>
      </c>
      <c r="AC454">
        <v>2564</v>
      </c>
      <c r="AD454">
        <v>1282</v>
      </c>
      <c r="AE454">
        <v>0</v>
      </c>
      <c r="AF454">
        <v>0</v>
      </c>
      <c r="AG454">
        <v>1282</v>
      </c>
      <c r="AH454">
        <v>0</v>
      </c>
      <c r="AI454">
        <v>286</v>
      </c>
      <c r="AJ454">
        <v>0</v>
      </c>
      <c r="AK454">
        <v>494</v>
      </c>
      <c r="AL454">
        <v>0</v>
      </c>
      <c r="AM454">
        <v>104</v>
      </c>
      <c r="AN454">
        <v>8</v>
      </c>
      <c r="AO454">
        <v>104</v>
      </c>
      <c r="AP454">
        <v>8</v>
      </c>
      <c r="AQ454">
        <v>0</v>
      </c>
      <c r="AR454">
        <v>2</v>
      </c>
      <c r="AS454" t="s">
        <v>58</v>
      </c>
      <c r="AT454">
        <v>1</v>
      </c>
      <c r="AU454" t="s">
        <v>63</v>
      </c>
      <c r="AV454" t="s">
        <v>60</v>
      </c>
      <c r="AW454">
        <v>0</v>
      </c>
      <c r="AX454">
        <v>4</v>
      </c>
      <c r="AY454">
        <v>0</v>
      </c>
      <c r="AZ454">
        <v>0</v>
      </c>
      <c r="BA454">
        <v>100</v>
      </c>
      <c r="BB454">
        <v>100</v>
      </c>
      <c r="BC454">
        <v>100</v>
      </c>
      <c r="BD454">
        <v>100</v>
      </c>
      <c r="BE454">
        <v>1</v>
      </c>
      <c r="BF454">
        <v>15000</v>
      </c>
      <c r="BG454">
        <v>1000</v>
      </c>
      <c r="BH454" s="6">
        <f>Grandview_Inventory[[#This Row],[land_extract]]*Lookups!$B$3</f>
        <v>48369.510983942157</v>
      </c>
      <c r="BI454" s="6">
        <f>IF(Grandview_Inventory[[#This Row],[bldg_style]]="",0,Lookups!$B$2)</f>
        <v>155833.95000000001</v>
      </c>
      <c r="BJ454" s="6">
        <f>_xlfn.IFNA(VLOOKUP(Grandview_Inventory[[#This Row],[quality]],Lookups!$H$2:$J$14,3,FALSE),0)</f>
        <v>2251</v>
      </c>
      <c r="BK454" s="6">
        <f>_xlfn.IFNA(VLOOKUP(Grandview_Inventory[[#This Row],[condition]],Lookups!$H$17:$J$24,3,FALSE),0)</f>
        <v>-4503</v>
      </c>
      <c r="BL454" s="6">
        <f>Grandview_Inventory[[#This Row],[Eff_Age]]*Lookups!$B$14</f>
        <v>-11719.163399999999</v>
      </c>
      <c r="BM454" s="6">
        <f>Grandview_Inventory[[#This Row],[living_area]]*Lookups!$B$15</f>
        <v>159944.50709200001</v>
      </c>
      <c r="BN454" s="6">
        <f>Grandview_Inventory[[#This Row],[Fin BSMT]]*Lookups!$B$16</f>
        <v>-34741.225680000003</v>
      </c>
      <c r="BO454" s="6">
        <f>(Grandview_Inventory[[#This Row],[att_gar]]+Grandview_Inventory[[#This Row],[bltin_gar]])*Lookups!$B$17</f>
        <v>25030.844981999999</v>
      </c>
      <c r="BP454" s="6">
        <f>Grandview_Inventory[[#This Row],[Plumbing Fixtures]]*Lookups!$B$18</f>
        <v>16083.5344</v>
      </c>
      <c r="BQ454" s="6">
        <f>Grandview_Inventory[[#This Row],[detatched_value]]*Lookups!$B$19</f>
        <v>0</v>
      </c>
      <c r="BR454" s="6">
        <f>SUM(Grandview_Inventory[[#This Row],[Intercept]:[det_value]])*Grandview_Inventory[[#This Row],[res_pct]]</f>
        <v>308180.44739400008</v>
      </c>
      <c r="BS454" s="6">
        <f>Grandview_Inventory[[#This Row],[land_value]]</f>
        <v>48369.510983942157</v>
      </c>
      <c r="BT454" s="4">
        <f>_xlfn.IFNA(VLOOKUP(Grandview_Inventory[[#This Row],[quality]],Lookups!$A$26:$C$33,3,FALSE),1)</f>
        <v>0.98763855981004833</v>
      </c>
      <c r="BU454" s="4">
        <f>_xlfn.IFNA(VLOOKUP(Grandview_Inventory[[#This Row],[condition]],Lookups!$A$37:$C$44,3,FALSE),1)</f>
        <v>0.96469275950863709</v>
      </c>
      <c r="BV454" s="4">
        <f>IF(Grandview_Inventory[[#This Row],[bldg_style]]="",1,_xlfn.IFNA(VLOOKUP(Grandview_Inventory[[#This Row],[decade]],Lookups!$F$29:$H$43,3,FALSE),1))</f>
        <v>0.99472141305414818</v>
      </c>
      <c r="BW454" s="4">
        <f>_xlfn.IFNA(VLOOKUP(Grandview_Inventory[[#This Row],[living_area_range]],Lookups!$F$47:$H$56,3,FALSE),1)</f>
        <v>0.94224801443562123</v>
      </c>
      <c r="BX454" s="4">
        <f>AVERAGE(Grandview_Inventory[[#This Row],[qual_adj]:[size_adj]])</f>
        <v>0.97232518670211376</v>
      </c>
      <c r="BY454" s="6">
        <f>IF(Grandview_Inventory[[#This Row],[pre_res]]&lt;0,0,Grandview_Inventory[[#This Row],[pre_res]]*Grandview_Inventory[[#This Row],[overall_adj]])</f>
        <v>299651.61105031206</v>
      </c>
      <c r="BZ454" s="6">
        <f>(Grandview_Inventory[[#This Row],[sum_land]]-IF(Grandview_Inventory[[#This Row],[no_utilities]]=1,12000,0))/IF(Grandview_Inventory[[#This Row],[unbuildable]]=1,2,1)</f>
        <v>48369.510983942157</v>
      </c>
      <c r="CA45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54">
        <f>ROUND(Grandview_Inventory[[#This Row],[det_value]]*Lookups!$M$28,-2)</f>
        <v>0</v>
      </c>
      <c r="CC454">
        <f>IF(ROUND(Grandview_Inventory[[#This Row],[adj_res]]*Lookups!$M$28,-2)&lt;Grandview_Inventory[[#This Row],[min_res]],Grandview_Inventory[[#This Row],[min_res]],ROUND(Grandview_Inventory[[#This Row],[adj_res]]*Lookups!$M$28,-2))</f>
        <v>284700</v>
      </c>
      <c r="CD454">
        <f>Grandview_Inventory[[#This Row],[final_det]]+Grandview_Inventory[[#This Row],[final_res]]</f>
        <v>284700</v>
      </c>
      <c r="CE454">
        <f>Grandview_Inventory[[#This Row],[final_land]]+Grandview_Inventory[[#This Row],[final_imp]]+Grandview_Inventory[[#This Row],[crop_value]]</f>
        <v>330700</v>
      </c>
      <c r="CG454" t="str">
        <f t="shared" si="7"/>
        <v>update valuation set market_land =46000, market_bldg=284700, market_total =330700, market_mdno =401, market_date ='9/10/2023' where link_id = (select link_id from parcel where parcel_year = '2024' and parcel_id = '23092214421');</v>
      </c>
    </row>
    <row r="455" spans="1:85" x14ac:dyDescent="0.25">
      <c r="A455">
        <v>23092214423</v>
      </c>
      <c r="B455">
        <v>0.18</v>
      </c>
      <c r="C455">
        <v>8028</v>
      </c>
      <c r="D455" t="s">
        <v>129</v>
      </c>
      <c r="E455" t="s">
        <v>53</v>
      </c>
      <c r="F455" t="s">
        <v>53</v>
      </c>
      <c r="G455">
        <v>4</v>
      </c>
      <c r="H455" t="s">
        <v>54</v>
      </c>
      <c r="I455">
        <v>142100</v>
      </c>
      <c r="J455">
        <v>43300</v>
      </c>
      <c r="K455">
        <v>0.18</v>
      </c>
      <c r="L45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55">
        <v>0</v>
      </c>
      <c r="N455">
        <v>0</v>
      </c>
      <c r="O455">
        <v>0</v>
      </c>
      <c r="P455">
        <v>13398.7528</v>
      </c>
      <c r="Q455">
        <v>63903</v>
      </c>
      <c r="R455">
        <f>(Grandview_Inventory[[#This Row],[ln_acres]]*Grandview_Inventory[[#This Row],[coeff]])+Grandview_Inventory[[#This Row],[const]]</f>
        <v>40926.839760167699</v>
      </c>
      <c r="S455" t="s">
        <v>61</v>
      </c>
      <c r="T455">
        <v>1</v>
      </c>
      <c r="U455" t="s">
        <v>70</v>
      </c>
      <c r="V455" t="s">
        <v>69</v>
      </c>
      <c r="W455">
        <v>0</v>
      </c>
      <c r="X455">
        <v>0</v>
      </c>
      <c r="Y455">
        <v>49</v>
      </c>
      <c r="Z455">
        <v>68</v>
      </c>
      <c r="AA455">
        <v>70</v>
      </c>
      <c r="AB455">
        <v>1500</v>
      </c>
      <c r="AC455">
        <v>1120</v>
      </c>
      <c r="AD455">
        <v>1120</v>
      </c>
      <c r="AE455">
        <v>0</v>
      </c>
      <c r="AF455">
        <v>0</v>
      </c>
      <c r="AG455">
        <v>0</v>
      </c>
      <c r="AH455">
        <v>750</v>
      </c>
      <c r="AI455">
        <v>0</v>
      </c>
      <c r="AJ455">
        <v>0</v>
      </c>
      <c r="AK455">
        <v>0</v>
      </c>
      <c r="AL455">
        <v>132</v>
      </c>
      <c r="AM455">
        <v>240</v>
      </c>
      <c r="AN455">
        <v>0</v>
      </c>
      <c r="AO455">
        <v>372</v>
      </c>
      <c r="AP455">
        <v>5</v>
      </c>
      <c r="AQ455">
        <v>0</v>
      </c>
      <c r="AR455">
        <v>0</v>
      </c>
      <c r="AS455" t="s">
        <v>58</v>
      </c>
      <c r="AT455">
        <v>1</v>
      </c>
      <c r="AU455" t="s">
        <v>63</v>
      </c>
      <c r="AV455" t="s">
        <v>60</v>
      </c>
      <c r="AW455">
        <v>0</v>
      </c>
      <c r="AX455">
        <v>3</v>
      </c>
      <c r="AY455">
        <v>0</v>
      </c>
      <c r="AZ455">
        <v>6300</v>
      </c>
      <c r="BA455">
        <v>100</v>
      </c>
      <c r="BB455">
        <v>100</v>
      </c>
      <c r="BC455">
        <v>100</v>
      </c>
      <c r="BD455">
        <v>100</v>
      </c>
      <c r="BE455">
        <v>1</v>
      </c>
      <c r="BF455">
        <v>15000</v>
      </c>
      <c r="BG455">
        <v>1000</v>
      </c>
      <c r="BH455" s="6">
        <f>Grandview_Inventory[[#This Row],[land_extract]]*Lookups!$B$3</f>
        <v>47528.228511015397</v>
      </c>
      <c r="BI455" s="6">
        <f>IF(Grandview_Inventory[[#This Row],[bldg_style]]="",0,Lookups!$B$2)</f>
        <v>155833.95000000001</v>
      </c>
      <c r="BJ455" s="6">
        <f>_xlfn.IFNA(VLOOKUP(Grandview_Inventory[[#This Row],[quality]],Lookups!$H$2:$J$14,3,FALSE),0)</f>
        <v>10733</v>
      </c>
      <c r="BK455" s="6">
        <f>_xlfn.IFNA(VLOOKUP(Grandview_Inventory[[#This Row],[condition]],Lookups!$H$17:$J$24,3,FALSE),0)</f>
        <v>-4503</v>
      </c>
      <c r="BL455" s="6">
        <f>Grandview_Inventory[[#This Row],[Eff_Age]]*Lookups!$B$14</f>
        <v>-11719.163399999999</v>
      </c>
      <c r="BM455" s="6">
        <f>Grandview_Inventory[[#This Row],[living_area]]*Lookups!$B$15</f>
        <v>69866.555359999998</v>
      </c>
      <c r="BN455" s="6">
        <f>Grandview_Inventory[[#This Row],[Fin BSMT]]*Lookups!$B$16</f>
        <v>0</v>
      </c>
      <c r="BO455" s="6">
        <f>(Grandview_Inventory[[#This Row],[att_gar]]+Grandview_Inventory[[#This Row],[bltin_gar]])*Lookups!$B$17</f>
        <v>0</v>
      </c>
      <c r="BP455" s="6">
        <f>Grandview_Inventory[[#This Row],[Plumbing Fixtures]]*Lookups!$B$18</f>
        <v>10052.209000000001</v>
      </c>
      <c r="BQ455" s="6">
        <f>Grandview_Inventory[[#This Row],[detatched_value]]*Lookups!$B$19</f>
        <v>5334.8721299999997</v>
      </c>
      <c r="BR455" s="6">
        <f>SUM(Grandview_Inventory[[#This Row],[Intercept]:[det_value]])*Grandview_Inventory[[#This Row],[res_pct]]</f>
        <v>235598.42309000003</v>
      </c>
      <c r="BS455" s="6">
        <f>Grandview_Inventory[[#This Row],[land_value]]</f>
        <v>47528.228511015397</v>
      </c>
      <c r="BT455" s="4">
        <f>_xlfn.IFNA(VLOOKUP(Grandview_Inventory[[#This Row],[quality]],Lookups!$A$26:$C$33,3,FALSE),1)</f>
        <v>0.98079741117310582</v>
      </c>
      <c r="BU455" s="4">
        <f>_xlfn.IFNA(VLOOKUP(Grandview_Inventory[[#This Row],[condition]],Lookups!$A$37:$C$44,3,FALSE),1)</f>
        <v>0.96469275950863709</v>
      </c>
      <c r="BV455" s="4">
        <f>IF(Grandview_Inventory[[#This Row],[bldg_style]]="",1,_xlfn.IFNA(VLOOKUP(Grandview_Inventory[[#This Row],[decade]],Lookups!$F$29:$H$43,3,FALSE),1))</f>
        <v>0.99472141305414818</v>
      </c>
      <c r="BW455" s="4">
        <f>_xlfn.IFNA(VLOOKUP(Grandview_Inventory[[#This Row],[living_area_range]],Lookups!$F$47:$H$56,3,FALSE),1)</f>
        <v>0.96135087979789358</v>
      </c>
      <c r="BX455" s="4">
        <f>AVERAGE(Grandview_Inventory[[#This Row],[qual_adj]:[size_adj]])</f>
        <v>0.97539061588344622</v>
      </c>
      <c r="BY455" s="6">
        <f>IF(Grandview_Inventory[[#This Row],[pre_res]]&lt;0,0,Grandview_Inventory[[#This Row],[pre_res]]*Grandview_Inventory[[#This Row],[overall_adj]])</f>
        <v>229800.49099892387</v>
      </c>
      <c r="BZ455" s="6">
        <f>(Grandview_Inventory[[#This Row],[sum_land]]-IF(Grandview_Inventory[[#This Row],[no_utilities]]=1,12000,0))/IF(Grandview_Inventory[[#This Row],[unbuildable]]=1,2,1)</f>
        <v>47528.228511015397</v>
      </c>
      <c r="CA45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55">
        <f>ROUND(Grandview_Inventory[[#This Row],[det_value]]*Lookups!$M$28,-2)</f>
        <v>5100</v>
      </c>
      <c r="CC455">
        <f>IF(ROUND(Grandview_Inventory[[#This Row],[adj_res]]*Lookups!$M$28,-2)&lt;Grandview_Inventory[[#This Row],[min_res]],Grandview_Inventory[[#This Row],[min_res]],ROUND(Grandview_Inventory[[#This Row],[adj_res]]*Lookups!$M$28,-2))</f>
        <v>218300</v>
      </c>
      <c r="CD455">
        <f>Grandview_Inventory[[#This Row],[final_det]]+Grandview_Inventory[[#This Row],[final_res]]</f>
        <v>223400</v>
      </c>
      <c r="CE455">
        <f>Grandview_Inventory[[#This Row],[final_land]]+Grandview_Inventory[[#This Row],[final_imp]]+Grandview_Inventory[[#This Row],[crop_value]]</f>
        <v>268600</v>
      </c>
      <c r="CG455" t="str">
        <f t="shared" si="7"/>
        <v>update valuation set market_land =45200, market_bldg=223400, market_total =268600, market_mdno =401, market_date ='9/10/2023' where link_id = (select link_id from parcel where parcel_year = '2024' and parcel_id = '23092214423');</v>
      </c>
    </row>
    <row r="456" spans="1:85" x14ac:dyDescent="0.25">
      <c r="A456">
        <v>23092214424</v>
      </c>
      <c r="B456">
        <v>0.19</v>
      </c>
      <c r="C456">
        <v>8127</v>
      </c>
      <c r="D456" t="s">
        <v>129</v>
      </c>
      <c r="E456" t="s">
        <v>53</v>
      </c>
      <c r="F456" t="s">
        <v>53</v>
      </c>
      <c r="G456">
        <v>4</v>
      </c>
      <c r="H456" t="s">
        <v>54</v>
      </c>
      <c r="I456">
        <v>149400</v>
      </c>
      <c r="J456">
        <v>39000</v>
      </c>
      <c r="K456">
        <v>0.19</v>
      </c>
      <c r="L45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56">
        <v>0</v>
      </c>
      <c r="N456">
        <v>0</v>
      </c>
      <c r="O456">
        <v>0</v>
      </c>
      <c r="P456">
        <v>13398.7528</v>
      </c>
      <c r="Q456">
        <v>63903</v>
      </c>
      <c r="R456">
        <f>(Grandview_Inventory[[#This Row],[ln_acres]]*Grandview_Inventory[[#This Row],[coeff]])+Grandview_Inventory[[#This Row],[const]]</f>
        <v>41651.273092551026</v>
      </c>
      <c r="S456" t="s">
        <v>61</v>
      </c>
      <c r="T456">
        <v>1</v>
      </c>
      <c r="U456" t="s">
        <v>70</v>
      </c>
      <c r="V456" t="s">
        <v>69</v>
      </c>
      <c r="W456">
        <v>0</v>
      </c>
      <c r="X456">
        <v>0</v>
      </c>
      <c r="Y456">
        <v>49</v>
      </c>
      <c r="Z456">
        <v>65</v>
      </c>
      <c r="AA456">
        <v>70</v>
      </c>
      <c r="AB456">
        <v>1000</v>
      </c>
      <c r="AC456">
        <v>819</v>
      </c>
      <c r="AD456">
        <v>819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5</v>
      </c>
      <c r="AQ456">
        <v>0</v>
      </c>
      <c r="AR456">
        <v>1</v>
      </c>
      <c r="AS456" t="s">
        <v>76</v>
      </c>
      <c r="AT456">
        <v>1</v>
      </c>
      <c r="AU456" t="s">
        <v>63</v>
      </c>
      <c r="AV456" t="s">
        <v>60</v>
      </c>
      <c r="AW456">
        <v>0</v>
      </c>
      <c r="AX456">
        <v>2</v>
      </c>
      <c r="AY456">
        <v>0</v>
      </c>
      <c r="AZ456">
        <v>5100</v>
      </c>
      <c r="BA456">
        <v>100</v>
      </c>
      <c r="BB456">
        <v>100</v>
      </c>
      <c r="BC456">
        <v>100</v>
      </c>
      <c r="BD456">
        <v>100</v>
      </c>
      <c r="BE456">
        <v>1</v>
      </c>
      <c r="BF456">
        <v>15000</v>
      </c>
      <c r="BG456">
        <v>1000</v>
      </c>
      <c r="BH456" s="6">
        <f>Grandview_Inventory[[#This Row],[land_extract]]*Lookups!$B$3</f>
        <v>48369.510983942157</v>
      </c>
      <c r="BI456" s="6">
        <f>IF(Grandview_Inventory[[#This Row],[bldg_style]]="",0,Lookups!$B$2)</f>
        <v>155833.95000000001</v>
      </c>
      <c r="BJ456" s="6">
        <f>_xlfn.IFNA(VLOOKUP(Grandview_Inventory[[#This Row],[quality]],Lookups!$H$2:$J$14,3,FALSE),0)</f>
        <v>10733</v>
      </c>
      <c r="BK456" s="6">
        <f>_xlfn.IFNA(VLOOKUP(Grandview_Inventory[[#This Row],[condition]],Lookups!$H$17:$J$24,3,FALSE),0)</f>
        <v>-4503</v>
      </c>
      <c r="BL456" s="6">
        <f>Grandview_Inventory[[#This Row],[Eff_Age]]*Lookups!$B$14</f>
        <v>-11719.163399999999</v>
      </c>
      <c r="BM456" s="6">
        <f>Grandview_Inventory[[#This Row],[living_area]]*Lookups!$B$15</f>
        <v>51089.918607</v>
      </c>
      <c r="BN456" s="6">
        <f>Grandview_Inventory[[#This Row],[Fin BSMT]]*Lookups!$B$16</f>
        <v>0</v>
      </c>
      <c r="BO456" s="6">
        <f>(Grandview_Inventory[[#This Row],[att_gar]]+Grandview_Inventory[[#This Row],[bltin_gar]])*Lookups!$B$17</f>
        <v>0</v>
      </c>
      <c r="BP456" s="6">
        <f>Grandview_Inventory[[#This Row],[Plumbing Fixtures]]*Lookups!$B$18</f>
        <v>10052.209000000001</v>
      </c>
      <c r="BQ456" s="6">
        <f>Grandview_Inventory[[#This Row],[detatched_value]]*Lookups!$B$19</f>
        <v>4318.7060099999999</v>
      </c>
      <c r="BR456" s="6">
        <f>SUM(Grandview_Inventory[[#This Row],[Intercept]:[det_value]])*Grandview_Inventory[[#This Row],[res_pct]]</f>
        <v>215805.62021700002</v>
      </c>
      <c r="BS456" s="6">
        <f>Grandview_Inventory[[#This Row],[land_value]]</f>
        <v>48369.510983942157</v>
      </c>
      <c r="BT456" s="4">
        <f>_xlfn.IFNA(VLOOKUP(Grandview_Inventory[[#This Row],[quality]],Lookups!$A$26:$C$33,3,FALSE),1)</f>
        <v>0.98079741117310582</v>
      </c>
      <c r="BU456" s="4">
        <f>_xlfn.IFNA(VLOOKUP(Grandview_Inventory[[#This Row],[condition]],Lookups!$A$37:$C$44,3,FALSE),1)</f>
        <v>0.96469275950863709</v>
      </c>
      <c r="BV456" s="4">
        <f>IF(Grandview_Inventory[[#This Row],[bldg_style]]="",1,_xlfn.IFNA(VLOOKUP(Grandview_Inventory[[#This Row],[decade]],Lookups!$F$29:$H$43,3,FALSE),1))</f>
        <v>0.99472141305414818</v>
      </c>
      <c r="BW456" s="4">
        <f>_xlfn.IFNA(VLOOKUP(Grandview_Inventory[[#This Row],[living_area_range]],Lookups!$F$47:$H$56,3,FALSE),1)</f>
        <v>0.94306777142782894</v>
      </c>
      <c r="BX456" s="4">
        <f>AVERAGE(Grandview_Inventory[[#This Row],[qual_adj]:[size_adj]])</f>
        <v>0.97081983879093003</v>
      </c>
      <c r="BY456" s="6">
        <f>IF(Grandview_Inventory[[#This Row],[pre_res]]&lt;0,0,Grandview_Inventory[[#This Row],[pre_res]]*Grandview_Inventory[[#This Row],[overall_adj]])</f>
        <v>209508.37742924463</v>
      </c>
      <c r="BZ456" s="6">
        <f>(Grandview_Inventory[[#This Row],[sum_land]]-IF(Grandview_Inventory[[#This Row],[no_utilities]]=1,12000,0))/IF(Grandview_Inventory[[#This Row],[unbuildable]]=1,2,1)</f>
        <v>48369.510983942157</v>
      </c>
      <c r="CA45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56">
        <f>ROUND(Grandview_Inventory[[#This Row],[det_value]]*Lookups!$M$28,-2)</f>
        <v>4100</v>
      </c>
      <c r="CC456">
        <f>IF(ROUND(Grandview_Inventory[[#This Row],[adj_res]]*Lookups!$M$28,-2)&lt;Grandview_Inventory[[#This Row],[min_res]],Grandview_Inventory[[#This Row],[min_res]],ROUND(Grandview_Inventory[[#This Row],[adj_res]]*Lookups!$M$28,-2))</f>
        <v>199000</v>
      </c>
      <c r="CD456">
        <f>Grandview_Inventory[[#This Row],[final_det]]+Grandview_Inventory[[#This Row],[final_res]]</f>
        <v>203100</v>
      </c>
      <c r="CE456">
        <f>Grandview_Inventory[[#This Row],[final_land]]+Grandview_Inventory[[#This Row],[final_imp]]+Grandview_Inventory[[#This Row],[crop_value]]</f>
        <v>249100</v>
      </c>
      <c r="CG456" t="str">
        <f t="shared" si="7"/>
        <v>update valuation set market_land =46000, market_bldg=203100, market_total =249100, market_mdno =401, market_date ='9/10/2023' where link_id = (select link_id from parcel where parcel_year = '2024' and parcel_id = '23092214424');</v>
      </c>
    </row>
    <row r="457" spans="1:85" x14ac:dyDescent="0.25">
      <c r="A457">
        <v>23092214425</v>
      </c>
      <c r="B457">
        <v>0.19</v>
      </c>
      <c r="C457">
        <v>8149</v>
      </c>
      <c r="D457" t="s">
        <v>129</v>
      </c>
      <c r="E457" t="s">
        <v>53</v>
      </c>
      <c r="F457" t="s">
        <v>53</v>
      </c>
      <c r="G457">
        <v>4</v>
      </c>
      <c r="H457" t="s">
        <v>54</v>
      </c>
      <c r="I457">
        <v>160900</v>
      </c>
      <c r="J457">
        <v>43300</v>
      </c>
      <c r="K457">
        <v>0.19</v>
      </c>
      <c r="L45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57">
        <v>0</v>
      </c>
      <c r="N457">
        <v>0</v>
      </c>
      <c r="O457">
        <v>0</v>
      </c>
      <c r="P457">
        <v>13398.7528</v>
      </c>
      <c r="Q457">
        <v>63903</v>
      </c>
      <c r="R457">
        <f>(Grandview_Inventory[[#This Row],[ln_acres]]*Grandview_Inventory[[#This Row],[coeff]])+Grandview_Inventory[[#This Row],[const]]</f>
        <v>41651.273092551026</v>
      </c>
      <c r="S457" t="s">
        <v>61</v>
      </c>
      <c r="T457">
        <v>1</v>
      </c>
      <c r="U457" t="s">
        <v>80</v>
      </c>
      <c r="V457" t="s">
        <v>67</v>
      </c>
      <c r="W457">
        <v>0</v>
      </c>
      <c r="X457">
        <v>0</v>
      </c>
      <c r="Y457">
        <v>49</v>
      </c>
      <c r="Z457">
        <v>65</v>
      </c>
      <c r="AA457">
        <v>70</v>
      </c>
      <c r="AB457">
        <v>1500</v>
      </c>
      <c r="AC457">
        <v>1108</v>
      </c>
      <c r="AD457">
        <v>1108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200</v>
      </c>
      <c r="AL457">
        <v>0</v>
      </c>
      <c r="AM457">
        <v>0</v>
      </c>
      <c r="AN457">
        <v>0</v>
      </c>
      <c r="AO457">
        <v>0</v>
      </c>
      <c r="AP457">
        <v>5</v>
      </c>
      <c r="AQ457">
        <v>0</v>
      </c>
      <c r="AR457">
        <v>0</v>
      </c>
      <c r="AS457" t="s">
        <v>58</v>
      </c>
      <c r="AT457">
        <v>1</v>
      </c>
      <c r="AU457" t="s">
        <v>79</v>
      </c>
      <c r="AV457" t="s">
        <v>60</v>
      </c>
      <c r="AW457">
        <v>0</v>
      </c>
      <c r="AX457">
        <v>3</v>
      </c>
      <c r="AY457">
        <v>0</v>
      </c>
      <c r="AZ457">
        <v>0</v>
      </c>
      <c r="BA457">
        <v>100</v>
      </c>
      <c r="BB457">
        <v>100</v>
      </c>
      <c r="BC457">
        <v>100</v>
      </c>
      <c r="BD457">
        <v>100</v>
      </c>
      <c r="BE457">
        <v>1</v>
      </c>
      <c r="BF457">
        <v>15000</v>
      </c>
      <c r="BG457">
        <v>1000</v>
      </c>
      <c r="BH457" s="6">
        <f>Grandview_Inventory[[#This Row],[land_extract]]*Lookups!$B$3</f>
        <v>48369.510983942157</v>
      </c>
      <c r="BI457" s="6">
        <f>IF(Grandview_Inventory[[#This Row],[bldg_style]]="",0,Lookups!$B$2)</f>
        <v>155833.95000000001</v>
      </c>
      <c r="BJ457" s="6">
        <f>_xlfn.IFNA(VLOOKUP(Grandview_Inventory[[#This Row],[quality]],Lookups!$H$2:$J$14,3,FALSE),0)</f>
        <v>-28558</v>
      </c>
      <c r="BK457" s="6">
        <f>_xlfn.IFNA(VLOOKUP(Grandview_Inventory[[#This Row],[condition]],Lookups!$H$17:$J$24,3,FALSE),0)</f>
        <v>22342</v>
      </c>
      <c r="BL457" s="6">
        <f>Grandview_Inventory[[#This Row],[Eff_Age]]*Lookups!$B$14</f>
        <v>-11719.163399999999</v>
      </c>
      <c r="BM457" s="6">
        <f>Grandview_Inventory[[#This Row],[living_area]]*Lookups!$B$15</f>
        <v>69117.985123999999</v>
      </c>
      <c r="BN457" s="6">
        <f>Grandview_Inventory[[#This Row],[Fin BSMT]]*Lookups!$B$16</f>
        <v>0</v>
      </c>
      <c r="BO457" s="6">
        <f>(Grandview_Inventory[[#This Row],[att_gar]]+Grandview_Inventory[[#This Row],[bltin_gar]])*Lookups!$B$17</f>
        <v>0</v>
      </c>
      <c r="BP457" s="6">
        <f>Grandview_Inventory[[#This Row],[Plumbing Fixtures]]*Lookups!$B$18</f>
        <v>10052.209000000001</v>
      </c>
      <c r="BQ457" s="6">
        <f>Grandview_Inventory[[#This Row],[detatched_value]]*Lookups!$B$19</f>
        <v>0</v>
      </c>
      <c r="BR457" s="6">
        <f>SUM(Grandview_Inventory[[#This Row],[Intercept]:[det_value]])*Grandview_Inventory[[#This Row],[res_pct]]</f>
        <v>217068.98072400002</v>
      </c>
      <c r="BS457" s="6">
        <f>Grandview_Inventory[[#This Row],[land_value]]</f>
        <v>48369.510983942157</v>
      </c>
      <c r="BT457" s="4">
        <f>_xlfn.IFNA(VLOOKUP(Grandview_Inventory[[#This Row],[quality]],Lookups!$A$26:$C$33,3,FALSE),1)</f>
        <v>0.9690360070159818</v>
      </c>
      <c r="BU457" s="4">
        <f>_xlfn.IFNA(VLOOKUP(Grandview_Inventory[[#This Row],[condition]],Lookups!$A$37:$C$44,3,FALSE),1)</f>
        <v>0.97383723671140243</v>
      </c>
      <c r="BV457" s="4">
        <f>IF(Grandview_Inventory[[#This Row],[bldg_style]]="",1,_xlfn.IFNA(VLOOKUP(Grandview_Inventory[[#This Row],[decade]],Lookups!$F$29:$H$43,3,FALSE),1))</f>
        <v>0.99472141305414818</v>
      </c>
      <c r="BW457" s="4">
        <f>_xlfn.IFNA(VLOOKUP(Grandview_Inventory[[#This Row],[living_area_range]],Lookups!$F$47:$H$56,3,FALSE),1)</f>
        <v>0.96135087979789358</v>
      </c>
      <c r="BX457" s="4">
        <f>AVERAGE(Grandview_Inventory[[#This Row],[qual_adj]:[size_adj]])</f>
        <v>0.97473638414485642</v>
      </c>
      <c r="BY457" s="6">
        <f>IF(Grandview_Inventory[[#This Row],[pre_res]]&lt;0,0,Grandview_Inventory[[#This Row],[pre_res]]*Grandview_Inventory[[#This Row],[overall_adj]])</f>
        <v>211585.03338092132</v>
      </c>
      <c r="BZ457" s="6">
        <f>(Grandview_Inventory[[#This Row],[sum_land]]-IF(Grandview_Inventory[[#This Row],[no_utilities]]=1,12000,0))/IF(Grandview_Inventory[[#This Row],[unbuildable]]=1,2,1)</f>
        <v>48369.510983942157</v>
      </c>
      <c r="CA45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57">
        <f>ROUND(Grandview_Inventory[[#This Row],[det_value]]*Lookups!$M$28,-2)</f>
        <v>0</v>
      </c>
      <c r="CC457">
        <f>IF(ROUND(Grandview_Inventory[[#This Row],[adj_res]]*Lookups!$M$28,-2)&lt;Grandview_Inventory[[#This Row],[min_res]],Grandview_Inventory[[#This Row],[min_res]],ROUND(Grandview_Inventory[[#This Row],[adj_res]]*Lookups!$M$28,-2))</f>
        <v>201000</v>
      </c>
      <c r="CD457">
        <f>Grandview_Inventory[[#This Row],[final_det]]+Grandview_Inventory[[#This Row],[final_res]]</f>
        <v>201000</v>
      </c>
      <c r="CE457">
        <f>Grandview_Inventory[[#This Row],[final_land]]+Grandview_Inventory[[#This Row],[final_imp]]+Grandview_Inventory[[#This Row],[crop_value]]</f>
        <v>247000</v>
      </c>
      <c r="CG457" t="str">
        <f t="shared" si="7"/>
        <v>update valuation set market_land =46000, market_bldg=201000, market_total =247000, market_mdno =401, market_date ='9/10/2023' where link_id = (select link_id from parcel where parcel_year = '2024' and parcel_id = '23092214425');</v>
      </c>
    </row>
    <row r="458" spans="1:85" x14ac:dyDescent="0.25">
      <c r="A458">
        <v>23092214426</v>
      </c>
      <c r="B458">
        <v>0.18</v>
      </c>
      <c r="C458">
        <v>8050</v>
      </c>
      <c r="D458" t="s">
        <v>129</v>
      </c>
      <c r="E458" t="s">
        <v>53</v>
      </c>
      <c r="F458" t="s">
        <v>53</v>
      </c>
      <c r="G458">
        <v>4</v>
      </c>
      <c r="H458" t="s">
        <v>54</v>
      </c>
      <c r="I458">
        <v>167500</v>
      </c>
      <c r="J458">
        <v>43300</v>
      </c>
      <c r="K458">
        <v>0.18</v>
      </c>
      <c r="L45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58">
        <v>0</v>
      </c>
      <c r="N458">
        <v>0</v>
      </c>
      <c r="O458">
        <v>0</v>
      </c>
      <c r="P458">
        <v>13398.7528</v>
      </c>
      <c r="Q458">
        <v>63903</v>
      </c>
      <c r="R458">
        <f>(Grandview_Inventory[[#This Row],[ln_acres]]*Grandview_Inventory[[#This Row],[coeff]])+Grandview_Inventory[[#This Row],[const]]</f>
        <v>40926.839760167699</v>
      </c>
      <c r="S458" t="s">
        <v>61</v>
      </c>
      <c r="T458">
        <v>1</v>
      </c>
      <c r="U458" t="s">
        <v>65</v>
      </c>
      <c r="V458" t="s">
        <v>67</v>
      </c>
      <c r="W458">
        <v>0</v>
      </c>
      <c r="X458">
        <v>0</v>
      </c>
      <c r="Y458">
        <v>49</v>
      </c>
      <c r="Z458">
        <v>65</v>
      </c>
      <c r="AA458">
        <v>70</v>
      </c>
      <c r="AB458">
        <v>1500</v>
      </c>
      <c r="AC458">
        <v>1108</v>
      </c>
      <c r="AD458">
        <v>1108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260</v>
      </c>
      <c r="AL458">
        <v>0</v>
      </c>
      <c r="AM458">
        <v>420</v>
      </c>
      <c r="AN458">
        <v>0</v>
      </c>
      <c r="AO458">
        <v>0</v>
      </c>
      <c r="AP458">
        <v>5</v>
      </c>
      <c r="AQ458">
        <v>0</v>
      </c>
      <c r="AR458">
        <v>0</v>
      </c>
      <c r="AS458" t="s">
        <v>58</v>
      </c>
      <c r="AT458">
        <v>1</v>
      </c>
      <c r="AU458" t="s">
        <v>79</v>
      </c>
      <c r="AV458" t="s">
        <v>64</v>
      </c>
      <c r="AW458">
        <v>0</v>
      </c>
      <c r="AX458">
        <v>3</v>
      </c>
      <c r="AY458">
        <v>0</v>
      </c>
      <c r="AZ458">
        <v>0</v>
      </c>
      <c r="BA458">
        <v>100</v>
      </c>
      <c r="BB458">
        <v>100</v>
      </c>
      <c r="BC458">
        <v>100</v>
      </c>
      <c r="BD458">
        <v>100</v>
      </c>
      <c r="BE458">
        <v>1</v>
      </c>
      <c r="BF458">
        <v>15000</v>
      </c>
      <c r="BG458">
        <v>1000</v>
      </c>
      <c r="BH458" s="6">
        <f>Grandview_Inventory[[#This Row],[land_extract]]*Lookups!$B$3</f>
        <v>47528.228511015397</v>
      </c>
      <c r="BI458" s="6">
        <f>IF(Grandview_Inventory[[#This Row],[bldg_style]]="",0,Lookups!$B$2)</f>
        <v>155833.95000000001</v>
      </c>
      <c r="BJ458" s="6">
        <f>_xlfn.IFNA(VLOOKUP(Grandview_Inventory[[#This Row],[quality]],Lookups!$H$2:$J$14,3,FALSE),0)</f>
        <v>2251</v>
      </c>
      <c r="BK458" s="6">
        <f>_xlfn.IFNA(VLOOKUP(Grandview_Inventory[[#This Row],[condition]],Lookups!$H$17:$J$24,3,FALSE),0)</f>
        <v>22342</v>
      </c>
      <c r="BL458" s="6">
        <f>Grandview_Inventory[[#This Row],[Eff_Age]]*Lookups!$B$14</f>
        <v>-11719.163399999999</v>
      </c>
      <c r="BM458" s="6">
        <f>Grandview_Inventory[[#This Row],[living_area]]*Lookups!$B$15</f>
        <v>69117.985123999999</v>
      </c>
      <c r="BN458" s="6">
        <f>Grandview_Inventory[[#This Row],[Fin BSMT]]*Lookups!$B$16</f>
        <v>0</v>
      </c>
      <c r="BO458" s="6">
        <f>(Grandview_Inventory[[#This Row],[att_gar]]+Grandview_Inventory[[#This Row],[bltin_gar]])*Lookups!$B$17</f>
        <v>0</v>
      </c>
      <c r="BP458" s="6">
        <f>Grandview_Inventory[[#This Row],[Plumbing Fixtures]]*Lookups!$B$18</f>
        <v>10052.209000000001</v>
      </c>
      <c r="BQ458" s="6">
        <f>Grandview_Inventory[[#This Row],[detatched_value]]*Lookups!$B$19</f>
        <v>0</v>
      </c>
      <c r="BR458" s="6">
        <f>SUM(Grandview_Inventory[[#This Row],[Intercept]:[det_value]])*Grandview_Inventory[[#This Row],[res_pct]]</f>
        <v>247877.98072400002</v>
      </c>
      <c r="BS458" s="6">
        <f>Grandview_Inventory[[#This Row],[land_value]]</f>
        <v>47528.228511015397</v>
      </c>
      <c r="BT458" s="4">
        <f>_xlfn.IFNA(VLOOKUP(Grandview_Inventory[[#This Row],[quality]],Lookups!$A$26:$C$33,3,FALSE),1)</f>
        <v>0.98763855981004833</v>
      </c>
      <c r="BU458" s="4">
        <f>_xlfn.IFNA(VLOOKUP(Grandview_Inventory[[#This Row],[condition]],Lookups!$A$37:$C$44,3,FALSE),1)</f>
        <v>0.97383723671140243</v>
      </c>
      <c r="BV458" s="4">
        <f>IF(Grandview_Inventory[[#This Row],[bldg_style]]="",1,_xlfn.IFNA(VLOOKUP(Grandview_Inventory[[#This Row],[decade]],Lookups!$F$29:$H$43,3,FALSE),1))</f>
        <v>0.99472141305414818</v>
      </c>
      <c r="BW458" s="4">
        <f>_xlfn.IFNA(VLOOKUP(Grandview_Inventory[[#This Row],[living_area_range]],Lookups!$F$47:$H$56,3,FALSE),1)</f>
        <v>0.96135087979789358</v>
      </c>
      <c r="BX458" s="4">
        <f>AVERAGE(Grandview_Inventory[[#This Row],[qual_adj]:[size_adj]])</f>
        <v>0.97938702234337316</v>
      </c>
      <c r="BY458" s="6">
        <f>IF(Grandview_Inventory[[#This Row],[pre_res]]&lt;0,0,Grandview_Inventory[[#This Row],[pre_res]]*Grandview_Inventory[[#This Row],[overall_adj]])</f>
        <v>242768.47744576642</v>
      </c>
      <c r="BZ458" s="6">
        <f>(Grandview_Inventory[[#This Row],[sum_land]]-IF(Grandview_Inventory[[#This Row],[no_utilities]]=1,12000,0))/IF(Grandview_Inventory[[#This Row],[unbuildable]]=1,2,1)</f>
        <v>47528.228511015397</v>
      </c>
      <c r="CA45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58">
        <f>ROUND(Grandview_Inventory[[#This Row],[det_value]]*Lookups!$M$28,-2)</f>
        <v>0</v>
      </c>
      <c r="CC458">
        <f>IF(ROUND(Grandview_Inventory[[#This Row],[adj_res]]*Lookups!$M$28,-2)&lt;Grandview_Inventory[[#This Row],[min_res]],Grandview_Inventory[[#This Row],[min_res]],ROUND(Grandview_Inventory[[#This Row],[adj_res]]*Lookups!$M$28,-2))</f>
        <v>230600</v>
      </c>
      <c r="CD458">
        <f>Grandview_Inventory[[#This Row],[final_det]]+Grandview_Inventory[[#This Row],[final_res]]</f>
        <v>230600</v>
      </c>
      <c r="CE458">
        <f>Grandview_Inventory[[#This Row],[final_land]]+Grandview_Inventory[[#This Row],[final_imp]]+Grandview_Inventory[[#This Row],[crop_value]]</f>
        <v>275800</v>
      </c>
      <c r="CG458" t="str">
        <f t="shared" si="7"/>
        <v>update valuation set market_land =45200, market_bldg=230600, market_total =275800, market_mdno =401, market_date ='9/10/2023' where link_id = (select link_id from parcel where parcel_year = '2024' and parcel_id = '23092214426');</v>
      </c>
    </row>
    <row r="459" spans="1:85" x14ac:dyDescent="0.25">
      <c r="A459">
        <v>23092214427</v>
      </c>
      <c r="B459">
        <v>0.18</v>
      </c>
      <c r="C459">
        <v>8050</v>
      </c>
      <c r="D459" t="s">
        <v>129</v>
      </c>
      <c r="E459" t="s">
        <v>53</v>
      </c>
      <c r="F459" t="s">
        <v>53</v>
      </c>
      <c r="G459">
        <v>4</v>
      </c>
      <c r="H459" t="s">
        <v>54</v>
      </c>
      <c r="I459">
        <v>129400</v>
      </c>
      <c r="J459">
        <v>43300</v>
      </c>
      <c r="K459">
        <v>0.18</v>
      </c>
      <c r="L45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59">
        <v>0</v>
      </c>
      <c r="N459">
        <v>0</v>
      </c>
      <c r="O459">
        <v>0</v>
      </c>
      <c r="P459">
        <v>13398.7528</v>
      </c>
      <c r="Q459">
        <v>63903</v>
      </c>
      <c r="R459">
        <f>(Grandview_Inventory[[#This Row],[ln_acres]]*Grandview_Inventory[[#This Row],[coeff]])+Grandview_Inventory[[#This Row],[const]]</f>
        <v>40926.839760167699</v>
      </c>
      <c r="S459" t="s">
        <v>61</v>
      </c>
      <c r="T459">
        <v>1</v>
      </c>
      <c r="U459" t="s">
        <v>65</v>
      </c>
      <c r="V459" t="s">
        <v>69</v>
      </c>
      <c r="W459">
        <v>0</v>
      </c>
      <c r="X459">
        <v>0</v>
      </c>
      <c r="Y459">
        <v>49</v>
      </c>
      <c r="Z459">
        <v>65</v>
      </c>
      <c r="AA459">
        <v>70</v>
      </c>
      <c r="AB459">
        <v>1500</v>
      </c>
      <c r="AC459">
        <v>1084</v>
      </c>
      <c r="AD459">
        <v>1084</v>
      </c>
      <c r="AE459">
        <v>0</v>
      </c>
      <c r="AF459">
        <v>0</v>
      </c>
      <c r="AG459">
        <v>0</v>
      </c>
      <c r="AH459">
        <v>200</v>
      </c>
      <c r="AI459">
        <v>0</v>
      </c>
      <c r="AJ459">
        <v>0</v>
      </c>
      <c r="AK459">
        <v>253</v>
      </c>
      <c r="AL459">
        <v>0</v>
      </c>
      <c r="AM459">
        <v>0</v>
      </c>
      <c r="AN459">
        <v>0</v>
      </c>
      <c r="AO459">
        <v>0</v>
      </c>
      <c r="AP459">
        <v>5</v>
      </c>
      <c r="AQ459">
        <v>0</v>
      </c>
      <c r="AR459">
        <v>0</v>
      </c>
      <c r="AS459" t="s">
        <v>58</v>
      </c>
      <c r="AT459">
        <v>1</v>
      </c>
      <c r="AU459" t="s">
        <v>63</v>
      </c>
      <c r="AV459" t="s">
        <v>60</v>
      </c>
      <c r="AW459">
        <v>0</v>
      </c>
      <c r="AX459">
        <v>3</v>
      </c>
      <c r="AY459">
        <v>0</v>
      </c>
      <c r="AZ459">
        <v>0</v>
      </c>
      <c r="BA459">
        <v>100</v>
      </c>
      <c r="BB459">
        <v>100</v>
      </c>
      <c r="BC459">
        <v>100</v>
      </c>
      <c r="BD459">
        <v>100</v>
      </c>
      <c r="BE459">
        <v>1</v>
      </c>
      <c r="BF459">
        <v>15000</v>
      </c>
      <c r="BG459">
        <v>1000</v>
      </c>
      <c r="BH459" s="6">
        <f>Grandview_Inventory[[#This Row],[land_extract]]*Lookups!$B$3</f>
        <v>47528.228511015397</v>
      </c>
      <c r="BI459" s="6">
        <f>IF(Grandview_Inventory[[#This Row],[bldg_style]]="",0,Lookups!$B$2)</f>
        <v>155833.95000000001</v>
      </c>
      <c r="BJ459" s="6">
        <f>_xlfn.IFNA(VLOOKUP(Grandview_Inventory[[#This Row],[quality]],Lookups!$H$2:$J$14,3,FALSE),0)</f>
        <v>2251</v>
      </c>
      <c r="BK459" s="6">
        <f>_xlfn.IFNA(VLOOKUP(Grandview_Inventory[[#This Row],[condition]],Lookups!$H$17:$J$24,3,FALSE),0)</f>
        <v>-4503</v>
      </c>
      <c r="BL459" s="6">
        <f>Grandview_Inventory[[#This Row],[Eff_Age]]*Lookups!$B$14</f>
        <v>-11719.163399999999</v>
      </c>
      <c r="BM459" s="6">
        <f>Grandview_Inventory[[#This Row],[living_area]]*Lookups!$B$15</f>
        <v>67620.844652</v>
      </c>
      <c r="BN459" s="6">
        <f>Grandview_Inventory[[#This Row],[Fin BSMT]]*Lookups!$B$16</f>
        <v>0</v>
      </c>
      <c r="BO459" s="6">
        <f>(Grandview_Inventory[[#This Row],[att_gar]]+Grandview_Inventory[[#This Row],[bltin_gar]])*Lookups!$B$17</f>
        <v>0</v>
      </c>
      <c r="BP459" s="6">
        <f>Grandview_Inventory[[#This Row],[Plumbing Fixtures]]*Lookups!$B$18</f>
        <v>10052.209000000001</v>
      </c>
      <c r="BQ459" s="6">
        <f>Grandview_Inventory[[#This Row],[detatched_value]]*Lookups!$B$19</f>
        <v>0</v>
      </c>
      <c r="BR459" s="6">
        <f>SUM(Grandview_Inventory[[#This Row],[Intercept]:[det_value]])*Grandview_Inventory[[#This Row],[res_pct]]</f>
        <v>219535.84025200002</v>
      </c>
      <c r="BS459" s="6">
        <f>Grandview_Inventory[[#This Row],[land_value]]</f>
        <v>47528.228511015397</v>
      </c>
      <c r="BT459" s="4">
        <f>_xlfn.IFNA(VLOOKUP(Grandview_Inventory[[#This Row],[quality]],Lookups!$A$26:$C$33,3,FALSE),1)</f>
        <v>0.98763855981004833</v>
      </c>
      <c r="BU459" s="4">
        <f>_xlfn.IFNA(VLOOKUP(Grandview_Inventory[[#This Row],[condition]],Lookups!$A$37:$C$44,3,FALSE),1)</f>
        <v>0.96469275950863709</v>
      </c>
      <c r="BV459" s="4">
        <f>IF(Grandview_Inventory[[#This Row],[bldg_style]]="",1,_xlfn.IFNA(VLOOKUP(Grandview_Inventory[[#This Row],[decade]],Lookups!$F$29:$H$43,3,FALSE),1))</f>
        <v>0.99472141305414818</v>
      </c>
      <c r="BW459" s="4">
        <f>_xlfn.IFNA(VLOOKUP(Grandview_Inventory[[#This Row],[living_area_range]],Lookups!$F$47:$H$56,3,FALSE),1)</f>
        <v>0.96135087979789358</v>
      </c>
      <c r="BX459" s="4">
        <f>AVERAGE(Grandview_Inventory[[#This Row],[qual_adj]:[size_adj]])</f>
        <v>0.97710090304268182</v>
      </c>
      <c r="BY459" s="6">
        <f>IF(Grandview_Inventory[[#This Row],[pre_res]]&lt;0,0,Grandview_Inventory[[#This Row],[pre_res]]*Grandview_Inventory[[#This Row],[overall_adj]])</f>
        <v>214508.66776046317</v>
      </c>
      <c r="BZ459" s="6">
        <f>(Grandview_Inventory[[#This Row],[sum_land]]-IF(Grandview_Inventory[[#This Row],[no_utilities]]=1,12000,0))/IF(Grandview_Inventory[[#This Row],[unbuildable]]=1,2,1)</f>
        <v>47528.228511015397</v>
      </c>
      <c r="CA45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59">
        <f>ROUND(Grandview_Inventory[[#This Row],[det_value]]*Lookups!$M$28,-2)</f>
        <v>0</v>
      </c>
      <c r="CC459">
        <f>IF(ROUND(Grandview_Inventory[[#This Row],[adj_res]]*Lookups!$M$28,-2)&lt;Grandview_Inventory[[#This Row],[min_res]],Grandview_Inventory[[#This Row],[min_res]],ROUND(Grandview_Inventory[[#This Row],[adj_res]]*Lookups!$M$28,-2))</f>
        <v>203800</v>
      </c>
      <c r="CD459">
        <f>Grandview_Inventory[[#This Row],[final_det]]+Grandview_Inventory[[#This Row],[final_res]]</f>
        <v>203800</v>
      </c>
      <c r="CE459">
        <f>Grandview_Inventory[[#This Row],[final_land]]+Grandview_Inventory[[#This Row],[final_imp]]+Grandview_Inventory[[#This Row],[crop_value]]</f>
        <v>249000</v>
      </c>
      <c r="CG459" t="str">
        <f t="shared" si="7"/>
        <v>update valuation set market_land =45200, market_bldg=203800, market_total =249000, market_mdno =401, market_date ='9/10/2023' where link_id = (select link_id from parcel where parcel_year = '2024' and parcel_id = '23092214427');</v>
      </c>
    </row>
    <row r="460" spans="1:85" x14ac:dyDescent="0.25">
      <c r="A460">
        <v>23092214428</v>
      </c>
      <c r="B460">
        <v>0.19</v>
      </c>
      <c r="C460">
        <v>8395</v>
      </c>
      <c r="D460" t="s">
        <v>129</v>
      </c>
      <c r="E460" t="s">
        <v>53</v>
      </c>
      <c r="F460" t="s">
        <v>53</v>
      </c>
      <c r="G460">
        <v>4</v>
      </c>
      <c r="H460" t="s">
        <v>54</v>
      </c>
      <c r="I460">
        <v>240600</v>
      </c>
      <c r="J460">
        <v>43500</v>
      </c>
      <c r="K460">
        <v>0.19</v>
      </c>
      <c r="L46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60">
        <v>0</v>
      </c>
      <c r="N460">
        <v>0</v>
      </c>
      <c r="O460">
        <v>0</v>
      </c>
      <c r="P460">
        <v>13398.7528</v>
      </c>
      <c r="Q460">
        <v>63903</v>
      </c>
      <c r="R460">
        <f>(Grandview_Inventory[[#This Row],[ln_acres]]*Grandview_Inventory[[#This Row],[coeff]])+Grandview_Inventory[[#This Row],[const]]</f>
        <v>41651.273092551026</v>
      </c>
      <c r="S460" t="s">
        <v>61</v>
      </c>
      <c r="T460">
        <v>1</v>
      </c>
      <c r="U460" t="s">
        <v>62</v>
      </c>
      <c r="V460" t="s">
        <v>67</v>
      </c>
      <c r="W460">
        <v>0</v>
      </c>
      <c r="X460">
        <v>0</v>
      </c>
      <c r="Y460">
        <v>49</v>
      </c>
      <c r="Z460">
        <v>68</v>
      </c>
      <c r="AA460">
        <v>70</v>
      </c>
      <c r="AB460">
        <v>3000</v>
      </c>
      <c r="AC460">
        <v>2557</v>
      </c>
      <c r="AD460">
        <v>1364</v>
      </c>
      <c r="AE460">
        <v>0</v>
      </c>
      <c r="AF460">
        <v>0</v>
      </c>
      <c r="AG460">
        <v>1193</v>
      </c>
      <c r="AH460">
        <v>0</v>
      </c>
      <c r="AI460">
        <v>384</v>
      </c>
      <c r="AJ460">
        <v>0</v>
      </c>
      <c r="AK460">
        <v>0</v>
      </c>
      <c r="AL460">
        <v>0</v>
      </c>
      <c r="AM460">
        <v>160</v>
      </c>
      <c r="AN460">
        <v>0</v>
      </c>
      <c r="AO460">
        <v>160</v>
      </c>
      <c r="AP460">
        <v>8</v>
      </c>
      <c r="AQ460">
        <v>0</v>
      </c>
      <c r="AR460">
        <v>0</v>
      </c>
      <c r="AS460" t="s">
        <v>58</v>
      </c>
      <c r="AT460">
        <v>1</v>
      </c>
      <c r="AU460" t="s">
        <v>63</v>
      </c>
      <c r="AV460" t="s">
        <v>64</v>
      </c>
      <c r="AW460">
        <v>1</v>
      </c>
      <c r="AX460">
        <v>2</v>
      </c>
      <c r="AY460">
        <v>0</v>
      </c>
      <c r="AZ460">
        <v>5900</v>
      </c>
      <c r="BA460">
        <v>100</v>
      </c>
      <c r="BB460">
        <v>100</v>
      </c>
      <c r="BC460">
        <v>100</v>
      </c>
      <c r="BD460">
        <v>100</v>
      </c>
      <c r="BE460">
        <v>1</v>
      </c>
      <c r="BF460">
        <v>15000</v>
      </c>
      <c r="BG460">
        <v>1000</v>
      </c>
      <c r="BH460" s="6">
        <f>Grandview_Inventory[[#This Row],[land_extract]]*Lookups!$B$3</f>
        <v>48369.510983942157</v>
      </c>
      <c r="BI460" s="6">
        <f>IF(Grandview_Inventory[[#This Row],[bldg_style]]="",0,Lookups!$B$2)</f>
        <v>155833.95000000001</v>
      </c>
      <c r="BJ460" s="6">
        <f>_xlfn.IFNA(VLOOKUP(Grandview_Inventory[[#This Row],[quality]],Lookups!$H$2:$J$14,3,FALSE),0)</f>
        <v>9808</v>
      </c>
      <c r="BK460" s="6">
        <f>_xlfn.IFNA(VLOOKUP(Grandview_Inventory[[#This Row],[condition]],Lookups!$H$17:$J$24,3,FALSE),0)</f>
        <v>22342</v>
      </c>
      <c r="BL460" s="6">
        <f>Grandview_Inventory[[#This Row],[Eff_Age]]*Lookups!$B$14</f>
        <v>-11719.163399999999</v>
      </c>
      <c r="BM460" s="6">
        <f>Grandview_Inventory[[#This Row],[living_area]]*Lookups!$B$15</f>
        <v>159507.841121</v>
      </c>
      <c r="BN460" s="6">
        <f>Grandview_Inventory[[#This Row],[Fin BSMT]]*Lookups!$B$16</f>
        <v>-32329.393320000003</v>
      </c>
      <c r="BO460" s="6">
        <f>(Grandview_Inventory[[#This Row],[att_gar]]+Grandview_Inventory[[#This Row],[bltin_gar]])*Lookups!$B$17</f>
        <v>33607.847807999999</v>
      </c>
      <c r="BP460" s="6">
        <f>Grandview_Inventory[[#This Row],[Plumbing Fixtures]]*Lookups!$B$18</f>
        <v>16083.5344</v>
      </c>
      <c r="BQ460" s="6">
        <f>Grandview_Inventory[[#This Row],[detatched_value]]*Lookups!$B$19</f>
        <v>4996.1500900000001</v>
      </c>
      <c r="BR460" s="6">
        <f>SUM(Grandview_Inventory[[#This Row],[Intercept]:[det_value]])*Grandview_Inventory[[#This Row],[res_pct]]</f>
        <v>358130.76669899997</v>
      </c>
      <c r="BS460" s="6">
        <f>Grandview_Inventory[[#This Row],[land_value]]</f>
        <v>48369.510983942157</v>
      </c>
      <c r="BT460" s="4">
        <f>_xlfn.IFNA(VLOOKUP(Grandview_Inventory[[#This Row],[quality]],Lookups!$A$26:$C$33,3,FALSE),1)</f>
        <v>0.94295468617355149</v>
      </c>
      <c r="BU460" s="4">
        <f>_xlfn.IFNA(VLOOKUP(Grandview_Inventory[[#This Row],[condition]],Lookups!$A$37:$C$44,3,FALSE),1)</f>
        <v>0.97383723671140243</v>
      </c>
      <c r="BV460" s="4">
        <f>IF(Grandview_Inventory[[#This Row],[bldg_style]]="",1,_xlfn.IFNA(VLOOKUP(Grandview_Inventory[[#This Row],[decade]],Lookups!$F$29:$H$43,3,FALSE),1))</f>
        <v>0.99472141305414818</v>
      </c>
      <c r="BW460" s="4">
        <f>_xlfn.IFNA(VLOOKUP(Grandview_Inventory[[#This Row],[living_area_range]],Lookups!$F$47:$H$56,3,FALSE),1)</f>
        <v>0.94224801443562123</v>
      </c>
      <c r="BX460" s="4">
        <f>AVERAGE(Grandview_Inventory[[#This Row],[qual_adj]:[size_adj]])</f>
        <v>0.96344033759368086</v>
      </c>
      <c r="BY460" s="6">
        <f>IF(Grandview_Inventory[[#This Row],[pre_res]]&lt;0,0,Grandview_Inventory[[#This Row],[pre_res]]*Grandview_Inventory[[#This Row],[overall_adj]])</f>
        <v>345037.62677116832</v>
      </c>
      <c r="BZ460" s="6">
        <f>(Grandview_Inventory[[#This Row],[sum_land]]-IF(Grandview_Inventory[[#This Row],[no_utilities]]=1,12000,0))/IF(Grandview_Inventory[[#This Row],[unbuildable]]=1,2,1)</f>
        <v>48369.510983942157</v>
      </c>
      <c r="CA46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60">
        <f>ROUND(Grandview_Inventory[[#This Row],[det_value]]*Lookups!$M$28,-2)</f>
        <v>4700</v>
      </c>
      <c r="CC460">
        <f>IF(ROUND(Grandview_Inventory[[#This Row],[adj_res]]*Lookups!$M$28,-2)&lt;Grandview_Inventory[[#This Row],[min_res]],Grandview_Inventory[[#This Row],[min_res]],ROUND(Grandview_Inventory[[#This Row],[adj_res]]*Lookups!$M$28,-2))</f>
        <v>327800</v>
      </c>
      <c r="CD460">
        <f>Grandview_Inventory[[#This Row],[final_det]]+Grandview_Inventory[[#This Row],[final_res]]</f>
        <v>332500</v>
      </c>
      <c r="CE460">
        <f>Grandview_Inventory[[#This Row],[final_land]]+Grandview_Inventory[[#This Row],[final_imp]]+Grandview_Inventory[[#This Row],[crop_value]]</f>
        <v>378500</v>
      </c>
      <c r="CG460" t="str">
        <f t="shared" si="7"/>
        <v>update valuation set market_land =46000, market_bldg=332500, market_total =378500, market_mdno =401, market_date ='9/10/2023' where link_id = (select link_id from parcel where parcel_year = '2024' and parcel_id = '23092214428');</v>
      </c>
    </row>
    <row r="461" spans="1:85" x14ac:dyDescent="0.25">
      <c r="A461">
        <v>23092214429</v>
      </c>
      <c r="B461">
        <v>0.18</v>
      </c>
      <c r="C461">
        <v>8056</v>
      </c>
      <c r="D461" t="s">
        <v>129</v>
      </c>
      <c r="E461" t="s">
        <v>53</v>
      </c>
      <c r="F461" t="s">
        <v>53</v>
      </c>
      <c r="G461">
        <v>4</v>
      </c>
      <c r="H461" t="s">
        <v>54</v>
      </c>
      <c r="I461">
        <v>105300</v>
      </c>
      <c r="J461">
        <v>39000</v>
      </c>
      <c r="K461">
        <v>0.18</v>
      </c>
      <c r="L46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461">
        <v>0</v>
      </c>
      <c r="N461">
        <v>0</v>
      </c>
      <c r="O461">
        <v>0</v>
      </c>
      <c r="P461">
        <v>13398.7528</v>
      </c>
      <c r="Q461">
        <v>63903</v>
      </c>
      <c r="R461">
        <f>(Grandview_Inventory[[#This Row],[ln_acres]]*Grandview_Inventory[[#This Row],[coeff]])+Grandview_Inventory[[#This Row],[const]]</f>
        <v>40926.839760167699</v>
      </c>
      <c r="S461" t="s">
        <v>68</v>
      </c>
      <c r="T461">
        <v>1</v>
      </c>
      <c r="U461" t="s">
        <v>65</v>
      </c>
      <c r="V461" t="s">
        <v>69</v>
      </c>
      <c r="W461">
        <v>0</v>
      </c>
      <c r="X461">
        <v>0</v>
      </c>
      <c r="Y461">
        <v>49</v>
      </c>
      <c r="Z461">
        <v>68</v>
      </c>
      <c r="AA461">
        <v>70</v>
      </c>
      <c r="AB461">
        <v>1000</v>
      </c>
      <c r="AC461">
        <v>880</v>
      </c>
      <c r="AD461">
        <v>880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406</v>
      </c>
      <c r="AN461">
        <v>0</v>
      </c>
      <c r="AO461">
        <v>546</v>
      </c>
      <c r="AP461">
        <v>5</v>
      </c>
      <c r="AQ461">
        <v>0</v>
      </c>
      <c r="AR461">
        <v>0</v>
      </c>
      <c r="AS461" t="s">
        <v>58</v>
      </c>
      <c r="AT461">
        <v>1</v>
      </c>
      <c r="AU461" t="s">
        <v>63</v>
      </c>
      <c r="AV461" t="s">
        <v>60</v>
      </c>
      <c r="AW461">
        <v>0</v>
      </c>
      <c r="AX461">
        <v>2</v>
      </c>
      <c r="AY461">
        <v>0</v>
      </c>
      <c r="AZ461">
        <v>0</v>
      </c>
      <c r="BA461">
        <v>100</v>
      </c>
      <c r="BB461">
        <v>100</v>
      </c>
      <c r="BC461">
        <v>100</v>
      </c>
      <c r="BD461">
        <v>100</v>
      </c>
      <c r="BE461">
        <v>1</v>
      </c>
      <c r="BF461">
        <v>15000</v>
      </c>
      <c r="BG461">
        <v>1000</v>
      </c>
      <c r="BH461" s="6">
        <f>Grandview_Inventory[[#This Row],[land_extract]]*Lookups!$B$3</f>
        <v>47528.228511015397</v>
      </c>
      <c r="BI461" s="6">
        <f>IF(Grandview_Inventory[[#This Row],[bldg_style]]="",0,Lookups!$B$2)</f>
        <v>155833.95000000001</v>
      </c>
      <c r="BJ461" s="6">
        <f>_xlfn.IFNA(VLOOKUP(Grandview_Inventory[[#This Row],[quality]],Lookups!$H$2:$J$14,3,FALSE),0)</f>
        <v>2251</v>
      </c>
      <c r="BK461" s="6">
        <f>_xlfn.IFNA(VLOOKUP(Grandview_Inventory[[#This Row],[condition]],Lookups!$H$17:$J$24,3,FALSE),0)</f>
        <v>-4503</v>
      </c>
      <c r="BL461" s="6">
        <f>Grandview_Inventory[[#This Row],[Eff_Age]]*Lookups!$B$14</f>
        <v>-11719.163399999999</v>
      </c>
      <c r="BM461" s="6">
        <f>Grandview_Inventory[[#This Row],[living_area]]*Lookups!$B$15</f>
        <v>54895.15064</v>
      </c>
      <c r="BN461" s="6">
        <f>Grandview_Inventory[[#This Row],[Fin BSMT]]*Lookups!$B$16</f>
        <v>0</v>
      </c>
      <c r="BO461" s="6">
        <f>(Grandview_Inventory[[#This Row],[att_gar]]+Grandview_Inventory[[#This Row],[bltin_gar]])*Lookups!$B$17</f>
        <v>0</v>
      </c>
      <c r="BP461" s="6">
        <f>Grandview_Inventory[[#This Row],[Plumbing Fixtures]]*Lookups!$B$18</f>
        <v>10052.209000000001</v>
      </c>
      <c r="BQ461" s="6">
        <f>Grandview_Inventory[[#This Row],[detatched_value]]*Lookups!$B$19</f>
        <v>0</v>
      </c>
      <c r="BR461" s="6">
        <f>SUM(Grandview_Inventory[[#This Row],[Intercept]:[det_value]])*Grandview_Inventory[[#This Row],[res_pct]]</f>
        <v>206810.14624000003</v>
      </c>
      <c r="BS461" s="6">
        <f>Grandview_Inventory[[#This Row],[land_value]]</f>
        <v>47528.228511015397</v>
      </c>
      <c r="BT461" s="4">
        <f>_xlfn.IFNA(VLOOKUP(Grandview_Inventory[[#This Row],[quality]],Lookups!$A$26:$C$33,3,FALSE),1)</f>
        <v>0.98763855981004833</v>
      </c>
      <c r="BU461" s="4">
        <f>_xlfn.IFNA(VLOOKUP(Grandview_Inventory[[#This Row],[condition]],Lookups!$A$37:$C$44,3,FALSE),1)</f>
        <v>0.96469275950863709</v>
      </c>
      <c r="BV461" s="4">
        <f>IF(Grandview_Inventory[[#This Row],[bldg_style]]="",1,_xlfn.IFNA(VLOOKUP(Grandview_Inventory[[#This Row],[decade]],Lookups!$F$29:$H$43,3,FALSE),1))</f>
        <v>0.99472141305414818</v>
      </c>
      <c r="BW461" s="4">
        <f>_xlfn.IFNA(VLOOKUP(Grandview_Inventory[[#This Row],[living_area_range]],Lookups!$F$47:$H$56,3,FALSE),1)</f>
        <v>0.94306777142782894</v>
      </c>
      <c r="BX461" s="4">
        <f>AVERAGE(Grandview_Inventory[[#This Row],[qual_adj]:[size_adj]])</f>
        <v>0.97253012595016564</v>
      </c>
      <c r="BY461" s="6">
        <f>IF(Grandview_Inventory[[#This Row],[pre_res]]&lt;0,0,Grandview_Inventory[[#This Row],[pre_res]]*Grandview_Inventory[[#This Row],[overall_adj]])</f>
        <v>201129.09757055942</v>
      </c>
      <c r="BZ461" s="6">
        <f>(Grandview_Inventory[[#This Row],[sum_land]]-IF(Grandview_Inventory[[#This Row],[no_utilities]]=1,12000,0))/IF(Grandview_Inventory[[#This Row],[unbuildable]]=1,2,1)</f>
        <v>47528.228511015397</v>
      </c>
      <c r="CA46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461">
        <f>ROUND(Grandview_Inventory[[#This Row],[det_value]]*Lookups!$M$28,-2)</f>
        <v>0</v>
      </c>
      <c r="CC461">
        <f>IF(ROUND(Grandview_Inventory[[#This Row],[adj_res]]*Lookups!$M$28,-2)&lt;Grandview_Inventory[[#This Row],[min_res]],Grandview_Inventory[[#This Row],[min_res]],ROUND(Grandview_Inventory[[#This Row],[adj_res]]*Lookups!$M$28,-2))</f>
        <v>191100</v>
      </c>
      <c r="CD461">
        <f>Grandview_Inventory[[#This Row],[final_det]]+Grandview_Inventory[[#This Row],[final_res]]</f>
        <v>191100</v>
      </c>
      <c r="CE461">
        <f>Grandview_Inventory[[#This Row],[final_land]]+Grandview_Inventory[[#This Row],[final_imp]]+Grandview_Inventory[[#This Row],[crop_value]]</f>
        <v>236300</v>
      </c>
      <c r="CG461" t="str">
        <f t="shared" si="7"/>
        <v>update valuation set market_land =45200, market_bldg=191100, market_total =236300, market_mdno =401, market_date ='9/10/2023' where link_id = (select link_id from parcel where parcel_year = '2024' and parcel_id = '23092214429');</v>
      </c>
    </row>
    <row r="462" spans="1:85" x14ac:dyDescent="0.25">
      <c r="A462">
        <v>23092214430</v>
      </c>
      <c r="B462">
        <v>0.19</v>
      </c>
      <c r="C462">
        <v>8059</v>
      </c>
      <c r="D462" t="s">
        <v>129</v>
      </c>
      <c r="E462" t="s">
        <v>53</v>
      </c>
      <c r="F462" t="s">
        <v>53</v>
      </c>
      <c r="G462">
        <v>4</v>
      </c>
      <c r="H462" t="s">
        <v>54</v>
      </c>
      <c r="I462">
        <v>141600</v>
      </c>
      <c r="J462">
        <v>43100</v>
      </c>
      <c r="K462">
        <v>0.19</v>
      </c>
      <c r="L46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62">
        <v>0</v>
      </c>
      <c r="N462">
        <v>0</v>
      </c>
      <c r="O462">
        <v>0</v>
      </c>
      <c r="P462">
        <v>13398.7528</v>
      </c>
      <c r="Q462">
        <v>63903</v>
      </c>
      <c r="R462">
        <f>(Grandview_Inventory[[#This Row],[ln_acres]]*Grandview_Inventory[[#This Row],[coeff]])+Grandview_Inventory[[#This Row],[const]]</f>
        <v>41651.273092551026</v>
      </c>
      <c r="S462" t="s">
        <v>61</v>
      </c>
      <c r="T462">
        <v>1</v>
      </c>
      <c r="U462" t="s">
        <v>65</v>
      </c>
      <c r="V462" t="s">
        <v>69</v>
      </c>
      <c r="W462">
        <v>0</v>
      </c>
      <c r="X462">
        <v>0</v>
      </c>
      <c r="Y462">
        <v>49</v>
      </c>
      <c r="Z462">
        <v>68</v>
      </c>
      <c r="AA462">
        <v>70</v>
      </c>
      <c r="AB462">
        <v>1500</v>
      </c>
      <c r="AC462">
        <v>1216</v>
      </c>
      <c r="AD462">
        <v>1216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342</v>
      </c>
      <c r="AN462">
        <v>0</v>
      </c>
      <c r="AO462">
        <v>342</v>
      </c>
      <c r="AP462">
        <v>8</v>
      </c>
      <c r="AQ462">
        <v>0</v>
      </c>
      <c r="AR462">
        <v>0</v>
      </c>
      <c r="AS462" t="s">
        <v>58</v>
      </c>
      <c r="AT462">
        <v>1</v>
      </c>
      <c r="AU462" t="s">
        <v>63</v>
      </c>
      <c r="AV462" t="s">
        <v>64</v>
      </c>
      <c r="AW462">
        <v>1</v>
      </c>
      <c r="AX462">
        <v>3</v>
      </c>
      <c r="AY462">
        <v>0</v>
      </c>
      <c r="AZ462">
        <v>0</v>
      </c>
      <c r="BA462">
        <v>100</v>
      </c>
      <c r="BB462">
        <v>100</v>
      </c>
      <c r="BC462">
        <v>100</v>
      </c>
      <c r="BD462">
        <v>100</v>
      </c>
      <c r="BE462">
        <v>1</v>
      </c>
      <c r="BF462">
        <v>15000</v>
      </c>
      <c r="BG462">
        <v>1000</v>
      </c>
      <c r="BH462" s="6">
        <f>Grandview_Inventory[[#This Row],[land_extract]]*Lookups!$B$3</f>
        <v>48369.510983942157</v>
      </c>
      <c r="BI462" s="6">
        <f>IF(Grandview_Inventory[[#This Row],[bldg_style]]="",0,Lookups!$B$2)</f>
        <v>155833.95000000001</v>
      </c>
      <c r="BJ462" s="6">
        <f>_xlfn.IFNA(VLOOKUP(Grandview_Inventory[[#This Row],[quality]],Lookups!$H$2:$J$14,3,FALSE),0)</f>
        <v>2251</v>
      </c>
      <c r="BK462" s="6">
        <f>_xlfn.IFNA(VLOOKUP(Grandview_Inventory[[#This Row],[condition]],Lookups!$H$17:$J$24,3,FALSE),0)</f>
        <v>-4503</v>
      </c>
      <c r="BL462" s="6">
        <f>Grandview_Inventory[[#This Row],[Eff_Age]]*Lookups!$B$14</f>
        <v>-11719.163399999999</v>
      </c>
      <c r="BM462" s="6">
        <f>Grandview_Inventory[[#This Row],[living_area]]*Lookups!$B$15</f>
        <v>75855.117247999995</v>
      </c>
      <c r="BN462" s="6">
        <f>Grandview_Inventory[[#This Row],[Fin BSMT]]*Lookups!$B$16</f>
        <v>0</v>
      </c>
      <c r="BO462" s="6">
        <f>(Grandview_Inventory[[#This Row],[att_gar]]+Grandview_Inventory[[#This Row],[bltin_gar]])*Lookups!$B$17</f>
        <v>0</v>
      </c>
      <c r="BP462" s="6">
        <f>Grandview_Inventory[[#This Row],[Plumbing Fixtures]]*Lookups!$B$18</f>
        <v>16083.5344</v>
      </c>
      <c r="BQ462" s="6">
        <f>Grandview_Inventory[[#This Row],[detatched_value]]*Lookups!$B$19</f>
        <v>0</v>
      </c>
      <c r="BR462" s="6">
        <f>SUM(Grandview_Inventory[[#This Row],[Intercept]:[det_value]])*Grandview_Inventory[[#This Row],[res_pct]]</f>
        <v>233801.43824800002</v>
      </c>
      <c r="BS462" s="6">
        <f>Grandview_Inventory[[#This Row],[land_value]]</f>
        <v>48369.510983942157</v>
      </c>
      <c r="BT462" s="4">
        <f>_xlfn.IFNA(VLOOKUP(Grandview_Inventory[[#This Row],[quality]],Lookups!$A$26:$C$33,3,FALSE),1)</f>
        <v>0.98763855981004833</v>
      </c>
      <c r="BU462" s="4">
        <f>_xlfn.IFNA(VLOOKUP(Grandview_Inventory[[#This Row],[condition]],Lookups!$A$37:$C$44,3,FALSE),1)</f>
        <v>0.96469275950863709</v>
      </c>
      <c r="BV462" s="4">
        <f>IF(Grandview_Inventory[[#This Row],[bldg_style]]="",1,_xlfn.IFNA(VLOOKUP(Grandview_Inventory[[#This Row],[decade]],Lookups!$F$29:$H$43,3,FALSE),1))</f>
        <v>0.99472141305414818</v>
      </c>
      <c r="BW462" s="4">
        <f>_xlfn.IFNA(VLOOKUP(Grandview_Inventory[[#This Row],[living_area_range]],Lookups!$F$47:$H$56,3,FALSE),1)</f>
        <v>0.96135087979789358</v>
      </c>
      <c r="BX462" s="4">
        <f>AVERAGE(Grandview_Inventory[[#This Row],[qual_adj]:[size_adj]])</f>
        <v>0.97710090304268182</v>
      </c>
      <c r="BY462" s="6">
        <f>IF(Grandview_Inventory[[#This Row],[pre_res]]&lt;0,0,Grandview_Inventory[[#This Row],[pre_res]]*Grandview_Inventory[[#This Row],[overall_adj]])</f>
        <v>228447.59644479863</v>
      </c>
      <c r="BZ462" s="6">
        <f>(Grandview_Inventory[[#This Row],[sum_land]]-IF(Grandview_Inventory[[#This Row],[no_utilities]]=1,12000,0))/IF(Grandview_Inventory[[#This Row],[unbuildable]]=1,2,1)</f>
        <v>48369.510983942157</v>
      </c>
      <c r="CA46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62">
        <f>ROUND(Grandview_Inventory[[#This Row],[det_value]]*Lookups!$M$28,-2)</f>
        <v>0</v>
      </c>
      <c r="CC462">
        <f>IF(ROUND(Grandview_Inventory[[#This Row],[adj_res]]*Lookups!$M$28,-2)&lt;Grandview_Inventory[[#This Row],[min_res]],Grandview_Inventory[[#This Row],[min_res]],ROUND(Grandview_Inventory[[#This Row],[adj_res]]*Lookups!$M$28,-2))</f>
        <v>217000</v>
      </c>
      <c r="CD462">
        <f>Grandview_Inventory[[#This Row],[final_det]]+Grandview_Inventory[[#This Row],[final_res]]</f>
        <v>217000</v>
      </c>
      <c r="CE462">
        <f>Grandview_Inventory[[#This Row],[final_land]]+Grandview_Inventory[[#This Row],[final_imp]]+Grandview_Inventory[[#This Row],[crop_value]]</f>
        <v>263000</v>
      </c>
      <c r="CG462" t="str">
        <f t="shared" si="7"/>
        <v>update valuation set market_land =46000, market_bldg=217000, market_total =263000, market_mdno =401, market_date ='9/10/2023' where link_id = (select link_id from parcel where parcel_year = '2024' and parcel_id = '23092214430');</v>
      </c>
    </row>
    <row r="463" spans="1:85" x14ac:dyDescent="0.25">
      <c r="A463">
        <v>23092214431</v>
      </c>
      <c r="B463">
        <v>0.19</v>
      </c>
      <c r="C463">
        <v>8059</v>
      </c>
      <c r="D463" t="s">
        <v>129</v>
      </c>
      <c r="E463" t="s">
        <v>53</v>
      </c>
      <c r="F463" t="s">
        <v>53</v>
      </c>
      <c r="G463">
        <v>4</v>
      </c>
      <c r="H463" t="s">
        <v>54</v>
      </c>
      <c r="I463">
        <v>142100</v>
      </c>
      <c r="J463">
        <v>43100</v>
      </c>
      <c r="K463">
        <v>0.19</v>
      </c>
      <c r="L46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463">
        <v>0</v>
      </c>
      <c r="N463">
        <v>0</v>
      </c>
      <c r="O463">
        <v>0</v>
      </c>
      <c r="P463">
        <v>13398.7528</v>
      </c>
      <c r="Q463">
        <v>63903</v>
      </c>
      <c r="R463">
        <f>(Grandview_Inventory[[#This Row],[ln_acres]]*Grandview_Inventory[[#This Row],[coeff]])+Grandview_Inventory[[#This Row],[const]]</f>
        <v>41651.273092551026</v>
      </c>
      <c r="S463" t="s">
        <v>61</v>
      </c>
      <c r="T463">
        <v>1</v>
      </c>
      <c r="U463" t="s">
        <v>65</v>
      </c>
      <c r="V463" t="s">
        <v>69</v>
      </c>
      <c r="W463">
        <v>0</v>
      </c>
      <c r="X463">
        <v>0</v>
      </c>
      <c r="Y463">
        <v>49</v>
      </c>
      <c r="Z463">
        <v>68</v>
      </c>
      <c r="AA463">
        <v>70</v>
      </c>
      <c r="AB463">
        <v>1500</v>
      </c>
      <c r="AC463">
        <v>1214</v>
      </c>
      <c r="AD463">
        <v>1214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408</v>
      </c>
      <c r="AL463">
        <v>0</v>
      </c>
      <c r="AM463">
        <v>204</v>
      </c>
      <c r="AN463">
        <v>0</v>
      </c>
      <c r="AO463">
        <v>204</v>
      </c>
      <c r="AP463">
        <v>5</v>
      </c>
      <c r="AQ463">
        <v>0</v>
      </c>
      <c r="AR463">
        <v>0</v>
      </c>
      <c r="AS463" t="s">
        <v>58</v>
      </c>
      <c r="AT463">
        <v>1</v>
      </c>
      <c r="AU463" t="s">
        <v>63</v>
      </c>
      <c r="AV463" t="s">
        <v>64</v>
      </c>
      <c r="AW463">
        <v>0</v>
      </c>
      <c r="AX463">
        <v>3</v>
      </c>
      <c r="AY463">
        <v>0</v>
      </c>
      <c r="AZ463">
        <v>8700</v>
      </c>
      <c r="BA463">
        <v>100</v>
      </c>
      <c r="BB463">
        <v>100</v>
      </c>
      <c r="BC463">
        <v>100</v>
      </c>
      <c r="BD463">
        <v>100</v>
      </c>
      <c r="BE463">
        <v>1</v>
      </c>
      <c r="BF463">
        <v>15000</v>
      </c>
      <c r="BG463">
        <v>1000</v>
      </c>
      <c r="BH463" s="6">
        <f>Grandview_Inventory[[#This Row],[land_extract]]*Lookups!$B$3</f>
        <v>48369.510983942157</v>
      </c>
      <c r="BI463" s="6">
        <f>IF(Grandview_Inventory[[#This Row],[bldg_style]]="",0,Lookups!$B$2)</f>
        <v>155833.95000000001</v>
      </c>
      <c r="BJ463" s="6">
        <f>_xlfn.IFNA(VLOOKUP(Grandview_Inventory[[#This Row],[quality]],Lookups!$H$2:$J$14,3,FALSE),0)</f>
        <v>2251</v>
      </c>
      <c r="BK463" s="6">
        <f>_xlfn.IFNA(VLOOKUP(Grandview_Inventory[[#This Row],[condition]],Lookups!$H$17:$J$24,3,FALSE),0)</f>
        <v>-4503</v>
      </c>
      <c r="BL463" s="6">
        <f>Grandview_Inventory[[#This Row],[Eff_Age]]*Lookups!$B$14</f>
        <v>-11719.163399999999</v>
      </c>
      <c r="BM463" s="6">
        <f>Grandview_Inventory[[#This Row],[living_area]]*Lookups!$B$15</f>
        <v>75730.355542000005</v>
      </c>
      <c r="BN463" s="6">
        <f>Grandview_Inventory[[#This Row],[Fin BSMT]]*Lookups!$B$16</f>
        <v>0</v>
      </c>
      <c r="BO463" s="6">
        <f>(Grandview_Inventory[[#This Row],[att_gar]]+Grandview_Inventory[[#This Row],[bltin_gar]])*Lookups!$B$17</f>
        <v>0</v>
      </c>
      <c r="BP463" s="6">
        <f>Grandview_Inventory[[#This Row],[Plumbing Fixtures]]*Lookups!$B$18</f>
        <v>10052.209000000001</v>
      </c>
      <c r="BQ463" s="6">
        <f>Grandview_Inventory[[#This Row],[detatched_value]]*Lookups!$B$19</f>
        <v>7367.2043699999995</v>
      </c>
      <c r="BR463" s="6">
        <f>SUM(Grandview_Inventory[[#This Row],[Intercept]:[det_value]])*Grandview_Inventory[[#This Row],[res_pct]]</f>
        <v>235012.55551200002</v>
      </c>
      <c r="BS463" s="6">
        <f>Grandview_Inventory[[#This Row],[land_value]]</f>
        <v>48369.510983942157</v>
      </c>
      <c r="BT463" s="4">
        <f>_xlfn.IFNA(VLOOKUP(Grandview_Inventory[[#This Row],[quality]],Lookups!$A$26:$C$33,3,FALSE),1)</f>
        <v>0.98763855981004833</v>
      </c>
      <c r="BU463" s="4">
        <f>_xlfn.IFNA(VLOOKUP(Grandview_Inventory[[#This Row],[condition]],Lookups!$A$37:$C$44,3,FALSE),1)</f>
        <v>0.96469275950863709</v>
      </c>
      <c r="BV463" s="4">
        <f>IF(Grandview_Inventory[[#This Row],[bldg_style]]="",1,_xlfn.IFNA(VLOOKUP(Grandview_Inventory[[#This Row],[decade]],Lookups!$F$29:$H$43,3,FALSE),1))</f>
        <v>0.99472141305414818</v>
      </c>
      <c r="BW463" s="4">
        <f>_xlfn.IFNA(VLOOKUP(Grandview_Inventory[[#This Row],[living_area_range]],Lookups!$F$47:$H$56,3,FALSE),1)</f>
        <v>0.96135087979789358</v>
      </c>
      <c r="BX463" s="4">
        <f>AVERAGE(Grandview_Inventory[[#This Row],[qual_adj]:[size_adj]])</f>
        <v>0.97710090304268182</v>
      </c>
      <c r="BY463" s="6">
        <f>IF(Grandview_Inventory[[#This Row],[pre_res]]&lt;0,0,Grandview_Inventory[[#This Row],[pre_res]]*Grandview_Inventory[[#This Row],[overall_adj]])</f>
        <v>229630.9802171436</v>
      </c>
      <c r="BZ463" s="6">
        <f>(Grandview_Inventory[[#This Row],[sum_land]]-IF(Grandview_Inventory[[#This Row],[no_utilities]]=1,12000,0))/IF(Grandview_Inventory[[#This Row],[unbuildable]]=1,2,1)</f>
        <v>48369.510983942157</v>
      </c>
      <c r="CA46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463">
        <f>ROUND(Grandview_Inventory[[#This Row],[det_value]]*Lookups!$M$28,-2)</f>
        <v>7000</v>
      </c>
      <c r="CC463">
        <f>IF(ROUND(Grandview_Inventory[[#This Row],[adj_res]]*Lookups!$M$28,-2)&lt;Grandview_Inventory[[#This Row],[min_res]],Grandview_Inventory[[#This Row],[min_res]],ROUND(Grandview_Inventory[[#This Row],[adj_res]]*Lookups!$M$28,-2))</f>
        <v>218100</v>
      </c>
      <c r="CD463">
        <f>Grandview_Inventory[[#This Row],[final_det]]+Grandview_Inventory[[#This Row],[final_res]]</f>
        <v>225100</v>
      </c>
      <c r="CE463">
        <f>Grandview_Inventory[[#This Row],[final_land]]+Grandview_Inventory[[#This Row],[final_imp]]+Grandview_Inventory[[#This Row],[crop_value]]</f>
        <v>271100</v>
      </c>
      <c r="CG463" t="str">
        <f t="shared" si="7"/>
        <v>update valuation set market_land =46000, market_bldg=225100, market_total =271100, market_mdno =401, market_date ='9/10/2023' where link_id = (select link_id from parcel where parcel_year = '2024' and parcel_id = '23092214431');</v>
      </c>
    </row>
    <row r="464" spans="1:85" x14ac:dyDescent="0.25">
      <c r="A464">
        <v>23092214432</v>
      </c>
      <c r="B464">
        <v>0.2</v>
      </c>
      <c r="C464">
        <v>8520</v>
      </c>
      <c r="D464" t="s">
        <v>129</v>
      </c>
      <c r="E464" t="s">
        <v>53</v>
      </c>
      <c r="F464" t="s">
        <v>53</v>
      </c>
      <c r="G464">
        <v>4</v>
      </c>
      <c r="H464" t="s">
        <v>54</v>
      </c>
      <c r="I464">
        <v>181800</v>
      </c>
      <c r="J464">
        <v>43500</v>
      </c>
      <c r="K464">
        <v>0.2</v>
      </c>
      <c r="L46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64">
        <v>0</v>
      </c>
      <c r="N464">
        <v>0</v>
      </c>
      <c r="O464">
        <v>0</v>
      </c>
      <c r="P464">
        <v>13398.7528</v>
      </c>
      <c r="Q464">
        <v>63903</v>
      </c>
      <c r="R464">
        <f>(Grandview_Inventory[[#This Row],[ln_acres]]*Grandview_Inventory[[#This Row],[coeff]])+Grandview_Inventory[[#This Row],[const]]</f>
        <v>42338.539264347448</v>
      </c>
      <c r="S464" t="s">
        <v>61</v>
      </c>
      <c r="T464">
        <v>1</v>
      </c>
      <c r="U464" t="s">
        <v>70</v>
      </c>
      <c r="V464" t="s">
        <v>69</v>
      </c>
      <c r="W464">
        <v>0</v>
      </c>
      <c r="X464">
        <v>0</v>
      </c>
      <c r="Y464">
        <v>49</v>
      </c>
      <c r="Z464">
        <v>68</v>
      </c>
      <c r="AA464">
        <v>70</v>
      </c>
      <c r="AB464">
        <v>2500</v>
      </c>
      <c r="AC464">
        <v>2208</v>
      </c>
      <c r="AD464">
        <v>1104</v>
      </c>
      <c r="AE464">
        <v>0</v>
      </c>
      <c r="AF464">
        <v>0</v>
      </c>
      <c r="AG464">
        <v>1104</v>
      </c>
      <c r="AH464">
        <v>0</v>
      </c>
      <c r="AI464">
        <v>315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8</v>
      </c>
      <c r="AQ464">
        <v>0</v>
      </c>
      <c r="AR464">
        <v>0</v>
      </c>
      <c r="AS464" t="s">
        <v>58</v>
      </c>
      <c r="AT464">
        <v>1</v>
      </c>
      <c r="AU464" t="s">
        <v>63</v>
      </c>
      <c r="AV464" t="s">
        <v>60</v>
      </c>
      <c r="AW464">
        <v>0</v>
      </c>
      <c r="AX464">
        <v>3</v>
      </c>
      <c r="AY464">
        <v>0</v>
      </c>
      <c r="AZ464">
        <v>0</v>
      </c>
      <c r="BA464">
        <v>100</v>
      </c>
      <c r="BB464">
        <v>100</v>
      </c>
      <c r="BC464">
        <v>100</v>
      </c>
      <c r="BD464">
        <v>100</v>
      </c>
      <c r="BE464">
        <v>1</v>
      </c>
      <c r="BF464">
        <v>15000</v>
      </c>
      <c r="BG464">
        <v>1000</v>
      </c>
      <c r="BH464" s="6">
        <f>Grandview_Inventory[[#This Row],[land_extract]]*Lookups!$B$3</f>
        <v>49167.631333630678</v>
      </c>
      <c r="BI464" s="6">
        <f>IF(Grandview_Inventory[[#This Row],[bldg_style]]="",0,Lookups!$B$2)</f>
        <v>155833.95000000001</v>
      </c>
      <c r="BJ464" s="6">
        <f>_xlfn.IFNA(VLOOKUP(Grandview_Inventory[[#This Row],[quality]],Lookups!$H$2:$J$14,3,FALSE),0)</f>
        <v>10733</v>
      </c>
      <c r="BK464" s="6">
        <f>_xlfn.IFNA(VLOOKUP(Grandview_Inventory[[#This Row],[condition]],Lookups!$H$17:$J$24,3,FALSE),0)</f>
        <v>-4503</v>
      </c>
      <c r="BL464" s="6">
        <f>Grandview_Inventory[[#This Row],[Eff_Age]]*Lookups!$B$14</f>
        <v>-11719.163399999999</v>
      </c>
      <c r="BM464" s="6">
        <f>Grandview_Inventory[[#This Row],[living_area]]*Lookups!$B$15</f>
        <v>137736.92342400001</v>
      </c>
      <c r="BN464" s="6">
        <f>Grandview_Inventory[[#This Row],[Fin BSMT]]*Lookups!$B$16</f>
        <v>-29917.560960000003</v>
      </c>
      <c r="BO464" s="6">
        <f>(Grandview_Inventory[[#This Row],[att_gar]]+Grandview_Inventory[[#This Row],[bltin_gar]])*Lookups!$B$17</f>
        <v>27568.937655000002</v>
      </c>
      <c r="BP464" s="6">
        <f>Grandview_Inventory[[#This Row],[Plumbing Fixtures]]*Lookups!$B$18</f>
        <v>16083.5344</v>
      </c>
      <c r="BQ464" s="6">
        <f>Grandview_Inventory[[#This Row],[detatched_value]]*Lookups!$B$19</f>
        <v>0</v>
      </c>
      <c r="BR464" s="6">
        <f>SUM(Grandview_Inventory[[#This Row],[Intercept]:[det_value]])*Grandview_Inventory[[#This Row],[res_pct]]</f>
        <v>301816.62111900002</v>
      </c>
      <c r="BS464" s="6">
        <f>Grandview_Inventory[[#This Row],[land_value]]</f>
        <v>49167.631333630678</v>
      </c>
      <c r="BT464" s="4">
        <f>_xlfn.IFNA(VLOOKUP(Grandview_Inventory[[#This Row],[quality]],Lookups!$A$26:$C$33,3,FALSE),1)</f>
        <v>0.98079741117310582</v>
      </c>
      <c r="BU464" s="4">
        <f>_xlfn.IFNA(VLOOKUP(Grandview_Inventory[[#This Row],[condition]],Lookups!$A$37:$C$44,3,FALSE),1)</f>
        <v>0.96469275950863709</v>
      </c>
      <c r="BV464" s="4">
        <f>IF(Grandview_Inventory[[#This Row],[bldg_style]]="",1,_xlfn.IFNA(VLOOKUP(Grandview_Inventory[[#This Row],[decade]],Lookups!$F$29:$H$43,3,FALSE),1))</f>
        <v>0.99472141305414818</v>
      </c>
      <c r="BW464" s="4">
        <f>_xlfn.IFNA(VLOOKUP(Grandview_Inventory[[#This Row],[living_area_range]],Lookups!$F$47:$H$56,3,FALSE),1)</f>
        <v>0.95799442568048754</v>
      </c>
      <c r="BX464" s="4">
        <f>AVERAGE(Grandview_Inventory[[#This Row],[qual_adj]:[size_adj]])</f>
        <v>0.97455150235409471</v>
      </c>
      <c r="BY464" s="6">
        <f>IF(Grandview_Inventory[[#This Row],[pre_res]]&lt;0,0,Grandview_Inventory[[#This Row],[pre_res]]*Grandview_Inventory[[#This Row],[overall_adj]])</f>
        <v>294135.84154695808</v>
      </c>
      <c r="BZ464" s="6">
        <f>(Grandview_Inventory[[#This Row],[sum_land]]-IF(Grandview_Inventory[[#This Row],[no_utilities]]=1,12000,0))/IF(Grandview_Inventory[[#This Row],[unbuildable]]=1,2,1)</f>
        <v>49167.631333630678</v>
      </c>
      <c r="CA46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64">
        <f>ROUND(Grandview_Inventory[[#This Row],[det_value]]*Lookups!$M$28,-2)</f>
        <v>0</v>
      </c>
      <c r="CC464">
        <f>IF(ROUND(Grandview_Inventory[[#This Row],[adj_res]]*Lookups!$M$28,-2)&lt;Grandview_Inventory[[#This Row],[min_res]],Grandview_Inventory[[#This Row],[min_res]],ROUND(Grandview_Inventory[[#This Row],[adj_res]]*Lookups!$M$28,-2))</f>
        <v>279400</v>
      </c>
      <c r="CD464">
        <f>Grandview_Inventory[[#This Row],[final_det]]+Grandview_Inventory[[#This Row],[final_res]]</f>
        <v>279400</v>
      </c>
      <c r="CE464">
        <f>Grandview_Inventory[[#This Row],[final_land]]+Grandview_Inventory[[#This Row],[final_imp]]+Grandview_Inventory[[#This Row],[crop_value]]</f>
        <v>326100</v>
      </c>
      <c r="CG464" t="str">
        <f t="shared" si="7"/>
        <v>update valuation set market_land =46700, market_bldg=279400, market_total =326100, market_mdno =401, market_date ='9/10/2023' where link_id = (select link_id from parcel where parcel_year = '2024' and parcel_id = '23092214432');</v>
      </c>
    </row>
    <row r="465" spans="1:85" x14ac:dyDescent="0.25">
      <c r="A465">
        <v>23092214433</v>
      </c>
      <c r="B465">
        <v>0.2</v>
      </c>
      <c r="C465">
        <v>8520</v>
      </c>
      <c r="D465" t="s">
        <v>129</v>
      </c>
      <c r="E465" t="s">
        <v>53</v>
      </c>
      <c r="F465" t="s">
        <v>53</v>
      </c>
      <c r="G465">
        <v>4</v>
      </c>
      <c r="H465" t="s">
        <v>54</v>
      </c>
      <c r="I465">
        <v>301400</v>
      </c>
      <c r="J465">
        <v>43500</v>
      </c>
      <c r="K465">
        <v>0.2</v>
      </c>
      <c r="L46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65">
        <v>0</v>
      </c>
      <c r="N465">
        <v>0</v>
      </c>
      <c r="O465">
        <v>0</v>
      </c>
      <c r="P465">
        <v>13398.7528</v>
      </c>
      <c r="Q465">
        <v>63903</v>
      </c>
      <c r="R465">
        <f>(Grandview_Inventory[[#This Row],[ln_acres]]*Grandview_Inventory[[#This Row],[coeff]])+Grandview_Inventory[[#This Row],[const]]</f>
        <v>42338.539264347448</v>
      </c>
      <c r="S465" t="s">
        <v>61</v>
      </c>
      <c r="T465">
        <v>1</v>
      </c>
      <c r="U465" t="s">
        <v>64</v>
      </c>
      <c r="V465" t="s">
        <v>67</v>
      </c>
      <c r="W465">
        <v>0</v>
      </c>
      <c r="X465">
        <v>0</v>
      </c>
      <c r="Y465">
        <v>49</v>
      </c>
      <c r="Z465">
        <v>67</v>
      </c>
      <c r="AA465">
        <v>70</v>
      </c>
      <c r="AB465">
        <v>3500</v>
      </c>
      <c r="AC465">
        <v>3437</v>
      </c>
      <c r="AD465">
        <v>1925</v>
      </c>
      <c r="AE465">
        <v>0</v>
      </c>
      <c r="AF465">
        <v>0</v>
      </c>
      <c r="AG465">
        <v>1512</v>
      </c>
      <c r="AH465">
        <v>0</v>
      </c>
      <c r="AI465">
        <v>0</v>
      </c>
      <c r="AJ465">
        <v>0</v>
      </c>
      <c r="AK465">
        <v>280</v>
      </c>
      <c r="AL465">
        <v>304</v>
      </c>
      <c r="AM465">
        <v>212</v>
      </c>
      <c r="AN465">
        <v>0</v>
      </c>
      <c r="AO465">
        <v>0</v>
      </c>
      <c r="AP465">
        <v>12</v>
      </c>
      <c r="AQ465">
        <v>0</v>
      </c>
      <c r="AR465">
        <v>0</v>
      </c>
      <c r="AS465" t="s">
        <v>76</v>
      </c>
      <c r="AT465">
        <v>1</v>
      </c>
      <c r="AU465" t="s">
        <v>63</v>
      </c>
      <c r="AV465" t="s">
        <v>60</v>
      </c>
      <c r="AW465">
        <v>1</v>
      </c>
      <c r="AX465">
        <v>4</v>
      </c>
      <c r="AY465">
        <v>0</v>
      </c>
      <c r="AZ465">
        <v>0</v>
      </c>
      <c r="BA465">
        <v>100</v>
      </c>
      <c r="BB465">
        <v>100</v>
      </c>
      <c r="BC465">
        <v>100</v>
      </c>
      <c r="BD465">
        <v>100</v>
      </c>
      <c r="BE465">
        <v>1</v>
      </c>
      <c r="BF465">
        <v>15000</v>
      </c>
      <c r="BG465">
        <v>1000</v>
      </c>
      <c r="BH465" s="6">
        <f>Grandview_Inventory[[#This Row],[land_extract]]*Lookups!$B$3</f>
        <v>49167.631333630678</v>
      </c>
      <c r="BI465" s="6">
        <f>IF(Grandview_Inventory[[#This Row],[bldg_style]]="",0,Lookups!$B$2)</f>
        <v>155833.95000000001</v>
      </c>
      <c r="BJ465" s="6">
        <f>_xlfn.IFNA(VLOOKUP(Grandview_Inventory[[#This Row],[quality]],Lookups!$H$2:$J$14,3,FALSE),0)</f>
        <v>20768</v>
      </c>
      <c r="BK465" s="6">
        <f>_xlfn.IFNA(VLOOKUP(Grandview_Inventory[[#This Row],[condition]],Lookups!$H$17:$J$24,3,FALSE),0)</f>
        <v>22342</v>
      </c>
      <c r="BL465" s="6">
        <f>Grandview_Inventory[[#This Row],[Eff_Age]]*Lookups!$B$14</f>
        <v>-11719.163399999999</v>
      </c>
      <c r="BM465" s="6">
        <f>Grandview_Inventory[[#This Row],[living_area]]*Lookups!$B$15</f>
        <v>214402.99176100001</v>
      </c>
      <c r="BN465" s="6">
        <f>Grandview_Inventory[[#This Row],[Fin BSMT]]*Lookups!$B$16</f>
        <v>-40974.050880000003</v>
      </c>
      <c r="BO465" s="6">
        <f>(Grandview_Inventory[[#This Row],[att_gar]]+Grandview_Inventory[[#This Row],[bltin_gar]])*Lookups!$B$17</f>
        <v>0</v>
      </c>
      <c r="BP465" s="6">
        <f>Grandview_Inventory[[#This Row],[Plumbing Fixtures]]*Lookups!$B$18</f>
        <v>24125.301599999999</v>
      </c>
      <c r="BQ465" s="6">
        <f>Grandview_Inventory[[#This Row],[detatched_value]]*Lookups!$B$19</f>
        <v>0</v>
      </c>
      <c r="BR465" s="6">
        <f>SUM(Grandview_Inventory[[#This Row],[Intercept]:[det_value]])*Grandview_Inventory[[#This Row],[res_pct]]</f>
        <v>384779.02908100002</v>
      </c>
      <c r="BS465" s="6">
        <f>Grandview_Inventory[[#This Row],[land_value]]</f>
        <v>49167.631333630678</v>
      </c>
      <c r="BT465" s="4">
        <f>_xlfn.IFNA(VLOOKUP(Grandview_Inventory[[#This Row],[quality]],Lookups!$A$26:$C$33,3,FALSE),1)</f>
        <v>0.94960540378902636</v>
      </c>
      <c r="BU465" s="4">
        <f>_xlfn.IFNA(VLOOKUP(Grandview_Inventory[[#This Row],[condition]],Lookups!$A$37:$C$44,3,FALSE),1)</f>
        <v>0.97383723671140243</v>
      </c>
      <c r="BV465" s="4">
        <f>IF(Grandview_Inventory[[#This Row],[bldg_style]]="",1,_xlfn.IFNA(VLOOKUP(Grandview_Inventory[[#This Row],[decade]],Lookups!$F$29:$H$43,3,FALSE),1))</f>
        <v>0.99472141305414818</v>
      </c>
      <c r="BW465" s="4">
        <f>_xlfn.IFNA(VLOOKUP(Grandview_Inventory[[#This Row],[living_area_range]],Lookups!$F$47:$H$56,3,FALSE),1)</f>
        <v>1.0170112215140563</v>
      </c>
      <c r="BX465" s="4">
        <f>AVERAGE(Grandview_Inventory[[#This Row],[qual_adj]:[size_adj]])</f>
        <v>0.98379381876715821</v>
      </c>
      <c r="BY465" s="6">
        <f>IF(Grandview_Inventory[[#This Row],[pre_res]]&lt;0,0,Grandview_Inventory[[#This Row],[pre_res]]*Grandview_Inventory[[#This Row],[overall_adj]])</f>
        <v>378543.23040111642</v>
      </c>
      <c r="BZ465" s="6">
        <f>(Grandview_Inventory[[#This Row],[sum_land]]-IF(Grandview_Inventory[[#This Row],[no_utilities]]=1,12000,0))/IF(Grandview_Inventory[[#This Row],[unbuildable]]=1,2,1)</f>
        <v>49167.631333630678</v>
      </c>
      <c r="CA46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65">
        <f>ROUND(Grandview_Inventory[[#This Row],[det_value]]*Lookups!$M$28,-2)</f>
        <v>0</v>
      </c>
      <c r="CC465">
        <f>IF(ROUND(Grandview_Inventory[[#This Row],[adj_res]]*Lookups!$M$28,-2)&lt;Grandview_Inventory[[#This Row],[min_res]],Grandview_Inventory[[#This Row],[min_res]],ROUND(Grandview_Inventory[[#This Row],[adj_res]]*Lookups!$M$28,-2))</f>
        <v>359600</v>
      </c>
      <c r="CD465">
        <f>Grandview_Inventory[[#This Row],[final_det]]+Grandview_Inventory[[#This Row],[final_res]]</f>
        <v>359600</v>
      </c>
      <c r="CE465">
        <f>Grandview_Inventory[[#This Row],[final_land]]+Grandview_Inventory[[#This Row],[final_imp]]+Grandview_Inventory[[#This Row],[crop_value]]</f>
        <v>406300</v>
      </c>
      <c r="CG465" t="str">
        <f t="shared" si="7"/>
        <v>update valuation set market_land =46700, market_bldg=359600, market_total =406300, market_mdno =401, market_date ='9/10/2023' where link_id = (select link_id from parcel where parcel_year = '2024' and parcel_id = '23092214433');</v>
      </c>
    </row>
    <row r="466" spans="1:85" x14ac:dyDescent="0.25">
      <c r="A466">
        <v>23092214434</v>
      </c>
      <c r="B466">
        <v>0.21</v>
      </c>
      <c r="C466">
        <v>9211</v>
      </c>
      <c r="D466" t="s">
        <v>129</v>
      </c>
      <c r="E466" t="s">
        <v>53</v>
      </c>
      <c r="F466" t="s">
        <v>53</v>
      </c>
      <c r="G466">
        <v>4</v>
      </c>
      <c r="H466" t="s">
        <v>54</v>
      </c>
      <c r="I466">
        <v>225100</v>
      </c>
      <c r="J466">
        <v>43700</v>
      </c>
      <c r="K466">
        <v>0.21</v>
      </c>
      <c r="L46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466">
        <v>0</v>
      </c>
      <c r="N466">
        <v>0</v>
      </c>
      <c r="O466">
        <v>0</v>
      </c>
      <c r="P466">
        <v>13398.7528</v>
      </c>
      <c r="Q466">
        <v>63903</v>
      </c>
      <c r="R466">
        <f>(Grandview_Inventory[[#This Row],[ln_acres]]*Grandview_Inventory[[#This Row],[coeff]])+Grandview_Inventory[[#This Row],[const]]</f>
        <v>42992.266613125081</v>
      </c>
      <c r="S466" t="s">
        <v>61</v>
      </c>
      <c r="T466">
        <v>1</v>
      </c>
      <c r="U466" t="s">
        <v>56</v>
      </c>
      <c r="V466" t="s">
        <v>69</v>
      </c>
      <c r="W466">
        <v>30700</v>
      </c>
      <c r="X466">
        <v>0</v>
      </c>
      <c r="Y466">
        <v>49</v>
      </c>
      <c r="Z466">
        <v>69</v>
      </c>
      <c r="AA466">
        <v>70</v>
      </c>
      <c r="AB466">
        <v>3500</v>
      </c>
      <c r="AC466">
        <v>3056</v>
      </c>
      <c r="AD466">
        <v>1768</v>
      </c>
      <c r="AE466">
        <v>0</v>
      </c>
      <c r="AF466">
        <v>0</v>
      </c>
      <c r="AG466">
        <v>1288</v>
      </c>
      <c r="AH466">
        <v>0</v>
      </c>
      <c r="AI466">
        <v>0</v>
      </c>
      <c r="AJ466">
        <v>480</v>
      </c>
      <c r="AK466">
        <v>0</v>
      </c>
      <c r="AL466">
        <v>240</v>
      </c>
      <c r="AM466">
        <v>504</v>
      </c>
      <c r="AN466">
        <v>0</v>
      </c>
      <c r="AO466">
        <v>132</v>
      </c>
      <c r="AP466">
        <v>11</v>
      </c>
      <c r="AQ466">
        <v>0</v>
      </c>
      <c r="AR466">
        <v>1</v>
      </c>
      <c r="AS466" t="s">
        <v>58</v>
      </c>
      <c r="AT466">
        <v>1</v>
      </c>
      <c r="AU466" t="s">
        <v>63</v>
      </c>
      <c r="AV466" t="s">
        <v>64</v>
      </c>
      <c r="AW466">
        <v>1</v>
      </c>
      <c r="AX466">
        <v>4</v>
      </c>
      <c r="AY466">
        <v>0</v>
      </c>
      <c r="AZ466">
        <v>0</v>
      </c>
      <c r="BA466">
        <v>100</v>
      </c>
      <c r="BB466">
        <v>100</v>
      </c>
      <c r="BC466">
        <v>100</v>
      </c>
      <c r="BD466">
        <v>100</v>
      </c>
      <c r="BE466">
        <v>1</v>
      </c>
      <c r="BF466">
        <v>15000</v>
      </c>
      <c r="BG466">
        <v>1000</v>
      </c>
      <c r="BH466" s="6">
        <f>Grandview_Inventory[[#This Row],[land_extract]]*Lookups!$B$3</f>
        <v>49926.8031387023</v>
      </c>
      <c r="BI466" s="6">
        <f>IF(Grandview_Inventory[[#This Row],[bldg_style]]="",0,Lookups!$B$2)</f>
        <v>155833.95000000001</v>
      </c>
      <c r="BJ466" s="6">
        <f>_xlfn.IFNA(VLOOKUP(Grandview_Inventory[[#This Row],[quality]],Lookups!$H$2:$J$14,3,FALSE),0)</f>
        <v>56323</v>
      </c>
      <c r="BK466" s="6">
        <f>_xlfn.IFNA(VLOOKUP(Grandview_Inventory[[#This Row],[condition]],Lookups!$H$17:$J$24,3,FALSE),0)</f>
        <v>-4503</v>
      </c>
      <c r="BL466" s="6">
        <f>Grandview_Inventory[[#This Row],[Eff_Age]]*Lookups!$B$14</f>
        <v>-11719.163399999999</v>
      </c>
      <c r="BM466" s="6">
        <f>Grandview_Inventory[[#This Row],[living_area]]*Lookups!$B$15</f>
        <v>190635.886768</v>
      </c>
      <c r="BN466" s="6">
        <f>Grandview_Inventory[[#This Row],[Fin BSMT]]*Lookups!$B$16</f>
        <v>-34903.821120000001</v>
      </c>
      <c r="BO466" s="6">
        <f>(Grandview_Inventory[[#This Row],[att_gar]]+Grandview_Inventory[[#This Row],[bltin_gar]])*Lookups!$B$17</f>
        <v>42009.809760000004</v>
      </c>
      <c r="BP466" s="6">
        <f>Grandview_Inventory[[#This Row],[Plumbing Fixtures]]*Lookups!$B$18</f>
        <v>22114.859800000002</v>
      </c>
      <c r="BQ466" s="6">
        <f>Grandview_Inventory[[#This Row],[detatched_value]]*Lookups!$B$19</f>
        <v>0</v>
      </c>
      <c r="BR466" s="6">
        <f>SUM(Grandview_Inventory[[#This Row],[Intercept]:[det_value]])*Grandview_Inventory[[#This Row],[res_pct]]</f>
        <v>415791.52180800005</v>
      </c>
      <c r="BS466" s="6">
        <f>Grandview_Inventory[[#This Row],[land_value]]</f>
        <v>49926.8031387023</v>
      </c>
      <c r="BT466" s="4">
        <f>_xlfn.IFNA(VLOOKUP(Grandview_Inventory[[#This Row],[quality]],Lookups!$A$26:$C$33,3,FALSE),1)</f>
        <v>0.76437650671582003</v>
      </c>
      <c r="BU466" s="4">
        <f>_xlfn.IFNA(VLOOKUP(Grandview_Inventory[[#This Row],[condition]],Lookups!$A$37:$C$44,3,FALSE),1)</f>
        <v>0.96469275950863709</v>
      </c>
      <c r="BV466" s="4">
        <f>IF(Grandview_Inventory[[#This Row],[bldg_style]]="",1,_xlfn.IFNA(VLOOKUP(Grandview_Inventory[[#This Row],[decade]],Lookups!$F$29:$H$43,3,FALSE),1))</f>
        <v>0.99472141305414818</v>
      </c>
      <c r="BW466" s="4">
        <f>_xlfn.IFNA(VLOOKUP(Grandview_Inventory[[#This Row],[living_area_range]],Lookups!$F$47:$H$56,3,FALSE),1)</f>
        <v>1.0170112215140563</v>
      </c>
      <c r="BX466" s="4">
        <f>AVERAGE(Grandview_Inventory[[#This Row],[qual_adj]:[size_adj]])</f>
        <v>0.93520047519816529</v>
      </c>
      <c r="BY466" s="6">
        <f>IF(Grandview_Inventory[[#This Row],[pre_res]]&lt;0,0,Grandview_Inventory[[#This Row],[pre_res]]*Grandview_Inventory[[#This Row],[overall_adj]])</f>
        <v>388848.42877820996</v>
      </c>
      <c r="BZ466" s="6">
        <f>(Grandview_Inventory[[#This Row],[sum_land]]-IF(Grandview_Inventory[[#This Row],[no_utilities]]=1,12000,0))/IF(Grandview_Inventory[[#This Row],[unbuildable]]=1,2,1)</f>
        <v>49926.8031387023</v>
      </c>
      <c r="CA46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466">
        <f>ROUND(Grandview_Inventory[[#This Row],[det_value]]*Lookups!$M$28,-2)</f>
        <v>0</v>
      </c>
      <c r="CC466">
        <f>IF(ROUND(Grandview_Inventory[[#This Row],[adj_res]]*Lookups!$M$28,-2)&lt;Grandview_Inventory[[#This Row],[min_res]],Grandview_Inventory[[#This Row],[min_res]],ROUND(Grandview_Inventory[[#This Row],[adj_res]]*Lookups!$M$28,-2))</f>
        <v>369400</v>
      </c>
      <c r="CD466">
        <f>Grandview_Inventory[[#This Row],[final_det]]+Grandview_Inventory[[#This Row],[final_res]]</f>
        <v>369400</v>
      </c>
      <c r="CE466">
        <f>Grandview_Inventory[[#This Row],[final_land]]+Grandview_Inventory[[#This Row],[final_imp]]+Grandview_Inventory[[#This Row],[crop_value]]</f>
        <v>416800</v>
      </c>
      <c r="CG466" t="str">
        <f t="shared" si="7"/>
        <v>update valuation set market_land =47400, market_bldg=369400, market_total =416800, market_mdno =401, market_date ='9/10/2023' where link_id = (select link_id from parcel where parcel_year = '2024' and parcel_id = '23092214434');</v>
      </c>
    </row>
    <row r="467" spans="1:85" x14ac:dyDescent="0.25">
      <c r="A467">
        <v>23092214435</v>
      </c>
      <c r="B467">
        <v>0.16</v>
      </c>
      <c r="C467">
        <v>7125</v>
      </c>
      <c r="D467" t="s">
        <v>129</v>
      </c>
      <c r="E467" t="s">
        <v>53</v>
      </c>
      <c r="F467" t="s">
        <v>53</v>
      </c>
      <c r="G467">
        <v>4</v>
      </c>
      <c r="H467" t="s">
        <v>54</v>
      </c>
      <c r="I467">
        <v>209900</v>
      </c>
      <c r="J467">
        <v>43000</v>
      </c>
      <c r="K467">
        <v>0.16</v>
      </c>
      <c r="L46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467">
        <v>0</v>
      </c>
      <c r="N467">
        <v>0</v>
      </c>
      <c r="O467">
        <v>0</v>
      </c>
      <c r="P467">
        <v>13398.7528</v>
      </c>
      <c r="Q467">
        <v>63903</v>
      </c>
      <c r="R467">
        <f>(Grandview_Inventory[[#This Row],[ln_acres]]*Grandview_Inventory[[#This Row],[coeff]])+Grandview_Inventory[[#This Row],[const]]</f>
        <v>39348.693981374228</v>
      </c>
      <c r="S467" t="s">
        <v>55</v>
      </c>
      <c r="T467">
        <v>2</v>
      </c>
      <c r="U467" t="s">
        <v>65</v>
      </c>
      <c r="V467" t="s">
        <v>69</v>
      </c>
      <c r="W467">
        <v>0</v>
      </c>
      <c r="X467">
        <v>0</v>
      </c>
      <c r="Y467">
        <v>51</v>
      </c>
      <c r="Z467">
        <v>83</v>
      </c>
      <c r="AA467">
        <v>90</v>
      </c>
      <c r="AB467">
        <v>3000</v>
      </c>
      <c r="AC467">
        <v>2966</v>
      </c>
      <c r="AD467">
        <v>1196</v>
      </c>
      <c r="AE467">
        <v>588</v>
      </c>
      <c r="AF467">
        <v>0</v>
      </c>
      <c r="AG467">
        <v>1182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80</v>
      </c>
      <c r="AN467">
        <v>10</v>
      </c>
      <c r="AO467">
        <v>0</v>
      </c>
      <c r="AP467">
        <v>8</v>
      </c>
      <c r="AQ467">
        <v>0</v>
      </c>
      <c r="AR467">
        <v>0</v>
      </c>
      <c r="AS467" t="s">
        <v>58</v>
      </c>
      <c r="AT467">
        <v>1</v>
      </c>
      <c r="AU467" t="s">
        <v>79</v>
      </c>
      <c r="AV467" t="s">
        <v>60</v>
      </c>
      <c r="AW467">
        <v>0</v>
      </c>
      <c r="AX467">
        <v>4</v>
      </c>
      <c r="AY467">
        <v>0</v>
      </c>
      <c r="AZ467">
        <v>5200</v>
      </c>
      <c r="BA467">
        <v>100</v>
      </c>
      <c r="BB467">
        <v>100</v>
      </c>
      <c r="BC467">
        <v>100</v>
      </c>
      <c r="BD467">
        <v>100</v>
      </c>
      <c r="BE467">
        <v>1</v>
      </c>
      <c r="BF467">
        <v>15000</v>
      </c>
      <c r="BG467">
        <v>1000</v>
      </c>
      <c r="BH467" s="6">
        <f>Grandview_Inventory[[#This Row],[land_extract]]*Lookups!$B$3</f>
        <v>45695.532079096141</v>
      </c>
      <c r="BI467" s="6">
        <f>IF(Grandview_Inventory[[#This Row],[bldg_style]]="",0,Lookups!$B$2)</f>
        <v>155833.95000000001</v>
      </c>
      <c r="BJ467" s="6">
        <f>_xlfn.IFNA(VLOOKUP(Grandview_Inventory[[#This Row],[quality]],Lookups!$H$2:$J$14,3,FALSE),0)</f>
        <v>2251</v>
      </c>
      <c r="BK467" s="6">
        <f>_xlfn.IFNA(VLOOKUP(Grandview_Inventory[[#This Row],[condition]],Lookups!$H$17:$J$24,3,FALSE),0)</f>
        <v>-4503</v>
      </c>
      <c r="BL467" s="6">
        <f>Grandview_Inventory[[#This Row],[Eff_Age]]*Lookups!$B$14</f>
        <v>-12197.496599999999</v>
      </c>
      <c r="BM467" s="6">
        <f>Grandview_Inventory[[#This Row],[living_area]]*Lookups!$B$15</f>
        <v>185021.609998</v>
      </c>
      <c r="BN467" s="6">
        <f>Grandview_Inventory[[#This Row],[Fin BSMT]]*Lookups!$B$16</f>
        <v>-32031.30168</v>
      </c>
      <c r="BO467" s="6">
        <f>(Grandview_Inventory[[#This Row],[att_gar]]+Grandview_Inventory[[#This Row],[bltin_gar]])*Lookups!$B$17</f>
        <v>0</v>
      </c>
      <c r="BP467" s="6">
        <f>Grandview_Inventory[[#This Row],[Plumbing Fixtures]]*Lookups!$B$18</f>
        <v>16083.5344</v>
      </c>
      <c r="BQ467" s="6">
        <f>Grandview_Inventory[[#This Row],[detatched_value]]*Lookups!$B$19</f>
        <v>4403.38652</v>
      </c>
      <c r="BR467" s="6">
        <f>SUM(Grandview_Inventory[[#This Row],[Intercept]:[det_value]])*Grandview_Inventory[[#This Row],[res_pct]]</f>
        <v>314861.682638</v>
      </c>
      <c r="BS467" s="6">
        <f>Grandview_Inventory[[#This Row],[land_value]]</f>
        <v>45695.532079096141</v>
      </c>
      <c r="BT467" s="4">
        <f>_xlfn.IFNA(VLOOKUP(Grandview_Inventory[[#This Row],[quality]],Lookups!$A$26:$C$33,3,FALSE),1)</f>
        <v>0.98763855981004833</v>
      </c>
      <c r="BU467" s="4">
        <f>_xlfn.IFNA(VLOOKUP(Grandview_Inventory[[#This Row],[condition]],Lookups!$A$37:$C$44,3,FALSE),1)</f>
        <v>0.96469275950863709</v>
      </c>
      <c r="BV467" s="4">
        <f>IF(Grandview_Inventory[[#This Row],[bldg_style]]="",1,_xlfn.IFNA(VLOOKUP(Grandview_Inventory[[#This Row],[decade]],Lookups!$F$29:$H$43,3,FALSE),1))</f>
        <v>0.94161750052457416</v>
      </c>
      <c r="BW467" s="4">
        <f>_xlfn.IFNA(VLOOKUP(Grandview_Inventory[[#This Row],[living_area_range]],Lookups!$F$47:$H$56,3,FALSE),1)</f>
        <v>0.94224801443562123</v>
      </c>
      <c r="BX467" s="4">
        <f>AVERAGE(Grandview_Inventory[[#This Row],[qual_adj]:[size_adj]])</f>
        <v>0.9590492085697202</v>
      </c>
      <c r="BY467" s="6">
        <f>IF(Grandview_Inventory[[#This Row],[pre_res]]&lt;0,0,Grandview_Inventory[[#This Row],[pre_res]]*Grandview_Inventory[[#This Row],[overall_adj]])</f>
        <v>301967.84754290432</v>
      </c>
      <c r="BZ467" s="6">
        <f>(Grandview_Inventory[[#This Row],[sum_land]]-IF(Grandview_Inventory[[#This Row],[no_utilities]]=1,12000,0))/IF(Grandview_Inventory[[#This Row],[unbuildable]]=1,2,1)</f>
        <v>45695.532079096141</v>
      </c>
      <c r="CA46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467">
        <f>ROUND(Grandview_Inventory[[#This Row],[det_value]]*Lookups!$M$28,-2)</f>
        <v>4200</v>
      </c>
      <c r="CC467">
        <f>IF(ROUND(Grandview_Inventory[[#This Row],[adj_res]]*Lookups!$M$28,-2)&lt;Grandview_Inventory[[#This Row],[min_res]],Grandview_Inventory[[#This Row],[min_res]],ROUND(Grandview_Inventory[[#This Row],[adj_res]]*Lookups!$M$28,-2))</f>
        <v>286900</v>
      </c>
      <c r="CD467">
        <f>Grandview_Inventory[[#This Row],[final_det]]+Grandview_Inventory[[#This Row],[final_res]]</f>
        <v>291100</v>
      </c>
      <c r="CE467">
        <f>Grandview_Inventory[[#This Row],[final_land]]+Grandview_Inventory[[#This Row],[final_imp]]+Grandview_Inventory[[#This Row],[crop_value]]</f>
        <v>334500</v>
      </c>
      <c r="CG467" t="str">
        <f t="shared" si="7"/>
        <v>update valuation set market_land =43400, market_bldg=291100, market_total =334500, market_mdno =401, market_date ='9/10/2023' where link_id = (select link_id from parcel where parcel_year = '2024' and parcel_id = '23092214435');</v>
      </c>
    </row>
    <row r="468" spans="1:85" x14ac:dyDescent="0.25">
      <c r="A468">
        <v>23092214437</v>
      </c>
      <c r="B468">
        <v>0.2</v>
      </c>
      <c r="C468">
        <v>8780</v>
      </c>
      <c r="D468" t="s">
        <v>129</v>
      </c>
      <c r="E468" t="s">
        <v>53</v>
      </c>
      <c r="F468" t="s">
        <v>53</v>
      </c>
      <c r="G468">
        <v>4</v>
      </c>
      <c r="H468" t="s">
        <v>54</v>
      </c>
      <c r="I468">
        <v>281200</v>
      </c>
      <c r="J468">
        <v>39300</v>
      </c>
      <c r="K468">
        <v>0.2</v>
      </c>
      <c r="L46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68">
        <v>0</v>
      </c>
      <c r="N468">
        <v>0</v>
      </c>
      <c r="O468">
        <v>0</v>
      </c>
      <c r="P468">
        <v>13398.7528</v>
      </c>
      <c r="Q468">
        <v>63903</v>
      </c>
      <c r="R468">
        <f>(Grandview_Inventory[[#This Row],[ln_acres]]*Grandview_Inventory[[#This Row],[coeff]])+Grandview_Inventory[[#This Row],[const]]</f>
        <v>42338.539264347448</v>
      </c>
      <c r="S468" t="s">
        <v>61</v>
      </c>
      <c r="T468">
        <v>1</v>
      </c>
      <c r="U468" t="s">
        <v>65</v>
      </c>
      <c r="V468" t="s">
        <v>67</v>
      </c>
      <c r="W468">
        <v>0</v>
      </c>
      <c r="X468">
        <v>0</v>
      </c>
      <c r="Y468">
        <v>47</v>
      </c>
      <c r="Z468">
        <v>58</v>
      </c>
      <c r="AA468">
        <v>60</v>
      </c>
      <c r="AB468">
        <v>3000</v>
      </c>
      <c r="AC468">
        <v>2914</v>
      </c>
      <c r="AD468">
        <v>1842</v>
      </c>
      <c r="AE468">
        <v>0</v>
      </c>
      <c r="AF468">
        <v>0</v>
      </c>
      <c r="AG468">
        <v>1072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64</v>
      </c>
      <c r="AN468">
        <v>138</v>
      </c>
      <c r="AO468">
        <v>64</v>
      </c>
      <c r="AP468">
        <v>5</v>
      </c>
      <c r="AQ468">
        <v>1</v>
      </c>
      <c r="AR468">
        <v>0</v>
      </c>
      <c r="AS468" t="s">
        <v>58</v>
      </c>
      <c r="AT468">
        <v>1</v>
      </c>
      <c r="AU468" t="s">
        <v>63</v>
      </c>
      <c r="AV468" t="s">
        <v>64</v>
      </c>
      <c r="AW468">
        <v>1</v>
      </c>
      <c r="AX468">
        <v>4</v>
      </c>
      <c r="AY468">
        <v>0</v>
      </c>
      <c r="AZ468">
        <v>30900</v>
      </c>
      <c r="BA468">
        <v>100</v>
      </c>
      <c r="BB468">
        <v>100</v>
      </c>
      <c r="BC468">
        <v>100</v>
      </c>
      <c r="BD468">
        <v>100</v>
      </c>
      <c r="BE468">
        <v>1</v>
      </c>
      <c r="BF468">
        <v>15000</v>
      </c>
      <c r="BG468">
        <v>1000</v>
      </c>
      <c r="BH468" s="6">
        <f>Grandview_Inventory[[#This Row],[land_extract]]*Lookups!$B$3</f>
        <v>49167.631333630678</v>
      </c>
      <c r="BI468" s="6">
        <f>IF(Grandview_Inventory[[#This Row],[bldg_style]]="",0,Lookups!$B$2)</f>
        <v>155833.95000000001</v>
      </c>
      <c r="BJ468" s="6">
        <f>_xlfn.IFNA(VLOOKUP(Grandview_Inventory[[#This Row],[quality]],Lookups!$H$2:$J$14,3,FALSE),0)</f>
        <v>2251</v>
      </c>
      <c r="BK468" s="6">
        <f>_xlfn.IFNA(VLOOKUP(Grandview_Inventory[[#This Row],[condition]],Lookups!$H$17:$J$24,3,FALSE),0)</f>
        <v>22342</v>
      </c>
      <c r="BL468" s="6">
        <f>Grandview_Inventory[[#This Row],[Eff_Age]]*Lookups!$B$14</f>
        <v>-11240.8302</v>
      </c>
      <c r="BM468" s="6">
        <f>Grandview_Inventory[[#This Row],[living_area]]*Lookups!$B$15</f>
        <v>181777.80564199999</v>
      </c>
      <c r="BN468" s="6">
        <f>Grandview_Inventory[[#This Row],[Fin BSMT]]*Lookups!$B$16</f>
        <v>-29050.385280000002</v>
      </c>
      <c r="BO468" s="6">
        <f>(Grandview_Inventory[[#This Row],[att_gar]]+Grandview_Inventory[[#This Row],[bltin_gar]])*Lookups!$B$17</f>
        <v>0</v>
      </c>
      <c r="BP468" s="6">
        <f>Grandview_Inventory[[#This Row],[Plumbing Fixtures]]*Lookups!$B$18</f>
        <v>10052.209000000001</v>
      </c>
      <c r="BQ468" s="6">
        <f>Grandview_Inventory[[#This Row],[detatched_value]]*Lookups!$B$19</f>
        <v>26166.277589999998</v>
      </c>
      <c r="BR468" s="6">
        <f>SUM(Grandview_Inventory[[#This Row],[Intercept]:[det_value]])*Grandview_Inventory[[#This Row],[res_pct]]</f>
        <v>358132.02675200003</v>
      </c>
      <c r="BS468" s="6">
        <f>Grandview_Inventory[[#This Row],[land_value]]</f>
        <v>49167.631333630678</v>
      </c>
      <c r="BT468" s="4">
        <f>_xlfn.IFNA(VLOOKUP(Grandview_Inventory[[#This Row],[quality]],Lookups!$A$26:$C$33,3,FALSE),1)</f>
        <v>0.98763855981004833</v>
      </c>
      <c r="BU468" s="4">
        <f>_xlfn.IFNA(VLOOKUP(Grandview_Inventory[[#This Row],[condition]],Lookups!$A$37:$C$44,3,FALSE),1)</f>
        <v>0.97383723671140243</v>
      </c>
      <c r="BV468" s="4">
        <f>IF(Grandview_Inventory[[#This Row],[bldg_style]]="",1,_xlfn.IFNA(VLOOKUP(Grandview_Inventory[[#This Row],[decade]],Lookups!$F$29:$H$43,3,FALSE),1))</f>
        <v>0.95268620544463312</v>
      </c>
      <c r="BW468" s="4">
        <f>_xlfn.IFNA(VLOOKUP(Grandview_Inventory[[#This Row],[living_area_range]],Lookups!$F$47:$H$56,3,FALSE),1)</f>
        <v>0.94224801443562123</v>
      </c>
      <c r="BX468" s="4">
        <f>AVERAGE(Grandview_Inventory[[#This Row],[qual_adj]:[size_adj]])</f>
        <v>0.96410250410042631</v>
      </c>
      <c r="BY468" s="6">
        <f>IF(Grandview_Inventory[[#This Row],[pre_res]]&lt;0,0,Grandview_Inventory[[#This Row],[pre_res]]*Grandview_Inventory[[#This Row],[overall_adj]])</f>
        <v>345275.98379016411</v>
      </c>
      <c r="BZ468" s="6">
        <f>(Grandview_Inventory[[#This Row],[sum_land]]-IF(Grandview_Inventory[[#This Row],[no_utilities]]=1,12000,0))/IF(Grandview_Inventory[[#This Row],[unbuildable]]=1,2,1)</f>
        <v>49167.631333630678</v>
      </c>
      <c r="CA46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68">
        <f>ROUND(Grandview_Inventory[[#This Row],[det_value]]*Lookups!$M$28,-2)</f>
        <v>24900</v>
      </c>
      <c r="CC468">
        <f>IF(ROUND(Grandview_Inventory[[#This Row],[adj_res]]*Lookups!$M$28,-2)&lt;Grandview_Inventory[[#This Row],[min_res]],Grandview_Inventory[[#This Row],[min_res]],ROUND(Grandview_Inventory[[#This Row],[adj_res]]*Lookups!$M$28,-2))</f>
        <v>328000</v>
      </c>
      <c r="CD468">
        <f>Grandview_Inventory[[#This Row],[final_det]]+Grandview_Inventory[[#This Row],[final_res]]</f>
        <v>352900</v>
      </c>
      <c r="CE468">
        <f>Grandview_Inventory[[#This Row],[final_land]]+Grandview_Inventory[[#This Row],[final_imp]]+Grandview_Inventory[[#This Row],[crop_value]]</f>
        <v>399600</v>
      </c>
      <c r="CG468" t="str">
        <f t="shared" si="7"/>
        <v>update valuation set market_land =46700, market_bldg=352900, market_total =399600, market_mdno =401, market_date ='9/10/2023' where link_id = (select link_id from parcel where parcel_year = '2024' and parcel_id = '23092214437');</v>
      </c>
    </row>
    <row r="469" spans="1:85" x14ac:dyDescent="0.25">
      <c r="A469">
        <v>23092214438</v>
      </c>
      <c r="B469">
        <v>0.2</v>
      </c>
      <c r="C469" t="s">
        <v>129</v>
      </c>
      <c r="D469" t="s">
        <v>129</v>
      </c>
      <c r="E469" t="s">
        <v>53</v>
      </c>
      <c r="F469" t="s">
        <v>53</v>
      </c>
      <c r="G469">
        <v>4</v>
      </c>
      <c r="H469" t="s">
        <v>54</v>
      </c>
      <c r="I469">
        <v>218800</v>
      </c>
      <c r="J469">
        <v>39300</v>
      </c>
      <c r="K469">
        <v>0.2</v>
      </c>
      <c r="L46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69">
        <v>0</v>
      </c>
      <c r="N469">
        <v>0</v>
      </c>
      <c r="O469">
        <v>0</v>
      </c>
      <c r="P469">
        <v>13398.7528</v>
      </c>
      <c r="Q469">
        <v>63903</v>
      </c>
      <c r="R469">
        <f>(Grandview_Inventory[[#This Row],[ln_acres]]*Grandview_Inventory[[#This Row],[coeff]])+Grandview_Inventory[[#This Row],[const]]</f>
        <v>42338.539264347448</v>
      </c>
      <c r="S469" t="s">
        <v>61</v>
      </c>
      <c r="T469">
        <v>1</v>
      </c>
      <c r="U469" t="s">
        <v>64</v>
      </c>
      <c r="V469" t="s">
        <v>69</v>
      </c>
      <c r="W469">
        <v>0</v>
      </c>
      <c r="X469">
        <v>0</v>
      </c>
      <c r="Y469">
        <v>48</v>
      </c>
      <c r="Z469">
        <v>63</v>
      </c>
      <c r="AA469">
        <v>70</v>
      </c>
      <c r="AB469">
        <v>2500</v>
      </c>
      <c r="AC469">
        <v>2260</v>
      </c>
      <c r="AD469">
        <v>1330</v>
      </c>
      <c r="AE469">
        <v>0</v>
      </c>
      <c r="AF469">
        <v>0</v>
      </c>
      <c r="AG469">
        <v>930</v>
      </c>
      <c r="AH469">
        <v>400</v>
      </c>
      <c r="AI469">
        <v>352</v>
      </c>
      <c r="AJ469">
        <v>0</v>
      </c>
      <c r="AK469">
        <v>0</v>
      </c>
      <c r="AL469">
        <v>0</v>
      </c>
      <c r="AM469">
        <v>1062</v>
      </c>
      <c r="AN469">
        <v>0</v>
      </c>
      <c r="AO469">
        <v>560</v>
      </c>
      <c r="AP469">
        <v>10</v>
      </c>
      <c r="AQ469">
        <v>0</v>
      </c>
      <c r="AR469">
        <v>1</v>
      </c>
      <c r="AS469" t="s">
        <v>58</v>
      </c>
      <c r="AT469">
        <v>1</v>
      </c>
      <c r="AU469" t="s">
        <v>59</v>
      </c>
      <c r="AV469" t="s">
        <v>60</v>
      </c>
      <c r="AW469">
        <v>1</v>
      </c>
      <c r="AX469">
        <v>3</v>
      </c>
      <c r="AY469">
        <v>0</v>
      </c>
      <c r="AZ469">
        <v>0</v>
      </c>
      <c r="BA469">
        <v>100</v>
      </c>
      <c r="BB469">
        <v>100</v>
      </c>
      <c r="BC469">
        <v>100</v>
      </c>
      <c r="BD469">
        <v>100</v>
      </c>
      <c r="BE469">
        <v>1</v>
      </c>
      <c r="BF469">
        <v>15000</v>
      </c>
      <c r="BG469">
        <v>1000</v>
      </c>
      <c r="BH469" s="6">
        <f>Grandview_Inventory[[#This Row],[land_extract]]*Lookups!$B$3</f>
        <v>49167.631333630678</v>
      </c>
      <c r="BI469" s="6">
        <f>IF(Grandview_Inventory[[#This Row],[bldg_style]]="",0,Lookups!$B$2)</f>
        <v>155833.95000000001</v>
      </c>
      <c r="BJ469" s="6">
        <f>_xlfn.IFNA(VLOOKUP(Grandview_Inventory[[#This Row],[quality]],Lookups!$H$2:$J$14,3,FALSE),0)</f>
        <v>20768</v>
      </c>
      <c r="BK469" s="6">
        <f>_xlfn.IFNA(VLOOKUP(Grandview_Inventory[[#This Row],[condition]],Lookups!$H$17:$J$24,3,FALSE),0)</f>
        <v>-4503</v>
      </c>
      <c r="BL469" s="6">
        <f>Grandview_Inventory[[#This Row],[Eff_Age]]*Lookups!$B$14</f>
        <v>-11479.996799999999</v>
      </c>
      <c r="BM469" s="6">
        <f>Grandview_Inventory[[#This Row],[living_area]]*Lookups!$B$15</f>
        <v>140980.72778000002</v>
      </c>
      <c r="BN469" s="6">
        <f>Grandview_Inventory[[#This Row],[Fin BSMT]]*Lookups!$B$16</f>
        <v>-25202.2932</v>
      </c>
      <c r="BO469" s="6">
        <f>(Grandview_Inventory[[#This Row],[att_gar]]+Grandview_Inventory[[#This Row],[bltin_gar]])*Lookups!$B$17</f>
        <v>30807.193824000002</v>
      </c>
      <c r="BP469" s="6">
        <f>Grandview_Inventory[[#This Row],[Plumbing Fixtures]]*Lookups!$B$18</f>
        <v>20104.418000000001</v>
      </c>
      <c r="BQ469" s="6">
        <f>Grandview_Inventory[[#This Row],[detatched_value]]*Lookups!$B$19</f>
        <v>0</v>
      </c>
      <c r="BR469" s="6">
        <f>SUM(Grandview_Inventory[[#This Row],[Intercept]:[det_value]])*Grandview_Inventory[[#This Row],[res_pct]]</f>
        <v>327308.99960400007</v>
      </c>
      <c r="BS469" s="6">
        <f>Grandview_Inventory[[#This Row],[land_value]]</f>
        <v>49167.631333630678</v>
      </c>
      <c r="BT469" s="4">
        <f>_xlfn.IFNA(VLOOKUP(Grandview_Inventory[[#This Row],[quality]],Lookups!$A$26:$C$33,3,FALSE),1)</f>
        <v>0.94960540378902636</v>
      </c>
      <c r="BU469" s="4">
        <f>_xlfn.IFNA(VLOOKUP(Grandview_Inventory[[#This Row],[condition]],Lookups!$A$37:$C$44,3,FALSE),1)</f>
        <v>0.96469275950863709</v>
      </c>
      <c r="BV469" s="4">
        <f>IF(Grandview_Inventory[[#This Row],[bldg_style]]="",1,_xlfn.IFNA(VLOOKUP(Grandview_Inventory[[#This Row],[decade]],Lookups!$F$29:$H$43,3,FALSE),1))</f>
        <v>0.99472141305414818</v>
      </c>
      <c r="BW469" s="4">
        <f>_xlfn.IFNA(VLOOKUP(Grandview_Inventory[[#This Row],[living_area_range]],Lookups!$F$47:$H$56,3,FALSE),1)</f>
        <v>0.95799442568048754</v>
      </c>
      <c r="BX469" s="4">
        <f>AVERAGE(Grandview_Inventory[[#This Row],[qual_adj]:[size_adj]])</f>
        <v>0.96675350050807474</v>
      </c>
      <c r="BY469" s="6">
        <f>IF(Grandview_Inventory[[#This Row],[pre_res]]&lt;0,0,Grandview_Inventory[[#This Row],[pre_res]]*Grandview_Inventory[[#This Row],[overall_adj]])</f>
        <v>316427.12111496314</v>
      </c>
      <c r="BZ469" s="6">
        <f>(Grandview_Inventory[[#This Row],[sum_land]]-IF(Grandview_Inventory[[#This Row],[no_utilities]]=1,12000,0))/IF(Grandview_Inventory[[#This Row],[unbuildable]]=1,2,1)</f>
        <v>49167.631333630678</v>
      </c>
      <c r="CA46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69">
        <f>ROUND(Grandview_Inventory[[#This Row],[det_value]]*Lookups!$M$28,-2)</f>
        <v>0</v>
      </c>
      <c r="CC469">
        <f>IF(ROUND(Grandview_Inventory[[#This Row],[adj_res]]*Lookups!$M$28,-2)&lt;Grandview_Inventory[[#This Row],[min_res]],Grandview_Inventory[[#This Row],[min_res]],ROUND(Grandview_Inventory[[#This Row],[adj_res]]*Lookups!$M$28,-2))</f>
        <v>300600</v>
      </c>
      <c r="CD469">
        <f>Grandview_Inventory[[#This Row],[final_det]]+Grandview_Inventory[[#This Row],[final_res]]</f>
        <v>300600</v>
      </c>
      <c r="CE469">
        <f>Grandview_Inventory[[#This Row],[final_land]]+Grandview_Inventory[[#This Row],[final_imp]]+Grandview_Inventory[[#This Row],[crop_value]]</f>
        <v>347300</v>
      </c>
      <c r="CG469" t="str">
        <f t="shared" si="7"/>
        <v>update valuation set market_land =46700, market_bldg=300600, market_total =347300, market_mdno =401, market_date ='9/10/2023' where link_id = (select link_id from parcel where parcel_year = '2024' and parcel_id = '23092214438');</v>
      </c>
    </row>
    <row r="470" spans="1:85" x14ac:dyDescent="0.25">
      <c r="A470">
        <v>23092214441</v>
      </c>
      <c r="B470">
        <v>0.21</v>
      </c>
      <c r="C470" t="s">
        <v>129</v>
      </c>
      <c r="D470" t="s">
        <v>129</v>
      </c>
      <c r="E470" t="s">
        <v>53</v>
      </c>
      <c r="F470" t="s">
        <v>53</v>
      </c>
      <c r="G470">
        <v>4</v>
      </c>
      <c r="H470" t="s">
        <v>54</v>
      </c>
      <c r="I470">
        <v>209400</v>
      </c>
      <c r="J470">
        <v>43700</v>
      </c>
      <c r="K470">
        <v>0.21</v>
      </c>
      <c r="L47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470">
        <v>0</v>
      </c>
      <c r="N470">
        <v>0</v>
      </c>
      <c r="O470">
        <v>0</v>
      </c>
      <c r="P470">
        <v>13398.7528</v>
      </c>
      <c r="Q470">
        <v>63903</v>
      </c>
      <c r="R470">
        <f>(Grandview_Inventory[[#This Row],[ln_acres]]*Grandview_Inventory[[#This Row],[coeff]])+Grandview_Inventory[[#This Row],[const]]</f>
        <v>42992.266613125081</v>
      </c>
      <c r="S470" t="s">
        <v>61</v>
      </c>
      <c r="T470">
        <v>1</v>
      </c>
      <c r="U470" t="s">
        <v>65</v>
      </c>
      <c r="V470" t="s">
        <v>67</v>
      </c>
      <c r="W470">
        <v>0</v>
      </c>
      <c r="X470">
        <v>0</v>
      </c>
      <c r="Y470">
        <v>48</v>
      </c>
      <c r="Z470">
        <v>63</v>
      </c>
      <c r="AA470">
        <v>70</v>
      </c>
      <c r="AB470">
        <v>1500</v>
      </c>
      <c r="AC470">
        <v>1388</v>
      </c>
      <c r="AD470">
        <v>1388</v>
      </c>
      <c r="AE470">
        <v>0</v>
      </c>
      <c r="AF470">
        <v>0</v>
      </c>
      <c r="AG470">
        <v>0</v>
      </c>
      <c r="AH470">
        <v>0</v>
      </c>
      <c r="AI470">
        <v>286</v>
      </c>
      <c r="AJ470">
        <v>0</v>
      </c>
      <c r="AK470">
        <v>0</v>
      </c>
      <c r="AL470">
        <v>0</v>
      </c>
      <c r="AM470">
        <v>300</v>
      </c>
      <c r="AN470">
        <v>0</v>
      </c>
      <c r="AO470">
        <v>0</v>
      </c>
      <c r="AP470">
        <v>5</v>
      </c>
      <c r="AQ470">
        <v>0</v>
      </c>
      <c r="AR470">
        <v>0</v>
      </c>
      <c r="AS470" t="s">
        <v>58</v>
      </c>
      <c r="AT470">
        <v>1</v>
      </c>
      <c r="AU470" t="s">
        <v>63</v>
      </c>
      <c r="AV470" t="s">
        <v>60</v>
      </c>
      <c r="AW470">
        <v>1</v>
      </c>
      <c r="AX470">
        <v>3</v>
      </c>
      <c r="AY470">
        <v>0</v>
      </c>
      <c r="AZ470">
        <v>0</v>
      </c>
      <c r="BA470">
        <v>100</v>
      </c>
      <c r="BB470">
        <v>100</v>
      </c>
      <c r="BC470">
        <v>100</v>
      </c>
      <c r="BD470">
        <v>100</v>
      </c>
      <c r="BE470">
        <v>1</v>
      </c>
      <c r="BF470">
        <v>15000</v>
      </c>
      <c r="BG470">
        <v>1000</v>
      </c>
      <c r="BH470" s="6">
        <f>Grandview_Inventory[[#This Row],[land_extract]]*Lookups!$B$3</f>
        <v>49926.8031387023</v>
      </c>
      <c r="BI470" s="6">
        <f>IF(Grandview_Inventory[[#This Row],[bldg_style]]="",0,Lookups!$B$2)</f>
        <v>155833.95000000001</v>
      </c>
      <c r="BJ470" s="6">
        <f>_xlfn.IFNA(VLOOKUP(Grandview_Inventory[[#This Row],[quality]],Lookups!$H$2:$J$14,3,FALSE),0)</f>
        <v>2251</v>
      </c>
      <c r="BK470" s="6">
        <f>_xlfn.IFNA(VLOOKUP(Grandview_Inventory[[#This Row],[condition]],Lookups!$H$17:$J$24,3,FALSE),0)</f>
        <v>22342</v>
      </c>
      <c r="BL470" s="6">
        <f>Grandview_Inventory[[#This Row],[Eff_Age]]*Lookups!$B$14</f>
        <v>-11479.996799999999</v>
      </c>
      <c r="BM470" s="6">
        <f>Grandview_Inventory[[#This Row],[living_area]]*Lookups!$B$15</f>
        <v>86584.623963999999</v>
      </c>
      <c r="BN470" s="6">
        <f>Grandview_Inventory[[#This Row],[Fin BSMT]]*Lookups!$B$16</f>
        <v>0</v>
      </c>
      <c r="BO470" s="6">
        <f>(Grandview_Inventory[[#This Row],[att_gar]]+Grandview_Inventory[[#This Row],[bltin_gar]])*Lookups!$B$17</f>
        <v>25030.844981999999</v>
      </c>
      <c r="BP470" s="6">
        <f>Grandview_Inventory[[#This Row],[Plumbing Fixtures]]*Lookups!$B$18</f>
        <v>10052.209000000001</v>
      </c>
      <c r="BQ470" s="6">
        <f>Grandview_Inventory[[#This Row],[detatched_value]]*Lookups!$B$19</f>
        <v>0</v>
      </c>
      <c r="BR470" s="6">
        <f>SUM(Grandview_Inventory[[#This Row],[Intercept]:[det_value]])*Grandview_Inventory[[#This Row],[res_pct]]</f>
        <v>290614.631146</v>
      </c>
      <c r="BS470" s="6">
        <f>Grandview_Inventory[[#This Row],[land_value]]</f>
        <v>49926.8031387023</v>
      </c>
      <c r="BT470" s="4">
        <f>_xlfn.IFNA(VLOOKUP(Grandview_Inventory[[#This Row],[quality]],Lookups!$A$26:$C$33,3,FALSE),1)</f>
        <v>0.98763855981004833</v>
      </c>
      <c r="BU470" s="4">
        <f>_xlfn.IFNA(VLOOKUP(Grandview_Inventory[[#This Row],[condition]],Lookups!$A$37:$C$44,3,FALSE),1)</f>
        <v>0.97383723671140243</v>
      </c>
      <c r="BV470" s="4">
        <f>IF(Grandview_Inventory[[#This Row],[bldg_style]]="",1,_xlfn.IFNA(VLOOKUP(Grandview_Inventory[[#This Row],[decade]],Lookups!$F$29:$H$43,3,FALSE),1))</f>
        <v>0.99472141305414818</v>
      </c>
      <c r="BW470" s="4">
        <f>_xlfn.IFNA(VLOOKUP(Grandview_Inventory[[#This Row],[living_area_range]],Lookups!$F$47:$H$56,3,FALSE),1)</f>
        <v>0.96135087979789358</v>
      </c>
      <c r="BX470" s="4">
        <f>AVERAGE(Grandview_Inventory[[#This Row],[qual_adj]:[size_adj]])</f>
        <v>0.97938702234337316</v>
      </c>
      <c r="BY470" s="6">
        <f>IF(Grandview_Inventory[[#This Row],[pre_res]]&lt;0,0,Grandview_Inventory[[#This Row],[pre_res]]*Grandview_Inventory[[#This Row],[overall_adj]])</f>
        <v>284624.19824749866</v>
      </c>
      <c r="BZ470" s="6">
        <f>(Grandview_Inventory[[#This Row],[sum_land]]-IF(Grandview_Inventory[[#This Row],[no_utilities]]=1,12000,0))/IF(Grandview_Inventory[[#This Row],[unbuildable]]=1,2,1)</f>
        <v>49926.8031387023</v>
      </c>
      <c r="CA47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470">
        <f>ROUND(Grandview_Inventory[[#This Row],[det_value]]*Lookups!$M$28,-2)</f>
        <v>0</v>
      </c>
      <c r="CC470">
        <f>IF(ROUND(Grandview_Inventory[[#This Row],[adj_res]]*Lookups!$M$28,-2)&lt;Grandview_Inventory[[#This Row],[min_res]],Grandview_Inventory[[#This Row],[min_res]],ROUND(Grandview_Inventory[[#This Row],[adj_res]]*Lookups!$M$28,-2))</f>
        <v>270400</v>
      </c>
      <c r="CD470">
        <f>Grandview_Inventory[[#This Row],[final_det]]+Grandview_Inventory[[#This Row],[final_res]]</f>
        <v>270400</v>
      </c>
      <c r="CE470">
        <f>Grandview_Inventory[[#This Row],[final_land]]+Grandview_Inventory[[#This Row],[final_imp]]+Grandview_Inventory[[#This Row],[crop_value]]</f>
        <v>317800</v>
      </c>
      <c r="CG470" t="str">
        <f t="shared" si="7"/>
        <v>update valuation set market_land =47400, market_bldg=270400, market_total =317800, market_mdno =401, market_date ='9/10/2023' where link_id = (select link_id from parcel where parcel_year = '2024' and parcel_id = '23092214441');</v>
      </c>
    </row>
    <row r="471" spans="1:85" x14ac:dyDescent="0.25">
      <c r="A471">
        <v>23092214442</v>
      </c>
      <c r="B471">
        <v>0.2</v>
      </c>
      <c r="C471">
        <v>8756</v>
      </c>
      <c r="D471" t="s">
        <v>129</v>
      </c>
      <c r="E471" t="s">
        <v>53</v>
      </c>
      <c r="F471" t="s">
        <v>53</v>
      </c>
      <c r="G471">
        <v>4</v>
      </c>
      <c r="H471" t="s">
        <v>54</v>
      </c>
      <c r="I471">
        <v>157500</v>
      </c>
      <c r="J471">
        <v>43700</v>
      </c>
      <c r="K471">
        <v>0.2</v>
      </c>
      <c r="L47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71">
        <v>0</v>
      </c>
      <c r="N471">
        <v>0</v>
      </c>
      <c r="O471">
        <v>0</v>
      </c>
      <c r="P471">
        <v>13398.7528</v>
      </c>
      <c r="Q471">
        <v>63903</v>
      </c>
      <c r="R471">
        <f>(Grandview_Inventory[[#This Row],[ln_acres]]*Grandview_Inventory[[#This Row],[coeff]])+Grandview_Inventory[[#This Row],[const]]</f>
        <v>42338.539264347448</v>
      </c>
      <c r="S471" t="s">
        <v>61</v>
      </c>
      <c r="T471">
        <v>1</v>
      </c>
      <c r="U471" t="s">
        <v>65</v>
      </c>
      <c r="V471" t="s">
        <v>69</v>
      </c>
      <c r="W471">
        <v>0</v>
      </c>
      <c r="X471">
        <v>0</v>
      </c>
      <c r="Y471">
        <v>48</v>
      </c>
      <c r="Z471">
        <v>63</v>
      </c>
      <c r="AA471">
        <v>70</v>
      </c>
      <c r="AB471">
        <v>1500</v>
      </c>
      <c r="AC471">
        <v>1136</v>
      </c>
      <c r="AD471">
        <v>1136</v>
      </c>
      <c r="AE471">
        <v>0</v>
      </c>
      <c r="AF471">
        <v>0</v>
      </c>
      <c r="AG471">
        <v>0</v>
      </c>
      <c r="AH471">
        <v>0</v>
      </c>
      <c r="AI471">
        <v>264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5</v>
      </c>
      <c r="AQ471">
        <v>0</v>
      </c>
      <c r="AR471">
        <v>0</v>
      </c>
      <c r="AS471" t="s">
        <v>58</v>
      </c>
      <c r="AT471">
        <v>1</v>
      </c>
      <c r="AU471" t="s">
        <v>63</v>
      </c>
      <c r="AV471" t="s">
        <v>60</v>
      </c>
      <c r="AW471">
        <v>1</v>
      </c>
      <c r="AX471">
        <v>3</v>
      </c>
      <c r="AY471">
        <v>0</v>
      </c>
      <c r="AZ471">
        <v>0</v>
      </c>
      <c r="BA471">
        <v>100</v>
      </c>
      <c r="BB471">
        <v>100</v>
      </c>
      <c r="BC471">
        <v>100</v>
      </c>
      <c r="BD471">
        <v>100</v>
      </c>
      <c r="BE471">
        <v>1</v>
      </c>
      <c r="BF471">
        <v>15000</v>
      </c>
      <c r="BG471">
        <v>1000</v>
      </c>
      <c r="BH471" s="6">
        <f>Grandview_Inventory[[#This Row],[land_extract]]*Lookups!$B$3</f>
        <v>49167.631333630678</v>
      </c>
      <c r="BI471" s="6">
        <f>IF(Grandview_Inventory[[#This Row],[bldg_style]]="",0,Lookups!$B$2)</f>
        <v>155833.95000000001</v>
      </c>
      <c r="BJ471" s="6">
        <f>_xlfn.IFNA(VLOOKUP(Grandview_Inventory[[#This Row],[quality]],Lookups!$H$2:$J$14,3,FALSE),0)</f>
        <v>2251</v>
      </c>
      <c r="BK471" s="6">
        <f>_xlfn.IFNA(VLOOKUP(Grandview_Inventory[[#This Row],[condition]],Lookups!$H$17:$J$24,3,FALSE),0)</f>
        <v>-4503</v>
      </c>
      <c r="BL471" s="6">
        <f>Grandview_Inventory[[#This Row],[Eff_Age]]*Lookups!$B$14</f>
        <v>-11479.996799999999</v>
      </c>
      <c r="BM471" s="6">
        <f>Grandview_Inventory[[#This Row],[living_area]]*Lookups!$B$15</f>
        <v>70864.649008000008</v>
      </c>
      <c r="BN471" s="6">
        <f>Grandview_Inventory[[#This Row],[Fin BSMT]]*Lookups!$B$16</f>
        <v>0</v>
      </c>
      <c r="BO471" s="6">
        <f>(Grandview_Inventory[[#This Row],[att_gar]]+Grandview_Inventory[[#This Row],[bltin_gar]])*Lookups!$B$17</f>
        <v>23105.395368000001</v>
      </c>
      <c r="BP471" s="6">
        <f>Grandview_Inventory[[#This Row],[Plumbing Fixtures]]*Lookups!$B$18</f>
        <v>10052.209000000001</v>
      </c>
      <c r="BQ471" s="6">
        <f>Grandview_Inventory[[#This Row],[detatched_value]]*Lookups!$B$19</f>
        <v>0</v>
      </c>
      <c r="BR471" s="6">
        <f>SUM(Grandview_Inventory[[#This Row],[Intercept]:[det_value]])*Grandview_Inventory[[#This Row],[res_pct]]</f>
        <v>246124.20657600003</v>
      </c>
      <c r="BS471" s="6">
        <f>Grandview_Inventory[[#This Row],[land_value]]</f>
        <v>49167.631333630678</v>
      </c>
      <c r="BT471" s="4">
        <f>_xlfn.IFNA(VLOOKUP(Grandview_Inventory[[#This Row],[quality]],Lookups!$A$26:$C$33,3,FALSE),1)</f>
        <v>0.98763855981004833</v>
      </c>
      <c r="BU471" s="4">
        <f>_xlfn.IFNA(VLOOKUP(Grandview_Inventory[[#This Row],[condition]],Lookups!$A$37:$C$44,3,FALSE),1)</f>
        <v>0.96469275950863709</v>
      </c>
      <c r="BV471" s="4">
        <f>IF(Grandview_Inventory[[#This Row],[bldg_style]]="",1,_xlfn.IFNA(VLOOKUP(Grandview_Inventory[[#This Row],[decade]],Lookups!$F$29:$H$43,3,FALSE),1))</f>
        <v>0.99472141305414818</v>
      </c>
      <c r="BW471" s="4">
        <f>_xlfn.IFNA(VLOOKUP(Grandview_Inventory[[#This Row],[living_area_range]],Lookups!$F$47:$H$56,3,FALSE),1)</f>
        <v>0.96135087979789358</v>
      </c>
      <c r="BX471" s="4">
        <f>AVERAGE(Grandview_Inventory[[#This Row],[qual_adj]:[size_adj]])</f>
        <v>0.97710090304268182</v>
      </c>
      <c r="BY471" s="6">
        <f>IF(Grandview_Inventory[[#This Row],[pre_res]]&lt;0,0,Grandview_Inventory[[#This Row],[pre_res]]*Grandview_Inventory[[#This Row],[overall_adj]])</f>
        <v>240488.18450607319</v>
      </c>
      <c r="BZ471" s="6">
        <f>(Grandview_Inventory[[#This Row],[sum_land]]-IF(Grandview_Inventory[[#This Row],[no_utilities]]=1,12000,0))/IF(Grandview_Inventory[[#This Row],[unbuildable]]=1,2,1)</f>
        <v>49167.631333630678</v>
      </c>
      <c r="CA47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71">
        <f>ROUND(Grandview_Inventory[[#This Row],[det_value]]*Lookups!$M$28,-2)</f>
        <v>0</v>
      </c>
      <c r="CC471">
        <f>IF(ROUND(Grandview_Inventory[[#This Row],[adj_res]]*Lookups!$M$28,-2)&lt;Grandview_Inventory[[#This Row],[min_res]],Grandview_Inventory[[#This Row],[min_res]],ROUND(Grandview_Inventory[[#This Row],[adj_res]]*Lookups!$M$28,-2))</f>
        <v>228500</v>
      </c>
      <c r="CD471">
        <f>Grandview_Inventory[[#This Row],[final_det]]+Grandview_Inventory[[#This Row],[final_res]]</f>
        <v>228500</v>
      </c>
      <c r="CE471">
        <f>Grandview_Inventory[[#This Row],[final_land]]+Grandview_Inventory[[#This Row],[final_imp]]+Grandview_Inventory[[#This Row],[crop_value]]</f>
        <v>275200</v>
      </c>
      <c r="CG471" t="str">
        <f t="shared" si="7"/>
        <v>update valuation set market_land =46700, market_bldg=228500, market_total =275200, market_mdno =401, market_date ='9/10/2023' where link_id = (select link_id from parcel where parcel_year = '2024' and parcel_id = '23092214442');</v>
      </c>
    </row>
    <row r="472" spans="1:85" x14ac:dyDescent="0.25">
      <c r="A472">
        <v>23092214443</v>
      </c>
      <c r="B472">
        <v>0.2</v>
      </c>
      <c r="C472">
        <v>8756</v>
      </c>
      <c r="D472" t="s">
        <v>129</v>
      </c>
      <c r="E472" t="s">
        <v>53</v>
      </c>
      <c r="F472" t="s">
        <v>53</v>
      </c>
      <c r="G472">
        <v>4</v>
      </c>
      <c r="H472" t="s">
        <v>54</v>
      </c>
      <c r="I472">
        <v>216900</v>
      </c>
      <c r="J472">
        <v>43700</v>
      </c>
      <c r="K472">
        <v>0.2</v>
      </c>
      <c r="L47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72">
        <v>0</v>
      </c>
      <c r="N472">
        <v>0</v>
      </c>
      <c r="O472">
        <v>0</v>
      </c>
      <c r="P472">
        <v>13398.7528</v>
      </c>
      <c r="Q472">
        <v>63903</v>
      </c>
      <c r="R472">
        <f>(Grandview_Inventory[[#This Row],[ln_acres]]*Grandview_Inventory[[#This Row],[coeff]])+Grandview_Inventory[[#This Row],[const]]</f>
        <v>42338.539264347448</v>
      </c>
      <c r="S472" t="s">
        <v>61</v>
      </c>
      <c r="T472">
        <v>1</v>
      </c>
      <c r="U472" t="s">
        <v>65</v>
      </c>
      <c r="V472" t="s">
        <v>67</v>
      </c>
      <c r="W472">
        <v>0</v>
      </c>
      <c r="X472">
        <v>0</v>
      </c>
      <c r="Y472">
        <v>49</v>
      </c>
      <c r="Z472">
        <v>68</v>
      </c>
      <c r="AA472">
        <v>70</v>
      </c>
      <c r="AB472">
        <v>2000</v>
      </c>
      <c r="AC472">
        <v>1921</v>
      </c>
      <c r="AD472">
        <v>1241</v>
      </c>
      <c r="AE472">
        <v>0</v>
      </c>
      <c r="AF472">
        <v>0</v>
      </c>
      <c r="AG472">
        <v>680</v>
      </c>
      <c r="AH472">
        <v>592</v>
      </c>
      <c r="AI472">
        <v>260</v>
      </c>
      <c r="AJ472">
        <v>0</v>
      </c>
      <c r="AK472">
        <v>168</v>
      </c>
      <c r="AL472">
        <v>0</v>
      </c>
      <c r="AM472">
        <v>204</v>
      </c>
      <c r="AN472">
        <v>78</v>
      </c>
      <c r="AO472">
        <v>204</v>
      </c>
      <c r="AP472">
        <v>8</v>
      </c>
      <c r="AQ472">
        <v>0</v>
      </c>
      <c r="AR472">
        <v>0</v>
      </c>
      <c r="AS472" t="s">
        <v>58</v>
      </c>
      <c r="AT472">
        <v>1</v>
      </c>
      <c r="AU472" t="s">
        <v>63</v>
      </c>
      <c r="AV472" t="s">
        <v>64</v>
      </c>
      <c r="AW472">
        <v>1</v>
      </c>
      <c r="AX472">
        <v>3</v>
      </c>
      <c r="AY472">
        <v>0</v>
      </c>
      <c r="AZ472">
        <v>0</v>
      </c>
      <c r="BA472">
        <v>100</v>
      </c>
      <c r="BB472">
        <v>100</v>
      </c>
      <c r="BC472">
        <v>100</v>
      </c>
      <c r="BD472">
        <v>100</v>
      </c>
      <c r="BE472">
        <v>1</v>
      </c>
      <c r="BF472">
        <v>15000</v>
      </c>
      <c r="BG472">
        <v>1000</v>
      </c>
      <c r="BH472" s="6">
        <f>Grandview_Inventory[[#This Row],[land_extract]]*Lookups!$B$3</f>
        <v>49167.631333630678</v>
      </c>
      <c r="BI472" s="6">
        <f>IF(Grandview_Inventory[[#This Row],[bldg_style]]="",0,Lookups!$B$2)</f>
        <v>155833.95000000001</v>
      </c>
      <c r="BJ472" s="6">
        <f>_xlfn.IFNA(VLOOKUP(Grandview_Inventory[[#This Row],[quality]],Lookups!$H$2:$J$14,3,FALSE),0)</f>
        <v>2251</v>
      </c>
      <c r="BK472" s="6">
        <f>_xlfn.IFNA(VLOOKUP(Grandview_Inventory[[#This Row],[condition]],Lookups!$H$17:$J$24,3,FALSE),0)</f>
        <v>22342</v>
      </c>
      <c r="BL472" s="6">
        <f>Grandview_Inventory[[#This Row],[Eff_Age]]*Lookups!$B$14</f>
        <v>-11719.163399999999</v>
      </c>
      <c r="BM472" s="6">
        <f>Grandview_Inventory[[#This Row],[living_area]]*Lookups!$B$15</f>
        <v>119833.618613</v>
      </c>
      <c r="BN472" s="6">
        <f>Grandview_Inventory[[#This Row],[Fin BSMT]]*Lookups!$B$16</f>
        <v>-18427.483200000002</v>
      </c>
      <c r="BO472" s="6">
        <f>(Grandview_Inventory[[#This Row],[att_gar]]+Grandview_Inventory[[#This Row],[bltin_gar]])*Lookups!$B$17</f>
        <v>22755.313620000001</v>
      </c>
      <c r="BP472" s="6">
        <f>Grandview_Inventory[[#This Row],[Plumbing Fixtures]]*Lookups!$B$18</f>
        <v>16083.5344</v>
      </c>
      <c r="BQ472" s="6">
        <f>Grandview_Inventory[[#This Row],[detatched_value]]*Lookups!$B$19</f>
        <v>0</v>
      </c>
      <c r="BR472" s="6">
        <f>SUM(Grandview_Inventory[[#This Row],[Intercept]:[det_value]])*Grandview_Inventory[[#This Row],[res_pct]]</f>
        <v>308952.77003300004</v>
      </c>
      <c r="BS472" s="6">
        <f>Grandview_Inventory[[#This Row],[land_value]]</f>
        <v>49167.631333630678</v>
      </c>
      <c r="BT472" s="4">
        <f>_xlfn.IFNA(VLOOKUP(Grandview_Inventory[[#This Row],[quality]],Lookups!$A$26:$C$33,3,FALSE),1)</f>
        <v>0.98763855981004833</v>
      </c>
      <c r="BU472" s="4">
        <f>_xlfn.IFNA(VLOOKUP(Grandview_Inventory[[#This Row],[condition]],Lookups!$A$37:$C$44,3,FALSE),1)</f>
        <v>0.97383723671140243</v>
      </c>
      <c r="BV472" s="4">
        <f>IF(Grandview_Inventory[[#This Row],[bldg_style]]="",1,_xlfn.IFNA(VLOOKUP(Grandview_Inventory[[#This Row],[decade]],Lookups!$F$29:$H$43,3,FALSE),1))</f>
        <v>0.99472141305414818</v>
      </c>
      <c r="BW472" s="4">
        <f>_xlfn.IFNA(VLOOKUP(Grandview_Inventory[[#This Row],[living_area_range]],Lookups!$F$47:$H$56,3,FALSE),1)</f>
        <v>0.96120133463014379</v>
      </c>
      <c r="BX472" s="4">
        <f>AVERAGE(Grandview_Inventory[[#This Row],[qual_adj]:[size_adj]])</f>
        <v>0.97934963605143577</v>
      </c>
      <c r="BY472" s="6">
        <f>IF(Grandview_Inventory[[#This Row],[pre_res]]&lt;0,0,Grandview_Inventory[[#This Row],[pre_res]]*Grandview_Inventory[[#This Row],[overall_adj]])</f>
        <v>302572.78288890154</v>
      </c>
      <c r="BZ472" s="6">
        <f>(Grandview_Inventory[[#This Row],[sum_land]]-IF(Grandview_Inventory[[#This Row],[no_utilities]]=1,12000,0))/IF(Grandview_Inventory[[#This Row],[unbuildable]]=1,2,1)</f>
        <v>49167.631333630678</v>
      </c>
      <c r="CA47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72">
        <f>ROUND(Grandview_Inventory[[#This Row],[det_value]]*Lookups!$M$28,-2)</f>
        <v>0</v>
      </c>
      <c r="CC472">
        <f>IF(ROUND(Grandview_Inventory[[#This Row],[adj_res]]*Lookups!$M$28,-2)&lt;Grandview_Inventory[[#This Row],[min_res]],Grandview_Inventory[[#This Row],[min_res]],ROUND(Grandview_Inventory[[#This Row],[adj_res]]*Lookups!$M$28,-2))</f>
        <v>287400</v>
      </c>
      <c r="CD472">
        <f>Grandview_Inventory[[#This Row],[final_det]]+Grandview_Inventory[[#This Row],[final_res]]</f>
        <v>287400</v>
      </c>
      <c r="CE472">
        <f>Grandview_Inventory[[#This Row],[final_land]]+Grandview_Inventory[[#This Row],[final_imp]]+Grandview_Inventory[[#This Row],[crop_value]]</f>
        <v>334100</v>
      </c>
      <c r="CG472" t="str">
        <f t="shared" si="7"/>
        <v>update valuation set market_land =46700, market_bldg=287400, market_total =334100, market_mdno =401, market_date ='9/10/2023' where link_id = (select link_id from parcel where parcel_year = '2024' and parcel_id = '23092214443');</v>
      </c>
    </row>
    <row r="473" spans="1:85" x14ac:dyDescent="0.25">
      <c r="A473">
        <v>23092214444</v>
      </c>
      <c r="B473">
        <v>0.2</v>
      </c>
      <c r="C473">
        <v>8756</v>
      </c>
      <c r="D473" t="s">
        <v>129</v>
      </c>
      <c r="E473" t="s">
        <v>53</v>
      </c>
      <c r="F473" t="s">
        <v>53</v>
      </c>
      <c r="G473">
        <v>4</v>
      </c>
      <c r="H473" t="s">
        <v>54</v>
      </c>
      <c r="I473">
        <v>160500</v>
      </c>
      <c r="J473">
        <v>43700</v>
      </c>
      <c r="K473">
        <v>0.2</v>
      </c>
      <c r="L47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73">
        <v>0</v>
      </c>
      <c r="N473">
        <v>0</v>
      </c>
      <c r="O473">
        <v>0</v>
      </c>
      <c r="P473">
        <v>13398.7528</v>
      </c>
      <c r="Q473">
        <v>63903</v>
      </c>
      <c r="R473">
        <f>(Grandview_Inventory[[#This Row],[ln_acres]]*Grandview_Inventory[[#This Row],[coeff]])+Grandview_Inventory[[#This Row],[const]]</f>
        <v>42338.539264347448</v>
      </c>
      <c r="S473" t="s">
        <v>61</v>
      </c>
      <c r="T473">
        <v>1</v>
      </c>
      <c r="U473" t="s">
        <v>65</v>
      </c>
      <c r="V473" t="s">
        <v>69</v>
      </c>
      <c r="W473">
        <v>0</v>
      </c>
      <c r="X473">
        <v>0</v>
      </c>
      <c r="Y473">
        <v>49</v>
      </c>
      <c r="Z473">
        <v>65</v>
      </c>
      <c r="AA473">
        <v>70</v>
      </c>
      <c r="AB473">
        <v>2000</v>
      </c>
      <c r="AC473">
        <v>1560</v>
      </c>
      <c r="AD473">
        <v>1040</v>
      </c>
      <c r="AE473">
        <v>0</v>
      </c>
      <c r="AF473">
        <v>0</v>
      </c>
      <c r="AG473">
        <v>520</v>
      </c>
      <c r="AH473">
        <v>520</v>
      </c>
      <c r="AI473">
        <v>264</v>
      </c>
      <c r="AJ473">
        <v>0</v>
      </c>
      <c r="AK473">
        <v>0</v>
      </c>
      <c r="AL473">
        <v>0</v>
      </c>
      <c r="AM473">
        <v>266</v>
      </c>
      <c r="AN473">
        <v>0</v>
      </c>
      <c r="AO473">
        <v>72</v>
      </c>
      <c r="AP473">
        <v>8</v>
      </c>
      <c r="AQ473">
        <v>0</v>
      </c>
      <c r="AR473">
        <v>0</v>
      </c>
      <c r="AS473" t="s">
        <v>58</v>
      </c>
      <c r="AT473">
        <v>1</v>
      </c>
      <c r="AU473" t="s">
        <v>63</v>
      </c>
      <c r="AV473" t="s">
        <v>64</v>
      </c>
      <c r="AW473">
        <v>1</v>
      </c>
      <c r="AX473">
        <v>3</v>
      </c>
      <c r="AY473">
        <v>0</v>
      </c>
      <c r="AZ473">
        <v>0</v>
      </c>
      <c r="BA473">
        <v>100</v>
      </c>
      <c r="BB473">
        <v>100</v>
      </c>
      <c r="BC473">
        <v>100</v>
      </c>
      <c r="BD473">
        <v>100</v>
      </c>
      <c r="BE473">
        <v>1</v>
      </c>
      <c r="BF473">
        <v>15000</v>
      </c>
      <c r="BG473">
        <v>1000</v>
      </c>
      <c r="BH473" s="6">
        <f>Grandview_Inventory[[#This Row],[land_extract]]*Lookups!$B$3</f>
        <v>49167.631333630678</v>
      </c>
      <c r="BI473" s="6">
        <f>IF(Grandview_Inventory[[#This Row],[bldg_style]]="",0,Lookups!$B$2)</f>
        <v>155833.95000000001</v>
      </c>
      <c r="BJ473" s="6">
        <f>_xlfn.IFNA(VLOOKUP(Grandview_Inventory[[#This Row],[quality]],Lookups!$H$2:$J$14,3,FALSE),0)</f>
        <v>2251</v>
      </c>
      <c r="BK473" s="6">
        <f>_xlfn.IFNA(VLOOKUP(Grandview_Inventory[[#This Row],[condition]],Lookups!$H$17:$J$24,3,FALSE),0)</f>
        <v>-4503</v>
      </c>
      <c r="BL473" s="6">
        <f>Grandview_Inventory[[#This Row],[Eff_Age]]*Lookups!$B$14</f>
        <v>-11719.163399999999</v>
      </c>
      <c r="BM473" s="6">
        <f>Grandview_Inventory[[#This Row],[living_area]]*Lookups!$B$15</f>
        <v>97314.130680000002</v>
      </c>
      <c r="BN473" s="6">
        <f>Grandview_Inventory[[#This Row],[Fin BSMT]]*Lookups!$B$16</f>
        <v>-14091.604800000001</v>
      </c>
      <c r="BO473" s="6">
        <f>(Grandview_Inventory[[#This Row],[att_gar]]+Grandview_Inventory[[#This Row],[bltin_gar]])*Lookups!$B$17</f>
        <v>23105.395368000001</v>
      </c>
      <c r="BP473" s="6">
        <f>Grandview_Inventory[[#This Row],[Plumbing Fixtures]]*Lookups!$B$18</f>
        <v>16083.5344</v>
      </c>
      <c r="BQ473" s="6">
        <f>Grandview_Inventory[[#This Row],[detatched_value]]*Lookups!$B$19</f>
        <v>0</v>
      </c>
      <c r="BR473" s="6">
        <f>SUM(Grandview_Inventory[[#This Row],[Intercept]:[det_value]])*Grandview_Inventory[[#This Row],[res_pct]]</f>
        <v>264274.242248</v>
      </c>
      <c r="BS473" s="6">
        <f>Grandview_Inventory[[#This Row],[land_value]]</f>
        <v>49167.631333630678</v>
      </c>
      <c r="BT473" s="4">
        <f>_xlfn.IFNA(VLOOKUP(Grandview_Inventory[[#This Row],[quality]],Lookups!$A$26:$C$33,3,FALSE),1)</f>
        <v>0.98763855981004833</v>
      </c>
      <c r="BU473" s="4">
        <f>_xlfn.IFNA(VLOOKUP(Grandview_Inventory[[#This Row],[condition]],Lookups!$A$37:$C$44,3,FALSE),1)</f>
        <v>0.96469275950863709</v>
      </c>
      <c r="BV473" s="4">
        <f>IF(Grandview_Inventory[[#This Row],[bldg_style]]="",1,_xlfn.IFNA(VLOOKUP(Grandview_Inventory[[#This Row],[decade]],Lookups!$F$29:$H$43,3,FALSE),1))</f>
        <v>0.99472141305414818</v>
      </c>
      <c r="BW473" s="4">
        <f>_xlfn.IFNA(VLOOKUP(Grandview_Inventory[[#This Row],[living_area_range]],Lookups!$F$47:$H$56,3,FALSE),1)</f>
        <v>0.96120133463014379</v>
      </c>
      <c r="BX473" s="4">
        <f>AVERAGE(Grandview_Inventory[[#This Row],[qual_adj]:[size_adj]])</f>
        <v>0.97706351675074443</v>
      </c>
      <c r="BY473" s="6">
        <f>IF(Grandview_Inventory[[#This Row],[pre_res]]&lt;0,0,Grandview_Inventory[[#This Row],[pre_res]]*Grandview_Inventory[[#This Row],[overall_adj]])</f>
        <v>258212.72051746905</v>
      </c>
      <c r="BZ473" s="6">
        <f>(Grandview_Inventory[[#This Row],[sum_land]]-IF(Grandview_Inventory[[#This Row],[no_utilities]]=1,12000,0))/IF(Grandview_Inventory[[#This Row],[unbuildable]]=1,2,1)</f>
        <v>49167.631333630678</v>
      </c>
      <c r="CA47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73">
        <f>ROUND(Grandview_Inventory[[#This Row],[det_value]]*Lookups!$M$28,-2)</f>
        <v>0</v>
      </c>
      <c r="CC473">
        <f>IF(ROUND(Grandview_Inventory[[#This Row],[adj_res]]*Lookups!$M$28,-2)&lt;Grandview_Inventory[[#This Row],[min_res]],Grandview_Inventory[[#This Row],[min_res]],ROUND(Grandview_Inventory[[#This Row],[adj_res]]*Lookups!$M$28,-2))</f>
        <v>245300</v>
      </c>
      <c r="CD473">
        <f>Grandview_Inventory[[#This Row],[final_det]]+Grandview_Inventory[[#This Row],[final_res]]</f>
        <v>245300</v>
      </c>
      <c r="CE473">
        <f>Grandview_Inventory[[#This Row],[final_land]]+Grandview_Inventory[[#This Row],[final_imp]]+Grandview_Inventory[[#This Row],[crop_value]]</f>
        <v>292000</v>
      </c>
      <c r="CG473" t="str">
        <f t="shared" si="7"/>
        <v>update valuation set market_land =46700, market_bldg=245300, market_total =292000, market_mdno =401, market_date ='9/10/2023' where link_id = (select link_id from parcel where parcel_year = '2024' and parcel_id = '23092214444');</v>
      </c>
    </row>
    <row r="474" spans="1:85" x14ac:dyDescent="0.25">
      <c r="A474">
        <v>23092214445</v>
      </c>
      <c r="B474">
        <v>0.21</v>
      </c>
      <c r="C474">
        <v>9156</v>
      </c>
      <c r="D474" t="s">
        <v>129</v>
      </c>
      <c r="E474" t="s">
        <v>53</v>
      </c>
      <c r="F474" t="s">
        <v>53</v>
      </c>
      <c r="G474">
        <v>4</v>
      </c>
      <c r="H474" t="s">
        <v>54</v>
      </c>
      <c r="I474">
        <v>164000</v>
      </c>
      <c r="J474">
        <v>43700</v>
      </c>
      <c r="K474">
        <v>0.21</v>
      </c>
      <c r="L47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474">
        <v>0</v>
      </c>
      <c r="N474">
        <v>0</v>
      </c>
      <c r="O474">
        <v>0</v>
      </c>
      <c r="P474">
        <v>13398.7528</v>
      </c>
      <c r="Q474">
        <v>63903</v>
      </c>
      <c r="R474">
        <f>(Grandview_Inventory[[#This Row],[ln_acres]]*Grandview_Inventory[[#This Row],[coeff]])+Grandview_Inventory[[#This Row],[const]]</f>
        <v>42992.266613125081</v>
      </c>
      <c r="S474" t="s">
        <v>61</v>
      </c>
      <c r="T474">
        <v>1</v>
      </c>
      <c r="U474" t="s">
        <v>65</v>
      </c>
      <c r="V474" t="s">
        <v>69</v>
      </c>
      <c r="W474">
        <v>0</v>
      </c>
      <c r="X474">
        <v>0</v>
      </c>
      <c r="Y474">
        <v>49</v>
      </c>
      <c r="Z474">
        <v>65</v>
      </c>
      <c r="AA474">
        <v>70</v>
      </c>
      <c r="AB474">
        <v>2000</v>
      </c>
      <c r="AC474">
        <v>1816</v>
      </c>
      <c r="AD474">
        <v>1206</v>
      </c>
      <c r="AE474">
        <v>0</v>
      </c>
      <c r="AF474">
        <v>0</v>
      </c>
      <c r="AG474">
        <v>610</v>
      </c>
      <c r="AH474">
        <v>596</v>
      </c>
      <c r="AI474">
        <v>0</v>
      </c>
      <c r="AJ474">
        <v>0</v>
      </c>
      <c r="AK474">
        <v>0</v>
      </c>
      <c r="AL474">
        <v>0</v>
      </c>
      <c r="AM474">
        <v>836</v>
      </c>
      <c r="AN474">
        <v>0</v>
      </c>
      <c r="AO474">
        <v>0</v>
      </c>
      <c r="AP474">
        <v>8</v>
      </c>
      <c r="AQ474">
        <v>0</v>
      </c>
      <c r="AR474">
        <v>0</v>
      </c>
      <c r="AS474" t="s">
        <v>58</v>
      </c>
      <c r="AT474">
        <v>1</v>
      </c>
      <c r="AU474" t="s">
        <v>63</v>
      </c>
      <c r="AV474" t="s">
        <v>60</v>
      </c>
      <c r="AW474">
        <v>1</v>
      </c>
      <c r="AX474">
        <v>4</v>
      </c>
      <c r="AY474">
        <v>0</v>
      </c>
      <c r="AZ474">
        <v>0</v>
      </c>
      <c r="BA474">
        <v>100</v>
      </c>
      <c r="BB474">
        <v>100</v>
      </c>
      <c r="BC474">
        <v>100</v>
      </c>
      <c r="BD474">
        <v>100</v>
      </c>
      <c r="BE474">
        <v>1</v>
      </c>
      <c r="BF474">
        <v>15000</v>
      </c>
      <c r="BG474">
        <v>1000</v>
      </c>
      <c r="BH474" s="6">
        <f>Grandview_Inventory[[#This Row],[land_extract]]*Lookups!$B$3</f>
        <v>49926.8031387023</v>
      </c>
      <c r="BI474" s="6">
        <f>IF(Grandview_Inventory[[#This Row],[bldg_style]]="",0,Lookups!$B$2)</f>
        <v>155833.95000000001</v>
      </c>
      <c r="BJ474" s="6">
        <f>_xlfn.IFNA(VLOOKUP(Grandview_Inventory[[#This Row],[quality]],Lookups!$H$2:$J$14,3,FALSE),0)</f>
        <v>2251</v>
      </c>
      <c r="BK474" s="6">
        <f>_xlfn.IFNA(VLOOKUP(Grandview_Inventory[[#This Row],[condition]],Lookups!$H$17:$J$24,3,FALSE),0)</f>
        <v>-4503</v>
      </c>
      <c r="BL474" s="6">
        <f>Grandview_Inventory[[#This Row],[Eff_Age]]*Lookups!$B$14</f>
        <v>-11719.163399999999</v>
      </c>
      <c r="BM474" s="6">
        <f>Grandview_Inventory[[#This Row],[living_area]]*Lookups!$B$15</f>
        <v>113283.629048</v>
      </c>
      <c r="BN474" s="6">
        <f>Grandview_Inventory[[#This Row],[Fin BSMT]]*Lookups!$B$16</f>
        <v>-16530.536400000001</v>
      </c>
      <c r="BO474" s="6">
        <f>(Grandview_Inventory[[#This Row],[att_gar]]+Grandview_Inventory[[#This Row],[bltin_gar]])*Lookups!$B$17</f>
        <v>0</v>
      </c>
      <c r="BP474" s="6">
        <f>Grandview_Inventory[[#This Row],[Plumbing Fixtures]]*Lookups!$B$18</f>
        <v>16083.5344</v>
      </c>
      <c r="BQ474" s="6">
        <f>Grandview_Inventory[[#This Row],[detatched_value]]*Lookups!$B$19</f>
        <v>0</v>
      </c>
      <c r="BR474" s="6">
        <f>SUM(Grandview_Inventory[[#This Row],[Intercept]:[det_value]])*Grandview_Inventory[[#This Row],[res_pct]]</f>
        <v>254699.41364800002</v>
      </c>
      <c r="BS474" s="6">
        <f>Grandview_Inventory[[#This Row],[land_value]]</f>
        <v>49926.8031387023</v>
      </c>
      <c r="BT474" s="4">
        <f>_xlfn.IFNA(VLOOKUP(Grandview_Inventory[[#This Row],[quality]],Lookups!$A$26:$C$33,3,FALSE),1)</f>
        <v>0.98763855981004833</v>
      </c>
      <c r="BU474" s="4">
        <f>_xlfn.IFNA(VLOOKUP(Grandview_Inventory[[#This Row],[condition]],Lookups!$A$37:$C$44,3,FALSE),1)</f>
        <v>0.96469275950863709</v>
      </c>
      <c r="BV474" s="4">
        <f>IF(Grandview_Inventory[[#This Row],[bldg_style]]="",1,_xlfn.IFNA(VLOOKUP(Grandview_Inventory[[#This Row],[decade]],Lookups!$F$29:$H$43,3,FALSE),1))</f>
        <v>0.99472141305414818</v>
      </c>
      <c r="BW474" s="4">
        <f>_xlfn.IFNA(VLOOKUP(Grandview_Inventory[[#This Row],[living_area_range]],Lookups!$F$47:$H$56,3,FALSE),1)</f>
        <v>0.96120133463014379</v>
      </c>
      <c r="BX474" s="4">
        <f>AVERAGE(Grandview_Inventory[[#This Row],[qual_adj]:[size_adj]])</f>
        <v>0.97706351675074443</v>
      </c>
      <c r="BY474" s="6">
        <f>IF(Grandview_Inventory[[#This Row],[pre_res]]&lt;0,0,Grandview_Inventory[[#This Row],[pre_res]]*Grandview_Inventory[[#This Row],[overall_adj]])</f>
        <v>248857.50481326744</v>
      </c>
      <c r="BZ474" s="6">
        <f>(Grandview_Inventory[[#This Row],[sum_land]]-IF(Grandview_Inventory[[#This Row],[no_utilities]]=1,12000,0))/IF(Grandview_Inventory[[#This Row],[unbuildable]]=1,2,1)</f>
        <v>49926.8031387023</v>
      </c>
      <c r="CA47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474">
        <f>ROUND(Grandview_Inventory[[#This Row],[det_value]]*Lookups!$M$28,-2)</f>
        <v>0</v>
      </c>
      <c r="CC474">
        <f>IF(ROUND(Grandview_Inventory[[#This Row],[adj_res]]*Lookups!$M$28,-2)&lt;Grandview_Inventory[[#This Row],[min_res]],Grandview_Inventory[[#This Row],[min_res]],ROUND(Grandview_Inventory[[#This Row],[adj_res]]*Lookups!$M$28,-2))</f>
        <v>236400</v>
      </c>
      <c r="CD474">
        <f>Grandview_Inventory[[#This Row],[final_det]]+Grandview_Inventory[[#This Row],[final_res]]</f>
        <v>236400</v>
      </c>
      <c r="CE474">
        <f>Grandview_Inventory[[#This Row],[final_land]]+Grandview_Inventory[[#This Row],[final_imp]]+Grandview_Inventory[[#This Row],[crop_value]]</f>
        <v>283800</v>
      </c>
      <c r="CG474" t="str">
        <f t="shared" si="7"/>
        <v>update valuation set market_land =47400, market_bldg=236400, market_total =283800, market_mdno =401, market_date ='9/10/2023' where link_id = (select link_id from parcel where parcel_year = '2024' and parcel_id = '23092214445');</v>
      </c>
    </row>
    <row r="475" spans="1:85" x14ac:dyDescent="0.25">
      <c r="A475">
        <v>23092214446</v>
      </c>
      <c r="B475">
        <v>0.3</v>
      </c>
      <c r="C475" t="s">
        <v>129</v>
      </c>
      <c r="D475" t="s">
        <v>129</v>
      </c>
      <c r="E475" t="s">
        <v>53</v>
      </c>
      <c r="F475" t="s">
        <v>53</v>
      </c>
      <c r="G475">
        <v>4</v>
      </c>
      <c r="H475" t="s">
        <v>54</v>
      </c>
      <c r="I475">
        <v>215400</v>
      </c>
      <c r="J475">
        <v>45200</v>
      </c>
      <c r="K475">
        <v>0.3</v>
      </c>
      <c r="L475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475">
        <v>0</v>
      </c>
      <c r="N475">
        <v>0</v>
      </c>
      <c r="O475">
        <v>0</v>
      </c>
      <c r="P475">
        <v>13398.7528</v>
      </c>
      <c r="Q475">
        <v>63903</v>
      </c>
      <c r="R475">
        <f>(Grandview_Inventory[[#This Row],[ln_acres]]*Grandview_Inventory[[#This Row],[coeff]])+Grandview_Inventory[[#This Row],[const]]</f>
        <v>47771.266016914014</v>
      </c>
      <c r="S475" t="s">
        <v>61</v>
      </c>
      <c r="T475">
        <v>1</v>
      </c>
      <c r="U475" t="s">
        <v>65</v>
      </c>
      <c r="V475" t="s">
        <v>69</v>
      </c>
      <c r="W475">
        <v>0</v>
      </c>
      <c r="X475">
        <v>0</v>
      </c>
      <c r="Y475">
        <v>49</v>
      </c>
      <c r="Z475">
        <v>65</v>
      </c>
      <c r="AA475">
        <v>70</v>
      </c>
      <c r="AB475">
        <v>1500</v>
      </c>
      <c r="AC475">
        <v>1500</v>
      </c>
      <c r="AD475">
        <v>1500</v>
      </c>
      <c r="AE475">
        <v>0</v>
      </c>
      <c r="AF475">
        <v>0</v>
      </c>
      <c r="AG475">
        <v>0</v>
      </c>
      <c r="AH475">
        <v>0</v>
      </c>
      <c r="AI475">
        <v>504</v>
      </c>
      <c r="AJ475">
        <v>0</v>
      </c>
      <c r="AK475">
        <v>0</v>
      </c>
      <c r="AL475">
        <v>0</v>
      </c>
      <c r="AM475">
        <v>367</v>
      </c>
      <c r="AN475">
        <v>0</v>
      </c>
      <c r="AO475">
        <v>144</v>
      </c>
      <c r="AP475">
        <v>7</v>
      </c>
      <c r="AQ475">
        <v>0</v>
      </c>
      <c r="AR475">
        <v>1</v>
      </c>
      <c r="AS475" t="s">
        <v>58</v>
      </c>
      <c r="AT475">
        <v>1</v>
      </c>
      <c r="AU475" t="s">
        <v>63</v>
      </c>
      <c r="AV475" t="s">
        <v>64</v>
      </c>
      <c r="AW475">
        <v>1</v>
      </c>
      <c r="AX475">
        <v>3</v>
      </c>
      <c r="AY475">
        <v>0</v>
      </c>
      <c r="AZ475">
        <v>15300</v>
      </c>
      <c r="BA475">
        <v>100</v>
      </c>
      <c r="BB475">
        <v>100</v>
      </c>
      <c r="BC475">
        <v>100</v>
      </c>
      <c r="BD475">
        <v>100</v>
      </c>
      <c r="BE475">
        <v>1</v>
      </c>
      <c r="BF475">
        <v>15000</v>
      </c>
      <c r="BG475">
        <v>1000</v>
      </c>
      <c r="BH475" s="6">
        <f>Grandview_Inventory[[#This Row],[land_extract]]*Lookups!$B$3</f>
        <v>55476.642243023998</v>
      </c>
      <c r="BI475" s="6">
        <f>IF(Grandview_Inventory[[#This Row],[bldg_style]]="",0,Lookups!$B$2)</f>
        <v>155833.95000000001</v>
      </c>
      <c r="BJ475" s="6">
        <f>_xlfn.IFNA(VLOOKUP(Grandview_Inventory[[#This Row],[quality]],Lookups!$H$2:$J$14,3,FALSE),0)</f>
        <v>2251</v>
      </c>
      <c r="BK475" s="6">
        <f>_xlfn.IFNA(VLOOKUP(Grandview_Inventory[[#This Row],[condition]],Lookups!$H$17:$J$24,3,FALSE),0)</f>
        <v>-4503</v>
      </c>
      <c r="BL475" s="6">
        <f>Grandview_Inventory[[#This Row],[Eff_Age]]*Lookups!$B$14</f>
        <v>-11719.163399999999</v>
      </c>
      <c r="BM475" s="6">
        <f>Grandview_Inventory[[#This Row],[living_area]]*Lookups!$B$15</f>
        <v>93571.279500000004</v>
      </c>
      <c r="BN475" s="6">
        <f>Grandview_Inventory[[#This Row],[Fin BSMT]]*Lookups!$B$16</f>
        <v>0</v>
      </c>
      <c r="BO475" s="6">
        <f>(Grandview_Inventory[[#This Row],[att_gar]]+Grandview_Inventory[[#This Row],[bltin_gar]])*Lookups!$B$17</f>
        <v>44110.300248</v>
      </c>
      <c r="BP475" s="6">
        <f>Grandview_Inventory[[#This Row],[Plumbing Fixtures]]*Lookups!$B$18</f>
        <v>14073.0926</v>
      </c>
      <c r="BQ475" s="6">
        <f>Grandview_Inventory[[#This Row],[detatched_value]]*Lookups!$B$19</f>
        <v>12956.11803</v>
      </c>
      <c r="BR475" s="6">
        <f>SUM(Grandview_Inventory[[#This Row],[Intercept]:[det_value]])*Grandview_Inventory[[#This Row],[res_pct]]</f>
        <v>306573.576978</v>
      </c>
      <c r="BS475" s="6">
        <f>Grandview_Inventory[[#This Row],[land_value]]</f>
        <v>55476.642243023998</v>
      </c>
      <c r="BT475" s="4">
        <f>_xlfn.IFNA(VLOOKUP(Grandview_Inventory[[#This Row],[quality]],Lookups!$A$26:$C$33,3,FALSE),1)</f>
        <v>0.98763855981004833</v>
      </c>
      <c r="BU475" s="4">
        <f>_xlfn.IFNA(VLOOKUP(Grandview_Inventory[[#This Row],[condition]],Lookups!$A$37:$C$44,3,FALSE),1)</f>
        <v>0.96469275950863709</v>
      </c>
      <c r="BV475" s="4">
        <f>IF(Grandview_Inventory[[#This Row],[bldg_style]]="",1,_xlfn.IFNA(VLOOKUP(Grandview_Inventory[[#This Row],[decade]],Lookups!$F$29:$H$43,3,FALSE),1))</f>
        <v>0.99472141305414818</v>
      </c>
      <c r="BW475" s="4">
        <f>_xlfn.IFNA(VLOOKUP(Grandview_Inventory[[#This Row],[living_area_range]],Lookups!$F$47:$H$56,3,FALSE),1)</f>
        <v>0.96135087979789358</v>
      </c>
      <c r="BX475" s="4">
        <f>AVERAGE(Grandview_Inventory[[#This Row],[qual_adj]:[size_adj]])</f>
        <v>0.97710090304268182</v>
      </c>
      <c r="BY475" s="6">
        <f>IF(Grandview_Inventory[[#This Row],[pre_res]]&lt;0,0,Grandview_Inventory[[#This Row],[pre_res]]*Grandview_Inventory[[#This Row],[overall_adj]])</f>
        <v>299553.31891422893</v>
      </c>
      <c r="BZ475" s="6">
        <f>(Grandview_Inventory[[#This Row],[sum_land]]-IF(Grandview_Inventory[[#This Row],[no_utilities]]=1,12000,0))/IF(Grandview_Inventory[[#This Row],[unbuildable]]=1,2,1)</f>
        <v>55476.642243023998</v>
      </c>
      <c r="CA475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475">
        <f>ROUND(Grandview_Inventory[[#This Row],[det_value]]*Lookups!$M$28,-2)</f>
        <v>12300</v>
      </c>
      <c r="CC475">
        <f>IF(ROUND(Grandview_Inventory[[#This Row],[adj_res]]*Lookups!$M$28,-2)&lt;Grandview_Inventory[[#This Row],[min_res]],Grandview_Inventory[[#This Row],[min_res]],ROUND(Grandview_Inventory[[#This Row],[adj_res]]*Lookups!$M$28,-2))</f>
        <v>284600</v>
      </c>
      <c r="CD475">
        <f>Grandview_Inventory[[#This Row],[final_det]]+Grandview_Inventory[[#This Row],[final_res]]</f>
        <v>296900</v>
      </c>
      <c r="CE475">
        <f>Grandview_Inventory[[#This Row],[final_land]]+Grandview_Inventory[[#This Row],[final_imp]]+Grandview_Inventory[[#This Row],[crop_value]]</f>
        <v>349600</v>
      </c>
      <c r="CG475" t="str">
        <f t="shared" si="7"/>
        <v>update valuation set market_land =52700, market_bldg=296900, market_total =349600, market_mdno =401, market_date ='9/10/2023' where link_id = (select link_id from parcel where parcel_year = '2024' and parcel_id = '23092214446');</v>
      </c>
    </row>
    <row r="476" spans="1:85" x14ac:dyDescent="0.25">
      <c r="A476">
        <v>23092214449</v>
      </c>
      <c r="B476">
        <v>0.2</v>
      </c>
      <c r="C476">
        <v>8748</v>
      </c>
      <c r="D476" t="s">
        <v>129</v>
      </c>
      <c r="E476" t="s">
        <v>53</v>
      </c>
      <c r="F476" t="s">
        <v>53</v>
      </c>
      <c r="G476">
        <v>4</v>
      </c>
      <c r="H476" t="s">
        <v>54</v>
      </c>
      <c r="I476">
        <v>172200</v>
      </c>
      <c r="J476">
        <v>43700</v>
      </c>
      <c r="K476">
        <v>0.2</v>
      </c>
      <c r="L47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76">
        <v>0</v>
      </c>
      <c r="N476">
        <v>0</v>
      </c>
      <c r="O476">
        <v>0</v>
      </c>
      <c r="P476">
        <v>13398.7528</v>
      </c>
      <c r="Q476">
        <v>63903</v>
      </c>
      <c r="R476">
        <f>(Grandview_Inventory[[#This Row],[ln_acres]]*Grandview_Inventory[[#This Row],[coeff]])+Grandview_Inventory[[#This Row],[const]]</f>
        <v>42338.539264347448</v>
      </c>
      <c r="S476" t="s">
        <v>61</v>
      </c>
      <c r="T476">
        <v>1</v>
      </c>
      <c r="U476" t="s">
        <v>62</v>
      </c>
      <c r="V476" t="s">
        <v>69</v>
      </c>
      <c r="W476">
        <v>0</v>
      </c>
      <c r="X476">
        <v>0</v>
      </c>
      <c r="Y476">
        <v>50</v>
      </c>
      <c r="Z476">
        <v>71</v>
      </c>
      <c r="AA476">
        <v>80</v>
      </c>
      <c r="AB476">
        <v>1500</v>
      </c>
      <c r="AC476">
        <v>1300</v>
      </c>
      <c r="AD476">
        <v>1300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420</v>
      </c>
      <c r="AL476">
        <v>0</v>
      </c>
      <c r="AM476">
        <v>372</v>
      </c>
      <c r="AN476">
        <v>0</v>
      </c>
      <c r="AO476">
        <v>0</v>
      </c>
      <c r="AP476">
        <v>5</v>
      </c>
      <c r="AQ476">
        <v>0</v>
      </c>
      <c r="AR476">
        <v>0</v>
      </c>
      <c r="AS476" t="s">
        <v>76</v>
      </c>
      <c r="AT476">
        <v>1</v>
      </c>
      <c r="AU476" t="s">
        <v>63</v>
      </c>
      <c r="AV476" t="s">
        <v>60</v>
      </c>
      <c r="AW476">
        <v>1</v>
      </c>
      <c r="AX476">
        <v>3</v>
      </c>
      <c r="AY476">
        <v>0</v>
      </c>
      <c r="AZ476">
        <v>0</v>
      </c>
      <c r="BA476">
        <v>100</v>
      </c>
      <c r="BB476">
        <v>100</v>
      </c>
      <c r="BC476">
        <v>100</v>
      </c>
      <c r="BD476">
        <v>100</v>
      </c>
      <c r="BE476">
        <v>1</v>
      </c>
      <c r="BF476">
        <v>15000</v>
      </c>
      <c r="BG476">
        <v>1000</v>
      </c>
      <c r="BH476" s="6">
        <f>Grandview_Inventory[[#This Row],[land_extract]]*Lookups!$B$3</f>
        <v>49167.631333630678</v>
      </c>
      <c r="BI476" s="6">
        <f>IF(Grandview_Inventory[[#This Row],[bldg_style]]="",0,Lookups!$B$2)</f>
        <v>155833.95000000001</v>
      </c>
      <c r="BJ476" s="6">
        <f>_xlfn.IFNA(VLOOKUP(Grandview_Inventory[[#This Row],[quality]],Lookups!$H$2:$J$14,3,FALSE),0)</f>
        <v>9808</v>
      </c>
      <c r="BK476" s="6">
        <f>_xlfn.IFNA(VLOOKUP(Grandview_Inventory[[#This Row],[condition]],Lookups!$H$17:$J$24,3,FALSE),0)</f>
        <v>-4503</v>
      </c>
      <c r="BL476" s="6">
        <f>Grandview_Inventory[[#This Row],[Eff_Age]]*Lookups!$B$14</f>
        <v>-11958.33</v>
      </c>
      <c r="BM476" s="6">
        <f>Grandview_Inventory[[#This Row],[living_area]]*Lookups!$B$15</f>
        <v>81095.108900000007</v>
      </c>
      <c r="BN476" s="6">
        <f>Grandview_Inventory[[#This Row],[Fin BSMT]]*Lookups!$B$16</f>
        <v>0</v>
      </c>
      <c r="BO476" s="6">
        <f>(Grandview_Inventory[[#This Row],[att_gar]]+Grandview_Inventory[[#This Row],[bltin_gar]])*Lookups!$B$17</f>
        <v>0</v>
      </c>
      <c r="BP476" s="6">
        <f>Grandview_Inventory[[#This Row],[Plumbing Fixtures]]*Lookups!$B$18</f>
        <v>10052.209000000001</v>
      </c>
      <c r="BQ476" s="6">
        <f>Grandview_Inventory[[#This Row],[detatched_value]]*Lookups!$B$19</f>
        <v>0</v>
      </c>
      <c r="BR476" s="6">
        <f>SUM(Grandview_Inventory[[#This Row],[Intercept]:[det_value]])*Grandview_Inventory[[#This Row],[res_pct]]</f>
        <v>240327.93790000005</v>
      </c>
      <c r="BS476" s="6">
        <f>Grandview_Inventory[[#This Row],[land_value]]</f>
        <v>49167.631333630678</v>
      </c>
      <c r="BT476" s="4">
        <f>_xlfn.IFNA(VLOOKUP(Grandview_Inventory[[#This Row],[quality]],Lookups!$A$26:$C$33,3,FALSE),1)</f>
        <v>0.94295468617355149</v>
      </c>
      <c r="BU476" s="4">
        <f>_xlfn.IFNA(VLOOKUP(Grandview_Inventory[[#This Row],[condition]],Lookups!$A$37:$C$44,3,FALSE),1)</f>
        <v>0.96469275950863709</v>
      </c>
      <c r="BV476" s="4">
        <f>IF(Grandview_Inventory[[#This Row],[bldg_style]]="",1,_xlfn.IFNA(VLOOKUP(Grandview_Inventory[[#This Row],[decade]],Lookups!$F$29:$H$43,3,FALSE),1))</f>
        <v>0.98763256963907298</v>
      </c>
      <c r="BW476" s="4">
        <f>_xlfn.IFNA(VLOOKUP(Grandview_Inventory[[#This Row],[living_area_range]],Lookups!$F$47:$H$56,3,FALSE),1)</f>
        <v>0.96135087979789358</v>
      </c>
      <c r="BX476" s="4">
        <f>AVERAGE(Grandview_Inventory[[#This Row],[qual_adj]:[size_adj]])</f>
        <v>0.96415772377978881</v>
      </c>
      <c r="BY476" s="6">
        <f>IF(Grandview_Inventory[[#This Row],[pre_res]]&lt;0,0,Grandview_Inventory[[#This Row],[pre_res]]*Grandview_Inventory[[#This Row],[overall_adj]])</f>
        <v>231714.0375663545</v>
      </c>
      <c r="BZ476" s="6">
        <f>(Grandview_Inventory[[#This Row],[sum_land]]-IF(Grandview_Inventory[[#This Row],[no_utilities]]=1,12000,0))/IF(Grandview_Inventory[[#This Row],[unbuildable]]=1,2,1)</f>
        <v>49167.631333630678</v>
      </c>
      <c r="CA47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76">
        <f>ROUND(Grandview_Inventory[[#This Row],[det_value]]*Lookups!$M$28,-2)</f>
        <v>0</v>
      </c>
      <c r="CC476">
        <f>IF(ROUND(Grandview_Inventory[[#This Row],[adj_res]]*Lookups!$M$28,-2)&lt;Grandview_Inventory[[#This Row],[min_res]],Grandview_Inventory[[#This Row],[min_res]],ROUND(Grandview_Inventory[[#This Row],[adj_res]]*Lookups!$M$28,-2))</f>
        <v>220100</v>
      </c>
      <c r="CD476">
        <f>Grandview_Inventory[[#This Row],[final_det]]+Grandview_Inventory[[#This Row],[final_res]]</f>
        <v>220100</v>
      </c>
      <c r="CE476">
        <f>Grandview_Inventory[[#This Row],[final_land]]+Grandview_Inventory[[#This Row],[final_imp]]+Grandview_Inventory[[#This Row],[crop_value]]</f>
        <v>266800</v>
      </c>
      <c r="CG476" t="str">
        <f t="shared" si="7"/>
        <v>update valuation set market_land =46700, market_bldg=220100, market_total =266800, market_mdno =401, market_date ='9/10/2023' where link_id = (select link_id from parcel where parcel_year = '2024' and parcel_id = '23092214449');</v>
      </c>
    </row>
    <row r="477" spans="1:85" x14ac:dyDescent="0.25">
      <c r="A477">
        <v>23092214450</v>
      </c>
      <c r="B477">
        <v>0.2</v>
      </c>
      <c r="C477">
        <v>8756</v>
      </c>
      <c r="D477" t="s">
        <v>129</v>
      </c>
      <c r="E477" t="s">
        <v>53</v>
      </c>
      <c r="F477" t="s">
        <v>53</v>
      </c>
      <c r="G477">
        <v>4</v>
      </c>
      <c r="H477" t="s">
        <v>54</v>
      </c>
      <c r="I477">
        <v>194100</v>
      </c>
      <c r="J477">
        <v>43700</v>
      </c>
      <c r="K477">
        <v>0.2</v>
      </c>
      <c r="L47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77">
        <v>0</v>
      </c>
      <c r="N477">
        <v>0</v>
      </c>
      <c r="O477">
        <v>0</v>
      </c>
      <c r="P477">
        <v>13398.7528</v>
      </c>
      <c r="Q477">
        <v>63903</v>
      </c>
      <c r="R477">
        <f>(Grandview_Inventory[[#This Row],[ln_acres]]*Grandview_Inventory[[#This Row],[coeff]])+Grandview_Inventory[[#This Row],[const]]</f>
        <v>42338.539264347448</v>
      </c>
      <c r="S477" t="s">
        <v>61</v>
      </c>
      <c r="T477">
        <v>1</v>
      </c>
      <c r="U477" t="s">
        <v>65</v>
      </c>
      <c r="V477" t="s">
        <v>69</v>
      </c>
      <c r="W477">
        <v>0</v>
      </c>
      <c r="X477">
        <v>0</v>
      </c>
      <c r="Y477">
        <v>50</v>
      </c>
      <c r="Z477">
        <v>71</v>
      </c>
      <c r="AA477">
        <v>80</v>
      </c>
      <c r="AB477">
        <v>2500</v>
      </c>
      <c r="AC477">
        <v>2494</v>
      </c>
      <c r="AD477">
        <v>1247</v>
      </c>
      <c r="AE477">
        <v>0</v>
      </c>
      <c r="AF477">
        <v>0</v>
      </c>
      <c r="AG477">
        <v>1247</v>
      </c>
      <c r="AH477">
        <v>0</v>
      </c>
      <c r="AI477">
        <v>286</v>
      </c>
      <c r="AJ477">
        <v>0</v>
      </c>
      <c r="AK477">
        <v>0</v>
      </c>
      <c r="AL477">
        <v>92</v>
      </c>
      <c r="AM477">
        <v>617</v>
      </c>
      <c r="AN477">
        <v>0</v>
      </c>
      <c r="AO477">
        <v>617</v>
      </c>
      <c r="AP477">
        <v>7</v>
      </c>
      <c r="AQ477">
        <v>0</v>
      </c>
      <c r="AR477">
        <v>1</v>
      </c>
      <c r="AS477" t="s">
        <v>58</v>
      </c>
      <c r="AT477">
        <v>1</v>
      </c>
      <c r="AU477" t="s">
        <v>63</v>
      </c>
      <c r="AV477" t="s">
        <v>60</v>
      </c>
      <c r="AW477">
        <v>0</v>
      </c>
      <c r="AX477">
        <v>5</v>
      </c>
      <c r="AY477">
        <v>0</v>
      </c>
      <c r="AZ477">
        <v>0</v>
      </c>
      <c r="BA477">
        <v>100</v>
      </c>
      <c r="BB477">
        <v>100</v>
      </c>
      <c r="BC477">
        <v>100</v>
      </c>
      <c r="BD477">
        <v>100</v>
      </c>
      <c r="BE477">
        <v>1</v>
      </c>
      <c r="BF477">
        <v>15000</v>
      </c>
      <c r="BG477">
        <v>1000</v>
      </c>
      <c r="BH477" s="6">
        <f>Grandview_Inventory[[#This Row],[land_extract]]*Lookups!$B$3</f>
        <v>49167.631333630678</v>
      </c>
      <c r="BI477" s="6">
        <f>IF(Grandview_Inventory[[#This Row],[bldg_style]]="",0,Lookups!$B$2)</f>
        <v>155833.95000000001</v>
      </c>
      <c r="BJ477" s="6">
        <f>_xlfn.IFNA(VLOOKUP(Grandview_Inventory[[#This Row],[quality]],Lookups!$H$2:$J$14,3,FALSE),0)</f>
        <v>2251</v>
      </c>
      <c r="BK477" s="6">
        <f>_xlfn.IFNA(VLOOKUP(Grandview_Inventory[[#This Row],[condition]],Lookups!$H$17:$J$24,3,FALSE),0)</f>
        <v>-4503</v>
      </c>
      <c r="BL477" s="6">
        <f>Grandview_Inventory[[#This Row],[Eff_Age]]*Lookups!$B$14</f>
        <v>-11958.33</v>
      </c>
      <c r="BM477" s="6">
        <f>Grandview_Inventory[[#This Row],[living_area]]*Lookups!$B$15</f>
        <v>155577.84738200001</v>
      </c>
      <c r="BN477" s="6">
        <f>Grandview_Inventory[[#This Row],[Fin BSMT]]*Lookups!$B$16</f>
        <v>-33792.752280000001</v>
      </c>
      <c r="BO477" s="6">
        <f>(Grandview_Inventory[[#This Row],[att_gar]]+Grandview_Inventory[[#This Row],[bltin_gar]])*Lookups!$B$17</f>
        <v>25030.844981999999</v>
      </c>
      <c r="BP477" s="6">
        <f>Grandview_Inventory[[#This Row],[Plumbing Fixtures]]*Lookups!$B$18</f>
        <v>14073.0926</v>
      </c>
      <c r="BQ477" s="6">
        <f>Grandview_Inventory[[#This Row],[detatched_value]]*Lookups!$B$19</f>
        <v>0</v>
      </c>
      <c r="BR477" s="6">
        <f>SUM(Grandview_Inventory[[#This Row],[Intercept]:[det_value]])*Grandview_Inventory[[#This Row],[res_pct]]</f>
        <v>302512.65268400003</v>
      </c>
      <c r="BS477" s="6">
        <f>Grandview_Inventory[[#This Row],[land_value]]</f>
        <v>49167.631333630678</v>
      </c>
      <c r="BT477" s="4">
        <f>_xlfn.IFNA(VLOOKUP(Grandview_Inventory[[#This Row],[quality]],Lookups!$A$26:$C$33,3,FALSE),1)</f>
        <v>0.98763855981004833</v>
      </c>
      <c r="BU477" s="4">
        <f>_xlfn.IFNA(VLOOKUP(Grandview_Inventory[[#This Row],[condition]],Lookups!$A$37:$C$44,3,FALSE),1)</f>
        <v>0.96469275950863709</v>
      </c>
      <c r="BV477" s="4">
        <f>IF(Grandview_Inventory[[#This Row],[bldg_style]]="",1,_xlfn.IFNA(VLOOKUP(Grandview_Inventory[[#This Row],[decade]],Lookups!$F$29:$H$43,3,FALSE),1))</f>
        <v>0.98763256963907298</v>
      </c>
      <c r="BW477" s="4">
        <f>_xlfn.IFNA(VLOOKUP(Grandview_Inventory[[#This Row],[living_area_range]],Lookups!$F$47:$H$56,3,FALSE),1)</f>
        <v>0.95799442568048754</v>
      </c>
      <c r="BX477" s="4">
        <f>AVERAGE(Grandview_Inventory[[#This Row],[qual_adj]:[size_adj]])</f>
        <v>0.97448957865956143</v>
      </c>
      <c r="BY477" s="6">
        <f>IF(Grandview_Inventory[[#This Row],[pre_res]]&lt;0,0,Grandview_Inventory[[#This Row],[pre_res]]*Grandview_Inventory[[#This Row],[overall_adj]])</f>
        <v>294795.42745321745</v>
      </c>
      <c r="BZ477" s="6">
        <f>(Grandview_Inventory[[#This Row],[sum_land]]-IF(Grandview_Inventory[[#This Row],[no_utilities]]=1,12000,0))/IF(Grandview_Inventory[[#This Row],[unbuildable]]=1,2,1)</f>
        <v>49167.631333630678</v>
      </c>
      <c r="CA47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77">
        <f>ROUND(Grandview_Inventory[[#This Row],[det_value]]*Lookups!$M$28,-2)</f>
        <v>0</v>
      </c>
      <c r="CC477">
        <f>IF(ROUND(Grandview_Inventory[[#This Row],[adj_res]]*Lookups!$M$28,-2)&lt;Grandview_Inventory[[#This Row],[min_res]],Grandview_Inventory[[#This Row],[min_res]],ROUND(Grandview_Inventory[[#This Row],[adj_res]]*Lookups!$M$28,-2))</f>
        <v>280100</v>
      </c>
      <c r="CD477">
        <f>Grandview_Inventory[[#This Row],[final_det]]+Grandview_Inventory[[#This Row],[final_res]]</f>
        <v>280100</v>
      </c>
      <c r="CE477">
        <f>Grandview_Inventory[[#This Row],[final_land]]+Grandview_Inventory[[#This Row],[final_imp]]+Grandview_Inventory[[#This Row],[crop_value]]</f>
        <v>326800</v>
      </c>
      <c r="CG477" t="str">
        <f t="shared" si="7"/>
        <v>update valuation set market_land =46700, market_bldg=280100, market_total =326800, market_mdno =401, market_date ='9/10/2023' where link_id = (select link_id from parcel where parcel_year = '2024' and parcel_id = '23092214450');</v>
      </c>
    </row>
    <row r="478" spans="1:85" x14ac:dyDescent="0.25">
      <c r="A478">
        <v>23092214451</v>
      </c>
      <c r="B478">
        <v>0.2</v>
      </c>
      <c r="C478">
        <v>8756</v>
      </c>
      <c r="D478" t="s">
        <v>129</v>
      </c>
      <c r="E478" t="s">
        <v>53</v>
      </c>
      <c r="F478" t="s">
        <v>53</v>
      </c>
      <c r="G478">
        <v>4</v>
      </c>
      <c r="H478" t="s">
        <v>54</v>
      </c>
      <c r="I478">
        <v>144800</v>
      </c>
      <c r="J478">
        <v>43700</v>
      </c>
      <c r="K478">
        <v>0.2</v>
      </c>
      <c r="L47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478">
        <v>0</v>
      </c>
      <c r="N478">
        <v>0</v>
      </c>
      <c r="O478">
        <v>0</v>
      </c>
      <c r="P478">
        <v>13398.7528</v>
      </c>
      <c r="Q478">
        <v>63903</v>
      </c>
      <c r="R478">
        <f>(Grandview_Inventory[[#This Row],[ln_acres]]*Grandview_Inventory[[#This Row],[coeff]])+Grandview_Inventory[[#This Row],[const]]</f>
        <v>42338.539264347448</v>
      </c>
      <c r="S478" t="s">
        <v>68</v>
      </c>
      <c r="T478">
        <v>1</v>
      </c>
      <c r="U478" t="s">
        <v>70</v>
      </c>
      <c r="V478" t="s">
        <v>69</v>
      </c>
      <c r="W478">
        <v>0</v>
      </c>
      <c r="X478">
        <v>0</v>
      </c>
      <c r="Y478">
        <v>50</v>
      </c>
      <c r="Z478">
        <v>71</v>
      </c>
      <c r="AA478">
        <v>80</v>
      </c>
      <c r="AB478">
        <v>1500</v>
      </c>
      <c r="AC478">
        <v>1229</v>
      </c>
      <c r="AD478">
        <v>1229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5</v>
      </c>
      <c r="AQ478">
        <v>0</v>
      </c>
      <c r="AR478">
        <v>0</v>
      </c>
      <c r="AS478" t="s">
        <v>58</v>
      </c>
      <c r="AT478">
        <v>1</v>
      </c>
      <c r="AU478" t="s">
        <v>63</v>
      </c>
      <c r="AV478" t="s">
        <v>60</v>
      </c>
      <c r="AW478">
        <v>0</v>
      </c>
      <c r="AX478">
        <v>3</v>
      </c>
      <c r="AY478">
        <v>0</v>
      </c>
      <c r="AZ478">
        <v>10400</v>
      </c>
      <c r="BA478">
        <v>100</v>
      </c>
      <c r="BB478">
        <v>100</v>
      </c>
      <c r="BC478">
        <v>100</v>
      </c>
      <c r="BD478">
        <v>100</v>
      </c>
      <c r="BE478">
        <v>1</v>
      </c>
      <c r="BF478">
        <v>15000</v>
      </c>
      <c r="BG478">
        <v>1000</v>
      </c>
      <c r="BH478" s="6">
        <f>Grandview_Inventory[[#This Row],[land_extract]]*Lookups!$B$3</f>
        <v>49167.631333630678</v>
      </c>
      <c r="BI478" s="6">
        <f>IF(Grandview_Inventory[[#This Row],[bldg_style]]="",0,Lookups!$B$2)</f>
        <v>155833.95000000001</v>
      </c>
      <c r="BJ478" s="6">
        <f>_xlfn.IFNA(VLOOKUP(Grandview_Inventory[[#This Row],[quality]],Lookups!$H$2:$J$14,3,FALSE),0)</f>
        <v>10733</v>
      </c>
      <c r="BK478" s="6">
        <f>_xlfn.IFNA(VLOOKUP(Grandview_Inventory[[#This Row],[condition]],Lookups!$H$17:$J$24,3,FALSE),0)</f>
        <v>-4503</v>
      </c>
      <c r="BL478" s="6">
        <f>Grandview_Inventory[[#This Row],[Eff_Age]]*Lookups!$B$14</f>
        <v>-11958.33</v>
      </c>
      <c r="BM478" s="6">
        <f>Grandview_Inventory[[#This Row],[living_area]]*Lookups!$B$15</f>
        <v>76666.068337000004</v>
      </c>
      <c r="BN478" s="6">
        <f>Grandview_Inventory[[#This Row],[Fin BSMT]]*Lookups!$B$16</f>
        <v>0</v>
      </c>
      <c r="BO478" s="6">
        <f>(Grandview_Inventory[[#This Row],[att_gar]]+Grandview_Inventory[[#This Row],[bltin_gar]])*Lookups!$B$17</f>
        <v>0</v>
      </c>
      <c r="BP478" s="6">
        <f>Grandview_Inventory[[#This Row],[Plumbing Fixtures]]*Lookups!$B$18</f>
        <v>10052.209000000001</v>
      </c>
      <c r="BQ478" s="6">
        <f>Grandview_Inventory[[#This Row],[detatched_value]]*Lookups!$B$19</f>
        <v>8806.77304</v>
      </c>
      <c r="BR478" s="6">
        <f>SUM(Grandview_Inventory[[#This Row],[Intercept]:[det_value]])*Grandview_Inventory[[#This Row],[res_pct]]</f>
        <v>245630.67037700003</v>
      </c>
      <c r="BS478" s="6">
        <f>Grandview_Inventory[[#This Row],[land_value]]</f>
        <v>49167.631333630678</v>
      </c>
      <c r="BT478" s="4">
        <f>_xlfn.IFNA(VLOOKUP(Grandview_Inventory[[#This Row],[quality]],Lookups!$A$26:$C$33,3,FALSE),1)</f>
        <v>0.98079741117310582</v>
      </c>
      <c r="BU478" s="4">
        <f>_xlfn.IFNA(VLOOKUP(Grandview_Inventory[[#This Row],[condition]],Lookups!$A$37:$C$44,3,FALSE),1)</f>
        <v>0.96469275950863709</v>
      </c>
      <c r="BV478" s="4">
        <f>IF(Grandview_Inventory[[#This Row],[bldg_style]]="",1,_xlfn.IFNA(VLOOKUP(Grandview_Inventory[[#This Row],[decade]],Lookups!$F$29:$H$43,3,FALSE),1))</f>
        <v>0.98763256963907298</v>
      </c>
      <c r="BW478" s="4">
        <f>_xlfn.IFNA(VLOOKUP(Grandview_Inventory[[#This Row],[living_area_range]],Lookups!$F$47:$H$56,3,FALSE),1)</f>
        <v>0.96135087979789358</v>
      </c>
      <c r="BX478" s="4">
        <f>AVERAGE(Grandview_Inventory[[#This Row],[qual_adj]:[size_adj]])</f>
        <v>0.97361840502967734</v>
      </c>
      <c r="BY478" s="6">
        <f>IF(Grandview_Inventory[[#This Row],[pre_res]]&lt;0,0,Grandview_Inventory[[#This Row],[pre_res]]*Grandview_Inventory[[#This Row],[overall_adj]])</f>
        <v>239150.54151882519</v>
      </c>
      <c r="BZ478" s="6">
        <f>(Grandview_Inventory[[#This Row],[sum_land]]-IF(Grandview_Inventory[[#This Row],[no_utilities]]=1,12000,0))/IF(Grandview_Inventory[[#This Row],[unbuildable]]=1,2,1)</f>
        <v>49167.631333630678</v>
      </c>
      <c r="CA47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478">
        <f>ROUND(Grandview_Inventory[[#This Row],[det_value]]*Lookups!$M$28,-2)</f>
        <v>8400</v>
      </c>
      <c r="CC478">
        <f>IF(ROUND(Grandview_Inventory[[#This Row],[adj_res]]*Lookups!$M$28,-2)&lt;Grandview_Inventory[[#This Row],[min_res]],Grandview_Inventory[[#This Row],[min_res]],ROUND(Grandview_Inventory[[#This Row],[adj_res]]*Lookups!$M$28,-2))</f>
        <v>227200</v>
      </c>
      <c r="CD478">
        <f>Grandview_Inventory[[#This Row],[final_det]]+Grandview_Inventory[[#This Row],[final_res]]</f>
        <v>235600</v>
      </c>
      <c r="CE478">
        <f>Grandview_Inventory[[#This Row],[final_land]]+Grandview_Inventory[[#This Row],[final_imp]]+Grandview_Inventory[[#This Row],[crop_value]]</f>
        <v>282300</v>
      </c>
      <c r="CG478" t="str">
        <f t="shared" si="7"/>
        <v>update valuation set market_land =46700, market_bldg=235600, market_total =282300, market_mdno =401, market_date ='9/10/2023' where link_id = (select link_id from parcel where parcel_year = '2024' and parcel_id = '23092214451');</v>
      </c>
    </row>
    <row r="479" spans="1:85" x14ac:dyDescent="0.25">
      <c r="A479">
        <v>23092214452</v>
      </c>
      <c r="B479">
        <v>0.21</v>
      </c>
      <c r="C479">
        <v>9132</v>
      </c>
      <c r="D479" t="s">
        <v>129</v>
      </c>
      <c r="E479" t="s">
        <v>53</v>
      </c>
      <c r="F479" t="s">
        <v>53</v>
      </c>
      <c r="G479">
        <v>4</v>
      </c>
      <c r="H479" t="s">
        <v>54</v>
      </c>
      <c r="I479">
        <v>192400</v>
      </c>
      <c r="J479">
        <v>39300</v>
      </c>
      <c r="K479">
        <v>0.21</v>
      </c>
      <c r="L47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479">
        <v>0</v>
      </c>
      <c r="N479">
        <v>0</v>
      </c>
      <c r="O479">
        <v>0</v>
      </c>
      <c r="P479">
        <v>13398.7528</v>
      </c>
      <c r="Q479">
        <v>63903</v>
      </c>
      <c r="R479">
        <f>(Grandview_Inventory[[#This Row],[ln_acres]]*Grandview_Inventory[[#This Row],[coeff]])+Grandview_Inventory[[#This Row],[const]]</f>
        <v>42992.266613125081</v>
      </c>
      <c r="S479" t="s">
        <v>61</v>
      </c>
      <c r="T479">
        <v>1</v>
      </c>
      <c r="U479" t="s">
        <v>70</v>
      </c>
      <c r="V479" t="s">
        <v>69</v>
      </c>
      <c r="W479">
        <v>0</v>
      </c>
      <c r="X479">
        <v>0</v>
      </c>
      <c r="Y479">
        <v>50</v>
      </c>
      <c r="Z479">
        <v>71</v>
      </c>
      <c r="AA479">
        <v>80</v>
      </c>
      <c r="AB479">
        <v>1500</v>
      </c>
      <c r="AC479">
        <v>1248</v>
      </c>
      <c r="AD479">
        <v>1248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654</v>
      </c>
      <c r="AL479">
        <v>0</v>
      </c>
      <c r="AM479">
        <v>0</v>
      </c>
      <c r="AN479">
        <v>0</v>
      </c>
      <c r="AO479">
        <v>0</v>
      </c>
      <c r="AP479">
        <v>5</v>
      </c>
      <c r="AQ479">
        <v>0</v>
      </c>
      <c r="AR479">
        <v>0</v>
      </c>
      <c r="AS479" t="s">
        <v>76</v>
      </c>
      <c r="AT479">
        <v>1</v>
      </c>
      <c r="AU479" t="s">
        <v>63</v>
      </c>
      <c r="AV479" t="s">
        <v>64</v>
      </c>
      <c r="AW479">
        <v>1</v>
      </c>
      <c r="AX479">
        <v>3</v>
      </c>
      <c r="AY479">
        <v>0</v>
      </c>
      <c r="AZ479">
        <v>10300</v>
      </c>
      <c r="BA479">
        <v>100</v>
      </c>
      <c r="BB479">
        <v>100</v>
      </c>
      <c r="BC479">
        <v>100</v>
      </c>
      <c r="BD479">
        <v>100</v>
      </c>
      <c r="BE479">
        <v>1</v>
      </c>
      <c r="BF479">
        <v>15000</v>
      </c>
      <c r="BG479">
        <v>1000</v>
      </c>
      <c r="BH479" s="6">
        <f>Grandview_Inventory[[#This Row],[land_extract]]*Lookups!$B$3</f>
        <v>49926.8031387023</v>
      </c>
      <c r="BI479" s="6">
        <f>IF(Grandview_Inventory[[#This Row],[bldg_style]]="",0,Lookups!$B$2)</f>
        <v>155833.95000000001</v>
      </c>
      <c r="BJ479" s="6">
        <f>_xlfn.IFNA(VLOOKUP(Grandview_Inventory[[#This Row],[quality]],Lookups!$H$2:$J$14,3,FALSE),0)</f>
        <v>10733</v>
      </c>
      <c r="BK479" s="6">
        <f>_xlfn.IFNA(VLOOKUP(Grandview_Inventory[[#This Row],[condition]],Lookups!$H$17:$J$24,3,FALSE),0)</f>
        <v>-4503</v>
      </c>
      <c r="BL479" s="6">
        <f>Grandview_Inventory[[#This Row],[Eff_Age]]*Lookups!$B$14</f>
        <v>-11958.33</v>
      </c>
      <c r="BM479" s="6">
        <f>Grandview_Inventory[[#This Row],[living_area]]*Lookups!$B$15</f>
        <v>77851.304543999999</v>
      </c>
      <c r="BN479" s="6">
        <f>Grandview_Inventory[[#This Row],[Fin BSMT]]*Lookups!$B$16</f>
        <v>0</v>
      </c>
      <c r="BO479" s="6">
        <f>(Grandview_Inventory[[#This Row],[att_gar]]+Grandview_Inventory[[#This Row],[bltin_gar]])*Lookups!$B$17</f>
        <v>0</v>
      </c>
      <c r="BP479" s="6">
        <f>Grandview_Inventory[[#This Row],[Plumbing Fixtures]]*Lookups!$B$18</f>
        <v>10052.209000000001</v>
      </c>
      <c r="BQ479" s="6">
        <f>Grandview_Inventory[[#This Row],[detatched_value]]*Lookups!$B$19</f>
        <v>8722.0925299999999</v>
      </c>
      <c r="BR479" s="6">
        <f>SUM(Grandview_Inventory[[#This Row],[Intercept]:[det_value]])*Grandview_Inventory[[#This Row],[res_pct]]</f>
        <v>246731.22607400001</v>
      </c>
      <c r="BS479" s="6">
        <f>Grandview_Inventory[[#This Row],[land_value]]</f>
        <v>49926.8031387023</v>
      </c>
      <c r="BT479" s="4">
        <f>_xlfn.IFNA(VLOOKUP(Grandview_Inventory[[#This Row],[quality]],Lookups!$A$26:$C$33,3,FALSE),1)</f>
        <v>0.98079741117310582</v>
      </c>
      <c r="BU479" s="4">
        <f>_xlfn.IFNA(VLOOKUP(Grandview_Inventory[[#This Row],[condition]],Lookups!$A$37:$C$44,3,FALSE),1)</f>
        <v>0.96469275950863709</v>
      </c>
      <c r="BV479" s="4">
        <f>IF(Grandview_Inventory[[#This Row],[bldg_style]]="",1,_xlfn.IFNA(VLOOKUP(Grandview_Inventory[[#This Row],[decade]],Lookups!$F$29:$H$43,3,FALSE),1))</f>
        <v>0.98763256963907298</v>
      </c>
      <c r="BW479" s="4">
        <f>_xlfn.IFNA(VLOOKUP(Grandview_Inventory[[#This Row],[living_area_range]],Lookups!$F$47:$H$56,3,FALSE),1)</f>
        <v>0.96135087979789358</v>
      </c>
      <c r="BX479" s="4">
        <f>AVERAGE(Grandview_Inventory[[#This Row],[qual_adj]:[size_adj]])</f>
        <v>0.97361840502967734</v>
      </c>
      <c r="BY479" s="6">
        <f>IF(Grandview_Inventory[[#This Row],[pre_res]]&lt;0,0,Grandview_Inventory[[#This Row],[pre_res]]*Grandview_Inventory[[#This Row],[overall_adj]])</f>
        <v>240222.06280118463</v>
      </c>
      <c r="BZ479" s="6">
        <f>(Grandview_Inventory[[#This Row],[sum_land]]-IF(Grandview_Inventory[[#This Row],[no_utilities]]=1,12000,0))/IF(Grandview_Inventory[[#This Row],[unbuildable]]=1,2,1)</f>
        <v>49926.8031387023</v>
      </c>
      <c r="CA47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479">
        <f>ROUND(Grandview_Inventory[[#This Row],[det_value]]*Lookups!$M$28,-2)</f>
        <v>8300</v>
      </c>
      <c r="CC479">
        <f>IF(ROUND(Grandview_Inventory[[#This Row],[adj_res]]*Lookups!$M$28,-2)&lt;Grandview_Inventory[[#This Row],[min_res]],Grandview_Inventory[[#This Row],[min_res]],ROUND(Grandview_Inventory[[#This Row],[adj_res]]*Lookups!$M$28,-2))</f>
        <v>228200</v>
      </c>
      <c r="CD479">
        <f>Grandview_Inventory[[#This Row],[final_det]]+Grandview_Inventory[[#This Row],[final_res]]</f>
        <v>236500</v>
      </c>
      <c r="CE479">
        <f>Grandview_Inventory[[#This Row],[final_land]]+Grandview_Inventory[[#This Row],[final_imp]]+Grandview_Inventory[[#This Row],[crop_value]]</f>
        <v>283900</v>
      </c>
      <c r="CG479" t="str">
        <f t="shared" si="7"/>
        <v>update valuation set market_land =47400, market_bldg=236500, market_total =283900, market_mdno =401, market_date ='9/10/2023' where link_id = (select link_id from parcel where parcel_year = '2024' and parcel_id = '23092214452');</v>
      </c>
    </row>
    <row r="480" spans="1:85" x14ac:dyDescent="0.25">
      <c r="A480">
        <v>23092214453</v>
      </c>
      <c r="B480">
        <v>0.24</v>
      </c>
      <c r="C480">
        <v>10588</v>
      </c>
      <c r="D480" t="s">
        <v>129</v>
      </c>
      <c r="E480" t="s">
        <v>53</v>
      </c>
      <c r="F480" t="s">
        <v>53</v>
      </c>
      <c r="G480">
        <v>4</v>
      </c>
      <c r="H480" t="s">
        <v>54</v>
      </c>
      <c r="I480">
        <v>211300</v>
      </c>
      <c r="J480">
        <v>44400</v>
      </c>
      <c r="K480">
        <v>0.24</v>
      </c>
      <c r="L48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480">
        <v>0</v>
      </c>
      <c r="N480">
        <v>0</v>
      </c>
      <c r="O480">
        <v>0</v>
      </c>
      <c r="P480">
        <v>13398.7528</v>
      </c>
      <c r="Q480">
        <v>63903</v>
      </c>
      <c r="R480">
        <f>(Grandview_Inventory[[#This Row],[ln_acres]]*Grandview_Inventory[[#This Row],[coeff]])+Grandview_Inventory[[#This Row],[const]]</f>
        <v>44781.420733940802</v>
      </c>
      <c r="S480" t="s">
        <v>61</v>
      </c>
      <c r="T480">
        <v>1</v>
      </c>
      <c r="U480" t="s">
        <v>65</v>
      </c>
      <c r="V480" t="s">
        <v>67</v>
      </c>
      <c r="W480">
        <v>0</v>
      </c>
      <c r="X480">
        <v>0</v>
      </c>
      <c r="Y480">
        <v>49</v>
      </c>
      <c r="Z480">
        <v>65</v>
      </c>
      <c r="AA480">
        <v>70</v>
      </c>
      <c r="AB480">
        <v>2500</v>
      </c>
      <c r="AC480">
        <v>2440</v>
      </c>
      <c r="AD480">
        <v>1220</v>
      </c>
      <c r="AE480">
        <v>0</v>
      </c>
      <c r="AF480">
        <v>0</v>
      </c>
      <c r="AG480">
        <v>1220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5</v>
      </c>
      <c r="AQ480">
        <v>0</v>
      </c>
      <c r="AR480">
        <v>1</v>
      </c>
      <c r="AS480" t="s">
        <v>58</v>
      </c>
      <c r="AT480">
        <v>1</v>
      </c>
      <c r="AU480" t="s">
        <v>63</v>
      </c>
      <c r="AV480" t="s">
        <v>60</v>
      </c>
      <c r="AW480">
        <v>0</v>
      </c>
      <c r="AX480">
        <v>2</v>
      </c>
      <c r="AY480">
        <v>0</v>
      </c>
      <c r="AZ480">
        <v>7600</v>
      </c>
      <c r="BA480">
        <v>100</v>
      </c>
      <c r="BB480">
        <v>100</v>
      </c>
      <c r="BC480">
        <v>100</v>
      </c>
      <c r="BD480">
        <v>100</v>
      </c>
      <c r="BE480">
        <v>1</v>
      </c>
      <c r="BF480">
        <v>15000</v>
      </c>
      <c r="BG480">
        <v>1000</v>
      </c>
      <c r="BH480" s="6">
        <f>Grandview_Inventory[[#This Row],[land_extract]]*Lookups!$B$3</f>
        <v>52004.542988489469</v>
      </c>
      <c r="BI480" s="6">
        <f>IF(Grandview_Inventory[[#This Row],[bldg_style]]="",0,Lookups!$B$2)</f>
        <v>155833.95000000001</v>
      </c>
      <c r="BJ480" s="6">
        <f>_xlfn.IFNA(VLOOKUP(Grandview_Inventory[[#This Row],[quality]],Lookups!$H$2:$J$14,3,FALSE),0)</f>
        <v>2251</v>
      </c>
      <c r="BK480" s="6">
        <f>_xlfn.IFNA(VLOOKUP(Grandview_Inventory[[#This Row],[condition]],Lookups!$H$17:$J$24,3,FALSE),0)</f>
        <v>22342</v>
      </c>
      <c r="BL480" s="6">
        <f>Grandview_Inventory[[#This Row],[Eff_Age]]*Lookups!$B$14</f>
        <v>-11719.163399999999</v>
      </c>
      <c r="BM480" s="6">
        <f>Grandview_Inventory[[#This Row],[living_area]]*Lookups!$B$15</f>
        <v>152209.28132000001</v>
      </c>
      <c r="BN480" s="6">
        <f>Grandview_Inventory[[#This Row],[Fin BSMT]]*Lookups!$B$16</f>
        <v>-33061.072800000002</v>
      </c>
      <c r="BO480" s="6">
        <f>(Grandview_Inventory[[#This Row],[att_gar]]+Grandview_Inventory[[#This Row],[bltin_gar]])*Lookups!$B$17</f>
        <v>0</v>
      </c>
      <c r="BP480" s="6">
        <f>Grandview_Inventory[[#This Row],[Plumbing Fixtures]]*Lookups!$B$18</f>
        <v>10052.209000000001</v>
      </c>
      <c r="BQ480" s="6">
        <f>Grandview_Inventory[[#This Row],[detatched_value]]*Lookups!$B$19</f>
        <v>6435.7187599999997</v>
      </c>
      <c r="BR480" s="6">
        <f>SUM(Grandview_Inventory[[#This Row],[Intercept]:[det_value]])*Grandview_Inventory[[#This Row],[res_pct]]</f>
        <v>304343.92288000003</v>
      </c>
      <c r="BS480" s="6">
        <f>Grandview_Inventory[[#This Row],[land_value]]</f>
        <v>52004.542988489469</v>
      </c>
      <c r="BT480" s="4">
        <f>_xlfn.IFNA(VLOOKUP(Grandview_Inventory[[#This Row],[quality]],Lookups!$A$26:$C$33,3,FALSE),1)</f>
        <v>0.98763855981004833</v>
      </c>
      <c r="BU480" s="4">
        <f>_xlfn.IFNA(VLOOKUP(Grandview_Inventory[[#This Row],[condition]],Lookups!$A$37:$C$44,3,FALSE),1)</f>
        <v>0.97383723671140243</v>
      </c>
      <c r="BV480" s="4">
        <f>IF(Grandview_Inventory[[#This Row],[bldg_style]]="",1,_xlfn.IFNA(VLOOKUP(Grandview_Inventory[[#This Row],[decade]],Lookups!$F$29:$H$43,3,FALSE),1))</f>
        <v>0.99472141305414818</v>
      </c>
      <c r="BW480" s="4">
        <f>_xlfn.IFNA(VLOOKUP(Grandview_Inventory[[#This Row],[living_area_range]],Lookups!$F$47:$H$56,3,FALSE),1)</f>
        <v>0.95799442568048754</v>
      </c>
      <c r="BX480" s="4">
        <f>AVERAGE(Grandview_Inventory[[#This Row],[qual_adj]:[size_adj]])</f>
        <v>0.97854790881402165</v>
      </c>
      <c r="BY480" s="6">
        <f>IF(Grandview_Inventory[[#This Row],[pre_res]]&lt;0,0,Grandview_Inventory[[#This Row],[pre_res]]*Grandview_Inventory[[#This Row],[overall_adj]])</f>
        <v>297815.10929447989</v>
      </c>
      <c r="BZ480" s="6">
        <f>(Grandview_Inventory[[#This Row],[sum_land]]-IF(Grandview_Inventory[[#This Row],[no_utilities]]=1,12000,0))/IF(Grandview_Inventory[[#This Row],[unbuildable]]=1,2,1)</f>
        <v>52004.542988489469</v>
      </c>
      <c r="CA48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480">
        <f>ROUND(Grandview_Inventory[[#This Row],[det_value]]*Lookups!$M$28,-2)</f>
        <v>6100</v>
      </c>
      <c r="CC480">
        <f>IF(ROUND(Grandview_Inventory[[#This Row],[adj_res]]*Lookups!$M$28,-2)&lt;Grandview_Inventory[[#This Row],[min_res]],Grandview_Inventory[[#This Row],[min_res]],ROUND(Grandview_Inventory[[#This Row],[adj_res]]*Lookups!$M$28,-2))</f>
        <v>282900</v>
      </c>
      <c r="CD480">
        <f>Grandview_Inventory[[#This Row],[final_det]]+Grandview_Inventory[[#This Row],[final_res]]</f>
        <v>289000</v>
      </c>
      <c r="CE480">
        <f>Grandview_Inventory[[#This Row],[final_land]]+Grandview_Inventory[[#This Row],[final_imp]]+Grandview_Inventory[[#This Row],[crop_value]]</f>
        <v>338400</v>
      </c>
      <c r="CG480" t="str">
        <f t="shared" si="7"/>
        <v>update valuation set market_land =49400, market_bldg=289000, market_total =338400, market_mdno =401, market_date ='9/10/2023' where link_id = (select link_id from parcel where parcel_year = '2024' and parcel_id = '23092214453');</v>
      </c>
    </row>
    <row r="481" spans="1:85" x14ac:dyDescent="0.25">
      <c r="A481">
        <v>23092214454</v>
      </c>
      <c r="B481">
        <v>0.23</v>
      </c>
      <c r="C481">
        <v>10153</v>
      </c>
      <c r="D481" t="s">
        <v>129</v>
      </c>
      <c r="E481" t="s">
        <v>53</v>
      </c>
      <c r="F481" t="s">
        <v>53</v>
      </c>
      <c r="G481">
        <v>4</v>
      </c>
      <c r="H481" t="s">
        <v>54</v>
      </c>
      <c r="I481">
        <v>165500</v>
      </c>
      <c r="J481">
        <v>39700</v>
      </c>
      <c r="K481">
        <v>0.23</v>
      </c>
      <c r="L48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481">
        <v>0</v>
      </c>
      <c r="N481">
        <v>0</v>
      </c>
      <c r="O481">
        <v>0</v>
      </c>
      <c r="P481">
        <v>13398.7528</v>
      </c>
      <c r="Q481">
        <v>63903</v>
      </c>
      <c r="R481">
        <f>(Grandview_Inventory[[#This Row],[ln_acres]]*Grandview_Inventory[[#This Row],[coeff]])+Grandview_Inventory[[#This Row],[const]]</f>
        <v>44211.174981080039</v>
      </c>
      <c r="S481" t="s">
        <v>61</v>
      </c>
      <c r="T481">
        <v>1</v>
      </c>
      <c r="U481" t="s">
        <v>62</v>
      </c>
      <c r="V481" t="s">
        <v>69</v>
      </c>
      <c r="W481">
        <v>0</v>
      </c>
      <c r="X481">
        <v>0</v>
      </c>
      <c r="Y481">
        <v>49</v>
      </c>
      <c r="Z481">
        <v>65</v>
      </c>
      <c r="AA481">
        <v>70</v>
      </c>
      <c r="AB481">
        <v>2000</v>
      </c>
      <c r="AC481">
        <v>1530</v>
      </c>
      <c r="AD481">
        <v>1530</v>
      </c>
      <c r="AE481">
        <v>0</v>
      </c>
      <c r="AF481">
        <v>0</v>
      </c>
      <c r="AG481">
        <v>0</v>
      </c>
      <c r="AH481">
        <v>0</v>
      </c>
      <c r="AI481">
        <v>220</v>
      </c>
      <c r="AJ481">
        <v>0</v>
      </c>
      <c r="AK481">
        <v>0</v>
      </c>
      <c r="AL481">
        <v>0</v>
      </c>
      <c r="AM481">
        <v>276</v>
      </c>
      <c r="AN481">
        <v>0</v>
      </c>
      <c r="AO481">
        <v>276</v>
      </c>
      <c r="AP481">
        <v>7</v>
      </c>
      <c r="AQ481">
        <v>0</v>
      </c>
      <c r="AR481">
        <v>0</v>
      </c>
      <c r="AS481" t="s">
        <v>58</v>
      </c>
      <c r="AT481">
        <v>1</v>
      </c>
      <c r="AU481" t="s">
        <v>63</v>
      </c>
      <c r="AV481" t="s">
        <v>64</v>
      </c>
      <c r="AW481">
        <v>1</v>
      </c>
      <c r="AX481">
        <v>2</v>
      </c>
      <c r="AY481">
        <v>0</v>
      </c>
      <c r="AZ481">
        <v>0</v>
      </c>
      <c r="BA481">
        <v>100</v>
      </c>
      <c r="BB481">
        <v>100</v>
      </c>
      <c r="BC481">
        <v>100</v>
      </c>
      <c r="BD481">
        <v>100</v>
      </c>
      <c r="BE481">
        <v>1</v>
      </c>
      <c r="BF481">
        <v>15000</v>
      </c>
      <c r="BG481">
        <v>1000</v>
      </c>
      <c r="BH481" s="6">
        <f>Grandview_Inventory[[#This Row],[land_extract]]*Lookups!$B$3</f>
        <v>51342.318135355803</v>
      </c>
      <c r="BI481" s="6">
        <f>IF(Grandview_Inventory[[#This Row],[bldg_style]]="",0,Lookups!$B$2)</f>
        <v>155833.95000000001</v>
      </c>
      <c r="BJ481" s="6">
        <f>_xlfn.IFNA(VLOOKUP(Grandview_Inventory[[#This Row],[quality]],Lookups!$H$2:$J$14,3,FALSE),0)</f>
        <v>9808</v>
      </c>
      <c r="BK481" s="6">
        <f>_xlfn.IFNA(VLOOKUP(Grandview_Inventory[[#This Row],[condition]],Lookups!$H$17:$J$24,3,FALSE),0)</f>
        <v>-4503</v>
      </c>
      <c r="BL481" s="6">
        <f>Grandview_Inventory[[#This Row],[Eff_Age]]*Lookups!$B$14</f>
        <v>-11719.163399999999</v>
      </c>
      <c r="BM481" s="6">
        <f>Grandview_Inventory[[#This Row],[living_area]]*Lookups!$B$15</f>
        <v>95442.705090000003</v>
      </c>
      <c r="BN481" s="6">
        <f>Grandview_Inventory[[#This Row],[Fin BSMT]]*Lookups!$B$16</f>
        <v>0</v>
      </c>
      <c r="BO481" s="6">
        <f>(Grandview_Inventory[[#This Row],[att_gar]]+Grandview_Inventory[[#This Row],[bltin_gar]])*Lookups!$B$17</f>
        <v>19254.496139999999</v>
      </c>
      <c r="BP481" s="6">
        <f>Grandview_Inventory[[#This Row],[Plumbing Fixtures]]*Lookups!$B$18</f>
        <v>14073.0926</v>
      </c>
      <c r="BQ481" s="6">
        <f>Grandview_Inventory[[#This Row],[detatched_value]]*Lookups!$B$19</f>
        <v>0</v>
      </c>
      <c r="BR481" s="6">
        <f>SUM(Grandview_Inventory[[#This Row],[Intercept]:[det_value]])*Grandview_Inventory[[#This Row],[res_pct]]</f>
        <v>278190.08042999997</v>
      </c>
      <c r="BS481" s="6">
        <f>Grandview_Inventory[[#This Row],[land_value]]</f>
        <v>51342.318135355803</v>
      </c>
      <c r="BT481" s="4">
        <f>_xlfn.IFNA(VLOOKUP(Grandview_Inventory[[#This Row],[quality]],Lookups!$A$26:$C$33,3,FALSE),1)</f>
        <v>0.94295468617355149</v>
      </c>
      <c r="BU481" s="4">
        <f>_xlfn.IFNA(VLOOKUP(Grandview_Inventory[[#This Row],[condition]],Lookups!$A$37:$C$44,3,FALSE),1)</f>
        <v>0.96469275950863709</v>
      </c>
      <c r="BV481" s="4">
        <f>IF(Grandview_Inventory[[#This Row],[bldg_style]]="",1,_xlfn.IFNA(VLOOKUP(Grandview_Inventory[[#This Row],[decade]],Lookups!$F$29:$H$43,3,FALSE),1))</f>
        <v>0.99472141305414818</v>
      </c>
      <c r="BW481" s="4">
        <f>_xlfn.IFNA(VLOOKUP(Grandview_Inventory[[#This Row],[living_area_range]],Lookups!$F$47:$H$56,3,FALSE),1)</f>
        <v>0.96120133463014379</v>
      </c>
      <c r="BX481" s="4">
        <f>AVERAGE(Grandview_Inventory[[#This Row],[qual_adj]:[size_adj]])</f>
        <v>0.96589254834162008</v>
      </c>
      <c r="BY481" s="6">
        <f>IF(Grandview_Inventory[[#This Row],[pre_res]]&lt;0,0,Grandview_Inventory[[#This Row],[pre_res]]*Grandview_Inventory[[#This Row],[overall_adj]])</f>
        <v>268701.72570989293</v>
      </c>
      <c r="BZ481" s="6">
        <f>(Grandview_Inventory[[#This Row],[sum_land]]-IF(Grandview_Inventory[[#This Row],[no_utilities]]=1,12000,0))/IF(Grandview_Inventory[[#This Row],[unbuildable]]=1,2,1)</f>
        <v>51342.318135355803</v>
      </c>
      <c r="CA48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481">
        <f>ROUND(Grandview_Inventory[[#This Row],[det_value]]*Lookups!$M$28,-2)</f>
        <v>0</v>
      </c>
      <c r="CC481">
        <f>IF(ROUND(Grandview_Inventory[[#This Row],[adj_res]]*Lookups!$M$28,-2)&lt;Grandview_Inventory[[#This Row],[min_res]],Grandview_Inventory[[#This Row],[min_res]],ROUND(Grandview_Inventory[[#This Row],[adj_res]]*Lookups!$M$28,-2))</f>
        <v>255300</v>
      </c>
      <c r="CD481">
        <f>Grandview_Inventory[[#This Row],[final_det]]+Grandview_Inventory[[#This Row],[final_res]]</f>
        <v>255300</v>
      </c>
      <c r="CE481">
        <f>Grandview_Inventory[[#This Row],[final_land]]+Grandview_Inventory[[#This Row],[final_imp]]+Grandview_Inventory[[#This Row],[crop_value]]</f>
        <v>304100</v>
      </c>
      <c r="CG481" t="str">
        <f t="shared" si="7"/>
        <v>update valuation set market_land =48800, market_bldg=255300, market_total =304100, market_mdno =401, market_date ='9/10/2023' where link_id = (select link_id from parcel where parcel_year = '2024' and parcel_id = '23092214454');</v>
      </c>
    </row>
    <row r="482" spans="1:85" x14ac:dyDescent="0.25">
      <c r="A482">
        <v>23092214455</v>
      </c>
      <c r="B482">
        <v>0.47</v>
      </c>
      <c r="C482">
        <v>20297</v>
      </c>
      <c r="D482" t="s">
        <v>129</v>
      </c>
      <c r="E482" t="s">
        <v>53</v>
      </c>
      <c r="F482" t="s">
        <v>53</v>
      </c>
      <c r="G482">
        <v>4</v>
      </c>
      <c r="H482" t="s">
        <v>54</v>
      </c>
      <c r="I482">
        <v>290200</v>
      </c>
      <c r="J482">
        <v>46100</v>
      </c>
      <c r="K482">
        <v>0.47</v>
      </c>
      <c r="L482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482">
        <v>0</v>
      </c>
      <c r="N482">
        <v>0</v>
      </c>
      <c r="O482">
        <v>0</v>
      </c>
      <c r="P482">
        <v>13398.7528</v>
      </c>
      <c r="Q482">
        <v>63903</v>
      </c>
      <c r="R482">
        <f>(Grandview_Inventory[[#This Row],[ln_acres]]*Grandview_Inventory[[#This Row],[coeff]])+Grandview_Inventory[[#This Row],[const]]</f>
        <v>53786.639034841472</v>
      </c>
      <c r="S482" t="s">
        <v>61</v>
      </c>
      <c r="T482">
        <v>1</v>
      </c>
      <c r="U482" t="s">
        <v>64</v>
      </c>
      <c r="V482" t="s">
        <v>67</v>
      </c>
      <c r="W482">
        <v>0</v>
      </c>
      <c r="X482">
        <v>0</v>
      </c>
      <c r="Y482">
        <v>45</v>
      </c>
      <c r="Z482">
        <v>51</v>
      </c>
      <c r="AA482">
        <v>60</v>
      </c>
      <c r="AB482">
        <v>3500</v>
      </c>
      <c r="AC482">
        <v>3060</v>
      </c>
      <c r="AD482">
        <v>1530</v>
      </c>
      <c r="AE482">
        <v>0</v>
      </c>
      <c r="AF482">
        <v>0</v>
      </c>
      <c r="AG482">
        <v>1530</v>
      </c>
      <c r="AH482">
        <v>0</v>
      </c>
      <c r="AI482">
        <v>504</v>
      </c>
      <c r="AJ482">
        <v>0</v>
      </c>
      <c r="AK482">
        <v>312</v>
      </c>
      <c r="AL482">
        <v>597</v>
      </c>
      <c r="AM482">
        <v>564</v>
      </c>
      <c r="AN482">
        <v>0</v>
      </c>
      <c r="AO482">
        <v>169</v>
      </c>
      <c r="AP482">
        <v>8</v>
      </c>
      <c r="AQ482">
        <v>0</v>
      </c>
      <c r="AR482">
        <v>0</v>
      </c>
      <c r="AS482" t="s">
        <v>58</v>
      </c>
      <c r="AT482">
        <v>1</v>
      </c>
      <c r="AU482" t="s">
        <v>59</v>
      </c>
      <c r="AV482" t="s">
        <v>60</v>
      </c>
      <c r="AW482">
        <v>1</v>
      </c>
      <c r="AX482">
        <v>4</v>
      </c>
      <c r="AY482">
        <v>0</v>
      </c>
      <c r="AZ482">
        <v>0</v>
      </c>
      <c r="BA482">
        <v>100</v>
      </c>
      <c r="BB482">
        <v>100</v>
      </c>
      <c r="BC482">
        <v>100</v>
      </c>
      <c r="BD482">
        <v>100</v>
      </c>
      <c r="BE482">
        <v>1</v>
      </c>
      <c r="BF482">
        <v>15000</v>
      </c>
      <c r="BG482">
        <v>1000</v>
      </c>
      <c r="BH482" s="6">
        <f>Grandview_Inventory[[#This Row],[land_extract]]*Lookups!$B$3</f>
        <v>62462.278687236008</v>
      </c>
      <c r="BI482" s="6">
        <f>IF(Grandview_Inventory[[#This Row],[bldg_style]]="",0,Lookups!$B$2)</f>
        <v>155833.95000000001</v>
      </c>
      <c r="BJ482" s="6">
        <f>_xlfn.IFNA(VLOOKUP(Grandview_Inventory[[#This Row],[quality]],Lookups!$H$2:$J$14,3,FALSE),0)</f>
        <v>20768</v>
      </c>
      <c r="BK482" s="6">
        <f>_xlfn.IFNA(VLOOKUP(Grandview_Inventory[[#This Row],[condition]],Lookups!$H$17:$J$24,3,FALSE),0)</f>
        <v>22342</v>
      </c>
      <c r="BL482" s="6">
        <f>Grandview_Inventory[[#This Row],[Eff_Age]]*Lookups!$B$14</f>
        <v>-10762.496999999999</v>
      </c>
      <c r="BM482" s="6">
        <f>Grandview_Inventory[[#This Row],[living_area]]*Lookups!$B$15</f>
        <v>190885.41018000001</v>
      </c>
      <c r="BN482" s="6">
        <f>Grandview_Inventory[[#This Row],[Fin BSMT]]*Lookups!$B$16</f>
        <v>-41461.837200000002</v>
      </c>
      <c r="BO482" s="6">
        <f>(Grandview_Inventory[[#This Row],[att_gar]]+Grandview_Inventory[[#This Row],[bltin_gar]])*Lookups!$B$17</f>
        <v>44110.300248</v>
      </c>
      <c r="BP482" s="6">
        <f>Grandview_Inventory[[#This Row],[Plumbing Fixtures]]*Lookups!$B$18</f>
        <v>16083.5344</v>
      </c>
      <c r="BQ482" s="6">
        <f>Grandview_Inventory[[#This Row],[detatched_value]]*Lookups!$B$19</f>
        <v>0</v>
      </c>
      <c r="BR482" s="6">
        <f>SUM(Grandview_Inventory[[#This Row],[Intercept]:[det_value]])*Grandview_Inventory[[#This Row],[res_pct]]</f>
        <v>397798.86062799999</v>
      </c>
      <c r="BS482" s="6">
        <f>Grandview_Inventory[[#This Row],[land_value]]</f>
        <v>62462.278687236008</v>
      </c>
      <c r="BT482" s="4">
        <f>_xlfn.IFNA(VLOOKUP(Grandview_Inventory[[#This Row],[quality]],Lookups!$A$26:$C$33,3,FALSE),1)</f>
        <v>0.94960540378902636</v>
      </c>
      <c r="BU482" s="4">
        <f>_xlfn.IFNA(VLOOKUP(Grandview_Inventory[[#This Row],[condition]],Lookups!$A$37:$C$44,3,FALSE),1)</f>
        <v>0.97383723671140243</v>
      </c>
      <c r="BV482" s="4">
        <f>IF(Grandview_Inventory[[#This Row],[bldg_style]]="",1,_xlfn.IFNA(VLOOKUP(Grandview_Inventory[[#This Row],[decade]],Lookups!$F$29:$H$43,3,FALSE),1))</f>
        <v>0.95268620544463312</v>
      </c>
      <c r="BW482" s="4">
        <f>_xlfn.IFNA(VLOOKUP(Grandview_Inventory[[#This Row],[living_area_range]],Lookups!$F$47:$H$56,3,FALSE),1)</f>
        <v>1.0170112215140563</v>
      </c>
      <c r="BX482" s="4">
        <f>AVERAGE(Grandview_Inventory[[#This Row],[qual_adj]:[size_adj]])</f>
        <v>0.97328501686477953</v>
      </c>
      <c r="BY482" s="6">
        <f>IF(Grandview_Inventory[[#This Row],[pre_res]]&lt;0,0,Grandview_Inventory[[#This Row],[pre_res]]*Grandview_Inventory[[#This Row],[overall_adj]])</f>
        <v>387171.67077511305</v>
      </c>
      <c r="BZ482" s="6">
        <f>(Grandview_Inventory[[#This Row],[sum_land]]-IF(Grandview_Inventory[[#This Row],[no_utilities]]=1,12000,0))/IF(Grandview_Inventory[[#This Row],[unbuildable]]=1,2,1)</f>
        <v>62462.278687236008</v>
      </c>
      <c r="CA482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482">
        <f>ROUND(Grandview_Inventory[[#This Row],[det_value]]*Lookups!$M$28,-2)</f>
        <v>0</v>
      </c>
      <c r="CC482">
        <f>IF(ROUND(Grandview_Inventory[[#This Row],[adj_res]]*Lookups!$M$28,-2)&lt;Grandview_Inventory[[#This Row],[min_res]],Grandview_Inventory[[#This Row],[min_res]],ROUND(Grandview_Inventory[[#This Row],[adj_res]]*Lookups!$M$28,-2))</f>
        <v>367800</v>
      </c>
      <c r="CD482">
        <f>Grandview_Inventory[[#This Row],[final_det]]+Grandview_Inventory[[#This Row],[final_res]]</f>
        <v>367800</v>
      </c>
      <c r="CE482">
        <f>Grandview_Inventory[[#This Row],[final_land]]+Grandview_Inventory[[#This Row],[final_imp]]+Grandview_Inventory[[#This Row],[crop_value]]</f>
        <v>427100</v>
      </c>
      <c r="CG482" t="str">
        <f t="shared" si="7"/>
        <v>update valuation set market_land =59300, market_bldg=367800, market_total =427100, market_mdno =401, market_date ='9/10/2023' where link_id = (select link_id from parcel where parcel_year = '2024' and parcel_id = '23092214455');</v>
      </c>
    </row>
    <row r="483" spans="1:85" x14ac:dyDescent="0.25">
      <c r="A483">
        <v>23092214457</v>
      </c>
      <c r="B483">
        <v>0.23</v>
      </c>
      <c r="C483" t="s">
        <v>129</v>
      </c>
      <c r="D483" t="s">
        <v>129</v>
      </c>
      <c r="E483" t="s">
        <v>53</v>
      </c>
      <c r="F483" t="s">
        <v>53</v>
      </c>
      <c r="G483">
        <v>4</v>
      </c>
      <c r="H483" t="s">
        <v>54</v>
      </c>
      <c r="I483">
        <v>212000</v>
      </c>
      <c r="J483">
        <v>43800</v>
      </c>
      <c r="K483">
        <v>0.23</v>
      </c>
      <c r="L48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483">
        <v>0</v>
      </c>
      <c r="N483">
        <v>0</v>
      </c>
      <c r="O483">
        <v>0</v>
      </c>
      <c r="P483">
        <v>13398.7528</v>
      </c>
      <c r="Q483">
        <v>63903</v>
      </c>
      <c r="R483">
        <f>(Grandview_Inventory[[#This Row],[ln_acres]]*Grandview_Inventory[[#This Row],[coeff]])+Grandview_Inventory[[#This Row],[const]]</f>
        <v>44211.174981080039</v>
      </c>
      <c r="S483" t="s">
        <v>61</v>
      </c>
      <c r="T483">
        <v>1</v>
      </c>
      <c r="U483" t="s">
        <v>65</v>
      </c>
      <c r="V483" t="s">
        <v>69</v>
      </c>
      <c r="W483">
        <v>0</v>
      </c>
      <c r="X483">
        <v>0</v>
      </c>
      <c r="Y483">
        <v>49</v>
      </c>
      <c r="Z483">
        <v>69</v>
      </c>
      <c r="AA483">
        <v>70</v>
      </c>
      <c r="AB483">
        <v>3000</v>
      </c>
      <c r="AC483">
        <v>2854</v>
      </c>
      <c r="AD483">
        <v>1427</v>
      </c>
      <c r="AE483">
        <v>0</v>
      </c>
      <c r="AF483">
        <v>0</v>
      </c>
      <c r="AG483">
        <v>1427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88</v>
      </c>
      <c r="AO483">
        <v>0</v>
      </c>
      <c r="AP483">
        <v>8</v>
      </c>
      <c r="AQ483">
        <v>0</v>
      </c>
      <c r="AR483">
        <v>0</v>
      </c>
      <c r="AS483" t="s">
        <v>76</v>
      </c>
      <c r="AT483">
        <v>1</v>
      </c>
      <c r="AU483" t="s">
        <v>63</v>
      </c>
      <c r="AV483" t="s">
        <v>60</v>
      </c>
      <c r="AW483">
        <v>1</v>
      </c>
      <c r="AX483">
        <v>3</v>
      </c>
      <c r="AY483">
        <v>0</v>
      </c>
      <c r="AZ483">
        <v>6800</v>
      </c>
      <c r="BA483">
        <v>100</v>
      </c>
      <c r="BB483">
        <v>100</v>
      </c>
      <c r="BC483">
        <v>100</v>
      </c>
      <c r="BD483">
        <v>100</v>
      </c>
      <c r="BE483">
        <v>1</v>
      </c>
      <c r="BF483">
        <v>15000</v>
      </c>
      <c r="BG483">
        <v>1000</v>
      </c>
      <c r="BH483" s="6">
        <f>Grandview_Inventory[[#This Row],[land_extract]]*Lookups!$B$3</f>
        <v>51342.318135355803</v>
      </c>
      <c r="BI483" s="6">
        <f>IF(Grandview_Inventory[[#This Row],[bldg_style]]="",0,Lookups!$B$2)</f>
        <v>155833.95000000001</v>
      </c>
      <c r="BJ483" s="6">
        <f>_xlfn.IFNA(VLOOKUP(Grandview_Inventory[[#This Row],[quality]],Lookups!$H$2:$J$14,3,FALSE),0)</f>
        <v>2251</v>
      </c>
      <c r="BK483" s="6">
        <f>_xlfn.IFNA(VLOOKUP(Grandview_Inventory[[#This Row],[condition]],Lookups!$H$17:$J$24,3,FALSE),0)</f>
        <v>-4503</v>
      </c>
      <c r="BL483" s="6">
        <f>Grandview_Inventory[[#This Row],[Eff_Age]]*Lookups!$B$14</f>
        <v>-11719.163399999999</v>
      </c>
      <c r="BM483" s="6">
        <f>Grandview_Inventory[[#This Row],[living_area]]*Lookups!$B$15</f>
        <v>178034.95446199999</v>
      </c>
      <c r="BN483" s="6">
        <f>Grandview_Inventory[[#This Row],[Fin BSMT]]*Lookups!$B$16</f>
        <v>-38670.61548</v>
      </c>
      <c r="BO483" s="6">
        <f>(Grandview_Inventory[[#This Row],[att_gar]]+Grandview_Inventory[[#This Row],[bltin_gar]])*Lookups!$B$17</f>
        <v>0</v>
      </c>
      <c r="BP483" s="6">
        <f>Grandview_Inventory[[#This Row],[Plumbing Fixtures]]*Lookups!$B$18</f>
        <v>16083.5344</v>
      </c>
      <c r="BQ483" s="6">
        <f>Grandview_Inventory[[#This Row],[detatched_value]]*Lookups!$B$19</f>
        <v>5758.2746799999995</v>
      </c>
      <c r="BR483" s="6">
        <f>SUM(Grandview_Inventory[[#This Row],[Intercept]:[det_value]])*Grandview_Inventory[[#This Row],[res_pct]]</f>
        <v>303068.93466200004</v>
      </c>
      <c r="BS483" s="6">
        <f>Grandview_Inventory[[#This Row],[land_value]]</f>
        <v>51342.318135355803</v>
      </c>
      <c r="BT483" s="4">
        <f>_xlfn.IFNA(VLOOKUP(Grandview_Inventory[[#This Row],[quality]],Lookups!$A$26:$C$33,3,FALSE),1)</f>
        <v>0.98763855981004833</v>
      </c>
      <c r="BU483" s="4">
        <f>_xlfn.IFNA(VLOOKUP(Grandview_Inventory[[#This Row],[condition]],Lookups!$A$37:$C$44,3,FALSE),1)</f>
        <v>0.96469275950863709</v>
      </c>
      <c r="BV483" s="4">
        <f>IF(Grandview_Inventory[[#This Row],[bldg_style]]="",1,_xlfn.IFNA(VLOOKUP(Grandview_Inventory[[#This Row],[decade]],Lookups!$F$29:$H$43,3,FALSE),1))</f>
        <v>0.99472141305414818</v>
      </c>
      <c r="BW483" s="4">
        <f>_xlfn.IFNA(VLOOKUP(Grandview_Inventory[[#This Row],[living_area_range]],Lookups!$F$47:$H$56,3,FALSE),1)</f>
        <v>0.94224801443562123</v>
      </c>
      <c r="BX483" s="4">
        <f>AVERAGE(Grandview_Inventory[[#This Row],[qual_adj]:[size_adj]])</f>
        <v>0.97232518670211376</v>
      </c>
      <c r="BY483" s="6">
        <f>IF(Grandview_Inventory[[#This Row],[pre_res]]&lt;0,0,Grandview_Inventory[[#This Row],[pre_res]]*Grandview_Inventory[[#This Row],[overall_adj]])</f>
        <v>294681.55847883993</v>
      </c>
      <c r="BZ483" s="6">
        <f>(Grandview_Inventory[[#This Row],[sum_land]]-IF(Grandview_Inventory[[#This Row],[no_utilities]]=1,12000,0))/IF(Grandview_Inventory[[#This Row],[unbuildable]]=1,2,1)</f>
        <v>51342.318135355803</v>
      </c>
      <c r="CA48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483">
        <f>ROUND(Grandview_Inventory[[#This Row],[det_value]]*Lookups!$M$28,-2)</f>
        <v>5500</v>
      </c>
      <c r="CC483">
        <f>IF(ROUND(Grandview_Inventory[[#This Row],[adj_res]]*Lookups!$M$28,-2)&lt;Grandview_Inventory[[#This Row],[min_res]],Grandview_Inventory[[#This Row],[min_res]],ROUND(Grandview_Inventory[[#This Row],[adj_res]]*Lookups!$M$28,-2))</f>
        <v>279900</v>
      </c>
      <c r="CD483">
        <f>Grandview_Inventory[[#This Row],[final_det]]+Grandview_Inventory[[#This Row],[final_res]]</f>
        <v>285400</v>
      </c>
      <c r="CE483">
        <f>Grandview_Inventory[[#This Row],[final_land]]+Grandview_Inventory[[#This Row],[final_imp]]+Grandview_Inventory[[#This Row],[crop_value]]</f>
        <v>334200</v>
      </c>
      <c r="CG483" t="str">
        <f t="shared" si="7"/>
        <v>update valuation set market_land =48800, market_bldg=285400, market_total =334200, market_mdno =401, market_date ='9/10/2023' where link_id = (select link_id from parcel where parcel_year = '2024' and parcel_id = '23092214457');</v>
      </c>
    </row>
    <row r="484" spans="1:85" x14ac:dyDescent="0.25">
      <c r="A484">
        <v>23092214458</v>
      </c>
      <c r="B484">
        <v>0.22</v>
      </c>
      <c r="C484">
        <v>9770</v>
      </c>
      <c r="D484" t="s">
        <v>129</v>
      </c>
      <c r="E484" t="s">
        <v>53</v>
      </c>
      <c r="F484" t="s">
        <v>53</v>
      </c>
      <c r="G484">
        <v>4</v>
      </c>
      <c r="H484" t="s">
        <v>54</v>
      </c>
      <c r="I484">
        <v>226000</v>
      </c>
      <c r="J484">
        <v>39700</v>
      </c>
      <c r="K484">
        <v>0.22</v>
      </c>
      <c r="L48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84">
        <v>0</v>
      </c>
      <c r="N484">
        <v>0</v>
      </c>
      <c r="O484">
        <v>0</v>
      </c>
      <c r="P484">
        <v>13398.7528</v>
      </c>
      <c r="Q484">
        <v>63903</v>
      </c>
      <c r="R484">
        <f>(Grandview_Inventory[[#This Row],[ln_acres]]*Grandview_Inventory[[#This Row],[coeff]])+Grandview_Inventory[[#This Row],[const]]</f>
        <v>43615.576802869145</v>
      </c>
      <c r="S484" t="s">
        <v>61</v>
      </c>
      <c r="T484">
        <v>1</v>
      </c>
      <c r="U484" t="s">
        <v>65</v>
      </c>
      <c r="V484" t="s">
        <v>67</v>
      </c>
      <c r="W484">
        <v>0</v>
      </c>
      <c r="X484">
        <v>0</v>
      </c>
      <c r="Y484">
        <v>49</v>
      </c>
      <c r="Z484">
        <v>68</v>
      </c>
      <c r="AA484">
        <v>70</v>
      </c>
      <c r="AB484">
        <v>3000</v>
      </c>
      <c r="AC484">
        <v>2568</v>
      </c>
      <c r="AD484">
        <v>1284</v>
      </c>
      <c r="AE484">
        <v>0</v>
      </c>
      <c r="AF484">
        <v>0</v>
      </c>
      <c r="AG484">
        <v>1284</v>
      </c>
      <c r="AH484">
        <v>0</v>
      </c>
      <c r="AI484">
        <v>336</v>
      </c>
      <c r="AJ484">
        <v>0</v>
      </c>
      <c r="AK484">
        <v>0</v>
      </c>
      <c r="AL484">
        <v>0</v>
      </c>
      <c r="AM484">
        <v>0</v>
      </c>
      <c r="AN484">
        <v>96</v>
      </c>
      <c r="AO484">
        <v>0</v>
      </c>
      <c r="AP484">
        <v>8</v>
      </c>
      <c r="AQ484">
        <v>0</v>
      </c>
      <c r="AR484">
        <v>0</v>
      </c>
      <c r="AS484" t="s">
        <v>58</v>
      </c>
      <c r="AT484">
        <v>1</v>
      </c>
      <c r="AU484" t="s">
        <v>63</v>
      </c>
      <c r="AV484" t="s">
        <v>60</v>
      </c>
      <c r="AW484">
        <v>0</v>
      </c>
      <c r="AX484">
        <v>4</v>
      </c>
      <c r="AY484">
        <v>0</v>
      </c>
      <c r="AZ484">
        <v>0</v>
      </c>
      <c r="BA484">
        <v>100</v>
      </c>
      <c r="BB484">
        <v>100</v>
      </c>
      <c r="BC484">
        <v>100</v>
      </c>
      <c r="BD484">
        <v>100</v>
      </c>
      <c r="BE484">
        <v>1</v>
      </c>
      <c r="BF484">
        <v>15000</v>
      </c>
      <c r="BG484">
        <v>1000</v>
      </c>
      <c r="BH484" s="6">
        <f>Grandview_Inventory[[#This Row],[land_extract]]*Lookups!$B$3</f>
        <v>50650.651579114572</v>
      </c>
      <c r="BI484" s="6">
        <f>IF(Grandview_Inventory[[#This Row],[bldg_style]]="",0,Lookups!$B$2)</f>
        <v>155833.95000000001</v>
      </c>
      <c r="BJ484" s="6">
        <f>_xlfn.IFNA(VLOOKUP(Grandview_Inventory[[#This Row],[quality]],Lookups!$H$2:$J$14,3,FALSE),0)</f>
        <v>2251</v>
      </c>
      <c r="BK484" s="6">
        <f>_xlfn.IFNA(VLOOKUP(Grandview_Inventory[[#This Row],[condition]],Lookups!$H$17:$J$24,3,FALSE),0)</f>
        <v>22342</v>
      </c>
      <c r="BL484" s="6">
        <f>Grandview_Inventory[[#This Row],[Eff_Age]]*Lookups!$B$14</f>
        <v>-11719.163399999999</v>
      </c>
      <c r="BM484" s="6">
        <f>Grandview_Inventory[[#This Row],[living_area]]*Lookups!$B$15</f>
        <v>160194.03050399999</v>
      </c>
      <c r="BN484" s="6">
        <f>Grandview_Inventory[[#This Row],[Fin BSMT]]*Lookups!$B$16</f>
        <v>-34795.424160000002</v>
      </c>
      <c r="BO484" s="6">
        <f>(Grandview_Inventory[[#This Row],[att_gar]]+Grandview_Inventory[[#This Row],[bltin_gar]])*Lookups!$B$17</f>
        <v>29406.866832</v>
      </c>
      <c r="BP484" s="6">
        <f>Grandview_Inventory[[#This Row],[Plumbing Fixtures]]*Lookups!$B$18</f>
        <v>16083.5344</v>
      </c>
      <c r="BQ484" s="6">
        <f>Grandview_Inventory[[#This Row],[detatched_value]]*Lookups!$B$19</f>
        <v>0</v>
      </c>
      <c r="BR484" s="6">
        <f>SUM(Grandview_Inventory[[#This Row],[Intercept]:[det_value]])*Grandview_Inventory[[#This Row],[res_pct]]</f>
        <v>339596.79417600005</v>
      </c>
      <c r="BS484" s="6">
        <f>Grandview_Inventory[[#This Row],[land_value]]</f>
        <v>50650.651579114572</v>
      </c>
      <c r="BT484" s="4">
        <f>_xlfn.IFNA(VLOOKUP(Grandview_Inventory[[#This Row],[quality]],Lookups!$A$26:$C$33,3,FALSE),1)</f>
        <v>0.98763855981004833</v>
      </c>
      <c r="BU484" s="4">
        <f>_xlfn.IFNA(VLOOKUP(Grandview_Inventory[[#This Row],[condition]],Lookups!$A$37:$C$44,3,FALSE),1)</f>
        <v>0.97383723671140243</v>
      </c>
      <c r="BV484" s="4">
        <f>IF(Grandview_Inventory[[#This Row],[bldg_style]]="",1,_xlfn.IFNA(VLOOKUP(Grandview_Inventory[[#This Row],[decade]],Lookups!$F$29:$H$43,3,FALSE),1))</f>
        <v>0.99472141305414818</v>
      </c>
      <c r="BW484" s="4">
        <f>_xlfn.IFNA(VLOOKUP(Grandview_Inventory[[#This Row],[living_area_range]],Lookups!$F$47:$H$56,3,FALSE),1)</f>
        <v>0.94224801443562123</v>
      </c>
      <c r="BX484" s="4">
        <f>AVERAGE(Grandview_Inventory[[#This Row],[qual_adj]:[size_adj]])</f>
        <v>0.9746113060028051</v>
      </c>
      <c r="BY484" s="6">
        <f>IF(Grandview_Inventory[[#This Row],[pre_res]]&lt;0,0,Grandview_Inventory[[#This Row],[pre_res]]*Grandview_Inventory[[#This Row],[overall_adj]])</f>
        <v>330974.87508623721</v>
      </c>
      <c r="BZ484" s="6">
        <f>(Grandview_Inventory[[#This Row],[sum_land]]-IF(Grandview_Inventory[[#This Row],[no_utilities]]=1,12000,0))/IF(Grandview_Inventory[[#This Row],[unbuildable]]=1,2,1)</f>
        <v>50650.651579114572</v>
      </c>
      <c r="CA48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84">
        <f>ROUND(Grandview_Inventory[[#This Row],[det_value]]*Lookups!$M$28,-2)</f>
        <v>0</v>
      </c>
      <c r="CC484">
        <f>IF(ROUND(Grandview_Inventory[[#This Row],[adj_res]]*Lookups!$M$28,-2)&lt;Grandview_Inventory[[#This Row],[min_res]],Grandview_Inventory[[#This Row],[min_res]],ROUND(Grandview_Inventory[[#This Row],[adj_res]]*Lookups!$M$28,-2))</f>
        <v>314400</v>
      </c>
      <c r="CD484">
        <f>Grandview_Inventory[[#This Row],[final_det]]+Grandview_Inventory[[#This Row],[final_res]]</f>
        <v>314400</v>
      </c>
      <c r="CE484">
        <f>Grandview_Inventory[[#This Row],[final_land]]+Grandview_Inventory[[#This Row],[final_imp]]+Grandview_Inventory[[#This Row],[crop_value]]</f>
        <v>362500</v>
      </c>
      <c r="CG484" t="str">
        <f t="shared" si="7"/>
        <v>update valuation set market_land =48100, market_bldg=314400, market_total =362500, market_mdno =401, market_date ='9/10/2023' where link_id = (select link_id from parcel where parcel_year = '2024' and parcel_id = '23092214458');</v>
      </c>
    </row>
    <row r="485" spans="1:85" x14ac:dyDescent="0.25">
      <c r="A485">
        <v>23092214459</v>
      </c>
      <c r="B485">
        <v>0.22</v>
      </c>
      <c r="C485">
        <v>9770</v>
      </c>
      <c r="D485" t="s">
        <v>129</v>
      </c>
      <c r="E485" t="s">
        <v>53</v>
      </c>
      <c r="F485" t="s">
        <v>53</v>
      </c>
      <c r="G485">
        <v>4</v>
      </c>
      <c r="H485" t="s">
        <v>54</v>
      </c>
      <c r="I485">
        <v>245300</v>
      </c>
      <c r="J485">
        <v>39700</v>
      </c>
      <c r="K485">
        <v>0.22</v>
      </c>
      <c r="L48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85">
        <v>0</v>
      </c>
      <c r="N485">
        <v>0</v>
      </c>
      <c r="O485">
        <v>0</v>
      </c>
      <c r="P485">
        <v>13398.7528</v>
      </c>
      <c r="Q485">
        <v>63903</v>
      </c>
      <c r="R485">
        <f>(Grandview_Inventory[[#This Row],[ln_acres]]*Grandview_Inventory[[#This Row],[coeff]])+Grandview_Inventory[[#This Row],[const]]</f>
        <v>43615.576802869145</v>
      </c>
      <c r="S485" t="s">
        <v>61</v>
      </c>
      <c r="T485">
        <v>1</v>
      </c>
      <c r="U485" t="s">
        <v>64</v>
      </c>
      <c r="V485" t="s">
        <v>67</v>
      </c>
      <c r="W485">
        <v>0</v>
      </c>
      <c r="X485">
        <v>0</v>
      </c>
      <c r="Y485">
        <v>49</v>
      </c>
      <c r="Z485">
        <v>65</v>
      </c>
      <c r="AA485">
        <v>70</v>
      </c>
      <c r="AB485">
        <v>2500</v>
      </c>
      <c r="AC485">
        <v>2253</v>
      </c>
      <c r="AD485">
        <v>1239</v>
      </c>
      <c r="AE485">
        <v>0</v>
      </c>
      <c r="AF485">
        <v>0</v>
      </c>
      <c r="AG485">
        <v>1014</v>
      </c>
      <c r="AH485">
        <v>0</v>
      </c>
      <c r="AI485">
        <v>273</v>
      </c>
      <c r="AJ485">
        <v>0</v>
      </c>
      <c r="AK485">
        <v>0</v>
      </c>
      <c r="AL485">
        <v>392</v>
      </c>
      <c r="AM485">
        <v>624</v>
      </c>
      <c r="AN485">
        <v>57</v>
      </c>
      <c r="AO485">
        <v>392</v>
      </c>
      <c r="AP485">
        <v>8</v>
      </c>
      <c r="AQ485">
        <v>0</v>
      </c>
      <c r="AR485">
        <v>1</v>
      </c>
      <c r="AS485" t="s">
        <v>58</v>
      </c>
      <c r="AT485">
        <v>1</v>
      </c>
      <c r="AU485" t="s">
        <v>63</v>
      </c>
      <c r="AV485" t="s">
        <v>64</v>
      </c>
      <c r="AW485">
        <v>1</v>
      </c>
      <c r="AX485">
        <v>4</v>
      </c>
      <c r="AY485">
        <v>0</v>
      </c>
      <c r="AZ485">
        <v>0</v>
      </c>
      <c r="BA485">
        <v>100</v>
      </c>
      <c r="BB485">
        <v>100</v>
      </c>
      <c r="BC485">
        <v>100</v>
      </c>
      <c r="BD485">
        <v>100</v>
      </c>
      <c r="BE485">
        <v>1</v>
      </c>
      <c r="BF485">
        <v>15000</v>
      </c>
      <c r="BG485">
        <v>1000</v>
      </c>
      <c r="BH485" s="6">
        <f>Grandview_Inventory[[#This Row],[land_extract]]*Lookups!$B$3</f>
        <v>50650.651579114572</v>
      </c>
      <c r="BI485" s="6">
        <f>IF(Grandview_Inventory[[#This Row],[bldg_style]]="",0,Lookups!$B$2)</f>
        <v>155833.95000000001</v>
      </c>
      <c r="BJ485" s="6">
        <f>_xlfn.IFNA(VLOOKUP(Grandview_Inventory[[#This Row],[quality]],Lookups!$H$2:$J$14,3,FALSE),0)</f>
        <v>20768</v>
      </c>
      <c r="BK485" s="6">
        <f>_xlfn.IFNA(VLOOKUP(Grandview_Inventory[[#This Row],[condition]],Lookups!$H$17:$J$24,3,FALSE),0)</f>
        <v>22342</v>
      </c>
      <c r="BL485" s="6">
        <f>Grandview_Inventory[[#This Row],[Eff_Age]]*Lookups!$B$14</f>
        <v>-11719.163399999999</v>
      </c>
      <c r="BM485" s="6">
        <f>Grandview_Inventory[[#This Row],[living_area]]*Lookups!$B$15</f>
        <v>140544.06180900001</v>
      </c>
      <c r="BN485" s="6">
        <f>Grandview_Inventory[[#This Row],[Fin BSMT]]*Lookups!$B$16</f>
        <v>-27478.629360000003</v>
      </c>
      <c r="BO485" s="6">
        <f>(Grandview_Inventory[[#This Row],[att_gar]]+Grandview_Inventory[[#This Row],[bltin_gar]])*Lookups!$B$17</f>
        <v>23893.079301000002</v>
      </c>
      <c r="BP485" s="6">
        <f>Grandview_Inventory[[#This Row],[Plumbing Fixtures]]*Lookups!$B$18</f>
        <v>16083.5344</v>
      </c>
      <c r="BQ485" s="6">
        <f>Grandview_Inventory[[#This Row],[detatched_value]]*Lookups!$B$19</f>
        <v>0</v>
      </c>
      <c r="BR485" s="6">
        <f>SUM(Grandview_Inventory[[#This Row],[Intercept]:[det_value]])*Grandview_Inventory[[#This Row],[res_pct]]</f>
        <v>340266.83275</v>
      </c>
      <c r="BS485" s="6">
        <f>Grandview_Inventory[[#This Row],[land_value]]</f>
        <v>50650.651579114572</v>
      </c>
      <c r="BT485" s="4">
        <f>_xlfn.IFNA(VLOOKUP(Grandview_Inventory[[#This Row],[quality]],Lookups!$A$26:$C$33,3,FALSE),1)</f>
        <v>0.94960540378902636</v>
      </c>
      <c r="BU485" s="4">
        <f>_xlfn.IFNA(VLOOKUP(Grandview_Inventory[[#This Row],[condition]],Lookups!$A$37:$C$44,3,FALSE),1)</f>
        <v>0.97383723671140243</v>
      </c>
      <c r="BV485" s="4">
        <f>IF(Grandview_Inventory[[#This Row],[bldg_style]]="",1,_xlfn.IFNA(VLOOKUP(Grandview_Inventory[[#This Row],[decade]],Lookups!$F$29:$H$43,3,FALSE),1))</f>
        <v>0.99472141305414818</v>
      </c>
      <c r="BW485" s="4">
        <f>_xlfn.IFNA(VLOOKUP(Grandview_Inventory[[#This Row],[living_area_range]],Lookups!$F$47:$H$56,3,FALSE),1)</f>
        <v>0.95799442568048754</v>
      </c>
      <c r="BX485" s="4">
        <f>AVERAGE(Grandview_Inventory[[#This Row],[qual_adj]:[size_adj]])</f>
        <v>0.96903961980876607</v>
      </c>
      <c r="BY485" s="6">
        <f>IF(Grandview_Inventory[[#This Row],[pre_res]]&lt;0,0,Grandview_Inventory[[#This Row],[pre_res]]*Grandview_Inventory[[#This Row],[overall_adj]])</f>
        <v>329732.04224159301</v>
      </c>
      <c r="BZ485" s="6">
        <f>(Grandview_Inventory[[#This Row],[sum_land]]-IF(Grandview_Inventory[[#This Row],[no_utilities]]=1,12000,0))/IF(Grandview_Inventory[[#This Row],[unbuildable]]=1,2,1)</f>
        <v>50650.651579114572</v>
      </c>
      <c r="CA48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85">
        <f>ROUND(Grandview_Inventory[[#This Row],[det_value]]*Lookups!$M$28,-2)</f>
        <v>0</v>
      </c>
      <c r="CC485">
        <f>IF(ROUND(Grandview_Inventory[[#This Row],[adj_res]]*Lookups!$M$28,-2)&lt;Grandview_Inventory[[#This Row],[min_res]],Grandview_Inventory[[#This Row],[min_res]],ROUND(Grandview_Inventory[[#This Row],[adj_res]]*Lookups!$M$28,-2))</f>
        <v>313200</v>
      </c>
      <c r="CD485">
        <f>Grandview_Inventory[[#This Row],[final_det]]+Grandview_Inventory[[#This Row],[final_res]]</f>
        <v>313200</v>
      </c>
      <c r="CE485">
        <f>Grandview_Inventory[[#This Row],[final_land]]+Grandview_Inventory[[#This Row],[final_imp]]+Grandview_Inventory[[#This Row],[crop_value]]</f>
        <v>361300</v>
      </c>
      <c r="CG485" t="str">
        <f t="shared" si="7"/>
        <v>update valuation set market_land =48100, market_bldg=313200, market_total =361300, market_mdno =401, market_date ='9/10/2023' where link_id = (select link_id from parcel where parcel_year = '2024' and parcel_id = '23092214459');</v>
      </c>
    </row>
    <row r="486" spans="1:85" x14ac:dyDescent="0.25">
      <c r="A486">
        <v>23092214460</v>
      </c>
      <c r="B486">
        <v>0.23</v>
      </c>
      <c r="C486" t="s">
        <v>129</v>
      </c>
      <c r="D486" t="s">
        <v>129</v>
      </c>
      <c r="E486" t="s">
        <v>53</v>
      </c>
      <c r="F486" t="s">
        <v>53</v>
      </c>
      <c r="G486">
        <v>4</v>
      </c>
      <c r="H486" t="s">
        <v>54</v>
      </c>
      <c r="I486">
        <v>245800</v>
      </c>
      <c r="J486">
        <v>43800</v>
      </c>
      <c r="K486">
        <v>0.23</v>
      </c>
      <c r="L48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486">
        <v>0</v>
      </c>
      <c r="N486">
        <v>0</v>
      </c>
      <c r="O486">
        <v>0</v>
      </c>
      <c r="P486">
        <v>13398.7528</v>
      </c>
      <c r="Q486">
        <v>63903</v>
      </c>
      <c r="R486">
        <f>(Grandview_Inventory[[#This Row],[ln_acres]]*Grandview_Inventory[[#This Row],[coeff]])+Grandview_Inventory[[#This Row],[const]]</f>
        <v>44211.174981080039</v>
      </c>
      <c r="S486" t="s">
        <v>61</v>
      </c>
      <c r="T486">
        <v>1</v>
      </c>
      <c r="U486" t="s">
        <v>65</v>
      </c>
      <c r="V486" t="s">
        <v>67</v>
      </c>
      <c r="W486">
        <v>0</v>
      </c>
      <c r="X486">
        <v>0</v>
      </c>
      <c r="Y486">
        <v>49</v>
      </c>
      <c r="Z486">
        <v>65</v>
      </c>
      <c r="AA486">
        <v>70</v>
      </c>
      <c r="AB486">
        <v>3000</v>
      </c>
      <c r="AC486">
        <v>2688</v>
      </c>
      <c r="AD486">
        <v>1344</v>
      </c>
      <c r="AE486">
        <v>0</v>
      </c>
      <c r="AF486">
        <v>0</v>
      </c>
      <c r="AG486">
        <v>1344</v>
      </c>
      <c r="AH486">
        <v>0</v>
      </c>
      <c r="AI486">
        <v>336</v>
      </c>
      <c r="AJ486">
        <v>0</v>
      </c>
      <c r="AK486">
        <v>220</v>
      </c>
      <c r="AL486">
        <v>0</v>
      </c>
      <c r="AM486">
        <v>0</v>
      </c>
      <c r="AN486">
        <v>0</v>
      </c>
      <c r="AO486">
        <v>0</v>
      </c>
      <c r="AP486">
        <v>8</v>
      </c>
      <c r="AQ486">
        <v>0</v>
      </c>
      <c r="AR486">
        <v>0</v>
      </c>
      <c r="AS486" t="s">
        <v>58</v>
      </c>
      <c r="AT486">
        <v>1</v>
      </c>
      <c r="AU486" t="s">
        <v>63</v>
      </c>
      <c r="AV486" t="s">
        <v>64</v>
      </c>
      <c r="AW486">
        <v>1</v>
      </c>
      <c r="AX486">
        <v>4</v>
      </c>
      <c r="AY486">
        <v>0</v>
      </c>
      <c r="AZ486">
        <v>0</v>
      </c>
      <c r="BA486">
        <v>100</v>
      </c>
      <c r="BB486">
        <v>100</v>
      </c>
      <c r="BC486">
        <v>100</v>
      </c>
      <c r="BD486">
        <v>100</v>
      </c>
      <c r="BE486">
        <v>1</v>
      </c>
      <c r="BF486">
        <v>15000</v>
      </c>
      <c r="BG486">
        <v>1000</v>
      </c>
      <c r="BH486" s="6">
        <f>Grandview_Inventory[[#This Row],[land_extract]]*Lookups!$B$3</f>
        <v>51342.318135355803</v>
      </c>
      <c r="BI486" s="6">
        <f>IF(Grandview_Inventory[[#This Row],[bldg_style]]="",0,Lookups!$B$2)</f>
        <v>155833.95000000001</v>
      </c>
      <c r="BJ486" s="6">
        <f>_xlfn.IFNA(VLOOKUP(Grandview_Inventory[[#This Row],[quality]],Lookups!$H$2:$J$14,3,FALSE),0)</f>
        <v>2251</v>
      </c>
      <c r="BK486" s="6">
        <f>_xlfn.IFNA(VLOOKUP(Grandview_Inventory[[#This Row],[condition]],Lookups!$H$17:$J$24,3,FALSE),0)</f>
        <v>22342</v>
      </c>
      <c r="BL486" s="6">
        <f>Grandview_Inventory[[#This Row],[Eff_Age]]*Lookups!$B$14</f>
        <v>-11719.163399999999</v>
      </c>
      <c r="BM486" s="6">
        <f>Grandview_Inventory[[#This Row],[living_area]]*Lookups!$B$15</f>
        <v>167679.73286400002</v>
      </c>
      <c r="BN486" s="6">
        <f>Grandview_Inventory[[#This Row],[Fin BSMT]]*Lookups!$B$16</f>
        <v>-36421.378560000005</v>
      </c>
      <c r="BO486" s="6">
        <f>(Grandview_Inventory[[#This Row],[att_gar]]+Grandview_Inventory[[#This Row],[bltin_gar]])*Lookups!$B$17</f>
        <v>29406.866832</v>
      </c>
      <c r="BP486" s="6">
        <f>Grandview_Inventory[[#This Row],[Plumbing Fixtures]]*Lookups!$B$18</f>
        <v>16083.5344</v>
      </c>
      <c r="BQ486" s="6">
        <f>Grandview_Inventory[[#This Row],[detatched_value]]*Lookups!$B$19</f>
        <v>0</v>
      </c>
      <c r="BR486" s="6">
        <f>SUM(Grandview_Inventory[[#This Row],[Intercept]:[det_value]])*Grandview_Inventory[[#This Row],[res_pct]]</f>
        <v>345456.542136</v>
      </c>
      <c r="BS486" s="6">
        <f>Grandview_Inventory[[#This Row],[land_value]]</f>
        <v>51342.318135355803</v>
      </c>
      <c r="BT486" s="4">
        <f>_xlfn.IFNA(VLOOKUP(Grandview_Inventory[[#This Row],[quality]],Lookups!$A$26:$C$33,3,FALSE),1)</f>
        <v>0.98763855981004833</v>
      </c>
      <c r="BU486" s="4">
        <f>_xlfn.IFNA(VLOOKUP(Grandview_Inventory[[#This Row],[condition]],Lookups!$A$37:$C$44,3,FALSE),1)</f>
        <v>0.97383723671140243</v>
      </c>
      <c r="BV486" s="4">
        <f>IF(Grandview_Inventory[[#This Row],[bldg_style]]="",1,_xlfn.IFNA(VLOOKUP(Grandview_Inventory[[#This Row],[decade]],Lookups!$F$29:$H$43,3,FALSE),1))</f>
        <v>0.99472141305414818</v>
      </c>
      <c r="BW486" s="4">
        <f>_xlfn.IFNA(VLOOKUP(Grandview_Inventory[[#This Row],[living_area_range]],Lookups!$F$47:$H$56,3,FALSE),1)</f>
        <v>0.94224801443562123</v>
      </c>
      <c r="BX486" s="4">
        <f>AVERAGE(Grandview_Inventory[[#This Row],[qual_adj]:[size_adj]])</f>
        <v>0.9746113060028051</v>
      </c>
      <c r="BY486" s="6">
        <f>IF(Grandview_Inventory[[#This Row],[pre_res]]&lt;0,0,Grandview_Inventory[[#This Row],[pre_res]]*Grandview_Inventory[[#This Row],[overall_adj]])</f>
        <v>336685.85169838002</v>
      </c>
      <c r="BZ486" s="6">
        <f>(Grandview_Inventory[[#This Row],[sum_land]]-IF(Grandview_Inventory[[#This Row],[no_utilities]]=1,12000,0))/IF(Grandview_Inventory[[#This Row],[unbuildable]]=1,2,1)</f>
        <v>51342.318135355803</v>
      </c>
      <c r="CA48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486">
        <f>ROUND(Grandview_Inventory[[#This Row],[det_value]]*Lookups!$M$28,-2)</f>
        <v>0</v>
      </c>
      <c r="CC486">
        <f>IF(ROUND(Grandview_Inventory[[#This Row],[adj_res]]*Lookups!$M$28,-2)&lt;Grandview_Inventory[[#This Row],[min_res]],Grandview_Inventory[[#This Row],[min_res]],ROUND(Grandview_Inventory[[#This Row],[adj_res]]*Lookups!$M$28,-2))</f>
        <v>319900</v>
      </c>
      <c r="CD486">
        <f>Grandview_Inventory[[#This Row],[final_det]]+Grandview_Inventory[[#This Row],[final_res]]</f>
        <v>319900</v>
      </c>
      <c r="CE486">
        <f>Grandview_Inventory[[#This Row],[final_land]]+Grandview_Inventory[[#This Row],[final_imp]]+Grandview_Inventory[[#This Row],[crop_value]]</f>
        <v>368700</v>
      </c>
      <c r="CG486" t="str">
        <f t="shared" si="7"/>
        <v>update valuation set market_land =48800, market_bldg=319900, market_total =368700, market_mdno =401, market_date ='9/10/2023' where link_id = (select link_id from parcel where parcel_year = '2024' and parcel_id = '23092214460');</v>
      </c>
    </row>
    <row r="487" spans="1:85" x14ac:dyDescent="0.25">
      <c r="A487">
        <v>23092214461</v>
      </c>
      <c r="B487">
        <v>0.23</v>
      </c>
      <c r="C487" t="s">
        <v>129</v>
      </c>
      <c r="D487" t="s">
        <v>129</v>
      </c>
      <c r="E487" t="s">
        <v>53</v>
      </c>
      <c r="F487" t="s">
        <v>53</v>
      </c>
      <c r="G487">
        <v>4</v>
      </c>
      <c r="H487" t="s">
        <v>54</v>
      </c>
      <c r="I487">
        <v>167900</v>
      </c>
      <c r="J487">
        <v>43800</v>
      </c>
      <c r="K487">
        <v>0.23</v>
      </c>
      <c r="L48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487">
        <v>0</v>
      </c>
      <c r="N487">
        <v>0</v>
      </c>
      <c r="O487">
        <v>0</v>
      </c>
      <c r="P487">
        <v>13398.7528</v>
      </c>
      <c r="Q487">
        <v>63903</v>
      </c>
      <c r="R487">
        <f>(Grandview_Inventory[[#This Row],[ln_acres]]*Grandview_Inventory[[#This Row],[coeff]])+Grandview_Inventory[[#This Row],[const]]</f>
        <v>44211.174981080039</v>
      </c>
      <c r="S487" t="s">
        <v>68</v>
      </c>
      <c r="T487">
        <v>1</v>
      </c>
      <c r="U487" t="s">
        <v>70</v>
      </c>
      <c r="V487" t="s">
        <v>69</v>
      </c>
      <c r="W487">
        <v>0</v>
      </c>
      <c r="X487">
        <v>0</v>
      </c>
      <c r="Y487">
        <v>50</v>
      </c>
      <c r="Z487">
        <v>70</v>
      </c>
      <c r="AA487">
        <v>70</v>
      </c>
      <c r="AB487">
        <v>2500</v>
      </c>
      <c r="AC487">
        <v>2128</v>
      </c>
      <c r="AD487">
        <v>1148</v>
      </c>
      <c r="AE487">
        <v>0</v>
      </c>
      <c r="AF487">
        <v>0</v>
      </c>
      <c r="AG487">
        <v>980</v>
      </c>
      <c r="AH487">
        <v>168</v>
      </c>
      <c r="AI487">
        <v>0</v>
      </c>
      <c r="AJ487">
        <v>0</v>
      </c>
      <c r="AK487">
        <v>288</v>
      </c>
      <c r="AL487">
        <v>0</v>
      </c>
      <c r="AM487">
        <v>450</v>
      </c>
      <c r="AN487">
        <v>0</v>
      </c>
      <c r="AO487">
        <v>0</v>
      </c>
      <c r="AP487">
        <v>8</v>
      </c>
      <c r="AQ487">
        <v>0</v>
      </c>
      <c r="AR487">
        <v>0</v>
      </c>
      <c r="AS487" t="s">
        <v>58</v>
      </c>
      <c r="AT487">
        <v>1</v>
      </c>
      <c r="AU487" t="s">
        <v>63</v>
      </c>
      <c r="AV487" t="s">
        <v>64</v>
      </c>
      <c r="AW487">
        <v>1</v>
      </c>
      <c r="AX487">
        <v>3</v>
      </c>
      <c r="AY487">
        <v>0</v>
      </c>
      <c r="AZ487">
        <v>0</v>
      </c>
      <c r="BA487">
        <v>100</v>
      </c>
      <c r="BB487">
        <v>100</v>
      </c>
      <c r="BC487">
        <v>100</v>
      </c>
      <c r="BD487">
        <v>100</v>
      </c>
      <c r="BE487">
        <v>1</v>
      </c>
      <c r="BF487">
        <v>15000</v>
      </c>
      <c r="BG487">
        <v>1000</v>
      </c>
      <c r="BH487" s="6">
        <f>Grandview_Inventory[[#This Row],[land_extract]]*Lookups!$B$3</f>
        <v>51342.318135355803</v>
      </c>
      <c r="BI487" s="6">
        <f>IF(Grandview_Inventory[[#This Row],[bldg_style]]="",0,Lookups!$B$2)</f>
        <v>155833.95000000001</v>
      </c>
      <c r="BJ487" s="6">
        <f>_xlfn.IFNA(VLOOKUP(Grandview_Inventory[[#This Row],[quality]],Lookups!$H$2:$J$14,3,FALSE),0)</f>
        <v>10733</v>
      </c>
      <c r="BK487" s="6">
        <f>_xlfn.IFNA(VLOOKUP(Grandview_Inventory[[#This Row],[condition]],Lookups!$H$17:$J$24,3,FALSE),0)</f>
        <v>-4503</v>
      </c>
      <c r="BL487" s="6">
        <f>Grandview_Inventory[[#This Row],[Eff_Age]]*Lookups!$B$14</f>
        <v>-11958.33</v>
      </c>
      <c r="BM487" s="6">
        <f>Grandview_Inventory[[#This Row],[living_area]]*Lookups!$B$15</f>
        <v>132746.45518399999</v>
      </c>
      <c r="BN487" s="6">
        <f>Grandview_Inventory[[#This Row],[Fin BSMT]]*Lookups!$B$16</f>
        <v>-26557.255200000003</v>
      </c>
      <c r="BO487" s="6">
        <f>(Grandview_Inventory[[#This Row],[att_gar]]+Grandview_Inventory[[#This Row],[bltin_gar]])*Lookups!$B$17</f>
        <v>0</v>
      </c>
      <c r="BP487" s="6">
        <f>Grandview_Inventory[[#This Row],[Plumbing Fixtures]]*Lookups!$B$18</f>
        <v>16083.5344</v>
      </c>
      <c r="BQ487" s="6">
        <f>Grandview_Inventory[[#This Row],[detatched_value]]*Lookups!$B$19</f>
        <v>0</v>
      </c>
      <c r="BR487" s="6">
        <f>SUM(Grandview_Inventory[[#This Row],[Intercept]:[det_value]])*Grandview_Inventory[[#This Row],[res_pct]]</f>
        <v>272378.35438400001</v>
      </c>
      <c r="BS487" s="6">
        <f>Grandview_Inventory[[#This Row],[land_value]]</f>
        <v>51342.318135355803</v>
      </c>
      <c r="BT487" s="4">
        <f>_xlfn.IFNA(VLOOKUP(Grandview_Inventory[[#This Row],[quality]],Lookups!$A$26:$C$33,3,FALSE),1)</f>
        <v>0.98079741117310582</v>
      </c>
      <c r="BU487" s="4">
        <f>_xlfn.IFNA(VLOOKUP(Grandview_Inventory[[#This Row],[condition]],Lookups!$A$37:$C$44,3,FALSE),1)</f>
        <v>0.96469275950863709</v>
      </c>
      <c r="BV487" s="4">
        <f>IF(Grandview_Inventory[[#This Row],[bldg_style]]="",1,_xlfn.IFNA(VLOOKUP(Grandview_Inventory[[#This Row],[decade]],Lookups!$F$29:$H$43,3,FALSE),1))</f>
        <v>0.99472141305414818</v>
      </c>
      <c r="BW487" s="4">
        <f>_xlfn.IFNA(VLOOKUP(Grandview_Inventory[[#This Row],[living_area_range]],Lookups!$F$47:$H$56,3,FALSE),1)</f>
        <v>0.95799442568048754</v>
      </c>
      <c r="BX487" s="4">
        <f>AVERAGE(Grandview_Inventory[[#This Row],[qual_adj]:[size_adj]])</f>
        <v>0.97455150235409471</v>
      </c>
      <c r="BY487" s="6">
        <f>IF(Grandview_Inventory[[#This Row],[pre_res]]&lt;0,0,Grandview_Inventory[[#This Row],[pre_res]]*Grandview_Inventory[[#This Row],[overall_adj]])</f>
        <v>265446.73447366321</v>
      </c>
      <c r="BZ487" s="6">
        <f>(Grandview_Inventory[[#This Row],[sum_land]]-IF(Grandview_Inventory[[#This Row],[no_utilities]]=1,12000,0))/IF(Grandview_Inventory[[#This Row],[unbuildable]]=1,2,1)</f>
        <v>51342.318135355803</v>
      </c>
      <c r="CA48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487">
        <f>ROUND(Grandview_Inventory[[#This Row],[det_value]]*Lookups!$M$28,-2)</f>
        <v>0</v>
      </c>
      <c r="CC487">
        <f>IF(ROUND(Grandview_Inventory[[#This Row],[adj_res]]*Lookups!$M$28,-2)&lt;Grandview_Inventory[[#This Row],[min_res]],Grandview_Inventory[[#This Row],[min_res]],ROUND(Grandview_Inventory[[#This Row],[adj_res]]*Lookups!$M$28,-2))</f>
        <v>252200</v>
      </c>
      <c r="CD487">
        <f>Grandview_Inventory[[#This Row],[final_det]]+Grandview_Inventory[[#This Row],[final_res]]</f>
        <v>252200</v>
      </c>
      <c r="CE487">
        <f>Grandview_Inventory[[#This Row],[final_land]]+Grandview_Inventory[[#This Row],[final_imp]]+Grandview_Inventory[[#This Row],[crop_value]]</f>
        <v>301000</v>
      </c>
      <c r="CG487" t="str">
        <f t="shared" si="7"/>
        <v>update valuation set market_land =48800, market_bldg=252200, market_total =301000, market_mdno =401, market_date ='9/10/2023' where link_id = (select link_id from parcel where parcel_year = '2024' and parcel_id = '23092214461');</v>
      </c>
    </row>
    <row r="488" spans="1:85" x14ac:dyDescent="0.25">
      <c r="A488">
        <v>23092214462</v>
      </c>
      <c r="B488">
        <v>0.23</v>
      </c>
      <c r="C488" t="s">
        <v>129</v>
      </c>
      <c r="D488" t="s">
        <v>129</v>
      </c>
      <c r="E488" t="s">
        <v>53</v>
      </c>
      <c r="F488" t="s">
        <v>53</v>
      </c>
      <c r="G488">
        <v>4</v>
      </c>
      <c r="H488" t="s">
        <v>54</v>
      </c>
      <c r="I488">
        <v>187400</v>
      </c>
      <c r="J488">
        <v>43800</v>
      </c>
      <c r="K488">
        <v>0.23</v>
      </c>
      <c r="L48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488">
        <v>0</v>
      </c>
      <c r="N488">
        <v>0</v>
      </c>
      <c r="O488">
        <v>0</v>
      </c>
      <c r="P488">
        <v>13398.7528</v>
      </c>
      <c r="Q488">
        <v>63903</v>
      </c>
      <c r="R488">
        <f>(Grandview_Inventory[[#This Row],[ln_acres]]*Grandview_Inventory[[#This Row],[coeff]])+Grandview_Inventory[[#This Row],[const]]</f>
        <v>44211.174981080039</v>
      </c>
      <c r="S488" t="s">
        <v>61</v>
      </c>
      <c r="T488">
        <v>1</v>
      </c>
      <c r="U488" t="s">
        <v>65</v>
      </c>
      <c r="V488" t="s">
        <v>69</v>
      </c>
      <c r="W488">
        <v>0</v>
      </c>
      <c r="X488">
        <v>0</v>
      </c>
      <c r="Y488">
        <v>50</v>
      </c>
      <c r="Z488">
        <v>71</v>
      </c>
      <c r="AA488">
        <v>80</v>
      </c>
      <c r="AB488">
        <v>2500</v>
      </c>
      <c r="AC488">
        <v>2224</v>
      </c>
      <c r="AD488">
        <v>1112</v>
      </c>
      <c r="AE488">
        <v>0</v>
      </c>
      <c r="AF488">
        <v>0</v>
      </c>
      <c r="AG488">
        <v>1112</v>
      </c>
      <c r="AH488">
        <v>0</v>
      </c>
      <c r="AI488">
        <v>260</v>
      </c>
      <c r="AJ488">
        <v>0</v>
      </c>
      <c r="AK488">
        <v>0</v>
      </c>
      <c r="AL488">
        <v>0</v>
      </c>
      <c r="AM488">
        <v>280</v>
      </c>
      <c r="AN488">
        <v>105</v>
      </c>
      <c r="AO488">
        <v>280</v>
      </c>
      <c r="AP488">
        <v>6</v>
      </c>
      <c r="AQ488">
        <v>0</v>
      </c>
      <c r="AR488">
        <v>1</v>
      </c>
      <c r="AS488" t="s">
        <v>58</v>
      </c>
      <c r="AT488">
        <v>1</v>
      </c>
      <c r="AU488" t="s">
        <v>63</v>
      </c>
      <c r="AV488" t="s">
        <v>64</v>
      </c>
      <c r="AW488">
        <v>1</v>
      </c>
      <c r="AX488">
        <v>2</v>
      </c>
      <c r="AY488">
        <v>0</v>
      </c>
      <c r="AZ488">
        <v>3500</v>
      </c>
      <c r="BA488">
        <v>100</v>
      </c>
      <c r="BB488">
        <v>100</v>
      </c>
      <c r="BC488">
        <v>100</v>
      </c>
      <c r="BD488">
        <v>100</v>
      </c>
      <c r="BE488">
        <v>1</v>
      </c>
      <c r="BF488">
        <v>15000</v>
      </c>
      <c r="BG488">
        <v>1000</v>
      </c>
      <c r="BH488" s="6">
        <f>Grandview_Inventory[[#This Row],[land_extract]]*Lookups!$B$3</f>
        <v>51342.318135355803</v>
      </c>
      <c r="BI488" s="6">
        <f>IF(Grandview_Inventory[[#This Row],[bldg_style]]="",0,Lookups!$B$2)</f>
        <v>155833.95000000001</v>
      </c>
      <c r="BJ488" s="6">
        <f>_xlfn.IFNA(VLOOKUP(Grandview_Inventory[[#This Row],[quality]],Lookups!$H$2:$J$14,3,FALSE),0)</f>
        <v>2251</v>
      </c>
      <c r="BK488" s="6">
        <f>_xlfn.IFNA(VLOOKUP(Grandview_Inventory[[#This Row],[condition]],Lookups!$H$17:$J$24,3,FALSE),0)</f>
        <v>-4503</v>
      </c>
      <c r="BL488" s="6">
        <f>Grandview_Inventory[[#This Row],[Eff_Age]]*Lookups!$B$14</f>
        <v>-11958.33</v>
      </c>
      <c r="BM488" s="6">
        <f>Grandview_Inventory[[#This Row],[living_area]]*Lookups!$B$15</f>
        <v>138735.01707200002</v>
      </c>
      <c r="BN488" s="6">
        <f>Grandview_Inventory[[#This Row],[Fin BSMT]]*Lookups!$B$16</f>
        <v>-30134.354880000003</v>
      </c>
      <c r="BO488" s="6">
        <f>(Grandview_Inventory[[#This Row],[att_gar]]+Grandview_Inventory[[#This Row],[bltin_gar]])*Lookups!$B$17</f>
        <v>22755.313620000001</v>
      </c>
      <c r="BP488" s="6">
        <f>Grandview_Inventory[[#This Row],[Plumbing Fixtures]]*Lookups!$B$18</f>
        <v>12062.650799999999</v>
      </c>
      <c r="BQ488" s="6">
        <f>Grandview_Inventory[[#This Row],[detatched_value]]*Lookups!$B$19</f>
        <v>2963.8178499999999</v>
      </c>
      <c r="BR488" s="6">
        <f>SUM(Grandview_Inventory[[#This Row],[Intercept]:[det_value]])*Grandview_Inventory[[#This Row],[res_pct]]</f>
        <v>288006.0644620001</v>
      </c>
      <c r="BS488" s="6">
        <f>Grandview_Inventory[[#This Row],[land_value]]</f>
        <v>51342.318135355803</v>
      </c>
      <c r="BT488" s="4">
        <f>_xlfn.IFNA(VLOOKUP(Grandview_Inventory[[#This Row],[quality]],Lookups!$A$26:$C$33,3,FALSE),1)</f>
        <v>0.98763855981004833</v>
      </c>
      <c r="BU488" s="4">
        <f>_xlfn.IFNA(VLOOKUP(Grandview_Inventory[[#This Row],[condition]],Lookups!$A$37:$C$44,3,FALSE),1)</f>
        <v>0.96469275950863709</v>
      </c>
      <c r="BV488" s="4">
        <f>IF(Grandview_Inventory[[#This Row],[bldg_style]]="",1,_xlfn.IFNA(VLOOKUP(Grandview_Inventory[[#This Row],[decade]],Lookups!$F$29:$H$43,3,FALSE),1))</f>
        <v>0.98763256963907298</v>
      </c>
      <c r="BW488" s="4">
        <f>_xlfn.IFNA(VLOOKUP(Grandview_Inventory[[#This Row],[living_area_range]],Lookups!$F$47:$H$56,3,FALSE),1)</f>
        <v>0.95799442568048754</v>
      </c>
      <c r="BX488" s="4">
        <f>AVERAGE(Grandview_Inventory[[#This Row],[qual_adj]:[size_adj]])</f>
        <v>0.97448957865956143</v>
      </c>
      <c r="BY488" s="6">
        <f>IF(Grandview_Inventory[[#This Row],[pre_res]]&lt;0,0,Grandview_Inventory[[#This Row],[pre_res]]*Grandview_Inventory[[#This Row],[overall_adj]])</f>
        <v>280658.90840897296</v>
      </c>
      <c r="BZ488" s="6">
        <f>(Grandview_Inventory[[#This Row],[sum_land]]-IF(Grandview_Inventory[[#This Row],[no_utilities]]=1,12000,0))/IF(Grandview_Inventory[[#This Row],[unbuildable]]=1,2,1)</f>
        <v>51342.318135355803</v>
      </c>
      <c r="CA48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488">
        <f>ROUND(Grandview_Inventory[[#This Row],[det_value]]*Lookups!$M$28,-2)</f>
        <v>2800</v>
      </c>
      <c r="CC488">
        <f>IF(ROUND(Grandview_Inventory[[#This Row],[adj_res]]*Lookups!$M$28,-2)&lt;Grandview_Inventory[[#This Row],[min_res]],Grandview_Inventory[[#This Row],[min_res]],ROUND(Grandview_Inventory[[#This Row],[adj_res]]*Lookups!$M$28,-2))</f>
        <v>266600</v>
      </c>
      <c r="CD488">
        <f>Grandview_Inventory[[#This Row],[final_det]]+Grandview_Inventory[[#This Row],[final_res]]</f>
        <v>269400</v>
      </c>
      <c r="CE488">
        <f>Grandview_Inventory[[#This Row],[final_land]]+Grandview_Inventory[[#This Row],[final_imp]]+Grandview_Inventory[[#This Row],[crop_value]]</f>
        <v>318200</v>
      </c>
      <c r="CG488" t="str">
        <f t="shared" si="7"/>
        <v>update valuation set market_land =48800, market_bldg=269400, market_total =318200, market_mdno =401, market_date ='9/10/2023' where link_id = (select link_id from parcel where parcel_year = '2024' and parcel_id = '23092214462');</v>
      </c>
    </row>
    <row r="489" spans="1:85" x14ac:dyDescent="0.25">
      <c r="A489">
        <v>23092214463</v>
      </c>
      <c r="B489">
        <v>0.48</v>
      </c>
      <c r="C489" t="s">
        <v>129</v>
      </c>
      <c r="D489" t="s">
        <v>129</v>
      </c>
      <c r="E489" t="s">
        <v>53</v>
      </c>
      <c r="F489" t="s">
        <v>53</v>
      </c>
      <c r="G489">
        <v>4</v>
      </c>
      <c r="H489" t="s">
        <v>54</v>
      </c>
      <c r="I489">
        <v>212900</v>
      </c>
      <c r="J489">
        <v>46300</v>
      </c>
      <c r="K489">
        <v>0.48</v>
      </c>
      <c r="L489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489">
        <v>0</v>
      </c>
      <c r="N489">
        <v>0</v>
      </c>
      <c r="O489">
        <v>0</v>
      </c>
      <c r="P489">
        <v>13398.7528</v>
      </c>
      <c r="Q489">
        <v>63903</v>
      </c>
      <c r="R489">
        <f>(Grandview_Inventory[[#This Row],[ln_acres]]*Grandview_Inventory[[#This Row],[coeff]])+Grandview_Inventory[[#This Row],[const]]</f>
        <v>54068.728460280472</v>
      </c>
      <c r="S489" t="s">
        <v>61</v>
      </c>
      <c r="T489">
        <v>1</v>
      </c>
      <c r="U489" t="s">
        <v>62</v>
      </c>
      <c r="V489" t="s">
        <v>69</v>
      </c>
      <c r="W489">
        <v>0</v>
      </c>
      <c r="X489">
        <v>0</v>
      </c>
      <c r="Y489">
        <v>49</v>
      </c>
      <c r="Z489">
        <v>65</v>
      </c>
      <c r="AA489">
        <v>70</v>
      </c>
      <c r="AB489">
        <v>2500</v>
      </c>
      <c r="AC489">
        <v>2093</v>
      </c>
      <c r="AD489">
        <v>1718</v>
      </c>
      <c r="AE489">
        <v>0</v>
      </c>
      <c r="AF489">
        <v>0</v>
      </c>
      <c r="AG489">
        <v>375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320</v>
      </c>
      <c r="AN489">
        <v>54</v>
      </c>
      <c r="AO489">
        <v>320</v>
      </c>
      <c r="AP489">
        <v>8</v>
      </c>
      <c r="AQ489">
        <v>0</v>
      </c>
      <c r="AR489">
        <v>1</v>
      </c>
      <c r="AS489" t="s">
        <v>58</v>
      </c>
      <c r="AT489">
        <v>1</v>
      </c>
      <c r="AU489" t="s">
        <v>63</v>
      </c>
      <c r="AV489" t="s">
        <v>64</v>
      </c>
      <c r="AW489">
        <v>1</v>
      </c>
      <c r="AX489">
        <v>3</v>
      </c>
      <c r="AY489">
        <v>0</v>
      </c>
      <c r="AZ489">
        <v>24100</v>
      </c>
      <c r="BA489">
        <v>100</v>
      </c>
      <c r="BB489">
        <v>100</v>
      </c>
      <c r="BC489">
        <v>100</v>
      </c>
      <c r="BD489">
        <v>100</v>
      </c>
      <c r="BE489">
        <v>1</v>
      </c>
      <c r="BF489">
        <v>15000</v>
      </c>
      <c r="BG489">
        <v>1000</v>
      </c>
      <c r="BH489" s="6">
        <f>Grandview_Inventory[[#This Row],[land_extract]]*Lookups!$B$3</f>
        <v>62789.868375356869</v>
      </c>
      <c r="BI489" s="6">
        <f>IF(Grandview_Inventory[[#This Row],[bldg_style]]="",0,Lookups!$B$2)</f>
        <v>155833.95000000001</v>
      </c>
      <c r="BJ489" s="6">
        <f>_xlfn.IFNA(VLOOKUP(Grandview_Inventory[[#This Row],[quality]],Lookups!$H$2:$J$14,3,FALSE),0)</f>
        <v>9808</v>
      </c>
      <c r="BK489" s="6">
        <f>_xlfn.IFNA(VLOOKUP(Grandview_Inventory[[#This Row],[condition]],Lookups!$H$17:$J$24,3,FALSE),0)</f>
        <v>-4503</v>
      </c>
      <c r="BL489" s="6">
        <f>Grandview_Inventory[[#This Row],[Eff_Age]]*Lookups!$B$14</f>
        <v>-11719.163399999999</v>
      </c>
      <c r="BM489" s="6">
        <f>Grandview_Inventory[[#This Row],[living_area]]*Lookups!$B$15</f>
        <v>130563.125329</v>
      </c>
      <c r="BN489" s="6">
        <f>Grandview_Inventory[[#This Row],[Fin BSMT]]*Lookups!$B$16</f>
        <v>-10162.215</v>
      </c>
      <c r="BO489" s="6">
        <f>(Grandview_Inventory[[#This Row],[att_gar]]+Grandview_Inventory[[#This Row],[bltin_gar]])*Lookups!$B$17</f>
        <v>0</v>
      </c>
      <c r="BP489" s="6">
        <f>Grandview_Inventory[[#This Row],[Plumbing Fixtures]]*Lookups!$B$18</f>
        <v>16083.5344</v>
      </c>
      <c r="BQ489" s="6">
        <f>Grandview_Inventory[[#This Row],[detatched_value]]*Lookups!$B$19</f>
        <v>20408.002909999999</v>
      </c>
      <c r="BR489" s="6">
        <f>SUM(Grandview_Inventory[[#This Row],[Intercept]:[det_value]])*Grandview_Inventory[[#This Row],[res_pct]]</f>
        <v>306312.23423900001</v>
      </c>
      <c r="BS489" s="6">
        <f>Grandview_Inventory[[#This Row],[land_value]]</f>
        <v>62789.868375356869</v>
      </c>
      <c r="BT489" s="4">
        <f>_xlfn.IFNA(VLOOKUP(Grandview_Inventory[[#This Row],[quality]],Lookups!$A$26:$C$33,3,FALSE),1)</f>
        <v>0.94295468617355149</v>
      </c>
      <c r="BU489" s="4">
        <f>_xlfn.IFNA(VLOOKUP(Grandview_Inventory[[#This Row],[condition]],Lookups!$A$37:$C$44,3,FALSE),1)</f>
        <v>0.96469275950863709</v>
      </c>
      <c r="BV489" s="4">
        <f>IF(Grandview_Inventory[[#This Row],[bldg_style]]="",1,_xlfn.IFNA(VLOOKUP(Grandview_Inventory[[#This Row],[decade]],Lookups!$F$29:$H$43,3,FALSE),1))</f>
        <v>0.99472141305414818</v>
      </c>
      <c r="BW489" s="4">
        <f>_xlfn.IFNA(VLOOKUP(Grandview_Inventory[[#This Row],[living_area_range]],Lookups!$F$47:$H$56,3,FALSE),1)</f>
        <v>0.95799442568048754</v>
      </c>
      <c r="BX489" s="4">
        <f>AVERAGE(Grandview_Inventory[[#This Row],[qual_adj]:[size_adj]])</f>
        <v>0.96509082110420608</v>
      </c>
      <c r="BY489" s="6">
        <f>IF(Grandview_Inventory[[#This Row],[pre_res]]&lt;0,0,Grandview_Inventory[[#This Row],[pre_res]]*Grandview_Inventory[[#This Row],[overall_adj]])</f>
        <v>295619.12565598043</v>
      </c>
      <c r="BZ489" s="6">
        <f>(Grandview_Inventory[[#This Row],[sum_land]]-IF(Grandview_Inventory[[#This Row],[no_utilities]]=1,12000,0))/IF(Grandview_Inventory[[#This Row],[unbuildable]]=1,2,1)</f>
        <v>62789.868375356869</v>
      </c>
      <c r="CA489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489">
        <f>ROUND(Grandview_Inventory[[#This Row],[det_value]]*Lookups!$M$28,-2)</f>
        <v>19400</v>
      </c>
      <c r="CC489">
        <f>IF(ROUND(Grandview_Inventory[[#This Row],[adj_res]]*Lookups!$M$28,-2)&lt;Grandview_Inventory[[#This Row],[min_res]],Grandview_Inventory[[#This Row],[min_res]],ROUND(Grandview_Inventory[[#This Row],[adj_res]]*Lookups!$M$28,-2))</f>
        <v>280800</v>
      </c>
      <c r="CD489">
        <f>Grandview_Inventory[[#This Row],[final_det]]+Grandview_Inventory[[#This Row],[final_res]]</f>
        <v>300200</v>
      </c>
      <c r="CE489">
        <f>Grandview_Inventory[[#This Row],[final_land]]+Grandview_Inventory[[#This Row],[final_imp]]+Grandview_Inventory[[#This Row],[crop_value]]</f>
        <v>359900</v>
      </c>
      <c r="CG489" t="str">
        <f t="shared" si="7"/>
        <v>update valuation set market_land =59700, market_bldg=300200, market_total =359900, market_mdno =401, market_date ='9/10/2023' where link_id = (select link_id from parcel where parcel_year = '2024' and parcel_id = '23092214463');</v>
      </c>
    </row>
    <row r="490" spans="1:85" x14ac:dyDescent="0.25">
      <c r="A490">
        <v>23092214465</v>
      </c>
      <c r="B490">
        <v>0.24</v>
      </c>
      <c r="C490">
        <v>10328</v>
      </c>
      <c r="D490" t="s">
        <v>129</v>
      </c>
      <c r="E490" t="s">
        <v>53</v>
      </c>
      <c r="F490" t="s">
        <v>53</v>
      </c>
      <c r="G490">
        <v>4</v>
      </c>
      <c r="H490" t="s">
        <v>54</v>
      </c>
      <c r="I490">
        <v>208900</v>
      </c>
      <c r="J490">
        <v>39800</v>
      </c>
      <c r="K490">
        <v>0.24</v>
      </c>
      <c r="L49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490">
        <v>0</v>
      </c>
      <c r="N490">
        <v>0</v>
      </c>
      <c r="O490">
        <v>0</v>
      </c>
      <c r="P490">
        <v>13398.7528</v>
      </c>
      <c r="Q490">
        <v>63903</v>
      </c>
      <c r="R490">
        <f>(Grandview_Inventory[[#This Row],[ln_acres]]*Grandview_Inventory[[#This Row],[coeff]])+Grandview_Inventory[[#This Row],[const]]</f>
        <v>44781.420733940802</v>
      </c>
      <c r="S490" t="s">
        <v>61</v>
      </c>
      <c r="T490">
        <v>1</v>
      </c>
      <c r="U490" t="s">
        <v>65</v>
      </c>
      <c r="V490" t="s">
        <v>69</v>
      </c>
      <c r="W490">
        <v>0</v>
      </c>
      <c r="X490">
        <v>0</v>
      </c>
      <c r="Y490">
        <v>49</v>
      </c>
      <c r="Z490">
        <v>66</v>
      </c>
      <c r="AA490">
        <v>70</v>
      </c>
      <c r="AB490">
        <v>1500</v>
      </c>
      <c r="AC490">
        <v>1456</v>
      </c>
      <c r="AD490">
        <v>1456</v>
      </c>
      <c r="AE490">
        <v>0</v>
      </c>
      <c r="AF490">
        <v>0</v>
      </c>
      <c r="AG490">
        <v>0</v>
      </c>
      <c r="AH490">
        <v>0</v>
      </c>
      <c r="AI490">
        <v>440</v>
      </c>
      <c r="AJ490">
        <v>0</v>
      </c>
      <c r="AK490">
        <v>0</v>
      </c>
      <c r="AL490">
        <v>0</v>
      </c>
      <c r="AM490">
        <v>150</v>
      </c>
      <c r="AN490">
        <v>144</v>
      </c>
      <c r="AO490">
        <v>150</v>
      </c>
      <c r="AP490">
        <v>8</v>
      </c>
      <c r="AQ490">
        <v>0</v>
      </c>
      <c r="AR490">
        <v>0</v>
      </c>
      <c r="AS490" t="s">
        <v>58</v>
      </c>
      <c r="AT490">
        <v>1</v>
      </c>
      <c r="AU490" t="s">
        <v>63</v>
      </c>
      <c r="AV490" t="s">
        <v>64</v>
      </c>
      <c r="AW490">
        <v>1</v>
      </c>
      <c r="AX490">
        <v>3</v>
      </c>
      <c r="AY490">
        <v>0</v>
      </c>
      <c r="AZ490">
        <v>25400</v>
      </c>
      <c r="BA490">
        <v>100</v>
      </c>
      <c r="BB490">
        <v>100</v>
      </c>
      <c r="BC490">
        <v>100</v>
      </c>
      <c r="BD490">
        <v>100</v>
      </c>
      <c r="BE490">
        <v>1</v>
      </c>
      <c r="BF490">
        <v>15000</v>
      </c>
      <c r="BG490">
        <v>1000</v>
      </c>
      <c r="BH490" s="6">
        <f>Grandview_Inventory[[#This Row],[land_extract]]*Lookups!$B$3</f>
        <v>52004.542988489469</v>
      </c>
      <c r="BI490" s="6">
        <f>IF(Grandview_Inventory[[#This Row],[bldg_style]]="",0,Lookups!$B$2)</f>
        <v>155833.95000000001</v>
      </c>
      <c r="BJ490" s="6">
        <f>_xlfn.IFNA(VLOOKUP(Grandview_Inventory[[#This Row],[quality]],Lookups!$H$2:$J$14,3,FALSE),0)</f>
        <v>2251</v>
      </c>
      <c r="BK490" s="6">
        <f>_xlfn.IFNA(VLOOKUP(Grandview_Inventory[[#This Row],[condition]],Lookups!$H$17:$J$24,3,FALSE),0)</f>
        <v>-4503</v>
      </c>
      <c r="BL490" s="6">
        <f>Grandview_Inventory[[#This Row],[Eff_Age]]*Lookups!$B$14</f>
        <v>-11719.163399999999</v>
      </c>
      <c r="BM490" s="6">
        <f>Grandview_Inventory[[#This Row],[living_area]]*Lookups!$B$15</f>
        <v>90826.521968000001</v>
      </c>
      <c r="BN490" s="6">
        <f>Grandview_Inventory[[#This Row],[Fin BSMT]]*Lookups!$B$16</f>
        <v>0</v>
      </c>
      <c r="BO490" s="6">
        <f>(Grandview_Inventory[[#This Row],[att_gar]]+Grandview_Inventory[[#This Row],[bltin_gar]])*Lookups!$B$17</f>
        <v>38508.992279999999</v>
      </c>
      <c r="BP490" s="6">
        <f>Grandview_Inventory[[#This Row],[Plumbing Fixtures]]*Lookups!$B$18</f>
        <v>16083.5344</v>
      </c>
      <c r="BQ490" s="6">
        <f>Grandview_Inventory[[#This Row],[detatched_value]]*Lookups!$B$19</f>
        <v>21508.849539999999</v>
      </c>
      <c r="BR490" s="6">
        <f>SUM(Grandview_Inventory[[#This Row],[Intercept]:[det_value]])*Grandview_Inventory[[#This Row],[res_pct]]</f>
        <v>308790.68478800007</v>
      </c>
      <c r="BS490" s="6">
        <f>Grandview_Inventory[[#This Row],[land_value]]</f>
        <v>52004.542988489469</v>
      </c>
      <c r="BT490" s="4">
        <f>_xlfn.IFNA(VLOOKUP(Grandview_Inventory[[#This Row],[quality]],Lookups!$A$26:$C$33,3,FALSE),1)</f>
        <v>0.98763855981004833</v>
      </c>
      <c r="BU490" s="4">
        <f>_xlfn.IFNA(VLOOKUP(Grandview_Inventory[[#This Row],[condition]],Lookups!$A$37:$C$44,3,FALSE),1)</f>
        <v>0.96469275950863709</v>
      </c>
      <c r="BV490" s="4">
        <f>IF(Grandview_Inventory[[#This Row],[bldg_style]]="",1,_xlfn.IFNA(VLOOKUP(Grandview_Inventory[[#This Row],[decade]],Lookups!$F$29:$H$43,3,FALSE),1))</f>
        <v>0.99472141305414818</v>
      </c>
      <c r="BW490" s="4">
        <f>_xlfn.IFNA(VLOOKUP(Grandview_Inventory[[#This Row],[living_area_range]],Lookups!$F$47:$H$56,3,FALSE),1)</f>
        <v>0.96135087979789358</v>
      </c>
      <c r="BX490" s="4">
        <f>AVERAGE(Grandview_Inventory[[#This Row],[qual_adj]:[size_adj]])</f>
        <v>0.97710090304268182</v>
      </c>
      <c r="BY490" s="6">
        <f>IF(Grandview_Inventory[[#This Row],[pre_res]]&lt;0,0,Grandview_Inventory[[#This Row],[pre_res]]*Grandview_Inventory[[#This Row],[overall_adj]])</f>
        <v>301719.65695752297</v>
      </c>
      <c r="BZ490" s="6">
        <f>(Grandview_Inventory[[#This Row],[sum_land]]-IF(Grandview_Inventory[[#This Row],[no_utilities]]=1,12000,0))/IF(Grandview_Inventory[[#This Row],[unbuildable]]=1,2,1)</f>
        <v>52004.542988489469</v>
      </c>
      <c r="CA49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490">
        <f>ROUND(Grandview_Inventory[[#This Row],[det_value]]*Lookups!$M$28,-2)</f>
        <v>20400</v>
      </c>
      <c r="CC490">
        <f>IF(ROUND(Grandview_Inventory[[#This Row],[adj_res]]*Lookups!$M$28,-2)&lt;Grandview_Inventory[[#This Row],[min_res]],Grandview_Inventory[[#This Row],[min_res]],ROUND(Grandview_Inventory[[#This Row],[adj_res]]*Lookups!$M$28,-2))</f>
        <v>286600</v>
      </c>
      <c r="CD490">
        <f>Grandview_Inventory[[#This Row],[final_det]]+Grandview_Inventory[[#This Row],[final_res]]</f>
        <v>307000</v>
      </c>
      <c r="CE490">
        <f>Grandview_Inventory[[#This Row],[final_land]]+Grandview_Inventory[[#This Row],[final_imp]]+Grandview_Inventory[[#This Row],[crop_value]]</f>
        <v>356400</v>
      </c>
      <c r="CG490" t="str">
        <f t="shared" si="7"/>
        <v>update valuation set market_land =49400, market_bldg=307000, market_total =356400, market_mdno =401, market_date ='9/10/2023' where link_id = (select link_id from parcel where parcel_year = '2024' and parcel_id = '23092214465');</v>
      </c>
    </row>
    <row r="491" spans="1:85" x14ac:dyDescent="0.25">
      <c r="A491">
        <v>23092214466</v>
      </c>
      <c r="B491">
        <v>0.22</v>
      </c>
      <c r="C491">
        <v>9770</v>
      </c>
      <c r="D491" t="s">
        <v>129</v>
      </c>
      <c r="E491" t="s">
        <v>53</v>
      </c>
      <c r="F491" t="s">
        <v>53</v>
      </c>
      <c r="G491">
        <v>4</v>
      </c>
      <c r="H491" t="s">
        <v>54</v>
      </c>
      <c r="I491">
        <v>163900</v>
      </c>
      <c r="J491">
        <v>39700</v>
      </c>
      <c r="K491">
        <v>0.22</v>
      </c>
      <c r="L49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91">
        <v>0</v>
      </c>
      <c r="N491">
        <v>0</v>
      </c>
      <c r="O491">
        <v>0</v>
      </c>
      <c r="P491">
        <v>13398.7528</v>
      </c>
      <c r="Q491">
        <v>63903</v>
      </c>
      <c r="R491">
        <f>(Grandview_Inventory[[#This Row],[ln_acres]]*Grandview_Inventory[[#This Row],[coeff]])+Grandview_Inventory[[#This Row],[const]]</f>
        <v>43615.576802869145</v>
      </c>
      <c r="S491" t="s">
        <v>61</v>
      </c>
      <c r="T491">
        <v>1</v>
      </c>
      <c r="U491" t="s">
        <v>65</v>
      </c>
      <c r="V491" t="s">
        <v>69</v>
      </c>
      <c r="W491">
        <v>0</v>
      </c>
      <c r="X491">
        <v>0</v>
      </c>
      <c r="Y491">
        <v>49</v>
      </c>
      <c r="Z491">
        <v>68</v>
      </c>
      <c r="AA491">
        <v>70</v>
      </c>
      <c r="AB491">
        <v>1500</v>
      </c>
      <c r="AC491">
        <v>1264</v>
      </c>
      <c r="AD491">
        <v>1264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330</v>
      </c>
      <c r="AN491">
        <v>0</v>
      </c>
      <c r="AO491">
        <v>330</v>
      </c>
      <c r="AP491">
        <v>5</v>
      </c>
      <c r="AQ491">
        <v>0</v>
      </c>
      <c r="AR491">
        <v>0</v>
      </c>
      <c r="AS491" t="s">
        <v>58</v>
      </c>
      <c r="AT491">
        <v>1</v>
      </c>
      <c r="AU491" t="s">
        <v>63</v>
      </c>
      <c r="AV491" t="s">
        <v>60</v>
      </c>
      <c r="AW491">
        <v>1</v>
      </c>
      <c r="AX491">
        <v>3</v>
      </c>
      <c r="AY491">
        <v>0</v>
      </c>
      <c r="AZ491">
        <v>15400</v>
      </c>
      <c r="BA491">
        <v>100</v>
      </c>
      <c r="BB491">
        <v>100</v>
      </c>
      <c r="BC491">
        <v>100</v>
      </c>
      <c r="BD491">
        <v>100</v>
      </c>
      <c r="BE491">
        <v>1</v>
      </c>
      <c r="BF491">
        <v>15000</v>
      </c>
      <c r="BG491">
        <v>1000</v>
      </c>
      <c r="BH491" s="6">
        <f>Grandview_Inventory[[#This Row],[land_extract]]*Lookups!$B$3</f>
        <v>50650.651579114572</v>
      </c>
      <c r="BI491" s="6">
        <f>IF(Grandview_Inventory[[#This Row],[bldg_style]]="",0,Lookups!$B$2)</f>
        <v>155833.95000000001</v>
      </c>
      <c r="BJ491" s="6">
        <f>_xlfn.IFNA(VLOOKUP(Grandview_Inventory[[#This Row],[quality]],Lookups!$H$2:$J$14,3,FALSE),0)</f>
        <v>2251</v>
      </c>
      <c r="BK491" s="6">
        <f>_xlfn.IFNA(VLOOKUP(Grandview_Inventory[[#This Row],[condition]],Lookups!$H$17:$J$24,3,FALSE),0)</f>
        <v>-4503</v>
      </c>
      <c r="BL491" s="6">
        <f>Grandview_Inventory[[#This Row],[Eff_Age]]*Lookups!$B$14</f>
        <v>-11719.163399999999</v>
      </c>
      <c r="BM491" s="6">
        <f>Grandview_Inventory[[#This Row],[living_area]]*Lookups!$B$15</f>
        <v>78849.398192000008</v>
      </c>
      <c r="BN491" s="6">
        <f>Grandview_Inventory[[#This Row],[Fin BSMT]]*Lookups!$B$16</f>
        <v>0</v>
      </c>
      <c r="BO491" s="6">
        <f>(Grandview_Inventory[[#This Row],[att_gar]]+Grandview_Inventory[[#This Row],[bltin_gar]])*Lookups!$B$17</f>
        <v>0</v>
      </c>
      <c r="BP491" s="6">
        <f>Grandview_Inventory[[#This Row],[Plumbing Fixtures]]*Lookups!$B$18</f>
        <v>10052.209000000001</v>
      </c>
      <c r="BQ491" s="6">
        <f>Grandview_Inventory[[#This Row],[detatched_value]]*Lookups!$B$19</f>
        <v>13040.79854</v>
      </c>
      <c r="BR491" s="6">
        <f>SUM(Grandview_Inventory[[#This Row],[Intercept]:[det_value]])*Grandview_Inventory[[#This Row],[res_pct]]</f>
        <v>243805.19233200004</v>
      </c>
      <c r="BS491" s="6">
        <f>Grandview_Inventory[[#This Row],[land_value]]</f>
        <v>50650.651579114572</v>
      </c>
      <c r="BT491" s="4">
        <f>_xlfn.IFNA(VLOOKUP(Grandview_Inventory[[#This Row],[quality]],Lookups!$A$26:$C$33,3,FALSE),1)</f>
        <v>0.98763855981004833</v>
      </c>
      <c r="BU491" s="4">
        <f>_xlfn.IFNA(VLOOKUP(Grandview_Inventory[[#This Row],[condition]],Lookups!$A$37:$C$44,3,FALSE),1)</f>
        <v>0.96469275950863709</v>
      </c>
      <c r="BV491" s="4">
        <f>IF(Grandview_Inventory[[#This Row],[bldg_style]]="",1,_xlfn.IFNA(VLOOKUP(Grandview_Inventory[[#This Row],[decade]],Lookups!$F$29:$H$43,3,FALSE),1))</f>
        <v>0.99472141305414818</v>
      </c>
      <c r="BW491" s="4">
        <f>_xlfn.IFNA(VLOOKUP(Grandview_Inventory[[#This Row],[living_area_range]],Lookups!$F$47:$H$56,3,FALSE),1)</f>
        <v>0.96135087979789358</v>
      </c>
      <c r="BX491" s="4">
        <f>AVERAGE(Grandview_Inventory[[#This Row],[qual_adj]:[size_adj]])</f>
        <v>0.97710090304268182</v>
      </c>
      <c r="BY491" s="6">
        <f>IF(Grandview_Inventory[[#This Row],[pre_res]]&lt;0,0,Grandview_Inventory[[#This Row],[pre_res]]*Grandview_Inventory[[#This Row],[overall_adj]])</f>
        <v>238222.27359409197</v>
      </c>
      <c r="BZ491" s="6">
        <f>(Grandview_Inventory[[#This Row],[sum_land]]-IF(Grandview_Inventory[[#This Row],[no_utilities]]=1,12000,0))/IF(Grandview_Inventory[[#This Row],[unbuildable]]=1,2,1)</f>
        <v>50650.651579114572</v>
      </c>
      <c r="CA49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91">
        <f>ROUND(Grandview_Inventory[[#This Row],[det_value]]*Lookups!$M$28,-2)</f>
        <v>12400</v>
      </c>
      <c r="CC491">
        <f>IF(ROUND(Grandview_Inventory[[#This Row],[adj_res]]*Lookups!$M$28,-2)&lt;Grandview_Inventory[[#This Row],[min_res]],Grandview_Inventory[[#This Row],[min_res]],ROUND(Grandview_Inventory[[#This Row],[adj_res]]*Lookups!$M$28,-2))</f>
        <v>226300</v>
      </c>
      <c r="CD491">
        <f>Grandview_Inventory[[#This Row],[final_det]]+Grandview_Inventory[[#This Row],[final_res]]</f>
        <v>238700</v>
      </c>
      <c r="CE491">
        <f>Grandview_Inventory[[#This Row],[final_land]]+Grandview_Inventory[[#This Row],[final_imp]]+Grandview_Inventory[[#This Row],[crop_value]]</f>
        <v>286800</v>
      </c>
      <c r="CG491" t="str">
        <f t="shared" si="7"/>
        <v>update valuation set market_land =48100, market_bldg=238700, market_total =286800, market_mdno =401, market_date ='9/10/2023' where link_id = (select link_id from parcel where parcel_year = '2024' and parcel_id = '23092214466');</v>
      </c>
    </row>
    <row r="492" spans="1:85" x14ac:dyDescent="0.25">
      <c r="A492">
        <v>23092214467</v>
      </c>
      <c r="B492">
        <v>0.22</v>
      </c>
      <c r="C492">
        <v>9770</v>
      </c>
      <c r="D492" t="s">
        <v>129</v>
      </c>
      <c r="E492" t="s">
        <v>53</v>
      </c>
      <c r="F492" t="s">
        <v>53</v>
      </c>
      <c r="G492">
        <v>4</v>
      </c>
      <c r="H492" t="s">
        <v>54</v>
      </c>
      <c r="I492">
        <v>160200</v>
      </c>
      <c r="J492">
        <v>39700</v>
      </c>
      <c r="K492">
        <v>0.22</v>
      </c>
      <c r="L49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92">
        <v>0</v>
      </c>
      <c r="N492">
        <v>0</v>
      </c>
      <c r="O492">
        <v>0</v>
      </c>
      <c r="P492">
        <v>13398.7528</v>
      </c>
      <c r="Q492">
        <v>63903</v>
      </c>
      <c r="R492">
        <f>(Grandview_Inventory[[#This Row],[ln_acres]]*Grandview_Inventory[[#This Row],[coeff]])+Grandview_Inventory[[#This Row],[const]]</f>
        <v>43615.576802869145</v>
      </c>
      <c r="S492" t="s">
        <v>61</v>
      </c>
      <c r="T492">
        <v>1</v>
      </c>
      <c r="U492" t="s">
        <v>65</v>
      </c>
      <c r="V492" t="s">
        <v>69</v>
      </c>
      <c r="W492">
        <v>0</v>
      </c>
      <c r="X492">
        <v>0</v>
      </c>
      <c r="Y492">
        <v>49</v>
      </c>
      <c r="Z492">
        <v>68</v>
      </c>
      <c r="AA492">
        <v>70</v>
      </c>
      <c r="AB492">
        <v>1500</v>
      </c>
      <c r="AC492">
        <v>1042</v>
      </c>
      <c r="AD492">
        <v>1042</v>
      </c>
      <c r="AE492">
        <v>0</v>
      </c>
      <c r="AF492">
        <v>0</v>
      </c>
      <c r="AG492">
        <v>0</v>
      </c>
      <c r="AH492">
        <v>1042</v>
      </c>
      <c r="AI492">
        <v>260</v>
      </c>
      <c r="AJ492">
        <v>0</v>
      </c>
      <c r="AK492">
        <v>0</v>
      </c>
      <c r="AL492">
        <v>0</v>
      </c>
      <c r="AM492">
        <v>65</v>
      </c>
      <c r="AN492">
        <v>0</v>
      </c>
      <c r="AO492">
        <v>0</v>
      </c>
      <c r="AP492">
        <v>5</v>
      </c>
      <c r="AQ492">
        <v>0</v>
      </c>
      <c r="AR492">
        <v>0</v>
      </c>
      <c r="AS492" t="s">
        <v>58</v>
      </c>
      <c r="AT492">
        <v>1</v>
      </c>
      <c r="AU492" t="s">
        <v>63</v>
      </c>
      <c r="AV492" t="s">
        <v>60</v>
      </c>
      <c r="AW492">
        <v>1</v>
      </c>
      <c r="AX492">
        <v>3</v>
      </c>
      <c r="AY492">
        <v>0</v>
      </c>
      <c r="AZ492">
        <v>7500</v>
      </c>
      <c r="BA492">
        <v>100</v>
      </c>
      <c r="BB492">
        <v>100</v>
      </c>
      <c r="BC492">
        <v>100</v>
      </c>
      <c r="BD492">
        <v>100</v>
      </c>
      <c r="BE492">
        <v>1</v>
      </c>
      <c r="BF492">
        <v>15000</v>
      </c>
      <c r="BG492">
        <v>1000</v>
      </c>
      <c r="BH492" s="6">
        <f>Grandview_Inventory[[#This Row],[land_extract]]*Lookups!$B$3</f>
        <v>50650.651579114572</v>
      </c>
      <c r="BI492" s="6">
        <f>IF(Grandview_Inventory[[#This Row],[bldg_style]]="",0,Lookups!$B$2)</f>
        <v>155833.95000000001</v>
      </c>
      <c r="BJ492" s="6">
        <f>_xlfn.IFNA(VLOOKUP(Grandview_Inventory[[#This Row],[quality]],Lookups!$H$2:$J$14,3,FALSE),0)</f>
        <v>2251</v>
      </c>
      <c r="BK492" s="6">
        <f>_xlfn.IFNA(VLOOKUP(Grandview_Inventory[[#This Row],[condition]],Lookups!$H$17:$J$24,3,FALSE),0)</f>
        <v>-4503</v>
      </c>
      <c r="BL492" s="6">
        <f>Grandview_Inventory[[#This Row],[Eff_Age]]*Lookups!$B$14</f>
        <v>-11719.163399999999</v>
      </c>
      <c r="BM492" s="6">
        <f>Grandview_Inventory[[#This Row],[living_area]]*Lookups!$B$15</f>
        <v>65000.848826000001</v>
      </c>
      <c r="BN492" s="6">
        <f>Grandview_Inventory[[#This Row],[Fin BSMT]]*Lookups!$B$16</f>
        <v>0</v>
      </c>
      <c r="BO492" s="6">
        <f>(Grandview_Inventory[[#This Row],[att_gar]]+Grandview_Inventory[[#This Row],[bltin_gar]])*Lookups!$B$17</f>
        <v>22755.313620000001</v>
      </c>
      <c r="BP492" s="6">
        <f>Grandview_Inventory[[#This Row],[Plumbing Fixtures]]*Lookups!$B$18</f>
        <v>10052.209000000001</v>
      </c>
      <c r="BQ492" s="6">
        <f>Grandview_Inventory[[#This Row],[detatched_value]]*Lookups!$B$19</f>
        <v>6351.0382499999996</v>
      </c>
      <c r="BR492" s="6">
        <f>SUM(Grandview_Inventory[[#This Row],[Intercept]:[det_value]])*Grandview_Inventory[[#This Row],[res_pct]]</f>
        <v>246022.19629600004</v>
      </c>
      <c r="BS492" s="6">
        <f>Grandview_Inventory[[#This Row],[land_value]]</f>
        <v>50650.651579114572</v>
      </c>
      <c r="BT492" s="4">
        <f>_xlfn.IFNA(VLOOKUP(Grandview_Inventory[[#This Row],[quality]],Lookups!$A$26:$C$33,3,FALSE),1)</f>
        <v>0.98763855981004833</v>
      </c>
      <c r="BU492" s="4">
        <f>_xlfn.IFNA(VLOOKUP(Grandview_Inventory[[#This Row],[condition]],Lookups!$A$37:$C$44,3,FALSE),1)</f>
        <v>0.96469275950863709</v>
      </c>
      <c r="BV492" s="4">
        <f>IF(Grandview_Inventory[[#This Row],[bldg_style]]="",1,_xlfn.IFNA(VLOOKUP(Grandview_Inventory[[#This Row],[decade]],Lookups!$F$29:$H$43,3,FALSE),1))</f>
        <v>0.99472141305414818</v>
      </c>
      <c r="BW492" s="4">
        <f>_xlfn.IFNA(VLOOKUP(Grandview_Inventory[[#This Row],[living_area_range]],Lookups!$F$47:$H$56,3,FALSE),1)</f>
        <v>0.96135087979789358</v>
      </c>
      <c r="BX492" s="4">
        <f>AVERAGE(Grandview_Inventory[[#This Row],[qual_adj]:[size_adj]])</f>
        <v>0.97710090304268182</v>
      </c>
      <c r="BY492" s="6">
        <f>IF(Grandview_Inventory[[#This Row],[pre_res]]&lt;0,0,Grandview_Inventory[[#This Row],[pre_res]]*Grandview_Inventory[[#This Row],[overall_adj]])</f>
        <v>240388.51016936556</v>
      </c>
      <c r="BZ492" s="6">
        <f>(Grandview_Inventory[[#This Row],[sum_land]]-IF(Grandview_Inventory[[#This Row],[no_utilities]]=1,12000,0))/IF(Grandview_Inventory[[#This Row],[unbuildable]]=1,2,1)</f>
        <v>50650.651579114572</v>
      </c>
      <c r="CA49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92">
        <f>ROUND(Grandview_Inventory[[#This Row],[det_value]]*Lookups!$M$28,-2)</f>
        <v>6000</v>
      </c>
      <c r="CC492">
        <f>IF(ROUND(Grandview_Inventory[[#This Row],[adj_res]]*Lookups!$M$28,-2)&lt;Grandview_Inventory[[#This Row],[min_res]],Grandview_Inventory[[#This Row],[min_res]],ROUND(Grandview_Inventory[[#This Row],[adj_res]]*Lookups!$M$28,-2))</f>
        <v>228400</v>
      </c>
      <c r="CD492">
        <f>Grandview_Inventory[[#This Row],[final_det]]+Grandview_Inventory[[#This Row],[final_res]]</f>
        <v>234400</v>
      </c>
      <c r="CE492">
        <f>Grandview_Inventory[[#This Row],[final_land]]+Grandview_Inventory[[#This Row],[final_imp]]+Grandview_Inventory[[#This Row],[crop_value]]</f>
        <v>282500</v>
      </c>
      <c r="CG492" t="str">
        <f t="shared" si="7"/>
        <v>update valuation set market_land =48100, market_bldg=234400, market_total =282500, market_mdno =401, market_date ='9/10/2023' where link_id = (select link_id from parcel where parcel_year = '2024' and parcel_id = '23092214467');</v>
      </c>
    </row>
    <row r="493" spans="1:85" x14ac:dyDescent="0.25">
      <c r="A493">
        <v>23092214468</v>
      </c>
      <c r="B493">
        <v>0.22</v>
      </c>
      <c r="C493" t="s">
        <v>129</v>
      </c>
      <c r="D493" t="s">
        <v>129</v>
      </c>
      <c r="E493" t="s">
        <v>53</v>
      </c>
      <c r="F493" t="s">
        <v>53</v>
      </c>
      <c r="G493">
        <v>4</v>
      </c>
      <c r="H493" t="s">
        <v>54</v>
      </c>
      <c r="I493">
        <v>193600</v>
      </c>
      <c r="J493">
        <v>39500</v>
      </c>
      <c r="K493">
        <v>0.22</v>
      </c>
      <c r="L49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93">
        <v>0</v>
      </c>
      <c r="N493">
        <v>0</v>
      </c>
      <c r="O493">
        <v>0</v>
      </c>
      <c r="P493">
        <v>13398.7528</v>
      </c>
      <c r="Q493">
        <v>63903</v>
      </c>
      <c r="R493">
        <f>(Grandview_Inventory[[#This Row],[ln_acres]]*Grandview_Inventory[[#This Row],[coeff]])+Grandview_Inventory[[#This Row],[const]]</f>
        <v>43615.576802869145</v>
      </c>
      <c r="S493" t="s">
        <v>61</v>
      </c>
      <c r="T493">
        <v>1</v>
      </c>
      <c r="U493" t="s">
        <v>65</v>
      </c>
      <c r="V493" t="s">
        <v>67</v>
      </c>
      <c r="W493">
        <v>0</v>
      </c>
      <c r="X493">
        <v>0</v>
      </c>
      <c r="Y493">
        <v>49</v>
      </c>
      <c r="Z493">
        <v>68</v>
      </c>
      <c r="AA493">
        <v>70</v>
      </c>
      <c r="AB493">
        <v>1500</v>
      </c>
      <c r="AC493">
        <v>1364</v>
      </c>
      <c r="AD493">
        <v>1364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856</v>
      </c>
      <c r="AN493">
        <v>32</v>
      </c>
      <c r="AO493">
        <v>856</v>
      </c>
      <c r="AP493">
        <v>5</v>
      </c>
      <c r="AQ493">
        <v>0</v>
      </c>
      <c r="AR493">
        <v>1</v>
      </c>
      <c r="AS493" t="s">
        <v>58</v>
      </c>
      <c r="AT493">
        <v>1</v>
      </c>
      <c r="AU493" t="s">
        <v>63</v>
      </c>
      <c r="AV493" t="s">
        <v>64</v>
      </c>
      <c r="AW493">
        <v>1</v>
      </c>
      <c r="AX493">
        <v>3</v>
      </c>
      <c r="AY493">
        <v>0</v>
      </c>
      <c r="AZ493">
        <v>0</v>
      </c>
      <c r="BA493">
        <v>100</v>
      </c>
      <c r="BB493">
        <v>100</v>
      </c>
      <c r="BC493">
        <v>100</v>
      </c>
      <c r="BD493">
        <v>100</v>
      </c>
      <c r="BE493">
        <v>1</v>
      </c>
      <c r="BF493">
        <v>15000</v>
      </c>
      <c r="BG493">
        <v>1000</v>
      </c>
      <c r="BH493" s="6">
        <f>Grandview_Inventory[[#This Row],[land_extract]]*Lookups!$B$3</f>
        <v>50650.651579114572</v>
      </c>
      <c r="BI493" s="6">
        <f>IF(Grandview_Inventory[[#This Row],[bldg_style]]="",0,Lookups!$B$2)</f>
        <v>155833.95000000001</v>
      </c>
      <c r="BJ493" s="6">
        <f>_xlfn.IFNA(VLOOKUP(Grandview_Inventory[[#This Row],[quality]],Lookups!$H$2:$J$14,3,FALSE),0)</f>
        <v>2251</v>
      </c>
      <c r="BK493" s="6">
        <f>_xlfn.IFNA(VLOOKUP(Grandview_Inventory[[#This Row],[condition]],Lookups!$H$17:$J$24,3,FALSE),0)</f>
        <v>22342</v>
      </c>
      <c r="BL493" s="6">
        <f>Grandview_Inventory[[#This Row],[Eff_Age]]*Lookups!$B$14</f>
        <v>-11719.163399999999</v>
      </c>
      <c r="BM493" s="6">
        <f>Grandview_Inventory[[#This Row],[living_area]]*Lookups!$B$15</f>
        <v>85087.483491999999</v>
      </c>
      <c r="BN493" s="6">
        <f>Grandview_Inventory[[#This Row],[Fin BSMT]]*Lookups!$B$16</f>
        <v>0</v>
      </c>
      <c r="BO493" s="6">
        <f>(Grandview_Inventory[[#This Row],[att_gar]]+Grandview_Inventory[[#This Row],[bltin_gar]])*Lookups!$B$17</f>
        <v>0</v>
      </c>
      <c r="BP493" s="6">
        <f>Grandview_Inventory[[#This Row],[Plumbing Fixtures]]*Lookups!$B$18</f>
        <v>10052.209000000001</v>
      </c>
      <c r="BQ493" s="6">
        <f>Grandview_Inventory[[#This Row],[detatched_value]]*Lookups!$B$19</f>
        <v>0</v>
      </c>
      <c r="BR493" s="6">
        <f>SUM(Grandview_Inventory[[#This Row],[Intercept]:[det_value]])*Grandview_Inventory[[#This Row],[res_pct]]</f>
        <v>263847.47909199999</v>
      </c>
      <c r="BS493" s="6">
        <f>Grandview_Inventory[[#This Row],[land_value]]</f>
        <v>50650.651579114572</v>
      </c>
      <c r="BT493" s="4">
        <f>_xlfn.IFNA(VLOOKUP(Grandview_Inventory[[#This Row],[quality]],Lookups!$A$26:$C$33,3,FALSE),1)</f>
        <v>0.98763855981004833</v>
      </c>
      <c r="BU493" s="4">
        <f>_xlfn.IFNA(VLOOKUP(Grandview_Inventory[[#This Row],[condition]],Lookups!$A$37:$C$44,3,FALSE),1)</f>
        <v>0.97383723671140243</v>
      </c>
      <c r="BV493" s="4">
        <f>IF(Grandview_Inventory[[#This Row],[bldg_style]]="",1,_xlfn.IFNA(VLOOKUP(Grandview_Inventory[[#This Row],[decade]],Lookups!$F$29:$H$43,3,FALSE),1))</f>
        <v>0.99472141305414818</v>
      </c>
      <c r="BW493" s="4">
        <f>_xlfn.IFNA(VLOOKUP(Grandview_Inventory[[#This Row],[living_area_range]],Lookups!$F$47:$H$56,3,FALSE),1)</f>
        <v>0.96135087979789358</v>
      </c>
      <c r="BX493" s="4">
        <f>AVERAGE(Grandview_Inventory[[#This Row],[qual_adj]:[size_adj]])</f>
        <v>0.97938702234337316</v>
      </c>
      <c r="BY493" s="6">
        <f>IF(Grandview_Inventory[[#This Row],[pre_res]]&lt;0,0,Grandview_Inventory[[#This Row],[pre_res]]*Grandview_Inventory[[#This Row],[overall_adj]])</f>
        <v>258408.79690071929</v>
      </c>
      <c r="BZ493" s="6">
        <f>(Grandview_Inventory[[#This Row],[sum_land]]-IF(Grandview_Inventory[[#This Row],[no_utilities]]=1,12000,0))/IF(Grandview_Inventory[[#This Row],[unbuildable]]=1,2,1)</f>
        <v>50650.651579114572</v>
      </c>
      <c r="CA49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93">
        <f>ROUND(Grandview_Inventory[[#This Row],[det_value]]*Lookups!$M$28,-2)</f>
        <v>0</v>
      </c>
      <c r="CC493">
        <f>IF(ROUND(Grandview_Inventory[[#This Row],[adj_res]]*Lookups!$M$28,-2)&lt;Grandview_Inventory[[#This Row],[min_res]],Grandview_Inventory[[#This Row],[min_res]],ROUND(Grandview_Inventory[[#This Row],[adj_res]]*Lookups!$M$28,-2))</f>
        <v>245500</v>
      </c>
      <c r="CD493">
        <f>Grandview_Inventory[[#This Row],[final_det]]+Grandview_Inventory[[#This Row],[final_res]]</f>
        <v>245500</v>
      </c>
      <c r="CE493">
        <f>Grandview_Inventory[[#This Row],[final_land]]+Grandview_Inventory[[#This Row],[final_imp]]+Grandview_Inventory[[#This Row],[crop_value]]</f>
        <v>293600</v>
      </c>
      <c r="CG493" t="str">
        <f t="shared" si="7"/>
        <v>update valuation set market_land =48100, market_bldg=245500, market_total =293600, market_mdno =401, market_date ='9/10/2023' where link_id = (select link_id from parcel where parcel_year = '2024' and parcel_id = '23092214468');</v>
      </c>
    </row>
    <row r="494" spans="1:85" x14ac:dyDescent="0.25">
      <c r="A494">
        <v>23092214470</v>
      </c>
      <c r="B494">
        <v>0.14000000000000001</v>
      </c>
      <c r="C494">
        <v>6250</v>
      </c>
      <c r="D494" t="s">
        <v>129</v>
      </c>
      <c r="E494" t="s">
        <v>53</v>
      </c>
      <c r="F494" t="s">
        <v>53</v>
      </c>
      <c r="G494">
        <v>4</v>
      </c>
      <c r="H494" t="s">
        <v>54</v>
      </c>
      <c r="I494">
        <v>142000</v>
      </c>
      <c r="J494">
        <v>42400</v>
      </c>
      <c r="K494">
        <v>0.14000000000000001</v>
      </c>
      <c r="L494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494">
        <v>0</v>
      </c>
      <c r="N494">
        <v>0</v>
      </c>
      <c r="O494">
        <v>0</v>
      </c>
      <c r="P494">
        <v>13398.7528</v>
      </c>
      <c r="Q494">
        <v>63903</v>
      </c>
      <c r="R494">
        <f>(Grandview_Inventory[[#This Row],[ln_acres]]*Grandview_Inventory[[#This Row],[coeff]])+Grandview_Inventory[[#This Row],[const]]</f>
        <v>37559.539860558507</v>
      </c>
      <c r="S494" t="s">
        <v>68</v>
      </c>
      <c r="T494">
        <v>1</v>
      </c>
      <c r="U494" t="s">
        <v>65</v>
      </c>
      <c r="V494" t="s">
        <v>69</v>
      </c>
      <c r="W494">
        <v>0</v>
      </c>
      <c r="X494">
        <v>0</v>
      </c>
      <c r="Y494">
        <v>49</v>
      </c>
      <c r="Z494">
        <v>69</v>
      </c>
      <c r="AA494">
        <v>70</v>
      </c>
      <c r="AB494">
        <v>1500</v>
      </c>
      <c r="AC494">
        <v>1372</v>
      </c>
      <c r="AD494">
        <v>1372</v>
      </c>
      <c r="AE494">
        <v>0</v>
      </c>
      <c r="AF494">
        <v>0</v>
      </c>
      <c r="AG494">
        <v>0</v>
      </c>
      <c r="AH494">
        <v>527</v>
      </c>
      <c r="AI494">
        <v>0</v>
      </c>
      <c r="AJ494">
        <v>0</v>
      </c>
      <c r="AK494">
        <v>0</v>
      </c>
      <c r="AL494">
        <v>0</v>
      </c>
      <c r="AM494">
        <v>252</v>
      </c>
      <c r="AN494">
        <v>0</v>
      </c>
      <c r="AO494">
        <v>252</v>
      </c>
      <c r="AP494">
        <v>8</v>
      </c>
      <c r="AQ494">
        <v>0</v>
      </c>
      <c r="AR494">
        <v>0</v>
      </c>
      <c r="AS494" t="s">
        <v>58</v>
      </c>
      <c r="AT494">
        <v>1</v>
      </c>
      <c r="AU494" t="s">
        <v>63</v>
      </c>
      <c r="AV494" t="s">
        <v>64</v>
      </c>
      <c r="AW494">
        <v>1</v>
      </c>
      <c r="AX494">
        <v>3</v>
      </c>
      <c r="AY494">
        <v>0</v>
      </c>
      <c r="AZ494">
        <v>0</v>
      </c>
      <c r="BA494">
        <v>100</v>
      </c>
      <c r="BB494">
        <v>100</v>
      </c>
      <c r="BC494">
        <v>100</v>
      </c>
      <c r="BD494">
        <v>100</v>
      </c>
      <c r="BE494">
        <v>1</v>
      </c>
      <c r="BF494">
        <v>15000</v>
      </c>
      <c r="BG494">
        <v>1000</v>
      </c>
      <c r="BH494" s="6">
        <f>Grandview_Inventory[[#This Row],[land_extract]]*Lookups!$B$3</f>
        <v>43617.792229308972</v>
      </c>
      <c r="BI494" s="6">
        <f>IF(Grandview_Inventory[[#This Row],[bldg_style]]="",0,Lookups!$B$2)</f>
        <v>155833.95000000001</v>
      </c>
      <c r="BJ494" s="6">
        <f>_xlfn.IFNA(VLOOKUP(Grandview_Inventory[[#This Row],[quality]],Lookups!$H$2:$J$14,3,FALSE),0)</f>
        <v>2251</v>
      </c>
      <c r="BK494" s="6">
        <f>_xlfn.IFNA(VLOOKUP(Grandview_Inventory[[#This Row],[condition]],Lookups!$H$17:$J$24,3,FALSE),0)</f>
        <v>-4503</v>
      </c>
      <c r="BL494" s="6">
        <f>Grandview_Inventory[[#This Row],[Eff_Age]]*Lookups!$B$14</f>
        <v>-11719.163399999999</v>
      </c>
      <c r="BM494" s="6">
        <f>Grandview_Inventory[[#This Row],[living_area]]*Lookups!$B$15</f>
        <v>85586.530316000004</v>
      </c>
      <c r="BN494" s="6">
        <f>Grandview_Inventory[[#This Row],[Fin BSMT]]*Lookups!$B$16</f>
        <v>0</v>
      </c>
      <c r="BO494" s="6">
        <f>(Grandview_Inventory[[#This Row],[att_gar]]+Grandview_Inventory[[#This Row],[bltin_gar]])*Lookups!$B$17</f>
        <v>0</v>
      </c>
      <c r="BP494" s="6">
        <f>Grandview_Inventory[[#This Row],[Plumbing Fixtures]]*Lookups!$B$18</f>
        <v>16083.5344</v>
      </c>
      <c r="BQ494" s="6">
        <f>Grandview_Inventory[[#This Row],[detatched_value]]*Lookups!$B$19</f>
        <v>0</v>
      </c>
      <c r="BR494" s="6">
        <f>SUM(Grandview_Inventory[[#This Row],[Intercept]:[det_value]])*Grandview_Inventory[[#This Row],[res_pct]]</f>
        <v>243532.85131600004</v>
      </c>
      <c r="BS494" s="6">
        <f>Grandview_Inventory[[#This Row],[land_value]]</f>
        <v>43617.792229308972</v>
      </c>
      <c r="BT494" s="4">
        <f>_xlfn.IFNA(VLOOKUP(Grandview_Inventory[[#This Row],[quality]],Lookups!$A$26:$C$33,3,FALSE),1)</f>
        <v>0.98763855981004833</v>
      </c>
      <c r="BU494" s="4">
        <f>_xlfn.IFNA(VLOOKUP(Grandview_Inventory[[#This Row],[condition]],Lookups!$A$37:$C$44,3,FALSE),1)</f>
        <v>0.96469275950863709</v>
      </c>
      <c r="BV494" s="4">
        <f>IF(Grandview_Inventory[[#This Row],[bldg_style]]="",1,_xlfn.IFNA(VLOOKUP(Grandview_Inventory[[#This Row],[decade]],Lookups!$F$29:$H$43,3,FALSE),1))</f>
        <v>0.99472141305414818</v>
      </c>
      <c r="BW494" s="4">
        <f>_xlfn.IFNA(VLOOKUP(Grandview_Inventory[[#This Row],[living_area_range]],Lookups!$F$47:$H$56,3,FALSE),1)</f>
        <v>0.96135087979789358</v>
      </c>
      <c r="BX494" s="4">
        <f>AVERAGE(Grandview_Inventory[[#This Row],[qual_adj]:[size_adj]])</f>
        <v>0.97710090304268182</v>
      </c>
      <c r="BY494" s="6">
        <f>IF(Grandview_Inventory[[#This Row],[pre_res]]&lt;0,0,Grandview_Inventory[[#This Row],[pre_res]]*Grandview_Inventory[[#This Row],[overall_adj]])</f>
        <v>237956.1689414228</v>
      </c>
      <c r="BZ494" s="6">
        <f>(Grandview_Inventory[[#This Row],[sum_land]]-IF(Grandview_Inventory[[#This Row],[no_utilities]]=1,12000,0))/IF(Grandview_Inventory[[#This Row],[unbuildable]]=1,2,1)</f>
        <v>43617.792229308972</v>
      </c>
      <c r="CA494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494">
        <f>ROUND(Grandview_Inventory[[#This Row],[det_value]]*Lookups!$M$28,-2)</f>
        <v>0</v>
      </c>
      <c r="CC494">
        <f>IF(ROUND(Grandview_Inventory[[#This Row],[adj_res]]*Lookups!$M$28,-2)&lt;Grandview_Inventory[[#This Row],[min_res]],Grandview_Inventory[[#This Row],[min_res]],ROUND(Grandview_Inventory[[#This Row],[adj_res]]*Lookups!$M$28,-2))</f>
        <v>226100</v>
      </c>
      <c r="CD494">
        <f>Grandview_Inventory[[#This Row],[final_det]]+Grandview_Inventory[[#This Row],[final_res]]</f>
        <v>226100</v>
      </c>
      <c r="CE494">
        <f>Grandview_Inventory[[#This Row],[final_land]]+Grandview_Inventory[[#This Row],[final_imp]]+Grandview_Inventory[[#This Row],[crop_value]]</f>
        <v>267500</v>
      </c>
      <c r="CG494" t="str">
        <f t="shared" si="7"/>
        <v>update valuation set market_land =41400, market_bldg=226100, market_total =267500, market_mdno =401, market_date ='9/10/2023' where link_id = (select link_id from parcel where parcel_year = '2024' and parcel_id = '23092214470');</v>
      </c>
    </row>
    <row r="495" spans="1:85" x14ac:dyDescent="0.25">
      <c r="A495">
        <v>23092214471</v>
      </c>
      <c r="B495">
        <v>0.22</v>
      </c>
      <c r="C495">
        <v>9375</v>
      </c>
      <c r="D495" t="s">
        <v>129</v>
      </c>
      <c r="E495" t="s">
        <v>53</v>
      </c>
      <c r="F495" t="s">
        <v>53</v>
      </c>
      <c r="G495">
        <v>4</v>
      </c>
      <c r="H495" t="s">
        <v>54</v>
      </c>
      <c r="I495">
        <v>165800</v>
      </c>
      <c r="J495">
        <v>43700</v>
      </c>
      <c r="K495">
        <v>0.22</v>
      </c>
      <c r="L49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95">
        <v>0</v>
      </c>
      <c r="N495">
        <v>0</v>
      </c>
      <c r="O495">
        <v>0</v>
      </c>
      <c r="P495">
        <v>13398.7528</v>
      </c>
      <c r="Q495">
        <v>63903</v>
      </c>
      <c r="R495">
        <f>(Grandview_Inventory[[#This Row],[ln_acres]]*Grandview_Inventory[[#This Row],[coeff]])+Grandview_Inventory[[#This Row],[const]]</f>
        <v>43615.576802869145</v>
      </c>
      <c r="S495" t="s">
        <v>68</v>
      </c>
      <c r="T495">
        <v>1</v>
      </c>
      <c r="U495" t="s">
        <v>62</v>
      </c>
      <c r="V495" t="s">
        <v>69</v>
      </c>
      <c r="W495">
        <v>0</v>
      </c>
      <c r="X495">
        <v>0</v>
      </c>
      <c r="Y495">
        <v>49</v>
      </c>
      <c r="Z495">
        <v>69</v>
      </c>
      <c r="AA495">
        <v>70</v>
      </c>
      <c r="AB495">
        <v>1500</v>
      </c>
      <c r="AC495">
        <v>1244</v>
      </c>
      <c r="AD495">
        <v>1244</v>
      </c>
      <c r="AE495">
        <v>0</v>
      </c>
      <c r="AF495">
        <v>0</v>
      </c>
      <c r="AG495">
        <v>0</v>
      </c>
      <c r="AH495">
        <v>440</v>
      </c>
      <c r="AI495">
        <v>0</v>
      </c>
      <c r="AJ495">
        <v>0</v>
      </c>
      <c r="AK495">
        <v>256</v>
      </c>
      <c r="AL495">
        <v>0</v>
      </c>
      <c r="AM495">
        <v>422</v>
      </c>
      <c r="AN495">
        <v>0</v>
      </c>
      <c r="AO495">
        <v>222</v>
      </c>
      <c r="AP495">
        <v>9</v>
      </c>
      <c r="AQ495">
        <v>0</v>
      </c>
      <c r="AR495">
        <v>1</v>
      </c>
      <c r="AS495" t="s">
        <v>58</v>
      </c>
      <c r="AT495">
        <v>1</v>
      </c>
      <c r="AU495" t="s">
        <v>63</v>
      </c>
      <c r="AV495" t="s">
        <v>60</v>
      </c>
      <c r="AW495">
        <v>1</v>
      </c>
      <c r="AX495">
        <v>4</v>
      </c>
      <c r="AY495">
        <v>0</v>
      </c>
      <c r="AZ495">
        <v>11100</v>
      </c>
      <c r="BA495">
        <v>100</v>
      </c>
      <c r="BB495">
        <v>100</v>
      </c>
      <c r="BC495">
        <v>100</v>
      </c>
      <c r="BD495">
        <v>100</v>
      </c>
      <c r="BE495">
        <v>1</v>
      </c>
      <c r="BF495">
        <v>15000</v>
      </c>
      <c r="BG495">
        <v>1000</v>
      </c>
      <c r="BH495" s="6">
        <f>Grandview_Inventory[[#This Row],[land_extract]]*Lookups!$B$3</f>
        <v>50650.651579114572</v>
      </c>
      <c r="BI495" s="6">
        <f>IF(Grandview_Inventory[[#This Row],[bldg_style]]="",0,Lookups!$B$2)</f>
        <v>155833.95000000001</v>
      </c>
      <c r="BJ495" s="6">
        <f>_xlfn.IFNA(VLOOKUP(Grandview_Inventory[[#This Row],[quality]],Lookups!$H$2:$J$14,3,FALSE),0)</f>
        <v>9808</v>
      </c>
      <c r="BK495" s="6">
        <f>_xlfn.IFNA(VLOOKUP(Grandview_Inventory[[#This Row],[condition]],Lookups!$H$17:$J$24,3,FALSE),0)</f>
        <v>-4503</v>
      </c>
      <c r="BL495" s="6">
        <f>Grandview_Inventory[[#This Row],[Eff_Age]]*Lookups!$B$14</f>
        <v>-11719.163399999999</v>
      </c>
      <c r="BM495" s="6">
        <f>Grandview_Inventory[[#This Row],[living_area]]*Lookups!$B$15</f>
        <v>77601.781132000004</v>
      </c>
      <c r="BN495" s="6">
        <f>Grandview_Inventory[[#This Row],[Fin BSMT]]*Lookups!$B$16</f>
        <v>0</v>
      </c>
      <c r="BO495" s="6">
        <f>(Grandview_Inventory[[#This Row],[att_gar]]+Grandview_Inventory[[#This Row],[bltin_gar]])*Lookups!$B$17</f>
        <v>0</v>
      </c>
      <c r="BP495" s="6">
        <f>Grandview_Inventory[[#This Row],[Plumbing Fixtures]]*Lookups!$B$18</f>
        <v>18093.976200000001</v>
      </c>
      <c r="BQ495" s="6">
        <f>Grandview_Inventory[[#This Row],[detatched_value]]*Lookups!$B$19</f>
        <v>9399.5366099999992</v>
      </c>
      <c r="BR495" s="6">
        <f>SUM(Grandview_Inventory[[#This Row],[Intercept]:[det_value]])*Grandview_Inventory[[#This Row],[res_pct]]</f>
        <v>254515.08054200004</v>
      </c>
      <c r="BS495" s="6">
        <f>Grandview_Inventory[[#This Row],[land_value]]</f>
        <v>50650.651579114572</v>
      </c>
      <c r="BT495" s="4">
        <f>_xlfn.IFNA(VLOOKUP(Grandview_Inventory[[#This Row],[quality]],Lookups!$A$26:$C$33,3,FALSE),1)</f>
        <v>0.94295468617355149</v>
      </c>
      <c r="BU495" s="4">
        <f>_xlfn.IFNA(VLOOKUP(Grandview_Inventory[[#This Row],[condition]],Lookups!$A$37:$C$44,3,FALSE),1)</f>
        <v>0.96469275950863709</v>
      </c>
      <c r="BV495" s="4">
        <f>IF(Grandview_Inventory[[#This Row],[bldg_style]]="",1,_xlfn.IFNA(VLOOKUP(Grandview_Inventory[[#This Row],[decade]],Lookups!$F$29:$H$43,3,FALSE),1))</f>
        <v>0.99472141305414818</v>
      </c>
      <c r="BW495" s="4">
        <f>_xlfn.IFNA(VLOOKUP(Grandview_Inventory[[#This Row],[living_area_range]],Lookups!$F$47:$H$56,3,FALSE),1)</f>
        <v>0.96135087979789358</v>
      </c>
      <c r="BX495" s="4">
        <f>AVERAGE(Grandview_Inventory[[#This Row],[qual_adj]:[size_adj]])</f>
        <v>0.96592993463355759</v>
      </c>
      <c r="BY495" s="6">
        <f>IF(Grandview_Inventory[[#This Row],[pre_res]]&lt;0,0,Grandview_Inventory[[#This Row],[pre_res]]*Grandview_Inventory[[#This Row],[overall_adj]])</f>
        <v>245843.73511118875</v>
      </c>
      <c r="BZ495" s="6">
        <f>(Grandview_Inventory[[#This Row],[sum_land]]-IF(Grandview_Inventory[[#This Row],[no_utilities]]=1,12000,0))/IF(Grandview_Inventory[[#This Row],[unbuildable]]=1,2,1)</f>
        <v>50650.651579114572</v>
      </c>
      <c r="CA49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95">
        <f>ROUND(Grandview_Inventory[[#This Row],[det_value]]*Lookups!$M$28,-2)</f>
        <v>8900</v>
      </c>
      <c r="CC495">
        <f>IF(ROUND(Grandview_Inventory[[#This Row],[adj_res]]*Lookups!$M$28,-2)&lt;Grandview_Inventory[[#This Row],[min_res]],Grandview_Inventory[[#This Row],[min_res]],ROUND(Grandview_Inventory[[#This Row],[adj_res]]*Lookups!$M$28,-2))</f>
        <v>233600</v>
      </c>
      <c r="CD495">
        <f>Grandview_Inventory[[#This Row],[final_det]]+Grandview_Inventory[[#This Row],[final_res]]</f>
        <v>242500</v>
      </c>
      <c r="CE495">
        <f>Grandview_Inventory[[#This Row],[final_land]]+Grandview_Inventory[[#This Row],[final_imp]]+Grandview_Inventory[[#This Row],[crop_value]]</f>
        <v>290600</v>
      </c>
      <c r="CG495" t="str">
        <f t="shared" si="7"/>
        <v>update valuation set market_land =48100, market_bldg=242500, market_total =290600, market_mdno =401, market_date ='9/10/2023' where link_id = (select link_id from parcel where parcel_year = '2024' and parcel_id = '23092214471');</v>
      </c>
    </row>
    <row r="496" spans="1:85" x14ac:dyDescent="0.25">
      <c r="A496">
        <v>23092214472</v>
      </c>
      <c r="B496">
        <v>0.22</v>
      </c>
      <c r="C496">
        <v>9375</v>
      </c>
      <c r="D496" t="s">
        <v>129</v>
      </c>
      <c r="E496" t="s">
        <v>53</v>
      </c>
      <c r="F496" t="s">
        <v>53</v>
      </c>
      <c r="G496">
        <v>4</v>
      </c>
      <c r="H496" t="s">
        <v>54</v>
      </c>
      <c r="I496">
        <v>144400</v>
      </c>
      <c r="J496">
        <v>43700</v>
      </c>
      <c r="K496">
        <v>0.22</v>
      </c>
      <c r="L49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496">
        <v>0</v>
      </c>
      <c r="N496">
        <v>0</v>
      </c>
      <c r="O496">
        <v>0</v>
      </c>
      <c r="P496">
        <v>13398.7528</v>
      </c>
      <c r="Q496">
        <v>63903</v>
      </c>
      <c r="R496">
        <f>(Grandview_Inventory[[#This Row],[ln_acres]]*Grandview_Inventory[[#This Row],[coeff]])+Grandview_Inventory[[#This Row],[const]]</f>
        <v>43615.576802869145</v>
      </c>
      <c r="S496" t="s">
        <v>55</v>
      </c>
      <c r="T496">
        <v>2</v>
      </c>
      <c r="U496" t="s">
        <v>70</v>
      </c>
      <c r="V496" t="s">
        <v>69</v>
      </c>
      <c r="W496">
        <v>0</v>
      </c>
      <c r="X496">
        <v>0</v>
      </c>
      <c r="Y496">
        <v>52</v>
      </c>
      <c r="Z496">
        <v>88</v>
      </c>
      <c r="AA496">
        <v>90</v>
      </c>
      <c r="AB496">
        <v>1500</v>
      </c>
      <c r="AC496">
        <v>1084</v>
      </c>
      <c r="AD496">
        <v>720</v>
      </c>
      <c r="AE496">
        <v>364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5</v>
      </c>
      <c r="AQ496">
        <v>0</v>
      </c>
      <c r="AR496">
        <v>0</v>
      </c>
      <c r="AS496" t="s">
        <v>58</v>
      </c>
      <c r="AT496">
        <v>1</v>
      </c>
      <c r="AU496" t="s">
        <v>75</v>
      </c>
      <c r="AV496" t="s">
        <v>60</v>
      </c>
      <c r="AW496">
        <v>0</v>
      </c>
      <c r="AX496">
        <v>3</v>
      </c>
      <c r="AY496">
        <v>0</v>
      </c>
      <c r="AZ496">
        <v>2900</v>
      </c>
      <c r="BA496">
        <v>100</v>
      </c>
      <c r="BB496">
        <v>100</v>
      </c>
      <c r="BC496">
        <v>100</v>
      </c>
      <c r="BD496">
        <v>100</v>
      </c>
      <c r="BE496">
        <v>1</v>
      </c>
      <c r="BF496">
        <v>15000</v>
      </c>
      <c r="BG496">
        <v>1000</v>
      </c>
      <c r="BH496" s="6">
        <f>Grandview_Inventory[[#This Row],[land_extract]]*Lookups!$B$3</f>
        <v>50650.651579114572</v>
      </c>
      <c r="BI496" s="6">
        <f>IF(Grandview_Inventory[[#This Row],[bldg_style]]="",0,Lookups!$B$2)</f>
        <v>155833.95000000001</v>
      </c>
      <c r="BJ496" s="6">
        <f>_xlfn.IFNA(VLOOKUP(Grandview_Inventory[[#This Row],[quality]],Lookups!$H$2:$J$14,3,FALSE),0)</f>
        <v>10733</v>
      </c>
      <c r="BK496" s="6">
        <f>_xlfn.IFNA(VLOOKUP(Grandview_Inventory[[#This Row],[condition]],Lookups!$H$17:$J$24,3,FALSE),0)</f>
        <v>-4503</v>
      </c>
      <c r="BL496" s="6">
        <f>Grandview_Inventory[[#This Row],[Eff_Age]]*Lookups!$B$14</f>
        <v>-12436.663199999999</v>
      </c>
      <c r="BM496" s="6">
        <f>Grandview_Inventory[[#This Row],[living_area]]*Lookups!$B$15</f>
        <v>67620.844652</v>
      </c>
      <c r="BN496" s="6">
        <f>Grandview_Inventory[[#This Row],[Fin BSMT]]*Lookups!$B$16</f>
        <v>0</v>
      </c>
      <c r="BO496" s="6">
        <f>(Grandview_Inventory[[#This Row],[att_gar]]+Grandview_Inventory[[#This Row],[bltin_gar]])*Lookups!$B$17</f>
        <v>0</v>
      </c>
      <c r="BP496" s="6">
        <f>Grandview_Inventory[[#This Row],[Plumbing Fixtures]]*Lookups!$B$18</f>
        <v>10052.209000000001</v>
      </c>
      <c r="BQ496" s="6">
        <f>Grandview_Inventory[[#This Row],[detatched_value]]*Lookups!$B$19</f>
        <v>2455.73479</v>
      </c>
      <c r="BR496" s="6">
        <f>SUM(Grandview_Inventory[[#This Row],[Intercept]:[det_value]])*Grandview_Inventory[[#This Row],[res_pct]]</f>
        <v>229756.07524199999</v>
      </c>
      <c r="BS496" s="6">
        <f>Grandview_Inventory[[#This Row],[land_value]]</f>
        <v>50650.651579114572</v>
      </c>
      <c r="BT496" s="4">
        <f>_xlfn.IFNA(VLOOKUP(Grandview_Inventory[[#This Row],[quality]],Lookups!$A$26:$C$33,3,FALSE),1)</f>
        <v>0.98079741117310582</v>
      </c>
      <c r="BU496" s="4">
        <f>_xlfn.IFNA(VLOOKUP(Grandview_Inventory[[#This Row],[condition]],Lookups!$A$37:$C$44,3,FALSE),1)</f>
        <v>0.96469275950863709</v>
      </c>
      <c r="BV496" s="4">
        <f>IF(Grandview_Inventory[[#This Row],[bldg_style]]="",1,_xlfn.IFNA(VLOOKUP(Grandview_Inventory[[#This Row],[decade]],Lookups!$F$29:$H$43,3,FALSE),1))</f>
        <v>0.94161750052457416</v>
      </c>
      <c r="BW496" s="4">
        <f>_xlfn.IFNA(VLOOKUP(Grandview_Inventory[[#This Row],[living_area_range]],Lookups!$F$47:$H$56,3,FALSE),1)</f>
        <v>0.96135087979789358</v>
      </c>
      <c r="BX496" s="4">
        <f>AVERAGE(Grandview_Inventory[[#This Row],[qual_adj]:[size_adj]])</f>
        <v>0.96211463775105266</v>
      </c>
      <c r="BY496" s="6">
        <f>IF(Grandview_Inventory[[#This Row],[pre_res]]&lt;0,0,Grandview_Inventory[[#This Row],[pre_res]]*Grandview_Inventory[[#This Row],[overall_adj]])</f>
        <v>221051.68310256043</v>
      </c>
      <c r="BZ496" s="6">
        <f>(Grandview_Inventory[[#This Row],[sum_land]]-IF(Grandview_Inventory[[#This Row],[no_utilities]]=1,12000,0))/IF(Grandview_Inventory[[#This Row],[unbuildable]]=1,2,1)</f>
        <v>50650.651579114572</v>
      </c>
      <c r="CA49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496">
        <f>ROUND(Grandview_Inventory[[#This Row],[det_value]]*Lookups!$M$28,-2)</f>
        <v>2300</v>
      </c>
      <c r="CC496">
        <f>IF(ROUND(Grandview_Inventory[[#This Row],[adj_res]]*Lookups!$M$28,-2)&lt;Grandview_Inventory[[#This Row],[min_res]],Grandview_Inventory[[#This Row],[min_res]],ROUND(Grandview_Inventory[[#This Row],[adj_res]]*Lookups!$M$28,-2))</f>
        <v>210000</v>
      </c>
      <c r="CD496">
        <f>Grandview_Inventory[[#This Row],[final_det]]+Grandview_Inventory[[#This Row],[final_res]]</f>
        <v>212300</v>
      </c>
      <c r="CE496">
        <f>Grandview_Inventory[[#This Row],[final_land]]+Grandview_Inventory[[#This Row],[final_imp]]+Grandview_Inventory[[#This Row],[crop_value]]</f>
        <v>260400</v>
      </c>
      <c r="CG496" t="str">
        <f t="shared" si="7"/>
        <v>update valuation set market_land =48100, market_bldg=212300, market_total =260400, market_mdno =401, market_date ='9/10/2023' where link_id = (select link_id from parcel where parcel_year = '2024' and parcel_id = '23092214472');</v>
      </c>
    </row>
    <row r="497" spans="1:85" x14ac:dyDescent="0.25">
      <c r="A497">
        <v>23092214475</v>
      </c>
      <c r="B497">
        <v>0.15</v>
      </c>
      <c r="C497">
        <v>6341</v>
      </c>
      <c r="D497" t="s">
        <v>129</v>
      </c>
      <c r="E497" t="s">
        <v>53</v>
      </c>
      <c r="F497" t="s">
        <v>53</v>
      </c>
      <c r="G497">
        <v>4</v>
      </c>
      <c r="H497" t="s">
        <v>54</v>
      </c>
      <c r="I497">
        <v>187800</v>
      </c>
      <c r="J497">
        <v>42400</v>
      </c>
      <c r="K497">
        <v>0.15</v>
      </c>
      <c r="L49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497">
        <v>0</v>
      </c>
      <c r="N497">
        <v>0</v>
      </c>
      <c r="O497">
        <v>0</v>
      </c>
      <c r="P497">
        <v>13398.7528</v>
      </c>
      <c r="Q497">
        <v>63903</v>
      </c>
      <c r="R497">
        <f>(Grandview_Inventory[[#This Row],[ln_acres]]*Grandview_Inventory[[#This Row],[coeff]])+Grandview_Inventory[[#This Row],[const]]</f>
        <v>38483.958290574345</v>
      </c>
      <c r="S497" t="s">
        <v>61</v>
      </c>
      <c r="T497">
        <v>1</v>
      </c>
      <c r="U497" t="s">
        <v>65</v>
      </c>
      <c r="V497" t="s">
        <v>69</v>
      </c>
      <c r="W497">
        <v>0</v>
      </c>
      <c r="X497">
        <v>0</v>
      </c>
      <c r="Y497">
        <v>46</v>
      </c>
      <c r="Z497">
        <v>55</v>
      </c>
      <c r="AA497">
        <v>60</v>
      </c>
      <c r="AB497">
        <v>1500</v>
      </c>
      <c r="AC497">
        <v>1443</v>
      </c>
      <c r="AD497">
        <v>1443</v>
      </c>
      <c r="AE497">
        <v>0</v>
      </c>
      <c r="AF497">
        <v>0</v>
      </c>
      <c r="AG497">
        <v>0</v>
      </c>
      <c r="AH497">
        <v>0</v>
      </c>
      <c r="AI497">
        <v>441</v>
      </c>
      <c r="AJ497">
        <v>0</v>
      </c>
      <c r="AK497">
        <v>0</v>
      </c>
      <c r="AL497">
        <v>0</v>
      </c>
      <c r="AM497">
        <v>88</v>
      </c>
      <c r="AN497">
        <v>0</v>
      </c>
      <c r="AO497">
        <v>88</v>
      </c>
      <c r="AP497">
        <v>8</v>
      </c>
      <c r="AQ497">
        <v>0</v>
      </c>
      <c r="AR497">
        <v>0</v>
      </c>
      <c r="AS497" t="s">
        <v>58</v>
      </c>
      <c r="AT497">
        <v>1</v>
      </c>
      <c r="AU497" t="s">
        <v>63</v>
      </c>
      <c r="AV497" t="s">
        <v>60</v>
      </c>
      <c r="AW497">
        <v>1</v>
      </c>
      <c r="AX497">
        <v>2</v>
      </c>
      <c r="AY497">
        <v>0</v>
      </c>
      <c r="AZ497">
        <v>0</v>
      </c>
      <c r="BA497">
        <v>100</v>
      </c>
      <c r="BB497">
        <v>100</v>
      </c>
      <c r="BC497">
        <v>100</v>
      </c>
      <c r="BD497">
        <v>100</v>
      </c>
      <c r="BE497">
        <v>1</v>
      </c>
      <c r="BF497">
        <v>15000</v>
      </c>
      <c r="BG497">
        <v>1000</v>
      </c>
      <c r="BH497" s="6">
        <f>Grandview_Inventory[[#This Row],[land_extract]]*Lookups!$B$3</f>
        <v>44691.316856156598</v>
      </c>
      <c r="BI497" s="6">
        <f>IF(Grandview_Inventory[[#This Row],[bldg_style]]="",0,Lookups!$B$2)</f>
        <v>155833.95000000001</v>
      </c>
      <c r="BJ497" s="6">
        <f>_xlfn.IFNA(VLOOKUP(Grandview_Inventory[[#This Row],[quality]],Lookups!$H$2:$J$14,3,FALSE),0)</f>
        <v>2251</v>
      </c>
      <c r="BK497" s="6">
        <f>_xlfn.IFNA(VLOOKUP(Grandview_Inventory[[#This Row],[condition]],Lookups!$H$17:$J$24,3,FALSE),0)</f>
        <v>-4503</v>
      </c>
      <c r="BL497" s="6">
        <f>Grandview_Inventory[[#This Row],[Eff_Age]]*Lookups!$B$14</f>
        <v>-11001.6636</v>
      </c>
      <c r="BM497" s="6">
        <f>Grandview_Inventory[[#This Row],[living_area]]*Lookups!$B$15</f>
        <v>90015.570879000006</v>
      </c>
      <c r="BN497" s="6">
        <f>Grandview_Inventory[[#This Row],[Fin BSMT]]*Lookups!$B$16</f>
        <v>0</v>
      </c>
      <c r="BO497" s="6">
        <f>(Grandview_Inventory[[#This Row],[att_gar]]+Grandview_Inventory[[#This Row],[bltin_gar]])*Lookups!$B$17</f>
        <v>38596.512716999998</v>
      </c>
      <c r="BP497" s="6">
        <f>Grandview_Inventory[[#This Row],[Plumbing Fixtures]]*Lookups!$B$18</f>
        <v>16083.5344</v>
      </c>
      <c r="BQ497" s="6">
        <f>Grandview_Inventory[[#This Row],[detatched_value]]*Lookups!$B$19</f>
        <v>0</v>
      </c>
      <c r="BR497" s="6">
        <f>SUM(Grandview_Inventory[[#This Row],[Intercept]:[det_value]])*Grandview_Inventory[[#This Row],[res_pct]]</f>
        <v>287275.90439600003</v>
      </c>
      <c r="BS497" s="6">
        <f>Grandview_Inventory[[#This Row],[land_value]]</f>
        <v>44691.316856156598</v>
      </c>
      <c r="BT497" s="4">
        <f>_xlfn.IFNA(VLOOKUP(Grandview_Inventory[[#This Row],[quality]],Lookups!$A$26:$C$33,3,FALSE),1)</f>
        <v>0.98763855981004833</v>
      </c>
      <c r="BU497" s="4">
        <f>_xlfn.IFNA(VLOOKUP(Grandview_Inventory[[#This Row],[condition]],Lookups!$A$37:$C$44,3,FALSE),1)</f>
        <v>0.96469275950863709</v>
      </c>
      <c r="BV497" s="4">
        <f>IF(Grandview_Inventory[[#This Row],[bldg_style]]="",1,_xlfn.IFNA(VLOOKUP(Grandview_Inventory[[#This Row],[decade]],Lookups!$F$29:$H$43,3,FALSE),1))</f>
        <v>0.95268620544463312</v>
      </c>
      <c r="BW497" s="4">
        <f>_xlfn.IFNA(VLOOKUP(Grandview_Inventory[[#This Row],[living_area_range]],Lookups!$F$47:$H$56,3,FALSE),1)</f>
        <v>0.96135087979789358</v>
      </c>
      <c r="BX497" s="4">
        <f>AVERAGE(Grandview_Inventory[[#This Row],[qual_adj]:[size_adj]])</f>
        <v>0.96659210114030303</v>
      </c>
      <c r="BY497" s="6">
        <f>IF(Grandview_Inventory[[#This Row],[pre_res]]&lt;0,0,Grandview_Inventory[[#This Row],[pre_res]]*Grandview_Inventory[[#This Row],[overall_adj]])</f>
        <v>277678.62003711046</v>
      </c>
      <c r="BZ497" s="6">
        <f>(Grandview_Inventory[[#This Row],[sum_land]]-IF(Grandview_Inventory[[#This Row],[no_utilities]]=1,12000,0))/IF(Grandview_Inventory[[#This Row],[unbuildable]]=1,2,1)</f>
        <v>44691.316856156598</v>
      </c>
      <c r="CA49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497">
        <f>ROUND(Grandview_Inventory[[#This Row],[det_value]]*Lookups!$M$28,-2)</f>
        <v>0</v>
      </c>
      <c r="CC497">
        <f>IF(ROUND(Grandview_Inventory[[#This Row],[adj_res]]*Lookups!$M$28,-2)&lt;Grandview_Inventory[[#This Row],[min_res]],Grandview_Inventory[[#This Row],[min_res]],ROUND(Grandview_Inventory[[#This Row],[adj_res]]*Lookups!$M$28,-2))</f>
        <v>263800</v>
      </c>
      <c r="CD497">
        <f>Grandview_Inventory[[#This Row],[final_det]]+Grandview_Inventory[[#This Row],[final_res]]</f>
        <v>263800</v>
      </c>
      <c r="CE497">
        <f>Grandview_Inventory[[#This Row],[final_land]]+Grandview_Inventory[[#This Row],[final_imp]]+Grandview_Inventory[[#This Row],[crop_value]]</f>
        <v>306300</v>
      </c>
      <c r="CG497" t="str">
        <f t="shared" si="7"/>
        <v>update valuation set market_land =42500, market_bldg=263800, market_total =306300, market_mdno =401, market_date ='9/10/2023' where link_id = (select link_id from parcel where parcel_year = '2024' and parcel_id = '23092214475');</v>
      </c>
    </row>
    <row r="498" spans="1:85" x14ac:dyDescent="0.25">
      <c r="A498">
        <v>23092214476</v>
      </c>
      <c r="B498">
        <v>0.14000000000000001</v>
      </c>
      <c r="C498" t="s">
        <v>129</v>
      </c>
      <c r="D498" t="s">
        <v>129</v>
      </c>
      <c r="E498" t="s">
        <v>53</v>
      </c>
      <c r="F498" t="s">
        <v>53</v>
      </c>
      <c r="G498">
        <v>4</v>
      </c>
      <c r="H498" t="s">
        <v>54</v>
      </c>
      <c r="I498">
        <v>219900</v>
      </c>
      <c r="J498">
        <v>42400</v>
      </c>
      <c r="K498">
        <v>0.14000000000000001</v>
      </c>
      <c r="L498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498">
        <v>0</v>
      </c>
      <c r="N498">
        <v>0</v>
      </c>
      <c r="O498">
        <v>0</v>
      </c>
      <c r="P498">
        <v>13398.7528</v>
      </c>
      <c r="Q498">
        <v>63903</v>
      </c>
      <c r="R498">
        <f>(Grandview_Inventory[[#This Row],[ln_acres]]*Grandview_Inventory[[#This Row],[coeff]])+Grandview_Inventory[[#This Row],[const]]</f>
        <v>37559.539860558507</v>
      </c>
      <c r="S498" t="s">
        <v>61</v>
      </c>
      <c r="T498">
        <v>1</v>
      </c>
      <c r="U498" t="s">
        <v>80</v>
      </c>
      <c r="V498" t="s">
        <v>67</v>
      </c>
      <c r="W498">
        <v>0</v>
      </c>
      <c r="X498">
        <v>0</v>
      </c>
      <c r="Y498">
        <v>48</v>
      </c>
      <c r="Z498">
        <v>63</v>
      </c>
      <c r="AA498">
        <v>70</v>
      </c>
      <c r="AB498">
        <v>1500</v>
      </c>
      <c r="AC498">
        <v>1178</v>
      </c>
      <c r="AD498">
        <v>1178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5</v>
      </c>
      <c r="AQ498">
        <v>0</v>
      </c>
      <c r="AR498">
        <v>0</v>
      </c>
      <c r="AS498" t="s">
        <v>58</v>
      </c>
      <c r="AT498">
        <v>1</v>
      </c>
      <c r="AU498" t="s">
        <v>59</v>
      </c>
      <c r="AV498" t="s">
        <v>60</v>
      </c>
      <c r="AW498">
        <v>1</v>
      </c>
      <c r="AX498">
        <v>2</v>
      </c>
      <c r="AY498">
        <v>0</v>
      </c>
      <c r="AZ498">
        <v>44000</v>
      </c>
      <c r="BA498">
        <v>100</v>
      </c>
      <c r="BB498">
        <v>100</v>
      </c>
      <c r="BC498">
        <v>100</v>
      </c>
      <c r="BD498">
        <v>100</v>
      </c>
      <c r="BE498">
        <v>1</v>
      </c>
      <c r="BF498">
        <v>15000</v>
      </c>
      <c r="BG498">
        <v>1000</v>
      </c>
      <c r="BH498" s="6">
        <f>Grandview_Inventory[[#This Row],[land_extract]]*Lookups!$B$3</f>
        <v>43617.792229308972</v>
      </c>
      <c r="BI498" s="6">
        <f>IF(Grandview_Inventory[[#This Row],[bldg_style]]="",0,Lookups!$B$2)</f>
        <v>155833.95000000001</v>
      </c>
      <c r="BJ498" s="6">
        <f>_xlfn.IFNA(VLOOKUP(Grandview_Inventory[[#This Row],[quality]],Lookups!$H$2:$J$14,3,FALSE),0)</f>
        <v>-28558</v>
      </c>
      <c r="BK498" s="6">
        <f>_xlfn.IFNA(VLOOKUP(Grandview_Inventory[[#This Row],[condition]],Lookups!$H$17:$J$24,3,FALSE),0)</f>
        <v>22342</v>
      </c>
      <c r="BL498" s="6">
        <f>Grandview_Inventory[[#This Row],[Eff_Age]]*Lookups!$B$14</f>
        <v>-11479.996799999999</v>
      </c>
      <c r="BM498" s="6">
        <f>Grandview_Inventory[[#This Row],[living_area]]*Lookups!$B$15</f>
        <v>73484.644834000006</v>
      </c>
      <c r="BN498" s="6">
        <f>Grandview_Inventory[[#This Row],[Fin BSMT]]*Lookups!$B$16</f>
        <v>0</v>
      </c>
      <c r="BO498" s="6">
        <f>(Grandview_Inventory[[#This Row],[att_gar]]+Grandview_Inventory[[#This Row],[bltin_gar]])*Lookups!$B$17</f>
        <v>0</v>
      </c>
      <c r="BP498" s="6">
        <f>Grandview_Inventory[[#This Row],[Plumbing Fixtures]]*Lookups!$B$18</f>
        <v>10052.209000000001</v>
      </c>
      <c r="BQ498" s="6">
        <f>Grandview_Inventory[[#This Row],[detatched_value]]*Lookups!$B$19</f>
        <v>37259.424399999996</v>
      </c>
      <c r="BR498" s="6">
        <f>SUM(Grandview_Inventory[[#This Row],[Intercept]:[det_value]])*Grandview_Inventory[[#This Row],[res_pct]]</f>
        <v>258934.23143400002</v>
      </c>
      <c r="BS498" s="6">
        <f>Grandview_Inventory[[#This Row],[land_value]]</f>
        <v>43617.792229308972</v>
      </c>
      <c r="BT498" s="4">
        <f>_xlfn.IFNA(VLOOKUP(Grandview_Inventory[[#This Row],[quality]],Lookups!$A$26:$C$33,3,FALSE),1)</f>
        <v>0.9690360070159818</v>
      </c>
      <c r="BU498" s="4">
        <f>_xlfn.IFNA(VLOOKUP(Grandview_Inventory[[#This Row],[condition]],Lookups!$A$37:$C$44,3,FALSE),1)</f>
        <v>0.97383723671140243</v>
      </c>
      <c r="BV498" s="4">
        <f>IF(Grandview_Inventory[[#This Row],[bldg_style]]="",1,_xlfn.IFNA(VLOOKUP(Grandview_Inventory[[#This Row],[decade]],Lookups!$F$29:$H$43,3,FALSE),1))</f>
        <v>0.99472141305414818</v>
      </c>
      <c r="BW498" s="4">
        <f>_xlfn.IFNA(VLOOKUP(Grandview_Inventory[[#This Row],[living_area_range]],Lookups!$F$47:$H$56,3,FALSE),1)</f>
        <v>0.96135087979789358</v>
      </c>
      <c r="BX498" s="4">
        <f>AVERAGE(Grandview_Inventory[[#This Row],[qual_adj]:[size_adj]])</f>
        <v>0.97473638414485642</v>
      </c>
      <c r="BY498" s="6">
        <f>IF(Grandview_Inventory[[#This Row],[pre_res]]&lt;0,0,Grandview_Inventory[[#This Row],[pre_res]]*Grandview_Inventory[[#This Row],[overall_adj]])</f>
        <v>252392.61647930459</v>
      </c>
      <c r="BZ498" s="6">
        <f>(Grandview_Inventory[[#This Row],[sum_land]]-IF(Grandview_Inventory[[#This Row],[no_utilities]]=1,12000,0))/IF(Grandview_Inventory[[#This Row],[unbuildable]]=1,2,1)</f>
        <v>43617.792229308972</v>
      </c>
      <c r="CA498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498">
        <f>ROUND(Grandview_Inventory[[#This Row],[det_value]]*Lookups!$M$28,-2)</f>
        <v>35400</v>
      </c>
      <c r="CC498">
        <f>IF(ROUND(Grandview_Inventory[[#This Row],[adj_res]]*Lookups!$M$28,-2)&lt;Grandview_Inventory[[#This Row],[min_res]],Grandview_Inventory[[#This Row],[min_res]],ROUND(Grandview_Inventory[[#This Row],[adj_res]]*Lookups!$M$28,-2))</f>
        <v>239800</v>
      </c>
      <c r="CD498">
        <f>Grandview_Inventory[[#This Row],[final_det]]+Grandview_Inventory[[#This Row],[final_res]]</f>
        <v>275200</v>
      </c>
      <c r="CE498">
        <f>Grandview_Inventory[[#This Row],[final_land]]+Grandview_Inventory[[#This Row],[final_imp]]+Grandview_Inventory[[#This Row],[crop_value]]</f>
        <v>316600</v>
      </c>
      <c r="CG498" t="str">
        <f t="shared" si="7"/>
        <v>update valuation set market_land =41400, market_bldg=275200, market_total =316600, market_mdno =401, market_date ='9/10/2023' where link_id = (select link_id from parcel where parcel_year = '2024' and parcel_id = '23092214476');</v>
      </c>
    </row>
    <row r="499" spans="1:85" x14ac:dyDescent="0.25">
      <c r="A499">
        <v>23092214477</v>
      </c>
      <c r="B499">
        <v>0.14000000000000001</v>
      </c>
      <c r="C499" t="s">
        <v>129</v>
      </c>
      <c r="D499" t="s">
        <v>129</v>
      </c>
      <c r="E499" t="s">
        <v>53</v>
      </c>
      <c r="F499" t="s">
        <v>53</v>
      </c>
      <c r="G499">
        <v>4</v>
      </c>
      <c r="H499" t="s">
        <v>54</v>
      </c>
      <c r="I499">
        <v>135100</v>
      </c>
      <c r="J499">
        <v>38300</v>
      </c>
      <c r="K499">
        <v>0.14000000000000001</v>
      </c>
      <c r="L499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499">
        <v>0</v>
      </c>
      <c r="N499">
        <v>0</v>
      </c>
      <c r="O499">
        <v>0</v>
      </c>
      <c r="P499">
        <v>13398.7528</v>
      </c>
      <c r="Q499">
        <v>63903</v>
      </c>
      <c r="R499">
        <f>(Grandview_Inventory[[#This Row],[ln_acres]]*Grandview_Inventory[[#This Row],[coeff]])+Grandview_Inventory[[#This Row],[const]]</f>
        <v>37559.539860558507</v>
      </c>
      <c r="S499" t="s">
        <v>68</v>
      </c>
      <c r="T499">
        <v>1</v>
      </c>
      <c r="U499" t="s">
        <v>70</v>
      </c>
      <c r="V499" t="s">
        <v>69</v>
      </c>
      <c r="W499">
        <v>0</v>
      </c>
      <c r="X499">
        <v>0</v>
      </c>
      <c r="Y499">
        <v>49</v>
      </c>
      <c r="Z499">
        <v>65</v>
      </c>
      <c r="AA499">
        <v>70</v>
      </c>
      <c r="AB499">
        <v>2000</v>
      </c>
      <c r="AC499">
        <v>1937</v>
      </c>
      <c r="AD499">
        <v>962</v>
      </c>
      <c r="AE499">
        <v>0</v>
      </c>
      <c r="AF499">
        <v>0</v>
      </c>
      <c r="AG499">
        <v>975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645</v>
      </c>
      <c r="AN499">
        <v>0</v>
      </c>
      <c r="AO499">
        <v>200</v>
      </c>
      <c r="AP499">
        <v>9</v>
      </c>
      <c r="AQ499">
        <v>0</v>
      </c>
      <c r="AR499">
        <v>0</v>
      </c>
      <c r="AS499" t="s">
        <v>58</v>
      </c>
      <c r="AT499">
        <v>1</v>
      </c>
      <c r="AU499" t="s">
        <v>63</v>
      </c>
      <c r="AV499" t="s">
        <v>81</v>
      </c>
      <c r="AW499">
        <v>0</v>
      </c>
      <c r="AX499">
        <v>2</v>
      </c>
      <c r="AY499">
        <v>0</v>
      </c>
      <c r="AZ499">
        <v>0</v>
      </c>
      <c r="BA499">
        <v>100</v>
      </c>
      <c r="BB499">
        <v>100</v>
      </c>
      <c r="BC499">
        <v>100</v>
      </c>
      <c r="BD499">
        <v>100</v>
      </c>
      <c r="BE499">
        <v>1</v>
      </c>
      <c r="BF499">
        <v>15000</v>
      </c>
      <c r="BG499">
        <v>1000</v>
      </c>
      <c r="BH499" s="6">
        <f>Grandview_Inventory[[#This Row],[land_extract]]*Lookups!$B$3</f>
        <v>43617.792229308972</v>
      </c>
      <c r="BI499" s="6">
        <f>IF(Grandview_Inventory[[#This Row],[bldg_style]]="",0,Lookups!$B$2)</f>
        <v>155833.95000000001</v>
      </c>
      <c r="BJ499" s="6">
        <f>_xlfn.IFNA(VLOOKUP(Grandview_Inventory[[#This Row],[quality]],Lookups!$H$2:$J$14,3,FALSE),0)</f>
        <v>10733</v>
      </c>
      <c r="BK499" s="6">
        <f>_xlfn.IFNA(VLOOKUP(Grandview_Inventory[[#This Row],[condition]],Lookups!$H$17:$J$24,3,FALSE),0)</f>
        <v>-4503</v>
      </c>
      <c r="BL499" s="6">
        <f>Grandview_Inventory[[#This Row],[Eff_Age]]*Lookups!$B$14</f>
        <v>-11719.163399999999</v>
      </c>
      <c r="BM499" s="6">
        <f>Grandview_Inventory[[#This Row],[living_area]]*Lookups!$B$15</f>
        <v>120831.71226100001</v>
      </c>
      <c r="BN499" s="6">
        <f>Grandview_Inventory[[#This Row],[Fin BSMT]]*Lookups!$B$16</f>
        <v>-26421.759000000002</v>
      </c>
      <c r="BO499" s="6">
        <f>(Grandview_Inventory[[#This Row],[att_gar]]+Grandview_Inventory[[#This Row],[bltin_gar]])*Lookups!$B$17</f>
        <v>0</v>
      </c>
      <c r="BP499" s="6">
        <f>Grandview_Inventory[[#This Row],[Plumbing Fixtures]]*Lookups!$B$18</f>
        <v>18093.976200000001</v>
      </c>
      <c r="BQ499" s="6">
        <f>Grandview_Inventory[[#This Row],[detatched_value]]*Lookups!$B$19</f>
        <v>0</v>
      </c>
      <c r="BR499" s="6">
        <f>SUM(Grandview_Inventory[[#This Row],[Intercept]:[det_value]])*Grandview_Inventory[[#This Row],[res_pct]]</f>
        <v>262848.71606100007</v>
      </c>
      <c r="BS499" s="6">
        <f>Grandview_Inventory[[#This Row],[land_value]]</f>
        <v>43617.792229308972</v>
      </c>
      <c r="BT499" s="4">
        <f>_xlfn.IFNA(VLOOKUP(Grandview_Inventory[[#This Row],[quality]],Lookups!$A$26:$C$33,3,FALSE),1)</f>
        <v>0.98079741117310582</v>
      </c>
      <c r="BU499" s="4">
        <f>_xlfn.IFNA(VLOOKUP(Grandview_Inventory[[#This Row],[condition]],Lookups!$A$37:$C$44,3,FALSE),1)</f>
        <v>0.96469275950863709</v>
      </c>
      <c r="BV499" s="4">
        <f>IF(Grandview_Inventory[[#This Row],[bldg_style]]="",1,_xlfn.IFNA(VLOOKUP(Grandview_Inventory[[#This Row],[decade]],Lookups!$F$29:$H$43,3,FALSE),1))</f>
        <v>0.99472141305414818</v>
      </c>
      <c r="BW499" s="4">
        <f>_xlfn.IFNA(VLOOKUP(Grandview_Inventory[[#This Row],[living_area_range]],Lookups!$F$47:$H$56,3,FALSE),1)</f>
        <v>0.96120133463014379</v>
      </c>
      <c r="BX499" s="4">
        <f>AVERAGE(Grandview_Inventory[[#This Row],[qual_adj]:[size_adj]])</f>
        <v>0.97535322959150883</v>
      </c>
      <c r="BY499" s="6">
        <f>IF(Grandview_Inventory[[#This Row],[pre_res]]&lt;0,0,Grandview_Inventory[[#This Row],[pre_res]]*Grandview_Inventory[[#This Row],[overall_adj]])</f>
        <v>256370.34410407793</v>
      </c>
      <c r="BZ499" s="6">
        <f>(Grandview_Inventory[[#This Row],[sum_land]]-IF(Grandview_Inventory[[#This Row],[no_utilities]]=1,12000,0))/IF(Grandview_Inventory[[#This Row],[unbuildable]]=1,2,1)</f>
        <v>43617.792229308972</v>
      </c>
      <c r="CA499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499">
        <f>ROUND(Grandview_Inventory[[#This Row],[det_value]]*Lookups!$M$28,-2)</f>
        <v>0</v>
      </c>
      <c r="CC499">
        <f>IF(ROUND(Grandview_Inventory[[#This Row],[adj_res]]*Lookups!$M$28,-2)&lt;Grandview_Inventory[[#This Row],[min_res]],Grandview_Inventory[[#This Row],[min_res]],ROUND(Grandview_Inventory[[#This Row],[adj_res]]*Lookups!$M$28,-2))</f>
        <v>243600</v>
      </c>
      <c r="CD499">
        <f>Grandview_Inventory[[#This Row],[final_det]]+Grandview_Inventory[[#This Row],[final_res]]</f>
        <v>243600</v>
      </c>
      <c r="CE499">
        <f>Grandview_Inventory[[#This Row],[final_land]]+Grandview_Inventory[[#This Row],[final_imp]]+Grandview_Inventory[[#This Row],[crop_value]]</f>
        <v>285000</v>
      </c>
      <c r="CG499" t="str">
        <f t="shared" si="7"/>
        <v>update valuation set market_land =41400, market_bldg=243600, market_total =285000, market_mdno =401, market_date ='9/10/2023' where link_id = (select link_id from parcel where parcel_year = '2024' and parcel_id = '23092214477');</v>
      </c>
    </row>
    <row r="500" spans="1:85" x14ac:dyDescent="0.25">
      <c r="A500">
        <v>23092214478</v>
      </c>
      <c r="B500">
        <v>0.14000000000000001</v>
      </c>
      <c r="C500" t="s">
        <v>129</v>
      </c>
      <c r="D500" t="s">
        <v>129</v>
      </c>
      <c r="E500" t="s">
        <v>53</v>
      </c>
      <c r="F500" t="s">
        <v>53</v>
      </c>
      <c r="G500">
        <v>4</v>
      </c>
      <c r="H500" t="s">
        <v>54</v>
      </c>
      <c r="I500">
        <v>144100</v>
      </c>
      <c r="J500">
        <v>42400</v>
      </c>
      <c r="K500">
        <v>0.14000000000000001</v>
      </c>
      <c r="L500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0">
        <v>0</v>
      </c>
      <c r="N500">
        <v>0</v>
      </c>
      <c r="O500">
        <v>0</v>
      </c>
      <c r="P500">
        <v>13398.7528</v>
      </c>
      <c r="Q500">
        <v>63903</v>
      </c>
      <c r="R500">
        <f>(Grandview_Inventory[[#This Row],[ln_acres]]*Grandview_Inventory[[#This Row],[coeff]])+Grandview_Inventory[[#This Row],[const]]</f>
        <v>37559.539860558507</v>
      </c>
      <c r="S500" t="s">
        <v>68</v>
      </c>
      <c r="T500">
        <v>1</v>
      </c>
      <c r="U500" t="s">
        <v>65</v>
      </c>
      <c r="V500" t="s">
        <v>69</v>
      </c>
      <c r="W500">
        <v>0</v>
      </c>
      <c r="X500">
        <v>0</v>
      </c>
      <c r="Y500">
        <v>49</v>
      </c>
      <c r="Z500">
        <v>69</v>
      </c>
      <c r="AA500">
        <v>70</v>
      </c>
      <c r="AB500">
        <v>1500</v>
      </c>
      <c r="AC500">
        <v>1142</v>
      </c>
      <c r="AD500">
        <v>1142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264</v>
      </c>
      <c r="AN500">
        <v>0</v>
      </c>
      <c r="AO500">
        <v>264</v>
      </c>
      <c r="AP500">
        <v>5</v>
      </c>
      <c r="AQ500">
        <v>0</v>
      </c>
      <c r="AR500">
        <v>0</v>
      </c>
      <c r="AS500" t="s">
        <v>58</v>
      </c>
      <c r="AT500">
        <v>1</v>
      </c>
      <c r="AU500" t="s">
        <v>63</v>
      </c>
      <c r="AV500" t="s">
        <v>60</v>
      </c>
      <c r="AW500">
        <v>1</v>
      </c>
      <c r="AX500">
        <v>3</v>
      </c>
      <c r="AY500">
        <v>0</v>
      </c>
      <c r="AZ500">
        <v>0</v>
      </c>
      <c r="BA500">
        <v>100</v>
      </c>
      <c r="BB500">
        <v>100</v>
      </c>
      <c r="BC500">
        <v>100</v>
      </c>
      <c r="BD500">
        <v>100</v>
      </c>
      <c r="BE500">
        <v>1</v>
      </c>
      <c r="BF500">
        <v>15000</v>
      </c>
      <c r="BG500">
        <v>1000</v>
      </c>
      <c r="BH500" s="6">
        <f>Grandview_Inventory[[#This Row],[land_extract]]*Lookups!$B$3</f>
        <v>43617.792229308972</v>
      </c>
      <c r="BI500" s="6">
        <f>IF(Grandview_Inventory[[#This Row],[bldg_style]]="",0,Lookups!$B$2)</f>
        <v>155833.95000000001</v>
      </c>
      <c r="BJ500" s="6">
        <f>_xlfn.IFNA(VLOOKUP(Grandview_Inventory[[#This Row],[quality]],Lookups!$H$2:$J$14,3,FALSE),0)</f>
        <v>2251</v>
      </c>
      <c r="BK500" s="6">
        <f>_xlfn.IFNA(VLOOKUP(Grandview_Inventory[[#This Row],[condition]],Lookups!$H$17:$J$24,3,FALSE),0)</f>
        <v>-4503</v>
      </c>
      <c r="BL500" s="6">
        <f>Grandview_Inventory[[#This Row],[Eff_Age]]*Lookups!$B$14</f>
        <v>-11719.163399999999</v>
      </c>
      <c r="BM500" s="6">
        <f>Grandview_Inventory[[#This Row],[living_area]]*Lookups!$B$15</f>
        <v>71238.934126000007</v>
      </c>
      <c r="BN500" s="6">
        <f>Grandview_Inventory[[#This Row],[Fin BSMT]]*Lookups!$B$16</f>
        <v>0</v>
      </c>
      <c r="BO500" s="6">
        <f>(Grandview_Inventory[[#This Row],[att_gar]]+Grandview_Inventory[[#This Row],[bltin_gar]])*Lookups!$B$17</f>
        <v>0</v>
      </c>
      <c r="BP500" s="6">
        <f>Grandview_Inventory[[#This Row],[Plumbing Fixtures]]*Lookups!$B$18</f>
        <v>10052.209000000001</v>
      </c>
      <c r="BQ500" s="6">
        <f>Grandview_Inventory[[#This Row],[detatched_value]]*Lookups!$B$19</f>
        <v>0</v>
      </c>
      <c r="BR500" s="6">
        <f>SUM(Grandview_Inventory[[#This Row],[Intercept]:[det_value]])*Grandview_Inventory[[#This Row],[res_pct]]</f>
        <v>223153.92972600003</v>
      </c>
      <c r="BS500" s="6">
        <f>Grandview_Inventory[[#This Row],[land_value]]</f>
        <v>43617.792229308972</v>
      </c>
      <c r="BT500" s="4">
        <f>_xlfn.IFNA(VLOOKUP(Grandview_Inventory[[#This Row],[quality]],Lookups!$A$26:$C$33,3,FALSE),1)</f>
        <v>0.98763855981004833</v>
      </c>
      <c r="BU500" s="4">
        <f>_xlfn.IFNA(VLOOKUP(Grandview_Inventory[[#This Row],[condition]],Lookups!$A$37:$C$44,3,FALSE),1)</f>
        <v>0.96469275950863709</v>
      </c>
      <c r="BV500" s="4">
        <f>IF(Grandview_Inventory[[#This Row],[bldg_style]]="",1,_xlfn.IFNA(VLOOKUP(Grandview_Inventory[[#This Row],[decade]],Lookups!$F$29:$H$43,3,FALSE),1))</f>
        <v>0.99472141305414818</v>
      </c>
      <c r="BW500" s="4">
        <f>_xlfn.IFNA(VLOOKUP(Grandview_Inventory[[#This Row],[living_area_range]],Lookups!$F$47:$H$56,3,FALSE),1)</f>
        <v>0.96135087979789358</v>
      </c>
      <c r="BX500" s="4">
        <f>AVERAGE(Grandview_Inventory[[#This Row],[qual_adj]:[size_adj]])</f>
        <v>0.97710090304268182</v>
      </c>
      <c r="BY500" s="6">
        <f>IF(Grandview_Inventory[[#This Row],[pre_res]]&lt;0,0,Grandview_Inventory[[#This Row],[pre_res]]*Grandview_Inventory[[#This Row],[overall_adj]])</f>
        <v>218043.90625279778</v>
      </c>
      <c r="BZ500" s="6">
        <f>(Grandview_Inventory[[#This Row],[sum_land]]-IF(Grandview_Inventory[[#This Row],[no_utilities]]=1,12000,0))/IF(Grandview_Inventory[[#This Row],[unbuildable]]=1,2,1)</f>
        <v>43617.792229308972</v>
      </c>
      <c r="CA500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0">
        <f>ROUND(Grandview_Inventory[[#This Row],[det_value]]*Lookups!$M$28,-2)</f>
        <v>0</v>
      </c>
      <c r="CC500">
        <f>IF(ROUND(Grandview_Inventory[[#This Row],[adj_res]]*Lookups!$M$28,-2)&lt;Grandview_Inventory[[#This Row],[min_res]],Grandview_Inventory[[#This Row],[min_res]],ROUND(Grandview_Inventory[[#This Row],[adj_res]]*Lookups!$M$28,-2))</f>
        <v>207100</v>
      </c>
      <c r="CD500">
        <f>Grandview_Inventory[[#This Row],[final_det]]+Grandview_Inventory[[#This Row],[final_res]]</f>
        <v>207100</v>
      </c>
      <c r="CE500">
        <f>Grandview_Inventory[[#This Row],[final_land]]+Grandview_Inventory[[#This Row],[final_imp]]+Grandview_Inventory[[#This Row],[crop_value]]</f>
        <v>248500</v>
      </c>
      <c r="CG500" t="str">
        <f t="shared" si="7"/>
        <v>update valuation set market_land =41400, market_bldg=207100, market_total =248500, market_mdno =401, market_date ='9/10/2023' where link_id = (select link_id from parcel where parcel_year = '2024' and parcel_id = '23092214478');</v>
      </c>
    </row>
    <row r="501" spans="1:85" x14ac:dyDescent="0.25">
      <c r="A501">
        <v>23092214479</v>
      </c>
      <c r="B501">
        <v>0.14000000000000001</v>
      </c>
      <c r="C501" t="s">
        <v>129</v>
      </c>
      <c r="D501" t="s">
        <v>129</v>
      </c>
      <c r="E501" t="s">
        <v>53</v>
      </c>
      <c r="F501" t="s">
        <v>53</v>
      </c>
      <c r="G501">
        <v>4</v>
      </c>
      <c r="H501" t="s">
        <v>54</v>
      </c>
      <c r="I501">
        <v>112600</v>
      </c>
      <c r="J501">
        <v>42400</v>
      </c>
      <c r="K501">
        <v>0.14000000000000001</v>
      </c>
      <c r="L501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1">
        <v>0</v>
      </c>
      <c r="N501">
        <v>0</v>
      </c>
      <c r="O501">
        <v>0</v>
      </c>
      <c r="P501">
        <v>13398.7528</v>
      </c>
      <c r="Q501">
        <v>63903</v>
      </c>
      <c r="R501">
        <f>(Grandview_Inventory[[#This Row],[ln_acres]]*Grandview_Inventory[[#This Row],[coeff]])+Grandview_Inventory[[#This Row],[const]]</f>
        <v>37559.539860558507</v>
      </c>
      <c r="S501" t="s">
        <v>68</v>
      </c>
      <c r="T501">
        <v>1</v>
      </c>
      <c r="U501" t="s">
        <v>65</v>
      </c>
      <c r="V501" t="s">
        <v>69</v>
      </c>
      <c r="W501">
        <v>0</v>
      </c>
      <c r="X501">
        <v>0</v>
      </c>
      <c r="Y501">
        <v>49</v>
      </c>
      <c r="Z501">
        <v>66</v>
      </c>
      <c r="AA501">
        <v>70</v>
      </c>
      <c r="AB501">
        <v>1000</v>
      </c>
      <c r="AC501">
        <v>928</v>
      </c>
      <c r="AD501">
        <v>928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242</v>
      </c>
      <c r="AN501">
        <v>0</v>
      </c>
      <c r="AO501">
        <v>0</v>
      </c>
      <c r="AP501">
        <v>5</v>
      </c>
      <c r="AQ501">
        <v>0</v>
      </c>
      <c r="AR501">
        <v>0</v>
      </c>
      <c r="AS501" t="s">
        <v>131</v>
      </c>
      <c r="AT501">
        <v>1</v>
      </c>
      <c r="AU501" t="s">
        <v>63</v>
      </c>
      <c r="AV501" t="s">
        <v>64</v>
      </c>
      <c r="AW501">
        <v>0</v>
      </c>
      <c r="AX501">
        <v>2</v>
      </c>
      <c r="AY501">
        <v>0</v>
      </c>
      <c r="AZ501">
        <v>0</v>
      </c>
      <c r="BA501">
        <v>100</v>
      </c>
      <c r="BB501">
        <v>100</v>
      </c>
      <c r="BC501">
        <v>100</v>
      </c>
      <c r="BD501">
        <v>100</v>
      </c>
      <c r="BE501">
        <v>1</v>
      </c>
      <c r="BF501">
        <v>15000</v>
      </c>
      <c r="BG501">
        <v>1000</v>
      </c>
      <c r="BH501" s="6">
        <f>Grandview_Inventory[[#This Row],[land_extract]]*Lookups!$B$3</f>
        <v>43617.792229308972</v>
      </c>
      <c r="BI501" s="6">
        <f>IF(Grandview_Inventory[[#This Row],[bldg_style]]="",0,Lookups!$B$2)</f>
        <v>155833.95000000001</v>
      </c>
      <c r="BJ501" s="6">
        <f>_xlfn.IFNA(VLOOKUP(Grandview_Inventory[[#This Row],[quality]],Lookups!$H$2:$J$14,3,FALSE),0)</f>
        <v>2251</v>
      </c>
      <c r="BK501" s="6">
        <f>_xlfn.IFNA(VLOOKUP(Grandview_Inventory[[#This Row],[condition]],Lookups!$H$17:$J$24,3,FALSE),0)</f>
        <v>-4503</v>
      </c>
      <c r="BL501" s="6">
        <f>Grandview_Inventory[[#This Row],[Eff_Age]]*Lookups!$B$14</f>
        <v>-11719.163399999999</v>
      </c>
      <c r="BM501" s="6">
        <f>Grandview_Inventory[[#This Row],[living_area]]*Lookups!$B$15</f>
        <v>57889.431584000005</v>
      </c>
      <c r="BN501" s="6">
        <f>Grandview_Inventory[[#This Row],[Fin BSMT]]*Lookups!$B$16</f>
        <v>0</v>
      </c>
      <c r="BO501" s="6">
        <f>(Grandview_Inventory[[#This Row],[att_gar]]+Grandview_Inventory[[#This Row],[bltin_gar]])*Lookups!$B$17</f>
        <v>0</v>
      </c>
      <c r="BP501" s="6">
        <f>Grandview_Inventory[[#This Row],[Plumbing Fixtures]]*Lookups!$B$18</f>
        <v>10052.209000000001</v>
      </c>
      <c r="BQ501" s="6">
        <f>Grandview_Inventory[[#This Row],[detatched_value]]*Lookups!$B$19</f>
        <v>0</v>
      </c>
      <c r="BR501" s="6">
        <f>SUM(Grandview_Inventory[[#This Row],[Intercept]:[det_value]])*Grandview_Inventory[[#This Row],[res_pct]]</f>
        <v>209804.42718400003</v>
      </c>
      <c r="BS501" s="6">
        <f>Grandview_Inventory[[#This Row],[land_value]]</f>
        <v>43617.792229308972</v>
      </c>
      <c r="BT501" s="4">
        <f>_xlfn.IFNA(VLOOKUP(Grandview_Inventory[[#This Row],[quality]],Lookups!$A$26:$C$33,3,FALSE),1)</f>
        <v>0.98763855981004833</v>
      </c>
      <c r="BU501" s="4">
        <f>_xlfn.IFNA(VLOOKUP(Grandview_Inventory[[#This Row],[condition]],Lookups!$A$37:$C$44,3,FALSE),1)</f>
        <v>0.96469275950863709</v>
      </c>
      <c r="BV501" s="4">
        <f>IF(Grandview_Inventory[[#This Row],[bldg_style]]="",1,_xlfn.IFNA(VLOOKUP(Grandview_Inventory[[#This Row],[decade]],Lookups!$F$29:$H$43,3,FALSE),1))</f>
        <v>0.99472141305414818</v>
      </c>
      <c r="BW501" s="4">
        <f>_xlfn.IFNA(VLOOKUP(Grandview_Inventory[[#This Row],[living_area_range]],Lookups!$F$47:$H$56,3,FALSE),1)</f>
        <v>0.94306777142782894</v>
      </c>
      <c r="BX501" s="4">
        <f>AVERAGE(Grandview_Inventory[[#This Row],[qual_adj]:[size_adj]])</f>
        <v>0.97253012595016564</v>
      </c>
      <c r="BY501" s="6">
        <f>IF(Grandview_Inventory[[#This Row],[pre_res]]&lt;0,0,Grandview_Inventory[[#This Row],[pre_res]]*Grandview_Inventory[[#This Row],[overall_adj]])</f>
        <v>204041.12599415789</v>
      </c>
      <c r="BZ501" s="6">
        <f>(Grandview_Inventory[[#This Row],[sum_land]]-IF(Grandview_Inventory[[#This Row],[no_utilities]]=1,12000,0))/IF(Grandview_Inventory[[#This Row],[unbuildable]]=1,2,1)</f>
        <v>43617.792229308972</v>
      </c>
      <c r="CA501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1">
        <f>ROUND(Grandview_Inventory[[#This Row],[det_value]]*Lookups!$M$28,-2)</f>
        <v>0</v>
      </c>
      <c r="CC501">
        <f>IF(ROUND(Grandview_Inventory[[#This Row],[adj_res]]*Lookups!$M$28,-2)&lt;Grandview_Inventory[[#This Row],[min_res]],Grandview_Inventory[[#This Row],[min_res]],ROUND(Grandview_Inventory[[#This Row],[adj_res]]*Lookups!$M$28,-2))</f>
        <v>193800</v>
      </c>
      <c r="CD501">
        <f>Grandview_Inventory[[#This Row],[final_det]]+Grandview_Inventory[[#This Row],[final_res]]</f>
        <v>193800</v>
      </c>
      <c r="CE501">
        <f>Grandview_Inventory[[#This Row],[final_land]]+Grandview_Inventory[[#This Row],[final_imp]]+Grandview_Inventory[[#This Row],[crop_value]]</f>
        <v>235200</v>
      </c>
      <c r="CG501" t="str">
        <f t="shared" si="7"/>
        <v>update valuation set market_land =41400, market_bldg=193800, market_total =235200, market_mdno =401, market_date ='9/10/2023' where link_id = (select link_id from parcel where parcel_year = '2024' and parcel_id = '23092214479');</v>
      </c>
    </row>
    <row r="502" spans="1:85" x14ac:dyDescent="0.25">
      <c r="A502">
        <v>23092214480</v>
      </c>
      <c r="B502">
        <v>0.14000000000000001</v>
      </c>
      <c r="C502" t="s">
        <v>129</v>
      </c>
      <c r="D502" t="s">
        <v>129</v>
      </c>
      <c r="E502" t="s">
        <v>53</v>
      </c>
      <c r="F502" t="s">
        <v>53</v>
      </c>
      <c r="G502">
        <v>4</v>
      </c>
      <c r="H502" t="s">
        <v>54</v>
      </c>
      <c r="I502">
        <v>108200</v>
      </c>
      <c r="J502">
        <v>42400</v>
      </c>
      <c r="K502">
        <v>0.14000000000000001</v>
      </c>
      <c r="L502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2">
        <v>0</v>
      </c>
      <c r="N502">
        <v>0</v>
      </c>
      <c r="O502">
        <v>0</v>
      </c>
      <c r="P502">
        <v>13398.7528</v>
      </c>
      <c r="Q502">
        <v>63903</v>
      </c>
      <c r="R502">
        <f>(Grandview_Inventory[[#This Row],[ln_acres]]*Grandview_Inventory[[#This Row],[coeff]])+Grandview_Inventory[[#This Row],[const]]</f>
        <v>37559.539860558507</v>
      </c>
      <c r="S502" t="s">
        <v>68</v>
      </c>
      <c r="T502">
        <v>1</v>
      </c>
      <c r="U502" t="s">
        <v>70</v>
      </c>
      <c r="V502" t="s">
        <v>69</v>
      </c>
      <c r="W502">
        <v>0</v>
      </c>
      <c r="X502">
        <v>0</v>
      </c>
      <c r="Y502">
        <v>49</v>
      </c>
      <c r="Z502">
        <v>68</v>
      </c>
      <c r="AA502">
        <v>70</v>
      </c>
      <c r="AB502">
        <v>1000</v>
      </c>
      <c r="AC502">
        <v>860</v>
      </c>
      <c r="AD502">
        <v>860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160</v>
      </c>
      <c r="AN502">
        <v>30</v>
      </c>
      <c r="AO502">
        <v>30</v>
      </c>
      <c r="AP502">
        <v>5</v>
      </c>
      <c r="AQ502">
        <v>0</v>
      </c>
      <c r="AR502">
        <v>0</v>
      </c>
      <c r="AS502" t="s">
        <v>58</v>
      </c>
      <c r="AT502">
        <v>1</v>
      </c>
      <c r="AU502" t="s">
        <v>63</v>
      </c>
      <c r="AV502" t="s">
        <v>64</v>
      </c>
      <c r="AW502">
        <v>0</v>
      </c>
      <c r="AX502">
        <v>2</v>
      </c>
      <c r="AY502">
        <v>0</v>
      </c>
      <c r="AZ502">
        <v>0</v>
      </c>
      <c r="BA502">
        <v>100</v>
      </c>
      <c r="BB502">
        <v>100</v>
      </c>
      <c r="BC502">
        <v>100</v>
      </c>
      <c r="BD502">
        <v>100</v>
      </c>
      <c r="BE502">
        <v>1</v>
      </c>
      <c r="BF502">
        <v>15000</v>
      </c>
      <c r="BG502">
        <v>1000</v>
      </c>
      <c r="BH502" s="6">
        <f>Grandview_Inventory[[#This Row],[land_extract]]*Lookups!$B$3</f>
        <v>43617.792229308972</v>
      </c>
      <c r="BI502" s="6">
        <f>IF(Grandview_Inventory[[#This Row],[bldg_style]]="",0,Lookups!$B$2)</f>
        <v>155833.95000000001</v>
      </c>
      <c r="BJ502" s="6">
        <f>_xlfn.IFNA(VLOOKUP(Grandview_Inventory[[#This Row],[quality]],Lookups!$H$2:$J$14,3,FALSE),0)</f>
        <v>10733</v>
      </c>
      <c r="BK502" s="6">
        <f>_xlfn.IFNA(VLOOKUP(Grandview_Inventory[[#This Row],[condition]],Lookups!$H$17:$J$24,3,FALSE),0)</f>
        <v>-4503</v>
      </c>
      <c r="BL502" s="6">
        <f>Grandview_Inventory[[#This Row],[Eff_Age]]*Lookups!$B$14</f>
        <v>-11719.163399999999</v>
      </c>
      <c r="BM502" s="6">
        <f>Grandview_Inventory[[#This Row],[living_area]]*Lookups!$B$15</f>
        <v>53647.533580000003</v>
      </c>
      <c r="BN502" s="6">
        <f>Grandview_Inventory[[#This Row],[Fin BSMT]]*Lookups!$B$16</f>
        <v>0</v>
      </c>
      <c r="BO502" s="6">
        <f>(Grandview_Inventory[[#This Row],[att_gar]]+Grandview_Inventory[[#This Row],[bltin_gar]])*Lookups!$B$17</f>
        <v>0</v>
      </c>
      <c r="BP502" s="6">
        <f>Grandview_Inventory[[#This Row],[Plumbing Fixtures]]*Lookups!$B$18</f>
        <v>10052.209000000001</v>
      </c>
      <c r="BQ502" s="6">
        <f>Grandview_Inventory[[#This Row],[detatched_value]]*Lookups!$B$19</f>
        <v>0</v>
      </c>
      <c r="BR502" s="6">
        <f>SUM(Grandview_Inventory[[#This Row],[Intercept]:[det_value]])*Grandview_Inventory[[#This Row],[res_pct]]</f>
        <v>214044.52918000004</v>
      </c>
      <c r="BS502" s="6">
        <f>Grandview_Inventory[[#This Row],[land_value]]</f>
        <v>43617.792229308972</v>
      </c>
      <c r="BT502" s="4">
        <f>_xlfn.IFNA(VLOOKUP(Grandview_Inventory[[#This Row],[quality]],Lookups!$A$26:$C$33,3,FALSE),1)</f>
        <v>0.98079741117310582</v>
      </c>
      <c r="BU502" s="4">
        <f>_xlfn.IFNA(VLOOKUP(Grandview_Inventory[[#This Row],[condition]],Lookups!$A$37:$C$44,3,FALSE),1)</f>
        <v>0.96469275950863709</v>
      </c>
      <c r="BV502" s="4">
        <f>IF(Grandview_Inventory[[#This Row],[bldg_style]]="",1,_xlfn.IFNA(VLOOKUP(Grandview_Inventory[[#This Row],[decade]],Lookups!$F$29:$H$43,3,FALSE),1))</f>
        <v>0.99472141305414818</v>
      </c>
      <c r="BW502" s="4">
        <f>_xlfn.IFNA(VLOOKUP(Grandview_Inventory[[#This Row],[living_area_range]],Lookups!$F$47:$H$56,3,FALSE),1)</f>
        <v>0.94306777142782894</v>
      </c>
      <c r="BX502" s="4">
        <f>AVERAGE(Grandview_Inventory[[#This Row],[qual_adj]:[size_adj]])</f>
        <v>0.97081983879093003</v>
      </c>
      <c r="BY502" s="6">
        <f>IF(Grandview_Inventory[[#This Row],[pre_res]]&lt;0,0,Grandview_Inventory[[#This Row],[pre_res]]*Grandview_Inventory[[#This Row],[overall_adj]])</f>
        <v>207798.67531260816</v>
      </c>
      <c r="BZ502" s="6">
        <f>(Grandview_Inventory[[#This Row],[sum_land]]-IF(Grandview_Inventory[[#This Row],[no_utilities]]=1,12000,0))/IF(Grandview_Inventory[[#This Row],[unbuildable]]=1,2,1)</f>
        <v>43617.792229308972</v>
      </c>
      <c r="CA502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2">
        <f>ROUND(Grandview_Inventory[[#This Row],[det_value]]*Lookups!$M$28,-2)</f>
        <v>0</v>
      </c>
      <c r="CC502">
        <f>IF(ROUND(Grandview_Inventory[[#This Row],[adj_res]]*Lookups!$M$28,-2)&lt;Grandview_Inventory[[#This Row],[min_res]],Grandview_Inventory[[#This Row],[min_res]],ROUND(Grandview_Inventory[[#This Row],[adj_res]]*Lookups!$M$28,-2))</f>
        <v>197400</v>
      </c>
      <c r="CD502">
        <f>Grandview_Inventory[[#This Row],[final_det]]+Grandview_Inventory[[#This Row],[final_res]]</f>
        <v>197400</v>
      </c>
      <c r="CE502">
        <f>Grandview_Inventory[[#This Row],[final_land]]+Grandview_Inventory[[#This Row],[final_imp]]+Grandview_Inventory[[#This Row],[crop_value]]</f>
        <v>238800</v>
      </c>
      <c r="CG502" t="str">
        <f t="shared" si="7"/>
        <v>update valuation set market_land =41400, market_bldg=197400, market_total =238800, market_mdno =401, market_date ='9/10/2023' where link_id = (select link_id from parcel where parcel_year = '2024' and parcel_id = '23092214480');</v>
      </c>
    </row>
    <row r="503" spans="1:85" x14ac:dyDescent="0.25">
      <c r="A503">
        <v>23092214481</v>
      </c>
      <c r="B503">
        <v>0.14000000000000001</v>
      </c>
      <c r="C503" t="s">
        <v>129</v>
      </c>
      <c r="D503" t="s">
        <v>129</v>
      </c>
      <c r="E503" t="s">
        <v>53</v>
      </c>
      <c r="F503" t="s">
        <v>53</v>
      </c>
      <c r="G503">
        <v>4</v>
      </c>
      <c r="H503" t="s">
        <v>54</v>
      </c>
      <c r="I503">
        <v>140700</v>
      </c>
      <c r="J503">
        <v>42400</v>
      </c>
      <c r="K503">
        <v>0.14000000000000001</v>
      </c>
      <c r="L503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3">
        <v>0</v>
      </c>
      <c r="N503">
        <v>0</v>
      </c>
      <c r="O503">
        <v>0</v>
      </c>
      <c r="P503">
        <v>13398.7528</v>
      </c>
      <c r="Q503">
        <v>63903</v>
      </c>
      <c r="R503">
        <f>(Grandview_Inventory[[#This Row],[ln_acres]]*Grandview_Inventory[[#This Row],[coeff]])+Grandview_Inventory[[#This Row],[const]]</f>
        <v>37559.539860558507</v>
      </c>
      <c r="S503" t="s">
        <v>68</v>
      </c>
      <c r="T503">
        <v>1</v>
      </c>
      <c r="U503" t="s">
        <v>70</v>
      </c>
      <c r="V503" t="s">
        <v>69</v>
      </c>
      <c r="W503">
        <v>0</v>
      </c>
      <c r="X503">
        <v>0</v>
      </c>
      <c r="Y503">
        <v>49</v>
      </c>
      <c r="Z503">
        <v>68</v>
      </c>
      <c r="AA503">
        <v>70</v>
      </c>
      <c r="AB503">
        <v>1500</v>
      </c>
      <c r="AC503">
        <v>1500</v>
      </c>
      <c r="AD503">
        <v>1000</v>
      </c>
      <c r="AE503">
        <v>0</v>
      </c>
      <c r="AF503">
        <v>0</v>
      </c>
      <c r="AG503">
        <v>500</v>
      </c>
      <c r="AH503">
        <v>500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5</v>
      </c>
      <c r="AQ503">
        <v>0</v>
      </c>
      <c r="AR503">
        <v>0</v>
      </c>
      <c r="AS503" t="s">
        <v>58</v>
      </c>
      <c r="AT503">
        <v>1</v>
      </c>
      <c r="AU503" t="s">
        <v>79</v>
      </c>
      <c r="AV503" t="s">
        <v>60</v>
      </c>
      <c r="AW503">
        <v>0</v>
      </c>
      <c r="AX503">
        <v>3</v>
      </c>
      <c r="AY503">
        <v>0</v>
      </c>
      <c r="AZ503">
        <v>0</v>
      </c>
      <c r="BA503">
        <v>100</v>
      </c>
      <c r="BB503">
        <v>100</v>
      </c>
      <c r="BC503">
        <v>100</v>
      </c>
      <c r="BD503">
        <v>100</v>
      </c>
      <c r="BE503">
        <v>1</v>
      </c>
      <c r="BF503">
        <v>15000</v>
      </c>
      <c r="BG503">
        <v>1000</v>
      </c>
      <c r="BH503" s="6">
        <f>Grandview_Inventory[[#This Row],[land_extract]]*Lookups!$B$3</f>
        <v>43617.792229308972</v>
      </c>
      <c r="BI503" s="6">
        <f>IF(Grandview_Inventory[[#This Row],[bldg_style]]="",0,Lookups!$B$2)</f>
        <v>155833.95000000001</v>
      </c>
      <c r="BJ503" s="6">
        <f>_xlfn.IFNA(VLOOKUP(Grandview_Inventory[[#This Row],[quality]],Lookups!$H$2:$J$14,3,FALSE),0)</f>
        <v>10733</v>
      </c>
      <c r="BK503" s="6">
        <f>_xlfn.IFNA(VLOOKUP(Grandview_Inventory[[#This Row],[condition]],Lookups!$H$17:$J$24,3,FALSE),0)</f>
        <v>-4503</v>
      </c>
      <c r="BL503" s="6">
        <f>Grandview_Inventory[[#This Row],[Eff_Age]]*Lookups!$B$14</f>
        <v>-11719.163399999999</v>
      </c>
      <c r="BM503" s="6">
        <f>Grandview_Inventory[[#This Row],[living_area]]*Lookups!$B$15</f>
        <v>93571.279500000004</v>
      </c>
      <c r="BN503" s="6">
        <f>Grandview_Inventory[[#This Row],[Fin BSMT]]*Lookups!$B$16</f>
        <v>-13549.62</v>
      </c>
      <c r="BO503" s="6">
        <f>(Grandview_Inventory[[#This Row],[att_gar]]+Grandview_Inventory[[#This Row],[bltin_gar]])*Lookups!$B$17</f>
        <v>0</v>
      </c>
      <c r="BP503" s="6">
        <f>Grandview_Inventory[[#This Row],[Plumbing Fixtures]]*Lookups!$B$18</f>
        <v>10052.209000000001</v>
      </c>
      <c r="BQ503" s="6">
        <f>Grandview_Inventory[[#This Row],[detatched_value]]*Lookups!$B$19</f>
        <v>0</v>
      </c>
      <c r="BR503" s="6">
        <f>SUM(Grandview_Inventory[[#This Row],[Intercept]:[det_value]])*Grandview_Inventory[[#This Row],[res_pct]]</f>
        <v>240418.65510000003</v>
      </c>
      <c r="BS503" s="6">
        <f>Grandview_Inventory[[#This Row],[land_value]]</f>
        <v>43617.792229308972</v>
      </c>
      <c r="BT503" s="4">
        <f>_xlfn.IFNA(VLOOKUP(Grandview_Inventory[[#This Row],[quality]],Lookups!$A$26:$C$33,3,FALSE),1)</f>
        <v>0.98079741117310582</v>
      </c>
      <c r="BU503" s="4">
        <f>_xlfn.IFNA(VLOOKUP(Grandview_Inventory[[#This Row],[condition]],Lookups!$A$37:$C$44,3,FALSE),1)</f>
        <v>0.96469275950863709</v>
      </c>
      <c r="BV503" s="4">
        <f>IF(Grandview_Inventory[[#This Row],[bldg_style]]="",1,_xlfn.IFNA(VLOOKUP(Grandview_Inventory[[#This Row],[decade]],Lookups!$F$29:$H$43,3,FALSE),1))</f>
        <v>0.99472141305414818</v>
      </c>
      <c r="BW503" s="4">
        <f>_xlfn.IFNA(VLOOKUP(Grandview_Inventory[[#This Row],[living_area_range]],Lookups!$F$47:$H$56,3,FALSE),1)</f>
        <v>0.96135087979789358</v>
      </c>
      <c r="BX503" s="4">
        <f>AVERAGE(Grandview_Inventory[[#This Row],[qual_adj]:[size_adj]])</f>
        <v>0.97539061588344622</v>
      </c>
      <c r="BY503" s="6">
        <f>IF(Grandview_Inventory[[#This Row],[pre_res]]&lt;0,0,Grandview_Inventory[[#This Row],[pre_res]]*Grandview_Inventory[[#This Row],[overall_adj]])</f>
        <v>234502.10006785888</v>
      </c>
      <c r="BZ503" s="6">
        <f>(Grandview_Inventory[[#This Row],[sum_land]]-IF(Grandview_Inventory[[#This Row],[no_utilities]]=1,12000,0))/IF(Grandview_Inventory[[#This Row],[unbuildable]]=1,2,1)</f>
        <v>43617.792229308972</v>
      </c>
      <c r="CA503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3">
        <f>ROUND(Grandview_Inventory[[#This Row],[det_value]]*Lookups!$M$28,-2)</f>
        <v>0</v>
      </c>
      <c r="CC503">
        <f>IF(ROUND(Grandview_Inventory[[#This Row],[adj_res]]*Lookups!$M$28,-2)&lt;Grandview_Inventory[[#This Row],[min_res]],Grandview_Inventory[[#This Row],[min_res]],ROUND(Grandview_Inventory[[#This Row],[adj_res]]*Lookups!$M$28,-2))</f>
        <v>222800</v>
      </c>
      <c r="CD503">
        <f>Grandview_Inventory[[#This Row],[final_det]]+Grandview_Inventory[[#This Row],[final_res]]</f>
        <v>222800</v>
      </c>
      <c r="CE503">
        <f>Grandview_Inventory[[#This Row],[final_land]]+Grandview_Inventory[[#This Row],[final_imp]]+Grandview_Inventory[[#This Row],[crop_value]]</f>
        <v>264200</v>
      </c>
      <c r="CG503" t="str">
        <f t="shared" si="7"/>
        <v>update valuation set market_land =41400, market_bldg=222800, market_total =264200, market_mdno =401, market_date ='9/10/2023' where link_id = (select link_id from parcel where parcel_year = '2024' and parcel_id = '23092214481');</v>
      </c>
    </row>
    <row r="504" spans="1:85" x14ac:dyDescent="0.25">
      <c r="A504">
        <v>23092214482</v>
      </c>
      <c r="B504">
        <v>0.14000000000000001</v>
      </c>
      <c r="C504" t="s">
        <v>129</v>
      </c>
      <c r="D504" t="s">
        <v>129</v>
      </c>
      <c r="E504" t="s">
        <v>53</v>
      </c>
      <c r="F504" t="s">
        <v>53</v>
      </c>
      <c r="G504">
        <v>4</v>
      </c>
      <c r="H504" t="s">
        <v>54</v>
      </c>
      <c r="I504">
        <v>158300</v>
      </c>
      <c r="J504">
        <v>38300</v>
      </c>
      <c r="K504">
        <v>0.14000000000000001</v>
      </c>
      <c r="L504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4">
        <v>0</v>
      </c>
      <c r="N504">
        <v>0</v>
      </c>
      <c r="O504">
        <v>0</v>
      </c>
      <c r="P504">
        <v>13398.7528</v>
      </c>
      <c r="Q504">
        <v>63903</v>
      </c>
      <c r="R504">
        <f>(Grandview_Inventory[[#This Row],[ln_acres]]*Grandview_Inventory[[#This Row],[coeff]])+Grandview_Inventory[[#This Row],[const]]</f>
        <v>37559.539860558507</v>
      </c>
      <c r="S504" t="s">
        <v>68</v>
      </c>
      <c r="T504">
        <v>1</v>
      </c>
      <c r="U504" t="s">
        <v>70</v>
      </c>
      <c r="V504" t="s">
        <v>67</v>
      </c>
      <c r="W504">
        <v>0</v>
      </c>
      <c r="X504">
        <v>0</v>
      </c>
      <c r="Y504">
        <v>50</v>
      </c>
      <c r="Z504">
        <v>70</v>
      </c>
      <c r="AA504">
        <v>70</v>
      </c>
      <c r="AB504">
        <v>1500</v>
      </c>
      <c r="AC504">
        <v>1095</v>
      </c>
      <c r="AD504">
        <v>1095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20</v>
      </c>
      <c r="AO504">
        <v>0</v>
      </c>
      <c r="AP504">
        <v>5</v>
      </c>
      <c r="AQ504">
        <v>0</v>
      </c>
      <c r="AR504">
        <v>0</v>
      </c>
      <c r="AS504" t="s">
        <v>58</v>
      </c>
      <c r="AT504">
        <v>1</v>
      </c>
      <c r="AU504" t="s">
        <v>63</v>
      </c>
      <c r="AV504" t="s">
        <v>60</v>
      </c>
      <c r="AW504">
        <v>0</v>
      </c>
      <c r="AX504">
        <v>2</v>
      </c>
      <c r="AY504">
        <v>0</v>
      </c>
      <c r="AZ504">
        <v>0</v>
      </c>
      <c r="BA504">
        <v>100</v>
      </c>
      <c r="BB504">
        <v>100</v>
      </c>
      <c r="BC504">
        <v>100</v>
      </c>
      <c r="BD504">
        <v>100</v>
      </c>
      <c r="BE504">
        <v>1</v>
      </c>
      <c r="BF504">
        <v>15000</v>
      </c>
      <c r="BG504">
        <v>1000</v>
      </c>
      <c r="BH504" s="6">
        <f>Grandview_Inventory[[#This Row],[land_extract]]*Lookups!$B$3</f>
        <v>43617.792229308972</v>
      </c>
      <c r="BI504" s="6">
        <f>IF(Grandview_Inventory[[#This Row],[bldg_style]]="",0,Lookups!$B$2)</f>
        <v>155833.95000000001</v>
      </c>
      <c r="BJ504" s="6">
        <f>_xlfn.IFNA(VLOOKUP(Grandview_Inventory[[#This Row],[quality]],Lookups!$H$2:$J$14,3,FALSE),0)</f>
        <v>10733</v>
      </c>
      <c r="BK504" s="6">
        <f>_xlfn.IFNA(VLOOKUP(Grandview_Inventory[[#This Row],[condition]],Lookups!$H$17:$J$24,3,FALSE),0)</f>
        <v>22342</v>
      </c>
      <c r="BL504" s="6">
        <f>Grandview_Inventory[[#This Row],[Eff_Age]]*Lookups!$B$14</f>
        <v>-11958.33</v>
      </c>
      <c r="BM504" s="6">
        <f>Grandview_Inventory[[#This Row],[living_area]]*Lookups!$B$15</f>
        <v>68307.034035000004</v>
      </c>
      <c r="BN504" s="6">
        <f>Grandview_Inventory[[#This Row],[Fin BSMT]]*Lookups!$B$16</f>
        <v>0</v>
      </c>
      <c r="BO504" s="6">
        <f>(Grandview_Inventory[[#This Row],[att_gar]]+Grandview_Inventory[[#This Row],[bltin_gar]])*Lookups!$B$17</f>
        <v>0</v>
      </c>
      <c r="BP504" s="6">
        <f>Grandview_Inventory[[#This Row],[Plumbing Fixtures]]*Lookups!$B$18</f>
        <v>10052.209000000001</v>
      </c>
      <c r="BQ504" s="6">
        <f>Grandview_Inventory[[#This Row],[detatched_value]]*Lookups!$B$19</f>
        <v>0</v>
      </c>
      <c r="BR504" s="6">
        <f>SUM(Grandview_Inventory[[#This Row],[Intercept]:[det_value]])*Grandview_Inventory[[#This Row],[res_pct]]</f>
        <v>255309.86303500002</v>
      </c>
      <c r="BS504" s="6">
        <f>Grandview_Inventory[[#This Row],[land_value]]</f>
        <v>43617.792229308972</v>
      </c>
      <c r="BT504" s="4">
        <f>_xlfn.IFNA(VLOOKUP(Grandview_Inventory[[#This Row],[quality]],Lookups!$A$26:$C$33,3,FALSE),1)</f>
        <v>0.98079741117310582</v>
      </c>
      <c r="BU504" s="4">
        <f>_xlfn.IFNA(VLOOKUP(Grandview_Inventory[[#This Row],[condition]],Lookups!$A$37:$C$44,3,FALSE),1)</f>
        <v>0.97383723671140243</v>
      </c>
      <c r="BV504" s="4">
        <f>IF(Grandview_Inventory[[#This Row],[bldg_style]]="",1,_xlfn.IFNA(VLOOKUP(Grandview_Inventory[[#This Row],[decade]],Lookups!$F$29:$H$43,3,FALSE),1))</f>
        <v>0.99472141305414818</v>
      </c>
      <c r="BW504" s="4">
        <f>_xlfn.IFNA(VLOOKUP(Grandview_Inventory[[#This Row],[living_area_range]],Lookups!$F$47:$H$56,3,FALSE),1)</f>
        <v>0.96135087979789358</v>
      </c>
      <c r="BX504" s="4">
        <f>AVERAGE(Grandview_Inventory[[#This Row],[qual_adj]:[size_adj]])</f>
        <v>0.97767673518413756</v>
      </c>
      <c r="BY504" s="6">
        <f>IF(Grandview_Inventory[[#This Row],[pre_res]]&lt;0,0,Grandview_Inventory[[#This Row],[pre_res]]*Grandview_Inventory[[#This Row],[overall_adj]])</f>
        <v>249610.51335236814</v>
      </c>
      <c r="BZ504" s="6">
        <f>(Grandview_Inventory[[#This Row],[sum_land]]-IF(Grandview_Inventory[[#This Row],[no_utilities]]=1,12000,0))/IF(Grandview_Inventory[[#This Row],[unbuildable]]=1,2,1)</f>
        <v>43617.792229308972</v>
      </c>
      <c r="CA504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4">
        <f>ROUND(Grandview_Inventory[[#This Row],[det_value]]*Lookups!$M$28,-2)</f>
        <v>0</v>
      </c>
      <c r="CC504">
        <f>IF(ROUND(Grandview_Inventory[[#This Row],[adj_res]]*Lookups!$M$28,-2)&lt;Grandview_Inventory[[#This Row],[min_res]],Grandview_Inventory[[#This Row],[min_res]],ROUND(Grandview_Inventory[[#This Row],[adj_res]]*Lookups!$M$28,-2))</f>
        <v>237100</v>
      </c>
      <c r="CD504">
        <f>Grandview_Inventory[[#This Row],[final_det]]+Grandview_Inventory[[#This Row],[final_res]]</f>
        <v>237100</v>
      </c>
      <c r="CE504">
        <f>Grandview_Inventory[[#This Row],[final_land]]+Grandview_Inventory[[#This Row],[final_imp]]+Grandview_Inventory[[#This Row],[crop_value]]</f>
        <v>278500</v>
      </c>
      <c r="CG504" t="str">
        <f t="shared" si="7"/>
        <v>update valuation set market_land =41400, market_bldg=237100, market_total =278500, market_mdno =401, market_date ='9/10/2023' where link_id = (select link_id from parcel where parcel_year = '2024' and parcel_id = '23092214482');</v>
      </c>
    </row>
    <row r="505" spans="1:85" x14ac:dyDescent="0.25">
      <c r="A505">
        <v>23092214486</v>
      </c>
      <c r="B505">
        <v>0.14000000000000001</v>
      </c>
      <c r="C505" t="s">
        <v>129</v>
      </c>
      <c r="D505" t="s">
        <v>129</v>
      </c>
      <c r="E505" t="s">
        <v>53</v>
      </c>
      <c r="F505" t="s">
        <v>53</v>
      </c>
      <c r="G505">
        <v>4</v>
      </c>
      <c r="H505" t="s">
        <v>54</v>
      </c>
      <c r="I505">
        <v>128300</v>
      </c>
      <c r="J505">
        <v>38300</v>
      </c>
      <c r="K505">
        <v>0.14000000000000001</v>
      </c>
      <c r="L505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5">
        <v>0</v>
      </c>
      <c r="N505">
        <v>0</v>
      </c>
      <c r="O505">
        <v>0</v>
      </c>
      <c r="P505">
        <v>13398.7528</v>
      </c>
      <c r="Q505">
        <v>63903</v>
      </c>
      <c r="R505">
        <f>(Grandview_Inventory[[#This Row],[ln_acres]]*Grandview_Inventory[[#This Row],[coeff]])+Grandview_Inventory[[#This Row],[const]]</f>
        <v>37559.539860558507</v>
      </c>
      <c r="S505" t="s">
        <v>68</v>
      </c>
      <c r="T505">
        <v>1</v>
      </c>
      <c r="U505" t="s">
        <v>70</v>
      </c>
      <c r="V505" t="s">
        <v>69</v>
      </c>
      <c r="W505">
        <v>0</v>
      </c>
      <c r="X505">
        <v>0</v>
      </c>
      <c r="Y505">
        <v>50</v>
      </c>
      <c r="Z505">
        <v>71</v>
      </c>
      <c r="AA505">
        <v>80</v>
      </c>
      <c r="AB505">
        <v>1000</v>
      </c>
      <c r="AC505">
        <v>980</v>
      </c>
      <c r="AD505">
        <v>980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100</v>
      </c>
      <c r="AO505">
        <v>0</v>
      </c>
      <c r="AP505">
        <v>5</v>
      </c>
      <c r="AQ505">
        <v>0</v>
      </c>
      <c r="AR505">
        <v>0</v>
      </c>
      <c r="AS505" t="s">
        <v>58</v>
      </c>
      <c r="AT505">
        <v>1</v>
      </c>
      <c r="AU505" t="s">
        <v>79</v>
      </c>
      <c r="AV505" t="s">
        <v>60</v>
      </c>
      <c r="AW505">
        <v>0</v>
      </c>
      <c r="AX505">
        <v>2</v>
      </c>
      <c r="AY505">
        <v>0</v>
      </c>
      <c r="AZ505">
        <v>0</v>
      </c>
      <c r="BA505">
        <v>100</v>
      </c>
      <c r="BB505">
        <v>100</v>
      </c>
      <c r="BC505">
        <v>100</v>
      </c>
      <c r="BD505">
        <v>100</v>
      </c>
      <c r="BE505">
        <v>1</v>
      </c>
      <c r="BF505">
        <v>15000</v>
      </c>
      <c r="BG505">
        <v>1000</v>
      </c>
      <c r="BH505" s="6">
        <f>Grandview_Inventory[[#This Row],[land_extract]]*Lookups!$B$3</f>
        <v>43617.792229308972</v>
      </c>
      <c r="BI505" s="6">
        <f>IF(Grandview_Inventory[[#This Row],[bldg_style]]="",0,Lookups!$B$2)</f>
        <v>155833.95000000001</v>
      </c>
      <c r="BJ505" s="6">
        <f>_xlfn.IFNA(VLOOKUP(Grandview_Inventory[[#This Row],[quality]],Lookups!$H$2:$J$14,3,FALSE),0)</f>
        <v>10733</v>
      </c>
      <c r="BK505" s="6">
        <f>_xlfn.IFNA(VLOOKUP(Grandview_Inventory[[#This Row],[condition]],Lookups!$H$17:$J$24,3,FALSE),0)</f>
        <v>-4503</v>
      </c>
      <c r="BL505" s="6">
        <f>Grandview_Inventory[[#This Row],[Eff_Age]]*Lookups!$B$14</f>
        <v>-11958.33</v>
      </c>
      <c r="BM505" s="6">
        <f>Grandview_Inventory[[#This Row],[living_area]]*Lookups!$B$15</f>
        <v>61133.235939999999</v>
      </c>
      <c r="BN505" s="6">
        <f>Grandview_Inventory[[#This Row],[Fin BSMT]]*Lookups!$B$16</f>
        <v>0</v>
      </c>
      <c r="BO505" s="6">
        <f>(Grandview_Inventory[[#This Row],[att_gar]]+Grandview_Inventory[[#This Row],[bltin_gar]])*Lookups!$B$17</f>
        <v>0</v>
      </c>
      <c r="BP505" s="6">
        <f>Grandview_Inventory[[#This Row],[Plumbing Fixtures]]*Lookups!$B$18</f>
        <v>10052.209000000001</v>
      </c>
      <c r="BQ505" s="6">
        <f>Grandview_Inventory[[#This Row],[detatched_value]]*Lookups!$B$19</f>
        <v>0</v>
      </c>
      <c r="BR505" s="6">
        <f>SUM(Grandview_Inventory[[#This Row],[Intercept]:[det_value]])*Grandview_Inventory[[#This Row],[res_pct]]</f>
        <v>221291.06494000004</v>
      </c>
      <c r="BS505" s="6">
        <f>Grandview_Inventory[[#This Row],[land_value]]</f>
        <v>43617.792229308972</v>
      </c>
      <c r="BT505" s="4">
        <f>_xlfn.IFNA(VLOOKUP(Grandview_Inventory[[#This Row],[quality]],Lookups!$A$26:$C$33,3,FALSE),1)</f>
        <v>0.98079741117310582</v>
      </c>
      <c r="BU505" s="4">
        <f>_xlfn.IFNA(VLOOKUP(Grandview_Inventory[[#This Row],[condition]],Lookups!$A$37:$C$44,3,FALSE),1)</f>
        <v>0.96469275950863709</v>
      </c>
      <c r="BV505" s="4">
        <f>IF(Grandview_Inventory[[#This Row],[bldg_style]]="",1,_xlfn.IFNA(VLOOKUP(Grandview_Inventory[[#This Row],[decade]],Lookups!$F$29:$H$43,3,FALSE),1))</f>
        <v>0.98763256963907298</v>
      </c>
      <c r="BW505" s="4">
        <f>_xlfn.IFNA(VLOOKUP(Grandview_Inventory[[#This Row],[living_area_range]],Lookups!$F$47:$H$56,3,FALSE),1)</f>
        <v>0.94306777142782894</v>
      </c>
      <c r="BX505" s="4">
        <f>AVERAGE(Grandview_Inventory[[#This Row],[qual_adj]:[size_adj]])</f>
        <v>0.96904762793716115</v>
      </c>
      <c r="BY505" s="6">
        <f>IF(Grandview_Inventory[[#This Row],[pre_res]]&lt;0,0,Grandview_Inventory[[#This Row],[pre_res]]*Grandview_Inventory[[#This Row],[overall_adj]])</f>
        <v>214441.58156379533</v>
      </c>
      <c r="BZ505" s="6">
        <f>(Grandview_Inventory[[#This Row],[sum_land]]-IF(Grandview_Inventory[[#This Row],[no_utilities]]=1,12000,0))/IF(Grandview_Inventory[[#This Row],[unbuildable]]=1,2,1)</f>
        <v>43617.792229308972</v>
      </c>
      <c r="CA505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5">
        <f>ROUND(Grandview_Inventory[[#This Row],[det_value]]*Lookups!$M$28,-2)</f>
        <v>0</v>
      </c>
      <c r="CC505">
        <f>IF(ROUND(Grandview_Inventory[[#This Row],[adj_res]]*Lookups!$M$28,-2)&lt;Grandview_Inventory[[#This Row],[min_res]],Grandview_Inventory[[#This Row],[min_res]],ROUND(Grandview_Inventory[[#This Row],[adj_res]]*Lookups!$M$28,-2))</f>
        <v>203700</v>
      </c>
      <c r="CD505">
        <f>Grandview_Inventory[[#This Row],[final_det]]+Grandview_Inventory[[#This Row],[final_res]]</f>
        <v>203700</v>
      </c>
      <c r="CE505">
        <f>Grandview_Inventory[[#This Row],[final_land]]+Grandview_Inventory[[#This Row],[final_imp]]+Grandview_Inventory[[#This Row],[crop_value]]</f>
        <v>245100</v>
      </c>
      <c r="CG505" t="str">
        <f t="shared" si="7"/>
        <v>update valuation set market_land =41400, market_bldg=203700, market_total =245100, market_mdno =401, market_date ='9/10/2023' where link_id = (select link_id from parcel where parcel_year = '2024' and parcel_id = '23092214486');</v>
      </c>
    </row>
    <row r="506" spans="1:85" x14ac:dyDescent="0.25">
      <c r="A506">
        <v>23092214487</v>
      </c>
      <c r="B506">
        <v>0.14000000000000001</v>
      </c>
      <c r="C506" t="s">
        <v>129</v>
      </c>
      <c r="D506" t="s">
        <v>129</v>
      </c>
      <c r="E506" t="s">
        <v>53</v>
      </c>
      <c r="F506" t="s">
        <v>53</v>
      </c>
      <c r="G506">
        <v>4</v>
      </c>
      <c r="H506" t="s">
        <v>54</v>
      </c>
      <c r="I506">
        <v>142200</v>
      </c>
      <c r="J506">
        <v>38300</v>
      </c>
      <c r="K506">
        <v>0.14000000000000001</v>
      </c>
      <c r="L506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6">
        <v>0</v>
      </c>
      <c r="N506">
        <v>0</v>
      </c>
      <c r="O506">
        <v>0</v>
      </c>
      <c r="P506">
        <v>13398.7528</v>
      </c>
      <c r="Q506">
        <v>63903</v>
      </c>
      <c r="R506">
        <f>(Grandview_Inventory[[#This Row],[ln_acres]]*Grandview_Inventory[[#This Row],[coeff]])+Grandview_Inventory[[#This Row],[const]]</f>
        <v>37559.539860558507</v>
      </c>
      <c r="S506" t="s">
        <v>68</v>
      </c>
      <c r="T506">
        <v>1</v>
      </c>
      <c r="U506" t="s">
        <v>70</v>
      </c>
      <c r="V506" t="s">
        <v>69</v>
      </c>
      <c r="W506">
        <v>0</v>
      </c>
      <c r="X506">
        <v>0</v>
      </c>
      <c r="Y506">
        <v>50</v>
      </c>
      <c r="Z506">
        <v>71</v>
      </c>
      <c r="AA506">
        <v>80</v>
      </c>
      <c r="AB506">
        <v>1000</v>
      </c>
      <c r="AC506">
        <v>952</v>
      </c>
      <c r="AD506">
        <v>952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412</v>
      </c>
      <c r="AL506">
        <v>0</v>
      </c>
      <c r="AM506">
        <v>276</v>
      </c>
      <c r="AN506">
        <v>0</v>
      </c>
      <c r="AO506">
        <v>276</v>
      </c>
      <c r="AP506">
        <v>5</v>
      </c>
      <c r="AQ506">
        <v>0</v>
      </c>
      <c r="AR506">
        <v>0</v>
      </c>
      <c r="AS506" t="s">
        <v>58</v>
      </c>
      <c r="AT506">
        <v>1</v>
      </c>
      <c r="AU506" t="s">
        <v>59</v>
      </c>
      <c r="AV506" t="s">
        <v>60</v>
      </c>
      <c r="AW506">
        <v>1</v>
      </c>
      <c r="AX506">
        <v>3</v>
      </c>
      <c r="AY506">
        <v>0</v>
      </c>
      <c r="AZ506">
        <v>0</v>
      </c>
      <c r="BA506">
        <v>100</v>
      </c>
      <c r="BB506">
        <v>100</v>
      </c>
      <c r="BC506">
        <v>100</v>
      </c>
      <c r="BD506">
        <v>100</v>
      </c>
      <c r="BE506">
        <v>1</v>
      </c>
      <c r="BF506">
        <v>15000</v>
      </c>
      <c r="BG506">
        <v>1000</v>
      </c>
      <c r="BH506" s="6">
        <f>Grandview_Inventory[[#This Row],[land_extract]]*Lookups!$B$3</f>
        <v>43617.792229308972</v>
      </c>
      <c r="BI506" s="6">
        <f>IF(Grandview_Inventory[[#This Row],[bldg_style]]="",0,Lookups!$B$2)</f>
        <v>155833.95000000001</v>
      </c>
      <c r="BJ506" s="6">
        <f>_xlfn.IFNA(VLOOKUP(Grandview_Inventory[[#This Row],[quality]],Lookups!$H$2:$J$14,3,FALSE),0)</f>
        <v>10733</v>
      </c>
      <c r="BK506" s="6">
        <f>_xlfn.IFNA(VLOOKUP(Grandview_Inventory[[#This Row],[condition]],Lookups!$H$17:$J$24,3,FALSE),0)</f>
        <v>-4503</v>
      </c>
      <c r="BL506" s="6">
        <f>Grandview_Inventory[[#This Row],[Eff_Age]]*Lookups!$B$14</f>
        <v>-11958.33</v>
      </c>
      <c r="BM506" s="6">
        <f>Grandview_Inventory[[#This Row],[living_area]]*Lookups!$B$15</f>
        <v>59386.572056000005</v>
      </c>
      <c r="BN506" s="6">
        <f>Grandview_Inventory[[#This Row],[Fin BSMT]]*Lookups!$B$16</f>
        <v>0</v>
      </c>
      <c r="BO506" s="6">
        <f>(Grandview_Inventory[[#This Row],[att_gar]]+Grandview_Inventory[[#This Row],[bltin_gar]])*Lookups!$B$17</f>
        <v>0</v>
      </c>
      <c r="BP506" s="6">
        <f>Grandview_Inventory[[#This Row],[Plumbing Fixtures]]*Lookups!$B$18</f>
        <v>10052.209000000001</v>
      </c>
      <c r="BQ506" s="6">
        <f>Grandview_Inventory[[#This Row],[detatched_value]]*Lookups!$B$19</f>
        <v>0</v>
      </c>
      <c r="BR506" s="6">
        <f>SUM(Grandview_Inventory[[#This Row],[Intercept]:[det_value]])*Grandview_Inventory[[#This Row],[res_pct]]</f>
        <v>219544.40105600003</v>
      </c>
      <c r="BS506" s="6">
        <f>Grandview_Inventory[[#This Row],[land_value]]</f>
        <v>43617.792229308972</v>
      </c>
      <c r="BT506" s="4">
        <f>_xlfn.IFNA(VLOOKUP(Grandview_Inventory[[#This Row],[quality]],Lookups!$A$26:$C$33,3,FALSE),1)</f>
        <v>0.98079741117310582</v>
      </c>
      <c r="BU506" s="4">
        <f>_xlfn.IFNA(VLOOKUP(Grandview_Inventory[[#This Row],[condition]],Lookups!$A$37:$C$44,3,FALSE),1)</f>
        <v>0.96469275950863709</v>
      </c>
      <c r="BV506" s="4">
        <f>IF(Grandview_Inventory[[#This Row],[bldg_style]]="",1,_xlfn.IFNA(VLOOKUP(Grandview_Inventory[[#This Row],[decade]],Lookups!$F$29:$H$43,3,FALSE),1))</f>
        <v>0.98763256963907298</v>
      </c>
      <c r="BW506" s="4">
        <f>_xlfn.IFNA(VLOOKUP(Grandview_Inventory[[#This Row],[living_area_range]],Lookups!$F$47:$H$56,3,FALSE),1)</f>
        <v>0.94306777142782894</v>
      </c>
      <c r="BX506" s="4">
        <f>AVERAGE(Grandview_Inventory[[#This Row],[qual_adj]:[size_adj]])</f>
        <v>0.96904762793716115</v>
      </c>
      <c r="BY506" s="6">
        <f>IF(Grandview_Inventory[[#This Row],[pre_res]]&lt;0,0,Grandview_Inventory[[#This Row],[pre_res]]*Grandview_Inventory[[#This Row],[overall_adj]])</f>
        <v>212748.98107020161</v>
      </c>
      <c r="BZ506" s="6">
        <f>(Grandview_Inventory[[#This Row],[sum_land]]-IF(Grandview_Inventory[[#This Row],[no_utilities]]=1,12000,0))/IF(Grandview_Inventory[[#This Row],[unbuildable]]=1,2,1)</f>
        <v>43617.792229308972</v>
      </c>
      <c r="CA506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6">
        <f>ROUND(Grandview_Inventory[[#This Row],[det_value]]*Lookups!$M$28,-2)</f>
        <v>0</v>
      </c>
      <c r="CC506">
        <f>IF(ROUND(Grandview_Inventory[[#This Row],[adj_res]]*Lookups!$M$28,-2)&lt;Grandview_Inventory[[#This Row],[min_res]],Grandview_Inventory[[#This Row],[min_res]],ROUND(Grandview_Inventory[[#This Row],[adj_res]]*Lookups!$M$28,-2))</f>
        <v>202100</v>
      </c>
      <c r="CD506">
        <f>Grandview_Inventory[[#This Row],[final_det]]+Grandview_Inventory[[#This Row],[final_res]]</f>
        <v>202100</v>
      </c>
      <c r="CE506">
        <f>Grandview_Inventory[[#This Row],[final_land]]+Grandview_Inventory[[#This Row],[final_imp]]+Grandview_Inventory[[#This Row],[crop_value]]</f>
        <v>243500</v>
      </c>
      <c r="CG506" t="str">
        <f t="shared" si="7"/>
        <v>update valuation set market_land =41400, market_bldg=202100, market_total =243500, market_mdno =401, market_date ='9/10/2023' where link_id = (select link_id from parcel where parcel_year = '2024' and parcel_id = '23092214487');</v>
      </c>
    </row>
    <row r="507" spans="1:85" x14ac:dyDescent="0.25">
      <c r="A507">
        <v>23092214488</v>
      </c>
      <c r="B507">
        <v>0.14000000000000001</v>
      </c>
      <c r="C507" t="s">
        <v>129</v>
      </c>
      <c r="D507" t="s">
        <v>129</v>
      </c>
      <c r="E507" t="s">
        <v>53</v>
      </c>
      <c r="F507" t="s">
        <v>53</v>
      </c>
      <c r="G507">
        <v>4</v>
      </c>
      <c r="H507" t="s">
        <v>54</v>
      </c>
      <c r="I507">
        <v>151900</v>
      </c>
      <c r="J507">
        <v>38300</v>
      </c>
      <c r="K507">
        <v>0.14000000000000001</v>
      </c>
      <c r="L507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7">
        <v>0</v>
      </c>
      <c r="N507">
        <v>0</v>
      </c>
      <c r="O507">
        <v>0</v>
      </c>
      <c r="P507">
        <v>13398.7528</v>
      </c>
      <c r="Q507">
        <v>63903</v>
      </c>
      <c r="R507">
        <f>(Grandview_Inventory[[#This Row],[ln_acres]]*Grandview_Inventory[[#This Row],[coeff]])+Grandview_Inventory[[#This Row],[const]]</f>
        <v>37559.539860558507</v>
      </c>
      <c r="S507" t="s">
        <v>61</v>
      </c>
      <c r="T507">
        <v>1</v>
      </c>
      <c r="U507" t="s">
        <v>70</v>
      </c>
      <c r="V507" t="s">
        <v>69</v>
      </c>
      <c r="W507">
        <v>0</v>
      </c>
      <c r="X507">
        <v>0</v>
      </c>
      <c r="Y507">
        <v>50</v>
      </c>
      <c r="Z507">
        <v>71</v>
      </c>
      <c r="AA507">
        <v>80</v>
      </c>
      <c r="AB507">
        <v>1500</v>
      </c>
      <c r="AC507">
        <v>1180</v>
      </c>
      <c r="AD507">
        <v>1180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480</v>
      </c>
      <c r="AL507">
        <v>0</v>
      </c>
      <c r="AM507">
        <v>0</v>
      </c>
      <c r="AN507">
        <v>0</v>
      </c>
      <c r="AO507">
        <v>0</v>
      </c>
      <c r="AP507">
        <v>5</v>
      </c>
      <c r="AQ507">
        <v>0</v>
      </c>
      <c r="AR507">
        <v>0</v>
      </c>
      <c r="AS507" t="s">
        <v>58</v>
      </c>
      <c r="AT507">
        <v>1</v>
      </c>
      <c r="AU507" t="s">
        <v>63</v>
      </c>
      <c r="AV507" t="s">
        <v>60</v>
      </c>
      <c r="AW507">
        <v>0</v>
      </c>
      <c r="AX507">
        <v>3</v>
      </c>
      <c r="AY507">
        <v>0</v>
      </c>
      <c r="AZ507">
        <v>0</v>
      </c>
      <c r="BA507">
        <v>100</v>
      </c>
      <c r="BB507">
        <v>100</v>
      </c>
      <c r="BC507">
        <v>100</v>
      </c>
      <c r="BD507">
        <v>100</v>
      </c>
      <c r="BE507">
        <v>1</v>
      </c>
      <c r="BF507">
        <v>15000</v>
      </c>
      <c r="BG507">
        <v>1000</v>
      </c>
      <c r="BH507" s="6">
        <f>Grandview_Inventory[[#This Row],[land_extract]]*Lookups!$B$3</f>
        <v>43617.792229308972</v>
      </c>
      <c r="BI507" s="6">
        <f>IF(Grandview_Inventory[[#This Row],[bldg_style]]="",0,Lookups!$B$2)</f>
        <v>155833.95000000001</v>
      </c>
      <c r="BJ507" s="6">
        <f>_xlfn.IFNA(VLOOKUP(Grandview_Inventory[[#This Row],[quality]],Lookups!$H$2:$J$14,3,FALSE),0)</f>
        <v>10733</v>
      </c>
      <c r="BK507" s="6">
        <f>_xlfn.IFNA(VLOOKUP(Grandview_Inventory[[#This Row],[condition]],Lookups!$H$17:$J$24,3,FALSE),0)</f>
        <v>-4503</v>
      </c>
      <c r="BL507" s="6">
        <f>Grandview_Inventory[[#This Row],[Eff_Age]]*Lookups!$B$14</f>
        <v>-11958.33</v>
      </c>
      <c r="BM507" s="6">
        <f>Grandview_Inventory[[#This Row],[living_area]]*Lookups!$B$15</f>
        <v>73609.406539999996</v>
      </c>
      <c r="BN507" s="6">
        <f>Grandview_Inventory[[#This Row],[Fin BSMT]]*Lookups!$B$16</f>
        <v>0</v>
      </c>
      <c r="BO507" s="6">
        <f>(Grandview_Inventory[[#This Row],[att_gar]]+Grandview_Inventory[[#This Row],[bltin_gar]])*Lookups!$B$17</f>
        <v>0</v>
      </c>
      <c r="BP507" s="6">
        <f>Grandview_Inventory[[#This Row],[Plumbing Fixtures]]*Lookups!$B$18</f>
        <v>10052.209000000001</v>
      </c>
      <c r="BQ507" s="6">
        <f>Grandview_Inventory[[#This Row],[detatched_value]]*Lookups!$B$19</f>
        <v>0</v>
      </c>
      <c r="BR507" s="6">
        <f>SUM(Grandview_Inventory[[#This Row],[Intercept]:[det_value]])*Grandview_Inventory[[#This Row],[res_pct]]</f>
        <v>233767.23554000002</v>
      </c>
      <c r="BS507" s="6">
        <f>Grandview_Inventory[[#This Row],[land_value]]</f>
        <v>43617.792229308972</v>
      </c>
      <c r="BT507" s="4">
        <f>_xlfn.IFNA(VLOOKUP(Grandview_Inventory[[#This Row],[quality]],Lookups!$A$26:$C$33,3,FALSE),1)</f>
        <v>0.98079741117310582</v>
      </c>
      <c r="BU507" s="4">
        <f>_xlfn.IFNA(VLOOKUP(Grandview_Inventory[[#This Row],[condition]],Lookups!$A$37:$C$44,3,FALSE),1)</f>
        <v>0.96469275950863709</v>
      </c>
      <c r="BV507" s="4">
        <f>IF(Grandview_Inventory[[#This Row],[bldg_style]]="",1,_xlfn.IFNA(VLOOKUP(Grandview_Inventory[[#This Row],[decade]],Lookups!$F$29:$H$43,3,FALSE),1))</f>
        <v>0.98763256963907298</v>
      </c>
      <c r="BW507" s="4">
        <f>_xlfn.IFNA(VLOOKUP(Grandview_Inventory[[#This Row],[living_area_range]],Lookups!$F$47:$H$56,3,FALSE),1)</f>
        <v>0.96135087979789358</v>
      </c>
      <c r="BX507" s="4">
        <f>AVERAGE(Grandview_Inventory[[#This Row],[qual_adj]:[size_adj]])</f>
        <v>0.97361840502967734</v>
      </c>
      <c r="BY507" s="6">
        <f>IF(Grandview_Inventory[[#This Row],[pre_res]]&lt;0,0,Grandview_Inventory[[#This Row],[pre_res]]*Grandview_Inventory[[#This Row],[overall_adj]])</f>
        <v>227600.08301465173</v>
      </c>
      <c r="BZ507" s="6">
        <f>(Grandview_Inventory[[#This Row],[sum_land]]-IF(Grandview_Inventory[[#This Row],[no_utilities]]=1,12000,0))/IF(Grandview_Inventory[[#This Row],[unbuildable]]=1,2,1)</f>
        <v>43617.792229308972</v>
      </c>
      <c r="CA507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7">
        <f>ROUND(Grandview_Inventory[[#This Row],[det_value]]*Lookups!$M$28,-2)</f>
        <v>0</v>
      </c>
      <c r="CC507">
        <f>IF(ROUND(Grandview_Inventory[[#This Row],[adj_res]]*Lookups!$M$28,-2)&lt;Grandview_Inventory[[#This Row],[min_res]],Grandview_Inventory[[#This Row],[min_res]],ROUND(Grandview_Inventory[[#This Row],[adj_res]]*Lookups!$M$28,-2))</f>
        <v>216200</v>
      </c>
      <c r="CD507">
        <f>Grandview_Inventory[[#This Row],[final_det]]+Grandview_Inventory[[#This Row],[final_res]]</f>
        <v>216200</v>
      </c>
      <c r="CE507">
        <f>Grandview_Inventory[[#This Row],[final_land]]+Grandview_Inventory[[#This Row],[final_imp]]+Grandview_Inventory[[#This Row],[crop_value]]</f>
        <v>257600</v>
      </c>
      <c r="CG507" t="str">
        <f t="shared" si="7"/>
        <v>update valuation set market_land =41400, market_bldg=216200, market_total =257600, market_mdno =401, market_date ='9/10/2023' where link_id = (select link_id from parcel where parcel_year = '2024' and parcel_id = '23092214488');</v>
      </c>
    </row>
    <row r="508" spans="1:85" x14ac:dyDescent="0.25">
      <c r="A508">
        <v>23092214489</v>
      </c>
      <c r="B508">
        <v>0.14000000000000001</v>
      </c>
      <c r="C508" t="s">
        <v>129</v>
      </c>
      <c r="D508" t="s">
        <v>129</v>
      </c>
      <c r="E508" t="s">
        <v>53</v>
      </c>
      <c r="F508" t="s">
        <v>53</v>
      </c>
      <c r="G508">
        <v>4</v>
      </c>
      <c r="H508" t="s">
        <v>54</v>
      </c>
      <c r="I508">
        <v>132800</v>
      </c>
      <c r="J508">
        <v>42400</v>
      </c>
      <c r="K508">
        <v>0.14000000000000001</v>
      </c>
      <c r="L508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8">
        <v>0</v>
      </c>
      <c r="N508">
        <v>0</v>
      </c>
      <c r="O508">
        <v>0</v>
      </c>
      <c r="P508">
        <v>13398.7528</v>
      </c>
      <c r="Q508">
        <v>63903</v>
      </c>
      <c r="R508">
        <f>(Grandview_Inventory[[#This Row],[ln_acres]]*Grandview_Inventory[[#This Row],[coeff]])+Grandview_Inventory[[#This Row],[const]]</f>
        <v>37559.539860558507</v>
      </c>
      <c r="S508" t="s">
        <v>68</v>
      </c>
      <c r="T508">
        <v>1</v>
      </c>
      <c r="U508" t="s">
        <v>70</v>
      </c>
      <c r="V508" t="s">
        <v>69</v>
      </c>
      <c r="W508">
        <v>0</v>
      </c>
      <c r="X508">
        <v>0</v>
      </c>
      <c r="Y508">
        <v>50</v>
      </c>
      <c r="Z508">
        <v>70</v>
      </c>
      <c r="AA508">
        <v>70</v>
      </c>
      <c r="AB508">
        <v>1500</v>
      </c>
      <c r="AC508">
        <v>1054</v>
      </c>
      <c r="AD508">
        <v>1054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658</v>
      </c>
      <c r="AN508">
        <v>0</v>
      </c>
      <c r="AO508">
        <v>152</v>
      </c>
      <c r="AP508">
        <v>5</v>
      </c>
      <c r="AQ508">
        <v>0</v>
      </c>
      <c r="AR508">
        <v>0</v>
      </c>
      <c r="AS508" t="s">
        <v>58</v>
      </c>
      <c r="AT508">
        <v>1</v>
      </c>
      <c r="AU508" t="s">
        <v>63</v>
      </c>
      <c r="AV508" t="s">
        <v>64</v>
      </c>
      <c r="AW508">
        <v>1</v>
      </c>
      <c r="AX508">
        <v>3</v>
      </c>
      <c r="AY508">
        <v>0</v>
      </c>
      <c r="AZ508">
        <v>0</v>
      </c>
      <c r="BA508">
        <v>100</v>
      </c>
      <c r="BB508">
        <v>100</v>
      </c>
      <c r="BC508">
        <v>100</v>
      </c>
      <c r="BD508">
        <v>100</v>
      </c>
      <c r="BE508">
        <v>1</v>
      </c>
      <c r="BF508">
        <v>15000</v>
      </c>
      <c r="BG508">
        <v>1000</v>
      </c>
      <c r="BH508" s="6">
        <f>Grandview_Inventory[[#This Row],[land_extract]]*Lookups!$B$3</f>
        <v>43617.792229308972</v>
      </c>
      <c r="BI508" s="6">
        <f>IF(Grandview_Inventory[[#This Row],[bldg_style]]="",0,Lookups!$B$2)</f>
        <v>155833.95000000001</v>
      </c>
      <c r="BJ508" s="6">
        <f>_xlfn.IFNA(VLOOKUP(Grandview_Inventory[[#This Row],[quality]],Lookups!$H$2:$J$14,3,FALSE),0)</f>
        <v>10733</v>
      </c>
      <c r="BK508" s="6">
        <f>_xlfn.IFNA(VLOOKUP(Grandview_Inventory[[#This Row],[condition]],Lookups!$H$17:$J$24,3,FALSE),0)</f>
        <v>-4503</v>
      </c>
      <c r="BL508" s="6">
        <f>Grandview_Inventory[[#This Row],[Eff_Age]]*Lookups!$B$14</f>
        <v>-11958.33</v>
      </c>
      <c r="BM508" s="6">
        <f>Grandview_Inventory[[#This Row],[living_area]]*Lookups!$B$15</f>
        <v>65749.419062000001</v>
      </c>
      <c r="BN508" s="6">
        <f>Grandview_Inventory[[#This Row],[Fin BSMT]]*Lookups!$B$16</f>
        <v>0</v>
      </c>
      <c r="BO508" s="6">
        <f>(Grandview_Inventory[[#This Row],[att_gar]]+Grandview_Inventory[[#This Row],[bltin_gar]])*Lookups!$B$17</f>
        <v>0</v>
      </c>
      <c r="BP508" s="6">
        <f>Grandview_Inventory[[#This Row],[Plumbing Fixtures]]*Lookups!$B$18</f>
        <v>10052.209000000001</v>
      </c>
      <c r="BQ508" s="6">
        <f>Grandview_Inventory[[#This Row],[detatched_value]]*Lookups!$B$19</f>
        <v>0</v>
      </c>
      <c r="BR508" s="6">
        <f>SUM(Grandview_Inventory[[#This Row],[Intercept]:[det_value]])*Grandview_Inventory[[#This Row],[res_pct]]</f>
        <v>225907.24806200003</v>
      </c>
      <c r="BS508" s="6">
        <f>Grandview_Inventory[[#This Row],[land_value]]</f>
        <v>43617.792229308972</v>
      </c>
      <c r="BT508" s="4">
        <f>_xlfn.IFNA(VLOOKUP(Grandview_Inventory[[#This Row],[quality]],Lookups!$A$26:$C$33,3,FALSE),1)</f>
        <v>0.98079741117310582</v>
      </c>
      <c r="BU508" s="4">
        <f>_xlfn.IFNA(VLOOKUP(Grandview_Inventory[[#This Row],[condition]],Lookups!$A$37:$C$44,3,FALSE),1)</f>
        <v>0.96469275950863709</v>
      </c>
      <c r="BV508" s="4">
        <f>IF(Grandview_Inventory[[#This Row],[bldg_style]]="",1,_xlfn.IFNA(VLOOKUP(Grandview_Inventory[[#This Row],[decade]],Lookups!$F$29:$H$43,3,FALSE),1))</f>
        <v>0.99472141305414818</v>
      </c>
      <c r="BW508" s="4">
        <f>_xlfn.IFNA(VLOOKUP(Grandview_Inventory[[#This Row],[living_area_range]],Lookups!$F$47:$H$56,3,FALSE),1)</f>
        <v>0.96135087979789358</v>
      </c>
      <c r="BX508" s="4">
        <f>AVERAGE(Grandview_Inventory[[#This Row],[qual_adj]:[size_adj]])</f>
        <v>0.97539061588344622</v>
      </c>
      <c r="BY508" s="6">
        <f>IF(Grandview_Inventory[[#This Row],[pre_res]]&lt;0,0,Grandview_Inventory[[#This Row],[pre_res]]*Grandview_Inventory[[#This Row],[overall_adj]])</f>
        <v>220347.80981972866</v>
      </c>
      <c r="BZ508" s="6">
        <f>(Grandview_Inventory[[#This Row],[sum_land]]-IF(Grandview_Inventory[[#This Row],[no_utilities]]=1,12000,0))/IF(Grandview_Inventory[[#This Row],[unbuildable]]=1,2,1)</f>
        <v>43617.792229308972</v>
      </c>
      <c r="CA508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8">
        <f>ROUND(Grandview_Inventory[[#This Row],[det_value]]*Lookups!$M$28,-2)</f>
        <v>0</v>
      </c>
      <c r="CC508">
        <f>IF(ROUND(Grandview_Inventory[[#This Row],[adj_res]]*Lookups!$M$28,-2)&lt;Grandview_Inventory[[#This Row],[min_res]],Grandview_Inventory[[#This Row],[min_res]],ROUND(Grandview_Inventory[[#This Row],[adj_res]]*Lookups!$M$28,-2))</f>
        <v>209300</v>
      </c>
      <c r="CD508">
        <f>Grandview_Inventory[[#This Row],[final_det]]+Grandview_Inventory[[#This Row],[final_res]]</f>
        <v>209300</v>
      </c>
      <c r="CE508">
        <f>Grandview_Inventory[[#This Row],[final_land]]+Grandview_Inventory[[#This Row],[final_imp]]+Grandview_Inventory[[#This Row],[crop_value]]</f>
        <v>250700</v>
      </c>
      <c r="CG508" t="str">
        <f t="shared" si="7"/>
        <v>update valuation set market_land =41400, market_bldg=209300, market_total =250700, market_mdno =401, market_date ='9/10/2023' where link_id = (select link_id from parcel where parcel_year = '2024' and parcel_id = '23092214489');</v>
      </c>
    </row>
    <row r="509" spans="1:85" x14ac:dyDescent="0.25">
      <c r="A509">
        <v>23092214490</v>
      </c>
      <c r="B509">
        <v>0.14000000000000001</v>
      </c>
      <c r="C509" t="s">
        <v>129</v>
      </c>
      <c r="D509" t="s">
        <v>129</v>
      </c>
      <c r="E509" t="s">
        <v>53</v>
      </c>
      <c r="F509" t="s">
        <v>53</v>
      </c>
      <c r="G509">
        <v>4</v>
      </c>
      <c r="H509" t="s">
        <v>54</v>
      </c>
      <c r="I509">
        <v>153300</v>
      </c>
      <c r="J509">
        <v>42400</v>
      </c>
      <c r="K509">
        <v>0.14000000000000001</v>
      </c>
      <c r="L509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09">
        <v>0</v>
      </c>
      <c r="N509">
        <v>0</v>
      </c>
      <c r="O509">
        <v>0</v>
      </c>
      <c r="P509">
        <v>13398.7528</v>
      </c>
      <c r="Q509">
        <v>63903</v>
      </c>
      <c r="R509">
        <f>(Grandview_Inventory[[#This Row],[ln_acres]]*Grandview_Inventory[[#This Row],[coeff]])+Grandview_Inventory[[#This Row],[const]]</f>
        <v>37559.539860558507</v>
      </c>
      <c r="S509" t="s">
        <v>68</v>
      </c>
      <c r="T509">
        <v>1</v>
      </c>
      <c r="U509" t="s">
        <v>70</v>
      </c>
      <c r="V509" t="s">
        <v>69</v>
      </c>
      <c r="W509">
        <v>0</v>
      </c>
      <c r="X509">
        <v>0</v>
      </c>
      <c r="Y509">
        <v>50</v>
      </c>
      <c r="Z509">
        <v>70</v>
      </c>
      <c r="AA509">
        <v>70</v>
      </c>
      <c r="AB509">
        <v>2000</v>
      </c>
      <c r="AC509">
        <v>1816</v>
      </c>
      <c r="AD509">
        <v>1816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176</v>
      </c>
      <c r="AN509">
        <v>0</v>
      </c>
      <c r="AO509">
        <v>176</v>
      </c>
      <c r="AP509">
        <v>5</v>
      </c>
      <c r="AQ509">
        <v>0</v>
      </c>
      <c r="AR509">
        <v>0</v>
      </c>
      <c r="AS509" t="s">
        <v>58</v>
      </c>
      <c r="AT509">
        <v>1</v>
      </c>
      <c r="AU509" t="s">
        <v>63</v>
      </c>
      <c r="AV509" t="s">
        <v>64</v>
      </c>
      <c r="AW509">
        <v>0</v>
      </c>
      <c r="AX509">
        <v>3</v>
      </c>
      <c r="AY509">
        <v>0</v>
      </c>
      <c r="AZ509">
        <v>0</v>
      </c>
      <c r="BA509">
        <v>100</v>
      </c>
      <c r="BB509">
        <v>100</v>
      </c>
      <c r="BC509">
        <v>100</v>
      </c>
      <c r="BD509">
        <v>100</v>
      </c>
      <c r="BE509">
        <v>1</v>
      </c>
      <c r="BF509">
        <v>15000</v>
      </c>
      <c r="BG509">
        <v>1000</v>
      </c>
      <c r="BH509" s="6">
        <f>Grandview_Inventory[[#This Row],[land_extract]]*Lookups!$B$3</f>
        <v>43617.792229308972</v>
      </c>
      <c r="BI509" s="6">
        <f>IF(Grandview_Inventory[[#This Row],[bldg_style]]="",0,Lookups!$B$2)</f>
        <v>155833.95000000001</v>
      </c>
      <c r="BJ509" s="6">
        <f>_xlfn.IFNA(VLOOKUP(Grandview_Inventory[[#This Row],[quality]],Lookups!$H$2:$J$14,3,FALSE),0)</f>
        <v>10733</v>
      </c>
      <c r="BK509" s="6">
        <f>_xlfn.IFNA(VLOOKUP(Grandview_Inventory[[#This Row],[condition]],Lookups!$H$17:$J$24,3,FALSE),0)</f>
        <v>-4503</v>
      </c>
      <c r="BL509" s="6">
        <f>Grandview_Inventory[[#This Row],[Eff_Age]]*Lookups!$B$14</f>
        <v>-11958.33</v>
      </c>
      <c r="BM509" s="6">
        <f>Grandview_Inventory[[#This Row],[living_area]]*Lookups!$B$15</f>
        <v>113283.629048</v>
      </c>
      <c r="BN509" s="6">
        <f>Grandview_Inventory[[#This Row],[Fin BSMT]]*Lookups!$B$16</f>
        <v>0</v>
      </c>
      <c r="BO509" s="6">
        <f>(Grandview_Inventory[[#This Row],[att_gar]]+Grandview_Inventory[[#This Row],[bltin_gar]])*Lookups!$B$17</f>
        <v>0</v>
      </c>
      <c r="BP509" s="6">
        <f>Grandview_Inventory[[#This Row],[Plumbing Fixtures]]*Lookups!$B$18</f>
        <v>10052.209000000001</v>
      </c>
      <c r="BQ509" s="6">
        <f>Grandview_Inventory[[#This Row],[detatched_value]]*Lookups!$B$19</f>
        <v>0</v>
      </c>
      <c r="BR509" s="6">
        <f>SUM(Grandview_Inventory[[#This Row],[Intercept]:[det_value]])*Grandview_Inventory[[#This Row],[res_pct]]</f>
        <v>273441.458048</v>
      </c>
      <c r="BS509" s="6">
        <f>Grandview_Inventory[[#This Row],[land_value]]</f>
        <v>43617.792229308972</v>
      </c>
      <c r="BT509" s="4">
        <f>_xlfn.IFNA(VLOOKUP(Grandview_Inventory[[#This Row],[quality]],Lookups!$A$26:$C$33,3,FALSE),1)</f>
        <v>0.98079741117310582</v>
      </c>
      <c r="BU509" s="4">
        <f>_xlfn.IFNA(VLOOKUP(Grandview_Inventory[[#This Row],[condition]],Lookups!$A$37:$C$44,3,FALSE),1)</f>
        <v>0.96469275950863709</v>
      </c>
      <c r="BV509" s="4">
        <f>IF(Grandview_Inventory[[#This Row],[bldg_style]]="",1,_xlfn.IFNA(VLOOKUP(Grandview_Inventory[[#This Row],[decade]],Lookups!$F$29:$H$43,3,FALSE),1))</f>
        <v>0.99472141305414818</v>
      </c>
      <c r="BW509" s="4">
        <f>_xlfn.IFNA(VLOOKUP(Grandview_Inventory[[#This Row],[living_area_range]],Lookups!$F$47:$H$56,3,FALSE),1)</f>
        <v>0.96120133463014379</v>
      </c>
      <c r="BX509" s="4">
        <f>AVERAGE(Grandview_Inventory[[#This Row],[qual_adj]:[size_adj]])</f>
        <v>0.97535322959150883</v>
      </c>
      <c r="BY509" s="6">
        <f>IF(Grandview_Inventory[[#This Row],[pre_res]]&lt;0,0,Grandview_Inventory[[#This Row],[pre_res]]*Grandview_Inventory[[#This Row],[overall_adj]])</f>
        <v>266702.00921132788</v>
      </c>
      <c r="BZ509" s="6">
        <f>(Grandview_Inventory[[#This Row],[sum_land]]-IF(Grandview_Inventory[[#This Row],[no_utilities]]=1,12000,0))/IF(Grandview_Inventory[[#This Row],[unbuildable]]=1,2,1)</f>
        <v>43617.792229308972</v>
      </c>
      <c r="CA509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09">
        <f>ROUND(Grandview_Inventory[[#This Row],[det_value]]*Lookups!$M$28,-2)</f>
        <v>0</v>
      </c>
      <c r="CC509">
        <f>IF(ROUND(Grandview_Inventory[[#This Row],[adj_res]]*Lookups!$M$28,-2)&lt;Grandview_Inventory[[#This Row],[min_res]],Grandview_Inventory[[#This Row],[min_res]],ROUND(Grandview_Inventory[[#This Row],[adj_res]]*Lookups!$M$28,-2))</f>
        <v>253400</v>
      </c>
      <c r="CD509">
        <f>Grandview_Inventory[[#This Row],[final_det]]+Grandview_Inventory[[#This Row],[final_res]]</f>
        <v>253400</v>
      </c>
      <c r="CE509">
        <f>Grandview_Inventory[[#This Row],[final_land]]+Grandview_Inventory[[#This Row],[final_imp]]+Grandview_Inventory[[#This Row],[crop_value]]</f>
        <v>294800</v>
      </c>
      <c r="CG509" t="str">
        <f t="shared" si="7"/>
        <v>update valuation set market_land =41400, market_bldg=253400, market_total =294800, market_mdno =401, market_date ='9/10/2023' where link_id = (select link_id from parcel where parcel_year = '2024' and parcel_id = '23092214490');</v>
      </c>
    </row>
    <row r="510" spans="1:85" x14ac:dyDescent="0.25">
      <c r="A510">
        <v>23092214491</v>
      </c>
      <c r="B510">
        <v>0.14000000000000001</v>
      </c>
      <c r="C510" t="s">
        <v>129</v>
      </c>
      <c r="D510" t="s">
        <v>129</v>
      </c>
      <c r="E510" t="s">
        <v>53</v>
      </c>
      <c r="F510" t="s">
        <v>53</v>
      </c>
      <c r="G510">
        <v>4</v>
      </c>
      <c r="H510" t="s">
        <v>54</v>
      </c>
      <c r="I510">
        <v>133400</v>
      </c>
      <c r="J510">
        <v>38300</v>
      </c>
      <c r="K510">
        <v>0.14000000000000001</v>
      </c>
      <c r="L510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10">
        <v>0</v>
      </c>
      <c r="N510">
        <v>0</v>
      </c>
      <c r="O510">
        <v>0</v>
      </c>
      <c r="P510">
        <v>13398.7528</v>
      </c>
      <c r="Q510">
        <v>63903</v>
      </c>
      <c r="R510">
        <f>(Grandview_Inventory[[#This Row],[ln_acres]]*Grandview_Inventory[[#This Row],[coeff]])+Grandview_Inventory[[#This Row],[const]]</f>
        <v>37559.539860558507</v>
      </c>
      <c r="S510" t="s">
        <v>68</v>
      </c>
      <c r="T510">
        <v>1</v>
      </c>
      <c r="U510" t="s">
        <v>70</v>
      </c>
      <c r="V510" t="s">
        <v>78</v>
      </c>
      <c r="W510">
        <v>0</v>
      </c>
      <c r="X510">
        <v>0</v>
      </c>
      <c r="Y510">
        <v>50</v>
      </c>
      <c r="Z510">
        <v>71</v>
      </c>
      <c r="AA510">
        <v>80</v>
      </c>
      <c r="AB510">
        <v>2000</v>
      </c>
      <c r="AC510">
        <v>1970</v>
      </c>
      <c r="AD510">
        <v>985</v>
      </c>
      <c r="AE510">
        <v>0</v>
      </c>
      <c r="AF510">
        <v>0</v>
      </c>
      <c r="AG510">
        <v>985</v>
      </c>
      <c r="AH510">
        <v>0</v>
      </c>
      <c r="AI510">
        <v>0</v>
      </c>
      <c r="AJ510">
        <v>0</v>
      </c>
      <c r="AK510">
        <v>0</v>
      </c>
      <c r="AL510">
        <v>686</v>
      </c>
      <c r="AM510">
        <v>0</v>
      </c>
      <c r="AN510">
        <v>0</v>
      </c>
      <c r="AO510">
        <v>0</v>
      </c>
      <c r="AP510">
        <v>8</v>
      </c>
      <c r="AQ510">
        <v>0</v>
      </c>
      <c r="AR510">
        <v>0</v>
      </c>
      <c r="AS510" t="s">
        <v>58</v>
      </c>
      <c r="AT510">
        <v>1</v>
      </c>
      <c r="AU510" t="s">
        <v>63</v>
      </c>
      <c r="AV510" t="s">
        <v>60</v>
      </c>
      <c r="AW510">
        <v>1</v>
      </c>
      <c r="AX510">
        <v>4</v>
      </c>
      <c r="AY510">
        <v>0</v>
      </c>
      <c r="AZ510">
        <v>0</v>
      </c>
      <c r="BA510">
        <v>100</v>
      </c>
      <c r="BB510">
        <v>100</v>
      </c>
      <c r="BC510">
        <v>100</v>
      </c>
      <c r="BD510">
        <v>100</v>
      </c>
      <c r="BE510">
        <v>1</v>
      </c>
      <c r="BF510">
        <v>15000</v>
      </c>
      <c r="BG510">
        <v>1000</v>
      </c>
      <c r="BH510" s="6">
        <f>Grandview_Inventory[[#This Row],[land_extract]]*Lookups!$B$3</f>
        <v>43617.792229308972</v>
      </c>
      <c r="BI510" s="6">
        <f>IF(Grandview_Inventory[[#This Row],[bldg_style]]="",0,Lookups!$B$2)</f>
        <v>155833.95000000001</v>
      </c>
      <c r="BJ510" s="6">
        <f>_xlfn.IFNA(VLOOKUP(Grandview_Inventory[[#This Row],[quality]],Lookups!$H$2:$J$14,3,FALSE),0)</f>
        <v>10733</v>
      </c>
      <c r="BK510" s="6">
        <f>_xlfn.IFNA(VLOOKUP(Grandview_Inventory[[#This Row],[condition]],Lookups!$H$17:$J$24,3,FALSE),0)</f>
        <v>-45357</v>
      </c>
      <c r="BL510" s="6">
        <f>Grandview_Inventory[[#This Row],[Eff_Age]]*Lookups!$B$14</f>
        <v>-11958.33</v>
      </c>
      <c r="BM510" s="6">
        <f>Grandview_Inventory[[#This Row],[living_area]]*Lookups!$B$15</f>
        <v>122890.28041000001</v>
      </c>
      <c r="BN510" s="6">
        <f>Grandview_Inventory[[#This Row],[Fin BSMT]]*Lookups!$B$16</f>
        <v>-26692.751400000001</v>
      </c>
      <c r="BO510" s="6">
        <f>(Grandview_Inventory[[#This Row],[att_gar]]+Grandview_Inventory[[#This Row],[bltin_gar]])*Lookups!$B$17</f>
        <v>0</v>
      </c>
      <c r="BP510" s="6">
        <f>Grandview_Inventory[[#This Row],[Plumbing Fixtures]]*Lookups!$B$18</f>
        <v>16083.5344</v>
      </c>
      <c r="BQ510" s="6">
        <f>Grandview_Inventory[[#This Row],[detatched_value]]*Lookups!$B$19</f>
        <v>0</v>
      </c>
      <c r="BR510" s="6">
        <f>SUM(Grandview_Inventory[[#This Row],[Intercept]:[det_value]])*Grandview_Inventory[[#This Row],[res_pct]]</f>
        <v>221532.68341</v>
      </c>
      <c r="BS510" s="6">
        <f>Grandview_Inventory[[#This Row],[land_value]]</f>
        <v>43617.792229308972</v>
      </c>
      <c r="BT510" s="4">
        <f>_xlfn.IFNA(VLOOKUP(Grandview_Inventory[[#This Row],[quality]],Lookups!$A$26:$C$33,3,FALSE),1)</f>
        <v>0.98079741117310582</v>
      </c>
      <c r="BU510" s="4">
        <f>_xlfn.IFNA(VLOOKUP(Grandview_Inventory[[#This Row],[condition]],Lookups!$A$37:$C$44,3,FALSE),1)</f>
        <v>0.97161819570155394</v>
      </c>
      <c r="BV510" s="4">
        <f>IF(Grandview_Inventory[[#This Row],[bldg_style]]="",1,_xlfn.IFNA(VLOOKUP(Grandview_Inventory[[#This Row],[decade]],Lookups!$F$29:$H$43,3,FALSE),1))</f>
        <v>0.98763256963907298</v>
      </c>
      <c r="BW510" s="4">
        <f>_xlfn.IFNA(VLOOKUP(Grandview_Inventory[[#This Row],[living_area_range]],Lookups!$F$47:$H$56,3,FALSE),1)</f>
        <v>0.96120133463014379</v>
      </c>
      <c r="BX510" s="4">
        <f>AVERAGE(Grandview_Inventory[[#This Row],[qual_adj]:[size_adj]])</f>
        <v>0.97531237778596913</v>
      </c>
      <c r="BY510" s="6">
        <f>IF(Grandview_Inventory[[#This Row],[pre_res]]&lt;0,0,Grandview_Inventory[[#This Row],[pre_res]]*Grandview_Inventory[[#This Row],[overall_adj]])</f>
        <v>216063.56821391342</v>
      </c>
      <c r="BZ510" s="6">
        <f>(Grandview_Inventory[[#This Row],[sum_land]]-IF(Grandview_Inventory[[#This Row],[no_utilities]]=1,12000,0))/IF(Grandview_Inventory[[#This Row],[unbuildable]]=1,2,1)</f>
        <v>43617.792229308972</v>
      </c>
      <c r="CA510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10">
        <f>ROUND(Grandview_Inventory[[#This Row],[det_value]]*Lookups!$M$28,-2)</f>
        <v>0</v>
      </c>
      <c r="CC510">
        <f>IF(ROUND(Grandview_Inventory[[#This Row],[adj_res]]*Lookups!$M$28,-2)&lt;Grandview_Inventory[[#This Row],[min_res]],Grandview_Inventory[[#This Row],[min_res]],ROUND(Grandview_Inventory[[#This Row],[adj_res]]*Lookups!$M$28,-2))</f>
        <v>205300</v>
      </c>
      <c r="CD510">
        <f>Grandview_Inventory[[#This Row],[final_det]]+Grandview_Inventory[[#This Row],[final_res]]</f>
        <v>205300</v>
      </c>
      <c r="CE510">
        <f>Grandview_Inventory[[#This Row],[final_land]]+Grandview_Inventory[[#This Row],[final_imp]]+Grandview_Inventory[[#This Row],[crop_value]]</f>
        <v>246700</v>
      </c>
      <c r="CG510" t="str">
        <f t="shared" si="7"/>
        <v>update valuation set market_land =41400, market_bldg=205300, market_total =246700, market_mdno =401, market_date ='9/10/2023' where link_id = (select link_id from parcel where parcel_year = '2024' and parcel_id = '23092214491');</v>
      </c>
    </row>
    <row r="511" spans="1:85" x14ac:dyDescent="0.25">
      <c r="A511">
        <v>23092214492</v>
      </c>
      <c r="B511">
        <v>0.14000000000000001</v>
      </c>
      <c r="C511" t="s">
        <v>129</v>
      </c>
      <c r="D511" t="s">
        <v>129</v>
      </c>
      <c r="E511" t="s">
        <v>53</v>
      </c>
      <c r="F511" t="s">
        <v>53</v>
      </c>
      <c r="G511">
        <v>4</v>
      </c>
      <c r="H511" t="s">
        <v>54</v>
      </c>
      <c r="I511">
        <v>155000</v>
      </c>
      <c r="J511">
        <v>42400</v>
      </c>
      <c r="K511">
        <v>0.14000000000000001</v>
      </c>
      <c r="L511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511">
        <v>0</v>
      </c>
      <c r="N511">
        <v>0</v>
      </c>
      <c r="O511">
        <v>0</v>
      </c>
      <c r="P511">
        <v>13398.7528</v>
      </c>
      <c r="Q511">
        <v>63903</v>
      </c>
      <c r="R511">
        <f>(Grandview_Inventory[[#This Row],[ln_acres]]*Grandview_Inventory[[#This Row],[coeff]])+Grandview_Inventory[[#This Row],[const]]</f>
        <v>37559.539860558507</v>
      </c>
      <c r="S511" t="s">
        <v>68</v>
      </c>
      <c r="T511">
        <v>1</v>
      </c>
      <c r="U511" t="s">
        <v>65</v>
      </c>
      <c r="V511" t="s">
        <v>69</v>
      </c>
      <c r="W511">
        <v>0</v>
      </c>
      <c r="X511">
        <v>0</v>
      </c>
      <c r="Y511">
        <v>50</v>
      </c>
      <c r="Z511">
        <v>71</v>
      </c>
      <c r="AA511">
        <v>80</v>
      </c>
      <c r="AB511">
        <v>2500</v>
      </c>
      <c r="AC511">
        <v>2344</v>
      </c>
      <c r="AD511">
        <v>1172</v>
      </c>
      <c r="AE511">
        <v>0</v>
      </c>
      <c r="AF511">
        <v>0</v>
      </c>
      <c r="AG511">
        <v>1172</v>
      </c>
      <c r="AH511">
        <v>0</v>
      </c>
      <c r="AI511">
        <v>0</v>
      </c>
      <c r="AJ511">
        <v>0</v>
      </c>
      <c r="AK511">
        <v>0</v>
      </c>
      <c r="AL511">
        <v>334</v>
      </c>
      <c r="AM511">
        <v>0</v>
      </c>
      <c r="AN511">
        <v>0</v>
      </c>
      <c r="AO511">
        <v>0</v>
      </c>
      <c r="AP511">
        <v>7</v>
      </c>
      <c r="AQ511">
        <v>0</v>
      </c>
      <c r="AR511">
        <v>0</v>
      </c>
      <c r="AS511" t="s">
        <v>58</v>
      </c>
      <c r="AT511">
        <v>0</v>
      </c>
      <c r="AU511" t="s">
        <v>82</v>
      </c>
      <c r="AV511" t="s">
        <v>64</v>
      </c>
      <c r="AW511">
        <v>0</v>
      </c>
      <c r="AX511">
        <v>3</v>
      </c>
      <c r="AY511">
        <v>0</v>
      </c>
      <c r="AZ511">
        <v>7500</v>
      </c>
      <c r="BA511">
        <v>100</v>
      </c>
      <c r="BB511">
        <v>100</v>
      </c>
      <c r="BC511">
        <v>100</v>
      </c>
      <c r="BD511">
        <v>100</v>
      </c>
      <c r="BE511">
        <v>1</v>
      </c>
      <c r="BF511">
        <v>15000</v>
      </c>
      <c r="BG511">
        <v>1000</v>
      </c>
      <c r="BH511" s="6">
        <f>Grandview_Inventory[[#This Row],[land_extract]]*Lookups!$B$3</f>
        <v>43617.792229308972</v>
      </c>
      <c r="BI511" s="6">
        <f>IF(Grandview_Inventory[[#This Row],[bldg_style]]="",0,Lookups!$B$2)</f>
        <v>155833.95000000001</v>
      </c>
      <c r="BJ511" s="6">
        <f>_xlfn.IFNA(VLOOKUP(Grandview_Inventory[[#This Row],[quality]],Lookups!$H$2:$J$14,3,FALSE),0)</f>
        <v>2251</v>
      </c>
      <c r="BK511" s="6">
        <f>_xlfn.IFNA(VLOOKUP(Grandview_Inventory[[#This Row],[condition]],Lookups!$H$17:$J$24,3,FALSE),0)</f>
        <v>-4503</v>
      </c>
      <c r="BL511" s="6">
        <f>Grandview_Inventory[[#This Row],[Eff_Age]]*Lookups!$B$14</f>
        <v>-11958.33</v>
      </c>
      <c r="BM511" s="6">
        <f>Grandview_Inventory[[#This Row],[living_area]]*Lookups!$B$15</f>
        <v>146220.71943200001</v>
      </c>
      <c r="BN511" s="6">
        <f>Grandview_Inventory[[#This Row],[Fin BSMT]]*Lookups!$B$16</f>
        <v>-31760.309280000001</v>
      </c>
      <c r="BO511" s="6">
        <f>(Grandview_Inventory[[#This Row],[att_gar]]+Grandview_Inventory[[#This Row],[bltin_gar]])*Lookups!$B$17</f>
        <v>0</v>
      </c>
      <c r="BP511" s="6">
        <f>Grandview_Inventory[[#This Row],[Plumbing Fixtures]]*Lookups!$B$18</f>
        <v>14073.0926</v>
      </c>
      <c r="BQ511" s="6">
        <f>Grandview_Inventory[[#This Row],[detatched_value]]*Lookups!$B$19</f>
        <v>6351.0382499999996</v>
      </c>
      <c r="BR511" s="6">
        <f>SUM(Grandview_Inventory[[#This Row],[Intercept]:[det_value]])*Grandview_Inventory[[#This Row],[res_pct]]</f>
        <v>276508.16100200004</v>
      </c>
      <c r="BS511" s="6">
        <f>Grandview_Inventory[[#This Row],[land_value]]</f>
        <v>43617.792229308972</v>
      </c>
      <c r="BT511" s="4">
        <f>_xlfn.IFNA(VLOOKUP(Grandview_Inventory[[#This Row],[quality]],Lookups!$A$26:$C$33,3,FALSE),1)</f>
        <v>0.98763855981004833</v>
      </c>
      <c r="BU511" s="4">
        <f>_xlfn.IFNA(VLOOKUP(Grandview_Inventory[[#This Row],[condition]],Lookups!$A$37:$C$44,3,FALSE),1)</f>
        <v>0.96469275950863709</v>
      </c>
      <c r="BV511" s="4">
        <f>IF(Grandview_Inventory[[#This Row],[bldg_style]]="",1,_xlfn.IFNA(VLOOKUP(Grandview_Inventory[[#This Row],[decade]],Lookups!$F$29:$H$43,3,FALSE),1))</f>
        <v>0.98763256963907298</v>
      </c>
      <c r="BW511" s="4">
        <f>_xlfn.IFNA(VLOOKUP(Grandview_Inventory[[#This Row],[living_area_range]],Lookups!$F$47:$H$56,3,FALSE),1)</f>
        <v>0.95799442568048754</v>
      </c>
      <c r="BX511" s="4">
        <f>AVERAGE(Grandview_Inventory[[#This Row],[qual_adj]:[size_adj]])</f>
        <v>0.97448957865956143</v>
      </c>
      <c r="BY511" s="6">
        <f>IF(Grandview_Inventory[[#This Row],[pre_res]]&lt;0,0,Grandview_Inventory[[#This Row],[pre_res]]*Grandview_Inventory[[#This Row],[overall_adj]])</f>
        <v>269454.32131076918</v>
      </c>
      <c r="BZ511" s="6">
        <f>(Grandview_Inventory[[#This Row],[sum_land]]-IF(Grandview_Inventory[[#This Row],[no_utilities]]=1,12000,0))/IF(Grandview_Inventory[[#This Row],[unbuildable]]=1,2,1)</f>
        <v>43617.792229308972</v>
      </c>
      <c r="CA511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511">
        <f>ROUND(Grandview_Inventory[[#This Row],[det_value]]*Lookups!$M$28,-2)</f>
        <v>6000</v>
      </c>
      <c r="CC511">
        <f>IF(ROUND(Grandview_Inventory[[#This Row],[adj_res]]*Lookups!$M$28,-2)&lt;Grandview_Inventory[[#This Row],[min_res]],Grandview_Inventory[[#This Row],[min_res]],ROUND(Grandview_Inventory[[#This Row],[adj_res]]*Lookups!$M$28,-2))</f>
        <v>256000</v>
      </c>
      <c r="CD511">
        <f>Grandview_Inventory[[#This Row],[final_det]]+Grandview_Inventory[[#This Row],[final_res]]</f>
        <v>262000</v>
      </c>
      <c r="CE511">
        <f>Grandview_Inventory[[#This Row],[final_land]]+Grandview_Inventory[[#This Row],[final_imp]]+Grandview_Inventory[[#This Row],[crop_value]]</f>
        <v>303400</v>
      </c>
      <c r="CG511" t="str">
        <f t="shared" si="7"/>
        <v>update valuation set market_land =41400, market_bldg=262000, market_total =303400, market_mdno =401, market_date ='9/10/2023' where link_id = (select link_id from parcel where parcel_year = '2024' and parcel_id = '23092214492');</v>
      </c>
    </row>
    <row r="512" spans="1:85" x14ac:dyDescent="0.25">
      <c r="A512">
        <v>23092214493</v>
      </c>
      <c r="B512">
        <v>0.15</v>
      </c>
      <c r="C512">
        <v>6342</v>
      </c>
      <c r="D512" t="s">
        <v>129</v>
      </c>
      <c r="E512" t="s">
        <v>53</v>
      </c>
      <c r="F512" t="s">
        <v>53</v>
      </c>
      <c r="G512">
        <v>4</v>
      </c>
      <c r="H512" t="s">
        <v>54</v>
      </c>
      <c r="I512">
        <v>97700</v>
      </c>
      <c r="J512">
        <v>38300</v>
      </c>
      <c r="K512">
        <v>0.15</v>
      </c>
      <c r="L512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512">
        <v>0</v>
      </c>
      <c r="N512">
        <v>0</v>
      </c>
      <c r="O512">
        <v>0</v>
      </c>
      <c r="P512">
        <v>13398.7528</v>
      </c>
      <c r="Q512">
        <v>63903</v>
      </c>
      <c r="R512">
        <f>(Grandview_Inventory[[#This Row],[ln_acres]]*Grandview_Inventory[[#This Row],[coeff]])+Grandview_Inventory[[#This Row],[const]]</f>
        <v>38483.958290574345</v>
      </c>
      <c r="S512" t="s">
        <v>68</v>
      </c>
      <c r="T512">
        <v>1</v>
      </c>
      <c r="U512" t="s">
        <v>70</v>
      </c>
      <c r="V512" t="s">
        <v>78</v>
      </c>
      <c r="W512">
        <v>0</v>
      </c>
      <c r="X512">
        <v>0</v>
      </c>
      <c r="Y512">
        <v>49</v>
      </c>
      <c r="Z512">
        <v>69</v>
      </c>
      <c r="AA512">
        <v>70</v>
      </c>
      <c r="AB512">
        <v>1500</v>
      </c>
      <c r="AC512">
        <v>1052</v>
      </c>
      <c r="AD512">
        <v>1052</v>
      </c>
      <c r="AE512">
        <v>0</v>
      </c>
      <c r="AF512">
        <v>0</v>
      </c>
      <c r="AG512">
        <v>0</v>
      </c>
      <c r="AH512">
        <v>1052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5</v>
      </c>
      <c r="AQ512">
        <v>0</v>
      </c>
      <c r="AR512">
        <v>0</v>
      </c>
      <c r="AS512" t="s">
        <v>58</v>
      </c>
      <c r="AT512">
        <v>1</v>
      </c>
      <c r="AU512" t="s">
        <v>63</v>
      </c>
      <c r="AV512" t="s">
        <v>60</v>
      </c>
      <c r="AW512">
        <v>0</v>
      </c>
      <c r="AX512">
        <v>2</v>
      </c>
      <c r="AY512">
        <v>0</v>
      </c>
      <c r="AZ512">
        <v>0</v>
      </c>
      <c r="BA512">
        <v>100</v>
      </c>
      <c r="BB512">
        <v>100</v>
      </c>
      <c r="BC512">
        <v>100</v>
      </c>
      <c r="BD512">
        <v>100</v>
      </c>
      <c r="BE512">
        <v>1</v>
      </c>
      <c r="BF512">
        <v>15000</v>
      </c>
      <c r="BG512">
        <v>1000</v>
      </c>
      <c r="BH512" s="6">
        <f>Grandview_Inventory[[#This Row],[land_extract]]*Lookups!$B$3</f>
        <v>44691.316856156598</v>
      </c>
      <c r="BI512" s="6">
        <f>IF(Grandview_Inventory[[#This Row],[bldg_style]]="",0,Lookups!$B$2)</f>
        <v>155833.95000000001</v>
      </c>
      <c r="BJ512" s="6">
        <f>_xlfn.IFNA(VLOOKUP(Grandview_Inventory[[#This Row],[quality]],Lookups!$H$2:$J$14,3,FALSE),0)</f>
        <v>10733</v>
      </c>
      <c r="BK512" s="6">
        <f>_xlfn.IFNA(VLOOKUP(Grandview_Inventory[[#This Row],[condition]],Lookups!$H$17:$J$24,3,FALSE),0)</f>
        <v>-45357</v>
      </c>
      <c r="BL512" s="6">
        <f>Grandview_Inventory[[#This Row],[Eff_Age]]*Lookups!$B$14</f>
        <v>-11719.163399999999</v>
      </c>
      <c r="BM512" s="6">
        <f>Grandview_Inventory[[#This Row],[living_area]]*Lookups!$B$15</f>
        <v>65624.657355999996</v>
      </c>
      <c r="BN512" s="6">
        <f>Grandview_Inventory[[#This Row],[Fin BSMT]]*Lookups!$B$16</f>
        <v>0</v>
      </c>
      <c r="BO512" s="6">
        <f>(Grandview_Inventory[[#This Row],[att_gar]]+Grandview_Inventory[[#This Row],[bltin_gar]])*Lookups!$B$17</f>
        <v>0</v>
      </c>
      <c r="BP512" s="6">
        <f>Grandview_Inventory[[#This Row],[Plumbing Fixtures]]*Lookups!$B$18</f>
        <v>10052.209000000001</v>
      </c>
      <c r="BQ512" s="6">
        <f>Grandview_Inventory[[#This Row],[detatched_value]]*Lookups!$B$19</f>
        <v>0</v>
      </c>
      <c r="BR512" s="6">
        <f>SUM(Grandview_Inventory[[#This Row],[Intercept]:[det_value]])*Grandview_Inventory[[#This Row],[res_pct]]</f>
        <v>185167.65295600001</v>
      </c>
      <c r="BS512" s="6">
        <f>Grandview_Inventory[[#This Row],[land_value]]</f>
        <v>44691.316856156598</v>
      </c>
      <c r="BT512" s="4">
        <f>_xlfn.IFNA(VLOOKUP(Grandview_Inventory[[#This Row],[quality]],Lookups!$A$26:$C$33,3,FALSE),1)</f>
        <v>0.98079741117310582</v>
      </c>
      <c r="BU512" s="4">
        <f>_xlfn.IFNA(VLOOKUP(Grandview_Inventory[[#This Row],[condition]],Lookups!$A$37:$C$44,3,FALSE),1)</f>
        <v>0.97161819570155394</v>
      </c>
      <c r="BV512" s="4">
        <f>IF(Grandview_Inventory[[#This Row],[bldg_style]]="",1,_xlfn.IFNA(VLOOKUP(Grandview_Inventory[[#This Row],[decade]],Lookups!$F$29:$H$43,3,FALSE),1))</f>
        <v>0.99472141305414818</v>
      </c>
      <c r="BW512" s="4">
        <f>_xlfn.IFNA(VLOOKUP(Grandview_Inventory[[#This Row],[living_area_range]],Lookups!$F$47:$H$56,3,FALSE),1)</f>
        <v>0.96135087979789358</v>
      </c>
      <c r="BX512" s="4">
        <f>AVERAGE(Grandview_Inventory[[#This Row],[qual_adj]:[size_adj]])</f>
        <v>0.9771219749316753</v>
      </c>
      <c r="BY512" s="6">
        <f>IF(Grandview_Inventory[[#This Row],[pre_res]]&lt;0,0,Grandview_Inventory[[#This Row],[pre_res]]*Grandview_Inventory[[#This Row],[overall_adj]])</f>
        <v>180931.38274982979</v>
      </c>
      <c r="BZ512" s="6">
        <f>(Grandview_Inventory[[#This Row],[sum_land]]-IF(Grandview_Inventory[[#This Row],[no_utilities]]=1,12000,0))/IF(Grandview_Inventory[[#This Row],[unbuildable]]=1,2,1)</f>
        <v>44691.316856156598</v>
      </c>
      <c r="CA512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512">
        <f>ROUND(Grandview_Inventory[[#This Row],[det_value]]*Lookups!$M$28,-2)</f>
        <v>0</v>
      </c>
      <c r="CC512">
        <f>IF(ROUND(Grandview_Inventory[[#This Row],[adj_res]]*Lookups!$M$28,-2)&lt;Grandview_Inventory[[#This Row],[min_res]],Grandview_Inventory[[#This Row],[min_res]],ROUND(Grandview_Inventory[[#This Row],[adj_res]]*Lookups!$M$28,-2))</f>
        <v>171900</v>
      </c>
      <c r="CD512">
        <f>Grandview_Inventory[[#This Row],[final_det]]+Grandview_Inventory[[#This Row],[final_res]]</f>
        <v>171900</v>
      </c>
      <c r="CE512">
        <f>Grandview_Inventory[[#This Row],[final_land]]+Grandview_Inventory[[#This Row],[final_imp]]+Grandview_Inventory[[#This Row],[crop_value]]</f>
        <v>214400</v>
      </c>
      <c r="CG512" t="str">
        <f t="shared" si="7"/>
        <v>update valuation set market_land =42500, market_bldg=171900, market_total =214400, market_mdno =401, market_date ='9/10/2023' where link_id = (select link_id from parcel where parcel_year = '2024' and parcel_id = '23092214493');</v>
      </c>
    </row>
    <row r="513" spans="1:85" x14ac:dyDescent="0.25">
      <c r="A513">
        <v>23092214494</v>
      </c>
      <c r="B513">
        <v>0.17</v>
      </c>
      <c r="C513">
        <v>7225</v>
      </c>
      <c r="D513" t="s">
        <v>129</v>
      </c>
      <c r="E513" t="s">
        <v>53</v>
      </c>
      <c r="F513" t="s">
        <v>53</v>
      </c>
      <c r="G513">
        <v>4</v>
      </c>
      <c r="H513" t="s">
        <v>54</v>
      </c>
      <c r="I513">
        <v>139600</v>
      </c>
      <c r="J513">
        <v>43000</v>
      </c>
      <c r="K513">
        <v>0.17</v>
      </c>
      <c r="L51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13">
        <v>0</v>
      </c>
      <c r="N513">
        <v>0</v>
      </c>
      <c r="O513">
        <v>0</v>
      </c>
      <c r="P513">
        <v>13398.7528</v>
      </c>
      <c r="Q513">
        <v>63903</v>
      </c>
      <c r="R513">
        <f>(Grandview_Inventory[[#This Row],[ln_acres]]*Grandview_Inventory[[#This Row],[coeff]])+Grandview_Inventory[[#This Row],[const]]</f>
        <v>40160.988302686128</v>
      </c>
      <c r="S513" t="s">
        <v>68</v>
      </c>
      <c r="T513">
        <v>1</v>
      </c>
      <c r="U513" t="s">
        <v>65</v>
      </c>
      <c r="V513" t="s">
        <v>69</v>
      </c>
      <c r="W513">
        <v>0</v>
      </c>
      <c r="X513">
        <v>0</v>
      </c>
      <c r="Y513">
        <v>50</v>
      </c>
      <c r="Z513">
        <v>71</v>
      </c>
      <c r="AA513">
        <v>80</v>
      </c>
      <c r="AB513">
        <v>1500</v>
      </c>
      <c r="AC513">
        <v>1050</v>
      </c>
      <c r="AD513">
        <v>1050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320</v>
      </c>
      <c r="AL513">
        <v>0</v>
      </c>
      <c r="AM513">
        <v>0</v>
      </c>
      <c r="AN513">
        <v>0</v>
      </c>
      <c r="AO513">
        <v>0</v>
      </c>
      <c r="AP513">
        <v>5</v>
      </c>
      <c r="AQ513">
        <v>0</v>
      </c>
      <c r="AR513">
        <v>0</v>
      </c>
      <c r="AS513" t="s">
        <v>58</v>
      </c>
      <c r="AT513">
        <v>1</v>
      </c>
      <c r="AU513" t="s">
        <v>63</v>
      </c>
      <c r="AV513" t="s">
        <v>64</v>
      </c>
      <c r="AW513">
        <v>1</v>
      </c>
      <c r="AX513">
        <v>2</v>
      </c>
      <c r="AY513">
        <v>0</v>
      </c>
      <c r="AZ513">
        <v>9700</v>
      </c>
      <c r="BA513">
        <v>100</v>
      </c>
      <c r="BB513">
        <v>100</v>
      </c>
      <c r="BC513">
        <v>100</v>
      </c>
      <c r="BD513">
        <v>100</v>
      </c>
      <c r="BE513">
        <v>1</v>
      </c>
      <c r="BF513">
        <v>15000</v>
      </c>
      <c r="BG513">
        <v>1000</v>
      </c>
      <c r="BH513" s="6">
        <f>Grandview_Inventory[[#This Row],[land_extract]]*Lookups!$B$3</f>
        <v>46638.847281240982</v>
      </c>
      <c r="BI513" s="6">
        <f>IF(Grandview_Inventory[[#This Row],[bldg_style]]="",0,Lookups!$B$2)</f>
        <v>155833.95000000001</v>
      </c>
      <c r="BJ513" s="6">
        <f>_xlfn.IFNA(VLOOKUP(Grandview_Inventory[[#This Row],[quality]],Lookups!$H$2:$J$14,3,FALSE),0)</f>
        <v>2251</v>
      </c>
      <c r="BK513" s="6">
        <f>_xlfn.IFNA(VLOOKUP(Grandview_Inventory[[#This Row],[condition]],Lookups!$H$17:$J$24,3,FALSE),0)</f>
        <v>-4503</v>
      </c>
      <c r="BL513" s="6">
        <f>Grandview_Inventory[[#This Row],[Eff_Age]]*Lookups!$B$14</f>
        <v>-11958.33</v>
      </c>
      <c r="BM513" s="6">
        <f>Grandview_Inventory[[#This Row],[living_area]]*Lookups!$B$15</f>
        <v>65499.895649999999</v>
      </c>
      <c r="BN513" s="6">
        <f>Grandview_Inventory[[#This Row],[Fin BSMT]]*Lookups!$B$16</f>
        <v>0</v>
      </c>
      <c r="BO513" s="6">
        <f>(Grandview_Inventory[[#This Row],[att_gar]]+Grandview_Inventory[[#This Row],[bltin_gar]])*Lookups!$B$17</f>
        <v>0</v>
      </c>
      <c r="BP513" s="6">
        <f>Grandview_Inventory[[#This Row],[Plumbing Fixtures]]*Lookups!$B$18</f>
        <v>10052.209000000001</v>
      </c>
      <c r="BQ513" s="6">
        <f>Grandview_Inventory[[#This Row],[detatched_value]]*Lookups!$B$19</f>
        <v>8214.0094699999991</v>
      </c>
      <c r="BR513" s="6">
        <f>SUM(Grandview_Inventory[[#This Row],[Intercept]:[det_value]])*Grandview_Inventory[[#This Row],[res_pct]]</f>
        <v>225389.73412000001</v>
      </c>
      <c r="BS513" s="6">
        <f>Grandview_Inventory[[#This Row],[land_value]]</f>
        <v>46638.847281240982</v>
      </c>
      <c r="BT513" s="4">
        <f>_xlfn.IFNA(VLOOKUP(Grandview_Inventory[[#This Row],[quality]],Lookups!$A$26:$C$33,3,FALSE),1)</f>
        <v>0.98763855981004833</v>
      </c>
      <c r="BU513" s="4">
        <f>_xlfn.IFNA(VLOOKUP(Grandview_Inventory[[#This Row],[condition]],Lookups!$A$37:$C$44,3,FALSE),1)</f>
        <v>0.96469275950863709</v>
      </c>
      <c r="BV513" s="4">
        <f>IF(Grandview_Inventory[[#This Row],[bldg_style]]="",1,_xlfn.IFNA(VLOOKUP(Grandview_Inventory[[#This Row],[decade]],Lookups!$F$29:$H$43,3,FALSE),1))</f>
        <v>0.98763256963907298</v>
      </c>
      <c r="BW513" s="4">
        <f>_xlfn.IFNA(VLOOKUP(Grandview_Inventory[[#This Row],[living_area_range]],Lookups!$F$47:$H$56,3,FALSE),1)</f>
        <v>0.96135087979789358</v>
      </c>
      <c r="BX513" s="4">
        <f>AVERAGE(Grandview_Inventory[[#This Row],[qual_adj]:[size_adj]])</f>
        <v>0.97532869218891294</v>
      </c>
      <c r="BY513" s="6">
        <f>IF(Grandview_Inventory[[#This Row],[pre_res]]&lt;0,0,Grandview_Inventory[[#This Row],[pre_res]]*Grandview_Inventory[[#This Row],[overall_adj]])</f>
        <v>219829.07461206641</v>
      </c>
      <c r="BZ513" s="6">
        <f>(Grandview_Inventory[[#This Row],[sum_land]]-IF(Grandview_Inventory[[#This Row],[no_utilities]]=1,12000,0))/IF(Grandview_Inventory[[#This Row],[unbuildable]]=1,2,1)</f>
        <v>46638.847281240982</v>
      </c>
      <c r="CA51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13">
        <f>ROUND(Grandview_Inventory[[#This Row],[det_value]]*Lookups!$M$28,-2)</f>
        <v>7800</v>
      </c>
      <c r="CC513">
        <f>IF(ROUND(Grandview_Inventory[[#This Row],[adj_res]]*Lookups!$M$28,-2)&lt;Grandview_Inventory[[#This Row],[min_res]],Grandview_Inventory[[#This Row],[min_res]],ROUND(Grandview_Inventory[[#This Row],[adj_res]]*Lookups!$M$28,-2))</f>
        <v>208800</v>
      </c>
      <c r="CD513">
        <f>Grandview_Inventory[[#This Row],[final_det]]+Grandview_Inventory[[#This Row],[final_res]]</f>
        <v>216600</v>
      </c>
      <c r="CE513">
        <f>Grandview_Inventory[[#This Row],[final_land]]+Grandview_Inventory[[#This Row],[final_imp]]+Grandview_Inventory[[#This Row],[crop_value]]</f>
        <v>260900</v>
      </c>
      <c r="CG513" t="str">
        <f t="shared" si="7"/>
        <v>update valuation set market_land =44300, market_bldg=216600, market_total =260900, market_mdno =401, market_date ='9/10/2023' where link_id = (select link_id from parcel where parcel_year = '2024' and parcel_id = '23092214494');</v>
      </c>
    </row>
    <row r="514" spans="1:85" x14ac:dyDescent="0.25">
      <c r="A514">
        <v>23092214495</v>
      </c>
      <c r="B514">
        <v>0.25</v>
      </c>
      <c r="C514">
        <v>10838</v>
      </c>
      <c r="D514" t="s">
        <v>129</v>
      </c>
      <c r="E514" t="s">
        <v>53</v>
      </c>
      <c r="F514" t="s">
        <v>53</v>
      </c>
      <c r="G514">
        <v>4</v>
      </c>
      <c r="H514" t="s">
        <v>54</v>
      </c>
      <c r="I514">
        <v>138600</v>
      </c>
      <c r="J514">
        <v>44400</v>
      </c>
      <c r="K514">
        <v>0.25</v>
      </c>
      <c r="L51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514">
        <v>0</v>
      </c>
      <c r="N514">
        <v>0</v>
      </c>
      <c r="O514">
        <v>0</v>
      </c>
      <c r="P514">
        <v>13398.7528</v>
      </c>
      <c r="Q514">
        <v>63903</v>
      </c>
      <c r="R514">
        <f>(Grandview_Inventory[[#This Row],[ln_acres]]*Grandview_Inventory[[#This Row],[coeff]])+Grandview_Inventory[[#This Row],[const]]</f>
        <v>45328.38454732066</v>
      </c>
      <c r="S514" t="s">
        <v>61</v>
      </c>
      <c r="T514">
        <v>1</v>
      </c>
      <c r="U514" t="s">
        <v>65</v>
      </c>
      <c r="V514" t="s">
        <v>69</v>
      </c>
      <c r="W514">
        <v>0</v>
      </c>
      <c r="X514">
        <v>0</v>
      </c>
      <c r="Y514">
        <v>49</v>
      </c>
      <c r="Z514">
        <v>68</v>
      </c>
      <c r="AA514">
        <v>70</v>
      </c>
      <c r="AB514">
        <v>1500</v>
      </c>
      <c r="AC514">
        <v>1072</v>
      </c>
      <c r="AD514">
        <v>1072</v>
      </c>
      <c r="AE514">
        <v>0</v>
      </c>
      <c r="AF514">
        <v>0</v>
      </c>
      <c r="AG514">
        <v>0</v>
      </c>
      <c r="AH514">
        <v>0</v>
      </c>
      <c r="AI514">
        <v>274</v>
      </c>
      <c r="AJ514">
        <v>0</v>
      </c>
      <c r="AK514">
        <v>0</v>
      </c>
      <c r="AL514">
        <v>0</v>
      </c>
      <c r="AM514">
        <v>312</v>
      </c>
      <c r="AN514">
        <v>0</v>
      </c>
      <c r="AO514">
        <v>0</v>
      </c>
      <c r="AP514">
        <v>5</v>
      </c>
      <c r="AQ514">
        <v>0</v>
      </c>
      <c r="AR514">
        <v>0</v>
      </c>
      <c r="AS514" t="s">
        <v>58</v>
      </c>
      <c r="AT514">
        <v>1</v>
      </c>
      <c r="AU514" t="s">
        <v>63</v>
      </c>
      <c r="AV514" t="s">
        <v>60</v>
      </c>
      <c r="AW514">
        <v>0</v>
      </c>
      <c r="AX514">
        <v>3</v>
      </c>
      <c r="AY514">
        <v>0</v>
      </c>
      <c r="AZ514">
        <v>0</v>
      </c>
      <c r="BA514">
        <v>100</v>
      </c>
      <c r="BB514">
        <v>100</v>
      </c>
      <c r="BC514">
        <v>100</v>
      </c>
      <c r="BD514">
        <v>100</v>
      </c>
      <c r="BE514">
        <v>1</v>
      </c>
      <c r="BF514">
        <v>15000</v>
      </c>
      <c r="BG514">
        <v>1000</v>
      </c>
      <c r="BH514" s="6">
        <f>Grandview_Inventory[[#This Row],[land_extract]]*Lookups!$B$3</f>
        <v>52639.730588165206</v>
      </c>
      <c r="BI514" s="6">
        <f>IF(Grandview_Inventory[[#This Row],[bldg_style]]="",0,Lookups!$B$2)</f>
        <v>155833.95000000001</v>
      </c>
      <c r="BJ514" s="6">
        <f>_xlfn.IFNA(VLOOKUP(Grandview_Inventory[[#This Row],[quality]],Lookups!$H$2:$J$14,3,FALSE),0)</f>
        <v>2251</v>
      </c>
      <c r="BK514" s="6">
        <f>_xlfn.IFNA(VLOOKUP(Grandview_Inventory[[#This Row],[condition]],Lookups!$H$17:$J$24,3,FALSE),0)</f>
        <v>-4503</v>
      </c>
      <c r="BL514" s="6">
        <f>Grandview_Inventory[[#This Row],[Eff_Age]]*Lookups!$B$14</f>
        <v>-11719.163399999999</v>
      </c>
      <c r="BM514" s="6">
        <f>Grandview_Inventory[[#This Row],[living_area]]*Lookups!$B$15</f>
        <v>66872.274416</v>
      </c>
      <c r="BN514" s="6">
        <f>Grandview_Inventory[[#This Row],[Fin BSMT]]*Lookups!$B$16</f>
        <v>0</v>
      </c>
      <c r="BO514" s="6">
        <f>(Grandview_Inventory[[#This Row],[att_gar]]+Grandview_Inventory[[#This Row],[bltin_gar]])*Lookups!$B$17</f>
        <v>23980.599738000001</v>
      </c>
      <c r="BP514" s="6">
        <f>Grandview_Inventory[[#This Row],[Plumbing Fixtures]]*Lookups!$B$18</f>
        <v>10052.209000000001</v>
      </c>
      <c r="BQ514" s="6">
        <f>Grandview_Inventory[[#This Row],[detatched_value]]*Lookups!$B$19</f>
        <v>0</v>
      </c>
      <c r="BR514" s="6">
        <f>SUM(Grandview_Inventory[[#This Row],[Intercept]:[det_value]])*Grandview_Inventory[[#This Row],[res_pct]]</f>
        <v>242767.86975400001</v>
      </c>
      <c r="BS514" s="6">
        <f>Grandview_Inventory[[#This Row],[land_value]]</f>
        <v>52639.730588165206</v>
      </c>
      <c r="BT514" s="4">
        <f>_xlfn.IFNA(VLOOKUP(Grandview_Inventory[[#This Row],[quality]],Lookups!$A$26:$C$33,3,FALSE),1)</f>
        <v>0.98763855981004833</v>
      </c>
      <c r="BU514" s="4">
        <f>_xlfn.IFNA(VLOOKUP(Grandview_Inventory[[#This Row],[condition]],Lookups!$A$37:$C$44,3,FALSE),1)</f>
        <v>0.96469275950863709</v>
      </c>
      <c r="BV514" s="4">
        <f>IF(Grandview_Inventory[[#This Row],[bldg_style]]="",1,_xlfn.IFNA(VLOOKUP(Grandview_Inventory[[#This Row],[decade]],Lookups!$F$29:$H$43,3,FALSE),1))</f>
        <v>0.99472141305414818</v>
      </c>
      <c r="BW514" s="4">
        <f>_xlfn.IFNA(VLOOKUP(Grandview_Inventory[[#This Row],[living_area_range]],Lookups!$F$47:$H$56,3,FALSE),1)</f>
        <v>0.96135087979789358</v>
      </c>
      <c r="BX514" s="4">
        <f>AVERAGE(Grandview_Inventory[[#This Row],[qual_adj]:[size_adj]])</f>
        <v>0.97710090304268182</v>
      </c>
      <c r="BY514" s="6">
        <f>IF(Grandview_Inventory[[#This Row],[pre_res]]&lt;0,0,Grandview_Inventory[[#This Row],[pre_res]]*Grandview_Inventory[[#This Row],[overall_adj]])</f>
        <v>237208.70476638159</v>
      </c>
      <c r="BZ514" s="6">
        <f>(Grandview_Inventory[[#This Row],[sum_land]]-IF(Grandview_Inventory[[#This Row],[no_utilities]]=1,12000,0))/IF(Grandview_Inventory[[#This Row],[unbuildable]]=1,2,1)</f>
        <v>52639.730588165206</v>
      </c>
      <c r="CA51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514">
        <f>ROUND(Grandview_Inventory[[#This Row],[det_value]]*Lookups!$M$28,-2)</f>
        <v>0</v>
      </c>
      <c r="CC514">
        <f>IF(ROUND(Grandview_Inventory[[#This Row],[adj_res]]*Lookups!$M$28,-2)&lt;Grandview_Inventory[[#This Row],[min_res]],Grandview_Inventory[[#This Row],[min_res]],ROUND(Grandview_Inventory[[#This Row],[adj_res]]*Lookups!$M$28,-2))</f>
        <v>225300</v>
      </c>
      <c r="CD514">
        <f>Grandview_Inventory[[#This Row],[final_det]]+Grandview_Inventory[[#This Row],[final_res]]</f>
        <v>225300</v>
      </c>
      <c r="CE514">
        <f>Grandview_Inventory[[#This Row],[final_land]]+Grandview_Inventory[[#This Row],[final_imp]]+Grandview_Inventory[[#This Row],[crop_value]]</f>
        <v>275300</v>
      </c>
      <c r="CG514" t="str">
        <f t="shared" si="7"/>
        <v>update valuation set market_land =50000, market_bldg=225300, market_total =275300, market_mdno =401, market_date ='9/10/2023' where link_id = (select link_id from parcel where parcel_year = '2024' and parcel_id = '23092214495');</v>
      </c>
    </row>
    <row r="515" spans="1:85" x14ac:dyDescent="0.25">
      <c r="A515">
        <v>23092214498</v>
      </c>
      <c r="B515">
        <v>0.17</v>
      </c>
      <c r="C515">
        <v>7225</v>
      </c>
      <c r="D515" t="s">
        <v>129</v>
      </c>
      <c r="E515" t="s">
        <v>53</v>
      </c>
      <c r="F515" t="s">
        <v>53</v>
      </c>
      <c r="G515">
        <v>4</v>
      </c>
      <c r="H515" t="s">
        <v>54</v>
      </c>
      <c r="I515">
        <v>113900</v>
      </c>
      <c r="J515">
        <v>43000</v>
      </c>
      <c r="K515">
        <v>0.17</v>
      </c>
      <c r="L51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15">
        <v>0</v>
      </c>
      <c r="N515">
        <v>0</v>
      </c>
      <c r="O515">
        <v>0</v>
      </c>
      <c r="P515">
        <v>13398.7528</v>
      </c>
      <c r="Q515">
        <v>63903</v>
      </c>
      <c r="R515">
        <f>(Grandview_Inventory[[#This Row],[ln_acres]]*Grandview_Inventory[[#This Row],[coeff]])+Grandview_Inventory[[#This Row],[const]]</f>
        <v>40160.988302686128</v>
      </c>
      <c r="S515" t="s">
        <v>68</v>
      </c>
      <c r="T515">
        <v>1</v>
      </c>
      <c r="U515" t="s">
        <v>70</v>
      </c>
      <c r="V515" t="s">
        <v>78</v>
      </c>
      <c r="W515">
        <v>0</v>
      </c>
      <c r="X515">
        <v>0</v>
      </c>
      <c r="Y515">
        <v>49</v>
      </c>
      <c r="Z515">
        <v>68</v>
      </c>
      <c r="AA515">
        <v>70</v>
      </c>
      <c r="AB515">
        <v>1500</v>
      </c>
      <c r="AC515">
        <v>1346</v>
      </c>
      <c r="AD515">
        <v>950</v>
      </c>
      <c r="AE515">
        <v>0</v>
      </c>
      <c r="AF515">
        <v>0</v>
      </c>
      <c r="AG515">
        <v>396</v>
      </c>
      <c r="AH515">
        <v>4</v>
      </c>
      <c r="AI515">
        <v>0</v>
      </c>
      <c r="AJ515">
        <v>0</v>
      </c>
      <c r="AK515">
        <v>200</v>
      </c>
      <c r="AL515">
        <v>0</v>
      </c>
      <c r="AM515">
        <v>209</v>
      </c>
      <c r="AN515">
        <v>72</v>
      </c>
      <c r="AO515">
        <v>209</v>
      </c>
      <c r="AP515">
        <v>5</v>
      </c>
      <c r="AQ515">
        <v>0</v>
      </c>
      <c r="AR515">
        <v>0</v>
      </c>
      <c r="AS515" t="s">
        <v>58</v>
      </c>
      <c r="AT515">
        <v>1</v>
      </c>
      <c r="AU515" t="s">
        <v>63</v>
      </c>
      <c r="AV515" t="s">
        <v>64</v>
      </c>
      <c r="AW515">
        <v>1</v>
      </c>
      <c r="AX515">
        <v>3</v>
      </c>
      <c r="AY515">
        <v>0</v>
      </c>
      <c r="AZ515">
        <v>0</v>
      </c>
      <c r="BA515">
        <v>100</v>
      </c>
      <c r="BB515">
        <v>100</v>
      </c>
      <c r="BC515">
        <v>100</v>
      </c>
      <c r="BD515">
        <v>100</v>
      </c>
      <c r="BE515">
        <v>1</v>
      </c>
      <c r="BF515">
        <v>15000</v>
      </c>
      <c r="BG515">
        <v>1000</v>
      </c>
      <c r="BH515" s="6">
        <f>Grandview_Inventory[[#This Row],[land_extract]]*Lookups!$B$3</f>
        <v>46638.847281240982</v>
      </c>
      <c r="BI515" s="6">
        <f>IF(Grandview_Inventory[[#This Row],[bldg_style]]="",0,Lookups!$B$2)</f>
        <v>155833.95000000001</v>
      </c>
      <c r="BJ515" s="6">
        <f>_xlfn.IFNA(VLOOKUP(Grandview_Inventory[[#This Row],[quality]],Lookups!$H$2:$J$14,3,FALSE),0)</f>
        <v>10733</v>
      </c>
      <c r="BK515" s="6">
        <f>_xlfn.IFNA(VLOOKUP(Grandview_Inventory[[#This Row],[condition]],Lookups!$H$17:$J$24,3,FALSE),0)</f>
        <v>-45357</v>
      </c>
      <c r="BL515" s="6">
        <f>Grandview_Inventory[[#This Row],[Eff_Age]]*Lookups!$B$14</f>
        <v>-11719.163399999999</v>
      </c>
      <c r="BM515" s="6">
        <f>Grandview_Inventory[[#This Row],[living_area]]*Lookups!$B$15</f>
        <v>83964.628138</v>
      </c>
      <c r="BN515" s="6">
        <f>Grandview_Inventory[[#This Row],[Fin BSMT]]*Lookups!$B$16</f>
        <v>-10731.29904</v>
      </c>
      <c r="BO515" s="6">
        <f>(Grandview_Inventory[[#This Row],[att_gar]]+Grandview_Inventory[[#This Row],[bltin_gar]])*Lookups!$B$17</f>
        <v>0</v>
      </c>
      <c r="BP515" s="6">
        <f>Grandview_Inventory[[#This Row],[Plumbing Fixtures]]*Lookups!$B$18</f>
        <v>10052.209000000001</v>
      </c>
      <c r="BQ515" s="6">
        <f>Grandview_Inventory[[#This Row],[detatched_value]]*Lookups!$B$19</f>
        <v>0</v>
      </c>
      <c r="BR515" s="6">
        <f>SUM(Grandview_Inventory[[#This Row],[Intercept]:[det_value]])*Grandview_Inventory[[#This Row],[res_pct]]</f>
        <v>192776.32469800001</v>
      </c>
      <c r="BS515" s="6">
        <f>Grandview_Inventory[[#This Row],[land_value]]</f>
        <v>46638.847281240982</v>
      </c>
      <c r="BT515" s="4">
        <f>_xlfn.IFNA(VLOOKUP(Grandview_Inventory[[#This Row],[quality]],Lookups!$A$26:$C$33,3,FALSE),1)</f>
        <v>0.98079741117310582</v>
      </c>
      <c r="BU515" s="4">
        <f>_xlfn.IFNA(VLOOKUP(Grandview_Inventory[[#This Row],[condition]],Lookups!$A$37:$C$44,3,FALSE),1)</f>
        <v>0.97161819570155394</v>
      </c>
      <c r="BV515" s="4">
        <f>IF(Grandview_Inventory[[#This Row],[bldg_style]]="",1,_xlfn.IFNA(VLOOKUP(Grandview_Inventory[[#This Row],[decade]],Lookups!$F$29:$H$43,3,FALSE),1))</f>
        <v>0.99472141305414818</v>
      </c>
      <c r="BW515" s="4">
        <f>_xlfn.IFNA(VLOOKUP(Grandview_Inventory[[#This Row],[living_area_range]],Lookups!$F$47:$H$56,3,FALSE),1)</f>
        <v>0.96135087979789358</v>
      </c>
      <c r="BX515" s="4">
        <f>AVERAGE(Grandview_Inventory[[#This Row],[qual_adj]:[size_adj]])</f>
        <v>0.9771219749316753</v>
      </c>
      <c r="BY515" s="6">
        <f>IF(Grandview_Inventory[[#This Row],[pre_res]]&lt;0,0,Grandview_Inventory[[#This Row],[pre_res]]*Grandview_Inventory[[#This Row],[overall_adj]])</f>
        <v>188365.98310897965</v>
      </c>
      <c r="BZ515" s="6">
        <f>(Grandview_Inventory[[#This Row],[sum_land]]-IF(Grandview_Inventory[[#This Row],[no_utilities]]=1,12000,0))/IF(Grandview_Inventory[[#This Row],[unbuildable]]=1,2,1)</f>
        <v>46638.847281240982</v>
      </c>
      <c r="CA51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15">
        <f>ROUND(Grandview_Inventory[[#This Row],[det_value]]*Lookups!$M$28,-2)</f>
        <v>0</v>
      </c>
      <c r="CC515">
        <f>IF(ROUND(Grandview_Inventory[[#This Row],[adj_res]]*Lookups!$M$28,-2)&lt;Grandview_Inventory[[#This Row],[min_res]],Grandview_Inventory[[#This Row],[min_res]],ROUND(Grandview_Inventory[[#This Row],[adj_res]]*Lookups!$M$28,-2))</f>
        <v>178900</v>
      </c>
      <c r="CD515">
        <f>Grandview_Inventory[[#This Row],[final_det]]+Grandview_Inventory[[#This Row],[final_res]]</f>
        <v>178900</v>
      </c>
      <c r="CE515">
        <f>Grandview_Inventory[[#This Row],[final_land]]+Grandview_Inventory[[#This Row],[final_imp]]+Grandview_Inventory[[#This Row],[crop_value]]</f>
        <v>223200</v>
      </c>
      <c r="CG515" t="str">
        <f t="shared" ref="CG515:CG578" si="8">"update valuation set market_land ="&amp;CA515&amp;", market_bldg="&amp;CD515&amp;", market_total ="&amp;CE515&amp;", market_mdno ="&amp;$CG$1&amp;", market_date ='"&amp;TEXT($CH$1,"m/d/yyyy")&amp;"' where link_id = (select link_id from parcel where parcel_year = '2024' and parcel_id = '"&amp;A515&amp;"');"</f>
        <v>update valuation set market_land =44300, market_bldg=178900, market_total =223200, market_mdno =401, market_date ='9/10/2023' where link_id = (select link_id from parcel where parcel_year = '2024' and parcel_id = '23092214498');</v>
      </c>
    </row>
    <row r="516" spans="1:85" x14ac:dyDescent="0.25">
      <c r="A516">
        <v>23092214499</v>
      </c>
      <c r="B516">
        <v>0.17</v>
      </c>
      <c r="C516">
        <v>7225</v>
      </c>
      <c r="D516" t="s">
        <v>129</v>
      </c>
      <c r="E516" t="s">
        <v>53</v>
      </c>
      <c r="F516" t="s">
        <v>53</v>
      </c>
      <c r="G516">
        <v>4</v>
      </c>
      <c r="H516" t="s">
        <v>54</v>
      </c>
      <c r="I516">
        <v>128400</v>
      </c>
      <c r="J516">
        <v>38800</v>
      </c>
      <c r="K516">
        <v>0.17</v>
      </c>
      <c r="L51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16">
        <v>0</v>
      </c>
      <c r="N516">
        <v>0</v>
      </c>
      <c r="O516">
        <v>0</v>
      </c>
      <c r="P516">
        <v>13398.7528</v>
      </c>
      <c r="Q516">
        <v>63903</v>
      </c>
      <c r="R516">
        <f>(Grandview_Inventory[[#This Row],[ln_acres]]*Grandview_Inventory[[#This Row],[coeff]])+Grandview_Inventory[[#This Row],[const]]</f>
        <v>40160.988302686128</v>
      </c>
      <c r="S516" t="s">
        <v>61</v>
      </c>
      <c r="T516">
        <v>1</v>
      </c>
      <c r="U516" t="s">
        <v>65</v>
      </c>
      <c r="V516" t="s">
        <v>69</v>
      </c>
      <c r="W516">
        <v>0</v>
      </c>
      <c r="X516">
        <v>0</v>
      </c>
      <c r="Y516">
        <v>49</v>
      </c>
      <c r="Z516">
        <v>68</v>
      </c>
      <c r="AA516">
        <v>70</v>
      </c>
      <c r="AB516">
        <v>1000</v>
      </c>
      <c r="AC516">
        <v>860</v>
      </c>
      <c r="AD516">
        <v>860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180</v>
      </c>
      <c r="AN516">
        <v>64</v>
      </c>
      <c r="AO516">
        <v>180</v>
      </c>
      <c r="AP516">
        <v>5</v>
      </c>
      <c r="AQ516">
        <v>0</v>
      </c>
      <c r="AR516">
        <v>0</v>
      </c>
      <c r="AS516" t="s">
        <v>58</v>
      </c>
      <c r="AT516">
        <v>1</v>
      </c>
      <c r="AU516" t="s">
        <v>59</v>
      </c>
      <c r="AV516" t="s">
        <v>60</v>
      </c>
      <c r="AW516">
        <v>1</v>
      </c>
      <c r="AX516">
        <v>2</v>
      </c>
      <c r="AY516">
        <v>0</v>
      </c>
      <c r="AZ516">
        <v>7500</v>
      </c>
      <c r="BA516">
        <v>100</v>
      </c>
      <c r="BB516">
        <v>100</v>
      </c>
      <c r="BC516">
        <v>100</v>
      </c>
      <c r="BD516">
        <v>100</v>
      </c>
      <c r="BE516">
        <v>1</v>
      </c>
      <c r="BF516">
        <v>15000</v>
      </c>
      <c r="BG516">
        <v>1000</v>
      </c>
      <c r="BH516" s="6">
        <f>Grandview_Inventory[[#This Row],[land_extract]]*Lookups!$B$3</f>
        <v>46638.847281240982</v>
      </c>
      <c r="BI516" s="6">
        <f>IF(Grandview_Inventory[[#This Row],[bldg_style]]="",0,Lookups!$B$2)</f>
        <v>155833.95000000001</v>
      </c>
      <c r="BJ516" s="6">
        <f>_xlfn.IFNA(VLOOKUP(Grandview_Inventory[[#This Row],[quality]],Lookups!$H$2:$J$14,3,FALSE),0)</f>
        <v>2251</v>
      </c>
      <c r="BK516" s="6">
        <f>_xlfn.IFNA(VLOOKUP(Grandview_Inventory[[#This Row],[condition]],Lookups!$H$17:$J$24,3,FALSE),0)</f>
        <v>-4503</v>
      </c>
      <c r="BL516" s="6">
        <f>Grandview_Inventory[[#This Row],[Eff_Age]]*Lookups!$B$14</f>
        <v>-11719.163399999999</v>
      </c>
      <c r="BM516" s="6">
        <f>Grandview_Inventory[[#This Row],[living_area]]*Lookups!$B$15</f>
        <v>53647.533580000003</v>
      </c>
      <c r="BN516" s="6">
        <f>Grandview_Inventory[[#This Row],[Fin BSMT]]*Lookups!$B$16</f>
        <v>0</v>
      </c>
      <c r="BO516" s="6">
        <f>(Grandview_Inventory[[#This Row],[att_gar]]+Grandview_Inventory[[#This Row],[bltin_gar]])*Lookups!$B$17</f>
        <v>0</v>
      </c>
      <c r="BP516" s="6">
        <f>Grandview_Inventory[[#This Row],[Plumbing Fixtures]]*Lookups!$B$18</f>
        <v>10052.209000000001</v>
      </c>
      <c r="BQ516" s="6">
        <f>Grandview_Inventory[[#This Row],[detatched_value]]*Lookups!$B$19</f>
        <v>6351.0382499999996</v>
      </c>
      <c r="BR516" s="6">
        <f>SUM(Grandview_Inventory[[#This Row],[Intercept]:[det_value]])*Grandview_Inventory[[#This Row],[res_pct]]</f>
        <v>211913.56743000005</v>
      </c>
      <c r="BS516" s="6">
        <f>Grandview_Inventory[[#This Row],[land_value]]</f>
        <v>46638.847281240982</v>
      </c>
      <c r="BT516" s="4">
        <f>_xlfn.IFNA(VLOOKUP(Grandview_Inventory[[#This Row],[quality]],Lookups!$A$26:$C$33,3,FALSE),1)</f>
        <v>0.98763855981004833</v>
      </c>
      <c r="BU516" s="4">
        <f>_xlfn.IFNA(VLOOKUP(Grandview_Inventory[[#This Row],[condition]],Lookups!$A$37:$C$44,3,FALSE),1)</f>
        <v>0.96469275950863709</v>
      </c>
      <c r="BV516" s="4">
        <f>IF(Grandview_Inventory[[#This Row],[bldg_style]]="",1,_xlfn.IFNA(VLOOKUP(Grandview_Inventory[[#This Row],[decade]],Lookups!$F$29:$H$43,3,FALSE),1))</f>
        <v>0.99472141305414818</v>
      </c>
      <c r="BW516" s="4">
        <f>_xlfn.IFNA(VLOOKUP(Grandview_Inventory[[#This Row],[living_area_range]],Lookups!$F$47:$H$56,3,FALSE),1)</f>
        <v>0.94306777142782894</v>
      </c>
      <c r="BX516" s="4">
        <f>AVERAGE(Grandview_Inventory[[#This Row],[qual_adj]:[size_adj]])</f>
        <v>0.97253012595016564</v>
      </c>
      <c r="BY516" s="6">
        <f>IF(Grandview_Inventory[[#This Row],[pre_res]]&lt;0,0,Grandview_Inventory[[#This Row],[pre_res]]*Grandview_Inventory[[#This Row],[overall_adj]])</f>
        <v>206092.32842324686</v>
      </c>
      <c r="BZ516" s="6">
        <f>(Grandview_Inventory[[#This Row],[sum_land]]-IF(Grandview_Inventory[[#This Row],[no_utilities]]=1,12000,0))/IF(Grandview_Inventory[[#This Row],[unbuildable]]=1,2,1)</f>
        <v>46638.847281240982</v>
      </c>
      <c r="CA51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16">
        <f>ROUND(Grandview_Inventory[[#This Row],[det_value]]*Lookups!$M$28,-2)</f>
        <v>6000</v>
      </c>
      <c r="CC516">
        <f>IF(ROUND(Grandview_Inventory[[#This Row],[adj_res]]*Lookups!$M$28,-2)&lt;Grandview_Inventory[[#This Row],[min_res]],Grandview_Inventory[[#This Row],[min_res]],ROUND(Grandview_Inventory[[#This Row],[adj_res]]*Lookups!$M$28,-2))</f>
        <v>195800</v>
      </c>
      <c r="CD516">
        <f>Grandview_Inventory[[#This Row],[final_det]]+Grandview_Inventory[[#This Row],[final_res]]</f>
        <v>201800</v>
      </c>
      <c r="CE516">
        <f>Grandview_Inventory[[#This Row],[final_land]]+Grandview_Inventory[[#This Row],[final_imp]]+Grandview_Inventory[[#This Row],[crop_value]]</f>
        <v>246100</v>
      </c>
      <c r="CG516" t="str">
        <f t="shared" si="8"/>
        <v>update valuation set market_land =44300, market_bldg=201800, market_total =246100, market_mdno =401, market_date ='9/10/2023' where link_id = (select link_id from parcel where parcel_year = '2024' and parcel_id = '23092214499');</v>
      </c>
    </row>
    <row r="517" spans="1:85" x14ac:dyDescent="0.25">
      <c r="A517">
        <v>23092214501</v>
      </c>
      <c r="B517">
        <v>0.2</v>
      </c>
      <c r="C517">
        <v>8715</v>
      </c>
      <c r="D517" t="s">
        <v>129</v>
      </c>
      <c r="E517" t="s">
        <v>53</v>
      </c>
      <c r="F517" t="s">
        <v>53</v>
      </c>
      <c r="G517">
        <v>4</v>
      </c>
      <c r="H517" t="s">
        <v>54</v>
      </c>
      <c r="I517">
        <v>229200</v>
      </c>
      <c r="J517">
        <v>39300</v>
      </c>
      <c r="K517">
        <v>0.2</v>
      </c>
      <c r="L51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17">
        <v>0</v>
      </c>
      <c r="N517">
        <v>0</v>
      </c>
      <c r="O517">
        <v>0</v>
      </c>
      <c r="P517">
        <v>13398.7528</v>
      </c>
      <c r="Q517">
        <v>63903</v>
      </c>
      <c r="R517">
        <f>(Grandview_Inventory[[#This Row],[ln_acres]]*Grandview_Inventory[[#This Row],[coeff]])+Grandview_Inventory[[#This Row],[const]]</f>
        <v>42338.539264347448</v>
      </c>
      <c r="S517" t="s">
        <v>68</v>
      </c>
      <c r="T517">
        <v>1</v>
      </c>
      <c r="U517" t="s">
        <v>65</v>
      </c>
      <c r="V517" t="s">
        <v>69</v>
      </c>
      <c r="W517">
        <v>0</v>
      </c>
      <c r="X517">
        <v>0</v>
      </c>
      <c r="Y517">
        <v>51</v>
      </c>
      <c r="Z517">
        <v>83</v>
      </c>
      <c r="AA517">
        <v>90</v>
      </c>
      <c r="AB517">
        <v>1000</v>
      </c>
      <c r="AC517">
        <v>888</v>
      </c>
      <c r="AD517">
        <v>888</v>
      </c>
      <c r="AE517">
        <v>0</v>
      </c>
      <c r="AF517">
        <v>0</v>
      </c>
      <c r="AG517">
        <v>0</v>
      </c>
      <c r="AH517">
        <v>0</v>
      </c>
      <c r="AI517">
        <v>462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5</v>
      </c>
      <c r="AQ517">
        <v>0</v>
      </c>
      <c r="AR517">
        <v>0</v>
      </c>
      <c r="AS517" t="s">
        <v>58</v>
      </c>
      <c r="AT517">
        <v>1</v>
      </c>
      <c r="AU517" t="s">
        <v>63</v>
      </c>
      <c r="AV517" t="s">
        <v>60</v>
      </c>
      <c r="AW517">
        <v>0</v>
      </c>
      <c r="AX517">
        <v>2</v>
      </c>
      <c r="AY517">
        <v>0</v>
      </c>
      <c r="AZ517">
        <v>60800</v>
      </c>
      <c r="BA517">
        <v>100</v>
      </c>
      <c r="BB517">
        <v>100</v>
      </c>
      <c r="BC517">
        <v>100</v>
      </c>
      <c r="BD517">
        <v>100</v>
      </c>
      <c r="BE517">
        <v>1</v>
      </c>
      <c r="BF517">
        <v>15000</v>
      </c>
      <c r="BG517">
        <v>1000</v>
      </c>
      <c r="BH517" s="6">
        <f>Grandview_Inventory[[#This Row],[land_extract]]*Lookups!$B$3</f>
        <v>49167.631333630678</v>
      </c>
      <c r="BI517" s="6">
        <f>IF(Grandview_Inventory[[#This Row],[bldg_style]]="",0,Lookups!$B$2)</f>
        <v>155833.95000000001</v>
      </c>
      <c r="BJ517" s="6">
        <f>_xlfn.IFNA(VLOOKUP(Grandview_Inventory[[#This Row],[quality]],Lookups!$H$2:$J$14,3,FALSE),0)</f>
        <v>2251</v>
      </c>
      <c r="BK517" s="6">
        <f>_xlfn.IFNA(VLOOKUP(Grandview_Inventory[[#This Row],[condition]],Lookups!$H$17:$J$24,3,FALSE),0)</f>
        <v>-4503</v>
      </c>
      <c r="BL517" s="6">
        <f>Grandview_Inventory[[#This Row],[Eff_Age]]*Lookups!$B$14</f>
        <v>-12197.496599999999</v>
      </c>
      <c r="BM517" s="6">
        <f>Grandview_Inventory[[#This Row],[living_area]]*Lookups!$B$15</f>
        <v>55394.197464000004</v>
      </c>
      <c r="BN517" s="6">
        <f>Grandview_Inventory[[#This Row],[Fin BSMT]]*Lookups!$B$16</f>
        <v>0</v>
      </c>
      <c r="BO517" s="6">
        <f>(Grandview_Inventory[[#This Row],[att_gar]]+Grandview_Inventory[[#This Row],[bltin_gar]])*Lookups!$B$17</f>
        <v>40434.441894000003</v>
      </c>
      <c r="BP517" s="6">
        <f>Grandview_Inventory[[#This Row],[Plumbing Fixtures]]*Lookups!$B$18</f>
        <v>10052.209000000001</v>
      </c>
      <c r="BQ517" s="6">
        <f>Grandview_Inventory[[#This Row],[detatched_value]]*Lookups!$B$19</f>
        <v>51485.750079999998</v>
      </c>
      <c r="BR517" s="6">
        <f>SUM(Grandview_Inventory[[#This Row],[Intercept]:[det_value]])*Grandview_Inventory[[#This Row],[res_pct]]</f>
        <v>298751.05183800001</v>
      </c>
      <c r="BS517" s="6">
        <f>Grandview_Inventory[[#This Row],[land_value]]</f>
        <v>49167.631333630678</v>
      </c>
      <c r="BT517" s="4">
        <f>_xlfn.IFNA(VLOOKUP(Grandview_Inventory[[#This Row],[quality]],Lookups!$A$26:$C$33,3,FALSE),1)</f>
        <v>0.98763855981004833</v>
      </c>
      <c r="BU517" s="4">
        <f>_xlfn.IFNA(VLOOKUP(Grandview_Inventory[[#This Row],[condition]],Lookups!$A$37:$C$44,3,FALSE),1)</f>
        <v>0.96469275950863709</v>
      </c>
      <c r="BV517" s="4">
        <f>IF(Grandview_Inventory[[#This Row],[bldg_style]]="",1,_xlfn.IFNA(VLOOKUP(Grandview_Inventory[[#This Row],[decade]],Lookups!$F$29:$H$43,3,FALSE),1))</f>
        <v>0.94161750052457416</v>
      </c>
      <c r="BW517" s="4">
        <f>_xlfn.IFNA(VLOOKUP(Grandview_Inventory[[#This Row],[living_area_range]],Lookups!$F$47:$H$56,3,FALSE),1)</f>
        <v>0.94306777142782894</v>
      </c>
      <c r="BX517" s="4">
        <f>AVERAGE(Grandview_Inventory[[#This Row],[qual_adj]:[size_adj]])</f>
        <v>0.95925414781777207</v>
      </c>
      <c r="BY517" s="6">
        <f>IF(Grandview_Inventory[[#This Row],[pre_res]]&lt;0,0,Grandview_Inventory[[#This Row],[pre_res]]*Grandview_Inventory[[#This Row],[overall_adj]])</f>
        <v>286578.18564052373</v>
      </c>
      <c r="BZ517" s="6">
        <f>(Grandview_Inventory[[#This Row],[sum_land]]-IF(Grandview_Inventory[[#This Row],[no_utilities]]=1,12000,0))/IF(Grandview_Inventory[[#This Row],[unbuildable]]=1,2,1)</f>
        <v>49167.631333630678</v>
      </c>
      <c r="CA51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17">
        <f>ROUND(Grandview_Inventory[[#This Row],[det_value]]*Lookups!$M$28,-2)</f>
        <v>48900</v>
      </c>
      <c r="CC517">
        <f>IF(ROUND(Grandview_Inventory[[#This Row],[adj_res]]*Lookups!$M$28,-2)&lt;Grandview_Inventory[[#This Row],[min_res]],Grandview_Inventory[[#This Row],[min_res]],ROUND(Grandview_Inventory[[#This Row],[adj_res]]*Lookups!$M$28,-2))</f>
        <v>272200</v>
      </c>
      <c r="CD517">
        <f>Grandview_Inventory[[#This Row],[final_det]]+Grandview_Inventory[[#This Row],[final_res]]</f>
        <v>321100</v>
      </c>
      <c r="CE517">
        <f>Grandview_Inventory[[#This Row],[final_land]]+Grandview_Inventory[[#This Row],[final_imp]]+Grandview_Inventory[[#This Row],[crop_value]]</f>
        <v>367800</v>
      </c>
      <c r="CG517" t="str">
        <f t="shared" si="8"/>
        <v>update valuation set market_land =46700, market_bldg=321100, market_total =367800, market_mdno =401, market_date ='9/10/2023' where link_id = (select link_id from parcel where parcel_year = '2024' and parcel_id = '23092214501');</v>
      </c>
    </row>
    <row r="518" spans="1:85" x14ac:dyDescent="0.25">
      <c r="A518">
        <v>23092214502</v>
      </c>
      <c r="B518">
        <v>0.17</v>
      </c>
      <c r="C518">
        <v>7201</v>
      </c>
      <c r="D518" t="s">
        <v>129</v>
      </c>
      <c r="E518" t="s">
        <v>53</v>
      </c>
      <c r="F518" t="s">
        <v>53</v>
      </c>
      <c r="G518">
        <v>4</v>
      </c>
      <c r="H518" t="s">
        <v>54</v>
      </c>
      <c r="I518">
        <v>82200</v>
      </c>
      <c r="J518">
        <v>38800</v>
      </c>
      <c r="K518">
        <v>0.17</v>
      </c>
      <c r="L51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18">
        <v>0</v>
      </c>
      <c r="N518">
        <v>0</v>
      </c>
      <c r="O518">
        <v>0</v>
      </c>
      <c r="P518">
        <v>13398.7528</v>
      </c>
      <c r="Q518">
        <v>63903</v>
      </c>
      <c r="R518">
        <f>(Grandview_Inventory[[#This Row],[ln_acres]]*Grandview_Inventory[[#This Row],[coeff]])+Grandview_Inventory[[#This Row],[const]]</f>
        <v>40160.988302686128</v>
      </c>
      <c r="S518" t="s">
        <v>142</v>
      </c>
      <c r="T518">
        <v>1</v>
      </c>
      <c r="U518" t="s">
        <v>96</v>
      </c>
      <c r="V518" t="s">
        <v>69</v>
      </c>
      <c r="W518">
        <v>0</v>
      </c>
      <c r="X518">
        <v>0</v>
      </c>
      <c r="Y518">
        <v>63</v>
      </c>
      <c r="Z518">
        <v>83</v>
      </c>
      <c r="AA518">
        <v>90</v>
      </c>
      <c r="AB518">
        <v>1000</v>
      </c>
      <c r="AC518">
        <v>648</v>
      </c>
      <c r="AD518">
        <v>648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5</v>
      </c>
      <c r="AQ518">
        <v>0</v>
      </c>
      <c r="AR518">
        <v>0</v>
      </c>
      <c r="AS518" t="s">
        <v>58</v>
      </c>
      <c r="AT518">
        <v>1</v>
      </c>
      <c r="AU518" t="s">
        <v>79</v>
      </c>
      <c r="AV518" t="s">
        <v>60</v>
      </c>
      <c r="AW518">
        <v>0</v>
      </c>
      <c r="AX518">
        <v>3</v>
      </c>
      <c r="AY518">
        <v>0</v>
      </c>
      <c r="AZ518">
        <v>0</v>
      </c>
      <c r="BA518">
        <v>100</v>
      </c>
      <c r="BB518">
        <v>100</v>
      </c>
      <c r="BC518">
        <v>100</v>
      </c>
      <c r="BD518">
        <v>100</v>
      </c>
      <c r="BE518">
        <v>1</v>
      </c>
      <c r="BF518">
        <v>15000</v>
      </c>
      <c r="BG518">
        <v>1000</v>
      </c>
      <c r="BH518" s="6">
        <f>Grandview_Inventory[[#This Row],[land_extract]]*Lookups!$B$3</f>
        <v>46638.847281240982</v>
      </c>
      <c r="BI518" s="6">
        <f>IF(Grandview_Inventory[[#This Row],[bldg_style]]="",0,Lookups!$B$2)</f>
        <v>155833.95000000001</v>
      </c>
      <c r="BJ518" s="6">
        <f>_xlfn.IFNA(VLOOKUP(Grandview_Inventory[[#This Row],[quality]],Lookups!$H$2:$J$14,3,FALSE),0)</f>
        <v>-47308</v>
      </c>
      <c r="BK518" s="6">
        <f>_xlfn.IFNA(VLOOKUP(Grandview_Inventory[[#This Row],[condition]],Lookups!$H$17:$J$24,3,FALSE),0)</f>
        <v>-4503</v>
      </c>
      <c r="BL518" s="6">
        <f>Grandview_Inventory[[#This Row],[Eff_Age]]*Lookups!$B$14</f>
        <v>-15067.495799999999</v>
      </c>
      <c r="BM518" s="6">
        <f>Grandview_Inventory[[#This Row],[living_area]]*Lookups!$B$15</f>
        <v>40422.792743999998</v>
      </c>
      <c r="BN518" s="6">
        <f>Grandview_Inventory[[#This Row],[Fin BSMT]]*Lookups!$B$16</f>
        <v>0</v>
      </c>
      <c r="BO518" s="6">
        <f>(Grandview_Inventory[[#This Row],[att_gar]]+Grandview_Inventory[[#This Row],[bltin_gar]])*Lookups!$B$17</f>
        <v>0</v>
      </c>
      <c r="BP518" s="6">
        <f>Grandview_Inventory[[#This Row],[Plumbing Fixtures]]*Lookups!$B$18</f>
        <v>10052.209000000001</v>
      </c>
      <c r="BQ518" s="6">
        <f>Grandview_Inventory[[#This Row],[detatched_value]]*Lookups!$B$19</f>
        <v>0</v>
      </c>
      <c r="BR518" s="6">
        <f>SUM(Grandview_Inventory[[#This Row],[Intercept]:[det_value]])*Grandview_Inventory[[#This Row],[res_pct]]</f>
        <v>139430.45594400002</v>
      </c>
      <c r="BS518" s="6">
        <f>Grandview_Inventory[[#This Row],[land_value]]</f>
        <v>46638.847281240982</v>
      </c>
      <c r="BT518" s="4">
        <f>_xlfn.IFNA(VLOOKUP(Grandview_Inventory[[#This Row],[quality]],Lookups!$A$26:$C$33,3,FALSE),1)</f>
        <v>1</v>
      </c>
      <c r="BU518" s="4">
        <f>_xlfn.IFNA(VLOOKUP(Grandview_Inventory[[#This Row],[condition]],Lookups!$A$37:$C$44,3,FALSE),1)</f>
        <v>0.96469275950863709</v>
      </c>
      <c r="BV518" s="4">
        <f>IF(Grandview_Inventory[[#This Row],[bldg_style]]="",1,_xlfn.IFNA(VLOOKUP(Grandview_Inventory[[#This Row],[decade]],Lookups!$F$29:$H$43,3,FALSE),1))</f>
        <v>0.94161750052457416</v>
      </c>
      <c r="BW518" s="4">
        <f>_xlfn.IFNA(VLOOKUP(Grandview_Inventory[[#This Row],[living_area_range]],Lookups!$F$47:$H$56,3,FALSE),1)</f>
        <v>0.94306777142782894</v>
      </c>
      <c r="BX518" s="4">
        <f>AVERAGE(Grandview_Inventory[[#This Row],[qual_adj]:[size_adj]])</f>
        <v>0.96234450786526005</v>
      </c>
      <c r="BY518" s="6">
        <f>IF(Grandview_Inventory[[#This Row],[pre_res]]&lt;0,0,Grandview_Inventory[[#This Row],[pre_res]]*Grandview_Inventory[[#This Row],[overall_adj]])</f>
        <v>134180.13350685753</v>
      </c>
      <c r="BZ518" s="6">
        <f>(Grandview_Inventory[[#This Row],[sum_land]]-IF(Grandview_Inventory[[#This Row],[no_utilities]]=1,12000,0))/IF(Grandview_Inventory[[#This Row],[unbuildable]]=1,2,1)</f>
        <v>46638.847281240982</v>
      </c>
      <c r="CA51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18">
        <f>ROUND(Grandview_Inventory[[#This Row],[det_value]]*Lookups!$M$28,-2)</f>
        <v>0</v>
      </c>
      <c r="CC518">
        <f>IF(ROUND(Grandview_Inventory[[#This Row],[adj_res]]*Lookups!$M$28,-2)&lt;Grandview_Inventory[[#This Row],[min_res]],Grandview_Inventory[[#This Row],[min_res]],ROUND(Grandview_Inventory[[#This Row],[adj_res]]*Lookups!$M$28,-2))</f>
        <v>127500</v>
      </c>
      <c r="CD518">
        <f>Grandview_Inventory[[#This Row],[final_det]]+Grandview_Inventory[[#This Row],[final_res]]</f>
        <v>127500</v>
      </c>
      <c r="CE518">
        <f>Grandview_Inventory[[#This Row],[final_land]]+Grandview_Inventory[[#This Row],[final_imp]]+Grandview_Inventory[[#This Row],[crop_value]]</f>
        <v>171800</v>
      </c>
      <c r="CG518" t="str">
        <f t="shared" si="8"/>
        <v>update valuation set market_land =44300, market_bldg=127500, market_total =171800, market_mdno =401, market_date ='9/10/2023' where link_id = (select link_id from parcel where parcel_year = '2024' and parcel_id = '23092214502');</v>
      </c>
    </row>
    <row r="519" spans="1:85" x14ac:dyDescent="0.25">
      <c r="A519">
        <v>23092214503</v>
      </c>
      <c r="B519">
        <v>0.17</v>
      </c>
      <c r="C519">
        <v>7201</v>
      </c>
      <c r="D519" t="s">
        <v>129</v>
      </c>
      <c r="E519" t="s">
        <v>53</v>
      </c>
      <c r="F519" t="s">
        <v>53</v>
      </c>
      <c r="G519">
        <v>4</v>
      </c>
      <c r="H519" t="s">
        <v>54</v>
      </c>
      <c r="I519">
        <v>138300</v>
      </c>
      <c r="J519">
        <v>43000</v>
      </c>
      <c r="K519">
        <v>0.17</v>
      </c>
      <c r="L51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19">
        <v>0</v>
      </c>
      <c r="N519">
        <v>0</v>
      </c>
      <c r="O519">
        <v>0</v>
      </c>
      <c r="P519">
        <v>13398.7528</v>
      </c>
      <c r="Q519">
        <v>63903</v>
      </c>
      <c r="R519">
        <f>(Grandview_Inventory[[#This Row],[ln_acres]]*Grandview_Inventory[[#This Row],[coeff]])+Grandview_Inventory[[#This Row],[const]]</f>
        <v>40160.988302686128</v>
      </c>
      <c r="S519" t="s">
        <v>61</v>
      </c>
      <c r="T519">
        <v>1</v>
      </c>
      <c r="U519" t="s">
        <v>83</v>
      </c>
      <c r="V519" t="s">
        <v>69</v>
      </c>
      <c r="W519">
        <v>0</v>
      </c>
      <c r="X519">
        <v>0</v>
      </c>
      <c r="Y519">
        <v>50</v>
      </c>
      <c r="Z519">
        <v>73</v>
      </c>
      <c r="AA519">
        <v>80</v>
      </c>
      <c r="AB519">
        <v>1000</v>
      </c>
      <c r="AC519">
        <v>944</v>
      </c>
      <c r="AD519">
        <v>944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352</v>
      </c>
      <c r="AL519">
        <v>0</v>
      </c>
      <c r="AM519">
        <v>0</v>
      </c>
      <c r="AN519">
        <v>0</v>
      </c>
      <c r="AO519">
        <v>0</v>
      </c>
      <c r="AP519">
        <v>5</v>
      </c>
      <c r="AQ519">
        <v>0</v>
      </c>
      <c r="AR519">
        <v>0</v>
      </c>
      <c r="AS519" t="s">
        <v>58</v>
      </c>
      <c r="AT519">
        <v>1</v>
      </c>
      <c r="AU519" t="s">
        <v>63</v>
      </c>
      <c r="AV519" t="s">
        <v>60</v>
      </c>
      <c r="AW519">
        <v>0</v>
      </c>
      <c r="AX519">
        <v>2</v>
      </c>
      <c r="AY519">
        <v>0</v>
      </c>
      <c r="AZ519">
        <v>3600</v>
      </c>
      <c r="BA519">
        <v>100</v>
      </c>
      <c r="BB519">
        <v>100</v>
      </c>
      <c r="BC519">
        <v>100</v>
      </c>
      <c r="BD519">
        <v>100</v>
      </c>
      <c r="BE519">
        <v>1</v>
      </c>
      <c r="BF519">
        <v>15000</v>
      </c>
      <c r="BG519">
        <v>1000</v>
      </c>
      <c r="BH519" s="6">
        <f>Grandview_Inventory[[#This Row],[land_extract]]*Lookups!$B$3</f>
        <v>46638.847281240982</v>
      </c>
      <c r="BI519" s="6">
        <f>IF(Grandview_Inventory[[#This Row],[bldg_style]]="",0,Lookups!$B$2)</f>
        <v>155833.95000000001</v>
      </c>
      <c r="BJ519" s="6">
        <f>_xlfn.IFNA(VLOOKUP(Grandview_Inventory[[#This Row],[quality]],Lookups!$H$2:$J$14,3,FALSE),0)</f>
        <v>-28558</v>
      </c>
      <c r="BK519" s="6">
        <f>_xlfn.IFNA(VLOOKUP(Grandview_Inventory[[#This Row],[condition]],Lookups!$H$17:$J$24,3,FALSE),0)</f>
        <v>-4503</v>
      </c>
      <c r="BL519" s="6">
        <f>Grandview_Inventory[[#This Row],[Eff_Age]]*Lookups!$B$14</f>
        <v>-11958.33</v>
      </c>
      <c r="BM519" s="6">
        <f>Grandview_Inventory[[#This Row],[living_area]]*Lookups!$B$15</f>
        <v>58887.525232</v>
      </c>
      <c r="BN519" s="6">
        <f>Grandview_Inventory[[#This Row],[Fin BSMT]]*Lookups!$B$16</f>
        <v>0</v>
      </c>
      <c r="BO519" s="6">
        <f>(Grandview_Inventory[[#This Row],[att_gar]]+Grandview_Inventory[[#This Row],[bltin_gar]])*Lookups!$B$17</f>
        <v>0</v>
      </c>
      <c r="BP519" s="6">
        <f>Grandview_Inventory[[#This Row],[Plumbing Fixtures]]*Lookups!$B$18</f>
        <v>10052.209000000001</v>
      </c>
      <c r="BQ519" s="6">
        <f>Grandview_Inventory[[#This Row],[detatched_value]]*Lookups!$B$19</f>
        <v>3048.49836</v>
      </c>
      <c r="BR519" s="6">
        <f>SUM(Grandview_Inventory[[#This Row],[Intercept]:[det_value]])*Grandview_Inventory[[#This Row],[res_pct]]</f>
        <v>182802.85259200001</v>
      </c>
      <c r="BS519" s="6">
        <f>Grandview_Inventory[[#This Row],[land_value]]</f>
        <v>46638.847281240982</v>
      </c>
      <c r="BT519" s="4">
        <f>_xlfn.IFNA(VLOOKUP(Grandview_Inventory[[#This Row],[quality]],Lookups!$A$26:$C$33,3,FALSE),1)</f>
        <v>0.96329552998502799</v>
      </c>
      <c r="BU519" s="4">
        <f>_xlfn.IFNA(VLOOKUP(Grandview_Inventory[[#This Row],[condition]],Lookups!$A$37:$C$44,3,FALSE),1)</f>
        <v>0.96469275950863709</v>
      </c>
      <c r="BV519" s="4">
        <f>IF(Grandview_Inventory[[#This Row],[bldg_style]]="",1,_xlfn.IFNA(VLOOKUP(Grandview_Inventory[[#This Row],[decade]],Lookups!$F$29:$H$43,3,FALSE),1))</f>
        <v>0.98763256963907298</v>
      </c>
      <c r="BW519" s="4">
        <f>_xlfn.IFNA(VLOOKUP(Grandview_Inventory[[#This Row],[living_area_range]],Lookups!$F$47:$H$56,3,FALSE),1)</f>
        <v>0.94306777142782894</v>
      </c>
      <c r="BX519" s="4">
        <f>AVERAGE(Grandview_Inventory[[#This Row],[qual_adj]:[size_adj]])</f>
        <v>0.96467215764014169</v>
      </c>
      <c r="BY519" s="6">
        <f>IF(Grandview_Inventory[[#This Row],[pre_res]]&lt;0,0,Grandview_Inventory[[#This Row],[pre_res]]*Grandview_Inventory[[#This Row],[overall_adj]])</f>
        <v>176344.82223269742</v>
      </c>
      <c r="BZ519" s="6">
        <f>(Grandview_Inventory[[#This Row],[sum_land]]-IF(Grandview_Inventory[[#This Row],[no_utilities]]=1,12000,0))/IF(Grandview_Inventory[[#This Row],[unbuildable]]=1,2,1)</f>
        <v>46638.847281240982</v>
      </c>
      <c r="CA51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19">
        <f>ROUND(Grandview_Inventory[[#This Row],[det_value]]*Lookups!$M$28,-2)</f>
        <v>2900</v>
      </c>
      <c r="CC519">
        <f>IF(ROUND(Grandview_Inventory[[#This Row],[adj_res]]*Lookups!$M$28,-2)&lt;Grandview_Inventory[[#This Row],[min_res]],Grandview_Inventory[[#This Row],[min_res]],ROUND(Grandview_Inventory[[#This Row],[adj_res]]*Lookups!$M$28,-2))</f>
        <v>167500</v>
      </c>
      <c r="CD519">
        <f>Grandview_Inventory[[#This Row],[final_det]]+Grandview_Inventory[[#This Row],[final_res]]</f>
        <v>170400</v>
      </c>
      <c r="CE519">
        <f>Grandview_Inventory[[#This Row],[final_land]]+Grandview_Inventory[[#This Row],[final_imp]]+Grandview_Inventory[[#This Row],[crop_value]]</f>
        <v>214700</v>
      </c>
      <c r="CG519" t="str">
        <f t="shared" si="8"/>
        <v>update valuation set market_land =44300, market_bldg=170400, market_total =214700, market_mdno =401, market_date ='9/10/2023' where link_id = (select link_id from parcel where parcel_year = '2024' and parcel_id = '23092214503');</v>
      </c>
    </row>
    <row r="520" spans="1:85" x14ac:dyDescent="0.25">
      <c r="A520">
        <v>23092214504</v>
      </c>
      <c r="B520">
        <v>0.17</v>
      </c>
      <c r="C520">
        <v>7201</v>
      </c>
      <c r="D520" t="s">
        <v>129</v>
      </c>
      <c r="E520" t="s">
        <v>53</v>
      </c>
      <c r="F520" t="s">
        <v>53</v>
      </c>
      <c r="G520">
        <v>4</v>
      </c>
      <c r="H520" t="s">
        <v>54</v>
      </c>
      <c r="I520">
        <v>145000</v>
      </c>
      <c r="J520">
        <v>43000</v>
      </c>
      <c r="K520">
        <v>0.17</v>
      </c>
      <c r="L52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20">
        <v>0</v>
      </c>
      <c r="N520">
        <v>0</v>
      </c>
      <c r="O520">
        <v>0</v>
      </c>
      <c r="P520">
        <v>13398.7528</v>
      </c>
      <c r="Q520">
        <v>63903</v>
      </c>
      <c r="R520">
        <f>(Grandview_Inventory[[#This Row],[ln_acres]]*Grandview_Inventory[[#This Row],[coeff]])+Grandview_Inventory[[#This Row],[const]]</f>
        <v>40160.988302686128</v>
      </c>
      <c r="S520" t="s">
        <v>61</v>
      </c>
      <c r="T520">
        <v>1</v>
      </c>
      <c r="U520" t="s">
        <v>65</v>
      </c>
      <c r="V520" t="s">
        <v>69</v>
      </c>
      <c r="W520">
        <v>0</v>
      </c>
      <c r="X520">
        <v>0</v>
      </c>
      <c r="Y520">
        <v>50</v>
      </c>
      <c r="Z520">
        <v>71</v>
      </c>
      <c r="AA520">
        <v>80</v>
      </c>
      <c r="AB520">
        <v>2500</v>
      </c>
      <c r="AC520">
        <v>2070</v>
      </c>
      <c r="AD520">
        <v>1035</v>
      </c>
      <c r="AE520">
        <v>0</v>
      </c>
      <c r="AF520">
        <v>0</v>
      </c>
      <c r="AG520">
        <v>1035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312</v>
      </c>
      <c r="AN520">
        <v>0</v>
      </c>
      <c r="AO520">
        <v>312</v>
      </c>
      <c r="AP520">
        <v>8</v>
      </c>
      <c r="AQ520">
        <v>0</v>
      </c>
      <c r="AR520">
        <v>0</v>
      </c>
      <c r="AS520" t="s">
        <v>58</v>
      </c>
      <c r="AT520">
        <v>1</v>
      </c>
      <c r="AU520" t="s">
        <v>63</v>
      </c>
      <c r="AV520" t="s">
        <v>81</v>
      </c>
      <c r="AW520">
        <v>0</v>
      </c>
      <c r="AX520">
        <v>4</v>
      </c>
      <c r="AY520">
        <v>0</v>
      </c>
      <c r="AZ520">
        <v>6100</v>
      </c>
      <c r="BA520">
        <v>100</v>
      </c>
      <c r="BB520">
        <v>100</v>
      </c>
      <c r="BC520">
        <v>100</v>
      </c>
      <c r="BD520">
        <v>100</v>
      </c>
      <c r="BE520">
        <v>1</v>
      </c>
      <c r="BF520">
        <v>15000</v>
      </c>
      <c r="BG520">
        <v>1000</v>
      </c>
      <c r="BH520" s="6">
        <f>Grandview_Inventory[[#This Row],[land_extract]]*Lookups!$B$3</f>
        <v>46638.847281240982</v>
      </c>
      <c r="BI520" s="6">
        <f>IF(Grandview_Inventory[[#This Row],[bldg_style]]="",0,Lookups!$B$2)</f>
        <v>155833.95000000001</v>
      </c>
      <c r="BJ520" s="6">
        <f>_xlfn.IFNA(VLOOKUP(Grandview_Inventory[[#This Row],[quality]],Lookups!$H$2:$J$14,3,FALSE),0)</f>
        <v>2251</v>
      </c>
      <c r="BK520" s="6">
        <f>_xlfn.IFNA(VLOOKUP(Grandview_Inventory[[#This Row],[condition]],Lookups!$H$17:$J$24,3,FALSE),0)</f>
        <v>-4503</v>
      </c>
      <c r="BL520" s="6">
        <f>Grandview_Inventory[[#This Row],[Eff_Age]]*Lookups!$B$14</f>
        <v>-11958.33</v>
      </c>
      <c r="BM520" s="6">
        <f>Grandview_Inventory[[#This Row],[living_area]]*Lookups!$B$15</f>
        <v>129128.36571</v>
      </c>
      <c r="BN520" s="6">
        <f>Grandview_Inventory[[#This Row],[Fin BSMT]]*Lookups!$B$16</f>
        <v>-28047.713400000001</v>
      </c>
      <c r="BO520" s="6">
        <f>(Grandview_Inventory[[#This Row],[att_gar]]+Grandview_Inventory[[#This Row],[bltin_gar]])*Lookups!$B$17</f>
        <v>0</v>
      </c>
      <c r="BP520" s="6">
        <f>Grandview_Inventory[[#This Row],[Plumbing Fixtures]]*Lookups!$B$18</f>
        <v>16083.5344</v>
      </c>
      <c r="BQ520" s="6">
        <f>Grandview_Inventory[[#This Row],[detatched_value]]*Lookups!$B$19</f>
        <v>5165.5111099999995</v>
      </c>
      <c r="BR520" s="6">
        <f>SUM(Grandview_Inventory[[#This Row],[Intercept]:[det_value]])*Grandview_Inventory[[#This Row],[res_pct]]</f>
        <v>263953.31782000005</v>
      </c>
      <c r="BS520" s="6">
        <f>Grandview_Inventory[[#This Row],[land_value]]</f>
        <v>46638.847281240982</v>
      </c>
      <c r="BT520" s="4">
        <f>_xlfn.IFNA(VLOOKUP(Grandview_Inventory[[#This Row],[quality]],Lookups!$A$26:$C$33,3,FALSE),1)</f>
        <v>0.98763855981004833</v>
      </c>
      <c r="BU520" s="4">
        <f>_xlfn.IFNA(VLOOKUP(Grandview_Inventory[[#This Row],[condition]],Lookups!$A$37:$C$44,3,FALSE),1)</f>
        <v>0.96469275950863709</v>
      </c>
      <c r="BV520" s="4">
        <f>IF(Grandview_Inventory[[#This Row],[bldg_style]]="",1,_xlfn.IFNA(VLOOKUP(Grandview_Inventory[[#This Row],[decade]],Lookups!$F$29:$H$43,3,FALSE),1))</f>
        <v>0.98763256963907298</v>
      </c>
      <c r="BW520" s="4">
        <f>_xlfn.IFNA(VLOOKUP(Grandview_Inventory[[#This Row],[living_area_range]],Lookups!$F$47:$H$56,3,FALSE),1)</f>
        <v>0.95799442568048754</v>
      </c>
      <c r="BX520" s="4">
        <f>AVERAGE(Grandview_Inventory[[#This Row],[qual_adj]:[size_adj]])</f>
        <v>0.97448957865956143</v>
      </c>
      <c r="BY520" s="6">
        <f>IF(Grandview_Inventory[[#This Row],[pre_res]]&lt;0,0,Grandview_Inventory[[#This Row],[pre_res]]*Grandview_Inventory[[#This Row],[overall_adj]])</f>
        <v>257219.75746820515</v>
      </c>
      <c r="BZ520" s="6">
        <f>(Grandview_Inventory[[#This Row],[sum_land]]-IF(Grandview_Inventory[[#This Row],[no_utilities]]=1,12000,0))/IF(Grandview_Inventory[[#This Row],[unbuildable]]=1,2,1)</f>
        <v>46638.847281240982</v>
      </c>
      <c r="CA52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20">
        <f>ROUND(Grandview_Inventory[[#This Row],[det_value]]*Lookups!$M$28,-2)</f>
        <v>4900</v>
      </c>
      <c r="CC520">
        <f>IF(ROUND(Grandview_Inventory[[#This Row],[adj_res]]*Lookups!$M$28,-2)&lt;Grandview_Inventory[[#This Row],[min_res]],Grandview_Inventory[[#This Row],[min_res]],ROUND(Grandview_Inventory[[#This Row],[adj_res]]*Lookups!$M$28,-2))</f>
        <v>244400</v>
      </c>
      <c r="CD520">
        <f>Grandview_Inventory[[#This Row],[final_det]]+Grandview_Inventory[[#This Row],[final_res]]</f>
        <v>249300</v>
      </c>
      <c r="CE520">
        <f>Grandview_Inventory[[#This Row],[final_land]]+Grandview_Inventory[[#This Row],[final_imp]]+Grandview_Inventory[[#This Row],[crop_value]]</f>
        <v>293600</v>
      </c>
      <c r="CG520" t="str">
        <f t="shared" si="8"/>
        <v>update valuation set market_land =44300, market_bldg=249300, market_total =293600, market_mdno =401, market_date ='9/10/2023' where link_id = (select link_id from parcel where parcel_year = '2024' and parcel_id = '23092214504');</v>
      </c>
    </row>
    <row r="521" spans="1:85" x14ac:dyDescent="0.25">
      <c r="A521">
        <v>23092214505</v>
      </c>
      <c r="B521">
        <v>0.17</v>
      </c>
      <c r="C521">
        <v>7201</v>
      </c>
      <c r="D521" t="s">
        <v>129</v>
      </c>
      <c r="E521" t="s">
        <v>53</v>
      </c>
      <c r="F521" t="s">
        <v>53</v>
      </c>
      <c r="G521">
        <v>4</v>
      </c>
      <c r="H521" t="s">
        <v>54</v>
      </c>
      <c r="I521">
        <v>148400</v>
      </c>
      <c r="J521">
        <v>43000</v>
      </c>
      <c r="K521">
        <v>0.17</v>
      </c>
      <c r="L52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21">
        <v>0</v>
      </c>
      <c r="N521">
        <v>0</v>
      </c>
      <c r="O521">
        <v>0</v>
      </c>
      <c r="P521">
        <v>13398.7528</v>
      </c>
      <c r="Q521">
        <v>63903</v>
      </c>
      <c r="R521">
        <f>(Grandview_Inventory[[#This Row],[ln_acres]]*Grandview_Inventory[[#This Row],[coeff]])+Grandview_Inventory[[#This Row],[const]]</f>
        <v>40160.988302686128</v>
      </c>
      <c r="S521" t="s">
        <v>61</v>
      </c>
      <c r="T521">
        <v>1</v>
      </c>
      <c r="U521" t="s">
        <v>65</v>
      </c>
      <c r="V521" t="s">
        <v>69</v>
      </c>
      <c r="W521">
        <v>0</v>
      </c>
      <c r="X521">
        <v>0</v>
      </c>
      <c r="Y521">
        <v>49</v>
      </c>
      <c r="Z521">
        <v>68</v>
      </c>
      <c r="AA521">
        <v>70</v>
      </c>
      <c r="AB521">
        <v>2500</v>
      </c>
      <c r="AC521">
        <v>2158</v>
      </c>
      <c r="AD521">
        <v>1079</v>
      </c>
      <c r="AE521">
        <v>0</v>
      </c>
      <c r="AF521">
        <v>0</v>
      </c>
      <c r="AG521">
        <v>1079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388</v>
      </c>
      <c r="AN521">
        <v>0</v>
      </c>
      <c r="AO521">
        <v>388</v>
      </c>
      <c r="AP521">
        <v>8</v>
      </c>
      <c r="AQ521">
        <v>0</v>
      </c>
      <c r="AR521">
        <v>0</v>
      </c>
      <c r="AS521" t="s">
        <v>71</v>
      </c>
      <c r="AT521">
        <v>1</v>
      </c>
      <c r="AU521" t="s">
        <v>63</v>
      </c>
      <c r="AV521" t="s">
        <v>64</v>
      </c>
      <c r="AW521">
        <v>0</v>
      </c>
      <c r="AX521">
        <v>3</v>
      </c>
      <c r="AY521">
        <v>0</v>
      </c>
      <c r="AZ521">
        <v>0</v>
      </c>
      <c r="BA521">
        <v>100</v>
      </c>
      <c r="BB521">
        <v>100</v>
      </c>
      <c r="BC521">
        <v>100</v>
      </c>
      <c r="BD521">
        <v>100</v>
      </c>
      <c r="BE521">
        <v>1</v>
      </c>
      <c r="BF521">
        <v>15000</v>
      </c>
      <c r="BG521">
        <v>1000</v>
      </c>
      <c r="BH521" s="6">
        <f>Grandview_Inventory[[#This Row],[land_extract]]*Lookups!$B$3</f>
        <v>46638.847281240982</v>
      </c>
      <c r="BI521" s="6">
        <f>IF(Grandview_Inventory[[#This Row],[bldg_style]]="",0,Lookups!$B$2)</f>
        <v>155833.95000000001</v>
      </c>
      <c r="BJ521" s="6">
        <f>_xlfn.IFNA(VLOOKUP(Grandview_Inventory[[#This Row],[quality]],Lookups!$H$2:$J$14,3,FALSE),0)</f>
        <v>2251</v>
      </c>
      <c r="BK521" s="6">
        <f>_xlfn.IFNA(VLOOKUP(Grandview_Inventory[[#This Row],[condition]],Lookups!$H$17:$J$24,3,FALSE),0)</f>
        <v>-4503</v>
      </c>
      <c r="BL521" s="6">
        <f>Grandview_Inventory[[#This Row],[Eff_Age]]*Lookups!$B$14</f>
        <v>-11719.163399999999</v>
      </c>
      <c r="BM521" s="6">
        <f>Grandview_Inventory[[#This Row],[living_area]]*Lookups!$B$15</f>
        <v>134617.88077399999</v>
      </c>
      <c r="BN521" s="6">
        <f>Grandview_Inventory[[#This Row],[Fin BSMT]]*Lookups!$B$16</f>
        <v>-29240.079960000003</v>
      </c>
      <c r="BO521" s="6">
        <f>(Grandview_Inventory[[#This Row],[att_gar]]+Grandview_Inventory[[#This Row],[bltin_gar]])*Lookups!$B$17</f>
        <v>0</v>
      </c>
      <c r="BP521" s="6">
        <f>Grandview_Inventory[[#This Row],[Plumbing Fixtures]]*Lookups!$B$18</f>
        <v>16083.5344</v>
      </c>
      <c r="BQ521" s="6">
        <f>Grandview_Inventory[[#This Row],[detatched_value]]*Lookups!$B$19</f>
        <v>0</v>
      </c>
      <c r="BR521" s="6">
        <f>SUM(Grandview_Inventory[[#This Row],[Intercept]:[det_value]])*Grandview_Inventory[[#This Row],[res_pct]]</f>
        <v>263324.12181400001</v>
      </c>
      <c r="BS521" s="6">
        <f>Grandview_Inventory[[#This Row],[land_value]]</f>
        <v>46638.847281240982</v>
      </c>
      <c r="BT521" s="4">
        <f>_xlfn.IFNA(VLOOKUP(Grandview_Inventory[[#This Row],[quality]],Lookups!$A$26:$C$33,3,FALSE),1)</f>
        <v>0.98763855981004833</v>
      </c>
      <c r="BU521" s="4">
        <f>_xlfn.IFNA(VLOOKUP(Grandview_Inventory[[#This Row],[condition]],Lookups!$A$37:$C$44,3,FALSE),1)</f>
        <v>0.96469275950863709</v>
      </c>
      <c r="BV521" s="4">
        <f>IF(Grandview_Inventory[[#This Row],[bldg_style]]="",1,_xlfn.IFNA(VLOOKUP(Grandview_Inventory[[#This Row],[decade]],Lookups!$F$29:$H$43,3,FALSE),1))</f>
        <v>0.99472141305414818</v>
      </c>
      <c r="BW521" s="4">
        <f>_xlfn.IFNA(VLOOKUP(Grandview_Inventory[[#This Row],[living_area_range]],Lookups!$F$47:$H$56,3,FALSE),1)</f>
        <v>0.95799442568048754</v>
      </c>
      <c r="BX521" s="4">
        <f>AVERAGE(Grandview_Inventory[[#This Row],[qual_adj]:[size_adj]])</f>
        <v>0.97626178951333031</v>
      </c>
      <c r="BY521" s="6">
        <f>IF(Grandview_Inventory[[#This Row],[pre_res]]&lt;0,0,Grandview_Inventory[[#This Row],[pre_res]]*Grandview_Inventory[[#This Row],[overall_adj]])</f>
        <v>257073.27838416182</v>
      </c>
      <c r="BZ521" s="6">
        <f>(Grandview_Inventory[[#This Row],[sum_land]]-IF(Grandview_Inventory[[#This Row],[no_utilities]]=1,12000,0))/IF(Grandview_Inventory[[#This Row],[unbuildable]]=1,2,1)</f>
        <v>46638.847281240982</v>
      </c>
      <c r="CA52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21">
        <f>ROUND(Grandview_Inventory[[#This Row],[det_value]]*Lookups!$M$28,-2)</f>
        <v>0</v>
      </c>
      <c r="CC521">
        <f>IF(ROUND(Grandview_Inventory[[#This Row],[adj_res]]*Lookups!$M$28,-2)&lt;Grandview_Inventory[[#This Row],[min_res]],Grandview_Inventory[[#This Row],[min_res]],ROUND(Grandview_Inventory[[#This Row],[adj_res]]*Lookups!$M$28,-2))</f>
        <v>244200</v>
      </c>
      <c r="CD521">
        <f>Grandview_Inventory[[#This Row],[final_det]]+Grandview_Inventory[[#This Row],[final_res]]</f>
        <v>244200</v>
      </c>
      <c r="CE521">
        <f>Grandview_Inventory[[#This Row],[final_land]]+Grandview_Inventory[[#This Row],[final_imp]]+Grandview_Inventory[[#This Row],[crop_value]]</f>
        <v>288500</v>
      </c>
      <c r="CG521" t="str">
        <f t="shared" si="8"/>
        <v>update valuation set market_land =44300, market_bldg=244200, market_total =288500, market_mdno =401, market_date ='9/10/2023' where link_id = (select link_id from parcel where parcel_year = '2024' and parcel_id = '23092214505');</v>
      </c>
    </row>
    <row r="522" spans="1:85" x14ac:dyDescent="0.25">
      <c r="A522">
        <v>23092214509</v>
      </c>
      <c r="B522">
        <v>0.34</v>
      </c>
      <c r="C522">
        <v>14959</v>
      </c>
      <c r="D522" t="s">
        <v>129</v>
      </c>
      <c r="E522" t="s">
        <v>53</v>
      </c>
      <c r="F522" t="s">
        <v>53</v>
      </c>
      <c r="G522">
        <v>4</v>
      </c>
      <c r="H522" t="s">
        <v>54</v>
      </c>
      <c r="I522">
        <v>300400</v>
      </c>
      <c r="J522">
        <v>45800</v>
      </c>
      <c r="K522">
        <v>0.34</v>
      </c>
      <c r="L522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522">
        <v>0</v>
      </c>
      <c r="N522">
        <v>0</v>
      </c>
      <c r="O522">
        <v>0</v>
      </c>
      <c r="P522">
        <v>13398.7528</v>
      </c>
      <c r="Q522">
        <v>63903</v>
      </c>
      <c r="R522">
        <f>(Grandview_Inventory[[#This Row],[ln_acres]]*Grandview_Inventory[[#This Row],[coeff]])+Grandview_Inventory[[#This Row],[const]]</f>
        <v>49448.296029025805</v>
      </c>
      <c r="S522" t="s">
        <v>61</v>
      </c>
      <c r="T522">
        <v>1</v>
      </c>
      <c r="U522" t="s">
        <v>65</v>
      </c>
      <c r="V522" t="s">
        <v>69</v>
      </c>
      <c r="W522">
        <v>0</v>
      </c>
      <c r="X522">
        <v>0</v>
      </c>
      <c r="Y522">
        <v>50</v>
      </c>
      <c r="Z522">
        <v>71</v>
      </c>
      <c r="AA522">
        <v>80</v>
      </c>
      <c r="AB522">
        <v>3500</v>
      </c>
      <c r="AC522">
        <v>3324</v>
      </c>
      <c r="AD522">
        <v>2068</v>
      </c>
      <c r="AE522">
        <v>0</v>
      </c>
      <c r="AF522">
        <v>0</v>
      </c>
      <c r="AG522">
        <v>1256</v>
      </c>
      <c r="AH522">
        <v>0</v>
      </c>
      <c r="AI522">
        <v>0</v>
      </c>
      <c r="AJ522">
        <v>812</v>
      </c>
      <c r="AK522">
        <v>0</v>
      </c>
      <c r="AL522">
        <v>0</v>
      </c>
      <c r="AM522">
        <v>1000</v>
      </c>
      <c r="AN522">
        <v>175</v>
      </c>
      <c r="AO522">
        <v>0</v>
      </c>
      <c r="AP522">
        <v>13</v>
      </c>
      <c r="AQ522">
        <v>0</v>
      </c>
      <c r="AR522">
        <v>2</v>
      </c>
      <c r="AS522" t="s">
        <v>58</v>
      </c>
      <c r="AT522">
        <v>1</v>
      </c>
      <c r="AU522" t="s">
        <v>63</v>
      </c>
      <c r="AV522" t="s">
        <v>64</v>
      </c>
      <c r="AW522">
        <v>0</v>
      </c>
      <c r="AX522">
        <v>4</v>
      </c>
      <c r="AY522">
        <v>0</v>
      </c>
      <c r="AZ522">
        <v>16900</v>
      </c>
      <c r="BA522">
        <v>100</v>
      </c>
      <c r="BB522">
        <v>100</v>
      </c>
      <c r="BC522">
        <v>100</v>
      </c>
      <c r="BD522">
        <v>100</v>
      </c>
      <c r="BE522">
        <v>1</v>
      </c>
      <c r="BF522">
        <v>15000</v>
      </c>
      <c r="BG522">
        <v>1000</v>
      </c>
      <c r="BH522" s="6">
        <f>Grandview_Inventory[[#This Row],[land_extract]]*Lookups!$B$3</f>
        <v>57424.172668108389</v>
      </c>
      <c r="BI522" s="6">
        <f>IF(Grandview_Inventory[[#This Row],[bldg_style]]="",0,Lookups!$B$2)</f>
        <v>155833.95000000001</v>
      </c>
      <c r="BJ522" s="6">
        <f>_xlfn.IFNA(VLOOKUP(Grandview_Inventory[[#This Row],[quality]],Lookups!$H$2:$J$14,3,FALSE),0)</f>
        <v>2251</v>
      </c>
      <c r="BK522" s="6">
        <f>_xlfn.IFNA(VLOOKUP(Grandview_Inventory[[#This Row],[condition]],Lookups!$H$17:$J$24,3,FALSE),0)</f>
        <v>-4503</v>
      </c>
      <c r="BL522" s="6">
        <f>Grandview_Inventory[[#This Row],[Eff_Age]]*Lookups!$B$14</f>
        <v>-11958.33</v>
      </c>
      <c r="BM522" s="6">
        <f>Grandview_Inventory[[#This Row],[living_area]]*Lookups!$B$15</f>
        <v>207353.955372</v>
      </c>
      <c r="BN522" s="6">
        <f>Grandview_Inventory[[#This Row],[Fin BSMT]]*Lookups!$B$16</f>
        <v>-34036.64544</v>
      </c>
      <c r="BO522" s="6">
        <f>(Grandview_Inventory[[#This Row],[att_gar]]+Grandview_Inventory[[#This Row],[bltin_gar]])*Lookups!$B$17</f>
        <v>71066.594844000007</v>
      </c>
      <c r="BP522" s="6">
        <f>Grandview_Inventory[[#This Row],[Plumbing Fixtures]]*Lookups!$B$18</f>
        <v>26135.743399999999</v>
      </c>
      <c r="BQ522" s="6">
        <f>Grandview_Inventory[[#This Row],[detatched_value]]*Lookups!$B$19</f>
        <v>14311.00619</v>
      </c>
      <c r="BR522" s="6">
        <f>SUM(Grandview_Inventory[[#This Row],[Intercept]:[det_value]])*Grandview_Inventory[[#This Row],[res_pct]]</f>
        <v>426454.27436599997</v>
      </c>
      <c r="BS522" s="6">
        <f>Grandview_Inventory[[#This Row],[land_value]]</f>
        <v>57424.172668108389</v>
      </c>
      <c r="BT522" s="4">
        <f>_xlfn.IFNA(VLOOKUP(Grandview_Inventory[[#This Row],[quality]],Lookups!$A$26:$C$33,3,FALSE),1)</f>
        <v>0.98763855981004833</v>
      </c>
      <c r="BU522" s="4">
        <f>_xlfn.IFNA(VLOOKUP(Grandview_Inventory[[#This Row],[condition]],Lookups!$A$37:$C$44,3,FALSE),1)</f>
        <v>0.96469275950863709</v>
      </c>
      <c r="BV522" s="4">
        <f>IF(Grandview_Inventory[[#This Row],[bldg_style]]="",1,_xlfn.IFNA(VLOOKUP(Grandview_Inventory[[#This Row],[decade]],Lookups!$F$29:$H$43,3,FALSE),1))</f>
        <v>0.98763256963907298</v>
      </c>
      <c r="BW522" s="4">
        <f>_xlfn.IFNA(VLOOKUP(Grandview_Inventory[[#This Row],[living_area_range]],Lookups!$F$47:$H$56,3,FALSE),1)</f>
        <v>1.0170112215140563</v>
      </c>
      <c r="BX522" s="4">
        <f>AVERAGE(Grandview_Inventory[[#This Row],[qual_adj]:[size_adj]])</f>
        <v>0.98924377761795368</v>
      </c>
      <c r="BY522" s="6">
        <f>IF(Grandview_Inventory[[#This Row],[pre_res]]&lt;0,0,Grandview_Inventory[[#This Row],[pre_res]]*Grandview_Inventory[[#This Row],[overall_adj]])</f>
        <v>421867.2373551451</v>
      </c>
      <c r="BZ522" s="6">
        <f>(Grandview_Inventory[[#This Row],[sum_land]]-IF(Grandview_Inventory[[#This Row],[no_utilities]]=1,12000,0))/IF(Grandview_Inventory[[#This Row],[unbuildable]]=1,2,1)</f>
        <v>57424.172668108389</v>
      </c>
      <c r="CA522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522">
        <f>ROUND(Grandview_Inventory[[#This Row],[det_value]]*Lookups!$M$28,-2)</f>
        <v>13600</v>
      </c>
      <c r="CC522">
        <f>IF(ROUND(Grandview_Inventory[[#This Row],[adj_res]]*Lookups!$M$28,-2)&lt;Grandview_Inventory[[#This Row],[min_res]],Grandview_Inventory[[#This Row],[min_res]],ROUND(Grandview_Inventory[[#This Row],[adj_res]]*Lookups!$M$28,-2))</f>
        <v>400800</v>
      </c>
      <c r="CD522">
        <f>Grandview_Inventory[[#This Row],[final_det]]+Grandview_Inventory[[#This Row],[final_res]]</f>
        <v>414400</v>
      </c>
      <c r="CE522">
        <f>Grandview_Inventory[[#This Row],[final_land]]+Grandview_Inventory[[#This Row],[final_imp]]+Grandview_Inventory[[#This Row],[crop_value]]</f>
        <v>469000</v>
      </c>
      <c r="CG522" t="str">
        <f t="shared" si="8"/>
        <v>update valuation set market_land =54600, market_bldg=414400, market_total =469000, market_mdno =401, market_date ='9/10/2023' where link_id = (select link_id from parcel where parcel_year = '2024' and parcel_id = '23092214509');</v>
      </c>
    </row>
    <row r="523" spans="1:85" x14ac:dyDescent="0.25">
      <c r="A523">
        <v>23092214510</v>
      </c>
      <c r="B523">
        <v>0.41</v>
      </c>
      <c r="C523" t="s">
        <v>129</v>
      </c>
      <c r="D523" t="s">
        <v>129</v>
      </c>
      <c r="E523" t="s">
        <v>53</v>
      </c>
      <c r="F523" t="s">
        <v>53</v>
      </c>
      <c r="G523">
        <v>4</v>
      </c>
      <c r="H523" t="s">
        <v>54</v>
      </c>
      <c r="I523">
        <v>278400</v>
      </c>
      <c r="J523">
        <v>45800</v>
      </c>
      <c r="K523">
        <v>0.41</v>
      </c>
      <c r="L523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523">
        <v>0</v>
      </c>
      <c r="N523">
        <v>0</v>
      </c>
      <c r="O523">
        <v>0</v>
      </c>
      <c r="P523">
        <v>13398.7528</v>
      </c>
      <c r="Q523">
        <v>63903</v>
      </c>
      <c r="R523">
        <f>(Grandview_Inventory[[#This Row],[ln_acres]]*Grandview_Inventory[[#This Row],[coeff]])+Grandview_Inventory[[#This Row],[const]]</f>
        <v>51956.697202771669</v>
      </c>
      <c r="S523" t="s">
        <v>61</v>
      </c>
      <c r="T523">
        <v>1</v>
      </c>
      <c r="U523" t="s">
        <v>64</v>
      </c>
      <c r="V523" t="s">
        <v>69</v>
      </c>
      <c r="W523">
        <v>0</v>
      </c>
      <c r="X523">
        <v>0</v>
      </c>
      <c r="Y523">
        <v>50</v>
      </c>
      <c r="Z523">
        <v>71</v>
      </c>
      <c r="AA523">
        <v>80</v>
      </c>
      <c r="AB523">
        <v>3000</v>
      </c>
      <c r="AC523">
        <v>2940</v>
      </c>
      <c r="AD523">
        <v>2195</v>
      </c>
      <c r="AE523">
        <v>0</v>
      </c>
      <c r="AF523">
        <v>0</v>
      </c>
      <c r="AG523">
        <v>745</v>
      </c>
      <c r="AH523">
        <v>80</v>
      </c>
      <c r="AI523">
        <v>598</v>
      </c>
      <c r="AJ523">
        <v>0</v>
      </c>
      <c r="AK523">
        <v>0</v>
      </c>
      <c r="AL523">
        <v>0</v>
      </c>
      <c r="AM523">
        <v>494</v>
      </c>
      <c r="AN523">
        <v>0</v>
      </c>
      <c r="AO523">
        <v>494</v>
      </c>
      <c r="AP523">
        <v>8</v>
      </c>
      <c r="AQ523">
        <v>0</v>
      </c>
      <c r="AR523">
        <v>1</v>
      </c>
      <c r="AS523" t="s">
        <v>58</v>
      </c>
      <c r="AT523">
        <v>1</v>
      </c>
      <c r="AU523" t="s">
        <v>63</v>
      </c>
      <c r="AV523" t="s">
        <v>60</v>
      </c>
      <c r="AW523">
        <v>1</v>
      </c>
      <c r="AX523">
        <v>4</v>
      </c>
      <c r="AY523">
        <v>0</v>
      </c>
      <c r="AZ523">
        <v>0</v>
      </c>
      <c r="BA523">
        <v>100</v>
      </c>
      <c r="BB523">
        <v>100</v>
      </c>
      <c r="BC523">
        <v>100</v>
      </c>
      <c r="BD523">
        <v>100</v>
      </c>
      <c r="BE523">
        <v>1</v>
      </c>
      <c r="BF523">
        <v>15000</v>
      </c>
      <c r="BG523">
        <v>1000</v>
      </c>
      <c r="BH523" s="6">
        <f>Grandview_Inventory[[#This Row],[land_extract]]*Lookups!$B$3</f>
        <v>60337.172178496294</v>
      </c>
      <c r="BI523" s="6">
        <f>IF(Grandview_Inventory[[#This Row],[bldg_style]]="",0,Lookups!$B$2)</f>
        <v>155833.95000000001</v>
      </c>
      <c r="BJ523" s="6">
        <f>_xlfn.IFNA(VLOOKUP(Grandview_Inventory[[#This Row],[quality]],Lookups!$H$2:$J$14,3,FALSE),0)</f>
        <v>20768</v>
      </c>
      <c r="BK523" s="6">
        <f>_xlfn.IFNA(VLOOKUP(Grandview_Inventory[[#This Row],[condition]],Lookups!$H$17:$J$24,3,FALSE),0)</f>
        <v>-4503</v>
      </c>
      <c r="BL523" s="6">
        <f>Grandview_Inventory[[#This Row],[Eff_Age]]*Lookups!$B$14</f>
        <v>-11958.33</v>
      </c>
      <c r="BM523" s="6">
        <f>Grandview_Inventory[[#This Row],[living_area]]*Lookups!$B$15</f>
        <v>183399.70782000001</v>
      </c>
      <c r="BN523" s="6">
        <f>Grandview_Inventory[[#This Row],[Fin BSMT]]*Lookups!$B$16</f>
        <v>-20188.933800000003</v>
      </c>
      <c r="BO523" s="6">
        <f>(Grandview_Inventory[[#This Row],[att_gar]]+Grandview_Inventory[[#This Row],[bltin_gar]])*Lookups!$B$17</f>
        <v>52337.221325999999</v>
      </c>
      <c r="BP523" s="6">
        <f>Grandview_Inventory[[#This Row],[Plumbing Fixtures]]*Lookups!$B$18</f>
        <v>16083.5344</v>
      </c>
      <c r="BQ523" s="6">
        <f>Grandview_Inventory[[#This Row],[detatched_value]]*Lookups!$B$19</f>
        <v>0</v>
      </c>
      <c r="BR523" s="6">
        <f>SUM(Grandview_Inventory[[#This Row],[Intercept]:[det_value]])*Grandview_Inventory[[#This Row],[res_pct]]</f>
        <v>391772.14974600001</v>
      </c>
      <c r="BS523" s="6">
        <f>Grandview_Inventory[[#This Row],[land_value]]</f>
        <v>60337.172178496294</v>
      </c>
      <c r="BT523" s="4">
        <f>_xlfn.IFNA(VLOOKUP(Grandview_Inventory[[#This Row],[quality]],Lookups!$A$26:$C$33,3,FALSE),1)</f>
        <v>0.94960540378902636</v>
      </c>
      <c r="BU523" s="4">
        <f>_xlfn.IFNA(VLOOKUP(Grandview_Inventory[[#This Row],[condition]],Lookups!$A$37:$C$44,3,FALSE),1)</f>
        <v>0.96469275950863709</v>
      </c>
      <c r="BV523" s="4">
        <f>IF(Grandview_Inventory[[#This Row],[bldg_style]]="",1,_xlfn.IFNA(VLOOKUP(Grandview_Inventory[[#This Row],[decade]],Lookups!$F$29:$H$43,3,FALSE),1))</f>
        <v>0.98763256963907298</v>
      </c>
      <c r="BW523" s="4">
        <f>_xlfn.IFNA(VLOOKUP(Grandview_Inventory[[#This Row],[living_area_range]],Lookups!$F$47:$H$56,3,FALSE),1)</f>
        <v>0.94224801443562123</v>
      </c>
      <c r="BX523" s="4">
        <f>AVERAGE(Grandview_Inventory[[#This Row],[qual_adj]:[size_adj]])</f>
        <v>0.96104468684308941</v>
      </c>
      <c r="BY523" s="6">
        <f>IF(Grandview_Inventory[[#This Row],[pre_res]]&lt;0,0,Grandview_Inventory[[#This Row],[pre_res]]*Grandview_Inventory[[#This Row],[overall_adj]])</f>
        <v>376510.54296648852</v>
      </c>
      <c r="BZ523" s="6">
        <f>(Grandview_Inventory[[#This Row],[sum_land]]-IF(Grandview_Inventory[[#This Row],[no_utilities]]=1,12000,0))/IF(Grandview_Inventory[[#This Row],[unbuildable]]=1,2,1)</f>
        <v>60337.172178496294</v>
      </c>
      <c r="CA523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523">
        <f>ROUND(Grandview_Inventory[[#This Row],[det_value]]*Lookups!$M$28,-2)</f>
        <v>0</v>
      </c>
      <c r="CC523">
        <f>IF(ROUND(Grandview_Inventory[[#This Row],[adj_res]]*Lookups!$M$28,-2)&lt;Grandview_Inventory[[#This Row],[min_res]],Grandview_Inventory[[#This Row],[min_res]],ROUND(Grandview_Inventory[[#This Row],[adj_res]]*Lookups!$M$28,-2))</f>
        <v>357700</v>
      </c>
      <c r="CD523">
        <f>Grandview_Inventory[[#This Row],[final_det]]+Grandview_Inventory[[#This Row],[final_res]]</f>
        <v>357700</v>
      </c>
      <c r="CE523">
        <f>Grandview_Inventory[[#This Row],[final_land]]+Grandview_Inventory[[#This Row],[final_imp]]+Grandview_Inventory[[#This Row],[crop_value]]</f>
        <v>415000</v>
      </c>
      <c r="CG523" t="str">
        <f t="shared" si="8"/>
        <v>update valuation set market_land =57300, market_bldg=357700, market_total =415000, market_mdno =401, market_date ='9/10/2023' where link_id = (select link_id from parcel where parcel_year = '2024' and parcel_id = '23092214510');</v>
      </c>
    </row>
    <row r="524" spans="1:85" x14ac:dyDescent="0.25">
      <c r="A524">
        <v>23092214514</v>
      </c>
      <c r="B524">
        <v>0.3</v>
      </c>
      <c r="C524" t="s">
        <v>129</v>
      </c>
      <c r="D524" t="s">
        <v>129</v>
      </c>
      <c r="E524" t="s">
        <v>53</v>
      </c>
      <c r="F524" t="s">
        <v>53</v>
      </c>
      <c r="G524">
        <v>4</v>
      </c>
      <c r="H524" t="s">
        <v>54</v>
      </c>
      <c r="I524">
        <v>194500</v>
      </c>
      <c r="J524">
        <v>45200</v>
      </c>
      <c r="K524">
        <v>0.3</v>
      </c>
      <c r="L524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524">
        <v>0</v>
      </c>
      <c r="N524">
        <v>0</v>
      </c>
      <c r="O524">
        <v>0</v>
      </c>
      <c r="P524">
        <v>13398.7528</v>
      </c>
      <c r="Q524">
        <v>63903</v>
      </c>
      <c r="R524">
        <f>(Grandview_Inventory[[#This Row],[ln_acres]]*Grandview_Inventory[[#This Row],[coeff]])+Grandview_Inventory[[#This Row],[const]]</f>
        <v>47771.266016914014</v>
      </c>
      <c r="S524" t="s">
        <v>61</v>
      </c>
      <c r="T524">
        <v>1</v>
      </c>
      <c r="U524" t="s">
        <v>62</v>
      </c>
      <c r="V524" t="s">
        <v>69</v>
      </c>
      <c r="W524">
        <v>0</v>
      </c>
      <c r="X524">
        <v>0</v>
      </c>
      <c r="Y524">
        <v>50</v>
      </c>
      <c r="Z524">
        <v>70</v>
      </c>
      <c r="AA524">
        <v>70</v>
      </c>
      <c r="AB524">
        <v>2000</v>
      </c>
      <c r="AC524">
        <v>1958</v>
      </c>
      <c r="AD524">
        <v>1714</v>
      </c>
      <c r="AE524">
        <v>0</v>
      </c>
      <c r="AF524">
        <v>0</v>
      </c>
      <c r="AG524">
        <v>244</v>
      </c>
      <c r="AH524">
        <v>1013</v>
      </c>
      <c r="AI524">
        <v>0</v>
      </c>
      <c r="AJ524">
        <v>0</v>
      </c>
      <c r="AK524">
        <v>0</v>
      </c>
      <c r="AL524">
        <v>0</v>
      </c>
      <c r="AM524">
        <v>364</v>
      </c>
      <c r="AN524">
        <v>0</v>
      </c>
      <c r="AO524">
        <v>364</v>
      </c>
      <c r="AP524">
        <v>8</v>
      </c>
      <c r="AQ524">
        <v>0</v>
      </c>
      <c r="AR524">
        <v>2</v>
      </c>
      <c r="AS524" t="s">
        <v>58</v>
      </c>
      <c r="AT524">
        <v>1</v>
      </c>
      <c r="AU524" t="s">
        <v>63</v>
      </c>
      <c r="AV524" t="s">
        <v>64</v>
      </c>
      <c r="AW524">
        <v>1</v>
      </c>
      <c r="AX524">
        <v>3</v>
      </c>
      <c r="AY524">
        <v>0</v>
      </c>
      <c r="AZ524">
        <v>0</v>
      </c>
      <c r="BA524">
        <v>100</v>
      </c>
      <c r="BB524">
        <v>100</v>
      </c>
      <c r="BC524">
        <v>100</v>
      </c>
      <c r="BD524">
        <v>100</v>
      </c>
      <c r="BE524">
        <v>1</v>
      </c>
      <c r="BF524">
        <v>15000</v>
      </c>
      <c r="BG524">
        <v>1000</v>
      </c>
      <c r="BH524" s="6">
        <f>Grandview_Inventory[[#This Row],[land_extract]]*Lookups!$B$3</f>
        <v>55476.642243023998</v>
      </c>
      <c r="BI524" s="6">
        <f>IF(Grandview_Inventory[[#This Row],[bldg_style]]="",0,Lookups!$B$2)</f>
        <v>155833.95000000001</v>
      </c>
      <c r="BJ524" s="6">
        <f>_xlfn.IFNA(VLOOKUP(Grandview_Inventory[[#This Row],[quality]],Lookups!$H$2:$J$14,3,FALSE),0)</f>
        <v>9808</v>
      </c>
      <c r="BK524" s="6">
        <f>_xlfn.IFNA(VLOOKUP(Grandview_Inventory[[#This Row],[condition]],Lookups!$H$17:$J$24,3,FALSE),0)</f>
        <v>-4503</v>
      </c>
      <c r="BL524" s="6">
        <f>Grandview_Inventory[[#This Row],[Eff_Age]]*Lookups!$B$14</f>
        <v>-11958.33</v>
      </c>
      <c r="BM524" s="6">
        <f>Grandview_Inventory[[#This Row],[living_area]]*Lookups!$B$15</f>
        <v>122141.71017400001</v>
      </c>
      <c r="BN524" s="6">
        <f>Grandview_Inventory[[#This Row],[Fin BSMT]]*Lookups!$B$16</f>
        <v>-6612.2145600000003</v>
      </c>
      <c r="BO524" s="6">
        <f>(Grandview_Inventory[[#This Row],[att_gar]]+Grandview_Inventory[[#This Row],[bltin_gar]])*Lookups!$B$17</f>
        <v>0</v>
      </c>
      <c r="BP524" s="6">
        <f>Grandview_Inventory[[#This Row],[Plumbing Fixtures]]*Lookups!$B$18</f>
        <v>16083.5344</v>
      </c>
      <c r="BQ524" s="6">
        <f>Grandview_Inventory[[#This Row],[detatched_value]]*Lookups!$B$19</f>
        <v>0</v>
      </c>
      <c r="BR524" s="6">
        <f>SUM(Grandview_Inventory[[#This Row],[Intercept]:[det_value]])*Grandview_Inventory[[#This Row],[res_pct]]</f>
        <v>280793.65001400001</v>
      </c>
      <c r="BS524" s="6">
        <f>Grandview_Inventory[[#This Row],[land_value]]</f>
        <v>55476.642243023998</v>
      </c>
      <c r="BT524" s="4">
        <f>_xlfn.IFNA(VLOOKUP(Grandview_Inventory[[#This Row],[quality]],Lookups!$A$26:$C$33,3,FALSE),1)</f>
        <v>0.94295468617355149</v>
      </c>
      <c r="BU524" s="4">
        <f>_xlfn.IFNA(VLOOKUP(Grandview_Inventory[[#This Row],[condition]],Lookups!$A$37:$C$44,3,FALSE),1)</f>
        <v>0.96469275950863709</v>
      </c>
      <c r="BV524" s="4">
        <f>IF(Grandview_Inventory[[#This Row],[bldg_style]]="",1,_xlfn.IFNA(VLOOKUP(Grandview_Inventory[[#This Row],[decade]],Lookups!$F$29:$H$43,3,FALSE),1))</f>
        <v>0.99472141305414818</v>
      </c>
      <c r="BW524" s="4">
        <f>_xlfn.IFNA(VLOOKUP(Grandview_Inventory[[#This Row],[living_area_range]],Lookups!$F$47:$H$56,3,FALSE),1)</f>
        <v>0.96120133463014379</v>
      </c>
      <c r="BX524" s="4">
        <f>AVERAGE(Grandview_Inventory[[#This Row],[qual_adj]:[size_adj]])</f>
        <v>0.96589254834162008</v>
      </c>
      <c r="BY524" s="6">
        <f>IF(Grandview_Inventory[[#This Row],[pre_res]]&lt;0,0,Grandview_Inventory[[#This Row],[pre_res]]*Grandview_Inventory[[#This Row],[overall_adj]])</f>
        <v>271216.49417016748</v>
      </c>
      <c r="BZ524" s="6">
        <f>(Grandview_Inventory[[#This Row],[sum_land]]-IF(Grandview_Inventory[[#This Row],[no_utilities]]=1,12000,0))/IF(Grandview_Inventory[[#This Row],[unbuildable]]=1,2,1)</f>
        <v>55476.642243023998</v>
      </c>
      <c r="CA524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524">
        <f>ROUND(Grandview_Inventory[[#This Row],[det_value]]*Lookups!$M$28,-2)</f>
        <v>0</v>
      </c>
      <c r="CC524">
        <f>IF(ROUND(Grandview_Inventory[[#This Row],[adj_res]]*Lookups!$M$28,-2)&lt;Grandview_Inventory[[#This Row],[min_res]],Grandview_Inventory[[#This Row],[min_res]],ROUND(Grandview_Inventory[[#This Row],[adj_res]]*Lookups!$M$28,-2))</f>
        <v>257700</v>
      </c>
      <c r="CD524">
        <f>Grandview_Inventory[[#This Row],[final_det]]+Grandview_Inventory[[#This Row],[final_res]]</f>
        <v>257700</v>
      </c>
      <c r="CE524">
        <f>Grandview_Inventory[[#This Row],[final_land]]+Grandview_Inventory[[#This Row],[final_imp]]+Grandview_Inventory[[#This Row],[crop_value]]</f>
        <v>310400</v>
      </c>
      <c r="CG524" t="str">
        <f t="shared" si="8"/>
        <v>update valuation set market_land =52700, market_bldg=257700, market_total =310400, market_mdno =401, market_date ='9/10/2023' where link_id = (select link_id from parcel where parcel_year = '2024' and parcel_id = '23092214514');</v>
      </c>
    </row>
    <row r="525" spans="1:85" x14ac:dyDescent="0.25">
      <c r="A525">
        <v>23092214515</v>
      </c>
      <c r="B525">
        <v>0.25</v>
      </c>
      <c r="C525">
        <v>10838</v>
      </c>
      <c r="D525" t="s">
        <v>129</v>
      </c>
      <c r="E525" t="s">
        <v>53</v>
      </c>
      <c r="F525" t="s">
        <v>53</v>
      </c>
      <c r="G525">
        <v>4</v>
      </c>
      <c r="H525" t="s">
        <v>54</v>
      </c>
      <c r="I525">
        <v>146400</v>
      </c>
      <c r="J525">
        <v>44400</v>
      </c>
      <c r="K525">
        <v>0.25</v>
      </c>
      <c r="L52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525">
        <v>0</v>
      </c>
      <c r="N525">
        <v>0</v>
      </c>
      <c r="O525">
        <v>0</v>
      </c>
      <c r="P525">
        <v>13398.7528</v>
      </c>
      <c r="Q525">
        <v>63903</v>
      </c>
      <c r="R525">
        <f>(Grandview_Inventory[[#This Row],[ln_acres]]*Grandview_Inventory[[#This Row],[coeff]])+Grandview_Inventory[[#This Row],[const]]</f>
        <v>45328.38454732066</v>
      </c>
      <c r="S525" t="s">
        <v>61</v>
      </c>
      <c r="T525">
        <v>1</v>
      </c>
      <c r="U525" t="s">
        <v>65</v>
      </c>
      <c r="V525" t="s">
        <v>69</v>
      </c>
      <c r="W525">
        <v>0</v>
      </c>
      <c r="X525">
        <v>0</v>
      </c>
      <c r="Y525">
        <v>49</v>
      </c>
      <c r="Z525">
        <v>68</v>
      </c>
      <c r="AA525">
        <v>70</v>
      </c>
      <c r="AB525">
        <v>1500</v>
      </c>
      <c r="AC525">
        <v>1405</v>
      </c>
      <c r="AD525">
        <v>1405</v>
      </c>
      <c r="AE525">
        <v>0</v>
      </c>
      <c r="AF525">
        <v>0</v>
      </c>
      <c r="AG525">
        <v>0</v>
      </c>
      <c r="AH525">
        <v>546</v>
      </c>
      <c r="AI525">
        <v>0</v>
      </c>
      <c r="AJ525">
        <v>0</v>
      </c>
      <c r="AK525">
        <v>0</v>
      </c>
      <c r="AL525">
        <v>0</v>
      </c>
      <c r="AM525">
        <v>500</v>
      </c>
      <c r="AN525">
        <v>0</v>
      </c>
      <c r="AO525">
        <v>160</v>
      </c>
      <c r="AP525">
        <v>5</v>
      </c>
      <c r="AQ525">
        <v>0</v>
      </c>
      <c r="AR525">
        <v>0</v>
      </c>
      <c r="AS525" t="s">
        <v>58</v>
      </c>
      <c r="AT525">
        <v>1</v>
      </c>
      <c r="AU525" t="s">
        <v>63</v>
      </c>
      <c r="AV525" t="s">
        <v>64</v>
      </c>
      <c r="AW525">
        <v>1</v>
      </c>
      <c r="AX525">
        <v>3</v>
      </c>
      <c r="AY525">
        <v>0</v>
      </c>
      <c r="AZ525">
        <v>0</v>
      </c>
      <c r="BA525">
        <v>100</v>
      </c>
      <c r="BB525">
        <v>100</v>
      </c>
      <c r="BC525">
        <v>100</v>
      </c>
      <c r="BD525">
        <v>100</v>
      </c>
      <c r="BE525">
        <v>1</v>
      </c>
      <c r="BF525">
        <v>15000</v>
      </c>
      <c r="BG525">
        <v>1000</v>
      </c>
      <c r="BH525" s="6">
        <f>Grandview_Inventory[[#This Row],[land_extract]]*Lookups!$B$3</f>
        <v>52639.730588165206</v>
      </c>
      <c r="BI525" s="6">
        <f>IF(Grandview_Inventory[[#This Row],[bldg_style]]="",0,Lookups!$B$2)</f>
        <v>155833.95000000001</v>
      </c>
      <c r="BJ525" s="6">
        <f>_xlfn.IFNA(VLOOKUP(Grandview_Inventory[[#This Row],[quality]],Lookups!$H$2:$J$14,3,FALSE),0)</f>
        <v>2251</v>
      </c>
      <c r="BK525" s="6">
        <f>_xlfn.IFNA(VLOOKUP(Grandview_Inventory[[#This Row],[condition]],Lookups!$H$17:$J$24,3,FALSE),0)</f>
        <v>-4503</v>
      </c>
      <c r="BL525" s="6">
        <f>Grandview_Inventory[[#This Row],[Eff_Age]]*Lookups!$B$14</f>
        <v>-11719.163399999999</v>
      </c>
      <c r="BM525" s="6">
        <f>Grandview_Inventory[[#This Row],[living_area]]*Lookups!$B$15</f>
        <v>87645.098465000003</v>
      </c>
      <c r="BN525" s="6">
        <f>Grandview_Inventory[[#This Row],[Fin BSMT]]*Lookups!$B$16</f>
        <v>0</v>
      </c>
      <c r="BO525" s="6">
        <f>(Grandview_Inventory[[#This Row],[att_gar]]+Grandview_Inventory[[#This Row],[bltin_gar]])*Lookups!$B$17</f>
        <v>0</v>
      </c>
      <c r="BP525" s="6">
        <f>Grandview_Inventory[[#This Row],[Plumbing Fixtures]]*Lookups!$B$18</f>
        <v>10052.209000000001</v>
      </c>
      <c r="BQ525" s="6">
        <f>Grandview_Inventory[[#This Row],[detatched_value]]*Lookups!$B$19</f>
        <v>0</v>
      </c>
      <c r="BR525" s="6">
        <f>SUM(Grandview_Inventory[[#This Row],[Intercept]:[det_value]])*Grandview_Inventory[[#This Row],[res_pct]]</f>
        <v>239560.09406500004</v>
      </c>
      <c r="BS525" s="6">
        <f>Grandview_Inventory[[#This Row],[land_value]]</f>
        <v>52639.730588165206</v>
      </c>
      <c r="BT525" s="4">
        <f>_xlfn.IFNA(VLOOKUP(Grandview_Inventory[[#This Row],[quality]],Lookups!$A$26:$C$33,3,FALSE),1)</f>
        <v>0.98763855981004833</v>
      </c>
      <c r="BU525" s="4">
        <f>_xlfn.IFNA(VLOOKUP(Grandview_Inventory[[#This Row],[condition]],Lookups!$A$37:$C$44,3,FALSE),1)</f>
        <v>0.96469275950863709</v>
      </c>
      <c r="BV525" s="4">
        <f>IF(Grandview_Inventory[[#This Row],[bldg_style]]="",1,_xlfn.IFNA(VLOOKUP(Grandview_Inventory[[#This Row],[decade]],Lookups!$F$29:$H$43,3,FALSE),1))</f>
        <v>0.99472141305414818</v>
      </c>
      <c r="BW525" s="4">
        <f>_xlfn.IFNA(VLOOKUP(Grandview_Inventory[[#This Row],[living_area_range]],Lookups!$F$47:$H$56,3,FALSE),1)</f>
        <v>0.96135087979789358</v>
      </c>
      <c r="BX525" s="4">
        <f>AVERAGE(Grandview_Inventory[[#This Row],[qual_adj]:[size_adj]])</f>
        <v>0.97710090304268182</v>
      </c>
      <c r="BY525" s="6">
        <f>IF(Grandview_Inventory[[#This Row],[pre_res]]&lt;0,0,Grandview_Inventory[[#This Row],[pre_res]]*Grandview_Inventory[[#This Row],[overall_adj]])</f>
        <v>234074.38424390135</v>
      </c>
      <c r="BZ525" s="6">
        <f>(Grandview_Inventory[[#This Row],[sum_land]]-IF(Grandview_Inventory[[#This Row],[no_utilities]]=1,12000,0))/IF(Grandview_Inventory[[#This Row],[unbuildable]]=1,2,1)</f>
        <v>52639.730588165206</v>
      </c>
      <c r="CA52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525">
        <f>ROUND(Grandview_Inventory[[#This Row],[det_value]]*Lookups!$M$28,-2)</f>
        <v>0</v>
      </c>
      <c r="CC525">
        <f>IF(ROUND(Grandview_Inventory[[#This Row],[adj_res]]*Lookups!$M$28,-2)&lt;Grandview_Inventory[[#This Row],[min_res]],Grandview_Inventory[[#This Row],[min_res]],ROUND(Grandview_Inventory[[#This Row],[adj_res]]*Lookups!$M$28,-2))</f>
        <v>222400</v>
      </c>
      <c r="CD525">
        <f>Grandview_Inventory[[#This Row],[final_det]]+Grandview_Inventory[[#This Row],[final_res]]</f>
        <v>222400</v>
      </c>
      <c r="CE525">
        <f>Grandview_Inventory[[#This Row],[final_land]]+Grandview_Inventory[[#This Row],[final_imp]]+Grandview_Inventory[[#This Row],[crop_value]]</f>
        <v>272400</v>
      </c>
      <c r="CG525" t="str">
        <f t="shared" si="8"/>
        <v>update valuation set market_land =50000, market_bldg=222400, market_total =272400, market_mdno =401, market_date ='9/10/2023' where link_id = (select link_id from parcel where parcel_year = '2024' and parcel_id = '23092214515');</v>
      </c>
    </row>
    <row r="526" spans="1:85" x14ac:dyDescent="0.25">
      <c r="A526">
        <v>23092221001</v>
      </c>
      <c r="B526">
        <v>0.84</v>
      </c>
      <c r="C526">
        <v>36412</v>
      </c>
      <c r="D526" t="s">
        <v>129</v>
      </c>
      <c r="E526" t="s">
        <v>53</v>
      </c>
      <c r="F526" t="s">
        <v>53</v>
      </c>
      <c r="G526">
        <v>4</v>
      </c>
      <c r="H526" t="s">
        <v>54</v>
      </c>
      <c r="I526">
        <v>219700</v>
      </c>
      <c r="J526">
        <v>48200</v>
      </c>
      <c r="K526">
        <v>0.84</v>
      </c>
      <c r="L526">
        <f>IF(Grandview_Inventory[[#This Row],[parcel_acres]]-Grandview_Inventory[[#This Row],[non_valued_acres]] =0,0,LN(Grandview_Inventory[[#This Row],[parcel_acres]]-Grandview_Inventory[[#This Row],[non_valued_acres]]))</f>
        <v>-0.1743533871447778</v>
      </c>
      <c r="M526">
        <v>0</v>
      </c>
      <c r="N526">
        <v>0</v>
      </c>
      <c r="O526">
        <v>0</v>
      </c>
      <c r="P526">
        <v>13398.7528</v>
      </c>
      <c r="Q526">
        <v>63903</v>
      </c>
      <c r="R526">
        <f>(Grandview_Inventory[[#This Row],[ln_acres]]*Grandview_Inventory[[#This Row],[coeff]])+Grandview_Inventory[[#This Row],[const]]</f>
        <v>61566.882065804428</v>
      </c>
      <c r="S526" t="s">
        <v>61</v>
      </c>
      <c r="T526">
        <v>1</v>
      </c>
      <c r="U526" t="s">
        <v>65</v>
      </c>
      <c r="V526" t="s">
        <v>69</v>
      </c>
      <c r="W526">
        <v>0</v>
      </c>
      <c r="X526">
        <v>0</v>
      </c>
      <c r="Y526">
        <v>48</v>
      </c>
      <c r="Z526">
        <v>60</v>
      </c>
      <c r="AA526">
        <v>60</v>
      </c>
      <c r="AB526">
        <v>2000</v>
      </c>
      <c r="AC526">
        <v>1784</v>
      </c>
      <c r="AD526">
        <v>1784</v>
      </c>
      <c r="AE526">
        <v>0</v>
      </c>
      <c r="AF526">
        <v>0</v>
      </c>
      <c r="AG526">
        <v>0</v>
      </c>
      <c r="AH526">
        <v>0</v>
      </c>
      <c r="AI526">
        <v>576</v>
      </c>
      <c r="AJ526">
        <v>0</v>
      </c>
      <c r="AK526">
        <v>0</v>
      </c>
      <c r="AL526">
        <v>84</v>
      </c>
      <c r="AM526">
        <v>246</v>
      </c>
      <c r="AN526">
        <v>0</v>
      </c>
      <c r="AO526">
        <v>468</v>
      </c>
      <c r="AP526">
        <v>10</v>
      </c>
      <c r="AQ526">
        <v>0</v>
      </c>
      <c r="AR526">
        <v>1</v>
      </c>
      <c r="AS526" t="s">
        <v>58</v>
      </c>
      <c r="AT526">
        <v>1</v>
      </c>
      <c r="AU526" t="s">
        <v>63</v>
      </c>
      <c r="AV526" t="s">
        <v>60</v>
      </c>
      <c r="AW526">
        <v>0</v>
      </c>
      <c r="AX526">
        <v>3</v>
      </c>
      <c r="AY526">
        <v>0</v>
      </c>
      <c r="AZ526">
        <v>4400</v>
      </c>
      <c r="BA526">
        <v>100</v>
      </c>
      <c r="BB526">
        <v>100</v>
      </c>
      <c r="BC526">
        <v>100</v>
      </c>
      <c r="BD526">
        <v>100</v>
      </c>
      <c r="BE526">
        <v>1</v>
      </c>
      <c r="BF526">
        <v>15000</v>
      </c>
      <c r="BG526">
        <v>1000</v>
      </c>
      <c r="BH526" s="6">
        <f>Grandview_Inventory[[#This Row],[land_extract]]*Lookups!$B$3</f>
        <v>71497.453912437108</v>
      </c>
      <c r="BI526" s="6">
        <f>IF(Grandview_Inventory[[#This Row],[bldg_style]]="",0,Lookups!$B$2)</f>
        <v>155833.95000000001</v>
      </c>
      <c r="BJ526" s="6">
        <f>_xlfn.IFNA(VLOOKUP(Grandview_Inventory[[#This Row],[quality]],Lookups!$H$2:$J$14,3,FALSE),0)</f>
        <v>2251</v>
      </c>
      <c r="BK526" s="6">
        <f>_xlfn.IFNA(VLOOKUP(Grandview_Inventory[[#This Row],[condition]],Lookups!$H$17:$J$24,3,FALSE),0)</f>
        <v>-4503</v>
      </c>
      <c r="BL526" s="6">
        <f>Grandview_Inventory[[#This Row],[Eff_Age]]*Lookups!$B$14</f>
        <v>-11479.996799999999</v>
      </c>
      <c r="BM526" s="6">
        <f>Grandview_Inventory[[#This Row],[living_area]]*Lookups!$B$15</f>
        <v>111287.441752</v>
      </c>
      <c r="BN526" s="6">
        <f>Grandview_Inventory[[#This Row],[Fin BSMT]]*Lookups!$B$16</f>
        <v>0</v>
      </c>
      <c r="BO526" s="6">
        <f>(Grandview_Inventory[[#This Row],[att_gar]]+Grandview_Inventory[[#This Row],[bltin_gar]])*Lookups!$B$17</f>
        <v>50411.771712000002</v>
      </c>
      <c r="BP526" s="6">
        <f>Grandview_Inventory[[#This Row],[Plumbing Fixtures]]*Lookups!$B$18</f>
        <v>20104.418000000001</v>
      </c>
      <c r="BQ526" s="6">
        <f>Grandview_Inventory[[#This Row],[detatched_value]]*Lookups!$B$19</f>
        <v>3725.9424399999998</v>
      </c>
      <c r="BR526" s="6">
        <f>SUM(Grandview_Inventory[[#This Row],[Intercept]:[det_value]])*Grandview_Inventory[[#This Row],[res_pct]]</f>
        <v>327631.52710400004</v>
      </c>
      <c r="BS526" s="6">
        <f>Grandview_Inventory[[#This Row],[land_value]]</f>
        <v>71497.453912437108</v>
      </c>
      <c r="BT526" s="4">
        <f>_xlfn.IFNA(VLOOKUP(Grandview_Inventory[[#This Row],[quality]],Lookups!$A$26:$C$33,3,FALSE),1)</f>
        <v>0.98763855981004833</v>
      </c>
      <c r="BU526" s="4">
        <f>_xlfn.IFNA(VLOOKUP(Grandview_Inventory[[#This Row],[condition]],Lookups!$A$37:$C$44,3,FALSE),1)</f>
        <v>0.96469275950863709</v>
      </c>
      <c r="BV526" s="4">
        <f>IF(Grandview_Inventory[[#This Row],[bldg_style]]="",1,_xlfn.IFNA(VLOOKUP(Grandview_Inventory[[#This Row],[decade]],Lookups!$F$29:$H$43,3,FALSE),1))</f>
        <v>0.95268620544463312</v>
      </c>
      <c r="BW526" s="4">
        <f>_xlfn.IFNA(VLOOKUP(Grandview_Inventory[[#This Row],[living_area_range]],Lookups!$F$47:$H$56,3,FALSE),1)</f>
        <v>0.96120133463014379</v>
      </c>
      <c r="BX526" s="4">
        <f>AVERAGE(Grandview_Inventory[[#This Row],[qual_adj]:[size_adj]])</f>
        <v>0.96655471484836553</v>
      </c>
      <c r="BY526" s="6">
        <f>IF(Grandview_Inventory[[#This Row],[pre_res]]&lt;0,0,Grandview_Inventory[[#This Row],[pre_res]]*Grandview_Inventory[[#This Row],[overall_adj]])</f>
        <v>316673.79725534131</v>
      </c>
      <c r="BZ526" s="6">
        <f>(Grandview_Inventory[[#This Row],[sum_land]]-IF(Grandview_Inventory[[#This Row],[no_utilities]]=1,12000,0))/IF(Grandview_Inventory[[#This Row],[unbuildable]]=1,2,1)</f>
        <v>71497.453912437108</v>
      </c>
      <c r="CA526">
        <f>IF(ROUND(Grandview_Inventory[[#This Row],[adj_land]]*Lookups!$M$28,-2)&lt;Grandview_Inventory[[#This Row],[min_land]],Grandview_Inventory[[#This Row],[min_land]],ROUND(Grandview_Inventory[[#This Row],[adj_land]]*Lookups!$M$28,-2))</f>
        <v>67900</v>
      </c>
      <c r="CB526">
        <f>ROUND(Grandview_Inventory[[#This Row],[det_value]]*Lookups!$M$28,-2)</f>
        <v>3500</v>
      </c>
      <c r="CC526">
        <f>IF(ROUND(Grandview_Inventory[[#This Row],[adj_res]]*Lookups!$M$28,-2)&lt;Grandview_Inventory[[#This Row],[min_res]],Grandview_Inventory[[#This Row],[min_res]],ROUND(Grandview_Inventory[[#This Row],[adj_res]]*Lookups!$M$28,-2))</f>
        <v>300800</v>
      </c>
      <c r="CD526">
        <f>Grandview_Inventory[[#This Row],[final_det]]+Grandview_Inventory[[#This Row],[final_res]]</f>
        <v>304300</v>
      </c>
      <c r="CE526">
        <f>Grandview_Inventory[[#This Row],[final_land]]+Grandview_Inventory[[#This Row],[final_imp]]+Grandview_Inventory[[#This Row],[crop_value]]</f>
        <v>372200</v>
      </c>
      <c r="CG526" t="str">
        <f t="shared" si="8"/>
        <v>update valuation set market_land =67900, market_bldg=304300, market_total =372200, market_mdno =401, market_date ='9/10/2023' where link_id = (select link_id from parcel where parcel_year = '2024' and parcel_id = '23092221001');</v>
      </c>
    </row>
    <row r="527" spans="1:85" x14ac:dyDescent="0.25">
      <c r="A527">
        <v>23092221002</v>
      </c>
      <c r="B527">
        <v>0.99</v>
      </c>
      <c r="C527">
        <v>43214</v>
      </c>
      <c r="D527" t="s">
        <v>129</v>
      </c>
      <c r="E527" t="s">
        <v>53</v>
      </c>
      <c r="F527" t="s">
        <v>53</v>
      </c>
      <c r="G527">
        <v>4</v>
      </c>
      <c r="H527" t="s">
        <v>54</v>
      </c>
      <c r="I527">
        <v>167800</v>
      </c>
      <c r="J527">
        <v>48600</v>
      </c>
      <c r="K527">
        <v>0.99</v>
      </c>
      <c r="L527">
        <f>IF(Grandview_Inventory[[#This Row],[parcel_acres]]-Grandview_Inventory[[#This Row],[non_valued_acres]] =0,0,LN(Grandview_Inventory[[#This Row],[parcel_acres]]-Grandview_Inventory[[#This Row],[non_valued_acres]]))</f>
        <v>-1.0050335853501451E-2</v>
      </c>
      <c r="M527">
        <v>0</v>
      </c>
      <c r="N527">
        <v>0</v>
      </c>
      <c r="O527">
        <v>0</v>
      </c>
      <c r="P527">
        <v>13398.7528</v>
      </c>
      <c r="Q527">
        <v>63903</v>
      </c>
      <c r="R527">
        <f>(Grandview_Inventory[[#This Row],[ln_acres]]*Grandview_Inventory[[#This Row],[coeff]])+Grandview_Inventory[[#This Row],[const]]</f>
        <v>63768.338034341956</v>
      </c>
      <c r="S527" t="s">
        <v>68</v>
      </c>
      <c r="T527">
        <v>1</v>
      </c>
      <c r="U527" t="s">
        <v>70</v>
      </c>
      <c r="V527" t="s">
        <v>78</v>
      </c>
      <c r="W527">
        <v>0</v>
      </c>
      <c r="X527">
        <v>0</v>
      </c>
      <c r="Y527">
        <v>49</v>
      </c>
      <c r="Z527">
        <v>68</v>
      </c>
      <c r="AA527">
        <v>70</v>
      </c>
      <c r="AB527">
        <v>1500</v>
      </c>
      <c r="AC527">
        <v>1324</v>
      </c>
      <c r="AD527">
        <v>1324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660</v>
      </c>
      <c r="AL527">
        <v>0</v>
      </c>
      <c r="AM527">
        <v>0</v>
      </c>
      <c r="AN527">
        <v>24</v>
      </c>
      <c r="AO527">
        <v>0</v>
      </c>
      <c r="AP527">
        <v>5</v>
      </c>
      <c r="AQ527">
        <v>0</v>
      </c>
      <c r="AR527">
        <v>0</v>
      </c>
      <c r="AS527" t="s">
        <v>58</v>
      </c>
      <c r="AT527">
        <v>1</v>
      </c>
      <c r="AU527" t="s">
        <v>63</v>
      </c>
      <c r="AV527" t="s">
        <v>60</v>
      </c>
      <c r="AW527">
        <v>0</v>
      </c>
      <c r="AX527">
        <v>2</v>
      </c>
      <c r="AY527">
        <v>0</v>
      </c>
      <c r="AZ527">
        <v>38400</v>
      </c>
      <c r="BA527">
        <v>100</v>
      </c>
      <c r="BB527">
        <v>100</v>
      </c>
      <c r="BC527">
        <v>100</v>
      </c>
      <c r="BD527">
        <v>100</v>
      </c>
      <c r="BE527">
        <v>1</v>
      </c>
      <c r="BF527">
        <v>15000</v>
      </c>
      <c r="BG527">
        <v>1000</v>
      </c>
      <c r="BH527" s="6">
        <f>Grandview_Inventory[[#This Row],[land_extract]]*Lookups!$B$3</f>
        <v>74053.998784768613</v>
      </c>
      <c r="BI527" s="6">
        <f>IF(Grandview_Inventory[[#This Row],[bldg_style]]="",0,Lookups!$B$2)</f>
        <v>155833.95000000001</v>
      </c>
      <c r="BJ527" s="6">
        <f>_xlfn.IFNA(VLOOKUP(Grandview_Inventory[[#This Row],[quality]],Lookups!$H$2:$J$14,3,FALSE),0)</f>
        <v>10733</v>
      </c>
      <c r="BK527" s="6">
        <f>_xlfn.IFNA(VLOOKUP(Grandview_Inventory[[#This Row],[condition]],Lookups!$H$17:$J$24,3,FALSE),0)</f>
        <v>-45357</v>
      </c>
      <c r="BL527" s="6">
        <f>Grandview_Inventory[[#This Row],[Eff_Age]]*Lookups!$B$14</f>
        <v>-11719.163399999999</v>
      </c>
      <c r="BM527" s="6">
        <f>Grandview_Inventory[[#This Row],[living_area]]*Lookups!$B$15</f>
        <v>82592.249372000006</v>
      </c>
      <c r="BN527" s="6">
        <f>Grandview_Inventory[[#This Row],[Fin BSMT]]*Lookups!$B$16</f>
        <v>0</v>
      </c>
      <c r="BO527" s="6">
        <f>(Grandview_Inventory[[#This Row],[att_gar]]+Grandview_Inventory[[#This Row],[bltin_gar]])*Lookups!$B$17</f>
        <v>0</v>
      </c>
      <c r="BP527" s="6">
        <f>Grandview_Inventory[[#This Row],[Plumbing Fixtures]]*Lookups!$B$18</f>
        <v>10052.209000000001</v>
      </c>
      <c r="BQ527" s="6">
        <f>Grandview_Inventory[[#This Row],[detatched_value]]*Lookups!$B$19</f>
        <v>32517.315839999999</v>
      </c>
      <c r="BR527" s="6">
        <f>SUM(Grandview_Inventory[[#This Row],[Intercept]:[det_value]])*Grandview_Inventory[[#This Row],[res_pct]]</f>
        <v>234652.56081200001</v>
      </c>
      <c r="BS527" s="6">
        <f>Grandview_Inventory[[#This Row],[land_value]]</f>
        <v>74053.998784768613</v>
      </c>
      <c r="BT527" s="4">
        <f>_xlfn.IFNA(VLOOKUP(Grandview_Inventory[[#This Row],[quality]],Lookups!$A$26:$C$33,3,FALSE),1)</f>
        <v>0.98079741117310582</v>
      </c>
      <c r="BU527" s="4">
        <f>_xlfn.IFNA(VLOOKUP(Grandview_Inventory[[#This Row],[condition]],Lookups!$A$37:$C$44,3,FALSE),1)</f>
        <v>0.97161819570155394</v>
      </c>
      <c r="BV527" s="4">
        <f>IF(Grandview_Inventory[[#This Row],[bldg_style]]="",1,_xlfn.IFNA(VLOOKUP(Grandview_Inventory[[#This Row],[decade]],Lookups!$F$29:$H$43,3,FALSE),1))</f>
        <v>0.99472141305414818</v>
      </c>
      <c r="BW527" s="4">
        <f>_xlfn.IFNA(VLOOKUP(Grandview_Inventory[[#This Row],[living_area_range]],Lookups!$F$47:$H$56,3,FALSE),1)</f>
        <v>0.96135087979789358</v>
      </c>
      <c r="BX527" s="4">
        <f>AVERAGE(Grandview_Inventory[[#This Row],[qual_adj]:[size_adj]])</f>
        <v>0.9771219749316753</v>
      </c>
      <c r="BY527" s="6">
        <f>IF(Grandview_Inventory[[#This Row],[pre_res]]&lt;0,0,Grandview_Inventory[[#This Row],[pre_res]]*Grandview_Inventory[[#This Row],[overall_adj]])</f>
        <v>229284.1736433965</v>
      </c>
      <c r="BZ527" s="6">
        <f>(Grandview_Inventory[[#This Row],[sum_land]]-IF(Grandview_Inventory[[#This Row],[no_utilities]]=1,12000,0))/IF(Grandview_Inventory[[#This Row],[unbuildable]]=1,2,1)</f>
        <v>74053.998784768613</v>
      </c>
      <c r="CA527">
        <f>IF(ROUND(Grandview_Inventory[[#This Row],[adj_land]]*Lookups!$M$28,-2)&lt;Grandview_Inventory[[#This Row],[min_land]],Grandview_Inventory[[#This Row],[min_land]],ROUND(Grandview_Inventory[[#This Row],[adj_land]]*Lookups!$M$28,-2))</f>
        <v>70400</v>
      </c>
      <c r="CB527">
        <f>ROUND(Grandview_Inventory[[#This Row],[det_value]]*Lookups!$M$28,-2)</f>
        <v>30900</v>
      </c>
      <c r="CC527">
        <f>IF(ROUND(Grandview_Inventory[[#This Row],[adj_res]]*Lookups!$M$28,-2)&lt;Grandview_Inventory[[#This Row],[min_res]],Grandview_Inventory[[#This Row],[min_res]],ROUND(Grandview_Inventory[[#This Row],[adj_res]]*Lookups!$M$28,-2))</f>
        <v>217800</v>
      </c>
      <c r="CD527">
        <f>Grandview_Inventory[[#This Row],[final_det]]+Grandview_Inventory[[#This Row],[final_res]]</f>
        <v>248700</v>
      </c>
      <c r="CE527">
        <f>Grandview_Inventory[[#This Row],[final_land]]+Grandview_Inventory[[#This Row],[final_imp]]+Grandview_Inventory[[#This Row],[crop_value]]</f>
        <v>319100</v>
      </c>
      <c r="CG527" t="str">
        <f t="shared" si="8"/>
        <v>update valuation set market_land =70400, market_bldg=248700, market_total =319100, market_mdno =401, market_date ='9/10/2023' where link_id = (select link_id from parcel where parcel_year = '2024' and parcel_id = '23092221002');</v>
      </c>
    </row>
    <row r="528" spans="1:85" x14ac:dyDescent="0.25">
      <c r="A528">
        <v>23092221004</v>
      </c>
      <c r="B528">
        <v>0.51</v>
      </c>
      <c r="C528">
        <v>22292</v>
      </c>
      <c r="D528" t="s">
        <v>129</v>
      </c>
      <c r="E528" t="s">
        <v>53</v>
      </c>
      <c r="F528" t="s">
        <v>53</v>
      </c>
      <c r="G528">
        <v>4</v>
      </c>
      <c r="H528" t="s">
        <v>54</v>
      </c>
      <c r="I528">
        <v>98900</v>
      </c>
      <c r="J528">
        <v>41900</v>
      </c>
      <c r="K528">
        <v>0.51</v>
      </c>
      <c r="L528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528">
        <v>0</v>
      </c>
      <c r="N528">
        <v>0</v>
      </c>
      <c r="O528">
        <v>0</v>
      </c>
      <c r="P528">
        <v>13398.7528</v>
      </c>
      <c r="Q528">
        <v>63903</v>
      </c>
      <c r="R528">
        <f>(Grandview_Inventory[[#This Row],[ln_acres]]*Grandview_Inventory[[#This Row],[coeff]])+Grandview_Inventory[[#This Row],[const]]</f>
        <v>54881.022781592372</v>
      </c>
      <c r="S528" t="s">
        <v>61</v>
      </c>
      <c r="T528">
        <v>1</v>
      </c>
      <c r="U528" t="s">
        <v>80</v>
      </c>
      <c r="V528" t="s">
        <v>69</v>
      </c>
      <c r="W528">
        <v>0</v>
      </c>
      <c r="X528">
        <v>0</v>
      </c>
      <c r="Y528">
        <v>49</v>
      </c>
      <c r="Z528">
        <v>68</v>
      </c>
      <c r="AA528">
        <v>70</v>
      </c>
      <c r="AB528">
        <v>1000</v>
      </c>
      <c r="AC528">
        <v>830</v>
      </c>
      <c r="AD528">
        <v>830</v>
      </c>
      <c r="AE528">
        <v>0</v>
      </c>
      <c r="AF528">
        <v>0</v>
      </c>
      <c r="AG528">
        <v>0</v>
      </c>
      <c r="AH528">
        <v>208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130</v>
      </c>
      <c r="AO528">
        <v>0</v>
      </c>
      <c r="AP528">
        <v>5</v>
      </c>
      <c r="AQ528">
        <v>0</v>
      </c>
      <c r="AR528">
        <v>0</v>
      </c>
      <c r="AS528" t="s">
        <v>58</v>
      </c>
      <c r="AT528">
        <v>1</v>
      </c>
      <c r="AU528" t="s">
        <v>75</v>
      </c>
      <c r="AV528" t="s">
        <v>60</v>
      </c>
      <c r="AW528">
        <v>0</v>
      </c>
      <c r="AX528">
        <v>2</v>
      </c>
      <c r="AY528">
        <v>0</v>
      </c>
      <c r="AZ528">
        <v>0</v>
      </c>
      <c r="BA528">
        <v>100</v>
      </c>
      <c r="BB528">
        <v>100</v>
      </c>
      <c r="BC528">
        <v>100</v>
      </c>
      <c r="BD528">
        <v>100</v>
      </c>
      <c r="BE528">
        <v>1</v>
      </c>
      <c r="BF528">
        <v>15000</v>
      </c>
      <c r="BG528">
        <v>1000</v>
      </c>
      <c r="BH528" s="6">
        <f>Grandview_Inventory[[#This Row],[land_extract]]*Lookups!$B$3</f>
        <v>63733.18357750171</v>
      </c>
      <c r="BI528" s="6">
        <f>IF(Grandview_Inventory[[#This Row],[bldg_style]]="",0,Lookups!$B$2)</f>
        <v>155833.95000000001</v>
      </c>
      <c r="BJ528" s="6">
        <f>_xlfn.IFNA(VLOOKUP(Grandview_Inventory[[#This Row],[quality]],Lookups!$H$2:$J$14,3,FALSE),0)</f>
        <v>-28558</v>
      </c>
      <c r="BK528" s="6">
        <f>_xlfn.IFNA(VLOOKUP(Grandview_Inventory[[#This Row],[condition]],Lookups!$H$17:$J$24,3,FALSE),0)</f>
        <v>-4503</v>
      </c>
      <c r="BL528" s="6">
        <f>Grandview_Inventory[[#This Row],[Eff_Age]]*Lookups!$B$14</f>
        <v>-11719.163399999999</v>
      </c>
      <c r="BM528" s="6">
        <f>Grandview_Inventory[[#This Row],[living_area]]*Lookups!$B$15</f>
        <v>51776.107990000004</v>
      </c>
      <c r="BN528" s="6">
        <f>Grandview_Inventory[[#This Row],[Fin BSMT]]*Lookups!$B$16</f>
        <v>0</v>
      </c>
      <c r="BO528" s="6">
        <f>(Grandview_Inventory[[#This Row],[att_gar]]+Grandview_Inventory[[#This Row],[bltin_gar]])*Lookups!$B$17</f>
        <v>0</v>
      </c>
      <c r="BP528" s="6">
        <f>Grandview_Inventory[[#This Row],[Plumbing Fixtures]]*Lookups!$B$18</f>
        <v>10052.209000000001</v>
      </c>
      <c r="BQ528" s="6">
        <f>Grandview_Inventory[[#This Row],[detatched_value]]*Lookups!$B$19</f>
        <v>0</v>
      </c>
      <c r="BR528" s="6">
        <f>SUM(Grandview_Inventory[[#This Row],[Intercept]:[det_value]])*Grandview_Inventory[[#This Row],[res_pct]]</f>
        <v>172882.10359000001</v>
      </c>
      <c r="BS528" s="6">
        <f>Grandview_Inventory[[#This Row],[land_value]]</f>
        <v>63733.18357750171</v>
      </c>
      <c r="BT528" s="4">
        <f>_xlfn.IFNA(VLOOKUP(Grandview_Inventory[[#This Row],[quality]],Lookups!$A$26:$C$33,3,FALSE),1)</f>
        <v>0.9690360070159818</v>
      </c>
      <c r="BU528" s="4">
        <f>_xlfn.IFNA(VLOOKUP(Grandview_Inventory[[#This Row],[condition]],Lookups!$A$37:$C$44,3,FALSE),1)</f>
        <v>0.96469275950863709</v>
      </c>
      <c r="BV528" s="4">
        <f>IF(Grandview_Inventory[[#This Row],[bldg_style]]="",1,_xlfn.IFNA(VLOOKUP(Grandview_Inventory[[#This Row],[decade]],Lookups!$F$29:$H$43,3,FALSE),1))</f>
        <v>0.99472141305414818</v>
      </c>
      <c r="BW528" s="4">
        <f>_xlfn.IFNA(VLOOKUP(Grandview_Inventory[[#This Row],[living_area_range]],Lookups!$F$47:$H$56,3,FALSE),1)</f>
        <v>0.94306777142782894</v>
      </c>
      <c r="BX528" s="4">
        <f>AVERAGE(Grandview_Inventory[[#This Row],[qual_adj]:[size_adj]])</f>
        <v>0.96787948775164889</v>
      </c>
      <c r="BY528" s="6">
        <f>IF(Grandview_Inventory[[#This Row],[pre_res]]&lt;0,0,Grandview_Inventory[[#This Row],[pre_res]]*Grandview_Inventory[[#This Row],[overall_adj]])</f>
        <v>167329.04186411671</v>
      </c>
      <c r="BZ528" s="6">
        <f>(Grandview_Inventory[[#This Row],[sum_land]]-IF(Grandview_Inventory[[#This Row],[no_utilities]]=1,12000,0))/IF(Grandview_Inventory[[#This Row],[unbuildable]]=1,2,1)</f>
        <v>63733.18357750171</v>
      </c>
      <c r="CA528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528">
        <f>ROUND(Grandview_Inventory[[#This Row],[det_value]]*Lookups!$M$28,-2)</f>
        <v>0</v>
      </c>
      <c r="CC528">
        <f>IF(ROUND(Grandview_Inventory[[#This Row],[adj_res]]*Lookups!$M$28,-2)&lt;Grandview_Inventory[[#This Row],[min_res]],Grandview_Inventory[[#This Row],[min_res]],ROUND(Grandview_Inventory[[#This Row],[adj_res]]*Lookups!$M$28,-2))</f>
        <v>159000</v>
      </c>
      <c r="CD528">
        <f>Grandview_Inventory[[#This Row],[final_det]]+Grandview_Inventory[[#This Row],[final_res]]</f>
        <v>159000</v>
      </c>
      <c r="CE528">
        <f>Grandview_Inventory[[#This Row],[final_land]]+Grandview_Inventory[[#This Row],[final_imp]]+Grandview_Inventory[[#This Row],[crop_value]]</f>
        <v>219500</v>
      </c>
      <c r="CG528" t="str">
        <f t="shared" si="8"/>
        <v>update valuation set market_land =60500, market_bldg=159000, market_total =219500, market_mdno =401, market_date ='9/10/2023' where link_id = (select link_id from parcel where parcel_year = '2024' and parcel_id = '23092221004');</v>
      </c>
    </row>
    <row r="529" spans="1:85" x14ac:dyDescent="0.25">
      <c r="A529">
        <v>23092221005</v>
      </c>
      <c r="B529">
        <v>17.21</v>
      </c>
      <c r="C529" t="s">
        <v>129</v>
      </c>
      <c r="D529" t="s">
        <v>129</v>
      </c>
      <c r="E529" t="s">
        <v>53</v>
      </c>
      <c r="F529" t="s">
        <v>53</v>
      </c>
      <c r="G529">
        <v>4</v>
      </c>
      <c r="H529" t="s">
        <v>54</v>
      </c>
      <c r="I529">
        <v>129900</v>
      </c>
      <c r="J529">
        <v>115300</v>
      </c>
      <c r="K529">
        <v>17.21</v>
      </c>
      <c r="L529">
        <f>IF(Grandview_Inventory[[#This Row],[parcel_acres]]-Grandview_Inventory[[#This Row],[non_valued_acres]] =0,0,LN(Grandview_Inventory[[#This Row],[parcel_acres]]-Grandview_Inventory[[#This Row],[non_valued_acres]]))</f>
        <v>2.8454906102234481</v>
      </c>
      <c r="M529">
        <v>0</v>
      </c>
      <c r="N529">
        <v>0</v>
      </c>
      <c r="O529">
        <v>0</v>
      </c>
      <c r="P529">
        <v>13398.7528</v>
      </c>
      <c r="Q529">
        <v>63903</v>
      </c>
      <c r="R529">
        <f>(Grandview_Inventory[[#This Row],[ln_acres]]*Grandview_Inventory[[#This Row],[coeff]])+Grandview_Inventory[[#This Row],[const]]</f>
        <v>102029.02528110513</v>
      </c>
      <c r="S529" t="s">
        <v>68</v>
      </c>
      <c r="T529">
        <v>1</v>
      </c>
      <c r="U529" t="s">
        <v>80</v>
      </c>
      <c r="V529" t="s">
        <v>69</v>
      </c>
      <c r="W529">
        <v>0</v>
      </c>
      <c r="X529">
        <v>0</v>
      </c>
      <c r="Y529">
        <v>84</v>
      </c>
      <c r="Z529">
        <v>133</v>
      </c>
      <c r="AA529">
        <v>140</v>
      </c>
      <c r="AB529">
        <v>1500</v>
      </c>
      <c r="AC529">
        <v>1072</v>
      </c>
      <c r="AD529">
        <v>1072</v>
      </c>
      <c r="AE529">
        <v>0</v>
      </c>
      <c r="AF529">
        <v>0</v>
      </c>
      <c r="AG529">
        <v>0</v>
      </c>
      <c r="AH529">
        <v>940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5</v>
      </c>
      <c r="AQ529">
        <v>0</v>
      </c>
      <c r="AR529">
        <v>0</v>
      </c>
      <c r="AS529" t="s">
        <v>58</v>
      </c>
      <c r="AT529">
        <v>1</v>
      </c>
      <c r="AU529" t="s">
        <v>59</v>
      </c>
      <c r="AV529" t="s">
        <v>60</v>
      </c>
      <c r="AW529">
        <v>1</v>
      </c>
      <c r="AX529">
        <v>2</v>
      </c>
      <c r="AY529">
        <v>0</v>
      </c>
      <c r="AZ529">
        <v>0</v>
      </c>
      <c r="BA529">
        <v>100</v>
      </c>
      <c r="BB529">
        <v>100</v>
      </c>
      <c r="BC529">
        <v>100</v>
      </c>
      <c r="BD529">
        <v>100</v>
      </c>
      <c r="BE529">
        <v>1</v>
      </c>
      <c r="BF529">
        <v>15000</v>
      </c>
      <c r="BG529">
        <v>1000</v>
      </c>
      <c r="BH529" s="6">
        <f>Grandview_Inventory[[#This Row],[land_extract]]*Lookups!$B$3</f>
        <v>118486.03158057913</v>
      </c>
      <c r="BI529" s="6">
        <f>IF(Grandview_Inventory[[#This Row],[bldg_style]]="",0,Lookups!$B$2)</f>
        <v>155833.95000000001</v>
      </c>
      <c r="BJ529" s="6">
        <f>_xlfn.IFNA(VLOOKUP(Grandview_Inventory[[#This Row],[quality]],Lookups!$H$2:$J$14,3,FALSE),0)</f>
        <v>-28558</v>
      </c>
      <c r="BK529" s="6">
        <f>_xlfn.IFNA(VLOOKUP(Grandview_Inventory[[#This Row],[condition]],Lookups!$H$17:$J$24,3,FALSE),0)</f>
        <v>-4503</v>
      </c>
      <c r="BL529" s="6">
        <f>Grandview_Inventory[[#This Row],[Eff_Age]]*Lookups!$B$14</f>
        <v>-20089.9944</v>
      </c>
      <c r="BM529" s="6">
        <f>Grandview_Inventory[[#This Row],[living_area]]*Lookups!$B$15</f>
        <v>66872.274416</v>
      </c>
      <c r="BN529" s="6">
        <f>Grandview_Inventory[[#This Row],[Fin BSMT]]*Lookups!$B$16</f>
        <v>0</v>
      </c>
      <c r="BO529" s="6">
        <f>(Grandview_Inventory[[#This Row],[att_gar]]+Grandview_Inventory[[#This Row],[bltin_gar]])*Lookups!$B$17</f>
        <v>0</v>
      </c>
      <c r="BP529" s="6">
        <f>Grandview_Inventory[[#This Row],[Plumbing Fixtures]]*Lookups!$B$18</f>
        <v>10052.209000000001</v>
      </c>
      <c r="BQ529" s="6">
        <f>Grandview_Inventory[[#This Row],[detatched_value]]*Lookups!$B$19</f>
        <v>0</v>
      </c>
      <c r="BR529" s="6">
        <f>SUM(Grandview_Inventory[[#This Row],[Intercept]:[det_value]])*Grandview_Inventory[[#This Row],[res_pct]]</f>
        <v>179607.43901600002</v>
      </c>
      <c r="BS529" s="6">
        <f>Grandview_Inventory[[#This Row],[land_value]]</f>
        <v>118486.03158057913</v>
      </c>
      <c r="BT529" s="4">
        <f>_xlfn.IFNA(VLOOKUP(Grandview_Inventory[[#This Row],[quality]],Lookups!$A$26:$C$33,3,FALSE),1)</f>
        <v>0.9690360070159818</v>
      </c>
      <c r="BU529" s="4">
        <f>_xlfn.IFNA(VLOOKUP(Grandview_Inventory[[#This Row],[condition]],Lookups!$A$37:$C$44,3,FALSE),1)</f>
        <v>0.96469275950863709</v>
      </c>
      <c r="BV529" s="4">
        <f>IF(Grandview_Inventory[[#This Row],[bldg_style]]="",1,_xlfn.IFNA(VLOOKUP(Grandview_Inventory[[#This Row],[decade]],Lookups!$F$29:$H$43,3,FALSE),1))</f>
        <v>0.9251738460551937</v>
      </c>
      <c r="BW529" s="4">
        <f>_xlfn.IFNA(VLOOKUP(Grandview_Inventory[[#This Row],[living_area_range]],Lookups!$F$47:$H$56,3,FALSE),1)</f>
        <v>0.96135087979789358</v>
      </c>
      <c r="BX529" s="4">
        <f>AVERAGE(Grandview_Inventory[[#This Row],[qual_adj]:[size_adj]])</f>
        <v>0.95506337309442646</v>
      </c>
      <c r="BY529" s="6">
        <f>IF(Grandview_Inventory[[#This Row],[pre_res]]&lt;0,0,Grandview_Inventory[[#This Row],[pre_res]]*Grandview_Inventory[[#This Row],[overall_adj]])</f>
        <v>171536.48653947248</v>
      </c>
      <c r="BZ529" s="6">
        <f>(Grandview_Inventory[[#This Row],[sum_land]]-IF(Grandview_Inventory[[#This Row],[no_utilities]]=1,12000,0))/IF(Grandview_Inventory[[#This Row],[unbuildable]]=1,2,1)</f>
        <v>118486.03158057913</v>
      </c>
      <c r="CA529">
        <f>IF(ROUND(Grandview_Inventory[[#This Row],[adj_land]]*Lookups!$M$28,-2)&lt;Grandview_Inventory[[#This Row],[min_land]],Grandview_Inventory[[#This Row],[min_land]],ROUND(Grandview_Inventory[[#This Row],[adj_land]]*Lookups!$M$28,-2))</f>
        <v>112600</v>
      </c>
      <c r="CB529">
        <f>ROUND(Grandview_Inventory[[#This Row],[det_value]]*Lookups!$M$28,-2)</f>
        <v>0</v>
      </c>
      <c r="CC529">
        <f>IF(ROUND(Grandview_Inventory[[#This Row],[adj_res]]*Lookups!$M$28,-2)&lt;Grandview_Inventory[[#This Row],[min_res]],Grandview_Inventory[[#This Row],[min_res]],ROUND(Grandview_Inventory[[#This Row],[adj_res]]*Lookups!$M$28,-2))</f>
        <v>163000</v>
      </c>
      <c r="CD529">
        <f>Grandview_Inventory[[#This Row],[final_det]]+Grandview_Inventory[[#This Row],[final_res]]</f>
        <v>163000</v>
      </c>
      <c r="CE529">
        <f>Grandview_Inventory[[#This Row],[final_land]]+Grandview_Inventory[[#This Row],[final_imp]]+Grandview_Inventory[[#This Row],[crop_value]]</f>
        <v>275600</v>
      </c>
      <c r="CG529" t="str">
        <f t="shared" si="8"/>
        <v>update valuation set market_land =112600, market_bldg=163000, market_total =275600, market_mdno =401, market_date ='9/10/2023' where link_id = (select link_id from parcel where parcel_year = '2024' and parcel_id = '23092221005');</v>
      </c>
    </row>
    <row r="530" spans="1:85" x14ac:dyDescent="0.25">
      <c r="A530">
        <v>23092221008</v>
      </c>
      <c r="B530">
        <v>0.45</v>
      </c>
      <c r="C530">
        <v>19750</v>
      </c>
      <c r="D530" t="s">
        <v>129</v>
      </c>
      <c r="E530" t="s">
        <v>53</v>
      </c>
      <c r="F530" t="s">
        <v>53</v>
      </c>
      <c r="G530">
        <v>4</v>
      </c>
      <c r="H530" t="s">
        <v>54</v>
      </c>
      <c r="I530">
        <v>172200</v>
      </c>
      <c r="J530">
        <v>45900</v>
      </c>
      <c r="K530">
        <v>0.45</v>
      </c>
      <c r="L530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530">
        <v>0</v>
      </c>
      <c r="N530">
        <v>0</v>
      </c>
      <c r="O530">
        <v>0</v>
      </c>
      <c r="P530">
        <v>13398.7528</v>
      </c>
      <c r="Q530">
        <v>63903</v>
      </c>
      <c r="R530">
        <f>(Grandview_Inventory[[#This Row],[ln_acres]]*Grandview_Inventory[[#This Row],[coeff]])+Grandview_Inventory[[#This Row],[const]]</f>
        <v>53203.992769480581</v>
      </c>
      <c r="S530" t="s">
        <v>61</v>
      </c>
      <c r="T530">
        <v>1</v>
      </c>
      <c r="U530" t="s">
        <v>70</v>
      </c>
      <c r="V530" t="s">
        <v>78</v>
      </c>
      <c r="W530">
        <v>0</v>
      </c>
      <c r="X530">
        <v>0</v>
      </c>
      <c r="Y530">
        <v>50</v>
      </c>
      <c r="Z530">
        <v>71</v>
      </c>
      <c r="AA530">
        <v>80</v>
      </c>
      <c r="AB530">
        <v>2000</v>
      </c>
      <c r="AC530">
        <v>1740</v>
      </c>
      <c r="AD530">
        <v>1160</v>
      </c>
      <c r="AE530">
        <v>0</v>
      </c>
      <c r="AF530">
        <v>0</v>
      </c>
      <c r="AG530">
        <v>580</v>
      </c>
      <c r="AH530">
        <v>580</v>
      </c>
      <c r="AI530">
        <v>736</v>
      </c>
      <c r="AJ530">
        <v>0</v>
      </c>
      <c r="AK530">
        <v>0</v>
      </c>
      <c r="AL530">
        <v>0</v>
      </c>
      <c r="AM530">
        <v>748</v>
      </c>
      <c r="AN530">
        <v>0</v>
      </c>
      <c r="AO530">
        <v>748</v>
      </c>
      <c r="AP530">
        <v>5</v>
      </c>
      <c r="AQ530">
        <v>0</v>
      </c>
      <c r="AR530">
        <v>0</v>
      </c>
      <c r="AS530" t="s">
        <v>76</v>
      </c>
      <c r="AT530">
        <v>1</v>
      </c>
      <c r="AU530" t="s">
        <v>75</v>
      </c>
      <c r="AV530" t="s">
        <v>60</v>
      </c>
      <c r="AW530">
        <v>0</v>
      </c>
      <c r="AX530">
        <v>1</v>
      </c>
      <c r="AY530">
        <v>0</v>
      </c>
      <c r="AZ530">
        <v>1100</v>
      </c>
      <c r="BA530">
        <v>100</v>
      </c>
      <c r="BB530">
        <v>100</v>
      </c>
      <c r="BC530">
        <v>100</v>
      </c>
      <c r="BD530">
        <v>100</v>
      </c>
      <c r="BE530">
        <v>1</v>
      </c>
      <c r="BF530">
        <v>15000</v>
      </c>
      <c r="BG530">
        <v>1000</v>
      </c>
      <c r="BH530" s="6">
        <f>Grandview_Inventory[[#This Row],[land_extract]]*Lookups!$B$3</f>
        <v>61785.653152417319</v>
      </c>
      <c r="BI530" s="6">
        <f>IF(Grandview_Inventory[[#This Row],[bldg_style]]="",0,Lookups!$B$2)</f>
        <v>155833.95000000001</v>
      </c>
      <c r="BJ530" s="6">
        <f>_xlfn.IFNA(VLOOKUP(Grandview_Inventory[[#This Row],[quality]],Lookups!$H$2:$J$14,3,FALSE),0)</f>
        <v>10733</v>
      </c>
      <c r="BK530" s="6">
        <f>_xlfn.IFNA(VLOOKUP(Grandview_Inventory[[#This Row],[condition]],Lookups!$H$17:$J$24,3,FALSE),0)</f>
        <v>-45357</v>
      </c>
      <c r="BL530" s="6">
        <f>Grandview_Inventory[[#This Row],[Eff_Age]]*Lookups!$B$14</f>
        <v>-11958.33</v>
      </c>
      <c r="BM530" s="6">
        <f>Grandview_Inventory[[#This Row],[living_area]]*Lookups!$B$15</f>
        <v>108542.68422000001</v>
      </c>
      <c r="BN530" s="6">
        <f>Grandview_Inventory[[#This Row],[Fin BSMT]]*Lookups!$B$16</f>
        <v>-15717.559200000002</v>
      </c>
      <c r="BO530" s="6">
        <f>(Grandview_Inventory[[#This Row],[att_gar]]+Grandview_Inventory[[#This Row],[bltin_gar]])*Lookups!$B$17</f>
        <v>64415.041632</v>
      </c>
      <c r="BP530" s="6">
        <f>Grandview_Inventory[[#This Row],[Plumbing Fixtures]]*Lookups!$B$18</f>
        <v>10052.209000000001</v>
      </c>
      <c r="BQ530" s="6">
        <f>Grandview_Inventory[[#This Row],[detatched_value]]*Lookups!$B$19</f>
        <v>931.48560999999995</v>
      </c>
      <c r="BR530" s="6">
        <f>SUM(Grandview_Inventory[[#This Row],[Intercept]:[det_value]])*Grandview_Inventory[[#This Row],[res_pct]]</f>
        <v>277475.48126199999</v>
      </c>
      <c r="BS530" s="6">
        <f>Grandview_Inventory[[#This Row],[land_value]]</f>
        <v>61785.653152417319</v>
      </c>
      <c r="BT530" s="4">
        <f>_xlfn.IFNA(VLOOKUP(Grandview_Inventory[[#This Row],[quality]],Lookups!$A$26:$C$33,3,FALSE),1)</f>
        <v>0.98079741117310582</v>
      </c>
      <c r="BU530" s="4">
        <f>_xlfn.IFNA(VLOOKUP(Grandview_Inventory[[#This Row],[condition]],Lookups!$A$37:$C$44,3,FALSE),1)</f>
        <v>0.97161819570155394</v>
      </c>
      <c r="BV530" s="4">
        <f>IF(Grandview_Inventory[[#This Row],[bldg_style]]="",1,_xlfn.IFNA(VLOOKUP(Grandview_Inventory[[#This Row],[decade]],Lookups!$F$29:$H$43,3,FALSE),1))</f>
        <v>0.98763256963907298</v>
      </c>
      <c r="BW530" s="4">
        <f>_xlfn.IFNA(VLOOKUP(Grandview_Inventory[[#This Row],[living_area_range]],Lookups!$F$47:$H$56,3,FALSE),1)</f>
        <v>0.96120133463014379</v>
      </c>
      <c r="BX530" s="4">
        <f>AVERAGE(Grandview_Inventory[[#This Row],[qual_adj]:[size_adj]])</f>
        <v>0.97531237778596913</v>
      </c>
      <c r="BY530" s="6">
        <f>IF(Grandview_Inventory[[#This Row],[pre_res]]&lt;0,0,Grandview_Inventory[[#This Row],[pre_res]]*Grandview_Inventory[[#This Row],[overall_adj]])</f>
        <v>270625.27140694734</v>
      </c>
      <c r="BZ530" s="6">
        <f>(Grandview_Inventory[[#This Row],[sum_land]]-IF(Grandview_Inventory[[#This Row],[no_utilities]]=1,12000,0))/IF(Grandview_Inventory[[#This Row],[unbuildable]]=1,2,1)</f>
        <v>61785.653152417319</v>
      </c>
      <c r="CA530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530">
        <f>ROUND(Grandview_Inventory[[#This Row],[det_value]]*Lookups!$M$28,-2)</f>
        <v>900</v>
      </c>
      <c r="CC530">
        <f>IF(ROUND(Grandview_Inventory[[#This Row],[adj_res]]*Lookups!$M$28,-2)&lt;Grandview_Inventory[[#This Row],[min_res]],Grandview_Inventory[[#This Row],[min_res]],ROUND(Grandview_Inventory[[#This Row],[adj_res]]*Lookups!$M$28,-2))</f>
        <v>257100</v>
      </c>
      <c r="CD530">
        <f>Grandview_Inventory[[#This Row],[final_det]]+Grandview_Inventory[[#This Row],[final_res]]</f>
        <v>258000</v>
      </c>
      <c r="CE530">
        <f>Grandview_Inventory[[#This Row],[final_land]]+Grandview_Inventory[[#This Row],[final_imp]]+Grandview_Inventory[[#This Row],[crop_value]]</f>
        <v>316700</v>
      </c>
      <c r="CG530" t="str">
        <f t="shared" si="8"/>
        <v>update valuation set market_land =58700, market_bldg=258000, market_total =316700, market_mdno =401, market_date ='9/10/2023' where link_id = (select link_id from parcel where parcel_year = '2024' and parcel_id = '23092221008');</v>
      </c>
    </row>
    <row r="531" spans="1:85" x14ac:dyDescent="0.25">
      <c r="A531">
        <v>23092221404</v>
      </c>
      <c r="B531" t="s">
        <v>129</v>
      </c>
      <c r="C531">
        <v>12568</v>
      </c>
      <c r="D531" t="s">
        <v>129</v>
      </c>
      <c r="E531" t="s">
        <v>53</v>
      </c>
      <c r="F531" t="s">
        <v>53</v>
      </c>
      <c r="G531">
        <v>4</v>
      </c>
      <c r="H531" t="s">
        <v>54</v>
      </c>
      <c r="I531" t="s">
        <v>129</v>
      </c>
      <c r="J531">
        <v>33700</v>
      </c>
      <c r="K531">
        <v>0.28999999999999998</v>
      </c>
      <c r="L53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531">
        <v>0</v>
      </c>
      <c r="N531">
        <v>0</v>
      </c>
      <c r="O531">
        <v>0</v>
      </c>
      <c r="P531">
        <v>13398.7528</v>
      </c>
      <c r="Q531">
        <v>63903</v>
      </c>
      <c r="R531">
        <f>(Grandview_Inventory[[#This Row],[ln_acres]]*Grandview_Inventory[[#This Row],[coeff]])+Grandview_Inventory[[#This Row],[const]]</f>
        <v>47317.027506475133</v>
      </c>
      <c r="S531" t="s">
        <v>61</v>
      </c>
      <c r="T531">
        <v>1</v>
      </c>
      <c r="U531" t="s">
        <v>62</v>
      </c>
      <c r="V531" t="s">
        <v>57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1500</v>
      </c>
      <c r="AC531">
        <v>1008</v>
      </c>
      <c r="AD531">
        <v>1008</v>
      </c>
      <c r="AE531">
        <v>0</v>
      </c>
      <c r="AF531">
        <v>0</v>
      </c>
      <c r="AG531">
        <v>0</v>
      </c>
      <c r="AH531">
        <v>0</v>
      </c>
      <c r="AI531">
        <v>400</v>
      </c>
      <c r="AJ531">
        <v>0</v>
      </c>
      <c r="AK531">
        <v>0</v>
      </c>
      <c r="AL531">
        <v>0</v>
      </c>
      <c r="AM531">
        <v>100</v>
      </c>
      <c r="AN531">
        <v>108</v>
      </c>
      <c r="AO531">
        <v>0</v>
      </c>
      <c r="AP531">
        <v>8</v>
      </c>
      <c r="AQ531">
        <v>0</v>
      </c>
      <c r="AR531">
        <v>0</v>
      </c>
      <c r="AS531" t="s">
        <v>58</v>
      </c>
      <c r="AT531">
        <v>1</v>
      </c>
      <c r="AU531" t="s">
        <v>59</v>
      </c>
      <c r="AV531" t="s">
        <v>60</v>
      </c>
      <c r="AW531">
        <v>1</v>
      </c>
      <c r="AX531">
        <v>2</v>
      </c>
      <c r="AY531">
        <v>0</v>
      </c>
      <c r="AZ531">
        <v>0</v>
      </c>
      <c r="BA531">
        <v>100</v>
      </c>
      <c r="BB531">
        <v>100</v>
      </c>
      <c r="BC531">
        <v>100</v>
      </c>
      <c r="BD531">
        <v>100</v>
      </c>
      <c r="BE531">
        <v>1</v>
      </c>
      <c r="BF531">
        <v>15000</v>
      </c>
      <c r="BG531">
        <v>1000</v>
      </c>
      <c r="BH531" s="6">
        <f>Grandview_Inventory[[#This Row],[land_extract]]*Lookups!$B$3</f>
        <v>54949.136287295303</v>
      </c>
      <c r="BI531" s="6">
        <f>IF(Grandview_Inventory[[#This Row],[bldg_style]]="",0,Lookups!$B$2)</f>
        <v>155833.95000000001</v>
      </c>
      <c r="BJ531" s="6">
        <f>_xlfn.IFNA(VLOOKUP(Grandview_Inventory[[#This Row],[quality]],Lookups!$H$2:$J$14,3,FALSE),0)</f>
        <v>9808</v>
      </c>
      <c r="BK531" s="6">
        <f>_xlfn.IFNA(VLOOKUP(Grandview_Inventory[[#This Row],[condition]],Lookups!$H$17:$J$24,3,FALSE),0)</f>
        <v>25780</v>
      </c>
      <c r="BL531" s="6">
        <f>Grandview_Inventory[[#This Row],[Eff_Age]]*Lookups!$B$14</f>
        <v>0</v>
      </c>
      <c r="BM531" s="6">
        <f>Grandview_Inventory[[#This Row],[living_area]]*Lookups!$B$15</f>
        <v>62879.899824</v>
      </c>
      <c r="BN531" s="6">
        <f>Grandview_Inventory[[#This Row],[Fin BSMT]]*Lookups!$B$16</f>
        <v>0</v>
      </c>
      <c r="BO531" s="6">
        <f>(Grandview_Inventory[[#This Row],[att_gar]]+Grandview_Inventory[[#This Row],[bltin_gar]])*Lookups!$B$17</f>
        <v>35008.174800000001</v>
      </c>
      <c r="BP531" s="6">
        <f>Grandview_Inventory[[#This Row],[Plumbing Fixtures]]*Lookups!$B$18</f>
        <v>16083.5344</v>
      </c>
      <c r="BQ531" s="6">
        <f>Grandview_Inventory[[#This Row],[detatched_value]]*Lookups!$B$19</f>
        <v>0</v>
      </c>
      <c r="BR531" s="6">
        <f>SUM(Grandview_Inventory[[#This Row],[Intercept]:[det_value]])*Grandview_Inventory[[#This Row],[res_pct]]</f>
        <v>305393.55902400002</v>
      </c>
      <c r="BS531" s="6">
        <f>Grandview_Inventory[[#This Row],[land_value]]</f>
        <v>54949.136287295303</v>
      </c>
      <c r="BT531" s="4">
        <f>_xlfn.IFNA(VLOOKUP(Grandview_Inventory[[#This Row],[quality]],Lookups!$A$26:$C$33,3,FALSE),1)</f>
        <v>0.94295468617355149</v>
      </c>
      <c r="BU531" s="4">
        <f>_xlfn.IFNA(VLOOKUP(Grandview_Inventory[[#This Row],[condition]],Lookups!$A$37:$C$44,3,FALSE),1)</f>
        <v>0.94347925387812148</v>
      </c>
      <c r="BV531" s="4">
        <f>IF(Grandview_Inventory[[#This Row],[bldg_style]]="",1,_xlfn.IFNA(VLOOKUP(Grandview_Inventory[[#This Row],[decade]],Lookups!$F$29:$H$43,3,FALSE),1))</f>
        <v>0.9413635517371044</v>
      </c>
      <c r="BW531" s="4">
        <f>_xlfn.IFNA(VLOOKUP(Grandview_Inventory[[#This Row],[living_area_range]],Lookups!$F$47:$H$56,3,FALSE),1)</f>
        <v>0.96135087979789358</v>
      </c>
      <c r="BX531" s="4">
        <f>AVERAGE(Grandview_Inventory[[#This Row],[qual_adj]:[size_adj]])</f>
        <v>0.94728709289666768</v>
      </c>
      <c r="BY531" s="6">
        <f>IF(Grandview_Inventory[[#This Row],[pre_res]]&lt;0,0,Grandview_Inventory[[#This Row],[pre_res]]*Grandview_Inventory[[#This Row],[overall_adj]])</f>
        <v>289295.37671721185</v>
      </c>
      <c r="BZ531" s="6">
        <f>(Grandview_Inventory[[#This Row],[sum_land]]-IF(Grandview_Inventory[[#This Row],[no_utilities]]=1,12000,0))/IF(Grandview_Inventory[[#This Row],[unbuildable]]=1,2,1)</f>
        <v>54949.136287295303</v>
      </c>
      <c r="CA53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531">
        <f>ROUND(Grandview_Inventory[[#This Row],[det_value]]*Lookups!$M$28,-2)</f>
        <v>0</v>
      </c>
      <c r="CC531">
        <f>IF(ROUND(Grandview_Inventory[[#This Row],[adj_res]]*Lookups!$M$28,-2)&lt;Grandview_Inventory[[#This Row],[min_res]],Grandview_Inventory[[#This Row],[min_res]],ROUND(Grandview_Inventory[[#This Row],[adj_res]]*Lookups!$M$28,-2))</f>
        <v>274800</v>
      </c>
      <c r="CD531">
        <f>Grandview_Inventory[[#This Row],[final_det]]+Grandview_Inventory[[#This Row],[final_res]]</f>
        <v>274800</v>
      </c>
      <c r="CE531">
        <f>Grandview_Inventory[[#This Row],[final_land]]+Grandview_Inventory[[#This Row],[final_imp]]+Grandview_Inventory[[#This Row],[crop_value]]</f>
        <v>327000</v>
      </c>
      <c r="CG531" t="str">
        <f t="shared" si="8"/>
        <v>update valuation set market_land =52200, market_bldg=274800, market_total =327000, market_mdno =401, market_date ='9/10/2023' where link_id = (select link_id from parcel where parcel_year = '2024' and parcel_id = '23092221404');</v>
      </c>
    </row>
    <row r="532" spans="1:85" x14ac:dyDescent="0.25">
      <c r="A532">
        <v>23092221405</v>
      </c>
      <c r="B532" t="s">
        <v>129</v>
      </c>
      <c r="C532">
        <v>12857</v>
      </c>
      <c r="D532" t="s">
        <v>129</v>
      </c>
      <c r="E532" t="s">
        <v>53</v>
      </c>
      <c r="F532" t="s">
        <v>53</v>
      </c>
      <c r="G532">
        <v>4</v>
      </c>
      <c r="H532" t="s">
        <v>54</v>
      </c>
      <c r="I532" t="s">
        <v>129</v>
      </c>
      <c r="J532">
        <v>33900</v>
      </c>
      <c r="K532">
        <v>0.3</v>
      </c>
      <c r="L532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532">
        <v>0</v>
      </c>
      <c r="N532">
        <v>0</v>
      </c>
      <c r="O532">
        <v>0</v>
      </c>
      <c r="P532">
        <v>13398.7528</v>
      </c>
      <c r="Q532">
        <v>63903</v>
      </c>
      <c r="R532">
        <f>(Grandview_Inventory[[#This Row],[ln_acres]]*Grandview_Inventory[[#This Row],[coeff]])+Grandview_Inventory[[#This Row],[const]]</f>
        <v>47771.266016914014</v>
      </c>
      <c r="S532" t="s">
        <v>61</v>
      </c>
      <c r="T532">
        <v>1</v>
      </c>
      <c r="U532" t="s">
        <v>62</v>
      </c>
      <c r="V532" t="s">
        <v>57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1500</v>
      </c>
      <c r="AC532">
        <v>1390</v>
      </c>
      <c r="AD532">
        <v>1390</v>
      </c>
      <c r="AE532">
        <v>0</v>
      </c>
      <c r="AF532">
        <v>0</v>
      </c>
      <c r="AG532">
        <v>0</v>
      </c>
      <c r="AH532">
        <v>0</v>
      </c>
      <c r="AI532">
        <v>400</v>
      </c>
      <c r="AJ532">
        <v>0</v>
      </c>
      <c r="AK532">
        <v>0</v>
      </c>
      <c r="AL532">
        <v>0</v>
      </c>
      <c r="AM532">
        <v>110</v>
      </c>
      <c r="AN532">
        <v>24</v>
      </c>
      <c r="AO532">
        <v>0</v>
      </c>
      <c r="AP532">
        <v>9</v>
      </c>
      <c r="AQ532">
        <v>0</v>
      </c>
      <c r="AR532">
        <v>0</v>
      </c>
      <c r="AS532" t="s">
        <v>58</v>
      </c>
      <c r="AT532">
        <v>1</v>
      </c>
      <c r="AU532" t="s">
        <v>59</v>
      </c>
      <c r="AV532" t="s">
        <v>60</v>
      </c>
      <c r="AW532">
        <v>1</v>
      </c>
      <c r="AX532">
        <v>3</v>
      </c>
      <c r="AY532">
        <v>0</v>
      </c>
      <c r="AZ532">
        <v>0</v>
      </c>
      <c r="BA532">
        <v>100</v>
      </c>
      <c r="BB532">
        <v>100</v>
      </c>
      <c r="BC532">
        <v>100</v>
      </c>
      <c r="BD532">
        <v>100</v>
      </c>
      <c r="BE532">
        <v>1</v>
      </c>
      <c r="BF532">
        <v>15000</v>
      </c>
      <c r="BG532">
        <v>1000</v>
      </c>
      <c r="BH532" s="6">
        <f>Grandview_Inventory[[#This Row],[land_extract]]*Lookups!$B$3</f>
        <v>55476.642243023998</v>
      </c>
      <c r="BI532" s="6">
        <f>IF(Grandview_Inventory[[#This Row],[bldg_style]]="",0,Lookups!$B$2)</f>
        <v>155833.95000000001</v>
      </c>
      <c r="BJ532" s="6">
        <f>_xlfn.IFNA(VLOOKUP(Grandview_Inventory[[#This Row],[quality]],Lookups!$H$2:$J$14,3,FALSE),0)</f>
        <v>9808</v>
      </c>
      <c r="BK532" s="6">
        <f>_xlfn.IFNA(VLOOKUP(Grandview_Inventory[[#This Row],[condition]],Lookups!$H$17:$J$24,3,FALSE),0)</f>
        <v>25780</v>
      </c>
      <c r="BL532" s="6">
        <f>Grandview_Inventory[[#This Row],[Eff_Age]]*Lookups!$B$14</f>
        <v>0</v>
      </c>
      <c r="BM532" s="6">
        <f>Grandview_Inventory[[#This Row],[living_area]]*Lookups!$B$15</f>
        <v>86709.385670000003</v>
      </c>
      <c r="BN532" s="6">
        <f>Grandview_Inventory[[#This Row],[Fin BSMT]]*Lookups!$B$16</f>
        <v>0</v>
      </c>
      <c r="BO532" s="6">
        <f>(Grandview_Inventory[[#This Row],[att_gar]]+Grandview_Inventory[[#This Row],[bltin_gar]])*Lookups!$B$17</f>
        <v>35008.174800000001</v>
      </c>
      <c r="BP532" s="6">
        <f>Grandview_Inventory[[#This Row],[Plumbing Fixtures]]*Lookups!$B$18</f>
        <v>18093.976200000001</v>
      </c>
      <c r="BQ532" s="6">
        <f>Grandview_Inventory[[#This Row],[detatched_value]]*Lookups!$B$19</f>
        <v>0</v>
      </c>
      <c r="BR532" s="6">
        <f>SUM(Grandview_Inventory[[#This Row],[Intercept]:[det_value]])*Grandview_Inventory[[#This Row],[res_pct]]</f>
        <v>331233.48666999995</v>
      </c>
      <c r="BS532" s="6">
        <f>Grandview_Inventory[[#This Row],[land_value]]</f>
        <v>55476.642243023998</v>
      </c>
      <c r="BT532" s="4">
        <f>_xlfn.IFNA(VLOOKUP(Grandview_Inventory[[#This Row],[quality]],Lookups!$A$26:$C$33,3,FALSE),1)</f>
        <v>0.94295468617355149</v>
      </c>
      <c r="BU532" s="4">
        <f>_xlfn.IFNA(VLOOKUP(Grandview_Inventory[[#This Row],[condition]],Lookups!$A$37:$C$44,3,FALSE),1)</f>
        <v>0.94347925387812148</v>
      </c>
      <c r="BV532" s="4">
        <f>IF(Grandview_Inventory[[#This Row],[bldg_style]]="",1,_xlfn.IFNA(VLOOKUP(Grandview_Inventory[[#This Row],[decade]],Lookups!$F$29:$H$43,3,FALSE),1))</f>
        <v>0.9413635517371044</v>
      </c>
      <c r="BW532" s="4">
        <f>_xlfn.IFNA(VLOOKUP(Grandview_Inventory[[#This Row],[living_area_range]],Lookups!$F$47:$H$56,3,FALSE),1)</f>
        <v>0.96135087979789358</v>
      </c>
      <c r="BX532" s="4">
        <f>AVERAGE(Grandview_Inventory[[#This Row],[qual_adj]:[size_adj]])</f>
        <v>0.94728709289666768</v>
      </c>
      <c r="BY532" s="6">
        <f>IF(Grandview_Inventory[[#This Row],[pre_res]]&lt;0,0,Grandview_Inventory[[#This Row],[pre_res]]*Grandview_Inventory[[#This Row],[overall_adj]])</f>
        <v>313773.2066576514</v>
      </c>
      <c r="BZ532" s="6">
        <f>(Grandview_Inventory[[#This Row],[sum_land]]-IF(Grandview_Inventory[[#This Row],[no_utilities]]=1,12000,0))/IF(Grandview_Inventory[[#This Row],[unbuildable]]=1,2,1)</f>
        <v>55476.642243023998</v>
      </c>
      <c r="CA532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532">
        <f>ROUND(Grandview_Inventory[[#This Row],[det_value]]*Lookups!$M$28,-2)</f>
        <v>0</v>
      </c>
      <c r="CC532">
        <f>IF(ROUND(Grandview_Inventory[[#This Row],[adj_res]]*Lookups!$M$28,-2)&lt;Grandview_Inventory[[#This Row],[min_res]],Grandview_Inventory[[#This Row],[min_res]],ROUND(Grandview_Inventory[[#This Row],[adj_res]]*Lookups!$M$28,-2))</f>
        <v>298100</v>
      </c>
      <c r="CD532">
        <f>Grandview_Inventory[[#This Row],[final_det]]+Grandview_Inventory[[#This Row],[final_res]]</f>
        <v>298100</v>
      </c>
      <c r="CE532">
        <f>Grandview_Inventory[[#This Row],[final_land]]+Grandview_Inventory[[#This Row],[final_imp]]+Grandview_Inventory[[#This Row],[crop_value]]</f>
        <v>350800</v>
      </c>
      <c r="CG532" t="str">
        <f t="shared" si="8"/>
        <v>update valuation set market_land =52700, market_bldg=298100, market_total =350800, market_mdno =401, market_date ='9/10/2023' where link_id = (select link_id from parcel where parcel_year = '2024' and parcel_id = '23092221405');</v>
      </c>
    </row>
    <row r="533" spans="1:85" x14ac:dyDescent="0.25">
      <c r="A533">
        <v>23092221406</v>
      </c>
      <c r="B533" t="s">
        <v>129</v>
      </c>
      <c r="C533">
        <v>14313</v>
      </c>
      <c r="D533" t="s">
        <v>129</v>
      </c>
      <c r="E533" t="s">
        <v>53</v>
      </c>
      <c r="F533" t="s">
        <v>53</v>
      </c>
      <c r="G533">
        <v>4</v>
      </c>
      <c r="H533" t="s">
        <v>54</v>
      </c>
      <c r="I533" t="s">
        <v>129</v>
      </c>
      <c r="J533">
        <v>34400</v>
      </c>
      <c r="K533">
        <v>0.33</v>
      </c>
      <c r="L533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533">
        <v>0</v>
      </c>
      <c r="N533">
        <v>0</v>
      </c>
      <c r="O533">
        <v>0</v>
      </c>
      <c r="P533">
        <v>13398.7528</v>
      </c>
      <c r="Q533">
        <v>63903</v>
      </c>
      <c r="R533">
        <f>(Grandview_Inventory[[#This Row],[ln_acres]]*Grandview_Inventory[[#This Row],[coeff]])+Grandview_Inventory[[#This Row],[const]]</f>
        <v>49048.303555435712</v>
      </c>
      <c r="S533" t="s">
        <v>61</v>
      </c>
      <c r="T533">
        <v>1</v>
      </c>
      <c r="U533" t="s">
        <v>62</v>
      </c>
      <c r="V533" t="s">
        <v>57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1500</v>
      </c>
      <c r="AC533">
        <v>1152</v>
      </c>
      <c r="AD533">
        <v>1152</v>
      </c>
      <c r="AE533">
        <v>0</v>
      </c>
      <c r="AF533">
        <v>0</v>
      </c>
      <c r="AG533">
        <v>0</v>
      </c>
      <c r="AH533">
        <v>0</v>
      </c>
      <c r="AI533">
        <v>400</v>
      </c>
      <c r="AJ533">
        <v>0</v>
      </c>
      <c r="AK533">
        <v>0</v>
      </c>
      <c r="AL533">
        <v>0</v>
      </c>
      <c r="AM533">
        <v>100</v>
      </c>
      <c r="AN533">
        <v>32</v>
      </c>
      <c r="AO533">
        <v>0</v>
      </c>
      <c r="AP533">
        <v>8</v>
      </c>
      <c r="AQ533">
        <v>0</v>
      </c>
      <c r="AR533">
        <v>0</v>
      </c>
      <c r="AS533" t="s">
        <v>58</v>
      </c>
      <c r="AT533">
        <v>1</v>
      </c>
      <c r="AU533" t="s">
        <v>59</v>
      </c>
      <c r="AV533" t="s">
        <v>60</v>
      </c>
      <c r="AW533">
        <v>1</v>
      </c>
      <c r="AX533">
        <v>3</v>
      </c>
      <c r="AY533">
        <v>0</v>
      </c>
      <c r="AZ533">
        <v>0</v>
      </c>
      <c r="BA533">
        <v>100</v>
      </c>
      <c r="BB533">
        <v>100</v>
      </c>
      <c r="BC533">
        <v>100</v>
      </c>
      <c r="BD533">
        <v>100</v>
      </c>
      <c r="BE533">
        <v>1</v>
      </c>
      <c r="BF533">
        <v>15000</v>
      </c>
      <c r="BG533">
        <v>1000</v>
      </c>
      <c r="BH533" s="6">
        <f>Grandview_Inventory[[#This Row],[land_extract]]*Lookups!$B$3</f>
        <v>56959.662488507893</v>
      </c>
      <c r="BI533" s="6">
        <f>IF(Grandview_Inventory[[#This Row],[bldg_style]]="",0,Lookups!$B$2)</f>
        <v>155833.95000000001</v>
      </c>
      <c r="BJ533" s="6">
        <f>_xlfn.IFNA(VLOOKUP(Grandview_Inventory[[#This Row],[quality]],Lookups!$H$2:$J$14,3,FALSE),0)</f>
        <v>9808</v>
      </c>
      <c r="BK533" s="6">
        <f>_xlfn.IFNA(VLOOKUP(Grandview_Inventory[[#This Row],[condition]],Lookups!$H$17:$J$24,3,FALSE),0)</f>
        <v>25780</v>
      </c>
      <c r="BL533" s="6">
        <f>Grandview_Inventory[[#This Row],[Eff_Age]]*Lookups!$B$14</f>
        <v>0</v>
      </c>
      <c r="BM533" s="6">
        <f>Grandview_Inventory[[#This Row],[living_area]]*Lookups!$B$15</f>
        <v>71862.742656000002</v>
      </c>
      <c r="BN533" s="6">
        <f>Grandview_Inventory[[#This Row],[Fin BSMT]]*Lookups!$B$16</f>
        <v>0</v>
      </c>
      <c r="BO533" s="6">
        <f>(Grandview_Inventory[[#This Row],[att_gar]]+Grandview_Inventory[[#This Row],[bltin_gar]])*Lookups!$B$17</f>
        <v>35008.174800000001</v>
      </c>
      <c r="BP533" s="6">
        <f>Grandview_Inventory[[#This Row],[Plumbing Fixtures]]*Lookups!$B$18</f>
        <v>16083.5344</v>
      </c>
      <c r="BQ533" s="6">
        <f>Grandview_Inventory[[#This Row],[detatched_value]]*Lookups!$B$19</f>
        <v>0</v>
      </c>
      <c r="BR533" s="6">
        <f>SUM(Grandview_Inventory[[#This Row],[Intercept]:[det_value]])*Grandview_Inventory[[#This Row],[res_pct]]</f>
        <v>314376.40185600001</v>
      </c>
      <c r="BS533" s="6">
        <f>Grandview_Inventory[[#This Row],[land_value]]</f>
        <v>56959.662488507893</v>
      </c>
      <c r="BT533" s="4">
        <f>_xlfn.IFNA(VLOOKUP(Grandview_Inventory[[#This Row],[quality]],Lookups!$A$26:$C$33,3,FALSE),1)</f>
        <v>0.94295468617355149</v>
      </c>
      <c r="BU533" s="4">
        <f>_xlfn.IFNA(VLOOKUP(Grandview_Inventory[[#This Row],[condition]],Lookups!$A$37:$C$44,3,FALSE),1)</f>
        <v>0.94347925387812148</v>
      </c>
      <c r="BV533" s="4">
        <f>IF(Grandview_Inventory[[#This Row],[bldg_style]]="",1,_xlfn.IFNA(VLOOKUP(Grandview_Inventory[[#This Row],[decade]],Lookups!$F$29:$H$43,3,FALSE),1))</f>
        <v>0.9413635517371044</v>
      </c>
      <c r="BW533" s="4">
        <f>_xlfn.IFNA(VLOOKUP(Grandview_Inventory[[#This Row],[living_area_range]],Lookups!$F$47:$H$56,3,FALSE),1)</f>
        <v>0.96135087979789358</v>
      </c>
      <c r="BX533" s="4">
        <f>AVERAGE(Grandview_Inventory[[#This Row],[qual_adj]:[size_adj]])</f>
        <v>0.94728709289666768</v>
      </c>
      <c r="BY533" s="6">
        <f>IF(Grandview_Inventory[[#This Row],[pre_res]]&lt;0,0,Grandview_Inventory[[#This Row],[pre_res]]*Grandview_Inventory[[#This Row],[overall_adj]])</f>
        <v>297804.70778948482</v>
      </c>
      <c r="BZ533" s="6">
        <f>(Grandview_Inventory[[#This Row],[sum_land]]-IF(Grandview_Inventory[[#This Row],[no_utilities]]=1,12000,0))/IF(Grandview_Inventory[[#This Row],[unbuildable]]=1,2,1)</f>
        <v>56959.662488507893</v>
      </c>
      <c r="CA533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533">
        <f>ROUND(Grandview_Inventory[[#This Row],[det_value]]*Lookups!$M$28,-2)</f>
        <v>0</v>
      </c>
      <c r="CC533">
        <f>IF(ROUND(Grandview_Inventory[[#This Row],[adj_res]]*Lookups!$M$28,-2)&lt;Grandview_Inventory[[#This Row],[min_res]],Grandview_Inventory[[#This Row],[min_res]],ROUND(Grandview_Inventory[[#This Row],[adj_res]]*Lookups!$M$28,-2))</f>
        <v>282900</v>
      </c>
      <c r="CD533">
        <f>Grandview_Inventory[[#This Row],[final_det]]+Grandview_Inventory[[#This Row],[final_res]]</f>
        <v>282900</v>
      </c>
      <c r="CE533">
        <f>Grandview_Inventory[[#This Row],[final_land]]+Grandview_Inventory[[#This Row],[final_imp]]+Grandview_Inventory[[#This Row],[crop_value]]</f>
        <v>337000</v>
      </c>
      <c r="CG533" t="str">
        <f t="shared" si="8"/>
        <v>update valuation set market_land =54100, market_bldg=282900, market_total =337000, market_mdno =401, market_date ='9/10/2023' where link_id = (select link_id from parcel where parcel_year = '2024' and parcel_id = '23092221406');</v>
      </c>
    </row>
    <row r="534" spans="1:85" x14ac:dyDescent="0.25">
      <c r="A534">
        <v>23092221410</v>
      </c>
      <c r="B534" t="s">
        <v>129</v>
      </c>
      <c r="C534">
        <v>12476</v>
      </c>
      <c r="D534" t="s">
        <v>129</v>
      </c>
      <c r="E534" t="s">
        <v>53</v>
      </c>
      <c r="F534" t="s">
        <v>53</v>
      </c>
      <c r="G534">
        <v>4</v>
      </c>
      <c r="H534" t="s">
        <v>54</v>
      </c>
      <c r="I534" t="s">
        <v>129</v>
      </c>
      <c r="J534">
        <v>33700</v>
      </c>
      <c r="K534">
        <v>0.28999999999999998</v>
      </c>
      <c r="L534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534">
        <v>0</v>
      </c>
      <c r="N534">
        <v>0</v>
      </c>
      <c r="O534">
        <v>0</v>
      </c>
      <c r="P534">
        <v>13398.7528</v>
      </c>
      <c r="Q534">
        <v>63903</v>
      </c>
      <c r="R534">
        <f>(Grandview_Inventory[[#This Row],[ln_acres]]*Grandview_Inventory[[#This Row],[coeff]])+Grandview_Inventory[[#This Row],[const]]</f>
        <v>47317.027506475133</v>
      </c>
      <c r="S534" t="s">
        <v>61</v>
      </c>
      <c r="T534">
        <v>1</v>
      </c>
      <c r="U534" t="s">
        <v>62</v>
      </c>
      <c r="V534" t="s">
        <v>57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2000</v>
      </c>
      <c r="AC534">
        <v>1816</v>
      </c>
      <c r="AD534">
        <v>1816</v>
      </c>
      <c r="AE534">
        <v>0</v>
      </c>
      <c r="AF534">
        <v>0</v>
      </c>
      <c r="AG534">
        <v>0</v>
      </c>
      <c r="AH534">
        <v>0</v>
      </c>
      <c r="AI534">
        <v>800</v>
      </c>
      <c r="AJ534">
        <v>0</v>
      </c>
      <c r="AK534">
        <v>0</v>
      </c>
      <c r="AL534">
        <v>0</v>
      </c>
      <c r="AM534">
        <v>0</v>
      </c>
      <c r="AN534">
        <v>212</v>
      </c>
      <c r="AO534">
        <v>0</v>
      </c>
      <c r="AP534">
        <v>9</v>
      </c>
      <c r="AQ534">
        <v>0</v>
      </c>
      <c r="AR534">
        <v>0</v>
      </c>
      <c r="AS534" t="s">
        <v>58</v>
      </c>
      <c r="AT534">
        <v>1</v>
      </c>
      <c r="AU534" t="s">
        <v>59</v>
      </c>
      <c r="AV534" t="s">
        <v>60</v>
      </c>
      <c r="AW534">
        <v>1</v>
      </c>
      <c r="AX534">
        <v>3</v>
      </c>
      <c r="AY534">
        <v>0</v>
      </c>
      <c r="AZ534">
        <v>0</v>
      </c>
      <c r="BA534">
        <v>100</v>
      </c>
      <c r="BB534">
        <v>100</v>
      </c>
      <c r="BC534">
        <v>100</v>
      </c>
      <c r="BD534">
        <v>20</v>
      </c>
      <c r="BE534">
        <v>0.2</v>
      </c>
      <c r="BF534">
        <v>15000</v>
      </c>
      <c r="BG534">
        <v>1000</v>
      </c>
      <c r="BH534" s="6">
        <f>Grandview_Inventory[[#This Row],[land_extract]]*Lookups!$B$3</f>
        <v>54949.136287295303</v>
      </c>
      <c r="BI534" s="6">
        <f>IF(Grandview_Inventory[[#This Row],[bldg_style]]="",0,Lookups!$B$2)</f>
        <v>155833.95000000001</v>
      </c>
      <c r="BJ534" s="6">
        <f>_xlfn.IFNA(VLOOKUP(Grandview_Inventory[[#This Row],[quality]],Lookups!$H$2:$J$14,3,FALSE),0)</f>
        <v>9808</v>
      </c>
      <c r="BK534" s="6">
        <f>_xlfn.IFNA(VLOOKUP(Grandview_Inventory[[#This Row],[condition]],Lookups!$H$17:$J$24,3,FALSE),0)</f>
        <v>25780</v>
      </c>
      <c r="BL534" s="6">
        <f>Grandview_Inventory[[#This Row],[Eff_Age]]*Lookups!$B$14</f>
        <v>0</v>
      </c>
      <c r="BM534" s="6">
        <f>Grandview_Inventory[[#This Row],[living_area]]*Lookups!$B$15</f>
        <v>113283.629048</v>
      </c>
      <c r="BN534" s="6">
        <f>Grandview_Inventory[[#This Row],[Fin BSMT]]*Lookups!$B$16</f>
        <v>0</v>
      </c>
      <c r="BO534" s="6">
        <f>(Grandview_Inventory[[#This Row],[att_gar]]+Grandview_Inventory[[#This Row],[bltin_gar]])*Lookups!$B$17</f>
        <v>70016.349600000001</v>
      </c>
      <c r="BP534" s="6">
        <f>Grandview_Inventory[[#This Row],[Plumbing Fixtures]]*Lookups!$B$18</f>
        <v>18093.976200000001</v>
      </c>
      <c r="BQ534" s="6">
        <f>Grandview_Inventory[[#This Row],[detatched_value]]*Lookups!$B$19</f>
        <v>0</v>
      </c>
      <c r="BR534" s="6">
        <f>SUM(Grandview_Inventory[[#This Row],[Intercept]:[det_value]])*Grandview_Inventory[[#This Row],[res_pct]]</f>
        <v>78563.180969600013</v>
      </c>
      <c r="BS534" s="6">
        <f>Grandview_Inventory[[#This Row],[land_value]]</f>
        <v>54949.136287295303</v>
      </c>
      <c r="BT534" s="4">
        <f>_xlfn.IFNA(VLOOKUP(Grandview_Inventory[[#This Row],[quality]],Lookups!$A$26:$C$33,3,FALSE),1)</f>
        <v>0.94295468617355149</v>
      </c>
      <c r="BU534" s="4">
        <f>_xlfn.IFNA(VLOOKUP(Grandview_Inventory[[#This Row],[condition]],Lookups!$A$37:$C$44,3,FALSE),1)</f>
        <v>0.94347925387812148</v>
      </c>
      <c r="BV534" s="4">
        <f>IF(Grandview_Inventory[[#This Row],[bldg_style]]="",1,_xlfn.IFNA(VLOOKUP(Grandview_Inventory[[#This Row],[decade]],Lookups!$F$29:$H$43,3,FALSE),1))</f>
        <v>0.9413635517371044</v>
      </c>
      <c r="BW534" s="4">
        <f>_xlfn.IFNA(VLOOKUP(Grandview_Inventory[[#This Row],[living_area_range]],Lookups!$F$47:$H$56,3,FALSE),1)</f>
        <v>0.96120133463014379</v>
      </c>
      <c r="BX534" s="4">
        <f>AVERAGE(Grandview_Inventory[[#This Row],[qual_adj]:[size_adj]])</f>
        <v>0.94724970660473029</v>
      </c>
      <c r="BY534" s="6">
        <f>IF(Grandview_Inventory[[#This Row],[pre_res]]&lt;0,0,Grandview_Inventory[[#This Row],[pre_res]]*Grandview_Inventory[[#This Row],[overall_adj]])</f>
        <v>74418.950123387942</v>
      </c>
      <c r="BZ534" s="6">
        <f>(Grandview_Inventory[[#This Row],[sum_land]]-IF(Grandview_Inventory[[#This Row],[no_utilities]]=1,12000,0))/IF(Grandview_Inventory[[#This Row],[unbuildable]]=1,2,1)</f>
        <v>54949.136287295303</v>
      </c>
      <c r="CA534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534">
        <f>ROUND(Grandview_Inventory[[#This Row],[det_value]]*Lookups!$M$28,-2)</f>
        <v>0</v>
      </c>
      <c r="CC534">
        <f>IF(ROUND(Grandview_Inventory[[#This Row],[adj_res]]*Lookups!$M$28,-2)&lt;Grandview_Inventory[[#This Row],[min_res]],Grandview_Inventory[[#This Row],[min_res]],ROUND(Grandview_Inventory[[#This Row],[adj_res]]*Lookups!$M$28,-2))</f>
        <v>70700</v>
      </c>
      <c r="CD534">
        <f>Grandview_Inventory[[#This Row],[final_det]]+Grandview_Inventory[[#This Row],[final_res]]</f>
        <v>70700</v>
      </c>
      <c r="CE534">
        <f>Grandview_Inventory[[#This Row],[final_land]]+Grandview_Inventory[[#This Row],[final_imp]]+Grandview_Inventory[[#This Row],[crop_value]]</f>
        <v>122900</v>
      </c>
      <c r="CG534" t="str">
        <f t="shared" si="8"/>
        <v>update valuation set market_land =52200, market_bldg=70700, market_total =122900, market_mdno =401, market_date ='9/10/2023' where link_id = (select link_id from parcel where parcel_year = '2024' and parcel_id = '23092221410');</v>
      </c>
    </row>
    <row r="535" spans="1:85" x14ac:dyDescent="0.25">
      <c r="A535">
        <v>23092221418</v>
      </c>
      <c r="B535" t="s">
        <v>129</v>
      </c>
      <c r="C535">
        <v>7500</v>
      </c>
      <c r="D535" t="s">
        <v>129</v>
      </c>
      <c r="E535" t="s">
        <v>53</v>
      </c>
      <c r="F535" t="s">
        <v>53</v>
      </c>
      <c r="G535">
        <v>4</v>
      </c>
      <c r="H535" t="s">
        <v>54</v>
      </c>
      <c r="I535" t="s">
        <v>129</v>
      </c>
      <c r="J535">
        <v>32300</v>
      </c>
      <c r="K535">
        <v>0.17</v>
      </c>
      <c r="L53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35">
        <v>0</v>
      </c>
      <c r="N535">
        <v>0</v>
      </c>
      <c r="O535">
        <v>0</v>
      </c>
      <c r="P535">
        <v>13398.7528</v>
      </c>
      <c r="Q535">
        <v>63903</v>
      </c>
      <c r="R535">
        <f>(Grandview_Inventory[[#This Row],[ln_acres]]*Grandview_Inventory[[#This Row],[coeff]])+Grandview_Inventory[[#This Row],[const]]</f>
        <v>40160.988302686128</v>
      </c>
      <c r="S535" t="s">
        <v>61</v>
      </c>
      <c r="T535">
        <v>1</v>
      </c>
      <c r="U535" t="s">
        <v>62</v>
      </c>
      <c r="V535" t="s">
        <v>57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1500</v>
      </c>
      <c r="AC535">
        <v>1152</v>
      </c>
      <c r="AD535">
        <v>1152</v>
      </c>
      <c r="AE535">
        <v>0</v>
      </c>
      <c r="AF535">
        <v>0</v>
      </c>
      <c r="AG535">
        <v>0</v>
      </c>
      <c r="AH535">
        <v>0</v>
      </c>
      <c r="AI535">
        <v>400</v>
      </c>
      <c r="AJ535">
        <v>0</v>
      </c>
      <c r="AK535">
        <v>0</v>
      </c>
      <c r="AL535">
        <v>0</v>
      </c>
      <c r="AM535">
        <v>100</v>
      </c>
      <c r="AN535">
        <v>32</v>
      </c>
      <c r="AO535">
        <v>0</v>
      </c>
      <c r="AP535">
        <v>8</v>
      </c>
      <c r="AQ535">
        <v>0</v>
      </c>
      <c r="AR535">
        <v>0</v>
      </c>
      <c r="AS535" t="s">
        <v>58</v>
      </c>
      <c r="AT535">
        <v>1</v>
      </c>
      <c r="AU535" t="s">
        <v>59</v>
      </c>
      <c r="AV535" t="s">
        <v>60</v>
      </c>
      <c r="AW535">
        <v>1</v>
      </c>
      <c r="AX535">
        <v>3</v>
      </c>
      <c r="AY535">
        <v>0</v>
      </c>
      <c r="AZ535">
        <v>213800</v>
      </c>
      <c r="BA535">
        <v>100</v>
      </c>
      <c r="BB535">
        <v>100</v>
      </c>
      <c r="BC535">
        <v>100</v>
      </c>
      <c r="BD535">
        <v>12</v>
      </c>
      <c r="BE535">
        <v>0</v>
      </c>
      <c r="BF535">
        <v>15000</v>
      </c>
      <c r="BG535">
        <v>0</v>
      </c>
      <c r="BH535" s="6">
        <f>Grandview_Inventory[[#This Row],[land_extract]]*Lookups!$B$3</f>
        <v>46638.847281240982</v>
      </c>
      <c r="BI535" s="6">
        <f>IF(Grandview_Inventory[[#This Row],[bldg_style]]="",0,Lookups!$B$2)</f>
        <v>155833.95000000001</v>
      </c>
      <c r="BJ535" s="6">
        <f>_xlfn.IFNA(VLOOKUP(Grandview_Inventory[[#This Row],[quality]],Lookups!$H$2:$J$14,3,FALSE),0)</f>
        <v>9808</v>
      </c>
      <c r="BK535" s="6">
        <f>_xlfn.IFNA(VLOOKUP(Grandview_Inventory[[#This Row],[condition]],Lookups!$H$17:$J$24,3,FALSE),0)</f>
        <v>25780</v>
      </c>
      <c r="BL535" s="6">
        <f>Grandview_Inventory[[#This Row],[Eff_Age]]*Lookups!$B$14</f>
        <v>0</v>
      </c>
      <c r="BM535" s="6">
        <f>Grandview_Inventory[[#This Row],[living_area]]*Lookups!$B$15</f>
        <v>71862.742656000002</v>
      </c>
      <c r="BN535" s="6">
        <f>Grandview_Inventory[[#This Row],[Fin BSMT]]*Lookups!$B$16</f>
        <v>0</v>
      </c>
      <c r="BO535" s="6">
        <f>(Grandview_Inventory[[#This Row],[att_gar]]+Grandview_Inventory[[#This Row],[bltin_gar]])*Lookups!$B$17</f>
        <v>35008.174800000001</v>
      </c>
      <c r="BP535" s="6">
        <f>Grandview_Inventory[[#This Row],[Plumbing Fixtures]]*Lookups!$B$18</f>
        <v>16083.5344</v>
      </c>
      <c r="BQ535" s="6">
        <f>Grandview_Inventory[[#This Row],[detatched_value]]*Lookups!$B$19</f>
        <v>181046.93038000001</v>
      </c>
      <c r="BR535" s="6">
        <f>SUM(Grandview_Inventory[[#This Row],[Intercept]:[det_value]])*Grandview_Inventory[[#This Row],[res_pct]]</f>
        <v>0</v>
      </c>
      <c r="BS535" s="6">
        <f>Grandview_Inventory[[#This Row],[land_value]]</f>
        <v>46638.847281240982</v>
      </c>
      <c r="BT535" s="4">
        <f>_xlfn.IFNA(VLOOKUP(Grandview_Inventory[[#This Row],[quality]],Lookups!$A$26:$C$33,3,FALSE),1)</f>
        <v>0.94295468617355149</v>
      </c>
      <c r="BU535" s="4">
        <f>_xlfn.IFNA(VLOOKUP(Grandview_Inventory[[#This Row],[condition]],Lookups!$A$37:$C$44,3,FALSE),1)</f>
        <v>0.94347925387812148</v>
      </c>
      <c r="BV535" s="4">
        <f>IF(Grandview_Inventory[[#This Row],[bldg_style]]="",1,_xlfn.IFNA(VLOOKUP(Grandview_Inventory[[#This Row],[decade]],Lookups!$F$29:$H$43,3,FALSE),1))</f>
        <v>0.9413635517371044</v>
      </c>
      <c r="BW535" s="4">
        <f>_xlfn.IFNA(VLOOKUP(Grandview_Inventory[[#This Row],[living_area_range]],Lookups!$F$47:$H$56,3,FALSE),1)</f>
        <v>0.96135087979789358</v>
      </c>
      <c r="BX535" s="4">
        <f>AVERAGE(Grandview_Inventory[[#This Row],[qual_adj]:[size_adj]])</f>
        <v>0.94728709289666768</v>
      </c>
      <c r="BY535" s="6">
        <f>IF(Grandview_Inventory[[#This Row],[pre_res]]&lt;0,0,Grandview_Inventory[[#This Row],[pre_res]]*Grandview_Inventory[[#This Row],[overall_adj]])</f>
        <v>0</v>
      </c>
      <c r="BZ535" s="6">
        <f>(Grandview_Inventory[[#This Row],[sum_land]]-IF(Grandview_Inventory[[#This Row],[no_utilities]]=1,12000,0))/IF(Grandview_Inventory[[#This Row],[unbuildable]]=1,2,1)</f>
        <v>46638.847281240982</v>
      </c>
      <c r="CA53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35">
        <f>ROUND(Grandview_Inventory[[#This Row],[det_value]]*Lookups!$M$28,-2)</f>
        <v>172000</v>
      </c>
      <c r="CC53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535">
        <f>Grandview_Inventory[[#This Row],[final_det]]+Grandview_Inventory[[#This Row],[final_res]]</f>
        <v>172000</v>
      </c>
      <c r="CE535">
        <f>Grandview_Inventory[[#This Row],[final_land]]+Grandview_Inventory[[#This Row],[final_imp]]+Grandview_Inventory[[#This Row],[crop_value]]</f>
        <v>216300</v>
      </c>
      <c r="CG535" t="str">
        <f t="shared" si="8"/>
        <v>update valuation set market_land =44300, market_bldg=172000, market_total =216300, market_mdno =401, market_date ='9/10/2023' where link_id = (select link_id from parcel where parcel_year = '2024' and parcel_id = '23092221418');</v>
      </c>
    </row>
    <row r="536" spans="1:85" x14ac:dyDescent="0.25">
      <c r="A536">
        <v>23092221419</v>
      </c>
      <c r="B536" t="s">
        <v>129</v>
      </c>
      <c r="C536">
        <v>7500</v>
      </c>
      <c r="D536" t="s">
        <v>129</v>
      </c>
      <c r="E536" t="s">
        <v>53</v>
      </c>
      <c r="F536" t="s">
        <v>53</v>
      </c>
      <c r="G536">
        <v>4</v>
      </c>
      <c r="H536" t="s">
        <v>54</v>
      </c>
      <c r="I536" t="s">
        <v>129</v>
      </c>
      <c r="J536">
        <v>32300</v>
      </c>
      <c r="K536">
        <v>0.17</v>
      </c>
      <c r="L53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36">
        <v>0</v>
      </c>
      <c r="N536">
        <v>0</v>
      </c>
      <c r="O536">
        <v>0</v>
      </c>
      <c r="P536">
        <v>13398.7528</v>
      </c>
      <c r="Q536">
        <v>63903</v>
      </c>
      <c r="R536">
        <f>(Grandview_Inventory[[#This Row],[ln_acres]]*Grandview_Inventory[[#This Row],[coeff]])+Grandview_Inventory[[#This Row],[const]]</f>
        <v>40160.988302686128</v>
      </c>
      <c r="S536" t="s">
        <v>61</v>
      </c>
      <c r="T536">
        <v>1</v>
      </c>
      <c r="U536" t="s">
        <v>62</v>
      </c>
      <c r="V536" t="s">
        <v>57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1500</v>
      </c>
      <c r="AC536">
        <v>1152</v>
      </c>
      <c r="AD536">
        <v>1152</v>
      </c>
      <c r="AE536">
        <v>0</v>
      </c>
      <c r="AF536">
        <v>0</v>
      </c>
      <c r="AG536">
        <v>0</v>
      </c>
      <c r="AH536">
        <v>0</v>
      </c>
      <c r="AI536">
        <v>400</v>
      </c>
      <c r="AJ536">
        <v>0</v>
      </c>
      <c r="AK536">
        <v>0</v>
      </c>
      <c r="AL536">
        <v>0</v>
      </c>
      <c r="AM536">
        <v>100</v>
      </c>
      <c r="AN536">
        <v>32</v>
      </c>
      <c r="AO536">
        <v>0</v>
      </c>
      <c r="AP536">
        <v>8</v>
      </c>
      <c r="AQ536">
        <v>0</v>
      </c>
      <c r="AR536">
        <v>0</v>
      </c>
      <c r="AS536" t="s">
        <v>58</v>
      </c>
      <c r="AT536">
        <v>1</v>
      </c>
      <c r="AU536" t="s">
        <v>59</v>
      </c>
      <c r="AV536" t="s">
        <v>60</v>
      </c>
      <c r="AW536">
        <v>1</v>
      </c>
      <c r="AX536">
        <v>3</v>
      </c>
      <c r="AY536">
        <v>0</v>
      </c>
      <c r="AZ536">
        <v>0</v>
      </c>
      <c r="BA536">
        <v>100</v>
      </c>
      <c r="BB536">
        <v>100</v>
      </c>
      <c r="BC536">
        <v>100</v>
      </c>
      <c r="BD536">
        <v>100</v>
      </c>
      <c r="BE536">
        <v>1</v>
      </c>
      <c r="BF536">
        <v>15000</v>
      </c>
      <c r="BG536">
        <v>1000</v>
      </c>
      <c r="BH536" s="6">
        <f>Grandview_Inventory[[#This Row],[land_extract]]*Lookups!$B$3</f>
        <v>46638.847281240982</v>
      </c>
      <c r="BI536" s="6">
        <f>IF(Grandview_Inventory[[#This Row],[bldg_style]]="",0,Lookups!$B$2)</f>
        <v>155833.95000000001</v>
      </c>
      <c r="BJ536" s="6">
        <f>_xlfn.IFNA(VLOOKUP(Grandview_Inventory[[#This Row],[quality]],Lookups!$H$2:$J$14,3,FALSE),0)</f>
        <v>9808</v>
      </c>
      <c r="BK536" s="6">
        <f>_xlfn.IFNA(VLOOKUP(Grandview_Inventory[[#This Row],[condition]],Lookups!$H$17:$J$24,3,FALSE),0)</f>
        <v>25780</v>
      </c>
      <c r="BL536" s="6">
        <f>Grandview_Inventory[[#This Row],[Eff_Age]]*Lookups!$B$14</f>
        <v>0</v>
      </c>
      <c r="BM536" s="6">
        <f>Grandview_Inventory[[#This Row],[living_area]]*Lookups!$B$15</f>
        <v>71862.742656000002</v>
      </c>
      <c r="BN536" s="6">
        <f>Grandview_Inventory[[#This Row],[Fin BSMT]]*Lookups!$B$16</f>
        <v>0</v>
      </c>
      <c r="BO536" s="6">
        <f>(Grandview_Inventory[[#This Row],[att_gar]]+Grandview_Inventory[[#This Row],[bltin_gar]])*Lookups!$B$17</f>
        <v>35008.174800000001</v>
      </c>
      <c r="BP536" s="6">
        <f>Grandview_Inventory[[#This Row],[Plumbing Fixtures]]*Lookups!$B$18</f>
        <v>16083.5344</v>
      </c>
      <c r="BQ536" s="6">
        <f>Grandview_Inventory[[#This Row],[detatched_value]]*Lookups!$B$19</f>
        <v>0</v>
      </c>
      <c r="BR536" s="6">
        <f>SUM(Grandview_Inventory[[#This Row],[Intercept]:[det_value]])*Grandview_Inventory[[#This Row],[res_pct]]</f>
        <v>314376.40185600001</v>
      </c>
      <c r="BS536" s="6">
        <f>Grandview_Inventory[[#This Row],[land_value]]</f>
        <v>46638.847281240982</v>
      </c>
      <c r="BT536" s="4">
        <f>_xlfn.IFNA(VLOOKUP(Grandview_Inventory[[#This Row],[quality]],Lookups!$A$26:$C$33,3,FALSE),1)</f>
        <v>0.94295468617355149</v>
      </c>
      <c r="BU536" s="4">
        <f>_xlfn.IFNA(VLOOKUP(Grandview_Inventory[[#This Row],[condition]],Lookups!$A$37:$C$44,3,FALSE),1)</f>
        <v>0.94347925387812148</v>
      </c>
      <c r="BV536" s="4">
        <f>IF(Grandview_Inventory[[#This Row],[bldg_style]]="",1,_xlfn.IFNA(VLOOKUP(Grandview_Inventory[[#This Row],[decade]],Lookups!$F$29:$H$43,3,FALSE),1))</f>
        <v>0.9413635517371044</v>
      </c>
      <c r="BW536" s="4">
        <f>_xlfn.IFNA(VLOOKUP(Grandview_Inventory[[#This Row],[living_area_range]],Lookups!$F$47:$H$56,3,FALSE),1)</f>
        <v>0.96135087979789358</v>
      </c>
      <c r="BX536" s="4">
        <f>AVERAGE(Grandview_Inventory[[#This Row],[qual_adj]:[size_adj]])</f>
        <v>0.94728709289666768</v>
      </c>
      <c r="BY536" s="6">
        <f>IF(Grandview_Inventory[[#This Row],[pre_res]]&lt;0,0,Grandview_Inventory[[#This Row],[pre_res]]*Grandview_Inventory[[#This Row],[overall_adj]])</f>
        <v>297804.70778948482</v>
      </c>
      <c r="BZ536" s="6">
        <f>(Grandview_Inventory[[#This Row],[sum_land]]-IF(Grandview_Inventory[[#This Row],[no_utilities]]=1,12000,0))/IF(Grandview_Inventory[[#This Row],[unbuildable]]=1,2,1)</f>
        <v>46638.847281240982</v>
      </c>
      <c r="CA53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36">
        <f>ROUND(Grandview_Inventory[[#This Row],[det_value]]*Lookups!$M$28,-2)</f>
        <v>0</v>
      </c>
      <c r="CC536">
        <f>IF(ROUND(Grandview_Inventory[[#This Row],[adj_res]]*Lookups!$M$28,-2)&lt;Grandview_Inventory[[#This Row],[min_res]],Grandview_Inventory[[#This Row],[min_res]],ROUND(Grandview_Inventory[[#This Row],[adj_res]]*Lookups!$M$28,-2))</f>
        <v>282900</v>
      </c>
      <c r="CD536">
        <f>Grandview_Inventory[[#This Row],[final_det]]+Grandview_Inventory[[#This Row],[final_res]]</f>
        <v>282900</v>
      </c>
      <c r="CE536">
        <f>Grandview_Inventory[[#This Row],[final_land]]+Grandview_Inventory[[#This Row],[final_imp]]+Grandview_Inventory[[#This Row],[crop_value]]</f>
        <v>327200</v>
      </c>
      <c r="CG536" t="str">
        <f t="shared" si="8"/>
        <v>update valuation set market_land =44300, market_bldg=282900, market_total =327200, market_mdno =401, market_date ='9/10/2023' where link_id = (select link_id from parcel where parcel_year = '2024' and parcel_id = '23092221419');</v>
      </c>
    </row>
    <row r="537" spans="1:85" x14ac:dyDescent="0.25">
      <c r="A537">
        <v>23092221420</v>
      </c>
      <c r="B537" t="s">
        <v>129</v>
      </c>
      <c r="C537">
        <v>7500</v>
      </c>
      <c r="D537" t="s">
        <v>129</v>
      </c>
      <c r="E537" t="s">
        <v>53</v>
      </c>
      <c r="F537" t="s">
        <v>53</v>
      </c>
      <c r="G537">
        <v>4</v>
      </c>
      <c r="H537" t="s">
        <v>54</v>
      </c>
      <c r="I537" t="s">
        <v>129</v>
      </c>
      <c r="J537">
        <v>32300</v>
      </c>
      <c r="K537">
        <v>0.17</v>
      </c>
      <c r="L53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37">
        <v>0</v>
      </c>
      <c r="N537">
        <v>0</v>
      </c>
      <c r="O537">
        <v>0</v>
      </c>
      <c r="P537">
        <v>13398.7528</v>
      </c>
      <c r="Q537">
        <v>63903</v>
      </c>
      <c r="R537">
        <f>(Grandview_Inventory[[#This Row],[ln_acres]]*Grandview_Inventory[[#This Row],[coeff]])+Grandview_Inventory[[#This Row],[const]]</f>
        <v>40160.988302686128</v>
      </c>
      <c r="S537" t="s">
        <v>61</v>
      </c>
      <c r="T537">
        <v>1</v>
      </c>
      <c r="U537" t="s">
        <v>65</v>
      </c>
      <c r="V537" t="s">
        <v>57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1500</v>
      </c>
      <c r="AC537">
        <v>1008</v>
      </c>
      <c r="AD537">
        <v>1008</v>
      </c>
      <c r="AE537">
        <v>0</v>
      </c>
      <c r="AF537">
        <v>0</v>
      </c>
      <c r="AG537">
        <v>0</v>
      </c>
      <c r="AH537">
        <v>0</v>
      </c>
      <c r="AI537">
        <v>400</v>
      </c>
      <c r="AJ537">
        <v>0</v>
      </c>
      <c r="AK537">
        <v>0</v>
      </c>
      <c r="AL537">
        <v>0</v>
      </c>
      <c r="AM537">
        <v>100</v>
      </c>
      <c r="AN537">
        <v>108</v>
      </c>
      <c r="AO537">
        <v>0</v>
      </c>
      <c r="AP537">
        <v>8</v>
      </c>
      <c r="AQ537">
        <v>0</v>
      </c>
      <c r="AR537">
        <v>0</v>
      </c>
      <c r="AS537" t="s">
        <v>58</v>
      </c>
      <c r="AT537">
        <v>1</v>
      </c>
      <c r="AU537" t="s">
        <v>59</v>
      </c>
      <c r="AV537" t="s">
        <v>60</v>
      </c>
      <c r="AW537">
        <v>1</v>
      </c>
      <c r="AX537">
        <v>2</v>
      </c>
      <c r="AY537">
        <v>0</v>
      </c>
      <c r="AZ537">
        <v>0</v>
      </c>
      <c r="BA537">
        <v>100</v>
      </c>
      <c r="BB537">
        <v>100</v>
      </c>
      <c r="BC537">
        <v>100</v>
      </c>
      <c r="BD537">
        <v>89</v>
      </c>
      <c r="BE537">
        <v>0.89</v>
      </c>
      <c r="BF537">
        <v>15000</v>
      </c>
      <c r="BG537">
        <v>1000</v>
      </c>
      <c r="BH537" s="6">
        <f>Grandview_Inventory[[#This Row],[land_extract]]*Lookups!$B$3</f>
        <v>46638.847281240982</v>
      </c>
      <c r="BI537" s="6">
        <f>IF(Grandview_Inventory[[#This Row],[bldg_style]]="",0,Lookups!$B$2)</f>
        <v>155833.95000000001</v>
      </c>
      <c r="BJ537" s="6">
        <f>_xlfn.IFNA(VLOOKUP(Grandview_Inventory[[#This Row],[quality]],Lookups!$H$2:$J$14,3,FALSE),0)</f>
        <v>2251</v>
      </c>
      <c r="BK537" s="6">
        <f>_xlfn.IFNA(VLOOKUP(Grandview_Inventory[[#This Row],[condition]],Lookups!$H$17:$J$24,3,FALSE),0)</f>
        <v>25780</v>
      </c>
      <c r="BL537" s="6">
        <f>Grandview_Inventory[[#This Row],[Eff_Age]]*Lookups!$B$14</f>
        <v>0</v>
      </c>
      <c r="BM537" s="6">
        <f>Grandview_Inventory[[#This Row],[living_area]]*Lookups!$B$15</f>
        <v>62879.899824</v>
      </c>
      <c r="BN537" s="6">
        <f>Grandview_Inventory[[#This Row],[Fin BSMT]]*Lookups!$B$16</f>
        <v>0</v>
      </c>
      <c r="BO537" s="6">
        <f>(Grandview_Inventory[[#This Row],[att_gar]]+Grandview_Inventory[[#This Row],[bltin_gar]])*Lookups!$B$17</f>
        <v>35008.174800000001</v>
      </c>
      <c r="BP537" s="6">
        <f>Grandview_Inventory[[#This Row],[Plumbing Fixtures]]*Lookups!$B$18</f>
        <v>16083.5344</v>
      </c>
      <c r="BQ537" s="6">
        <f>Grandview_Inventory[[#This Row],[detatched_value]]*Lookups!$B$19</f>
        <v>0</v>
      </c>
      <c r="BR537" s="6">
        <f>SUM(Grandview_Inventory[[#This Row],[Intercept]:[det_value]])*Grandview_Inventory[[#This Row],[res_pct]]</f>
        <v>265074.53753135999</v>
      </c>
      <c r="BS537" s="6">
        <f>Grandview_Inventory[[#This Row],[land_value]]</f>
        <v>46638.847281240982</v>
      </c>
      <c r="BT537" s="4">
        <f>_xlfn.IFNA(VLOOKUP(Grandview_Inventory[[#This Row],[quality]],Lookups!$A$26:$C$33,3,FALSE),1)</f>
        <v>0.98763855981004833</v>
      </c>
      <c r="BU537" s="4">
        <f>_xlfn.IFNA(VLOOKUP(Grandview_Inventory[[#This Row],[condition]],Lookups!$A$37:$C$44,3,FALSE),1)</f>
        <v>0.94347925387812148</v>
      </c>
      <c r="BV537" s="4">
        <f>IF(Grandview_Inventory[[#This Row],[bldg_style]]="",1,_xlfn.IFNA(VLOOKUP(Grandview_Inventory[[#This Row],[decade]],Lookups!$F$29:$H$43,3,FALSE),1))</f>
        <v>0.9413635517371044</v>
      </c>
      <c r="BW537" s="4">
        <f>_xlfn.IFNA(VLOOKUP(Grandview_Inventory[[#This Row],[living_area_range]],Lookups!$F$47:$H$56,3,FALSE),1)</f>
        <v>0.96135087979789358</v>
      </c>
      <c r="BX537" s="4">
        <f>AVERAGE(Grandview_Inventory[[#This Row],[qual_adj]:[size_adj]])</f>
        <v>0.95845806130579192</v>
      </c>
      <c r="BY537" s="6">
        <f>IF(Grandview_Inventory[[#This Row],[pre_res]]&lt;0,0,Grandview_Inventory[[#This Row],[pre_res]]*Grandview_Inventory[[#This Row],[overall_adj]])</f>
        <v>254062.82734383669</v>
      </c>
      <c r="BZ537" s="6">
        <f>(Grandview_Inventory[[#This Row],[sum_land]]-IF(Grandview_Inventory[[#This Row],[no_utilities]]=1,12000,0))/IF(Grandview_Inventory[[#This Row],[unbuildable]]=1,2,1)</f>
        <v>46638.847281240982</v>
      </c>
      <c r="CA53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37">
        <f>ROUND(Grandview_Inventory[[#This Row],[det_value]]*Lookups!$M$28,-2)</f>
        <v>0</v>
      </c>
      <c r="CC537">
        <f>IF(ROUND(Grandview_Inventory[[#This Row],[adj_res]]*Lookups!$M$28,-2)&lt;Grandview_Inventory[[#This Row],[min_res]],Grandview_Inventory[[#This Row],[min_res]],ROUND(Grandview_Inventory[[#This Row],[adj_res]]*Lookups!$M$28,-2))</f>
        <v>241400</v>
      </c>
      <c r="CD537">
        <f>Grandview_Inventory[[#This Row],[final_det]]+Grandview_Inventory[[#This Row],[final_res]]</f>
        <v>241400</v>
      </c>
      <c r="CE537">
        <f>Grandview_Inventory[[#This Row],[final_land]]+Grandview_Inventory[[#This Row],[final_imp]]+Grandview_Inventory[[#This Row],[crop_value]]</f>
        <v>285700</v>
      </c>
      <c r="CG537" t="str">
        <f t="shared" si="8"/>
        <v>update valuation set market_land =44300, market_bldg=241400, market_total =285700, market_mdno =401, market_date ='9/10/2023' where link_id = (select link_id from parcel where parcel_year = '2024' and parcel_id = '23092221420');</v>
      </c>
    </row>
    <row r="538" spans="1:85" x14ac:dyDescent="0.25">
      <c r="A538">
        <v>23092221422</v>
      </c>
      <c r="B538" t="s">
        <v>129</v>
      </c>
      <c r="C538">
        <v>9343</v>
      </c>
      <c r="D538" t="s">
        <v>129</v>
      </c>
      <c r="E538" t="s">
        <v>53</v>
      </c>
      <c r="F538" t="s">
        <v>53</v>
      </c>
      <c r="G538">
        <v>4</v>
      </c>
      <c r="H538" t="s">
        <v>54</v>
      </c>
      <c r="I538" t="s">
        <v>129</v>
      </c>
      <c r="J538">
        <v>32800</v>
      </c>
      <c r="K538">
        <v>0.21</v>
      </c>
      <c r="L53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38">
        <v>0</v>
      </c>
      <c r="N538">
        <v>0</v>
      </c>
      <c r="O538">
        <v>0</v>
      </c>
      <c r="P538">
        <v>13398.7528</v>
      </c>
      <c r="Q538">
        <v>63903</v>
      </c>
      <c r="R538">
        <f>(Grandview_Inventory[[#This Row],[ln_acres]]*Grandview_Inventory[[#This Row],[coeff]])+Grandview_Inventory[[#This Row],[const]]</f>
        <v>42992.266613125081</v>
      </c>
      <c r="S538" t="s">
        <v>61</v>
      </c>
      <c r="T538">
        <v>1</v>
      </c>
      <c r="U538" t="s">
        <v>62</v>
      </c>
      <c r="V538" t="s">
        <v>57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1500</v>
      </c>
      <c r="AC538">
        <v>1412</v>
      </c>
      <c r="AD538">
        <v>1412</v>
      </c>
      <c r="AE538">
        <v>0</v>
      </c>
      <c r="AF538">
        <v>0</v>
      </c>
      <c r="AG538">
        <v>0</v>
      </c>
      <c r="AH538">
        <v>0</v>
      </c>
      <c r="AI538">
        <v>400</v>
      </c>
      <c r="AJ538">
        <v>0</v>
      </c>
      <c r="AK538">
        <v>0</v>
      </c>
      <c r="AL538">
        <v>0</v>
      </c>
      <c r="AM538">
        <v>100</v>
      </c>
      <c r="AN538">
        <v>24</v>
      </c>
      <c r="AO538">
        <v>0</v>
      </c>
      <c r="AP538">
        <v>9</v>
      </c>
      <c r="AQ538">
        <v>0</v>
      </c>
      <c r="AR538">
        <v>0</v>
      </c>
      <c r="AS538" t="s">
        <v>58</v>
      </c>
      <c r="AT538">
        <v>1</v>
      </c>
      <c r="AU538" t="s">
        <v>59</v>
      </c>
      <c r="AV538" t="s">
        <v>60</v>
      </c>
      <c r="AW538">
        <v>1</v>
      </c>
      <c r="AX538">
        <v>3</v>
      </c>
      <c r="AY538">
        <v>0</v>
      </c>
      <c r="AZ538">
        <v>0</v>
      </c>
      <c r="BA538">
        <v>100</v>
      </c>
      <c r="BB538">
        <v>100</v>
      </c>
      <c r="BC538">
        <v>100</v>
      </c>
      <c r="BD538">
        <v>100</v>
      </c>
      <c r="BE538">
        <v>1</v>
      </c>
      <c r="BF538">
        <v>15000</v>
      </c>
      <c r="BG538">
        <v>1000</v>
      </c>
      <c r="BH538" s="6">
        <f>Grandview_Inventory[[#This Row],[land_extract]]*Lookups!$B$3</f>
        <v>49926.8031387023</v>
      </c>
      <c r="BI538" s="6">
        <f>IF(Grandview_Inventory[[#This Row],[bldg_style]]="",0,Lookups!$B$2)</f>
        <v>155833.95000000001</v>
      </c>
      <c r="BJ538" s="6">
        <f>_xlfn.IFNA(VLOOKUP(Grandview_Inventory[[#This Row],[quality]],Lookups!$H$2:$J$14,3,FALSE),0)</f>
        <v>9808</v>
      </c>
      <c r="BK538" s="6">
        <f>_xlfn.IFNA(VLOOKUP(Grandview_Inventory[[#This Row],[condition]],Lookups!$H$17:$J$24,3,FALSE),0)</f>
        <v>25780</v>
      </c>
      <c r="BL538" s="6">
        <f>Grandview_Inventory[[#This Row],[Eff_Age]]*Lookups!$B$14</f>
        <v>0</v>
      </c>
      <c r="BM538" s="6">
        <f>Grandview_Inventory[[#This Row],[living_area]]*Lookups!$B$15</f>
        <v>88081.764435999998</v>
      </c>
      <c r="BN538" s="6">
        <f>Grandview_Inventory[[#This Row],[Fin BSMT]]*Lookups!$B$16</f>
        <v>0</v>
      </c>
      <c r="BO538" s="6">
        <f>(Grandview_Inventory[[#This Row],[att_gar]]+Grandview_Inventory[[#This Row],[bltin_gar]])*Lookups!$B$17</f>
        <v>35008.174800000001</v>
      </c>
      <c r="BP538" s="6">
        <f>Grandview_Inventory[[#This Row],[Plumbing Fixtures]]*Lookups!$B$18</f>
        <v>18093.976200000001</v>
      </c>
      <c r="BQ538" s="6">
        <f>Grandview_Inventory[[#This Row],[detatched_value]]*Lookups!$B$19</f>
        <v>0</v>
      </c>
      <c r="BR538" s="6">
        <f>SUM(Grandview_Inventory[[#This Row],[Intercept]:[det_value]])*Grandview_Inventory[[#This Row],[res_pct]]</f>
        <v>332605.86543599993</v>
      </c>
      <c r="BS538" s="6">
        <f>Grandview_Inventory[[#This Row],[land_value]]</f>
        <v>49926.8031387023</v>
      </c>
      <c r="BT538" s="4">
        <f>_xlfn.IFNA(VLOOKUP(Grandview_Inventory[[#This Row],[quality]],Lookups!$A$26:$C$33,3,FALSE),1)</f>
        <v>0.94295468617355149</v>
      </c>
      <c r="BU538" s="4">
        <f>_xlfn.IFNA(VLOOKUP(Grandview_Inventory[[#This Row],[condition]],Lookups!$A$37:$C$44,3,FALSE),1)</f>
        <v>0.94347925387812148</v>
      </c>
      <c r="BV538" s="4">
        <f>IF(Grandview_Inventory[[#This Row],[bldg_style]]="",1,_xlfn.IFNA(VLOOKUP(Grandview_Inventory[[#This Row],[decade]],Lookups!$F$29:$H$43,3,FALSE),1))</f>
        <v>0.9413635517371044</v>
      </c>
      <c r="BW538" s="4">
        <f>_xlfn.IFNA(VLOOKUP(Grandview_Inventory[[#This Row],[living_area_range]],Lookups!$F$47:$H$56,3,FALSE),1)</f>
        <v>0.96135087979789358</v>
      </c>
      <c r="BX538" s="4">
        <f>AVERAGE(Grandview_Inventory[[#This Row],[qual_adj]:[size_adj]])</f>
        <v>0.94728709289666768</v>
      </c>
      <c r="BY538" s="6">
        <f>IF(Grandview_Inventory[[#This Row],[pre_res]]&lt;0,0,Grandview_Inventory[[#This Row],[pre_res]]*Grandview_Inventory[[#This Row],[overall_adj]])</f>
        <v>315073.2433492486</v>
      </c>
      <c r="BZ538" s="6">
        <f>(Grandview_Inventory[[#This Row],[sum_land]]-IF(Grandview_Inventory[[#This Row],[no_utilities]]=1,12000,0))/IF(Grandview_Inventory[[#This Row],[unbuildable]]=1,2,1)</f>
        <v>49926.8031387023</v>
      </c>
      <c r="CA53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38">
        <f>ROUND(Grandview_Inventory[[#This Row],[det_value]]*Lookups!$M$28,-2)</f>
        <v>0</v>
      </c>
      <c r="CC538">
        <f>IF(ROUND(Grandview_Inventory[[#This Row],[adj_res]]*Lookups!$M$28,-2)&lt;Grandview_Inventory[[#This Row],[min_res]],Grandview_Inventory[[#This Row],[min_res]],ROUND(Grandview_Inventory[[#This Row],[adj_res]]*Lookups!$M$28,-2))</f>
        <v>299300</v>
      </c>
      <c r="CD538">
        <f>Grandview_Inventory[[#This Row],[final_det]]+Grandview_Inventory[[#This Row],[final_res]]</f>
        <v>299300</v>
      </c>
      <c r="CE538">
        <f>Grandview_Inventory[[#This Row],[final_land]]+Grandview_Inventory[[#This Row],[final_imp]]+Grandview_Inventory[[#This Row],[crop_value]]</f>
        <v>346700</v>
      </c>
      <c r="CG538" t="str">
        <f t="shared" si="8"/>
        <v>update valuation set market_land =47400, market_bldg=299300, market_total =346700, market_mdno =401, market_date ='9/10/2023' where link_id = (select link_id from parcel where parcel_year = '2024' and parcel_id = '23092221422');</v>
      </c>
    </row>
    <row r="539" spans="1:85" x14ac:dyDescent="0.25">
      <c r="A539">
        <v>23092221428</v>
      </c>
      <c r="B539" t="s">
        <v>129</v>
      </c>
      <c r="C539">
        <v>8200</v>
      </c>
      <c r="D539" t="s">
        <v>129</v>
      </c>
      <c r="E539" t="s">
        <v>53</v>
      </c>
      <c r="F539" t="s">
        <v>53</v>
      </c>
      <c r="G539">
        <v>4</v>
      </c>
      <c r="H539" t="s">
        <v>54</v>
      </c>
      <c r="I539" t="s">
        <v>129</v>
      </c>
      <c r="J539">
        <v>32500</v>
      </c>
      <c r="K539">
        <v>0.19</v>
      </c>
      <c r="L53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39">
        <v>0</v>
      </c>
      <c r="N539">
        <v>0</v>
      </c>
      <c r="O539">
        <v>0</v>
      </c>
      <c r="P539">
        <v>13398.7528</v>
      </c>
      <c r="Q539">
        <v>63903</v>
      </c>
      <c r="R539">
        <f>(Grandview_Inventory[[#This Row],[ln_acres]]*Grandview_Inventory[[#This Row],[coeff]])+Grandview_Inventory[[#This Row],[const]]</f>
        <v>41651.273092551026</v>
      </c>
      <c r="S539" t="s">
        <v>61</v>
      </c>
      <c r="T539">
        <v>1</v>
      </c>
      <c r="U539" t="s">
        <v>65</v>
      </c>
      <c r="V539" t="s">
        <v>57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1500</v>
      </c>
      <c r="AC539">
        <v>1235</v>
      </c>
      <c r="AD539">
        <v>1235</v>
      </c>
      <c r="AE539">
        <v>0</v>
      </c>
      <c r="AF539">
        <v>0</v>
      </c>
      <c r="AG539">
        <v>0</v>
      </c>
      <c r="AH539">
        <v>0</v>
      </c>
      <c r="AI539">
        <v>409</v>
      </c>
      <c r="AJ539">
        <v>0</v>
      </c>
      <c r="AK539">
        <v>0</v>
      </c>
      <c r="AL539">
        <v>0</v>
      </c>
      <c r="AM539">
        <v>100</v>
      </c>
      <c r="AN539">
        <v>20</v>
      </c>
      <c r="AO539">
        <v>0</v>
      </c>
      <c r="AP539">
        <v>9</v>
      </c>
      <c r="AQ539">
        <v>0</v>
      </c>
      <c r="AR539">
        <v>0</v>
      </c>
      <c r="AS539" t="s">
        <v>58</v>
      </c>
      <c r="AT539">
        <v>1</v>
      </c>
      <c r="AU539" t="s">
        <v>59</v>
      </c>
      <c r="AV539" t="s">
        <v>60</v>
      </c>
      <c r="AW539">
        <v>1</v>
      </c>
      <c r="AX539">
        <v>3</v>
      </c>
      <c r="AY539">
        <v>0</v>
      </c>
      <c r="AZ539">
        <v>0</v>
      </c>
      <c r="BA539">
        <v>100</v>
      </c>
      <c r="BB539">
        <v>100</v>
      </c>
      <c r="BC539">
        <v>100</v>
      </c>
      <c r="BD539">
        <v>87</v>
      </c>
      <c r="BE539">
        <v>0.87</v>
      </c>
      <c r="BF539">
        <v>15000</v>
      </c>
      <c r="BG539">
        <v>1000</v>
      </c>
      <c r="BH539" s="6">
        <f>Grandview_Inventory[[#This Row],[land_extract]]*Lookups!$B$3</f>
        <v>48369.510983942157</v>
      </c>
      <c r="BI539" s="6">
        <f>IF(Grandview_Inventory[[#This Row],[bldg_style]]="",0,Lookups!$B$2)</f>
        <v>155833.95000000001</v>
      </c>
      <c r="BJ539" s="6">
        <f>_xlfn.IFNA(VLOOKUP(Grandview_Inventory[[#This Row],[quality]],Lookups!$H$2:$J$14,3,FALSE),0)</f>
        <v>2251</v>
      </c>
      <c r="BK539" s="6">
        <f>_xlfn.IFNA(VLOOKUP(Grandview_Inventory[[#This Row],[condition]],Lookups!$H$17:$J$24,3,FALSE),0)</f>
        <v>25780</v>
      </c>
      <c r="BL539" s="6">
        <f>Grandview_Inventory[[#This Row],[Eff_Age]]*Lookups!$B$14</f>
        <v>0</v>
      </c>
      <c r="BM539" s="6">
        <f>Grandview_Inventory[[#This Row],[living_area]]*Lookups!$B$15</f>
        <v>77040.353455000004</v>
      </c>
      <c r="BN539" s="6">
        <f>Grandview_Inventory[[#This Row],[Fin BSMT]]*Lookups!$B$16</f>
        <v>0</v>
      </c>
      <c r="BO539" s="6">
        <f>(Grandview_Inventory[[#This Row],[att_gar]]+Grandview_Inventory[[#This Row],[bltin_gar]])*Lookups!$B$17</f>
        <v>35795.858733000001</v>
      </c>
      <c r="BP539" s="6">
        <f>Grandview_Inventory[[#This Row],[Plumbing Fixtures]]*Lookups!$B$18</f>
        <v>18093.976200000001</v>
      </c>
      <c r="BQ539" s="6">
        <f>Grandview_Inventory[[#This Row],[detatched_value]]*Lookups!$B$19</f>
        <v>0</v>
      </c>
      <c r="BR539" s="6">
        <f>SUM(Grandview_Inventory[[#This Row],[Intercept]:[det_value]])*Grandview_Inventory[[#This Row],[res_pct]]</f>
        <v>273871.77039756003</v>
      </c>
      <c r="BS539" s="6">
        <f>Grandview_Inventory[[#This Row],[land_value]]</f>
        <v>48369.510983942157</v>
      </c>
      <c r="BT539" s="4">
        <f>_xlfn.IFNA(VLOOKUP(Grandview_Inventory[[#This Row],[quality]],Lookups!$A$26:$C$33,3,FALSE),1)</f>
        <v>0.98763855981004833</v>
      </c>
      <c r="BU539" s="4">
        <f>_xlfn.IFNA(VLOOKUP(Grandview_Inventory[[#This Row],[condition]],Lookups!$A$37:$C$44,3,FALSE),1)</f>
        <v>0.94347925387812148</v>
      </c>
      <c r="BV539" s="4">
        <f>IF(Grandview_Inventory[[#This Row],[bldg_style]]="",1,_xlfn.IFNA(VLOOKUP(Grandview_Inventory[[#This Row],[decade]],Lookups!$F$29:$H$43,3,FALSE),1))</f>
        <v>0.9413635517371044</v>
      </c>
      <c r="BW539" s="4">
        <f>_xlfn.IFNA(VLOOKUP(Grandview_Inventory[[#This Row],[living_area_range]],Lookups!$F$47:$H$56,3,FALSE),1)</f>
        <v>0.96135087979789358</v>
      </c>
      <c r="BX539" s="4">
        <f>AVERAGE(Grandview_Inventory[[#This Row],[qual_adj]:[size_adj]])</f>
        <v>0.95845806130579192</v>
      </c>
      <c r="BY539" s="6">
        <f>IF(Grandview_Inventory[[#This Row],[pre_res]]&lt;0,0,Grandview_Inventory[[#This Row],[pre_res]]*Grandview_Inventory[[#This Row],[overall_adj]])</f>
        <v>262494.60610163037</v>
      </c>
      <c r="BZ539" s="6">
        <f>(Grandview_Inventory[[#This Row],[sum_land]]-IF(Grandview_Inventory[[#This Row],[no_utilities]]=1,12000,0))/IF(Grandview_Inventory[[#This Row],[unbuildable]]=1,2,1)</f>
        <v>48369.510983942157</v>
      </c>
      <c r="CA53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39">
        <f>ROUND(Grandview_Inventory[[#This Row],[det_value]]*Lookups!$M$28,-2)</f>
        <v>0</v>
      </c>
      <c r="CC539">
        <f>IF(ROUND(Grandview_Inventory[[#This Row],[adj_res]]*Lookups!$M$28,-2)&lt;Grandview_Inventory[[#This Row],[min_res]],Grandview_Inventory[[#This Row],[min_res]],ROUND(Grandview_Inventory[[#This Row],[adj_res]]*Lookups!$M$28,-2))</f>
        <v>249400</v>
      </c>
      <c r="CD539">
        <f>Grandview_Inventory[[#This Row],[final_det]]+Grandview_Inventory[[#This Row],[final_res]]</f>
        <v>249400</v>
      </c>
      <c r="CE539">
        <f>Grandview_Inventory[[#This Row],[final_land]]+Grandview_Inventory[[#This Row],[final_imp]]+Grandview_Inventory[[#This Row],[crop_value]]</f>
        <v>295400</v>
      </c>
      <c r="CG539" t="str">
        <f t="shared" si="8"/>
        <v>update valuation set market_land =46000, market_bldg=249400, market_total =295400, market_mdno =401, market_date ='9/10/2023' where link_id = (select link_id from parcel where parcel_year = '2024' and parcel_id = '23092221428');</v>
      </c>
    </row>
    <row r="540" spans="1:85" x14ac:dyDescent="0.25">
      <c r="A540">
        <v>23092221430</v>
      </c>
      <c r="B540" t="s">
        <v>129</v>
      </c>
      <c r="C540">
        <v>8200</v>
      </c>
      <c r="D540" t="s">
        <v>129</v>
      </c>
      <c r="E540" t="s">
        <v>53</v>
      </c>
      <c r="F540" t="s">
        <v>53</v>
      </c>
      <c r="G540">
        <v>4</v>
      </c>
      <c r="H540" t="s">
        <v>54</v>
      </c>
      <c r="I540" t="s">
        <v>129</v>
      </c>
      <c r="J540">
        <v>32500</v>
      </c>
      <c r="K540">
        <v>0.19</v>
      </c>
      <c r="L54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40">
        <v>0</v>
      </c>
      <c r="N540">
        <v>0</v>
      </c>
      <c r="O540">
        <v>0</v>
      </c>
      <c r="P540">
        <v>13398.7528</v>
      </c>
      <c r="Q540">
        <v>63903</v>
      </c>
      <c r="R540">
        <f>(Grandview_Inventory[[#This Row],[ln_acres]]*Grandview_Inventory[[#This Row],[coeff]])+Grandview_Inventory[[#This Row],[const]]</f>
        <v>41651.273092551026</v>
      </c>
      <c r="S540" t="s">
        <v>61</v>
      </c>
      <c r="T540">
        <v>1</v>
      </c>
      <c r="U540" t="s">
        <v>65</v>
      </c>
      <c r="V540" t="s">
        <v>57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1500</v>
      </c>
      <c r="AC540">
        <v>1008</v>
      </c>
      <c r="AD540">
        <v>1008</v>
      </c>
      <c r="AE540">
        <v>0</v>
      </c>
      <c r="AF540">
        <v>0</v>
      </c>
      <c r="AG540">
        <v>0</v>
      </c>
      <c r="AH540">
        <v>0</v>
      </c>
      <c r="AI540">
        <v>400</v>
      </c>
      <c r="AJ540">
        <v>0</v>
      </c>
      <c r="AK540">
        <v>0</v>
      </c>
      <c r="AL540">
        <v>0</v>
      </c>
      <c r="AM540">
        <v>100</v>
      </c>
      <c r="AN540">
        <v>108</v>
      </c>
      <c r="AO540">
        <v>0</v>
      </c>
      <c r="AP540">
        <v>8</v>
      </c>
      <c r="AQ540">
        <v>0</v>
      </c>
      <c r="AR540">
        <v>0</v>
      </c>
      <c r="AS540" t="s">
        <v>58</v>
      </c>
      <c r="AT540">
        <v>1</v>
      </c>
      <c r="AU540" t="s">
        <v>59</v>
      </c>
      <c r="AV540" t="s">
        <v>60</v>
      </c>
      <c r="AW540">
        <v>1</v>
      </c>
      <c r="AX540">
        <v>2</v>
      </c>
      <c r="AY540">
        <v>0</v>
      </c>
      <c r="AZ540">
        <v>0</v>
      </c>
      <c r="BA540">
        <v>100</v>
      </c>
      <c r="BB540">
        <v>100</v>
      </c>
      <c r="BC540">
        <v>100</v>
      </c>
      <c r="BD540">
        <v>100</v>
      </c>
      <c r="BE540">
        <v>1</v>
      </c>
      <c r="BF540">
        <v>15000</v>
      </c>
      <c r="BG540">
        <v>1000</v>
      </c>
      <c r="BH540" s="6">
        <f>Grandview_Inventory[[#This Row],[land_extract]]*Lookups!$B$3</f>
        <v>48369.510983942157</v>
      </c>
      <c r="BI540" s="6">
        <f>IF(Grandview_Inventory[[#This Row],[bldg_style]]="",0,Lookups!$B$2)</f>
        <v>155833.95000000001</v>
      </c>
      <c r="BJ540" s="6">
        <f>_xlfn.IFNA(VLOOKUP(Grandview_Inventory[[#This Row],[quality]],Lookups!$H$2:$J$14,3,FALSE),0)</f>
        <v>2251</v>
      </c>
      <c r="BK540" s="6">
        <f>_xlfn.IFNA(VLOOKUP(Grandview_Inventory[[#This Row],[condition]],Lookups!$H$17:$J$24,3,FALSE),0)</f>
        <v>25780</v>
      </c>
      <c r="BL540" s="6">
        <f>Grandview_Inventory[[#This Row],[Eff_Age]]*Lookups!$B$14</f>
        <v>0</v>
      </c>
      <c r="BM540" s="6">
        <f>Grandview_Inventory[[#This Row],[living_area]]*Lookups!$B$15</f>
        <v>62879.899824</v>
      </c>
      <c r="BN540" s="6">
        <f>Grandview_Inventory[[#This Row],[Fin BSMT]]*Lookups!$B$16</f>
        <v>0</v>
      </c>
      <c r="BO540" s="6">
        <f>(Grandview_Inventory[[#This Row],[att_gar]]+Grandview_Inventory[[#This Row],[bltin_gar]])*Lookups!$B$17</f>
        <v>35008.174800000001</v>
      </c>
      <c r="BP540" s="6">
        <f>Grandview_Inventory[[#This Row],[Plumbing Fixtures]]*Lookups!$B$18</f>
        <v>16083.5344</v>
      </c>
      <c r="BQ540" s="6">
        <f>Grandview_Inventory[[#This Row],[detatched_value]]*Lookups!$B$19</f>
        <v>0</v>
      </c>
      <c r="BR540" s="6">
        <f>SUM(Grandview_Inventory[[#This Row],[Intercept]:[det_value]])*Grandview_Inventory[[#This Row],[res_pct]]</f>
        <v>297836.55902400002</v>
      </c>
      <c r="BS540" s="6">
        <f>Grandview_Inventory[[#This Row],[land_value]]</f>
        <v>48369.510983942157</v>
      </c>
      <c r="BT540" s="4">
        <f>_xlfn.IFNA(VLOOKUP(Grandview_Inventory[[#This Row],[quality]],Lookups!$A$26:$C$33,3,FALSE),1)</f>
        <v>0.98763855981004833</v>
      </c>
      <c r="BU540" s="4">
        <f>_xlfn.IFNA(VLOOKUP(Grandview_Inventory[[#This Row],[condition]],Lookups!$A$37:$C$44,3,FALSE),1)</f>
        <v>0.94347925387812148</v>
      </c>
      <c r="BV540" s="4">
        <f>IF(Grandview_Inventory[[#This Row],[bldg_style]]="",1,_xlfn.IFNA(VLOOKUP(Grandview_Inventory[[#This Row],[decade]],Lookups!$F$29:$H$43,3,FALSE),1))</f>
        <v>0.9413635517371044</v>
      </c>
      <c r="BW540" s="4">
        <f>_xlfn.IFNA(VLOOKUP(Grandview_Inventory[[#This Row],[living_area_range]],Lookups!$F$47:$H$56,3,FALSE),1)</f>
        <v>0.96135087979789358</v>
      </c>
      <c r="BX540" s="4">
        <f>AVERAGE(Grandview_Inventory[[#This Row],[qual_adj]:[size_adj]])</f>
        <v>0.95845806130579192</v>
      </c>
      <c r="BY540" s="6">
        <f>IF(Grandview_Inventory[[#This Row],[pre_res]]&lt;0,0,Grandview_Inventory[[#This Row],[pre_res]]*Grandview_Inventory[[#This Row],[overall_adj]])</f>
        <v>285463.85094813112</v>
      </c>
      <c r="BZ540" s="6">
        <f>(Grandview_Inventory[[#This Row],[sum_land]]-IF(Grandview_Inventory[[#This Row],[no_utilities]]=1,12000,0))/IF(Grandview_Inventory[[#This Row],[unbuildable]]=1,2,1)</f>
        <v>48369.510983942157</v>
      </c>
      <c r="CA54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40">
        <f>ROUND(Grandview_Inventory[[#This Row],[det_value]]*Lookups!$M$28,-2)</f>
        <v>0</v>
      </c>
      <c r="CC540">
        <f>IF(ROUND(Grandview_Inventory[[#This Row],[adj_res]]*Lookups!$M$28,-2)&lt;Grandview_Inventory[[#This Row],[min_res]],Grandview_Inventory[[#This Row],[min_res]],ROUND(Grandview_Inventory[[#This Row],[adj_res]]*Lookups!$M$28,-2))</f>
        <v>271200</v>
      </c>
      <c r="CD540">
        <f>Grandview_Inventory[[#This Row],[final_det]]+Grandview_Inventory[[#This Row],[final_res]]</f>
        <v>271200</v>
      </c>
      <c r="CE540">
        <f>Grandview_Inventory[[#This Row],[final_land]]+Grandview_Inventory[[#This Row],[final_imp]]+Grandview_Inventory[[#This Row],[crop_value]]</f>
        <v>317200</v>
      </c>
      <c r="CG540" t="str">
        <f t="shared" si="8"/>
        <v>update valuation set market_land =46000, market_bldg=271200, market_total =317200, market_mdno =401, market_date ='9/10/2023' where link_id = (select link_id from parcel where parcel_year = '2024' and parcel_id = '23092221430');</v>
      </c>
    </row>
    <row r="541" spans="1:85" x14ac:dyDescent="0.25">
      <c r="A541">
        <v>23092221432</v>
      </c>
      <c r="B541" t="s">
        <v>129</v>
      </c>
      <c r="C541">
        <v>7504</v>
      </c>
      <c r="D541" t="s">
        <v>129</v>
      </c>
      <c r="E541" t="s">
        <v>53</v>
      </c>
      <c r="F541" t="s">
        <v>53</v>
      </c>
      <c r="G541">
        <v>4</v>
      </c>
      <c r="H541" t="s">
        <v>54</v>
      </c>
      <c r="I541" t="s">
        <v>129</v>
      </c>
      <c r="J541">
        <v>32300</v>
      </c>
      <c r="K541">
        <v>0.17</v>
      </c>
      <c r="L54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541">
        <v>0</v>
      </c>
      <c r="N541">
        <v>0</v>
      </c>
      <c r="O541">
        <v>0</v>
      </c>
      <c r="P541">
        <v>13398.7528</v>
      </c>
      <c r="Q541">
        <v>63903</v>
      </c>
      <c r="R541">
        <f>(Grandview_Inventory[[#This Row],[ln_acres]]*Grandview_Inventory[[#This Row],[coeff]])+Grandview_Inventory[[#This Row],[const]]</f>
        <v>40160.988302686128</v>
      </c>
      <c r="S541" t="s">
        <v>61</v>
      </c>
      <c r="T541">
        <v>1</v>
      </c>
      <c r="U541" t="s">
        <v>62</v>
      </c>
      <c r="V541" t="s">
        <v>57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1500</v>
      </c>
      <c r="AC541">
        <v>1152</v>
      </c>
      <c r="AD541">
        <v>1152</v>
      </c>
      <c r="AE541">
        <v>0</v>
      </c>
      <c r="AF541">
        <v>0</v>
      </c>
      <c r="AG541">
        <v>0</v>
      </c>
      <c r="AH541">
        <v>0</v>
      </c>
      <c r="AI541">
        <v>400</v>
      </c>
      <c r="AJ541">
        <v>0</v>
      </c>
      <c r="AK541">
        <v>0</v>
      </c>
      <c r="AL541">
        <v>0</v>
      </c>
      <c r="AM541">
        <v>100</v>
      </c>
      <c r="AN541">
        <v>32</v>
      </c>
      <c r="AO541">
        <v>0</v>
      </c>
      <c r="AP541">
        <v>8</v>
      </c>
      <c r="AQ541">
        <v>0</v>
      </c>
      <c r="AR541">
        <v>0</v>
      </c>
      <c r="AS541" t="s">
        <v>58</v>
      </c>
      <c r="AT541">
        <v>1</v>
      </c>
      <c r="AU541" t="s">
        <v>59</v>
      </c>
      <c r="AV541" t="s">
        <v>60</v>
      </c>
      <c r="AW541">
        <v>1</v>
      </c>
      <c r="AX541">
        <v>3</v>
      </c>
      <c r="AY541">
        <v>0</v>
      </c>
      <c r="AZ541">
        <v>0</v>
      </c>
      <c r="BA541">
        <v>100</v>
      </c>
      <c r="BB541">
        <v>100</v>
      </c>
      <c r="BC541">
        <v>100</v>
      </c>
      <c r="BD541">
        <v>46</v>
      </c>
      <c r="BE541">
        <v>0.46</v>
      </c>
      <c r="BF541">
        <v>15000</v>
      </c>
      <c r="BG541">
        <v>1000</v>
      </c>
      <c r="BH541" s="6">
        <f>Grandview_Inventory[[#This Row],[land_extract]]*Lookups!$B$3</f>
        <v>46638.847281240982</v>
      </c>
      <c r="BI541" s="6">
        <f>IF(Grandview_Inventory[[#This Row],[bldg_style]]="",0,Lookups!$B$2)</f>
        <v>155833.95000000001</v>
      </c>
      <c r="BJ541" s="6">
        <f>_xlfn.IFNA(VLOOKUP(Grandview_Inventory[[#This Row],[quality]],Lookups!$H$2:$J$14,3,FALSE),0)</f>
        <v>9808</v>
      </c>
      <c r="BK541" s="6">
        <f>_xlfn.IFNA(VLOOKUP(Grandview_Inventory[[#This Row],[condition]],Lookups!$H$17:$J$24,3,FALSE),0)</f>
        <v>25780</v>
      </c>
      <c r="BL541" s="6">
        <f>Grandview_Inventory[[#This Row],[Eff_Age]]*Lookups!$B$14</f>
        <v>0</v>
      </c>
      <c r="BM541" s="6">
        <f>Grandview_Inventory[[#This Row],[living_area]]*Lookups!$B$15</f>
        <v>71862.742656000002</v>
      </c>
      <c r="BN541" s="6">
        <f>Grandview_Inventory[[#This Row],[Fin BSMT]]*Lookups!$B$16</f>
        <v>0</v>
      </c>
      <c r="BO541" s="6">
        <f>(Grandview_Inventory[[#This Row],[att_gar]]+Grandview_Inventory[[#This Row],[bltin_gar]])*Lookups!$B$17</f>
        <v>35008.174800000001</v>
      </c>
      <c r="BP541" s="6">
        <f>Grandview_Inventory[[#This Row],[Plumbing Fixtures]]*Lookups!$B$18</f>
        <v>16083.5344</v>
      </c>
      <c r="BQ541" s="6">
        <f>Grandview_Inventory[[#This Row],[detatched_value]]*Lookups!$B$19</f>
        <v>0</v>
      </c>
      <c r="BR541" s="6">
        <f>SUM(Grandview_Inventory[[#This Row],[Intercept]:[det_value]])*Grandview_Inventory[[#This Row],[res_pct]]</f>
        <v>144613.14485376002</v>
      </c>
      <c r="BS541" s="6">
        <f>Grandview_Inventory[[#This Row],[land_value]]</f>
        <v>46638.847281240982</v>
      </c>
      <c r="BT541" s="4">
        <f>_xlfn.IFNA(VLOOKUP(Grandview_Inventory[[#This Row],[quality]],Lookups!$A$26:$C$33,3,FALSE),1)</f>
        <v>0.94295468617355149</v>
      </c>
      <c r="BU541" s="4">
        <f>_xlfn.IFNA(VLOOKUP(Grandview_Inventory[[#This Row],[condition]],Lookups!$A$37:$C$44,3,FALSE),1)</f>
        <v>0.94347925387812148</v>
      </c>
      <c r="BV541" s="4">
        <f>IF(Grandview_Inventory[[#This Row],[bldg_style]]="",1,_xlfn.IFNA(VLOOKUP(Grandview_Inventory[[#This Row],[decade]],Lookups!$F$29:$H$43,3,FALSE),1))</f>
        <v>0.9413635517371044</v>
      </c>
      <c r="BW541" s="4">
        <f>_xlfn.IFNA(VLOOKUP(Grandview_Inventory[[#This Row],[living_area_range]],Lookups!$F$47:$H$56,3,FALSE),1)</f>
        <v>0.96135087979789358</v>
      </c>
      <c r="BX541" s="4">
        <f>AVERAGE(Grandview_Inventory[[#This Row],[qual_adj]:[size_adj]])</f>
        <v>0.94728709289666768</v>
      </c>
      <c r="BY541" s="6">
        <f>IF(Grandview_Inventory[[#This Row],[pre_res]]&lt;0,0,Grandview_Inventory[[#This Row],[pre_res]]*Grandview_Inventory[[#This Row],[overall_adj]])</f>
        <v>136990.16558316303</v>
      </c>
      <c r="BZ541" s="6">
        <f>(Grandview_Inventory[[#This Row],[sum_land]]-IF(Grandview_Inventory[[#This Row],[no_utilities]]=1,12000,0))/IF(Grandview_Inventory[[#This Row],[unbuildable]]=1,2,1)</f>
        <v>46638.847281240982</v>
      </c>
      <c r="CA54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541">
        <f>ROUND(Grandview_Inventory[[#This Row],[det_value]]*Lookups!$M$28,-2)</f>
        <v>0</v>
      </c>
      <c r="CC541">
        <f>IF(ROUND(Grandview_Inventory[[#This Row],[adj_res]]*Lookups!$M$28,-2)&lt;Grandview_Inventory[[#This Row],[min_res]],Grandview_Inventory[[#This Row],[min_res]],ROUND(Grandview_Inventory[[#This Row],[adj_res]]*Lookups!$M$28,-2))</f>
        <v>130100</v>
      </c>
      <c r="CD541">
        <f>Grandview_Inventory[[#This Row],[final_det]]+Grandview_Inventory[[#This Row],[final_res]]</f>
        <v>130100</v>
      </c>
      <c r="CE541">
        <f>Grandview_Inventory[[#This Row],[final_land]]+Grandview_Inventory[[#This Row],[final_imp]]+Grandview_Inventory[[#This Row],[crop_value]]</f>
        <v>174400</v>
      </c>
      <c r="CG541" t="str">
        <f t="shared" si="8"/>
        <v>update valuation set market_land =44300, market_bldg=130100, market_total =174400, market_mdno =401, market_date ='9/10/2023' where link_id = (select link_id from parcel where parcel_year = '2024' and parcel_id = '23092221432');</v>
      </c>
    </row>
    <row r="542" spans="1:85" x14ac:dyDescent="0.25">
      <c r="A542">
        <v>23092221437</v>
      </c>
      <c r="B542" t="s">
        <v>129</v>
      </c>
      <c r="C542">
        <v>8200</v>
      </c>
      <c r="D542" t="s">
        <v>129</v>
      </c>
      <c r="E542" t="s">
        <v>53</v>
      </c>
      <c r="F542" t="s">
        <v>53</v>
      </c>
      <c r="G542">
        <v>4</v>
      </c>
      <c r="H542" t="s">
        <v>54</v>
      </c>
      <c r="I542" t="s">
        <v>129</v>
      </c>
      <c r="J542">
        <v>32500</v>
      </c>
      <c r="K542">
        <v>0.19</v>
      </c>
      <c r="L54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42">
        <v>0</v>
      </c>
      <c r="N542">
        <v>0</v>
      </c>
      <c r="O542">
        <v>0</v>
      </c>
      <c r="P542">
        <v>13398.7528</v>
      </c>
      <c r="Q542">
        <v>63903</v>
      </c>
      <c r="R542">
        <f>(Grandview_Inventory[[#This Row],[ln_acres]]*Grandview_Inventory[[#This Row],[coeff]])+Grandview_Inventory[[#This Row],[const]]</f>
        <v>41651.273092551026</v>
      </c>
      <c r="S542" t="s">
        <v>61</v>
      </c>
      <c r="T542">
        <v>1</v>
      </c>
      <c r="U542" t="s">
        <v>62</v>
      </c>
      <c r="V542" t="s">
        <v>57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1500</v>
      </c>
      <c r="AC542">
        <v>1390</v>
      </c>
      <c r="AD542">
        <v>1390</v>
      </c>
      <c r="AE542">
        <v>0</v>
      </c>
      <c r="AF542">
        <v>0</v>
      </c>
      <c r="AG542">
        <v>0</v>
      </c>
      <c r="AH542">
        <v>0</v>
      </c>
      <c r="AI542">
        <v>400</v>
      </c>
      <c r="AJ542">
        <v>0</v>
      </c>
      <c r="AK542">
        <v>0</v>
      </c>
      <c r="AL542">
        <v>0</v>
      </c>
      <c r="AM542">
        <v>110</v>
      </c>
      <c r="AN542">
        <v>24</v>
      </c>
      <c r="AO542">
        <v>0</v>
      </c>
      <c r="AP542">
        <v>9</v>
      </c>
      <c r="AQ542">
        <v>0</v>
      </c>
      <c r="AR542">
        <v>0</v>
      </c>
      <c r="AS542" t="s">
        <v>58</v>
      </c>
      <c r="AT542">
        <v>1</v>
      </c>
      <c r="AU542" t="s">
        <v>59</v>
      </c>
      <c r="AV542" t="s">
        <v>60</v>
      </c>
      <c r="AW542">
        <v>1</v>
      </c>
      <c r="AX542">
        <v>3</v>
      </c>
      <c r="AY542">
        <v>0</v>
      </c>
      <c r="AZ542">
        <v>0</v>
      </c>
      <c r="BA542">
        <v>100</v>
      </c>
      <c r="BB542">
        <v>100</v>
      </c>
      <c r="BC542">
        <v>100</v>
      </c>
      <c r="BD542">
        <v>66</v>
      </c>
      <c r="BE542">
        <v>0.66</v>
      </c>
      <c r="BF542">
        <v>15000</v>
      </c>
      <c r="BG542">
        <v>1000</v>
      </c>
      <c r="BH542" s="6">
        <f>Grandview_Inventory[[#This Row],[land_extract]]*Lookups!$B$3</f>
        <v>48369.510983942157</v>
      </c>
      <c r="BI542" s="6">
        <f>IF(Grandview_Inventory[[#This Row],[bldg_style]]="",0,Lookups!$B$2)</f>
        <v>155833.95000000001</v>
      </c>
      <c r="BJ542" s="6">
        <f>_xlfn.IFNA(VLOOKUP(Grandview_Inventory[[#This Row],[quality]],Lookups!$H$2:$J$14,3,FALSE),0)</f>
        <v>9808</v>
      </c>
      <c r="BK542" s="6">
        <f>_xlfn.IFNA(VLOOKUP(Grandview_Inventory[[#This Row],[condition]],Lookups!$H$17:$J$24,3,FALSE),0)</f>
        <v>25780</v>
      </c>
      <c r="BL542" s="6">
        <f>Grandview_Inventory[[#This Row],[Eff_Age]]*Lookups!$B$14</f>
        <v>0</v>
      </c>
      <c r="BM542" s="6">
        <f>Grandview_Inventory[[#This Row],[living_area]]*Lookups!$B$15</f>
        <v>86709.385670000003</v>
      </c>
      <c r="BN542" s="6">
        <f>Grandview_Inventory[[#This Row],[Fin BSMT]]*Lookups!$B$16</f>
        <v>0</v>
      </c>
      <c r="BO542" s="6">
        <f>(Grandview_Inventory[[#This Row],[att_gar]]+Grandview_Inventory[[#This Row],[bltin_gar]])*Lookups!$B$17</f>
        <v>35008.174800000001</v>
      </c>
      <c r="BP542" s="6">
        <f>Grandview_Inventory[[#This Row],[Plumbing Fixtures]]*Lookups!$B$18</f>
        <v>18093.976200000001</v>
      </c>
      <c r="BQ542" s="6">
        <f>Grandview_Inventory[[#This Row],[detatched_value]]*Lookups!$B$19</f>
        <v>0</v>
      </c>
      <c r="BR542" s="6">
        <f>SUM(Grandview_Inventory[[#This Row],[Intercept]:[det_value]])*Grandview_Inventory[[#This Row],[res_pct]]</f>
        <v>218614.10120219999</v>
      </c>
      <c r="BS542" s="6">
        <f>Grandview_Inventory[[#This Row],[land_value]]</f>
        <v>48369.510983942157</v>
      </c>
      <c r="BT542" s="4">
        <f>_xlfn.IFNA(VLOOKUP(Grandview_Inventory[[#This Row],[quality]],Lookups!$A$26:$C$33,3,FALSE),1)</f>
        <v>0.94295468617355149</v>
      </c>
      <c r="BU542" s="4">
        <f>_xlfn.IFNA(VLOOKUP(Grandview_Inventory[[#This Row],[condition]],Lookups!$A$37:$C$44,3,FALSE),1)</f>
        <v>0.94347925387812148</v>
      </c>
      <c r="BV542" s="4">
        <f>IF(Grandview_Inventory[[#This Row],[bldg_style]]="",1,_xlfn.IFNA(VLOOKUP(Grandview_Inventory[[#This Row],[decade]],Lookups!$F$29:$H$43,3,FALSE),1))</f>
        <v>0.9413635517371044</v>
      </c>
      <c r="BW542" s="4">
        <f>_xlfn.IFNA(VLOOKUP(Grandview_Inventory[[#This Row],[living_area_range]],Lookups!$F$47:$H$56,3,FALSE),1)</f>
        <v>0.96135087979789358</v>
      </c>
      <c r="BX542" s="4">
        <f>AVERAGE(Grandview_Inventory[[#This Row],[qual_adj]:[size_adj]])</f>
        <v>0.94728709289666768</v>
      </c>
      <c r="BY542" s="6">
        <f>IF(Grandview_Inventory[[#This Row],[pre_res]]&lt;0,0,Grandview_Inventory[[#This Row],[pre_res]]*Grandview_Inventory[[#This Row],[overall_adj]])</f>
        <v>207090.31639404994</v>
      </c>
      <c r="BZ542" s="6">
        <f>(Grandview_Inventory[[#This Row],[sum_land]]-IF(Grandview_Inventory[[#This Row],[no_utilities]]=1,12000,0))/IF(Grandview_Inventory[[#This Row],[unbuildable]]=1,2,1)</f>
        <v>48369.510983942157</v>
      </c>
      <c r="CA54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42">
        <f>ROUND(Grandview_Inventory[[#This Row],[det_value]]*Lookups!$M$28,-2)</f>
        <v>0</v>
      </c>
      <c r="CC542">
        <f>IF(ROUND(Grandview_Inventory[[#This Row],[adj_res]]*Lookups!$M$28,-2)&lt;Grandview_Inventory[[#This Row],[min_res]],Grandview_Inventory[[#This Row],[min_res]],ROUND(Grandview_Inventory[[#This Row],[adj_res]]*Lookups!$M$28,-2))</f>
        <v>196700</v>
      </c>
      <c r="CD542">
        <f>Grandview_Inventory[[#This Row],[final_det]]+Grandview_Inventory[[#This Row],[final_res]]</f>
        <v>196700</v>
      </c>
      <c r="CE542">
        <f>Grandview_Inventory[[#This Row],[final_land]]+Grandview_Inventory[[#This Row],[final_imp]]+Grandview_Inventory[[#This Row],[crop_value]]</f>
        <v>242700</v>
      </c>
      <c r="CG542" t="str">
        <f t="shared" si="8"/>
        <v>update valuation set market_land =46000, market_bldg=196700, market_total =242700, market_mdno =401, market_date ='9/10/2023' where link_id = (select link_id from parcel where parcel_year = '2024' and parcel_id = '23092221437');</v>
      </c>
    </row>
    <row r="543" spans="1:85" x14ac:dyDescent="0.25">
      <c r="A543">
        <v>23092221438</v>
      </c>
      <c r="B543" t="s">
        <v>129</v>
      </c>
      <c r="C543">
        <v>8200</v>
      </c>
      <c r="D543" t="s">
        <v>129</v>
      </c>
      <c r="E543" t="s">
        <v>53</v>
      </c>
      <c r="F543" t="s">
        <v>53</v>
      </c>
      <c r="G543">
        <v>4</v>
      </c>
      <c r="H543" t="s">
        <v>54</v>
      </c>
      <c r="I543" t="s">
        <v>129</v>
      </c>
      <c r="J543">
        <v>32500</v>
      </c>
      <c r="K543">
        <v>0.19</v>
      </c>
      <c r="L54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43">
        <v>0</v>
      </c>
      <c r="N543">
        <v>0</v>
      </c>
      <c r="O543">
        <v>0</v>
      </c>
      <c r="P543">
        <v>13398.7528</v>
      </c>
      <c r="Q543">
        <v>63903</v>
      </c>
      <c r="R543">
        <f>(Grandview_Inventory[[#This Row],[ln_acres]]*Grandview_Inventory[[#This Row],[coeff]])+Grandview_Inventory[[#This Row],[const]]</f>
        <v>41651.273092551026</v>
      </c>
      <c r="S543" t="s">
        <v>61</v>
      </c>
      <c r="T543">
        <v>1</v>
      </c>
      <c r="U543" t="s">
        <v>62</v>
      </c>
      <c r="V543" t="s">
        <v>57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1500</v>
      </c>
      <c r="AC543">
        <v>1235</v>
      </c>
      <c r="AD543">
        <v>1235</v>
      </c>
      <c r="AE543">
        <v>0</v>
      </c>
      <c r="AF543">
        <v>0</v>
      </c>
      <c r="AG543">
        <v>0</v>
      </c>
      <c r="AH543">
        <v>0</v>
      </c>
      <c r="AI543">
        <v>409</v>
      </c>
      <c r="AJ543">
        <v>0</v>
      </c>
      <c r="AK543">
        <v>0</v>
      </c>
      <c r="AL543">
        <v>0</v>
      </c>
      <c r="AM543">
        <v>100</v>
      </c>
      <c r="AN543">
        <v>20</v>
      </c>
      <c r="AO543">
        <v>0</v>
      </c>
      <c r="AP543">
        <v>9</v>
      </c>
      <c r="AQ543">
        <v>0</v>
      </c>
      <c r="AR543">
        <v>0</v>
      </c>
      <c r="AS543" t="s">
        <v>58</v>
      </c>
      <c r="AT543">
        <v>1</v>
      </c>
      <c r="AU543" t="s">
        <v>59</v>
      </c>
      <c r="AV543" t="s">
        <v>60</v>
      </c>
      <c r="AW543">
        <v>1</v>
      </c>
      <c r="AX543">
        <v>3</v>
      </c>
      <c r="AY543">
        <v>0</v>
      </c>
      <c r="AZ543">
        <v>0</v>
      </c>
      <c r="BA543">
        <v>100</v>
      </c>
      <c r="BB543">
        <v>100</v>
      </c>
      <c r="BC543">
        <v>100</v>
      </c>
      <c r="BD543">
        <v>100</v>
      </c>
      <c r="BE543">
        <v>1</v>
      </c>
      <c r="BF543">
        <v>15000</v>
      </c>
      <c r="BG543">
        <v>1000</v>
      </c>
      <c r="BH543" s="6">
        <f>Grandview_Inventory[[#This Row],[land_extract]]*Lookups!$B$3</f>
        <v>48369.510983942157</v>
      </c>
      <c r="BI543" s="6">
        <f>IF(Grandview_Inventory[[#This Row],[bldg_style]]="",0,Lookups!$B$2)</f>
        <v>155833.95000000001</v>
      </c>
      <c r="BJ543" s="6">
        <f>_xlfn.IFNA(VLOOKUP(Grandview_Inventory[[#This Row],[quality]],Lookups!$H$2:$J$14,3,FALSE),0)</f>
        <v>9808</v>
      </c>
      <c r="BK543" s="6">
        <f>_xlfn.IFNA(VLOOKUP(Grandview_Inventory[[#This Row],[condition]],Lookups!$H$17:$J$24,3,FALSE),0)</f>
        <v>25780</v>
      </c>
      <c r="BL543" s="6">
        <f>Grandview_Inventory[[#This Row],[Eff_Age]]*Lookups!$B$14</f>
        <v>0</v>
      </c>
      <c r="BM543" s="6">
        <f>Grandview_Inventory[[#This Row],[living_area]]*Lookups!$B$15</f>
        <v>77040.353455000004</v>
      </c>
      <c r="BN543" s="6">
        <f>Grandview_Inventory[[#This Row],[Fin BSMT]]*Lookups!$B$16</f>
        <v>0</v>
      </c>
      <c r="BO543" s="6">
        <f>(Grandview_Inventory[[#This Row],[att_gar]]+Grandview_Inventory[[#This Row],[bltin_gar]])*Lookups!$B$17</f>
        <v>35795.858733000001</v>
      </c>
      <c r="BP543" s="6">
        <f>Grandview_Inventory[[#This Row],[Plumbing Fixtures]]*Lookups!$B$18</f>
        <v>18093.976200000001</v>
      </c>
      <c r="BQ543" s="6">
        <f>Grandview_Inventory[[#This Row],[detatched_value]]*Lookups!$B$19</f>
        <v>0</v>
      </c>
      <c r="BR543" s="6">
        <f>SUM(Grandview_Inventory[[#This Row],[Intercept]:[det_value]])*Grandview_Inventory[[#This Row],[res_pct]]</f>
        <v>322352.13838800002</v>
      </c>
      <c r="BS543" s="6">
        <f>Grandview_Inventory[[#This Row],[land_value]]</f>
        <v>48369.510983942157</v>
      </c>
      <c r="BT543" s="4">
        <f>_xlfn.IFNA(VLOOKUP(Grandview_Inventory[[#This Row],[quality]],Lookups!$A$26:$C$33,3,FALSE),1)</f>
        <v>0.94295468617355149</v>
      </c>
      <c r="BU543" s="4">
        <f>_xlfn.IFNA(VLOOKUP(Grandview_Inventory[[#This Row],[condition]],Lookups!$A$37:$C$44,3,FALSE),1)</f>
        <v>0.94347925387812148</v>
      </c>
      <c r="BV543" s="4">
        <f>IF(Grandview_Inventory[[#This Row],[bldg_style]]="",1,_xlfn.IFNA(VLOOKUP(Grandview_Inventory[[#This Row],[decade]],Lookups!$F$29:$H$43,3,FALSE),1))</f>
        <v>0.9413635517371044</v>
      </c>
      <c r="BW543" s="4">
        <f>_xlfn.IFNA(VLOOKUP(Grandview_Inventory[[#This Row],[living_area_range]],Lookups!$F$47:$H$56,3,FALSE),1)</f>
        <v>0.96135087979789358</v>
      </c>
      <c r="BX543" s="4">
        <f>AVERAGE(Grandview_Inventory[[#This Row],[qual_adj]:[size_adj]])</f>
        <v>0.94728709289666768</v>
      </c>
      <c r="BY543" s="6">
        <f>IF(Grandview_Inventory[[#This Row],[pre_res]]&lt;0,0,Grandview_Inventory[[#This Row],[pre_res]]*Grandview_Inventory[[#This Row],[overall_adj]])</f>
        <v>305360.02006259287</v>
      </c>
      <c r="BZ543" s="6">
        <f>(Grandview_Inventory[[#This Row],[sum_land]]-IF(Grandview_Inventory[[#This Row],[no_utilities]]=1,12000,0))/IF(Grandview_Inventory[[#This Row],[unbuildable]]=1,2,1)</f>
        <v>48369.510983942157</v>
      </c>
      <c r="CA54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43">
        <f>ROUND(Grandview_Inventory[[#This Row],[det_value]]*Lookups!$M$28,-2)</f>
        <v>0</v>
      </c>
      <c r="CC543">
        <f>IF(ROUND(Grandview_Inventory[[#This Row],[adj_res]]*Lookups!$M$28,-2)&lt;Grandview_Inventory[[#This Row],[min_res]],Grandview_Inventory[[#This Row],[min_res]],ROUND(Grandview_Inventory[[#This Row],[adj_res]]*Lookups!$M$28,-2))</f>
        <v>290100</v>
      </c>
      <c r="CD543">
        <f>Grandview_Inventory[[#This Row],[final_det]]+Grandview_Inventory[[#This Row],[final_res]]</f>
        <v>290100</v>
      </c>
      <c r="CE543">
        <f>Grandview_Inventory[[#This Row],[final_land]]+Grandview_Inventory[[#This Row],[final_imp]]+Grandview_Inventory[[#This Row],[crop_value]]</f>
        <v>336100</v>
      </c>
      <c r="CG543" t="str">
        <f t="shared" si="8"/>
        <v>update valuation set market_land =46000, market_bldg=290100, market_total =336100, market_mdno =401, market_date ='9/10/2023' where link_id = (select link_id from parcel where parcel_year = '2024' and parcel_id = '23092221438');</v>
      </c>
    </row>
    <row r="544" spans="1:85" x14ac:dyDescent="0.25">
      <c r="A544">
        <v>23092221439</v>
      </c>
      <c r="B544" t="s">
        <v>129</v>
      </c>
      <c r="C544">
        <v>8200</v>
      </c>
      <c r="D544" t="s">
        <v>129</v>
      </c>
      <c r="E544" t="s">
        <v>53</v>
      </c>
      <c r="F544" t="s">
        <v>53</v>
      </c>
      <c r="G544">
        <v>4</v>
      </c>
      <c r="H544" t="s">
        <v>54</v>
      </c>
      <c r="I544" t="s">
        <v>129</v>
      </c>
      <c r="J544">
        <v>32500</v>
      </c>
      <c r="K544">
        <v>0.19</v>
      </c>
      <c r="L54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44">
        <v>0</v>
      </c>
      <c r="N544">
        <v>0</v>
      </c>
      <c r="O544">
        <v>0</v>
      </c>
      <c r="P544">
        <v>13398.7528</v>
      </c>
      <c r="Q544">
        <v>63903</v>
      </c>
      <c r="R544">
        <f>(Grandview_Inventory[[#This Row],[ln_acres]]*Grandview_Inventory[[#This Row],[coeff]])+Grandview_Inventory[[#This Row],[const]]</f>
        <v>41651.273092551026</v>
      </c>
      <c r="S544" t="s">
        <v>61</v>
      </c>
      <c r="T544">
        <v>1</v>
      </c>
      <c r="U544" t="s">
        <v>65</v>
      </c>
      <c r="V544" t="s">
        <v>57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1500</v>
      </c>
      <c r="AC544">
        <v>1008</v>
      </c>
      <c r="AD544">
        <v>1008</v>
      </c>
      <c r="AE544">
        <v>0</v>
      </c>
      <c r="AF544">
        <v>0</v>
      </c>
      <c r="AG544">
        <v>0</v>
      </c>
      <c r="AH544">
        <v>0</v>
      </c>
      <c r="AI544">
        <v>400</v>
      </c>
      <c r="AJ544">
        <v>0</v>
      </c>
      <c r="AK544">
        <v>0</v>
      </c>
      <c r="AL544">
        <v>0</v>
      </c>
      <c r="AM544">
        <v>100</v>
      </c>
      <c r="AN544">
        <v>108</v>
      </c>
      <c r="AO544">
        <v>0</v>
      </c>
      <c r="AP544">
        <v>8</v>
      </c>
      <c r="AQ544">
        <v>0</v>
      </c>
      <c r="AR544">
        <v>0</v>
      </c>
      <c r="AS544" t="s">
        <v>58</v>
      </c>
      <c r="AT544">
        <v>1</v>
      </c>
      <c r="AU544" t="s">
        <v>59</v>
      </c>
      <c r="AV544" t="s">
        <v>60</v>
      </c>
      <c r="AW544">
        <v>1</v>
      </c>
      <c r="AX544">
        <v>2</v>
      </c>
      <c r="AY544">
        <v>0</v>
      </c>
      <c r="AZ544">
        <v>0</v>
      </c>
      <c r="BA544">
        <v>100</v>
      </c>
      <c r="BB544">
        <v>100</v>
      </c>
      <c r="BC544">
        <v>100</v>
      </c>
      <c r="BD544">
        <v>100</v>
      </c>
      <c r="BE544">
        <v>1</v>
      </c>
      <c r="BF544">
        <v>15000</v>
      </c>
      <c r="BG544">
        <v>1000</v>
      </c>
      <c r="BH544" s="6">
        <f>Grandview_Inventory[[#This Row],[land_extract]]*Lookups!$B$3</f>
        <v>48369.510983942157</v>
      </c>
      <c r="BI544" s="6">
        <f>IF(Grandview_Inventory[[#This Row],[bldg_style]]="",0,Lookups!$B$2)</f>
        <v>155833.95000000001</v>
      </c>
      <c r="BJ544" s="6">
        <f>_xlfn.IFNA(VLOOKUP(Grandview_Inventory[[#This Row],[quality]],Lookups!$H$2:$J$14,3,FALSE),0)</f>
        <v>2251</v>
      </c>
      <c r="BK544" s="6">
        <f>_xlfn.IFNA(VLOOKUP(Grandview_Inventory[[#This Row],[condition]],Lookups!$H$17:$J$24,3,FALSE),0)</f>
        <v>25780</v>
      </c>
      <c r="BL544" s="6">
        <f>Grandview_Inventory[[#This Row],[Eff_Age]]*Lookups!$B$14</f>
        <v>0</v>
      </c>
      <c r="BM544" s="6">
        <f>Grandview_Inventory[[#This Row],[living_area]]*Lookups!$B$15</f>
        <v>62879.899824</v>
      </c>
      <c r="BN544" s="6">
        <f>Grandview_Inventory[[#This Row],[Fin BSMT]]*Lookups!$B$16</f>
        <v>0</v>
      </c>
      <c r="BO544" s="6">
        <f>(Grandview_Inventory[[#This Row],[att_gar]]+Grandview_Inventory[[#This Row],[bltin_gar]])*Lookups!$B$17</f>
        <v>35008.174800000001</v>
      </c>
      <c r="BP544" s="6">
        <f>Grandview_Inventory[[#This Row],[Plumbing Fixtures]]*Lookups!$B$18</f>
        <v>16083.5344</v>
      </c>
      <c r="BQ544" s="6">
        <f>Grandview_Inventory[[#This Row],[detatched_value]]*Lookups!$B$19</f>
        <v>0</v>
      </c>
      <c r="BR544" s="6">
        <f>SUM(Grandview_Inventory[[#This Row],[Intercept]:[det_value]])*Grandview_Inventory[[#This Row],[res_pct]]</f>
        <v>297836.55902400002</v>
      </c>
      <c r="BS544" s="6">
        <f>Grandview_Inventory[[#This Row],[land_value]]</f>
        <v>48369.510983942157</v>
      </c>
      <c r="BT544" s="4">
        <f>_xlfn.IFNA(VLOOKUP(Grandview_Inventory[[#This Row],[quality]],Lookups!$A$26:$C$33,3,FALSE),1)</f>
        <v>0.98763855981004833</v>
      </c>
      <c r="BU544" s="4">
        <f>_xlfn.IFNA(VLOOKUP(Grandview_Inventory[[#This Row],[condition]],Lookups!$A$37:$C$44,3,FALSE),1)</f>
        <v>0.94347925387812148</v>
      </c>
      <c r="BV544" s="4">
        <f>IF(Grandview_Inventory[[#This Row],[bldg_style]]="",1,_xlfn.IFNA(VLOOKUP(Grandview_Inventory[[#This Row],[decade]],Lookups!$F$29:$H$43,3,FALSE),1))</f>
        <v>0.9413635517371044</v>
      </c>
      <c r="BW544" s="4">
        <f>_xlfn.IFNA(VLOOKUP(Grandview_Inventory[[#This Row],[living_area_range]],Lookups!$F$47:$H$56,3,FALSE),1)</f>
        <v>0.96135087979789358</v>
      </c>
      <c r="BX544" s="4">
        <f>AVERAGE(Grandview_Inventory[[#This Row],[qual_adj]:[size_adj]])</f>
        <v>0.95845806130579192</v>
      </c>
      <c r="BY544" s="6">
        <f>IF(Grandview_Inventory[[#This Row],[pre_res]]&lt;0,0,Grandview_Inventory[[#This Row],[pre_res]]*Grandview_Inventory[[#This Row],[overall_adj]])</f>
        <v>285463.85094813112</v>
      </c>
      <c r="BZ544" s="6">
        <f>(Grandview_Inventory[[#This Row],[sum_land]]-IF(Grandview_Inventory[[#This Row],[no_utilities]]=1,12000,0))/IF(Grandview_Inventory[[#This Row],[unbuildable]]=1,2,1)</f>
        <v>48369.510983942157</v>
      </c>
      <c r="CA54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44">
        <f>ROUND(Grandview_Inventory[[#This Row],[det_value]]*Lookups!$M$28,-2)</f>
        <v>0</v>
      </c>
      <c r="CC544">
        <f>IF(ROUND(Grandview_Inventory[[#This Row],[adj_res]]*Lookups!$M$28,-2)&lt;Grandview_Inventory[[#This Row],[min_res]],Grandview_Inventory[[#This Row],[min_res]],ROUND(Grandview_Inventory[[#This Row],[adj_res]]*Lookups!$M$28,-2))</f>
        <v>271200</v>
      </c>
      <c r="CD544">
        <f>Grandview_Inventory[[#This Row],[final_det]]+Grandview_Inventory[[#This Row],[final_res]]</f>
        <v>271200</v>
      </c>
      <c r="CE544">
        <f>Grandview_Inventory[[#This Row],[final_land]]+Grandview_Inventory[[#This Row],[final_imp]]+Grandview_Inventory[[#This Row],[crop_value]]</f>
        <v>317200</v>
      </c>
      <c r="CG544" t="str">
        <f t="shared" si="8"/>
        <v>update valuation set market_land =46000, market_bldg=271200, market_total =317200, market_mdno =401, market_date ='9/10/2023' where link_id = (select link_id from parcel where parcel_year = '2024' and parcel_id = '23092221439');</v>
      </c>
    </row>
    <row r="545" spans="1:85" x14ac:dyDescent="0.25">
      <c r="A545">
        <v>23092221440</v>
      </c>
      <c r="B545" t="s">
        <v>129</v>
      </c>
      <c r="C545">
        <v>8200</v>
      </c>
      <c r="D545" t="s">
        <v>129</v>
      </c>
      <c r="E545" t="s">
        <v>53</v>
      </c>
      <c r="F545" t="s">
        <v>53</v>
      </c>
      <c r="G545">
        <v>4</v>
      </c>
      <c r="H545" t="s">
        <v>54</v>
      </c>
      <c r="I545" t="s">
        <v>129</v>
      </c>
      <c r="J545">
        <v>32500</v>
      </c>
      <c r="K545">
        <v>0.19</v>
      </c>
      <c r="L54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45">
        <v>0</v>
      </c>
      <c r="N545">
        <v>0</v>
      </c>
      <c r="O545">
        <v>0</v>
      </c>
      <c r="P545">
        <v>13398.7528</v>
      </c>
      <c r="Q545">
        <v>63903</v>
      </c>
      <c r="R545">
        <f>(Grandview_Inventory[[#This Row],[ln_acres]]*Grandview_Inventory[[#This Row],[coeff]])+Grandview_Inventory[[#This Row],[const]]</f>
        <v>41651.273092551026</v>
      </c>
      <c r="S545" t="s">
        <v>61</v>
      </c>
      <c r="T545">
        <v>1</v>
      </c>
      <c r="U545" t="s">
        <v>62</v>
      </c>
      <c r="V545" t="s">
        <v>57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1500</v>
      </c>
      <c r="AC545">
        <v>1152</v>
      </c>
      <c r="AD545">
        <v>1152</v>
      </c>
      <c r="AE545">
        <v>0</v>
      </c>
      <c r="AF545">
        <v>0</v>
      </c>
      <c r="AG545">
        <v>0</v>
      </c>
      <c r="AH545">
        <v>0</v>
      </c>
      <c r="AI545">
        <v>400</v>
      </c>
      <c r="AJ545">
        <v>0</v>
      </c>
      <c r="AK545">
        <v>0</v>
      </c>
      <c r="AL545">
        <v>0</v>
      </c>
      <c r="AM545">
        <v>100</v>
      </c>
      <c r="AN545">
        <v>32</v>
      </c>
      <c r="AO545">
        <v>0</v>
      </c>
      <c r="AP545">
        <v>8</v>
      </c>
      <c r="AQ545">
        <v>0</v>
      </c>
      <c r="AR545">
        <v>0</v>
      </c>
      <c r="AS545" t="s">
        <v>58</v>
      </c>
      <c r="AT545">
        <v>1</v>
      </c>
      <c r="AU545" t="s">
        <v>59</v>
      </c>
      <c r="AV545" t="s">
        <v>60</v>
      </c>
      <c r="AW545">
        <v>1</v>
      </c>
      <c r="AX545">
        <v>3</v>
      </c>
      <c r="AY545">
        <v>0</v>
      </c>
      <c r="AZ545">
        <v>0</v>
      </c>
      <c r="BA545">
        <v>100</v>
      </c>
      <c r="BB545">
        <v>100</v>
      </c>
      <c r="BC545">
        <v>100</v>
      </c>
      <c r="BD545">
        <v>100</v>
      </c>
      <c r="BE545">
        <v>1</v>
      </c>
      <c r="BF545">
        <v>15000</v>
      </c>
      <c r="BG545">
        <v>1000</v>
      </c>
      <c r="BH545" s="6">
        <f>Grandview_Inventory[[#This Row],[land_extract]]*Lookups!$B$3</f>
        <v>48369.510983942157</v>
      </c>
      <c r="BI545" s="6">
        <f>IF(Grandview_Inventory[[#This Row],[bldg_style]]="",0,Lookups!$B$2)</f>
        <v>155833.95000000001</v>
      </c>
      <c r="BJ545" s="6">
        <f>_xlfn.IFNA(VLOOKUP(Grandview_Inventory[[#This Row],[quality]],Lookups!$H$2:$J$14,3,FALSE),0)</f>
        <v>9808</v>
      </c>
      <c r="BK545" s="6">
        <f>_xlfn.IFNA(VLOOKUP(Grandview_Inventory[[#This Row],[condition]],Lookups!$H$17:$J$24,3,FALSE),0)</f>
        <v>25780</v>
      </c>
      <c r="BL545" s="6">
        <f>Grandview_Inventory[[#This Row],[Eff_Age]]*Lookups!$B$14</f>
        <v>0</v>
      </c>
      <c r="BM545" s="6">
        <f>Grandview_Inventory[[#This Row],[living_area]]*Lookups!$B$15</f>
        <v>71862.742656000002</v>
      </c>
      <c r="BN545" s="6">
        <f>Grandview_Inventory[[#This Row],[Fin BSMT]]*Lookups!$B$16</f>
        <v>0</v>
      </c>
      <c r="BO545" s="6">
        <f>(Grandview_Inventory[[#This Row],[att_gar]]+Grandview_Inventory[[#This Row],[bltin_gar]])*Lookups!$B$17</f>
        <v>35008.174800000001</v>
      </c>
      <c r="BP545" s="6">
        <f>Grandview_Inventory[[#This Row],[Plumbing Fixtures]]*Lookups!$B$18</f>
        <v>16083.5344</v>
      </c>
      <c r="BQ545" s="6">
        <f>Grandview_Inventory[[#This Row],[detatched_value]]*Lookups!$B$19</f>
        <v>0</v>
      </c>
      <c r="BR545" s="6">
        <f>SUM(Grandview_Inventory[[#This Row],[Intercept]:[det_value]])*Grandview_Inventory[[#This Row],[res_pct]]</f>
        <v>314376.40185600001</v>
      </c>
      <c r="BS545" s="6">
        <f>Grandview_Inventory[[#This Row],[land_value]]</f>
        <v>48369.510983942157</v>
      </c>
      <c r="BT545" s="4">
        <f>_xlfn.IFNA(VLOOKUP(Grandview_Inventory[[#This Row],[quality]],Lookups!$A$26:$C$33,3,FALSE),1)</f>
        <v>0.94295468617355149</v>
      </c>
      <c r="BU545" s="4">
        <f>_xlfn.IFNA(VLOOKUP(Grandview_Inventory[[#This Row],[condition]],Lookups!$A$37:$C$44,3,FALSE),1)</f>
        <v>0.94347925387812148</v>
      </c>
      <c r="BV545" s="4">
        <f>IF(Grandview_Inventory[[#This Row],[bldg_style]]="",1,_xlfn.IFNA(VLOOKUP(Grandview_Inventory[[#This Row],[decade]],Lookups!$F$29:$H$43,3,FALSE),1))</f>
        <v>0.9413635517371044</v>
      </c>
      <c r="BW545" s="4">
        <f>_xlfn.IFNA(VLOOKUP(Grandview_Inventory[[#This Row],[living_area_range]],Lookups!$F$47:$H$56,3,FALSE),1)</f>
        <v>0.96135087979789358</v>
      </c>
      <c r="BX545" s="4">
        <f>AVERAGE(Grandview_Inventory[[#This Row],[qual_adj]:[size_adj]])</f>
        <v>0.94728709289666768</v>
      </c>
      <c r="BY545" s="6">
        <f>IF(Grandview_Inventory[[#This Row],[pre_res]]&lt;0,0,Grandview_Inventory[[#This Row],[pre_res]]*Grandview_Inventory[[#This Row],[overall_adj]])</f>
        <v>297804.70778948482</v>
      </c>
      <c r="BZ545" s="6">
        <f>(Grandview_Inventory[[#This Row],[sum_land]]-IF(Grandview_Inventory[[#This Row],[no_utilities]]=1,12000,0))/IF(Grandview_Inventory[[#This Row],[unbuildable]]=1,2,1)</f>
        <v>48369.510983942157</v>
      </c>
      <c r="CA54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45">
        <f>ROUND(Grandview_Inventory[[#This Row],[det_value]]*Lookups!$M$28,-2)</f>
        <v>0</v>
      </c>
      <c r="CC545">
        <f>IF(ROUND(Grandview_Inventory[[#This Row],[adj_res]]*Lookups!$M$28,-2)&lt;Grandview_Inventory[[#This Row],[min_res]],Grandview_Inventory[[#This Row],[min_res]],ROUND(Grandview_Inventory[[#This Row],[adj_res]]*Lookups!$M$28,-2))</f>
        <v>282900</v>
      </c>
      <c r="CD545">
        <f>Grandview_Inventory[[#This Row],[final_det]]+Grandview_Inventory[[#This Row],[final_res]]</f>
        <v>282900</v>
      </c>
      <c r="CE545">
        <f>Grandview_Inventory[[#This Row],[final_land]]+Grandview_Inventory[[#This Row],[final_imp]]+Grandview_Inventory[[#This Row],[crop_value]]</f>
        <v>328900</v>
      </c>
      <c r="CG545" t="str">
        <f t="shared" si="8"/>
        <v>update valuation set market_land =46000, market_bldg=282900, market_total =328900, market_mdno =401, market_date ='9/10/2023' where link_id = (select link_id from parcel where parcel_year = '2024' and parcel_id = '23092221440');</v>
      </c>
    </row>
    <row r="546" spans="1:85" x14ac:dyDescent="0.25">
      <c r="A546">
        <v>23092221441</v>
      </c>
      <c r="B546" t="s">
        <v>129</v>
      </c>
      <c r="C546">
        <v>8066</v>
      </c>
      <c r="D546" t="s">
        <v>129</v>
      </c>
      <c r="E546" t="s">
        <v>53</v>
      </c>
      <c r="F546" t="s">
        <v>53</v>
      </c>
      <c r="G546">
        <v>4</v>
      </c>
      <c r="H546" t="s">
        <v>54</v>
      </c>
      <c r="I546" t="s">
        <v>129</v>
      </c>
      <c r="J546">
        <v>32500</v>
      </c>
      <c r="K546">
        <v>0.19</v>
      </c>
      <c r="L54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46">
        <v>0</v>
      </c>
      <c r="N546">
        <v>0</v>
      </c>
      <c r="O546">
        <v>0</v>
      </c>
      <c r="P546">
        <v>13398.7528</v>
      </c>
      <c r="Q546">
        <v>63903</v>
      </c>
      <c r="R546">
        <f>(Grandview_Inventory[[#This Row],[ln_acres]]*Grandview_Inventory[[#This Row],[coeff]])+Grandview_Inventory[[#This Row],[const]]</f>
        <v>41651.273092551026</v>
      </c>
      <c r="S546" t="s">
        <v>61</v>
      </c>
      <c r="T546">
        <v>1</v>
      </c>
      <c r="U546" t="s">
        <v>62</v>
      </c>
      <c r="V546" t="s">
        <v>57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1500</v>
      </c>
      <c r="AC546">
        <v>1412</v>
      </c>
      <c r="AD546">
        <v>1412</v>
      </c>
      <c r="AE546">
        <v>0</v>
      </c>
      <c r="AF546">
        <v>0</v>
      </c>
      <c r="AG546">
        <v>0</v>
      </c>
      <c r="AH546">
        <v>0</v>
      </c>
      <c r="AI546">
        <v>400</v>
      </c>
      <c r="AJ546">
        <v>0</v>
      </c>
      <c r="AK546">
        <v>0</v>
      </c>
      <c r="AL546">
        <v>0</v>
      </c>
      <c r="AM546">
        <v>100</v>
      </c>
      <c r="AN546">
        <v>24</v>
      </c>
      <c r="AO546">
        <v>0</v>
      </c>
      <c r="AP546">
        <v>9</v>
      </c>
      <c r="AQ546">
        <v>0</v>
      </c>
      <c r="AR546">
        <v>0</v>
      </c>
      <c r="AS546" t="s">
        <v>58</v>
      </c>
      <c r="AT546">
        <v>1</v>
      </c>
      <c r="AU546" t="s">
        <v>59</v>
      </c>
      <c r="AV546" t="s">
        <v>60</v>
      </c>
      <c r="AW546">
        <v>1</v>
      </c>
      <c r="AX546">
        <v>3</v>
      </c>
      <c r="AY546">
        <v>0</v>
      </c>
      <c r="AZ546">
        <v>0</v>
      </c>
      <c r="BA546">
        <v>100</v>
      </c>
      <c r="BB546">
        <v>100</v>
      </c>
      <c r="BC546">
        <v>100</v>
      </c>
      <c r="BD546">
        <v>100</v>
      </c>
      <c r="BE546">
        <v>1</v>
      </c>
      <c r="BF546">
        <v>15000</v>
      </c>
      <c r="BG546">
        <v>1000</v>
      </c>
      <c r="BH546" s="6">
        <f>Grandview_Inventory[[#This Row],[land_extract]]*Lookups!$B$3</f>
        <v>48369.510983942157</v>
      </c>
      <c r="BI546" s="6">
        <f>IF(Grandview_Inventory[[#This Row],[bldg_style]]="",0,Lookups!$B$2)</f>
        <v>155833.95000000001</v>
      </c>
      <c r="BJ546" s="6">
        <f>_xlfn.IFNA(VLOOKUP(Grandview_Inventory[[#This Row],[quality]],Lookups!$H$2:$J$14,3,FALSE),0)</f>
        <v>9808</v>
      </c>
      <c r="BK546" s="6">
        <f>_xlfn.IFNA(VLOOKUP(Grandview_Inventory[[#This Row],[condition]],Lookups!$H$17:$J$24,3,FALSE),0)</f>
        <v>25780</v>
      </c>
      <c r="BL546" s="6">
        <f>Grandview_Inventory[[#This Row],[Eff_Age]]*Lookups!$B$14</f>
        <v>0</v>
      </c>
      <c r="BM546" s="6">
        <f>Grandview_Inventory[[#This Row],[living_area]]*Lookups!$B$15</f>
        <v>88081.764435999998</v>
      </c>
      <c r="BN546" s="6">
        <f>Grandview_Inventory[[#This Row],[Fin BSMT]]*Lookups!$B$16</f>
        <v>0</v>
      </c>
      <c r="BO546" s="6">
        <f>(Grandview_Inventory[[#This Row],[att_gar]]+Grandview_Inventory[[#This Row],[bltin_gar]])*Lookups!$B$17</f>
        <v>35008.174800000001</v>
      </c>
      <c r="BP546" s="6">
        <f>Grandview_Inventory[[#This Row],[Plumbing Fixtures]]*Lookups!$B$18</f>
        <v>18093.976200000001</v>
      </c>
      <c r="BQ546" s="6">
        <f>Grandview_Inventory[[#This Row],[detatched_value]]*Lookups!$B$19</f>
        <v>0</v>
      </c>
      <c r="BR546" s="6">
        <f>SUM(Grandview_Inventory[[#This Row],[Intercept]:[det_value]])*Grandview_Inventory[[#This Row],[res_pct]]</f>
        <v>332605.86543599993</v>
      </c>
      <c r="BS546" s="6">
        <f>Grandview_Inventory[[#This Row],[land_value]]</f>
        <v>48369.510983942157</v>
      </c>
      <c r="BT546" s="4">
        <f>_xlfn.IFNA(VLOOKUP(Grandview_Inventory[[#This Row],[quality]],Lookups!$A$26:$C$33,3,FALSE),1)</f>
        <v>0.94295468617355149</v>
      </c>
      <c r="BU546" s="4">
        <f>_xlfn.IFNA(VLOOKUP(Grandview_Inventory[[#This Row],[condition]],Lookups!$A$37:$C$44,3,FALSE),1)</f>
        <v>0.94347925387812148</v>
      </c>
      <c r="BV546" s="4">
        <f>IF(Grandview_Inventory[[#This Row],[bldg_style]]="",1,_xlfn.IFNA(VLOOKUP(Grandview_Inventory[[#This Row],[decade]],Lookups!$F$29:$H$43,3,FALSE),1))</f>
        <v>0.9413635517371044</v>
      </c>
      <c r="BW546" s="4">
        <f>_xlfn.IFNA(VLOOKUP(Grandview_Inventory[[#This Row],[living_area_range]],Lookups!$F$47:$H$56,3,FALSE),1)</f>
        <v>0.96135087979789358</v>
      </c>
      <c r="BX546" s="4">
        <f>AVERAGE(Grandview_Inventory[[#This Row],[qual_adj]:[size_adj]])</f>
        <v>0.94728709289666768</v>
      </c>
      <c r="BY546" s="6">
        <f>IF(Grandview_Inventory[[#This Row],[pre_res]]&lt;0,0,Grandview_Inventory[[#This Row],[pre_res]]*Grandview_Inventory[[#This Row],[overall_adj]])</f>
        <v>315073.2433492486</v>
      </c>
      <c r="BZ546" s="6">
        <f>(Grandview_Inventory[[#This Row],[sum_land]]-IF(Grandview_Inventory[[#This Row],[no_utilities]]=1,12000,0))/IF(Grandview_Inventory[[#This Row],[unbuildable]]=1,2,1)</f>
        <v>48369.510983942157</v>
      </c>
      <c r="CA54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46">
        <f>ROUND(Grandview_Inventory[[#This Row],[det_value]]*Lookups!$M$28,-2)</f>
        <v>0</v>
      </c>
      <c r="CC546">
        <f>IF(ROUND(Grandview_Inventory[[#This Row],[adj_res]]*Lookups!$M$28,-2)&lt;Grandview_Inventory[[#This Row],[min_res]],Grandview_Inventory[[#This Row],[min_res]],ROUND(Grandview_Inventory[[#This Row],[adj_res]]*Lookups!$M$28,-2))</f>
        <v>299300</v>
      </c>
      <c r="CD546">
        <f>Grandview_Inventory[[#This Row],[final_det]]+Grandview_Inventory[[#This Row],[final_res]]</f>
        <v>299300</v>
      </c>
      <c r="CE546">
        <f>Grandview_Inventory[[#This Row],[final_land]]+Grandview_Inventory[[#This Row],[final_imp]]+Grandview_Inventory[[#This Row],[crop_value]]</f>
        <v>345300</v>
      </c>
      <c r="CG546" t="str">
        <f t="shared" si="8"/>
        <v>update valuation set market_land =46000, market_bldg=299300, market_total =345300, market_mdno =401, market_date ='9/10/2023' where link_id = (select link_id from parcel where parcel_year = '2024' and parcel_id = '23092221441');</v>
      </c>
    </row>
    <row r="547" spans="1:85" x14ac:dyDescent="0.25">
      <c r="A547">
        <v>23092221443</v>
      </c>
      <c r="B547" t="s">
        <v>129</v>
      </c>
      <c r="C547">
        <v>9540</v>
      </c>
      <c r="D547" t="s">
        <v>129</v>
      </c>
      <c r="E547" t="s">
        <v>53</v>
      </c>
      <c r="F547" t="s">
        <v>53</v>
      </c>
      <c r="G547">
        <v>4</v>
      </c>
      <c r="H547" t="s">
        <v>54</v>
      </c>
      <c r="I547" t="s">
        <v>129</v>
      </c>
      <c r="J547">
        <v>32800</v>
      </c>
      <c r="K547">
        <v>0.22</v>
      </c>
      <c r="L54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47">
        <v>0</v>
      </c>
      <c r="N547">
        <v>0</v>
      </c>
      <c r="O547">
        <v>0</v>
      </c>
      <c r="P547">
        <v>13398.7528</v>
      </c>
      <c r="Q547">
        <v>63903</v>
      </c>
      <c r="R547">
        <f>(Grandview_Inventory[[#This Row],[ln_acres]]*Grandview_Inventory[[#This Row],[coeff]])+Grandview_Inventory[[#This Row],[const]]</f>
        <v>43615.576802869145</v>
      </c>
      <c r="S547" t="s">
        <v>61</v>
      </c>
      <c r="T547">
        <v>1</v>
      </c>
      <c r="U547" t="s">
        <v>64</v>
      </c>
      <c r="V547" t="s">
        <v>57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2000</v>
      </c>
      <c r="AC547">
        <v>1816</v>
      </c>
      <c r="AD547">
        <v>1816</v>
      </c>
      <c r="AE547">
        <v>0</v>
      </c>
      <c r="AF547">
        <v>0</v>
      </c>
      <c r="AG547">
        <v>0</v>
      </c>
      <c r="AH547">
        <v>0</v>
      </c>
      <c r="AI547">
        <v>500</v>
      </c>
      <c r="AJ547">
        <v>0</v>
      </c>
      <c r="AK547">
        <v>0</v>
      </c>
      <c r="AL547">
        <v>0</v>
      </c>
      <c r="AM547">
        <v>100</v>
      </c>
      <c r="AN547">
        <v>30</v>
      </c>
      <c r="AO547">
        <v>0</v>
      </c>
      <c r="AP547">
        <v>10</v>
      </c>
      <c r="AQ547">
        <v>0</v>
      </c>
      <c r="AR547">
        <v>0</v>
      </c>
      <c r="AS547" t="s">
        <v>58</v>
      </c>
      <c r="AT547">
        <v>1</v>
      </c>
      <c r="AU547" t="s">
        <v>59</v>
      </c>
      <c r="AV547" t="s">
        <v>60</v>
      </c>
      <c r="AW547">
        <v>1</v>
      </c>
      <c r="AX547">
        <v>3</v>
      </c>
      <c r="AY547">
        <v>0</v>
      </c>
      <c r="AZ547">
        <v>0</v>
      </c>
      <c r="BA547">
        <v>100</v>
      </c>
      <c r="BB547">
        <v>100</v>
      </c>
      <c r="BC547">
        <v>100</v>
      </c>
      <c r="BD547">
        <v>66</v>
      </c>
      <c r="BE547">
        <v>0.66</v>
      </c>
      <c r="BF547">
        <v>15000</v>
      </c>
      <c r="BG547">
        <v>1000</v>
      </c>
      <c r="BH547" s="6">
        <f>Grandview_Inventory[[#This Row],[land_extract]]*Lookups!$B$3</f>
        <v>50650.651579114572</v>
      </c>
      <c r="BI547" s="6">
        <f>IF(Grandview_Inventory[[#This Row],[bldg_style]]="",0,Lookups!$B$2)</f>
        <v>155833.95000000001</v>
      </c>
      <c r="BJ547" s="6">
        <f>_xlfn.IFNA(VLOOKUP(Grandview_Inventory[[#This Row],[quality]],Lookups!$H$2:$J$14,3,FALSE),0)</f>
        <v>20768</v>
      </c>
      <c r="BK547" s="6">
        <f>_xlfn.IFNA(VLOOKUP(Grandview_Inventory[[#This Row],[condition]],Lookups!$H$17:$J$24,3,FALSE),0)</f>
        <v>25780</v>
      </c>
      <c r="BL547" s="6">
        <f>Grandview_Inventory[[#This Row],[Eff_Age]]*Lookups!$B$14</f>
        <v>0</v>
      </c>
      <c r="BM547" s="6">
        <f>Grandview_Inventory[[#This Row],[living_area]]*Lookups!$B$15</f>
        <v>113283.629048</v>
      </c>
      <c r="BN547" s="6">
        <f>Grandview_Inventory[[#This Row],[Fin BSMT]]*Lookups!$B$16</f>
        <v>0</v>
      </c>
      <c r="BO547" s="6">
        <f>(Grandview_Inventory[[#This Row],[att_gar]]+Grandview_Inventory[[#This Row],[bltin_gar]])*Lookups!$B$17</f>
        <v>43760.218500000003</v>
      </c>
      <c r="BP547" s="6">
        <f>Grandview_Inventory[[#This Row],[Plumbing Fixtures]]*Lookups!$B$18</f>
        <v>20104.418000000001</v>
      </c>
      <c r="BQ547" s="6">
        <f>Grandview_Inventory[[#This Row],[detatched_value]]*Lookups!$B$19</f>
        <v>0</v>
      </c>
      <c r="BR547" s="6">
        <f>SUM(Grandview_Inventory[[#This Row],[Intercept]:[det_value]])*Grandview_Inventory[[#This Row],[res_pct]]</f>
        <v>250489.94226168006</v>
      </c>
      <c r="BS547" s="6">
        <f>Grandview_Inventory[[#This Row],[land_value]]</f>
        <v>50650.651579114572</v>
      </c>
      <c r="BT547" s="4">
        <f>_xlfn.IFNA(VLOOKUP(Grandview_Inventory[[#This Row],[quality]],Lookups!$A$26:$C$33,3,FALSE),1)</f>
        <v>0.94960540378902636</v>
      </c>
      <c r="BU547" s="4">
        <f>_xlfn.IFNA(VLOOKUP(Grandview_Inventory[[#This Row],[condition]],Lookups!$A$37:$C$44,3,FALSE),1)</f>
        <v>0.94347925387812148</v>
      </c>
      <c r="BV547" s="4">
        <f>IF(Grandview_Inventory[[#This Row],[bldg_style]]="",1,_xlfn.IFNA(VLOOKUP(Grandview_Inventory[[#This Row],[decade]],Lookups!$F$29:$H$43,3,FALSE),1))</f>
        <v>0.9413635517371044</v>
      </c>
      <c r="BW547" s="4">
        <f>_xlfn.IFNA(VLOOKUP(Grandview_Inventory[[#This Row],[living_area_range]],Lookups!$F$47:$H$56,3,FALSE),1)</f>
        <v>0.96120133463014379</v>
      </c>
      <c r="BX547" s="4">
        <f>AVERAGE(Grandview_Inventory[[#This Row],[qual_adj]:[size_adj]])</f>
        <v>0.94891238600859906</v>
      </c>
      <c r="BY547" s="6">
        <f>IF(Grandview_Inventory[[#This Row],[pre_res]]&lt;0,0,Grandview_Inventory[[#This Row],[pre_res]]*Grandview_Inventory[[#This Row],[overall_adj]])</f>
        <v>237693.00878268704</v>
      </c>
      <c r="BZ547" s="6">
        <f>(Grandview_Inventory[[#This Row],[sum_land]]-IF(Grandview_Inventory[[#This Row],[no_utilities]]=1,12000,0))/IF(Grandview_Inventory[[#This Row],[unbuildable]]=1,2,1)</f>
        <v>50650.651579114572</v>
      </c>
      <c r="CA54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47">
        <f>ROUND(Grandview_Inventory[[#This Row],[det_value]]*Lookups!$M$28,-2)</f>
        <v>0</v>
      </c>
      <c r="CC547">
        <f>IF(ROUND(Grandview_Inventory[[#This Row],[adj_res]]*Lookups!$M$28,-2)&lt;Grandview_Inventory[[#This Row],[min_res]],Grandview_Inventory[[#This Row],[min_res]],ROUND(Grandview_Inventory[[#This Row],[adj_res]]*Lookups!$M$28,-2))</f>
        <v>225800</v>
      </c>
      <c r="CD547">
        <f>Grandview_Inventory[[#This Row],[final_det]]+Grandview_Inventory[[#This Row],[final_res]]</f>
        <v>225800</v>
      </c>
      <c r="CE547">
        <f>Grandview_Inventory[[#This Row],[final_land]]+Grandview_Inventory[[#This Row],[final_imp]]+Grandview_Inventory[[#This Row],[crop_value]]</f>
        <v>273900</v>
      </c>
      <c r="CG547" t="str">
        <f t="shared" si="8"/>
        <v>update valuation set market_land =48100, market_bldg=225800, market_total =273900, market_mdno =401, market_date ='9/10/2023' where link_id = (select link_id from parcel where parcel_year = '2024' and parcel_id = '23092221443');</v>
      </c>
    </row>
    <row r="548" spans="1:85" x14ac:dyDescent="0.25">
      <c r="A548">
        <v>23092221444</v>
      </c>
      <c r="B548" t="s">
        <v>129</v>
      </c>
      <c r="C548">
        <v>9567</v>
      </c>
      <c r="D548" t="s">
        <v>129</v>
      </c>
      <c r="E548" t="s">
        <v>53</v>
      </c>
      <c r="F548" t="s">
        <v>53</v>
      </c>
      <c r="G548">
        <v>4</v>
      </c>
      <c r="H548" t="s">
        <v>54</v>
      </c>
      <c r="I548" t="s">
        <v>129</v>
      </c>
      <c r="J548">
        <v>32800</v>
      </c>
      <c r="K548">
        <v>0.22</v>
      </c>
      <c r="L548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48">
        <v>0</v>
      </c>
      <c r="N548">
        <v>0</v>
      </c>
      <c r="O548">
        <v>0</v>
      </c>
      <c r="P548">
        <v>13398.7528</v>
      </c>
      <c r="Q548">
        <v>63903</v>
      </c>
      <c r="R548">
        <f>(Grandview_Inventory[[#This Row],[ln_acres]]*Grandview_Inventory[[#This Row],[coeff]])+Grandview_Inventory[[#This Row],[const]]</f>
        <v>43615.576802869145</v>
      </c>
      <c r="S548" t="s">
        <v>61</v>
      </c>
      <c r="T548">
        <v>1</v>
      </c>
      <c r="U548" t="s">
        <v>62</v>
      </c>
      <c r="V548" t="s">
        <v>57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1500</v>
      </c>
      <c r="AC548">
        <v>1412</v>
      </c>
      <c r="AD548">
        <v>1412</v>
      </c>
      <c r="AE548">
        <v>0</v>
      </c>
      <c r="AF548">
        <v>0</v>
      </c>
      <c r="AG548">
        <v>0</v>
      </c>
      <c r="AH548">
        <v>0</v>
      </c>
      <c r="AI548">
        <v>400</v>
      </c>
      <c r="AJ548">
        <v>0</v>
      </c>
      <c r="AK548">
        <v>0</v>
      </c>
      <c r="AL548">
        <v>0</v>
      </c>
      <c r="AM548">
        <v>100</v>
      </c>
      <c r="AN548">
        <v>24</v>
      </c>
      <c r="AO548">
        <v>0</v>
      </c>
      <c r="AP548">
        <v>9</v>
      </c>
      <c r="AQ548">
        <v>0</v>
      </c>
      <c r="AR548">
        <v>0</v>
      </c>
      <c r="AS548" t="s">
        <v>58</v>
      </c>
      <c r="AT548">
        <v>1</v>
      </c>
      <c r="AU548" t="s">
        <v>59</v>
      </c>
      <c r="AV548" t="s">
        <v>60</v>
      </c>
      <c r="AW548">
        <v>1</v>
      </c>
      <c r="AX548">
        <v>3</v>
      </c>
      <c r="AY548">
        <v>0</v>
      </c>
      <c r="AZ548">
        <v>0</v>
      </c>
      <c r="BA548">
        <v>100</v>
      </c>
      <c r="BB548">
        <v>100</v>
      </c>
      <c r="BC548">
        <v>100</v>
      </c>
      <c r="BD548">
        <v>20</v>
      </c>
      <c r="BE548">
        <v>0.2</v>
      </c>
      <c r="BF548">
        <v>15000</v>
      </c>
      <c r="BG548">
        <v>1000</v>
      </c>
      <c r="BH548" s="6">
        <f>Grandview_Inventory[[#This Row],[land_extract]]*Lookups!$B$3</f>
        <v>50650.651579114572</v>
      </c>
      <c r="BI548" s="6">
        <f>IF(Grandview_Inventory[[#This Row],[bldg_style]]="",0,Lookups!$B$2)</f>
        <v>155833.95000000001</v>
      </c>
      <c r="BJ548" s="6">
        <f>_xlfn.IFNA(VLOOKUP(Grandview_Inventory[[#This Row],[quality]],Lookups!$H$2:$J$14,3,FALSE),0)</f>
        <v>9808</v>
      </c>
      <c r="BK548" s="6">
        <f>_xlfn.IFNA(VLOOKUP(Grandview_Inventory[[#This Row],[condition]],Lookups!$H$17:$J$24,3,FALSE),0)</f>
        <v>25780</v>
      </c>
      <c r="BL548" s="6">
        <f>Grandview_Inventory[[#This Row],[Eff_Age]]*Lookups!$B$14</f>
        <v>0</v>
      </c>
      <c r="BM548" s="6">
        <f>Grandview_Inventory[[#This Row],[living_area]]*Lookups!$B$15</f>
        <v>88081.764435999998</v>
      </c>
      <c r="BN548" s="6">
        <f>Grandview_Inventory[[#This Row],[Fin BSMT]]*Lookups!$B$16</f>
        <v>0</v>
      </c>
      <c r="BO548" s="6">
        <f>(Grandview_Inventory[[#This Row],[att_gar]]+Grandview_Inventory[[#This Row],[bltin_gar]])*Lookups!$B$17</f>
        <v>35008.174800000001</v>
      </c>
      <c r="BP548" s="6">
        <f>Grandview_Inventory[[#This Row],[Plumbing Fixtures]]*Lookups!$B$18</f>
        <v>18093.976200000001</v>
      </c>
      <c r="BQ548" s="6">
        <f>Grandview_Inventory[[#This Row],[detatched_value]]*Lookups!$B$19</f>
        <v>0</v>
      </c>
      <c r="BR548" s="6">
        <f>SUM(Grandview_Inventory[[#This Row],[Intercept]:[det_value]])*Grandview_Inventory[[#This Row],[res_pct]]</f>
        <v>66521.17308719999</v>
      </c>
      <c r="BS548" s="6">
        <f>Grandview_Inventory[[#This Row],[land_value]]</f>
        <v>50650.651579114572</v>
      </c>
      <c r="BT548" s="4">
        <f>_xlfn.IFNA(VLOOKUP(Grandview_Inventory[[#This Row],[quality]],Lookups!$A$26:$C$33,3,FALSE),1)</f>
        <v>0.94295468617355149</v>
      </c>
      <c r="BU548" s="4">
        <f>_xlfn.IFNA(VLOOKUP(Grandview_Inventory[[#This Row],[condition]],Lookups!$A$37:$C$44,3,FALSE),1)</f>
        <v>0.94347925387812148</v>
      </c>
      <c r="BV548" s="4">
        <f>IF(Grandview_Inventory[[#This Row],[bldg_style]]="",1,_xlfn.IFNA(VLOOKUP(Grandview_Inventory[[#This Row],[decade]],Lookups!$F$29:$H$43,3,FALSE),1))</f>
        <v>0.9413635517371044</v>
      </c>
      <c r="BW548" s="4">
        <f>_xlfn.IFNA(VLOOKUP(Grandview_Inventory[[#This Row],[living_area_range]],Lookups!$F$47:$H$56,3,FALSE),1)</f>
        <v>0.96135087979789358</v>
      </c>
      <c r="BX548" s="4">
        <f>AVERAGE(Grandview_Inventory[[#This Row],[qual_adj]:[size_adj]])</f>
        <v>0.94728709289666768</v>
      </c>
      <c r="BY548" s="6">
        <f>IF(Grandview_Inventory[[#This Row],[pre_res]]&lt;0,0,Grandview_Inventory[[#This Row],[pre_res]]*Grandview_Inventory[[#This Row],[overall_adj]])</f>
        <v>63014.648669849725</v>
      </c>
      <c r="BZ548" s="6">
        <f>(Grandview_Inventory[[#This Row],[sum_land]]-IF(Grandview_Inventory[[#This Row],[no_utilities]]=1,12000,0))/IF(Grandview_Inventory[[#This Row],[unbuildable]]=1,2,1)</f>
        <v>50650.651579114572</v>
      </c>
      <c r="CA548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48">
        <f>ROUND(Grandview_Inventory[[#This Row],[det_value]]*Lookups!$M$28,-2)</f>
        <v>0</v>
      </c>
      <c r="CC548">
        <f>IF(ROUND(Grandview_Inventory[[#This Row],[adj_res]]*Lookups!$M$28,-2)&lt;Grandview_Inventory[[#This Row],[min_res]],Grandview_Inventory[[#This Row],[min_res]],ROUND(Grandview_Inventory[[#This Row],[adj_res]]*Lookups!$M$28,-2))</f>
        <v>59900</v>
      </c>
      <c r="CD548">
        <f>Grandview_Inventory[[#This Row],[final_det]]+Grandview_Inventory[[#This Row],[final_res]]</f>
        <v>59900</v>
      </c>
      <c r="CE548">
        <f>Grandview_Inventory[[#This Row],[final_land]]+Grandview_Inventory[[#This Row],[final_imp]]+Grandview_Inventory[[#This Row],[crop_value]]</f>
        <v>108000</v>
      </c>
      <c r="CG548" t="str">
        <f t="shared" si="8"/>
        <v>update valuation set market_land =48100, market_bldg=59900, market_total =108000, market_mdno =401, market_date ='9/10/2023' where link_id = (select link_id from parcel where parcel_year = '2024' and parcel_id = '23092221444');</v>
      </c>
    </row>
    <row r="549" spans="1:85" x14ac:dyDescent="0.25">
      <c r="A549">
        <v>23092221445</v>
      </c>
      <c r="B549" t="s">
        <v>129</v>
      </c>
      <c r="C549">
        <v>9593</v>
      </c>
      <c r="D549" t="s">
        <v>129</v>
      </c>
      <c r="E549" t="s">
        <v>53</v>
      </c>
      <c r="F549" t="s">
        <v>53</v>
      </c>
      <c r="G549">
        <v>4</v>
      </c>
      <c r="H549" t="s">
        <v>54</v>
      </c>
      <c r="I549" t="s">
        <v>129</v>
      </c>
      <c r="J549">
        <v>32800</v>
      </c>
      <c r="K549">
        <v>0.22</v>
      </c>
      <c r="L54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49">
        <v>0</v>
      </c>
      <c r="N549">
        <v>0</v>
      </c>
      <c r="O549">
        <v>0</v>
      </c>
      <c r="P549">
        <v>13398.7528</v>
      </c>
      <c r="Q549">
        <v>63903</v>
      </c>
      <c r="R549">
        <f>(Grandview_Inventory[[#This Row],[ln_acres]]*Grandview_Inventory[[#This Row],[coeff]])+Grandview_Inventory[[#This Row],[const]]</f>
        <v>43615.576802869145</v>
      </c>
      <c r="S549" t="s">
        <v>61</v>
      </c>
      <c r="T549">
        <v>1</v>
      </c>
      <c r="U549" t="s">
        <v>62</v>
      </c>
      <c r="V549" t="s">
        <v>57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2000</v>
      </c>
      <c r="AC549">
        <v>1816</v>
      </c>
      <c r="AD549">
        <v>1816</v>
      </c>
      <c r="AE549">
        <v>0</v>
      </c>
      <c r="AF549">
        <v>0</v>
      </c>
      <c r="AG549">
        <v>0</v>
      </c>
      <c r="AH549">
        <v>0</v>
      </c>
      <c r="AI549">
        <v>500</v>
      </c>
      <c r="AJ549">
        <v>0</v>
      </c>
      <c r="AK549">
        <v>0</v>
      </c>
      <c r="AL549">
        <v>0</v>
      </c>
      <c r="AM549">
        <v>100</v>
      </c>
      <c r="AN549">
        <v>30</v>
      </c>
      <c r="AO549">
        <v>0</v>
      </c>
      <c r="AP549">
        <v>9</v>
      </c>
      <c r="AQ549">
        <v>0</v>
      </c>
      <c r="AR549">
        <v>0</v>
      </c>
      <c r="AS549" t="s">
        <v>58</v>
      </c>
      <c r="AT549">
        <v>1</v>
      </c>
      <c r="AU549" t="s">
        <v>59</v>
      </c>
      <c r="AV549" t="s">
        <v>60</v>
      </c>
      <c r="AW549">
        <v>1</v>
      </c>
      <c r="AX549">
        <v>3</v>
      </c>
      <c r="AY549">
        <v>0</v>
      </c>
      <c r="AZ549">
        <v>0</v>
      </c>
      <c r="BA549">
        <v>100</v>
      </c>
      <c r="BB549">
        <v>100</v>
      </c>
      <c r="BC549">
        <v>100</v>
      </c>
      <c r="BD549">
        <v>100</v>
      </c>
      <c r="BE549">
        <v>1</v>
      </c>
      <c r="BF549">
        <v>15000</v>
      </c>
      <c r="BG549">
        <v>1000</v>
      </c>
      <c r="BH549" s="6">
        <f>Grandview_Inventory[[#This Row],[land_extract]]*Lookups!$B$3</f>
        <v>50650.651579114572</v>
      </c>
      <c r="BI549" s="6">
        <f>IF(Grandview_Inventory[[#This Row],[bldg_style]]="",0,Lookups!$B$2)</f>
        <v>155833.95000000001</v>
      </c>
      <c r="BJ549" s="6">
        <f>_xlfn.IFNA(VLOOKUP(Grandview_Inventory[[#This Row],[quality]],Lookups!$H$2:$J$14,3,FALSE),0)</f>
        <v>9808</v>
      </c>
      <c r="BK549" s="6">
        <f>_xlfn.IFNA(VLOOKUP(Grandview_Inventory[[#This Row],[condition]],Lookups!$H$17:$J$24,3,FALSE),0)</f>
        <v>25780</v>
      </c>
      <c r="BL549" s="6">
        <f>Grandview_Inventory[[#This Row],[Eff_Age]]*Lookups!$B$14</f>
        <v>0</v>
      </c>
      <c r="BM549" s="6">
        <f>Grandview_Inventory[[#This Row],[living_area]]*Lookups!$B$15</f>
        <v>113283.629048</v>
      </c>
      <c r="BN549" s="6">
        <f>Grandview_Inventory[[#This Row],[Fin BSMT]]*Lookups!$B$16</f>
        <v>0</v>
      </c>
      <c r="BO549" s="6">
        <f>(Grandview_Inventory[[#This Row],[att_gar]]+Grandview_Inventory[[#This Row],[bltin_gar]])*Lookups!$B$17</f>
        <v>43760.218500000003</v>
      </c>
      <c r="BP549" s="6">
        <f>Grandview_Inventory[[#This Row],[Plumbing Fixtures]]*Lookups!$B$18</f>
        <v>18093.976200000001</v>
      </c>
      <c r="BQ549" s="6">
        <f>Grandview_Inventory[[#This Row],[detatched_value]]*Lookups!$B$19</f>
        <v>0</v>
      </c>
      <c r="BR549" s="6">
        <f>SUM(Grandview_Inventory[[#This Row],[Intercept]:[det_value]])*Grandview_Inventory[[#This Row],[res_pct]]</f>
        <v>366559.77374800004</v>
      </c>
      <c r="BS549" s="6">
        <f>Grandview_Inventory[[#This Row],[land_value]]</f>
        <v>50650.651579114572</v>
      </c>
      <c r="BT549" s="4">
        <f>_xlfn.IFNA(VLOOKUP(Grandview_Inventory[[#This Row],[quality]],Lookups!$A$26:$C$33,3,FALSE),1)</f>
        <v>0.94295468617355149</v>
      </c>
      <c r="BU549" s="4">
        <f>_xlfn.IFNA(VLOOKUP(Grandview_Inventory[[#This Row],[condition]],Lookups!$A$37:$C$44,3,FALSE),1)</f>
        <v>0.94347925387812148</v>
      </c>
      <c r="BV549" s="4">
        <f>IF(Grandview_Inventory[[#This Row],[bldg_style]]="",1,_xlfn.IFNA(VLOOKUP(Grandview_Inventory[[#This Row],[decade]],Lookups!$F$29:$H$43,3,FALSE),1))</f>
        <v>0.9413635517371044</v>
      </c>
      <c r="BW549" s="4">
        <f>_xlfn.IFNA(VLOOKUP(Grandview_Inventory[[#This Row],[living_area_range]],Lookups!$F$47:$H$56,3,FALSE),1)</f>
        <v>0.96120133463014379</v>
      </c>
      <c r="BX549" s="4">
        <f>AVERAGE(Grandview_Inventory[[#This Row],[qual_adj]:[size_adj]])</f>
        <v>0.94724970660473029</v>
      </c>
      <c r="BY549" s="6">
        <f>IF(Grandview_Inventory[[#This Row],[pre_res]]&lt;0,0,Grandview_Inventory[[#This Row],[pre_res]]*Grandview_Inventory[[#This Row],[overall_adj]])</f>
        <v>347223.63813588937</v>
      </c>
      <c r="BZ549" s="6">
        <f>(Grandview_Inventory[[#This Row],[sum_land]]-IF(Grandview_Inventory[[#This Row],[no_utilities]]=1,12000,0))/IF(Grandview_Inventory[[#This Row],[unbuildable]]=1,2,1)</f>
        <v>50650.651579114572</v>
      </c>
      <c r="CA54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49">
        <f>ROUND(Grandview_Inventory[[#This Row],[det_value]]*Lookups!$M$28,-2)</f>
        <v>0</v>
      </c>
      <c r="CC549">
        <f>IF(ROUND(Grandview_Inventory[[#This Row],[adj_res]]*Lookups!$M$28,-2)&lt;Grandview_Inventory[[#This Row],[min_res]],Grandview_Inventory[[#This Row],[min_res]],ROUND(Grandview_Inventory[[#This Row],[adj_res]]*Lookups!$M$28,-2))</f>
        <v>329900</v>
      </c>
      <c r="CD549">
        <f>Grandview_Inventory[[#This Row],[final_det]]+Grandview_Inventory[[#This Row],[final_res]]</f>
        <v>329900</v>
      </c>
      <c r="CE549">
        <f>Grandview_Inventory[[#This Row],[final_land]]+Grandview_Inventory[[#This Row],[final_imp]]+Grandview_Inventory[[#This Row],[crop_value]]</f>
        <v>378000</v>
      </c>
      <c r="CG549" t="str">
        <f t="shared" si="8"/>
        <v>update valuation set market_land =48100, market_bldg=329900, market_total =378000, market_mdno =401, market_date ='9/10/2023' where link_id = (select link_id from parcel where parcel_year = '2024' and parcel_id = '23092221445');</v>
      </c>
    </row>
    <row r="550" spans="1:85" x14ac:dyDescent="0.25">
      <c r="A550">
        <v>23092221446</v>
      </c>
      <c r="B550" t="s">
        <v>129</v>
      </c>
      <c r="C550">
        <v>9620</v>
      </c>
      <c r="D550" t="s">
        <v>129</v>
      </c>
      <c r="E550" t="s">
        <v>53</v>
      </c>
      <c r="F550" t="s">
        <v>53</v>
      </c>
      <c r="G550">
        <v>4</v>
      </c>
      <c r="H550" t="s">
        <v>54</v>
      </c>
      <c r="I550" t="s">
        <v>129</v>
      </c>
      <c r="J550">
        <v>32800</v>
      </c>
      <c r="K550">
        <v>0.22</v>
      </c>
      <c r="L55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50">
        <v>0</v>
      </c>
      <c r="N550">
        <v>0</v>
      </c>
      <c r="O550">
        <v>0</v>
      </c>
      <c r="P550">
        <v>13398.7528</v>
      </c>
      <c r="Q550">
        <v>63903</v>
      </c>
      <c r="R550">
        <f>(Grandview_Inventory[[#This Row],[ln_acres]]*Grandview_Inventory[[#This Row],[coeff]])+Grandview_Inventory[[#This Row],[const]]</f>
        <v>43615.576802869145</v>
      </c>
      <c r="S550" t="s">
        <v>61</v>
      </c>
      <c r="T550">
        <v>1</v>
      </c>
      <c r="U550" t="s">
        <v>62</v>
      </c>
      <c r="V550" t="s">
        <v>57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2000</v>
      </c>
      <c r="AC550">
        <v>1816</v>
      </c>
      <c r="AD550">
        <v>1816</v>
      </c>
      <c r="AE550">
        <v>0</v>
      </c>
      <c r="AF550">
        <v>0</v>
      </c>
      <c r="AG550">
        <v>0</v>
      </c>
      <c r="AH550">
        <v>0</v>
      </c>
      <c r="AI550">
        <v>500</v>
      </c>
      <c r="AJ550">
        <v>0</v>
      </c>
      <c r="AK550">
        <v>0</v>
      </c>
      <c r="AL550">
        <v>0</v>
      </c>
      <c r="AM550">
        <v>100</v>
      </c>
      <c r="AN550">
        <v>30</v>
      </c>
      <c r="AO550">
        <v>0</v>
      </c>
      <c r="AP550">
        <v>9</v>
      </c>
      <c r="AQ550">
        <v>0</v>
      </c>
      <c r="AR550">
        <v>0</v>
      </c>
      <c r="AS550" t="s">
        <v>58</v>
      </c>
      <c r="AT550">
        <v>1</v>
      </c>
      <c r="AU550" t="s">
        <v>59</v>
      </c>
      <c r="AV550" t="s">
        <v>60</v>
      </c>
      <c r="AW550">
        <v>1</v>
      </c>
      <c r="AX550">
        <v>3</v>
      </c>
      <c r="AY550">
        <v>0</v>
      </c>
      <c r="AZ550">
        <v>0</v>
      </c>
      <c r="BA550">
        <v>100</v>
      </c>
      <c r="BB550">
        <v>100</v>
      </c>
      <c r="BC550">
        <v>100</v>
      </c>
      <c r="BD550">
        <v>100</v>
      </c>
      <c r="BE550">
        <v>1</v>
      </c>
      <c r="BF550">
        <v>15000</v>
      </c>
      <c r="BG550">
        <v>1000</v>
      </c>
      <c r="BH550" s="6">
        <f>Grandview_Inventory[[#This Row],[land_extract]]*Lookups!$B$3</f>
        <v>50650.651579114572</v>
      </c>
      <c r="BI550" s="6">
        <f>IF(Grandview_Inventory[[#This Row],[bldg_style]]="",0,Lookups!$B$2)</f>
        <v>155833.95000000001</v>
      </c>
      <c r="BJ550" s="6">
        <f>_xlfn.IFNA(VLOOKUP(Grandview_Inventory[[#This Row],[quality]],Lookups!$H$2:$J$14,3,FALSE),0)</f>
        <v>9808</v>
      </c>
      <c r="BK550" s="6">
        <f>_xlfn.IFNA(VLOOKUP(Grandview_Inventory[[#This Row],[condition]],Lookups!$H$17:$J$24,3,FALSE),0)</f>
        <v>25780</v>
      </c>
      <c r="BL550" s="6">
        <f>Grandview_Inventory[[#This Row],[Eff_Age]]*Lookups!$B$14</f>
        <v>0</v>
      </c>
      <c r="BM550" s="6">
        <f>Grandview_Inventory[[#This Row],[living_area]]*Lookups!$B$15</f>
        <v>113283.629048</v>
      </c>
      <c r="BN550" s="6">
        <f>Grandview_Inventory[[#This Row],[Fin BSMT]]*Lookups!$B$16</f>
        <v>0</v>
      </c>
      <c r="BO550" s="6">
        <f>(Grandview_Inventory[[#This Row],[att_gar]]+Grandview_Inventory[[#This Row],[bltin_gar]])*Lookups!$B$17</f>
        <v>43760.218500000003</v>
      </c>
      <c r="BP550" s="6">
        <f>Grandview_Inventory[[#This Row],[Plumbing Fixtures]]*Lookups!$B$18</f>
        <v>18093.976200000001</v>
      </c>
      <c r="BQ550" s="6">
        <f>Grandview_Inventory[[#This Row],[detatched_value]]*Lookups!$B$19</f>
        <v>0</v>
      </c>
      <c r="BR550" s="6">
        <f>SUM(Grandview_Inventory[[#This Row],[Intercept]:[det_value]])*Grandview_Inventory[[#This Row],[res_pct]]</f>
        <v>366559.77374800004</v>
      </c>
      <c r="BS550" s="6">
        <f>Grandview_Inventory[[#This Row],[land_value]]</f>
        <v>50650.651579114572</v>
      </c>
      <c r="BT550" s="4">
        <f>_xlfn.IFNA(VLOOKUP(Grandview_Inventory[[#This Row],[quality]],Lookups!$A$26:$C$33,3,FALSE),1)</f>
        <v>0.94295468617355149</v>
      </c>
      <c r="BU550" s="4">
        <f>_xlfn.IFNA(VLOOKUP(Grandview_Inventory[[#This Row],[condition]],Lookups!$A$37:$C$44,3,FALSE),1)</f>
        <v>0.94347925387812148</v>
      </c>
      <c r="BV550" s="4">
        <f>IF(Grandview_Inventory[[#This Row],[bldg_style]]="",1,_xlfn.IFNA(VLOOKUP(Grandview_Inventory[[#This Row],[decade]],Lookups!$F$29:$H$43,3,FALSE),1))</f>
        <v>0.9413635517371044</v>
      </c>
      <c r="BW550" s="4">
        <f>_xlfn.IFNA(VLOOKUP(Grandview_Inventory[[#This Row],[living_area_range]],Lookups!$F$47:$H$56,3,FALSE),1)</f>
        <v>0.96120133463014379</v>
      </c>
      <c r="BX550" s="4">
        <f>AVERAGE(Grandview_Inventory[[#This Row],[qual_adj]:[size_adj]])</f>
        <v>0.94724970660473029</v>
      </c>
      <c r="BY550" s="6">
        <f>IF(Grandview_Inventory[[#This Row],[pre_res]]&lt;0,0,Grandview_Inventory[[#This Row],[pre_res]]*Grandview_Inventory[[#This Row],[overall_adj]])</f>
        <v>347223.63813588937</v>
      </c>
      <c r="BZ550" s="6">
        <f>(Grandview_Inventory[[#This Row],[sum_land]]-IF(Grandview_Inventory[[#This Row],[no_utilities]]=1,12000,0))/IF(Grandview_Inventory[[#This Row],[unbuildable]]=1,2,1)</f>
        <v>50650.651579114572</v>
      </c>
      <c r="CA55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50">
        <f>ROUND(Grandview_Inventory[[#This Row],[det_value]]*Lookups!$M$28,-2)</f>
        <v>0</v>
      </c>
      <c r="CC550">
        <f>IF(ROUND(Grandview_Inventory[[#This Row],[adj_res]]*Lookups!$M$28,-2)&lt;Grandview_Inventory[[#This Row],[min_res]],Grandview_Inventory[[#This Row],[min_res]],ROUND(Grandview_Inventory[[#This Row],[adj_res]]*Lookups!$M$28,-2))</f>
        <v>329900</v>
      </c>
      <c r="CD550">
        <f>Grandview_Inventory[[#This Row],[final_det]]+Grandview_Inventory[[#This Row],[final_res]]</f>
        <v>329900</v>
      </c>
      <c r="CE550">
        <f>Grandview_Inventory[[#This Row],[final_land]]+Grandview_Inventory[[#This Row],[final_imp]]+Grandview_Inventory[[#This Row],[crop_value]]</f>
        <v>378000</v>
      </c>
      <c r="CG550" t="str">
        <f t="shared" si="8"/>
        <v>update valuation set market_land =48100, market_bldg=329900, market_total =378000, market_mdno =401, market_date ='9/10/2023' where link_id = (select link_id from parcel where parcel_year = '2024' and parcel_id = '23092221446');</v>
      </c>
    </row>
    <row r="551" spans="1:85" x14ac:dyDescent="0.25">
      <c r="A551">
        <v>23092221447</v>
      </c>
      <c r="B551" t="s">
        <v>129</v>
      </c>
      <c r="C551">
        <v>9646</v>
      </c>
      <c r="D551" t="s">
        <v>129</v>
      </c>
      <c r="E551" t="s">
        <v>53</v>
      </c>
      <c r="F551" t="s">
        <v>53</v>
      </c>
      <c r="G551">
        <v>4</v>
      </c>
      <c r="H551" t="s">
        <v>54</v>
      </c>
      <c r="I551" t="s">
        <v>129</v>
      </c>
      <c r="J551">
        <v>33000</v>
      </c>
      <c r="K551">
        <v>0.22</v>
      </c>
      <c r="L55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51">
        <v>0</v>
      </c>
      <c r="N551">
        <v>0</v>
      </c>
      <c r="O551">
        <v>0</v>
      </c>
      <c r="P551">
        <v>13398.7528</v>
      </c>
      <c r="Q551">
        <v>63903</v>
      </c>
      <c r="R551">
        <f>(Grandview_Inventory[[#This Row],[ln_acres]]*Grandview_Inventory[[#This Row],[coeff]])+Grandview_Inventory[[#This Row],[const]]</f>
        <v>43615.576802869145</v>
      </c>
      <c r="S551" t="s">
        <v>61</v>
      </c>
      <c r="T551">
        <v>1</v>
      </c>
      <c r="U551" t="s">
        <v>62</v>
      </c>
      <c r="V551" t="s">
        <v>57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1500</v>
      </c>
      <c r="AC551">
        <v>1152</v>
      </c>
      <c r="AD551">
        <v>1152</v>
      </c>
      <c r="AE551">
        <v>0</v>
      </c>
      <c r="AF551">
        <v>0</v>
      </c>
      <c r="AG551">
        <v>0</v>
      </c>
      <c r="AH551">
        <v>0</v>
      </c>
      <c r="AI551">
        <v>400</v>
      </c>
      <c r="AJ551">
        <v>0</v>
      </c>
      <c r="AK551">
        <v>0</v>
      </c>
      <c r="AL551">
        <v>0</v>
      </c>
      <c r="AM551">
        <v>100</v>
      </c>
      <c r="AN551">
        <v>32</v>
      </c>
      <c r="AO551">
        <v>0</v>
      </c>
      <c r="AP551">
        <v>8</v>
      </c>
      <c r="AQ551">
        <v>0</v>
      </c>
      <c r="AR551">
        <v>0</v>
      </c>
      <c r="AS551" t="s">
        <v>58</v>
      </c>
      <c r="AT551">
        <v>1</v>
      </c>
      <c r="AU551" t="s">
        <v>59</v>
      </c>
      <c r="AV551" t="s">
        <v>60</v>
      </c>
      <c r="AW551">
        <v>1</v>
      </c>
      <c r="AX551">
        <v>3</v>
      </c>
      <c r="AY551">
        <v>0</v>
      </c>
      <c r="AZ551">
        <v>0</v>
      </c>
      <c r="BA551">
        <v>100</v>
      </c>
      <c r="BB551">
        <v>100</v>
      </c>
      <c r="BC551">
        <v>100</v>
      </c>
      <c r="BD551">
        <v>100</v>
      </c>
      <c r="BE551">
        <v>1</v>
      </c>
      <c r="BF551">
        <v>15000</v>
      </c>
      <c r="BG551">
        <v>1000</v>
      </c>
      <c r="BH551" s="6">
        <f>Grandview_Inventory[[#This Row],[land_extract]]*Lookups!$B$3</f>
        <v>50650.651579114572</v>
      </c>
      <c r="BI551" s="6">
        <f>IF(Grandview_Inventory[[#This Row],[bldg_style]]="",0,Lookups!$B$2)</f>
        <v>155833.95000000001</v>
      </c>
      <c r="BJ551" s="6">
        <f>_xlfn.IFNA(VLOOKUP(Grandview_Inventory[[#This Row],[quality]],Lookups!$H$2:$J$14,3,FALSE),0)</f>
        <v>9808</v>
      </c>
      <c r="BK551" s="6">
        <f>_xlfn.IFNA(VLOOKUP(Grandview_Inventory[[#This Row],[condition]],Lookups!$H$17:$J$24,3,FALSE),0)</f>
        <v>25780</v>
      </c>
      <c r="BL551" s="6">
        <f>Grandview_Inventory[[#This Row],[Eff_Age]]*Lookups!$B$14</f>
        <v>0</v>
      </c>
      <c r="BM551" s="6">
        <f>Grandview_Inventory[[#This Row],[living_area]]*Lookups!$B$15</f>
        <v>71862.742656000002</v>
      </c>
      <c r="BN551" s="6">
        <f>Grandview_Inventory[[#This Row],[Fin BSMT]]*Lookups!$B$16</f>
        <v>0</v>
      </c>
      <c r="BO551" s="6">
        <f>(Grandview_Inventory[[#This Row],[att_gar]]+Grandview_Inventory[[#This Row],[bltin_gar]])*Lookups!$B$17</f>
        <v>35008.174800000001</v>
      </c>
      <c r="BP551" s="6">
        <f>Grandview_Inventory[[#This Row],[Plumbing Fixtures]]*Lookups!$B$18</f>
        <v>16083.5344</v>
      </c>
      <c r="BQ551" s="6">
        <f>Grandview_Inventory[[#This Row],[detatched_value]]*Lookups!$B$19</f>
        <v>0</v>
      </c>
      <c r="BR551" s="6">
        <f>SUM(Grandview_Inventory[[#This Row],[Intercept]:[det_value]])*Grandview_Inventory[[#This Row],[res_pct]]</f>
        <v>314376.40185600001</v>
      </c>
      <c r="BS551" s="6">
        <f>Grandview_Inventory[[#This Row],[land_value]]</f>
        <v>50650.651579114572</v>
      </c>
      <c r="BT551" s="4">
        <f>_xlfn.IFNA(VLOOKUP(Grandview_Inventory[[#This Row],[quality]],Lookups!$A$26:$C$33,3,FALSE),1)</f>
        <v>0.94295468617355149</v>
      </c>
      <c r="BU551" s="4">
        <f>_xlfn.IFNA(VLOOKUP(Grandview_Inventory[[#This Row],[condition]],Lookups!$A$37:$C$44,3,FALSE),1)</f>
        <v>0.94347925387812148</v>
      </c>
      <c r="BV551" s="4">
        <f>IF(Grandview_Inventory[[#This Row],[bldg_style]]="",1,_xlfn.IFNA(VLOOKUP(Grandview_Inventory[[#This Row],[decade]],Lookups!$F$29:$H$43,3,FALSE),1))</f>
        <v>0.9413635517371044</v>
      </c>
      <c r="BW551" s="4">
        <f>_xlfn.IFNA(VLOOKUP(Grandview_Inventory[[#This Row],[living_area_range]],Lookups!$F$47:$H$56,3,FALSE),1)</f>
        <v>0.96135087979789358</v>
      </c>
      <c r="BX551" s="4">
        <f>AVERAGE(Grandview_Inventory[[#This Row],[qual_adj]:[size_adj]])</f>
        <v>0.94728709289666768</v>
      </c>
      <c r="BY551" s="6">
        <f>IF(Grandview_Inventory[[#This Row],[pre_res]]&lt;0,0,Grandview_Inventory[[#This Row],[pre_res]]*Grandview_Inventory[[#This Row],[overall_adj]])</f>
        <v>297804.70778948482</v>
      </c>
      <c r="BZ551" s="6">
        <f>(Grandview_Inventory[[#This Row],[sum_land]]-IF(Grandview_Inventory[[#This Row],[no_utilities]]=1,12000,0))/IF(Grandview_Inventory[[#This Row],[unbuildable]]=1,2,1)</f>
        <v>50650.651579114572</v>
      </c>
      <c r="CA55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51">
        <f>ROUND(Grandview_Inventory[[#This Row],[det_value]]*Lookups!$M$28,-2)</f>
        <v>0</v>
      </c>
      <c r="CC551">
        <f>IF(ROUND(Grandview_Inventory[[#This Row],[adj_res]]*Lookups!$M$28,-2)&lt;Grandview_Inventory[[#This Row],[min_res]],Grandview_Inventory[[#This Row],[min_res]],ROUND(Grandview_Inventory[[#This Row],[adj_res]]*Lookups!$M$28,-2))</f>
        <v>282900</v>
      </c>
      <c r="CD551">
        <f>Grandview_Inventory[[#This Row],[final_det]]+Grandview_Inventory[[#This Row],[final_res]]</f>
        <v>282900</v>
      </c>
      <c r="CE551">
        <f>Grandview_Inventory[[#This Row],[final_land]]+Grandview_Inventory[[#This Row],[final_imp]]+Grandview_Inventory[[#This Row],[crop_value]]</f>
        <v>331000</v>
      </c>
      <c r="CG551" t="str">
        <f t="shared" si="8"/>
        <v>update valuation set market_land =48100, market_bldg=282900, market_total =331000, market_mdno =401, market_date ='9/10/2023' where link_id = (select link_id from parcel where parcel_year = '2024' and parcel_id = '23092221447');</v>
      </c>
    </row>
    <row r="552" spans="1:85" x14ac:dyDescent="0.25">
      <c r="A552">
        <v>23092221448</v>
      </c>
      <c r="B552" t="s">
        <v>129</v>
      </c>
      <c r="C552">
        <v>9673</v>
      </c>
      <c r="D552" t="s">
        <v>129</v>
      </c>
      <c r="E552" t="s">
        <v>53</v>
      </c>
      <c r="F552" t="s">
        <v>53</v>
      </c>
      <c r="G552">
        <v>4</v>
      </c>
      <c r="H552" t="s">
        <v>54</v>
      </c>
      <c r="I552" t="s">
        <v>129</v>
      </c>
      <c r="J552">
        <v>33000</v>
      </c>
      <c r="K552">
        <v>0.22</v>
      </c>
      <c r="L55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52">
        <v>0</v>
      </c>
      <c r="N552">
        <v>0</v>
      </c>
      <c r="O552">
        <v>0</v>
      </c>
      <c r="P552">
        <v>13398.7528</v>
      </c>
      <c r="Q552">
        <v>63903</v>
      </c>
      <c r="R552">
        <f>(Grandview_Inventory[[#This Row],[ln_acres]]*Grandview_Inventory[[#This Row],[coeff]])+Grandview_Inventory[[#This Row],[const]]</f>
        <v>43615.576802869145</v>
      </c>
      <c r="S552" t="s">
        <v>61</v>
      </c>
      <c r="T552">
        <v>1</v>
      </c>
      <c r="U552" t="s">
        <v>62</v>
      </c>
      <c r="V552" t="s">
        <v>57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2000</v>
      </c>
      <c r="AC552">
        <v>1653</v>
      </c>
      <c r="AD552">
        <v>1653</v>
      </c>
      <c r="AE552">
        <v>0</v>
      </c>
      <c r="AF552">
        <v>0</v>
      </c>
      <c r="AG552">
        <v>0</v>
      </c>
      <c r="AH552">
        <v>0</v>
      </c>
      <c r="AI552">
        <v>480</v>
      </c>
      <c r="AJ552">
        <v>0</v>
      </c>
      <c r="AK552">
        <v>0</v>
      </c>
      <c r="AL552">
        <v>0</v>
      </c>
      <c r="AM552">
        <v>156</v>
      </c>
      <c r="AN552">
        <v>78</v>
      </c>
      <c r="AO552">
        <v>0</v>
      </c>
      <c r="AP552">
        <v>9</v>
      </c>
      <c r="AQ552">
        <v>0</v>
      </c>
      <c r="AR552">
        <v>0</v>
      </c>
      <c r="AS552" t="s">
        <v>58</v>
      </c>
      <c r="AT552">
        <v>1</v>
      </c>
      <c r="AU552" t="s">
        <v>59</v>
      </c>
      <c r="AV552" t="s">
        <v>60</v>
      </c>
      <c r="AW552">
        <v>1</v>
      </c>
      <c r="AX552">
        <v>3</v>
      </c>
      <c r="AY552">
        <v>0</v>
      </c>
      <c r="AZ552">
        <v>0</v>
      </c>
      <c r="BA552">
        <v>100</v>
      </c>
      <c r="BB552">
        <v>100</v>
      </c>
      <c r="BC552">
        <v>100</v>
      </c>
      <c r="BD552">
        <v>100</v>
      </c>
      <c r="BE552">
        <v>1</v>
      </c>
      <c r="BF552">
        <v>15000</v>
      </c>
      <c r="BG552">
        <v>1000</v>
      </c>
      <c r="BH552" s="6">
        <f>Grandview_Inventory[[#This Row],[land_extract]]*Lookups!$B$3</f>
        <v>50650.651579114572</v>
      </c>
      <c r="BI552" s="6">
        <f>IF(Grandview_Inventory[[#This Row],[bldg_style]]="",0,Lookups!$B$2)</f>
        <v>155833.95000000001</v>
      </c>
      <c r="BJ552" s="6">
        <f>_xlfn.IFNA(VLOOKUP(Grandview_Inventory[[#This Row],[quality]],Lookups!$H$2:$J$14,3,FALSE),0)</f>
        <v>9808</v>
      </c>
      <c r="BK552" s="6">
        <f>_xlfn.IFNA(VLOOKUP(Grandview_Inventory[[#This Row],[condition]],Lookups!$H$17:$J$24,3,FALSE),0)</f>
        <v>25780</v>
      </c>
      <c r="BL552" s="6">
        <f>Grandview_Inventory[[#This Row],[Eff_Age]]*Lookups!$B$14</f>
        <v>0</v>
      </c>
      <c r="BM552" s="6">
        <f>Grandview_Inventory[[#This Row],[living_area]]*Lookups!$B$15</f>
        <v>103115.550009</v>
      </c>
      <c r="BN552" s="6">
        <f>Grandview_Inventory[[#This Row],[Fin BSMT]]*Lookups!$B$16</f>
        <v>0</v>
      </c>
      <c r="BO552" s="6">
        <f>(Grandview_Inventory[[#This Row],[att_gar]]+Grandview_Inventory[[#This Row],[bltin_gar]])*Lookups!$B$17</f>
        <v>42009.809760000004</v>
      </c>
      <c r="BP552" s="6">
        <f>Grandview_Inventory[[#This Row],[Plumbing Fixtures]]*Lookups!$B$18</f>
        <v>18093.976200000001</v>
      </c>
      <c r="BQ552" s="6">
        <f>Grandview_Inventory[[#This Row],[detatched_value]]*Lookups!$B$19</f>
        <v>0</v>
      </c>
      <c r="BR552" s="6">
        <f>SUM(Grandview_Inventory[[#This Row],[Intercept]:[det_value]])*Grandview_Inventory[[#This Row],[res_pct]]</f>
        <v>354641.28596900002</v>
      </c>
      <c r="BS552" s="6">
        <f>Grandview_Inventory[[#This Row],[land_value]]</f>
        <v>50650.651579114572</v>
      </c>
      <c r="BT552" s="4">
        <f>_xlfn.IFNA(VLOOKUP(Grandview_Inventory[[#This Row],[quality]],Lookups!$A$26:$C$33,3,FALSE),1)</f>
        <v>0.94295468617355149</v>
      </c>
      <c r="BU552" s="4">
        <f>_xlfn.IFNA(VLOOKUP(Grandview_Inventory[[#This Row],[condition]],Lookups!$A$37:$C$44,3,FALSE),1)</f>
        <v>0.94347925387812148</v>
      </c>
      <c r="BV552" s="4">
        <f>IF(Grandview_Inventory[[#This Row],[bldg_style]]="",1,_xlfn.IFNA(VLOOKUP(Grandview_Inventory[[#This Row],[decade]],Lookups!$F$29:$H$43,3,FALSE),1))</f>
        <v>0.9413635517371044</v>
      </c>
      <c r="BW552" s="4">
        <f>_xlfn.IFNA(VLOOKUP(Grandview_Inventory[[#This Row],[living_area_range]],Lookups!$F$47:$H$56,3,FALSE),1)</f>
        <v>0.96120133463014379</v>
      </c>
      <c r="BX552" s="4">
        <f>AVERAGE(Grandview_Inventory[[#This Row],[qual_adj]:[size_adj]])</f>
        <v>0.94724970660473029</v>
      </c>
      <c r="BY552" s="6">
        <f>IF(Grandview_Inventory[[#This Row],[pre_res]]&lt;0,0,Grandview_Inventory[[#This Row],[pre_res]]*Grandview_Inventory[[#This Row],[overall_adj]])</f>
        <v>335933.85408405954</v>
      </c>
      <c r="BZ552" s="6">
        <f>(Grandview_Inventory[[#This Row],[sum_land]]-IF(Grandview_Inventory[[#This Row],[no_utilities]]=1,12000,0))/IF(Grandview_Inventory[[#This Row],[unbuildable]]=1,2,1)</f>
        <v>50650.651579114572</v>
      </c>
      <c r="CA55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52">
        <f>ROUND(Grandview_Inventory[[#This Row],[det_value]]*Lookups!$M$28,-2)</f>
        <v>0</v>
      </c>
      <c r="CC552">
        <f>IF(ROUND(Grandview_Inventory[[#This Row],[adj_res]]*Lookups!$M$28,-2)&lt;Grandview_Inventory[[#This Row],[min_res]],Grandview_Inventory[[#This Row],[min_res]],ROUND(Grandview_Inventory[[#This Row],[adj_res]]*Lookups!$M$28,-2))</f>
        <v>319100</v>
      </c>
      <c r="CD552">
        <f>Grandview_Inventory[[#This Row],[final_det]]+Grandview_Inventory[[#This Row],[final_res]]</f>
        <v>319100</v>
      </c>
      <c r="CE552">
        <f>Grandview_Inventory[[#This Row],[final_land]]+Grandview_Inventory[[#This Row],[final_imp]]+Grandview_Inventory[[#This Row],[crop_value]]</f>
        <v>367200</v>
      </c>
      <c r="CG552" t="str">
        <f t="shared" si="8"/>
        <v>update valuation set market_land =48100, market_bldg=319100, market_total =367200, market_mdno =401, market_date ='9/10/2023' where link_id = (select link_id from parcel where parcel_year = '2024' and parcel_id = '23092221448');</v>
      </c>
    </row>
    <row r="553" spans="1:85" x14ac:dyDescent="0.25">
      <c r="A553">
        <v>23092221449</v>
      </c>
      <c r="B553" t="s">
        <v>129</v>
      </c>
      <c r="C553">
        <v>9699</v>
      </c>
      <c r="D553" t="s">
        <v>129</v>
      </c>
      <c r="E553" t="s">
        <v>53</v>
      </c>
      <c r="F553" t="s">
        <v>53</v>
      </c>
      <c r="G553">
        <v>4</v>
      </c>
      <c r="H553" t="s">
        <v>54</v>
      </c>
      <c r="I553" t="s">
        <v>129</v>
      </c>
      <c r="J553">
        <v>33000</v>
      </c>
      <c r="K553">
        <v>0.22</v>
      </c>
      <c r="L55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553">
        <v>0</v>
      </c>
      <c r="N553">
        <v>0</v>
      </c>
      <c r="O553">
        <v>0</v>
      </c>
      <c r="P553">
        <v>13398.7528</v>
      </c>
      <c r="Q553">
        <v>63903</v>
      </c>
      <c r="R553">
        <f>(Grandview_Inventory[[#This Row],[ln_acres]]*Grandview_Inventory[[#This Row],[coeff]])+Grandview_Inventory[[#This Row],[const]]</f>
        <v>43615.576802869145</v>
      </c>
      <c r="S553" t="s">
        <v>61</v>
      </c>
      <c r="T553">
        <v>1</v>
      </c>
      <c r="U553" t="s">
        <v>62</v>
      </c>
      <c r="V553" t="s">
        <v>57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2000</v>
      </c>
      <c r="AC553">
        <v>1816</v>
      </c>
      <c r="AD553">
        <v>1816</v>
      </c>
      <c r="AE553">
        <v>0</v>
      </c>
      <c r="AF553">
        <v>0</v>
      </c>
      <c r="AG553">
        <v>0</v>
      </c>
      <c r="AH553">
        <v>0</v>
      </c>
      <c r="AI553">
        <v>500</v>
      </c>
      <c r="AJ553">
        <v>0</v>
      </c>
      <c r="AK553">
        <v>0</v>
      </c>
      <c r="AL553">
        <v>0</v>
      </c>
      <c r="AM553">
        <v>100</v>
      </c>
      <c r="AN553">
        <v>30</v>
      </c>
      <c r="AO553">
        <v>0</v>
      </c>
      <c r="AP553">
        <v>10</v>
      </c>
      <c r="AQ553">
        <v>0</v>
      </c>
      <c r="AR553">
        <v>0</v>
      </c>
      <c r="AS553" t="s">
        <v>58</v>
      </c>
      <c r="AT553">
        <v>1</v>
      </c>
      <c r="AU553" t="s">
        <v>59</v>
      </c>
      <c r="AV553" t="s">
        <v>60</v>
      </c>
      <c r="AW553">
        <v>1</v>
      </c>
      <c r="AX553">
        <v>3</v>
      </c>
      <c r="AY553">
        <v>0</v>
      </c>
      <c r="AZ553">
        <v>0</v>
      </c>
      <c r="BA553">
        <v>100</v>
      </c>
      <c r="BB553">
        <v>100</v>
      </c>
      <c r="BC553">
        <v>100</v>
      </c>
      <c r="BD553">
        <v>100</v>
      </c>
      <c r="BE553">
        <v>1</v>
      </c>
      <c r="BF553">
        <v>15000</v>
      </c>
      <c r="BG553">
        <v>1000</v>
      </c>
      <c r="BH553" s="6">
        <f>Grandview_Inventory[[#This Row],[land_extract]]*Lookups!$B$3</f>
        <v>50650.651579114572</v>
      </c>
      <c r="BI553" s="6">
        <f>IF(Grandview_Inventory[[#This Row],[bldg_style]]="",0,Lookups!$B$2)</f>
        <v>155833.95000000001</v>
      </c>
      <c r="BJ553" s="6">
        <f>_xlfn.IFNA(VLOOKUP(Grandview_Inventory[[#This Row],[quality]],Lookups!$H$2:$J$14,3,FALSE),0)</f>
        <v>9808</v>
      </c>
      <c r="BK553" s="6">
        <f>_xlfn.IFNA(VLOOKUP(Grandview_Inventory[[#This Row],[condition]],Lookups!$H$17:$J$24,3,FALSE),0)</f>
        <v>25780</v>
      </c>
      <c r="BL553" s="6">
        <f>Grandview_Inventory[[#This Row],[Eff_Age]]*Lookups!$B$14</f>
        <v>0</v>
      </c>
      <c r="BM553" s="6">
        <f>Grandview_Inventory[[#This Row],[living_area]]*Lookups!$B$15</f>
        <v>113283.629048</v>
      </c>
      <c r="BN553" s="6">
        <f>Grandview_Inventory[[#This Row],[Fin BSMT]]*Lookups!$B$16</f>
        <v>0</v>
      </c>
      <c r="BO553" s="6">
        <f>(Grandview_Inventory[[#This Row],[att_gar]]+Grandview_Inventory[[#This Row],[bltin_gar]])*Lookups!$B$17</f>
        <v>43760.218500000003</v>
      </c>
      <c r="BP553" s="6">
        <f>Grandview_Inventory[[#This Row],[Plumbing Fixtures]]*Lookups!$B$18</f>
        <v>20104.418000000001</v>
      </c>
      <c r="BQ553" s="6">
        <f>Grandview_Inventory[[#This Row],[detatched_value]]*Lookups!$B$19</f>
        <v>0</v>
      </c>
      <c r="BR553" s="6">
        <f>SUM(Grandview_Inventory[[#This Row],[Intercept]:[det_value]])*Grandview_Inventory[[#This Row],[res_pct]]</f>
        <v>368570.21554800007</v>
      </c>
      <c r="BS553" s="6">
        <f>Grandview_Inventory[[#This Row],[land_value]]</f>
        <v>50650.651579114572</v>
      </c>
      <c r="BT553" s="4">
        <f>_xlfn.IFNA(VLOOKUP(Grandview_Inventory[[#This Row],[quality]],Lookups!$A$26:$C$33,3,FALSE),1)</f>
        <v>0.94295468617355149</v>
      </c>
      <c r="BU553" s="4">
        <f>_xlfn.IFNA(VLOOKUP(Grandview_Inventory[[#This Row],[condition]],Lookups!$A$37:$C$44,3,FALSE),1)</f>
        <v>0.94347925387812148</v>
      </c>
      <c r="BV553" s="4">
        <f>IF(Grandview_Inventory[[#This Row],[bldg_style]]="",1,_xlfn.IFNA(VLOOKUP(Grandview_Inventory[[#This Row],[decade]],Lookups!$F$29:$H$43,3,FALSE),1))</f>
        <v>0.9413635517371044</v>
      </c>
      <c r="BW553" s="4">
        <f>_xlfn.IFNA(VLOOKUP(Grandview_Inventory[[#This Row],[living_area_range]],Lookups!$F$47:$H$56,3,FALSE),1)</f>
        <v>0.96120133463014379</v>
      </c>
      <c r="BX553" s="4">
        <f>AVERAGE(Grandview_Inventory[[#This Row],[qual_adj]:[size_adj]])</f>
        <v>0.94724970660473029</v>
      </c>
      <c r="BY553" s="6">
        <f>IF(Grandview_Inventory[[#This Row],[pre_res]]&lt;0,0,Grandview_Inventory[[#This Row],[pre_res]]*Grandview_Inventory[[#This Row],[overall_adj]])</f>
        <v>349128.02854108525</v>
      </c>
      <c r="BZ553" s="6">
        <f>(Grandview_Inventory[[#This Row],[sum_land]]-IF(Grandview_Inventory[[#This Row],[no_utilities]]=1,12000,0))/IF(Grandview_Inventory[[#This Row],[unbuildable]]=1,2,1)</f>
        <v>50650.651579114572</v>
      </c>
      <c r="CA55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553">
        <f>ROUND(Grandview_Inventory[[#This Row],[det_value]]*Lookups!$M$28,-2)</f>
        <v>0</v>
      </c>
      <c r="CC553">
        <f>IF(ROUND(Grandview_Inventory[[#This Row],[adj_res]]*Lookups!$M$28,-2)&lt;Grandview_Inventory[[#This Row],[min_res]],Grandview_Inventory[[#This Row],[min_res]],ROUND(Grandview_Inventory[[#This Row],[adj_res]]*Lookups!$M$28,-2))</f>
        <v>331700</v>
      </c>
      <c r="CD553">
        <f>Grandview_Inventory[[#This Row],[final_det]]+Grandview_Inventory[[#This Row],[final_res]]</f>
        <v>331700</v>
      </c>
      <c r="CE553">
        <f>Grandview_Inventory[[#This Row],[final_land]]+Grandview_Inventory[[#This Row],[final_imp]]+Grandview_Inventory[[#This Row],[crop_value]]</f>
        <v>379800</v>
      </c>
      <c r="CG553" t="str">
        <f t="shared" si="8"/>
        <v>update valuation set market_land =48100, market_bldg=331700, market_total =379800, market_mdno =401, market_date ='9/10/2023' where link_id = (select link_id from parcel where parcel_year = '2024' and parcel_id = '23092221449');</v>
      </c>
    </row>
    <row r="554" spans="1:85" x14ac:dyDescent="0.25">
      <c r="A554">
        <v>23092221450</v>
      </c>
      <c r="B554" t="s">
        <v>129</v>
      </c>
      <c r="C554">
        <v>12255</v>
      </c>
      <c r="D554" t="s">
        <v>129</v>
      </c>
      <c r="E554" t="s">
        <v>53</v>
      </c>
      <c r="F554" t="s">
        <v>53</v>
      </c>
      <c r="G554">
        <v>4</v>
      </c>
      <c r="H554" t="s">
        <v>54</v>
      </c>
      <c r="I554" t="s">
        <v>129</v>
      </c>
      <c r="J554">
        <v>33500</v>
      </c>
      <c r="K554">
        <v>0.28000000000000003</v>
      </c>
      <c r="L554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554">
        <v>0</v>
      </c>
      <c r="N554">
        <v>0</v>
      </c>
      <c r="O554">
        <v>0</v>
      </c>
      <c r="P554">
        <v>13398.7528</v>
      </c>
      <c r="Q554">
        <v>63903</v>
      </c>
      <c r="R554">
        <f>(Grandview_Inventory[[#This Row],[ln_acres]]*Grandview_Inventory[[#This Row],[coeff]])+Grandview_Inventory[[#This Row],[const]]</f>
        <v>46846.847586898184</v>
      </c>
      <c r="S554" t="s">
        <v>61</v>
      </c>
      <c r="T554">
        <v>1</v>
      </c>
      <c r="U554" t="s">
        <v>62</v>
      </c>
      <c r="V554" t="s">
        <v>57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2000</v>
      </c>
      <c r="AC554">
        <v>1816</v>
      </c>
      <c r="AD554">
        <v>1816</v>
      </c>
      <c r="AE554">
        <v>0</v>
      </c>
      <c r="AF554">
        <v>0</v>
      </c>
      <c r="AG554">
        <v>0</v>
      </c>
      <c r="AH554">
        <v>0</v>
      </c>
      <c r="AI554">
        <v>800</v>
      </c>
      <c r="AJ554">
        <v>0</v>
      </c>
      <c r="AK554">
        <v>0</v>
      </c>
      <c r="AL554">
        <v>0</v>
      </c>
      <c r="AM554">
        <v>0</v>
      </c>
      <c r="AN554">
        <v>212</v>
      </c>
      <c r="AO554">
        <v>0</v>
      </c>
      <c r="AP554">
        <v>9</v>
      </c>
      <c r="AQ554">
        <v>0</v>
      </c>
      <c r="AR554">
        <v>0</v>
      </c>
      <c r="AS554" t="s">
        <v>58</v>
      </c>
      <c r="AT554">
        <v>1</v>
      </c>
      <c r="AU554" t="s">
        <v>59</v>
      </c>
      <c r="AV554" t="s">
        <v>60</v>
      </c>
      <c r="AW554">
        <v>1</v>
      </c>
      <c r="AX554">
        <v>3</v>
      </c>
      <c r="AY554">
        <v>0</v>
      </c>
      <c r="AZ554">
        <v>0</v>
      </c>
      <c r="BA554">
        <v>100</v>
      </c>
      <c r="BB554">
        <v>100</v>
      </c>
      <c r="BC554">
        <v>100</v>
      </c>
      <c r="BD554">
        <v>100</v>
      </c>
      <c r="BE554">
        <v>1</v>
      </c>
      <c r="BF554">
        <v>15000</v>
      </c>
      <c r="BG554">
        <v>1000</v>
      </c>
      <c r="BH554" s="6">
        <f>Grandview_Inventory[[#This Row],[land_extract]]*Lookups!$B$3</f>
        <v>54403.117616176372</v>
      </c>
      <c r="BI554" s="6">
        <f>IF(Grandview_Inventory[[#This Row],[bldg_style]]="",0,Lookups!$B$2)</f>
        <v>155833.95000000001</v>
      </c>
      <c r="BJ554" s="6">
        <f>_xlfn.IFNA(VLOOKUP(Grandview_Inventory[[#This Row],[quality]],Lookups!$H$2:$J$14,3,FALSE),0)</f>
        <v>9808</v>
      </c>
      <c r="BK554" s="6">
        <f>_xlfn.IFNA(VLOOKUP(Grandview_Inventory[[#This Row],[condition]],Lookups!$H$17:$J$24,3,FALSE),0)</f>
        <v>25780</v>
      </c>
      <c r="BL554" s="6">
        <f>Grandview_Inventory[[#This Row],[Eff_Age]]*Lookups!$B$14</f>
        <v>0</v>
      </c>
      <c r="BM554" s="6">
        <f>Grandview_Inventory[[#This Row],[living_area]]*Lookups!$B$15</f>
        <v>113283.629048</v>
      </c>
      <c r="BN554" s="6">
        <f>Grandview_Inventory[[#This Row],[Fin BSMT]]*Lookups!$B$16</f>
        <v>0</v>
      </c>
      <c r="BO554" s="6">
        <f>(Grandview_Inventory[[#This Row],[att_gar]]+Grandview_Inventory[[#This Row],[bltin_gar]])*Lookups!$B$17</f>
        <v>70016.349600000001</v>
      </c>
      <c r="BP554" s="6">
        <f>Grandview_Inventory[[#This Row],[Plumbing Fixtures]]*Lookups!$B$18</f>
        <v>18093.976200000001</v>
      </c>
      <c r="BQ554" s="6">
        <f>Grandview_Inventory[[#This Row],[detatched_value]]*Lookups!$B$19</f>
        <v>0</v>
      </c>
      <c r="BR554" s="6">
        <f>SUM(Grandview_Inventory[[#This Row],[Intercept]:[det_value]])*Grandview_Inventory[[#This Row],[res_pct]]</f>
        <v>392815.90484800003</v>
      </c>
      <c r="BS554" s="6">
        <f>Grandview_Inventory[[#This Row],[land_value]]</f>
        <v>54403.117616176372</v>
      </c>
      <c r="BT554" s="4">
        <f>_xlfn.IFNA(VLOOKUP(Grandview_Inventory[[#This Row],[quality]],Lookups!$A$26:$C$33,3,FALSE),1)</f>
        <v>0.94295468617355149</v>
      </c>
      <c r="BU554" s="4">
        <f>_xlfn.IFNA(VLOOKUP(Grandview_Inventory[[#This Row],[condition]],Lookups!$A$37:$C$44,3,FALSE),1)</f>
        <v>0.94347925387812148</v>
      </c>
      <c r="BV554" s="4">
        <f>IF(Grandview_Inventory[[#This Row],[bldg_style]]="",1,_xlfn.IFNA(VLOOKUP(Grandview_Inventory[[#This Row],[decade]],Lookups!$F$29:$H$43,3,FALSE),1))</f>
        <v>0.9413635517371044</v>
      </c>
      <c r="BW554" s="4">
        <f>_xlfn.IFNA(VLOOKUP(Grandview_Inventory[[#This Row],[living_area_range]],Lookups!$F$47:$H$56,3,FALSE),1)</f>
        <v>0.96120133463014379</v>
      </c>
      <c r="BX554" s="4">
        <f>AVERAGE(Grandview_Inventory[[#This Row],[qual_adj]:[size_adj]])</f>
        <v>0.94724970660473029</v>
      </c>
      <c r="BY554" s="6">
        <f>IF(Grandview_Inventory[[#This Row],[pre_res]]&lt;0,0,Grandview_Inventory[[#This Row],[pre_res]]*Grandview_Inventory[[#This Row],[overall_adj]])</f>
        <v>372094.75061693968</v>
      </c>
      <c r="BZ554" s="6">
        <f>(Grandview_Inventory[[#This Row],[sum_land]]-IF(Grandview_Inventory[[#This Row],[no_utilities]]=1,12000,0))/IF(Grandview_Inventory[[#This Row],[unbuildable]]=1,2,1)</f>
        <v>54403.117616176372</v>
      </c>
      <c r="CA554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554">
        <f>ROUND(Grandview_Inventory[[#This Row],[det_value]]*Lookups!$M$28,-2)</f>
        <v>0</v>
      </c>
      <c r="CC554">
        <f>IF(ROUND(Grandview_Inventory[[#This Row],[adj_res]]*Lookups!$M$28,-2)&lt;Grandview_Inventory[[#This Row],[min_res]],Grandview_Inventory[[#This Row],[min_res]],ROUND(Grandview_Inventory[[#This Row],[adj_res]]*Lookups!$M$28,-2))</f>
        <v>353500</v>
      </c>
      <c r="CD554">
        <f>Grandview_Inventory[[#This Row],[final_det]]+Grandview_Inventory[[#This Row],[final_res]]</f>
        <v>353500</v>
      </c>
      <c r="CE554">
        <f>Grandview_Inventory[[#This Row],[final_land]]+Grandview_Inventory[[#This Row],[final_imp]]+Grandview_Inventory[[#This Row],[crop_value]]</f>
        <v>405200</v>
      </c>
      <c r="CG554" t="str">
        <f t="shared" si="8"/>
        <v>update valuation set market_land =51700, market_bldg=353500, market_total =405200, market_mdno =401, market_date ='9/10/2023' where link_id = (select link_id from parcel where parcel_year = '2024' and parcel_id = '23092221450');</v>
      </c>
    </row>
    <row r="555" spans="1:85" x14ac:dyDescent="0.25">
      <c r="A555">
        <v>23092221452</v>
      </c>
      <c r="B555" t="s">
        <v>129</v>
      </c>
      <c r="C555">
        <v>8276</v>
      </c>
      <c r="D555" t="s">
        <v>129</v>
      </c>
      <c r="E555" t="s">
        <v>53</v>
      </c>
      <c r="F555" t="s">
        <v>53</v>
      </c>
      <c r="G555">
        <v>4</v>
      </c>
      <c r="H555" t="s">
        <v>54</v>
      </c>
      <c r="I555" t="s">
        <v>129</v>
      </c>
      <c r="J555">
        <v>32700</v>
      </c>
      <c r="K555">
        <v>0.19</v>
      </c>
      <c r="L55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55">
        <v>0</v>
      </c>
      <c r="N555">
        <v>0</v>
      </c>
      <c r="O555">
        <v>0</v>
      </c>
      <c r="P555">
        <v>13398.7528</v>
      </c>
      <c r="Q555">
        <v>63903</v>
      </c>
      <c r="R555">
        <f>(Grandview_Inventory[[#This Row],[ln_acres]]*Grandview_Inventory[[#This Row],[coeff]])+Grandview_Inventory[[#This Row],[const]]</f>
        <v>41651.273092551026</v>
      </c>
      <c r="S555" t="s">
        <v>61</v>
      </c>
      <c r="T555">
        <v>1</v>
      </c>
      <c r="U555" t="s">
        <v>62</v>
      </c>
      <c r="V555" t="s">
        <v>57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1500</v>
      </c>
      <c r="AC555">
        <v>1412</v>
      </c>
      <c r="AD555">
        <v>1412</v>
      </c>
      <c r="AE555">
        <v>0</v>
      </c>
      <c r="AF555">
        <v>0</v>
      </c>
      <c r="AG555">
        <v>0</v>
      </c>
      <c r="AH555">
        <v>0</v>
      </c>
      <c r="AI555">
        <v>400</v>
      </c>
      <c r="AJ555">
        <v>0</v>
      </c>
      <c r="AK555">
        <v>0</v>
      </c>
      <c r="AL555">
        <v>0</v>
      </c>
      <c r="AM555">
        <v>100</v>
      </c>
      <c r="AN555">
        <v>24</v>
      </c>
      <c r="AO555">
        <v>0</v>
      </c>
      <c r="AP555">
        <v>9</v>
      </c>
      <c r="AQ555">
        <v>0</v>
      </c>
      <c r="AR555">
        <v>0</v>
      </c>
      <c r="AS555" t="s">
        <v>58</v>
      </c>
      <c r="AT555">
        <v>1</v>
      </c>
      <c r="AU555" t="s">
        <v>59</v>
      </c>
      <c r="AV555" t="s">
        <v>60</v>
      </c>
      <c r="AW555">
        <v>1</v>
      </c>
      <c r="AX555">
        <v>3</v>
      </c>
      <c r="AY555">
        <v>0</v>
      </c>
      <c r="AZ555">
        <v>0</v>
      </c>
      <c r="BA555">
        <v>100</v>
      </c>
      <c r="BB555">
        <v>100</v>
      </c>
      <c r="BC555">
        <v>100</v>
      </c>
      <c r="BD555">
        <v>100</v>
      </c>
      <c r="BE555">
        <v>1</v>
      </c>
      <c r="BF555">
        <v>15000</v>
      </c>
      <c r="BG555">
        <v>1000</v>
      </c>
      <c r="BH555" s="6">
        <f>Grandview_Inventory[[#This Row],[land_extract]]*Lookups!$B$3</f>
        <v>48369.510983942157</v>
      </c>
      <c r="BI555" s="6">
        <f>IF(Grandview_Inventory[[#This Row],[bldg_style]]="",0,Lookups!$B$2)</f>
        <v>155833.95000000001</v>
      </c>
      <c r="BJ555" s="6">
        <f>_xlfn.IFNA(VLOOKUP(Grandview_Inventory[[#This Row],[quality]],Lookups!$H$2:$J$14,3,FALSE),0)</f>
        <v>9808</v>
      </c>
      <c r="BK555" s="6">
        <f>_xlfn.IFNA(VLOOKUP(Grandview_Inventory[[#This Row],[condition]],Lookups!$H$17:$J$24,3,FALSE),0)</f>
        <v>25780</v>
      </c>
      <c r="BL555" s="6">
        <f>Grandview_Inventory[[#This Row],[Eff_Age]]*Lookups!$B$14</f>
        <v>0</v>
      </c>
      <c r="BM555" s="6">
        <f>Grandview_Inventory[[#This Row],[living_area]]*Lookups!$B$15</f>
        <v>88081.764435999998</v>
      </c>
      <c r="BN555" s="6">
        <f>Grandview_Inventory[[#This Row],[Fin BSMT]]*Lookups!$B$16</f>
        <v>0</v>
      </c>
      <c r="BO555" s="6">
        <f>(Grandview_Inventory[[#This Row],[att_gar]]+Grandview_Inventory[[#This Row],[bltin_gar]])*Lookups!$B$17</f>
        <v>35008.174800000001</v>
      </c>
      <c r="BP555" s="6">
        <f>Grandview_Inventory[[#This Row],[Plumbing Fixtures]]*Lookups!$B$18</f>
        <v>18093.976200000001</v>
      </c>
      <c r="BQ555" s="6">
        <f>Grandview_Inventory[[#This Row],[detatched_value]]*Lookups!$B$19</f>
        <v>0</v>
      </c>
      <c r="BR555" s="6">
        <f>SUM(Grandview_Inventory[[#This Row],[Intercept]:[det_value]])*Grandview_Inventory[[#This Row],[res_pct]]</f>
        <v>332605.86543599993</v>
      </c>
      <c r="BS555" s="6">
        <f>Grandview_Inventory[[#This Row],[land_value]]</f>
        <v>48369.510983942157</v>
      </c>
      <c r="BT555" s="4">
        <f>_xlfn.IFNA(VLOOKUP(Grandview_Inventory[[#This Row],[quality]],Lookups!$A$26:$C$33,3,FALSE),1)</f>
        <v>0.94295468617355149</v>
      </c>
      <c r="BU555" s="4">
        <f>_xlfn.IFNA(VLOOKUP(Grandview_Inventory[[#This Row],[condition]],Lookups!$A$37:$C$44,3,FALSE),1)</f>
        <v>0.94347925387812148</v>
      </c>
      <c r="BV555" s="4">
        <f>IF(Grandview_Inventory[[#This Row],[bldg_style]]="",1,_xlfn.IFNA(VLOOKUP(Grandview_Inventory[[#This Row],[decade]],Lookups!$F$29:$H$43,3,FALSE),1))</f>
        <v>0.9413635517371044</v>
      </c>
      <c r="BW555" s="4">
        <f>_xlfn.IFNA(VLOOKUP(Grandview_Inventory[[#This Row],[living_area_range]],Lookups!$F$47:$H$56,3,FALSE),1)</f>
        <v>0.96135087979789358</v>
      </c>
      <c r="BX555" s="4">
        <f>AVERAGE(Grandview_Inventory[[#This Row],[qual_adj]:[size_adj]])</f>
        <v>0.94728709289666768</v>
      </c>
      <c r="BY555" s="6">
        <f>IF(Grandview_Inventory[[#This Row],[pre_res]]&lt;0,0,Grandview_Inventory[[#This Row],[pre_res]]*Grandview_Inventory[[#This Row],[overall_adj]])</f>
        <v>315073.2433492486</v>
      </c>
      <c r="BZ555" s="6">
        <f>(Grandview_Inventory[[#This Row],[sum_land]]-IF(Grandview_Inventory[[#This Row],[no_utilities]]=1,12000,0))/IF(Grandview_Inventory[[#This Row],[unbuildable]]=1,2,1)</f>
        <v>48369.510983942157</v>
      </c>
      <c r="CA55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55">
        <f>ROUND(Grandview_Inventory[[#This Row],[det_value]]*Lookups!$M$28,-2)</f>
        <v>0</v>
      </c>
      <c r="CC555">
        <f>IF(ROUND(Grandview_Inventory[[#This Row],[adj_res]]*Lookups!$M$28,-2)&lt;Grandview_Inventory[[#This Row],[min_res]],Grandview_Inventory[[#This Row],[min_res]],ROUND(Grandview_Inventory[[#This Row],[adj_res]]*Lookups!$M$28,-2))</f>
        <v>299300</v>
      </c>
      <c r="CD555">
        <f>Grandview_Inventory[[#This Row],[final_det]]+Grandview_Inventory[[#This Row],[final_res]]</f>
        <v>299300</v>
      </c>
      <c r="CE555">
        <f>Grandview_Inventory[[#This Row],[final_land]]+Grandview_Inventory[[#This Row],[final_imp]]+Grandview_Inventory[[#This Row],[crop_value]]</f>
        <v>345300</v>
      </c>
      <c r="CG555" t="str">
        <f t="shared" si="8"/>
        <v>update valuation set market_land =46000, market_bldg=299300, market_total =345300, market_mdno =401, market_date ='9/10/2023' where link_id = (select link_id from parcel where parcel_year = '2024' and parcel_id = '23092221452');</v>
      </c>
    </row>
    <row r="556" spans="1:85" x14ac:dyDescent="0.25">
      <c r="A556">
        <v>23092221453</v>
      </c>
      <c r="B556" t="s">
        <v>129</v>
      </c>
      <c r="C556">
        <v>8504</v>
      </c>
      <c r="D556" t="s">
        <v>129</v>
      </c>
      <c r="E556" t="s">
        <v>53</v>
      </c>
      <c r="F556" t="s">
        <v>53</v>
      </c>
      <c r="G556">
        <v>4</v>
      </c>
      <c r="H556" t="s">
        <v>54</v>
      </c>
      <c r="I556" t="s">
        <v>129</v>
      </c>
      <c r="J556">
        <v>32700</v>
      </c>
      <c r="K556">
        <v>0.2</v>
      </c>
      <c r="L55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56">
        <v>0</v>
      </c>
      <c r="N556">
        <v>0</v>
      </c>
      <c r="O556">
        <v>0</v>
      </c>
      <c r="P556">
        <v>13398.7528</v>
      </c>
      <c r="Q556">
        <v>63903</v>
      </c>
      <c r="R556">
        <f>(Grandview_Inventory[[#This Row],[ln_acres]]*Grandview_Inventory[[#This Row],[coeff]])+Grandview_Inventory[[#This Row],[const]]</f>
        <v>42338.539264347448</v>
      </c>
      <c r="S556" t="s">
        <v>61</v>
      </c>
      <c r="T556">
        <v>1</v>
      </c>
      <c r="U556" t="s">
        <v>62</v>
      </c>
      <c r="V556" t="s">
        <v>57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2000</v>
      </c>
      <c r="AC556">
        <v>1816</v>
      </c>
      <c r="AD556">
        <v>1816</v>
      </c>
      <c r="AE556">
        <v>0</v>
      </c>
      <c r="AF556">
        <v>0</v>
      </c>
      <c r="AG556">
        <v>0</v>
      </c>
      <c r="AH556">
        <v>0</v>
      </c>
      <c r="AI556">
        <v>500</v>
      </c>
      <c r="AJ556">
        <v>0</v>
      </c>
      <c r="AK556">
        <v>0</v>
      </c>
      <c r="AL556">
        <v>0</v>
      </c>
      <c r="AM556">
        <v>0</v>
      </c>
      <c r="AN556">
        <v>142</v>
      </c>
      <c r="AO556">
        <v>0</v>
      </c>
      <c r="AP556">
        <v>12</v>
      </c>
      <c r="AQ556">
        <v>0</v>
      </c>
      <c r="AR556">
        <v>0</v>
      </c>
      <c r="AS556" t="s">
        <v>58</v>
      </c>
      <c r="AT556">
        <v>1</v>
      </c>
      <c r="AU556" t="s">
        <v>59</v>
      </c>
      <c r="AV556" t="s">
        <v>60</v>
      </c>
      <c r="AW556">
        <v>1</v>
      </c>
      <c r="AX556">
        <v>3</v>
      </c>
      <c r="AY556">
        <v>0</v>
      </c>
      <c r="AZ556">
        <v>0</v>
      </c>
      <c r="BA556">
        <v>100</v>
      </c>
      <c r="BB556">
        <v>100</v>
      </c>
      <c r="BC556">
        <v>100</v>
      </c>
      <c r="BD556">
        <v>100</v>
      </c>
      <c r="BE556">
        <v>1</v>
      </c>
      <c r="BF556">
        <v>15000</v>
      </c>
      <c r="BG556">
        <v>1000</v>
      </c>
      <c r="BH556" s="6">
        <f>Grandview_Inventory[[#This Row],[land_extract]]*Lookups!$B$3</f>
        <v>49167.631333630678</v>
      </c>
      <c r="BI556" s="6">
        <f>IF(Grandview_Inventory[[#This Row],[bldg_style]]="",0,Lookups!$B$2)</f>
        <v>155833.95000000001</v>
      </c>
      <c r="BJ556" s="6">
        <f>_xlfn.IFNA(VLOOKUP(Grandview_Inventory[[#This Row],[quality]],Lookups!$H$2:$J$14,3,FALSE),0)</f>
        <v>9808</v>
      </c>
      <c r="BK556" s="6">
        <f>_xlfn.IFNA(VLOOKUP(Grandview_Inventory[[#This Row],[condition]],Lookups!$H$17:$J$24,3,FALSE),0)</f>
        <v>25780</v>
      </c>
      <c r="BL556" s="6">
        <f>Grandview_Inventory[[#This Row],[Eff_Age]]*Lookups!$B$14</f>
        <v>0</v>
      </c>
      <c r="BM556" s="6">
        <f>Grandview_Inventory[[#This Row],[living_area]]*Lookups!$B$15</f>
        <v>113283.629048</v>
      </c>
      <c r="BN556" s="6">
        <f>Grandview_Inventory[[#This Row],[Fin BSMT]]*Lookups!$B$16</f>
        <v>0</v>
      </c>
      <c r="BO556" s="6">
        <f>(Grandview_Inventory[[#This Row],[att_gar]]+Grandview_Inventory[[#This Row],[bltin_gar]])*Lookups!$B$17</f>
        <v>43760.218500000003</v>
      </c>
      <c r="BP556" s="6">
        <f>Grandview_Inventory[[#This Row],[Plumbing Fixtures]]*Lookups!$B$18</f>
        <v>24125.301599999999</v>
      </c>
      <c r="BQ556" s="6">
        <f>Grandview_Inventory[[#This Row],[detatched_value]]*Lookups!$B$19</f>
        <v>0</v>
      </c>
      <c r="BR556" s="6">
        <f>SUM(Grandview_Inventory[[#This Row],[Intercept]:[det_value]])*Grandview_Inventory[[#This Row],[res_pct]]</f>
        <v>372591.09914800007</v>
      </c>
      <c r="BS556" s="6">
        <f>Grandview_Inventory[[#This Row],[land_value]]</f>
        <v>49167.631333630678</v>
      </c>
      <c r="BT556" s="4">
        <f>_xlfn.IFNA(VLOOKUP(Grandview_Inventory[[#This Row],[quality]],Lookups!$A$26:$C$33,3,FALSE),1)</f>
        <v>0.94295468617355149</v>
      </c>
      <c r="BU556" s="4">
        <f>_xlfn.IFNA(VLOOKUP(Grandview_Inventory[[#This Row],[condition]],Lookups!$A$37:$C$44,3,FALSE),1)</f>
        <v>0.94347925387812148</v>
      </c>
      <c r="BV556" s="4">
        <f>IF(Grandview_Inventory[[#This Row],[bldg_style]]="",1,_xlfn.IFNA(VLOOKUP(Grandview_Inventory[[#This Row],[decade]],Lookups!$F$29:$H$43,3,FALSE),1))</f>
        <v>0.9413635517371044</v>
      </c>
      <c r="BW556" s="4">
        <f>_xlfn.IFNA(VLOOKUP(Grandview_Inventory[[#This Row],[living_area_range]],Lookups!$F$47:$H$56,3,FALSE),1)</f>
        <v>0.96120133463014379</v>
      </c>
      <c r="BX556" s="4">
        <f>AVERAGE(Grandview_Inventory[[#This Row],[qual_adj]:[size_adj]])</f>
        <v>0.94724970660473029</v>
      </c>
      <c r="BY556" s="6">
        <f>IF(Grandview_Inventory[[#This Row],[pre_res]]&lt;0,0,Grandview_Inventory[[#This Row],[pre_res]]*Grandview_Inventory[[#This Row],[overall_adj]])</f>
        <v>352936.80935147702</v>
      </c>
      <c r="BZ556" s="6">
        <f>(Grandview_Inventory[[#This Row],[sum_land]]-IF(Grandview_Inventory[[#This Row],[no_utilities]]=1,12000,0))/IF(Grandview_Inventory[[#This Row],[unbuildable]]=1,2,1)</f>
        <v>49167.631333630678</v>
      </c>
      <c r="CA55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56">
        <f>ROUND(Grandview_Inventory[[#This Row],[det_value]]*Lookups!$M$28,-2)</f>
        <v>0</v>
      </c>
      <c r="CC556">
        <f>IF(ROUND(Grandview_Inventory[[#This Row],[adj_res]]*Lookups!$M$28,-2)&lt;Grandview_Inventory[[#This Row],[min_res]],Grandview_Inventory[[#This Row],[min_res]],ROUND(Grandview_Inventory[[#This Row],[adj_res]]*Lookups!$M$28,-2))</f>
        <v>335300</v>
      </c>
      <c r="CD556">
        <f>Grandview_Inventory[[#This Row],[final_det]]+Grandview_Inventory[[#This Row],[final_res]]</f>
        <v>335300</v>
      </c>
      <c r="CE556">
        <f>Grandview_Inventory[[#This Row],[final_land]]+Grandview_Inventory[[#This Row],[final_imp]]+Grandview_Inventory[[#This Row],[crop_value]]</f>
        <v>382000</v>
      </c>
      <c r="CG556" t="str">
        <f t="shared" si="8"/>
        <v>update valuation set market_land =46700, market_bldg=335300, market_total =382000, market_mdno =401, market_date ='9/10/2023' where link_id = (select link_id from parcel where parcel_year = '2024' and parcel_id = '23092221453');</v>
      </c>
    </row>
    <row r="557" spans="1:85" x14ac:dyDescent="0.25">
      <c r="A557">
        <v>23092221454</v>
      </c>
      <c r="B557" t="s">
        <v>129</v>
      </c>
      <c r="C557">
        <v>8733</v>
      </c>
      <c r="D557" t="s">
        <v>129</v>
      </c>
      <c r="E557" t="s">
        <v>53</v>
      </c>
      <c r="F557" t="s">
        <v>53</v>
      </c>
      <c r="G557">
        <v>4</v>
      </c>
      <c r="H557" t="s">
        <v>54</v>
      </c>
      <c r="I557" t="s">
        <v>129</v>
      </c>
      <c r="J557">
        <v>32800</v>
      </c>
      <c r="K557">
        <v>0.2</v>
      </c>
      <c r="L55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57">
        <v>0</v>
      </c>
      <c r="N557">
        <v>0</v>
      </c>
      <c r="O557">
        <v>0</v>
      </c>
      <c r="P557">
        <v>13398.7528</v>
      </c>
      <c r="Q557">
        <v>63903</v>
      </c>
      <c r="R557">
        <f>(Grandview_Inventory[[#This Row],[ln_acres]]*Grandview_Inventory[[#This Row],[coeff]])+Grandview_Inventory[[#This Row],[const]]</f>
        <v>42338.539264347448</v>
      </c>
      <c r="S557" t="s">
        <v>61</v>
      </c>
      <c r="T557">
        <v>1</v>
      </c>
      <c r="U557" t="s">
        <v>65</v>
      </c>
      <c r="V557" t="s">
        <v>57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1500</v>
      </c>
      <c r="AC557">
        <v>1235</v>
      </c>
      <c r="AD557">
        <v>1235</v>
      </c>
      <c r="AE557">
        <v>0</v>
      </c>
      <c r="AF557">
        <v>0</v>
      </c>
      <c r="AG557">
        <v>0</v>
      </c>
      <c r="AH557">
        <v>0</v>
      </c>
      <c r="AI557">
        <v>409</v>
      </c>
      <c r="AJ557">
        <v>0</v>
      </c>
      <c r="AK557">
        <v>0</v>
      </c>
      <c r="AL557">
        <v>0</v>
      </c>
      <c r="AM557">
        <v>100</v>
      </c>
      <c r="AN557">
        <v>20</v>
      </c>
      <c r="AO557">
        <v>0</v>
      </c>
      <c r="AP557">
        <v>9</v>
      </c>
      <c r="AQ557">
        <v>0</v>
      </c>
      <c r="AR557">
        <v>0</v>
      </c>
      <c r="AS557" t="s">
        <v>58</v>
      </c>
      <c r="AT557">
        <v>1</v>
      </c>
      <c r="AU557" t="s">
        <v>59</v>
      </c>
      <c r="AV557" t="s">
        <v>60</v>
      </c>
      <c r="AW557">
        <v>1</v>
      </c>
      <c r="AX557">
        <v>3</v>
      </c>
      <c r="AY557">
        <v>0</v>
      </c>
      <c r="AZ557">
        <v>0</v>
      </c>
      <c r="BA557">
        <v>100</v>
      </c>
      <c r="BB557">
        <v>100</v>
      </c>
      <c r="BC557">
        <v>100</v>
      </c>
      <c r="BD557">
        <v>100</v>
      </c>
      <c r="BE557">
        <v>1</v>
      </c>
      <c r="BF557">
        <v>15000</v>
      </c>
      <c r="BG557">
        <v>1000</v>
      </c>
      <c r="BH557" s="6">
        <f>Grandview_Inventory[[#This Row],[land_extract]]*Lookups!$B$3</f>
        <v>49167.631333630678</v>
      </c>
      <c r="BI557" s="6">
        <f>IF(Grandview_Inventory[[#This Row],[bldg_style]]="",0,Lookups!$B$2)</f>
        <v>155833.95000000001</v>
      </c>
      <c r="BJ557" s="6">
        <f>_xlfn.IFNA(VLOOKUP(Grandview_Inventory[[#This Row],[quality]],Lookups!$H$2:$J$14,3,FALSE),0)</f>
        <v>2251</v>
      </c>
      <c r="BK557" s="6">
        <f>_xlfn.IFNA(VLOOKUP(Grandview_Inventory[[#This Row],[condition]],Lookups!$H$17:$J$24,3,FALSE),0)</f>
        <v>25780</v>
      </c>
      <c r="BL557" s="6">
        <f>Grandview_Inventory[[#This Row],[Eff_Age]]*Lookups!$B$14</f>
        <v>0</v>
      </c>
      <c r="BM557" s="6">
        <f>Grandview_Inventory[[#This Row],[living_area]]*Lookups!$B$15</f>
        <v>77040.353455000004</v>
      </c>
      <c r="BN557" s="6">
        <f>Grandview_Inventory[[#This Row],[Fin BSMT]]*Lookups!$B$16</f>
        <v>0</v>
      </c>
      <c r="BO557" s="6">
        <f>(Grandview_Inventory[[#This Row],[att_gar]]+Grandview_Inventory[[#This Row],[bltin_gar]])*Lookups!$B$17</f>
        <v>35795.858733000001</v>
      </c>
      <c r="BP557" s="6">
        <f>Grandview_Inventory[[#This Row],[Plumbing Fixtures]]*Lookups!$B$18</f>
        <v>18093.976200000001</v>
      </c>
      <c r="BQ557" s="6">
        <f>Grandview_Inventory[[#This Row],[detatched_value]]*Lookups!$B$19</f>
        <v>0</v>
      </c>
      <c r="BR557" s="6">
        <f>SUM(Grandview_Inventory[[#This Row],[Intercept]:[det_value]])*Grandview_Inventory[[#This Row],[res_pct]]</f>
        <v>314795.13838800002</v>
      </c>
      <c r="BS557" s="6">
        <f>Grandview_Inventory[[#This Row],[land_value]]</f>
        <v>49167.631333630678</v>
      </c>
      <c r="BT557" s="4">
        <f>_xlfn.IFNA(VLOOKUP(Grandview_Inventory[[#This Row],[quality]],Lookups!$A$26:$C$33,3,FALSE),1)</f>
        <v>0.98763855981004833</v>
      </c>
      <c r="BU557" s="4">
        <f>_xlfn.IFNA(VLOOKUP(Grandview_Inventory[[#This Row],[condition]],Lookups!$A$37:$C$44,3,FALSE),1)</f>
        <v>0.94347925387812148</v>
      </c>
      <c r="BV557" s="4">
        <f>IF(Grandview_Inventory[[#This Row],[bldg_style]]="",1,_xlfn.IFNA(VLOOKUP(Grandview_Inventory[[#This Row],[decade]],Lookups!$F$29:$H$43,3,FALSE),1))</f>
        <v>0.9413635517371044</v>
      </c>
      <c r="BW557" s="4">
        <f>_xlfn.IFNA(VLOOKUP(Grandview_Inventory[[#This Row],[living_area_range]],Lookups!$F$47:$H$56,3,FALSE),1)</f>
        <v>0.96135087979789358</v>
      </c>
      <c r="BX557" s="4">
        <f>AVERAGE(Grandview_Inventory[[#This Row],[qual_adj]:[size_adj]])</f>
        <v>0.95845806130579192</v>
      </c>
      <c r="BY557" s="6">
        <f>IF(Grandview_Inventory[[#This Row],[pre_res]]&lt;0,0,Grandview_Inventory[[#This Row],[pre_res]]*Grandview_Inventory[[#This Row],[overall_adj]])</f>
        <v>301717.93804785097</v>
      </c>
      <c r="BZ557" s="6">
        <f>(Grandview_Inventory[[#This Row],[sum_land]]-IF(Grandview_Inventory[[#This Row],[no_utilities]]=1,12000,0))/IF(Grandview_Inventory[[#This Row],[unbuildable]]=1,2,1)</f>
        <v>49167.631333630678</v>
      </c>
      <c r="CA55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57">
        <f>ROUND(Grandview_Inventory[[#This Row],[det_value]]*Lookups!$M$28,-2)</f>
        <v>0</v>
      </c>
      <c r="CC557">
        <f>IF(ROUND(Grandview_Inventory[[#This Row],[adj_res]]*Lookups!$M$28,-2)&lt;Grandview_Inventory[[#This Row],[min_res]],Grandview_Inventory[[#This Row],[min_res]],ROUND(Grandview_Inventory[[#This Row],[adj_res]]*Lookups!$M$28,-2))</f>
        <v>286600</v>
      </c>
      <c r="CD557">
        <f>Grandview_Inventory[[#This Row],[final_det]]+Grandview_Inventory[[#This Row],[final_res]]</f>
        <v>286600</v>
      </c>
      <c r="CE557">
        <f>Grandview_Inventory[[#This Row],[final_land]]+Grandview_Inventory[[#This Row],[final_imp]]+Grandview_Inventory[[#This Row],[crop_value]]</f>
        <v>333300</v>
      </c>
      <c r="CG557" t="str">
        <f t="shared" si="8"/>
        <v>update valuation set market_land =46700, market_bldg=286600, market_total =333300, market_mdno =401, market_date ='9/10/2023' where link_id = (select link_id from parcel where parcel_year = '2024' and parcel_id = '23092221454');</v>
      </c>
    </row>
    <row r="558" spans="1:85" x14ac:dyDescent="0.25">
      <c r="A558">
        <v>23092221455</v>
      </c>
      <c r="B558" t="s">
        <v>129</v>
      </c>
      <c r="C558">
        <v>8962</v>
      </c>
      <c r="D558" t="s">
        <v>129</v>
      </c>
      <c r="E558" t="s">
        <v>53</v>
      </c>
      <c r="F558" t="s">
        <v>53</v>
      </c>
      <c r="G558">
        <v>4</v>
      </c>
      <c r="H558" t="s">
        <v>54</v>
      </c>
      <c r="I558" t="s">
        <v>129</v>
      </c>
      <c r="J558">
        <v>32700</v>
      </c>
      <c r="K558">
        <v>0.21</v>
      </c>
      <c r="L55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58">
        <v>0</v>
      </c>
      <c r="N558">
        <v>0</v>
      </c>
      <c r="O558">
        <v>0</v>
      </c>
      <c r="P558">
        <v>13398.7528</v>
      </c>
      <c r="Q558">
        <v>63903</v>
      </c>
      <c r="R558">
        <f>(Grandview_Inventory[[#This Row],[ln_acres]]*Grandview_Inventory[[#This Row],[coeff]])+Grandview_Inventory[[#This Row],[const]]</f>
        <v>42992.266613125081</v>
      </c>
      <c r="S558" t="s">
        <v>61</v>
      </c>
      <c r="T558">
        <v>1</v>
      </c>
      <c r="U558" t="s">
        <v>62</v>
      </c>
      <c r="V558" t="s">
        <v>57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1500</v>
      </c>
      <c r="AC558">
        <v>1412</v>
      </c>
      <c r="AD558">
        <v>1412</v>
      </c>
      <c r="AE558">
        <v>0</v>
      </c>
      <c r="AF558">
        <v>0</v>
      </c>
      <c r="AG558">
        <v>0</v>
      </c>
      <c r="AH558">
        <v>0</v>
      </c>
      <c r="AI558">
        <v>400</v>
      </c>
      <c r="AJ558">
        <v>0</v>
      </c>
      <c r="AK558">
        <v>0</v>
      </c>
      <c r="AL558">
        <v>0</v>
      </c>
      <c r="AM558">
        <v>100</v>
      </c>
      <c r="AN558">
        <v>24</v>
      </c>
      <c r="AO558">
        <v>0</v>
      </c>
      <c r="AP558">
        <v>9</v>
      </c>
      <c r="AQ558">
        <v>0</v>
      </c>
      <c r="AR558">
        <v>0</v>
      </c>
      <c r="AS558" t="s">
        <v>58</v>
      </c>
      <c r="AT558">
        <v>1</v>
      </c>
      <c r="AU558" t="s">
        <v>59</v>
      </c>
      <c r="AV558" t="s">
        <v>60</v>
      </c>
      <c r="AW558">
        <v>1</v>
      </c>
      <c r="AX558">
        <v>3</v>
      </c>
      <c r="AY558">
        <v>0</v>
      </c>
      <c r="AZ558">
        <v>0</v>
      </c>
      <c r="BA558">
        <v>100</v>
      </c>
      <c r="BB558">
        <v>100</v>
      </c>
      <c r="BC558">
        <v>100</v>
      </c>
      <c r="BD558">
        <v>100</v>
      </c>
      <c r="BE558">
        <v>1</v>
      </c>
      <c r="BF558">
        <v>15000</v>
      </c>
      <c r="BG558">
        <v>1000</v>
      </c>
      <c r="BH558" s="6">
        <f>Grandview_Inventory[[#This Row],[land_extract]]*Lookups!$B$3</f>
        <v>49926.8031387023</v>
      </c>
      <c r="BI558" s="6">
        <f>IF(Grandview_Inventory[[#This Row],[bldg_style]]="",0,Lookups!$B$2)</f>
        <v>155833.95000000001</v>
      </c>
      <c r="BJ558" s="6">
        <f>_xlfn.IFNA(VLOOKUP(Grandview_Inventory[[#This Row],[quality]],Lookups!$H$2:$J$14,3,FALSE),0)</f>
        <v>9808</v>
      </c>
      <c r="BK558" s="6">
        <f>_xlfn.IFNA(VLOOKUP(Grandview_Inventory[[#This Row],[condition]],Lookups!$H$17:$J$24,3,FALSE),0)</f>
        <v>25780</v>
      </c>
      <c r="BL558" s="6">
        <f>Grandview_Inventory[[#This Row],[Eff_Age]]*Lookups!$B$14</f>
        <v>0</v>
      </c>
      <c r="BM558" s="6">
        <f>Grandview_Inventory[[#This Row],[living_area]]*Lookups!$B$15</f>
        <v>88081.764435999998</v>
      </c>
      <c r="BN558" s="6">
        <f>Grandview_Inventory[[#This Row],[Fin BSMT]]*Lookups!$B$16</f>
        <v>0</v>
      </c>
      <c r="BO558" s="6">
        <f>(Grandview_Inventory[[#This Row],[att_gar]]+Grandview_Inventory[[#This Row],[bltin_gar]])*Lookups!$B$17</f>
        <v>35008.174800000001</v>
      </c>
      <c r="BP558" s="6">
        <f>Grandview_Inventory[[#This Row],[Plumbing Fixtures]]*Lookups!$B$18</f>
        <v>18093.976200000001</v>
      </c>
      <c r="BQ558" s="6">
        <f>Grandview_Inventory[[#This Row],[detatched_value]]*Lookups!$B$19</f>
        <v>0</v>
      </c>
      <c r="BR558" s="6">
        <f>SUM(Grandview_Inventory[[#This Row],[Intercept]:[det_value]])*Grandview_Inventory[[#This Row],[res_pct]]</f>
        <v>332605.86543599993</v>
      </c>
      <c r="BS558" s="6">
        <f>Grandview_Inventory[[#This Row],[land_value]]</f>
        <v>49926.8031387023</v>
      </c>
      <c r="BT558" s="4">
        <f>_xlfn.IFNA(VLOOKUP(Grandview_Inventory[[#This Row],[quality]],Lookups!$A$26:$C$33,3,FALSE),1)</f>
        <v>0.94295468617355149</v>
      </c>
      <c r="BU558" s="4">
        <f>_xlfn.IFNA(VLOOKUP(Grandview_Inventory[[#This Row],[condition]],Lookups!$A$37:$C$44,3,FALSE),1)</f>
        <v>0.94347925387812148</v>
      </c>
      <c r="BV558" s="4">
        <f>IF(Grandview_Inventory[[#This Row],[bldg_style]]="",1,_xlfn.IFNA(VLOOKUP(Grandview_Inventory[[#This Row],[decade]],Lookups!$F$29:$H$43,3,FALSE),1))</f>
        <v>0.9413635517371044</v>
      </c>
      <c r="BW558" s="4">
        <f>_xlfn.IFNA(VLOOKUP(Grandview_Inventory[[#This Row],[living_area_range]],Lookups!$F$47:$H$56,3,FALSE),1)</f>
        <v>0.96135087979789358</v>
      </c>
      <c r="BX558" s="4">
        <f>AVERAGE(Grandview_Inventory[[#This Row],[qual_adj]:[size_adj]])</f>
        <v>0.94728709289666768</v>
      </c>
      <c r="BY558" s="6">
        <f>IF(Grandview_Inventory[[#This Row],[pre_res]]&lt;0,0,Grandview_Inventory[[#This Row],[pre_res]]*Grandview_Inventory[[#This Row],[overall_adj]])</f>
        <v>315073.2433492486</v>
      </c>
      <c r="BZ558" s="6">
        <f>(Grandview_Inventory[[#This Row],[sum_land]]-IF(Grandview_Inventory[[#This Row],[no_utilities]]=1,12000,0))/IF(Grandview_Inventory[[#This Row],[unbuildable]]=1,2,1)</f>
        <v>49926.8031387023</v>
      </c>
      <c r="CA55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58">
        <f>ROUND(Grandview_Inventory[[#This Row],[det_value]]*Lookups!$M$28,-2)</f>
        <v>0</v>
      </c>
      <c r="CC558">
        <f>IF(ROUND(Grandview_Inventory[[#This Row],[adj_res]]*Lookups!$M$28,-2)&lt;Grandview_Inventory[[#This Row],[min_res]],Grandview_Inventory[[#This Row],[min_res]],ROUND(Grandview_Inventory[[#This Row],[adj_res]]*Lookups!$M$28,-2))</f>
        <v>299300</v>
      </c>
      <c r="CD558">
        <f>Grandview_Inventory[[#This Row],[final_det]]+Grandview_Inventory[[#This Row],[final_res]]</f>
        <v>299300</v>
      </c>
      <c r="CE558">
        <f>Grandview_Inventory[[#This Row],[final_land]]+Grandview_Inventory[[#This Row],[final_imp]]+Grandview_Inventory[[#This Row],[crop_value]]</f>
        <v>346700</v>
      </c>
      <c r="CG558" t="str">
        <f t="shared" si="8"/>
        <v>update valuation set market_land =47400, market_bldg=299300, market_total =346700, market_mdno =401, market_date ='9/10/2023' where link_id = (select link_id from parcel where parcel_year = '2024' and parcel_id = '23092221455');</v>
      </c>
    </row>
    <row r="559" spans="1:85" x14ac:dyDescent="0.25">
      <c r="A559">
        <v>23092221456</v>
      </c>
      <c r="B559" t="s">
        <v>129</v>
      </c>
      <c r="C559">
        <v>9219</v>
      </c>
      <c r="D559" t="s">
        <v>129</v>
      </c>
      <c r="E559" t="s">
        <v>53</v>
      </c>
      <c r="F559" t="s">
        <v>53</v>
      </c>
      <c r="G559">
        <v>4</v>
      </c>
      <c r="H559" t="s">
        <v>54</v>
      </c>
      <c r="I559" t="s">
        <v>129</v>
      </c>
      <c r="J559">
        <v>32800</v>
      </c>
      <c r="K559">
        <v>0.21</v>
      </c>
      <c r="L55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59">
        <v>0</v>
      </c>
      <c r="N559">
        <v>0</v>
      </c>
      <c r="O559">
        <v>0</v>
      </c>
      <c r="P559">
        <v>13398.7528</v>
      </c>
      <c r="Q559">
        <v>63903</v>
      </c>
      <c r="R559">
        <f>(Grandview_Inventory[[#This Row],[ln_acres]]*Grandview_Inventory[[#This Row],[coeff]])+Grandview_Inventory[[#This Row],[const]]</f>
        <v>42992.266613125081</v>
      </c>
      <c r="S559" t="s">
        <v>61</v>
      </c>
      <c r="T559">
        <v>1</v>
      </c>
      <c r="U559" t="s">
        <v>62</v>
      </c>
      <c r="V559" t="s">
        <v>57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2000</v>
      </c>
      <c r="AC559">
        <v>1653</v>
      </c>
      <c r="AD559">
        <v>1653</v>
      </c>
      <c r="AE559">
        <v>0</v>
      </c>
      <c r="AF559">
        <v>0</v>
      </c>
      <c r="AG559">
        <v>0</v>
      </c>
      <c r="AH559">
        <v>0</v>
      </c>
      <c r="AI559">
        <v>480</v>
      </c>
      <c r="AJ559">
        <v>0</v>
      </c>
      <c r="AK559">
        <v>0</v>
      </c>
      <c r="AL559">
        <v>0</v>
      </c>
      <c r="AM559">
        <v>156</v>
      </c>
      <c r="AN559">
        <v>78</v>
      </c>
      <c r="AO559">
        <v>0</v>
      </c>
      <c r="AP559">
        <v>9</v>
      </c>
      <c r="AQ559">
        <v>0</v>
      </c>
      <c r="AR559">
        <v>0</v>
      </c>
      <c r="AS559" t="s">
        <v>58</v>
      </c>
      <c r="AT559">
        <v>1</v>
      </c>
      <c r="AU559" t="s">
        <v>59</v>
      </c>
      <c r="AV559" t="s">
        <v>60</v>
      </c>
      <c r="AW559">
        <v>1</v>
      </c>
      <c r="AX559">
        <v>4</v>
      </c>
      <c r="AY559">
        <v>0</v>
      </c>
      <c r="AZ559">
        <v>0</v>
      </c>
      <c r="BA559">
        <v>100</v>
      </c>
      <c r="BB559">
        <v>100</v>
      </c>
      <c r="BC559">
        <v>100</v>
      </c>
      <c r="BD559">
        <v>100</v>
      </c>
      <c r="BE559">
        <v>1</v>
      </c>
      <c r="BF559">
        <v>15000</v>
      </c>
      <c r="BG559">
        <v>1000</v>
      </c>
      <c r="BH559" s="6">
        <f>Grandview_Inventory[[#This Row],[land_extract]]*Lookups!$B$3</f>
        <v>49926.8031387023</v>
      </c>
      <c r="BI559" s="6">
        <f>IF(Grandview_Inventory[[#This Row],[bldg_style]]="",0,Lookups!$B$2)</f>
        <v>155833.95000000001</v>
      </c>
      <c r="BJ559" s="6">
        <f>_xlfn.IFNA(VLOOKUP(Grandview_Inventory[[#This Row],[quality]],Lookups!$H$2:$J$14,3,FALSE),0)</f>
        <v>9808</v>
      </c>
      <c r="BK559" s="6">
        <f>_xlfn.IFNA(VLOOKUP(Grandview_Inventory[[#This Row],[condition]],Lookups!$H$17:$J$24,3,FALSE),0)</f>
        <v>25780</v>
      </c>
      <c r="BL559" s="6">
        <f>Grandview_Inventory[[#This Row],[Eff_Age]]*Lookups!$B$14</f>
        <v>0</v>
      </c>
      <c r="BM559" s="6">
        <f>Grandview_Inventory[[#This Row],[living_area]]*Lookups!$B$15</f>
        <v>103115.550009</v>
      </c>
      <c r="BN559" s="6">
        <f>Grandview_Inventory[[#This Row],[Fin BSMT]]*Lookups!$B$16</f>
        <v>0</v>
      </c>
      <c r="BO559" s="6">
        <f>(Grandview_Inventory[[#This Row],[att_gar]]+Grandview_Inventory[[#This Row],[bltin_gar]])*Lookups!$B$17</f>
        <v>42009.809760000004</v>
      </c>
      <c r="BP559" s="6">
        <f>Grandview_Inventory[[#This Row],[Plumbing Fixtures]]*Lookups!$B$18</f>
        <v>18093.976200000001</v>
      </c>
      <c r="BQ559" s="6">
        <f>Grandview_Inventory[[#This Row],[detatched_value]]*Lookups!$B$19</f>
        <v>0</v>
      </c>
      <c r="BR559" s="6">
        <f>SUM(Grandview_Inventory[[#This Row],[Intercept]:[det_value]])*Grandview_Inventory[[#This Row],[res_pct]]</f>
        <v>354641.28596900002</v>
      </c>
      <c r="BS559" s="6">
        <f>Grandview_Inventory[[#This Row],[land_value]]</f>
        <v>49926.8031387023</v>
      </c>
      <c r="BT559" s="4">
        <f>_xlfn.IFNA(VLOOKUP(Grandview_Inventory[[#This Row],[quality]],Lookups!$A$26:$C$33,3,FALSE),1)</f>
        <v>0.94295468617355149</v>
      </c>
      <c r="BU559" s="4">
        <f>_xlfn.IFNA(VLOOKUP(Grandview_Inventory[[#This Row],[condition]],Lookups!$A$37:$C$44,3,FALSE),1)</f>
        <v>0.94347925387812148</v>
      </c>
      <c r="BV559" s="4">
        <f>IF(Grandview_Inventory[[#This Row],[bldg_style]]="",1,_xlfn.IFNA(VLOOKUP(Grandview_Inventory[[#This Row],[decade]],Lookups!$F$29:$H$43,3,FALSE),1))</f>
        <v>0.9413635517371044</v>
      </c>
      <c r="BW559" s="4">
        <f>_xlfn.IFNA(VLOOKUP(Grandview_Inventory[[#This Row],[living_area_range]],Lookups!$F$47:$H$56,3,FALSE),1)</f>
        <v>0.96120133463014379</v>
      </c>
      <c r="BX559" s="4">
        <f>AVERAGE(Grandview_Inventory[[#This Row],[qual_adj]:[size_adj]])</f>
        <v>0.94724970660473029</v>
      </c>
      <c r="BY559" s="6">
        <f>IF(Grandview_Inventory[[#This Row],[pre_res]]&lt;0,0,Grandview_Inventory[[#This Row],[pre_res]]*Grandview_Inventory[[#This Row],[overall_adj]])</f>
        <v>335933.85408405954</v>
      </c>
      <c r="BZ559" s="6">
        <f>(Grandview_Inventory[[#This Row],[sum_land]]-IF(Grandview_Inventory[[#This Row],[no_utilities]]=1,12000,0))/IF(Grandview_Inventory[[#This Row],[unbuildable]]=1,2,1)</f>
        <v>49926.8031387023</v>
      </c>
      <c r="CA55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59">
        <f>ROUND(Grandview_Inventory[[#This Row],[det_value]]*Lookups!$M$28,-2)</f>
        <v>0</v>
      </c>
      <c r="CC559">
        <f>IF(ROUND(Grandview_Inventory[[#This Row],[adj_res]]*Lookups!$M$28,-2)&lt;Grandview_Inventory[[#This Row],[min_res]],Grandview_Inventory[[#This Row],[min_res]],ROUND(Grandview_Inventory[[#This Row],[adj_res]]*Lookups!$M$28,-2))</f>
        <v>319100</v>
      </c>
      <c r="CD559">
        <f>Grandview_Inventory[[#This Row],[final_det]]+Grandview_Inventory[[#This Row],[final_res]]</f>
        <v>319100</v>
      </c>
      <c r="CE559">
        <f>Grandview_Inventory[[#This Row],[final_land]]+Grandview_Inventory[[#This Row],[final_imp]]+Grandview_Inventory[[#This Row],[crop_value]]</f>
        <v>366500</v>
      </c>
      <c r="CG559" t="str">
        <f t="shared" si="8"/>
        <v>update valuation set market_land =47400, market_bldg=319100, market_total =366500, market_mdno =401, market_date ='9/10/2023' where link_id = (select link_id from parcel where parcel_year = '2024' and parcel_id = '23092221456');</v>
      </c>
    </row>
    <row r="560" spans="1:85" x14ac:dyDescent="0.25">
      <c r="A560">
        <v>23092222401</v>
      </c>
      <c r="B560">
        <v>3.59</v>
      </c>
      <c r="C560">
        <v>156496</v>
      </c>
      <c r="D560" t="s">
        <v>129</v>
      </c>
      <c r="E560" t="s">
        <v>53</v>
      </c>
      <c r="F560" t="s">
        <v>53</v>
      </c>
      <c r="G560">
        <v>4</v>
      </c>
      <c r="H560" t="s">
        <v>54</v>
      </c>
      <c r="I560">
        <v>274100</v>
      </c>
      <c r="J560">
        <v>55400</v>
      </c>
      <c r="K560">
        <v>3.59</v>
      </c>
      <c r="L560">
        <f>IF(Grandview_Inventory[[#This Row],[parcel_acres]]-Grandview_Inventory[[#This Row],[non_valued_acres]] =0,0,LN(Grandview_Inventory[[#This Row],[parcel_acres]]-Grandview_Inventory[[#This Row],[non_valued_acres]]))</f>
        <v>1.2781522025001875</v>
      </c>
      <c r="M560">
        <v>0</v>
      </c>
      <c r="N560">
        <v>0</v>
      </c>
      <c r="O560">
        <v>0</v>
      </c>
      <c r="P560">
        <v>13398.7528</v>
      </c>
      <c r="Q560">
        <v>63903</v>
      </c>
      <c r="R560">
        <f>(Grandview_Inventory[[#This Row],[ln_acres]]*Grandview_Inventory[[#This Row],[coeff]])+Grandview_Inventory[[#This Row],[const]]</f>
        <v>81028.645402075548</v>
      </c>
      <c r="S560" t="s">
        <v>61</v>
      </c>
      <c r="T560">
        <v>1</v>
      </c>
      <c r="U560" t="s">
        <v>62</v>
      </c>
      <c r="V560" t="s">
        <v>66</v>
      </c>
      <c r="W560">
        <v>0</v>
      </c>
      <c r="X560">
        <v>0</v>
      </c>
      <c r="Y560">
        <v>18</v>
      </c>
      <c r="Z560">
        <v>18</v>
      </c>
      <c r="AA560">
        <v>20</v>
      </c>
      <c r="AB560">
        <v>2000</v>
      </c>
      <c r="AC560">
        <v>1934</v>
      </c>
      <c r="AD560">
        <v>1934</v>
      </c>
      <c r="AE560">
        <v>0</v>
      </c>
      <c r="AF560">
        <v>0</v>
      </c>
      <c r="AG560">
        <v>0</v>
      </c>
      <c r="AH560">
        <v>0</v>
      </c>
      <c r="AI560">
        <v>480</v>
      </c>
      <c r="AJ560">
        <v>0</v>
      </c>
      <c r="AK560">
        <v>0</v>
      </c>
      <c r="AL560">
        <v>0</v>
      </c>
      <c r="AM560">
        <v>324</v>
      </c>
      <c r="AN560">
        <v>92</v>
      </c>
      <c r="AO560">
        <v>0</v>
      </c>
      <c r="AP560">
        <v>8</v>
      </c>
      <c r="AQ560">
        <v>0</v>
      </c>
      <c r="AR560">
        <v>0</v>
      </c>
      <c r="AS560" t="s">
        <v>58</v>
      </c>
      <c r="AT560">
        <v>1</v>
      </c>
      <c r="AU560" t="s">
        <v>63</v>
      </c>
      <c r="AV560" t="s">
        <v>64</v>
      </c>
      <c r="AW560">
        <v>0</v>
      </c>
      <c r="AX560">
        <v>3</v>
      </c>
      <c r="AY560">
        <v>0</v>
      </c>
      <c r="AZ560">
        <v>29800</v>
      </c>
      <c r="BA560">
        <v>100</v>
      </c>
      <c r="BB560">
        <v>100</v>
      </c>
      <c r="BC560">
        <v>100</v>
      </c>
      <c r="BD560">
        <v>100</v>
      </c>
      <c r="BE560">
        <v>1</v>
      </c>
      <c r="BF560">
        <v>15000</v>
      </c>
      <c r="BG560">
        <v>1000</v>
      </c>
      <c r="BH560" s="6">
        <f>Grandview_Inventory[[#This Row],[land_extract]]*Lookups!$B$3</f>
        <v>94098.347128087742</v>
      </c>
      <c r="BI560" s="6">
        <f>IF(Grandview_Inventory[[#This Row],[bldg_style]]="",0,Lookups!$B$2)</f>
        <v>155833.95000000001</v>
      </c>
      <c r="BJ560" s="6">
        <f>_xlfn.IFNA(VLOOKUP(Grandview_Inventory[[#This Row],[quality]],Lookups!$H$2:$J$14,3,FALSE),0)</f>
        <v>9808</v>
      </c>
      <c r="BK560" s="6">
        <f>_xlfn.IFNA(VLOOKUP(Grandview_Inventory[[#This Row],[condition]],Lookups!$H$17:$J$24,3,FALSE),0)</f>
        <v>25818</v>
      </c>
      <c r="BL560" s="6">
        <f>Grandview_Inventory[[#This Row],[Eff_Age]]*Lookups!$B$14</f>
        <v>-4304.9987999999994</v>
      </c>
      <c r="BM560" s="6">
        <f>Grandview_Inventory[[#This Row],[living_area]]*Lookups!$B$15</f>
        <v>120644.56970200001</v>
      </c>
      <c r="BN560" s="6">
        <f>Grandview_Inventory[[#This Row],[Fin BSMT]]*Lookups!$B$16</f>
        <v>0</v>
      </c>
      <c r="BO560" s="6">
        <f>(Grandview_Inventory[[#This Row],[att_gar]]+Grandview_Inventory[[#This Row],[bltin_gar]])*Lookups!$B$17</f>
        <v>42009.809760000004</v>
      </c>
      <c r="BP560" s="6">
        <f>Grandview_Inventory[[#This Row],[Plumbing Fixtures]]*Lookups!$B$18</f>
        <v>16083.5344</v>
      </c>
      <c r="BQ560" s="6">
        <f>Grandview_Inventory[[#This Row],[detatched_value]]*Lookups!$B$19</f>
        <v>25234.791979999998</v>
      </c>
      <c r="BR560" s="6">
        <f>SUM(Grandview_Inventory[[#This Row],[Intercept]:[det_value]])*Grandview_Inventory[[#This Row],[res_pct]]</f>
        <v>391127.65704199998</v>
      </c>
      <c r="BS560" s="6">
        <f>Grandview_Inventory[[#This Row],[land_value]]</f>
        <v>94098.347128087742</v>
      </c>
      <c r="BT560" s="4">
        <f>_xlfn.IFNA(VLOOKUP(Grandview_Inventory[[#This Row],[quality]],Lookups!$A$26:$C$33,3,FALSE),1)</f>
        <v>0.94295468617355149</v>
      </c>
      <c r="BU560" s="4">
        <f>_xlfn.IFNA(VLOOKUP(Grandview_Inventory[[#This Row],[condition]],Lookups!$A$37:$C$44,3,FALSE),1)</f>
        <v>0.96661476234146892</v>
      </c>
      <c r="BV560" s="4">
        <f>IF(Grandview_Inventory[[#This Row],[bldg_style]]="",1,_xlfn.IFNA(VLOOKUP(Grandview_Inventory[[#This Row],[decade]],Lookups!$F$29:$H$43,3,FALSE),1))</f>
        <v>0.96737494181490646</v>
      </c>
      <c r="BW560" s="4">
        <f>_xlfn.IFNA(VLOOKUP(Grandview_Inventory[[#This Row],[living_area_range]],Lookups!$F$47:$H$56,3,FALSE),1)</f>
        <v>0.96120133463014379</v>
      </c>
      <c r="BX560" s="4">
        <f>AVERAGE(Grandview_Inventory[[#This Row],[qual_adj]:[size_adj]])</f>
        <v>0.95953643124001764</v>
      </c>
      <c r="BY560" s="6">
        <f>IF(Grandview_Inventory[[#This Row],[pre_res]]&lt;0,0,Grandview_Inventory[[#This Row],[pre_res]]*Grandview_Inventory[[#This Row],[overall_adj]])</f>
        <v>375301.2361973502</v>
      </c>
      <c r="BZ560" s="6">
        <f>(Grandview_Inventory[[#This Row],[sum_land]]-IF(Grandview_Inventory[[#This Row],[no_utilities]]=1,12000,0))/IF(Grandview_Inventory[[#This Row],[unbuildable]]=1,2,1)</f>
        <v>94098.347128087742</v>
      </c>
      <c r="CA560">
        <f>IF(ROUND(Grandview_Inventory[[#This Row],[adj_land]]*Lookups!$M$28,-2)&lt;Grandview_Inventory[[#This Row],[min_land]],Grandview_Inventory[[#This Row],[min_land]],ROUND(Grandview_Inventory[[#This Row],[adj_land]]*Lookups!$M$28,-2))</f>
        <v>89400</v>
      </c>
      <c r="CB560">
        <f>ROUND(Grandview_Inventory[[#This Row],[det_value]]*Lookups!$M$28,-2)</f>
        <v>24000</v>
      </c>
      <c r="CC560">
        <f>IF(ROUND(Grandview_Inventory[[#This Row],[adj_res]]*Lookups!$M$28,-2)&lt;Grandview_Inventory[[#This Row],[min_res]],Grandview_Inventory[[#This Row],[min_res]],ROUND(Grandview_Inventory[[#This Row],[adj_res]]*Lookups!$M$28,-2))</f>
        <v>356500</v>
      </c>
      <c r="CD560">
        <f>Grandview_Inventory[[#This Row],[final_det]]+Grandview_Inventory[[#This Row],[final_res]]</f>
        <v>380500</v>
      </c>
      <c r="CE560">
        <f>Grandview_Inventory[[#This Row],[final_land]]+Grandview_Inventory[[#This Row],[final_imp]]+Grandview_Inventory[[#This Row],[crop_value]]</f>
        <v>469900</v>
      </c>
      <c r="CG560" t="str">
        <f t="shared" si="8"/>
        <v>update valuation set market_land =89400, market_bldg=380500, market_total =469900, market_mdno =401, market_date ='9/10/2023' where link_id = (select link_id from parcel where parcel_year = '2024' and parcel_id = '23092222401');</v>
      </c>
    </row>
    <row r="561" spans="1:85" x14ac:dyDescent="0.25">
      <c r="A561">
        <v>23092222402</v>
      </c>
      <c r="B561">
        <v>6.87</v>
      </c>
      <c r="C561" t="s">
        <v>129</v>
      </c>
      <c r="D561" t="s">
        <v>129</v>
      </c>
      <c r="E561" t="s">
        <v>53</v>
      </c>
      <c r="F561" t="s">
        <v>53</v>
      </c>
      <c r="G561">
        <v>4</v>
      </c>
      <c r="H561" t="s">
        <v>54</v>
      </c>
      <c r="I561">
        <v>254800</v>
      </c>
      <c r="J561">
        <v>57100</v>
      </c>
      <c r="K561">
        <v>6.87</v>
      </c>
      <c r="L561">
        <f>IF(Grandview_Inventory[[#This Row],[parcel_acres]]-Grandview_Inventory[[#This Row],[non_valued_acres]] =0,0,LN(Grandview_Inventory[[#This Row],[parcel_acres]]-Grandview_Inventory[[#This Row],[non_valued_acres]]))</f>
        <v>1.9271641062342579</v>
      </c>
      <c r="M561">
        <v>0</v>
      </c>
      <c r="N561">
        <v>0</v>
      </c>
      <c r="O561">
        <v>0</v>
      </c>
      <c r="P561">
        <v>13398.7528</v>
      </c>
      <c r="Q561">
        <v>63903</v>
      </c>
      <c r="R561">
        <f>(Grandview_Inventory[[#This Row],[ln_acres]]*Grandview_Inventory[[#This Row],[coeff]])+Grandview_Inventory[[#This Row],[const]]</f>
        <v>89724.595464465761</v>
      </c>
      <c r="S561" t="s">
        <v>68</v>
      </c>
      <c r="T561">
        <v>1</v>
      </c>
      <c r="U561" t="s">
        <v>65</v>
      </c>
      <c r="V561" t="s">
        <v>67</v>
      </c>
      <c r="W561">
        <v>0</v>
      </c>
      <c r="X561">
        <v>0</v>
      </c>
      <c r="Y561">
        <v>65</v>
      </c>
      <c r="Z561">
        <v>113</v>
      </c>
      <c r="AA561">
        <v>120</v>
      </c>
      <c r="AB561">
        <v>3500</v>
      </c>
      <c r="AC561">
        <v>3200</v>
      </c>
      <c r="AD561">
        <v>2560</v>
      </c>
      <c r="AE561">
        <v>0</v>
      </c>
      <c r="AF561">
        <v>0</v>
      </c>
      <c r="AG561">
        <v>640</v>
      </c>
      <c r="AH561">
        <v>0</v>
      </c>
      <c r="AI561">
        <v>0</v>
      </c>
      <c r="AJ561">
        <v>0</v>
      </c>
      <c r="AK561">
        <v>0</v>
      </c>
      <c r="AL561">
        <v>160</v>
      </c>
      <c r="AM561">
        <v>0</v>
      </c>
      <c r="AN561">
        <v>0</v>
      </c>
      <c r="AO561">
        <v>0</v>
      </c>
      <c r="AP561">
        <v>10</v>
      </c>
      <c r="AQ561">
        <v>0</v>
      </c>
      <c r="AR561">
        <v>0</v>
      </c>
      <c r="AS561" t="s">
        <v>58</v>
      </c>
      <c r="AT561">
        <v>1</v>
      </c>
      <c r="AU561" t="s">
        <v>59</v>
      </c>
      <c r="AV561" t="s">
        <v>64</v>
      </c>
      <c r="AW561">
        <v>1</v>
      </c>
      <c r="AX561">
        <v>3</v>
      </c>
      <c r="AY561">
        <v>0</v>
      </c>
      <c r="AZ561">
        <v>11300</v>
      </c>
      <c r="BA561">
        <v>100</v>
      </c>
      <c r="BB561">
        <v>100</v>
      </c>
      <c r="BC561">
        <v>100</v>
      </c>
      <c r="BD561">
        <v>100</v>
      </c>
      <c r="BE561">
        <v>1</v>
      </c>
      <c r="BF561">
        <v>15000</v>
      </c>
      <c r="BG561">
        <v>1000</v>
      </c>
      <c r="BH561" s="6">
        <f>Grandview_Inventory[[#This Row],[land_extract]]*Lookups!$B$3</f>
        <v>104196.93045647633</v>
      </c>
      <c r="BI561" s="6">
        <f>IF(Grandview_Inventory[[#This Row],[bldg_style]]="",0,Lookups!$B$2)</f>
        <v>155833.95000000001</v>
      </c>
      <c r="BJ561" s="6">
        <f>_xlfn.IFNA(VLOOKUP(Grandview_Inventory[[#This Row],[quality]],Lookups!$H$2:$J$14,3,FALSE),0)</f>
        <v>2251</v>
      </c>
      <c r="BK561" s="6">
        <f>_xlfn.IFNA(VLOOKUP(Grandview_Inventory[[#This Row],[condition]],Lookups!$H$17:$J$24,3,FALSE),0)</f>
        <v>22342</v>
      </c>
      <c r="BL561" s="6">
        <f>Grandview_Inventory[[#This Row],[Eff_Age]]*Lookups!$B$14</f>
        <v>-15545.829</v>
      </c>
      <c r="BM561" s="6">
        <f>Grandview_Inventory[[#This Row],[living_area]]*Lookups!$B$15</f>
        <v>199618.72960000002</v>
      </c>
      <c r="BN561" s="6">
        <f>Grandview_Inventory[[#This Row],[Fin BSMT]]*Lookups!$B$16</f>
        <v>-17343.513600000002</v>
      </c>
      <c r="BO561" s="6">
        <f>(Grandview_Inventory[[#This Row],[att_gar]]+Grandview_Inventory[[#This Row],[bltin_gar]])*Lookups!$B$17</f>
        <v>0</v>
      </c>
      <c r="BP561" s="6">
        <f>Grandview_Inventory[[#This Row],[Plumbing Fixtures]]*Lookups!$B$18</f>
        <v>20104.418000000001</v>
      </c>
      <c r="BQ561" s="6">
        <f>Grandview_Inventory[[#This Row],[detatched_value]]*Lookups!$B$19</f>
        <v>9568.8976299999995</v>
      </c>
      <c r="BR561" s="6">
        <f>SUM(Grandview_Inventory[[#This Row],[Intercept]:[det_value]])*Grandview_Inventory[[#This Row],[res_pct]]</f>
        <v>376829.65263000003</v>
      </c>
      <c r="BS561" s="6">
        <f>Grandview_Inventory[[#This Row],[land_value]]</f>
        <v>104196.93045647633</v>
      </c>
      <c r="BT561" s="4">
        <f>_xlfn.IFNA(VLOOKUP(Grandview_Inventory[[#This Row],[quality]],Lookups!$A$26:$C$33,3,FALSE),1)</f>
        <v>0.98763855981004833</v>
      </c>
      <c r="BU561" s="4">
        <f>_xlfn.IFNA(VLOOKUP(Grandview_Inventory[[#This Row],[condition]],Lookups!$A$37:$C$44,3,FALSE),1)</f>
        <v>0.97383723671140243</v>
      </c>
      <c r="BV561" s="4">
        <f>IF(Grandview_Inventory[[#This Row],[bldg_style]]="",1,_xlfn.IFNA(VLOOKUP(Grandview_Inventory[[#This Row],[decade]],Lookups!$F$29:$H$43,3,FALSE),1))</f>
        <v>0.9251738460551937</v>
      </c>
      <c r="BW561" s="4">
        <f>_xlfn.IFNA(VLOOKUP(Grandview_Inventory[[#This Row],[living_area_range]],Lookups!$F$47:$H$56,3,FALSE),1)</f>
        <v>1.0170112215140563</v>
      </c>
      <c r="BX561" s="4">
        <f>AVERAGE(Grandview_Inventory[[#This Row],[qual_adj]:[size_adj]])</f>
        <v>0.97591521602267517</v>
      </c>
      <c r="BY561" s="6">
        <f>IF(Grandview_Inventory[[#This Row],[pre_res]]&lt;0,0,Grandview_Inventory[[#This Row],[pre_res]]*Grandview_Inventory[[#This Row],[overall_adj]])</f>
        <v>367753.79185015609</v>
      </c>
      <c r="BZ561" s="6">
        <f>(Grandview_Inventory[[#This Row],[sum_land]]-IF(Grandview_Inventory[[#This Row],[no_utilities]]=1,12000,0))/IF(Grandview_Inventory[[#This Row],[unbuildable]]=1,2,1)</f>
        <v>104196.93045647633</v>
      </c>
      <c r="CA561">
        <f>IF(ROUND(Grandview_Inventory[[#This Row],[adj_land]]*Lookups!$M$28,-2)&lt;Grandview_Inventory[[#This Row],[min_land]],Grandview_Inventory[[#This Row],[min_land]],ROUND(Grandview_Inventory[[#This Row],[adj_land]]*Lookups!$M$28,-2))</f>
        <v>99000</v>
      </c>
      <c r="CB561">
        <f>ROUND(Grandview_Inventory[[#This Row],[det_value]]*Lookups!$M$28,-2)</f>
        <v>9100</v>
      </c>
      <c r="CC561">
        <f>IF(ROUND(Grandview_Inventory[[#This Row],[adj_res]]*Lookups!$M$28,-2)&lt;Grandview_Inventory[[#This Row],[min_res]],Grandview_Inventory[[#This Row],[min_res]],ROUND(Grandview_Inventory[[#This Row],[adj_res]]*Lookups!$M$28,-2))</f>
        <v>349400</v>
      </c>
      <c r="CD561">
        <f>Grandview_Inventory[[#This Row],[final_det]]+Grandview_Inventory[[#This Row],[final_res]]</f>
        <v>358500</v>
      </c>
      <c r="CE561">
        <f>Grandview_Inventory[[#This Row],[final_land]]+Grandview_Inventory[[#This Row],[final_imp]]+Grandview_Inventory[[#This Row],[crop_value]]</f>
        <v>457500</v>
      </c>
      <c r="CG561" t="str">
        <f t="shared" si="8"/>
        <v>update valuation set market_land =99000, market_bldg=358500, market_total =457500, market_mdno =401, market_date ='9/10/2023' where link_id = (select link_id from parcel where parcel_year = '2024' and parcel_id = '23092222402');</v>
      </c>
    </row>
    <row r="562" spans="1:85" x14ac:dyDescent="0.25">
      <c r="A562">
        <v>23092222403</v>
      </c>
      <c r="B562">
        <v>1.25</v>
      </c>
      <c r="C562" t="s">
        <v>129</v>
      </c>
      <c r="D562" t="s">
        <v>129</v>
      </c>
      <c r="E562" t="s">
        <v>53</v>
      </c>
      <c r="F562" t="s">
        <v>53</v>
      </c>
      <c r="G562">
        <v>4</v>
      </c>
      <c r="H562" t="s">
        <v>54</v>
      </c>
      <c r="I562">
        <v>365900</v>
      </c>
      <c r="J562">
        <v>51400</v>
      </c>
      <c r="K562">
        <v>1.25</v>
      </c>
      <c r="L562">
        <f>IF(Grandview_Inventory[[#This Row],[parcel_acres]]-Grandview_Inventory[[#This Row],[non_valued_acres]] =0,0,LN(Grandview_Inventory[[#This Row],[parcel_acres]]-Grandview_Inventory[[#This Row],[non_valued_acres]]))</f>
        <v>0.22314355131420976</v>
      </c>
      <c r="M562">
        <v>0</v>
      </c>
      <c r="N562">
        <v>0</v>
      </c>
      <c r="O562">
        <v>0</v>
      </c>
      <c r="P562">
        <v>13398.7528</v>
      </c>
      <c r="Q562">
        <v>63903</v>
      </c>
      <c r="R562">
        <f>(Grandview_Inventory[[#This Row],[ln_acres]]*Grandview_Inventory[[#This Row],[coeff]])+Grandview_Inventory[[#This Row],[const]]</f>
        <v>66892.845282973212</v>
      </c>
      <c r="S562" t="s">
        <v>61</v>
      </c>
      <c r="T562">
        <v>1</v>
      </c>
      <c r="U562" t="s">
        <v>62</v>
      </c>
      <c r="V562" t="s">
        <v>66</v>
      </c>
      <c r="W562">
        <v>0</v>
      </c>
      <c r="X562">
        <v>0</v>
      </c>
      <c r="Y562">
        <v>17</v>
      </c>
      <c r="Z562">
        <v>17</v>
      </c>
      <c r="AA562">
        <v>20</v>
      </c>
      <c r="AB562">
        <v>3000</v>
      </c>
      <c r="AC562">
        <v>2521</v>
      </c>
      <c r="AD562">
        <v>2521</v>
      </c>
      <c r="AE562">
        <v>0</v>
      </c>
      <c r="AF562">
        <v>0</v>
      </c>
      <c r="AG562">
        <v>0</v>
      </c>
      <c r="AH562">
        <v>0</v>
      </c>
      <c r="AI562">
        <v>528</v>
      </c>
      <c r="AJ562">
        <v>0</v>
      </c>
      <c r="AK562">
        <v>0</v>
      </c>
      <c r="AL562">
        <v>0</v>
      </c>
      <c r="AM562">
        <v>312</v>
      </c>
      <c r="AN562">
        <v>509</v>
      </c>
      <c r="AO562">
        <v>0</v>
      </c>
      <c r="AP562">
        <v>14</v>
      </c>
      <c r="AQ562">
        <v>0</v>
      </c>
      <c r="AR562">
        <v>0</v>
      </c>
      <c r="AS562" t="s">
        <v>58</v>
      </c>
      <c r="AT562">
        <v>1</v>
      </c>
      <c r="AU562" t="s">
        <v>59</v>
      </c>
      <c r="AV562" t="s">
        <v>60</v>
      </c>
      <c r="AW562">
        <v>1</v>
      </c>
      <c r="AX562">
        <v>4</v>
      </c>
      <c r="AY562">
        <v>0</v>
      </c>
      <c r="AZ562">
        <v>56100</v>
      </c>
      <c r="BA562">
        <v>100</v>
      </c>
      <c r="BB562">
        <v>100</v>
      </c>
      <c r="BC562">
        <v>100</v>
      </c>
      <c r="BD562">
        <v>100</v>
      </c>
      <c r="BE562">
        <v>1</v>
      </c>
      <c r="BF562">
        <v>15000</v>
      </c>
      <c r="BG562">
        <v>1000</v>
      </c>
      <c r="BH562" s="6">
        <f>Grandview_Inventory[[#This Row],[land_extract]]*Lookups!$B$3</f>
        <v>77682.480616434521</v>
      </c>
      <c r="BI562" s="6">
        <f>IF(Grandview_Inventory[[#This Row],[bldg_style]]="",0,Lookups!$B$2)</f>
        <v>155833.95000000001</v>
      </c>
      <c r="BJ562" s="6">
        <f>_xlfn.IFNA(VLOOKUP(Grandview_Inventory[[#This Row],[quality]],Lookups!$H$2:$J$14,3,FALSE),0)</f>
        <v>9808</v>
      </c>
      <c r="BK562" s="6">
        <f>_xlfn.IFNA(VLOOKUP(Grandview_Inventory[[#This Row],[condition]],Lookups!$H$17:$J$24,3,FALSE),0)</f>
        <v>25818</v>
      </c>
      <c r="BL562" s="6">
        <f>Grandview_Inventory[[#This Row],[Eff_Age]]*Lookups!$B$14</f>
        <v>-4065.8321999999998</v>
      </c>
      <c r="BM562" s="6">
        <f>Grandview_Inventory[[#This Row],[living_area]]*Lookups!$B$15</f>
        <v>157262.13041300001</v>
      </c>
      <c r="BN562" s="6">
        <f>Grandview_Inventory[[#This Row],[Fin BSMT]]*Lookups!$B$16</f>
        <v>0</v>
      </c>
      <c r="BO562" s="6">
        <f>(Grandview_Inventory[[#This Row],[att_gar]]+Grandview_Inventory[[#This Row],[bltin_gar]])*Lookups!$B$17</f>
        <v>46210.790736000003</v>
      </c>
      <c r="BP562" s="6">
        <f>Grandview_Inventory[[#This Row],[Plumbing Fixtures]]*Lookups!$B$18</f>
        <v>28146.1852</v>
      </c>
      <c r="BQ562" s="6">
        <f>Grandview_Inventory[[#This Row],[detatched_value]]*Lookups!$B$19</f>
        <v>47505.766109999997</v>
      </c>
      <c r="BR562" s="6">
        <f>SUM(Grandview_Inventory[[#This Row],[Intercept]:[det_value]])*Grandview_Inventory[[#This Row],[res_pct]]</f>
        <v>466518.99025899998</v>
      </c>
      <c r="BS562" s="6">
        <f>Grandview_Inventory[[#This Row],[land_value]]</f>
        <v>77682.480616434521</v>
      </c>
      <c r="BT562" s="4">
        <f>_xlfn.IFNA(VLOOKUP(Grandview_Inventory[[#This Row],[quality]],Lookups!$A$26:$C$33,3,FALSE),1)</f>
        <v>0.94295468617355149</v>
      </c>
      <c r="BU562" s="4">
        <f>_xlfn.IFNA(VLOOKUP(Grandview_Inventory[[#This Row],[condition]],Lookups!$A$37:$C$44,3,FALSE),1)</f>
        <v>0.96661476234146892</v>
      </c>
      <c r="BV562" s="4">
        <f>IF(Grandview_Inventory[[#This Row],[bldg_style]]="",1,_xlfn.IFNA(VLOOKUP(Grandview_Inventory[[#This Row],[decade]],Lookups!$F$29:$H$43,3,FALSE),1))</f>
        <v>0.96737494181490646</v>
      </c>
      <c r="BW562" s="4">
        <f>_xlfn.IFNA(VLOOKUP(Grandview_Inventory[[#This Row],[living_area_range]],Lookups!$F$47:$H$56,3,FALSE),1)</f>
        <v>0.94224801443562123</v>
      </c>
      <c r="BX562" s="4">
        <f>AVERAGE(Grandview_Inventory[[#This Row],[qual_adj]:[size_adj]])</f>
        <v>0.95479810119138708</v>
      </c>
      <c r="BY562" s="6">
        <f>IF(Grandview_Inventory[[#This Row],[pre_res]]&lt;0,0,Grandview_Inventory[[#This Row],[pre_res]]*Grandview_Inventory[[#This Row],[overall_adj]])</f>
        <v>445431.44606901641</v>
      </c>
      <c r="BZ562" s="6">
        <f>(Grandview_Inventory[[#This Row],[sum_land]]-IF(Grandview_Inventory[[#This Row],[no_utilities]]=1,12000,0))/IF(Grandview_Inventory[[#This Row],[unbuildable]]=1,2,1)</f>
        <v>77682.480616434521</v>
      </c>
      <c r="CA562">
        <f>IF(ROUND(Grandview_Inventory[[#This Row],[adj_land]]*Lookups!$M$28,-2)&lt;Grandview_Inventory[[#This Row],[min_land]],Grandview_Inventory[[#This Row],[min_land]],ROUND(Grandview_Inventory[[#This Row],[adj_land]]*Lookups!$M$28,-2))</f>
        <v>73800</v>
      </c>
      <c r="CB562">
        <f>ROUND(Grandview_Inventory[[#This Row],[det_value]]*Lookups!$M$28,-2)</f>
        <v>45100</v>
      </c>
      <c r="CC562">
        <f>IF(ROUND(Grandview_Inventory[[#This Row],[adj_res]]*Lookups!$M$28,-2)&lt;Grandview_Inventory[[#This Row],[min_res]],Grandview_Inventory[[#This Row],[min_res]],ROUND(Grandview_Inventory[[#This Row],[adj_res]]*Lookups!$M$28,-2))</f>
        <v>423200</v>
      </c>
      <c r="CD562">
        <f>Grandview_Inventory[[#This Row],[final_det]]+Grandview_Inventory[[#This Row],[final_res]]</f>
        <v>468300</v>
      </c>
      <c r="CE562">
        <f>Grandview_Inventory[[#This Row],[final_land]]+Grandview_Inventory[[#This Row],[final_imp]]+Grandview_Inventory[[#This Row],[crop_value]]</f>
        <v>542100</v>
      </c>
      <c r="CG562" t="str">
        <f t="shared" si="8"/>
        <v>update valuation set market_land =73800, market_bldg=468300, market_total =542100, market_mdno =401, market_date ='9/10/2023' where link_id = (select link_id from parcel where parcel_year = '2024' and parcel_id = '23092222403');</v>
      </c>
    </row>
    <row r="563" spans="1:85" x14ac:dyDescent="0.25">
      <c r="A563">
        <v>23092222404</v>
      </c>
      <c r="B563">
        <v>1.25</v>
      </c>
      <c r="C563" t="s">
        <v>129</v>
      </c>
      <c r="D563" t="s">
        <v>129</v>
      </c>
      <c r="E563" t="s">
        <v>53</v>
      </c>
      <c r="F563" t="s">
        <v>53</v>
      </c>
      <c r="G563">
        <v>4</v>
      </c>
      <c r="H563" t="s">
        <v>54</v>
      </c>
      <c r="I563">
        <v>274800</v>
      </c>
      <c r="J563">
        <v>46300</v>
      </c>
      <c r="K563">
        <v>1.25</v>
      </c>
      <c r="L563">
        <f>IF(Grandview_Inventory[[#This Row],[parcel_acres]]-Grandview_Inventory[[#This Row],[non_valued_acres]] =0,0,LN(Grandview_Inventory[[#This Row],[parcel_acres]]-Grandview_Inventory[[#This Row],[non_valued_acres]]))</f>
        <v>0.22314355131420976</v>
      </c>
      <c r="M563">
        <v>0</v>
      </c>
      <c r="N563">
        <v>0</v>
      </c>
      <c r="O563">
        <v>0</v>
      </c>
      <c r="P563">
        <v>13398.7528</v>
      </c>
      <c r="Q563">
        <v>63903</v>
      </c>
      <c r="R563">
        <f>(Grandview_Inventory[[#This Row],[ln_acres]]*Grandview_Inventory[[#This Row],[coeff]])+Grandview_Inventory[[#This Row],[const]]</f>
        <v>66892.845282973212</v>
      </c>
      <c r="S563" t="s">
        <v>61</v>
      </c>
      <c r="T563">
        <v>1</v>
      </c>
      <c r="U563" t="s">
        <v>64</v>
      </c>
      <c r="V563" t="s">
        <v>66</v>
      </c>
      <c r="W563">
        <v>0</v>
      </c>
      <c r="X563">
        <v>0</v>
      </c>
      <c r="Y563">
        <v>17</v>
      </c>
      <c r="Z563">
        <v>17</v>
      </c>
      <c r="AA563">
        <v>20</v>
      </c>
      <c r="AB563">
        <v>2000</v>
      </c>
      <c r="AC563">
        <v>1932</v>
      </c>
      <c r="AD563">
        <v>1932</v>
      </c>
      <c r="AE563">
        <v>0</v>
      </c>
      <c r="AF563">
        <v>0</v>
      </c>
      <c r="AG563">
        <v>0</v>
      </c>
      <c r="AH563">
        <v>0</v>
      </c>
      <c r="AI563">
        <v>480</v>
      </c>
      <c r="AJ563">
        <v>0</v>
      </c>
      <c r="AK563">
        <v>0</v>
      </c>
      <c r="AL563">
        <v>0</v>
      </c>
      <c r="AM563">
        <v>0</v>
      </c>
      <c r="AN563">
        <v>408</v>
      </c>
      <c r="AO563">
        <v>0</v>
      </c>
      <c r="AP563">
        <v>9</v>
      </c>
      <c r="AQ563">
        <v>0</v>
      </c>
      <c r="AR563">
        <v>0</v>
      </c>
      <c r="AS563" t="s">
        <v>58</v>
      </c>
      <c r="AT563">
        <v>1</v>
      </c>
      <c r="AU563" t="s">
        <v>59</v>
      </c>
      <c r="AV563" t="s">
        <v>60</v>
      </c>
      <c r="AW563">
        <v>1</v>
      </c>
      <c r="AX563">
        <v>3</v>
      </c>
      <c r="AY563">
        <v>0</v>
      </c>
      <c r="AZ563">
        <v>13400</v>
      </c>
      <c r="BA563">
        <v>100</v>
      </c>
      <c r="BB563">
        <v>100</v>
      </c>
      <c r="BC563">
        <v>100</v>
      </c>
      <c r="BD563">
        <v>100</v>
      </c>
      <c r="BE563">
        <v>1</v>
      </c>
      <c r="BF563">
        <v>15000</v>
      </c>
      <c r="BG563">
        <v>1000</v>
      </c>
      <c r="BH563" s="6">
        <f>Grandview_Inventory[[#This Row],[land_extract]]*Lookups!$B$3</f>
        <v>77682.480616434521</v>
      </c>
      <c r="BI563" s="6">
        <f>IF(Grandview_Inventory[[#This Row],[bldg_style]]="",0,Lookups!$B$2)</f>
        <v>155833.95000000001</v>
      </c>
      <c r="BJ563" s="6">
        <f>_xlfn.IFNA(VLOOKUP(Grandview_Inventory[[#This Row],[quality]],Lookups!$H$2:$J$14,3,FALSE),0)</f>
        <v>20768</v>
      </c>
      <c r="BK563" s="6">
        <f>_xlfn.IFNA(VLOOKUP(Grandview_Inventory[[#This Row],[condition]],Lookups!$H$17:$J$24,3,FALSE),0)</f>
        <v>25818</v>
      </c>
      <c r="BL563" s="6">
        <f>Grandview_Inventory[[#This Row],[Eff_Age]]*Lookups!$B$14</f>
        <v>-4065.8321999999998</v>
      </c>
      <c r="BM563" s="6">
        <f>Grandview_Inventory[[#This Row],[living_area]]*Lookups!$B$15</f>
        <v>120519.807996</v>
      </c>
      <c r="BN563" s="6">
        <f>Grandview_Inventory[[#This Row],[Fin BSMT]]*Lookups!$B$16</f>
        <v>0</v>
      </c>
      <c r="BO563" s="6">
        <f>(Grandview_Inventory[[#This Row],[att_gar]]+Grandview_Inventory[[#This Row],[bltin_gar]])*Lookups!$B$17</f>
        <v>42009.809760000004</v>
      </c>
      <c r="BP563" s="6">
        <f>Grandview_Inventory[[#This Row],[Plumbing Fixtures]]*Lookups!$B$18</f>
        <v>18093.976200000001</v>
      </c>
      <c r="BQ563" s="6">
        <f>Grandview_Inventory[[#This Row],[detatched_value]]*Lookups!$B$19</f>
        <v>11347.188339999999</v>
      </c>
      <c r="BR563" s="6">
        <f>SUM(Grandview_Inventory[[#This Row],[Intercept]:[det_value]])*Grandview_Inventory[[#This Row],[res_pct]]</f>
        <v>390324.900096</v>
      </c>
      <c r="BS563" s="6">
        <f>Grandview_Inventory[[#This Row],[land_value]]</f>
        <v>77682.480616434521</v>
      </c>
      <c r="BT563" s="4">
        <f>_xlfn.IFNA(VLOOKUP(Grandview_Inventory[[#This Row],[quality]],Lookups!$A$26:$C$33,3,FALSE),1)</f>
        <v>0.94960540378902636</v>
      </c>
      <c r="BU563" s="4">
        <f>_xlfn.IFNA(VLOOKUP(Grandview_Inventory[[#This Row],[condition]],Lookups!$A$37:$C$44,3,FALSE),1)</f>
        <v>0.96661476234146892</v>
      </c>
      <c r="BV563" s="4">
        <f>IF(Grandview_Inventory[[#This Row],[bldg_style]]="",1,_xlfn.IFNA(VLOOKUP(Grandview_Inventory[[#This Row],[decade]],Lookups!$F$29:$H$43,3,FALSE),1))</f>
        <v>0.96737494181490646</v>
      </c>
      <c r="BW563" s="4">
        <f>_xlfn.IFNA(VLOOKUP(Grandview_Inventory[[#This Row],[living_area_range]],Lookups!$F$47:$H$56,3,FALSE),1)</f>
        <v>0.96120133463014379</v>
      </c>
      <c r="BX563" s="4">
        <f>AVERAGE(Grandview_Inventory[[#This Row],[qual_adj]:[size_adj]])</f>
        <v>0.96119911064388641</v>
      </c>
      <c r="BY563" s="6">
        <f>IF(Grandview_Inventory[[#This Row],[pre_res]]&lt;0,0,Grandview_Inventory[[#This Row],[pre_res]]*Grandview_Inventory[[#This Row],[overall_adj]])</f>
        <v>375179.946834439</v>
      </c>
      <c r="BZ563" s="6">
        <f>(Grandview_Inventory[[#This Row],[sum_land]]-IF(Grandview_Inventory[[#This Row],[no_utilities]]=1,12000,0))/IF(Grandview_Inventory[[#This Row],[unbuildable]]=1,2,1)</f>
        <v>77682.480616434521</v>
      </c>
      <c r="CA563">
        <f>IF(ROUND(Grandview_Inventory[[#This Row],[adj_land]]*Lookups!$M$28,-2)&lt;Grandview_Inventory[[#This Row],[min_land]],Grandview_Inventory[[#This Row],[min_land]],ROUND(Grandview_Inventory[[#This Row],[adj_land]]*Lookups!$M$28,-2))</f>
        <v>73800</v>
      </c>
      <c r="CB563">
        <f>ROUND(Grandview_Inventory[[#This Row],[det_value]]*Lookups!$M$28,-2)</f>
        <v>10800</v>
      </c>
      <c r="CC563">
        <f>IF(ROUND(Grandview_Inventory[[#This Row],[adj_res]]*Lookups!$M$28,-2)&lt;Grandview_Inventory[[#This Row],[min_res]],Grandview_Inventory[[#This Row],[min_res]],ROUND(Grandview_Inventory[[#This Row],[adj_res]]*Lookups!$M$28,-2))</f>
        <v>356400</v>
      </c>
      <c r="CD563">
        <f>Grandview_Inventory[[#This Row],[final_det]]+Grandview_Inventory[[#This Row],[final_res]]</f>
        <v>367200</v>
      </c>
      <c r="CE563">
        <f>Grandview_Inventory[[#This Row],[final_land]]+Grandview_Inventory[[#This Row],[final_imp]]+Grandview_Inventory[[#This Row],[crop_value]]</f>
        <v>441000</v>
      </c>
      <c r="CG563" t="str">
        <f t="shared" si="8"/>
        <v>update valuation set market_land =73800, market_bldg=367200, market_total =441000, market_mdno =401, market_date ='9/10/2023' where link_id = (select link_id from parcel where parcel_year = '2024' and parcel_id = '23092222404');</v>
      </c>
    </row>
    <row r="564" spans="1:85" x14ac:dyDescent="0.25">
      <c r="A564">
        <v>23092224401</v>
      </c>
      <c r="B564">
        <v>0.25</v>
      </c>
      <c r="C564">
        <v>10768</v>
      </c>
      <c r="D564" t="s">
        <v>129</v>
      </c>
      <c r="E564" t="s">
        <v>53</v>
      </c>
      <c r="F564" t="s">
        <v>53</v>
      </c>
      <c r="G564">
        <v>4</v>
      </c>
      <c r="H564" t="s">
        <v>54</v>
      </c>
      <c r="I564">
        <v>281700</v>
      </c>
      <c r="J564">
        <v>44400</v>
      </c>
      <c r="K564">
        <v>0.25</v>
      </c>
      <c r="L56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564">
        <v>0</v>
      </c>
      <c r="N564">
        <v>0</v>
      </c>
      <c r="O564">
        <v>0</v>
      </c>
      <c r="P564">
        <v>13398.7528</v>
      </c>
      <c r="Q564">
        <v>63903</v>
      </c>
      <c r="R564">
        <f>(Grandview_Inventory[[#This Row],[ln_acres]]*Grandview_Inventory[[#This Row],[coeff]])+Grandview_Inventory[[#This Row],[const]]</f>
        <v>45328.38454732066</v>
      </c>
      <c r="S564" t="s">
        <v>77</v>
      </c>
      <c r="T564">
        <v>1</v>
      </c>
      <c r="U564" t="s">
        <v>62</v>
      </c>
      <c r="V564" t="s">
        <v>67</v>
      </c>
      <c r="W564">
        <v>0</v>
      </c>
      <c r="X564">
        <v>0</v>
      </c>
      <c r="Y564">
        <v>43</v>
      </c>
      <c r="Z564">
        <v>44</v>
      </c>
      <c r="AA564">
        <v>50</v>
      </c>
      <c r="AB564">
        <v>2500</v>
      </c>
      <c r="AC564">
        <v>2128</v>
      </c>
      <c r="AD564">
        <v>1400</v>
      </c>
      <c r="AE564">
        <v>0</v>
      </c>
      <c r="AF564">
        <v>0</v>
      </c>
      <c r="AG564">
        <v>728</v>
      </c>
      <c r="AH564">
        <v>0</v>
      </c>
      <c r="AI564">
        <v>216</v>
      </c>
      <c r="AJ564">
        <v>672</v>
      </c>
      <c r="AK564">
        <v>0</v>
      </c>
      <c r="AL564">
        <v>256</v>
      </c>
      <c r="AM564">
        <v>0</v>
      </c>
      <c r="AN564">
        <v>0</v>
      </c>
      <c r="AO564">
        <v>0</v>
      </c>
      <c r="AP564">
        <v>11</v>
      </c>
      <c r="AQ564">
        <v>0</v>
      </c>
      <c r="AR564">
        <v>0</v>
      </c>
      <c r="AS564" t="s">
        <v>58</v>
      </c>
      <c r="AT564">
        <v>1</v>
      </c>
      <c r="AU564" t="s">
        <v>59</v>
      </c>
      <c r="AV564" t="s">
        <v>60</v>
      </c>
      <c r="AW564">
        <v>1</v>
      </c>
      <c r="AX564">
        <v>3</v>
      </c>
      <c r="AY564">
        <v>0</v>
      </c>
      <c r="AZ564">
        <v>2500</v>
      </c>
      <c r="BA564">
        <v>100</v>
      </c>
      <c r="BB564">
        <v>100</v>
      </c>
      <c r="BC564">
        <v>100</v>
      </c>
      <c r="BD564">
        <v>100</v>
      </c>
      <c r="BE564">
        <v>1</v>
      </c>
      <c r="BF564">
        <v>15000</v>
      </c>
      <c r="BG564">
        <v>1000</v>
      </c>
      <c r="BH564" s="6">
        <f>Grandview_Inventory[[#This Row],[land_extract]]*Lookups!$B$3</f>
        <v>52639.730588165206</v>
      </c>
      <c r="BI564" s="6">
        <f>IF(Grandview_Inventory[[#This Row],[bldg_style]]="",0,Lookups!$B$2)</f>
        <v>155833.95000000001</v>
      </c>
      <c r="BJ564" s="6">
        <f>_xlfn.IFNA(VLOOKUP(Grandview_Inventory[[#This Row],[quality]],Lookups!$H$2:$J$14,3,FALSE),0)</f>
        <v>9808</v>
      </c>
      <c r="BK564" s="6">
        <f>_xlfn.IFNA(VLOOKUP(Grandview_Inventory[[#This Row],[condition]],Lookups!$H$17:$J$24,3,FALSE),0)</f>
        <v>22342</v>
      </c>
      <c r="BL564" s="6">
        <f>Grandview_Inventory[[#This Row],[Eff_Age]]*Lookups!$B$14</f>
        <v>-10284.1638</v>
      </c>
      <c r="BM564" s="6">
        <f>Grandview_Inventory[[#This Row],[living_area]]*Lookups!$B$15</f>
        <v>132746.45518399999</v>
      </c>
      <c r="BN564" s="6">
        <f>Grandview_Inventory[[#This Row],[Fin BSMT]]*Lookups!$B$16</f>
        <v>-19728.246720000003</v>
      </c>
      <c r="BO564" s="6">
        <f>(Grandview_Inventory[[#This Row],[att_gar]]+Grandview_Inventory[[#This Row],[bltin_gar]])*Lookups!$B$17</f>
        <v>77718.148056000005</v>
      </c>
      <c r="BP564" s="6">
        <f>Grandview_Inventory[[#This Row],[Plumbing Fixtures]]*Lookups!$B$18</f>
        <v>22114.859800000002</v>
      </c>
      <c r="BQ564" s="6">
        <f>Grandview_Inventory[[#This Row],[detatched_value]]*Lookups!$B$19</f>
        <v>2117.0127499999999</v>
      </c>
      <c r="BR564" s="6">
        <f>SUM(Grandview_Inventory[[#This Row],[Intercept]:[det_value]])*Grandview_Inventory[[#This Row],[res_pct]]</f>
        <v>392668.01526999997</v>
      </c>
      <c r="BS564" s="6">
        <f>Grandview_Inventory[[#This Row],[land_value]]</f>
        <v>52639.730588165206</v>
      </c>
      <c r="BT564" s="4">
        <f>_xlfn.IFNA(VLOOKUP(Grandview_Inventory[[#This Row],[quality]],Lookups!$A$26:$C$33,3,FALSE),1)</f>
        <v>0.94295468617355149</v>
      </c>
      <c r="BU564" s="4">
        <f>_xlfn.IFNA(VLOOKUP(Grandview_Inventory[[#This Row],[condition]],Lookups!$A$37:$C$44,3,FALSE),1)</f>
        <v>0.97383723671140243</v>
      </c>
      <c r="BV564" s="4">
        <f>IF(Grandview_Inventory[[#This Row],[bldg_style]]="",1,_xlfn.IFNA(VLOOKUP(Grandview_Inventory[[#This Row],[decade]],Lookups!$F$29:$H$43,3,FALSE),1))</f>
        <v>0.9871940091910919</v>
      </c>
      <c r="BW564" s="4">
        <f>_xlfn.IFNA(VLOOKUP(Grandview_Inventory[[#This Row],[living_area_range]],Lookups!$F$47:$H$56,3,FALSE),1)</f>
        <v>0.95799442568048754</v>
      </c>
      <c r="BX564" s="4">
        <f>AVERAGE(Grandview_Inventory[[#This Row],[qual_adj]:[size_adj]])</f>
        <v>0.96549508943913331</v>
      </c>
      <c r="BY564" s="6">
        <f>IF(Grandview_Inventory[[#This Row],[pre_res]]&lt;0,0,Grandview_Inventory[[#This Row],[pre_res]]*Grandview_Inventory[[#This Row],[overall_adj]])</f>
        <v>379119.04052299558</v>
      </c>
      <c r="BZ564" s="6">
        <f>(Grandview_Inventory[[#This Row],[sum_land]]-IF(Grandview_Inventory[[#This Row],[no_utilities]]=1,12000,0))/IF(Grandview_Inventory[[#This Row],[unbuildable]]=1,2,1)</f>
        <v>52639.730588165206</v>
      </c>
      <c r="CA56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564">
        <f>ROUND(Grandview_Inventory[[#This Row],[det_value]]*Lookups!$M$28,-2)</f>
        <v>2000</v>
      </c>
      <c r="CC564">
        <f>IF(ROUND(Grandview_Inventory[[#This Row],[adj_res]]*Lookups!$M$28,-2)&lt;Grandview_Inventory[[#This Row],[min_res]],Grandview_Inventory[[#This Row],[min_res]],ROUND(Grandview_Inventory[[#This Row],[adj_res]]*Lookups!$M$28,-2))</f>
        <v>360200</v>
      </c>
      <c r="CD564">
        <f>Grandview_Inventory[[#This Row],[final_det]]+Grandview_Inventory[[#This Row],[final_res]]</f>
        <v>362200</v>
      </c>
      <c r="CE564">
        <f>Grandview_Inventory[[#This Row],[final_land]]+Grandview_Inventory[[#This Row],[final_imp]]+Grandview_Inventory[[#This Row],[crop_value]]</f>
        <v>412200</v>
      </c>
      <c r="CG564" t="str">
        <f t="shared" si="8"/>
        <v>update valuation set market_land =50000, market_bldg=362200, market_total =412200, market_mdno =401, market_date ='9/10/2023' where link_id = (select link_id from parcel where parcel_year = '2024' and parcel_id = '23092224401');</v>
      </c>
    </row>
    <row r="565" spans="1:85" x14ac:dyDescent="0.25">
      <c r="A565">
        <v>23092224402</v>
      </c>
      <c r="B565">
        <v>0.25</v>
      </c>
      <c r="C565">
        <v>10689</v>
      </c>
      <c r="D565" t="s">
        <v>129</v>
      </c>
      <c r="E565" t="s">
        <v>53</v>
      </c>
      <c r="F565" t="s">
        <v>53</v>
      </c>
      <c r="G565">
        <v>4</v>
      </c>
      <c r="H565" t="s">
        <v>54</v>
      </c>
      <c r="I565">
        <v>199700</v>
      </c>
      <c r="J565">
        <v>44400</v>
      </c>
      <c r="K565">
        <v>0.25</v>
      </c>
      <c r="L56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565">
        <v>0</v>
      </c>
      <c r="N565">
        <v>0</v>
      </c>
      <c r="O565">
        <v>0</v>
      </c>
      <c r="P565">
        <v>13398.7528</v>
      </c>
      <c r="Q565">
        <v>63903</v>
      </c>
      <c r="R565">
        <f>(Grandview_Inventory[[#This Row],[ln_acres]]*Grandview_Inventory[[#This Row],[coeff]])+Grandview_Inventory[[#This Row],[const]]</f>
        <v>45328.38454732066</v>
      </c>
      <c r="S565" t="s">
        <v>61</v>
      </c>
      <c r="T565">
        <v>1</v>
      </c>
      <c r="U565" t="s">
        <v>65</v>
      </c>
      <c r="V565" t="s">
        <v>69</v>
      </c>
      <c r="W565">
        <v>0</v>
      </c>
      <c r="X565">
        <v>0</v>
      </c>
      <c r="Y565">
        <v>43</v>
      </c>
      <c r="Z565">
        <v>44</v>
      </c>
      <c r="AA565">
        <v>50</v>
      </c>
      <c r="AB565">
        <v>2000</v>
      </c>
      <c r="AC565">
        <v>1572</v>
      </c>
      <c r="AD565">
        <v>1572</v>
      </c>
      <c r="AE565">
        <v>0</v>
      </c>
      <c r="AF565">
        <v>0</v>
      </c>
      <c r="AG565">
        <v>0</v>
      </c>
      <c r="AH565">
        <v>0</v>
      </c>
      <c r="AI565">
        <v>484</v>
      </c>
      <c r="AJ565">
        <v>0</v>
      </c>
      <c r="AK565">
        <v>0</v>
      </c>
      <c r="AL565">
        <v>264</v>
      </c>
      <c r="AM565">
        <v>0</v>
      </c>
      <c r="AN565">
        <v>0</v>
      </c>
      <c r="AO565">
        <v>264</v>
      </c>
      <c r="AP565">
        <v>8</v>
      </c>
      <c r="AQ565">
        <v>0</v>
      </c>
      <c r="AR565">
        <v>0</v>
      </c>
      <c r="AS565" t="s">
        <v>58</v>
      </c>
      <c r="AT565">
        <v>1</v>
      </c>
      <c r="AU565" t="s">
        <v>63</v>
      </c>
      <c r="AV565" t="s">
        <v>60</v>
      </c>
      <c r="AW565">
        <v>1</v>
      </c>
      <c r="AX565">
        <v>3</v>
      </c>
      <c r="AY565">
        <v>0</v>
      </c>
      <c r="AZ565">
        <v>0</v>
      </c>
      <c r="BA565">
        <v>100</v>
      </c>
      <c r="BB565">
        <v>100</v>
      </c>
      <c r="BC565">
        <v>100</v>
      </c>
      <c r="BD565">
        <v>100</v>
      </c>
      <c r="BE565">
        <v>1</v>
      </c>
      <c r="BF565">
        <v>15000</v>
      </c>
      <c r="BG565">
        <v>1000</v>
      </c>
      <c r="BH565" s="6">
        <f>Grandview_Inventory[[#This Row],[land_extract]]*Lookups!$B$3</f>
        <v>52639.730588165206</v>
      </c>
      <c r="BI565" s="6">
        <f>IF(Grandview_Inventory[[#This Row],[bldg_style]]="",0,Lookups!$B$2)</f>
        <v>155833.95000000001</v>
      </c>
      <c r="BJ565" s="6">
        <f>_xlfn.IFNA(VLOOKUP(Grandview_Inventory[[#This Row],[quality]],Lookups!$H$2:$J$14,3,FALSE),0)</f>
        <v>2251</v>
      </c>
      <c r="BK565" s="6">
        <f>_xlfn.IFNA(VLOOKUP(Grandview_Inventory[[#This Row],[condition]],Lookups!$H$17:$J$24,3,FALSE),0)</f>
        <v>-4503</v>
      </c>
      <c r="BL565" s="6">
        <f>Grandview_Inventory[[#This Row],[Eff_Age]]*Lookups!$B$14</f>
        <v>-10284.1638</v>
      </c>
      <c r="BM565" s="6">
        <f>Grandview_Inventory[[#This Row],[living_area]]*Lookups!$B$15</f>
        <v>98062.700916000002</v>
      </c>
      <c r="BN565" s="6">
        <f>Grandview_Inventory[[#This Row],[Fin BSMT]]*Lookups!$B$16</f>
        <v>0</v>
      </c>
      <c r="BO565" s="6">
        <f>(Grandview_Inventory[[#This Row],[att_gar]]+Grandview_Inventory[[#This Row],[bltin_gar]])*Lookups!$B$17</f>
        <v>42359.891508000001</v>
      </c>
      <c r="BP565" s="6">
        <f>Grandview_Inventory[[#This Row],[Plumbing Fixtures]]*Lookups!$B$18</f>
        <v>16083.5344</v>
      </c>
      <c r="BQ565" s="6">
        <f>Grandview_Inventory[[#This Row],[detatched_value]]*Lookups!$B$19</f>
        <v>0</v>
      </c>
      <c r="BR565" s="6">
        <f>SUM(Grandview_Inventory[[#This Row],[Intercept]:[det_value]])*Grandview_Inventory[[#This Row],[res_pct]]</f>
        <v>299803.91302400001</v>
      </c>
      <c r="BS565" s="6">
        <f>Grandview_Inventory[[#This Row],[land_value]]</f>
        <v>52639.730588165206</v>
      </c>
      <c r="BT565" s="4">
        <f>_xlfn.IFNA(VLOOKUP(Grandview_Inventory[[#This Row],[quality]],Lookups!$A$26:$C$33,3,FALSE),1)</f>
        <v>0.98763855981004833</v>
      </c>
      <c r="BU565" s="4">
        <f>_xlfn.IFNA(VLOOKUP(Grandview_Inventory[[#This Row],[condition]],Lookups!$A$37:$C$44,3,FALSE),1)</f>
        <v>0.96469275950863709</v>
      </c>
      <c r="BV565" s="4">
        <f>IF(Grandview_Inventory[[#This Row],[bldg_style]]="",1,_xlfn.IFNA(VLOOKUP(Grandview_Inventory[[#This Row],[decade]],Lookups!$F$29:$H$43,3,FALSE),1))</f>
        <v>0.9871940091910919</v>
      </c>
      <c r="BW565" s="4">
        <f>_xlfn.IFNA(VLOOKUP(Grandview_Inventory[[#This Row],[living_area_range]],Lookups!$F$47:$H$56,3,FALSE),1)</f>
        <v>0.96120133463014379</v>
      </c>
      <c r="BX565" s="4">
        <f>AVERAGE(Grandview_Inventory[[#This Row],[qual_adj]:[size_adj]])</f>
        <v>0.97518166578498033</v>
      </c>
      <c r="BY565" s="6">
        <f>IF(Grandview_Inventory[[#This Row],[pre_res]]&lt;0,0,Grandview_Inventory[[#This Row],[pre_res]]*Grandview_Inventory[[#This Row],[overall_adj]])</f>
        <v>292363.27931159968</v>
      </c>
      <c r="BZ565" s="6">
        <f>(Grandview_Inventory[[#This Row],[sum_land]]-IF(Grandview_Inventory[[#This Row],[no_utilities]]=1,12000,0))/IF(Grandview_Inventory[[#This Row],[unbuildable]]=1,2,1)</f>
        <v>52639.730588165206</v>
      </c>
      <c r="CA56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565">
        <f>ROUND(Grandview_Inventory[[#This Row],[det_value]]*Lookups!$M$28,-2)</f>
        <v>0</v>
      </c>
      <c r="CC565">
        <f>IF(ROUND(Grandview_Inventory[[#This Row],[adj_res]]*Lookups!$M$28,-2)&lt;Grandview_Inventory[[#This Row],[min_res]],Grandview_Inventory[[#This Row],[min_res]],ROUND(Grandview_Inventory[[#This Row],[adj_res]]*Lookups!$M$28,-2))</f>
        <v>277700</v>
      </c>
      <c r="CD565">
        <f>Grandview_Inventory[[#This Row],[final_det]]+Grandview_Inventory[[#This Row],[final_res]]</f>
        <v>277700</v>
      </c>
      <c r="CE565">
        <f>Grandview_Inventory[[#This Row],[final_land]]+Grandview_Inventory[[#This Row],[final_imp]]+Grandview_Inventory[[#This Row],[crop_value]]</f>
        <v>327700</v>
      </c>
      <c r="CG565" t="str">
        <f t="shared" si="8"/>
        <v>update valuation set market_land =50000, market_bldg=277700, market_total =327700, market_mdno =401, market_date ='9/10/2023' where link_id = (select link_id from parcel where parcel_year = '2024' and parcel_id = '23092224402');</v>
      </c>
    </row>
    <row r="566" spans="1:85" x14ac:dyDescent="0.25">
      <c r="A566">
        <v>23092224403</v>
      </c>
      <c r="B566">
        <v>0.24</v>
      </c>
      <c r="C566">
        <v>10287</v>
      </c>
      <c r="D566" t="s">
        <v>129</v>
      </c>
      <c r="E566" t="s">
        <v>53</v>
      </c>
      <c r="F566" t="s">
        <v>53</v>
      </c>
      <c r="G566">
        <v>4</v>
      </c>
      <c r="H566" t="s">
        <v>54</v>
      </c>
      <c r="I566">
        <v>267700</v>
      </c>
      <c r="J566">
        <v>44200</v>
      </c>
      <c r="K566">
        <v>0.24</v>
      </c>
      <c r="L566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566">
        <v>0</v>
      </c>
      <c r="N566">
        <v>0</v>
      </c>
      <c r="O566">
        <v>0</v>
      </c>
      <c r="P566">
        <v>13398.7528</v>
      </c>
      <c r="Q566">
        <v>63903</v>
      </c>
      <c r="R566">
        <f>(Grandview_Inventory[[#This Row],[ln_acres]]*Grandview_Inventory[[#This Row],[coeff]])+Grandview_Inventory[[#This Row],[const]]</f>
        <v>44781.420733940802</v>
      </c>
      <c r="S566" t="s">
        <v>74</v>
      </c>
      <c r="T566">
        <v>1</v>
      </c>
      <c r="U566" t="s">
        <v>64</v>
      </c>
      <c r="V566" t="s">
        <v>69</v>
      </c>
      <c r="W566">
        <v>0</v>
      </c>
      <c r="X566">
        <v>0</v>
      </c>
      <c r="Y566">
        <v>43</v>
      </c>
      <c r="Z566">
        <v>44</v>
      </c>
      <c r="AA566">
        <v>50</v>
      </c>
      <c r="AB566">
        <v>2500</v>
      </c>
      <c r="AC566">
        <v>2252</v>
      </c>
      <c r="AD566">
        <v>1496</v>
      </c>
      <c r="AE566">
        <v>0</v>
      </c>
      <c r="AF566">
        <v>0</v>
      </c>
      <c r="AG566">
        <v>756</v>
      </c>
      <c r="AH566">
        <v>0</v>
      </c>
      <c r="AI566">
        <v>408</v>
      </c>
      <c r="AJ566">
        <v>0</v>
      </c>
      <c r="AK566">
        <v>0</v>
      </c>
      <c r="AL566">
        <v>216</v>
      </c>
      <c r="AM566">
        <v>324</v>
      </c>
      <c r="AN566">
        <v>0</v>
      </c>
      <c r="AO566">
        <v>0</v>
      </c>
      <c r="AP566">
        <v>8</v>
      </c>
      <c r="AQ566">
        <v>0</v>
      </c>
      <c r="AR566">
        <v>1</v>
      </c>
      <c r="AS566" t="s">
        <v>58</v>
      </c>
      <c r="AT566">
        <v>1</v>
      </c>
      <c r="AU566" t="s">
        <v>63</v>
      </c>
      <c r="AV566" t="s">
        <v>60</v>
      </c>
      <c r="AW566">
        <v>1</v>
      </c>
      <c r="AX566">
        <v>4</v>
      </c>
      <c r="AY566">
        <v>0</v>
      </c>
      <c r="AZ566">
        <v>0</v>
      </c>
      <c r="BA566">
        <v>100</v>
      </c>
      <c r="BB566">
        <v>100</v>
      </c>
      <c r="BC566">
        <v>100</v>
      </c>
      <c r="BD566">
        <v>100</v>
      </c>
      <c r="BE566">
        <v>1</v>
      </c>
      <c r="BF566">
        <v>15000</v>
      </c>
      <c r="BG566">
        <v>1000</v>
      </c>
      <c r="BH566" s="6">
        <f>Grandview_Inventory[[#This Row],[land_extract]]*Lookups!$B$3</f>
        <v>52004.542988489469</v>
      </c>
      <c r="BI566" s="6">
        <f>IF(Grandview_Inventory[[#This Row],[bldg_style]]="",0,Lookups!$B$2)</f>
        <v>155833.95000000001</v>
      </c>
      <c r="BJ566" s="6">
        <f>_xlfn.IFNA(VLOOKUP(Grandview_Inventory[[#This Row],[quality]],Lookups!$H$2:$J$14,3,FALSE),0)</f>
        <v>20768</v>
      </c>
      <c r="BK566" s="6">
        <f>_xlfn.IFNA(VLOOKUP(Grandview_Inventory[[#This Row],[condition]],Lookups!$H$17:$J$24,3,FALSE),0)</f>
        <v>-4503</v>
      </c>
      <c r="BL566" s="6">
        <f>Grandview_Inventory[[#This Row],[Eff_Age]]*Lookups!$B$14</f>
        <v>-10284.1638</v>
      </c>
      <c r="BM566" s="6">
        <f>Grandview_Inventory[[#This Row],[living_area]]*Lookups!$B$15</f>
        <v>140481.680956</v>
      </c>
      <c r="BN566" s="6">
        <f>Grandview_Inventory[[#This Row],[Fin BSMT]]*Lookups!$B$16</f>
        <v>-20487.025440000001</v>
      </c>
      <c r="BO566" s="6">
        <f>(Grandview_Inventory[[#This Row],[att_gar]]+Grandview_Inventory[[#This Row],[bltin_gar]])*Lookups!$B$17</f>
        <v>35708.338296000002</v>
      </c>
      <c r="BP566" s="6">
        <f>Grandview_Inventory[[#This Row],[Plumbing Fixtures]]*Lookups!$B$18</f>
        <v>16083.5344</v>
      </c>
      <c r="BQ566" s="6">
        <f>Grandview_Inventory[[#This Row],[detatched_value]]*Lookups!$B$19</f>
        <v>0</v>
      </c>
      <c r="BR566" s="6">
        <f>SUM(Grandview_Inventory[[#This Row],[Intercept]:[det_value]])*Grandview_Inventory[[#This Row],[res_pct]]</f>
        <v>333601.31441200001</v>
      </c>
      <c r="BS566" s="6">
        <f>Grandview_Inventory[[#This Row],[land_value]]</f>
        <v>52004.542988489469</v>
      </c>
      <c r="BT566" s="4">
        <f>_xlfn.IFNA(VLOOKUP(Grandview_Inventory[[#This Row],[quality]],Lookups!$A$26:$C$33,3,FALSE),1)</f>
        <v>0.94960540378902636</v>
      </c>
      <c r="BU566" s="4">
        <f>_xlfn.IFNA(VLOOKUP(Grandview_Inventory[[#This Row],[condition]],Lookups!$A$37:$C$44,3,FALSE),1)</f>
        <v>0.96469275950863709</v>
      </c>
      <c r="BV566" s="4">
        <f>IF(Grandview_Inventory[[#This Row],[bldg_style]]="",1,_xlfn.IFNA(VLOOKUP(Grandview_Inventory[[#This Row],[decade]],Lookups!$F$29:$H$43,3,FALSE),1))</f>
        <v>0.9871940091910919</v>
      </c>
      <c r="BW566" s="4">
        <f>_xlfn.IFNA(VLOOKUP(Grandview_Inventory[[#This Row],[living_area_range]],Lookups!$F$47:$H$56,3,FALSE),1)</f>
        <v>0.95799442568048754</v>
      </c>
      <c r="BX566" s="4">
        <f>AVERAGE(Grandview_Inventory[[#This Row],[qual_adj]:[size_adj]])</f>
        <v>0.96487164954231075</v>
      </c>
      <c r="BY566" s="6">
        <f>IF(Grandview_Inventory[[#This Row],[pre_res]]&lt;0,0,Grandview_Inventory[[#This Row],[pre_res]]*Grandview_Inventory[[#This Row],[overall_adj]])</f>
        <v>321882.45052618947</v>
      </c>
      <c r="BZ566" s="6">
        <f>(Grandview_Inventory[[#This Row],[sum_land]]-IF(Grandview_Inventory[[#This Row],[no_utilities]]=1,12000,0))/IF(Grandview_Inventory[[#This Row],[unbuildable]]=1,2,1)</f>
        <v>52004.542988489469</v>
      </c>
      <c r="CA566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566">
        <f>ROUND(Grandview_Inventory[[#This Row],[det_value]]*Lookups!$M$28,-2)</f>
        <v>0</v>
      </c>
      <c r="CC566">
        <f>IF(ROUND(Grandview_Inventory[[#This Row],[adj_res]]*Lookups!$M$28,-2)&lt;Grandview_Inventory[[#This Row],[min_res]],Grandview_Inventory[[#This Row],[min_res]],ROUND(Grandview_Inventory[[#This Row],[adj_res]]*Lookups!$M$28,-2))</f>
        <v>305800</v>
      </c>
      <c r="CD566">
        <f>Grandview_Inventory[[#This Row],[final_det]]+Grandview_Inventory[[#This Row],[final_res]]</f>
        <v>305800</v>
      </c>
      <c r="CE566">
        <f>Grandview_Inventory[[#This Row],[final_land]]+Grandview_Inventory[[#This Row],[final_imp]]+Grandview_Inventory[[#This Row],[crop_value]]</f>
        <v>355200</v>
      </c>
      <c r="CG566" t="str">
        <f t="shared" si="8"/>
        <v>update valuation set market_land =49400, market_bldg=305800, market_total =355200, market_mdno =401, market_date ='9/10/2023' where link_id = (select link_id from parcel where parcel_year = '2024' and parcel_id = '23092224403');</v>
      </c>
    </row>
    <row r="567" spans="1:85" x14ac:dyDescent="0.25">
      <c r="A567">
        <v>23092224404</v>
      </c>
      <c r="B567">
        <v>0.23</v>
      </c>
      <c r="C567">
        <v>10135</v>
      </c>
      <c r="D567" t="s">
        <v>129</v>
      </c>
      <c r="E567" t="s">
        <v>53</v>
      </c>
      <c r="F567" t="s">
        <v>53</v>
      </c>
      <c r="G567">
        <v>4</v>
      </c>
      <c r="H567" t="s">
        <v>54</v>
      </c>
      <c r="I567">
        <v>192000</v>
      </c>
      <c r="J567">
        <v>39700</v>
      </c>
      <c r="K567">
        <v>0.23</v>
      </c>
      <c r="L56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567">
        <v>0</v>
      </c>
      <c r="N567">
        <v>0</v>
      </c>
      <c r="O567">
        <v>0</v>
      </c>
      <c r="P567">
        <v>13398.7528</v>
      </c>
      <c r="Q567">
        <v>63903</v>
      </c>
      <c r="R567">
        <f>(Grandview_Inventory[[#This Row],[ln_acres]]*Grandview_Inventory[[#This Row],[coeff]])+Grandview_Inventory[[#This Row],[const]]</f>
        <v>44211.174981080039</v>
      </c>
      <c r="S567" t="s">
        <v>61</v>
      </c>
      <c r="T567">
        <v>1</v>
      </c>
      <c r="U567" t="s">
        <v>62</v>
      </c>
      <c r="V567" t="s">
        <v>69</v>
      </c>
      <c r="W567">
        <v>0</v>
      </c>
      <c r="X567">
        <v>0</v>
      </c>
      <c r="Y567">
        <v>42</v>
      </c>
      <c r="Z567">
        <v>42</v>
      </c>
      <c r="AA567">
        <v>50</v>
      </c>
      <c r="AB567">
        <v>1500</v>
      </c>
      <c r="AC567">
        <v>1460</v>
      </c>
      <c r="AD567">
        <v>1460</v>
      </c>
      <c r="AE567">
        <v>0</v>
      </c>
      <c r="AF567">
        <v>0</v>
      </c>
      <c r="AG567">
        <v>0</v>
      </c>
      <c r="AH567">
        <v>0</v>
      </c>
      <c r="AI567">
        <v>484</v>
      </c>
      <c r="AJ567">
        <v>0</v>
      </c>
      <c r="AK567">
        <v>0</v>
      </c>
      <c r="AL567">
        <v>0</v>
      </c>
      <c r="AM567">
        <v>306</v>
      </c>
      <c r="AN567">
        <v>0</v>
      </c>
      <c r="AO567">
        <v>306</v>
      </c>
      <c r="AP567">
        <v>8</v>
      </c>
      <c r="AQ567">
        <v>0</v>
      </c>
      <c r="AR567">
        <v>0</v>
      </c>
      <c r="AS567" t="s">
        <v>58</v>
      </c>
      <c r="AT567">
        <v>1</v>
      </c>
      <c r="AU567" t="s">
        <v>63</v>
      </c>
      <c r="AV567" t="s">
        <v>60</v>
      </c>
      <c r="AW567">
        <v>1</v>
      </c>
      <c r="AX567">
        <v>3</v>
      </c>
      <c r="AY567">
        <v>0</v>
      </c>
      <c r="AZ567">
        <v>0</v>
      </c>
      <c r="BA567">
        <v>100</v>
      </c>
      <c r="BB567">
        <v>100</v>
      </c>
      <c r="BC567">
        <v>100</v>
      </c>
      <c r="BD567">
        <v>100</v>
      </c>
      <c r="BE567">
        <v>1</v>
      </c>
      <c r="BF567">
        <v>15000</v>
      </c>
      <c r="BG567">
        <v>1000</v>
      </c>
      <c r="BH567" s="6">
        <f>Grandview_Inventory[[#This Row],[land_extract]]*Lookups!$B$3</f>
        <v>51342.318135355803</v>
      </c>
      <c r="BI567" s="6">
        <f>IF(Grandview_Inventory[[#This Row],[bldg_style]]="",0,Lookups!$B$2)</f>
        <v>155833.95000000001</v>
      </c>
      <c r="BJ567" s="6">
        <f>_xlfn.IFNA(VLOOKUP(Grandview_Inventory[[#This Row],[quality]],Lookups!$H$2:$J$14,3,FALSE),0)</f>
        <v>9808</v>
      </c>
      <c r="BK567" s="6">
        <f>_xlfn.IFNA(VLOOKUP(Grandview_Inventory[[#This Row],[condition]],Lookups!$H$17:$J$24,3,FALSE),0)</f>
        <v>-4503</v>
      </c>
      <c r="BL567" s="6">
        <f>Grandview_Inventory[[#This Row],[Eff_Age]]*Lookups!$B$14</f>
        <v>-10044.9972</v>
      </c>
      <c r="BM567" s="6">
        <f>Grandview_Inventory[[#This Row],[living_area]]*Lookups!$B$15</f>
        <v>91076.045379999996</v>
      </c>
      <c r="BN567" s="6">
        <f>Grandview_Inventory[[#This Row],[Fin BSMT]]*Lookups!$B$16</f>
        <v>0</v>
      </c>
      <c r="BO567" s="6">
        <f>(Grandview_Inventory[[#This Row],[att_gar]]+Grandview_Inventory[[#This Row],[bltin_gar]])*Lookups!$B$17</f>
        <v>42359.891508000001</v>
      </c>
      <c r="BP567" s="6">
        <f>Grandview_Inventory[[#This Row],[Plumbing Fixtures]]*Lookups!$B$18</f>
        <v>16083.5344</v>
      </c>
      <c r="BQ567" s="6">
        <f>Grandview_Inventory[[#This Row],[detatched_value]]*Lookups!$B$19</f>
        <v>0</v>
      </c>
      <c r="BR567" s="6">
        <f>SUM(Grandview_Inventory[[#This Row],[Intercept]:[det_value]])*Grandview_Inventory[[#This Row],[res_pct]]</f>
        <v>300613.42408799997</v>
      </c>
      <c r="BS567" s="6">
        <f>Grandview_Inventory[[#This Row],[land_value]]</f>
        <v>51342.318135355803</v>
      </c>
      <c r="BT567" s="4">
        <f>_xlfn.IFNA(VLOOKUP(Grandview_Inventory[[#This Row],[quality]],Lookups!$A$26:$C$33,3,FALSE),1)</f>
        <v>0.94295468617355149</v>
      </c>
      <c r="BU567" s="4">
        <f>_xlfn.IFNA(VLOOKUP(Grandview_Inventory[[#This Row],[condition]],Lookups!$A$37:$C$44,3,FALSE),1)</f>
        <v>0.96469275950863709</v>
      </c>
      <c r="BV567" s="4">
        <f>IF(Grandview_Inventory[[#This Row],[bldg_style]]="",1,_xlfn.IFNA(VLOOKUP(Grandview_Inventory[[#This Row],[decade]],Lookups!$F$29:$H$43,3,FALSE),1))</f>
        <v>0.9871940091910919</v>
      </c>
      <c r="BW567" s="4">
        <f>_xlfn.IFNA(VLOOKUP(Grandview_Inventory[[#This Row],[living_area_range]],Lookups!$F$47:$H$56,3,FALSE),1)</f>
        <v>0.96135087979789358</v>
      </c>
      <c r="BX567" s="4">
        <f>AVERAGE(Grandview_Inventory[[#This Row],[qual_adj]:[size_adj]])</f>
        <v>0.96404808366779349</v>
      </c>
      <c r="BY567" s="6">
        <f>IF(Grandview_Inventory[[#This Row],[pre_res]]&lt;0,0,Grandview_Inventory[[#This Row],[pre_res]]*Grandview_Inventory[[#This Row],[overall_adj]])</f>
        <v>289805.79541685007</v>
      </c>
      <c r="BZ567" s="6">
        <f>(Grandview_Inventory[[#This Row],[sum_land]]-IF(Grandview_Inventory[[#This Row],[no_utilities]]=1,12000,0))/IF(Grandview_Inventory[[#This Row],[unbuildable]]=1,2,1)</f>
        <v>51342.318135355803</v>
      </c>
      <c r="CA56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567">
        <f>ROUND(Grandview_Inventory[[#This Row],[det_value]]*Lookups!$M$28,-2)</f>
        <v>0</v>
      </c>
      <c r="CC567">
        <f>IF(ROUND(Grandview_Inventory[[#This Row],[adj_res]]*Lookups!$M$28,-2)&lt;Grandview_Inventory[[#This Row],[min_res]],Grandview_Inventory[[#This Row],[min_res]],ROUND(Grandview_Inventory[[#This Row],[adj_res]]*Lookups!$M$28,-2))</f>
        <v>275300</v>
      </c>
      <c r="CD567">
        <f>Grandview_Inventory[[#This Row],[final_det]]+Grandview_Inventory[[#This Row],[final_res]]</f>
        <v>275300</v>
      </c>
      <c r="CE567">
        <f>Grandview_Inventory[[#This Row],[final_land]]+Grandview_Inventory[[#This Row],[final_imp]]+Grandview_Inventory[[#This Row],[crop_value]]</f>
        <v>324100</v>
      </c>
      <c r="CG567" t="str">
        <f t="shared" si="8"/>
        <v>update valuation set market_land =48800, market_bldg=275300, market_total =324100, market_mdno =401, market_date ='9/10/2023' where link_id = (select link_id from parcel where parcel_year = '2024' and parcel_id = '23092224404');</v>
      </c>
    </row>
    <row r="568" spans="1:85" x14ac:dyDescent="0.25">
      <c r="A568">
        <v>23092224405</v>
      </c>
      <c r="B568">
        <v>0.25</v>
      </c>
      <c r="C568">
        <v>10877</v>
      </c>
      <c r="D568" t="s">
        <v>129</v>
      </c>
      <c r="E568" t="s">
        <v>53</v>
      </c>
      <c r="F568" t="s">
        <v>53</v>
      </c>
      <c r="G568">
        <v>4</v>
      </c>
      <c r="H568" t="s">
        <v>54</v>
      </c>
      <c r="I568">
        <v>219500</v>
      </c>
      <c r="J568">
        <v>44500</v>
      </c>
      <c r="K568">
        <v>0.25</v>
      </c>
      <c r="L56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568">
        <v>0</v>
      </c>
      <c r="N568">
        <v>0</v>
      </c>
      <c r="O568">
        <v>0</v>
      </c>
      <c r="P568">
        <v>13398.7528</v>
      </c>
      <c r="Q568">
        <v>63903</v>
      </c>
      <c r="R568">
        <f>(Grandview_Inventory[[#This Row],[ln_acres]]*Grandview_Inventory[[#This Row],[coeff]])+Grandview_Inventory[[#This Row],[const]]</f>
        <v>45328.38454732066</v>
      </c>
      <c r="S568" t="s">
        <v>61</v>
      </c>
      <c r="T568">
        <v>1</v>
      </c>
      <c r="U568" t="s">
        <v>65</v>
      </c>
      <c r="V568" t="s">
        <v>69</v>
      </c>
      <c r="W568">
        <v>0</v>
      </c>
      <c r="X568">
        <v>0</v>
      </c>
      <c r="Y568">
        <v>43</v>
      </c>
      <c r="Z568">
        <v>44</v>
      </c>
      <c r="AA568">
        <v>50</v>
      </c>
      <c r="AB568">
        <v>2000</v>
      </c>
      <c r="AC568">
        <v>1584</v>
      </c>
      <c r="AD568">
        <v>1584</v>
      </c>
      <c r="AE568">
        <v>0</v>
      </c>
      <c r="AF568">
        <v>0</v>
      </c>
      <c r="AG568">
        <v>0</v>
      </c>
      <c r="AH568">
        <v>0</v>
      </c>
      <c r="AI568">
        <v>588</v>
      </c>
      <c r="AJ568">
        <v>0</v>
      </c>
      <c r="AK568">
        <v>0</v>
      </c>
      <c r="AL568">
        <v>0</v>
      </c>
      <c r="AM568">
        <v>180</v>
      </c>
      <c r="AN568">
        <v>0</v>
      </c>
      <c r="AO568">
        <v>180</v>
      </c>
      <c r="AP568">
        <v>8</v>
      </c>
      <c r="AQ568">
        <v>0</v>
      </c>
      <c r="AR568">
        <v>0</v>
      </c>
      <c r="AS568" t="s">
        <v>58</v>
      </c>
      <c r="AT568">
        <v>1</v>
      </c>
      <c r="AU568" t="s">
        <v>63</v>
      </c>
      <c r="AV568" t="s">
        <v>60</v>
      </c>
      <c r="AW568">
        <v>1</v>
      </c>
      <c r="AX568">
        <v>3</v>
      </c>
      <c r="AY568">
        <v>0</v>
      </c>
      <c r="AZ568">
        <v>10500</v>
      </c>
      <c r="BA568">
        <v>100</v>
      </c>
      <c r="BB568">
        <v>100</v>
      </c>
      <c r="BC568">
        <v>100</v>
      </c>
      <c r="BD568">
        <v>100</v>
      </c>
      <c r="BE568">
        <v>1</v>
      </c>
      <c r="BF568">
        <v>15000</v>
      </c>
      <c r="BG568">
        <v>1000</v>
      </c>
      <c r="BH568" s="6">
        <f>Grandview_Inventory[[#This Row],[land_extract]]*Lookups!$B$3</f>
        <v>52639.730588165206</v>
      </c>
      <c r="BI568" s="6">
        <f>IF(Grandview_Inventory[[#This Row],[bldg_style]]="",0,Lookups!$B$2)</f>
        <v>155833.95000000001</v>
      </c>
      <c r="BJ568" s="6">
        <f>_xlfn.IFNA(VLOOKUP(Grandview_Inventory[[#This Row],[quality]],Lookups!$H$2:$J$14,3,FALSE),0)</f>
        <v>2251</v>
      </c>
      <c r="BK568" s="6">
        <f>_xlfn.IFNA(VLOOKUP(Grandview_Inventory[[#This Row],[condition]],Lookups!$H$17:$J$24,3,FALSE),0)</f>
        <v>-4503</v>
      </c>
      <c r="BL568" s="6">
        <f>Grandview_Inventory[[#This Row],[Eff_Age]]*Lookups!$B$14</f>
        <v>-10284.1638</v>
      </c>
      <c r="BM568" s="6">
        <f>Grandview_Inventory[[#This Row],[living_area]]*Lookups!$B$15</f>
        <v>98811.271152000001</v>
      </c>
      <c r="BN568" s="6">
        <f>Grandview_Inventory[[#This Row],[Fin BSMT]]*Lookups!$B$16</f>
        <v>0</v>
      </c>
      <c r="BO568" s="6">
        <f>(Grandview_Inventory[[#This Row],[att_gar]]+Grandview_Inventory[[#This Row],[bltin_gar]])*Lookups!$B$17</f>
        <v>51462.016955999999</v>
      </c>
      <c r="BP568" s="6">
        <f>Grandview_Inventory[[#This Row],[Plumbing Fixtures]]*Lookups!$B$18</f>
        <v>16083.5344</v>
      </c>
      <c r="BQ568" s="6">
        <f>Grandview_Inventory[[#This Row],[detatched_value]]*Lookups!$B$19</f>
        <v>8891.4535500000002</v>
      </c>
      <c r="BR568" s="6">
        <f>SUM(Grandview_Inventory[[#This Row],[Intercept]:[det_value]])*Grandview_Inventory[[#This Row],[res_pct]]</f>
        <v>318546.06225799996</v>
      </c>
      <c r="BS568" s="6">
        <f>Grandview_Inventory[[#This Row],[land_value]]</f>
        <v>52639.730588165206</v>
      </c>
      <c r="BT568" s="4">
        <f>_xlfn.IFNA(VLOOKUP(Grandview_Inventory[[#This Row],[quality]],Lookups!$A$26:$C$33,3,FALSE),1)</f>
        <v>0.98763855981004833</v>
      </c>
      <c r="BU568" s="4">
        <f>_xlfn.IFNA(VLOOKUP(Grandview_Inventory[[#This Row],[condition]],Lookups!$A$37:$C$44,3,FALSE),1)</f>
        <v>0.96469275950863709</v>
      </c>
      <c r="BV568" s="4">
        <f>IF(Grandview_Inventory[[#This Row],[bldg_style]]="",1,_xlfn.IFNA(VLOOKUP(Grandview_Inventory[[#This Row],[decade]],Lookups!$F$29:$H$43,3,FALSE),1))</f>
        <v>0.9871940091910919</v>
      </c>
      <c r="BW568" s="4">
        <f>_xlfn.IFNA(VLOOKUP(Grandview_Inventory[[#This Row],[living_area_range]],Lookups!$F$47:$H$56,3,FALSE),1)</f>
        <v>0.96120133463014379</v>
      </c>
      <c r="BX568" s="4">
        <f>AVERAGE(Grandview_Inventory[[#This Row],[qual_adj]:[size_adj]])</f>
        <v>0.97518166578498033</v>
      </c>
      <c r="BY568" s="6">
        <f>IF(Grandview_Inventory[[#This Row],[pre_res]]&lt;0,0,Grandview_Inventory[[#This Row],[pre_res]]*Grandview_Inventory[[#This Row],[overall_adj]])</f>
        <v>310640.27962200245</v>
      </c>
      <c r="BZ568" s="6">
        <f>(Grandview_Inventory[[#This Row],[sum_land]]-IF(Grandview_Inventory[[#This Row],[no_utilities]]=1,12000,0))/IF(Grandview_Inventory[[#This Row],[unbuildable]]=1,2,1)</f>
        <v>52639.730588165206</v>
      </c>
      <c r="CA56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568">
        <f>ROUND(Grandview_Inventory[[#This Row],[det_value]]*Lookups!$M$28,-2)</f>
        <v>8400</v>
      </c>
      <c r="CC568">
        <f>IF(ROUND(Grandview_Inventory[[#This Row],[adj_res]]*Lookups!$M$28,-2)&lt;Grandview_Inventory[[#This Row],[min_res]],Grandview_Inventory[[#This Row],[min_res]],ROUND(Grandview_Inventory[[#This Row],[adj_res]]*Lookups!$M$28,-2))</f>
        <v>295100</v>
      </c>
      <c r="CD568">
        <f>Grandview_Inventory[[#This Row],[final_det]]+Grandview_Inventory[[#This Row],[final_res]]</f>
        <v>303500</v>
      </c>
      <c r="CE568">
        <f>Grandview_Inventory[[#This Row],[final_land]]+Grandview_Inventory[[#This Row],[final_imp]]+Grandview_Inventory[[#This Row],[crop_value]]</f>
        <v>353500</v>
      </c>
      <c r="CG568" t="str">
        <f t="shared" si="8"/>
        <v>update valuation set market_land =50000, market_bldg=303500, market_total =353500, market_mdno =401, market_date ='9/10/2023' where link_id = (select link_id from parcel where parcel_year = '2024' and parcel_id = '23092224405');</v>
      </c>
    </row>
    <row r="569" spans="1:85" x14ac:dyDescent="0.25">
      <c r="A569">
        <v>23092224406</v>
      </c>
      <c r="B569">
        <v>0.28000000000000003</v>
      </c>
      <c r="C569">
        <v>11989</v>
      </c>
      <c r="D569" t="s">
        <v>129</v>
      </c>
      <c r="E569" t="s">
        <v>53</v>
      </c>
      <c r="F569" t="s">
        <v>53</v>
      </c>
      <c r="G569">
        <v>4</v>
      </c>
      <c r="H569" t="s">
        <v>54</v>
      </c>
      <c r="I569">
        <v>148500</v>
      </c>
      <c r="J569">
        <v>44400</v>
      </c>
      <c r="K569">
        <v>0.28000000000000003</v>
      </c>
      <c r="L569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569">
        <v>0</v>
      </c>
      <c r="N569">
        <v>0</v>
      </c>
      <c r="O569">
        <v>0</v>
      </c>
      <c r="P569">
        <v>13398.7528</v>
      </c>
      <c r="Q569">
        <v>63903</v>
      </c>
      <c r="R569">
        <f>(Grandview_Inventory[[#This Row],[ln_acres]]*Grandview_Inventory[[#This Row],[coeff]])+Grandview_Inventory[[#This Row],[const]]</f>
        <v>46846.847586898184</v>
      </c>
      <c r="S569" t="s">
        <v>61</v>
      </c>
      <c r="T569">
        <v>1</v>
      </c>
      <c r="U569" t="s">
        <v>65</v>
      </c>
      <c r="V569" t="s">
        <v>69</v>
      </c>
      <c r="W569">
        <v>0</v>
      </c>
      <c r="X569">
        <v>0</v>
      </c>
      <c r="Y569">
        <v>43</v>
      </c>
      <c r="Z569">
        <v>44</v>
      </c>
      <c r="AA569">
        <v>50</v>
      </c>
      <c r="AB569">
        <v>2000</v>
      </c>
      <c r="AC569">
        <v>1512</v>
      </c>
      <c r="AD569">
        <v>1512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7</v>
      </c>
      <c r="AQ569">
        <v>0</v>
      </c>
      <c r="AR569">
        <v>0</v>
      </c>
      <c r="AS569" t="s">
        <v>58</v>
      </c>
      <c r="AT569">
        <v>1</v>
      </c>
      <c r="AU569" t="s">
        <v>63</v>
      </c>
      <c r="AV569" t="s">
        <v>60</v>
      </c>
      <c r="AW569">
        <v>0</v>
      </c>
      <c r="AX569">
        <v>3</v>
      </c>
      <c r="AY569">
        <v>0</v>
      </c>
      <c r="AZ569">
        <v>0</v>
      </c>
      <c r="BA569">
        <v>100</v>
      </c>
      <c r="BB569">
        <v>100</v>
      </c>
      <c r="BC569">
        <v>100</v>
      </c>
      <c r="BD569">
        <v>100</v>
      </c>
      <c r="BE569">
        <v>1</v>
      </c>
      <c r="BF569">
        <v>15000</v>
      </c>
      <c r="BG569">
        <v>1000</v>
      </c>
      <c r="BH569" s="6">
        <f>Grandview_Inventory[[#This Row],[land_extract]]*Lookups!$B$3</f>
        <v>54403.117616176372</v>
      </c>
      <c r="BI569" s="6">
        <f>IF(Grandview_Inventory[[#This Row],[bldg_style]]="",0,Lookups!$B$2)</f>
        <v>155833.95000000001</v>
      </c>
      <c r="BJ569" s="6">
        <f>_xlfn.IFNA(VLOOKUP(Grandview_Inventory[[#This Row],[quality]],Lookups!$H$2:$J$14,3,FALSE),0)</f>
        <v>2251</v>
      </c>
      <c r="BK569" s="6">
        <f>_xlfn.IFNA(VLOOKUP(Grandview_Inventory[[#This Row],[condition]],Lookups!$H$17:$J$24,3,FALSE),0)</f>
        <v>-4503</v>
      </c>
      <c r="BL569" s="6">
        <f>Grandview_Inventory[[#This Row],[Eff_Age]]*Lookups!$B$14</f>
        <v>-10284.1638</v>
      </c>
      <c r="BM569" s="6">
        <f>Grandview_Inventory[[#This Row],[living_area]]*Lookups!$B$15</f>
        <v>94319.849736000004</v>
      </c>
      <c r="BN569" s="6">
        <f>Grandview_Inventory[[#This Row],[Fin BSMT]]*Lookups!$B$16</f>
        <v>0</v>
      </c>
      <c r="BO569" s="6">
        <f>(Grandview_Inventory[[#This Row],[att_gar]]+Grandview_Inventory[[#This Row],[bltin_gar]])*Lookups!$B$17</f>
        <v>0</v>
      </c>
      <c r="BP569" s="6">
        <f>Grandview_Inventory[[#This Row],[Plumbing Fixtures]]*Lookups!$B$18</f>
        <v>14073.0926</v>
      </c>
      <c r="BQ569" s="6">
        <f>Grandview_Inventory[[#This Row],[detatched_value]]*Lookups!$B$19</f>
        <v>0</v>
      </c>
      <c r="BR569" s="6">
        <f>SUM(Grandview_Inventory[[#This Row],[Intercept]:[det_value]])*Grandview_Inventory[[#This Row],[res_pct]]</f>
        <v>251690.72853600001</v>
      </c>
      <c r="BS569" s="6">
        <f>Grandview_Inventory[[#This Row],[land_value]]</f>
        <v>54403.117616176372</v>
      </c>
      <c r="BT569" s="4">
        <f>_xlfn.IFNA(VLOOKUP(Grandview_Inventory[[#This Row],[quality]],Lookups!$A$26:$C$33,3,FALSE),1)</f>
        <v>0.98763855981004833</v>
      </c>
      <c r="BU569" s="4">
        <f>_xlfn.IFNA(VLOOKUP(Grandview_Inventory[[#This Row],[condition]],Lookups!$A$37:$C$44,3,FALSE),1)</f>
        <v>0.96469275950863709</v>
      </c>
      <c r="BV569" s="4">
        <f>IF(Grandview_Inventory[[#This Row],[bldg_style]]="",1,_xlfn.IFNA(VLOOKUP(Grandview_Inventory[[#This Row],[decade]],Lookups!$F$29:$H$43,3,FALSE),1))</f>
        <v>0.9871940091910919</v>
      </c>
      <c r="BW569" s="4">
        <f>_xlfn.IFNA(VLOOKUP(Grandview_Inventory[[#This Row],[living_area_range]],Lookups!$F$47:$H$56,3,FALSE),1)</f>
        <v>0.96120133463014379</v>
      </c>
      <c r="BX569" s="4">
        <f>AVERAGE(Grandview_Inventory[[#This Row],[qual_adj]:[size_adj]])</f>
        <v>0.97518166578498033</v>
      </c>
      <c r="BY569" s="6">
        <f>IF(Grandview_Inventory[[#This Row],[pre_res]]&lt;0,0,Grandview_Inventory[[#This Row],[pre_res]]*Grandview_Inventory[[#This Row],[overall_adj]])</f>
        <v>245444.18391637178</v>
      </c>
      <c r="BZ569" s="6">
        <f>(Grandview_Inventory[[#This Row],[sum_land]]-IF(Grandview_Inventory[[#This Row],[no_utilities]]=1,12000,0))/IF(Grandview_Inventory[[#This Row],[unbuildable]]=1,2,1)</f>
        <v>54403.117616176372</v>
      </c>
      <c r="CA569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569">
        <f>ROUND(Grandview_Inventory[[#This Row],[det_value]]*Lookups!$M$28,-2)</f>
        <v>0</v>
      </c>
      <c r="CC569">
        <f>IF(ROUND(Grandview_Inventory[[#This Row],[adj_res]]*Lookups!$M$28,-2)&lt;Grandview_Inventory[[#This Row],[min_res]],Grandview_Inventory[[#This Row],[min_res]],ROUND(Grandview_Inventory[[#This Row],[adj_res]]*Lookups!$M$28,-2))</f>
        <v>233200</v>
      </c>
      <c r="CD569">
        <f>Grandview_Inventory[[#This Row],[final_det]]+Grandview_Inventory[[#This Row],[final_res]]</f>
        <v>233200</v>
      </c>
      <c r="CE569">
        <f>Grandview_Inventory[[#This Row],[final_land]]+Grandview_Inventory[[#This Row],[final_imp]]+Grandview_Inventory[[#This Row],[crop_value]]</f>
        <v>284900</v>
      </c>
      <c r="CG569" t="str">
        <f t="shared" si="8"/>
        <v>update valuation set market_land =51700, market_bldg=233200, market_total =284900, market_mdno =401, market_date ='9/10/2023' where link_id = (select link_id from parcel where parcel_year = '2024' and parcel_id = '23092224406');</v>
      </c>
    </row>
    <row r="570" spans="1:85" x14ac:dyDescent="0.25">
      <c r="A570">
        <v>23092224407</v>
      </c>
      <c r="B570">
        <v>0.28000000000000003</v>
      </c>
      <c r="C570">
        <v>12297</v>
      </c>
      <c r="D570" t="s">
        <v>129</v>
      </c>
      <c r="E570" t="s">
        <v>53</v>
      </c>
      <c r="F570" t="s">
        <v>53</v>
      </c>
      <c r="G570">
        <v>4</v>
      </c>
      <c r="H570" t="s">
        <v>54</v>
      </c>
      <c r="I570">
        <v>237000</v>
      </c>
      <c r="J570">
        <v>44700</v>
      </c>
      <c r="K570">
        <v>0.28000000000000003</v>
      </c>
      <c r="L570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570">
        <v>0</v>
      </c>
      <c r="N570">
        <v>0</v>
      </c>
      <c r="O570">
        <v>0</v>
      </c>
      <c r="P570">
        <v>13398.7528</v>
      </c>
      <c r="Q570">
        <v>63903</v>
      </c>
      <c r="R570">
        <f>(Grandview_Inventory[[#This Row],[ln_acres]]*Grandview_Inventory[[#This Row],[coeff]])+Grandview_Inventory[[#This Row],[const]]</f>
        <v>46846.847586898184</v>
      </c>
      <c r="S570" t="s">
        <v>74</v>
      </c>
      <c r="T570">
        <v>1</v>
      </c>
      <c r="U570" t="s">
        <v>65</v>
      </c>
      <c r="V570" t="s">
        <v>69</v>
      </c>
      <c r="W570">
        <v>0</v>
      </c>
      <c r="X570">
        <v>0</v>
      </c>
      <c r="Y570">
        <v>43</v>
      </c>
      <c r="Z570">
        <v>44</v>
      </c>
      <c r="AA570">
        <v>50</v>
      </c>
      <c r="AB570">
        <v>2000</v>
      </c>
      <c r="AC570">
        <v>1844</v>
      </c>
      <c r="AD570">
        <v>1220</v>
      </c>
      <c r="AE570">
        <v>0</v>
      </c>
      <c r="AF570">
        <v>0</v>
      </c>
      <c r="AG570">
        <v>624</v>
      </c>
      <c r="AH570">
        <v>0</v>
      </c>
      <c r="AI570">
        <v>468</v>
      </c>
      <c r="AJ570">
        <v>0</v>
      </c>
      <c r="AK570">
        <v>0</v>
      </c>
      <c r="AL570">
        <v>0</v>
      </c>
      <c r="AM570">
        <v>497</v>
      </c>
      <c r="AN570">
        <v>674</v>
      </c>
      <c r="AO570">
        <v>0</v>
      </c>
      <c r="AP570">
        <v>11</v>
      </c>
      <c r="AQ570">
        <v>0</v>
      </c>
      <c r="AR570">
        <v>0</v>
      </c>
      <c r="AS570" t="s">
        <v>58</v>
      </c>
      <c r="AT570">
        <v>1</v>
      </c>
      <c r="AU570" t="s">
        <v>63</v>
      </c>
      <c r="AV570" t="s">
        <v>60</v>
      </c>
      <c r="AW570">
        <v>1</v>
      </c>
      <c r="AX570">
        <v>4</v>
      </c>
      <c r="AY570">
        <v>0</v>
      </c>
      <c r="AZ570">
        <v>0</v>
      </c>
      <c r="BA570">
        <v>100</v>
      </c>
      <c r="BB570">
        <v>100</v>
      </c>
      <c r="BC570">
        <v>100</v>
      </c>
      <c r="BD570">
        <v>100</v>
      </c>
      <c r="BE570">
        <v>1</v>
      </c>
      <c r="BF570">
        <v>15000</v>
      </c>
      <c r="BG570">
        <v>1000</v>
      </c>
      <c r="BH570" s="6">
        <f>Grandview_Inventory[[#This Row],[land_extract]]*Lookups!$B$3</f>
        <v>54403.117616176372</v>
      </c>
      <c r="BI570" s="6">
        <f>IF(Grandview_Inventory[[#This Row],[bldg_style]]="",0,Lookups!$B$2)</f>
        <v>155833.95000000001</v>
      </c>
      <c r="BJ570" s="6">
        <f>_xlfn.IFNA(VLOOKUP(Grandview_Inventory[[#This Row],[quality]],Lookups!$H$2:$J$14,3,FALSE),0)</f>
        <v>2251</v>
      </c>
      <c r="BK570" s="6">
        <f>_xlfn.IFNA(VLOOKUP(Grandview_Inventory[[#This Row],[condition]],Lookups!$H$17:$J$24,3,FALSE),0)</f>
        <v>-4503</v>
      </c>
      <c r="BL570" s="6">
        <f>Grandview_Inventory[[#This Row],[Eff_Age]]*Lookups!$B$14</f>
        <v>-10284.1638</v>
      </c>
      <c r="BM570" s="6">
        <f>Grandview_Inventory[[#This Row],[living_area]]*Lookups!$B$15</f>
        <v>115030.292932</v>
      </c>
      <c r="BN570" s="6">
        <f>Grandview_Inventory[[#This Row],[Fin BSMT]]*Lookups!$B$16</f>
        <v>-16909.925760000002</v>
      </c>
      <c r="BO570" s="6">
        <f>(Grandview_Inventory[[#This Row],[att_gar]]+Grandview_Inventory[[#This Row],[bltin_gar]])*Lookups!$B$17</f>
        <v>40959.564515999999</v>
      </c>
      <c r="BP570" s="6">
        <f>Grandview_Inventory[[#This Row],[Plumbing Fixtures]]*Lookups!$B$18</f>
        <v>22114.859800000002</v>
      </c>
      <c r="BQ570" s="6">
        <f>Grandview_Inventory[[#This Row],[detatched_value]]*Lookups!$B$19</f>
        <v>0</v>
      </c>
      <c r="BR570" s="6">
        <f>SUM(Grandview_Inventory[[#This Row],[Intercept]:[det_value]])*Grandview_Inventory[[#This Row],[res_pct]]</f>
        <v>304492.57768799993</v>
      </c>
      <c r="BS570" s="6">
        <f>Grandview_Inventory[[#This Row],[land_value]]</f>
        <v>54403.117616176372</v>
      </c>
      <c r="BT570" s="4">
        <f>_xlfn.IFNA(VLOOKUP(Grandview_Inventory[[#This Row],[quality]],Lookups!$A$26:$C$33,3,FALSE),1)</f>
        <v>0.98763855981004833</v>
      </c>
      <c r="BU570" s="4">
        <f>_xlfn.IFNA(VLOOKUP(Grandview_Inventory[[#This Row],[condition]],Lookups!$A$37:$C$44,3,FALSE),1)</f>
        <v>0.96469275950863709</v>
      </c>
      <c r="BV570" s="4">
        <f>IF(Grandview_Inventory[[#This Row],[bldg_style]]="",1,_xlfn.IFNA(VLOOKUP(Grandview_Inventory[[#This Row],[decade]],Lookups!$F$29:$H$43,3,FALSE),1))</f>
        <v>0.9871940091910919</v>
      </c>
      <c r="BW570" s="4">
        <f>_xlfn.IFNA(VLOOKUP(Grandview_Inventory[[#This Row],[living_area_range]],Lookups!$F$47:$H$56,3,FALSE),1)</f>
        <v>0.96120133463014379</v>
      </c>
      <c r="BX570" s="4">
        <f>AVERAGE(Grandview_Inventory[[#This Row],[qual_adj]:[size_adj]])</f>
        <v>0.97518166578498033</v>
      </c>
      <c r="BY570" s="6">
        <f>IF(Grandview_Inventory[[#This Row],[pre_res]]&lt;0,0,Grandview_Inventory[[#This Row],[pre_res]]*Grandview_Inventory[[#This Row],[overall_adj]])</f>
        <v>296935.57912894629</v>
      </c>
      <c r="BZ570" s="6">
        <f>(Grandview_Inventory[[#This Row],[sum_land]]-IF(Grandview_Inventory[[#This Row],[no_utilities]]=1,12000,0))/IF(Grandview_Inventory[[#This Row],[unbuildable]]=1,2,1)</f>
        <v>54403.117616176372</v>
      </c>
      <c r="CA570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570">
        <f>ROUND(Grandview_Inventory[[#This Row],[det_value]]*Lookups!$M$28,-2)</f>
        <v>0</v>
      </c>
      <c r="CC570">
        <f>IF(ROUND(Grandview_Inventory[[#This Row],[adj_res]]*Lookups!$M$28,-2)&lt;Grandview_Inventory[[#This Row],[min_res]],Grandview_Inventory[[#This Row],[min_res]],ROUND(Grandview_Inventory[[#This Row],[adj_res]]*Lookups!$M$28,-2))</f>
        <v>282100</v>
      </c>
      <c r="CD570">
        <f>Grandview_Inventory[[#This Row],[final_det]]+Grandview_Inventory[[#This Row],[final_res]]</f>
        <v>282100</v>
      </c>
      <c r="CE570">
        <f>Grandview_Inventory[[#This Row],[final_land]]+Grandview_Inventory[[#This Row],[final_imp]]+Grandview_Inventory[[#This Row],[crop_value]]</f>
        <v>333800</v>
      </c>
      <c r="CG570" t="str">
        <f t="shared" si="8"/>
        <v>update valuation set market_land =51700, market_bldg=282100, market_total =333800, market_mdno =401, market_date ='9/10/2023' where link_id = (select link_id from parcel where parcel_year = '2024' and parcel_id = '23092224407');</v>
      </c>
    </row>
    <row r="571" spans="1:85" x14ac:dyDescent="0.25">
      <c r="A571">
        <v>23092224408</v>
      </c>
      <c r="B571">
        <v>0.27</v>
      </c>
      <c r="C571" t="s">
        <v>129</v>
      </c>
      <c r="D571" t="s">
        <v>129</v>
      </c>
      <c r="E571" t="s">
        <v>53</v>
      </c>
      <c r="F571" t="s">
        <v>53</v>
      </c>
      <c r="G571">
        <v>4</v>
      </c>
      <c r="H571" t="s">
        <v>54</v>
      </c>
      <c r="I571">
        <v>221200</v>
      </c>
      <c r="J571">
        <v>40000</v>
      </c>
      <c r="K571">
        <v>0.27</v>
      </c>
      <c r="L571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571">
        <v>0</v>
      </c>
      <c r="N571">
        <v>0</v>
      </c>
      <c r="O571">
        <v>0</v>
      </c>
      <c r="P571">
        <v>13398.7528</v>
      </c>
      <c r="Q571">
        <v>63903</v>
      </c>
      <c r="R571">
        <f>(Grandview_Inventory[[#This Row],[ln_acres]]*Grandview_Inventory[[#This Row],[coeff]])+Grandview_Inventory[[#This Row],[const]]</f>
        <v>46359.566512734265</v>
      </c>
      <c r="S571" t="s">
        <v>61</v>
      </c>
      <c r="T571">
        <v>1</v>
      </c>
      <c r="U571" t="s">
        <v>65</v>
      </c>
      <c r="V571" t="s">
        <v>67</v>
      </c>
      <c r="W571">
        <v>0</v>
      </c>
      <c r="X571">
        <v>0</v>
      </c>
      <c r="Y571">
        <v>43</v>
      </c>
      <c r="Z571">
        <v>43</v>
      </c>
      <c r="AA571">
        <v>50</v>
      </c>
      <c r="AB571">
        <v>2000</v>
      </c>
      <c r="AC571">
        <v>1928</v>
      </c>
      <c r="AD571">
        <v>1928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200</v>
      </c>
      <c r="AO571">
        <v>0</v>
      </c>
      <c r="AP571">
        <v>8</v>
      </c>
      <c r="AQ571">
        <v>0</v>
      </c>
      <c r="AR571">
        <v>0</v>
      </c>
      <c r="AS571" t="s">
        <v>58</v>
      </c>
      <c r="AT571">
        <v>1</v>
      </c>
      <c r="AU571" t="s">
        <v>59</v>
      </c>
      <c r="AV571" t="s">
        <v>60</v>
      </c>
      <c r="AW571">
        <v>1</v>
      </c>
      <c r="AX571">
        <v>3</v>
      </c>
      <c r="AY571">
        <v>0</v>
      </c>
      <c r="AZ571">
        <v>0</v>
      </c>
      <c r="BA571">
        <v>100</v>
      </c>
      <c r="BB571">
        <v>100</v>
      </c>
      <c r="BC571">
        <v>100</v>
      </c>
      <c r="BD571">
        <v>100</v>
      </c>
      <c r="BE571">
        <v>1</v>
      </c>
      <c r="BF571">
        <v>15000</v>
      </c>
      <c r="BG571">
        <v>1000</v>
      </c>
      <c r="BH571" s="6">
        <f>Grandview_Inventory[[#This Row],[land_extract]]*Lookups!$B$3</f>
        <v>53837.239420408718</v>
      </c>
      <c r="BI571" s="6">
        <f>IF(Grandview_Inventory[[#This Row],[bldg_style]]="",0,Lookups!$B$2)</f>
        <v>155833.95000000001</v>
      </c>
      <c r="BJ571" s="6">
        <f>_xlfn.IFNA(VLOOKUP(Grandview_Inventory[[#This Row],[quality]],Lookups!$H$2:$J$14,3,FALSE),0)</f>
        <v>2251</v>
      </c>
      <c r="BK571" s="6">
        <f>_xlfn.IFNA(VLOOKUP(Grandview_Inventory[[#This Row],[condition]],Lookups!$H$17:$J$24,3,FALSE),0)</f>
        <v>22342</v>
      </c>
      <c r="BL571" s="6">
        <f>Grandview_Inventory[[#This Row],[Eff_Age]]*Lookups!$B$14</f>
        <v>-10284.1638</v>
      </c>
      <c r="BM571" s="6">
        <f>Grandview_Inventory[[#This Row],[living_area]]*Lookups!$B$15</f>
        <v>120270.28458400001</v>
      </c>
      <c r="BN571" s="6">
        <f>Grandview_Inventory[[#This Row],[Fin BSMT]]*Lookups!$B$16</f>
        <v>0</v>
      </c>
      <c r="BO571" s="6">
        <f>(Grandview_Inventory[[#This Row],[att_gar]]+Grandview_Inventory[[#This Row],[bltin_gar]])*Lookups!$B$17</f>
        <v>0</v>
      </c>
      <c r="BP571" s="6">
        <f>Grandview_Inventory[[#This Row],[Plumbing Fixtures]]*Lookups!$B$18</f>
        <v>16083.5344</v>
      </c>
      <c r="BQ571" s="6">
        <f>Grandview_Inventory[[#This Row],[detatched_value]]*Lookups!$B$19</f>
        <v>0</v>
      </c>
      <c r="BR571" s="6">
        <f>SUM(Grandview_Inventory[[#This Row],[Intercept]:[det_value]])*Grandview_Inventory[[#This Row],[res_pct]]</f>
        <v>306496.60518399999</v>
      </c>
      <c r="BS571" s="6">
        <f>Grandview_Inventory[[#This Row],[land_value]]</f>
        <v>53837.239420408718</v>
      </c>
      <c r="BT571" s="4">
        <f>_xlfn.IFNA(VLOOKUP(Grandview_Inventory[[#This Row],[quality]],Lookups!$A$26:$C$33,3,FALSE),1)</f>
        <v>0.98763855981004833</v>
      </c>
      <c r="BU571" s="4">
        <f>_xlfn.IFNA(VLOOKUP(Grandview_Inventory[[#This Row],[condition]],Lookups!$A$37:$C$44,3,FALSE),1)</f>
        <v>0.97383723671140243</v>
      </c>
      <c r="BV571" s="4">
        <f>IF(Grandview_Inventory[[#This Row],[bldg_style]]="",1,_xlfn.IFNA(VLOOKUP(Grandview_Inventory[[#This Row],[decade]],Lookups!$F$29:$H$43,3,FALSE),1))</f>
        <v>0.9871940091910919</v>
      </c>
      <c r="BW571" s="4">
        <f>_xlfn.IFNA(VLOOKUP(Grandview_Inventory[[#This Row],[living_area_range]],Lookups!$F$47:$H$56,3,FALSE),1)</f>
        <v>0.96120133463014379</v>
      </c>
      <c r="BX571" s="4">
        <f>AVERAGE(Grandview_Inventory[[#This Row],[qual_adj]:[size_adj]])</f>
        <v>0.97746778508567167</v>
      </c>
      <c r="BY571" s="6">
        <f>IF(Grandview_Inventory[[#This Row],[pre_res]]&lt;0,0,Grandview_Inventory[[#This Row],[pre_res]]*Grandview_Inventory[[#This Row],[overall_adj]])</f>
        <v>299590.55780548207</v>
      </c>
      <c r="BZ571" s="6">
        <f>(Grandview_Inventory[[#This Row],[sum_land]]-IF(Grandview_Inventory[[#This Row],[no_utilities]]=1,12000,0))/IF(Grandview_Inventory[[#This Row],[unbuildable]]=1,2,1)</f>
        <v>53837.239420408718</v>
      </c>
      <c r="CA571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571">
        <f>ROUND(Grandview_Inventory[[#This Row],[det_value]]*Lookups!$M$28,-2)</f>
        <v>0</v>
      </c>
      <c r="CC571">
        <f>IF(ROUND(Grandview_Inventory[[#This Row],[adj_res]]*Lookups!$M$28,-2)&lt;Grandview_Inventory[[#This Row],[min_res]],Grandview_Inventory[[#This Row],[min_res]],ROUND(Grandview_Inventory[[#This Row],[adj_res]]*Lookups!$M$28,-2))</f>
        <v>284600</v>
      </c>
      <c r="CD571">
        <f>Grandview_Inventory[[#This Row],[final_det]]+Grandview_Inventory[[#This Row],[final_res]]</f>
        <v>284600</v>
      </c>
      <c r="CE571">
        <f>Grandview_Inventory[[#This Row],[final_land]]+Grandview_Inventory[[#This Row],[final_imp]]+Grandview_Inventory[[#This Row],[crop_value]]</f>
        <v>335700</v>
      </c>
      <c r="CG571" t="str">
        <f t="shared" si="8"/>
        <v>update valuation set market_land =51100, market_bldg=284600, market_total =335700, market_mdno =401, market_date ='9/10/2023' where link_id = (select link_id from parcel where parcel_year = '2024' and parcel_id = '23092224408');</v>
      </c>
    </row>
    <row r="572" spans="1:85" x14ac:dyDescent="0.25">
      <c r="A572">
        <v>23092224409</v>
      </c>
      <c r="B572">
        <v>0.2</v>
      </c>
      <c r="C572">
        <v>8827</v>
      </c>
      <c r="D572" t="s">
        <v>129</v>
      </c>
      <c r="E572" t="s">
        <v>53</v>
      </c>
      <c r="F572" t="s">
        <v>53</v>
      </c>
      <c r="G572">
        <v>4</v>
      </c>
      <c r="H572" t="s">
        <v>54</v>
      </c>
      <c r="I572">
        <v>215100</v>
      </c>
      <c r="J572">
        <v>43700</v>
      </c>
      <c r="K572">
        <v>0.2</v>
      </c>
      <c r="L57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72">
        <v>0</v>
      </c>
      <c r="N572">
        <v>0</v>
      </c>
      <c r="O572">
        <v>0</v>
      </c>
      <c r="P572">
        <v>13398.7528</v>
      </c>
      <c r="Q572">
        <v>63903</v>
      </c>
      <c r="R572">
        <f>(Grandview_Inventory[[#This Row],[ln_acres]]*Grandview_Inventory[[#This Row],[coeff]])+Grandview_Inventory[[#This Row],[const]]</f>
        <v>42338.539264347448</v>
      </c>
      <c r="S572" t="s">
        <v>61</v>
      </c>
      <c r="T572">
        <v>1</v>
      </c>
      <c r="U572" t="s">
        <v>62</v>
      </c>
      <c r="V572" t="s">
        <v>67</v>
      </c>
      <c r="W572">
        <v>0</v>
      </c>
      <c r="X572">
        <v>0</v>
      </c>
      <c r="Y572">
        <v>43</v>
      </c>
      <c r="Z572">
        <v>44</v>
      </c>
      <c r="AA572">
        <v>50</v>
      </c>
      <c r="AB572">
        <v>1500</v>
      </c>
      <c r="AC572">
        <v>1380</v>
      </c>
      <c r="AD572">
        <v>1380</v>
      </c>
      <c r="AE572">
        <v>0</v>
      </c>
      <c r="AF572">
        <v>0</v>
      </c>
      <c r="AG572">
        <v>0</v>
      </c>
      <c r="AH572">
        <v>0</v>
      </c>
      <c r="AI572">
        <v>440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8</v>
      </c>
      <c r="AQ572">
        <v>0</v>
      </c>
      <c r="AR572">
        <v>0</v>
      </c>
      <c r="AS572" t="s">
        <v>58</v>
      </c>
      <c r="AT572">
        <v>1</v>
      </c>
      <c r="AU572" t="s">
        <v>63</v>
      </c>
      <c r="AV572" t="s">
        <v>64</v>
      </c>
      <c r="AW572">
        <v>1</v>
      </c>
      <c r="AX572">
        <v>3</v>
      </c>
      <c r="AY572">
        <v>0</v>
      </c>
      <c r="AZ572">
        <v>0</v>
      </c>
      <c r="BA572">
        <v>100</v>
      </c>
      <c r="BB572">
        <v>100</v>
      </c>
      <c r="BC572">
        <v>100</v>
      </c>
      <c r="BD572">
        <v>100</v>
      </c>
      <c r="BE572">
        <v>1</v>
      </c>
      <c r="BF572">
        <v>15000</v>
      </c>
      <c r="BG572">
        <v>1000</v>
      </c>
      <c r="BH572" s="6">
        <f>Grandview_Inventory[[#This Row],[land_extract]]*Lookups!$B$3</f>
        <v>49167.631333630678</v>
      </c>
      <c r="BI572" s="6">
        <f>IF(Grandview_Inventory[[#This Row],[bldg_style]]="",0,Lookups!$B$2)</f>
        <v>155833.95000000001</v>
      </c>
      <c r="BJ572" s="6">
        <f>_xlfn.IFNA(VLOOKUP(Grandview_Inventory[[#This Row],[quality]],Lookups!$H$2:$J$14,3,FALSE),0)</f>
        <v>9808</v>
      </c>
      <c r="BK572" s="6">
        <f>_xlfn.IFNA(VLOOKUP(Grandview_Inventory[[#This Row],[condition]],Lookups!$H$17:$J$24,3,FALSE),0)</f>
        <v>22342</v>
      </c>
      <c r="BL572" s="6">
        <f>Grandview_Inventory[[#This Row],[Eff_Age]]*Lookups!$B$14</f>
        <v>-10284.1638</v>
      </c>
      <c r="BM572" s="6">
        <f>Grandview_Inventory[[#This Row],[living_area]]*Lookups!$B$15</f>
        <v>86085.577140000009</v>
      </c>
      <c r="BN572" s="6">
        <f>Grandview_Inventory[[#This Row],[Fin BSMT]]*Lookups!$B$16</f>
        <v>0</v>
      </c>
      <c r="BO572" s="6">
        <f>(Grandview_Inventory[[#This Row],[att_gar]]+Grandview_Inventory[[#This Row],[bltin_gar]])*Lookups!$B$17</f>
        <v>38508.992279999999</v>
      </c>
      <c r="BP572" s="6">
        <f>Grandview_Inventory[[#This Row],[Plumbing Fixtures]]*Lookups!$B$18</f>
        <v>16083.5344</v>
      </c>
      <c r="BQ572" s="6">
        <f>Grandview_Inventory[[#This Row],[detatched_value]]*Lookups!$B$19</f>
        <v>0</v>
      </c>
      <c r="BR572" s="6">
        <f>SUM(Grandview_Inventory[[#This Row],[Intercept]:[det_value]])*Grandview_Inventory[[#This Row],[res_pct]]</f>
        <v>318377.89002000005</v>
      </c>
      <c r="BS572" s="6">
        <f>Grandview_Inventory[[#This Row],[land_value]]</f>
        <v>49167.631333630678</v>
      </c>
      <c r="BT572" s="4">
        <f>_xlfn.IFNA(VLOOKUP(Grandview_Inventory[[#This Row],[quality]],Lookups!$A$26:$C$33,3,FALSE),1)</f>
        <v>0.94295468617355149</v>
      </c>
      <c r="BU572" s="4">
        <f>_xlfn.IFNA(VLOOKUP(Grandview_Inventory[[#This Row],[condition]],Lookups!$A$37:$C$44,3,FALSE),1)</f>
        <v>0.97383723671140243</v>
      </c>
      <c r="BV572" s="4">
        <f>IF(Grandview_Inventory[[#This Row],[bldg_style]]="",1,_xlfn.IFNA(VLOOKUP(Grandview_Inventory[[#This Row],[decade]],Lookups!$F$29:$H$43,3,FALSE),1))</f>
        <v>0.9871940091910919</v>
      </c>
      <c r="BW572" s="4">
        <f>_xlfn.IFNA(VLOOKUP(Grandview_Inventory[[#This Row],[living_area_range]],Lookups!$F$47:$H$56,3,FALSE),1)</f>
        <v>0.96135087979789358</v>
      </c>
      <c r="BX572" s="4">
        <f>AVERAGE(Grandview_Inventory[[#This Row],[qual_adj]:[size_adj]])</f>
        <v>0.96633420296848482</v>
      </c>
      <c r="BY572" s="6">
        <f>IF(Grandview_Inventory[[#This Row],[pre_res]]&lt;0,0,Grandview_Inventory[[#This Row],[pre_res]]*Grandview_Inventory[[#This Row],[overall_adj]])</f>
        <v>307659.44459526468</v>
      </c>
      <c r="BZ572" s="6">
        <f>(Grandview_Inventory[[#This Row],[sum_land]]-IF(Grandview_Inventory[[#This Row],[no_utilities]]=1,12000,0))/IF(Grandview_Inventory[[#This Row],[unbuildable]]=1,2,1)</f>
        <v>49167.631333630678</v>
      </c>
      <c r="CA57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72">
        <f>ROUND(Grandview_Inventory[[#This Row],[det_value]]*Lookups!$M$28,-2)</f>
        <v>0</v>
      </c>
      <c r="CC572">
        <f>IF(ROUND(Grandview_Inventory[[#This Row],[adj_res]]*Lookups!$M$28,-2)&lt;Grandview_Inventory[[#This Row],[min_res]],Grandview_Inventory[[#This Row],[min_res]],ROUND(Grandview_Inventory[[#This Row],[adj_res]]*Lookups!$M$28,-2))</f>
        <v>292300</v>
      </c>
      <c r="CD572">
        <f>Grandview_Inventory[[#This Row],[final_det]]+Grandview_Inventory[[#This Row],[final_res]]</f>
        <v>292300</v>
      </c>
      <c r="CE572">
        <f>Grandview_Inventory[[#This Row],[final_land]]+Grandview_Inventory[[#This Row],[final_imp]]+Grandview_Inventory[[#This Row],[crop_value]]</f>
        <v>339000</v>
      </c>
      <c r="CG572" t="str">
        <f t="shared" si="8"/>
        <v>update valuation set market_land =46700, market_bldg=292300, market_total =339000, market_mdno =401, market_date ='9/10/2023' where link_id = (select link_id from parcel where parcel_year = '2024' and parcel_id = '23092224409');</v>
      </c>
    </row>
    <row r="573" spans="1:85" x14ac:dyDescent="0.25">
      <c r="A573">
        <v>23092224410</v>
      </c>
      <c r="B573">
        <v>0.2</v>
      </c>
      <c r="C573">
        <v>8561</v>
      </c>
      <c r="D573" t="s">
        <v>129</v>
      </c>
      <c r="E573" t="s">
        <v>53</v>
      </c>
      <c r="F573" t="s">
        <v>53</v>
      </c>
      <c r="G573">
        <v>4</v>
      </c>
      <c r="H573" t="s">
        <v>54</v>
      </c>
      <c r="I573">
        <v>236000</v>
      </c>
      <c r="J573">
        <v>43500</v>
      </c>
      <c r="K573">
        <v>0.2</v>
      </c>
      <c r="L57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73">
        <v>0</v>
      </c>
      <c r="N573">
        <v>0</v>
      </c>
      <c r="O573">
        <v>0</v>
      </c>
      <c r="P573">
        <v>13398.7528</v>
      </c>
      <c r="Q573">
        <v>63903</v>
      </c>
      <c r="R573">
        <f>(Grandview_Inventory[[#This Row],[ln_acres]]*Grandview_Inventory[[#This Row],[coeff]])+Grandview_Inventory[[#This Row],[const]]</f>
        <v>42338.539264347448</v>
      </c>
      <c r="S573" t="s">
        <v>61</v>
      </c>
      <c r="T573">
        <v>1</v>
      </c>
      <c r="U573" t="s">
        <v>65</v>
      </c>
      <c r="V573" t="s">
        <v>67</v>
      </c>
      <c r="W573">
        <v>0</v>
      </c>
      <c r="X573">
        <v>0</v>
      </c>
      <c r="Y573">
        <v>41</v>
      </c>
      <c r="Z573">
        <v>41</v>
      </c>
      <c r="AA573">
        <v>50</v>
      </c>
      <c r="AB573">
        <v>2000</v>
      </c>
      <c r="AC573">
        <v>1524</v>
      </c>
      <c r="AD573">
        <v>1524</v>
      </c>
      <c r="AE573">
        <v>0</v>
      </c>
      <c r="AF573">
        <v>0</v>
      </c>
      <c r="AG573">
        <v>0</v>
      </c>
      <c r="AH573">
        <v>0</v>
      </c>
      <c r="AI573">
        <v>572</v>
      </c>
      <c r="AJ573">
        <v>0</v>
      </c>
      <c r="AK573">
        <v>0</v>
      </c>
      <c r="AL573">
        <v>280</v>
      </c>
      <c r="AM573">
        <v>0</v>
      </c>
      <c r="AN573">
        <v>0</v>
      </c>
      <c r="AO573">
        <v>0</v>
      </c>
      <c r="AP573">
        <v>7</v>
      </c>
      <c r="AQ573">
        <v>0</v>
      </c>
      <c r="AR573">
        <v>0</v>
      </c>
      <c r="AS573" t="s">
        <v>58</v>
      </c>
      <c r="AT573">
        <v>1</v>
      </c>
      <c r="AU573" t="s">
        <v>59</v>
      </c>
      <c r="AV573" t="s">
        <v>60</v>
      </c>
      <c r="AW573">
        <v>1</v>
      </c>
      <c r="AX573">
        <v>3</v>
      </c>
      <c r="AY573">
        <v>0</v>
      </c>
      <c r="AZ573">
        <v>0</v>
      </c>
      <c r="BA573">
        <v>100</v>
      </c>
      <c r="BB573">
        <v>100</v>
      </c>
      <c r="BC573">
        <v>100</v>
      </c>
      <c r="BD573">
        <v>100</v>
      </c>
      <c r="BE573">
        <v>1</v>
      </c>
      <c r="BF573">
        <v>15000</v>
      </c>
      <c r="BG573">
        <v>1000</v>
      </c>
      <c r="BH573" s="6">
        <f>Grandview_Inventory[[#This Row],[land_extract]]*Lookups!$B$3</f>
        <v>49167.631333630678</v>
      </c>
      <c r="BI573" s="6">
        <f>IF(Grandview_Inventory[[#This Row],[bldg_style]]="",0,Lookups!$B$2)</f>
        <v>155833.95000000001</v>
      </c>
      <c r="BJ573" s="6">
        <f>_xlfn.IFNA(VLOOKUP(Grandview_Inventory[[#This Row],[quality]],Lookups!$H$2:$J$14,3,FALSE),0)</f>
        <v>2251</v>
      </c>
      <c r="BK573" s="6">
        <f>_xlfn.IFNA(VLOOKUP(Grandview_Inventory[[#This Row],[condition]],Lookups!$H$17:$J$24,3,FALSE),0)</f>
        <v>22342</v>
      </c>
      <c r="BL573" s="6">
        <f>Grandview_Inventory[[#This Row],[Eff_Age]]*Lookups!$B$14</f>
        <v>-9805.8305999999993</v>
      </c>
      <c r="BM573" s="6">
        <f>Grandview_Inventory[[#This Row],[living_area]]*Lookups!$B$15</f>
        <v>95068.419972000003</v>
      </c>
      <c r="BN573" s="6">
        <f>Grandview_Inventory[[#This Row],[Fin BSMT]]*Lookups!$B$16</f>
        <v>0</v>
      </c>
      <c r="BO573" s="6">
        <f>(Grandview_Inventory[[#This Row],[att_gar]]+Grandview_Inventory[[#This Row],[bltin_gar]])*Lookups!$B$17</f>
        <v>50061.689963999997</v>
      </c>
      <c r="BP573" s="6">
        <f>Grandview_Inventory[[#This Row],[Plumbing Fixtures]]*Lookups!$B$18</f>
        <v>14073.0926</v>
      </c>
      <c r="BQ573" s="6">
        <f>Grandview_Inventory[[#This Row],[detatched_value]]*Lookups!$B$19</f>
        <v>0</v>
      </c>
      <c r="BR573" s="6">
        <f>SUM(Grandview_Inventory[[#This Row],[Intercept]:[det_value]])*Grandview_Inventory[[#This Row],[res_pct]]</f>
        <v>329824.32193600002</v>
      </c>
      <c r="BS573" s="6">
        <f>Grandview_Inventory[[#This Row],[land_value]]</f>
        <v>49167.631333630678</v>
      </c>
      <c r="BT573" s="4">
        <f>_xlfn.IFNA(VLOOKUP(Grandview_Inventory[[#This Row],[quality]],Lookups!$A$26:$C$33,3,FALSE),1)</f>
        <v>0.98763855981004833</v>
      </c>
      <c r="BU573" s="4">
        <f>_xlfn.IFNA(VLOOKUP(Grandview_Inventory[[#This Row],[condition]],Lookups!$A$37:$C$44,3,FALSE),1)</f>
        <v>0.97383723671140243</v>
      </c>
      <c r="BV573" s="4">
        <f>IF(Grandview_Inventory[[#This Row],[bldg_style]]="",1,_xlfn.IFNA(VLOOKUP(Grandview_Inventory[[#This Row],[decade]],Lookups!$F$29:$H$43,3,FALSE),1))</f>
        <v>0.9871940091910919</v>
      </c>
      <c r="BW573" s="4">
        <f>_xlfn.IFNA(VLOOKUP(Grandview_Inventory[[#This Row],[living_area_range]],Lookups!$F$47:$H$56,3,FALSE),1)</f>
        <v>0.96120133463014379</v>
      </c>
      <c r="BX573" s="4">
        <f>AVERAGE(Grandview_Inventory[[#This Row],[qual_adj]:[size_adj]])</f>
        <v>0.97746778508567167</v>
      </c>
      <c r="BY573" s="6">
        <f>IF(Grandview_Inventory[[#This Row],[pre_res]]&lt;0,0,Grandview_Inventory[[#This Row],[pre_res]]*Grandview_Inventory[[#This Row],[overall_adj]])</f>
        <v>322392.64943016547</v>
      </c>
      <c r="BZ573" s="6">
        <f>(Grandview_Inventory[[#This Row],[sum_land]]-IF(Grandview_Inventory[[#This Row],[no_utilities]]=1,12000,0))/IF(Grandview_Inventory[[#This Row],[unbuildable]]=1,2,1)</f>
        <v>49167.631333630678</v>
      </c>
      <c r="CA57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73">
        <f>ROUND(Grandview_Inventory[[#This Row],[det_value]]*Lookups!$M$28,-2)</f>
        <v>0</v>
      </c>
      <c r="CC573">
        <f>IF(ROUND(Grandview_Inventory[[#This Row],[adj_res]]*Lookups!$M$28,-2)&lt;Grandview_Inventory[[#This Row],[min_res]],Grandview_Inventory[[#This Row],[min_res]],ROUND(Grandview_Inventory[[#This Row],[adj_res]]*Lookups!$M$28,-2))</f>
        <v>306300</v>
      </c>
      <c r="CD573">
        <f>Grandview_Inventory[[#This Row],[final_det]]+Grandview_Inventory[[#This Row],[final_res]]</f>
        <v>306300</v>
      </c>
      <c r="CE573">
        <f>Grandview_Inventory[[#This Row],[final_land]]+Grandview_Inventory[[#This Row],[final_imp]]+Grandview_Inventory[[#This Row],[crop_value]]</f>
        <v>353000</v>
      </c>
      <c r="CG573" t="str">
        <f t="shared" si="8"/>
        <v>update valuation set market_land =46700, market_bldg=306300, market_total =353000, market_mdno =401, market_date ='9/10/2023' where link_id = (select link_id from parcel where parcel_year = '2024' and parcel_id = '23092224410');</v>
      </c>
    </row>
    <row r="574" spans="1:85" x14ac:dyDescent="0.25">
      <c r="A574">
        <v>23092224411</v>
      </c>
      <c r="B574">
        <v>0.21</v>
      </c>
      <c r="C574">
        <v>9142</v>
      </c>
      <c r="D574" t="s">
        <v>129</v>
      </c>
      <c r="E574" t="s">
        <v>53</v>
      </c>
      <c r="F574" t="s">
        <v>53</v>
      </c>
      <c r="G574">
        <v>4</v>
      </c>
      <c r="H574" t="s">
        <v>54</v>
      </c>
      <c r="I574">
        <v>182300</v>
      </c>
      <c r="J574">
        <v>43700</v>
      </c>
      <c r="K574">
        <v>0.21</v>
      </c>
      <c r="L57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74">
        <v>0</v>
      </c>
      <c r="N574">
        <v>0</v>
      </c>
      <c r="O574">
        <v>0</v>
      </c>
      <c r="P574">
        <v>13398.7528</v>
      </c>
      <c r="Q574">
        <v>63903</v>
      </c>
      <c r="R574">
        <f>(Grandview_Inventory[[#This Row],[ln_acres]]*Grandview_Inventory[[#This Row],[coeff]])+Grandview_Inventory[[#This Row],[const]]</f>
        <v>42992.266613125081</v>
      </c>
      <c r="S574" t="s">
        <v>61</v>
      </c>
      <c r="T574">
        <v>1</v>
      </c>
      <c r="U574" t="s">
        <v>65</v>
      </c>
      <c r="V574" t="s">
        <v>69</v>
      </c>
      <c r="W574">
        <v>0</v>
      </c>
      <c r="X574">
        <v>0</v>
      </c>
      <c r="Y574">
        <v>43</v>
      </c>
      <c r="Z574">
        <v>44</v>
      </c>
      <c r="AA574">
        <v>50</v>
      </c>
      <c r="AB574">
        <v>1500</v>
      </c>
      <c r="AC574">
        <v>1430</v>
      </c>
      <c r="AD574">
        <v>1430</v>
      </c>
      <c r="AE574">
        <v>0</v>
      </c>
      <c r="AF574">
        <v>0</v>
      </c>
      <c r="AG574">
        <v>0</v>
      </c>
      <c r="AH574">
        <v>0</v>
      </c>
      <c r="AI574">
        <v>475</v>
      </c>
      <c r="AJ574">
        <v>0</v>
      </c>
      <c r="AK574">
        <v>0</v>
      </c>
      <c r="AL574">
        <v>0</v>
      </c>
      <c r="AM574">
        <v>456</v>
      </c>
      <c r="AN574">
        <v>0</v>
      </c>
      <c r="AO574">
        <v>264</v>
      </c>
      <c r="AP574">
        <v>7</v>
      </c>
      <c r="AQ574">
        <v>0</v>
      </c>
      <c r="AR574">
        <v>0</v>
      </c>
      <c r="AS574" t="s">
        <v>58</v>
      </c>
      <c r="AT574">
        <v>1</v>
      </c>
      <c r="AU574" t="s">
        <v>63</v>
      </c>
      <c r="AV574" t="s">
        <v>64</v>
      </c>
      <c r="AW574">
        <v>1</v>
      </c>
      <c r="AX574">
        <v>3</v>
      </c>
      <c r="AY574">
        <v>0</v>
      </c>
      <c r="AZ574">
        <v>0</v>
      </c>
      <c r="BA574">
        <v>100</v>
      </c>
      <c r="BB574">
        <v>100</v>
      </c>
      <c r="BC574">
        <v>100</v>
      </c>
      <c r="BD574">
        <v>100</v>
      </c>
      <c r="BE574">
        <v>1</v>
      </c>
      <c r="BF574">
        <v>15000</v>
      </c>
      <c r="BG574">
        <v>1000</v>
      </c>
      <c r="BH574" s="6">
        <f>Grandview_Inventory[[#This Row],[land_extract]]*Lookups!$B$3</f>
        <v>49926.8031387023</v>
      </c>
      <c r="BI574" s="6">
        <f>IF(Grandview_Inventory[[#This Row],[bldg_style]]="",0,Lookups!$B$2)</f>
        <v>155833.95000000001</v>
      </c>
      <c r="BJ574" s="6">
        <f>_xlfn.IFNA(VLOOKUP(Grandview_Inventory[[#This Row],[quality]],Lookups!$H$2:$J$14,3,FALSE),0)</f>
        <v>2251</v>
      </c>
      <c r="BK574" s="6">
        <f>_xlfn.IFNA(VLOOKUP(Grandview_Inventory[[#This Row],[condition]],Lookups!$H$17:$J$24,3,FALSE),0)</f>
        <v>-4503</v>
      </c>
      <c r="BL574" s="6">
        <f>Grandview_Inventory[[#This Row],[Eff_Age]]*Lookups!$B$14</f>
        <v>-10284.1638</v>
      </c>
      <c r="BM574" s="6">
        <f>Grandview_Inventory[[#This Row],[living_area]]*Lookups!$B$15</f>
        <v>89204.619789999997</v>
      </c>
      <c r="BN574" s="6">
        <f>Grandview_Inventory[[#This Row],[Fin BSMT]]*Lookups!$B$16</f>
        <v>0</v>
      </c>
      <c r="BO574" s="6">
        <f>(Grandview_Inventory[[#This Row],[att_gar]]+Grandview_Inventory[[#This Row],[bltin_gar]])*Lookups!$B$17</f>
        <v>41572.207575</v>
      </c>
      <c r="BP574" s="6">
        <f>Grandview_Inventory[[#This Row],[Plumbing Fixtures]]*Lookups!$B$18</f>
        <v>14073.0926</v>
      </c>
      <c r="BQ574" s="6">
        <f>Grandview_Inventory[[#This Row],[detatched_value]]*Lookups!$B$19</f>
        <v>0</v>
      </c>
      <c r="BR574" s="6">
        <f>SUM(Grandview_Inventory[[#This Row],[Intercept]:[det_value]])*Grandview_Inventory[[#This Row],[res_pct]]</f>
        <v>288147.70616499998</v>
      </c>
      <c r="BS574" s="6">
        <f>Grandview_Inventory[[#This Row],[land_value]]</f>
        <v>49926.8031387023</v>
      </c>
      <c r="BT574" s="4">
        <f>_xlfn.IFNA(VLOOKUP(Grandview_Inventory[[#This Row],[quality]],Lookups!$A$26:$C$33,3,FALSE),1)</f>
        <v>0.98763855981004833</v>
      </c>
      <c r="BU574" s="4">
        <f>_xlfn.IFNA(VLOOKUP(Grandview_Inventory[[#This Row],[condition]],Lookups!$A$37:$C$44,3,FALSE),1)</f>
        <v>0.96469275950863709</v>
      </c>
      <c r="BV574" s="4">
        <f>IF(Grandview_Inventory[[#This Row],[bldg_style]]="",1,_xlfn.IFNA(VLOOKUP(Grandview_Inventory[[#This Row],[decade]],Lookups!$F$29:$H$43,3,FALSE),1))</f>
        <v>0.9871940091910919</v>
      </c>
      <c r="BW574" s="4">
        <f>_xlfn.IFNA(VLOOKUP(Grandview_Inventory[[#This Row],[living_area_range]],Lookups!$F$47:$H$56,3,FALSE),1)</f>
        <v>0.96135087979789358</v>
      </c>
      <c r="BX574" s="4">
        <f>AVERAGE(Grandview_Inventory[[#This Row],[qual_adj]:[size_adj]])</f>
        <v>0.97521905207691773</v>
      </c>
      <c r="BY574" s="6">
        <f>IF(Grandview_Inventory[[#This Row],[pre_res]]&lt;0,0,Grandview_Inventory[[#This Row],[pre_res]]*Grandview_Inventory[[#This Row],[overall_adj]])</f>
        <v>281007.13286436949</v>
      </c>
      <c r="BZ574" s="6">
        <f>(Grandview_Inventory[[#This Row],[sum_land]]-IF(Grandview_Inventory[[#This Row],[no_utilities]]=1,12000,0))/IF(Grandview_Inventory[[#This Row],[unbuildable]]=1,2,1)</f>
        <v>49926.8031387023</v>
      </c>
      <c r="CA57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74">
        <f>ROUND(Grandview_Inventory[[#This Row],[det_value]]*Lookups!$M$28,-2)</f>
        <v>0</v>
      </c>
      <c r="CC574">
        <f>IF(ROUND(Grandview_Inventory[[#This Row],[adj_res]]*Lookups!$M$28,-2)&lt;Grandview_Inventory[[#This Row],[min_res]],Grandview_Inventory[[#This Row],[min_res]],ROUND(Grandview_Inventory[[#This Row],[adj_res]]*Lookups!$M$28,-2))</f>
        <v>267000</v>
      </c>
      <c r="CD574">
        <f>Grandview_Inventory[[#This Row],[final_det]]+Grandview_Inventory[[#This Row],[final_res]]</f>
        <v>267000</v>
      </c>
      <c r="CE574">
        <f>Grandview_Inventory[[#This Row],[final_land]]+Grandview_Inventory[[#This Row],[final_imp]]+Grandview_Inventory[[#This Row],[crop_value]]</f>
        <v>314400</v>
      </c>
      <c r="CG574" t="str">
        <f t="shared" si="8"/>
        <v>update valuation set market_land =47400, market_bldg=267000, market_total =314400, market_mdno =401, market_date ='9/10/2023' where link_id = (select link_id from parcel where parcel_year = '2024' and parcel_id = '23092224411');</v>
      </c>
    </row>
    <row r="575" spans="1:85" x14ac:dyDescent="0.25">
      <c r="A575">
        <v>23092224412</v>
      </c>
      <c r="B575">
        <v>0.23</v>
      </c>
      <c r="C575">
        <v>9941</v>
      </c>
      <c r="D575" t="s">
        <v>129</v>
      </c>
      <c r="E575" t="s">
        <v>53</v>
      </c>
      <c r="F575" t="s">
        <v>53</v>
      </c>
      <c r="G575">
        <v>4</v>
      </c>
      <c r="H575" t="s">
        <v>54</v>
      </c>
      <c r="I575">
        <v>238700</v>
      </c>
      <c r="J575">
        <v>43800</v>
      </c>
      <c r="K575">
        <v>0.23</v>
      </c>
      <c r="L57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575">
        <v>0</v>
      </c>
      <c r="N575">
        <v>0</v>
      </c>
      <c r="O575">
        <v>0</v>
      </c>
      <c r="P575">
        <v>13398.7528</v>
      </c>
      <c r="Q575">
        <v>63903</v>
      </c>
      <c r="R575">
        <f>(Grandview_Inventory[[#This Row],[ln_acres]]*Grandview_Inventory[[#This Row],[coeff]])+Grandview_Inventory[[#This Row],[const]]</f>
        <v>44211.174981080039</v>
      </c>
      <c r="S575" t="s">
        <v>61</v>
      </c>
      <c r="T575">
        <v>1</v>
      </c>
      <c r="U575" t="s">
        <v>65</v>
      </c>
      <c r="V575" t="s">
        <v>69</v>
      </c>
      <c r="W575">
        <v>0</v>
      </c>
      <c r="X575">
        <v>0</v>
      </c>
      <c r="Y575">
        <v>43</v>
      </c>
      <c r="Z575">
        <v>44</v>
      </c>
      <c r="AA575">
        <v>50</v>
      </c>
      <c r="AB575">
        <v>3000</v>
      </c>
      <c r="AC575">
        <v>2636</v>
      </c>
      <c r="AD575">
        <v>2156</v>
      </c>
      <c r="AE575">
        <v>0</v>
      </c>
      <c r="AF575">
        <v>0</v>
      </c>
      <c r="AG575">
        <v>480</v>
      </c>
      <c r="AH575">
        <v>245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252</v>
      </c>
      <c r="AO575">
        <v>0</v>
      </c>
      <c r="AP575">
        <v>15</v>
      </c>
      <c r="AQ575">
        <v>1</v>
      </c>
      <c r="AR575">
        <v>0</v>
      </c>
      <c r="AS575" t="s">
        <v>58</v>
      </c>
      <c r="AT575">
        <v>1</v>
      </c>
      <c r="AU575" t="s">
        <v>63</v>
      </c>
      <c r="AV575" t="s">
        <v>60</v>
      </c>
      <c r="AW575">
        <v>0</v>
      </c>
      <c r="AX575">
        <v>4</v>
      </c>
      <c r="AY575">
        <v>0</v>
      </c>
      <c r="AZ575">
        <v>17000</v>
      </c>
      <c r="BA575">
        <v>100</v>
      </c>
      <c r="BB575">
        <v>100</v>
      </c>
      <c r="BC575">
        <v>100</v>
      </c>
      <c r="BD575">
        <v>100</v>
      </c>
      <c r="BE575">
        <v>1</v>
      </c>
      <c r="BF575">
        <v>15000</v>
      </c>
      <c r="BG575">
        <v>1000</v>
      </c>
      <c r="BH575" s="6">
        <f>Grandview_Inventory[[#This Row],[land_extract]]*Lookups!$B$3</f>
        <v>51342.318135355803</v>
      </c>
      <c r="BI575" s="6">
        <f>IF(Grandview_Inventory[[#This Row],[bldg_style]]="",0,Lookups!$B$2)</f>
        <v>155833.95000000001</v>
      </c>
      <c r="BJ575" s="6">
        <f>_xlfn.IFNA(VLOOKUP(Grandview_Inventory[[#This Row],[quality]],Lookups!$H$2:$J$14,3,FALSE),0)</f>
        <v>2251</v>
      </c>
      <c r="BK575" s="6">
        <f>_xlfn.IFNA(VLOOKUP(Grandview_Inventory[[#This Row],[condition]],Lookups!$H$17:$J$24,3,FALSE),0)</f>
        <v>-4503</v>
      </c>
      <c r="BL575" s="6">
        <f>Grandview_Inventory[[#This Row],[Eff_Age]]*Lookups!$B$14</f>
        <v>-10284.1638</v>
      </c>
      <c r="BM575" s="6">
        <f>Grandview_Inventory[[#This Row],[living_area]]*Lookups!$B$15</f>
        <v>164435.92850800001</v>
      </c>
      <c r="BN575" s="6">
        <f>Grandview_Inventory[[#This Row],[Fin BSMT]]*Lookups!$B$16</f>
        <v>-13007.635200000001</v>
      </c>
      <c r="BO575" s="6">
        <f>(Grandview_Inventory[[#This Row],[att_gar]]+Grandview_Inventory[[#This Row],[bltin_gar]])*Lookups!$B$17</f>
        <v>0</v>
      </c>
      <c r="BP575" s="6">
        <f>Grandview_Inventory[[#This Row],[Plumbing Fixtures]]*Lookups!$B$18</f>
        <v>30156.627</v>
      </c>
      <c r="BQ575" s="6">
        <f>Grandview_Inventory[[#This Row],[detatched_value]]*Lookups!$B$19</f>
        <v>14395.6867</v>
      </c>
      <c r="BR575" s="6">
        <f>SUM(Grandview_Inventory[[#This Row],[Intercept]:[det_value]])*Grandview_Inventory[[#This Row],[res_pct]]</f>
        <v>339278.39320799999</v>
      </c>
      <c r="BS575" s="6">
        <f>Grandview_Inventory[[#This Row],[land_value]]</f>
        <v>51342.318135355803</v>
      </c>
      <c r="BT575" s="4">
        <f>_xlfn.IFNA(VLOOKUP(Grandview_Inventory[[#This Row],[quality]],Lookups!$A$26:$C$33,3,FALSE),1)</f>
        <v>0.98763855981004833</v>
      </c>
      <c r="BU575" s="4">
        <f>_xlfn.IFNA(VLOOKUP(Grandview_Inventory[[#This Row],[condition]],Lookups!$A$37:$C$44,3,FALSE),1)</f>
        <v>0.96469275950863709</v>
      </c>
      <c r="BV575" s="4">
        <f>IF(Grandview_Inventory[[#This Row],[bldg_style]]="",1,_xlfn.IFNA(VLOOKUP(Grandview_Inventory[[#This Row],[decade]],Lookups!$F$29:$H$43,3,FALSE),1))</f>
        <v>0.9871940091910919</v>
      </c>
      <c r="BW575" s="4">
        <f>_xlfn.IFNA(VLOOKUP(Grandview_Inventory[[#This Row],[living_area_range]],Lookups!$F$47:$H$56,3,FALSE),1)</f>
        <v>0.94224801443562123</v>
      </c>
      <c r="BX575" s="4">
        <f>AVERAGE(Grandview_Inventory[[#This Row],[qual_adj]:[size_adj]])</f>
        <v>0.97044333573634967</v>
      </c>
      <c r="BY575" s="6">
        <f>IF(Grandview_Inventory[[#This Row],[pre_res]]&lt;0,0,Grandview_Inventory[[#This Row],[pre_res]]*Grandview_Inventory[[#This Row],[overall_adj]])</f>
        <v>329250.4556480404</v>
      </c>
      <c r="BZ575" s="6">
        <f>(Grandview_Inventory[[#This Row],[sum_land]]-IF(Grandview_Inventory[[#This Row],[no_utilities]]=1,12000,0))/IF(Grandview_Inventory[[#This Row],[unbuildable]]=1,2,1)</f>
        <v>51342.318135355803</v>
      </c>
      <c r="CA57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575">
        <f>ROUND(Grandview_Inventory[[#This Row],[det_value]]*Lookups!$M$28,-2)</f>
        <v>13700</v>
      </c>
      <c r="CC575">
        <f>IF(ROUND(Grandview_Inventory[[#This Row],[adj_res]]*Lookups!$M$28,-2)&lt;Grandview_Inventory[[#This Row],[min_res]],Grandview_Inventory[[#This Row],[min_res]],ROUND(Grandview_Inventory[[#This Row],[adj_res]]*Lookups!$M$28,-2))</f>
        <v>312800</v>
      </c>
      <c r="CD575">
        <f>Grandview_Inventory[[#This Row],[final_det]]+Grandview_Inventory[[#This Row],[final_res]]</f>
        <v>326500</v>
      </c>
      <c r="CE575">
        <f>Grandview_Inventory[[#This Row],[final_land]]+Grandview_Inventory[[#This Row],[final_imp]]+Grandview_Inventory[[#This Row],[crop_value]]</f>
        <v>375300</v>
      </c>
      <c r="CG575" t="str">
        <f t="shared" si="8"/>
        <v>update valuation set market_land =48800, market_bldg=326500, market_total =375300, market_mdno =401, market_date ='9/10/2023' where link_id = (select link_id from parcel where parcel_year = '2024' and parcel_id = '23092224412');</v>
      </c>
    </row>
    <row r="576" spans="1:85" x14ac:dyDescent="0.25">
      <c r="A576">
        <v>23092224413</v>
      </c>
      <c r="B576">
        <v>0.2</v>
      </c>
      <c r="C576">
        <v>8591</v>
      </c>
      <c r="D576" t="s">
        <v>129</v>
      </c>
      <c r="E576" t="s">
        <v>53</v>
      </c>
      <c r="F576" t="s">
        <v>53</v>
      </c>
      <c r="G576">
        <v>4</v>
      </c>
      <c r="H576" t="s">
        <v>54</v>
      </c>
      <c r="I576">
        <v>257600</v>
      </c>
      <c r="J576">
        <v>43700</v>
      </c>
      <c r="K576">
        <v>0.2</v>
      </c>
      <c r="L57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76">
        <v>0</v>
      </c>
      <c r="N576">
        <v>0</v>
      </c>
      <c r="O576">
        <v>0</v>
      </c>
      <c r="P576">
        <v>13398.7528</v>
      </c>
      <c r="Q576">
        <v>63903</v>
      </c>
      <c r="R576">
        <f>(Grandview_Inventory[[#This Row],[ln_acres]]*Grandview_Inventory[[#This Row],[coeff]])+Grandview_Inventory[[#This Row],[const]]</f>
        <v>42338.539264347448</v>
      </c>
      <c r="S576" t="s">
        <v>58</v>
      </c>
      <c r="T576">
        <v>1</v>
      </c>
      <c r="U576" t="s">
        <v>64</v>
      </c>
      <c r="V576" t="s">
        <v>67</v>
      </c>
      <c r="W576">
        <v>0</v>
      </c>
      <c r="X576">
        <v>0</v>
      </c>
      <c r="Y576">
        <v>21</v>
      </c>
      <c r="Z576">
        <v>21</v>
      </c>
      <c r="AA576">
        <v>30</v>
      </c>
      <c r="AB576">
        <v>1500</v>
      </c>
      <c r="AC576">
        <v>1494</v>
      </c>
      <c r="AD576">
        <v>1494</v>
      </c>
      <c r="AE576">
        <v>0</v>
      </c>
      <c r="AF576">
        <v>0</v>
      </c>
      <c r="AG576">
        <v>0</v>
      </c>
      <c r="AH576">
        <v>0</v>
      </c>
      <c r="AI576">
        <v>500</v>
      </c>
      <c r="AJ576">
        <v>0</v>
      </c>
      <c r="AK576">
        <v>0</v>
      </c>
      <c r="AL576">
        <v>270</v>
      </c>
      <c r="AM576">
        <v>0</v>
      </c>
      <c r="AN576">
        <v>127</v>
      </c>
      <c r="AO576">
        <v>270</v>
      </c>
      <c r="AP576">
        <v>8</v>
      </c>
      <c r="AQ576">
        <v>0</v>
      </c>
      <c r="AR576">
        <v>0</v>
      </c>
      <c r="AS576" t="s">
        <v>58</v>
      </c>
      <c r="AT576">
        <v>1</v>
      </c>
      <c r="AU576" t="s">
        <v>59</v>
      </c>
      <c r="AV576" t="s">
        <v>60</v>
      </c>
      <c r="AW576">
        <v>1</v>
      </c>
      <c r="AX576">
        <v>3</v>
      </c>
      <c r="AY576">
        <v>0</v>
      </c>
      <c r="AZ576">
        <v>0</v>
      </c>
      <c r="BA576">
        <v>100</v>
      </c>
      <c r="BB576">
        <v>100</v>
      </c>
      <c r="BC576">
        <v>100</v>
      </c>
      <c r="BD576">
        <v>100</v>
      </c>
      <c r="BE576">
        <v>1</v>
      </c>
      <c r="BF576">
        <v>15000</v>
      </c>
      <c r="BG576">
        <v>1000</v>
      </c>
      <c r="BH576" s="6">
        <f>Grandview_Inventory[[#This Row],[land_extract]]*Lookups!$B$3</f>
        <v>49167.631333630678</v>
      </c>
      <c r="BI576" s="6">
        <f>IF(Grandview_Inventory[[#This Row],[bldg_style]]="",0,Lookups!$B$2)</f>
        <v>155833.95000000001</v>
      </c>
      <c r="BJ576" s="6">
        <f>_xlfn.IFNA(VLOOKUP(Grandview_Inventory[[#This Row],[quality]],Lookups!$H$2:$J$14,3,FALSE),0)</f>
        <v>20768</v>
      </c>
      <c r="BK576" s="6">
        <f>_xlfn.IFNA(VLOOKUP(Grandview_Inventory[[#This Row],[condition]],Lookups!$H$17:$J$24,3,FALSE),0)</f>
        <v>22342</v>
      </c>
      <c r="BL576" s="6">
        <f>Grandview_Inventory[[#This Row],[Eff_Age]]*Lookups!$B$14</f>
        <v>-5022.4985999999999</v>
      </c>
      <c r="BM576" s="6">
        <f>Grandview_Inventory[[#This Row],[living_area]]*Lookups!$B$15</f>
        <v>93196.994382000004</v>
      </c>
      <c r="BN576" s="6">
        <f>Grandview_Inventory[[#This Row],[Fin BSMT]]*Lookups!$B$16</f>
        <v>0</v>
      </c>
      <c r="BO576" s="6">
        <f>(Grandview_Inventory[[#This Row],[att_gar]]+Grandview_Inventory[[#This Row],[bltin_gar]])*Lookups!$B$17</f>
        <v>43760.218500000003</v>
      </c>
      <c r="BP576" s="6">
        <f>Grandview_Inventory[[#This Row],[Plumbing Fixtures]]*Lookups!$B$18</f>
        <v>16083.5344</v>
      </c>
      <c r="BQ576" s="6">
        <f>Grandview_Inventory[[#This Row],[detatched_value]]*Lookups!$B$19</f>
        <v>0</v>
      </c>
      <c r="BR576" s="6">
        <f>SUM(Grandview_Inventory[[#This Row],[Intercept]:[det_value]])*Grandview_Inventory[[#This Row],[res_pct]]</f>
        <v>346962.19868200005</v>
      </c>
      <c r="BS576" s="6">
        <f>Grandview_Inventory[[#This Row],[land_value]]</f>
        <v>49167.631333630678</v>
      </c>
      <c r="BT576" s="4">
        <f>_xlfn.IFNA(VLOOKUP(Grandview_Inventory[[#This Row],[quality]],Lookups!$A$26:$C$33,3,FALSE),1)</f>
        <v>0.94960540378902636</v>
      </c>
      <c r="BU576" s="4">
        <f>_xlfn.IFNA(VLOOKUP(Grandview_Inventory[[#This Row],[condition]],Lookups!$A$37:$C$44,3,FALSE),1)</f>
        <v>0.97383723671140243</v>
      </c>
      <c r="BV576" s="4">
        <f>IF(Grandview_Inventory[[#This Row],[bldg_style]]="",1,_xlfn.IFNA(VLOOKUP(Grandview_Inventory[[#This Row],[decade]],Lookups!$F$29:$H$43,3,FALSE),1))</f>
        <v>0.98397821291089549</v>
      </c>
      <c r="BW576" s="4">
        <f>_xlfn.IFNA(VLOOKUP(Grandview_Inventory[[#This Row],[living_area_range]],Lookups!$F$47:$H$56,3,FALSE),1)</f>
        <v>0.96135087979789358</v>
      </c>
      <c r="BX576" s="4">
        <f>AVERAGE(Grandview_Inventory[[#This Row],[qual_adj]:[size_adj]])</f>
        <v>0.96719293330230449</v>
      </c>
      <c r="BY576" s="6">
        <f>IF(Grandview_Inventory[[#This Row],[pre_res]]&lt;0,0,Grandview_Inventory[[#This Row],[pre_res]]*Grandview_Inventory[[#This Row],[overall_adj]])</f>
        <v>335579.38668826059</v>
      </c>
      <c r="BZ576" s="6">
        <f>(Grandview_Inventory[[#This Row],[sum_land]]-IF(Grandview_Inventory[[#This Row],[no_utilities]]=1,12000,0))/IF(Grandview_Inventory[[#This Row],[unbuildable]]=1,2,1)</f>
        <v>49167.631333630678</v>
      </c>
      <c r="CA57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76">
        <f>ROUND(Grandview_Inventory[[#This Row],[det_value]]*Lookups!$M$28,-2)</f>
        <v>0</v>
      </c>
      <c r="CC576">
        <f>IF(ROUND(Grandview_Inventory[[#This Row],[adj_res]]*Lookups!$M$28,-2)&lt;Grandview_Inventory[[#This Row],[min_res]],Grandview_Inventory[[#This Row],[min_res]],ROUND(Grandview_Inventory[[#This Row],[adj_res]]*Lookups!$M$28,-2))</f>
        <v>318800</v>
      </c>
      <c r="CD576">
        <f>Grandview_Inventory[[#This Row],[final_det]]+Grandview_Inventory[[#This Row],[final_res]]</f>
        <v>318800</v>
      </c>
      <c r="CE576">
        <f>Grandview_Inventory[[#This Row],[final_land]]+Grandview_Inventory[[#This Row],[final_imp]]+Grandview_Inventory[[#This Row],[crop_value]]</f>
        <v>365500</v>
      </c>
      <c r="CG576" t="str">
        <f t="shared" si="8"/>
        <v>update valuation set market_land =46700, market_bldg=318800, market_total =365500, market_mdno =401, market_date ='9/10/2023' where link_id = (select link_id from parcel where parcel_year = '2024' and parcel_id = '23092224413');</v>
      </c>
    </row>
    <row r="577" spans="1:85" x14ac:dyDescent="0.25">
      <c r="A577">
        <v>23092224414</v>
      </c>
      <c r="B577">
        <v>0.19</v>
      </c>
      <c r="C577" t="s">
        <v>129</v>
      </c>
      <c r="D577" t="s">
        <v>129</v>
      </c>
      <c r="E577" t="s">
        <v>53</v>
      </c>
      <c r="F577" t="s">
        <v>53</v>
      </c>
      <c r="G577">
        <v>4</v>
      </c>
      <c r="H577" t="s">
        <v>54</v>
      </c>
      <c r="I577">
        <v>256100</v>
      </c>
      <c r="J577">
        <v>43500</v>
      </c>
      <c r="K577">
        <v>0.19</v>
      </c>
      <c r="L57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77">
        <v>0</v>
      </c>
      <c r="N577">
        <v>0</v>
      </c>
      <c r="O577">
        <v>0</v>
      </c>
      <c r="P577">
        <v>13398.7528</v>
      </c>
      <c r="Q577">
        <v>63903</v>
      </c>
      <c r="R577">
        <f>(Grandview_Inventory[[#This Row],[ln_acres]]*Grandview_Inventory[[#This Row],[coeff]])+Grandview_Inventory[[#This Row],[const]]</f>
        <v>41651.273092551026</v>
      </c>
      <c r="S577" t="s">
        <v>58</v>
      </c>
      <c r="T577">
        <v>1</v>
      </c>
      <c r="U577" t="s">
        <v>62</v>
      </c>
      <c r="V577" t="s">
        <v>67</v>
      </c>
      <c r="W577">
        <v>0</v>
      </c>
      <c r="X577">
        <v>0</v>
      </c>
      <c r="Y577">
        <v>21</v>
      </c>
      <c r="Z577">
        <v>21</v>
      </c>
      <c r="AA577">
        <v>30</v>
      </c>
      <c r="AB577">
        <v>2000</v>
      </c>
      <c r="AC577">
        <v>1564</v>
      </c>
      <c r="AD577">
        <v>1564</v>
      </c>
      <c r="AE577">
        <v>0</v>
      </c>
      <c r="AF577">
        <v>0</v>
      </c>
      <c r="AG577">
        <v>0</v>
      </c>
      <c r="AH577">
        <v>0</v>
      </c>
      <c r="AI577">
        <v>484</v>
      </c>
      <c r="AJ577">
        <v>0</v>
      </c>
      <c r="AK577">
        <v>0</v>
      </c>
      <c r="AL577">
        <v>0</v>
      </c>
      <c r="AM577">
        <v>384</v>
      </c>
      <c r="AN577">
        <v>0</v>
      </c>
      <c r="AO577">
        <v>384</v>
      </c>
      <c r="AP577">
        <v>9</v>
      </c>
      <c r="AQ577">
        <v>0</v>
      </c>
      <c r="AR577">
        <v>0</v>
      </c>
      <c r="AS577" t="s">
        <v>58</v>
      </c>
      <c r="AT577">
        <v>1</v>
      </c>
      <c r="AU577" t="s">
        <v>63</v>
      </c>
      <c r="AV577" t="s">
        <v>60</v>
      </c>
      <c r="AW577">
        <v>1</v>
      </c>
      <c r="AX577">
        <v>4</v>
      </c>
      <c r="AY577">
        <v>0</v>
      </c>
      <c r="AZ577">
        <v>0</v>
      </c>
      <c r="BA577">
        <v>100</v>
      </c>
      <c r="BB577">
        <v>100</v>
      </c>
      <c r="BC577">
        <v>100</v>
      </c>
      <c r="BD577">
        <v>100</v>
      </c>
      <c r="BE577">
        <v>1</v>
      </c>
      <c r="BF577">
        <v>15000</v>
      </c>
      <c r="BG577">
        <v>1000</v>
      </c>
      <c r="BH577" s="6">
        <f>Grandview_Inventory[[#This Row],[land_extract]]*Lookups!$B$3</f>
        <v>48369.510983942157</v>
      </c>
      <c r="BI577" s="6">
        <f>IF(Grandview_Inventory[[#This Row],[bldg_style]]="",0,Lookups!$B$2)</f>
        <v>155833.95000000001</v>
      </c>
      <c r="BJ577" s="6">
        <f>_xlfn.IFNA(VLOOKUP(Grandview_Inventory[[#This Row],[quality]],Lookups!$H$2:$J$14,3,FALSE),0)</f>
        <v>9808</v>
      </c>
      <c r="BK577" s="6">
        <f>_xlfn.IFNA(VLOOKUP(Grandview_Inventory[[#This Row],[condition]],Lookups!$H$17:$J$24,3,FALSE),0)</f>
        <v>22342</v>
      </c>
      <c r="BL577" s="6">
        <f>Grandview_Inventory[[#This Row],[Eff_Age]]*Lookups!$B$14</f>
        <v>-5022.4985999999999</v>
      </c>
      <c r="BM577" s="6">
        <f>Grandview_Inventory[[#This Row],[living_area]]*Lookups!$B$15</f>
        <v>97563.654091999997</v>
      </c>
      <c r="BN577" s="6">
        <f>Grandview_Inventory[[#This Row],[Fin BSMT]]*Lookups!$B$16</f>
        <v>0</v>
      </c>
      <c r="BO577" s="6">
        <f>(Grandview_Inventory[[#This Row],[att_gar]]+Grandview_Inventory[[#This Row],[bltin_gar]])*Lookups!$B$17</f>
        <v>42359.891508000001</v>
      </c>
      <c r="BP577" s="6">
        <f>Grandview_Inventory[[#This Row],[Plumbing Fixtures]]*Lookups!$B$18</f>
        <v>18093.976200000001</v>
      </c>
      <c r="BQ577" s="6">
        <f>Grandview_Inventory[[#This Row],[detatched_value]]*Lookups!$B$19</f>
        <v>0</v>
      </c>
      <c r="BR577" s="6">
        <f>SUM(Grandview_Inventory[[#This Row],[Intercept]:[det_value]])*Grandview_Inventory[[#This Row],[res_pct]]</f>
        <v>340978.97319999995</v>
      </c>
      <c r="BS577" s="6">
        <f>Grandview_Inventory[[#This Row],[land_value]]</f>
        <v>48369.510983942157</v>
      </c>
      <c r="BT577" s="4">
        <f>_xlfn.IFNA(VLOOKUP(Grandview_Inventory[[#This Row],[quality]],Lookups!$A$26:$C$33,3,FALSE),1)</f>
        <v>0.94295468617355149</v>
      </c>
      <c r="BU577" s="4">
        <f>_xlfn.IFNA(VLOOKUP(Grandview_Inventory[[#This Row],[condition]],Lookups!$A$37:$C$44,3,FALSE),1)</f>
        <v>0.97383723671140243</v>
      </c>
      <c r="BV577" s="4">
        <f>IF(Grandview_Inventory[[#This Row],[bldg_style]]="",1,_xlfn.IFNA(VLOOKUP(Grandview_Inventory[[#This Row],[decade]],Lookups!$F$29:$H$43,3,FALSE),1))</f>
        <v>0.98397821291089549</v>
      </c>
      <c r="BW577" s="4">
        <f>_xlfn.IFNA(VLOOKUP(Grandview_Inventory[[#This Row],[living_area_range]],Lookups!$F$47:$H$56,3,FALSE),1)</f>
        <v>0.96120133463014379</v>
      </c>
      <c r="BX577" s="4">
        <f>AVERAGE(Grandview_Inventory[[#This Row],[qual_adj]:[size_adj]])</f>
        <v>0.96549286760649822</v>
      </c>
      <c r="BY577" s="6">
        <f>IF(Grandview_Inventory[[#This Row],[pre_res]]&lt;0,0,Grandview_Inventory[[#This Row],[pre_res]]*Grandview_Inventory[[#This Row],[overall_adj]])</f>
        <v>329212.76662838727</v>
      </c>
      <c r="BZ577" s="6">
        <f>(Grandview_Inventory[[#This Row],[sum_land]]-IF(Grandview_Inventory[[#This Row],[no_utilities]]=1,12000,0))/IF(Grandview_Inventory[[#This Row],[unbuildable]]=1,2,1)</f>
        <v>48369.510983942157</v>
      </c>
      <c r="CA57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77">
        <f>ROUND(Grandview_Inventory[[#This Row],[det_value]]*Lookups!$M$28,-2)</f>
        <v>0</v>
      </c>
      <c r="CC577">
        <f>IF(ROUND(Grandview_Inventory[[#This Row],[adj_res]]*Lookups!$M$28,-2)&lt;Grandview_Inventory[[#This Row],[min_res]],Grandview_Inventory[[#This Row],[min_res]],ROUND(Grandview_Inventory[[#This Row],[adj_res]]*Lookups!$M$28,-2))</f>
        <v>312800</v>
      </c>
      <c r="CD577">
        <f>Grandview_Inventory[[#This Row],[final_det]]+Grandview_Inventory[[#This Row],[final_res]]</f>
        <v>312800</v>
      </c>
      <c r="CE577">
        <f>Grandview_Inventory[[#This Row],[final_land]]+Grandview_Inventory[[#This Row],[final_imp]]+Grandview_Inventory[[#This Row],[crop_value]]</f>
        <v>358800</v>
      </c>
      <c r="CG577" t="str">
        <f t="shared" si="8"/>
        <v>update valuation set market_land =46000, market_bldg=312800, market_total =358800, market_mdno =401, market_date ='9/10/2023' where link_id = (select link_id from parcel where parcel_year = '2024' and parcel_id = '23092224414');</v>
      </c>
    </row>
    <row r="578" spans="1:85" x14ac:dyDescent="0.25">
      <c r="A578">
        <v>23092224415</v>
      </c>
      <c r="B578">
        <v>0.2</v>
      </c>
      <c r="C578">
        <v>8700</v>
      </c>
      <c r="D578" t="s">
        <v>129</v>
      </c>
      <c r="E578" t="s">
        <v>53</v>
      </c>
      <c r="F578" t="s">
        <v>53</v>
      </c>
      <c r="G578">
        <v>4</v>
      </c>
      <c r="H578" t="s">
        <v>54</v>
      </c>
      <c r="I578">
        <v>213800</v>
      </c>
      <c r="J578">
        <v>39300</v>
      </c>
      <c r="K578">
        <v>0.2</v>
      </c>
      <c r="L57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78">
        <v>0</v>
      </c>
      <c r="N578">
        <v>0</v>
      </c>
      <c r="O578">
        <v>0</v>
      </c>
      <c r="P578">
        <v>13398.7528</v>
      </c>
      <c r="Q578">
        <v>63903</v>
      </c>
      <c r="R578">
        <f>(Grandview_Inventory[[#This Row],[ln_acres]]*Grandview_Inventory[[#This Row],[coeff]])+Grandview_Inventory[[#This Row],[const]]</f>
        <v>42338.539264347448</v>
      </c>
      <c r="S578" t="s">
        <v>61</v>
      </c>
      <c r="T578">
        <v>1</v>
      </c>
      <c r="U578" t="s">
        <v>65</v>
      </c>
      <c r="V578" t="s">
        <v>69</v>
      </c>
      <c r="W578">
        <v>0</v>
      </c>
      <c r="X578">
        <v>0</v>
      </c>
      <c r="Y578">
        <v>35</v>
      </c>
      <c r="Z578">
        <v>35</v>
      </c>
      <c r="AA578">
        <v>40</v>
      </c>
      <c r="AB578">
        <v>2000</v>
      </c>
      <c r="AC578">
        <v>1995</v>
      </c>
      <c r="AD578">
        <v>1995</v>
      </c>
      <c r="AE578">
        <v>0</v>
      </c>
      <c r="AF578">
        <v>0</v>
      </c>
      <c r="AG578">
        <v>0</v>
      </c>
      <c r="AH578">
        <v>0</v>
      </c>
      <c r="AI578">
        <v>462</v>
      </c>
      <c r="AJ578">
        <v>0</v>
      </c>
      <c r="AK578">
        <v>0</v>
      </c>
      <c r="AL578">
        <v>0</v>
      </c>
      <c r="AM578">
        <v>543</v>
      </c>
      <c r="AN578">
        <v>126</v>
      </c>
      <c r="AO578">
        <v>220</v>
      </c>
      <c r="AP578">
        <v>8</v>
      </c>
      <c r="AQ578">
        <v>0</v>
      </c>
      <c r="AR578">
        <v>0</v>
      </c>
      <c r="AS578" t="s">
        <v>58</v>
      </c>
      <c r="AT578">
        <v>1</v>
      </c>
      <c r="AU578" t="s">
        <v>63</v>
      </c>
      <c r="AV578" t="s">
        <v>64</v>
      </c>
      <c r="AW578">
        <v>1</v>
      </c>
      <c r="AX578">
        <v>3</v>
      </c>
      <c r="AY578">
        <v>0</v>
      </c>
      <c r="AZ578">
        <v>0</v>
      </c>
      <c r="BA578">
        <v>100</v>
      </c>
      <c r="BB578">
        <v>100</v>
      </c>
      <c r="BC578">
        <v>100</v>
      </c>
      <c r="BD578">
        <v>100</v>
      </c>
      <c r="BE578">
        <v>1</v>
      </c>
      <c r="BF578">
        <v>15000</v>
      </c>
      <c r="BG578">
        <v>1000</v>
      </c>
      <c r="BH578" s="6">
        <f>Grandview_Inventory[[#This Row],[land_extract]]*Lookups!$B$3</f>
        <v>49167.631333630678</v>
      </c>
      <c r="BI578" s="6">
        <f>IF(Grandview_Inventory[[#This Row],[bldg_style]]="",0,Lookups!$B$2)</f>
        <v>155833.95000000001</v>
      </c>
      <c r="BJ578" s="6">
        <f>_xlfn.IFNA(VLOOKUP(Grandview_Inventory[[#This Row],[quality]],Lookups!$H$2:$J$14,3,FALSE),0)</f>
        <v>2251</v>
      </c>
      <c r="BK578" s="6">
        <f>_xlfn.IFNA(VLOOKUP(Grandview_Inventory[[#This Row],[condition]],Lookups!$H$17:$J$24,3,FALSE),0)</f>
        <v>-4503</v>
      </c>
      <c r="BL578" s="6">
        <f>Grandview_Inventory[[#This Row],[Eff_Age]]*Lookups!$B$14</f>
        <v>-8370.8310000000001</v>
      </c>
      <c r="BM578" s="6">
        <f>Grandview_Inventory[[#This Row],[living_area]]*Lookups!$B$15</f>
        <v>124449.801735</v>
      </c>
      <c r="BN578" s="6">
        <f>Grandview_Inventory[[#This Row],[Fin BSMT]]*Lookups!$B$16</f>
        <v>0</v>
      </c>
      <c r="BO578" s="6">
        <f>(Grandview_Inventory[[#This Row],[att_gar]]+Grandview_Inventory[[#This Row],[bltin_gar]])*Lookups!$B$17</f>
        <v>40434.441894000003</v>
      </c>
      <c r="BP578" s="6">
        <f>Grandview_Inventory[[#This Row],[Plumbing Fixtures]]*Lookups!$B$18</f>
        <v>16083.5344</v>
      </c>
      <c r="BQ578" s="6">
        <f>Grandview_Inventory[[#This Row],[detatched_value]]*Lookups!$B$19</f>
        <v>0</v>
      </c>
      <c r="BR578" s="6">
        <f>SUM(Grandview_Inventory[[#This Row],[Intercept]:[det_value]])*Grandview_Inventory[[#This Row],[res_pct]]</f>
        <v>326178.89702899999</v>
      </c>
      <c r="BS578" s="6">
        <f>Grandview_Inventory[[#This Row],[land_value]]</f>
        <v>49167.631333630678</v>
      </c>
      <c r="BT578" s="4">
        <f>_xlfn.IFNA(VLOOKUP(Grandview_Inventory[[#This Row],[quality]],Lookups!$A$26:$C$33,3,FALSE),1)</f>
        <v>0.98763855981004833</v>
      </c>
      <c r="BU578" s="4">
        <f>_xlfn.IFNA(VLOOKUP(Grandview_Inventory[[#This Row],[condition]],Lookups!$A$37:$C$44,3,FALSE),1)</f>
        <v>0.96469275950863709</v>
      </c>
      <c r="BV578" s="4">
        <f>IF(Grandview_Inventory[[#This Row],[bldg_style]]="",1,_xlfn.IFNA(VLOOKUP(Grandview_Inventory[[#This Row],[decade]],Lookups!$F$29:$H$43,3,FALSE),1))</f>
        <v>0.98031878267063854</v>
      </c>
      <c r="BW578" s="4">
        <f>_xlfn.IFNA(VLOOKUP(Grandview_Inventory[[#This Row],[living_area_range]],Lookups!$F$47:$H$56,3,FALSE),1)</f>
        <v>0.96120133463014379</v>
      </c>
      <c r="BX578" s="4">
        <f>AVERAGE(Grandview_Inventory[[#This Row],[qual_adj]:[size_adj]])</f>
        <v>0.97346285915486686</v>
      </c>
      <c r="BY578" s="6">
        <f>IF(Grandview_Inventory[[#This Row],[pre_res]]&lt;0,0,Grandview_Inventory[[#This Row],[pre_res]]*Grandview_Inventory[[#This Row],[overall_adj]])</f>
        <v>317523.04169783124</v>
      </c>
      <c r="BZ578" s="6">
        <f>(Grandview_Inventory[[#This Row],[sum_land]]-IF(Grandview_Inventory[[#This Row],[no_utilities]]=1,12000,0))/IF(Grandview_Inventory[[#This Row],[unbuildable]]=1,2,1)</f>
        <v>49167.631333630678</v>
      </c>
      <c r="CA57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78">
        <f>ROUND(Grandview_Inventory[[#This Row],[det_value]]*Lookups!$M$28,-2)</f>
        <v>0</v>
      </c>
      <c r="CC578">
        <f>IF(ROUND(Grandview_Inventory[[#This Row],[adj_res]]*Lookups!$M$28,-2)&lt;Grandview_Inventory[[#This Row],[min_res]],Grandview_Inventory[[#This Row],[min_res]],ROUND(Grandview_Inventory[[#This Row],[adj_res]]*Lookups!$M$28,-2))</f>
        <v>301600</v>
      </c>
      <c r="CD578">
        <f>Grandview_Inventory[[#This Row],[final_det]]+Grandview_Inventory[[#This Row],[final_res]]</f>
        <v>301600</v>
      </c>
      <c r="CE578">
        <f>Grandview_Inventory[[#This Row],[final_land]]+Grandview_Inventory[[#This Row],[final_imp]]+Grandview_Inventory[[#This Row],[crop_value]]</f>
        <v>348300</v>
      </c>
      <c r="CG578" t="str">
        <f t="shared" si="8"/>
        <v>update valuation set market_land =46700, market_bldg=301600, market_total =348300, market_mdno =401, market_date ='9/10/2023' where link_id = (select link_id from parcel where parcel_year = '2024' and parcel_id = '23092224415');</v>
      </c>
    </row>
    <row r="579" spans="1:85" x14ac:dyDescent="0.25">
      <c r="A579">
        <v>23092224416</v>
      </c>
      <c r="B579">
        <v>0.2</v>
      </c>
      <c r="C579">
        <v>8700</v>
      </c>
      <c r="D579" t="s">
        <v>129</v>
      </c>
      <c r="E579" t="s">
        <v>53</v>
      </c>
      <c r="F579" t="s">
        <v>53</v>
      </c>
      <c r="G579">
        <v>4</v>
      </c>
      <c r="H579" t="s">
        <v>54</v>
      </c>
      <c r="I579">
        <v>280500</v>
      </c>
      <c r="J579">
        <v>43700</v>
      </c>
      <c r="K579">
        <v>0.2</v>
      </c>
      <c r="L57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79">
        <v>0</v>
      </c>
      <c r="N579">
        <v>0</v>
      </c>
      <c r="O579">
        <v>0</v>
      </c>
      <c r="P579">
        <v>13398.7528</v>
      </c>
      <c r="Q579">
        <v>63903</v>
      </c>
      <c r="R579">
        <f>(Grandview_Inventory[[#This Row],[ln_acres]]*Grandview_Inventory[[#This Row],[coeff]])+Grandview_Inventory[[#This Row],[const]]</f>
        <v>42338.539264347448</v>
      </c>
      <c r="S579" t="s">
        <v>58</v>
      </c>
      <c r="T579">
        <v>2</v>
      </c>
      <c r="U579" t="s">
        <v>62</v>
      </c>
      <c r="V579" t="s">
        <v>67</v>
      </c>
      <c r="W579">
        <v>0</v>
      </c>
      <c r="X579">
        <v>0</v>
      </c>
      <c r="Y579">
        <v>27</v>
      </c>
      <c r="Z579">
        <v>27</v>
      </c>
      <c r="AA579">
        <v>30</v>
      </c>
      <c r="AB579">
        <v>2000</v>
      </c>
      <c r="AC579">
        <v>1958</v>
      </c>
      <c r="AD579">
        <v>1156</v>
      </c>
      <c r="AE579">
        <v>802</v>
      </c>
      <c r="AF579">
        <v>0</v>
      </c>
      <c r="AG579">
        <v>0</v>
      </c>
      <c r="AH579">
        <v>0</v>
      </c>
      <c r="AI579">
        <v>0</v>
      </c>
      <c r="AJ579">
        <v>630</v>
      </c>
      <c r="AK579">
        <v>0</v>
      </c>
      <c r="AL579">
        <v>0</v>
      </c>
      <c r="AM579">
        <v>224</v>
      </c>
      <c r="AN579">
        <v>0</v>
      </c>
      <c r="AO579">
        <v>0</v>
      </c>
      <c r="AP579">
        <v>12</v>
      </c>
      <c r="AQ579">
        <v>0</v>
      </c>
      <c r="AR579">
        <v>0</v>
      </c>
      <c r="AS579" t="s">
        <v>58</v>
      </c>
      <c r="AT579">
        <v>1</v>
      </c>
      <c r="AU579" t="s">
        <v>63</v>
      </c>
      <c r="AV579" t="s">
        <v>60</v>
      </c>
      <c r="AW579">
        <v>1</v>
      </c>
      <c r="AX579">
        <v>3</v>
      </c>
      <c r="AY579">
        <v>0</v>
      </c>
      <c r="AZ579">
        <v>0</v>
      </c>
      <c r="BA579">
        <v>100</v>
      </c>
      <c r="BB579">
        <v>100</v>
      </c>
      <c r="BC579">
        <v>100</v>
      </c>
      <c r="BD579">
        <v>100</v>
      </c>
      <c r="BE579">
        <v>1</v>
      </c>
      <c r="BF579">
        <v>15000</v>
      </c>
      <c r="BG579">
        <v>1000</v>
      </c>
      <c r="BH579" s="6">
        <f>Grandview_Inventory[[#This Row],[land_extract]]*Lookups!$B$3</f>
        <v>49167.631333630678</v>
      </c>
      <c r="BI579" s="6">
        <f>IF(Grandview_Inventory[[#This Row],[bldg_style]]="",0,Lookups!$B$2)</f>
        <v>155833.95000000001</v>
      </c>
      <c r="BJ579" s="6">
        <f>_xlfn.IFNA(VLOOKUP(Grandview_Inventory[[#This Row],[quality]],Lookups!$H$2:$J$14,3,FALSE),0)</f>
        <v>9808</v>
      </c>
      <c r="BK579" s="6">
        <f>_xlfn.IFNA(VLOOKUP(Grandview_Inventory[[#This Row],[condition]],Lookups!$H$17:$J$24,3,FALSE),0)</f>
        <v>22342</v>
      </c>
      <c r="BL579" s="6">
        <f>Grandview_Inventory[[#This Row],[Eff_Age]]*Lookups!$B$14</f>
        <v>-6457.4982</v>
      </c>
      <c r="BM579" s="6">
        <f>Grandview_Inventory[[#This Row],[living_area]]*Lookups!$B$15</f>
        <v>122141.71017400001</v>
      </c>
      <c r="BN579" s="6">
        <f>Grandview_Inventory[[#This Row],[Fin BSMT]]*Lookups!$B$16</f>
        <v>0</v>
      </c>
      <c r="BO579" s="6">
        <f>(Grandview_Inventory[[#This Row],[att_gar]]+Grandview_Inventory[[#This Row],[bltin_gar]])*Lookups!$B$17</f>
        <v>55137.875310000003</v>
      </c>
      <c r="BP579" s="6">
        <f>Grandview_Inventory[[#This Row],[Plumbing Fixtures]]*Lookups!$B$18</f>
        <v>24125.301599999999</v>
      </c>
      <c r="BQ579" s="6">
        <f>Grandview_Inventory[[#This Row],[detatched_value]]*Lookups!$B$19</f>
        <v>0</v>
      </c>
      <c r="BR579" s="6">
        <f>SUM(Grandview_Inventory[[#This Row],[Intercept]:[det_value]])*Grandview_Inventory[[#This Row],[res_pct]]</f>
        <v>382931.33888400008</v>
      </c>
      <c r="BS579" s="6">
        <f>Grandview_Inventory[[#This Row],[land_value]]</f>
        <v>49167.631333630678</v>
      </c>
      <c r="BT579" s="4">
        <f>_xlfn.IFNA(VLOOKUP(Grandview_Inventory[[#This Row],[quality]],Lookups!$A$26:$C$33,3,FALSE),1)</f>
        <v>0.94295468617355149</v>
      </c>
      <c r="BU579" s="4">
        <f>_xlfn.IFNA(VLOOKUP(Grandview_Inventory[[#This Row],[condition]],Lookups!$A$37:$C$44,3,FALSE),1)</f>
        <v>0.97383723671140243</v>
      </c>
      <c r="BV579" s="4">
        <f>IF(Grandview_Inventory[[#This Row],[bldg_style]]="",1,_xlfn.IFNA(VLOOKUP(Grandview_Inventory[[#This Row],[decade]],Lookups!$F$29:$H$43,3,FALSE),1))</f>
        <v>0.98397821291089549</v>
      </c>
      <c r="BW579" s="4">
        <f>_xlfn.IFNA(VLOOKUP(Grandview_Inventory[[#This Row],[living_area_range]],Lookups!$F$47:$H$56,3,FALSE),1)</f>
        <v>0.96120133463014379</v>
      </c>
      <c r="BX579" s="4">
        <f>AVERAGE(Grandview_Inventory[[#This Row],[qual_adj]:[size_adj]])</f>
        <v>0.96549286760649822</v>
      </c>
      <c r="BY579" s="6">
        <f>IF(Grandview_Inventory[[#This Row],[pre_res]]&lt;0,0,Grandview_Inventory[[#This Row],[pre_res]]*Grandview_Inventory[[#This Row],[overall_adj]])</f>
        <v>369717.476475509</v>
      </c>
      <c r="BZ579" s="6">
        <f>(Grandview_Inventory[[#This Row],[sum_land]]-IF(Grandview_Inventory[[#This Row],[no_utilities]]=1,12000,0))/IF(Grandview_Inventory[[#This Row],[unbuildable]]=1,2,1)</f>
        <v>49167.631333630678</v>
      </c>
      <c r="CA57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79">
        <f>ROUND(Grandview_Inventory[[#This Row],[det_value]]*Lookups!$M$28,-2)</f>
        <v>0</v>
      </c>
      <c r="CC579">
        <f>IF(ROUND(Grandview_Inventory[[#This Row],[adj_res]]*Lookups!$M$28,-2)&lt;Grandview_Inventory[[#This Row],[min_res]],Grandview_Inventory[[#This Row],[min_res]],ROUND(Grandview_Inventory[[#This Row],[adj_res]]*Lookups!$M$28,-2))</f>
        <v>351200</v>
      </c>
      <c r="CD579">
        <f>Grandview_Inventory[[#This Row],[final_det]]+Grandview_Inventory[[#This Row],[final_res]]</f>
        <v>351200</v>
      </c>
      <c r="CE579">
        <f>Grandview_Inventory[[#This Row],[final_land]]+Grandview_Inventory[[#This Row],[final_imp]]+Grandview_Inventory[[#This Row],[crop_value]]</f>
        <v>397900</v>
      </c>
      <c r="CG579" t="str">
        <f t="shared" ref="CG579:CG642" si="9">"update valuation set market_land ="&amp;CA579&amp;", market_bldg="&amp;CD579&amp;", market_total ="&amp;CE579&amp;", market_mdno ="&amp;$CG$1&amp;", market_date ='"&amp;TEXT($CH$1,"m/d/yyyy")&amp;"' where link_id = (select link_id from parcel where parcel_year = '2024' and parcel_id = '"&amp;A579&amp;"');"</f>
        <v>update valuation set market_land =46700, market_bldg=351200, market_total =397900, market_mdno =401, market_date ='9/10/2023' where link_id = (select link_id from parcel where parcel_year = '2024' and parcel_id = '23092224416');</v>
      </c>
    </row>
    <row r="580" spans="1:85" x14ac:dyDescent="0.25">
      <c r="A580">
        <v>23092224417</v>
      </c>
      <c r="B580">
        <v>0.19</v>
      </c>
      <c r="C580" t="s">
        <v>129</v>
      </c>
      <c r="D580" t="s">
        <v>129</v>
      </c>
      <c r="E580" t="s">
        <v>53</v>
      </c>
      <c r="F580" t="s">
        <v>53</v>
      </c>
      <c r="G580">
        <v>4</v>
      </c>
      <c r="H580" t="s">
        <v>54</v>
      </c>
      <c r="I580">
        <v>238300</v>
      </c>
      <c r="J580">
        <v>42800</v>
      </c>
      <c r="K580">
        <v>0.19</v>
      </c>
      <c r="L58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0">
        <v>0</v>
      </c>
      <c r="N580">
        <v>0</v>
      </c>
      <c r="O580">
        <v>0</v>
      </c>
      <c r="P580">
        <v>13398.7528</v>
      </c>
      <c r="Q580">
        <v>63903</v>
      </c>
      <c r="R580">
        <f>(Grandview_Inventory[[#This Row],[ln_acres]]*Grandview_Inventory[[#This Row],[coeff]])+Grandview_Inventory[[#This Row],[const]]</f>
        <v>41651.273092551026</v>
      </c>
      <c r="S580" t="s">
        <v>61</v>
      </c>
      <c r="T580">
        <v>1</v>
      </c>
      <c r="U580" t="s">
        <v>65</v>
      </c>
      <c r="V580" t="s">
        <v>67</v>
      </c>
      <c r="W580">
        <v>0</v>
      </c>
      <c r="X580">
        <v>0</v>
      </c>
      <c r="Y580">
        <v>43</v>
      </c>
      <c r="Z580">
        <v>45</v>
      </c>
      <c r="AA580">
        <v>50</v>
      </c>
      <c r="AB580">
        <v>2000</v>
      </c>
      <c r="AC580">
        <v>1628</v>
      </c>
      <c r="AD580">
        <v>1628</v>
      </c>
      <c r="AE580">
        <v>0</v>
      </c>
      <c r="AF580">
        <v>0</v>
      </c>
      <c r="AG580">
        <v>0</v>
      </c>
      <c r="AH580">
        <v>0</v>
      </c>
      <c r="AI580">
        <v>504</v>
      </c>
      <c r="AJ580">
        <v>0</v>
      </c>
      <c r="AK580">
        <v>0</v>
      </c>
      <c r="AL580">
        <v>0</v>
      </c>
      <c r="AM580">
        <v>216</v>
      </c>
      <c r="AN580">
        <v>0</v>
      </c>
      <c r="AO580">
        <v>216</v>
      </c>
      <c r="AP580">
        <v>8</v>
      </c>
      <c r="AQ580">
        <v>0</v>
      </c>
      <c r="AR580">
        <v>0</v>
      </c>
      <c r="AS580" t="s">
        <v>58</v>
      </c>
      <c r="AT580">
        <v>1</v>
      </c>
      <c r="AU580" t="s">
        <v>59</v>
      </c>
      <c r="AV580" t="s">
        <v>60</v>
      </c>
      <c r="AW580">
        <v>1</v>
      </c>
      <c r="AX580">
        <v>3</v>
      </c>
      <c r="AY580">
        <v>0</v>
      </c>
      <c r="AZ580">
        <v>0</v>
      </c>
      <c r="BA580">
        <v>100</v>
      </c>
      <c r="BB580">
        <v>100</v>
      </c>
      <c r="BC580">
        <v>100</v>
      </c>
      <c r="BD580">
        <v>100</v>
      </c>
      <c r="BE580">
        <v>1</v>
      </c>
      <c r="BF580">
        <v>15000</v>
      </c>
      <c r="BG580">
        <v>1000</v>
      </c>
      <c r="BH580" s="6">
        <f>Grandview_Inventory[[#This Row],[land_extract]]*Lookups!$B$3</f>
        <v>48369.510983942157</v>
      </c>
      <c r="BI580" s="6">
        <f>IF(Grandview_Inventory[[#This Row],[bldg_style]]="",0,Lookups!$B$2)</f>
        <v>155833.95000000001</v>
      </c>
      <c r="BJ580" s="6">
        <f>_xlfn.IFNA(VLOOKUP(Grandview_Inventory[[#This Row],[quality]],Lookups!$H$2:$J$14,3,FALSE),0)</f>
        <v>2251</v>
      </c>
      <c r="BK580" s="6">
        <f>_xlfn.IFNA(VLOOKUP(Grandview_Inventory[[#This Row],[condition]],Lookups!$H$17:$J$24,3,FALSE),0)</f>
        <v>22342</v>
      </c>
      <c r="BL580" s="6">
        <f>Grandview_Inventory[[#This Row],[Eff_Age]]*Lookups!$B$14</f>
        <v>-10284.1638</v>
      </c>
      <c r="BM580" s="6">
        <f>Grandview_Inventory[[#This Row],[living_area]]*Lookups!$B$15</f>
        <v>101556.028684</v>
      </c>
      <c r="BN580" s="6">
        <f>Grandview_Inventory[[#This Row],[Fin BSMT]]*Lookups!$B$16</f>
        <v>0</v>
      </c>
      <c r="BO580" s="6">
        <f>(Grandview_Inventory[[#This Row],[att_gar]]+Grandview_Inventory[[#This Row],[bltin_gar]])*Lookups!$B$17</f>
        <v>44110.300248</v>
      </c>
      <c r="BP580" s="6">
        <f>Grandview_Inventory[[#This Row],[Plumbing Fixtures]]*Lookups!$B$18</f>
        <v>16083.5344</v>
      </c>
      <c r="BQ580" s="6">
        <f>Grandview_Inventory[[#This Row],[detatched_value]]*Lookups!$B$19</f>
        <v>0</v>
      </c>
      <c r="BR580" s="6">
        <f>SUM(Grandview_Inventory[[#This Row],[Intercept]:[det_value]])*Grandview_Inventory[[#This Row],[res_pct]]</f>
        <v>331892.64953200001</v>
      </c>
      <c r="BS580" s="6">
        <f>Grandview_Inventory[[#This Row],[land_value]]</f>
        <v>48369.510983942157</v>
      </c>
      <c r="BT580" s="4">
        <f>_xlfn.IFNA(VLOOKUP(Grandview_Inventory[[#This Row],[quality]],Lookups!$A$26:$C$33,3,FALSE),1)</f>
        <v>0.98763855981004833</v>
      </c>
      <c r="BU580" s="4">
        <f>_xlfn.IFNA(VLOOKUP(Grandview_Inventory[[#This Row],[condition]],Lookups!$A$37:$C$44,3,FALSE),1)</f>
        <v>0.97383723671140243</v>
      </c>
      <c r="BV580" s="4">
        <f>IF(Grandview_Inventory[[#This Row],[bldg_style]]="",1,_xlfn.IFNA(VLOOKUP(Grandview_Inventory[[#This Row],[decade]],Lookups!$F$29:$H$43,3,FALSE),1))</f>
        <v>0.9871940091910919</v>
      </c>
      <c r="BW580" s="4">
        <f>_xlfn.IFNA(VLOOKUP(Grandview_Inventory[[#This Row],[living_area_range]],Lookups!$F$47:$H$56,3,FALSE),1)</f>
        <v>0.96120133463014379</v>
      </c>
      <c r="BX580" s="4">
        <f>AVERAGE(Grandview_Inventory[[#This Row],[qual_adj]:[size_adj]])</f>
        <v>0.97746778508567167</v>
      </c>
      <c r="BY580" s="6">
        <f>IF(Grandview_Inventory[[#This Row],[pre_res]]&lt;0,0,Grandview_Inventory[[#This Row],[pre_res]]*Grandview_Inventory[[#This Row],[overall_adj]])</f>
        <v>324414.37302425911</v>
      </c>
      <c r="BZ580" s="6">
        <f>(Grandview_Inventory[[#This Row],[sum_land]]-IF(Grandview_Inventory[[#This Row],[no_utilities]]=1,12000,0))/IF(Grandview_Inventory[[#This Row],[unbuildable]]=1,2,1)</f>
        <v>48369.510983942157</v>
      </c>
      <c r="CA58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0">
        <f>ROUND(Grandview_Inventory[[#This Row],[det_value]]*Lookups!$M$28,-2)</f>
        <v>0</v>
      </c>
      <c r="CC580">
        <f>IF(ROUND(Grandview_Inventory[[#This Row],[adj_res]]*Lookups!$M$28,-2)&lt;Grandview_Inventory[[#This Row],[min_res]],Grandview_Inventory[[#This Row],[min_res]],ROUND(Grandview_Inventory[[#This Row],[adj_res]]*Lookups!$M$28,-2))</f>
        <v>308200</v>
      </c>
      <c r="CD580">
        <f>Grandview_Inventory[[#This Row],[final_det]]+Grandview_Inventory[[#This Row],[final_res]]</f>
        <v>308200</v>
      </c>
      <c r="CE580">
        <f>Grandview_Inventory[[#This Row],[final_land]]+Grandview_Inventory[[#This Row],[final_imp]]+Grandview_Inventory[[#This Row],[crop_value]]</f>
        <v>354200</v>
      </c>
      <c r="CG580" t="str">
        <f t="shared" si="9"/>
        <v>update valuation set market_land =46000, market_bldg=308200, market_total =354200, market_mdno =401, market_date ='9/10/2023' where link_id = (select link_id from parcel where parcel_year = '2024' and parcel_id = '23092224417');</v>
      </c>
    </row>
    <row r="581" spans="1:85" x14ac:dyDescent="0.25">
      <c r="A581">
        <v>23092224418</v>
      </c>
      <c r="B581">
        <v>0.19</v>
      </c>
      <c r="C581" t="s">
        <v>129</v>
      </c>
      <c r="D581" t="s">
        <v>129</v>
      </c>
      <c r="E581" t="s">
        <v>53</v>
      </c>
      <c r="F581" t="s">
        <v>53</v>
      </c>
      <c r="G581">
        <v>4</v>
      </c>
      <c r="H581" t="s">
        <v>54</v>
      </c>
      <c r="I581">
        <v>250400</v>
      </c>
      <c r="J581">
        <v>42800</v>
      </c>
      <c r="K581">
        <v>0.19</v>
      </c>
      <c r="L58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1">
        <v>0</v>
      </c>
      <c r="N581">
        <v>0</v>
      </c>
      <c r="O581">
        <v>0</v>
      </c>
      <c r="P581">
        <v>13398.7528</v>
      </c>
      <c r="Q581">
        <v>63903</v>
      </c>
      <c r="R581">
        <f>(Grandview_Inventory[[#This Row],[ln_acres]]*Grandview_Inventory[[#This Row],[coeff]])+Grandview_Inventory[[#This Row],[const]]</f>
        <v>41651.273092551026</v>
      </c>
      <c r="S581" t="s">
        <v>74</v>
      </c>
      <c r="T581">
        <v>1</v>
      </c>
      <c r="U581" t="s">
        <v>64</v>
      </c>
      <c r="V581" t="s">
        <v>69</v>
      </c>
      <c r="W581">
        <v>0</v>
      </c>
      <c r="X581">
        <v>0</v>
      </c>
      <c r="Y581">
        <v>43</v>
      </c>
      <c r="Z581">
        <v>44</v>
      </c>
      <c r="AA581">
        <v>50</v>
      </c>
      <c r="AB581">
        <v>2500</v>
      </c>
      <c r="AC581">
        <v>2252</v>
      </c>
      <c r="AD581">
        <v>1496</v>
      </c>
      <c r="AE581">
        <v>0</v>
      </c>
      <c r="AF581">
        <v>0</v>
      </c>
      <c r="AG581">
        <v>756</v>
      </c>
      <c r="AH581">
        <v>0</v>
      </c>
      <c r="AI581">
        <v>408</v>
      </c>
      <c r="AJ581">
        <v>0</v>
      </c>
      <c r="AK581">
        <v>0</v>
      </c>
      <c r="AL581">
        <v>0</v>
      </c>
      <c r="AM581">
        <v>480</v>
      </c>
      <c r="AN581">
        <v>0</v>
      </c>
      <c r="AO581">
        <v>0</v>
      </c>
      <c r="AP581">
        <v>11</v>
      </c>
      <c r="AQ581">
        <v>1</v>
      </c>
      <c r="AR581">
        <v>0</v>
      </c>
      <c r="AS581" t="s">
        <v>58</v>
      </c>
      <c r="AT581">
        <v>1</v>
      </c>
      <c r="AU581" t="s">
        <v>63</v>
      </c>
      <c r="AV581" t="s">
        <v>60</v>
      </c>
      <c r="AW581">
        <v>1</v>
      </c>
      <c r="AX581">
        <v>4</v>
      </c>
      <c r="AY581">
        <v>0</v>
      </c>
      <c r="AZ581">
        <v>3200</v>
      </c>
      <c r="BA581">
        <v>100</v>
      </c>
      <c r="BB581">
        <v>100</v>
      </c>
      <c r="BC581">
        <v>100</v>
      </c>
      <c r="BD581">
        <v>100</v>
      </c>
      <c r="BE581">
        <v>1</v>
      </c>
      <c r="BF581">
        <v>15000</v>
      </c>
      <c r="BG581">
        <v>1000</v>
      </c>
      <c r="BH581" s="6">
        <f>Grandview_Inventory[[#This Row],[land_extract]]*Lookups!$B$3</f>
        <v>48369.510983942157</v>
      </c>
      <c r="BI581" s="6">
        <f>IF(Grandview_Inventory[[#This Row],[bldg_style]]="",0,Lookups!$B$2)</f>
        <v>155833.95000000001</v>
      </c>
      <c r="BJ581" s="6">
        <f>_xlfn.IFNA(VLOOKUP(Grandview_Inventory[[#This Row],[quality]],Lookups!$H$2:$J$14,3,FALSE),0)</f>
        <v>20768</v>
      </c>
      <c r="BK581" s="6">
        <f>_xlfn.IFNA(VLOOKUP(Grandview_Inventory[[#This Row],[condition]],Lookups!$H$17:$J$24,3,FALSE),0)</f>
        <v>-4503</v>
      </c>
      <c r="BL581" s="6">
        <f>Grandview_Inventory[[#This Row],[Eff_Age]]*Lookups!$B$14</f>
        <v>-10284.1638</v>
      </c>
      <c r="BM581" s="6">
        <f>Grandview_Inventory[[#This Row],[living_area]]*Lookups!$B$15</f>
        <v>140481.680956</v>
      </c>
      <c r="BN581" s="6">
        <f>Grandview_Inventory[[#This Row],[Fin BSMT]]*Lookups!$B$16</f>
        <v>-20487.025440000001</v>
      </c>
      <c r="BO581" s="6">
        <f>(Grandview_Inventory[[#This Row],[att_gar]]+Grandview_Inventory[[#This Row],[bltin_gar]])*Lookups!$B$17</f>
        <v>35708.338296000002</v>
      </c>
      <c r="BP581" s="6">
        <f>Grandview_Inventory[[#This Row],[Plumbing Fixtures]]*Lookups!$B$18</f>
        <v>22114.859800000002</v>
      </c>
      <c r="BQ581" s="6">
        <f>Grandview_Inventory[[#This Row],[detatched_value]]*Lookups!$B$19</f>
        <v>2709.7763199999999</v>
      </c>
      <c r="BR581" s="6">
        <f>SUM(Grandview_Inventory[[#This Row],[Intercept]:[det_value]])*Grandview_Inventory[[#This Row],[res_pct]]</f>
        <v>342342.41613199998</v>
      </c>
      <c r="BS581" s="6">
        <f>Grandview_Inventory[[#This Row],[land_value]]</f>
        <v>48369.510983942157</v>
      </c>
      <c r="BT581" s="4">
        <f>_xlfn.IFNA(VLOOKUP(Grandview_Inventory[[#This Row],[quality]],Lookups!$A$26:$C$33,3,FALSE),1)</f>
        <v>0.94960540378902636</v>
      </c>
      <c r="BU581" s="4">
        <f>_xlfn.IFNA(VLOOKUP(Grandview_Inventory[[#This Row],[condition]],Lookups!$A$37:$C$44,3,FALSE),1)</f>
        <v>0.96469275950863709</v>
      </c>
      <c r="BV581" s="4">
        <f>IF(Grandview_Inventory[[#This Row],[bldg_style]]="",1,_xlfn.IFNA(VLOOKUP(Grandview_Inventory[[#This Row],[decade]],Lookups!$F$29:$H$43,3,FALSE),1))</f>
        <v>0.9871940091910919</v>
      </c>
      <c r="BW581" s="4">
        <f>_xlfn.IFNA(VLOOKUP(Grandview_Inventory[[#This Row],[living_area_range]],Lookups!$F$47:$H$56,3,FALSE),1)</f>
        <v>0.95799442568048754</v>
      </c>
      <c r="BX581" s="4">
        <f>AVERAGE(Grandview_Inventory[[#This Row],[qual_adj]:[size_adj]])</f>
        <v>0.96487164954231075</v>
      </c>
      <c r="BY581" s="6">
        <f>IF(Grandview_Inventory[[#This Row],[pre_res]]&lt;0,0,Grandview_Inventory[[#This Row],[pre_res]]*Grandview_Inventory[[#This Row],[overall_adj]])</f>
        <v>330316.49176158302</v>
      </c>
      <c r="BZ581" s="6">
        <f>(Grandview_Inventory[[#This Row],[sum_land]]-IF(Grandview_Inventory[[#This Row],[no_utilities]]=1,12000,0))/IF(Grandview_Inventory[[#This Row],[unbuildable]]=1,2,1)</f>
        <v>48369.510983942157</v>
      </c>
      <c r="CA58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1">
        <f>ROUND(Grandview_Inventory[[#This Row],[det_value]]*Lookups!$M$28,-2)</f>
        <v>2600</v>
      </c>
      <c r="CC581">
        <f>IF(ROUND(Grandview_Inventory[[#This Row],[adj_res]]*Lookups!$M$28,-2)&lt;Grandview_Inventory[[#This Row],[min_res]],Grandview_Inventory[[#This Row],[min_res]],ROUND(Grandview_Inventory[[#This Row],[adj_res]]*Lookups!$M$28,-2))</f>
        <v>313800</v>
      </c>
      <c r="CD581">
        <f>Grandview_Inventory[[#This Row],[final_det]]+Grandview_Inventory[[#This Row],[final_res]]</f>
        <v>316400</v>
      </c>
      <c r="CE581">
        <f>Grandview_Inventory[[#This Row],[final_land]]+Grandview_Inventory[[#This Row],[final_imp]]+Grandview_Inventory[[#This Row],[crop_value]]</f>
        <v>362400</v>
      </c>
      <c r="CG581" t="str">
        <f t="shared" si="9"/>
        <v>update valuation set market_land =46000, market_bldg=316400, market_total =362400, market_mdno =401, market_date ='9/10/2023' where link_id = (select link_id from parcel where parcel_year = '2024' and parcel_id = '23092224418');</v>
      </c>
    </row>
    <row r="582" spans="1:85" x14ac:dyDescent="0.25">
      <c r="A582">
        <v>23092224419</v>
      </c>
      <c r="B582">
        <v>0.19</v>
      </c>
      <c r="C582" t="s">
        <v>129</v>
      </c>
      <c r="D582" t="s">
        <v>129</v>
      </c>
      <c r="E582" t="s">
        <v>53</v>
      </c>
      <c r="F582" t="s">
        <v>53</v>
      </c>
      <c r="G582">
        <v>4</v>
      </c>
      <c r="H582" t="s">
        <v>54</v>
      </c>
      <c r="I582">
        <v>300600</v>
      </c>
      <c r="J582">
        <v>42800</v>
      </c>
      <c r="K582">
        <v>0.19</v>
      </c>
      <c r="L58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2">
        <v>0</v>
      </c>
      <c r="N582">
        <v>0</v>
      </c>
      <c r="O582">
        <v>0</v>
      </c>
      <c r="P582">
        <v>13398.7528</v>
      </c>
      <c r="Q582">
        <v>63903</v>
      </c>
      <c r="R582">
        <f>(Grandview_Inventory[[#This Row],[ln_acres]]*Grandview_Inventory[[#This Row],[coeff]])+Grandview_Inventory[[#This Row],[const]]</f>
        <v>41651.273092551026</v>
      </c>
      <c r="S582" t="s">
        <v>74</v>
      </c>
      <c r="T582">
        <v>1</v>
      </c>
      <c r="U582" t="s">
        <v>62</v>
      </c>
      <c r="V582" t="s">
        <v>69</v>
      </c>
      <c r="W582">
        <v>0</v>
      </c>
      <c r="X582">
        <v>0</v>
      </c>
      <c r="Y582">
        <v>43</v>
      </c>
      <c r="Z582">
        <v>44</v>
      </c>
      <c r="AA582">
        <v>50</v>
      </c>
      <c r="AB582">
        <v>2500</v>
      </c>
      <c r="AC582">
        <v>2490</v>
      </c>
      <c r="AD582">
        <v>1650</v>
      </c>
      <c r="AE582">
        <v>0</v>
      </c>
      <c r="AF582">
        <v>0</v>
      </c>
      <c r="AG582">
        <v>840</v>
      </c>
      <c r="AH582">
        <v>0</v>
      </c>
      <c r="AI582">
        <v>0</v>
      </c>
      <c r="AJ582">
        <v>810</v>
      </c>
      <c r="AK582">
        <v>0</v>
      </c>
      <c r="AL582">
        <v>196</v>
      </c>
      <c r="AM582">
        <v>0</v>
      </c>
      <c r="AN582">
        <v>0</v>
      </c>
      <c r="AO582">
        <v>96</v>
      </c>
      <c r="AP582">
        <v>10</v>
      </c>
      <c r="AQ582">
        <v>0</v>
      </c>
      <c r="AR582">
        <v>1</v>
      </c>
      <c r="AS582" t="s">
        <v>76</v>
      </c>
      <c r="AT582">
        <v>1</v>
      </c>
      <c r="AU582" t="s">
        <v>59</v>
      </c>
      <c r="AV582" t="s">
        <v>60</v>
      </c>
      <c r="AW582">
        <v>1</v>
      </c>
      <c r="AX582">
        <v>3</v>
      </c>
      <c r="AY582">
        <v>0</v>
      </c>
      <c r="AZ582">
        <v>0</v>
      </c>
      <c r="BA582">
        <v>100</v>
      </c>
      <c r="BB582">
        <v>100</v>
      </c>
      <c r="BC582">
        <v>100</v>
      </c>
      <c r="BD582">
        <v>100</v>
      </c>
      <c r="BE582">
        <v>1</v>
      </c>
      <c r="BF582">
        <v>15000</v>
      </c>
      <c r="BG582">
        <v>1000</v>
      </c>
      <c r="BH582" s="6">
        <f>Grandview_Inventory[[#This Row],[land_extract]]*Lookups!$B$3</f>
        <v>48369.510983942157</v>
      </c>
      <c r="BI582" s="6">
        <f>IF(Grandview_Inventory[[#This Row],[bldg_style]]="",0,Lookups!$B$2)</f>
        <v>155833.95000000001</v>
      </c>
      <c r="BJ582" s="6">
        <f>_xlfn.IFNA(VLOOKUP(Grandview_Inventory[[#This Row],[quality]],Lookups!$H$2:$J$14,3,FALSE),0)</f>
        <v>9808</v>
      </c>
      <c r="BK582" s="6">
        <f>_xlfn.IFNA(VLOOKUP(Grandview_Inventory[[#This Row],[condition]],Lookups!$H$17:$J$24,3,FALSE),0)</f>
        <v>-4503</v>
      </c>
      <c r="BL582" s="6">
        <f>Grandview_Inventory[[#This Row],[Eff_Age]]*Lookups!$B$14</f>
        <v>-10284.1638</v>
      </c>
      <c r="BM582" s="6">
        <f>Grandview_Inventory[[#This Row],[living_area]]*Lookups!$B$15</f>
        <v>155328.32397</v>
      </c>
      <c r="BN582" s="6">
        <f>Grandview_Inventory[[#This Row],[Fin BSMT]]*Lookups!$B$16</f>
        <v>-22763.3616</v>
      </c>
      <c r="BO582" s="6">
        <f>(Grandview_Inventory[[#This Row],[att_gar]]+Grandview_Inventory[[#This Row],[bltin_gar]])*Lookups!$B$17</f>
        <v>70891.553970000008</v>
      </c>
      <c r="BP582" s="6">
        <f>Grandview_Inventory[[#This Row],[Plumbing Fixtures]]*Lookups!$B$18</f>
        <v>20104.418000000001</v>
      </c>
      <c r="BQ582" s="6">
        <f>Grandview_Inventory[[#This Row],[detatched_value]]*Lookups!$B$19</f>
        <v>0</v>
      </c>
      <c r="BR582" s="6">
        <f>SUM(Grandview_Inventory[[#This Row],[Intercept]:[det_value]])*Grandview_Inventory[[#This Row],[res_pct]]</f>
        <v>374415.72054000001</v>
      </c>
      <c r="BS582" s="6">
        <f>Grandview_Inventory[[#This Row],[land_value]]</f>
        <v>48369.510983942157</v>
      </c>
      <c r="BT582" s="4">
        <f>_xlfn.IFNA(VLOOKUP(Grandview_Inventory[[#This Row],[quality]],Lookups!$A$26:$C$33,3,FALSE),1)</f>
        <v>0.94295468617355149</v>
      </c>
      <c r="BU582" s="4">
        <f>_xlfn.IFNA(VLOOKUP(Grandview_Inventory[[#This Row],[condition]],Lookups!$A$37:$C$44,3,FALSE),1)</f>
        <v>0.96469275950863709</v>
      </c>
      <c r="BV582" s="4">
        <f>IF(Grandview_Inventory[[#This Row],[bldg_style]]="",1,_xlfn.IFNA(VLOOKUP(Grandview_Inventory[[#This Row],[decade]],Lookups!$F$29:$H$43,3,FALSE),1))</f>
        <v>0.9871940091910919</v>
      </c>
      <c r="BW582" s="4">
        <f>_xlfn.IFNA(VLOOKUP(Grandview_Inventory[[#This Row],[living_area_range]],Lookups!$F$47:$H$56,3,FALSE),1)</f>
        <v>0.95799442568048754</v>
      </c>
      <c r="BX582" s="4">
        <f>AVERAGE(Grandview_Inventory[[#This Row],[qual_adj]:[size_adj]])</f>
        <v>0.96320897013844198</v>
      </c>
      <c r="BY582" s="6">
        <f>IF(Grandview_Inventory[[#This Row],[pre_res]]&lt;0,0,Grandview_Inventory[[#This Row],[pre_res]]*Grandview_Inventory[[#This Row],[overall_adj]])</f>
        <v>360640.58058497612</v>
      </c>
      <c r="BZ582" s="6">
        <f>(Grandview_Inventory[[#This Row],[sum_land]]-IF(Grandview_Inventory[[#This Row],[no_utilities]]=1,12000,0))/IF(Grandview_Inventory[[#This Row],[unbuildable]]=1,2,1)</f>
        <v>48369.510983942157</v>
      </c>
      <c r="CA58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2">
        <f>ROUND(Grandview_Inventory[[#This Row],[det_value]]*Lookups!$M$28,-2)</f>
        <v>0</v>
      </c>
      <c r="CC582">
        <f>IF(ROUND(Grandview_Inventory[[#This Row],[adj_res]]*Lookups!$M$28,-2)&lt;Grandview_Inventory[[#This Row],[min_res]],Grandview_Inventory[[#This Row],[min_res]],ROUND(Grandview_Inventory[[#This Row],[adj_res]]*Lookups!$M$28,-2))</f>
        <v>342600</v>
      </c>
      <c r="CD582">
        <f>Grandview_Inventory[[#This Row],[final_det]]+Grandview_Inventory[[#This Row],[final_res]]</f>
        <v>342600</v>
      </c>
      <c r="CE582">
        <f>Grandview_Inventory[[#This Row],[final_land]]+Grandview_Inventory[[#This Row],[final_imp]]+Grandview_Inventory[[#This Row],[crop_value]]</f>
        <v>388600</v>
      </c>
      <c r="CG582" t="str">
        <f t="shared" si="9"/>
        <v>update valuation set market_land =46000, market_bldg=342600, market_total =388600, market_mdno =401, market_date ='9/10/2023' where link_id = (select link_id from parcel where parcel_year = '2024' and parcel_id = '23092224419');</v>
      </c>
    </row>
    <row r="583" spans="1:85" x14ac:dyDescent="0.25">
      <c r="A583">
        <v>23092224420</v>
      </c>
      <c r="B583">
        <v>0.19</v>
      </c>
      <c r="C583" t="s">
        <v>129</v>
      </c>
      <c r="D583" t="s">
        <v>129</v>
      </c>
      <c r="E583" t="s">
        <v>53</v>
      </c>
      <c r="F583" t="s">
        <v>53</v>
      </c>
      <c r="G583">
        <v>4</v>
      </c>
      <c r="H583" t="s">
        <v>54</v>
      </c>
      <c r="I583">
        <v>241300</v>
      </c>
      <c r="J583">
        <v>42800</v>
      </c>
      <c r="K583">
        <v>0.19</v>
      </c>
      <c r="L58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3">
        <v>0</v>
      </c>
      <c r="N583">
        <v>0</v>
      </c>
      <c r="O583">
        <v>0</v>
      </c>
      <c r="P583">
        <v>13398.7528</v>
      </c>
      <c r="Q583">
        <v>63903</v>
      </c>
      <c r="R583">
        <f>(Grandview_Inventory[[#This Row],[ln_acres]]*Grandview_Inventory[[#This Row],[coeff]])+Grandview_Inventory[[#This Row],[const]]</f>
        <v>41651.273092551026</v>
      </c>
      <c r="S583" t="s">
        <v>61</v>
      </c>
      <c r="T583">
        <v>1</v>
      </c>
      <c r="U583" t="s">
        <v>65</v>
      </c>
      <c r="V583" t="s">
        <v>67</v>
      </c>
      <c r="W583">
        <v>0</v>
      </c>
      <c r="X583">
        <v>0</v>
      </c>
      <c r="Y583">
        <v>43</v>
      </c>
      <c r="Z583">
        <v>44</v>
      </c>
      <c r="AA583">
        <v>50</v>
      </c>
      <c r="AB583">
        <v>2000</v>
      </c>
      <c r="AC583">
        <v>1510</v>
      </c>
      <c r="AD583">
        <v>1510</v>
      </c>
      <c r="AE583">
        <v>0</v>
      </c>
      <c r="AF583">
        <v>0</v>
      </c>
      <c r="AG583">
        <v>0</v>
      </c>
      <c r="AH583">
        <v>0</v>
      </c>
      <c r="AI583">
        <v>576</v>
      </c>
      <c r="AJ583">
        <v>0</v>
      </c>
      <c r="AK583">
        <v>0</v>
      </c>
      <c r="AL583">
        <v>224</v>
      </c>
      <c r="AM583">
        <v>827</v>
      </c>
      <c r="AN583">
        <v>0</v>
      </c>
      <c r="AO583">
        <v>0</v>
      </c>
      <c r="AP583">
        <v>8</v>
      </c>
      <c r="AQ583">
        <v>0</v>
      </c>
      <c r="AR583">
        <v>0</v>
      </c>
      <c r="AS583" t="s">
        <v>58</v>
      </c>
      <c r="AT583">
        <v>1</v>
      </c>
      <c r="AU583" t="s">
        <v>63</v>
      </c>
      <c r="AV583" t="s">
        <v>60</v>
      </c>
      <c r="AW583">
        <v>1</v>
      </c>
      <c r="AX583">
        <v>3</v>
      </c>
      <c r="AY583">
        <v>0</v>
      </c>
      <c r="AZ583">
        <v>0</v>
      </c>
      <c r="BA583">
        <v>100</v>
      </c>
      <c r="BB583">
        <v>100</v>
      </c>
      <c r="BC583">
        <v>100</v>
      </c>
      <c r="BD583">
        <v>100</v>
      </c>
      <c r="BE583">
        <v>1</v>
      </c>
      <c r="BF583">
        <v>15000</v>
      </c>
      <c r="BG583">
        <v>1000</v>
      </c>
      <c r="BH583" s="6">
        <f>Grandview_Inventory[[#This Row],[land_extract]]*Lookups!$B$3</f>
        <v>48369.510983942157</v>
      </c>
      <c r="BI583" s="6">
        <f>IF(Grandview_Inventory[[#This Row],[bldg_style]]="",0,Lookups!$B$2)</f>
        <v>155833.95000000001</v>
      </c>
      <c r="BJ583" s="6">
        <f>_xlfn.IFNA(VLOOKUP(Grandview_Inventory[[#This Row],[quality]],Lookups!$H$2:$J$14,3,FALSE),0)</f>
        <v>2251</v>
      </c>
      <c r="BK583" s="6">
        <f>_xlfn.IFNA(VLOOKUP(Grandview_Inventory[[#This Row],[condition]],Lookups!$H$17:$J$24,3,FALSE),0)</f>
        <v>22342</v>
      </c>
      <c r="BL583" s="6">
        <f>Grandview_Inventory[[#This Row],[Eff_Age]]*Lookups!$B$14</f>
        <v>-10284.1638</v>
      </c>
      <c r="BM583" s="6">
        <f>Grandview_Inventory[[#This Row],[living_area]]*Lookups!$B$15</f>
        <v>94195.088029999999</v>
      </c>
      <c r="BN583" s="6">
        <f>Grandview_Inventory[[#This Row],[Fin BSMT]]*Lookups!$B$16</f>
        <v>0</v>
      </c>
      <c r="BO583" s="6">
        <f>(Grandview_Inventory[[#This Row],[att_gar]]+Grandview_Inventory[[#This Row],[bltin_gar]])*Lookups!$B$17</f>
        <v>50411.771712000002</v>
      </c>
      <c r="BP583" s="6">
        <f>Grandview_Inventory[[#This Row],[Plumbing Fixtures]]*Lookups!$B$18</f>
        <v>16083.5344</v>
      </c>
      <c r="BQ583" s="6">
        <f>Grandview_Inventory[[#This Row],[detatched_value]]*Lookups!$B$19</f>
        <v>0</v>
      </c>
      <c r="BR583" s="6">
        <f>SUM(Grandview_Inventory[[#This Row],[Intercept]:[det_value]])*Grandview_Inventory[[#This Row],[res_pct]]</f>
        <v>330833.18034200004</v>
      </c>
      <c r="BS583" s="6">
        <f>Grandview_Inventory[[#This Row],[land_value]]</f>
        <v>48369.510983942157</v>
      </c>
      <c r="BT583" s="4">
        <f>_xlfn.IFNA(VLOOKUP(Grandview_Inventory[[#This Row],[quality]],Lookups!$A$26:$C$33,3,FALSE),1)</f>
        <v>0.98763855981004833</v>
      </c>
      <c r="BU583" s="4">
        <f>_xlfn.IFNA(VLOOKUP(Grandview_Inventory[[#This Row],[condition]],Lookups!$A$37:$C$44,3,FALSE),1)</f>
        <v>0.97383723671140243</v>
      </c>
      <c r="BV583" s="4">
        <f>IF(Grandview_Inventory[[#This Row],[bldg_style]]="",1,_xlfn.IFNA(VLOOKUP(Grandview_Inventory[[#This Row],[decade]],Lookups!$F$29:$H$43,3,FALSE),1))</f>
        <v>0.9871940091910919</v>
      </c>
      <c r="BW583" s="4">
        <f>_xlfn.IFNA(VLOOKUP(Grandview_Inventory[[#This Row],[living_area_range]],Lookups!$F$47:$H$56,3,FALSE),1)</f>
        <v>0.96120133463014379</v>
      </c>
      <c r="BX583" s="4">
        <f>AVERAGE(Grandview_Inventory[[#This Row],[qual_adj]:[size_adj]])</f>
        <v>0.97746778508567167</v>
      </c>
      <c r="BY583" s="6">
        <f>IF(Grandview_Inventory[[#This Row],[pre_res]]&lt;0,0,Grandview_Inventory[[#This Row],[pre_res]]*Grandview_Inventory[[#This Row],[overall_adj]])</f>
        <v>323378.77602174337</v>
      </c>
      <c r="BZ583" s="6">
        <f>(Grandview_Inventory[[#This Row],[sum_land]]-IF(Grandview_Inventory[[#This Row],[no_utilities]]=1,12000,0))/IF(Grandview_Inventory[[#This Row],[unbuildable]]=1,2,1)</f>
        <v>48369.510983942157</v>
      </c>
      <c r="CA58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3">
        <f>ROUND(Grandview_Inventory[[#This Row],[det_value]]*Lookups!$M$28,-2)</f>
        <v>0</v>
      </c>
      <c r="CC583">
        <f>IF(ROUND(Grandview_Inventory[[#This Row],[adj_res]]*Lookups!$M$28,-2)&lt;Grandview_Inventory[[#This Row],[min_res]],Grandview_Inventory[[#This Row],[min_res]],ROUND(Grandview_Inventory[[#This Row],[adj_res]]*Lookups!$M$28,-2))</f>
        <v>307200</v>
      </c>
      <c r="CD583">
        <f>Grandview_Inventory[[#This Row],[final_det]]+Grandview_Inventory[[#This Row],[final_res]]</f>
        <v>307200</v>
      </c>
      <c r="CE583">
        <f>Grandview_Inventory[[#This Row],[final_land]]+Grandview_Inventory[[#This Row],[final_imp]]+Grandview_Inventory[[#This Row],[crop_value]]</f>
        <v>353200</v>
      </c>
      <c r="CG583" t="str">
        <f t="shared" si="9"/>
        <v>update valuation set market_land =46000, market_bldg=307200, market_total =353200, market_mdno =401, market_date ='9/10/2023' where link_id = (select link_id from parcel where parcel_year = '2024' and parcel_id = '23092224420');</v>
      </c>
    </row>
    <row r="584" spans="1:85" x14ac:dyDescent="0.25">
      <c r="A584">
        <v>23092224421</v>
      </c>
      <c r="B584">
        <v>0.19</v>
      </c>
      <c r="C584" t="s">
        <v>129</v>
      </c>
      <c r="D584" t="s">
        <v>129</v>
      </c>
      <c r="E584" t="s">
        <v>53</v>
      </c>
      <c r="F584" t="s">
        <v>53</v>
      </c>
      <c r="G584">
        <v>4</v>
      </c>
      <c r="H584" t="s">
        <v>54</v>
      </c>
      <c r="I584">
        <v>185100</v>
      </c>
      <c r="J584">
        <v>42800</v>
      </c>
      <c r="K584">
        <v>0.19</v>
      </c>
      <c r="L58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4">
        <v>0</v>
      </c>
      <c r="N584">
        <v>0</v>
      </c>
      <c r="O584">
        <v>0</v>
      </c>
      <c r="P584">
        <v>13398.7528</v>
      </c>
      <c r="Q584">
        <v>63903</v>
      </c>
      <c r="R584">
        <f>(Grandview_Inventory[[#This Row],[ln_acres]]*Grandview_Inventory[[#This Row],[coeff]])+Grandview_Inventory[[#This Row],[const]]</f>
        <v>41651.273092551026</v>
      </c>
      <c r="S584" t="s">
        <v>61</v>
      </c>
      <c r="T584">
        <v>1</v>
      </c>
      <c r="U584" t="s">
        <v>65</v>
      </c>
      <c r="V584" t="s">
        <v>69</v>
      </c>
      <c r="W584">
        <v>0</v>
      </c>
      <c r="X584">
        <v>0</v>
      </c>
      <c r="Y584">
        <v>38</v>
      </c>
      <c r="Z584">
        <v>38</v>
      </c>
      <c r="AA584">
        <v>40</v>
      </c>
      <c r="AB584">
        <v>2000</v>
      </c>
      <c r="AC584">
        <v>1946</v>
      </c>
      <c r="AD584">
        <v>1946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138</v>
      </c>
      <c r="AO584">
        <v>0</v>
      </c>
      <c r="AP584">
        <v>8</v>
      </c>
      <c r="AQ584">
        <v>0</v>
      </c>
      <c r="AR584">
        <v>0</v>
      </c>
      <c r="AS584" t="s">
        <v>58</v>
      </c>
      <c r="AT584">
        <v>1</v>
      </c>
      <c r="AU584" t="s">
        <v>59</v>
      </c>
      <c r="AV584" t="s">
        <v>60</v>
      </c>
      <c r="AW584">
        <v>1</v>
      </c>
      <c r="AX584">
        <v>3</v>
      </c>
      <c r="AY584">
        <v>0</v>
      </c>
      <c r="AZ584">
        <v>0</v>
      </c>
      <c r="BA584">
        <v>100</v>
      </c>
      <c r="BB584">
        <v>100</v>
      </c>
      <c r="BC584">
        <v>100</v>
      </c>
      <c r="BD584">
        <v>100</v>
      </c>
      <c r="BE584">
        <v>1</v>
      </c>
      <c r="BF584">
        <v>15000</v>
      </c>
      <c r="BG584">
        <v>1000</v>
      </c>
      <c r="BH584" s="6">
        <f>Grandview_Inventory[[#This Row],[land_extract]]*Lookups!$B$3</f>
        <v>48369.510983942157</v>
      </c>
      <c r="BI584" s="6">
        <f>IF(Grandview_Inventory[[#This Row],[bldg_style]]="",0,Lookups!$B$2)</f>
        <v>155833.95000000001</v>
      </c>
      <c r="BJ584" s="6">
        <f>_xlfn.IFNA(VLOOKUP(Grandview_Inventory[[#This Row],[quality]],Lookups!$H$2:$J$14,3,FALSE),0)</f>
        <v>2251</v>
      </c>
      <c r="BK584" s="6">
        <f>_xlfn.IFNA(VLOOKUP(Grandview_Inventory[[#This Row],[condition]],Lookups!$H$17:$J$24,3,FALSE),0)</f>
        <v>-4503</v>
      </c>
      <c r="BL584" s="6">
        <f>Grandview_Inventory[[#This Row],[Eff_Age]]*Lookups!$B$14</f>
        <v>-9088.3307999999997</v>
      </c>
      <c r="BM584" s="6">
        <f>Grandview_Inventory[[#This Row],[living_area]]*Lookups!$B$15</f>
        <v>121393.13993800001</v>
      </c>
      <c r="BN584" s="6">
        <f>Grandview_Inventory[[#This Row],[Fin BSMT]]*Lookups!$B$16</f>
        <v>0</v>
      </c>
      <c r="BO584" s="6">
        <f>(Grandview_Inventory[[#This Row],[att_gar]]+Grandview_Inventory[[#This Row],[bltin_gar]])*Lookups!$B$17</f>
        <v>0</v>
      </c>
      <c r="BP584" s="6">
        <f>Grandview_Inventory[[#This Row],[Plumbing Fixtures]]*Lookups!$B$18</f>
        <v>16083.5344</v>
      </c>
      <c r="BQ584" s="6">
        <f>Grandview_Inventory[[#This Row],[detatched_value]]*Lookups!$B$19</f>
        <v>0</v>
      </c>
      <c r="BR584" s="6">
        <f>SUM(Grandview_Inventory[[#This Row],[Intercept]:[det_value]])*Grandview_Inventory[[#This Row],[res_pct]]</f>
        <v>281970.29353800003</v>
      </c>
      <c r="BS584" s="6">
        <f>Grandview_Inventory[[#This Row],[land_value]]</f>
        <v>48369.510983942157</v>
      </c>
      <c r="BT584" s="4">
        <f>_xlfn.IFNA(VLOOKUP(Grandview_Inventory[[#This Row],[quality]],Lookups!$A$26:$C$33,3,FALSE),1)</f>
        <v>0.98763855981004833</v>
      </c>
      <c r="BU584" s="4">
        <f>_xlfn.IFNA(VLOOKUP(Grandview_Inventory[[#This Row],[condition]],Lookups!$A$37:$C$44,3,FALSE),1)</f>
        <v>0.96469275950863709</v>
      </c>
      <c r="BV584" s="4">
        <f>IF(Grandview_Inventory[[#This Row],[bldg_style]]="",1,_xlfn.IFNA(VLOOKUP(Grandview_Inventory[[#This Row],[decade]],Lookups!$F$29:$H$43,3,FALSE),1))</f>
        <v>0.98031878267063854</v>
      </c>
      <c r="BW584" s="4">
        <f>_xlfn.IFNA(VLOOKUP(Grandview_Inventory[[#This Row],[living_area_range]],Lookups!$F$47:$H$56,3,FALSE),1)</f>
        <v>0.96120133463014379</v>
      </c>
      <c r="BX584" s="4">
        <f>AVERAGE(Grandview_Inventory[[#This Row],[qual_adj]:[size_adj]])</f>
        <v>0.97346285915486686</v>
      </c>
      <c r="BY584" s="6">
        <f>IF(Grandview_Inventory[[#This Row],[pre_res]]&lt;0,0,Grandview_Inventory[[#This Row],[pre_res]]*Grandview_Inventory[[#This Row],[overall_adj]])</f>
        <v>274487.60814423859</v>
      </c>
      <c r="BZ584" s="6">
        <f>(Grandview_Inventory[[#This Row],[sum_land]]-IF(Grandview_Inventory[[#This Row],[no_utilities]]=1,12000,0))/IF(Grandview_Inventory[[#This Row],[unbuildable]]=1,2,1)</f>
        <v>48369.510983942157</v>
      </c>
      <c r="CA58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4">
        <f>ROUND(Grandview_Inventory[[#This Row],[det_value]]*Lookups!$M$28,-2)</f>
        <v>0</v>
      </c>
      <c r="CC584">
        <f>IF(ROUND(Grandview_Inventory[[#This Row],[adj_res]]*Lookups!$M$28,-2)&lt;Grandview_Inventory[[#This Row],[min_res]],Grandview_Inventory[[#This Row],[min_res]],ROUND(Grandview_Inventory[[#This Row],[adj_res]]*Lookups!$M$28,-2))</f>
        <v>260800</v>
      </c>
      <c r="CD584">
        <f>Grandview_Inventory[[#This Row],[final_det]]+Grandview_Inventory[[#This Row],[final_res]]</f>
        <v>260800</v>
      </c>
      <c r="CE584">
        <f>Grandview_Inventory[[#This Row],[final_land]]+Grandview_Inventory[[#This Row],[final_imp]]+Grandview_Inventory[[#This Row],[crop_value]]</f>
        <v>306800</v>
      </c>
      <c r="CG584" t="str">
        <f t="shared" si="9"/>
        <v>update valuation set market_land =46000, market_bldg=260800, market_total =306800, market_mdno =401, market_date ='9/10/2023' where link_id = (select link_id from parcel where parcel_year = '2024' and parcel_id = '23092224421');</v>
      </c>
    </row>
    <row r="585" spans="1:85" x14ac:dyDescent="0.25">
      <c r="A585">
        <v>23092224422</v>
      </c>
      <c r="B585">
        <v>0.19</v>
      </c>
      <c r="C585">
        <v>8454</v>
      </c>
      <c r="D585" t="s">
        <v>129</v>
      </c>
      <c r="E585" t="s">
        <v>53</v>
      </c>
      <c r="F585" t="s">
        <v>53</v>
      </c>
      <c r="G585">
        <v>4</v>
      </c>
      <c r="H585" t="s">
        <v>54</v>
      </c>
      <c r="I585">
        <v>225600</v>
      </c>
      <c r="J585">
        <v>43500</v>
      </c>
      <c r="K585">
        <v>0.19</v>
      </c>
      <c r="L58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5">
        <v>0</v>
      </c>
      <c r="N585">
        <v>0</v>
      </c>
      <c r="O585">
        <v>0</v>
      </c>
      <c r="P585">
        <v>13398.7528</v>
      </c>
      <c r="Q585">
        <v>63903</v>
      </c>
      <c r="R585">
        <f>(Grandview_Inventory[[#This Row],[ln_acres]]*Grandview_Inventory[[#This Row],[coeff]])+Grandview_Inventory[[#This Row],[const]]</f>
        <v>41651.273092551026</v>
      </c>
      <c r="S585" t="s">
        <v>61</v>
      </c>
      <c r="T585">
        <v>1</v>
      </c>
      <c r="U585" t="s">
        <v>64</v>
      </c>
      <c r="V585" t="s">
        <v>69</v>
      </c>
      <c r="W585">
        <v>0</v>
      </c>
      <c r="X585">
        <v>0</v>
      </c>
      <c r="Y585">
        <v>22</v>
      </c>
      <c r="Z585">
        <v>22</v>
      </c>
      <c r="AA585">
        <v>30</v>
      </c>
      <c r="AB585">
        <v>2000</v>
      </c>
      <c r="AC585">
        <v>1742</v>
      </c>
      <c r="AD585">
        <v>1742</v>
      </c>
      <c r="AE585">
        <v>0</v>
      </c>
      <c r="AF585">
        <v>0</v>
      </c>
      <c r="AG585">
        <v>0</v>
      </c>
      <c r="AH585">
        <v>0</v>
      </c>
      <c r="AI585">
        <v>565</v>
      </c>
      <c r="AJ585">
        <v>0</v>
      </c>
      <c r="AK585">
        <v>0</v>
      </c>
      <c r="AL585">
        <v>0</v>
      </c>
      <c r="AM585">
        <v>238</v>
      </c>
      <c r="AN585">
        <v>75</v>
      </c>
      <c r="AO585">
        <v>238</v>
      </c>
      <c r="AP585">
        <v>9</v>
      </c>
      <c r="AQ585">
        <v>0</v>
      </c>
      <c r="AR585">
        <v>0</v>
      </c>
      <c r="AS585" t="s">
        <v>58</v>
      </c>
      <c r="AT585">
        <v>1</v>
      </c>
      <c r="AU585" t="s">
        <v>59</v>
      </c>
      <c r="AV585" t="s">
        <v>60</v>
      </c>
      <c r="AW585">
        <v>1</v>
      </c>
      <c r="AX585">
        <v>3</v>
      </c>
      <c r="AY585">
        <v>0</v>
      </c>
      <c r="AZ585">
        <v>0</v>
      </c>
      <c r="BA585">
        <v>100</v>
      </c>
      <c r="BB585">
        <v>100</v>
      </c>
      <c r="BC585">
        <v>100</v>
      </c>
      <c r="BD585">
        <v>100</v>
      </c>
      <c r="BE585">
        <v>1</v>
      </c>
      <c r="BF585">
        <v>15000</v>
      </c>
      <c r="BG585">
        <v>1000</v>
      </c>
      <c r="BH585" s="6">
        <f>Grandview_Inventory[[#This Row],[land_extract]]*Lookups!$B$3</f>
        <v>48369.510983942157</v>
      </c>
      <c r="BI585" s="6">
        <f>IF(Grandview_Inventory[[#This Row],[bldg_style]]="",0,Lookups!$B$2)</f>
        <v>155833.95000000001</v>
      </c>
      <c r="BJ585" s="6">
        <f>_xlfn.IFNA(VLOOKUP(Grandview_Inventory[[#This Row],[quality]],Lookups!$H$2:$J$14,3,FALSE),0)</f>
        <v>20768</v>
      </c>
      <c r="BK585" s="6">
        <f>_xlfn.IFNA(VLOOKUP(Grandview_Inventory[[#This Row],[condition]],Lookups!$H$17:$J$24,3,FALSE),0)</f>
        <v>-4503</v>
      </c>
      <c r="BL585" s="6">
        <f>Grandview_Inventory[[#This Row],[Eff_Age]]*Lookups!$B$14</f>
        <v>-5261.6651999999995</v>
      </c>
      <c r="BM585" s="6">
        <f>Grandview_Inventory[[#This Row],[living_area]]*Lookups!$B$15</f>
        <v>108667.445926</v>
      </c>
      <c r="BN585" s="6">
        <f>Grandview_Inventory[[#This Row],[Fin BSMT]]*Lookups!$B$16</f>
        <v>0</v>
      </c>
      <c r="BO585" s="6">
        <f>(Grandview_Inventory[[#This Row],[att_gar]]+Grandview_Inventory[[#This Row],[bltin_gar]])*Lookups!$B$17</f>
        <v>49449.046905000003</v>
      </c>
      <c r="BP585" s="6">
        <f>Grandview_Inventory[[#This Row],[Plumbing Fixtures]]*Lookups!$B$18</f>
        <v>18093.976200000001</v>
      </c>
      <c r="BQ585" s="6">
        <f>Grandview_Inventory[[#This Row],[detatched_value]]*Lookups!$B$19</f>
        <v>0</v>
      </c>
      <c r="BR585" s="6">
        <f>SUM(Grandview_Inventory[[#This Row],[Intercept]:[det_value]])*Grandview_Inventory[[#This Row],[res_pct]]</f>
        <v>343047.75383100001</v>
      </c>
      <c r="BS585" s="6">
        <f>Grandview_Inventory[[#This Row],[land_value]]</f>
        <v>48369.510983942157</v>
      </c>
      <c r="BT585" s="4">
        <f>_xlfn.IFNA(VLOOKUP(Grandview_Inventory[[#This Row],[quality]],Lookups!$A$26:$C$33,3,FALSE),1)</f>
        <v>0.94960540378902636</v>
      </c>
      <c r="BU585" s="4">
        <f>_xlfn.IFNA(VLOOKUP(Grandview_Inventory[[#This Row],[condition]],Lookups!$A$37:$C$44,3,FALSE),1)</f>
        <v>0.96469275950863709</v>
      </c>
      <c r="BV585" s="4">
        <f>IF(Grandview_Inventory[[#This Row],[bldg_style]]="",1,_xlfn.IFNA(VLOOKUP(Grandview_Inventory[[#This Row],[decade]],Lookups!$F$29:$H$43,3,FALSE),1))</f>
        <v>0.98397821291089549</v>
      </c>
      <c r="BW585" s="4">
        <f>_xlfn.IFNA(VLOOKUP(Grandview_Inventory[[#This Row],[living_area_range]],Lookups!$F$47:$H$56,3,FALSE),1)</f>
        <v>0.96120133463014379</v>
      </c>
      <c r="BX585" s="4">
        <f>AVERAGE(Grandview_Inventory[[#This Row],[qual_adj]:[size_adj]])</f>
        <v>0.96486942770967565</v>
      </c>
      <c r="BY585" s="6">
        <f>IF(Grandview_Inventory[[#This Row],[pre_res]]&lt;0,0,Grandview_Inventory[[#This Row],[pre_res]]*Grandview_Inventory[[#This Row],[overall_adj]])</f>
        <v>330996.28991600667</v>
      </c>
      <c r="BZ585" s="6">
        <f>(Grandview_Inventory[[#This Row],[sum_land]]-IF(Grandview_Inventory[[#This Row],[no_utilities]]=1,12000,0))/IF(Grandview_Inventory[[#This Row],[unbuildable]]=1,2,1)</f>
        <v>48369.510983942157</v>
      </c>
      <c r="CA58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5">
        <f>ROUND(Grandview_Inventory[[#This Row],[det_value]]*Lookups!$M$28,-2)</f>
        <v>0</v>
      </c>
      <c r="CC585">
        <f>IF(ROUND(Grandview_Inventory[[#This Row],[adj_res]]*Lookups!$M$28,-2)&lt;Grandview_Inventory[[#This Row],[min_res]],Grandview_Inventory[[#This Row],[min_res]],ROUND(Grandview_Inventory[[#This Row],[adj_res]]*Lookups!$M$28,-2))</f>
        <v>314400</v>
      </c>
      <c r="CD585">
        <f>Grandview_Inventory[[#This Row],[final_det]]+Grandview_Inventory[[#This Row],[final_res]]</f>
        <v>314400</v>
      </c>
      <c r="CE585">
        <f>Grandview_Inventory[[#This Row],[final_land]]+Grandview_Inventory[[#This Row],[final_imp]]+Grandview_Inventory[[#This Row],[crop_value]]</f>
        <v>360400</v>
      </c>
      <c r="CG585" t="str">
        <f t="shared" si="9"/>
        <v>update valuation set market_land =46000, market_bldg=314400, market_total =360400, market_mdno =401, market_date ='9/10/2023' where link_id = (select link_id from parcel where parcel_year = '2024' and parcel_id = '23092224422');</v>
      </c>
    </row>
    <row r="586" spans="1:85" x14ac:dyDescent="0.25">
      <c r="A586">
        <v>23092224423</v>
      </c>
      <c r="B586">
        <v>0.19</v>
      </c>
      <c r="C586">
        <v>8348</v>
      </c>
      <c r="D586" t="s">
        <v>129</v>
      </c>
      <c r="E586" t="s">
        <v>53</v>
      </c>
      <c r="F586" t="s">
        <v>53</v>
      </c>
      <c r="G586">
        <v>4</v>
      </c>
      <c r="H586" t="s">
        <v>54</v>
      </c>
      <c r="I586">
        <v>246600</v>
      </c>
      <c r="J586">
        <v>43500</v>
      </c>
      <c r="K586">
        <v>0.19</v>
      </c>
      <c r="L58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6">
        <v>0</v>
      </c>
      <c r="N586">
        <v>0</v>
      </c>
      <c r="O586">
        <v>0</v>
      </c>
      <c r="P586">
        <v>13398.7528</v>
      </c>
      <c r="Q586">
        <v>63903</v>
      </c>
      <c r="R586">
        <f>(Grandview_Inventory[[#This Row],[ln_acres]]*Grandview_Inventory[[#This Row],[coeff]])+Grandview_Inventory[[#This Row],[const]]</f>
        <v>41651.273092551026</v>
      </c>
      <c r="S586" t="s">
        <v>61</v>
      </c>
      <c r="T586">
        <v>1</v>
      </c>
      <c r="U586" t="s">
        <v>62</v>
      </c>
      <c r="V586" t="s">
        <v>67</v>
      </c>
      <c r="W586">
        <v>0</v>
      </c>
      <c r="X586">
        <v>0</v>
      </c>
      <c r="Y586">
        <v>29</v>
      </c>
      <c r="Z586">
        <v>29</v>
      </c>
      <c r="AA586">
        <v>30</v>
      </c>
      <c r="AB586">
        <v>2000</v>
      </c>
      <c r="AC586">
        <v>1792</v>
      </c>
      <c r="AD586">
        <v>1792</v>
      </c>
      <c r="AE586">
        <v>0</v>
      </c>
      <c r="AF586">
        <v>0</v>
      </c>
      <c r="AG586">
        <v>0</v>
      </c>
      <c r="AH586">
        <v>0</v>
      </c>
      <c r="AI586">
        <v>440</v>
      </c>
      <c r="AJ586">
        <v>0</v>
      </c>
      <c r="AK586">
        <v>0</v>
      </c>
      <c r="AL586">
        <v>0</v>
      </c>
      <c r="AM586">
        <v>384</v>
      </c>
      <c r="AN586">
        <v>0</v>
      </c>
      <c r="AO586">
        <v>384</v>
      </c>
      <c r="AP586">
        <v>8</v>
      </c>
      <c r="AQ586">
        <v>0</v>
      </c>
      <c r="AR586">
        <v>0</v>
      </c>
      <c r="AS586" t="s">
        <v>58</v>
      </c>
      <c r="AT586">
        <v>1</v>
      </c>
      <c r="AU586" t="s">
        <v>59</v>
      </c>
      <c r="AV586" t="s">
        <v>60</v>
      </c>
      <c r="AW586">
        <v>1</v>
      </c>
      <c r="AX586">
        <v>4</v>
      </c>
      <c r="AY586">
        <v>0</v>
      </c>
      <c r="AZ586">
        <v>0</v>
      </c>
      <c r="BA586">
        <v>100</v>
      </c>
      <c r="BB586">
        <v>100</v>
      </c>
      <c r="BC586">
        <v>100</v>
      </c>
      <c r="BD586">
        <v>100</v>
      </c>
      <c r="BE586">
        <v>1</v>
      </c>
      <c r="BF586">
        <v>15000</v>
      </c>
      <c r="BG586">
        <v>1000</v>
      </c>
      <c r="BH586" s="6">
        <f>Grandview_Inventory[[#This Row],[land_extract]]*Lookups!$B$3</f>
        <v>48369.510983942157</v>
      </c>
      <c r="BI586" s="6">
        <f>IF(Grandview_Inventory[[#This Row],[bldg_style]]="",0,Lookups!$B$2)</f>
        <v>155833.95000000001</v>
      </c>
      <c r="BJ586" s="6">
        <f>_xlfn.IFNA(VLOOKUP(Grandview_Inventory[[#This Row],[quality]],Lookups!$H$2:$J$14,3,FALSE),0)</f>
        <v>9808</v>
      </c>
      <c r="BK586" s="6">
        <f>_xlfn.IFNA(VLOOKUP(Grandview_Inventory[[#This Row],[condition]],Lookups!$H$17:$J$24,3,FALSE),0)</f>
        <v>22342</v>
      </c>
      <c r="BL586" s="6">
        <f>Grandview_Inventory[[#This Row],[Eff_Age]]*Lookups!$B$14</f>
        <v>-6935.8314</v>
      </c>
      <c r="BM586" s="6">
        <f>Grandview_Inventory[[#This Row],[living_area]]*Lookups!$B$15</f>
        <v>111786.488576</v>
      </c>
      <c r="BN586" s="6">
        <f>Grandview_Inventory[[#This Row],[Fin BSMT]]*Lookups!$B$16</f>
        <v>0</v>
      </c>
      <c r="BO586" s="6">
        <f>(Grandview_Inventory[[#This Row],[att_gar]]+Grandview_Inventory[[#This Row],[bltin_gar]])*Lookups!$B$17</f>
        <v>38508.992279999999</v>
      </c>
      <c r="BP586" s="6">
        <f>Grandview_Inventory[[#This Row],[Plumbing Fixtures]]*Lookups!$B$18</f>
        <v>16083.5344</v>
      </c>
      <c r="BQ586" s="6">
        <f>Grandview_Inventory[[#This Row],[detatched_value]]*Lookups!$B$19</f>
        <v>0</v>
      </c>
      <c r="BR586" s="6">
        <f>SUM(Grandview_Inventory[[#This Row],[Intercept]:[det_value]])*Grandview_Inventory[[#This Row],[res_pct]]</f>
        <v>347427.13385600003</v>
      </c>
      <c r="BS586" s="6">
        <f>Grandview_Inventory[[#This Row],[land_value]]</f>
        <v>48369.510983942157</v>
      </c>
      <c r="BT586" s="4">
        <f>_xlfn.IFNA(VLOOKUP(Grandview_Inventory[[#This Row],[quality]],Lookups!$A$26:$C$33,3,FALSE),1)</f>
        <v>0.94295468617355149</v>
      </c>
      <c r="BU586" s="4">
        <f>_xlfn.IFNA(VLOOKUP(Grandview_Inventory[[#This Row],[condition]],Lookups!$A$37:$C$44,3,FALSE),1)</f>
        <v>0.97383723671140243</v>
      </c>
      <c r="BV586" s="4">
        <f>IF(Grandview_Inventory[[#This Row],[bldg_style]]="",1,_xlfn.IFNA(VLOOKUP(Grandview_Inventory[[#This Row],[decade]],Lookups!$F$29:$H$43,3,FALSE),1))</f>
        <v>0.98397821291089549</v>
      </c>
      <c r="BW586" s="4">
        <f>_xlfn.IFNA(VLOOKUP(Grandview_Inventory[[#This Row],[living_area_range]],Lookups!$F$47:$H$56,3,FALSE),1)</f>
        <v>0.96120133463014379</v>
      </c>
      <c r="BX586" s="4">
        <f>AVERAGE(Grandview_Inventory[[#This Row],[qual_adj]:[size_adj]])</f>
        <v>0.96549286760649822</v>
      </c>
      <c r="BY586" s="6">
        <f>IF(Grandview_Inventory[[#This Row],[pre_res]]&lt;0,0,Grandview_Inventory[[#This Row],[pre_res]]*Grandview_Inventory[[#This Row],[overall_adj]])</f>
        <v>335438.41975093615</v>
      </c>
      <c r="BZ586" s="6">
        <f>(Grandview_Inventory[[#This Row],[sum_land]]-IF(Grandview_Inventory[[#This Row],[no_utilities]]=1,12000,0))/IF(Grandview_Inventory[[#This Row],[unbuildable]]=1,2,1)</f>
        <v>48369.510983942157</v>
      </c>
      <c r="CA58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6">
        <f>ROUND(Grandview_Inventory[[#This Row],[det_value]]*Lookups!$M$28,-2)</f>
        <v>0</v>
      </c>
      <c r="CC586">
        <f>IF(ROUND(Grandview_Inventory[[#This Row],[adj_res]]*Lookups!$M$28,-2)&lt;Grandview_Inventory[[#This Row],[min_res]],Grandview_Inventory[[#This Row],[min_res]],ROUND(Grandview_Inventory[[#This Row],[adj_res]]*Lookups!$M$28,-2))</f>
        <v>318700</v>
      </c>
      <c r="CD586">
        <f>Grandview_Inventory[[#This Row],[final_det]]+Grandview_Inventory[[#This Row],[final_res]]</f>
        <v>318700</v>
      </c>
      <c r="CE586">
        <f>Grandview_Inventory[[#This Row],[final_land]]+Grandview_Inventory[[#This Row],[final_imp]]+Grandview_Inventory[[#This Row],[crop_value]]</f>
        <v>364700</v>
      </c>
      <c r="CG586" t="str">
        <f t="shared" si="9"/>
        <v>update valuation set market_land =46000, market_bldg=318700, market_total =364700, market_mdno =401, market_date ='9/10/2023' where link_id = (select link_id from parcel where parcel_year = '2024' and parcel_id = '23092224423');</v>
      </c>
    </row>
    <row r="587" spans="1:85" x14ac:dyDescent="0.25">
      <c r="A587">
        <v>23092224424</v>
      </c>
      <c r="B587">
        <v>0.2</v>
      </c>
      <c r="C587">
        <v>8754</v>
      </c>
      <c r="D587" t="s">
        <v>129</v>
      </c>
      <c r="E587" t="s">
        <v>53</v>
      </c>
      <c r="F587" t="s">
        <v>53</v>
      </c>
      <c r="G587">
        <v>4</v>
      </c>
      <c r="H587" t="s">
        <v>54</v>
      </c>
      <c r="I587">
        <v>238400</v>
      </c>
      <c r="J587">
        <v>43700</v>
      </c>
      <c r="K587">
        <v>0.2</v>
      </c>
      <c r="L58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87">
        <v>0</v>
      </c>
      <c r="N587">
        <v>0</v>
      </c>
      <c r="O587">
        <v>0</v>
      </c>
      <c r="P587">
        <v>13398.7528</v>
      </c>
      <c r="Q587">
        <v>63903</v>
      </c>
      <c r="R587">
        <f>(Grandview_Inventory[[#This Row],[ln_acres]]*Grandview_Inventory[[#This Row],[coeff]])+Grandview_Inventory[[#This Row],[const]]</f>
        <v>42338.539264347448</v>
      </c>
      <c r="S587" t="s">
        <v>58</v>
      </c>
      <c r="T587">
        <v>2</v>
      </c>
      <c r="U587" t="s">
        <v>62</v>
      </c>
      <c r="V587" t="s">
        <v>69</v>
      </c>
      <c r="W587">
        <v>0</v>
      </c>
      <c r="X587">
        <v>0</v>
      </c>
      <c r="Y587">
        <v>28</v>
      </c>
      <c r="Z587">
        <v>28</v>
      </c>
      <c r="AA587">
        <v>30</v>
      </c>
      <c r="AB587">
        <v>2500</v>
      </c>
      <c r="AC587">
        <v>2262</v>
      </c>
      <c r="AD587">
        <v>1320</v>
      </c>
      <c r="AE587">
        <v>942</v>
      </c>
      <c r="AF587">
        <v>0</v>
      </c>
      <c r="AG587">
        <v>0</v>
      </c>
      <c r="AH587">
        <v>0</v>
      </c>
      <c r="AI587">
        <v>0</v>
      </c>
      <c r="AJ587">
        <v>436</v>
      </c>
      <c r="AK587">
        <v>0</v>
      </c>
      <c r="AL587">
        <v>0</v>
      </c>
      <c r="AM587">
        <v>168</v>
      </c>
      <c r="AN587">
        <v>0</v>
      </c>
      <c r="AO587">
        <v>0</v>
      </c>
      <c r="AP587">
        <v>12</v>
      </c>
      <c r="AQ587">
        <v>0</v>
      </c>
      <c r="AR587">
        <v>0</v>
      </c>
      <c r="AS587" t="s">
        <v>58</v>
      </c>
      <c r="AT587">
        <v>1</v>
      </c>
      <c r="AU587" t="s">
        <v>59</v>
      </c>
      <c r="AV587" t="s">
        <v>60</v>
      </c>
      <c r="AW587">
        <v>1</v>
      </c>
      <c r="AX587">
        <v>4</v>
      </c>
      <c r="AY587">
        <v>0</v>
      </c>
      <c r="AZ587">
        <v>0</v>
      </c>
      <c r="BA587">
        <v>100</v>
      </c>
      <c r="BB587">
        <v>100</v>
      </c>
      <c r="BC587">
        <v>100</v>
      </c>
      <c r="BD587">
        <v>100</v>
      </c>
      <c r="BE587">
        <v>1</v>
      </c>
      <c r="BF587">
        <v>15000</v>
      </c>
      <c r="BG587">
        <v>1000</v>
      </c>
      <c r="BH587" s="6">
        <f>Grandview_Inventory[[#This Row],[land_extract]]*Lookups!$B$3</f>
        <v>49167.631333630678</v>
      </c>
      <c r="BI587" s="6">
        <f>IF(Grandview_Inventory[[#This Row],[bldg_style]]="",0,Lookups!$B$2)</f>
        <v>155833.95000000001</v>
      </c>
      <c r="BJ587" s="6">
        <f>_xlfn.IFNA(VLOOKUP(Grandview_Inventory[[#This Row],[quality]],Lookups!$H$2:$J$14,3,FALSE),0)</f>
        <v>9808</v>
      </c>
      <c r="BK587" s="6">
        <f>_xlfn.IFNA(VLOOKUP(Grandview_Inventory[[#This Row],[condition]],Lookups!$H$17:$J$24,3,FALSE),0)</f>
        <v>-4503</v>
      </c>
      <c r="BL587" s="6">
        <f>Grandview_Inventory[[#This Row],[Eff_Age]]*Lookups!$B$14</f>
        <v>-6696.6647999999996</v>
      </c>
      <c r="BM587" s="6">
        <f>Grandview_Inventory[[#This Row],[living_area]]*Lookups!$B$15</f>
        <v>141105.48948600001</v>
      </c>
      <c r="BN587" s="6">
        <f>Grandview_Inventory[[#This Row],[Fin BSMT]]*Lookups!$B$16</f>
        <v>0</v>
      </c>
      <c r="BO587" s="6">
        <f>(Grandview_Inventory[[#This Row],[att_gar]]+Grandview_Inventory[[#This Row],[bltin_gar]])*Lookups!$B$17</f>
        <v>38158.910532000002</v>
      </c>
      <c r="BP587" s="6">
        <f>Grandview_Inventory[[#This Row],[Plumbing Fixtures]]*Lookups!$B$18</f>
        <v>24125.301599999999</v>
      </c>
      <c r="BQ587" s="6">
        <f>Grandview_Inventory[[#This Row],[detatched_value]]*Lookups!$B$19</f>
        <v>0</v>
      </c>
      <c r="BR587" s="6">
        <f>SUM(Grandview_Inventory[[#This Row],[Intercept]:[det_value]])*Grandview_Inventory[[#This Row],[res_pct]]</f>
        <v>357831.98681800003</v>
      </c>
      <c r="BS587" s="6">
        <f>Grandview_Inventory[[#This Row],[land_value]]</f>
        <v>49167.631333630678</v>
      </c>
      <c r="BT587" s="4">
        <f>_xlfn.IFNA(VLOOKUP(Grandview_Inventory[[#This Row],[quality]],Lookups!$A$26:$C$33,3,FALSE),1)</f>
        <v>0.94295468617355149</v>
      </c>
      <c r="BU587" s="4">
        <f>_xlfn.IFNA(VLOOKUP(Grandview_Inventory[[#This Row],[condition]],Lookups!$A$37:$C$44,3,FALSE),1)</f>
        <v>0.96469275950863709</v>
      </c>
      <c r="BV587" s="4">
        <f>IF(Grandview_Inventory[[#This Row],[bldg_style]]="",1,_xlfn.IFNA(VLOOKUP(Grandview_Inventory[[#This Row],[decade]],Lookups!$F$29:$H$43,3,FALSE),1))</f>
        <v>0.98397821291089549</v>
      </c>
      <c r="BW587" s="4">
        <f>_xlfn.IFNA(VLOOKUP(Grandview_Inventory[[#This Row],[living_area_range]],Lookups!$F$47:$H$56,3,FALSE),1)</f>
        <v>0.95799442568048754</v>
      </c>
      <c r="BX587" s="4">
        <f>AVERAGE(Grandview_Inventory[[#This Row],[qual_adj]:[size_adj]])</f>
        <v>0.96240502106839287</v>
      </c>
      <c r="BY587" s="6">
        <f>IF(Grandview_Inventory[[#This Row],[pre_res]]&lt;0,0,Grandview_Inventory[[#This Row],[pre_res]]*Grandview_Inventory[[#This Row],[overall_adj]])</f>
        <v>344379.30081252218</v>
      </c>
      <c r="BZ587" s="6">
        <f>(Grandview_Inventory[[#This Row],[sum_land]]-IF(Grandview_Inventory[[#This Row],[no_utilities]]=1,12000,0))/IF(Grandview_Inventory[[#This Row],[unbuildable]]=1,2,1)</f>
        <v>49167.631333630678</v>
      </c>
      <c r="CA58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87">
        <f>ROUND(Grandview_Inventory[[#This Row],[det_value]]*Lookups!$M$28,-2)</f>
        <v>0</v>
      </c>
      <c r="CC587">
        <f>IF(ROUND(Grandview_Inventory[[#This Row],[adj_res]]*Lookups!$M$28,-2)&lt;Grandview_Inventory[[#This Row],[min_res]],Grandview_Inventory[[#This Row],[min_res]],ROUND(Grandview_Inventory[[#This Row],[adj_res]]*Lookups!$M$28,-2))</f>
        <v>327200</v>
      </c>
      <c r="CD587">
        <f>Grandview_Inventory[[#This Row],[final_det]]+Grandview_Inventory[[#This Row],[final_res]]</f>
        <v>327200</v>
      </c>
      <c r="CE587">
        <f>Grandview_Inventory[[#This Row],[final_land]]+Grandview_Inventory[[#This Row],[final_imp]]+Grandview_Inventory[[#This Row],[crop_value]]</f>
        <v>373900</v>
      </c>
      <c r="CG587" t="str">
        <f t="shared" si="9"/>
        <v>update valuation set market_land =46700, market_bldg=327200, market_total =373900, market_mdno =401, market_date ='9/10/2023' where link_id = (select link_id from parcel where parcel_year = '2024' and parcel_id = '23092224424');</v>
      </c>
    </row>
    <row r="588" spans="1:85" x14ac:dyDescent="0.25">
      <c r="A588">
        <v>23092224425</v>
      </c>
      <c r="B588">
        <v>0.21</v>
      </c>
      <c r="C588">
        <v>8950</v>
      </c>
      <c r="D588" t="s">
        <v>129</v>
      </c>
      <c r="E588" t="s">
        <v>53</v>
      </c>
      <c r="F588" t="s">
        <v>53</v>
      </c>
      <c r="G588">
        <v>4</v>
      </c>
      <c r="H588" t="s">
        <v>54</v>
      </c>
      <c r="I588">
        <v>308800</v>
      </c>
      <c r="J588">
        <v>43700</v>
      </c>
      <c r="K588">
        <v>0.21</v>
      </c>
      <c r="L58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88">
        <v>0</v>
      </c>
      <c r="N588">
        <v>0</v>
      </c>
      <c r="O588">
        <v>0</v>
      </c>
      <c r="P588">
        <v>13398.7528</v>
      </c>
      <c r="Q588">
        <v>63903</v>
      </c>
      <c r="R588">
        <f>(Grandview_Inventory[[#This Row],[ln_acres]]*Grandview_Inventory[[#This Row],[coeff]])+Grandview_Inventory[[#This Row],[const]]</f>
        <v>42992.266613125081</v>
      </c>
      <c r="S588" t="s">
        <v>58</v>
      </c>
      <c r="T588">
        <v>2</v>
      </c>
      <c r="U588" t="s">
        <v>62</v>
      </c>
      <c r="V588" t="s">
        <v>67</v>
      </c>
      <c r="W588">
        <v>0</v>
      </c>
      <c r="X588">
        <v>0</v>
      </c>
      <c r="Y588">
        <v>43</v>
      </c>
      <c r="Z588">
        <v>43</v>
      </c>
      <c r="AA588">
        <v>50</v>
      </c>
      <c r="AB588">
        <v>3000</v>
      </c>
      <c r="AC588">
        <v>2564</v>
      </c>
      <c r="AD588">
        <v>1268</v>
      </c>
      <c r="AE588">
        <v>1296</v>
      </c>
      <c r="AF588">
        <v>0</v>
      </c>
      <c r="AG588">
        <v>0</v>
      </c>
      <c r="AH588">
        <v>0</v>
      </c>
      <c r="AI588">
        <v>0</v>
      </c>
      <c r="AJ588">
        <v>528</v>
      </c>
      <c r="AK588">
        <v>0</v>
      </c>
      <c r="AL588">
        <v>0</v>
      </c>
      <c r="AM588">
        <v>0</v>
      </c>
      <c r="AN588">
        <v>256</v>
      </c>
      <c r="AO588">
        <v>0</v>
      </c>
      <c r="AP588">
        <v>10</v>
      </c>
      <c r="AQ588">
        <v>0</v>
      </c>
      <c r="AR588">
        <v>1</v>
      </c>
      <c r="AS588" t="s">
        <v>58</v>
      </c>
      <c r="AT588">
        <v>1</v>
      </c>
      <c r="AU588" t="s">
        <v>63</v>
      </c>
      <c r="AV588" t="s">
        <v>60</v>
      </c>
      <c r="AW588">
        <v>1</v>
      </c>
      <c r="AX588">
        <v>4</v>
      </c>
      <c r="AY588">
        <v>0</v>
      </c>
      <c r="AZ588">
        <v>0</v>
      </c>
      <c r="BA588">
        <v>100</v>
      </c>
      <c r="BB588">
        <v>100</v>
      </c>
      <c r="BC588">
        <v>100</v>
      </c>
      <c r="BD588">
        <v>100</v>
      </c>
      <c r="BE588">
        <v>1</v>
      </c>
      <c r="BF588">
        <v>15000</v>
      </c>
      <c r="BG588">
        <v>1000</v>
      </c>
      <c r="BH588" s="6">
        <f>Grandview_Inventory[[#This Row],[land_extract]]*Lookups!$B$3</f>
        <v>49926.8031387023</v>
      </c>
      <c r="BI588" s="6">
        <f>IF(Grandview_Inventory[[#This Row],[bldg_style]]="",0,Lookups!$B$2)</f>
        <v>155833.95000000001</v>
      </c>
      <c r="BJ588" s="6">
        <f>_xlfn.IFNA(VLOOKUP(Grandview_Inventory[[#This Row],[quality]],Lookups!$H$2:$J$14,3,FALSE),0)</f>
        <v>9808</v>
      </c>
      <c r="BK588" s="6">
        <f>_xlfn.IFNA(VLOOKUP(Grandview_Inventory[[#This Row],[condition]],Lookups!$H$17:$J$24,3,FALSE),0)</f>
        <v>22342</v>
      </c>
      <c r="BL588" s="6">
        <f>Grandview_Inventory[[#This Row],[Eff_Age]]*Lookups!$B$14</f>
        <v>-10284.1638</v>
      </c>
      <c r="BM588" s="6">
        <f>Grandview_Inventory[[#This Row],[living_area]]*Lookups!$B$15</f>
        <v>159944.50709200001</v>
      </c>
      <c r="BN588" s="6">
        <f>Grandview_Inventory[[#This Row],[Fin BSMT]]*Lookups!$B$16</f>
        <v>0</v>
      </c>
      <c r="BO588" s="6">
        <f>(Grandview_Inventory[[#This Row],[att_gar]]+Grandview_Inventory[[#This Row],[bltin_gar]])*Lookups!$B$17</f>
        <v>46210.790736000003</v>
      </c>
      <c r="BP588" s="6">
        <f>Grandview_Inventory[[#This Row],[Plumbing Fixtures]]*Lookups!$B$18</f>
        <v>20104.418000000001</v>
      </c>
      <c r="BQ588" s="6">
        <f>Grandview_Inventory[[#This Row],[detatched_value]]*Lookups!$B$19</f>
        <v>0</v>
      </c>
      <c r="BR588" s="6">
        <f>SUM(Grandview_Inventory[[#This Row],[Intercept]:[det_value]])*Grandview_Inventory[[#This Row],[res_pct]]</f>
        <v>403959.50202800002</v>
      </c>
      <c r="BS588" s="6">
        <f>Grandview_Inventory[[#This Row],[land_value]]</f>
        <v>49926.8031387023</v>
      </c>
      <c r="BT588" s="4">
        <f>_xlfn.IFNA(VLOOKUP(Grandview_Inventory[[#This Row],[quality]],Lookups!$A$26:$C$33,3,FALSE),1)</f>
        <v>0.94295468617355149</v>
      </c>
      <c r="BU588" s="4">
        <f>_xlfn.IFNA(VLOOKUP(Grandview_Inventory[[#This Row],[condition]],Lookups!$A$37:$C$44,3,FALSE),1)</f>
        <v>0.97383723671140243</v>
      </c>
      <c r="BV588" s="4">
        <f>IF(Grandview_Inventory[[#This Row],[bldg_style]]="",1,_xlfn.IFNA(VLOOKUP(Grandview_Inventory[[#This Row],[decade]],Lookups!$F$29:$H$43,3,FALSE),1))</f>
        <v>0.9871940091910919</v>
      </c>
      <c r="BW588" s="4">
        <f>_xlfn.IFNA(VLOOKUP(Grandview_Inventory[[#This Row],[living_area_range]],Lookups!$F$47:$H$56,3,FALSE),1)</f>
        <v>0.94224801443562123</v>
      </c>
      <c r="BX588" s="4">
        <f>AVERAGE(Grandview_Inventory[[#This Row],[qual_adj]:[size_adj]])</f>
        <v>0.96155848662791676</v>
      </c>
      <c r="BY588" s="6">
        <f>IF(Grandview_Inventory[[#This Row],[pre_res]]&lt;0,0,Grandview_Inventory[[#This Row],[pre_res]]*Grandview_Inventory[[#This Row],[overall_adj]])</f>
        <v>388430.68742901058</v>
      </c>
      <c r="BZ588" s="6">
        <f>(Grandview_Inventory[[#This Row],[sum_land]]-IF(Grandview_Inventory[[#This Row],[no_utilities]]=1,12000,0))/IF(Grandview_Inventory[[#This Row],[unbuildable]]=1,2,1)</f>
        <v>49926.8031387023</v>
      </c>
      <c r="CA58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88">
        <f>ROUND(Grandview_Inventory[[#This Row],[det_value]]*Lookups!$M$28,-2)</f>
        <v>0</v>
      </c>
      <c r="CC588">
        <f>IF(ROUND(Grandview_Inventory[[#This Row],[adj_res]]*Lookups!$M$28,-2)&lt;Grandview_Inventory[[#This Row],[min_res]],Grandview_Inventory[[#This Row],[min_res]],ROUND(Grandview_Inventory[[#This Row],[adj_res]]*Lookups!$M$28,-2))</f>
        <v>369000</v>
      </c>
      <c r="CD588">
        <f>Grandview_Inventory[[#This Row],[final_det]]+Grandview_Inventory[[#This Row],[final_res]]</f>
        <v>369000</v>
      </c>
      <c r="CE588">
        <f>Grandview_Inventory[[#This Row],[final_land]]+Grandview_Inventory[[#This Row],[final_imp]]+Grandview_Inventory[[#This Row],[crop_value]]</f>
        <v>416400</v>
      </c>
      <c r="CG588" t="str">
        <f t="shared" si="9"/>
        <v>update valuation set market_land =47400, market_bldg=369000, market_total =416400, market_mdno =401, market_date ='9/10/2023' where link_id = (select link_id from parcel where parcel_year = '2024' and parcel_id = '23092224425');</v>
      </c>
    </row>
    <row r="589" spans="1:85" x14ac:dyDescent="0.25">
      <c r="A589">
        <v>23092224426</v>
      </c>
      <c r="B589">
        <v>0.19</v>
      </c>
      <c r="C589">
        <v>8295</v>
      </c>
      <c r="D589" t="s">
        <v>129</v>
      </c>
      <c r="E589" t="s">
        <v>53</v>
      </c>
      <c r="F589" t="s">
        <v>53</v>
      </c>
      <c r="G589">
        <v>4</v>
      </c>
      <c r="H589" t="s">
        <v>54</v>
      </c>
      <c r="I589">
        <v>307900</v>
      </c>
      <c r="J589">
        <v>43300</v>
      </c>
      <c r="K589">
        <v>0.19</v>
      </c>
      <c r="L58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89">
        <v>0</v>
      </c>
      <c r="N589">
        <v>0</v>
      </c>
      <c r="O589">
        <v>0</v>
      </c>
      <c r="P589">
        <v>13398.7528</v>
      </c>
      <c r="Q589">
        <v>63903</v>
      </c>
      <c r="R589">
        <f>(Grandview_Inventory[[#This Row],[ln_acres]]*Grandview_Inventory[[#This Row],[coeff]])+Grandview_Inventory[[#This Row],[const]]</f>
        <v>41651.273092551026</v>
      </c>
      <c r="S589" t="s">
        <v>74</v>
      </c>
      <c r="T589">
        <v>1</v>
      </c>
      <c r="U589" t="s">
        <v>62</v>
      </c>
      <c r="V589" t="s">
        <v>69</v>
      </c>
      <c r="W589">
        <v>0</v>
      </c>
      <c r="X589">
        <v>0</v>
      </c>
      <c r="Y589">
        <v>43</v>
      </c>
      <c r="Z589">
        <v>44</v>
      </c>
      <c r="AA589">
        <v>50</v>
      </c>
      <c r="AB589">
        <v>3000</v>
      </c>
      <c r="AC589">
        <v>2920</v>
      </c>
      <c r="AD589">
        <v>2060</v>
      </c>
      <c r="AE589">
        <v>0</v>
      </c>
      <c r="AF589">
        <v>0</v>
      </c>
      <c r="AG589">
        <v>860</v>
      </c>
      <c r="AH589">
        <v>0</v>
      </c>
      <c r="AI589">
        <v>728</v>
      </c>
      <c r="AJ589">
        <v>0</v>
      </c>
      <c r="AK589">
        <v>0</v>
      </c>
      <c r="AL589">
        <v>0</v>
      </c>
      <c r="AM589">
        <v>0</v>
      </c>
      <c r="AN589">
        <v>164</v>
      </c>
      <c r="AO589">
        <v>0</v>
      </c>
      <c r="AP589">
        <v>11</v>
      </c>
      <c r="AQ589">
        <v>1</v>
      </c>
      <c r="AR589">
        <v>0</v>
      </c>
      <c r="AS589" t="s">
        <v>58</v>
      </c>
      <c r="AT589">
        <v>1</v>
      </c>
      <c r="AU589" t="s">
        <v>59</v>
      </c>
      <c r="AV589" t="s">
        <v>60</v>
      </c>
      <c r="AW589">
        <v>1</v>
      </c>
      <c r="AX589">
        <v>4</v>
      </c>
      <c r="AY589">
        <v>0</v>
      </c>
      <c r="AZ589">
        <v>0</v>
      </c>
      <c r="BA589">
        <v>100</v>
      </c>
      <c r="BB589">
        <v>100</v>
      </c>
      <c r="BC589">
        <v>100</v>
      </c>
      <c r="BD589">
        <v>100</v>
      </c>
      <c r="BE589">
        <v>1</v>
      </c>
      <c r="BF589">
        <v>15000</v>
      </c>
      <c r="BG589">
        <v>1000</v>
      </c>
      <c r="BH589" s="6">
        <f>Grandview_Inventory[[#This Row],[land_extract]]*Lookups!$B$3</f>
        <v>48369.510983942157</v>
      </c>
      <c r="BI589" s="6">
        <f>IF(Grandview_Inventory[[#This Row],[bldg_style]]="",0,Lookups!$B$2)</f>
        <v>155833.95000000001</v>
      </c>
      <c r="BJ589" s="6">
        <f>_xlfn.IFNA(VLOOKUP(Grandview_Inventory[[#This Row],[quality]],Lookups!$H$2:$J$14,3,FALSE),0)</f>
        <v>9808</v>
      </c>
      <c r="BK589" s="6">
        <f>_xlfn.IFNA(VLOOKUP(Grandview_Inventory[[#This Row],[condition]],Lookups!$H$17:$J$24,3,FALSE),0)</f>
        <v>-4503</v>
      </c>
      <c r="BL589" s="6">
        <f>Grandview_Inventory[[#This Row],[Eff_Age]]*Lookups!$B$14</f>
        <v>-10284.1638</v>
      </c>
      <c r="BM589" s="6">
        <f>Grandview_Inventory[[#This Row],[living_area]]*Lookups!$B$15</f>
        <v>182152.09075999999</v>
      </c>
      <c r="BN589" s="6">
        <f>Grandview_Inventory[[#This Row],[Fin BSMT]]*Lookups!$B$16</f>
        <v>-23305.346400000002</v>
      </c>
      <c r="BO589" s="6">
        <f>(Grandview_Inventory[[#This Row],[att_gar]]+Grandview_Inventory[[#This Row],[bltin_gar]])*Lookups!$B$17</f>
        <v>63714.878135999999</v>
      </c>
      <c r="BP589" s="6">
        <f>Grandview_Inventory[[#This Row],[Plumbing Fixtures]]*Lookups!$B$18</f>
        <v>22114.859800000002</v>
      </c>
      <c r="BQ589" s="6">
        <f>Grandview_Inventory[[#This Row],[detatched_value]]*Lookups!$B$19</f>
        <v>0</v>
      </c>
      <c r="BR589" s="6">
        <f>SUM(Grandview_Inventory[[#This Row],[Intercept]:[det_value]])*Grandview_Inventory[[#This Row],[res_pct]]</f>
        <v>395531.26849600003</v>
      </c>
      <c r="BS589" s="6">
        <f>Grandview_Inventory[[#This Row],[land_value]]</f>
        <v>48369.510983942157</v>
      </c>
      <c r="BT589" s="4">
        <f>_xlfn.IFNA(VLOOKUP(Grandview_Inventory[[#This Row],[quality]],Lookups!$A$26:$C$33,3,FALSE),1)</f>
        <v>0.94295468617355149</v>
      </c>
      <c r="BU589" s="4">
        <f>_xlfn.IFNA(VLOOKUP(Grandview_Inventory[[#This Row],[condition]],Lookups!$A$37:$C$44,3,FALSE),1)</f>
        <v>0.96469275950863709</v>
      </c>
      <c r="BV589" s="4">
        <f>IF(Grandview_Inventory[[#This Row],[bldg_style]]="",1,_xlfn.IFNA(VLOOKUP(Grandview_Inventory[[#This Row],[decade]],Lookups!$F$29:$H$43,3,FALSE),1))</f>
        <v>0.9871940091910919</v>
      </c>
      <c r="BW589" s="4">
        <f>_xlfn.IFNA(VLOOKUP(Grandview_Inventory[[#This Row],[living_area_range]],Lookups!$F$47:$H$56,3,FALSE),1)</f>
        <v>0.94224801443562123</v>
      </c>
      <c r="BX589" s="4">
        <f>AVERAGE(Grandview_Inventory[[#This Row],[qual_adj]:[size_adj]])</f>
        <v>0.95927236732722543</v>
      </c>
      <c r="BY589" s="6">
        <f>IF(Grandview_Inventory[[#This Row],[pre_res]]&lt;0,0,Grandview_Inventory[[#This Row],[pre_res]]*Grandview_Inventory[[#This Row],[overall_adj]])</f>
        <v>379422.21628209838</v>
      </c>
      <c r="BZ589" s="6">
        <f>(Grandview_Inventory[[#This Row],[sum_land]]-IF(Grandview_Inventory[[#This Row],[no_utilities]]=1,12000,0))/IF(Grandview_Inventory[[#This Row],[unbuildable]]=1,2,1)</f>
        <v>48369.510983942157</v>
      </c>
      <c r="CA58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89">
        <f>ROUND(Grandview_Inventory[[#This Row],[det_value]]*Lookups!$M$28,-2)</f>
        <v>0</v>
      </c>
      <c r="CC589">
        <f>IF(ROUND(Grandview_Inventory[[#This Row],[adj_res]]*Lookups!$M$28,-2)&lt;Grandview_Inventory[[#This Row],[min_res]],Grandview_Inventory[[#This Row],[min_res]],ROUND(Grandview_Inventory[[#This Row],[adj_res]]*Lookups!$M$28,-2))</f>
        <v>360500</v>
      </c>
      <c r="CD589">
        <f>Grandview_Inventory[[#This Row],[final_det]]+Grandview_Inventory[[#This Row],[final_res]]</f>
        <v>360500</v>
      </c>
      <c r="CE589">
        <f>Grandview_Inventory[[#This Row],[final_land]]+Grandview_Inventory[[#This Row],[final_imp]]+Grandview_Inventory[[#This Row],[crop_value]]</f>
        <v>406500</v>
      </c>
      <c r="CG589" t="str">
        <f t="shared" si="9"/>
        <v>update valuation set market_land =46000, market_bldg=360500, market_total =406500, market_mdno =401, market_date ='9/10/2023' where link_id = (select link_id from parcel where parcel_year = '2024' and parcel_id = '23092224426');</v>
      </c>
    </row>
    <row r="590" spans="1:85" x14ac:dyDescent="0.25">
      <c r="A590">
        <v>23092224427</v>
      </c>
      <c r="B590">
        <v>0.2</v>
      </c>
      <c r="C590">
        <v>8815</v>
      </c>
      <c r="D590" t="s">
        <v>129</v>
      </c>
      <c r="E590" t="s">
        <v>53</v>
      </c>
      <c r="F590" t="s">
        <v>53</v>
      </c>
      <c r="G590">
        <v>4</v>
      </c>
      <c r="H590" t="s">
        <v>54</v>
      </c>
      <c r="I590">
        <v>287000</v>
      </c>
      <c r="J590">
        <v>43700</v>
      </c>
      <c r="K590">
        <v>0.2</v>
      </c>
      <c r="L59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90">
        <v>0</v>
      </c>
      <c r="N590">
        <v>0</v>
      </c>
      <c r="O590">
        <v>0</v>
      </c>
      <c r="P590">
        <v>13398.7528</v>
      </c>
      <c r="Q590">
        <v>63903</v>
      </c>
      <c r="R590">
        <f>(Grandview_Inventory[[#This Row],[ln_acres]]*Grandview_Inventory[[#This Row],[coeff]])+Grandview_Inventory[[#This Row],[const]]</f>
        <v>42338.539264347448</v>
      </c>
      <c r="S590" t="s">
        <v>55</v>
      </c>
      <c r="T590">
        <v>2</v>
      </c>
      <c r="U590" t="s">
        <v>64</v>
      </c>
      <c r="V590" t="s">
        <v>69</v>
      </c>
      <c r="W590">
        <v>0</v>
      </c>
      <c r="X590">
        <v>0</v>
      </c>
      <c r="Y590">
        <v>42</v>
      </c>
      <c r="Z590">
        <v>42</v>
      </c>
      <c r="AA590">
        <v>50</v>
      </c>
      <c r="AB590">
        <v>2500</v>
      </c>
      <c r="AC590">
        <v>2110</v>
      </c>
      <c r="AD590">
        <v>1214</v>
      </c>
      <c r="AE590">
        <v>896</v>
      </c>
      <c r="AF590">
        <v>0</v>
      </c>
      <c r="AG590">
        <v>0</v>
      </c>
      <c r="AH590">
        <v>0</v>
      </c>
      <c r="AI590">
        <v>0</v>
      </c>
      <c r="AJ590">
        <v>441</v>
      </c>
      <c r="AK590">
        <v>0</v>
      </c>
      <c r="AL590">
        <v>659</v>
      </c>
      <c r="AM590">
        <v>762</v>
      </c>
      <c r="AN590">
        <v>0</v>
      </c>
      <c r="AO590">
        <v>256</v>
      </c>
      <c r="AP590">
        <v>11</v>
      </c>
      <c r="AQ590">
        <v>0</v>
      </c>
      <c r="AR590">
        <v>0</v>
      </c>
      <c r="AS590" t="s">
        <v>73</v>
      </c>
      <c r="AT590">
        <v>1</v>
      </c>
      <c r="AU590" t="s">
        <v>59</v>
      </c>
      <c r="AV590" t="s">
        <v>60</v>
      </c>
      <c r="AW590">
        <v>1</v>
      </c>
      <c r="AX590">
        <v>4</v>
      </c>
      <c r="AY590">
        <v>0</v>
      </c>
      <c r="AZ590">
        <v>0</v>
      </c>
      <c r="BA590">
        <v>100</v>
      </c>
      <c r="BB590">
        <v>100</v>
      </c>
      <c r="BC590">
        <v>100</v>
      </c>
      <c r="BD590">
        <v>100</v>
      </c>
      <c r="BE590">
        <v>1</v>
      </c>
      <c r="BF590">
        <v>15000</v>
      </c>
      <c r="BG590">
        <v>1000</v>
      </c>
      <c r="BH590" s="6">
        <f>Grandview_Inventory[[#This Row],[land_extract]]*Lookups!$B$3</f>
        <v>49167.631333630678</v>
      </c>
      <c r="BI590" s="6">
        <f>IF(Grandview_Inventory[[#This Row],[bldg_style]]="",0,Lookups!$B$2)</f>
        <v>155833.95000000001</v>
      </c>
      <c r="BJ590" s="6">
        <f>_xlfn.IFNA(VLOOKUP(Grandview_Inventory[[#This Row],[quality]],Lookups!$H$2:$J$14,3,FALSE),0)</f>
        <v>20768</v>
      </c>
      <c r="BK590" s="6">
        <f>_xlfn.IFNA(VLOOKUP(Grandview_Inventory[[#This Row],[condition]],Lookups!$H$17:$J$24,3,FALSE),0)</f>
        <v>-4503</v>
      </c>
      <c r="BL590" s="6">
        <f>Grandview_Inventory[[#This Row],[Eff_Age]]*Lookups!$B$14</f>
        <v>-10044.9972</v>
      </c>
      <c r="BM590" s="6">
        <f>Grandview_Inventory[[#This Row],[living_area]]*Lookups!$B$15</f>
        <v>131623.59982999999</v>
      </c>
      <c r="BN590" s="6">
        <f>Grandview_Inventory[[#This Row],[Fin BSMT]]*Lookups!$B$16</f>
        <v>0</v>
      </c>
      <c r="BO590" s="6">
        <f>(Grandview_Inventory[[#This Row],[att_gar]]+Grandview_Inventory[[#This Row],[bltin_gar]])*Lookups!$B$17</f>
        <v>38596.512716999998</v>
      </c>
      <c r="BP590" s="6">
        <f>Grandview_Inventory[[#This Row],[Plumbing Fixtures]]*Lookups!$B$18</f>
        <v>22114.859800000002</v>
      </c>
      <c r="BQ590" s="6">
        <f>Grandview_Inventory[[#This Row],[detatched_value]]*Lookups!$B$19</f>
        <v>0</v>
      </c>
      <c r="BR590" s="6">
        <f>SUM(Grandview_Inventory[[#This Row],[Intercept]:[det_value]])*Grandview_Inventory[[#This Row],[res_pct]]</f>
        <v>354388.92514699994</v>
      </c>
      <c r="BS590" s="6">
        <f>Grandview_Inventory[[#This Row],[land_value]]</f>
        <v>49167.631333630678</v>
      </c>
      <c r="BT590" s="4">
        <f>_xlfn.IFNA(VLOOKUP(Grandview_Inventory[[#This Row],[quality]],Lookups!$A$26:$C$33,3,FALSE),1)</f>
        <v>0.94960540378902636</v>
      </c>
      <c r="BU590" s="4">
        <f>_xlfn.IFNA(VLOOKUP(Grandview_Inventory[[#This Row],[condition]],Lookups!$A$37:$C$44,3,FALSE),1)</f>
        <v>0.96469275950863709</v>
      </c>
      <c r="BV590" s="4">
        <f>IF(Grandview_Inventory[[#This Row],[bldg_style]]="",1,_xlfn.IFNA(VLOOKUP(Grandview_Inventory[[#This Row],[decade]],Lookups!$F$29:$H$43,3,FALSE),1))</f>
        <v>0.9871940091910919</v>
      </c>
      <c r="BW590" s="4">
        <f>_xlfn.IFNA(VLOOKUP(Grandview_Inventory[[#This Row],[living_area_range]],Lookups!$F$47:$H$56,3,FALSE),1)</f>
        <v>0.95799442568048754</v>
      </c>
      <c r="BX590" s="4">
        <f>AVERAGE(Grandview_Inventory[[#This Row],[qual_adj]:[size_adj]])</f>
        <v>0.96487164954231075</v>
      </c>
      <c r="BY590" s="6">
        <f>IF(Grandview_Inventory[[#This Row],[pre_res]]&lt;0,0,Grandview_Inventory[[#This Row],[pre_res]]*Grandview_Inventory[[#This Row],[overall_adj]])</f>
        <v>341939.82678611233</v>
      </c>
      <c r="BZ590" s="6">
        <f>(Grandview_Inventory[[#This Row],[sum_land]]-IF(Grandview_Inventory[[#This Row],[no_utilities]]=1,12000,0))/IF(Grandview_Inventory[[#This Row],[unbuildable]]=1,2,1)</f>
        <v>49167.631333630678</v>
      </c>
      <c r="CA59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90">
        <f>ROUND(Grandview_Inventory[[#This Row],[det_value]]*Lookups!$M$28,-2)</f>
        <v>0</v>
      </c>
      <c r="CC590">
        <f>IF(ROUND(Grandview_Inventory[[#This Row],[adj_res]]*Lookups!$M$28,-2)&lt;Grandview_Inventory[[#This Row],[min_res]],Grandview_Inventory[[#This Row],[min_res]],ROUND(Grandview_Inventory[[#This Row],[adj_res]]*Lookups!$M$28,-2))</f>
        <v>324800</v>
      </c>
      <c r="CD590">
        <f>Grandview_Inventory[[#This Row],[final_det]]+Grandview_Inventory[[#This Row],[final_res]]</f>
        <v>324800</v>
      </c>
      <c r="CE590">
        <f>Grandview_Inventory[[#This Row],[final_land]]+Grandview_Inventory[[#This Row],[final_imp]]+Grandview_Inventory[[#This Row],[crop_value]]</f>
        <v>371500</v>
      </c>
      <c r="CG590" t="str">
        <f t="shared" si="9"/>
        <v>update valuation set market_land =46700, market_bldg=324800, market_total =371500, market_mdno =401, market_date ='9/10/2023' where link_id = (select link_id from parcel where parcel_year = '2024' and parcel_id = '23092224427');</v>
      </c>
    </row>
    <row r="591" spans="1:85" x14ac:dyDescent="0.25">
      <c r="A591">
        <v>23092224428</v>
      </c>
      <c r="B591">
        <v>0.21</v>
      </c>
      <c r="C591">
        <v>8982</v>
      </c>
      <c r="D591" t="s">
        <v>129</v>
      </c>
      <c r="E591" t="s">
        <v>53</v>
      </c>
      <c r="F591" t="s">
        <v>53</v>
      </c>
      <c r="G591">
        <v>4</v>
      </c>
      <c r="H591" t="s">
        <v>54</v>
      </c>
      <c r="I591">
        <v>219900</v>
      </c>
      <c r="J591">
        <v>43700</v>
      </c>
      <c r="K591">
        <v>0.21</v>
      </c>
      <c r="L59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91">
        <v>0</v>
      </c>
      <c r="N591">
        <v>0</v>
      </c>
      <c r="O591">
        <v>0</v>
      </c>
      <c r="P591">
        <v>13398.7528</v>
      </c>
      <c r="Q591">
        <v>63903</v>
      </c>
      <c r="R591">
        <f>(Grandview_Inventory[[#This Row],[ln_acres]]*Grandview_Inventory[[#This Row],[coeff]])+Grandview_Inventory[[#This Row],[const]]</f>
        <v>42992.266613125081</v>
      </c>
      <c r="S591" t="s">
        <v>74</v>
      </c>
      <c r="T591">
        <v>1</v>
      </c>
      <c r="U591" t="s">
        <v>62</v>
      </c>
      <c r="V591" t="s">
        <v>69</v>
      </c>
      <c r="W591">
        <v>0</v>
      </c>
      <c r="X591">
        <v>0</v>
      </c>
      <c r="Y591">
        <v>43</v>
      </c>
      <c r="Z591">
        <v>45</v>
      </c>
      <c r="AA591">
        <v>50</v>
      </c>
      <c r="AB591">
        <v>2000</v>
      </c>
      <c r="AC591">
        <v>1898</v>
      </c>
      <c r="AD591">
        <v>1222</v>
      </c>
      <c r="AE591">
        <v>0</v>
      </c>
      <c r="AF591">
        <v>0</v>
      </c>
      <c r="AG591">
        <v>676</v>
      </c>
      <c r="AH591">
        <v>0</v>
      </c>
      <c r="AI591">
        <v>528</v>
      </c>
      <c r="AJ591">
        <v>0</v>
      </c>
      <c r="AK591">
        <v>0</v>
      </c>
      <c r="AL591">
        <v>0</v>
      </c>
      <c r="AM591">
        <v>0</v>
      </c>
      <c r="AN591">
        <v>80</v>
      </c>
      <c r="AO591">
        <v>0</v>
      </c>
      <c r="AP591">
        <v>8</v>
      </c>
      <c r="AQ591">
        <v>0</v>
      </c>
      <c r="AR591">
        <v>0</v>
      </c>
      <c r="AS591" t="s">
        <v>58</v>
      </c>
      <c r="AT591">
        <v>1</v>
      </c>
      <c r="AU591" t="s">
        <v>63</v>
      </c>
      <c r="AV591" t="s">
        <v>60</v>
      </c>
      <c r="AW591">
        <v>0</v>
      </c>
      <c r="AX591">
        <v>4</v>
      </c>
      <c r="AY591">
        <v>0</v>
      </c>
      <c r="AZ591">
        <v>0</v>
      </c>
      <c r="BA591">
        <v>100</v>
      </c>
      <c r="BB591">
        <v>100</v>
      </c>
      <c r="BC591">
        <v>100</v>
      </c>
      <c r="BD591">
        <v>100</v>
      </c>
      <c r="BE591">
        <v>1</v>
      </c>
      <c r="BF591">
        <v>15000</v>
      </c>
      <c r="BG591">
        <v>1000</v>
      </c>
      <c r="BH591" s="6">
        <f>Grandview_Inventory[[#This Row],[land_extract]]*Lookups!$B$3</f>
        <v>49926.8031387023</v>
      </c>
      <c r="BI591" s="6">
        <f>IF(Grandview_Inventory[[#This Row],[bldg_style]]="",0,Lookups!$B$2)</f>
        <v>155833.95000000001</v>
      </c>
      <c r="BJ591" s="6">
        <f>_xlfn.IFNA(VLOOKUP(Grandview_Inventory[[#This Row],[quality]],Lookups!$H$2:$J$14,3,FALSE),0)</f>
        <v>9808</v>
      </c>
      <c r="BK591" s="6">
        <f>_xlfn.IFNA(VLOOKUP(Grandview_Inventory[[#This Row],[condition]],Lookups!$H$17:$J$24,3,FALSE),0)</f>
        <v>-4503</v>
      </c>
      <c r="BL591" s="6">
        <f>Grandview_Inventory[[#This Row],[Eff_Age]]*Lookups!$B$14</f>
        <v>-10284.1638</v>
      </c>
      <c r="BM591" s="6">
        <f>Grandview_Inventory[[#This Row],[living_area]]*Lookups!$B$15</f>
        <v>118398.85899400001</v>
      </c>
      <c r="BN591" s="6">
        <f>Grandview_Inventory[[#This Row],[Fin BSMT]]*Lookups!$B$16</f>
        <v>-18319.086240000001</v>
      </c>
      <c r="BO591" s="6">
        <f>(Grandview_Inventory[[#This Row],[att_gar]]+Grandview_Inventory[[#This Row],[bltin_gar]])*Lookups!$B$17</f>
        <v>46210.790736000003</v>
      </c>
      <c r="BP591" s="6">
        <f>Grandview_Inventory[[#This Row],[Plumbing Fixtures]]*Lookups!$B$18</f>
        <v>16083.5344</v>
      </c>
      <c r="BQ591" s="6">
        <f>Grandview_Inventory[[#This Row],[detatched_value]]*Lookups!$B$19</f>
        <v>0</v>
      </c>
      <c r="BR591" s="6">
        <f>SUM(Grandview_Inventory[[#This Row],[Intercept]:[det_value]])*Grandview_Inventory[[#This Row],[res_pct]]</f>
        <v>313228.88409000001</v>
      </c>
      <c r="BS591" s="6">
        <f>Grandview_Inventory[[#This Row],[land_value]]</f>
        <v>49926.8031387023</v>
      </c>
      <c r="BT591" s="4">
        <f>_xlfn.IFNA(VLOOKUP(Grandview_Inventory[[#This Row],[quality]],Lookups!$A$26:$C$33,3,FALSE),1)</f>
        <v>0.94295468617355149</v>
      </c>
      <c r="BU591" s="4">
        <f>_xlfn.IFNA(VLOOKUP(Grandview_Inventory[[#This Row],[condition]],Lookups!$A$37:$C$44,3,FALSE),1)</f>
        <v>0.96469275950863709</v>
      </c>
      <c r="BV591" s="4">
        <f>IF(Grandview_Inventory[[#This Row],[bldg_style]]="",1,_xlfn.IFNA(VLOOKUP(Grandview_Inventory[[#This Row],[decade]],Lookups!$F$29:$H$43,3,FALSE),1))</f>
        <v>0.9871940091910919</v>
      </c>
      <c r="BW591" s="4">
        <f>_xlfn.IFNA(VLOOKUP(Grandview_Inventory[[#This Row],[living_area_range]],Lookups!$F$47:$H$56,3,FALSE),1)</f>
        <v>0.96120133463014379</v>
      </c>
      <c r="BX591" s="4">
        <f>AVERAGE(Grandview_Inventory[[#This Row],[qual_adj]:[size_adj]])</f>
        <v>0.96401069737585598</v>
      </c>
      <c r="BY591" s="6">
        <f>IF(Grandview_Inventory[[#This Row],[pre_res]]&lt;0,0,Grandview_Inventory[[#This Row],[pre_res]]*Grandview_Inventory[[#This Row],[overall_adj]])</f>
        <v>301955.99498986208</v>
      </c>
      <c r="BZ591" s="6">
        <f>(Grandview_Inventory[[#This Row],[sum_land]]-IF(Grandview_Inventory[[#This Row],[no_utilities]]=1,12000,0))/IF(Grandview_Inventory[[#This Row],[unbuildable]]=1,2,1)</f>
        <v>49926.8031387023</v>
      </c>
      <c r="CA59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91">
        <f>ROUND(Grandview_Inventory[[#This Row],[det_value]]*Lookups!$M$28,-2)</f>
        <v>0</v>
      </c>
      <c r="CC591">
        <f>IF(ROUND(Grandview_Inventory[[#This Row],[adj_res]]*Lookups!$M$28,-2)&lt;Grandview_Inventory[[#This Row],[min_res]],Grandview_Inventory[[#This Row],[min_res]],ROUND(Grandview_Inventory[[#This Row],[adj_res]]*Lookups!$M$28,-2))</f>
        <v>286900</v>
      </c>
      <c r="CD591">
        <f>Grandview_Inventory[[#This Row],[final_det]]+Grandview_Inventory[[#This Row],[final_res]]</f>
        <v>286900</v>
      </c>
      <c r="CE591">
        <f>Grandview_Inventory[[#This Row],[final_land]]+Grandview_Inventory[[#This Row],[final_imp]]+Grandview_Inventory[[#This Row],[crop_value]]</f>
        <v>334300</v>
      </c>
      <c r="CG591" t="str">
        <f t="shared" si="9"/>
        <v>update valuation set market_land =47400, market_bldg=286900, market_total =334300, market_mdno =401, market_date ='9/10/2023' where link_id = (select link_id from parcel where parcel_year = '2024' and parcel_id = '23092224428');</v>
      </c>
    </row>
    <row r="592" spans="1:85" x14ac:dyDescent="0.25">
      <c r="A592">
        <v>23092224429</v>
      </c>
      <c r="B592">
        <v>0.21</v>
      </c>
      <c r="C592">
        <v>9013</v>
      </c>
      <c r="D592" t="s">
        <v>129</v>
      </c>
      <c r="E592" t="s">
        <v>53</v>
      </c>
      <c r="F592" t="s">
        <v>53</v>
      </c>
      <c r="G592">
        <v>4</v>
      </c>
      <c r="H592" t="s">
        <v>54</v>
      </c>
      <c r="I592">
        <v>243700</v>
      </c>
      <c r="J592">
        <v>43700</v>
      </c>
      <c r="K592">
        <v>0.21</v>
      </c>
      <c r="L59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92">
        <v>0</v>
      </c>
      <c r="N592">
        <v>0</v>
      </c>
      <c r="O592">
        <v>0</v>
      </c>
      <c r="P592">
        <v>13398.7528</v>
      </c>
      <c r="Q592">
        <v>63903</v>
      </c>
      <c r="R592">
        <f>(Grandview_Inventory[[#This Row],[ln_acres]]*Grandview_Inventory[[#This Row],[coeff]])+Grandview_Inventory[[#This Row],[const]]</f>
        <v>42992.266613125081</v>
      </c>
      <c r="S592" t="s">
        <v>74</v>
      </c>
      <c r="T592">
        <v>1</v>
      </c>
      <c r="U592" t="s">
        <v>62</v>
      </c>
      <c r="V592" t="s">
        <v>69</v>
      </c>
      <c r="W592">
        <v>0</v>
      </c>
      <c r="X592">
        <v>0</v>
      </c>
      <c r="Y592">
        <v>43</v>
      </c>
      <c r="Z592">
        <v>44</v>
      </c>
      <c r="AA592">
        <v>50</v>
      </c>
      <c r="AB592">
        <v>2500</v>
      </c>
      <c r="AC592">
        <v>2252</v>
      </c>
      <c r="AD592">
        <v>1496</v>
      </c>
      <c r="AE592">
        <v>0</v>
      </c>
      <c r="AF592">
        <v>0</v>
      </c>
      <c r="AG592">
        <v>756</v>
      </c>
      <c r="AH592">
        <v>0</v>
      </c>
      <c r="AI592">
        <v>408</v>
      </c>
      <c r="AJ592">
        <v>0</v>
      </c>
      <c r="AK592">
        <v>0</v>
      </c>
      <c r="AL592">
        <v>0</v>
      </c>
      <c r="AM592">
        <v>1365</v>
      </c>
      <c r="AN592">
        <v>0</v>
      </c>
      <c r="AO592">
        <v>325</v>
      </c>
      <c r="AP592">
        <v>8</v>
      </c>
      <c r="AQ592">
        <v>0</v>
      </c>
      <c r="AR592">
        <v>0</v>
      </c>
      <c r="AS592" t="s">
        <v>58</v>
      </c>
      <c r="AT592">
        <v>1</v>
      </c>
      <c r="AU592" t="s">
        <v>63</v>
      </c>
      <c r="AV592" t="s">
        <v>60</v>
      </c>
      <c r="AW592">
        <v>1</v>
      </c>
      <c r="AX592">
        <v>4</v>
      </c>
      <c r="AY592">
        <v>0</v>
      </c>
      <c r="AZ592">
        <v>0</v>
      </c>
      <c r="BA592">
        <v>100</v>
      </c>
      <c r="BB592">
        <v>100</v>
      </c>
      <c r="BC592">
        <v>100</v>
      </c>
      <c r="BD592">
        <v>100</v>
      </c>
      <c r="BE592">
        <v>1</v>
      </c>
      <c r="BF592">
        <v>15000</v>
      </c>
      <c r="BG592">
        <v>1000</v>
      </c>
      <c r="BH592" s="6">
        <f>Grandview_Inventory[[#This Row],[land_extract]]*Lookups!$B$3</f>
        <v>49926.8031387023</v>
      </c>
      <c r="BI592" s="6">
        <f>IF(Grandview_Inventory[[#This Row],[bldg_style]]="",0,Lookups!$B$2)</f>
        <v>155833.95000000001</v>
      </c>
      <c r="BJ592" s="6">
        <f>_xlfn.IFNA(VLOOKUP(Grandview_Inventory[[#This Row],[quality]],Lookups!$H$2:$J$14,3,FALSE),0)</f>
        <v>9808</v>
      </c>
      <c r="BK592" s="6">
        <f>_xlfn.IFNA(VLOOKUP(Grandview_Inventory[[#This Row],[condition]],Lookups!$H$17:$J$24,3,FALSE),0)</f>
        <v>-4503</v>
      </c>
      <c r="BL592" s="6">
        <f>Grandview_Inventory[[#This Row],[Eff_Age]]*Lookups!$B$14</f>
        <v>-10284.1638</v>
      </c>
      <c r="BM592" s="6">
        <f>Grandview_Inventory[[#This Row],[living_area]]*Lookups!$B$15</f>
        <v>140481.680956</v>
      </c>
      <c r="BN592" s="6">
        <f>Grandview_Inventory[[#This Row],[Fin BSMT]]*Lookups!$B$16</f>
        <v>-20487.025440000001</v>
      </c>
      <c r="BO592" s="6">
        <f>(Grandview_Inventory[[#This Row],[att_gar]]+Grandview_Inventory[[#This Row],[bltin_gar]])*Lookups!$B$17</f>
        <v>35708.338296000002</v>
      </c>
      <c r="BP592" s="6">
        <f>Grandview_Inventory[[#This Row],[Plumbing Fixtures]]*Lookups!$B$18</f>
        <v>16083.5344</v>
      </c>
      <c r="BQ592" s="6">
        <f>Grandview_Inventory[[#This Row],[detatched_value]]*Lookups!$B$19</f>
        <v>0</v>
      </c>
      <c r="BR592" s="6">
        <f>SUM(Grandview_Inventory[[#This Row],[Intercept]:[det_value]])*Grandview_Inventory[[#This Row],[res_pct]]</f>
        <v>322641.31441200001</v>
      </c>
      <c r="BS592" s="6">
        <f>Grandview_Inventory[[#This Row],[land_value]]</f>
        <v>49926.8031387023</v>
      </c>
      <c r="BT592" s="4">
        <f>_xlfn.IFNA(VLOOKUP(Grandview_Inventory[[#This Row],[quality]],Lookups!$A$26:$C$33,3,FALSE),1)</f>
        <v>0.94295468617355149</v>
      </c>
      <c r="BU592" s="4">
        <f>_xlfn.IFNA(VLOOKUP(Grandview_Inventory[[#This Row],[condition]],Lookups!$A$37:$C$44,3,FALSE),1)</f>
        <v>0.96469275950863709</v>
      </c>
      <c r="BV592" s="4">
        <f>IF(Grandview_Inventory[[#This Row],[bldg_style]]="",1,_xlfn.IFNA(VLOOKUP(Grandview_Inventory[[#This Row],[decade]],Lookups!$F$29:$H$43,3,FALSE),1))</f>
        <v>0.9871940091910919</v>
      </c>
      <c r="BW592" s="4">
        <f>_xlfn.IFNA(VLOOKUP(Grandview_Inventory[[#This Row],[living_area_range]],Lookups!$F$47:$H$56,3,FALSE),1)</f>
        <v>0.95799442568048754</v>
      </c>
      <c r="BX592" s="4">
        <f>AVERAGE(Grandview_Inventory[[#This Row],[qual_adj]:[size_adj]])</f>
        <v>0.96320897013844198</v>
      </c>
      <c r="BY592" s="6">
        <f>IF(Grandview_Inventory[[#This Row],[pre_res]]&lt;0,0,Grandview_Inventory[[#This Row],[pre_res]]*Grandview_Inventory[[#This Row],[overall_adj]])</f>
        <v>310771.00817889581</v>
      </c>
      <c r="BZ592" s="6">
        <f>(Grandview_Inventory[[#This Row],[sum_land]]-IF(Grandview_Inventory[[#This Row],[no_utilities]]=1,12000,0))/IF(Grandview_Inventory[[#This Row],[unbuildable]]=1,2,1)</f>
        <v>49926.8031387023</v>
      </c>
      <c r="CA59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92">
        <f>ROUND(Grandview_Inventory[[#This Row],[det_value]]*Lookups!$M$28,-2)</f>
        <v>0</v>
      </c>
      <c r="CC592">
        <f>IF(ROUND(Grandview_Inventory[[#This Row],[adj_res]]*Lookups!$M$28,-2)&lt;Grandview_Inventory[[#This Row],[min_res]],Grandview_Inventory[[#This Row],[min_res]],ROUND(Grandview_Inventory[[#This Row],[adj_res]]*Lookups!$M$28,-2))</f>
        <v>295200</v>
      </c>
      <c r="CD592">
        <f>Grandview_Inventory[[#This Row],[final_det]]+Grandview_Inventory[[#This Row],[final_res]]</f>
        <v>295200</v>
      </c>
      <c r="CE592">
        <f>Grandview_Inventory[[#This Row],[final_land]]+Grandview_Inventory[[#This Row],[final_imp]]+Grandview_Inventory[[#This Row],[crop_value]]</f>
        <v>342600</v>
      </c>
      <c r="CG592" t="str">
        <f t="shared" si="9"/>
        <v>update valuation set market_land =47400, market_bldg=295200, market_total =342600, market_mdno =401, market_date ='9/10/2023' where link_id = (select link_id from parcel where parcel_year = '2024' and parcel_id = '23092224429');</v>
      </c>
    </row>
    <row r="593" spans="1:85" x14ac:dyDescent="0.25">
      <c r="A593">
        <v>23092224430</v>
      </c>
      <c r="B593">
        <v>0.21</v>
      </c>
      <c r="C593">
        <v>9159</v>
      </c>
      <c r="D593" t="s">
        <v>129</v>
      </c>
      <c r="E593" t="s">
        <v>53</v>
      </c>
      <c r="F593" t="s">
        <v>53</v>
      </c>
      <c r="G593">
        <v>4</v>
      </c>
      <c r="H593" t="s">
        <v>54</v>
      </c>
      <c r="I593">
        <v>194000</v>
      </c>
      <c r="J593">
        <v>43700</v>
      </c>
      <c r="K593">
        <v>0.21</v>
      </c>
      <c r="L59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593">
        <v>0</v>
      </c>
      <c r="N593">
        <v>0</v>
      </c>
      <c r="O593">
        <v>0</v>
      </c>
      <c r="P593">
        <v>13398.7528</v>
      </c>
      <c r="Q593">
        <v>63903</v>
      </c>
      <c r="R593">
        <f>(Grandview_Inventory[[#This Row],[ln_acres]]*Grandview_Inventory[[#This Row],[coeff]])+Grandview_Inventory[[#This Row],[const]]</f>
        <v>42992.266613125081</v>
      </c>
      <c r="S593" t="s">
        <v>61</v>
      </c>
      <c r="T593">
        <v>1</v>
      </c>
      <c r="U593" t="s">
        <v>65</v>
      </c>
      <c r="V593" t="s">
        <v>69</v>
      </c>
      <c r="W593">
        <v>0</v>
      </c>
      <c r="X593">
        <v>0</v>
      </c>
      <c r="Y593">
        <v>43</v>
      </c>
      <c r="Z593">
        <v>44</v>
      </c>
      <c r="AA593">
        <v>50</v>
      </c>
      <c r="AB593">
        <v>1500</v>
      </c>
      <c r="AC593">
        <v>1460</v>
      </c>
      <c r="AD593">
        <v>1460</v>
      </c>
      <c r="AE593">
        <v>0</v>
      </c>
      <c r="AF593">
        <v>0</v>
      </c>
      <c r="AG593">
        <v>0</v>
      </c>
      <c r="AH593">
        <v>0</v>
      </c>
      <c r="AI593">
        <v>484</v>
      </c>
      <c r="AJ593">
        <v>0</v>
      </c>
      <c r="AK593">
        <v>0</v>
      </c>
      <c r="AL593">
        <v>0</v>
      </c>
      <c r="AM593">
        <v>357</v>
      </c>
      <c r="AN593">
        <v>0</v>
      </c>
      <c r="AO593">
        <v>357</v>
      </c>
      <c r="AP593">
        <v>8</v>
      </c>
      <c r="AQ593">
        <v>0</v>
      </c>
      <c r="AR593">
        <v>0</v>
      </c>
      <c r="AS593" t="s">
        <v>58</v>
      </c>
      <c r="AT593">
        <v>1</v>
      </c>
      <c r="AU593" t="s">
        <v>63</v>
      </c>
      <c r="AV593" t="s">
        <v>60</v>
      </c>
      <c r="AW593">
        <v>1</v>
      </c>
      <c r="AX593">
        <v>3</v>
      </c>
      <c r="AY593">
        <v>0</v>
      </c>
      <c r="AZ593">
        <v>0</v>
      </c>
      <c r="BA593">
        <v>100</v>
      </c>
      <c r="BB593">
        <v>100</v>
      </c>
      <c r="BC593">
        <v>100</v>
      </c>
      <c r="BD593">
        <v>100</v>
      </c>
      <c r="BE593">
        <v>1</v>
      </c>
      <c r="BF593">
        <v>15000</v>
      </c>
      <c r="BG593">
        <v>1000</v>
      </c>
      <c r="BH593" s="6">
        <f>Grandview_Inventory[[#This Row],[land_extract]]*Lookups!$B$3</f>
        <v>49926.8031387023</v>
      </c>
      <c r="BI593" s="6">
        <f>IF(Grandview_Inventory[[#This Row],[bldg_style]]="",0,Lookups!$B$2)</f>
        <v>155833.95000000001</v>
      </c>
      <c r="BJ593" s="6">
        <f>_xlfn.IFNA(VLOOKUP(Grandview_Inventory[[#This Row],[quality]],Lookups!$H$2:$J$14,3,FALSE),0)</f>
        <v>2251</v>
      </c>
      <c r="BK593" s="6">
        <f>_xlfn.IFNA(VLOOKUP(Grandview_Inventory[[#This Row],[condition]],Lookups!$H$17:$J$24,3,FALSE),0)</f>
        <v>-4503</v>
      </c>
      <c r="BL593" s="6">
        <f>Grandview_Inventory[[#This Row],[Eff_Age]]*Lookups!$B$14</f>
        <v>-10284.1638</v>
      </c>
      <c r="BM593" s="6">
        <f>Grandview_Inventory[[#This Row],[living_area]]*Lookups!$B$15</f>
        <v>91076.045379999996</v>
      </c>
      <c r="BN593" s="6">
        <f>Grandview_Inventory[[#This Row],[Fin BSMT]]*Lookups!$B$16</f>
        <v>0</v>
      </c>
      <c r="BO593" s="6">
        <f>(Grandview_Inventory[[#This Row],[att_gar]]+Grandview_Inventory[[#This Row],[bltin_gar]])*Lookups!$B$17</f>
        <v>42359.891508000001</v>
      </c>
      <c r="BP593" s="6">
        <f>Grandview_Inventory[[#This Row],[Plumbing Fixtures]]*Lookups!$B$18</f>
        <v>16083.5344</v>
      </c>
      <c r="BQ593" s="6">
        <f>Grandview_Inventory[[#This Row],[detatched_value]]*Lookups!$B$19</f>
        <v>0</v>
      </c>
      <c r="BR593" s="6">
        <f>SUM(Grandview_Inventory[[#This Row],[Intercept]:[det_value]])*Grandview_Inventory[[#This Row],[res_pct]]</f>
        <v>292817.25748799997</v>
      </c>
      <c r="BS593" s="6">
        <f>Grandview_Inventory[[#This Row],[land_value]]</f>
        <v>49926.8031387023</v>
      </c>
      <c r="BT593" s="4">
        <f>_xlfn.IFNA(VLOOKUP(Grandview_Inventory[[#This Row],[quality]],Lookups!$A$26:$C$33,3,FALSE),1)</f>
        <v>0.98763855981004833</v>
      </c>
      <c r="BU593" s="4">
        <f>_xlfn.IFNA(VLOOKUP(Grandview_Inventory[[#This Row],[condition]],Lookups!$A$37:$C$44,3,FALSE),1)</f>
        <v>0.96469275950863709</v>
      </c>
      <c r="BV593" s="4">
        <f>IF(Grandview_Inventory[[#This Row],[bldg_style]]="",1,_xlfn.IFNA(VLOOKUP(Grandview_Inventory[[#This Row],[decade]],Lookups!$F$29:$H$43,3,FALSE),1))</f>
        <v>0.9871940091910919</v>
      </c>
      <c r="BW593" s="4">
        <f>_xlfn.IFNA(VLOOKUP(Grandview_Inventory[[#This Row],[living_area_range]],Lookups!$F$47:$H$56,3,FALSE),1)</f>
        <v>0.96135087979789358</v>
      </c>
      <c r="BX593" s="4">
        <f>AVERAGE(Grandview_Inventory[[#This Row],[qual_adj]:[size_adj]])</f>
        <v>0.97521905207691773</v>
      </c>
      <c r="BY593" s="6">
        <f>IF(Grandview_Inventory[[#This Row],[pre_res]]&lt;0,0,Grandview_Inventory[[#This Row],[pre_res]]*Grandview_Inventory[[#This Row],[overall_adj]])</f>
        <v>285560.96827921009</v>
      </c>
      <c r="BZ593" s="6">
        <f>(Grandview_Inventory[[#This Row],[sum_land]]-IF(Grandview_Inventory[[#This Row],[no_utilities]]=1,12000,0))/IF(Grandview_Inventory[[#This Row],[unbuildable]]=1,2,1)</f>
        <v>49926.8031387023</v>
      </c>
      <c r="CA59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593">
        <f>ROUND(Grandview_Inventory[[#This Row],[det_value]]*Lookups!$M$28,-2)</f>
        <v>0</v>
      </c>
      <c r="CC593">
        <f>IF(ROUND(Grandview_Inventory[[#This Row],[adj_res]]*Lookups!$M$28,-2)&lt;Grandview_Inventory[[#This Row],[min_res]],Grandview_Inventory[[#This Row],[min_res]],ROUND(Grandview_Inventory[[#This Row],[adj_res]]*Lookups!$M$28,-2))</f>
        <v>271300</v>
      </c>
      <c r="CD593">
        <f>Grandview_Inventory[[#This Row],[final_det]]+Grandview_Inventory[[#This Row],[final_res]]</f>
        <v>271300</v>
      </c>
      <c r="CE593">
        <f>Grandview_Inventory[[#This Row],[final_land]]+Grandview_Inventory[[#This Row],[final_imp]]+Grandview_Inventory[[#This Row],[crop_value]]</f>
        <v>318700</v>
      </c>
      <c r="CG593" t="str">
        <f t="shared" si="9"/>
        <v>update valuation set market_land =47400, market_bldg=271300, market_total =318700, market_mdno =401, market_date ='9/10/2023' where link_id = (select link_id from parcel where parcel_year = '2024' and parcel_id = '23092224430');</v>
      </c>
    </row>
    <row r="594" spans="1:85" x14ac:dyDescent="0.25">
      <c r="A594">
        <v>23092224431</v>
      </c>
      <c r="B594">
        <v>0.18</v>
      </c>
      <c r="C594">
        <v>7906</v>
      </c>
      <c r="D594" t="s">
        <v>129</v>
      </c>
      <c r="E594" t="s">
        <v>53</v>
      </c>
      <c r="F594" t="s">
        <v>53</v>
      </c>
      <c r="G594">
        <v>4</v>
      </c>
      <c r="H594" t="s">
        <v>54</v>
      </c>
      <c r="I594">
        <v>197500</v>
      </c>
      <c r="J594">
        <v>43100</v>
      </c>
      <c r="K594">
        <v>0.18</v>
      </c>
      <c r="L59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594">
        <v>0</v>
      </c>
      <c r="N594">
        <v>0</v>
      </c>
      <c r="O594">
        <v>0</v>
      </c>
      <c r="P594">
        <v>13398.7528</v>
      </c>
      <c r="Q594">
        <v>63903</v>
      </c>
      <c r="R594">
        <f>(Grandview_Inventory[[#This Row],[ln_acres]]*Grandview_Inventory[[#This Row],[coeff]])+Grandview_Inventory[[#This Row],[const]]</f>
        <v>40926.839760167699</v>
      </c>
      <c r="S594" t="s">
        <v>58</v>
      </c>
      <c r="T594">
        <v>1</v>
      </c>
      <c r="U594" t="s">
        <v>62</v>
      </c>
      <c r="V594" t="s">
        <v>69</v>
      </c>
      <c r="W594">
        <v>0</v>
      </c>
      <c r="X594">
        <v>0</v>
      </c>
      <c r="Y594">
        <v>43</v>
      </c>
      <c r="Z594">
        <v>44</v>
      </c>
      <c r="AA594">
        <v>50</v>
      </c>
      <c r="AB594">
        <v>1500</v>
      </c>
      <c r="AC594">
        <v>1426</v>
      </c>
      <c r="AD594">
        <v>1426</v>
      </c>
      <c r="AE594">
        <v>0</v>
      </c>
      <c r="AF594">
        <v>0</v>
      </c>
      <c r="AG594">
        <v>0</v>
      </c>
      <c r="AH594">
        <v>0</v>
      </c>
      <c r="AI594">
        <v>516</v>
      </c>
      <c r="AJ594">
        <v>0</v>
      </c>
      <c r="AK594">
        <v>0</v>
      </c>
      <c r="AL594">
        <v>287</v>
      </c>
      <c r="AM594">
        <v>0</v>
      </c>
      <c r="AN594">
        <v>0</v>
      </c>
      <c r="AO594">
        <v>140</v>
      </c>
      <c r="AP594">
        <v>8</v>
      </c>
      <c r="AQ594">
        <v>0</v>
      </c>
      <c r="AR594">
        <v>0</v>
      </c>
      <c r="AS594" t="s">
        <v>58</v>
      </c>
      <c r="AT594">
        <v>1</v>
      </c>
      <c r="AU594" t="s">
        <v>59</v>
      </c>
      <c r="AV594" t="s">
        <v>60</v>
      </c>
      <c r="AW594">
        <v>1</v>
      </c>
      <c r="AX594">
        <v>3</v>
      </c>
      <c r="AY594">
        <v>0</v>
      </c>
      <c r="AZ594">
        <v>0</v>
      </c>
      <c r="BA594">
        <v>100</v>
      </c>
      <c r="BB594">
        <v>100</v>
      </c>
      <c r="BC594">
        <v>100</v>
      </c>
      <c r="BD594">
        <v>100</v>
      </c>
      <c r="BE594">
        <v>1</v>
      </c>
      <c r="BF594">
        <v>15000</v>
      </c>
      <c r="BG594">
        <v>1000</v>
      </c>
      <c r="BH594" s="6">
        <f>Grandview_Inventory[[#This Row],[land_extract]]*Lookups!$B$3</f>
        <v>47528.228511015397</v>
      </c>
      <c r="BI594" s="6">
        <f>IF(Grandview_Inventory[[#This Row],[bldg_style]]="",0,Lookups!$B$2)</f>
        <v>155833.95000000001</v>
      </c>
      <c r="BJ594" s="6">
        <f>_xlfn.IFNA(VLOOKUP(Grandview_Inventory[[#This Row],[quality]],Lookups!$H$2:$J$14,3,FALSE),0)</f>
        <v>9808</v>
      </c>
      <c r="BK594" s="6">
        <f>_xlfn.IFNA(VLOOKUP(Grandview_Inventory[[#This Row],[condition]],Lookups!$H$17:$J$24,3,FALSE),0)</f>
        <v>-4503</v>
      </c>
      <c r="BL594" s="6">
        <f>Grandview_Inventory[[#This Row],[Eff_Age]]*Lookups!$B$14</f>
        <v>-10284.1638</v>
      </c>
      <c r="BM594" s="6">
        <f>Grandview_Inventory[[#This Row],[living_area]]*Lookups!$B$15</f>
        <v>88955.096378000002</v>
      </c>
      <c r="BN594" s="6">
        <f>Grandview_Inventory[[#This Row],[Fin BSMT]]*Lookups!$B$16</f>
        <v>0</v>
      </c>
      <c r="BO594" s="6">
        <f>(Grandview_Inventory[[#This Row],[att_gar]]+Grandview_Inventory[[#This Row],[bltin_gar]])*Lookups!$B$17</f>
        <v>45160.545491999997</v>
      </c>
      <c r="BP594" s="6">
        <f>Grandview_Inventory[[#This Row],[Plumbing Fixtures]]*Lookups!$B$18</f>
        <v>16083.5344</v>
      </c>
      <c r="BQ594" s="6">
        <f>Grandview_Inventory[[#This Row],[detatched_value]]*Lookups!$B$19</f>
        <v>0</v>
      </c>
      <c r="BR594" s="6">
        <f>SUM(Grandview_Inventory[[#This Row],[Intercept]:[det_value]])*Grandview_Inventory[[#This Row],[res_pct]]</f>
        <v>301053.96247000003</v>
      </c>
      <c r="BS594" s="6">
        <f>Grandview_Inventory[[#This Row],[land_value]]</f>
        <v>47528.228511015397</v>
      </c>
      <c r="BT594" s="4">
        <f>_xlfn.IFNA(VLOOKUP(Grandview_Inventory[[#This Row],[quality]],Lookups!$A$26:$C$33,3,FALSE),1)</f>
        <v>0.94295468617355149</v>
      </c>
      <c r="BU594" s="4">
        <f>_xlfn.IFNA(VLOOKUP(Grandview_Inventory[[#This Row],[condition]],Lookups!$A$37:$C$44,3,FALSE),1)</f>
        <v>0.96469275950863709</v>
      </c>
      <c r="BV594" s="4">
        <f>IF(Grandview_Inventory[[#This Row],[bldg_style]]="",1,_xlfn.IFNA(VLOOKUP(Grandview_Inventory[[#This Row],[decade]],Lookups!$F$29:$H$43,3,FALSE),1))</f>
        <v>0.9871940091910919</v>
      </c>
      <c r="BW594" s="4">
        <f>_xlfn.IFNA(VLOOKUP(Grandview_Inventory[[#This Row],[living_area_range]],Lookups!$F$47:$H$56,3,FALSE),1)</f>
        <v>0.96135087979789358</v>
      </c>
      <c r="BX594" s="4">
        <f>AVERAGE(Grandview_Inventory[[#This Row],[qual_adj]:[size_adj]])</f>
        <v>0.96404808366779349</v>
      </c>
      <c r="BY594" s="6">
        <f>IF(Grandview_Inventory[[#This Row],[pre_res]]&lt;0,0,Grandview_Inventory[[#This Row],[pre_res]]*Grandview_Inventory[[#This Row],[overall_adj]])</f>
        <v>290230.49559979932</v>
      </c>
      <c r="BZ594" s="6">
        <f>(Grandview_Inventory[[#This Row],[sum_land]]-IF(Grandview_Inventory[[#This Row],[no_utilities]]=1,12000,0))/IF(Grandview_Inventory[[#This Row],[unbuildable]]=1,2,1)</f>
        <v>47528.228511015397</v>
      </c>
      <c r="CA59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594">
        <f>ROUND(Grandview_Inventory[[#This Row],[det_value]]*Lookups!$M$28,-2)</f>
        <v>0</v>
      </c>
      <c r="CC594">
        <f>IF(ROUND(Grandview_Inventory[[#This Row],[adj_res]]*Lookups!$M$28,-2)&lt;Grandview_Inventory[[#This Row],[min_res]],Grandview_Inventory[[#This Row],[min_res]],ROUND(Grandview_Inventory[[#This Row],[adj_res]]*Lookups!$M$28,-2))</f>
        <v>275700</v>
      </c>
      <c r="CD594">
        <f>Grandview_Inventory[[#This Row],[final_det]]+Grandview_Inventory[[#This Row],[final_res]]</f>
        <v>275700</v>
      </c>
      <c r="CE594">
        <f>Grandview_Inventory[[#This Row],[final_land]]+Grandview_Inventory[[#This Row],[final_imp]]+Grandview_Inventory[[#This Row],[crop_value]]</f>
        <v>320900</v>
      </c>
      <c r="CG594" t="str">
        <f t="shared" si="9"/>
        <v>update valuation set market_land =45200, market_bldg=275700, market_total =320900, market_mdno =401, market_date ='9/10/2023' where link_id = (select link_id from parcel where parcel_year = '2024' and parcel_id = '23092224431');</v>
      </c>
    </row>
    <row r="595" spans="1:85" x14ac:dyDescent="0.25">
      <c r="A595">
        <v>23092224432</v>
      </c>
      <c r="B595">
        <v>0.18</v>
      </c>
      <c r="C595">
        <v>7854</v>
      </c>
      <c r="D595" t="s">
        <v>129</v>
      </c>
      <c r="E595" t="s">
        <v>53</v>
      </c>
      <c r="F595" t="s">
        <v>53</v>
      </c>
      <c r="G595">
        <v>4</v>
      </c>
      <c r="H595" t="s">
        <v>54</v>
      </c>
      <c r="I595">
        <v>189600</v>
      </c>
      <c r="J595">
        <v>39000</v>
      </c>
      <c r="K595">
        <v>0.18</v>
      </c>
      <c r="L59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595">
        <v>0</v>
      </c>
      <c r="N595">
        <v>0</v>
      </c>
      <c r="O595">
        <v>0</v>
      </c>
      <c r="P595">
        <v>13398.7528</v>
      </c>
      <c r="Q595">
        <v>63903</v>
      </c>
      <c r="R595">
        <f>(Grandview_Inventory[[#This Row],[ln_acres]]*Grandview_Inventory[[#This Row],[coeff]])+Grandview_Inventory[[#This Row],[const]]</f>
        <v>40926.839760167699</v>
      </c>
      <c r="S595" t="s">
        <v>61</v>
      </c>
      <c r="T595">
        <v>1</v>
      </c>
      <c r="U595" t="s">
        <v>62</v>
      </c>
      <c r="V595" t="s">
        <v>67</v>
      </c>
      <c r="W595">
        <v>0</v>
      </c>
      <c r="X595">
        <v>0</v>
      </c>
      <c r="Y595">
        <v>43</v>
      </c>
      <c r="Z595">
        <v>45</v>
      </c>
      <c r="AA595">
        <v>50</v>
      </c>
      <c r="AB595">
        <v>1500</v>
      </c>
      <c r="AC595">
        <v>1446</v>
      </c>
      <c r="AD595">
        <v>1446</v>
      </c>
      <c r="AE595">
        <v>0</v>
      </c>
      <c r="AF595">
        <v>0</v>
      </c>
      <c r="AG595">
        <v>0</v>
      </c>
      <c r="AH595">
        <v>0</v>
      </c>
      <c r="AI595">
        <v>552</v>
      </c>
      <c r="AJ595">
        <v>0</v>
      </c>
      <c r="AK595">
        <v>0</v>
      </c>
      <c r="AL595">
        <v>0</v>
      </c>
      <c r="AM595">
        <v>401</v>
      </c>
      <c r="AN595">
        <v>0</v>
      </c>
      <c r="AO595">
        <v>0</v>
      </c>
      <c r="AP595">
        <v>8</v>
      </c>
      <c r="AQ595">
        <v>0</v>
      </c>
      <c r="AR595">
        <v>0</v>
      </c>
      <c r="AS595" t="s">
        <v>58</v>
      </c>
      <c r="AT595">
        <v>1</v>
      </c>
      <c r="AU595" t="s">
        <v>63</v>
      </c>
      <c r="AV595" t="s">
        <v>64</v>
      </c>
      <c r="AW595">
        <v>1</v>
      </c>
      <c r="AX595">
        <v>3</v>
      </c>
      <c r="AY595">
        <v>0</v>
      </c>
      <c r="AZ595">
        <v>0</v>
      </c>
      <c r="BA595">
        <v>100</v>
      </c>
      <c r="BB595">
        <v>100</v>
      </c>
      <c r="BC595">
        <v>100</v>
      </c>
      <c r="BD595">
        <v>100</v>
      </c>
      <c r="BE595">
        <v>1</v>
      </c>
      <c r="BF595">
        <v>15000</v>
      </c>
      <c r="BG595">
        <v>1000</v>
      </c>
      <c r="BH595" s="6">
        <f>Grandview_Inventory[[#This Row],[land_extract]]*Lookups!$B$3</f>
        <v>47528.228511015397</v>
      </c>
      <c r="BI595" s="6">
        <f>IF(Grandview_Inventory[[#This Row],[bldg_style]]="",0,Lookups!$B$2)</f>
        <v>155833.95000000001</v>
      </c>
      <c r="BJ595" s="6">
        <f>_xlfn.IFNA(VLOOKUP(Grandview_Inventory[[#This Row],[quality]],Lookups!$H$2:$J$14,3,FALSE),0)</f>
        <v>9808</v>
      </c>
      <c r="BK595" s="6">
        <f>_xlfn.IFNA(VLOOKUP(Grandview_Inventory[[#This Row],[condition]],Lookups!$H$17:$J$24,3,FALSE),0)</f>
        <v>22342</v>
      </c>
      <c r="BL595" s="6">
        <f>Grandview_Inventory[[#This Row],[Eff_Age]]*Lookups!$B$14</f>
        <v>-10284.1638</v>
      </c>
      <c r="BM595" s="6">
        <f>Grandview_Inventory[[#This Row],[living_area]]*Lookups!$B$15</f>
        <v>90202.713438000006</v>
      </c>
      <c r="BN595" s="6">
        <f>Grandview_Inventory[[#This Row],[Fin BSMT]]*Lookups!$B$16</f>
        <v>0</v>
      </c>
      <c r="BO595" s="6">
        <f>(Grandview_Inventory[[#This Row],[att_gar]]+Grandview_Inventory[[#This Row],[bltin_gar]])*Lookups!$B$17</f>
        <v>48311.281223999998</v>
      </c>
      <c r="BP595" s="6">
        <f>Grandview_Inventory[[#This Row],[Plumbing Fixtures]]*Lookups!$B$18</f>
        <v>16083.5344</v>
      </c>
      <c r="BQ595" s="6">
        <f>Grandview_Inventory[[#This Row],[detatched_value]]*Lookups!$B$19</f>
        <v>0</v>
      </c>
      <c r="BR595" s="6">
        <f>SUM(Grandview_Inventory[[#This Row],[Intercept]:[det_value]])*Grandview_Inventory[[#This Row],[res_pct]]</f>
        <v>332297.31526200002</v>
      </c>
      <c r="BS595" s="6">
        <f>Grandview_Inventory[[#This Row],[land_value]]</f>
        <v>47528.228511015397</v>
      </c>
      <c r="BT595" s="4">
        <f>_xlfn.IFNA(VLOOKUP(Grandview_Inventory[[#This Row],[quality]],Lookups!$A$26:$C$33,3,FALSE),1)</f>
        <v>0.94295468617355149</v>
      </c>
      <c r="BU595" s="4">
        <f>_xlfn.IFNA(VLOOKUP(Grandview_Inventory[[#This Row],[condition]],Lookups!$A$37:$C$44,3,FALSE),1)</f>
        <v>0.97383723671140243</v>
      </c>
      <c r="BV595" s="4">
        <f>IF(Grandview_Inventory[[#This Row],[bldg_style]]="",1,_xlfn.IFNA(VLOOKUP(Grandview_Inventory[[#This Row],[decade]],Lookups!$F$29:$H$43,3,FALSE),1))</f>
        <v>0.9871940091910919</v>
      </c>
      <c r="BW595" s="4">
        <f>_xlfn.IFNA(VLOOKUP(Grandview_Inventory[[#This Row],[living_area_range]],Lookups!$F$47:$H$56,3,FALSE),1)</f>
        <v>0.96135087979789358</v>
      </c>
      <c r="BX595" s="4">
        <f>AVERAGE(Grandview_Inventory[[#This Row],[qual_adj]:[size_adj]])</f>
        <v>0.96633420296848482</v>
      </c>
      <c r="BY595" s="6">
        <f>IF(Grandview_Inventory[[#This Row],[pre_res]]&lt;0,0,Grandview_Inventory[[#This Row],[pre_res]]*Grandview_Inventory[[#This Row],[overall_adj]])</f>
        <v>321110.26129227213</v>
      </c>
      <c r="BZ595" s="6">
        <f>(Grandview_Inventory[[#This Row],[sum_land]]-IF(Grandview_Inventory[[#This Row],[no_utilities]]=1,12000,0))/IF(Grandview_Inventory[[#This Row],[unbuildable]]=1,2,1)</f>
        <v>47528.228511015397</v>
      </c>
      <c r="CA59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595">
        <f>ROUND(Grandview_Inventory[[#This Row],[det_value]]*Lookups!$M$28,-2)</f>
        <v>0</v>
      </c>
      <c r="CC595">
        <f>IF(ROUND(Grandview_Inventory[[#This Row],[adj_res]]*Lookups!$M$28,-2)&lt;Grandview_Inventory[[#This Row],[min_res]],Grandview_Inventory[[#This Row],[min_res]],ROUND(Grandview_Inventory[[#This Row],[adj_res]]*Lookups!$M$28,-2))</f>
        <v>305100</v>
      </c>
      <c r="CD595">
        <f>Grandview_Inventory[[#This Row],[final_det]]+Grandview_Inventory[[#This Row],[final_res]]</f>
        <v>305100</v>
      </c>
      <c r="CE595">
        <f>Grandview_Inventory[[#This Row],[final_land]]+Grandview_Inventory[[#This Row],[final_imp]]+Grandview_Inventory[[#This Row],[crop_value]]</f>
        <v>350300</v>
      </c>
      <c r="CG595" t="str">
        <f t="shared" si="9"/>
        <v>update valuation set market_land =45200, market_bldg=305100, market_total =350300, market_mdno =401, market_date ='9/10/2023' where link_id = (select link_id from parcel where parcel_year = '2024' and parcel_id = '23092224432');</v>
      </c>
    </row>
    <row r="596" spans="1:85" x14ac:dyDescent="0.25">
      <c r="A596">
        <v>23092224433</v>
      </c>
      <c r="B596">
        <v>0.2</v>
      </c>
      <c r="C596">
        <v>8808</v>
      </c>
      <c r="D596" t="s">
        <v>129</v>
      </c>
      <c r="E596" t="s">
        <v>53</v>
      </c>
      <c r="F596" t="s">
        <v>53</v>
      </c>
      <c r="G596">
        <v>4</v>
      </c>
      <c r="H596" t="s">
        <v>54</v>
      </c>
      <c r="I596">
        <v>198600</v>
      </c>
      <c r="J596">
        <v>43700</v>
      </c>
      <c r="K596">
        <v>0.2</v>
      </c>
      <c r="L59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596">
        <v>0</v>
      </c>
      <c r="N596">
        <v>0</v>
      </c>
      <c r="O596">
        <v>0</v>
      </c>
      <c r="P596">
        <v>13398.7528</v>
      </c>
      <c r="Q596">
        <v>63903</v>
      </c>
      <c r="R596">
        <f>(Grandview_Inventory[[#This Row],[ln_acres]]*Grandview_Inventory[[#This Row],[coeff]])+Grandview_Inventory[[#This Row],[const]]</f>
        <v>42338.539264347448</v>
      </c>
      <c r="S596" t="s">
        <v>61</v>
      </c>
      <c r="T596">
        <v>1</v>
      </c>
      <c r="U596" t="s">
        <v>62</v>
      </c>
      <c r="V596" t="s">
        <v>69</v>
      </c>
      <c r="W596">
        <v>0</v>
      </c>
      <c r="X596">
        <v>0</v>
      </c>
      <c r="Y596">
        <v>43</v>
      </c>
      <c r="Z596">
        <v>44</v>
      </c>
      <c r="AA596">
        <v>50</v>
      </c>
      <c r="AB596">
        <v>2000</v>
      </c>
      <c r="AC596">
        <v>1508</v>
      </c>
      <c r="AD596">
        <v>1508</v>
      </c>
      <c r="AE596">
        <v>0</v>
      </c>
      <c r="AF596">
        <v>0</v>
      </c>
      <c r="AG596">
        <v>0</v>
      </c>
      <c r="AH596">
        <v>0</v>
      </c>
      <c r="AI596">
        <v>364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7</v>
      </c>
      <c r="AQ596">
        <v>1</v>
      </c>
      <c r="AR596">
        <v>0</v>
      </c>
      <c r="AS596" t="s">
        <v>58</v>
      </c>
      <c r="AT596">
        <v>1</v>
      </c>
      <c r="AU596" t="s">
        <v>63</v>
      </c>
      <c r="AV596" t="s">
        <v>60</v>
      </c>
      <c r="AW596">
        <v>1</v>
      </c>
      <c r="AX596">
        <v>3</v>
      </c>
      <c r="AY596">
        <v>0</v>
      </c>
      <c r="AZ596">
        <v>0</v>
      </c>
      <c r="BA596">
        <v>100</v>
      </c>
      <c r="BB596">
        <v>100</v>
      </c>
      <c r="BC596">
        <v>100</v>
      </c>
      <c r="BD596">
        <v>100</v>
      </c>
      <c r="BE596">
        <v>1</v>
      </c>
      <c r="BF596">
        <v>15000</v>
      </c>
      <c r="BG596">
        <v>1000</v>
      </c>
      <c r="BH596" s="6">
        <f>Grandview_Inventory[[#This Row],[land_extract]]*Lookups!$B$3</f>
        <v>49167.631333630678</v>
      </c>
      <c r="BI596" s="6">
        <f>IF(Grandview_Inventory[[#This Row],[bldg_style]]="",0,Lookups!$B$2)</f>
        <v>155833.95000000001</v>
      </c>
      <c r="BJ596" s="6">
        <f>_xlfn.IFNA(VLOOKUP(Grandview_Inventory[[#This Row],[quality]],Lookups!$H$2:$J$14,3,FALSE),0)</f>
        <v>9808</v>
      </c>
      <c r="BK596" s="6">
        <f>_xlfn.IFNA(VLOOKUP(Grandview_Inventory[[#This Row],[condition]],Lookups!$H$17:$J$24,3,FALSE),0)</f>
        <v>-4503</v>
      </c>
      <c r="BL596" s="6">
        <f>Grandview_Inventory[[#This Row],[Eff_Age]]*Lookups!$B$14</f>
        <v>-10284.1638</v>
      </c>
      <c r="BM596" s="6">
        <f>Grandview_Inventory[[#This Row],[living_area]]*Lookups!$B$15</f>
        <v>94070.326324000009</v>
      </c>
      <c r="BN596" s="6">
        <f>Grandview_Inventory[[#This Row],[Fin BSMT]]*Lookups!$B$16</f>
        <v>0</v>
      </c>
      <c r="BO596" s="6">
        <f>(Grandview_Inventory[[#This Row],[att_gar]]+Grandview_Inventory[[#This Row],[bltin_gar]])*Lookups!$B$17</f>
        <v>31857.439068</v>
      </c>
      <c r="BP596" s="6">
        <f>Grandview_Inventory[[#This Row],[Plumbing Fixtures]]*Lookups!$B$18</f>
        <v>14073.0926</v>
      </c>
      <c r="BQ596" s="6">
        <f>Grandview_Inventory[[#This Row],[detatched_value]]*Lookups!$B$19</f>
        <v>0</v>
      </c>
      <c r="BR596" s="6">
        <f>SUM(Grandview_Inventory[[#This Row],[Intercept]:[det_value]])*Grandview_Inventory[[#This Row],[res_pct]]</f>
        <v>290855.64419199998</v>
      </c>
      <c r="BS596" s="6">
        <f>Grandview_Inventory[[#This Row],[land_value]]</f>
        <v>49167.631333630678</v>
      </c>
      <c r="BT596" s="4">
        <f>_xlfn.IFNA(VLOOKUP(Grandview_Inventory[[#This Row],[quality]],Lookups!$A$26:$C$33,3,FALSE),1)</f>
        <v>0.94295468617355149</v>
      </c>
      <c r="BU596" s="4">
        <f>_xlfn.IFNA(VLOOKUP(Grandview_Inventory[[#This Row],[condition]],Lookups!$A$37:$C$44,3,FALSE),1)</f>
        <v>0.96469275950863709</v>
      </c>
      <c r="BV596" s="4">
        <f>IF(Grandview_Inventory[[#This Row],[bldg_style]]="",1,_xlfn.IFNA(VLOOKUP(Grandview_Inventory[[#This Row],[decade]],Lookups!$F$29:$H$43,3,FALSE),1))</f>
        <v>0.9871940091910919</v>
      </c>
      <c r="BW596" s="4">
        <f>_xlfn.IFNA(VLOOKUP(Grandview_Inventory[[#This Row],[living_area_range]],Lookups!$F$47:$H$56,3,FALSE),1)</f>
        <v>0.96120133463014379</v>
      </c>
      <c r="BX596" s="4">
        <f>AVERAGE(Grandview_Inventory[[#This Row],[qual_adj]:[size_adj]])</f>
        <v>0.96401069737585598</v>
      </c>
      <c r="BY596" s="6">
        <f>IF(Grandview_Inventory[[#This Row],[pre_res]]&lt;0,0,Grandview_Inventory[[#This Row],[pre_res]]*Grandview_Inventory[[#This Row],[overall_adj]])</f>
        <v>280387.95239323372</v>
      </c>
      <c r="BZ596" s="6">
        <f>(Grandview_Inventory[[#This Row],[sum_land]]-IF(Grandview_Inventory[[#This Row],[no_utilities]]=1,12000,0))/IF(Grandview_Inventory[[#This Row],[unbuildable]]=1,2,1)</f>
        <v>49167.631333630678</v>
      </c>
      <c r="CA59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596">
        <f>ROUND(Grandview_Inventory[[#This Row],[det_value]]*Lookups!$M$28,-2)</f>
        <v>0</v>
      </c>
      <c r="CC596">
        <f>IF(ROUND(Grandview_Inventory[[#This Row],[adj_res]]*Lookups!$M$28,-2)&lt;Grandview_Inventory[[#This Row],[min_res]],Grandview_Inventory[[#This Row],[min_res]],ROUND(Grandview_Inventory[[#This Row],[adj_res]]*Lookups!$M$28,-2))</f>
        <v>266400</v>
      </c>
      <c r="CD596">
        <f>Grandview_Inventory[[#This Row],[final_det]]+Grandview_Inventory[[#This Row],[final_res]]</f>
        <v>266400</v>
      </c>
      <c r="CE596">
        <f>Grandview_Inventory[[#This Row],[final_land]]+Grandview_Inventory[[#This Row],[final_imp]]+Grandview_Inventory[[#This Row],[crop_value]]</f>
        <v>313100</v>
      </c>
      <c r="CG596" t="str">
        <f t="shared" si="9"/>
        <v>update valuation set market_land =46700, market_bldg=266400, market_total =313100, market_mdno =401, market_date ='9/10/2023' where link_id = (select link_id from parcel where parcel_year = '2024' and parcel_id = '23092224433');</v>
      </c>
    </row>
    <row r="597" spans="1:85" x14ac:dyDescent="0.25">
      <c r="A597">
        <v>23092224434</v>
      </c>
      <c r="B597">
        <v>0.18</v>
      </c>
      <c r="C597">
        <v>7988</v>
      </c>
      <c r="D597" t="s">
        <v>129</v>
      </c>
      <c r="E597" t="s">
        <v>53</v>
      </c>
      <c r="F597" t="s">
        <v>53</v>
      </c>
      <c r="G597">
        <v>4</v>
      </c>
      <c r="H597" t="s">
        <v>54</v>
      </c>
      <c r="I597">
        <v>194200</v>
      </c>
      <c r="J597">
        <v>43100</v>
      </c>
      <c r="K597">
        <v>0.18</v>
      </c>
      <c r="L59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597">
        <v>0</v>
      </c>
      <c r="N597">
        <v>0</v>
      </c>
      <c r="O597">
        <v>0</v>
      </c>
      <c r="P597">
        <v>13398.7528</v>
      </c>
      <c r="Q597">
        <v>63903</v>
      </c>
      <c r="R597">
        <f>(Grandview_Inventory[[#This Row],[ln_acres]]*Grandview_Inventory[[#This Row],[coeff]])+Grandview_Inventory[[#This Row],[const]]</f>
        <v>40926.839760167699</v>
      </c>
      <c r="S597" t="s">
        <v>61</v>
      </c>
      <c r="T597">
        <v>1</v>
      </c>
      <c r="U597" t="s">
        <v>62</v>
      </c>
      <c r="V597" t="s">
        <v>69</v>
      </c>
      <c r="W597">
        <v>0</v>
      </c>
      <c r="X597">
        <v>0</v>
      </c>
      <c r="Y597">
        <v>43</v>
      </c>
      <c r="Z597">
        <v>44</v>
      </c>
      <c r="AA597">
        <v>50</v>
      </c>
      <c r="AB597">
        <v>1500</v>
      </c>
      <c r="AC597">
        <v>1416</v>
      </c>
      <c r="AD597">
        <v>1416</v>
      </c>
      <c r="AE597">
        <v>0</v>
      </c>
      <c r="AF597">
        <v>0</v>
      </c>
      <c r="AG597">
        <v>0</v>
      </c>
      <c r="AH597">
        <v>0</v>
      </c>
      <c r="AI597">
        <v>528</v>
      </c>
      <c r="AJ597">
        <v>0</v>
      </c>
      <c r="AK597">
        <v>0</v>
      </c>
      <c r="AL597">
        <v>0</v>
      </c>
      <c r="AM597">
        <v>684</v>
      </c>
      <c r="AN597">
        <v>0</v>
      </c>
      <c r="AO597">
        <v>466</v>
      </c>
      <c r="AP597">
        <v>8</v>
      </c>
      <c r="AQ597">
        <v>0</v>
      </c>
      <c r="AR597">
        <v>0</v>
      </c>
      <c r="AS597" t="s">
        <v>58</v>
      </c>
      <c r="AT597">
        <v>1</v>
      </c>
      <c r="AU597" t="s">
        <v>63</v>
      </c>
      <c r="AV597" t="s">
        <v>60</v>
      </c>
      <c r="AW597">
        <v>1</v>
      </c>
      <c r="AX597">
        <v>3</v>
      </c>
      <c r="AY597">
        <v>0</v>
      </c>
      <c r="AZ597">
        <v>1600</v>
      </c>
      <c r="BA597">
        <v>100</v>
      </c>
      <c r="BB597">
        <v>100</v>
      </c>
      <c r="BC597">
        <v>100</v>
      </c>
      <c r="BD597">
        <v>100</v>
      </c>
      <c r="BE597">
        <v>1</v>
      </c>
      <c r="BF597">
        <v>15000</v>
      </c>
      <c r="BG597">
        <v>1000</v>
      </c>
      <c r="BH597" s="6">
        <f>Grandview_Inventory[[#This Row],[land_extract]]*Lookups!$B$3</f>
        <v>47528.228511015397</v>
      </c>
      <c r="BI597" s="6">
        <f>IF(Grandview_Inventory[[#This Row],[bldg_style]]="",0,Lookups!$B$2)</f>
        <v>155833.95000000001</v>
      </c>
      <c r="BJ597" s="6">
        <f>_xlfn.IFNA(VLOOKUP(Grandview_Inventory[[#This Row],[quality]],Lookups!$H$2:$J$14,3,FALSE),0)</f>
        <v>9808</v>
      </c>
      <c r="BK597" s="6">
        <f>_xlfn.IFNA(VLOOKUP(Grandview_Inventory[[#This Row],[condition]],Lookups!$H$17:$J$24,3,FALSE),0)</f>
        <v>-4503</v>
      </c>
      <c r="BL597" s="6">
        <f>Grandview_Inventory[[#This Row],[Eff_Age]]*Lookups!$B$14</f>
        <v>-10284.1638</v>
      </c>
      <c r="BM597" s="6">
        <f>Grandview_Inventory[[#This Row],[living_area]]*Lookups!$B$15</f>
        <v>88331.287848000007</v>
      </c>
      <c r="BN597" s="6">
        <f>Grandview_Inventory[[#This Row],[Fin BSMT]]*Lookups!$B$16</f>
        <v>0</v>
      </c>
      <c r="BO597" s="6">
        <f>(Grandview_Inventory[[#This Row],[att_gar]]+Grandview_Inventory[[#This Row],[bltin_gar]])*Lookups!$B$17</f>
        <v>46210.790736000003</v>
      </c>
      <c r="BP597" s="6">
        <f>Grandview_Inventory[[#This Row],[Plumbing Fixtures]]*Lookups!$B$18</f>
        <v>16083.5344</v>
      </c>
      <c r="BQ597" s="6">
        <f>Grandview_Inventory[[#This Row],[detatched_value]]*Lookups!$B$19</f>
        <v>1354.88816</v>
      </c>
      <c r="BR597" s="6">
        <f>SUM(Grandview_Inventory[[#This Row],[Intercept]:[det_value]])*Grandview_Inventory[[#This Row],[res_pct]]</f>
        <v>302835.28734400001</v>
      </c>
      <c r="BS597" s="6">
        <f>Grandview_Inventory[[#This Row],[land_value]]</f>
        <v>47528.228511015397</v>
      </c>
      <c r="BT597" s="4">
        <f>_xlfn.IFNA(VLOOKUP(Grandview_Inventory[[#This Row],[quality]],Lookups!$A$26:$C$33,3,FALSE),1)</f>
        <v>0.94295468617355149</v>
      </c>
      <c r="BU597" s="4">
        <f>_xlfn.IFNA(VLOOKUP(Grandview_Inventory[[#This Row],[condition]],Lookups!$A$37:$C$44,3,FALSE),1)</f>
        <v>0.96469275950863709</v>
      </c>
      <c r="BV597" s="4">
        <f>IF(Grandview_Inventory[[#This Row],[bldg_style]]="",1,_xlfn.IFNA(VLOOKUP(Grandview_Inventory[[#This Row],[decade]],Lookups!$F$29:$H$43,3,FALSE),1))</f>
        <v>0.9871940091910919</v>
      </c>
      <c r="BW597" s="4">
        <f>_xlfn.IFNA(VLOOKUP(Grandview_Inventory[[#This Row],[living_area_range]],Lookups!$F$47:$H$56,3,FALSE),1)</f>
        <v>0.96135087979789358</v>
      </c>
      <c r="BX597" s="4">
        <f>AVERAGE(Grandview_Inventory[[#This Row],[qual_adj]:[size_adj]])</f>
        <v>0.96404808366779349</v>
      </c>
      <c r="BY597" s="6">
        <f>IF(Grandview_Inventory[[#This Row],[pre_res]]&lt;0,0,Grandview_Inventory[[#This Row],[pre_res]]*Grandview_Inventory[[#This Row],[overall_adj]])</f>
        <v>291947.77843096881</v>
      </c>
      <c r="BZ597" s="6">
        <f>(Grandview_Inventory[[#This Row],[sum_land]]-IF(Grandview_Inventory[[#This Row],[no_utilities]]=1,12000,0))/IF(Grandview_Inventory[[#This Row],[unbuildable]]=1,2,1)</f>
        <v>47528.228511015397</v>
      </c>
      <c r="CA59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597">
        <f>ROUND(Grandview_Inventory[[#This Row],[det_value]]*Lookups!$M$28,-2)</f>
        <v>1300</v>
      </c>
      <c r="CC597">
        <f>IF(ROUND(Grandview_Inventory[[#This Row],[adj_res]]*Lookups!$M$28,-2)&lt;Grandview_Inventory[[#This Row],[min_res]],Grandview_Inventory[[#This Row],[min_res]],ROUND(Grandview_Inventory[[#This Row],[adj_res]]*Lookups!$M$28,-2))</f>
        <v>277400</v>
      </c>
      <c r="CD597">
        <f>Grandview_Inventory[[#This Row],[final_det]]+Grandview_Inventory[[#This Row],[final_res]]</f>
        <v>278700</v>
      </c>
      <c r="CE597">
        <f>Grandview_Inventory[[#This Row],[final_land]]+Grandview_Inventory[[#This Row],[final_imp]]+Grandview_Inventory[[#This Row],[crop_value]]</f>
        <v>323900</v>
      </c>
      <c r="CG597" t="str">
        <f t="shared" si="9"/>
        <v>update valuation set market_land =45200, market_bldg=278700, market_total =323900, market_mdno =401, market_date ='9/10/2023' where link_id = (select link_id from parcel where parcel_year = '2024' and parcel_id = '23092224434');</v>
      </c>
    </row>
    <row r="598" spans="1:85" x14ac:dyDescent="0.25">
      <c r="A598">
        <v>23092224435</v>
      </c>
      <c r="B598">
        <v>0.19</v>
      </c>
      <c r="C598">
        <v>8093</v>
      </c>
      <c r="D598" t="s">
        <v>129</v>
      </c>
      <c r="E598" t="s">
        <v>53</v>
      </c>
      <c r="F598" t="s">
        <v>53</v>
      </c>
      <c r="G598">
        <v>4</v>
      </c>
      <c r="H598" t="s">
        <v>54</v>
      </c>
      <c r="I598">
        <v>220600</v>
      </c>
      <c r="J598">
        <v>43300</v>
      </c>
      <c r="K598">
        <v>0.19</v>
      </c>
      <c r="L59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598">
        <v>0</v>
      </c>
      <c r="N598">
        <v>0</v>
      </c>
      <c r="O598">
        <v>0</v>
      </c>
      <c r="P598">
        <v>13398.7528</v>
      </c>
      <c r="Q598">
        <v>63903</v>
      </c>
      <c r="R598">
        <f>(Grandview_Inventory[[#This Row],[ln_acres]]*Grandview_Inventory[[#This Row],[coeff]])+Grandview_Inventory[[#This Row],[const]]</f>
        <v>41651.273092551026</v>
      </c>
      <c r="S598" t="s">
        <v>58</v>
      </c>
      <c r="T598">
        <v>2</v>
      </c>
      <c r="U598" t="s">
        <v>64</v>
      </c>
      <c r="V598" t="s">
        <v>67</v>
      </c>
      <c r="W598">
        <v>0</v>
      </c>
      <c r="X598">
        <v>0</v>
      </c>
      <c r="Y598">
        <v>43</v>
      </c>
      <c r="Z598">
        <v>44</v>
      </c>
      <c r="AA598">
        <v>50</v>
      </c>
      <c r="AB598">
        <v>2000</v>
      </c>
      <c r="AC598">
        <v>1860</v>
      </c>
      <c r="AD598">
        <v>1170</v>
      </c>
      <c r="AE598">
        <v>690</v>
      </c>
      <c r="AF598">
        <v>0</v>
      </c>
      <c r="AG598">
        <v>0</v>
      </c>
      <c r="AH598">
        <v>0</v>
      </c>
      <c r="AI598">
        <v>460</v>
      </c>
      <c r="AJ598">
        <v>0</v>
      </c>
      <c r="AK598">
        <v>0</v>
      </c>
      <c r="AL598">
        <v>456</v>
      </c>
      <c r="AM598">
        <v>400</v>
      </c>
      <c r="AN598">
        <v>0</v>
      </c>
      <c r="AO598">
        <v>0</v>
      </c>
      <c r="AP598">
        <v>12</v>
      </c>
      <c r="AQ598">
        <v>0</v>
      </c>
      <c r="AR598">
        <v>0</v>
      </c>
      <c r="AS598" t="s">
        <v>58</v>
      </c>
      <c r="AT598">
        <v>1</v>
      </c>
      <c r="AU598" t="s">
        <v>63</v>
      </c>
      <c r="AV598" t="s">
        <v>60</v>
      </c>
      <c r="AW598">
        <v>1</v>
      </c>
      <c r="AX598">
        <v>3</v>
      </c>
      <c r="AY598">
        <v>0</v>
      </c>
      <c r="AZ598">
        <v>0</v>
      </c>
      <c r="BA598">
        <v>100</v>
      </c>
      <c r="BB598">
        <v>100</v>
      </c>
      <c r="BC598">
        <v>100</v>
      </c>
      <c r="BD598">
        <v>100</v>
      </c>
      <c r="BE598">
        <v>1</v>
      </c>
      <c r="BF598">
        <v>15000</v>
      </c>
      <c r="BG598">
        <v>1000</v>
      </c>
      <c r="BH598" s="6">
        <f>Grandview_Inventory[[#This Row],[land_extract]]*Lookups!$B$3</f>
        <v>48369.510983942157</v>
      </c>
      <c r="BI598" s="6">
        <f>IF(Grandview_Inventory[[#This Row],[bldg_style]]="",0,Lookups!$B$2)</f>
        <v>155833.95000000001</v>
      </c>
      <c r="BJ598" s="6">
        <f>_xlfn.IFNA(VLOOKUP(Grandview_Inventory[[#This Row],[quality]],Lookups!$H$2:$J$14,3,FALSE),0)</f>
        <v>20768</v>
      </c>
      <c r="BK598" s="6">
        <f>_xlfn.IFNA(VLOOKUP(Grandview_Inventory[[#This Row],[condition]],Lookups!$H$17:$J$24,3,FALSE),0)</f>
        <v>22342</v>
      </c>
      <c r="BL598" s="6">
        <f>Grandview_Inventory[[#This Row],[Eff_Age]]*Lookups!$B$14</f>
        <v>-10284.1638</v>
      </c>
      <c r="BM598" s="6">
        <f>Grandview_Inventory[[#This Row],[living_area]]*Lookups!$B$15</f>
        <v>116028.38658000001</v>
      </c>
      <c r="BN598" s="6">
        <f>Grandview_Inventory[[#This Row],[Fin BSMT]]*Lookups!$B$16</f>
        <v>0</v>
      </c>
      <c r="BO598" s="6">
        <f>(Grandview_Inventory[[#This Row],[att_gar]]+Grandview_Inventory[[#This Row],[bltin_gar]])*Lookups!$B$17</f>
        <v>40259.401019999998</v>
      </c>
      <c r="BP598" s="6">
        <f>Grandview_Inventory[[#This Row],[Plumbing Fixtures]]*Lookups!$B$18</f>
        <v>24125.301599999999</v>
      </c>
      <c r="BQ598" s="6">
        <f>Grandview_Inventory[[#This Row],[detatched_value]]*Lookups!$B$19</f>
        <v>0</v>
      </c>
      <c r="BR598" s="6">
        <f>SUM(Grandview_Inventory[[#This Row],[Intercept]:[det_value]])*Grandview_Inventory[[#This Row],[res_pct]]</f>
        <v>369072.87540000002</v>
      </c>
      <c r="BS598" s="6">
        <f>Grandview_Inventory[[#This Row],[land_value]]</f>
        <v>48369.510983942157</v>
      </c>
      <c r="BT598" s="4">
        <f>_xlfn.IFNA(VLOOKUP(Grandview_Inventory[[#This Row],[quality]],Lookups!$A$26:$C$33,3,FALSE),1)</f>
        <v>0.94960540378902636</v>
      </c>
      <c r="BU598" s="4">
        <f>_xlfn.IFNA(VLOOKUP(Grandview_Inventory[[#This Row],[condition]],Lookups!$A$37:$C$44,3,FALSE),1)</f>
        <v>0.97383723671140243</v>
      </c>
      <c r="BV598" s="4">
        <f>IF(Grandview_Inventory[[#This Row],[bldg_style]]="",1,_xlfn.IFNA(VLOOKUP(Grandview_Inventory[[#This Row],[decade]],Lookups!$F$29:$H$43,3,FALSE),1))</f>
        <v>0.9871940091910919</v>
      </c>
      <c r="BW598" s="4">
        <f>_xlfn.IFNA(VLOOKUP(Grandview_Inventory[[#This Row],[living_area_range]],Lookups!$F$47:$H$56,3,FALSE),1)</f>
        <v>0.96120133463014379</v>
      </c>
      <c r="BX598" s="4">
        <f>AVERAGE(Grandview_Inventory[[#This Row],[qual_adj]:[size_adj]])</f>
        <v>0.96795949608041609</v>
      </c>
      <c r="BY598" s="6">
        <f>IF(Grandview_Inventory[[#This Row],[pre_res]]&lt;0,0,Grandview_Inventory[[#This Row],[pre_res]]*Grandview_Inventory[[#This Row],[overall_adj]])</f>
        <v>357247.59448913421</v>
      </c>
      <c r="BZ598" s="6">
        <f>(Grandview_Inventory[[#This Row],[sum_land]]-IF(Grandview_Inventory[[#This Row],[no_utilities]]=1,12000,0))/IF(Grandview_Inventory[[#This Row],[unbuildable]]=1,2,1)</f>
        <v>48369.510983942157</v>
      </c>
      <c r="CA59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598">
        <f>ROUND(Grandview_Inventory[[#This Row],[det_value]]*Lookups!$M$28,-2)</f>
        <v>0</v>
      </c>
      <c r="CC598">
        <f>IF(ROUND(Grandview_Inventory[[#This Row],[adj_res]]*Lookups!$M$28,-2)&lt;Grandview_Inventory[[#This Row],[min_res]],Grandview_Inventory[[#This Row],[min_res]],ROUND(Grandview_Inventory[[#This Row],[adj_res]]*Lookups!$M$28,-2))</f>
        <v>339400</v>
      </c>
      <c r="CD598">
        <f>Grandview_Inventory[[#This Row],[final_det]]+Grandview_Inventory[[#This Row],[final_res]]</f>
        <v>339400</v>
      </c>
      <c r="CE598">
        <f>Grandview_Inventory[[#This Row],[final_land]]+Grandview_Inventory[[#This Row],[final_imp]]+Grandview_Inventory[[#This Row],[crop_value]]</f>
        <v>385400</v>
      </c>
      <c r="CG598" t="str">
        <f t="shared" si="9"/>
        <v>update valuation set market_land =46000, market_bldg=339400, market_total =385400, market_mdno =401, market_date ='9/10/2023' where link_id = (select link_id from parcel where parcel_year = '2024' and parcel_id = '23092224435');</v>
      </c>
    </row>
    <row r="599" spans="1:85" x14ac:dyDescent="0.25">
      <c r="A599">
        <v>23092224436</v>
      </c>
      <c r="B599">
        <v>0.23</v>
      </c>
      <c r="C599">
        <v>9915</v>
      </c>
      <c r="D599" t="s">
        <v>129</v>
      </c>
      <c r="E599" t="s">
        <v>53</v>
      </c>
      <c r="F599" t="s">
        <v>53</v>
      </c>
      <c r="G599">
        <v>4</v>
      </c>
      <c r="H599" t="s">
        <v>54</v>
      </c>
      <c r="I599">
        <v>283800</v>
      </c>
      <c r="J599">
        <v>43800</v>
      </c>
      <c r="K599">
        <v>0.23</v>
      </c>
      <c r="L59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599">
        <v>0</v>
      </c>
      <c r="N599">
        <v>0</v>
      </c>
      <c r="O599">
        <v>0</v>
      </c>
      <c r="P599">
        <v>13398.7528</v>
      </c>
      <c r="Q599">
        <v>63903</v>
      </c>
      <c r="R599">
        <f>(Grandview_Inventory[[#This Row],[ln_acres]]*Grandview_Inventory[[#This Row],[coeff]])+Grandview_Inventory[[#This Row],[const]]</f>
        <v>44211.174981080039</v>
      </c>
      <c r="S599" t="s">
        <v>58</v>
      </c>
      <c r="T599">
        <v>2</v>
      </c>
      <c r="U599" t="s">
        <v>62</v>
      </c>
      <c r="V599" t="s">
        <v>67</v>
      </c>
      <c r="W599">
        <v>0</v>
      </c>
      <c r="X599">
        <v>0</v>
      </c>
      <c r="Y599">
        <v>33</v>
      </c>
      <c r="Z599">
        <v>33</v>
      </c>
      <c r="AA599">
        <v>40</v>
      </c>
      <c r="AB599">
        <v>2500</v>
      </c>
      <c r="AC599">
        <v>2141</v>
      </c>
      <c r="AD599">
        <v>1478</v>
      </c>
      <c r="AE599">
        <v>663</v>
      </c>
      <c r="AF599">
        <v>0</v>
      </c>
      <c r="AG599">
        <v>0</v>
      </c>
      <c r="AH599">
        <v>0</v>
      </c>
      <c r="AI599">
        <v>440</v>
      </c>
      <c r="AJ599">
        <v>0</v>
      </c>
      <c r="AK599">
        <v>0</v>
      </c>
      <c r="AL599">
        <v>0</v>
      </c>
      <c r="AM599">
        <v>740</v>
      </c>
      <c r="AN599">
        <v>0</v>
      </c>
      <c r="AO599">
        <v>0</v>
      </c>
      <c r="AP599">
        <v>10</v>
      </c>
      <c r="AQ599">
        <v>0</v>
      </c>
      <c r="AR599">
        <v>0</v>
      </c>
      <c r="AS599" t="s">
        <v>76</v>
      </c>
      <c r="AT599">
        <v>1</v>
      </c>
      <c r="AU599" t="s">
        <v>59</v>
      </c>
      <c r="AV599" t="s">
        <v>60</v>
      </c>
      <c r="AW599">
        <v>1</v>
      </c>
      <c r="AX599">
        <v>3</v>
      </c>
      <c r="AY599">
        <v>0</v>
      </c>
      <c r="AZ599">
        <v>0</v>
      </c>
      <c r="BA599">
        <v>100</v>
      </c>
      <c r="BB599">
        <v>100</v>
      </c>
      <c r="BC599">
        <v>100</v>
      </c>
      <c r="BD599">
        <v>100</v>
      </c>
      <c r="BE599">
        <v>1</v>
      </c>
      <c r="BF599">
        <v>15000</v>
      </c>
      <c r="BG599">
        <v>1000</v>
      </c>
      <c r="BH599" s="6">
        <f>Grandview_Inventory[[#This Row],[land_extract]]*Lookups!$B$3</f>
        <v>51342.318135355803</v>
      </c>
      <c r="BI599" s="6">
        <f>IF(Grandview_Inventory[[#This Row],[bldg_style]]="",0,Lookups!$B$2)</f>
        <v>155833.95000000001</v>
      </c>
      <c r="BJ599" s="6">
        <f>_xlfn.IFNA(VLOOKUP(Grandview_Inventory[[#This Row],[quality]],Lookups!$H$2:$J$14,3,FALSE),0)</f>
        <v>9808</v>
      </c>
      <c r="BK599" s="6">
        <f>_xlfn.IFNA(VLOOKUP(Grandview_Inventory[[#This Row],[condition]],Lookups!$H$17:$J$24,3,FALSE),0)</f>
        <v>22342</v>
      </c>
      <c r="BL599" s="6">
        <f>Grandview_Inventory[[#This Row],[Eff_Age]]*Lookups!$B$14</f>
        <v>-7892.4977999999992</v>
      </c>
      <c r="BM599" s="6">
        <f>Grandview_Inventory[[#This Row],[living_area]]*Lookups!$B$15</f>
        <v>133557.406273</v>
      </c>
      <c r="BN599" s="6">
        <f>Grandview_Inventory[[#This Row],[Fin BSMT]]*Lookups!$B$16</f>
        <v>0</v>
      </c>
      <c r="BO599" s="6">
        <f>(Grandview_Inventory[[#This Row],[att_gar]]+Grandview_Inventory[[#This Row],[bltin_gar]])*Lookups!$B$17</f>
        <v>38508.992279999999</v>
      </c>
      <c r="BP599" s="6">
        <f>Grandview_Inventory[[#This Row],[Plumbing Fixtures]]*Lookups!$B$18</f>
        <v>20104.418000000001</v>
      </c>
      <c r="BQ599" s="6">
        <f>Grandview_Inventory[[#This Row],[detatched_value]]*Lookups!$B$19</f>
        <v>0</v>
      </c>
      <c r="BR599" s="6">
        <f>SUM(Grandview_Inventory[[#This Row],[Intercept]:[det_value]])*Grandview_Inventory[[#This Row],[res_pct]]</f>
        <v>372262.26875300001</v>
      </c>
      <c r="BS599" s="6">
        <f>Grandview_Inventory[[#This Row],[land_value]]</f>
        <v>51342.318135355803</v>
      </c>
      <c r="BT599" s="4">
        <f>_xlfn.IFNA(VLOOKUP(Grandview_Inventory[[#This Row],[quality]],Lookups!$A$26:$C$33,3,FALSE),1)</f>
        <v>0.94295468617355149</v>
      </c>
      <c r="BU599" s="4">
        <f>_xlfn.IFNA(VLOOKUP(Grandview_Inventory[[#This Row],[condition]],Lookups!$A$37:$C$44,3,FALSE),1)</f>
        <v>0.97383723671140243</v>
      </c>
      <c r="BV599" s="4">
        <f>IF(Grandview_Inventory[[#This Row],[bldg_style]]="",1,_xlfn.IFNA(VLOOKUP(Grandview_Inventory[[#This Row],[decade]],Lookups!$F$29:$H$43,3,FALSE),1))</f>
        <v>0.98031878267063854</v>
      </c>
      <c r="BW599" s="4">
        <f>_xlfn.IFNA(VLOOKUP(Grandview_Inventory[[#This Row],[living_area_range]],Lookups!$F$47:$H$56,3,FALSE),1)</f>
        <v>0.95799442568048754</v>
      </c>
      <c r="BX599" s="4">
        <f>AVERAGE(Grandview_Inventory[[#This Row],[qual_adj]:[size_adj]])</f>
        <v>0.96377628280901995</v>
      </c>
      <c r="BY599" s="6">
        <f>IF(Grandview_Inventory[[#This Row],[pre_res]]&lt;0,0,Grandview_Inventory[[#This Row],[pre_res]]*Grandview_Inventory[[#This Row],[overall_adj]])</f>
        <v>358777.54560881871</v>
      </c>
      <c r="BZ599" s="6">
        <f>(Grandview_Inventory[[#This Row],[sum_land]]-IF(Grandview_Inventory[[#This Row],[no_utilities]]=1,12000,0))/IF(Grandview_Inventory[[#This Row],[unbuildable]]=1,2,1)</f>
        <v>51342.318135355803</v>
      </c>
      <c r="CA59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599">
        <f>ROUND(Grandview_Inventory[[#This Row],[det_value]]*Lookups!$M$28,-2)</f>
        <v>0</v>
      </c>
      <c r="CC599">
        <f>IF(ROUND(Grandview_Inventory[[#This Row],[adj_res]]*Lookups!$M$28,-2)&lt;Grandview_Inventory[[#This Row],[min_res]],Grandview_Inventory[[#This Row],[min_res]],ROUND(Grandview_Inventory[[#This Row],[adj_res]]*Lookups!$M$28,-2))</f>
        <v>340800</v>
      </c>
      <c r="CD599">
        <f>Grandview_Inventory[[#This Row],[final_det]]+Grandview_Inventory[[#This Row],[final_res]]</f>
        <v>340800</v>
      </c>
      <c r="CE599">
        <f>Grandview_Inventory[[#This Row],[final_land]]+Grandview_Inventory[[#This Row],[final_imp]]+Grandview_Inventory[[#This Row],[crop_value]]</f>
        <v>389600</v>
      </c>
      <c r="CG599" t="str">
        <f t="shared" si="9"/>
        <v>update valuation set market_land =48800, market_bldg=340800, market_total =389600, market_mdno =401, market_date ='9/10/2023' where link_id = (select link_id from parcel where parcel_year = '2024' and parcel_id = '23092224436');</v>
      </c>
    </row>
    <row r="600" spans="1:85" x14ac:dyDescent="0.25">
      <c r="A600">
        <v>23092224437</v>
      </c>
      <c r="B600">
        <v>0.22</v>
      </c>
      <c r="C600">
        <v>9583</v>
      </c>
      <c r="D600" t="s">
        <v>129</v>
      </c>
      <c r="E600" t="s">
        <v>53</v>
      </c>
      <c r="F600" t="s">
        <v>53</v>
      </c>
      <c r="G600">
        <v>4</v>
      </c>
      <c r="H600" t="s">
        <v>54</v>
      </c>
      <c r="I600">
        <v>241600</v>
      </c>
      <c r="J600">
        <v>43800</v>
      </c>
      <c r="K600">
        <v>0.22</v>
      </c>
      <c r="L60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00">
        <v>0</v>
      </c>
      <c r="N600">
        <v>0</v>
      </c>
      <c r="O600">
        <v>0</v>
      </c>
      <c r="P600">
        <v>13398.7528</v>
      </c>
      <c r="Q600">
        <v>63903</v>
      </c>
      <c r="R600">
        <f>(Grandview_Inventory[[#This Row],[ln_acres]]*Grandview_Inventory[[#This Row],[coeff]])+Grandview_Inventory[[#This Row],[const]]</f>
        <v>43615.576802869145</v>
      </c>
      <c r="S600" t="s">
        <v>58</v>
      </c>
      <c r="T600">
        <v>1</v>
      </c>
      <c r="U600" t="s">
        <v>64</v>
      </c>
      <c r="V600" t="s">
        <v>69</v>
      </c>
      <c r="W600">
        <v>0</v>
      </c>
      <c r="X600">
        <v>0</v>
      </c>
      <c r="Y600">
        <v>36</v>
      </c>
      <c r="Z600">
        <v>36</v>
      </c>
      <c r="AA600">
        <v>40</v>
      </c>
      <c r="AB600">
        <v>2000</v>
      </c>
      <c r="AC600">
        <v>1811</v>
      </c>
      <c r="AD600">
        <v>1811</v>
      </c>
      <c r="AE600">
        <v>0</v>
      </c>
      <c r="AF600">
        <v>0</v>
      </c>
      <c r="AG600">
        <v>0</v>
      </c>
      <c r="AH600">
        <v>0</v>
      </c>
      <c r="AI600">
        <v>556</v>
      </c>
      <c r="AJ600">
        <v>0</v>
      </c>
      <c r="AK600">
        <v>0</v>
      </c>
      <c r="AL600">
        <v>190</v>
      </c>
      <c r="AM600">
        <v>0</v>
      </c>
      <c r="AN600">
        <v>45</v>
      </c>
      <c r="AO600">
        <v>190</v>
      </c>
      <c r="AP600">
        <v>10</v>
      </c>
      <c r="AQ600">
        <v>0</v>
      </c>
      <c r="AR600">
        <v>0</v>
      </c>
      <c r="AS600" t="s">
        <v>58</v>
      </c>
      <c r="AT600">
        <v>1</v>
      </c>
      <c r="AU600" t="s">
        <v>63</v>
      </c>
      <c r="AV600" t="s">
        <v>60</v>
      </c>
      <c r="AW600">
        <v>1</v>
      </c>
      <c r="AX600">
        <v>3</v>
      </c>
      <c r="AY600">
        <v>0</v>
      </c>
      <c r="AZ600">
        <v>0</v>
      </c>
      <c r="BA600">
        <v>100</v>
      </c>
      <c r="BB600">
        <v>100</v>
      </c>
      <c r="BC600">
        <v>100</v>
      </c>
      <c r="BD600">
        <v>100</v>
      </c>
      <c r="BE600">
        <v>1</v>
      </c>
      <c r="BF600">
        <v>15000</v>
      </c>
      <c r="BG600">
        <v>1000</v>
      </c>
      <c r="BH600" s="6">
        <f>Grandview_Inventory[[#This Row],[land_extract]]*Lookups!$B$3</f>
        <v>50650.651579114572</v>
      </c>
      <c r="BI600" s="6">
        <f>IF(Grandview_Inventory[[#This Row],[bldg_style]]="",0,Lookups!$B$2)</f>
        <v>155833.95000000001</v>
      </c>
      <c r="BJ600" s="6">
        <f>_xlfn.IFNA(VLOOKUP(Grandview_Inventory[[#This Row],[quality]],Lookups!$H$2:$J$14,3,FALSE),0)</f>
        <v>20768</v>
      </c>
      <c r="BK600" s="6">
        <f>_xlfn.IFNA(VLOOKUP(Grandview_Inventory[[#This Row],[condition]],Lookups!$H$17:$J$24,3,FALSE),0)</f>
        <v>-4503</v>
      </c>
      <c r="BL600" s="6">
        <f>Grandview_Inventory[[#This Row],[Eff_Age]]*Lookups!$B$14</f>
        <v>-8609.9975999999988</v>
      </c>
      <c r="BM600" s="6">
        <f>Grandview_Inventory[[#This Row],[living_area]]*Lookups!$B$15</f>
        <v>112971.724783</v>
      </c>
      <c r="BN600" s="6">
        <f>Grandview_Inventory[[#This Row],[Fin BSMT]]*Lookups!$B$16</f>
        <v>0</v>
      </c>
      <c r="BO600" s="6">
        <f>(Grandview_Inventory[[#This Row],[att_gar]]+Grandview_Inventory[[#This Row],[bltin_gar]])*Lookups!$B$17</f>
        <v>48661.362972000003</v>
      </c>
      <c r="BP600" s="6">
        <f>Grandview_Inventory[[#This Row],[Plumbing Fixtures]]*Lookups!$B$18</f>
        <v>20104.418000000001</v>
      </c>
      <c r="BQ600" s="6">
        <f>Grandview_Inventory[[#This Row],[detatched_value]]*Lookups!$B$19</f>
        <v>0</v>
      </c>
      <c r="BR600" s="6">
        <f>SUM(Grandview_Inventory[[#This Row],[Intercept]:[det_value]])*Grandview_Inventory[[#This Row],[res_pct]]</f>
        <v>345226.45815500006</v>
      </c>
      <c r="BS600" s="6">
        <f>Grandview_Inventory[[#This Row],[land_value]]</f>
        <v>50650.651579114572</v>
      </c>
      <c r="BT600" s="4">
        <f>_xlfn.IFNA(VLOOKUP(Grandview_Inventory[[#This Row],[quality]],Lookups!$A$26:$C$33,3,FALSE),1)</f>
        <v>0.94960540378902636</v>
      </c>
      <c r="BU600" s="4">
        <f>_xlfn.IFNA(VLOOKUP(Grandview_Inventory[[#This Row],[condition]],Lookups!$A$37:$C$44,3,FALSE),1)</f>
        <v>0.96469275950863709</v>
      </c>
      <c r="BV600" s="4">
        <f>IF(Grandview_Inventory[[#This Row],[bldg_style]]="",1,_xlfn.IFNA(VLOOKUP(Grandview_Inventory[[#This Row],[decade]],Lookups!$F$29:$H$43,3,FALSE),1))</f>
        <v>0.98031878267063854</v>
      </c>
      <c r="BW600" s="4">
        <f>_xlfn.IFNA(VLOOKUP(Grandview_Inventory[[#This Row],[living_area_range]],Lookups!$F$47:$H$56,3,FALSE),1)</f>
        <v>0.96120133463014379</v>
      </c>
      <c r="BX600" s="4">
        <f>AVERAGE(Grandview_Inventory[[#This Row],[qual_adj]:[size_adj]])</f>
        <v>0.9639545701496115</v>
      </c>
      <c r="BY600" s="6">
        <f>IF(Grandview_Inventory[[#This Row],[pre_res]]&lt;0,0,Grandview_Inventory[[#This Row],[pre_res]]*Grandview_Inventory[[#This Row],[overall_adj]])</f>
        <v>332782.62207507592</v>
      </c>
      <c r="BZ600" s="6">
        <f>(Grandview_Inventory[[#This Row],[sum_land]]-IF(Grandview_Inventory[[#This Row],[no_utilities]]=1,12000,0))/IF(Grandview_Inventory[[#This Row],[unbuildable]]=1,2,1)</f>
        <v>50650.651579114572</v>
      </c>
      <c r="CA60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00">
        <f>ROUND(Grandview_Inventory[[#This Row],[det_value]]*Lookups!$M$28,-2)</f>
        <v>0</v>
      </c>
      <c r="CC600">
        <f>IF(ROUND(Grandview_Inventory[[#This Row],[adj_res]]*Lookups!$M$28,-2)&lt;Grandview_Inventory[[#This Row],[min_res]],Grandview_Inventory[[#This Row],[min_res]],ROUND(Grandview_Inventory[[#This Row],[adj_res]]*Lookups!$M$28,-2))</f>
        <v>316100</v>
      </c>
      <c r="CD600">
        <f>Grandview_Inventory[[#This Row],[final_det]]+Grandview_Inventory[[#This Row],[final_res]]</f>
        <v>316100</v>
      </c>
      <c r="CE600">
        <f>Grandview_Inventory[[#This Row],[final_land]]+Grandview_Inventory[[#This Row],[final_imp]]+Grandview_Inventory[[#This Row],[crop_value]]</f>
        <v>364200</v>
      </c>
      <c r="CG600" t="str">
        <f t="shared" si="9"/>
        <v>update valuation set market_land =48100, market_bldg=316100, market_total =364200, market_mdno =401, market_date ='9/10/2023' where link_id = (select link_id from parcel where parcel_year = '2024' and parcel_id = '23092224437');</v>
      </c>
    </row>
    <row r="601" spans="1:85" x14ac:dyDescent="0.25">
      <c r="A601">
        <v>23092224438</v>
      </c>
      <c r="B601">
        <v>0.2</v>
      </c>
      <c r="C601">
        <v>8602</v>
      </c>
      <c r="D601" t="s">
        <v>129</v>
      </c>
      <c r="E601" t="s">
        <v>53</v>
      </c>
      <c r="F601" t="s">
        <v>53</v>
      </c>
      <c r="G601">
        <v>4</v>
      </c>
      <c r="H601" t="s">
        <v>54</v>
      </c>
      <c r="I601">
        <v>255800</v>
      </c>
      <c r="J601">
        <v>43500</v>
      </c>
      <c r="K601">
        <v>0.2</v>
      </c>
      <c r="L60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01">
        <v>0</v>
      </c>
      <c r="N601">
        <v>0</v>
      </c>
      <c r="O601">
        <v>0</v>
      </c>
      <c r="P601">
        <v>13398.7528</v>
      </c>
      <c r="Q601">
        <v>63903</v>
      </c>
      <c r="R601">
        <f>(Grandview_Inventory[[#This Row],[ln_acres]]*Grandview_Inventory[[#This Row],[coeff]])+Grandview_Inventory[[#This Row],[const]]</f>
        <v>42338.539264347448</v>
      </c>
      <c r="S601" t="s">
        <v>55</v>
      </c>
      <c r="T601">
        <v>2</v>
      </c>
      <c r="U601" t="s">
        <v>64</v>
      </c>
      <c r="V601" t="s">
        <v>69</v>
      </c>
      <c r="W601">
        <v>0</v>
      </c>
      <c r="X601">
        <v>0</v>
      </c>
      <c r="Y601">
        <v>33</v>
      </c>
      <c r="Z601">
        <v>33</v>
      </c>
      <c r="AA601">
        <v>40</v>
      </c>
      <c r="AB601">
        <v>2500</v>
      </c>
      <c r="AC601">
        <v>2136</v>
      </c>
      <c r="AD601">
        <v>1088</v>
      </c>
      <c r="AE601">
        <v>1048</v>
      </c>
      <c r="AF601">
        <v>0</v>
      </c>
      <c r="AG601">
        <v>0</v>
      </c>
      <c r="AH601">
        <v>0</v>
      </c>
      <c r="AI601">
        <v>616</v>
      </c>
      <c r="AJ601">
        <v>0</v>
      </c>
      <c r="AK601">
        <v>0</v>
      </c>
      <c r="AL601">
        <v>0</v>
      </c>
      <c r="AM601">
        <v>104</v>
      </c>
      <c r="AN601">
        <v>84</v>
      </c>
      <c r="AO601">
        <v>0</v>
      </c>
      <c r="AP601">
        <v>10</v>
      </c>
      <c r="AQ601">
        <v>0</v>
      </c>
      <c r="AR601">
        <v>0</v>
      </c>
      <c r="AS601" t="s">
        <v>58</v>
      </c>
      <c r="AT601">
        <v>1</v>
      </c>
      <c r="AU601" t="s">
        <v>63</v>
      </c>
      <c r="AV601" t="s">
        <v>60</v>
      </c>
      <c r="AW601">
        <v>1</v>
      </c>
      <c r="AX601">
        <v>4</v>
      </c>
      <c r="AY601">
        <v>0</v>
      </c>
      <c r="AZ601">
        <v>0</v>
      </c>
      <c r="BA601">
        <v>100</v>
      </c>
      <c r="BB601">
        <v>100</v>
      </c>
      <c r="BC601">
        <v>100</v>
      </c>
      <c r="BD601">
        <v>100</v>
      </c>
      <c r="BE601">
        <v>1</v>
      </c>
      <c r="BF601">
        <v>15000</v>
      </c>
      <c r="BG601">
        <v>1000</v>
      </c>
      <c r="BH601" s="6">
        <f>Grandview_Inventory[[#This Row],[land_extract]]*Lookups!$B$3</f>
        <v>49167.631333630678</v>
      </c>
      <c r="BI601" s="6">
        <f>IF(Grandview_Inventory[[#This Row],[bldg_style]]="",0,Lookups!$B$2)</f>
        <v>155833.95000000001</v>
      </c>
      <c r="BJ601" s="6">
        <f>_xlfn.IFNA(VLOOKUP(Grandview_Inventory[[#This Row],[quality]],Lookups!$H$2:$J$14,3,FALSE),0)</f>
        <v>20768</v>
      </c>
      <c r="BK601" s="6">
        <f>_xlfn.IFNA(VLOOKUP(Grandview_Inventory[[#This Row],[condition]],Lookups!$H$17:$J$24,3,FALSE),0)</f>
        <v>-4503</v>
      </c>
      <c r="BL601" s="6">
        <f>Grandview_Inventory[[#This Row],[Eff_Age]]*Lookups!$B$14</f>
        <v>-7892.4977999999992</v>
      </c>
      <c r="BM601" s="6">
        <f>Grandview_Inventory[[#This Row],[living_area]]*Lookups!$B$15</f>
        <v>133245.50200800001</v>
      </c>
      <c r="BN601" s="6">
        <f>Grandview_Inventory[[#This Row],[Fin BSMT]]*Lookups!$B$16</f>
        <v>0</v>
      </c>
      <c r="BO601" s="6">
        <f>(Grandview_Inventory[[#This Row],[att_gar]]+Grandview_Inventory[[#This Row],[bltin_gar]])*Lookups!$B$17</f>
        <v>53912.589191999999</v>
      </c>
      <c r="BP601" s="6">
        <f>Grandview_Inventory[[#This Row],[Plumbing Fixtures]]*Lookups!$B$18</f>
        <v>20104.418000000001</v>
      </c>
      <c r="BQ601" s="6">
        <f>Grandview_Inventory[[#This Row],[detatched_value]]*Lookups!$B$19</f>
        <v>0</v>
      </c>
      <c r="BR601" s="6">
        <f>SUM(Grandview_Inventory[[#This Row],[Intercept]:[det_value]])*Grandview_Inventory[[#This Row],[res_pct]]</f>
        <v>371468.96139999997</v>
      </c>
      <c r="BS601" s="6">
        <f>Grandview_Inventory[[#This Row],[land_value]]</f>
        <v>49167.631333630678</v>
      </c>
      <c r="BT601" s="4">
        <f>_xlfn.IFNA(VLOOKUP(Grandview_Inventory[[#This Row],[quality]],Lookups!$A$26:$C$33,3,FALSE),1)</f>
        <v>0.94960540378902636</v>
      </c>
      <c r="BU601" s="4">
        <f>_xlfn.IFNA(VLOOKUP(Grandview_Inventory[[#This Row],[condition]],Lookups!$A$37:$C$44,3,FALSE),1)</f>
        <v>0.96469275950863709</v>
      </c>
      <c r="BV601" s="4">
        <f>IF(Grandview_Inventory[[#This Row],[bldg_style]]="",1,_xlfn.IFNA(VLOOKUP(Grandview_Inventory[[#This Row],[decade]],Lookups!$F$29:$H$43,3,FALSE),1))</f>
        <v>0.98031878267063854</v>
      </c>
      <c r="BW601" s="4">
        <f>_xlfn.IFNA(VLOOKUP(Grandview_Inventory[[#This Row],[living_area_range]],Lookups!$F$47:$H$56,3,FALSE),1)</f>
        <v>0.95799442568048754</v>
      </c>
      <c r="BX601" s="4">
        <f>AVERAGE(Grandview_Inventory[[#This Row],[qual_adj]:[size_adj]])</f>
        <v>0.96315284291219738</v>
      </c>
      <c r="BY601" s="6">
        <f>IF(Grandview_Inventory[[#This Row],[pre_res]]&lt;0,0,Grandview_Inventory[[#This Row],[pre_res]]*Grandview_Inventory[[#This Row],[overall_adj]])</f>
        <v>357781.38622605131</v>
      </c>
      <c r="BZ601" s="6">
        <f>(Grandview_Inventory[[#This Row],[sum_land]]-IF(Grandview_Inventory[[#This Row],[no_utilities]]=1,12000,0))/IF(Grandview_Inventory[[#This Row],[unbuildable]]=1,2,1)</f>
        <v>49167.631333630678</v>
      </c>
      <c r="CA60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01">
        <f>ROUND(Grandview_Inventory[[#This Row],[det_value]]*Lookups!$M$28,-2)</f>
        <v>0</v>
      </c>
      <c r="CC601">
        <f>IF(ROUND(Grandview_Inventory[[#This Row],[adj_res]]*Lookups!$M$28,-2)&lt;Grandview_Inventory[[#This Row],[min_res]],Grandview_Inventory[[#This Row],[min_res]],ROUND(Grandview_Inventory[[#This Row],[adj_res]]*Lookups!$M$28,-2))</f>
        <v>339900</v>
      </c>
      <c r="CD601">
        <f>Grandview_Inventory[[#This Row],[final_det]]+Grandview_Inventory[[#This Row],[final_res]]</f>
        <v>339900</v>
      </c>
      <c r="CE601">
        <f>Grandview_Inventory[[#This Row],[final_land]]+Grandview_Inventory[[#This Row],[final_imp]]+Grandview_Inventory[[#This Row],[crop_value]]</f>
        <v>386600</v>
      </c>
      <c r="CG601" t="str">
        <f t="shared" si="9"/>
        <v>update valuation set market_land =46700, market_bldg=339900, market_total =386600, market_mdno =401, market_date ='9/10/2023' where link_id = (select link_id from parcel where parcel_year = '2024' and parcel_id = '23092224438');</v>
      </c>
    </row>
    <row r="602" spans="1:85" x14ac:dyDescent="0.25">
      <c r="A602">
        <v>23092224439</v>
      </c>
      <c r="B602">
        <v>0.2</v>
      </c>
      <c r="C602">
        <v>8542</v>
      </c>
      <c r="D602" t="s">
        <v>129</v>
      </c>
      <c r="E602" t="s">
        <v>53</v>
      </c>
      <c r="F602" t="s">
        <v>53</v>
      </c>
      <c r="G602">
        <v>4</v>
      </c>
      <c r="H602" t="s">
        <v>54</v>
      </c>
      <c r="I602">
        <v>280800</v>
      </c>
      <c r="J602">
        <v>43500</v>
      </c>
      <c r="K602">
        <v>0.2</v>
      </c>
      <c r="L60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02">
        <v>0</v>
      </c>
      <c r="N602">
        <v>0</v>
      </c>
      <c r="O602">
        <v>0</v>
      </c>
      <c r="P602">
        <v>13398.7528</v>
      </c>
      <c r="Q602">
        <v>63903</v>
      </c>
      <c r="R602">
        <f>(Grandview_Inventory[[#This Row],[ln_acres]]*Grandview_Inventory[[#This Row],[coeff]])+Grandview_Inventory[[#This Row],[const]]</f>
        <v>42338.539264347448</v>
      </c>
      <c r="S602" t="s">
        <v>58</v>
      </c>
      <c r="T602">
        <v>2</v>
      </c>
      <c r="U602" t="s">
        <v>64</v>
      </c>
      <c r="V602" t="s">
        <v>69</v>
      </c>
      <c r="W602">
        <v>0</v>
      </c>
      <c r="X602">
        <v>0</v>
      </c>
      <c r="Y602">
        <v>37</v>
      </c>
      <c r="Z602">
        <v>37</v>
      </c>
      <c r="AA602">
        <v>40</v>
      </c>
      <c r="AB602">
        <v>2500</v>
      </c>
      <c r="AC602">
        <v>2260</v>
      </c>
      <c r="AD602">
        <v>1408</v>
      </c>
      <c r="AE602">
        <v>852</v>
      </c>
      <c r="AF602">
        <v>0</v>
      </c>
      <c r="AG602">
        <v>0</v>
      </c>
      <c r="AH602">
        <v>0</v>
      </c>
      <c r="AI602">
        <v>572</v>
      </c>
      <c r="AJ602">
        <v>0</v>
      </c>
      <c r="AK602">
        <v>0</v>
      </c>
      <c r="AL602">
        <v>836</v>
      </c>
      <c r="AM602">
        <v>0</v>
      </c>
      <c r="AN602">
        <v>0</v>
      </c>
      <c r="AO602">
        <v>81</v>
      </c>
      <c r="AP602">
        <v>11</v>
      </c>
      <c r="AQ602">
        <v>1</v>
      </c>
      <c r="AR602">
        <v>1</v>
      </c>
      <c r="AS602" t="s">
        <v>58</v>
      </c>
      <c r="AT602">
        <v>1</v>
      </c>
      <c r="AU602" t="s">
        <v>59</v>
      </c>
      <c r="AV602" t="s">
        <v>60</v>
      </c>
      <c r="AW602">
        <v>1</v>
      </c>
      <c r="AX602">
        <v>3</v>
      </c>
      <c r="AY602">
        <v>0</v>
      </c>
      <c r="AZ602">
        <v>0</v>
      </c>
      <c r="BA602">
        <v>100</v>
      </c>
      <c r="BB602">
        <v>100</v>
      </c>
      <c r="BC602">
        <v>100</v>
      </c>
      <c r="BD602">
        <v>100</v>
      </c>
      <c r="BE602">
        <v>1</v>
      </c>
      <c r="BF602">
        <v>15000</v>
      </c>
      <c r="BG602">
        <v>1000</v>
      </c>
      <c r="BH602" s="6">
        <f>Grandview_Inventory[[#This Row],[land_extract]]*Lookups!$B$3</f>
        <v>49167.631333630678</v>
      </c>
      <c r="BI602" s="6">
        <f>IF(Grandview_Inventory[[#This Row],[bldg_style]]="",0,Lookups!$B$2)</f>
        <v>155833.95000000001</v>
      </c>
      <c r="BJ602" s="6">
        <f>_xlfn.IFNA(VLOOKUP(Grandview_Inventory[[#This Row],[quality]],Lookups!$H$2:$J$14,3,FALSE),0)</f>
        <v>20768</v>
      </c>
      <c r="BK602" s="6">
        <f>_xlfn.IFNA(VLOOKUP(Grandview_Inventory[[#This Row],[condition]],Lookups!$H$17:$J$24,3,FALSE),0)</f>
        <v>-4503</v>
      </c>
      <c r="BL602" s="6">
        <f>Grandview_Inventory[[#This Row],[Eff_Age]]*Lookups!$B$14</f>
        <v>-8849.1641999999993</v>
      </c>
      <c r="BM602" s="6">
        <f>Grandview_Inventory[[#This Row],[living_area]]*Lookups!$B$15</f>
        <v>140980.72778000002</v>
      </c>
      <c r="BN602" s="6">
        <f>Grandview_Inventory[[#This Row],[Fin BSMT]]*Lookups!$B$16</f>
        <v>0</v>
      </c>
      <c r="BO602" s="6">
        <f>(Grandview_Inventory[[#This Row],[att_gar]]+Grandview_Inventory[[#This Row],[bltin_gar]])*Lookups!$B$17</f>
        <v>50061.689963999997</v>
      </c>
      <c r="BP602" s="6">
        <f>Grandview_Inventory[[#This Row],[Plumbing Fixtures]]*Lookups!$B$18</f>
        <v>22114.859800000002</v>
      </c>
      <c r="BQ602" s="6">
        <f>Grandview_Inventory[[#This Row],[detatched_value]]*Lookups!$B$19</f>
        <v>0</v>
      </c>
      <c r="BR602" s="6">
        <f>SUM(Grandview_Inventory[[#This Row],[Intercept]:[det_value]])*Grandview_Inventory[[#This Row],[res_pct]]</f>
        <v>376407.06334400002</v>
      </c>
      <c r="BS602" s="6">
        <f>Grandview_Inventory[[#This Row],[land_value]]</f>
        <v>49167.631333630678</v>
      </c>
      <c r="BT602" s="4">
        <f>_xlfn.IFNA(VLOOKUP(Grandview_Inventory[[#This Row],[quality]],Lookups!$A$26:$C$33,3,FALSE),1)</f>
        <v>0.94960540378902636</v>
      </c>
      <c r="BU602" s="4">
        <f>_xlfn.IFNA(VLOOKUP(Grandview_Inventory[[#This Row],[condition]],Lookups!$A$37:$C$44,3,FALSE),1)</f>
        <v>0.96469275950863709</v>
      </c>
      <c r="BV602" s="4">
        <f>IF(Grandview_Inventory[[#This Row],[bldg_style]]="",1,_xlfn.IFNA(VLOOKUP(Grandview_Inventory[[#This Row],[decade]],Lookups!$F$29:$H$43,3,FALSE),1))</f>
        <v>0.98031878267063854</v>
      </c>
      <c r="BW602" s="4">
        <f>_xlfn.IFNA(VLOOKUP(Grandview_Inventory[[#This Row],[living_area_range]],Lookups!$F$47:$H$56,3,FALSE),1)</f>
        <v>0.95799442568048754</v>
      </c>
      <c r="BX602" s="4">
        <f>AVERAGE(Grandview_Inventory[[#This Row],[qual_adj]:[size_adj]])</f>
        <v>0.96315284291219738</v>
      </c>
      <c r="BY602" s="6">
        <f>IF(Grandview_Inventory[[#This Row],[pre_res]]&lt;0,0,Grandview_Inventory[[#This Row],[pre_res]]*Grandview_Inventory[[#This Row],[overall_adj]])</f>
        <v>362537.53315200517</v>
      </c>
      <c r="BZ602" s="6">
        <f>(Grandview_Inventory[[#This Row],[sum_land]]-IF(Grandview_Inventory[[#This Row],[no_utilities]]=1,12000,0))/IF(Grandview_Inventory[[#This Row],[unbuildable]]=1,2,1)</f>
        <v>49167.631333630678</v>
      </c>
      <c r="CA60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02">
        <f>ROUND(Grandview_Inventory[[#This Row],[det_value]]*Lookups!$M$28,-2)</f>
        <v>0</v>
      </c>
      <c r="CC602">
        <f>IF(ROUND(Grandview_Inventory[[#This Row],[adj_res]]*Lookups!$M$28,-2)&lt;Grandview_Inventory[[#This Row],[min_res]],Grandview_Inventory[[#This Row],[min_res]],ROUND(Grandview_Inventory[[#This Row],[adj_res]]*Lookups!$M$28,-2))</f>
        <v>344400</v>
      </c>
      <c r="CD602">
        <f>Grandview_Inventory[[#This Row],[final_det]]+Grandview_Inventory[[#This Row],[final_res]]</f>
        <v>344400</v>
      </c>
      <c r="CE602">
        <f>Grandview_Inventory[[#This Row],[final_land]]+Grandview_Inventory[[#This Row],[final_imp]]+Grandview_Inventory[[#This Row],[crop_value]]</f>
        <v>391100</v>
      </c>
      <c r="CG602" t="str">
        <f t="shared" si="9"/>
        <v>update valuation set market_land =46700, market_bldg=344400, market_total =391100, market_mdno =401, market_date ='9/10/2023' where link_id = (select link_id from parcel where parcel_year = '2024' and parcel_id = '23092224439');</v>
      </c>
    </row>
    <row r="603" spans="1:85" x14ac:dyDescent="0.25">
      <c r="A603">
        <v>23092224440</v>
      </c>
      <c r="B603">
        <v>0.2</v>
      </c>
      <c r="C603">
        <v>8542</v>
      </c>
      <c r="D603" t="s">
        <v>129</v>
      </c>
      <c r="E603" t="s">
        <v>53</v>
      </c>
      <c r="F603" t="s">
        <v>53</v>
      </c>
      <c r="G603">
        <v>4</v>
      </c>
      <c r="H603" t="s">
        <v>54</v>
      </c>
      <c r="I603">
        <v>207800</v>
      </c>
      <c r="J603">
        <v>39300</v>
      </c>
      <c r="K603">
        <v>0.2</v>
      </c>
      <c r="L60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03">
        <v>0</v>
      </c>
      <c r="N603">
        <v>0</v>
      </c>
      <c r="O603">
        <v>0</v>
      </c>
      <c r="P603">
        <v>13398.7528</v>
      </c>
      <c r="Q603">
        <v>63903</v>
      </c>
      <c r="R603">
        <f>(Grandview_Inventory[[#This Row],[ln_acres]]*Grandview_Inventory[[#This Row],[coeff]])+Grandview_Inventory[[#This Row],[const]]</f>
        <v>42338.539264347448</v>
      </c>
      <c r="S603" t="s">
        <v>61</v>
      </c>
      <c r="T603">
        <v>1</v>
      </c>
      <c r="U603" t="s">
        <v>65</v>
      </c>
      <c r="V603" t="s">
        <v>69</v>
      </c>
      <c r="W603">
        <v>0</v>
      </c>
      <c r="X603">
        <v>0</v>
      </c>
      <c r="Y603">
        <v>43</v>
      </c>
      <c r="Z603">
        <v>43</v>
      </c>
      <c r="AA603">
        <v>50</v>
      </c>
      <c r="AB603">
        <v>3000</v>
      </c>
      <c r="AC603">
        <v>2576</v>
      </c>
      <c r="AD603">
        <v>1358</v>
      </c>
      <c r="AE603">
        <v>0</v>
      </c>
      <c r="AF603">
        <v>0</v>
      </c>
      <c r="AG603">
        <v>1218</v>
      </c>
      <c r="AH603">
        <v>0</v>
      </c>
      <c r="AI603">
        <v>440</v>
      </c>
      <c r="AJ603">
        <v>0</v>
      </c>
      <c r="AK603">
        <v>0</v>
      </c>
      <c r="AL603">
        <v>0</v>
      </c>
      <c r="AM603">
        <v>240</v>
      </c>
      <c r="AN603">
        <v>0</v>
      </c>
      <c r="AO603">
        <v>0</v>
      </c>
      <c r="AP603">
        <v>8</v>
      </c>
      <c r="AQ603">
        <v>0</v>
      </c>
      <c r="AR603">
        <v>0</v>
      </c>
      <c r="AS603" t="s">
        <v>58</v>
      </c>
      <c r="AT603">
        <v>1</v>
      </c>
      <c r="AU603" t="s">
        <v>59</v>
      </c>
      <c r="AV603" t="s">
        <v>60</v>
      </c>
      <c r="AW603">
        <v>1</v>
      </c>
      <c r="AX603">
        <v>3</v>
      </c>
      <c r="AY603">
        <v>0</v>
      </c>
      <c r="AZ603">
        <v>0</v>
      </c>
      <c r="BA603">
        <v>100</v>
      </c>
      <c r="BB603">
        <v>100</v>
      </c>
      <c r="BC603">
        <v>100</v>
      </c>
      <c r="BD603">
        <v>100</v>
      </c>
      <c r="BE603">
        <v>1</v>
      </c>
      <c r="BF603">
        <v>15000</v>
      </c>
      <c r="BG603">
        <v>1000</v>
      </c>
      <c r="BH603" s="6">
        <f>Grandview_Inventory[[#This Row],[land_extract]]*Lookups!$B$3</f>
        <v>49167.631333630678</v>
      </c>
      <c r="BI603" s="6">
        <f>IF(Grandview_Inventory[[#This Row],[bldg_style]]="",0,Lookups!$B$2)</f>
        <v>155833.95000000001</v>
      </c>
      <c r="BJ603" s="6">
        <f>_xlfn.IFNA(VLOOKUP(Grandview_Inventory[[#This Row],[quality]],Lookups!$H$2:$J$14,3,FALSE),0)</f>
        <v>2251</v>
      </c>
      <c r="BK603" s="6">
        <f>_xlfn.IFNA(VLOOKUP(Grandview_Inventory[[#This Row],[condition]],Lookups!$H$17:$J$24,3,FALSE),0)</f>
        <v>-4503</v>
      </c>
      <c r="BL603" s="6">
        <f>Grandview_Inventory[[#This Row],[Eff_Age]]*Lookups!$B$14</f>
        <v>-10284.1638</v>
      </c>
      <c r="BM603" s="6">
        <f>Grandview_Inventory[[#This Row],[living_area]]*Lookups!$B$15</f>
        <v>160693.07732800001</v>
      </c>
      <c r="BN603" s="6">
        <f>Grandview_Inventory[[#This Row],[Fin BSMT]]*Lookups!$B$16</f>
        <v>-33006.874320000003</v>
      </c>
      <c r="BO603" s="6">
        <f>(Grandview_Inventory[[#This Row],[att_gar]]+Grandview_Inventory[[#This Row],[bltin_gar]])*Lookups!$B$17</f>
        <v>38508.992279999999</v>
      </c>
      <c r="BP603" s="6">
        <f>Grandview_Inventory[[#This Row],[Plumbing Fixtures]]*Lookups!$B$18</f>
        <v>16083.5344</v>
      </c>
      <c r="BQ603" s="6">
        <f>Grandview_Inventory[[#This Row],[detatched_value]]*Lookups!$B$19</f>
        <v>0</v>
      </c>
      <c r="BR603" s="6">
        <f>SUM(Grandview_Inventory[[#This Row],[Intercept]:[det_value]])*Grandview_Inventory[[#This Row],[res_pct]]</f>
        <v>325576.51588800002</v>
      </c>
      <c r="BS603" s="6">
        <f>Grandview_Inventory[[#This Row],[land_value]]</f>
        <v>49167.631333630678</v>
      </c>
      <c r="BT603" s="4">
        <f>_xlfn.IFNA(VLOOKUP(Grandview_Inventory[[#This Row],[quality]],Lookups!$A$26:$C$33,3,FALSE),1)</f>
        <v>0.98763855981004833</v>
      </c>
      <c r="BU603" s="4">
        <f>_xlfn.IFNA(VLOOKUP(Grandview_Inventory[[#This Row],[condition]],Lookups!$A$37:$C$44,3,FALSE),1)</f>
        <v>0.96469275950863709</v>
      </c>
      <c r="BV603" s="4">
        <f>IF(Grandview_Inventory[[#This Row],[bldg_style]]="",1,_xlfn.IFNA(VLOOKUP(Grandview_Inventory[[#This Row],[decade]],Lookups!$F$29:$H$43,3,FALSE),1))</f>
        <v>0.9871940091910919</v>
      </c>
      <c r="BW603" s="4">
        <f>_xlfn.IFNA(VLOOKUP(Grandview_Inventory[[#This Row],[living_area_range]],Lookups!$F$47:$H$56,3,FALSE),1)</f>
        <v>0.94224801443562123</v>
      </c>
      <c r="BX603" s="4">
        <f>AVERAGE(Grandview_Inventory[[#This Row],[qual_adj]:[size_adj]])</f>
        <v>0.97044333573634967</v>
      </c>
      <c r="BY603" s="6">
        <f>IF(Grandview_Inventory[[#This Row],[pre_res]]&lt;0,0,Grandview_Inventory[[#This Row],[pre_res]]*Grandview_Inventory[[#This Row],[overall_adj]])</f>
        <v>315953.56011576939</v>
      </c>
      <c r="BZ603" s="6">
        <f>(Grandview_Inventory[[#This Row],[sum_land]]-IF(Grandview_Inventory[[#This Row],[no_utilities]]=1,12000,0))/IF(Grandview_Inventory[[#This Row],[unbuildable]]=1,2,1)</f>
        <v>49167.631333630678</v>
      </c>
      <c r="CA60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03">
        <f>ROUND(Grandview_Inventory[[#This Row],[det_value]]*Lookups!$M$28,-2)</f>
        <v>0</v>
      </c>
      <c r="CC603">
        <f>IF(ROUND(Grandview_Inventory[[#This Row],[adj_res]]*Lookups!$M$28,-2)&lt;Grandview_Inventory[[#This Row],[min_res]],Grandview_Inventory[[#This Row],[min_res]],ROUND(Grandview_Inventory[[#This Row],[adj_res]]*Lookups!$M$28,-2))</f>
        <v>300200</v>
      </c>
      <c r="CD603">
        <f>Grandview_Inventory[[#This Row],[final_det]]+Grandview_Inventory[[#This Row],[final_res]]</f>
        <v>300200</v>
      </c>
      <c r="CE603">
        <f>Grandview_Inventory[[#This Row],[final_land]]+Grandview_Inventory[[#This Row],[final_imp]]+Grandview_Inventory[[#This Row],[crop_value]]</f>
        <v>346900</v>
      </c>
      <c r="CG603" t="str">
        <f t="shared" si="9"/>
        <v>update valuation set market_land =46700, market_bldg=300200, market_total =346900, market_mdno =401, market_date ='9/10/2023' where link_id = (select link_id from parcel where parcel_year = '2024' and parcel_id = '23092224440');</v>
      </c>
    </row>
    <row r="604" spans="1:85" x14ac:dyDescent="0.25">
      <c r="A604">
        <v>23092224442</v>
      </c>
      <c r="B604">
        <v>0.2</v>
      </c>
      <c r="C604">
        <v>8921</v>
      </c>
      <c r="D604" t="s">
        <v>129</v>
      </c>
      <c r="E604" t="s">
        <v>53</v>
      </c>
      <c r="F604" t="s">
        <v>53</v>
      </c>
      <c r="G604">
        <v>4</v>
      </c>
      <c r="H604" t="s">
        <v>54</v>
      </c>
      <c r="I604">
        <v>229500</v>
      </c>
      <c r="J604">
        <v>43700</v>
      </c>
      <c r="K604">
        <v>0.2</v>
      </c>
      <c r="L60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04">
        <v>0</v>
      </c>
      <c r="N604">
        <v>0</v>
      </c>
      <c r="O604">
        <v>0</v>
      </c>
      <c r="P604">
        <v>13398.7528</v>
      </c>
      <c r="Q604">
        <v>63903</v>
      </c>
      <c r="R604">
        <f>(Grandview_Inventory[[#This Row],[ln_acres]]*Grandview_Inventory[[#This Row],[coeff]])+Grandview_Inventory[[#This Row],[const]]</f>
        <v>42338.539264347448</v>
      </c>
      <c r="S604" t="s">
        <v>58</v>
      </c>
      <c r="T604">
        <v>1</v>
      </c>
      <c r="U604" t="s">
        <v>62</v>
      </c>
      <c r="V604" t="s">
        <v>69</v>
      </c>
      <c r="W604">
        <v>0</v>
      </c>
      <c r="X604">
        <v>0</v>
      </c>
      <c r="Y604">
        <v>37</v>
      </c>
      <c r="Z604">
        <v>37</v>
      </c>
      <c r="AA604">
        <v>40</v>
      </c>
      <c r="AB604">
        <v>2000</v>
      </c>
      <c r="AC604">
        <v>1779</v>
      </c>
      <c r="AD604">
        <v>1779</v>
      </c>
      <c r="AE604">
        <v>0</v>
      </c>
      <c r="AF604">
        <v>0</v>
      </c>
      <c r="AG604">
        <v>0</v>
      </c>
      <c r="AH604">
        <v>0</v>
      </c>
      <c r="AI604">
        <v>441</v>
      </c>
      <c r="AJ604">
        <v>0</v>
      </c>
      <c r="AK604">
        <v>0</v>
      </c>
      <c r="AL604">
        <v>0</v>
      </c>
      <c r="AM604">
        <v>300</v>
      </c>
      <c r="AN604">
        <v>0</v>
      </c>
      <c r="AO604">
        <v>0</v>
      </c>
      <c r="AP604">
        <v>10</v>
      </c>
      <c r="AQ604">
        <v>1</v>
      </c>
      <c r="AR604">
        <v>0</v>
      </c>
      <c r="AS604" t="s">
        <v>58</v>
      </c>
      <c r="AT604">
        <v>1</v>
      </c>
      <c r="AU604" t="s">
        <v>59</v>
      </c>
      <c r="AV604" t="s">
        <v>60</v>
      </c>
      <c r="AW604">
        <v>1</v>
      </c>
      <c r="AX604">
        <v>3</v>
      </c>
      <c r="AY604">
        <v>0</v>
      </c>
      <c r="AZ604">
        <v>0</v>
      </c>
      <c r="BA604">
        <v>100</v>
      </c>
      <c r="BB604">
        <v>100</v>
      </c>
      <c r="BC604">
        <v>100</v>
      </c>
      <c r="BD604">
        <v>100</v>
      </c>
      <c r="BE604">
        <v>1</v>
      </c>
      <c r="BF604">
        <v>15000</v>
      </c>
      <c r="BG604">
        <v>1000</v>
      </c>
      <c r="BH604" s="6">
        <f>Grandview_Inventory[[#This Row],[land_extract]]*Lookups!$B$3</f>
        <v>49167.631333630678</v>
      </c>
      <c r="BI604" s="6">
        <f>IF(Grandview_Inventory[[#This Row],[bldg_style]]="",0,Lookups!$B$2)</f>
        <v>155833.95000000001</v>
      </c>
      <c r="BJ604" s="6">
        <f>_xlfn.IFNA(VLOOKUP(Grandview_Inventory[[#This Row],[quality]],Lookups!$H$2:$J$14,3,FALSE),0)</f>
        <v>9808</v>
      </c>
      <c r="BK604" s="6">
        <f>_xlfn.IFNA(VLOOKUP(Grandview_Inventory[[#This Row],[condition]],Lookups!$H$17:$J$24,3,FALSE),0)</f>
        <v>-4503</v>
      </c>
      <c r="BL604" s="6">
        <f>Grandview_Inventory[[#This Row],[Eff_Age]]*Lookups!$B$14</f>
        <v>-8849.1641999999993</v>
      </c>
      <c r="BM604" s="6">
        <f>Grandview_Inventory[[#This Row],[living_area]]*Lookups!$B$15</f>
        <v>110975.53748700001</v>
      </c>
      <c r="BN604" s="6">
        <f>Grandview_Inventory[[#This Row],[Fin BSMT]]*Lookups!$B$16</f>
        <v>0</v>
      </c>
      <c r="BO604" s="6">
        <f>(Grandview_Inventory[[#This Row],[att_gar]]+Grandview_Inventory[[#This Row],[bltin_gar]])*Lookups!$B$17</f>
        <v>38596.512716999998</v>
      </c>
      <c r="BP604" s="6">
        <f>Grandview_Inventory[[#This Row],[Plumbing Fixtures]]*Lookups!$B$18</f>
        <v>20104.418000000001</v>
      </c>
      <c r="BQ604" s="6">
        <f>Grandview_Inventory[[#This Row],[detatched_value]]*Lookups!$B$19</f>
        <v>0</v>
      </c>
      <c r="BR604" s="6">
        <f>SUM(Grandview_Inventory[[#This Row],[Intercept]:[det_value]])*Grandview_Inventory[[#This Row],[res_pct]]</f>
        <v>321966.25400399999</v>
      </c>
      <c r="BS604" s="6">
        <f>Grandview_Inventory[[#This Row],[land_value]]</f>
        <v>49167.631333630678</v>
      </c>
      <c r="BT604" s="4">
        <f>_xlfn.IFNA(VLOOKUP(Grandview_Inventory[[#This Row],[quality]],Lookups!$A$26:$C$33,3,FALSE),1)</f>
        <v>0.94295468617355149</v>
      </c>
      <c r="BU604" s="4">
        <f>_xlfn.IFNA(VLOOKUP(Grandview_Inventory[[#This Row],[condition]],Lookups!$A$37:$C$44,3,FALSE),1)</f>
        <v>0.96469275950863709</v>
      </c>
      <c r="BV604" s="4">
        <f>IF(Grandview_Inventory[[#This Row],[bldg_style]]="",1,_xlfn.IFNA(VLOOKUP(Grandview_Inventory[[#This Row],[decade]],Lookups!$F$29:$H$43,3,FALSE),1))</f>
        <v>0.98031878267063854</v>
      </c>
      <c r="BW604" s="4">
        <f>_xlfn.IFNA(VLOOKUP(Grandview_Inventory[[#This Row],[living_area_range]],Lookups!$F$47:$H$56,3,FALSE),1)</f>
        <v>0.96120133463014379</v>
      </c>
      <c r="BX604" s="4">
        <f>AVERAGE(Grandview_Inventory[[#This Row],[qual_adj]:[size_adj]])</f>
        <v>0.96229189074574273</v>
      </c>
      <c r="BY604" s="6">
        <f>IF(Grandview_Inventory[[#This Row],[pre_res]]&lt;0,0,Grandview_Inventory[[#This Row],[pre_res]]*Grandview_Inventory[[#This Row],[overall_adj]])</f>
        <v>309825.5153218332</v>
      </c>
      <c r="BZ604" s="6">
        <f>(Grandview_Inventory[[#This Row],[sum_land]]-IF(Grandview_Inventory[[#This Row],[no_utilities]]=1,12000,0))/IF(Grandview_Inventory[[#This Row],[unbuildable]]=1,2,1)</f>
        <v>49167.631333630678</v>
      </c>
      <c r="CA60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04">
        <f>ROUND(Grandview_Inventory[[#This Row],[det_value]]*Lookups!$M$28,-2)</f>
        <v>0</v>
      </c>
      <c r="CC604">
        <f>IF(ROUND(Grandview_Inventory[[#This Row],[adj_res]]*Lookups!$M$28,-2)&lt;Grandview_Inventory[[#This Row],[min_res]],Grandview_Inventory[[#This Row],[min_res]],ROUND(Grandview_Inventory[[#This Row],[adj_res]]*Lookups!$M$28,-2))</f>
        <v>294300</v>
      </c>
      <c r="CD604">
        <f>Grandview_Inventory[[#This Row],[final_det]]+Grandview_Inventory[[#This Row],[final_res]]</f>
        <v>294300</v>
      </c>
      <c r="CE604">
        <f>Grandview_Inventory[[#This Row],[final_land]]+Grandview_Inventory[[#This Row],[final_imp]]+Grandview_Inventory[[#This Row],[crop_value]]</f>
        <v>341000</v>
      </c>
      <c r="CG604" t="str">
        <f t="shared" si="9"/>
        <v>update valuation set market_land =46700, market_bldg=294300, market_total =341000, market_mdno =401, market_date ='9/10/2023' where link_id = (select link_id from parcel where parcel_year = '2024' and parcel_id = '23092224442');</v>
      </c>
    </row>
    <row r="605" spans="1:85" x14ac:dyDescent="0.25">
      <c r="A605">
        <v>23092224447</v>
      </c>
      <c r="B605">
        <v>0.23</v>
      </c>
      <c r="C605">
        <v>10000</v>
      </c>
      <c r="D605" t="s">
        <v>129</v>
      </c>
      <c r="E605" t="s">
        <v>53</v>
      </c>
      <c r="F605" t="s">
        <v>53</v>
      </c>
      <c r="G605">
        <v>4</v>
      </c>
      <c r="H605" t="s">
        <v>54</v>
      </c>
      <c r="I605">
        <v>272400</v>
      </c>
      <c r="J605">
        <v>43800</v>
      </c>
      <c r="K605">
        <v>0.23</v>
      </c>
      <c r="L60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05">
        <v>0</v>
      </c>
      <c r="N605">
        <v>0</v>
      </c>
      <c r="O605">
        <v>0</v>
      </c>
      <c r="P605">
        <v>13398.7528</v>
      </c>
      <c r="Q605">
        <v>63903</v>
      </c>
      <c r="R605">
        <f>(Grandview_Inventory[[#This Row],[ln_acres]]*Grandview_Inventory[[#This Row],[coeff]])+Grandview_Inventory[[#This Row],[const]]</f>
        <v>44211.174981080039</v>
      </c>
      <c r="S605" t="s">
        <v>61</v>
      </c>
      <c r="T605">
        <v>1</v>
      </c>
      <c r="U605" t="s">
        <v>62</v>
      </c>
      <c r="V605" t="s">
        <v>67</v>
      </c>
      <c r="W605">
        <v>0</v>
      </c>
      <c r="X605">
        <v>0</v>
      </c>
      <c r="Y605">
        <v>36</v>
      </c>
      <c r="Z605">
        <v>36</v>
      </c>
      <c r="AA605">
        <v>40</v>
      </c>
      <c r="AB605">
        <v>2000</v>
      </c>
      <c r="AC605">
        <v>1585</v>
      </c>
      <c r="AD605">
        <v>1585</v>
      </c>
      <c r="AE605">
        <v>0</v>
      </c>
      <c r="AF605">
        <v>0</v>
      </c>
      <c r="AG605">
        <v>0</v>
      </c>
      <c r="AH605">
        <v>0</v>
      </c>
      <c r="AI605">
        <v>784</v>
      </c>
      <c r="AJ605">
        <v>0</v>
      </c>
      <c r="AK605">
        <v>0</v>
      </c>
      <c r="AL605">
        <v>0</v>
      </c>
      <c r="AM605">
        <v>217</v>
      </c>
      <c r="AN605">
        <v>390</v>
      </c>
      <c r="AO605">
        <v>0</v>
      </c>
      <c r="AP605">
        <v>10</v>
      </c>
      <c r="AQ605">
        <v>1</v>
      </c>
      <c r="AR605">
        <v>0</v>
      </c>
      <c r="AS605" t="s">
        <v>58</v>
      </c>
      <c r="AT605">
        <v>1</v>
      </c>
      <c r="AU605" t="s">
        <v>59</v>
      </c>
      <c r="AV605" t="s">
        <v>60</v>
      </c>
      <c r="AW605">
        <v>1</v>
      </c>
      <c r="AX605">
        <v>3</v>
      </c>
      <c r="AY605">
        <v>0</v>
      </c>
      <c r="AZ605">
        <v>0</v>
      </c>
      <c r="BA605">
        <v>100</v>
      </c>
      <c r="BB605">
        <v>100</v>
      </c>
      <c r="BC605">
        <v>100</v>
      </c>
      <c r="BD605">
        <v>100</v>
      </c>
      <c r="BE605">
        <v>1</v>
      </c>
      <c r="BF605">
        <v>15000</v>
      </c>
      <c r="BG605">
        <v>1000</v>
      </c>
      <c r="BH605" s="6">
        <f>Grandview_Inventory[[#This Row],[land_extract]]*Lookups!$B$3</f>
        <v>51342.318135355803</v>
      </c>
      <c r="BI605" s="6">
        <f>IF(Grandview_Inventory[[#This Row],[bldg_style]]="",0,Lookups!$B$2)</f>
        <v>155833.95000000001</v>
      </c>
      <c r="BJ605" s="6">
        <f>_xlfn.IFNA(VLOOKUP(Grandview_Inventory[[#This Row],[quality]],Lookups!$H$2:$J$14,3,FALSE),0)</f>
        <v>9808</v>
      </c>
      <c r="BK605" s="6">
        <f>_xlfn.IFNA(VLOOKUP(Grandview_Inventory[[#This Row],[condition]],Lookups!$H$17:$J$24,3,FALSE),0)</f>
        <v>22342</v>
      </c>
      <c r="BL605" s="6">
        <f>Grandview_Inventory[[#This Row],[Eff_Age]]*Lookups!$B$14</f>
        <v>-8609.9975999999988</v>
      </c>
      <c r="BM605" s="6">
        <f>Grandview_Inventory[[#This Row],[living_area]]*Lookups!$B$15</f>
        <v>98873.652004999996</v>
      </c>
      <c r="BN605" s="6">
        <f>Grandview_Inventory[[#This Row],[Fin BSMT]]*Lookups!$B$16</f>
        <v>0</v>
      </c>
      <c r="BO605" s="6">
        <f>(Grandview_Inventory[[#This Row],[att_gar]]+Grandview_Inventory[[#This Row],[bltin_gar]])*Lookups!$B$17</f>
        <v>68616.022607999999</v>
      </c>
      <c r="BP605" s="6">
        <f>Grandview_Inventory[[#This Row],[Plumbing Fixtures]]*Lookups!$B$18</f>
        <v>20104.418000000001</v>
      </c>
      <c r="BQ605" s="6">
        <f>Grandview_Inventory[[#This Row],[detatched_value]]*Lookups!$B$19</f>
        <v>0</v>
      </c>
      <c r="BR605" s="6">
        <f>SUM(Grandview_Inventory[[#This Row],[Intercept]:[det_value]])*Grandview_Inventory[[#This Row],[res_pct]]</f>
        <v>366968.04501299997</v>
      </c>
      <c r="BS605" s="6">
        <f>Grandview_Inventory[[#This Row],[land_value]]</f>
        <v>51342.318135355803</v>
      </c>
      <c r="BT605" s="4">
        <f>_xlfn.IFNA(VLOOKUP(Grandview_Inventory[[#This Row],[quality]],Lookups!$A$26:$C$33,3,FALSE),1)</f>
        <v>0.94295468617355149</v>
      </c>
      <c r="BU605" s="4">
        <f>_xlfn.IFNA(VLOOKUP(Grandview_Inventory[[#This Row],[condition]],Lookups!$A$37:$C$44,3,FALSE),1)</f>
        <v>0.97383723671140243</v>
      </c>
      <c r="BV605" s="4">
        <f>IF(Grandview_Inventory[[#This Row],[bldg_style]]="",1,_xlfn.IFNA(VLOOKUP(Grandview_Inventory[[#This Row],[decade]],Lookups!$F$29:$H$43,3,FALSE),1))</f>
        <v>0.98031878267063854</v>
      </c>
      <c r="BW605" s="4">
        <f>_xlfn.IFNA(VLOOKUP(Grandview_Inventory[[#This Row],[living_area_range]],Lookups!$F$47:$H$56,3,FALSE),1)</f>
        <v>0.96120133463014379</v>
      </c>
      <c r="BX605" s="4">
        <f>AVERAGE(Grandview_Inventory[[#This Row],[qual_adj]:[size_adj]])</f>
        <v>0.96457801004643406</v>
      </c>
      <c r="BY605" s="6">
        <f>IF(Grandview_Inventory[[#This Row],[pre_res]]&lt;0,0,Grandview_Inventory[[#This Row],[pre_res]]*Grandview_Inventory[[#This Row],[overall_adj]])</f>
        <v>353969.30660926976</v>
      </c>
      <c r="BZ605" s="6">
        <f>(Grandview_Inventory[[#This Row],[sum_land]]-IF(Grandview_Inventory[[#This Row],[no_utilities]]=1,12000,0))/IF(Grandview_Inventory[[#This Row],[unbuildable]]=1,2,1)</f>
        <v>51342.318135355803</v>
      </c>
      <c r="CA60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05">
        <f>ROUND(Grandview_Inventory[[#This Row],[det_value]]*Lookups!$M$28,-2)</f>
        <v>0</v>
      </c>
      <c r="CC605">
        <f>IF(ROUND(Grandview_Inventory[[#This Row],[adj_res]]*Lookups!$M$28,-2)&lt;Grandview_Inventory[[#This Row],[min_res]],Grandview_Inventory[[#This Row],[min_res]],ROUND(Grandview_Inventory[[#This Row],[adj_res]]*Lookups!$M$28,-2))</f>
        <v>336300</v>
      </c>
      <c r="CD605">
        <f>Grandview_Inventory[[#This Row],[final_det]]+Grandview_Inventory[[#This Row],[final_res]]</f>
        <v>336300</v>
      </c>
      <c r="CE605">
        <f>Grandview_Inventory[[#This Row],[final_land]]+Grandview_Inventory[[#This Row],[final_imp]]+Grandview_Inventory[[#This Row],[crop_value]]</f>
        <v>385100</v>
      </c>
      <c r="CG605" t="str">
        <f t="shared" si="9"/>
        <v>update valuation set market_land =48800, market_bldg=336300, market_total =385100, market_mdno =401, market_date ='9/10/2023' where link_id = (select link_id from parcel where parcel_year = '2024' and parcel_id = '23092224447');</v>
      </c>
    </row>
    <row r="606" spans="1:85" x14ac:dyDescent="0.25">
      <c r="A606">
        <v>23092224448</v>
      </c>
      <c r="B606">
        <v>0.23</v>
      </c>
      <c r="C606">
        <v>10054</v>
      </c>
      <c r="D606" t="s">
        <v>129</v>
      </c>
      <c r="E606" t="s">
        <v>53</v>
      </c>
      <c r="F606" t="s">
        <v>53</v>
      </c>
      <c r="G606">
        <v>4</v>
      </c>
      <c r="H606" t="s">
        <v>54</v>
      </c>
      <c r="I606">
        <v>258500</v>
      </c>
      <c r="J606">
        <v>44000</v>
      </c>
      <c r="K606">
        <v>0.23</v>
      </c>
      <c r="L60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06">
        <v>0</v>
      </c>
      <c r="N606">
        <v>0</v>
      </c>
      <c r="O606">
        <v>0</v>
      </c>
      <c r="P606">
        <v>13398.7528</v>
      </c>
      <c r="Q606">
        <v>63903</v>
      </c>
      <c r="R606">
        <f>(Grandview_Inventory[[#This Row],[ln_acres]]*Grandview_Inventory[[#This Row],[coeff]])+Grandview_Inventory[[#This Row],[const]]</f>
        <v>44211.174981080039</v>
      </c>
      <c r="S606" t="s">
        <v>58</v>
      </c>
      <c r="T606">
        <v>1</v>
      </c>
      <c r="U606" t="s">
        <v>62</v>
      </c>
      <c r="V606" t="s">
        <v>69</v>
      </c>
      <c r="W606">
        <v>0</v>
      </c>
      <c r="X606">
        <v>0</v>
      </c>
      <c r="Y606">
        <v>36</v>
      </c>
      <c r="Z606">
        <v>36</v>
      </c>
      <c r="AA606">
        <v>40</v>
      </c>
      <c r="AB606">
        <v>2500</v>
      </c>
      <c r="AC606">
        <v>2492</v>
      </c>
      <c r="AD606">
        <v>1756</v>
      </c>
      <c r="AE606">
        <v>0</v>
      </c>
      <c r="AF606">
        <v>0</v>
      </c>
      <c r="AG606">
        <v>736</v>
      </c>
      <c r="AH606">
        <v>0</v>
      </c>
      <c r="AI606">
        <v>586</v>
      </c>
      <c r="AJ606">
        <v>0</v>
      </c>
      <c r="AK606">
        <v>0</v>
      </c>
      <c r="AL606">
        <v>0</v>
      </c>
      <c r="AM606">
        <v>215</v>
      </c>
      <c r="AN606">
        <v>100</v>
      </c>
      <c r="AO606">
        <v>0</v>
      </c>
      <c r="AP606">
        <v>10</v>
      </c>
      <c r="AQ606">
        <v>1</v>
      </c>
      <c r="AR606">
        <v>0</v>
      </c>
      <c r="AS606" t="s">
        <v>58</v>
      </c>
      <c r="AT606">
        <v>1</v>
      </c>
      <c r="AU606" t="s">
        <v>63</v>
      </c>
      <c r="AV606" t="s">
        <v>60</v>
      </c>
      <c r="AW606">
        <v>1</v>
      </c>
      <c r="AX606">
        <v>3</v>
      </c>
      <c r="AY606">
        <v>0</v>
      </c>
      <c r="AZ606">
        <v>0</v>
      </c>
      <c r="BA606">
        <v>100</v>
      </c>
      <c r="BB606">
        <v>100</v>
      </c>
      <c r="BC606">
        <v>100</v>
      </c>
      <c r="BD606">
        <v>100</v>
      </c>
      <c r="BE606">
        <v>1</v>
      </c>
      <c r="BF606">
        <v>15000</v>
      </c>
      <c r="BG606">
        <v>1000</v>
      </c>
      <c r="BH606" s="6">
        <f>Grandview_Inventory[[#This Row],[land_extract]]*Lookups!$B$3</f>
        <v>51342.318135355803</v>
      </c>
      <c r="BI606" s="6">
        <f>IF(Grandview_Inventory[[#This Row],[bldg_style]]="",0,Lookups!$B$2)</f>
        <v>155833.95000000001</v>
      </c>
      <c r="BJ606" s="6">
        <f>_xlfn.IFNA(VLOOKUP(Grandview_Inventory[[#This Row],[quality]],Lookups!$H$2:$J$14,3,FALSE),0)</f>
        <v>9808</v>
      </c>
      <c r="BK606" s="6">
        <f>_xlfn.IFNA(VLOOKUP(Grandview_Inventory[[#This Row],[condition]],Lookups!$H$17:$J$24,3,FALSE),0)</f>
        <v>-4503</v>
      </c>
      <c r="BL606" s="6">
        <f>Grandview_Inventory[[#This Row],[Eff_Age]]*Lookups!$B$14</f>
        <v>-8609.9975999999988</v>
      </c>
      <c r="BM606" s="6">
        <f>Grandview_Inventory[[#This Row],[living_area]]*Lookups!$B$15</f>
        <v>155453.08567600002</v>
      </c>
      <c r="BN606" s="6">
        <f>Grandview_Inventory[[#This Row],[Fin BSMT]]*Lookups!$B$16</f>
        <v>-19945.040640000003</v>
      </c>
      <c r="BO606" s="6">
        <f>(Grandview_Inventory[[#This Row],[att_gar]]+Grandview_Inventory[[#This Row],[bltin_gar]])*Lookups!$B$17</f>
        <v>51286.976082000001</v>
      </c>
      <c r="BP606" s="6">
        <f>Grandview_Inventory[[#This Row],[Plumbing Fixtures]]*Lookups!$B$18</f>
        <v>20104.418000000001</v>
      </c>
      <c r="BQ606" s="6">
        <f>Grandview_Inventory[[#This Row],[detatched_value]]*Lookups!$B$19</f>
        <v>0</v>
      </c>
      <c r="BR606" s="6">
        <f>SUM(Grandview_Inventory[[#This Row],[Intercept]:[det_value]])*Grandview_Inventory[[#This Row],[res_pct]]</f>
        <v>359428.39151800005</v>
      </c>
      <c r="BS606" s="6">
        <f>Grandview_Inventory[[#This Row],[land_value]]</f>
        <v>51342.318135355803</v>
      </c>
      <c r="BT606" s="4">
        <f>_xlfn.IFNA(VLOOKUP(Grandview_Inventory[[#This Row],[quality]],Lookups!$A$26:$C$33,3,FALSE),1)</f>
        <v>0.94295468617355149</v>
      </c>
      <c r="BU606" s="4">
        <f>_xlfn.IFNA(VLOOKUP(Grandview_Inventory[[#This Row],[condition]],Lookups!$A$37:$C$44,3,FALSE),1)</f>
        <v>0.96469275950863709</v>
      </c>
      <c r="BV606" s="4">
        <f>IF(Grandview_Inventory[[#This Row],[bldg_style]]="",1,_xlfn.IFNA(VLOOKUP(Grandview_Inventory[[#This Row],[decade]],Lookups!$F$29:$H$43,3,FALSE),1))</f>
        <v>0.98031878267063854</v>
      </c>
      <c r="BW606" s="4">
        <f>_xlfn.IFNA(VLOOKUP(Grandview_Inventory[[#This Row],[living_area_range]],Lookups!$F$47:$H$56,3,FALSE),1)</f>
        <v>0.95799442568048754</v>
      </c>
      <c r="BX606" s="4">
        <f>AVERAGE(Grandview_Inventory[[#This Row],[qual_adj]:[size_adj]])</f>
        <v>0.96149016350832861</v>
      </c>
      <c r="BY606" s="6">
        <f>IF(Grandview_Inventory[[#This Row],[pre_res]]&lt;0,0,Grandview_Inventory[[#This Row],[pre_res]]*Grandview_Inventory[[#This Row],[overall_adj]])</f>
        <v>345586.86293017742</v>
      </c>
      <c r="BZ606" s="6">
        <f>(Grandview_Inventory[[#This Row],[sum_land]]-IF(Grandview_Inventory[[#This Row],[no_utilities]]=1,12000,0))/IF(Grandview_Inventory[[#This Row],[unbuildable]]=1,2,1)</f>
        <v>51342.318135355803</v>
      </c>
      <c r="CA60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06">
        <f>ROUND(Grandview_Inventory[[#This Row],[det_value]]*Lookups!$M$28,-2)</f>
        <v>0</v>
      </c>
      <c r="CC606">
        <f>IF(ROUND(Grandview_Inventory[[#This Row],[adj_res]]*Lookups!$M$28,-2)&lt;Grandview_Inventory[[#This Row],[min_res]],Grandview_Inventory[[#This Row],[min_res]],ROUND(Grandview_Inventory[[#This Row],[adj_res]]*Lookups!$M$28,-2))</f>
        <v>328300</v>
      </c>
      <c r="CD606">
        <f>Grandview_Inventory[[#This Row],[final_det]]+Grandview_Inventory[[#This Row],[final_res]]</f>
        <v>328300</v>
      </c>
      <c r="CE606">
        <f>Grandview_Inventory[[#This Row],[final_land]]+Grandview_Inventory[[#This Row],[final_imp]]+Grandview_Inventory[[#This Row],[crop_value]]</f>
        <v>377100</v>
      </c>
      <c r="CG606" t="str">
        <f t="shared" si="9"/>
        <v>update valuation set market_land =48800, market_bldg=328300, market_total =377100, market_mdno =401, market_date ='9/10/2023' where link_id = (select link_id from parcel where parcel_year = '2024' and parcel_id = '23092224448');</v>
      </c>
    </row>
    <row r="607" spans="1:85" x14ac:dyDescent="0.25">
      <c r="A607">
        <v>23092224449</v>
      </c>
      <c r="B607">
        <v>0.19</v>
      </c>
      <c r="C607">
        <v>8065</v>
      </c>
      <c r="D607" t="s">
        <v>129</v>
      </c>
      <c r="E607" t="s">
        <v>53</v>
      </c>
      <c r="F607" t="s">
        <v>53</v>
      </c>
      <c r="G607">
        <v>4</v>
      </c>
      <c r="H607" t="s">
        <v>54</v>
      </c>
      <c r="I607">
        <v>206100</v>
      </c>
      <c r="J607">
        <v>43300</v>
      </c>
      <c r="K607">
        <v>0.19</v>
      </c>
      <c r="L60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07">
        <v>0</v>
      </c>
      <c r="N607">
        <v>0</v>
      </c>
      <c r="O607">
        <v>0</v>
      </c>
      <c r="P607">
        <v>13398.7528</v>
      </c>
      <c r="Q607">
        <v>63903</v>
      </c>
      <c r="R607">
        <f>(Grandview_Inventory[[#This Row],[ln_acres]]*Grandview_Inventory[[#This Row],[coeff]])+Grandview_Inventory[[#This Row],[const]]</f>
        <v>41651.273092551026</v>
      </c>
      <c r="S607" t="s">
        <v>58</v>
      </c>
      <c r="T607">
        <v>1</v>
      </c>
      <c r="U607" t="s">
        <v>64</v>
      </c>
      <c r="V607" t="s">
        <v>69</v>
      </c>
      <c r="W607">
        <v>0</v>
      </c>
      <c r="X607">
        <v>0</v>
      </c>
      <c r="Y607">
        <v>33</v>
      </c>
      <c r="Z607">
        <v>33</v>
      </c>
      <c r="AA607">
        <v>40</v>
      </c>
      <c r="AB607">
        <v>2000</v>
      </c>
      <c r="AC607">
        <v>1536</v>
      </c>
      <c r="AD607">
        <v>1536</v>
      </c>
      <c r="AE607">
        <v>0</v>
      </c>
      <c r="AF607">
        <v>0</v>
      </c>
      <c r="AG607">
        <v>0</v>
      </c>
      <c r="AH607">
        <v>0</v>
      </c>
      <c r="AI607">
        <v>500</v>
      </c>
      <c r="AJ607">
        <v>0</v>
      </c>
      <c r="AK607">
        <v>0</v>
      </c>
      <c r="AL607">
        <v>0</v>
      </c>
      <c r="AM607">
        <v>200</v>
      </c>
      <c r="AN607">
        <v>0</v>
      </c>
      <c r="AO607">
        <v>0</v>
      </c>
      <c r="AP607">
        <v>9</v>
      </c>
      <c r="AQ607">
        <v>0</v>
      </c>
      <c r="AR607">
        <v>0</v>
      </c>
      <c r="AS607" t="s">
        <v>58</v>
      </c>
      <c r="AT607">
        <v>1</v>
      </c>
      <c r="AU607" t="s">
        <v>63</v>
      </c>
      <c r="AV607" t="s">
        <v>60</v>
      </c>
      <c r="AW607">
        <v>0</v>
      </c>
      <c r="AX607">
        <v>3</v>
      </c>
      <c r="AY607">
        <v>0</v>
      </c>
      <c r="AZ607">
        <v>0</v>
      </c>
      <c r="BA607">
        <v>100</v>
      </c>
      <c r="BB607">
        <v>100</v>
      </c>
      <c r="BC607">
        <v>100</v>
      </c>
      <c r="BD607">
        <v>100</v>
      </c>
      <c r="BE607">
        <v>1</v>
      </c>
      <c r="BF607">
        <v>15000</v>
      </c>
      <c r="BG607">
        <v>1000</v>
      </c>
      <c r="BH607" s="6">
        <f>Grandview_Inventory[[#This Row],[land_extract]]*Lookups!$B$3</f>
        <v>48369.510983942157</v>
      </c>
      <c r="BI607" s="6">
        <f>IF(Grandview_Inventory[[#This Row],[bldg_style]]="",0,Lookups!$B$2)</f>
        <v>155833.95000000001</v>
      </c>
      <c r="BJ607" s="6">
        <f>_xlfn.IFNA(VLOOKUP(Grandview_Inventory[[#This Row],[quality]],Lookups!$H$2:$J$14,3,FALSE),0)</f>
        <v>20768</v>
      </c>
      <c r="BK607" s="6">
        <f>_xlfn.IFNA(VLOOKUP(Grandview_Inventory[[#This Row],[condition]],Lookups!$H$17:$J$24,3,FALSE),0)</f>
        <v>-4503</v>
      </c>
      <c r="BL607" s="6">
        <f>Grandview_Inventory[[#This Row],[Eff_Age]]*Lookups!$B$14</f>
        <v>-7892.4977999999992</v>
      </c>
      <c r="BM607" s="6">
        <f>Grandview_Inventory[[#This Row],[living_area]]*Lookups!$B$15</f>
        <v>95816.990208000003</v>
      </c>
      <c r="BN607" s="6">
        <f>Grandview_Inventory[[#This Row],[Fin BSMT]]*Lookups!$B$16</f>
        <v>0</v>
      </c>
      <c r="BO607" s="6">
        <f>(Grandview_Inventory[[#This Row],[att_gar]]+Grandview_Inventory[[#This Row],[bltin_gar]])*Lookups!$B$17</f>
        <v>43760.218500000003</v>
      </c>
      <c r="BP607" s="6">
        <f>Grandview_Inventory[[#This Row],[Plumbing Fixtures]]*Lookups!$B$18</f>
        <v>18093.976200000001</v>
      </c>
      <c r="BQ607" s="6">
        <f>Grandview_Inventory[[#This Row],[detatched_value]]*Lookups!$B$19</f>
        <v>0</v>
      </c>
      <c r="BR607" s="6">
        <f>SUM(Grandview_Inventory[[#This Row],[Intercept]:[det_value]])*Grandview_Inventory[[#This Row],[res_pct]]</f>
        <v>321877.637108</v>
      </c>
      <c r="BS607" s="6">
        <f>Grandview_Inventory[[#This Row],[land_value]]</f>
        <v>48369.510983942157</v>
      </c>
      <c r="BT607" s="4">
        <f>_xlfn.IFNA(VLOOKUP(Grandview_Inventory[[#This Row],[quality]],Lookups!$A$26:$C$33,3,FALSE),1)</f>
        <v>0.94960540378902636</v>
      </c>
      <c r="BU607" s="4">
        <f>_xlfn.IFNA(VLOOKUP(Grandview_Inventory[[#This Row],[condition]],Lookups!$A$37:$C$44,3,FALSE),1)</f>
        <v>0.96469275950863709</v>
      </c>
      <c r="BV607" s="4">
        <f>IF(Grandview_Inventory[[#This Row],[bldg_style]]="",1,_xlfn.IFNA(VLOOKUP(Grandview_Inventory[[#This Row],[decade]],Lookups!$F$29:$H$43,3,FALSE),1))</f>
        <v>0.98031878267063854</v>
      </c>
      <c r="BW607" s="4">
        <f>_xlfn.IFNA(VLOOKUP(Grandview_Inventory[[#This Row],[living_area_range]],Lookups!$F$47:$H$56,3,FALSE),1)</f>
        <v>0.96120133463014379</v>
      </c>
      <c r="BX607" s="4">
        <f>AVERAGE(Grandview_Inventory[[#This Row],[qual_adj]:[size_adj]])</f>
        <v>0.9639545701496115</v>
      </c>
      <c r="BY607" s="6">
        <f>IF(Grandview_Inventory[[#This Row],[pre_res]]&lt;0,0,Grandview_Inventory[[#This Row],[pre_res]]*Grandview_Inventory[[#This Row],[overall_adj]])</f>
        <v>310275.41931921476</v>
      </c>
      <c r="BZ607" s="6">
        <f>(Grandview_Inventory[[#This Row],[sum_land]]-IF(Grandview_Inventory[[#This Row],[no_utilities]]=1,12000,0))/IF(Grandview_Inventory[[#This Row],[unbuildable]]=1,2,1)</f>
        <v>48369.510983942157</v>
      </c>
      <c r="CA60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07">
        <f>ROUND(Grandview_Inventory[[#This Row],[det_value]]*Lookups!$M$28,-2)</f>
        <v>0</v>
      </c>
      <c r="CC607">
        <f>IF(ROUND(Grandview_Inventory[[#This Row],[adj_res]]*Lookups!$M$28,-2)&lt;Grandview_Inventory[[#This Row],[min_res]],Grandview_Inventory[[#This Row],[min_res]],ROUND(Grandview_Inventory[[#This Row],[adj_res]]*Lookups!$M$28,-2))</f>
        <v>294800</v>
      </c>
      <c r="CD607">
        <f>Grandview_Inventory[[#This Row],[final_det]]+Grandview_Inventory[[#This Row],[final_res]]</f>
        <v>294800</v>
      </c>
      <c r="CE607">
        <f>Grandview_Inventory[[#This Row],[final_land]]+Grandview_Inventory[[#This Row],[final_imp]]+Grandview_Inventory[[#This Row],[crop_value]]</f>
        <v>340800</v>
      </c>
      <c r="CG607" t="str">
        <f t="shared" si="9"/>
        <v>update valuation set market_land =46000, market_bldg=294800, market_total =340800, market_mdno =401, market_date ='9/10/2023' where link_id = (select link_id from parcel where parcel_year = '2024' and parcel_id = '23092224449');</v>
      </c>
    </row>
    <row r="608" spans="1:85" x14ac:dyDescent="0.25">
      <c r="A608">
        <v>23092224450</v>
      </c>
      <c r="B608">
        <v>0.24</v>
      </c>
      <c r="C608">
        <v>10328</v>
      </c>
      <c r="D608" t="s">
        <v>129</v>
      </c>
      <c r="E608" t="s">
        <v>53</v>
      </c>
      <c r="F608" t="s">
        <v>53</v>
      </c>
      <c r="G608">
        <v>4</v>
      </c>
      <c r="H608" t="s">
        <v>54</v>
      </c>
      <c r="I608">
        <v>246600</v>
      </c>
      <c r="J608">
        <v>44200</v>
      </c>
      <c r="K608">
        <v>0.24</v>
      </c>
      <c r="L608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608">
        <v>0</v>
      </c>
      <c r="N608">
        <v>0</v>
      </c>
      <c r="O608">
        <v>0</v>
      </c>
      <c r="P608">
        <v>13398.7528</v>
      </c>
      <c r="Q608">
        <v>63903</v>
      </c>
      <c r="R608">
        <f>(Grandview_Inventory[[#This Row],[ln_acres]]*Grandview_Inventory[[#This Row],[coeff]])+Grandview_Inventory[[#This Row],[const]]</f>
        <v>44781.420733940802</v>
      </c>
      <c r="S608" t="s">
        <v>74</v>
      </c>
      <c r="T608">
        <v>1</v>
      </c>
      <c r="U608" t="s">
        <v>64</v>
      </c>
      <c r="V608" t="s">
        <v>78</v>
      </c>
      <c r="W608">
        <v>0</v>
      </c>
      <c r="X608">
        <v>0</v>
      </c>
      <c r="Y608">
        <v>37</v>
      </c>
      <c r="Z608">
        <v>37</v>
      </c>
      <c r="AA608">
        <v>40</v>
      </c>
      <c r="AB608">
        <v>2500</v>
      </c>
      <c r="AC608">
        <v>2370</v>
      </c>
      <c r="AD608">
        <v>1534</v>
      </c>
      <c r="AE608">
        <v>0</v>
      </c>
      <c r="AF608">
        <v>0</v>
      </c>
      <c r="AG608">
        <v>836</v>
      </c>
      <c r="AH608">
        <v>0</v>
      </c>
      <c r="AI608">
        <v>0</v>
      </c>
      <c r="AJ608">
        <v>483</v>
      </c>
      <c r="AK608">
        <v>0</v>
      </c>
      <c r="AL608">
        <v>304</v>
      </c>
      <c r="AM608">
        <v>0</v>
      </c>
      <c r="AN608">
        <v>0</v>
      </c>
      <c r="AO608">
        <v>0</v>
      </c>
      <c r="AP608">
        <v>11</v>
      </c>
      <c r="AQ608">
        <v>0</v>
      </c>
      <c r="AR608">
        <v>0</v>
      </c>
      <c r="AS608" t="s">
        <v>76</v>
      </c>
      <c r="AT608">
        <v>1</v>
      </c>
      <c r="AU608" t="s">
        <v>63</v>
      </c>
      <c r="AV608" t="s">
        <v>60</v>
      </c>
      <c r="AW608">
        <v>1</v>
      </c>
      <c r="AX608">
        <v>4</v>
      </c>
      <c r="AY608">
        <v>0</v>
      </c>
      <c r="AZ608">
        <v>0</v>
      </c>
      <c r="BA608">
        <v>100</v>
      </c>
      <c r="BB608">
        <v>100</v>
      </c>
      <c r="BC608">
        <v>100</v>
      </c>
      <c r="BD608">
        <v>100</v>
      </c>
      <c r="BE608">
        <v>1</v>
      </c>
      <c r="BF608">
        <v>15000</v>
      </c>
      <c r="BG608">
        <v>1000</v>
      </c>
      <c r="BH608" s="6">
        <f>Grandview_Inventory[[#This Row],[land_extract]]*Lookups!$B$3</f>
        <v>52004.542988489469</v>
      </c>
      <c r="BI608" s="6">
        <f>IF(Grandview_Inventory[[#This Row],[bldg_style]]="",0,Lookups!$B$2)</f>
        <v>155833.95000000001</v>
      </c>
      <c r="BJ608" s="6">
        <f>_xlfn.IFNA(VLOOKUP(Grandview_Inventory[[#This Row],[quality]],Lookups!$H$2:$J$14,3,FALSE),0)</f>
        <v>20768</v>
      </c>
      <c r="BK608" s="6">
        <f>_xlfn.IFNA(VLOOKUP(Grandview_Inventory[[#This Row],[condition]],Lookups!$H$17:$J$24,3,FALSE),0)</f>
        <v>-45357</v>
      </c>
      <c r="BL608" s="6">
        <f>Grandview_Inventory[[#This Row],[Eff_Age]]*Lookups!$B$14</f>
        <v>-8849.1641999999993</v>
      </c>
      <c r="BM608" s="6">
        <f>Grandview_Inventory[[#This Row],[living_area]]*Lookups!$B$15</f>
        <v>147842.62161</v>
      </c>
      <c r="BN608" s="6">
        <f>Grandview_Inventory[[#This Row],[Fin BSMT]]*Lookups!$B$16</f>
        <v>-22654.964640000002</v>
      </c>
      <c r="BO608" s="6">
        <f>(Grandview_Inventory[[#This Row],[att_gar]]+Grandview_Inventory[[#This Row],[bltin_gar]])*Lookups!$B$17</f>
        <v>42272.371071000001</v>
      </c>
      <c r="BP608" s="6">
        <f>Grandview_Inventory[[#This Row],[Plumbing Fixtures]]*Lookups!$B$18</f>
        <v>22114.859800000002</v>
      </c>
      <c r="BQ608" s="6">
        <f>Grandview_Inventory[[#This Row],[detatched_value]]*Lookups!$B$19</f>
        <v>0</v>
      </c>
      <c r="BR608" s="6">
        <f>SUM(Grandview_Inventory[[#This Row],[Intercept]:[det_value]])*Grandview_Inventory[[#This Row],[res_pct]]</f>
        <v>311970.67364099994</v>
      </c>
      <c r="BS608" s="6">
        <f>Grandview_Inventory[[#This Row],[land_value]]</f>
        <v>52004.542988489469</v>
      </c>
      <c r="BT608" s="4">
        <f>_xlfn.IFNA(VLOOKUP(Grandview_Inventory[[#This Row],[quality]],Lookups!$A$26:$C$33,3,FALSE),1)</f>
        <v>0.94960540378902636</v>
      </c>
      <c r="BU608" s="4">
        <f>_xlfn.IFNA(VLOOKUP(Grandview_Inventory[[#This Row],[condition]],Lookups!$A$37:$C$44,3,FALSE),1)</f>
        <v>0.97161819570155394</v>
      </c>
      <c r="BV608" s="4">
        <f>IF(Grandview_Inventory[[#This Row],[bldg_style]]="",1,_xlfn.IFNA(VLOOKUP(Grandview_Inventory[[#This Row],[decade]],Lookups!$F$29:$H$43,3,FALSE),1))</f>
        <v>0.98031878267063854</v>
      </c>
      <c r="BW608" s="4">
        <f>_xlfn.IFNA(VLOOKUP(Grandview_Inventory[[#This Row],[living_area_range]],Lookups!$F$47:$H$56,3,FALSE),1)</f>
        <v>0.95799442568048754</v>
      </c>
      <c r="BX608" s="4">
        <f>AVERAGE(Grandview_Inventory[[#This Row],[qual_adj]:[size_adj]])</f>
        <v>0.96488420196042657</v>
      </c>
      <c r="BY608" s="6">
        <f>IF(Grandview_Inventory[[#This Row],[pre_res]]&lt;0,0,Grandview_Inventory[[#This Row],[pre_res]]*Grandview_Inventory[[#This Row],[overall_adj]])</f>
        <v>301015.57447115291</v>
      </c>
      <c r="BZ608" s="6">
        <f>(Grandview_Inventory[[#This Row],[sum_land]]-IF(Grandview_Inventory[[#This Row],[no_utilities]]=1,12000,0))/IF(Grandview_Inventory[[#This Row],[unbuildable]]=1,2,1)</f>
        <v>52004.542988489469</v>
      </c>
      <c r="CA608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608">
        <f>ROUND(Grandview_Inventory[[#This Row],[det_value]]*Lookups!$M$28,-2)</f>
        <v>0</v>
      </c>
      <c r="CC608">
        <f>IF(ROUND(Grandview_Inventory[[#This Row],[adj_res]]*Lookups!$M$28,-2)&lt;Grandview_Inventory[[#This Row],[min_res]],Grandview_Inventory[[#This Row],[min_res]],ROUND(Grandview_Inventory[[#This Row],[adj_res]]*Lookups!$M$28,-2))</f>
        <v>286000</v>
      </c>
      <c r="CD608">
        <f>Grandview_Inventory[[#This Row],[final_det]]+Grandview_Inventory[[#This Row],[final_res]]</f>
        <v>286000</v>
      </c>
      <c r="CE608">
        <f>Grandview_Inventory[[#This Row],[final_land]]+Grandview_Inventory[[#This Row],[final_imp]]+Grandview_Inventory[[#This Row],[crop_value]]</f>
        <v>335400</v>
      </c>
      <c r="CG608" t="str">
        <f t="shared" si="9"/>
        <v>update valuation set market_land =49400, market_bldg=286000, market_total =335400, market_mdno =401, market_date ='9/10/2023' where link_id = (select link_id from parcel where parcel_year = '2024' and parcel_id = '23092224450');</v>
      </c>
    </row>
    <row r="609" spans="1:85" x14ac:dyDescent="0.25">
      <c r="A609">
        <v>23092224451</v>
      </c>
      <c r="B609">
        <v>0.2</v>
      </c>
      <c r="C609">
        <v>8883</v>
      </c>
      <c r="D609" t="s">
        <v>129</v>
      </c>
      <c r="E609" t="s">
        <v>53</v>
      </c>
      <c r="F609" t="s">
        <v>53</v>
      </c>
      <c r="G609">
        <v>4</v>
      </c>
      <c r="H609" t="s">
        <v>54</v>
      </c>
      <c r="I609">
        <v>257600</v>
      </c>
      <c r="J609">
        <v>43500</v>
      </c>
      <c r="K609">
        <v>0.2</v>
      </c>
      <c r="L60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09">
        <v>0</v>
      </c>
      <c r="N609">
        <v>0</v>
      </c>
      <c r="O609">
        <v>0</v>
      </c>
      <c r="P609">
        <v>13398.7528</v>
      </c>
      <c r="Q609">
        <v>63903</v>
      </c>
      <c r="R609">
        <f>(Grandview_Inventory[[#This Row],[ln_acres]]*Grandview_Inventory[[#This Row],[coeff]])+Grandview_Inventory[[#This Row],[const]]</f>
        <v>42338.539264347448</v>
      </c>
      <c r="S609" t="s">
        <v>58</v>
      </c>
      <c r="T609">
        <v>2</v>
      </c>
      <c r="U609" t="s">
        <v>64</v>
      </c>
      <c r="V609" t="s">
        <v>69</v>
      </c>
      <c r="W609">
        <v>0</v>
      </c>
      <c r="X609">
        <v>0</v>
      </c>
      <c r="Y609">
        <v>33</v>
      </c>
      <c r="Z609">
        <v>33</v>
      </c>
      <c r="AA609">
        <v>40</v>
      </c>
      <c r="AB609">
        <v>2000</v>
      </c>
      <c r="AC609">
        <v>1728</v>
      </c>
      <c r="AD609">
        <v>964</v>
      </c>
      <c r="AE609">
        <v>764</v>
      </c>
      <c r="AF609">
        <v>0</v>
      </c>
      <c r="AG609">
        <v>0</v>
      </c>
      <c r="AH609">
        <v>0</v>
      </c>
      <c r="AI609">
        <v>0</v>
      </c>
      <c r="AJ609">
        <v>440</v>
      </c>
      <c r="AK609">
        <v>0</v>
      </c>
      <c r="AL609">
        <v>0</v>
      </c>
      <c r="AM609">
        <v>100</v>
      </c>
      <c r="AN609">
        <v>312</v>
      </c>
      <c r="AO609">
        <v>0</v>
      </c>
      <c r="AP609">
        <v>11</v>
      </c>
      <c r="AQ609">
        <v>0</v>
      </c>
      <c r="AR609">
        <v>0</v>
      </c>
      <c r="AS609" t="s">
        <v>76</v>
      </c>
      <c r="AT609">
        <v>1</v>
      </c>
      <c r="AU609" t="s">
        <v>59</v>
      </c>
      <c r="AV609" t="s">
        <v>60</v>
      </c>
      <c r="AW609">
        <v>1</v>
      </c>
      <c r="AX609">
        <v>3</v>
      </c>
      <c r="AY609">
        <v>0</v>
      </c>
      <c r="AZ609">
        <v>21500</v>
      </c>
      <c r="BA609">
        <v>100</v>
      </c>
      <c r="BB609">
        <v>100</v>
      </c>
      <c r="BC609">
        <v>100</v>
      </c>
      <c r="BD609">
        <v>100</v>
      </c>
      <c r="BE609">
        <v>1</v>
      </c>
      <c r="BF609">
        <v>15000</v>
      </c>
      <c r="BG609">
        <v>1000</v>
      </c>
      <c r="BH609" s="6">
        <f>Grandview_Inventory[[#This Row],[land_extract]]*Lookups!$B$3</f>
        <v>49167.631333630678</v>
      </c>
      <c r="BI609" s="6">
        <f>IF(Grandview_Inventory[[#This Row],[bldg_style]]="",0,Lookups!$B$2)</f>
        <v>155833.95000000001</v>
      </c>
      <c r="BJ609" s="6">
        <f>_xlfn.IFNA(VLOOKUP(Grandview_Inventory[[#This Row],[quality]],Lookups!$H$2:$J$14,3,FALSE),0)</f>
        <v>20768</v>
      </c>
      <c r="BK609" s="6">
        <f>_xlfn.IFNA(VLOOKUP(Grandview_Inventory[[#This Row],[condition]],Lookups!$H$17:$J$24,3,FALSE),0)</f>
        <v>-4503</v>
      </c>
      <c r="BL609" s="6">
        <f>Grandview_Inventory[[#This Row],[Eff_Age]]*Lookups!$B$14</f>
        <v>-7892.4977999999992</v>
      </c>
      <c r="BM609" s="6">
        <f>Grandview_Inventory[[#This Row],[living_area]]*Lookups!$B$15</f>
        <v>107794.113984</v>
      </c>
      <c r="BN609" s="6">
        <f>Grandview_Inventory[[#This Row],[Fin BSMT]]*Lookups!$B$16</f>
        <v>0</v>
      </c>
      <c r="BO609" s="6">
        <f>(Grandview_Inventory[[#This Row],[att_gar]]+Grandview_Inventory[[#This Row],[bltin_gar]])*Lookups!$B$17</f>
        <v>38508.992279999999</v>
      </c>
      <c r="BP609" s="6">
        <f>Grandview_Inventory[[#This Row],[Plumbing Fixtures]]*Lookups!$B$18</f>
        <v>22114.859800000002</v>
      </c>
      <c r="BQ609" s="6">
        <f>Grandview_Inventory[[#This Row],[detatched_value]]*Lookups!$B$19</f>
        <v>18206.309649999999</v>
      </c>
      <c r="BR609" s="6">
        <f>SUM(Grandview_Inventory[[#This Row],[Intercept]:[det_value]])*Grandview_Inventory[[#This Row],[res_pct]]</f>
        <v>350830.72791399999</v>
      </c>
      <c r="BS609" s="6">
        <f>Grandview_Inventory[[#This Row],[land_value]]</f>
        <v>49167.631333630678</v>
      </c>
      <c r="BT609" s="4">
        <f>_xlfn.IFNA(VLOOKUP(Grandview_Inventory[[#This Row],[quality]],Lookups!$A$26:$C$33,3,FALSE),1)</f>
        <v>0.94960540378902636</v>
      </c>
      <c r="BU609" s="4">
        <f>_xlfn.IFNA(VLOOKUP(Grandview_Inventory[[#This Row],[condition]],Lookups!$A$37:$C$44,3,FALSE),1)</f>
        <v>0.96469275950863709</v>
      </c>
      <c r="BV609" s="4">
        <f>IF(Grandview_Inventory[[#This Row],[bldg_style]]="",1,_xlfn.IFNA(VLOOKUP(Grandview_Inventory[[#This Row],[decade]],Lookups!$F$29:$H$43,3,FALSE),1))</f>
        <v>0.98031878267063854</v>
      </c>
      <c r="BW609" s="4">
        <f>_xlfn.IFNA(VLOOKUP(Grandview_Inventory[[#This Row],[living_area_range]],Lookups!$F$47:$H$56,3,FALSE),1)</f>
        <v>0.96120133463014379</v>
      </c>
      <c r="BX609" s="4">
        <f>AVERAGE(Grandview_Inventory[[#This Row],[qual_adj]:[size_adj]])</f>
        <v>0.9639545701496115</v>
      </c>
      <c r="BY609" s="6">
        <f>IF(Grandview_Inventory[[#This Row],[pre_res]]&lt;0,0,Grandview_Inventory[[#This Row],[pre_res]]*Grandview_Inventory[[#This Row],[overall_adj]])</f>
        <v>338184.88352161518</v>
      </c>
      <c r="BZ609" s="6">
        <f>(Grandview_Inventory[[#This Row],[sum_land]]-IF(Grandview_Inventory[[#This Row],[no_utilities]]=1,12000,0))/IF(Grandview_Inventory[[#This Row],[unbuildable]]=1,2,1)</f>
        <v>49167.631333630678</v>
      </c>
      <c r="CA60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09">
        <f>ROUND(Grandview_Inventory[[#This Row],[det_value]]*Lookups!$M$28,-2)</f>
        <v>17300</v>
      </c>
      <c r="CC609">
        <f>IF(ROUND(Grandview_Inventory[[#This Row],[adj_res]]*Lookups!$M$28,-2)&lt;Grandview_Inventory[[#This Row],[min_res]],Grandview_Inventory[[#This Row],[min_res]],ROUND(Grandview_Inventory[[#This Row],[adj_res]]*Lookups!$M$28,-2))</f>
        <v>321300</v>
      </c>
      <c r="CD609">
        <f>Grandview_Inventory[[#This Row],[final_det]]+Grandview_Inventory[[#This Row],[final_res]]</f>
        <v>338600</v>
      </c>
      <c r="CE609">
        <f>Grandview_Inventory[[#This Row],[final_land]]+Grandview_Inventory[[#This Row],[final_imp]]+Grandview_Inventory[[#This Row],[crop_value]]</f>
        <v>385300</v>
      </c>
      <c r="CG609" t="str">
        <f t="shared" si="9"/>
        <v>update valuation set market_land =46700, market_bldg=338600, market_total =385300, market_mdno =401, market_date ='9/10/2023' where link_id = (select link_id from parcel where parcel_year = '2024' and parcel_id = '23092224451');</v>
      </c>
    </row>
    <row r="610" spans="1:85" x14ac:dyDescent="0.25">
      <c r="A610">
        <v>23092224452</v>
      </c>
      <c r="B610">
        <v>0.25</v>
      </c>
      <c r="C610">
        <v>10708</v>
      </c>
      <c r="D610" t="s">
        <v>129</v>
      </c>
      <c r="E610" t="s">
        <v>53</v>
      </c>
      <c r="F610" t="s">
        <v>53</v>
      </c>
      <c r="G610">
        <v>4</v>
      </c>
      <c r="H610" t="s">
        <v>54</v>
      </c>
      <c r="I610">
        <v>212900</v>
      </c>
      <c r="J610">
        <v>44400</v>
      </c>
      <c r="K610">
        <v>0.25</v>
      </c>
      <c r="L610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10">
        <v>0</v>
      </c>
      <c r="N610">
        <v>0</v>
      </c>
      <c r="O610">
        <v>0</v>
      </c>
      <c r="P610">
        <v>13398.7528</v>
      </c>
      <c r="Q610">
        <v>63903</v>
      </c>
      <c r="R610">
        <f>(Grandview_Inventory[[#This Row],[ln_acres]]*Grandview_Inventory[[#This Row],[coeff]])+Grandview_Inventory[[#This Row],[const]]</f>
        <v>45328.38454732066</v>
      </c>
      <c r="S610" t="s">
        <v>77</v>
      </c>
      <c r="T610">
        <v>1</v>
      </c>
      <c r="U610" t="s">
        <v>62</v>
      </c>
      <c r="V610" t="s">
        <v>69</v>
      </c>
      <c r="W610">
        <v>0</v>
      </c>
      <c r="X610">
        <v>0</v>
      </c>
      <c r="Y610">
        <v>36</v>
      </c>
      <c r="Z610">
        <v>36</v>
      </c>
      <c r="AA610">
        <v>40</v>
      </c>
      <c r="AB610">
        <v>2500</v>
      </c>
      <c r="AC610">
        <v>2056</v>
      </c>
      <c r="AD610">
        <v>1336</v>
      </c>
      <c r="AE610">
        <v>0</v>
      </c>
      <c r="AF610">
        <v>0</v>
      </c>
      <c r="AG610">
        <v>720</v>
      </c>
      <c r="AH610">
        <v>0</v>
      </c>
      <c r="AI610">
        <v>0</v>
      </c>
      <c r="AJ610">
        <v>528</v>
      </c>
      <c r="AK610">
        <v>0</v>
      </c>
      <c r="AL610">
        <v>144</v>
      </c>
      <c r="AM610">
        <v>349</v>
      </c>
      <c r="AN610">
        <v>0</v>
      </c>
      <c r="AO610">
        <v>0</v>
      </c>
      <c r="AP610">
        <v>10</v>
      </c>
      <c r="AQ610">
        <v>0</v>
      </c>
      <c r="AR610">
        <v>0</v>
      </c>
      <c r="AS610" t="s">
        <v>58</v>
      </c>
      <c r="AT610">
        <v>1</v>
      </c>
      <c r="AU610" t="s">
        <v>59</v>
      </c>
      <c r="AV610" t="s">
        <v>60</v>
      </c>
      <c r="AW610">
        <v>1</v>
      </c>
      <c r="AX610">
        <v>4</v>
      </c>
      <c r="AY610">
        <v>0</v>
      </c>
      <c r="AZ610">
        <v>0</v>
      </c>
      <c r="BA610">
        <v>100</v>
      </c>
      <c r="BB610">
        <v>100</v>
      </c>
      <c r="BC610">
        <v>100</v>
      </c>
      <c r="BD610">
        <v>100</v>
      </c>
      <c r="BE610">
        <v>1</v>
      </c>
      <c r="BF610">
        <v>15000</v>
      </c>
      <c r="BG610">
        <v>1000</v>
      </c>
      <c r="BH610" s="6">
        <f>Grandview_Inventory[[#This Row],[land_extract]]*Lookups!$B$3</f>
        <v>52639.730588165206</v>
      </c>
      <c r="BI610" s="6">
        <f>IF(Grandview_Inventory[[#This Row],[bldg_style]]="",0,Lookups!$B$2)</f>
        <v>155833.95000000001</v>
      </c>
      <c r="BJ610" s="6">
        <f>_xlfn.IFNA(VLOOKUP(Grandview_Inventory[[#This Row],[quality]],Lookups!$H$2:$J$14,3,FALSE),0)</f>
        <v>9808</v>
      </c>
      <c r="BK610" s="6">
        <f>_xlfn.IFNA(VLOOKUP(Grandview_Inventory[[#This Row],[condition]],Lookups!$H$17:$J$24,3,FALSE),0)</f>
        <v>-4503</v>
      </c>
      <c r="BL610" s="6">
        <f>Grandview_Inventory[[#This Row],[Eff_Age]]*Lookups!$B$14</f>
        <v>-8609.9975999999988</v>
      </c>
      <c r="BM610" s="6">
        <f>Grandview_Inventory[[#This Row],[living_area]]*Lookups!$B$15</f>
        <v>128255.03376800001</v>
      </c>
      <c r="BN610" s="6">
        <f>Grandview_Inventory[[#This Row],[Fin BSMT]]*Lookups!$B$16</f>
        <v>-19511.452800000003</v>
      </c>
      <c r="BO610" s="6">
        <f>(Grandview_Inventory[[#This Row],[att_gar]]+Grandview_Inventory[[#This Row],[bltin_gar]])*Lookups!$B$17</f>
        <v>46210.790736000003</v>
      </c>
      <c r="BP610" s="6">
        <f>Grandview_Inventory[[#This Row],[Plumbing Fixtures]]*Lookups!$B$18</f>
        <v>20104.418000000001</v>
      </c>
      <c r="BQ610" s="6">
        <f>Grandview_Inventory[[#This Row],[detatched_value]]*Lookups!$B$19</f>
        <v>0</v>
      </c>
      <c r="BR610" s="6">
        <f>SUM(Grandview_Inventory[[#This Row],[Intercept]:[det_value]])*Grandview_Inventory[[#This Row],[res_pct]]</f>
        <v>327587.74210400006</v>
      </c>
      <c r="BS610" s="6">
        <f>Grandview_Inventory[[#This Row],[land_value]]</f>
        <v>52639.730588165206</v>
      </c>
      <c r="BT610" s="4">
        <f>_xlfn.IFNA(VLOOKUP(Grandview_Inventory[[#This Row],[quality]],Lookups!$A$26:$C$33,3,FALSE),1)</f>
        <v>0.94295468617355149</v>
      </c>
      <c r="BU610" s="4">
        <f>_xlfn.IFNA(VLOOKUP(Grandview_Inventory[[#This Row],[condition]],Lookups!$A$37:$C$44,3,FALSE),1)</f>
        <v>0.96469275950863709</v>
      </c>
      <c r="BV610" s="4">
        <f>IF(Grandview_Inventory[[#This Row],[bldg_style]]="",1,_xlfn.IFNA(VLOOKUP(Grandview_Inventory[[#This Row],[decade]],Lookups!$F$29:$H$43,3,FALSE),1))</f>
        <v>0.98031878267063854</v>
      </c>
      <c r="BW610" s="4">
        <f>_xlfn.IFNA(VLOOKUP(Grandview_Inventory[[#This Row],[living_area_range]],Lookups!$F$47:$H$56,3,FALSE),1)</f>
        <v>0.95799442568048754</v>
      </c>
      <c r="BX610" s="4">
        <f>AVERAGE(Grandview_Inventory[[#This Row],[qual_adj]:[size_adj]])</f>
        <v>0.96149016350832861</v>
      </c>
      <c r="BY610" s="6">
        <f>IF(Grandview_Inventory[[#This Row],[pre_res]]&lt;0,0,Grandview_Inventory[[#This Row],[pre_res]]*Grandview_Inventory[[#This Row],[overall_adj]])</f>
        <v>314972.39171889919</v>
      </c>
      <c r="BZ610" s="6">
        <f>(Grandview_Inventory[[#This Row],[sum_land]]-IF(Grandview_Inventory[[#This Row],[no_utilities]]=1,12000,0))/IF(Grandview_Inventory[[#This Row],[unbuildable]]=1,2,1)</f>
        <v>52639.730588165206</v>
      </c>
      <c r="CA610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10">
        <f>ROUND(Grandview_Inventory[[#This Row],[det_value]]*Lookups!$M$28,-2)</f>
        <v>0</v>
      </c>
      <c r="CC610">
        <f>IF(ROUND(Grandview_Inventory[[#This Row],[adj_res]]*Lookups!$M$28,-2)&lt;Grandview_Inventory[[#This Row],[min_res]],Grandview_Inventory[[#This Row],[min_res]],ROUND(Grandview_Inventory[[#This Row],[adj_res]]*Lookups!$M$28,-2))</f>
        <v>299200</v>
      </c>
      <c r="CD610">
        <f>Grandview_Inventory[[#This Row],[final_det]]+Grandview_Inventory[[#This Row],[final_res]]</f>
        <v>299200</v>
      </c>
      <c r="CE610">
        <f>Grandview_Inventory[[#This Row],[final_land]]+Grandview_Inventory[[#This Row],[final_imp]]+Grandview_Inventory[[#This Row],[crop_value]]</f>
        <v>349200</v>
      </c>
      <c r="CG610" t="str">
        <f t="shared" si="9"/>
        <v>update valuation set market_land =50000, market_bldg=299200, market_total =349200, market_mdno =401, market_date ='9/10/2023' where link_id = (select link_id from parcel where parcel_year = '2024' and parcel_id = '23092224452');</v>
      </c>
    </row>
    <row r="611" spans="1:85" x14ac:dyDescent="0.25">
      <c r="A611">
        <v>23092224453</v>
      </c>
      <c r="B611">
        <v>0.19</v>
      </c>
      <c r="C611">
        <v>8153</v>
      </c>
      <c r="D611" t="s">
        <v>129</v>
      </c>
      <c r="E611" t="s">
        <v>53</v>
      </c>
      <c r="F611" t="s">
        <v>53</v>
      </c>
      <c r="G611">
        <v>4</v>
      </c>
      <c r="H611" t="s">
        <v>54</v>
      </c>
      <c r="I611">
        <v>225800</v>
      </c>
      <c r="J611">
        <v>43300</v>
      </c>
      <c r="K611">
        <v>0.19</v>
      </c>
      <c r="L61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11">
        <v>0</v>
      </c>
      <c r="N611">
        <v>0</v>
      </c>
      <c r="O611">
        <v>0</v>
      </c>
      <c r="P611">
        <v>13398.7528</v>
      </c>
      <c r="Q611">
        <v>63903</v>
      </c>
      <c r="R611">
        <f>(Grandview_Inventory[[#This Row],[ln_acres]]*Grandview_Inventory[[#This Row],[coeff]])+Grandview_Inventory[[#This Row],[const]]</f>
        <v>41651.273092551026</v>
      </c>
      <c r="S611" t="s">
        <v>58</v>
      </c>
      <c r="T611">
        <v>1</v>
      </c>
      <c r="U611" t="s">
        <v>62</v>
      </c>
      <c r="V611" t="s">
        <v>69</v>
      </c>
      <c r="W611">
        <v>0</v>
      </c>
      <c r="X611">
        <v>0</v>
      </c>
      <c r="Y611">
        <v>32</v>
      </c>
      <c r="Z611">
        <v>32</v>
      </c>
      <c r="AA611">
        <v>40</v>
      </c>
      <c r="AB611">
        <v>2000</v>
      </c>
      <c r="AC611">
        <v>1840</v>
      </c>
      <c r="AD611">
        <v>1840</v>
      </c>
      <c r="AE611">
        <v>0</v>
      </c>
      <c r="AF611">
        <v>0</v>
      </c>
      <c r="AG611">
        <v>0</v>
      </c>
      <c r="AH611">
        <v>0</v>
      </c>
      <c r="AI611">
        <v>484</v>
      </c>
      <c r="AJ611">
        <v>0</v>
      </c>
      <c r="AK611">
        <v>0</v>
      </c>
      <c r="AL611">
        <v>0</v>
      </c>
      <c r="AM611">
        <v>266</v>
      </c>
      <c r="AN611">
        <v>176</v>
      </c>
      <c r="AO611">
        <v>266</v>
      </c>
      <c r="AP611">
        <v>9</v>
      </c>
      <c r="AQ611">
        <v>0</v>
      </c>
      <c r="AR611">
        <v>0</v>
      </c>
      <c r="AS611" t="s">
        <v>58</v>
      </c>
      <c r="AT611">
        <v>1</v>
      </c>
      <c r="AU611" t="s">
        <v>63</v>
      </c>
      <c r="AV611" t="s">
        <v>60</v>
      </c>
      <c r="AW611">
        <v>1</v>
      </c>
      <c r="AX611">
        <v>3</v>
      </c>
      <c r="AY611">
        <v>0</v>
      </c>
      <c r="AZ611">
        <v>0</v>
      </c>
      <c r="BA611">
        <v>100</v>
      </c>
      <c r="BB611">
        <v>100</v>
      </c>
      <c r="BC611">
        <v>100</v>
      </c>
      <c r="BD611">
        <v>100</v>
      </c>
      <c r="BE611">
        <v>1</v>
      </c>
      <c r="BF611">
        <v>15000</v>
      </c>
      <c r="BG611">
        <v>1000</v>
      </c>
      <c r="BH611" s="6">
        <f>Grandview_Inventory[[#This Row],[land_extract]]*Lookups!$B$3</f>
        <v>48369.510983942157</v>
      </c>
      <c r="BI611" s="6">
        <f>IF(Grandview_Inventory[[#This Row],[bldg_style]]="",0,Lookups!$B$2)</f>
        <v>155833.95000000001</v>
      </c>
      <c r="BJ611" s="6">
        <f>_xlfn.IFNA(VLOOKUP(Grandview_Inventory[[#This Row],[quality]],Lookups!$H$2:$J$14,3,FALSE),0)</f>
        <v>9808</v>
      </c>
      <c r="BK611" s="6">
        <f>_xlfn.IFNA(VLOOKUP(Grandview_Inventory[[#This Row],[condition]],Lookups!$H$17:$J$24,3,FALSE),0)</f>
        <v>-4503</v>
      </c>
      <c r="BL611" s="6">
        <f>Grandview_Inventory[[#This Row],[Eff_Age]]*Lookups!$B$14</f>
        <v>-7653.3311999999996</v>
      </c>
      <c r="BM611" s="6">
        <f>Grandview_Inventory[[#This Row],[living_area]]*Lookups!$B$15</f>
        <v>114780.76952</v>
      </c>
      <c r="BN611" s="6">
        <f>Grandview_Inventory[[#This Row],[Fin BSMT]]*Lookups!$B$16</f>
        <v>0</v>
      </c>
      <c r="BO611" s="6">
        <f>(Grandview_Inventory[[#This Row],[att_gar]]+Grandview_Inventory[[#This Row],[bltin_gar]])*Lookups!$B$17</f>
        <v>42359.891508000001</v>
      </c>
      <c r="BP611" s="6">
        <f>Grandview_Inventory[[#This Row],[Plumbing Fixtures]]*Lookups!$B$18</f>
        <v>18093.976200000001</v>
      </c>
      <c r="BQ611" s="6">
        <f>Grandview_Inventory[[#This Row],[detatched_value]]*Lookups!$B$19</f>
        <v>0</v>
      </c>
      <c r="BR611" s="6">
        <f>SUM(Grandview_Inventory[[#This Row],[Intercept]:[det_value]])*Grandview_Inventory[[#This Row],[res_pct]]</f>
        <v>328720.25602799997</v>
      </c>
      <c r="BS611" s="6">
        <f>Grandview_Inventory[[#This Row],[land_value]]</f>
        <v>48369.510983942157</v>
      </c>
      <c r="BT611" s="4">
        <f>_xlfn.IFNA(VLOOKUP(Grandview_Inventory[[#This Row],[quality]],Lookups!$A$26:$C$33,3,FALSE),1)</f>
        <v>0.94295468617355149</v>
      </c>
      <c r="BU611" s="4">
        <f>_xlfn.IFNA(VLOOKUP(Grandview_Inventory[[#This Row],[condition]],Lookups!$A$37:$C$44,3,FALSE),1)</f>
        <v>0.96469275950863709</v>
      </c>
      <c r="BV611" s="4">
        <f>IF(Grandview_Inventory[[#This Row],[bldg_style]]="",1,_xlfn.IFNA(VLOOKUP(Grandview_Inventory[[#This Row],[decade]],Lookups!$F$29:$H$43,3,FALSE),1))</f>
        <v>0.98031878267063854</v>
      </c>
      <c r="BW611" s="4">
        <f>_xlfn.IFNA(VLOOKUP(Grandview_Inventory[[#This Row],[living_area_range]],Lookups!$F$47:$H$56,3,FALSE),1)</f>
        <v>0.96120133463014379</v>
      </c>
      <c r="BX611" s="4">
        <f>AVERAGE(Grandview_Inventory[[#This Row],[qual_adj]:[size_adj]])</f>
        <v>0.96229189074574273</v>
      </c>
      <c r="BY611" s="6">
        <f>IF(Grandview_Inventory[[#This Row],[pre_res]]&lt;0,0,Grandview_Inventory[[#This Row],[pre_res]]*Grandview_Inventory[[#This Row],[overall_adj]])</f>
        <v>316324.83669960871</v>
      </c>
      <c r="BZ611" s="6">
        <f>(Grandview_Inventory[[#This Row],[sum_land]]-IF(Grandview_Inventory[[#This Row],[no_utilities]]=1,12000,0))/IF(Grandview_Inventory[[#This Row],[unbuildable]]=1,2,1)</f>
        <v>48369.510983942157</v>
      </c>
      <c r="CA61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11">
        <f>ROUND(Grandview_Inventory[[#This Row],[det_value]]*Lookups!$M$28,-2)</f>
        <v>0</v>
      </c>
      <c r="CC611">
        <f>IF(ROUND(Grandview_Inventory[[#This Row],[adj_res]]*Lookups!$M$28,-2)&lt;Grandview_Inventory[[#This Row],[min_res]],Grandview_Inventory[[#This Row],[min_res]],ROUND(Grandview_Inventory[[#This Row],[adj_res]]*Lookups!$M$28,-2))</f>
        <v>300500</v>
      </c>
      <c r="CD611">
        <f>Grandview_Inventory[[#This Row],[final_det]]+Grandview_Inventory[[#This Row],[final_res]]</f>
        <v>300500</v>
      </c>
      <c r="CE611">
        <f>Grandview_Inventory[[#This Row],[final_land]]+Grandview_Inventory[[#This Row],[final_imp]]+Grandview_Inventory[[#This Row],[crop_value]]</f>
        <v>346500</v>
      </c>
      <c r="CG611" t="str">
        <f t="shared" si="9"/>
        <v>update valuation set market_land =46000, market_bldg=300500, market_total =346500, market_mdno =401, market_date ='9/10/2023' where link_id = (select link_id from parcel where parcel_year = '2024' and parcel_id = '23092224453');</v>
      </c>
    </row>
    <row r="612" spans="1:85" x14ac:dyDescent="0.25">
      <c r="A612">
        <v>23092224454</v>
      </c>
      <c r="B612">
        <v>0.23</v>
      </c>
      <c r="C612">
        <v>10158</v>
      </c>
      <c r="D612" t="s">
        <v>129</v>
      </c>
      <c r="E612" t="s">
        <v>53</v>
      </c>
      <c r="F612" t="s">
        <v>53</v>
      </c>
      <c r="G612">
        <v>4</v>
      </c>
      <c r="H612" t="s">
        <v>54</v>
      </c>
      <c r="I612">
        <v>205000</v>
      </c>
      <c r="J612">
        <v>44000</v>
      </c>
      <c r="K612">
        <v>0.23</v>
      </c>
      <c r="L61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12">
        <v>0</v>
      </c>
      <c r="N612">
        <v>0</v>
      </c>
      <c r="O612">
        <v>0</v>
      </c>
      <c r="P612">
        <v>13398.7528</v>
      </c>
      <c r="Q612">
        <v>63903</v>
      </c>
      <c r="R612">
        <f>(Grandview_Inventory[[#This Row],[ln_acres]]*Grandview_Inventory[[#This Row],[coeff]])+Grandview_Inventory[[#This Row],[const]]</f>
        <v>44211.174981080039</v>
      </c>
      <c r="S612" t="s">
        <v>58</v>
      </c>
      <c r="T612">
        <v>1</v>
      </c>
      <c r="U612" t="s">
        <v>62</v>
      </c>
      <c r="V612" t="s">
        <v>69</v>
      </c>
      <c r="W612">
        <v>0</v>
      </c>
      <c r="X612">
        <v>0</v>
      </c>
      <c r="Y612">
        <v>39</v>
      </c>
      <c r="Z612">
        <v>39</v>
      </c>
      <c r="AA612">
        <v>40</v>
      </c>
      <c r="AB612">
        <v>1500</v>
      </c>
      <c r="AC612">
        <v>1392</v>
      </c>
      <c r="AD612">
        <v>1392</v>
      </c>
      <c r="AE612">
        <v>0</v>
      </c>
      <c r="AF612">
        <v>0</v>
      </c>
      <c r="AG612">
        <v>0</v>
      </c>
      <c r="AH612">
        <v>0</v>
      </c>
      <c r="AI612">
        <v>576</v>
      </c>
      <c r="AJ612">
        <v>0</v>
      </c>
      <c r="AK612">
        <v>0</v>
      </c>
      <c r="AL612">
        <v>200</v>
      </c>
      <c r="AM612">
        <v>60</v>
      </c>
      <c r="AN612">
        <v>40</v>
      </c>
      <c r="AO612">
        <v>60</v>
      </c>
      <c r="AP612">
        <v>8</v>
      </c>
      <c r="AQ612">
        <v>0</v>
      </c>
      <c r="AR612">
        <v>0</v>
      </c>
      <c r="AS612" t="s">
        <v>58</v>
      </c>
      <c r="AT612">
        <v>1</v>
      </c>
      <c r="AU612" t="s">
        <v>63</v>
      </c>
      <c r="AV612" t="s">
        <v>60</v>
      </c>
      <c r="AW612">
        <v>1</v>
      </c>
      <c r="AX612">
        <v>3</v>
      </c>
      <c r="AY612">
        <v>0</v>
      </c>
      <c r="AZ612">
        <v>0</v>
      </c>
      <c r="BA612">
        <v>100</v>
      </c>
      <c r="BB612">
        <v>100</v>
      </c>
      <c r="BC612">
        <v>100</v>
      </c>
      <c r="BD612">
        <v>100</v>
      </c>
      <c r="BE612">
        <v>1</v>
      </c>
      <c r="BF612">
        <v>15000</v>
      </c>
      <c r="BG612">
        <v>1000</v>
      </c>
      <c r="BH612" s="6">
        <f>Grandview_Inventory[[#This Row],[land_extract]]*Lookups!$B$3</f>
        <v>51342.318135355803</v>
      </c>
      <c r="BI612" s="6">
        <f>IF(Grandview_Inventory[[#This Row],[bldg_style]]="",0,Lookups!$B$2)</f>
        <v>155833.95000000001</v>
      </c>
      <c r="BJ612" s="6">
        <f>_xlfn.IFNA(VLOOKUP(Grandview_Inventory[[#This Row],[quality]],Lookups!$H$2:$J$14,3,FALSE),0)</f>
        <v>9808</v>
      </c>
      <c r="BK612" s="6">
        <f>_xlfn.IFNA(VLOOKUP(Grandview_Inventory[[#This Row],[condition]],Lookups!$H$17:$J$24,3,FALSE),0)</f>
        <v>-4503</v>
      </c>
      <c r="BL612" s="6">
        <f>Grandview_Inventory[[#This Row],[Eff_Age]]*Lookups!$B$14</f>
        <v>-9327.4974000000002</v>
      </c>
      <c r="BM612" s="6">
        <f>Grandview_Inventory[[#This Row],[living_area]]*Lookups!$B$15</f>
        <v>86834.147376000008</v>
      </c>
      <c r="BN612" s="6">
        <f>Grandview_Inventory[[#This Row],[Fin BSMT]]*Lookups!$B$16</f>
        <v>0</v>
      </c>
      <c r="BO612" s="6">
        <f>(Grandview_Inventory[[#This Row],[att_gar]]+Grandview_Inventory[[#This Row],[bltin_gar]])*Lookups!$B$17</f>
        <v>50411.771712000002</v>
      </c>
      <c r="BP612" s="6">
        <f>Grandview_Inventory[[#This Row],[Plumbing Fixtures]]*Lookups!$B$18</f>
        <v>16083.5344</v>
      </c>
      <c r="BQ612" s="6">
        <f>Grandview_Inventory[[#This Row],[detatched_value]]*Lookups!$B$19</f>
        <v>0</v>
      </c>
      <c r="BR612" s="6">
        <f>SUM(Grandview_Inventory[[#This Row],[Intercept]:[det_value]])*Grandview_Inventory[[#This Row],[res_pct]]</f>
        <v>305140.90608800005</v>
      </c>
      <c r="BS612" s="6">
        <f>Grandview_Inventory[[#This Row],[land_value]]</f>
        <v>51342.318135355803</v>
      </c>
      <c r="BT612" s="4">
        <f>_xlfn.IFNA(VLOOKUP(Grandview_Inventory[[#This Row],[quality]],Lookups!$A$26:$C$33,3,FALSE),1)</f>
        <v>0.94295468617355149</v>
      </c>
      <c r="BU612" s="4">
        <f>_xlfn.IFNA(VLOOKUP(Grandview_Inventory[[#This Row],[condition]],Lookups!$A$37:$C$44,3,FALSE),1)</f>
        <v>0.96469275950863709</v>
      </c>
      <c r="BV612" s="4">
        <f>IF(Grandview_Inventory[[#This Row],[bldg_style]]="",1,_xlfn.IFNA(VLOOKUP(Grandview_Inventory[[#This Row],[decade]],Lookups!$F$29:$H$43,3,FALSE),1))</f>
        <v>0.98031878267063854</v>
      </c>
      <c r="BW612" s="4">
        <f>_xlfn.IFNA(VLOOKUP(Grandview_Inventory[[#This Row],[living_area_range]],Lookups!$F$47:$H$56,3,FALSE),1)</f>
        <v>0.96135087979789358</v>
      </c>
      <c r="BX612" s="4">
        <f>AVERAGE(Grandview_Inventory[[#This Row],[qual_adj]:[size_adj]])</f>
        <v>0.96232927703768012</v>
      </c>
      <c r="BY612" s="6">
        <f>IF(Grandview_Inventory[[#This Row],[pre_res]]&lt;0,0,Grandview_Inventory[[#This Row],[pre_res]]*Grandview_Inventory[[#This Row],[overall_adj]])</f>
        <v>293646.02755028772</v>
      </c>
      <c r="BZ612" s="6">
        <f>(Grandview_Inventory[[#This Row],[sum_land]]-IF(Grandview_Inventory[[#This Row],[no_utilities]]=1,12000,0))/IF(Grandview_Inventory[[#This Row],[unbuildable]]=1,2,1)</f>
        <v>51342.318135355803</v>
      </c>
      <c r="CA61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12">
        <f>ROUND(Grandview_Inventory[[#This Row],[det_value]]*Lookups!$M$28,-2)</f>
        <v>0</v>
      </c>
      <c r="CC612">
        <f>IF(ROUND(Grandview_Inventory[[#This Row],[adj_res]]*Lookups!$M$28,-2)&lt;Grandview_Inventory[[#This Row],[min_res]],Grandview_Inventory[[#This Row],[min_res]],ROUND(Grandview_Inventory[[#This Row],[adj_res]]*Lookups!$M$28,-2))</f>
        <v>279000</v>
      </c>
      <c r="CD612">
        <f>Grandview_Inventory[[#This Row],[final_det]]+Grandview_Inventory[[#This Row],[final_res]]</f>
        <v>279000</v>
      </c>
      <c r="CE612">
        <f>Grandview_Inventory[[#This Row],[final_land]]+Grandview_Inventory[[#This Row],[final_imp]]+Grandview_Inventory[[#This Row],[crop_value]]</f>
        <v>327800</v>
      </c>
      <c r="CG612" t="str">
        <f t="shared" si="9"/>
        <v>update valuation set market_land =48800, market_bldg=279000, market_total =327800, market_mdno =401, market_date ='9/10/2023' where link_id = (select link_id from parcel where parcel_year = '2024' and parcel_id = '23092224454');</v>
      </c>
    </row>
    <row r="613" spans="1:85" x14ac:dyDescent="0.25">
      <c r="A613">
        <v>23092224455</v>
      </c>
      <c r="B613">
        <v>0.23</v>
      </c>
      <c r="C613">
        <v>10000</v>
      </c>
      <c r="D613" t="s">
        <v>129</v>
      </c>
      <c r="E613" t="s">
        <v>53</v>
      </c>
      <c r="F613" t="s">
        <v>53</v>
      </c>
      <c r="G613">
        <v>4</v>
      </c>
      <c r="H613" t="s">
        <v>54</v>
      </c>
      <c r="I613">
        <v>284300</v>
      </c>
      <c r="J613">
        <v>43800</v>
      </c>
      <c r="K613">
        <v>0.23</v>
      </c>
      <c r="L61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13">
        <v>0</v>
      </c>
      <c r="N613">
        <v>0</v>
      </c>
      <c r="O613">
        <v>0</v>
      </c>
      <c r="P613">
        <v>13398.7528</v>
      </c>
      <c r="Q613">
        <v>63903</v>
      </c>
      <c r="R613">
        <f>(Grandview_Inventory[[#This Row],[ln_acres]]*Grandview_Inventory[[#This Row],[coeff]])+Grandview_Inventory[[#This Row],[const]]</f>
        <v>44211.174981080039</v>
      </c>
      <c r="S613" t="s">
        <v>58</v>
      </c>
      <c r="T613">
        <v>1</v>
      </c>
      <c r="U613" t="s">
        <v>62</v>
      </c>
      <c r="V613" t="s">
        <v>67</v>
      </c>
      <c r="W613">
        <v>0</v>
      </c>
      <c r="X613">
        <v>0</v>
      </c>
      <c r="Y613">
        <v>37</v>
      </c>
      <c r="Z613">
        <v>37</v>
      </c>
      <c r="AA613">
        <v>40</v>
      </c>
      <c r="AB613">
        <v>2000</v>
      </c>
      <c r="AC613">
        <v>1716</v>
      </c>
      <c r="AD613">
        <v>1716</v>
      </c>
      <c r="AE613">
        <v>0</v>
      </c>
      <c r="AF613">
        <v>0</v>
      </c>
      <c r="AG613">
        <v>0</v>
      </c>
      <c r="AH613">
        <v>0</v>
      </c>
      <c r="AI613">
        <v>702</v>
      </c>
      <c r="AJ613">
        <v>0</v>
      </c>
      <c r="AK613">
        <v>0</v>
      </c>
      <c r="AL613">
        <v>530</v>
      </c>
      <c r="AM613">
        <v>0</v>
      </c>
      <c r="AN613">
        <v>16</v>
      </c>
      <c r="AO613">
        <v>0</v>
      </c>
      <c r="AP613">
        <v>10</v>
      </c>
      <c r="AQ613">
        <v>1</v>
      </c>
      <c r="AR613">
        <v>0</v>
      </c>
      <c r="AS613" t="s">
        <v>58</v>
      </c>
      <c r="AT613">
        <v>1</v>
      </c>
      <c r="AU613" t="s">
        <v>59</v>
      </c>
      <c r="AV613" t="s">
        <v>60</v>
      </c>
      <c r="AW613">
        <v>1</v>
      </c>
      <c r="AX613">
        <v>3</v>
      </c>
      <c r="AY613">
        <v>0</v>
      </c>
      <c r="AZ613">
        <v>0</v>
      </c>
      <c r="BA613">
        <v>100</v>
      </c>
      <c r="BB613">
        <v>100</v>
      </c>
      <c r="BC613">
        <v>100</v>
      </c>
      <c r="BD613">
        <v>100</v>
      </c>
      <c r="BE613">
        <v>1</v>
      </c>
      <c r="BF613">
        <v>15000</v>
      </c>
      <c r="BG613">
        <v>1000</v>
      </c>
      <c r="BH613" s="6">
        <f>Grandview_Inventory[[#This Row],[land_extract]]*Lookups!$B$3</f>
        <v>51342.318135355803</v>
      </c>
      <c r="BI613" s="6">
        <f>IF(Grandview_Inventory[[#This Row],[bldg_style]]="",0,Lookups!$B$2)</f>
        <v>155833.95000000001</v>
      </c>
      <c r="BJ613" s="6">
        <f>_xlfn.IFNA(VLOOKUP(Grandview_Inventory[[#This Row],[quality]],Lookups!$H$2:$J$14,3,FALSE),0)</f>
        <v>9808</v>
      </c>
      <c r="BK613" s="6">
        <f>_xlfn.IFNA(VLOOKUP(Grandview_Inventory[[#This Row],[condition]],Lookups!$H$17:$J$24,3,FALSE),0)</f>
        <v>22342</v>
      </c>
      <c r="BL613" s="6">
        <f>Grandview_Inventory[[#This Row],[Eff_Age]]*Lookups!$B$14</f>
        <v>-8849.1641999999993</v>
      </c>
      <c r="BM613" s="6">
        <f>Grandview_Inventory[[#This Row],[living_area]]*Lookups!$B$15</f>
        <v>107045.543748</v>
      </c>
      <c r="BN613" s="6">
        <f>Grandview_Inventory[[#This Row],[Fin BSMT]]*Lookups!$B$16</f>
        <v>0</v>
      </c>
      <c r="BO613" s="6">
        <f>(Grandview_Inventory[[#This Row],[att_gar]]+Grandview_Inventory[[#This Row],[bltin_gar]])*Lookups!$B$17</f>
        <v>61439.346773999998</v>
      </c>
      <c r="BP613" s="6">
        <f>Grandview_Inventory[[#This Row],[Plumbing Fixtures]]*Lookups!$B$18</f>
        <v>20104.418000000001</v>
      </c>
      <c r="BQ613" s="6">
        <f>Grandview_Inventory[[#This Row],[detatched_value]]*Lookups!$B$19</f>
        <v>0</v>
      </c>
      <c r="BR613" s="6">
        <f>SUM(Grandview_Inventory[[#This Row],[Intercept]:[det_value]])*Grandview_Inventory[[#This Row],[res_pct]]</f>
        <v>367724.09432199999</v>
      </c>
      <c r="BS613" s="6">
        <f>Grandview_Inventory[[#This Row],[land_value]]</f>
        <v>51342.318135355803</v>
      </c>
      <c r="BT613" s="4">
        <f>_xlfn.IFNA(VLOOKUP(Grandview_Inventory[[#This Row],[quality]],Lookups!$A$26:$C$33,3,FALSE),1)</f>
        <v>0.94295468617355149</v>
      </c>
      <c r="BU613" s="4">
        <f>_xlfn.IFNA(VLOOKUP(Grandview_Inventory[[#This Row],[condition]],Lookups!$A$37:$C$44,3,FALSE),1)</f>
        <v>0.97383723671140243</v>
      </c>
      <c r="BV613" s="4">
        <f>IF(Grandview_Inventory[[#This Row],[bldg_style]]="",1,_xlfn.IFNA(VLOOKUP(Grandview_Inventory[[#This Row],[decade]],Lookups!$F$29:$H$43,3,FALSE),1))</f>
        <v>0.98031878267063854</v>
      </c>
      <c r="BW613" s="4">
        <f>_xlfn.IFNA(VLOOKUP(Grandview_Inventory[[#This Row],[living_area_range]],Lookups!$F$47:$H$56,3,FALSE),1)</f>
        <v>0.96120133463014379</v>
      </c>
      <c r="BX613" s="4">
        <f>AVERAGE(Grandview_Inventory[[#This Row],[qual_adj]:[size_adj]])</f>
        <v>0.96457801004643406</v>
      </c>
      <c r="BY613" s="6">
        <f>IF(Grandview_Inventory[[#This Row],[pre_res]]&lt;0,0,Grandview_Inventory[[#This Row],[pre_res]]*Grandview_Inventory[[#This Row],[overall_adj]])</f>
        <v>354698.57514724199</v>
      </c>
      <c r="BZ613" s="6">
        <f>(Grandview_Inventory[[#This Row],[sum_land]]-IF(Grandview_Inventory[[#This Row],[no_utilities]]=1,12000,0))/IF(Grandview_Inventory[[#This Row],[unbuildable]]=1,2,1)</f>
        <v>51342.318135355803</v>
      </c>
      <c r="CA61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13">
        <f>ROUND(Grandview_Inventory[[#This Row],[det_value]]*Lookups!$M$28,-2)</f>
        <v>0</v>
      </c>
      <c r="CC613">
        <f>IF(ROUND(Grandview_Inventory[[#This Row],[adj_res]]*Lookups!$M$28,-2)&lt;Grandview_Inventory[[#This Row],[min_res]],Grandview_Inventory[[#This Row],[min_res]],ROUND(Grandview_Inventory[[#This Row],[adj_res]]*Lookups!$M$28,-2))</f>
        <v>337000</v>
      </c>
      <c r="CD613">
        <f>Grandview_Inventory[[#This Row],[final_det]]+Grandview_Inventory[[#This Row],[final_res]]</f>
        <v>337000</v>
      </c>
      <c r="CE613">
        <f>Grandview_Inventory[[#This Row],[final_land]]+Grandview_Inventory[[#This Row],[final_imp]]+Grandview_Inventory[[#This Row],[crop_value]]</f>
        <v>385800</v>
      </c>
      <c r="CG613" t="str">
        <f t="shared" si="9"/>
        <v>update valuation set market_land =48800, market_bldg=337000, market_total =385800, market_mdno =401, market_date ='9/10/2023' where link_id = (select link_id from parcel where parcel_year = '2024' and parcel_id = '23092224455');</v>
      </c>
    </row>
    <row r="614" spans="1:85" x14ac:dyDescent="0.25">
      <c r="A614">
        <v>23092224456</v>
      </c>
      <c r="B614">
        <v>0.23</v>
      </c>
      <c r="C614">
        <v>10162</v>
      </c>
      <c r="D614" t="s">
        <v>129</v>
      </c>
      <c r="E614" t="s">
        <v>53</v>
      </c>
      <c r="F614" t="s">
        <v>53</v>
      </c>
      <c r="G614">
        <v>4</v>
      </c>
      <c r="H614" t="s">
        <v>54</v>
      </c>
      <c r="I614">
        <v>253800</v>
      </c>
      <c r="J614">
        <v>39700</v>
      </c>
      <c r="K614">
        <v>0.23</v>
      </c>
      <c r="L61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14">
        <v>0</v>
      </c>
      <c r="N614">
        <v>0</v>
      </c>
      <c r="O614">
        <v>0</v>
      </c>
      <c r="P614">
        <v>13398.7528</v>
      </c>
      <c r="Q614">
        <v>63903</v>
      </c>
      <c r="R614">
        <f>(Grandview_Inventory[[#This Row],[ln_acres]]*Grandview_Inventory[[#This Row],[coeff]])+Grandview_Inventory[[#This Row],[const]]</f>
        <v>44211.174981080039</v>
      </c>
      <c r="S614" t="s">
        <v>61</v>
      </c>
      <c r="T614">
        <v>1</v>
      </c>
      <c r="U614" t="s">
        <v>62</v>
      </c>
      <c r="V614" t="s">
        <v>57</v>
      </c>
      <c r="W614">
        <v>0</v>
      </c>
      <c r="X614">
        <v>0</v>
      </c>
      <c r="Y614">
        <v>4</v>
      </c>
      <c r="Z614">
        <v>4</v>
      </c>
      <c r="AA614">
        <v>10</v>
      </c>
      <c r="AB614">
        <v>1500</v>
      </c>
      <c r="AC614">
        <v>1498</v>
      </c>
      <c r="AD614">
        <v>1498</v>
      </c>
      <c r="AE614">
        <v>0</v>
      </c>
      <c r="AF614">
        <v>0</v>
      </c>
      <c r="AG614">
        <v>0</v>
      </c>
      <c r="AH614">
        <v>0</v>
      </c>
      <c r="AI614">
        <v>462</v>
      </c>
      <c r="AJ614">
        <v>0</v>
      </c>
      <c r="AK614">
        <v>0</v>
      </c>
      <c r="AL614">
        <v>0</v>
      </c>
      <c r="AM614">
        <v>300</v>
      </c>
      <c r="AN614">
        <v>120</v>
      </c>
      <c r="AO614">
        <v>300</v>
      </c>
      <c r="AP614">
        <v>8</v>
      </c>
      <c r="AQ614">
        <v>0</v>
      </c>
      <c r="AR614">
        <v>0</v>
      </c>
      <c r="AS614" t="s">
        <v>58</v>
      </c>
      <c r="AT614">
        <v>1</v>
      </c>
      <c r="AU614" t="s">
        <v>59</v>
      </c>
      <c r="AV614" t="s">
        <v>60</v>
      </c>
      <c r="AW614">
        <v>1</v>
      </c>
      <c r="AX614">
        <v>3</v>
      </c>
      <c r="AY614">
        <v>0</v>
      </c>
      <c r="AZ614">
        <v>0</v>
      </c>
      <c r="BA614">
        <v>100</v>
      </c>
      <c r="BB614">
        <v>100</v>
      </c>
      <c r="BC614">
        <v>100</v>
      </c>
      <c r="BD614">
        <v>100</v>
      </c>
      <c r="BE614">
        <v>1</v>
      </c>
      <c r="BF614">
        <v>15000</v>
      </c>
      <c r="BG614">
        <v>1000</v>
      </c>
      <c r="BH614" s="6">
        <f>Grandview_Inventory[[#This Row],[land_extract]]*Lookups!$B$3</f>
        <v>51342.318135355803</v>
      </c>
      <c r="BI614" s="6">
        <f>IF(Grandview_Inventory[[#This Row],[bldg_style]]="",0,Lookups!$B$2)</f>
        <v>155833.95000000001</v>
      </c>
      <c r="BJ614" s="6">
        <f>_xlfn.IFNA(VLOOKUP(Grandview_Inventory[[#This Row],[quality]],Lookups!$H$2:$J$14,3,FALSE),0)</f>
        <v>9808</v>
      </c>
      <c r="BK614" s="6">
        <f>_xlfn.IFNA(VLOOKUP(Grandview_Inventory[[#This Row],[condition]],Lookups!$H$17:$J$24,3,FALSE),0)</f>
        <v>25780</v>
      </c>
      <c r="BL614" s="6">
        <f>Grandview_Inventory[[#This Row],[Eff_Age]]*Lookups!$B$14</f>
        <v>-956.66639999999995</v>
      </c>
      <c r="BM614" s="6">
        <f>Grandview_Inventory[[#This Row],[living_area]]*Lookups!$B$15</f>
        <v>93446.517793999999</v>
      </c>
      <c r="BN614" s="6">
        <f>Grandview_Inventory[[#This Row],[Fin BSMT]]*Lookups!$B$16</f>
        <v>0</v>
      </c>
      <c r="BO614" s="6">
        <f>(Grandview_Inventory[[#This Row],[att_gar]]+Grandview_Inventory[[#This Row],[bltin_gar]])*Lookups!$B$17</f>
        <v>40434.441894000003</v>
      </c>
      <c r="BP614" s="6">
        <f>Grandview_Inventory[[#This Row],[Plumbing Fixtures]]*Lookups!$B$18</f>
        <v>16083.5344</v>
      </c>
      <c r="BQ614" s="6">
        <f>Grandview_Inventory[[#This Row],[detatched_value]]*Lookups!$B$19</f>
        <v>0</v>
      </c>
      <c r="BR614" s="6">
        <f>SUM(Grandview_Inventory[[#This Row],[Intercept]:[det_value]])*Grandview_Inventory[[#This Row],[res_pct]]</f>
        <v>340429.777688</v>
      </c>
      <c r="BS614" s="6">
        <f>Grandview_Inventory[[#This Row],[land_value]]</f>
        <v>51342.318135355803</v>
      </c>
      <c r="BT614" s="4">
        <f>_xlfn.IFNA(VLOOKUP(Grandview_Inventory[[#This Row],[quality]],Lookups!$A$26:$C$33,3,FALSE),1)</f>
        <v>0.94295468617355149</v>
      </c>
      <c r="BU614" s="4">
        <f>_xlfn.IFNA(VLOOKUP(Grandview_Inventory[[#This Row],[condition]],Lookups!$A$37:$C$44,3,FALSE),1)</f>
        <v>0.94347925387812148</v>
      </c>
      <c r="BV614" s="4">
        <f>IF(Grandview_Inventory[[#This Row],[bldg_style]]="",1,_xlfn.IFNA(VLOOKUP(Grandview_Inventory[[#This Row],[decade]],Lookups!$F$29:$H$43,3,FALSE),1))</f>
        <v>0.94601966599150278</v>
      </c>
      <c r="BW614" s="4">
        <f>_xlfn.IFNA(VLOOKUP(Grandview_Inventory[[#This Row],[living_area_range]],Lookups!$F$47:$H$56,3,FALSE),1)</f>
        <v>0.96135087979789358</v>
      </c>
      <c r="BX614" s="4">
        <f>AVERAGE(Grandview_Inventory[[#This Row],[qual_adj]:[size_adj]])</f>
        <v>0.94845112146026733</v>
      </c>
      <c r="BY614" s="6">
        <f>IF(Grandview_Inventory[[#This Row],[pre_res]]&lt;0,0,Grandview_Inventory[[#This Row],[pre_res]]*Grandview_Inventory[[#This Row],[overall_adj]])</f>
        <v>322881.00442665309</v>
      </c>
      <c r="BZ614" s="6">
        <f>(Grandview_Inventory[[#This Row],[sum_land]]-IF(Grandview_Inventory[[#This Row],[no_utilities]]=1,12000,0))/IF(Grandview_Inventory[[#This Row],[unbuildable]]=1,2,1)</f>
        <v>51342.318135355803</v>
      </c>
      <c r="CA61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14">
        <f>ROUND(Grandview_Inventory[[#This Row],[det_value]]*Lookups!$M$28,-2)</f>
        <v>0</v>
      </c>
      <c r="CC614">
        <f>IF(ROUND(Grandview_Inventory[[#This Row],[adj_res]]*Lookups!$M$28,-2)&lt;Grandview_Inventory[[#This Row],[min_res]],Grandview_Inventory[[#This Row],[min_res]],ROUND(Grandview_Inventory[[#This Row],[adj_res]]*Lookups!$M$28,-2))</f>
        <v>306700</v>
      </c>
      <c r="CD614">
        <f>Grandview_Inventory[[#This Row],[final_det]]+Grandview_Inventory[[#This Row],[final_res]]</f>
        <v>306700</v>
      </c>
      <c r="CE614">
        <f>Grandview_Inventory[[#This Row],[final_land]]+Grandview_Inventory[[#This Row],[final_imp]]+Grandview_Inventory[[#This Row],[crop_value]]</f>
        <v>355500</v>
      </c>
      <c r="CG614" t="str">
        <f t="shared" si="9"/>
        <v>update valuation set market_land =48800, market_bldg=306700, market_total =355500, market_mdno =401, market_date ='9/10/2023' where link_id = (select link_id from parcel where parcel_year = '2024' and parcel_id = '23092224456');</v>
      </c>
    </row>
    <row r="615" spans="1:85" x14ac:dyDescent="0.25">
      <c r="A615">
        <v>23092224457</v>
      </c>
      <c r="B615">
        <v>0.17</v>
      </c>
      <c r="C615">
        <v>7205</v>
      </c>
      <c r="D615" t="s">
        <v>129</v>
      </c>
      <c r="E615" t="s">
        <v>53</v>
      </c>
      <c r="F615" t="s">
        <v>53</v>
      </c>
      <c r="G615">
        <v>4</v>
      </c>
      <c r="H615" t="s">
        <v>54</v>
      </c>
      <c r="I615">
        <v>189400</v>
      </c>
      <c r="J615">
        <v>43000</v>
      </c>
      <c r="K615">
        <v>0.17</v>
      </c>
      <c r="L61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15">
        <v>0</v>
      </c>
      <c r="N615">
        <v>0</v>
      </c>
      <c r="O615">
        <v>0</v>
      </c>
      <c r="P615">
        <v>13398.7528</v>
      </c>
      <c r="Q615">
        <v>63903</v>
      </c>
      <c r="R615">
        <f>(Grandview_Inventory[[#This Row],[ln_acres]]*Grandview_Inventory[[#This Row],[coeff]])+Grandview_Inventory[[#This Row],[const]]</f>
        <v>40160.988302686128</v>
      </c>
      <c r="S615" t="s">
        <v>58</v>
      </c>
      <c r="T615">
        <v>2</v>
      </c>
      <c r="U615" t="s">
        <v>64</v>
      </c>
      <c r="V615" t="s">
        <v>69</v>
      </c>
      <c r="W615">
        <v>0</v>
      </c>
      <c r="X615">
        <v>0</v>
      </c>
      <c r="Y615">
        <v>33</v>
      </c>
      <c r="Z615">
        <v>33</v>
      </c>
      <c r="AA615">
        <v>40</v>
      </c>
      <c r="AB615">
        <v>2500</v>
      </c>
      <c r="AC615">
        <v>2046</v>
      </c>
      <c r="AD615">
        <v>1282</v>
      </c>
      <c r="AE615">
        <v>764</v>
      </c>
      <c r="AF615">
        <v>0</v>
      </c>
      <c r="AG615">
        <v>0</v>
      </c>
      <c r="AH615">
        <v>0</v>
      </c>
      <c r="AI615">
        <v>0</v>
      </c>
      <c r="AJ615">
        <v>440</v>
      </c>
      <c r="AK615">
        <v>0</v>
      </c>
      <c r="AL615">
        <v>0</v>
      </c>
      <c r="AM615">
        <v>120</v>
      </c>
      <c r="AN615">
        <v>82</v>
      </c>
      <c r="AO615">
        <v>0</v>
      </c>
      <c r="AP615">
        <v>14</v>
      </c>
      <c r="AQ615">
        <v>0</v>
      </c>
      <c r="AR615">
        <v>0</v>
      </c>
      <c r="AS615" t="s">
        <v>58</v>
      </c>
      <c r="AT615">
        <v>1</v>
      </c>
      <c r="AU615" t="s">
        <v>63</v>
      </c>
      <c r="AV615" t="s">
        <v>60</v>
      </c>
      <c r="AW615">
        <v>0</v>
      </c>
      <c r="AX615">
        <v>4</v>
      </c>
      <c r="AY615">
        <v>0</v>
      </c>
      <c r="AZ615">
        <v>0</v>
      </c>
      <c r="BA615">
        <v>100</v>
      </c>
      <c r="BB615">
        <v>100</v>
      </c>
      <c r="BC615">
        <v>100</v>
      </c>
      <c r="BD615">
        <v>100</v>
      </c>
      <c r="BE615">
        <v>1</v>
      </c>
      <c r="BF615">
        <v>15000</v>
      </c>
      <c r="BG615">
        <v>1000</v>
      </c>
      <c r="BH615" s="6">
        <f>Grandview_Inventory[[#This Row],[land_extract]]*Lookups!$B$3</f>
        <v>46638.847281240982</v>
      </c>
      <c r="BI615" s="6">
        <f>IF(Grandview_Inventory[[#This Row],[bldg_style]]="",0,Lookups!$B$2)</f>
        <v>155833.95000000001</v>
      </c>
      <c r="BJ615" s="6">
        <f>_xlfn.IFNA(VLOOKUP(Grandview_Inventory[[#This Row],[quality]],Lookups!$H$2:$J$14,3,FALSE),0)</f>
        <v>20768</v>
      </c>
      <c r="BK615" s="6">
        <f>_xlfn.IFNA(VLOOKUP(Grandview_Inventory[[#This Row],[condition]],Lookups!$H$17:$J$24,3,FALSE),0)</f>
        <v>-4503</v>
      </c>
      <c r="BL615" s="6">
        <f>Grandview_Inventory[[#This Row],[Eff_Age]]*Lookups!$B$14</f>
        <v>-7892.4977999999992</v>
      </c>
      <c r="BM615" s="6">
        <f>Grandview_Inventory[[#This Row],[living_area]]*Lookups!$B$15</f>
        <v>127631.225238</v>
      </c>
      <c r="BN615" s="6">
        <f>Grandview_Inventory[[#This Row],[Fin BSMT]]*Lookups!$B$16</f>
        <v>0</v>
      </c>
      <c r="BO615" s="6">
        <f>(Grandview_Inventory[[#This Row],[att_gar]]+Grandview_Inventory[[#This Row],[bltin_gar]])*Lookups!$B$17</f>
        <v>38508.992279999999</v>
      </c>
      <c r="BP615" s="6">
        <f>Grandview_Inventory[[#This Row],[Plumbing Fixtures]]*Lookups!$B$18</f>
        <v>28146.1852</v>
      </c>
      <c r="BQ615" s="6">
        <f>Grandview_Inventory[[#This Row],[detatched_value]]*Lookups!$B$19</f>
        <v>0</v>
      </c>
      <c r="BR615" s="6">
        <f>SUM(Grandview_Inventory[[#This Row],[Intercept]:[det_value]])*Grandview_Inventory[[#This Row],[res_pct]]</f>
        <v>358492.854918</v>
      </c>
      <c r="BS615" s="6">
        <f>Grandview_Inventory[[#This Row],[land_value]]</f>
        <v>46638.847281240982</v>
      </c>
      <c r="BT615" s="4">
        <f>_xlfn.IFNA(VLOOKUP(Grandview_Inventory[[#This Row],[quality]],Lookups!$A$26:$C$33,3,FALSE),1)</f>
        <v>0.94960540378902636</v>
      </c>
      <c r="BU615" s="4">
        <f>_xlfn.IFNA(VLOOKUP(Grandview_Inventory[[#This Row],[condition]],Lookups!$A$37:$C$44,3,FALSE),1)</f>
        <v>0.96469275950863709</v>
      </c>
      <c r="BV615" s="4">
        <f>IF(Grandview_Inventory[[#This Row],[bldg_style]]="",1,_xlfn.IFNA(VLOOKUP(Grandview_Inventory[[#This Row],[decade]],Lookups!$F$29:$H$43,3,FALSE),1))</f>
        <v>0.98031878267063854</v>
      </c>
      <c r="BW615" s="4">
        <f>_xlfn.IFNA(VLOOKUP(Grandview_Inventory[[#This Row],[living_area_range]],Lookups!$F$47:$H$56,3,FALSE),1)</f>
        <v>0.95799442568048754</v>
      </c>
      <c r="BX615" s="4">
        <f>AVERAGE(Grandview_Inventory[[#This Row],[qual_adj]:[size_adj]])</f>
        <v>0.96315284291219738</v>
      </c>
      <c r="BY615" s="6">
        <f>IF(Grandview_Inventory[[#This Row],[pre_res]]&lt;0,0,Grandview_Inventory[[#This Row],[pre_res]]*Grandview_Inventory[[#This Row],[overall_adj]])</f>
        <v>345283.41237798164</v>
      </c>
      <c r="BZ615" s="6">
        <f>(Grandview_Inventory[[#This Row],[sum_land]]-IF(Grandview_Inventory[[#This Row],[no_utilities]]=1,12000,0))/IF(Grandview_Inventory[[#This Row],[unbuildable]]=1,2,1)</f>
        <v>46638.847281240982</v>
      </c>
      <c r="CA61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15">
        <f>ROUND(Grandview_Inventory[[#This Row],[det_value]]*Lookups!$M$28,-2)</f>
        <v>0</v>
      </c>
      <c r="CC615">
        <f>IF(ROUND(Grandview_Inventory[[#This Row],[adj_res]]*Lookups!$M$28,-2)&lt;Grandview_Inventory[[#This Row],[min_res]],Grandview_Inventory[[#This Row],[min_res]],ROUND(Grandview_Inventory[[#This Row],[adj_res]]*Lookups!$M$28,-2))</f>
        <v>328000</v>
      </c>
      <c r="CD615">
        <f>Grandview_Inventory[[#This Row],[final_det]]+Grandview_Inventory[[#This Row],[final_res]]</f>
        <v>328000</v>
      </c>
      <c r="CE615">
        <f>Grandview_Inventory[[#This Row],[final_land]]+Grandview_Inventory[[#This Row],[final_imp]]+Grandview_Inventory[[#This Row],[crop_value]]</f>
        <v>372300</v>
      </c>
      <c r="CG615" t="str">
        <f t="shared" si="9"/>
        <v>update valuation set market_land =44300, market_bldg=328000, market_total =372300, market_mdno =401, market_date ='9/10/2023' where link_id = (select link_id from parcel where parcel_year = '2024' and parcel_id = '23092224457');</v>
      </c>
    </row>
    <row r="616" spans="1:85" x14ac:dyDescent="0.25">
      <c r="A616">
        <v>23092224458</v>
      </c>
      <c r="B616">
        <v>0.17</v>
      </c>
      <c r="C616">
        <v>7200</v>
      </c>
      <c r="D616" t="s">
        <v>129</v>
      </c>
      <c r="E616" t="s">
        <v>53</v>
      </c>
      <c r="F616" t="s">
        <v>53</v>
      </c>
      <c r="G616">
        <v>4</v>
      </c>
      <c r="H616" t="s">
        <v>54</v>
      </c>
      <c r="I616">
        <v>233600</v>
      </c>
      <c r="J616">
        <v>38800</v>
      </c>
      <c r="K616">
        <v>0.17</v>
      </c>
      <c r="L61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16">
        <v>0</v>
      </c>
      <c r="N616">
        <v>0</v>
      </c>
      <c r="O616">
        <v>0</v>
      </c>
      <c r="P616">
        <v>13398.7528</v>
      </c>
      <c r="Q616">
        <v>63903</v>
      </c>
      <c r="R616">
        <f>(Grandview_Inventory[[#This Row],[ln_acres]]*Grandview_Inventory[[#This Row],[coeff]])+Grandview_Inventory[[#This Row],[const]]</f>
        <v>40160.988302686128</v>
      </c>
      <c r="S616" t="s">
        <v>58</v>
      </c>
      <c r="T616">
        <v>1</v>
      </c>
      <c r="U616" t="s">
        <v>64</v>
      </c>
      <c r="V616" t="s">
        <v>69</v>
      </c>
      <c r="W616">
        <v>0</v>
      </c>
      <c r="X616">
        <v>0</v>
      </c>
      <c r="Y616">
        <v>37</v>
      </c>
      <c r="Z616">
        <v>37</v>
      </c>
      <c r="AA616">
        <v>40</v>
      </c>
      <c r="AB616">
        <v>2000</v>
      </c>
      <c r="AC616">
        <v>1575</v>
      </c>
      <c r="AD616">
        <v>1575</v>
      </c>
      <c r="AE616">
        <v>0</v>
      </c>
      <c r="AF616">
        <v>0</v>
      </c>
      <c r="AG616">
        <v>0</v>
      </c>
      <c r="AH616">
        <v>0</v>
      </c>
      <c r="AI616">
        <v>528</v>
      </c>
      <c r="AJ616">
        <v>0</v>
      </c>
      <c r="AK616">
        <v>0</v>
      </c>
      <c r="AL616">
        <v>0</v>
      </c>
      <c r="AM616">
        <v>115</v>
      </c>
      <c r="AN616">
        <v>0</v>
      </c>
      <c r="AO616">
        <v>0</v>
      </c>
      <c r="AP616">
        <v>9</v>
      </c>
      <c r="AQ616">
        <v>0</v>
      </c>
      <c r="AR616">
        <v>1</v>
      </c>
      <c r="AS616" t="s">
        <v>58</v>
      </c>
      <c r="AT616">
        <v>1</v>
      </c>
      <c r="AU616" t="s">
        <v>59</v>
      </c>
      <c r="AV616" t="s">
        <v>60</v>
      </c>
      <c r="AW616">
        <v>1</v>
      </c>
      <c r="AX616">
        <v>3</v>
      </c>
      <c r="AY616">
        <v>0</v>
      </c>
      <c r="AZ616">
        <v>0</v>
      </c>
      <c r="BA616">
        <v>100</v>
      </c>
      <c r="BB616">
        <v>100</v>
      </c>
      <c r="BC616">
        <v>100</v>
      </c>
      <c r="BD616">
        <v>100</v>
      </c>
      <c r="BE616">
        <v>1</v>
      </c>
      <c r="BF616">
        <v>15000</v>
      </c>
      <c r="BG616">
        <v>1000</v>
      </c>
      <c r="BH616" s="6">
        <f>Grandview_Inventory[[#This Row],[land_extract]]*Lookups!$B$3</f>
        <v>46638.847281240982</v>
      </c>
      <c r="BI616" s="6">
        <f>IF(Grandview_Inventory[[#This Row],[bldg_style]]="",0,Lookups!$B$2)</f>
        <v>155833.95000000001</v>
      </c>
      <c r="BJ616" s="6">
        <f>_xlfn.IFNA(VLOOKUP(Grandview_Inventory[[#This Row],[quality]],Lookups!$H$2:$J$14,3,FALSE),0)</f>
        <v>20768</v>
      </c>
      <c r="BK616" s="6">
        <f>_xlfn.IFNA(VLOOKUP(Grandview_Inventory[[#This Row],[condition]],Lookups!$H$17:$J$24,3,FALSE),0)</f>
        <v>-4503</v>
      </c>
      <c r="BL616" s="6">
        <f>Grandview_Inventory[[#This Row],[Eff_Age]]*Lookups!$B$14</f>
        <v>-8849.1641999999993</v>
      </c>
      <c r="BM616" s="6">
        <f>Grandview_Inventory[[#This Row],[living_area]]*Lookups!$B$15</f>
        <v>98249.843475000001</v>
      </c>
      <c r="BN616" s="6">
        <f>Grandview_Inventory[[#This Row],[Fin BSMT]]*Lookups!$B$16</f>
        <v>0</v>
      </c>
      <c r="BO616" s="6">
        <f>(Grandview_Inventory[[#This Row],[att_gar]]+Grandview_Inventory[[#This Row],[bltin_gar]])*Lookups!$B$17</f>
        <v>46210.790736000003</v>
      </c>
      <c r="BP616" s="6">
        <f>Grandview_Inventory[[#This Row],[Plumbing Fixtures]]*Lookups!$B$18</f>
        <v>18093.976200000001</v>
      </c>
      <c r="BQ616" s="6">
        <f>Grandview_Inventory[[#This Row],[detatched_value]]*Lookups!$B$19</f>
        <v>0</v>
      </c>
      <c r="BR616" s="6">
        <f>SUM(Grandview_Inventory[[#This Row],[Intercept]:[det_value]])*Grandview_Inventory[[#This Row],[res_pct]]</f>
        <v>325804.39621099998</v>
      </c>
      <c r="BS616" s="6">
        <f>Grandview_Inventory[[#This Row],[land_value]]</f>
        <v>46638.847281240982</v>
      </c>
      <c r="BT616" s="4">
        <f>_xlfn.IFNA(VLOOKUP(Grandview_Inventory[[#This Row],[quality]],Lookups!$A$26:$C$33,3,FALSE),1)</f>
        <v>0.94960540378902636</v>
      </c>
      <c r="BU616" s="4">
        <f>_xlfn.IFNA(VLOOKUP(Grandview_Inventory[[#This Row],[condition]],Lookups!$A$37:$C$44,3,FALSE),1)</f>
        <v>0.96469275950863709</v>
      </c>
      <c r="BV616" s="4">
        <f>IF(Grandview_Inventory[[#This Row],[bldg_style]]="",1,_xlfn.IFNA(VLOOKUP(Grandview_Inventory[[#This Row],[decade]],Lookups!$F$29:$H$43,3,FALSE),1))</f>
        <v>0.98031878267063854</v>
      </c>
      <c r="BW616" s="4">
        <f>_xlfn.IFNA(VLOOKUP(Grandview_Inventory[[#This Row],[living_area_range]],Lookups!$F$47:$H$56,3,FALSE),1)</f>
        <v>0.96120133463014379</v>
      </c>
      <c r="BX616" s="4">
        <f>AVERAGE(Grandview_Inventory[[#This Row],[qual_adj]:[size_adj]])</f>
        <v>0.9639545701496115</v>
      </c>
      <c r="BY616" s="6">
        <f>IF(Grandview_Inventory[[#This Row],[pre_res]]&lt;0,0,Grandview_Inventory[[#This Row],[pre_res]]*Grandview_Inventory[[#This Row],[overall_adj]])</f>
        <v>314060.63670242822</v>
      </c>
      <c r="BZ616" s="6">
        <f>(Grandview_Inventory[[#This Row],[sum_land]]-IF(Grandview_Inventory[[#This Row],[no_utilities]]=1,12000,0))/IF(Grandview_Inventory[[#This Row],[unbuildable]]=1,2,1)</f>
        <v>46638.847281240982</v>
      </c>
      <c r="CA61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16">
        <f>ROUND(Grandview_Inventory[[#This Row],[det_value]]*Lookups!$M$28,-2)</f>
        <v>0</v>
      </c>
      <c r="CC616">
        <f>IF(ROUND(Grandview_Inventory[[#This Row],[adj_res]]*Lookups!$M$28,-2)&lt;Grandview_Inventory[[#This Row],[min_res]],Grandview_Inventory[[#This Row],[min_res]],ROUND(Grandview_Inventory[[#This Row],[adj_res]]*Lookups!$M$28,-2))</f>
        <v>298400</v>
      </c>
      <c r="CD616">
        <f>Grandview_Inventory[[#This Row],[final_det]]+Grandview_Inventory[[#This Row],[final_res]]</f>
        <v>298400</v>
      </c>
      <c r="CE616">
        <f>Grandview_Inventory[[#This Row],[final_land]]+Grandview_Inventory[[#This Row],[final_imp]]+Grandview_Inventory[[#This Row],[crop_value]]</f>
        <v>342700</v>
      </c>
      <c r="CG616" t="str">
        <f t="shared" si="9"/>
        <v>update valuation set market_land =44300, market_bldg=298400, market_total =342700, market_mdno =401, market_date ='9/10/2023' where link_id = (select link_id from parcel where parcel_year = '2024' and parcel_id = '23092224458');</v>
      </c>
    </row>
    <row r="617" spans="1:85" x14ac:dyDescent="0.25">
      <c r="A617">
        <v>23092224459</v>
      </c>
      <c r="B617">
        <v>0.18</v>
      </c>
      <c r="C617">
        <v>7799</v>
      </c>
      <c r="D617" t="s">
        <v>129</v>
      </c>
      <c r="E617" t="s">
        <v>53</v>
      </c>
      <c r="F617" t="s">
        <v>53</v>
      </c>
      <c r="G617">
        <v>4</v>
      </c>
      <c r="H617" t="s">
        <v>54</v>
      </c>
      <c r="I617">
        <v>221200</v>
      </c>
      <c r="J617">
        <v>43100</v>
      </c>
      <c r="K617">
        <v>0.18</v>
      </c>
      <c r="L61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617">
        <v>0</v>
      </c>
      <c r="N617">
        <v>0</v>
      </c>
      <c r="O617">
        <v>0</v>
      </c>
      <c r="P617">
        <v>13398.7528</v>
      </c>
      <c r="Q617">
        <v>63903</v>
      </c>
      <c r="R617">
        <f>(Grandview_Inventory[[#This Row],[ln_acres]]*Grandview_Inventory[[#This Row],[coeff]])+Grandview_Inventory[[#This Row],[const]]</f>
        <v>40926.839760167699</v>
      </c>
      <c r="S617" t="s">
        <v>58</v>
      </c>
      <c r="T617">
        <v>1</v>
      </c>
      <c r="U617" t="s">
        <v>64</v>
      </c>
      <c r="V617" t="s">
        <v>69</v>
      </c>
      <c r="W617">
        <v>0</v>
      </c>
      <c r="X617">
        <v>0</v>
      </c>
      <c r="Y617">
        <v>38</v>
      </c>
      <c r="Z617">
        <v>38</v>
      </c>
      <c r="AA617">
        <v>40</v>
      </c>
      <c r="AB617">
        <v>2000</v>
      </c>
      <c r="AC617">
        <v>1587</v>
      </c>
      <c r="AD617">
        <v>1587</v>
      </c>
      <c r="AE617">
        <v>0</v>
      </c>
      <c r="AF617">
        <v>0</v>
      </c>
      <c r="AG617">
        <v>0</v>
      </c>
      <c r="AH617">
        <v>0</v>
      </c>
      <c r="AI617">
        <v>552</v>
      </c>
      <c r="AJ617">
        <v>0</v>
      </c>
      <c r="AK617">
        <v>0</v>
      </c>
      <c r="AL617">
        <v>0</v>
      </c>
      <c r="AM617">
        <v>160</v>
      </c>
      <c r="AN617">
        <v>0</v>
      </c>
      <c r="AO617">
        <v>0</v>
      </c>
      <c r="AP617">
        <v>8</v>
      </c>
      <c r="AQ617">
        <v>0</v>
      </c>
      <c r="AR617">
        <v>0</v>
      </c>
      <c r="AS617" t="s">
        <v>58</v>
      </c>
      <c r="AT617">
        <v>1</v>
      </c>
      <c r="AU617" t="s">
        <v>59</v>
      </c>
      <c r="AV617" t="s">
        <v>60</v>
      </c>
      <c r="AW617">
        <v>1</v>
      </c>
      <c r="AX617">
        <v>3</v>
      </c>
      <c r="AY617">
        <v>0</v>
      </c>
      <c r="AZ617">
        <v>0</v>
      </c>
      <c r="BA617">
        <v>100</v>
      </c>
      <c r="BB617">
        <v>100</v>
      </c>
      <c r="BC617">
        <v>100</v>
      </c>
      <c r="BD617">
        <v>100</v>
      </c>
      <c r="BE617">
        <v>1</v>
      </c>
      <c r="BF617">
        <v>15000</v>
      </c>
      <c r="BG617">
        <v>1000</v>
      </c>
      <c r="BH617" s="6">
        <f>Grandview_Inventory[[#This Row],[land_extract]]*Lookups!$B$3</f>
        <v>47528.228511015397</v>
      </c>
      <c r="BI617" s="6">
        <f>IF(Grandview_Inventory[[#This Row],[bldg_style]]="",0,Lookups!$B$2)</f>
        <v>155833.95000000001</v>
      </c>
      <c r="BJ617" s="6">
        <f>_xlfn.IFNA(VLOOKUP(Grandview_Inventory[[#This Row],[quality]],Lookups!$H$2:$J$14,3,FALSE),0)</f>
        <v>20768</v>
      </c>
      <c r="BK617" s="6">
        <f>_xlfn.IFNA(VLOOKUP(Grandview_Inventory[[#This Row],[condition]],Lookups!$H$17:$J$24,3,FALSE),0)</f>
        <v>-4503</v>
      </c>
      <c r="BL617" s="6">
        <f>Grandview_Inventory[[#This Row],[Eff_Age]]*Lookups!$B$14</f>
        <v>-9088.3307999999997</v>
      </c>
      <c r="BM617" s="6">
        <f>Grandview_Inventory[[#This Row],[living_area]]*Lookups!$B$15</f>
        <v>98998.413711000001</v>
      </c>
      <c r="BN617" s="6">
        <f>Grandview_Inventory[[#This Row],[Fin BSMT]]*Lookups!$B$16</f>
        <v>0</v>
      </c>
      <c r="BO617" s="6">
        <f>(Grandview_Inventory[[#This Row],[att_gar]]+Grandview_Inventory[[#This Row],[bltin_gar]])*Lookups!$B$17</f>
        <v>48311.281223999998</v>
      </c>
      <c r="BP617" s="6">
        <f>Grandview_Inventory[[#This Row],[Plumbing Fixtures]]*Lookups!$B$18</f>
        <v>16083.5344</v>
      </c>
      <c r="BQ617" s="6">
        <f>Grandview_Inventory[[#This Row],[detatched_value]]*Lookups!$B$19</f>
        <v>0</v>
      </c>
      <c r="BR617" s="6">
        <f>SUM(Grandview_Inventory[[#This Row],[Intercept]:[det_value]])*Grandview_Inventory[[#This Row],[res_pct]]</f>
        <v>326403.848535</v>
      </c>
      <c r="BS617" s="6">
        <f>Grandview_Inventory[[#This Row],[land_value]]</f>
        <v>47528.228511015397</v>
      </c>
      <c r="BT617" s="4">
        <f>_xlfn.IFNA(VLOOKUP(Grandview_Inventory[[#This Row],[quality]],Lookups!$A$26:$C$33,3,FALSE),1)</f>
        <v>0.94960540378902636</v>
      </c>
      <c r="BU617" s="4">
        <f>_xlfn.IFNA(VLOOKUP(Grandview_Inventory[[#This Row],[condition]],Lookups!$A$37:$C$44,3,FALSE),1)</f>
        <v>0.96469275950863709</v>
      </c>
      <c r="BV617" s="4">
        <f>IF(Grandview_Inventory[[#This Row],[bldg_style]]="",1,_xlfn.IFNA(VLOOKUP(Grandview_Inventory[[#This Row],[decade]],Lookups!$F$29:$H$43,3,FALSE),1))</f>
        <v>0.98031878267063854</v>
      </c>
      <c r="BW617" s="4">
        <f>_xlfn.IFNA(VLOOKUP(Grandview_Inventory[[#This Row],[living_area_range]],Lookups!$F$47:$H$56,3,FALSE),1)</f>
        <v>0.96120133463014379</v>
      </c>
      <c r="BX617" s="4">
        <f>AVERAGE(Grandview_Inventory[[#This Row],[qual_adj]:[size_adj]])</f>
        <v>0.9639545701496115</v>
      </c>
      <c r="BY617" s="6">
        <f>IF(Grandview_Inventory[[#This Row],[pre_res]]&lt;0,0,Grandview_Inventory[[#This Row],[pre_res]]*Grandview_Inventory[[#This Row],[overall_adj]])</f>
        <v>314638.48150973482</v>
      </c>
      <c r="BZ617" s="6">
        <f>(Grandview_Inventory[[#This Row],[sum_land]]-IF(Grandview_Inventory[[#This Row],[no_utilities]]=1,12000,0))/IF(Grandview_Inventory[[#This Row],[unbuildable]]=1,2,1)</f>
        <v>47528.228511015397</v>
      </c>
      <c r="CA61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617">
        <f>ROUND(Grandview_Inventory[[#This Row],[det_value]]*Lookups!$M$28,-2)</f>
        <v>0</v>
      </c>
      <c r="CC617">
        <f>IF(ROUND(Grandview_Inventory[[#This Row],[adj_res]]*Lookups!$M$28,-2)&lt;Grandview_Inventory[[#This Row],[min_res]],Grandview_Inventory[[#This Row],[min_res]],ROUND(Grandview_Inventory[[#This Row],[adj_res]]*Lookups!$M$28,-2))</f>
        <v>298900</v>
      </c>
      <c r="CD617">
        <f>Grandview_Inventory[[#This Row],[final_det]]+Grandview_Inventory[[#This Row],[final_res]]</f>
        <v>298900</v>
      </c>
      <c r="CE617">
        <f>Grandview_Inventory[[#This Row],[final_land]]+Grandview_Inventory[[#This Row],[final_imp]]+Grandview_Inventory[[#This Row],[crop_value]]</f>
        <v>344100</v>
      </c>
      <c r="CG617" t="str">
        <f t="shared" si="9"/>
        <v>update valuation set market_land =45200, market_bldg=298900, market_total =344100, market_mdno =401, market_date ='9/10/2023' where link_id = (select link_id from parcel where parcel_year = '2024' and parcel_id = '23092224459');</v>
      </c>
    </row>
    <row r="618" spans="1:85" x14ac:dyDescent="0.25">
      <c r="A618">
        <v>23092224460</v>
      </c>
      <c r="B618">
        <v>0.21</v>
      </c>
      <c r="C618">
        <v>9325</v>
      </c>
      <c r="D618" t="s">
        <v>129</v>
      </c>
      <c r="E618" t="s">
        <v>53</v>
      </c>
      <c r="F618" t="s">
        <v>53</v>
      </c>
      <c r="G618">
        <v>4</v>
      </c>
      <c r="H618" t="s">
        <v>54</v>
      </c>
      <c r="I618">
        <v>252400</v>
      </c>
      <c r="J618">
        <v>43800</v>
      </c>
      <c r="K618">
        <v>0.21</v>
      </c>
      <c r="L61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18">
        <v>0</v>
      </c>
      <c r="N618">
        <v>0</v>
      </c>
      <c r="O618">
        <v>0</v>
      </c>
      <c r="P618">
        <v>13398.7528</v>
      </c>
      <c r="Q618">
        <v>63903</v>
      </c>
      <c r="R618">
        <f>(Grandview_Inventory[[#This Row],[ln_acres]]*Grandview_Inventory[[#This Row],[coeff]])+Grandview_Inventory[[#This Row],[const]]</f>
        <v>42992.266613125081</v>
      </c>
      <c r="S618" t="s">
        <v>58</v>
      </c>
      <c r="T618">
        <v>1</v>
      </c>
      <c r="U618" t="s">
        <v>65</v>
      </c>
      <c r="V618" t="s">
        <v>67</v>
      </c>
      <c r="W618">
        <v>0</v>
      </c>
      <c r="X618">
        <v>0</v>
      </c>
      <c r="Y618">
        <v>25</v>
      </c>
      <c r="Z618">
        <v>25</v>
      </c>
      <c r="AA618">
        <v>30</v>
      </c>
      <c r="AB618">
        <v>2000</v>
      </c>
      <c r="AC618">
        <v>1624</v>
      </c>
      <c r="AD618">
        <v>1624</v>
      </c>
      <c r="AE618">
        <v>0</v>
      </c>
      <c r="AF618">
        <v>0</v>
      </c>
      <c r="AG618">
        <v>0</v>
      </c>
      <c r="AH618">
        <v>0</v>
      </c>
      <c r="AI618">
        <v>528</v>
      </c>
      <c r="AJ618">
        <v>0</v>
      </c>
      <c r="AK618">
        <v>0</v>
      </c>
      <c r="AL618">
        <v>240</v>
      </c>
      <c r="AM618">
        <v>0</v>
      </c>
      <c r="AN618">
        <v>96</v>
      </c>
      <c r="AO618">
        <v>0</v>
      </c>
      <c r="AP618">
        <v>9</v>
      </c>
      <c r="AQ618">
        <v>0</v>
      </c>
      <c r="AR618">
        <v>0</v>
      </c>
      <c r="AS618" t="s">
        <v>58</v>
      </c>
      <c r="AT618">
        <v>1</v>
      </c>
      <c r="AU618" t="s">
        <v>63</v>
      </c>
      <c r="AV618" t="s">
        <v>64</v>
      </c>
      <c r="AW618">
        <v>1</v>
      </c>
      <c r="AX618">
        <v>3</v>
      </c>
      <c r="AY618">
        <v>0</v>
      </c>
      <c r="AZ618">
        <v>0</v>
      </c>
      <c r="BA618">
        <v>100</v>
      </c>
      <c r="BB618">
        <v>100</v>
      </c>
      <c r="BC618">
        <v>100</v>
      </c>
      <c r="BD618">
        <v>100</v>
      </c>
      <c r="BE618">
        <v>1</v>
      </c>
      <c r="BF618">
        <v>15000</v>
      </c>
      <c r="BG618">
        <v>1000</v>
      </c>
      <c r="BH618" s="6">
        <f>Grandview_Inventory[[#This Row],[land_extract]]*Lookups!$B$3</f>
        <v>49926.8031387023</v>
      </c>
      <c r="BI618" s="6">
        <f>IF(Grandview_Inventory[[#This Row],[bldg_style]]="",0,Lookups!$B$2)</f>
        <v>155833.95000000001</v>
      </c>
      <c r="BJ618" s="6">
        <f>_xlfn.IFNA(VLOOKUP(Grandview_Inventory[[#This Row],[quality]],Lookups!$H$2:$J$14,3,FALSE),0)</f>
        <v>2251</v>
      </c>
      <c r="BK618" s="6">
        <f>_xlfn.IFNA(VLOOKUP(Grandview_Inventory[[#This Row],[condition]],Lookups!$H$17:$J$24,3,FALSE),0)</f>
        <v>22342</v>
      </c>
      <c r="BL618" s="6">
        <f>Grandview_Inventory[[#This Row],[Eff_Age]]*Lookups!$B$14</f>
        <v>-5979.165</v>
      </c>
      <c r="BM618" s="6">
        <f>Grandview_Inventory[[#This Row],[living_area]]*Lookups!$B$15</f>
        <v>101306.50527200001</v>
      </c>
      <c r="BN618" s="6">
        <f>Grandview_Inventory[[#This Row],[Fin BSMT]]*Lookups!$B$16</f>
        <v>0</v>
      </c>
      <c r="BO618" s="6">
        <f>(Grandview_Inventory[[#This Row],[att_gar]]+Grandview_Inventory[[#This Row],[bltin_gar]])*Lookups!$B$17</f>
        <v>46210.790736000003</v>
      </c>
      <c r="BP618" s="6">
        <f>Grandview_Inventory[[#This Row],[Plumbing Fixtures]]*Lookups!$B$18</f>
        <v>18093.976200000001</v>
      </c>
      <c r="BQ618" s="6">
        <f>Grandview_Inventory[[#This Row],[detatched_value]]*Lookups!$B$19</f>
        <v>0</v>
      </c>
      <c r="BR618" s="6">
        <f>SUM(Grandview_Inventory[[#This Row],[Intercept]:[det_value]])*Grandview_Inventory[[#This Row],[res_pct]]</f>
        <v>340059.05720799998</v>
      </c>
      <c r="BS618" s="6">
        <f>Grandview_Inventory[[#This Row],[land_value]]</f>
        <v>49926.8031387023</v>
      </c>
      <c r="BT618" s="4">
        <f>_xlfn.IFNA(VLOOKUP(Grandview_Inventory[[#This Row],[quality]],Lookups!$A$26:$C$33,3,FALSE),1)</f>
        <v>0.98763855981004833</v>
      </c>
      <c r="BU618" s="4">
        <f>_xlfn.IFNA(VLOOKUP(Grandview_Inventory[[#This Row],[condition]],Lookups!$A$37:$C$44,3,FALSE),1)</f>
        <v>0.97383723671140243</v>
      </c>
      <c r="BV618" s="4">
        <f>IF(Grandview_Inventory[[#This Row],[bldg_style]]="",1,_xlfn.IFNA(VLOOKUP(Grandview_Inventory[[#This Row],[decade]],Lookups!$F$29:$H$43,3,FALSE),1))</f>
        <v>0.98397821291089549</v>
      </c>
      <c r="BW618" s="4">
        <f>_xlfn.IFNA(VLOOKUP(Grandview_Inventory[[#This Row],[living_area_range]],Lookups!$F$47:$H$56,3,FALSE),1)</f>
        <v>0.96120133463014379</v>
      </c>
      <c r="BX618" s="4">
        <f>AVERAGE(Grandview_Inventory[[#This Row],[qual_adj]:[size_adj]])</f>
        <v>0.97666383601562257</v>
      </c>
      <c r="BY618" s="6">
        <f>IF(Grandview_Inventory[[#This Row],[pre_res]]&lt;0,0,Grandview_Inventory[[#This Row],[pre_res]]*Grandview_Inventory[[#This Row],[overall_adj]])</f>
        <v>332123.38328462129</v>
      </c>
      <c r="BZ618" s="6">
        <f>(Grandview_Inventory[[#This Row],[sum_land]]-IF(Grandview_Inventory[[#This Row],[no_utilities]]=1,12000,0))/IF(Grandview_Inventory[[#This Row],[unbuildable]]=1,2,1)</f>
        <v>49926.8031387023</v>
      </c>
      <c r="CA61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18">
        <f>ROUND(Grandview_Inventory[[#This Row],[det_value]]*Lookups!$M$28,-2)</f>
        <v>0</v>
      </c>
      <c r="CC618">
        <f>IF(ROUND(Grandview_Inventory[[#This Row],[adj_res]]*Lookups!$M$28,-2)&lt;Grandview_Inventory[[#This Row],[min_res]],Grandview_Inventory[[#This Row],[min_res]],ROUND(Grandview_Inventory[[#This Row],[adj_res]]*Lookups!$M$28,-2))</f>
        <v>315500</v>
      </c>
      <c r="CD618">
        <f>Grandview_Inventory[[#This Row],[final_det]]+Grandview_Inventory[[#This Row],[final_res]]</f>
        <v>315500</v>
      </c>
      <c r="CE618">
        <f>Grandview_Inventory[[#This Row],[final_land]]+Grandview_Inventory[[#This Row],[final_imp]]+Grandview_Inventory[[#This Row],[crop_value]]</f>
        <v>362900</v>
      </c>
      <c r="CG618" t="str">
        <f t="shared" si="9"/>
        <v>update valuation set market_land =47400, market_bldg=315500, market_total =362900, market_mdno =401, market_date ='9/10/2023' where link_id = (select link_id from parcel where parcel_year = '2024' and parcel_id = '23092224460');</v>
      </c>
    </row>
    <row r="619" spans="1:85" x14ac:dyDescent="0.25">
      <c r="A619">
        <v>23092224461</v>
      </c>
      <c r="B619">
        <v>0.22</v>
      </c>
      <c r="C619">
        <v>9758</v>
      </c>
      <c r="D619" t="s">
        <v>129</v>
      </c>
      <c r="E619" t="s">
        <v>53</v>
      </c>
      <c r="F619" t="s">
        <v>53</v>
      </c>
      <c r="G619">
        <v>4</v>
      </c>
      <c r="H619" t="s">
        <v>54</v>
      </c>
      <c r="I619">
        <v>236800</v>
      </c>
      <c r="J619">
        <v>39500</v>
      </c>
      <c r="K619">
        <v>0.22</v>
      </c>
      <c r="L61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19">
        <v>0</v>
      </c>
      <c r="N619">
        <v>0</v>
      </c>
      <c r="O619">
        <v>0</v>
      </c>
      <c r="P619">
        <v>13398.7528</v>
      </c>
      <c r="Q619">
        <v>63903</v>
      </c>
      <c r="R619">
        <f>(Grandview_Inventory[[#This Row],[ln_acres]]*Grandview_Inventory[[#This Row],[coeff]])+Grandview_Inventory[[#This Row],[const]]</f>
        <v>43615.576802869145</v>
      </c>
      <c r="S619" t="s">
        <v>61</v>
      </c>
      <c r="T619">
        <v>1</v>
      </c>
      <c r="U619" t="s">
        <v>65</v>
      </c>
      <c r="V619" t="s">
        <v>66</v>
      </c>
      <c r="W619">
        <v>0</v>
      </c>
      <c r="X619">
        <v>0</v>
      </c>
      <c r="Y619">
        <v>12</v>
      </c>
      <c r="Z619">
        <v>12</v>
      </c>
      <c r="AA619">
        <v>20</v>
      </c>
      <c r="AB619">
        <v>1500</v>
      </c>
      <c r="AC619">
        <v>1205</v>
      </c>
      <c r="AD619">
        <v>1205</v>
      </c>
      <c r="AE619">
        <v>0</v>
      </c>
      <c r="AF619">
        <v>0</v>
      </c>
      <c r="AG619">
        <v>0</v>
      </c>
      <c r="AH619">
        <v>0</v>
      </c>
      <c r="AI619">
        <v>420</v>
      </c>
      <c r="AJ619">
        <v>0</v>
      </c>
      <c r="AK619">
        <v>0</v>
      </c>
      <c r="AL619">
        <v>0</v>
      </c>
      <c r="AM619">
        <v>0</v>
      </c>
      <c r="AN619">
        <v>160</v>
      </c>
      <c r="AO619">
        <v>0</v>
      </c>
      <c r="AP619">
        <v>9</v>
      </c>
      <c r="AQ619">
        <v>0</v>
      </c>
      <c r="AR619">
        <v>0</v>
      </c>
      <c r="AS619" t="s">
        <v>58</v>
      </c>
      <c r="AT619">
        <v>1</v>
      </c>
      <c r="AU619" t="s">
        <v>59</v>
      </c>
      <c r="AV619" t="s">
        <v>60</v>
      </c>
      <c r="AW619">
        <v>1</v>
      </c>
      <c r="AX619">
        <v>3</v>
      </c>
      <c r="AY619">
        <v>0</v>
      </c>
      <c r="AZ619">
        <v>0</v>
      </c>
      <c r="BA619">
        <v>100</v>
      </c>
      <c r="BB619">
        <v>100</v>
      </c>
      <c r="BC619">
        <v>100</v>
      </c>
      <c r="BD619">
        <v>100</v>
      </c>
      <c r="BE619">
        <v>1</v>
      </c>
      <c r="BF619">
        <v>15000</v>
      </c>
      <c r="BG619">
        <v>1000</v>
      </c>
      <c r="BH619" s="6">
        <f>Grandview_Inventory[[#This Row],[land_extract]]*Lookups!$B$3</f>
        <v>50650.651579114572</v>
      </c>
      <c r="BI619" s="6">
        <f>IF(Grandview_Inventory[[#This Row],[bldg_style]]="",0,Lookups!$B$2)</f>
        <v>155833.95000000001</v>
      </c>
      <c r="BJ619" s="6">
        <f>_xlfn.IFNA(VLOOKUP(Grandview_Inventory[[#This Row],[quality]],Lookups!$H$2:$J$14,3,FALSE),0)</f>
        <v>2251</v>
      </c>
      <c r="BK619" s="6">
        <f>_xlfn.IFNA(VLOOKUP(Grandview_Inventory[[#This Row],[condition]],Lookups!$H$17:$J$24,3,FALSE),0)</f>
        <v>25818</v>
      </c>
      <c r="BL619" s="6">
        <f>Grandview_Inventory[[#This Row],[Eff_Age]]*Lookups!$B$14</f>
        <v>-2869.9991999999997</v>
      </c>
      <c r="BM619" s="6">
        <f>Grandview_Inventory[[#This Row],[living_area]]*Lookups!$B$15</f>
        <v>75168.927865000005</v>
      </c>
      <c r="BN619" s="6">
        <f>Grandview_Inventory[[#This Row],[Fin BSMT]]*Lookups!$B$16</f>
        <v>0</v>
      </c>
      <c r="BO619" s="6">
        <f>(Grandview_Inventory[[#This Row],[att_gar]]+Grandview_Inventory[[#This Row],[bltin_gar]])*Lookups!$B$17</f>
        <v>36758.58354</v>
      </c>
      <c r="BP619" s="6">
        <f>Grandview_Inventory[[#This Row],[Plumbing Fixtures]]*Lookups!$B$18</f>
        <v>18093.976200000001</v>
      </c>
      <c r="BQ619" s="6">
        <f>Grandview_Inventory[[#This Row],[detatched_value]]*Lookups!$B$19</f>
        <v>0</v>
      </c>
      <c r="BR619" s="6">
        <f>SUM(Grandview_Inventory[[#This Row],[Intercept]:[det_value]])*Grandview_Inventory[[#This Row],[res_pct]]</f>
        <v>311054.43840500002</v>
      </c>
      <c r="BS619" s="6">
        <f>Grandview_Inventory[[#This Row],[land_value]]</f>
        <v>50650.651579114572</v>
      </c>
      <c r="BT619" s="4">
        <f>_xlfn.IFNA(VLOOKUP(Grandview_Inventory[[#This Row],[quality]],Lookups!$A$26:$C$33,3,FALSE),1)</f>
        <v>0.98763855981004833</v>
      </c>
      <c r="BU619" s="4">
        <f>_xlfn.IFNA(VLOOKUP(Grandview_Inventory[[#This Row],[condition]],Lookups!$A$37:$C$44,3,FALSE),1)</f>
        <v>0.96661476234146892</v>
      </c>
      <c r="BV619" s="4">
        <f>IF(Grandview_Inventory[[#This Row],[bldg_style]]="",1,_xlfn.IFNA(VLOOKUP(Grandview_Inventory[[#This Row],[decade]],Lookups!$F$29:$H$43,3,FALSE),1))</f>
        <v>0.96737494181490646</v>
      </c>
      <c r="BW619" s="4">
        <f>_xlfn.IFNA(VLOOKUP(Grandview_Inventory[[#This Row],[living_area_range]],Lookups!$F$47:$H$56,3,FALSE),1)</f>
        <v>0.96135087979789358</v>
      </c>
      <c r="BX619" s="4">
        <f>AVERAGE(Grandview_Inventory[[#This Row],[qual_adj]:[size_adj]])</f>
        <v>0.97074478594107938</v>
      </c>
      <c r="BY619" s="6">
        <f>IF(Grandview_Inventory[[#This Row],[pre_res]]&lt;0,0,Grandview_Inventory[[#This Row],[pre_res]]*Grandview_Inventory[[#This Row],[overall_adj]])</f>
        <v>301954.47422548442</v>
      </c>
      <c r="BZ619" s="6">
        <f>(Grandview_Inventory[[#This Row],[sum_land]]-IF(Grandview_Inventory[[#This Row],[no_utilities]]=1,12000,0))/IF(Grandview_Inventory[[#This Row],[unbuildable]]=1,2,1)</f>
        <v>50650.651579114572</v>
      </c>
      <c r="CA61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19">
        <f>ROUND(Grandview_Inventory[[#This Row],[det_value]]*Lookups!$M$28,-2)</f>
        <v>0</v>
      </c>
      <c r="CC619">
        <f>IF(ROUND(Grandview_Inventory[[#This Row],[adj_res]]*Lookups!$M$28,-2)&lt;Grandview_Inventory[[#This Row],[min_res]],Grandview_Inventory[[#This Row],[min_res]],ROUND(Grandview_Inventory[[#This Row],[adj_res]]*Lookups!$M$28,-2))</f>
        <v>286900</v>
      </c>
      <c r="CD619">
        <f>Grandview_Inventory[[#This Row],[final_det]]+Grandview_Inventory[[#This Row],[final_res]]</f>
        <v>286900</v>
      </c>
      <c r="CE619">
        <f>Grandview_Inventory[[#This Row],[final_land]]+Grandview_Inventory[[#This Row],[final_imp]]+Grandview_Inventory[[#This Row],[crop_value]]</f>
        <v>335000</v>
      </c>
      <c r="CG619" t="str">
        <f t="shared" si="9"/>
        <v>update valuation set market_land =48100, market_bldg=286900, market_total =335000, market_mdno =401, market_date ='9/10/2023' where link_id = (select link_id from parcel where parcel_year = '2024' and parcel_id = '23092224461');</v>
      </c>
    </row>
    <row r="620" spans="1:85" x14ac:dyDescent="0.25">
      <c r="A620">
        <v>23092224462</v>
      </c>
      <c r="B620">
        <v>0.32</v>
      </c>
      <c r="C620">
        <v>13760</v>
      </c>
      <c r="D620" t="s">
        <v>129</v>
      </c>
      <c r="E620" t="s">
        <v>53</v>
      </c>
      <c r="F620" t="s">
        <v>53</v>
      </c>
      <c r="G620">
        <v>4</v>
      </c>
      <c r="H620" t="s">
        <v>54</v>
      </c>
      <c r="I620">
        <v>196900</v>
      </c>
      <c r="J620">
        <v>45600</v>
      </c>
      <c r="K620">
        <v>0.32</v>
      </c>
      <c r="L620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620">
        <v>0</v>
      </c>
      <c r="N620">
        <v>0</v>
      </c>
      <c r="O620">
        <v>0</v>
      </c>
      <c r="P620">
        <v>13398.7528</v>
      </c>
      <c r="Q620">
        <v>63903</v>
      </c>
      <c r="R620">
        <f>(Grandview_Inventory[[#This Row],[ln_acres]]*Grandview_Inventory[[#This Row],[coeff]])+Grandview_Inventory[[#This Row],[const]]</f>
        <v>48636.001707713905</v>
      </c>
      <c r="S620" t="s">
        <v>61</v>
      </c>
      <c r="T620">
        <v>1</v>
      </c>
      <c r="U620" t="s">
        <v>65</v>
      </c>
      <c r="V620" t="s">
        <v>69</v>
      </c>
      <c r="W620">
        <v>0</v>
      </c>
      <c r="X620">
        <v>0</v>
      </c>
      <c r="Y620">
        <v>39</v>
      </c>
      <c r="Z620">
        <v>39</v>
      </c>
      <c r="AA620">
        <v>40</v>
      </c>
      <c r="AB620">
        <v>2000</v>
      </c>
      <c r="AC620">
        <v>1600</v>
      </c>
      <c r="AD620">
        <v>1600</v>
      </c>
      <c r="AE620">
        <v>0</v>
      </c>
      <c r="AF620">
        <v>0</v>
      </c>
      <c r="AG620">
        <v>0</v>
      </c>
      <c r="AH620">
        <v>0</v>
      </c>
      <c r="AI620">
        <v>528</v>
      </c>
      <c r="AJ620">
        <v>0</v>
      </c>
      <c r="AK620">
        <v>0</v>
      </c>
      <c r="AL620">
        <v>360</v>
      </c>
      <c r="AM620">
        <v>0</v>
      </c>
      <c r="AN620">
        <v>0</v>
      </c>
      <c r="AO620">
        <v>220</v>
      </c>
      <c r="AP620">
        <v>8</v>
      </c>
      <c r="AQ620">
        <v>0</v>
      </c>
      <c r="AR620">
        <v>0</v>
      </c>
      <c r="AS620" t="s">
        <v>58</v>
      </c>
      <c r="AT620">
        <v>1</v>
      </c>
      <c r="AU620" t="s">
        <v>63</v>
      </c>
      <c r="AV620" t="s">
        <v>64</v>
      </c>
      <c r="AW620">
        <v>1</v>
      </c>
      <c r="AX620">
        <v>3</v>
      </c>
      <c r="AY620">
        <v>0</v>
      </c>
      <c r="AZ620">
        <v>0</v>
      </c>
      <c r="BA620">
        <v>100</v>
      </c>
      <c r="BB620">
        <v>100</v>
      </c>
      <c r="BC620">
        <v>100</v>
      </c>
      <c r="BD620">
        <v>100</v>
      </c>
      <c r="BE620">
        <v>1</v>
      </c>
      <c r="BF620">
        <v>15000</v>
      </c>
      <c r="BG620">
        <v>1000</v>
      </c>
      <c r="BH620" s="6">
        <f>Grandview_Inventory[[#This Row],[land_extract]]*Lookups!$B$3</f>
        <v>56480.857465963549</v>
      </c>
      <c r="BI620" s="6">
        <f>IF(Grandview_Inventory[[#This Row],[bldg_style]]="",0,Lookups!$B$2)</f>
        <v>155833.95000000001</v>
      </c>
      <c r="BJ620" s="6">
        <f>_xlfn.IFNA(VLOOKUP(Grandview_Inventory[[#This Row],[quality]],Lookups!$H$2:$J$14,3,FALSE),0)</f>
        <v>2251</v>
      </c>
      <c r="BK620" s="6">
        <f>_xlfn.IFNA(VLOOKUP(Grandview_Inventory[[#This Row],[condition]],Lookups!$H$17:$J$24,3,FALSE),0)</f>
        <v>-4503</v>
      </c>
      <c r="BL620" s="6">
        <f>Grandview_Inventory[[#This Row],[Eff_Age]]*Lookups!$B$14</f>
        <v>-9327.4974000000002</v>
      </c>
      <c r="BM620" s="6">
        <f>Grandview_Inventory[[#This Row],[living_area]]*Lookups!$B$15</f>
        <v>99809.36480000001</v>
      </c>
      <c r="BN620" s="6">
        <f>Grandview_Inventory[[#This Row],[Fin BSMT]]*Lookups!$B$16</f>
        <v>0</v>
      </c>
      <c r="BO620" s="6">
        <f>(Grandview_Inventory[[#This Row],[att_gar]]+Grandview_Inventory[[#This Row],[bltin_gar]])*Lookups!$B$17</f>
        <v>46210.790736000003</v>
      </c>
      <c r="BP620" s="6">
        <f>Grandview_Inventory[[#This Row],[Plumbing Fixtures]]*Lookups!$B$18</f>
        <v>16083.5344</v>
      </c>
      <c r="BQ620" s="6">
        <f>Grandview_Inventory[[#This Row],[detatched_value]]*Lookups!$B$19</f>
        <v>0</v>
      </c>
      <c r="BR620" s="6">
        <f>SUM(Grandview_Inventory[[#This Row],[Intercept]:[det_value]])*Grandview_Inventory[[#This Row],[res_pct]]</f>
        <v>306358.14253600006</v>
      </c>
      <c r="BS620" s="6">
        <f>Grandview_Inventory[[#This Row],[land_value]]</f>
        <v>56480.857465963549</v>
      </c>
      <c r="BT620" s="4">
        <f>_xlfn.IFNA(VLOOKUP(Grandview_Inventory[[#This Row],[quality]],Lookups!$A$26:$C$33,3,FALSE),1)</f>
        <v>0.98763855981004833</v>
      </c>
      <c r="BU620" s="4">
        <f>_xlfn.IFNA(VLOOKUP(Grandview_Inventory[[#This Row],[condition]],Lookups!$A$37:$C$44,3,FALSE),1)</f>
        <v>0.96469275950863709</v>
      </c>
      <c r="BV620" s="4">
        <f>IF(Grandview_Inventory[[#This Row],[bldg_style]]="",1,_xlfn.IFNA(VLOOKUP(Grandview_Inventory[[#This Row],[decade]],Lookups!$F$29:$H$43,3,FALSE),1))</f>
        <v>0.98031878267063854</v>
      </c>
      <c r="BW620" s="4">
        <f>_xlfn.IFNA(VLOOKUP(Grandview_Inventory[[#This Row],[living_area_range]],Lookups!$F$47:$H$56,3,FALSE),1)</f>
        <v>0.96120133463014379</v>
      </c>
      <c r="BX620" s="4">
        <f>AVERAGE(Grandview_Inventory[[#This Row],[qual_adj]:[size_adj]])</f>
        <v>0.97346285915486686</v>
      </c>
      <c r="BY620" s="6">
        <f>IF(Grandview_Inventory[[#This Row],[pre_res]]&lt;0,0,Grandview_Inventory[[#This Row],[pre_res]]*Grandview_Inventory[[#This Row],[overall_adj]])</f>
        <v>298228.27335846884</v>
      </c>
      <c r="BZ620" s="6">
        <f>(Grandview_Inventory[[#This Row],[sum_land]]-IF(Grandview_Inventory[[#This Row],[no_utilities]]=1,12000,0))/IF(Grandview_Inventory[[#This Row],[unbuildable]]=1,2,1)</f>
        <v>56480.857465963549</v>
      </c>
      <c r="CA620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620">
        <f>ROUND(Grandview_Inventory[[#This Row],[det_value]]*Lookups!$M$28,-2)</f>
        <v>0</v>
      </c>
      <c r="CC620">
        <f>IF(ROUND(Grandview_Inventory[[#This Row],[adj_res]]*Lookups!$M$28,-2)&lt;Grandview_Inventory[[#This Row],[min_res]],Grandview_Inventory[[#This Row],[min_res]],ROUND(Grandview_Inventory[[#This Row],[adj_res]]*Lookups!$M$28,-2))</f>
        <v>283300</v>
      </c>
      <c r="CD620">
        <f>Grandview_Inventory[[#This Row],[final_det]]+Grandview_Inventory[[#This Row],[final_res]]</f>
        <v>283300</v>
      </c>
      <c r="CE620">
        <f>Grandview_Inventory[[#This Row],[final_land]]+Grandview_Inventory[[#This Row],[final_imp]]+Grandview_Inventory[[#This Row],[crop_value]]</f>
        <v>337000</v>
      </c>
      <c r="CG620" t="str">
        <f t="shared" si="9"/>
        <v>update valuation set market_land =53700, market_bldg=283300, market_total =337000, market_mdno =401, market_date ='9/10/2023' where link_id = (select link_id from parcel where parcel_year = '2024' and parcel_id = '23092224462');</v>
      </c>
    </row>
    <row r="621" spans="1:85" x14ac:dyDescent="0.25">
      <c r="A621">
        <v>23092224463</v>
      </c>
      <c r="B621">
        <v>0.28000000000000003</v>
      </c>
      <c r="C621" t="s">
        <v>129</v>
      </c>
      <c r="D621" t="s">
        <v>129</v>
      </c>
      <c r="E621" t="s">
        <v>53</v>
      </c>
      <c r="F621" t="s">
        <v>53</v>
      </c>
      <c r="G621">
        <v>4</v>
      </c>
      <c r="H621" t="s">
        <v>54</v>
      </c>
      <c r="I621">
        <v>277800</v>
      </c>
      <c r="J621">
        <v>44500</v>
      </c>
      <c r="K621">
        <v>0.28000000000000003</v>
      </c>
      <c r="L621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621">
        <v>0</v>
      </c>
      <c r="N621">
        <v>0</v>
      </c>
      <c r="O621">
        <v>0</v>
      </c>
      <c r="P621">
        <v>13398.7528</v>
      </c>
      <c r="Q621">
        <v>63903</v>
      </c>
      <c r="R621">
        <f>(Grandview_Inventory[[#This Row],[ln_acres]]*Grandview_Inventory[[#This Row],[coeff]])+Grandview_Inventory[[#This Row],[const]]</f>
        <v>46846.847586898184</v>
      </c>
      <c r="S621" t="s">
        <v>55</v>
      </c>
      <c r="T621">
        <v>2</v>
      </c>
      <c r="U621" t="s">
        <v>62</v>
      </c>
      <c r="V621" t="s">
        <v>66</v>
      </c>
      <c r="W621">
        <v>0</v>
      </c>
      <c r="X621">
        <v>0</v>
      </c>
      <c r="Y621">
        <v>68</v>
      </c>
      <c r="Z621">
        <v>116</v>
      </c>
      <c r="AA621">
        <v>120</v>
      </c>
      <c r="AB621">
        <v>3000</v>
      </c>
      <c r="AC621">
        <v>2664</v>
      </c>
      <c r="AD621">
        <v>1960</v>
      </c>
      <c r="AE621">
        <v>704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300</v>
      </c>
      <c r="AN621">
        <v>20</v>
      </c>
      <c r="AO621">
        <v>0</v>
      </c>
      <c r="AP621">
        <v>12</v>
      </c>
      <c r="AQ621">
        <v>0</v>
      </c>
      <c r="AR621">
        <v>0</v>
      </c>
      <c r="AS621" t="s">
        <v>58</v>
      </c>
      <c r="AT621">
        <v>1</v>
      </c>
      <c r="AU621" t="s">
        <v>59</v>
      </c>
      <c r="AV621" t="s">
        <v>60</v>
      </c>
      <c r="AW621">
        <v>1</v>
      </c>
      <c r="AX621">
        <v>4</v>
      </c>
      <c r="AY621">
        <v>0</v>
      </c>
      <c r="AZ621">
        <v>10400</v>
      </c>
      <c r="BA621">
        <v>100</v>
      </c>
      <c r="BB621">
        <v>100</v>
      </c>
      <c r="BC621">
        <v>100</v>
      </c>
      <c r="BD621">
        <v>100</v>
      </c>
      <c r="BE621">
        <v>1</v>
      </c>
      <c r="BF621">
        <v>15000</v>
      </c>
      <c r="BG621">
        <v>1000</v>
      </c>
      <c r="BH621" s="6">
        <f>Grandview_Inventory[[#This Row],[land_extract]]*Lookups!$B$3</f>
        <v>54403.117616176372</v>
      </c>
      <c r="BI621" s="6">
        <f>IF(Grandview_Inventory[[#This Row],[bldg_style]]="",0,Lookups!$B$2)</f>
        <v>155833.95000000001</v>
      </c>
      <c r="BJ621" s="6">
        <f>_xlfn.IFNA(VLOOKUP(Grandview_Inventory[[#This Row],[quality]],Lookups!$H$2:$J$14,3,FALSE),0)</f>
        <v>9808</v>
      </c>
      <c r="BK621" s="6">
        <f>_xlfn.IFNA(VLOOKUP(Grandview_Inventory[[#This Row],[condition]],Lookups!$H$17:$J$24,3,FALSE),0)</f>
        <v>25818</v>
      </c>
      <c r="BL621" s="6">
        <f>Grandview_Inventory[[#This Row],[Eff_Age]]*Lookups!$B$14</f>
        <v>-16263.328799999999</v>
      </c>
      <c r="BM621" s="6">
        <f>Grandview_Inventory[[#This Row],[living_area]]*Lookups!$B$15</f>
        <v>166182.59239199999</v>
      </c>
      <c r="BN621" s="6">
        <f>Grandview_Inventory[[#This Row],[Fin BSMT]]*Lookups!$B$16</f>
        <v>0</v>
      </c>
      <c r="BO621" s="6">
        <f>(Grandview_Inventory[[#This Row],[att_gar]]+Grandview_Inventory[[#This Row],[bltin_gar]])*Lookups!$B$17</f>
        <v>0</v>
      </c>
      <c r="BP621" s="6">
        <f>Grandview_Inventory[[#This Row],[Plumbing Fixtures]]*Lookups!$B$18</f>
        <v>24125.301599999999</v>
      </c>
      <c r="BQ621" s="6">
        <f>Grandview_Inventory[[#This Row],[detatched_value]]*Lookups!$B$19</f>
        <v>8806.77304</v>
      </c>
      <c r="BR621" s="6">
        <f>SUM(Grandview_Inventory[[#This Row],[Intercept]:[det_value]])*Grandview_Inventory[[#This Row],[res_pct]]</f>
        <v>374311.28823200002</v>
      </c>
      <c r="BS621" s="6">
        <f>Grandview_Inventory[[#This Row],[land_value]]</f>
        <v>54403.117616176372</v>
      </c>
      <c r="BT621" s="4">
        <f>_xlfn.IFNA(VLOOKUP(Grandview_Inventory[[#This Row],[quality]],Lookups!$A$26:$C$33,3,FALSE),1)</f>
        <v>0.94295468617355149</v>
      </c>
      <c r="BU621" s="4">
        <f>_xlfn.IFNA(VLOOKUP(Grandview_Inventory[[#This Row],[condition]],Lookups!$A$37:$C$44,3,FALSE),1)</f>
        <v>0.96661476234146892</v>
      </c>
      <c r="BV621" s="4">
        <f>IF(Grandview_Inventory[[#This Row],[bldg_style]]="",1,_xlfn.IFNA(VLOOKUP(Grandview_Inventory[[#This Row],[decade]],Lookups!$F$29:$H$43,3,FALSE),1))</f>
        <v>0.9251738460551937</v>
      </c>
      <c r="BW621" s="4">
        <f>_xlfn.IFNA(VLOOKUP(Grandview_Inventory[[#This Row],[living_area_range]],Lookups!$F$47:$H$56,3,FALSE),1)</f>
        <v>0.94224801443562123</v>
      </c>
      <c r="BX621" s="4">
        <f>AVERAGE(Grandview_Inventory[[#This Row],[qual_adj]:[size_adj]])</f>
        <v>0.94424782725145884</v>
      </c>
      <c r="BY621" s="6">
        <f>IF(Grandview_Inventory[[#This Row],[pre_res]]&lt;0,0,Grandview_Inventory[[#This Row],[pre_res]]*Grandview_Inventory[[#This Row],[overall_adj]])</f>
        <v>353442.62062876055</v>
      </c>
      <c r="BZ621" s="6">
        <f>(Grandview_Inventory[[#This Row],[sum_land]]-IF(Grandview_Inventory[[#This Row],[no_utilities]]=1,12000,0))/IF(Grandview_Inventory[[#This Row],[unbuildable]]=1,2,1)</f>
        <v>54403.117616176372</v>
      </c>
      <c r="CA621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621">
        <f>ROUND(Grandview_Inventory[[#This Row],[det_value]]*Lookups!$M$28,-2)</f>
        <v>8400</v>
      </c>
      <c r="CC621">
        <f>IF(ROUND(Grandview_Inventory[[#This Row],[adj_res]]*Lookups!$M$28,-2)&lt;Grandview_Inventory[[#This Row],[min_res]],Grandview_Inventory[[#This Row],[min_res]],ROUND(Grandview_Inventory[[#This Row],[adj_res]]*Lookups!$M$28,-2))</f>
        <v>335800</v>
      </c>
      <c r="CD621">
        <f>Grandview_Inventory[[#This Row],[final_det]]+Grandview_Inventory[[#This Row],[final_res]]</f>
        <v>344200</v>
      </c>
      <c r="CE621">
        <f>Grandview_Inventory[[#This Row],[final_land]]+Grandview_Inventory[[#This Row],[final_imp]]+Grandview_Inventory[[#This Row],[crop_value]]</f>
        <v>395900</v>
      </c>
      <c r="CG621" t="str">
        <f t="shared" si="9"/>
        <v>update valuation set market_land =51700, market_bldg=344200, market_total =395900, market_mdno =401, market_date ='9/10/2023' where link_id = (select link_id from parcel where parcel_year = '2024' and parcel_id = '23092224463');</v>
      </c>
    </row>
    <row r="622" spans="1:85" x14ac:dyDescent="0.25">
      <c r="A622">
        <v>23092224464</v>
      </c>
      <c r="B622">
        <v>0.22</v>
      </c>
      <c r="C622">
        <v>9375</v>
      </c>
      <c r="D622" t="s">
        <v>129</v>
      </c>
      <c r="E622" t="s">
        <v>53</v>
      </c>
      <c r="F622" t="s">
        <v>53</v>
      </c>
      <c r="G622">
        <v>4</v>
      </c>
      <c r="H622" t="s">
        <v>54</v>
      </c>
      <c r="I622">
        <v>185100</v>
      </c>
      <c r="J622">
        <v>43700</v>
      </c>
      <c r="K622">
        <v>0.22</v>
      </c>
      <c r="L62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22">
        <v>0</v>
      </c>
      <c r="N622">
        <v>0</v>
      </c>
      <c r="O622">
        <v>0</v>
      </c>
      <c r="P622">
        <v>13398.7528</v>
      </c>
      <c r="Q622">
        <v>63903</v>
      </c>
      <c r="R622">
        <f>(Grandview_Inventory[[#This Row],[ln_acres]]*Grandview_Inventory[[#This Row],[coeff]])+Grandview_Inventory[[#This Row],[const]]</f>
        <v>43615.576802869145</v>
      </c>
      <c r="S622" t="s">
        <v>58</v>
      </c>
      <c r="T622">
        <v>1</v>
      </c>
      <c r="U622" t="s">
        <v>65</v>
      </c>
      <c r="V622" t="s">
        <v>69</v>
      </c>
      <c r="W622">
        <v>0</v>
      </c>
      <c r="X622">
        <v>0</v>
      </c>
      <c r="Y622">
        <v>32</v>
      </c>
      <c r="Z622">
        <v>32</v>
      </c>
      <c r="AA622">
        <v>40</v>
      </c>
      <c r="AB622">
        <v>2000</v>
      </c>
      <c r="AC622">
        <v>1936</v>
      </c>
      <c r="AD622">
        <v>1936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120</v>
      </c>
      <c r="AN622">
        <v>0</v>
      </c>
      <c r="AO622">
        <v>120</v>
      </c>
      <c r="AP622">
        <v>8</v>
      </c>
      <c r="AQ622">
        <v>0</v>
      </c>
      <c r="AR622">
        <v>0</v>
      </c>
      <c r="AS622" t="s">
        <v>58</v>
      </c>
      <c r="AT622">
        <v>1</v>
      </c>
      <c r="AU622" t="s">
        <v>75</v>
      </c>
      <c r="AV622" t="s">
        <v>60</v>
      </c>
      <c r="AW622">
        <v>0</v>
      </c>
      <c r="AX622">
        <v>4</v>
      </c>
      <c r="AY622">
        <v>0</v>
      </c>
      <c r="AZ622">
        <v>0</v>
      </c>
      <c r="BA622">
        <v>100</v>
      </c>
      <c r="BB622">
        <v>100</v>
      </c>
      <c r="BC622">
        <v>100</v>
      </c>
      <c r="BD622">
        <v>100</v>
      </c>
      <c r="BE622">
        <v>1</v>
      </c>
      <c r="BF622">
        <v>15000</v>
      </c>
      <c r="BG622">
        <v>1000</v>
      </c>
      <c r="BH622" s="6">
        <f>Grandview_Inventory[[#This Row],[land_extract]]*Lookups!$B$3</f>
        <v>50650.651579114572</v>
      </c>
      <c r="BI622" s="6">
        <f>IF(Grandview_Inventory[[#This Row],[bldg_style]]="",0,Lookups!$B$2)</f>
        <v>155833.95000000001</v>
      </c>
      <c r="BJ622" s="6">
        <f>_xlfn.IFNA(VLOOKUP(Grandview_Inventory[[#This Row],[quality]],Lookups!$H$2:$J$14,3,FALSE),0)</f>
        <v>2251</v>
      </c>
      <c r="BK622" s="6">
        <f>_xlfn.IFNA(VLOOKUP(Grandview_Inventory[[#This Row],[condition]],Lookups!$H$17:$J$24,3,FALSE),0)</f>
        <v>-4503</v>
      </c>
      <c r="BL622" s="6">
        <f>Grandview_Inventory[[#This Row],[Eff_Age]]*Lookups!$B$14</f>
        <v>-7653.3311999999996</v>
      </c>
      <c r="BM622" s="6">
        <f>Grandview_Inventory[[#This Row],[living_area]]*Lookups!$B$15</f>
        <v>120769.331408</v>
      </c>
      <c r="BN622" s="6">
        <f>Grandview_Inventory[[#This Row],[Fin BSMT]]*Lookups!$B$16</f>
        <v>0</v>
      </c>
      <c r="BO622" s="6">
        <f>(Grandview_Inventory[[#This Row],[att_gar]]+Grandview_Inventory[[#This Row],[bltin_gar]])*Lookups!$B$17</f>
        <v>0</v>
      </c>
      <c r="BP622" s="6">
        <f>Grandview_Inventory[[#This Row],[Plumbing Fixtures]]*Lookups!$B$18</f>
        <v>16083.5344</v>
      </c>
      <c r="BQ622" s="6">
        <f>Grandview_Inventory[[#This Row],[detatched_value]]*Lookups!$B$19</f>
        <v>0</v>
      </c>
      <c r="BR622" s="6">
        <f>SUM(Grandview_Inventory[[#This Row],[Intercept]:[det_value]])*Grandview_Inventory[[#This Row],[res_pct]]</f>
        <v>282781.48460800003</v>
      </c>
      <c r="BS622" s="6">
        <f>Grandview_Inventory[[#This Row],[land_value]]</f>
        <v>50650.651579114572</v>
      </c>
      <c r="BT622" s="4">
        <f>_xlfn.IFNA(VLOOKUP(Grandview_Inventory[[#This Row],[quality]],Lookups!$A$26:$C$33,3,FALSE),1)</f>
        <v>0.98763855981004833</v>
      </c>
      <c r="BU622" s="4">
        <f>_xlfn.IFNA(VLOOKUP(Grandview_Inventory[[#This Row],[condition]],Lookups!$A$37:$C$44,3,FALSE),1)</f>
        <v>0.96469275950863709</v>
      </c>
      <c r="BV622" s="4">
        <f>IF(Grandview_Inventory[[#This Row],[bldg_style]]="",1,_xlfn.IFNA(VLOOKUP(Grandview_Inventory[[#This Row],[decade]],Lookups!$F$29:$H$43,3,FALSE),1))</f>
        <v>0.98031878267063854</v>
      </c>
      <c r="BW622" s="4">
        <f>_xlfn.IFNA(VLOOKUP(Grandview_Inventory[[#This Row],[living_area_range]],Lookups!$F$47:$H$56,3,FALSE),1)</f>
        <v>0.96120133463014379</v>
      </c>
      <c r="BX622" s="4">
        <f>AVERAGE(Grandview_Inventory[[#This Row],[qual_adj]:[size_adj]])</f>
        <v>0.97346285915486686</v>
      </c>
      <c r="BY622" s="6">
        <f>IF(Grandview_Inventory[[#This Row],[pre_res]]&lt;0,0,Grandview_Inventory[[#This Row],[pre_res]]*Grandview_Inventory[[#This Row],[overall_adj]])</f>
        <v>275277.27252256166</v>
      </c>
      <c r="BZ622" s="6">
        <f>(Grandview_Inventory[[#This Row],[sum_land]]-IF(Grandview_Inventory[[#This Row],[no_utilities]]=1,12000,0))/IF(Grandview_Inventory[[#This Row],[unbuildable]]=1,2,1)</f>
        <v>50650.651579114572</v>
      </c>
      <c r="CA62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22">
        <f>ROUND(Grandview_Inventory[[#This Row],[det_value]]*Lookups!$M$28,-2)</f>
        <v>0</v>
      </c>
      <c r="CC622">
        <f>IF(ROUND(Grandview_Inventory[[#This Row],[adj_res]]*Lookups!$M$28,-2)&lt;Grandview_Inventory[[#This Row],[min_res]],Grandview_Inventory[[#This Row],[min_res]],ROUND(Grandview_Inventory[[#This Row],[adj_res]]*Lookups!$M$28,-2))</f>
        <v>261500</v>
      </c>
      <c r="CD622">
        <f>Grandview_Inventory[[#This Row],[final_det]]+Grandview_Inventory[[#This Row],[final_res]]</f>
        <v>261500</v>
      </c>
      <c r="CE622">
        <f>Grandview_Inventory[[#This Row],[final_land]]+Grandview_Inventory[[#This Row],[final_imp]]+Grandview_Inventory[[#This Row],[crop_value]]</f>
        <v>309600</v>
      </c>
      <c r="CG622" t="str">
        <f t="shared" si="9"/>
        <v>update valuation set market_land =48100, market_bldg=261500, market_total =309600, market_mdno =401, market_date ='9/10/2023' where link_id = (select link_id from parcel where parcel_year = '2024' and parcel_id = '23092224464');</v>
      </c>
    </row>
    <row r="623" spans="1:85" x14ac:dyDescent="0.25">
      <c r="A623">
        <v>23092224470</v>
      </c>
      <c r="B623">
        <v>0.25</v>
      </c>
      <c r="C623">
        <v>10767</v>
      </c>
      <c r="D623" t="s">
        <v>129</v>
      </c>
      <c r="E623" t="s">
        <v>53</v>
      </c>
      <c r="F623" t="s">
        <v>53</v>
      </c>
      <c r="G623">
        <v>4</v>
      </c>
      <c r="H623" t="s">
        <v>54</v>
      </c>
      <c r="I623">
        <v>227800</v>
      </c>
      <c r="J623">
        <v>44400</v>
      </c>
      <c r="K623">
        <v>0.25</v>
      </c>
      <c r="L623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23">
        <v>0</v>
      </c>
      <c r="N623">
        <v>0</v>
      </c>
      <c r="O623">
        <v>0</v>
      </c>
      <c r="P623">
        <v>13398.7528</v>
      </c>
      <c r="Q623">
        <v>63903</v>
      </c>
      <c r="R623">
        <f>(Grandview_Inventory[[#This Row],[ln_acres]]*Grandview_Inventory[[#This Row],[coeff]])+Grandview_Inventory[[#This Row],[const]]</f>
        <v>45328.38454732066</v>
      </c>
      <c r="S623" t="s">
        <v>58</v>
      </c>
      <c r="T623">
        <v>1</v>
      </c>
      <c r="U623" t="s">
        <v>62</v>
      </c>
      <c r="V623" t="s">
        <v>69</v>
      </c>
      <c r="W623">
        <v>0</v>
      </c>
      <c r="X623">
        <v>0</v>
      </c>
      <c r="Y623">
        <v>33</v>
      </c>
      <c r="Z623">
        <v>33</v>
      </c>
      <c r="AA623">
        <v>40</v>
      </c>
      <c r="AB623">
        <v>2000</v>
      </c>
      <c r="AC623">
        <v>1885</v>
      </c>
      <c r="AD623">
        <v>1885</v>
      </c>
      <c r="AE623">
        <v>0</v>
      </c>
      <c r="AF623">
        <v>0</v>
      </c>
      <c r="AG623">
        <v>0</v>
      </c>
      <c r="AH623">
        <v>0</v>
      </c>
      <c r="AI623">
        <v>483</v>
      </c>
      <c r="AJ623">
        <v>0</v>
      </c>
      <c r="AK623">
        <v>0</v>
      </c>
      <c r="AL623">
        <v>0</v>
      </c>
      <c r="AM623">
        <v>231</v>
      </c>
      <c r="AN623">
        <v>184</v>
      </c>
      <c r="AO623">
        <v>231</v>
      </c>
      <c r="AP623">
        <v>9</v>
      </c>
      <c r="AQ623">
        <v>0</v>
      </c>
      <c r="AR623">
        <v>0</v>
      </c>
      <c r="AS623" t="s">
        <v>58</v>
      </c>
      <c r="AT623">
        <v>1</v>
      </c>
      <c r="AU623" t="s">
        <v>63</v>
      </c>
      <c r="AV623" t="s">
        <v>60</v>
      </c>
      <c r="AW623">
        <v>1</v>
      </c>
      <c r="AX623">
        <v>3</v>
      </c>
      <c r="AY623">
        <v>0</v>
      </c>
      <c r="AZ623">
        <v>0</v>
      </c>
      <c r="BA623">
        <v>100</v>
      </c>
      <c r="BB623">
        <v>100</v>
      </c>
      <c r="BC623">
        <v>100</v>
      </c>
      <c r="BD623">
        <v>100</v>
      </c>
      <c r="BE623">
        <v>1</v>
      </c>
      <c r="BF623">
        <v>15000</v>
      </c>
      <c r="BG623">
        <v>1000</v>
      </c>
      <c r="BH623" s="6">
        <f>Grandview_Inventory[[#This Row],[land_extract]]*Lookups!$B$3</f>
        <v>52639.730588165206</v>
      </c>
      <c r="BI623" s="6">
        <f>IF(Grandview_Inventory[[#This Row],[bldg_style]]="",0,Lookups!$B$2)</f>
        <v>155833.95000000001</v>
      </c>
      <c r="BJ623" s="6">
        <f>_xlfn.IFNA(VLOOKUP(Grandview_Inventory[[#This Row],[quality]],Lookups!$H$2:$J$14,3,FALSE),0)</f>
        <v>9808</v>
      </c>
      <c r="BK623" s="6">
        <f>_xlfn.IFNA(VLOOKUP(Grandview_Inventory[[#This Row],[condition]],Lookups!$H$17:$J$24,3,FALSE),0)</f>
        <v>-4503</v>
      </c>
      <c r="BL623" s="6">
        <f>Grandview_Inventory[[#This Row],[Eff_Age]]*Lookups!$B$14</f>
        <v>-7892.4977999999992</v>
      </c>
      <c r="BM623" s="6">
        <f>Grandview_Inventory[[#This Row],[living_area]]*Lookups!$B$15</f>
        <v>117587.907905</v>
      </c>
      <c r="BN623" s="6">
        <f>Grandview_Inventory[[#This Row],[Fin BSMT]]*Lookups!$B$16</f>
        <v>0</v>
      </c>
      <c r="BO623" s="6">
        <f>(Grandview_Inventory[[#This Row],[att_gar]]+Grandview_Inventory[[#This Row],[bltin_gar]])*Lookups!$B$17</f>
        <v>42272.371071000001</v>
      </c>
      <c r="BP623" s="6">
        <f>Grandview_Inventory[[#This Row],[Plumbing Fixtures]]*Lookups!$B$18</f>
        <v>18093.976200000001</v>
      </c>
      <c r="BQ623" s="6">
        <f>Grandview_Inventory[[#This Row],[detatched_value]]*Lookups!$B$19</f>
        <v>0</v>
      </c>
      <c r="BR623" s="6">
        <f>SUM(Grandview_Inventory[[#This Row],[Intercept]:[det_value]])*Grandview_Inventory[[#This Row],[res_pct]]</f>
        <v>331200.70737599995</v>
      </c>
      <c r="BS623" s="6">
        <f>Grandview_Inventory[[#This Row],[land_value]]</f>
        <v>52639.730588165206</v>
      </c>
      <c r="BT623" s="4">
        <f>_xlfn.IFNA(VLOOKUP(Grandview_Inventory[[#This Row],[quality]],Lookups!$A$26:$C$33,3,FALSE),1)</f>
        <v>0.94295468617355149</v>
      </c>
      <c r="BU623" s="4">
        <f>_xlfn.IFNA(VLOOKUP(Grandview_Inventory[[#This Row],[condition]],Lookups!$A$37:$C$44,3,FALSE),1)</f>
        <v>0.96469275950863709</v>
      </c>
      <c r="BV623" s="4">
        <f>IF(Grandview_Inventory[[#This Row],[bldg_style]]="",1,_xlfn.IFNA(VLOOKUP(Grandview_Inventory[[#This Row],[decade]],Lookups!$F$29:$H$43,3,FALSE),1))</f>
        <v>0.98031878267063854</v>
      </c>
      <c r="BW623" s="4">
        <f>_xlfn.IFNA(VLOOKUP(Grandview_Inventory[[#This Row],[living_area_range]],Lookups!$F$47:$H$56,3,FALSE),1)</f>
        <v>0.96120133463014379</v>
      </c>
      <c r="BX623" s="4">
        <f>AVERAGE(Grandview_Inventory[[#This Row],[qual_adj]:[size_adj]])</f>
        <v>0.96229189074574273</v>
      </c>
      <c r="BY623" s="6">
        <f>IF(Grandview_Inventory[[#This Row],[pre_res]]&lt;0,0,Grandview_Inventory[[#This Row],[pre_res]]*Grandview_Inventory[[#This Row],[overall_adj]])</f>
        <v>318711.75491717848</v>
      </c>
      <c r="BZ623" s="6">
        <f>(Grandview_Inventory[[#This Row],[sum_land]]-IF(Grandview_Inventory[[#This Row],[no_utilities]]=1,12000,0))/IF(Grandview_Inventory[[#This Row],[unbuildable]]=1,2,1)</f>
        <v>52639.730588165206</v>
      </c>
      <c r="CA623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23">
        <f>ROUND(Grandview_Inventory[[#This Row],[det_value]]*Lookups!$M$28,-2)</f>
        <v>0</v>
      </c>
      <c r="CC623">
        <f>IF(ROUND(Grandview_Inventory[[#This Row],[adj_res]]*Lookups!$M$28,-2)&lt;Grandview_Inventory[[#This Row],[min_res]],Grandview_Inventory[[#This Row],[min_res]],ROUND(Grandview_Inventory[[#This Row],[adj_res]]*Lookups!$M$28,-2))</f>
        <v>302800</v>
      </c>
      <c r="CD623">
        <f>Grandview_Inventory[[#This Row],[final_det]]+Grandview_Inventory[[#This Row],[final_res]]</f>
        <v>302800</v>
      </c>
      <c r="CE623">
        <f>Grandview_Inventory[[#This Row],[final_land]]+Grandview_Inventory[[#This Row],[final_imp]]+Grandview_Inventory[[#This Row],[crop_value]]</f>
        <v>352800</v>
      </c>
      <c r="CG623" t="str">
        <f t="shared" si="9"/>
        <v>update valuation set market_land =50000, market_bldg=302800, market_total =352800, market_mdno =401, market_date ='9/10/2023' where link_id = (select link_id from parcel where parcel_year = '2024' and parcel_id = '23092224470');</v>
      </c>
    </row>
    <row r="624" spans="1:85" x14ac:dyDescent="0.25">
      <c r="A624">
        <v>23092224471</v>
      </c>
      <c r="B624">
        <v>0.27</v>
      </c>
      <c r="C624" t="s">
        <v>129</v>
      </c>
      <c r="D624" t="s">
        <v>129</v>
      </c>
      <c r="E624" t="s">
        <v>53</v>
      </c>
      <c r="F624" t="s">
        <v>53</v>
      </c>
      <c r="G624">
        <v>4</v>
      </c>
      <c r="H624" t="s">
        <v>54</v>
      </c>
      <c r="I624">
        <v>269600</v>
      </c>
      <c r="J624">
        <v>44500</v>
      </c>
      <c r="K624">
        <v>0.27</v>
      </c>
      <c r="L62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624">
        <v>0</v>
      </c>
      <c r="N624">
        <v>0</v>
      </c>
      <c r="O624">
        <v>0</v>
      </c>
      <c r="P624">
        <v>13398.7528</v>
      </c>
      <c r="Q624">
        <v>63903</v>
      </c>
      <c r="R624">
        <f>(Grandview_Inventory[[#This Row],[ln_acres]]*Grandview_Inventory[[#This Row],[coeff]])+Grandview_Inventory[[#This Row],[const]]</f>
        <v>46359.566512734265</v>
      </c>
      <c r="S624" t="s">
        <v>58</v>
      </c>
      <c r="T624">
        <v>1</v>
      </c>
      <c r="U624" t="s">
        <v>64</v>
      </c>
      <c r="V624" t="s">
        <v>69</v>
      </c>
      <c r="W624">
        <v>0</v>
      </c>
      <c r="X624">
        <v>0</v>
      </c>
      <c r="Y624">
        <v>36</v>
      </c>
      <c r="Z624">
        <v>36</v>
      </c>
      <c r="AA624">
        <v>40</v>
      </c>
      <c r="AB624">
        <v>2500</v>
      </c>
      <c r="AC624">
        <v>2200</v>
      </c>
      <c r="AD624">
        <v>2200</v>
      </c>
      <c r="AE624">
        <v>0</v>
      </c>
      <c r="AF624">
        <v>0</v>
      </c>
      <c r="AG624">
        <v>0</v>
      </c>
      <c r="AH624">
        <v>0</v>
      </c>
      <c r="AI624">
        <v>528</v>
      </c>
      <c r="AJ624">
        <v>0</v>
      </c>
      <c r="AK624">
        <v>0</v>
      </c>
      <c r="AL624">
        <v>0</v>
      </c>
      <c r="AM624">
        <v>0</v>
      </c>
      <c r="AN624">
        <v>372</v>
      </c>
      <c r="AO624">
        <v>0</v>
      </c>
      <c r="AP624">
        <v>10</v>
      </c>
      <c r="AQ624">
        <v>0</v>
      </c>
      <c r="AR624">
        <v>0</v>
      </c>
      <c r="AS624" t="s">
        <v>76</v>
      </c>
      <c r="AT624">
        <v>1</v>
      </c>
      <c r="AU624" t="s">
        <v>59</v>
      </c>
      <c r="AV624" t="s">
        <v>60</v>
      </c>
      <c r="AW624">
        <v>1</v>
      </c>
      <c r="AX624">
        <v>3</v>
      </c>
      <c r="AY624">
        <v>0</v>
      </c>
      <c r="AZ624">
        <v>0</v>
      </c>
      <c r="BA624">
        <v>100</v>
      </c>
      <c r="BB624">
        <v>100</v>
      </c>
      <c r="BC624">
        <v>100</v>
      </c>
      <c r="BD624">
        <v>100</v>
      </c>
      <c r="BE624">
        <v>1</v>
      </c>
      <c r="BF624">
        <v>15000</v>
      </c>
      <c r="BG624">
        <v>1000</v>
      </c>
      <c r="BH624" s="6">
        <f>Grandview_Inventory[[#This Row],[land_extract]]*Lookups!$B$3</f>
        <v>53837.239420408718</v>
      </c>
      <c r="BI624" s="6">
        <f>IF(Grandview_Inventory[[#This Row],[bldg_style]]="",0,Lookups!$B$2)</f>
        <v>155833.95000000001</v>
      </c>
      <c r="BJ624" s="6">
        <f>_xlfn.IFNA(VLOOKUP(Grandview_Inventory[[#This Row],[quality]],Lookups!$H$2:$J$14,3,FALSE),0)</f>
        <v>20768</v>
      </c>
      <c r="BK624" s="6">
        <f>_xlfn.IFNA(VLOOKUP(Grandview_Inventory[[#This Row],[condition]],Lookups!$H$17:$J$24,3,FALSE),0)</f>
        <v>-4503</v>
      </c>
      <c r="BL624" s="6">
        <f>Grandview_Inventory[[#This Row],[Eff_Age]]*Lookups!$B$14</f>
        <v>-8609.9975999999988</v>
      </c>
      <c r="BM624" s="6">
        <f>Grandview_Inventory[[#This Row],[living_area]]*Lookups!$B$15</f>
        <v>137237.87660000002</v>
      </c>
      <c r="BN624" s="6">
        <f>Grandview_Inventory[[#This Row],[Fin BSMT]]*Lookups!$B$16</f>
        <v>0</v>
      </c>
      <c r="BO624" s="6">
        <f>(Grandview_Inventory[[#This Row],[att_gar]]+Grandview_Inventory[[#This Row],[bltin_gar]])*Lookups!$B$17</f>
        <v>46210.790736000003</v>
      </c>
      <c r="BP624" s="6">
        <f>Grandview_Inventory[[#This Row],[Plumbing Fixtures]]*Lookups!$B$18</f>
        <v>20104.418000000001</v>
      </c>
      <c r="BQ624" s="6">
        <f>Grandview_Inventory[[#This Row],[detatched_value]]*Lookups!$B$19</f>
        <v>0</v>
      </c>
      <c r="BR624" s="6">
        <f>SUM(Grandview_Inventory[[#This Row],[Intercept]:[det_value]])*Grandview_Inventory[[#This Row],[res_pct]]</f>
        <v>367042.03773600003</v>
      </c>
      <c r="BS624" s="6">
        <f>Grandview_Inventory[[#This Row],[land_value]]</f>
        <v>53837.239420408718</v>
      </c>
      <c r="BT624" s="4">
        <f>_xlfn.IFNA(VLOOKUP(Grandview_Inventory[[#This Row],[quality]],Lookups!$A$26:$C$33,3,FALSE),1)</f>
        <v>0.94960540378902636</v>
      </c>
      <c r="BU624" s="4">
        <f>_xlfn.IFNA(VLOOKUP(Grandview_Inventory[[#This Row],[condition]],Lookups!$A$37:$C$44,3,FALSE),1)</f>
        <v>0.96469275950863709</v>
      </c>
      <c r="BV624" s="4">
        <f>IF(Grandview_Inventory[[#This Row],[bldg_style]]="",1,_xlfn.IFNA(VLOOKUP(Grandview_Inventory[[#This Row],[decade]],Lookups!$F$29:$H$43,3,FALSE),1))</f>
        <v>0.98031878267063854</v>
      </c>
      <c r="BW624" s="4">
        <f>_xlfn.IFNA(VLOOKUP(Grandview_Inventory[[#This Row],[living_area_range]],Lookups!$F$47:$H$56,3,FALSE),1)</f>
        <v>0.95799442568048754</v>
      </c>
      <c r="BX624" s="4">
        <f>AVERAGE(Grandview_Inventory[[#This Row],[qual_adj]:[size_adj]])</f>
        <v>0.96315284291219738</v>
      </c>
      <c r="BY624" s="6">
        <f>IF(Grandview_Inventory[[#This Row],[pre_res]]&lt;0,0,Grandview_Inventory[[#This Row],[pre_res]]*Grandview_Inventory[[#This Row],[overall_adj]])</f>
        <v>353517.58211371448</v>
      </c>
      <c r="BZ624" s="6">
        <f>(Grandview_Inventory[[#This Row],[sum_land]]-IF(Grandview_Inventory[[#This Row],[no_utilities]]=1,12000,0))/IF(Grandview_Inventory[[#This Row],[unbuildable]]=1,2,1)</f>
        <v>53837.239420408718</v>
      </c>
      <c r="CA62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624">
        <f>ROUND(Grandview_Inventory[[#This Row],[det_value]]*Lookups!$M$28,-2)</f>
        <v>0</v>
      </c>
      <c r="CC624">
        <f>IF(ROUND(Grandview_Inventory[[#This Row],[adj_res]]*Lookups!$M$28,-2)&lt;Grandview_Inventory[[#This Row],[min_res]],Grandview_Inventory[[#This Row],[min_res]],ROUND(Grandview_Inventory[[#This Row],[adj_res]]*Lookups!$M$28,-2))</f>
        <v>335800</v>
      </c>
      <c r="CD624">
        <f>Grandview_Inventory[[#This Row],[final_det]]+Grandview_Inventory[[#This Row],[final_res]]</f>
        <v>335800</v>
      </c>
      <c r="CE624">
        <f>Grandview_Inventory[[#This Row],[final_land]]+Grandview_Inventory[[#This Row],[final_imp]]+Grandview_Inventory[[#This Row],[crop_value]]</f>
        <v>386900</v>
      </c>
      <c r="CG624" t="str">
        <f t="shared" si="9"/>
        <v>update valuation set market_land =51100, market_bldg=335800, market_total =386900, market_mdno =401, market_date ='9/10/2023' where link_id = (select link_id from parcel where parcel_year = '2024' and parcel_id = '23092224471');</v>
      </c>
    </row>
    <row r="625" spans="1:85" x14ac:dyDescent="0.25">
      <c r="A625">
        <v>23092224473</v>
      </c>
      <c r="B625">
        <v>0.16</v>
      </c>
      <c r="C625">
        <v>7159</v>
      </c>
      <c r="D625" t="s">
        <v>129</v>
      </c>
      <c r="E625" t="s">
        <v>53</v>
      </c>
      <c r="F625" t="s">
        <v>53</v>
      </c>
      <c r="G625">
        <v>4</v>
      </c>
      <c r="H625" t="s">
        <v>54</v>
      </c>
      <c r="I625">
        <v>276200</v>
      </c>
      <c r="J625">
        <v>43000</v>
      </c>
      <c r="K625">
        <v>0.16</v>
      </c>
      <c r="L62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625">
        <v>0</v>
      </c>
      <c r="N625">
        <v>0</v>
      </c>
      <c r="O625">
        <v>0</v>
      </c>
      <c r="P625">
        <v>13398.7528</v>
      </c>
      <c r="Q625">
        <v>63903</v>
      </c>
      <c r="R625">
        <f>(Grandview_Inventory[[#This Row],[ln_acres]]*Grandview_Inventory[[#This Row],[coeff]])+Grandview_Inventory[[#This Row],[const]]</f>
        <v>39348.693981374228</v>
      </c>
      <c r="S625" t="s">
        <v>58</v>
      </c>
      <c r="T625">
        <v>2</v>
      </c>
      <c r="U625" t="s">
        <v>64</v>
      </c>
      <c r="V625" t="s">
        <v>67</v>
      </c>
      <c r="W625">
        <v>0</v>
      </c>
      <c r="X625">
        <v>0</v>
      </c>
      <c r="Y625">
        <v>21</v>
      </c>
      <c r="Z625">
        <v>21</v>
      </c>
      <c r="AA625">
        <v>30</v>
      </c>
      <c r="AB625">
        <v>2000</v>
      </c>
      <c r="AC625">
        <v>1966</v>
      </c>
      <c r="AD625">
        <v>944</v>
      </c>
      <c r="AE625">
        <v>1022</v>
      </c>
      <c r="AF625">
        <v>0</v>
      </c>
      <c r="AG625">
        <v>0</v>
      </c>
      <c r="AH625">
        <v>0</v>
      </c>
      <c r="AI625">
        <v>480</v>
      </c>
      <c r="AJ625">
        <v>0</v>
      </c>
      <c r="AK625">
        <v>0</v>
      </c>
      <c r="AL625">
        <v>112</v>
      </c>
      <c r="AM625">
        <v>140</v>
      </c>
      <c r="AN625">
        <v>100</v>
      </c>
      <c r="AO625">
        <v>0</v>
      </c>
      <c r="AP625">
        <v>12</v>
      </c>
      <c r="AQ625">
        <v>0</v>
      </c>
      <c r="AR625">
        <v>0</v>
      </c>
      <c r="AS625" t="s">
        <v>58</v>
      </c>
      <c r="AT625">
        <v>1</v>
      </c>
      <c r="AU625" t="s">
        <v>63</v>
      </c>
      <c r="AV625" t="s">
        <v>64</v>
      </c>
      <c r="AW625">
        <v>1</v>
      </c>
      <c r="AX625">
        <v>4</v>
      </c>
      <c r="AY625">
        <v>0</v>
      </c>
      <c r="AZ625">
        <v>0</v>
      </c>
      <c r="BA625">
        <v>100</v>
      </c>
      <c r="BB625">
        <v>100</v>
      </c>
      <c r="BC625">
        <v>100</v>
      </c>
      <c r="BD625">
        <v>100</v>
      </c>
      <c r="BE625">
        <v>1</v>
      </c>
      <c r="BF625">
        <v>15000</v>
      </c>
      <c r="BG625">
        <v>1000</v>
      </c>
      <c r="BH625" s="6">
        <f>Grandview_Inventory[[#This Row],[land_extract]]*Lookups!$B$3</f>
        <v>45695.532079096141</v>
      </c>
      <c r="BI625" s="6">
        <f>IF(Grandview_Inventory[[#This Row],[bldg_style]]="",0,Lookups!$B$2)</f>
        <v>155833.95000000001</v>
      </c>
      <c r="BJ625" s="6">
        <f>_xlfn.IFNA(VLOOKUP(Grandview_Inventory[[#This Row],[quality]],Lookups!$H$2:$J$14,3,FALSE),0)</f>
        <v>20768</v>
      </c>
      <c r="BK625" s="6">
        <f>_xlfn.IFNA(VLOOKUP(Grandview_Inventory[[#This Row],[condition]],Lookups!$H$17:$J$24,3,FALSE),0)</f>
        <v>22342</v>
      </c>
      <c r="BL625" s="6">
        <f>Grandview_Inventory[[#This Row],[Eff_Age]]*Lookups!$B$14</f>
        <v>-5022.4985999999999</v>
      </c>
      <c r="BM625" s="6">
        <f>Grandview_Inventory[[#This Row],[living_area]]*Lookups!$B$15</f>
        <v>122640.756998</v>
      </c>
      <c r="BN625" s="6">
        <f>Grandview_Inventory[[#This Row],[Fin BSMT]]*Lookups!$B$16</f>
        <v>0</v>
      </c>
      <c r="BO625" s="6">
        <f>(Grandview_Inventory[[#This Row],[att_gar]]+Grandview_Inventory[[#This Row],[bltin_gar]])*Lookups!$B$17</f>
        <v>42009.809760000004</v>
      </c>
      <c r="BP625" s="6">
        <f>Grandview_Inventory[[#This Row],[Plumbing Fixtures]]*Lookups!$B$18</f>
        <v>24125.301599999999</v>
      </c>
      <c r="BQ625" s="6">
        <f>Grandview_Inventory[[#This Row],[detatched_value]]*Lookups!$B$19</f>
        <v>0</v>
      </c>
      <c r="BR625" s="6">
        <f>SUM(Grandview_Inventory[[#This Row],[Intercept]:[det_value]])*Grandview_Inventory[[#This Row],[res_pct]]</f>
        <v>382697.31975799997</v>
      </c>
      <c r="BS625" s="6">
        <f>Grandview_Inventory[[#This Row],[land_value]]</f>
        <v>45695.532079096141</v>
      </c>
      <c r="BT625" s="4">
        <f>_xlfn.IFNA(VLOOKUP(Grandview_Inventory[[#This Row],[quality]],Lookups!$A$26:$C$33,3,FALSE),1)</f>
        <v>0.94960540378902636</v>
      </c>
      <c r="BU625" s="4">
        <f>_xlfn.IFNA(VLOOKUP(Grandview_Inventory[[#This Row],[condition]],Lookups!$A$37:$C$44,3,FALSE),1)</f>
        <v>0.97383723671140243</v>
      </c>
      <c r="BV625" s="4">
        <f>IF(Grandview_Inventory[[#This Row],[bldg_style]]="",1,_xlfn.IFNA(VLOOKUP(Grandview_Inventory[[#This Row],[decade]],Lookups!$F$29:$H$43,3,FALSE),1))</f>
        <v>0.98397821291089549</v>
      </c>
      <c r="BW625" s="4">
        <f>_xlfn.IFNA(VLOOKUP(Grandview_Inventory[[#This Row],[living_area_range]],Lookups!$F$47:$H$56,3,FALSE),1)</f>
        <v>0.96120133463014379</v>
      </c>
      <c r="BX625" s="4">
        <f>AVERAGE(Grandview_Inventory[[#This Row],[qual_adj]:[size_adj]])</f>
        <v>0.96715554701036699</v>
      </c>
      <c r="BY625" s="6">
        <f>IF(Grandview_Inventory[[#This Row],[pre_res]]&lt;0,0,Grandview_Inventory[[#This Row],[pre_res]]*Grandview_Inventory[[#This Row],[overall_adj]])</f>
        <v>370127.83562994981</v>
      </c>
      <c r="BZ625" s="6">
        <f>(Grandview_Inventory[[#This Row],[sum_land]]-IF(Grandview_Inventory[[#This Row],[no_utilities]]=1,12000,0))/IF(Grandview_Inventory[[#This Row],[unbuildable]]=1,2,1)</f>
        <v>45695.532079096141</v>
      </c>
      <c r="CA62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625">
        <f>ROUND(Grandview_Inventory[[#This Row],[det_value]]*Lookups!$M$28,-2)</f>
        <v>0</v>
      </c>
      <c r="CC625">
        <f>IF(ROUND(Grandview_Inventory[[#This Row],[adj_res]]*Lookups!$M$28,-2)&lt;Grandview_Inventory[[#This Row],[min_res]],Grandview_Inventory[[#This Row],[min_res]],ROUND(Grandview_Inventory[[#This Row],[adj_res]]*Lookups!$M$28,-2))</f>
        <v>351600</v>
      </c>
      <c r="CD625">
        <f>Grandview_Inventory[[#This Row],[final_det]]+Grandview_Inventory[[#This Row],[final_res]]</f>
        <v>351600</v>
      </c>
      <c r="CE625">
        <f>Grandview_Inventory[[#This Row],[final_land]]+Grandview_Inventory[[#This Row],[final_imp]]+Grandview_Inventory[[#This Row],[crop_value]]</f>
        <v>395000</v>
      </c>
      <c r="CG625" t="str">
        <f t="shared" si="9"/>
        <v>update valuation set market_land =43400, market_bldg=351600, market_total =395000, market_mdno =401, market_date ='9/10/2023' where link_id = (select link_id from parcel where parcel_year = '2024' and parcel_id = '23092224473');</v>
      </c>
    </row>
    <row r="626" spans="1:85" x14ac:dyDescent="0.25">
      <c r="A626">
        <v>23092224476</v>
      </c>
      <c r="B626">
        <v>0.22</v>
      </c>
      <c r="C626">
        <v>9422</v>
      </c>
      <c r="D626" t="s">
        <v>129</v>
      </c>
      <c r="E626" t="s">
        <v>53</v>
      </c>
      <c r="F626" t="s">
        <v>53</v>
      </c>
      <c r="G626">
        <v>4</v>
      </c>
      <c r="H626" t="s">
        <v>54</v>
      </c>
      <c r="I626">
        <v>287100</v>
      </c>
      <c r="J626">
        <v>43800</v>
      </c>
      <c r="K626">
        <v>0.22</v>
      </c>
      <c r="L62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26">
        <v>0</v>
      </c>
      <c r="N626">
        <v>0</v>
      </c>
      <c r="O626">
        <v>0</v>
      </c>
      <c r="P626">
        <v>13398.7528</v>
      </c>
      <c r="Q626">
        <v>63903</v>
      </c>
      <c r="R626">
        <f>(Grandview_Inventory[[#This Row],[ln_acres]]*Grandview_Inventory[[#This Row],[coeff]])+Grandview_Inventory[[#This Row],[const]]</f>
        <v>43615.576802869145</v>
      </c>
      <c r="S626" t="s">
        <v>58</v>
      </c>
      <c r="T626">
        <v>1</v>
      </c>
      <c r="U626" t="s">
        <v>62</v>
      </c>
      <c r="V626" t="s">
        <v>67</v>
      </c>
      <c r="W626">
        <v>0</v>
      </c>
      <c r="X626">
        <v>0</v>
      </c>
      <c r="Y626">
        <v>23</v>
      </c>
      <c r="Z626">
        <v>23</v>
      </c>
      <c r="AA626">
        <v>30</v>
      </c>
      <c r="AB626">
        <v>2500</v>
      </c>
      <c r="AC626">
        <v>2028</v>
      </c>
      <c r="AD626">
        <v>2028</v>
      </c>
      <c r="AE626">
        <v>0</v>
      </c>
      <c r="AF626">
        <v>0</v>
      </c>
      <c r="AG626">
        <v>0</v>
      </c>
      <c r="AH626">
        <v>0</v>
      </c>
      <c r="AI626">
        <v>682</v>
      </c>
      <c r="AJ626">
        <v>0</v>
      </c>
      <c r="AK626">
        <v>0</v>
      </c>
      <c r="AL626">
        <v>0</v>
      </c>
      <c r="AM626">
        <v>280</v>
      </c>
      <c r="AN626">
        <v>60</v>
      </c>
      <c r="AO626">
        <v>128</v>
      </c>
      <c r="AP626">
        <v>11</v>
      </c>
      <c r="AQ626">
        <v>0</v>
      </c>
      <c r="AR626">
        <v>0</v>
      </c>
      <c r="AS626" t="s">
        <v>58</v>
      </c>
      <c r="AT626">
        <v>1</v>
      </c>
      <c r="AU626" t="s">
        <v>63</v>
      </c>
      <c r="AV626" t="s">
        <v>64</v>
      </c>
      <c r="AW626">
        <v>1</v>
      </c>
      <c r="AX626">
        <v>3</v>
      </c>
      <c r="AY626">
        <v>0</v>
      </c>
      <c r="AZ626">
        <v>0</v>
      </c>
      <c r="BA626">
        <v>100</v>
      </c>
      <c r="BB626">
        <v>100</v>
      </c>
      <c r="BC626">
        <v>100</v>
      </c>
      <c r="BD626">
        <v>100</v>
      </c>
      <c r="BE626">
        <v>1</v>
      </c>
      <c r="BF626">
        <v>15000</v>
      </c>
      <c r="BG626">
        <v>1000</v>
      </c>
      <c r="BH626" s="6">
        <f>Grandview_Inventory[[#This Row],[land_extract]]*Lookups!$B$3</f>
        <v>50650.651579114572</v>
      </c>
      <c r="BI626" s="6">
        <f>IF(Grandview_Inventory[[#This Row],[bldg_style]]="",0,Lookups!$B$2)</f>
        <v>155833.95000000001</v>
      </c>
      <c r="BJ626" s="6">
        <f>_xlfn.IFNA(VLOOKUP(Grandview_Inventory[[#This Row],[quality]],Lookups!$H$2:$J$14,3,FALSE),0)</f>
        <v>9808</v>
      </c>
      <c r="BK626" s="6">
        <f>_xlfn.IFNA(VLOOKUP(Grandview_Inventory[[#This Row],[condition]],Lookups!$H$17:$J$24,3,FALSE),0)</f>
        <v>22342</v>
      </c>
      <c r="BL626" s="6">
        <f>Grandview_Inventory[[#This Row],[Eff_Age]]*Lookups!$B$14</f>
        <v>-5500.8317999999999</v>
      </c>
      <c r="BM626" s="6">
        <f>Grandview_Inventory[[#This Row],[living_area]]*Lookups!$B$15</f>
        <v>126508.369884</v>
      </c>
      <c r="BN626" s="6">
        <f>Grandview_Inventory[[#This Row],[Fin BSMT]]*Lookups!$B$16</f>
        <v>0</v>
      </c>
      <c r="BO626" s="6">
        <f>(Grandview_Inventory[[#This Row],[att_gar]]+Grandview_Inventory[[#This Row],[bltin_gar]])*Lookups!$B$17</f>
        <v>59688.938033999999</v>
      </c>
      <c r="BP626" s="6">
        <f>Grandview_Inventory[[#This Row],[Plumbing Fixtures]]*Lookups!$B$18</f>
        <v>22114.859800000002</v>
      </c>
      <c r="BQ626" s="6">
        <f>Grandview_Inventory[[#This Row],[detatched_value]]*Lookups!$B$19</f>
        <v>0</v>
      </c>
      <c r="BR626" s="6">
        <f>SUM(Grandview_Inventory[[#This Row],[Intercept]:[det_value]])*Grandview_Inventory[[#This Row],[res_pct]]</f>
        <v>390795.28591799998</v>
      </c>
      <c r="BS626" s="6">
        <f>Grandview_Inventory[[#This Row],[land_value]]</f>
        <v>50650.651579114572</v>
      </c>
      <c r="BT626" s="4">
        <f>_xlfn.IFNA(VLOOKUP(Grandview_Inventory[[#This Row],[quality]],Lookups!$A$26:$C$33,3,FALSE),1)</f>
        <v>0.94295468617355149</v>
      </c>
      <c r="BU626" s="4">
        <f>_xlfn.IFNA(VLOOKUP(Grandview_Inventory[[#This Row],[condition]],Lookups!$A$37:$C$44,3,FALSE),1)</f>
        <v>0.97383723671140243</v>
      </c>
      <c r="BV626" s="4">
        <f>IF(Grandview_Inventory[[#This Row],[bldg_style]]="",1,_xlfn.IFNA(VLOOKUP(Grandview_Inventory[[#This Row],[decade]],Lookups!$F$29:$H$43,3,FALSE),1))</f>
        <v>0.98397821291089549</v>
      </c>
      <c r="BW626" s="4">
        <f>_xlfn.IFNA(VLOOKUP(Grandview_Inventory[[#This Row],[living_area_range]],Lookups!$F$47:$H$56,3,FALSE),1)</f>
        <v>0.95799442568048754</v>
      </c>
      <c r="BX626" s="4">
        <f>AVERAGE(Grandview_Inventory[[#This Row],[qual_adj]:[size_adj]])</f>
        <v>0.96469114036908421</v>
      </c>
      <c r="BY626" s="6">
        <f>IF(Grandview_Inventory[[#This Row],[pre_res]]&lt;0,0,Grandview_Inventory[[#This Row],[pre_res]]*Grandview_Inventory[[#This Row],[overall_adj]])</f>
        <v>376996.75002309773</v>
      </c>
      <c r="BZ626" s="6">
        <f>(Grandview_Inventory[[#This Row],[sum_land]]-IF(Grandview_Inventory[[#This Row],[no_utilities]]=1,12000,0))/IF(Grandview_Inventory[[#This Row],[unbuildable]]=1,2,1)</f>
        <v>50650.651579114572</v>
      </c>
      <c r="CA62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26">
        <f>ROUND(Grandview_Inventory[[#This Row],[det_value]]*Lookups!$M$28,-2)</f>
        <v>0</v>
      </c>
      <c r="CC626">
        <f>IF(ROUND(Grandview_Inventory[[#This Row],[adj_res]]*Lookups!$M$28,-2)&lt;Grandview_Inventory[[#This Row],[min_res]],Grandview_Inventory[[#This Row],[min_res]],ROUND(Grandview_Inventory[[#This Row],[adj_res]]*Lookups!$M$28,-2))</f>
        <v>358100</v>
      </c>
      <c r="CD626">
        <f>Grandview_Inventory[[#This Row],[final_det]]+Grandview_Inventory[[#This Row],[final_res]]</f>
        <v>358100</v>
      </c>
      <c r="CE626">
        <f>Grandview_Inventory[[#This Row],[final_land]]+Grandview_Inventory[[#This Row],[final_imp]]+Grandview_Inventory[[#This Row],[crop_value]]</f>
        <v>406200</v>
      </c>
      <c r="CG626" t="str">
        <f t="shared" si="9"/>
        <v>update valuation set market_land =48100, market_bldg=358100, market_total =406200, market_mdno =401, market_date ='9/10/2023' where link_id = (select link_id from parcel where parcel_year = '2024' and parcel_id = '23092224476');</v>
      </c>
    </row>
    <row r="627" spans="1:85" x14ac:dyDescent="0.25">
      <c r="A627">
        <v>23092224477</v>
      </c>
      <c r="B627">
        <v>0.21</v>
      </c>
      <c r="C627">
        <v>9141</v>
      </c>
      <c r="D627" t="s">
        <v>129</v>
      </c>
      <c r="E627" t="s">
        <v>53</v>
      </c>
      <c r="F627" t="s">
        <v>53</v>
      </c>
      <c r="G627">
        <v>4</v>
      </c>
      <c r="H627" t="s">
        <v>54</v>
      </c>
      <c r="I627">
        <v>229100</v>
      </c>
      <c r="J627">
        <v>43700</v>
      </c>
      <c r="K627">
        <v>0.21</v>
      </c>
      <c r="L62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27">
        <v>0</v>
      </c>
      <c r="N627">
        <v>0</v>
      </c>
      <c r="O627">
        <v>0</v>
      </c>
      <c r="P627">
        <v>13398.7528</v>
      </c>
      <c r="Q627">
        <v>63903</v>
      </c>
      <c r="R627">
        <f>(Grandview_Inventory[[#This Row],[ln_acres]]*Grandview_Inventory[[#This Row],[coeff]])+Grandview_Inventory[[#This Row],[const]]</f>
        <v>42992.266613125081</v>
      </c>
      <c r="S627" t="s">
        <v>61</v>
      </c>
      <c r="T627">
        <v>1</v>
      </c>
      <c r="U627" t="s">
        <v>65</v>
      </c>
      <c r="V627" t="s">
        <v>67</v>
      </c>
      <c r="W627">
        <v>0</v>
      </c>
      <c r="X627">
        <v>0</v>
      </c>
      <c r="Y627">
        <v>25</v>
      </c>
      <c r="Z627">
        <v>25</v>
      </c>
      <c r="AA627">
        <v>30</v>
      </c>
      <c r="AB627">
        <v>2000</v>
      </c>
      <c r="AC627">
        <v>1520</v>
      </c>
      <c r="AD627">
        <v>1520</v>
      </c>
      <c r="AE627">
        <v>0</v>
      </c>
      <c r="AF627">
        <v>0</v>
      </c>
      <c r="AG627">
        <v>0</v>
      </c>
      <c r="AH627">
        <v>0</v>
      </c>
      <c r="AI627">
        <v>441</v>
      </c>
      <c r="AJ627">
        <v>0</v>
      </c>
      <c r="AK627">
        <v>0</v>
      </c>
      <c r="AL627">
        <v>240</v>
      </c>
      <c r="AM627">
        <v>0</v>
      </c>
      <c r="AN627">
        <v>120</v>
      </c>
      <c r="AO627">
        <v>240</v>
      </c>
      <c r="AP627">
        <v>8</v>
      </c>
      <c r="AQ627">
        <v>0</v>
      </c>
      <c r="AR627">
        <v>0</v>
      </c>
      <c r="AS627" t="s">
        <v>58</v>
      </c>
      <c r="AT627">
        <v>1</v>
      </c>
      <c r="AU627" t="s">
        <v>63</v>
      </c>
      <c r="AV627" t="s">
        <v>64</v>
      </c>
      <c r="AW627">
        <v>1</v>
      </c>
      <c r="AX627">
        <v>3</v>
      </c>
      <c r="AY627">
        <v>0</v>
      </c>
      <c r="AZ627">
        <v>0</v>
      </c>
      <c r="BA627">
        <v>100</v>
      </c>
      <c r="BB627">
        <v>100</v>
      </c>
      <c r="BC627">
        <v>100</v>
      </c>
      <c r="BD627">
        <v>100</v>
      </c>
      <c r="BE627">
        <v>1</v>
      </c>
      <c r="BF627">
        <v>15000</v>
      </c>
      <c r="BG627">
        <v>1000</v>
      </c>
      <c r="BH627" s="6">
        <f>Grandview_Inventory[[#This Row],[land_extract]]*Lookups!$B$3</f>
        <v>49926.8031387023</v>
      </c>
      <c r="BI627" s="6">
        <f>IF(Grandview_Inventory[[#This Row],[bldg_style]]="",0,Lookups!$B$2)</f>
        <v>155833.95000000001</v>
      </c>
      <c r="BJ627" s="6">
        <f>_xlfn.IFNA(VLOOKUP(Grandview_Inventory[[#This Row],[quality]],Lookups!$H$2:$J$14,3,FALSE),0)</f>
        <v>2251</v>
      </c>
      <c r="BK627" s="6">
        <f>_xlfn.IFNA(VLOOKUP(Grandview_Inventory[[#This Row],[condition]],Lookups!$H$17:$J$24,3,FALSE),0)</f>
        <v>22342</v>
      </c>
      <c r="BL627" s="6">
        <f>Grandview_Inventory[[#This Row],[Eff_Age]]*Lookups!$B$14</f>
        <v>-5979.165</v>
      </c>
      <c r="BM627" s="6">
        <f>Grandview_Inventory[[#This Row],[living_area]]*Lookups!$B$15</f>
        <v>94818.896560000008</v>
      </c>
      <c r="BN627" s="6">
        <f>Grandview_Inventory[[#This Row],[Fin BSMT]]*Lookups!$B$16</f>
        <v>0</v>
      </c>
      <c r="BO627" s="6">
        <f>(Grandview_Inventory[[#This Row],[att_gar]]+Grandview_Inventory[[#This Row],[bltin_gar]])*Lookups!$B$17</f>
        <v>38596.512716999998</v>
      </c>
      <c r="BP627" s="6">
        <f>Grandview_Inventory[[#This Row],[Plumbing Fixtures]]*Lookups!$B$18</f>
        <v>16083.5344</v>
      </c>
      <c r="BQ627" s="6">
        <f>Grandview_Inventory[[#This Row],[detatched_value]]*Lookups!$B$19</f>
        <v>0</v>
      </c>
      <c r="BR627" s="6">
        <f>SUM(Grandview_Inventory[[#This Row],[Intercept]:[det_value]])*Grandview_Inventory[[#This Row],[res_pct]]</f>
        <v>323946.72867699998</v>
      </c>
      <c r="BS627" s="6">
        <f>Grandview_Inventory[[#This Row],[land_value]]</f>
        <v>49926.8031387023</v>
      </c>
      <c r="BT627" s="4">
        <f>_xlfn.IFNA(VLOOKUP(Grandview_Inventory[[#This Row],[quality]],Lookups!$A$26:$C$33,3,FALSE),1)</f>
        <v>0.98763855981004833</v>
      </c>
      <c r="BU627" s="4">
        <f>_xlfn.IFNA(VLOOKUP(Grandview_Inventory[[#This Row],[condition]],Lookups!$A$37:$C$44,3,FALSE),1)</f>
        <v>0.97383723671140243</v>
      </c>
      <c r="BV627" s="4">
        <f>IF(Grandview_Inventory[[#This Row],[bldg_style]]="",1,_xlfn.IFNA(VLOOKUP(Grandview_Inventory[[#This Row],[decade]],Lookups!$F$29:$H$43,3,FALSE),1))</f>
        <v>0.98397821291089549</v>
      </c>
      <c r="BW627" s="4">
        <f>_xlfn.IFNA(VLOOKUP(Grandview_Inventory[[#This Row],[living_area_range]],Lookups!$F$47:$H$56,3,FALSE),1)</f>
        <v>0.96120133463014379</v>
      </c>
      <c r="BX627" s="4">
        <f>AVERAGE(Grandview_Inventory[[#This Row],[qual_adj]:[size_adj]])</f>
        <v>0.97666383601562257</v>
      </c>
      <c r="BY627" s="6">
        <f>IF(Grandview_Inventory[[#This Row],[pre_res]]&lt;0,0,Grandview_Inventory[[#This Row],[pre_res]]*Grandview_Inventory[[#This Row],[overall_adj]])</f>
        <v>316387.05469439086</v>
      </c>
      <c r="BZ627" s="6">
        <f>(Grandview_Inventory[[#This Row],[sum_land]]-IF(Grandview_Inventory[[#This Row],[no_utilities]]=1,12000,0))/IF(Grandview_Inventory[[#This Row],[unbuildable]]=1,2,1)</f>
        <v>49926.8031387023</v>
      </c>
      <c r="CA62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27">
        <f>ROUND(Grandview_Inventory[[#This Row],[det_value]]*Lookups!$M$28,-2)</f>
        <v>0</v>
      </c>
      <c r="CC627">
        <f>IF(ROUND(Grandview_Inventory[[#This Row],[adj_res]]*Lookups!$M$28,-2)&lt;Grandview_Inventory[[#This Row],[min_res]],Grandview_Inventory[[#This Row],[min_res]],ROUND(Grandview_Inventory[[#This Row],[adj_res]]*Lookups!$M$28,-2))</f>
        <v>300600</v>
      </c>
      <c r="CD627">
        <f>Grandview_Inventory[[#This Row],[final_det]]+Grandview_Inventory[[#This Row],[final_res]]</f>
        <v>300600</v>
      </c>
      <c r="CE627">
        <f>Grandview_Inventory[[#This Row],[final_land]]+Grandview_Inventory[[#This Row],[final_imp]]+Grandview_Inventory[[#This Row],[crop_value]]</f>
        <v>348000</v>
      </c>
      <c r="CG627" t="str">
        <f t="shared" si="9"/>
        <v>update valuation set market_land =47400, market_bldg=300600, market_total =348000, market_mdno =401, market_date ='9/10/2023' where link_id = (select link_id from parcel where parcel_year = '2024' and parcel_id = '23092224477');</v>
      </c>
    </row>
    <row r="628" spans="1:85" x14ac:dyDescent="0.25">
      <c r="A628">
        <v>23092224478</v>
      </c>
      <c r="B628">
        <v>0.22</v>
      </c>
      <c r="C628">
        <v>9740</v>
      </c>
      <c r="D628" t="s">
        <v>129</v>
      </c>
      <c r="E628" t="s">
        <v>53</v>
      </c>
      <c r="F628" t="s">
        <v>53</v>
      </c>
      <c r="G628">
        <v>4</v>
      </c>
      <c r="H628" t="s">
        <v>54</v>
      </c>
      <c r="I628">
        <v>281700</v>
      </c>
      <c r="J628">
        <v>43800</v>
      </c>
      <c r="K628">
        <v>0.22</v>
      </c>
      <c r="L628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28">
        <v>0</v>
      </c>
      <c r="N628">
        <v>0</v>
      </c>
      <c r="O628">
        <v>0</v>
      </c>
      <c r="P628">
        <v>13398.7528</v>
      </c>
      <c r="Q628">
        <v>63903</v>
      </c>
      <c r="R628">
        <f>(Grandview_Inventory[[#This Row],[ln_acres]]*Grandview_Inventory[[#This Row],[coeff]])+Grandview_Inventory[[#This Row],[const]]</f>
        <v>43615.576802869145</v>
      </c>
      <c r="S628" t="s">
        <v>58</v>
      </c>
      <c r="T628">
        <v>2</v>
      </c>
      <c r="U628" t="s">
        <v>64</v>
      </c>
      <c r="V628" t="s">
        <v>66</v>
      </c>
      <c r="W628">
        <v>0</v>
      </c>
      <c r="X628">
        <v>0</v>
      </c>
      <c r="Y628">
        <v>21</v>
      </c>
      <c r="Z628">
        <v>21</v>
      </c>
      <c r="AA628">
        <v>30</v>
      </c>
      <c r="AB628">
        <v>2500</v>
      </c>
      <c r="AC628">
        <v>2157</v>
      </c>
      <c r="AD628">
        <v>1064</v>
      </c>
      <c r="AE628">
        <v>1093</v>
      </c>
      <c r="AF628">
        <v>0</v>
      </c>
      <c r="AG628">
        <v>0</v>
      </c>
      <c r="AH628">
        <v>0</v>
      </c>
      <c r="AI628">
        <v>418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13</v>
      </c>
      <c r="AQ628">
        <v>0</v>
      </c>
      <c r="AR628">
        <v>0</v>
      </c>
      <c r="AS628" t="s">
        <v>58</v>
      </c>
      <c r="AT628">
        <v>1</v>
      </c>
      <c r="AU628" t="s">
        <v>63</v>
      </c>
      <c r="AV628" t="s">
        <v>64</v>
      </c>
      <c r="AW628">
        <v>1</v>
      </c>
      <c r="AX628">
        <v>3</v>
      </c>
      <c r="AY628">
        <v>0</v>
      </c>
      <c r="AZ628">
        <v>0</v>
      </c>
      <c r="BA628">
        <v>100</v>
      </c>
      <c r="BB628">
        <v>100</v>
      </c>
      <c r="BC628">
        <v>100</v>
      </c>
      <c r="BD628">
        <v>100</v>
      </c>
      <c r="BE628">
        <v>1</v>
      </c>
      <c r="BF628">
        <v>15000</v>
      </c>
      <c r="BG628">
        <v>1000</v>
      </c>
      <c r="BH628" s="6">
        <f>Grandview_Inventory[[#This Row],[land_extract]]*Lookups!$B$3</f>
        <v>50650.651579114572</v>
      </c>
      <c r="BI628" s="6">
        <f>IF(Grandview_Inventory[[#This Row],[bldg_style]]="",0,Lookups!$B$2)</f>
        <v>155833.95000000001</v>
      </c>
      <c r="BJ628" s="6">
        <f>_xlfn.IFNA(VLOOKUP(Grandview_Inventory[[#This Row],[quality]],Lookups!$H$2:$J$14,3,FALSE),0)</f>
        <v>20768</v>
      </c>
      <c r="BK628" s="6">
        <f>_xlfn.IFNA(VLOOKUP(Grandview_Inventory[[#This Row],[condition]],Lookups!$H$17:$J$24,3,FALSE),0)</f>
        <v>25818</v>
      </c>
      <c r="BL628" s="6">
        <f>Grandview_Inventory[[#This Row],[Eff_Age]]*Lookups!$B$14</f>
        <v>-5022.4985999999999</v>
      </c>
      <c r="BM628" s="6">
        <f>Grandview_Inventory[[#This Row],[living_area]]*Lookups!$B$15</f>
        <v>134555.49992100001</v>
      </c>
      <c r="BN628" s="6">
        <f>Grandview_Inventory[[#This Row],[Fin BSMT]]*Lookups!$B$16</f>
        <v>0</v>
      </c>
      <c r="BO628" s="6">
        <f>(Grandview_Inventory[[#This Row],[att_gar]]+Grandview_Inventory[[#This Row],[bltin_gar]])*Lookups!$B$17</f>
        <v>36583.542666000001</v>
      </c>
      <c r="BP628" s="6">
        <f>Grandview_Inventory[[#This Row],[Plumbing Fixtures]]*Lookups!$B$18</f>
        <v>26135.743399999999</v>
      </c>
      <c r="BQ628" s="6">
        <f>Grandview_Inventory[[#This Row],[detatched_value]]*Lookups!$B$19</f>
        <v>0</v>
      </c>
      <c r="BR628" s="6">
        <f>SUM(Grandview_Inventory[[#This Row],[Intercept]:[det_value]])*Grandview_Inventory[[#This Row],[res_pct]]</f>
        <v>394672.237387</v>
      </c>
      <c r="BS628" s="6">
        <f>Grandview_Inventory[[#This Row],[land_value]]</f>
        <v>50650.651579114572</v>
      </c>
      <c r="BT628" s="4">
        <f>_xlfn.IFNA(VLOOKUP(Grandview_Inventory[[#This Row],[quality]],Lookups!$A$26:$C$33,3,FALSE),1)</f>
        <v>0.94960540378902636</v>
      </c>
      <c r="BU628" s="4">
        <f>_xlfn.IFNA(VLOOKUP(Grandview_Inventory[[#This Row],[condition]],Lookups!$A$37:$C$44,3,FALSE),1)</f>
        <v>0.96661476234146892</v>
      </c>
      <c r="BV628" s="4">
        <f>IF(Grandview_Inventory[[#This Row],[bldg_style]]="",1,_xlfn.IFNA(VLOOKUP(Grandview_Inventory[[#This Row],[decade]],Lookups!$F$29:$H$43,3,FALSE),1))</f>
        <v>0.98397821291089549</v>
      </c>
      <c r="BW628" s="4">
        <f>_xlfn.IFNA(VLOOKUP(Grandview_Inventory[[#This Row],[living_area_range]],Lookups!$F$47:$H$56,3,FALSE),1)</f>
        <v>0.95799442568048754</v>
      </c>
      <c r="BX628" s="4">
        <f>AVERAGE(Grandview_Inventory[[#This Row],[qual_adj]:[size_adj]])</f>
        <v>0.96454820118046958</v>
      </c>
      <c r="BY628" s="6">
        <f>IF(Grandview_Inventory[[#This Row],[pre_res]]&lt;0,0,Grandview_Inventory[[#This Row],[pre_res]]*Grandview_Inventory[[#This Row],[overall_adj]])</f>
        <v>380680.39662750211</v>
      </c>
      <c r="BZ628" s="6">
        <f>(Grandview_Inventory[[#This Row],[sum_land]]-IF(Grandview_Inventory[[#This Row],[no_utilities]]=1,12000,0))/IF(Grandview_Inventory[[#This Row],[unbuildable]]=1,2,1)</f>
        <v>50650.651579114572</v>
      </c>
      <c r="CA628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28">
        <f>ROUND(Grandview_Inventory[[#This Row],[det_value]]*Lookups!$M$28,-2)</f>
        <v>0</v>
      </c>
      <c r="CC628">
        <f>IF(ROUND(Grandview_Inventory[[#This Row],[adj_res]]*Lookups!$M$28,-2)&lt;Grandview_Inventory[[#This Row],[min_res]],Grandview_Inventory[[#This Row],[min_res]],ROUND(Grandview_Inventory[[#This Row],[adj_res]]*Lookups!$M$28,-2))</f>
        <v>361600</v>
      </c>
      <c r="CD628">
        <f>Grandview_Inventory[[#This Row],[final_det]]+Grandview_Inventory[[#This Row],[final_res]]</f>
        <v>361600</v>
      </c>
      <c r="CE628">
        <f>Grandview_Inventory[[#This Row],[final_land]]+Grandview_Inventory[[#This Row],[final_imp]]+Grandview_Inventory[[#This Row],[crop_value]]</f>
        <v>409700</v>
      </c>
      <c r="CG628" t="str">
        <f t="shared" si="9"/>
        <v>update valuation set market_land =48100, market_bldg=361600, market_total =409700, market_mdno =401, market_date ='9/10/2023' where link_id = (select link_id from parcel where parcel_year = '2024' and parcel_id = '23092224478');</v>
      </c>
    </row>
    <row r="629" spans="1:85" x14ac:dyDescent="0.25">
      <c r="A629">
        <v>23092224479</v>
      </c>
      <c r="B629">
        <v>0.26</v>
      </c>
      <c r="C629">
        <v>11302</v>
      </c>
      <c r="D629" t="s">
        <v>129</v>
      </c>
      <c r="E629" t="s">
        <v>53</v>
      </c>
      <c r="F629" t="s">
        <v>53</v>
      </c>
      <c r="G629">
        <v>4</v>
      </c>
      <c r="H629" t="s">
        <v>54</v>
      </c>
      <c r="I629">
        <v>293800</v>
      </c>
      <c r="J629">
        <v>44500</v>
      </c>
      <c r="K629">
        <v>0.26</v>
      </c>
      <c r="L629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629">
        <v>0</v>
      </c>
      <c r="N629">
        <v>0</v>
      </c>
      <c r="O629">
        <v>0</v>
      </c>
      <c r="P629">
        <v>13398.7528</v>
      </c>
      <c r="Q629">
        <v>63903</v>
      </c>
      <c r="R629">
        <f>(Grandview_Inventory[[#This Row],[ln_acres]]*Grandview_Inventory[[#This Row],[coeff]])+Grandview_Inventory[[#This Row],[const]]</f>
        <v>45853.893187501177</v>
      </c>
      <c r="S629" t="s">
        <v>58</v>
      </c>
      <c r="T629">
        <v>1</v>
      </c>
      <c r="U629" t="s">
        <v>64</v>
      </c>
      <c r="V629" t="s">
        <v>66</v>
      </c>
      <c r="W629">
        <v>0</v>
      </c>
      <c r="X629">
        <v>0</v>
      </c>
      <c r="Y629">
        <v>26</v>
      </c>
      <c r="Z629">
        <v>26</v>
      </c>
      <c r="AA629">
        <v>30</v>
      </c>
      <c r="AB629">
        <v>2500</v>
      </c>
      <c r="AC629">
        <v>2123</v>
      </c>
      <c r="AD629">
        <v>2123</v>
      </c>
      <c r="AE629">
        <v>0</v>
      </c>
      <c r="AF629">
        <v>0</v>
      </c>
      <c r="AG629">
        <v>0</v>
      </c>
      <c r="AH629">
        <v>0</v>
      </c>
      <c r="AI629">
        <v>441</v>
      </c>
      <c r="AJ629">
        <v>0</v>
      </c>
      <c r="AK629">
        <v>0</v>
      </c>
      <c r="AL629">
        <v>0</v>
      </c>
      <c r="AM629">
        <v>204</v>
      </c>
      <c r="AN629">
        <v>341</v>
      </c>
      <c r="AO629">
        <v>0</v>
      </c>
      <c r="AP629">
        <v>11</v>
      </c>
      <c r="AQ629">
        <v>0</v>
      </c>
      <c r="AR629">
        <v>0</v>
      </c>
      <c r="AS629" t="s">
        <v>58</v>
      </c>
      <c r="AT629">
        <v>1</v>
      </c>
      <c r="AU629" t="s">
        <v>59</v>
      </c>
      <c r="AV629" t="s">
        <v>60</v>
      </c>
      <c r="AW629">
        <v>1</v>
      </c>
      <c r="AX629">
        <v>4</v>
      </c>
      <c r="AY629">
        <v>0</v>
      </c>
      <c r="AZ629">
        <v>0</v>
      </c>
      <c r="BA629">
        <v>100</v>
      </c>
      <c r="BB629">
        <v>100</v>
      </c>
      <c r="BC629">
        <v>100</v>
      </c>
      <c r="BD629">
        <v>100</v>
      </c>
      <c r="BE629">
        <v>1</v>
      </c>
      <c r="BF629">
        <v>15000</v>
      </c>
      <c r="BG629">
        <v>1000</v>
      </c>
      <c r="BH629" s="6">
        <f>Grandview_Inventory[[#This Row],[land_extract]]*Lookups!$B$3</f>
        <v>53250.00235313351</v>
      </c>
      <c r="BI629" s="6">
        <f>IF(Grandview_Inventory[[#This Row],[bldg_style]]="",0,Lookups!$B$2)</f>
        <v>155833.95000000001</v>
      </c>
      <c r="BJ629" s="6">
        <f>_xlfn.IFNA(VLOOKUP(Grandview_Inventory[[#This Row],[quality]],Lookups!$H$2:$J$14,3,FALSE),0)</f>
        <v>20768</v>
      </c>
      <c r="BK629" s="6">
        <f>_xlfn.IFNA(VLOOKUP(Grandview_Inventory[[#This Row],[condition]],Lookups!$H$17:$J$24,3,FALSE),0)</f>
        <v>25818</v>
      </c>
      <c r="BL629" s="6">
        <f>Grandview_Inventory[[#This Row],[Eff_Age]]*Lookups!$B$14</f>
        <v>-6218.3315999999995</v>
      </c>
      <c r="BM629" s="6">
        <f>Grandview_Inventory[[#This Row],[living_area]]*Lookups!$B$15</f>
        <v>132434.550919</v>
      </c>
      <c r="BN629" s="6">
        <f>Grandview_Inventory[[#This Row],[Fin BSMT]]*Lookups!$B$16</f>
        <v>0</v>
      </c>
      <c r="BO629" s="6">
        <f>(Grandview_Inventory[[#This Row],[att_gar]]+Grandview_Inventory[[#This Row],[bltin_gar]])*Lookups!$B$17</f>
        <v>38596.512716999998</v>
      </c>
      <c r="BP629" s="6">
        <f>Grandview_Inventory[[#This Row],[Plumbing Fixtures]]*Lookups!$B$18</f>
        <v>22114.859800000002</v>
      </c>
      <c r="BQ629" s="6">
        <f>Grandview_Inventory[[#This Row],[detatched_value]]*Lookups!$B$19</f>
        <v>0</v>
      </c>
      <c r="BR629" s="6">
        <f>SUM(Grandview_Inventory[[#This Row],[Intercept]:[det_value]])*Grandview_Inventory[[#This Row],[res_pct]]</f>
        <v>389347.54183599993</v>
      </c>
      <c r="BS629" s="6">
        <f>Grandview_Inventory[[#This Row],[land_value]]</f>
        <v>53250.00235313351</v>
      </c>
      <c r="BT629" s="4">
        <f>_xlfn.IFNA(VLOOKUP(Grandview_Inventory[[#This Row],[quality]],Lookups!$A$26:$C$33,3,FALSE),1)</f>
        <v>0.94960540378902636</v>
      </c>
      <c r="BU629" s="4">
        <f>_xlfn.IFNA(VLOOKUP(Grandview_Inventory[[#This Row],[condition]],Lookups!$A$37:$C$44,3,FALSE),1)</f>
        <v>0.96661476234146892</v>
      </c>
      <c r="BV629" s="4">
        <f>IF(Grandview_Inventory[[#This Row],[bldg_style]]="",1,_xlfn.IFNA(VLOOKUP(Grandview_Inventory[[#This Row],[decade]],Lookups!$F$29:$H$43,3,FALSE),1))</f>
        <v>0.98397821291089549</v>
      </c>
      <c r="BW629" s="4">
        <f>_xlfn.IFNA(VLOOKUP(Grandview_Inventory[[#This Row],[living_area_range]],Lookups!$F$47:$H$56,3,FALSE),1)</f>
        <v>0.95799442568048754</v>
      </c>
      <c r="BX629" s="4">
        <f>AVERAGE(Grandview_Inventory[[#This Row],[qual_adj]:[size_adj]])</f>
        <v>0.96454820118046958</v>
      </c>
      <c r="BY629" s="6">
        <f>IF(Grandview_Inventory[[#This Row],[pre_res]]&lt;0,0,Grandview_Inventory[[#This Row],[pre_res]]*Grandview_Inventory[[#This Row],[overall_adj]])</f>
        <v>375544.47111195134</v>
      </c>
      <c r="BZ629" s="6">
        <f>(Grandview_Inventory[[#This Row],[sum_land]]-IF(Grandview_Inventory[[#This Row],[no_utilities]]=1,12000,0))/IF(Grandview_Inventory[[#This Row],[unbuildable]]=1,2,1)</f>
        <v>53250.00235313351</v>
      </c>
      <c r="CA629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629">
        <f>ROUND(Grandview_Inventory[[#This Row],[det_value]]*Lookups!$M$28,-2)</f>
        <v>0</v>
      </c>
      <c r="CC629">
        <f>IF(ROUND(Grandview_Inventory[[#This Row],[adj_res]]*Lookups!$M$28,-2)&lt;Grandview_Inventory[[#This Row],[min_res]],Grandview_Inventory[[#This Row],[min_res]],ROUND(Grandview_Inventory[[#This Row],[adj_res]]*Lookups!$M$28,-2))</f>
        <v>356800</v>
      </c>
      <c r="CD629">
        <f>Grandview_Inventory[[#This Row],[final_det]]+Grandview_Inventory[[#This Row],[final_res]]</f>
        <v>356800</v>
      </c>
      <c r="CE629">
        <f>Grandview_Inventory[[#This Row],[final_land]]+Grandview_Inventory[[#This Row],[final_imp]]+Grandview_Inventory[[#This Row],[crop_value]]</f>
        <v>407400</v>
      </c>
      <c r="CG629" t="str">
        <f t="shared" si="9"/>
        <v>update valuation set market_land =50600, market_bldg=356800, market_total =407400, market_mdno =401, market_date ='9/10/2023' where link_id = (select link_id from parcel where parcel_year = '2024' and parcel_id = '23092224479');</v>
      </c>
    </row>
    <row r="630" spans="1:85" x14ac:dyDescent="0.25">
      <c r="A630">
        <v>23092224480</v>
      </c>
      <c r="B630">
        <v>0.23</v>
      </c>
      <c r="C630">
        <v>9914</v>
      </c>
      <c r="D630" t="s">
        <v>129</v>
      </c>
      <c r="E630" t="s">
        <v>53</v>
      </c>
      <c r="F630" t="s">
        <v>53</v>
      </c>
      <c r="G630">
        <v>4</v>
      </c>
      <c r="H630" t="s">
        <v>54</v>
      </c>
      <c r="I630">
        <v>200300</v>
      </c>
      <c r="J630">
        <v>43800</v>
      </c>
      <c r="K630">
        <v>0.23</v>
      </c>
      <c r="L63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30">
        <v>0</v>
      </c>
      <c r="N630">
        <v>0</v>
      </c>
      <c r="O630">
        <v>0</v>
      </c>
      <c r="P630">
        <v>13398.7528</v>
      </c>
      <c r="Q630">
        <v>63903</v>
      </c>
      <c r="R630">
        <f>(Grandview_Inventory[[#This Row],[ln_acres]]*Grandview_Inventory[[#This Row],[coeff]])+Grandview_Inventory[[#This Row],[const]]</f>
        <v>44211.174981080039</v>
      </c>
      <c r="S630" t="s">
        <v>58</v>
      </c>
      <c r="T630">
        <v>1</v>
      </c>
      <c r="U630" t="s">
        <v>62</v>
      </c>
      <c r="V630" t="s">
        <v>69</v>
      </c>
      <c r="W630">
        <v>0</v>
      </c>
      <c r="X630">
        <v>0</v>
      </c>
      <c r="Y630">
        <v>25</v>
      </c>
      <c r="Z630">
        <v>25</v>
      </c>
      <c r="AA630">
        <v>30</v>
      </c>
      <c r="AB630">
        <v>2000</v>
      </c>
      <c r="AC630">
        <v>1506</v>
      </c>
      <c r="AD630">
        <v>1506</v>
      </c>
      <c r="AE630">
        <v>0</v>
      </c>
      <c r="AF630">
        <v>0</v>
      </c>
      <c r="AG630">
        <v>0</v>
      </c>
      <c r="AH630">
        <v>0</v>
      </c>
      <c r="AI630">
        <v>484</v>
      </c>
      <c r="AJ630">
        <v>0</v>
      </c>
      <c r="AK630">
        <v>0</v>
      </c>
      <c r="AL630">
        <v>0</v>
      </c>
      <c r="AM630">
        <v>184</v>
      </c>
      <c r="AN630">
        <v>118</v>
      </c>
      <c r="AO630">
        <v>184</v>
      </c>
      <c r="AP630">
        <v>8</v>
      </c>
      <c r="AQ630">
        <v>0</v>
      </c>
      <c r="AR630">
        <v>0</v>
      </c>
      <c r="AS630" t="s">
        <v>58</v>
      </c>
      <c r="AT630">
        <v>1</v>
      </c>
      <c r="AU630" t="s">
        <v>63</v>
      </c>
      <c r="AV630" t="s">
        <v>64</v>
      </c>
      <c r="AW630">
        <v>1</v>
      </c>
      <c r="AX630">
        <v>3</v>
      </c>
      <c r="AY630">
        <v>0</v>
      </c>
      <c r="AZ630">
        <v>0</v>
      </c>
      <c r="BA630">
        <v>100</v>
      </c>
      <c r="BB630">
        <v>100</v>
      </c>
      <c r="BC630">
        <v>100</v>
      </c>
      <c r="BD630">
        <v>100</v>
      </c>
      <c r="BE630">
        <v>1</v>
      </c>
      <c r="BF630">
        <v>15000</v>
      </c>
      <c r="BG630">
        <v>1000</v>
      </c>
      <c r="BH630" s="6">
        <f>Grandview_Inventory[[#This Row],[land_extract]]*Lookups!$B$3</f>
        <v>51342.318135355803</v>
      </c>
      <c r="BI630" s="6">
        <f>IF(Grandview_Inventory[[#This Row],[bldg_style]]="",0,Lookups!$B$2)</f>
        <v>155833.95000000001</v>
      </c>
      <c r="BJ630" s="6">
        <f>_xlfn.IFNA(VLOOKUP(Grandview_Inventory[[#This Row],[quality]],Lookups!$H$2:$J$14,3,FALSE),0)</f>
        <v>9808</v>
      </c>
      <c r="BK630" s="6">
        <f>_xlfn.IFNA(VLOOKUP(Grandview_Inventory[[#This Row],[condition]],Lookups!$H$17:$J$24,3,FALSE),0)</f>
        <v>-4503</v>
      </c>
      <c r="BL630" s="6">
        <f>Grandview_Inventory[[#This Row],[Eff_Age]]*Lookups!$B$14</f>
        <v>-5979.165</v>
      </c>
      <c r="BM630" s="6">
        <f>Grandview_Inventory[[#This Row],[living_area]]*Lookups!$B$15</f>
        <v>93945.564618000004</v>
      </c>
      <c r="BN630" s="6">
        <f>Grandview_Inventory[[#This Row],[Fin BSMT]]*Lookups!$B$16</f>
        <v>0</v>
      </c>
      <c r="BO630" s="6">
        <f>(Grandview_Inventory[[#This Row],[att_gar]]+Grandview_Inventory[[#This Row],[bltin_gar]])*Lookups!$B$17</f>
        <v>42359.891508000001</v>
      </c>
      <c r="BP630" s="6">
        <f>Grandview_Inventory[[#This Row],[Plumbing Fixtures]]*Lookups!$B$18</f>
        <v>16083.5344</v>
      </c>
      <c r="BQ630" s="6">
        <f>Grandview_Inventory[[#This Row],[detatched_value]]*Lookups!$B$19</f>
        <v>0</v>
      </c>
      <c r="BR630" s="6">
        <f>SUM(Grandview_Inventory[[#This Row],[Intercept]:[det_value]])*Grandview_Inventory[[#This Row],[res_pct]]</f>
        <v>307548.77552600001</v>
      </c>
      <c r="BS630" s="6">
        <f>Grandview_Inventory[[#This Row],[land_value]]</f>
        <v>51342.318135355803</v>
      </c>
      <c r="BT630" s="4">
        <f>_xlfn.IFNA(VLOOKUP(Grandview_Inventory[[#This Row],[quality]],Lookups!$A$26:$C$33,3,FALSE),1)</f>
        <v>0.94295468617355149</v>
      </c>
      <c r="BU630" s="4">
        <f>_xlfn.IFNA(VLOOKUP(Grandview_Inventory[[#This Row],[condition]],Lookups!$A$37:$C$44,3,FALSE),1)</f>
        <v>0.96469275950863709</v>
      </c>
      <c r="BV630" s="4">
        <f>IF(Grandview_Inventory[[#This Row],[bldg_style]]="",1,_xlfn.IFNA(VLOOKUP(Grandview_Inventory[[#This Row],[decade]],Lookups!$F$29:$H$43,3,FALSE),1))</f>
        <v>0.98397821291089549</v>
      </c>
      <c r="BW630" s="4">
        <f>_xlfn.IFNA(VLOOKUP(Grandview_Inventory[[#This Row],[living_area_range]],Lookups!$F$47:$H$56,3,FALSE),1)</f>
        <v>0.96120133463014379</v>
      </c>
      <c r="BX630" s="4">
        <f>AVERAGE(Grandview_Inventory[[#This Row],[qual_adj]:[size_adj]])</f>
        <v>0.96320674830580688</v>
      </c>
      <c r="BY630" s="6">
        <f>IF(Grandview_Inventory[[#This Row],[pre_res]]&lt;0,0,Grandview_Inventory[[#This Row],[pre_res]]*Grandview_Inventory[[#This Row],[overall_adj]])</f>
        <v>296233.05601983098</v>
      </c>
      <c r="BZ630" s="6">
        <f>(Grandview_Inventory[[#This Row],[sum_land]]-IF(Grandview_Inventory[[#This Row],[no_utilities]]=1,12000,0))/IF(Grandview_Inventory[[#This Row],[unbuildable]]=1,2,1)</f>
        <v>51342.318135355803</v>
      </c>
      <c r="CA63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30">
        <f>ROUND(Grandview_Inventory[[#This Row],[det_value]]*Lookups!$M$28,-2)</f>
        <v>0</v>
      </c>
      <c r="CC630">
        <f>IF(ROUND(Grandview_Inventory[[#This Row],[adj_res]]*Lookups!$M$28,-2)&lt;Grandview_Inventory[[#This Row],[min_res]],Grandview_Inventory[[#This Row],[min_res]],ROUND(Grandview_Inventory[[#This Row],[adj_res]]*Lookups!$M$28,-2))</f>
        <v>281400</v>
      </c>
      <c r="CD630">
        <f>Grandview_Inventory[[#This Row],[final_det]]+Grandview_Inventory[[#This Row],[final_res]]</f>
        <v>281400</v>
      </c>
      <c r="CE630">
        <f>Grandview_Inventory[[#This Row],[final_land]]+Grandview_Inventory[[#This Row],[final_imp]]+Grandview_Inventory[[#This Row],[crop_value]]</f>
        <v>330200</v>
      </c>
      <c r="CG630" t="str">
        <f t="shared" si="9"/>
        <v>update valuation set market_land =48800, market_bldg=281400, market_total =330200, market_mdno =401, market_date ='9/10/2023' where link_id = (select link_id from parcel where parcel_year = '2024' and parcel_id = '23092224480');</v>
      </c>
    </row>
    <row r="631" spans="1:85" x14ac:dyDescent="0.25">
      <c r="A631">
        <v>23092224481</v>
      </c>
      <c r="B631">
        <v>0.21</v>
      </c>
      <c r="C631">
        <v>9028</v>
      </c>
      <c r="D631" t="s">
        <v>129</v>
      </c>
      <c r="E631" t="s">
        <v>53</v>
      </c>
      <c r="F631" t="s">
        <v>53</v>
      </c>
      <c r="G631">
        <v>4</v>
      </c>
      <c r="H631" t="s">
        <v>54</v>
      </c>
      <c r="I631">
        <v>231400</v>
      </c>
      <c r="J631">
        <v>43700</v>
      </c>
      <c r="K631">
        <v>0.21</v>
      </c>
      <c r="L63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31">
        <v>0</v>
      </c>
      <c r="N631">
        <v>0</v>
      </c>
      <c r="O631">
        <v>0</v>
      </c>
      <c r="P631">
        <v>13398.7528</v>
      </c>
      <c r="Q631">
        <v>63903</v>
      </c>
      <c r="R631">
        <f>(Grandview_Inventory[[#This Row],[ln_acres]]*Grandview_Inventory[[#This Row],[coeff]])+Grandview_Inventory[[#This Row],[const]]</f>
        <v>42992.266613125081</v>
      </c>
      <c r="S631" t="s">
        <v>58</v>
      </c>
      <c r="T631">
        <v>1</v>
      </c>
      <c r="U631" t="s">
        <v>62</v>
      </c>
      <c r="V631" t="s">
        <v>67</v>
      </c>
      <c r="W631">
        <v>0</v>
      </c>
      <c r="X631">
        <v>0</v>
      </c>
      <c r="Y631">
        <v>24</v>
      </c>
      <c r="Z631">
        <v>24</v>
      </c>
      <c r="AA631">
        <v>30</v>
      </c>
      <c r="AB631">
        <v>1500</v>
      </c>
      <c r="AC631">
        <v>1452</v>
      </c>
      <c r="AD631">
        <v>1452</v>
      </c>
      <c r="AE631">
        <v>0</v>
      </c>
      <c r="AF631">
        <v>0</v>
      </c>
      <c r="AG631">
        <v>0</v>
      </c>
      <c r="AH631">
        <v>0</v>
      </c>
      <c r="AI631">
        <v>400</v>
      </c>
      <c r="AJ631">
        <v>0</v>
      </c>
      <c r="AK631">
        <v>0</v>
      </c>
      <c r="AL631">
        <v>170</v>
      </c>
      <c r="AM631">
        <v>0</v>
      </c>
      <c r="AN631">
        <v>0</v>
      </c>
      <c r="AO631">
        <v>0</v>
      </c>
      <c r="AP631">
        <v>8</v>
      </c>
      <c r="AQ631">
        <v>0</v>
      </c>
      <c r="AR631">
        <v>0</v>
      </c>
      <c r="AS631" t="s">
        <v>58</v>
      </c>
      <c r="AT631">
        <v>1</v>
      </c>
      <c r="AU631" t="s">
        <v>63</v>
      </c>
      <c r="AV631" t="s">
        <v>64</v>
      </c>
      <c r="AW631">
        <v>1</v>
      </c>
      <c r="AX631">
        <v>3</v>
      </c>
      <c r="AY631">
        <v>0</v>
      </c>
      <c r="AZ631">
        <v>0</v>
      </c>
      <c r="BA631">
        <v>100</v>
      </c>
      <c r="BB631">
        <v>100</v>
      </c>
      <c r="BC631">
        <v>100</v>
      </c>
      <c r="BD631">
        <v>100</v>
      </c>
      <c r="BE631">
        <v>1</v>
      </c>
      <c r="BF631">
        <v>15000</v>
      </c>
      <c r="BG631">
        <v>1000</v>
      </c>
      <c r="BH631" s="6">
        <f>Grandview_Inventory[[#This Row],[land_extract]]*Lookups!$B$3</f>
        <v>49926.8031387023</v>
      </c>
      <c r="BI631" s="6">
        <f>IF(Grandview_Inventory[[#This Row],[bldg_style]]="",0,Lookups!$B$2)</f>
        <v>155833.95000000001</v>
      </c>
      <c r="BJ631" s="6">
        <f>_xlfn.IFNA(VLOOKUP(Grandview_Inventory[[#This Row],[quality]],Lookups!$H$2:$J$14,3,FALSE),0)</f>
        <v>9808</v>
      </c>
      <c r="BK631" s="6">
        <f>_xlfn.IFNA(VLOOKUP(Grandview_Inventory[[#This Row],[condition]],Lookups!$H$17:$J$24,3,FALSE),0)</f>
        <v>22342</v>
      </c>
      <c r="BL631" s="6">
        <f>Grandview_Inventory[[#This Row],[Eff_Age]]*Lookups!$B$14</f>
        <v>-5739.9983999999995</v>
      </c>
      <c r="BM631" s="6">
        <f>Grandview_Inventory[[#This Row],[living_area]]*Lookups!$B$15</f>
        <v>90576.998556000006</v>
      </c>
      <c r="BN631" s="6">
        <f>Grandview_Inventory[[#This Row],[Fin BSMT]]*Lookups!$B$16</f>
        <v>0</v>
      </c>
      <c r="BO631" s="6">
        <f>(Grandview_Inventory[[#This Row],[att_gar]]+Grandview_Inventory[[#This Row],[bltin_gar]])*Lookups!$B$17</f>
        <v>35008.174800000001</v>
      </c>
      <c r="BP631" s="6">
        <f>Grandview_Inventory[[#This Row],[Plumbing Fixtures]]*Lookups!$B$18</f>
        <v>16083.5344</v>
      </c>
      <c r="BQ631" s="6">
        <f>Grandview_Inventory[[#This Row],[detatched_value]]*Lookups!$B$19</f>
        <v>0</v>
      </c>
      <c r="BR631" s="6">
        <f>SUM(Grandview_Inventory[[#This Row],[Intercept]:[det_value]])*Grandview_Inventory[[#This Row],[res_pct]]</f>
        <v>323912.65935599996</v>
      </c>
      <c r="BS631" s="6">
        <f>Grandview_Inventory[[#This Row],[land_value]]</f>
        <v>49926.8031387023</v>
      </c>
      <c r="BT631" s="4">
        <f>_xlfn.IFNA(VLOOKUP(Grandview_Inventory[[#This Row],[quality]],Lookups!$A$26:$C$33,3,FALSE),1)</f>
        <v>0.94295468617355149</v>
      </c>
      <c r="BU631" s="4">
        <f>_xlfn.IFNA(VLOOKUP(Grandview_Inventory[[#This Row],[condition]],Lookups!$A$37:$C$44,3,FALSE),1)</f>
        <v>0.97383723671140243</v>
      </c>
      <c r="BV631" s="4">
        <f>IF(Grandview_Inventory[[#This Row],[bldg_style]]="",1,_xlfn.IFNA(VLOOKUP(Grandview_Inventory[[#This Row],[decade]],Lookups!$F$29:$H$43,3,FALSE),1))</f>
        <v>0.98397821291089549</v>
      </c>
      <c r="BW631" s="4">
        <f>_xlfn.IFNA(VLOOKUP(Grandview_Inventory[[#This Row],[living_area_range]],Lookups!$F$47:$H$56,3,FALSE),1)</f>
        <v>0.96135087979789358</v>
      </c>
      <c r="BX631" s="4">
        <f>AVERAGE(Grandview_Inventory[[#This Row],[qual_adj]:[size_adj]])</f>
        <v>0.96553025389843572</v>
      </c>
      <c r="BY631" s="6">
        <f>IF(Grandview_Inventory[[#This Row],[pre_res]]&lt;0,0,Grandview_Inventory[[#This Row],[pre_res]]*Grandview_Inventory[[#This Row],[overall_adj]])</f>
        <v>312747.47222891619</v>
      </c>
      <c r="BZ631" s="6">
        <f>(Grandview_Inventory[[#This Row],[sum_land]]-IF(Grandview_Inventory[[#This Row],[no_utilities]]=1,12000,0))/IF(Grandview_Inventory[[#This Row],[unbuildable]]=1,2,1)</f>
        <v>49926.8031387023</v>
      </c>
      <c r="CA63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31">
        <f>ROUND(Grandview_Inventory[[#This Row],[det_value]]*Lookups!$M$28,-2)</f>
        <v>0</v>
      </c>
      <c r="CC631">
        <f>IF(ROUND(Grandview_Inventory[[#This Row],[adj_res]]*Lookups!$M$28,-2)&lt;Grandview_Inventory[[#This Row],[min_res]],Grandview_Inventory[[#This Row],[min_res]],ROUND(Grandview_Inventory[[#This Row],[adj_res]]*Lookups!$M$28,-2))</f>
        <v>297100</v>
      </c>
      <c r="CD631">
        <f>Grandview_Inventory[[#This Row],[final_det]]+Grandview_Inventory[[#This Row],[final_res]]</f>
        <v>297100</v>
      </c>
      <c r="CE631">
        <f>Grandview_Inventory[[#This Row],[final_land]]+Grandview_Inventory[[#This Row],[final_imp]]+Grandview_Inventory[[#This Row],[crop_value]]</f>
        <v>344500</v>
      </c>
      <c r="CG631" t="str">
        <f t="shared" si="9"/>
        <v>update valuation set market_land =47400, market_bldg=297100, market_total =344500, market_mdno =401, market_date ='9/10/2023' where link_id = (select link_id from parcel where parcel_year = '2024' and parcel_id = '23092224481');</v>
      </c>
    </row>
    <row r="632" spans="1:85" x14ac:dyDescent="0.25">
      <c r="A632">
        <v>23092224482</v>
      </c>
      <c r="B632">
        <v>0.21</v>
      </c>
      <c r="C632">
        <v>8932</v>
      </c>
      <c r="D632" t="s">
        <v>129</v>
      </c>
      <c r="E632" t="s">
        <v>53</v>
      </c>
      <c r="F632" t="s">
        <v>53</v>
      </c>
      <c r="G632">
        <v>4</v>
      </c>
      <c r="H632" t="s">
        <v>54</v>
      </c>
      <c r="I632">
        <v>282300</v>
      </c>
      <c r="J632">
        <v>43500</v>
      </c>
      <c r="K632">
        <v>0.21</v>
      </c>
      <c r="L63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32">
        <v>0</v>
      </c>
      <c r="N632">
        <v>0</v>
      </c>
      <c r="O632">
        <v>0</v>
      </c>
      <c r="P632">
        <v>13398.7528</v>
      </c>
      <c r="Q632">
        <v>63903</v>
      </c>
      <c r="R632">
        <f>(Grandview_Inventory[[#This Row],[ln_acres]]*Grandview_Inventory[[#This Row],[coeff]])+Grandview_Inventory[[#This Row],[const]]</f>
        <v>42992.266613125081</v>
      </c>
      <c r="S632" t="s">
        <v>58</v>
      </c>
      <c r="T632">
        <v>1</v>
      </c>
      <c r="U632" t="s">
        <v>64</v>
      </c>
      <c r="V632" t="s">
        <v>66</v>
      </c>
      <c r="W632">
        <v>0</v>
      </c>
      <c r="X632">
        <v>0</v>
      </c>
      <c r="Y632">
        <v>22</v>
      </c>
      <c r="Z632">
        <v>22</v>
      </c>
      <c r="AA632">
        <v>30</v>
      </c>
      <c r="AB632">
        <v>2500</v>
      </c>
      <c r="AC632">
        <v>2061</v>
      </c>
      <c r="AD632">
        <v>2061</v>
      </c>
      <c r="AE632">
        <v>0</v>
      </c>
      <c r="AF632">
        <v>0</v>
      </c>
      <c r="AG632">
        <v>0</v>
      </c>
      <c r="AH632">
        <v>0</v>
      </c>
      <c r="AI632">
        <v>420</v>
      </c>
      <c r="AJ632">
        <v>0</v>
      </c>
      <c r="AK632">
        <v>0</v>
      </c>
      <c r="AL632">
        <v>0</v>
      </c>
      <c r="AM632">
        <v>0</v>
      </c>
      <c r="AN632">
        <v>92</v>
      </c>
      <c r="AO632">
        <v>0</v>
      </c>
      <c r="AP632">
        <v>8</v>
      </c>
      <c r="AQ632">
        <v>0</v>
      </c>
      <c r="AR632">
        <v>0</v>
      </c>
      <c r="AS632" t="s">
        <v>58</v>
      </c>
      <c r="AT632">
        <v>1</v>
      </c>
      <c r="AU632" t="s">
        <v>63</v>
      </c>
      <c r="AV632" t="s">
        <v>64</v>
      </c>
      <c r="AW632">
        <v>1</v>
      </c>
      <c r="AX632">
        <v>3</v>
      </c>
      <c r="AY632">
        <v>0</v>
      </c>
      <c r="AZ632">
        <v>2800</v>
      </c>
      <c r="BA632">
        <v>100</v>
      </c>
      <c r="BB632">
        <v>100</v>
      </c>
      <c r="BC632">
        <v>100</v>
      </c>
      <c r="BD632">
        <v>100</v>
      </c>
      <c r="BE632">
        <v>1</v>
      </c>
      <c r="BF632">
        <v>15000</v>
      </c>
      <c r="BG632">
        <v>1000</v>
      </c>
      <c r="BH632" s="6">
        <f>Grandview_Inventory[[#This Row],[land_extract]]*Lookups!$B$3</f>
        <v>49926.8031387023</v>
      </c>
      <c r="BI632" s="6">
        <f>IF(Grandview_Inventory[[#This Row],[bldg_style]]="",0,Lookups!$B$2)</f>
        <v>155833.95000000001</v>
      </c>
      <c r="BJ632" s="6">
        <f>_xlfn.IFNA(VLOOKUP(Grandview_Inventory[[#This Row],[quality]],Lookups!$H$2:$J$14,3,FALSE),0)</f>
        <v>20768</v>
      </c>
      <c r="BK632" s="6">
        <f>_xlfn.IFNA(VLOOKUP(Grandview_Inventory[[#This Row],[condition]],Lookups!$H$17:$J$24,3,FALSE),0)</f>
        <v>25818</v>
      </c>
      <c r="BL632" s="6">
        <f>Grandview_Inventory[[#This Row],[Eff_Age]]*Lookups!$B$14</f>
        <v>-5261.6651999999995</v>
      </c>
      <c r="BM632" s="6">
        <f>Grandview_Inventory[[#This Row],[living_area]]*Lookups!$B$15</f>
        <v>128566.938033</v>
      </c>
      <c r="BN632" s="6">
        <f>Grandview_Inventory[[#This Row],[Fin BSMT]]*Lookups!$B$16</f>
        <v>0</v>
      </c>
      <c r="BO632" s="6">
        <f>(Grandview_Inventory[[#This Row],[att_gar]]+Grandview_Inventory[[#This Row],[bltin_gar]])*Lookups!$B$17</f>
        <v>36758.58354</v>
      </c>
      <c r="BP632" s="6">
        <f>Grandview_Inventory[[#This Row],[Plumbing Fixtures]]*Lookups!$B$18</f>
        <v>16083.5344</v>
      </c>
      <c r="BQ632" s="6">
        <f>Grandview_Inventory[[#This Row],[detatched_value]]*Lookups!$B$19</f>
        <v>2371.0542799999998</v>
      </c>
      <c r="BR632" s="6">
        <f>SUM(Grandview_Inventory[[#This Row],[Intercept]:[det_value]])*Grandview_Inventory[[#This Row],[res_pct]]</f>
        <v>380938.39505300001</v>
      </c>
      <c r="BS632" s="6">
        <f>Grandview_Inventory[[#This Row],[land_value]]</f>
        <v>49926.8031387023</v>
      </c>
      <c r="BT632" s="4">
        <f>_xlfn.IFNA(VLOOKUP(Grandview_Inventory[[#This Row],[quality]],Lookups!$A$26:$C$33,3,FALSE),1)</f>
        <v>0.94960540378902636</v>
      </c>
      <c r="BU632" s="4">
        <f>_xlfn.IFNA(VLOOKUP(Grandview_Inventory[[#This Row],[condition]],Lookups!$A$37:$C$44,3,FALSE),1)</f>
        <v>0.96661476234146892</v>
      </c>
      <c r="BV632" s="4">
        <f>IF(Grandview_Inventory[[#This Row],[bldg_style]]="",1,_xlfn.IFNA(VLOOKUP(Grandview_Inventory[[#This Row],[decade]],Lookups!$F$29:$H$43,3,FALSE),1))</f>
        <v>0.98397821291089549</v>
      </c>
      <c r="BW632" s="4">
        <f>_xlfn.IFNA(VLOOKUP(Grandview_Inventory[[#This Row],[living_area_range]],Lookups!$F$47:$H$56,3,FALSE),1)</f>
        <v>0.95799442568048754</v>
      </c>
      <c r="BX632" s="4">
        <f>AVERAGE(Grandview_Inventory[[#This Row],[qual_adj]:[size_adj]])</f>
        <v>0.96454820118046958</v>
      </c>
      <c r="BY632" s="6">
        <f>IF(Grandview_Inventory[[#This Row],[pre_res]]&lt;0,0,Grandview_Inventory[[#This Row],[pre_res]]*Grandview_Inventory[[#This Row],[overall_adj]])</f>
        <v>367433.44370894623</v>
      </c>
      <c r="BZ632" s="6">
        <f>(Grandview_Inventory[[#This Row],[sum_land]]-IF(Grandview_Inventory[[#This Row],[no_utilities]]=1,12000,0))/IF(Grandview_Inventory[[#This Row],[unbuildable]]=1,2,1)</f>
        <v>49926.8031387023</v>
      </c>
      <c r="CA63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32">
        <f>ROUND(Grandview_Inventory[[#This Row],[det_value]]*Lookups!$M$28,-2)</f>
        <v>2300</v>
      </c>
      <c r="CC632">
        <f>IF(ROUND(Grandview_Inventory[[#This Row],[adj_res]]*Lookups!$M$28,-2)&lt;Grandview_Inventory[[#This Row],[min_res]],Grandview_Inventory[[#This Row],[min_res]],ROUND(Grandview_Inventory[[#This Row],[adj_res]]*Lookups!$M$28,-2))</f>
        <v>349100</v>
      </c>
      <c r="CD632">
        <f>Grandview_Inventory[[#This Row],[final_det]]+Grandview_Inventory[[#This Row],[final_res]]</f>
        <v>351400</v>
      </c>
      <c r="CE632">
        <f>Grandview_Inventory[[#This Row],[final_land]]+Grandview_Inventory[[#This Row],[final_imp]]+Grandview_Inventory[[#This Row],[crop_value]]</f>
        <v>398800</v>
      </c>
      <c r="CG632" t="str">
        <f t="shared" si="9"/>
        <v>update valuation set market_land =47400, market_bldg=351400, market_total =398800, market_mdno =401, market_date ='9/10/2023' where link_id = (select link_id from parcel where parcel_year = '2024' and parcel_id = '23092224482');</v>
      </c>
    </row>
    <row r="633" spans="1:85" x14ac:dyDescent="0.25">
      <c r="A633">
        <v>23092224483</v>
      </c>
      <c r="B633">
        <v>0.2</v>
      </c>
      <c r="C633">
        <v>8616</v>
      </c>
      <c r="D633" t="s">
        <v>129</v>
      </c>
      <c r="E633" t="s">
        <v>53</v>
      </c>
      <c r="F633" t="s">
        <v>53</v>
      </c>
      <c r="G633">
        <v>4</v>
      </c>
      <c r="H633" t="s">
        <v>54</v>
      </c>
      <c r="I633">
        <v>261000</v>
      </c>
      <c r="J633">
        <v>43700</v>
      </c>
      <c r="K633">
        <v>0.2</v>
      </c>
      <c r="L63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33">
        <v>0</v>
      </c>
      <c r="N633">
        <v>0</v>
      </c>
      <c r="O633">
        <v>0</v>
      </c>
      <c r="P633">
        <v>13398.7528</v>
      </c>
      <c r="Q633">
        <v>63903</v>
      </c>
      <c r="R633">
        <f>(Grandview_Inventory[[#This Row],[ln_acres]]*Grandview_Inventory[[#This Row],[coeff]])+Grandview_Inventory[[#This Row],[const]]</f>
        <v>42338.539264347448</v>
      </c>
      <c r="S633" t="s">
        <v>61</v>
      </c>
      <c r="T633">
        <v>1</v>
      </c>
      <c r="U633" t="s">
        <v>62</v>
      </c>
      <c r="V633" t="s">
        <v>67</v>
      </c>
      <c r="W633">
        <v>0</v>
      </c>
      <c r="X633">
        <v>0</v>
      </c>
      <c r="Y633">
        <v>22</v>
      </c>
      <c r="Z633">
        <v>22</v>
      </c>
      <c r="AA633">
        <v>30</v>
      </c>
      <c r="AB633">
        <v>2000</v>
      </c>
      <c r="AC633">
        <v>1592</v>
      </c>
      <c r="AD633">
        <v>1592</v>
      </c>
      <c r="AE633">
        <v>0</v>
      </c>
      <c r="AF633">
        <v>0</v>
      </c>
      <c r="AG633">
        <v>0</v>
      </c>
      <c r="AH633">
        <v>0</v>
      </c>
      <c r="AI633">
        <v>576</v>
      </c>
      <c r="AJ633">
        <v>0</v>
      </c>
      <c r="AK633">
        <v>374</v>
      </c>
      <c r="AL633">
        <v>372</v>
      </c>
      <c r="AM633">
        <v>300</v>
      </c>
      <c r="AN633">
        <v>0</v>
      </c>
      <c r="AO633">
        <v>300</v>
      </c>
      <c r="AP633">
        <v>8</v>
      </c>
      <c r="AQ633">
        <v>0</v>
      </c>
      <c r="AR633">
        <v>0</v>
      </c>
      <c r="AS633" t="s">
        <v>58</v>
      </c>
      <c r="AT633">
        <v>1</v>
      </c>
      <c r="AU633" t="s">
        <v>63</v>
      </c>
      <c r="AV633" t="s">
        <v>60</v>
      </c>
      <c r="AW633">
        <v>1</v>
      </c>
      <c r="AX633">
        <v>3</v>
      </c>
      <c r="AY633">
        <v>0</v>
      </c>
      <c r="AZ633">
        <v>0</v>
      </c>
      <c r="BA633">
        <v>100</v>
      </c>
      <c r="BB633">
        <v>100</v>
      </c>
      <c r="BC633">
        <v>100</v>
      </c>
      <c r="BD633">
        <v>100</v>
      </c>
      <c r="BE633">
        <v>1</v>
      </c>
      <c r="BF633">
        <v>15000</v>
      </c>
      <c r="BG633">
        <v>1000</v>
      </c>
      <c r="BH633" s="6">
        <f>Grandview_Inventory[[#This Row],[land_extract]]*Lookups!$B$3</f>
        <v>49167.631333630678</v>
      </c>
      <c r="BI633" s="6">
        <f>IF(Grandview_Inventory[[#This Row],[bldg_style]]="",0,Lookups!$B$2)</f>
        <v>155833.95000000001</v>
      </c>
      <c r="BJ633" s="6">
        <f>_xlfn.IFNA(VLOOKUP(Grandview_Inventory[[#This Row],[quality]],Lookups!$H$2:$J$14,3,FALSE),0)</f>
        <v>9808</v>
      </c>
      <c r="BK633" s="6">
        <f>_xlfn.IFNA(VLOOKUP(Grandview_Inventory[[#This Row],[condition]],Lookups!$H$17:$J$24,3,FALSE),0)</f>
        <v>22342</v>
      </c>
      <c r="BL633" s="6">
        <f>Grandview_Inventory[[#This Row],[Eff_Age]]*Lookups!$B$14</f>
        <v>-5261.6651999999995</v>
      </c>
      <c r="BM633" s="6">
        <f>Grandview_Inventory[[#This Row],[living_area]]*Lookups!$B$15</f>
        <v>99310.317976000006</v>
      </c>
      <c r="BN633" s="6">
        <f>Grandview_Inventory[[#This Row],[Fin BSMT]]*Lookups!$B$16</f>
        <v>0</v>
      </c>
      <c r="BO633" s="6">
        <f>(Grandview_Inventory[[#This Row],[att_gar]]+Grandview_Inventory[[#This Row],[bltin_gar]])*Lookups!$B$17</f>
        <v>50411.771712000002</v>
      </c>
      <c r="BP633" s="6">
        <f>Grandview_Inventory[[#This Row],[Plumbing Fixtures]]*Lookups!$B$18</f>
        <v>16083.5344</v>
      </c>
      <c r="BQ633" s="6">
        <f>Grandview_Inventory[[#This Row],[detatched_value]]*Lookups!$B$19</f>
        <v>0</v>
      </c>
      <c r="BR633" s="6">
        <f>SUM(Grandview_Inventory[[#This Row],[Intercept]:[det_value]])*Grandview_Inventory[[#This Row],[res_pct]]</f>
        <v>348527.90888800006</v>
      </c>
      <c r="BS633" s="6">
        <f>Grandview_Inventory[[#This Row],[land_value]]</f>
        <v>49167.631333630678</v>
      </c>
      <c r="BT633" s="4">
        <f>_xlfn.IFNA(VLOOKUP(Grandview_Inventory[[#This Row],[quality]],Lookups!$A$26:$C$33,3,FALSE),1)</f>
        <v>0.94295468617355149</v>
      </c>
      <c r="BU633" s="4">
        <f>_xlfn.IFNA(VLOOKUP(Grandview_Inventory[[#This Row],[condition]],Lookups!$A$37:$C$44,3,FALSE),1)</f>
        <v>0.97383723671140243</v>
      </c>
      <c r="BV633" s="4">
        <f>IF(Grandview_Inventory[[#This Row],[bldg_style]]="",1,_xlfn.IFNA(VLOOKUP(Grandview_Inventory[[#This Row],[decade]],Lookups!$F$29:$H$43,3,FALSE),1))</f>
        <v>0.98397821291089549</v>
      </c>
      <c r="BW633" s="4">
        <f>_xlfn.IFNA(VLOOKUP(Grandview_Inventory[[#This Row],[living_area_range]],Lookups!$F$47:$H$56,3,FALSE),1)</f>
        <v>0.96120133463014379</v>
      </c>
      <c r="BX633" s="4">
        <f>AVERAGE(Grandview_Inventory[[#This Row],[qual_adj]:[size_adj]])</f>
        <v>0.96549286760649822</v>
      </c>
      <c r="BY633" s="6">
        <f>IF(Grandview_Inventory[[#This Row],[pre_res]]&lt;0,0,Grandview_Inventory[[#This Row],[pre_res]]*Grandview_Inventory[[#This Row],[overall_adj]])</f>
        <v>336501.21019317152</v>
      </c>
      <c r="BZ633" s="6">
        <f>(Grandview_Inventory[[#This Row],[sum_land]]-IF(Grandview_Inventory[[#This Row],[no_utilities]]=1,12000,0))/IF(Grandview_Inventory[[#This Row],[unbuildable]]=1,2,1)</f>
        <v>49167.631333630678</v>
      </c>
      <c r="CA63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33">
        <f>ROUND(Grandview_Inventory[[#This Row],[det_value]]*Lookups!$M$28,-2)</f>
        <v>0</v>
      </c>
      <c r="CC633">
        <f>IF(ROUND(Grandview_Inventory[[#This Row],[adj_res]]*Lookups!$M$28,-2)&lt;Grandview_Inventory[[#This Row],[min_res]],Grandview_Inventory[[#This Row],[min_res]],ROUND(Grandview_Inventory[[#This Row],[adj_res]]*Lookups!$M$28,-2))</f>
        <v>319700</v>
      </c>
      <c r="CD633">
        <f>Grandview_Inventory[[#This Row],[final_det]]+Grandview_Inventory[[#This Row],[final_res]]</f>
        <v>319700</v>
      </c>
      <c r="CE633">
        <f>Grandview_Inventory[[#This Row],[final_land]]+Grandview_Inventory[[#This Row],[final_imp]]+Grandview_Inventory[[#This Row],[crop_value]]</f>
        <v>366400</v>
      </c>
      <c r="CG633" t="str">
        <f t="shared" si="9"/>
        <v>update valuation set market_land =46700, market_bldg=319700, market_total =366400, market_mdno =401, market_date ='9/10/2023' where link_id = (select link_id from parcel where parcel_year = '2024' and parcel_id = '23092224483');</v>
      </c>
    </row>
    <row r="634" spans="1:85" x14ac:dyDescent="0.25">
      <c r="A634">
        <v>23092224484</v>
      </c>
      <c r="B634">
        <v>0.2</v>
      </c>
      <c r="C634">
        <v>8856</v>
      </c>
      <c r="D634" t="s">
        <v>129</v>
      </c>
      <c r="E634" t="s">
        <v>53</v>
      </c>
      <c r="F634" t="s">
        <v>53</v>
      </c>
      <c r="G634">
        <v>4</v>
      </c>
      <c r="H634" t="s">
        <v>54</v>
      </c>
      <c r="I634">
        <v>277800</v>
      </c>
      <c r="J634">
        <v>43700</v>
      </c>
      <c r="K634">
        <v>0.2</v>
      </c>
      <c r="L63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34">
        <v>0</v>
      </c>
      <c r="N634">
        <v>0</v>
      </c>
      <c r="O634">
        <v>0</v>
      </c>
      <c r="P634">
        <v>13398.7528</v>
      </c>
      <c r="Q634">
        <v>63903</v>
      </c>
      <c r="R634">
        <f>(Grandview_Inventory[[#This Row],[ln_acres]]*Grandview_Inventory[[#This Row],[coeff]])+Grandview_Inventory[[#This Row],[const]]</f>
        <v>42338.539264347448</v>
      </c>
      <c r="S634" t="s">
        <v>58</v>
      </c>
      <c r="T634">
        <v>1</v>
      </c>
      <c r="U634" t="s">
        <v>62</v>
      </c>
      <c r="V634" t="s">
        <v>67</v>
      </c>
      <c r="W634">
        <v>0</v>
      </c>
      <c r="X634">
        <v>0</v>
      </c>
      <c r="Y634">
        <v>24</v>
      </c>
      <c r="Z634">
        <v>24</v>
      </c>
      <c r="AA634">
        <v>30</v>
      </c>
      <c r="AB634">
        <v>2500</v>
      </c>
      <c r="AC634">
        <v>2046</v>
      </c>
      <c r="AD634">
        <v>2046</v>
      </c>
      <c r="AE634">
        <v>0</v>
      </c>
      <c r="AF634">
        <v>0</v>
      </c>
      <c r="AG634">
        <v>0</v>
      </c>
      <c r="AH634">
        <v>0</v>
      </c>
      <c r="AI634">
        <v>506</v>
      </c>
      <c r="AJ634">
        <v>0</v>
      </c>
      <c r="AK634">
        <v>0</v>
      </c>
      <c r="AL634">
        <v>0</v>
      </c>
      <c r="AM634">
        <v>255</v>
      </c>
      <c r="AN634">
        <v>36</v>
      </c>
      <c r="AO634">
        <v>255</v>
      </c>
      <c r="AP634">
        <v>12</v>
      </c>
      <c r="AQ634">
        <v>0</v>
      </c>
      <c r="AR634">
        <v>0</v>
      </c>
      <c r="AS634" t="s">
        <v>58</v>
      </c>
      <c r="AT634">
        <v>1</v>
      </c>
      <c r="AU634" t="s">
        <v>63</v>
      </c>
      <c r="AV634" t="s">
        <v>64</v>
      </c>
      <c r="AW634">
        <v>1</v>
      </c>
      <c r="AX634">
        <v>3</v>
      </c>
      <c r="AY634">
        <v>0</v>
      </c>
      <c r="AZ634">
        <v>0</v>
      </c>
      <c r="BA634">
        <v>100</v>
      </c>
      <c r="BB634">
        <v>100</v>
      </c>
      <c r="BC634">
        <v>100</v>
      </c>
      <c r="BD634">
        <v>100</v>
      </c>
      <c r="BE634">
        <v>1</v>
      </c>
      <c r="BF634">
        <v>15000</v>
      </c>
      <c r="BG634">
        <v>1000</v>
      </c>
      <c r="BH634" s="6">
        <f>Grandview_Inventory[[#This Row],[land_extract]]*Lookups!$B$3</f>
        <v>49167.631333630678</v>
      </c>
      <c r="BI634" s="6">
        <f>IF(Grandview_Inventory[[#This Row],[bldg_style]]="",0,Lookups!$B$2)</f>
        <v>155833.95000000001</v>
      </c>
      <c r="BJ634" s="6">
        <f>_xlfn.IFNA(VLOOKUP(Grandview_Inventory[[#This Row],[quality]],Lookups!$H$2:$J$14,3,FALSE),0)</f>
        <v>9808</v>
      </c>
      <c r="BK634" s="6">
        <f>_xlfn.IFNA(VLOOKUP(Grandview_Inventory[[#This Row],[condition]],Lookups!$H$17:$J$24,3,FALSE),0)</f>
        <v>22342</v>
      </c>
      <c r="BL634" s="6">
        <f>Grandview_Inventory[[#This Row],[Eff_Age]]*Lookups!$B$14</f>
        <v>-5739.9983999999995</v>
      </c>
      <c r="BM634" s="6">
        <f>Grandview_Inventory[[#This Row],[living_area]]*Lookups!$B$15</f>
        <v>127631.225238</v>
      </c>
      <c r="BN634" s="6">
        <f>Grandview_Inventory[[#This Row],[Fin BSMT]]*Lookups!$B$16</f>
        <v>0</v>
      </c>
      <c r="BO634" s="6">
        <f>(Grandview_Inventory[[#This Row],[att_gar]]+Grandview_Inventory[[#This Row],[bltin_gar]])*Lookups!$B$17</f>
        <v>44285.341121999998</v>
      </c>
      <c r="BP634" s="6">
        <f>Grandview_Inventory[[#This Row],[Plumbing Fixtures]]*Lookups!$B$18</f>
        <v>24125.301599999999</v>
      </c>
      <c r="BQ634" s="6">
        <f>Grandview_Inventory[[#This Row],[detatched_value]]*Lookups!$B$19</f>
        <v>0</v>
      </c>
      <c r="BR634" s="6">
        <f>SUM(Grandview_Inventory[[#This Row],[Intercept]:[det_value]])*Grandview_Inventory[[#This Row],[res_pct]]</f>
        <v>378285.81956000003</v>
      </c>
      <c r="BS634" s="6">
        <f>Grandview_Inventory[[#This Row],[land_value]]</f>
        <v>49167.631333630678</v>
      </c>
      <c r="BT634" s="4">
        <f>_xlfn.IFNA(VLOOKUP(Grandview_Inventory[[#This Row],[quality]],Lookups!$A$26:$C$33,3,FALSE),1)</f>
        <v>0.94295468617355149</v>
      </c>
      <c r="BU634" s="4">
        <f>_xlfn.IFNA(VLOOKUP(Grandview_Inventory[[#This Row],[condition]],Lookups!$A$37:$C$44,3,FALSE),1)</f>
        <v>0.97383723671140243</v>
      </c>
      <c r="BV634" s="4">
        <f>IF(Grandview_Inventory[[#This Row],[bldg_style]]="",1,_xlfn.IFNA(VLOOKUP(Grandview_Inventory[[#This Row],[decade]],Lookups!$F$29:$H$43,3,FALSE),1))</f>
        <v>0.98397821291089549</v>
      </c>
      <c r="BW634" s="4">
        <f>_xlfn.IFNA(VLOOKUP(Grandview_Inventory[[#This Row],[living_area_range]],Lookups!$F$47:$H$56,3,FALSE),1)</f>
        <v>0.95799442568048754</v>
      </c>
      <c r="BX634" s="4">
        <f>AVERAGE(Grandview_Inventory[[#This Row],[qual_adj]:[size_adj]])</f>
        <v>0.96469114036908421</v>
      </c>
      <c r="BY634" s="6">
        <f>IF(Grandview_Inventory[[#This Row],[pre_res]]&lt;0,0,Grandview_Inventory[[#This Row],[pre_res]]*Grandview_Inventory[[#This Row],[overall_adj]])</f>
        <v>364928.97865679004</v>
      </c>
      <c r="BZ634" s="6">
        <f>(Grandview_Inventory[[#This Row],[sum_land]]-IF(Grandview_Inventory[[#This Row],[no_utilities]]=1,12000,0))/IF(Grandview_Inventory[[#This Row],[unbuildable]]=1,2,1)</f>
        <v>49167.631333630678</v>
      </c>
      <c r="CA63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34">
        <f>ROUND(Grandview_Inventory[[#This Row],[det_value]]*Lookups!$M$28,-2)</f>
        <v>0</v>
      </c>
      <c r="CC634">
        <f>IF(ROUND(Grandview_Inventory[[#This Row],[adj_res]]*Lookups!$M$28,-2)&lt;Grandview_Inventory[[#This Row],[min_res]],Grandview_Inventory[[#This Row],[min_res]],ROUND(Grandview_Inventory[[#This Row],[adj_res]]*Lookups!$M$28,-2))</f>
        <v>346700</v>
      </c>
      <c r="CD634">
        <f>Grandview_Inventory[[#This Row],[final_det]]+Grandview_Inventory[[#This Row],[final_res]]</f>
        <v>346700</v>
      </c>
      <c r="CE634">
        <f>Grandview_Inventory[[#This Row],[final_land]]+Grandview_Inventory[[#This Row],[final_imp]]+Grandview_Inventory[[#This Row],[crop_value]]</f>
        <v>393400</v>
      </c>
      <c r="CG634" t="str">
        <f t="shared" si="9"/>
        <v>update valuation set market_land =46700, market_bldg=346700, market_total =393400, market_mdno =401, market_date ='9/10/2023' where link_id = (select link_id from parcel where parcel_year = '2024' and parcel_id = '23092224484');</v>
      </c>
    </row>
    <row r="635" spans="1:85" x14ac:dyDescent="0.25">
      <c r="A635">
        <v>23092224485</v>
      </c>
      <c r="B635">
        <v>0.23</v>
      </c>
      <c r="C635">
        <v>9975</v>
      </c>
      <c r="D635" t="s">
        <v>129</v>
      </c>
      <c r="E635" t="s">
        <v>53</v>
      </c>
      <c r="F635" t="s">
        <v>53</v>
      </c>
      <c r="G635">
        <v>4</v>
      </c>
      <c r="H635" t="s">
        <v>54</v>
      </c>
      <c r="I635">
        <v>270500</v>
      </c>
      <c r="J635">
        <v>43800</v>
      </c>
      <c r="K635">
        <v>0.23</v>
      </c>
      <c r="L63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35">
        <v>0</v>
      </c>
      <c r="N635">
        <v>0</v>
      </c>
      <c r="O635">
        <v>0</v>
      </c>
      <c r="P635">
        <v>13398.7528</v>
      </c>
      <c r="Q635">
        <v>63903</v>
      </c>
      <c r="R635">
        <f>(Grandview_Inventory[[#This Row],[ln_acres]]*Grandview_Inventory[[#This Row],[coeff]])+Grandview_Inventory[[#This Row],[const]]</f>
        <v>44211.174981080039</v>
      </c>
      <c r="S635" t="s">
        <v>55</v>
      </c>
      <c r="T635">
        <v>2</v>
      </c>
      <c r="U635" t="s">
        <v>62</v>
      </c>
      <c r="V635" t="s">
        <v>66</v>
      </c>
      <c r="W635">
        <v>0</v>
      </c>
      <c r="X635">
        <v>0</v>
      </c>
      <c r="Y635">
        <v>19</v>
      </c>
      <c r="Z635">
        <v>19</v>
      </c>
      <c r="AA635">
        <v>20</v>
      </c>
      <c r="AB635">
        <v>2500</v>
      </c>
      <c r="AC635">
        <v>2023</v>
      </c>
      <c r="AD635">
        <v>1255</v>
      </c>
      <c r="AE635">
        <v>768</v>
      </c>
      <c r="AF635">
        <v>0</v>
      </c>
      <c r="AG635">
        <v>0</v>
      </c>
      <c r="AH635">
        <v>0</v>
      </c>
      <c r="AI635">
        <v>546</v>
      </c>
      <c r="AJ635">
        <v>0</v>
      </c>
      <c r="AK635">
        <v>0</v>
      </c>
      <c r="AL635">
        <v>0</v>
      </c>
      <c r="AM635">
        <v>184</v>
      </c>
      <c r="AN635">
        <v>144</v>
      </c>
      <c r="AO635">
        <v>0</v>
      </c>
      <c r="AP635">
        <v>10</v>
      </c>
      <c r="AQ635">
        <v>0</v>
      </c>
      <c r="AR635">
        <v>0</v>
      </c>
      <c r="AS635" t="s">
        <v>58</v>
      </c>
      <c r="AT635">
        <v>1</v>
      </c>
      <c r="AU635" t="s">
        <v>63</v>
      </c>
      <c r="AV635" t="s">
        <v>64</v>
      </c>
      <c r="AW635">
        <v>1</v>
      </c>
      <c r="AX635">
        <v>3</v>
      </c>
      <c r="AY635">
        <v>0</v>
      </c>
      <c r="AZ635">
        <v>0</v>
      </c>
      <c r="BA635">
        <v>100</v>
      </c>
      <c r="BB635">
        <v>100</v>
      </c>
      <c r="BC635">
        <v>100</v>
      </c>
      <c r="BD635">
        <v>100</v>
      </c>
      <c r="BE635">
        <v>1</v>
      </c>
      <c r="BF635">
        <v>15000</v>
      </c>
      <c r="BG635">
        <v>1000</v>
      </c>
      <c r="BH635" s="6">
        <f>Grandview_Inventory[[#This Row],[land_extract]]*Lookups!$B$3</f>
        <v>51342.318135355803</v>
      </c>
      <c r="BI635" s="6">
        <f>IF(Grandview_Inventory[[#This Row],[bldg_style]]="",0,Lookups!$B$2)</f>
        <v>155833.95000000001</v>
      </c>
      <c r="BJ635" s="6">
        <f>_xlfn.IFNA(VLOOKUP(Grandview_Inventory[[#This Row],[quality]],Lookups!$H$2:$J$14,3,FALSE),0)</f>
        <v>9808</v>
      </c>
      <c r="BK635" s="6">
        <f>_xlfn.IFNA(VLOOKUP(Grandview_Inventory[[#This Row],[condition]],Lookups!$H$17:$J$24,3,FALSE),0)</f>
        <v>25818</v>
      </c>
      <c r="BL635" s="6">
        <f>Grandview_Inventory[[#This Row],[Eff_Age]]*Lookups!$B$14</f>
        <v>-4544.1653999999999</v>
      </c>
      <c r="BM635" s="6">
        <f>Grandview_Inventory[[#This Row],[living_area]]*Lookups!$B$15</f>
        <v>126196.46561900001</v>
      </c>
      <c r="BN635" s="6">
        <f>Grandview_Inventory[[#This Row],[Fin BSMT]]*Lookups!$B$16</f>
        <v>0</v>
      </c>
      <c r="BO635" s="6">
        <f>(Grandview_Inventory[[#This Row],[att_gar]]+Grandview_Inventory[[#This Row],[bltin_gar]])*Lookups!$B$17</f>
        <v>47786.158602000003</v>
      </c>
      <c r="BP635" s="6">
        <f>Grandview_Inventory[[#This Row],[Plumbing Fixtures]]*Lookups!$B$18</f>
        <v>20104.418000000001</v>
      </c>
      <c r="BQ635" s="6">
        <f>Grandview_Inventory[[#This Row],[detatched_value]]*Lookups!$B$19</f>
        <v>0</v>
      </c>
      <c r="BR635" s="6">
        <f>SUM(Grandview_Inventory[[#This Row],[Intercept]:[det_value]])*Grandview_Inventory[[#This Row],[res_pct]]</f>
        <v>381002.82682100002</v>
      </c>
      <c r="BS635" s="6">
        <f>Grandview_Inventory[[#This Row],[land_value]]</f>
        <v>51342.318135355803</v>
      </c>
      <c r="BT635" s="4">
        <f>_xlfn.IFNA(VLOOKUP(Grandview_Inventory[[#This Row],[quality]],Lookups!$A$26:$C$33,3,FALSE),1)</f>
        <v>0.94295468617355149</v>
      </c>
      <c r="BU635" s="4">
        <f>_xlfn.IFNA(VLOOKUP(Grandview_Inventory[[#This Row],[condition]],Lookups!$A$37:$C$44,3,FALSE),1)</f>
        <v>0.96661476234146892</v>
      </c>
      <c r="BV635" s="4">
        <f>IF(Grandview_Inventory[[#This Row],[bldg_style]]="",1,_xlfn.IFNA(VLOOKUP(Grandview_Inventory[[#This Row],[decade]],Lookups!$F$29:$H$43,3,FALSE),1))</f>
        <v>0.96737494181490646</v>
      </c>
      <c r="BW635" s="4">
        <f>_xlfn.IFNA(VLOOKUP(Grandview_Inventory[[#This Row],[living_area_range]],Lookups!$F$47:$H$56,3,FALSE),1)</f>
        <v>0.95799442568048754</v>
      </c>
      <c r="BX635" s="4">
        <f>AVERAGE(Grandview_Inventory[[#This Row],[qual_adj]:[size_adj]])</f>
        <v>0.95873470400260363</v>
      </c>
      <c r="BY635" s="6">
        <f>IF(Grandview_Inventory[[#This Row],[pre_res]]&lt;0,0,Grandview_Inventory[[#This Row],[pre_res]]*Grandview_Inventory[[#This Row],[overall_adj]])</f>
        <v>365280.6323963867</v>
      </c>
      <c r="BZ635" s="6">
        <f>(Grandview_Inventory[[#This Row],[sum_land]]-IF(Grandview_Inventory[[#This Row],[no_utilities]]=1,12000,0))/IF(Grandview_Inventory[[#This Row],[unbuildable]]=1,2,1)</f>
        <v>51342.318135355803</v>
      </c>
      <c r="CA63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35">
        <f>ROUND(Grandview_Inventory[[#This Row],[det_value]]*Lookups!$M$28,-2)</f>
        <v>0</v>
      </c>
      <c r="CC635">
        <f>IF(ROUND(Grandview_Inventory[[#This Row],[adj_res]]*Lookups!$M$28,-2)&lt;Grandview_Inventory[[#This Row],[min_res]],Grandview_Inventory[[#This Row],[min_res]],ROUND(Grandview_Inventory[[#This Row],[adj_res]]*Lookups!$M$28,-2))</f>
        <v>347000</v>
      </c>
      <c r="CD635">
        <f>Grandview_Inventory[[#This Row],[final_det]]+Grandview_Inventory[[#This Row],[final_res]]</f>
        <v>347000</v>
      </c>
      <c r="CE635">
        <f>Grandview_Inventory[[#This Row],[final_land]]+Grandview_Inventory[[#This Row],[final_imp]]+Grandview_Inventory[[#This Row],[crop_value]]</f>
        <v>395800</v>
      </c>
      <c r="CG635" t="str">
        <f t="shared" si="9"/>
        <v>update valuation set market_land =48800, market_bldg=347000, market_total =395800, market_mdno =401, market_date ='9/10/2023' where link_id = (select link_id from parcel where parcel_year = '2024' and parcel_id = '23092224485');</v>
      </c>
    </row>
    <row r="636" spans="1:85" x14ac:dyDescent="0.25">
      <c r="A636">
        <v>23092224486</v>
      </c>
      <c r="B636">
        <v>0.27</v>
      </c>
      <c r="C636">
        <v>11626</v>
      </c>
      <c r="D636" t="s">
        <v>129</v>
      </c>
      <c r="E636" t="s">
        <v>53</v>
      </c>
      <c r="F636" t="s">
        <v>53</v>
      </c>
      <c r="G636">
        <v>4</v>
      </c>
      <c r="H636" t="s">
        <v>54</v>
      </c>
      <c r="I636">
        <v>277200</v>
      </c>
      <c r="J636">
        <v>44500</v>
      </c>
      <c r="K636">
        <v>0.27</v>
      </c>
      <c r="L636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636">
        <v>0</v>
      </c>
      <c r="N636">
        <v>0</v>
      </c>
      <c r="O636">
        <v>0</v>
      </c>
      <c r="P636">
        <v>13398.7528</v>
      </c>
      <c r="Q636">
        <v>63903</v>
      </c>
      <c r="R636">
        <f>(Grandview_Inventory[[#This Row],[ln_acres]]*Grandview_Inventory[[#This Row],[coeff]])+Grandview_Inventory[[#This Row],[const]]</f>
        <v>46359.566512734265</v>
      </c>
      <c r="S636" t="s">
        <v>58</v>
      </c>
      <c r="T636">
        <v>1</v>
      </c>
      <c r="U636" t="s">
        <v>62</v>
      </c>
      <c r="V636" t="s">
        <v>67</v>
      </c>
      <c r="W636">
        <v>0</v>
      </c>
      <c r="X636">
        <v>0</v>
      </c>
      <c r="Y636">
        <v>23</v>
      </c>
      <c r="Z636">
        <v>23</v>
      </c>
      <c r="AA636">
        <v>30</v>
      </c>
      <c r="AB636">
        <v>2000</v>
      </c>
      <c r="AC636">
        <v>1718</v>
      </c>
      <c r="AD636">
        <v>1718</v>
      </c>
      <c r="AE636">
        <v>0</v>
      </c>
      <c r="AF636">
        <v>0</v>
      </c>
      <c r="AG636">
        <v>0</v>
      </c>
      <c r="AH636">
        <v>0</v>
      </c>
      <c r="AI636">
        <v>864</v>
      </c>
      <c r="AJ636">
        <v>0</v>
      </c>
      <c r="AK636">
        <v>0</v>
      </c>
      <c r="AL636">
        <v>0</v>
      </c>
      <c r="AM636">
        <v>462</v>
      </c>
      <c r="AN636">
        <v>180</v>
      </c>
      <c r="AO636">
        <v>0</v>
      </c>
      <c r="AP636">
        <v>8</v>
      </c>
      <c r="AQ636">
        <v>0</v>
      </c>
      <c r="AR636">
        <v>0</v>
      </c>
      <c r="AS636" t="s">
        <v>58</v>
      </c>
      <c r="AT636">
        <v>1</v>
      </c>
      <c r="AU636" t="s">
        <v>63</v>
      </c>
      <c r="AV636" t="s">
        <v>64</v>
      </c>
      <c r="AW636">
        <v>1</v>
      </c>
      <c r="AX636">
        <v>3</v>
      </c>
      <c r="AY636">
        <v>0</v>
      </c>
      <c r="AZ636">
        <v>0</v>
      </c>
      <c r="BA636">
        <v>100</v>
      </c>
      <c r="BB636">
        <v>100</v>
      </c>
      <c r="BC636">
        <v>100</v>
      </c>
      <c r="BD636">
        <v>100</v>
      </c>
      <c r="BE636">
        <v>1</v>
      </c>
      <c r="BF636">
        <v>15000</v>
      </c>
      <c r="BG636">
        <v>1000</v>
      </c>
      <c r="BH636" s="6">
        <f>Grandview_Inventory[[#This Row],[land_extract]]*Lookups!$B$3</f>
        <v>53837.239420408718</v>
      </c>
      <c r="BI636" s="6">
        <f>IF(Grandview_Inventory[[#This Row],[bldg_style]]="",0,Lookups!$B$2)</f>
        <v>155833.95000000001</v>
      </c>
      <c r="BJ636" s="6">
        <f>_xlfn.IFNA(VLOOKUP(Grandview_Inventory[[#This Row],[quality]],Lookups!$H$2:$J$14,3,FALSE),0)</f>
        <v>9808</v>
      </c>
      <c r="BK636" s="6">
        <f>_xlfn.IFNA(VLOOKUP(Grandview_Inventory[[#This Row],[condition]],Lookups!$H$17:$J$24,3,FALSE),0)</f>
        <v>22342</v>
      </c>
      <c r="BL636" s="6">
        <f>Grandview_Inventory[[#This Row],[Eff_Age]]*Lookups!$B$14</f>
        <v>-5500.8317999999999</v>
      </c>
      <c r="BM636" s="6">
        <f>Grandview_Inventory[[#This Row],[living_area]]*Lookups!$B$15</f>
        <v>107170.305454</v>
      </c>
      <c r="BN636" s="6">
        <f>Grandview_Inventory[[#This Row],[Fin BSMT]]*Lookups!$B$16</f>
        <v>0</v>
      </c>
      <c r="BO636" s="6">
        <f>(Grandview_Inventory[[#This Row],[att_gar]]+Grandview_Inventory[[#This Row],[bltin_gar]])*Lookups!$B$17</f>
        <v>75617.657567999995</v>
      </c>
      <c r="BP636" s="6">
        <f>Grandview_Inventory[[#This Row],[Plumbing Fixtures]]*Lookups!$B$18</f>
        <v>16083.5344</v>
      </c>
      <c r="BQ636" s="6">
        <f>Grandview_Inventory[[#This Row],[detatched_value]]*Lookups!$B$19</f>
        <v>0</v>
      </c>
      <c r="BR636" s="6">
        <f>SUM(Grandview_Inventory[[#This Row],[Intercept]:[det_value]])*Grandview_Inventory[[#This Row],[res_pct]]</f>
        <v>381354.61562200007</v>
      </c>
      <c r="BS636" s="6">
        <f>Grandview_Inventory[[#This Row],[land_value]]</f>
        <v>53837.239420408718</v>
      </c>
      <c r="BT636" s="4">
        <f>_xlfn.IFNA(VLOOKUP(Grandview_Inventory[[#This Row],[quality]],Lookups!$A$26:$C$33,3,FALSE),1)</f>
        <v>0.94295468617355149</v>
      </c>
      <c r="BU636" s="4">
        <f>_xlfn.IFNA(VLOOKUP(Grandview_Inventory[[#This Row],[condition]],Lookups!$A$37:$C$44,3,FALSE),1)</f>
        <v>0.97383723671140243</v>
      </c>
      <c r="BV636" s="4">
        <f>IF(Grandview_Inventory[[#This Row],[bldg_style]]="",1,_xlfn.IFNA(VLOOKUP(Grandview_Inventory[[#This Row],[decade]],Lookups!$F$29:$H$43,3,FALSE),1))</f>
        <v>0.98397821291089549</v>
      </c>
      <c r="BW636" s="4">
        <f>_xlfn.IFNA(VLOOKUP(Grandview_Inventory[[#This Row],[living_area_range]],Lookups!$F$47:$H$56,3,FALSE),1)</f>
        <v>0.96120133463014379</v>
      </c>
      <c r="BX636" s="4">
        <f>AVERAGE(Grandview_Inventory[[#This Row],[qual_adj]:[size_adj]])</f>
        <v>0.96549286760649822</v>
      </c>
      <c r="BY636" s="6">
        <f>IF(Grandview_Inventory[[#This Row],[pre_res]]&lt;0,0,Grandview_Inventory[[#This Row],[pre_res]]*Grandview_Inventory[[#This Row],[overall_adj]])</f>
        <v>368195.16141185875</v>
      </c>
      <c r="BZ636" s="6">
        <f>(Grandview_Inventory[[#This Row],[sum_land]]-IF(Grandview_Inventory[[#This Row],[no_utilities]]=1,12000,0))/IF(Grandview_Inventory[[#This Row],[unbuildable]]=1,2,1)</f>
        <v>53837.239420408718</v>
      </c>
      <c r="CA636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636">
        <f>ROUND(Grandview_Inventory[[#This Row],[det_value]]*Lookups!$M$28,-2)</f>
        <v>0</v>
      </c>
      <c r="CC636">
        <f>IF(ROUND(Grandview_Inventory[[#This Row],[adj_res]]*Lookups!$M$28,-2)&lt;Grandview_Inventory[[#This Row],[min_res]],Grandview_Inventory[[#This Row],[min_res]],ROUND(Grandview_Inventory[[#This Row],[adj_res]]*Lookups!$M$28,-2))</f>
        <v>349800</v>
      </c>
      <c r="CD636">
        <f>Grandview_Inventory[[#This Row],[final_det]]+Grandview_Inventory[[#This Row],[final_res]]</f>
        <v>349800</v>
      </c>
      <c r="CE636">
        <f>Grandview_Inventory[[#This Row],[final_land]]+Grandview_Inventory[[#This Row],[final_imp]]+Grandview_Inventory[[#This Row],[crop_value]]</f>
        <v>400900</v>
      </c>
      <c r="CG636" t="str">
        <f t="shared" si="9"/>
        <v>update valuation set market_land =51100, market_bldg=349800, market_total =400900, market_mdno =401, market_date ='9/10/2023' where link_id = (select link_id from parcel where parcel_year = '2024' and parcel_id = '23092224486');</v>
      </c>
    </row>
    <row r="637" spans="1:85" x14ac:dyDescent="0.25">
      <c r="A637">
        <v>23092224488</v>
      </c>
      <c r="B637">
        <v>0.2</v>
      </c>
      <c r="C637">
        <v>8800</v>
      </c>
      <c r="D637" t="s">
        <v>129</v>
      </c>
      <c r="E637" t="s">
        <v>53</v>
      </c>
      <c r="F637" t="s">
        <v>53</v>
      </c>
      <c r="G637">
        <v>4</v>
      </c>
      <c r="H637" t="s">
        <v>54</v>
      </c>
      <c r="I637">
        <v>277300</v>
      </c>
      <c r="J637">
        <v>43700</v>
      </c>
      <c r="K637">
        <v>0.2</v>
      </c>
      <c r="L63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37">
        <v>0</v>
      </c>
      <c r="N637">
        <v>0</v>
      </c>
      <c r="O637">
        <v>0</v>
      </c>
      <c r="P637">
        <v>13398.7528</v>
      </c>
      <c r="Q637">
        <v>63903</v>
      </c>
      <c r="R637">
        <f>(Grandview_Inventory[[#This Row],[ln_acres]]*Grandview_Inventory[[#This Row],[coeff]])+Grandview_Inventory[[#This Row],[const]]</f>
        <v>42338.539264347448</v>
      </c>
      <c r="S637" t="s">
        <v>58</v>
      </c>
      <c r="T637">
        <v>1</v>
      </c>
      <c r="U637" t="s">
        <v>64</v>
      </c>
      <c r="V637" t="s">
        <v>66</v>
      </c>
      <c r="W637">
        <v>0</v>
      </c>
      <c r="X637">
        <v>0</v>
      </c>
      <c r="Y637">
        <v>21</v>
      </c>
      <c r="Z637">
        <v>21</v>
      </c>
      <c r="AA637">
        <v>30</v>
      </c>
      <c r="AB637">
        <v>2000</v>
      </c>
      <c r="AC637">
        <v>1819</v>
      </c>
      <c r="AD637">
        <v>1819</v>
      </c>
      <c r="AE637">
        <v>0</v>
      </c>
      <c r="AF637">
        <v>0</v>
      </c>
      <c r="AG637">
        <v>0</v>
      </c>
      <c r="AH637">
        <v>0</v>
      </c>
      <c r="AI637">
        <v>528</v>
      </c>
      <c r="AJ637">
        <v>0</v>
      </c>
      <c r="AK637">
        <v>0</v>
      </c>
      <c r="AL637">
        <v>0</v>
      </c>
      <c r="AM637">
        <v>120</v>
      </c>
      <c r="AN637">
        <v>127</v>
      </c>
      <c r="AO637">
        <v>0</v>
      </c>
      <c r="AP637">
        <v>10</v>
      </c>
      <c r="AQ637">
        <v>0</v>
      </c>
      <c r="AR637">
        <v>0</v>
      </c>
      <c r="AS637" t="s">
        <v>58</v>
      </c>
      <c r="AT637">
        <v>1</v>
      </c>
      <c r="AU637" t="s">
        <v>63</v>
      </c>
      <c r="AV637" t="s">
        <v>64</v>
      </c>
      <c r="AW637">
        <v>1</v>
      </c>
      <c r="AX637">
        <v>3</v>
      </c>
      <c r="AY637">
        <v>0</v>
      </c>
      <c r="AZ637">
        <v>0</v>
      </c>
      <c r="BA637">
        <v>100</v>
      </c>
      <c r="BB637">
        <v>100</v>
      </c>
      <c r="BC637">
        <v>100</v>
      </c>
      <c r="BD637">
        <v>100</v>
      </c>
      <c r="BE637">
        <v>1</v>
      </c>
      <c r="BF637">
        <v>15000</v>
      </c>
      <c r="BG637">
        <v>1000</v>
      </c>
      <c r="BH637" s="6">
        <f>Grandview_Inventory[[#This Row],[land_extract]]*Lookups!$B$3</f>
        <v>49167.631333630678</v>
      </c>
      <c r="BI637" s="6">
        <f>IF(Grandview_Inventory[[#This Row],[bldg_style]]="",0,Lookups!$B$2)</f>
        <v>155833.95000000001</v>
      </c>
      <c r="BJ637" s="6">
        <f>_xlfn.IFNA(VLOOKUP(Grandview_Inventory[[#This Row],[quality]],Lookups!$H$2:$J$14,3,FALSE),0)</f>
        <v>20768</v>
      </c>
      <c r="BK637" s="6">
        <f>_xlfn.IFNA(VLOOKUP(Grandview_Inventory[[#This Row],[condition]],Lookups!$H$17:$J$24,3,FALSE),0)</f>
        <v>25818</v>
      </c>
      <c r="BL637" s="6">
        <f>Grandview_Inventory[[#This Row],[Eff_Age]]*Lookups!$B$14</f>
        <v>-5022.4985999999999</v>
      </c>
      <c r="BM637" s="6">
        <f>Grandview_Inventory[[#This Row],[living_area]]*Lookups!$B$15</f>
        <v>113470.771607</v>
      </c>
      <c r="BN637" s="6">
        <f>Grandview_Inventory[[#This Row],[Fin BSMT]]*Lookups!$B$16</f>
        <v>0</v>
      </c>
      <c r="BO637" s="6">
        <f>(Grandview_Inventory[[#This Row],[att_gar]]+Grandview_Inventory[[#This Row],[bltin_gar]])*Lookups!$B$17</f>
        <v>46210.790736000003</v>
      </c>
      <c r="BP637" s="6">
        <f>Grandview_Inventory[[#This Row],[Plumbing Fixtures]]*Lookups!$B$18</f>
        <v>20104.418000000001</v>
      </c>
      <c r="BQ637" s="6">
        <f>Grandview_Inventory[[#This Row],[detatched_value]]*Lookups!$B$19</f>
        <v>0</v>
      </c>
      <c r="BR637" s="6">
        <f>SUM(Grandview_Inventory[[#This Row],[Intercept]:[det_value]])*Grandview_Inventory[[#This Row],[res_pct]]</f>
        <v>377183.43174300005</v>
      </c>
      <c r="BS637" s="6">
        <f>Grandview_Inventory[[#This Row],[land_value]]</f>
        <v>49167.631333630678</v>
      </c>
      <c r="BT637" s="4">
        <f>_xlfn.IFNA(VLOOKUP(Grandview_Inventory[[#This Row],[quality]],Lookups!$A$26:$C$33,3,FALSE),1)</f>
        <v>0.94960540378902636</v>
      </c>
      <c r="BU637" s="4">
        <f>_xlfn.IFNA(VLOOKUP(Grandview_Inventory[[#This Row],[condition]],Lookups!$A$37:$C$44,3,FALSE),1)</f>
        <v>0.96661476234146892</v>
      </c>
      <c r="BV637" s="4">
        <f>IF(Grandview_Inventory[[#This Row],[bldg_style]]="",1,_xlfn.IFNA(VLOOKUP(Grandview_Inventory[[#This Row],[decade]],Lookups!$F$29:$H$43,3,FALSE),1))</f>
        <v>0.98397821291089549</v>
      </c>
      <c r="BW637" s="4">
        <f>_xlfn.IFNA(VLOOKUP(Grandview_Inventory[[#This Row],[living_area_range]],Lookups!$F$47:$H$56,3,FALSE),1)</f>
        <v>0.96120133463014379</v>
      </c>
      <c r="BX637" s="4">
        <f>AVERAGE(Grandview_Inventory[[#This Row],[qual_adj]:[size_adj]])</f>
        <v>0.9653499284178837</v>
      </c>
      <c r="BY637" s="6">
        <f>IF(Grandview_Inventory[[#This Row],[pre_res]]&lt;0,0,Grandview_Inventory[[#This Row],[pre_res]]*Grandview_Inventory[[#This Row],[overall_adj]])</f>
        <v>364113.99883351685</v>
      </c>
      <c r="BZ637" s="6">
        <f>(Grandview_Inventory[[#This Row],[sum_land]]-IF(Grandview_Inventory[[#This Row],[no_utilities]]=1,12000,0))/IF(Grandview_Inventory[[#This Row],[unbuildable]]=1,2,1)</f>
        <v>49167.631333630678</v>
      </c>
      <c r="CA63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37">
        <f>ROUND(Grandview_Inventory[[#This Row],[det_value]]*Lookups!$M$28,-2)</f>
        <v>0</v>
      </c>
      <c r="CC637">
        <f>IF(ROUND(Grandview_Inventory[[#This Row],[adj_res]]*Lookups!$M$28,-2)&lt;Grandview_Inventory[[#This Row],[min_res]],Grandview_Inventory[[#This Row],[min_res]],ROUND(Grandview_Inventory[[#This Row],[adj_res]]*Lookups!$M$28,-2))</f>
        <v>345900</v>
      </c>
      <c r="CD637">
        <f>Grandview_Inventory[[#This Row],[final_det]]+Grandview_Inventory[[#This Row],[final_res]]</f>
        <v>345900</v>
      </c>
      <c r="CE637">
        <f>Grandview_Inventory[[#This Row],[final_land]]+Grandview_Inventory[[#This Row],[final_imp]]+Grandview_Inventory[[#This Row],[crop_value]]</f>
        <v>392600</v>
      </c>
      <c r="CG637" t="str">
        <f t="shared" si="9"/>
        <v>update valuation set market_land =46700, market_bldg=345900, market_total =392600, market_mdno =401, market_date ='9/10/2023' where link_id = (select link_id from parcel where parcel_year = '2024' and parcel_id = '23092224488');</v>
      </c>
    </row>
    <row r="638" spans="1:85" x14ac:dyDescent="0.25">
      <c r="A638">
        <v>23092224489</v>
      </c>
      <c r="B638">
        <v>0.2</v>
      </c>
      <c r="C638">
        <v>8783</v>
      </c>
      <c r="D638" t="s">
        <v>129</v>
      </c>
      <c r="E638" t="s">
        <v>53</v>
      </c>
      <c r="F638" t="s">
        <v>53</v>
      </c>
      <c r="G638">
        <v>4</v>
      </c>
      <c r="H638" t="s">
        <v>54</v>
      </c>
      <c r="I638">
        <v>287100</v>
      </c>
      <c r="J638">
        <v>43700</v>
      </c>
      <c r="K638">
        <v>0.2</v>
      </c>
      <c r="L63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38">
        <v>0</v>
      </c>
      <c r="N638">
        <v>0</v>
      </c>
      <c r="O638">
        <v>0</v>
      </c>
      <c r="P638">
        <v>13398.7528</v>
      </c>
      <c r="Q638">
        <v>63903</v>
      </c>
      <c r="R638">
        <f>(Grandview_Inventory[[#This Row],[ln_acres]]*Grandview_Inventory[[#This Row],[coeff]])+Grandview_Inventory[[#This Row],[const]]</f>
        <v>42338.539264347448</v>
      </c>
      <c r="S638" t="s">
        <v>58</v>
      </c>
      <c r="T638">
        <v>1</v>
      </c>
      <c r="U638" t="s">
        <v>64</v>
      </c>
      <c r="V638" t="s">
        <v>66</v>
      </c>
      <c r="W638">
        <v>0</v>
      </c>
      <c r="X638">
        <v>0</v>
      </c>
      <c r="Y638">
        <v>21</v>
      </c>
      <c r="Z638">
        <v>21</v>
      </c>
      <c r="AA638">
        <v>30</v>
      </c>
      <c r="AB638">
        <v>2000</v>
      </c>
      <c r="AC638">
        <v>1740</v>
      </c>
      <c r="AD638">
        <v>1740</v>
      </c>
      <c r="AE638">
        <v>0</v>
      </c>
      <c r="AF638">
        <v>0</v>
      </c>
      <c r="AG638">
        <v>0</v>
      </c>
      <c r="AH638">
        <v>0</v>
      </c>
      <c r="AI638">
        <v>478</v>
      </c>
      <c r="AJ638">
        <v>0</v>
      </c>
      <c r="AK638">
        <v>0</v>
      </c>
      <c r="AL638">
        <v>0</v>
      </c>
      <c r="AM638">
        <v>0</v>
      </c>
      <c r="AN638">
        <v>157</v>
      </c>
      <c r="AO638">
        <v>0</v>
      </c>
      <c r="AP638">
        <v>10</v>
      </c>
      <c r="AQ638">
        <v>0</v>
      </c>
      <c r="AR638">
        <v>0</v>
      </c>
      <c r="AS638" t="s">
        <v>58</v>
      </c>
      <c r="AT638">
        <v>1</v>
      </c>
      <c r="AU638" t="s">
        <v>63</v>
      </c>
      <c r="AV638" t="s">
        <v>64</v>
      </c>
      <c r="AW638">
        <v>1</v>
      </c>
      <c r="AX638">
        <v>2</v>
      </c>
      <c r="AY638">
        <v>0</v>
      </c>
      <c r="AZ638">
        <v>17600</v>
      </c>
      <c r="BA638">
        <v>100</v>
      </c>
      <c r="BB638">
        <v>100</v>
      </c>
      <c r="BC638">
        <v>100</v>
      </c>
      <c r="BD638">
        <v>100</v>
      </c>
      <c r="BE638">
        <v>1</v>
      </c>
      <c r="BF638">
        <v>15000</v>
      </c>
      <c r="BG638">
        <v>1000</v>
      </c>
      <c r="BH638" s="6">
        <f>Grandview_Inventory[[#This Row],[land_extract]]*Lookups!$B$3</f>
        <v>49167.631333630678</v>
      </c>
      <c r="BI638" s="6">
        <f>IF(Grandview_Inventory[[#This Row],[bldg_style]]="",0,Lookups!$B$2)</f>
        <v>155833.95000000001</v>
      </c>
      <c r="BJ638" s="6">
        <f>_xlfn.IFNA(VLOOKUP(Grandview_Inventory[[#This Row],[quality]],Lookups!$H$2:$J$14,3,FALSE),0)</f>
        <v>20768</v>
      </c>
      <c r="BK638" s="6">
        <f>_xlfn.IFNA(VLOOKUP(Grandview_Inventory[[#This Row],[condition]],Lookups!$H$17:$J$24,3,FALSE),0)</f>
        <v>25818</v>
      </c>
      <c r="BL638" s="6">
        <f>Grandview_Inventory[[#This Row],[Eff_Age]]*Lookups!$B$14</f>
        <v>-5022.4985999999999</v>
      </c>
      <c r="BM638" s="6">
        <f>Grandview_Inventory[[#This Row],[living_area]]*Lookups!$B$15</f>
        <v>108542.68422000001</v>
      </c>
      <c r="BN638" s="6">
        <f>Grandview_Inventory[[#This Row],[Fin BSMT]]*Lookups!$B$16</f>
        <v>0</v>
      </c>
      <c r="BO638" s="6">
        <f>(Grandview_Inventory[[#This Row],[att_gar]]+Grandview_Inventory[[#This Row],[bltin_gar]])*Lookups!$B$17</f>
        <v>41834.768885999998</v>
      </c>
      <c r="BP638" s="6">
        <f>Grandview_Inventory[[#This Row],[Plumbing Fixtures]]*Lookups!$B$18</f>
        <v>20104.418000000001</v>
      </c>
      <c r="BQ638" s="6">
        <f>Grandview_Inventory[[#This Row],[detatched_value]]*Lookups!$B$19</f>
        <v>14903.769759999999</v>
      </c>
      <c r="BR638" s="6">
        <f>SUM(Grandview_Inventory[[#This Row],[Intercept]:[det_value]])*Grandview_Inventory[[#This Row],[res_pct]]</f>
        <v>382783.09226599999</v>
      </c>
      <c r="BS638" s="6">
        <f>Grandview_Inventory[[#This Row],[land_value]]</f>
        <v>49167.631333630678</v>
      </c>
      <c r="BT638" s="4">
        <f>_xlfn.IFNA(VLOOKUP(Grandview_Inventory[[#This Row],[quality]],Lookups!$A$26:$C$33,3,FALSE),1)</f>
        <v>0.94960540378902636</v>
      </c>
      <c r="BU638" s="4">
        <f>_xlfn.IFNA(VLOOKUP(Grandview_Inventory[[#This Row],[condition]],Lookups!$A$37:$C$44,3,FALSE),1)</f>
        <v>0.96661476234146892</v>
      </c>
      <c r="BV638" s="4">
        <f>IF(Grandview_Inventory[[#This Row],[bldg_style]]="",1,_xlfn.IFNA(VLOOKUP(Grandview_Inventory[[#This Row],[decade]],Lookups!$F$29:$H$43,3,FALSE),1))</f>
        <v>0.98397821291089549</v>
      </c>
      <c r="BW638" s="4">
        <f>_xlfn.IFNA(VLOOKUP(Grandview_Inventory[[#This Row],[living_area_range]],Lookups!$F$47:$H$56,3,FALSE),1)</f>
        <v>0.96120133463014379</v>
      </c>
      <c r="BX638" s="4">
        <f>AVERAGE(Grandview_Inventory[[#This Row],[qual_adj]:[size_adj]])</f>
        <v>0.9653499284178837</v>
      </c>
      <c r="BY638" s="6">
        <f>IF(Grandview_Inventory[[#This Row],[pre_res]]&lt;0,0,Grandview_Inventory[[#This Row],[pre_res]]*Grandview_Inventory[[#This Row],[overall_adj]])</f>
        <v>369519.63071855926</v>
      </c>
      <c r="BZ638" s="6">
        <f>(Grandview_Inventory[[#This Row],[sum_land]]-IF(Grandview_Inventory[[#This Row],[no_utilities]]=1,12000,0))/IF(Grandview_Inventory[[#This Row],[unbuildable]]=1,2,1)</f>
        <v>49167.631333630678</v>
      </c>
      <c r="CA63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38">
        <f>ROUND(Grandview_Inventory[[#This Row],[det_value]]*Lookups!$M$28,-2)</f>
        <v>14200</v>
      </c>
      <c r="CC638">
        <f>IF(ROUND(Grandview_Inventory[[#This Row],[adj_res]]*Lookups!$M$28,-2)&lt;Grandview_Inventory[[#This Row],[min_res]],Grandview_Inventory[[#This Row],[min_res]],ROUND(Grandview_Inventory[[#This Row],[adj_res]]*Lookups!$M$28,-2))</f>
        <v>351000</v>
      </c>
      <c r="CD638">
        <f>Grandview_Inventory[[#This Row],[final_det]]+Grandview_Inventory[[#This Row],[final_res]]</f>
        <v>365200</v>
      </c>
      <c r="CE638">
        <f>Grandview_Inventory[[#This Row],[final_land]]+Grandview_Inventory[[#This Row],[final_imp]]+Grandview_Inventory[[#This Row],[crop_value]]</f>
        <v>411900</v>
      </c>
      <c r="CG638" t="str">
        <f t="shared" si="9"/>
        <v>update valuation set market_land =46700, market_bldg=365200, market_total =411900, market_mdno =401, market_date ='9/10/2023' where link_id = (select link_id from parcel where parcel_year = '2024' and parcel_id = '23092224489');</v>
      </c>
    </row>
    <row r="639" spans="1:85" x14ac:dyDescent="0.25">
      <c r="A639">
        <v>23092224490</v>
      </c>
      <c r="B639">
        <v>0.21</v>
      </c>
      <c r="C639">
        <v>9177</v>
      </c>
      <c r="D639" t="s">
        <v>129</v>
      </c>
      <c r="E639" t="s">
        <v>53</v>
      </c>
      <c r="F639" t="s">
        <v>53</v>
      </c>
      <c r="G639">
        <v>4</v>
      </c>
      <c r="H639" t="s">
        <v>54</v>
      </c>
      <c r="I639">
        <v>329400</v>
      </c>
      <c r="J639">
        <v>43700</v>
      </c>
      <c r="K639">
        <v>0.21</v>
      </c>
      <c r="L63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39">
        <v>0</v>
      </c>
      <c r="N639">
        <v>0</v>
      </c>
      <c r="O639">
        <v>0</v>
      </c>
      <c r="P639">
        <v>13398.7528</v>
      </c>
      <c r="Q639">
        <v>63903</v>
      </c>
      <c r="R639">
        <f>(Grandview_Inventory[[#This Row],[ln_acres]]*Grandview_Inventory[[#This Row],[coeff]])+Grandview_Inventory[[#This Row],[const]]</f>
        <v>42992.266613125081</v>
      </c>
      <c r="S639" t="s">
        <v>58</v>
      </c>
      <c r="T639">
        <v>1</v>
      </c>
      <c r="U639" t="s">
        <v>64</v>
      </c>
      <c r="V639" t="s">
        <v>66</v>
      </c>
      <c r="W639">
        <v>0</v>
      </c>
      <c r="X639">
        <v>0</v>
      </c>
      <c r="Y639">
        <v>21</v>
      </c>
      <c r="Z639">
        <v>21</v>
      </c>
      <c r="AA639">
        <v>30</v>
      </c>
      <c r="AB639">
        <v>2500</v>
      </c>
      <c r="AC639">
        <v>2375</v>
      </c>
      <c r="AD639">
        <v>2375</v>
      </c>
      <c r="AE639">
        <v>0</v>
      </c>
      <c r="AF639">
        <v>0</v>
      </c>
      <c r="AG639">
        <v>0</v>
      </c>
      <c r="AH639">
        <v>0</v>
      </c>
      <c r="AI639">
        <v>901</v>
      </c>
      <c r="AJ639">
        <v>0</v>
      </c>
      <c r="AK639">
        <v>0</v>
      </c>
      <c r="AL639">
        <v>0</v>
      </c>
      <c r="AM639">
        <v>330</v>
      </c>
      <c r="AN639">
        <v>219</v>
      </c>
      <c r="AO639">
        <v>330</v>
      </c>
      <c r="AP639">
        <v>9</v>
      </c>
      <c r="AQ639">
        <v>0</v>
      </c>
      <c r="AR639">
        <v>0</v>
      </c>
      <c r="AS639" t="s">
        <v>58</v>
      </c>
      <c r="AT639">
        <v>1</v>
      </c>
      <c r="AU639" t="s">
        <v>63</v>
      </c>
      <c r="AV639" t="s">
        <v>64</v>
      </c>
      <c r="AW639">
        <v>1</v>
      </c>
      <c r="AX639">
        <v>3</v>
      </c>
      <c r="AY639">
        <v>0</v>
      </c>
      <c r="AZ639">
        <v>0</v>
      </c>
      <c r="BA639">
        <v>100</v>
      </c>
      <c r="BB639">
        <v>100</v>
      </c>
      <c r="BC639">
        <v>100</v>
      </c>
      <c r="BD639">
        <v>100</v>
      </c>
      <c r="BE639">
        <v>1</v>
      </c>
      <c r="BF639">
        <v>15000</v>
      </c>
      <c r="BG639">
        <v>1000</v>
      </c>
      <c r="BH639" s="6">
        <f>Grandview_Inventory[[#This Row],[land_extract]]*Lookups!$B$3</f>
        <v>49926.8031387023</v>
      </c>
      <c r="BI639" s="6">
        <f>IF(Grandview_Inventory[[#This Row],[bldg_style]]="",0,Lookups!$B$2)</f>
        <v>155833.95000000001</v>
      </c>
      <c r="BJ639" s="6">
        <f>_xlfn.IFNA(VLOOKUP(Grandview_Inventory[[#This Row],[quality]],Lookups!$H$2:$J$14,3,FALSE),0)</f>
        <v>20768</v>
      </c>
      <c r="BK639" s="6">
        <f>_xlfn.IFNA(VLOOKUP(Grandview_Inventory[[#This Row],[condition]],Lookups!$H$17:$J$24,3,FALSE),0)</f>
        <v>25818</v>
      </c>
      <c r="BL639" s="6">
        <f>Grandview_Inventory[[#This Row],[Eff_Age]]*Lookups!$B$14</f>
        <v>-5022.4985999999999</v>
      </c>
      <c r="BM639" s="6">
        <f>Grandview_Inventory[[#This Row],[living_area]]*Lookups!$B$15</f>
        <v>148154.52587499999</v>
      </c>
      <c r="BN639" s="6">
        <f>Grandview_Inventory[[#This Row],[Fin BSMT]]*Lookups!$B$16</f>
        <v>0</v>
      </c>
      <c r="BO639" s="6">
        <f>(Grandview_Inventory[[#This Row],[att_gar]]+Grandview_Inventory[[#This Row],[bltin_gar]])*Lookups!$B$17</f>
        <v>78855.913736999995</v>
      </c>
      <c r="BP639" s="6">
        <f>Grandview_Inventory[[#This Row],[Plumbing Fixtures]]*Lookups!$B$18</f>
        <v>18093.976200000001</v>
      </c>
      <c r="BQ639" s="6">
        <f>Grandview_Inventory[[#This Row],[detatched_value]]*Lookups!$B$19</f>
        <v>0</v>
      </c>
      <c r="BR639" s="6">
        <f>SUM(Grandview_Inventory[[#This Row],[Intercept]:[det_value]])*Grandview_Inventory[[#This Row],[res_pct]]</f>
        <v>442501.86721200001</v>
      </c>
      <c r="BS639" s="6">
        <f>Grandview_Inventory[[#This Row],[land_value]]</f>
        <v>49926.8031387023</v>
      </c>
      <c r="BT639" s="4">
        <f>_xlfn.IFNA(VLOOKUP(Grandview_Inventory[[#This Row],[quality]],Lookups!$A$26:$C$33,3,FALSE),1)</f>
        <v>0.94960540378902636</v>
      </c>
      <c r="BU639" s="4">
        <f>_xlfn.IFNA(VLOOKUP(Grandview_Inventory[[#This Row],[condition]],Lookups!$A$37:$C$44,3,FALSE),1)</f>
        <v>0.96661476234146892</v>
      </c>
      <c r="BV639" s="4">
        <f>IF(Grandview_Inventory[[#This Row],[bldg_style]]="",1,_xlfn.IFNA(VLOOKUP(Grandview_Inventory[[#This Row],[decade]],Lookups!$F$29:$H$43,3,FALSE),1))</f>
        <v>0.98397821291089549</v>
      </c>
      <c r="BW639" s="4">
        <f>_xlfn.IFNA(VLOOKUP(Grandview_Inventory[[#This Row],[living_area_range]],Lookups!$F$47:$H$56,3,FALSE),1)</f>
        <v>0.95799442568048754</v>
      </c>
      <c r="BX639" s="4">
        <f>AVERAGE(Grandview_Inventory[[#This Row],[qual_adj]:[size_adj]])</f>
        <v>0.96454820118046958</v>
      </c>
      <c r="BY639" s="6">
        <f>IF(Grandview_Inventory[[#This Row],[pre_res]]&lt;0,0,Grandview_Inventory[[#This Row],[pre_res]]*Grandview_Inventory[[#This Row],[overall_adj]])</f>
        <v>426814.38003833365</v>
      </c>
      <c r="BZ639" s="6">
        <f>(Grandview_Inventory[[#This Row],[sum_land]]-IF(Grandview_Inventory[[#This Row],[no_utilities]]=1,12000,0))/IF(Grandview_Inventory[[#This Row],[unbuildable]]=1,2,1)</f>
        <v>49926.8031387023</v>
      </c>
      <c r="CA63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39">
        <f>ROUND(Grandview_Inventory[[#This Row],[det_value]]*Lookups!$M$28,-2)</f>
        <v>0</v>
      </c>
      <c r="CC639">
        <f>IF(ROUND(Grandview_Inventory[[#This Row],[adj_res]]*Lookups!$M$28,-2)&lt;Grandview_Inventory[[#This Row],[min_res]],Grandview_Inventory[[#This Row],[min_res]],ROUND(Grandview_Inventory[[#This Row],[adj_res]]*Lookups!$M$28,-2))</f>
        <v>405500</v>
      </c>
      <c r="CD639">
        <f>Grandview_Inventory[[#This Row],[final_det]]+Grandview_Inventory[[#This Row],[final_res]]</f>
        <v>405500</v>
      </c>
      <c r="CE639">
        <f>Grandview_Inventory[[#This Row],[final_land]]+Grandview_Inventory[[#This Row],[final_imp]]+Grandview_Inventory[[#This Row],[crop_value]]</f>
        <v>452900</v>
      </c>
      <c r="CG639" t="str">
        <f t="shared" si="9"/>
        <v>update valuation set market_land =47400, market_bldg=405500, market_total =452900, market_mdno =401, market_date ='9/10/2023' where link_id = (select link_id from parcel where parcel_year = '2024' and parcel_id = '23092224490');</v>
      </c>
    </row>
    <row r="640" spans="1:85" x14ac:dyDescent="0.25">
      <c r="A640">
        <v>23092224491</v>
      </c>
      <c r="B640">
        <v>0.19</v>
      </c>
      <c r="C640">
        <v>8266</v>
      </c>
      <c r="D640" t="s">
        <v>129</v>
      </c>
      <c r="E640" t="s">
        <v>53</v>
      </c>
      <c r="F640" t="s">
        <v>53</v>
      </c>
      <c r="G640">
        <v>4</v>
      </c>
      <c r="H640" t="s">
        <v>54</v>
      </c>
      <c r="I640">
        <v>273900</v>
      </c>
      <c r="J640">
        <v>43500</v>
      </c>
      <c r="K640">
        <v>0.19</v>
      </c>
      <c r="L64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40">
        <v>0</v>
      </c>
      <c r="N640">
        <v>0</v>
      </c>
      <c r="O640">
        <v>0</v>
      </c>
      <c r="P640">
        <v>13398.7528</v>
      </c>
      <c r="Q640">
        <v>63903</v>
      </c>
      <c r="R640">
        <f>(Grandview_Inventory[[#This Row],[ln_acres]]*Grandview_Inventory[[#This Row],[coeff]])+Grandview_Inventory[[#This Row],[const]]</f>
        <v>41651.273092551026</v>
      </c>
      <c r="S640" t="s">
        <v>58</v>
      </c>
      <c r="T640">
        <v>1</v>
      </c>
      <c r="U640" t="s">
        <v>64</v>
      </c>
      <c r="V640" t="s">
        <v>66</v>
      </c>
      <c r="W640">
        <v>0</v>
      </c>
      <c r="X640">
        <v>0</v>
      </c>
      <c r="Y640">
        <v>19</v>
      </c>
      <c r="Z640">
        <v>19</v>
      </c>
      <c r="AA640">
        <v>20</v>
      </c>
      <c r="AB640">
        <v>2000</v>
      </c>
      <c r="AC640">
        <v>1958</v>
      </c>
      <c r="AD640">
        <v>1844</v>
      </c>
      <c r="AE640">
        <v>0</v>
      </c>
      <c r="AF640">
        <v>114</v>
      </c>
      <c r="AG640">
        <v>0</v>
      </c>
      <c r="AH640">
        <v>0</v>
      </c>
      <c r="AI640">
        <v>448</v>
      </c>
      <c r="AJ640">
        <v>0</v>
      </c>
      <c r="AK640">
        <v>0</v>
      </c>
      <c r="AL640">
        <v>0</v>
      </c>
      <c r="AM640">
        <v>0</v>
      </c>
      <c r="AN640">
        <v>308</v>
      </c>
      <c r="AO640">
        <v>0</v>
      </c>
      <c r="AP640">
        <v>10</v>
      </c>
      <c r="AQ640">
        <v>0</v>
      </c>
      <c r="AR640">
        <v>0</v>
      </c>
      <c r="AS640" t="s">
        <v>58</v>
      </c>
      <c r="AT640">
        <v>1</v>
      </c>
      <c r="AU640" t="s">
        <v>63</v>
      </c>
      <c r="AV640" t="s">
        <v>64</v>
      </c>
      <c r="AW640">
        <v>1</v>
      </c>
      <c r="AX640">
        <v>3</v>
      </c>
      <c r="AY640">
        <v>0</v>
      </c>
      <c r="AZ640">
        <v>0</v>
      </c>
      <c r="BA640">
        <v>100</v>
      </c>
      <c r="BB640">
        <v>100</v>
      </c>
      <c r="BC640">
        <v>100</v>
      </c>
      <c r="BD640">
        <v>100</v>
      </c>
      <c r="BE640">
        <v>1</v>
      </c>
      <c r="BF640">
        <v>15000</v>
      </c>
      <c r="BG640">
        <v>1000</v>
      </c>
      <c r="BH640" s="6">
        <f>Grandview_Inventory[[#This Row],[land_extract]]*Lookups!$B$3</f>
        <v>48369.510983942157</v>
      </c>
      <c r="BI640" s="6">
        <f>IF(Grandview_Inventory[[#This Row],[bldg_style]]="",0,Lookups!$B$2)</f>
        <v>155833.95000000001</v>
      </c>
      <c r="BJ640" s="6">
        <f>_xlfn.IFNA(VLOOKUP(Grandview_Inventory[[#This Row],[quality]],Lookups!$H$2:$J$14,3,FALSE),0)</f>
        <v>20768</v>
      </c>
      <c r="BK640" s="6">
        <f>_xlfn.IFNA(VLOOKUP(Grandview_Inventory[[#This Row],[condition]],Lookups!$H$17:$J$24,3,FALSE),0)</f>
        <v>25818</v>
      </c>
      <c r="BL640" s="6">
        <f>Grandview_Inventory[[#This Row],[Eff_Age]]*Lookups!$B$14</f>
        <v>-4544.1653999999999</v>
      </c>
      <c r="BM640" s="6">
        <f>Grandview_Inventory[[#This Row],[living_area]]*Lookups!$B$15</f>
        <v>122141.71017400001</v>
      </c>
      <c r="BN640" s="6">
        <f>Grandview_Inventory[[#This Row],[Fin BSMT]]*Lookups!$B$16</f>
        <v>0</v>
      </c>
      <c r="BO640" s="6">
        <f>(Grandview_Inventory[[#This Row],[att_gar]]+Grandview_Inventory[[#This Row],[bltin_gar]])*Lookups!$B$17</f>
        <v>39209.155776</v>
      </c>
      <c r="BP640" s="6">
        <f>Grandview_Inventory[[#This Row],[Plumbing Fixtures]]*Lookups!$B$18</f>
        <v>20104.418000000001</v>
      </c>
      <c r="BQ640" s="6">
        <f>Grandview_Inventory[[#This Row],[detatched_value]]*Lookups!$B$19</f>
        <v>0</v>
      </c>
      <c r="BR640" s="6">
        <f>SUM(Grandview_Inventory[[#This Row],[Intercept]:[det_value]])*Grandview_Inventory[[#This Row],[res_pct]]</f>
        <v>379331.06855000003</v>
      </c>
      <c r="BS640" s="6">
        <f>Grandview_Inventory[[#This Row],[land_value]]</f>
        <v>48369.510983942157</v>
      </c>
      <c r="BT640" s="4">
        <f>_xlfn.IFNA(VLOOKUP(Grandview_Inventory[[#This Row],[quality]],Lookups!$A$26:$C$33,3,FALSE),1)</f>
        <v>0.94960540378902636</v>
      </c>
      <c r="BU640" s="4">
        <f>_xlfn.IFNA(VLOOKUP(Grandview_Inventory[[#This Row],[condition]],Lookups!$A$37:$C$44,3,FALSE),1)</f>
        <v>0.96661476234146892</v>
      </c>
      <c r="BV640" s="4">
        <f>IF(Grandview_Inventory[[#This Row],[bldg_style]]="",1,_xlfn.IFNA(VLOOKUP(Grandview_Inventory[[#This Row],[decade]],Lookups!$F$29:$H$43,3,FALSE),1))</f>
        <v>0.96737494181490646</v>
      </c>
      <c r="BW640" s="4">
        <f>_xlfn.IFNA(VLOOKUP(Grandview_Inventory[[#This Row],[living_area_range]],Lookups!$F$47:$H$56,3,FALSE),1)</f>
        <v>0.96120133463014379</v>
      </c>
      <c r="BX640" s="4">
        <f>AVERAGE(Grandview_Inventory[[#This Row],[qual_adj]:[size_adj]])</f>
        <v>0.96119911064388641</v>
      </c>
      <c r="BY640" s="6">
        <f>IF(Grandview_Inventory[[#This Row],[pre_res]]&lt;0,0,Grandview_Inventory[[#This Row],[pre_res]]*Grandview_Inventory[[#This Row],[overall_adj]])</f>
        <v>364612.68572985515</v>
      </c>
      <c r="BZ640" s="6">
        <f>(Grandview_Inventory[[#This Row],[sum_land]]-IF(Grandview_Inventory[[#This Row],[no_utilities]]=1,12000,0))/IF(Grandview_Inventory[[#This Row],[unbuildable]]=1,2,1)</f>
        <v>48369.510983942157</v>
      </c>
      <c r="CA64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40">
        <f>ROUND(Grandview_Inventory[[#This Row],[det_value]]*Lookups!$M$28,-2)</f>
        <v>0</v>
      </c>
      <c r="CC640">
        <f>IF(ROUND(Grandview_Inventory[[#This Row],[adj_res]]*Lookups!$M$28,-2)&lt;Grandview_Inventory[[#This Row],[min_res]],Grandview_Inventory[[#This Row],[min_res]],ROUND(Grandview_Inventory[[#This Row],[adj_res]]*Lookups!$M$28,-2))</f>
        <v>346400</v>
      </c>
      <c r="CD640">
        <f>Grandview_Inventory[[#This Row],[final_det]]+Grandview_Inventory[[#This Row],[final_res]]</f>
        <v>346400</v>
      </c>
      <c r="CE640">
        <f>Grandview_Inventory[[#This Row],[final_land]]+Grandview_Inventory[[#This Row],[final_imp]]+Grandview_Inventory[[#This Row],[crop_value]]</f>
        <v>392400</v>
      </c>
      <c r="CG640" t="str">
        <f t="shared" si="9"/>
        <v>update valuation set market_land =46000, market_bldg=346400, market_total =392400, market_mdno =401, market_date ='9/10/2023' where link_id = (select link_id from parcel where parcel_year = '2024' and parcel_id = '23092224491');</v>
      </c>
    </row>
    <row r="641" spans="1:85" x14ac:dyDescent="0.25">
      <c r="A641">
        <v>23092224492</v>
      </c>
      <c r="B641">
        <v>0.22</v>
      </c>
      <c r="C641">
        <v>9395</v>
      </c>
      <c r="D641" t="s">
        <v>129</v>
      </c>
      <c r="E641" t="s">
        <v>53</v>
      </c>
      <c r="F641" t="s">
        <v>53</v>
      </c>
      <c r="G641">
        <v>4</v>
      </c>
      <c r="H641" t="s">
        <v>54</v>
      </c>
      <c r="I641">
        <v>264200</v>
      </c>
      <c r="J641">
        <v>43800</v>
      </c>
      <c r="K641">
        <v>0.22</v>
      </c>
      <c r="L64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41">
        <v>0</v>
      </c>
      <c r="N641">
        <v>0</v>
      </c>
      <c r="O641">
        <v>0</v>
      </c>
      <c r="P641">
        <v>13398.7528</v>
      </c>
      <c r="Q641">
        <v>63903</v>
      </c>
      <c r="R641">
        <f>(Grandview_Inventory[[#This Row],[ln_acres]]*Grandview_Inventory[[#This Row],[coeff]])+Grandview_Inventory[[#This Row],[const]]</f>
        <v>43615.576802869145</v>
      </c>
      <c r="S641" t="s">
        <v>58</v>
      </c>
      <c r="T641">
        <v>1</v>
      </c>
      <c r="U641" t="s">
        <v>62</v>
      </c>
      <c r="V641" t="s">
        <v>66</v>
      </c>
      <c r="W641">
        <v>0</v>
      </c>
      <c r="X641">
        <v>0</v>
      </c>
      <c r="Y641">
        <v>20</v>
      </c>
      <c r="Z641">
        <v>20</v>
      </c>
      <c r="AA641">
        <v>20</v>
      </c>
      <c r="AB641">
        <v>2000</v>
      </c>
      <c r="AC641">
        <v>1750</v>
      </c>
      <c r="AD641">
        <v>1750</v>
      </c>
      <c r="AE641">
        <v>0</v>
      </c>
      <c r="AF641">
        <v>0</v>
      </c>
      <c r="AG641">
        <v>0</v>
      </c>
      <c r="AH641">
        <v>0</v>
      </c>
      <c r="AI641">
        <v>470</v>
      </c>
      <c r="AJ641">
        <v>0</v>
      </c>
      <c r="AK641">
        <v>0</v>
      </c>
      <c r="AL641">
        <v>0</v>
      </c>
      <c r="AM641">
        <v>432</v>
      </c>
      <c r="AN641">
        <v>90</v>
      </c>
      <c r="AO641">
        <v>432</v>
      </c>
      <c r="AP641">
        <v>9</v>
      </c>
      <c r="AQ641">
        <v>0</v>
      </c>
      <c r="AR641">
        <v>0</v>
      </c>
      <c r="AS641" t="s">
        <v>58</v>
      </c>
      <c r="AT641">
        <v>1</v>
      </c>
      <c r="AU641" t="s">
        <v>63</v>
      </c>
      <c r="AV641" t="s">
        <v>60</v>
      </c>
      <c r="AW641">
        <v>1</v>
      </c>
      <c r="AX641">
        <v>3</v>
      </c>
      <c r="AY641">
        <v>0</v>
      </c>
      <c r="AZ641">
        <v>0</v>
      </c>
      <c r="BA641">
        <v>100</v>
      </c>
      <c r="BB641">
        <v>100</v>
      </c>
      <c r="BC641">
        <v>100</v>
      </c>
      <c r="BD641">
        <v>100</v>
      </c>
      <c r="BE641">
        <v>1</v>
      </c>
      <c r="BF641">
        <v>15000</v>
      </c>
      <c r="BG641">
        <v>1000</v>
      </c>
      <c r="BH641" s="6">
        <f>Grandview_Inventory[[#This Row],[land_extract]]*Lookups!$B$3</f>
        <v>50650.651579114572</v>
      </c>
      <c r="BI641" s="6">
        <f>IF(Grandview_Inventory[[#This Row],[bldg_style]]="",0,Lookups!$B$2)</f>
        <v>155833.95000000001</v>
      </c>
      <c r="BJ641" s="6">
        <f>_xlfn.IFNA(VLOOKUP(Grandview_Inventory[[#This Row],[quality]],Lookups!$H$2:$J$14,3,FALSE),0)</f>
        <v>9808</v>
      </c>
      <c r="BK641" s="6">
        <f>_xlfn.IFNA(VLOOKUP(Grandview_Inventory[[#This Row],[condition]],Lookups!$H$17:$J$24,3,FALSE),0)</f>
        <v>25818</v>
      </c>
      <c r="BL641" s="6">
        <f>Grandview_Inventory[[#This Row],[Eff_Age]]*Lookups!$B$14</f>
        <v>-4783.3319999999994</v>
      </c>
      <c r="BM641" s="6">
        <f>Grandview_Inventory[[#This Row],[living_area]]*Lookups!$B$15</f>
        <v>109166.49275</v>
      </c>
      <c r="BN641" s="6">
        <f>Grandview_Inventory[[#This Row],[Fin BSMT]]*Lookups!$B$16</f>
        <v>0</v>
      </c>
      <c r="BO641" s="6">
        <f>(Grandview_Inventory[[#This Row],[att_gar]]+Grandview_Inventory[[#This Row],[bltin_gar]])*Lookups!$B$17</f>
        <v>41134.605389999997</v>
      </c>
      <c r="BP641" s="6">
        <f>Grandview_Inventory[[#This Row],[Plumbing Fixtures]]*Lookups!$B$18</f>
        <v>18093.976200000001</v>
      </c>
      <c r="BQ641" s="6">
        <f>Grandview_Inventory[[#This Row],[detatched_value]]*Lookups!$B$19</f>
        <v>0</v>
      </c>
      <c r="BR641" s="6">
        <f>SUM(Grandview_Inventory[[#This Row],[Intercept]:[det_value]])*Grandview_Inventory[[#This Row],[res_pct]]</f>
        <v>355071.69233999995</v>
      </c>
      <c r="BS641" s="6">
        <f>Grandview_Inventory[[#This Row],[land_value]]</f>
        <v>50650.651579114572</v>
      </c>
      <c r="BT641" s="4">
        <f>_xlfn.IFNA(VLOOKUP(Grandview_Inventory[[#This Row],[quality]],Lookups!$A$26:$C$33,3,FALSE),1)</f>
        <v>0.94295468617355149</v>
      </c>
      <c r="BU641" s="4">
        <f>_xlfn.IFNA(VLOOKUP(Grandview_Inventory[[#This Row],[condition]],Lookups!$A$37:$C$44,3,FALSE),1)</f>
        <v>0.96661476234146892</v>
      </c>
      <c r="BV641" s="4">
        <f>IF(Grandview_Inventory[[#This Row],[bldg_style]]="",1,_xlfn.IFNA(VLOOKUP(Grandview_Inventory[[#This Row],[decade]],Lookups!$F$29:$H$43,3,FALSE),1))</f>
        <v>0.96737494181490646</v>
      </c>
      <c r="BW641" s="4">
        <f>_xlfn.IFNA(VLOOKUP(Grandview_Inventory[[#This Row],[living_area_range]],Lookups!$F$47:$H$56,3,FALSE),1)</f>
        <v>0.96120133463014379</v>
      </c>
      <c r="BX641" s="4">
        <f>AVERAGE(Grandview_Inventory[[#This Row],[qual_adj]:[size_adj]])</f>
        <v>0.95953643124001764</v>
      </c>
      <c r="BY641" s="6">
        <f>IF(Grandview_Inventory[[#This Row],[pre_res]]&lt;0,0,Grandview_Inventory[[#This Row],[pre_res]]*Grandview_Inventory[[#This Row],[overall_adj]])</f>
        <v>340704.22450227704</v>
      </c>
      <c r="BZ641" s="6">
        <f>(Grandview_Inventory[[#This Row],[sum_land]]-IF(Grandview_Inventory[[#This Row],[no_utilities]]=1,12000,0))/IF(Grandview_Inventory[[#This Row],[unbuildable]]=1,2,1)</f>
        <v>50650.651579114572</v>
      </c>
      <c r="CA64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41">
        <f>ROUND(Grandview_Inventory[[#This Row],[det_value]]*Lookups!$M$28,-2)</f>
        <v>0</v>
      </c>
      <c r="CC641">
        <f>IF(ROUND(Grandview_Inventory[[#This Row],[adj_res]]*Lookups!$M$28,-2)&lt;Grandview_Inventory[[#This Row],[min_res]],Grandview_Inventory[[#This Row],[min_res]],ROUND(Grandview_Inventory[[#This Row],[adj_res]]*Lookups!$M$28,-2))</f>
        <v>323700</v>
      </c>
      <c r="CD641">
        <f>Grandview_Inventory[[#This Row],[final_det]]+Grandview_Inventory[[#This Row],[final_res]]</f>
        <v>323700</v>
      </c>
      <c r="CE641">
        <f>Grandview_Inventory[[#This Row],[final_land]]+Grandview_Inventory[[#This Row],[final_imp]]+Grandview_Inventory[[#This Row],[crop_value]]</f>
        <v>371800</v>
      </c>
      <c r="CG641" t="str">
        <f t="shared" si="9"/>
        <v>update valuation set market_land =48100, market_bldg=323700, market_total =371800, market_mdno =401, market_date ='9/10/2023' where link_id = (select link_id from parcel where parcel_year = '2024' and parcel_id = '23092224492');</v>
      </c>
    </row>
    <row r="642" spans="1:85" x14ac:dyDescent="0.25">
      <c r="A642">
        <v>23092224493</v>
      </c>
      <c r="B642">
        <v>0.21</v>
      </c>
      <c r="C642">
        <v>9200</v>
      </c>
      <c r="D642" t="s">
        <v>129</v>
      </c>
      <c r="E642" t="s">
        <v>53</v>
      </c>
      <c r="F642" t="s">
        <v>53</v>
      </c>
      <c r="G642">
        <v>4</v>
      </c>
      <c r="H642" t="s">
        <v>54</v>
      </c>
      <c r="I642">
        <v>265000</v>
      </c>
      <c r="J642">
        <v>43700</v>
      </c>
      <c r="K642">
        <v>0.21</v>
      </c>
      <c r="L64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42">
        <v>0</v>
      </c>
      <c r="N642">
        <v>0</v>
      </c>
      <c r="O642">
        <v>0</v>
      </c>
      <c r="P642">
        <v>13398.7528</v>
      </c>
      <c r="Q642">
        <v>63903</v>
      </c>
      <c r="R642">
        <f>(Grandview_Inventory[[#This Row],[ln_acres]]*Grandview_Inventory[[#This Row],[coeff]])+Grandview_Inventory[[#This Row],[const]]</f>
        <v>42992.266613125081</v>
      </c>
      <c r="S642" t="s">
        <v>58</v>
      </c>
      <c r="T642">
        <v>1</v>
      </c>
      <c r="U642" t="s">
        <v>62</v>
      </c>
      <c r="V642" t="s">
        <v>66</v>
      </c>
      <c r="W642">
        <v>0</v>
      </c>
      <c r="X642">
        <v>0</v>
      </c>
      <c r="Y642">
        <v>19</v>
      </c>
      <c r="Z642">
        <v>19</v>
      </c>
      <c r="AA642">
        <v>20</v>
      </c>
      <c r="AB642">
        <v>2000</v>
      </c>
      <c r="AC642">
        <v>1796</v>
      </c>
      <c r="AD642">
        <v>1796</v>
      </c>
      <c r="AE642">
        <v>0</v>
      </c>
      <c r="AF642">
        <v>0</v>
      </c>
      <c r="AG642">
        <v>0</v>
      </c>
      <c r="AH642">
        <v>0</v>
      </c>
      <c r="AI642">
        <v>594</v>
      </c>
      <c r="AJ642">
        <v>0</v>
      </c>
      <c r="AK642">
        <v>0</v>
      </c>
      <c r="AL642">
        <v>0</v>
      </c>
      <c r="AM642">
        <v>100</v>
      </c>
      <c r="AN642">
        <v>270</v>
      </c>
      <c r="AO642">
        <v>150</v>
      </c>
      <c r="AP642">
        <v>8</v>
      </c>
      <c r="AQ642">
        <v>0</v>
      </c>
      <c r="AR642">
        <v>0</v>
      </c>
      <c r="AS642" t="s">
        <v>58</v>
      </c>
      <c r="AT642">
        <v>1</v>
      </c>
      <c r="AU642" t="s">
        <v>63</v>
      </c>
      <c r="AV642" t="s">
        <v>64</v>
      </c>
      <c r="AW642">
        <v>1</v>
      </c>
      <c r="AX642">
        <v>3</v>
      </c>
      <c r="AY642">
        <v>0</v>
      </c>
      <c r="AZ642">
        <v>0</v>
      </c>
      <c r="BA642">
        <v>100</v>
      </c>
      <c r="BB642">
        <v>100</v>
      </c>
      <c r="BC642">
        <v>100</v>
      </c>
      <c r="BD642">
        <v>100</v>
      </c>
      <c r="BE642">
        <v>1</v>
      </c>
      <c r="BF642">
        <v>15000</v>
      </c>
      <c r="BG642">
        <v>1000</v>
      </c>
      <c r="BH642" s="6">
        <f>Grandview_Inventory[[#This Row],[land_extract]]*Lookups!$B$3</f>
        <v>49926.8031387023</v>
      </c>
      <c r="BI642" s="6">
        <f>IF(Grandview_Inventory[[#This Row],[bldg_style]]="",0,Lookups!$B$2)</f>
        <v>155833.95000000001</v>
      </c>
      <c r="BJ642" s="6">
        <f>_xlfn.IFNA(VLOOKUP(Grandview_Inventory[[#This Row],[quality]],Lookups!$H$2:$J$14,3,FALSE),0)</f>
        <v>9808</v>
      </c>
      <c r="BK642" s="6">
        <f>_xlfn.IFNA(VLOOKUP(Grandview_Inventory[[#This Row],[condition]],Lookups!$H$17:$J$24,3,FALSE),0)</f>
        <v>25818</v>
      </c>
      <c r="BL642" s="6">
        <f>Grandview_Inventory[[#This Row],[Eff_Age]]*Lookups!$B$14</f>
        <v>-4544.1653999999999</v>
      </c>
      <c r="BM642" s="6">
        <f>Grandview_Inventory[[#This Row],[living_area]]*Lookups!$B$15</f>
        <v>112036.011988</v>
      </c>
      <c r="BN642" s="6">
        <f>Grandview_Inventory[[#This Row],[Fin BSMT]]*Lookups!$B$16</f>
        <v>0</v>
      </c>
      <c r="BO642" s="6">
        <f>(Grandview_Inventory[[#This Row],[att_gar]]+Grandview_Inventory[[#This Row],[bltin_gar]])*Lookups!$B$17</f>
        <v>51987.139578000002</v>
      </c>
      <c r="BP642" s="6">
        <f>Grandview_Inventory[[#This Row],[Plumbing Fixtures]]*Lookups!$B$18</f>
        <v>16083.5344</v>
      </c>
      <c r="BQ642" s="6">
        <f>Grandview_Inventory[[#This Row],[detatched_value]]*Lookups!$B$19</f>
        <v>0</v>
      </c>
      <c r="BR642" s="6">
        <f>SUM(Grandview_Inventory[[#This Row],[Intercept]:[det_value]])*Grandview_Inventory[[#This Row],[res_pct]]</f>
        <v>367022.47056600003</v>
      </c>
      <c r="BS642" s="6">
        <f>Grandview_Inventory[[#This Row],[land_value]]</f>
        <v>49926.8031387023</v>
      </c>
      <c r="BT642" s="4">
        <f>_xlfn.IFNA(VLOOKUP(Grandview_Inventory[[#This Row],[quality]],Lookups!$A$26:$C$33,3,FALSE),1)</f>
        <v>0.94295468617355149</v>
      </c>
      <c r="BU642" s="4">
        <f>_xlfn.IFNA(VLOOKUP(Grandview_Inventory[[#This Row],[condition]],Lookups!$A$37:$C$44,3,FALSE),1)</f>
        <v>0.96661476234146892</v>
      </c>
      <c r="BV642" s="4">
        <f>IF(Grandview_Inventory[[#This Row],[bldg_style]]="",1,_xlfn.IFNA(VLOOKUP(Grandview_Inventory[[#This Row],[decade]],Lookups!$F$29:$H$43,3,FALSE),1))</f>
        <v>0.96737494181490646</v>
      </c>
      <c r="BW642" s="4">
        <f>_xlfn.IFNA(VLOOKUP(Grandview_Inventory[[#This Row],[living_area_range]],Lookups!$F$47:$H$56,3,FALSE),1)</f>
        <v>0.96120133463014379</v>
      </c>
      <c r="BX642" s="4">
        <f>AVERAGE(Grandview_Inventory[[#This Row],[qual_adj]:[size_adj]])</f>
        <v>0.95953643124001764</v>
      </c>
      <c r="BY642" s="6">
        <f>IF(Grandview_Inventory[[#This Row],[pre_res]]&lt;0,0,Grandview_Inventory[[#This Row],[pre_res]]*Grandview_Inventory[[#This Row],[overall_adj]])</f>
        <v>352171.43159179407</v>
      </c>
      <c r="BZ642" s="6">
        <f>(Grandview_Inventory[[#This Row],[sum_land]]-IF(Grandview_Inventory[[#This Row],[no_utilities]]=1,12000,0))/IF(Grandview_Inventory[[#This Row],[unbuildable]]=1,2,1)</f>
        <v>49926.8031387023</v>
      </c>
      <c r="CA64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42">
        <f>ROUND(Grandview_Inventory[[#This Row],[det_value]]*Lookups!$M$28,-2)</f>
        <v>0</v>
      </c>
      <c r="CC642">
        <f>IF(ROUND(Grandview_Inventory[[#This Row],[adj_res]]*Lookups!$M$28,-2)&lt;Grandview_Inventory[[#This Row],[min_res]],Grandview_Inventory[[#This Row],[min_res]],ROUND(Grandview_Inventory[[#This Row],[adj_res]]*Lookups!$M$28,-2))</f>
        <v>334600</v>
      </c>
      <c r="CD642">
        <f>Grandview_Inventory[[#This Row],[final_det]]+Grandview_Inventory[[#This Row],[final_res]]</f>
        <v>334600</v>
      </c>
      <c r="CE642">
        <f>Grandview_Inventory[[#This Row],[final_land]]+Grandview_Inventory[[#This Row],[final_imp]]+Grandview_Inventory[[#This Row],[crop_value]]</f>
        <v>382000</v>
      </c>
      <c r="CG642" t="str">
        <f t="shared" si="9"/>
        <v>update valuation set market_land =47400, market_bldg=334600, market_total =382000, market_mdno =401, market_date ='9/10/2023' where link_id = (select link_id from parcel where parcel_year = '2024' and parcel_id = '23092224493');</v>
      </c>
    </row>
    <row r="643" spans="1:85" x14ac:dyDescent="0.25">
      <c r="A643">
        <v>23092224494</v>
      </c>
      <c r="B643">
        <v>0.2</v>
      </c>
      <c r="C643">
        <v>8893</v>
      </c>
      <c r="D643" t="s">
        <v>129</v>
      </c>
      <c r="E643" t="s">
        <v>53</v>
      </c>
      <c r="F643" t="s">
        <v>53</v>
      </c>
      <c r="G643">
        <v>4</v>
      </c>
      <c r="H643" t="s">
        <v>54</v>
      </c>
      <c r="I643">
        <v>274300</v>
      </c>
      <c r="J643">
        <v>43700</v>
      </c>
      <c r="K643">
        <v>0.2</v>
      </c>
      <c r="L64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43">
        <v>0</v>
      </c>
      <c r="N643">
        <v>0</v>
      </c>
      <c r="O643">
        <v>0</v>
      </c>
      <c r="P643">
        <v>13398.7528</v>
      </c>
      <c r="Q643">
        <v>63903</v>
      </c>
      <c r="R643">
        <f>(Grandview_Inventory[[#This Row],[ln_acres]]*Grandview_Inventory[[#This Row],[coeff]])+Grandview_Inventory[[#This Row],[const]]</f>
        <v>42338.539264347448</v>
      </c>
      <c r="S643" t="s">
        <v>58</v>
      </c>
      <c r="T643">
        <v>1</v>
      </c>
      <c r="U643" t="s">
        <v>64</v>
      </c>
      <c r="V643" t="s">
        <v>66</v>
      </c>
      <c r="W643">
        <v>0</v>
      </c>
      <c r="X643">
        <v>0</v>
      </c>
      <c r="Y643">
        <v>18</v>
      </c>
      <c r="Z643">
        <v>18</v>
      </c>
      <c r="AA643">
        <v>20</v>
      </c>
      <c r="AB643">
        <v>2000</v>
      </c>
      <c r="AC643">
        <v>1785</v>
      </c>
      <c r="AD643">
        <v>1785</v>
      </c>
      <c r="AE643">
        <v>0</v>
      </c>
      <c r="AF643">
        <v>0</v>
      </c>
      <c r="AG643">
        <v>0</v>
      </c>
      <c r="AH643">
        <v>0</v>
      </c>
      <c r="AI643">
        <v>728</v>
      </c>
      <c r="AJ643">
        <v>0</v>
      </c>
      <c r="AK643">
        <v>0</v>
      </c>
      <c r="AL643">
        <v>0</v>
      </c>
      <c r="AM643">
        <v>80</v>
      </c>
      <c r="AN643">
        <v>212</v>
      </c>
      <c r="AO643">
        <v>0</v>
      </c>
      <c r="AP643">
        <v>11</v>
      </c>
      <c r="AQ643">
        <v>0</v>
      </c>
      <c r="AR643">
        <v>0</v>
      </c>
      <c r="AS643" t="s">
        <v>58</v>
      </c>
      <c r="AT643">
        <v>1</v>
      </c>
      <c r="AU643" t="s">
        <v>63</v>
      </c>
      <c r="AV643" t="s">
        <v>64</v>
      </c>
      <c r="AW643">
        <v>0</v>
      </c>
      <c r="AX643">
        <v>3</v>
      </c>
      <c r="AY643">
        <v>0</v>
      </c>
      <c r="AZ643">
        <v>0</v>
      </c>
      <c r="BA643">
        <v>100</v>
      </c>
      <c r="BB643">
        <v>100</v>
      </c>
      <c r="BC643">
        <v>100</v>
      </c>
      <c r="BD643">
        <v>100</v>
      </c>
      <c r="BE643">
        <v>1</v>
      </c>
      <c r="BF643">
        <v>15000</v>
      </c>
      <c r="BG643">
        <v>1000</v>
      </c>
      <c r="BH643" s="6">
        <f>Grandview_Inventory[[#This Row],[land_extract]]*Lookups!$B$3</f>
        <v>49167.631333630678</v>
      </c>
      <c r="BI643" s="6">
        <f>IF(Grandview_Inventory[[#This Row],[bldg_style]]="",0,Lookups!$B$2)</f>
        <v>155833.95000000001</v>
      </c>
      <c r="BJ643" s="6">
        <f>_xlfn.IFNA(VLOOKUP(Grandview_Inventory[[#This Row],[quality]],Lookups!$H$2:$J$14,3,FALSE),0)</f>
        <v>20768</v>
      </c>
      <c r="BK643" s="6">
        <f>_xlfn.IFNA(VLOOKUP(Grandview_Inventory[[#This Row],[condition]],Lookups!$H$17:$J$24,3,FALSE),0)</f>
        <v>25818</v>
      </c>
      <c r="BL643" s="6">
        <f>Grandview_Inventory[[#This Row],[Eff_Age]]*Lookups!$B$14</f>
        <v>-4304.9987999999994</v>
      </c>
      <c r="BM643" s="6">
        <f>Grandview_Inventory[[#This Row],[living_area]]*Lookups!$B$15</f>
        <v>111349.82260500001</v>
      </c>
      <c r="BN643" s="6">
        <f>Grandview_Inventory[[#This Row],[Fin BSMT]]*Lookups!$B$16</f>
        <v>0</v>
      </c>
      <c r="BO643" s="6">
        <f>(Grandview_Inventory[[#This Row],[att_gar]]+Grandview_Inventory[[#This Row],[bltin_gar]])*Lookups!$B$17</f>
        <v>63714.878135999999</v>
      </c>
      <c r="BP643" s="6">
        <f>Grandview_Inventory[[#This Row],[Plumbing Fixtures]]*Lookups!$B$18</f>
        <v>22114.859800000002</v>
      </c>
      <c r="BQ643" s="6">
        <f>Grandview_Inventory[[#This Row],[detatched_value]]*Lookups!$B$19</f>
        <v>0</v>
      </c>
      <c r="BR643" s="6">
        <f>SUM(Grandview_Inventory[[#This Row],[Intercept]:[det_value]])*Grandview_Inventory[[#This Row],[res_pct]]</f>
        <v>395294.51174099999</v>
      </c>
      <c r="BS643" s="6">
        <f>Grandview_Inventory[[#This Row],[land_value]]</f>
        <v>49167.631333630678</v>
      </c>
      <c r="BT643" s="4">
        <f>_xlfn.IFNA(VLOOKUP(Grandview_Inventory[[#This Row],[quality]],Lookups!$A$26:$C$33,3,FALSE),1)</f>
        <v>0.94960540378902636</v>
      </c>
      <c r="BU643" s="4">
        <f>_xlfn.IFNA(VLOOKUP(Grandview_Inventory[[#This Row],[condition]],Lookups!$A$37:$C$44,3,FALSE),1)</f>
        <v>0.96661476234146892</v>
      </c>
      <c r="BV643" s="4">
        <f>IF(Grandview_Inventory[[#This Row],[bldg_style]]="",1,_xlfn.IFNA(VLOOKUP(Grandview_Inventory[[#This Row],[decade]],Lookups!$F$29:$H$43,3,FALSE),1))</f>
        <v>0.96737494181490646</v>
      </c>
      <c r="BW643" s="4">
        <f>_xlfn.IFNA(VLOOKUP(Grandview_Inventory[[#This Row],[living_area_range]],Lookups!$F$47:$H$56,3,FALSE),1)</f>
        <v>0.96120133463014379</v>
      </c>
      <c r="BX643" s="4">
        <f>AVERAGE(Grandview_Inventory[[#This Row],[qual_adj]:[size_adj]])</f>
        <v>0.96119911064388641</v>
      </c>
      <c r="BY643" s="6">
        <f>IF(Grandview_Inventory[[#This Row],[pre_res]]&lt;0,0,Grandview_Inventory[[#This Row],[pre_res]]*Grandview_Inventory[[#This Row],[overall_adj]])</f>
        <v>379956.73312785849</v>
      </c>
      <c r="BZ643" s="6">
        <f>(Grandview_Inventory[[#This Row],[sum_land]]-IF(Grandview_Inventory[[#This Row],[no_utilities]]=1,12000,0))/IF(Grandview_Inventory[[#This Row],[unbuildable]]=1,2,1)</f>
        <v>49167.631333630678</v>
      </c>
      <c r="CA64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43">
        <f>ROUND(Grandview_Inventory[[#This Row],[det_value]]*Lookups!$M$28,-2)</f>
        <v>0</v>
      </c>
      <c r="CC643">
        <f>IF(ROUND(Grandview_Inventory[[#This Row],[adj_res]]*Lookups!$M$28,-2)&lt;Grandview_Inventory[[#This Row],[min_res]],Grandview_Inventory[[#This Row],[min_res]],ROUND(Grandview_Inventory[[#This Row],[adj_res]]*Lookups!$M$28,-2))</f>
        <v>361000</v>
      </c>
      <c r="CD643">
        <f>Grandview_Inventory[[#This Row],[final_det]]+Grandview_Inventory[[#This Row],[final_res]]</f>
        <v>361000</v>
      </c>
      <c r="CE643">
        <f>Grandview_Inventory[[#This Row],[final_land]]+Grandview_Inventory[[#This Row],[final_imp]]+Grandview_Inventory[[#This Row],[crop_value]]</f>
        <v>407700</v>
      </c>
      <c r="CG643" t="str">
        <f t="shared" ref="CG643:CG706" si="10">"update valuation set market_land ="&amp;CA643&amp;", market_bldg="&amp;CD643&amp;", market_total ="&amp;CE643&amp;", market_mdno ="&amp;$CG$1&amp;", market_date ='"&amp;TEXT($CH$1,"m/d/yyyy")&amp;"' where link_id = (select link_id from parcel where parcel_year = '2024' and parcel_id = '"&amp;A643&amp;"');"</f>
        <v>update valuation set market_land =46700, market_bldg=361000, market_total =407700, market_mdno =401, market_date ='9/10/2023' where link_id = (select link_id from parcel where parcel_year = '2024' and parcel_id = '23092224494');</v>
      </c>
    </row>
    <row r="644" spans="1:85" x14ac:dyDescent="0.25">
      <c r="A644">
        <v>23092224495</v>
      </c>
      <c r="B644">
        <v>0.19</v>
      </c>
      <c r="C644">
        <v>8149</v>
      </c>
      <c r="D644" t="s">
        <v>129</v>
      </c>
      <c r="E644" t="s">
        <v>53</v>
      </c>
      <c r="F644" t="s">
        <v>53</v>
      </c>
      <c r="G644">
        <v>4</v>
      </c>
      <c r="H644" t="s">
        <v>54</v>
      </c>
      <c r="I644">
        <v>296400</v>
      </c>
      <c r="J644">
        <v>43300</v>
      </c>
      <c r="K644">
        <v>0.19</v>
      </c>
      <c r="L64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44">
        <v>0</v>
      </c>
      <c r="N644">
        <v>0</v>
      </c>
      <c r="O644">
        <v>0</v>
      </c>
      <c r="P644">
        <v>13398.7528</v>
      </c>
      <c r="Q644">
        <v>63903</v>
      </c>
      <c r="R644">
        <f>(Grandview_Inventory[[#This Row],[ln_acres]]*Grandview_Inventory[[#This Row],[coeff]])+Grandview_Inventory[[#This Row],[const]]</f>
        <v>41651.273092551026</v>
      </c>
      <c r="S644" t="s">
        <v>58</v>
      </c>
      <c r="T644">
        <v>1</v>
      </c>
      <c r="U644" t="s">
        <v>64</v>
      </c>
      <c r="V644" t="s">
        <v>66</v>
      </c>
      <c r="W644">
        <v>0</v>
      </c>
      <c r="X644">
        <v>0</v>
      </c>
      <c r="Y644">
        <v>19</v>
      </c>
      <c r="Z644">
        <v>19</v>
      </c>
      <c r="AA644">
        <v>20</v>
      </c>
      <c r="AB644">
        <v>2000</v>
      </c>
      <c r="AC644">
        <v>1942</v>
      </c>
      <c r="AD644">
        <v>1942</v>
      </c>
      <c r="AE644">
        <v>0</v>
      </c>
      <c r="AF644">
        <v>0</v>
      </c>
      <c r="AG644">
        <v>0</v>
      </c>
      <c r="AH644">
        <v>0</v>
      </c>
      <c r="AI644">
        <v>642</v>
      </c>
      <c r="AJ644">
        <v>0</v>
      </c>
      <c r="AK644">
        <v>0</v>
      </c>
      <c r="AL644">
        <v>0</v>
      </c>
      <c r="AM644">
        <v>432</v>
      </c>
      <c r="AN644">
        <v>340</v>
      </c>
      <c r="AO644">
        <v>0</v>
      </c>
      <c r="AP644">
        <v>10</v>
      </c>
      <c r="AQ644">
        <v>0</v>
      </c>
      <c r="AR644">
        <v>0</v>
      </c>
      <c r="AS644" t="s">
        <v>58</v>
      </c>
      <c r="AT644">
        <v>1</v>
      </c>
      <c r="AU644" t="s">
        <v>63</v>
      </c>
      <c r="AV644" t="s">
        <v>64</v>
      </c>
      <c r="AW644">
        <v>1</v>
      </c>
      <c r="AX644">
        <v>3</v>
      </c>
      <c r="AY644">
        <v>0</v>
      </c>
      <c r="AZ644">
        <v>3900</v>
      </c>
      <c r="BA644">
        <v>100</v>
      </c>
      <c r="BB644">
        <v>100</v>
      </c>
      <c r="BC644">
        <v>100</v>
      </c>
      <c r="BD644">
        <v>100</v>
      </c>
      <c r="BE644">
        <v>1</v>
      </c>
      <c r="BF644">
        <v>15000</v>
      </c>
      <c r="BG644">
        <v>1000</v>
      </c>
      <c r="BH644" s="6">
        <f>Grandview_Inventory[[#This Row],[land_extract]]*Lookups!$B$3</f>
        <v>48369.510983942157</v>
      </c>
      <c r="BI644" s="6">
        <f>IF(Grandview_Inventory[[#This Row],[bldg_style]]="",0,Lookups!$B$2)</f>
        <v>155833.95000000001</v>
      </c>
      <c r="BJ644" s="6">
        <f>_xlfn.IFNA(VLOOKUP(Grandview_Inventory[[#This Row],[quality]],Lookups!$H$2:$J$14,3,FALSE),0)</f>
        <v>20768</v>
      </c>
      <c r="BK644" s="6">
        <f>_xlfn.IFNA(VLOOKUP(Grandview_Inventory[[#This Row],[condition]],Lookups!$H$17:$J$24,3,FALSE),0)</f>
        <v>25818</v>
      </c>
      <c r="BL644" s="6">
        <f>Grandview_Inventory[[#This Row],[Eff_Age]]*Lookups!$B$14</f>
        <v>-4544.1653999999999</v>
      </c>
      <c r="BM644" s="6">
        <f>Grandview_Inventory[[#This Row],[living_area]]*Lookups!$B$15</f>
        <v>121143.616526</v>
      </c>
      <c r="BN644" s="6">
        <f>Grandview_Inventory[[#This Row],[Fin BSMT]]*Lookups!$B$16</f>
        <v>0</v>
      </c>
      <c r="BO644" s="6">
        <f>(Grandview_Inventory[[#This Row],[att_gar]]+Grandview_Inventory[[#This Row],[bltin_gar]])*Lookups!$B$17</f>
        <v>56188.120554000001</v>
      </c>
      <c r="BP644" s="6">
        <f>Grandview_Inventory[[#This Row],[Plumbing Fixtures]]*Lookups!$B$18</f>
        <v>20104.418000000001</v>
      </c>
      <c r="BQ644" s="6">
        <f>Grandview_Inventory[[#This Row],[detatched_value]]*Lookups!$B$19</f>
        <v>3302.53989</v>
      </c>
      <c r="BR644" s="6">
        <f>SUM(Grandview_Inventory[[#This Row],[Intercept]:[det_value]])*Grandview_Inventory[[#This Row],[res_pct]]</f>
        <v>398614.47957000002</v>
      </c>
      <c r="BS644" s="6">
        <f>Grandview_Inventory[[#This Row],[land_value]]</f>
        <v>48369.510983942157</v>
      </c>
      <c r="BT644" s="4">
        <f>_xlfn.IFNA(VLOOKUP(Grandview_Inventory[[#This Row],[quality]],Lookups!$A$26:$C$33,3,FALSE),1)</f>
        <v>0.94960540378902636</v>
      </c>
      <c r="BU644" s="4">
        <f>_xlfn.IFNA(VLOOKUP(Grandview_Inventory[[#This Row],[condition]],Lookups!$A$37:$C$44,3,FALSE),1)</f>
        <v>0.96661476234146892</v>
      </c>
      <c r="BV644" s="4">
        <f>IF(Grandview_Inventory[[#This Row],[bldg_style]]="",1,_xlfn.IFNA(VLOOKUP(Grandview_Inventory[[#This Row],[decade]],Lookups!$F$29:$H$43,3,FALSE),1))</f>
        <v>0.96737494181490646</v>
      </c>
      <c r="BW644" s="4">
        <f>_xlfn.IFNA(VLOOKUP(Grandview_Inventory[[#This Row],[living_area_range]],Lookups!$F$47:$H$56,3,FALSE),1)</f>
        <v>0.96120133463014379</v>
      </c>
      <c r="BX644" s="4">
        <f>AVERAGE(Grandview_Inventory[[#This Row],[qual_adj]:[size_adj]])</f>
        <v>0.96119911064388641</v>
      </c>
      <c r="BY644" s="6">
        <f>IF(Grandview_Inventory[[#This Row],[pre_res]]&lt;0,0,Grandview_Inventory[[#This Row],[pre_res]]*Grandview_Inventory[[#This Row],[overall_adj]])</f>
        <v>383147.88325245964</v>
      </c>
      <c r="BZ644" s="6">
        <f>(Grandview_Inventory[[#This Row],[sum_land]]-IF(Grandview_Inventory[[#This Row],[no_utilities]]=1,12000,0))/IF(Grandview_Inventory[[#This Row],[unbuildable]]=1,2,1)</f>
        <v>48369.510983942157</v>
      </c>
      <c r="CA64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44">
        <f>ROUND(Grandview_Inventory[[#This Row],[det_value]]*Lookups!$M$28,-2)</f>
        <v>3100</v>
      </c>
      <c r="CC644">
        <f>IF(ROUND(Grandview_Inventory[[#This Row],[adj_res]]*Lookups!$M$28,-2)&lt;Grandview_Inventory[[#This Row],[min_res]],Grandview_Inventory[[#This Row],[min_res]],ROUND(Grandview_Inventory[[#This Row],[adj_res]]*Lookups!$M$28,-2))</f>
        <v>364000</v>
      </c>
      <c r="CD644">
        <f>Grandview_Inventory[[#This Row],[final_det]]+Grandview_Inventory[[#This Row],[final_res]]</f>
        <v>367100</v>
      </c>
      <c r="CE644">
        <f>Grandview_Inventory[[#This Row],[final_land]]+Grandview_Inventory[[#This Row],[final_imp]]+Grandview_Inventory[[#This Row],[crop_value]]</f>
        <v>413100</v>
      </c>
      <c r="CG644" t="str">
        <f t="shared" si="10"/>
        <v>update valuation set market_land =46000, market_bldg=367100, market_total =413100, market_mdno =401, market_date ='9/10/2023' where link_id = (select link_id from parcel where parcel_year = '2024' and parcel_id = '23092224495');</v>
      </c>
    </row>
    <row r="645" spans="1:85" x14ac:dyDescent="0.25">
      <c r="A645">
        <v>23092224496</v>
      </c>
      <c r="B645">
        <v>0.19</v>
      </c>
      <c r="C645">
        <v>8472</v>
      </c>
      <c r="D645" t="s">
        <v>129</v>
      </c>
      <c r="E645" t="s">
        <v>53</v>
      </c>
      <c r="F645" t="s">
        <v>53</v>
      </c>
      <c r="G645">
        <v>4</v>
      </c>
      <c r="H645" t="s">
        <v>54</v>
      </c>
      <c r="I645">
        <v>261700</v>
      </c>
      <c r="J645">
        <v>43500</v>
      </c>
      <c r="K645">
        <v>0.19</v>
      </c>
      <c r="L64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45">
        <v>0</v>
      </c>
      <c r="N645">
        <v>0</v>
      </c>
      <c r="O645">
        <v>0</v>
      </c>
      <c r="P645">
        <v>13398.7528</v>
      </c>
      <c r="Q645">
        <v>63903</v>
      </c>
      <c r="R645">
        <f>(Grandview_Inventory[[#This Row],[ln_acres]]*Grandview_Inventory[[#This Row],[coeff]])+Grandview_Inventory[[#This Row],[const]]</f>
        <v>41651.273092551026</v>
      </c>
      <c r="S645" t="s">
        <v>61</v>
      </c>
      <c r="T645">
        <v>1</v>
      </c>
      <c r="U645" t="s">
        <v>64</v>
      </c>
      <c r="V645" t="s">
        <v>66</v>
      </c>
      <c r="W645">
        <v>0</v>
      </c>
      <c r="X645">
        <v>0</v>
      </c>
      <c r="Y645">
        <v>19</v>
      </c>
      <c r="Z645">
        <v>19</v>
      </c>
      <c r="AA645">
        <v>20</v>
      </c>
      <c r="AB645">
        <v>2000</v>
      </c>
      <c r="AC645">
        <v>1824</v>
      </c>
      <c r="AD645">
        <v>1824</v>
      </c>
      <c r="AE645">
        <v>0</v>
      </c>
      <c r="AF645">
        <v>0</v>
      </c>
      <c r="AG645">
        <v>0</v>
      </c>
      <c r="AH645">
        <v>0</v>
      </c>
      <c r="AI645">
        <v>462</v>
      </c>
      <c r="AJ645">
        <v>0</v>
      </c>
      <c r="AK645">
        <v>0</v>
      </c>
      <c r="AL645">
        <v>0</v>
      </c>
      <c r="AM645">
        <v>0</v>
      </c>
      <c r="AN645">
        <v>258</v>
      </c>
      <c r="AO645">
        <v>0</v>
      </c>
      <c r="AP645">
        <v>9</v>
      </c>
      <c r="AQ645">
        <v>0</v>
      </c>
      <c r="AR645">
        <v>0</v>
      </c>
      <c r="AS645" t="s">
        <v>58</v>
      </c>
      <c r="AT645">
        <v>1</v>
      </c>
      <c r="AU645" t="s">
        <v>63</v>
      </c>
      <c r="AV645" t="s">
        <v>64</v>
      </c>
      <c r="AW645">
        <v>1</v>
      </c>
      <c r="AX645">
        <v>3</v>
      </c>
      <c r="AY645">
        <v>0</v>
      </c>
      <c r="AZ645">
        <v>0</v>
      </c>
      <c r="BA645">
        <v>100</v>
      </c>
      <c r="BB645">
        <v>100</v>
      </c>
      <c r="BC645">
        <v>100</v>
      </c>
      <c r="BD645">
        <v>100</v>
      </c>
      <c r="BE645">
        <v>1</v>
      </c>
      <c r="BF645">
        <v>15000</v>
      </c>
      <c r="BG645">
        <v>1000</v>
      </c>
      <c r="BH645" s="6">
        <f>Grandview_Inventory[[#This Row],[land_extract]]*Lookups!$B$3</f>
        <v>48369.510983942157</v>
      </c>
      <c r="BI645" s="6">
        <f>IF(Grandview_Inventory[[#This Row],[bldg_style]]="",0,Lookups!$B$2)</f>
        <v>155833.95000000001</v>
      </c>
      <c r="BJ645" s="6">
        <f>_xlfn.IFNA(VLOOKUP(Grandview_Inventory[[#This Row],[quality]],Lookups!$H$2:$J$14,3,FALSE),0)</f>
        <v>20768</v>
      </c>
      <c r="BK645" s="6">
        <f>_xlfn.IFNA(VLOOKUP(Grandview_Inventory[[#This Row],[condition]],Lookups!$H$17:$J$24,3,FALSE),0)</f>
        <v>25818</v>
      </c>
      <c r="BL645" s="6">
        <f>Grandview_Inventory[[#This Row],[Eff_Age]]*Lookups!$B$14</f>
        <v>-4544.1653999999999</v>
      </c>
      <c r="BM645" s="6">
        <f>Grandview_Inventory[[#This Row],[living_area]]*Lookups!$B$15</f>
        <v>113782.67587200001</v>
      </c>
      <c r="BN645" s="6">
        <f>Grandview_Inventory[[#This Row],[Fin BSMT]]*Lookups!$B$16</f>
        <v>0</v>
      </c>
      <c r="BO645" s="6">
        <f>(Grandview_Inventory[[#This Row],[att_gar]]+Grandview_Inventory[[#This Row],[bltin_gar]])*Lookups!$B$17</f>
        <v>40434.441894000003</v>
      </c>
      <c r="BP645" s="6">
        <f>Grandview_Inventory[[#This Row],[Plumbing Fixtures]]*Lookups!$B$18</f>
        <v>18093.976200000001</v>
      </c>
      <c r="BQ645" s="6">
        <f>Grandview_Inventory[[#This Row],[detatched_value]]*Lookups!$B$19</f>
        <v>0</v>
      </c>
      <c r="BR645" s="6">
        <f>SUM(Grandview_Inventory[[#This Row],[Intercept]:[det_value]])*Grandview_Inventory[[#This Row],[res_pct]]</f>
        <v>370186.87856599997</v>
      </c>
      <c r="BS645" s="6">
        <f>Grandview_Inventory[[#This Row],[land_value]]</f>
        <v>48369.510983942157</v>
      </c>
      <c r="BT645" s="4">
        <f>_xlfn.IFNA(VLOOKUP(Grandview_Inventory[[#This Row],[quality]],Lookups!$A$26:$C$33,3,FALSE),1)</f>
        <v>0.94960540378902636</v>
      </c>
      <c r="BU645" s="4">
        <f>_xlfn.IFNA(VLOOKUP(Grandview_Inventory[[#This Row],[condition]],Lookups!$A$37:$C$44,3,FALSE),1)</f>
        <v>0.96661476234146892</v>
      </c>
      <c r="BV645" s="4">
        <f>IF(Grandview_Inventory[[#This Row],[bldg_style]]="",1,_xlfn.IFNA(VLOOKUP(Grandview_Inventory[[#This Row],[decade]],Lookups!$F$29:$H$43,3,FALSE),1))</f>
        <v>0.96737494181490646</v>
      </c>
      <c r="BW645" s="4">
        <f>_xlfn.IFNA(VLOOKUP(Grandview_Inventory[[#This Row],[living_area_range]],Lookups!$F$47:$H$56,3,FALSE),1)</f>
        <v>0.96120133463014379</v>
      </c>
      <c r="BX645" s="4">
        <f>AVERAGE(Grandview_Inventory[[#This Row],[qual_adj]:[size_adj]])</f>
        <v>0.96119911064388641</v>
      </c>
      <c r="BY645" s="6">
        <f>IF(Grandview_Inventory[[#This Row],[pre_res]]&lt;0,0,Grandview_Inventory[[#This Row],[pre_res]]*Grandview_Inventory[[#This Row],[overall_adj]])</f>
        <v>355823.29844967555</v>
      </c>
      <c r="BZ645" s="6">
        <f>(Grandview_Inventory[[#This Row],[sum_land]]-IF(Grandview_Inventory[[#This Row],[no_utilities]]=1,12000,0))/IF(Grandview_Inventory[[#This Row],[unbuildable]]=1,2,1)</f>
        <v>48369.510983942157</v>
      </c>
      <c r="CA64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45">
        <f>ROUND(Grandview_Inventory[[#This Row],[det_value]]*Lookups!$M$28,-2)</f>
        <v>0</v>
      </c>
      <c r="CC645">
        <f>IF(ROUND(Grandview_Inventory[[#This Row],[adj_res]]*Lookups!$M$28,-2)&lt;Grandview_Inventory[[#This Row],[min_res]],Grandview_Inventory[[#This Row],[min_res]],ROUND(Grandview_Inventory[[#This Row],[adj_res]]*Lookups!$M$28,-2))</f>
        <v>338000</v>
      </c>
      <c r="CD645">
        <f>Grandview_Inventory[[#This Row],[final_det]]+Grandview_Inventory[[#This Row],[final_res]]</f>
        <v>338000</v>
      </c>
      <c r="CE645">
        <f>Grandview_Inventory[[#This Row],[final_land]]+Grandview_Inventory[[#This Row],[final_imp]]+Grandview_Inventory[[#This Row],[crop_value]]</f>
        <v>384000</v>
      </c>
      <c r="CG645" t="str">
        <f t="shared" si="10"/>
        <v>update valuation set market_land =46000, market_bldg=338000, market_total =384000, market_mdno =401, market_date ='9/10/2023' where link_id = (select link_id from parcel where parcel_year = '2024' and parcel_id = '23092224496');</v>
      </c>
    </row>
    <row r="646" spans="1:85" x14ac:dyDescent="0.25">
      <c r="A646">
        <v>23092224497</v>
      </c>
      <c r="B646">
        <v>0.19</v>
      </c>
      <c r="C646">
        <v>8473</v>
      </c>
      <c r="D646" t="s">
        <v>129</v>
      </c>
      <c r="E646" t="s">
        <v>53</v>
      </c>
      <c r="F646" t="s">
        <v>53</v>
      </c>
      <c r="G646">
        <v>4</v>
      </c>
      <c r="H646" t="s">
        <v>54</v>
      </c>
      <c r="I646">
        <v>254200</v>
      </c>
      <c r="J646">
        <v>43500</v>
      </c>
      <c r="K646">
        <v>0.19</v>
      </c>
      <c r="L64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46">
        <v>0</v>
      </c>
      <c r="N646">
        <v>0</v>
      </c>
      <c r="O646">
        <v>0</v>
      </c>
      <c r="P646">
        <v>13398.7528</v>
      </c>
      <c r="Q646">
        <v>63903</v>
      </c>
      <c r="R646">
        <f>(Grandview_Inventory[[#This Row],[ln_acres]]*Grandview_Inventory[[#This Row],[coeff]])+Grandview_Inventory[[#This Row],[const]]</f>
        <v>41651.273092551026</v>
      </c>
      <c r="S646" t="s">
        <v>58</v>
      </c>
      <c r="T646">
        <v>1</v>
      </c>
      <c r="U646" t="s">
        <v>62</v>
      </c>
      <c r="V646" t="s">
        <v>66</v>
      </c>
      <c r="W646">
        <v>0</v>
      </c>
      <c r="X646">
        <v>0</v>
      </c>
      <c r="Y646">
        <v>21</v>
      </c>
      <c r="Z646">
        <v>21</v>
      </c>
      <c r="AA646">
        <v>30</v>
      </c>
      <c r="AB646">
        <v>2000</v>
      </c>
      <c r="AC646">
        <v>1740</v>
      </c>
      <c r="AD646">
        <v>1740</v>
      </c>
      <c r="AE646">
        <v>0</v>
      </c>
      <c r="AF646">
        <v>0</v>
      </c>
      <c r="AG646">
        <v>0</v>
      </c>
      <c r="AH646">
        <v>0</v>
      </c>
      <c r="AI646">
        <v>480</v>
      </c>
      <c r="AJ646">
        <v>0</v>
      </c>
      <c r="AK646">
        <v>0</v>
      </c>
      <c r="AL646">
        <v>0</v>
      </c>
      <c r="AM646">
        <v>716</v>
      </c>
      <c r="AN646">
        <v>48</v>
      </c>
      <c r="AO646">
        <v>0</v>
      </c>
      <c r="AP646">
        <v>8</v>
      </c>
      <c r="AQ646">
        <v>0</v>
      </c>
      <c r="AR646">
        <v>0</v>
      </c>
      <c r="AS646" t="s">
        <v>58</v>
      </c>
      <c r="AT646">
        <v>1</v>
      </c>
      <c r="AU646" t="s">
        <v>63</v>
      </c>
      <c r="AV646" t="s">
        <v>64</v>
      </c>
      <c r="AW646">
        <v>1</v>
      </c>
      <c r="AX646">
        <v>3</v>
      </c>
      <c r="AY646">
        <v>0</v>
      </c>
      <c r="AZ646">
        <v>0</v>
      </c>
      <c r="BA646">
        <v>100</v>
      </c>
      <c r="BB646">
        <v>100</v>
      </c>
      <c r="BC646">
        <v>100</v>
      </c>
      <c r="BD646">
        <v>100</v>
      </c>
      <c r="BE646">
        <v>1</v>
      </c>
      <c r="BF646">
        <v>15000</v>
      </c>
      <c r="BG646">
        <v>1000</v>
      </c>
      <c r="BH646" s="6">
        <f>Grandview_Inventory[[#This Row],[land_extract]]*Lookups!$B$3</f>
        <v>48369.510983942157</v>
      </c>
      <c r="BI646" s="6">
        <f>IF(Grandview_Inventory[[#This Row],[bldg_style]]="",0,Lookups!$B$2)</f>
        <v>155833.95000000001</v>
      </c>
      <c r="BJ646" s="6">
        <f>_xlfn.IFNA(VLOOKUP(Grandview_Inventory[[#This Row],[quality]],Lookups!$H$2:$J$14,3,FALSE),0)</f>
        <v>9808</v>
      </c>
      <c r="BK646" s="6">
        <f>_xlfn.IFNA(VLOOKUP(Grandview_Inventory[[#This Row],[condition]],Lookups!$H$17:$J$24,3,FALSE),0)</f>
        <v>25818</v>
      </c>
      <c r="BL646" s="6">
        <f>Grandview_Inventory[[#This Row],[Eff_Age]]*Lookups!$B$14</f>
        <v>-5022.4985999999999</v>
      </c>
      <c r="BM646" s="6">
        <f>Grandview_Inventory[[#This Row],[living_area]]*Lookups!$B$15</f>
        <v>108542.68422000001</v>
      </c>
      <c r="BN646" s="6">
        <f>Grandview_Inventory[[#This Row],[Fin BSMT]]*Lookups!$B$16</f>
        <v>0</v>
      </c>
      <c r="BO646" s="6">
        <f>(Grandview_Inventory[[#This Row],[att_gar]]+Grandview_Inventory[[#This Row],[bltin_gar]])*Lookups!$B$17</f>
        <v>42009.809760000004</v>
      </c>
      <c r="BP646" s="6">
        <f>Grandview_Inventory[[#This Row],[Plumbing Fixtures]]*Lookups!$B$18</f>
        <v>16083.5344</v>
      </c>
      <c r="BQ646" s="6">
        <f>Grandview_Inventory[[#This Row],[detatched_value]]*Lookups!$B$19</f>
        <v>0</v>
      </c>
      <c r="BR646" s="6">
        <f>SUM(Grandview_Inventory[[#This Row],[Intercept]:[det_value]])*Grandview_Inventory[[#This Row],[res_pct]]</f>
        <v>353073.47978000005</v>
      </c>
      <c r="BS646" s="6">
        <f>Grandview_Inventory[[#This Row],[land_value]]</f>
        <v>48369.510983942157</v>
      </c>
      <c r="BT646" s="4">
        <f>_xlfn.IFNA(VLOOKUP(Grandview_Inventory[[#This Row],[quality]],Lookups!$A$26:$C$33,3,FALSE),1)</f>
        <v>0.94295468617355149</v>
      </c>
      <c r="BU646" s="4">
        <f>_xlfn.IFNA(VLOOKUP(Grandview_Inventory[[#This Row],[condition]],Lookups!$A$37:$C$44,3,FALSE),1)</f>
        <v>0.96661476234146892</v>
      </c>
      <c r="BV646" s="4">
        <f>IF(Grandview_Inventory[[#This Row],[bldg_style]]="",1,_xlfn.IFNA(VLOOKUP(Grandview_Inventory[[#This Row],[decade]],Lookups!$F$29:$H$43,3,FALSE),1))</f>
        <v>0.98397821291089549</v>
      </c>
      <c r="BW646" s="4">
        <f>_xlfn.IFNA(VLOOKUP(Grandview_Inventory[[#This Row],[living_area_range]],Lookups!$F$47:$H$56,3,FALSE),1)</f>
        <v>0.96120133463014379</v>
      </c>
      <c r="BX646" s="4">
        <f>AVERAGE(Grandview_Inventory[[#This Row],[qual_adj]:[size_adj]])</f>
        <v>0.96368724901401492</v>
      </c>
      <c r="BY646" s="6">
        <f>IF(Grandview_Inventory[[#This Row],[pre_res]]&lt;0,0,Grandview_Inventory[[#This Row],[pre_res]]*Grandview_Inventory[[#This Row],[overall_adj]])</f>
        <v>340252.41042899369</v>
      </c>
      <c r="BZ646" s="6">
        <f>(Grandview_Inventory[[#This Row],[sum_land]]-IF(Grandview_Inventory[[#This Row],[no_utilities]]=1,12000,0))/IF(Grandview_Inventory[[#This Row],[unbuildable]]=1,2,1)</f>
        <v>48369.510983942157</v>
      </c>
      <c r="CA64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46">
        <f>ROUND(Grandview_Inventory[[#This Row],[det_value]]*Lookups!$M$28,-2)</f>
        <v>0</v>
      </c>
      <c r="CC646">
        <f>IF(ROUND(Grandview_Inventory[[#This Row],[adj_res]]*Lookups!$M$28,-2)&lt;Grandview_Inventory[[#This Row],[min_res]],Grandview_Inventory[[#This Row],[min_res]],ROUND(Grandview_Inventory[[#This Row],[adj_res]]*Lookups!$M$28,-2))</f>
        <v>323200</v>
      </c>
      <c r="CD646">
        <f>Grandview_Inventory[[#This Row],[final_det]]+Grandview_Inventory[[#This Row],[final_res]]</f>
        <v>323200</v>
      </c>
      <c r="CE646">
        <f>Grandview_Inventory[[#This Row],[final_land]]+Grandview_Inventory[[#This Row],[final_imp]]+Grandview_Inventory[[#This Row],[crop_value]]</f>
        <v>369200</v>
      </c>
      <c r="CG646" t="str">
        <f t="shared" si="10"/>
        <v>update valuation set market_land =46000, market_bldg=323200, market_total =369200, market_mdno =401, market_date ='9/10/2023' where link_id = (select link_id from parcel where parcel_year = '2024' and parcel_id = '23092224497');</v>
      </c>
    </row>
    <row r="647" spans="1:85" x14ac:dyDescent="0.25">
      <c r="A647">
        <v>23092224498</v>
      </c>
      <c r="B647">
        <v>0.19</v>
      </c>
      <c r="C647">
        <v>8188</v>
      </c>
      <c r="D647" t="s">
        <v>129</v>
      </c>
      <c r="E647" t="s">
        <v>53</v>
      </c>
      <c r="F647" t="s">
        <v>53</v>
      </c>
      <c r="G647">
        <v>4</v>
      </c>
      <c r="H647" t="s">
        <v>54</v>
      </c>
      <c r="I647">
        <v>254000</v>
      </c>
      <c r="J647">
        <v>43300</v>
      </c>
      <c r="K647">
        <v>0.19</v>
      </c>
      <c r="L64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47">
        <v>0</v>
      </c>
      <c r="N647">
        <v>0</v>
      </c>
      <c r="O647">
        <v>0</v>
      </c>
      <c r="P647">
        <v>13398.7528</v>
      </c>
      <c r="Q647">
        <v>63903</v>
      </c>
      <c r="R647">
        <f>(Grandview_Inventory[[#This Row],[ln_acres]]*Grandview_Inventory[[#This Row],[coeff]])+Grandview_Inventory[[#This Row],[const]]</f>
        <v>41651.273092551026</v>
      </c>
      <c r="S647" t="s">
        <v>58</v>
      </c>
      <c r="T647">
        <v>1</v>
      </c>
      <c r="U647" t="s">
        <v>64</v>
      </c>
      <c r="V647" t="s">
        <v>66</v>
      </c>
      <c r="W647">
        <v>0</v>
      </c>
      <c r="X647">
        <v>0</v>
      </c>
      <c r="Y647">
        <v>19</v>
      </c>
      <c r="Z647">
        <v>19</v>
      </c>
      <c r="AA647">
        <v>20</v>
      </c>
      <c r="AB647">
        <v>2000</v>
      </c>
      <c r="AC647">
        <v>1598</v>
      </c>
      <c r="AD647">
        <v>1598</v>
      </c>
      <c r="AE647">
        <v>0</v>
      </c>
      <c r="AF647">
        <v>0</v>
      </c>
      <c r="AG647">
        <v>0</v>
      </c>
      <c r="AH647">
        <v>0</v>
      </c>
      <c r="AI647">
        <v>440</v>
      </c>
      <c r="AJ647">
        <v>0</v>
      </c>
      <c r="AK647">
        <v>0</v>
      </c>
      <c r="AL647">
        <v>0</v>
      </c>
      <c r="AM647">
        <v>0</v>
      </c>
      <c r="AN647">
        <v>372</v>
      </c>
      <c r="AO647">
        <v>0</v>
      </c>
      <c r="AP647">
        <v>9</v>
      </c>
      <c r="AQ647">
        <v>0</v>
      </c>
      <c r="AR647">
        <v>0</v>
      </c>
      <c r="AS647" t="s">
        <v>58</v>
      </c>
      <c r="AT647">
        <v>1</v>
      </c>
      <c r="AU647" t="s">
        <v>59</v>
      </c>
      <c r="AV647" t="s">
        <v>64</v>
      </c>
      <c r="AW647">
        <v>1</v>
      </c>
      <c r="AX647">
        <v>3</v>
      </c>
      <c r="AY647">
        <v>0</v>
      </c>
      <c r="AZ647">
        <v>0</v>
      </c>
      <c r="BA647">
        <v>100</v>
      </c>
      <c r="BB647">
        <v>100</v>
      </c>
      <c r="BC647">
        <v>100</v>
      </c>
      <c r="BD647">
        <v>100</v>
      </c>
      <c r="BE647">
        <v>1</v>
      </c>
      <c r="BF647">
        <v>15000</v>
      </c>
      <c r="BG647">
        <v>1000</v>
      </c>
      <c r="BH647" s="6">
        <f>Grandview_Inventory[[#This Row],[land_extract]]*Lookups!$B$3</f>
        <v>48369.510983942157</v>
      </c>
      <c r="BI647" s="6">
        <f>IF(Grandview_Inventory[[#This Row],[bldg_style]]="",0,Lookups!$B$2)</f>
        <v>155833.95000000001</v>
      </c>
      <c r="BJ647" s="6">
        <f>_xlfn.IFNA(VLOOKUP(Grandview_Inventory[[#This Row],[quality]],Lookups!$H$2:$J$14,3,FALSE),0)</f>
        <v>20768</v>
      </c>
      <c r="BK647" s="6">
        <f>_xlfn.IFNA(VLOOKUP(Grandview_Inventory[[#This Row],[condition]],Lookups!$H$17:$J$24,3,FALSE),0)</f>
        <v>25818</v>
      </c>
      <c r="BL647" s="6">
        <f>Grandview_Inventory[[#This Row],[Eff_Age]]*Lookups!$B$14</f>
        <v>-4544.1653999999999</v>
      </c>
      <c r="BM647" s="6">
        <f>Grandview_Inventory[[#This Row],[living_area]]*Lookups!$B$15</f>
        <v>99684.603094000006</v>
      </c>
      <c r="BN647" s="6">
        <f>Grandview_Inventory[[#This Row],[Fin BSMT]]*Lookups!$B$16</f>
        <v>0</v>
      </c>
      <c r="BO647" s="6">
        <f>(Grandview_Inventory[[#This Row],[att_gar]]+Grandview_Inventory[[#This Row],[bltin_gar]])*Lookups!$B$17</f>
        <v>38508.992279999999</v>
      </c>
      <c r="BP647" s="6">
        <f>Grandview_Inventory[[#This Row],[Plumbing Fixtures]]*Lookups!$B$18</f>
        <v>18093.976200000001</v>
      </c>
      <c r="BQ647" s="6">
        <f>Grandview_Inventory[[#This Row],[detatched_value]]*Lookups!$B$19</f>
        <v>0</v>
      </c>
      <c r="BR647" s="6">
        <f>SUM(Grandview_Inventory[[#This Row],[Intercept]:[det_value]])*Grandview_Inventory[[#This Row],[res_pct]]</f>
        <v>354163.35617400002</v>
      </c>
      <c r="BS647" s="6">
        <f>Grandview_Inventory[[#This Row],[land_value]]</f>
        <v>48369.510983942157</v>
      </c>
      <c r="BT647" s="4">
        <f>_xlfn.IFNA(VLOOKUP(Grandview_Inventory[[#This Row],[quality]],Lookups!$A$26:$C$33,3,FALSE),1)</f>
        <v>0.94960540378902636</v>
      </c>
      <c r="BU647" s="4">
        <f>_xlfn.IFNA(VLOOKUP(Grandview_Inventory[[#This Row],[condition]],Lookups!$A$37:$C$44,3,FALSE),1)</f>
        <v>0.96661476234146892</v>
      </c>
      <c r="BV647" s="4">
        <f>IF(Grandview_Inventory[[#This Row],[bldg_style]]="",1,_xlfn.IFNA(VLOOKUP(Grandview_Inventory[[#This Row],[decade]],Lookups!$F$29:$H$43,3,FALSE),1))</f>
        <v>0.96737494181490646</v>
      </c>
      <c r="BW647" s="4">
        <f>_xlfn.IFNA(VLOOKUP(Grandview_Inventory[[#This Row],[living_area_range]],Lookups!$F$47:$H$56,3,FALSE),1)</f>
        <v>0.96120133463014379</v>
      </c>
      <c r="BX647" s="4">
        <f>AVERAGE(Grandview_Inventory[[#This Row],[qual_adj]:[size_adj]])</f>
        <v>0.96119911064388641</v>
      </c>
      <c r="BY647" s="6">
        <f>IF(Grandview_Inventory[[#This Row],[pre_res]]&lt;0,0,Grandview_Inventory[[#This Row],[pre_res]]*Grandview_Inventory[[#This Row],[overall_adj]])</f>
        <v>340421.50297710282</v>
      </c>
      <c r="BZ647" s="6">
        <f>(Grandview_Inventory[[#This Row],[sum_land]]-IF(Grandview_Inventory[[#This Row],[no_utilities]]=1,12000,0))/IF(Grandview_Inventory[[#This Row],[unbuildable]]=1,2,1)</f>
        <v>48369.510983942157</v>
      </c>
      <c r="CA64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47">
        <f>ROUND(Grandview_Inventory[[#This Row],[det_value]]*Lookups!$M$28,-2)</f>
        <v>0</v>
      </c>
      <c r="CC647">
        <f>IF(ROUND(Grandview_Inventory[[#This Row],[adj_res]]*Lookups!$M$28,-2)&lt;Grandview_Inventory[[#This Row],[min_res]],Grandview_Inventory[[#This Row],[min_res]],ROUND(Grandview_Inventory[[#This Row],[adj_res]]*Lookups!$M$28,-2))</f>
        <v>323400</v>
      </c>
      <c r="CD647">
        <f>Grandview_Inventory[[#This Row],[final_det]]+Grandview_Inventory[[#This Row],[final_res]]</f>
        <v>323400</v>
      </c>
      <c r="CE647">
        <f>Grandview_Inventory[[#This Row],[final_land]]+Grandview_Inventory[[#This Row],[final_imp]]+Grandview_Inventory[[#This Row],[crop_value]]</f>
        <v>369400</v>
      </c>
      <c r="CG647" t="str">
        <f t="shared" si="10"/>
        <v>update valuation set market_land =46000, market_bldg=323400, market_total =369400, market_mdno =401, market_date ='9/10/2023' where link_id = (select link_id from parcel where parcel_year = '2024' and parcel_id = '23092224498');</v>
      </c>
    </row>
    <row r="648" spans="1:85" x14ac:dyDescent="0.25">
      <c r="A648">
        <v>23092224499</v>
      </c>
      <c r="B648">
        <v>0.18</v>
      </c>
      <c r="C648">
        <v>8009</v>
      </c>
      <c r="D648" t="s">
        <v>129</v>
      </c>
      <c r="E648" t="s">
        <v>53</v>
      </c>
      <c r="F648" t="s">
        <v>53</v>
      </c>
      <c r="G648">
        <v>4</v>
      </c>
      <c r="H648" t="s">
        <v>54</v>
      </c>
      <c r="I648">
        <v>266200</v>
      </c>
      <c r="J648">
        <v>43300</v>
      </c>
      <c r="K648">
        <v>0.18</v>
      </c>
      <c r="L64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648">
        <v>0</v>
      </c>
      <c r="N648">
        <v>0</v>
      </c>
      <c r="O648">
        <v>0</v>
      </c>
      <c r="P648">
        <v>13398.7528</v>
      </c>
      <c r="Q648">
        <v>63903</v>
      </c>
      <c r="R648">
        <f>(Grandview_Inventory[[#This Row],[ln_acres]]*Grandview_Inventory[[#This Row],[coeff]])+Grandview_Inventory[[#This Row],[const]]</f>
        <v>40926.839760167699</v>
      </c>
      <c r="S648" t="s">
        <v>58</v>
      </c>
      <c r="T648">
        <v>1</v>
      </c>
      <c r="U648" t="s">
        <v>62</v>
      </c>
      <c r="V648" t="s">
        <v>66</v>
      </c>
      <c r="W648">
        <v>0</v>
      </c>
      <c r="X648">
        <v>0</v>
      </c>
      <c r="Y648">
        <v>19</v>
      </c>
      <c r="Z648">
        <v>19</v>
      </c>
      <c r="AA648">
        <v>20</v>
      </c>
      <c r="AB648">
        <v>2000</v>
      </c>
      <c r="AC648">
        <v>1740</v>
      </c>
      <c r="AD648">
        <v>1740</v>
      </c>
      <c r="AE648">
        <v>0</v>
      </c>
      <c r="AF648">
        <v>0</v>
      </c>
      <c r="AG648">
        <v>0</v>
      </c>
      <c r="AH648">
        <v>0</v>
      </c>
      <c r="AI648">
        <v>574</v>
      </c>
      <c r="AJ648">
        <v>0</v>
      </c>
      <c r="AK648">
        <v>0</v>
      </c>
      <c r="AL648">
        <v>0</v>
      </c>
      <c r="AM648">
        <v>396</v>
      </c>
      <c r="AN648">
        <v>72</v>
      </c>
      <c r="AO648">
        <v>396</v>
      </c>
      <c r="AP648">
        <v>9</v>
      </c>
      <c r="AQ648">
        <v>0</v>
      </c>
      <c r="AR648">
        <v>0</v>
      </c>
      <c r="AS648" t="s">
        <v>58</v>
      </c>
      <c r="AT648">
        <v>1</v>
      </c>
      <c r="AU648" t="s">
        <v>59</v>
      </c>
      <c r="AV648" t="s">
        <v>60</v>
      </c>
      <c r="AW648">
        <v>1</v>
      </c>
      <c r="AX648">
        <v>3</v>
      </c>
      <c r="AY648">
        <v>0</v>
      </c>
      <c r="AZ648">
        <v>0</v>
      </c>
      <c r="BA648">
        <v>100</v>
      </c>
      <c r="BB648">
        <v>100</v>
      </c>
      <c r="BC648">
        <v>100</v>
      </c>
      <c r="BD648">
        <v>100</v>
      </c>
      <c r="BE648">
        <v>1</v>
      </c>
      <c r="BF648">
        <v>15000</v>
      </c>
      <c r="BG648">
        <v>1000</v>
      </c>
      <c r="BH648" s="6">
        <f>Grandview_Inventory[[#This Row],[land_extract]]*Lookups!$B$3</f>
        <v>47528.228511015397</v>
      </c>
      <c r="BI648" s="6">
        <f>IF(Grandview_Inventory[[#This Row],[bldg_style]]="",0,Lookups!$B$2)</f>
        <v>155833.95000000001</v>
      </c>
      <c r="BJ648" s="6">
        <f>_xlfn.IFNA(VLOOKUP(Grandview_Inventory[[#This Row],[quality]],Lookups!$H$2:$J$14,3,FALSE),0)</f>
        <v>9808</v>
      </c>
      <c r="BK648" s="6">
        <f>_xlfn.IFNA(VLOOKUP(Grandview_Inventory[[#This Row],[condition]],Lookups!$H$17:$J$24,3,FALSE),0)</f>
        <v>25818</v>
      </c>
      <c r="BL648" s="6">
        <f>Grandview_Inventory[[#This Row],[Eff_Age]]*Lookups!$B$14</f>
        <v>-4544.1653999999999</v>
      </c>
      <c r="BM648" s="6">
        <f>Grandview_Inventory[[#This Row],[living_area]]*Lookups!$B$15</f>
        <v>108542.68422000001</v>
      </c>
      <c r="BN648" s="6">
        <f>Grandview_Inventory[[#This Row],[Fin BSMT]]*Lookups!$B$16</f>
        <v>0</v>
      </c>
      <c r="BO648" s="6">
        <f>(Grandview_Inventory[[#This Row],[att_gar]]+Grandview_Inventory[[#This Row],[bltin_gar]])*Lookups!$B$17</f>
        <v>50236.730838000003</v>
      </c>
      <c r="BP648" s="6">
        <f>Grandview_Inventory[[#This Row],[Plumbing Fixtures]]*Lookups!$B$18</f>
        <v>18093.976200000001</v>
      </c>
      <c r="BQ648" s="6">
        <f>Grandview_Inventory[[#This Row],[detatched_value]]*Lookups!$B$19</f>
        <v>0</v>
      </c>
      <c r="BR648" s="6">
        <f>SUM(Grandview_Inventory[[#This Row],[Intercept]:[det_value]])*Grandview_Inventory[[#This Row],[res_pct]]</f>
        <v>363789.175858</v>
      </c>
      <c r="BS648" s="6">
        <f>Grandview_Inventory[[#This Row],[land_value]]</f>
        <v>47528.228511015397</v>
      </c>
      <c r="BT648" s="4">
        <f>_xlfn.IFNA(VLOOKUP(Grandview_Inventory[[#This Row],[quality]],Lookups!$A$26:$C$33,3,FALSE),1)</f>
        <v>0.94295468617355149</v>
      </c>
      <c r="BU648" s="4">
        <f>_xlfn.IFNA(VLOOKUP(Grandview_Inventory[[#This Row],[condition]],Lookups!$A$37:$C$44,3,FALSE),1)</f>
        <v>0.96661476234146892</v>
      </c>
      <c r="BV648" s="4">
        <f>IF(Grandview_Inventory[[#This Row],[bldg_style]]="",1,_xlfn.IFNA(VLOOKUP(Grandview_Inventory[[#This Row],[decade]],Lookups!$F$29:$H$43,3,FALSE),1))</f>
        <v>0.96737494181490646</v>
      </c>
      <c r="BW648" s="4">
        <f>_xlfn.IFNA(VLOOKUP(Grandview_Inventory[[#This Row],[living_area_range]],Lookups!$F$47:$H$56,3,FALSE),1)</f>
        <v>0.96120133463014379</v>
      </c>
      <c r="BX648" s="4">
        <f>AVERAGE(Grandview_Inventory[[#This Row],[qual_adj]:[size_adj]])</f>
        <v>0.95953643124001764</v>
      </c>
      <c r="BY648" s="6">
        <f>IF(Grandview_Inventory[[#This Row],[pre_res]]&lt;0,0,Grandview_Inventory[[#This Row],[pre_res]]*Grandview_Inventory[[#This Row],[overall_adj]])</f>
        <v>349068.96752653248</v>
      </c>
      <c r="BZ648" s="6">
        <f>(Grandview_Inventory[[#This Row],[sum_land]]-IF(Grandview_Inventory[[#This Row],[no_utilities]]=1,12000,0))/IF(Grandview_Inventory[[#This Row],[unbuildable]]=1,2,1)</f>
        <v>47528.228511015397</v>
      </c>
      <c r="CA64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648">
        <f>ROUND(Grandview_Inventory[[#This Row],[det_value]]*Lookups!$M$28,-2)</f>
        <v>0</v>
      </c>
      <c r="CC648">
        <f>IF(ROUND(Grandview_Inventory[[#This Row],[adj_res]]*Lookups!$M$28,-2)&lt;Grandview_Inventory[[#This Row],[min_res]],Grandview_Inventory[[#This Row],[min_res]],ROUND(Grandview_Inventory[[#This Row],[adj_res]]*Lookups!$M$28,-2))</f>
        <v>331600</v>
      </c>
      <c r="CD648">
        <f>Grandview_Inventory[[#This Row],[final_det]]+Grandview_Inventory[[#This Row],[final_res]]</f>
        <v>331600</v>
      </c>
      <c r="CE648">
        <f>Grandview_Inventory[[#This Row],[final_land]]+Grandview_Inventory[[#This Row],[final_imp]]+Grandview_Inventory[[#This Row],[crop_value]]</f>
        <v>376800</v>
      </c>
      <c r="CG648" t="str">
        <f t="shared" si="10"/>
        <v>update valuation set market_land =45200, market_bldg=331600, market_total =376800, market_mdno =401, market_date ='9/10/2023' where link_id = (select link_id from parcel where parcel_year = '2024' and parcel_id = '23092224499');</v>
      </c>
    </row>
    <row r="649" spans="1:85" x14ac:dyDescent="0.25">
      <c r="A649">
        <v>23092224501</v>
      </c>
      <c r="B649">
        <v>0.25</v>
      </c>
      <c r="C649">
        <v>10817</v>
      </c>
      <c r="D649" t="s">
        <v>129</v>
      </c>
      <c r="E649" t="s">
        <v>53</v>
      </c>
      <c r="F649" t="s">
        <v>53</v>
      </c>
      <c r="G649">
        <v>4</v>
      </c>
      <c r="H649" t="s">
        <v>54</v>
      </c>
      <c r="I649">
        <v>278400</v>
      </c>
      <c r="J649">
        <v>44400</v>
      </c>
      <c r="K649">
        <v>0.25</v>
      </c>
      <c r="L64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49">
        <v>0</v>
      </c>
      <c r="N649">
        <v>0</v>
      </c>
      <c r="O649">
        <v>0</v>
      </c>
      <c r="P649">
        <v>13398.7528</v>
      </c>
      <c r="Q649">
        <v>63903</v>
      </c>
      <c r="R649">
        <f>(Grandview_Inventory[[#This Row],[ln_acres]]*Grandview_Inventory[[#This Row],[coeff]])+Grandview_Inventory[[#This Row],[const]]</f>
        <v>45328.38454732066</v>
      </c>
      <c r="S649" t="s">
        <v>130</v>
      </c>
      <c r="T649">
        <v>1</v>
      </c>
      <c r="U649" t="s">
        <v>64</v>
      </c>
      <c r="V649" t="s">
        <v>66</v>
      </c>
      <c r="W649">
        <v>0</v>
      </c>
      <c r="X649">
        <v>0</v>
      </c>
      <c r="Y649">
        <v>18</v>
      </c>
      <c r="Z649">
        <v>18</v>
      </c>
      <c r="AA649">
        <v>20</v>
      </c>
      <c r="AB649">
        <v>2500</v>
      </c>
      <c r="AC649">
        <v>2005</v>
      </c>
      <c r="AD649">
        <v>2005</v>
      </c>
      <c r="AE649">
        <v>0</v>
      </c>
      <c r="AF649">
        <v>0</v>
      </c>
      <c r="AG649">
        <v>0</v>
      </c>
      <c r="AH649">
        <v>0</v>
      </c>
      <c r="AI649">
        <v>528</v>
      </c>
      <c r="AJ649">
        <v>0</v>
      </c>
      <c r="AK649">
        <v>0</v>
      </c>
      <c r="AL649">
        <v>0</v>
      </c>
      <c r="AM649">
        <v>216</v>
      </c>
      <c r="AN649">
        <v>205</v>
      </c>
      <c r="AO649">
        <v>216</v>
      </c>
      <c r="AP649">
        <v>9</v>
      </c>
      <c r="AQ649">
        <v>0</v>
      </c>
      <c r="AR649">
        <v>0</v>
      </c>
      <c r="AS649" t="s">
        <v>58</v>
      </c>
      <c r="AT649">
        <v>1</v>
      </c>
      <c r="AU649" t="s">
        <v>59</v>
      </c>
      <c r="AV649" t="s">
        <v>64</v>
      </c>
      <c r="AW649">
        <v>1</v>
      </c>
      <c r="AX649">
        <v>3</v>
      </c>
      <c r="AY649">
        <v>0</v>
      </c>
      <c r="AZ649">
        <v>0</v>
      </c>
      <c r="BA649">
        <v>100</v>
      </c>
      <c r="BB649">
        <v>100</v>
      </c>
      <c r="BC649">
        <v>100</v>
      </c>
      <c r="BD649">
        <v>100</v>
      </c>
      <c r="BE649">
        <v>1</v>
      </c>
      <c r="BF649">
        <v>15000</v>
      </c>
      <c r="BG649">
        <v>1000</v>
      </c>
      <c r="BH649" s="6">
        <f>Grandview_Inventory[[#This Row],[land_extract]]*Lookups!$B$3</f>
        <v>52639.730588165206</v>
      </c>
      <c r="BI649" s="6">
        <f>IF(Grandview_Inventory[[#This Row],[bldg_style]]="",0,Lookups!$B$2)</f>
        <v>155833.95000000001</v>
      </c>
      <c r="BJ649" s="6">
        <f>_xlfn.IFNA(VLOOKUP(Grandview_Inventory[[#This Row],[quality]],Lookups!$H$2:$J$14,3,FALSE),0)</f>
        <v>20768</v>
      </c>
      <c r="BK649" s="6">
        <f>_xlfn.IFNA(VLOOKUP(Grandview_Inventory[[#This Row],[condition]],Lookups!$H$17:$J$24,3,FALSE),0)</f>
        <v>25818</v>
      </c>
      <c r="BL649" s="6">
        <f>Grandview_Inventory[[#This Row],[Eff_Age]]*Lookups!$B$14</f>
        <v>-4304.9987999999994</v>
      </c>
      <c r="BM649" s="6">
        <f>Grandview_Inventory[[#This Row],[living_area]]*Lookups!$B$15</f>
        <v>125073.61026500001</v>
      </c>
      <c r="BN649" s="6">
        <f>Grandview_Inventory[[#This Row],[Fin BSMT]]*Lookups!$B$16</f>
        <v>0</v>
      </c>
      <c r="BO649" s="6">
        <f>(Grandview_Inventory[[#This Row],[att_gar]]+Grandview_Inventory[[#This Row],[bltin_gar]])*Lookups!$B$17</f>
        <v>46210.790736000003</v>
      </c>
      <c r="BP649" s="6">
        <f>Grandview_Inventory[[#This Row],[Plumbing Fixtures]]*Lookups!$B$18</f>
        <v>18093.976200000001</v>
      </c>
      <c r="BQ649" s="6">
        <f>Grandview_Inventory[[#This Row],[detatched_value]]*Lookups!$B$19</f>
        <v>0</v>
      </c>
      <c r="BR649" s="6">
        <f>SUM(Grandview_Inventory[[#This Row],[Intercept]:[det_value]])*Grandview_Inventory[[#This Row],[res_pct]]</f>
        <v>387493.32840100001</v>
      </c>
      <c r="BS649" s="6">
        <f>Grandview_Inventory[[#This Row],[land_value]]</f>
        <v>52639.730588165206</v>
      </c>
      <c r="BT649" s="4">
        <f>_xlfn.IFNA(VLOOKUP(Grandview_Inventory[[#This Row],[quality]],Lookups!$A$26:$C$33,3,FALSE),1)</f>
        <v>0.94960540378902636</v>
      </c>
      <c r="BU649" s="4">
        <f>_xlfn.IFNA(VLOOKUP(Grandview_Inventory[[#This Row],[condition]],Lookups!$A$37:$C$44,3,FALSE),1)</f>
        <v>0.96661476234146892</v>
      </c>
      <c r="BV649" s="4">
        <f>IF(Grandview_Inventory[[#This Row],[bldg_style]]="",1,_xlfn.IFNA(VLOOKUP(Grandview_Inventory[[#This Row],[decade]],Lookups!$F$29:$H$43,3,FALSE),1))</f>
        <v>0.96737494181490646</v>
      </c>
      <c r="BW649" s="4">
        <f>_xlfn.IFNA(VLOOKUP(Grandview_Inventory[[#This Row],[living_area_range]],Lookups!$F$47:$H$56,3,FALSE),1)</f>
        <v>0.95799442568048754</v>
      </c>
      <c r="BX649" s="4">
        <f>AVERAGE(Grandview_Inventory[[#This Row],[qual_adj]:[size_adj]])</f>
        <v>0.96039738340647229</v>
      </c>
      <c r="BY649" s="6">
        <f>IF(Grandview_Inventory[[#This Row],[pre_res]]&lt;0,0,Grandview_Inventory[[#This Row],[pre_res]]*Grandview_Inventory[[#This Row],[overall_adj]])</f>
        <v>372147.57868378528</v>
      </c>
      <c r="BZ649" s="6">
        <f>(Grandview_Inventory[[#This Row],[sum_land]]-IF(Grandview_Inventory[[#This Row],[no_utilities]]=1,12000,0))/IF(Grandview_Inventory[[#This Row],[unbuildable]]=1,2,1)</f>
        <v>52639.730588165206</v>
      </c>
      <c r="CA64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49">
        <f>ROUND(Grandview_Inventory[[#This Row],[det_value]]*Lookups!$M$28,-2)</f>
        <v>0</v>
      </c>
      <c r="CC649">
        <f>IF(ROUND(Grandview_Inventory[[#This Row],[adj_res]]*Lookups!$M$28,-2)&lt;Grandview_Inventory[[#This Row],[min_res]],Grandview_Inventory[[#This Row],[min_res]],ROUND(Grandview_Inventory[[#This Row],[adj_res]]*Lookups!$M$28,-2))</f>
        <v>353500</v>
      </c>
      <c r="CD649">
        <f>Grandview_Inventory[[#This Row],[final_det]]+Grandview_Inventory[[#This Row],[final_res]]</f>
        <v>353500</v>
      </c>
      <c r="CE649">
        <f>Grandview_Inventory[[#This Row],[final_land]]+Grandview_Inventory[[#This Row],[final_imp]]+Grandview_Inventory[[#This Row],[crop_value]]</f>
        <v>403500</v>
      </c>
      <c r="CG649" t="str">
        <f t="shared" si="10"/>
        <v>update valuation set market_land =50000, market_bldg=353500, market_total =403500, market_mdno =401, market_date ='9/10/2023' where link_id = (select link_id from parcel where parcel_year = '2024' and parcel_id = '23092224501');</v>
      </c>
    </row>
    <row r="650" spans="1:85" x14ac:dyDescent="0.25">
      <c r="A650">
        <v>23092224502</v>
      </c>
      <c r="B650">
        <v>0.2</v>
      </c>
      <c r="C650">
        <v>8500</v>
      </c>
      <c r="D650" t="s">
        <v>129</v>
      </c>
      <c r="E650" t="s">
        <v>53</v>
      </c>
      <c r="F650" t="s">
        <v>53</v>
      </c>
      <c r="G650">
        <v>4</v>
      </c>
      <c r="H650" t="s">
        <v>54</v>
      </c>
      <c r="I650">
        <v>279100</v>
      </c>
      <c r="J650">
        <v>43500</v>
      </c>
      <c r="K650">
        <v>0.2</v>
      </c>
      <c r="L65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50">
        <v>0</v>
      </c>
      <c r="N650">
        <v>0</v>
      </c>
      <c r="O650">
        <v>0</v>
      </c>
      <c r="P650">
        <v>13398.7528</v>
      </c>
      <c r="Q650">
        <v>63903</v>
      </c>
      <c r="R650">
        <f>(Grandview_Inventory[[#This Row],[ln_acres]]*Grandview_Inventory[[#This Row],[coeff]])+Grandview_Inventory[[#This Row],[const]]</f>
        <v>42338.539264347448</v>
      </c>
      <c r="S650" t="s">
        <v>55</v>
      </c>
      <c r="T650">
        <v>1</v>
      </c>
      <c r="U650" t="s">
        <v>64</v>
      </c>
      <c r="V650" t="s">
        <v>66</v>
      </c>
      <c r="W650">
        <v>0</v>
      </c>
      <c r="X650">
        <v>0</v>
      </c>
      <c r="Y650">
        <v>17</v>
      </c>
      <c r="Z650">
        <v>17</v>
      </c>
      <c r="AA650">
        <v>20</v>
      </c>
      <c r="AB650">
        <v>2000</v>
      </c>
      <c r="AC650">
        <v>1712</v>
      </c>
      <c r="AD650">
        <v>1712</v>
      </c>
      <c r="AE650">
        <v>0</v>
      </c>
      <c r="AF650">
        <v>0</v>
      </c>
      <c r="AG650">
        <v>0</v>
      </c>
      <c r="AH650">
        <v>0</v>
      </c>
      <c r="AI650">
        <v>681</v>
      </c>
      <c r="AJ650">
        <v>0</v>
      </c>
      <c r="AK650">
        <v>0</v>
      </c>
      <c r="AL650">
        <v>0</v>
      </c>
      <c r="AM650">
        <v>144</v>
      </c>
      <c r="AN650">
        <v>36</v>
      </c>
      <c r="AO650">
        <v>144</v>
      </c>
      <c r="AP650">
        <v>10</v>
      </c>
      <c r="AQ650">
        <v>0</v>
      </c>
      <c r="AR650">
        <v>0</v>
      </c>
      <c r="AS650" t="s">
        <v>58</v>
      </c>
      <c r="AT650">
        <v>1</v>
      </c>
      <c r="AU650" t="s">
        <v>59</v>
      </c>
      <c r="AV650" t="s">
        <v>64</v>
      </c>
      <c r="AW650">
        <v>1</v>
      </c>
      <c r="AX650">
        <v>3</v>
      </c>
      <c r="AY650">
        <v>0</v>
      </c>
      <c r="AZ650">
        <v>0</v>
      </c>
      <c r="BA650">
        <v>100</v>
      </c>
      <c r="BB650">
        <v>100</v>
      </c>
      <c r="BC650">
        <v>100</v>
      </c>
      <c r="BD650">
        <v>100</v>
      </c>
      <c r="BE650">
        <v>1</v>
      </c>
      <c r="BF650">
        <v>15000</v>
      </c>
      <c r="BG650">
        <v>1000</v>
      </c>
      <c r="BH650" s="6">
        <f>Grandview_Inventory[[#This Row],[land_extract]]*Lookups!$B$3</f>
        <v>49167.631333630678</v>
      </c>
      <c r="BI650" s="6">
        <f>IF(Grandview_Inventory[[#This Row],[bldg_style]]="",0,Lookups!$B$2)</f>
        <v>155833.95000000001</v>
      </c>
      <c r="BJ650" s="6">
        <f>_xlfn.IFNA(VLOOKUP(Grandview_Inventory[[#This Row],[quality]],Lookups!$H$2:$J$14,3,FALSE),0)</f>
        <v>20768</v>
      </c>
      <c r="BK650" s="6">
        <f>_xlfn.IFNA(VLOOKUP(Grandview_Inventory[[#This Row],[condition]],Lookups!$H$17:$J$24,3,FALSE),0)</f>
        <v>25818</v>
      </c>
      <c r="BL650" s="6">
        <f>Grandview_Inventory[[#This Row],[Eff_Age]]*Lookups!$B$14</f>
        <v>-4065.8321999999998</v>
      </c>
      <c r="BM650" s="6">
        <f>Grandview_Inventory[[#This Row],[living_area]]*Lookups!$B$15</f>
        <v>106796.020336</v>
      </c>
      <c r="BN650" s="6">
        <f>Grandview_Inventory[[#This Row],[Fin BSMT]]*Lookups!$B$16</f>
        <v>0</v>
      </c>
      <c r="BO650" s="6">
        <f>(Grandview_Inventory[[#This Row],[att_gar]]+Grandview_Inventory[[#This Row],[bltin_gar]])*Lookups!$B$17</f>
        <v>59601.417597</v>
      </c>
      <c r="BP650" s="6">
        <f>Grandview_Inventory[[#This Row],[Plumbing Fixtures]]*Lookups!$B$18</f>
        <v>20104.418000000001</v>
      </c>
      <c r="BQ650" s="6">
        <f>Grandview_Inventory[[#This Row],[detatched_value]]*Lookups!$B$19</f>
        <v>0</v>
      </c>
      <c r="BR650" s="6">
        <f>SUM(Grandview_Inventory[[#This Row],[Intercept]:[det_value]])*Grandview_Inventory[[#This Row],[res_pct]]</f>
        <v>384855.97373300005</v>
      </c>
      <c r="BS650" s="6">
        <f>Grandview_Inventory[[#This Row],[land_value]]</f>
        <v>49167.631333630678</v>
      </c>
      <c r="BT650" s="4">
        <f>_xlfn.IFNA(VLOOKUP(Grandview_Inventory[[#This Row],[quality]],Lookups!$A$26:$C$33,3,FALSE),1)</f>
        <v>0.94960540378902636</v>
      </c>
      <c r="BU650" s="4">
        <f>_xlfn.IFNA(VLOOKUP(Grandview_Inventory[[#This Row],[condition]],Lookups!$A$37:$C$44,3,FALSE),1)</f>
        <v>0.96661476234146892</v>
      </c>
      <c r="BV650" s="4">
        <f>IF(Grandview_Inventory[[#This Row],[bldg_style]]="",1,_xlfn.IFNA(VLOOKUP(Grandview_Inventory[[#This Row],[decade]],Lookups!$F$29:$H$43,3,FALSE),1))</f>
        <v>0.96737494181490646</v>
      </c>
      <c r="BW650" s="4">
        <f>_xlfn.IFNA(VLOOKUP(Grandview_Inventory[[#This Row],[living_area_range]],Lookups!$F$47:$H$56,3,FALSE),1)</f>
        <v>0.96120133463014379</v>
      </c>
      <c r="BX650" s="4">
        <f>AVERAGE(Grandview_Inventory[[#This Row],[qual_adj]:[size_adj]])</f>
        <v>0.96119911064388641</v>
      </c>
      <c r="BY650" s="6">
        <f>IF(Grandview_Inventory[[#This Row],[pre_res]]&lt;0,0,Grandview_Inventory[[#This Row],[pre_res]]*Grandview_Inventory[[#This Row],[overall_adj]])</f>
        <v>369923.21967814653</v>
      </c>
      <c r="BZ650" s="6">
        <f>(Grandview_Inventory[[#This Row],[sum_land]]-IF(Grandview_Inventory[[#This Row],[no_utilities]]=1,12000,0))/IF(Grandview_Inventory[[#This Row],[unbuildable]]=1,2,1)</f>
        <v>49167.631333630678</v>
      </c>
      <c r="CA65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50">
        <f>ROUND(Grandview_Inventory[[#This Row],[det_value]]*Lookups!$M$28,-2)</f>
        <v>0</v>
      </c>
      <c r="CC650">
        <f>IF(ROUND(Grandview_Inventory[[#This Row],[adj_res]]*Lookups!$M$28,-2)&lt;Grandview_Inventory[[#This Row],[min_res]],Grandview_Inventory[[#This Row],[min_res]],ROUND(Grandview_Inventory[[#This Row],[adj_res]]*Lookups!$M$28,-2))</f>
        <v>351400</v>
      </c>
      <c r="CD650">
        <f>Grandview_Inventory[[#This Row],[final_det]]+Grandview_Inventory[[#This Row],[final_res]]</f>
        <v>351400</v>
      </c>
      <c r="CE650">
        <f>Grandview_Inventory[[#This Row],[final_land]]+Grandview_Inventory[[#This Row],[final_imp]]+Grandview_Inventory[[#This Row],[crop_value]]</f>
        <v>398100</v>
      </c>
      <c r="CG650" t="str">
        <f t="shared" si="10"/>
        <v>update valuation set market_land =46700, market_bldg=351400, market_total =398100, market_mdno =401, market_date ='9/10/2023' where link_id = (select link_id from parcel where parcel_year = '2024' and parcel_id = '23092224502');</v>
      </c>
    </row>
    <row r="651" spans="1:85" x14ac:dyDescent="0.25">
      <c r="A651">
        <v>23092224503</v>
      </c>
      <c r="B651">
        <v>0.19</v>
      </c>
      <c r="C651">
        <v>8482</v>
      </c>
      <c r="D651" t="s">
        <v>129</v>
      </c>
      <c r="E651" t="s">
        <v>53</v>
      </c>
      <c r="F651" t="s">
        <v>53</v>
      </c>
      <c r="G651">
        <v>4</v>
      </c>
      <c r="H651" t="s">
        <v>54</v>
      </c>
      <c r="I651">
        <v>268000</v>
      </c>
      <c r="J651">
        <v>39100</v>
      </c>
      <c r="K651">
        <v>0.19</v>
      </c>
      <c r="L65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51">
        <v>0</v>
      </c>
      <c r="N651">
        <v>0</v>
      </c>
      <c r="O651">
        <v>0</v>
      </c>
      <c r="P651">
        <v>13398.7528</v>
      </c>
      <c r="Q651">
        <v>63903</v>
      </c>
      <c r="R651">
        <f>(Grandview_Inventory[[#This Row],[ln_acres]]*Grandview_Inventory[[#This Row],[coeff]])+Grandview_Inventory[[#This Row],[const]]</f>
        <v>41651.273092551026</v>
      </c>
      <c r="S651" t="s">
        <v>58</v>
      </c>
      <c r="T651">
        <v>1</v>
      </c>
      <c r="U651" t="s">
        <v>64</v>
      </c>
      <c r="V651" t="s">
        <v>66</v>
      </c>
      <c r="W651">
        <v>0</v>
      </c>
      <c r="X651">
        <v>0</v>
      </c>
      <c r="Y651">
        <v>17</v>
      </c>
      <c r="Z651">
        <v>17</v>
      </c>
      <c r="AA651">
        <v>20</v>
      </c>
      <c r="AB651">
        <v>2000</v>
      </c>
      <c r="AC651">
        <v>1660</v>
      </c>
      <c r="AD651">
        <v>1660</v>
      </c>
      <c r="AE651">
        <v>0</v>
      </c>
      <c r="AF651">
        <v>0</v>
      </c>
      <c r="AG651">
        <v>0</v>
      </c>
      <c r="AH651">
        <v>0</v>
      </c>
      <c r="AI651">
        <v>500</v>
      </c>
      <c r="AJ651">
        <v>0</v>
      </c>
      <c r="AK651">
        <v>0</v>
      </c>
      <c r="AL651">
        <v>0</v>
      </c>
      <c r="AM651">
        <v>180</v>
      </c>
      <c r="AN651">
        <v>0</v>
      </c>
      <c r="AO651">
        <v>180</v>
      </c>
      <c r="AP651">
        <v>10</v>
      </c>
      <c r="AQ651">
        <v>0</v>
      </c>
      <c r="AR651">
        <v>0</v>
      </c>
      <c r="AS651" t="s">
        <v>58</v>
      </c>
      <c r="AT651">
        <v>1</v>
      </c>
      <c r="AU651" t="s">
        <v>63</v>
      </c>
      <c r="AV651" t="s">
        <v>64</v>
      </c>
      <c r="AW651">
        <v>1</v>
      </c>
      <c r="AX651">
        <v>3</v>
      </c>
      <c r="AY651">
        <v>0</v>
      </c>
      <c r="AZ651">
        <v>0</v>
      </c>
      <c r="BA651">
        <v>100</v>
      </c>
      <c r="BB651">
        <v>100</v>
      </c>
      <c r="BC651">
        <v>100</v>
      </c>
      <c r="BD651">
        <v>100</v>
      </c>
      <c r="BE651">
        <v>1</v>
      </c>
      <c r="BF651">
        <v>15000</v>
      </c>
      <c r="BG651">
        <v>1000</v>
      </c>
      <c r="BH651" s="6">
        <f>Grandview_Inventory[[#This Row],[land_extract]]*Lookups!$B$3</f>
        <v>48369.510983942157</v>
      </c>
      <c r="BI651" s="6">
        <f>IF(Grandview_Inventory[[#This Row],[bldg_style]]="",0,Lookups!$B$2)</f>
        <v>155833.95000000001</v>
      </c>
      <c r="BJ651" s="6">
        <f>_xlfn.IFNA(VLOOKUP(Grandview_Inventory[[#This Row],[quality]],Lookups!$H$2:$J$14,3,FALSE),0)</f>
        <v>20768</v>
      </c>
      <c r="BK651" s="6">
        <f>_xlfn.IFNA(VLOOKUP(Grandview_Inventory[[#This Row],[condition]],Lookups!$H$17:$J$24,3,FALSE),0)</f>
        <v>25818</v>
      </c>
      <c r="BL651" s="6">
        <f>Grandview_Inventory[[#This Row],[Eff_Age]]*Lookups!$B$14</f>
        <v>-4065.8321999999998</v>
      </c>
      <c r="BM651" s="6">
        <f>Grandview_Inventory[[#This Row],[living_area]]*Lookups!$B$15</f>
        <v>103552.21598000001</v>
      </c>
      <c r="BN651" s="6">
        <f>Grandview_Inventory[[#This Row],[Fin BSMT]]*Lookups!$B$16</f>
        <v>0</v>
      </c>
      <c r="BO651" s="6">
        <f>(Grandview_Inventory[[#This Row],[att_gar]]+Grandview_Inventory[[#This Row],[bltin_gar]])*Lookups!$B$17</f>
        <v>43760.218500000003</v>
      </c>
      <c r="BP651" s="6">
        <f>Grandview_Inventory[[#This Row],[Plumbing Fixtures]]*Lookups!$B$18</f>
        <v>20104.418000000001</v>
      </c>
      <c r="BQ651" s="6">
        <f>Grandview_Inventory[[#This Row],[detatched_value]]*Lookups!$B$19</f>
        <v>0</v>
      </c>
      <c r="BR651" s="6">
        <f>SUM(Grandview_Inventory[[#This Row],[Intercept]:[det_value]])*Grandview_Inventory[[#This Row],[res_pct]]</f>
        <v>365770.97028000001</v>
      </c>
      <c r="BS651" s="6">
        <f>Grandview_Inventory[[#This Row],[land_value]]</f>
        <v>48369.510983942157</v>
      </c>
      <c r="BT651" s="4">
        <f>_xlfn.IFNA(VLOOKUP(Grandview_Inventory[[#This Row],[quality]],Lookups!$A$26:$C$33,3,FALSE),1)</f>
        <v>0.94960540378902636</v>
      </c>
      <c r="BU651" s="4">
        <f>_xlfn.IFNA(VLOOKUP(Grandview_Inventory[[#This Row],[condition]],Lookups!$A$37:$C$44,3,FALSE),1)</f>
        <v>0.96661476234146892</v>
      </c>
      <c r="BV651" s="4">
        <f>IF(Grandview_Inventory[[#This Row],[bldg_style]]="",1,_xlfn.IFNA(VLOOKUP(Grandview_Inventory[[#This Row],[decade]],Lookups!$F$29:$H$43,3,FALSE),1))</f>
        <v>0.96737494181490646</v>
      </c>
      <c r="BW651" s="4">
        <f>_xlfn.IFNA(VLOOKUP(Grandview_Inventory[[#This Row],[living_area_range]],Lookups!$F$47:$H$56,3,FALSE),1)</f>
        <v>0.96120133463014379</v>
      </c>
      <c r="BX651" s="4">
        <f>AVERAGE(Grandview_Inventory[[#This Row],[qual_adj]:[size_adj]])</f>
        <v>0.96119911064388641</v>
      </c>
      <c r="BY651" s="6">
        <f>IF(Grandview_Inventory[[#This Row],[pre_res]]&lt;0,0,Grandview_Inventory[[#This Row],[pre_res]]*Grandview_Inventory[[#This Row],[overall_adj]])</f>
        <v>351578.73133248743</v>
      </c>
      <c r="BZ651" s="6">
        <f>(Grandview_Inventory[[#This Row],[sum_land]]-IF(Grandview_Inventory[[#This Row],[no_utilities]]=1,12000,0))/IF(Grandview_Inventory[[#This Row],[unbuildable]]=1,2,1)</f>
        <v>48369.510983942157</v>
      </c>
      <c r="CA65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51">
        <f>ROUND(Grandview_Inventory[[#This Row],[det_value]]*Lookups!$M$28,-2)</f>
        <v>0</v>
      </c>
      <c r="CC651">
        <f>IF(ROUND(Grandview_Inventory[[#This Row],[adj_res]]*Lookups!$M$28,-2)&lt;Grandview_Inventory[[#This Row],[min_res]],Grandview_Inventory[[#This Row],[min_res]],ROUND(Grandview_Inventory[[#This Row],[adj_res]]*Lookups!$M$28,-2))</f>
        <v>334000</v>
      </c>
      <c r="CD651">
        <f>Grandview_Inventory[[#This Row],[final_det]]+Grandview_Inventory[[#This Row],[final_res]]</f>
        <v>334000</v>
      </c>
      <c r="CE651">
        <f>Grandview_Inventory[[#This Row],[final_land]]+Grandview_Inventory[[#This Row],[final_imp]]+Grandview_Inventory[[#This Row],[crop_value]]</f>
        <v>380000</v>
      </c>
      <c r="CG651" t="str">
        <f t="shared" si="10"/>
        <v>update valuation set market_land =46000, market_bldg=334000, market_total =380000, market_mdno =401, market_date ='9/10/2023' where link_id = (select link_id from parcel where parcel_year = '2024' and parcel_id = '23092224503');</v>
      </c>
    </row>
    <row r="652" spans="1:85" x14ac:dyDescent="0.25">
      <c r="A652">
        <v>23092224504</v>
      </c>
      <c r="B652">
        <v>0.19</v>
      </c>
      <c r="C652">
        <v>8205</v>
      </c>
      <c r="D652" t="s">
        <v>129</v>
      </c>
      <c r="E652" t="s">
        <v>53</v>
      </c>
      <c r="F652" t="s">
        <v>53</v>
      </c>
      <c r="G652">
        <v>4</v>
      </c>
      <c r="H652" t="s">
        <v>54</v>
      </c>
      <c r="I652">
        <v>279900</v>
      </c>
      <c r="J652">
        <v>43300</v>
      </c>
      <c r="K652">
        <v>0.19</v>
      </c>
      <c r="L65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52">
        <v>0</v>
      </c>
      <c r="N652">
        <v>0</v>
      </c>
      <c r="O652">
        <v>0</v>
      </c>
      <c r="P652">
        <v>13398.7528</v>
      </c>
      <c r="Q652">
        <v>63903</v>
      </c>
      <c r="R652">
        <f>(Grandview_Inventory[[#This Row],[ln_acres]]*Grandview_Inventory[[#This Row],[coeff]])+Grandview_Inventory[[#This Row],[const]]</f>
        <v>41651.273092551026</v>
      </c>
      <c r="S652" t="s">
        <v>55</v>
      </c>
      <c r="T652">
        <v>1</v>
      </c>
      <c r="U652" t="s">
        <v>64</v>
      </c>
      <c r="V652" t="s">
        <v>66</v>
      </c>
      <c r="W652">
        <v>0</v>
      </c>
      <c r="X652">
        <v>0</v>
      </c>
      <c r="Y652">
        <v>17</v>
      </c>
      <c r="Z652">
        <v>17</v>
      </c>
      <c r="AA652">
        <v>20</v>
      </c>
      <c r="AB652">
        <v>2000</v>
      </c>
      <c r="AC652">
        <v>1524</v>
      </c>
      <c r="AD652">
        <v>1524</v>
      </c>
      <c r="AE652">
        <v>0</v>
      </c>
      <c r="AF652">
        <v>0</v>
      </c>
      <c r="AG652">
        <v>0</v>
      </c>
      <c r="AH652">
        <v>0</v>
      </c>
      <c r="AI652">
        <v>745</v>
      </c>
      <c r="AJ652">
        <v>0</v>
      </c>
      <c r="AK652">
        <v>0</v>
      </c>
      <c r="AL652">
        <v>0</v>
      </c>
      <c r="AM652">
        <v>256</v>
      </c>
      <c r="AN652">
        <v>0</v>
      </c>
      <c r="AO652">
        <v>68</v>
      </c>
      <c r="AP652">
        <v>9</v>
      </c>
      <c r="AQ652">
        <v>0</v>
      </c>
      <c r="AR652">
        <v>0</v>
      </c>
      <c r="AS652" t="s">
        <v>58</v>
      </c>
      <c r="AT652">
        <v>1</v>
      </c>
      <c r="AU652" t="s">
        <v>59</v>
      </c>
      <c r="AV652" t="s">
        <v>60</v>
      </c>
      <c r="AW652">
        <v>1</v>
      </c>
      <c r="AX652">
        <v>3</v>
      </c>
      <c r="AY652">
        <v>0</v>
      </c>
      <c r="AZ652">
        <v>0</v>
      </c>
      <c r="BA652">
        <v>100</v>
      </c>
      <c r="BB652">
        <v>100</v>
      </c>
      <c r="BC652">
        <v>100</v>
      </c>
      <c r="BD652">
        <v>100</v>
      </c>
      <c r="BE652">
        <v>1</v>
      </c>
      <c r="BF652">
        <v>15000</v>
      </c>
      <c r="BG652">
        <v>1000</v>
      </c>
      <c r="BH652" s="6">
        <f>Grandview_Inventory[[#This Row],[land_extract]]*Lookups!$B$3</f>
        <v>48369.510983942157</v>
      </c>
      <c r="BI652" s="6">
        <f>IF(Grandview_Inventory[[#This Row],[bldg_style]]="",0,Lookups!$B$2)</f>
        <v>155833.95000000001</v>
      </c>
      <c r="BJ652" s="6">
        <f>_xlfn.IFNA(VLOOKUP(Grandview_Inventory[[#This Row],[quality]],Lookups!$H$2:$J$14,3,FALSE),0)</f>
        <v>20768</v>
      </c>
      <c r="BK652" s="6">
        <f>_xlfn.IFNA(VLOOKUP(Grandview_Inventory[[#This Row],[condition]],Lookups!$H$17:$J$24,3,FALSE),0)</f>
        <v>25818</v>
      </c>
      <c r="BL652" s="6">
        <f>Grandview_Inventory[[#This Row],[Eff_Age]]*Lookups!$B$14</f>
        <v>-4065.8321999999998</v>
      </c>
      <c r="BM652" s="6">
        <f>Grandview_Inventory[[#This Row],[living_area]]*Lookups!$B$15</f>
        <v>95068.419972000003</v>
      </c>
      <c r="BN652" s="6">
        <f>Grandview_Inventory[[#This Row],[Fin BSMT]]*Lookups!$B$16</f>
        <v>0</v>
      </c>
      <c r="BO652" s="6">
        <f>(Grandview_Inventory[[#This Row],[att_gar]]+Grandview_Inventory[[#This Row],[bltin_gar]])*Lookups!$B$17</f>
        <v>65202.725565000001</v>
      </c>
      <c r="BP652" s="6">
        <f>Grandview_Inventory[[#This Row],[Plumbing Fixtures]]*Lookups!$B$18</f>
        <v>18093.976200000001</v>
      </c>
      <c r="BQ652" s="6">
        <f>Grandview_Inventory[[#This Row],[detatched_value]]*Lookups!$B$19</f>
        <v>0</v>
      </c>
      <c r="BR652" s="6">
        <f>SUM(Grandview_Inventory[[#This Row],[Intercept]:[det_value]])*Grandview_Inventory[[#This Row],[res_pct]]</f>
        <v>376719.23953700002</v>
      </c>
      <c r="BS652" s="6">
        <f>Grandview_Inventory[[#This Row],[land_value]]</f>
        <v>48369.510983942157</v>
      </c>
      <c r="BT652" s="4">
        <f>_xlfn.IFNA(VLOOKUP(Grandview_Inventory[[#This Row],[quality]],Lookups!$A$26:$C$33,3,FALSE),1)</f>
        <v>0.94960540378902636</v>
      </c>
      <c r="BU652" s="4">
        <f>_xlfn.IFNA(VLOOKUP(Grandview_Inventory[[#This Row],[condition]],Lookups!$A$37:$C$44,3,FALSE),1)</f>
        <v>0.96661476234146892</v>
      </c>
      <c r="BV652" s="4">
        <f>IF(Grandview_Inventory[[#This Row],[bldg_style]]="",1,_xlfn.IFNA(VLOOKUP(Grandview_Inventory[[#This Row],[decade]],Lookups!$F$29:$H$43,3,FALSE),1))</f>
        <v>0.96737494181490646</v>
      </c>
      <c r="BW652" s="4">
        <f>_xlfn.IFNA(VLOOKUP(Grandview_Inventory[[#This Row],[living_area_range]],Lookups!$F$47:$H$56,3,FALSE),1)</f>
        <v>0.96120133463014379</v>
      </c>
      <c r="BX652" s="4">
        <f>AVERAGE(Grandview_Inventory[[#This Row],[qual_adj]:[size_adj]])</f>
        <v>0.96119911064388641</v>
      </c>
      <c r="BY652" s="6">
        <f>IF(Grandview_Inventory[[#This Row],[pre_res]]&lt;0,0,Grandview_Inventory[[#This Row],[pre_res]]*Grandview_Inventory[[#This Row],[overall_adj]])</f>
        <v>362102.1980054056</v>
      </c>
      <c r="BZ652" s="6">
        <f>(Grandview_Inventory[[#This Row],[sum_land]]-IF(Grandview_Inventory[[#This Row],[no_utilities]]=1,12000,0))/IF(Grandview_Inventory[[#This Row],[unbuildable]]=1,2,1)</f>
        <v>48369.510983942157</v>
      </c>
      <c r="CA65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52">
        <f>ROUND(Grandview_Inventory[[#This Row],[det_value]]*Lookups!$M$28,-2)</f>
        <v>0</v>
      </c>
      <c r="CC652">
        <f>IF(ROUND(Grandview_Inventory[[#This Row],[adj_res]]*Lookups!$M$28,-2)&lt;Grandview_Inventory[[#This Row],[min_res]],Grandview_Inventory[[#This Row],[min_res]],ROUND(Grandview_Inventory[[#This Row],[adj_res]]*Lookups!$M$28,-2))</f>
        <v>344000</v>
      </c>
      <c r="CD652">
        <f>Grandview_Inventory[[#This Row],[final_det]]+Grandview_Inventory[[#This Row],[final_res]]</f>
        <v>344000</v>
      </c>
      <c r="CE652">
        <f>Grandview_Inventory[[#This Row],[final_land]]+Grandview_Inventory[[#This Row],[final_imp]]+Grandview_Inventory[[#This Row],[crop_value]]</f>
        <v>390000</v>
      </c>
      <c r="CG652" t="str">
        <f t="shared" si="10"/>
        <v>update valuation set market_land =46000, market_bldg=344000, market_total =390000, market_mdno =401, market_date ='9/10/2023' where link_id = (select link_id from parcel where parcel_year = '2024' and parcel_id = '23092224504');</v>
      </c>
    </row>
    <row r="653" spans="1:85" x14ac:dyDescent="0.25">
      <c r="A653">
        <v>23092224505</v>
      </c>
      <c r="B653">
        <v>0.23</v>
      </c>
      <c r="C653">
        <v>9965</v>
      </c>
      <c r="D653" t="s">
        <v>129</v>
      </c>
      <c r="E653" t="s">
        <v>53</v>
      </c>
      <c r="F653" t="s">
        <v>53</v>
      </c>
      <c r="G653">
        <v>4</v>
      </c>
      <c r="H653" t="s">
        <v>54</v>
      </c>
      <c r="I653">
        <v>285300</v>
      </c>
      <c r="J653">
        <v>43800</v>
      </c>
      <c r="K653">
        <v>0.23</v>
      </c>
      <c r="L65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653">
        <v>0</v>
      </c>
      <c r="N653">
        <v>0</v>
      </c>
      <c r="O653">
        <v>0</v>
      </c>
      <c r="P653">
        <v>13398.7528</v>
      </c>
      <c r="Q653">
        <v>63903</v>
      </c>
      <c r="R653">
        <f>(Grandview_Inventory[[#This Row],[ln_acres]]*Grandview_Inventory[[#This Row],[coeff]])+Grandview_Inventory[[#This Row],[const]]</f>
        <v>44211.174981080039</v>
      </c>
      <c r="S653" t="s">
        <v>58</v>
      </c>
      <c r="T653">
        <v>1</v>
      </c>
      <c r="U653" t="s">
        <v>64</v>
      </c>
      <c r="V653" t="s">
        <v>66</v>
      </c>
      <c r="W653">
        <v>0</v>
      </c>
      <c r="X653">
        <v>0</v>
      </c>
      <c r="Y653">
        <v>14</v>
      </c>
      <c r="Z653">
        <v>14</v>
      </c>
      <c r="AA653">
        <v>20</v>
      </c>
      <c r="AB653">
        <v>2000</v>
      </c>
      <c r="AC653">
        <v>1893</v>
      </c>
      <c r="AD653">
        <v>1893</v>
      </c>
      <c r="AE653">
        <v>0</v>
      </c>
      <c r="AF653">
        <v>0</v>
      </c>
      <c r="AG653">
        <v>0</v>
      </c>
      <c r="AH653">
        <v>0</v>
      </c>
      <c r="AI653">
        <v>508</v>
      </c>
      <c r="AJ653">
        <v>0</v>
      </c>
      <c r="AK653">
        <v>0</v>
      </c>
      <c r="AL653">
        <v>0</v>
      </c>
      <c r="AM653">
        <v>140</v>
      </c>
      <c r="AN653">
        <v>133</v>
      </c>
      <c r="AO653">
        <v>0</v>
      </c>
      <c r="AP653">
        <v>10</v>
      </c>
      <c r="AQ653">
        <v>0</v>
      </c>
      <c r="AR653">
        <v>0</v>
      </c>
      <c r="AS653" t="s">
        <v>58</v>
      </c>
      <c r="AT653">
        <v>1</v>
      </c>
      <c r="AU653" t="s">
        <v>59</v>
      </c>
      <c r="AV653" t="s">
        <v>60</v>
      </c>
      <c r="AW653">
        <v>1</v>
      </c>
      <c r="AX653">
        <v>3</v>
      </c>
      <c r="AY653">
        <v>0</v>
      </c>
      <c r="AZ653">
        <v>0</v>
      </c>
      <c r="BA653">
        <v>100</v>
      </c>
      <c r="BB653">
        <v>100</v>
      </c>
      <c r="BC653">
        <v>100</v>
      </c>
      <c r="BD653">
        <v>100</v>
      </c>
      <c r="BE653">
        <v>1</v>
      </c>
      <c r="BF653">
        <v>15000</v>
      </c>
      <c r="BG653">
        <v>1000</v>
      </c>
      <c r="BH653" s="6">
        <f>Grandview_Inventory[[#This Row],[land_extract]]*Lookups!$B$3</f>
        <v>51342.318135355803</v>
      </c>
      <c r="BI653" s="6">
        <f>IF(Grandview_Inventory[[#This Row],[bldg_style]]="",0,Lookups!$B$2)</f>
        <v>155833.95000000001</v>
      </c>
      <c r="BJ653" s="6">
        <f>_xlfn.IFNA(VLOOKUP(Grandview_Inventory[[#This Row],[quality]],Lookups!$H$2:$J$14,3,FALSE),0)</f>
        <v>20768</v>
      </c>
      <c r="BK653" s="6">
        <f>_xlfn.IFNA(VLOOKUP(Grandview_Inventory[[#This Row],[condition]],Lookups!$H$17:$J$24,3,FALSE),0)</f>
        <v>25818</v>
      </c>
      <c r="BL653" s="6">
        <f>Grandview_Inventory[[#This Row],[Eff_Age]]*Lookups!$B$14</f>
        <v>-3348.3323999999998</v>
      </c>
      <c r="BM653" s="6">
        <f>Grandview_Inventory[[#This Row],[living_area]]*Lookups!$B$15</f>
        <v>118086.954729</v>
      </c>
      <c r="BN653" s="6">
        <f>Grandview_Inventory[[#This Row],[Fin BSMT]]*Lookups!$B$16</f>
        <v>0</v>
      </c>
      <c r="BO653" s="6">
        <f>(Grandview_Inventory[[#This Row],[att_gar]]+Grandview_Inventory[[#This Row],[bltin_gar]])*Lookups!$B$17</f>
        <v>44460.381996000004</v>
      </c>
      <c r="BP653" s="6">
        <f>Grandview_Inventory[[#This Row],[Plumbing Fixtures]]*Lookups!$B$18</f>
        <v>20104.418000000001</v>
      </c>
      <c r="BQ653" s="6">
        <f>Grandview_Inventory[[#This Row],[detatched_value]]*Lookups!$B$19</f>
        <v>0</v>
      </c>
      <c r="BR653" s="6">
        <f>SUM(Grandview_Inventory[[#This Row],[Intercept]:[det_value]])*Grandview_Inventory[[#This Row],[res_pct]]</f>
        <v>381723.372325</v>
      </c>
      <c r="BS653" s="6">
        <f>Grandview_Inventory[[#This Row],[land_value]]</f>
        <v>51342.318135355803</v>
      </c>
      <c r="BT653" s="4">
        <f>_xlfn.IFNA(VLOOKUP(Grandview_Inventory[[#This Row],[quality]],Lookups!$A$26:$C$33,3,FALSE),1)</f>
        <v>0.94960540378902636</v>
      </c>
      <c r="BU653" s="4">
        <f>_xlfn.IFNA(VLOOKUP(Grandview_Inventory[[#This Row],[condition]],Lookups!$A$37:$C$44,3,FALSE),1)</f>
        <v>0.96661476234146892</v>
      </c>
      <c r="BV653" s="4">
        <f>IF(Grandview_Inventory[[#This Row],[bldg_style]]="",1,_xlfn.IFNA(VLOOKUP(Grandview_Inventory[[#This Row],[decade]],Lookups!$F$29:$H$43,3,FALSE),1))</f>
        <v>0.96737494181490646</v>
      </c>
      <c r="BW653" s="4">
        <f>_xlfn.IFNA(VLOOKUP(Grandview_Inventory[[#This Row],[living_area_range]],Lookups!$F$47:$H$56,3,FALSE),1)</f>
        <v>0.96120133463014379</v>
      </c>
      <c r="BX653" s="4">
        <f>AVERAGE(Grandview_Inventory[[#This Row],[qual_adj]:[size_adj]])</f>
        <v>0.96119911064388641</v>
      </c>
      <c r="BY653" s="6">
        <f>IF(Grandview_Inventory[[#This Row],[pre_res]]&lt;0,0,Grandview_Inventory[[#This Row],[pre_res]]*Grandview_Inventory[[#This Row],[overall_adj]])</f>
        <v>366912.1659907751</v>
      </c>
      <c r="BZ653" s="6">
        <f>(Grandview_Inventory[[#This Row],[sum_land]]-IF(Grandview_Inventory[[#This Row],[no_utilities]]=1,12000,0))/IF(Grandview_Inventory[[#This Row],[unbuildable]]=1,2,1)</f>
        <v>51342.318135355803</v>
      </c>
      <c r="CA65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653">
        <f>ROUND(Grandview_Inventory[[#This Row],[det_value]]*Lookups!$M$28,-2)</f>
        <v>0</v>
      </c>
      <c r="CC653">
        <f>IF(ROUND(Grandview_Inventory[[#This Row],[adj_res]]*Lookups!$M$28,-2)&lt;Grandview_Inventory[[#This Row],[min_res]],Grandview_Inventory[[#This Row],[min_res]],ROUND(Grandview_Inventory[[#This Row],[adj_res]]*Lookups!$M$28,-2))</f>
        <v>348600</v>
      </c>
      <c r="CD653">
        <f>Grandview_Inventory[[#This Row],[final_det]]+Grandview_Inventory[[#This Row],[final_res]]</f>
        <v>348600</v>
      </c>
      <c r="CE653">
        <f>Grandview_Inventory[[#This Row],[final_land]]+Grandview_Inventory[[#This Row],[final_imp]]+Grandview_Inventory[[#This Row],[crop_value]]</f>
        <v>397400</v>
      </c>
      <c r="CG653" t="str">
        <f t="shared" si="10"/>
        <v>update valuation set market_land =48800, market_bldg=348600, market_total =397400, market_mdno =401, market_date ='9/10/2023' where link_id = (select link_id from parcel where parcel_year = '2024' and parcel_id = '23092224505');</v>
      </c>
    </row>
    <row r="654" spans="1:85" x14ac:dyDescent="0.25">
      <c r="A654">
        <v>23092224506</v>
      </c>
      <c r="B654">
        <v>0.31</v>
      </c>
      <c r="C654">
        <v>13368</v>
      </c>
      <c r="D654" t="s">
        <v>129</v>
      </c>
      <c r="E654" t="s">
        <v>53</v>
      </c>
      <c r="F654" t="s">
        <v>53</v>
      </c>
      <c r="G654">
        <v>4</v>
      </c>
      <c r="H654" t="s">
        <v>54</v>
      </c>
      <c r="I654">
        <v>312500</v>
      </c>
      <c r="J654">
        <v>45600</v>
      </c>
      <c r="K654">
        <v>0.31</v>
      </c>
      <c r="L654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654">
        <v>0</v>
      </c>
      <c r="N654">
        <v>0</v>
      </c>
      <c r="O654">
        <v>0</v>
      </c>
      <c r="P654">
        <v>13398.7528</v>
      </c>
      <c r="Q654">
        <v>63903</v>
      </c>
      <c r="R654">
        <f>(Grandview_Inventory[[#This Row],[ln_acres]]*Grandview_Inventory[[#This Row],[coeff]])+Grandview_Inventory[[#This Row],[const]]</f>
        <v>48210.608747275066</v>
      </c>
      <c r="S654" t="s">
        <v>58</v>
      </c>
      <c r="T654">
        <v>1</v>
      </c>
      <c r="U654" t="s">
        <v>64</v>
      </c>
      <c r="V654" t="s">
        <v>66</v>
      </c>
      <c r="W654">
        <v>0</v>
      </c>
      <c r="X654">
        <v>0</v>
      </c>
      <c r="Y654">
        <v>17</v>
      </c>
      <c r="Z654">
        <v>17</v>
      </c>
      <c r="AA654">
        <v>20</v>
      </c>
      <c r="AB654">
        <v>2500</v>
      </c>
      <c r="AC654">
        <v>2312</v>
      </c>
      <c r="AD654">
        <v>2312</v>
      </c>
      <c r="AE654">
        <v>0</v>
      </c>
      <c r="AF654">
        <v>0</v>
      </c>
      <c r="AG654">
        <v>0</v>
      </c>
      <c r="AH654">
        <v>0</v>
      </c>
      <c r="AI654">
        <v>575</v>
      </c>
      <c r="AJ654">
        <v>0</v>
      </c>
      <c r="AK654">
        <v>0</v>
      </c>
      <c r="AL654">
        <v>0</v>
      </c>
      <c r="AM654">
        <v>525</v>
      </c>
      <c r="AN654">
        <v>280</v>
      </c>
      <c r="AO654">
        <v>0</v>
      </c>
      <c r="AP654">
        <v>13</v>
      </c>
      <c r="AQ654">
        <v>0</v>
      </c>
      <c r="AR654">
        <v>0</v>
      </c>
      <c r="AS654" t="s">
        <v>58</v>
      </c>
      <c r="AT654">
        <v>1</v>
      </c>
      <c r="AU654" t="s">
        <v>63</v>
      </c>
      <c r="AV654" t="s">
        <v>64</v>
      </c>
      <c r="AW654">
        <v>1</v>
      </c>
      <c r="AX654">
        <v>3</v>
      </c>
      <c r="AY654">
        <v>0</v>
      </c>
      <c r="AZ654">
        <v>0</v>
      </c>
      <c r="BA654">
        <v>100</v>
      </c>
      <c r="BB654">
        <v>100</v>
      </c>
      <c r="BC654">
        <v>100</v>
      </c>
      <c r="BD654">
        <v>100</v>
      </c>
      <c r="BE654">
        <v>1</v>
      </c>
      <c r="BF654">
        <v>15000</v>
      </c>
      <c r="BG654">
        <v>1000</v>
      </c>
      <c r="BH654" s="6">
        <f>Grandview_Inventory[[#This Row],[land_extract]]*Lookups!$B$3</f>
        <v>55986.849769566914</v>
      </c>
      <c r="BI654" s="6">
        <f>IF(Grandview_Inventory[[#This Row],[bldg_style]]="",0,Lookups!$B$2)</f>
        <v>155833.95000000001</v>
      </c>
      <c r="BJ654" s="6">
        <f>_xlfn.IFNA(VLOOKUP(Grandview_Inventory[[#This Row],[quality]],Lookups!$H$2:$J$14,3,FALSE),0)</f>
        <v>20768</v>
      </c>
      <c r="BK654" s="6">
        <f>_xlfn.IFNA(VLOOKUP(Grandview_Inventory[[#This Row],[condition]],Lookups!$H$17:$J$24,3,FALSE),0)</f>
        <v>25818</v>
      </c>
      <c r="BL654" s="6">
        <f>Grandview_Inventory[[#This Row],[Eff_Age]]*Lookups!$B$14</f>
        <v>-4065.8321999999998</v>
      </c>
      <c r="BM654" s="6">
        <f>Grandview_Inventory[[#This Row],[living_area]]*Lookups!$B$15</f>
        <v>144224.53213599999</v>
      </c>
      <c r="BN654" s="6">
        <f>Grandview_Inventory[[#This Row],[Fin BSMT]]*Lookups!$B$16</f>
        <v>0</v>
      </c>
      <c r="BO654" s="6">
        <f>(Grandview_Inventory[[#This Row],[att_gar]]+Grandview_Inventory[[#This Row],[bltin_gar]])*Lookups!$B$17</f>
        <v>50324.251275000002</v>
      </c>
      <c r="BP654" s="6">
        <f>Grandview_Inventory[[#This Row],[Plumbing Fixtures]]*Lookups!$B$18</f>
        <v>26135.743399999999</v>
      </c>
      <c r="BQ654" s="6">
        <f>Grandview_Inventory[[#This Row],[detatched_value]]*Lookups!$B$19</f>
        <v>0</v>
      </c>
      <c r="BR654" s="6">
        <f>SUM(Grandview_Inventory[[#This Row],[Intercept]:[det_value]])*Grandview_Inventory[[#This Row],[res_pct]]</f>
        <v>419038.64461099997</v>
      </c>
      <c r="BS654" s="6">
        <f>Grandview_Inventory[[#This Row],[land_value]]</f>
        <v>55986.849769566914</v>
      </c>
      <c r="BT654" s="4">
        <f>_xlfn.IFNA(VLOOKUP(Grandview_Inventory[[#This Row],[quality]],Lookups!$A$26:$C$33,3,FALSE),1)</f>
        <v>0.94960540378902636</v>
      </c>
      <c r="BU654" s="4">
        <f>_xlfn.IFNA(VLOOKUP(Grandview_Inventory[[#This Row],[condition]],Lookups!$A$37:$C$44,3,FALSE),1)</f>
        <v>0.96661476234146892</v>
      </c>
      <c r="BV654" s="4">
        <f>IF(Grandview_Inventory[[#This Row],[bldg_style]]="",1,_xlfn.IFNA(VLOOKUP(Grandview_Inventory[[#This Row],[decade]],Lookups!$F$29:$H$43,3,FALSE),1))</f>
        <v>0.96737494181490646</v>
      </c>
      <c r="BW654" s="4">
        <f>_xlfn.IFNA(VLOOKUP(Grandview_Inventory[[#This Row],[living_area_range]],Lookups!$F$47:$H$56,3,FALSE),1)</f>
        <v>0.95799442568048754</v>
      </c>
      <c r="BX654" s="4">
        <f>AVERAGE(Grandview_Inventory[[#This Row],[qual_adj]:[size_adj]])</f>
        <v>0.96039738340647229</v>
      </c>
      <c r="BY654" s="6">
        <f>IF(Grandview_Inventory[[#This Row],[pre_res]]&lt;0,0,Grandview_Inventory[[#This Row],[pre_res]]*Grandview_Inventory[[#This Row],[overall_adj]])</f>
        <v>402443.61783059902</v>
      </c>
      <c r="BZ654" s="6">
        <f>(Grandview_Inventory[[#This Row],[sum_land]]-IF(Grandview_Inventory[[#This Row],[no_utilities]]=1,12000,0))/IF(Grandview_Inventory[[#This Row],[unbuildable]]=1,2,1)</f>
        <v>55986.849769566914</v>
      </c>
      <c r="CA654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654">
        <f>ROUND(Grandview_Inventory[[#This Row],[det_value]]*Lookups!$M$28,-2)</f>
        <v>0</v>
      </c>
      <c r="CC654">
        <f>IF(ROUND(Grandview_Inventory[[#This Row],[adj_res]]*Lookups!$M$28,-2)&lt;Grandview_Inventory[[#This Row],[min_res]],Grandview_Inventory[[#This Row],[min_res]],ROUND(Grandview_Inventory[[#This Row],[adj_res]]*Lookups!$M$28,-2))</f>
        <v>382300</v>
      </c>
      <c r="CD654">
        <f>Grandview_Inventory[[#This Row],[final_det]]+Grandview_Inventory[[#This Row],[final_res]]</f>
        <v>382300</v>
      </c>
      <c r="CE654">
        <f>Grandview_Inventory[[#This Row],[final_land]]+Grandview_Inventory[[#This Row],[final_imp]]+Grandview_Inventory[[#This Row],[crop_value]]</f>
        <v>435500</v>
      </c>
      <c r="CG654" t="str">
        <f t="shared" si="10"/>
        <v>update valuation set market_land =53200, market_bldg=382300, market_total =435500, market_mdno =401, market_date ='9/10/2023' where link_id = (select link_id from parcel where parcel_year = '2024' and parcel_id = '23092224506');</v>
      </c>
    </row>
    <row r="655" spans="1:85" x14ac:dyDescent="0.25">
      <c r="A655">
        <v>23092224507</v>
      </c>
      <c r="B655">
        <v>0.25</v>
      </c>
      <c r="C655">
        <v>10942</v>
      </c>
      <c r="D655" t="s">
        <v>129</v>
      </c>
      <c r="E655" t="s">
        <v>53</v>
      </c>
      <c r="F655" t="s">
        <v>53</v>
      </c>
      <c r="G655">
        <v>4</v>
      </c>
      <c r="H655" t="s">
        <v>54</v>
      </c>
      <c r="I655">
        <v>272300</v>
      </c>
      <c r="J655">
        <v>44500</v>
      </c>
      <c r="K655">
        <v>0.25</v>
      </c>
      <c r="L65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55">
        <v>0</v>
      </c>
      <c r="N655">
        <v>0</v>
      </c>
      <c r="O655">
        <v>0</v>
      </c>
      <c r="P655">
        <v>13398.7528</v>
      </c>
      <c r="Q655">
        <v>63903</v>
      </c>
      <c r="R655">
        <f>(Grandview_Inventory[[#This Row],[ln_acres]]*Grandview_Inventory[[#This Row],[coeff]])+Grandview_Inventory[[#This Row],[const]]</f>
        <v>45328.38454732066</v>
      </c>
      <c r="S655" t="s">
        <v>58</v>
      </c>
      <c r="T655">
        <v>1</v>
      </c>
      <c r="U655" t="s">
        <v>64</v>
      </c>
      <c r="V655" t="s">
        <v>66</v>
      </c>
      <c r="W655">
        <v>0</v>
      </c>
      <c r="X655">
        <v>0</v>
      </c>
      <c r="Y655">
        <v>18</v>
      </c>
      <c r="Z655">
        <v>18</v>
      </c>
      <c r="AA655">
        <v>20</v>
      </c>
      <c r="AB655">
        <v>2000</v>
      </c>
      <c r="AC655">
        <v>1674</v>
      </c>
      <c r="AD655">
        <v>1674</v>
      </c>
      <c r="AE655">
        <v>0</v>
      </c>
      <c r="AF655">
        <v>0</v>
      </c>
      <c r="AG655">
        <v>0</v>
      </c>
      <c r="AH655">
        <v>0</v>
      </c>
      <c r="AI655">
        <v>558</v>
      </c>
      <c r="AJ655">
        <v>0</v>
      </c>
      <c r="AK655">
        <v>0</v>
      </c>
      <c r="AL655">
        <v>0</v>
      </c>
      <c r="AM655">
        <v>0</v>
      </c>
      <c r="AN655">
        <v>72</v>
      </c>
      <c r="AO655">
        <v>0</v>
      </c>
      <c r="AP655">
        <v>10</v>
      </c>
      <c r="AQ655">
        <v>0</v>
      </c>
      <c r="AR655">
        <v>0</v>
      </c>
      <c r="AS655" t="s">
        <v>58</v>
      </c>
      <c r="AT655">
        <v>1</v>
      </c>
      <c r="AU655" t="s">
        <v>63</v>
      </c>
      <c r="AV655" t="s">
        <v>64</v>
      </c>
      <c r="AW655">
        <v>1</v>
      </c>
      <c r="AX655">
        <v>3</v>
      </c>
      <c r="AY655">
        <v>0</v>
      </c>
      <c r="AZ655">
        <v>0</v>
      </c>
      <c r="BA655">
        <v>100</v>
      </c>
      <c r="BB655">
        <v>100</v>
      </c>
      <c r="BC655">
        <v>100</v>
      </c>
      <c r="BD655">
        <v>100</v>
      </c>
      <c r="BE655">
        <v>1</v>
      </c>
      <c r="BF655">
        <v>15000</v>
      </c>
      <c r="BG655">
        <v>1000</v>
      </c>
      <c r="BH655" s="6">
        <f>Grandview_Inventory[[#This Row],[land_extract]]*Lookups!$B$3</f>
        <v>52639.730588165206</v>
      </c>
      <c r="BI655" s="6">
        <f>IF(Grandview_Inventory[[#This Row],[bldg_style]]="",0,Lookups!$B$2)</f>
        <v>155833.95000000001</v>
      </c>
      <c r="BJ655" s="6">
        <f>_xlfn.IFNA(VLOOKUP(Grandview_Inventory[[#This Row],[quality]],Lookups!$H$2:$J$14,3,FALSE),0)</f>
        <v>20768</v>
      </c>
      <c r="BK655" s="6">
        <f>_xlfn.IFNA(VLOOKUP(Grandview_Inventory[[#This Row],[condition]],Lookups!$H$17:$J$24,3,FALSE),0)</f>
        <v>25818</v>
      </c>
      <c r="BL655" s="6">
        <f>Grandview_Inventory[[#This Row],[Eff_Age]]*Lookups!$B$14</f>
        <v>-4304.9987999999994</v>
      </c>
      <c r="BM655" s="6">
        <f>Grandview_Inventory[[#This Row],[living_area]]*Lookups!$B$15</f>
        <v>104425.547922</v>
      </c>
      <c r="BN655" s="6">
        <f>Grandview_Inventory[[#This Row],[Fin BSMT]]*Lookups!$B$16</f>
        <v>0</v>
      </c>
      <c r="BO655" s="6">
        <f>(Grandview_Inventory[[#This Row],[att_gar]]+Grandview_Inventory[[#This Row],[bltin_gar]])*Lookups!$B$17</f>
        <v>48836.403846000001</v>
      </c>
      <c r="BP655" s="6">
        <f>Grandview_Inventory[[#This Row],[Plumbing Fixtures]]*Lookups!$B$18</f>
        <v>20104.418000000001</v>
      </c>
      <c r="BQ655" s="6">
        <f>Grandview_Inventory[[#This Row],[detatched_value]]*Lookups!$B$19</f>
        <v>0</v>
      </c>
      <c r="BR655" s="6">
        <f>SUM(Grandview_Inventory[[#This Row],[Intercept]:[det_value]])*Grandview_Inventory[[#This Row],[res_pct]]</f>
        <v>371481.32096800004</v>
      </c>
      <c r="BS655" s="6">
        <f>Grandview_Inventory[[#This Row],[land_value]]</f>
        <v>52639.730588165206</v>
      </c>
      <c r="BT655" s="4">
        <f>_xlfn.IFNA(VLOOKUP(Grandview_Inventory[[#This Row],[quality]],Lookups!$A$26:$C$33,3,FALSE),1)</f>
        <v>0.94960540378902636</v>
      </c>
      <c r="BU655" s="4">
        <f>_xlfn.IFNA(VLOOKUP(Grandview_Inventory[[#This Row],[condition]],Lookups!$A$37:$C$44,3,FALSE),1)</f>
        <v>0.96661476234146892</v>
      </c>
      <c r="BV655" s="4">
        <f>IF(Grandview_Inventory[[#This Row],[bldg_style]]="",1,_xlfn.IFNA(VLOOKUP(Grandview_Inventory[[#This Row],[decade]],Lookups!$F$29:$H$43,3,FALSE),1))</f>
        <v>0.96737494181490646</v>
      </c>
      <c r="BW655" s="4">
        <f>_xlfn.IFNA(VLOOKUP(Grandview_Inventory[[#This Row],[living_area_range]],Lookups!$F$47:$H$56,3,FALSE),1)</f>
        <v>0.96120133463014379</v>
      </c>
      <c r="BX655" s="4">
        <f>AVERAGE(Grandview_Inventory[[#This Row],[qual_adj]:[size_adj]])</f>
        <v>0.96119911064388641</v>
      </c>
      <c r="BY655" s="6">
        <f>IF(Grandview_Inventory[[#This Row],[pre_res]]&lt;0,0,Grandview_Inventory[[#This Row],[pre_res]]*Grandview_Inventory[[#This Row],[overall_adj]])</f>
        <v>357067.51533525775</v>
      </c>
      <c r="BZ655" s="6">
        <f>(Grandview_Inventory[[#This Row],[sum_land]]-IF(Grandview_Inventory[[#This Row],[no_utilities]]=1,12000,0))/IF(Grandview_Inventory[[#This Row],[unbuildable]]=1,2,1)</f>
        <v>52639.730588165206</v>
      </c>
      <c r="CA65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55">
        <f>ROUND(Grandview_Inventory[[#This Row],[det_value]]*Lookups!$M$28,-2)</f>
        <v>0</v>
      </c>
      <c r="CC655">
        <f>IF(ROUND(Grandview_Inventory[[#This Row],[adj_res]]*Lookups!$M$28,-2)&lt;Grandview_Inventory[[#This Row],[min_res]],Grandview_Inventory[[#This Row],[min_res]],ROUND(Grandview_Inventory[[#This Row],[adj_res]]*Lookups!$M$28,-2))</f>
        <v>339200</v>
      </c>
      <c r="CD655">
        <f>Grandview_Inventory[[#This Row],[final_det]]+Grandview_Inventory[[#This Row],[final_res]]</f>
        <v>339200</v>
      </c>
      <c r="CE655">
        <f>Grandview_Inventory[[#This Row],[final_land]]+Grandview_Inventory[[#This Row],[final_imp]]+Grandview_Inventory[[#This Row],[crop_value]]</f>
        <v>389200</v>
      </c>
      <c r="CG655" t="str">
        <f t="shared" si="10"/>
        <v>update valuation set market_land =50000, market_bldg=339200, market_total =389200, market_mdno =401, market_date ='9/10/2023' where link_id = (select link_id from parcel where parcel_year = '2024' and parcel_id = '23092224507');</v>
      </c>
    </row>
    <row r="656" spans="1:85" x14ac:dyDescent="0.25">
      <c r="A656">
        <v>23092224508</v>
      </c>
      <c r="B656">
        <v>0.28999999999999998</v>
      </c>
      <c r="C656">
        <v>12562</v>
      </c>
      <c r="D656" t="s">
        <v>129</v>
      </c>
      <c r="E656" t="s">
        <v>53</v>
      </c>
      <c r="F656" t="s">
        <v>53</v>
      </c>
      <c r="G656">
        <v>4</v>
      </c>
      <c r="H656" t="s">
        <v>54</v>
      </c>
      <c r="I656">
        <v>269600</v>
      </c>
      <c r="J656">
        <v>44900</v>
      </c>
      <c r="K656">
        <v>0.28999999999999998</v>
      </c>
      <c r="L656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656">
        <v>0</v>
      </c>
      <c r="N656">
        <v>0</v>
      </c>
      <c r="O656">
        <v>0</v>
      </c>
      <c r="P656">
        <v>13398.7528</v>
      </c>
      <c r="Q656">
        <v>63903</v>
      </c>
      <c r="R656">
        <f>(Grandview_Inventory[[#This Row],[ln_acres]]*Grandview_Inventory[[#This Row],[coeff]])+Grandview_Inventory[[#This Row],[const]]</f>
        <v>47317.027506475133</v>
      </c>
      <c r="S656" t="s">
        <v>58</v>
      </c>
      <c r="T656">
        <v>1</v>
      </c>
      <c r="U656" t="s">
        <v>64</v>
      </c>
      <c r="V656" t="s">
        <v>66</v>
      </c>
      <c r="W656">
        <v>0</v>
      </c>
      <c r="X656">
        <v>0</v>
      </c>
      <c r="Y656">
        <v>16</v>
      </c>
      <c r="Z656">
        <v>16</v>
      </c>
      <c r="AA656">
        <v>20</v>
      </c>
      <c r="AB656">
        <v>2000</v>
      </c>
      <c r="AC656">
        <v>1705</v>
      </c>
      <c r="AD656">
        <v>1705</v>
      </c>
      <c r="AE656">
        <v>0</v>
      </c>
      <c r="AF656">
        <v>0</v>
      </c>
      <c r="AG656">
        <v>0</v>
      </c>
      <c r="AH656">
        <v>0</v>
      </c>
      <c r="AI656">
        <v>511</v>
      </c>
      <c r="AJ656">
        <v>0</v>
      </c>
      <c r="AK656">
        <v>0</v>
      </c>
      <c r="AL656">
        <v>0</v>
      </c>
      <c r="AM656">
        <v>704</v>
      </c>
      <c r="AN656">
        <v>135</v>
      </c>
      <c r="AO656">
        <v>0</v>
      </c>
      <c r="AP656">
        <v>9</v>
      </c>
      <c r="AQ656">
        <v>0</v>
      </c>
      <c r="AR656">
        <v>0</v>
      </c>
      <c r="AS656" t="s">
        <v>58</v>
      </c>
      <c r="AT656">
        <v>1</v>
      </c>
      <c r="AU656" t="s">
        <v>63</v>
      </c>
      <c r="AV656" t="s">
        <v>64</v>
      </c>
      <c r="AW656">
        <v>1</v>
      </c>
      <c r="AX656">
        <v>3</v>
      </c>
      <c r="AY656">
        <v>0</v>
      </c>
      <c r="AZ656">
        <v>0</v>
      </c>
      <c r="BA656">
        <v>100</v>
      </c>
      <c r="BB656">
        <v>100</v>
      </c>
      <c r="BC656">
        <v>100</v>
      </c>
      <c r="BD656">
        <v>100</v>
      </c>
      <c r="BE656">
        <v>1</v>
      </c>
      <c r="BF656">
        <v>15000</v>
      </c>
      <c r="BG656">
        <v>1000</v>
      </c>
      <c r="BH656" s="6">
        <f>Grandview_Inventory[[#This Row],[land_extract]]*Lookups!$B$3</f>
        <v>54949.136287295303</v>
      </c>
      <c r="BI656" s="6">
        <f>IF(Grandview_Inventory[[#This Row],[bldg_style]]="",0,Lookups!$B$2)</f>
        <v>155833.95000000001</v>
      </c>
      <c r="BJ656" s="6">
        <f>_xlfn.IFNA(VLOOKUP(Grandview_Inventory[[#This Row],[quality]],Lookups!$H$2:$J$14,3,FALSE),0)</f>
        <v>20768</v>
      </c>
      <c r="BK656" s="6">
        <f>_xlfn.IFNA(VLOOKUP(Grandview_Inventory[[#This Row],[condition]],Lookups!$H$17:$J$24,3,FALSE),0)</f>
        <v>25818</v>
      </c>
      <c r="BL656" s="6">
        <f>Grandview_Inventory[[#This Row],[Eff_Age]]*Lookups!$B$14</f>
        <v>-3826.6655999999998</v>
      </c>
      <c r="BM656" s="6">
        <f>Grandview_Inventory[[#This Row],[living_area]]*Lookups!$B$15</f>
        <v>106359.35436500001</v>
      </c>
      <c r="BN656" s="6">
        <f>Grandview_Inventory[[#This Row],[Fin BSMT]]*Lookups!$B$16</f>
        <v>0</v>
      </c>
      <c r="BO656" s="6">
        <f>(Grandview_Inventory[[#This Row],[att_gar]]+Grandview_Inventory[[#This Row],[bltin_gar]])*Lookups!$B$17</f>
        <v>44722.943307000001</v>
      </c>
      <c r="BP656" s="6">
        <f>Grandview_Inventory[[#This Row],[Plumbing Fixtures]]*Lookups!$B$18</f>
        <v>18093.976200000001</v>
      </c>
      <c r="BQ656" s="6">
        <f>Grandview_Inventory[[#This Row],[detatched_value]]*Lookups!$B$19</f>
        <v>0</v>
      </c>
      <c r="BR656" s="6">
        <f>SUM(Grandview_Inventory[[#This Row],[Intercept]:[det_value]])*Grandview_Inventory[[#This Row],[res_pct]]</f>
        <v>367769.55827199999</v>
      </c>
      <c r="BS656" s="6">
        <f>Grandview_Inventory[[#This Row],[land_value]]</f>
        <v>54949.136287295303</v>
      </c>
      <c r="BT656" s="4">
        <f>_xlfn.IFNA(VLOOKUP(Grandview_Inventory[[#This Row],[quality]],Lookups!$A$26:$C$33,3,FALSE),1)</f>
        <v>0.94960540378902636</v>
      </c>
      <c r="BU656" s="4">
        <f>_xlfn.IFNA(VLOOKUP(Grandview_Inventory[[#This Row],[condition]],Lookups!$A$37:$C$44,3,FALSE),1)</f>
        <v>0.96661476234146892</v>
      </c>
      <c r="BV656" s="4">
        <f>IF(Grandview_Inventory[[#This Row],[bldg_style]]="",1,_xlfn.IFNA(VLOOKUP(Grandview_Inventory[[#This Row],[decade]],Lookups!$F$29:$H$43,3,FALSE),1))</f>
        <v>0.96737494181490646</v>
      </c>
      <c r="BW656" s="4">
        <f>_xlfn.IFNA(VLOOKUP(Grandview_Inventory[[#This Row],[living_area_range]],Lookups!$F$47:$H$56,3,FALSE),1)</f>
        <v>0.96120133463014379</v>
      </c>
      <c r="BX656" s="4">
        <f>AVERAGE(Grandview_Inventory[[#This Row],[qual_adj]:[size_adj]])</f>
        <v>0.96119911064388641</v>
      </c>
      <c r="BY656" s="6">
        <f>IF(Grandview_Inventory[[#This Row],[pre_res]]&lt;0,0,Grandview_Inventory[[#This Row],[pre_res]]*Grandview_Inventory[[#This Row],[overall_adj]])</f>
        <v>353499.77233294136</v>
      </c>
      <c r="BZ656" s="6">
        <f>(Grandview_Inventory[[#This Row],[sum_land]]-IF(Grandview_Inventory[[#This Row],[no_utilities]]=1,12000,0))/IF(Grandview_Inventory[[#This Row],[unbuildable]]=1,2,1)</f>
        <v>54949.136287295303</v>
      </c>
      <c r="CA656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656">
        <f>ROUND(Grandview_Inventory[[#This Row],[det_value]]*Lookups!$M$28,-2)</f>
        <v>0</v>
      </c>
      <c r="CC656">
        <f>IF(ROUND(Grandview_Inventory[[#This Row],[adj_res]]*Lookups!$M$28,-2)&lt;Grandview_Inventory[[#This Row],[min_res]],Grandview_Inventory[[#This Row],[min_res]],ROUND(Grandview_Inventory[[#This Row],[adj_res]]*Lookups!$M$28,-2))</f>
        <v>335800</v>
      </c>
      <c r="CD656">
        <f>Grandview_Inventory[[#This Row],[final_det]]+Grandview_Inventory[[#This Row],[final_res]]</f>
        <v>335800</v>
      </c>
      <c r="CE656">
        <f>Grandview_Inventory[[#This Row],[final_land]]+Grandview_Inventory[[#This Row],[final_imp]]+Grandview_Inventory[[#This Row],[crop_value]]</f>
        <v>388000</v>
      </c>
      <c r="CG656" t="str">
        <f t="shared" si="10"/>
        <v>update valuation set market_land =52200, market_bldg=335800, market_total =388000, market_mdno =401, market_date ='9/10/2023' where link_id = (select link_id from parcel where parcel_year = '2024' and parcel_id = '23092224508');</v>
      </c>
    </row>
    <row r="657" spans="1:85" x14ac:dyDescent="0.25">
      <c r="A657">
        <v>23092224509</v>
      </c>
      <c r="B657">
        <v>0.27</v>
      </c>
      <c r="C657">
        <v>11871</v>
      </c>
      <c r="D657" t="s">
        <v>129</v>
      </c>
      <c r="E657" t="s">
        <v>53</v>
      </c>
      <c r="F657" t="s">
        <v>53</v>
      </c>
      <c r="G657">
        <v>4</v>
      </c>
      <c r="H657" t="s">
        <v>54</v>
      </c>
      <c r="I657">
        <v>289600</v>
      </c>
      <c r="J657">
        <v>40000</v>
      </c>
      <c r="K657">
        <v>0.27</v>
      </c>
      <c r="L657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657">
        <v>0</v>
      </c>
      <c r="N657">
        <v>0</v>
      </c>
      <c r="O657">
        <v>0</v>
      </c>
      <c r="P657">
        <v>13398.7528</v>
      </c>
      <c r="Q657">
        <v>63903</v>
      </c>
      <c r="R657">
        <f>(Grandview_Inventory[[#This Row],[ln_acres]]*Grandview_Inventory[[#This Row],[coeff]])+Grandview_Inventory[[#This Row],[const]]</f>
        <v>46359.566512734265</v>
      </c>
      <c r="S657" t="s">
        <v>58</v>
      </c>
      <c r="T657">
        <v>1</v>
      </c>
      <c r="U657" t="s">
        <v>62</v>
      </c>
      <c r="V657" t="s">
        <v>57</v>
      </c>
      <c r="W657">
        <v>0</v>
      </c>
      <c r="X657">
        <v>0</v>
      </c>
      <c r="Y657">
        <v>7</v>
      </c>
      <c r="Z657">
        <v>7</v>
      </c>
      <c r="AA657">
        <v>10</v>
      </c>
      <c r="AB657">
        <v>2000</v>
      </c>
      <c r="AC657">
        <v>1940</v>
      </c>
      <c r="AD657">
        <v>1940</v>
      </c>
      <c r="AE657">
        <v>0</v>
      </c>
      <c r="AF657">
        <v>0</v>
      </c>
      <c r="AG657">
        <v>0</v>
      </c>
      <c r="AH657">
        <v>0</v>
      </c>
      <c r="AI657">
        <v>528</v>
      </c>
      <c r="AJ657">
        <v>0</v>
      </c>
      <c r="AK657">
        <v>0</v>
      </c>
      <c r="AL657">
        <v>0</v>
      </c>
      <c r="AM657">
        <v>658</v>
      </c>
      <c r="AN657">
        <v>48</v>
      </c>
      <c r="AO657">
        <v>0</v>
      </c>
      <c r="AP657">
        <v>9</v>
      </c>
      <c r="AQ657">
        <v>0</v>
      </c>
      <c r="AR657">
        <v>0</v>
      </c>
      <c r="AS657" t="s">
        <v>58</v>
      </c>
      <c r="AT657">
        <v>1</v>
      </c>
      <c r="AU657" t="s">
        <v>63</v>
      </c>
      <c r="AV657" t="s">
        <v>64</v>
      </c>
      <c r="AW657">
        <v>1</v>
      </c>
      <c r="AX657">
        <v>3</v>
      </c>
      <c r="AY657">
        <v>0</v>
      </c>
      <c r="AZ657">
        <v>0</v>
      </c>
      <c r="BA657">
        <v>100</v>
      </c>
      <c r="BB657">
        <v>100</v>
      </c>
      <c r="BC657">
        <v>100</v>
      </c>
      <c r="BD657">
        <v>100</v>
      </c>
      <c r="BE657">
        <v>1</v>
      </c>
      <c r="BF657">
        <v>15000</v>
      </c>
      <c r="BG657">
        <v>1000</v>
      </c>
      <c r="BH657" s="6">
        <f>Grandview_Inventory[[#This Row],[land_extract]]*Lookups!$B$3</f>
        <v>53837.239420408718</v>
      </c>
      <c r="BI657" s="6">
        <f>IF(Grandview_Inventory[[#This Row],[bldg_style]]="",0,Lookups!$B$2)</f>
        <v>155833.95000000001</v>
      </c>
      <c r="BJ657" s="6">
        <f>_xlfn.IFNA(VLOOKUP(Grandview_Inventory[[#This Row],[quality]],Lookups!$H$2:$J$14,3,FALSE),0)</f>
        <v>9808</v>
      </c>
      <c r="BK657" s="6">
        <f>_xlfn.IFNA(VLOOKUP(Grandview_Inventory[[#This Row],[condition]],Lookups!$H$17:$J$24,3,FALSE),0)</f>
        <v>25780</v>
      </c>
      <c r="BL657" s="6">
        <f>Grandview_Inventory[[#This Row],[Eff_Age]]*Lookups!$B$14</f>
        <v>-1674.1661999999999</v>
      </c>
      <c r="BM657" s="6">
        <f>Grandview_Inventory[[#This Row],[living_area]]*Lookups!$B$15</f>
        <v>121018.85482000001</v>
      </c>
      <c r="BN657" s="6">
        <f>Grandview_Inventory[[#This Row],[Fin BSMT]]*Lookups!$B$16</f>
        <v>0</v>
      </c>
      <c r="BO657" s="6">
        <f>(Grandview_Inventory[[#This Row],[att_gar]]+Grandview_Inventory[[#This Row],[bltin_gar]])*Lookups!$B$17</f>
        <v>46210.790736000003</v>
      </c>
      <c r="BP657" s="6">
        <f>Grandview_Inventory[[#This Row],[Plumbing Fixtures]]*Lookups!$B$18</f>
        <v>18093.976200000001</v>
      </c>
      <c r="BQ657" s="6">
        <f>Grandview_Inventory[[#This Row],[detatched_value]]*Lookups!$B$19</f>
        <v>0</v>
      </c>
      <c r="BR657" s="6">
        <f>SUM(Grandview_Inventory[[#This Row],[Intercept]:[det_value]])*Grandview_Inventory[[#This Row],[res_pct]]</f>
        <v>375071.40555599995</v>
      </c>
      <c r="BS657" s="6">
        <f>Grandview_Inventory[[#This Row],[land_value]]</f>
        <v>53837.239420408718</v>
      </c>
      <c r="BT657" s="4">
        <f>_xlfn.IFNA(VLOOKUP(Grandview_Inventory[[#This Row],[quality]],Lookups!$A$26:$C$33,3,FALSE),1)</f>
        <v>0.94295468617355149</v>
      </c>
      <c r="BU657" s="4">
        <f>_xlfn.IFNA(VLOOKUP(Grandview_Inventory[[#This Row],[condition]],Lookups!$A$37:$C$44,3,FALSE),1)</f>
        <v>0.94347925387812148</v>
      </c>
      <c r="BV657" s="4">
        <f>IF(Grandview_Inventory[[#This Row],[bldg_style]]="",1,_xlfn.IFNA(VLOOKUP(Grandview_Inventory[[#This Row],[decade]],Lookups!$F$29:$H$43,3,FALSE),1))</f>
        <v>0.94601966599150278</v>
      </c>
      <c r="BW657" s="4">
        <f>_xlfn.IFNA(VLOOKUP(Grandview_Inventory[[#This Row],[living_area_range]],Lookups!$F$47:$H$56,3,FALSE),1)</f>
        <v>0.96120133463014379</v>
      </c>
      <c r="BX657" s="4">
        <f>AVERAGE(Grandview_Inventory[[#This Row],[qual_adj]:[size_adj]])</f>
        <v>0.94841373516832994</v>
      </c>
      <c r="BY657" s="6">
        <f>IF(Grandview_Inventory[[#This Row],[pre_res]]&lt;0,0,Grandview_Inventory[[#This Row],[pre_res]]*Grandview_Inventory[[#This Row],[overall_adj]])</f>
        <v>355722.87269820139</v>
      </c>
      <c r="BZ657" s="6">
        <f>(Grandview_Inventory[[#This Row],[sum_land]]-IF(Grandview_Inventory[[#This Row],[no_utilities]]=1,12000,0))/IF(Grandview_Inventory[[#This Row],[unbuildable]]=1,2,1)</f>
        <v>53837.239420408718</v>
      </c>
      <c r="CA657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657">
        <f>ROUND(Grandview_Inventory[[#This Row],[det_value]]*Lookups!$M$28,-2)</f>
        <v>0</v>
      </c>
      <c r="CC657">
        <f>IF(ROUND(Grandview_Inventory[[#This Row],[adj_res]]*Lookups!$M$28,-2)&lt;Grandview_Inventory[[#This Row],[min_res]],Grandview_Inventory[[#This Row],[min_res]],ROUND(Grandview_Inventory[[#This Row],[adj_res]]*Lookups!$M$28,-2))</f>
        <v>337900</v>
      </c>
      <c r="CD657">
        <f>Grandview_Inventory[[#This Row],[final_det]]+Grandview_Inventory[[#This Row],[final_res]]</f>
        <v>337900</v>
      </c>
      <c r="CE657">
        <f>Grandview_Inventory[[#This Row],[final_land]]+Grandview_Inventory[[#This Row],[final_imp]]+Grandview_Inventory[[#This Row],[crop_value]]</f>
        <v>389000</v>
      </c>
      <c r="CG657" t="str">
        <f t="shared" si="10"/>
        <v>update valuation set market_land =51100, market_bldg=337900, market_total =389000, market_mdno =401, market_date ='9/10/2023' where link_id = (select link_id from parcel where parcel_year = '2024' and parcel_id = '23092224509');</v>
      </c>
    </row>
    <row r="658" spans="1:85" x14ac:dyDescent="0.25">
      <c r="A658">
        <v>23092224510</v>
      </c>
      <c r="B658">
        <v>0.27</v>
      </c>
      <c r="C658">
        <v>11802</v>
      </c>
      <c r="D658" t="s">
        <v>129</v>
      </c>
      <c r="E658" t="s">
        <v>53</v>
      </c>
      <c r="F658" t="s">
        <v>53</v>
      </c>
      <c r="G658">
        <v>4</v>
      </c>
      <c r="H658" t="s">
        <v>54</v>
      </c>
      <c r="I658">
        <v>400000</v>
      </c>
      <c r="J658">
        <v>44500</v>
      </c>
      <c r="K658">
        <v>0.27</v>
      </c>
      <c r="L65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658">
        <v>0</v>
      </c>
      <c r="N658">
        <v>0</v>
      </c>
      <c r="O658">
        <v>0</v>
      </c>
      <c r="P658">
        <v>13398.7528</v>
      </c>
      <c r="Q658">
        <v>63903</v>
      </c>
      <c r="R658">
        <f>(Grandview_Inventory[[#This Row],[ln_acres]]*Grandview_Inventory[[#This Row],[coeff]])+Grandview_Inventory[[#This Row],[const]]</f>
        <v>46359.566512734265</v>
      </c>
      <c r="S658" t="s">
        <v>58</v>
      </c>
      <c r="T658">
        <v>1</v>
      </c>
      <c r="U658" t="s">
        <v>56</v>
      </c>
      <c r="V658" t="s">
        <v>66</v>
      </c>
      <c r="W658">
        <v>30700</v>
      </c>
      <c r="X658">
        <v>0</v>
      </c>
      <c r="Y658">
        <v>11</v>
      </c>
      <c r="Z658">
        <v>11</v>
      </c>
      <c r="AA658">
        <v>20</v>
      </c>
      <c r="AB658">
        <v>3000</v>
      </c>
      <c r="AC658">
        <v>2776</v>
      </c>
      <c r="AD658">
        <v>2776</v>
      </c>
      <c r="AE658">
        <v>0</v>
      </c>
      <c r="AF658">
        <v>0</v>
      </c>
      <c r="AG658">
        <v>0</v>
      </c>
      <c r="AH658">
        <v>0</v>
      </c>
      <c r="AI658">
        <v>1124</v>
      </c>
      <c r="AJ658">
        <v>0</v>
      </c>
      <c r="AK658">
        <v>0</v>
      </c>
      <c r="AL658">
        <v>0</v>
      </c>
      <c r="AM658">
        <v>0</v>
      </c>
      <c r="AN658">
        <v>728</v>
      </c>
      <c r="AO658">
        <v>0</v>
      </c>
      <c r="AP658">
        <v>14</v>
      </c>
      <c r="AQ658">
        <v>0</v>
      </c>
      <c r="AR658">
        <v>0</v>
      </c>
      <c r="AS658" t="s">
        <v>58</v>
      </c>
      <c r="AT658">
        <v>1</v>
      </c>
      <c r="AU658" t="s">
        <v>63</v>
      </c>
      <c r="AV658" t="s">
        <v>60</v>
      </c>
      <c r="AW658">
        <v>1</v>
      </c>
      <c r="AX658">
        <v>4</v>
      </c>
      <c r="AY658">
        <v>0</v>
      </c>
      <c r="AZ658">
        <v>39300</v>
      </c>
      <c r="BA658">
        <v>100</v>
      </c>
      <c r="BB658">
        <v>100</v>
      </c>
      <c r="BC658">
        <v>100</v>
      </c>
      <c r="BD658">
        <v>100</v>
      </c>
      <c r="BE658">
        <v>1</v>
      </c>
      <c r="BF658">
        <v>15000</v>
      </c>
      <c r="BG658">
        <v>1000</v>
      </c>
      <c r="BH658" s="6">
        <f>Grandview_Inventory[[#This Row],[land_extract]]*Lookups!$B$3</f>
        <v>53837.239420408718</v>
      </c>
      <c r="BI658" s="6">
        <f>IF(Grandview_Inventory[[#This Row],[bldg_style]]="",0,Lookups!$B$2)</f>
        <v>155833.95000000001</v>
      </c>
      <c r="BJ658" s="6">
        <f>_xlfn.IFNA(VLOOKUP(Grandview_Inventory[[#This Row],[quality]],Lookups!$H$2:$J$14,3,FALSE),0)</f>
        <v>56323</v>
      </c>
      <c r="BK658" s="6">
        <f>_xlfn.IFNA(VLOOKUP(Grandview_Inventory[[#This Row],[condition]],Lookups!$H$17:$J$24,3,FALSE),0)</f>
        <v>25818</v>
      </c>
      <c r="BL658" s="6">
        <f>Grandview_Inventory[[#This Row],[Eff_Age]]*Lookups!$B$14</f>
        <v>-2630.8325999999997</v>
      </c>
      <c r="BM658" s="6">
        <f>Grandview_Inventory[[#This Row],[living_area]]*Lookups!$B$15</f>
        <v>173169.247928</v>
      </c>
      <c r="BN658" s="6">
        <f>Grandview_Inventory[[#This Row],[Fin BSMT]]*Lookups!$B$16</f>
        <v>0</v>
      </c>
      <c r="BO658" s="6">
        <f>(Grandview_Inventory[[#This Row],[att_gar]]+Grandview_Inventory[[#This Row],[bltin_gar]])*Lookups!$B$17</f>
        <v>98372.971187999996</v>
      </c>
      <c r="BP658" s="6">
        <f>Grandview_Inventory[[#This Row],[Plumbing Fixtures]]*Lookups!$B$18</f>
        <v>28146.1852</v>
      </c>
      <c r="BQ658" s="6">
        <f>Grandview_Inventory[[#This Row],[detatched_value]]*Lookups!$B$19</f>
        <v>33279.440430000002</v>
      </c>
      <c r="BR658" s="6">
        <f>SUM(Grandview_Inventory[[#This Row],[Intercept]:[det_value]])*Grandview_Inventory[[#This Row],[res_pct]]</f>
        <v>568311.96214600001</v>
      </c>
      <c r="BS658" s="6">
        <f>Grandview_Inventory[[#This Row],[land_value]]</f>
        <v>53837.239420408718</v>
      </c>
      <c r="BT658" s="4">
        <f>_xlfn.IFNA(VLOOKUP(Grandview_Inventory[[#This Row],[quality]],Lookups!$A$26:$C$33,3,FALSE),1)</f>
        <v>0.76437650671582003</v>
      </c>
      <c r="BU658" s="4">
        <f>_xlfn.IFNA(VLOOKUP(Grandview_Inventory[[#This Row],[condition]],Lookups!$A$37:$C$44,3,FALSE),1)</f>
        <v>0.96661476234146892</v>
      </c>
      <c r="BV658" s="4">
        <f>IF(Grandview_Inventory[[#This Row],[bldg_style]]="",1,_xlfn.IFNA(VLOOKUP(Grandview_Inventory[[#This Row],[decade]],Lookups!$F$29:$H$43,3,FALSE),1))</f>
        <v>0.96737494181490646</v>
      </c>
      <c r="BW658" s="4">
        <f>_xlfn.IFNA(VLOOKUP(Grandview_Inventory[[#This Row],[living_area_range]],Lookups!$F$47:$H$56,3,FALSE),1)</f>
        <v>0.94224801443562123</v>
      </c>
      <c r="BX658" s="4">
        <f>AVERAGE(Grandview_Inventory[[#This Row],[qual_adj]:[size_adj]])</f>
        <v>0.91015355632695416</v>
      </c>
      <c r="BY658" s="6">
        <f>IF(Grandview_Inventory[[#This Row],[pre_res]]&lt;0,0,Grandview_Inventory[[#This Row],[pre_res]]*Grandview_Inventory[[#This Row],[overall_adj]])</f>
        <v>517251.15345033124</v>
      </c>
      <c r="BZ658" s="6">
        <f>(Grandview_Inventory[[#This Row],[sum_land]]-IF(Grandview_Inventory[[#This Row],[no_utilities]]=1,12000,0))/IF(Grandview_Inventory[[#This Row],[unbuildable]]=1,2,1)</f>
        <v>53837.239420408718</v>
      </c>
      <c r="CA65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658">
        <f>ROUND(Grandview_Inventory[[#This Row],[det_value]]*Lookups!$M$28,-2)</f>
        <v>31600</v>
      </c>
      <c r="CC658">
        <f>IF(ROUND(Grandview_Inventory[[#This Row],[adj_res]]*Lookups!$M$28,-2)&lt;Grandview_Inventory[[#This Row],[min_res]],Grandview_Inventory[[#This Row],[min_res]],ROUND(Grandview_Inventory[[#This Row],[adj_res]]*Lookups!$M$28,-2))</f>
        <v>491400</v>
      </c>
      <c r="CD658">
        <f>Grandview_Inventory[[#This Row],[final_det]]+Grandview_Inventory[[#This Row],[final_res]]</f>
        <v>523000</v>
      </c>
      <c r="CE658">
        <f>Grandview_Inventory[[#This Row],[final_land]]+Grandview_Inventory[[#This Row],[final_imp]]+Grandview_Inventory[[#This Row],[crop_value]]</f>
        <v>574100</v>
      </c>
      <c r="CG658" t="str">
        <f t="shared" si="10"/>
        <v>update valuation set market_land =51100, market_bldg=523000, market_total =574100, market_mdno =401, market_date ='9/10/2023' where link_id = (select link_id from parcel where parcel_year = '2024' and parcel_id = '23092224510');</v>
      </c>
    </row>
    <row r="659" spans="1:85" x14ac:dyDescent="0.25">
      <c r="A659">
        <v>23092224511</v>
      </c>
      <c r="B659">
        <v>0.24</v>
      </c>
      <c r="C659">
        <v>10566</v>
      </c>
      <c r="D659" t="s">
        <v>129</v>
      </c>
      <c r="E659" t="s">
        <v>53</v>
      </c>
      <c r="F659" t="s">
        <v>53</v>
      </c>
      <c r="G659">
        <v>4</v>
      </c>
      <c r="H659" t="s">
        <v>54</v>
      </c>
      <c r="I659">
        <v>289100</v>
      </c>
      <c r="J659">
        <v>39800</v>
      </c>
      <c r="K659">
        <v>0.24</v>
      </c>
      <c r="L65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659">
        <v>0</v>
      </c>
      <c r="N659">
        <v>0</v>
      </c>
      <c r="O659">
        <v>0</v>
      </c>
      <c r="P659">
        <v>13398.7528</v>
      </c>
      <c r="Q659">
        <v>63903</v>
      </c>
      <c r="R659">
        <f>(Grandview_Inventory[[#This Row],[ln_acres]]*Grandview_Inventory[[#This Row],[coeff]])+Grandview_Inventory[[#This Row],[const]]</f>
        <v>44781.420733940802</v>
      </c>
      <c r="S659" t="s">
        <v>58</v>
      </c>
      <c r="T659">
        <v>1</v>
      </c>
      <c r="U659" t="s">
        <v>56</v>
      </c>
      <c r="V659" t="s">
        <v>57</v>
      </c>
      <c r="W659">
        <v>30700</v>
      </c>
      <c r="X659">
        <v>0</v>
      </c>
      <c r="Y659">
        <v>6</v>
      </c>
      <c r="Z659">
        <v>6</v>
      </c>
      <c r="AA659">
        <v>10</v>
      </c>
      <c r="AB659">
        <v>2500</v>
      </c>
      <c r="AC659">
        <v>2134</v>
      </c>
      <c r="AD659">
        <v>2134</v>
      </c>
      <c r="AE659">
        <v>0</v>
      </c>
      <c r="AF659">
        <v>0</v>
      </c>
      <c r="AG659">
        <v>0</v>
      </c>
      <c r="AH659">
        <v>0</v>
      </c>
      <c r="AI659">
        <v>724</v>
      </c>
      <c r="AJ659">
        <v>0</v>
      </c>
      <c r="AK659">
        <v>0</v>
      </c>
      <c r="AL659">
        <v>0</v>
      </c>
      <c r="AM659">
        <v>260</v>
      </c>
      <c r="AN659">
        <v>58</v>
      </c>
      <c r="AO659">
        <v>260</v>
      </c>
      <c r="AP659">
        <v>13</v>
      </c>
      <c r="AQ659">
        <v>0</v>
      </c>
      <c r="AR659">
        <v>0</v>
      </c>
      <c r="AS659" t="s">
        <v>58</v>
      </c>
      <c r="AT659">
        <v>1</v>
      </c>
      <c r="AU659" t="s">
        <v>59</v>
      </c>
      <c r="AV659" t="s">
        <v>64</v>
      </c>
      <c r="AW659">
        <v>1</v>
      </c>
      <c r="AX659">
        <v>4</v>
      </c>
      <c r="AY659">
        <v>0</v>
      </c>
      <c r="AZ659">
        <v>0</v>
      </c>
      <c r="BA659">
        <v>100</v>
      </c>
      <c r="BB659">
        <v>100</v>
      </c>
      <c r="BC659">
        <v>100</v>
      </c>
      <c r="BD659">
        <v>100</v>
      </c>
      <c r="BE659">
        <v>1</v>
      </c>
      <c r="BF659">
        <v>15000</v>
      </c>
      <c r="BG659">
        <v>1000</v>
      </c>
      <c r="BH659" s="6">
        <f>Grandview_Inventory[[#This Row],[land_extract]]*Lookups!$B$3</f>
        <v>52004.542988489469</v>
      </c>
      <c r="BI659" s="6">
        <f>IF(Grandview_Inventory[[#This Row],[bldg_style]]="",0,Lookups!$B$2)</f>
        <v>155833.95000000001</v>
      </c>
      <c r="BJ659" s="6">
        <f>_xlfn.IFNA(VLOOKUP(Grandview_Inventory[[#This Row],[quality]],Lookups!$H$2:$J$14,3,FALSE),0)</f>
        <v>56323</v>
      </c>
      <c r="BK659" s="6">
        <f>_xlfn.IFNA(VLOOKUP(Grandview_Inventory[[#This Row],[condition]],Lookups!$H$17:$J$24,3,FALSE),0)</f>
        <v>25780</v>
      </c>
      <c r="BL659" s="6">
        <f>Grandview_Inventory[[#This Row],[Eff_Age]]*Lookups!$B$14</f>
        <v>-1434.9995999999999</v>
      </c>
      <c r="BM659" s="6">
        <f>Grandview_Inventory[[#This Row],[living_area]]*Lookups!$B$15</f>
        <v>133120.74030199999</v>
      </c>
      <c r="BN659" s="6">
        <f>Grandview_Inventory[[#This Row],[Fin BSMT]]*Lookups!$B$16</f>
        <v>0</v>
      </c>
      <c r="BO659" s="6">
        <f>(Grandview_Inventory[[#This Row],[att_gar]]+Grandview_Inventory[[#This Row],[bltin_gar]])*Lookups!$B$17</f>
        <v>63364.796388000002</v>
      </c>
      <c r="BP659" s="6">
        <f>Grandview_Inventory[[#This Row],[Plumbing Fixtures]]*Lookups!$B$18</f>
        <v>26135.743399999999</v>
      </c>
      <c r="BQ659" s="6">
        <f>Grandview_Inventory[[#This Row],[detatched_value]]*Lookups!$B$19</f>
        <v>0</v>
      </c>
      <c r="BR659" s="6">
        <f>SUM(Grandview_Inventory[[#This Row],[Intercept]:[det_value]])*Grandview_Inventory[[#This Row],[res_pct]]</f>
        <v>459123.23048999999</v>
      </c>
      <c r="BS659" s="6">
        <f>Grandview_Inventory[[#This Row],[land_value]]</f>
        <v>52004.542988489469</v>
      </c>
      <c r="BT659" s="4">
        <f>_xlfn.IFNA(VLOOKUP(Grandview_Inventory[[#This Row],[quality]],Lookups!$A$26:$C$33,3,FALSE),1)</f>
        <v>0.76437650671582003</v>
      </c>
      <c r="BU659" s="4">
        <f>_xlfn.IFNA(VLOOKUP(Grandview_Inventory[[#This Row],[condition]],Lookups!$A$37:$C$44,3,FALSE),1)</f>
        <v>0.94347925387812148</v>
      </c>
      <c r="BV659" s="4">
        <f>IF(Grandview_Inventory[[#This Row],[bldg_style]]="",1,_xlfn.IFNA(VLOOKUP(Grandview_Inventory[[#This Row],[decade]],Lookups!$F$29:$H$43,3,FALSE),1))</f>
        <v>0.94601966599150278</v>
      </c>
      <c r="BW659" s="4">
        <f>_xlfn.IFNA(VLOOKUP(Grandview_Inventory[[#This Row],[living_area_range]],Lookups!$F$47:$H$56,3,FALSE),1)</f>
        <v>0.95799442568048754</v>
      </c>
      <c r="BX659" s="4">
        <f>AVERAGE(Grandview_Inventory[[#This Row],[qual_adj]:[size_adj]])</f>
        <v>0.90296746306648301</v>
      </c>
      <c r="BY659" s="6">
        <f>IF(Grandview_Inventory[[#This Row],[pre_res]]&lt;0,0,Grandview_Inventory[[#This Row],[pre_res]]*Grandview_Inventory[[#This Row],[overall_adj]])</f>
        <v>414573.33867044345</v>
      </c>
      <c r="BZ659" s="6">
        <f>(Grandview_Inventory[[#This Row],[sum_land]]-IF(Grandview_Inventory[[#This Row],[no_utilities]]=1,12000,0))/IF(Grandview_Inventory[[#This Row],[unbuildable]]=1,2,1)</f>
        <v>52004.542988489469</v>
      </c>
      <c r="CA65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659">
        <f>ROUND(Grandview_Inventory[[#This Row],[det_value]]*Lookups!$M$28,-2)</f>
        <v>0</v>
      </c>
      <c r="CC659">
        <f>IF(ROUND(Grandview_Inventory[[#This Row],[adj_res]]*Lookups!$M$28,-2)&lt;Grandview_Inventory[[#This Row],[min_res]],Grandview_Inventory[[#This Row],[min_res]],ROUND(Grandview_Inventory[[#This Row],[adj_res]]*Lookups!$M$28,-2))</f>
        <v>393800</v>
      </c>
      <c r="CD659">
        <f>Grandview_Inventory[[#This Row],[final_det]]+Grandview_Inventory[[#This Row],[final_res]]</f>
        <v>393800</v>
      </c>
      <c r="CE659">
        <f>Grandview_Inventory[[#This Row],[final_land]]+Grandview_Inventory[[#This Row],[final_imp]]+Grandview_Inventory[[#This Row],[crop_value]]</f>
        <v>443200</v>
      </c>
      <c r="CG659" t="str">
        <f t="shared" si="10"/>
        <v>update valuation set market_land =49400, market_bldg=393800, market_total =443200, market_mdno =401, market_date ='9/10/2023' where link_id = (select link_id from parcel where parcel_year = '2024' and parcel_id = '23092224511');</v>
      </c>
    </row>
    <row r="660" spans="1:85" x14ac:dyDescent="0.25">
      <c r="A660">
        <v>23092224512</v>
      </c>
      <c r="B660">
        <v>0.24</v>
      </c>
      <c r="C660">
        <v>10460</v>
      </c>
      <c r="D660" t="s">
        <v>129</v>
      </c>
      <c r="E660" t="s">
        <v>53</v>
      </c>
      <c r="F660" t="s">
        <v>53</v>
      </c>
      <c r="G660">
        <v>4</v>
      </c>
      <c r="H660" t="s">
        <v>54</v>
      </c>
      <c r="I660">
        <v>336000</v>
      </c>
      <c r="J660">
        <v>39800</v>
      </c>
      <c r="K660">
        <v>0.24</v>
      </c>
      <c r="L66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660">
        <v>0</v>
      </c>
      <c r="N660">
        <v>0</v>
      </c>
      <c r="O660">
        <v>0</v>
      </c>
      <c r="P660">
        <v>13398.7528</v>
      </c>
      <c r="Q660">
        <v>63903</v>
      </c>
      <c r="R660">
        <f>(Grandview_Inventory[[#This Row],[ln_acres]]*Grandview_Inventory[[#This Row],[coeff]])+Grandview_Inventory[[#This Row],[const]]</f>
        <v>44781.420733940802</v>
      </c>
      <c r="S660" t="s">
        <v>58</v>
      </c>
      <c r="T660">
        <v>1</v>
      </c>
      <c r="U660" t="s">
        <v>64</v>
      </c>
      <c r="V660" t="s">
        <v>66</v>
      </c>
      <c r="W660">
        <v>0</v>
      </c>
      <c r="X660">
        <v>0</v>
      </c>
      <c r="Y660">
        <v>10</v>
      </c>
      <c r="Z660">
        <v>10</v>
      </c>
      <c r="AA660">
        <v>10</v>
      </c>
      <c r="AB660">
        <v>2000</v>
      </c>
      <c r="AC660">
        <v>1890</v>
      </c>
      <c r="AD660">
        <v>1890</v>
      </c>
      <c r="AE660">
        <v>0</v>
      </c>
      <c r="AF660">
        <v>0</v>
      </c>
      <c r="AG660">
        <v>0</v>
      </c>
      <c r="AH660">
        <v>0</v>
      </c>
      <c r="AI660">
        <v>722</v>
      </c>
      <c r="AJ660">
        <v>0</v>
      </c>
      <c r="AK660">
        <v>0</v>
      </c>
      <c r="AL660">
        <v>0</v>
      </c>
      <c r="AM660">
        <v>0</v>
      </c>
      <c r="AN660">
        <v>488</v>
      </c>
      <c r="AO660">
        <v>0</v>
      </c>
      <c r="AP660">
        <v>10</v>
      </c>
      <c r="AQ660">
        <v>1</v>
      </c>
      <c r="AR660">
        <v>0</v>
      </c>
      <c r="AS660" t="s">
        <v>58</v>
      </c>
      <c r="AT660">
        <v>1</v>
      </c>
      <c r="AU660" t="s">
        <v>63</v>
      </c>
      <c r="AV660" t="s">
        <v>60</v>
      </c>
      <c r="AW660">
        <v>1</v>
      </c>
      <c r="AX660">
        <v>3</v>
      </c>
      <c r="AY660">
        <v>0</v>
      </c>
      <c r="AZ660">
        <v>14600</v>
      </c>
      <c r="BA660">
        <v>100</v>
      </c>
      <c r="BB660">
        <v>100</v>
      </c>
      <c r="BC660">
        <v>100</v>
      </c>
      <c r="BD660">
        <v>100</v>
      </c>
      <c r="BE660">
        <v>1</v>
      </c>
      <c r="BF660">
        <v>15000</v>
      </c>
      <c r="BG660">
        <v>1000</v>
      </c>
      <c r="BH660" s="6">
        <f>Grandview_Inventory[[#This Row],[land_extract]]*Lookups!$B$3</f>
        <v>52004.542988489469</v>
      </c>
      <c r="BI660" s="6">
        <f>IF(Grandview_Inventory[[#This Row],[bldg_style]]="",0,Lookups!$B$2)</f>
        <v>155833.95000000001</v>
      </c>
      <c r="BJ660" s="6">
        <f>_xlfn.IFNA(VLOOKUP(Grandview_Inventory[[#This Row],[quality]],Lookups!$H$2:$J$14,3,FALSE),0)</f>
        <v>20768</v>
      </c>
      <c r="BK660" s="6">
        <f>_xlfn.IFNA(VLOOKUP(Grandview_Inventory[[#This Row],[condition]],Lookups!$H$17:$J$24,3,FALSE),0)</f>
        <v>25818</v>
      </c>
      <c r="BL660" s="6">
        <f>Grandview_Inventory[[#This Row],[Eff_Age]]*Lookups!$B$14</f>
        <v>-2391.6659999999997</v>
      </c>
      <c r="BM660" s="6">
        <f>Grandview_Inventory[[#This Row],[living_area]]*Lookups!$B$15</f>
        <v>117899.81217</v>
      </c>
      <c r="BN660" s="6">
        <f>Grandview_Inventory[[#This Row],[Fin BSMT]]*Lookups!$B$16</f>
        <v>0</v>
      </c>
      <c r="BO660" s="6">
        <f>(Grandview_Inventory[[#This Row],[att_gar]]+Grandview_Inventory[[#This Row],[bltin_gar]])*Lookups!$B$17</f>
        <v>63189.755514000004</v>
      </c>
      <c r="BP660" s="6">
        <f>Grandview_Inventory[[#This Row],[Plumbing Fixtures]]*Lookups!$B$18</f>
        <v>20104.418000000001</v>
      </c>
      <c r="BQ660" s="6">
        <f>Grandview_Inventory[[#This Row],[detatched_value]]*Lookups!$B$19</f>
        <v>12363.35446</v>
      </c>
      <c r="BR660" s="6">
        <f>SUM(Grandview_Inventory[[#This Row],[Intercept]:[det_value]])*Grandview_Inventory[[#This Row],[res_pct]]</f>
        <v>413585.62414400006</v>
      </c>
      <c r="BS660" s="6">
        <f>Grandview_Inventory[[#This Row],[land_value]]</f>
        <v>52004.542988489469</v>
      </c>
      <c r="BT660" s="4">
        <f>_xlfn.IFNA(VLOOKUP(Grandview_Inventory[[#This Row],[quality]],Lookups!$A$26:$C$33,3,FALSE),1)</f>
        <v>0.94960540378902636</v>
      </c>
      <c r="BU660" s="4">
        <f>_xlfn.IFNA(VLOOKUP(Grandview_Inventory[[#This Row],[condition]],Lookups!$A$37:$C$44,3,FALSE),1)</f>
        <v>0.96661476234146892</v>
      </c>
      <c r="BV660" s="4">
        <f>IF(Grandview_Inventory[[#This Row],[bldg_style]]="",1,_xlfn.IFNA(VLOOKUP(Grandview_Inventory[[#This Row],[decade]],Lookups!$F$29:$H$43,3,FALSE),1))</f>
        <v>0.94601966599150278</v>
      </c>
      <c r="BW660" s="4">
        <f>_xlfn.IFNA(VLOOKUP(Grandview_Inventory[[#This Row],[living_area_range]],Lookups!$F$47:$H$56,3,FALSE),1)</f>
        <v>0.96120133463014379</v>
      </c>
      <c r="BX660" s="4">
        <f>AVERAGE(Grandview_Inventory[[#This Row],[qual_adj]:[size_adj]])</f>
        <v>0.95586029168803543</v>
      </c>
      <c r="BY660" s="6">
        <f>IF(Grandview_Inventory[[#This Row],[pre_res]]&lt;0,0,Grandview_Inventory[[#This Row],[pre_res]]*Grandview_Inventory[[#This Row],[overall_adj]])</f>
        <v>395330.07533226209</v>
      </c>
      <c r="BZ660" s="6">
        <f>(Grandview_Inventory[[#This Row],[sum_land]]-IF(Grandview_Inventory[[#This Row],[no_utilities]]=1,12000,0))/IF(Grandview_Inventory[[#This Row],[unbuildable]]=1,2,1)</f>
        <v>52004.542988489469</v>
      </c>
      <c r="CA66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660">
        <f>ROUND(Grandview_Inventory[[#This Row],[det_value]]*Lookups!$M$28,-2)</f>
        <v>11700</v>
      </c>
      <c r="CC660">
        <f>IF(ROUND(Grandview_Inventory[[#This Row],[adj_res]]*Lookups!$M$28,-2)&lt;Grandview_Inventory[[#This Row],[min_res]],Grandview_Inventory[[#This Row],[min_res]],ROUND(Grandview_Inventory[[#This Row],[adj_res]]*Lookups!$M$28,-2))</f>
        <v>375600</v>
      </c>
      <c r="CD660">
        <f>Grandview_Inventory[[#This Row],[final_det]]+Grandview_Inventory[[#This Row],[final_res]]</f>
        <v>387300</v>
      </c>
      <c r="CE660">
        <f>Grandview_Inventory[[#This Row],[final_land]]+Grandview_Inventory[[#This Row],[final_imp]]+Grandview_Inventory[[#This Row],[crop_value]]</f>
        <v>436700</v>
      </c>
      <c r="CG660" t="str">
        <f t="shared" si="10"/>
        <v>update valuation set market_land =49400, market_bldg=387300, market_total =436700, market_mdno =401, market_date ='9/10/2023' where link_id = (select link_id from parcel where parcel_year = '2024' and parcel_id = '23092224512');</v>
      </c>
    </row>
    <row r="661" spans="1:85" x14ac:dyDescent="0.25">
      <c r="A661">
        <v>23092224513</v>
      </c>
      <c r="B661">
        <v>0.22</v>
      </c>
      <c r="C661">
        <v>9617</v>
      </c>
      <c r="D661" t="s">
        <v>129</v>
      </c>
      <c r="E661" t="s">
        <v>53</v>
      </c>
      <c r="F661" t="s">
        <v>53</v>
      </c>
      <c r="G661">
        <v>4</v>
      </c>
      <c r="H661" t="s">
        <v>54</v>
      </c>
      <c r="I661">
        <v>280200</v>
      </c>
      <c r="J661">
        <v>39500</v>
      </c>
      <c r="K661">
        <v>0.22</v>
      </c>
      <c r="L66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61">
        <v>0</v>
      </c>
      <c r="N661">
        <v>0</v>
      </c>
      <c r="O661">
        <v>0</v>
      </c>
      <c r="P661">
        <v>13398.7528</v>
      </c>
      <c r="Q661">
        <v>63903</v>
      </c>
      <c r="R661">
        <f>(Grandview_Inventory[[#This Row],[ln_acres]]*Grandview_Inventory[[#This Row],[coeff]])+Grandview_Inventory[[#This Row],[const]]</f>
        <v>43615.576802869145</v>
      </c>
      <c r="S661" t="s">
        <v>58</v>
      </c>
      <c r="T661">
        <v>1</v>
      </c>
      <c r="U661" t="s">
        <v>62</v>
      </c>
      <c r="V661" t="s">
        <v>57</v>
      </c>
      <c r="W661">
        <v>0</v>
      </c>
      <c r="X661">
        <v>0</v>
      </c>
      <c r="Y661">
        <v>7</v>
      </c>
      <c r="Z661">
        <v>7</v>
      </c>
      <c r="AA661">
        <v>10</v>
      </c>
      <c r="AB661">
        <v>2000</v>
      </c>
      <c r="AC661">
        <v>1504</v>
      </c>
      <c r="AD661">
        <v>1504</v>
      </c>
      <c r="AE661">
        <v>0</v>
      </c>
      <c r="AF661">
        <v>0</v>
      </c>
      <c r="AG661">
        <v>0</v>
      </c>
      <c r="AH661">
        <v>0</v>
      </c>
      <c r="AI661">
        <v>688</v>
      </c>
      <c r="AJ661">
        <v>0</v>
      </c>
      <c r="AK661">
        <v>0</v>
      </c>
      <c r="AL661">
        <v>0</v>
      </c>
      <c r="AM661">
        <v>0</v>
      </c>
      <c r="AN661">
        <v>194</v>
      </c>
      <c r="AO661">
        <v>0</v>
      </c>
      <c r="AP661">
        <v>11</v>
      </c>
      <c r="AQ661">
        <v>0</v>
      </c>
      <c r="AR661">
        <v>0</v>
      </c>
      <c r="AS661" t="s">
        <v>58</v>
      </c>
      <c r="AT661">
        <v>1</v>
      </c>
      <c r="AU661" t="s">
        <v>63</v>
      </c>
      <c r="AV661" t="s">
        <v>64</v>
      </c>
      <c r="AW661">
        <v>1</v>
      </c>
      <c r="AX661">
        <v>3</v>
      </c>
      <c r="AY661">
        <v>0</v>
      </c>
      <c r="AZ661">
        <v>0</v>
      </c>
      <c r="BA661">
        <v>100</v>
      </c>
      <c r="BB661">
        <v>100</v>
      </c>
      <c r="BC661">
        <v>100</v>
      </c>
      <c r="BD661">
        <v>100</v>
      </c>
      <c r="BE661">
        <v>1</v>
      </c>
      <c r="BF661">
        <v>15000</v>
      </c>
      <c r="BG661">
        <v>1000</v>
      </c>
      <c r="BH661" s="6">
        <f>Grandview_Inventory[[#This Row],[land_extract]]*Lookups!$B$3</f>
        <v>50650.651579114572</v>
      </c>
      <c r="BI661" s="6">
        <f>IF(Grandview_Inventory[[#This Row],[bldg_style]]="",0,Lookups!$B$2)</f>
        <v>155833.95000000001</v>
      </c>
      <c r="BJ661" s="6">
        <f>_xlfn.IFNA(VLOOKUP(Grandview_Inventory[[#This Row],[quality]],Lookups!$H$2:$J$14,3,FALSE),0)</f>
        <v>9808</v>
      </c>
      <c r="BK661" s="6">
        <f>_xlfn.IFNA(VLOOKUP(Grandview_Inventory[[#This Row],[condition]],Lookups!$H$17:$J$24,3,FALSE),0)</f>
        <v>25780</v>
      </c>
      <c r="BL661" s="6">
        <f>Grandview_Inventory[[#This Row],[Eff_Age]]*Lookups!$B$14</f>
        <v>-1674.1661999999999</v>
      </c>
      <c r="BM661" s="6">
        <f>Grandview_Inventory[[#This Row],[living_area]]*Lookups!$B$15</f>
        <v>93820.802911999999</v>
      </c>
      <c r="BN661" s="6">
        <f>Grandview_Inventory[[#This Row],[Fin BSMT]]*Lookups!$B$16</f>
        <v>0</v>
      </c>
      <c r="BO661" s="6">
        <f>(Grandview_Inventory[[#This Row],[att_gar]]+Grandview_Inventory[[#This Row],[bltin_gar]])*Lookups!$B$17</f>
        <v>60214.060656000001</v>
      </c>
      <c r="BP661" s="6">
        <f>Grandview_Inventory[[#This Row],[Plumbing Fixtures]]*Lookups!$B$18</f>
        <v>22114.859800000002</v>
      </c>
      <c r="BQ661" s="6">
        <f>Grandview_Inventory[[#This Row],[detatched_value]]*Lookups!$B$19</f>
        <v>0</v>
      </c>
      <c r="BR661" s="6">
        <f>SUM(Grandview_Inventory[[#This Row],[Intercept]:[det_value]])*Grandview_Inventory[[#This Row],[res_pct]]</f>
        <v>365897.50716799998</v>
      </c>
      <c r="BS661" s="6">
        <f>Grandview_Inventory[[#This Row],[land_value]]</f>
        <v>50650.651579114572</v>
      </c>
      <c r="BT661" s="4">
        <f>_xlfn.IFNA(VLOOKUP(Grandview_Inventory[[#This Row],[quality]],Lookups!$A$26:$C$33,3,FALSE),1)</f>
        <v>0.94295468617355149</v>
      </c>
      <c r="BU661" s="4">
        <f>_xlfn.IFNA(VLOOKUP(Grandview_Inventory[[#This Row],[condition]],Lookups!$A$37:$C$44,3,FALSE),1)</f>
        <v>0.94347925387812148</v>
      </c>
      <c r="BV661" s="4">
        <f>IF(Grandview_Inventory[[#This Row],[bldg_style]]="",1,_xlfn.IFNA(VLOOKUP(Grandview_Inventory[[#This Row],[decade]],Lookups!$F$29:$H$43,3,FALSE),1))</f>
        <v>0.94601966599150278</v>
      </c>
      <c r="BW661" s="4">
        <f>_xlfn.IFNA(VLOOKUP(Grandview_Inventory[[#This Row],[living_area_range]],Lookups!$F$47:$H$56,3,FALSE),1)</f>
        <v>0.96120133463014379</v>
      </c>
      <c r="BX661" s="4">
        <f>AVERAGE(Grandview_Inventory[[#This Row],[qual_adj]:[size_adj]])</f>
        <v>0.94841373516832994</v>
      </c>
      <c r="BY661" s="6">
        <f>IF(Grandview_Inventory[[#This Row],[pre_res]]&lt;0,0,Grandview_Inventory[[#This Row],[pre_res]]*Grandview_Inventory[[#This Row],[overall_adj]])</f>
        <v>347022.22146198363</v>
      </c>
      <c r="BZ661" s="6">
        <f>(Grandview_Inventory[[#This Row],[sum_land]]-IF(Grandview_Inventory[[#This Row],[no_utilities]]=1,12000,0))/IF(Grandview_Inventory[[#This Row],[unbuildable]]=1,2,1)</f>
        <v>50650.651579114572</v>
      </c>
      <c r="CA66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61">
        <f>ROUND(Grandview_Inventory[[#This Row],[det_value]]*Lookups!$M$28,-2)</f>
        <v>0</v>
      </c>
      <c r="CC661">
        <f>IF(ROUND(Grandview_Inventory[[#This Row],[adj_res]]*Lookups!$M$28,-2)&lt;Grandview_Inventory[[#This Row],[min_res]],Grandview_Inventory[[#This Row],[min_res]],ROUND(Grandview_Inventory[[#This Row],[adj_res]]*Lookups!$M$28,-2))</f>
        <v>329700</v>
      </c>
      <c r="CD661">
        <f>Grandview_Inventory[[#This Row],[final_det]]+Grandview_Inventory[[#This Row],[final_res]]</f>
        <v>329700</v>
      </c>
      <c r="CE661">
        <f>Grandview_Inventory[[#This Row],[final_land]]+Grandview_Inventory[[#This Row],[final_imp]]+Grandview_Inventory[[#This Row],[crop_value]]</f>
        <v>377800</v>
      </c>
      <c r="CG661" t="str">
        <f t="shared" si="10"/>
        <v>update valuation set market_land =48100, market_bldg=329700, market_total =377800, market_mdno =401, market_date ='9/10/2023' where link_id = (select link_id from parcel where parcel_year = '2024' and parcel_id = '23092224513');</v>
      </c>
    </row>
    <row r="662" spans="1:85" x14ac:dyDescent="0.25">
      <c r="A662">
        <v>23092224514</v>
      </c>
      <c r="B662">
        <v>0.22</v>
      </c>
      <c r="C662">
        <v>9498</v>
      </c>
      <c r="D662" t="s">
        <v>129</v>
      </c>
      <c r="E662" t="s">
        <v>53</v>
      </c>
      <c r="F662" t="s">
        <v>53</v>
      </c>
      <c r="G662">
        <v>4</v>
      </c>
      <c r="H662" t="s">
        <v>54</v>
      </c>
      <c r="I662">
        <v>287000</v>
      </c>
      <c r="J662">
        <v>39500</v>
      </c>
      <c r="K662">
        <v>0.22</v>
      </c>
      <c r="L66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662">
        <v>0</v>
      </c>
      <c r="N662">
        <v>0</v>
      </c>
      <c r="O662">
        <v>0</v>
      </c>
      <c r="P662">
        <v>13398.7528</v>
      </c>
      <c r="Q662">
        <v>63903</v>
      </c>
      <c r="R662">
        <f>(Grandview_Inventory[[#This Row],[ln_acres]]*Grandview_Inventory[[#This Row],[coeff]])+Grandview_Inventory[[#This Row],[const]]</f>
        <v>43615.576802869145</v>
      </c>
      <c r="S662" t="s">
        <v>58</v>
      </c>
      <c r="T662">
        <v>1</v>
      </c>
      <c r="U662" t="s">
        <v>64</v>
      </c>
      <c r="V662" t="s">
        <v>66</v>
      </c>
      <c r="W662">
        <v>0</v>
      </c>
      <c r="X662">
        <v>0</v>
      </c>
      <c r="Y662">
        <v>9</v>
      </c>
      <c r="Z662">
        <v>9</v>
      </c>
      <c r="AA662">
        <v>10</v>
      </c>
      <c r="AB662">
        <v>2000</v>
      </c>
      <c r="AC662">
        <v>1846</v>
      </c>
      <c r="AD662">
        <v>1846</v>
      </c>
      <c r="AE662">
        <v>0</v>
      </c>
      <c r="AF662">
        <v>0</v>
      </c>
      <c r="AG662">
        <v>0</v>
      </c>
      <c r="AH662">
        <v>0</v>
      </c>
      <c r="AI662">
        <v>380</v>
      </c>
      <c r="AJ662">
        <v>0</v>
      </c>
      <c r="AK662">
        <v>0</v>
      </c>
      <c r="AL662">
        <v>0</v>
      </c>
      <c r="AM662">
        <v>0</v>
      </c>
      <c r="AN662">
        <v>246</v>
      </c>
      <c r="AO662">
        <v>0</v>
      </c>
      <c r="AP662">
        <v>9</v>
      </c>
      <c r="AQ662">
        <v>0</v>
      </c>
      <c r="AR662">
        <v>0</v>
      </c>
      <c r="AS662" t="s">
        <v>58</v>
      </c>
      <c r="AT662">
        <v>1</v>
      </c>
      <c r="AU662" t="s">
        <v>63</v>
      </c>
      <c r="AV662" t="s">
        <v>64</v>
      </c>
      <c r="AW662">
        <v>1</v>
      </c>
      <c r="AX662">
        <v>3</v>
      </c>
      <c r="AY662">
        <v>0</v>
      </c>
      <c r="AZ662">
        <v>0</v>
      </c>
      <c r="BA662">
        <v>100</v>
      </c>
      <c r="BB662">
        <v>100</v>
      </c>
      <c r="BC662">
        <v>100</v>
      </c>
      <c r="BD662">
        <v>100</v>
      </c>
      <c r="BE662">
        <v>1</v>
      </c>
      <c r="BF662">
        <v>15000</v>
      </c>
      <c r="BG662">
        <v>1000</v>
      </c>
      <c r="BH662" s="6">
        <f>Grandview_Inventory[[#This Row],[land_extract]]*Lookups!$B$3</f>
        <v>50650.651579114572</v>
      </c>
      <c r="BI662" s="6">
        <f>IF(Grandview_Inventory[[#This Row],[bldg_style]]="",0,Lookups!$B$2)</f>
        <v>155833.95000000001</v>
      </c>
      <c r="BJ662" s="6">
        <f>_xlfn.IFNA(VLOOKUP(Grandview_Inventory[[#This Row],[quality]],Lookups!$H$2:$J$14,3,FALSE),0)</f>
        <v>20768</v>
      </c>
      <c r="BK662" s="6">
        <f>_xlfn.IFNA(VLOOKUP(Grandview_Inventory[[#This Row],[condition]],Lookups!$H$17:$J$24,3,FALSE),0)</f>
        <v>25818</v>
      </c>
      <c r="BL662" s="6">
        <f>Grandview_Inventory[[#This Row],[Eff_Age]]*Lookups!$B$14</f>
        <v>-2152.4993999999997</v>
      </c>
      <c r="BM662" s="6">
        <f>Grandview_Inventory[[#This Row],[living_area]]*Lookups!$B$15</f>
        <v>115155.054638</v>
      </c>
      <c r="BN662" s="6">
        <f>Grandview_Inventory[[#This Row],[Fin BSMT]]*Lookups!$B$16</f>
        <v>0</v>
      </c>
      <c r="BO662" s="6">
        <f>(Grandview_Inventory[[#This Row],[att_gar]]+Grandview_Inventory[[#This Row],[bltin_gar]])*Lookups!$B$17</f>
        <v>33257.766060000002</v>
      </c>
      <c r="BP662" s="6">
        <f>Grandview_Inventory[[#This Row],[Plumbing Fixtures]]*Lookups!$B$18</f>
        <v>18093.976200000001</v>
      </c>
      <c r="BQ662" s="6">
        <f>Grandview_Inventory[[#This Row],[detatched_value]]*Lookups!$B$19</f>
        <v>0</v>
      </c>
      <c r="BR662" s="6">
        <f>SUM(Grandview_Inventory[[#This Row],[Intercept]:[det_value]])*Grandview_Inventory[[#This Row],[res_pct]]</f>
        <v>366774.24749799998</v>
      </c>
      <c r="BS662" s="6">
        <f>Grandview_Inventory[[#This Row],[land_value]]</f>
        <v>50650.651579114572</v>
      </c>
      <c r="BT662" s="4">
        <f>_xlfn.IFNA(VLOOKUP(Grandview_Inventory[[#This Row],[quality]],Lookups!$A$26:$C$33,3,FALSE),1)</f>
        <v>0.94960540378902636</v>
      </c>
      <c r="BU662" s="4">
        <f>_xlfn.IFNA(VLOOKUP(Grandview_Inventory[[#This Row],[condition]],Lookups!$A$37:$C$44,3,FALSE),1)</f>
        <v>0.96661476234146892</v>
      </c>
      <c r="BV662" s="4">
        <f>IF(Grandview_Inventory[[#This Row],[bldg_style]]="",1,_xlfn.IFNA(VLOOKUP(Grandview_Inventory[[#This Row],[decade]],Lookups!$F$29:$H$43,3,FALSE),1))</f>
        <v>0.94601966599150278</v>
      </c>
      <c r="BW662" s="4">
        <f>_xlfn.IFNA(VLOOKUP(Grandview_Inventory[[#This Row],[living_area_range]],Lookups!$F$47:$H$56,3,FALSE),1)</f>
        <v>0.96120133463014379</v>
      </c>
      <c r="BX662" s="4">
        <f>AVERAGE(Grandview_Inventory[[#This Row],[qual_adj]:[size_adj]])</f>
        <v>0.95586029168803543</v>
      </c>
      <c r="BY662" s="6">
        <f>IF(Grandview_Inventory[[#This Row],[pre_res]]&lt;0,0,Grandview_Inventory[[#This Row],[pre_res]]*Grandview_Inventory[[#This Row],[overall_adj]])</f>
        <v>350584.93919709796</v>
      </c>
      <c r="BZ662" s="6">
        <f>(Grandview_Inventory[[#This Row],[sum_land]]-IF(Grandview_Inventory[[#This Row],[no_utilities]]=1,12000,0))/IF(Grandview_Inventory[[#This Row],[unbuildable]]=1,2,1)</f>
        <v>50650.651579114572</v>
      </c>
      <c r="CA66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662">
        <f>ROUND(Grandview_Inventory[[#This Row],[det_value]]*Lookups!$M$28,-2)</f>
        <v>0</v>
      </c>
      <c r="CC662">
        <f>IF(ROUND(Grandview_Inventory[[#This Row],[adj_res]]*Lookups!$M$28,-2)&lt;Grandview_Inventory[[#This Row],[min_res]],Grandview_Inventory[[#This Row],[min_res]],ROUND(Grandview_Inventory[[#This Row],[adj_res]]*Lookups!$M$28,-2))</f>
        <v>333100</v>
      </c>
      <c r="CD662">
        <f>Grandview_Inventory[[#This Row],[final_det]]+Grandview_Inventory[[#This Row],[final_res]]</f>
        <v>333100</v>
      </c>
      <c r="CE662">
        <f>Grandview_Inventory[[#This Row],[final_land]]+Grandview_Inventory[[#This Row],[final_imp]]+Grandview_Inventory[[#This Row],[crop_value]]</f>
        <v>381200</v>
      </c>
      <c r="CG662" t="str">
        <f t="shared" si="10"/>
        <v>update valuation set market_land =48100, market_bldg=333100, market_total =381200, market_mdno =401, market_date ='9/10/2023' where link_id = (select link_id from parcel where parcel_year = '2024' and parcel_id = '23092224514');</v>
      </c>
    </row>
    <row r="663" spans="1:85" x14ac:dyDescent="0.25">
      <c r="A663">
        <v>23092224515</v>
      </c>
      <c r="B663">
        <v>0.24</v>
      </c>
      <c r="C663">
        <v>10538</v>
      </c>
      <c r="D663" t="s">
        <v>129</v>
      </c>
      <c r="E663" t="s">
        <v>53</v>
      </c>
      <c r="F663" t="s">
        <v>53</v>
      </c>
      <c r="G663">
        <v>4</v>
      </c>
      <c r="H663" t="s">
        <v>54</v>
      </c>
      <c r="I663">
        <v>283500</v>
      </c>
      <c r="J663">
        <v>39800</v>
      </c>
      <c r="K663">
        <v>0.24</v>
      </c>
      <c r="L66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663">
        <v>0</v>
      </c>
      <c r="N663">
        <v>0</v>
      </c>
      <c r="O663">
        <v>0</v>
      </c>
      <c r="P663">
        <v>13398.7528</v>
      </c>
      <c r="Q663">
        <v>63903</v>
      </c>
      <c r="R663">
        <f>(Grandview_Inventory[[#This Row],[ln_acres]]*Grandview_Inventory[[#This Row],[coeff]])+Grandview_Inventory[[#This Row],[const]]</f>
        <v>44781.420733940802</v>
      </c>
      <c r="S663" t="s">
        <v>58</v>
      </c>
      <c r="T663">
        <v>1</v>
      </c>
      <c r="U663" t="s">
        <v>56</v>
      </c>
      <c r="V663" t="s">
        <v>57</v>
      </c>
      <c r="W663">
        <v>30700</v>
      </c>
      <c r="X663">
        <v>0</v>
      </c>
      <c r="Y663">
        <v>6</v>
      </c>
      <c r="Z663">
        <v>6</v>
      </c>
      <c r="AA663">
        <v>10</v>
      </c>
      <c r="AB663">
        <v>2000</v>
      </c>
      <c r="AC663">
        <v>1930</v>
      </c>
      <c r="AD663">
        <v>1930</v>
      </c>
      <c r="AE663">
        <v>0</v>
      </c>
      <c r="AF663">
        <v>0</v>
      </c>
      <c r="AG663">
        <v>0</v>
      </c>
      <c r="AH663">
        <v>0</v>
      </c>
      <c r="AI663">
        <v>805</v>
      </c>
      <c r="AJ663">
        <v>0</v>
      </c>
      <c r="AK663">
        <v>0</v>
      </c>
      <c r="AL663">
        <v>0</v>
      </c>
      <c r="AM663">
        <v>0</v>
      </c>
      <c r="AN663">
        <v>267</v>
      </c>
      <c r="AO663">
        <v>0</v>
      </c>
      <c r="AP663">
        <v>11</v>
      </c>
      <c r="AQ663">
        <v>0</v>
      </c>
      <c r="AR663">
        <v>0</v>
      </c>
      <c r="AS663" t="s">
        <v>58</v>
      </c>
      <c r="AT663">
        <v>1</v>
      </c>
      <c r="AU663" t="s">
        <v>63</v>
      </c>
      <c r="AV663" t="s">
        <v>64</v>
      </c>
      <c r="AW663">
        <v>1</v>
      </c>
      <c r="AX663">
        <v>3</v>
      </c>
      <c r="AY663">
        <v>0</v>
      </c>
      <c r="AZ663">
        <v>0</v>
      </c>
      <c r="BA663">
        <v>100</v>
      </c>
      <c r="BB663">
        <v>100</v>
      </c>
      <c r="BC663">
        <v>100</v>
      </c>
      <c r="BD663">
        <v>100</v>
      </c>
      <c r="BE663">
        <v>1</v>
      </c>
      <c r="BF663">
        <v>15000</v>
      </c>
      <c r="BG663">
        <v>1000</v>
      </c>
      <c r="BH663" s="6">
        <f>Grandview_Inventory[[#This Row],[land_extract]]*Lookups!$B$3</f>
        <v>52004.542988489469</v>
      </c>
      <c r="BI663" s="6">
        <f>IF(Grandview_Inventory[[#This Row],[bldg_style]]="",0,Lookups!$B$2)</f>
        <v>155833.95000000001</v>
      </c>
      <c r="BJ663" s="6">
        <f>_xlfn.IFNA(VLOOKUP(Grandview_Inventory[[#This Row],[quality]],Lookups!$H$2:$J$14,3,FALSE),0)</f>
        <v>56323</v>
      </c>
      <c r="BK663" s="6">
        <f>_xlfn.IFNA(VLOOKUP(Grandview_Inventory[[#This Row],[condition]],Lookups!$H$17:$J$24,3,FALSE),0)</f>
        <v>25780</v>
      </c>
      <c r="BL663" s="6">
        <f>Grandview_Inventory[[#This Row],[Eff_Age]]*Lookups!$B$14</f>
        <v>-1434.9995999999999</v>
      </c>
      <c r="BM663" s="6">
        <f>Grandview_Inventory[[#This Row],[living_area]]*Lookups!$B$15</f>
        <v>120395.04629</v>
      </c>
      <c r="BN663" s="6">
        <f>Grandview_Inventory[[#This Row],[Fin BSMT]]*Lookups!$B$16</f>
        <v>0</v>
      </c>
      <c r="BO663" s="6">
        <f>(Grandview_Inventory[[#This Row],[att_gar]]+Grandview_Inventory[[#This Row],[bltin_gar]])*Lookups!$B$17</f>
        <v>70453.951784999997</v>
      </c>
      <c r="BP663" s="6">
        <f>Grandview_Inventory[[#This Row],[Plumbing Fixtures]]*Lookups!$B$18</f>
        <v>22114.859800000002</v>
      </c>
      <c r="BQ663" s="6">
        <f>Grandview_Inventory[[#This Row],[detatched_value]]*Lookups!$B$19</f>
        <v>0</v>
      </c>
      <c r="BR663" s="6">
        <f>SUM(Grandview_Inventory[[#This Row],[Intercept]:[det_value]])*Grandview_Inventory[[#This Row],[res_pct]]</f>
        <v>449465.80827499996</v>
      </c>
      <c r="BS663" s="6">
        <f>Grandview_Inventory[[#This Row],[land_value]]</f>
        <v>52004.542988489469</v>
      </c>
      <c r="BT663" s="4">
        <f>_xlfn.IFNA(VLOOKUP(Grandview_Inventory[[#This Row],[quality]],Lookups!$A$26:$C$33,3,FALSE),1)</f>
        <v>0.76437650671582003</v>
      </c>
      <c r="BU663" s="4">
        <f>_xlfn.IFNA(VLOOKUP(Grandview_Inventory[[#This Row],[condition]],Lookups!$A$37:$C$44,3,FALSE),1)</f>
        <v>0.94347925387812148</v>
      </c>
      <c r="BV663" s="4">
        <f>IF(Grandview_Inventory[[#This Row],[bldg_style]]="",1,_xlfn.IFNA(VLOOKUP(Grandview_Inventory[[#This Row],[decade]],Lookups!$F$29:$H$43,3,FALSE),1))</f>
        <v>0.94601966599150278</v>
      </c>
      <c r="BW663" s="4">
        <f>_xlfn.IFNA(VLOOKUP(Grandview_Inventory[[#This Row],[living_area_range]],Lookups!$F$47:$H$56,3,FALSE),1)</f>
        <v>0.96120133463014379</v>
      </c>
      <c r="BX663" s="4">
        <f>AVERAGE(Grandview_Inventory[[#This Row],[qual_adj]:[size_adj]])</f>
        <v>0.90376919030389713</v>
      </c>
      <c r="BY663" s="6">
        <f>IF(Grandview_Inventory[[#This Row],[pre_res]]&lt;0,0,Grandview_Inventory[[#This Row],[pre_res]]*Grandview_Inventory[[#This Row],[overall_adj]])</f>
        <v>406213.34961398336</v>
      </c>
      <c r="BZ663" s="6">
        <f>(Grandview_Inventory[[#This Row],[sum_land]]-IF(Grandview_Inventory[[#This Row],[no_utilities]]=1,12000,0))/IF(Grandview_Inventory[[#This Row],[unbuildable]]=1,2,1)</f>
        <v>52004.542988489469</v>
      </c>
      <c r="CA66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663">
        <f>ROUND(Grandview_Inventory[[#This Row],[det_value]]*Lookups!$M$28,-2)</f>
        <v>0</v>
      </c>
      <c r="CC663">
        <f>IF(ROUND(Grandview_Inventory[[#This Row],[adj_res]]*Lookups!$M$28,-2)&lt;Grandview_Inventory[[#This Row],[min_res]],Grandview_Inventory[[#This Row],[min_res]],ROUND(Grandview_Inventory[[#This Row],[adj_res]]*Lookups!$M$28,-2))</f>
        <v>385900</v>
      </c>
      <c r="CD663">
        <f>Grandview_Inventory[[#This Row],[final_det]]+Grandview_Inventory[[#This Row],[final_res]]</f>
        <v>385900</v>
      </c>
      <c r="CE663">
        <f>Grandview_Inventory[[#This Row],[final_land]]+Grandview_Inventory[[#This Row],[final_imp]]+Grandview_Inventory[[#This Row],[crop_value]]</f>
        <v>435300</v>
      </c>
      <c r="CG663" t="str">
        <f t="shared" si="10"/>
        <v>update valuation set market_land =49400, market_bldg=385900, market_total =435300, market_mdno =401, market_date ='9/10/2023' where link_id = (select link_id from parcel where parcel_year = '2024' and parcel_id = '23092224515');</v>
      </c>
    </row>
    <row r="664" spans="1:85" x14ac:dyDescent="0.25">
      <c r="A664">
        <v>23092224516</v>
      </c>
      <c r="B664">
        <v>0.24</v>
      </c>
      <c r="C664">
        <v>10260</v>
      </c>
      <c r="D664" t="s">
        <v>129</v>
      </c>
      <c r="E664" t="s">
        <v>53</v>
      </c>
      <c r="F664" t="s">
        <v>53</v>
      </c>
      <c r="G664">
        <v>4</v>
      </c>
      <c r="H664" t="s">
        <v>54</v>
      </c>
      <c r="I664">
        <v>278200</v>
      </c>
      <c r="J664">
        <v>39700</v>
      </c>
      <c r="K664">
        <v>0.24</v>
      </c>
      <c r="L66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664">
        <v>0</v>
      </c>
      <c r="N664">
        <v>0</v>
      </c>
      <c r="O664">
        <v>0</v>
      </c>
      <c r="P664">
        <v>13398.7528</v>
      </c>
      <c r="Q664">
        <v>63903</v>
      </c>
      <c r="R664">
        <f>(Grandview_Inventory[[#This Row],[ln_acres]]*Grandview_Inventory[[#This Row],[coeff]])+Grandview_Inventory[[#This Row],[const]]</f>
        <v>44781.420733940802</v>
      </c>
      <c r="S664" t="s">
        <v>58</v>
      </c>
      <c r="T664">
        <v>1</v>
      </c>
      <c r="U664" t="s">
        <v>62</v>
      </c>
      <c r="V664" t="s">
        <v>66</v>
      </c>
      <c r="W664">
        <v>0</v>
      </c>
      <c r="X664">
        <v>0</v>
      </c>
      <c r="Y664">
        <v>8</v>
      </c>
      <c r="Z664">
        <v>8</v>
      </c>
      <c r="AA664">
        <v>10</v>
      </c>
      <c r="AB664">
        <v>2000</v>
      </c>
      <c r="AC664">
        <v>1787</v>
      </c>
      <c r="AD664">
        <v>1787</v>
      </c>
      <c r="AE664">
        <v>0</v>
      </c>
      <c r="AF664">
        <v>0</v>
      </c>
      <c r="AG664">
        <v>0</v>
      </c>
      <c r="AH664">
        <v>0</v>
      </c>
      <c r="AI664">
        <v>483</v>
      </c>
      <c r="AJ664">
        <v>0</v>
      </c>
      <c r="AK664">
        <v>0</v>
      </c>
      <c r="AL664">
        <v>0</v>
      </c>
      <c r="AM664">
        <v>0</v>
      </c>
      <c r="AN664">
        <v>80</v>
      </c>
      <c r="AO664">
        <v>0</v>
      </c>
      <c r="AP664">
        <v>9</v>
      </c>
      <c r="AQ664">
        <v>0</v>
      </c>
      <c r="AR664">
        <v>0</v>
      </c>
      <c r="AS664" t="s">
        <v>58</v>
      </c>
      <c r="AT664">
        <v>1</v>
      </c>
      <c r="AU664" t="s">
        <v>63</v>
      </c>
      <c r="AV664" t="s">
        <v>64</v>
      </c>
      <c r="AW664">
        <v>1</v>
      </c>
      <c r="AX664">
        <v>3</v>
      </c>
      <c r="AY664">
        <v>0</v>
      </c>
      <c r="AZ664">
        <v>0</v>
      </c>
      <c r="BA664">
        <v>100</v>
      </c>
      <c r="BB664">
        <v>100</v>
      </c>
      <c r="BC664">
        <v>100</v>
      </c>
      <c r="BD664">
        <v>100</v>
      </c>
      <c r="BE664">
        <v>1</v>
      </c>
      <c r="BF664">
        <v>15000</v>
      </c>
      <c r="BG664">
        <v>1000</v>
      </c>
      <c r="BH664" s="6">
        <f>Grandview_Inventory[[#This Row],[land_extract]]*Lookups!$B$3</f>
        <v>52004.542988489469</v>
      </c>
      <c r="BI664" s="6">
        <f>IF(Grandview_Inventory[[#This Row],[bldg_style]]="",0,Lookups!$B$2)</f>
        <v>155833.95000000001</v>
      </c>
      <c r="BJ664" s="6">
        <f>_xlfn.IFNA(VLOOKUP(Grandview_Inventory[[#This Row],[quality]],Lookups!$H$2:$J$14,3,FALSE),0)</f>
        <v>9808</v>
      </c>
      <c r="BK664" s="6">
        <f>_xlfn.IFNA(VLOOKUP(Grandview_Inventory[[#This Row],[condition]],Lookups!$H$17:$J$24,3,FALSE),0)</f>
        <v>25818</v>
      </c>
      <c r="BL664" s="6">
        <f>Grandview_Inventory[[#This Row],[Eff_Age]]*Lookups!$B$14</f>
        <v>-1913.3327999999999</v>
      </c>
      <c r="BM664" s="6">
        <f>Grandview_Inventory[[#This Row],[living_area]]*Lookups!$B$15</f>
        <v>111474.584311</v>
      </c>
      <c r="BN664" s="6">
        <f>Grandview_Inventory[[#This Row],[Fin BSMT]]*Lookups!$B$16</f>
        <v>0</v>
      </c>
      <c r="BO664" s="6">
        <f>(Grandview_Inventory[[#This Row],[att_gar]]+Grandview_Inventory[[#This Row],[bltin_gar]])*Lookups!$B$17</f>
        <v>42272.371071000001</v>
      </c>
      <c r="BP664" s="6">
        <f>Grandview_Inventory[[#This Row],[Plumbing Fixtures]]*Lookups!$B$18</f>
        <v>18093.976200000001</v>
      </c>
      <c r="BQ664" s="6">
        <f>Grandview_Inventory[[#This Row],[detatched_value]]*Lookups!$B$19</f>
        <v>0</v>
      </c>
      <c r="BR664" s="6">
        <f>SUM(Grandview_Inventory[[#This Row],[Intercept]:[det_value]])*Grandview_Inventory[[#This Row],[res_pct]]</f>
        <v>361387.54878199997</v>
      </c>
      <c r="BS664" s="6">
        <f>Grandview_Inventory[[#This Row],[land_value]]</f>
        <v>52004.542988489469</v>
      </c>
      <c r="BT664" s="4">
        <f>_xlfn.IFNA(VLOOKUP(Grandview_Inventory[[#This Row],[quality]],Lookups!$A$26:$C$33,3,FALSE),1)</f>
        <v>0.94295468617355149</v>
      </c>
      <c r="BU664" s="4">
        <f>_xlfn.IFNA(VLOOKUP(Grandview_Inventory[[#This Row],[condition]],Lookups!$A$37:$C$44,3,FALSE),1)</f>
        <v>0.96661476234146892</v>
      </c>
      <c r="BV664" s="4">
        <f>IF(Grandview_Inventory[[#This Row],[bldg_style]]="",1,_xlfn.IFNA(VLOOKUP(Grandview_Inventory[[#This Row],[decade]],Lookups!$F$29:$H$43,3,FALSE),1))</f>
        <v>0.94601966599150278</v>
      </c>
      <c r="BW664" s="4">
        <f>_xlfn.IFNA(VLOOKUP(Grandview_Inventory[[#This Row],[living_area_range]],Lookups!$F$47:$H$56,3,FALSE),1)</f>
        <v>0.96120133463014379</v>
      </c>
      <c r="BX664" s="4">
        <f>AVERAGE(Grandview_Inventory[[#This Row],[qual_adj]:[size_adj]])</f>
        <v>0.95419761228416689</v>
      </c>
      <c r="BY664" s="6">
        <f>IF(Grandview_Inventory[[#This Row],[pre_res]]&lt;0,0,Grandview_Inventory[[#This Row],[pre_res]]*Grandview_Inventory[[#This Row],[overall_adj]])</f>
        <v>344835.13615701225</v>
      </c>
      <c r="BZ664" s="6">
        <f>(Grandview_Inventory[[#This Row],[sum_land]]-IF(Grandview_Inventory[[#This Row],[no_utilities]]=1,12000,0))/IF(Grandview_Inventory[[#This Row],[unbuildable]]=1,2,1)</f>
        <v>52004.542988489469</v>
      </c>
      <c r="CA66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664">
        <f>ROUND(Grandview_Inventory[[#This Row],[det_value]]*Lookups!$M$28,-2)</f>
        <v>0</v>
      </c>
      <c r="CC664">
        <f>IF(ROUND(Grandview_Inventory[[#This Row],[adj_res]]*Lookups!$M$28,-2)&lt;Grandview_Inventory[[#This Row],[min_res]],Grandview_Inventory[[#This Row],[min_res]],ROUND(Grandview_Inventory[[#This Row],[adj_res]]*Lookups!$M$28,-2))</f>
        <v>327600</v>
      </c>
      <c r="CD664">
        <f>Grandview_Inventory[[#This Row],[final_det]]+Grandview_Inventory[[#This Row],[final_res]]</f>
        <v>327600</v>
      </c>
      <c r="CE664">
        <f>Grandview_Inventory[[#This Row],[final_land]]+Grandview_Inventory[[#This Row],[final_imp]]+Grandview_Inventory[[#This Row],[crop_value]]</f>
        <v>377000</v>
      </c>
      <c r="CG664" t="str">
        <f t="shared" si="10"/>
        <v>update valuation set market_land =49400, market_bldg=327600, market_total =377000, market_mdno =401, market_date ='9/10/2023' where link_id = (select link_id from parcel where parcel_year = '2024' and parcel_id = '23092224516');</v>
      </c>
    </row>
    <row r="665" spans="1:85" x14ac:dyDescent="0.25">
      <c r="A665">
        <v>23092224517</v>
      </c>
      <c r="B665">
        <v>0.25</v>
      </c>
      <c r="C665">
        <v>10680</v>
      </c>
      <c r="D665" t="s">
        <v>129</v>
      </c>
      <c r="E665" t="s">
        <v>53</v>
      </c>
      <c r="F665" t="s">
        <v>53</v>
      </c>
      <c r="G665">
        <v>4</v>
      </c>
      <c r="H665" t="s">
        <v>54</v>
      </c>
      <c r="I665">
        <v>292800</v>
      </c>
      <c r="J665">
        <v>40000</v>
      </c>
      <c r="K665">
        <v>0.25</v>
      </c>
      <c r="L66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65">
        <v>0</v>
      </c>
      <c r="N665">
        <v>0</v>
      </c>
      <c r="O665">
        <v>0</v>
      </c>
      <c r="P665">
        <v>13398.7528</v>
      </c>
      <c r="Q665">
        <v>63903</v>
      </c>
      <c r="R665">
        <f>(Grandview_Inventory[[#This Row],[ln_acres]]*Grandview_Inventory[[#This Row],[coeff]])+Grandview_Inventory[[#This Row],[const]]</f>
        <v>45328.38454732066</v>
      </c>
      <c r="S665" t="s">
        <v>58</v>
      </c>
      <c r="T665">
        <v>1</v>
      </c>
      <c r="U665" t="s">
        <v>62</v>
      </c>
      <c r="V665" t="s">
        <v>57</v>
      </c>
      <c r="W665">
        <v>0</v>
      </c>
      <c r="X665">
        <v>0</v>
      </c>
      <c r="Y665">
        <v>7</v>
      </c>
      <c r="Z665">
        <v>7</v>
      </c>
      <c r="AA665">
        <v>10</v>
      </c>
      <c r="AB665">
        <v>2000</v>
      </c>
      <c r="AC665">
        <v>1686</v>
      </c>
      <c r="AD665">
        <v>1686</v>
      </c>
      <c r="AE665">
        <v>0</v>
      </c>
      <c r="AF665">
        <v>0</v>
      </c>
      <c r="AG665">
        <v>0</v>
      </c>
      <c r="AH665">
        <v>0</v>
      </c>
      <c r="AI665">
        <v>782</v>
      </c>
      <c r="AJ665">
        <v>0</v>
      </c>
      <c r="AK665">
        <v>0</v>
      </c>
      <c r="AL665">
        <v>0</v>
      </c>
      <c r="AM665">
        <v>0</v>
      </c>
      <c r="AN665">
        <v>204</v>
      </c>
      <c r="AO665">
        <v>0</v>
      </c>
      <c r="AP665">
        <v>9</v>
      </c>
      <c r="AQ665">
        <v>0</v>
      </c>
      <c r="AR665">
        <v>0</v>
      </c>
      <c r="AS665" t="s">
        <v>58</v>
      </c>
      <c r="AT665">
        <v>1</v>
      </c>
      <c r="AU665" t="s">
        <v>63</v>
      </c>
      <c r="AV665" t="s">
        <v>64</v>
      </c>
      <c r="AW665">
        <v>1</v>
      </c>
      <c r="AX665">
        <v>3</v>
      </c>
      <c r="AY665">
        <v>0</v>
      </c>
      <c r="AZ665">
        <v>0</v>
      </c>
      <c r="BA665">
        <v>100</v>
      </c>
      <c r="BB665">
        <v>100</v>
      </c>
      <c r="BC665">
        <v>100</v>
      </c>
      <c r="BD665">
        <v>100</v>
      </c>
      <c r="BE665">
        <v>1</v>
      </c>
      <c r="BF665">
        <v>15000</v>
      </c>
      <c r="BG665">
        <v>1000</v>
      </c>
      <c r="BH665" s="6">
        <f>Grandview_Inventory[[#This Row],[land_extract]]*Lookups!$B$3</f>
        <v>52639.730588165206</v>
      </c>
      <c r="BI665" s="6">
        <f>IF(Grandview_Inventory[[#This Row],[bldg_style]]="",0,Lookups!$B$2)</f>
        <v>155833.95000000001</v>
      </c>
      <c r="BJ665" s="6">
        <f>_xlfn.IFNA(VLOOKUP(Grandview_Inventory[[#This Row],[quality]],Lookups!$H$2:$J$14,3,FALSE),0)</f>
        <v>9808</v>
      </c>
      <c r="BK665" s="6">
        <f>_xlfn.IFNA(VLOOKUP(Grandview_Inventory[[#This Row],[condition]],Lookups!$H$17:$J$24,3,FALSE),0)</f>
        <v>25780</v>
      </c>
      <c r="BL665" s="6">
        <f>Grandview_Inventory[[#This Row],[Eff_Age]]*Lookups!$B$14</f>
        <v>-1674.1661999999999</v>
      </c>
      <c r="BM665" s="6">
        <f>Grandview_Inventory[[#This Row],[living_area]]*Lookups!$B$15</f>
        <v>105174.118158</v>
      </c>
      <c r="BN665" s="6">
        <f>Grandview_Inventory[[#This Row],[Fin BSMT]]*Lookups!$B$16</f>
        <v>0</v>
      </c>
      <c r="BO665" s="6">
        <f>(Grandview_Inventory[[#This Row],[att_gar]]+Grandview_Inventory[[#This Row],[bltin_gar]])*Lookups!$B$17</f>
        <v>68440.981734000001</v>
      </c>
      <c r="BP665" s="6">
        <f>Grandview_Inventory[[#This Row],[Plumbing Fixtures]]*Lookups!$B$18</f>
        <v>18093.976200000001</v>
      </c>
      <c r="BQ665" s="6">
        <f>Grandview_Inventory[[#This Row],[detatched_value]]*Lookups!$B$19</f>
        <v>0</v>
      </c>
      <c r="BR665" s="6">
        <f>SUM(Grandview_Inventory[[#This Row],[Intercept]:[det_value]])*Grandview_Inventory[[#This Row],[res_pct]]</f>
        <v>381456.85989200004</v>
      </c>
      <c r="BS665" s="6">
        <f>Grandview_Inventory[[#This Row],[land_value]]</f>
        <v>52639.730588165206</v>
      </c>
      <c r="BT665" s="4">
        <f>_xlfn.IFNA(VLOOKUP(Grandview_Inventory[[#This Row],[quality]],Lookups!$A$26:$C$33,3,FALSE),1)</f>
        <v>0.94295468617355149</v>
      </c>
      <c r="BU665" s="4">
        <f>_xlfn.IFNA(VLOOKUP(Grandview_Inventory[[#This Row],[condition]],Lookups!$A$37:$C$44,3,FALSE),1)</f>
        <v>0.94347925387812148</v>
      </c>
      <c r="BV665" s="4">
        <f>IF(Grandview_Inventory[[#This Row],[bldg_style]]="",1,_xlfn.IFNA(VLOOKUP(Grandview_Inventory[[#This Row],[decade]],Lookups!$F$29:$H$43,3,FALSE),1))</f>
        <v>0.94601966599150278</v>
      </c>
      <c r="BW665" s="4">
        <f>_xlfn.IFNA(VLOOKUP(Grandview_Inventory[[#This Row],[living_area_range]],Lookups!$F$47:$H$56,3,FALSE),1)</f>
        <v>0.96120133463014379</v>
      </c>
      <c r="BX665" s="4">
        <f>AVERAGE(Grandview_Inventory[[#This Row],[qual_adj]:[size_adj]])</f>
        <v>0.94841373516832994</v>
      </c>
      <c r="BY665" s="6">
        <f>IF(Grandview_Inventory[[#This Row],[pre_res]]&lt;0,0,Grandview_Inventory[[#This Row],[pre_res]]*Grandview_Inventory[[#This Row],[overall_adj]])</f>
        <v>361778.92529575404</v>
      </c>
      <c r="BZ665" s="6">
        <f>(Grandview_Inventory[[#This Row],[sum_land]]-IF(Grandview_Inventory[[#This Row],[no_utilities]]=1,12000,0))/IF(Grandview_Inventory[[#This Row],[unbuildable]]=1,2,1)</f>
        <v>52639.730588165206</v>
      </c>
      <c r="CA66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65">
        <f>ROUND(Grandview_Inventory[[#This Row],[det_value]]*Lookups!$M$28,-2)</f>
        <v>0</v>
      </c>
      <c r="CC665">
        <f>IF(ROUND(Grandview_Inventory[[#This Row],[adj_res]]*Lookups!$M$28,-2)&lt;Grandview_Inventory[[#This Row],[min_res]],Grandview_Inventory[[#This Row],[min_res]],ROUND(Grandview_Inventory[[#This Row],[adj_res]]*Lookups!$M$28,-2))</f>
        <v>343700</v>
      </c>
      <c r="CD665">
        <f>Grandview_Inventory[[#This Row],[final_det]]+Grandview_Inventory[[#This Row],[final_res]]</f>
        <v>343700</v>
      </c>
      <c r="CE665">
        <f>Grandview_Inventory[[#This Row],[final_land]]+Grandview_Inventory[[#This Row],[final_imp]]+Grandview_Inventory[[#This Row],[crop_value]]</f>
        <v>393700</v>
      </c>
      <c r="CG665" t="str">
        <f t="shared" si="10"/>
        <v>update valuation set market_land =50000, market_bldg=343700, market_total =393700, market_mdno =401, market_date ='9/10/2023' where link_id = (select link_id from parcel where parcel_year = '2024' and parcel_id = '23092224517');</v>
      </c>
    </row>
    <row r="666" spans="1:85" x14ac:dyDescent="0.25">
      <c r="A666">
        <v>23092224518</v>
      </c>
      <c r="B666">
        <v>0.26</v>
      </c>
      <c r="C666">
        <v>11180</v>
      </c>
      <c r="D666" t="s">
        <v>129</v>
      </c>
      <c r="E666" t="s">
        <v>53</v>
      </c>
      <c r="F666" t="s">
        <v>53</v>
      </c>
      <c r="G666">
        <v>4</v>
      </c>
      <c r="H666" t="s">
        <v>54</v>
      </c>
      <c r="I666">
        <v>278600</v>
      </c>
      <c r="J666">
        <v>44500</v>
      </c>
      <c r="K666">
        <v>0.26</v>
      </c>
      <c r="L66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666">
        <v>0</v>
      </c>
      <c r="N666">
        <v>0</v>
      </c>
      <c r="O666">
        <v>0</v>
      </c>
      <c r="P666">
        <v>13398.7528</v>
      </c>
      <c r="Q666">
        <v>63903</v>
      </c>
      <c r="R666">
        <f>(Grandview_Inventory[[#This Row],[ln_acres]]*Grandview_Inventory[[#This Row],[coeff]])+Grandview_Inventory[[#This Row],[const]]</f>
        <v>45853.893187501177</v>
      </c>
      <c r="S666" t="s">
        <v>58</v>
      </c>
      <c r="T666">
        <v>1</v>
      </c>
      <c r="U666" t="s">
        <v>64</v>
      </c>
      <c r="V666" t="s">
        <v>66</v>
      </c>
      <c r="W666">
        <v>0</v>
      </c>
      <c r="X666">
        <v>0</v>
      </c>
      <c r="Y666">
        <v>15</v>
      </c>
      <c r="Z666">
        <v>15</v>
      </c>
      <c r="AA666">
        <v>20</v>
      </c>
      <c r="AB666">
        <v>2000</v>
      </c>
      <c r="AC666">
        <v>1753</v>
      </c>
      <c r="AD666">
        <v>1753</v>
      </c>
      <c r="AE666">
        <v>0</v>
      </c>
      <c r="AF666">
        <v>0</v>
      </c>
      <c r="AG666">
        <v>0</v>
      </c>
      <c r="AH666">
        <v>0</v>
      </c>
      <c r="AI666">
        <v>549</v>
      </c>
      <c r="AJ666">
        <v>0</v>
      </c>
      <c r="AK666">
        <v>0</v>
      </c>
      <c r="AL666">
        <v>0</v>
      </c>
      <c r="AM666">
        <v>144</v>
      </c>
      <c r="AN666">
        <v>39</v>
      </c>
      <c r="AO666">
        <v>144</v>
      </c>
      <c r="AP666">
        <v>9</v>
      </c>
      <c r="AQ666">
        <v>0</v>
      </c>
      <c r="AR666">
        <v>0</v>
      </c>
      <c r="AS666" t="s">
        <v>58</v>
      </c>
      <c r="AT666">
        <v>1</v>
      </c>
      <c r="AU666" t="s">
        <v>59</v>
      </c>
      <c r="AV666" t="s">
        <v>60</v>
      </c>
      <c r="AW666">
        <v>1</v>
      </c>
      <c r="AX666">
        <v>3</v>
      </c>
      <c r="AY666">
        <v>0</v>
      </c>
      <c r="AZ666">
        <v>0</v>
      </c>
      <c r="BA666">
        <v>100</v>
      </c>
      <c r="BB666">
        <v>100</v>
      </c>
      <c r="BC666">
        <v>100</v>
      </c>
      <c r="BD666">
        <v>100</v>
      </c>
      <c r="BE666">
        <v>1</v>
      </c>
      <c r="BF666">
        <v>15000</v>
      </c>
      <c r="BG666">
        <v>1000</v>
      </c>
      <c r="BH666" s="6">
        <f>Grandview_Inventory[[#This Row],[land_extract]]*Lookups!$B$3</f>
        <v>53250.00235313351</v>
      </c>
      <c r="BI666" s="6">
        <f>IF(Grandview_Inventory[[#This Row],[bldg_style]]="",0,Lookups!$B$2)</f>
        <v>155833.95000000001</v>
      </c>
      <c r="BJ666" s="6">
        <f>_xlfn.IFNA(VLOOKUP(Grandview_Inventory[[#This Row],[quality]],Lookups!$H$2:$J$14,3,FALSE),0)</f>
        <v>20768</v>
      </c>
      <c r="BK666" s="6">
        <f>_xlfn.IFNA(VLOOKUP(Grandview_Inventory[[#This Row],[condition]],Lookups!$H$17:$J$24,3,FALSE),0)</f>
        <v>25818</v>
      </c>
      <c r="BL666" s="6">
        <f>Grandview_Inventory[[#This Row],[Eff_Age]]*Lookups!$B$14</f>
        <v>-3587.4989999999998</v>
      </c>
      <c r="BM666" s="6">
        <f>Grandview_Inventory[[#This Row],[living_area]]*Lookups!$B$15</f>
        <v>109353.635309</v>
      </c>
      <c r="BN666" s="6">
        <f>Grandview_Inventory[[#This Row],[Fin BSMT]]*Lookups!$B$16</f>
        <v>0</v>
      </c>
      <c r="BO666" s="6">
        <f>(Grandview_Inventory[[#This Row],[att_gar]]+Grandview_Inventory[[#This Row],[bltin_gar]])*Lookups!$B$17</f>
        <v>48048.719913000001</v>
      </c>
      <c r="BP666" s="6">
        <f>Grandview_Inventory[[#This Row],[Plumbing Fixtures]]*Lookups!$B$18</f>
        <v>18093.976200000001</v>
      </c>
      <c r="BQ666" s="6">
        <f>Grandview_Inventory[[#This Row],[detatched_value]]*Lookups!$B$19</f>
        <v>0</v>
      </c>
      <c r="BR666" s="6">
        <f>SUM(Grandview_Inventory[[#This Row],[Intercept]:[det_value]])*Grandview_Inventory[[#This Row],[res_pct]]</f>
        <v>374328.78242200002</v>
      </c>
      <c r="BS666" s="6">
        <f>Grandview_Inventory[[#This Row],[land_value]]</f>
        <v>53250.00235313351</v>
      </c>
      <c r="BT666" s="4">
        <f>_xlfn.IFNA(VLOOKUP(Grandview_Inventory[[#This Row],[quality]],Lookups!$A$26:$C$33,3,FALSE),1)</f>
        <v>0.94960540378902636</v>
      </c>
      <c r="BU666" s="4">
        <f>_xlfn.IFNA(VLOOKUP(Grandview_Inventory[[#This Row],[condition]],Lookups!$A$37:$C$44,3,FALSE),1)</f>
        <v>0.96661476234146892</v>
      </c>
      <c r="BV666" s="4">
        <f>IF(Grandview_Inventory[[#This Row],[bldg_style]]="",1,_xlfn.IFNA(VLOOKUP(Grandview_Inventory[[#This Row],[decade]],Lookups!$F$29:$H$43,3,FALSE),1))</f>
        <v>0.96737494181490646</v>
      </c>
      <c r="BW666" s="4">
        <f>_xlfn.IFNA(VLOOKUP(Grandview_Inventory[[#This Row],[living_area_range]],Lookups!$F$47:$H$56,3,FALSE),1)</f>
        <v>0.96120133463014379</v>
      </c>
      <c r="BX666" s="4">
        <f>AVERAGE(Grandview_Inventory[[#This Row],[qual_adj]:[size_adj]])</f>
        <v>0.96119911064388641</v>
      </c>
      <c r="BY666" s="6">
        <f>IF(Grandview_Inventory[[#This Row],[pre_res]]&lt;0,0,Grandview_Inventory[[#This Row],[pre_res]]*Grandview_Inventory[[#This Row],[overall_adj]])</f>
        <v>359804.49275243527</v>
      </c>
      <c r="BZ666" s="6">
        <f>(Grandview_Inventory[[#This Row],[sum_land]]-IF(Grandview_Inventory[[#This Row],[no_utilities]]=1,12000,0))/IF(Grandview_Inventory[[#This Row],[unbuildable]]=1,2,1)</f>
        <v>53250.00235313351</v>
      </c>
      <c r="CA66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666">
        <f>ROUND(Grandview_Inventory[[#This Row],[det_value]]*Lookups!$M$28,-2)</f>
        <v>0</v>
      </c>
      <c r="CC666">
        <f>IF(ROUND(Grandview_Inventory[[#This Row],[adj_res]]*Lookups!$M$28,-2)&lt;Grandview_Inventory[[#This Row],[min_res]],Grandview_Inventory[[#This Row],[min_res]],ROUND(Grandview_Inventory[[#This Row],[adj_res]]*Lookups!$M$28,-2))</f>
        <v>341800</v>
      </c>
      <c r="CD666">
        <f>Grandview_Inventory[[#This Row],[final_det]]+Grandview_Inventory[[#This Row],[final_res]]</f>
        <v>341800</v>
      </c>
      <c r="CE666">
        <f>Grandview_Inventory[[#This Row],[final_land]]+Grandview_Inventory[[#This Row],[final_imp]]+Grandview_Inventory[[#This Row],[crop_value]]</f>
        <v>392400</v>
      </c>
      <c r="CG666" t="str">
        <f t="shared" si="10"/>
        <v>update valuation set market_land =50600, market_bldg=341800, market_total =392400, market_mdno =401, market_date ='9/10/2023' where link_id = (select link_id from parcel where parcel_year = '2024' and parcel_id = '23092224518');</v>
      </c>
    </row>
    <row r="667" spans="1:85" x14ac:dyDescent="0.25">
      <c r="A667">
        <v>23092224519</v>
      </c>
      <c r="B667">
        <v>0.26</v>
      </c>
      <c r="C667">
        <v>11180</v>
      </c>
      <c r="D667" t="s">
        <v>129</v>
      </c>
      <c r="E667" t="s">
        <v>53</v>
      </c>
      <c r="F667" t="s">
        <v>53</v>
      </c>
      <c r="G667">
        <v>4</v>
      </c>
      <c r="H667" t="s">
        <v>54</v>
      </c>
      <c r="I667">
        <v>293400</v>
      </c>
      <c r="J667">
        <v>40200</v>
      </c>
      <c r="K667">
        <v>0.26</v>
      </c>
      <c r="L66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667">
        <v>0</v>
      </c>
      <c r="N667">
        <v>0</v>
      </c>
      <c r="O667">
        <v>0</v>
      </c>
      <c r="P667">
        <v>13398.7528</v>
      </c>
      <c r="Q667">
        <v>63903</v>
      </c>
      <c r="R667">
        <f>(Grandview_Inventory[[#This Row],[ln_acres]]*Grandview_Inventory[[#This Row],[coeff]])+Grandview_Inventory[[#This Row],[const]]</f>
        <v>45853.893187501177</v>
      </c>
      <c r="S667" t="s">
        <v>58</v>
      </c>
      <c r="T667">
        <v>1</v>
      </c>
      <c r="U667" t="s">
        <v>64</v>
      </c>
      <c r="V667" t="s">
        <v>66</v>
      </c>
      <c r="W667">
        <v>0</v>
      </c>
      <c r="X667">
        <v>0</v>
      </c>
      <c r="Y667">
        <v>17</v>
      </c>
      <c r="Z667">
        <v>17</v>
      </c>
      <c r="AA667">
        <v>20</v>
      </c>
      <c r="AB667">
        <v>2000</v>
      </c>
      <c r="AC667">
        <v>1900</v>
      </c>
      <c r="AD667">
        <v>1900</v>
      </c>
      <c r="AE667">
        <v>0</v>
      </c>
      <c r="AF667">
        <v>0</v>
      </c>
      <c r="AG667">
        <v>0</v>
      </c>
      <c r="AH667">
        <v>0</v>
      </c>
      <c r="AI667">
        <v>668</v>
      </c>
      <c r="AJ667">
        <v>0</v>
      </c>
      <c r="AK667">
        <v>0</v>
      </c>
      <c r="AL667">
        <v>0</v>
      </c>
      <c r="AM667">
        <v>432</v>
      </c>
      <c r="AN667">
        <v>20</v>
      </c>
      <c r="AO667">
        <v>0</v>
      </c>
      <c r="AP667">
        <v>11</v>
      </c>
      <c r="AQ667">
        <v>0</v>
      </c>
      <c r="AR667">
        <v>0</v>
      </c>
      <c r="AS667" t="s">
        <v>58</v>
      </c>
      <c r="AT667">
        <v>1</v>
      </c>
      <c r="AU667" t="s">
        <v>63</v>
      </c>
      <c r="AV667" t="s">
        <v>64</v>
      </c>
      <c r="AW667">
        <v>1</v>
      </c>
      <c r="AX667">
        <v>3</v>
      </c>
      <c r="AY667">
        <v>0</v>
      </c>
      <c r="AZ667">
        <v>0</v>
      </c>
      <c r="BA667">
        <v>100</v>
      </c>
      <c r="BB667">
        <v>100</v>
      </c>
      <c r="BC667">
        <v>100</v>
      </c>
      <c r="BD667">
        <v>100</v>
      </c>
      <c r="BE667">
        <v>1</v>
      </c>
      <c r="BF667">
        <v>15000</v>
      </c>
      <c r="BG667">
        <v>1000</v>
      </c>
      <c r="BH667" s="6">
        <f>Grandview_Inventory[[#This Row],[land_extract]]*Lookups!$B$3</f>
        <v>53250.00235313351</v>
      </c>
      <c r="BI667" s="6">
        <f>IF(Grandview_Inventory[[#This Row],[bldg_style]]="",0,Lookups!$B$2)</f>
        <v>155833.95000000001</v>
      </c>
      <c r="BJ667" s="6">
        <f>_xlfn.IFNA(VLOOKUP(Grandview_Inventory[[#This Row],[quality]],Lookups!$H$2:$J$14,3,FALSE),0)</f>
        <v>20768</v>
      </c>
      <c r="BK667" s="6">
        <f>_xlfn.IFNA(VLOOKUP(Grandview_Inventory[[#This Row],[condition]],Lookups!$H$17:$J$24,3,FALSE),0)</f>
        <v>25818</v>
      </c>
      <c r="BL667" s="6">
        <f>Grandview_Inventory[[#This Row],[Eff_Age]]*Lookups!$B$14</f>
        <v>-4065.8321999999998</v>
      </c>
      <c r="BM667" s="6">
        <f>Grandview_Inventory[[#This Row],[living_area]]*Lookups!$B$15</f>
        <v>118523.6207</v>
      </c>
      <c r="BN667" s="6">
        <f>Grandview_Inventory[[#This Row],[Fin BSMT]]*Lookups!$B$16</f>
        <v>0</v>
      </c>
      <c r="BO667" s="6">
        <f>(Grandview_Inventory[[#This Row],[att_gar]]+Grandview_Inventory[[#This Row],[bltin_gar]])*Lookups!$B$17</f>
        <v>58463.651916000003</v>
      </c>
      <c r="BP667" s="6">
        <f>Grandview_Inventory[[#This Row],[Plumbing Fixtures]]*Lookups!$B$18</f>
        <v>22114.859800000002</v>
      </c>
      <c r="BQ667" s="6">
        <f>Grandview_Inventory[[#This Row],[detatched_value]]*Lookups!$B$19</f>
        <v>0</v>
      </c>
      <c r="BR667" s="6">
        <f>SUM(Grandview_Inventory[[#This Row],[Intercept]:[det_value]])*Grandview_Inventory[[#This Row],[res_pct]]</f>
        <v>397456.25021599996</v>
      </c>
      <c r="BS667" s="6">
        <f>Grandview_Inventory[[#This Row],[land_value]]</f>
        <v>53250.00235313351</v>
      </c>
      <c r="BT667" s="4">
        <f>_xlfn.IFNA(VLOOKUP(Grandview_Inventory[[#This Row],[quality]],Lookups!$A$26:$C$33,3,FALSE),1)</f>
        <v>0.94960540378902636</v>
      </c>
      <c r="BU667" s="4">
        <f>_xlfn.IFNA(VLOOKUP(Grandview_Inventory[[#This Row],[condition]],Lookups!$A$37:$C$44,3,FALSE),1)</f>
        <v>0.96661476234146892</v>
      </c>
      <c r="BV667" s="4">
        <f>IF(Grandview_Inventory[[#This Row],[bldg_style]]="",1,_xlfn.IFNA(VLOOKUP(Grandview_Inventory[[#This Row],[decade]],Lookups!$F$29:$H$43,3,FALSE),1))</f>
        <v>0.96737494181490646</v>
      </c>
      <c r="BW667" s="4">
        <f>_xlfn.IFNA(VLOOKUP(Grandview_Inventory[[#This Row],[living_area_range]],Lookups!$F$47:$H$56,3,FALSE),1)</f>
        <v>0.96120133463014379</v>
      </c>
      <c r="BX667" s="4">
        <f>AVERAGE(Grandview_Inventory[[#This Row],[qual_adj]:[size_adj]])</f>
        <v>0.96119911064388641</v>
      </c>
      <c r="BY667" s="6">
        <f>IF(Grandview_Inventory[[#This Row],[pre_res]]&lt;0,0,Grandview_Inventory[[#This Row],[pre_res]]*Grandview_Inventory[[#This Row],[overall_adj]])</f>
        <v>382034.59422747314</v>
      </c>
      <c r="BZ667" s="6">
        <f>(Grandview_Inventory[[#This Row],[sum_land]]-IF(Grandview_Inventory[[#This Row],[no_utilities]]=1,12000,0))/IF(Grandview_Inventory[[#This Row],[unbuildable]]=1,2,1)</f>
        <v>53250.00235313351</v>
      </c>
      <c r="CA66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667">
        <f>ROUND(Grandview_Inventory[[#This Row],[det_value]]*Lookups!$M$28,-2)</f>
        <v>0</v>
      </c>
      <c r="CC667">
        <f>IF(ROUND(Grandview_Inventory[[#This Row],[adj_res]]*Lookups!$M$28,-2)&lt;Grandview_Inventory[[#This Row],[min_res]],Grandview_Inventory[[#This Row],[min_res]],ROUND(Grandview_Inventory[[#This Row],[adj_res]]*Lookups!$M$28,-2))</f>
        <v>362900</v>
      </c>
      <c r="CD667">
        <f>Grandview_Inventory[[#This Row],[final_det]]+Grandview_Inventory[[#This Row],[final_res]]</f>
        <v>362900</v>
      </c>
      <c r="CE667">
        <f>Grandview_Inventory[[#This Row],[final_land]]+Grandview_Inventory[[#This Row],[final_imp]]+Grandview_Inventory[[#This Row],[crop_value]]</f>
        <v>413500</v>
      </c>
      <c r="CG667" t="str">
        <f t="shared" si="10"/>
        <v>update valuation set market_land =50600, market_bldg=362900, market_total =413500, market_mdno =401, market_date ='9/10/2023' where link_id = (select link_id from parcel where parcel_year = '2024' and parcel_id = '23092224519');</v>
      </c>
    </row>
    <row r="668" spans="1:85" x14ac:dyDescent="0.25">
      <c r="A668">
        <v>23092224520</v>
      </c>
      <c r="B668">
        <v>0.33</v>
      </c>
      <c r="C668">
        <v>14470</v>
      </c>
      <c r="D668" t="s">
        <v>129</v>
      </c>
      <c r="E668" t="s">
        <v>53</v>
      </c>
      <c r="F668" t="s">
        <v>53</v>
      </c>
      <c r="G668">
        <v>4</v>
      </c>
      <c r="H668" t="s">
        <v>54</v>
      </c>
      <c r="I668">
        <v>257300</v>
      </c>
      <c r="J668">
        <v>41200</v>
      </c>
      <c r="K668">
        <v>0.33</v>
      </c>
      <c r="L668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668">
        <v>0</v>
      </c>
      <c r="N668">
        <v>0</v>
      </c>
      <c r="O668">
        <v>0</v>
      </c>
      <c r="P668">
        <v>13398.7528</v>
      </c>
      <c r="Q668">
        <v>63903</v>
      </c>
      <c r="R668">
        <f>(Grandview_Inventory[[#This Row],[ln_acres]]*Grandview_Inventory[[#This Row],[coeff]])+Grandview_Inventory[[#This Row],[const]]</f>
        <v>49048.303555435712</v>
      </c>
      <c r="S668" t="s">
        <v>58</v>
      </c>
      <c r="T668">
        <v>1</v>
      </c>
      <c r="U668" t="s">
        <v>62</v>
      </c>
      <c r="V668" t="s">
        <v>57</v>
      </c>
      <c r="W668">
        <v>0</v>
      </c>
      <c r="X668">
        <v>0</v>
      </c>
      <c r="Y668">
        <v>5</v>
      </c>
      <c r="Z668">
        <v>5</v>
      </c>
      <c r="AA668">
        <v>10</v>
      </c>
      <c r="AB668">
        <v>2000</v>
      </c>
      <c r="AC668">
        <v>1780</v>
      </c>
      <c r="AD668">
        <v>1474</v>
      </c>
      <c r="AE668">
        <v>0</v>
      </c>
      <c r="AF668">
        <v>306</v>
      </c>
      <c r="AG668">
        <v>0</v>
      </c>
      <c r="AH668">
        <v>0</v>
      </c>
      <c r="AI668">
        <v>437</v>
      </c>
      <c r="AJ668">
        <v>0</v>
      </c>
      <c r="AK668">
        <v>0</v>
      </c>
      <c r="AL668">
        <v>200</v>
      </c>
      <c r="AM668">
        <v>0</v>
      </c>
      <c r="AN668">
        <v>0</v>
      </c>
      <c r="AO668">
        <v>0</v>
      </c>
      <c r="AP668">
        <v>8</v>
      </c>
      <c r="AQ668">
        <v>0</v>
      </c>
      <c r="AR668">
        <v>0</v>
      </c>
      <c r="AS668" t="s">
        <v>58</v>
      </c>
      <c r="AT668">
        <v>1</v>
      </c>
      <c r="AU668" t="s">
        <v>63</v>
      </c>
      <c r="AV668" t="s">
        <v>64</v>
      </c>
      <c r="AW668">
        <v>1</v>
      </c>
      <c r="AX668">
        <v>3</v>
      </c>
      <c r="AY668">
        <v>0</v>
      </c>
      <c r="AZ668">
        <v>0</v>
      </c>
      <c r="BA668">
        <v>100</v>
      </c>
      <c r="BB668">
        <v>100</v>
      </c>
      <c r="BC668">
        <v>100</v>
      </c>
      <c r="BD668">
        <v>100</v>
      </c>
      <c r="BE668">
        <v>1</v>
      </c>
      <c r="BF668">
        <v>15000</v>
      </c>
      <c r="BG668">
        <v>1000</v>
      </c>
      <c r="BH668" s="6">
        <f>Grandview_Inventory[[#This Row],[land_extract]]*Lookups!$B$3</f>
        <v>56959.662488507893</v>
      </c>
      <c r="BI668" s="6">
        <f>IF(Grandview_Inventory[[#This Row],[bldg_style]]="",0,Lookups!$B$2)</f>
        <v>155833.95000000001</v>
      </c>
      <c r="BJ668" s="6">
        <f>_xlfn.IFNA(VLOOKUP(Grandview_Inventory[[#This Row],[quality]],Lookups!$H$2:$J$14,3,FALSE),0)</f>
        <v>9808</v>
      </c>
      <c r="BK668" s="6">
        <f>_xlfn.IFNA(VLOOKUP(Grandview_Inventory[[#This Row],[condition]],Lookups!$H$17:$J$24,3,FALSE),0)</f>
        <v>25780</v>
      </c>
      <c r="BL668" s="6">
        <f>Grandview_Inventory[[#This Row],[Eff_Age]]*Lookups!$B$14</f>
        <v>-1195.8329999999999</v>
      </c>
      <c r="BM668" s="6">
        <f>Grandview_Inventory[[#This Row],[living_area]]*Lookups!$B$15</f>
        <v>111037.91834</v>
      </c>
      <c r="BN668" s="6">
        <f>Grandview_Inventory[[#This Row],[Fin BSMT]]*Lookups!$B$16</f>
        <v>0</v>
      </c>
      <c r="BO668" s="6">
        <f>(Grandview_Inventory[[#This Row],[att_gar]]+Grandview_Inventory[[#This Row],[bltin_gar]])*Lookups!$B$17</f>
        <v>38246.430969000001</v>
      </c>
      <c r="BP668" s="6">
        <f>Grandview_Inventory[[#This Row],[Plumbing Fixtures]]*Lookups!$B$18</f>
        <v>16083.5344</v>
      </c>
      <c r="BQ668" s="6">
        <f>Grandview_Inventory[[#This Row],[detatched_value]]*Lookups!$B$19</f>
        <v>0</v>
      </c>
      <c r="BR668" s="6">
        <f>SUM(Grandview_Inventory[[#This Row],[Intercept]:[det_value]])*Grandview_Inventory[[#This Row],[res_pct]]</f>
        <v>355594.00070899999</v>
      </c>
      <c r="BS668" s="6">
        <f>Grandview_Inventory[[#This Row],[land_value]]</f>
        <v>56959.662488507893</v>
      </c>
      <c r="BT668" s="4">
        <f>_xlfn.IFNA(VLOOKUP(Grandview_Inventory[[#This Row],[quality]],Lookups!$A$26:$C$33,3,FALSE),1)</f>
        <v>0.94295468617355149</v>
      </c>
      <c r="BU668" s="4">
        <f>_xlfn.IFNA(VLOOKUP(Grandview_Inventory[[#This Row],[condition]],Lookups!$A$37:$C$44,3,FALSE),1)</f>
        <v>0.94347925387812148</v>
      </c>
      <c r="BV668" s="4">
        <f>IF(Grandview_Inventory[[#This Row],[bldg_style]]="",1,_xlfn.IFNA(VLOOKUP(Grandview_Inventory[[#This Row],[decade]],Lookups!$F$29:$H$43,3,FALSE),1))</f>
        <v>0.94601966599150278</v>
      </c>
      <c r="BW668" s="4">
        <f>_xlfn.IFNA(VLOOKUP(Grandview_Inventory[[#This Row],[living_area_range]],Lookups!$F$47:$H$56,3,FALSE),1)</f>
        <v>0.96120133463014379</v>
      </c>
      <c r="BX668" s="4">
        <f>AVERAGE(Grandview_Inventory[[#This Row],[qual_adj]:[size_adj]])</f>
        <v>0.94841373516832994</v>
      </c>
      <c r="BY668" s="6">
        <f>IF(Grandview_Inventory[[#This Row],[pre_res]]&lt;0,0,Grandview_Inventory[[#This Row],[pre_res]]*Grandview_Inventory[[#This Row],[overall_adj]])</f>
        <v>337250.23441587243</v>
      </c>
      <c r="BZ668" s="6">
        <f>(Grandview_Inventory[[#This Row],[sum_land]]-IF(Grandview_Inventory[[#This Row],[no_utilities]]=1,12000,0))/IF(Grandview_Inventory[[#This Row],[unbuildable]]=1,2,1)</f>
        <v>56959.662488507893</v>
      </c>
      <c r="CA668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668">
        <f>ROUND(Grandview_Inventory[[#This Row],[det_value]]*Lookups!$M$28,-2)</f>
        <v>0</v>
      </c>
      <c r="CC668">
        <f>IF(ROUND(Grandview_Inventory[[#This Row],[adj_res]]*Lookups!$M$28,-2)&lt;Grandview_Inventory[[#This Row],[min_res]],Grandview_Inventory[[#This Row],[min_res]],ROUND(Grandview_Inventory[[#This Row],[adj_res]]*Lookups!$M$28,-2))</f>
        <v>320400</v>
      </c>
      <c r="CD668">
        <f>Grandview_Inventory[[#This Row],[final_det]]+Grandview_Inventory[[#This Row],[final_res]]</f>
        <v>320400</v>
      </c>
      <c r="CE668">
        <f>Grandview_Inventory[[#This Row],[final_land]]+Grandview_Inventory[[#This Row],[final_imp]]+Grandview_Inventory[[#This Row],[crop_value]]</f>
        <v>374500</v>
      </c>
      <c r="CG668" t="str">
        <f t="shared" si="10"/>
        <v>update valuation set market_land =54100, market_bldg=320400, market_total =374500, market_mdno =401, market_date ='9/10/2023' where link_id = (select link_id from parcel where parcel_year = '2024' and parcel_id = '23092224520');</v>
      </c>
    </row>
    <row r="669" spans="1:85" x14ac:dyDescent="0.25">
      <c r="A669">
        <v>23092224521</v>
      </c>
      <c r="B669">
        <v>0.2</v>
      </c>
      <c r="C669">
        <v>8558</v>
      </c>
      <c r="D669" t="s">
        <v>129</v>
      </c>
      <c r="E669" t="s">
        <v>53</v>
      </c>
      <c r="F669" t="s">
        <v>53</v>
      </c>
      <c r="G669">
        <v>4</v>
      </c>
      <c r="H669" t="s">
        <v>54</v>
      </c>
      <c r="I669">
        <v>272200</v>
      </c>
      <c r="J669">
        <v>43500</v>
      </c>
      <c r="K669">
        <v>0.2</v>
      </c>
      <c r="L66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69">
        <v>0</v>
      </c>
      <c r="N669">
        <v>0</v>
      </c>
      <c r="O669">
        <v>0</v>
      </c>
      <c r="P669">
        <v>13398.7528</v>
      </c>
      <c r="Q669">
        <v>63903</v>
      </c>
      <c r="R669">
        <f>(Grandview_Inventory[[#This Row],[ln_acres]]*Grandview_Inventory[[#This Row],[coeff]])+Grandview_Inventory[[#This Row],[const]]</f>
        <v>42338.539264347448</v>
      </c>
      <c r="S669" t="s">
        <v>58</v>
      </c>
      <c r="T669">
        <v>1</v>
      </c>
      <c r="U669" t="s">
        <v>64</v>
      </c>
      <c r="V669" t="s">
        <v>66</v>
      </c>
      <c r="W669">
        <v>0</v>
      </c>
      <c r="X669">
        <v>0</v>
      </c>
      <c r="Y669">
        <v>18</v>
      </c>
      <c r="Z669">
        <v>18</v>
      </c>
      <c r="AA669">
        <v>20</v>
      </c>
      <c r="AB669">
        <v>2000</v>
      </c>
      <c r="AC669">
        <v>1875</v>
      </c>
      <c r="AD669">
        <v>1560</v>
      </c>
      <c r="AE669">
        <v>0</v>
      </c>
      <c r="AF669">
        <v>315</v>
      </c>
      <c r="AG669">
        <v>0</v>
      </c>
      <c r="AH669">
        <v>0</v>
      </c>
      <c r="AI669">
        <v>567</v>
      </c>
      <c r="AJ669">
        <v>0</v>
      </c>
      <c r="AK669">
        <v>0</v>
      </c>
      <c r="AL669">
        <v>0</v>
      </c>
      <c r="AM669">
        <v>0</v>
      </c>
      <c r="AN669">
        <v>172</v>
      </c>
      <c r="AO669">
        <v>0</v>
      </c>
      <c r="AP669">
        <v>11</v>
      </c>
      <c r="AQ669">
        <v>0</v>
      </c>
      <c r="AR669">
        <v>0</v>
      </c>
      <c r="AS669" t="s">
        <v>58</v>
      </c>
      <c r="AT669">
        <v>1</v>
      </c>
      <c r="AU669" t="s">
        <v>59</v>
      </c>
      <c r="AV669" t="s">
        <v>60</v>
      </c>
      <c r="AW669">
        <v>1</v>
      </c>
      <c r="AX669">
        <v>3</v>
      </c>
      <c r="AY669">
        <v>0</v>
      </c>
      <c r="AZ669">
        <v>0</v>
      </c>
      <c r="BA669">
        <v>100</v>
      </c>
      <c r="BB669">
        <v>100</v>
      </c>
      <c r="BC669">
        <v>100</v>
      </c>
      <c r="BD669">
        <v>100</v>
      </c>
      <c r="BE669">
        <v>1</v>
      </c>
      <c r="BF669">
        <v>15000</v>
      </c>
      <c r="BG669">
        <v>1000</v>
      </c>
      <c r="BH669" s="6">
        <f>Grandview_Inventory[[#This Row],[land_extract]]*Lookups!$B$3</f>
        <v>49167.631333630678</v>
      </c>
      <c r="BI669" s="6">
        <f>IF(Grandview_Inventory[[#This Row],[bldg_style]]="",0,Lookups!$B$2)</f>
        <v>155833.95000000001</v>
      </c>
      <c r="BJ669" s="6">
        <f>_xlfn.IFNA(VLOOKUP(Grandview_Inventory[[#This Row],[quality]],Lookups!$H$2:$J$14,3,FALSE),0)</f>
        <v>20768</v>
      </c>
      <c r="BK669" s="6">
        <f>_xlfn.IFNA(VLOOKUP(Grandview_Inventory[[#This Row],[condition]],Lookups!$H$17:$J$24,3,FALSE),0)</f>
        <v>25818</v>
      </c>
      <c r="BL669" s="6">
        <f>Grandview_Inventory[[#This Row],[Eff_Age]]*Lookups!$B$14</f>
        <v>-4304.9987999999994</v>
      </c>
      <c r="BM669" s="6">
        <f>Grandview_Inventory[[#This Row],[living_area]]*Lookups!$B$15</f>
        <v>116964.09937500001</v>
      </c>
      <c r="BN669" s="6">
        <f>Grandview_Inventory[[#This Row],[Fin BSMT]]*Lookups!$B$16</f>
        <v>0</v>
      </c>
      <c r="BO669" s="6">
        <f>(Grandview_Inventory[[#This Row],[att_gar]]+Grandview_Inventory[[#This Row],[bltin_gar]])*Lookups!$B$17</f>
        <v>49624.087779000001</v>
      </c>
      <c r="BP669" s="6">
        <f>Grandview_Inventory[[#This Row],[Plumbing Fixtures]]*Lookups!$B$18</f>
        <v>22114.859800000002</v>
      </c>
      <c r="BQ669" s="6">
        <f>Grandview_Inventory[[#This Row],[detatched_value]]*Lookups!$B$19</f>
        <v>0</v>
      </c>
      <c r="BR669" s="6">
        <f>SUM(Grandview_Inventory[[#This Row],[Intercept]:[det_value]])*Grandview_Inventory[[#This Row],[res_pct]]</f>
        <v>386817.99815399997</v>
      </c>
      <c r="BS669" s="6">
        <f>Grandview_Inventory[[#This Row],[land_value]]</f>
        <v>49167.631333630678</v>
      </c>
      <c r="BT669" s="4">
        <f>_xlfn.IFNA(VLOOKUP(Grandview_Inventory[[#This Row],[quality]],Lookups!$A$26:$C$33,3,FALSE),1)</f>
        <v>0.94960540378902636</v>
      </c>
      <c r="BU669" s="4">
        <f>_xlfn.IFNA(VLOOKUP(Grandview_Inventory[[#This Row],[condition]],Lookups!$A$37:$C$44,3,FALSE),1)</f>
        <v>0.96661476234146892</v>
      </c>
      <c r="BV669" s="4">
        <f>IF(Grandview_Inventory[[#This Row],[bldg_style]]="",1,_xlfn.IFNA(VLOOKUP(Grandview_Inventory[[#This Row],[decade]],Lookups!$F$29:$H$43,3,FALSE),1))</f>
        <v>0.96737494181490646</v>
      </c>
      <c r="BW669" s="4">
        <f>_xlfn.IFNA(VLOOKUP(Grandview_Inventory[[#This Row],[living_area_range]],Lookups!$F$47:$H$56,3,FALSE),1)</f>
        <v>0.96120133463014379</v>
      </c>
      <c r="BX669" s="4">
        <f>AVERAGE(Grandview_Inventory[[#This Row],[qual_adj]:[size_adj]])</f>
        <v>0.96119911064388641</v>
      </c>
      <c r="BY669" s="6">
        <f>IF(Grandview_Inventory[[#This Row],[pre_res]]&lt;0,0,Grandview_Inventory[[#This Row],[pre_res]]*Grandview_Inventory[[#This Row],[overall_adj]])</f>
        <v>371809.11580667325</v>
      </c>
      <c r="BZ669" s="6">
        <f>(Grandview_Inventory[[#This Row],[sum_land]]-IF(Grandview_Inventory[[#This Row],[no_utilities]]=1,12000,0))/IF(Grandview_Inventory[[#This Row],[unbuildable]]=1,2,1)</f>
        <v>49167.631333630678</v>
      </c>
      <c r="CA66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69">
        <f>ROUND(Grandview_Inventory[[#This Row],[det_value]]*Lookups!$M$28,-2)</f>
        <v>0</v>
      </c>
      <c r="CC669">
        <f>IF(ROUND(Grandview_Inventory[[#This Row],[adj_res]]*Lookups!$M$28,-2)&lt;Grandview_Inventory[[#This Row],[min_res]],Grandview_Inventory[[#This Row],[min_res]],ROUND(Grandview_Inventory[[#This Row],[adj_res]]*Lookups!$M$28,-2))</f>
        <v>353200</v>
      </c>
      <c r="CD669">
        <f>Grandview_Inventory[[#This Row],[final_det]]+Grandview_Inventory[[#This Row],[final_res]]</f>
        <v>353200</v>
      </c>
      <c r="CE669">
        <f>Grandview_Inventory[[#This Row],[final_land]]+Grandview_Inventory[[#This Row],[final_imp]]+Grandview_Inventory[[#This Row],[crop_value]]</f>
        <v>399900</v>
      </c>
      <c r="CG669" t="str">
        <f t="shared" si="10"/>
        <v>update valuation set market_land =46700, market_bldg=353200, market_total =399900, market_mdno =401, market_date ='9/10/2023' where link_id = (select link_id from parcel where parcel_year = '2024' and parcel_id = '23092224521');</v>
      </c>
    </row>
    <row r="670" spans="1:85" x14ac:dyDescent="0.25">
      <c r="A670">
        <v>23092224522</v>
      </c>
      <c r="B670">
        <v>0.17</v>
      </c>
      <c r="C670">
        <v>7386</v>
      </c>
      <c r="D670" t="s">
        <v>129</v>
      </c>
      <c r="E670" t="s">
        <v>53</v>
      </c>
      <c r="F670" t="s">
        <v>53</v>
      </c>
      <c r="G670">
        <v>4</v>
      </c>
      <c r="H670" t="s">
        <v>54</v>
      </c>
      <c r="I670">
        <v>269400</v>
      </c>
      <c r="J670">
        <v>38800</v>
      </c>
      <c r="K670">
        <v>0.17</v>
      </c>
      <c r="L67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70">
        <v>0</v>
      </c>
      <c r="N670">
        <v>0</v>
      </c>
      <c r="O670">
        <v>0</v>
      </c>
      <c r="P670">
        <v>13398.7528</v>
      </c>
      <c r="Q670">
        <v>63903</v>
      </c>
      <c r="R670">
        <f>(Grandview_Inventory[[#This Row],[ln_acres]]*Grandview_Inventory[[#This Row],[coeff]])+Grandview_Inventory[[#This Row],[const]]</f>
        <v>40160.988302686128</v>
      </c>
      <c r="S670" t="s">
        <v>58</v>
      </c>
      <c r="T670">
        <v>1</v>
      </c>
      <c r="U670" t="s">
        <v>62</v>
      </c>
      <c r="V670" t="s">
        <v>66</v>
      </c>
      <c r="W670">
        <v>0</v>
      </c>
      <c r="X670">
        <v>0</v>
      </c>
      <c r="Y670">
        <v>18</v>
      </c>
      <c r="Z670">
        <v>18</v>
      </c>
      <c r="AA670">
        <v>20</v>
      </c>
      <c r="AB670">
        <v>2000</v>
      </c>
      <c r="AC670">
        <v>1826</v>
      </c>
      <c r="AD670">
        <v>1826</v>
      </c>
      <c r="AE670">
        <v>0</v>
      </c>
      <c r="AF670">
        <v>0</v>
      </c>
      <c r="AG670">
        <v>0</v>
      </c>
      <c r="AH670">
        <v>0</v>
      </c>
      <c r="AI670">
        <v>576</v>
      </c>
      <c r="AJ670">
        <v>0</v>
      </c>
      <c r="AK670">
        <v>0</v>
      </c>
      <c r="AL670">
        <v>0</v>
      </c>
      <c r="AM670">
        <v>0</v>
      </c>
      <c r="AN670">
        <v>90</v>
      </c>
      <c r="AO670">
        <v>0</v>
      </c>
      <c r="AP670">
        <v>8</v>
      </c>
      <c r="AQ670">
        <v>0</v>
      </c>
      <c r="AR670">
        <v>0</v>
      </c>
      <c r="AS670" t="s">
        <v>58</v>
      </c>
      <c r="AT670">
        <v>1</v>
      </c>
      <c r="AU670" t="s">
        <v>59</v>
      </c>
      <c r="AV670" t="s">
        <v>60</v>
      </c>
      <c r="AW670">
        <v>1</v>
      </c>
      <c r="AX670">
        <v>3</v>
      </c>
      <c r="AY670">
        <v>0</v>
      </c>
      <c r="AZ670">
        <v>0</v>
      </c>
      <c r="BA670">
        <v>100</v>
      </c>
      <c r="BB670">
        <v>100</v>
      </c>
      <c r="BC670">
        <v>100</v>
      </c>
      <c r="BD670">
        <v>100</v>
      </c>
      <c r="BE670">
        <v>1</v>
      </c>
      <c r="BF670">
        <v>15000</v>
      </c>
      <c r="BG670">
        <v>1000</v>
      </c>
      <c r="BH670" s="6">
        <f>Grandview_Inventory[[#This Row],[land_extract]]*Lookups!$B$3</f>
        <v>46638.847281240982</v>
      </c>
      <c r="BI670" s="6">
        <f>IF(Grandview_Inventory[[#This Row],[bldg_style]]="",0,Lookups!$B$2)</f>
        <v>155833.95000000001</v>
      </c>
      <c r="BJ670" s="6">
        <f>_xlfn.IFNA(VLOOKUP(Grandview_Inventory[[#This Row],[quality]],Lookups!$H$2:$J$14,3,FALSE),0)</f>
        <v>9808</v>
      </c>
      <c r="BK670" s="6">
        <f>_xlfn.IFNA(VLOOKUP(Grandview_Inventory[[#This Row],[condition]],Lookups!$H$17:$J$24,3,FALSE),0)</f>
        <v>25818</v>
      </c>
      <c r="BL670" s="6">
        <f>Grandview_Inventory[[#This Row],[Eff_Age]]*Lookups!$B$14</f>
        <v>-4304.9987999999994</v>
      </c>
      <c r="BM670" s="6">
        <f>Grandview_Inventory[[#This Row],[living_area]]*Lookups!$B$15</f>
        <v>113907.437578</v>
      </c>
      <c r="BN670" s="6">
        <f>Grandview_Inventory[[#This Row],[Fin BSMT]]*Lookups!$B$16</f>
        <v>0</v>
      </c>
      <c r="BO670" s="6">
        <f>(Grandview_Inventory[[#This Row],[att_gar]]+Grandview_Inventory[[#This Row],[bltin_gar]])*Lookups!$B$17</f>
        <v>50411.771712000002</v>
      </c>
      <c r="BP670" s="6">
        <f>Grandview_Inventory[[#This Row],[Plumbing Fixtures]]*Lookups!$B$18</f>
        <v>16083.5344</v>
      </c>
      <c r="BQ670" s="6">
        <f>Grandview_Inventory[[#This Row],[detatched_value]]*Lookups!$B$19</f>
        <v>0</v>
      </c>
      <c r="BR670" s="6">
        <f>SUM(Grandview_Inventory[[#This Row],[Intercept]:[det_value]])*Grandview_Inventory[[#This Row],[res_pct]]</f>
        <v>367557.69489000004</v>
      </c>
      <c r="BS670" s="6">
        <f>Grandview_Inventory[[#This Row],[land_value]]</f>
        <v>46638.847281240982</v>
      </c>
      <c r="BT670" s="4">
        <f>_xlfn.IFNA(VLOOKUP(Grandview_Inventory[[#This Row],[quality]],Lookups!$A$26:$C$33,3,FALSE),1)</f>
        <v>0.94295468617355149</v>
      </c>
      <c r="BU670" s="4">
        <f>_xlfn.IFNA(VLOOKUP(Grandview_Inventory[[#This Row],[condition]],Lookups!$A$37:$C$44,3,FALSE),1)</f>
        <v>0.96661476234146892</v>
      </c>
      <c r="BV670" s="4">
        <f>IF(Grandview_Inventory[[#This Row],[bldg_style]]="",1,_xlfn.IFNA(VLOOKUP(Grandview_Inventory[[#This Row],[decade]],Lookups!$F$29:$H$43,3,FALSE),1))</f>
        <v>0.96737494181490646</v>
      </c>
      <c r="BW670" s="4">
        <f>_xlfn.IFNA(VLOOKUP(Grandview_Inventory[[#This Row],[living_area_range]],Lookups!$F$47:$H$56,3,FALSE),1)</f>
        <v>0.96120133463014379</v>
      </c>
      <c r="BX670" s="4">
        <f>AVERAGE(Grandview_Inventory[[#This Row],[qual_adj]:[size_adj]])</f>
        <v>0.95953643124001764</v>
      </c>
      <c r="BY670" s="6">
        <f>IF(Grandview_Inventory[[#This Row],[pre_res]]&lt;0,0,Grandview_Inventory[[#This Row],[pre_res]]*Grandview_Inventory[[#This Row],[overall_adj]])</f>
        <v>352684.99882955791</v>
      </c>
      <c r="BZ670" s="6">
        <f>(Grandview_Inventory[[#This Row],[sum_land]]-IF(Grandview_Inventory[[#This Row],[no_utilities]]=1,12000,0))/IF(Grandview_Inventory[[#This Row],[unbuildable]]=1,2,1)</f>
        <v>46638.847281240982</v>
      </c>
      <c r="CA67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70">
        <f>ROUND(Grandview_Inventory[[#This Row],[det_value]]*Lookups!$M$28,-2)</f>
        <v>0</v>
      </c>
      <c r="CC670">
        <f>IF(ROUND(Grandview_Inventory[[#This Row],[adj_res]]*Lookups!$M$28,-2)&lt;Grandview_Inventory[[#This Row],[min_res]],Grandview_Inventory[[#This Row],[min_res]],ROUND(Grandview_Inventory[[#This Row],[adj_res]]*Lookups!$M$28,-2))</f>
        <v>335100</v>
      </c>
      <c r="CD670">
        <f>Grandview_Inventory[[#This Row],[final_det]]+Grandview_Inventory[[#This Row],[final_res]]</f>
        <v>335100</v>
      </c>
      <c r="CE670">
        <f>Grandview_Inventory[[#This Row],[final_land]]+Grandview_Inventory[[#This Row],[final_imp]]+Grandview_Inventory[[#This Row],[crop_value]]</f>
        <v>379400</v>
      </c>
      <c r="CG670" t="str">
        <f t="shared" si="10"/>
        <v>update valuation set market_land =44300, market_bldg=335100, market_total =379400, market_mdno =401, market_date ='9/10/2023' where link_id = (select link_id from parcel where parcel_year = '2024' and parcel_id = '23092224522');</v>
      </c>
    </row>
    <row r="671" spans="1:85" x14ac:dyDescent="0.25">
      <c r="A671">
        <v>23092224523</v>
      </c>
      <c r="B671">
        <v>0.18</v>
      </c>
      <c r="C671">
        <v>7876</v>
      </c>
      <c r="D671" t="s">
        <v>129</v>
      </c>
      <c r="E671" t="s">
        <v>53</v>
      </c>
      <c r="F671" t="s">
        <v>53</v>
      </c>
      <c r="G671">
        <v>4</v>
      </c>
      <c r="H671" t="s">
        <v>54</v>
      </c>
      <c r="I671">
        <v>256500</v>
      </c>
      <c r="J671">
        <v>43100</v>
      </c>
      <c r="K671">
        <v>0.18</v>
      </c>
      <c r="L67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671">
        <v>0</v>
      </c>
      <c r="N671">
        <v>0</v>
      </c>
      <c r="O671">
        <v>0</v>
      </c>
      <c r="P671">
        <v>13398.7528</v>
      </c>
      <c r="Q671">
        <v>63903</v>
      </c>
      <c r="R671">
        <f>(Grandview_Inventory[[#This Row],[ln_acres]]*Grandview_Inventory[[#This Row],[coeff]])+Grandview_Inventory[[#This Row],[const]]</f>
        <v>40926.839760167699</v>
      </c>
      <c r="S671" t="s">
        <v>58</v>
      </c>
      <c r="T671">
        <v>1</v>
      </c>
      <c r="U671" t="s">
        <v>62</v>
      </c>
      <c r="V671" t="s">
        <v>66</v>
      </c>
      <c r="W671">
        <v>0</v>
      </c>
      <c r="X671">
        <v>0</v>
      </c>
      <c r="Y671">
        <v>18</v>
      </c>
      <c r="Z671">
        <v>18</v>
      </c>
      <c r="AA671">
        <v>20</v>
      </c>
      <c r="AB671">
        <v>2000</v>
      </c>
      <c r="AC671">
        <v>1896</v>
      </c>
      <c r="AD671">
        <v>1560</v>
      </c>
      <c r="AE671">
        <v>0</v>
      </c>
      <c r="AF671">
        <v>336</v>
      </c>
      <c r="AG671">
        <v>0</v>
      </c>
      <c r="AH671">
        <v>0</v>
      </c>
      <c r="AI671">
        <v>567</v>
      </c>
      <c r="AJ671">
        <v>0</v>
      </c>
      <c r="AK671">
        <v>0</v>
      </c>
      <c r="AL671">
        <v>0</v>
      </c>
      <c r="AM671">
        <v>0</v>
      </c>
      <c r="AN671">
        <v>189</v>
      </c>
      <c r="AO671">
        <v>0</v>
      </c>
      <c r="AP671">
        <v>9</v>
      </c>
      <c r="AQ671">
        <v>0</v>
      </c>
      <c r="AR671">
        <v>0</v>
      </c>
      <c r="AS671" t="s">
        <v>58</v>
      </c>
      <c r="AT671">
        <v>1</v>
      </c>
      <c r="AU671" t="s">
        <v>59</v>
      </c>
      <c r="AV671" t="s">
        <v>60</v>
      </c>
      <c r="AW671">
        <v>1</v>
      </c>
      <c r="AX671">
        <v>3</v>
      </c>
      <c r="AY671">
        <v>0</v>
      </c>
      <c r="AZ671">
        <v>0</v>
      </c>
      <c r="BA671">
        <v>100</v>
      </c>
      <c r="BB671">
        <v>100</v>
      </c>
      <c r="BC671">
        <v>100</v>
      </c>
      <c r="BD671">
        <v>100</v>
      </c>
      <c r="BE671">
        <v>1</v>
      </c>
      <c r="BF671">
        <v>15000</v>
      </c>
      <c r="BG671">
        <v>1000</v>
      </c>
      <c r="BH671" s="6">
        <f>Grandview_Inventory[[#This Row],[land_extract]]*Lookups!$B$3</f>
        <v>47528.228511015397</v>
      </c>
      <c r="BI671" s="6">
        <f>IF(Grandview_Inventory[[#This Row],[bldg_style]]="",0,Lookups!$B$2)</f>
        <v>155833.95000000001</v>
      </c>
      <c r="BJ671" s="6">
        <f>_xlfn.IFNA(VLOOKUP(Grandview_Inventory[[#This Row],[quality]],Lookups!$H$2:$J$14,3,FALSE),0)</f>
        <v>9808</v>
      </c>
      <c r="BK671" s="6">
        <f>_xlfn.IFNA(VLOOKUP(Grandview_Inventory[[#This Row],[condition]],Lookups!$H$17:$J$24,3,FALSE),0)</f>
        <v>25818</v>
      </c>
      <c r="BL671" s="6">
        <f>Grandview_Inventory[[#This Row],[Eff_Age]]*Lookups!$B$14</f>
        <v>-4304.9987999999994</v>
      </c>
      <c r="BM671" s="6">
        <f>Grandview_Inventory[[#This Row],[living_area]]*Lookups!$B$15</f>
        <v>118274.097288</v>
      </c>
      <c r="BN671" s="6">
        <f>Grandview_Inventory[[#This Row],[Fin BSMT]]*Lookups!$B$16</f>
        <v>0</v>
      </c>
      <c r="BO671" s="6">
        <f>(Grandview_Inventory[[#This Row],[att_gar]]+Grandview_Inventory[[#This Row],[bltin_gar]])*Lookups!$B$17</f>
        <v>49624.087779000001</v>
      </c>
      <c r="BP671" s="6">
        <f>Grandview_Inventory[[#This Row],[Plumbing Fixtures]]*Lookups!$B$18</f>
        <v>18093.976200000001</v>
      </c>
      <c r="BQ671" s="6">
        <f>Grandview_Inventory[[#This Row],[detatched_value]]*Lookups!$B$19</f>
        <v>0</v>
      </c>
      <c r="BR671" s="6">
        <f>SUM(Grandview_Inventory[[#This Row],[Intercept]:[det_value]])*Grandview_Inventory[[#This Row],[res_pct]]</f>
        <v>373147.11246699997</v>
      </c>
      <c r="BS671" s="6">
        <f>Grandview_Inventory[[#This Row],[land_value]]</f>
        <v>47528.228511015397</v>
      </c>
      <c r="BT671" s="4">
        <f>_xlfn.IFNA(VLOOKUP(Grandview_Inventory[[#This Row],[quality]],Lookups!$A$26:$C$33,3,FALSE),1)</f>
        <v>0.94295468617355149</v>
      </c>
      <c r="BU671" s="4">
        <f>_xlfn.IFNA(VLOOKUP(Grandview_Inventory[[#This Row],[condition]],Lookups!$A$37:$C$44,3,FALSE),1)</f>
        <v>0.96661476234146892</v>
      </c>
      <c r="BV671" s="4">
        <f>IF(Grandview_Inventory[[#This Row],[bldg_style]]="",1,_xlfn.IFNA(VLOOKUP(Grandview_Inventory[[#This Row],[decade]],Lookups!$F$29:$H$43,3,FALSE),1))</f>
        <v>0.96737494181490646</v>
      </c>
      <c r="BW671" s="4">
        <f>_xlfn.IFNA(VLOOKUP(Grandview_Inventory[[#This Row],[living_area_range]],Lookups!$F$47:$H$56,3,FALSE),1)</f>
        <v>0.96120133463014379</v>
      </c>
      <c r="BX671" s="4">
        <f>AVERAGE(Grandview_Inventory[[#This Row],[qual_adj]:[size_adj]])</f>
        <v>0.95953643124001764</v>
      </c>
      <c r="BY671" s="6">
        <f>IF(Grandview_Inventory[[#This Row],[pre_res]]&lt;0,0,Grandview_Inventory[[#This Row],[pre_res]]*Grandview_Inventory[[#This Row],[overall_adj]])</f>
        <v>358048.24862410262</v>
      </c>
      <c r="BZ671" s="6">
        <f>(Grandview_Inventory[[#This Row],[sum_land]]-IF(Grandview_Inventory[[#This Row],[no_utilities]]=1,12000,0))/IF(Grandview_Inventory[[#This Row],[unbuildable]]=1,2,1)</f>
        <v>47528.228511015397</v>
      </c>
      <c r="CA67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671">
        <f>ROUND(Grandview_Inventory[[#This Row],[det_value]]*Lookups!$M$28,-2)</f>
        <v>0</v>
      </c>
      <c r="CC671">
        <f>IF(ROUND(Grandview_Inventory[[#This Row],[adj_res]]*Lookups!$M$28,-2)&lt;Grandview_Inventory[[#This Row],[min_res]],Grandview_Inventory[[#This Row],[min_res]],ROUND(Grandview_Inventory[[#This Row],[adj_res]]*Lookups!$M$28,-2))</f>
        <v>340100</v>
      </c>
      <c r="CD671">
        <f>Grandview_Inventory[[#This Row],[final_det]]+Grandview_Inventory[[#This Row],[final_res]]</f>
        <v>340100</v>
      </c>
      <c r="CE671">
        <f>Grandview_Inventory[[#This Row],[final_land]]+Grandview_Inventory[[#This Row],[final_imp]]+Grandview_Inventory[[#This Row],[crop_value]]</f>
        <v>385300</v>
      </c>
      <c r="CG671" t="str">
        <f t="shared" si="10"/>
        <v>update valuation set market_land =45200, market_bldg=340100, market_total =385300, market_mdno =401, market_date ='9/10/2023' where link_id = (select link_id from parcel where parcel_year = '2024' and parcel_id = '23092224523');</v>
      </c>
    </row>
    <row r="672" spans="1:85" x14ac:dyDescent="0.25">
      <c r="A672">
        <v>23092224524</v>
      </c>
      <c r="B672">
        <v>0.18</v>
      </c>
      <c r="C672">
        <v>7838</v>
      </c>
      <c r="D672" t="s">
        <v>129</v>
      </c>
      <c r="E672" t="s">
        <v>53</v>
      </c>
      <c r="F672" t="s">
        <v>53</v>
      </c>
      <c r="G672">
        <v>4</v>
      </c>
      <c r="H672" t="s">
        <v>54</v>
      </c>
      <c r="I672">
        <v>282500</v>
      </c>
      <c r="J672">
        <v>43100</v>
      </c>
      <c r="K672">
        <v>0.18</v>
      </c>
      <c r="L67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672">
        <v>0</v>
      </c>
      <c r="N672">
        <v>0</v>
      </c>
      <c r="O672">
        <v>0</v>
      </c>
      <c r="P672">
        <v>13398.7528</v>
      </c>
      <c r="Q672">
        <v>63903</v>
      </c>
      <c r="R672">
        <f>(Grandview_Inventory[[#This Row],[ln_acres]]*Grandview_Inventory[[#This Row],[coeff]])+Grandview_Inventory[[#This Row],[const]]</f>
        <v>40926.839760167699</v>
      </c>
      <c r="S672" t="s">
        <v>58</v>
      </c>
      <c r="T672">
        <v>1</v>
      </c>
      <c r="U672" t="s">
        <v>62</v>
      </c>
      <c r="V672" t="s">
        <v>57</v>
      </c>
      <c r="W672">
        <v>0</v>
      </c>
      <c r="X672">
        <v>0</v>
      </c>
      <c r="Y672">
        <v>12</v>
      </c>
      <c r="Z672">
        <v>12</v>
      </c>
      <c r="AA672">
        <v>20</v>
      </c>
      <c r="AB672">
        <v>2500</v>
      </c>
      <c r="AC672">
        <v>2116</v>
      </c>
      <c r="AD672">
        <v>1748</v>
      </c>
      <c r="AE672">
        <v>0</v>
      </c>
      <c r="AF672">
        <v>368</v>
      </c>
      <c r="AG672">
        <v>0</v>
      </c>
      <c r="AH672">
        <v>0</v>
      </c>
      <c r="AI672">
        <v>598</v>
      </c>
      <c r="AJ672">
        <v>0</v>
      </c>
      <c r="AK672">
        <v>0</v>
      </c>
      <c r="AL672">
        <v>0</v>
      </c>
      <c r="AM672">
        <v>0</v>
      </c>
      <c r="AN672">
        <v>204</v>
      </c>
      <c r="AO672">
        <v>0</v>
      </c>
      <c r="AP672">
        <v>10</v>
      </c>
      <c r="AQ672">
        <v>0</v>
      </c>
      <c r="AR672">
        <v>0</v>
      </c>
      <c r="AS672" t="s">
        <v>58</v>
      </c>
      <c r="AT672">
        <v>1</v>
      </c>
      <c r="AU672" t="s">
        <v>63</v>
      </c>
      <c r="AV672" t="s">
        <v>64</v>
      </c>
      <c r="AW672">
        <v>1</v>
      </c>
      <c r="AX672">
        <v>2</v>
      </c>
      <c r="AY672">
        <v>0</v>
      </c>
      <c r="AZ672">
        <v>0</v>
      </c>
      <c r="BA672">
        <v>100</v>
      </c>
      <c r="BB672">
        <v>100</v>
      </c>
      <c r="BC672">
        <v>100</v>
      </c>
      <c r="BD672">
        <v>100</v>
      </c>
      <c r="BE672">
        <v>1</v>
      </c>
      <c r="BF672">
        <v>15000</v>
      </c>
      <c r="BG672">
        <v>1000</v>
      </c>
      <c r="BH672" s="6">
        <f>Grandview_Inventory[[#This Row],[land_extract]]*Lookups!$B$3</f>
        <v>47528.228511015397</v>
      </c>
      <c r="BI672" s="6">
        <f>IF(Grandview_Inventory[[#This Row],[bldg_style]]="",0,Lookups!$B$2)</f>
        <v>155833.95000000001</v>
      </c>
      <c r="BJ672" s="6">
        <f>_xlfn.IFNA(VLOOKUP(Grandview_Inventory[[#This Row],[quality]],Lookups!$H$2:$J$14,3,FALSE),0)</f>
        <v>9808</v>
      </c>
      <c r="BK672" s="6">
        <f>_xlfn.IFNA(VLOOKUP(Grandview_Inventory[[#This Row],[condition]],Lookups!$H$17:$J$24,3,FALSE),0)</f>
        <v>25780</v>
      </c>
      <c r="BL672" s="6">
        <f>Grandview_Inventory[[#This Row],[Eff_Age]]*Lookups!$B$14</f>
        <v>-2869.9991999999997</v>
      </c>
      <c r="BM672" s="6">
        <f>Grandview_Inventory[[#This Row],[living_area]]*Lookups!$B$15</f>
        <v>131997.88494799999</v>
      </c>
      <c r="BN672" s="6">
        <f>Grandview_Inventory[[#This Row],[Fin BSMT]]*Lookups!$B$16</f>
        <v>0</v>
      </c>
      <c r="BO672" s="6">
        <f>(Grandview_Inventory[[#This Row],[att_gar]]+Grandview_Inventory[[#This Row],[bltin_gar]])*Lookups!$B$17</f>
        <v>52337.221325999999</v>
      </c>
      <c r="BP672" s="6">
        <f>Grandview_Inventory[[#This Row],[Plumbing Fixtures]]*Lookups!$B$18</f>
        <v>20104.418000000001</v>
      </c>
      <c r="BQ672" s="6">
        <f>Grandview_Inventory[[#This Row],[detatched_value]]*Lookups!$B$19</f>
        <v>0</v>
      </c>
      <c r="BR672" s="6">
        <f>SUM(Grandview_Inventory[[#This Row],[Intercept]:[det_value]])*Grandview_Inventory[[#This Row],[res_pct]]</f>
        <v>392991.47507400002</v>
      </c>
      <c r="BS672" s="6">
        <f>Grandview_Inventory[[#This Row],[land_value]]</f>
        <v>47528.228511015397</v>
      </c>
      <c r="BT672" s="4">
        <f>_xlfn.IFNA(VLOOKUP(Grandview_Inventory[[#This Row],[quality]],Lookups!$A$26:$C$33,3,FALSE),1)</f>
        <v>0.94295468617355149</v>
      </c>
      <c r="BU672" s="4">
        <f>_xlfn.IFNA(VLOOKUP(Grandview_Inventory[[#This Row],[condition]],Lookups!$A$37:$C$44,3,FALSE),1)</f>
        <v>0.94347925387812148</v>
      </c>
      <c r="BV672" s="4">
        <f>IF(Grandview_Inventory[[#This Row],[bldg_style]]="",1,_xlfn.IFNA(VLOOKUP(Grandview_Inventory[[#This Row],[decade]],Lookups!$F$29:$H$43,3,FALSE),1))</f>
        <v>0.96737494181490646</v>
      </c>
      <c r="BW672" s="4">
        <f>_xlfn.IFNA(VLOOKUP(Grandview_Inventory[[#This Row],[living_area_range]],Lookups!$F$47:$H$56,3,FALSE),1)</f>
        <v>0.95799442568048754</v>
      </c>
      <c r="BX672" s="4">
        <f>AVERAGE(Grandview_Inventory[[#This Row],[qual_adj]:[size_adj]])</f>
        <v>0.9529508268867668</v>
      </c>
      <c r="BY672" s="6">
        <f>IF(Grandview_Inventory[[#This Row],[pre_res]]&lt;0,0,Grandview_Inventory[[#This Row],[pre_res]]*Grandview_Inventory[[#This Row],[overall_adj]])</f>
        <v>374501.5511312185</v>
      </c>
      <c r="BZ672" s="6">
        <f>(Grandview_Inventory[[#This Row],[sum_land]]-IF(Grandview_Inventory[[#This Row],[no_utilities]]=1,12000,0))/IF(Grandview_Inventory[[#This Row],[unbuildable]]=1,2,1)</f>
        <v>47528.228511015397</v>
      </c>
      <c r="CA67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672">
        <f>ROUND(Grandview_Inventory[[#This Row],[det_value]]*Lookups!$M$28,-2)</f>
        <v>0</v>
      </c>
      <c r="CC672">
        <f>IF(ROUND(Grandview_Inventory[[#This Row],[adj_res]]*Lookups!$M$28,-2)&lt;Grandview_Inventory[[#This Row],[min_res]],Grandview_Inventory[[#This Row],[min_res]],ROUND(Grandview_Inventory[[#This Row],[adj_res]]*Lookups!$M$28,-2))</f>
        <v>355800</v>
      </c>
      <c r="CD672">
        <f>Grandview_Inventory[[#This Row],[final_det]]+Grandview_Inventory[[#This Row],[final_res]]</f>
        <v>355800</v>
      </c>
      <c r="CE672">
        <f>Grandview_Inventory[[#This Row],[final_land]]+Grandview_Inventory[[#This Row],[final_imp]]+Grandview_Inventory[[#This Row],[crop_value]]</f>
        <v>401000</v>
      </c>
      <c r="CG672" t="str">
        <f t="shared" si="10"/>
        <v>update valuation set market_land =45200, market_bldg=355800, market_total =401000, market_mdno =401, market_date ='9/10/2023' where link_id = (select link_id from parcel where parcel_year = '2024' and parcel_id = '23092224524');</v>
      </c>
    </row>
    <row r="673" spans="1:85" x14ac:dyDescent="0.25">
      <c r="A673">
        <v>23092224525</v>
      </c>
      <c r="B673">
        <v>0.19</v>
      </c>
      <c r="C673">
        <v>8162</v>
      </c>
      <c r="D673" t="s">
        <v>129</v>
      </c>
      <c r="E673" t="s">
        <v>53</v>
      </c>
      <c r="F673" t="s">
        <v>53</v>
      </c>
      <c r="G673">
        <v>4</v>
      </c>
      <c r="H673" t="s">
        <v>54</v>
      </c>
      <c r="I673">
        <v>266800</v>
      </c>
      <c r="J673">
        <v>39100</v>
      </c>
      <c r="K673">
        <v>0.19</v>
      </c>
      <c r="L67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73">
        <v>0</v>
      </c>
      <c r="N673">
        <v>0</v>
      </c>
      <c r="O673">
        <v>0</v>
      </c>
      <c r="P673">
        <v>13398.7528</v>
      </c>
      <c r="Q673">
        <v>63903</v>
      </c>
      <c r="R673">
        <f>(Grandview_Inventory[[#This Row],[ln_acres]]*Grandview_Inventory[[#This Row],[coeff]])+Grandview_Inventory[[#This Row],[const]]</f>
        <v>41651.273092551026</v>
      </c>
      <c r="S673" t="s">
        <v>58</v>
      </c>
      <c r="T673">
        <v>1</v>
      </c>
      <c r="U673" t="s">
        <v>62</v>
      </c>
      <c r="V673" t="s">
        <v>67</v>
      </c>
      <c r="W673">
        <v>0</v>
      </c>
      <c r="X673">
        <v>0</v>
      </c>
      <c r="Y673">
        <v>17</v>
      </c>
      <c r="Z673">
        <v>17</v>
      </c>
      <c r="AA673">
        <v>20</v>
      </c>
      <c r="AB673">
        <v>2500</v>
      </c>
      <c r="AC673">
        <v>2111</v>
      </c>
      <c r="AD673">
        <v>1873</v>
      </c>
      <c r="AE673">
        <v>0</v>
      </c>
      <c r="AF673">
        <v>238</v>
      </c>
      <c r="AG673">
        <v>0</v>
      </c>
      <c r="AH673">
        <v>0</v>
      </c>
      <c r="AI673">
        <v>534</v>
      </c>
      <c r="AJ673">
        <v>0</v>
      </c>
      <c r="AK673">
        <v>0</v>
      </c>
      <c r="AL673">
        <v>0</v>
      </c>
      <c r="AM673">
        <v>0</v>
      </c>
      <c r="AN673">
        <v>102</v>
      </c>
      <c r="AO673">
        <v>0</v>
      </c>
      <c r="AP673">
        <v>9</v>
      </c>
      <c r="AQ673">
        <v>0</v>
      </c>
      <c r="AR673">
        <v>0</v>
      </c>
      <c r="AS673" t="s">
        <v>58</v>
      </c>
      <c r="AT673">
        <v>1</v>
      </c>
      <c r="AU673" t="s">
        <v>63</v>
      </c>
      <c r="AV673" t="s">
        <v>64</v>
      </c>
      <c r="AW673">
        <v>1</v>
      </c>
      <c r="AX673">
        <v>3</v>
      </c>
      <c r="AY673">
        <v>0</v>
      </c>
      <c r="AZ673">
        <v>0</v>
      </c>
      <c r="BA673">
        <v>100</v>
      </c>
      <c r="BB673">
        <v>100</v>
      </c>
      <c r="BC673">
        <v>100</v>
      </c>
      <c r="BD673">
        <v>100</v>
      </c>
      <c r="BE673">
        <v>1</v>
      </c>
      <c r="BF673">
        <v>15000</v>
      </c>
      <c r="BG673">
        <v>1000</v>
      </c>
      <c r="BH673" s="6">
        <f>Grandview_Inventory[[#This Row],[land_extract]]*Lookups!$B$3</f>
        <v>48369.510983942157</v>
      </c>
      <c r="BI673" s="6">
        <f>IF(Grandview_Inventory[[#This Row],[bldg_style]]="",0,Lookups!$B$2)</f>
        <v>155833.95000000001</v>
      </c>
      <c r="BJ673" s="6">
        <f>_xlfn.IFNA(VLOOKUP(Grandview_Inventory[[#This Row],[quality]],Lookups!$H$2:$J$14,3,FALSE),0)</f>
        <v>9808</v>
      </c>
      <c r="BK673" s="6">
        <f>_xlfn.IFNA(VLOOKUP(Grandview_Inventory[[#This Row],[condition]],Lookups!$H$17:$J$24,3,FALSE),0)</f>
        <v>22342</v>
      </c>
      <c r="BL673" s="6">
        <f>Grandview_Inventory[[#This Row],[Eff_Age]]*Lookups!$B$14</f>
        <v>-4065.8321999999998</v>
      </c>
      <c r="BM673" s="6">
        <f>Grandview_Inventory[[#This Row],[living_area]]*Lookups!$B$15</f>
        <v>131685.980683</v>
      </c>
      <c r="BN673" s="6">
        <f>Grandview_Inventory[[#This Row],[Fin BSMT]]*Lookups!$B$16</f>
        <v>0</v>
      </c>
      <c r="BO673" s="6">
        <f>(Grandview_Inventory[[#This Row],[att_gar]]+Grandview_Inventory[[#This Row],[bltin_gar]])*Lookups!$B$17</f>
        <v>46735.913357999998</v>
      </c>
      <c r="BP673" s="6">
        <f>Grandview_Inventory[[#This Row],[Plumbing Fixtures]]*Lookups!$B$18</f>
        <v>18093.976200000001</v>
      </c>
      <c r="BQ673" s="6">
        <f>Grandview_Inventory[[#This Row],[detatched_value]]*Lookups!$B$19</f>
        <v>0</v>
      </c>
      <c r="BR673" s="6">
        <f>SUM(Grandview_Inventory[[#This Row],[Intercept]:[det_value]])*Grandview_Inventory[[#This Row],[res_pct]]</f>
        <v>380433.98804099998</v>
      </c>
      <c r="BS673" s="6">
        <f>Grandview_Inventory[[#This Row],[land_value]]</f>
        <v>48369.510983942157</v>
      </c>
      <c r="BT673" s="4">
        <f>_xlfn.IFNA(VLOOKUP(Grandview_Inventory[[#This Row],[quality]],Lookups!$A$26:$C$33,3,FALSE),1)</f>
        <v>0.94295468617355149</v>
      </c>
      <c r="BU673" s="4">
        <f>_xlfn.IFNA(VLOOKUP(Grandview_Inventory[[#This Row],[condition]],Lookups!$A$37:$C$44,3,FALSE),1)</f>
        <v>0.97383723671140243</v>
      </c>
      <c r="BV673" s="4">
        <f>IF(Grandview_Inventory[[#This Row],[bldg_style]]="",1,_xlfn.IFNA(VLOOKUP(Grandview_Inventory[[#This Row],[decade]],Lookups!$F$29:$H$43,3,FALSE),1))</f>
        <v>0.96737494181490646</v>
      </c>
      <c r="BW673" s="4">
        <f>_xlfn.IFNA(VLOOKUP(Grandview_Inventory[[#This Row],[living_area_range]],Lookups!$F$47:$H$56,3,FALSE),1)</f>
        <v>0.95799442568048754</v>
      </c>
      <c r="BX673" s="4">
        <f>AVERAGE(Grandview_Inventory[[#This Row],[qual_adj]:[size_adj]])</f>
        <v>0.96054032259508704</v>
      </c>
      <c r="BY673" s="6">
        <f>IF(Grandview_Inventory[[#This Row],[pre_res]]&lt;0,0,Grandview_Inventory[[#This Row],[pre_res]]*Grandview_Inventory[[#This Row],[overall_adj]])</f>
        <v>365422.18559903762</v>
      </c>
      <c r="BZ673" s="6">
        <f>(Grandview_Inventory[[#This Row],[sum_land]]-IF(Grandview_Inventory[[#This Row],[no_utilities]]=1,12000,0))/IF(Grandview_Inventory[[#This Row],[unbuildable]]=1,2,1)</f>
        <v>48369.510983942157</v>
      </c>
      <c r="CA67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73">
        <f>ROUND(Grandview_Inventory[[#This Row],[det_value]]*Lookups!$M$28,-2)</f>
        <v>0</v>
      </c>
      <c r="CC673">
        <f>IF(ROUND(Grandview_Inventory[[#This Row],[adj_res]]*Lookups!$M$28,-2)&lt;Grandview_Inventory[[#This Row],[min_res]],Grandview_Inventory[[#This Row],[min_res]],ROUND(Grandview_Inventory[[#This Row],[adj_res]]*Lookups!$M$28,-2))</f>
        <v>347200</v>
      </c>
      <c r="CD673">
        <f>Grandview_Inventory[[#This Row],[final_det]]+Grandview_Inventory[[#This Row],[final_res]]</f>
        <v>347200</v>
      </c>
      <c r="CE673">
        <f>Grandview_Inventory[[#This Row],[final_land]]+Grandview_Inventory[[#This Row],[final_imp]]+Grandview_Inventory[[#This Row],[crop_value]]</f>
        <v>393200</v>
      </c>
      <c r="CG673" t="str">
        <f t="shared" si="10"/>
        <v>update valuation set market_land =46000, market_bldg=347200, market_total =393200, market_mdno =401, market_date ='9/10/2023' where link_id = (select link_id from parcel where parcel_year = '2024' and parcel_id = '23092224525');</v>
      </c>
    </row>
    <row r="674" spans="1:85" x14ac:dyDescent="0.25">
      <c r="A674">
        <v>23092224526</v>
      </c>
      <c r="B674">
        <v>0.25</v>
      </c>
      <c r="C674">
        <v>10795</v>
      </c>
      <c r="D674" t="s">
        <v>129</v>
      </c>
      <c r="E674" t="s">
        <v>53</v>
      </c>
      <c r="F674" t="s">
        <v>53</v>
      </c>
      <c r="G674">
        <v>4</v>
      </c>
      <c r="H674" t="s">
        <v>54</v>
      </c>
      <c r="I674">
        <v>324900</v>
      </c>
      <c r="J674">
        <v>40000</v>
      </c>
      <c r="K674">
        <v>0.25</v>
      </c>
      <c r="L67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674">
        <v>0</v>
      </c>
      <c r="N674">
        <v>0</v>
      </c>
      <c r="O674">
        <v>0</v>
      </c>
      <c r="P674">
        <v>13398.7528</v>
      </c>
      <c r="Q674">
        <v>63903</v>
      </c>
      <c r="R674">
        <f>(Grandview_Inventory[[#This Row],[ln_acres]]*Grandview_Inventory[[#This Row],[coeff]])+Grandview_Inventory[[#This Row],[const]]</f>
        <v>45328.38454732066</v>
      </c>
      <c r="S674" t="s">
        <v>58</v>
      </c>
      <c r="T674">
        <v>2</v>
      </c>
      <c r="U674" t="s">
        <v>62</v>
      </c>
      <c r="V674" t="s">
        <v>66</v>
      </c>
      <c r="W674">
        <v>0</v>
      </c>
      <c r="X674">
        <v>0</v>
      </c>
      <c r="Y674">
        <v>10</v>
      </c>
      <c r="Z674">
        <v>10</v>
      </c>
      <c r="AA674">
        <v>10</v>
      </c>
      <c r="AB674">
        <v>3000</v>
      </c>
      <c r="AC674">
        <v>2568</v>
      </c>
      <c r="AD674">
        <v>1812</v>
      </c>
      <c r="AE674">
        <v>756</v>
      </c>
      <c r="AF674">
        <v>0</v>
      </c>
      <c r="AG674">
        <v>0</v>
      </c>
      <c r="AH674">
        <v>0</v>
      </c>
      <c r="AI674">
        <v>598</v>
      </c>
      <c r="AJ674">
        <v>0</v>
      </c>
      <c r="AK674">
        <v>0</v>
      </c>
      <c r="AL674">
        <v>0</v>
      </c>
      <c r="AM674">
        <v>0</v>
      </c>
      <c r="AN674">
        <v>290</v>
      </c>
      <c r="AO674">
        <v>0</v>
      </c>
      <c r="AP674">
        <v>10</v>
      </c>
      <c r="AQ674">
        <v>0</v>
      </c>
      <c r="AR674">
        <v>0</v>
      </c>
      <c r="AS674" t="s">
        <v>58</v>
      </c>
      <c r="AT674">
        <v>1</v>
      </c>
      <c r="AU674" t="s">
        <v>59</v>
      </c>
      <c r="AV674" t="s">
        <v>60</v>
      </c>
      <c r="AW674">
        <v>1</v>
      </c>
      <c r="AX674">
        <v>3</v>
      </c>
      <c r="AY674">
        <v>0</v>
      </c>
      <c r="AZ674">
        <v>0</v>
      </c>
      <c r="BA674">
        <v>100</v>
      </c>
      <c r="BB674">
        <v>100</v>
      </c>
      <c r="BC674">
        <v>100</v>
      </c>
      <c r="BD674">
        <v>100</v>
      </c>
      <c r="BE674">
        <v>1</v>
      </c>
      <c r="BF674">
        <v>15000</v>
      </c>
      <c r="BG674">
        <v>1000</v>
      </c>
      <c r="BH674" s="6">
        <f>Grandview_Inventory[[#This Row],[land_extract]]*Lookups!$B$3</f>
        <v>52639.730588165206</v>
      </c>
      <c r="BI674" s="6">
        <f>IF(Grandview_Inventory[[#This Row],[bldg_style]]="",0,Lookups!$B$2)</f>
        <v>155833.95000000001</v>
      </c>
      <c r="BJ674" s="6">
        <f>_xlfn.IFNA(VLOOKUP(Grandview_Inventory[[#This Row],[quality]],Lookups!$H$2:$J$14,3,FALSE),0)</f>
        <v>9808</v>
      </c>
      <c r="BK674" s="6">
        <f>_xlfn.IFNA(VLOOKUP(Grandview_Inventory[[#This Row],[condition]],Lookups!$H$17:$J$24,3,FALSE),0)</f>
        <v>25818</v>
      </c>
      <c r="BL674" s="6">
        <f>Grandview_Inventory[[#This Row],[Eff_Age]]*Lookups!$B$14</f>
        <v>-2391.6659999999997</v>
      </c>
      <c r="BM674" s="6">
        <f>Grandview_Inventory[[#This Row],[living_area]]*Lookups!$B$15</f>
        <v>160194.03050399999</v>
      </c>
      <c r="BN674" s="6">
        <f>Grandview_Inventory[[#This Row],[Fin BSMT]]*Lookups!$B$16</f>
        <v>0</v>
      </c>
      <c r="BO674" s="6">
        <f>(Grandview_Inventory[[#This Row],[att_gar]]+Grandview_Inventory[[#This Row],[bltin_gar]])*Lookups!$B$17</f>
        <v>52337.221325999999</v>
      </c>
      <c r="BP674" s="6">
        <f>Grandview_Inventory[[#This Row],[Plumbing Fixtures]]*Lookups!$B$18</f>
        <v>20104.418000000001</v>
      </c>
      <c r="BQ674" s="6">
        <f>Grandview_Inventory[[#This Row],[detatched_value]]*Lookups!$B$19</f>
        <v>0</v>
      </c>
      <c r="BR674" s="6">
        <f>SUM(Grandview_Inventory[[#This Row],[Intercept]:[det_value]])*Grandview_Inventory[[#This Row],[res_pct]]</f>
        <v>421703.95383000001</v>
      </c>
      <c r="BS674" s="6">
        <f>Grandview_Inventory[[#This Row],[land_value]]</f>
        <v>52639.730588165206</v>
      </c>
      <c r="BT674" s="4">
        <f>_xlfn.IFNA(VLOOKUP(Grandview_Inventory[[#This Row],[quality]],Lookups!$A$26:$C$33,3,FALSE),1)</f>
        <v>0.94295468617355149</v>
      </c>
      <c r="BU674" s="4">
        <f>_xlfn.IFNA(VLOOKUP(Grandview_Inventory[[#This Row],[condition]],Lookups!$A$37:$C$44,3,FALSE),1)</f>
        <v>0.96661476234146892</v>
      </c>
      <c r="BV674" s="4">
        <f>IF(Grandview_Inventory[[#This Row],[bldg_style]]="",1,_xlfn.IFNA(VLOOKUP(Grandview_Inventory[[#This Row],[decade]],Lookups!$F$29:$H$43,3,FALSE),1))</f>
        <v>0.94601966599150278</v>
      </c>
      <c r="BW674" s="4">
        <f>_xlfn.IFNA(VLOOKUP(Grandview_Inventory[[#This Row],[living_area_range]],Lookups!$F$47:$H$56,3,FALSE),1)</f>
        <v>0.94224801443562123</v>
      </c>
      <c r="BX674" s="4">
        <f>AVERAGE(Grandview_Inventory[[#This Row],[qual_adj]:[size_adj]])</f>
        <v>0.94945928223553622</v>
      </c>
      <c r="BY674" s="6">
        <f>IF(Grandview_Inventory[[#This Row],[pre_res]]&lt;0,0,Grandview_Inventory[[#This Row],[pre_res]]*Grandview_Inventory[[#This Row],[overall_adj]])</f>
        <v>400390.73331931949</v>
      </c>
      <c r="BZ674" s="6">
        <f>(Grandview_Inventory[[#This Row],[sum_land]]-IF(Grandview_Inventory[[#This Row],[no_utilities]]=1,12000,0))/IF(Grandview_Inventory[[#This Row],[unbuildable]]=1,2,1)</f>
        <v>52639.730588165206</v>
      </c>
      <c r="CA67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674">
        <f>ROUND(Grandview_Inventory[[#This Row],[det_value]]*Lookups!$M$28,-2)</f>
        <v>0</v>
      </c>
      <c r="CC674">
        <f>IF(ROUND(Grandview_Inventory[[#This Row],[adj_res]]*Lookups!$M$28,-2)&lt;Grandview_Inventory[[#This Row],[min_res]],Grandview_Inventory[[#This Row],[min_res]],ROUND(Grandview_Inventory[[#This Row],[adj_res]]*Lookups!$M$28,-2))</f>
        <v>380400</v>
      </c>
      <c r="CD674">
        <f>Grandview_Inventory[[#This Row],[final_det]]+Grandview_Inventory[[#This Row],[final_res]]</f>
        <v>380400</v>
      </c>
      <c r="CE674">
        <f>Grandview_Inventory[[#This Row],[final_land]]+Grandview_Inventory[[#This Row],[final_imp]]+Grandview_Inventory[[#This Row],[crop_value]]</f>
        <v>430400</v>
      </c>
      <c r="CG674" t="str">
        <f t="shared" si="10"/>
        <v>update valuation set market_land =50000, market_bldg=380400, market_total =430400, market_mdno =401, market_date ='9/10/2023' where link_id = (select link_id from parcel where parcel_year = '2024' and parcel_id = '23092224526');</v>
      </c>
    </row>
    <row r="675" spans="1:85" x14ac:dyDescent="0.25">
      <c r="A675">
        <v>23092224527</v>
      </c>
      <c r="B675">
        <v>0.19</v>
      </c>
      <c r="C675">
        <v>8251</v>
      </c>
      <c r="D675" t="s">
        <v>129</v>
      </c>
      <c r="E675" t="s">
        <v>53</v>
      </c>
      <c r="F675" t="s">
        <v>53</v>
      </c>
      <c r="G675">
        <v>4</v>
      </c>
      <c r="H675" t="s">
        <v>54</v>
      </c>
      <c r="I675">
        <v>295800</v>
      </c>
      <c r="J675">
        <v>39100</v>
      </c>
      <c r="K675">
        <v>0.19</v>
      </c>
      <c r="L6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75">
        <v>0</v>
      </c>
      <c r="N675">
        <v>0</v>
      </c>
      <c r="O675">
        <v>0</v>
      </c>
      <c r="P675">
        <v>13398.7528</v>
      </c>
      <c r="Q675">
        <v>63903</v>
      </c>
      <c r="R675">
        <f>(Grandview_Inventory[[#This Row],[ln_acres]]*Grandview_Inventory[[#This Row],[coeff]])+Grandview_Inventory[[#This Row],[const]]</f>
        <v>41651.273092551026</v>
      </c>
      <c r="S675" t="s">
        <v>58</v>
      </c>
      <c r="T675">
        <v>1</v>
      </c>
      <c r="U675" t="s">
        <v>64</v>
      </c>
      <c r="V675" t="s">
        <v>57</v>
      </c>
      <c r="W675">
        <v>0</v>
      </c>
      <c r="X675">
        <v>0</v>
      </c>
      <c r="Y675">
        <v>5</v>
      </c>
      <c r="Z675">
        <v>5</v>
      </c>
      <c r="AA675">
        <v>10</v>
      </c>
      <c r="AB675">
        <v>2000</v>
      </c>
      <c r="AC675">
        <v>1688</v>
      </c>
      <c r="AD675">
        <v>1688</v>
      </c>
      <c r="AE675">
        <v>0</v>
      </c>
      <c r="AF675">
        <v>0</v>
      </c>
      <c r="AG675">
        <v>0</v>
      </c>
      <c r="AH675">
        <v>0</v>
      </c>
      <c r="AI675">
        <v>624</v>
      </c>
      <c r="AJ675">
        <v>0</v>
      </c>
      <c r="AK675">
        <v>0</v>
      </c>
      <c r="AL675">
        <v>0</v>
      </c>
      <c r="AM675">
        <v>0</v>
      </c>
      <c r="AN675">
        <v>16</v>
      </c>
      <c r="AO675">
        <v>0</v>
      </c>
      <c r="AP675">
        <v>9</v>
      </c>
      <c r="AQ675">
        <v>0</v>
      </c>
      <c r="AR675">
        <v>0</v>
      </c>
      <c r="AS675" t="s">
        <v>58</v>
      </c>
      <c r="AT675">
        <v>1</v>
      </c>
      <c r="AU675" t="s">
        <v>63</v>
      </c>
      <c r="AV675" t="s">
        <v>64</v>
      </c>
      <c r="AW675">
        <v>1</v>
      </c>
      <c r="AX675">
        <v>3</v>
      </c>
      <c r="AY675">
        <v>0</v>
      </c>
      <c r="AZ675">
        <v>0</v>
      </c>
      <c r="BA675">
        <v>100</v>
      </c>
      <c r="BB675">
        <v>100</v>
      </c>
      <c r="BC675">
        <v>100</v>
      </c>
      <c r="BD675">
        <v>100</v>
      </c>
      <c r="BE675">
        <v>1</v>
      </c>
      <c r="BF675">
        <v>15000</v>
      </c>
      <c r="BG675">
        <v>1000</v>
      </c>
      <c r="BH675" s="6">
        <f>Grandview_Inventory[[#This Row],[land_extract]]*Lookups!$B$3</f>
        <v>48369.510983942157</v>
      </c>
      <c r="BI675" s="6">
        <f>IF(Grandview_Inventory[[#This Row],[bldg_style]]="",0,Lookups!$B$2)</f>
        <v>155833.95000000001</v>
      </c>
      <c r="BJ675" s="6">
        <f>_xlfn.IFNA(VLOOKUP(Grandview_Inventory[[#This Row],[quality]],Lookups!$H$2:$J$14,3,FALSE),0)</f>
        <v>20768</v>
      </c>
      <c r="BK675" s="6">
        <f>_xlfn.IFNA(VLOOKUP(Grandview_Inventory[[#This Row],[condition]],Lookups!$H$17:$J$24,3,FALSE),0)</f>
        <v>25780</v>
      </c>
      <c r="BL675" s="6">
        <f>Grandview_Inventory[[#This Row],[Eff_Age]]*Lookups!$B$14</f>
        <v>-1195.8329999999999</v>
      </c>
      <c r="BM675" s="6">
        <f>Grandview_Inventory[[#This Row],[living_area]]*Lookups!$B$15</f>
        <v>105298.879864</v>
      </c>
      <c r="BN675" s="6">
        <f>Grandview_Inventory[[#This Row],[Fin BSMT]]*Lookups!$B$16</f>
        <v>0</v>
      </c>
      <c r="BO675" s="6">
        <f>(Grandview_Inventory[[#This Row],[att_gar]]+Grandview_Inventory[[#This Row],[bltin_gar]])*Lookups!$B$17</f>
        <v>54612.752688</v>
      </c>
      <c r="BP675" s="6">
        <f>Grandview_Inventory[[#This Row],[Plumbing Fixtures]]*Lookups!$B$18</f>
        <v>18093.976200000001</v>
      </c>
      <c r="BQ675" s="6">
        <f>Grandview_Inventory[[#This Row],[detatched_value]]*Lookups!$B$19</f>
        <v>0</v>
      </c>
      <c r="BR675" s="6">
        <f>SUM(Grandview_Inventory[[#This Row],[Intercept]:[det_value]])*Grandview_Inventory[[#This Row],[res_pct]]</f>
        <v>379191.72575199994</v>
      </c>
      <c r="BS675" s="6">
        <f>Grandview_Inventory[[#This Row],[land_value]]</f>
        <v>48369.510983942157</v>
      </c>
      <c r="BT675" s="4">
        <f>_xlfn.IFNA(VLOOKUP(Grandview_Inventory[[#This Row],[quality]],Lookups!$A$26:$C$33,3,FALSE),1)</f>
        <v>0.94960540378902636</v>
      </c>
      <c r="BU675" s="4">
        <f>_xlfn.IFNA(VLOOKUP(Grandview_Inventory[[#This Row],[condition]],Lookups!$A$37:$C$44,3,FALSE),1)</f>
        <v>0.94347925387812148</v>
      </c>
      <c r="BV675" s="4">
        <f>IF(Grandview_Inventory[[#This Row],[bldg_style]]="",1,_xlfn.IFNA(VLOOKUP(Grandview_Inventory[[#This Row],[decade]],Lookups!$F$29:$H$43,3,FALSE),1))</f>
        <v>0.94601966599150278</v>
      </c>
      <c r="BW675" s="4">
        <f>_xlfn.IFNA(VLOOKUP(Grandview_Inventory[[#This Row],[living_area_range]],Lookups!$F$47:$H$56,3,FALSE),1)</f>
        <v>0.96120133463014379</v>
      </c>
      <c r="BX675" s="4">
        <f>AVERAGE(Grandview_Inventory[[#This Row],[qual_adj]:[size_adj]])</f>
        <v>0.95007641457219871</v>
      </c>
      <c r="BY675" s="6">
        <f>IF(Grandview_Inventory[[#This Row],[pre_res]]&lt;0,0,Grandview_Inventory[[#This Row],[pre_res]]*Grandview_Inventory[[#This Row],[overall_adj]])</f>
        <v>360261.1152379046</v>
      </c>
      <c r="BZ675" s="6">
        <f>(Grandview_Inventory[[#This Row],[sum_land]]-IF(Grandview_Inventory[[#This Row],[no_utilities]]=1,12000,0))/IF(Grandview_Inventory[[#This Row],[unbuildable]]=1,2,1)</f>
        <v>48369.510983942157</v>
      </c>
      <c r="CA6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75">
        <f>ROUND(Grandview_Inventory[[#This Row],[det_value]]*Lookups!$M$28,-2)</f>
        <v>0</v>
      </c>
      <c r="CC675">
        <f>IF(ROUND(Grandview_Inventory[[#This Row],[adj_res]]*Lookups!$M$28,-2)&lt;Grandview_Inventory[[#This Row],[min_res]],Grandview_Inventory[[#This Row],[min_res]],ROUND(Grandview_Inventory[[#This Row],[adj_res]]*Lookups!$M$28,-2))</f>
        <v>342200</v>
      </c>
      <c r="CD675">
        <f>Grandview_Inventory[[#This Row],[final_det]]+Grandview_Inventory[[#This Row],[final_res]]</f>
        <v>342200</v>
      </c>
      <c r="CE675">
        <f>Grandview_Inventory[[#This Row],[final_land]]+Grandview_Inventory[[#This Row],[final_imp]]+Grandview_Inventory[[#This Row],[crop_value]]</f>
        <v>388200</v>
      </c>
      <c r="CG675" t="str">
        <f t="shared" si="10"/>
        <v>update valuation set market_land =46000, market_bldg=342200, market_total =388200, market_mdno =401, market_date ='9/10/2023' where link_id = (select link_id from parcel where parcel_year = '2024' and parcel_id = '23092224527');</v>
      </c>
    </row>
    <row r="676" spans="1:85" x14ac:dyDescent="0.25">
      <c r="A676">
        <v>23092224528</v>
      </c>
      <c r="B676">
        <v>0.24</v>
      </c>
      <c r="C676">
        <v>10659</v>
      </c>
      <c r="D676" t="s">
        <v>129</v>
      </c>
      <c r="E676" t="s">
        <v>53</v>
      </c>
      <c r="F676" t="s">
        <v>53</v>
      </c>
      <c r="G676">
        <v>4</v>
      </c>
      <c r="H676" t="s">
        <v>54</v>
      </c>
      <c r="I676">
        <v>284000</v>
      </c>
      <c r="J676">
        <v>44400</v>
      </c>
      <c r="K676">
        <v>0.24</v>
      </c>
      <c r="L676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676">
        <v>0</v>
      </c>
      <c r="N676">
        <v>0</v>
      </c>
      <c r="O676">
        <v>0</v>
      </c>
      <c r="P676">
        <v>13398.7528</v>
      </c>
      <c r="Q676">
        <v>63903</v>
      </c>
      <c r="R676">
        <f>(Grandview_Inventory[[#This Row],[ln_acres]]*Grandview_Inventory[[#This Row],[coeff]])+Grandview_Inventory[[#This Row],[const]]</f>
        <v>44781.420733940802</v>
      </c>
      <c r="S676" t="s">
        <v>58</v>
      </c>
      <c r="T676">
        <v>1</v>
      </c>
      <c r="U676" t="s">
        <v>62</v>
      </c>
      <c r="V676" t="s">
        <v>57</v>
      </c>
      <c r="W676">
        <v>0</v>
      </c>
      <c r="X676">
        <v>0</v>
      </c>
      <c r="Y676">
        <v>6</v>
      </c>
      <c r="Z676">
        <v>6</v>
      </c>
      <c r="AA676">
        <v>10</v>
      </c>
      <c r="AB676">
        <v>2500</v>
      </c>
      <c r="AC676">
        <v>2020</v>
      </c>
      <c r="AD676">
        <v>1744</v>
      </c>
      <c r="AE676">
        <v>0</v>
      </c>
      <c r="AF676">
        <v>276</v>
      </c>
      <c r="AG676">
        <v>0</v>
      </c>
      <c r="AH676">
        <v>0</v>
      </c>
      <c r="AI676">
        <v>598</v>
      </c>
      <c r="AJ676">
        <v>0</v>
      </c>
      <c r="AK676">
        <v>0</v>
      </c>
      <c r="AL676">
        <v>0</v>
      </c>
      <c r="AM676">
        <v>144</v>
      </c>
      <c r="AN676">
        <v>20</v>
      </c>
      <c r="AO676">
        <v>0</v>
      </c>
      <c r="AP676">
        <v>9</v>
      </c>
      <c r="AQ676">
        <v>0</v>
      </c>
      <c r="AR676">
        <v>0</v>
      </c>
      <c r="AS676" t="s">
        <v>58</v>
      </c>
      <c r="AT676">
        <v>1</v>
      </c>
      <c r="AU676" t="s">
        <v>63</v>
      </c>
      <c r="AV676" t="s">
        <v>64</v>
      </c>
      <c r="AW676">
        <v>1</v>
      </c>
      <c r="AX676">
        <v>3</v>
      </c>
      <c r="AY676">
        <v>0</v>
      </c>
      <c r="AZ676">
        <v>0</v>
      </c>
      <c r="BA676">
        <v>100</v>
      </c>
      <c r="BB676">
        <v>100</v>
      </c>
      <c r="BC676">
        <v>100</v>
      </c>
      <c r="BD676">
        <v>100</v>
      </c>
      <c r="BE676">
        <v>1</v>
      </c>
      <c r="BF676">
        <v>15000</v>
      </c>
      <c r="BG676">
        <v>1000</v>
      </c>
      <c r="BH676" s="6">
        <f>Grandview_Inventory[[#This Row],[land_extract]]*Lookups!$B$3</f>
        <v>52004.542988489469</v>
      </c>
      <c r="BI676" s="6">
        <f>IF(Grandview_Inventory[[#This Row],[bldg_style]]="",0,Lookups!$B$2)</f>
        <v>155833.95000000001</v>
      </c>
      <c r="BJ676" s="6">
        <f>_xlfn.IFNA(VLOOKUP(Grandview_Inventory[[#This Row],[quality]],Lookups!$H$2:$J$14,3,FALSE),0)</f>
        <v>9808</v>
      </c>
      <c r="BK676" s="6">
        <f>_xlfn.IFNA(VLOOKUP(Grandview_Inventory[[#This Row],[condition]],Lookups!$H$17:$J$24,3,FALSE),0)</f>
        <v>25780</v>
      </c>
      <c r="BL676" s="6">
        <f>Grandview_Inventory[[#This Row],[Eff_Age]]*Lookups!$B$14</f>
        <v>-1434.9995999999999</v>
      </c>
      <c r="BM676" s="6">
        <f>Grandview_Inventory[[#This Row],[living_area]]*Lookups!$B$15</f>
        <v>126009.32306000001</v>
      </c>
      <c r="BN676" s="6">
        <f>Grandview_Inventory[[#This Row],[Fin BSMT]]*Lookups!$B$16</f>
        <v>0</v>
      </c>
      <c r="BO676" s="6">
        <f>(Grandview_Inventory[[#This Row],[att_gar]]+Grandview_Inventory[[#This Row],[bltin_gar]])*Lookups!$B$17</f>
        <v>52337.221325999999</v>
      </c>
      <c r="BP676" s="6">
        <f>Grandview_Inventory[[#This Row],[Plumbing Fixtures]]*Lookups!$B$18</f>
        <v>18093.976200000001</v>
      </c>
      <c r="BQ676" s="6">
        <f>Grandview_Inventory[[#This Row],[detatched_value]]*Lookups!$B$19</f>
        <v>0</v>
      </c>
      <c r="BR676" s="6">
        <f>SUM(Grandview_Inventory[[#This Row],[Intercept]:[det_value]])*Grandview_Inventory[[#This Row],[res_pct]]</f>
        <v>386427.47098599997</v>
      </c>
      <c r="BS676" s="6">
        <f>Grandview_Inventory[[#This Row],[land_value]]</f>
        <v>52004.542988489469</v>
      </c>
      <c r="BT676" s="4">
        <f>_xlfn.IFNA(VLOOKUP(Grandview_Inventory[[#This Row],[quality]],Lookups!$A$26:$C$33,3,FALSE),1)</f>
        <v>0.94295468617355149</v>
      </c>
      <c r="BU676" s="4">
        <f>_xlfn.IFNA(VLOOKUP(Grandview_Inventory[[#This Row],[condition]],Lookups!$A$37:$C$44,3,FALSE),1)</f>
        <v>0.94347925387812148</v>
      </c>
      <c r="BV676" s="4">
        <f>IF(Grandview_Inventory[[#This Row],[bldg_style]]="",1,_xlfn.IFNA(VLOOKUP(Grandview_Inventory[[#This Row],[decade]],Lookups!$F$29:$H$43,3,FALSE),1))</f>
        <v>0.94601966599150278</v>
      </c>
      <c r="BW676" s="4">
        <f>_xlfn.IFNA(VLOOKUP(Grandview_Inventory[[#This Row],[living_area_range]],Lookups!$F$47:$H$56,3,FALSE),1)</f>
        <v>0.95799442568048754</v>
      </c>
      <c r="BX676" s="4">
        <f>AVERAGE(Grandview_Inventory[[#This Row],[qual_adj]:[size_adj]])</f>
        <v>0.94761200793091582</v>
      </c>
      <c r="BY676" s="6">
        <f>IF(Grandview_Inventory[[#This Row],[pre_res]]&lt;0,0,Grandview_Inventory[[#This Row],[pre_res]]*Grandview_Inventory[[#This Row],[overall_adj]])</f>
        <v>366183.31170070916</v>
      </c>
      <c r="BZ676" s="6">
        <f>(Grandview_Inventory[[#This Row],[sum_land]]-IF(Grandview_Inventory[[#This Row],[no_utilities]]=1,12000,0))/IF(Grandview_Inventory[[#This Row],[unbuildable]]=1,2,1)</f>
        <v>52004.542988489469</v>
      </c>
      <c r="CA676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676">
        <f>ROUND(Grandview_Inventory[[#This Row],[det_value]]*Lookups!$M$28,-2)</f>
        <v>0</v>
      </c>
      <c r="CC676">
        <f>IF(ROUND(Grandview_Inventory[[#This Row],[adj_res]]*Lookups!$M$28,-2)&lt;Grandview_Inventory[[#This Row],[min_res]],Grandview_Inventory[[#This Row],[min_res]],ROUND(Grandview_Inventory[[#This Row],[adj_res]]*Lookups!$M$28,-2))</f>
        <v>347900</v>
      </c>
      <c r="CD676">
        <f>Grandview_Inventory[[#This Row],[final_det]]+Grandview_Inventory[[#This Row],[final_res]]</f>
        <v>347900</v>
      </c>
      <c r="CE676">
        <f>Grandview_Inventory[[#This Row],[final_land]]+Grandview_Inventory[[#This Row],[final_imp]]+Grandview_Inventory[[#This Row],[crop_value]]</f>
        <v>397300</v>
      </c>
      <c r="CG676" t="str">
        <f t="shared" si="10"/>
        <v>update valuation set market_land =49400, market_bldg=347900, market_total =397300, market_mdno =401, market_date ='9/10/2023' where link_id = (select link_id from parcel where parcel_year = '2024' and parcel_id = '23092224528');</v>
      </c>
    </row>
    <row r="677" spans="1:85" x14ac:dyDescent="0.25">
      <c r="A677">
        <v>23092224529</v>
      </c>
      <c r="B677">
        <v>0.4</v>
      </c>
      <c r="C677">
        <v>17611</v>
      </c>
      <c r="D677" t="s">
        <v>129</v>
      </c>
      <c r="E677" t="s">
        <v>53</v>
      </c>
      <c r="F677" t="s">
        <v>53</v>
      </c>
      <c r="G677">
        <v>4</v>
      </c>
      <c r="H677" t="s">
        <v>54</v>
      </c>
      <c r="I677">
        <v>325000</v>
      </c>
      <c r="J677">
        <v>45600</v>
      </c>
      <c r="K677">
        <v>0.4</v>
      </c>
      <c r="L677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677">
        <v>0</v>
      </c>
      <c r="N677">
        <v>0</v>
      </c>
      <c r="O677">
        <v>0</v>
      </c>
      <c r="P677">
        <v>13398.7528</v>
      </c>
      <c r="Q677">
        <v>63903</v>
      </c>
      <c r="R677">
        <f>(Grandview_Inventory[[#This Row],[ln_acres]]*Grandview_Inventory[[#This Row],[coeff]])+Grandview_Inventory[[#This Row],[const]]</f>
        <v>51625.846990687118</v>
      </c>
      <c r="S677" t="s">
        <v>58</v>
      </c>
      <c r="T677">
        <v>1</v>
      </c>
      <c r="U677" t="s">
        <v>64</v>
      </c>
      <c r="V677" t="s">
        <v>57</v>
      </c>
      <c r="W677">
        <v>0</v>
      </c>
      <c r="X677">
        <v>0</v>
      </c>
      <c r="Y677">
        <v>15</v>
      </c>
      <c r="Z677">
        <v>15</v>
      </c>
      <c r="AA677">
        <v>20</v>
      </c>
      <c r="AB677">
        <v>2500</v>
      </c>
      <c r="AC677">
        <v>2042</v>
      </c>
      <c r="AD677">
        <v>2042</v>
      </c>
      <c r="AE677">
        <v>0</v>
      </c>
      <c r="AF677">
        <v>0</v>
      </c>
      <c r="AG677">
        <v>0</v>
      </c>
      <c r="AH677">
        <v>0</v>
      </c>
      <c r="AI677">
        <v>675</v>
      </c>
      <c r="AJ677">
        <v>0</v>
      </c>
      <c r="AK677">
        <v>0</v>
      </c>
      <c r="AL677">
        <v>0</v>
      </c>
      <c r="AM677">
        <v>0</v>
      </c>
      <c r="AN677">
        <v>188</v>
      </c>
      <c r="AO677">
        <v>0</v>
      </c>
      <c r="AP677">
        <v>12</v>
      </c>
      <c r="AQ677">
        <v>0</v>
      </c>
      <c r="AR677">
        <v>0</v>
      </c>
      <c r="AS677" t="s">
        <v>58</v>
      </c>
      <c r="AT677">
        <v>1</v>
      </c>
      <c r="AU677" t="s">
        <v>59</v>
      </c>
      <c r="AV677" t="s">
        <v>60</v>
      </c>
      <c r="AW677">
        <v>1</v>
      </c>
      <c r="AX677">
        <v>3</v>
      </c>
      <c r="AY677">
        <v>0</v>
      </c>
      <c r="AZ677">
        <v>0</v>
      </c>
      <c r="BA677">
        <v>100</v>
      </c>
      <c r="BB677">
        <v>100</v>
      </c>
      <c r="BC677">
        <v>100</v>
      </c>
      <c r="BD677">
        <v>100</v>
      </c>
      <c r="BE677">
        <v>1</v>
      </c>
      <c r="BF677">
        <v>15000</v>
      </c>
      <c r="BG677">
        <v>1000</v>
      </c>
      <c r="BH677" s="6">
        <f>Grandview_Inventory[[#This Row],[land_extract]]*Lookups!$B$3</f>
        <v>59952.95672049807</v>
      </c>
      <c r="BI677" s="6">
        <f>IF(Grandview_Inventory[[#This Row],[bldg_style]]="",0,Lookups!$B$2)</f>
        <v>155833.95000000001</v>
      </c>
      <c r="BJ677" s="6">
        <f>_xlfn.IFNA(VLOOKUP(Grandview_Inventory[[#This Row],[quality]],Lookups!$H$2:$J$14,3,FALSE),0)</f>
        <v>20768</v>
      </c>
      <c r="BK677" s="6">
        <f>_xlfn.IFNA(VLOOKUP(Grandview_Inventory[[#This Row],[condition]],Lookups!$H$17:$J$24,3,FALSE),0)</f>
        <v>25780</v>
      </c>
      <c r="BL677" s="6">
        <f>Grandview_Inventory[[#This Row],[Eff_Age]]*Lookups!$B$14</f>
        <v>-3587.4989999999998</v>
      </c>
      <c r="BM677" s="6">
        <f>Grandview_Inventory[[#This Row],[living_area]]*Lookups!$B$15</f>
        <v>127381.701826</v>
      </c>
      <c r="BN677" s="6">
        <f>Grandview_Inventory[[#This Row],[Fin BSMT]]*Lookups!$B$16</f>
        <v>0</v>
      </c>
      <c r="BO677" s="6">
        <f>(Grandview_Inventory[[#This Row],[att_gar]]+Grandview_Inventory[[#This Row],[bltin_gar]])*Lookups!$B$17</f>
        <v>59076.294975000004</v>
      </c>
      <c r="BP677" s="6">
        <f>Grandview_Inventory[[#This Row],[Plumbing Fixtures]]*Lookups!$B$18</f>
        <v>24125.301599999999</v>
      </c>
      <c r="BQ677" s="6">
        <f>Grandview_Inventory[[#This Row],[detatched_value]]*Lookups!$B$19</f>
        <v>0</v>
      </c>
      <c r="BR677" s="6">
        <f>SUM(Grandview_Inventory[[#This Row],[Intercept]:[det_value]])*Grandview_Inventory[[#This Row],[res_pct]]</f>
        <v>409377.74940100004</v>
      </c>
      <c r="BS677" s="6">
        <f>Grandview_Inventory[[#This Row],[land_value]]</f>
        <v>59952.95672049807</v>
      </c>
      <c r="BT677" s="4">
        <f>_xlfn.IFNA(VLOOKUP(Grandview_Inventory[[#This Row],[quality]],Lookups!$A$26:$C$33,3,FALSE),1)</f>
        <v>0.94960540378902636</v>
      </c>
      <c r="BU677" s="4">
        <f>_xlfn.IFNA(VLOOKUP(Grandview_Inventory[[#This Row],[condition]],Lookups!$A$37:$C$44,3,FALSE),1)</f>
        <v>0.94347925387812148</v>
      </c>
      <c r="BV677" s="4">
        <f>IF(Grandview_Inventory[[#This Row],[bldg_style]]="",1,_xlfn.IFNA(VLOOKUP(Grandview_Inventory[[#This Row],[decade]],Lookups!$F$29:$H$43,3,FALSE),1))</f>
        <v>0.96737494181490646</v>
      </c>
      <c r="BW677" s="4">
        <f>_xlfn.IFNA(VLOOKUP(Grandview_Inventory[[#This Row],[living_area_range]],Lookups!$F$47:$H$56,3,FALSE),1)</f>
        <v>0.95799442568048754</v>
      </c>
      <c r="BX677" s="4">
        <f>AVERAGE(Grandview_Inventory[[#This Row],[qual_adj]:[size_adj]])</f>
        <v>0.95461350629063546</v>
      </c>
      <c r="BY677" s="6">
        <f>IF(Grandview_Inventory[[#This Row],[pre_res]]&lt;0,0,Grandview_Inventory[[#This Row],[pre_res]]*Grandview_Inventory[[#This Row],[overall_adj]])</f>
        <v>390797.52875305776</v>
      </c>
      <c r="BZ677" s="6">
        <f>(Grandview_Inventory[[#This Row],[sum_land]]-IF(Grandview_Inventory[[#This Row],[no_utilities]]=1,12000,0))/IF(Grandview_Inventory[[#This Row],[unbuildable]]=1,2,1)</f>
        <v>59952.95672049807</v>
      </c>
      <c r="CA677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677">
        <f>ROUND(Grandview_Inventory[[#This Row],[det_value]]*Lookups!$M$28,-2)</f>
        <v>0</v>
      </c>
      <c r="CC677">
        <f>IF(ROUND(Grandview_Inventory[[#This Row],[adj_res]]*Lookups!$M$28,-2)&lt;Grandview_Inventory[[#This Row],[min_res]],Grandview_Inventory[[#This Row],[min_res]],ROUND(Grandview_Inventory[[#This Row],[adj_res]]*Lookups!$M$28,-2))</f>
        <v>371300</v>
      </c>
      <c r="CD677">
        <f>Grandview_Inventory[[#This Row],[final_det]]+Grandview_Inventory[[#This Row],[final_res]]</f>
        <v>371300</v>
      </c>
      <c r="CE677">
        <f>Grandview_Inventory[[#This Row],[final_land]]+Grandview_Inventory[[#This Row],[final_imp]]+Grandview_Inventory[[#This Row],[crop_value]]</f>
        <v>428300</v>
      </c>
      <c r="CG677" t="str">
        <f t="shared" si="10"/>
        <v>update valuation set market_land =57000, market_bldg=371300, market_total =428300, market_mdno =401, market_date ='9/10/2023' where link_id = (select link_id from parcel where parcel_year = '2024' and parcel_id = '23092224529');</v>
      </c>
    </row>
    <row r="678" spans="1:85" x14ac:dyDescent="0.25">
      <c r="A678">
        <v>23092224533</v>
      </c>
      <c r="B678">
        <v>0.21</v>
      </c>
      <c r="C678">
        <v>9115</v>
      </c>
      <c r="D678" t="s">
        <v>129</v>
      </c>
      <c r="E678" t="s">
        <v>53</v>
      </c>
      <c r="F678" t="s">
        <v>53</v>
      </c>
      <c r="G678">
        <v>4</v>
      </c>
      <c r="H678" t="s">
        <v>54</v>
      </c>
      <c r="I678">
        <v>283100</v>
      </c>
      <c r="J678">
        <v>39300</v>
      </c>
      <c r="K678">
        <v>0.21</v>
      </c>
      <c r="L67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678">
        <v>0</v>
      </c>
      <c r="N678">
        <v>0</v>
      </c>
      <c r="O678">
        <v>0</v>
      </c>
      <c r="P678">
        <v>13398.7528</v>
      </c>
      <c r="Q678">
        <v>63903</v>
      </c>
      <c r="R678">
        <f>(Grandview_Inventory[[#This Row],[ln_acres]]*Grandview_Inventory[[#This Row],[coeff]])+Grandview_Inventory[[#This Row],[const]]</f>
        <v>42992.266613125081</v>
      </c>
      <c r="S678" t="s">
        <v>58</v>
      </c>
      <c r="T678">
        <v>1</v>
      </c>
      <c r="U678" t="s">
        <v>62</v>
      </c>
      <c r="V678" t="s">
        <v>57</v>
      </c>
      <c r="W678">
        <v>0</v>
      </c>
      <c r="X678">
        <v>0</v>
      </c>
      <c r="Y678">
        <v>6</v>
      </c>
      <c r="Z678">
        <v>6</v>
      </c>
      <c r="AA678">
        <v>10</v>
      </c>
      <c r="AB678">
        <v>2500</v>
      </c>
      <c r="AC678">
        <v>2024</v>
      </c>
      <c r="AD678">
        <v>1760</v>
      </c>
      <c r="AE678">
        <v>0</v>
      </c>
      <c r="AF678">
        <v>264</v>
      </c>
      <c r="AG678">
        <v>0</v>
      </c>
      <c r="AH678">
        <v>0</v>
      </c>
      <c r="AI678">
        <v>572</v>
      </c>
      <c r="AJ678">
        <v>0</v>
      </c>
      <c r="AK678">
        <v>0</v>
      </c>
      <c r="AL678">
        <v>0</v>
      </c>
      <c r="AM678">
        <v>576</v>
      </c>
      <c r="AN678">
        <v>20</v>
      </c>
      <c r="AO678">
        <v>192</v>
      </c>
      <c r="AP678">
        <v>9</v>
      </c>
      <c r="AQ678">
        <v>0</v>
      </c>
      <c r="AR678">
        <v>0</v>
      </c>
      <c r="AS678" t="s">
        <v>58</v>
      </c>
      <c r="AT678">
        <v>1</v>
      </c>
      <c r="AU678" t="s">
        <v>63</v>
      </c>
      <c r="AV678" t="s">
        <v>64</v>
      </c>
      <c r="AW678">
        <v>1</v>
      </c>
      <c r="AX678">
        <v>3</v>
      </c>
      <c r="AY678">
        <v>0</v>
      </c>
      <c r="AZ678">
        <v>0</v>
      </c>
      <c r="BA678">
        <v>100</v>
      </c>
      <c r="BB678">
        <v>100</v>
      </c>
      <c r="BC678">
        <v>100</v>
      </c>
      <c r="BD678">
        <v>100</v>
      </c>
      <c r="BE678">
        <v>1</v>
      </c>
      <c r="BF678">
        <v>15000</v>
      </c>
      <c r="BG678">
        <v>1000</v>
      </c>
      <c r="BH678" s="6">
        <f>Grandview_Inventory[[#This Row],[land_extract]]*Lookups!$B$3</f>
        <v>49926.8031387023</v>
      </c>
      <c r="BI678" s="6">
        <f>IF(Grandview_Inventory[[#This Row],[bldg_style]]="",0,Lookups!$B$2)</f>
        <v>155833.95000000001</v>
      </c>
      <c r="BJ678" s="6">
        <f>_xlfn.IFNA(VLOOKUP(Grandview_Inventory[[#This Row],[quality]],Lookups!$H$2:$J$14,3,FALSE),0)</f>
        <v>9808</v>
      </c>
      <c r="BK678" s="6">
        <f>_xlfn.IFNA(VLOOKUP(Grandview_Inventory[[#This Row],[condition]],Lookups!$H$17:$J$24,3,FALSE),0)</f>
        <v>25780</v>
      </c>
      <c r="BL678" s="6">
        <f>Grandview_Inventory[[#This Row],[Eff_Age]]*Lookups!$B$14</f>
        <v>-1434.9995999999999</v>
      </c>
      <c r="BM678" s="6">
        <f>Grandview_Inventory[[#This Row],[living_area]]*Lookups!$B$15</f>
        <v>126258.846472</v>
      </c>
      <c r="BN678" s="6">
        <f>Grandview_Inventory[[#This Row],[Fin BSMT]]*Lookups!$B$16</f>
        <v>0</v>
      </c>
      <c r="BO678" s="6">
        <f>(Grandview_Inventory[[#This Row],[att_gar]]+Grandview_Inventory[[#This Row],[bltin_gar]])*Lookups!$B$17</f>
        <v>50061.689963999997</v>
      </c>
      <c r="BP678" s="6">
        <f>Grandview_Inventory[[#This Row],[Plumbing Fixtures]]*Lookups!$B$18</f>
        <v>18093.976200000001</v>
      </c>
      <c r="BQ678" s="6">
        <f>Grandview_Inventory[[#This Row],[detatched_value]]*Lookups!$B$19</f>
        <v>0</v>
      </c>
      <c r="BR678" s="6">
        <f>SUM(Grandview_Inventory[[#This Row],[Intercept]:[det_value]])*Grandview_Inventory[[#This Row],[res_pct]]</f>
        <v>384401.46303599997</v>
      </c>
      <c r="BS678" s="6">
        <f>Grandview_Inventory[[#This Row],[land_value]]</f>
        <v>49926.8031387023</v>
      </c>
      <c r="BT678" s="4">
        <f>_xlfn.IFNA(VLOOKUP(Grandview_Inventory[[#This Row],[quality]],Lookups!$A$26:$C$33,3,FALSE),1)</f>
        <v>0.94295468617355149</v>
      </c>
      <c r="BU678" s="4">
        <f>_xlfn.IFNA(VLOOKUP(Grandview_Inventory[[#This Row],[condition]],Lookups!$A$37:$C$44,3,FALSE),1)</f>
        <v>0.94347925387812148</v>
      </c>
      <c r="BV678" s="4">
        <f>IF(Grandview_Inventory[[#This Row],[bldg_style]]="",1,_xlfn.IFNA(VLOOKUP(Grandview_Inventory[[#This Row],[decade]],Lookups!$F$29:$H$43,3,FALSE),1))</f>
        <v>0.94601966599150278</v>
      </c>
      <c r="BW678" s="4">
        <f>_xlfn.IFNA(VLOOKUP(Grandview_Inventory[[#This Row],[living_area_range]],Lookups!$F$47:$H$56,3,FALSE),1)</f>
        <v>0.95799442568048754</v>
      </c>
      <c r="BX678" s="4">
        <f>AVERAGE(Grandview_Inventory[[#This Row],[qual_adj]:[size_adj]])</f>
        <v>0.94761200793091582</v>
      </c>
      <c r="BY678" s="6">
        <f>IF(Grandview_Inventory[[#This Row],[pre_res]]&lt;0,0,Grandview_Inventory[[#This Row],[pre_res]]*Grandview_Inventory[[#This Row],[overall_adj]])</f>
        <v>364263.44223912567</v>
      </c>
      <c r="BZ678" s="6">
        <f>(Grandview_Inventory[[#This Row],[sum_land]]-IF(Grandview_Inventory[[#This Row],[no_utilities]]=1,12000,0))/IF(Grandview_Inventory[[#This Row],[unbuildable]]=1,2,1)</f>
        <v>49926.8031387023</v>
      </c>
      <c r="CA67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678">
        <f>ROUND(Grandview_Inventory[[#This Row],[det_value]]*Lookups!$M$28,-2)</f>
        <v>0</v>
      </c>
      <c r="CC678">
        <f>IF(ROUND(Grandview_Inventory[[#This Row],[adj_res]]*Lookups!$M$28,-2)&lt;Grandview_Inventory[[#This Row],[min_res]],Grandview_Inventory[[#This Row],[min_res]],ROUND(Grandview_Inventory[[#This Row],[adj_res]]*Lookups!$M$28,-2))</f>
        <v>346100</v>
      </c>
      <c r="CD678">
        <f>Grandview_Inventory[[#This Row],[final_det]]+Grandview_Inventory[[#This Row],[final_res]]</f>
        <v>346100</v>
      </c>
      <c r="CE678">
        <f>Grandview_Inventory[[#This Row],[final_land]]+Grandview_Inventory[[#This Row],[final_imp]]+Grandview_Inventory[[#This Row],[crop_value]]</f>
        <v>393500</v>
      </c>
      <c r="CG678" t="str">
        <f t="shared" si="10"/>
        <v>update valuation set market_land =47400, market_bldg=346100, market_total =393500, market_mdno =401, market_date ='9/10/2023' where link_id = (select link_id from parcel where parcel_year = '2024' and parcel_id = '23092224533');</v>
      </c>
    </row>
    <row r="679" spans="1:85" x14ac:dyDescent="0.25">
      <c r="A679">
        <v>23092224534</v>
      </c>
      <c r="B679">
        <v>0.19</v>
      </c>
      <c r="C679">
        <v>8159</v>
      </c>
      <c r="D679" t="s">
        <v>129</v>
      </c>
      <c r="E679" t="s">
        <v>53</v>
      </c>
      <c r="F679" t="s">
        <v>53</v>
      </c>
      <c r="G679">
        <v>4</v>
      </c>
      <c r="H679" t="s">
        <v>54</v>
      </c>
      <c r="I679">
        <v>270400</v>
      </c>
      <c r="J679">
        <v>39000</v>
      </c>
      <c r="K679">
        <v>0.19</v>
      </c>
      <c r="L6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679">
        <v>0</v>
      </c>
      <c r="N679">
        <v>0</v>
      </c>
      <c r="O679">
        <v>0</v>
      </c>
      <c r="P679">
        <v>13398.7528</v>
      </c>
      <c r="Q679">
        <v>63903</v>
      </c>
      <c r="R679">
        <f>(Grandview_Inventory[[#This Row],[ln_acres]]*Grandview_Inventory[[#This Row],[coeff]])+Grandview_Inventory[[#This Row],[const]]</f>
        <v>41651.273092551026</v>
      </c>
      <c r="S679" t="s">
        <v>58</v>
      </c>
      <c r="T679">
        <v>1</v>
      </c>
      <c r="U679" t="s">
        <v>62</v>
      </c>
      <c r="V679" t="s">
        <v>57</v>
      </c>
      <c r="W679">
        <v>0</v>
      </c>
      <c r="X679">
        <v>0</v>
      </c>
      <c r="Y679">
        <v>5</v>
      </c>
      <c r="Z679">
        <v>5</v>
      </c>
      <c r="AA679">
        <v>10</v>
      </c>
      <c r="AB679">
        <v>2000</v>
      </c>
      <c r="AC679">
        <v>1632</v>
      </c>
      <c r="AD679">
        <v>1632</v>
      </c>
      <c r="AE679">
        <v>0</v>
      </c>
      <c r="AF679">
        <v>0</v>
      </c>
      <c r="AG679">
        <v>0</v>
      </c>
      <c r="AH679">
        <v>0</v>
      </c>
      <c r="AI679">
        <v>480</v>
      </c>
      <c r="AJ679">
        <v>0</v>
      </c>
      <c r="AK679">
        <v>0</v>
      </c>
      <c r="AL679">
        <v>0</v>
      </c>
      <c r="AM679">
        <v>192</v>
      </c>
      <c r="AN679">
        <v>16</v>
      </c>
      <c r="AO679">
        <v>192</v>
      </c>
      <c r="AP679">
        <v>9</v>
      </c>
      <c r="AQ679">
        <v>0</v>
      </c>
      <c r="AR679">
        <v>0</v>
      </c>
      <c r="AS679" t="s">
        <v>58</v>
      </c>
      <c r="AT679">
        <v>1</v>
      </c>
      <c r="AU679" t="s">
        <v>63</v>
      </c>
      <c r="AV679" t="s">
        <v>64</v>
      </c>
      <c r="AW679">
        <v>1</v>
      </c>
      <c r="AX679">
        <v>3</v>
      </c>
      <c r="AY679">
        <v>0</v>
      </c>
      <c r="AZ679">
        <v>0</v>
      </c>
      <c r="BA679">
        <v>100</v>
      </c>
      <c r="BB679">
        <v>100</v>
      </c>
      <c r="BC679">
        <v>100</v>
      </c>
      <c r="BD679">
        <v>100</v>
      </c>
      <c r="BE679">
        <v>1</v>
      </c>
      <c r="BF679">
        <v>15000</v>
      </c>
      <c r="BG679">
        <v>1000</v>
      </c>
      <c r="BH679" s="6">
        <f>Grandview_Inventory[[#This Row],[land_extract]]*Lookups!$B$3</f>
        <v>48369.510983942157</v>
      </c>
      <c r="BI679" s="6">
        <f>IF(Grandview_Inventory[[#This Row],[bldg_style]]="",0,Lookups!$B$2)</f>
        <v>155833.95000000001</v>
      </c>
      <c r="BJ679" s="6">
        <f>_xlfn.IFNA(VLOOKUP(Grandview_Inventory[[#This Row],[quality]],Lookups!$H$2:$J$14,3,FALSE),0)</f>
        <v>9808</v>
      </c>
      <c r="BK679" s="6">
        <f>_xlfn.IFNA(VLOOKUP(Grandview_Inventory[[#This Row],[condition]],Lookups!$H$17:$J$24,3,FALSE),0)</f>
        <v>25780</v>
      </c>
      <c r="BL679" s="6">
        <f>Grandview_Inventory[[#This Row],[Eff_Age]]*Lookups!$B$14</f>
        <v>-1195.8329999999999</v>
      </c>
      <c r="BM679" s="6">
        <f>Grandview_Inventory[[#This Row],[living_area]]*Lookups!$B$15</f>
        <v>101805.552096</v>
      </c>
      <c r="BN679" s="6">
        <f>Grandview_Inventory[[#This Row],[Fin BSMT]]*Lookups!$B$16</f>
        <v>0</v>
      </c>
      <c r="BO679" s="6">
        <f>(Grandview_Inventory[[#This Row],[att_gar]]+Grandview_Inventory[[#This Row],[bltin_gar]])*Lookups!$B$17</f>
        <v>42009.809760000004</v>
      </c>
      <c r="BP679" s="6">
        <f>Grandview_Inventory[[#This Row],[Plumbing Fixtures]]*Lookups!$B$18</f>
        <v>18093.976200000001</v>
      </c>
      <c r="BQ679" s="6">
        <f>Grandview_Inventory[[#This Row],[detatched_value]]*Lookups!$B$19</f>
        <v>0</v>
      </c>
      <c r="BR679" s="6">
        <f>SUM(Grandview_Inventory[[#This Row],[Intercept]:[det_value]])*Grandview_Inventory[[#This Row],[res_pct]]</f>
        <v>352135.45505599998</v>
      </c>
      <c r="BS679" s="6">
        <f>Grandview_Inventory[[#This Row],[land_value]]</f>
        <v>48369.510983942157</v>
      </c>
      <c r="BT679" s="4">
        <f>_xlfn.IFNA(VLOOKUP(Grandview_Inventory[[#This Row],[quality]],Lookups!$A$26:$C$33,3,FALSE),1)</f>
        <v>0.94295468617355149</v>
      </c>
      <c r="BU679" s="4">
        <f>_xlfn.IFNA(VLOOKUP(Grandview_Inventory[[#This Row],[condition]],Lookups!$A$37:$C$44,3,FALSE),1)</f>
        <v>0.94347925387812148</v>
      </c>
      <c r="BV679" s="4">
        <f>IF(Grandview_Inventory[[#This Row],[bldg_style]]="",1,_xlfn.IFNA(VLOOKUP(Grandview_Inventory[[#This Row],[decade]],Lookups!$F$29:$H$43,3,FALSE),1))</f>
        <v>0.94601966599150278</v>
      </c>
      <c r="BW679" s="4">
        <f>_xlfn.IFNA(VLOOKUP(Grandview_Inventory[[#This Row],[living_area_range]],Lookups!$F$47:$H$56,3,FALSE),1)</f>
        <v>0.96120133463014379</v>
      </c>
      <c r="BX679" s="4">
        <f>AVERAGE(Grandview_Inventory[[#This Row],[qual_adj]:[size_adj]])</f>
        <v>0.94841373516832994</v>
      </c>
      <c r="BY679" s="6">
        <f>IF(Grandview_Inventory[[#This Row],[pre_res]]&lt;0,0,Grandview_Inventory[[#This Row],[pre_res]]*Grandview_Inventory[[#This Row],[overall_adj]])</f>
        <v>333970.1022148605</v>
      </c>
      <c r="BZ679" s="6">
        <f>(Grandview_Inventory[[#This Row],[sum_land]]-IF(Grandview_Inventory[[#This Row],[no_utilities]]=1,12000,0))/IF(Grandview_Inventory[[#This Row],[unbuildable]]=1,2,1)</f>
        <v>48369.510983942157</v>
      </c>
      <c r="CA6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679">
        <f>ROUND(Grandview_Inventory[[#This Row],[det_value]]*Lookups!$M$28,-2)</f>
        <v>0</v>
      </c>
      <c r="CC679">
        <f>IF(ROUND(Grandview_Inventory[[#This Row],[adj_res]]*Lookups!$M$28,-2)&lt;Grandview_Inventory[[#This Row],[min_res]],Grandview_Inventory[[#This Row],[min_res]],ROUND(Grandview_Inventory[[#This Row],[adj_res]]*Lookups!$M$28,-2))</f>
        <v>317300</v>
      </c>
      <c r="CD679">
        <f>Grandview_Inventory[[#This Row],[final_det]]+Grandview_Inventory[[#This Row],[final_res]]</f>
        <v>317300</v>
      </c>
      <c r="CE679">
        <f>Grandview_Inventory[[#This Row],[final_land]]+Grandview_Inventory[[#This Row],[final_imp]]+Grandview_Inventory[[#This Row],[crop_value]]</f>
        <v>363300</v>
      </c>
      <c r="CG679" t="str">
        <f t="shared" si="10"/>
        <v>update valuation set market_land =46000, market_bldg=317300, market_total =363300, market_mdno =401, market_date ='9/10/2023' where link_id = (select link_id from parcel where parcel_year = '2024' and parcel_id = '23092224534');</v>
      </c>
    </row>
    <row r="680" spans="1:85" x14ac:dyDescent="0.25">
      <c r="A680">
        <v>23092224537</v>
      </c>
      <c r="B680" t="s">
        <v>129</v>
      </c>
      <c r="C680">
        <v>16298</v>
      </c>
      <c r="D680" t="s">
        <v>129</v>
      </c>
      <c r="E680" t="s">
        <v>53</v>
      </c>
      <c r="F680" t="s">
        <v>53</v>
      </c>
      <c r="G680">
        <v>4</v>
      </c>
      <c r="H680" t="s">
        <v>54</v>
      </c>
      <c r="I680">
        <v>332300</v>
      </c>
      <c r="J680">
        <v>40900</v>
      </c>
      <c r="K680">
        <v>0.37</v>
      </c>
      <c r="L680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680">
        <v>0</v>
      </c>
      <c r="N680">
        <v>0</v>
      </c>
      <c r="O680">
        <v>0</v>
      </c>
      <c r="P680">
        <v>13398.7528</v>
      </c>
      <c r="Q680">
        <v>63903</v>
      </c>
      <c r="R680">
        <f>(Grandview_Inventory[[#This Row],[ln_acres]]*Grandview_Inventory[[#This Row],[coeff]])+Grandview_Inventory[[#This Row],[const]]</f>
        <v>50581.259568627502</v>
      </c>
      <c r="S680" t="s">
        <v>55</v>
      </c>
      <c r="T680">
        <v>2</v>
      </c>
      <c r="U680" t="s">
        <v>56</v>
      </c>
      <c r="V680" t="s">
        <v>57</v>
      </c>
      <c r="W680">
        <v>30700</v>
      </c>
      <c r="X680">
        <v>0</v>
      </c>
      <c r="Y680">
        <v>1</v>
      </c>
      <c r="Z680">
        <v>1</v>
      </c>
      <c r="AA680">
        <v>10</v>
      </c>
      <c r="AB680">
        <v>3000</v>
      </c>
      <c r="AC680">
        <v>2643</v>
      </c>
      <c r="AD680">
        <v>1789</v>
      </c>
      <c r="AE680">
        <v>854</v>
      </c>
      <c r="AF680">
        <v>0</v>
      </c>
      <c r="AG680">
        <v>0</v>
      </c>
      <c r="AH680">
        <v>0</v>
      </c>
      <c r="AI680">
        <v>972</v>
      </c>
      <c r="AJ680">
        <v>0</v>
      </c>
      <c r="AK680">
        <v>0</v>
      </c>
      <c r="AL680">
        <v>0</v>
      </c>
      <c r="AM680">
        <v>0</v>
      </c>
      <c r="AN680">
        <v>1321</v>
      </c>
      <c r="AO680">
        <v>0</v>
      </c>
      <c r="AP680">
        <v>16</v>
      </c>
      <c r="AQ680">
        <v>0</v>
      </c>
      <c r="AR680">
        <v>0</v>
      </c>
      <c r="AS680" t="s">
        <v>58</v>
      </c>
      <c r="AT680">
        <v>1</v>
      </c>
      <c r="AU680" t="s">
        <v>59</v>
      </c>
      <c r="AV680" t="s">
        <v>60</v>
      </c>
      <c r="AW680">
        <v>1</v>
      </c>
      <c r="AX680">
        <v>4</v>
      </c>
      <c r="AY680">
        <v>0</v>
      </c>
      <c r="AZ680">
        <v>0</v>
      </c>
      <c r="BA680">
        <v>100</v>
      </c>
      <c r="BB680">
        <v>100</v>
      </c>
      <c r="BC680">
        <v>100</v>
      </c>
      <c r="BD680">
        <v>100</v>
      </c>
      <c r="BE680">
        <v>1</v>
      </c>
      <c r="BF680">
        <v>15000</v>
      </c>
      <c r="BG680">
        <v>1000</v>
      </c>
      <c r="BH680" s="6">
        <f>Grandview_Inventory[[#This Row],[land_extract]]*Lookups!$B$3</f>
        <v>58739.880167646283</v>
      </c>
      <c r="BI680" s="6">
        <f>IF(Grandview_Inventory[[#This Row],[bldg_style]]="",0,Lookups!$B$2)</f>
        <v>155833.95000000001</v>
      </c>
      <c r="BJ680" s="6">
        <f>_xlfn.IFNA(VLOOKUP(Grandview_Inventory[[#This Row],[quality]],Lookups!$H$2:$J$14,3,FALSE),0)</f>
        <v>56323</v>
      </c>
      <c r="BK680" s="6">
        <f>_xlfn.IFNA(VLOOKUP(Grandview_Inventory[[#This Row],[condition]],Lookups!$H$17:$J$24,3,FALSE),0)</f>
        <v>25780</v>
      </c>
      <c r="BL680" s="6">
        <f>Grandview_Inventory[[#This Row],[Eff_Age]]*Lookups!$B$14</f>
        <v>-239.16659999999999</v>
      </c>
      <c r="BM680" s="6">
        <f>Grandview_Inventory[[#This Row],[living_area]]*Lookups!$B$15</f>
        <v>164872.59447899999</v>
      </c>
      <c r="BN680" s="6">
        <f>Grandview_Inventory[[#This Row],[Fin BSMT]]*Lookups!$B$16</f>
        <v>0</v>
      </c>
      <c r="BO680" s="6">
        <f>(Grandview_Inventory[[#This Row],[att_gar]]+Grandview_Inventory[[#This Row],[bltin_gar]])*Lookups!$B$17</f>
        <v>85069.864763999998</v>
      </c>
      <c r="BP680" s="6">
        <f>Grandview_Inventory[[#This Row],[Plumbing Fixtures]]*Lookups!$B$18</f>
        <v>32167.068800000001</v>
      </c>
      <c r="BQ680" s="6">
        <f>Grandview_Inventory[[#This Row],[detatched_value]]*Lookups!$B$19</f>
        <v>0</v>
      </c>
      <c r="BR680" s="6">
        <f>SUM(Grandview_Inventory[[#This Row],[Intercept]:[det_value]])*Grandview_Inventory[[#This Row],[res_pct]]</f>
        <v>519807.31144300004</v>
      </c>
      <c r="BS680" s="6">
        <f>Grandview_Inventory[[#This Row],[land_value]]</f>
        <v>58739.880167646283</v>
      </c>
      <c r="BT680" s="4">
        <f>_xlfn.IFNA(VLOOKUP(Grandview_Inventory[[#This Row],[quality]],Lookups!$A$26:$C$33,3,FALSE),1)</f>
        <v>0.76437650671582003</v>
      </c>
      <c r="BU680" s="4">
        <f>_xlfn.IFNA(VLOOKUP(Grandview_Inventory[[#This Row],[condition]],Lookups!$A$37:$C$44,3,FALSE),1)</f>
        <v>0.94347925387812148</v>
      </c>
      <c r="BV680" s="4">
        <f>IF(Grandview_Inventory[[#This Row],[bldg_style]]="",1,_xlfn.IFNA(VLOOKUP(Grandview_Inventory[[#This Row],[decade]],Lookups!$F$29:$H$43,3,FALSE),1))</f>
        <v>0.94601966599150278</v>
      </c>
      <c r="BW680" s="4">
        <f>_xlfn.IFNA(VLOOKUP(Grandview_Inventory[[#This Row],[living_area_range]],Lookups!$F$47:$H$56,3,FALSE),1)</f>
        <v>0.94224801443562123</v>
      </c>
      <c r="BX680" s="4">
        <f>AVERAGE(Grandview_Inventory[[#This Row],[qual_adj]:[size_adj]])</f>
        <v>0.89903086025526646</v>
      </c>
      <c r="BY680" s="6">
        <f>IF(Grandview_Inventory[[#This Row],[pre_res]]&lt;0,0,Grandview_Inventory[[#This Row],[pre_res]]*Grandview_Inventory[[#This Row],[overall_adj]])</f>
        <v>467322.81437357754</v>
      </c>
      <c r="BZ680" s="6">
        <f>(Grandview_Inventory[[#This Row],[sum_land]]-IF(Grandview_Inventory[[#This Row],[no_utilities]]=1,12000,0))/IF(Grandview_Inventory[[#This Row],[unbuildable]]=1,2,1)</f>
        <v>58739.880167646283</v>
      </c>
      <c r="CA680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680">
        <f>ROUND(Grandview_Inventory[[#This Row],[det_value]]*Lookups!$M$28,-2)</f>
        <v>0</v>
      </c>
      <c r="CC680">
        <f>IF(ROUND(Grandview_Inventory[[#This Row],[adj_res]]*Lookups!$M$28,-2)&lt;Grandview_Inventory[[#This Row],[min_res]],Grandview_Inventory[[#This Row],[min_res]],ROUND(Grandview_Inventory[[#This Row],[adj_res]]*Lookups!$M$28,-2))</f>
        <v>444000</v>
      </c>
      <c r="CD680">
        <f>Grandview_Inventory[[#This Row],[final_det]]+Grandview_Inventory[[#This Row],[final_res]]</f>
        <v>444000</v>
      </c>
      <c r="CE680">
        <f>Grandview_Inventory[[#This Row],[final_land]]+Grandview_Inventory[[#This Row],[final_imp]]+Grandview_Inventory[[#This Row],[crop_value]]</f>
        <v>499800</v>
      </c>
      <c r="CG680" t="str">
        <f t="shared" si="10"/>
        <v>update valuation set market_land =55800, market_bldg=444000, market_total =499800, market_mdno =401, market_date ='9/10/2023' where link_id = (select link_id from parcel where parcel_year = '2024' and parcel_id = '23092224537');</v>
      </c>
    </row>
    <row r="681" spans="1:85" x14ac:dyDescent="0.25">
      <c r="A681">
        <v>23092224538</v>
      </c>
      <c r="B681" t="s">
        <v>129</v>
      </c>
      <c r="C681">
        <v>13533</v>
      </c>
      <c r="D681" t="s">
        <v>129</v>
      </c>
      <c r="E681" t="s">
        <v>53</v>
      </c>
      <c r="F681" t="s">
        <v>53</v>
      </c>
      <c r="G681">
        <v>4</v>
      </c>
      <c r="H681" t="s">
        <v>54</v>
      </c>
      <c r="I681">
        <v>342500</v>
      </c>
      <c r="J681">
        <v>41100</v>
      </c>
      <c r="K681">
        <v>0.31</v>
      </c>
      <c r="L681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681">
        <v>0</v>
      </c>
      <c r="N681">
        <v>0</v>
      </c>
      <c r="O681">
        <v>0</v>
      </c>
      <c r="P681">
        <v>13398.7528</v>
      </c>
      <c r="Q681">
        <v>63903</v>
      </c>
      <c r="R681">
        <f>(Grandview_Inventory[[#This Row],[ln_acres]]*Grandview_Inventory[[#This Row],[coeff]])+Grandview_Inventory[[#This Row],[const]]</f>
        <v>48210.608747275066</v>
      </c>
      <c r="S681" t="s">
        <v>55</v>
      </c>
      <c r="T681">
        <v>1</v>
      </c>
      <c r="U681" t="s">
        <v>64</v>
      </c>
      <c r="V681" t="s">
        <v>57</v>
      </c>
      <c r="W681">
        <v>0</v>
      </c>
      <c r="X681">
        <v>0</v>
      </c>
      <c r="Y681">
        <v>2</v>
      </c>
      <c r="Z681">
        <v>2</v>
      </c>
      <c r="AA681">
        <v>10</v>
      </c>
      <c r="AB681">
        <v>3000</v>
      </c>
      <c r="AC681">
        <v>2630</v>
      </c>
      <c r="AD681">
        <v>2180</v>
      </c>
      <c r="AE681">
        <v>0</v>
      </c>
      <c r="AF681">
        <v>450</v>
      </c>
      <c r="AG681">
        <v>0</v>
      </c>
      <c r="AH681">
        <v>0</v>
      </c>
      <c r="AI681">
        <v>802</v>
      </c>
      <c r="AJ681">
        <v>0</v>
      </c>
      <c r="AK681">
        <v>0</v>
      </c>
      <c r="AL681">
        <v>0</v>
      </c>
      <c r="AM681">
        <v>0</v>
      </c>
      <c r="AN681">
        <v>520</v>
      </c>
      <c r="AO681">
        <v>0</v>
      </c>
      <c r="AP681">
        <v>11</v>
      </c>
      <c r="AQ681">
        <v>0</v>
      </c>
      <c r="AR681">
        <v>0</v>
      </c>
      <c r="AS681" t="s">
        <v>58</v>
      </c>
      <c r="AT681">
        <v>1</v>
      </c>
      <c r="AU681" t="s">
        <v>59</v>
      </c>
      <c r="AV681" t="s">
        <v>60</v>
      </c>
      <c r="AW681">
        <v>1</v>
      </c>
      <c r="AX681">
        <v>3</v>
      </c>
      <c r="AY681">
        <v>0</v>
      </c>
      <c r="AZ681">
        <v>0</v>
      </c>
      <c r="BA681">
        <v>100</v>
      </c>
      <c r="BB681">
        <v>100</v>
      </c>
      <c r="BC681">
        <v>100</v>
      </c>
      <c r="BD681">
        <v>100</v>
      </c>
      <c r="BE681">
        <v>1</v>
      </c>
      <c r="BF681">
        <v>15000</v>
      </c>
      <c r="BG681">
        <v>1000</v>
      </c>
      <c r="BH681" s="6">
        <f>Grandview_Inventory[[#This Row],[land_extract]]*Lookups!$B$3</f>
        <v>55986.849769566914</v>
      </c>
      <c r="BI681" s="6">
        <f>IF(Grandview_Inventory[[#This Row],[bldg_style]]="",0,Lookups!$B$2)</f>
        <v>155833.95000000001</v>
      </c>
      <c r="BJ681" s="6">
        <f>_xlfn.IFNA(VLOOKUP(Grandview_Inventory[[#This Row],[quality]],Lookups!$H$2:$J$14,3,FALSE),0)</f>
        <v>20768</v>
      </c>
      <c r="BK681" s="6">
        <f>_xlfn.IFNA(VLOOKUP(Grandview_Inventory[[#This Row],[condition]],Lookups!$H$17:$J$24,3,FALSE),0)</f>
        <v>25780</v>
      </c>
      <c r="BL681" s="6">
        <f>Grandview_Inventory[[#This Row],[Eff_Age]]*Lookups!$B$14</f>
        <v>-478.33319999999998</v>
      </c>
      <c r="BM681" s="6">
        <f>Grandview_Inventory[[#This Row],[living_area]]*Lookups!$B$15</f>
        <v>164061.64339000001</v>
      </c>
      <c r="BN681" s="6">
        <f>Grandview_Inventory[[#This Row],[Fin BSMT]]*Lookups!$B$16</f>
        <v>0</v>
      </c>
      <c r="BO681" s="6">
        <f>(Grandview_Inventory[[#This Row],[att_gar]]+Grandview_Inventory[[#This Row],[bltin_gar]])*Lookups!$B$17</f>
        <v>70191.390474</v>
      </c>
      <c r="BP681" s="6">
        <f>Grandview_Inventory[[#This Row],[Plumbing Fixtures]]*Lookups!$B$18</f>
        <v>22114.859800000002</v>
      </c>
      <c r="BQ681" s="6">
        <f>Grandview_Inventory[[#This Row],[detatched_value]]*Lookups!$B$19</f>
        <v>0</v>
      </c>
      <c r="BR681" s="6">
        <f>SUM(Grandview_Inventory[[#This Row],[Intercept]:[det_value]])*Grandview_Inventory[[#This Row],[res_pct]]</f>
        <v>458271.51046400005</v>
      </c>
      <c r="BS681" s="6">
        <f>Grandview_Inventory[[#This Row],[land_value]]</f>
        <v>55986.849769566914</v>
      </c>
      <c r="BT681" s="4">
        <f>_xlfn.IFNA(VLOOKUP(Grandview_Inventory[[#This Row],[quality]],Lookups!$A$26:$C$33,3,FALSE),1)</f>
        <v>0.94960540378902636</v>
      </c>
      <c r="BU681" s="4">
        <f>_xlfn.IFNA(VLOOKUP(Grandview_Inventory[[#This Row],[condition]],Lookups!$A$37:$C$44,3,FALSE),1)</f>
        <v>0.94347925387812148</v>
      </c>
      <c r="BV681" s="4">
        <f>IF(Grandview_Inventory[[#This Row],[bldg_style]]="",1,_xlfn.IFNA(VLOOKUP(Grandview_Inventory[[#This Row],[decade]],Lookups!$F$29:$H$43,3,FALSE),1))</f>
        <v>0.94601966599150278</v>
      </c>
      <c r="BW681" s="4">
        <f>_xlfn.IFNA(VLOOKUP(Grandview_Inventory[[#This Row],[living_area_range]],Lookups!$F$47:$H$56,3,FALSE),1)</f>
        <v>0.94224801443562123</v>
      </c>
      <c r="BX681" s="4">
        <f>AVERAGE(Grandview_Inventory[[#This Row],[qual_adj]:[size_adj]])</f>
        <v>0.94533808452356805</v>
      </c>
      <c r="BY681" s="6">
        <f>IF(Grandview_Inventory[[#This Row],[pre_res]]&lt;0,0,Grandview_Inventory[[#This Row],[pre_res]]*Grandview_Inventory[[#This Row],[overall_adj]])</f>
        <v>433221.51189376006</v>
      </c>
      <c r="BZ681" s="6">
        <f>(Grandview_Inventory[[#This Row],[sum_land]]-IF(Grandview_Inventory[[#This Row],[no_utilities]]=1,12000,0))/IF(Grandview_Inventory[[#This Row],[unbuildable]]=1,2,1)</f>
        <v>55986.849769566914</v>
      </c>
      <c r="CA681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681">
        <f>ROUND(Grandview_Inventory[[#This Row],[det_value]]*Lookups!$M$28,-2)</f>
        <v>0</v>
      </c>
      <c r="CC681">
        <f>IF(ROUND(Grandview_Inventory[[#This Row],[adj_res]]*Lookups!$M$28,-2)&lt;Grandview_Inventory[[#This Row],[min_res]],Grandview_Inventory[[#This Row],[min_res]],ROUND(Grandview_Inventory[[#This Row],[adj_res]]*Lookups!$M$28,-2))</f>
        <v>411600</v>
      </c>
      <c r="CD681">
        <f>Grandview_Inventory[[#This Row],[final_det]]+Grandview_Inventory[[#This Row],[final_res]]</f>
        <v>411600</v>
      </c>
      <c r="CE681">
        <f>Grandview_Inventory[[#This Row],[final_land]]+Grandview_Inventory[[#This Row],[final_imp]]+Grandview_Inventory[[#This Row],[crop_value]]</f>
        <v>464800</v>
      </c>
      <c r="CG681" t="str">
        <f t="shared" si="10"/>
        <v>update valuation set market_land =53200, market_bldg=411600, market_total =464800, market_mdno =401, market_date ='9/10/2023' where link_id = (select link_id from parcel where parcel_year = '2024' and parcel_id = '23092224538');</v>
      </c>
    </row>
    <row r="682" spans="1:85" x14ac:dyDescent="0.25">
      <c r="A682">
        <v>23092231400</v>
      </c>
      <c r="B682">
        <v>0.56999999999999995</v>
      </c>
      <c r="C682">
        <v>25032</v>
      </c>
      <c r="D682" t="s">
        <v>129</v>
      </c>
      <c r="E682" t="s">
        <v>53</v>
      </c>
      <c r="F682" t="s">
        <v>53</v>
      </c>
      <c r="G682">
        <v>4</v>
      </c>
      <c r="H682" t="s">
        <v>54</v>
      </c>
      <c r="I682">
        <v>148900</v>
      </c>
      <c r="J682">
        <v>47000</v>
      </c>
      <c r="K682">
        <v>0.56999999999999995</v>
      </c>
      <c r="L682">
        <f>IF(Grandview_Inventory[[#This Row],[parcel_acres]]-Grandview_Inventory[[#This Row],[non_valued_acres]] =0,0,LN(Grandview_Inventory[[#This Row],[parcel_acres]]-Grandview_Inventory[[#This Row],[non_valued_acres]]))</f>
        <v>-0.56211891815354131</v>
      </c>
      <c r="M682">
        <v>0</v>
      </c>
      <c r="N682">
        <v>0</v>
      </c>
      <c r="O682">
        <v>0</v>
      </c>
      <c r="P682">
        <v>13398.7528</v>
      </c>
      <c r="Q682">
        <v>63903</v>
      </c>
      <c r="R682">
        <f>(Grandview_Inventory[[#This Row],[ln_acres]]*Grandview_Inventory[[#This Row],[coeff]])+Grandview_Inventory[[#This Row],[const]]</f>
        <v>56371.30757145727</v>
      </c>
      <c r="S682" t="s">
        <v>61</v>
      </c>
      <c r="T682">
        <v>1</v>
      </c>
      <c r="U682" t="s">
        <v>70</v>
      </c>
      <c r="V682" t="s">
        <v>78</v>
      </c>
      <c r="W682">
        <v>0</v>
      </c>
      <c r="X682">
        <v>0</v>
      </c>
      <c r="Y682">
        <v>48</v>
      </c>
      <c r="Z682">
        <v>60</v>
      </c>
      <c r="AA682">
        <v>60</v>
      </c>
      <c r="AB682">
        <v>2500</v>
      </c>
      <c r="AC682">
        <v>2250</v>
      </c>
      <c r="AD682">
        <v>1125</v>
      </c>
      <c r="AE682">
        <v>0</v>
      </c>
      <c r="AF682">
        <v>0</v>
      </c>
      <c r="AG682">
        <v>1125</v>
      </c>
      <c r="AH682">
        <v>0</v>
      </c>
      <c r="AI682">
        <v>0</v>
      </c>
      <c r="AJ682">
        <v>0</v>
      </c>
      <c r="AK682">
        <v>0</v>
      </c>
      <c r="AL682">
        <v>513</v>
      </c>
      <c r="AM682">
        <v>615</v>
      </c>
      <c r="AN682">
        <v>0</v>
      </c>
      <c r="AO682">
        <v>0</v>
      </c>
      <c r="AP682">
        <v>7</v>
      </c>
      <c r="AQ682">
        <v>0</v>
      </c>
      <c r="AR682">
        <v>0</v>
      </c>
      <c r="AS682" t="s">
        <v>58</v>
      </c>
      <c r="AT682">
        <v>1</v>
      </c>
      <c r="AU682" t="s">
        <v>63</v>
      </c>
      <c r="AV682" t="s">
        <v>60</v>
      </c>
      <c r="AW682">
        <v>1</v>
      </c>
      <c r="AX682">
        <v>4</v>
      </c>
      <c r="AY682">
        <v>0</v>
      </c>
      <c r="AZ682">
        <v>0</v>
      </c>
      <c r="BA682">
        <v>100</v>
      </c>
      <c r="BB682">
        <v>100</v>
      </c>
      <c r="BC682">
        <v>100</v>
      </c>
      <c r="BD682">
        <v>100</v>
      </c>
      <c r="BE682">
        <v>1</v>
      </c>
      <c r="BF682">
        <v>15000</v>
      </c>
      <c r="BG682">
        <v>1000</v>
      </c>
      <c r="BH682" s="6">
        <f>Grandview_Inventory[[#This Row],[land_extract]]*Lookups!$B$3</f>
        <v>65463.847280202885</v>
      </c>
      <c r="BI682" s="6">
        <f>IF(Grandview_Inventory[[#This Row],[bldg_style]]="",0,Lookups!$B$2)</f>
        <v>155833.95000000001</v>
      </c>
      <c r="BJ682" s="6">
        <f>_xlfn.IFNA(VLOOKUP(Grandview_Inventory[[#This Row],[quality]],Lookups!$H$2:$J$14,3,FALSE),0)</f>
        <v>10733</v>
      </c>
      <c r="BK682" s="6">
        <f>_xlfn.IFNA(VLOOKUP(Grandview_Inventory[[#This Row],[condition]],Lookups!$H$17:$J$24,3,FALSE),0)</f>
        <v>-45357</v>
      </c>
      <c r="BL682" s="6">
        <f>Grandview_Inventory[[#This Row],[Eff_Age]]*Lookups!$B$14</f>
        <v>-11479.996799999999</v>
      </c>
      <c r="BM682" s="6">
        <f>Grandview_Inventory[[#This Row],[living_area]]*Lookups!$B$15</f>
        <v>140356.91925000001</v>
      </c>
      <c r="BN682" s="6">
        <f>Grandview_Inventory[[#This Row],[Fin BSMT]]*Lookups!$B$16</f>
        <v>-30486.645</v>
      </c>
      <c r="BO682" s="6">
        <f>(Grandview_Inventory[[#This Row],[att_gar]]+Grandview_Inventory[[#This Row],[bltin_gar]])*Lookups!$B$17</f>
        <v>0</v>
      </c>
      <c r="BP682" s="6">
        <f>Grandview_Inventory[[#This Row],[Plumbing Fixtures]]*Lookups!$B$18</f>
        <v>14073.0926</v>
      </c>
      <c r="BQ682" s="6">
        <f>Grandview_Inventory[[#This Row],[detatched_value]]*Lookups!$B$19</f>
        <v>0</v>
      </c>
      <c r="BR682" s="6">
        <f>SUM(Grandview_Inventory[[#This Row],[Intercept]:[det_value]])*Grandview_Inventory[[#This Row],[res_pct]]</f>
        <v>233673.32005000004</v>
      </c>
      <c r="BS682" s="6">
        <f>Grandview_Inventory[[#This Row],[land_value]]</f>
        <v>65463.847280202885</v>
      </c>
      <c r="BT682" s="4">
        <f>_xlfn.IFNA(VLOOKUP(Grandview_Inventory[[#This Row],[quality]],Lookups!$A$26:$C$33,3,FALSE),1)</f>
        <v>0.98079741117310582</v>
      </c>
      <c r="BU682" s="4">
        <f>_xlfn.IFNA(VLOOKUP(Grandview_Inventory[[#This Row],[condition]],Lookups!$A$37:$C$44,3,FALSE),1)</f>
        <v>0.97161819570155394</v>
      </c>
      <c r="BV682" s="4">
        <f>IF(Grandview_Inventory[[#This Row],[bldg_style]]="",1,_xlfn.IFNA(VLOOKUP(Grandview_Inventory[[#This Row],[decade]],Lookups!$F$29:$H$43,3,FALSE),1))</f>
        <v>0.95268620544463312</v>
      </c>
      <c r="BW682" s="4">
        <f>_xlfn.IFNA(VLOOKUP(Grandview_Inventory[[#This Row],[living_area_range]],Lookups!$F$47:$H$56,3,FALSE),1)</f>
        <v>0.95799442568048754</v>
      </c>
      <c r="BX682" s="4">
        <f>AVERAGE(Grandview_Inventory[[#This Row],[qual_adj]:[size_adj]])</f>
        <v>0.9657740594999451</v>
      </c>
      <c r="BY682" s="6">
        <f>IF(Grandview_Inventory[[#This Row],[pre_res]]&lt;0,0,Grandview_Inventory[[#This Row],[pre_res]]*Grandview_Inventory[[#This Row],[overall_adj]])</f>
        <v>225675.63090151845</v>
      </c>
      <c r="BZ682" s="6">
        <f>(Grandview_Inventory[[#This Row],[sum_land]]-IF(Grandview_Inventory[[#This Row],[no_utilities]]=1,12000,0))/IF(Grandview_Inventory[[#This Row],[unbuildable]]=1,2,1)</f>
        <v>65463.847280202885</v>
      </c>
      <c r="CA682">
        <f>IF(ROUND(Grandview_Inventory[[#This Row],[adj_land]]*Lookups!$M$28,-2)&lt;Grandview_Inventory[[#This Row],[min_land]],Grandview_Inventory[[#This Row],[min_land]],ROUND(Grandview_Inventory[[#This Row],[adj_land]]*Lookups!$M$28,-2))</f>
        <v>62200</v>
      </c>
      <c r="CB682">
        <f>ROUND(Grandview_Inventory[[#This Row],[det_value]]*Lookups!$M$28,-2)</f>
        <v>0</v>
      </c>
      <c r="CC682">
        <f>IF(ROUND(Grandview_Inventory[[#This Row],[adj_res]]*Lookups!$M$28,-2)&lt;Grandview_Inventory[[#This Row],[min_res]],Grandview_Inventory[[#This Row],[min_res]],ROUND(Grandview_Inventory[[#This Row],[adj_res]]*Lookups!$M$28,-2))</f>
        <v>214400</v>
      </c>
      <c r="CD682">
        <f>Grandview_Inventory[[#This Row],[final_det]]+Grandview_Inventory[[#This Row],[final_res]]</f>
        <v>214400</v>
      </c>
      <c r="CE682">
        <f>Grandview_Inventory[[#This Row],[final_land]]+Grandview_Inventory[[#This Row],[final_imp]]+Grandview_Inventory[[#This Row],[crop_value]]</f>
        <v>276600</v>
      </c>
      <c r="CG682" t="str">
        <f t="shared" si="10"/>
        <v>update valuation set market_land =62200, market_bldg=214400, market_total =276600, market_mdno =401, market_date ='9/10/2023' where link_id = (select link_id from parcel where parcel_year = '2024' and parcel_id = '23092231400');</v>
      </c>
    </row>
    <row r="683" spans="1:85" x14ac:dyDescent="0.25">
      <c r="A683">
        <v>23092231401</v>
      </c>
      <c r="B683">
        <v>0.59</v>
      </c>
      <c r="C683">
        <v>25574</v>
      </c>
      <c r="D683" t="s">
        <v>129</v>
      </c>
      <c r="E683" t="s">
        <v>53</v>
      </c>
      <c r="F683" t="s">
        <v>53</v>
      </c>
      <c r="G683">
        <v>4</v>
      </c>
      <c r="H683" t="s">
        <v>54</v>
      </c>
      <c r="I683">
        <v>114400</v>
      </c>
      <c r="J683">
        <v>42300</v>
      </c>
      <c r="K683">
        <v>0.59</v>
      </c>
      <c r="L683">
        <f>IF(Grandview_Inventory[[#This Row],[parcel_acres]]-Grandview_Inventory[[#This Row],[non_valued_acres]] =0,0,LN(Grandview_Inventory[[#This Row],[parcel_acres]]-Grandview_Inventory[[#This Row],[non_valued_acres]]))</f>
        <v>-0.52763274208237199</v>
      </c>
      <c r="M683">
        <v>0</v>
      </c>
      <c r="N683">
        <v>0</v>
      </c>
      <c r="O683">
        <v>0</v>
      </c>
      <c r="P683">
        <v>13398.7528</v>
      </c>
      <c r="Q683">
        <v>63903</v>
      </c>
      <c r="R683">
        <f>(Grandview_Inventory[[#This Row],[ln_acres]]*Grandview_Inventory[[#This Row],[coeff]])+Grandview_Inventory[[#This Row],[const]]</f>
        <v>56833.379319652144</v>
      </c>
      <c r="S683" t="s">
        <v>61</v>
      </c>
      <c r="T683">
        <v>1</v>
      </c>
      <c r="U683" t="s">
        <v>65</v>
      </c>
      <c r="V683" t="s">
        <v>94</v>
      </c>
      <c r="W683">
        <v>0</v>
      </c>
      <c r="X683">
        <v>0</v>
      </c>
      <c r="Y683">
        <v>48</v>
      </c>
      <c r="Z683">
        <v>59</v>
      </c>
      <c r="AA683">
        <v>60</v>
      </c>
      <c r="AB683">
        <v>2500</v>
      </c>
      <c r="AC683">
        <v>2055</v>
      </c>
      <c r="AD683">
        <v>1450</v>
      </c>
      <c r="AE683">
        <v>0</v>
      </c>
      <c r="AF683">
        <v>0</v>
      </c>
      <c r="AG683">
        <v>605</v>
      </c>
      <c r="AH683">
        <v>605</v>
      </c>
      <c r="AI683">
        <v>0</v>
      </c>
      <c r="AJ683">
        <v>240</v>
      </c>
      <c r="AK683">
        <v>0</v>
      </c>
      <c r="AL683">
        <v>320</v>
      </c>
      <c r="AM683">
        <v>0</v>
      </c>
      <c r="AN683">
        <v>0</v>
      </c>
      <c r="AO683">
        <v>0</v>
      </c>
      <c r="AP683">
        <v>8</v>
      </c>
      <c r="AQ683">
        <v>0</v>
      </c>
      <c r="AR683">
        <v>0</v>
      </c>
      <c r="AS683" t="s">
        <v>58</v>
      </c>
      <c r="AT683">
        <v>1</v>
      </c>
      <c r="AU683" t="s">
        <v>63</v>
      </c>
      <c r="AV683" t="s">
        <v>60</v>
      </c>
      <c r="AW683">
        <v>1</v>
      </c>
      <c r="AX683">
        <v>5</v>
      </c>
      <c r="AY683">
        <v>0</v>
      </c>
      <c r="AZ683">
        <v>0</v>
      </c>
      <c r="BA683">
        <v>100</v>
      </c>
      <c r="BB683">
        <v>100</v>
      </c>
      <c r="BC683">
        <v>100</v>
      </c>
      <c r="BD683">
        <v>100</v>
      </c>
      <c r="BE683">
        <v>1</v>
      </c>
      <c r="BF683">
        <v>15000</v>
      </c>
      <c r="BG683">
        <v>1000</v>
      </c>
      <c r="BH683" s="6">
        <f>Grandview_Inventory[[#This Row],[land_extract]]*Lookups!$B$3</f>
        <v>66000.449953787873</v>
      </c>
      <c r="BI683" s="6">
        <f>IF(Grandview_Inventory[[#This Row],[bldg_style]]="",0,Lookups!$B$2)</f>
        <v>155833.95000000001</v>
      </c>
      <c r="BJ683" s="6">
        <f>_xlfn.IFNA(VLOOKUP(Grandview_Inventory[[#This Row],[quality]],Lookups!$H$2:$J$14,3,FALSE),0)</f>
        <v>2251</v>
      </c>
      <c r="BK683" s="6">
        <f>_xlfn.IFNA(VLOOKUP(Grandview_Inventory[[#This Row],[condition]],Lookups!$H$17:$J$24,3,FALSE),0)</f>
        <v>-77566.475205170951</v>
      </c>
      <c r="BL683" s="6">
        <f>Grandview_Inventory[[#This Row],[Eff_Age]]*Lookups!$B$14</f>
        <v>-11479.996799999999</v>
      </c>
      <c r="BM683" s="6">
        <f>Grandview_Inventory[[#This Row],[living_area]]*Lookups!$B$15</f>
        <v>128192.652915</v>
      </c>
      <c r="BN683" s="6">
        <f>Grandview_Inventory[[#This Row],[Fin BSMT]]*Lookups!$B$16</f>
        <v>-16395.040199999999</v>
      </c>
      <c r="BO683" s="6">
        <f>(Grandview_Inventory[[#This Row],[att_gar]]+Grandview_Inventory[[#This Row],[bltin_gar]])*Lookups!$B$17</f>
        <v>21004.904880000002</v>
      </c>
      <c r="BP683" s="6">
        <f>Grandview_Inventory[[#This Row],[Plumbing Fixtures]]*Lookups!$B$18</f>
        <v>16083.5344</v>
      </c>
      <c r="BQ683" s="6">
        <f>Grandview_Inventory[[#This Row],[detatched_value]]*Lookups!$B$19</f>
        <v>0</v>
      </c>
      <c r="BR683" s="6">
        <f>SUM(Grandview_Inventory[[#This Row],[Intercept]:[det_value]])*Grandview_Inventory[[#This Row],[res_pct]]</f>
        <v>217924.52998982905</v>
      </c>
      <c r="BS683" s="6">
        <f>Grandview_Inventory[[#This Row],[land_value]]</f>
        <v>66000.449953787873</v>
      </c>
      <c r="BT683" s="4">
        <f>_xlfn.IFNA(VLOOKUP(Grandview_Inventory[[#This Row],[quality]],Lookups!$A$26:$C$33,3,FALSE),1)</f>
        <v>0.98763855981004833</v>
      </c>
      <c r="BU683" s="4">
        <f>_xlfn.IFNA(VLOOKUP(Grandview_Inventory[[#This Row],[condition]],Lookups!$A$37:$C$44,3,FALSE),1)</f>
        <v>0.97161819570155394</v>
      </c>
      <c r="BV683" s="4">
        <f>IF(Grandview_Inventory[[#This Row],[bldg_style]]="",1,_xlfn.IFNA(VLOOKUP(Grandview_Inventory[[#This Row],[decade]],Lookups!$F$29:$H$43,3,FALSE),1))</f>
        <v>0.95268620544463312</v>
      </c>
      <c r="BW683" s="4">
        <f>_xlfn.IFNA(VLOOKUP(Grandview_Inventory[[#This Row],[living_area_range]],Lookups!$F$47:$H$56,3,FALSE),1)</f>
        <v>0.95799442568048754</v>
      </c>
      <c r="BX683" s="4">
        <f>AVERAGE(Grandview_Inventory[[#This Row],[qual_adj]:[size_adj]])</f>
        <v>0.96748434665918071</v>
      </c>
      <c r="BY683" s="6">
        <f>IF(Grandview_Inventory[[#This Row],[pre_res]]&lt;0,0,Grandview_Inventory[[#This Row],[pre_res]]*Grandview_Inventory[[#This Row],[overall_adj]])</f>
        <v>210838.57151821879</v>
      </c>
      <c r="BZ683" s="6">
        <f>(Grandview_Inventory[[#This Row],[sum_land]]-IF(Grandview_Inventory[[#This Row],[no_utilities]]=1,12000,0))/IF(Grandview_Inventory[[#This Row],[unbuildable]]=1,2,1)</f>
        <v>66000.449953787873</v>
      </c>
      <c r="CA683">
        <f>IF(ROUND(Grandview_Inventory[[#This Row],[adj_land]]*Lookups!$M$28,-2)&lt;Grandview_Inventory[[#This Row],[min_land]],Grandview_Inventory[[#This Row],[min_land]],ROUND(Grandview_Inventory[[#This Row],[adj_land]]*Lookups!$M$28,-2))</f>
        <v>62700</v>
      </c>
      <c r="CB683">
        <f>ROUND(Grandview_Inventory[[#This Row],[det_value]]*Lookups!$M$28,-2)</f>
        <v>0</v>
      </c>
      <c r="CC683">
        <f>IF(ROUND(Grandview_Inventory[[#This Row],[adj_res]]*Lookups!$M$28,-2)&lt;Grandview_Inventory[[#This Row],[min_res]],Grandview_Inventory[[#This Row],[min_res]],ROUND(Grandview_Inventory[[#This Row],[adj_res]]*Lookups!$M$28,-2))</f>
        <v>200300</v>
      </c>
      <c r="CD683">
        <f>Grandview_Inventory[[#This Row],[final_det]]+Grandview_Inventory[[#This Row],[final_res]]</f>
        <v>200300</v>
      </c>
      <c r="CE683">
        <f>Grandview_Inventory[[#This Row],[final_land]]+Grandview_Inventory[[#This Row],[final_imp]]+Grandview_Inventory[[#This Row],[crop_value]]</f>
        <v>263000</v>
      </c>
      <c r="CG683" t="str">
        <f t="shared" si="10"/>
        <v>update valuation set market_land =62700, market_bldg=200300, market_total =263000, market_mdno =401, market_date ='9/10/2023' where link_id = (select link_id from parcel where parcel_year = '2024' and parcel_id = '23092231401');</v>
      </c>
    </row>
    <row r="684" spans="1:85" x14ac:dyDescent="0.25">
      <c r="A684">
        <v>23092231408</v>
      </c>
      <c r="B684">
        <v>0.18</v>
      </c>
      <c r="C684">
        <v>7700</v>
      </c>
      <c r="D684" t="s">
        <v>129</v>
      </c>
      <c r="E684" t="s">
        <v>53</v>
      </c>
      <c r="F684" t="s">
        <v>53</v>
      </c>
      <c r="G684">
        <v>4</v>
      </c>
      <c r="H684" t="s">
        <v>54</v>
      </c>
      <c r="I684">
        <v>131500</v>
      </c>
      <c r="J684">
        <v>43100</v>
      </c>
      <c r="K684">
        <v>0.18</v>
      </c>
      <c r="L68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684">
        <v>0</v>
      </c>
      <c r="N684">
        <v>0</v>
      </c>
      <c r="O684">
        <v>0</v>
      </c>
      <c r="P684">
        <v>13398.7528</v>
      </c>
      <c r="Q684">
        <v>63903</v>
      </c>
      <c r="R684">
        <f>(Grandview_Inventory[[#This Row],[ln_acres]]*Grandview_Inventory[[#This Row],[coeff]])+Grandview_Inventory[[#This Row],[const]]</f>
        <v>40926.839760167699</v>
      </c>
      <c r="S684" t="s">
        <v>68</v>
      </c>
      <c r="T684">
        <v>1</v>
      </c>
      <c r="U684" t="s">
        <v>70</v>
      </c>
      <c r="V684" t="s">
        <v>78</v>
      </c>
      <c r="W684">
        <v>0</v>
      </c>
      <c r="X684">
        <v>0</v>
      </c>
      <c r="Y684">
        <v>49</v>
      </c>
      <c r="Z684">
        <v>65</v>
      </c>
      <c r="AA684">
        <v>70</v>
      </c>
      <c r="AB684">
        <v>1500</v>
      </c>
      <c r="AC684">
        <v>1270</v>
      </c>
      <c r="AD684">
        <v>1270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384</v>
      </c>
      <c r="AN684">
        <v>80</v>
      </c>
      <c r="AO684">
        <v>384</v>
      </c>
      <c r="AP684">
        <v>8</v>
      </c>
      <c r="AQ684">
        <v>0</v>
      </c>
      <c r="AR684">
        <v>0</v>
      </c>
      <c r="AS684" t="s">
        <v>58</v>
      </c>
      <c r="AT684">
        <v>1</v>
      </c>
      <c r="AU684" t="s">
        <v>63</v>
      </c>
      <c r="AV684" t="s">
        <v>64</v>
      </c>
      <c r="AW684">
        <v>1</v>
      </c>
      <c r="AX684">
        <v>3</v>
      </c>
      <c r="AY684">
        <v>0</v>
      </c>
      <c r="AZ684">
        <v>11000</v>
      </c>
      <c r="BA684">
        <v>100</v>
      </c>
      <c r="BB684">
        <v>100</v>
      </c>
      <c r="BC684">
        <v>100</v>
      </c>
      <c r="BD684">
        <v>100</v>
      </c>
      <c r="BE684">
        <v>1</v>
      </c>
      <c r="BF684">
        <v>15000</v>
      </c>
      <c r="BG684">
        <v>1000</v>
      </c>
      <c r="BH684" s="6">
        <f>Grandview_Inventory[[#This Row],[land_extract]]*Lookups!$B$3</f>
        <v>47528.228511015397</v>
      </c>
      <c r="BI684" s="6">
        <f>IF(Grandview_Inventory[[#This Row],[bldg_style]]="",0,Lookups!$B$2)</f>
        <v>155833.95000000001</v>
      </c>
      <c r="BJ684" s="6">
        <f>_xlfn.IFNA(VLOOKUP(Grandview_Inventory[[#This Row],[quality]],Lookups!$H$2:$J$14,3,FALSE),0)</f>
        <v>10733</v>
      </c>
      <c r="BK684" s="6">
        <f>_xlfn.IFNA(VLOOKUP(Grandview_Inventory[[#This Row],[condition]],Lookups!$H$17:$J$24,3,FALSE),0)</f>
        <v>-45357</v>
      </c>
      <c r="BL684" s="6">
        <f>Grandview_Inventory[[#This Row],[Eff_Age]]*Lookups!$B$14</f>
        <v>-11719.163399999999</v>
      </c>
      <c r="BM684" s="6">
        <f>Grandview_Inventory[[#This Row],[living_area]]*Lookups!$B$15</f>
        <v>79223.683310000008</v>
      </c>
      <c r="BN684" s="6">
        <f>Grandview_Inventory[[#This Row],[Fin BSMT]]*Lookups!$B$16</f>
        <v>0</v>
      </c>
      <c r="BO684" s="6">
        <f>(Grandview_Inventory[[#This Row],[att_gar]]+Grandview_Inventory[[#This Row],[bltin_gar]])*Lookups!$B$17</f>
        <v>0</v>
      </c>
      <c r="BP684" s="6">
        <f>Grandview_Inventory[[#This Row],[Plumbing Fixtures]]*Lookups!$B$18</f>
        <v>16083.5344</v>
      </c>
      <c r="BQ684" s="6">
        <f>Grandview_Inventory[[#This Row],[detatched_value]]*Lookups!$B$19</f>
        <v>9314.8560999999991</v>
      </c>
      <c r="BR684" s="6">
        <f>SUM(Grandview_Inventory[[#This Row],[Intercept]:[det_value]])*Grandview_Inventory[[#This Row],[res_pct]]</f>
        <v>214112.86041000002</v>
      </c>
      <c r="BS684" s="6">
        <f>Grandview_Inventory[[#This Row],[land_value]]</f>
        <v>47528.228511015397</v>
      </c>
      <c r="BT684" s="4">
        <f>_xlfn.IFNA(VLOOKUP(Grandview_Inventory[[#This Row],[quality]],Lookups!$A$26:$C$33,3,FALSE),1)</f>
        <v>0.98079741117310582</v>
      </c>
      <c r="BU684" s="4">
        <f>_xlfn.IFNA(VLOOKUP(Grandview_Inventory[[#This Row],[condition]],Lookups!$A$37:$C$44,3,FALSE),1)</f>
        <v>0.97161819570155394</v>
      </c>
      <c r="BV684" s="4">
        <f>IF(Grandview_Inventory[[#This Row],[bldg_style]]="",1,_xlfn.IFNA(VLOOKUP(Grandview_Inventory[[#This Row],[decade]],Lookups!$F$29:$H$43,3,FALSE),1))</f>
        <v>0.99472141305414818</v>
      </c>
      <c r="BW684" s="4">
        <f>_xlfn.IFNA(VLOOKUP(Grandview_Inventory[[#This Row],[living_area_range]],Lookups!$F$47:$H$56,3,FALSE),1)</f>
        <v>0.96135087979789358</v>
      </c>
      <c r="BX684" s="4">
        <f>AVERAGE(Grandview_Inventory[[#This Row],[qual_adj]:[size_adj]])</f>
        <v>0.9771219749316753</v>
      </c>
      <c r="BY684" s="6">
        <f>IF(Grandview_Inventory[[#This Row],[pre_res]]&lt;0,0,Grandview_Inventory[[#This Row],[pre_res]]*Grandview_Inventory[[#This Row],[overall_adj]])</f>
        <v>209214.38102208934</v>
      </c>
      <c r="BZ684" s="6">
        <f>(Grandview_Inventory[[#This Row],[sum_land]]-IF(Grandview_Inventory[[#This Row],[no_utilities]]=1,12000,0))/IF(Grandview_Inventory[[#This Row],[unbuildable]]=1,2,1)</f>
        <v>47528.228511015397</v>
      </c>
      <c r="CA68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684">
        <f>ROUND(Grandview_Inventory[[#This Row],[det_value]]*Lookups!$M$28,-2)</f>
        <v>8800</v>
      </c>
      <c r="CC684">
        <f>IF(ROUND(Grandview_Inventory[[#This Row],[adj_res]]*Lookups!$M$28,-2)&lt;Grandview_Inventory[[#This Row],[min_res]],Grandview_Inventory[[#This Row],[min_res]],ROUND(Grandview_Inventory[[#This Row],[adj_res]]*Lookups!$M$28,-2))</f>
        <v>198800</v>
      </c>
      <c r="CD684">
        <f>Grandview_Inventory[[#This Row],[final_det]]+Grandview_Inventory[[#This Row],[final_res]]</f>
        <v>207600</v>
      </c>
      <c r="CE684">
        <f>Grandview_Inventory[[#This Row],[final_land]]+Grandview_Inventory[[#This Row],[final_imp]]+Grandview_Inventory[[#This Row],[crop_value]]</f>
        <v>252800</v>
      </c>
      <c r="CG684" t="str">
        <f t="shared" si="10"/>
        <v>update valuation set market_land =45200, market_bldg=207600, market_total =252800, market_mdno =401, market_date ='9/10/2023' where link_id = (select link_id from parcel where parcel_year = '2024' and parcel_id = '23092231408');</v>
      </c>
    </row>
    <row r="685" spans="1:85" x14ac:dyDescent="0.25">
      <c r="A685">
        <v>23092231409</v>
      </c>
      <c r="B685">
        <v>0.45</v>
      </c>
      <c r="C685">
        <v>19800</v>
      </c>
      <c r="D685" t="s">
        <v>129</v>
      </c>
      <c r="E685" t="s">
        <v>53</v>
      </c>
      <c r="F685" t="s">
        <v>53</v>
      </c>
      <c r="G685">
        <v>4</v>
      </c>
      <c r="H685" t="s">
        <v>54</v>
      </c>
      <c r="I685">
        <v>126900</v>
      </c>
      <c r="J685">
        <v>41400</v>
      </c>
      <c r="K685">
        <v>0.45</v>
      </c>
      <c r="L685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685">
        <v>0</v>
      </c>
      <c r="N685">
        <v>0</v>
      </c>
      <c r="O685">
        <v>0</v>
      </c>
      <c r="P685">
        <v>13398.7528</v>
      </c>
      <c r="Q685">
        <v>63903</v>
      </c>
      <c r="R685">
        <f>(Grandview_Inventory[[#This Row],[ln_acres]]*Grandview_Inventory[[#This Row],[coeff]])+Grandview_Inventory[[#This Row],[const]]</f>
        <v>53203.992769480581</v>
      </c>
      <c r="S685" t="s">
        <v>61</v>
      </c>
      <c r="T685">
        <v>1</v>
      </c>
      <c r="U685" t="s">
        <v>70</v>
      </c>
      <c r="V685" t="s">
        <v>69</v>
      </c>
      <c r="W685">
        <v>0</v>
      </c>
      <c r="X685">
        <v>0</v>
      </c>
      <c r="Y685">
        <v>49</v>
      </c>
      <c r="Z685">
        <v>69</v>
      </c>
      <c r="AA685">
        <v>70</v>
      </c>
      <c r="AB685">
        <v>1000</v>
      </c>
      <c r="AC685">
        <v>990</v>
      </c>
      <c r="AD685">
        <v>990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300</v>
      </c>
      <c r="AN685">
        <v>0</v>
      </c>
      <c r="AO685">
        <v>0</v>
      </c>
      <c r="AP685">
        <v>5</v>
      </c>
      <c r="AQ685">
        <v>0</v>
      </c>
      <c r="AR685">
        <v>0</v>
      </c>
      <c r="AS685" t="s">
        <v>58</v>
      </c>
      <c r="AT685">
        <v>1</v>
      </c>
      <c r="AU685" t="s">
        <v>63</v>
      </c>
      <c r="AV685" t="s">
        <v>64</v>
      </c>
      <c r="AW685">
        <v>0</v>
      </c>
      <c r="AX685">
        <v>3</v>
      </c>
      <c r="AY685">
        <v>0</v>
      </c>
      <c r="AZ685">
        <v>5400</v>
      </c>
      <c r="BA685">
        <v>100</v>
      </c>
      <c r="BB685">
        <v>100</v>
      </c>
      <c r="BC685">
        <v>100</v>
      </c>
      <c r="BD685">
        <v>100</v>
      </c>
      <c r="BE685">
        <v>1</v>
      </c>
      <c r="BF685">
        <v>15000</v>
      </c>
      <c r="BG685">
        <v>1000</v>
      </c>
      <c r="BH685" s="6">
        <f>Grandview_Inventory[[#This Row],[land_extract]]*Lookups!$B$3</f>
        <v>61785.653152417319</v>
      </c>
      <c r="BI685" s="6">
        <f>IF(Grandview_Inventory[[#This Row],[bldg_style]]="",0,Lookups!$B$2)</f>
        <v>155833.95000000001</v>
      </c>
      <c r="BJ685" s="6">
        <f>_xlfn.IFNA(VLOOKUP(Grandview_Inventory[[#This Row],[quality]],Lookups!$H$2:$J$14,3,FALSE),0)</f>
        <v>10733</v>
      </c>
      <c r="BK685" s="6">
        <f>_xlfn.IFNA(VLOOKUP(Grandview_Inventory[[#This Row],[condition]],Lookups!$H$17:$J$24,3,FALSE),0)</f>
        <v>-4503</v>
      </c>
      <c r="BL685" s="6">
        <f>Grandview_Inventory[[#This Row],[Eff_Age]]*Lookups!$B$14</f>
        <v>-11719.163399999999</v>
      </c>
      <c r="BM685" s="6">
        <f>Grandview_Inventory[[#This Row],[living_area]]*Lookups!$B$15</f>
        <v>61757.044470000001</v>
      </c>
      <c r="BN685" s="6">
        <f>Grandview_Inventory[[#This Row],[Fin BSMT]]*Lookups!$B$16</f>
        <v>0</v>
      </c>
      <c r="BO685" s="6">
        <f>(Grandview_Inventory[[#This Row],[att_gar]]+Grandview_Inventory[[#This Row],[bltin_gar]])*Lookups!$B$17</f>
        <v>0</v>
      </c>
      <c r="BP685" s="6">
        <f>Grandview_Inventory[[#This Row],[Plumbing Fixtures]]*Lookups!$B$18</f>
        <v>10052.209000000001</v>
      </c>
      <c r="BQ685" s="6">
        <f>Grandview_Inventory[[#This Row],[detatched_value]]*Lookups!$B$19</f>
        <v>4572.7475400000003</v>
      </c>
      <c r="BR685" s="6">
        <f>SUM(Grandview_Inventory[[#This Row],[Intercept]:[det_value]])*Grandview_Inventory[[#This Row],[res_pct]]</f>
        <v>226726.78761000003</v>
      </c>
      <c r="BS685" s="6">
        <f>Grandview_Inventory[[#This Row],[land_value]]</f>
        <v>61785.653152417319</v>
      </c>
      <c r="BT685" s="4">
        <f>_xlfn.IFNA(VLOOKUP(Grandview_Inventory[[#This Row],[quality]],Lookups!$A$26:$C$33,3,FALSE),1)</f>
        <v>0.98079741117310582</v>
      </c>
      <c r="BU685" s="4">
        <f>_xlfn.IFNA(VLOOKUP(Grandview_Inventory[[#This Row],[condition]],Lookups!$A$37:$C$44,3,FALSE),1)</f>
        <v>0.96469275950863709</v>
      </c>
      <c r="BV685" s="4">
        <f>IF(Grandview_Inventory[[#This Row],[bldg_style]]="",1,_xlfn.IFNA(VLOOKUP(Grandview_Inventory[[#This Row],[decade]],Lookups!$F$29:$H$43,3,FALSE),1))</f>
        <v>0.99472141305414818</v>
      </c>
      <c r="BW685" s="4">
        <f>_xlfn.IFNA(VLOOKUP(Grandview_Inventory[[#This Row],[living_area_range]],Lookups!$F$47:$H$56,3,FALSE),1)</f>
        <v>0.94306777142782894</v>
      </c>
      <c r="BX685" s="4">
        <f>AVERAGE(Grandview_Inventory[[#This Row],[qual_adj]:[size_adj]])</f>
        <v>0.97081983879093003</v>
      </c>
      <c r="BY685" s="6">
        <f>IF(Grandview_Inventory[[#This Row],[pre_res]]&lt;0,0,Grandview_Inventory[[#This Row],[pre_res]]*Grandview_Inventory[[#This Row],[overall_adj]])</f>
        <v>220110.86339712565</v>
      </c>
      <c r="BZ685" s="6">
        <f>(Grandview_Inventory[[#This Row],[sum_land]]-IF(Grandview_Inventory[[#This Row],[no_utilities]]=1,12000,0))/IF(Grandview_Inventory[[#This Row],[unbuildable]]=1,2,1)</f>
        <v>61785.653152417319</v>
      </c>
      <c r="CA685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685">
        <f>ROUND(Grandview_Inventory[[#This Row],[det_value]]*Lookups!$M$28,-2)</f>
        <v>4300</v>
      </c>
      <c r="CC685">
        <f>IF(ROUND(Grandview_Inventory[[#This Row],[adj_res]]*Lookups!$M$28,-2)&lt;Grandview_Inventory[[#This Row],[min_res]],Grandview_Inventory[[#This Row],[min_res]],ROUND(Grandview_Inventory[[#This Row],[adj_res]]*Lookups!$M$28,-2))</f>
        <v>209100</v>
      </c>
      <c r="CD685">
        <f>Grandview_Inventory[[#This Row],[final_det]]+Grandview_Inventory[[#This Row],[final_res]]</f>
        <v>213400</v>
      </c>
      <c r="CE685">
        <f>Grandview_Inventory[[#This Row],[final_land]]+Grandview_Inventory[[#This Row],[final_imp]]+Grandview_Inventory[[#This Row],[crop_value]]</f>
        <v>272100</v>
      </c>
      <c r="CG685" t="str">
        <f t="shared" si="10"/>
        <v>update valuation set market_land =58700, market_bldg=213400, market_total =272100, market_mdno =401, market_date ='9/10/2023' where link_id = (select link_id from parcel where parcel_year = '2024' and parcel_id = '23092231409');</v>
      </c>
    </row>
    <row r="686" spans="1:85" x14ac:dyDescent="0.25">
      <c r="A686">
        <v>23092231410</v>
      </c>
      <c r="B686">
        <v>0.32</v>
      </c>
      <c r="C686">
        <v>13754</v>
      </c>
      <c r="D686" t="s">
        <v>129</v>
      </c>
      <c r="E686" t="s">
        <v>53</v>
      </c>
      <c r="F686" t="s">
        <v>53</v>
      </c>
      <c r="G686">
        <v>4</v>
      </c>
      <c r="H686" t="s">
        <v>54</v>
      </c>
      <c r="I686">
        <v>135200</v>
      </c>
      <c r="J686">
        <v>41100</v>
      </c>
      <c r="K686">
        <v>0.32</v>
      </c>
      <c r="L686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686">
        <v>0</v>
      </c>
      <c r="N686">
        <v>0</v>
      </c>
      <c r="O686">
        <v>0</v>
      </c>
      <c r="P686">
        <v>13398.7528</v>
      </c>
      <c r="Q686">
        <v>63903</v>
      </c>
      <c r="R686">
        <f>(Grandview_Inventory[[#This Row],[ln_acres]]*Grandview_Inventory[[#This Row],[coeff]])+Grandview_Inventory[[#This Row],[const]]</f>
        <v>48636.001707713905</v>
      </c>
      <c r="S686" t="s">
        <v>61</v>
      </c>
      <c r="T686">
        <v>1</v>
      </c>
      <c r="U686" t="s">
        <v>65</v>
      </c>
      <c r="V686" t="s">
        <v>69</v>
      </c>
      <c r="W686">
        <v>0</v>
      </c>
      <c r="X686">
        <v>0</v>
      </c>
      <c r="Y686">
        <v>47</v>
      </c>
      <c r="Z686">
        <v>58</v>
      </c>
      <c r="AA686">
        <v>60</v>
      </c>
      <c r="AB686">
        <v>1500</v>
      </c>
      <c r="AC686">
        <v>1334</v>
      </c>
      <c r="AD686">
        <v>1334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165</v>
      </c>
      <c r="AN686">
        <v>0</v>
      </c>
      <c r="AO686">
        <v>0</v>
      </c>
      <c r="AP686">
        <v>5</v>
      </c>
      <c r="AQ686">
        <v>0</v>
      </c>
      <c r="AR686">
        <v>0</v>
      </c>
      <c r="AS686" t="s">
        <v>58</v>
      </c>
      <c r="AT686">
        <v>1</v>
      </c>
      <c r="AU686" t="s">
        <v>63</v>
      </c>
      <c r="AV686" t="s">
        <v>60</v>
      </c>
      <c r="AW686">
        <v>0</v>
      </c>
      <c r="AX686">
        <v>3</v>
      </c>
      <c r="AY686">
        <v>0</v>
      </c>
      <c r="AZ686">
        <v>0</v>
      </c>
      <c r="BA686">
        <v>100</v>
      </c>
      <c r="BB686">
        <v>100</v>
      </c>
      <c r="BC686">
        <v>100</v>
      </c>
      <c r="BD686">
        <v>100</v>
      </c>
      <c r="BE686">
        <v>1</v>
      </c>
      <c r="BF686">
        <v>15000</v>
      </c>
      <c r="BG686">
        <v>1000</v>
      </c>
      <c r="BH686" s="6">
        <f>Grandview_Inventory[[#This Row],[land_extract]]*Lookups!$B$3</f>
        <v>56480.857465963549</v>
      </c>
      <c r="BI686" s="6">
        <f>IF(Grandview_Inventory[[#This Row],[bldg_style]]="",0,Lookups!$B$2)</f>
        <v>155833.95000000001</v>
      </c>
      <c r="BJ686" s="6">
        <f>_xlfn.IFNA(VLOOKUP(Grandview_Inventory[[#This Row],[quality]],Lookups!$H$2:$J$14,3,FALSE),0)</f>
        <v>2251</v>
      </c>
      <c r="BK686" s="6">
        <f>_xlfn.IFNA(VLOOKUP(Grandview_Inventory[[#This Row],[condition]],Lookups!$H$17:$J$24,3,FALSE),0)</f>
        <v>-4503</v>
      </c>
      <c r="BL686" s="6">
        <f>Grandview_Inventory[[#This Row],[Eff_Age]]*Lookups!$B$14</f>
        <v>-11240.8302</v>
      </c>
      <c r="BM686" s="6">
        <f>Grandview_Inventory[[#This Row],[living_area]]*Lookups!$B$15</f>
        <v>83216.057902</v>
      </c>
      <c r="BN686" s="6">
        <f>Grandview_Inventory[[#This Row],[Fin BSMT]]*Lookups!$B$16</f>
        <v>0</v>
      </c>
      <c r="BO686" s="6">
        <f>(Grandview_Inventory[[#This Row],[att_gar]]+Grandview_Inventory[[#This Row],[bltin_gar]])*Lookups!$B$17</f>
        <v>0</v>
      </c>
      <c r="BP686" s="6">
        <f>Grandview_Inventory[[#This Row],[Plumbing Fixtures]]*Lookups!$B$18</f>
        <v>10052.209000000001</v>
      </c>
      <c r="BQ686" s="6">
        <f>Grandview_Inventory[[#This Row],[detatched_value]]*Lookups!$B$19</f>
        <v>0</v>
      </c>
      <c r="BR686" s="6">
        <f>SUM(Grandview_Inventory[[#This Row],[Intercept]:[det_value]])*Grandview_Inventory[[#This Row],[res_pct]]</f>
        <v>235609.38670200002</v>
      </c>
      <c r="BS686" s="6">
        <f>Grandview_Inventory[[#This Row],[land_value]]</f>
        <v>56480.857465963549</v>
      </c>
      <c r="BT686" s="4">
        <f>_xlfn.IFNA(VLOOKUP(Grandview_Inventory[[#This Row],[quality]],Lookups!$A$26:$C$33,3,FALSE),1)</f>
        <v>0.98763855981004833</v>
      </c>
      <c r="BU686" s="4">
        <f>_xlfn.IFNA(VLOOKUP(Grandview_Inventory[[#This Row],[condition]],Lookups!$A$37:$C$44,3,FALSE),1)</f>
        <v>0.96469275950863709</v>
      </c>
      <c r="BV686" s="4">
        <f>IF(Grandview_Inventory[[#This Row],[bldg_style]]="",1,_xlfn.IFNA(VLOOKUP(Grandview_Inventory[[#This Row],[decade]],Lookups!$F$29:$H$43,3,FALSE),1))</f>
        <v>0.95268620544463312</v>
      </c>
      <c r="BW686" s="4">
        <f>_xlfn.IFNA(VLOOKUP(Grandview_Inventory[[#This Row],[living_area_range]],Lookups!$F$47:$H$56,3,FALSE),1)</f>
        <v>0.96135087979789358</v>
      </c>
      <c r="BX686" s="4">
        <f>AVERAGE(Grandview_Inventory[[#This Row],[qual_adj]:[size_adj]])</f>
        <v>0.96659210114030303</v>
      </c>
      <c r="BY686" s="6">
        <f>IF(Grandview_Inventory[[#This Row],[pre_res]]&lt;0,0,Grandview_Inventory[[#This Row],[pre_res]]*Grandview_Inventory[[#This Row],[overall_adj]])</f>
        <v>227738.17214066436</v>
      </c>
      <c r="BZ686" s="6">
        <f>(Grandview_Inventory[[#This Row],[sum_land]]-IF(Grandview_Inventory[[#This Row],[no_utilities]]=1,12000,0))/IF(Grandview_Inventory[[#This Row],[unbuildable]]=1,2,1)</f>
        <v>56480.857465963549</v>
      </c>
      <c r="CA686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686">
        <f>ROUND(Grandview_Inventory[[#This Row],[det_value]]*Lookups!$M$28,-2)</f>
        <v>0</v>
      </c>
      <c r="CC686">
        <f>IF(ROUND(Grandview_Inventory[[#This Row],[adj_res]]*Lookups!$M$28,-2)&lt;Grandview_Inventory[[#This Row],[min_res]],Grandview_Inventory[[#This Row],[min_res]],ROUND(Grandview_Inventory[[#This Row],[adj_res]]*Lookups!$M$28,-2))</f>
        <v>216400</v>
      </c>
      <c r="CD686">
        <f>Grandview_Inventory[[#This Row],[final_det]]+Grandview_Inventory[[#This Row],[final_res]]</f>
        <v>216400</v>
      </c>
      <c r="CE686">
        <f>Grandview_Inventory[[#This Row],[final_land]]+Grandview_Inventory[[#This Row],[final_imp]]+Grandview_Inventory[[#This Row],[crop_value]]</f>
        <v>270100</v>
      </c>
      <c r="CG686" t="str">
        <f t="shared" si="10"/>
        <v>update valuation set market_land =53700, market_bldg=216400, market_total =270100, market_mdno =401, market_date ='9/10/2023' where link_id = (select link_id from parcel where parcel_year = '2024' and parcel_id = '23092231410');</v>
      </c>
    </row>
    <row r="687" spans="1:85" x14ac:dyDescent="0.25">
      <c r="A687">
        <v>23092231412</v>
      </c>
      <c r="B687">
        <v>0.31</v>
      </c>
      <c r="C687">
        <v>13613</v>
      </c>
      <c r="D687" t="s">
        <v>129</v>
      </c>
      <c r="E687" t="s">
        <v>53</v>
      </c>
      <c r="F687" t="s">
        <v>53</v>
      </c>
      <c r="G687">
        <v>4</v>
      </c>
      <c r="H687" t="s">
        <v>54</v>
      </c>
      <c r="I687">
        <v>139700</v>
      </c>
      <c r="J687">
        <v>45600</v>
      </c>
      <c r="K687">
        <v>0.31</v>
      </c>
      <c r="L687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687">
        <v>0</v>
      </c>
      <c r="N687">
        <v>0</v>
      </c>
      <c r="O687">
        <v>0</v>
      </c>
      <c r="P687">
        <v>13398.7528</v>
      </c>
      <c r="Q687">
        <v>63903</v>
      </c>
      <c r="R687">
        <f>(Grandview_Inventory[[#This Row],[ln_acres]]*Grandview_Inventory[[#This Row],[coeff]])+Grandview_Inventory[[#This Row],[const]]</f>
        <v>48210.608747275066</v>
      </c>
      <c r="S687" t="s">
        <v>61</v>
      </c>
      <c r="T687">
        <v>1</v>
      </c>
      <c r="U687" t="s">
        <v>70</v>
      </c>
      <c r="V687" t="s">
        <v>69</v>
      </c>
      <c r="W687">
        <v>0</v>
      </c>
      <c r="X687">
        <v>0</v>
      </c>
      <c r="Y687">
        <v>49</v>
      </c>
      <c r="Z687">
        <v>65</v>
      </c>
      <c r="AA687">
        <v>70</v>
      </c>
      <c r="AB687">
        <v>1000</v>
      </c>
      <c r="AC687">
        <v>896</v>
      </c>
      <c r="AD687">
        <v>896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234</v>
      </c>
      <c r="AL687">
        <v>0</v>
      </c>
      <c r="AM687">
        <v>130</v>
      </c>
      <c r="AN687">
        <v>0</v>
      </c>
      <c r="AO687">
        <v>0</v>
      </c>
      <c r="AP687">
        <v>5</v>
      </c>
      <c r="AQ687">
        <v>0</v>
      </c>
      <c r="AR687">
        <v>0</v>
      </c>
      <c r="AS687" t="s">
        <v>58</v>
      </c>
      <c r="AT687">
        <v>1</v>
      </c>
      <c r="AU687" t="s">
        <v>79</v>
      </c>
      <c r="AV687" t="s">
        <v>60</v>
      </c>
      <c r="AW687">
        <v>0</v>
      </c>
      <c r="AX687">
        <v>2</v>
      </c>
      <c r="AY687">
        <v>0</v>
      </c>
      <c r="AZ687">
        <v>1900</v>
      </c>
      <c r="BA687">
        <v>100</v>
      </c>
      <c r="BB687">
        <v>100</v>
      </c>
      <c r="BC687">
        <v>100</v>
      </c>
      <c r="BD687">
        <v>100</v>
      </c>
      <c r="BE687">
        <v>1</v>
      </c>
      <c r="BF687">
        <v>15000</v>
      </c>
      <c r="BG687">
        <v>1000</v>
      </c>
      <c r="BH687" s="6">
        <f>Grandview_Inventory[[#This Row],[land_extract]]*Lookups!$B$3</f>
        <v>55986.849769566914</v>
      </c>
      <c r="BI687" s="6">
        <f>IF(Grandview_Inventory[[#This Row],[bldg_style]]="",0,Lookups!$B$2)</f>
        <v>155833.95000000001</v>
      </c>
      <c r="BJ687" s="6">
        <f>_xlfn.IFNA(VLOOKUP(Grandview_Inventory[[#This Row],[quality]],Lookups!$H$2:$J$14,3,FALSE),0)</f>
        <v>10733</v>
      </c>
      <c r="BK687" s="6">
        <f>_xlfn.IFNA(VLOOKUP(Grandview_Inventory[[#This Row],[condition]],Lookups!$H$17:$J$24,3,FALSE),0)</f>
        <v>-4503</v>
      </c>
      <c r="BL687" s="6">
        <f>Grandview_Inventory[[#This Row],[Eff_Age]]*Lookups!$B$14</f>
        <v>-11719.163399999999</v>
      </c>
      <c r="BM687" s="6">
        <f>Grandview_Inventory[[#This Row],[living_area]]*Lookups!$B$15</f>
        <v>55893.244288000002</v>
      </c>
      <c r="BN687" s="6">
        <f>Grandview_Inventory[[#This Row],[Fin BSMT]]*Lookups!$B$16</f>
        <v>0</v>
      </c>
      <c r="BO687" s="6">
        <f>(Grandview_Inventory[[#This Row],[att_gar]]+Grandview_Inventory[[#This Row],[bltin_gar]])*Lookups!$B$17</f>
        <v>0</v>
      </c>
      <c r="BP687" s="6">
        <f>Grandview_Inventory[[#This Row],[Plumbing Fixtures]]*Lookups!$B$18</f>
        <v>10052.209000000001</v>
      </c>
      <c r="BQ687" s="6">
        <f>Grandview_Inventory[[#This Row],[detatched_value]]*Lookups!$B$19</f>
        <v>1608.9296899999999</v>
      </c>
      <c r="BR687" s="6">
        <f>SUM(Grandview_Inventory[[#This Row],[Intercept]:[det_value]])*Grandview_Inventory[[#This Row],[res_pct]]</f>
        <v>217899.16957800003</v>
      </c>
      <c r="BS687" s="6">
        <f>Grandview_Inventory[[#This Row],[land_value]]</f>
        <v>55986.849769566914</v>
      </c>
      <c r="BT687" s="4">
        <f>_xlfn.IFNA(VLOOKUP(Grandview_Inventory[[#This Row],[quality]],Lookups!$A$26:$C$33,3,FALSE),1)</f>
        <v>0.98079741117310582</v>
      </c>
      <c r="BU687" s="4">
        <f>_xlfn.IFNA(VLOOKUP(Grandview_Inventory[[#This Row],[condition]],Lookups!$A$37:$C$44,3,FALSE),1)</f>
        <v>0.96469275950863709</v>
      </c>
      <c r="BV687" s="4">
        <f>IF(Grandview_Inventory[[#This Row],[bldg_style]]="",1,_xlfn.IFNA(VLOOKUP(Grandview_Inventory[[#This Row],[decade]],Lookups!$F$29:$H$43,3,FALSE),1))</f>
        <v>0.99472141305414818</v>
      </c>
      <c r="BW687" s="4">
        <f>_xlfn.IFNA(VLOOKUP(Grandview_Inventory[[#This Row],[living_area_range]],Lookups!$F$47:$H$56,3,FALSE),1)</f>
        <v>0.94306777142782894</v>
      </c>
      <c r="BX687" s="4">
        <f>AVERAGE(Grandview_Inventory[[#This Row],[qual_adj]:[size_adj]])</f>
        <v>0.97081983879093003</v>
      </c>
      <c r="BY687" s="6">
        <f>IF(Grandview_Inventory[[#This Row],[pre_res]]&lt;0,0,Grandview_Inventory[[#This Row],[pre_res]]*Grandview_Inventory[[#This Row],[overall_adj]])</f>
        <v>211540.83668239153</v>
      </c>
      <c r="BZ687" s="6">
        <f>(Grandview_Inventory[[#This Row],[sum_land]]-IF(Grandview_Inventory[[#This Row],[no_utilities]]=1,12000,0))/IF(Grandview_Inventory[[#This Row],[unbuildable]]=1,2,1)</f>
        <v>55986.849769566914</v>
      </c>
      <c r="CA687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687">
        <f>ROUND(Grandview_Inventory[[#This Row],[det_value]]*Lookups!$M$28,-2)</f>
        <v>1500</v>
      </c>
      <c r="CC687">
        <f>IF(ROUND(Grandview_Inventory[[#This Row],[adj_res]]*Lookups!$M$28,-2)&lt;Grandview_Inventory[[#This Row],[min_res]],Grandview_Inventory[[#This Row],[min_res]],ROUND(Grandview_Inventory[[#This Row],[adj_res]]*Lookups!$M$28,-2))</f>
        <v>201000</v>
      </c>
      <c r="CD687">
        <f>Grandview_Inventory[[#This Row],[final_det]]+Grandview_Inventory[[#This Row],[final_res]]</f>
        <v>202500</v>
      </c>
      <c r="CE687">
        <f>Grandview_Inventory[[#This Row],[final_land]]+Grandview_Inventory[[#This Row],[final_imp]]+Grandview_Inventory[[#This Row],[crop_value]]</f>
        <v>255700</v>
      </c>
      <c r="CG687" t="str">
        <f t="shared" si="10"/>
        <v>update valuation set market_land =53200, market_bldg=202500, market_total =255700, market_mdno =401, market_date ='9/10/2023' where link_id = (select link_id from parcel where parcel_year = '2024' and parcel_id = '23092231412');</v>
      </c>
    </row>
    <row r="688" spans="1:85" x14ac:dyDescent="0.25">
      <c r="A688">
        <v>23092231413</v>
      </c>
      <c r="B688">
        <v>0.31</v>
      </c>
      <c r="C688" t="s">
        <v>129</v>
      </c>
      <c r="D688" t="s">
        <v>129</v>
      </c>
      <c r="E688" t="s">
        <v>53</v>
      </c>
      <c r="F688" t="s">
        <v>53</v>
      </c>
      <c r="G688">
        <v>4</v>
      </c>
      <c r="H688" t="s">
        <v>54</v>
      </c>
      <c r="I688">
        <v>179500</v>
      </c>
      <c r="J688">
        <v>41100</v>
      </c>
      <c r="K688">
        <v>0.31</v>
      </c>
      <c r="L688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688">
        <v>0</v>
      </c>
      <c r="N688">
        <v>0</v>
      </c>
      <c r="O688">
        <v>0</v>
      </c>
      <c r="P688">
        <v>13398.7528</v>
      </c>
      <c r="Q688">
        <v>63903</v>
      </c>
      <c r="R688">
        <f>(Grandview_Inventory[[#This Row],[ln_acres]]*Grandview_Inventory[[#This Row],[coeff]])+Grandview_Inventory[[#This Row],[const]]</f>
        <v>48210.608747275066</v>
      </c>
      <c r="S688" t="s">
        <v>61</v>
      </c>
      <c r="T688">
        <v>1</v>
      </c>
      <c r="U688" t="s">
        <v>70</v>
      </c>
      <c r="V688" t="s">
        <v>78</v>
      </c>
      <c r="W688">
        <v>0</v>
      </c>
      <c r="X688">
        <v>0</v>
      </c>
      <c r="Y688">
        <v>50</v>
      </c>
      <c r="Z688">
        <v>71</v>
      </c>
      <c r="AA688">
        <v>80</v>
      </c>
      <c r="AB688">
        <v>2000</v>
      </c>
      <c r="AC688">
        <v>1836</v>
      </c>
      <c r="AD688">
        <v>1836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410</v>
      </c>
      <c r="AN688">
        <v>65</v>
      </c>
      <c r="AO688">
        <v>200</v>
      </c>
      <c r="AP688">
        <v>8</v>
      </c>
      <c r="AQ688">
        <v>1</v>
      </c>
      <c r="AR688">
        <v>0</v>
      </c>
      <c r="AS688" t="s">
        <v>58</v>
      </c>
      <c r="AT688">
        <v>1</v>
      </c>
      <c r="AU688" t="s">
        <v>59</v>
      </c>
      <c r="AV688" t="s">
        <v>60</v>
      </c>
      <c r="AW688">
        <v>1</v>
      </c>
      <c r="AX688">
        <v>5</v>
      </c>
      <c r="AY688">
        <v>0</v>
      </c>
      <c r="AZ688">
        <v>7600</v>
      </c>
      <c r="BA688">
        <v>100</v>
      </c>
      <c r="BB688">
        <v>100</v>
      </c>
      <c r="BC688">
        <v>100</v>
      </c>
      <c r="BD688">
        <v>100</v>
      </c>
      <c r="BE688">
        <v>1</v>
      </c>
      <c r="BF688">
        <v>15000</v>
      </c>
      <c r="BG688">
        <v>1000</v>
      </c>
      <c r="BH688" s="6">
        <f>Grandview_Inventory[[#This Row],[land_extract]]*Lookups!$B$3</f>
        <v>55986.849769566914</v>
      </c>
      <c r="BI688" s="6">
        <f>IF(Grandview_Inventory[[#This Row],[bldg_style]]="",0,Lookups!$B$2)</f>
        <v>155833.95000000001</v>
      </c>
      <c r="BJ688" s="6">
        <f>_xlfn.IFNA(VLOOKUP(Grandview_Inventory[[#This Row],[quality]],Lookups!$H$2:$J$14,3,FALSE),0)</f>
        <v>10733</v>
      </c>
      <c r="BK688" s="6">
        <f>_xlfn.IFNA(VLOOKUP(Grandview_Inventory[[#This Row],[condition]],Lookups!$H$17:$J$24,3,FALSE),0)</f>
        <v>-45357</v>
      </c>
      <c r="BL688" s="6">
        <f>Grandview_Inventory[[#This Row],[Eff_Age]]*Lookups!$B$14</f>
        <v>-11958.33</v>
      </c>
      <c r="BM688" s="6">
        <f>Grandview_Inventory[[#This Row],[living_area]]*Lookups!$B$15</f>
        <v>114531.24610800001</v>
      </c>
      <c r="BN688" s="6">
        <f>Grandview_Inventory[[#This Row],[Fin BSMT]]*Lookups!$B$16</f>
        <v>0</v>
      </c>
      <c r="BO688" s="6">
        <f>(Grandview_Inventory[[#This Row],[att_gar]]+Grandview_Inventory[[#This Row],[bltin_gar]])*Lookups!$B$17</f>
        <v>0</v>
      </c>
      <c r="BP688" s="6">
        <f>Grandview_Inventory[[#This Row],[Plumbing Fixtures]]*Lookups!$B$18</f>
        <v>16083.5344</v>
      </c>
      <c r="BQ688" s="6">
        <f>Grandview_Inventory[[#This Row],[detatched_value]]*Lookups!$B$19</f>
        <v>6435.7187599999997</v>
      </c>
      <c r="BR688" s="6">
        <f>SUM(Grandview_Inventory[[#This Row],[Intercept]:[det_value]])*Grandview_Inventory[[#This Row],[res_pct]]</f>
        <v>246302.11926800001</v>
      </c>
      <c r="BS688" s="6">
        <f>Grandview_Inventory[[#This Row],[land_value]]</f>
        <v>55986.849769566914</v>
      </c>
      <c r="BT688" s="4">
        <f>_xlfn.IFNA(VLOOKUP(Grandview_Inventory[[#This Row],[quality]],Lookups!$A$26:$C$33,3,FALSE),1)</f>
        <v>0.98079741117310582</v>
      </c>
      <c r="BU688" s="4">
        <f>_xlfn.IFNA(VLOOKUP(Grandview_Inventory[[#This Row],[condition]],Lookups!$A$37:$C$44,3,FALSE),1)</f>
        <v>0.97161819570155394</v>
      </c>
      <c r="BV688" s="4">
        <f>IF(Grandview_Inventory[[#This Row],[bldg_style]]="",1,_xlfn.IFNA(VLOOKUP(Grandview_Inventory[[#This Row],[decade]],Lookups!$F$29:$H$43,3,FALSE),1))</f>
        <v>0.98763256963907298</v>
      </c>
      <c r="BW688" s="4">
        <f>_xlfn.IFNA(VLOOKUP(Grandview_Inventory[[#This Row],[living_area_range]],Lookups!$F$47:$H$56,3,FALSE),1)</f>
        <v>0.96120133463014379</v>
      </c>
      <c r="BX688" s="4">
        <f>AVERAGE(Grandview_Inventory[[#This Row],[qual_adj]:[size_adj]])</f>
        <v>0.97531237778596913</v>
      </c>
      <c r="BY688" s="6">
        <f>IF(Grandview_Inventory[[#This Row],[pre_res]]&lt;0,0,Grandview_Inventory[[#This Row],[pre_res]]*Grandview_Inventory[[#This Row],[overall_adj]])</f>
        <v>240221.50559699646</v>
      </c>
      <c r="BZ688" s="6">
        <f>(Grandview_Inventory[[#This Row],[sum_land]]-IF(Grandview_Inventory[[#This Row],[no_utilities]]=1,12000,0))/IF(Grandview_Inventory[[#This Row],[unbuildable]]=1,2,1)</f>
        <v>55986.849769566914</v>
      </c>
      <c r="CA688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688">
        <f>ROUND(Grandview_Inventory[[#This Row],[det_value]]*Lookups!$M$28,-2)</f>
        <v>6100</v>
      </c>
      <c r="CC688">
        <f>IF(ROUND(Grandview_Inventory[[#This Row],[adj_res]]*Lookups!$M$28,-2)&lt;Grandview_Inventory[[#This Row],[min_res]],Grandview_Inventory[[#This Row],[min_res]],ROUND(Grandview_Inventory[[#This Row],[adj_res]]*Lookups!$M$28,-2))</f>
        <v>228200</v>
      </c>
      <c r="CD688">
        <f>Grandview_Inventory[[#This Row],[final_det]]+Grandview_Inventory[[#This Row],[final_res]]</f>
        <v>234300</v>
      </c>
      <c r="CE688">
        <f>Grandview_Inventory[[#This Row],[final_land]]+Grandview_Inventory[[#This Row],[final_imp]]+Grandview_Inventory[[#This Row],[crop_value]]</f>
        <v>287500</v>
      </c>
      <c r="CG688" t="str">
        <f t="shared" si="10"/>
        <v>update valuation set market_land =53200, market_bldg=234300, market_total =287500, market_mdno =401, market_date ='9/10/2023' where link_id = (select link_id from parcel where parcel_year = '2024' and parcel_id = '23092231413');</v>
      </c>
    </row>
    <row r="689" spans="1:85" x14ac:dyDescent="0.25">
      <c r="A689">
        <v>23092231414</v>
      </c>
      <c r="B689">
        <v>0.31</v>
      </c>
      <c r="C689" t="s">
        <v>129</v>
      </c>
      <c r="D689" t="s">
        <v>129</v>
      </c>
      <c r="E689" t="s">
        <v>53</v>
      </c>
      <c r="F689" t="s">
        <v>53</v>
      </c>
      <c r="G689">
        <v>4</v>
      </c>
      <c r="H689" t="s">
        <v>54</v>
      </c>
      <c r="I689">
        <v>144600</v>
      </c>
      <c r="J689">
        <v>45600</v>
      </c>
      <c r="K689">
        <v>0.31</v>
      </c>
      <c r="L689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689">
        <v>0</v>
      </c>
      <c r="N689">
        <v>0</v>
      </c>
      <c r="O689">
        <v>0</v>
      </c>
      <c r="P689">
        <v>13398.7528</v>
      </c>
      <c r="Q689">
        <v>63903</v>
      </c>
      <c r="R689">
        <f>(Grandview_Inventory[[#This Row],[ln_acres]]*Grandview_Inventory[[#This Row],[coeff]])+Grandview_Inventory[[#This Row],[const]]</f>
        <v>48210.608747275066</v>
      </c>
      <c r="S689" t="s">
        <v>68</v>
      </c>
      <c r="T689">
        <v>1</v>
      </c>
      <c r="U689" t="s">
        <v>70</v>
      </c>
      <c r="V689" t="s">
        <v>69</v>
      </c>
      <c r="W689">
        <v>0</v>
      </c>
      <c r="X689">
        <v>0</v>
      </c>
      <c r="Y689">
        <v>49</v>
      </c>
      <c r="Z689">
        <v>65</v>
      </c>
      <c r="AA689">
        <v>70</v>
      </c>
      <c r="AB689">
        <v>1500</v>
      </c>
      <c r="AC689">
        <v>1048</v>
      </c>
      <c r="AD689">
        <v>1048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180</v>
      </c>
      <c r="AL689">
        <v>0</v>
      </c>
      <c r="AM689">
        <v>172</v>
      </c>
      <c r="AN689">
        <v>180</v>
      </c>
      <c r="AO689">
        <v>0</v>
      </c>
      <c r="AP689">
        <v>5</v>
      </c>
      <c r="AQ689">
        <v>0</v>
      </c>
      <c r="AR689">
        <v>0</v>
      </c>
      <c r="AS689" t="s">
        <v>58</v>
      </c>
      <c r="AT689">
        <v>1</v>
      </c>
      <c r="AU689" t="s">
        <v>63</v>
      </c>
      <c r="AV689" t="s">
        <v>60</v>
      </c>
      <c r="AW689">
        <v>1</v>
      </c>
      <c r="AX689">
        <v>3</v>
      </c>
      <c r="AY689">
        <v>0</v>
      </c>
      <c r="AZ689">
        <v>0</v>
      </c>
      <c r="BA689">
        <v>100</v>
      </c>
      <c r="BB689">
        <v>100</v>
      </c>
      <c r="BC689">
        <v>100</v>
      </c>
      <c r="BD689">
        <v>100</v>
      </c>
      <c r="BE689">
        <v>1</v>
      </c>
      <c r="BF689">
        <v>15000</v>
      </c>
      <c r="BG689">
        <v>1000</v>
      </c>
      <c r="BH689" s="6">
        <f>Grandview_Inventory[[#This Row],[land_extract]]*Lookups!$B$3</f>
        <v>55986.849769566914</v>
      </c>
      <c r="BI689" s="6">
        <f>IF(Grandview_Inventory[[#This Row],[bldg_style]]="",0,Lookups!$B$2)</f>
        <v>155833.95000000001</v>
      </c>
      <c r="BJ689" s="6">
        <f>_xlfn.IFNA(VLOOKUP(Grandview_Inventory[[#This Row],[quality]],Lookups!$H$2:$J$14,3,FALSE),0)</f>
        <v>10733</v>
      </c>
      <c r="BK689" s="6">
        <f>_xlfn.IFNA(VLOOKUP(Grandview_Inventory[[#This Row],[condition]],Lookups!$H$17:$J$24,3,FALSE),0)</f>
        <v>-4503</v>
      </c>
      <c r="BL689" s="6">
        <f>Grandview_Inventory[[#This Row],[Eff_Age]]*Lookups!$B$14</f>
        <v>-11719.163399999999</v>
      </c>
      <c r="BM689" s="6">
        <f>Grandview_Inventory[[#This Row],[living_area]]*Lookups!$B$15</f>
        <v>65375.133944000001</v>
      </c>
      <c r="BN689" s="6">
        <f>Grandview_Inventory[[#This Row],[Fin BSMT]]*Lookups!$B$16</f>
        <v>0</v>
      </c>
      <c r="BO689" s="6">
        <f>(Grandview_Inventory[[#This Row],[att_gar]]+Grandview_Inventory[[#This Row],[bltin_gar]])*Lookups!$B$17</f>
        <v>0</v>
      </c>
      <c r="BP689" s="6">
        <f>Grandview_Inventory[[#This Row],[Plumbing Fixtures]]*Lookups!$B$18</f>
        <v>10052.209000000001</v>
      </c>
      <c r="BQ689" s="6">
        <f>Grandview_Inventory[[#This Row],[detatched_value]]*Lookups!$B$19</f>
        <v>0</v>
      </c>
      <c r="BR689" s="6">
        <f>SUM(Grandview_Inventory[[#This Row],[Intercept]:[det_value]])*Grandview_Inventory[[#This Row],[res_pct]]</f>
        <v>225772.12954400002</v>
      </c>
      <c r="BS689" s="6">
        <f>Grandview_Inventory[[#This Row],[land_value]]</f>
        <v>55986.849769566914</v>
      </c>
      <c r="BT689" s="4">
        <f>_xlfn.IFNA(VLOOKUP(Grandview_Inventory[[#This Row],[quality]],Lookups!$A$26:$C$33,3,FALSE),1)</f>
        <v>0.98079741117310582</v>
      </c>
      <c r="BU689" s="4">
        <f>_xlfn.IFNA(VLOOKUP(Grandview_Inventory[[#This Row],[condition]],Lookups!$A$37:$C$44,3,FALSE),1)</f>
        <v>0.96469275950863709</v>
      </c>
      <c r="BV689" s="4">
        <f>IF(Grandview_Inventory[[#This Row],[bldg_style]]="",1,_xlfn.IFNA(VLOOKUP(Grandview_Inventory[[#This Row],[decade]],Lookups!$F$29:$H$43,3,FALSE),1))</f>
        <v>0.99472141305414818</v>
      </c>
      <c r="BW689" s="4">
        <f>_xlfn.IFNA(VLOOKUP(Grandview_Inventory[[#This Row],[living_area_range]],Lookups!$F$47:$H$56,3,FALSE),1)</f>
        <v>0.96135087979789358</v>
      </c>
      <c r="BX689" s="4">
        <f>AVERAGE(Grandview_Inventory[[#This Row],[qual_adj]:[size_adj]])</f>
        <v>0.97539061588344622</v>
      </c>
      <c r="BY689" s="6">
        <f>IF(Grandview_Inventory[[#This Row],[pre_res]]&lt;0,0,Grandview_Inventory[[#This Row],[pre_res]]*Grandview_Inventory[[#This Row],[overall_adj]])</f>
        <v>220216.01648523938</v>
      </c>
      <c r="BZ689" s="6">
        <f>(Grandview_Inventory[[#This Row],[sum_land]]-IF(Grandview_Inventory[[#This Row],[no_utilities]]=1,12000,0))/IF(Grandview_Inventory[[#This Row],[unbuildable]]=1,2,1)</f>
        <v>55986.849769566914</v>
      </c>
      <c r="CA689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689">
        <f>ROUND(Grandview_Inventory[[#This Row],[det_value]]*Lookups!$M$28,-2)</f>
        <v>0</v>
      </c>
      <c r="CC689">
        <f>IF(ROUND(Grandview_Inventory[[#This Row],[adj_res]]*Lookups!$M$28,-2)&lt;Grandview_Inventory[[#This Row],[min_res]],Grandview_Inventory[[#This Row],[min_res]],ROUND(Grandview_Inventory[[#This Row],[adj_res]]*Lookups!$M$28,-2))</f>
        <v>209200</v>
      </c>
      <c r="CD689">
        <f>Grandview_Inventory[[#This Row],[final_det]]+Grandview_Inventory[[#This Row],[final_res]]</f>
        <v>209200</v>
      </c>
      <c r="CE689">
        <f>Grandview_Inventory[[#This Row],[final_land]]+Grandview_Inventory[[#This Row],[final_imp]]+Grandview_Inventory[[#This Row],[crop_value]]</f>
        <v>262400</v>
      </c>
      <c r="CG689" t="str">
        <f t="shared" si="10"/>
        <v>update valuation set market_land =53200, market_bldg=209200, market_total =262400, market_mdno =401, market_date ='9/10/2023' where link_id = (select link_id from parcel where parcel_year = '2024' and parcel_id = '23092231414');</v>
      </c>
    </row>
    <row r="690" spans="1:85" x14ac:dyDescent="0.25">
      <c r="A690">
        <v>23092231415</v>
      </c>
      <c r="B690">
        <v>0.31</v>
      </c>
      <c r="C690">
        <v>13545</v>
      </c>
      <c r="D690" t="s">
        <v>129</v>
      </c>
      <c r="E690" t="s">
        <v>53</v>
      </c>
      <c r="F690" t="s">
        <v>53</v>
      </c>
      <c r="G690">
        <v>4</v>
      </c>
      <c r="H690" t="s">
        <v>54</v>
      </c>
      <c r="I690">
        <v>182500</v>
      </c>
      <c r="J690">
        <v>45600</v>
      </c>
      <c r="K690">
        <v>0.31</v>
      </c>
      <c r="L690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690">
        <v>0</v>
      </c>
      <c r="N690">
        <v>0</v>
      </c>
      <c r="O690">
        <v>0</v>
      </c>
      <c r="P690">
        <v>13398.7528</v>
      </c>
      <c r="Q690">
        <v>63903</v>
      </c>
      <c r="R690">
        <f>(Grandview_Inventory[[#This Row],[ln_acres]]*Grandview_Inventory[[#This Row],[coeff]])+Grandview_Inventory[[#This Row],[const]]</f>
        <v>48210.608747275066</v>
      </c>
      <c r="S690" t="s">
        <v>68</v>
      </c>
      <c r="T690">
        <v>1</v>
      </c>
      <c r="U690" t="s">
        <v>65</v>
      </c>
      <c r="V690" t="s">
        <v>67</v>
      </c>
      <c r="W690">
        <v>0</v>
      </c>
      <c r="X690">
        <v>0</v>
      </c>
      <c r="Y690">
        <v>49</v>
      </c>
      <c r="Z690">
        <v>68</v>
      </c>
      <c r="AA690">
        <v>70</v>
      </c>
      <c r="AB690">
        <v>2000</v>
      </c>
      <c r="AC690">
        <v>1558</v>
      </c>
      <c r="AD690">
        <v>1558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8</v>
      </c>
      <c r="AQ690">
        <v>0</v>
      </c>
      <c r="AR690">
        <v>0</v>
      </c>
      <c r="AS690" t="s">
        <v>58</v>
      </c>
      <c r="AT690">
        <v>1</v>
      </c>
      <c r="AU690" t="s">
        <v>75</v>
      </c>
      <c r="AV690" t="s">
        <v>60</v>
      </c>
      <c r="AW690">
        <v>0</v>
      </c>
      <c r="AX690">
        <v>4</v>
      </c>
      <c r="AY690">
        <v>0</v>
      </c>
      <c r="AZ690">
        <v>3500</v>
      </c>
      <c r="BA690">
        <v>100</v>
      </c>
      <c r="BB690">
        <v>100</v>
      </c>
      <c r="BC690">
        <v>100</v>
      </c>
      <c r="BD690">
        <v>100</v>
      </c>
      <c r="BE690">
        <v>1</v>
      </c>
      <c r="BF690">
        <v>15000</v>
      </c>
      <c r="BG690">
        <v>1000</v>
      </c>
      <c r="BH690" s="6">
        <f>Grandview_Inventory[[#This Row],[land_extract]]*Lookups!$B$3</f>
        <v>55986.849769566914</v>
      </c>
      <c r="BI690" s="6">
        <f>IF(Grandview_Inventory[[#This Row],[bldg_style]]="",0,Lookups!$B$2)</f>
        <v>155833.95000000001</v>
      </c>
      <c r="BJ690" s="6">
        <f>_xlfn.IFNA(VLOOKUP(Grandview_Inventory[[#This Row],[quality]],Lookups!$H$2:$J$14,3,FALSE),0)</f>
        <v>2251</v>
      </c>
      <c r="BK690" s="6">
        <f>_xlfn.IFNA(VLOOKUP(Grandview_Inventory[[#This Row],[condition]],Lookups!$H$17:$J$24,3,FALSE),0)</f>
        <v>22342</v>
      </c>
      <c r="BL690" s="6">
        <f>Grandview_Inventory[[#This Row],[Eff_Age]]*Lookups!$B$14</f>
        <v>-11719.163399999999</v>
      </c>
      <c r="BM690" s="6">
        <f>Grandview_Inventory[[#This Row],[living_area]]*Lookups!$B$15</f>
        <v>97189.368973999997</v>
      </c>
      <c r="BN690" s="6">
        <f>Grandview_Inventory[[#This Row],[Fin BSMT]]*Lookups!$B$16</f>
        <v>0</v>
      </c>
      <c r="BO690" s="6">
        <f>(Grandview_Inventory[[#This Row],[att_gar]]+Grandview_Inventory[[#This Row],[bltin_gar]])*Lookups!$B$17</f>
        <v>0</v>
      </c>
      <c r="BP690" s="6">
        <f>Grandview_Inventory[[#This Row],[Plumbing Fixtures]]*Lookups!$B$18</f>
        <v>16083.5344</v>
      </c>
      <c r="BQ690" s="6">
        <f>Grandview_Inventory[[#This Row],[detatched_value]]*Lookups!$B$19</f>
        <v>2963.8178499999999</v>
      </c>
      <c r="BR690" s="6">
        <f>SUM(Grandview_Inventory[[#This Row],[Intercept]:[det_value]])*Grandview_Inventory[[#This Row],[res_pct]]</f>
        <v>284944.50782400003</v>
      </c>
      <c r="BS690" s="6">
        <f>Grandview_Inventory[[#This Row],[land_value]]</f>
        <v>55986.849769566914</v>
      </c>
      <c r="BT690" s="4">
        <f>_xlfn.IFNA(VLOOKUP(Grandview_Inventory[[#This Row],[quality]],Lookups!$A$26:$C$33,3,FALSE),1)</f>
        <v>0.98763855981004833</v>
      </c>
      <c r="BU690" s="4">
        <f>_xlfn.IFNA(VLOOKUP(Grandview_Inventory[[#This Row],[condition]],Lookups!$A$37:$C$44,3,FALSE),1)</f>
        <v>0.97383723671140243</v>
      </c>
      <c r="BV690" s="4">
        <f>IF(Grandview_Inventory[[#This Row],[bldg_style]]="",1,_xlfn.IFNA(VLOOKUP(Grandview_Inventory[[#This Row],[decade]],Lookups!$F$29:$H$43,3,FALSE),1))</f>
        <v>0.99472141305414818</v>
      </c>
      <c r="BW690" s="4">
        <f>_xlfn.IFNA(VLOOKUP(Grandview_Inventory[[#This Row],[living_area_range]],Lookups!$F$47:$H$56,3,FALSE),1)</f>
        <v>0.96120133463014379</v>
      </c>
      <c r="BX690" s="4">
        <f>AVERAGE(Grandview_Inventory[[#This Row],[qual_adj]:[size_adj]])</f>
        <v>0.97934963605143577</v>
      </c>
      <c r="BY690" s="6">
        <f>IF(Grandview_Inventory[[#This Row],[pre_res]]&lt;0,0,Grandview_Inventory[[#This Row],[pre_res]]*Grandview_Inventory[[#This Row],[overall_adj]])</f>
        <v>279060.30003228993</v>
      </c>
      <c r="BZ690" s="6">
        <f>(Grandview_Inventory[[#This Row],[sum_land]]-IF(Grandview_Inventory[[#This Row],[no_utilities]]=1,12000,0))/IF(Grandview_Inventory[[#This Row],[unbuildable]]=1,2,1)</f>
        <v>55986.849769566914</v>
      </c>
      <c r="CA690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690">
        <f>ROUND(Grandview_Inventory[[#This Row],[det_value]]*Lookups!$M$28,-2)</f>
        <v>2800</v>
      </c>
      <c r="CC690">
        <f>IF(ROUND(Grandview_Inventory[[#This Row],[adj_res]]*Lookups!$M$28,-2)&lt;Grandview_Inventory[[#This Row],[min_res]],Grandview_Inventory[[#This Row],[min_res]],ROUND(Grandview_Inventory[[#This Row],[adj_res]]*Lookups!$M$28,-2))</f>
        <v>265100</v>
      </c>
      <c r="CD690">
        <f>Grandview_Inventory[[#This Row],[final_det]]+Grandview_Inventory[[#This Row],[final_res]]</f>
        <v>267900</v>
      </c>
      <c r="CE690">
        <f>Grandview_Inventory[[#This Row],[final_land]]+Grandview_Inventory[[#This Row],[final_imp]]+Grandview_Inventory[[#This Row],[crop_value]]</f>
        <v>321100</v>
      </c>
      <c r="CG690" t="str">
        <f t="shared" si="10"/>
        <v>update valuation set market_land =53200, market_bldg=267900, market_total =321100, market_mdno =401, market_date ='9/10/2023' where link_id = (select link_id from parcel where parcel_year = '2024' and parcel_id = '23092231415');</v>
      </c>
    </row>
    <row r="691" spans="1:85" x14ac:dyDescent="0.25">
      <c r="A691">
        <v>23092231416</v>
      </c>
      <c r="B691">
        <v>0.17</v>
      </c>
      <c r="C691" t="s">
        <v>129</v>
      </c>
      <c r="D691" t="s">
        <v>129</v>
      </c>
      <c r="E691" t="s">
        <v>53</v>
      </c>
      <c r="F691" t="s">
        <v>53</v>
      </c>
      <c r="G691">
        <v>4</v>
      </c>
      <c r="H691" t="s">
        <v>54</v>
      </c>
      <c r="I691">
        <v>136700</v>
      </c>
      <c r="J691">
        <v>38800</v>
      </c>
      <c r="K691">
        <v>0.17</v>
      </c>
      <c r="L69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1">
        <v>0</v>
      </c>
      <c r="N691">
        <v>0</v>
      </c>
      <c r="O691">
        <v>0</v>
      </c>
      <c r="P691">
        <v>13398.7528</v>
      </c>
      <c r="Q691">
        <v>63903</v>
      </c>
      <c r="R691">
        <f>(Grandview_Inventory[[#This Row],[ln_acres]]*Grandview_Inventory[[#This Row],[coeff]])+Grandview_Inventory[[#This Row],[const]]</f>
        <v>40160.988302686128</v>
      </c>
      <c r="S691" t="s">
        <v>68</v>
      </c>
      <c r="T691">
        <v>1</v>
      </c>
      <c r="U691" t="s">
        <v>70</v>
      </c>
      <c r="V691" t="s">
        <v>69</v>
      </c>
      <c r="W691">
        <v>0</v>
      </c>
      <c r="X691">
        <v>0</v>
      </c>
      <c r="Y691">
        <v>49</v>
      </c>
      <c r="Z691">
        <v>65</v>
      </c>
      <c r="AA691">
        <v>70</v>
      </c>
      <c r="AB691">
        <v>1500</v>
      </c>
      <c r="AC691">
        <v>1293</v>
      </c>
      <c r="AD691">
        <v>1293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77</v>
      </c>
      <c r="AN691">
        <v>0</v>
      </c>
      <c r="AO691">
        <v>77</v>
      </c>
      <c r="AP691">
        <v>5</v>
      </c>
      <c r="AQ691">
        <v>0</v>
      </c>
      <c r="AR691">
        <v>0</v>
      </c>
      <c r="AS691" t="s">
        <v>58</v>
      </c>
      <c r="AT691">
        <v>1</v>
      </c>
      <c r="AU691" t="s">
        <v>63</v>
      </c>
      <c r="AV691" t="s">
        <v>60</v>
      </c>
      <c r="AW691">
        <v>0</v>
      </c>
      <c r="AX691">
        <v>3</v>
      </c>
      <c r="AY691">
        <v>0</v>
      </c>
      <c r="AZ691">
        <v>0</v>
      </c>
      <c r="BA691">
        <v>100</v>
      </c>
      <c r="BB691">
        <v>100</v>
      </c>
      <c r="BC691">
        <v>100</v>
      </c>
      <c r="BD691">
        <v>100</v>
      </c>
      <c r="BE691">
        <v>1</v>
      </c>
      <c r="BF691">
        <v>15000</v>
      </c>
      <c r="BG691">
        <v>1000</v>
      </c>
      <c r="BH691" s="6">
        <f>Grandview_Inventory[[#This Row],[land_extract]]*Lookups!$B$3</f>
        <v>46638.847281240982</v>
      </c>
      <c r="BI691" s="6">
        <f>IF(Grandview_Inventory[[#This Row],[bldg_style]]="",0,Lookups!$B$2)</f>
        <v>155833.95000000001</v>
      </c>
      <c r="BJ691" s="6">
        <f>_xlfn.IFNA(VLOOKUP(Grandview_Inventory[[#This Row],[quality]],Lookups!$H$2:$J$14,3,FALSE),0)</f>
        <v>10733</v>
      </c>
      <c r="BK691" s="6">
        <f>_xlfn.IFNA(VLOOKUP(Grandview_Inventory[[#This Row],[condition]],Lookups!$H$17:$J$24,3,FALSE),0)</f>
        <v>-4503</v>
      </c>
      <c r="BL691" s="6">
        <f>Grandview_Inventory[[#This Row],[Eff_Age]]*Lookups!$B$14</f>
        <v>-11719.163399999999</v>
      </c>
      <c r="BM691" s="6">
        <f>Grandview_Inventory[[#This Row],[living_area]]*Lookups!$B$15</f>
        <v>80658.442928999997</v>
      </c>
      <c r="BN691" s="6">
        <f>Grandview_Inventory[[#This Row],[Fin BSMT]]*Lookups!$B$16</f>
        <v>0</v>
      </c>
      <c r="BO691" s="6">
        <f>(Grandview_Inventory[[#This Row],[att_gar]]+Grandview_Inventory[[#This Row],[bltin_gar]])*Lookups!$B$17</f>
        <v>0</v>
      </c>
      <c r="BP691" s="6">
        <f>Grandview_Inventory[[#This Row],[Plumbing Fixtures]]*Lookups!$B$18</f>
        <v>10052.209000000001</v>
      </c>
      <c r="BQ691" s="6">
        <f>Grandview_Inventory[[#This Row],[detatched_value]]*Lookups!$B$19</f>
        <v>0</v>
      </c>
      <c r="BR691" s="6">
        <f>SUM(Grandview_Inventory[[#This Row],[Intercept]:[det_value]])*Grandview_Inventory[[#This Row],[res_pct]]</f>
        <v>241055.43852900001</v>
      </c>
      <c r="BS691" s="6">
        <f>Grandview_Inventory[[#This Row],[land_value]]</f>
        <v>46638.847281240982</v>
      </c>
      <c r="BT691" s="4">
        <f>_xlfn.IFNA(VLOOKUP(Grandview_Inventory[[#This Row],[quality]],Lookups!$A$26:$C$33,3,FALSE),1)</f>
        <v>0.98079741117310582</v>
      </c>
      <c r="BU691" s="4">
        <f>_xlfn.IFNA(VLOOKUP(Grandview_Inventory[[#This Row],[condition]],Lookups!$A$37:$C$44,3,FALSE),1)</f>
        <v>0.96469275950863709</v>
      </c>
      <c r="BV691" s="4">
        <f>IF(Grandview_Inventory[[#This Row],[bldg_style]]="",1,_xlfn.IFNA(VLOOKUP(Grandview_Inventory[[#This Row],[decade]],Lookups!$F$29:$H$43,3,FALSE),1))</f>
        <v>0.99472141305414818</v>
      </c>
      <c r="BW691" s="4">
        <f>_xlfn.IFNA(VLOOKUP(Grandview_Inventory[[#This Row],[living_area_range]],Lookups!$F$47:$H$56,3,FALSE),1)</f>
        <v>0.96135087979789358</v>
      </c>
      <c r="BX691" s="4">
        <f>AVERAGE(Grandview_Inventory[[#This Row],[qual_adj]:[size_adj]])</f>
        <v>0.97539061588344622</v>
      </c>
      <c r="BY691" s="6">
        <f>IF(Grandview_Inventory[[#This Row],[pre_res]]&lt;0,0,Grandview_Inventory[[#This Row],[pre_res]]*Grandview_Inventory[[#This Row],[overall_adj]])</f>
        <v>235123.21264885552</v>
      </c>
      <c r="BZ691" s="6">
        <f>(Grandview_Inventory[[#This Row],[sum_land]]-IF(Grandview_Inventory[[#This Row],[no_utilities]]=1,12000,0))/IF(Grandview_Inventory[[#This Row],[unbuildable]]=1,2,1)</f>
        <v>46638.847281240982</v>
      </c>
      <c r="CA69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1">
        <f>ROUND(Grandview_Inventory[[#This Row],[det_value]]*Lookups!$M$28,-2)</f>
        <v>0</v>
      </c>
      <c r="CC691">
        <f>IF(ROUND(Grandview_Inventory[[#This Row],[adj_res]]*Lookups!$M$28,-2)&lt;Grandview_Inventory[[#This Row],[min_res]],Grandview_Inventory[[#This Row],[min_res]],ROUND(Grandview_Inventory[[#This Row],[adj_res]]*Lookups!$M$28,-2))</f>
        <v>223400</v>
      </c>
      <c r="CD691">
        <f>Grandview_Inventory[[#This Row],[final_det]]+Grandview_Inventory[[#This Row],[final_res]]</f>
        <v>223400</v>
      </c>
      <c r="CE691">
        <f>Grandview_Inventory[[#This Row],[final_land]]+Grandview_Inventory[[#This Row],[final_imp]]+Grandview_Inventory[[#This Row],[crop_value]]</f>
        <v>267700</v>
      </c>
      <c r="CG691" t="str">
        <f t="shared" si="10"/>
        <v>update valuation set market_land =44300, market_bldg=223400, market_total =267700, market_mdno =401, market_date ='9/10/2023' where link_id = (select link_id from parcel where parcel_year = '2024' and parcel_id = '23092231416');</v>
      </c>
    </row>
    <row r="692" spans="1:85" x14ac:dyDescent="0.25">
      <c r="A692">
        <v>23092231417</v>
      </c>
      <c r="B692">
        <v>0.17</v>
      </c>
      <c r="C692" t="s">
        <v>129</v>
      </c>
      <c r="D692" t="s">
        <v>129</v>
      </c>
      <c r="E692" t="s">
        <v>53</v>
      </c>
      <c r="F692" t="s">
        <v>53</v>
      </c>
      <c r="G692">
        <v>4</v>
      </c>
      <c r="H692" t="s">
        <v>54</v>
      </c>
      <c r="I692">
        <v>133600</v>
      </c>
      <c r="J692">
        <v>43000</v>
      </c>
      <c r="K692">
        <v>0.17</v>
      </c>
      <c r="L69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2">
        <v>0</v>
      </c>
      <c r="N692">
        <v>0</v>
      </c>
      <c r="O692">
        <v>0</v>
      </c>
      <c r="P692">
        <v>13398.7528</v>
      </c>
      <c r="Q692">
        <v>63903</v>
      </c>
      <c r="R692">
        <f>(Grandview_Inventory[[#This Row],[ln_acres]]*Grandview_Inventory[[#This Row],[coeff]])+Grandview_Inventory[[#This Row],[const]]</f>
        <v>40160.988302686128</v>
      </c>
      <c r="S692" t="s">
        <v>68</v>
      </c>
      <c r="T692">
        <v>1</v>
      </c>
      <c r="U692" t="s">
        <v>70</v>
      </c>
      <c r="V692" t="s">
        <v>69</v>
      </c>
      <c r="W692">
        <v>0</v>
      </c>
      <c r="X692">
        <v>0</v>
      </c>
      <c r="Y692">
        <v>49</v>
      </c>
      <c r="Z692">
        <v>65</v>
      </c>
      <c r="AA692">
        <v>70</v>
      </c>
      <c r="AB692">
        <v>1500</v>
      </c>
      <c r="AC692">
        <v>1014</v>
      </c>
      <c r="AD692">
        <v>1014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364</v>
      </c>
      <c r="AL692">
        <v>0</v>
      </c>
      <c r="AM692">
        <v>384</v>
      </c>
      <c r="AN692">
        <v>0</v>
      </c>
      <c r="AO692">
        <v>144</v>
      </c>
      <c r="AP692">
        <v>5</v>
      </c>
      <c r="AQ692">
        <v>0</v>
      </c>
      <c r="AR692">
        <v>0</v>
      </c>
      <c r="AS692" t="s">
        <v>58</v>
      </c>
      <c r="AT692">
        <v>1</v>
      </c>
      <c r="AU692" t="s">
        <v>63</v>
      </c>
      <c r="AV692" t="s">
        <v>60</v>
      </c>
      <c r="AW692">
        <v>0</v>
      </c>
      <c r="AX692">
        <v>3</v>
      </c>
      <c r="AY692">
        <v>0</v>
      </c>
      <c r="AZ692">
        <v>0</v>
      </c>
      <c r="BA692">
        <v>100</v>
      </c>
      <c r="BB692">
        <v>100</v>
      </c>
      <c r="BC692">
        <v>100</v>
      </c>
      <c r="BD692">
        <v>100</v>
      </c>
      <c r="BE692">
        <v>1</v>
      </c>
      <c r="BF692">
        <v>15000</v>
      </c>
      <c r="BG692">
        <v>1000</v>
      </c>
      <c r="BH692" s="6">
        <f>Grandview_Inventory[[#This Row],[land_extract]]*Lookups!$B$3</f>
        <v>46638.847281240982</v>
      </c>
      <c r="BI692" s="6">
        <f>IF(Grandview_Inventory[[#This Row],[bldg_style]]="",0,Lookups!$B$2)</f>
        <v>155833.95000000001</v>
      </c>
      <c r="BJ692" s="6">
        <f>_xlfn.IFNA(VLOOKUP(Grandview_Inventory[[#This Row],[quality]],Lookups!$H$2:$J$14,3,FALSE),0)</f>
        <v>10733</v>
      </c>
      <c r="BK692" s="6">
        <f>_xlfn.IFNA(VLOOKUP(Grandview_Inventory[[#This Row],[condition]],Lookups!$H$17:$J$24,3,FALSE),0)</f>
        <v>-4503</v>
      </c>
      <c r="BL692" s="6">
        <f>Grandview_Inventory[[#This Row],[Eff_Age]]*Lookups!$B$14</f>
        <v>-11719.163399999999</v>
      </c>
      <c r="BM692" s="6">
        <f>Grandview_Inventory[[#This Row],[living_area]]*Lookups!$B$15</f>
        <v>63254.184942</v>
      </c>
      <c r="BN692" s="6">
        <f>Grandview_Inventory[[#This Row],[Fin BSMT]]*Lookups!$B$16</f>
        <v>0</v>
      </c>
      <c r="BO692" s="6">
        <f>(Grandview_Inventory[[#This Row],[att_gar]]+Grandview_Inventory[[#This Row],[bltin_gar]])*Lookups!$B$17</f>
        <v>0</v>
      </c>
      <c r="BP692" s="6">
        <f>Grandview_Inventory[[#This Row],[Plumbing Fixtures]]*Lookups!$B$18</f>
        <v>10052.209000000001</v>
      </c>
      <c r="BQ692" s="6">
        <f>Grandview_Inventory[[#This Row],[detatched_value]]*Lookups!$B$19</f>
        <v>0</v>
      </c>
      <c r="BR692" s="6">
        <f>SUM(Grandview_Inventory[[#This Row],[Intercept]:[det_value]])*Grandview_Inventory[[#This Row],[res_pct]]</f>
        <v>223651.18054200002</v>
      </c>
      <c r="BS692" s="6">
        <f>Grandview_Inventory[[#This Row],[land_value]]</f>
        <v>46638.847281240982</v>
      </c>
      <c r="BT692" s="4">
        <f>_xlfn.IFNA(VLOOKUP(Grandview_Inventory[[#This Row],[quality]],Lookups!$A$26:$C$33,3,FALSE),1)</f>
        <v>0.98079741117310582</v>
      </c>
      <c r="BU692" s="4">
        <f>_xlfn.IFNA(VLOOKUP(Grandview_Inventory[[#This Row],[condition]],Lookups!$A$37:$C$44,3,FALSE),1)</f>
        <v>0.96469275950863709</v>
      </c>
      <c r="BV692" s="4">
        <f>IF(Grandview_Inventory[[#This Row],[bldg_style]]="",1,_xlfn.IFNA(VLOOKUP(Grandview_Inventory[[#This Row],[decade]],Lookups!$F$29:$H$43,3,FALSE),1))</f>
        <v>0.99472141305414818</v>
      </c>
      <c r="BW692" s="4">
        <f>_xlfn.IFNA(VLOOKUP(Grandview_Inventory[[#This Row],[living_area_range]],Lookups!$F$47:$H$56,3,FALSE),1)</f>
        <v>0.96135087979789358</v>
      </c>
      <c r="BX692" s="4">
        <f>AVERAGE(Grandview_Inventory[[#This Row],[qual_adj]:[size_adj]])</f>
        <v>0.97539061588344622</v>
      </c>
      <c r="BY692" s="6">
        <f>IF(Grandview_Inventory[[#This Row],[pre_res]]&lt;0,0,Grandview_Inventory[[#This Row],[pre_res]]*Grandview_Inventory[[#This Row],[overall_adj]])</f>
        <v>218147.26273192122</v>
      </c>
      <c r="BZ692" s="6">
        <f>(Grandview_Inventory[[#This Row],[sum_land]]-IF(Grandview_Inventory[[#This Row],[no_utilities]]=1,12000,0))/IF(Grandview_Inventory[[#This Row],[unbuildable]]=1,2,1)</f>
        <v>46638.847281240982</v>
      </c>
      <c r="CA69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2">
        <f>ROUND(Grandview_Inventory[[#This Row],[det_value]]*Lookups!$M$28,-2)</f>
        <v>0</v>
      </c>
      <c r="CC692">
        <f>IF(ROUND(Grandview_Inventory[[#This Row],[adj_res]]*Lookups!$M$28,-2)&lt;Grandview_Inventory[[#This Row],[min_res]],Grandview_Inventory[[#This Row],[min_res]],ROUND(Grandview_Inventory[[#This Row],[adj_res]]*Lookups!$M$28,-2))</f>
        <v>207200</v>
      </c>
      <c r="CD692">
        <f>Grandview_Inventory[[#This Row],[final_det]]+Grandview_Inventory[[#This Row],[final_res]]</f>
        <v>207200</v>
      </c>
      <c r="CE692">
        <f>Grandview_Inventory[[#This Row],[final_land]]+Grandview_Inventory[[#This Row],[final_imp]]+Grandview_Inventory[[#This Row],[crop_value]]</f>
        <v>251500</v>
      </c>
      <c r="CG692" t="str">
        <f t="shared" si="10"/>
        <v>update valuation set market_land =44300, market_bldg=207200, market_total =251500, market_mdno =401, market_date ='9/10/2023' where link_id = (select link_id from parcel where parcel_year = '2024' and parcel_id = '23092231417');</v>
      </c>
    </row>
    <row r="693" spans="1:85" x14ac:dyDescent="0.25">
      <c r="A693">
        <v>23092231418</v>
      </c>
      <c r="B693">
        <v>0.17</v>
      </c>
      <c r="C693" t="s">
        <v>129</v>
      </c>
      <c r="D693" t="s">
        <v>129</v>
      </c>
      <c r="E693" t="s">
        <v>53</v>
      </c>
      <c r="F693" t="s">
        <v>53</v>
      </c>
      <c r="G693">
        <v>4</v>
      </c>
      <c r="H693" t="s">
        <v>54</v>
      </c>
      <c r="I693">
        <v>174900</v>
      </c>
      <c r="J693">
        <v>43000</v>
      </c>
      <c r="K693">
        <v>0.17</v>
      </c>
      <c r="L69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3">
        <v>0</v>
      </c>
      <c r="N693">
        <v>0</v>
      </c>
      <c r="O693">
        <v>0</v>
      </c>
      <c r="P693">
        <v>13398.7528</v>
      </c>
      <c r="Q693">
        <v>63903</v>
      </c>
      <c r="R693">
        <f>(Grandview_Inventory[[#This Row],[ln_acres]]*Grandview_Inventory[[#This Row],[coeff]])+Grandview_Inventory[[#This Row],[const]]</f>
        <v>40160.988302686128</v>
      </c>
      <c r="S693" t="s">
        <v>68</v>
      </c>
      <c r="T693">
        <v>1</v>
      </c>
      <c r="U693" t="s">
        <v>70</v>
      </c>
      <c r="V693" t="s">
        <v>67</v>
      </c>
      <c r="W693">
        <v>0</v>
      </c>
      <c r="X693">
        <v>0</v>
      </c>
      <c r="Y693">
        <v>39</v>
      </c>
      <c r="Z693">
        <v>69</v>
      </c>
      <c r="AA693">
        <v>70</v>
      </c>
      <c r="AB693">
        <v>1500</v>
      </c>
      <c r="AC693">
        <v>1200</v>
      </c>
      <c r="AD693">
        <v>1200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184</v>
      </c>
      <c r="AN693">
        <v>0</v>
      </c>
      <c r="AO693">
        <v>184</v>
      </c>
      <c r="AP693">
        <v>5</v>
      </c>
      <c r="AQ693">
        <v>0</v>
      </c>
      <c r="AR693">
        <v>0</v>
      </c>
      <c r="AS693" t="s">
        <v>58</v>
      </c>
      <c r="AT693">
        <v>1</v>
      </c>
      <c r="AU693" t="s">
        <v>63</v>
      </c>
      <c r="AV693" t="s">
        <v>64</v>
      </c>
      <c r="AW693">
        <v>1</v>
      </c>
      <c r="AX693">
        <v>3</v>
      </c>
      <c r="AY693">
        <v>0</v>
      </c>
      <c r="AZ693">
        <v>0</v>
      </c>
      <c r="BA693">
        <v>100</v>
      </c>
      <c r="BB693">
        <v>100</v>
      </c>
      <c r="BC693">
        <v>100</v>
      </c>
      <c r="BD693">
        <v>100</v>
      </c>
      <c r="BE693">
        <v>1</v>
      </c>
      <c r="BF693">
        <v>15000</v>
      </c>
      <c r="BG693">
        <v>1000</v>
      </c>
      <c r="BH693" s="6">
        <f>Grandview_Inventory[[#This Row],[land_extract]]*Lookups!$B$3</f>
        <v>46638.847281240982</v>
      </c>
      <c r="BI693" s="6">
        <f>IF(Grandview_Inventory[[#This Row],[bldg_style]]="",0,Lookups!$B$2)</f>
        <v>155833.95000000001</v>
      </c>
      <c r="BJ693" s="6">
        <f>_xlfn.IFNA(VLOOKUP(Grandview_Inventory[[#This Row],[quality]],Lookups!$H$2:$J$14,3,FALSE),0)</f>
        <v>10733</v>
      </c>
      <c r="BK693" s="6">
        <f>_xlfn.IFNA(VLOOKUP(Grandview_Inventory[[#This Row],[condition]],Lookups!$H$17:$J$24,3,FALSE),0)</f>
        <v>22342</v>
      </c>
      <c r="BL693" s="6">
        <f>Grandview_Inventory[[#This Row],[Eff_Age]]*Lookups!$B$14</f>
        <v>-9327.4974000000002</v>
      </c>
      <c r="BM693" s="6">
        <f>Grandview_Inventory[[#This Row],[living_area]]*Lookups!$B$15</f>
        <v>74857.0236</v>
      </c>
      <c r="BN693" s="6">
        <f>Grandview_Inventory[[#This Row],[Fin BSMT]]*Lookups!$B$16</f>
        <v>0</v>
      </c>
      <c r="BO693" s="6">
        <f>(Grandview_Inventory[[#This Row],[att_gar]]+Grandview_Inventory[[#This Row],[bltin_gar]])*Lookups!$B$17</f>
        <v>0</v>
      </c>
      <c r="BP693" s="6">
        <f>Grandview_Inventory[[#This Row],[Plumbing Fixtures]]*Lookups!$B$18</f>
        <v>10052.209000000001</v>
      </c>
      <c r="BQ693" s="6">
        <f>Grandview_Inventory[[#This Row],[detatched_value]]*Lookups!$B$19</f>
        <v>0</v>
      </c>
      <c r="BR693" s="6">
        <f>SUM(Grandview_Inventory[[#This Row],[Intercept]:[det_value]])*Grandview_Inventory[[#This Row],[res_pct]]</f>
        <v>264490.68520000001</v>
      </c>
      <c r="BS693" s="6">
        <f>Grandview_Inventory[[#This Row],[land_value]]</f>
        <v>46638.847281240982</v>
      </c>
      <c r="BT693" s="4">
        <f>_xlfn.IFNA(VLOOKUP(Grandview_Inventory[[#This Row],[quality]],Lookups!$A$26:$C$33,3,FALSE),1)</f>
        <v>0.98079741117310582</v>
      </c>
      <c r="BU693" s="4">
        <f>_xlfn.IFNA(VLOOKUP(Grandview_Inventory[[#This Row],[condition]],Lookups!$A$37:$C$44,3,FALSE),1)</f>
        <v>0.97383723671140243</v>
      </c>
      <c r="BV693" s="4">
        <f>IF(Grandview_Inventory[[#This Row],[bldg_style]]="",1,_xlfn.IFNA(VLOOKUP(Grandview_Inventory[[#This Row],[decade]],Lookups!$F$29:$H$43,3,FALSE),1))</f>
        <v>0.99472141305414818</v>
      </c>
      <c r="BW693" s="4">
        <f>_xlfn.IFNA(VLOOKUP(Grandview_Inventory[[#This Row],[living_area_range]],Lookups!$F$47:$H$56,3,FALSE),1)</f>
        <v>0.96135087979789358</v>
      </c>
      <c r="BX693" s="4">
        <f>AVERAGE(Grandview_Inventory[[#This Row],[qual_adj]:[size_adj]])</f>
        <v>0.97767673518413756</v>
      </c>
      <c r="BY693" s="6">
        <f>IF(Grandview_Inventory[[#This Row],[pre_res]]&lt;0,0,Grandview_Inventory[[#This Row],[pre_res]]*Grandview_Inventory[[#This Row],[overall_adj]])</f>
        <v>258586.38959295148</v>
      </c>
      <c r="BZ693" s="6">
        <f>(Grandview_Inventory[[#This Row],[sum_land]]-IF(Grandview_Inventory[[#This Row],[no_utilities]]=1,12000,0))/IF(Grandview_Inventory[[#This Row],[unbuildable]]=1,2,1)</f>
        <v>46638.847281240982</v>
      </c>
      <c r="CA69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3">
        <f>ROUND(Grandview_Inventory[[#This Row],[det_value]]*Lookups!$M$28,-2)</f>
        <v>0</v>
      </c>
      <c r="CC693">
        <f>IF(ROUND(Grandview_Inventory[[#This Row],[adj_res]]*Lookups!$M$28,-2)&lt;Grandview_Inventory[[#This Row],[min_res]],Grandview_Inventory[[#This Row],[min_res]],ROUND(Grandview_Inventory[[#This Row],[adj_res]]*Lookups!$M$28,-2))</f>
        <v>245700</v>
      </c>
      <c r="CD693">
        <f>Grandview_Inventory[[#This Row],[final_det]]+Grandview_Inventory[[#This Row],[final_res]]</f>
        <v>245700</v>
      </c>
      <c r="CE693">
        <f>Grandview_Inventory[[#This Row],[final_land]]+Grandview_Inventory[[#This Row],[final_imp]]+Grandview_Inventory[[#This Row],[crop_value]]</f>
        <v>290000</v>
      </c>
      <c r="CG693" t="str">
        <f t="shared" si="10"/>
        <v>update valuation set market_land =44300, market_bldg=245700, market_total =290000, market_mdno =401, market_date ='9/10/2023' where link_id = (select link_id from parcel where parcel_year = '2024' and parcel_id = '23092231418');</v>
      </c>
    </row>
    <row r="694" spans="1:85" x14ac:dyDescent="0.25">
      <c r="A694">
        <v>23092231419</v>
      </c>
      <c r="B694">
        <v>0.17</v>
      </c>
      <c r="C694" t="s">
        <v>129</v>
      </c>
      <c r="D694" t="s">
        <v>129</v>
      </c>
      <c r="E694" t="s">
        <v>53</v>
      </c>
      <c r="F694" t="s">
        <v>53</v>
      </c>
      <c r="G694">
        <v>4</v>
      </c>
      <c r="H694" t="s">
        <v>54</v>
      </c>
      <c r="I694">
        <v>129100</v>
      </c>
      <c r="J694">
        <v>38800</v>
      </c>
      <c r="K694">
        <v>0.17</v>
      </c>
      <c r="L69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4">
        <v>0</v>
      </c>
      <c r="N694">
        <v>0</v>
      </c>
      <c r="O694">
        <v>0</v>
      </c>
      <c r="P694">
        <v>13398.7528</v>
      </c>
      <c r="Q694">
        <v>63903</v>
      </c>
      <c r="R694">
        <f>(Grandview_Inventory[[#This Row],[ln_acres]]*Grandview_Inventory[[#This Row],[coeff]])+Grandview_Inventory[[#This Row],[const]]</f>
        <v>40160.988302686128</v>
      </c>
      <c r="S694" t="s">
        <v>55</v>
      </c>
      <c r="T694">
        <v>1</v>
      </c>
      <c r="U694" t="s">
        <v>70</v>
      </c>
      <c r="V694" t="s">
        <v>78</v>
      </c>
      <c r="W694">
        <v>0</v>
      </c>
      <c r="X694">
        <v>0</v>
      </c>
      <c r="Y694">
        <v>49</v>
      </c>
      <c r="Z694">
        <v>65</v>
      </c>
      <c r="AA694">
        <v>70</v>
      </c>
      <c r="AB694">
        <v>1000</v>
      </c>
      <c r="AC694">
        <v>999</v>
      </c>
      <c r="AD694">
        <v>999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378</v>
      </c>
      <c r="AL694">
        <v>0</v>
      </c>
      <c r="AM694">
        <v>0</v>
      </c>
      <c r="AN694">
        <v>0</v>
      </c>
      <c r="AO694">
        <v>0</v>
      </c>
      <c r="AP694">
        <v>5</v>
      </c>
      <c r="AQ694">
        <v>0</v>
      </c>
      <c r="AR694">
        <v>0</v>
      </c>
      <c r="AS694" t="s">
        <v>58</v>
      </c>
      <c r="AT694">
        <v>1</v>
      </c>
      <c r="AU694" t="s">
        <v>63</v>
      </c>
      <c r="AV694" t="s">
        <v>64</v>
      </c>
      <c r="AW694">
        <v>1</v>
      </c>
      <c r="AX694">
        <v>2</v>
      </c>
      <c r="AY694">
        <v>0</v>
      </c>
      <c r="AZ694">
        <v>0</v>
      </c>
      <c r="BA694">
        <v>100</v>
      </c>
      <c r="BB694">
        <v>100</v>
      </c>
      <c r="BC694">
        <v>100</v>
      </c>
      <c r="BD694">
        <v>100</v>
      </c>
      <c r="BE694">
        <v>1</v>
      </c>
      <c r="BF694">
        <v>15000</v>
      </c>
      <c r="BG694">
        <v>1000</v>
      </c>
      <c r="BH694" s="6">
        <f>Grandview_Inventory[[#This Row],[land_extract]]*Lookups!$B$3</f>
        <v>46638.847281240982</v>
      </c>
      <c r="BI694" s="6">
        <f>IF(Grandview_Inventory[[#This Row],[bldg_style]]="",0,Lookups!$B$2)</f>
        <v>155833.95000000001</v>
      </c>
      <c r="BJ694" s="6">
        <f>_xlfn.IFNA(VLOOKUP(Grandview_Inventory[[#This Row],[quality]],Lookups!$H$2:$J$14,3,FALSE),0)</f>
        <v>10733</v>
      </c>
      <c r="BK694" s="6">
        <f>_xlfn.IFNA(VLOOKUP(Grandview_Inventory[[#This Row],[condition]],Lookups!$H$17:$J$24,3,FALSE),0)</f>
        <v>-45357</v>
      </c>
      <c r="BL694" s="6">
        <f>Grandview_Inventory[[#This Row],[Eff_Age]]*Lookups!$B$14</f>
        <v>-11719.163399999999</v>
      </c>
      <c r="BM694" s="6">
        <f>Grandview_Inventory[[#This Row],[living_area]]*Lookups!$B$15</f>
        <v>62318.472147</v>
      </c>
      <c r="BN694" s="6">
        <f>Grandview_Inventory[[#This Row],[Fin BSMT]]*Lookups!$B$16</f>
        <v>0</v>
      </c>
      <c r="BO694" s="6">
        <f>(Grandview_Inventory[[#This Row],[att_gar]]+Grandview_Inventory[[#This Row],[bltin_gar]])*Lookups!$B$17</f>
        <v>0</v>
      </c>
      <c r="BP694" s="6">
        <f>Grandview_Inventory[[#This Row],[Plumbing Fixtures]]*Lookups!$B$18</f>
        <v>10052.209000000001</v>
      </c>
      <c r="BQ694" s="6">
        <f>Grandview_Inventory[[#This Row],[detatched_value]]*Lookups!$B$19</f>
        <v>0</v>
      </c>
      <c r="BR694" s="6">
        <f>SUM(Grandview_Inventory[[#This Row],[Intercept]:[det_value]])*Grandview_Inventory[[#This Row],[res_pct]]</f>
        <v>181861.46774700002</v>
      </c>
      <c r="BS694" s="6">
        <f>Grandview_Inventory[[#This Row],[land_value]]</f>
        <v>46638.847281240982</v>
      </c>
      <c r="BT694" s="4">
        <f>_xlfn.IFNA(VLOOKUP(Grandview_Inventory[[#This Row],[quality]],Lookups!$A$26:$C$33,3,FALSE),1)</f>
        <v>0.98079741117310582</v>
      </c>
      <c r="BU694" s="4">
        <f>_xlfn.IFNA(VLOOKUP(Grandview_Inventory[[#This Row],[condition]],Lookups!$A$37:$C$44,3,FALSE),1)</f>
        <v>0.97161819570155394</v>
      </c>
      <c r="BV694" s="4">
        <f>IF(Grandview_Inventory[[#This Row],[bldg_style]]="",1,_xlfn.IFNA(VLOOKUP(Grandview_Inventory[[#This Row],[decade]],Lookups!$F$29:$H$43,3,FALSE),1))</f>
        <v>0.99472141305414818</v>
      </c>
      <c r="BW694" s="4">
        <f>_xlfn.IFNA(VLOOKUP(Grandview_Inventory[[#This Row],[living_area_range]],Lookups!$F$47:$H$56,3,FALSE),1)</f>
        <v>0.94306777142782894</v>
      </c>
      <c r="BX694" s="4">
        <f>AVERAGE(Grandview_Inventory[[#This Row],[qual_adj]:[size_adj]])</f>
        <v>0.97255119783915911</v>
      </c>
      <c r="BY694" s="6">
        <f>IF(Grandview_Inventory[[#This Row],[pre_res]]&lt;0,0,Grandview_Inventory[[#This Row],[pre_res]]*Grandview_Inventory[[#This Row],[overall_adj]])</f>
        <v>176869.58829813247</v>
      </c>
      <c r="BZ694" s="6">
        <f>(Grandview_Inventory[[#This Row],[sum_land]]-IF(Grandview_Inventory[[#This Row],[no_utilities]]=1,12000,0))/IF(Grandview_Inventory[[#This Row],[unbuildable]]=1,2,1)</f>
        <v>46638.847281240982</v>
      </c>
      <c r="CA69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4">
        <f>ROUND(Grandview_Inventory[[#This Row],[det_value]]*Lookups!$M$28,-2)</f>
        <v>0</v>
      </c>
      <c r="CC694">
        <f>IF(ROUND(Grandview_Inventory[[#This Row],[adj_res]]*Lookups!$M$28,-2)&lt;Grandview_Inventory[[#This Row],[min_res]],Grandview_Inventory[[#This Row],[min_res]],ROUND(Grandview_Inventory[[#This Row],[adj_res]]*Lookups!$M$28,-2))</f>
        <v>168000</v>
      </c>
      <c r="CD694">
        <f>Grandview_Inventory[[#This Row],[final_det]]+Grandview_Inventory[[#This Row],[final_res]]</f>
        <v>168000</v>
      </c>
      <c r="CE694">
        <f>Grandview_Inventory[[#This Row],[final_land]]+Grandview_Inventory[[#This Row],[final_imp]]+Grandview_Inventory[[#This Row],[crop_value]]</f>
        <v>212300</v>
      </c>
      <c r="CG694" t="str">
        <f t="shared" si="10"/>
        <v>update valuation set market_land =44300, market_bldg=168000, market_total =212300, market_mdno =401, market_date ='9/10/2023' where link_id = (select link_id from parcel where parcel_year = '2024' and parcel_id = '23092231419');</v>
      </c>
    </row>
    <row r="695" spans="1:85" x14ac:dyDescent="0.25">
      <c r="A695">
        <v>23092231420</v>
      </c>
      <c r="B695">
        <v>0.17</v>
      </c>
      <c r="C695" t="s">
        <v>129</v>
      </c>
      <c r="D695" t="s">
        <v>129</v>
      </c>
      <c r="E695" t="s">
        <v>53</v>
      </c>
      <c r="F695" t="s">
        <v>53</v>
      </c>
      <c r="G695">
        <v>4</v>
      </c>
      <c r="H695" t="s">
        <v>54</v>
      </c>
      <c r="I695">
        <v>166300</v>
      </c>
      <c r="J695">
        <v>43000</v>
      </c>
      <c r="K695">
        <v>0.17</v>
      </c>
      <c r="L69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5">
        <v>0</v>
      </c>
      <c r="N695">
        <v>0</v>
      </c>
      <c r="O695">
        <v>0</v>
      </c>
      <c r="P695">
        <v>13398.7528</v>
      </c>
      <c r="Q695">
        <v>63903</v>
      </c>
      <c r="R695">
        <f>(Grandview_Inventory[[#This Row],[ln_acres]]*Grandview_Inventory[[#This Row],[coeff]])+Grandview_Inventory[[#This Row],[const]]</f>
        <v>40160.988302686128</v>
      </c>
      <c r="S695" t="s">
        <v>61</v>
      </c>
      <c r="T695">
        <v>1</v>
      </c>
      <c r="U695" t="s">
        <v>65</v>
      </c>
      <c r="V695" t="s">
        <v>69</v>
      </c>
      <c r="W695">
        <v>0</v>
      </c>
      <c r="X695">
        <v>0</v>
      </c>
      <c r="Y695">
        <v>46</v>
      </c>
      <c r="Z695">
        <v>55</v>
      </c>
      <c r="AA695">
        <v>60</v>
      </c>
      <c r="AB695">
        <v>1500</v>
      </c>
      <c r="AC695">
        <v>1248</v>
      </c>
      <c r="AD695">
        <v>1248</v>
      </c>
      <c r="AE695">
        <v>0</v>
      </c>
      <c r="AF695">
        <v>0</v>
      </c>
      <c r="AG695">
        <v>0</v>
      </c>
      <c r="AH695">
        <v>0</v>
      </c>
      <c r="AI695">
        <v>494</v>
      </c>
      <c r="AJ695">
        <v>0</v>
      </c>
      <c r="AK695">
        <v>0</v>
      </c>
      <c r="AL695">
        <v>0</v>
      </c>
      <c r="AM695">
        <v>300</v>
      </c>
      <c r="AN695">
        <v>0</v>
      </c>
      <c r="AO695">
        <v>0</v>
      </c>
      <c r="AP695">
        <v>8</v>
      </c>
      <c r="AQ695">
        <v>0</v>
      </c>
      <c r="AR695">
        <v>0</v>
      </c>
      <c r="AS695" t="s">
        <v>58</v>
      </c>
      <c r="AT695">
        <v>1</v>
      </c>
      <c r="AU695" t="s">
        <v>75</v>
      </c>
      <c r="AV695" t="s">
        <v>60</v>
      </c>
      <c r="AW695">
        <v>0</v>
      </c>
      <c r="AX695">
        <v>3</v>
      </c>
      <c r="AY695">
        <v>0</v>
      </c>
      <c r="AZ695">
        <v>0</v>
      </c>
      <c r="BA695">
        <v>100</v>
      </c>
      <c r="BB695">
        <v>100</v>
      </c>
      <c r="BC695">
        <v>100</v>
      </c>
      <c r="BD695">
        <v>100</v>
      </c>
      <c r="BE695">
        <v>1</v>
      </c>
      <c r="BF695">
        <v>15000</v>
      </c>
      <c r="BG695">
        <v>1000</v>
      </c>
      <c r="BH695" s="6">
        <f>Grandview_Inventory[[#This Row],[land_extract]]*Lookups!$B$3</f>
        <v>46638.847281240982</v>
      </c>
      <c r="BI695" s="6">
        <f>IF(Grandview_Inventory[[#This Row],[bldg_style]]="",0,Lookups!$B$2)</f>
        <v>155833.95000000001</v>
      </c>
      <c r="BJ695" s="6">
        <f>_xlfn.IFNA(VLOOKUP(Grandview_Inventory[[#This Row],[quality]],Lookups!$H$2:$J$14,3,FALSE),0)</f>
        <v>2251</v>
      </c>
      <c r="BK695" s="6">
        <f>_xlfn.IFNA(VLOOKUP(Grandview_Inventory[[#This Row],[condition]],Lookups!$H$17:$J$24,3,FALSE),0)</f>
        <v>-4503</v>
      </c>
      <c r="BL695" s="6">
        <f>Grandview_Inventory[[#This Row],[Eff_Age]]*Lookups!$B$14</f>
        <v>-11001.6636</v>
      </c>
      <c r="BM695" s="6">
        <f>Grandview_Inventory[[#This Row],[living_area]]*Lookups!$B$15</f>
        <v>77851.304543999999</v>
      </c>
      <c r="BN695" s="6">
        <f>Grandview_Inventory[[#This Row],[Fin BSMT]]*Lookups!$B$16</f>
        <v>0</v>
      </c>
      <c r="BO695" s="6">
        <f>(Grandview_Inventory[[#This Row],[att_gar]]+Grandview_Inventory[[#This Row],[bltin_gar]])*Lookups!$B$17</f>
        <v>43235.095878</v>
      </c>
      <c r="BP695" s="6">
        <f>Grandview_Inventory[[#This Row],[Plumbing Fixtures]]*Lookups!$B$18</f>
        <v>16083.5344</v>
      </c>
      <c r="BQ695" s="6">
        <f>Grandview_Inventory[[#This Row],[detatched_value]]*Lookups!$B$19</f>
        <v>0</v>
      </c>
      <c r="BR695" s="6">
        <f>SUM(Grandview_Inventory[[#This Row],[Intercept]:[det_value]])*Grandview_Inventory[[#This Row],[res_pct]]</f>
        <v>279750.22122200002</v>
      </c>
      <c r="BS695" s="6">
        <f>Grandview_Inventory[[#This Row],[land_value]]</f>
        <v>46638.847281240982</v>
      </c>
      <c r="BT695" s="4">
        <f>_xlfn.IFNA(VLOOKUP(Grandview_Inventory[[#This Row],[quality]],Lookups!$A$26:$C$33,3,FALSE),1)</f>
        <v>0.98763855981004833</v>
      </c>
      <c r="BU695" s="4">
        <f>_xlfn.IFNA(VLOOKUP(Grandview_Inventory[[#This Row],[condition]],Lookups!$A$37:$C$44,3,FALSE),1)</f>
        <v>0.96469275950863709</v>
      </c>
      <c r="BV695" s="4">
        <f>IF(Grandview_Inventory[[#This Row],[bldg_style]]="",1,_xlfn.IFNA(VLOOKUP(Grandview_Inventory[[#This Row],[decade]],Lookups!$F$29:$H$43,3,FALSE),1))</f>
        <v>0.95268620544463312</v>
      </c>
      <c r="BW695" s="4">
        <f>_xlfn.IFNA(VLOOKUP(Grandview_Inventory[[#This Row],[living_area_range]],Lookups!$F$47:$H$56,3,FALSE),1)</f>
        <v>0.96135087979789358</v>
      </c>
      <c r="BX695" s="4">
        <f>AVERAGE(Grandview_Inventory[[#This Row],[qual_adj]:[size_adj]])</f>
        <v>0.96659210114030303</v>
      </c>
      <c r="BY695" s="6">
        <f>IF(Grandview_Inventory[[#This Row],[pre_res]]&lt;0,0,Grandview_Inventory[[#This Row],[pre_res]]*Grandview_Inventory[[#This Row],[overall_adj]])</f>
        <v>270404.35412543762</v>
      </c>
      <c r="BZ695" s="6">
        <f>(Grandview_Inventory[[#This Row],[sum_land]]-IF(Grandview_Inventory[[#This Row],[no_utilities]]=1,12000,0))/IF(Grandview_Inventory[[#This Row],[unbuildable]]=1,2,1)</f>
        <v>46638.847281240982</v>
      </c>
      <c r="CA69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5">
        <f>ROUND(Grandview_Inventory[[#This Row],[det_value]]*Lookups!$M$28,-2)</f>
        <v>0</v>
      </c>
      <c r="CC695">
        <f>IF(ROUND(Grandview_Inventory[[#This Row],[adj_res]]*Lookups!$M$28,-2)&lt;Grandview_Inventory[[#This Row],[min_res]],Grandview_Inventory[[#This Row],[min_res]],ROUND(Grandview_Inventory[[#This Row],[adj_res]]*Lookups!$M$28,-2))</f>
        <v>256900</v>
      </c>
      <c r="CD695">
        <f>Grandview_Inventory[[#This Row],[final_det]]+Grandview_Inventory[[#This Row],[final_res]]</f>
        <v>256900</v>
      </c>
      <c r="CE695">
        <f>Grandview_Inventory[[#This Row],[final_land]]+Grandview_Inventory[[#This Row],[final_imp]]+Grandview_Inventory[[#This Row],[crop_value]]</f>
        <v>301200</v>
      </c>
      <c r="CG695" t="str">
        <f t="shared" si="10"/>
        <v>update valuation set market_land =44300, market_bldg=256900, market_total =301200, market_mdno =401, market_date ='9/10/2023' where link_id = (select link_id from parcel where parcel_year = '2024' and parcel_id = '23092231420');</v>
      </c>
    </row>
    <row r="696" spans="1:85" x14ac:dyDescent="0.25">
      <c r="A696">
        <v>23092231421</v>
      </c>
      <c r="B696">
        <v>0.17</v>
      </c>
      <c r="C696" t="s">
        <v>129</v>
      </c>
      <c r="D696" t="s">
        <v>129</v>
      </c>
      <c r="E696" t="s">
        <v>53</v>
      </c>
      <c r="F696" t="s">
        <v>53</v>
      </c>
      <c r="G696">
        <v>4</v>
      </c>
      <c r="H696" t="s">
        <v>54</v>
      </c>
      <c r="I696">
        <v>157800</v>
      </c>
      <c r="J696">
        <v>38800</v>
      </c>
      <c r="K696">
        <v>0.17</v>
      </c>
      <c r="L69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6">
        <v>0</v>
      </c>
      <c r="N696">
        <v>0</v>
      </c>
      <c r="O696">
        <v>0</v>
      </c>
      <c r="P696">
        <v>13398.7528</v>
      </c>
      <c r="Q696">
        <v>63903</v>
      </c>
      <c r="R696">
        <f>(Grandview_Inventory[[#This Row],[ln_acres]]*Grandview_Inventory[[#This Row],[coeff]])+Grandview_Inventory[[#This Row],[const]]</f>
        <v>40160.988302686128</v>
      </c>
      <c r="S696" t="s">
        <v>61</v>
      </c>
      <c r="T696">
        <v>1</v>
      </c>
      <c r="U696" t="s">
        <v>65</v>
      </c>
      <c r="V696" t="s">
        <v>69</v>
      </c>
      <c r="W696">
        <v>0</v>
      </c>
      <c r="X696">
        <v>0</v>
      </c>
      <c r="Y696">
        <v>46</v>
      </c>
      <c r="Z696">
        <v>55</v>
      </c>
      <c r="AA696">
        <v>60</v>
      </c>
      <c r="AB696">
        <v>1500</v>
      </c>
      <c r="AC696">
        <v>1066</v>
      </c>
      <c r="AD696">
        <v>1066</v>
      </c>
      <c r="AE696">
        <v>0</v>
      </c>
      <c r="AF696">
        <v>0</v>
      </c>
      <c r="AG696">
        <v>0</v>
      </c>
      <c r="AH696">
        <v>0</v>
      </c>
      <c r="AI696">
        <v>322</v>
      </c>
      <c r="AJ696">
        <v>0</v>
      </c>
      <c r="AK696">
        <v>0</v>
      </c>
      <c r="AL696">
        <v>0</v>
      </c>
      <c r="AM696">
        <v>550</v>
      </c>
      <c r="AN696">
        <v>0</v>
      </c>
      <c r="AO696">
        <v>180</v>
      </c>
      <c r="AP696">
        <v>5</v>
      </c>
      <c r="AQ696">
        <v>1</v>
      </c>
      <c r="AR696">
        <v>0</v>
      </c>
      <c r="AS696" t="s">
        <v>58</v>
      </c>
      <c r="AT696">
        <v>1</v>
      </c>
      <c r="AU696" t="s">
        <v>75</v>
      </c>
      <c r="AV696" t="s">
        <v>60</v>
      </c>
      <c r="AW696">
        <v>0</v>
      </c>
      <c r="AX696">
        <v>3</v>
      </c>
      <c r="AY696">
        <v>0</v>
      </c>
      <c r="AZ696">
        <v>2800</v>
      </c>
      <c r="BA696">
        <v>100</v>
      </c>
      <c r="BB696">
        <v>100</v>
      </c>
      <c r="BC696">
        <v>100</v>
      </c>
      <c r="BD696">
        <v>100</v>
      </c>
      <c r="BE696">
        <v>1</v>
      </c>
      <c r="BF696">
        <v>15000</v>
      </c>
      <c r="BG696">
        <v>1000</v>
      </c>
      <c r="BH696" s="6">
        <f>Grandview_Inventory[[#This Row],[land_extract]]*Lookups!$B$3</f>
        <v>46638.847281240982</v>
      </c>
      <c r="BI696" s="6">
        <f>IF(Grandview_Inventory[[#This Row],[bldg_style]]="",0,Lookups!$B$2)</f>
        <v>155833.95000000001</v>
      </c>
      <c r="BJ696" s="6">
        <f>_xlfn.IFNA(VLOOKUP(Grandview_Inventory[[#This Row],[quality]],Lookups!$H$2:$J$14,3,FALSE),0)</f>
        <v>2251</v>
      </c>
      <c r="BK696" s="6">
        <f>_xlfn.IFNA(VLOOKUP(Grandview_Inventory[[#This Row],[condition]],Lookups!$H$17:$J$24,3,FALSE),0)</f>
        <v>-4503</v>
      </c>
      <c r="BL696" s="6">
        <f>Grandview_Inventory[[#This Row],[Eff_Age]]*Lookups!$B$14</f>
        <v>-11001.6636</v>
      </c>
      <c r="BM696" s="6">
        <f>Grandview_Inventory[[#This Row],[living_area]]*Lookups!$B$15</f>
        <v>66497.989298</v>
      </c>
      <c r="BN696" s="6">
        <f>Grandview_Inventory[[#This Row],[Fin BSMT]]*Lookups!$B$16</f>
        <v>0</v>
      </c>
      <c r="BO696" s="6">
        <f>(Grandview_Inventory[[#This Row],[att_gar]]+Grandview_Inventory[[#This Row],[bltin_gar]])*Lookups!$B$17</f>
        <v>28181.580714</v>
      </c>
      <c r="BP696" s="6">
        <f>Grandview_Inventory[[#This Row],[Plumbing Fixtures]]*Lookups!$B$18</f>
        <v>10052.209000000001</v>
      </c>
      <c r="BQ696" s="6">
        <f>Grandview_Inventory[[#This Row],[detatched_value]]*Lookups!$B$19</f>
        <v>2371.0542799999998</v>
      </c>
      <c r="BR696" s="6">
        <f>SUM(Grandview_Inventory[[#This Row],[Intercept]:[det_value]])*Grandview_Inventory[[#This Row],[res_pct]]</f>
        <v>249683.11969200004</v>
      </c>
      <c r="BS696" s="6">
        <f>Grandview_Inventory[[#This Row],[land_value]]</f>
        <v>46638.847281240982</v>
      </c>
      <c r="BT696" s="4">
        <f>_xlfn.IFNA(VLOOKUP(Grandview_Inventory[[#This Row],[quality]],Lookups!$A$26:$C$33,3,FALSE),1)</f>
        <v>0.98763855981004833</v>
      </c>
      <c r="BU696" s="4">
        <f>_xlfn.IFNA(VLOOKUP(Grandview_Inventory[[#This Row],[condition]],Lookups!$A$37:$C$44,3,FALSE),1)</f>
        <v>0.96469275950863709</v>
      </c>
      <c r="BV696" s="4">
        <f>IF(Grandview_Inventory[[#This Row],[bldg_style]]="",1,_xlfn.IFNA(VLOOKUP(Grandview_Inventory[[#This Row],[decade]],Lookups!$F$29:$H$43,3,FALSE),1))</f>
        <v>0.95268620544463312</v>
      </c>
      <c r="BW696" s="4">
        <f>_xlfn.IFNA(VLOOKUP(Grandview_Inventory[[#This Row],[living_area_range]],Lookups!$F$47:$H$56,3,FALSE),1)</f>
        <v>0.96135087979789358</v>
      </c>
      <c r="BX696" s="4">
        <f>AVERAGE(Grandview_Inventory[[#This Row],[qual_adj]:[size_adj]])</f>
        <v>0.96659210114030303</v>
      </c>
      <c r="BY696" s="6">
        <f>IF(Grandview_Inventory[[#This Row],[pre_res]]&lt;0,0,Grandview_Inventory[[#This Row],[pre_res]]*Grandview_Inventory[[#This Row],[overall_adj]])</f>
        <v>241341.73128235608</v>
      </c>
      <c r="BZ696" s="6">
        <f>(Grandview_Inventory[[#This Row],[sum_land]]-IF(Grandview_Inventory[[#This Row],[no_utilities]]=1,12000,0))/IF(Grandview_Inventory[[#This Row],[unbuildable]]=1,2,1)</f>
        <v>46638.847281240982</v>
      </c>
      <c r="CA69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6">
        <f>ROUND(Grandview_Inventory[[#This Row],[det_value]]*Lookups!$M$28,-2)</f>
        <v>2300</v>
      </c>
      <c r="CC696">
        <f>IF(ROUND(Grandview_Inventory[[#This Row],[adj_res]]*Lookups!$M$28,-2)&lt;Grandview_Inventory[[#This Row],[min_res]],Grandview_Inventory[[#This Row],[min_res]],ROUND(Grandview_Inventory[[#This Row],[adj_res]]*Lookups!$M$28,-2))</f>
        <v>229300</v>
      </c>
      <c r="CD696">
        <f>Grandview_Inventory[[#This Row],[final_det]]+Grandview_Inventory[[#This Row],[final_res]]</f>
        <v>231600</v>
      </c>
      <c r="CE696">
        <f>Grandview_Inventory[[#This Row],[final_land]]+Grandview_Inventory[[#This Row],[final_imp]]+Grandview_Inventory[[#This Row],[crop_value]]</f>
        <v>275900</v>
      </c>
      <c r="CG696" t="str">
        <f t="shared" si="10"/>
        <v>update valuation set market_land =44300, market_bldg=231600, market_total =275900, market_mdno =401, market_date ='9/10/2023' where link_id = (select link_id from parcel where parcel_year = '2024' and parcel_id = '23092231421');</v>
      </c>
    </row>
    <row r="697" spans="1:85" x14ac:dyDescent="0.25">
      <c r="A697">
        <v>23092231422</v>
      </c>
      <c r="B697">
        <v>0.17</v>
      </c>
      <c r="C697" t="s">
        <v>129</v>
      </c>
      <c r="D697" t="s">
        <v>129</v>
      </c>
      <c r="E697" t="s">
        <v>53</v>
      </c>
      <c r="F697" t="s">
        <v>53</v>
      </c>
      <c r="G697">
        <v>4</v>
      </c>
      <c r="H697" t="s">
        <v>54</v>
      </c>
      <c r="I697">
        <v>140500</v>
      </c>
      <c r="J697">
        <v>43000</v>
      </c>
      <c r="K697">
        <v>0.17</v>
      </c>
      <c r="L69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7">
        <v>0</v>
      </c>
      <c r="N697">
        <v>0</v>
      </c>
      <c r="O697">
        <v>0</v>
      </c>
      <c r="P697">
        <v>13398.7528</v>
      </c>
      <c r="Q697">
        <v>63903</v>
      </c>
      <c r="R697">
        <f>(Grandview_Inventory[[#This Row],[ln_acres]]*Grandview_Inventory[[#This Row],[coeff]])+Grandview_Inventory[[#This Row],[const]]</f>
        <v>40160.988302686128</v>
      </c>
      <c r="S697" t="s">
        <v>61</v>
      </c>
      <c r="T697">
        <v>1</v>
      </c>
      <c r="U697" t="s">
        <v>70</v>
      </c>
      <c r="V697" t="s">
        <v>69</v>
      </c>
      <c r="W697">
        <v>0</v>
      </c>
      <c r="X697">
        <v>0</v>
      </c>
      <c r="Y697">
        <v>46</v>
      </c>
      <c r="Z697">
        <v>55</v>
      </c>
      <c r="AA697">
        <v>60</v>
      </c>
      <c r="AB697">
        <v>1500</v>
      </c>
      <c r="AC697">
        <v>1014</v>
      </c>
      <c r="AD697">
        <v>1014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364</v>
      </c>
      <c r="AL697">
        <v>0</v>
      </c>
      <c r="AM697">
        <v>375</v>
      </c>
      <c r="AN697">
        <v>0</v>
      </c>
      <c r="AO697">
        <v>0</v>
      </c>
      <c r="AP697">
        <v>5</v>
      </c>
      <c r="AQ697">
        <v>0</v>
      </c>
      <c r="AR697">
        <v>0</v>
      </c>
      <c r="AS697" t="s">
        <v>58</v>
      </c>
      <c r="AT697">
        <v>1</v>
      </c>
      <c r="AU697" t="s">
        <v>75</v>
      </c>
      <c r="AV697" t="s">
        <v>60</v>
      </c>
      <c r="AW697">
        <v>0</v>
      </c>
      <c r="AX697">
        <v>3</v>
      </c>
      <c r="AY697">
        <v>0</v>
      </c>
      <c r="AZ697">
        <v>0</v>
      </c>
      <c r="BA697">
        <v>100</v>
      </c>
      <c r="BB697">
        <v>100</v>
      </c>
      <c r="BC697">
        <v>100</v>
      </c>
      <c r="BD697">
        <v>100</v>
      </c>
      <c r="BE697">
        <v>1</v>
      </c>
      <c r="BF697">
        <v>15000</v>
      </c>
      <c r="BG697">
        <v>1000</v>
      </c>
      <c r="BH697" s="6">
        <f>Grandview_Inventory[[#This Row],[land_extract]]*Lookups!$B$3</f>
        <v>46638.847281240982</v>
      </c>
      <c r="BI697" s="6">
        <f>IF(Grandview_Inventory[[#This Row],[bldg_style]]="",0,Lookups!$B$2)</f>
        <v>155833.95000000001</v>
      </c>
      <c r="BJ697" s="6">
        <f>_xlfn.IFNA(VLOOKUP(Grandview_Inventory[[#This Row],[quality]],Lookups!$H$2:$J$14,3,FALSE),0)</f>
        <v>10733</v>
      </c>
      <c r="BK697" s="6">
        <f>_xlfn.IFNA(VLOOKUP(Grandview_Inventory[[#This Row],[condition]],Lookups!$H$17:$J$24,3,FALSE),0)</f>
        <v>-4503</v>
      </c>
      <c r="BL697" s="6">
        <f>Grandview_Inventory[[#This Row],[Eff_Age]]*Lookups!$B$14</f>
        <v>-11001.6636</v>
      </c>
      <c r="BM697" s="6">
        <f>Grandview_Inventory[[#This Row],[living_area]]*Lookups!$B$15</f>
        <v>63254.184942</v>
      </c>
      <c r="BN697" s="6">
        <f>Grandview_Inventory[[#This Row],[Fin BSMT]]*Lookups!$B$16</f>
        <v>0</v>
      </c>
      <c r="BO697" s="6">
        <f>(Grandview_Inventory[[#This Row],[att_gar]]+Grandview_Inventory[[#This Row],[bltin_gar]])*Lookups!$B$17</f>
        <v>0</v>
      </c>
      <c r="BP697" s="6">
        <f>Grandview_Inventory[[#This Row],[Plumbing Fixtures]]*Lookups!$B$18</f>
        <v>10052.209000000001</v>
      </c>
      <c r="BQ697" s="6">
        <f>Grandview_Inventory[[#This Row],[detatched_value]]*Lookups!$B$19</f>
        <v>0</v>
      </c>
      <c r="BR697" s="6">
        <f>SUM(Grandview_Inventory[[#This Row],[Intercept]:[det_value]])*Grandview_Inventory[[#This Row],[res_pct]]</f>
        <v>224368.68034200001</v>
      </c>
      <c r="BS697" s="6">
        <f>Grandview_Inventory[[#This Row],[land_value]]</f>
        <v>46638.847281240982</v>
      </c>
      <c r="BT697" s="4">
        <f>_xlfn.IFNA(VLOOKUP(Grandview_Inventory[[#This Row],[quality]],Lookups!$A$26:$C$33,3,FALSE),1)</f>
        <v>0.98079741117310582</v>
      </c>
      <c r="BU697" s="4">
        <f>_xlfn.IFNA(VLOOKUP(Grandview_Inventory[[#This Row],[condition]],Lookups!$A$37:$C$44,3,FALSE),1)</f>
        <v>0.96469275950863709</v>
      </c>
      <c r="BV697" s="4">
        <f>IF(Grandview_Inventory[[#This Row],[bldg_style]]="",1,_xlfn.IFNA(VLOOKUP(Grandview_Inventory[[#This Row],[decade]],Lookups!$F$29:$H$43,3,FALSE),1))</f>
        <v>0.95268620544463312</v>
      </c>
      <c r="BW697" s="4">
        <f>_xlfn.IFNA(VLOOKUP(Grandview_Inventory[[#This Row],[living_area_range]],Lookups!$F$47:$H$56,3,FALSE),1)</f>
        <v>0.96135087979789358</v>
      </c>
      <c r="BX697" s="4">
        <f>AVERAGE(Grandview_Inventory[[#This Row],[qual_adj]:[size_adj]])</f>
        <v>0.96488181398106743</v>
      </c>
      <c r="BY697" s="6">
        <f>IF(Grandview_Inventory[[#This Row],[pre_res]]&lt;0,0,Grandview_Inventory[[#This Row],[pre_res]]*Grandview_Inventory[[#This Row],[overall_adj]])</f>
        <v>216489.25928892722</v>
      </c>
      <c r="BZ697" s="6">
        <f>(Grandview_Inventory[[#This Row],[sum_land]]-IF(Grandview_Inventory[[#This Row],[no_utilities]]=1,12000,0))/IF(Grandview_Inventory[[#This Row],[unbuildable]]=1,2,1)</f>
        <v>46638.847281240982</v>
      </c>
      <c r="CA69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7">
        <f>ROUND(Grandview_Inventory[[#This Row],[det_value]]*Lookups!$M$28,-2)</f>
        <v>0</v>
      </c>
      <c r="CC697">
        <f>IF(ROUND(Grandview_Inventory[[#This Row],[adj_res]]*Lookups!$M$28,-2)&lt;Grandview_Inventory[[#This Row],[min_res]],Grandview_Inventory[[#This Row],[min_res]],ROUND(Grandview_Inventory[[#This Row],[adj_res]]*Lookups!$M$28,-2))</f>
        <v>205700</v>
      </c>
      <c r="CD697">
        <f>Grandview_Inventory[[#This Row],[final_det]]+Grandview_Inventory[[#This Row],[final_res]]</f>
        <v>205700</v>
      </c>
      <c r="CE697">
        <f>Grandview_Inventory[[#This Row],[final_land]]+Grandview_Inventory[[#This Row],[final_imp]]+Grandview_Inventory[[#This Row],[crop_value]]</f>
        <v>250000</v>
      </c>
      <c r="CG697" t="str">
        <f t="shared" si="10"/>
        <v>update valuation set market_land =44300, market_bldg=205700, market_total =250000, market_mdno =401, market_date ='9/10/2023' where link_id = (select link_id from parcel where parcel_year = '2024' and parcel_id = '23092231422');</v>
      </c>
    </row>
    <row r="698" spans="1:85" x14ac:dyDescent="0.25">
      <c r="A698">
        <v>23092231423</v>
      </c>
      <c r="B698">
        <v>0.17</v>
      </c>
      <c r="C698" t="s">
        <v>129</v>
      </c>
      <c r="D698" t="s">
        <v>129</v>
      </c>
      <c r="E698" t="s">
        <v>53</v>
      </c>
      <c r="F698" t="s">
        <v>53</v>
      </c>
      <c r="G698">
        <v>4</v>
      </c>
      <c r="H698" t="s">
        <v>54</v>
      </c>
      <c r="I698">
        <v>135500</v>
      </c>
      <c r="J698">
        <v>38800</v>
      </c>
      <c r="K698">
        <v>0.17</v>
      </c>
      <c r="L69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698">
        <v>0</v>
      </c>
      <c r="N698">
        <v>0</v>
      </c>
      <c r="O698">
        <v>0</v>
      </c>
      <c r="P698">
        <v>13398.7528</v>
      </c>
      <c r="Q698">
        <v>63903</v>
      </c>
      <c r="R698">
        <f>(Grandview_Inventory[[#This Row],[ln_acres]]*Grandview_Inventory[[#This Row],[coeff]])+Grandview_Inventory[[#This Row],[const]]</f>
        <v>40160.988302686128</v>
      </c>
      <c r="S698" t="s">
        <v>61</v>
      </c>
      <c r="T698">
        <v>1</v>
      </c>
      <c r="U698" t="s">
        <v>65</v>
      </c>
      <c r="V698" t="s">
        <v>69</v>
      </c>
      <c r="W698">
        <v>0</v>
      </c>
      <c r="X698">
        <v>0</v>
      </c>
      <c r="Y698">
        <v>46</v>
      </c>
      <c r="Z698">
        <v>55</v>
      </c>
      <c r="AA698">
        <v>60</v>
      </c>
      <c r="AB698">
        <v>1500</v>
      </c>
      <c r="AC698">
        <v>1352</v>
      </c>
      <c r="AD698">
        <v>1352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236</v>
      </c>
      <c r="AM698">
        <v>450</v>
      </c>
      <c r="AN698">
        <v>0</v>
      </c>
      <c r="AO698">
        <v>450</v>
      </c>
      <c r="AP698">
        <v>5</v>
      </c>
      <c r="AQ698">
        <v>0</v>
      </c>
      <c r="AR698">
        <v>0</v>
      </c>
      <c r="AS698" t="s">
        <v>58</v>
      </c>
      <c r="AT698">
        <v>1</v>
      </c>
      <c r="AU698" t="s">
        <v>75</v>
      </c>
      <c r="AV698" t="s">
        <v>60</v>
      </c>
      <c r="AW698">
        <v>0</v>
      </c>
      <c r="AX698">
        <v>3</v>
      </c>
      <c r="AY698">
        <v>0</v>
      </c>
      <c r="AZ698">
        <v>0</v>
      </c>
      <c r="BA698">
        <v>100</v>
      </c>
      <c r="BB698">
        <v>100</v>
      </c>
      <c r="BC698">
        <v>100</v>
      </c>
      <c r="BD698">
        <v>100</v>
      </c>
      <c r="BE698">
        <v>1</v>
      </c>
      <c r="BF698">
        <v>15000</v>
      </c>
      <c r="BG698">
        <v>1000</v>
      </c>
      <c r="BH698" s="6">
        <f>Grandview_Inventory[[#This Row],[land_extract]]*Lookups!$B$3</f>
        <v>46638.847281240982</v>
      </c>
      <c r="BI698" s="6">
        <f>IF(Grandview_Inventory[[#This Row],[bldg_style]]="",0,Lookups!$B$2)</f>
        <v>155833.95000000001</v>
      </c>
      <c r="BJ698" s="6">
        <f>_xlfn.IFNA(VLOOKUP(Grandview_Inventory[[#This Row],[quality]],Lookups!$H$2:$J$14,3,FALSE),0)</f>
        <v>2251</v>
      </c>
      <c r="BK698" s="6">
        <f>_xlfn.IFNA(VLOOKUP(Grandview_Inventory[[#This Row],[condition]],Lookups!$H$17:$J$24,3,FALSE),0)</f>
        <v>-4503</v>
      </c>
      <c r="BL698" s="6">
        <f>Grandview_Inventory[[#This Row],[Eff_Age]]*Lookups!$B$14</f>
        <v>-11001.6636</v>
      </c>
      <c r="BM698" s="6">
        <f>Grandview_Inventory[[#This Row],[living_area]]*Lookups!$B$15</f>
        <v>84338.913256</v>
      </c>
      <c r="BN698" s="6">
        <f>Grandview_Inventory[[#This Row],[Fin BSMT]]*Lookups!$B$16</f>
        <v>0</v>
      </c>
      <c r="BO698" s="6">
        <f>(Grandview_Inventory[[#This Row],[att_gar]]+Grandview_Inventory[[#This Row],[bltin_gar]])*Lookups!$B$17</f>
        <v>0</v>
      </c>
      <c r="BP698" s="6">
        <f>Grandview_Inventory[[#This Row],[Plumbing Fixtures]]*Lookups!$B$18</f>
        <v>10052.209000000001</v>
      </c>
      <c r="BQ698" s="6">
        <f>Grandview_Inventory[[#This Row],[detatched_value]]*Lookups!$B$19</f>
        <v>0</v>
      </c>
      <c r="BR698" s="6">
        <f>SUM(Grandview_Inventory[[#This Row],[Intercept]:[det_value]])*Grandview_Inventory[[#This Row],[res_pct]]</f>
        <v>236971.40865600001</v>
      </c>
      <c r="BS698" s="6">
        <f>Grandview_Inventory[[#This Row],[land_value]]</f>
        <v>46638.847281240982</v>
      </c>
      <c r="BT698" s="4">
        <f>_xlfn.IFNA(VLOOKUP(Grandview_Inventory[[#This Row],[quality]],Lookups!$A$26:$C$33,3,FALSE),1)</f>
        <v>0.98763855981004833</v>
      </c>
      <c r="BU698" s="4">
        <f>_xlfn.IFNA(VLOOKUP(Grandview_Inventory[[#This Row],[condition]],Lookups!$A$37:$C$44,3,FALSE),1)</f>
        <v>0.96469275950863709</v>
      </c>
      <c r="BV698" s="4">
        <f>IF(Grandview_Inventory[[#This Row],[bldg_style]]="",1,_xlfn.IFNA(VLOOKUP(Grandview_Inventory[[#This Row],[decade]],Lookups!$F$29:$H$43,3,FALSE),1))</f>
        <v>0.95268620544463312</v>
      </c>
      <c r="BW698" s="4">
        <f>_xlfn.IFNA(VLOOKUP(Grandview_Inventory[[#This Row],[living_area_range]],Lookups!$F$47:$H$56,3,FALSE),1)</f>
        <v>0.96135087979789358</v>
      </c>
      <c r="BX698" s="4">
        <f>AVERAGE(Grandview_Inventory[[#This Row],[qual_adj]:[size_adj]])</f>
        <v>0.96659210114030303</v>
      </c>
      <c r="BY698" s="6">
        <f>IF(Grandview_Inventory[[#This Row],[pre_res]]&lt;0,0,Grandview_Inventory[[#This Row],[pre_res]]*Grandview_Inventory[[#This Row],[overall_adj]])</f>
        <v>229054.69180298044</v>
      </c>
      <c r="BZ698" s="6">
        <f>(Grandview_Inventory[[#This Row],[sum_land]]-IF(Grandview_Inventory[[#This Row],[no_utilities]]=1,12000,0))/IF(Grandview_Inventory[[#This Row],[unbuildable]]=1,2,1)</f>
        <v>46638.847281240982</v>
      </c>
      <c r="CA69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698">
        <f>ROUND(Grandview_Inventory[[#This Row],[det_value]]*Lookups!$M$28,-2)</f>
        <v>0</v>
      </c>
      <c r="CC698">
        <f>IF(ROUND(Grandview_Inventory[[#This Row],[adj_res]]*Lookups!$M$28,-2)&lt;Grandview_Inventory[[#This Row],[min_res]],Grandview_Inventory[[#This Row],[min_res]],ROUND(Grandview_Inventory[[#This Row],[adj_res]]*Lookups!$M$28,-2))</f>
        <v>217600</v>
      </c>
      <c r="CD698">
        <f>Grandview_Inventory[[#This Row],[final_det]]+Grandview_Inventory[[#This Row],[final_res]]</f>
        <v>217600</v>
      </c>
      <c r="CE698">
        <f>Grandview_Inventory[[#This Row],[final_land]]+Grandview_Inventory[[#This Row],[final_imp]]+Grandview_Inventory[[#This Row],[crop_value]]</f>
        <v>261900</v>
      </c>
      <c r="CG698" t="str">
        <f t="shared" si="10"/>
        <v>update valuation set market_land =44300, market_bldg=217600, market_total =261900, market_mdno =401, market_date ='9/10/2023' where link_id = (select link_id from parcel where parcel_year = '2024' and parcel_id = '23092231423');</v>
      </c>
    </row>
    <row r="699" spans="1:85" x14ac:dyDescent="0.25">
      <c r="A699">
        <v>23092231424</v>
      </c>
      <c r="B699">
        <v>0.2</v>
      </c>
      <c r="C699">
        <v>8503</v>
      </c>
      <c r="D699" t="s">
        <v>129</v>
      </c>
      <c r="E699" t="s">
        <v>53</v>
      </c>
      <c r="F699" t="s">
        <v>53</v>
      </c>
      <c r="G699">
        <v>4</v>
      </c>
      <c r="H699" t="s">
        <v>54</v>
      </c>
      <c r="I699">
        <v>188800</v>
      </c>
      <c r="J699">
        <v>39300</v>
      </c>
      <c r="K699">
        <v>0.2</v>
      </c>
      <c r="L69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699">
        <v>0</v>
      </c>
      <c r="N699">
        <v>0</v>
      </c>
      <c r="O699">
        <v>0</v>
      </c>
      <c r="P699">
        <v>13398.7528</v>
      </c>
      <c r="Q699">
        <v>63903</v>
      </c>
      <c r="R699">
        <f>(Grandview_Inventory[[#This Row],[ln_acres]]*Grandview_Inventory[[#This Row],[coeff]])+Grandview_Inventory[[#This Row],[const]]</f>
        <v>42338.539264347448</v>
      </c>
      <c r="S699" t="s">
        <v>61</v>
      </c>
      <c r="T699">
        <v>1</v>
      </c>
      <c r="U699" t="s">
        <v>70</v>
      </c>
      <c r="V699" t="s">
        <v>69</v>
      </c>
      <c r="W699">
        <v>0</v>
      </c>
      <c r="X699">
        <v>0</v>
      </c>
      <c r="Y699">
        <v>47</v>
      </c>
      <c r="Z699">
        <v>58</v>
      </c>
      <c r="AA699">
        <v>60</v>
      </c>
      <c r="AB699">
        <v>1500</v>
      </c>
      <c r="AC699">
        <v>1406</v>
      </c>
      <c r="AD699">
        <v>1406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456</v>
      </c>
      <c r="AN699">
        <v>0</v>
      </c>
      <c r="AO699">
        <v>0</v>
      </c>
      <c r="AP699">
        <v>5</v>
      </c>
      <c r="AQ699">
        <v>1</v>
      </c>
      <c r="AR699">
        <v>0</v>
      </c>
      <c r="AS699" t="s">
        <v>58</v>
      </c>
      <c r="AT699">
        <v>1</v>
      </c>
      <c r="AU699" t="s">
        <v>75</v>
      </c>
      <c r="AV699" t="s">
        <v>60</v>
      </c>
      <c r="AW699">
        <v>0</v>
      </c>
      <c r="AX699">
        <v>3</v>
      </c>
      <c r="AY699">
        <v>0</v>
      </c>
      <c r="AZ699">
        <v>24200</v>
      </c>
      <c r="BA699">
        <v>100</v>
      </c>
      <c r="BB699">
        <v>100</v>
      </c>
      <c r="BC699">
        <v>100</v>
      </c>
      <c r="BD699">
        <v>100</v>
      </c>
      <c r="BE699">
        <v>1</v>
      </c>
      <c r="BF699">
        <v>15000</v>
      </c>
      <c r="BG699">
        <v>1000</v>
      </c>
      <c r="BH699" s="6">
        <f>Grandview_Inventory[[#This Row],[land_extract]]*Lookups!$B$3</f>
        <v>49167.631333630678</v>
      </c>
      <c r="BI699" s="6">
        <f>IF(Grandview_Inventory[[#This Row],[bldg_style]]="",0,Lookups!$B$2)</f>
        <v>155833.95000000001</v>
      </c>
      <c r="BJ699" s="6">
        <f>_xlfn.IFNA(VLOOKUP(Grandview_Inventory[[#This Row],[quality]],Lookups!$H$2:$J$14,3,FALSE),0)</f>
        <v>10733</v>
      </c>
      <c r="BK699" s="6">
        <f>_xlfn.IFNA(VLOOKUP(Grandview_Inventory[[#This Row],[condition]],Lookups!$H$17:$J$24,3,FALSE),0)</f>
        <v>-4503</v>
      </c>
      <c r="BL699" s="6">
        <f>Grandview_Inventory[[#This Row],[Eff_Age]]*Lookups!$B$14</f>
        <v>-11240.8302</v>
      </c>
      <c r="BM699" s="6">
        <f>Grandview_Inventory[[#This Row],[living_area]]*Lookups!$B$15</f>
        <v>87707.479317999998</v>
      </c>
      <c r="BN699" s="6">
        <f>Grandview_Inventory[[#This Row],[Fin BSMT]]*Lookups!$B$16</f>
        <v>0</v>
      </c>
      <c r="BO699" s="6">
        <f>(Grandview_Inventory[[#This Row],[att_gar]]+Grandview_Inventory[[#This Row],[bltin_gar]])*Lookups!$B$17</f>
        <v>0</v>
      </c>
      <c r="BP699" s="6">
        <f>Grandview_Inventory[[#This Row],[Plumbing Fixtures]]*Lookups!$B$18</f>
        <v>10052.209000000001</v>
      </c>
      <c r="BQ699" s="6">
        <f>Grandview_Inventory[[#This Row],[detatched_value]]*Lookups!$B$19</f>
        <v>20492.683420000001</v>
      </c>
      <c r="BR699" s="6">
        <f>SUM(Grandview_Inventory[[#This Row],[Intercept]:[det_value]])*Grandview_Inventory[[#This Row],[res_pct]]</f>
        <v>269075.491538</v>
      </c>
      <c r="BS699" s="6">
        <f>Grandview_Inventory[[#This Row],[land_value]]</f>
        <v>49167.631333630678</v>
      </c>
      <c r="BT699" s="4">
        <f>_xlfn.IFNA(VLOOKUP(Grandview_Inventory[[#This Row],[quality]],Lookups!$A$26:$C$33,3,FALSE),1)</f>
        <v>0.98079741117310582</v>
      </c>
      <c r="BU699" s="4">
        <f>_xlfn.IFNA(VLOOKUP(Grandview_Inventory[[#This Row],[condition]],Lookups!$A$37:$C$44,3,FALSE),1)</f>
        <v>0.96469275950863709</v>
      </c>
      <c r="BV699" s="4">
        <f>IF(Grandview_Inventory[[#This Row],[bldg_style]]="",1,_xlfn.IFNA(VLOOKUP(Grandview_Inventory[[#This Row],[decade]],Lookups!$F$29:$H$43,3,FALSE),1))</f>
        <v>0.95268620544463312</v>
      </c>
      <c r="BW699" s="4">
        <f>_xlfn.IFNA(VLOOKUP(Grandview_Inventory[[#This Row],[living_area_range]],Lookups!$F$47:$H$56,3,FALSE),1)</f>
        <v>0.96135087979789358</v>
      </c>
      <c r="BX699" s="4">
        <f>AVERAGE(Grandview_Inventory[[#This Row],[qual_adj]:[size_adj]])</f>
        <v>0.96488181398106743</v>
      </c>
      <c r="BY699" s="6">
        <f>IF(Grandview_Inventory[[#This Row],[pre_res]]&lt;0,0,Grandview_Inventory[[#This Row],[pre_res]]*Grandview_Inventory[[#This Row],[overall_adj]])</f>
        <v>259626.0483730328</v>
      </c>
      <c r="BZ699" s="6">
        <f>(Grandview_Inventory[[#This Row],[sum_land]]-IF(Grandview_Inventory[[#This Row],[no_utilities]]=1,12000,0))/IF(Grandview_Inventory[[#This Row],[unbuildable]]=1,2,1)</f>
        <v>49167.631333630678</v>
      </c>
      <c r="CA69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699">
        <f>ROUND(Grandview_Inventory[[#This Row],[det_value]]*Lookups!$M$28,-2)</f>
        <v>19500</v>
      </c>
      <c r="CC699">
        <f>IF(ROUND(Grandview_Inventory[[#This Row],[adj_res]]*Lookups!$M$28,-2)&lt;Grandview_Inventory[[#This Row],[min_res]],Grandview_Inventory[[#This Row],[min_res]],ROUND(Grandview_Inventory[[#This Row],[adj_res]]*Lookups!$M$28,-2))</f>
        <v>246600</v>
      </c>
      <c r="CD699">
        <f>Grandview_Inventory[[#This Row],[final_det]]+Grandview_Inventory[[#This Row],[final_res]]</f>
        <v>266100</v>
      </c>
      <c r="CE699">
        <f>Grandview_Inventory[[#This Row],[final_land]]+Grandview_Inventory[[#This Row],[final_imp]]+Grandview_Inventory[[#This Row],[crop_value]]</f>
        <v>312800</v>
      </c>
      <c r="CG699" t="str">
        <f t="shared" si="10"/>
        <v>update valuation set market_land =46700, market_bldg=266100, market_total =312800, market_mdno =401, market_date ='9/10/2023' where link_id = (select link_id from parcel where parcel_year = '2024' and parcel_id = '23092231424');</v>
      </c>
    </row>
    <row r="700" spans="1:85" x14ac:dyDescent="0.25">
      <c r="A700">
        <v>23092231425</v>
      </c>
      <c r="B700">
        <v>0.2</v>
      </c>
      <c r="C700">
        <v>8731</v>
      </c>
      <c r="D700" t="s">
        <v>129</v>
      </c>
      <c r="E700" t="s">
        <v>53</v>
      </c>
      <c r="F700" t="s">
        <v>53</v>
      </c>
      <c r="G700">
        <v>4</v>
      </c>
      <c r="H700" t="s">
        <v>54</v>
      </c>
      <c r="I700">
        <v>226500</v>
      </c>
      <c r="J700">
        <v>43700</v>
      </c>
      <c r="K700">
        <v>0.2</v>
      </c>
      <c r="L70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00">
        <v>0</v>
      </c>
      <c r="N700">
        <v>0</v>
      </c>
      <c r="O700">
        <v>0</v>
      </c>
      <c r="P700">
        <v>13398.7528</v>
      </c>
      <c r="Q700">
        <v>63903</v>
      </c>
      <c r="R700">
        <f>(Grandview_Inventory[[#This Row],[ln_acres]]*Grandview_Inventory[[#This Row],[coeff]])+Grandview_Inventory[[#This Row],[const]]</f>
        <v>42338.539264347448</v>
      </c>
      <c r="S700" t="s">
        <v>61</v>
      </c>
      <c r="T700">
        <v>1</v>
      </c>
      <c r="U700" t="s">
        <v>62</v>
      </c>
      <c r="V700" t="s">
        <v>69</v>
      </c>
      <c r="W700">
        <v>0</v>
      </c>
      <c r="X700">
        <v>0</v>
      </c>
      <c r="Y700">
        <v>46</v>
      </c>
      <c r="Z700">
        <v>55</v>
      </c>
      <c r="AA700">
        <v>60</v>
      </c>
      <c r="AB700">
        <v>2000</v>
      </c>
      <c r="AC700">
        <v>1795</v>
      </c>
      <c r="AD700">
        <v>1795</v>
      </c>
      <c r="AE700">
        <v>0</v>
      </c>
      <c r="AF700">
        <v>0</v>
      </c>
      <c r="AG700">
        <v>0</v>
      </c>
      <c r="AH700">
        <v>0</v>
      </c>
      <c r="AI700">
        <v>835</v>
      </c>
      <c r="AJ700">
        <v>0</v>
      </c>
      <c r="AK700">
        <v>0</v>
      </c>
      <c r="AL700">
        <v>0</v>
      </c>
      <c r="AM700">
        <v>1631</v>
      </c>
      <c r="AN700">
        <v>0</v>
      </c>
      <c r="AO700">
        <v>282</v>
      </c>
      <c r="AP700">
        <v>7</v>
      </c>
      <c r="AQ700">
        <v>0</v>
      </c>
      <c r="AR700">
        <v>0</v>
      </c>
      <c r="AS700" t="s">
        <v>58</v>
      </c>
      <c r="AT700">
        <v>1</v>
      </c>
      <c r="AU700" t="s">
        <v>59</v>
      </c>
      <c r="AV700" t="s">
        <v>60</v>
      </c>
      <c r="AW700">
        <v>1</v>
      </c>
      <c r="AX700">
        <v>3</v>
      </c>
      <c r="AY700">
        <v>0</v>
      </c>
      <c r="AZ700">
        <v>0</v>
      </c>
      <c r="BA700">
        <v>100</v>
      </c>
      <c r="BB700">
        <v>100</v>
      </c>
      <c r="BC700">
        <v>100</v>
      </c>
      <c r="BD700">
        <v>100</v>
      </c>
      <c r="BE700">
        <v>1</v>
      </c>
      <c r="BF700">
        <v>15000</v>
      </c>
      <c r="BG700">
        <v>1000</v>
      </c>
      <c r="BH700" s="6">
        <f>Grandview_Inventory[[#This Row],[land_extract]]*Lookups!$B$3</f>
        <v>49167.631333630678</v>
      </c>
      <c r="BI700" s="6">
        <f>IF(Grandview_Inventory[[#This Row],[bldg_style]]="",0,Lookups!$B$2)</f>
        <v>155833.95000000001</v>
      </c>
      <c r="BJ700" s="6">
        <f>_xlfn.IFNA(VLOOKUP(Grandview_Inventory[[#This Row],[quality]],Lookups!$H$2:$J$14,3,FALSE),0)</f>
        <v>9808</v>
      </c>
      <c r="BK700" s="6">
        <f>_xlfn.IFNA(VLOOKUP(Grandview_Inventory[[#This Row],[condition]],Lookups!$H$17:$J$24,3,FALSE),0)</f>
        <v>-4503</v>
      </c>
      <c r="BL700" s="6">
        <f>Grandview_Inventory[[#This Row],[Eff_Age]]*Lookups!$B$14</f>
        <v>-11001.6636</v>
      </c>
      <c r="BM700" s="6">
        <f>Grandview_Inventory[[#This Row],[living_area]]*Lookups!$B$15</f>
        <v>111973.631135</v>
      </c>
      <c r="BN700" s="6">
        <f>Grandview_Inventory[[#This Row],[Fin BSMT]]*Lookups!$B$16</f>
        <v>0</v>
      </c>
      <c r="BO700" s="6">
        <f>(Grandview_Inventory[[#This Row],[att_gar]]+Grandview_Inventory[[#This Row],[bltin_gar]])*Lookups!$B$17</f>
        <v>73079.564895000003</v>
      </c>
      <c r="BP700" s="6">
        <f>Grandview_Inventory[[#This Row],[Plumbing Fixtures]]*Lookups!$B$18</f>
        <v>14073.0926</v>
      </c>
      <c r="BQ700" s="6">
        <f>Grandview_Inventory[[#This Row],[detatched_value]]*Lookups!$B$19</f>
        <v>0</v>
      </c>
      <c r="BR700" s="6">
        <f>SUM(Grandview_Inventory[[#This Row],[Intercept]:[det_value]])*Grandview_Inventory[[#This Row],[res_pct]]</f>
        <v>349263.57503000001</v>
      </c>
      <c r="BS700" s="6">
        <f>Grandview_Inventory[[#This Row],[land_value]]</f>
        <v>49167.631333630678</v>
      </c>
      <c r="BT700" s="4">
        <f>_xlfn.IFNA(VLOOKUP(Grandview_Inventory[[#This Row],[quality]],Lookups!$A$26:$C$33,3,FALSE),1)</f>
        <v>0.94295468617355149</v>
      </c>
      <c r="BU700" s="4">
        <f>_xlfn.IFNA(VLOOKUP(Grandview_Inventory[[#This Row],[condition]],Lookups!$A$37:$C$44,3,FALSE),1)</f>
        <v>0.96469275950863709</v>
      </c>
      <c r="BV700" s="4">
        <f>IF(Grandview_Inventory[[#This Row],[bldg_style]]="",1,_xlfn.IFNA(VLOOKUP(Grandview_Inventory[[#This Row],[decade]],Lookups!$F$29:$H$43,3,FALSE),1))</f>
        <v>0.95268620544463312</v>
      </c>
      <c r="BW700" s="4">
        <f>_xlfn.IFNA(VLOOKUP(Grandview_Inventory[[#This Row],[living_area_range]],Lookups!$F$47:$H$56,3,FALSE),1)</f>
        <v>0.96120133463014379</v>
      </c>
      <c r="BX700" s="4">
        <f>AVERAGE(Grandview_Inventory[[#This Row],[qual_adj]:[size_adj]])</f>
        <v>0.9553837464392414</v>
      </c>
      <c r="BY700" s="6">
        <f>IF(Grandview_Inventory[[#This Row],[pre_res]]&lt;0,0,Grandview_Inventory[[#This Row],[pre_res]]*Grandview_Inventory[[#This Row],[overall_adj]])</f>
        <v>333680.74280692451</v>
      </c>
      <c r="BZ700" s="6">
        <f>(Grandview_Inventory[[#This Row],[sum_land]]-IF(Grandview_Inventory[[#This Row],[no_utilities]]=1,12000,0))/IF(Grandview_Inventory[[#This Row],[unbuildable]]=1,2,1)</f>
        <v>49167.631333630678</v>
      </c>
      <c r="CA70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00">
        <f>ROUND(Grandview_Inventory[[#This Row],[det_value]]*Lookups!$M$28,-2)</f>
        <v>0</v>
      </c>
      <c r="CC700">
        <f>IF(ROUND(Grandview_Inventory[[#This Row],[adj_res]]*Lookups!$M$28,-2)&lt;Grandview_Inventory[[#This Row],[min_res]],Grandview_Inventory[[#This Row],[min_res]],ROUND(Grandview_Inventory[[#This Row],[adj_res]]*Lookups!$M$28,-2))</f>
        <v>317000</v>
      </c>
      <c r="CD700">
        <f>Grandview_Inventory[[#This Row],[final_det]]+Grandview_Inventory[[#This Row],[final_res]]</f>
        <v>317000</v>
      </c>
      <c r="CE700">
        <f>Grandview_Inventory[[#This Row],[final_land]]+Grandview_Inventory[[#This Row],[final_imp]]+Grandview_Inventory[[#This Row],[crop_value]]</f>
        <v>363700</v>
      </c>
      <c r="CG700" t="str">
        <f t="shared" si="10"/>
        <v>update valuation set market_land =46700, market_bldg=317000, market_total =363700, market_mdno =401, market_date ='9/10/2023' where link_id = (select link_id from parcel where parcel_year = '2024' and parcel_id = '23092231425');</v>
      </c>
    </row>
    <row r="701" spans="1:85" x14ac:dyDescent="0.25">
      <c r="A701">
        <v>23092231426</v>
      </c>
      <c r="B701">
        <v>0.2</v>
      </c>
      <c r="C701">
        <v>8562</v>
      </c>
      <c r="D701" t="s">
        <v>129</v>
      </c>
      <c r="E701" t="s">
        <v>53</v>
      </c>
      <c r="F701" t="s">
        <v>53</v>
      </c>
      <c r="G701">
        <v>4</v>
      </c>
      <c r="H701" t="s">
        <v>54</v>
      </c>
      <c r="I701">
        <v>141700</v>
      </c>
      <c r="J701">
        <v>43500</v>
      </c>
      <c r="K701">
        <v>0.2</v>
      </c>
      <c r="L70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01">
        <v>0</v>
      </c>
      <c r="N701">
        <v>0</v>
      </c>
      <c r="O701">
        <v>0</v>
      </c>
      <c r="P701">
        <v>13398.7528</v>
      </c>
      <c r="Q701">
        <v>63903</v>
      </c>
      <c r="R701">
        <f>(Grandview_Inventory[[#This Row],[ln_acres]]*Grandview_Inventory[[#This Row],[coeff]])+Grandview_Inventory[[#This Row],[const]]</f>
        <v>42338.539264347448</v>
      </c>
      <c r="S701" t="s">
        <v>61</v>
      </c>
      <c r="T701">
        <v>1</v>
      </c>
      <c r="U701" t="s">
        <v>65</v>
      </c>
      <c r="V701" t="s">
        <v>69</v>
      </c>
      <c r="W701">
        <v>0</v>
      </c>
      <c r="X701">
        <v>0</v>
      </c>
      <c r="Y701">
        <v>46</v>
      </c>
      <c r="Z701">
        <v>55</v>
      </c>
      <c r="AA701">
        <v>60</v>
      </c>
      <c r="AB701">
        <v>1500</v>
      </c>
      <c r="AC701">
        <v>1040</v>
      </c>
      <c r="AD701">
        <v>1040</v>
      </c>
      <c r="AE701">
        <v>0</v>
      </c>
      <c r="AF701">
        <v>0</v>
      </c>
      <c r="AG701">
        <v>0</v>
      </c>
      <c r="AH701">
        <v>0</v>
      </c>
      <c r="AI701">
        <v>338</v>
      </c>
      <c r="AJ701">
        <v>0</v>
      </c>
      <c r="AK701">
        <v>0</v>
      </c>
      <c r="AL701">
        <v>0</v>
      </c>
      <c r="AM701">
        <v>169</v>
      </c>
      <c r="AN701">
        <v>0</v>
      </c>
      <c r="AO701">
        <v>0</v>
      </c>
      <c r="AP701">
        <v>5</v>
      </c>
      <c r="AQ701">
        <v>0</v>
      </c>
      <c r="AR701">
        <v>0</v>
      </c>
      <c r="AS701" t="s">
        <v>58</v>
      </c>
      <c r="AT701">
        <v>1</v>
      </c>
      <c r="AU701" t="s">
        <v>63</v>
      </c>
      <c r="AV701" t="s">
        <v>60</v>
      </c>
      <c r="AW701">
        <v>0</v>
      </c>
      <c r="AX701">
        <v>3</v>
      </c>
      <c r="AY701">
        <v>0</v>
      </c>
      <c r="AZ701">
        <v>0</v>
      </c>
      <c r="BA701">
        <v>100</v>
      </c>
      <c r="BB701">
        <v>100</v>
      </c>
      <c r="BC701">
        <v>100</v>
      </c>
      <c r="BD701">
        <v>100</v>
      </c>
      <c r="BE701">
        <v>1</v>
      </c>
      <c r="BF701">
        <v>15000</v>
      </c>
      <c r="BG701">
        <v>1000</v>
      </c>
      <c r="BH701" s="6">
        <f>Grandview_Inventory[[#This Row],[land_extract]]*Lookups!$B$3</f>
        <v>49167.631333630678</v>
      </c>
      <c r="BI701" s="6">
        <f>IF(Grandview_Inventory[[#This Row],[bldg_style]]="",0,Lookups!$B$2)</f>
        <v>155833.95000000001</v>
      </c>
      <c r="BJ701" s="6">
        <f>_xlfn.IFNA(VLOOKUP(Grandview_Inventory[[#This Row],[quality]],Lookups!$H$2:$J$14,3,FALSE),0)</f>
        <v>2251</v>
      </c>
      <c r="BK701" s="6">
        <f>_xlfn.IFNA(VLOOKUP(Grandview_Inventory[[#This Row],[condition]],Lookups!$H$17:$J$24,3,FALSE),0)</f>
        <v>-4503</v>
      </c>
      <c r="BL701" s="6">
        <f>Grandview_Inventory[[#This Row],[Eff_Age]]*Lookups!$B$14</f>
        <v>-11001.6636</v>
      </c>
      <c r="BM701" s="6">
        <f>Grandview_Inventory[[#This Row],[living_area]]*Lookups!$B$15</f>
        <v>64876.087120000004</v>
      </c>
      <c r="BN701" s="6">
        <f>Grandview_Inventory[[#This Row],[Fin BSMT]]*Lookups!$B$16</f>
        <v>0</v>
      </c>
      <c r="BO701" s="6">
        <f>(Grandview_Inventory[[#This Row],[att_gar]]+Grandview_Inventory[[#This Row],[bltin_gar]])*Lookups!$B$17</f>
        <v>29581.907706000002</v>
      </c>
      <c r="BP701" s="6">
        <f>Grandview_Inventory[[#This Row],[Plumbing Fixtures]]*Lookups!$B$18</f>
        <v>10052.209000000001</v>
      </c>
      <c r="BQ701" s="6">
        <f>Grandview_Inventory[[#This Row],[detatched_value]]*Lookups!$B$19</f>
        <v>0</v>
      </c>
      <c r="BR701" s="6">
        <f>SUM(Grandview_Inventory[[#This Row],[Intercept]:[det_value]])*Grandview_Inventory[[#This Row],[res_pct]]</f>
        <v>247090.49022600002</v>
      </c>
      <c r="BS701" s="6">
        <f>Grandview_Inventory[[#This Row],[land_value]]</f>
        <v>49167.631333630678</v>
      </c>
      <c r="BT701" s="4">
        <f>_xlfn.IFNA(VLOOKUP(Grandview_Inventory[[#This Row],[quality]],Lookups!$A$26:$C$33,3,FALSE),1)</f>
        <v>0.98763855981004833</v>
      </c>
      <c r="BU701" s="4">
        <f>_xlfn.IFNA(VLOOKUP(Grandview_Inventory[[#This Row],[condition]],Lookups!$A$37:$C$44,3,FALSE),1)</f>
        <v>0.96469275950863709</v>
      </c>
      <c r="BV701" s="4">
        <f>IF(Grandview_Inventory[[#This Row],[bldg_style]]="",1,_xlfn.IFNA(VLOOKUP(Grandview_Inventory[[#This Row],[decade]],Lookups!$F$29:$H$43,3,FALSE),1))</f>
        <v>0.95268620544463312</v>
      </c>
      <c r="BW701" s="4">
        <f>_xlfn.IFNA(VLOOKUP(Grandview_Inventory[[#This Row],[living_area_range]],Lookups!$F$47:$H$56,3,FALSE),1)</f>
        <v>0.96135087979789358</v>
      </c>
      <c r="BX701" s="4">
        <f>AVERAGE(Grandview_Inventory[[#This Row],[qual_adj]:[size_adj]])</f>
        <v>0.96659210114030303</v>
      </c>
      <c r="BY701" s="6">
        <f>IF(Grandview_Inventory[[#This Row],[pre_res]]&lt;0,0,Grandview_Inventory[[#This Row],[pre_res]]*Grandview_Inventory[[#This Row],[overall_adj]])</f>
        <v>238835.71611933687</v>
      </c>
      <c r="BZ701" s="6">
        <f>(Grandview_Inventory[[#This Row],[sum_land]]-IF(Grandview_Inventory[[#This Row],[no_utilities]]=1,12000,0))/IF(Grandview_Inventory[[#This Row],[unbuildable]]=1,2,1)</f>
        <v>49167.631333630678</v>
      </c>
      <c r="CA70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01">
        <f>ROUND(Grandview_Inventory[[#This Row],[det_value]]*Lookups!$M$28,-2)</f>
        <v>0</v>
      </c>
      <c r="CC701">
        <f>IF(ROUND(Grandview_Inventory[[#This Row],[adj_res]]*Lookups!$M$28,-2)&lt;Grandview_Inventory[[#This Row],[min_res]],Grandview_Inventory[[#This Row],[min_res]],ROUND(Grandview_Inventory[[#This Row],[adj_res]]*Lookups!$M$28,-2))</f>
        <v>226900</v>
      </c>
      <c r="CD701">
        <f>Grandview_Inventory[[#This Row],[final_det]]+Grandview_Inventory[[#This Row],[final_res]]</f>
        <v>226900</v>
      </c>
      <c r="CE701">
        <f>Grandview_Inventory[[#This Row],[final_land]]+Grandview_Inventory[[#This Row],[final_imp]]+Grandview_Inventory[[#This Row],[crop_value]]</f>
        <v>273600</v>
      </c>
      <c r="CG701" t="str">
        <f t="shared" si="10"/>
        <v>update valuation set market_land =46700, market_bldg=226900, market_total =273600, market_mdno =401, market_date ='9/10/2023' where link_id = (select link_id from parcel where parcel_year = '2024' and parcel_id = '23092231426');</v>
      </c>
    </row>
    <row r="702" spans="1:85" x14ac:dyDescent="0.25">
      <c r="A702">
        <v>23092231428</v>
      </c>
      <c r="B702">
        <v>0.23</v>
      </c>
      <c r="C702">
        <v>9802</v>
      </c>
      <c r="D702" t="s">
        <v>129</v>
      </c>
      <c r="E702" t="s">
        <v>53</v>
      </c>
      <c r="F702" t="s">
        <v>53</v>
      </c>
      <c r="G702">
        <v>4</v>
      </c>
      <c r="H702" t="s">
        <v>54</v>
      </c>
      <c r="I702">
        <v>167400</v>
      </c>
      <c r="J702">
        <v>39500</v>
      </c>
      <c r="K702">
        <v>0.23</v>
      </c>
      <c r="L70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702">
        <v>0</v>
      </c>
      <c r="N702">
        <v>0</v>
      </c>
      <c r="O702">
        <v>0</v>
      </c>
      <c r="P702">
        <v>13398.7528</v>
      </c>
      <c r="Q702">
        <v>63903</v>
      </c>
      <c r="R702">
        <f>(Grandview_Inventory[[#This Row],[ln_acres]]*Grandview_Inventory[[#This Row],[coeff]])+Grandview_Inventory[[#This Row],[const]]</f>
        <v>44211.174981080039</v>
      </c>
      <c r="S702" t="s">
        <v>61</v>
      </c>
      <c r="T702">
        <v>1</v>
      </c>
      <c r="U702" t="s">
        <v>65</v>
      </c>
      <c r="V702" t="s">
        <v>69</v>
      </c>
      <c r="W702">
        <v>0</v>
      </c>
      <c r="X702">
        <v>0</v>
      </c>
      <c r="Y702">
        <v>48</v>
      </c>
      <c r="Z702">
        <v>59</v>
      </c>
      <c r="AA702">
        <v>60</v>
      </c>
      <c r="AB702">
        <v>2000</v>
      </c>
      <c r="AC702">
        <v>1571</v>
      </c>
      <c r="AD702">
        <v>1571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360</v>
      </c>
      <c r="AL702">
        <v>0</v>
      </c>
      <c r="AM702">
        <v>432</v>
      </c>
      <c r="AN702">
        <v>24</v>
      </c>
      <c r="AO702">
        <v>0</v>
      </c>
      <c r="AP702">
        <v>5</v>
      </c>
      <c r="AQ702">
        <v>0</v>
      </c>
      <c r="AR702">
        <v>1</v>
      </c>
      <c r="AS702" t="s">
        <v>58</v>
      </c>
      <c r="AT702">
        <v>1</v>
      </c>
      <c r="AU702" t="s">
        <v>75</v>
      </c>
      <c r="AV702" t="s">
        <v>60</v>
      </c>
      <c r="AW702">
        <v>0</v>
      </c>
      <c r="AX702">
        <v>2</v>
      </c>
      <c r="AY702">
        <v>0</v>
      </c>
      <c r="AZ702">
        <v>0</v>
      </c>
      <c r="BA702">
        <v>100</v>
      </c>
      <c r="BB702">
        <v>100</v>
      </c>
      <c r="BC702">
        <v>100</v>
      </c>
      <c r="BD702">
        <v>100</v>
      </c>
      <c r="BE702">
        <v>1</v>
      </c>
      <c r="BF702">
        <v>15000</v>
      </c>
      <c r="BG702">
        <v>1000</v>
      </c>
      <c r="BH702" s="6">
        <f>Grandview_Inventory[[#This Row],[land_extract]]*Lookups!$B$3</f>
        <v>51342.318135355803</v>
      </c>
      <c r="BI702" s="6">
        <f>IF(Grandview_Inventory[[#This Row],[bldg_style]]="",0,Lookups!$B$2)</f>
        <v>155833.95000000001</v>
      </c>
      <c r="BJ702" s="6">
        <f>_xlfn.IFNA(VLOOKUP(Grandview_Inventory[[#This Row],[quality]],Lookups!$H$2:$J$14,3,FALSE),0)</f>
        <v>2251</v>
      </c>
      <c r="BK702" s="6">
        <f>_xlfn.IFNA(VLOOKUP(Grandview_Inventory[[#This Row],[condition]],Lookups!$H$17:$J$24,3,FALSE),0)</f>
        <v>-4503</v>
      </c>
      <c r="BL702" s="6">
        <f>Grandview_Inventory[[#This Row],[Eff_Age]]*Lookups!$B$14</f>
        <v>-11479.996799999999</v>
      </c>
      <c r="BM702" s="6">
        <f>Grandview_Inventory[[#This Row],[living_area]]*Lookups!$B$15</f>
        <v>98000.320063000006</v>
      </c>
      <c r="BN702" s="6">
        <f>Grandview_Inventory[[#This Row],[Fin BSMT]]*Lookups!$B$16</f>
        <v>0</v>
      </c>
      <c r="BO702" s="6">
        <f>(Grandview_Inventory[[#This Row],[att_gar]]+Grandview_Inventory[[#This Row],[bltin_gar]])*Lookups!$B$17</f>
        <v>0</v>
      </c>
      <c r="BP702" s="6">
        <f>Grandview_Inventory[[#This Row],[Plumbing Fixtures]]*Lookups!$B$18</f>
        <v>10052.209000000001</v>
      </c>
      <c r="BQ702" s="6">
        <f>Grandview_Inventory[[#This Row],[detatched_value]]*Lookups!$B$19</f>
        <v>0</v>
      </c>
      <c r="BR702" s="6">
        <f>SUM(Grandview_Inventory[[#This Row],[Intercept]:[det_value]])*Grandview_Inventory[[#This Row],[res_pct]]</f>
        <v>250154.48226300001</v>
      </c>
      <c r="BS702" s="6">
        <f>Grandview_Inventory[[#This Row],[land_value]]</f>
        <v>51342.318135355803</v>
      </c>
      <c r="BT702" s="4">
        <f>_xlfn.IFNA(VLOOKUP(Grandview_Inventory[[#This Row],[quality]],Lookups!$A$26:$C$33,3,FALSE),1)</f>
        <v>0.98763855981004833</v>
      </c>
      <c r="BU702" s="4">
        <f>_xlfn.IFNA(VLOOKUP(Grandview_Inventory[[#This Row],[condition]],Lookups!$A$37:$C$44,3,FALSE),1)</f>
        <v>0.96469275950863709</v>
      </c>
      <c r="BV702" s="4">
        <f>IF(Grandview_Inventory[[#This Row],[bldg_style]]="",1,_xlfn.IFNA(VLOOKUP(Grandview_Inventory[[#This Row],[decade]],Lookups!$F$29:$H$43,3,FALSE),1))</f>
        <v>0.95268620544463312</v>
      </c>
      <c r="BW702" s="4">
        <f>_xlfn.IFNA(VLOOKUP(Grandview_Inventory[[#This Row],[living_area_range]],Lookups!$F$47:$H$56,3,FALSE),1)</f>
        <v>0.96120133463014379</v>
      </c>
      <c r="BX702" s="4">
        <f>AVERAGE(Grandview_Inventory[[#This Row],[qual_adj]:[size_adj]])</f>
        <v>0.96655471484836553</v>
      </c>
      <c r="BY702" s="6">
        <f>IF(Grandview_Inventory[[#This Row],[pre_res]]&lt;0,0,Grandview_Inventory[[#This Row],[pre_res]]*Grandview_Inventory[[#This Row],[overall_adj]])</f>
        <v>241787.99427175449</v>
      </c>
      <c r="BZ702" s="6">
        <f>(Grandview_Inventory[[#This Row],[sum_land]]-IF(Grandview_Inventory[[#This Row],[no_utilities]]=1,12000,0))/IF(Grandview_Inventory[[#This Row],[unbuildable]]=1,2,1)</f>
        <v>51342.318135355803</v>
      </c>
      <c r="CA70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702">
        <f>ROUND(Grandview_Inventory[[#This Row],[det_value]]*Lookups!$M$28,-2)</f>
        <v>0</v>
      </c>
      <c r="CC702">
        <f>IF(ROUND(Grandview_Inventory[[#This Row],[adj_res]]*Lookups!$M$28,-2)&lt;Grandview_Inventory[[#This Row],[min_res]],Grandview_Inventory[[#This Row],[min_res]],ROUND(Grandview_Inventory[[#This Row],[adj_res]]*Lookups!$M$28,-2))</f>
        <v>229700</v>
      </c>
      <c r="CD702">
        <f>Grandview_Inventory[[#This Row],[final_det]]+Grandview_Inventory[[#This Row],[final_res]]</f>
        <v>229700</v>
      </c>
      <c r="CE702">
        <f>Grandview_Inventory[[#This Row],[final_land]]+Grandview_Inventory[[#This Row],[final_imp]]+Grandview_Inventory[[#This Row],[crop_value]]</f>
        <v>278500</v>
      </c>
      <c r="CG702" t="str">
        <f t="shared" si="10"/>
        <v>update valuation set market_land =48800, market_bldg=229700, market_total =278500, market_mdno =401, market_date ='9/10/2023' where link_id = (select link_id from parcel where parcel_year = '2024' and parcel_id = '23092231428');</v>
      </c>
    </row>
    <row r="703" spans="1:85" x14ac:dyDescent="0.25">
      <c r="A703">
        <v>23092231429</v>
      </c>
      <c r="B703">
        <v>0.28000000000000003</v>
      </c>
      <c r="C703" t="s">
        <v>129</v>
      </c>
      <c r="D703" t="s">
        <v>129</v>
      </c>
      <c r="E703" t="s">
        <v>53</v>
      </c>
      <c r="F703" t="s">
        <v>53</v>
      </c>
      <c r="G703">
        <v>4</v>
      </c>
      <c r="H703" t="s">
        <v>54</v>
      </c>
      <c r="I703">
        <v>143900</v>
      </c>
      <c r="J703">
        <v>44500</v>
      </c>
      <c r="K703">
        <v>0.28000000000000003</v>
      </c>
      <c r="L703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703">
        <v>0</v>
      </c>
      <c r="N703">
        <v>0</v>
      </c>
      <c r="O703">
        <v>0</v>
      </c>
      <c r="P703">
        <v>13398.7528</v>
      </c>
      <c r="Q703">
        <v>63903</v>
      </c>
      <c r="R703">
        <f>(Grandview_Inventory[[#This Row],[ln_acres]]*Grandview_Inventory[[#This Row],[coeff]])+Grandview_Inventory[[#This Row],[const]]</f>
        <v>46846.847586898184</v>
      </c>
      <c r="S703" t="s">
        <v>61</v>
      </c>
      <c r="T703">
        <v>1</v>
      </c>
      <c r="U703" t="s">
        <v>65</v>
      </c>
      <c r="V703" t="s">
        <v>69</v>
      </c>
      <c r="W703">
        <v>0</v>
      </c>
      <c r="X703">
        <v>0</v>
      </c>
      <c r="Y703">
        <v>46</v>
      </c>
      <c r="Z703">
        <v>55</v>
      </c>
      <c r="AA703">
        <v>60</v>
      </c>
      <c r="AB703">
        <v>1500</v>
      </c>
      <c r="AC703">
        <v>1156</v>
      </c>
      <c r="AD703">
        <v>1156</v>
      </c>
      <c r="AE703">
        <v>0</v>
      </c>
      <c r="AF703">
        <v>0</v>
      </c>
      <c r="AG703">
        <v>0</v>
      </c>
      <c r="AH703">
        <v>0</v>
      </c>
      <c r="AI703">
        <v>280</v>
      </c>
      <c r="AJ703">
        <v>0</v>
      </c>
      <c r="AK703">
        <v>0</v>
      </c>
      <c r="AL703">
        <v>0</v>
      </c>
      <c r="AM703">
        <v>168</v>
      </c>
      <c r="AN703">
        <v>36</v>
      </c>
      <c r="AO703">
        <v>0</v>
      </c>
      <c r="AP703">
        <v>5</v>
      </c>
      <c r="AQ703">
        <v>0</v>
      </c>
      <c r="AR703">
        <v>0</v>
      </c>
      <c r="AS703" t="s">
        <v>58</v>
      </c>
      <c r="AT703">
        <v>1</v>
      </c>
      <c r="AU703" t="s">
        <v>63</v>
      </c>
      <c r="AV703" t="s">
        <v>60</v>
      </c>
      <c r="AW703">
        <v>0</v>
      </c>
      <c r="AX703">
        <v>3</v>
      </c>
      <c r="AY703">
        <v>0</v>
      </c>
      <c r="AZ703">
        <v>0</v>
      </c>
      <c r="BA703">
        <v>100</v>
      </c>
      <c r="BB703">
        <v>100</v>
      </c>
      <c r="BC703">
        <v>100</v>
      </c>
      <c r="BD703">
        <v>100</v>
      </c>
      <c r="BE703">
        <v>1</v>
      </c>
      <c r="BF703">
        <v>15000</v>
      </c>
      <c r="BG703">
        <v>1000</v>
      </c>
      <c r="BH703" s="6">
        <f>Grandview_Inventory[[#This Row],[land_extract]]*Lookups!$B$3</f>
        <v>54403.117616176372</v>
      </c>
      <c r="BI703" s="6">
        <f>IF(Grandview_Inventory[[#This Row],[bldg_style]]="",0,Lookups!$B$2)</f>
        <v>155833.95000000001</v>
      </c>
      <c r="BJ703" s="6">
        <f>_xlfn.IFNA(VLOOKUP(Grandview_Inventory[[#This Row],[quality]],Lookups!$H$2:$J$14,3,FALSE),0)</f>
        <v>2251</v>
      </c>
      <c r="BK703" s="6">
        <f>_xlfn.IFNA(VLOOKUP(Grandview_Inventory[[#This Row],[condition]],Lookups!$H$17:$J$24,3,FALSE),0)</f>
        <v>-4503</v>
      </c>
      <c r="BL703" s="6">
        <f>Grandview_Inventory[[#This Row],[Eff_Age]]*Lookups!$B$14</f>
        <v>-11001.6636</v>
      </c>
      <c r="BM703" s="6">
        <f>Grandview_Inventory[[#This Row],[living_area]]*Lookups!$B$15</f>
        <v>72112.266067999997</v>
      </c>
      <c r="BN703" s="6">
        <f>Grandview_Inventory[[#This Row],[Fin BSMT]]*Lookups!$B$16</f>
        <v>0</v>
      </c>
      <c r="BO703" s="6">
        <f>(Grandview_Inventory[[#This Row],[att_gar]]+Grandview_Inventory[[#This Row],[bltin_gar]])*Lookups!$B$17</f>
        <v>24505.72236</v>
      </c>
      <c r="BP703" s="6">
        <f>Grandview_Inventory[[#This Row],[Plumbing Fixtures]]*Lookups!$B$18</f>
        <v>10052.209000000001</v>
      </c>
      <c r="BQ703" s="6">
        <f>Grandview_Inventory[[#This Row],[detatched_value]]*Lookups!$B$19</f>
        <v>0</v>
      </c>
      <c r="BR703" s="6">
        <f>SUM(Grandview_Inventory[[#This Row],[Intercept]:[det_value]])*Grandview_Inventory[[#This Row],[res_pct]]</f>
        <v>249250.483828</v>
      </c>
      <c r="BS703" s="6">
        <f>Grandview_Inventory[[#This Row],[land_value]]</f>
        <v>54403.117616176372</v>
      </c>
      <c r="BT703" s="4">
        <f>_xlfn.IFNA(VLOOKUP(Grandview_Inventory[[#This Row],[quality]],Lookups!$A$26:$C$33,3,FALSE),1)</f>
        <v>0.98763855981004833</v>
      </c>
      <c r="BU703" s="4">
        <f>_xlfn.IFNA(VLOOKUP(Grandview_Inventory[[#This Row],[condition]],Lookups!$A$37:$C$44,3,FALSE),1)</f>
        <v>0.96469275950863709</v>
      </c>
      <c r="BV703" s="4">
        <f>IF(Grandview_Inventory[[#This Row],[bldg_style]]="",1,_xlfn.IFNA(VLOOKUP(Grandview_Inventory[[#This Row],[decade]],Lookups!$F$29:$H$43,3,FALSE),1))</f>
        <v>0.95268620544463312</v>
      </c>
      <c r="BW703" s="4">
        <f>_xlfn.IFNA(VLOOKUP(Grandview_Inventory[[#This Row],[living_area_range]],Lookups!$F$47:$H$56,3,FALSE),1)</f>
        <v>0.96135087979789358</v>
      </c>
      <c r="BX703" s="4">
        <f>AVERAGE(Grandview_Inventory[[#This Row],[qual_adj]:[size_adj]])</f>
        <v>0.96659210114030303</v>
      </c>
      <c r="BY703" s="6">
        <f>IF(Grandview_Inventory[[#This Row],[pre_res]]&lt;0,0,Grandview_Inventory[[#This Row],[pre_res]]*Grandview_Inventory[[#This Row],[overall_adj]])</f>
        <v>240923.54887354362</v>
      </c>
      <c r="BZ703" s="6">
        <f>(Grandview_Inventory[[#This Row],[sum_land]]-IF(Grandview_Inventory[[#This Row],[no_utilities]]=1,12000,0))/IF(Grandview_Inventory[[#This Row],[unbuildable]]=1,2,1)</f>
        <v>54403.117616176372</v>
      </c>
      <c r="CA703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703">
        <f>ROUND(Grandview_Inventory[[#This Row],[det_value]]*Lookups!$M$28,-2)</f>
        <v>0</v>
      </c>
      <c r="CC703">
        <f>IF(ROUND(Grandview_Inventory[[#This Row],[adj_res]]*Lookups!$M$28,-2)&lt;Grandview_Inventory[[#This Row],[min_res]],Grandview_Inventory[[#This Row],[min_res]],ROUND(Grandview_Inventory[[#This Row],[adj_res]]*Lookups!$M$28,-2))</f>
        <v>228900</v>
      </c>
      <c r="CD703">
        <f>Grandview_Inventory[[#This Row],[final_det]]+Grandview_Inventory[[#This Row],[final_res]]</f>
        <v>228900</v>
      </c>
      <c r="CE703">
        <f>Grandview_Inventory[[#This Row],[final_land]]+Grandview_Inventory[[#This Row],[final_imp]]+Grandview_Inventory[[#This Row],[crop_value]]</f>
        <v>280600</v>
      </c>
      <c r="CG703" t="str">
        <f t="shared" si="10"/>
        <v>update valuation set market_land =51700, market_bldg=228900, market_total =280600, market_mdno =401, market_date ='9/10/2023' where link_id = (select link_id from parcel where parcel_year = '2024' and parcel_id = '23092231429');</v>
      </c>
    </row>
    <row r="704" spans="1:85" x14ac:dyDescent="0.25">
      <c r="A704">
        <v>23092231430</v>
      </c>
      <c r="B704">
        <v>0.33</v>
      </c>
      <c r="C704">
        <v>14299</v>
      </c>
      <c r="D704" t="s">
        <v>129</v>
      </c>
      <c r="E704" t="s">
        <v>53</v>
      </c>
      <c r="F704" t="s">
        <v>53</v>
      </c>
      <c r="G704">
        <v>4</v>
      </c>
      <c r="H704" t="s">
        <v>54</v>
      </c>
      <c r="I704">
        <v>145900</v>
      </c>
      <c r="J704">
        <v>41200</v>
      </c>
      <c r="K704">
        <v>0.33</v>
      </c>
      <c r="L704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704">
        <v>0</v>
      </c>
      <c r="N704">
        <v>0</v>
      </c>
      <c r="O704">
        <v>0</v>
      </c>
      <c r="P704">
        <v>13398.7528</v>
      </c>
      <c r="Q704">
        <v>63903</v>
      </c>
      <c r="R704">
        <f>(Grandview_Inventory[[#This Row],[ln_acres]]*Grandview_Inventory[[#This Row],[coeff]])+Grandview_Inventory[[#This Row],[const]]</f>
        <v>49048.303555435712</v>
      </c>
      <c r="S704" t="s">
        <v>61</v>
      </c>
      <c r="T704">
        <v>1</v>
      </c>
      <c r="U704" t="s">
        <v>65</v>
      </c>
      <c r="V704" t="s">
        <v>69</v>
      </c>
      <c r="W704">
        <v>0</v>
      </c>
      <c r="X704">
        <v>0</v>
      </c>
      <c r="Y704">
        <v>46</v>
      </c>
      <c r="Z704">
        <v>55</v>
      </c>
      <c r="AA704">
        <v>60</v>
      </c>
      <c r="AB704">
        <v>1500</v>
      </c>
      <c r="AC704">
        <v>1170</v>
      </c>
      <c r="AD704">
        <v>1170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234</v>
      </c>
      <c r="AL704">
        <v>0</v>
      </c>
      <c r="AM704">
        <v>168</v>
      </c>
      <c r="AN704">
        <v>0</v>
      </c>
      <c r="AO704">
        <v>168</v>
      </c>
      <c r="AP704">
        <v>7</v>
      </c>
      <c r="AQ704">
        <v>0</v>
      </c>
      <c r="AR704">
        <v>0</v>
      </c>
      <c r="AS704" t="s">
        <v>58</v>
      </c>
      <c r="AT704">
        <v>1</v>
      </c>
      <c r="AU704" t="s">
        <v>79</v>
      </c>
      <c r="AV704" t="s">
        <v>60</v>
      </c>
      <c r="AW704">
        <v>0</v>
      </c>
      <c r="AX704">
        <v>3</v>
      </c>
      <c r="AY704">
        <v>0</v>
      </c>
      <c r="AZ704">
        <v>0</v>
      </c>
      <c r="BA704">
        <v>100</v>
      </c>
      <c r="BB704">
        <v>100</v>
      </c>
      <c r="BC704">
        <v>100</v>
      </c>
      <c r="BD704">
        <v>100</v>
      </c>
      <c r="BE704">
        <v>1</v>
      </c>
      <c r="BF704">
        <v>15000</v>
      </c>
      <c r="BG704">
        <v>1000</v>
      </c>
      <c r="BH704" s="6">
        <f>Grandview_Inventory[[#This Row],[land_extract]]*Lookups!$B$3</f>
        <v>56959.662488507893</v>
      </c>
      <c r="BI704" s="6">
        <f>IF(Grandview_Inventory[[#This Row],[bldg_style]]="",0,Lookups!$B$2)</f>
        <v>155833.95000000001</v>
      </c>
      <c r="BJ704" s="6">
        <f>_xlfn.IFNA(VLOOKUP(Grandview_Inventory[[#This Row],[quality]],Lookups!$H$2:$J$14,3,FALSE),0)</f>
        <v>2251</v>
      </c>
      <c r="BK704" s="6">
        <f>_xlfn.IFNA(VLOOKUP(Grandview_Inventory[[#This Row],[condition]],Lookups!$H$17:$J$24,3,FALSE),0)</f>
        <v>-4503</v>
      </c>
      <c r="BL704" s="6">
        <f>Grandview_Inventory[[#This Row],[Eff_Age]]*Lookups!$B$14</f>
        <v>-11001.6636</v>
      </c>
      <c r="BM704" s="6">
        <f>Grandview_Inventory[[#This Row],[living_area]]*Lookups!$B$15</f>
        <v>72985.598010000002</v>
      </c>
      <c r="BN704" s="6">
        <f>Grandview_Inventory[[#This Row],[Fin BSMT]]*Lookups!$B$16</f>
        <v>0</v>
      </c>
      <c r="BO704" s="6">
        <f>(Grandview_Inventory[[#This Row],[att_gar]]+Grandview_Inventory[[#This Row],[bltin_gar]])*Lookups!$B$17</f>
        <v>0</v>
      </c>
      <c r="BP704" s="6">
        <f>Grandview_Inventory[[#This Row],[Plumbing Fixtures]]*Lookups!$B$18</f>
        <v>14073.0926</v>
      </c>
      <c r="BQ704" s="6">
        <f>Grandview_Inventory[[#This Row],[detatched_value]]*Lookups!$B$19</f>
        <v>0</v>
      </c>
      <c r="BR704" s="6">
        <f>SUM(Grandview_Inventory[[#This Row],[Intercept]:[det_value]])*Grandview_Inventory[[#This Row],[res_pct]]</f>
        <v>229638.97701</v>
      </c>
      <c r="BS704" s="6">
        <f>Grandview_Inventory[[#This Row],[land_value]]</f>
        <v>56959.662488507893</v>
      </c>
      <c r="BT704" s="4">
        <f>_xlfn.IFNA(VLOOKUP(Grandview_Inventory[[#This Row],[quality]],Lookups!$A$26:$C$33,3,FALSE),1)</f>
        <v>0.98763855981004833</v>
      </c>
      <c r="BU704" s="4">
        <f>_xlfn.IFNA(VLOOKUP(Grandview_Inventory[[#This Row],[condition]],Lookups!$A$37:$C$44,3,FALSE),1)</f>
        <v>0.96469275950863709</v>
      </c>
      <c r="BV704" s="4">
        <f>IF(Grandview_Inventory[[#This Row],[bldg_style]]="",1,_xlfn.IFNA(VLOOKUP(Grandview_Inventory[[#This Row],[decade]],Lookups!$F$29:$H$43,3,FALSE),1))</f>
        <v>0.95268620544463312</v>
      </c>
      <c r="BW704" s="4">
        <f>_xlfn.IFNA(VLOOKUP(Grandview_Inventory[[#This Row],[living_area_range]],Lookups!$F$47:$H$56,3,FALSE),1)</f>
        <v>0.96135087979789358</v>
      </c>
      <c r="BX704" s="4">
        <f>AVERAGE(Grandview_Inventory[[#This Row],[qual_adj]:[size_adj]])</f>
        <v>0.96659210114030303</v>
      </c>
      <c r="BY704" s="6">
        <f>IF(Grandview_Inventory[[#This Row],[pre_res]]&lt;0,0,Grandview_Inventory[[#This Row],[pre_res]]*Grandview_Inventory[[#This Row],[overall_adj]])</f>
        <v>221967.22129180565</v>
      </c>
      <c r="BZ704" s="6">
        <f>(Grandview_Inventory[[#This Row],[sum_land]]-IF(Grandview_Inventory[[#This Row],[no_utilities]]=1,12000,0))/IF(Grandview_Inventory[[#This Row],[unbuildable]]=1,2,1)</f>
        <v>56959.662488507893</v>
      </c>
      <c r="CA704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704">
        <f>ROUND(Grandview_Inventory[[#This Row],[det_value]]*Lookups!$M$28,-2)</f>
        <v>0</v>
      </c>
      <c r="CC704">
        <f>IF(ROUND(Grandview_Inventory[[#This Row],[adj_res]]*Lookups!$M$28,-2)&lt;Grandview_Inventory[[#This Row],[min_res]],Grandview_Inventory[[#This Row],[min_res]],ROUND(Grandview_Inventory[[#This Row],[adj_res]]*Lookups!$M$28,-2))</f>
        <v>210900</v>
      </c>
      <c r="CD704">
        <f>Grandview_Inventory[[#This Row],[final_det]]+Grandview_Inventory[[#This Row],[final_res]]</f>
        <v>210900</v>
      </c>
      <c r="CE704">
        <f>Grandview_Inventory[[#This Row],[final_land]]+Grandview_Inventory[[#This Row],[final_imp]]+Grandview_Inventory[[#This Row],[crop_value]]</f>
        <v>265000</v>
      </c>
      <c r="CG704" t="str">
        <f t="shared" si="10"/>
        <v>update valuation set market_land =54100, market_bldg=210900, market_total =265000, market_mdno =401, market_date ='9/10/2023' where link_id = (select link_id from parcel where parcel_year = '2024' and parcel_id = '23092231430');</v>
      </c>
    </row>
    <row r="705" spans="1:85" x14ac:dyDescent="0.25">
      <c r="A705">
        <v>23092231435</v>
      </c>
      <c r="B705">
        <v>0.74</v>
      </c>
      <c r="C705">
        <v>32129</v>
      </c>
      <c r="D705" t="s">
        <v>129</v>
      </c>
      <c r="E705" t="s">
        <v>53</v>
      </c>
      <c r="F705" t="s">
        <v>53</v>
      </c>
      <c r="G705">
        <v>4</v>
      </c>
      <c r="H705" t="s">
        <v>54</v>
      </c>
      <c r="I705">
        <v>267700</v>
      </c>
      <c r="J705">
        <v>47900</v>
      </c>
      <c r="K705">
        <v>0.74</v>
      </c>
      <c r="L705">
        <f>IF(Grandview_Inventory[[#This Row],[parcel_acres]]-Grandview_Inventory[[#This Row],[non_valued_acres]] =0,0,LN(Grandview_Inventory[[#This Row],[parcel_acres]]-Grandview_Inventory[[#This Row],[non_valued_acres]]))</f>
        <v>-0.30110509278392161</v>
      </c>
      <c r="M705">
        <v>0</v>
      </c>
      <c r="N705">
        <v>0</v>
      </c>
      <c r="O705">
        <v>0</v>
      </c>
      <c r="P705">
        <v>13398.7528</v>
      </c>
      <c r="Q705">
        <v>63903</v>
      </c>
      <c r="R705">
        <f>(Grandview_Inventory[[#This Row],[ln_acres]]*Grandview_Inventory[[#This Row],[coeff]])+Grandview_Inventory[[#This Row],[const]]</f>
        <v>59868.567294967172</v>
      </c>
      <c r="S705" t="s">
        <v>74</v>
      </c>
      <c r="T705">
        <v>1</v>
      </c>
      <c r="U705" t="s">
        <v>62</v>
      </c>
      <c r="V705" t="s">
        <v>69</v>
      </c>
      <c r="W705">
        <v>0</v>
      </c>
      <c r="X705">
        <v>0</v>
      </c>
      <c r="Y705">
        <v>46</v>
      </c>
      <c r="Z705">
        <v>53</v>
      </c>
      <c r="AA705">
        <v>60</v>
      </c>
      <c r="AB705">
        <v>3000</v>
      </c>
      <c r="AC705">
        <v>2881</v>
      </c>
      <c r="AD705">
        <v>2104</v>
      </c>
      <c r="AE705">
        <v>0</v>
      </c>
      <c r="AF705">
        <v>0</v>
      </c>
      <c r="AG705">
        <v>777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692</v>
      </c>
      <c r="AN705">
        <v>117</v>
      </c>
      <c r="AO705">
        <v>176</v>
      </c>
      <c r="AP705">
        <v>10</v>
      </c>
      <c r="AQ705">
        <v>0</v>
      </c>
      <c r="AR705">
        <v>0</v>
      </c>
      <c r="AS705" t="s">
        <v>58</v>
      </c>
      <c r="AT705">
        <v>1</v>
      </c>
      <c r="AU705" t="s">
        <v>63</v>
      </c>
      <c r="AV705" t="s">
        <v>64</v>
      </c>
      <c r="AW705">
        <v>1</v>
      </c>
      <c r="AX705">
        <v>3</v>
      </c>
      <c r="AY705">
        <v>0</v>
      </c>
      <c r="AZ705">
        <v>23000</v>
      </c>
      <c r="BA705">
        <v>100</v>
      </c>
      <c r="BB705">
        <v>100</v>
      </c>
      <c r="BC705">
        <v>100</v>
      </c>
      <c r="BD705">
        <v>100</v>
      </c>
      <c r="BE705">
        <v>1</v>
      </c>
      <c r="BF705">
        <v>15000</v>
      </c>
      <c r="BG705">
        <v>1000</v>
      </c>
      <c r="BH705" s="6">
        <f>Grandview_Inventory[[#This Row],[land_extract]]*Lookups!$B$3</f>
        <v>69525.205554513683</v>
      </c>
      <c r="BI705" s="6">
        <f>IF(Grandview_Inventory[[#This Row],[bldg_style]]="",0,Lookups!$B$2)</f>
        <v>155833.95000000001</v>
      </c>
      <c r="BJ705" s="6">
        <f>_xlfn.IFNA(VLOOKUP(Grandview_Inventory[[#This Row],[quality]],Lookups!$H$2:$J$14,3,FALSE),0)</f>
        <v>9808</v>
      </c>
      <c r="BK705" s="6">
        <f>_xlfn.IFNA(VLOOKUP(Grandview_Inventory[[#This Row],[condition]],Lookups!$H$17:$J$24,3,FALSE),0)</f>
        <v>-4503</v>
      </c>
      <c r="BL705" s="6">
        <f>Grandview_Inventory[[#This Row],[Eff_Age]]*Lookups!$B$14</f>
        <v>-11001.6636</v>
      </c>
      <c r="BM705" s="6">
        <f>Grandview_Inventory[[#This Row],[living_area]]*Lookups!$B$15</f>
        <v>179719.23749299999</v>
      </c>
      <c r="BN705" s="6">
        <f>Grandview_Inventory[[#This Row],[Fin BSMT]]*Lookups!$B$16</f>
        <v>-21056.109480000003</v>
      </c>
      <c r="BO705" s="6">
        <f>(Grandview_Inventory[[#This Row],[att_gar]]+Grandview_Inventory[[#This Row],[bltin_gar]])*Lookups!$B$17</f>
        <v>0</v>
      </c>
      <c r="BP705" s="6">
        <f>Grandview_Inventory[[#This Row],[Plumbing Fixtures]]*Lookups!$B$18</f>
        <v>20104.418000000001</v>
      </c>
      <c r="BQ705" s="6">
        <f>Grandview_Inventory[[#This Row],[detatched_value]]*Lookups!$B$19</f>
        <v>19476.5173</v>
      </c>
      <c r="BR705" s="6">
        <f>SUM(Grandview_Inventory[[#This Row],[Intercept]:[det_value]])*Grandview_Inventory[[#This Row],[res_pct]]</f>
        <v>348381.349713</v>
      </c>
      <c r="BS705" s="6">
        <f>Grandview_Inventory[[#This Row],[land_value]]</f>
        <v>69525.205554513683</v>
      </c>
      <c r="BT705" s="4">
        <f>_xlfn.IFNA(VLOOKUP(Grandview_Inventory[[#This Row],[quality]],Lookups!$A$26:$C$33,3,FALSE),1)</f>
        <v>0.94295468617355149</v>
      </c>
      <c r="BU705" s="4">
        <f>_xlfn.IFNA(VLOOKUP(Grandview_Inventory[[#This Row],[condition]],Lookups!$A$37:$C$44,3,FALSE),1)</f>
        <v>0.96469275950863709</v>
      </c>
      <c r="BV705" s="4">
        <f>IF(Grandview_Inventory[[#This Row],[bldg_style]]="",1,_xlfn.IFNA(VLOOKUP(Grandview_Inventory[[#This Row],[decade]],Lookups!$F$29:$H$43,3,FALSE),1))</f>
        <v>0.95268620544463312</v>
      </c>
      <c r="BW705" s="4">
        <f>_xlfn.IFNA(VLOOKUP(Grandview_Inventory[[#This Row],[living_area_range]],Lookups!$F$47:$H$56,3,FALSE),1)</f>
        <v>0.94224801443562123</v>
      </c>
      <c r="BX705" s="4">
        <f>AVERAGE(Grandview_Inventory[[#This Row],[qual_adj]:[size_adj]])</f>
        <v>0.95064541639061073</v>
      </c>
      <c r="BY705" s="6">
        <f>IF(Grandview_Inventory[[#This Row],[pre_res]]&lt;0,0,Grandview_Inventory[[#This Row],[pre_res]]*Grandview_Inventory[[#This Row],[overall_adj]])</f>
        <v>331187.13326063787</v>
      </c>
      <c r="BZ705" s="6">
        <f>(Grandview_Inventory[[#This Row],[sum_land]]-IF(Grandview_Inventory[[#This Row],[no_utilities]]=1,12000,0))/IF(Grandview_Inventory[[#This Row],[unbuildable]]=1,2,1)</f>
        <v>69525.205554513683</v>
      </c>
      <c r="CA705">
        <f>IF(ROUND(Grandview_Inventory[[#This Row],[adj_land]]*Lookups!$M$28,-2)&lt;Grandview_Inventory[[#This Row],[min_land]],Grandview_Inventory[[#This Row],[min_land]],ROUND(Grandview_Inventory[[#This Row],[adj_land]]*Lookups!$M$28,-2))</f>
        <v>66000</v>
      </c>
      <c r="CB705">
        <f>ROUND(Grandview_Inventory[[#This Row],[det_value]]*Lookups!$M$28,-2)</f>
        <v>18500</v>
      </c>
      <c r="CC705">
        <f>IF(ROUND(Grandview_Inventory[[#This Row],[adj_res]]*Lookups!$M$28,-2)&lt;Grandview_Inventory[[#This Row],[min_res]],Grandview_Inventory[[#This Row],[min_res]],ROUND(Grandview_Inventory[[#This Row],[adj_res]]*Lookups!$M$28,-2))</f>
        <v>314600</v>
      </c>
      <c r="CD705">
        <f>Grandview_Inventory[[#This Row],[final_det]]+Grandview_Inventory[[#This Row],[final_res]]</f>
        <v>333100</v>
      </c>
      <c r="CE705">
        <f>Grandview_Inventory[[#This Row],[final_land]]+Grandview_Inventory[[#This Row],[final_imp]]+Grandview_Inventory[[#This Row],[crop_value]]</f>
        <v>399100</v>
      </c>
      <c r="CG705" t="str">
        <f t="shared" si="10"/>
        <v>update valuation set market_land =66000, market_bldg=333100, market_total =399100, market_mdno =401, market_date ='9/10/2023' where link_id = (select link_id from parcel where parcel_year = '2024' and parcel_id = '23092231435');</v>
      </c>
    </row>
    <row r="706" spans="1:85" x14ac:dyDescent="0.25">
      <c r="A706">
        <v>23092231437</v>
      </c>
      <c r="B706">
        <v>0.14000000000000001</v>
      </c>
      <c r="C706">
        <v>6030</v>
      </c>
      <c r="D706" t="s">
        <v>129</v>
      </c>
      <c r="E706" t="s">
        <v>53</v>
      </c>
      <c r="F706" t="s">
        <v>53</v>
      </c>
      <c r="G706">
        <v>4</v>
      </c>
      <c r="H706" t="s">
        <v>54</v>
      </c>
      <c r="I706">
        <v>153400</v>
      </c>
      <c r="J706">
        <v>42400</v>
      </c>
      <c r="K706">
        <v>0.14000000000000001</v>
      </c>
      <c r="L706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706">
        <v>0</v>
      </c>
      <c r="N706">
        <v>0</v>
      </c>
      <c r="O706">
        <v>0</v>
      </c>
      <c r="P706">
        <v>13398.7528</v>
      </c>
      <c r="Q706">
        <v>63903</v>
      </c>
      <c r="R706">
        <f>(Grandview_Inventory[[#This Row],[ln_acres]]*Grandview_Inventory[[#This Row],[coeff]])+Grandview_Inventory[[#This Row],[const]]</f>
        <v>37559.539860558507</v>
      </c>
      <c r="S706" t="s">
        <v>61</v>
      </c>
      <c r="T706">
        <v>1</v>
      </c>
      <c r="U706" t="s">
        <v>70</v>
      </c>
      <c r="V706" t="s">
        <v>69</v>
      </c>
      <c r="W706">
        <v>0</v>
      </c>
      <c r="X706">
        <v>0</v>
      </c>
      <c r="Y706">
        <v>47</v>
      </c>
      <c r="Z706">
        <v>56</v>
      </c>
      <c r="AA706">
        <v>60</v>
      </c>
      <c r="AB706">
        <v>1500</v>
      </c>
      <c r="AC706">
        <v>1040</v>
      </c>
      <c r="AD706">
        <v>1040</v>
      </c>
      <c r="AE706">
        <v>0</v>
      </c>
      <c r="AF706">
        <v>0</v>
      </c>
      <c r="AG706">
        <v>0</v>
      </c>
      <c r="AH706">
        <v>0</v>
      </c>
      <c r="AI706">
        <v>364</v>
      </c>
      <c r="AJ706">
        <v>0</v>
      </c>
      <c r="AK706">
        <v>0</v>
      </c>
      <c r="AL706">
        <v>0</v>
      </c>
      <c r="AM706">
        <v>280</v>
      </c>
      <c r="AN706">
        <v>0</v>
      </c>
      <c r="AO706">
        <v>0</v>
      </c>
      <c r="AP706">
        <v>5</v>
      </c>
      <c r="AQ706">
        <v>0</v>
      </c>
      <c r="AR706">
        <v>0</v>
      </c>
      <c r="AS706" t="s">
        <v>58</v>
      </c>
      <c r="AT706">
        <v>1</v>
      </c>
      <c r="AU706" t="s">
        <v>75</v>
      </c>
      <c r="AV706" t="s">
        <v>60</v>
      </c>
      <c r="AW706">
        <v>0</v>
      </c>
      <c r="AX706">
        <v>3</v>
      </c>
      <c r="AY706">
        <v>0</v>
      </c>
      <c r="AZ706">
        <v>0</v>
      </c>
      <c r="BA706">
        <v>100</v>
      </c>
      <c r="BB706">
        <v>100</v>
      </c>
      <c r="BC706">
        <v>100</v>
      </c>
      <c r="BD706">
        <v>100</v>
      </c>
      <c r="BE706">
        <v>1</v>
      </c>
      <c r="BF706">
        <v>15000</v>
      </c>
      <c r="BG706">
        <v>1000</v>
      </c>
      <c r="BH706" s="6">
        <f>Grandview_Inventory[[#This Row],[land_extract]]*Lookups!$B$3</f>
        <v>43617.792229308972</v>
      </c>
      <c r="BI706" s="6">
        <f>IF(Grandview_Inventory[[#This Row],[bldg_style]]="",0,Lookups!$B$2)</f>
        <v>155833.95000000001</v>
      </c>
      <c r="BJ706" s="6">
        <f>_xlfn.IFNA(VLOOKUP(Grandview_Inventory[[#This Row],[quality]],Lookups!$H$2:$J$14,3,FALSE),0)</f>
        <v>10733</v>
      </c>
      <c r="BK706" s="6">
        <f>_xlfn.IFNA(VLOOKUP(Grandview_Inventory[[#This Row],[condition]],Lookups!$H$17:$J$24,3,FALSE),0)</f>
        <v>-4503</v>
      </c>
      <c r="BL706" s="6">
        <f>Grandview_Inventory[[#This Row],[Eff_Age]]*Lookups!$B$14</f>
        <v>-11240.8302</v>
      </c>
      <c r="BM706" s="6">
        <f>Grandview_Inventory[[#This Row],[living_area]]*Lookups!$B$15</f>
        <v>64876.087120000004</v>
      </c>
      <c r="BN706" s="6">
        <f>Grandview_Inventory[[#This Row],[Fin BSMT]]*Lookups!$B$16</f>
        <v>0</v>
      </c>
      <c r="BO706" s="6">
        <f>(Grandview_Inventory[[#This Row],[att_gar]]+Grandview_Inventory[[#This Row],[bltin_gar]])*Lookups!$B$17</f>
        <v>31857.439068</v>
      </c>
      <c r="BP706" s="6">
        <f>Grandview_Inventory[[#This Row],[Plumbing Fixtures]]*Lookups!$B$18</f>
        <v>10052.209000000001</v>
      </c>
      <c r="BQ706" s="6">
        <f>Grandview_Inventory[[#This Row],[detatched_value]]*Lookups!$B$19</f>
        <v>0</v>
      </c>
      <c r="BR706" s="6">
        <f>SUM(Grandview_Inventory[[#This Row],[Intercept]:[det_value]])*Grandview_Inventory[[#This Row],[res_pct]]</f>
        <v>257608.85498800004</v>
      </c>
      <c r="BS706" s="6">
        <f>Grandview_Inventory[[#This Row],[land_value]]</f>
        <v>43617.792229308972</v>
      </c>
      <c r="BT706" s="4">
        <f>_xlfn.IFNA(VLOOKUP(Grandview_Inventory[[#This Row],[quality]],Lookups!$A$26:$C$33,3,FALSE),1)</f>
        <v>0.98079741117310582</v>
      </c>
      <c r="BU706" s="4">
        <f>_xlfn.IFNA(VLOOKUP(Grandview_Inventory[[#This Row],[condition]],Lookups!$A$37:$C$44,3,FALSE),1)</f>
        <v>0.96469275950863709</v>
      </c>
      <c r="BV706" s="4">
        <f>IF(Grandview_Inventory[[#This Row],[bldg_style]]="",1,_xlfn.IFNA(VLOOKUP(Grandview_Inventory[[#This Row],[decade]],Lookups!$F$29:$H$43,3,FALSE),1))</f>
        <v>0.95268620544463312</v>
      </c>
      <c r="BW706" s="4">
        <f>_xlfn.IFNA(VLOOKUP(Grandview_Inventory[[#This Row],[living_area_range]],Lookups!$F$47:$H$56,3,FALSE),1)</f>
        <v>0.96135087979789358</v>
      </c>
      <c r="BX706" s="4">
        <f>AVERAGE(Grandview_Inventory[[#This Row],[qual_adj]:[size_adj]])</f>
        <v>0.96488181398106743</v>
      </c>
      <c r="BY706" s="6">
        <f>IF(Grandview_Inventory[[#This Row],[pre_res]]&lt;0,0,Grandview_Inventory[[#This Row],[pre_res]]*Grandview_Inventory[[#This Row],[overall_adj]])</f>
        <v>248562.09929840724</v>
      </c>
      <c r="BZ706" s="6">
        <f>(Grandview_Inventory[[#This Row],[sum_land]]-IF(Grandview_Inventory[[#This Row],[no_utilities]]=1,12000,0))/IF(Grandview_Inventory[[#This Row],[unbuildable]]=1,2,1)</f>
        <v>43617.792229308972</v>
      </c>
      <c r="CA706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706">
        <f>ROUND(Grandview_Inventory[[#This Row],[det_value]]*Lookups!$M$28,-2)</f>
        <v>0</v>
      </c>
      <c r="CC706">
        <f>IF(ROUND(Grandview_Inventory[[#This Row],[adj_res]]*Lookups!$M$28,-2)&lt;Grandview_Inventory[[#This Row],[min_res]],Grandview_Inventory[[#This Row],[min_res]],ROUND(Grandview_Inventory[[#This Row],[adj_res]]*Lookups!$M$28,-2))</f>
        <v>236100</v>
      </c>
      <c r="CD706">
        <f>Grandview_Inventory[[#This Row],[final_det]]+Grandview_Inventory[[#This Row],[final_res]]</f>
        <v>236100</v>
      </c>
      <c r="CE706">
        <f>Grandview_Inventory[[#This Row],[final_land]]+Grandview_Inventory[[#This Row],[final_imp]]+Grandview_Inventory[[#This Row],[crop_value]]</f>
        <v>277500</v>
      </c>
      <c r="CG706" t="str">
        <f t="shared" si="10"/>
        <v>update valuation set market_land =41400, market_bldg=236100, market_total =277500, market_mdno =401, market_date ='9/10/2023' where link_id = (select link_id from parcel where parcel_year = '2024' and parcel_id = '23092231437');</v>
      </c>
    </row>
    <row r="707" spans="1:85" x14ac:dyDescent="0.25">
      <c r="A707">
        <v>23092231439</v>
      </c>
      <c r="B707">
        <v>0.26</v>
      </c>
      <c r="C707" t="s">
        <v>129</v>
      </c>
      <c r="D707" t="s">
        <v>129</v>
      </c>
      <c r="E707" t="s">
        <v>53</v>
      </c>
      <c r="F707" t="s">
        <v>53</v>
      </c>
      <c r="G707">
        <v>4</v>
      </c>
      <c r="H707" t="s">
        <v>54</v>
      </c>
      <c r="I707">
        <v>127000</v>
      </c>
      <c r="J707">
        <v>44500</v>
      </c>
      <c r="K707">
        <v>0.26</v>
      </c>
      <c r="L70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707">
        <v>0</v>
      </c>
      <c r="N707">
        <v>0</v>
      </c>
      <c r="O707">
        <v>0</v>
      </c>
      <c r="P707">
        <v>13398.7528</v>
      </c>
      <c r="Q707">
        <v>63903</v>
      </c>
      <c r="R707">
        <f>(Grandview_Inventory[[#This Row],[ln_acres]]*Grandview_Inventory[[#This Row],[coeff]])+Grandview_Inventory[[#This Row],[const]]</f>
        <v>45853.893187501177</v>
      </c>
      <c r="S707" t="s">
        <v>61</v>
      </c>
      <c r="T707">
        <v>1</v>
      </c>
      <c r="U707" t="s">
        <v>65</v>
      </c>
      <c r="V707" t="s">
        <v>69</v>
      </c>
      <c r="W707">
        <v>0</v>
      </c>
      <c r="X707">
        <v>0</v>
      </c>
      <c r="Y707">
        <v>45</v>
      </c>
      <c r="Z707">
        <v>50</v>
      </c>
      <c r="AA707">
        <v>50</v>
      </c>
      <c r="AB707">
        <v>1500</v>
      </c>
      <c r="AC707">
        <v>1200</v>
      </c>
      <c r="AD707">
        <v>1200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636</v>
      </c>
      <c r="AN707">
        <v>336</v>
      </c>
      <c r="AO707">
        <v>636</v>
      </c>
      <c r="AP707">
        <v>5</v>
      </c>
      <c r="AQ707">
        <v>0</v>
      </c>
      <c r="AR707">
        <v>0</v>
      </c>
      <c r="AS707" t="s">
        <v>58</v>
      </c>
      <c r="AT707">
        <v>1</v>
      </c>
      <c r="AU707" t="s">
        <v>63</v>
      </c>
      <c r="AV707" t="s">
        <v>60</v>
      </c>
      <c r="AW707">
        <v>0</v>
      </c>
      <c r="AX707">
        <v>2</v>
      </c>
      <c r="AY707">
        <v>0</v>
      </c>
      <c r="AZ707">
        <v>0</v>
      </c>
      <c r="BA707">
        <v>100</v>
      </c>
      <c r="BB707">
        <v>100</v>
      </c>
      <c r="BC707">
        <v>100</v>
      </c>
      <c r="BD707">
        <v>100</v>
      </c>
      <c r="BE707">
        <v>1</v>
      </c>
      <c r="BF707">
        <v>15000</v>
      </c>
      <c r="BG707">
        <v>1000</v>
      </c>
      <c r="BH707" s="6">
        <f>Grandview_Inventory[[#This Row],[land_extract]]*Lookups!$B$3</f>
        <v>53250.00235313351</v>
      </c>
      <c r="BI707" s="6">
        <f>IF(Grandview_Inventory[[#This Row],[bldg_style]]="",0,Lookups!$B$2)</f>
        <v>155833.95000000001</v>
      </c>
      <c r="BJ707" s="6">
        <f>_xlfn.IFNA(VLOOKUP(Grandview_Inventory[[#This Row],[quality]],Lookups!$H$2:$J$14,3,FALSE),0)</f>
        <v>2251</v>
      </c>
      <c r="BK707" s="6">
        <f>_xlfn.IFNA(VLOOKUP(Grandview_Inventory[[#This Row],[condition]],Lookups!$H$17:$J$24,3,FALSE),0)</f>
        <v>-4503</v>
      </c>
      <c r="BL707" s="6">
        <f>Grandview_Inventory[[#This Row],[Eff_Age]]*Lookups!$B$14</f>
        <v>-10762.496999999999</v>
      </c>
      <c r="BM707" s="6">
        <f>Grandview_Inventory[[#This Row],[living_area]]*Lookups!$B$15</f>
        <v>74857.0236</v>
      </c>
      <c r="BN707" s="6">
        <f>Grandview_Inventory[[#This Row],[Fin BSMT]]*Lookups!$B$16</f>
        <v>0</v>
      </c>
      <c r="BO707" s="6">
        <f>(Grandview_Inventory[[#This Row],[att_gar]]+Grandview_Inventory[[#This Row],[bltin_gar]])*Lookups!$B$17</f>
        <v>0</v>
      </c>
      <c r="BP707" s="6">
        <f>Grandview_Inventory[[#This Row],[Plumbing Fixtures]]*Lookups!$B$18</f>
        <v>10052.209000000001</v>
      </c>
      <c r="BQ707" s="6">
        <f>Grandview_Inventory[[#This Row],[detatched_value]]*Lookups!$B$19</f>
        <v>0</v>
      </c>
      <c r="BR707" s="6">
        <f>SUM(Grandview_Inventory[[#This Row],[Intercept]:[det_value]])*Grandview_Inventory[[#This Row],[res_pct]]</f>
        <v>227728.6856</v>
      </c>
      <c r="BS707" s="6">
        <f>Grandview_Inventory[[#This Row],[land_value]]</f>
        <v>53250.00235313351</v>
      </c>
      <c r="BT707" s="4">
        <f>_xlfn.IFNA(VLOOKUP(Grandview_Inventory[[#This Row],[quality]],Lookups!$A$26:$C$33,3,FALSE),1)</f>
        <v>0.98763855981004833</v>
      </c>
      <c r="BU707" s="4">
        <f>_xlfn.IFNA(VLOOKUP(Grandview_Inventory[[#This Row],[condition]],Lookups!$A$37:$C$44,3,FALSE),1)</f>
        <v>0.96469275950863709</v>
      </c>
      <c r="BV707" s="4">
        <f>IF(Grandview_Inventory[[#This Row],[bldg_style]]="",1,_xlfn.IFNA(VLOOKUP(Grandview_Inventory[[#This Row],[decade]],Lookups!$F$29:$H$43,3,FALSE),1))</f>
        <v>0.9871940091910919</v>
      </c>
      <c r="BW707" s="4">
        <f>_xlfn.IFNA(VLOOKUP(Grandview_Inventory[[#This Row],[living_area_range]],Lookups!$F$47:$H$56,3,FALSE),1)</f>
        <v>0.96135087979789358</v>
      </c>
      <c r="BX707" s="4">
        <f>AVERAGE(Grandview_Inventory[[#This Row],[qual_adj]:[size_adj]])</f>
        <v>0.97521905207691773</v>
      </c>
      <c r="BY707" s="6">
        <f>IF(Grandview_Inventory[[#This Row],[pre_res]]&lt;0,0,Grandview_Inventory[[#This Row],[pre_res]]*Grandview_Inventory[[#This Row],[overall_adj]])</f>
        <v>222085.35290155443</v>
      </c>
      <c r="BZ707" s="6">
        <f>(Grandview_Inventory[[#This Row],[sum_land]]-IF(Grandview_Inventory[[#This Row],[no_utilities]]=1,12000,0))/IF(Grandview_Inventory[[#This Row],[unbuildable]]=1,2,1)</f>
        <v>53250.00235313351</v>
      </c>
      <c r="CA70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707">
        <f>ROUND(Grandview_Inventory[[#This Row],[det_value]]*Lookups!$M$28,-2)</f>
        <v>0</v>
      </c>
      <c r="CC707">
        <f>IF(ROUND(Grandview_Inventory[[#This Row],[adj_res]]*Lookups!$M$28,-2)&lt;Grandview_Inventory[[#This Row],[min_res]],Grandview_Inventory[[#This Row],[min_res]],ROUND(Grandview_Inventory[[#This Row],[adj_res]]*Lookups!$M$28,-2))</f>
        <v>211000</v>
      </c>
      <c r="CD707">
        <f>Grandview_Inventory[[#This Row],[final_det]]+Grandview_Inventory[[#This Row],[final_res]]</f>
        <v>211000</v>
      </c>
      <c r="CE707">
        <f>Grandview_Inventory[[#This Row],[final_land]]+Grandview_Inventory[[#This Row],[final_imp]]+Grandview_Inventory[[#This Row],[crop_value]]</f>
        <v>261600</v>
      </c>
      <c r="CG707" t="str">
        <f t="shared" ref="CG707:CG770" si="11">"update valuation set market_land ="&amp;CA707&amp;", market_bldg="&amp;CD707&amp;", market_total ="&amp;CE707&amp;", market_mdno ="&amp;$CG$1&amp;", market_date ='"&amp;TEXT($CH$1,"m/d/yyyy")&amp;"' where link_id = (select link_id from parcel where parcel_year = '2024' and parcel_id = '"&amp;A707&amp;"');"</f>
        <v>update valuation set market_land =50600, market_bldg=211000, market_total =261600, market_mdno =401, market_date ='9/10/2023' where link_id = (select link_id from parcel where parcel_year = '2024' and parcel_id = '23092231439');</v>
      </c>
    </row>
    <row r="708" spans="1:85" x14ac:dyDescent="0.25">
      <c r="A708">
        <v>23092231441</v>
      </c>
      <c r="B708">
        <v>0.2</v>
      </c>
      <c r="C708" t="s">
        <v>129</v>
      </c>
      <c r="D708" t="s">
        <v>129</v>
      </c>
      <c r="E708" t="s">
        <v>53</v>
      </c>
      <c r="F708" t="s">
        <v>53</v>
      </c>
      <c r="G708">
        <v>4</v>
      </c>
      <c r="H708" t="s">
        <v>54</v>
      </c>
      <c r="I708">
        <v>178100</v>
      </c>
      <c r="J708">
        <v>43700</v>
      </c>
      <c r="K708">
        <v>0.2</v>
      </c>
      <c r="L70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08">
        <v>0</v>
      </c>
      <c r="N708">
        <v>0</v>
      </c>
      <c r="O708">
        <v>0</v>
      </c>
      <c r="P708">
        <v>13398.7528</v>
      </c>
      <c r="Q708">
        <v>63903</v>
      </c>
      <c r="R708">
        <f>(Grandview_Inventory[[#This Row],[ln_acres]]*Grandview_Inventory[[#This Row],[coeff]])+Grandview_Inventory[[#This Row],[const]]</f>
        <v>42338.539264347448</v>
      </c>
      <c r="S708" t="s">
        <v>61</v>
      </c>
      <c r="T708">
        <v>1</v>
      </c>
      <c r="U708" t="s">
        <v>65</v>
      </c>
      <c r="V708" t="s">
        <v>69</v>
      </c>
      <c r="W708">
        <v>0</v>
      </c>
      <c r="X708">
        <v>0</v>
      </c>
      <c r="Y708">
        <v>45</v>
      </c>
      <c r="Z708">
        <v>50</v>
      </c>
      <c r="AA708">
        <v>50</v>
      </c>
      <c r="AB708">
        <v>1500</v>
      </c>
      <c r="AC708">
        <v>1255</v>
      </c>
      <c r="AD708">
        <v>1255</v>
      </c>
      <c r="AE708">
        <v>0</v>
      </c>
      <c r="AF708">
        <v>0</v>
      </c>
      <c r="AG708">
        <v>0</v>
      </c>
      <c r="AH708">
        <v>0</v>
      </c>
      <c r="AI708">
        <v>312</v>
      </c>
      <c r="AJ708">
        <v>0</v>
      </c>
      <c r="AK708">
        <v>200</v>
      </c>
      <c r="AL708">
        <v>0</v>
      </c>
      <c r="AM708">
        <v>345</v>
      </c>
      <c r="AN708">
        <v>80</v>
      </c>
      <c r="AO708">
        <v>345</v>
      </c>
      <c r="AP708">
        <v>8</v>
      </c>
      <c r="AQ708">
        <v>0</v>
      </c>
      <c r="AR708">
        <v>0</v>
      </c>
      <c r="AS708" t="s">
        <v>58</v>
      </c>
      <c r="AT708">
        <v>1</v>
      </c>
      <c r="AU708" t="s">
        <v>63</v>
      </c>
      <c r="AV708" t="s">
        <v>60</v>
      </c>
      <c r="AW708">
        <v>1</v>
      </c>
      <c r="AX708">
        <v>3</v>
      </c>
      <c r="AY708">
        <v>0</v>
      </c>
      <c r="AZ708">
        <v>0</v>
      </c>
      <c r="BA708">
        <v>100</v>
      </c>
      <c r="BB708">
        <v>100</v>
      </c>
      <c r="BC708">
        <v>100</v>
      </c>
      <c r="BD708">
        <v>100</v>
      </c>
      <c r="BE708">
        <v>1</v>
      </c>
      <c r="BF708">
        <v>15000</v>
      </c>
      <c r="BG708">
        <v>1000</v>
      </c>
      <c r="BH708" s="6">
        <f>Grandview_Inventory[[#This Row],[land_extract]]*Lookups!$B$3</f>
        <v>49167.631333630678</v>
      </c>
      <c r="BI708" s="6">
        <f>IF(Grandview_Inventory[[#This Row],[bldg_style]]="",0,Lookups!$B$2)</f>
        <v>155833.95000000001</v>
      </c>
      <c r="BJ708" s="6">
        <f>_xlfn.IFNA(VLOOKUP(Grandview_Inventory[[#This Row],[quality]],Lookups!$H$2:$J$14,3,FALSE),0)</f>
        <v>2251</v>
      </c>
      <c r="BK708" s="6">
        <f>_xlfn.IFNA(VLOOKUP(Grandview_Inventory[[#This Row],[condition]],Lookups!$H$17:$J$24,3,FALSE),0)</f>
        <v>-4503</v>
      </c>
      <c r="BL708" s="6">
        <f>Grandview_Inventory[[#This Row],[Eff_Age]]*Lookups!$B$14</f>
        <v>-10762.496999999999</v>
      </c>
      <c r="BM708" s="6">
        <f>Grandview_Inventory[[#This Row],[living_area]]*Lookups!$B$15</f>
        <v>78287.970515000008</v>
      </c>
      <c r="BN708" s="6">
        <f>Grandview_Inventory[[#This Row],[Fin BSMT]]*Lookups!$B$16</f>
        <v>0</v>
      </c>
      <c r="BO708" s="6">
        <f>(Grandview_Inventory[[#This Row],[att_gar]]+Grandview_Inventory[[#This Row],[bltin_gar]])*Lookups!$B$17</f>
        <v>27306.376344</v>
      </c>
      <c r="BP708" s="6">
        <f>Grandview_Inventory[[#This Row],[Plumbing Fixtures]]*Lookups!$B$18</f>
        <v>16083.5344</v>
      </c>
      <c r="BQ708" s="6">
        <f>Grandview_Inventory[[#This Row],[detatched_value]]*Lookups!$B$19</f>
        <v>0</v>
      </c>
      <c r="BR708" s="6">
        <f>SUM(Grandview_Inventory[[#This Row],[Intercept]:[det_value]])*Grandview_Inventory[[#This Row],[res_pct]]</f>
        <v>264497.33425900002</v>
      </c>
      <c r="BS708" s="6">
        <f>Grandview_Inventory[[#This Row],[land_value]]</f>
        <v>49167.631333630678</v>
      </c>
      <c r="BT708" s="4">
        <f>_xlfn.IFNA(VLOOKUP(Grandview_Inventory[[#This Row],[quality]],Lookups!$A$26:$C$33,3,FALSE),1)</f>
        <v>0.98763855981004833</v>
      </c>
      <c r="BU708" s="4">
        <f>_xlfn.IFNA(VLOOKUP(Grandview_Inventory[[#This Row],[condition]],Lookups!$A$37:$C$44,3,FALSE),1)</f>
        <v>0.96469275950863709</v>
      </c>
      <c r="BV708" s="4">
        <f>IF(Grandview_Inventory[[#This Row],[bldg_style]]="",1,_xlfn.IFNA(VLOOKUP(Grandview_Inventory[[#This Row],[decade]],Lookups!$F$29:$H$43,3,FALSE),1))</f>
        <v>0.9871940091910919</v>
      </c>
      <c r="BW708" s="4">
        <f>_xlfn.IFNA(VLOOKUP(Grandview_Inventory[[#This Row],[living_area_range]],Lookups!$F$47:$H$56,3,FALSE),1)</f>
        <v>0.96135087979789358</v>
      </c>
      <c r="BX708" s="4">
        <f>AVERAGE(Grandview_Inventory[[#This Row],[qual_adj]:[size_adj]])</f>
        <v>0.97521905207691773</v>
      </c>
      <c r="BY708" s="6">
        <f>IF(Grandview_Inventory[[#This Row],[pre_res]]&lt;0,0,Grandview_Inventory[[#This Row],[pre_res]]*Grandview_Inventory[[#This Row],[overall_adj]])</f>
        <v>257942.83959293365</v>
      </c>
      <c r="BZ708" s="6">
        <f>(Grandview_Inventory[[#This Row],[sum_land]]-IF(Grandview_Inventory[[#This Row],[no_utilities]]=1,12000,0))/IF(Grandview_Inventory[[#This Row],[unbuildable]]=1,2,1)</f>
        <v>49167.631333630678</v>
      </c>
      <c r="CA70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08">
        <f>ROUND(Grandview_Inventory[[#This Row],[det_value]]*Lookups!$M$28,-2)</f>
        <v>0</v>
      </c>
      <c r="CC708">
        <f>IF(ROUND(Grandview_Inventory[[#This Row],[adj_res]]*Lookups!$M$28,-2)&lt;Grandview_Inventory[[#This Row],[min_res]],Grandview_Inventory[[#This Row],[min_res]],ROUND(Grandview_Inventory[[#This Row],[adj_res]]*Lookups!$M$28,-2))</f>
        <v>245000</v>
      </c>
      <c r="CD708">
        <f>Grandview_Inventory[[#This Row],[final_det]]+Grandview_Inventory[[#This Row],[final_res]]</f>
        <v>245000</v>
      </c>
      <c r="CE708">
        <f>Grandview_Inventory[[#This Row],[final_land]]+Grandview_Inventory[[#This Row],[final_imp]]+Grandview_Inventory[[#This Row],[crop_value]]</f>
        <v>291700</v>
      </c>
      <c r="CG708" t="str">
        <f t="shared" si="11"/>
        <v>update valuation set market_land =46700, market_bldg=245000, market_total =291700, market_mdno =401, market_date ='9/10/2023' where link_id = (select link_id from parcel where parcel_year = '2024' and parcel_id = '23092231441');</v>
      </c>
    </row>
    <row r="709" spans="1:85" x14ac:dyDescent="0.25">
      <c r="A709">
        <v>23092231443</v>
      </c>
      <c r="B709">
        <v>0.24</v>
      </c>
      <c r="C709">
        <v>10405</v>
      </c>
      <c r="D709" t="s">
        <v>129</v>
      </c>
      <c r="E709" t="s">
        <v>53</v>
      </c>
      <c r="F709" t="s">
        <v>53</v>
      </c>
      <c r="G709">
        <v>4</v>
      </c>
      <c r="H709" t="s">
        <v>54</v>
      </c>
      <c r="I709">
        <v>164000</v>
      </c>
      <c r="J709">
        <v>44200</v>
      </c>
      <c r="K709">
        <v>0.24</v>
      </c>
      <c r="L70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709">
        <v>0</v>
      </c>
      <c r="N709">
        <v>0</v>
      </c>
      <c r="O709">
        <v>0</v>
      </c>
      <c r="P709">
        <v>13398.7528</v>
      </c>
      <c r="Q709">
        <v>63903</v>
      </c>
      <c r="R709">
        <f>(Grandview_Inventory[[#This Row],[ln_acres]]*Grandview_Inventory[[#This Row],[coeff]])+Grandview_Inventory[[#This Row],[const]]</f>
        <v>44781.420733940802</v>
      </c>
      <c r="S709" t="s">
        <v>74</v>
      </c>
      <c r="T709">
        <v>1</v>
      </c>
      <c r="U709" t="s">
        <v>62</v>
      </c>
      <c r="V709" t="s">
        <v>78</v>
      </c>
      <c r="W709">
        <v>0</v>
      </c>
      <c r="X709">
        <v>0</v>
      </c>
      <c r="Y709">
        <v>46</v>
      </c>
      <c r="Z709">
        <v>54</v>
      </c>
      <c r="AA709">
        <v>60</v>
      </c>
      <c r="AB709">
        <v>2000</v>
      </c>
      <c r="AC709">
        <v>1627</v>
      </c>
      <c r="AD709">
        <v>887</v>
      </c>
      <c r="AE709">
        <v>0</v>
      </c>
      <c r="AF709">
        <v>0</v>
      </c>
      <c r="AG709">
        <v>740</v>
      </c>
      <c r="AH709">
        <v>0</v>
      </c>
      <c r="AI709">
        <v>288</v>
      </c>
      <c r="AJ709">
        <v>0</v>
      </c>
      <c r="AK709">
        <v>0</v>
      </c>
      <c r="AL709">
        <v>490</v>
      </c>
      <c r="AM709">
        <v>422</v>
      </c>
      <c r="AN709">
        <v>0</v>
      </c>
      <c r="AO709">
        <v>490</v>
      </c>
      <c r="AP709">
        <v>8</v>
      </c>
      <c r="AQ709">
        <v>0</v>
      </c>
      <c r="AR709">
        <v>0</v>
      </c>
      <c r="AS709" t="s">
        <v>58</v>
      </c>
      <c r="AT709">
        <v>0</v>
      </c>
      <c r="AU709" t="s">
        <v>82</v>
      </c>
      <c r="AV709" t="s">
        <v>135</v>
      </c>
      <c r="AW709">
        <v>0</v>
      </c>
      <c r="AX709">
        <v>3</v>
      </c>
      <c r="AY709">
        <v>0</v>
      </c>
      <c r="AZ709">
        <v>0</v>
      </c>
      <c r="BA709">
        <v>100</v>
      </c>
      <c r="BB709">
        <v>100</v>
      </c>
      <c r="BC709">
        <v>100</v>
      </c>
      <c r="BD709">
        <v>100</v>
      </c>
      <c r="BE709">
        <v>1</v>
      </c>
      <c r="BF709">
        <v>15000</v>
      </c>
      <c r="BG709">
        <v>1000</v>
      </c>
      <c r="BH709" s="6">
        <f>Grandview_Inventory[[#This Row],[land_extract]]*Lookups!$B$3</f>
        <v>52004.542988489469</v>
      </c>
      <c r="BI709" s="6">
        <f>IF(Grandview_Inventory[[#This Row],[bldg_style]]="",0,Lookups!$B$2)</f>
        <v>155833.95000000001</v>
      </c>
      <c r="BJ709" s="6">
        <f>_xlfn.IFNA(VLOOKUP(Grandview_Inventory[[#This Row],[quality]],Lookups!$H$2:$J$14,3,FALSE),0)</f>
        <v>9808</v>
      </c>
      <c r="BK709" s="6">
        <f>_xlfn.IFNA(VLOOKUP(Grandview_Inventory[[#This Row],[condition]],Lookups!$H$17:$J$24,3,FALSE),0)</f>
        <v>-45357</v>
      </c>
      <c r="BL709" s="6">
        <f>Grandview_Inventory[[#This Row],[Eff_Age]]*Lookups!$B$14</f>
        <v>-11001.6636</v>
      </c>
      <c r="BM709" s="6">
        <f>Grandview_Inventory[[#This Row],[living_area]]*Lookups!$B$15</f>
        <v>101493.64783100001</v>
      </c>
      <c r="BN709" s="6">
        <f>Grandview_Inventory[[#This Row],[Fin BSMT]]*Lookups!$B$16</f>
        <v>-20053.437600000001</v>
      </c>
      <c r="BO709" s="6">
        <f>(Grandview_Inventory[[#This Row],[att_gar]]+Grandview_Inventory[[#This Row],[bltin_gar]])*Lookups!$B$17</f>
        <v>25205.885856000001</v>
      </c>
      <c r="BP709" s="6">
        <f>Grandview_Inventory[[#This Row],[Plumbing Fixtures]]*Lookups!$B$18</f>
        <v>16083.5344</v>
      </c>
      <c r="BQ709" s="6">
        <f>Grandview_Inventory[[#This Row],[detatched_value]]*Lookups!$B$19</f>
        <v>0</v>
      </c>
      <c r="BR709" s="6">
        <f>SUM(Grandview_Inventory[[#This Row],[Intercept]:[det_value]])*Grandview_Inventory[[#This Row],[res_pct]]</f>
        <v>232012.91688700003</v>
      </c>
      <c r="BS709" s="6">
        <f>Grandview_Inventory[[#This Row],[land_value]]</f>
        <v>52004.542988489469</v>
      </c>
      <c r="BT709" s="4">
        <f>_xlfn.IFNA(VLOOKUP(Grandview_Inventory[[#This Row],[quality]],Lookups!$A$26:$C$33,3,FALSE),1)</f>
        <v>0.94295468617355149</v>
      </c>
      <c r="BU709" s="4">
        <f>_xlfn.IFNA(VLOOKUP(Grandview_Inventory[[#This Row],[condition]],Lookups!$A$37:$C$44,3,FALSE),1)</f>
        <v>0.97161819570155394</v>
      </c>
      <c r="BV709" s="4">
        <f>IF(Grandview_Inventory[[#This Row],[bldg_style]]="",1,_xlfn.IFNA(VLOOKUP(Grandview_Inventory[[#This Row],[decade]],Lookups!$F$29:$H$43,3,FALSE),1))</f>
        <v>0.95268620544463312</v>
      </c>
      <c r="BW709" s="4">
        <f>_xlfn.IFNA(VLOOKUP(Grandview_Inventory[[#This Row],[living_area_range]],Lookups!$F$47:$H$56,3,FALSE),1)</f>
        <v>0.96120133463014379</v>
      </c>
      <c r="BX709" s="4">
        <f>AVERAGE(Grandview_Inventory[[#This Row],[qual_adj]:[size_adj]])</f>
        <v>0.9571151054874707</v>
      </c>
      <c r="BY709" s="6">
        <f>IF(Grandview_Inventory[[#This Row],[pre_res]]&lt;0,0,Grandview_Inventory[[#This Row],[pre_res]]*Grandview_Inventory[[#This Row],[overall_adj]])</f>
        <v>222063.06742075679</v>
      </c>
      <c r="BZ709" s="6">
        <f>(Grandview_Inventory[[#This Row],[sum_land]]-IF(Grandview_Inventory[[#This Row],[no_utilities]]=1,12000,0))/IF(Grandview_Inventory[[#This Row],[unbuildable]]=1,2,1)</f>
        <v>52004.542988489469</v>
      </c>
      <c r="CA70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709">
        <f>ROUND(Grandview_Inventory[[#This Row],[det_value]]*Lookups!$M$28,-2)</f>
        <v>0</v>
      </c>
      <c r="CC709">
        <f>IF(ROUND(Grandview_Inventory[[#This Row],[adj_res]]*Lookups!$M$28,-2)&lt;Grandview_Inventory[[#This Row],[min_res]],Grandview_Inventory[[#This Row],[min_res]],ROUND(Grandview_Inventory[[#This Row],[adj_res]]*Lookups!$M$28,-2))</f>
        <v>211000</v>
      </c>
      <c r="CD709">
        <f>Grandview_Inventory[[#This Row],[final_det]]+Grandview_Inventory[[#This Row],[final_res]]</f>
        <v>211000</v>
      </c>
      <c r="CE709">
        <f>Grandview_Inventory[[#This Row],[final_land]]+Grandview_Inventory[[#This Row],[final_imp]]+Grandview_Inventory[[#This Row],[crop_value]]</f>
        <v>260400</v>
      </c>
      <c r="CG709" t="str">
        <f t="shared" si="11"/>
        <v>update valuation set market_land =49400, market_bldg=211000, market_total =260400, market_mdno =401, market_date ='9/10/2023' where link_id = (select link_id from parcel where parcel_year = '2024' and parcel_id = '23092231443');</v>
      </c>
    </row>
    <row r="710" spans="1:85" x14ac:dyDescent="0.25">
      <c r="A710">
        <v>23092231444</v>
      </c>
      <c r="B710">
        <v>0.4</v>
      </c>
      <c r="C710">
        <v>17564</v>
      </c>
      <c r="D710" t="s">
        <v>129</v>
      </c>
      <c r="E710" t="s">
        <v>53</v>
      </c>
      <c r="F710" t="s">
        <v>53</v>
      </c>
      <c r="G710">
        <v>4</v>
      </c>
      <c r="H710" t="s">
        <v>54</v>
      </c>
      <c r="I710">
        <v>140800</v>
      </c>
      <c r="J710">
        <v>41200</v>
      </c>
      <c r="K710">
        <v>0.4</v>
      </c>
      <c r="L710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710">
        <v>0</v>
      </c>
      <c r="N710">
        <v>0</v>
      </c>
      <c r="O710">
        <v>0</v>
      </c>
      <c r="P710">
        <v>13398.7528</v>
      </c>
      <c r="Q710">
        <v>63903</v>
      </c>
      <c r="R710">
        <f>(Grandview_Inventory[[#This Row],[ln_acres]]*Grandview_Inventory[[#This Row],[coeff]])+Grandview_Inventory[[#This Row],[const]]</f>
        <v>51625.846990687118</v>
      </c>
      <c r="S710" t="s">
        <v>61</v>
      </c>
      <c r="T710">
        <v>1</v>
      </c>
      <c r="U710" t="s">
        <v>65</v>
      </c>
      <c r="V710" t="s">
        <v>69</v>
      </c>
      <c r="W710">
        <v>0</v>
      </c>
      <c r="X710">
        <v>0</v>
      </c>
      <c r="Y710">
        <v>43</v>
      </c>
      <c r="Z710">
        <v>45</v>
      </c>
      <c r="AA710">
        <v>50</v>
      </c>
      <c r="AB710">
        <v>1500</v>
      </c>
      <c r="AC710">
        <v>1056</v>
      </c>
      <c r="AD710">
        <v>1056</v>
      </c>
      <c r="AE710">
        <v>0</v>
      </c>
      <c r="AF710">
        <v>0</v>
      </c>
      <c r="AG710">
        <v>0</v>
      </c>
      <c r="AH710">
        <v>0</v>
      </c>
      <c r="AI710">
        <v>288</v>
      </c>
      <c r="AJ710">
        <v>0</v>
      </c>
      <c r="AK710">
        <v>0</v>
      </c>
      <c r="AL710">
        <v>0</v>
      </c>
      <c r="AM710">
        <v>300</v>
      </c>
      <c r="AN710">
        <v>0</v>
      </c>
      <c r="AO710">
        <v>300</v>
      </c>
      <c r="AP710">
        <v>5</v>
      </c>
      <c r="AQ710">
        <v>0</v>
      </c>
      <c r="AR710">
        <v>0</v>
      </c>
      <c r="AS710" t="s">
        <v>58</v>
      </c>
      <c r="AT710">
        <v>1</v>
      </c>
      <c r="AU710" t="s">
        <v>79</v>
      </c>
      <c r="AV710" t="s">
        <v>64</v>
      </c>
      <c r="AW710">
        <v>0</v>
      </c>
      <c r="AX710">
        <v>3</v>
      </c>
      <c r="AY710">
        <v>0</v>
      </c>
      <c r="AZ710">
        <v>0</v>
      </c>
      <c r="BA710">
        <v>100</v>
      </c>
      <c r="BB710">
        <v>100</v>
      </c>
      <c r="BC710">
        <v>100</v>
      </c>
      <c r="BD710">
        <v>100</v>
      </c>
      <c r="BE710">
        <v>1</v>
      </c>
      <c r="BF710">
        <v>15000</v>
      </c>
      <c r="BG710">
        <v>1000</v>
      </c>
      <c r="BH710" s="6">
        <f>Grandview_Inventory[[#This Row],[land_extract]]*Lookups!$B$3</f>
        <v>59952.95672049807</v>
      </c>
      <c r="BI710" s="6">
        <f>IF(Grandview_Inventory[[#This Row],[bldg_style]]="",0,Lookups!$B$2)</f>
        <v>155833.95000000001</v>
      </c>
      <c r="BJ710" s="6">
        <f>_xlfn.IFNA(VLOOKUP(Grandview_Inventory[[#This Row],[quality]],Lookups!$H$2:$J$14,3,FALSE),0)</f>
        <v>2251</v>
      </c>
      <c r="BK710" s="6">
        <f>_xlfn.IFNA(VLOOKUP(Grandview_Inventory[[#This Row],[condition]],Lookups!$H$17:$J$24,3,FALSE),0)</f>
        <v>-4503</v>
      </c>
      <c r="BL710" s="6">
        <f>Grandview_Inventory[[#This Row],[Eff_Age]]*Lookups!$B$14</f>
        <v>-10284.1638</v>
      </c>
      <c r="BM710" s="6">
        <f>Grandview_Inventory[[#This Row],[living_area]]*Lookups!$B$15</f>
        <v>65874.180768000006</v>
      </c>
      <c r="BN710" s="6">
        <f>Grandview_Inventory[[#This Row],[Fin BSMT]]*Lookups!$B$16</f>
        <v>0</v>
      </c>
      <c r="BO710" s="6">
        <f>(Grandview_Inventory[[#This Row],[att_gar]]+Grandview_Inventory[[#This Row],[bltin_gar]])*Lookups!$B$17</f>
        <v>25205.885856000001</v>
      </c>
      <c r="BP710" s="6">
        <f>Grandview_Inventory[[#This Row],[Plumbing Fixtures]]*Lookups!$B$18</f>
        <v>10052.209000000001</v>
      </c>
      <c r="BQ710" s="6">
        <f>Grandview_Inventory[[#This Row],[detatched_value]]*Lookups!$B$19</f>
        <v>0</v>
      </c>
      <c r="BR710" s="6">
        <f>SUM(Grandview_Inventory[[#This Row],[Intercept]:[det_value]])*Grandview_Inventory[[#This Row],[res_pct]]</f>
        <v>244430.061824</v>
      </c>
      <c r="BS710" s="6">
        <f>Grandview_Inventory[[#This Row],[land_value]]</f>
        <v>59952.95672049807</v>
      </c>
      <c r="BT710" s="4">
        <f>_xlfn.IFNA(VLOOKUP(Grandview_Inventory[[#This Row],[quality]],Lookups!$A$26:$C$33,3,FALSE),1)</f>
        <v>0.98763855981004833</v>
      </c>
      <c r="BU710" s="4">
        <f>_xlfn.IFNA(VLOOKUP(Grandview_Inventory[[#This Row],[condition]],Lookups!$A$37:$C$44,3,FALSE),1)</f>
        <v>0.96469275950863709</v>
      </c>
      <c r="BV710" s="4">
        <f>IF(Grandview_Inventory[[#This Row],[bldg_style]]="",1,_xlfn.IFNA(VLOOKUP(Grandview_Inventory[[#This Row],[decade]],Lookups!$F$29:$H$43,3,FALSE),1))</f>
        <v>0.9871940091910919</v>
      </c>
      <c r="BW710" s="4">
        <f>_xlfn.IFNA(VLOOKUP(Grandview_Inventory[[#This Row],[living_area_range]],Lookups!$F$47:$H$56,3,FALSE),1)</f>
        <v>0.96135087979789358</v>
      </c>
      <c r="BX710" s="4">
        <f>AVERAGE(Grandview_Inventory[[#This Row],[qual_adj]:[size_adj]])</f>
        <v>0.97521905207691773</v>
      </c>
      <c r="BY710" s="6">
        <f>IF(Grandview_Inventory[[#This Row],[pre_res]]&lt;0,0,Grandview_Inventory[[#This Row],[pre_res]]*Grandview_Inventory[[#This Row],[overall_adj]])</f>
        <v>238372.85319110367</v>
      </c>
      <c r="BZ710" s="6">
        <f>(Grandview_Inventory[[#This Row],[sum_land]]-IF(Grandview_Inventory[[#This Row],[no_utilities]]=1,12000,0))/IF(Grandview_Inventory[[#This Row],[unbuildable]]=1,2,1)</f>
        <v>59952.95672049807</v>
      </c>
      <c r="CA710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710">
        <f>ROUND(Grandview_Inventory[[#This Row],[det_value]]*Lookups!$M$28,-2)</f>
        <v>0</v>
      </c>
      <c r="CC710">
        <f>IF(ROUND(Grandview_Inventory[[#This Row],[adj_res]]*Lookups!$M$28,-2)&lt;Grandview_Inventory[[#This Row],[min_res]],Grandview_Inventory[[#This Row],[min_res]],ROUND(Grandview_Inventory[[#This Row],[adj_res]]*Lookups!$M$28,-2))</f>
        <v>226500</v>
      </c>
      <c r="CD710">
        <f>Grandview_Inventory[[#This Row],[final_det]]+Grandview_Inventory[[#This Row],[final_res]]</f>
        <v>226500</v>
      </c>
      <c r="CE710">
        <f>Grandview_Inventory[[#This Row],[final_land]]+Grandview_Inventory[[#This Row],[final_imp]]+Grandview_Inventory[[#This Row],[crop_value]]</f>
        <v>283500</v>
      </c>
      <c r="CG710" t="str">
        <f t="shared" si="11"/>
        <v>update valuation set market_land =57000, market_bldg=226500, market_total =283500, market_mdno =401, market_date ='9/10/2023' where link_id = (select link_id from parcel where parcel_year = '2024' and parcel_id = '23092231444');</v>
      </c>
    </row>
    <row r="711" spans="1:85" x14ac:dyDescent="0.25">
      <c r="A711">
        <v>23092231445</v>
      </c>
      <c r="B711">
        <v>0.44</v>
      </c>
      <c r="C711">
        <v>19368</v>
      </c>
      <c r="D711" t="s">
        <v>129</v>
      </c>
      <c r="E711" t="s">
        <v>53</v>
      </c>
      <c r="F711" t="s">
        <v>53</v>
      </c>
      <c r="G711">
        <v>4</v>
      </c>
      <c r="H711" t="s">
        <v>54</v>
      </c>
      <c r="I711">
        <v>147900</v>
      </c>
      <c r="J711">
        <v>41400</v>
      </c>
      <c r="K711">
        <v>0.44</v>
      </c>
      <c r="L711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711">
        <v>0</v>
      </c>
      <c r="N711">
        <v>0</v>
      </c>
      <c r="O711">
        <v>0</v>
      </c>
      <c r="P711">
        <v>13398.7528</v>
      </c>
      <c r="Q711">
        <v>63903</v>
      </c>
      <c r="R711">
        <f>(Grandview_Inventory[[#This Row],[ln_acres]]*Grandview_Inventory[[#This Row],[coeff]])+Grandview_Inventory[[#This Row],[const]]</f>
        <v>52902.884529208815</v>
      </c>
      <c r="S711" t="s">
        <v>61</v>
      </c>
      <c r="T711">
        <v>1</v>
      </c>
      <c r="U711" t="s">
        <v>70</v>
      </c>
      <c r="V711" t="s">
        <v>69</v>
      </c>
      <c r="W711">
        <v>0</v>
      </c>
      <c r="X711">
        <v>0</v>
      </c>
      <c r="Y711">
        <v>43</v>
      </c>
      <c r="Z711">
        <v>45</v>
      </c>
      <c r="AA711">
        <v>50</v>
      </c>
      <c r="AB711">
        <v>1500</v>
      </c>
      <c r="AC711">
        <v>1344</v>
      </c>
      <c r="AD711">
        <v>1344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48</v>
      </c>
      <c r="AN711">
        <v>0</v>
      </c>
      <c r="AO711">
        <v>0</v>
      </c>
      <c r="AP711">
        <v>5</v>
      </c>
      <c r="AQ711">
        <v>0</v>
      </c>
      <c r="AR711">
        <v>0</v>
      </c>
      <c r="AS711" t="s">
        <v>58</v>
      </c>
      <c r="AT711">
        <v>1</v>
      </c>
      <c r="AU711" t="s">
        <v>63</v>
      </c>
      <c r="AV711" t="s">
        <v>60</v>
      </c>
      <c r="AW711">
        <v>0</v>
      </c>
      <c r="AX711">
        <v>3</v>
      </c>
      <c r="AY711">
        <v>0</v>
      </c>
      <c r="AZ711">
        <v>0</v>
      </c>
      <c r="BA711">
        <v>100</v>
      </c>
      <c r="BB711">
        <v>100</v>
      </c>
      <c r="BC711">
        <v>100</v>
      </c>
      <c r="BD711">
        <v>100</v>
      </c>
      <c r="BE711">
        <v>1</v>
      </c>
      <c r="BF711">
        <v>15000</v>
      </c>
      <c r="BG711">
        <v>1000</v>
      </c>
      <c r="BH711" s="6">
        <f>Grandview_Inventory[[#This Row],[land_extract]]*Lookups!$B$3</f>
        <v>61435.976965981965</v>
      </c>
      <c r="BI711" s="6">
        <f>IF(Grandview_Inventory[[#This Row],[bldg_style]]="",0,Lookups!$B$2)</f>
        <v>155833.95000000001</v>
      </c>
      <c r="BJ711" s="6">
        <f>_xlfn.IFNA(VLOOKUP(Grandview_Inventory[[#This Row],[quality]],Lookups!$H$2:$J$14,3,FALSE),0)</f>
        <v>10733</v>
      </c>
      <c r="BK711" s="6">
        <f>_xlfn.IFNA(VLOOKUP(Grandview_Inventory[[#This Row],[condition]],Lookups!$H$17:$J$24,3,FALSE),0)</f>
        <v>-4503</v>
      </c>
      <c r="BL711" s="6">
        <f>Grandview_Inventory[[#This Row],[Eff_Age]]*Lookups!$B$14</f>
        <v>-10284.1638</v>
      </c>
      <c r="BM711" s="6">
        <f>Grandview_Inventory[[#This Row],[living_area]]*Lookups!$B$15</f>
        <v>83839.86643200001</v>
      </c>
      <c r="BN711" s="6">
        <f>Grandview_Inventory[[#This Row],[Fin BSMT]]*Lookups!$B$16</f>
        <v>0</v>
      </c>
      <c r="BO711" s="6">
        <f>(Grandview_Inventory[[#This Row],[att_gar]]+Grandview_Inventory[[#This Row],[bltin_gar]])*Lookups!$B$17</f>
        <v>0</v>
      </c>
      <c r="BP711" s="6">
        <f>Grandview_Inventory[[#This Row],[Plumbing Fixtures]]*Lookups!$B$18</f>
        <v>10052.209000000001</v>
      </c>
      <c r="BQ711" s="6">
        <f>Grandview_Inventory[[#This Row],[detatched_value]]*Lookups!$B$19</f>
        <v>0</v>
      </c>
      <c r="BR711" s="6">
        <f>SUM(Grandview_Inventory[[#This Row],[Intercept]:[det_value]])*Grandview_Inventory[[#This Row],[res_pct]]</f>
        <v>245671.86163200001</v>
      </c>
      <c r="BS711" s="6">
        <f>Grandview_Inventory[[#This Row],[land_value]]</f>
        <v>61435.976965981965</v>
      </c>
      <c r="BT711" s="4">
        <f>_xlfn.IFNA(VLOOKUP(Grandview_Inventory[[#This Row],[quality]],Lookups!$A$26:$C$33,3,FALSE),1)</f>
        <v>0.98079741117310582</v>
      </c>
      <c r="BU711" s="4">
        <f>_xlfn.IFNA(VLOOKUP(Grandview_Inventory[[#This Row],[condition]],Lookups!$A$37:$C$44,3,FALSE),1)</f>
        <v>0.96469275950863709</v>
      </c>
      <c r="BV711" s="4">
        <f>IF(Grandview_Inventory[[#This Row],[bldg_style]]="",1,_xlfn.IFNA(VLOOKUP(Grandview_Inventory[[#This Row],[decade]],Lookups!$F$29:$H$43,3,FALSE),1))</f>
        <v>0.9871940091910919</v>
      </c>
      <c r="BW711" s="4">
        <f>_xlfn.IFNA(VLOOKUP(Grandview_Inventory[[#This Row],[living_area_range]],Lookups!$F$47:$H$56,3,FALSE),1)</f>
        <v>0.96135087979789358</v>
      </c>
      <c r="BX711" s="4">
        <f>AVERAGE(Grandview_Inventory[[#This Row],[qual_adj]:[size_adj]])</f>
        <v>0.97350876491768212</v>
      </c>
      <c r="BY711" s="6">
        <f>IF(Grandview_Inventory[[#This Row],[pre_res]]&lt;0,0,Grandview_Inventory[[#This Row],[pre_res]]*Grandview_Inventory[[#This Row],[overall_adj]])</f>
        <v>239163.71059239603</v>
      </c>
      <c r="BZ711" s="6">
        <f>(Grandview_Inventory[[#This Row],[sum_land]]-IF(Grandview_Inventory[[#This Row],[no_utilities]]=1,12000,0))/IF(Grandview_Inventory[[#This Row],[unbuildable]]=1,2,1)</f>
        <v>61435.976965981965</v>
      </c>
      <c r="CA711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711">
        <f>ROUND(Grandview_Inventory[[#This Row],[det_value]]*Lookups!$M$28,-2)</f>
        <v>0</v>
      </c>
      <c r="CC711">
        <f>IF(ROUND(Grandview_Inventory[[#This Row],[adj_res]]*Lookups!$M$28,-2)&lt;Grandview_Inventory[[#This Row],[min_res]],Grandview_Inventory[[#This Row],[min_res]],ROUND(Grandview_Inventory[[#This Row],[adj_res]]*Lookups!$M$28,-2))</f>
        <v>227200</v>
      </c>
      <c r="CD711">
        <f>Grandview_Inventory[[#This Row],[final_det]]+Grandview_Inventory[[#This Row],[final_res]]</f>
        <v>227200</v>
      </c>
      <c r="CE711">
        <f>Grandview_Inventory[[#This Row],[final_land]]+Grandview_Inventory[[#This Row],[final_imp]]+Grandview_Inventory[[#This Row],[crop_value]]</f>
        <v>285600</v>
      </c>
      <c r="CG711" t="str">
        <f t="shared" si="11"/>
        <v>update valuation set market_land =58400, market_bldg=227200, market_total =285600, market_mdno =401, market_date ='9/10/2023' where link_id = (select link_id from parcel where parcel_year = '2024' and parcel_id = '23092231445');</v>
      </c>
    </row>
    <row r="712" spans="1:85" x14ac:dyDescent="0.25">
      <c r="A712">
        <v>23092231450</v>
      </c>
      <c r="B712">
        <v>0.27</v>
      </c>
      <c r="C712">
        <v>11708</v>
      </c>
      <c r="D712" t="s">
        <v>129</v>
      </c>
      <c r="E712" t="s">
        <v>53</v>
      </c>
      <c r="F712" t="s">
        <v>53</v>
      </c>
      <c r="G712">
        <v>4</v>
      </c>
      <c r="H712" t="s">
        <v>54</v>
      </c>
      <c r="I712">
        <v>163000</v>
      </c>
      <c r="J712">
        <v>44500</v>
      </c>
      <c r="K712">
        <v>0.27</v>
      </c>
      <c r="L71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12">
        <v>0</v>
      </c>
      <c r="N712">
        <v>0</v>
      </c>
      <c r="O712">
        <v>0</v>
      </c>
      <c r="P712">
        <v>13398.7528</v>
      </c>
      <c r="Q712">
        <v>63903</v>
      </c>
      <c r="R712">
        <f>(Grandview_Inventory[[#This Row],[ln_acres]]*Grandview_Inventory[[#This Row],[coeff]])+Grandview_Inventory[[#This Row],[const]]</f>
        <v>46359.566512734265</v>
      </c>
      <c r="S712" t="s">
        <v>61</v>
      </c>
      <c r="T712">
        <v>1</v>
      </c>
      <c r="U712" t="s">
        <v>70</v>
      </c>
      <c r="V712" t="s">
        <v>69</v>
      </c>
      <c r="W712">
        <v>0</v>
      </c>
      <c r="X712">
        <v>0</v>
      </c>
      <c r="Y712">
        <v>45</v>
      </c>
      <c r="Z712">
        <v>50</v>
      </c>
      <c r="AA712">
        <v>50</v>
      </c>
      <c r="AB712">
        <v>1500</v>
      </c>
      <c r="AC712">
        <v>1404</v>
      </c>
      <c r="AD712">
        <v>1404</v>
      </c>
      <c r="AE712">
        <v>0</v>
      </c>
      <c r="AF712">
        <v>0</v>
      </c>
      <c r="AG712">
        <v>0</v>
      </c>
      <c r="AH712">
        <v>0</v>
      </c>
      <c r="AI712">
        <v>378</v>
      </c>
      <c r="AJ712">
        <v>0</v>
      </c>
      <c r="AK712">
        <v>0</v>
      </c>
      <c r="AL712">
        <v>0</v>
      </c>
      <c r="AM712">
        <v>356</v>
      </c>
      <c r="AN712">
        <v>0</v>
      </c>
      <c r="AO712">
        <v>356</v>
      </c>
      <c r="AP712">
        <v>5</v>
      </c>
      <c r="AQ712">
        <v>0</v>
      </c>
      <c r="AR712">
        <v>0</v>
      </c>
      <c r="AS712" t="s">
        <v>58</v>
      </c>
      <c r="AT712">
        <v>1</v>
      </c>
      <c r="AU712" t="s">
        <v>75</v>
      </c>
      <c r="AV712" t="s">
        <v>60</v>
      </c>
      <c r="AW712">
        <v>0</v>
      </c>
      <c r="AX712">
        <v>3</v>
      </c>
      <c r="AY712">
        <v>0</v>
      </c>
      <c r="AZ712">
        <v>0</v>
      </c>
      <c r="BA712">
        <v>100</v>
      </c>
      <c r="BB712">
        <v>100</v>
      </c>
      <c r="BC712">
        <v>100</v>
      </c>
      <c r="BD712">
        <v>100</v>
      </c>
      <c r="BE712">
        <v>1</v>
      </c>
      <c r="BF712">
        <v>15000</v>
      </c>
      <c r="BG712">
        <v>1000</v>
      </c>
      <c r="BH712" s="6">
        <f>Grandview_Inventory[[#This Row],[land_extract]]*Lookups!$B$3</f>
        <v>53837.239420408718</v>
      </c>
      <c r="BI712" s="6">
        <f>IF(Grandview_Inventory[[#This Row],[bldg_style]]="",0,Lookups!$B$2)</f>
        <v>155833.95000000001</v>
      </c>
      <c r="BJ712" s="6">
        <f>_xlfn.IFNA(VLOOKUP(Grandview_Inventory[[#This Row],[quality]],Lookups!$H$2:$J$14,3,FALSE),0)</f>
        <v>10733</v>
      </c>
      <c r="BK712" s="6">
        <f>_xlfn.IFNA(VLOOKUP(Grandview_Inventory[[#This Row],[condition]],Lookups!$H$17:$J$24,3,FALSE),0)</f>
        <v>-4503</v>
      </c>
      <c r="BL712" s="6">
        <f>Grandview_Inventory[[#This Row],[Eff_Age]]*Lookups!$B$14</f>
        <v>-10762.496999999999</v>
      </c>
      <c r="BM712" s="6">
        <f>Grandview_Inventory[[#This Row],[living_area]]*Lookups!$B$15</f>
        <v>87582.717612000008</v>
      </c>
      <c r="BN712" s="6">
        <f>Grandview_Inventory[[#This Row],[Fin BSMT]]*Lookups!$B$16</f>
        <v>0</v>
      </c>
      <c r="BO712" s="6">
        <f>(Grandview_Inventory[[#This Row],[att_gar]]+Grandview_Inventory[[#This Row],[bltin_gar]])*Lookups!$B$17</f>
        <v>33082.725186000003</v>
      </c>
      <c r="BP712" s="6">
        <f>Grandview_Inventory[[#This Row],[Plumbing Fixtures]]*Lookups!$B$18</f>
        <v>10052.209000000001</v>
      </c>
      <c r="BQ712" s="6">
        <f>Grandview_Inventory[[#This Row],[detatched_value]]*Lookups!$B$19</f>
        <v>0</v>
      </c>
      <c r="BR712" s="6">
        <f>SUM(Grandview_Inventory[[#This Row],[Intercept]:[det_value]])*Grandview_Inventory[[#This Row],[res_pct]]</f>
        <v>282019.10479800001</v>
      </c>
      <c r="BS712" s="6">
        <f>Grandview_Inventory[[#This Row],[land_value]]</f>
        <v>53837.239420408718</v>
      </c>
      <c r="BT712" s="4">
        <f>_xlfn.IFNA(VLOOKUP(Grandview_Inventory[[#This Row],[quality]],Lookups!$A$26:$C$33,3,FALSE),1)</f>
        <v>0.98079741117310582</v>
      </c>
      <c r="BU712" s="4">
        <f>_xlfn.IFNA(VLOOKUP(Grandview_Inventory[[#This Row],[condition]],Lookups!$A$37:$C$44,3,FALSE),1)</f>
        <v>0.96469275950863709</v>
      </c>
      <c r="BV712" s="4">
        <f>IF(Grandview_Inventory[[#This Row],[bldg_style]]="",1,_xlfn.IFNA(VLOOKUP(Grandview_Inventory[[#This Row],[decade]],Lookups!$F$29:$H$43,3,FALSE),1))</f>
        <v>0.9871940091910919</v>
      </c>
      <c r="BW712" s="4">
        <f>_xlfn.IFNA(VLOOKUP(Grandview_Inventory[[#This Row],[living_area_range]],Lookups!$F$47:$H$56,3,FALSE),1)</f>
        <v>0.96135087979789358</v>
      </c>
      <c r="BX712" s="4">
        <f>AVERAGE(Grandview_Inventory[[#This Row],[qual_adj]:[size_adj]])</f>
        <v>0.97350876491768212</v>
      </c>
      <c r="BY712" s="6">
        <f>IF(Grandview_Inventory[[#This Row],[pre_res]]&lt;0,0,Grandview_Inventory[[#This Row],[pre_res]]*Grandview_Inventory[[#This Row],[overall_adj]])</f>
        <v>274548.07039509137</v>
      </c>
      <c r="BZ712" s="6">
        <f>(Grandview_Inventory[[#This Row],[sum_land]]-IF(Grandview_Inventory[[#This Row],[no_utilities]]=1,12000,0))/IF(Grandview_Inventory[[#This Row],[unbuildable]]=1,2,1)</f>
        <v>53837.239420408718</v>
      </c>
      <c r="CA71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12">
        <f>ROUND(Grandview_Inventory[[#This Row],[det_value]]*Lookups!$M$28,-2)</f>
        <v>0</v>
      </c>
      <c r="CC712">
        <f>IF(ROUND(Grandview_Inventory[[#This Row],[adj_res]]*Lookups!$M$28,-2)&lt;Grandview_Inventory[[#This Row],[min_res]],Grandview_Inventory[[#This Row],[min_res]],ROUND(Grandview_Inventory[[#This Row],[adj_res]]*Lookups!$M$28,-2))</f>
        <v>260800</v>
      </c>
      <c r="CD712">
        <f>Grandview_Inventory[[#This Row],[final_det]]+Grandview_Inventory[[#This Row],[final_res]]</f>
        <v>260800</v>
      </c>
      <c r="CE712">
        <f>Grandview_Inventory[[#This Row],[final_land]]+Grandview_Inventory[[#This Row],[final_imp]]+Grandview_Inventory[[#This Row],[crop_value]]</f>
        <v>311900</v>
      </c>
      <c r="CG712" t="str">
        <f t="shared" si="11"/>
        <v>update valuation set market_land =51100, market_bldg=260800, market_total =311900, market_mdno =401, market_date ='9/10/2023' where link_id = (select link_id from parcel where parcel_year = '2024' and parcel_id = '23092231450');</v>
      </c>
    </row>
    <row r="713" spans="1:85" x14ac:dyDescent="0.25">
      <c r="A713">
        <v>23092231451</v>
      </c>
      <c r="B713">
        <v>0.21</v>
      </c>
      <c r="C713">
        <v>9057</v>
      </c>
      <c r="D713" t="s">
        <v>129</v>
      </c>
      <c r="E713" t="s">
        <v>53</v>
      </c>
      <c r="F713" t="s">
        <v>53</v>
      </c>
      <c r="G713">
        <v>4</v>
      </c>
      <c r="H713" t="s">
        <v>54</v>
      </c>
      <c r="I713">
        <v>189500</v>
      </c>
      <c r="J713">
        <v>43700</v>
      </c>
      <c r="K713">
        <v>0.21</v>
      </c>
      <c r="L71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13">
        <v>0</v>
      </c>
      <c r="N713">
        <v>0</v>
      </c>
      <c r="O713">
        <v>0</v>
      </c>
      <c r="P713">
        <v>13398.7528</v>
      </c>
      <c r="Q713">
        <v>63903</v>
      </c>
      <c r="R713">
        <f>(Grandview_Inventory[[#This Row],[ln_acres]]*Grandview_Inventory[[#This Row],[coeff]])+Grandview_Inventory[[#This Row],[const]]</f>
        <v>42992.266613125081</v>
      </c>
      <c r="S713" t="s">
        <v>61</v>
      </c>
      <c r="T713">
        <v>1</v>
      </c>
      <c r="U713" t="s">
        <v>65</v>
      </c>
      <c r="V713" t="s">
        <v>69</v>
      </c>
      <c r="W713">
        <v>0</v>
      </c>
      <c r="X713">
        <v>0</v>
      </c>
      <c r="Y713">
        <v>45</v>
      </c>
      <c r="Z713">
        <v>50</v>
      </c>
      <c r="AA713">
        <v>50</v>
      </c>
      <c r="AB713">
        <v>2000</v>
      </c>
      <c r="AC713">
        <v>1964</v>
      </c>
      <c r="AD713">
        <v>1964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156</v>
      </c>
      <c r="AN713">
        <v>0</v>
      </c>
      <c r="AO713">
        <v>0</v>
      </c>
      <c r="AP713">
        <v>8</v>
      </c>
      <c r="AQ713">
        <v>1</v>
      </c>
      <c r="AR713">
        <v>0</v>
      </c>
      <c r="AS713" t="s">
        <v>58</v>
      </c>
      <c r="AT713">
        <v>1</v>
      </c>
      <c r="AU713" t="s">
        <v>63</v>
      </c>
      <c r="AV713" t="s">
        <v>60</v>
      </c>
      <c r="AW713">
        <v>0</v>
      </c>
      <c r="AX713">
        <v>3</v>
      </c>
      <c r="AY713">
        <v>0</v>
      </c>
      <c r="AZ713">
        <v>3000</v>
      </c>
      <c r="BA713">
        <v>100</v>
      </c>
      <c r="BB713">
        <v>100</v>
      </c>
      <c r="BC713">
        <v>100</v>
      </c>
      <c r="BD713">
        <v>100</v>
      </c>
      <c r="BE713">
        <v>1</v>
      </c>
      <c r="BF713">
        <v>15000</v>
      </c>
      <c r="BG713">
        <v>1000</v>
      </c>
      <c r="BH713" s="6">
        <f>Grandview_Inventory[[#This Row],[land_extract]]*Lookups!$B$3</f>
        <v>49926.8031387023</v>
      </c>
      <c r="BI713" s="6">
        <f>IF(Grandview_Inventory[[#This Row],[bldg_style]]="",0,Lookups!$B$2)</f>
        <v>155833.95000000001</v>
      </c>
      <c r="BJ713" s="6">
        <f>_xlfn.IFNA(VLOOKUP(Grandview_Inventory[[#This Row],[quality]],Lookups!$H$2:$J$14,3,FALSE),0)</f>
        <v>2251</v>
      </c>
      <c r="BK713" s="6">
        <f>_xlfn.IFNA(VLOOKUP(Grandview_Inventory[[#This Row],[condition]],Lookups!$H$17:$J$24,3,FALSE),0)</f>
        <v>-4503</v>
      </c>
      <c r="BL713" s="6">
        <f>Grandview_Inventory[[#This Row],[Eff_Age]]*Lookups!$B$14</f>
        <v>-10762.496999999999</v>
      </c>
      <c r="BM713" s="6">
        <f>Grandview_Inventory[[#This Row],[living_area]]*Lookups!$B$15</f>
        <v>122515.99529200001</v>
      </c>
      <c r="BN713" s="6">
        <f>Grandview_Inventory[[#This Row],[Fin BSMT]]*Lookups!$B$16</f>
        <v>0</v>
      </c>
      <c r="BO713" s="6">
        <f>(Grandview_Inventory[[#This Row],[att_gar]]+Grandview_Inventory[[#This Row],[bltin_gar]])*Lookups!$B$17</f>
        <v>0</v>
      </c>
      <c r="BP713" s="6">
        <f>Grandview_Inventory[[#This Row],[Plumbing Fixtures]]*Lookups!$B$18</f>
        <v>16083.5344</v>
      </c>
      <c r="BQ713" s="6">
        <f>Grandview_Inventory[[#This Row],[detatched_value]]*Lookups!$B$19</f>
        <v>2540.4153000000001</v>
      </c>
      <c r="BR713" s="6">
        <f>SUM(Grandview_Inventory[[#This Row],[Intercept]:[det_value]])*Grandview_Inventory[[#This Row],[res_pct]]</f>
        <v>283959.39799199998</v>
      </c>
      <c r="BS713" s="6">
        <f>Grandview_Inventory[[#This Row],[land_value]]</f>
        <v>49926.8031387023</v>
      </c>
      <c r="BT713" s="4">
        <f>_xlfn.IFNA(VLOOKUP(Grandview_Inventory[[#This Row],[quality]],Lookups!$A$26:$C$33,3,FALSE),1)</f>
        <v>0.98763855981004833</v>
      </c>
      <c r="BU713" s="4">
        <f>_xlfn.IFNA(VLOOKUP(Grandview_Inventory[[#This Row],[condition]],Lookups!$A$37:$C$44,3,FALSE),1)</f>
        <v>0.96469275950863709</v>
      </c>
      <c r="BV713" s="4">
        <f>IF(Grandview_Inventory[[#This Row],[bldg_style]]="",1,_xlfn.IFNA(VLOOKUP(Grandview_Inventory[[#This Row],[decade]],Lookups!$F$29:$H$43,3,FALSE),1))</f>
        <v>0.9871940091910919</v>
      </c>
      <c r="BW713" s="4">
        <f>_xlfn.IFNA(VLOOKUP(Grandview_Inventory[[#This Row],[living_area_range]],Lookups!$F$47:$H$56,3,FALSE),1)</f>
        <v>0.96120133463014379</v>
      </c>
      <c r="BX713" s="4">
        <f>AVERAGE(Grandview_Inventory[[#This Row],[qual_adj]:[size_adj]])</f>
        <v>0.97518166578498033</v>
      </c>
      <c r="BY713" s="6">
        <f>IF(Grandview_Inventory[[#This Row],[pre_res]]&lt;0,0,Grandview_Inventory[[#This Row],[pre_res]]*Grandview_Inventory[[#This Row],[overall_adj]])</f>
        <v>276911.99874913873</v>
      </c>
      <c r="BZ713" s="6">
        <f>(Grandview_Inventory[[#This Row],[sum_land]]-IF(Grandview_Inventory[[#This Row],[no_utilities]]=1,12000,0))/IF(Grandview_Inventory[[#This Row],[unbuildable]]=1,2,1)</f>
        <v>49926.8031387023</v>
      </c>
      <c r="CA71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13">
        <f>ROUND(Grandview_Inventory[[#This Row],[det_value]]*Lookups!$M$28,-2)</f>
        <v>2400</v>
      </c>
      <c r="CC713">
        <f>IF(ROUND(Grandview_Inventory[[#This Row],[adj_res]]*Lookups!$M$28,-2)&lt;Grandview_Inventory[[#This Row],[min_res]],Grandview_Inventory[[#This Row],[min_res]],ROUND(Grandview_Inventory[[#This Row],[adj_res]]*Lookups!$M$28,-2))</f>
        <v>263100</v>
      </c>
      <c r="CD713">
        <f>Grandview_Inventory[[#This Row],[final_det]]+Grandview_Inventory[[#This Row],[final_res]]</f>
        <v>265500</v>
      </c>
      <c r="CE713">
        <f>Grandview_Inventory[[#This Row],[final_land]]+Grandview_Inventory[[#This Row],[final_imp]]+Grandview_Inventory[[#This Row],[crop_value]]</f>
        <v>312900</v>
      </c>
      <c r="CG713" t="str">
        <f t="shared" si="11"/>
        <v>update valuation set market_land =47400, market_bldg=265500, market_total =312900, market_mdno =401, market_date ='9/10/2023' where link_id = (select link_id from parcel where parcel_year = '2024' and parcel_id = '23092231451');</v>
      </c>
    </row>
    <row r="714" spans="1:85" x14ac:dyDescent="0.25">
      <c r="A714">
        <v>23092231452</v>
      </c>
      <c r="B714">
        <v>0.27</v>
      </c>
      <c r="C714">
        <v>11947</v>
      </c>
      <c r="D714" t="s">
        <v>129</v>
      </c>
      <c r="E714" t="s">
        <v>53</v>
      </c>
      <c r="F714" t="s">
        <v>53</v>
      </c>
      <c r="G714">
        <v>4</v>
      </c>
      <c r="H714" t="s">
        <v>54</v>
      </c>
      <c r="I714">
        <v>167000</v>
      </c>
      <c r="J714">
        <v>44400</v>
      </c>
      <c r="K714">
        <v>0.27</v>
      </c>
      <c r="L71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14">
        <v>0</v>
      </c>
      <c r="N714">
        <v>0</v>
      </c>
      <c r="O714">
        <v>0</v>
      </c>
      <c r="P714">
        <v>13398.7528</v>
      </c>
      <c r="Q714">
        <v>63903</v>
      </c>
      <c r="R714">
        <f>(Grandview_Inventory[[#This Row],[ln_acres]]*Grandview_Inventory[[#This Row],[coeff]])+Grandview_Inventory[[#This Row],[const]]</f>
        <v>46359.566512734265</v>
      </c>
      <c r="S714" t="s">
        <v>61</v>
      </c>
      <c r="T714">
        <v>1</v>
      </c>
      <c r="U714" t="s">
        <v>65</v>
      </c>
      <c r="V714" t="s">
        <v>69</v>
      </c>
      <c r="W714">
        <v>0</v>
      </c>
      <c r="X714">
        <v>0</v>
      </c>
      <c r="Y714">
        <v>44</v>
      </c>
      <c r="Z714">
        <v>46</v>
      </c>
      <c r="AA714">
        <v>50</v>
      </c>
      <c r="AB714">
        <v>1500</v>
      </c>
      <c r="AC714">
        <v>1450</v>
      </c>
      <c r="AD714">
        <v>1450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680</v>
      </c>
      <c r="AL714">
        <v>112</v>
      </c>
      <c r="AM714">
        <v>0</v>
      </c>
      <c r="AN714">
        <v>0</v>
      </c>
      <c r="AO714">
        <v>0</v>
      </c>
      <c r="AP714">
        <v>7</v>
      </c>
      <c r="AQ714">
        <v>0</v>
      </c>
      <c r="AR714">
        <v>0</v>
      </c>
      <c r="AS714" t="s">
        <v>58</v>
      </c>
      <c r="AT714">
        <v>1</v>
      </c>
      <c r="AU714" t="s">
        <v>63</v>
      </c>
      <c r="AV714" t="s">
        <v>60</v>
      </c>
      <c r="AW714">
        <v>0</v>
      </c>
      <c r="AX714">
        <v>4</v>
      </c>
      <c r="AY714">
        <v>0</v>
      </c>
      <c r="AZ714">
        <v>0</v>
      </c>
      <c r="BA714">
        <v>100</v>
      </c>
      <c r="BB714">
        <v>100</v>
      </c>
      <c r="BC714">
        <v>100</v>
      </c>
      <c r="BD714">
        <v>100</v>
      </c>
      <c r="BE714">
        <v>1</v>
      </c>
      <c r="BF714">
        <v>15000</v>
      </c>
      <c r="BG714">
        <v>1000</v>
      </c>
      <c r="BH714" s="6">
        <f>Grandview_Inventory[[#This Row],[land_extract]]*Lookups!$B$3</f>
        <v>53837.239420408718</v>
      </c>
      <c r="BI714" s="6">
        <f>IF(Grandview_Inventory[[#This Row],[bldg_style]]="",0,Lookups!$B$2)</f>
        <v>155833.95000000001</v>
      </c>
      <c r="BJ714" s="6">
        <f>_xlfn.IFNA(VLOOKUP(Grandview_Inventory[[#This Row],[quality]],Lookups!$H$2:$J$14,3,FALSE),0)</f>
        <v>2251</v>
      </c>
      <c r="BK714" s="6">
        <f>_xlfn.IFNA(VLOOKUP(Grandview_Inventory[[#This Row],[condition]],Lookups!$H$17:$J$24,3,FALSE),0)</f>
        <v>-4503</v>
      </c>
      <c r="BL714" s="6">
        <f>Grandview_Inventory[[#This Row],[Eff_Age]]*Lookups!$B$14</f>
        <v>-10523.330399999999</v>
      </c>
      <c r="BM714" s="6">
        <f>Grandview_Inventory[[#This Row],[living_area]]*Lookups!$B$15</f>
        <v>90452.236850000001</v>
      </c>
      <c r="BN714" s="6">
        <f>Grandview_Inventory[[#This Row],[Fin BSMT]]*Lookups!$B$16</f>
        <v>0</v>
      </c>
      <c r="BO714" s="6">
        <f>(Grandview_Inventory[[#This Row],[att_gar]]+Grandview_Inventory[[#This Row],[bltin_gar]])*Lookups!$B$17</f>
        <v>0</v>
      </c>
      <c r="BP714" s="6">
        <f>Grandview_Inventory[[#This Row],[Plumbing Fixtures]]*Lookups!$B$18</f>
        <v>14073.0926</v>
      </c>
      <c r="BQ714" s="6">
        <f>Grandview_Inventory[[#This Row],[detatched_value]]*Lookups!$B$19</f>
        <v>0</v>
      </c>
      <c r="BR714" s="6">
        <f>SUM(Grandview_Inventory[[#This Row],[Intercept]:[det_value]])*Grandview_Inventory[[#This Row],[res_pct]]</f>
        <v>247583.94905000002</v>
      </c>
      <c r="BS714" s="6">
        <f>Grandview_Inventory[[#This Row],[land_value]]</f>
        <v>53837.239420408718</v>
      </c>
      <c r="BT714" s="4">
        <f>_xlfn.IFNA(VLOOKUP(Grandview_Inventory[[#This Row],[quality]],Lookups!$A$26:$C$33,3,FALSE),1)</f>
        <v>0.98763855981004833</v>
      </c>
      <c r="BU714" s="4">
        <f>_xlfn.IFNA(VLOOKUP(Grandview_Inventory[[#This Row],[condition]],Lookups!$A$37:$C$44,3,FALSE),1)</f>
        <v>0.96469275950863709</v>
      </c>
      <c r="BV714" s="4">
        <f>IF(Grandview_Inventory[[#This Row],[bldg_style]]="",1,_xlfn.IFNA(VLOOKUP(Grandview_Inventory[[#This Row],[decade]],Lookups!$F$29:$H$43,3,FALSE),1))</f>
        <v>0.9871940091910919</v>
      </c>
      <c r="BW714" s="4">
        <f>_xlfn.IFNA(VLOOKUP(Grandview_Inventory[[#This Row],[living_area_range]],Lookups!$F$47:$H$56,3,FALSE),1)</f>
        <v>0.96135087979789358</v>
      </c>
      <c r="BX714" s="4">
        <f>AVERAGE(Grandview_Inventory[[#This Row],[qual_adj]:[size_adj]])</f>
        <v>0.97521905207691773</v>
      </c>
      <c r="BY714" s="6">
        <f>IF(Grandview_Inventory[[#This Row],[pre_res]]&lt;0,0,Grandview_Inventory[[#This Row],[pre_res]]*Grandview_Inventory[[#This Row],[overall_adj]])</f>
        <v>241448.58410200092</v>
      </c>
      <c r="BZ714" s="6">
        <f>(Grandview_Inventory[[#This Row],[sum_land]]-IF(Grandview_Inventory[[#This Row],[no_utilities]]=1,12000,0))/IF(Grandview_Inventory[[#This Row],[unbuildable]]=1,2,1)</f>
        <v>53837.239420408718</v>
      </c>
      <c r="CA71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14">
        <f>ROUND(Grandview_Inventory[[#This Row],[det_value]]*Lookups!$M$28,-2)</f>
        <v>0</v>
      </c>
      <c r="CC714">
        <f>IF(ROUND(Grandview_Inventory[[#This Row],[adj_res]]*Lookups!$M$28,-2)&lt;Grandview_Inventory[[#This Row],[min_res]],Grandview_Inventory[[#This Row],[min_res]],ROUND(Grandview_Inventory[[#This Row],[adj_res]]*Lookups!$M$28,-2))</f>
        <v>229400</v>
      </c>
      <c r="CD714">
        <f>Grandview_Inventory[[#This Row],[final_det]]+Grandview_Inventory[[#This Row],[final_res]]</f>
        <v>229400</v>
      </c>
      <c r="CE714">
        <f>Grandview_Inventory[[#This Row],[final_land]]+Grandview_Inventory[[#This Row],[final_imp]]+Grandview_Inventory[[#This Row],[crop_value]]</f>
        <v>280500</v>
      </c>
      <c r="CG714" t="str">
        <f t="shared" si="11"/>
        <v>update valuation set market_land =51100, market_bldg=229400, market_total =280500, market_mdno =401, market_date ='9/10/2023' where link_id = (select link_id from parcel where parcel_year = '2024' and parcel_id = '23092231452');</v>
      </c>
    </row>
    <row r="715" spans="1:85" x14ac:dyDescent="0.25">
      <c r="A715">
        <v>23092231453</v>
      </c>
      <c r="B715">
        <v>0.27</v>
      </c>
      <c r="C715">
        <v>11571</v>
      </c>
      <c r="D715" t="s">
        <v>129</v>
      </c>
      <c r="E715" t="s">
        <v>53</v>
      </c>
      <c r="F715" t="s">
        <v>53</v>
      </c>
      <c r="G715">
        <v>4</v>
      </c>
      <c r="H715" t="s">
        <v>54</v>
      </c>
      <c r="I715">
        <v>153000</v>
      </c>
      <c r="J715">
        <v>44500</v>
      </c>
      <c r="K715">
        <v>0.27</v>
      </c>
      <c r="L715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15">
        <v>0</v>
      </c>
      <c r="N715">
        <v>0</v>
      </c>
      <c r="O715">
        <v>0</v>
      </c>
      <c r="P715">
        <v>13398.7528</v>
      </c>
      <c r="Q715">
        <v>63903</v>
      </c>
      <c r="R715">
        <f>(Grandview_Inventory[[#This Row],[ln_acres]]*Grandview_Inventory[[#This Row],[coeff]])+Grandview_Inventory[[#This Row],[const]]</f>
        <v>46359.566512734265</v>
      </c>
      <c r="S715" t="s">
        <v>61</v>
      </c>
      <c r="T715">
        <v>1</v>
      </c>
      <c r="U715" t="s">
        <v>65</v>
      </c>
      <c r="V715" t="s">
        <v>69</v>
      </c>
      <c r="W715">
        <v>0</v>
      </c>
      <c r="X715">
        <v>0</v>
      </c>
      <c r="Y715">
        <v>44</v>
      </c>
      <c r="Z715">
        <v>46</v>
      </c>
      <c r="AA715">
        <v>50</v>
      </c>
      <c r="AB715">
        <v>1500</v>
      </c>
      <c r="AC715">
        <v>1356</v>
      </c>
      <c r="AD715">
        <v>1356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429</v>
      </c>
      <c r="AN715">
        <v>0</v>
      </c>
      <c r="AO715">
        <v>429</v>
      </c>
      <c r="AP715">
        <v>5</v>
      </c>
      <c r="AQ715">
        <v>0</v>
      </c>
      <c r="AR715">
        <v>0</v>
      </c>
      <c r="AS715" t="s">
        <v>58</v>
      </c>
      <c r="AT715">
        <v>1</v>
      </c>
      <c r="AU715" t="s">
        <v>63</v>
      </c>
      <c r="AV715" t="s">
        <v>60</v>
      </c>
      <c r="AW715">
        <v>1</v>
      </c>
      <c r="AX715">
        <v>3</v>
      </c>
      <c r="AY715">
        <v>0</v>
      </c>
      <c r="AZ715">
        <v>0</v>
      </c>
      <c r="BA715">
        <v>100</v>
      </c>
      <c r="BB715">
        <v>100</v>
      </c>
      <c r="BC715">
        <v>100</v>
      </c>
      <c r="BD715">
        <v>100</v>
      </c>
      <c r="BE715">
        <v>1</v>
      </c>
      <c r="BF715">
        <v>15000</v>
      </c>
      <c r="BG715">
        <v>1000</v>
      </c>
      <c r="BH715" s="6">
        <f>Grandview_Inventory[[#This Row],[land_extract]]*Lookups!$B$3</f>
        <v>53837.239420408718</v>
      </c>
      <c r="BI715" s="6">
        <f>IF(Grandview_Inventory[[#This Row],[bldg_style]]="",0,Lookups!$B$2)</f>
        <v>155833.95000000001</v>
      </c>
      <c r="BJ715" s="6">
        <f>_xlfn.IFNA(VLOOKUP(Grandview_Inventory[[#This Row],[quality]],Lookups!$H$2:$J$14,3,FALSE),0)</f>
        <v>2251</v>
      </c>
      <c r="BK715" s="6">
        <f>_xlfn.IFNA(VLOOKUP(Grandview_Inventory[[#This Row],[condition]],Lookups!$H$17:$J$24,3,FALSE),0)</f>
        <v>-4503</v>
      </c>
      <c r="BL715" s="6">
        <f>Grandview_Inventory[[#This Row],[Eff_Age]]*Lookups!$B$14</f>
        <v>-10523.330399999999</v>
      </c>
      <c r="BM715" s="6">
        <f>Grandview_Inventory[[#This Row],[living_area]]*Lookups!$B$15</f>
        <v>84588.436668000009</v>
      </c>
      <c r="BN715" s="6">
        <f>Grandview_Inventory[[#This Row],[Fin BSMT]]*Lookups!$B$16</f>
        <v>0</v>
      </c>
      <c r="BO715" s="6">
        <f>(Grandview_Inventory[[#This Row],[att_gar]]+Grandview_Inventory[[#This Row],[bltin_gar]])*Lookups!$B$17</f>
        <v>0</v>
      </c>
      <c r="BP715" s="6">
        <f>Grandview_Inventory[[#This Row],[Plumbing Fixtures]]*Lookups!$B$18</f>
        <v>10052.209000000001</v>
      </c>
      <c r="BQ715" s="6">
        <f>Grandview_Inventory[[#This Row],[detatched_value]]*Lookups!$B$19</f>
        <v>0</v>
      </c>
      <c r="BR715" s="6">
        <f>SUM(Grandview_Inventory[[#This Row],[Intercept]:[det_value]])*Grandview_Inventory[[#This Row],[res_pct]]</f>
        <v>237699.26526800002</v>
      </c>
      <c r="BS715" s="6">
        <f>Grandview_Inventory[[#This Row],[land_value]]</f>
        <v>53837.239420408718</v>
      </c>
      <c r="BT715" s="4">
        <f>_xlfn.IFNA(VLOOKUP(Grandview_Inventory[[#This Row],[quality]],Lookups!$A$26:$C$33,3,FALSE),1)</f>
        <v>0.98763855981004833</v>
      </c>
      <c r="BU715" s="4">
        <f>_xlfn.IFNA(VLOOKUP(Grandview_Inventory[[#This Row],[condition]],Lookups!$A$37:$C$44,3,FALSE),1)</f>
        <v>0.96469275950863709</v>
      </c>
      <c r="BV715" s="4">
        <f>IF(Grandview_Inventory[[#This Row],[bldg_style]]="",1,_xlfn.IFNA(VLOOKUP(Grandview_Inventory[[#This Row],[decade]],Lookups!$F$29:$H$43,3,FALSE),1))</f>
        <v>0.9871940091910919</v>
      </c>
      <c r="BW715" s="4">
        <f>_xlfn.IFNA(VLOOKUP(Grandview_Inventory[[#This Row],[living_area_range]],Lookups!$F$47:$H$56,3,FALSE),1)</f>
        <v>0.96135087979789358</v>
      </c>
      <c r="BX715" s="4">
        <f>AVERAGE(Grandview_Inventory[[#This Row],[qual_adj]:[size_adj]])</f>
        <v>0.97521905207691773</v>
      </c>
      <c r="BY715" s="6">
        <f>IF(Grandview_Inventory[[#This Row],[pre_res]]&lt;0,0,Grandview_Inventory[[#This Row],[pre_res]]*Grandview_Inventory[[#This Row],[overall_adj]])</f>
        <v>231808.85215403879</v>
      </c>
      <c r="BZ715" s="6">
        <f>(Grandview_Inventory[[#This Row],[sum_land]]-IF(Grandview_Inventory[[#This Row],[no_utilities]]=1,12000,0))/IF(Grandview_Inventory[[#This Row],[unbuildable]]=1,2,1)</f>
        <v>53837.239420408718</v>
      </c>
      <c r="CA715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15">
        <f>ROUND(Grandview_Inventory[[#This Row],[det_value]]*Lookups!$M$28,-2)</f>
        <v>0</v>
      </c>
      <c r="CC715">
        <f>IF(ROUND(Grandview_Inventory[[#This Row],[adj_res]]*Lookups!$M$28,-2)&lt;Grandview_Inventory[[#This Row],[min_res]],Grandview_Inventory[[#This Row],[min_res]],ROUND(Grandview_Inventory[[#This Row],[adj_res]]*Lookups!$M$28,-2))</f>
        <v>220200</v>
      </c>
      <c r="CD715">
        <f>Grandview_Inventory[[#This Row],[final_det]]+Grandview_Inventory[[#This Row],[final_res]]</f>
        <v>220200</v>
      </c>
      <c r="CE715">
        <f>Grandview_Inventory[[#This Row],[final_land]]+Grandview_Inventory[[#This Row],[final_imp]]+Grandview_Inventory[[#This Row],[crop_value]]</f>
        <v>271300</v>
      </c>
      <c r="CG715" t="str">
        <f t="shared" si="11"/>
        <v>update valuation set market_land =51100, market_bldg=220200, market_total =271300, market_mdno =401, market_date ='9/10/2023' where link_id = (select link_id from parcel where parcel_year = '2024' and parcel_id = '23092231453');</v>
      </c>
    </row>
    <row r="716" spans="1:85" x14ac:dyDescent="0.25">
      <c r="A716">
        <v>23092231454</v>
      </c>
      <c r="B716">
        <v>0.27</v>
      </c>
      <c r="C716">
        <v>11571</v>
      </c>
      <c r="D716" t="s">
        <v>129</v>
      </c>
      <c r="E716" t="s">
        <v>53</v>
      </c>
      <c r="F716" t="s">
        <v>53</v>
      </c>
      <c r="G716">
        <v>4</v>
      </c>
      <c r="H716" t="s">
        <v>54</v>
      </c>
      <c r="I716">
        <v>238800</v>
      </c>
      <c r="J716">
        <v>44500</v>
      </c>
      <c r="K716">
        <v>0.27</v>
      </c>
      <c r="L716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16">
        <v>0</v>
      </c>
      <c r="N716">
        <v>0</v>
      </c>
      <c r="O716">
        <v>0</v>
      </c>
      <c r="P716">
        <v>13398.7528</v>
      </c>
      <c r="Q716">
        <v>63903</v>
      </c>
      <c r="R716">
        <f>(Grandview_Inventory[[#This Row],[ln_acres]]*Grandview_Inventory[[#This Row],[coeff]])+Grandview_Inventory[[#This Row],[const]]</f>
        <v>46359.566512734265</v>
      </c>
      <c r="S716" t="s">
        <v>55</v>
      </c>
      <c r="T716">
        <v>1</v>
      </c>
      <c r="U716" t="s">
        <v>62</v>
      </c>
      <c r="V716" t="s">
        <v>67</v>
      </c>
      <c r="W716">
        <v>0</v>
      </c>
      <c r="X716">
        <v>0</v>
      </c>
      <c r="Y716">
        <v>44</v>
      </c>
      <c r="Z716">
        <v>46</v>
      </c>
      <c r="AA716">
        <v>50</v>
      </c>
      <c r="AB716">
        <v>1500</v>
      </c>
      <c r="AC716">
        <v>1416</v>
      </c>
      <c r="AD716">
        <v>1416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157</v>
      </c>
      <c r="AM716">
        <v>384</v>
      </c>
      <c r="AN716">
        <v>0</v>
      </c>
      <c r="AO716">
        <v>384</v>
      </c>
      <c r="AP716">
        <v>8</v>
      </c>
      <c r="AQ716">
        <v>0</v>
      </c>
      <c r="AR716">
        <v>0</v>
      </c>
      <c r="AS716" t="s">
        <v>58</v>
      </c>
      <c r="AT716">
        <v>1</v>
      </c>
      <c r="AU716" t="s">
        <v>63</v>
      </c>
      <c r="AV716" t="s">
        <v>60</v>
      </c>
      <c r="AW716">
        <v>1</v>
      </c>
      <c r="AX716">
        <v>3</v>
      </c>
      <c r="AY716">
        <v>0</v>
      </c>
      <c r="AZ716">
        <v>27100</v>
      </c>
      <c r="BA716">
        <v>100</v>
      </c>
      <c r="BB716">
        <v>100</v>
      </c>
      <c r="BC716">
        <v>100</v>
      </c>
      <c r="BD716">
        <v>100</v>
      </c>
      <c r="BE716">
        <v>1</v>
      </c>
      <c r="BF716">
        <v>15000</v>
      </c>
      <c r="BG716">
        <v>1000</v>
      </c>
      <c r="BH716" s="6">
        <f>Grandview_Inventory[[#This Row],[land_extract]]*Lookups!$B$3</f>
        <v>53837.239420408718</v>
      </c>
      <c r="BI716" s="6">
        <f>IF(Grandview_Inventory[[#This Row],[bldg_style]]="",0,Lookups!$B$2)</f>
        <v>155833.95000000001</v>
      </c>
      <c r="BJ716" s="6">
        <f>_xlfn.IFNA(VLOOKUP(Grandview_Inventory[[#This Row],[quality]],Lookups!$H$2:$J$14,3,FALSE),0)</f>
        <v>9808</v>
      </c>
      <c r="BK716" s="6">
        <f>_xlfn.IFNA(VLOOKUP(Grandview_Inventory[[#This Row],[condition]],Lookups!$H$17:$J$24,3,FALSE),0)</f>
        <v>22342</v>
      </c>
      <c r="BL716" s="6">
        <f>Grandview_Inventory[[#This Row],[Eff_Age]]*Lookups!$B$14</f>
        <v>-10523.330399999999</v>
      </c>
      <c r="BM716" s="6">
        <f>Grandview_Inventory[[#This Row],[living_area]]*Lookups!$B$15</f>
        <v>88331.287848000007</v>
      </c>
      <c r="BN716" s="6">
        <f>Grandview_Inventory[[#This Row],[Fin BSMT]]*Lookups!$B$16</f>
        <v>0</v>
      </c>
      <c r="BO716" s="6">
        <f>(Grandview_Inventory[[#This Row],[att_gar]]+Grandview_Inventory[[#This Row],[bltin_gar]])*Lookups!$B$17</f>
        <v>0</v>
      </c>
      <c r="BP716" s="6">
        <f>Grandview_Inventory[[#This Row],[Plumbing Fixtures]]*Lookups!$B$18</f>
        <v>16083.5344</v>
      </c>
      <c r="BQ716" s="6">
        <f>Grandview_Inventory[[#This Row],[detatched_value]]*Lookups!$B$19</f>
        <v>22948.41821</v>
      </c>
      <c r="BR716" s="6">
        <f>SUM(Grandview_Inventory[[#This Row],[Intercept]:[det_value]])*Grandview_Inventory[[#This Row],[res_pct]]</f>
        <v>304823.86005800002</v>
      </c>
      <c r="BS716" s="6">
        <f>Grandview_Inventory[[#This Row],[land_value]]</f>
        <v>53837.239420408718</v>
      </c>
      <c r="BT716" s="4">
        <f>_xlfn.IFNA(VLOOKUP(Grandview_Inventory[[#This Row],[quality]],Lookups!$A$26:$C$33,3,FALSE),1)</f>
        <v>0.94295468617355149</v>
      </c>
      <c r="BU716" s="4">
        <f>_xlfn.IFNA(VLOOKUP(Grandview_Inventory[[#This Row],[condition]],Lookups!$A$37:$C$44,3,FALSE),1)</f>
        <v>0.97383723671140243</v>
      </c>
      <c r="BV716" s="4">
        <f>IF(Grandview_Inventory[[#This Row],[bldg_style]]="",1,_xlfn.IFNA(VLOOKUP(Grandview_Inventory[[#This Row],[decade]],Lookups!$F$29:$H$43,3,FALSE),1))</f>
        <v>0.9871940091910919</v>
      </c>
      <c r="BW716" s="4">
        <f>_xlfn.IFNA(VLOOKUP(Grandview_Inventory[[#This Row],[living_area_range]],Lookups!$F$47:$H$56,3,FALSE),1)</f>
        <v>0.96135087979789358</v>
      </c>
      <c r="BX716" s="4">
        <f>AVERAGE(Grandview_Inventory[[#This Row],[qual_adj]:[size_adj]])</f>
        <v>0.96633420296848482</v>
      </c>
      <c r="BY716" s="6">
        <f>IF(Grandview_Inventory[[#This Row],[pre_res]]&lt;0,0,Grandview_Inventory[[#This Row],[pre_res]]*Grandview_Inventory[[#This Row],[overall_adj]])</f>
        <v>294561.7218549244</v>
      </c>
      <c r="BZ716" s="6">
        <f>(Grandview_Inventory[[#This Row],[sum_land]]-IF(Grandview_Inventory[[#This Row],[no_utilities]]=1,12000,0))/IF(Grandview_Inventory[[#This Row],[unbuildable]]=1,2,1)</f>
        <v>53837.239420408718</v>
      </c>
      <c r="CA716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16">
        <f>ROUND(Grandview_Inventory[[#This Row],[det_value]]*Lookups!$M$28,-2)</f>
        <v>21800</v>
      </c>
      <c r="CC716">
        <f>IF(ROUND(Grandview_Inventory[[#This Row],[adj_res]]*Lookups!$M$28,-2)&lt;Grandview_Inventory[[#This Row],[min_res]],Grandview_Inventory[[#This Row],[min_res]],ROUND(Grandview_Inventory[[#This Row],[adj_res]]*Lookups!$M$28,-2))</f>
        <v>279800</v>
      </c>
      <c r="CD716">
        <f>Grandview_Inventory[[#This Row],[final_det]]+Grandview_Inventory[[#This Row],[final_res]]</f>
        <v>301600</v>
      </c>
      <c r="CE716">
        <f>Grandview_Inventory[[#This Row],[final_land]]+Grandview_Inventory[[#This Row],[final_imp]]+Grandview_Inventory[[#This Row],[crop_value]]</f>
        <v>352700</v>
      </c>
      <c r="CG716" t="str">
        <f t="shared" si="11"/>
        <v>update valuation set market_land =51100, market_bldg=301600, market_total =352700, market_mdno =401, market_date ='9/10/2023' where link_id = (select link_id from parcel where parcel_year = '2024' and parcel_id = '23092231454');</v>
      </c>
    </row>
    <row r="717" spans="1:85" x14ac:dyDescent="0.25">
      <c r="A717">
        <v>23092231455</v>
      </c>
      <c r="B717">
        <v>0.27</v>
      </c>
      <c r="C717">
        <v>11571</v>
      </c>
      <c r="D717" t="s">
        <v>129</v>
      </c>
      <c r="E717" t="s">
        <v>53</v>
      </c>
      <c r="F717" t="s">
        <v>53</v>
      </c>
      <c r="G717">
        <v>4</v>
      </c>
      <c r="H717" t="s">
        <v>54</v>
      </c>
      <c r="I717">
        <v>141100</v>
      </c>
      <c r="J717">
        <v>40200</v>
      </c>
      <c r="K717">
        <v>0.27</v>
      </c>
      <c r="L717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17">
        <v>0</v>
      </c>
      <c r="N717">
        <v>0</v>
      </c>
      <c r="O717">
        <v>0</v>
      </c>
      <c r="P717">
        <v>13398.7528</v>
      </c>
      <c r="Q717">
        <v>63903</v>
      </c>
      <c r="R717">
        <f>(Grandview_Inventory[[#This Row],[ln_acres]]*Grandview_Inventory[[#This Row],[coeff]])+Grandview_Inventory[[#This Row],[const]]</f>
        <v>46359.566512734265</v>
      </c>
      <c r="S717" t="s">
        <v>61</v>
      </c>
      <c r="T717">
        <v>1</v>
      </c>
      <c r="U717" t="s">
        <v>65</v>
      </c>
      <c r="V717" t="s">
        <v>69</v>
      </c>
      <c r="W717">
        <v>0</v>
      </c>
      <c r="X717">
        <v>0</v>
      </c>
      <c r="Y717">
        <v>44</v>
      </c>
      <c r="Z717">
        <v>47</v>
      </c>
      <c r="AA717">
        <v>50</v>
      </c>
      <c r="AB717">
        <v>1500</v>
      </c>
      <c r="AC717">
        <v>1372</v>
      </c>
      <c r="AD717">
        <v>1372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648</v>
      </c>
      <c r="AN717">
        <v>0</v>
      </c>
      <c r="AO717">
        <v>0</v>
      </c>
      <c r="AP717">
        <v>7</v>
      </c>
      <c r="AQ717">
        <v>0</v>
      </c>
      <c r="AR717">
        <v>0</v>
      </c>
      <c r="AS717" t="s">
        <v>58</v>
      </c>
      <c r="AT717">
        <v>1</v>
      </c>
      <c r="AU717" t="s">
        <v>63</v>
      </c>
      <c r="AV717" t="s">
        <v>60</v>
      </c>
      <c r="AW717">
        <v>0</v>
      </c>
      <c r="AX717">
        <v>3</v>
      </c>
      <c r="AY717">
        <v>0</v>
      </c>
      <c r="AZ717">
        <v>0</v>
      </c>
      <c r="BA717">
        <v>100</v>
      </c>
      <c r="BB717">
        <v>100</v>
      </c>
      <c r="BC717">
        <v>100</v>
      </c>
      <c r="BD717">
        <v>100</v>
      </c>
      <c r="BE717">
        <v>1</v>
      </c>
      <c r="BF717">
        <v>15000</v>
      </c>
      <c r="BG717">
        <v>1000</v>
      </c>
      <c r="BH717" s="6">
        <f>Grandview_Inventory[[#This Row],[land_extract]]*Lookups!$B$3</f>
        <v>53837.239420408718</v>
      </c>
      <c r="BI717" s="6">
        <f>IF(Grandview_Inventory[[#This Row],[bldg_style]]="",0,Lookups!$B$2)</f>
        <v>155833.95000000001</v>
      </c>
      <c r="BJ717" s="6">
        <f>_xlfn.IFNA(VLOOKUP(Grandview_Inventory[[#This Row],[quality]],Lookups!$H$2:$J$14,3,FALSE),0)</f>
        <v>2251</v>
      </c>
      <c r="BK717" s="6">
        <f>_xlfn.IFNA(VLOOKUP(Grandview_Inventory[[#This Row],[condition]],Lookups!$H$17:$J$24,3,FALSE),0)</f>
        <v>-4503</v>
      </c>
      <c r="BL717" s="6">
        <f>Grandview_Inventory[[#This Row],[Eff_Age]]*Lookups!$B$14</f>
        <v>-10523.330399999999</v>
      </c>
      <c r="BM717" s="6">
        <f>Grandview_Inventory[[#This Row],[living_area]]*Lookups!$B$15</f>
        <v>85586.530316000004</v>
      </c>
      <c r="BN717" s="6">
        <f>Grandview_Inventory[[#This Row],[Fin BSMT]]*Lookups!$B$16</f>
        <v>0</v>
      </c>
      <c r="BO717" s="6">
        <f>(Grandview_Inventory[[#This Row],[att_gar]]+Grandview_Inventory[[#This Row],[bltin_gar]])*Lookups!$B$17</f>
        <v>0</v>
      </c>
      <c r="BP717" s="6">
        <f>Grandview_Inventory[[#This Row],[Plumbing Fixtures]]*Lookups!$B$18</f>
        <v>14073.0926</v>
      </c>
      <c r="BQ717" s="6">
        <f>Grandview_Inventory[[#This Row],[detatched_value]]*Lookups!$B$19</f>
        <v>0</v>
      </c>
      <c r="BR717" s="6">
        <f>SUM(Grandview_Inventory[[#This Row],[Intercept]:[det_value]])*Grandview_Inventory[[#This Row],[res_pct]]</f>
        <v>242718.24251600003</v>
      </c>
      <c r="BS717" s="6">
        <f>Grandview_Inventory[[#This Row],[land_value]]</f>
        <v>53837.239420408718</v>
      </c>
      <c r="BT717" s="4">
        <f>_xlfn.IFNA(VLOOKUP(Grandview_Inventory[[#This Row],[quality]],Lookups!$A$26:$C$33,3,FALSE),1)</f>
        <v>0.98763855981004833</v>
      </c>
      <c r="BU717" s="4">
        <f>_xlfn.IFNA(VLOOKUP(Grandview_Inventory[[#This Row],[condition]],Lookups!$A$37:$C$44,3,FALSE),1)</f>
        <v>0.96469275950863709</v>
      </c>
      <c r="BV717" s="4">
        <f>IF(Grandview_Inventory[[#This Row],[bldg_style]]="",1,_xlfn.IFNA(VLOOKUP(Grandview_Inventory[[#This Row],[decade]],Lookups!$F$29:$H$43,3,FALSE),1))</f>
        <v>0.9871940091910919</v>
      </c>
      <c r="BW717" s="4">
        <f>_xlfn.IFNA(VLOOKUP(Grandview_Inventory[[#This Row],[living_area_range]],Lookups!$F$47:$H$56,3,FALSE),1)</f>
        <v>0.96135087979789358</v>
      </c>
      <c r="BX717" s="4">
        <f>AVERAGE(Grandview_Inventory[[#This Row],[qual_adj]:[size_adj]])</f>
        <v>0.97521905207691773</v>
      </c>
      <c r="BY717" s="6">
        <f>IF(Grandview_Inventory[[#This Row],[pre_res]]&lt;0,0,Grandview_Inventory[[#This Row],[pre_res]]*Grandview_Inventory[[#This Row],[overall_adj]])</f>
        <v>236703.45438822897</v>
      </c>
      <c r="BZ717" s="6">
        <f>(Grandview_Inventory[[#This Row],[sum_land]]-IF(Grandview_Inventory[[#This Row],[no_utilities]]=1,12000,0))/IF(Grandview_Inventory[[#This Row],[unbuildable]]=1,2,1)</f>
        <v>53837.239420408718</v>
      </c>
      <c r="CA717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17">
        <f>ROUND(Grandview_Inventory[[#This Row],[det_value]]*Lookups!$M$28,-2)</f>
        <v>0</v>
      </c>
      <c r="CC717">
        <f>IF(ROUND(Grandview_Inventory[[#This Row],[adj_res]]*Lookups!$M$28,-2)&lt;Grandview_Inventory[[#This Row],[min_res]],Grandview_Inventory[[#This Row],[min_res]],ROUND(Grandview_Inventory[[#This Row],[adj_res]]*Lookups!$M$28,-2))</f>
        <v>224900</v>
      </c>
      <c r="CD717">
        <f>Grandview_Inventory[[#This Row],[final_det]]+Grandview_Inventory[[#This Row],[final_res]]</f>
        <v>224900</v>
      </c>
      <c r="CE717">
        <f>Grandview_Inventory[[#This Row],[final_land]]+Grandview_Inventory[[#This Row],[final_imp]]+Grandview_Inventory[[#This Row],[crop_value]]</f>
        <v>276000</v>
      </c>
      <c r="CG717" t="str">
        <f t="shared" si="11"/>
        <v>update valuation set market_land =51100, market_bldg=224900, market_total =276000, market_mdno =401, market_date ='9/10/2023' where link_id = (select link_id from parcel where parcel_year = '2024' and parcel_id = '23092231455');</v>
      </c>
    </row>
    <row r="718" spans="1:85" x14ac:dyDescent="0.25">
      <c r="A718">
        <v>23092231456</v>
      </c>
      <c r="B718">
        <v>0.27</v>
      </c>
      <c r="C718">
        <v>11571</v>
      </c>
      <c r="D718" t="s">
        <v>129</v>
      </c>
      <c r="E718" t="s">
        <v>53</v>
      </c>
      <c r="F718" t="s">
        <v>53</v>
      </c>
      <c r="G718">
        <v>4</v>
      </c>
      <c r="H718" t="s">
        <v>54</v>
      </c>
      <c r="I718">
        <v>240500</v>
      </c>
      <c r="J718">
        <v>44500</v>
      </c>
      <c r="K718">
        <v>0.27</v>
      </c>
      <c r="L71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18">
        <v>0</v>
      </c>
      <c r="N718">
        <v>0</v>
      </c>
      <c r="O718">
        <v>0</v>
      </c>
      <c r="P718">
        <v>13398.7528</v>
      </c>
      <c r="Q718">
        <v>63903</v>
      </c>
      <c r="R718">
        <f>(Grandview_Inventory[[#This Row],[ln_acres]]*Grandview_Inventory[[#This Row],[coeff]])+Grandview_Inventory[[#This Row],[const]]</f>
        <v>46359.566512734265</v>
      </c>
      <c r="S718" t="s">
        <v>55</v>
      </c>
      <c r="T718">
        <v>1</v>
      </c>
      <c r="U718" t="s">
        <v>65</v>
      </c>
      <c r="V718" t="s">
        <v>67</v>
      </c>
      <c r="W718">
        <v>0</v>
      </c>
      <c r="X718">
        <v>0</v>
      </c>
      <c r="Y718">
        <v>44</v>
      </c>
      <c r="Z718">
        <v>46</v>
      </c>
      <c r="AA718">
        <v>50</v>
      </c>
      <c r="AB718">
        <v>1500</v>
      </c>
      <c r="AC718">
        <v>1408</v>
      </c>
      <c r="AD718">
        <v>1408</v>
      </c>
      <c r="AE718">
        <v>0</v>
      </c>
      <c r="AF718">
        <v>0</v>
      </c>
      <c r="AG718">
        <v>0</v>
      </c>
      <c r="AH718">
        <v>0</v>
      </c>
      <c r="AI718">
        <v>390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8</v>
      </c>
      <c r="AQ718">
        <v>0</v>
      </c>
      <c r="AR718">
        <v>0</v>
      </c>
      <c r="AS718" t="s">
        <v>58</v>
      </c>
      <c r="AT718">
        <v>1</v>
      </c>
      <c r="AU718" t="s">
        <v>63</v>
      </c>
      <c r="AV718" t="s">
        <v>60</v>
      </c>
      <c r="AW718">
        <v>1</v>
      </c>
      <c r="AX718">
        <v>3</v>
      </c>
      <c r="AY718">
        <v>0</v>
      </c>
      <c r="AZ718">
        <v>4300</v>
      </c>
      <c r="BA718">
        <v>100</v>
      </c>
      <c r="BB718">
        <v>100</v>
      </c>
      <c r="BC718">
        <v>100</v>
      </c>
      <c r="BD718">
        <v>100</v>
      </c>
      <c r="BE718">
        <v>1</v>
      </c>
      <c r="BF718">
        <v>15000</v>
      </c>
      <c r="BG718">
        <v>1000</v>
      </c>
      <c r="BH718" s="6">
        <f>Grandview_Inventory[[#This Row],[land_extract]]*Lookups!$B$3</f>
        <v>53837.239420408718</v>
      </c>
      <c r="BI718" s="6">
        <f>IF(Grandview_Inventory[[#This Row],[bldg_style]]="",0,Lookups!$B$2)</f>
        <v>155833.95000000001</v>
      </c>
      <c r="BJ718" s="6">
        <f>_xlfn.IFNA(VLOOKUP(Grandview_Inventory[[#This Row],[quality]],Lookups!$H$2:$J$14,3,FALSE),0)</f>
        <v>2251</v>
      </c>
      <c r="BK718" s="6">
        <f>_xlfn.IFNA(VLOOKUP(Grandview_Inventory[[#This Row],[condition]],Lookups!$H$17:$J$24,3,FALSE),0)</f>
        <v>22342</v>
      </c>
      <c r="BL718" s="6">
        <f>Grandview_Inventory[[#This Row],[Eff_Age]]*Lookups!$B$14</f>
        <v>-10523.330399999999</v>
      </c>
      <c r="BM718" s="6">
        <f>Grandview_Inventory[[#This Row],[living_area]]*Lookups!$B$15</f>
        <v>87832.241024000003</v>
      </c>
      <c r="BN718" s="6">
        <f>Grandview_Inventory[[#This Row],[Fin BSMT]]*Lookups!$B$16</f>
        <v>0</v>
      </c>
      <c r="BO718" s="6">
        <f>(Grandview_Inventory[[#This Row],[att_gar]]+Grandview_Inventory[[#This Row],[bltin_gar]])*Lookups!$B$17</f>
        <v>34132.970430000001</v>
      </c>
      <c r="BP718" s="6">
        <f>Grandview_Inventory[[#This Row],[Plumbing Fixtures]]*Lookups!$B$18</f>
        <v>16083.5344</v>
      </c>
      <c r="BQ718" s="6">
        <f>Grandview_Inventory[[#This Row],[detatched_value]]*Lookups!$B$19</f>
        <v>3641.2619300000001</v>
      </c>
      <c r="BR718" s="6">
        <f>SUM(Grandview_Inventory[[#This Row],[Intercept]:[det_value]])*Grandview_Inventory[[#This Row],[res_pct]]</f>
        <v>311593.62738399999</v>
      </c>
      <c r="BS718" s="6">
        <f>Grandview_Inventory[[#This Row],[land_value]]</f>
        <v>53837.239420408718</v>
      </c>
      <c r="BT718" s="4">
        <f>_xlfn.IFNA(VLOOKUP(Grandview_Inventory[[#This Row],[quality]],Lookups!$A$26:$C$33,3,FALSE),1)</f>
        <v>0.98763855981004833</v>
      </c>
      <c r="BU718" s="4">
        <f>_xlfn.IFNA(VLOOKUP(Grandview_Inventory[[#This Row],[condition]],Lookups!$A$37:$C$44,3,FALSE),1)</f>
        <v>0.97383723671140243</v>
      </c>
      <c r="BV718" s="4">
        <f>IF(Grandview_Inventory[[#This Row],[bldg_style]]="",1,_xlfn.IFNA(VLOOKUP(Grandview_Inventory[[#This Row],[decade]],Lookups!$F$29:$H$43,3,FALSE),1))</f>
        <v>0.9871940091910919</v>
      </c>
      <c r="BW718" s="4">
        <f>_xlfn.IFNA(VLOOKUP(Grandview_Inventory[[#This Row],[living_area_range]],Lookups!$F$47:$H$56,3,FALSE),1)</f>
        <v>0.96135087979789358</v>
      </c>
      <c r="BX718" s="4">
        <f>AVERAGE(Grandview_Inventory[[#This Row],[qual_adj]:[size_adj]])</f>
        <v>0.97750517137760906</v>
      </c>
      <c r="BY718" s="6">
        <f>IF(Grandview_Inventory[[#This Row],[pre_res]]&lt;0,0,Grandview_Inventory[[#This Row],[pre_res]]*Grandview_Inventory[[#This Row],[overall_adj]])</f>
        <v>304584.38213616778</v>
      </c>
      <c r="BZ718" s="6">
        <f>(Grandview_Inventory[[#This Row],[sum_land]]-IF(Grandview_Inventory[[#This Row],[no_utilities]]=1,12000,0))/IF(Grandview_Inventory[[#This Row],[unbuildable]]=1,2,1)</f>
        <v>53837.239420408718</v>
      </c>
      <c r="CA71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18">
        <f>ROUND(Grandview_Inventory[[#This Row],[det_value]]*Lookups!$M$28,-2)</f>
        <v>3500</v>
      </c>
      <c r="CC718">
        <f>IF(ROUND(Grandview_Inventory[[#This Row],[adj_res]]*Lookups!$M$28,-2)&lt;Grandview_Inventory[[#This Row],[min_res]],Grandview_Inventory[[#This Row],[min_res]],ROUND(Grandview_Inventory[[#This Row],[adj_res]]*Lookups!$M$28,-2))</f>
        <v>289400</v>
      </c>
      <c r="CD718">
        <f>Grandview_Inventory[[#This Row],[final_det]]+Grandview_Inventory[[#This Row],[final_res]]</f>
        <v>292900</v>
      </c>
      <c r="CE718">
        <f>Grandview_Inventory[[#This Row],[final_land]]+Grandview_Inventory[[#This Row],[final_imp]]+Grandview_Inventory[[#This Row],[crop_value]]</f>
        <v>344000</v>
      </c>
      <c r="CG718" t="str">
        <f t="shared" si="11"/>
        <v>update valuation set market_land =51100, market_bldg=292900, market_total =344000, market_mdno =401, market_date ='9/10/2023' where link_id = (select link_id from parcel where parcel_year = '2024' and parcel_id = '23092231456');</v>
      </c>
    </row>
    <row r="719" spans="1:85" x14ac:dyDescent="0.25">
      <c r="A719">
        <v>23092231457</v>
      </c>
      <c r="B719">
        <v>0.23</v>
      </c>
      <c r="C719">
        <v>10186</v>
      </c>
      <c r="D719" t="s">
        <v>129</v>
      </c>
      <c r="E719" t="s">
        <v>53</v>
      </c>
      <c r="F719" t="s">
        <v>53</v>
      </c>
      <c r="G719">
        <v>4</v>
      </c>
      <c r="H719" t="s">
        <v>54</v>
      </c>
      <c r="I719">
        <v>213100</v>
      </c>
      <c r="J719">
        <v>39700</v>
      </c>
      <c r="K719">
        <v>0.23</v>
      </c>
      <c r="L71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719">
        <v>0</v>
      </c>
      <c r="N719">
        <v>0</v>
      </c>
      <c r="O719">
        <v>0</v>
      </c>
      <c r="P719">
        <v>13398.7528</v>
      </c>
      <c r="Q719">
        <v>63903</v>
      </c>
      <c r="R719">
        <f>(Grandview_Inventory[[#This Row],[ln_acres]]*Grandview_Inventory[[#This Row],[coeff]])+Grandview_Inventory[[#This Row],[const]]</f>
        <v>44211.174981080039</v>
      </c>
      <c r="S719" t="s">
        <v>61</v>
      </c>
      <c r="T719">
        <v>1</v>
      </c>
      <c r="U719" t="s">
        <v>65</v>
      </c>
      <c r="V719" t="s">
        <v>69</v>
      </c>
      <c r="W719">
        <v>0</v>
      </c>
      <c r="X719">
        <v>0</v>
      </c>
      <c r="Y719">
        <v>44</v>
      </c>
      <c r="Z719">
        <v>46</v>
      </c>
      <c r="AA719">
        <v>50</v>
      </c>
      <c r="AB719">
        <v>2000</v>
      </c>
      <c r="AC719">
        <v>1776</v>
      </c>
      <c r="AD719">
        <v>1776</v>
      </c>
      <c r="AE719">
        <v>0</v>
      </c>
      <c r="AF719">
        <v>0</v>
      </c>
      <c r="AG719">
        <v>0</v>
      </c>
      <c r="AH719">
        <v>0</v>
      </c>
      <c r="AI719">
        <v>576</v>
      </c>
      <c r="AJ719">
        <v>0</v>
      </c>
      <c r="AK719">
        <v>0</v>
      </c>
      <c r="AL719">
        <v>0</v>
      </c>
      <c r="AM719">
        <v>128</v>
      </c>
      <c r="AN719">
        <v>0</v>
      </c>
      <c r="AO719">
        <v>96</v>
      </c>
      <c r="AP719">
        <v>8</v>
      </c>
      <c r="AQ719">
        <v>0</v>
      </c>
      <c r="AR719">
        <v>0</v>
      </c>
      <c r="AS719" t="s">
        <v>58</v>
      </c>
      <c r="AT719">
        <v>1</v>
      </c>
      <c r="AU719" t="s">
        <v>59</v>
      </c>
      <c r="AV719" t="s">
        <v>60</v>
      </c>
      <c r="AW719">
        <v>1</v>
      </c>
      <c r="AX719">
        <v>4</v>
      </c>
      <c r="AY719">
        <v>0</v>
      </c>
      <c r="AZ719">
        <v>0</v>
      </c>
      <c r="BA719">
        <v>100</v>
      </c>
      <c r="BB719">
        <v>100</v>
      </c>
      <c r="BC719">
        <v>100</v>
      </c>
      <c r="BD719">
        <v>100</v>
      </c>
      <c r="BE719">
        <v>1</v>
      </c>
      <c r="BF719">
        <v>15000</v>
      </c>
      <c r="BG719">
        <v>1000</v>
      </c>
      <c r="BH719" s="6">
        <f>Grandview_Inventory[[#This Row],[land_extract]]*Lookups!$B$3</f>
        <v>51342.318135355803</v>
      </c>
      <c r="BI719" s="6">
        <f>IF(Grandview_Inventory[[#This Row],[bldg_style]]="",0,Lookups!$B$2)</f>
        <v>155833.95000000001</v>
      </c>
      <c r="BJ719" s="6">
        <f>_xlfn.IFNA(VLOOKUP(Grandview_Inventory[[#This Row],[quality]],Lookups!$H$2:$J$14,3,FALSE),0)</f>
        <v>2251</v>
      </c>
      <c r="BK719" s="6">
        <f>_xlfn.IFNA(VLOOKUP(Grandview_Inventory[[#This Row],[condition]],Lookups!$H$17:$J$24,3,FALSE),0)</f>
        <v>-4503</v>
      </c>
      <c r="BL719" s="6">
        <f>Grandview_Inventory[[#This Row],[Eff_Age]]*Lookups!$B$14</f>
        <v>-10523.330399999999</v>
      </c>
      <c r="BM719" s="6">
        <f>Grandview_Inventory[[#This Row],[living_area]]*Lookups!$B$15</f>
        <v>110788.39492800001</v>
      </c>
      <c r="BN719" s="6">
        <f>Grandview_Inventory[[#This Row],[Fin BSMT]]*Lookups!$B$16</f>
        <v>0</v>
      </c>
      <c r="BO719" s="6">
        <f>(Grandview_Inventory[[#This Row],[att_gar]]+Grandview_Inventory[[#This Row],[bltin_gar]])*Lookups!$B$17</f>
        <v>50411.771712000002</v>
      </c>
      <c r="BP719" s="6">
        <f>Grandview_Inventory[[#This Row],[Plumbing Fixtures]]*Lookups!$B$18</f>
        <v>16083.5344</v>
      </c>
      <c r="BQ719" s="6">
        <f>Grandview_Inventory[[#This Row],[detatched_value]]*Lookups!$B$19</f>
        <v>0</v>
      </c>
      <c r="BR719" s="6">
        <f>SUM(Grandview_Inventory[[#This Row],[Intercept]:[det_value]])*Grandview_Inventory[[#This Row],[res_pct]]</f>
        <v>320342.32064000005</v>
      </c>
      <c r="BS719" s="6">
        <f>Grandview_Inventory[[#This Row],[land_value]]</f>
        <v>51342.318135355803</v>
      </c>
      <c r="BT719" s="4">
        <f>_xlfn.IFNA(VLOOKUP(Grandview_Inventory[[#This Row],[quality]],Lookups!$A$26:$C$33,3,FALSE),1)</f>
        <v>0.98763855981004833</v>
      </c>
      <c r="BU719" s="4">
        <f>_xlfn.IFNA(VLOOKUP(Grandview_Inventory[[#This Row],[condition]],Lookups!$A$37:$C$44,3,FALSE),1)</f>
        <v>0.96469275950863709</v>
      </c>
      <c r="BV719" s="4">
        <f>IF(Grandview_Inventory[[#This Row],[bldg_style]]="",1,_xlfn.IFNA(VLOOKUP(Grandview_Inventory[[#This Row],[decade]],Lookups!$F$29:$H$43,3,FALSE),1))</f>
        <v>0.9871940091910919</v>
      </c>
      <c r="BW719" s="4">
        <f>_xlfn.IFNA(VLOOKUP(Grandview_Inventory[[#This Row],[living_area_range]],Lookups!$F$47:$H$56,3,FALSE),1)</f>
        <v>0.96120133463014379</v>
      </c>
      <c r="BX719" s="4">
        <f>AVERAGE(Grandview_Inventory[[#This Row],[qual_adj]:[size_adj]])</f>
        <v>0.97518166578498033</v>
      </c>
      <c r="BY719" s="6">
        <f>IF(Grandview_Inventory[[#This Row],[pre_res]]&lt;0,0,Grandview_Inventory[[#This Row],[pre_res]]*Grandview_Inventory[[#This Row],[overall_adj]])</f>
        <v>312391.95786314155</v>
      </c>
      <c r="BZ719" s="6">
        <f>(Grandview_Inventory[[#This Row],[sum_land]]-IF(Grandview_Inventory[[#This Row],[no_utilities]]=1,12000,0))/IF(Grandview_Inventory[[#This Row],[unbuildable]]=1,2,1)</f>
        <v>51342.318135355803</v>
      </c>
      <c r="CA71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719">
        <f>ROUND(Grandview_Inventory[[#This Row],[det_value]]*Lookups!$M$28,-2)</f>
        <v>0</v>
      </c>
      <c r="CC719">
        <f>IF(ROUND(Grandview_Inventory[[#This Row],[adj_res]]*Lookups!$M$28,-2)&lt;Grandview_Inventory[[#This Row],[min_res]],Grandview_Inventory[[#This Row],[min_res]],ROUND(Grandview_Inventory[[#This Row],[adj_res]]*Lookups!$M$28,-2))</f>
        <v>296800</v>
      </c>
      <c r="CD719">
        <f>Grandview_Inventory[[#This Row],[final_det]]+Grandview_Inventory[[#This Row],[final_res]]</f>
        <v>296800</v>
      </c>
      <c r="CE719">
        <f>Grandview_Inventory[[#This Row],[final_land]]+Grandview_Inventory[[#This Row],[final_imp]]+Grandview_Inventory[[#This Row],[crop_value]]</f>
        <v>345600</v>
      </c>
      <c r="CG719" t="str">
        <f t="shared" si="11"/>
        <v>update valuation set market_land =48800, market_bldg=296800, market_total =345600, market_mdno =401, market_date ='9/10/2023' where link_id = (select link_id from parcel where parcel_year = '2024' and parcel_id = '23092231457');</v>
      </c>
    </row>
    <row r="720" spans="1:85" x14ac:dyDescent="0.25">
      <c r="A720">
        <v>23092231458</v>
      </c>
      <c r="B720">
        <v>0.21</v>
      </c>
      <c r="C720">
        <v>9306</v>
      </c>
      <c r="D720" t="s">
        <v>129</v>
      </c>
      <c r="E720" t="s">
        <v>53</v>
      </c>
      <c r="F720" t="s">
        <v>53</v>
      </c>
      <c r="G720">
        <v>4</v>
      </c>
      <c r="H720" t="s">
        <v>54</v>
      </c>
      <c r="I720">
        <v>194900</v>
      </c>
      <c r="J720">
        <v>39500</v>
      </c>
      <c r="K720">
        <v>0.21</v>
      </c>
      <c r="L72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20">
        <v>0</v>
      </c>
      <c r="N720">
        <v>0</v>
      </c>
      <c r="O720">
        <v>0</v>
      </c>
      <c r="P720">
        <v>13398.7528</v>
      </c>
      <c r="Q720">
        <v>63903</v>
      </c>
      <c r="R720">
        <f>(Grandview_Inventory[[#This Row],[ln_acres]]*Grandview_Inventory[[#This Row],[coeff]])+Grandview_Inventory[[#This Row],[const]]</f>
        <v>42992.266613125081</v>
      </c>
      <c r="S720" t="s">
        <v>61</v>
      </c>
      <c r="T720">
        <v>1</v>
      </c>
      <c r="U720" t="s">
        <v>65</v>
      </c>
      <c r="V720" t="s">
        <v>67</v>
      </c>
      <c r="W720">
        <v>0</v>
      </c>
      <c r="X720">
        <v>0</v>
      </c>
      <c r="Y720">
        <v>44</v>
      </c>
      <c r="Z720">
        <v>46</v>
      </c>
      <c r="AA720">
        <v>50</v>
      </c>
      <c r="AB720">
        <v>1500</v>
      </c>
      <c r="AC720">
        <v>1408</v>
      </c>
      <c r="AD720">
        <v>1408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168</v>
      </c>
      <c r="AM720">
        <v>112</v>
      </c>
      <c r="AN720">
        <v>0</v>
      </c>
      <c r="AO720">
        <v>0</v>
      </c>
      <c r="AP720">
        <v>7</v>
      </c>
      <c r="AQ720">
        <v>0</v>
      </c>
      <c r="AR720">
        <v>0</v>
      </c>
      <c r="AS720" t="s">
        <v>58</v>
      </c>
      <c r="AT720">
        <v>1</v>
      </c>
      <c r="AU720" t="s">
        <v>59</v>
      </c>
      <c r="AV720" t="s">
        <v>60</v>
      </c>
      <c r="AW720">
        <v>1</v>
      </c>
      <c r="AX720">
        <v>3</v>
      </c>
      <c r="AY720">
        <v>0</v>
      </c>
      <c r="AZ720">
        <v>3100</v>
      </c>
      <c r="BA720">
        <v>100</v>
      </c>
      <c r="BB720">
        <v>100</v>
      </c>
      <c r="BC720">
        <v>100</v>
      </c>
      <c r="BD720">
        <v>100</v>
      </c>
      <c r="BE720">
        <v>1</v>
      </c>
      <c r="BF720">
        <v>15000</v>
      </c>
      <c r="BG720">
        <v>1000</v>
      </c>
      <c r="BH720" s="6">
        <f>Grandview_Inventory[[#This Row],[land_extract]]*Lookups!$B$3</f>
        <v>49926.8031387023</v>
      </c>
      <c r="BI720" s="6">
        <f>IF(Grandview_Inventory[[#This Row],[bldg_style]]="",0,Lookups!$B$2)</f>
        <v>155833.95000000001</v>
      </c>
      <c r="BJ720" s="6">
        <f>_xlfn.IFNA(VLOOKUP(Grandview_Inventory[[#This Row],[quality]],Lookups!$H$2:$J$14,3,FALSE),0)</f>
        <v>2251</v>
      </c>
      <c r="BK720" s="6">
        <f>_xlfn.IFNA(VLOOKUP(Grandview_Inventory[[#This Row],[condition]],Lookups!$H$17:$J$24,3,FALSE),0)</f>
        <v>22342</v>
      </c>
      <c r="BL720" s="6">
        <f>Grandview_Inventory[[#This Row],[Eff_Age]]*Lookups!$B$14</f>
        <v>-10523.330399999999</v>
      </c>
      <c r="BM720" s="6">
        <f>Grandview_Inventory[[#This Row],[living_area]]*Lookups!$B$15</f>
        <v>87832.241024000003</v>
      </c>
      <c r="BN720" s="6">
        <f>Grandview_Inventory[[#This Row],[Fin BSMT]]*Lookups!$B$16</f>
        <v>0</v>
      </c>
      <c r="BO720" s="6">
        <f>(Grandview_Inventory[[#This Row],[att_gar]]+Grandview_Inventory[[#This Row],[bltin_gar]])*Lookups!$B$17</f>
        <v>0</v>
      </c>
      <c r="BP720" s="6">
        <f>Grandview_Inventory[[#This Row],[Plumbing Fixtures]]*Lookups!$B$18</f>
        <v>14073.0926</v>
      </c>
      <c r="BQ720" s="6">
        <f>Grandview_Inventory[[#This Row],[detatched_value]]*Lookups!$B$19</f>
        <v>2625.0958099999998</v>
      </c>
      <c r="BR720" s="6">
        <f>SUM(Grandview_Inventory[[#This Row],[Intercept]:[det_value]])*Grandview_Inventory[[#This Row],[res_pct]]</f>
        <v>274434.04903400003</v>
      </c>
      <c r="BS720" s="6">
        <f>Grandview_Inventory[[#This Row],[land_value]]</f>
        <v>49926.8031387023</v>
      </c>
      <c r="BT720" s="4">
        <f>_xlfn.IFNA(VLOOKUP(Grandview_Inventory[[#This Row],[quality]],Lookups!$A$26:$C$33,3,FALSE),1)</f>
        <v>0.98763855981004833</v>
      </c>
      <c r="BU720" s="4">
        <f>_xlfn.IFNA(VLOOKUP(Grandview_Inventory[[#This Row],[condition]],Lookups!$A$37:$C$44,3,FALSE),1)</f>
        <v>0.97383723671140243</v>
      </c>
      <c r="BV720" s="4">
        <f>IF(Grandview_Inventory[[#This Row],[bldg_style]]="",1,_xlfn.IFNA(VLOOKUP(Grandview_Inventory[[#This Row],[decade]],Lookups!$F$29:$H$43,3,FALSE),1))</f>
        <v>0.9871940091910919</v>
      </c>
      <c r="BW720" s="4">
        <f>_xlfn.IFNA(VLOOKUP(Grandview_Inventory[[#This Row],[living_area_range]],Lookups!$F$47:$H$56,3,FALSE),1)</f>
        <v>0.96135087979789358</v>
      </c>
      <c r="BX720" s="4">
        <f>AVERAGE(Grandview_Inventory[[#This Row],[qual_adj]:[size_adj]])</f>
        <v>0.97750517137760906</v>
      </c>
      <c r="BY720" s="6">
        <f>IF(Grandview_Inventory[[#This Row],[pre_res]]&lt;0,0,Grandview_Inventory[[#This Row],[pre_res]]*Grandview_Inventory[[#This Row],[overall_adj]])</f>
        <v>268260.70213283139</v>
      </c>
      <c r="BZ720" s="6">
        <f>(Grandview_Inventory[[#This Row],[sum_land]]-IF(Grandview_Inventory[[#This Row],[no_utilities]]=1,12000,0))/IF(Grandview_Inventory[[#This Row],[unbuildable]]=1,2,1)</f>
        <v>49926.8031387023</v>
      </c>
      <c r="CA72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20">
        <f>ROUND(Grandview_Inventory[[#This Row],[det_value]]*Lookups!$M$28,-2)</f>
        <v>2500</v>
      </c>
      <c r="CC720">
        <f>IF(ROUND(Grandview_Inventory[[#This Row],[adj_res]]*Lookups!$M$28,-2)&lt;Grandview_Inventory[[#This Row],[min_res]],Grandview_Inventory[[#This Row],[min_res]],ROUND(Grandview_Inventory[[#This Row],[adj_res]]*Lookups!$M$28,-2))</f>
        <v>254800</v>
      </c>
      <c r="CD720">
        <f>Grandview_Inventory[[#This Row],[final_det]]+Grandview_Inventory[[#This Row],[final_res]]</f>
        <v>257300</v>
      </c>
      <c r="CE720">
        <f>Grandview_Inventory[[#This Row],[final_land]]+Grandview_Inventory[[#This Row],[final_imp]]+Grandview_Inventory[[#This Row],[crop_value]]</f>
        <v>304700</v>
      </c>
      <c r="CG720" t="str">
        <f t="shared" si="11"/>
        <v>update valuation set market_land =47400, market_bldg=257300, market_total =304700, market_mdno =401, market_date ='9/10/2023' where link_id = (select link_id from parcel where parcel_year = '2024' and parcel_id = '23092231458');</v>
      </c>
    </row>
    <row r="721" spans="1:85" x14ac:dyDescent="0.25">
      <c r="A721">
        <v>23092231459</v>
      </c>
      <c r="B721">
        <v>0.21</v>
      </c>
      <c r="C721" t="s">
        <v>129</v>
      </c>
      <c r="D721" t="s">
        <v>129</v>
      </c>
      <c r="E721" t="s">
        <v>53</v>
      </c>
      <c r="F721" t="s">
        <v>53</v>
      </c>
      <c r="G721">
        <v>4</v>
      </c>
      <c r="H721" t="s">
        <v>54</v>
      </c>
      <c r="I721">
        <v>140900</v>
      </c>
      <c r="J721">
        <v>39300</v>
      </c>
      <c r="K721">
        <v>0.21</v>
      </c>
      <c r="L72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21">
        <v>0</v>
      </c>
      <c r="N721">
        <v>0</v>
      </c>
      <c r="O721">
        <v>0</v>
      </c>
      <c r="P721">
        <v>13398.7528</v>
      </c>
      <c r="Q721">
        <v>63903</v>
      </c>
      <c r="R721">
        <f>(Grandview_Inventory[[#This Row],[ln_acres]]*Grandview_Inventory[[#This Row],[coeff]])+Grandview_Inventory[[#This Row],[const]]</f>
        <v>42992.266613125081</v>
      </c>
      <c r="S721" t="s">
        <v>61</v>
      </c>
      <c r="T721">
        <v>1</v>
      </c>
      <c r="U721" t="s">
        <v>65</v>
      </c>
      <c r="V721" t="s">
        <v>69</v>
      </c>
      <c r="W721">
        <v>0</v>
      </c>
      <c r="X721">
        <v>0</v>
      </c>
      <c r="Y721">
        <v>44</v>
      </c>
      <c r="Z721">
        <v>46</v>
      </c>
      <c r="AA721">
        <v>50</v>
      </c>
      <c r="AB721">
        <v>1500</v>
      </c>
      <c r="AC721">
        <v>1432</v>
      </c>
      <c r="AD721">
        <v>1432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288</v>
      </c>
      <c r="AN721">
        <v>96</v>
      </c>
      <c r="AO721">
        <v>348</v>
      </c>
      <c r="AP721">
        <v>5</v>
      </c>
      <c r="AQ721">
        <v>0</v>
      </c>
      <c r="AR721">
        <v>0</v>
      </c>
      <c r="AS721" t="s">
        <v>58</v>
      </c>
      <c r="AT721">
        <v>1</v>
      </c>
      <c r="AU721" t="s">
        <v>63</v>
      </c>
      <c r="AV721" t="s">
        <v>60</v>
      </c>
      <c r="AW721">
        <v>0</v>
      </c>
      <c r="AX721">
        <v>3</v>
      </c>
      <c r="AY721">
        <v>0</v>
      </c>
      <c r="AZ721">
        <v>0</v>
      </c>
      <c r="BA721">
        <v>100</v>
      </c>
      <c r="BB721">
        <v>100</v>
      </c>
      <c r="BC721">
        <v>100</v>
      </c>
      <c r="BD721">
        <v>100</v>
      </c>
      <c r="BE721">
        <v>1</v>
      </c>
      <c r="BF721">
        <v>15000</v>
      </c>
      <c r="BG721">
        <v>1000</v>
      </c>
      <c r="BH721" s="6">
        <f>Grandview_Inventory[[#This Row],[land_extract]]*Lookups!$B$3</f>
        <v>49926.8031387023</v>
      </c>
      <c r="BI721" s="6">
        <f>IF(Grandview_Inventory[[#This Row],[bldg_style]]="",0,Lookups!$B$2)</f>
        <v>155833.95000000001</v>
      </c>
      <c r="BJ721" s="6">
        <f>_xlfn.IFNA(VLOOKUP(Grandview_Inventory[[#This Row],[quality]],Lookups!$H$2:$J$14,3,FALSE),0)</f>
        <v>2251</v>
      </c>
      <c r="BK721" s="6">
        <f>_xlfn.IFNA(VLOOKUP(Grandview_Inventory[[#This Row],[condition]],Lookups!$H$17:$J$24,3,FALSE),0)</f>
        <v>-4503</v>
      </c>
      <c r="BL721" s="6">
        <f>Grandview_Inventory[[#This Row],[Eff_Age]]*Lookups!$B$14</f>
        <v>-10523.330399999999</v>
      </c>
      <c r="BM721" s="6">
        <f>Grandview_Inventory[[#This Row],[living_area]]*Lookups!$B$15</f>
        <v>89329.381496000002</v>
      </c>
      <c r="BN721" s="6">
        <f>Grandview_Inventory[[#This Row],[Fin BSMT]]*Lookups!$B$16</f>
        <v>0</v>
      </c>
      <c r="BO721" s="6">
        <f>(Grandview_Inventory[[#This Row],[att_gar]]+Grandview_Inventory[[#This Row],[bltin_gar]])*Lookups!$B$17</f>
        <v>0</v>
      </c>
      <c r="BP721" s="6">
        <f>Grandview_Inventory[[#This Row],[Plumbing Fixtures]]*Lookups!$B$18</f>
        <v>10052.209000000001</v>
      </c>
      <c r="BQ721" s="6">
        <f>Grandview_Inventory[[#This Row],[detatched_value]]*Lookups!$B$19</f>
        <v>0</v>
      </c>
      <c r="BR721" s="6">
        <f>SUM(Grandview_Inventory[[#This Row],[Intercept]:[det_value]])*Grandview_Inventory[[#This Row],[res_pct]]</f>
        <v>242440.21009600002</v>
      </c>
      <c r="BS721" s="6">
        <f>Grandview_Inventory[[#This Row],[land_value]]</f>
        <v>49926.8031387023</v>
      </c>
      <c r="BT721" s="4">
        <f>_xlfn.IFNA(VLOOKUP(Grandview_Inventory[[#This Row],[quality]],Lookups!$A$26:$C$33,3,FALSE),1)</f>
        <v>0.98763855981004833</v>
      </c>
      <c r="BU721" s="4">
        <f>_xlfn.IFNA(VLOOKUP(Grandview_Inventory[[#This Row],[condition]],Lookups!$A$37:$C$44,3,FALSE),1)</f>
        <v>0.96469275950863709</v>
      </c>
      <c r="BV721" s="4">
        <f>IF(Grandview_Inventory[[#This Row],[bldg_style]]="",1,_xlfn.IFNA(VLOOKUP(Grandview_Inventory[[#This Row],[decade]],Lookups!$F$29:$H$43,3,FALSE),1))</f>
        <v>0.9871940091910919</v>
      </c>
      <c r="BW721" s="4">
        <f>_xlfn.IFNA(VLOOKUP(Grandview_Inventory[[#This Row],[living_area_range]],Lookups!$F$47:$H$56,3,FALSE),1)</f>
        <v>0.96135087979789358</v>
      </c>
      <c r="BX721" s="4">
        <f>AVERAGE(Grandview_Inventory[[#This Row],[qual_adj]:[size_adj]])</f>
        <v>0.97521905207691773</v>
      </c>
      <c r="BY721" s="6">
        <f>IF(Grandview_Inventory[[#This Row],[pre_res]]&lt;0,0,Grandview_Inventory[[#This Row],[pre_res]]*Grandview_Inventory[[#This Row],[overall_adj]])</f>
        <v>236432.31187514993</v>
      </c>
      <c r="BZ721" s="6">
        <f>(Grandview_Inventory[[#This Row],[sum_land]]-IF(Grandview_Inventory[[#This Row],[no_utilities]]=1,12000,0))/IF(Grandview_Inventory[[#This Row],[unbuildable]]=1,2,1)</f>
        <v>49926.8031387023</v>
      </c>
      <c r="CA72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21">
        <f>ROUND(Grandview_Inventory[[#This Row],[det_value]]*Lookups!$M$28,-2)</f>
        <v>0</v>
      </c>
      <c r="CC721">
        <f>IF(ROUND(Grandview_Inventory[[#This Row],[adj_res]]*Lookups!$M$28,-2)&lt;Grandview_Inventory[[#This Row],[min_res]],Grandview_Inventory[[#This Row],[min_res]],ROUND(Grandview_Inventory[[#This Row],[adj_res]]*Lookups!$M$28,-2))</f>
        <v>224600</v>
      </c>
      <c r="CD721">
        <f>Grandview_Inventory[[#This Row],[final_det]]+Grandview_Inventory[[#This Row],[final_res]]</f>
        <v>224600</v>
      </c>
      <c r="CE721">
        <f>Grandview_Inventory[[#This Row],[final_land]]+Grandview_Inventory[[#This Row],[final_imp]]+Grandview_Inventory[[#This Row],[crop_value]]</f>
        <v>272000</v>
      </c>
      <c r="CG721" t="str">
        <f t="shared" si="11"/>
        <v>update valuation set market_land =47400, market_bldg=224600, market_total =272000, market_mdno =401, market_date ='9/10/2023' where link_id = (select link_id from parcel where parcel_year = '2024' and parcel_id = '23092231459');</v>
      </c>
    </row>
    <row r="722" spans="1:85" x14ac:dyDescent="0.25">
      <c r="A722">
        <v>23092231460</v>
      </c>
      <c r="B722">
        <v>0.21</v>
      </c>
      <c r="C722">
        <v>9360</v>
      </c>
      <c r="D722" t="s">
        <v>129</v>
      </c>
      <c r="E722" t="s">
        <v>53</v>
      </c>
      <c r="F722" t="s">
        <v>53</v>
      </c>
      <c r="G722">
        <v>4</v>
      </c>
      <c r="H722" t="s">
        <v>54</v>
      </c>
      <c r="I722">
        <v>176400</v>
      </c>
      <c r="J722">
        <v>39500</v>
      </c>
      <c r="K722">
        <v>0.21</v>
      </c>
      <c r="L72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22">
        <v>0</v>
      </c>
      <c r="N722">
        <v>0</v>
      </c>
      <c r="O722">
        <v>0</v>
      </c>
      <c r="P722">
        <v>13398.7528</v>
      </c>
      <c r="Q722">
        <v>63903</v>
      </c>
      <c r="R722">
        <f>(Grandview_Inventory[[#This Row],[ln_acres]]*Grandview_Inventory[[#This Row],[coeff]])+Grandview_Inventory[[#This Row],[const]]</f>
        <v>42992.266613125081</v>
      </c>
      <c r="S722" t="s">
        <v>61</v>
      </c>
      <c r="T722">
        <v>1</v>
      </c>
      <c r="U722" t="s">
        <v>65</v>
      </c>
      <c r="V722" t="s">
        <v>69</v>
      </c>
      <c r="W722">
        <v>0</v>
      </c>
      <c r="X722">
        <v>0</v>
      </c>
      <c r="Y722">
        <v>44</v>
      </c>
      <c r="Z722">
        <v>46</v>
      </c>
      <c r="AA722">
        <v>50</v>
      </c>
      <c r="AB722">
        <v>2000</v>
      </c>
      <c r="AC722">
        <v>1681</v>
      </c>
      <c r="AD722">
        <v>1681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315</v>
      </c>
      <c r="AM722">
        <v>0</v>
      </c>
      <c r="AN722">
        <v>0</v>
      </c>
      <c r="AO722">
        <v>540</v>
      </c>
      <c r="AP722">
        <v>8</v>
      </c>
      <c r="AQ722">
        <v>0</v>
      </c>
      <c r="AR722">
        <v>0</v>
      </c>
      <c r="AS722" t="s">
        <v>58</v>
      </c>
      <c r="AT722">
        <v>1</v>
      </c>
      <c r="AU722" t="s">
        <v>63</v>
      </c>
      <c r="AV722" t="s">
        <v>60</v>
      </c>
      <c r="AW722">
        <v>1</v>
      </c>
      <c r="AX722">
        <v>4</v>
      </c>
      <c r="AY722">
        <v>0</v>
      </c>
      <c r="AZ722">
        <v>0</v>
      </c>
      <c r="BA722">
        <v>100</v>
      </c>
      <c r="BB722">
        <v>100</v>
      </c>
      <c r="BC722">
        <v>100</v>
      </c>
      <c r="BD722">
        <v>100</v>
      </c>
      <c r="BE722">
        <v>1</v>
      </c>
      <c r="BF722">
        <v>15000</v>
      </c>
      <c r="BG722">
        <v>1000</v>
      </c>
      <c r="BH722" s="6">
        <f>Grandview_Inventory[[#This Row],[land_extract]]*Lookups!$B$3</f>
        <v>49926.8031387023</v>
      </c>
      <c r="BI722" s="6">
        <f>IF(Grandview_Inventory[[#This Row],[bldg_style]]="",0,Lookups!$B$2)</f>
        <v>155833.95000000001</v>
      </c>
      <c r="BJ722" s="6">
        <f>_xlfn.IFNA(VLOOKUP(Grandview_Inventory[[#This Row],[quality]],Lookups!$H$2:$J$14,3,FALSE),0)</f>
        <v>2251</v>
      </c>
      <c r="BK722" s="6">
        <f>_xlfn.IFNA(VLOOKUP(Grandview_Inventory[[#This Row],[condition]],Lookups!$H$17:$J$24,3,FALSE),0)</f>
        <v>-4503</v>
      </c>
      <c r="BL722" s="6">
        <f>Grandview_Inventory[[#This Row],[Eff_Age]]*Lookups!$B$14</f>
        <v>-10523.330399999999</v>
      </c>
      <c r="BM722" s="6">
        <f>Grandview_Inventory[[#This Row],[living_area]]*Lookups!$B$15</f>
        <v>104862.21389300001</v>
      </c>
      <c r="BN722" s="6">
        <f>Grandview_Inventory[[#This Row],[Fin BSMT]]*Lookups!$B$16</f>
        <v>0</v>
      </c>
      <c r="BO722" s="6">
        <f>(Grandview_Inventory[[#This Row],[att_gar]]+Grandview_Inventory[[#This Row],[bltin_gar]])*Lookups!$B$17</f>
        <v>0</v>
      </c>
      <c r="BP722" s="6">
        <f>Grandview_Inventory[[#This Row],[Plumbing Fixtures]]*Lookups!$B$18</f>
        <v>16083.5344</v>
      </c>
      <c r="BQ722" s="6">
        <f>Grandview_Inventory[[#This Row],[detatched_value]]*Lookups!$B$19</f>
        <v>0</v>
      </c>
      <c r="BR722" s="6">
        <f>SUM(Grandview_Inventory[[#This Row],[Intercept]:[det_value]])*Grandview_Inventory[[#This Row],[res_pct]]</f>
        <v>264004.36789300002</v>
      </c>
      <c r="BS722" s="6">
        <f>Grandview_Inventory[[#This Row],[land_value]]</f>
        <v>49926.8031387023</v>
      </c>
      <c r="BT722" s="4">
        <f>_xlfn.IFNA(VLOOKUP(Grandview_Inventory[[#This Row],[quality]],Lookups!$A$26:$C$33,3,FALSE),1)</f>
        <v>0.98763855981004833</v>
      </c>
      <c r="BU722" s="4">
        <f>_xlfn.IFNA(VLOOKUP(Grandview_Inventory[[#This Row],[condition]],Lookups!$A$37:$C$44,3,FALSE),1)</f>
        <v>0.96469275950863709</v>
      </c>
      <c r="BV722" s="4">
        <f>IF(Grandview_Inventory[[#This Row],[bldg_style]]="",1,_xlfn.IFNA(VLOOKUP(Grandview_Inventory[[#This Row],[decade]],Lookups!$F$29:$H$43,3,FALSE),1))</f>
        <v>0.9871940091910919</v>
      </c>
      <c r="BW722" s="4">
        <f>_xlfn.IFNA(VLOOKUP(Grandview_Inventory[[#This Row],[living_area_range]],Lookups!$F$47:$H$56,3,FALSE),1)</f>
        <v>0.96120133463014379</v>
      </c>
      <c r="BX722" s="4">
        <f>AVERAGE(Grandview_Inventory[[#This Row],[qual_adj]:[size_adj]])</f>
        <v>0.97518166578498033</v>
      </c>
      <c r="BY722" s="6">
        <f>IF(Grandview_Inventory[[#This Row],[pre_res]]&lt;0,0,Grandview_Inventory[[#This Row],[pre_res]]*Grandview_Inventory[[#This Row],[overall_adj]])</f>
        <v>257452.21925640653</v>
      </c>
      <c r="BZ722" s="6">
        <f>(Grandview_Inventory[[#This Row],[sum_land]]-IF(Grandview_Inventory[[#This Row],[no_utilities]]=1,12000,0))/IF(Grandview_Inventory[[#This Row],[unbuildable]]=1,2,1)</f>
        <v>49926.8031387023</v>
      </c>
      <c r="CA72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22">
        <f>ROUND(Grandview_Inventory[[#This Row],[det_value]]*Lookups!$M$28,-2)</f>
        <v>0</v>
      </c>
      <c r="CC722">
        <f>IF(ROUND(Grandview_Inventory[[#This Row],[adj_res]]*Lookups!$M$28,-2)&lt;Grandview_Inventory[[#This Row],[min_res]],Grandview_Inventory[[#This Row],[min_res]],ROUND(Grandview_Inventory[[#This Row],[adj_res]]*Lookups!$M$28,-2))</f>
        <v>244600</v>
      </c>
      <c r="CD722">
        <f>Grandview_Inventory[[#This Row],[final_det]]+Grandview_Inventory[[#This Row],[final_res]]</f>
        <v>244600</v>
      </c>
      <c r="CE722">
        <f>Grandview_Inventory[[#This Row],[final_land]]+Grandview_Inventory[[#This Row],[final_imp]]+Grandview_Inventory[[#This Row],[crop_value]]</f>
        <v>292000</v>
      </c>
      <c r="CG722" t="str">
        <f t="shared" si="11"/>
        <v>update valuation set market_land =47400, market_bldg=244600, market_total =292000, market_mdno =401, market_date ='9/10/2023' where link_id = (select link_id from parcel where parcel_year = '2024' and parcel_id = '23092231460');</v>
      </c>
    </row>
    <row r="723" spans="1:85" x14ac:dyDescent="0.25">
      <c r="A723">
        <v>23092231461</v>
      </c>
      <c r="B723">
        <v>0.21</v>
      </c>
      <c r="C723" t="s">
        <v>129</v>
      </c>
      <c r="D723" t="s">
        <v>129</v>
      </c>
      <c r="E723" t="s">
        <v>53</v>
      </c>
      <c r="F723" t="s">
        <v>53</v>
      </c>
      <c r="G723">
        <v>4</v>
      </c>
      <c r="H723" t="s">
        <v>54</v>
      </c>
      <c r="I723">
        <v>147800</v>
      </c>
      <c r="J723">
        <v>39300</v>
      </c>
      <c r="K723">
        <v>0.21</v>
      </c>
      <c r="L72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23">
        <v>0</v>
      </c>
      <c r="N723">
        <v>0</v>
      </c>
      <c r="O723">
        <v>0</v>
      </c>
      <c r="P723">
        <v>13398.7528</v>
      </c>
      <c r="Q723">
        <v>63903</v>
      </c>
      <c r="R723">
        <f>(Grandview_Inventory[[#This Row],[ln_acres]]*Grandview_Inventory[[#This Row],[coeff]])+Grandview_Inventory[[#This Row],[const]]</f>
        <v>42992.266613125081</v>
      </c>
      <c r="S723" t="s">
        <v>61</v>
      </c>
      <c r="T723">
        <v>1</v>
      </c>
      <c r="U723" t="s">
        <v>65</v>
      </c>
      <c r="V723" t="s">
        <v>69</v>
      </c>
      <c r="W723">
        <v>0</v>
      </c>
      <c r="X723">
        <v>0</v>
      </c>
      <c r="Y723">
        <v>44</v>
      </c>
      <c r="Z723">
        <v>46</v>
      </c>
      <c r="AA723">
        <v>50</v>
      </c>
      <c r="AB723">
        <v>1500</v>
      </c>
      <c r="AC723">
        <v>1232</v>
      </c>
      <c r="AD723">
        <v>1232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120</v>
      </c>
      <c r="AM723">
        <v>0</v>
      </c>
      <c r="AN723">
        <v>0</v>
      </c>
      <c r="AO723">
        <v>0</v>
      </c>
      <c r="AP723">
        <v>5</v>
      </c>
      <c r="AQ723">
        <v>1</v>
      </c>
      <c r="AR723">
        <v>0</v>
      </c>
      <c r="AS723" t="s">
        <v>58</v>
      </c>
      <c r="AT723">
        <v>1</v>
      </c>
      <c r="AU723" t="s">
        <v>63</v>
      </c>
      <c r="AV723" t="s">
        <v>60</v>
      </c>
      <c r="AW723">
        <v>0</v>
      </c>
      <c r="AX723">
        <v>5</v>
      </c>
      <c r="AY723">
        <v>0</v>
      </c>
      <c r="AZ723">
        <v>0</v>
      </c>
      <c r="BA723">
        <v>100</v>
      </c>
      <c r="BB723">
        <v>100</v>
      </c>
      <c r="BC723">
        <v>100</v>
      </c>
      <c r="BD723">
        <v>100</v>
      </c>
      <c r="BE723">
        <v>1</v>
      </c>
      <c r="BF723">
        <v>15000</v>
      </c>
      <c r="BG723">
        <v>1000</v>
      </c>
      <c r="BH723" s="6">
        <f>Grandview_Inventory[[#This Row],[land_extract]]*Lookups!$B$3</f>
        <v>49926.8031387023</v>
      </c>
      <c r="BI723" s="6">
        <f>IF(Grandview_Inventory[[#This Row],[bldg_style]]="",0,Lookups!$B$2)</f>
        <v>155833.95000000001</v>
      </c>
      <c r="BJ723" s="6">
        <f>_xlfn.IFNA(VLOOKUP(Grandview_Inventory[[#This Row],[quality]],Lookups!$H$2:$J$14,3,FALSE),0)</f>
        <v>2251</v>
      </c>
      <c r="BK723" s="6">
        <f>_xlfn.IFNA(VLOOKUP(Grandview_Inventory[[#This Row],[condition]],Lookups!$H$17:$J$24,3,FALSE),0)</f>
        <v>-4503</v>
      </c>
      <c r="BL723" s="6">
        <f>Grandview_Inventory[[#This Row],[Eff_Age]]*Lookups!$B$14</f>
        <v>-10523.330399999999</v>
      </c>
      <c r="BM723" s="6">
        <f>Grandview_Inventory[[#This Row],[living_area]]*Lookups!$B$15</f>
        <v>76853.210896000004</v>
      </c>
      <c r="BN723" s="6">
        <f>Grandview_Inventory[[#This Row],[Fin BSMT]]*Lookups!$B$16</f>
        <v>0</v>
      </c>
      <c r="BO723" s="6">
        <f>(Grandview_Inventory[[#This Row],[att_gar]]+Grandview_Inventory[[#This Row],[bltin_gar]])*Lookups!$B$17</f>
        <v>0</v>
      </c>
      <c r="BP723" s="6">
        <f>Grandview_Inventory[[#This Row],[Plumbing Fixtures]]*Lookups!$B$18</f>
        <v>10052.209000000001</v>
      </c>
      <c r="BQ723" s="6">
        <f>Grandview_Inventory[[#This Row],[detatched_value]]*Lookups!$B$19</f>
        <v>0</v>
      </c>
      <c r="BR723" s="6">
        <f>SUM(Grandview_Inventory[[#This Row],[Intercept]:[det_value]])*Grandview_Inventory[[#This Row],[res_pct]]</f>
        <v>229964.03949600001</v>
      </c>
      <c r="BS723" s="6">
        <f>Grandview_Inventory[[#This Row],[land_value]]</f>
        <v>49926.8031387023</v>
      </c>
      <c r="BT723" s="4">
        <f>_xlfn.IFNA(VLOOKUP(Grandview_Inventory[[#This Row],[quality]],Lookups!$A$26:$C$33,3,FALSE),1)</f>
        <v>0.98763855981004833</v>
      </c>
      <c r="BU723" s="4">
        <f>_xlfn.IFNA(VLOOKUP(Grandview_Inventory[[#This Row],[condition]],Lookups!$A$37:$C$44,3,FALSE),1)</f>
        <v>0.96469275950863709</v>
      </c>
      <c r="BV723" s="4">
        <f>IF(Grandview_Inventory[[#This Row],[bldg_style]]="",1,_xlfn.IFNA(VLOOKUP(Grandview_Inventory[[#This Row],[decade]],Lookups!$F$29:$H$43,3,FALSE),1))</f>
        <v>0.9871940091910919</v>
      </c>
      <c r="BW723" s="4">
        <f>_xlfn.IFNA(VLOOKUP(Grandview_Inventory[[#This Row],[living_area_range]],Lookups!$F$47:$H$56,3,FALSE),1)</f>
        <v>0.96135087979789358</v>
      </c>
      <c r="BX723" s="4">
        <f>AVERAGE(Grandview_Inventory[[#This Row],[qual_adj]:[size_adj]])</f>
        <v>0.97521905207691773</v>
      </c>
      <c r="BY723" s="6">
        <f>IF(Grandview_Inventory[[#This Row],[pre_res]]&lt;0,0,Grandview_Inventory[[#This Row],[pre_res]]*Grandview_Inventory[[#This Row],[overall_adj]])</f>
        <v>224265.312609068</v>
      </c>
      <c r="BZ723" s="6">
        <f>(Grandview_Inventory[[#This Row],[sum_land]]-IF(Grandview_Inventory[[#This Row],[no_utilities]]=1,12000,0))/IF(Grandview_Inventory[[#This Row],[unbuildable]]=1,2,1)</f>
        <v>49926.8031387023</v>
      </c>
      <c r="CA72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23">
        <f>ROUND(Grandview_Inventory[[#This Row],[det_value]]*Lookups!$M$28,-2)</f>
        <v>0</v>
      </c>
      <c r="CC723">
        <f>IF(ROUND(Grandview_Inventory[[#This Row],[adj_res]]*Lookups!$M$28,-2)&lt;Grandview_Inventory[[#This Row],[min_res]],Grandview_Inventory[[#This Row],[min_res]],ROUND(Grandview_Inventory[[#This Row],[adj_res]]*Lookups!$M$28,-2))</f>
        <v>213100</v>
      </c>
      <c r="CD723">
        <f>Grandview_Inventory[[#This Row],[final_det]]+Grandview_Inventory[[#This Row],[final_res]]</f>
        <v>213100</v>
      </c>
      <c r="CE723">
        <f>Grandview_Inventory[[#This Row],[final_land]]+Grandview_Inventory[[#This Row],[final_imp]]+Grandview_Inventory[[#This Row],[crop_value]]</f>
        <v>260500</v>
      </c>
      <c r="CG723" t="str">
        <f t="shared" si="11"/>
        <v>update valuation set market_land =47400, market_bldg=213100, market_total =260500, market_mdno =401, market_date ='9/10/2023' where link_id = (select link_id from parcel where parcel_year = '2024' and parcel_id = '23092231461');</v>
      </c>
    </row>
    <row r="724" spans="1:85" x14ac:dyDescent="0.25">
      <c r="A724">
        <v>23092231462</v>
      </c>
      <c r="B724">
        <v>0.21</v>
      </c>
      <c r="C724" t="s">
        <v>129</v>
      </c>
      <c r="D724" t="s">
        <v>129</v>
      </c>
      <c r="E724" t="s">
        <v>53</v>
      </c>
      <c r="F724" t="s">
        <v>53</v>
      </c>
      <c r="G724">
        <v>4</v>
      </c>
      <c r="H724" t="s">
        <v>54</v>
      </c>
      <c r="I724">
        <v>111900</v>
      </c>
      <c r="J724">
        <v>43700</v>
      </c>
      <c r="K724">
        <v>0.21</v>
      </c>
      <c r="L72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24">
        <v>0</v>
      </c>
      <c r="N724">
        <v>0</v>
      </c>
      <c r="O724">
        <v>0</v>
      </c>
      <c r="P724">
        <v>13398.7528</v>
      </c>
      <c r="Q724">
        <v>63903</v>
      </c>
      <c r="R724">
        <f>(Grandview_Inventory[[#This Row],[ln_acres]]*Grandview_Inventory[[#This Row],[coeff]])+Grandview_Inventory[[#This Row],[const]]</f>
        <v>42992.266613125081</v>
      </c>
      <c r="S724" t="s">
        <v>61</v>
      </c>
      <c r="T724">
        <v>1</v>
      </c>
      <c r="U724" t="s">
        <v>65</v>
      </c>
      <c r="V724" t="s">
        <v>78</v>
      </c>
      <c r="W724">
        <v>0</v>
      </c>
      <c r="X724">
        <v>0</v>
      </c>
      <c r="Y724">
        <v>44</v>
      </c>
      <c r="Z724">
        <v>46</v>
      </c>
      <c r="AA724">
        <v>50</v>
      </c>
      <c r="AB724">
        <v>1500</v>
      </c>
      <c r="AC724">
        <v>1088</v>
      </c>
      <c r="AD724">
        <v>1088</v>
      </c>
      <c r="AE724">
        <v>0</v>
      </c>
      <c r="AF724">
        <v>0</v>
      </c>
      <c r="AG724">
        <v>0</v>
      </c>
      <c r="AH724">
        <v>0</v>
      </c>
      <c r="AI724">
        <v>288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5</v>
      </c>
      <c r="AQ724">
        <v>0</v>
      </c>
      <c r="AR724">
        <v>0</v>
      </c>
      <c r="AS724" t="s">
        <v>58</v>
      </c>
      <c r="AT724">
        <v>1</v>
      </c>
      <c r="AU724" t="s">
        <v>63</v>
      </c>
      <c r="AV724" t="s">
        <v>60</v>
      </c>
      <c r="AW724">
        <v>0</v>
      </c>
      <c r="AX724">
        <v>3</v>
      </c>
      <c r="AY724">
        <v>0</v>
      </c>
      <c r="AZ724">
        <v>0</v>
      </c>
      <c r="BA724">
        <v>100</v>
      </c>
      <c r="BB724">
        <v>100</v>
      </c>
      <c r="BC724">
        <v>100</v>
      </c>
      <c r="BD724">
        <v>100</v>
      </c>
      <c r="BE724">
        <v>1</v>
      </c>
      <c r="BF724">
        <v>15000</v>
      </c>
      <c r="BG724">
        <v>1000</v>
      </c>
      <c r="BH724" s="6">
        <f>Grandview_Inventory[[#This Row],[land_extract]]*Lookups!$B$3</f>
        <v>49926.8031387023</v>
      </c>
      <c r="BI724" s="6">
        <f>IF(Grandview_Inventory[[#This Row],[bldg_style]]="",0,Lookups!$B$2)</f>
        <v>155833.95000000001</v>
      </c>
      <c r="BJ724" s="6">
        <f>_xlfn.IFNA(VLOOKUP(Grandview_Inventory[[#This Row],[quality]],Lookups!$H$2:$J$14,3,FALSE),0)</f>
        <v>2251</v>
      </c>
      <c r="BK724" s="6">
        <f>_xlfn.IFNA(VLOOKUP(Grandview_Inventory[[#This Row],[condition]],Lookups!$H$17:$J$24,3,FALSE),0)</f>
        <v>-45357</v>
      </c>
      <c r="BL724" s="6">
        <f>Grandview_Inventory[[#This Row],[Eff_Age]]*Lookups!$B$14</f>
        <v>-10523.330399999999</v>
      </c>
      <c r="BM724" s="6">
        <f>Grandview_Inventory[[#This Row],[living_area]]*Lookups!$B$15</f>
        <v>67870.368064000009</v>
      </c>
      <c r="BN724" s="6">
        <f>Grandview_Inventory[[#This Row],[Fin BSMT]]*Lookups!$B$16</f>
        <v>0</v>
      </c>
      <c r="BO724" s="6">
        <f>(Grandview_Inventory[[#This Row],[att_gar]]+Grandview_Inventory[[#This Row],[bltin_gar]])*Lookups!$B$17</f>
        <v>25205.885856000001</v>
      </c>
      <c r="BP724" s="6">
        <f>Grandview_Inventory[[#This Row],[Plumbing Fixtures]]*Lookups!$B$18</f>
        <v>10052.209000000001</v>
      </c>
      <c r="BQ724" s="6">
        <f>Grandview_Inventory[[#This Row],[detatched_value]]*Lookups!$B$19</f>
        <v>0</v>
      </c>
      <c r="BR724" s="6">
        <f>SUM(Grandview_Inventory[[#This Row],[Intercept]:[det_value]])*Grandview_Inventory[[#This Row],[res_pct]]</f>
        <v>205333.08252000003</v>
      </c>
      <c r="BS724" s="6">
        <f>Grandview_Inventory[[#This Row],[land_value]]</f>
        <v>49926.8031387023</v>
      </c>
      <c r="BT724" s="4">
        <f>_xlfn.IFNA(VLOOKUP(Grandview_Inventory[[#This Row],[quality]],Lookups!$A$26:$C$33,3,FALSE),1)</f>
        <v>0.98763855981004833</v>
      </c>
      <c r="BU724" s="4">
        <f>_xlfn.IFNA(VLOOKUP(Grandview_Inventory[[#This Row],[condition]],Lookups!$A$37:$C$44,3,FALSE),1)</f>
        <v>0.97161819570155394</v>
      </c>
      <c r="BV724" s="4">
        <f>IF(Grandview_Inventory[[#This Row],[bldg_style]]="",1,_xlfn.IFNA(VLOOKUP(Grandview_Inventory[[#This Row],[decade]],Lookups!$F$29:$H$43,3,FALSE),1))</f>
        <v>0.9871940091910919</v>
      </c>
      <c r="BW724" s="4">
        <f>_xlfn.IFNA(VLOOKUP(Grandview_Inventory[[#This Row],[living_area_range]],Lookups!$F$47:$H$56,3,FALSE),1)</f>
        <v>0.96135087979789358</v>
      </c>
      <c r="BX724" s="4">
        <f>AVERAGE(Grandview_Inventory[[#This Row],[qual_adj]:[size_adj]])</f>
        <v>0.97695041112514691</v>
      </c>
      <c r="BY724" s="6">
        <f>IF(Grandview_Inventory[[#This Row],[pre_res]]&lt;0,0,Grandview_Inventory[[#This Row],[pre_res]]*Grandview_Inventory[[#This Row],[overall_adj]])</f>
        <v>200600.23938550774</v>
      </c>
      <c r="BZ724" s="6">
        <f>(Grandview_Inventory[[#This Row],[sum_land]]-IF(Grandview_Inventory[[#This Row],[no_utilities]]=1,12000,0))/IF(Grandview_Inventory[[#This Row],[unbuildable]]=1,2,1)</f>
        <v>49926.8031387023</v>
      </c>
      <c r="CA72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24">
        <f>ROUND(Grandview_Inventory[[#This Row],[det_value]]*Lookups!$M$28,-2)</f>
        <v>0</v>
      </c>
      <c r="CC724">
        <f>IF(ROUND(Grandview_Inventory[[#This Row],[adj_res]]*Lookups!$M$28,-2)&lt;Grandview_Inventory[[#This Row],[min_res]],Grandview_Inventory[[#This Row],[min_res]],ROUND(Grandview_Inventory[[#This Row],[adj_res]]*Lookups!$M$28,-2))</f>
        <v>190600</v>
      </c>
      <c r="CD724">
        <f>Grandview_Inventory[[#This Row],[final_det]]+Grandview_Inventory[[#This Row],[final_res]]</f>
        <v>190600</v>
      </c>
      <c r="CE724">
        <f>Grandview_Inventory[[#This Row],[final_land]]+Grandview_Inventory[[#This Row],[final_imp]]+Grandview_Inventory[[#This Row],[crop_value]]</f>
        <v>238000</v>
      </c>
      <c r="CG724" t="str">
        <f t="shared" si="11"/>
        <v>update valuation set market_land =47400, market_bldg=190600, market_total =238000, market_mdno =401, market_date ='9/10/2023' where link_id = (select link_id from parcel where parcel_year = '2024' and parcel_id = '23092231462');</v>
      </c>
    </row>
    <row r="725" spans="1:85" x14ac:dyDescent="0.25">
      <c r="A725">
        <v>23092231463</v>
      </c>
      <c r="B725">
        <v>0.21</v>
      </c>
      <c r="C725" t="s">
        <v>129</v>
      </c>
      <c r="D725" t="s">
        <v>129</v>
      </c>
      <c r="E725" t="s">
        <v>53</v>
      </c>
      <c r="F725" t="s">
        <v>53</v>
      </c>
      <c r="G725">
        <v>4</v>
      </c>
      <c r="H725" t="s">
        <v>54</v>
      </c>
      <c r="I725">
        <v>191200</v>
      </c>
      <c r="J725">
        <v>43700</v>
      </c>
      <c r="K725">
        <v>0.21</v>
      </c>
      <c r="L72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25">
        <v>0</v>
      </c>
      <c r="N725">
        <v>0</v>
      </c>
      <c r="O725">
        <v>0</v>
      </c>
      <c r="P725">
        <v>13398.7528</v>
      </c>
      <c r="Q725">
        <v>63903</v>
      </c>
      <c r="R725">
        <f>(Grandview_Inventory[[#This Row],[ln_acres]]*Grandview_Inventory[[#This Row],[coeff]])+Grandview_Inventory[[#This Row],[const]]</f>
        <v>42992.266613125081</v>
      </c>
      <c r="S725" t="s">
        <v>61</v>
      </c>
      <c r="T725">
        <v>1</v>
      </c>
      <c r="U725" t="s">
        <v>65</v>
      </c>
      <c r="V725" t="s">
        <v>67</v>
      </c>
      <c r="W725">
        <v>0</v>
      </c>
      <c r="X725">
        <v>0</v>
      </c>
      <c r="Y725">
        <v>44</v>
      </c>
      <c r="Z725">
        <v>46</v>
      </c>
      <c r="AA725">
        <v>50</v>
      </c>
      <c r="AB725">
        <v>1500</v>
      </c>
      <c r="AC725">
        <v>1154</v>
      </c>
      <c r="AD725">
        <v>1154</v>
      </c>
      <c r="AE725">
        <v>0</v>
      </c>
      <c r="AF725">
        <v>0</v>
      </c>
      <c r="AG725">
        <v>0</v>
      </c>
      <c r="AH725">
        <v>0</v>
      </c>
      <c r="AI725">
        <v>504</v>
      </c>
      <c r="AJ725">
        <v>0</v>
      </c>
      <c r="AK725">
        <v>0</v>
      </c>
      <c r="AL725">
        <v>0</v>
      </c>
      <c r="AM725">
        <v>120</v>
      </c>
      <c r="AN725">
        <v>0</v>
      </c>
      <c r="AO725">
        <v>0</v>
      </c>
      <c r="AP725">
        <v>7</v>
      </c>
      <c r="AQ725">
        <v>1</v>
      </c>
      <c r="AR725">
        <v>0</v>
      </c>
      <c r="AS725" t="s">
        <v>58</v>
      </c>
      <c r="AT725">
        <v>1</v>
      </c>
      <c r="AU725" t="s">
        <v>63</v>
      </c>
      <c r="AV725" t="s">
        <v>60</v>
      </c>
      <c r="AW725">
        <v>1</v>
      </c>
      <c r="AX725">
        <v>3</v>
      </c>
      <c r="AY725">
        <v>0</v>
      </c>
      <c r="AZ725">
        <v>0</v>
      </c>
      <c r="BA725">
        <v>100</v>
      </c>
      <c r="BB725">
        <v>100</v>
      </c>
      <c r="BC725">
        <v>100</v>
      </c>
      <c r="BD725">
        <v>100</v>
      </c>
      <c r="BE725">
        <v>1</v>
      </c>
      <c r="BF725">
        <v>15000</v>
      </c>
      <c r="BG725">
        <v>1000</v>
      </c>
      <c r="BH725" s="6">
        <f>Grandview_Inventory[[#This Row],[land_extract]]*Lookups!$B$3</f>
        <v>49926.8031387023</v>
      </c>
      <c r="BI725" s="6">
        <f>IF(Grandview_Inventory[[#This Row],[bldg_style]]="",0,Lookups!$B$2)</f>
        <v>155833.95000000001</v>
      </c>
      <c r="BJ725" s="6">
        <f>_xlfn.IFNA(VLOOKUP(Grandview_Inventory[[#This Row],[quality]],Lookups!$H$2:$J$14,3,FALSE),0)</f>
        <v>2251</v>
      </c>
      <c r="BK725" s="6">
        <f>_xlfn.IFNA(VLOOKUP(Grandview_Inventory[[#This Row],[condition]],Lookups!$H$17:$J$24,3,FALSE),0)</f>
        <v>22342</v>
      </c>
      <c r="BL725" s="6">
        <f>Grandview_Inventory[[#This Row],[Eff_Age]]*Lookups!$B$14</f>
        <v>-10523.330399999999</v>
      </c>
      <c r="BM725" s="6">
        <f>Grandview_Inventory[[#This Row],[living_area]]*Lookups!$B$15</f>
        <v>71987.504362000007</v>
      </c>
      <c r="BN725" s="6">
        <f>Grandview_Inventory[[#This Row],[Fin BSMT]]*Lookups!$B$16</f>
        <v>0</v>
      </c>
      <c r="BO725" s="6">
        <f>(Grandview_Inventory[[#This Row],[att_gar]]+Grandview_Inventory[[#This Row],[bltin_gar]])*Lookups!$B$17</f>
        <v>44110.300248</v>
      </c>
      <c r="BP725" s="6">
        <f>Grandview_Inventory[[#This Row],[Plumbing Fixtures]]*Lookups!$B$18</f>
        <v>14073.0926</v>
      </c>
      <c r="BQ725" s="6">
        <f>Grandview_Inventory[[#This Row],[detatched_value]]*Lookups!$B$19</f>
        <v>0</v>
      </c>
      <c r="BR725" s="6">
        <f>SUM(Grandview_Inventory[[#This Row],[Intercept]:[det_value]])*Grandview_Inventory[[#This Row],[res_pct]]</f>
        <v>300074.51681</v>
      </c>
      <c r="BS725" s="6">
        <f>Grandview_Inventory[[#This Row],[land_value]]</f>
        <v>49926.8031387023</v>
      </c>
      <c r="BT725" s="4">
        <f>_xlfn.IFNA(VLOOKUP(Grandview_Inventory[[#This Row],[quality]],Lookups!$A$26:$C$33,3,FALSE),1)</f>
        <v>0.98763855981004833</v>
      </c>
      <c r="BU725" s="4">
        <f>_xlfn.IFNA(VLOOKUP(Grandview_Inventory[[#This Row],[condition]],Lookups!$A$37:$C$44,3,FALSE),1)</f>
        <v>0.97383723671140243</v>
      </c>
      <c r="BV725" s="4">
        <f>IF(Grandview_Inventory[[#This Row],[bldg_style]]="",1,_xlfn.IFNA(VLOOKUP(Grandview_Inventory[[#This Row],[decade]],Lookups!$F$29:$H$43,3,FALSE),1))</f>
        <v>0.9871940091910919</v>
      </c>
      <c r="BW725" s="4">
        <f>_xlfn.IFNA(VLOOKUP(Grandview_Inventory[[#This Row],[living_area_range]],Lookups!$F$47:$H$56,3,FALSE),1)</f>
        <v>0.96135087979789358</v>
      </c>
      <c r="BX725" s="4">
        <f>AVERAGE(Grandview_Inventory[[#This Row],[qual_adj]:[size_adj]])</f>
        <v>0.97750517137760906</v>
      </c>
      <c r="BY725" s="6">
        <f>IF(Grandview_Inventory[[#This Row],[pre_res]]&lt;0,0,Grandview_Inventory[[#This Row],[pre_res]]*Grandview_Inventory[[#This Row],[overall_adj]])</f>
        <v>293324.3919804123</v>
      </c>
      <c r="BZ725" s="6">
        <f>(Grandview_Inventory[[#This Row],[sum_land]]-IF(Grandview_Inventory[[#This Row],[no_utilities]]=1,12000,0))/IF(Grandview_Inventory[[#This Row],[unbuildable]]=1,2,1)</f>
        <v>49926.8031387023</v>
      </c>
      <c r="CA72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25">
        <f>ROUND(Grandview_Inventory[[#This Row],[det_value]]*Lookups!$M$28,-2)</f>
        <v>0</v>
      </c>
      <c r="CC725">
        <f>IF(ROUND(Grandview_Inventory[[#This Row],[adj_res]]*Lookups!$M$28,-2)&lt;Grandview_Inventory[[#This Row],[min_res]],Grandview_Inventory[[#This Row],[min_res]],ROUND(Grandview_Inventory[[#This Row],[adj_res]]*Lookups!$M$28,-2))</f>
        <v>278700</v>
      </c>
      <c r="CD725">
        <f>Grandview_Inventory[[#This Row],[final_det]]+Grandview_Inventory[[#This Row],[final_res]]</f>
        <v>278700</v>
      </c>
      <c r="CE725">
        <f>Grandview_Inventory[[#This Row],[final_land]]+Grandview_Inventory[[#This Row],[final_imp]]+Grandview_Inventory[[#This Row],[crop_value]]</f>
        <v>326100</v>
      </c>
      <c r="CG725" t="str">
        <f t="shared" si="11"/>
        <v>update valuation set market_land =47400, market_bldg=278700, market_total =326100, market_mdno =401, market_date ='9/10/2023' where link_id = (select link_id from parcel where parcel_year = '2024' and parcel_id = '23092231463');</v>
      </c>
    </row>
    <row r="726" spans="1:85" x14ac:dyDescent="0.25">
      <c r="A726">
        <v>23092231464</v>
      </c>
      <c r="B726">
        <v>0.22</v>
      </c>
      <c r="C726">
        <v>9710</v>
      </c>
      <c r="D726" t="s">
        <v>129</v>
      </c>
      <c r="E726" t="s">
        <v>53</v>
      </c>
      <c r="F726" t="s">
        <v>53</v>
      </c>
      <c r="G726">
        <v>4</v>
      </c>
      <c r="H726" t="s">
        <v>54</v>
      </c>
      <c r="I726">
        <v>159100</v>
      </c>
      <c r="J726">
        <v>43800</v>
      </c>
      <c r="K726">
        <v>0.22</v>
      </c>
      <c r="L72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726">
        <v>0</v>
      </c>
      <c r="N726">
        <v>0</v>
      </c>
      <c r="O726">
        <v>0</v>
      </c>
      <c r="P726">
        <v>13398.7528</v>
      </c>
      <c r="Q726">
        <v>63903</v>
      </c>
      <c r="R726">
        <f>(Grandview_Inventory[[#This Row],[ln_acres]]*Grandview_Inventory[[#This Row],[coeff]])+Grandview_Inventory[[#This Row],[const]]</f>
        <v>43615.576802869145</v>
      </c>
      <c r="S726" t="s">
        <v>61</v>
      </c>
      <c r="T726">
        <v>1</v>
      </c>
      <c r="U726" t="s">
        <v>65</v>
      </c>
      <c r="V726" t="s">
        <v>69</v>
      </c>
      <c r="W726">
        <v>0</v>
      </c>
      <c r="X726">
        <v>0</v>
      </c>
      <c r="Y726">
        <v>44</v>
      </c>
      <c r="Z726">
        <v>46</v>
      </c>
      <c r="AA726">
        <v>50</v>
      </c>
      <c r="AB726">
        <v>1500</v>
      </c>
      <c r="AC726">
        <v>1100</v>
      </c>
      <c r="AD726">
        <v>1100</v>
      </c>
      <c r="AE726">
        <v>0</v>
      </c>
      <c r="AF726">
        <v>0</v>
      </c>
      <c r="AG726">
        <v>0</v>
      </c>
      <c r="AH726">
        <v>0</v>
      </c>
      <c r="AI726">
        <v>400</v>
      </c>
      <c r="AJ726">
        <v>0</v>
      </c>
      <c r="AK726">
        <v>336</v>
      </c>
      <c r="AL726">
        <v>0</v>
      </c>
      <c r="AM726">
        <v>376</v>
      </c>
      <c r="AN726">
        <v>0</v>
      </c>
      <c r="AO726">
        <v>320</v>
      </c>
      <c r="AP726">
        <v>5</v>
      </c>
      <c r="AQ726">
        <v>0</v>
      </c>
      <c r="AR726">
        <v>0</v>
      </c>
      <c r="AS726" t="s">
        <v>58</v>
      </c>
      <c r="AT726">
        <v>1</v>
      </c>
      <c r="AU726" t="s">
        <v>63</v>
      </c>
      <c r="AV726" t="s">
        <v>60</v>
      </c>
      <c r="AW726">
        <v>0</v>
      </c>
      <c r="AX726">
        <v>3</v>
      </c>
      <c r="AY726">
        <v>0</v>
      </c>
      <c r="AZ726">
        <v>0</v>
      </c>
      <c r="BA726">
        <v>100</v>
      </c>
      <c r="BB726">
        <v>100</v>
      </c>
      <c r="BC726">
        <v>100</v>
      </c>
      <c r="BD726">
        <v>100</v>
      </c>
      <c r="BE726">
        <v>1</v>
      </c>
      <c r="BF726">
        <v>15000</v>
      </c>
      <c r="BG726">
        <v>1000</v>
      </c>
      <c r="BH726" s="6">
        <f>Grandview_Inventory[[#This Row],[land_extract]]*Lookups!$B$3</f>
        <v>50650.651579114572</v>
      </c>
      <c r="BI726" s="6">
        <f>IF(Grandview_Inventory[[#This Row],[bldg_style]]="",0,Lookups!$B$2)</f>
        <v>155833.95000000001</v>
      </c>
      <c r="BJ726" s="6">
        <f>_xlfn.IFNA(VLOOKUP(Grandview_Inventory[[#This Row],[quality]],Lookups!$H$2:$J$14,3,FALSE),0)</f>
        <v>2251</v>
      </c>
      <c r="BK726" s="6">
        <f>_xlfn.IFNA(VLOOKUP(Grandview_Inventory[[#This Row],[condition]],Lookups!$H$17:$J$24,3,FALSE),0)</f>
        <v>-4503</v>
      </c>
      <c r="BL726" s="6">
        <f>Grandview_Inventory[[#This Row],[Eff_Age]]*Lookups!$B$14</f>
        <v>-10523.330399999999</v>
      </c>
      <c r="BM726" s="6">
        <f>Grandview_Inventory[[#This Row],[living_area]]*Lookups!$B$15</f>
        <v>68618.938300000009</v>
      </c>
      <c r="BN726" s="6">
        <f>Grandview_Inventory[[#This Row],[Fin BSMT]]*Lookups!$B$16</f>
        <v>0</v>
      </c>
      <c r="BO726" s="6">
        <f>(Grandview_Inventory[[#This Row],[att_gar]]+Grandview_Inventory[[#This Row],[bltin_gar]])*Lookups!$B$17</f>
        <v>35008.174800000001</v>
      </c>
      <c r="BP726" s="6">
        <f>Grandview_Inventory[[#This Row],[Plumbing Fixtures]]*Lookups!$B$18</f>
        <v>10052.209000000001</v>
      </c>
      <c r="BQ726" s="6">
        <f>Grandview_Inventory[[#This Row],[detatched_value]]*Lookups!$B$19</f>
        <v>0</v>
      </c>
      <c r="BR726" s="6">
        <f>SUM(Grandview_Inventory[[#This Row],[Intercept]:[det_value]])*Grandview_Inventory[[#This Row],[res_pct]]</f>
        <v>256737.94170000002</v>
      </c>
      <c r="BS726" s="6">
        <f>Grandview_Inventory[[#This Row],[land_value]]</f>
        <v>50650.651579114572</v>
      </c>
      <c r="BT726" s="4">
        <f>_xlfn.IFNA(VLOOKUP(Grandview_Inventory[[#This Row],[quality]],Lookups!$A$26:$C$33,3,FALSE),1)</f>
        <v>0.98763855981004833</v>
      </c>
      <c r="BU726" s="4">
        <f>_xlfn.IFNA(VLOOKUP(Grandview_Inventory[[#This Row],[condition]],Lookups!$A$37:$C$44,3,FALSE),1)</f>
        <v>0.96469275950863709</v>
      </c>
      <c r="BV726" s="4">
        <f>IF(Grandview_Inventory[[#This Row],[bldg_style]]="",1,_xlfn.IFNA(VLOOKUP(Grandview_Inventory[[#This Row],[decade]],Lookups!$F$29:$H$43,3,FALSE),1))</f>
        <v>0.9871940091910919</v>
      </c>
      <c r="BW726" s="4">
        <f>_xlfn.IFNA(VLOOKUP(Grandview_Inventory[[#This Row],[living_area_range]],Lookups!$F$47:$H$56,3,FALSE),1)</f>
        <v>0.96135087979789358</v>
      </c>
      <c r="BX726" s="4">
        <f>AVERAGE(Grandview_Inventory[[#This Row],[qual_adj]:[size_adj]])</f>
        <v>0.97521905207691773</v>
      </c>
      <c r="BY726" s="6">
        <f>IF(Grandview_Inventory[[#This Row],[pre_res]]&lt;0,0,Grandview_Inventory[[#This Row],[pre_res]]*Grandview_Inventory[[#This Row],[overall_adj]])</f>
        <v>250375.73213685298</v>
      </c>
      <c r="BZ726" s="6">
        <f>(Grandview_Inventory[[#This Row],[sum_land]]-IF(Grandview_Inventory[[#This Row],[no_utilities]]=1,12000,0))/IF(Grandview_Inventory[[#This Row],[unbuildable]]=1,2,1)</f>
        <v>50650.651579114572</v>
      </c>
      <c r="CA72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726">
        <f>ROUND(Grandview_Inventory[[#This Row],[det_value]]*Lookups!$M$28,-2)</f>
        <v>0</v>
      </c>
      <c r="CC726">
        <f>IF(ROUND(Grandview_Inventory[[#This Row],[adj_res]]*Lookups!$M$28,-2)&lt;Grandview_Inventory[[#This Row],[min_res]],Grandview_Inventory[[#This Row],[min_res]],ROUND(Grandview_Inventory[[#This Row],[adj_res]]*Lookups!$M$28,-2))</f>
        <v>237900</v>
      </c>
      <c r="CD726">
        <f>Grandview_Inventory[[#This Row],[final_det]]+Grandview_Inventory[[#This Row],[final_res]]</f>
        <v>237900</v>
      </c>
      <c r="CE726">
        <f>Grandview_Inventory[[#This Row],[final_land]]+Grandview_Inventory[[#This Row],[final_imp]]+Grandview_Inventory[[#This Row],[crop_value]]</f>
        <v>286000</v>
      </c>
      <c r="CG726" t="str">
        <f t="shared" si="11"/>
        <v>update valuation set market_land =48100, market_bldg=237900, market_total =286000, market_mdno =401, market_date ='9/10/2023' where link_id = (select link_id from parcel where parcel_year = '2024' and parcel_id = '23092231464');</v>
      </c>
    </row>
    <row r="727" spans="1:85" x14ac:dyDescent="0.25">
      <c r="A727">
        <v>23092231465</v>
      </c>
      <c r="B727">
        <v>0.18</v>
      </c>
      <c r="C727">
        <v>7782</v>
      </c>
      <c r="D727" t="s">
        <v>129</v>
      </c>
      <c r="E727" t="s">
        <v>53</v>
      </c>
      <c r="F727" t="s">
        <v>53</v>
      </c>
      <c r="G727">
        <v>4</v>
      </c>
      <c r="H727" t="s">
        <v>54</v>
      </c>
      <c r="I727">
        <v>168200</v>
      </c>
      <c r="J727">
        <v>43100</v>
      </c>
      <c r="K727">
        <v>0.18</v>
      </c>
      <c r="L72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727">
        <v>0</v>
      </c>
      <c r="N727">
        <v>0</v>
      </c>
      <c r="O727">
        <v>0</v>
      </c>
      <c r="P727">
        <v>13398.7528</v>
      </c>
      <c r="Q727">
        <v>63903</v>
      </c>
      <c r="R727">
        <f>(Grandview_Inventory[[#This Row],[ln_acres]]*Grandview_Inventory[[#This Row],[coeff]])+Grandview_Inventory[[#This Row],[const]]</f>
        <v>40926.839760167699</v>
      </c>
      <c r="S727" t="s">
        <v>55</v>
      </c>
      <c r="T727">
        <v>1</v>
      </c>
      <c r="U727" t="s">
        <v>70</v>
      </c>
      <c r="V727" t="s">
        <v>69</v>
      </c>
      <c r="W727">
        <v>0</v>
      </c>
      <c r="X727">
        <v>0</v>
      </c>
      <c r="Y727">
        <v>43</v>
      </c>
      <c r="Z727">
        <v>45</v>
      </c>
      <c r="AA727">
        <v>50</v>
      </c>
      <c r="AB727">
        <v>1500</v>
      </c>
      <c r="AC727">
        <v>1296</v>
      </c>
      <c r="AD727">
        <v>1296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285</v>
      </c>
      <c r="AN727">
        <v>0</v>
      </c>
      <c r="AO727">
        <v>0</v>
      </c>
      <c r="AP727">
        <v>5</v>
      </c>
      <c r="AQ727">
        <v>1</v>
      </c>
      <c r="AR727">
        <v>0</v>
      </c>
      <c r="AS727" t="s">
        <v>58</v>
      </c>
      <c r="AT727">
        <v>0</v>
      </c>
      <c r="AU727" t="s">
        <v>82</v>
      </c>
      <c r="AV727" t="s">
        <v>60</v>
      </c>
      <c r="AW727">
        <v>0</v>
      </c>
      <c r="AX727">
        <v>3</v>
      </c>
      <c r="AY727">
        <v>0</v>
      </c>
      <c r="AZ727">
        <v>0</v>
      </c>
      <c r="BA727">
        <v>100</v>
      </c>
      <c r="BB727">
        <v>100</v>
      </c>
      <c r="BC727">
        <v>100</v>
      </c>
      <c r="BD727">
        <v>100</v>
      </c>
      <c r="BE727">
        <v>1</v>
      </c>
      <c r="BF727">
        <v>15000</v>
      </c>
      <c r="BG727">
        <v>1000</v>
      </c>
      <c r="BH727" s="6">
        <f>Grandview_Inventory[[#This Row],[land_extract]]*Lookups!$B$3</f>
        <v>47528.228511015397</v>
      </c>
      <c r="BI727" s="6">
        <f>IF(Grandview_Inventory[[#This Row],[bldg_style]]="",0,Lookups!$B$2)</f>
        <v>155833.95000000001</v>
      </c>
      <c r="BJ727" s="6">
        <f>_xlfn.IFNA(VLOOKUP(Grandview_Inventory[[#This Row],[quality]],Lookups!$H$2:$J$14,3,FALSE),0)</f>
        <v>10733</v>
      </c>
      <c r="BK727" s="6">
        <f>_xlfn.IFNA(VLOOKUP(Grandview_Inventory[[#This Row],[condition]],Lookups!$H$17:$J$24,3,FALSE),0)</f>
        <v>-4503</v>
      </c>
      <c r="BL727" s="6">
        <f>Grandview_Inventory[[#This Row],[Eff_Age]]*Lookups!$B$14</f>
        <v>-10284.1638</v>
      </c>
      <c r="BM727" s="6">
        <f>Grandview_Inventory[[#This Row],[living_area]]*Lookups!$B$15</f>
        <v>80845.585487999997</v>
      </c>
      <c r="BN727" s="6">
        <f>Grandview_Inventory[[#This Row],[Fin BSMT]]*Lookups!$B$16</f>
        <v>0</v>
      </c>
      <c r="BO727" s="6">
        <f>(Grandview_Inventory[[#This Row],[att_gar]]+Grandview_Inventory[[#This Row],[bltin_gar]])*Lookups!$B$17</f>
        <v>0</v>
      </c>
      <c r="BP727" s="6">
        <f>Grandview_Inventory[[#This Row],[Plumbing Fixtures]]*Lookups!$B$18</f>
        <v>10052.209000000001</v>
      </c>
      <c r="BQ727" s="6">
        <f>Grandview_Inventory[[#This Row],[detatched_value]]*Lookups!$B$19</f>
        <v>0</v>
      </c>
      <c r="BR727" s="6">
        <f>SUM(Grandview_Inventory[[#This Row],[Intercept]:[det_value]])*Grandview_Inventory[[#This Row],[res_pct]]</f>
        <v>242677.58068799999</v>
      </c>
      <c r="BS727" s="6">
        <f>Grandview_Inventory[[#This Row],[land_value]]</f>
        <v>47528.228511015397</v>
      </c>
      <c r="BT727" s="4">
        <f>_xlfn.IFNA(VLOOKUP(Grandview_Inventory[[#This Row],[quality]],Lookups!$A$26:$C$33,3,FALSE),1)</f>
        <v>0.98079741117310582</v>
      </c>
      <c r="BU727" s="4">
        <f>_xlfn.IFNA(VLOOKUP(Grandview_Inventory[[#This Row],[condition]],Lookups!$A$37:$C$44,3,FALSE),1)</f>
        <v>0.96469275950863709</v>
      </c>
      <c r="BV727" s="4">
        <f>IF(Grandview_Inventory[[#This Row],[bldg_style]]="",1,_xlfn.IFNA(VLOOKUP(Grandview_Inventory[[#This Row],[decade]],Lookups!$F$29:$H$43,3,FALSE),1))</f>
        <v>0.9871940091910919</v>
      </c>
      <c r="BW727" s="4">
        <f>_xlfn.IFNA(VLOOKUP(Grandview_Inventory[[#This Row],[living_area_range]],Lookups!$F$47:$H$56,3,FALSE),1)</f>
        <v>0.96135087979789358</v>
      </c>
      <c r="BX727" s="4">
        <f>AVERAGE(Grandview_Inventory[[#This Row],[qual_adj]:[size_adj]])</f>
        <v>0.97350876491768212</v>
      </c>
      <c r="BY727" s="6">
        <f>IF(Grandview_Inventory[[#This Row],[pre_res]]&lt;0,0,Grandview_Inventory[[#This Row],[pre_res]]*Grandview_Inventory[[#This Row],[overall_adj]])</f>
        <v>236248.75184878602</v>
      </c>
      <c r="BZ727" s="6">
        <f>(Grandview_Inventory[[#This Row],[sum_land]]-IF(Grandview_Inventory[[#This Row],[no_utilities]]=1,12000,0))/IF(Grandview_Inventory[[#This Row],[unbuildable]]=1,2,1)</f>
        <v>47528.228511015397</v>
      </c>
      <c r="CA72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727">
        <f>ROUND(Grandview_Inventory[[#This Row],[det_value]]*Lookups!$M$28,-2)</f>
        <v>0</v>
      </c>
      <c r="CC727">
        <f>IF(ROUND(Grandview_Inventory[[#This Row],[adj_res]]*Lookups!$M$28,-2)&lt;Grandview_Inventory[[#This Row],[min_res]],Grandview_Inventory[[#This Row],[min_res]],ROUND(Grandview_Inventory[[#This Row],[adj_res]]*Lookups!$M$28,-2))</f>
        <v>224400</v>
      </c>
      <c r="CD727">
        <f>Grandview_Inventory[[#This Row],[final_det]]+Grandview_Inventory[[#This Row],[final_res]]</f>
        <v>224400</v>
      </c>
      <c r="CE727">
        <f>Grandview_Inventory[[#This Row],[final_land]]+Grandview_Inventory[[#This Row],[final_imp]]+Grandview_Inventory[[#This Row],[crop_value]]</f>
        <v>269600</v>
      </c>
      <c r="CG727" t="str">
        <f t="shared" si="11"/>
        <v>update valuation set market_land =45200, market_bldg=224400, market_total =269600, market_mdno =401, market_date ='9/10/2023' where link_id = (select link_id from parcel where parcel_year = '2024' and parcel_id = '23092231465');</v>
      </c>
    </row>
    <row r="728" spans="1:85" x14ac:dyDescent="0.25">
      <c r="A728">
        <v>23092231466</v>
      </c>
      <c r="B728">
        <v>0.28000000000000003</v>
      </c>
      <c r="C728">
        <v>12191</v>
      </c>
      <c r="D728" t="s">
        <v>129</v>
      </c>
      <c r="E728" t="s">
        <v>53</v>
      </c>
      <c r="F728" t="s">
        <v>53</v>
      </c>
      <c r="G728">
        <v>4</v>
      </c>
      <c r="H728" t="s">
        <v>54</v>
      </c>
      <c r="I728">
        <v>141700</v>
      </c>
      <c r="J728">
        <v>44500</v>
      </c>
      <c r="K728">
        <v>0.28000000000000003</v>
      </c>
      <c r="L728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728">
        <v>0</v>
      </c>
      <c r="N728">
        <v>0</v>
      </c>
      <c r="O728">
        <v>0</v>
      </c>
      <c r="P728">
        <v>13398.7528</v>
      </c>
      <c r="Q728">
        <v>63903</v>
      </c>
      <c r="R728">
        <f>(Grandview_Inventory[[#This Row],[ln_acres]]*Grandview_Inventory[[#This Row],[coeff]])+Grandview_Inventory[[#This Row],[const]]</f>
        <v>46846.847586898184</v>
      </c>
      <c r="S728" t="s">
        <v>61</v>
      </c>
      <c r="T728">
        <v>1</v>
      </c>
      <c r="U728" t="s">
        <v>65</v>
      </c>
      <c r="V728" t="s">
        <v>69</v>
      </c>
      <c r="W728">
        <v>0</v>
      </c>
      <c r="X728">
        <v>0</v>
      </c>
      <c r="Y728">
        <v>43</v>
      </c>
      <c r="Z728">
        <v>45</v>
      </c>
      <c r="AA728">
        <v>50</v>
      </c>
      <c r="AB728">
        <v>1500</v>
      </c>
      <c r="AC728">
        <v>1088</v>
      </c>
      <c r="AD728">
        <v>1088</v>
      </c>
      <c r="AE728">
        <v>0</v>
      </c>
      <c r="AF728">
        <v>0</v>
      </c>
      <c r="AG728">
        <v>0</v>
      </c>
      <c r="AH728">
        <v>0</v>
      </c>
      <c r="AI728">
        <v>288</v>
      </c>
      <c r="AJ728">
        <v>0</v>
      </c>
      <c r="AK728">
        <v>0</v>
      </c>
      <c r="AL728">
        <v>0</v>
      </c>
      <c r="AM728">
        <v>88</v>
      </c>
      <c r="AN728">
        <v>0</v>
      </c>
      <c r="AO728">
        <v>0</v>
      </c>
      <c r="AP728">
        <v>5</v>
      </c>
      <c r="AQ728">
        <v>0</v>
      </c>
      <c r="AR728">
        <v>0</v>
      </c>
      <c r="AS728" t="s">
        <v>58</v>
      </c>
      <c r="AT728">
        <v>1</v>
      </c>
      <c r="AU728" t="s">
        <v>63</v>
      </c>
      <c r="AV728" t="s">
        <v>60</v>
      </c>
      <c r="AW728">
        <v>0</v>
      </c>
      <c r="AX728">
        <v>3</v>
      </c>
      <c r="AY728">
        <v>0</v>
      </c>
      <c r="AZ728">
        <v>0</v>
      </c>
      <c r="BA728">
        <v>100</v>
      </c>
      <c r="BB728">
        <v>100</v>
      </c>
      <c r="BC728">
        <v>100</v>
      </c>
      <c r="BD728">
        <v>100</v>
      </c>
      <c r="BE728">
        <v>1</v>
      </c>
      <c r="BF728">
        <v>15000</v>
      </c>
      <c r="BG728">
        <v>1000</v>
      </c>
      <c r="BH728" s="6">
        <f>Grandview_Inventory[[#This Row],[land_extract]]*Lookups!$B$3</f>
        <v>54403.117616176372</v>
      </c>
      <c r="BI728" s="6">
        <f>IF(Grandview_Inventory[[#This Row],[bldg_style]]="",0,Lookups!$B$2)</f>
        <v>155833.95000000001</v>
      </c>
      <c r="BJ728" s="6">
        <f>_xlfn.IFNA(VLOOKUP(Grandview_Inventory[[#This Row],[quality]],Lookups!$H$2:$J$14,3,FALSE),0)</f>
        <v>2251</v>
      </c>
      <c r="BK728" s="6">
        <f>_xlfn.IFNA(VLOOKUP(Grandview_Inventory[[#This Row],[condition]],Lookups!$H$17:$J$24,3,FALSE),0)</f>
        <v>-4503</v>
      </c>
      <c r="BL728" s="6">
        <f>Grandview_Inventory[[#This Row],[Eff_Age]]*Lookups!$B$14</f>
        <v>-10284.1638</v>
      </c>
      <c r="BM728" s="6">
        <f>Grandview_Inventory[[#This Row],[living_area]]*Lookups!$B$15</f>
        <v>67870.368064000009</v>
      </c>
      <c r="BN728" s="6">
        <f>Grandview_Inventory[[#This Row],[Fin BSMT]]*Lookups!$B$16</f>
        <v>0</v>
      </c>
      <c r="BO728" s="6">
        <f>(Grandview_Inventory[[#This Row],[att_gar]]+Grandview_Inventory[[#This Row],[bltin_gar]])*Lookups!$B$17</f>
        <v>25205.885856000001</v>
      </c>
      <c r="BP728" s="6">
        <f>Grandview_Inventory[[#This Row],[Plumbing Fixtures]]*Lookups!$B$18</f>
        <v>10052.209000000001</v>
      </c>
      <c r="BQ728" s="6">
        <f>Grandview_Inventory[[#This Row],[detatched_value]]*Lookups!$B$19</f>
        <v>0</v>
      </c>
      <c r="BR728" s="6">
        <f>SUM(Grandview_Inventory[[#This Row],[Intercept]:[det_value]])*Grandview_Inventory[[#This Row],[res_pct]]</f>
        <v>246426.24912000002</v>
      </c>
      <c r="BS728" s="6">
        <f>Grandview_Inventory[[#This Row],[land_value]]</f>
        <v>54403.117616176372</v>
      </c>
      <c r="BT728" s="4">
        <f>_xlfn.IFNA(VLOOKUP(Grandview_Inventory[[#This Row],[quality]],Lookups!$A$26:$C$33,3,FALSE),1)</f>
        <v>0.98763855981004833</v>
      </c>
      <c r="BU728" s="4">
        <f>_xlfn.IFNA(VLOOKUP(Grandview_Inventory[[#This Row],[condition]],Lookups!$A$37:$C$44,3,FALSE),1)</f>
        <v>0.96469275950863709</v>
      </c>
      <c r="BV728" s="4">
        <f>IF(Grandview_Inventory[[#This Row],[bldg_style]]="",1,_xlfn.IFNA(VLOOKUP(Grandview_Inventory[[#This Row],[decade]],Lookups!$F$29:$H$43,3,FALSE),1))</f>
        <v>0.9871940091910919</v>
      </c>
      <c r="BW728" s="4">
        <f>_xlfn.IFNA(VLOOKUP(Grandview_Inventory[[#This Row],[living_area_range]],Lookups!$F$47:$H$56,3,FALSE),1)</f>
        <v>0.96135087979789358</v>
      </c>
      <c r="BX728" s="4">
        <f>AVERAGE(Grandview_Inventory[[#This Row],[qual_adj]:[size_adj]])</f>
        <v>0.97521905207691773</v>
      </c>
      <c r="BY728" s="6">
        <f>IF(Grandview_Inventory[[#This Row],[pre_res]]&lt;0,0,Grandview_Inventory[[#This Row],[pre_res]]*Grandview_Inventory[[#This Row],[overall_adj]])</f>
        <v>240319.57307367682</v>
      </c>
      <c r="BZ728" s="6">
        <f>(Grandview_Inventory[[#This Row],[sum_land]]-IF(Grandview_Inventory[[#This Row],[no_utilities]]=1,12000,0))/IF(Grandview_Inventory[[#This Row],[unbuildable]]=1,2,1)</f>
        <v>54403.117616176372</v>
      </c>
      <c r="CA728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728">
        <f>ROUND(Grandview_Inventory[[#This Row],[det_value]]*Lookups!$M$28,-2)</f>
        <v>0</v>
      </c>
      <c r="CC728">
        <f>IF(ROUND(Grandview_Inventory[[#This Row],[adj_res]]*Lookups!$M$28,-2)&lt;Grandview_Inventory[[#This Row],[min_res]],Grandview_Inventory[[#This Row],[min_res]],ROUND(Grandview_Inventory[[#This Row],[adj_res]]*Lookups!$M$28,-2))</f>
        <v>228300</v>
      </c>
      <c r="CD728">
        <f>Grandview_Inventory[[#This Row],[final_det]]+Grandview_Inventory[[#This Row],[final_res]]</f>
        <v>228300</v>
      </c>
      <c r="CE728">
        <f>Grandview_Inventory[[#This Row],[final_land]]+Grandview_Inventory[[#This Row],[final_imp]]+Grandview_Inventory[[#This Row],[crop_value]]</f>
        <v>280000</v>
      </c>
      <c r="CG728" t="str">
        <f t="shared" si="11"/>
        <v>update valuation set market_land =51700, market_bldg=228300, market_total =280000, market_mdno =401, market_date ='9/10/2023' where link_id = (select link_id from parcel where parcel_year = '2024' and parcel_id = '23092231466');</v>
      </c>
    </row>
    <row r="729" spans="1:85" x14ac:dyDescent="0.25">
      <c r="A729">
        <v>23092231467</v>
      </c>
      <c r="B729">
        <v>0.25</v>
      </c>
      <c r="C729">
        <v>10852</v>
      </c>
      <c r="D729" t="s">
        <v>129</v>
      </c>
      <c r="E729" t="s">
        <v>53</v>
      </c>
      <c r="F729" t="s">
        <v>53</v>
      </c>
      <c r="G729">
        <v>4</v>
      </c>
      <c r="H729" t="s">
        <v>54</v>
      </c>
      <c r="I729">
        <v>149500</v>
      </c>
      <c r="J729">
        <v>44400</v>
      </c>
      <c r="K729">
        <v>0.25</v>
      </c>
      <c r="L72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729">
        <v>0</v>
      </c>
      <c r="N729">
        <v>0</v>
      </c>
      <c r="O729">
        <v>0</v>
      </c>
      <c r="P729">
        <v>13398.7528</v>
      </c>
      <c r="Q729">
        <v>63903</v>
      </c>
      <c r="R729">
        <f>(Grandview_Inventory[[#This Row],[ln_acres]]*Grandview_Inventory[[#This Row],[coeff]])+Grandview_Inventory[[#This Row],[const]]</f>
        <v>45328.38454732066</v>
      </c>
      <c r="S729" t="s">
        <v>61</v>
      </c>
      <c r="T729">
        <v>1</v>
      </c>
      <c r="U729" t="s">
        <v>70</v>
      </c>
      <c r="V729" t="s">
        <v>69</v>
      </c>
      <c r="W729">
        <v>0</v>
      </c>
      <c r="X729">
        <v>0</v>
      </c>
      <c r="Y729">
        <v>43</v>
      </c>
      <c r="Z729">
        <v>45</v>
      </c>
      <c r="AA729">
        <v>50</v>
      </c>
      <c r="AB729">
        <v>1500</v>
      </c>
      <c r="AC729">
        <v>1376</v>
      </c>
      <c r="AD729">
        <v>1376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264</v>
      </c>
      <c r="AN729">
        <v>0</v>
      </c>
      <c r="AO729">
        <v>320</v>
      </c>
      <c r="AP729">
        <v>5</v>
      </c>
      <c r="AQ729">
        <v>0</v>
      </c>
      <c r="AR729">
        <v>0</v>
      </c>
      <c r="AS729" t="s">
        <v>58</v>
      </c>
      <c r="AT729">
        <v>1</v>
      </c>
      <c r="AU729" t="s">
        <v>63</v>
      </c>
      <c r="AV729" t="s">
        <v>60</v>
      </c>
      <c r="AW729">
        <v>0</v>
      </c>
      <c r="AX729">
        <v>3</v>
      </c>
      <c r="AY729">
        <v>0</v>
      </c>
      <c r="AZ729">
        <v>0</v>
      </c>
      <c r="BA729">
        <v>100</v>
      </c>
      <c r="BB729">
        <v>100</v>
      </c>
      <c r="BC729">
        <v>100</v>
      </c>
      <c r="BD729">
        <v>100</v>
      </c>
      <c r="BE729">
        <v>1</v>
      </c>
      <c r="BF729">
        <v>15000</v>
      </c>
      <c r="BG729">
        <v>1000</v>
      </c>
      <c r="BH729" s="6">
        <f>Grandview_Inventory[[#This Row],[land_extract]]*Lookups!$B$3</f>
        <v>52639.730588165206</v>
      </c>
      <c r="BI729" s="6">
        <f>IF(Grandview_Inventory[[#This Row],[bldg_style]]="",0,Lookups!$B$2)</f>
        <v>155833.95000000001</v>
      </c>
      <c r="BJ729" s="6">
        <f>_xlfn.IFNA(VLOOKUP(Grandview_Inventory[[#This Row],[quality]],Lookups!$H$2:$J$14,3,FALSE),0)</f>
        <v>10733</v>
      </c>
      <c r="BK729" s="6">
        <f>_xlfn.IFNA(VLOOKUP(Grandview_Inventory[[#This Row],[condition]],Lookups!$H$17:$J$24,3,FALSE),0)</f>
        <v>-4503</v>
      </c>
      <c r="BL729" s="6">
        <f>Grandview_Inventory[[#This Row],[Eff_Age]]*Lookups!$B$14</f>
        <v>-10284.1638</v>
      </c>
      <c r="BM729" s="6">
        <f>Grandview_Inventory[[#This Row],[living_area]]*Lookups!$B$15</f>
        <v>85836.053727999999</v>
      </c>
      <c r="BN729" s="6">
        <f>Grandview_Inventory[[#This Row],[Fin BSMT]]*Lookups!$B$16</f>
        <v>0</v>
      </c>
      <c r="BO729" s="6">
        <f>(Grandview_Inventory[[#This Row],[att_gar]]+Grandview_Inventory[[#This Row],[bltin_gar]])*Lookups!$B$17</f>
        <v>0</v>
      </c>
      <c r="BP729" s="6">
        <f>Grandview_Inventory[[#This Row],[Plumbing Fixtures]]*Lookups!$B$18</f>
        <v>10052.209000000001</v>
      </c>
      <c r="BQ729" s="6">
        <f>Grandview_Inventory[[#This Row],[detatched_value]]*Lookups!$B$19</f>
        <v>0</v>
      </c>
      <c r="BR729" s="6">
        <f>SUM(Grandview_Inventory[[#This Row],[Intercept]:[det_value]])*Grandview_Inventory[[#This Row],[res_pct]]</f>
        <v>247668.048928</v>
      </c>
      <c r="BS729" s="6">
        <f>Grandview_Inventory[[#This Row],[land_value]]</f>
        <v>52639.730588165206</v>
      </c>
      <c r="BT729" s="4">
        <f>_xlfn.IFNA(VLOOKUP(Grandview_Inventory[[#This Row],[quality]],Lookups!$A$26:$C$33,3,FALSE),1)</f>
        <v>0.98079741117310582</v>
      </c>
      <c r="BU729" s="4">
        <f>_xlfn.IFNA(VLOOKUP(Grandview_Inventory[[#This Row],[condition]],Lookups!$A$37:$C$44,3,FALSE),1)</f>
        <v>0.96469275950863709</v>
      </c>
      <c r="BV729" s="4">
        <f>IF(Grandview_Inventory[[#This Row],[bldg_style]]="",1,_xlfn.IFNA(VLOOKUP(Grandview_Inventory[[#This Row],[decade]],Lookups!$F$29:$H$43,3,FALSE),1))</f>
        <v>0.9871940091910919</v>
      </c>
      <c r="BW729" s="4">
        <f>_xlfn.IFNA(VLOOKUP(Grandview_Inventory[[#This Row],[living_area_range]],Lookups!$F$47:$H$56,3,FALSE),1)</f>
        <v>0.96135087979789358</v>
      </c>
      <c r="BX729" s="4">
        <f>AVERAGE(Grandview_Inventory[[#This Row],[qual_adj]:[size_adj]])</f>
        <v>0.97350876491768212</v>
      </c>
      <c r="BY729" s="6">
        <f>IF(Grandview_Inventory[[#This Row],[pre_res]]&lt;0,0,Grandview_Inventory[[#This Row],[pre_res]]*Grandview_Inventory[[#This Row],[overall_adj]])</f>
        <v>241107.01642146934</v>
      </c>
      <c r="BZ729" s="6">
        <f>(Grandview_Inventory[[#This Row],[sum_land]]-IF(Grandview_Inventory[[#This Row],[no_utilities]]=1,12000,0))/IF(Grandview_Inventory[[#This Row],[unbuildable]]=1,2,1)</f>
        <v>52639.730588165206</v>
      </c>
      <c r="CA72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729">
        <f>ROUND(Grandview_Inventory[[#This Row],[det_value]]*Lookups!$M$28,-2)</f>
        <v>0</v>
      </c>
      <c r="CC729">
        <f>IF(ROUND(Grandview_Inventory[[#This Row],[adj_res]]*Lookups!$M$28,-2)&lt;Grandview_Inventory[[#This Row],[min_res]],Grandview_Inventory[[#This Row],[min_res]],ROUND(Grandview_Inventory[[#This Row],[adj_res]]*Lookups!$M$28,-2))</f>
        <v>229100</v>
      </c>
      <c r="CD729">
        <f>Grandview_Inventory[[#This Row],[final_det]]+Grandview_Inventory[[#This Row],[final_res]]</f>
        <v>229100</v>
      </c>
      <c r="CE729">
        <f>Grandview_Inventory[[#This Row],[final_land]]+Grandview_Inventory[[#This Row],[final_imp]]+Grandview_Inventory[[#This Row],[crop_value]]</f>
        <v>279100</v>
      </c>
      <c r="CG729" t="str">
        <f t="shared" si="11"/>
        <v>update valuation set market_land =50000, market_bldg=229100, market_total =279100, market_mdno =401, market_date ='9/10/2023' where link_id = (select link_id from parcel where parcel_year = '2024' and parcel_id = '23092231467');</v>
      </c>
    </row>
    <row r="730" spans="1:85" x14ac:dyDescent="0.25">
      <c r="A730">
        <v>23092231468</v>
      </c>
      <c r="B730">
        <v>0.21</v>
      </c>
      <c r="C730">
        <v>9232</v>
      </c>
      <c r="D730" t="s">
        <v>129</v>
      </c>
      <c r="E730" t="s">
        <v>53</v>
      </c>
      <c r="F730" t="s">
        <v>53</v>
      </c>
      <c r="G730">
        <v>4</v>
      </c>
      <c r="H730" t="s">
        <v>54</v>
      </c>
      <c r="I730">
        <v>139000</v>
      </c>
      <c r="J730">
        <v>43800</v>
      </c>
      <c r="K730">
        <v>0.21</v>
      </c>
      <c r="L73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30">
        <v>0</v>
      </c>
      <c r="N730">
        <v>0</v>
      </c>
      <c r="O730">
        <v>0</v>
      </c>
      <c r="P730">
        <v>13398.7528</v>
      </c>
      <c r="Q730">
        <v>63903</v>
      </c>
      <c r="R730">
        <f>(Grandview_Inventory[[#This Row],[ln_acres]]*Grandview_Inventory[[#This Row],[coeff]])+Grandview_Inventory[[#This Row],[const]]</f>
        <v>42992.266613125081</v>
      </c>
      <c r="S730" t="s">
        <v>61</v>
      </c>
      <c r="T730">
        <v>1</v>
      </c>
      <c r="U730" t="s">
        <v>65</v>
      </c>
      <c r="V730" t="s">
        <v>69</v>
      </c>
      <c r="W730">
        <v>0</v>
      </c>
      <c r="X730">
        <v>0</v>
      </c>
      <c r="Y730">
        <v>44</v>
      </c>
      <c r="Z730">
        <v>46</v>
      </c>
      <c r="AA730">
        <v>50</v>
      </c>
      <c r="AB730">
        <v>1500</v>
      </c>
      <c r="AC730">
        <v>1056</v>
      </c>
      <c r="AD730">
        <v>1056</v>
      </c>
      <c r="AE730">
        <v>0</v>
      </c>
      <c r="AF730">
        <v>0</v>
      </c>
      <c r="AG730">
        <v>0</v>
      </c>
      <c r="AH730">
        <v>0</v>
      </c>
      <c r="AI730">
        <v>288</v>
      </c>
      <c r="AJ730">
        <v>0</v>
      </c>
      <c r="AK730">
        <v>0</v>
      </c>
      <c r="AL730">
        <v>0</v>
      </c>
      <c r="AM730">
        <v>96</v>
      </c>
      <c r="AN730">
        <v>0</v>
      </c>
      <c r="AO730">
        <v>0</v>
      </c>
      <c r="AP730">
        <v>5</v>
      </c>
      <c r="AQ730">
        <v>0</v>
      </c>
      <c r="AR730">
        <v>0</v>
      </c>
      <c r="AS730" t="s">
        <v>58</v>
      </c>
      <c r="AT730">
        <v>1</v>
      </c>
      <c r="AU730" t="s">
        <v>75</v>
      </c>
      <c r="AV730" t="s">
        <v>60</v>
      </c>
      <c r="AW730">
        <v>0</v>
      </c>
      <c r="AX730">
        <v>3</v>
      </c>
      <c r="AY730">
        <v>0</v>
      </c>
      <c r="AZ730">
        <v>0</v>
      </c>
      <c r="BA730">
        <v>100</v>
      </c>
      <c r="BB730">
        <v>100</v>
      </c>
      <c r="BC730">
        <v>100</v>
      </c>
      <c r="BD730">
        <v>100</v>
      </c>
      <c r="BE730">
        <v>1</v>
      </c>
      <c r="BF730">
        <v>15000</v>
      </c>
      <c r="BG730">
        <v>1000</v>
      </c>
      <c r="BH730" s="6">
        <f>Grandview_Inventory[[#This Row],[land_extract]]*Lookups!$B$3</f>
        <v>49926.8031387023</v>
      </c>
      <c r="BI730" s="6">
        <f>IF(Grandview_Inventory[[#This Row],[bldg_style]]="",0,Lookups!$B$2)</f>
        <v>155833.95000000001</v>
      </c>
      <c r="BJ730" s="6">
        <f>_xlfn.IFNA(VLOOKUP(Grandview_Inventory[[#This Row],[quality]],Lookups!$H$2:$J$14,3,FALSE),0)</f>
        <v>2251</v>
      </c>
      <c r="BK730" s="6">
        <f>_xlfn.IFNA(VLOOKUP(Grandview_Inventory[[#This Row],[condition]],Lookups!$H$17:$J$24,3,FALSE),0)</f>
        <v>-4503</v>
      </c>
      <c r="BL730" s="6">
        <f>Grandview_Inventory[[#This Row],[Eff_Age]]*Lookups!$B$14</f>
        <v>-10523.330399999999</v>
      </c>
      <c r="BM730" s="6">
        <f>Grandview_Inventory[[#This Row],[living_area]]*Lookups!$B$15</f>
        <v>65874.180768000006</v>
      </c>
      <c r="BN730" s="6">
        <f>Grandview_Inventory[[#This Row],[Fin BSMT]]*Lookups!$B$16</f>
        <v>0</v>
      </c>
      <c r="BO730" s="6">
        <f>(Grandview_Inventory[[#This Row],[att_gar]]+Grandview_Inventory[[#This Row],[bltin_gar]])*Lookups!$B$17</f>
        <v>25205.885856000001</v>
      </c>
      <c r="BP730" s="6">
        <f>Grandview_Inventory[[#This Row],[Plumbing Fixtures]]*Lookups!$B$18</f>
        <v>10052.209000000001</v>
      </c>
      <c r="BQ730" s="6">
        <f>Grandview_Inventory[[#This Row],[detatched_value]]*Lookups!$B$19</f>
        <v>0</v>
      </c>
      <c r="BR730" s="6">
        <f>SUM(Grandview_Inventory[[#This Row],[Intercept]:[det_value]])*Grandview_Inventory[[#This Row],[res_pct]]</f>
        <v>244190.89522400001</v>
      </c>
      <c r="BS730" s="6">
        <f>Grandview_Inventory[[#This Row],[land_value]]</f>
        <v>49926.8031387023</v>
      </c>
      <c r="BT730" s="4">
        <f>_xlfn.IFNA(VLOOKUP(Grandview_Inventory[[#This Row],[quality]],Lookups!$A$26:$C$33,3,FALSE),1)</f>
        <v>0.98763855981004833</v>
      </c>
      <c r="BU730" s="4">
        <f>_xlfn.IFNA(VLOOKUP(Grandview_Inventory[[#This Row],[condition]],Lookups!$A$37:$C$44,3,FALSE),1)</f>
        <v>0.96469275950863709</v>
      </c>
      <c r="BV730" s="4">
        <f>IF(Grandview_Inventory[[#This Row],[bldg_style]]="",1,_xlfn.IFNA(VLOOKUP(Grandview_Inventory[[#This Row],[decade]],Lookups!$F$29:$H$43,3,FALSE),1))</f>
        <v>0.9871940091910919</v>
      </c>
      <c r="BW730" s="4">
        <f>_xlfn.IFNA(VLOOKUP(Grandview_Inventory[[#This Row],[living_area_range]],Lookups!$F$47:$H$56,3,FALSE),1)</f>
        <v>0.96135087979789358</v>
      </c>
      <c r="BX730" s="4">
        <f>AVERAGE(Grandview_Inventory[[#This Row],[qual_adj]:[size_adj]])</f>
        <v>0.97521905207691773</v>
      </c>
      <c r="BY730" s="6">
        <f>IF(Grandview_Inventory[[#This Row],[pre_res]]&lt;0,0,Grandview_Inventory[[#This Row],[pre_res]]*Grandview_Inventory[[#This Row],[overall_adj]])</f>
        <v>238139.61336616322</v>
      </c>
      <c r="BZ730" s="6">
        <f>(Grandview_Inventory[[#This Row],[sum_land]]-IF(Grandview_Inventory[[#This Row],[no_utilities]]=1,12000,0))/IF(Grandview_Inventory[[#This Row],[unbuildable]]=1,2,1)</f>
        <v>49926.8031387023</v>
      </c>
      <c r="CA73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30">
        <f>ROUND(Grandview_Inventory[[#This Row],[det_value]]*Lookups!$M$28,-2)</f>
        <v>0</v>
      </c>
      <c r="CC730">
        <f>IF(ROUND(Grandview_Inventory[[#This Row],[adj_res]]*Lookups!$M$28,-2)&lt;Grandview_Inventory[[#This Row],[min_res]],Grandview_Inventory[[#This Row],[min_res]],ROUND(Grandview_Inventory[[#This Row],[adj_res]]*Lookups!$M$28,-2))</f>
        <v>226200</v>
      </c>
      <c r="CD730">
        <f>Grandview_Inventory[[#This Row],[final_det]]+Grandview_Inventory[[#This Row],[final_res]]</f>
        <v>226200</v>
      </c>
      <c r="CE730">
        <f>Grandview_Inventory[[#This Row],[final_land]]+Grandview_Inventory[[#This Row],[final_imp]]+Grandview_Inventory[[#This Row],[crop_value]]</f>
        <v>273600</v>
      </c>
      <c r="CG730" t="str">
        <f t="shared" si="11"/>
        <v>update valuation set market_land =47400, market_bldg=226200, market_total =273600, market_mdno =401, market_date ='9/10/2023' where link_id = (select link_id from parcel where parcel_year = '2024' and parcel_id = '23092231468');</v>
      </c>
    </row>
    <row r="731" spans="1:85" x14ac:dyDescent="0.25">
      <c r="A731">
        <v>23092231469</v>
      </c>
      <c r="B731">
        <v>0.22</v>
      </c>
      <c r="C731">
        <v>9538</v>
      </c>
      <c r="D731" t="s">
        <v>129</v>
      </c>
      <c r="E731" t="s">
        <v>53</v>
      </c>
      <c r="F731" t="s">
        <v>53</v>
      </c>
      <c r="G731">
        <v>4</v>
      </c>
      <c r="H731" t="s">
        <v>54</v>
      </c>
      <c r="I731">
        <v>109400</v>
      </c>
      <c r="J731">
        <v>43800</v>
      </c>
      <c r="K731">
        <v>0.22</v>
      </c>
      <c r="L73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731">
        <v>0</v>
      </c>
      <c r="N731">
        <v>0</v>
      </c>
      <c r="O731">
        <v>0</v>
      </c>
      <c r="P731">
        <v>13398.7528</v>
      </c>
      <c r="Q731">
        <v>63903</v>
      </c>
      <c r="R731">
        <f>(Grandview_Inventory[[#This Row],[ln_acres]]*Grandview_Inventory[[#This Row],[coeff]])+Grandview_Inventory[[#This Row],[const]]</f>
        <v>43615.576802869145</v>
      </c>
      <c r="S731" t="s">
        <v>61</v>
      </c>
      <c r="T731">
        <v>1</v>
      </c>
      <c r="U731" t="s">
        <v>65</v>
      </c>
      <c r="V731" t="s">
        <v>78</v>
      </c>
      <c r="W731">
        <v>0</v>
      </c>
      <c r="X731">
        <v>0</v>
      </c>
      <c r="Y731">
        <v>44</v>
      </c>
      <c r="Z731">
        <v>46</v>
      </c>
      <c r="AA731">
        <v>50</v>
      </c>
      <c r="AB731">
        <v>1500</v>
      </c>
      <c r="AC731">
        <v>1344</v>
      </c>
      <c r="AD731">
        <v>1344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96</v>
      </c>
      <c r="AN731">
        <v>0</v>
      </c>
      <c r="AO731">
        <v>0</v>
      </c>
      <c r="AP731">
        <v>7</v>
      </c>
      <c r="AQ731">
        <v>0</v>
      </c>
      <c r="AR731">
        <v>0</v>
      </c>
      <c r="AS731" t="s">
        <v>58</v>
      </c>
      <c r="AT731">
        <v>1</v>
      </c>
      <c r="AU731" t="s">
        <v>75</v>
      </c>
      <c r="AV731" t="s">
        <v>60</v>
      </c>
      <c r="AW731">
        <v>0</v>
      </c>
      <c r="AX731">
        <v>3</v>
      </c>
      <c r="AY731">
        <v>0</v>
      </c>
      <c r="AZ731">
        <v>0</v>
      </c>
      <c r="BA731">
        <v>100</v>
      </c>
      <c r="BB731">
        <v>100</v>
      </c>
      <c r="BC731">
        <v>100</v>
      </c>
      <c r="BD731">
        <v>100</v>
      </c>
      <c r="BE731">
        <v>1</v>
      </c>
      <c r="BF731">
        <v>15000</v>
      </c>
      <c r="BG731">
        <v>1000</v>
      </c>
      <c r="BH731" s="6">
        <f>Grandview_Inventory[[#This Row],[land_extract]]*Lookups!$B$3</f>
        <v>50650.651579114572</v>
      </c>
      <c r="BI731" s="6">
        <f>IF(Grandview_Inventory[[#This Row],[bldg_style]]="",0,Lookups!$B$2)</f>
        <v>155833.95000000001</v>
      </c>
      <c r="BJ731" s="6">
        <f>_xlfn.IFNA(VLOOKUP(Grandview_Inventory[[#This Row],[quality]],Lookups!$H$2:$J$14,3,FALSE),0)</f>
        <v>2251</v>
      </c>
      <c r="BK731" s="6">
        <f>_xlfn.IFNA(VLOOKUP(Grandview_Inventory[[#This Row],[condition]],Lookups!$H$17:$J$24,3,FALSE),0)</f>
        <v>-45357</v>
      </c>
      <c r="BL731" s="6">
        <f>Grandview_Inventory[[#This Row],[Eff_Age]]*Lookups!$B$14</f>
        <v>-10523.330399999999</v>
      </c>
      <c r="BM731" s="6">
        <f>Grandview_Inventory[[#This Row],[living_area]]*Lookups!$B$15</f>
        <v>83839.86643200001</v>
      </c>
      <c r="BN731" s="6">
        <f>Grandview_Inventory[[#This Row],[Fin BSMT]]*Lookups!$B$16</f>
        <v>0</v>
      </c>
      <c r="BO731" s="6">
        <f>(Grandview_Inventory[[#This Row],[att_gar]]+Grandview_Inventory[[#This Row],[bltin_gar]])*Lookups!$B$17</f>
        <v>0</v>
      </c>
      <c r="BP731" s="6">
        <f>Grandview_Inventory[[#This Row],[Plumbing Fixtures]]*Lookups!$B$18</f>
        <v>14073.0926</v>
      </c>
      <c r="BQ731" s="6">
        <f>Grandview_Inventory[[#This Row],[detatched_value]]*Lookups!$B$19</f>
        <v>0</v>
      </c>
      <c r="BR731" s="6">
        <f>SUM(Grandview_Inventory[[#This Row],[Intercept]:[det_value]])*Grandview_Inventory[[#This Row],[res_pct]]</f>
        <v>200117.57863200002</v>
      </c>
      <c r="BS731" s="6">
        <f>Grandview_Inventory[[#This Row],[land_value]]</f>
        <v>50650.651579114572</v>
      </c>
      <c r="BT731" s="4">
        <f>_xlfn.IFNA(VLOOKUP(Grandview_Inventory[[#This Row],[quality]],Lookups!$A$26:$C$33,3,FALSE),1)</f>
        <v>0.98763855981004833</v>
      </c>
      <c r="BU731" s="4">
        <f>_xlfn.IFNA(VLOOKUP(Grandview_Inventory[[#This Row],[condition]],Lookups!$A$37:$C$44,3,FALSE),1)</f>
        <v>0.97161819570155394</v>
      </c>
      <c r="BV731" s="4">
        <f>IF(Grandview_Inventory[[#This Row],[bldg_style]]="",1,_xlfn.IFNA(VLOOKUP(Grandview_Inventory[[#This Row],[decade]],Lookups!$F$29:$H$43,3,FALSE),1))</f>
        <v>0.9871940091910919</v>
      </c>
      <c r="BW731" s="4">
        <f>_xlfn.IFNA(VLOOKUP(Grandview_Inventory[[#This Row],[living_area_range]],Lookups!$F$47:$H$56,3,FALSE),1)</f>
        <v>0.96135087979789358</v>
      </c>
      <c r="BX731" s="4">
        <f>AVERAGE(Grandview_Inventory[[#This Row],[qual_adj]:[size_adj]])</f>
        <v>0.97695041112514691</v>
      </c>
      <c r="BY731" s="6">
        <f>IF(Grandview_Inventory[[#This Row],[pre_res]]&lt;0,0,Grandview_Inventory[[#This Row],[pre_res]]*Grandview_Inventory[[#This Row],[overall_adj]])</f>
        <v>195504.95071790135</v>
      </c>
      <c r="BZ731" s="6">
        <f>(Grandview_Inventory[[#This Row],[sum_land]]-IF(Grandview_Inventory[[#This Row],[no_utilities]]=1,12000,0))/IF(Grandview_Inventory[[#This Row],[unbuildable]]=1,2,1)</f>
        <v>50650.651579114572</v>
      </c>
      <c r="CA73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731">
        <f>ROUND(Grandview_Inventory[[#This Row],[det_value]]*Lookups!$M$28,-2)</f>
        <v>0</v>
      </c>
      <c r="CC731">
        <f>IF(ROUND(Grandview_Inventory[[#This Row],[adj_res]]*Lookups!$M$28,-2)&lt;Grandview_Inventory[[#This Row],[min_res]],Grandview_Inventory[[#This Row],[min_res]],ROUND(Grandview_Inventory[[#This Row],[adj_res]]*Lookups!$M$28,-2))</f>
        <v>185700</v>
      </c>
      <c r="CD731">
        <f>Grandview_Inventory[[#This Row],[final_det]]+Grandview_Inventory[[#This Row],[final_res]]</f>
        <v>185700</v>
      </c>
      <c r="CE731">
        <f>Grandview_Inventory[[#This Row],[final_land]]+Grandview_Inventory[[#This Row],[final_imp]]+Grandview_Inventory[[#This Row],[crop_value]]</f>
        <v>233800</v>
      </c>
      <c r="CG731" t="str">
        <f t="shared" si="11"/>
        <v>update valuation set market_land =48100, market_bldg=185700, market_total =233800, market_mdno =401, market_date ='9/10/2023' where link_id = (select link_id from parcel where parcel_year = '2024' and parcel_id = '23092231469');</v>
      </c>
    </row>
    <row r="732" spans="1:85" x14ac:dyDescent="0.25">
      <c r="A732">
        <v>23092231470</v>
      </c>
      <c r="B732">
        <v>0.19</v>
      </c>
      <c r="C732">
        <v>8199</v>
      </c>
      <c r="D732" t="s">
        <v>129</v>
      </c>
      <c r="E732" t="s">
        <v>53</v>
      </c>
      <c r="F732" t="s">
        <v>53</v>
      </c>
      <c r="G732">
        <v>4</v>
      </c>
      <c r="H732" t="s">
        <v>54</v>
      </c>
      <c r="I732">
        <v>144700</v>
      </c>
      <c r="J732">
        <v>43300</v>
      </c>
      <c r="K732">
        <v>0.19</v>
      </c>
      <c r="L73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32">
        <v>0</v>
      </c>
      <c r="N732">
        <v>0</v>
      </c>
      <c r="O732">
        <v>0</v>
      </c>
      <c r="P732">
        <v>13398.7528</v>
      </c>
      <c r="Q732">
        <v>63903</v>
      </c>
      <c r="R732">
        <f>(Grandview_Inventory[[#This Row],[ln_acres]]*Grandview_Inventory[[#This Row],[coeff]])+Grandview_Inventory[[#This Row],[const]]</f>
        <v>41651.273092551026</v>
      </c>
      <c r="S732" t="s">
        <v>61</v>
      </c>
      <c r="T732">
        <v>1</v>
      </c>
      <c r="U732" t="s">
        <v>65</v>
      </c>
      <c r="V732" t="s">
        <v>69</v>
      </c>
      <c r="W732">
        <v>0</v>
      </c>
      <c r="X732">
        <v>0</v>
      </c>
      <c r="Y732">
        <v>44</v>
      </c>
      <c r="Z732">
        <v>46</v>
      </c>
      <c r="AA732">
        <v>50</v>
      </c>
      <c r="AB732">
        <v>1500</v>
      </c>
      <c r="AC732">
        <v>1152</v>
      </c>
      <c r="AD732">
        <v>1152</v>
      </c>
      <c r="AE732">
        <v>0</v>
      </c>
      <c r="AF732">
        <v>0</v>
      </c>
      <c r="AG732">
        <v>0</v>
      </c>
      <c r="AH732">
        <v>0</v>
      </c>
      <c r="AI732">
        <v>288</v>
      </c>
      <c r="AJ732">
        <v>0</v>
      </c>
      <c r="AK732">
        <v>0</v>
      </c>
      <c r="AL732">
        <v>104</v>
      </c>
      <c r="AM732">
        <v>54</v>
      </c>
      <c r="AN732">
        <v>0</v>
      </c>
      <c r="AO732">
        <v>0</v>
      </c>
      <c r="AP732">
        <v>5</v>
      </c>
      <c r="AQ732">
        <v>0</v>
      </c>
      <c r="AR732">
        <v>0</v>
      </c>
      <c r="AS732" t="s">
        <v>58</v>
      </c>
      <c r="AT732">
        <v>1</v>
      </c>
      <c r="AU732" t="s">
        <v>63</v>
      </c>
      <c r="AV732" t="s">
        <v>60</v>
      </c>
      <c r="AW732">
        <v>0</v>
      </c>
      <c r="AX732">
        <v>3</v>
      </c>
      <c r="AY732">
        <v>0</v>
      </c>
      <c r="AZ732">
        <v>0</v>
      </c>
      <c r="BA732">
        <v>100</v>
      </c>
      <c r="BB732">
        <v>100</v>
      </c>
      <c r="BC732">
        <v>100</v>
      </c>
      <c r="BD732">
        <v>100</v>
      </c>
      <c r="BE732">
        <v>1</v>
      </c>
      <c r="BF732">
        <v>15000</v>
      </c>
      <c r="BG732">
        <v>1000</v>
      </c>
      <c r="BH732" s="6">
        <f>Grandview_Inventory[[#This Row],[land_extract]]*Lookups!$B$3</f>
        <v>48369.510983942157</v>
      </c>
      <c r="BI732" s="6">
        <f>IF(Grandview_Inventory[[#This Row],[bldg_style]]="",0,Lookups!$B$2)</f>
        <v>155833.95000000001</v>
      </c>
      <c r="BJ732" s="6">
        <f>_xlfn.IFNA(VLOOKUP(Grandview_Inventory[[#This Row],[quality]],Lookups!$H$2:$J$14,3,FALSE),0)</f>
        <v>2251</v>
      </c>
      <c r="BK732" s="6">
        <f>_xlfn.IFNA(VLOOKUP(Grandview_Inventory[[#This Row],[condition]],Lookups!$H$17:$J$24,3,FALSE),0)</f>
        <v>-4503</v>
      </c>
      <c r="BL732" s="6">
        <f>Grandview_Inventory[[#This Row],[Eff_Age]]*Lookups!$B$14</f>
        <v>-10523.330399999999</v>
      </c>
      <c r="BM732" s="6">
        <f>Grandview_Inventory[[#This Row],[living_area]]*Lookups!$B$15</f>
        <v>71862.742656000002</v>
      </c>
      <c r="BN732" s="6">
        <f>Grandview_Inventory[[#This Row],[Fin BSMT]]*Lookups!$B$16</f>
        <v>0</v>
      </c>
      <c r="BO732" s="6">
        <f>(Grandview_Inventory[[#This Row],[att_gar]]+Grandview_Inventory[[#This Row],[bltin_gar]])*Lookups!$B$17</f>
        <v>25205.885856000001</v>
      </c>
      <c r="BP732" s="6">
        <f>Grandview_Inventory[[#This Row],[Plumbing Fixtures]]*Lookups!$B$18</f>
        <v>10052.209000000001</v>
      </c>
      <c r="BQ732" s="6">
        <f>Grandview_Inventory[[#This Row],[detatched_value]]*Lookups!$B$19</f>
        <v>0</v>
      </c>
      <c r="BR732" s="6">
        <f>SUM(Grandview_Inventory[[#This Row],[Intercept]:[det_value]])*Grandview_Inventory[[#This Row],[res_pct]]</f>
        <v>250179.457112</v>
      </c>
      <c r="BS732" s="6">
        <f>Grandview_Inventory[[#This Row],[land_value]]</f>
        <v>48369.510983942157</v>
      </c>
      <c r="BT732" s="4">
        <f>_xlfn.IFNA(VLOOKUP(Grandview_Inventory[[#This Row],[quality]],Lookups!$A$26:$C$33,3,FALSE),1)</f>
        <v>0.98763855981004833</v>
      </c>
      <c r="BU732" s="4">
        <f>_xlfn.IFNA(VLOOKUP(Grandview_Inventory[[#This Row],[condition]],Lookups!$A$37:$C$44,3,FALSE),1)</f>
        <v>0.96469275950863709</v>
      </c>
      <c r="BV732" s="4">
        <f>IF(Grandview_Inventory[[#This Row],[bldg_style]]="",1,_xlfn.IFNA(VLOOKUP(Grandview_Inventory[[#This Row],[decade]],Lookups!$F$29:$H$43,3,FALSE),1))</f>
        <v>0.9871940091910919</v>
      </c>
      <c r="BW732" s="4">
        <f>_xlfn.IFNA(VLOOKUP(Grandview_Inventory[[#This Row],[living_area_range]],Lookups!$F$47:$H$56,3,FALSE),1)</f>
        <v>0.96135087979789358</v>
      </c>
      <c r="BX732" s="4">
        <f>AVERAGE(Grandview_Inventory[[#This Row],[qual_adj]:[size_adj]])</f>
        <v>0.97521905207691773</v>
      </c>
      <c r="BY732" s="6">
        <f>IF(Grandview_Inventory[[#This Row],[pre_res]]&lt;0,0,Grandview_Inventory[[#This Row],[pre_res]]*Grandview_Inventory[[#This Row],[overall_adj]])</f>
        <v>243979.77301388254</v>
      </c>
      <c r="BZ732" s="6">
        <f>(Grandview_Inventory[[#This Row],[sum_land]]-IF(Grandview_Inventory[[#This Row],[no_utilities]]=1,12000,0))/IF(Grandview_Inventory[[#This Row],[unbuildable]]=1,2,1)</f>
        <v>48369.510983942157</v>
      </c>
      <c r="CA73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32">
        <f>ROUND(Grandview_Inventory[[#This Row],[det_value]]*Lookups!$M$28,-2)</f>
        <v>0</v>
      </c>
      <c r="CC732">
        <f>IF(ROUND(Grandview_Inventory[[#This Row],[adj_res]]*Lookups!$M$28,-2)&lt;Grandview_Inventory[[#This Row],[min_res]],Grandview_Inventory[[#This Row],[min_res]],ROUND(Grandview_Inventory[[#This Row],[adj_res]]*Lookups!$M$28,-2))</f>
        <v>231800</v>
      </c>
      <c r="CD732">
        <f>Grandview_Inventory[[#This Row],[final_det]]+Grandview_Inventory[[#This Row],[final_res]]</f>
        <v>231800</v>
      </c>
      <c r="CE732">
        <f>Grandview_Inventory[[#This Row],[final_land]]+Grandview_Inventory[[#This Row],[final_imp]]+Grandview_Inventory[[#This Row],[crop_value]]</f>
        <v>277800</v>
      </c>
      <c r="CG732" t="str">
        <f t="shared" si="11"/>
        <v>update valuation set market_land =46000, market_bldg=231800, market_total =277800, market_mdno =401, market_date ='9/10/2023' where link_id = (select link_id from parcel where parcel_year = '2024' and parcel_id = '23092231470');</v>
      </c>
    </row>
    <row r="733" spans="1:85" x14ac:dyDescent="0.25">
      <c r="A733">
        <v>23092231471</v>
      </c>
      <c r="B733">
        <v>0.18</v>
      </c>
      <c r="C733">
        <v>7798</v>
      </c>
      <c r="D733" t="s">
        <v>129</v>
      </c>
      <c r="E733" t="s">
        <v>53</v>
      </c>
      <c r="F733" t="s">
        <v>53</v>
      </c>
      <c r="G733">
        <v>4</v>
      </c>
      <c r="H733" t="s">
        <v>54</v>
      </c>
      <c r="I733">
        <v>135600</v>
      </c>
      <c r="J733">
        <v>38800</v>
      </c>
      <c r="K733">
        <v>0.18</v>
      </c>
      <c r="L73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733">
        <v>0</v>
      </c>
      <c r="N733">
        <v>0</v>
      </c>
      <c r="O733">
        <v>0</v>
      </c>
      <c r="P733">
        <v>13398.7528</v>
      </c>
      <c r="Q733">
        <v>63903</v>
      </c>
      <c r="R733">
        <f>(Grandview_Inventory[[#This Row],[ln_acres]]*Grandview_Inventory[[#This Row],[coeff]])+Grandview_Inventory[[#This Row],[const]]</f>
        <v>40926.839760167699</v>
      </c>
      <c r="S733" t="s">
        <v>61</v>
      </c>
      <c r="T733">
        <v>1</v>
      </c>
      <c r="U733" t="s">
        <v>65</v>
      </c>
      <c r="V733" t="s">
        <v>67</v>
      </c>
      <c r="W733">
        <v>0</v>
      </c>
      <c r="X733">
        <v>0</v>
      </c>
      <c r="Y733">
        <v>44</v>
      </c>
      <c r="Z733">
        <v>46</v>
      </c>
      <c r="AA733">
        <v>50</v>
      </c>
      <c r="AB733">
        <v>1500</v>
      </c>
      <c r="AC733">
        <v>1344</v>
      </c>
      <c r="AD733">
        <v>1344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240</v>
      </c>
      <c r="AM733">
        <v>0</v>
      </c>
      <c r="AN733">
        <v>0</v>
      </c>
      <c r="AO733">
        <v>240</v>
      </c>
      <c r="AP733">
        <v>5</v>
      </c>
      <c r="AQ733">
        <v>0</v>
      </c>
      <c r="AR733">
        <v>0</v>
      </c>
      <c r="AS733" t="s">
        <v>58</v>
      </c>
      <c r="AT733">
        <v>1</v>
      </c>
      <c r="AU733" t="s">
        <v>75</v>
      </c>
      <c r="AV733" t="s">
        <v>60</v>
      </c>
      <c r="AW733">
        <v>0</v>
      </c>
      <c r="AX733">
        <v>3</v>
      </c>
      <c r="AY733">
        <v>0</v>
      </c>
      <c r="AZ733">
        <v>0</v>
      </c>
      <c r="BA733">
        <v>100</v>
      </c>
      <c r="BB733">
        <v>100</v>
      </c>
      <c r="BC733">
        <v>100</v>
      </c>
      <c r="BD733">
        <v>100</v>
      </c>
      <c r="BE733">
        <v>1</v>
      </c>
      <c r="BF733">
        <v>15000</v>
      </c>
      <c r="BG733">
        <v>1000</v>
      </c>
      <c r="BH733" s="6">
        <f>Grandview_Inventory[[#This Row],[land_extract]]*Lookups!$B$3</f>
        <v>47528.228511015397</v>
      </c>
      <c r="BI733" s="6">
        <f>IF(Grandview_Inventory[[#This Row],[bldg_style]]="",0,Lookups!$B$2)</f>
        <v>155833.95000000001</v>
      </c>
      <c r="BJ733" s="6">
        <f>_xlfn.IFNA(VLOOKUP(Grandview_Inventory[[#This Row],[quality]],Lookups!$H$2:$J$14,3,FALSE),0)</f>
        <v>2251</v>
      </c>
      <c r="BK733" s="6">
        <f>_xlfn.IFNA(VLOOKUP(Grandview_Inventory[[#This Row],[condition]],Lookups!$H$17:$J$24,3,FALSE),0)</f>
        <v>22342</v>
      </c>
      <c r="BL733" s="6">
        <f>Grandview_Inventory[[#This Row],[Eff_Age]]*Lookups!$B$14</f>
        <v>-10523.330399999999</v>
      </c>
      <c r="BM733" s="6">
        <f>Grandview_Inventory[[#This Row],[living_area]]*Lookups!$B$15</f>
        <v>83839.86643200001</v>
      </c>
      <c r="BN733" s="6">
        <f>Grandview_Inventory[[#This Row],[Fin BSMT]]*Lookups!$B$16</f>
        <v>0</v>
      </c>
      <c r="BO733" s="6">
        <f>(Grandview_Inventory[[#This Row],[att_gar]]+Grandview_Inventory[[#This Row],[bltin_gar]])*Lookups!$B$17</f>
        <v>0</v>
      </c>
      <c r="BP733" s="6">
        <f>Grandview_Inventory[[#This Row],[Plumbing Fixtures]]*Lookups!$B$18</f>
        <v>10052.209000000001</v>
      </c>
      <c r="BQ733" s="6">
        <f>Grandview_Inventory[[#This Row],[detatched_value]]*Lookups!$B$19</f>
        <v>0</v>
      </c>
      <c r="BR733" s="6">
        <f>SUM(Grandview_Inventory[[#This Row],[Intercept]:[det_value]])*Grandview_Inventory[[#This Row],[res_pct]]</f>
        <v>263795.69503200002</v>
      </c>
      <c r="BS733" s="6">
        <f>Grandview_Inventory[[#This Row],[land_value]]</f>
        <v>47528.228511015397</v>
      </c>
      <c r="BT733" s="4">
        <f>_xlfn.IFNA(VLOOKUP(Grandview_Inventory[[#This Row],[quality]],Lookups!$A$26:$C$33,3,FALSE),1)</f>
        <v>0.98763855981004833</v>
      </c>
      <c r="BU733" s="4">
        <f>_xlfn.IFNA(VLOOKUP(Grandview_Inventory[[#This Row],[condition]],Lookups!$A$37:$C$44,3,FALSE),1)</f>
        <v>0.97383723671140243</v>
      </c>
      <c r="BV733" s="4">
        <f>IF(Grandview_Inventory[[#This Row],[bldg_style]]="",1,_xlfn.IFNA(VLOOKUP(Grandview_Inventory[[#This Row],[decade]],Lookups!$F$29:$H$43,3,FALSE),1))</f>
        <v>0.9871940091910919</v>
      </c>
      <c r="BW733" s="4">
        <f>_xlfn.IFNA(VLOOKUP(Grandview_Inventory[[#This Row],[living_area_range]],Lookups!$F$47:$H$56,3,FALSE),1)</f>
        <v>0.96135087979789358</v>
      </c>
      <c r="BX733" s="4">
        <f>AVERAGE(Grandview_Inventory[[#This Row],[qual_adj]:[size_adj]])</f>
        <v>0.97750517137760906</v>
      </c>
      <c r="BY733" s="6">
        <f>IF(Grandview_Inventory[[#This Row],[pre_res]]&lt;0,0,Grandview_Inventory[[#This Row],[pre_res]]*Grandview_Inventory[[#This Row],[overall_adj]])</f>
        <v>257861.65608093067</v>
      </c>
      <c r="BZ733" s="6">
        <f>(Grandview_Inventory[[#This Row],[sum_land]]-IF(Grandview_Inventory[[#This Row],[no_utilities]]=1,12000,0))/IF(Grandview_Inventory[[#This Row],[unbuildable]]=1,2,1)</f>
        <v>47528.228511015397</v>
      </c>
      <c r="CA73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733">
        <f>ROUND(Grandview_Inventory[[#This Row],[det_value]]*Lookups!$M$28,-2)</f>
        <v>0</v>
      </c>
      <c r="CC733">
        <f>IF(ROUND(Grandview_Inventory[[#This Row],[adj_res]]*Lookups!$M$28,-2)&lt;Grandview_Inventory[[#This Row],[min_res]],Grandview_Inventory[[#This Row],[min_res]],ROUND(Grandview_Inventory[[#This Row],[adj_res]]*Lookups!$M$28,-2))</f>
        <v>245000</v>
      </c>
      <c r="CD733">
        <f>Grandview_Inventory[[#This Row],[final_det]]+Grandview_Inventory[[#This Row],[final_res]]</f>
        <v>245000</v>
      </c>
      <c r="CE733">
        <f>Grandview_Inventory[[#This Row],[final_land]]+Grandview_Inventory[[#This Row],[final_imp]]+Grandview_Inventory[[#This Row],[crop_value]]</f>
        <v>290200</v>
      </c>
      <c r="CG733" t="str">
        <f t="shared" si="11"/>
        <v>update valuation set market_land =45200, market_bldg=245000, market_total =290200, market_mdno =401, market_date ='9/10/2023' where link_id = (select link_id from parcel where parcel_year = '2024' and parcel_id = '23092231471');</v>
      </c>
    </row>
    <row r="734" spans="1:85" x14ac:dyDescent="0.25">
      <c r="A734">
        <v>23092231472</v>
      </c>
      <c r="B734">
        <v>0.19</v>
      </c>
      <c r="C734">
        <v>8110</v>
      </c>
      <c r="D734" t="s">
        <v>129</v>
      </c>
      <c r="E734" t="s">
        <v>53</v>
      </c>
      <c r="F734" t="s">
        <v>53</v>
      </c>
      <c r="G734">
        <v>4</v>
      </c>
      <c r="H734" t="s">
        <v>54</v>
      </c>
      <c r="I734">
        <v>176100</v>
      </c>
      <c r="J734">
        <v>43300</v>
      </c>
      <c r="K734">
        <v>0.19</v>
      </c>
      <c r="L73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34">
        <v>0</v>
      </c>
      <c r="N734">
        <v>0</v>
      </c>
      <c r="O734">
        <v>0</v>
      </c>
      <c r="P734">
        <v>13398.7528</v>
      </c>
      <c r="Q734">
        <v>63903</v>
      </c>
      <c r="R734">
        <f>(Grandview_Inventory[[#This Row],[ln_acres]]*Grandview_Inventory[[#This Row],[coeff]])+Grandview_Inventory[[#This Row],[const]]</f>
        <v>41651.273092551026</v>
      </c>
      <c r="S734" t="s">
        <v>61</v>
      </c>
      <c r="T734">
        <v>1</v>
      </c>
      <c r="U734" t="s">
        <v>65</v>
      </c>
      <c r="V734" t="s">
        <v>67</v>
      </c>
      <c r="W734">
        <v>0</v>
      </c>
      <c r="X734">
        <v>0</v>
      </c>
      <c r="Y734">
        <v>44</v>
      </c>
      <c r="Z734">
        <v>46</v>
      </c>
      <c r="AA734">
        <v>50</v>
      </c>
      <c r="AB734">
        <v>1500</v>
      </c>
      <c r="AC734">
        <v>1056</v>
      </c>
      <c r="AD734">
        <v>1056</v>
      </c>
      <c r="AE734">
        <v>0</v>
      </c>
      <c r="AF734">
        <v>0</v>
      </c>
      <c r="AG734">
        <v>0</v>
      </c>
      <c r="AH734">
        <v>0</v>
      </c>
      <c r="AI734">
        <v>288</v>
      </c>
      <c r="AJ734">
        <v>0</v>
      </c>
      <c r="AK734">
        <v>0</v>
      </c>
      <c r="AL734">
        <v>0</v>
      </c>
      <c r="AM734">
        <v>448</v>
      </c>
      <c r="AN734">
        <v>0</v>
      </c>
      <c r="AO734">
        <v>0</v>
      </c>
      <c r="AP734">
        <v>5</v>
      </c>
      <c r="AQ734">
        <v>0</v>
      </c>
      <c r="AR734">
        <v>0</v>
      </c>
      <c r="AS734" t="s">
        <v>58</v>
      </c>
      <c r="AT734">
        <v>1</v>
      </c>
      <c r="AU734" t="s">
        <v>63</v>
      </c>
      <c r="AV734" t="s">
        <v>60</v>
      </c>
      <c r="AW734">
        <v>0</v>
      </c>
      <c r="AX734">
        <v>3</v>
      </c>
      <c r="AY734">
        <v>0</v>
      </c>
      <c r="AZ734">
        <v>0</v>
      </c>
      <c r="BA734">
        <v>100</v>
      </c>
      <c r="BB734">
        <v>100</v>
      </c>
      <c r="BC734">
        <v>100</v>
      </c>
      <c r="BD734">
        <v>100</v>
      </c>
      <c r="BE734">
        <v>1</v>
      </c>
      <c r="BF734">
        <v>15000</v>
      </c>
      <c r="BG734">
        <v>1000</v>
      </c>
      <c r="BH734" s="6">
        <f>Grandview_Inventory[[#This Row],[land_extract]]*Lookups!$B$3</f>
        <v>48369.510983942157</v>
      </c>
      <c r="BI734" s="6">
        <f>IF(Grandview_Inventory[[#This Row],[bldg_style]]="",0,Lookups!$B$2)</f>
        <v>155833.95000000001</v>
      </c>
      <c r="BJ734" s="6">
        <f>_xlfn.IFNA(VLOOKUP(Grandview_Inventory[[#This Row],[quality]],Lookups!$H$2:$J$14,3,FALSE),0)</f>
        <v>2251</v>
      </c>
      <c r="BK734" s="6">
        <f>_xlfn.IFNA(VLOOKUP(Grandview_Inventory[[#This Row],[condition]],Lookups!$H$17:$J$24,3,FALSE),0)</f>
        <v>22342</v>
      </c>
      <c r="BL734" s="6">
        <f>Grandview_Inventory[[#This Row],[Eff_Age]]*Lookups!$B$14</f>
        <v>-10523.330399999999</v>
      </c>
      <c r="BM734" s="6">
        <f>Grandview_Inventory[[#This Row],[living_area]]*Lookups!$B$15</f>
        <v>65874.180768000006</v>
      </c>
      <c r="BN734" s="6">
        <f>Grandview_Inventory[[#This Row],[Fin BSMT]]*Lookups!$B$16</f>
        <v>0</v>
      </c>
      <c r="BO734" s="6">
        <f>(Grandview_Inventory[[#This Row],[att_gar]]+Grandview_Inventory[[#This Row],[bltin_gar]])*Lookups!$B$17</f>
        <v>25205.885856000001</v>
      </c>
      <c r="BP734" s="6">
        <f>Grandview_Inventory[[#This Row],[Plumbing Fixtures]]*Lookups!$B$18</f>
        <v>10052.209000000001</v>
      </c>
      <c r="BQ734" s="6">
        <f>Grandview_Inventory[[#This Row],[detatched_value]]*Lookups!$B$19</f>
        <v>0</v>
      </c>
      <c r="BR734" s="6">
        <f>SUM(Grandview_Inventory[[#This Row],[Intercept]:[det_value]])*Grandview_Inventory[[#This Row],[res_pct]]</f>
        <v>271035.89522399998</v>
      </c>
      <c r="BS734" s="6">
        <f>Grandview_Inventory[[#This Row],[land_value]]</f>
        <v>48369.510983942157</v>
      </c>
      <c r="BT734" s="4">
        <f>_xlfn.IFNA(VLOOKUP(Grandview_Inventory[[#This Row],[quality]],Lookups!$A$26:$C$33,3,FALSE),1)</f>
        <v>0.98763855981004833</v>
      </c>
      <c r="BU734" s="4">
        <f>_xlfn.IFNA(VLOOKUP(Grandview_Inventory[[#This Row],[condition]],Lookups!$A$37:$C$44,3,FALSE),1)</f>
        <v>0.97383723671140243</v>
      </c>
      <c r="BV734" s="4">
        <f>IF(Grandview_Inventory[[#This Row],[bldg_style]]="",1,_xlfn.IFNA(VLOOKUP(Grandview_Inventory[[#This Row],[decade]],Lookups!$F$29:$H$43,3,FALSE),1))</f>
        <v>0.9871940091910919</v>
      </c>
      <c r="BW734" s="4">
        <f>_xlfn.IFNA(VLOOKUP(Grandview_Inventory[[#This Row],[living_area_range]],Lookups!$F$47:$H$56,3,FALSE),1)</f>
        <v>0.96135087979789358</v>
      </c>
      <c r="BX734" s="4">
        <f>AVERAGE(Grandview_Inventory[[#This Row],[qual_adj]:[size_adj]])</f>
        <v>0.97750517137760906</v>
      </c>
      <c r="BY734" s="6">
        <f>IF(Grandview_Inventory[[#This Row],[pre_res]]&lt;0,0,Grandview_Inventory[[#This Row],[pre_res]]*Grandview_Inventory[[#This Row],[overall_adj]])</f>
        <v>264938.98921041976</v>
      </c>
      <c r="BZ734" s="6">
        <f>(Grandview_Inventory[[#This Row],[sum_land]]-IF(Grandview_Inventory[[#This Row],[no_utilities]]=1,12000,0))/IF(Grandview_Inventory[[#This Row],[unbuildable]]=1,2,1)</f>
        <v>48369.510983942157</v>
      </c>
      <c r="CA73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34">
        <f>ROUND(Grandview_Inventory[[#This Row],[det_value]]*Lookups!$M$28,-2)</f>
        <v>0</v>
      </c>
      <c r="CC734">
        <f>IF(ROUND(Grandview_Inventory[[#This Row],[adj_res]]*Lookups!$M$28,-2)&lt;Grandview_Inventory[[#This Row],[min_res]],Grandview_Inventory[[#This Row],[min_res]],ROUND(Grandview_Inventory[[#This Row],[adj_res]]*Lookups!$M$28,-2))</f>
        <v>251700</v>
      </c>
      <c r="CD734">
        <f>Grandview_Inventory[[#This Row],[final_det]]+Grandview_Inventory[[#This Row],[final_res]]</f>
        <v>251700</v>
      </c>
      <c r="CE734">
        <f>Grandview_Inventory[[#This Row],[final_land]]+Grandview_Inventory[[#This Row],[final_imp]]+Grandview_Inventory[[#This Row],[crop_value]]</f>
        <v>297700</v>
      </c>
      <c r="CG734" t="str">
        <f t="shared" si="11"/>
        <v>update valuation set market_land =46000, market_bldg=251700, market_total =297700, market_mdno =401, market_date ='9/10/2023' where link_id = (select link_id from parcel where parcel_year = '2024' and parcel_id = '23092231472');</v>
      </c>
    </row>
    <row r="735" spans="1:85" x14ac:dyDescent="0.25">
      <c r="A735">
        <v>23092231473</v>
      </c>
      <c r="B735">
        <v>0.19</v>
      </c>
      <c r="C735">
        <v>8384</v>
      </c>
      <c r="D735" t="s">
        <v>129</v>
      </c>
      <c r="E735" t="s">
        <v>53</v>
      </c>
      <c r="F735" t="s">
        <v>53</v>
      </c>
      <c r="G735">
        <v>4</v>
      </c>
      <c r="H735" t="s">
        <v>54</v>
      </c>
      <c r="I735">
        <v>139800</v>
      </c>
      <c r="J735">
        <v>43500</v>
      </c>
      <c r="K735">
        <v>0.19</v>
      </c>
      <c r="L73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35">
        <v>0</v>
      </c>
      <c r="N735">
        <v>0</v>
      </c>
      <c r="O735">
        <v>0</v>
      </c>
      <c r="P735">
        <v>13398.7528</v>
      </c>
      <c r="Q735">
        <v>63903</v>
      </c>
      <c r="R735">
        <f>(Grandview_Inventory[[#This Row],[ln_acres]]*Grandview_Inventory[[#This Row],[coeff]])+Grandview_Inventory[[#This Row],[const]]</f>
        <v>41651.273092551026</v>
      </c>
      <c r="S735" t="s">
        <v>61</v>
      </c>
      <c r="T735">
        <v>1</v>
      </c>
      <c r="U735" t="s">
        <v>65</v>
      </c>
      <c r="V735" t="s">
        <v>69</v>
      </c>
      <c r="W735">
        <v>0</v>
      </c>
      <c r="X735">
        <v>0</v>
      </c>
      <c r="Y735">
        <v>44</v>
      </c>
      <c r="Z735">
        <v>46</v>
      </c>
      <c r="AA735">
        <v>50</v>
      </c>
      <c r="AB735">
        <v>1500</v>
      </c>
      <c r="AC735">
        <v>1056</v>
      </c>
      <c r="AD735">
        <v>1056</v>
      </c>
      <c r="AE735">
        <v>0</v>
      </c>
      <c r="AF735">
        <v>0</v>
      </c>
      <c r="AG735">
        <v>0</v>
      </c>
      <c r="AH735">
        <v>0</v>
      </c>
      <c r="AI735">
        <v>288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5</v>
      </c>
      <c r="AQ735">
        <v>0</v>
      </c>
      <c r="AR735">
        <v>0</v>
      </c>
      <c r="AS735" t="s">
        <v>58</v>
      </c>
      <c r="AT735">
        <v>1</v>
      </c>
      <c r="AU735" t="s">
        <v>63</v>
      </c>
      <c r="AV735" t="s">
        <v>60</v>
      </c>
      <c r="AW735">
        <v>0</v>
      </c>
      <c r="AX735">
        <v>3</v>
      </c>
      <c r="AY735">
        <v>0</v>
      </c>
      <c r="AZ735">
        <v>0</v>
      </c>
      <c r="BA735">
        <v>100</v>
      </c>
      <c r="BB735">
        <v>100</v>
      </c>
      <c r="BC735">
        <v>100</v>
      </c>
      <c r="BD735">
        <v>100</v>
      </c>
      <c r="BE735">
        <v>1</v>
      </c>
      <c r="BF735">
        <v>15000</v>
      </c>
      <c r="BG735">
        <v>1000</v>
      </c>
      <c r="BH735" s="6">
        <f>Grandview_Inventory[[#This Row],[land_extract]]*Lookups!$B$3</f>
        <v>48369.510983942157</v>
      </c>
      <c r="BI735" s="6">
        <f>IF(Grandview_Inventory[[#This Row],[bldg_style]]="",0,Lookups!$B$2)</f>
        <v>155833.95000000001</v>
      </c>
      <c r="BJ735" s="6">
        <f>_xlfn.IFNA(VLOOKUP(Grandview_Inventory[[#This Row],[quality]],Lookups!$H$2:$J$14,3,FALSE),0)</f>
        <v>2251</v>
      </c>
      <c r="BK735" s="6">
        <f>_xlfn.IFNA(VLOOKUP(Grandview_Inventory[[#This Row],[condition]],Lookups!$H$17:$J$24,3,FALSE),0)</f>
        <v>-4503</v>
      </c>
      <c r="BL735" s="6">
        <f>Grandview_Inventory[[#This Row],[Eff_Age]]*Lookups!$B$14</f>
        <v>-10523.330399999999</v>
      </c>
      <c r="BM735" s="6">
        <f>Grandview_Inventory[[#This Row],[living_area]]*Lookups!$B$15</f>
        <v>65874.180768000006</v>
      </c>
      <c r="BN735" s="6">
        <f>Grandview_Inventory[[#This Row],[Fin BSMT]]*Lookups!$B$16</f>
        <v>0</v>
      </c>
      <c r="BO735" s="6">
        <f>(Grandview_Inventory[[#This Row],[att_gar]]+Grandview_Inventory[[#This Row],[bltin_gar]])*Lookups!$B$17</f>
        <v>25205.885856000001</v>
      </c>
      <c r="BP735" s="6">
        <f>Grandview_Inventory[[#This Row],[Plumbing Fixtures]]*Lookups!$B$18</f>
        <v>10052.209000000001</v>
      </c>
      <c r="BQ735" s="6">
        <f>Grandview_Inventory[[#This Row],[detatched_value]]*Lookups!$B$19</f>
        <v>0</v>
      </c>
      <c r="BR735" s="6">
        <f>SUM(Grandview_Inventory[[#This Row],[Intercept]:[det_value]])*Grandview_Inventory[[#This Row],[res_pct]]</f>
        <v>244190.89522400001</v>
      </c>
      <c r="BS735" s="6">
        <f>Grandview_Inventory[[#This Row],[land_value]]</f>
        <v>48369.510983942157</v>
      </c>
      <c r="BT735" s="4">
        <f>_xlfn.IFNA(VLOOKUP(Grandview_Inventory[[#This Row],[quality]],Lookups!$A$26:$C$33,3,FALSE),1)</f>
        <v>0.98763855981004833</v>
      </c>
      <c r="BU735" s="4">
        <f>_xlfn.IFNA(VLOOKUP(Grandview_Inventory[[#This Row],[condition]],Lookups!$A$37:$C$44,3,FALSE),1)</f>
        <v>0.96469275950863709</v>
      </c>
      <c r="BV735" s="4">
        <f>IF(Grandview_Inventory[[#This Row],[bldg_style]]="",1,_xlfn.IFNA(VLOOKUP(Grandview_Inventory[[#This Row],[decade]],Lookups!$F$29:$H$43,3,FALSE),1))</f>
        <v>0.9871940091910919</v>
      </c>
      <c r="BW735" s="4">
        <f>_xlfn.IFNA(VLOOKUP(Grandview_Inventory[[#This Row],[living_area_range]],Lookups!$F$47:$H$56,3,FALSE),1)</f>
        <v>0.96135087979789358</v>
      </c>
      <c r="BX735" s="4">
        <f>AVERAGE(Grandview_Inventory[[#This Row],[qual_adj]:[size_adj]])</f>
        <v>0.97521905207691773</v>
      </c>
      <c r="BY735" s="6">
        <f>IF(Grandview_Inventory[[#This Row],[pre_res]]&lt;0,0,Grandview_Inventory[[#This Row],[pre_res]]*Grandview_Inventory[[#This Row],[overall_adj]])</f>
        <v>238139.61336616322</v>
      </c>
      <c r="BZ735" s="6">
        <f>(Grandview_Inventory[[#This Row],[sum_land]]-IF(Grandview_Inventory[[#This Row],[no_utilities]]=1,12000,0))/IF(Grandview_Inventory[[#This Row],[unbuildable]]=1,2,1)</f>
        <v>48369.510983942157</v>
      </c>
      <c r="CA73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35">
        <f>ROUND(Grandview_Inventory[[#This Row],[det_value]]*Lookups!$M$28,-2)</f>
        <v>0</v>
      </c>
      <c r="CC735">
        <f>IF(ROUND(Grandview_Inventory[[#This Row],[adj_res]]*Lookups!$M$28,-2)&lt;Grandview_Inventory[[#This Row],[min_res]],Grandview_Inventory[[#This Row],[min_res]],ROUND(Grandview_Inventory[[#This Row],[adj_res]]*Lookups!$M$28,-2))</f>
        <v>226200</v>
      </c>
      <c r="CD735">
        <f>Grandview_Inventory[[#This Row],[final_det]]+Grandview_Inventory[[#This Row],[final_res]]</f>
        <v>226200</v>
      </c>
      <c r="CE735">
        <f>Grandview_Inventory[[#This Row],[final_land]]+Grandview_Inventory[[#This Row],[final_imp]]+Grandview_Inventory[[#This Row],[crop_value]]</f>
        <v>272200</v>
      </c>
      <c r="CG735" t="str">
        <f t="shared" si="11"/>
        <v>update valuation set market_land =46000, market_bldg=226200, market_total =272200, market_mdno =401, market_date ='9/10/2023' where link_id = (select link_id from parcel where parcel_year = '2024' and parcel_id = '23092231473');</v>
      </c>
    </row>
    <row r="736" spans="1:85" x14ac:dyDescent="0.25">
      <c r="A736">
        <v>23092231474</v>
      </c>
      <c r="B736">
        <v>0.2</v>
      </c>
      <c r="C736">
        <v>8657</v>
      </c>
      <c r="D736" t="s">
        <v>129</v>
      </c>
      <c r="E736" t="s">
        <v>53</v>
      </c>
      <c r="F736" t="s">
        <v>53</v>
      </c>
      <c r="G736">
        <v>4</v>
      </c>
      <c r="H736" t="s">
        <v>54</v>
      </c>
      <c r="I736">
        <v>139600</v>
      </c>
      <c r="J736">
        <v>43700</v>
      </c>
      <c r="K736">
        <v>0.2</v>
      </c>
      <c r="L73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36">
        <v>0</v>
      </c>
      <c r="N736">
        <v>0</v>
      </c>
      <c r="O736">
        <v>0</v>
      </c>
      <c r="P736">
        <v>13398.7528</v>
      </c>
      <c r="Q736">
        <v>63903</v>
      </c>
      <c r="R736">
        <f>(Grandview_Inventory[[#This Row],[ln_acres]]*Grandview_Inventory[[#This Row],[coeff]])+Grandview_Inventory[[#This Row],[const]]</f>
        <v>42338.539264347448</v>
      </c>
      <c r="S736" t="s">
        <v>61</v>
      </c>
      <c r="T736">
        <v>1</v>
      </c>
      <c r="U736" t="s">
        <v>65</v>
      </c>
      <c r="V736" t="s">
        <v>69</v>
      </c>
      <c r="W736">
        <v>0</v>
      </c>
      <c r="X736">
        <v>0</v>
      </c>
      <c r="Y736">
        <v>44</v>
      </c>
      <c r="Z736">
        <v>46</v>
      </c>
      <c r="AA736">
        <v>50</v>
      </c>
      <c r="AB736">
        <v>1500</v>
      </c>
      <c r="AC736">
        <v>1196</v>
      </c>
      <c r="AD736">
        <v>1196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364</v>
      </c>
      <c r="AL736">
        <v>0</v>
      </c>
      <c r="AM736">
        <v>280</v>
      </c>
      <c r="AN736">
        <v>0</v>
      </c>
      <c r="AO736">
        <v>280</v>
      </c>
      <c r="AP736">
        <v>5</v>
      </c>
      <c r="AQ736">
        <v>0</v>
      </c>
      <c r="AR736">
        <v>0</v>
      </c>
      <c r="AS736" t="s">
        <v>58</v>
      </c>
      <c r="AT736">
        <v>1</v>
      </c>
      <c r="AU736" t="s">
        <v>63</v>
      </c>
      <c r="AV736" t="s">
        <v>60</v>
      </c>
      <c r="AW736">
        <v>0</v>
      </c>
      <c r="AX736">
        <v>3</v>
      </c>
      <c r="AY736">
        <v>0</v>
      </c>
      <c r="AZ736">
        <v>0</v>
      </c>
      <c r="BA736">
        <v>100</v>
      </c>
      <c r="BB736">
        <v>100</v>
      </c>
      <c r="BC736">
        <v>100</v>
      </c>
      <c r="BD736">
        <v>100</v>
      </c>
      <c r="BE736">
        <v>1</v>
      </c>
      <c r="BF736">
        <v>15000</v>
      </c>
      <c r="BG736">
        <v>1000</v>
      </c>
      <c r="BH736" s="6">
        <f>Grandview_Inventory[[#This Row],[land_extract]]*Lookups!$B$3</f>
        <v>49167.631333630678</v>
      </c>
      <c r="BI736" s="6">
        <f>IF(Grandview_Inventory[[#This Row],[bldg_style]]="",0,Lookups!$B$2)</f>
        <v>155833.95000000001</v>
      </c>
      <c r="BJ736" s="6">
        <f>_xlfn.IFNA(VLOOKUP(Grandview_Inventory[[#This Row],[quality]],Lookups!$H$2:$J$14,3,FALSE),0)</f>
        <v>2251</v>
      </c>
      <c r="BK736" s="6">
        <f>_xlfn.IFNA(VLOOKUP(Grandview_Inventory[[#This Row],[condition]],Lookups!$H$17:$J$24,3,FALSE),0)</f>
        <v>-4503</v>
      </c>
      <c r="BL736" s="6">
        <f>Grandview_Inventory[[#This Row],[Eff_Age]]*Lookups!$B$14</f>
        <v>-10523.330399999999</v>
      </c>
      <c r="BM736" s="6">
        <f>Grandview_Inventory[[#This Row],[living_area]]*Lookups!$B$15</f>
        <v>74607.500188000005</v>
      </c>
      <c r="BN736" s="6">
        <f>Grandview_Inventory[[#This Row],[Fin BSMT]]*Lookups!$B$16</f>
        <v>0</v>
      </c>
      <c r="BO736" s="6">
        <f>(Grandview_Inventory[[#This Row],[att_gar]]+Grandview_Inventory[[#This Row],[bltin_gar]])*Lookups!$B$17</f>
        <v>0</v>
      </c>
      <c r="BP736" s="6">
        <f>Grandview_Inventory[[#This Row],[Plumbing Fixtures]]*Lookups!$B$18</f>
        <v>10052.209000000001</v>
      </c>
      <c r="BQ736" s="6">
        <f>Grandview_Inventory[[#This Row],[detatched_value]]*Lookups!$B$19</f>
        <v>0</v>
      </c>
      <c r="BR736" s="6">
        <f>SUM(Grandview_Inventory[[#This Row],[Intercept]:[det_value]])*Grandview_Inventory[[#This Row],[res_pct]]</f>
        <v>227718.32878800001</v>
      </c>
      <c r="BS736" s="6">
        <f>Grandview_Inventory[[#This Row],[land_value]]</f>
        <v>49167.631333630678</v>
      </c>
      <c r="BT736" s="4">
        <f>_xlfn.IFNA(VLOOKUP(Grandview_Inventory[[#This Row],[quality]],Lookups!$A$26:$C$33,3,FALSE),1)</f>
        <v>0.98763855981004833</v>
      </c>
      <c r="BU736" s="4">
        <f>_xlfn.IFNA(VLOOKUP(Grandview_Inventory[[#This Row],[condition]],Lookups!$A$37:$C$44,3,FALSE),1)</f>
        <v>0.96469275950863709</v>
      </c>
      <c r="BV736" s="4">
        <f>IF(Grandview_Inventory[[#This Row],[bldg_style]]="",1,_xlfn.IFNA(VLOOKUP(Grandview_Inventory[[#This Row],[decade]],Lookups!$F$29:$H$43,3,FALSE),1))</f>
        <v>0.9871940091910919</v>
      </c>
      <c r="BW736" s="4">
        <f>_xlfn.IFNA(VLOOKUP(Grandview_Inventory[[#This Row],[living_area_range]],Lookups!$F$47:$H$56,3,FALSE),1)</f>
        <v>0.96135087979789358</v>
      </c>
      <c r="BX736" s="4">
        <f>AVERAGE(Grandview_Inventory[[#This Row],[qual_adj]:[size_adj]])</f>
        <v>0.97521905207691773</v>
      </c>
      <c r="BY736" s="6">
        <f>IF(Grandview_Inventory[[#This Row],[pre_res]]&lt;0,0,Grandview_Inventory[[#This Row],[pre_res]]*Grandview_Inventory[[#This Row],[overall_adj]])</f>
        <v>222075.25274117326</v>
      </c>
      <c r="BZ736" s="6">
        <f>(Grandview_Inventory[[#This Row],[sum_land]]-IF(Grandview_Inventory[[#This Row],[no_utilities]]=1,12000,0))/IF(Grandview_Inventory[[#This Row],[unbuildable]]=1,2,1)</f>
        <v>49167.631333630678</v>
      </c>
      <c r="CA73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36">
        <f>ROUND(Grandview_Inventory[[#This Row],[det_value]]*Lookups!$M$28,-2)</f>
        <v>0</v>
      </c>
      <c r="CC736">
        <f>IF(ROUND(Grandview_Inventory[[#This Row],[adj_res]]*Lookups!$M$28,-2)&lt;Grandview_Inventory[[#This Row],[min_res]],Grandview_Inventory[[#This Row],[min_res]],ROUND(Grandview_Inventory[[#This Row],[adj_res]]*Lookups!$M$28,-2))</f>
        <v>211000</v>
      </c>
      <c r="CD736">
        <f>Grandview_Inventory[[#This Row],[final_det]]+Grandview_Inventory[[#This Row],[final_res]]</f>
        <v>211000</v>
      </c>
      <c r="CE736">
        <f>Grandview_Inventory[[#This Row],[final_land]]+Grandview_Inventory[[#This Row],[final_imp]]+Grandview_Inventory[[#This Row],[crop_value]]</f>
        <v>257700</v>
      </c>
      <c r="CG736" t="str">
        <f t="shared" si="11"/>
        <v>update valuation set market_land =46700, market_bldg=211000, market_total =257700, market_mdno =401, market_date ='9/10/2023' where link_id = (select link_id from parcel where parcel_year = '2024' and parcel_id = '23092231474');</v>
      </c>
    </row>
    <row r="737" spans="1:85" x14ac:dyDescent="0.25">
      <c r="A737">
        <v>23092231475</v>
      </c>
      <c r="B737">
        <v>0.21</v>
      </c>
      <c r="C737">
        <v>8931</v>
      </c>
      <c r="D737" t="s">
        <v>129</v>
      </c>
      <c r="E737" t="s">
        <v>53</v>
      </c>
      <c r="F737" t="s">
        <v>53</v>
      </c>
      <c r="G737">
        <v>4</v>
      </c>
      <c r="H737" t="s">
        <v>54</v>
      </c>
      <c r="I737">
        <v>154300</v>
      </c>
      <c r="J737">
        <v>39300</v>
      </c>
      <c r="K737">
        <v>0.21</v>
      </c>
      <c r="L73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37">
        <v>0</v>
      </c>
      <c r="N737">
        <v>0</v>
      </c>
      <c r="O737">
        <v>0</v>
      </c>
      <c r="P737">
        <v>13398.7528</v>
      </c>
      <c r="Q737">
        <v>63903</v>
      </c>
      <c r="R737">
        <f>(Grandview_Inventory[[#This Row],[ln_acres]]*Grandview_Inventory[[#This Row],[coeff]])+Grandview_Inventory[[#This Row],[const]]</f>
        <v>42992.266613125081</v>
      </c>
      <c r="S737" t="s">
        <v>61</v>
      </c>
      <c r="T737">
        <v>1</v>
      </c>
      <c r="U737" t="s">
        <v>65</v>
      </c>
      <c r="V737" t="s">
        <v>69</v>
      </c>
      <c r="W737">
        <v>0</v>
      </c>
      <c r="X737">
        <v>0</v>
      </c>
      <c r="Y737">
        <v>43</v>
      </c>
      <c r="Z737">
        <v>45</v>
      </c>
      <c r="AA737">
        <v>50</v>
      </c>
      <c r="AB737">
        <v>1500</v>
      </c>
      <c r="AC737">
        <v>1196</v>
      </c>
      <c r="AD737">
        <v>1196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312</v>
      </c>
      <c r="AL737">
        <v>240</v>
      </c>
      <c r="AM737">
        <v>0</v>
      </c>
      <c r="AN737">
        <v>0</v>
      </c>
      <c r="AO737">
        <v>0</v>
      </c>
      <c r="AP737">
        <v>5</v>
      </c>
      <c r="AQ737">
        <v>0</v>
      </c>
      <c r="AR737">
        <v>0</v>
      </c>
      <c r="AS737" t="s">
        <v>58</v>
      </c>
      <c r="AT737">
        <v>1</v>
      </c>
      <c r="AU737" t="s">
        <v>63</v>
      </c>
      <c r="AV737" t="s">
        <v>60</v>
      </c>
      <c r="AW737">
        <v>1</v>
      </c>
      <c r="AX737">
        <v>3</v>
      </c>
      <c r="AY737">
        <v>0</v>
      </c>
      <c r="AZ737">
        <v>0</v>
      </c>
      <c r="BA737">
        <v>100</v>
      </c>
      <c r="BB737">
        <v>100</v>
      </c>
      <c r="BC737">
        <v>100</v>
      </c>
      <c r="BD737">
        <v>100</v>
      </c>
      <c r="BE737">
        <v>1</v>
      </c>
      <c r="BF737">
        <v>15000</v>
      </c>
      <c r="BG737">
        <v>1000</v>
      </c>
      <c r="BH737" s="6">
        <f>Grandview_Inventory[[#This Row],[land_extract]]*Lookups!$B$3</f>
        <v>49926.8031387023</v>
      </c>
      <c r="BI737" s="6">
        <f>IF(Grandview_Inventory[[#This Row],[bldg_style]]="",0,Lookups!$B$2)</f>
        <v>155833.95000000001</v>
      </c>
      <c r="BJ737" s="6">
        <f>_xlfn.IFNA(VLOOKUP(Grandview_Inventory[[#This Row],[quality]],Lookups!$H$2:$J$14,3,FALSE),0)</f>
        <v>2251</v>
      </c>
      <c r="BK737" s="6">
        <f>_xlfn.IFNA(VLOOKUP(Grandview_Inventory[[#This Row],[condition]],Lookups!$H$17:$J$24,3,FALSE),0)</f>
        <v>-4503</v>
      </c>
      <c r="BL737" s="6">
        <f>Grandview_Inventory[[#This Row],[Eff_Age]]*Lookups!$B$14</f>
        <v>-10284.1638</v>
      </c>
      <c r="BM737" s="6">
        <f>Grandview_Inventory[[#This Row],[living_area]]*Lookups!$B$15</f>
        <v>74607.500188000005</v>
      </c>
      <c r="BN737" s="6">
        <f>Grandview_Inventory[[#This Row],[Fin BSMT]]*Lookups!$B$16</f>
        <v>0</v>
      </c>
      <c r="BO737" s="6">
        <f>(Grandview_Inventory[[#This Row],[att_gar]]+Grandview_Inventory[[#This Row],[bltin_gar]])*Lookups!$B$17</f>
        <v>0</v>
      </c>
      <c r="BP737" s="6">
        <f>Grandview_Inventory[[#This Row],[Plumbing Fixtures]]*Lookups!$B$18</f>
        <v>10052.209000000001</v>
      </c>
      <c r="BQ737" s="6">
        <f>Grandview_Inventory[[#This Row],[detatched_value]]*Lookups!$B$19</f>
        <v>0</v>
      </c>
      <c r="BR737" s="6">
        <f>SUM(Grandview_Inventory[[#This Row],[Intercept]:[det_value]])*Grandview_Inventory[[#This Row],[res_pct]]</f>
        <v>227957.49538800001</v>
      </c>
      <c r="BS737" s="6">
        <f>Grandview_Inventory[[#This Row],[land_value]]</f>
        <v>49926.8031387023</v>
      </c>
      <c r="BT737" s="4">
        <f>_xlfn.IFNA(VLOOKUP(Grandview_Inventory[[#This Row],[quality]],Lookups!$A$26:$C$33,3,FALSE),1)</f>
        <v>0.98763855981004833</v>
      </c>
      <c r="BU737" s="4">
        <f>_xlfn.IFNA(VLOOKUP(Grandview_Inventory[[#This Row],[condition]],Lookups!$A$37:$C$44,3,FALSE),1)</f>
        <v>0.96469275950863709</v>
      </c>
      <c r="BV737" s="4">
        <f>IF(Grandview_Inventory[[#This Row],[bldg_style]]="",1,_xlfn.IFNA(VLOOKUP(Grandview_Inventory[[#This Row],[decade]],Lookups!$F$29:$H$43,3,FALSE),1))</f>
        <v>0.9871940091910919</v>
      </c>
      <c r="BW737" s="4">
        <f>_xlfn.IFNA(VLOOKUP(Grandview_Inventory[[#This Row],[living_area_range]],Lookups!$F$47:$H$56,3,FALSE),1)</f>
        <v>0.96135087979789358</v>
      </c>
      <c r="BX737" s="4">
        <f>AVERAGE(Grandview_Inventory[[#This Row],[qual_adj]:[size_adj]])</f>
        <v>0.97521905207691773</v>
      </c>
      <c r="BY737" s="6">
        <f>IF(Grandview_Inventory[[#This Row],[pre_res]]&lt;0,0,Grandview_Inventory[[#This Row],[pre_res]]*Grandview_Inventory[[#This Row],[overall_adj]])</f>
        <v>222308.49256611371</v>
      </c>
      <c r="BZ737" s="6">
        <f>(Grandview_Inventory[[#This Row],[sum_land]]-IF(Grandview_Inventory[[#This Row],[no_utilities]]=1,12000,0))/IF(Grandview_Inventory[[#This Row],[unbuildable]]=1,2,1)</f>
        <v>49926.8031387023</v>
      </c>
      <c r="CA73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37">
        <f>ROUND(Grandview_Inventory[[#This Row],[det_value]]*Lookups!$M$28,-2)</f>
        <v>0</v>
      </c>
      <c r="CC737">
        <f>IF(ROUND(Grandview_Inventory[[#This Row],[adj_res]]*Lookups!$M$28,-2)&lt;Grandview_Inventory[[#This Row],[min_res]],Grandview_Inventory[[#This Row],[min_res]],ROUND(Grandview_Inventory[[#This Row],[adj_res]]*Lookups!$M$28,-2))</f>
        <v>211200</v>
      </c>
      <c r="CD737">
        <f>Grandview_Inventory[[#This Row],[final_det]]+Grandview_Inventory[[#This Row],[final_res]]</f>
        <v>211200</v>
      </c>
      <c r="CE737">
        <f>Grandview_Inventory[[#This Row],[final_land]]+Grandview_Inventory[[#This Row],[final_imp]]+Grandview_Inventory[[#This Row],[crop_value]]</f>
        <v>258600</v>
      </c>
      <c r="CG737" t="str">
        <f t="shared" si="11"/>
        <v>update valuation set market_land =47400, market_bldg=211200, market_total =258600, market_mdno =401, market_date ='9/10/2023' where link_id = (select link_id from parcel where parcel_year = '2024' and parcel_id = '23092231475');</v>
      </c>
    </row>
    <row r="738" spans="1:85" x14ac:dyDescent="0.25">
      <c r="A738">
        <v>23092231476</v>
      </c>
      <c r="B738">
        <v>0.21</v>
      </c>
      <c r="C738">
        <v>9204</v>
      </c>
      <c r="D738" t="s">
        <v>129</v>
      </c>
      <c r="E738" t="s">
        <v>53</v>
      </c>
      <c r="F738" t="s">
        <v>53</v>
      </c>
      <c r="G738">
        <v>4</v>
      </c>
      <c r="H738" t="s">
        <v>54</v>
      </c>
      <c r="I738">
        <v>175300</v>
      </c>
      <c r="J738">
        <v>43700</v>
      </c>
      <c r="K738">
        <v>0.21</v>
      </c>
      <c r="L73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38">
        <v>0</v>
      </c>
      <c r="N738">
        <v>0</v>
      </c>
      <c r="O738">
        <v>0</v>
      </c>
      <c r="P738">
        <v>13398.7528</v>
      </c>
      <c r="Q738">
        <v>63903</v>
      </c>
      <c r="R738">
        <f>(Grandview_Inventory[[#This Row],[ln_acres]]*Grandview_Inventory[[#This Row],[coeff]])+Grandview_Inventory[[#This Row],[const]]</f>
        <v>42992.266613125081</v>
      </c>
      <c r="S738" t="s">
        <v>61</v>
      </c>
      <c r="T738">
        <v>1</v>
      </c>
      <c r="U738" t="s">
        <v>65</v>
      </c>
      <c r="V738" t="s">
        <v>67</v>
      </c>
      <c r="W738">
        <v>0</v>
      </c>
      <c r="X738">
        <v>0</v>
      </c>
      <c r="Y738">
        <v>44</v>
      </c>
      <c r="Z738">
        <v>46</v>
      </c>
      <c r="AA738">
        <v>50</v>
      </c>
      <c r="AB738">
        <v>1500</v>
      </c>
      <c r="AC738">
        <v>1376</v>
      </c>
      <c r="AD738">
        <v>1376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88</v>
      </c>
      <c r="AN738">
        <v>0</v>
      </c>
      <c r="AO738">
        <v>336</v>
      </c>
      <c r="AP738">
        <v>5</v>
      </c>
      <c r="AQ738">
        <v>0</v>
      </c>
      <c r="AR738">
        <v>0</v>
      </c>
      <c r="AS738" t="s">
        <v>58</v>
      </c>
      <c r="AT738">
        <v>1</v>
      </c>
      <c r="AU738" t="s">
        <v>75</v>
      </c>
      <c r="AV738" t="s">
        <v>60</v>
      </c>
      <c r="AW738">
        <v>0</v>
      </c>
      <c r="AX738">
        <v>4</v>
      </c>
      <c r="AY738">
        <v>0</v>
      </c>
      <c r="AZ738">
        <v>0</v>
      </c>
      <c r="BA738">
        <v>100</v>
      </c>
      <c r="BB738">
        <v>100</v>
      </c>
      <c r="BC738">
        <v>100</v>
      </c>
      <c r="BD738">
        <v>100</v>
      </c>
      <c r="BE738">
        <v>1</v>
      </c>
      <c r="BF738">
        <v>15000</v>
      </c>
      <c r="BG738">
        <v>1000</v>
      </c>
      <c r="BH738" s="6">
        <f>Grandview_Inventory[[#This Row],[land_extract]]*Lookups!$B$3</f>
        <v>49926.8031387023</v>
      </c>
      <c r="BI738" s="6">
        <f>IF(Grandview_Inventory[[#This Row],[bldg_style]]="",0,Lookups!$B$2)</f>
        <v>155833.95000000001</v>
      </c>
      <c r="BJ738" s="6">
        <f>_xlfn.IFNA(VLOOKUP(Grandview_Inventory[[#This Row],[quality]],Lookups!$H$2:$J$14,3,FALSE),0)</f>
        <v>2251</v>
      </c>
      <c r="BK738" s="6">
        <f>_xlfn.IFNA(VLOOKUP(Grandview_Inventory[[#This Row],[condition]],Lookups!$H$17:$J$24,3,FALSE),0)</f>
        <v>22342</v>
      </c>
      <c r="BL738" s="6">
        <f>Grandview_Inventory[[#This Row],[Eff_Age]]*Lookups!$B$14</f>
        <v>-10523.330399999999</v>
      </c>
      <c r="BM738" s="6">
        <f>Grandview_Inventory[[#This Row],[living_area]]*Lookups!$B$15</f>
        <v>85836.053727999999</v>
      </c>
      <c r="BN738" s="6">
        <f>Grandview_Inventory[[#This Row],[Fin BSMT]]*Lookups!$B$16</f>
        <v>0</v>
      </c>
      <c r="BO738" s="6">
        <f>(Grandview_Inventory[[#This Row],[att_gar]]+Grandview_Inventory[[#This Row],[bltin_gar]])*Lookups!$B$17</f>
        <v>0</v>
      </c>
      <c r="BP738" s="6">
        <f>Grandview_Inventory[[#This Row],[Plumbing Fixtures]]*Lookups!$B$18</f>
        <v>10052.209000000001</v>
      </c>
      <c r="BQ738" s="6">
        <f>Grandview_Inventory[[#This Row],[detatched_value]]*Lookups!$B$19</f>
        <v>0</v>
      </c>
      <c r="BR738" s="6">
        <f>SUM(Grandview_Inventory[[#This Row],[Intercept]:[det_value]])*Grandview_Inventory[[#This Row],[res_pct]]</f>
        <v>265791.88232799998</v>
      </c>
      <c r="BS738" s="6">
        <f>Grandview_Inventory[[#This Row],[land_value]]</f>
        <v>49926.8031387023</v>
      </c>
      <c r="BT738" s="4">
        <f>_xlfn.IFNA(VLOOKUP(Grandview_Inventory[[#This Row],[quality]],Lookups!$A$26:$C$33,3,FALSE),1)</f>
        <v>0.98763855981004833</v>
      </c>
      <c r="BU738" s="4">
        <f>_xlfn.IFNA(VLOOKUP(Grandview_Inventory[[#This Row],[condition]],Lookups!$A$37:$C$44,3,FALSE),1)</f>
        <v>0.97383723671140243</v>
      </c>
      <c r="BV738" s="4">
        <f>IF(Grandview_Inventory[[#This Row],[bldg_style]]="",1,_xlfn.IFNA(VLOOKUP(Grandview_Inventory[[#This Row],[decade]],Lookups!$F$29:$H$43,3,FALSE),1))</f>
        <v>0.9871940091910919</v>
      </c>
      <c r="BW738" s="4">
        <f>_xlfn.IFNA(VLOOKUP(Grandview_Inventory[[#This Row],[living_area_range]],Lookups!$F$47:$H$56,3,FALSE),1)</f>
        <v>0.96135087979789358</v>
      </c>
      <c r="BX738" s="4">
        <f>AVERAGE(Grandview_Inventory[[#This Row],[qual_adj]:[size_adj]])</f>
        <v>0.97750517137760906</v>
      </c>
      <c r="BY738" s="6">
        <f>IF(Grandview_Inventory[[#This Row],[pre_res]]&lt;0,0,Grandview_Inventory[[#This Row],[pre_res]]*Grandview_Inventory[[#This Row],[overall_adj]])</f>
        <v>259812.93948580892</v>
      </c>
      <c r="BZ738" s="6">
        <f>(Grandview_Inventory[[#This Row],[sum_land]]-IF(Grandview_Inventory[[#This Row],[no_utilities]]=1,12000,0))/IF(Grandview_Inventory[[#This Row],[unbuildable]]=1,2,1)</f>
        <v>49926.8031387023</v>
      </c>
      <c r="CA73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38">
        <f>ROUND(Grandview_Inventory[[#This Row],[det_value]]*Lookups!$M$28,-2)</f>
        <v>0</v>
      </c>
      <c r="CC738">
        <f>IF(ROUND(Grandview_Inventory[[#This Row],[adj_res]]*Lookups!$M$28,-2)&lt;Grandview_Inventory[[#This Row],[min_res]],Grandview_Inventory[[#This Row],[min_res]],ROUND(Grandview_Inventory[[#This Row],[adj_res]]*Lookups!$M$28,-2))</f>
        <v>246800</v>
      </c>
      <c r="CD738">
        <f>Grandview_Inventory[[#This Row],[final_det]]+Grandview_Inventory[[#This Row],[final_res]]</f>
        <v>246800</v>
      </c>
      <c r="CE738">
        <f>Grandview_Inventory[[#This Row],[final_land]]+Grandview_Inventory[[#This Row],[final_imp]]+Grandview_Inventory[[#This Row],[crop_value]]</f>
        <v>294200</v>
      </c>
      <c r="CG738" t="str">
        <f t="shared" si="11"/>
        <v>update valuation set market_land =47400, market_bldg=246800, market_total =294200, market_mdno =401, market_date ='9/10/2023' where link_id = (select link_id from parcel where parcel_year = '2024' and parcel_id = '23092231476');</v>
      </c>
    </row>
    <row r="739" spans="1:85" x14ac:dyDescent="0.25">
      <c r="A739">
        <v>23092231477</v>
      </c>
      <c r="B739">
        <v>0.24</v>
      </c>
      <c r="C739">
        <v>10249</v>
      </c>
      <c r="D739" t="s">
        <v>129</v>
      </c>
      <c r="E739" t="s">
        <v>53</v>
      </c>
      <c r="F739" t="s">
        <v>53</v>
      </c>
      <c r="G739">
        <v>4</v>
      </c>
      <c r="H739" t="s">
        <v>54</v>
      </c>
      <c r="I739">
        <v>166200</v>
      </c>
      <c r="J739">
        <v>39700</v>
      </c>
      <c r="K739">
        <v>0.24</v>
      </c>
      <c r="L73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739">
        <v>0</v>
      </c>
      <c r="N739">
        <v>0</v>
      </c>
      <c r="O739">
        <v>0</v>
      </c>
      <c r="P739">
        <v>13398.7528</v>
      </c>
      <c r="Q739">
        <v>63903</v>
      </c>
      <c r="R739">
        <f>(Grandview_Inventory[[#This Row],[ln_acres]]*Grandview_Inventory[[#This Row],[coeff]])+Grandview_Inventory[[#This Row],[const]]</f>
        <v>44781.420733940802</v>
      </c>
      <c r="S739" t="s">
        <v>61</v>
      </c>
      <c r="T739">
        <v>1</v>
      </c>
      <c r="U739" t="s">
        <v>65</v>
      </c>
      <c r="V739" t="s">
        <v>69</v>
      </c>
      <c r="W739">
        <v>0</v>
      </c>
      <c r="X739">
        <v>0</v>
      </c>
      <c r="Y739">
        <v>44</v>
      </c>
      <c r="Z739">
        <v>46</v>
      </c>
      <c r="AA739">
        <v>50</v>
      </c>
      <c r="AB739">
        <v>1500</v>
      </c>
      <c r="AC739">
        <v>1404</v>
      </c>
      <c r="AD739">
        <v>1404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448</v>
      </c>
      <c r="AL739">
        <v>0</v>
      </c>
      <c r="AM739">
        <v>0</v>
      </c>
      <c r="AN739">
        <v>0</v>
      </c>
      <c r="AO739">
        <v>0</v>
      </c>
      <c r="AP739">
        <v>5</v>
      </c>
      <c r="AQ739">
        <v>1</v>
      </c>
      <c r="AR739">
        <v>0</v>
      </c>
      <c r="AS739" t="s">
        <v>58</v>
      </c>
      <c r="AT739">
        <v>1</v>
      </c>
      <c r="AU739" t="s">
        <v>63</v>
      </c>
      <c r="AV739" t="s">
        <v>60</v>
      </c>
      <c r="AW739">
        <v>0</v>
      </c>
      <c r="AX739">
        <v>3</v>
      </c>
      <c r="AY739">
        <v>0</v>
      </c>
      <c r="AZ739">
        <v>0</v>
      </c>
      <c r="BA739">
        <v>100</v>
      </c>
      <c r="BB739">
        <v>100</v>
      </c>
      <c r="BC739">
        <v>100</v>
      </c>
      <c r="BD739">
        <v>100</v>
      </c>
      <c r="BE739">
        <v>1</v>
      </c>
      <c r="BF739">
        <v>15000</v>
      </c>
      <c r="BG739">
        <v>1000</v>
      </c>
      <c r="BH739" s="6">
        <f>Grandview_Inventory[[#This Row],[land_extract]]*Lookups!$B$3</f>
        <v>52004.542988489469</v>
      </c>
      <c r="BI739" s="6">
        <f>IF(Grandview_Inventory[[#This Row],[bldg_style]]="",0,Lookups!$B$2)</f>
        <v>155833.95000000001</v>
      </c>
      <c r="BJ739" s="6">
        <f>_xlfn.IFNA(VLOOKUP(Grandview_Inventory[[#This Row],[quality]],Lookups!$H$2:$J$14,3,FALSE),0)</f>
        <v>2251</v>
      </c>
      <c r="BK739" s="6">
        <f>_xlfn.IFNA(VLOOKUP(Grandview_Inventory[[#This Row],[condition]],Lookups!$H$17:$J$24,3,FALSE),0)</f>
        <v>-4503</v>
      </c>
      <c r="BL739" s="6">
        <f>Grandview_Inventory[[#This Row],[Eff_Age]]*Lookups!$B$14</f>
        <v>-10523.330399999999</v>
      </c>
      <c r="BM739" s="6">
        <f>Grandview_Inventory[[#This Row],[living_area]]*Lookups!$B$15</f>
        <v>87582.717612000008</v>
      </c>
      <c r="BN739" s="6">
        <f>Grandview_Inventory[[#This Row],[Fin BSMT]]*Lookups!$B$16</f>
        <v>0</v>
      </c>
      <c r="BO739" s="6">
        <f>(Grandview_Inventory[[#This Row],[att_gar]]+Grandview_Inventory[[#This Row],[bltin_gar]])*Lookups!$B$17</f>
        <v>0</v>
      </c>
      <c r="BP739" s="6">
        <f>Grandview_Inventory[[#This Row],[Plumbing Fixtures]]*Lookups!$B$18</f>
        <v>10052.209000000001</v>
      </c>
      <c r="BQ739" s="6">
        <f>Grandview_Inventory[[#This Row],[detatched_value]]*Lookups!$B$19</f>
        <v>0</v>
      </c>
      <c r="BR739" s="6">
        <f>SUM(Grandview_Inventory[[#This Row],[Intercept]:[det_value]])*Grandview_Inventory[[#This Row],[res_pct]]</f>
        <v>240693.54621200002</v>
      </c>
      <c r="BS739" s="6">
        <f>Grandview_Inventory[[#This Row],[land_value]]</f>
        <v>52004.542988489469</v>
      </c>
      <c r="BT739" s="4">
        <f>_xlfn.IFNA(VLOOKUP(Grandview_Inventory[[#This Row],[quality]],Lookups!$A$26:$C$33,3,FALSE),1)</f>
        <v>0.98763855981004833</v>
      </c>
      <c r="BU739" s="4">
        <f>_xlfn.IFNA(VLOOKUP(Grandview_Inventory[[#This Row],[condition]],Lookups!$A$37:$C$44,3,FALSE),1)</f>
        <v>0.96469275950863709</v>
      </c>
      <c r="BV739" s="4">
        <f>IF(Grandview_Inventory[[#This Row],[bldg_style]]="",1,_xlfn.IFNA(VLOOKUP(Grandview_Inventory[[#This Row],[decade]],Lookups!$F$29:$H$43,3,FALSE),1))</f>
        <v>0.9871940091910919</v>
      </c>
      <c r="BW739" s="4">
        <f>_xlfn.IFNA(VLOOKUP(Grandview_Inventory[[#This Row],[living_area_range]],Lookups!$F$47:$H$56,3,FALSE),1)</f>
        <v>0.96135087979789358</v>
      </c>
      <c r="BX739" s="4">
        <f>AVERAGE(Grandview_Inventory[[#This Row],[qual_adj]:[size_adj]])</f>
        <v>0.97521905207691773</v>
      </c>
      <c r="BY739" s="6">
        <f>IF(Grandview_Inventory[[#This Row],[pre_res]]&lt;0,0,Grandview_Inventory[[#This Row],[pre_res]]*Grandview_Inventory[[#This Row],[overall_adj]])</f>
        <v>234728.93197789844</v>
      </c>
      <c r="BZ739" s="6">
        <f>(Grandview_Inventory[[#This Row],[sum_land]]-IF(Grandview_Inventory[[#This Row],[no_utilities]]=1,12000,0))/IF(Grandview_Inventory[[#This Row],[unbuildable]]=1,2,1)</f>
        <v>52004.542988489469</v>
      </c>
      <c r="CA73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739">
        <f>ROUND(Grandview_Inventory[[#This Row],[det_value]]*Lookups!$M$28,-2)</f>
        <v>0</v>
      </c>
      <c r="CC739">
        <f>IF(ROUND(Grandview_Inventory[[#This Row],[adj_res]]*Lookups!$M$28,-2)&lt;Grandview_Inventory[[#This Row],[min_res]],Grandview_Inventory[[#This Row],[min_res]],ROUND(Grandview_Inventory[[#This Row],[adj_res]]*Lookups!$M$28,-2))</f>
        <v>223000</v>
      </c>
      <c r="CD739">
        <f>Grandview_Inventory[[#This Row],[final_det]]+Grandview_Inventory[[#This Row],[final_res]]</f>
        <v>223000</v>
      </c>
      <c r="CE739">
        <f>Grandview_Inventory[[#This Row],[final_land]]+Grandview_Inventory[[#This Row],[final_imp]]+Grandview_Inventory[[#This Row],[crop_value]]</f>
        <v>272400</v>
      </c>
      <c r="CG739" t="str">
        <f t="shared" si="11"/>
        <v>update valuation set market_land =49400, market_bldg=223000, market_total =272400, market_mdno =401, market_date ='9/10/2023' where link_id = (select link_id from parcel where parcel_year = '2024' and parcel_id = '23092231477');</v>
      </c>
    </row>
    <row r="740" spans="1:85" x14ac:dyDescent="0.25">
      <c r="A740">
        <v>23092231478</v>
      </c>
      <c r="B740">
        <v>0.24</v>
      </c>
      <c r="C740">
        <v>10278</v>
      </c>
      <c r="D740" t="s">
        <v>129</v>
      </c>
      <c r="E740" t="s">
        <v>53</v>
      </c>
      <c r="F740" t="s">
        <v>53</v>
      </c>
      <c r="G740">
        <v>4</v>
      </c>
      <c r="H740" t="s">
        <v>54</v>
      </c>
      <c r="I740">
        <v>164500</v>
      </c>
      <c r="J740">
        <v>39700</v>
      </c>
      <c r="K740">
        <v>0.24</v>
      </c>
      <c r="L74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740">
        <v>0</v>
      </c>
      <c r="N740">
        <v>0</v>
      </c>
      <c r="O740">
        <v>0</v>
      </c>
      <c r="P740">
        <v>13398.7528</v>
      </c>
      <c r="Q740">
        <v>63903</v>
      </c>
      <c r="R740">
        <f>(Grandview_Inventory[[#This Row],[ln_acres]]*Grandview_Inventory[[#This Row],[coeff]])+Grandview_Inventory[[#This Row],[const]]</f>
        <v>44781.420733940802</v>
      </c>
      <c r="S740" t="s">
        <v>61</v>
      </c>
      <c r="T740">
        <v>1</v>
      </c>
      <c r="U740" t="s">
        <v>65</v>
      </c>
      <c r="V740" t="s">
        <v>69</v>
      </c>
      <c r="W740">
        <v>0</v>
      </c>
      <c r="X740">
        <v>0</v>
      </c>
      <c r="Y740">
        <v>44</v>
      </c>
      <c r="Z740">
        <v>46</v>
      </c>
      <c r="AA740">
        <v>50</v>
      </c>
      <c r="AB740">
        <v>2000</v>
      </c>
      <c r="AC740">
        <v>1942</v>
      </c>
      <c r="AD740">
        <v>1144</v>
      </c>
      <c r="AE740">
        <v>0</v>
      </c>
      <c r="AF740">
        <v>0</v>
      </c>
      <c r="AG740">
        <v>798</v>
      </c>
      <c r="AH740">
        <v>0</v>
      </c>
      <c r="AI740">
        <v>336</v>
      </c>
      <c r="AJ740">
        <v>0</v>
      </c>
      <c r="AK740">
        <v>0</v>
      </c>
      <c r="AL740">
        <v>0</v>
      </c>
      <c r="AM740">
        <v>0</v>
      </c>
      <c r="AN740">
        <v>104</v>
      </c>
      <c r="AO740">
        <v>0</v>
      </c>
      <c r="AP740">
        <v>5</v>
      </c>
      <c r="AQ740">
        <v>0</v>
      </c>
      <c r="AR740">
        <v>0</v>
      </c>
      <c r="AS740" t="s">
        <v>58</v>
      </c>
      <c r="AT740">
        <v>1</v>
      </c>
      <c r="AU740" t="s">
        <v>63</v>
      </c>
      <c r="AV740" t="s">
        <v>60</v>
      </c>
      <c r="AW740">
        <v>0</v>
      </c>
      <c r="AX740">
        <v>3</v>
      </c>
      <c r="AY740">
        <v>0</v>
      </c>
      <c r="AZ740">
        <v>0</v>
      </c>
      <c r="BA740">
        <v>100</v>
      </c>
      <c r="BB740">
        <v>100</v>
      </c>
      <c r="BC740">
        <v>100</v>
      </c>
      <c r="BD740">
        <v>100</v>
      </c>
      <c r="BE740">
        <v>1</v>
      </c>
      <c r="BF740">
        <v>15000</v>
      </c>
      <c r="BG740">
        <v>1000</v>
      </c>
      <c r="BH740" s="6">
        <f>Grandview_Inventory[[#This Row],[land_extract]]*Lookups!$B$3</f>
        <v>52004.542988489469</v>
      </c>
      <c r="BI740" s="6">
        <f>IF(Grandview_Inventory[[#This Row],[bldg_style]]="",0,Lookups!$B$2)</f>
        <v>155833.95000000001</v>
      </c>
      <c r="BJ740" s="6">
        <f>_xlfn.IFNA(VLOOKUP(Grandview_Inventory[[#This Row],[quality]],Lookups!$H$2:$J$14,3,FALSE),0)</f>
        <v>2251</v>
      </c>
      <c r="BK740" s="6">
        <f>_xlfn.IFNA(VLOOKUP(Grandview_Inventory[[#This Row],[condition]],Lookups!$H$17:$J$24,3,FALSE),0)</f>
        <v>-4503</v>
      </c>
      <c r="BL740" s="6">
        <f>Grandview_Inventory[[#This Row],[Eff_Age]]*Lookups!$B$14</f>
        <v>-10523.330399999999</v>
      </c>
      <c r="BM740" s="6">
        <f>Grandview_Inventory[[#This Row],[living_area]]*Lookups!$B$15</f>
        <v>121143.616526</v>
      </c>
      <c r="BN740" s="6">
        <f>Grandview_Inventory[[#This Row],[Fin BSMT]]*Lookups!$B$16</f>
        <v>-21625.193520000001</v>
      </c>
      <c r="BO740" s="6">
        <f>(Grandview_Inventory[[#This Row],[att_gar]]+Grandview_Inventory[[#This Row],[bltin_gar]])*Lookups!$B$17</f>
        <v>29406.866832</v>
      </c>
      <c r="BP740" s="6">
        <f>Grandview_Inventory[[#This Row],[Plumbing Fixtures]]*Lookups!$B$18</f>
        <v>10052.209000000001</v>
      </c>
      <c r="BQ740" s="6">
        <f>Grandview_Inventory[[#This Row],[detatched_value]]*Lookups!$B$19</f>
        <v>0</v>
      </c>
      <c r="BR740" s="6">
        <f>SUM(Grandview_Inventory[[#This Row],[Intercept]:[det_value]])*Grandview_Inventory[[#This Row],[res_pct]]</f>
        <v>282036.11843799998</v>
      </c>
      <c r="BS740" s="6">
        <f>Grandview_Inventory[[#This Row],[land_value]]</f>
        <v>52004.542988489469</v>
      </c>
      <c r="BT740" s="4">
        <f>_xlfn.IFNA(VLOOKUP(Grandview_Inventory[[#This Row],[quality]],Lookups!$A$26:$C$33,3,FALSE),1)</f>
        <v>0.98763855981004833</v>
      </c>
      <c r="BU740" s="4">
        <f>_xlfn.IFNA(VLOOKUP(Grandview_Inventory[[#This Row],[condition]],Lookups!$A$37:$C$44,3,FALSE),1)</f>
        <v>0.96469275950863709</v>
      </c>
      <c r="BV740" s="4">
        <f>IF(Grandview_Inventory[[#This Row],[bldg_style]]="",1,_xlfn.IFNA(VLOOKUP(Grandview_Inventory[[#This Row],[decade]],Lookups!$F$29:$H$43,3,FALSE),1))</f>
        <v>0.9871940091910919</v>
      </c>
      <c r="BW740" s="4">
        <f>_xlfn.IFNA(VLOOKUP(Grandview_Inventory[[#This Row],[living_area_range]],Lookups!$F$47:$H$56,3,FALSE),1)</f>
        <v>0.96120133463014379</v>
      </c>
      <c r="BX740" s="4">
        <f>AVERAGE(Grandview_Inventory[[#This Row],[qual_adj]:[size_adj]])</f>
        <v>0.97518166578498033</v>
      </c>
      <c r="BY740" s="6">
        <f>IF(Grandview_Inventory[[#This Row],[pre_res]]&lt;0,0,Grandview_Inventory[[#This Row],[pre_res]]*Grandview_Inventory[[#This Row],[overall_adj]])</f>
        <v>275036.4517898988</v>
      </c>
      <c r="BZ740" s="6">
        <f>(Grandview_Inventory[[#This Row],[sum_land]]-IF(Grandview_Inventory[[#This Row],[no_utilities]]=1,12000,0))/IF(Grandview_Inventory[[#This Row],[unbuildable]]=1,2,1)</f>
        <v>52004.542988489469</v>
      </c>
      <c r="CA74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740">
        <f>ROUND(Grandview_Inventory[[#This Row],[det_value]]*Lookups!$M$28,-2)</f>
        <v>0</v>
      </c>
      <c r="CC740">
        <f>IF(ROUND(Grandview_Inventory[[#This Row],[adj_res]]*Lookups!$M$28,-2)&lt;Grandview_Inventory[[#This Row],[min_res]],Grandview_Inventory[[#This Row],[min_res]],ROUND(Grandview_Inventory[[#This Row],[adj_res]]*Lookups!$M$28,-2))</f>
        <v>261300</v>
      </c>
      <c r="CD740">
        <f>Grandview_Inventory[[#This Row],[final_det]]+Grandview_Inventory[[#This Row],[final_res]]</f>
        <v>261300</v>
      </c>
      <c r="CE740">
        <f>Grandview_Inventory[[#This Row],[final_land]]+Grandview_Inventory[[#This Row],[final_imp]]+Grandview_Inventory[[#This Row],[crop_value]]</f>
        <v>310700</v>
      </c>
      <c r="CG740" t="str">
        <f t="shared" si="11"/>
        <v>update valuation set market_land =49400, market_bldg=261300, market_total =310700, market_mdno =401, market_date ='9/10/2023' where link_id = (select link_id from parcel where parcel_year = '2024' and parcel_id = '23092231478');</v>
      </c>
    </row>
    <row r="741" spans="1:85" x14ac:dyDescent="0.25">
      <c r="A741">
        <v>23092231479</v>
      </c>
      <c r="B741">
        <v>0.21</v>
      </c>
      <c r="C741">
        <v>9204</v>
      </c>
      <c r="D741" t="s">
        <v>129</v>
      </c>
      <c r="E741" t="s">
        <v>53</v>
      </c>
      <c r="F741" t="s">
        <v>53</v>
      </c>
      <c r="G741">
        <v>4</v>
      </c>
      <c r="H741" t="s">
        <v>54</v>
      </c>
      <c r="I741">
        <v>197000</v>
      </c>
      <c r="J741">
        <v>43700</v>
      </c>
      <c r="K741">
        <v>0.21</v>
      </c>
      <c r="L74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41">
        <v>0</v>
      </c>
      <c r="N741">
        <v>0</v>
      </c>
      <c r="O741">
        <v>0</v>
      </c>
      <c r="P741">
        <v>13398.7528</v>
      </c>
      <c r="Q741">
        <v>63903</v>
      </c>
      <c r="R741">
        <f>(Grandview_Inventory[[#This Row],[ln_acres]]*Grandview_Inventory[[#This Row],[coeff]])+Grandview_Inventory[[#This Row],[const]]</f>
        <v>42992.266613125081</v>
      </c>
      <c r="S741" t="s">
        <v>61</v>
      </c>
      <c r="T741">
        <v>1</v>
      </c>
      <c r="U741" t="s">
        <v>65</v>
      </c>
      <c r="V741" t="s">
        <v>67</v>
      </c>
      <c r="W741">
        <v>0</v>
      </c>
      <c r="X741">
        <v>0</v>
      </c>
      <c r="Y741">
        <v>44</v>
      </c>
      <c r="Z741">
        <v>46</v>
      </c>
      <c r="AA741">
        <v>50</v>
      </c>
      <c r="AB741">
        <v>1500</v>
      </c>
      <c r="AC741">
        <v>1092</v>
      </c>
      <c r="AD741">
        <v>1092</v>
      </c>
      <c r="AE741">
        <v>0</v>
      </c>
      <c r="AF741">
        <v>0</v>
      </c>
      <c r="AG741">
        <v>0</v>
      </c>
      <c r="AH741">
        <v>0</v>
      </c>
      <c r="AI741">
        <v>312</v>
      </c>
      <c r="AJ741">
        <v>0</v>
      </c>
      <c r="AK741">
        <v>0</v>
      </c>
      <c r="AL741">
        <v>120</v>
      </c>
      <c r="AM741">
        <v>256</v>
      </c>
      <c r="AN741">
        <v>0</v>
      </c>
      <c r="AO741">
        <v>256</v>
      </c>
      <c r="AP741">
        <v>7</v>
      </c>
      <c r="AQ741">
        <v>1</v>
      </c>
      <c r="AR741">
        <v>0</v>
      </c>
      <c r="AS741" t="s">
        <v>58</v>
      </c>
      <c r="AT741">
        <v>1</v>
      </c>
      <c r="AU741" t="s">
        <v>63</v>
      </c>
      <c r="AV741" t="s">
        <v>60</v>
      </c>
      <c r="AW741">
        <v>0</v>
      </c>
      <c r="AX741">
        <v>3</v>
      </c>
      <c r="AY741">
        <v>0</v>
      </c>
      <c r="AZ741">
        <v>0</v>
      </c>
      <c r="BA741">
        <v>100</v>
      </c>
      <c r="BB741">
        <v>100</v>
      </c>
      <c r="BC741">
        <v>100</v>
      </c>
      <c r="BD741">
        <v>100</v>
      </c>
      <c r="BE741">
        <v>1</v>
      </c>
      <c r="BF741">
        <v>15000</v>
      </c>
      <c r="BG741">
        <v>1000</v>
      </c>
      <c r="BH741" s="6">
        <f>Grandview_Inventory[[#This Row],[land_extract]]*Lookups!$B$3</f>
        <v>49926.8031387023</v>
      </c>
      <c r="BI741" s="6">
        <f>IF(Grandview_Inventory[[#This Row],[bldg_style]]="",0,Lookups!$B$2)</f>
        <v>155833.95000000001</v>
      </c>
      <c r="BJ741" s="6">
        <f>_xlfn.IFNA(VLOOKUP(Grandview_Inventory[[#This Row],[quality]],Lookups!$H$2:$J$14,3,FALSE),0)</f>
        <v>2251</v>
      </c>
      <c r="BK741" s="6">
        <f>_xlfn.IFNA(VLOOKUP(Grandview_Inventory[[#This Row],[condition]],Lookups!$H$17:$J$24,3,FALSE),0)</f>
        <v>22342</v>
      </c>
      <c r="BL741" s="6">
        <f>Grandview_Inventory[[#This Row],[Eff_Age]]*Lookups!$B$14</f>
        <v>-10523.330399999999</v>
      </c>
      <c r="BM741" s="6">
        <f>Grandview_Inventory[[#This Row],[living_area]]*Lookups!$B$15</f>
        <v>68119.891476000004</v>
      </c>
      <c r="BN741" s="6">
        <f>Grandview_Inventory[[#This Row],[Fin BSMT]]*Lookups!$B$16</f>
        <v>0</v>
      </c>
      <c r="BO741" s="6">
        <f>(Grandview_Inventory[[#This Row],[att_gar]]+Grandview_Inventory[[#This Row],[bltin_gar]])*Lookups!$B$17</f>
        <v>27306.376344</v>
      </c>
      <c r="BP741" s="6">
        <f>Grandview_Inventory[[#This Row],[Plumbing Fixtures]]*Lookups!$B$18</f>
        <v>14073.0926</v>
      </c>
      <c r="BQ741" s="6">
        <f>Grandview_Inventory[[#This Row],[detatched_value]]*Lookups!$B$19</f>
        <v>0</v>
      </c>
      <c r="BR741" s="6">
        <f>SUM(Grandview_Inventory[[#This Row],[Intercept]:[det_value]])*Grandview_Inventory[[#This Row],[res_pct]]</f>
        <v>279402.98001999996</v>
      </c>
      <c r="BS741" s="6">
        <f>Grandview_Inventory[[#This Row],[land_value]]</f>
        <v>49926.8031387023</v>
      </c>
      <c r="BT741" s="4">
        <f>_xlfn.IFNA(VLOOKUP(Grandview_Inventory[[#This Row],[quality]],Lookups!$A$26:$C$33,3,FALSE),1)</f>
        <v>0.98763855981004833</v>
      </c>
      <c r="BU741" s="4">
        <f>_xlfn.IFNA(VLOOKUP(Grandview_Inventory[[#This Row],[condition]],Lookups!$A$37:$C$44,3,FALSE),1)</f>
        <v>0.97383723671140243</v>
      </c>
      <c r="BV741" s="4">
        <f>IF(Grandview_Inventory[[#This Row],[bldg_style]]="",1,_xlfn.IFNA(VLOOKUP(Grandview_Inventory[[#This Row],[decade]],Lookups!$F$29:$H$43,3,FALSE),1))</f>
        <v>0.9871940091910919</v>
      </c>
      <c r="BW741" s="4">
        <f>_xlfn.IFNA(VLOOKUP(Grandview_Inventory[[#This Row],[living_area_range]],Lookups!$F$47:$H$56,3,FALSE),1)</f>
        <v>0.96135087979789358</v>
      </c>
      <c r="BX741" s="4">
        <f>AVERAGE(Grandview_Inventory[[#This Row],[qual_adj]:[size_adj]])</f>
        <v>0.97750517137760906</v>
      </c>
      <c r="BY741" s="6">
        <f>IF(Grandview_Inventory[[#This Row],[pre_res]]&lt;0,0,Grandview_Inventory[[#This Row],[pre_res]]*Grandview_Inventory[[#This Row],[overall_adj]])</f>
        <v>273117.85786786472</v>
      </c>
      <c r="BZ741" s="6">
        <f>(Grandview_Inventory[[#This Row],[sum_land]]-IF(Grandview_Inventory[[#This Row],[no_utilities]]=1,12000,0))/IF(Grandview_Inventory[[#This Row],[unbuildable]]=1,2,1)</f>
        <v>49926.8031387023</v>
      </c>
      <c r="CA74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41">
        <f>ROUND(Grandview_Inventory[[#This Row],[det_value]]*Lookups!$M$28,-2)</f>
        <v>0</v>
      </c>
      <c r="CC741">
        <f>IF(ROUND(Grandview_Inventory[[#This Row],[adj_res]]*Lookups!$M$28,-2)&lt;Grandview_Inventory[[#This Row],[min_res]],Grandview_Inventory[[#This Row],[min_res]],ROUND(Grandview_Inventory[[#This Row],[adj_res]]*Lookups!$M$28,-2))</f>
        <v>259500</v>
      </c>
      <c r="CD741">
        <f>Grandview_Inventory[[#This Row],[final_det]]+Grandview_Inventory[[#This Row],[final_res]]</f>
        <v>259500</v>
      </c>
      <c r="CE741">
        <f>Grandview_Inventory[[#This Row],[final_land]]+Grandview_Inventory[[#This Row],[final_imp]]+Grandview_Inventory[[#This Row],[crop_value]]</f>
        <v>306900</v>
      </c>
      <c r="CG741" t="str">
        <f t="shared" si="11"/>
        <v>update valuation set market_land =47400, market_bldg=259500, market_total =306900, market_mdno =401, market_date ='9/10/2023' where link_id = (select link_id from parcel where parcel_year = '2024' and parcel_id = '23092231479');</v>
      </c>
    </row>
    <row r="742" spans="1:85" x14ac:dyDescent="0.25">
      <c r="A742">
        <v>23092231480</v>
      </c>
      <c r="B742">
        <v>0.21</v>
      </c>
      <c r="C742">
        <v>8931</v>
      </c>
      <c r="D742" t="s">
        <v>129</v>
      </c>
      <c r="E742" t="s">
        <v>53</v>
      </c>
      <c r="F742" t="s">
        <v>53</v>
      </c>
      <c r="G742">
        <v>4</v>
      </c>
      <c r="H742" t="s">
        <v>54</v>
      </c>
      <c r="I742">
        <v>147600</v>
      </c>
      <c r="J742">
        <v>39300</v>
      </c>
      <c r="K742">
        <v>0.21</v>
      </c>
      <c r="L74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742">
        <v>0</v>
      </c>
      <c r="N742">
        <v>0</v>
      </c>
      <c r="O742">
        <v>0</v>
      </c>
      <c r="P742">
        <v>13398.7528</v>
      </c>
      <c r="Q742">
        <v>63903</v>
      </c>
      <c r="R742">
        <f>(Grandview_Inventory[[#This Row],[ln_acres]]*Grandview_Inventory[[#This Row],[coeff]])+Grandview_Inventory[[#This Row],[const]]</f>
        <v>42992.266613125081</v>
      </c>
      <c r="S742" t="s">
        <v>61</v>
      </c>
      <c r="T742">
        <v>1</v>
      </c>
      <c r="U742" t="s">
        <v>65</v>
      </c>
      <c r="V742" t="s">
        <v>69</v>
      </c>
      <c r="W742">
        <v>0</v>
      </c>
      <c r="X742">
        <v>0</v>
      </c>
      <c r="Y742">
        <v>44</v>
      </c>
      <c r="Z742">
        <v>46</v>
      </c>
      <c r="AA742">
        <v>50</v>
      </c>
      <c r="AB742">
        <v>1500</v>
      </c>
      <c r="AC742">
        <v>1144</v>
      </c>
      <c r="AD742">
        <v>1144</v>
      </c>
      <c r="AE742">
        <v>0</v>
      </c>
      <c r="AF742">
        <v>0</v>
      </c>
      <c r="AG742">
        <v>0</v>
      </c>
      <c r="AH742">
        <v>0</v>
      </c>
      <c r="AI742">
        <v>288</v>
      </c>
      <c r="AJ742">
        <v>0</v>
      </c>
      <c r="AK742">
        <v>0</v>
      </c>
      <c r="AL742">
        <v>0</v>
      </c>
      <c r="AM742">
        <v>380</v>
      </c>
      <c r="AN742">
        <v>56</v>
      </c>
      <c r="AO742">
        <v>48</v>
      </c>
      <c r="AP742">
        <v>7</v>
      </c>
      <c r="AQ742">
        <v>0</v>
      </c>
      <c r="AR742">
        <v>0</v>
      </c>
      <c r="AS742" t="s">
        <v>58</v>
      </c>
      <c r="AT742">
        <v>1</v>
      </c>
      <c r="AU742" t="s">
        <v>63</v>
      </c>
      <c r="AV742" t="s">
        <v>60</v>
      </c>
      <c r="AW742">
        <v>0</v>
      </c>
      <c r="AX742">
        <v>3</v>
      </c>
      <c r="AY742">
        <v>0</v>
      </c>
      <c r="AZ742">
        <v>0</v>
      </c>
      <c r="BA742">
        <v>100</v>
      </c>
      <c r="BB742">
        <v>100</v>
      </c>
      <c r="BC742">
        <v>100</v>
      </c>
      <c r="BD742">
        <v>100</v>
      </c>
      <c r="BE742">
        <v>1</v>
      </c>
      <c r="BF742">
        <v>15000</v>
      </c>
      <c r="BG742">
        <v>1000</v>
      </c>
      <c r="BH742" s="6">
        <f>Grandview_Inventory[[#This Row],[land_extract]]*Lookups!$B$3</f>
        <v>49926.8031387023</v>
      </c>
      <c r="BI742" s="6">
        <f>IF(Grandview_Inventory[[#This Row],[bldg_style]]="",0,Lookups!$B$2)</f>
        <v>155833.95000000001</v>
      </c>
      <c r="BJ742" s="6">
        <f>_xlfn.IFNA(VLOOKUP(Grandview_Inventory[[#This Row],[quality]],Lookups!$H$2:$J$14,3,FALSE),0)</f>
        <v>2251</v>
      </c>
      <c r="BK742" s="6">
        <f>_xlfn.IFNA(VLOOKUP(Grandview_Inventory[[#This Row],[condition]],Lookups!$H$17:$J$24,3,FALSE),0)</f>
        <v>-4503</v>
      </c>
      <c r="BL742" s="6">
        <f>Grandview_Inventory[[#This Row],[Eff_Age]]*Lookups!$B$14</f>
        <v>-10523.330399999999</v>
      </c>
      <c r="BM742" s="6">
        <f>Grandview_Inventory[[#This Row],[living_area]]*Lookups!$B$15</f>
        <v>71363.695831999998</v>
      </c>
      <c r="BN742" s="6">
        <f>Grandview_Inventory[[#This Row],[Fin BSMT]]*Lookups!$B$16</f>
        <v>0</v>
      </c>
      <c r="BO742" s="6">
        <f>(Grandview_Inventory[[#This Row],[att_gar]]+Grandview_Inventory[[#This Row],[bltin_gar]])*Lookups!$B$17</f>
        <v>25205.885856000001</v>
      </c>
      <c r="BP742" s="6">
        <f>Grandview_Inventory[[#This Row],[Plumbing Fixtures]]*Lookups!$B$18</f>
        <v>14073.0926</v>
      </c>
      <c r="BQ742" s="6">
        <f>Grandview_Inventory[[#This Row],[detatched_value]]*Lookups!$B$19</f>
        <v>0</v>
      </c>
      <c r="BR742" s="6">
        <f>SUM(Grandview_Inventory[[#This Row],[Intercept]:[det_value]])*Grandview_Inventory[[#This Row],[res_pct]]</f>
        <v>253701.29388800001</v>
      </c>
      <c r="BS742" s="6">
        <f>Grandview_Inventory[[#This Row],[land_value]]</f>
        <v>49926.8031387023</v>
      </c>
      <c r="BT742" s="4">
        <f>_xlfn.IFNA(VLOOKUP(Grandview_Inventory[[#This Row],[quality]],Lookups!$A$26:$C$33,3,FALSE),1)</f>
        <v>0.98763855981004833</v>
      </c>
      <c r="BU742" s="4">
        <f>_xlfn.IFNA(VLOOKUP(Grandview_Inventory[[#This Row],[condition]],Lookups!$A$37:$C$44,3,FALSE),1)</f>
        <v>0.96469275950863709</v>
      </c>
      <c r="BV742" s="4">
        <f>IF(Grandview_Inventory[[#This Row],[bldg_style]]="",1,_xlfn.IFNA(VLOOKUP(Grandview_Inventory[[#This Row],[decade]],Lookups!$F$29:$H$43,3,FALSE),1))</f>
        <v>0.9871940091910919</v>
      </c>
      <c r="BW742" s="4">
        <f>_xlfn.IFNA(VLOOKUP(Grandview_Inventory[[#This Row],[living_area_range]],Lookups!$F$47:$H$56,3,FALSE),1)</f>
        <v>0.96135087979789358</v>
      </c>
      <c r="BX742" s="4">
        <f>AVERAGE(Grandview_Inventory[[#This Row],[qual_adj]:[size_adj]])</f>
        <v>0.97521905207691773</v>
      </c>
      <c r="BY742" s="6">
        <f>IF(Grandview_Inventory[[#This Row],[pre_res]]&lt;0,0,Grandview_Inventory[[#This Row],[pre_res]]*Grandview_Inventory[[#This Row],[overall_adj]])</f>
        <v>247414.33533614289</v>
      </c>
      <c r="BZ742" s="6">
        <f>(Grandview_Inventory[[#This Row],[sum_land]]-IF(Grandview_Inventory[[#This Row],[no_utilities]]=1,12000,0))/IF(Grandview_Inventory[[#This Row],[unbuildable]]=1,2,1)</f>
        <v>49926.8031387023</v>
      </c>
      <c r="CA74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742">
        <f>ROUND(Grandview_Inventory[[#This Row],[det_value]]*Lookups!$M$28,-2)</f>
        <v>0</v>
      </c>
      <c r="CC742">
        <f>IF(ROUND(Grandview_Inventory[[#This Row],[adj_res]]*Lookups!$M$28,-2)&lt;Grandview_Inventory[[#This Row],[min_res]],Grandview_Inventory[[#This Row],[min_res]],ROUND(Grandview_Inventory[[#This Row],[adj_res]]*Lookups!$M$28,-2))</f>
        <v>235000</v>
      </c>
      <c r="CD742">
        <f>Grandview_Inventory[[#This Row],[final_det]]+Grandview_Inventory[[#This Row],[final_res]]</f>
        <v>235000</v>
      </c>
      <c r="CE742">
        <f>Grandview_Inventory[[#This Row],[final_land]]+Grandview_Inventory[[#This Row],[final_imp]]+Grandview_Inventory[[#This Row],[crop_value]]</f>
        <v>282400</v>
      </c>
      <c r="CG742" t="str">
        <f t="shared" si="11"/>
        <v>update valuation set market_land =47400, market_bldg=235000, market_total =282400, market_mdno =401, market_date ='9/10/2023' where link_id = (select link_id from parcel where parcel_year = '2024' and parcel_id = '23092231480');</v>
      </c>
    </row>
    <row r="743" spans="1:85" x14ac:dyDescent="0.25">
      <c r="A743">
        <v>23092231481</v>
      </c>
      <c r="B743">
        <v>0.2</v>
      </c>
      <c r="C743">
        <v>8657</v>
      </c>
      <c r="D743" t="s">
        <v>129</v>
      </c>
      <c r="E743" t="s">
        <v>53</v>
      </c>
      <c r="F743" t="s">
        <v>53</v>
      </c>
      <c r="G743">
        <v>4</v>
      </c>
      <c r="H743" t="s">
        <v>54</v>
      </c>
      <c r="I743">
        <v>160900</v>
      </c>
      <c r="J743">
        <v>39300</v>
      </c>
      <c r="K743">
        <v>0.2</v>
      </c>
      <c r="L74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43">
        <v>0</v>
      </c>
      <c r="N743">
        <v>0</v>
      </c>
      <c r="O743">
        <v>0</v>
      </c>
      <c r="P743">
        <v>13398.7528</v>
      </c>
      <c r="Q743">
        <v>63903</v>
      </c>
      <c r="R743">
        <f>(Grandview_Inventory[[#This Row],[ln_acres]]*Grandview_Inventory[[#This Row],[coeff]])+Grandview_Inventory[[#This Row],[const]]</f>
        <v>42338.539264347448</v>
      </c>
      <c r="S743" t="s">
        <v>55</v>
      </c>
      <c r="T743">
        <v>1</v>
      </c>
      <c r="U743" t="s">
        <v>70</v>
      </c>
      <c r="V743" t="s">
        <v>69</v>
      </c>
      <c r="W743">
        <v>0</v>
      </c>
      <c r="X743">
        <v>0</v>
      </c>
      <c r="Y743">
        <v>43</v>
      </c>
      <c r="Z743">
        <v>45</v>
      </c>
      <c r="AA743">
        <v>50</v>
      </c>
      <c r="AB743">
        <v>1500</v>
      </c>
      <c r="AC743">
        <v>1032</v>
      </c>
      <c r="AD743">
        <v>1032</v>
      </c>
      <c r="AE743">
        <v>0</v>
      </c>
      <c r="AF743">
        <v>0</v>
      </c>
      <c r="AG743">
        <v>0</v>
      </c>
      <c r="AH743">
        <v>0</v>
      </c>
      <c r="AI743">
        <v>264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5</v>
      </c>
      <c r="AQ743">
        <v>0</v>
      </c>
      <c r="AR743">
        <v>0</v>
      </c>
      <c r="AS743" t="s">
        <v>58</v>
      </c>
      <c r="AT743">
        <v>1</v>
      </c>
      <c r="AU743" t="s">
        <v>63</v>
      </c>
      <c r="AV743" t="s">
        <v>60</v>
      </c>
      <c r="AW743">
        <v>0</v>
      </c>
      <c r="AX743">
        <v>3</v>
      </c>
      <c r="AY743">
        <v>0</v>
      </c>
      <c r="AZ743">
        <v>0</v>
      </c>
      <c r="BA743">
        <v>100</v>
      </c>
      <c r="BB743">
        <v>100</v>
      </c>
      <c r="BC743">
        <v>100</v>
      </c>
      <c r="BD743">
        <v>100</v>
      </c>
      <c r="BE743">
        <v>1</v>
      </c>
      <c r="BF743">
        <v>15000</v>
      </c>
      <c r="BG743">
        <v>1000</v>
      </c>
      <c r="BH743" s="6">
        <f>Grandview_Inventory[[#This Row],[land_extract]]*Lookups!$B$3</f>
        <v>49167.631333630678</v>
      </c>
      <c r="BI743" s="6">
        <f>IF(Grandview_Inventory[[#This Row],[bldg_style]]="",0,Lookups!$B$2)</f>
        <v>155833.95000000001</v>
      </c>
      <c r="BJ743" s="6">
        <f>_xlfn.IFNA(VLOOKUP(Grandview_Inventory[[#This Row],[quality]],Lookups!$H$2:$J$14,3,FALSE),0)</f>
        <v>10733</v>
      </c>
      <c r="BK743" s="6">
        <f>_xlfn.IFNA(VLOOKUP(Grandview_Inventory[[#This Row],[condition]],Lookups!$H$17:$J$24,3,FALSE),0)</f>
        <v>-4503</v>
      </c>
      <c r="BL743" s="6">
        <f>Grandview_Inventory[[#This Row],[Eff_Age]]*Lookups!$B$14</f>
        <v>-10284.1638</v>
      </c>
      <c r="BM743" s="6">
        <f>Grandview_Inventory[[#This Row],[living_area]]*Lookups!$B$15</f>
        <v>64377.040295999999</v>
      </c>
      <c r="BN743" s="6">
        <f>Grandview_Inventory[[#This Row],[Fin BSMT]]*Lookups!$B$16</f>
        <v>0</v>
      </c>
      <c r="BO743" s="6">
        <f>(Grandview_Inventory[[#This Row],[att_gar]]+Grandview_Inventory[[#This Row],[bltin_gar]])*Lookups!$B$17</f>
        <v>23105.395368000001</v>
      </c>
      <c r="BP743" s="6">
        <f>Grandview_Inventory[[#This Row],[Plumbing Fixtures]]*Lookups!$B$18</f>
        <v>10052.209000000001</v>
      </c>
      <c r="BQ743" s="6">
        <f>Grandview_Inventory[[#This Row],[detatched_value]]*Lookups!$B$19</f>
        <v>0</v>
      </c>
      <c r="BR743" s="6">
        <f>SUM(Grandview_Inventory[[#This Row],[Intercept]:[det_value]])*Grandview_Inventory[[#This Row],[res_pct]]</f>
        <v>249314.43086399999</v>
      </c>
      <c r="BS743" s="6">
        <f>Grandview_Inventory[[#This Row],[land_value]]</f>
        <v>49167.631333630678</v>
      </c>
      <c r="BT743" s="4">
        <f>_xlfn.IFNA(VLOOKUP(Grandview_Inventory[[#This Row],[quality]],Lookups!$A$26:$C$33,3,FALSE),1)</f>
        <v>0.98079741117310582</v>
      </c>
      <c r="BU743" s="4">
        <f>_xlfn.IFNA(VLOOKUP(Grandview_Inventory[[#This Row],[condition]],Lookups!$A$37:$C$44,3,FALSE),1)</f>
        <v>0.96469275950863709</v>
      </c>
      <c r="BV743" s="4">
        <f>IF(Grandview_Inventory[[#This Row],[bldg_style]]="",1,_xlfn.IFNA(VLOOKUP(Grandview_Inventory[[#This Row],[decade]],Lookups!$F$29:$H$43,3,FALSE),1))</f>
        <v>0.9871940091910919</v>
      </c>
      <c r="BW743" s="4">
        <f>_xlfn.IFNA(VLOOKUP(Grandview_Inventory[[#This Row],[living_area_range]],Lookups!$F$47:$H$56,3,FALSE),1)</f>
        <v>0.96135087979789358</v>
      </c>
      <c r="BX743" s="4">
        <f>AVERAGE(Grandview_Inventory[[#This Row],[qual_adj]:[size_adj]])</f>
        <v>0.97350876491768212</v>
      </c>
      <c r="BY743" s="6">
        <f>IF(Grandview_Inventory[[#This Row],[pre_res]]&lt;0,0,Grandview_Inventory[[#This Row],[pre_res]]*Grandview_Inventory[[#This Row],[overall_adj]])</f>
        <v>242709.78366656747</v>
      </c>
      <c r="BZ743" s="6">
        <f>(Grandview_Inventory[[#This Row],[sum_land]]-IF(Grandview_Inventory[[#This Row],[no_utilities]]=1,12000,0))/IF(Grandview_Inventory[[#This Row],[unbuildable]]=1,2,1)</f>
        <v>49167.631333630678</v>
      </c>
      <c r="CA74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43">
        <f>ROUND(Grandview_Inventory[[#This Row],[det_value]]*Lookups!$M$28,-2)</f>
        <v>0</v>
      </c>
      <c r="CC743">
        <f>IF(ROUND(Grandview_Inventory[[#This Row],[adj_res]]*Lookups!$M$28,-2)&lt;Grandview_Inventory[[#This Row],[min_res]],Grandview_Inventory[[#This Row],[min_res]],ROUND(Grandview_Inventory[[#This Row],[adj_res]]*Lookups!$M$28,-2))</f>
        <v>230600</v>
      </c>
      <c r="CD743">
        <f>Grandview_Inventory[[#This Row],[final_det]]+Grandview_Inventory[[#This Row],[final_res]]</f>
        <v>230600</v>
      </c>
      <c r="CE743">
        <f>Grandview_Inventory[[#This Row],[final_land]]+Grandview_Inventory[[#This Row],[final_imp]]+Grandview_Inventory[[#This Row],[crop_value]]</f>
        <v>277300</v>
      </c>
      <c r="CG743" t="str">
        <f t="shared" si="11"/>
        <v>update valuation set market_land =46700, market_bldg=230600, market_total =277300, market_mdno =401, market_date ='9/10/2023' where link_id = (select link_id from parcel where parcel_year = '2024' and parcel_id = '23092231481');</v>
      </c>
    </row>
    <row r="744" spans="1:85" x14ac:dyDescent="0.25">
      <c r="A744">
        <v>23092231482</v>
      </c>
      <c r="B744">
        <v>0.19</v>
      </c>
      <c r="C744">
        <v>8384</v>
      </c>
      <c r="D744" t="s">
        <v>129</v>
      </c>
      <c r="E744" t="s">
        <v>53</v>
      </c>
      <c r="F744" t="s">
        <v>53</v>
      </c>
      <c r="G744">
        <v>4</v>
      </c>
      <c r="H744" t="s">
        <v>54</v>
      </c>
      <c r="I744">
        <v>164300</v>
      </c>
      <c r="J744">
        <v>43500</v>
      </c>
      <c r="K744">
        <v>0.19</v>
      </c>
      <c r="L74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44">
        <v>0</v>
      </c>
      <c r="N744">
        <v>0</v>
      </c>
      <c r="O744">
        <v>0</v>
      </c>
      <c r="P744">
        <v>13398.7528</v>
      </c>
      <c r="Q744">
        <v>63903</v>
      </c>
      <c r="R744">
        <f>(Grandview_Inventory[[#This Row],[ln_acres]]*Grandview_Inventory[[#This Row],[coeff]])+Grandview_Inventory[[#This Row],[const]]</f>
        <v>41651.273092551026</v>
      </c>
      <c r="S744" t="s">
        <v>55</v>
      </c>
      <c r="T744">
        <v>1</v>
      </c>
      <c r="U744" t="s">
        <v>70</v>
      </c>
      <c r="V744" t="s">
        <v>69</v>
      </c>
      <c r="W744">
        <v>0</v>
      </c>
      <c r="X744">
        <v>0</v>
      </c>
      <c r="Y744">
        <v>43</v>
      </c>
      <c r="Z744">
        <v>45</v>
      </c>
      <c r="AA744">
        <v>50</v>
      </c>
      <c r="AB744">
        <v>1500</v>
      </c>
      <c r="AC744">
        <v>1088</v>
      </c>
      <c r="AD744">
        <v>1088</v>
      </c>
      <c r="AE744">
        <v>0</v>
      </c>
      <c r="AF744">
        <v>0</v>
      </c>
      <c r="AG744">
        <v>0</v>
      </c>
      <c r="AH744">
        <v>0</v>
      </c>
      <c r="AI744">
        <v>288</v>
      </c>
      <c r="AJ744">
        <v>0</v>
      </c>
      <c r="AK744">
        <v>0</v>
      </c>
      <c r="AL744">
        <v>0</v>
      </c>
      <c r="AM744">
        <v>254</v>
      </c>
      <c r="AN744">
        <v>0</v>
      </c>
      <c r="AO744">
        <v>200</v>
      </c>
      <c r="AP744">
        <v>5</v>
      </c>
      <c r="AQ744">
        <v>0</v>
      </c>
      <c r="AR744">
        <v>0</v>
      </c>
      <c r="AS744" t="s">
        <v>58</v>
      </c>
      <c r="AT744">
        <v>1</v>
      </c>
      <c r="AU744" t="s">
        <v>75</v>
      </c>
      <c r="AV744" t="s">
        <v>60</v>
      </c>
      <c r="AW744">
        <v>0</v>
      </c>
      <c r="AX744">
        <v>3</v>
      </c>
      <c r="AY744">
        <v>0</v>
      </c>
      <c r="AZ744">
        <v>0</v>
      </c>
      <c r="BA744">
        <v>100</v>
      </c>
      <c r="BB744">
        <v>100</v>
      </c>
      <c r="BC744">
        <v>100</v>
      </c>
      <c r="BD744">
        <v>100</v>
      </c>
      <c r="BE744">
        <v>1</v>
      </c>
      <c r="BF744">
        <v>15000</v>
      </c>
      <c r="BG744">
        <v>1000</v>
      </c>
      <c r="BH744" s="6">
        <f>Grandview_Inventory[[#This Row],[land_extract]]*Lookups!$B$3</f>
        <v>48369.510983942157</v>
      </c>
      <c r="BI744" s="6">
        <f>IF(Grandview_Inventory[[#This Row],[bldg_style]]="",0,Lookups!$B$2)</f>
        <v>155833.95000000001</v>
      </c>
      <c r="BJ744" s="6">
        <f>_xlfn.IFNA(VLOOKUP(Grandview_Inventory[[#This Row],[quality]],Lookups!$H$2:$J$14,3,FALSE),0)</f>
        <v>10733</v>
      </c>
      <c r="BK744" s="6">
        <f>_xlfn.IFNA(VLOOKUP(Grandview_Inventory[[#This Row],[condition]],Lookups!$H$17:$J$24,3,FALSE),0)</f>
        <v>-4503</v>
      </c>
      <c r="BL744" s="6">
        <f>Grandview_Inventory[[#This Row],[Eff_Age]]*Lookups!$B$14</f>
        <v>-10284.1638</v>
      </c>
      <c r="BM744" s="6">
        <f>Grandview_Inventory[[#This Row],[living_area]]*Lookups!$B$15</f>
        <v>67870.368064000009</v>
      </c>
      <c r="BN744" s="6">
        <f>Grandview_Inventory[[#This Row],[Fin BSMT]]*Lookups!$B$16</f>
        <v>0</v>
      </c>
      <c r="BO744" s="6">
        <f>(Grandview_Inventory[[#This Row],[att_gar]]+Grandview_Inventory[[#This Row],[bltin_gar]])*Lookups!$B$17</f>
        <v>25205.885856000001</v>
      </c>
      <c r="BP744" s="6">
        <f>Grandview_Inventory[[#This Row],[Plumbing Fixtures]]*Lookups!$B$18</f>
        <v>10052.209000000001</v>
      </c>
      <c r="BQ744" s="6">
        <f>Grandview_Inventory[[#This Row],[detatched_value]]*Lookups!$B$19</f>
        <v>0</v>
      </c>
      <c r="BR744" s="6">
        <f>SUM(Grandview_Inventory[[#This Row],[Intercept]:[det_value]])*Grandview_Inventory[[#This Row],[res_pct]]</f>
        <v>254908.24912000002</v>
      </c>
      <c r="BS744" s="6">
        <f>Grandview_Inventory[[#This Row],[land_value]]</f>
        <v>48369.510983942157</v>
      </c>
      <c r="BT744" s="4">
        <f>_xlfn.IFNA(VLOOKUP(Grandview_Inventory[[#This Row],[quality]],Lookups!$A$26:$C$33,3,FALSE),1)</f>
        <v>0.98079741117310582</v>
      </c>
      <c r="BU744" s="4">
        <f>_xlfn.IFNA(VLOOKUP(Grandview_Inventory[[#This Row],[condition]],Lookups!$A$37:$C$44,3,FALSE),1)</f>
        <v>0.96469275950863709</v>
      </c>
      <c r="BV744" s="4">
        <f>IF(Grandview_Inventory[[#This Row],[bldg_style]]="",1,_xlfn.IFNA(VLOOKUP(Grandview_Inventory[[#This Row],[decade]],Lookups!$F$29:$H$43,3,FALSE),1))</f>
        <v>0.9871940091910919</v>
      </c>
      <c r="BW744" s="4">
        <f>_xlfn.IFNA(VLOOKUP(Grandview_Inventory[[#This Row],[living_area_range]],Lookups!$F$47:$H$56,3,FALSE),1)</f>
        <v>0.96135087979789358</v>
      </c>
      <c r="BX744" s="4">
        <f>AVERAGE(Grandview_Inventory[[#This Row],[qual_adj]:[size_adj]])</f>
        <v>0.97350876491768212</v>
      </c>
      <c r="BY744" s="6">
        <f>IF(Grandview_Inventory[[#This Row],[pre_res]]&lt;0,0,Grandview_Inventory[[#This Row],[pre_res]]*Grandview_Inventory[[#This Row],[overall_adj]])</f>
        <v>248155.41476814006</v>
      </c>
      <c r="BZ744" s="6">
        <f>(Grandview_Inventory[[#This Row],[sum_land]]-IF(Grandview_Inventory[[#This Row],[no_utilities]]=1,12000,0))/IF(Grandview_Inventory[[#This Row],[unbuildable]]=1,2,1)</f>
        <v>48369.510983942157</v>
      </c>
      <c r="CA74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44">
        <f>ROUND(Grandview_Inventory[[#This Row],[det_value]]*Lookups!$M$28,-2)</f>
        <v>0</v>
      </c>
      <c r="CC744">
        <f>IF(ROUND(Grandview_Inventory[[#This Row],[adj_res]]*Lookups!$M$28,-2)&lt;Grandview_Inventory[[#This Row],[min_res]],Grandview_Inventory[[#This Row],[min_res]],ROUND(Grandview_Inventory[[#This Row],[adj_res]]*Lookups!$M$28,-2))</f>
        <v>235700</v>
      </c>
      <c r="CD744">
        <f>Grandview_Inventory[[#This Row],[final_det]]+Grandview_Inventory[[#This Row],[final_res]]</f>
        <v>235700</v>
      </c>
      <c r="CE744">
        <f>Grandview_Inventory[[#This Row],[final_land]]+Grandview_Inventory[[#This Row],[final_imp]]+Grandview_Inventory[[#This Row],[crop_value]]</f>
        <v>281700</v>
      </c>
      <c r="CG744" t="str">
        <f t="shared" si="11"/>
        <v>update valuation set market_land =46000, market_bldg=235700, market_total =281700, market_mdno =401, market_date ='9/10/2023' where link_id = (select link_id from parcel where parcel_year = '2024' and parcel_id = '23092231482');</v>
      </c>
    </row>
    <row r="745" spans="1:85" x14ac:dyDescent="0.25">
      <c r="A745">
        <v>23092231483</v>
      </c>
      <c r="B745">
        <v>0.19</v>
      </c>
      <c r="C745">
        <v>8110</v>
      </c>
      <c r="D745" t="s">
        <v>129</v>
      </c>
      <c r="E745" t="s">
        <v>53</v>
      </c>
      <c r="F745" t="s">
        <v>53</v>
      </c>
      <c r="G745">
        <v>4</v>
      </c>
      <c r="H745" t="s">
        <v>54</v>
      </c>
      <c r="I745">
        <v>157500</v>
      </c>
      <c r="J745">
        <v>39000</v>
      </c>
      <c r="K745">
        <v>0.19</v>
      </c>
      <c r="L74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45">
        <v>0</v>
      </c>
      <c r="N745">
        <v>0</v>
      </c>
      <c r="O745">
        <v>0</v>
      </c>
      <c r="P745">
        <v>13398.7528</v>
      </c>
      <c r="Q745">
        <v>63903</v>
      </c>
      <c r="R745">
        <f>(Grandview_Inventory[[#This Row],[ln_acres]]*Grandview_Inventory[[#This Row],[coeff]])+Grandview_Inventory[[#This Row],[const]]</f>
        <v>41651.273092551026</v>
      </c>
      <c r="S745" t="s">
        <v>55</v>
      </c>
      <c r="T745">
        <v>1</v>
      </c>
      <c r="U745" t="s">
        <v>65</v>
      </c>
      <c r="V745" t="s">
        <v>69</v>
      </c>
      <c r="W745">
        <v>0</v>
      </c>
      <c r="X745">
        <v>0</v>
      </c>
      <c r="Y745">
        <v>44</v>
      </c>
      <c r="Z745">
        <v>46</v>
      </c>
      <c r="AA745">
        <v>50</v>
      </c>
      <c r="AB745">
        <v>1500</v>
      </c>
      <c r="AC745">
        <v>1088</v>
      </c>
      <c r="AD745">
        <v>1088</v>
      </c>
      <c r="AE745">
        <v>0</v>
      </c>
      <c r="AF745">
        <v>0</v>
      </c>
      <c r="AG745">
        <v>0</v>
      </c>
      <c r="AH745">
        <v>0</v>
      </c>
      <c r="AI745">
        <v>288</v>
      </c>
      <c r="AJ745">
        <v>0</v>
      </c>
      <c r="AK745">
        <v>0</v>
      </c>
      <c r="AL745">
        <v>0</v>
      </c>
      <c r="AM745">
        <v>92</v>
      </c>
      <c r="AN745">
        <v>0</v>
      </c>
      <c r="AO745">
        <v>0</v>
      </c>
      <c r="AP745">
        <v>7</v>
      </c>
      <c r="AQ745">
        <v>0</v>
      </c>
      <c r="AR745">
        <v>0</v>
      </c>
      <c r="AS745" t="s">
        <v>58</v>
      </c>
      <c r="AT745">
        <v>1</v>
      </c>
      <c r="AU745" t="s">
        <v>63</v>
      </c>
      <c r="AV745" t="s">
        <v>60</v>
      </c>
      <c r="AW745">
        <v>0</v>
      </c>
      <c r="AX745">
        <v>3</v>
      </c>
      <c r="AY745">
        <v>0</v>
      </c>
      <c r="AZ745">
        <v>0</v>
      </c>
      <c r="BA745">
        <v>100</v>
      </c>
      <c r="BB745">
        <v>100</v>
      </c>
      <c r="BC745">
        <v>100</v>
      </c>
      <c r="BD745">
        <v>100</v>
      </c>
      <c r="BE745">
        <v>1</v>
      </c>
      <c r="BF745">
        <v>15000</v>
      </c>
      <c r="BG745">
        <v>1000</v>
      </c>
      <c r="BH745" s="6">
        <f>Grandview_Inventory[[#This Row],[land_extract]]*Lookups!$B$3</f>
        <v>48369.510983942157</v>
      </c>
      <c r="BI745" s="6">
        <f>IF(Grandview_Inventory[[#This Row],[bldg_style]]="",0,Lookups!$B$2)</f>
        <v>155833.95000000001</v>
      </c>
      <c r="BJ745" s="6">
        <f>_xlfn.IFNA(VLOOKUP(Grandview_Inventory[[#This Row],[quality]],Lookups!$H$2:$J$14,3,FALSE),0)</f>
        <v>2251</v>
      </c>
      <c r="BK745" s="6">
        <f>_xlfn.IFNA(VLOOKUP(Grandview_Inventory[[#This Row],[condition]],Lookups!$H$17:$J$24,3,FALSE),0)</f>
        <v>-4503</v>
      </c>
      <c r="BL745" s="6">
        <f>Grandview_Inventory[[#This Row],[Eff_Age]]*Lookups!$B$14</f>
        <v>-10523.330399999999</v>
      </c>
      <c r="BM745" s="6">
        <f>Grandview_Inventory[[#This Row],[living_area]]*Lookups!$B$15</f>
        <v>67870.368064000009</v>
      </c>
      <c r="BN745" s="6">
        <f>Grandview_Inventory[[#This Row],[Fin BSMT]]*Lookups!$B$16</f>
        <v>0</v>
      </c>
      <c r="BO745" s="6">
        <f>(Grandview_Inventory[[#This Row],[att_gar]]+Grandview_Inventory[[#This Row],[bltin_gar]])*Lookups!$B$17</f>
        <v>25205.885856000001</v>
      </c>
      <c r="BP745" s="6">
        <f>Grandview_Inventory[[#This Row],[Plumbing Fixtures]]*Lookups!$B$18</f>
        <v>14073.0926</v>
      </c>
      <c r="BQ745" s="6">
        <f>Grandview_Inventory[[#This Row],[detatched_value]]*Lookups!$B$19</f>
        <v>0</v>
      </c>
      <c r="BR745" s="6">
        <f>SUM(Grandview_Inventory[[#This Row],[Intercept]:[det_value]])*Grandview_Inventory[[#This Row],[res_pct]]</f>
        <v>250207.96612000003</v>
      </c>
      <c r="BS745" s="6">
        <f>Grandview_Inventory[[#This Row],[land_value]]</f>
        <v>48369.510983942157</v>
      </c>
      <c r="BT745" s="4">
        <f>_xlfn.IFNA(VLOOKUP(Grandview_Inventory[[#This Row],[quality]],Lookups!$A$26:$C$33,3,FALSE),1)</f>
        <v>0.98763855981004833</v>
      </c>
      <c r="BU745" s="4">
        <f>_xlfn.IFNA(VLOOKUP(Grandview_Inventory[[#This Row],[condition]],Lookups!$A$37:$C$44,3,FALSE),1)</f>
        <v>0.96469275950863709</v>
      </c>
      <c r="BV745" s="4">
        <f>IF(Grandview_Inventory[[#This Row],[bldg_style]]="",1,_xlfn.IFNA(VLOOKUP(Grandview_Inventory[[#This Row],[decade]],Lookups!$F$29:$H$43,3,FALSE),1))</f>
        <v>0.9871940091910919</v>
      </c>
      <c r="BW745" s="4">
        <f>_xlfn.IFNA(VLOOKUP(Grandview_Inventory[[#This Row],[living_area_range]],Lookups!$F$47:$H$56,3,FALSE),1)</f>
        <v>0.96135087979789358</v>
      </c>
      <c r="BX745" s="4">
        <f>AVERAGE(Grandview_Inventory[[#This Row],[qual_adj]:[size_adj]])</f>
        <v>0.97521905207691773</v>
      </c>
      <c r="BY745" s="6">
        <f>IF(Grandview_Inventory[[#This Row],[pre_res]]&lt;0,0,Grandview_Inventory[[#This Row],[pre_res]]*Grandview_Inventory[[#This Row],[overall_adj]])</f>
        <v>244007.57554163996</v>
      </c>
      <c r="BZ745" s="6">
        <f>(Grandview_Inventory[[#This Row],[sum_land]]-IF(Grandview_Inventory[[#This Row],[no_utilities]]=1,12000,0))/IF(Grandview_Inventory[[#This Row],[unbuildable]]=1,2,1)</f>
        <v>48369.510983942157</v>
      </c>
      <c r="CA74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45">
        <f>ROUND(Grandview_Inventory[[#This Row],[det_value]]*Lookups!$M$28,-2)</f>
        <v>0</v>
      </c>
      <c r="CC745">
        <f>IF(ROUND(Grandview_Inventory[[#This Row],[adj_res]]*Lookups!$M$28,-2)&lt;Grandview_Inventory[[#This Row],[min_res]],Grandview_Inventory[[#This Row],[min_res]],ROUND(Grandview_Inventory[[#This Row],[adj_res]]*Lookups!$M$28,-2))</f>
        <v>231800</v>
      </c>
      <c r="CD745">
        <f>Grandview_Inventory[[#This Row],[final_det]]+Grandview_Inventory[[#This Row],[final_res]]</f>
        <v>231800</v>
      </c>
      <c r="CE745">
        <f>Grandview_Inventory[[#This Row],[final_land]]+Grandview_Inventory[[#This Row],[final_imp]]+Grandview_Inventory[[#This Row],[crop_value]]</f>
        <v>277800</v>
      </c>
      <c r="CG745" t="str">
        <f t="shared" si="11"/>
        <v>update valuation set market_land =46000, market_bldg=231800, market_total =277800, market_mdno =401, market_date ='9/10/2023' where link_id = (select link_id from parcel where parcel_year = '2024' and parcel_id = '23092231483');</v>
      </c>
    </row>
    <row r="746" spans="1:85" x14ac:dyDescent="0.25">
      <c r="A746">
        <v>23092231484</v>
      </c>
      <c r="B746">
        <v>0.18</v>
      </c>
      <c r="C746">
        <v>7824</v>
      </c>
      <c r="D746" t="s">
        <v>129</v>
      </c>
      <c r="E746" t="s">
        <v>53</v>
      </c>
      <c r="F746" t="s">
        <v>53</v>
      </c>
      <c r="G746">
        <v>4</v>
      </c>
      <c r="H746" t="s">
        <v>54</v>
      </c>
      <c r="I746">
        <v>145900</v>
      </c>
      <c r="J746">
        <v>38800</v>
      </c>
      <c r="K746">
        <v>0.18</v>
      </c>
      <c r="L74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746">
        <v>0</v>
      </c>
      <c r="N746">
        <v>0</v>
      </c>
      <c r="O746">
        <v>0</v>
      </c>
      <c r="P746">
        <v>13398.7528</v>
      </c>
      <c r="Q746">
        <v>63903</v>
      </c>
      <c r="R746">
        <f>(Grandview_Inventory[[#This Row],[ln_acres]]*Grandview_Inventory[[#This Row],[coeff]])+Grandview_Inventory[[#This Row],[const]]</f>
        <v>40926.839760167699</v>
      </c>
      <c r="S746" t="s">
        <v>61</v>
      </c>
      <c r="T746">
        <v>1</v>
      </c>
      <c r="U746" t="s">
        <v>65</v>
      </c>
      <c r="V746" t="s">
        <v>69</v>
      </c>
      <c r="W746">
        <v>0</v>
      </c>
      <c r="X746">
        <v>0</v>
      </c>
      <c r="Y746">
        <v>44</v>
      </c>
      <c r="Z746">
        <v>46</v>
      </c>
      <c r="AA746">
        <v>50</v>
      </c>
      <c r="AB746">
        <v>1500</v>
      </c>
      <c r="AC746">
        <v>1056</v>
      </c>
      <c r="AD746">
        <v>1056</v>
      </c>
      <c r="AE746">
        <v>0</v>
      </c>
      <c r="AF746">
        <v>0</v>
      </c>
      <c r="AG746">
        <v>0</v>
      </c>
      <c r="AH746">
        <v>0</v>
      </c>
      <c r="AI746">
        <v>384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5</v>
      </c>
      <c r="AQ746">
        <v>0</v>
      </c>
      <c r="AR746">
        <v>0</v>
      </c>
      <c r="AS746" t="s">
        <v>58</v>
      </c>
      <c r="AT746">
        <v>1</v>
      </c>
      <c r="AU746" t="s">
        <v>63</v>
      </c>
      <c r="AV746" t="s">
        <v>60</v>
      </c>
      <c r="AW746">
        <v>0</v>
      </c>
      <c r="AX746">
        <v>3</v>
      </c>
      <c r="AY746">
        <v>0</v>
      </c>
      <c r="AZ746">
        <v>0</v>
      </c>
      <c r="BA746">
        <v>100</v>
      </c>
      <c r="BB746">
        <v>100</v>
      </c>
      <c r="BC746">
        <v>100</v>
      </c>
      <c r="BD746">
        <v>100</v>
      </c>
      <c r="BE746">
        <v>1</v>
      </c>
      <c r="BF746">
        <v>15000</v>
      </c>
      <c r="BG746">
        <v>1000</v>
      </c>
      <c r="BH746" s="6">
        <f>Grandview_Inventory[[#This Row],[land_extract]]*Lookups!$B$3</f>
        <v>47528.228511015397</v>
      </c>
      <c r="BI746" s="6">
        <f>IF(Grandview_Inventory[[#This Row],[bldg_style]]="",0,Lookups!$B$2)</f>
        <v>155833.95000000001</v>
      </c>
      <c r="BJ746" s="6">
        <f>_xlfn.IFNA(VLOOKUP(Grandview_Inventory[[#This Row],[quality]],Lookups!$H$2:$J$14,3,FALSE),0)</f>
        <v>2251</v>
      </c>
      <c r="BK746" s="6">
        <f>_xlfn.IFNA(VLOOKUP(Grandview_Inventory[[#This Row],[condition]],Lookups!$H$17:$J$24,3,FALSE),0)</f>
        <v>-4503</v>
      </c>
      <c r="BL746" s="6">
        <f>Grandview_Inventory[[#This Row],[Eff_Age]]*Lookups!$B$14</f>
        <v>-10523.330399999999</v>
      </c>
      <c r="BM746" s="6">
        <f>Grandview_Inventory[[#This Row],[living_area]]*Lookups!$B$15</f>
        <v>65874.180768000006</v>
      </c>
      <c r="BN746" s="6">
        <f>Grandview_Inventory[[#This Row],[Fin BSMT]]*Lookups!$B$16</f>
        <v>0</v>
      </c>
      <c r="BO746" s="6">
        <f>(Grandview_Inventory[[#This Row],[att_gar]]+Grandview_Inventory[[#This Row],[bltin_gar]])*Lookups!$B$17</f>
        <v>33607.847807999999</v>
      </c>
      <c r="BP746" s="6">
        <f>Grandview_Inventory[[#This Row],[Plumbing Fixtures]]*Lookups!$B$18</f>
        <v>10052.209000000001</v>
      </c>
      <c r="BQ746" s="6">
        <f>Grandview_Inventory[[#This Row],[detatched_value]]*Lookups!$B$19</f>
        <v>0</v>
      </c>
      <c r="BR746" s="6">
        <f>SUM(Grandview_Inventory[[#This Row],[Intercept]:[det_value]])*Grandview_Inventory[[#This Row],[res_pct]]</f>
        <v>252592.85717599999</v>
      </c>
      <c r="BS746" s="6">
        <f>Grandview_Inventory[[#This Row],[land_value]]</f>
        <v>47528.228511015397</v>
      </c>
      <c r="BT746" s="4">
        <f>_xlfn.IFNA(VLOOKUP(Grandview_Inventory[[#This Row],[quality]],Lookups!$A$26:$C$33,3,FALSE),1)</f>
        <v>0.98763855981004833</v>
      </c>
      <c r="BU746" s="4">
        <f>_xlfn.IFNA(VLOOKUP(Grandview_Inventory[[#This Row],[condition]],Lookups!$A$37:$C$44,3,FALSE),1)</f>
        <v>0.96469275950863709</v>
      </c>
      <c r="BV746" s="4">
        <f>IF(Grandview_Inventory[[#This Row],[bldg_style]]="",1,_xlfn.IFNA(VLOOKUP(Grandview_Inventory[[#This Row],[decade]],Lookups!$F$29:$H$43,3,FALSE),1))</f>
        <v>0.9871940091910919</v>
      </c>
      <c r="BW746" s="4">
        <f>_xlfn.IFNA(VLOOKUP(Grandview_Inventory[[#This Row],[living_area_range]],Lookups!$F$47:$H$56,3,FALSE),1)</f>
        <v>0.96135087979789358</v>
      </c>
      <c r="BX746" s="4">
        <f>AVERAGE(Grandview_Inventory[[#This Row],[qual_adj]:[size_adj]])</f>
        <v>0.97521905207691773</v>
      </c>
      <c r="BY746" s="6">
        <f>IF(Grandview_Inventory[[#This Row],[pre_res]]&lt;0,0,Grandview_Inventory[[#This Row],[pre_res]]*Grandview_Inventory[[#This Row],[overall_adj]])</f>
        <v>246333.36673657899</v>
      </c>
      <c r="BZ746" s="6">
        <f>(Grandview_Inventory[[#This Row],[sum_land]]-IF(Grandview_Inventory[[#This Row],[no_utilities]]=1,12000,0))/IF(Grandview_Inventory[[#This Row],[unbuildable]]=1,2,1)</f>
        <v>47528.228511015397</v>
      </c>
      <c r="CA74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746">
        <f>ROUND(Grandview_Inventory[[#This Row],[det_value]]*Lookups!$M$28,-2)</f>
        <v>0</v>
      </c>
      <c r="CC746">
        <f>IF(ROUND(Grandview_Inventory[[#This Row],[adj_res]]*Lookups!$M$28,-2)&lt;Grandview_Inventory[[#This Row],[min_res]],Grandview_Inventory[[#This Row],[min_res]],ROUND(Grandview_Inventory[[#This Row],[adj_res]]*Lookups!$M$28,-2))</f>
        <v>234000</v>
      </c>
      <c r="CD746">
        <f>Grandview_Inventory[[#This Row],[final_det]]+Grandview_Inventory[[#This Row],[final_res]]</f>
        <v>234000</v>
      </c>
      <c r="CE746">
        <f>Grandview_Inventory[[#This Row],[final_land]]+Grandview_Inventory[[#This Row],[final_imp]]+Grandview_Inventory[[#This Row],[crop_value]]</f>
        <v>279200</v>
      </c>
      <c r="CG746" t="str">
        <f t="shared" si="11"/>
        <v>update valuation set market_land =45200, market_bldg=234000, market_total =279200, market_mdno =401, market_date ='9/10/2023' where link_id = (select link_id from parcel where parcel_year = '2024' and parcel_id = '23092231484');</v>
      </c>
    </row>
    <row r="747" spans="1:85" x14ac:dyDescent="0.25">
      <c r="A747">
        <v>23092231485</v>
      </c>
      <c r="B747">
        <v>0.19</v>
      </c>
      <c r="C747">
        <v>8154</v>
      </c>
      <c r="D747" t="s">
        <v>129</v>
      </c>
      <c r="E747" t="s">
        <v>53</v>
      </c>
      <c r="F747" t="s">
        <v>53</v>
      </c>
      <c r="G747">
        <v>4</v>
      </c>
      <c r="H747" t="s">
        <v>54</v>
      </c>
      <c r="I747">
        <v>145400</v>
      </c>
      <c r="J747">
        <v>43300</v>
      </c>
      <c r="K747">
        <v>0.19</v>
      </c>
      <c r="L74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47">
        <v>0</v>
      </c>
      <c r="N747">
        <v>0</v>
      </c>
      <c r="O747">
        <v>0</v>
      </c>
      <c r="P747">
        <v>13398.7528</v>
      </c>
      <c r="Q747">
        <v>63903</v>
      </c>
      <c r="R747">
        <f>(Grandview_Inventory[[#This Row],[ln_acres]]*Grandview_Inventory[[#This Row],[coeff]])+Grandview_Inventory[[#This Row],[const]]</f>
        <v>41651.273092551026</v>
      </c>
      <c r="S747" t="s">
        <v>61</v>
      </c>
      <c r="T747">
        <v>1</v>
      </c>
      <c r="U747" t="s">
        <v>65</v>
      </c>
      <c r="V747" t="s">
        <v>69</v>
      </c>
      <c r="W747">
        <v>0</v>
      </c>
      <c r="X747">
        <v>0</v>
      </c>
      <c r="Y747">
        <v>44</v>
      </c>
      <c r="Z747">
        <v>46</v>
      </c>
      <c r="AA747">
        <v>50</v>
      </c>
      <c r="AB747">
        <v>1500</v>
      </c>
      <c r="AC747">
        <v>1456</v>
      </c>
      <c r="AD747">
        <v>1456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250</v>
      </c>
      <c r="AN747">
        <v>0</v>
      </c>
      <c r="AO747">
        <v>0</v>
      </c>
      <c r="AP747">
        <v>7</v>
      </c>
      <c r="AQ747">
        <v>0</v>
      </c>
      <c r="AR747">
        <v>0</v>
      </c>
      <c r="AS747" t="s">
        <v>58</v>
      </c>
      <c r="AT747">
        <v>1</v>
      </c>
      <c r="AU747" t="s">
        <v>63</v>
      </c>
      <c r="AV747" t="s">
        <v>60</v>
      </c>
      <c r="AW747">
        <v>0</v>
      </c>
      <c r="AX747">
        <v>3</v>
      </c>
      <c r="AY747">
        <v>0</v>
      </c>
      <c r="AZ747">
        <v>0</v>
      </c>
      <c r="BA747">
        <v>100</v>
      </c>
      <c r="BB747">
        <v>100</v>
      </c>
      <c r="BC747">
        <v>100</v>
      </c>
      <c r="BD747">
        <v>100</v>
      </c>
      <c r="BE747">
        <v>1</v>
      </c>
      <c r="BF747">
        <v>15000</v>
      </c>
      <c r="BG747">
        <v>1000</v>
      </c>
      <c r="BH747" s="6">
        <f>Grandview_Inventory[[#This Row],[land_extract]]*Lookups!$B$3</f>
        <v>48369.510983942157</v>
      </c>
      <c r="BI747" s="6">
        <f>IF(Grandview_Inventory[[#This Row],[bldg_style]]="",0,Lookups!$B$2)</f>
        <v>155833.95000000001</v>
      </c>
      <c r="BJ747" s="6">
        <f>_xlfn.IFNA(VLOOKUP(Grandview_Inventory[[#This Row],[quality]],Lookups!$H$2:$J$14,3,FALSE),0)</f>
        <v>2251</v>
      </c>
      <c r="BK747" s="6">
        <f>_xlfn.IFNA(VLOOKUP(Grandview_Inventory[[#This Row],[condition]],Lookups!$H$17:$J$24,3,FALSE),0)</f>
        <v>-4503</v>
      </c>
      <c r="BL747" s="6">
        <f>Grandview_Inventory[[#This Row],[Eff_Age]]*Lookups!$B$14</f>
        <v>-10523.330399999999</v>
      </c>
      <c r="BM747" s="6">
        <f>Grandview_Inventory[[#This Row],[living_area]]*Lookups!$B$15</f>
        <v>90826.521968000001</v>
      </c>
      <c r="BN747" s="6">
        <f>Grandview_Inventory[[#This Row],[Fin BSMT]]*Lookups!$B$16</f>
        <v>0</v>
      </c>
      <c r="BO747" s="6">
        <f>(Grandview_Inventory[[#This Row],[att_gar]]+Grandview_Inventory[[#This Row],[bltin_gar]])*Lookups!$B$17</f>
        <v>0</v>
      </c>
      <c r="BP747" s="6">
        <f>Grandview_Inventory[[#This Row],[Plumbing Fixtures]]*Lookups!$B$18</f>
        <v>14073.0926</v>
      </c>
      <c r="BQ747" s="6">
        <f>Grandview_Inventory[[#This Row],[detatched_value]]*Lookups!$B$19</f>
        <v>0</v>
      </c>
      <c r="BR747" s="6">
        <f>SUM(Grandview_Inventory[[#This Row],[Intercept]:[det_value]])*Grandview_Inventory[[#This Row],[res_pct]]</f>
        <v>247958.23416800002</v>
      </c>
      <c r="BS747" s="6">
        <f>Grandview_Inventory[[#This Row],[land_value]]</f>
        <v>48369.510983942157</v>
      </c>
      <c r="BT747" s="4">
        <f>_xlfn.IFNA(VLOOKUP(Grandview_Inventory[[#This Row],[quality]],Lookups!$A$26:$C$33,3,FALSE),1)</f>
        <v>0.98763855981004833</v>
      </c>
      <c r="BU747" s="4">
        <f>_xlfn.IFNA(VLOOKUP(Grandview_Inventory[[#This Row],[condition]],Lookups!$A$37:$C$44,3,FALSE),1)</f>
        <v>0.96469275950863709</v>
      </c>
      <c r="BV747" s="4">
        <f>IF(Grandview_Inventory[[#This Row],[bldg_style]]="",1,_xlfn.IFNA(VLOOKUP(Grandview_Inventory[[#This Row],[decade]],Lookups!$F$29:$H$43,3,FALSE),1))</f>
        <v>0.9871940091910919</v>
      </c>
      <c r="BW747" s="4">
        <f>_xlfn.IFNA(VLOOKUP(Grandview_Inventory[[#This Row],[living_area_range]],Lookups!$F$47:$H$56,3,FALSE),1)</f>
        <v>0.96135087979789358</v>
      </c>
      <c r="BX747" s="4">
        <f>AVERAGE(Grandview_Inventory[[#This Row],[qual_adj]:[size_adj]])</f>
        <v>0.97521905207691773</v>
      </c>
      <c r="BY747" s="6">
        <f>IF(Grandview_Inventory[[#This Row],[pre_res]]&lt;0,0,Grandview_Inventory[[#This Row],[pre_res]]*Grandview_Inventory[[#This Row],[overall_adj]])</f>
        <v>241813.59407998336</v>
      </c>
      <c r="BZ747" s="6">
        <f>(Grandview_Inventory[[#This Row],[sum_land]]-IF(Grandview_Inventory[[#This Row],[no_utilities]]=1,12000,0))/IF(Grandview_Inventory[[#This Row],[unbuildable]]=1,2,1)</f>
        <v>48369.510983942157</v>
      </c>
      <c r="CA74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47">
        <f>ROUND(Grandview_Inventory[[#This Row],[det_value]]*Lookups!$M$28,-2)</f>
        <v>0</v>
      </c>
      <c r="CC747">
        <f>IF(ROUND(Grandview_Inventory[[#This Row],[adj_res]]*Lookups!$M$28,-2)&lt;Grandview_Inventory[[#This Row],[min_res]],Grandview_Inventory[[#This Row],[min_res]],ROUND(Grandview_Inventory[[#This Row],[adj_res]]*Lookups!$M$28,-2))</f>
        <v>229700</v>
      </c>
      <c r="CD747">
        <f>Grandview_Inventory[[#This Row],[final_det]]+Grandview_Inventory[[#This Row],[final_res]]</f>
        <v>229700</v>
      </c>
      <c r="CE747">
        <f>Grandview_Inventory[[#This Row],[final_land]]+Grandview_Inventory[[#This Row],[final_imp]]+Grandview_Inventory[[#This Row],[crop_value]]</f>
        <v>275700</v>
      </c>
      <c r="CG747" t="str">
        <f t="shared" si="11"/>
        <v>update valuation set market_land =46000, market_bldg=229700, market_total =275700, market_mdno =401, market_date ='9/10/2023' where link_id = (select link_id from parcel where parcel_year = '2024' and parcel_id = '23092231485');</v>
      </c>
    </row>
    <row r="748" spans="1:85" x14ac:dyDescent="0.25">
      <c r="A748">
        <v>23092231486</v>
      </c>
      <c r="B748">
        <v>0.28000000000000003</v>
      </c>
      <c r="C748">
        <v>12389</v>
      </c>
      <c r="D748" t="s">
        <v>129</v>
      </c>
      <c r="E748" t="s">
        <v>53</v>
      </c>
      <c r="F748" t="s">
        <v>53</v>
      </c>
      <c r="G748">
        <v>4</v>
      </c>
      <c r="H748" t="s">
        <v>54</v>
      </c>
      <c r="I748">
        <v>244300</v>
      </c>
      <c r="J748">
        <v>44700</v>
      </c>
      <c r="K748">
        <v>0.28000000000000003</v>
      </c>
      <c r="L748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748">
        <v>0</v>
      </c>
      <c r="N748">
        <v>0</v>
      </c>
      <c r="O748">
        <v>0</v>
      </c>
      <c r="P748">
        <v>13398.7528</v>
      </c>
      <c r="Q748">
        <v>63903</v>
      </c>
      <c r="R748">
        <f>(Grandview_Inventory[[#This Row],[ln_acres]]*Grandview_Inventory[[#This Row],[coeff]])+Grandview_Inventory[[#This Row],[const]]</f>
        <v>46846.847586898184</v>
      </c>
      <c r="S748" t="s">
        <v>61</v>
      </c>
      <c r="T748">
        <v>1</v>
      </c>
      <c r="U748" t="s">
        <v>65</v>
      </c>
      <c r="V748" t="s">
        <v>67</v>
      </c>
      <c r="W748">
        <v>0</v>
      </c>
      <c r="X748">
        <v>0</v>
      </c>
      <c r="Y748">
        <v>47</v>
      </c>
      <c r="Z748">
        <v>57</v>
      </c>
      <c r="AA748">
        <v>60</v>
      </c>
      <c r="AB748">
        <v>2000</v>
      </c>
      <c r="AC748">
        <v>1512</v>
      </c>
      <c r="AD748">
        <v>1512</v>
      </c>
      <c r="AE748">
        <v>0</v>
      </c>
      <c r="AF748">
        <v>0</v>
      </c>
      <c r="AG748">
        <v>0</v>
      </c>
      <c r="AH748">
        <v>0</v>
      </c>
      <c r="AI748">
        <v>440</v>
      </c>
      <c r="AJ748">
        <v>0</v>
      </c>
      <c r="AK748">
        <v>0</v>
      </c>
      <c r="AL748">
        <v>0</v>
      </c>
      <c r="AM748">
        <v>196</v>
      </c>
      <c r="AN748">
        <v>0</v>
      </c>
      <c r="AO748">
        <v>0</v>
      </c>
      <c r="AP748">
        <v>8</v>
      </c>
      <c r="AQ748">
        <v>0</v>
      </c>
      <c r="AR748">
        <v>1</v>
      </c>
      <c r="AS748" t="s">
        <v>58</v>
      </c>
      <c r="AT748">
        <v>1</v>
      </c>
      <c r="AU748" t="s">
        <v>63</v>
      </c>
      <c r="AV748" t="s">
        <v>60</v>
      </c>
      <c r="AW748">
        <v>1</v>
      </c>
      <c r="AX748">
        <v>3</v>
      </c>
      <c r="AY748">
        <v>0</v>
      </c>
      <c r="AZ748">
        <v>0</v>
      </c>
      <c r="BA748">
        <v>100</v>
      </c>
      <c r="BB748">
        <v>100</v>
      </c>
      <c r="BC748">
        <v>100</v>
      </c>
      <c r="BD748">
        <v>100</v>
      </c>
      <c r="BE748">
        <v>1</v>
      </c>
      <c r="BF748">
        <v>15000</v>
      </c>
      <c r="BG748">
        <v>1000</v>
      </c>
      <c r="BH748" s="6">
        <f>Grandview_Inventory[[#This Row],[land_extract]]*Lookups!$B$3</f>
        <v>54403.117616176372</v>
      </c>
      <c r="BI748" s="6">
        <f>IF(Grandview_Inventory[[#This Row],[bldg_style]]="",0,Lookups!$B$2)</f>
        <v>155833.95000000001</v>
      </c>
      <c r="BJ748" s="6">
        <f>_xlfn.IFNA(VLOOKUP(Grandview_Inventory[[#This Row],[quality]],Lookups!$H$2:$J$14,3,FALSE),0)</f>
        <v>2251</v>
      </c>
      <c r="BK748" s="6">
        <f>_xlfn.IFNA(VLOOKUP(Grandview_Inventory[[#This Row],[condition]],Lookups!$H$17:$J$24,3,FALSE),0)</f>
        <v>22342</v>
      </c>
      <c r="BL748" s="6">
        <f>Grandview_Inventory[[#This Row],[Eff_Age]]*Lookups!$B$14</f>
        <v>-11240.8302</v>
      </c>
      <c r="BM748" s="6">
        <f>Grandview_Inventory[[#This Row],[living_area]]*Lookups!$B$15</f>
        <v>94319.849736000004</v>
      </c>
      <c r="BN748" s="6">
        <f>Grandview_Inventory[[#This Row],[Fin BSMT]]*Lookups!$B$16</f>
        <v>0</v>
      </c>
      <c r="BO748" s="6">
        <f>(Grandview_Inventory[[#This Row],[att_gar]]+Grandview_Inventory[[#This Row],[bltin_gar]])*Lookups!$B$17</f>
        <v>38508.992279999999</v>
      </c>
      <c r="BP748" s="6">
        <f>Grandview_Inventory[[#This Row],[Plumbing Fixtures]]*Lookups!$B$18</f>
        <v>16083.5344</v>
      </c>
      <c r="BQ748" s="6">
        <f>Grandview_Inventory[[#This Row],[detatched_value]]*Lookups!$B$19</f>
        <v>0</v>
      </c>
      <c r="BR748" s="6">
        <f>SUM(Grandview_Inventory[[#This Row],[Intercept]:[det_value]])*Grandview_Inventory[[#This Row],[res_pct]]</f>
        <v>318098.49621600006</v>
      </c>
      <c r="BS748" s="6">
        <f>Grandview_Inventory[[#This Row],[land_value]]</f>
        <v>54403.117616176372</v>
      </c>
      <c r="BT748" s="4">
        <f>_xlfn.IFNA(VLOOKUP(Grandview_Inventory[[#This Row],[quality]],Lookups!$A$26:$C$33,3,FALSE),1)</f>
        <v>0.98763855981004833</v>
      </c>
      <c r="BU748" s="4">
        <f>_xlfn.IFNA(VLOOKUP(Grandview_Inventory[[#This Row],[condition]],Lookups!$A$37:$C$44,3,FALSE),1)</f>
        <v>0.97383723671140243</v>
      </c>
      <c r="BV748" s="4">
        <f>IF(Grandview_Inventory[[#This Row],[bldg_style]]="",1,_xlfn.IFNA(VLOOKUP(Grandview_Inventory[[#This Row],[decade]],Lookups!$F$29:$H$43,3,FALSE),1))</f>
        <v>0.95268620544463312</v>
      </c>
      <c r="BW748" s="4">
        <f>_xlfn.IFNA(VLOOKUP(Grandview_Inventory[[#This Row],[living_area_range]],Lookups!$F$47:$H$56,3,FALSE),1)</f>
        <v>0.96120133463014379</v>
      </c>
      <c r="BX748" s="4">
        <f>AVERAGE(Grandview_Inventory[[#This Row],[qual_adj]:[size_adj]])</f>
        <v>0.96884083414905686</v>
      </c>
      <c r="BY748" s="6">
        <f>IF(Grandview_Inventory[[#This Row],[pre_res]]&lt;0,0,Grandview_Inventory[[#This Row],[pre_res]]*Grandview_Inventory[[#This Row],[overall_adj]])</f>
        <v>308186.81241547008</v>
      </c>
      <c r="BZ748" s="6">
        <f>(Grandview_Inventory[[#This Row],[sum_land]]-IF(Grandview_Inventory[[#This Row],[no_utilities]]=1,12000,0))/IF(Grandview_Inventory[[#This Row],[unbuildable]]=1,2,1)</f>
        <v>54403.117616176372</v>
      </c>
      <c r="CA748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748">
        <f>ROUND(Grandview_Inventory[[#This Row],[det_value]]*Lookups!$M$28,-2)</f>
        <v>0</v>
      </c>
      <c r="CC748">
        <f>IF(ROUND(Grandview_Inventory[[#This Row],[adj_res]]*Lookups!$M$28,-2)&lt;Grandview_Inventory[[#This Row],[min_res]],Grandview_Inventory[[#This Row],[min_res]],ROUND(Grandview_Inventory[[#This Row],[adj_res]]*Lookups!$M$28,-2))</f>
        <v>292800</v>
      </c>
      <c r="CD748">
        <f>Grandview_Inventory[[#This Row],[final_det]]+Grandview_Inventory[[#This Row],[final_res]]</f>
        <v>292800</v>
      </c>
      <c r="CE748">
        <f>Grandview_Inventory[[#This Row],[final_land]]+Grandview_Inventory[[#This Row],[final_imp]]+Grandview_Inventory[[#This Row],[crop_value]]</f>
        <v>344500</v>
      </c>
      <c r="CG748" t="str">
        <f t="shared" si="11"/>
        <v>update valuation set market_land =51700, market_bldg=292800, market_total =344500, market_mdno =401, market_date ='9/10/2023' where link_id = (select link_id from parcel where parcel_year = '2024' and parcel_id = '23092231486');</v>
      </c>
    </row>
    <row r="749" spans="1:85" x14ac:dyDescent="0.25">
      <c r="A749">
        <v>23092231487</v>
      </c>
      <c r="B749">
        <v>0.28000000000000003</v>
      </c>
      <c r="C749">
        <v>12217</v>
      </c>
      <c r="D749" t="s">
        <v>129</v>
      </c>
      <c r="E749" t="s">
        <v>53</v>
      </c>
      <c r="F749" t="s">
        <v>53</v>
      </c>
      <c r="G749">
        <v>4</v>
      </c>
      <c r="H749" t="s">
        <v>54</v>
      </c>
      <c r="I749">
        <v>168900</v>
      </c>
      <c r="J749">
        <v>44700</v>
      </c>
      <c r="K749">
        <v>0.28000000000000003</v>
      </c>
      <c r="L749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749">
        <v>0</v>
      </c>
      <c r="N749">
        <v>0</v>
      </c>
      <c r="O749">
        <v>0</v>
      </c>
      <c r="P749">
        <v>13398.7528</v>
      </c>
      <c r="Q749">
        <v>63903</v>
      </c>
      <c r="R749">
        <f>(Grandview_Inventory[[#This Row],[ln_acres]]*Grandview_Inventory[[#This Row],[coeff]])+Grandview_Inventory[[#This Row],[const]]</f>
        <v>46846.847586898184</v>
      </c>
      <c r="S749" t="s">
        <v>61</v>
      </c>
      <c r="T749">
        <v>1</v>
      </c>
      <c r="U749" t="s">
        <v>70</v>
      </c>
      <c r="V749" t="s">
        <v>69</v>
      </c>
      <c r="W749">
        <v>0</v>
      </c>
      <c r="X749">
        <v>0</v>
      </c>
      <c r="Y749">
        <v>43</v>
      </c>
      <c r="Z749">
        <v>43</v>
      </c>
      <c r="AA749">
        <v>50</v>
      </c>
      <c r="AB749">
        <v>1500</v>
      </c>
      <c r="AC749">
        <v>1159</v>
      </c>
      <c r="AD749">
        <v>1159</v>
      </c>
      <c r="AE749">
        <v>0</v>
      </c>
      <c r="AF749">
        <v>0</v>
      </c>
      <c r="AG749">
        <v>0</v>
      </c>
      <c r="AH749">
        <v>0</v>
      </c>
      <c r="AI749">
        <v>308</v>
      </c>
      <c r="AJ749">
        <v>0</v>
      </c>
      <c r="AK749">
        <v>0</v>
      </c>
      <c r="AL749">
        <v>313</v>
      </c>
      <c r="AM749">
        <v>0</v>
      </c>
      <c r="AN749">
        <v>0</v>
      </c>
      <c r="AO749">
        <v>313</v>
      </c>
      <c r="AP749">
        <v>5</v>
      </c>
      <c r="AQ749">
        <v>0</v>
      </c>
      <c r="AR749">
        <v>0</v>
      </c>
      <c r="AS749" t="s">
        <v>58</v>
      </c>
      <c r="AT749">
        <v>1</v>
      </c>
      <c r="AU749" t="s">
        <v>59</v>
      </c>
      <c r="AV749" t="s">
        <v>60</v>
      </c>
      <c r="AW749">
        <v>1</v>
      </c>
      <c r="AX749">
        <v>3</v>
      </c>
      <c r="AY749">
        <v>0</v>
      </c>
      <c r="AZ749">
        <v>0</v>
      </c>
      <c r="BA749">
        <v>100</v>
      </c>
      <c r="BB749">
        <v>100</v>
      </c>
      <c r="BC749">
        <v>100</v>
      </c>
      <c r="BD749">
        <v>100</v>
      </c>
      <c r="BE749">
        <v>1</v>
      </c>
      <c r="BF749">
        <v>15000</v>
      </c>
      <c r="BG749">
        <v>1000</v>
      </c>
      <c r="BH749" s="6">
        <f>Grandview_Inventory[[#This Row],[land_extract]]*Lookups!$B$3</f>
        <v>54403.117616176372</v>
      </c>
      <c r="BI749" s="6">
        <f>IF(Grandview_Inventory[[#This Row],[bldg_style]]="",0,Lookups!$B$2)</f>
        <v>155833.95000000001</v>
      </c>
      <c r="BJ749" s="6">
        <f>_xlfn.IFNA(VLOOKUP(Grandview_Inventory[[#This Row],[quality]],Lookups!$H$2:$J$14,3,FALSE),0)</f>
        <v>10733</v>
      </c>
      <c r="BK749" s="6">
        <f>_xlfn.IFNA(VLOOKUP(Grandview_Inventory[[#This Row],[condition]],Lookups!$H$17:$J$24,3,FALSE),0)</f>
        <v>-4503</v>
      </c>
      <c r="BL749" s="6">
        <f>Grandview_Inventory[[#This Row],[Eff_Age]]*Lookups!$B$14</f>
        <v>-10284.1638</v>
      </c>
      <c r="BM749" s="6">
        <f>Grandview_Inventory[[#This Row],[living_area]]*Lookups!$B$15</f>
        <v>72299.408626999997</v>
      </c>
      <c r="BN749" s="6">
        <f>Grandview_Inventory[[#This Row],[Fin BSMT]]*Lookups!$B$16</f>
        <v>0</v>
      </c>
      <c r="BO749" s="6">
        <f>(Grandview_Inventory[[#This Row],[att_gar]]+Grandview_Inventory[[#This Row],[bltin_gar]])*Lookups!$B$17</f>
        <v>26956.294596</v>
      </c>
      <c r="BP749" s="6">
        <f>Grandview_Inventory[[#This Row],[Plumbing Fixtures]]*Lookups!$B$18</f>
        <v>10052.209000000001</v>
      </c>
      <c r="BQ749" s="6">
        <f>Grandview_Inventory[[#This Row],[detatched_value]]*Lookups!$B$19</f>
        <v>0</v>
      </c>
      <c r="BR749" s="6">
        <f>SUM(Grandview_Inventory[[#This Row],[Intercept]:[det_value]])*Grandview_Inventory[[#This Row],[res_pct]]</f>
        <v>261087.69842299999</v>
      </c>
      <c r="BS749" s="6">
        <f>Grandview_Inventory[[#This Row],[land_value]]</f>
        <v>54403.117616176372</v>
      </c>
      <c r="BT749" s="4">
        <f>_xlfn.IFNA(VLOOKUP(Grandview_Inventory[[#This Row],[quality]],Lookups!$A$26:$C$33,3,FALSE),1)</f>
        <v>0.98079741117310582</v>
      </c>
      <c r="BU749" s="4">
        <f>_xlfn.IFNA(VLOOKUP(Grandview_Inventory[[#This Row],[condition]],Lookups!$A$37:$C$44,3,FALSE),1)</f>
        <v>0.96469275950863709</v>
      </c>
      <c r="BV749" s="4">
        <f>IF(Grandview_Inventory[[#This Row],[bldg_style]]="",1,_xlfn.IFNA(VLOOKUP(Grandview_Inventory[[#This Row],[decade]],Lookups!$F$29:$H$43,3,FALSE),1))</f>
        <v>0.9871940091910919</v>
      </c>
      <c r="BW749" s="4">
        <f>_xlfn.IFNA(VLOOKUP(Grandview_Inventory[[#This Row],[living_area_range]],Lookups!$F$47:$H$56,3,FALSE),1)</f>
        <v>0.96135087979789358</v>
      </c>
      <c r="BX749" s="4">
        <f>AVERAGE(Grandview_Inventory[[#This Row],[qual_adj]:[size_adj]])</f>
        <v>0.97350876491768212</v>
      </c>
      <c r="BY749" s="6">
        <f>IF(Grandview_Inventory[[#This Row],[pre_res]]&lt;0,0,Grandview_Inventory[[#This Row],[pre_res]]*Grandview_Inventory[[#This Row],[overall_adj]])</f>
        <v>254171.16282697499</v>
      </c>
      <c r="BZ749" s="6">
        <f>(Grandview_Inventory[[#This Row],[sum_land]]-IF(Grandview_Inventory[[#This Row],[no_utilities]]=1,12000,0))/IF(Grandview_Inventory[[#This Row],[unbuildable]]=1,2,1)</f>
        <v>54403.117616176372</v>
      </c>
      <c r="CA749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749">
        <f>ROUND(Grandview_Inventory[[#This Row],[det_value]]*Lookups!$M$28,-2)</f>
        <v>0</v>
      </c>
      <c r="CC749">
        <f>IF(ROUND(Grandview_Inventory[[#This Row],[adj_res]]*Lookups!$M$28,-2)&lt;Grandview_Inventory[[#This Row],[min_res]],Grandview_Inventory[[#This Row],[min_res]],ROUND(Grandview_Inventory[[#This Row],[adj_res]]*Lookups!$M$28,-2))</f>
        <v>241500</v>
      </c>
      <c r="CD749">
        <f>Grandview_Inventory[[#This Row],[final_det]]+Grandview_Inventory[[#This Row],[final_res]]</f>
        <v>241500</v>
      </c>
      <c r="CE749">
        <f>Grandview_Inventory[[#This Row],[final_land]]+Grandview_Inventory[[#This Row],[final_imp]]+Grandview_Inventory[[#This Row],[crop_value]]</f>
        <v>293200</v>
      </c>
      <c r="CG749" t="str">
        <f t="shared" si="11"/>
        <v>update valuation set market_land =51700, market_bldg=241500, market_total =293200, market_mdno =401, market_date ='9/10/2023' where link_id = (select link_id from parcel where parcel_year = '2024' and parcel_id = '23092231487');</v>
      </c>
    </row>
    <row r="750" spans="1:85" x14ac:dyDescent="0.25">
      <c r="A750">
        <v>23092231488</v>
      </c>
      <c r="B750">
        <v>0.28999999999999998</v>
      </c>
      <c r="C750">
        <v>12728</v>
      </c>
      <c r="D750" t="s">
        <v>129</v>
      </c>
      <c r="E750" t="s">
        <v>53</v>
      </c>
      <c r="F750" t="s">
        <v>53</v>
      </c>
      <c r="G750">
        <v>4</v>
      </c>
      <c r="H750" t="s">
        <v>54</v>
      </c>
      <c r="I750">
        <v>162600</v>
      </c>
      <c r="J750">
        <v>40700</v>
      </c>
      <c r="K750">
        <v>0.28999999999999998</v>
      </c>
      <c r="L750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750">
        <v>0</v>
      </c>
      <c r="N750">
        <v>0</v>
      </c>
      <c r="O750">
        <v>0</v>
      </c>
      <c r="P750">
        <v>13398.7528</v>
      </c>
      <c r="Q750">
        <v>63903</v>
      </c>
      <c r="R750">
        <f>(Grandview_Inventory[[#This Row],[ln_acres]]*Grandview_Inventory[[#This Row],[coeff]])+Grandview_Inventory[[#This Row],[const]]</f>
        <v>47317.027506475133</v>
      </c>
      <c r="S750" t="s">
        <v>61</v>
      </c>
      <c r="T750">
        <v>1</v>
      </c>
      <c r="U750" t="s">
        <v>65</v>
      </c>
      <c r="V750" t="s">
        <v>69</v>
      </c>
      <c r="W750">
        <v>0</v>
      </c>
      <c r="X750">
        <v>0</v>
      </c>
      <c r="Y750">
        <v>43</v>
      </c>
      <c r="Z750">
        <v>43</v>
      </c>
      <c r="AA750">
        <v>50</v>
      </c>
      <c r="AB750">
        <v>1500</v>
      </c>
      <c r="AC750">
        <v>1159</v>
      </c>
      <c r="AD750">
        <v>1159</v>
      </c>
      <c r="AE750">
        <v>0</v>
      </c>
      <c r="AF750">
        <v>0</v>
      </c>
      <c r="AG750">
        <v>0</v>
      </c>
      <c r="AH750">
        <v>0</v>
      </c>
      <c r="AI750">
        <v>308</v>
      </c>
      <c r="AJ750">
        <v>0</v>
      </c>
      <c r="AK750">
        <v>0</v>
      </c>
      <c r="AL750">
        <v>0</v>
      </c>
      <c r="AM750">
        <v>925</v>
      </c>
      <c r="AN750">
        <v>0</v>
      </c>
      <c r="AO750">
        <v>0</v>
      </c>
      <c r="AP750">
        <v>5</v>
      </c>
      <c r="AQ750">
        <v>0</v>
      </c>
      <c r="AR750">
        <v>0</v>
      </c>
      <c r="AS750" t="s">
        <v>58</v>
      </c>
      <c r="AT750">
        <v>1</v>
      </c>
      <c r="AU750" t="s">
        <v>63</v>
      </c>
      <c r="AV750" t="s">
        <v>60</v>
      </c>
      <c r="AW750">
        <v>1</v>
      </c>
      <c r="AX750">
        <v>3</v>
      </c>
      <c r="AY750">
        <v>0</v>
      </c>
      <c r="AZ750">
        <v>0</v>
      </c>
      <c r="BA750">
        <v>100</v>
      </c>
      <c r="BB750">
        <v>100</v>
      </c>
      <c r="BC750">
        <v>100</v>
      </c>
      <c r="BD750">
        <v>100</v>
      </c>
      <c r="BE750">
        <v>1</v>
      </c>
      <c r="BF750">
        <v>15000</v>
      </c>
      <c r="BG750">
        <v>1000</v>
      </c>
      <c r="BH750" s="6">
        <f>Grandview_Inventory[[#This Row],[land_extract]]*Lookups!$B$3</f>
        <v>54949.136287295303</v>
      </c>
      <c r="BI750" s="6">
        <f>IF(Grandview_Inventory[[#This Row],[bldg_style]]="",0,Lookups!$B$2)</f>
        <v>155833.95000000001</v>
      </c>
      <c r="BJ750" s="6">
        <f>_xlfn.IFNA(VLOOKUP(Grandview_Inventory[[#This Row],[quality]],Lookups!$H$2:$J$14,3,FALSE),0)</f>
        <v>2251</v>
      </c>
      <c r="BK750" s="6">
        <f>_xlfn.IFNA(VLOOKUP(Grandview_Inventory[[#This Row],[condition]],Lookups!$H$17:$J$24,3,FALSE),0)</f>
        <v>-4503</v>
      </c>
      <c r="BL750" s="6">
        <f>Grandview_Inventory[[#This Row],[Eff_Age]]*Lookups!$B$14</f>
        <v>-10284.1638</v>
      </c>
      <c r="BM750" s="6">
        <f>Grandview_Inventory[[#This Row],[living_area]]*Lookups!$B$15</f>
        <v>72299.408626999997</v>
      </c>
      <c r="BN750" s="6">
        <f>Grandview_Inventory[[#This Row],[Fin BSMT]]*Lookups!$B$16</f>
        <v>0</v>
      </c>
      <c r="BO750" s="6">
        <f>(Grandview_Inventory[[#This Row],[att_gar]]+Grandview_Inventory[[#This Row],[bltin_gar]])*Lookups!$B$17</f>
        <v>26956.294596</v>
      </c>
      <c r="BP750" s="6">
        <f>Grandview_Inventory[[#This Row],[Plumbing Fixtures]]*Lookups!$B$18</f>
        <v>10052.209000000001</v>
      </c>
      <c r="BQ750" s="6">
        <f>Grandview_Inventory[[#This Row],[detatched_value]]*Lookups!$B$19</f>
        <v>0</v>
      </c>
      <c r="BR750" s="6">
        <f>SUM(Grandview_Inventory[[#This Row],[Intercept]:[det_value]])*Grandview_Inventory[[#This Row],[res_pct]]</f>
        <v>252605.69842299999</v>
      </c>
      <c r="BS750" s="6">
        <f>Grandview_Inventory[[#This Row],[land_value]]</f>
        <v>54949.136287295303</v>
      </c>
      <c r="BT750" s="4">
        <f>_xlfn.IFNA(VLOOKUP(Grandview_Inventory[[#This Row],[quality]],Lookups!$A$26:$C$33,3,FALSE),1)</f>
        <v>0.98763855981004833</v>
      </c>
      <c r="BU750" s="4">
        <f>_xlfn.IFNA(VLOOKUP(Grandview_Inventory[[#This Row],[condition]],Lookups!$A$37:$C$44,3,FALSE),1)</f>
        <v>0.96469275950863709</v>
      </c>
      <c r="BV750" s="4">
        <f>IF(Grandview_Inventory[[#This Row],[bldg_style]]="",1,_xlfn.IFNA(VLOOKUP(Grandview_Inventory[[#This Row],[decade]],Lookups!$F$29:$H$43,3,FALSE),1))</f>
        <v>0.9871940091910919</v>
      </c>
      <c r="BW750" s="4">
        <f>_xlfn.IFNA(VLOOKUP(Grandview_Inventory[[#This Row],[living_area_range]],Lookups!$F$47:$H$56,3,FALSE),1)</f>
        <v>0.96135087979789358</v>
      </c>
      <c r="BX750" s="4">
        <f>AVERAGE(Grandview_Inventory[[#This Row],[qual_adj]:[size_adj]])</f>
        <v>0.97521905207691773</v>
      </c>
      <c r="BY750" s="6">
        <f>IF(Grandview_Inventory[[#This Row],[pre_res]]&lt;0,0,Grandview_Inventory[[#This Row],[pre_res]]*Grandview_Inventory[[#This Row],[overall_adj]])</f>
        <v>246345.88976530579</v>
      </c>
      <c r="BZ750" s="6">
        <f>(Grandview_Inventory[[#This Row],[sum_land]]-IF(Grandview_Inventory[[#This Row],[no_utilities]]=1,12000,0))/IF(Grandview_Inventory[[#This Row],[unbuildable]]=1,2,1)</f>
        <v>54949.136287295303</v>
      </c>
      <c r="CA750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750">
        <f>ROUND(Grandview_Inventory[[#This Row],[det_value]]*Lookups!$M$28,-2)</f>
        <v>0</v>
      </c>
      <c r="CC750">
        <f>IF(ROUND(Grandview_Inventory[[#This Row],[adj_res]]*Lookups!$M$28,-2)&lt;Grandview_Inventory[[#This Row],[min_res]],Grandview_Inventory[[#This Row],[min_res]],ROUND(Grandview_Inventory[[#This Row],[adj_res]]*Lookups!$M$28,-2))</f>
        <v>234000</v>
      </c>
      <c r="CD750">
        <f>Grandview_Inventory[[#This Row],[final_det]]+Grandview_Inventory[[#This Row],[final_res]]</f>
        <v>234000</v>
      </c>
      <c r="CE750">
        <f>Grandview_Inventory[[#This Row],[final_land]]+Grandview_Inventory[[#This Row],[final_imp]]+Grandview_Inventory[[#This Row],[crop_value]]</f>
        <v>286200</v>
      </c>
      <c r="CG750" t="str">
        <f t="shared" si="11"/>
        <v>update valuation set market_land =52200, market_bldg=234000, market_total =286200, market_mdno =401, market_date ='9/10/2023' where link_id = (select link_id from parcel where parcel_year = '2024' and parcel_id = '23092231488');</v>
      </c>
    </row>
    <row r="751" spans="1:85" x14ac:dyDescent="0.25">
      <c r="A751">
        <v>23092231489</v>
      </c>
      <c r="B751">
        <v>0.31</v>
      </c>
      <c r="C751">
        <v>13382</v>
      </c>
      <c r="D751" t="s">
        <v>129</v>
      </c>
      <c r="E751" t="s">
        <v>53</v>
      </c>
      <c r="F751" t="s">
        <v>53</v>
      </c>
      <c r="G751">
        <v>4</v>
      </c>
      <c r="H751" t="s">
        <v>54</v>
      </c>
      <c r="I751">
        <v>215900</v>
      </c>
      <c r="J751">
        <v>41100</v>
      </c>
      <c r="K751">
        <v>0.31</v>
      </c>
      <c r="L751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751">
        <v>0</v>
      </c>
      <c r="N751">
        <v>0</v>
      </c>
      <c r="O751">
        <v>0</v>
      </c>
      <c r="P751">
        <v>13398.7528</v>
      </c>
      <c r="Q751">
        <v>63903</v>
      </c>
      <c r="R751">
        <f>(Grandview_Inventory[[#This Row],[ln_acres]]*Grandview_Inventory[[#This Row],[coeff]])+Grandview_Inventory[[#This Row],[const]]</f>
        <v>48210.608747275066</v>
      </c>
      <c r="S751" t="s">
        <v>61</v>
      </c>
      <c r="T751">
        <v>1</v>
      </c>
      <c r="U751" t="s">
        <v>65</v>
      </c>
      <c r="V751" t="s">
        <v>69</v>
      </c>
      <c r="W751">
        <v>0</v>
      </c>
      <c r="X751">
        <v>0</v>
      </c>
      <c r="Y751">
        <v>43</v>
      </c>
      <c r="Z751">
        <v>43</v>
      </c>
      <c r="AA751">
        <v>50</v>
      </c>
      <c r="AB751">
        <v>2000</v>
      </c>
      <c r="AC751">
        <v>1555</v>
      </c>
      <c r="AD751">
        <v>1555</v>
      </c>
      <c r="AE751">
        <v>0</v>
      </c>
      <c r="AF751">
        <v>0</v>
      </c>
      <c r="AG751">
        <v>0</v>
      </c>
      <c r="AH751">
        <v>0</v>
      </c>
      <c r="AI751">
        <v>308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8</v>
      </c>
      <c r="AQ751">
        <v>0</v>
      </c>
      <c r="AR751">
        <v>0</v>
      </c>
      <c r="AS751" t="s">
        <v>58</v>
      </c>
      <c r="AT751">
        <v>1</v>
      </c>
      <c r="AU751" t="s">
        <v>59</v>
      </c>
      <c r="AV751" t="s">
        <v>60</v>
      </c>
      <c r="AW751">
        <v>1</v>
      </c>
      <c r="AX751">
        <v>3</v>
      </c>
      <c r="AY751">
        <v>0</v>
      </c>
      <c r="AZ751">
        <v>30200</v>
      </c>
      <c r="BA751">
        <v>100</v>
      </c>
      <c r="BB751">
        <v>100</v>
      </c>
      <c r="BC751">
        <v>100</v>
      </c>
      <c r="BD751">
        <v>100</v>
      </c>
      <c r="BE751">
        <v>1</v>
      </c>
      <c r="BF751">
        <v>15000</v>
      </c>
      <c r="BG751">
        <v>1000</v>
      </c>
      <c r="BH751" s="6">
        <f>Grandview_Inventory[[#This Row],[land_extract]]*Lookups!$B$3</f>
        <v>55986.849769566914</v>
      </c>
      <c r="BI751" s="6">
        <f>IF(Grandview_Inventory[[#This Row],[bldg_style]]="",0,Lookups!$B$2)</f>
        <v>155833.95000000001</v>
      </c>
      <c r="BJ751" s="6">
        <f>_xlfn.IFNA(VLOOKUP(Grandview_Inventory[[#This Row],[quality]],Lookups!$H$2:$J$14,3,FALSE),0)</f>
        <v>2251</v>
      </c>
      <c r="BK751" s="6">
        <f>_xlfn.IFNA(VLOOKUP(Grandview_Inventory[[#This Row],[condition]],Lookups!$H$17:$J$24,3,FALSE),0)</f>
        <v>-4503</v>
      </c>
      <c r="BL751" s="6">
        <f>Grandview_Inventory[[#This Row],[Eff_Age]]*Lookups!$B$14</f>
        <v>-10284.1638</v>
      </c>
      <c r="BM751" s="6">
        <f>Grandview_Inventory[[#This Row],[living_area]]*Lookups!$B$15</f>
        <v>97002.226414999997</v>
      </c>
      <c r="BN751" s="6">
        <f>Grandview_Inventory[[#This Row],[Fin BSMT]]*Lookups!$B$16</f>
        <v>0</v>
      </c>
      <c r="BO751" s="6">
        <f>(Grandview_Inventory[[#This Row],[att_gar]]+Grandview_Inventory[[#This Row],[bltin_gar]])*Lookups!$B$17</f>
        <v>26956.294596</v>
      </c>
      <c r="BP751" s="6">
        <f>Grandview_Inventory[[#This Row],[Plumbing Fixtures]]*Lookups!$B$18</f>
        <v>16083.5344</v>
      </c>
      <c r="BQ751" s="6">
        <f>Grandview_Inventory[[#This Row],[detatched_value]]*Lookups!$B$19</f>
        <v>25573.514019999999</v>
      </c>
      <c r="BR751" s="6">
        <f>SUM(Grandview_Inventory[[#This Row],[Intercept]:[det_value]])*Grandview_Inventory[[#This Row],[res_pct]]</f>
        <v>308913.35563100001</v>
      </c>
      <c r="BS751" s="6">
        <f>Grandview_Inventory[[#This Row],[land_value]]</f>
        <v>55986.849769566914</v>
      </c>
      <c r="BT751" s="4">
        <f>_xlfn.IFNA(VLOOKUP(Grandview_Inventory[[#This Row],[quality]],Lookups!$A$26:$C$33,3,FALSE),1)</f>
        <v>0.98763855981004833</v>
      </c>
      <c r="BU751" s="4">
        <f>_xlfn.IFNA(VLOOKUP(Grandview_Inventory[[#This Row],[condition]],Lookups!$A$37:$C$44,3,FALSE),1)</f>
        <v>0.96469275950863709</v>
      </c>
      <c r="BV751" s="4">
        <f>IF(Grandview_Inventory[[#This Row],[bldg_style]]="",1,_xlfn.IFNA(VLOOKUP(Grandview_Inventory[[#This Row],[decade]],Lookups!$F$29:$H$43,3,FALSE),1))</f>
        <v>0.9871940091910919</v>
      </c>
      <c r="BW751" s="4">
        <f>_xlfn.IFNA(VLOOKUP(Grandview_Inventory[[#This Row],[living_area_range]],Lookups!$F$47:$H$56,3,FALSE),1)</f>
        <v>0.96120133463014379</v>
      </c>
      <c r="BX751" s="4">
        <f>AVERAGE(Grandview_Inventory[[#This Row],[qual_adj]:[size_adj]])</f>
        <v>0.97518166578498033</v>
      </c>
      <c r="BY751" s="6">
        <f>IF(Grandview_Inventory[[#This Row],[pre_res]]&lt;0,0,Grandview_Inventory[[#This Row],[pre_res]]*Grandview_Inventory[[#This Row],[overall_adj]])</f>
        <v>301246.64072746661</v>
      </c>
      <c r="BZ751" s="6">
        <f>(Grandview_Inventory[[#This Row],[sum_land]]-IF(Grandview_Inventory[[#This Row],[no_utilities]]=1,12000,0))/IF(Grandview_Inventory[[#This Row],[unbuildable]]=1,2,1)</f>
        <v>55986.849769566914</v>
      </c>
      <c r="CA751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751">
        <f>ROUND(Grandview_Inventory[[#This Row],[det_value]]*Lookups!$M$28,-2)</f>
        <v>24300</v>
      </c>
      <c r="CC751">
        <f>IF(ROUND(Grandview_Inventory[[#This Row],[adj_res]]*Lookups!$M$28,-2)&lt;Grandview_Inventory[[#This Row],[min_res]],Grandview_Inventory[[#This Row],[min_res]],ROUND(Grandview_Inventory[[#This Row],[adj_res]]*Lookups!$M$28,-2))</f>
        <v>286200</v>
      </c>
      <c r="CD751">
        <f>Grandview_Inventory[[#This Row],[final_det]]+Grandview_Inventory[[#This Row],[final_res]]</f>
        <v>310500</v>
      </c>
      <c r="CE751">
        <f>Grandview_Inventory[[#This Row],[final_land]]+Grandview_Inventory[[#This Row],[final_imp]]+Grandview_Inventory[[#This Row],[crop_value]]</f>
        <v>363700</v>
      </c>
      <c r="CG751" t="str">
        <f t="shared" si="11"/>
        <v>update valuation set market_land =53200, market_bldg=310500, market_total =363700, market_mdno =401, market_date ='9/10/2023' where link_id = (select link_id from parcel where parcel_year = '2024' and parcel_id = '23092231489');</v>
      </c>
    </row>
    <row r="752" spans="1:85" x14ac:dyDescent="0.25">
      <c r="A752">
        <v>23092231490</v>
      </c>
      <c r="B752">
        <v>0.41</v>
      </c>
      <c r="C752">
        <v>18070</v>
      </c>
      <c r="D752" t="s">
        <v>129</v>
      </c>
      <c r="E752" t="s">
        <v>53</v>
      </c>
      <c r="F752" t="s">
        <v>53</v>
      </c>
      <c r="G752">
        <v>4</v>
      </c>
      <c r="H752" t="s">
        <v>54</v>
      </c>
      <c r="I752">
        <v>150000</v>
      </c>
      <c r="J752">
        <v>41200</v>
      </c>
      <c r="K752">
        <v>0.41</v>
      </c>
      <c r="L752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752">
        <v>0</v>
      </c>
      <c r="N752">
        <v>0</v>
      </c>
      <c r="O752">
        <v>0</v>
      </c>
      <c r="P752">
        <v>13398.7528</v>
      </c>
      <c r="Q752">
        <v>63903</v>
      </c>
      <c r="R752">
        <f>(Grandview_Inventory[[#This Row],[ln_acres]]*Grandview_Inventory[[#This Row],[coeff]])+Grandview_Inventory[[#This Row],[const]]</f>
        <v>51956.697202771669</v>
      </c>
      <c r="S752" t="s">
        <v>61</v>
      </c>
      <c r="T752">
        <v>1</v>
      </c>
      <c r="U752" t="s">
        <v>70</v>
      </c>
      <c r="V752" t="s">
        <v>69</v>
      </c>
      <c r="W752">
        <v>0</v>
      </c>
      <c r="X752">
        <v>0</v>
      </c>
      <c r="Y752">
        <v>43</v>
      </c>
      <c r="Z752">
        <v>45</v>
      </c>
      <c r="AA752">
        <v>50</v>
      </c>
      <c r="AB752">
        <v>1500</v>
      </c>
      <c r="AC752">
        <v>1092</v>
      </c>
      <c r="AD752">
        <v>1092</v>
      </c>
      <c r="AE752">
        <v>0</v>
      </c>
      <c r="AF752">
        <v>0</v>
      </c>
      <c r="AG752">
        <v>0</v>
      </c>
      <c r="AH752">
        <v>0</v>
      </c>
      <c r="AI752">
        <v>252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5</v>
      </c>
      <c r="AQ752">
        <v>0</v>
      </c>
      <c r="AR752">
        <v>0</v>
      </c>
      <c r="AS752" t="s">
        <v>58</v>
      </c>
      <c r="AT752">
        <v>1</v>
      </c>
      <c r="AU752" t="s">
        <v>75</v>
      </c>
      <c r="AV752" t="s">
        <v>60</v>
      </c>
      <c r="AW752">
        <v>0</v>
      </c>
      <c r="AX752">
        <v>3</v>
      </c>
      <c r="AY752">
        <v>0</v>
      </c>
      <c r="AZ752">
        <v>0</v>
      </c>
      <c r="BA752">
        <v>100</v>
      </c>
      <c r="BB752">
        <v>100</v>
      </c>
      <c r="BC752">
        <v>100</v>
      </c>
      <c r="BD752">
        <v>100</v>
      </c>
      <c r="BE752">
        <v>1</v>
      </c>
      <c r="BF752">
        <v>15000</v>
      </c>
      <c r="BG752">
        <v>1000</v>
      </c>
      <c r="BH752" s="6">
        <f>Grandview_Inventory[[#This Row],[land_extract]]*Lookups!$B$3</f>
        <v>60337.172178496294</v>
      </c>
      <c r="BI752" s="6">
        <f>IF(Grandview_Inventory[[#This Row],[bldg_style]]="",0,Lookups!$B$2)</f>
        <v>155833.95000000001</v>
      </c>
      <c r="BJ752" s="6">
        <f>_xlfn.IFNA(VLOOKUP(Grandview_Inventory[[#This Row],[quality]],Lookups!$H$2:$J$14,3,FALSE),0)</f>
        <v>10733</v>
      </c>
      <c r="BK752" s="6">
        <f>_xlfn.IFNA(VLOOKUP(Grandview_Inventory[[#This Row],[condition]],Lookups!$H$17:$J$24,3,FALSE),0)</f>
        <v>-4503</v>
      </c>
      <c r="BL752" s="6">
        <f>Grandview_Inventory[[#This Row],[Eff_Age]]*Lookups!$B$14</f>
        <v>-10284.1638</v>
      </c>
      <c r="BM752" s="6">
        <f>Grandview_Inventory[[#This Row],[living_area]]*Lookups!$B$15</f>
        <v>68119.891476000004</v>
      </c>
      <c r="BN752" s="6">
        <f>Grandview_Inventory[[#This Row],[Fin BSMT]]*Lookups!$B$16</f>
        <v>0</v>
      </c>
      <c r="BO752" s="6">
        <f>(Grandview_Inventory[[#This Row],[att_gar]]+Grandview_Inventory[[#This Row],[bltin_gar]])*Lookups!$B$17</f>
        <v>22055.150124</v>
      </c>
      <c r="BP752" s="6">
        <f>Grandview_Inventory[[#This Row],[Plumbing Fixtures]]*Lookups!$B$18</f>
        <v>10052.209000000001</v>
      </c>
      <c r="BQ752" s="6">
        <f>Grandview_Inventory[[#This Row],[detatched_value]]*Lookups!$B$19</f>
        <v>0</v>
      </c>
      <c r="BR752" s="6">
        <f>SUM(Grandview_Inventory[[#This Row],[Intercept]:[det_value]])*Grandview_Inventory[[#This Row],[res_pct]]</f>
        <v>252007.0368</v>
      </c>
      <c r="BS752" s="6">
        <f>Grandview_Inventory[[#This Row],[land_value]]</f>
        <v>60337.172178496294</v>
      </c>
      <c r="BT752" s="4">
        <f>_xlfn.IFNA(VLOOKUP(Grandview_Inventory[[#This Row],[quality]],Lookups!$A$26:$C$33,3,FALSE),1)</f>
        <v>0.98079741117310582</v>
      </c>
      <c r="BU752" s="4">
        <f>_xlfn.IFNA(VLOOKUP(Grandview_Inventory[[#This Row],[condition]],Lookups!$A$37:$C$44,3,FALSE),1)</f>
        <v>0.96469275950863709</v>
      </c>
      <c r="BV752" s="4">
        <f>IF(Grandview_Inventory[[#This Row],[bldg_style]]="",1,_xlfn.IFNA(VLOOKUP(Grandview_Inventory[[#This Row],[decade]],Lookups!$F$29:$H$43,3,FALSE),1))</f>
        <v>0.9871940091910919</v>
      </c>
      <c r="BW752" s="4">
        <f>_xlfn.IFNA(VLOOKUP(Grandview_Inventory[[#This Row],[living_area_range]],Lookups!$F$47:$H$56,3,FALSE),1)</f>
        <v>0.96135087979789358</v>
      </c>
      <c r="BX752" s="4">
        <f>AVERAGE(Grandview_Inventory[[#This Row],[qual_adj]:[size_adj]])</f>
        <v>0.97350876491768212</v>
      </c>
      <c r="BY752" s="6">
        <f>IF(Grandview_Inventory[[#This Row],[pre_res]]&lt;0,0,Grandview_Inventory[[#This Row],[pre_res]]*Grandview_Inventory[[#This Row],[overall_adj]])</f>
        <v>245331.05914573287</v>
      </c>
      <c r="BZ752" s="6">
        <f>(Grandview_Inventory[[#This Row],[sum_land]]-IF(Grandview_Inventory[[#This Row],[no_utilities]]=1,12000,0))/IF(Grandview_Inventory[[#This Row],[unbuildable]]=1,2,1)</f>
        <v>60337.172178496294</v>
      </c>
      <c r="CA752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752">
        <f>ROUND(Grandview_Inventory[[#This Row],[det_value]]*Lookups!$M$28,-2)</f>
        <v>0</v>
      </c>
      <c r="CC752">
        <f>IF(ROUND(Grandview_Inventory[[#This Row],[adj_res]]*Lookups!$M$28,-2)&lt;Grandview_Inventory[[#This Row],[min_res]],Grandview_Inventory[[#This Row],[min_res]],ROUND(Grandview_Inventory[[#This Row],[adj_res]]*Lookups!$M$28,-2))</f>
        <v>233100</v>
      </c>
      <c r="CD752">
        <f>Grandview_Inventory[[#This Row],[final_det]]+Grandview_Inventory[[#This Row],[final_res]]</f>
        <v>233100</v>
      </c>
      <c r="CE752">
        <f>Grandview_Inventory[[#This Row],[final_land]]+Grandview_Inventory[[#This Row],[final_imp]]+Grandview_Inventory[[#This Row],[crop_value]]</f>
        <v>290400</v>
      </c>
      <c r="CG752" t="str">
        <f t="shared" si="11"/>
        <v>update valuation set market_land =57300, market_bldg=233100, market_total =290400, market_mdno =401, market_date ='9/10/2023' where link_id = (select link_id from parcel where parcel_year = '2024' and parcel_id = '23092231490');</v>
      </c>
    </row>
    <row r="753" spans="1:85" x14ac:dyDescent="0.25">
      <c r="A753">
        <v>23092231491</v>
      </c>
      <c r="B753">
        <v>0.49</v>
      </c>
      <c r="C753">
        <v>21393</v>
      </c>
      <c r="D753" t="s">
        <v>129</v>
      </c>
      <c r="E753" t="s">
        <v>53</v>
      </c>
      <c r="F753" t="s">
        <v>53</v>
      </c>
      <c r="G753">
        <v>4</v>
      </c>
      <c r="H753" t="s">
        <v>54</v>
      </c>
      <c r="I753">
        <v>140000</v>
      </c>
      <c r="J753">
        <v>46500</v>
      </c>
      <c r="K753">
        <v>0.49</v>
      </c>
      <c r="L753">
        <f>IF(Grandview_Inventory[[#This Row],[parcel_acres]]-Grandview_Inventory[[#This Row],[non_valued_acres]] =0,0,LN(Grandview_Inventory[[#This Row],[parcel_acres]]-Grandview_Inventory[[#This Row],[non_valued_acres]]))</f>
        <v>-0.71334988787746478</v>
      </c>
      <c r="M753">
        <v>0</v>
      </c>
      <c r="N753">
        <v>0</v>
      </c>
      <c r="O753">
        <v>0</v>
      </c>
      <c r="P753">
        <v>13398.7528</v>
      </c>
      <c r="Q753">
        <v>63903</v>
      </c>
      <c r="R753">
        <f>(Grandview_Inventory[[#This Row],[ln_acres]]*Grandview_Inventory[[#This Row],[coeff]])+Grandview_Inventory[[#This Row],[const]]</f>
        <v>54345.001192422133</v>
      </c>
      <c r="S753" t="s">
        <v>61</v>
      </c>
      <c r="T753">
        <v>1</v>
      </c>
      <c r="U753" t="s">
        <v>65</v>
      </c>
      <c r="V753" t="s">
        <v>69</v>
      </c>
      <c r="W753">
        <v>0</v>
      </c>
      <c r="X753">
        <v>0</v>
      </c>
      <c r="Y753">
        <v>43</v>
      </c>
      <c r="Z753">
        <v>45</v>
      </c>
      <c r="AA753">
        <v>50</v>
      </c>
      <c r="AB753">
        <v>1500</v>
      </c>
      <c r="AC753">
        <v>1056</v>
      </c>
      <c r="AD753">
        <v>1056</v>
      </c>
      <c r="AE753">
        <v>0</v>
      </c>
      <c r="AF753">
        <v>0</v>
      </c>
      <c r="AG753">
        <v>0</v>
      </c>
      <c r="AH753">
        <v>0</v>
      </c>
      <c r="AI753">
        <v>288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5</v>
      </c>
      <c r="AQ753">
        <v>0</v>
      </c>
      <c r="AR753">
        <v>0</v>
      </c>
      <c r="AS753" t="s">
        <v>58</v>
      </c>
      <c r="AT753">
        <v>1</v>
      </c>
      <c r="AU753" t="s">
        <v>63</v>
      </c>
      <c r="AV753" t="s">
        <v>60</v>
      </c>
      <c r="AW753">
        <v>0</v>
      </c>
      <c r="AX753">
        <v>3</v>
      </c>
      <c r="AY753">
        <v>0</v>
      </c>
      <c r="AZ753">
        <v>0</v>
      </c>
      <c r="BA753">
        <v>100</v>
      </c>
      <c r="BB753">
        <v>100</v>
      </c>
      <c r="BC753">
        <v>100</v>
      </c>
      <c r="BD753">
        <v>100</v>
      </c>
      <c r="BE753">
        <v>1</v>
      </c>
      <c r="BF753">
        <v>15000</v>
      </c>
      <c r="BG753">
        <v>1000</v>
      </c>
      <c r="BH753" s="6">
        <f>Grandview_Inventory[[#This Row],[land_extract]]*Lookups!$B$3</f>
        <v>63110.703153256603</v>
      </c>
      <c r="BI753" s="6">
        <f>IF(Grandview_Inventory[[#This Row],[bldg_style]]="",0,Lookups!$B$2)</f>
        <v>155833.95000000001</v>
      </c>
      <c r="BJ753" s="6">
        <f>_xlfn.IFNA(VLOOKUP(Grandview_Inventory[[#This Row],[quality]],Lookups!$H$2:$J$14,3,FALSE),0)</f>
        <v>2251</v>
      </c>
      <c r="BK753" s="6">
        <f>_xlfn.IFNA(VLOOKUP(Grandview_Inventory[[#This Row],[condition]],Lookups!$H$17:$J$24,3,FALSE),0)</f>
        <v>-4503</v>
      </c>
      <c r="BL753" s="6">
        <f>Grandview_Inventory[[#This Row],[Eff_Age]]*Lookups!$B$14</f>
        <v>-10284.1638</v>
      </c>
      <c r="BM753" s="6">
        <f>Grandview_Inventory[[#This Row],[living_area]]*Lookups!$B$15</f>
        <v>65874.180768000006</v>
      </c>
      <c r="BN753" s="6">
        <f>Grandview_Inventory[[#This Row],[Fin BSMT]]*Lookups!$B$16</f>
        <v>0</v>
      </c>
      <c r="BO753" s="6">
        <f>(Grandview_Inventory[[#This Row],[att_gar]]+Grandview_Inventory[[#This Row],[bltin_gar]])*Lookups!$B$17</f>
        <v>25205.885856000001</v>
      </c>
      <c r="BP753" s="6">
        <f>Grandview_Inventory[[#This Row],[Plumbing Fixtures]]*Lookups!$B$18</f>
        <v>10052.209000000001</v>
      </c>
      <c r="BQ753" s="6">
        <f>Grandview_Inventory[[#This Row],[detatched_value]]*Lookups!$B$19</f>
        <v>0</v>
      </c>
      <c r="BR753" s="6">
        <f>SUM(Grandview_Inventory[[#This Row],[Intercept]:[det_value]])*Grandview_Inventory[[#This Row],[res_pct]]</f>
        <v>244430.061824</v>
      </c>
      <c r="BS753" s="6">
        <f>Grandview_Inventory[[#This Row],[land_value]]</f>
        <v>63110.703153256603</v>
      </c>
      <c r="BT753" s="4">
        <f>_xlfn.IFNA(VLOOKUP(Grandview_Inventory[[#This Row],[quality]],Lookups!$A$26:$C$33,3,FALSE),1)</f>
        <v>0.98763855981004833</v>
      </c>
      <c r="BU753" s="4">
        <f>_xlfn.IFNA(VLOOKUP(Grandview_Inventory[[#This Row],[condition]],Lookups!$A$37:$C$44,3,FALSE),1)</f>
        <v>0.96469275950863709</v>
      </c>
      <c r="BV753" s="4">
        <f>IF(Grandview_Inventory[[#This Row],[bldg_style]]="",1,_xlfn.IFNA(VLOOKUP(Grandview_Inventory[[#This Row],[decade]],Lookups!$F$29:$H$43,3,FALSE),1))</f>
        <v>0.9871940091910919</v>
      </c>
      <c r="BW753" s="4">
        <f>_xlfn.IFNA(VLOOKUP(Grandview_Inventory[[#This Row],[living_area_range]],Lookups!$F$47:$H$56,3,FALSE),1)</f>
        <v>0.96135087979789358</v>
      </c>
      <c r="BX753" s="4">
        <f>AVERAGE(Grandview_Inventory[[#This Row],[qual_adj]:[size_adj]])</f>
        <v>0.97521905207691773</v>
      </c>
      <c r="BY753" s="6">
        <f>IF(Grandview_Inventory[[#This Row],[pre_res]]&lt;0,0,Grandview_Inventory[[#This Row],[pre_res]]*Grandview_Inventory[[#This Row],[overall_adj]])</f>
        <v>238372.85319110367</v>
      </c>
      <c r="BZ753" s="6">
        <f>(Grandview_Inventory[[#This Row],[sum_land]]-IF(Grandview_Inventory[[#This Row],[no_utilities]]=1,12000,0))/IF(Grandview_Inventory[[#This Row],[unbuildable]]=1,2,1)</f>
        <v>63110.703153256603</v>
      </c>
      <c r="CA753">
        <f>IF(ROUND(Grandview_Inventory[[#This Row],[adj_land]]*Lookups!$M$28,-2)&lt;Grandview_Inventory[[#This Row],[min_land]],Grandview_Inventory[[#This Row],[min_land]],ROUND(Grandview_Inventory[[#This Row],[adj_land]]*Lookups!$M$28,-2))</f>
        <v>60000</v>
      </c>
      <c r="CB753">
        <f>ROUND(Grandview_Inventory[[#This Row],[det_value]]*Lookups!$M$28,-2)</f>
        <v>0</v>
      </c>
      <c r="CC753">
        <f>IF(ROUND(Grandview_Inventory[[#This Row],[adj_res]]*Lookups!$M$28,-2)&lt;Grandview_Inventory[[#This Row],[min_res]],Grandview_Inventory[[#This Row],[min_res]],ROUND(Grandview_Inventory[[#This Row],[adj_res]]*Lookups!$M$28,-2))</f>
        <v>226500</v>
      </c>
      <c r="CD753">
        <f>Grandview_Inventory[[#This Row],[final_det]]+Grandview_Inventory[[#This Row],[final_res]]</f>
        <v>226500</v>
      </c>
      <c r="CE753">
        <f>Grandview_Inventory[[#This Row],[final_land]]+Grandview_Inventory[[#This Row],[final_imp]]+Grandview_Inventory[[#This Row],[crop_value]]</f>
        <v>286500</v>
      </c>
      <c r="CG753" t="str">
        <f t="shared" si="11"/>
        <v>update valuation set market_land =60000, market_bldg=226500, market_total =286500, market_mdno =401, market_date ='9/10/2023' where link_id = (select link_id from parcel where parcel_year = '2024' and parcel_id = '23092231491');</v>
      </c>
    </row>
    <row r="754" spans="1:85" x14ac:dyDescent="0.25">
      <c r="A754">
        <v>23092231492</v>
      </c>
      <c r="B754">
        <v>0.22</v>
      </c>
      <c r="C754">
        <v>9520</v>
      </c>
      <c r="D754" t="s">
        <v>129</v>
      </c>
      <c r="E754" t="s">
        <v>53</v>
      </c>
      <c r="F754" t="s">
        <v>53</v>
      </c>
      <c r="G754">
        <v>4</v>
      </c>
      <c r="H754" t="s">
        <v>54</v>
      </c>
      <c r="I754">
        <v>160400</v>
      </c>
      <c r="J754">
        <v>39500</v>
      </c>
      <c r="K754">
        <v>0.22</v>
      </c>
      <c r="L75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754">
        <v>0</v>
      </c>
      <c r="N754">
        <v>0</v>
      </c>
      <c r="O754">
        <v>0</v>
      </c>
      <c r="P754">
        <v>13398.7528</v>
      </c>
      <c r="Q754">
        <v>63903</v>
      </c>
      <c r="R754">
        <f>(Grandview_Inventory[[#This Row],[ln_acres]]*Grandview_Inventory[[#This Row],[coeff]])+Grandview_Inventory[[#This Row],[const]]</f>
        <v>43615.576802869145</v>
      </c>
      <c r="S754" t="s">
        <v>61</v>
      </c>
      <c r="T754">
        <v>1</v>
      </c>
      <c r="U754" t="s">
        <v>70</v>
      </c>
      <c r="V754" t="s">
        <v>69</v>
      </c>
      <c r="W754">
        <v>0</v>
      </c>
      <c r="X754">
        <v>0</v>
      </c>
      <c r="Y754">
        <v>43</v>
      </c>
      <c r="Z754">
        <v>45</v>
      </c>
      <c r="AA754">
        <v>50</v>
      </c>
      <c r="AB754">
        <v>1500</v>
      </c>
      <c r="AC754">
        <v>1425</v>
      </c>
      <c r="AD754">
        <v>1425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64</v>
      </c>
      <c r="AP754">
        <v>5</v>
      </c>
      <c r="AQ754">
        <v>0</v>
      </c>
      <c r="AR754">
        <v>0</v>
      </c>
      <c r="AS754" t="s">
        <v>58</v>
      </c>
      <c r="AT754">
        <v>1</v>
      </c>
      <c r="AU754" t="s">
        <v>79</v>
      </c>
      <c r="AV754" t="s">
        <v>60</v>
      </c>
      <c r="AW754">
        <v>0</v>
      </c>
      <c r="AX754">
        <v>3</v>
      </c>
      <c r="AY754">
        <v>0</v>
      </c>
      <c r="AZ754">
        <v>0</v>
      </c>
      <c r="BA754">
        <v>100</v>
      </c>
      <c r="BB754">
        <v>100</v>
      </c>
      <c r="BC754">
        <v>100</v>
      </c>
      <c r="BD754">
        <v>100</v>
      </c>
      <c r="BE754">
        <v>1</v>
      </c>
      <c r="BF754">
        <v>15000</v>
      </c>
      <c r="BG754">
        <v>1000</v>
      </c>
      <c r="BH754" s="6">
        <f>Grandview_Inventory[[#This Row],[land_extract]]*Lookups!$B$3</f>
        <v>50650.651579114572</v>
      </c>
      <c r="BI754" s="6">
        <f>IF(Grandview_Inventory[[#This Row],[bldg_style]]="",0,Lookups!$B$2)</f>
        <v>155833.95000000001</v>
      </c>
      <c r="BJ754" s="6">
        <f>_xlfn.IFNA(VLOOKUP(Grandview_Inventory[[#This Row],[quality]],Lookups!$H$2:$J$14,3,FALSE),0)</f>
        <v>10733</v>
      </c>
      <c r="BK754" s="6">
        <f>_xlfn.IFNA(VLOOKUP(Grandview_Inventory[[#This Row],[condition]],Lookups!$H$17:$J$24,3,FALSE),0)</f>
        <v>-4503</v>
      </c>
      <c r="BL754" s="6">
        <f>Grandview_Inventory[[#This Row],[Eff_Age]]*Lookups!$B$14</f>
        <v>-10284.1638</v>
      </c>
      <c r="BM754" s="6">
        <f>Grandview_Inventory[[#This Row],[living_area]]*Lookups!$B$15</f>
        <v>88892.715525000007</v>
      </c>
      <c r="BN754" s="6">
        <f>Grandview_Inventory[[#This Row],[Fin BSMT]]*Lookups!$B$16</f>
        <v>0</v>
      </c>
      <c r="BO754" s="6">
        <f>(Grandview_Inventory[[#This Row],[att_gar]]+Grandview_Inventory[[#This Row],[bltin_gar]])*Lookups!$B$17</f>
        <v>0</v>
      </c>
      <c r="BP754" s="6">
        <f>Grandview_Inventory[[#This Row],[Plumbing Fixtures]]*Lookups!$B$18</f>
        <v>10052.209000000001</v>
      </c>
      <c r="BQ754" s="6">
        <f>Grandview_Inventory[[#This Row],[detatched_value]]*Lookups!$B$19</f>
        <v>0</v>
      </c>
      <c r="BR754" s="6">
        <f>SUM(Grandview_Inventory[[#This Row],[Intercept]:[det_value]])*Grandview_Inventory[[#This Row],[res_pct]]</f>
        <v>250724.71072500001</v>
      </c>
      <c r="BS754" s="6">
        <f>Grandview_Inventory[[#This Row],[land_value]]</f>
        <v>50650.651579114572</v>
      </c>
      <c r="BT754" s="4">
        <f>_xlfn.IFNA(VLOOKUP(Grandview_Inventory[[#This Row],[quality]],Lookups!$A$26:$C$33,3,FALSE),1)</f>
        <v>0.98079741117310582</v>
      </c>
      <c r="BU754" s="4">
        <f>_xlfn.IFNA(VLOOKUP(Grandview_Inventory[[#This Row],[condition]],Lookups!$A$37:$C$44,3,FALSE),1)</f>
        <v>0.96469275950863709</v>
      </c>
      <c r="BV754" s="4">
        <f>IF(Grandview_Inventory[[#This Row],[bldg_style]]="",1,_xlfn.IFNA(VLOOKUP(Grandview_Inventory[[#This Row],[decade]],Lookups!$F$29:$H$43,3,FALSE),1))</f>
        <v>0.9871940091910919</v>
      </c>
      <c r="BW754" s="4">
        <f>_xlfn.IFNA(VLOOKUP(Grandview_Inventory[[#This Row],[living_area_range]],Lookups!$F$47:$H$56,3,FALSE),1)</f>
        <v>0.96135087979789358</v>
      </c>
      <c r="BX754" s="4">
        <f>AVERAGE(Grandview_Inventory[[#This Row],[qual_adj]:[size_adj]])</f>
        <v>0.97350876491768212</v>
      </c>
      <c r="BY754" s="6">
        <f>IF(Grandview_Inventory[[#This Row],[pre_res]]&lt;0,0,Grandview_Inventory[[#This Row],[pre_res]]*Grandview_Inventory[[#This Row],[overall_adj]])</f>
        <v>244082.70347223789</v>
      </c>
      <c r="BZ754" s="6">
        <f>(Grandview_Inventory[[#This Row],[sum_land]]-IF(Grandview_Inventory[[#This Row],[no_utilities]]=1,12000,0))/IF(Grandview_Inventory[[#This Row],[unbuildable]]=1,2,1)</f>
        <v>50650.651579114572</v>
      </c>
      <c r="CA75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754">
        <f>ROUND(Grandview_Inventory[[#This Row],[det_value]]*Lookups!$M$28,-2)</f>
        <v>0</v>
      </c>
      <c r="CC754">
        <f>IF(ROUND(Grandview_Inventory[[#This Row],[adj_res]]*Lookups!$M$28,-2)&lt;Grandview_Inventory[[#This Row],[min_res]],Grandview_Inventory[[#This Row],[min_res]],ROUND(Grandview_Inventory[[#This Row],[adj_res]]*Lookups!$M$28,-2))</f>
        <v>231900</v>
      </c>
      <c r="CD754">
        <f>Grandview_Inventory[[#This Row],[final_det]]+Grandview_Inventory[[#This Row],[final_res]]</f>
        <v>231900</v>
      </c>
      <c r="CE754">
        <f>Grandview_Inventory[[#This Row],[final_land]]+Grandview_Inventory[[#This Row],[final_imp]]+Grandview_Inventory[[#This Row],[crop_value]]</f>
        <v>280000</v>
      </c>
      <c r="CG754" t="str">
        <f t="shared" si="11"/>
        <v>update valuation set market_land =48100, market_bldg=231900, market_total =280000, market_mdno =401, market_date ='9/10/2023' where link_id = (select link_id from parcel where parcel_year = '2024' and parcel_id = '23092231492');</v>
      </c>
    </row>
    <row r="755" spans="1:85" x14ac:dyDescent="0.25">
      <c r="A755">
        <v>23092231493</v>
      </c>
      <c r="B755">
        <v>0.41</v>
      </c>
      <c r="C755">
        <v>17680</v>
      </c>
      <c r="D755" t="s">
        <v>129</v>
      </c>
      <c r="E755" t="s">
        <v>53</v>
      </c>
      <c r="F755" t="s">
        <v>53</v>
      </c>
      <c r="G755">
        <v>4</v>
      </c>
      <c r="H755" t="s">
        <v>54</v>
      </c>
      <c r="I755">
        <v>202700</v>
      </c>
      <c r="J755">
        <v>41200</v>
      </c>
      <c r="K755">
        <v>0.41</v>
      </c>
      <c r="L755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755">
        <v>0</v>
      </c>
      <c r="N755">
        <v>0</v>
      </c>
      <c r="O755">
        <v>0</v>
      </c>
      <c r="P755">
        <v>13398.7528</v>
      </c>
      <c r="Q755">
        <v>63903</v>
      </c>
      <c r="R755">
        <f>(Grandview_Inventory[[#This Row],[ln_acres]]*Grandview_Inventory[[#This Row],[coeff]])+Grandview_Inventory[[#This Row],[const]]</f>
        <v>51956.697202771669</v>
      </c>
      <c r="S755" t="s">
        <v>68</v>
      </c>
      <c r="T755">
        <v>1</v>
      </c>
      <c r="U755" t="s">
        <v>65</v>
      </c>
      <c r="V755" t="s">
        <v>67</v>
      </c>
      <c r="W755">
        <v>0</v>
      </c>
      <c r="X755">
        <v>0</v>
      </c>
      <c r="Y755">
        <v>50</v>
      </c>
      <c r="Z755">
        <v>70</v>
      </c>
      <c r="AA755">
        <v>70</v>
      </c>
      <c r="AB755">
        <v>2000</v>
      </c>
      <c r="AC755">
        <v>1735</v>
      </c>
      <c r="AD755">
        <v>1555</v>
      </c>
      <c r="AE755">
        <v>0</v>
      </c>
      <c r="AF755">
        <v>0</v>
      </c>
      <c r="AG755">
        <v>180</v>
      </c>
      <c r="AH755">
        <v>0</v>
      </c>
      <c r="AI755">
        <v>0</v>
      </c>
      <c r="AJ755">
        <v>0</v>
      </c>
      <c r="AK755">
        <v>0</v>
      </c>
      <c r="AL755">
        <v>448</v>
      </c>
      <c r="AM755">
        <v>288</v>
      </c>
      <c r="AN755">
        <v>119</v>
      </c>
      <c r="AO755">
        <v>448</v>
      </c>
      <c r="AP755">
        <v>8</v>
      </c>
      <c r="AQ755">
        <v>0</v>
      </c>
      <c r="AR755">
        <v>1</v>
      </c>
      <c r="AS755" t="s">
        <v>58</v>
      </c>
      <c r="AT755">
        <v>1</v>
      </c>
      <c r="AU755" t="s">
        <v>63</v>
      </c>
      <c r="AV755" t="s">
        <v>60</v>
      </c>
      <c r="AW755">
        <v>0</v>
      </c>
      <c r="AX755">
        <v>3</v>
      </c>
      <c r="AY755">
        <v>0</v>
      </c>
      <c r="AZ755">
        <v>9600</v>
      </c>
      <c r="BA755">
        <v>100</v>
      </c>
      <c r="BB755">
        <v>100</v>
      </c>
      <c r="BC755">
        <v>100</v>
      </c>
      <c r="BD755">
        <v>100</v>
      </c>
      <c r="BE755">
        <v>1</v>
      </c>
      <c r="BF755">
        <v>15000</v>
      </c>
      <c r="BG755">
        <v>1000</v>
      </c>
      <c r="BH755" s="6">
        <f>Grandview_Inventory[[#This Row],[land_extract]]*Lookups!$B$3</f>
        <v>60337.172178496294</v>
      </c>
      <c r="BI755" s="6">
        <f>IF(Grandview_Inventory[[#This Row],[bldg_style]]="",0,Lookups!$B$2)</f>
        <v>155833.95000000001</v>
      </c>
      <c r="BJ755" s="6">
        <f>_xlfn.IFNA(VLOOKUP(Grandview_Inventory[[#This Row],[quality]],Lookups!$H$2:$J$14,3,FALSE),0)</f>
        <v>2251</v>
      </c>
      <c r="BK755" s="6">
        <f>_xlfn.IFNA(VLOOKUP(Grandview_Inventory[[#This Row],[condition]],Lookups!$H$17:$J$24,3,FALSE),0)</f>
        <v>22342</v>
      </c>
      <c r="BL755" s="6">
        <f>Grandview_Inventory[[#This Row],[Eff_Age]]*Lookups!$B$14</f>
        <v>-11958.33</v>
      </c>
      <c r="BM755" s="6">
        <f>Grandview_Inventory[[#This Row],[living_area]]*Lookups!$B$15</f>
        <v>108230.77995500001</v>
      </c>
      <c r="BN755" s="6">
        <f>Grandview_Inventory[[#This Row],[Fin BSMT]]*Lookups!$B$16</f>
        <v>-4877.8632000000007</v>
      </c>
      <c r="BO755" s="6">
        <f>(Grandview_Inventory[[#This Row],[att_gar]]+Grandview_Inventory[[#This Row],[bltin_gar]])*Lookups!$B$17</f>
        <v>0</v>
      </c>
      <c r="BP755" s="6">
        <f>Grandview_Inventory[[#This Row],[Plumbing Fixtures]]*Lookups!$B$18</f>
        <v>16083.5344</v>
      </c>
      <c r="BQ755" s="6">
        <f>Grandview_Inventory[[#This Row],[detatched_value]]*Lookups!$B$19</f>
        <v>8129.3289599999998</v>
      </c>
      <c r="BR755" s="6">
        <f>SUM(Grandview_Inventory[[#This Row],[Intercept]:[det_value]])*Grandview_Inventory[[#This Row],[res_pct]]</f>
        <v>296034.40011500003</v>
      </c>
      <c r="BS755" s="6">
        <f>Grandview_Inventory[[#This Row],[land_value]]</f>
        <v>60337.172178496294</v>
      </c>
      <c r="BT755" s="4">
        <f>_xlfn.IFNA(VLOOKUP(Grandview_Inventory[[#This Row],[quality]],Lookups!$A$26:$C$33,3,FALSE),1)</f>
        <v>0.98763855981004833</v>
      </c>
      <c r="BU755" s="4">
        <f>_xlfn.IFNA(VLOOKUP(Grandview_Inventory[[#This Row],[condition]],Lookups!$A$37:$C$44,3,FALSE),1)</f>
        <v>0.97383723671140243</v>
      </c>
      <c r="BV755" s="4">
        <f>IF(Grandview_Inventory[[#This Row],[bldg_style]]="",1,_xlfn.IFNA(VLOOKUP(Grandview_Inventory[[#This Row],[decade]],Lookups!$F$29:$H$43,3,FALSE),1))</f>
        <v>0.99472141305414818</v>
      </c>
      <c r="BW755" s="4">
        <f>_xlfn.IFNA(VLOOKUP(Grandview_Inventory[[#This Row],[living_area_range]],Lookups!$F$47:$H$56,3,FALSE),1)</f>
        <v>0.96120133463014379</v>
      </c>
      <c r="BX755" s="4">
        <f>AVERAGE(Grandview_Inventory[[#This Row],[qual_adj]:[size_adj]])</f>
        <v>0.97934963605143577</v>
      </c>
      <c r="BY755" s="6">
        <f>IF(Grandview_Inventory[[#This Row],[pre_res]]&lt;0,0,Grandview_Inventory[[#This Row],[pre_res]]*Grandview_Inventory[[#This Row],[overall_adj]])</f>
        <v>289921.18201133038</v>
      </c>
      <c r="BZ755" s="6">
        <f>(Grandview_Inventory[[#This Row],[sum_land]]-IF(Grandview_Inventory[[#This Row],[no_utilities]]=1,12000,0))/IF(Grandview_Inventory[[#This Row],[unbuildable]]=1,2,1)</f>
        <v>60337.172178496294</v>
      </c>
      <c r="CA755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755">
        <f>ROUND(Grandview_Inventory[[#This Row],[det_value]]*Lookups!$M$28,-2)</f>
        <v>7700</v>
      </c>
      <c r="CC755">
        <f>IF(ROUND(Grandview_Inventory[[#This Row],[adj_res]]*Lookups!$M$28,-2)&lt;Grandview_Inventory[[#This Row],[min_res]],Grandview_Inventory[[#This Row],[min_res]],ROUND(Grandview_Inventory[[#This Row],[adj_res]]*Lookups!$M$28,-2))</f>
        <v>275400</v>
      </c>
      <c r="CD755">
        <f>Grandview_Inventory[[#This Row],[final_det]]+Grandview_Inventory[[#This Row],[final_res]]</f>
        <v>283100</v>
      </c>
      <c r="CE755">
        <f>Grandview_Inventory[[#This Row],[final_land]]+Grandview_Inventory[[#This Row],[final_imp]]+Grandview_Inventory[[#This Row],[crop_value]]</f>
        <v>340400</v>
      </c>
      <c r="CG755" t="str">
        <f t="shared" si="11"/>
        <v>update valuation set market_land =57300, market_bldg=283100, market_total =340400, market_mdno =401, market_date ='9/10/2023' where link_id = (select link_id from parcel where parcel_year = '2024' and parcel_id = '23092231493');</v>
      </c>
    </row>
    <row r="756" spans="1:85" x14ac:dyDescent="0.25">
      <c r="A756">
        <v>23092231498</v>
      </c>
      <c r="B756">
        <v>0.39</v>
      </c>
      <c r="C756">
        <v>16894</v>
      </c>
      <c r="D756" t="s">
        <v>129</v>
      </c>
      <c r="E756" t="s">
        <v>53</v>
      </c>
      <c r="F756" t="s">
        <v>53</v>
      </c>
      <c r="G756">
        <v>4</v>
      </c>
      <c r="H756" t="s">
        <v>54</v>
      </c>
      <c r="I756">
        <v>175300</v>
      </c>
      <c r="J756">
        <v>45600</v>
      </c>
      <c r="K756">
        <v>0.39</v>
      </c>
      <c r="L756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756">
        <v>0</v>
      </c>
      <c r="N756">
        <v>0</v>
      </c>
      <c r="O756">
        <v>0</v>
      </c>
      <c r="P756">
        <v>13398.7528</v>
      </c>
      <c r="Q756">
        <v>63903</v>
      </c>
      <c r="R756">
        <f>(Grandview_Inventory[[#This Row],[ln_acres]]*Grandview_Inventory[[#This Row],[coeff]])+Grandview_Inventory[[#This Row],[const]]</f>
        <v>51286.619940067751</v>
      </c>
      <c r="S756" t="s">
        <v>68</v>
      </c>
      <c r="T756">
        <v>1</v>
      </c>
      <c r="U756" t="s">
        <v>70</v>
      </c>
      <c r="V756" t="s">
        <v>67</v>
      </c>
      <c r="W756">
        <v>0</v>
      </c>
      <c r="X756">
        <v>0</v>
      </c>
      <c r="Y756">
        <v>57</v>
      </c>
      <c r="Z756">
        <v>102</v>
      </c>
      <c r="AA756">
        <v>110</v>
      </c>
      <c r="AB756">
        <v>2000</v>
      </c>
      <c r="AC756">
        <v>1628</v>
      </c>
      <c r="AD756">
        <v>1128</v>
      </c>
      <c r="AE756">
        <v>0</v>
      </c>
      <c r="AF756">
        <v>0</v>
      </c>
      <c r="AG756">
        <v>500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119</v>
      </c>
      <c r="AO756">
        <v>0</v>
      </c>
      <c r="AP756">
        <v>8</v>
      </c>
      <c r="AQ756">
        <v>0</v>
      </c>
      <c r="AR756">
        <v>0</v>
      </c>
      <c r="AS756" t="s">
        <v>58</v>
      </c>
      <c r="AT756">
        <v>1</v>
      </c>
      <c r="AU756" t="s">
        <v>79</v>
      </c>
      <c r="AV756" t="s">
        <v>64</v>
      </c>
      <c r="AW756">
        <v>0</v>
      </c>
      <c r="AX756">
        <v>3</v>
      </c>
      <c r="AY756">
        <v>0</v>
      </c>
      <c r="AZ756">
        <v>0</v>
      </c>
      <c r="BA756">
        <v>100</v>
      </c>
      <c r="BB756">
        <v>100</v>
      </c>
      <c r="BC756">
        <v>100</v>
      </c>
      <c r="BD756">
        <v>100</v>
      </c>
      <c r="BE756">
        <v>1</v>
      </c>
      <c r="BF756">
        <v>15000</v>
      </c>
      <c r="BG756">
        <v>1000</v>
      </c>
      <c r="BH756" s="6">
        <f>Grandview_Inventory[[#This Row],[land_extract]]*Lookups!$B$3</f>
        <v>59559.013262526838</v>
      </c>
      <c r="BI756" s="6">
        <f>IF(Grandview_Inventory[[#This Row],[bldg_style]]="",0,Lookups!$B$2)</f>
        <v>155833.95000000001</v>
      </c>
      <c r="BJ756" s="6">
        <f>_xlfn.IFNA(VLOOKUP(Grandview_Inventory[[#This Row],[quality]],Lookups!$H$2:$J$14,3,FALSE),0)</f>
        <v>10733</v>
      </c>
      <c r="BK756" s="6">
        <f>_xlfn.IFNA(VLOOKUP(Grandview_Inventory[[#This Row],[condition]],Lookups!$H$17:$J$24,3,FALSE),0)</f>
        <v>22342</v>
      </c>
      <c r="BL756" s="6">
        <f>Grandview_Inventory[[#This Row],[Eff_Age]]*Lookups!$B$14</f>
        <v>-13632.4962</v>
      </c>
      <c r="BM756" s="6">
        <f>Grandview_Inventory[[#This Row],[living_area]]*Lookups!$B$15</f>
        <v>101556.028684</v>
      </c>
      <c r="BN756" s="6">
        <f>Grandview_Inventory[[#This Row],[Fin BSMT]]*Lookups!$B$16</f>
        <v>-13549.62</v>
      </c>
      <c r="BO756" s="6">
        <f>(Grandview_Inventory[[#This Row],[att_gar]]+Grandview_Inventory[[#This Row],[bltin_gar]])*Lookups!$B$17</f>
        <v>0</v>
      </c>
      <c r="BP756" s="6">
        <f>Grandview_Inventory[[#This Row],[Plumbing Fixtures]]*Lookups!$B$18</f>
        <v>16083.5344</v>
      </c>
      <c r="BQ756" s="6">
        <f>Grandview_Inventory[[#This Row],[detatched_value]]*Lookups!$B$19</f>
        <v>0</v>
      </c>
      <c r="BR756" s="6">
        <f>SUM(Grandview_Inventory[[#This Row],[Intercept]:[det_value]])*Grandview_Inventory[[#This Row],[res_pct]]</f>
        <v>279366.39688400005</v>
      </c>
      <c r="BS756" s="6">
        <f>Grandview_Inventory[[#This Row],[land_value]]</f>
        <v>59559.013262526838</v>
      </c>
      <c r="BT756" s="4">
        <f>_xlfn.IFNA(VLOOKUP(Grandview_Inventory[[#This Row],[quality]],Lookups!$A$26:$C$33,3,FALSE),1)</f>
        <v>0.98079741117310582</v>
      </c>
      <c r="BU756" s="4">
        <f>_xlfn.IFNA(VLOOKUP(Grandview_Inventory[[#This Row],[condition]],Lookups!$A$37:$C$44,3,FALSE),1)</f>
        <v>0.97383723671140243</v>
      </c>
      <c r="BV756" s="4">
        <f>IF(Grandview_Inventory[[#This Row],[bldg_style]]="",1,_xlfn.IFNA(VLOOKUP(Grandview_Inventory[[#This Row],[decade]],Lookups!$F$29:$H$43,3,FALSE),1))</f>
        <v>0.92255236374249616</v>
      </c>
      <c r="BW756" s="4">
        <f>_xlfn.IFNA(VLOOKUP(Grandview_Inventory[[#This Row],[living_area_range]],Lookups!$F$47:$H$56,3,FALSE),1)</f>
        <v>0.96120133463014379</v>
      </c>
      <c r="BX756" s="4">
        <f>AVERAGE(Grandview_Inventory[[#This Row],[qual_adj]:[size_adj]])</f>
        <v>0.95959708656428711</v>
      </c>
      <c r="BY756" s="6">
        <f>IF(Grandview_Inventory[[#This Row],[pre_res]]&lt;0,0,Grandview_Inventory[[#This Row],[pre_res]]*Grandview_Inventory[[#This Row],[overall_adj]])</f>
        <v>268079.18053384876</v>
      </c>
      <c r="BZ756" s="6">
        <f>(Grandview_Inventory[[#This Row],[sum_land]]-IF(Grandview_Inventory[[#This Row],[no_utilities]]=1,12000,0))/IF(Grandview_Inventory[[#This Row],[unbuildable]]=1,2,1)</f>
        <v>59559.013262526838</v>
      </c>
      <c r="CA756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756">
        <f>ROUND(Grandview_Inventory[[#This Row],[det_value]]*Lookups!$M$28,-2)</f>
        <v>0</v>
      </c>
      <c r="CC756">
        <f>IF(ROUND(Grandview_Inventory[[#This Row],[adj_res]]*Lookups!$M$28,-2)&lt;Grandview_Inventory[[#This Row],[min_res]],Grandview_Inventory[[#This Row],[min_res]],ROUND(Grandview_Inventory[[#This Row],[adj_res]]*Lookups!$M$28,-2))</f>
        <v>254700</v>
      </c>
      <c r="CD756">
        <f>Grandview_Inventory[[#This Row],[final_det]]+Grandview_Inventory[[#This Row],[final_res]]</f>
        <v>254700</v>
      </c>
      <c r="CE756">
        <f>Grandview_Inventory[[#This Row],[final_land]]+Grandview_Inventory[[#This Row],[final_imp]]+Grandview_Inventory[[#This Row],[crop_value]]</f>
        <v>311300</v>
      </c>
      <c r="CG756" t="str">
        <f t="shared" si="11"/>
        <v>update valuation set market_land =56600, market_bldg=254700, market_total =311300, market_mdno =401, market_date ='9/10/2023' where link_id = (select link_id from parcel where parcel_year = '2024' and parcel_id = '23092231498');</v>
      </c>
    </row>
    <row r="757" spans="1:85" x14ac:dyDescent="0.25">
      <c r="A757">
        <v>23092231499</v>
      </c>
      <c r="B757">
        <v>0.25</v>
      </c>
      <c r="C757">
        <v>10829</v>
      </c>
      <c r="D757" t="s">
        <v>129</v>
      </c>
      <c r="E757" t="s">
        <v>53</v>
      </c>
      <c r="F757" t="s">
        <v>53</v>
      </c>
      <c r="G757">
        <v>4</v>
      </c>
      <c r="H757" t="s">
        <v>54</v>
      </c>
      <c r="I757">
        <v>306600</v>
      </c>
      <c r="J757">
        <v>44500</v>
      </c>
      <c r="K757">
        <v>0.25</v>
      </c>
      <c r="L75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757">
        <v>0</v>
      </c>
      <c r="N757">
        <v>0</v>
      </c>
      <c r="O757">
        <v>0</v>
      </c>
      <c r="P757">
        <v>13398.7528</v>
      </c>
      <c r="Q757">
        <v>63903</v>
      </c>
      <c r="R757">
        <f>(Grandview_Inventory[[#This Row],[ln_acres]]*Grandview_Inventory[[#This Row],[coeff]])+Grandview_Inventory[[#This Row],[const]]</f>
        <v>45328.38454732066</v>
      </c>
      <c r="S757" t="s">
        <v>55</v>
      </c>
      <c r="T757">
        <v>2</v>
      </c>
      <c r="U757" t="s">
        <v>65</v>
      </c>
      <c r="V757" t="s">
        <v>66</v>
      </c>
      <c r="W757">
        <v>0</v>
      </c>
      <c r="X757">
        <v>0</v>
      </c>
      <c r="Y757">
        <v>23</v>
      </c>
      <c r="Z757">
        <v>23</v>
      </c>
      <c r="AA757">
        <v>30</v>
      </c>
      <c r="AB757">
        <v>2500</v>
      </c>
      <c r="AC757">
        <v>2276</v>
      </c>
      <c r="AD757">
        <v>1186</v>
      </c>
      <c r="AE757">
        <v>1090</v>
      </c>
      <c r="AF757">
        <v>0</v>
      </c>
      <c r="AG757">
        <v>0</v>
      </c>
      <c r="AH757">
        <v>0</v>
      </c>
      <c r="AI757">
        <v>624</v>
      </c>
      <c r="AJ757">
        <v>0</v>
      </c>
      <c r="AK757">
        <v>0</v>
      </c>
      <c r="AL757">
        <v>0</v>
      </c>
      <c r="AM757">
        <v>751</v>
      </c>
      <c r="AN757">
        <v>116</v>
      </c>
      <c r="AO757">
        <v>0</v>
      </c>
      <c r="AP757">
        <v>8</v>
      </c>
      <c r="AQ757">
        <v>0</v>
      </c>
      <c r="AR757">
        <v>0</v>
      </c>
      <c r="AS757" t="s">
        <v>58</v>
      </c>
      <c r="AT757">
        <v>1</v>
      </c>
      <c r="AU757" t="s">
        <v>63</v>
      </c>
      <c r="AV757" t="s">
        <v>60</v>
      </c>
      <c r="AW757">
        <v>1</v>
      </c>
      <c r="AX757">
        <v>3</v>
      </c>
      <c r="AY757">
        <v>0</v>
      </c>
      <c r="AZ757">
        <v>0</v>
      </c>
      <c r="BA757">
        <v>100</v>
      </c>
      <c r="BB757">
        <v>100</v>
      </c>
      <c r="BC757">
        <v>100</v>
      </c>
      <c r="BD757">
        <v>100</v>
      </c>
      <c r="BE757">
        <v>1</v>
      </c>
      <c r="BF757">
        <v>15000</v>
      </c>
      <c r="BG757">
        <v>1000</v>
      </c>
      <c r="BH757" s="6">
        <f>Grandview_Inventory[[#This Row],[land_extract]]*Lookups!$B$3</f>
        <v>52639.730588165206</v>
      </c>
      <c r="BI757" s="6">
        <f>IF(Grandview_Inventory[[#This Row],[bldg_style]]="",0,Lookups!$B$2)</f>
        <v>155833.95000000001</v>
      </c>
      <c r="BJ757" s="6">
        <f>_xlfn.IFNA(VLOOKUP(Grandview_Inventory[[#This Row],[quality]],Lookups!$H$2:$J$14,3,FALSE),0)</f>
        <v>2251</v>
      </c>
      <c r="BK757" s="6">
        <f>_xlfn.IFNA(VLOOKUP(Grandview_Inventory[[#This Row],[condition]],Lookups!$H$17:$J$24,3,FALSE),0)</f>
        <v>25818</v>
      </c>
      <c r="BL757" s="6">
        <f>Grandview_Inventory[[#This Row],[Eff_Age]]*Lookups!$B$14</f>
        <v>-5500.8317999999999</v>
      </c>
      <c r="BM757" s="6">
        <f>Grandview_Inventory[[#This Row],[living_area]]*Lookups!$B$15</f>
        <v>141978.821428</v>
      </c>
      <c r="BN757" s="6">
        <f>Grandview_Inventory[[#This Row],[Fin BSMT]]*Lookups!$B$16</f>
        <v>0</v>
      </c>
      <c r="BO757" s="6">
        <f>(Grandview_Inventory[[#This Row],[att_gar]]+Grandview_Inventory[[#This Row],[bltin_gar]])*Lookups!$B$17</f>
        <v>54612.752688</v>
      </c>
      <c r="BP757" s="6">
        <f>Grandview_Inventory[[#This Row],[Plumbing Fixtures]]*Lookups!$B$18</f>
        <v>16083.5344</v>
      </c>
      <c r="BQ757" s="6">
        <f>Grandview_Inventory[[#This Row],[detatched_value]]*Lookups!$B$19</f>
        <v>0</v>
      </c>
      <c r="BR757" s="6">
        <f>SUM(Grandview_Inventory[[#This Row],[Intercept]:[det_value]])*Grandview_Inventory[[#This Row],[res_pct]]</f>
        <v>391077.226716</v>
      </c>
      <c r="BS757" s="6">
        <f>Grandview_Inventory[[#This Row],[land_value]]</f>
        <v>52639.730588165206</v>
      </c>
      <c r="BT757" s="4">
        <f>_xlfn.IFNA(VLOOKUP(Grandview_Inventory[[#This Row],[quality]],Lookups!$A$26:$C$33,3,FALSE),1)</f>
        <v>0.98763855981004833</v>
      </c>
      <c r="BU757" s="4">
        <f>_xlfn.IFNA(VLOOKUP(Grandview_Inventory[[#This Row],[condition]],Lookups!$A$37:$C$44,3,FALSE),1)</f>
        <v>0.96661476234146892</v>
      </c>
      <c r="BV757" s="4">
        <f>IF(Grandview_Inventory[[#This Row],[bldg_style]]="",1,_xlfn.IFNA(VLOOKUP(Grandview_Inventory[[#This Row],[decade]],Lookups!$F$29:$H$43,3,FALSE),1))</f>
        <v>0.98397821291089549</v>
      </c>
      <c r="BW757" s="4">
        <f>_xlfn.IFNA(VLOOKUP(Grandview_Inventory[[#This Row],[living_area_range]],Lookups!$F$47:$H$56,3,FALSE),1)</f>
        <v>0.95799442568048754</v>
      </c>
      <c r="BX757" s="4">
        <f>AVERAGE(Grandview_Inventory[[#This Row],[qual_adj]:[size_adj]])</f>
        <v>0.97405649018572504</v>
      </c>
      <c r="BY757" s="6">
        <f>IF(Grandview_Inventory[[#This Row],[pre_res]]&lt;0,0,Grandview_Inventory[[#This Row],[pre_res]]*Grandview_Inventory[[#This Row],[overall_adj]])</f>
        <v>380931.310846554</v>
      </c>
      <c r="BZ757" s="6">
        <f>(Grandview_Inventory[[#This Row],[sum_land]]-IF(Grandview_Inventory[[#This Row],[no_utilities]]=1,12000,0))/IF(Grandview_Inventory[[#This Row],[unbuildable]]=1,2,1)</f>
        <v>52639.730588165206</v>
      </c>
      <c r="CA75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757">
        <f>ROUND(Grandview_Inventory[[#This Row],[det_value]]*Lookups!$M$28,-2)</f>
        <v>0</v>
      </c>
      <c r="CC757">
        <f>IF(ROUND(Grandview_Inventory[[#This Row],[adj_res]]*Lookups!$M$28,-2)&lt;Grandview_Inventory[[#This Row],[min_res]],Grandview_Inventory[[#This Row],[min_res]],ROUND(Grandview_Inventory[[#This Row],[adj_res]]*Lookups!$M$28,-2))</f>
        <v>361900</v>
      </c>
      <c r="CD757">
        <f>Grandview_Inventory[[#This Row],[final_det]]+Grandview_Inventory[[#This Row],[final_res]]</f>
        <v>361900</v>
      </c>
      <c r="CE757">
        <f>Grandview_Inventory[[#This Row],[final_land]]+Grandview_Inventory[[#This Row],[final_imp]]+Grandview_Inventory[[#This Row],[crop_value]]</f>
        <v>411900</v>
      </c>
      <c r="CG757" t="str">
        <f t="shared" si="11"/>
        <v>update valuation set market_land =50000, market_bldg=361900, market_total =411900, market_mdno =401, market_date ='9/10/2023' where link_id = (select link_id from parcel where parcel_year = '2024' and parcel_id = '23092231499');</v>
      </c>
    </row>
    <row r="758" spans="1:85" x14ac:dyDescent="0.25">
      <c r="A758">
        <v>23092231500</v>
      </c>
      <c r="B758">
        <v>0.28000000000000003</v>
      </c>
      <c r="C758">
        <v>12219</v>
      </c>
      <c r="D758" t="s">
        <v>129</v>
      </c>
      <c r="E758" t="s">
        <v>53</v>
      </c>
      <c r="F758" t="s">
        <v>53</v>
      </c>
      <c r="G758">
        <v>4</v>
      </c>
      <c r="H758" t="s">
        <v>54</v>
      </c>
      <c r="I758">
        <v>186400</v>
      </c>
      <c r="J758">
        <v>44700</v>
      </c>
      <c r="K758">
        <v>0.28000000000000003</v>
      </c>
      <c r="L758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758">
        <v>0</v>
      </c>
      <c r="N758">
        <v>0</v>
      </c>
      <c r="O758">
        <v>0</v>
      </c>
      <c r="P758">
        <v>13398.7528</v>
      </c>
      <c r="Q758">
        <v>63903</v>
      </c>
      <c r="R758">
        <f>(Grandview_Inventory[[#This Row],[ln_acres]]*Grandview_Inventory[[#This Row],[coeff]])+Grandview_Inventory[[#This Row],[const]]</f>
        <v>46846.847586898184</v>
      </c>
      <c r="S758" t="s">
        <v>61</v>
      </c>
      <c r="T758">
        <v>1</v>
      </c>
      <c r="U758" t="s">
        <v>65</v>
      </c>
      <c r="V758" t="s">
        <v>67</v>
      </c>
      <c r="W758">
        <v>0</v>
      </c>
      <c r="X758">
        <v>0</v>
      </c>
      <c r="Y758">
        <v>25</v>
      </c>
      <c r="Z758">
        <v>25</v>
      </c>
      <c r="AA758">
        <v>30</v>
      </c>
      <c r="AB758">
        <v>1500</v>
      </c>
      <c r="AC758">
        <v>1048</v>
      </c>
      <c r="AD758">
        <v>1048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100</v>
      </c>
      <c r="AN758">
        <v>0</v>
      </c>
      <c r="AO758">
        <v>0</v>
      </c>
      <c r="AP758">
        <v>11</v>
      </c>
      <c r="AQ758">
        <v>0</v>
      </c>
      <c r="AR758">
        <v>0</v>
      </c>
      <c r="AS758" t="s">
        <v>58</v>
      </c>
      <c r="AT758">
        <v>1</v>
      </c>
      <c r="AU758" t="s">
        <v>63</v>
      </c>
      <c r="AV758" t="s">
        <v>60</v>
      </c>
      <c r="AW758">
        <v>1</v>
      </c>
      <c r="AX758">
        <v>2</v>
      </c>
      <c r="AY758">
        <v>0</v>
      </c>
      <c r="AZ758">
        <v>0</v>
      </c>
      <c r="BA758">
        <v>100</v>
      </c>
      <c r="BB758">
        <v>100</v>
      </c>
      <c r="BC758">
        <v>100</v>
      </c>
      <c r="BD758">
        <v>100</v>
      </c>
      <c r="BE758">
        <v>1</v>
      </c>
      <c r="BF758">
        <v>15000</v>
      </c>
      <c r="BG758">
        <v>1000</v>
      </c>
      <c r="BH758" s="6">
        <f>Grandview_Inventory[[#This Row],[land_extract]]*Lookups!$B$3</f>
        <v>54403.117616176372</v>
      </c>
      <c r="BI758" s="6">
        <f>IF(Grandview_Inventory[[#This Row],[bldg_style]]="",0,Lookups!$B$2)</f>
        <v>155833.95000000001</v>
      </c>
      <c r="BJ758" s="6">
        <f>_xlfn.IFNA(VLOOKUP(Grandview_Inventory[[#This Row],[quality]],Lookups!$H$2:$J$14,3,FALSE),0)</f>
        <v>2251</v>
      </c>
      <c r="BK758" s="6">
        <f>_xlfn.IFNA(VLOOKUP(Grandview_Inventory[[#This Row],[condition]],Lookups!$H$17:$J$24,3,FALSE),0)</f>
        <v>22342</v>
      </c>
      <c r="BL758" s="6">
        <f>Grandview_Inventory[[#This Row],[Eff_Age]]*Lookups!$B$14</f>
        <v>-5979.165</v>
      </c>
      <c r="BM758" s="6">
        <f>Grandview_Inventory[[#This Row],[living_area]]*Lookups!$B$15</f>
        <v>65375.133944000001</v>
      </c>
      <c r="BN758" s="6">
        <f>Grandview_Inventory[[#This Row],[Fin BSMT]]*Lookups!$B$16</f>
        <v>0</v>
      </c>
      <c r="BO758" s="6">
        <f>(Grandview_Inventory[[#This Row],[att_gar]]+Grandview_Inventory[[#This Row],[bltin_gar]])*Lookups!$B$17</f>
        <v>0</v>
      </c>
      <c r="BP758" s="6">
        <f>Grandview_Inventory[[#This Row],[Plumbing Fixtures]]*Lookups!$B$18</f>
        <v>22114.859800000002</v>
      </c>
      <c r="BQ758" s="6">
        <f>Grandview_Inventory[[#This Row],[detatched_value]]*Lookups!$B$19</f>
        <v>0</v>
      </c>
      <c r="BR758" s="6">
        <f>SUM(Grandview_Inventory[[#This Row],[Intercept]:[det_value]])*Grandview_Inventory[[#This Row],[res_pct]]</f>
        <v>261937.77874400001</v>
      </c>
      <c r="BS758" s="6">
        <f>Grandview_Inventory[[#This Row],[land_value]]</f>
        <v>54403.117616176372</v>
      </c>
      <c r="BT758" s="4">
        <f>_xlfn.IFNA(VLOOKUP(Grandview_Inventory[[#This Row],[quality]],Lookups!$A$26:$C$33,3,FALSE),1)</f>
        <v>0.98763855981004833</v>
      </c>
      <c r="BU758" s="4">
        <f>_xlfn.IFNA(VLOOKUP(Grandview_Inventory[[#This Row],[condition]],Lookups!$A$37:$C$44,3,FALSE),1)</f>
        <v>0.97383723671140243</v>
      </c>
      <c r="BV758" s="4">
        <f>IF(Grandview_Inventory[[#This Row],[bldg_style]]="",1,_xlfn.IFNA(VLOOKUP(Grandview_Inventory[[#This Row],[decade]],Lookups!$F$29:$H$43,3,FALSE),1))</f>
        <v>0.98397821291089549</v>
      </c>
      <c r="BW758" s="4">
        <f>_xlfn.IFNA(VLOOKUP(Grandview_Inventory[[#This Row],[living_area_range]],Lookups!$F$47:$H$56,3,FALSE),1)</f>
        <v>0.96135087979789358</v>
      </c>
      <c r="BX758" s="4">
        <f>AVERAGE(Grandview_Inventory[[#This Row],[qual_adj]:[size_adj]])</f>
        <v>0.97670122230755996</v>
      </c>
      <c r="BY758" s="6">
        <f>IF(Grandview_Inventory[[#This Row],[pre_res]]&lt;0,0,Grandview_Inventory[[#This Row],[pre_res]]*Grandview_Inventory[[#This Row],[overall_adj]])</f>
        <v>255834.94866779202</v>
      </c>
      <c r="BZ758" s="6">
        <f>(Grandview_Inventory[[#This Row],[sum_land]]-IF(Grandview_Inventory[[#This Row],[no_utilities]]=1,12000,0))/IF(Grandview_Inventory[[#This Row],[unbuildable]]=1,2,1)</f>
        <v>54403.117616176372</v>
      </c>
      <c r="CA758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758">
        <f>ROUND(Grandview_Inventory[[#This Row],[det_value]]*Lookups!$M$28,-2)</f>
        <v>0</v>
      </c>
      <c r="CC758">
        <f>IF(ROUND(Grandview_Inventory[[#This Row],[adj_res]]*Lookups!$M$28,-2)&lt;Grandview_Inventory[[#This Row],[min_res]],Grandview_Inventory[[#This Row],[min_res]],ROUND(Grandview_Inventory[[#This Row],[adj_res]]*Lookups!$M$28,-2))</f>
        <v>243000</v>
      </c>
      <c r="CD758">
        <f>Grandview_Inventory[[#This Row],[final_det]]+Grandview_Inventory[[#This Row],[final_res]]</f>
        <v>243000</v>
      </c>
      <c r="CE758">
        <f>Grandview_Inventory[[#This Row],[final_land]]+Grandview_Inventory[[#This Row],[final_imp]]+Grandview_Inventory[[#This Row],[crop_value]]</f>
        <v>294700</v>
      </c>
      <c r="CG758" t="str">
        <f t="shared" si="11"/>
        <v>update valuation set market_land =51700, market_bldg=243000, market_total =294700, market_mdno =401, market_date ='9/10/2023' where link_id = (select link_id from parcel where parcel_year = '2024' and parcel_id = '23092231500');</v>
      </c>
    </row>
    <row r="759" spans="1:85" x14ac:dyDescent="0.25">
      <c r="A759">
        <v>23092231501</v>
      </c>
      <c r="B759">
        <v>2.0099999999999998</v>
      </c>
      <c r="C759">
        <v>87504</v>
      </c>
      <c r="D759" t="s">
        <v>129</v>
      </c>
      <c r="E759" t="s">
        <v>53</v>
      </c>
      <c r="F759" t="s">
        <v>53</v>
      </c>
      <c r="G759">
        <v>4</v>
      </c>
      <c r="H759" t="s">
        <v>54</v>
      </c>
      <c r="I759">
        <v>377500</v>
      </c>
      <c r="J759">
        <v>50800</v>
      </c>
      <c r="K759">
        <v>2.0099999999999998</v>
      </c>
      <c r="L759">
        <f>IF(Grandview_Inventory[[#This Row],[parcel_acres]]-Grandview_Inventory[[#This Row],[non_valued_acres]] =0,0,LN(Grandview_Inventory[[#This Row],[parcel_acres]]-Grandview_Inventory[[#This Row],[non_valued_acres]]))</f>
        <v>0.69813472207098426</v>
      </c>
      <c r="M759">
        <v>0</v>
      </c>
      <c r="N759">
        <v>0</v>
      </c>
      <c r="O759">
        <v>0</v>
      </c>
      <c r="P759">
        <v>13398.7528</v>
      </c>
      <c r="Q759">
        <v>63903</v>
      </c>
      <c r="R759">
        <f>(Grandview_Inventory[[#This Row],[ln_acres]]*Grandview_Inventory[[#This Row],[coeff]])+Grandview_Inventory[[#This Row],[const]]</f>
        <v>73257.134562125822</v>
      </c>
      <c r="S759" t="s">
        <v>84</v>
      </c>
      <c r="T759">
        <v>1</v>
      </c>
      <c r="U759" t="s">
        <v>64</v>
      </c>
      <c r="V759" t="s">
        <v>67</v>
      </c>
      <c r="W759">
        <v>0</v>
      </c>
      <c r="X759">
        <v>0</v>
      </c>
      <c r="Y759">
        <v>21</v>
      </c>
      <c r="Z759">
        <v>21</v>
      </c>
      <c r="AA759">
        <v>30</v>
      </c>
      <c r="AB759">
        <v>2000</v>
      </c>
      <c r="AC759">
        <v>1696</v>
      </c>
      <c r="AD759">
        <v>1696</v>
      </c>
      <c r="AE759">
        <v>0</v>
      </c>
      <c r="AF759">
        <v>0</v>
      </c>
      <c r="AG759">
        <v>0</v>
      </c>
      <c r="AH759">
        <v>0</v>
      </c>
      <c r="AI759">
        <v>628</v>
      </c>
      <c r="AJ759">
        <v>0</v>
      </c>
      <c r="AK759">
        <v>0</v>
      </c>
      <c r="AL759">
        <v>259</v>
      </c>
      <c r="AM759">
        <v>0</v>
      </c>
      <c r="AN759">
        <v>203</v>
      </c>
      <c r="AO759">
        <v>0</v>
      </c>
      <c r="AP759">
        <v>8</v>
      </c>
      <c r="AQ759">
        <v>0</v>
      </c>
      <c r="AR759">
        <v>0</v>
      </c>
      <c r="AS759" t="s">
        <v>58</v>
      </c>
      <c r="AT759">
        <v>1</v>
      </c>
      <c r="AU759" t="s">
        <v>59</v>
      </c>
      <c r="AV759" t="s">
        <v>60</v>
      </c>
      <c r="AW759">
        <v>1</v>
      </c>
      <c r="AX759">
        <v>3</v>
      </c>
      <c r="AY759">
        <v>0</v>
      </c>
      <c r="AZ759">
        <v>0</v>
      </c>
      <c r="BA759">
        <v>100</v>
      </c>
      <c r="BB759">
        <v>100</v>
      </c>
      <c r="BC759">
        <v>100</v>
      </c>
      <c r="BD759">
        <v>100</v>
      </c>
      <c r="BE759">
        <v>1</v>
      </c>
      <c r="BF759">
        <v>15000</v>
      </c>
      <c r="BG759">
        <v>1000</v>
      </c>
      <c r="BH759" s="6">
        <f>Grandview_Inventory[[#This Row],[land_extract]]*Lookups!$B$3</f>
        <v>85073.312572733397</v>
      </c>
      <c r="BI759" s="6">
        <f>IF(Grandview_Inventory[[#This Row],[bldg_style]]="",0,Lookups!$B$2)</f>
        <v>155833.95000000001</v>
      </c>
      <c r="BJ759" s="6">
        <f>_xlfn.IFNA(VLOOKUP(Grandview_Inventory[[#This Row],[quality]],Lookups!$H$2:$J$14,3,FALSE),0)</f>
        <v>20768</v>
      </c>
      <c r="BK759" s="6">
        <f>_xlfn.IFNA(VLOOKUP(Grandview_Inventory[[#This Row],[condition]],Lookups!$H$17:$J$24,3,FALSE),0)</f>
        <v>22342</v>
      </c>
      <c r="BL759" s="6">
        <f>Grandview_Inventory[[#This Row],[Eff_Age]]*Lookups!$B$14</f>
        <v>-5022.4985999999999</v>
      </c>
      <c r="BM759" s="6">
        <f>Grandview_Inventory[[#This Row],[living_area]]*Lookups!$B$15</f>
        <v>105797.92668800001</v>
      </c>
      <c r="BN759" s="6">
        <f>Grandview_Inventory[[#This Row],[Fin BSMT]]*Lookups!$B$16</f>
        <v>0</v>
      </c>
      <c r="BO759" s="6">
        <f>(Grandview_Inventory[[#This Row],[att_gar]]+Grandview_Inventory[[#This Row],[bltin_gar]])*Lookups!$B$17</f>
        <v>54962.834435999997</v>
      </c>
      <c r="BP759" s="6">
        <f>Grandview_Inventory[[#This Row],[Plumbing Fixtures]]*Lookups!$B$18</f>
        <v>16083.5344</v>
      </c>
      <c r="BQ759" s="6">
        <f>Grandview_Inventory[[#This Row],[detatched_value]]*Lookups!$B$19</f>
        <v>0</v>
      </c>
      <c r="BR759" s="6">
        <f>SUM(Grandview_Inventory[[#This Row],[Intercept]:[det_value]])*Grandview_Inventory[[#This Row],[res_pct]]</f>
        <v>370765.74692399998</v>
      </c>
      <c r="BS759" s="6">
        <f>Grandview_Inventory[[#This Row],[land_value]]</f>
        <v>85073.312572733397</v>
      </c>
      <c r="BT759" s="4">
        <f>_xlfn.IFNA(VLOOKUP(Grandview_Inventory[[#This Row],[quality]],Lookups!$A$26:$C$33,3,FALSE),1)</f>
        <v>0.94960540378902636</v>
      </c>
      <c r="BU759" s="4">
        <f>_xlfn.IFNA(VLOOKUP(Grandview_Inventory[[#This Row],[condition]],Lookups!$A$37:$C$44,3,FALSE),1)</f>
        <v>0.97383723671140243</v>
      </c>
      <c r="BV759" s="4">
        <f>IF(Grandview_Inventory[[#This Row],[bldg_style]]="",1,_xlfn.IFNA(VLOOKUP(Grandview_Inventory[[#This Row],[decade]],Lookups!$F$29:$H$43,3,FALSE),1))</f>
        <v>0.98397821291089549</v>
      </c>
      <c r="BW759" s="4">
        <f>_xlfn.IFNA(VLOOKUP(Grandview_Inventory[[#This Row],[living_area_range]],Lookups!$F$47:$H$56,3,FALSE),1)</f>
        <v>0.96120133463014379</v>
      </c>
      <c r="BX759" s="4">
        <f>AVERAGE(Grandview_Inventory[[#This Row],[qual_adj]:[size_adj]])</f>
        <v>0.96715554701036699</v>
      </c>
      <c r="BY759" s="6">
        <f>IF(Grandview_Inventory[[#This Row],[pre_res]]&lt;0,0,Grandview_Inventory[[#This Row],[pre_res]]*Grandview_Inventory[[#This Row],[overall_adj]])</f>
        <v>358588.14877898851</v>
      </c>
      <c r="BZ759" s="6">
        <f>(Grandview_Inventory[[#This Row],[sum_land]]-IF(Grandview_Inventory[[#This Row],[no_utilities]]=1,12000,0))/IF(Grandview_Inventory[[#This Row],[unbuildable]]=1,2,1)</f>
        <v>85073.312572733397</v>
      </c>
      <c r="CA759">
        <f>IF(ROUND(Grandview_Inventory[[#This Row],[adj_land]]*Lookups!$M$28,-2)&lt;Grandview_Inventory[[#This Row],[min_land]],Grandview_Inventory[[#This Row],[min_land]],ROUND(Grandview_Inventory[[#This Row],[adj_land]]*Lookups!$M$28,-2))</f>
        <v>80800</v>
      </c>
      <c r="CB759">
        <f>ROUND(Grandview_Inventory[[#This Row],[det_value]]*Lookups!$M$28,-2)</f>
        <v>0</v>
      </c>
      <c r="CC759">
        <f>IF(ROUND(Grandview_Inventory[[#This Row],[adj_res]]*Lookups!$M$28,-2)&lt;Grandview_Inventory[[#This Row],[min_res]],Grandview_Inventory[[#This Row],[min_res]],ROUND(Grandview_Inventory[[#This Row],[adj_res]]*Lookups!$M$28,-2))</f>
        <v>340700</v>
      </c>
      <c r="CD759">
        <f>Grandview_Inventory[[#This Row],[final_det]]+Grandview_Inventory[[#This Row],[final_res]]</f>
        <v>340700</v>
      </c>
      <c r="CE759">
        <f>Grandview_Inventory[[#This Row],[final_land]]+Grandview_Inventory[[#This Row],[final_imp]]+Grandview_Inventory[[#This Row],[crop_value]]</f>
        <v>421500</v>
      </c>
      <c r="CG759" t="str">
        <f t="shared" si="11"/>
        <v>update valuation set market_land =80800, market_bldg=340700, market_total =421500, market_mdno =401, market_date ='9/10/2023' where link_id = (select link_id from parcel where parcel_year = '2024' and parcel_id = '23092231501');</v>
      </c>
    </row>
    <row r="760" spans="1:85" x14ac:dyDescent="0.25">
      <c r="A760">
        <v>23092231502</v>
      </c>
      <c r="B760">
        <v>2.02</v>
      </c>
      <c r="C760">
        <v>88182</v>
      </c>
      <c r="D760" t="s">
        <v>129</v>
      </c>
      <c r="E760" t="s">
        <v>53</v>
      </c>
      <c r="F760" t="s">
        <v>53</v>
      </c>
      <c r="G760">
        <v>4</v>
      </c>
      <c r="H760" t="s">
        <v>54</v>
      </c>
      <c r="I760">
        <v>381600</v>
      </c>
      <c r="J760">
        <v>51000</v>
      </c>
      <c r="K760">
        <v>2.02</v>
      </c>
      <c r="L760">
        <f>IF(Grandview_Inventory[[#This Row],[parcel_acres]]-Grandview_Inventory[[#This Row],[non_valued_acres]] =0,0,LN(Grandview_Inventory[[#This Row],[parcel_acres]]-Grandview_Inventory[[#This Row],[non_valued_acres]]))</f>
        <v>0.70309751141311339</v>
      </c>
      <c r="M760">
        <v>0</v>
      </c>
      <c r="N760">
        <v>0</v>
      </c>
      <c r="O760">
        <v>0</v>
      </c>
      <c r="P760">
        <v>13398.7528</v>
      </c>
      <c r="Q760">
        <v>63903</v>
      </c>
      <c r="R760">
        <f>(Grandview_Inventory[[#This Row],[ln_acres]]*Grandview_Inventory[[#This Row],[coeff]])+Grandview_Inventory[[#This Row],[const]]</f>
        <v>73323.62974971949</v>
      </c>
      <c r="S760" t="s">
        <v>58</v>
      </c>
      <c r="T760">
        <v>2</v>
      </c>
      <c r="U760" t="s">
        <v>64</v>
      </c>
      <c r="V760" t="s">
        <v>66</v>
      </c>
      <c r="W760">
        <v>0</v>
      </c>
      <c r="X760">
        <v>0</v>
      </c>
      <c r="Y760">
        <v>21</v>
      </c>
      <c r="Z760">
        <v>21</v>
      </c>
      <c r="AA760">
        <v>30</v>
      </c>
      <c r="AB760">
        <v>3000</v>
      </c>
      <c r="AC760">
        <v>2724</v>
      </c>
      <c r="AD760">
        <v>1844</v>
      </c>
      <c r="AE760">
        <v>880</v>
      </c>
      <c r="AF760">
        <v>0</v>
      </c>
      <c r="AG760">
        <v>0</v>
      </c>
      <c r="AH760">
        <v>0</v>
      </c>
      <c r="AI760">
        <v>497</v>
      </c>
      <c r="AJ760">
        <v>0</v>
      </c>
      <c r="AK760">
        <v>0</v>
      </c>
      <c r="AL760">
        <v>0</v>
      </c>
      <c r="AM760">
        <v>110</v>
      </c>
      <c r="AN760">
        <v>0</v>
      </c>
      <c r="AO760">
        <v>110</v>
      </c>
      <c r="AP760">
        <v>12</v>
      </c>
      <c r="AQ760">
        <v>0</v>
      </c>
      <c r="AR760">
        <v>0</v>
      </c>
      <c r="AS760" t="s">
        <v>58</v>
      </c>
      <c r="AT760">
        <v>1</v>
      </c>
      <c r="AU760" t="s">
        <v>63</v>
      </c>
      <c r="AV760" t="s">
        <v>60</v>
      </c>
      <c r="AW760">
        <v>1</v>
      </c>
      <c r="AX760">
        <v>4</v>
      </c>
      <c r="AY760">
        <v>0</v>
      </c>
      <c r="AZ760">
        <v>49900</v>
      </c>
      <c r="BA760">
        <v>100</v>
      </c>
      <c r="BB760">
        <v>100</v>
      </c>
      <c r="BC760">
        <v>100</v>
      </c>
      <c r="BD760">
        <v>100</v>
      </c>
      <c r="BE760">
        <v>1</v>
      </c>
      <c r="BF760">
        <v>15000</v>
      </c>
      <c r="BG760">
        <v>1000</v>
      </c>
      <c r="BH760" s="6">
        <f>Grandview_Inventory[[#This Row],[land_extract]]*Lookups!$B$3</f>
        <v>85150.533254548922</v>
      </c>
      <c r="BI760" s="6">
        <f>IF(Grandview_Inventory[[#This Row],[bldg_style]]="",0,Lookups!$B$2)</f>
        <v>155833.95000000001</v>
      </c>
      <c r="BJ760" s="6">
        <f>_xlfn.IFNA(VLOOKUP(Grandview_Inventory[[#This Row],[quality]],Lookups!$H$2:$J$14,3,FALSE),0)</f>
        <v>20768</v>
      </c>
      <c r="BK760" s="6">
        <f>_xlfn.IFNA(VLOOKUP(Grandview_Inventory[[#This Row],[condition]],Lookups!$H$17:$J$24,3,FALSE),0)</f>
        <v>25818</v>
      </c>
      <c r="BL760" s="6">
        <f>Grandview_Inventory[[#This Row],[Eff_Age]]*Lookups!$B$14</f>
        <v>-5022.4985999999999</v>
      </c>
      <c r="BM760" s="6">
        <f>Grandview_Inventory[[#This Row],[living_area]]*Lookups!$B$15</f>
        <v>169925.44357200002</v>
      </c>
      <c r="BN760" s="6">
        <f>Grandview_Inventory[[#This Row],[Fin BSMT]]*Lookups!$B$16</f>
        <v>0</v>
      </c>
      <c r="BO760" s="6">
        <f>(Grandview_Inventory[[#This Row],[att_gar]]+Grandview_Inventory[[#This Row],[bltin_gar]])*Lookups!$B$17</f>
        <v>43497.657188999998</v>
      </c>
      <c r="BP760" s="6">
        <f>Grandview_Inventory[[#This Row],[Plumbing Fixtures]]*Lookups!$B$18</f>
        <v>24125.301599999999</v>
      </c>
      <c r="BQ760" s="6">
        <f>Grandview_Inventory[[#This Row],[detatched_value]]*Lookups!$B$19</f>
        <v>42255.574489999999</v>
      </c>
      <c r="BR760" s="6">
        <f>SUM(Grandview_Inventory[[#This Row],[Intercept]:[det_value]])*Grandview_Inventory[[#This Row],[res_pct]]</f>
        <v>477201.428251</v>
      </c>
      <c r="BS760" s="6">
        <f>Grandview_Inventory[[#This Row],[land_value]]</f>
        <v>85150.533254548922</v>
      </c>
      <c r="BT760" s="4">
        <f>_xlfn.IFNA(VLOOKUP(Grandview_Inventory[[#This Row],[quality]],Lookups!$A$26:$C$33,3,FALSE),1)</f>
        <v>0.94960540378902636</v>
      </c>
      <c r="BU760" s="4">
        <f>_xlfn.IFNA(VLOOKUP(Grandview_Inventory[[#This Row],[condition]],Lookups!$A$37:$C$44,3,FALSE),1)</f>
        <v>0.96661476234146892</v>
      </c>
      <c r="BV760" s="4">
        <f>IF(Grandview_Inventory[[#This Row],[bldg_style]]="",1,_xlfn.IFNA(VLOOKUP(Grandview_Inventory[[#This Row],[decade]],Lookups!$F$29:$H$43,3,FALSE),1))</f>
        <v>0.98397821291089549</v>
      </c>
      <c r="BW760" s="4">
        <f>_xlfn.IFNA(VLOOKUP(Grandview_Inventory[[#This Row],[living_area_range]],Lookups!$F$47:$H$56,3,FALSE),1)</f>
        <v>0.94224801443562123</v>
      </c>
      <c r="BX760" s="4">
        <f>AVERAGE(Grandview_Inventory[[#This Row],[qual_adj]:[size_adj]])</f>
        <v>0.96061159836925303</v>
      </c>
      <c r="BY760" s="6">
        <f>IF(Grandview_Inventory[[#This Row],[pre_res]]&lt;0,0,Grandview_Inventory[[#This Row],[pre_res]]*Grandview_Inventory[[#This Row],[overall_adj]])</f>
        <v>458405.22673628351</v>
      </c>
      <c r="BZ760" s="6">
        <f>(Grandview_Inventory[[#This Row],[sum_land]]-IF(Grandview_Inventory[[#This Row],[no_utilities]]=1,12000,0))/IF(Grandview_Inventory[[#This Row],[unbuildable]]=1,2,1)</f>
        <v>85150.533254548922</v>
      </c>
      <c r="CA760">
        <f>IF(ROUND(Grandview_Inventory[[#This Row],[adj_land]]*Lookups!$M$28,-2)&lt;Grandview_Inventory[[#This Row],[min_land]],Grandview_Inventory[[#This Row],[min_land]],ROUND(Grandview_Inventory[[#This Row],[adj_land]]*Lookups!$M$28,-2))</f>
        <v>80900</v>
      </c>
      <c r="CB760">
        <f>ROUND(Grandview_Inventory[[#This Row],[det_value]]*Lookups!$M$28,-2)</f>
        <v>40100</v>
      </c>
      <c r="CC760">
        <f>IF(ROUND(Grandview_Inventory[[#This Row],[adj_res]]*Lookups!$M$28,-2)&lt;Grandview_Inventory[[#This Row],[min_res]],Grandview_Inventory[[#This Row],[min_res]],ROUND(Grandview_Inventory[[#This Row],[adj_res]]*Lookups!$M$28,-2))</f>
        <v>435500</v>
      </c>
      <c r="CD760">
        <f>Grandview_Inventory[[#This Row],[final_det]]+Grandview_Inventory[[#This Row],[final_res]]</f>
        <v>475600</v>
      </c>
      <c r="CE760">
        <f>Grandview_Inventory[[#This Row],[final_land]]+Grandview_Inventory[[#This Row],[final_imp]]+Grandview_Inventory[[#This Row],[crop_value]]</f>
        <v>556500</v>
      </c>
      <c r="CG760" t="str">
        <f t="shared" si="11"/>
        <v>update valuation set market_land =80900, market_bldg=475600, market_total =556500, market_mdno =401, market_date ='9/10/2023' where link_id = (select link_id from parcel where parcel_year = '2024' and parcel_id = '23092231502');</v>
      </c>
    </row>
    <row r="761" spans="1:85" x14ac:dyDescent="0.25">
      <c r="A761">
        <v>23092231506</v>
      </c>
      <c r="B761">
        <v>2</v>
      </c>
      <c r="C761" t="s">
        <v>129</v>
      </c>
      <c r="D761" t="s">
        <v>129</v>
      </c>
      <c r="E761" t="s">
        <v>53</v>
      </c>
      <c r="F761" t="s">
        <v>53</v>
      </c>
      <c r="G761">
        <v>4</v>
      </c>
      <c r="H761" t="s">
        <v>54</v>
      </c>
      <c r="I761">
        <v>363100</v>
      </c>
      <c r="J761">
        <v>45800</v>
      </c>
      <c r="K761">
        <v>2</v>
      </c>
      <c r="L761">
        <f>IF(Grandview_Inventory[[#This Row],[parcel_acres]]-Grandview_Inventory[[#This Row],[non_valued_acres]] =0,0,LN(Grandview_Inventory[[#This Row],[parcel_acres]]-Grandview_Inventory[[#This Row],[non_valued_acres]]))</f>
        <v>0.69314718055994529</v>
      </c>
      <c r="M761">
        <v>0</v>
      </c>
      <c r="N761">
        <v>0</v>
      </c>
      <c r="O761">
        <v>0</v>
      </c>
      <c r="P761">
        <v>13398.7528</v>
      </c>
      <c r="Q761">
        <v>63903</v>
      </c>
      <c r="R761">
        <f>(Grandview_Inventory[[#This Row],[ln_acres]]*Grandview_Inventory[[#This Row],[coeff]])+Grandview_Inventory[[#This Row],[const]]</f>
        <v>73190.30772633967</v>
      </c>
      <c r="S761" t="s">
        <v>58</v>
      </c>
      <c r="T761">
        <v>1</v>
      </c>
      <c r="U761" t="s">
        <v>62</v>
      </c>
      <c r="V761" t="s">
        <v>67</v>
      </c>
      <c r="W761">
        <v>0</v>
      </c>
      <c r="X761">
        <v>0</v>
      </c>
      <c r="Y761">
        <v>18</v>
      </c>
      <c r="Z761">
        <v>18</v>
      </c>
      <c r="AA761">
        <v>20</v>
      </c>
      <c r="AB761">
        <v>2000</v>
      </c>
      <c r="AC761">
        <v>1534</v>
      </c>
      <c r="AD761">
        <v>1534</v>
      </c>
      <c r="AE761">
        <v>0</v>
      </c>
      <c r="AF761">
        <v>0</v>
      </c>
      <c r="AG761">
        <v>0</v>
      </c>
      <c r="AH761">
        <v>0</v>
      </c>
      <c r="AI761">
        <v>484</v>
      </c>
      <c r="AJ761">
        <v>0</v>
      </c>
      <c r="AK761">
        <v>0</v>
      </c>
      <c r="AL761">
        <v>0</v>
      </c>
      <c r="AM761">
        <v>0</v>
      </c>
      <c r="AN761">
        <v>382</v>
      </c>
      <c r="AO761">
        <v>0</v>
      </c>
      <c r="AP761">
        <v>9</v>
      </c>
      <c r="AQ761">
        <v>0</v>
      </c>
      <c r="AR761">
        <v>0</v>
      </c>
      <c r="AS761" t="s">
        <v>58</v>
      </c>
      <c r="AT761">
        <v>1</v>
      </c>
      <c r="AU761" t="s">
        <v>59</v>
      </c>
      <c r="AV761" t="s">
        <v>60</v>
      </c>
      <c r="AW761">
        <v>1</v>
      </c>
      <c r="AX761">
        <v>3</v>
      </c>
      <c r="AY761">
        <v>0</v>
      </c>
      <c r="AZ761">
        <v>55500</v>
      </c>
      <c r="BA761">
        <v>100</v>
      </c>
      <c r="BB761">
        <v>100</v>
      </c>
      <c r="BC761">
        <v>100</v>
      </c>
      <c r="BD761">
        <v>100</v>
      </c>
      <c r="BE761">
        <v>1</v>
      </c>
      <c r="BF761">
        <v>15000</v>
      </c>
      <c r="BG761">
        <v>1000</v>
      </c>
      <c r="BH761" s="6">
        <f>Grandview_Inventory[[#This Row],[land_extract]]*Lookups!$B$3</f>
        <v>84995.706748767392</v>
      </c>
      <c r="BI761" s="6">
        <f>IF(Grandview_Inventory[[#This Row],[bldg_style]]="",0,Lookups!$B$2)</f>
        <v>155833.95000000001</v>
      </c>
      <c r="BJ761" s="6">
        <f>_xlfn.IFNA(VLOOKUP(Grandview_Inventory[[#This Row],[quality]],Lookups!$H$2:$J$14,3,FALSE),0)</f>
        <v>9808</v>
      </c>
      <c r="BK761" s="6">
        <f>_xlfn.IFNA(VLOOKUP(Grandview_Inventory[[#This Row],[condition]],Lookups!$H$17:$J$24,3,FALSE),0)</f>
        <v>22342</v>
      </c>
      <c r="BL761" s="6">
        <f>Grandview_Inventory[[#This Row],[Eff_Age]]*Lookups!$B$14</f>
        <v>-4304.9987999999994</v>
      </c>
      <c r="BM761" s="6">
        <f>Grandview_Inventory[[#This Row],[living_area]]*Lookups!$B$15</f>
        <v>95692.228501999998</v>
      </c>
      <c r="BN761" s="6">
        <f>Grandview_Inventory[[#This Row],[Fin BSMT]]*Lookups!$B$16</f>
        <v>0</v>
      </c>
      <c r="BO761" s="6">
        <f>(Grandview_Inventory[[#This Row],[att_gar]]+Grandview_Inventory[[#This Row],[bltin_gar]])*Lookups!$B$17</f>
        <v>42359.891508000001</v>
      </c>
      <c r="BP761" s="6">
        <f>Grandview_Inventory[[#This Row],[Plumbing Fixtures]]*Lookups!$B$18</f>
        <v>18093.976200000001</v>
      </c>
      <c r="BQ761" s="6">
        <f>Grandview_Inventory[[#This Row],[detatched_value]]*Lookups!$B$19</f>
        <v>46997.68305</v>
      </c>
      <c r="BR761" s="6">
        <f>SUM(Grandview_Inventory[[#This Row],[Intercept]:[det_value]])*Grandview_Inventory[[#This Row],[res_pct]]</f>
        <v>386822.73045999993</v>
      </c>
      <c r="BS761" s="6">
        <f>Grandview_Inventory[[#This Row],[land_value]]</f>
        <v>84995.706748767392</v>
      </c>
      <c r="BT761" s="4">
        <f>_xlfn.IFNA(VLOOKUP(Grandview_Inventory[[#This Row],[quality]],Lookups!$A$26:$C$33,3,FALSE),1)</f>
        <v>0.94295468617355149</v>
      </c>
      <c r="BU761" s="4">
        <f>_xlfn.IFNA(VLOOKUP(Grandview_Inventory[[#This Row],[condition]],Lookups!$A$37:$C$44,3,FALSE),1)</f>
        <v>0.97383723671140243</v>
      </c>
      <c r="BV761" s="4">
        <f>IF(Grandview_Inventory[[#This Row],[bldg_style]]="",1,_xlfn.IFNA(VLOOKUP(Grandview_Inventory[[#This Row],[decade]],Lookups!$F$29:$H$43,3,FALSE),1))</f>
        <v>0.96737494181490646</v>
      </c>
      <c r="BW761" s="4">
        <f>_xlfn.IFNA(VLOOKUP(Grandview_Inventory[[#This Row],[living_area_range]],Lookups!$F$47:$H$56,3,FALSE),1)</f>
        <v>0.96120133463014379</v>
      </c>
      <c r="BX761" s="4">
        <f>AVERAGE(Grandview_Inventory[[#This Row],[qual_adj]:[size_adj]])</f>
        <v>0.96134204983250116</v>
      </c>
      <c r="BY761" s="6">
        <f>IF(Grandview_Inventory[[#This Row],[pre_res]]&lt;0,0,Grandview_Inventory[[#This Row],[pre_res]]*Grandview_Inventory[[#This Row],[overall_adj]])</f>
        <v>371868.95662222139</v>
      </c>
      <c r="BZ761" s="6">
        <f>(Grandview_Inventory[[#This Row],[sum_land]]-IF(Grandview_Inventory[[#This Row],[no_utilities]]=1,12000,0))/IF(Grandview_Inventory[[#This Row],[unbuildable]]=1,2,1)</f>
        <v>84995.706748767392</v>
      </c>
      <c r="CA761">
        <f>IF(ROUND(Grandview_Inventory[[#This Row],[adj_land]]*Lookups!$M$28,-2)&lt;Grandview_Inventory[[#This Row],[min_land]],Grandview_Inventory[[#This Row],[min_land]],ROUND(Grandview_Inventory[[#This Row],[adj_land]]*Lookups!$M$28,-2))</f>
        <v>80700</v>
      </c>
      <c r="CB761">
        <f>ROUND(Grandview_Inventory[[#This Row],[det_value]]*Lookups!$M$28,-2)</f>
        <v>44600</v>
      </c>
      <c r="CC761">
        <f>IF(ROUND(Grandview_Inventory[[#This Row],[adj_res]]*Lookups!$M$28,-2)&lt;Grandview_Inventory[[#This Row],[min_res]],Grandview_Inventory[[#This Row],[min_res]],ROUND(Grandview_Inventory[[#This Row],[adj_res]]*Lookups!$M$28,-2))</f>
        <v>353300</v>
      </c>
      <c r="CD761">
        <f>Grandview_Inventory[[#This Row],[final_det]]+Grandview_Inventory[[#This Row],[final_res]]</f>
        <v>397900</v>
      </c>
      <c r="CE761">
        <f>Grandview_Inventory[[#This Row],[final_land]]+Grandview_Inventory[[#This Row],[final_imp]]+Grandview_Inventory[[#This Row],[crop_value]]</f>
        <v>478600</v>
      </c>
      <c r="CG761" t="str">
        <f t="shared" si="11"/>
        <v>update valuation set market_land =80700, market_bldg=397900, market_total =478600, market_mdno =401, market_date ='9/10/2023' where link_id = (select link_id from parcel where parcel_year = '2024' and parcel_id = '23092231506');</v>
      </c>
    </row>
    <row r="762" spans="1:85" x14ac:dyDescent="0.25">
      <c r="A762">
        <v>23092231510</v>
      </c>
      <c r="B762">
        <v>0.2</v>
      </c>
      <c r="C762">
        <v>8914</v>
      </c>
      <c r="D762" t="s">
        <v>129</v>
      </c>
      <c r="E762" t="s">
        <v>53</v>
      </c>
      <c r="F762" t="s">
        <v>53</v>
      </c>
      <c r="G762">
        <v>4</v>
      </c>
      <c r="H762" t="s">
        <v>54</v>
      </c>
      <c r="I762">
        <v>222200</v>
      </c>
      <c r="J762">
        <v>39300</v>
      </c>
      <c r="K762">
        <v>0.2</v>
      </c>
      <c r="L76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62">
        <v>0</v>
      </c>
      <c r="N762">
        <v>0</v>
      </c>
      <c r="O762">
        <v>0</v>
      </c>
      <c r="P762">
        <v>13398.7528</v>
      </c>
      <c r="Q762">
        <v>63903</v>
      </c>
      <c r="R762">
        <f>(Grandview_Inventory[[#This Row],[ln_acres]]*Grandview_Inventory[[#This Row],[coeff]])+Grandview_Inventory[[#This Row],[const]]</f>
        <v>42338.539264347448</v>
      </c>
      <c r="S762" t="s">
        <v>61</v>
      </c>
      <c r="T762">
        <v>1</v>
      </c>
      <c r="U762" t="s">
        <v>65</v>
      </c>
      <c r="V762" t="s">
        <v>67</v>
      </c>
      <c r="W762">
        <v>0</v>
      </c>
      <c r="X762">
        <v>0</v>
      </c>
      <c r="Y762">
        <v>19</v>
      </c>
      <c r="Z762">
        <v>19</v>
      </c>
      <c r="AA762">
        <v>20</v>
      </c>
      <c r="AB762">
        <v>1500</v>
      </c>
      <c r="AC762">
        <v>1381</v>
      </c>
      <c r="AD762">
        <v>1381</v>
      </c>
      <c r="AE762">
        <v>0</v>
      </c>
      <c r="AF762">
        <v>0</v>
      </c>
      <c r="AG762">
        <v>0</v>
      </c>
      <c r="AH762">
        <v>0</v>
      </c>
      <c r="AI762">
        <v>300</v>
      </c>
      <c r="AJ762">
        <v>0</v>
      </c>
      <c r="AK762">
        <v>0</v>
      </c>
      <c r="AL762">
        <v>0</v>
      </c>
      <c r="AM762">
        <v>224</v>
      </c>
      <c r="AN762">
        <v>0</v>
      </c>
      <c r="AO762">
        <v>0</v>
      </c>
      <c r="AP762">
        <v>8</v>
      </c>
      <c r="AQ762">
        <v>0</v>
      </c>
      <c r="AR762">
        <v>0</v>
      </c>
      <c r="AS762" t="s">
        <v>58</v>
      </c>
      <c r="AT762">
        <v>1</v>
      </c>
      <c r="AU762" t="s">
        <v>63</v>
      </c>
      <c r="AV762" t="s">
        <v>60</v>
      </c>
      <c r="AW762">
        <v>1</v>
      </c>
      <c r="AX762">
        <v>3</v>
      </c>
      <c r="AY762">
        <v>0</v>
      </c>
      <c r="AZ762">
        <v>0</v>
      </c>
      <c r="BA762">
        <v>100</v>
      </c>
      <c r="BB762">
        <v>100</v>
      </c>
      <c r="BC762">
        <v>100</v>
      </c>
      <c r="BD762">
        <v>100</v>
      </c>
      <c r="BE762">
        <v>1</v>
      </c>
      <c r="BF762">
        <v>15000</v>
      </c>
      <c r="BG762">
        <v>1000</v>
      </c>
      <c r="BH762" s="6">
        <f>Grandview_Inventory[[#This Row],[land_extract]]*Lookups!$B$3</f>
        <v>49167.631333630678</v>
      </c>
      <c r="BI762" s="6">
        <f>IF(Grandview_Inventory[[#This Row],[bldg_style]]="",0,Lookups!$B$2)</f>
        <v>155833.95000000001</v>
      </c>
      <c r="BJ762" s="6">
        <f>_xlfn.IFNA(VLOOKUP(Grandview_Inventory[[#This Row],[quality]],Lookups!$H$2:$J$14,3,FALSE),0)</f>
        <v>2251</v>
      </c>
      <c r="BK762" s="6">
        <f>_xlfn.IFNA(VLOOKUP(Grandview_Inventory[[#This Row],[condition]],Lookups!$H$17:$J$24,3,FALSE),0)</f>
        <v>22342</v>
      </c>
      <c r="BL762" s="6">
        <f>Grandview_Inventory[[#This Row],[Eff_Age]]*Lookups!$B$14</f>
        <v>-4544.1653999999999</v>
      </c>
      <c r="BM762" s="6">
        <f>Grandview_Inventory[[#This Row],[living_area]]*Lookups!$B$15</f>
        <v>86147.957993000004</v>
      </c>
      <c r="BN762" s="6">
        <f>Grandview_Inventory[[#This Row],[Fin BSMT]]*Lookups!$B$16</f>
        <v>0</v>
      </c>
      <c r="BO762" s="6">
        <f>(Grandview_Inventory[[#This Row],[att_gar]]+Grandview_Inventory[[#This Row],[bltin_gar]])*Lookups!$B$17</f>
        <v>26256.131099999999</v>
      </c>
      <c r="BP762" s="6">
        <f>Grandview_Inventory[[#This Row],[Plumbing Fixtures]]*Lookups!$B$18</f>
        <v>16083.5344</v>
      </c>
      <c r="BQ762" s="6">
        <f>Grandview_Inventory[[#This Row],[detatched_value]]*Lookups!$B$19</f>
        <v>0</v>
      </c>
      <c r="BR762" s="6">
        <f>SUM(Grandview_Inventory[[#This Row],[Intercept]:[det_value]])*Grandview_Inventory[[#This Row],[res_pct]]</f>
        <v>304370.40809300001</v>
      </c>
      <c r="BS762" s="6">
        <f>Grandview_Inventory[[#This Row],[land_value]]</f>
        <v>49167.631333630678</v>
      </c>
      <c r="BT762" s="4">
        <f>_xlfn.IFNA(VLOOKUP(Grandview_Inventory[[#This Row],[quality]],Lookups!$A$26:$C$33,3,FALSE),1)</f>
        <v>0.98763855981004833</v>
      </c>
      <c r="BU762" s="4">
        <f>_xlfn.IFNA(VLOOKUP(Grandview_Inventory[[#This Row],[condition]],Lookups!$A$37:$C$44,3,FALSE),1)</f>
        <v>0.97383723671140243</v>
      </c>
      <c r="BV762" s="4">
        <f>IF(Grandview_Inventory[[#This Row],[bldg_style]]="",1,_xlfn.IFNA(VLOOKUP(Grandview_Inventory[[#This Row],[decade]],Lookups!$F$29:$H$43,3,FALSE),1))</f>
        <v>0.96737494181490646</v>
      </c>
      <c r="BW762" s="4">
        <f>_xlfn.IFNA(VLOOKUP(Grandview_Inventory[[#This Row],[living_area_range]],Lookups!$F$47:$H$56,3,FALSE),1)</f>
        <v>0.96135087979789358</v>
      </c>
      <c r="BX762" s="4">
        <f>AVERAGE(Grandview_Inventory[[#This Row],[qual_adj]:[size_adj]])</f>
        <v>0.97255040453356267</v>
      </c>
      <c r="BY762" s="6">
        <f>IF(Grandview_Inventory[[#This Row],[pre_res]]&lt;0,0,Grandview_Inventory[[#This Row],[pre_res]]*Grandview_Inventory[[#This Row],[overall_adj]])</f>
        <v>296015.56351889274</v>
      </c>
      <c r="BZ762" s="6">
        <f>(Grandview_Inventory[[#This Row],[sum_land]]-IF(Grandview_Inventory[[#This Row],[no_utilities]]=1,12000,0))/IF(Grandview_Inventory[[#This Row],[unbuildable]]=1,2,1)</f>
        <v>49167.631333630678</v>
      </c>
      <c r="CA76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62">
        <f>ROUND(Grandview_Inventory[[#This Row],[det_value]]*Lookups!$M$28,-2)</f>
        <v>0</v>
      </c>
      <c r="CC762">
        <f>IF(ROUND(Grandview_Inventory[[#This Row],[adj_res]]*Lookups!$M$28,-2)&lt;Grandview_Inventory[[#This Row],[min_res]],Grandview_Inventory[[#This Row],[min_res]],ROUND(Grandview_Inventory[[#This Row],[adj_res]]*Lookups!$M$28,-2))</f>
        <v>281200</v>
      </c>
      <c r="CD762">
        <f>Grandview_Inventory[[#This Row],[final_det]]+Grandview_Inventory[[#This Row],[final_res]]</f>
        <v>281200</v>
      </c>
      <c r="CE762">
        <f>Grandview_Inventory[[#This Row],[final_land]]+Grandview_Inventory[[#This Row],[final_imp]]+Grandview_Inventory[[#This Row],[crop_value]]</f>
        <v>327900</v>
      </c>
      <c r="CG762" t="str">
        <f t="shared" si="11"/>
        <v>update valuation set market_land =46700, market_bldg=281200, market_total =327900, market_mdno =401, market_date ='9/10/2023' where link_id = (select link_id from parcel where parcel_year = '2024' and parcel_id = '23092231510');</v>
      </c>
    </row>
    <row r="763" spans="1:85" x14ac:dyDescent="0.25">
      <c r="A763">
        <v>23092231511</v>
      </c>
      <c r="B763">
        <v>0.18</v>
      </c>
      <c r="C763">
        <v>7837</v>
      </c>
      <c r="D763" t="s">
        <v>129</v>
      </c>
      <c r="E763" t="s">
        <v>53</v>
      </c>
      <c r="F763" t="s">
        <v>53</v>
      </c>
      <c r="G763">
        <v>4</v>
      </c>
      <c r="H763" t="s">
        <v>54</v>
      </c>
      <c r="I763">
        <v>220400</v>
      </c>
      <c r="J763">
        <v>39000</v>
      </c>
      <c r="K763">
        <v>0.18</v>
      </c>
      <c r="L76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763">
        <v>0</v>
      </c>
      <c r="N763">
        <v>0</v>
      </c>
      <c r="O763">
        <v>0</v>
      </c>
      <c r="P763">
        <v>13398.7528</v>
      </c>
      <c r="Q763">
        <v>63903</v>
      </c>
      <c r="R763">
        <f>(Grandview_Inventory[[#This Row],[ln_acres]]*Grandview_Inventory[[#This Row],[coeff]])+Grandview_Inventory[[#This Row],[const]]</f>
        <v>40926.839760167699</v>
      </c>
      <c r="S763" t="s">
        <v>61</v>
      </c>
      <c r="T763">
        <v>1</v>
      </c>
      <c r="U763" t="s">
        <v>65</v>
      </c>
      <c r="V763" t="s">
        <v>67</v>
      </c>
      <c r="W763">
        <v>0</v>
      </c>
      <c r="X763">
        <v>0</v>
      </c>
      <c r="Y763">
        <v>19</v>
      </c>
      <c r="Z763">
        <v>19</v>
      </c>
      <c r="AA763">
        <v>20</v>
      </c>
      <c r="AB763">
        <v>1500</v>
      </c>
      <c r="AC763">
        <v>1396</v>
      </c>
      <c r="AD763">
        <v>1396</v>
      </c>
      <c r="AE763">
        <v>0</v>
      </c>
      <c r="AF763">
        <v>0</v>
      </c>
      <c r="AG763">
        <v>0</v>
      </c>
      <c r="AH763">
        <v>0</v>
      </c>
      <c r="AI763">
        <v>260</v>
      </c>
      <c r="AJ763">
        <v>0</v>
      </c>
      <c r="AK763">
        <v>0</v>
      </c>
      <c r="AL763">
        <v>0</v>
      </c>
      <c r="AM763">
        <v>224</v>
      </c>
      <c r="AN763">
        <v>0</v>
      </c>
      <c r="AO763">
        <v>0</v>
      </c>
      <c r="AP763">
        <v>8</v>
      </c>
      <c r="AQ763">
        <v>0</v>
      </c>
      <c r="AR763">
        <v>0</v>
      </c>
      <c r="AS763" t="s">
        <v>58</v>
      </c>
      <c r="AT763">
        <v>1</v>
      </c>
      <c r="AU763" t="s">
        <v>63</v>
      </c>
      <c r="AV763" t="s">
        <v>60</v>
      </c>
      <c r="AW763">
        <v>1</v>
      </c>
      <c r="AX763">
        <v>3</v>
      </c>
      <c r="AY763">
        <v>0</v>
      </c>
      <c r="AZ763">
        <v>0</v>
      </c>
      <c r="BA763">
        <v>100</v>
      </c>
      <c r="BB763">
        <v>100</v>
      </c>
      <c r="BC763">
        <v>100</v>
      </c>
      <c r="BD763">
        <v>100</v>
      </c>
      <c r="BE763">
        <v>1</v>
      </c>
      <c r="BF763">
        <v>15000</v>
      </c>
      <c r="BG763">
        <v>1000</v>
      </c>
      <c r="BH763" s="6">
        <f>Grandview_Inventory[[#This Row],[land_extract]]*Lookups!$B$3</f>
        <v>47528.228511015397</v>
      </c>
      <c r="BI763" s="6">
        <f>IF(Grandview_Inventory[[#This Row],[bldg_style]]="",0,Lookups!$B$2)</f>
        <v>155833.95000000001</v>
      </c>
      <c r="BJ763" s="6">
        <f>_xlfn.IFNA(VLOOKUP(Grandview_Inventory[[#This Row],[quality]],Lookups!$H$2:$J$14,3,FALSE),0)</f>
        <v>2251</v>
      </c>
      <c r="BK763" s="6">
        <f>_xlfn.IFNA(VLOOKUP(Grandview_Inventory[[#This Row],[condition]],Lookups!$H$17:$J$24,3,FALSE),0)</f>
        <v>22342</v>
      </c>
      <c r="BL763" s="6">
        <f>Grandview_Inventory[[#This Row],[Eff_Age]]*Lookups!$B$14</f>
        <v>-4544.1653999999999</v>
      </c>
      <c r="BM763" s="6">
        <f>Grandview_Inventory[[#This Row],[living_area]]*Lookups!$B$15</f>
        <v>87083.670788000003</v>
      </c>
      <c r="BN763" s="6">
        <f>Grandview_Inventory[[#This Row],[Fin BSMT]]*Lookups!$B$16</f>
        <v>0</v>
      </c>
      <c r="BO763" s="6">
        <f>(Grandview_Inventory[[#This Row],[att_gar]]+Grandview_Inventory[[#This Row],[bltin_gar]])*Lookups!$B$17</f>
        <v>22755.313620000001</v>
      </c>
      <c r="BP763" s="6">
        <f>Grandview_Inventory[[#This Row],[Plumbing Fixtures]]*Lookups!$B$18</f>
        <v>16083.5344</v>
      </c>
      <c r="BQ763" s="6">
        <f>Grandview_Inventory[[#This Row],[detatched_value]]*Lookups!$B$19</f>
        <v>0</v>
      </c>
      <c r="BR763" s="6">
        <f>SUM(Grandview_Inventory[[#This Row],[Intercept]:[det_value]])*Grandview_Inventory[[#This Row],[res_pct]]</f>
        <v>301805.30340800004</v>
      </c>
      <c r="BS763" s="6">
        <f>Grandview_Inventory[[#This Row],[land_value]]</f>
        <v>47528.228511015397</v>
      </c>
      <c r="BT763" s="4">
        <f>_xlfn.IFNA(VLOOKUP(Grandview_Inventory[[#This Row],[quality]],Lookups!$A$26:$C$33,3,FALSE),1)</f>
        <v>0.98763855981004833</v>
      </c>
      <c r="BU763" s="4">
        <f>_xlfn.IFNA(VLOOKUP(Grandview_Inventory[[#This Row],[condition]],Lookups!$A$37:$C$44,3,FALSE),1)</f>
        <v>0.97383723671140243</v>
      </c>
      <c r="BV763" s="4">
        <f>IF(Grandview_Inventory[[#This Row],[bldg_style]]="",1,_xlfn.IFNA(VLOOKUP(Grandview_Inventory[[#This Row],[decade]],Lookups!$F$29:$H$43,3,FALSE),1))</f>
        <v>0.96737494181490646</v>
      </c>
      <c r="BW763" s="4">
        <f>_xlfn.IFNA(VLOOKUP(Grandview_Inventory[[#This Row],[living_area_range]],Lookups!$F$47:$H$56,3,FALSE),1)</f>
        <v>0.96135087979789358</v>
      </c>
      <c r="BX763" s="4">
        <f>AVERAGE(Grandview_Inventory[[#This Row],[qual_adj]:[size_adj]])</f>
        <v>0.97255040453356267</v>
      </c>
      <c r="BY763" s="6">
        <f>IF(Grandview_Inventory[[#This Row],[pre_res]]&lt;0,0,Grandview_Inventory[[#This Row],[pre_res]]*Grandview_Inventory[[#This Row],[overall_adj]])</f>
        <v>293520.86991982505</v>
      </c>
      <c r="BZ763" s="6">
        <f>(Grandview_Inventory[[#This Row],[sum_land]]-IF(Grandview_Inventory[[#This Row],[no_utilities]]=1,12000,0))/IF(Grandview_Inventory[[#This Row],[unbuildable]]=1,2,1)</f>
        <v>47528.228511015397</v>
      </c>
      <c r="CA76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763">
        <f>ROUND(Grandview_Inventory[[#This Row],[det_value]]*Lookups!$M$28,-2)</f>
        <v>0</v>
      </c>
      <c r="CC763">
        <f>IF(ROUND(Grandview_Inventory[[#This Row],[adj_res]]*Lookups!$M$28,-2)&lt;Grandview_Inventory[[#This Row],[min_res]],Grandview_Inventory[[#This Row],[min_res]],ROUND(Grandview_Inventory[[#This Row],[adj_res]]*Lookups!$M$28,-2))</f>
        <v>278800</v>
      </c>
      <c r="CD763">
        <f>Grandview_Inventory[[#This Row],[final_det]]+Grandview_Inventory[[#This Row],[final_res]]</f>
        <v>278800</v>
      </c>
      <c r="CE763">
        <f>Grandview_Inventory[[#This Row],[final_land]]+Grandview_Inventory[[#This Row],[final_imp]]+Grandview_Inventory[[#This Row],[crop_value]]</f>
        <v>324000</v>
      </c>
      <c r="CG763" t="str">
        <f t="shared" si="11"/>
        <v>update valuation set market_land =45200, market_bldg=278800, market_total =324000, market_mdno =401, market_date ='9/10/2023' where link_id = (select link_id from parcel where parcel_year = '2024' and parcel_id = '23092231511');</v>
      </c>
    </row>
    <row r="764" spans="1:85" x14ac:dyDescent="0.25">
      <c r="A764">
        <v>23092231513</v>
      </c>
      <c r="B764">
        <v>0.19</v>
      </c>
      <c r="C764">
        <v>8380</v>
      </c>
      <c r="D764" t="s">
        <v>129</v>
      </c>
      <c r="E764" t="s">
        <v>53</v>
      </c>
      <c r="F764" t="s">
        <v>53</v>
      </c>
      <c r="G764">
        <v>4</v>
      </c>
      <c r="H764" t="s">
        <v>54</v>
      </c>
      <c r="I764">
        <v>218400</v>
      </c>
      <c r="J764">
        <v>43500</v>
      </c>
      <c r="K764">
        <v>0.19</v>
      </c>
      <c r="L76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764">
        <v>0</v>
      </c>
      <c r="N764">
        <v>0</v>
      </c>
      <c r="O764">
        <v>0</v>
      </c>
      <c r="P764">
        <v>13398.7528</v>
      </c>
      <c r="Q764">
        <v>63903</v>
      </c>
      <c r="R764">
        <f>(Grandview_Inventory[[#This Row],[ln_acres]]*Grandview_Inventory[[#This Row],[coeff]])+Grandview_Inventory[[#This Row],[const]]</f>
        <v>41651.273092551026</v>
      </c>
      <c r="S764" t="s">
        <v>61</v>
      </c>
      <c r="T764">
        <v>1</v>
      </c>
      <c r="U764" t="s">
        <v>62</v>
      </c>
      <c r="V764" t="s">
        <v>67</v>
      </c>
      <c r="W764">
        <v>0</v>
      </c>
      <c r="X764">
        <v>0</v>
      </c>
      <c r="Y764">
        <v>19</v>
      </c>
      <c r="Z764">
        <v>19</v>
      </c>
      <c r="AA764">
        <v>20</v>
      </c>
      <c r="AB764">
        <v>1500</v>
      </c>
      <c r="AC764">
        <v>1396</v>
      </c>
      <c r="AD764">
        <v>1396</v>
      </c>
      <c r="AE764">
        <v>0</v>
      </c>
      <c r="AF764">
        <v>0</v>
      </c>
      <c r="AG764">
        <v>0</v>
      </c>
      <c r="AH764">
        <v>0</v>
      </c>
      <c r="AI764">
        <v>260</v>
      </c>
      <c r="AJ764">
        <v>0</v>
      </c>
      <c r="AK764">
        <v>0</v>
      </c>
      <c r="AL764">
        <v>0</v>
      </c>
      <c r="AM764">
        <v>224</v>
      </c>
      <c r="AN764">
        <v>0</v>
      </c>
      <c r="AO764">
        <v>0</v>
      </c>
      <c r="AP764">
        <v>8</v>
      </c>
      <c r="AQ764">
        <v>0</v>
      </c>
      <c r="AR764">
        <v>0</v>
      </c>
      <c r="AS764" t="s">
        <v>58</v>
      </c>
      <c r="AT764">
        <v>1</v>
      </c>
      <c r="AU764" t="s">
        <v>63</v>
      </c>
      <c r="AV764" t="s">
        <v>60</v>
      </c>
      <c r="AW764">
        <v>1</v>
      </c>
      <c r="AX764">
        <v>3</v>
      </c>
      <c r="AY764">
        <v>0</v>
      </c>
      <c r="AZ764">
        <v>0</v>
      </c>
      <c r="BA764">
        <v>100</v>
      </c>
      <c r="BB764">
        <v>100</v>
      </c>
      <c r="BC764">
        <v>100</v>
      </c>
      <c r="BD764">
        <v>100</v>
      </c>
      <c r="BE764">
        <v>1</v>
      </c>
      <c r="BF764">
        <v>15000</v>
      </c>
      <c r="BG764">
        <v>1000</v>
      </c>
      <c r="BH764" s="6">
        <f>Grandview_Inventory[[#This Row],[land_extract]]*Lookups!$B$3</f>
        <v>48369.510983942157</v>
      </c>
      <c r="BI764" s="6">
        <f>IF(Grandview_Inventory[[#This Row],[bldg_style]]="",0,Lookups!$B$2)</f>
        <v>155833.95000000001</v>
      </c>
      <c r="BJ764" s="6">
        <f>_xlfn.IFNA(VLOOKUP(Grandview_Inventory[[#This Row],[quality]],Lookups!$H$2:$J$14,3,FALSE),0)</f>
        <v>9808</v>
      </c>
      <c r="BK764" s="6">
        <f>_xlfn.IFNA(VLOOKUP(Grandview_Inventory[[#This Row],[condition]],Lookups!$H$17:$J$24,3,FALSE),0)</f>
        <v>22342</v>
      </c>
      <c r="BL764" s="6">
        <f>Grandview_Inventory[[#This Row],[Eff_Age]]*Lookups!$B$14</f>
        <v>-4544.1653999999999</v>
      </c>
      <c r="BM764" s="6">
        <f>Grandview_Inventory[[#This Row],[living_area]]*Lookups!$B$15</f>
        <v>87083.670788000003</v>
      </c>
      <c r="BN764" s="6">
        <f>Grandview_Inventory[[#This Row],[Fin BSMT]]*Lookups!$B$16</f>
        <v>0</v>
      </c>
      <c r="BO764" s="6">
        <f>(Grandview_Inventory[[#This Row],[att_gar]]+Grandview_Inventory[[#This Row],[bltin_gar]])*Lookups!$B$17</f>
        <v>22755.313620000001</v>
      </c>
      <c r="BP764" s="6">
        <f>Grandview_Inventory[[#This Row],[Plumbing Fixtures]]*Lookups!$B$18</f>
        <v>16083.5344</v>
      </c>
      <c r="BQ764" s="6">
        <f>Grandview_Inventory[[#This Row],[detatched_value]]*Lookups!$B$19</f>
        <v>0</v>
      </c>
      <c r="BR764" s="6">
        <f>SUM(Grandview_Inventory[[#This Row],[Intercept]:[det_value]])*Grandview_Inventory[[#This Row],[res_pct]]</f>
        <v>309362.30340800004</v>
      </c>
      <c r="BS764" s="6">
        <f>Grandview_Inventory[[#This Row],[land_value]]</f>
        <v>48369.510983942157</v>
      </c>
      <c r="BT764" s="4">
        <f>_xlfn.IFNA(VLOOKUP(Grandview_Inventory[[#This Row],[quality]],Lookups!$A$26:$C$33,3,FALSE),1)</f>
        <v>0.94295468617355149</v>
      </c>
      <c r="BU764" s="4">
        <f>_xlfn.IFNA(VLOOKUP(Grandview_Inventory[[#This Row],[condition]],Lookups!$A$37:$C$44,3,FALSE),1)</f>
        <v>0.97383723671140243</v>
      </c>
      <c r="BV764" s="4">
        <f>IF(Grandview_Inventory[[#This Row],[bldg_style]]="",1,_xlfn.IFNA(VLOOKUP(Grandview_Inventory[[#This Row],[decade]],Lookups!$F$29:$H$43,3,FALSE),1))</f>
        <v>0.96737494181490646</v>
      </c>
      <c r="BW764" s="4">
        <f>_xlfn.IFNA(VLOOKUP(Grandview_Inventory[[#This Row],[living_area_range]],Lookups!$F$47:$H$56,3,FALSE),1)</f>
        <v>0.96135087979789358</v>
      </c>
      <c r="BX764" s="4">
        <f>AVERAGE(Grandview_Inventory[[#This Row],[qual_adj]:[size_adj]])</f>
        <v>0.96137943612443855</v>
      </c>
      <c r="BY764" s="6">
        <f>IF(Grandview_Inventory[[#This Row],[pre_res]]&lt;0,0,Grandview_Inventory[[#This Row],[pre_res]]*Grandview_Inventory[[#This Row],[overall_adj]])</f>
        <v>297414.55680854054</v>
      </c>
      <c r="BZ764" s="6">
        <f>(Grandview_Inventory[[#This Row],[sum_land]]-IF(Grandview_Inventory[[#This Row],[no_utilities]]=1,12000,0))/IF(Grandview_Inventory[[#This Row],[unbuildable]]=1,2,1)</f>
        <v>48369.510983942157</v>
      </c>
      <c r="CA76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764">
        <f>ROUND(Grandview_Inventory[[#This Row],[det_value]]*Lookups!$M$28,-2)</f>
        <v>0</v>
      </c>
      <c r="CC764">
        <f>IF(ROUND(Grandview_Inventory[[#This Row],[adj_res]]*Lookups!$M$28,-2)&lt;Grandview_Inventory[[#This Row],[min_res]],Grandview_Inventory[[#This Row],[min_res]],ROUND(Grandview_Inventory[[#This Row],[adj_res]]*Lookups!$M$28,-2))</f>
        <v>282500</v>
      </c>
      <c r="CD764">
        <f>Grandview_Inventory[[#This Row],[final_det]]+Grandview_Inventory[[#This Row],[final_res]]</f>
        <v>282500</v>
      </c>
      <c r="CE764">
        <f>Grandview_Inventory[[#This Row],[final_land]]+Grandview_Inventory[[#This Row],[final_imp]]+Grandview_Inventory[[#This Row],[crop_value]]</f>
        <v>328500</v>
      </c>
      <c r="CG764" t="str">
        <f t="shared" si="11"/>
        <v>update valuation set market_land =46000, market_bldg=282500, market_total =328500, market_mdno =401, market_date ='9/10/2023' where link_id = (select link_id from parcel where parcel_year = '2024' and parcel_id = '23092231513');</v>
      </c>
    </row>
    <row r="765" spans="1:85" x14ac:dyDescent="0.25">
      <c r="A765">
        <v>23092231514</v>
      </c>
      <c r="B765">
        <v>0.16</v>
      </c>
      <c r="C765">
        <v>7008</v>
      </c>
      <c r="D765" t="s">
        <v>129</v>
      </c>
      <c r="E765" t="s">
        <v>53</v>
      </c>
      <c r="F765" t="s">
        <v>53</v>
      </c>
      <c r="G765">
        <v>4</v>
      </c>
      <c r="H765" t="s">
        <v>54</v>
      </c>
      <c r="I765">
        <v>212400</v>
      </c>
      <c r="J765">
        <v>38600</v>
      </c>
      <c r="K765">
        <v>0.16</v>
      </c>
      <c r="L76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65">
        <v>0</v>
      </c>
      <c r="N765">
        <v>0</v>
      </c>
      <c r="O765">
        <v>0</v>
      </c>
      <c r="P765">
        <v>13398.7528</v>
      </c>
      <c r="Q765">
        <v>63903</v>
      </c>
      <c r="R765">
        <f>(Grandview_Inventory[[#This Row],[ln_acres]]*Grandview_Inventory[[#This Row],[coeff]])+Grandview_Inventory[[#This Row],[const]]</f>
        <v>39348.693981374228</v>
      </c>
      <c r="S765" t="s">
        <v>61</v>
      </c>
      <c r="T765">
        <v>1</v>
      </c>
      <c r="U765" t="s">
        <v>62</v>
      </c>
      <c r="V765" t="s">
        <v>67</v>
      </c>
      <c r="W765">
        <v>0</v>
      </c>
      <c r="X765">
        <v>0</v>
      </c>
      <c r="Y765">
        <v>20</v>
      </c>
      <c r="Z765">
        <v>20</v>
      </c>
      <c r="AA765">
        <v>20</v>
      </c>
      <c r="AB765">
        <v>1500</v>
      </c>
      <c r="AC765">
        <v>1266</v>
      </c>
      <c r="AD765">
        <v>1266</v>
      </c>
      <c r="AE765">
        <v>0</v>
      </c>
      <c r="AF765">
        <v>0</v>
      </c>
      <c r="AG765">
        <v>0</v>
      </c>
      <c r="AH765">
        <v>0</v>
      </c>
      <c r="AI765">
        <v>280</v>
      </c>
      <c r="AJ765">
        <v>0</v>
      </c>
      <c r="AK765">
        <v>0</v>
      </c>
      <c r="AL765">
        <v>0</v>
      </c>
      <c r="AM765">
        <v>0</v>
      </c>
      <c r="AN765">
        <v>84</v>
      </c>
      <c r="AO765">
        <v>0</v>
      </c>
      <c r="AP765">
        <v>8</v>
      </c>
      <c r="AQ765">
        <v>0</v>
      </c>
      <c r="AR765">
        <v>0</v>
      </c>
      <c r="AS765" t="s">
        <v>58</v>
      </c>
      <c r="AT765">
        <v>1</v>
      </c>
      <c r="AU765" t="s">
        <v>63</v>
      </c>
      <c r="AV765" t="s">
        <v>60</v>
      </c>
      <c r="AW765">
        <v>1</v>
      </c>
      <c r="AX765">
        <v>3</v>
      </c>
      <c r="AY765">
        <v>0</v>
      </c>
      <c r="AZ765">
        <v>0</v>
      </c>
      <c r="BA765">
        <v>100</v>
      </c>
      <c r="BB765">
        <v>100</v>
      </c>
      <c r="BC765">
        <v>100</v>
      </c>
      <c r="BD765">
        <v>100</v>
      </c>
      <c r="BE765">
        <v>1</v>
      </c>
      <c r="BF765">
        <v>15000</v>
      </c>
      <c r="BG765">
        <v>1000</v>
      </c>
      <c r="BH765" s="6">
        <f>Grandview_Inventory[[#This Row],[land_extract]]*Lookups!$B$3</f>
        <v>45695.532079096141</v>
      </c>
      <c r="BI765" s="6">
        <f>IF(Grandview_Inventory[[#This Row],[bldg_style]]="",0,Lookups!$B$2)</f>
        <v>155833.95000000001</v>
      </c>
      <c r="BJ765" s="6">
        <f>_xlfn.IFNA(VLOOKUP(Grandview_Inventory[[#This Row],[quality]],Lookups!$H$2:$J$14,3,FALSE),0)</f>
        <v>9808</v>
      </c>
      <c r="BK765" s="6">
        <f>_xlfn.IFNA(VLOOKUP(Grandview_Inventory[[#This Row],[condition]],Lookups!$H$17:$J$24,3,FALSE),0)</f>
        <v>22342</v>
      </c>
      <c r="BL765" s="6">
        <f>Grandview_Inventory[[#This Row],[Eff_Age]]*Lookups!$B$14</f>
        <v>-4783.3319999999994</v>
      </c>
      <c r="BM765" s="6">
        <f>Grandview_Inventory[[#This Row],[living_area]]*Lookups!$B$15</f>
        <v>78974.159897999998</v>
      </c>
      <c r="BN765" s="6">
        <f>Grandview_Inventory[[#This Row],[Fin BSMT]]*Lookups!$B$16</f>
        <v>0</v>
      </c>
      <c r="BO765" s="6">
        <f>(Grandview_Inventory[[#This Row],[att_gar]]+Grandview_Inventory[[#This Row],[bltin_gar]])*Lookups!$B$17</f>
        <v>24505.72236</v>
      </c>
      <c r="BP765" s="6">
        <f>Grandview_Inventory[[#This Row],[Plumbing Fixtures]]*Lookups!$B$18</f>
        <v>16083.5344</v>
      </c>
      <c r="BQ765" s="6">
        <f>Grandview_Inventory[[#This Row],[detatched_value]]*Lookups!$B$19</f>
        <v>0</v>
      </c>
      <c r="BR765" s="6">
        <f>SUM(Grandview_Inventory[[#This Row],[Intercept]:[det_value]])*Grandview_Inventory[[#This Row],[res_pct]]</f>
        <v>302764.03465800005</v>
      </c>
      <c r="BS765" s="6">
        <f>Grandview_Inventory[[#This Row],[land_value]]</f>
        <v>45695.532079096141</v>
      </c>
      <c r="BT765" s="4">
        <f>_xlfn.IFNA(VLOOKUP(Grandview_Inventory[[#This Row],[quality]],Lookups!$A$26:$C$33,3,FALSE),1)</f>
        <v>0.94295468617355149</v>
      </c>
      <c r="BU765" s="4">
        <f>_xlfn.IFNA(VLOOKUP(Grandview_Inventory[[#This Row],[condition]],Lookups!$A$37:$C$44,3,FALSE),1)</f>
        <v>0.97383723671140243</v>
      </c>
      <c r="BV765" s="4">
        <f>IF(Grandview_Inventory[[#This Row],[bldg_style]]="",1,_xlfn.IFNA(VLOOKUP(Grandview_Inventory[[#This Row],[decade]],Lookups!$F$29:$H$43,3,FALSE),1))</f>
        <v>0.96737494181490646</v>
      </c>
      <c r="BW765" s="4">
        <f>_xlfn.IFNA(VLOOKUP(Grandview_Inventory[[#This Row],[living_area_range]],Lookups!$F$47:$H$56,3,FALSE),1)</f>
        <v>0.96135087979789358</v>
      </c>
      <c r="BX765" s="4">
        <f>AVERAGE(Grandview_Inventory[[#This Row],[qual_adj]:[size_adj]])</f>
        <v>0.96137943612443855</v>
      </c>
      <c r="BY765" s="6">
        <f>IF(Grandview_Inventory[[#This Row],[pre_res]]&lt;0,0,Grandview_Inventory[[#This Row],[pre_res]]*Grandview_Inventory[[#This Row],[overall_adj]])</f>
        <v>291071.11691826803</v>
      </c>
      <c r="BZ765" s="6">
        <f>(Grandview_Inventory[[#This Row],[sum_land]]-IF(Grandview_Inventory[[#This Row],[no_utilities]]=1,12000,0))/IF(Grandview_Inventory[[#This Row],[unbuildable]]=1,2,1)</f>
        <v>45695.532079096141</v>
      </c>
      <c r="CA76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65">
        <f>ROUND(Grandview_Inventory[[#This Row],[det_value]]*Lookups!$M$28,-2)</f>
        <v>0</v>
      </c>
      <c r="CC765">
        <f>IF(ROUND(Grandview_Inventory[[#This Row],[adj_res]]*Lookups!$M$28,-2)&lt;Grandview_Inventory[[#This Row],[min_res]],Grandview_Inventory[[#This Row],[min_res]],ROUND(Grandview_Inventory[[#This Row],[adj_res]]*Lookups!$M$28,-2))</f>
        <v>276500</v>
      </c>
      <c r="CD765">
        <f>Grandview_Inventory[[#This Row],[final_det]]+Grandview_Inventory[[#This Row],[final_res]]</f>
        <v>276500</v>
      </c>
      <c r="CE765">
        <f>Grandview_Inventory[[#This Row],[final_land]]+Grandview_Inventory[[#This Row],[final_imp]]+Grandview_Inventory[[#This Row],[crop_value]]</f>
        <v>319900</v>
      </c>
      <c r="CG765" t="str">
        <f t="shared" si="11"/>
        <v>update valuation set market_land =43400, market_bldg=276500, market_total =319900, market_mdno =401, market_date ='9/10/2023' where link_id = (select link_id from parcel where parcel_year = '2024' and parcel_id = '23092231514');</v>
      </c>
    </row>
    <row r="766" spans="1:85" x14ac:dyDescent="0.25">
      <c r="A766">
        <v>23092231515</v>
      </c>
      <c r="B766">
        <v>0.16</v>
      </c>
      <c r="C766">
        <v>7009</v>
      </c>
      <c r="D766" t="s">
        <v>129</v>
      </c>
      <c r="E766" t="s">
        <v>53</v>
      </c>
      <c r="F766" t="s">
        <v>53</v>
      </c>
      <c r="G766">
        <v>4</v>
      </c>
      <c r="H766" t="s">
        <v>54</v>
      </c>
      <c r="I766">
        <v>223400</v>
      </c>
      <c r="J766">
        <v>42800</v>
      </c>
      <c r="K766">
        <v>0.16</v>
      </c>
      <c r="L76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766">
        <v>0</v>
      </c>
      <c r="N766">
        <v>0</v>
      </c>
      <c r="O766">
        <v>0</v>
      </c>
      <c r="P766">
        <v>13398.7528</v>
      </c>
      <c r="Q766">
        <v>63903</v>
      </c>
      <c r="R766">
        <f>(Grandview_Inventory[[#This Row],[ln_acres]]*Grandview_Inventory[[#This Row],[coeff]])+Grandview_Inventory[[#This Row],[const]]</f>
        <v>39348.693981374228</v>
      </c>
      <c r="S766" t="s">
        <v>61</v>
      </c>
      <c r="T766">
        <v>1</v>
      </c>
      <c r="U766" t="s">
        <v>65</v>
      </c>
      <c r="V766" t="s">
        <v>67</v>
      </c>
      <c r="W766">
        <v>0</v>
      </c>
      <c r="X766">
        <v>0</v>
      </c>
      <c r="Y766">
        <v>21</v>
      </c>
      <c r="Z766">
        <v>21</v>
      </c>
      <c r="AA766">
        <v>30</v>
      </c>
      <c r="AB766">
        <v>1500</v>
      </c>
      <c r="AC766">
        <v>1413</v>
      </c>
      <c r="AD766">
        <v>1413</v>
      </c>
      <c r="AE766">
        <v>0</v>
      </c>
      <c r="AF766">
        <v>0</v>
      </c>
      <c r="AG766">
        <v>0</v>
      </c>
      <c r="AH766">
        <v>0</v>
      </c>
      <c r="AI766">
        <v>300</v>
      </c>
      <c r="AJ766">
        <v>0</v>
      </c>
      <c r="AK766">
        <v>0</v>
      </c>
      <c r="AL766">
        <v>0</v>
      </c>
      <c r="AM766">
        <v>216</v>
      </c>
      <c r="AN766">
        <v>0</v>
      </c>
      <c r="AO766">
        <v>0</v>
      </c>
      <c r="AP766">
        <v>8</v>
      </c>
      <c r="AQ766">
        <v>0</v>
      </c>
      <c r="AR766">
        <v>0</v>
      </c>
      <c r="AS766" t="s">
        <v>58</v>
      </c>
      <c r="AT766">
        <v>1</v>
      </c>
      <c r="AU766" t="s">
        <v>63</v>
      </c>
      <c r="AV766" t="s">
        <v>60</v>
      </c>
      <c r="AW766">
        <v>1</v>
      </c>
      <c r="AX766">
        <v>3</v>
      </c>
      <c r="AY766">
        <v>0</v>
      </c>
      <c r="AZ766">
        <v>0</v>
      </c>
      <c r="BA766">
        <v>100</v>
      </c>
      <c r="BB766">
        <v>100</v>
      </c>
      <c r="BC766">
        <v>100</v>
      </c>
      <c r="BD766">
        <v>100</v>
      </c>
      <c r="BE766">
        <v>1</v>
      </c>
      <c r="BF766">
        <v>15000</v>
      </c>
      <c r="BG766">
        <v>1000</v>
      </c>
      <c r="BH766" s="6">
        <f>Grandview_Inventory[[#This Row],[land_extract]]*Lookups!$B$3</f>
        <v>45695.532079096141</v>
      </c>
      <c r="BI766" s="6">
        <f>IF(Grandview_Inventory[[#This Row],[bldg_style]]="",0,Lookups!$B$2)</f>
        <v>155833.95000000001</v>
      </c>
      <c r="BJ766" s="6">
        <f>_xlfn.IFNA(VLOOKUP(Grandview_Inventory[[#This Row],[quality]],Lookups!$H$2:$J$14,3,FALSE),0)</f>
        <v>2251</v>
      </c>
      <c r="BK766" s="6">
        <f>_xlfn.IFNA(VLOOKUP(Grandview_Inventory[[#This Row],[condition]],Lookups!$H$17:$J$24,3,FALSE),0)</f>
        <v>22342</v>
      </c>
      <c r="BL766" s="6">
        <f>Grandview_Inventory[[#This Row],[Eff_Age]]*Lookups!$B$14</f>
        <v>-5022.4985999999999</v>
      </c>
      <c r="BM766" s="6">
        <f>Grandview_Inventory[[#This Row],[living_area]]*Lookups!$B$15</f>
        <v>88144.145289000007</v>
      </c>
      <c r="BN766" s="6">
        <f>Grandview_Inventory[[#This Row],[Fin BSMT]]*Lookups!$B$16</f>
        <v>0</v>
      </c>
      <c r="BO766" s="6">
        <f>(Grandview_Inventory[[#This Row],[att_gar]]+Grandview_Inventory[[#This Row],[bltin_gar]])*Lookups!$B$17</f>
        <v>26256.131099999999</v>
      </c>
      <c r="BP766" s="6">
        <f>Grandview_Inventory[[#This Row],[Plumbing Fixtures]]*Lookups!$B$18</f>
        <v>16083.5344</v>
      </c>
      <c r="BQ766" s="6">
        <f>Grandview_Inventory[[#This Row],[detatched_value]]*Lookups!$B$19</f>
        <v>0</v>
      </c>
      <c r="BR766" s="6">
        <f>SUM(Grandview_Inventory[[#This Row],[Intercept]:[det_value]])*Grandview_Inventory[[#This Row],[res_pct]]</f>
        <v>305888.26218900003</v>
      </c>
      <c r="BS766" s="6">
        <f>Grandview_Inventory[[#This Row],[land_value]]</f>
        <v>45695.532079096141</v>
      </c>
      <c r="BT766" s="4">
        <f>_xlfn.IFNA(VLOOKUP(Grandview_Inventory[[#This Row],[quality]],Lookups!$A$26:$C$33,3,FALSE),1)</f>
        <v>0.98763855981004833</v>
      </c>
      <c r="BU766" s="4">
        <f>_xlfn.IFNA(VLOOKUP(Grandview_Inventory[[#This Row],[condition]],Lookups!$A$37:$C$44,3,FALSE),1)</f>
        <v>0.97383723671140243</v>
      </c>
      <c r="BV766" s="4">
        <f>IF(Grandview_Inventory[[#This Row],[bldg_style]]="",1,_xlfn.IFNA(VLOOKUP(Grandview_Inventory[[#This Row],[decade]],Lookups!$F$29:$H$43,3,FALSE),1))</f>
        <v>0.98397821291089549</v>
      </c>
      <c r="BW766" s="4">
        <f>_xlfn.IFNA(VLOOKUP(Grandview_Inventory[[#This Row],[living_area_range]],Lookups!$F$47:$H$56,3,FALSE),1)</f>
        <v>0.96135087979789358</v>
      </c>
      <c r="BX766" s="4">
        <f>AVERAGE(Grandview_Inventory[[#This Row],[qual_adj]:[size_adj]])</f>
        <v>0.97670122230755996</v>
      </c>
      <c r="BY766" s="6">
        <f>IF(Grandview_Inventory[[#This Row],[pre_res]]&lt;0,0,Grandview_Inventory[[#This Row],[pre_res]]*Grandview_Inventory[[#This Row],[overall_adj]])</f>
        <v>298761.43956953171</v>
      </c>
      <c r="BZ766" s="6">
        <f>(Grandview_Inventory[[#This Row],[sum_land]]-IF(Grandview_Inventory[[#This Row],[no_utilities]]=1,12000,0))/IF(Grandview_Inventory[[#This Row],[unbuildable]]=1,2,1)</f>
        <v>45695.532079096141</v>
      </c>
      <c r="CA76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766">
        <f>ROUND(Grandview_Inventory[[#This Row],[det_value]]*Lookups!$M$28,-2)</f>
        <v>0</v>
      </c>
      <c r="CC766">
        <f>IF(ROUND(Grandview_Inventory[[#This Row],[adj_res]]*Lookups!$M$28,-2)&lt;Grandview_Inventory[[#This Row],[min_res]],Grandview_Inventory[[#This Row],[min_res]],ROUND(Grandview_Inventory[[#This Row],[adj_res]]*Lookups!$M$28,-2))</f>
        <v>283800</v>
      </c>
      <c r="CD766">
        <f>Grandview_Inventory[[#This Row],[final_det]]+Grandview_Inventory[[#This Row],[final_res]]</f>
        <v>283800</v>
      </c>
      <c r="CE766">
        <f>Grandview_Inventory[[#This Row],[final_land]]+Grandview_Inventory[[#This Row],[final_imp]]+Grandview_Inventory[[#This Row],[crop_value]]</f>
        <v>327200</v>
      </c>
      <c r="CG766" t="str">
        <f t="shared" si="11"/>
        <v>update valuation set market_land =43400, market_bldg=283800, market_total =327200, market_mdno =401, market_date ='9/10/2023' where link_id = (select link_id from parcel where parcel_year = '2024' and parcel_id = '23092231515');</v>
      </c>
    </row>
    <row r="767" spans="1:85" x14ac:dyDescent="0.25">
      <c r="A767">
        <v>23092231516</v>
      </c>
      <c r="B767">
        <v>0.2</v>
      </c>
      <c r="C767">
        <v>8496</v>
      </c>
      <c r="D767" t="s">
        <v>129</v>
      </c>
      <c r="E767" t="s">
        <v>53</v>
      </c>
      <c r="F767" t="s">
        <v>53</v>
      </c>
      <c r="G767">
        <v>4</v>
      </c>
      <c r="H767" t="s">
        <v>54</v>
      </c>
      <c r="I767">
        <v>220700</v>
      </c>
      <c r="J767">
        <v>43500</v>
      </c>
      <c r="K767">
        <v>0.2</v>
      </c>
      <c r="L76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67">
        <v>0</v>
      </c>
      <c r="N767">
        <v>0</v>
      </c>
      <c r="O767">
        <v>0</v>
      </c>
      <c r="P767">
        <v>13398.7528</v>
      </c>
      <c r="Q767">
        <v>63903</v>
      </c>
      <c r="R767">
        <f>(Grandview_Inventory[[#This Row],[ln_acres]]*Grandview_Inventory[[#This Row],[coeff]])+Grandview_Inventory[[#This Row],[const]]</f>
        <v>42338.539264347448</v>
      </c>
      <c r="S767" t="s">
        <v>61</v>
      </c>
      <c r="T767">
        <v>1</v>
      </c>
      <c r="U767" t="s">
        <v>65</v>
      </c>
      <c r="V767" t="s">
        <v>67</v>
      </c>
      <c r="W767">
        <v>0</v>
      </c>
      <c r="X767">
        <v>0</v>
      </c>
      <c r="Y767">
        <v>21</v>
      </c>
      <c r="Z767">
        <v>21</v>
      </c>
      <c r="AA767">
        <v>30</v>
      </c>
      <c r="AB767">
        <v>2000</v>
      </c>
      <c r="AC767">
        <v>1700</v>
      </c>
      <c r="AD767">
        <v>1700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166</v>
      </c>
      <c r="AN767">
        <v>0</v>
      </c>
      <c r="AO767">
        <v>0</v>
      </c>
      <c r="AP767">
        <v>9</v>
      </c>
      <c r="AQ767">
        <v>0</v>
      </c>
      <c r="AR767">
        <v>0</v>
      </c>
      <c r="AS767" t="s">
        <v>58</v>
      </c>
      <c r="AT767">
        <v>1</v>
      </c>
      <c r="AU767" t="s">
        <v>63</v>
      </c>
      <c r="AV767" t="s">
        <v>60</v>
      </c>
      <c r="AW767">
        <v>1</v>
      </c>
      <c r="AX767">
        <v>3</v>
      </c>
      <c r="AY767">
        <v>0</v>
      </c>
      <c r="AZ767">
        <v>0</v>
      </c>
      <c r="BA767">
        <v>100</v>
      </c>
      <c r="BB767">
        <v>100</v>
      </c>
      <c r="BC767">
        <v>100</v>
      </c>
      <c r="BD767">
        <v>100</v>
      </c>
      <c r="BE767">
        <v>1</v>
      </c>
      <c r="BF767">
        <v>15000</v>
      </c>
      <c r="BG767">
        <v>1000</v>
      </c>
      <c r="BH767" s="6">
        <f>Grandview_Inventory[[#This Row],[land_extract]]*Lookups!$B$3</f>
        <v>49167.631333630678</v>
      </c>
      <c r="BI767" s="6">
        <f>IF(Grandview_Inventory[[#This Row],[bldg_style]]="",0,Lookups!$B$2)</f>
        <v>155833.95000000001</v>
      </c>
      <c r="BJ767" s="6">
        <f>_xlfn.IFNA(VLOOKUP(Grandview_Inventory[[#This Row],[quality]],Lookups!$H$2:$J$14,3,FALSE),0)</f>
        <v>2251</v>
      </c>
      <c r="BK767" s="6">
        <f>_xlfn.IFNA(VLOOKUP(Grandview_Inventory[[#This Row],[condition]],Lookups!$H$17:$J$24,3,FALSE),0)</f>
        <v>22342</v>
      </c>
      <c r="BL767" s="6">
        <f>Grandview_Inventory[[#This Row],[Eff_Age]]*Lookups!$B$14</f>
        <v>-5022.4985999999999</v>
      </c>
      <c r="BM767" s="6">
        <f>Grandview_Inventory[[#This Row],[living_area]]*Lookups!$B$15</f>
        <v>106047.4501</v>
      </c>
      <c r="BN767" s="6">
        <f>Grandview_Inventory[[#This Row],[Fin BSMT]]*Lookups!$B$16</f>
        <v>0</v>
      </c>
      <c r="BO767" s="6">
        <f>(Grandview_Inventory[[#This Row],[att_gar]]+Grandview_Inventory[[#This Row],[bltin_gar]])*Lookups!$B$17</f>
        <v>0</v>
      </c>
      <c r="BP767" s="6">
        <f>Grandview_Inventory[[#This Row],[Plumbing Fixtures]]*Lookups!$B$18</f>
        <v>18093.976200000001</v>
      </c>
      <c r="BQ767" s="6">
        <f>Grandview_Inventory[[#This Row],[detatched_value]]*Lookups!$B$19</f>
        <v>0</v>
      </c>
      <c r="BR767" s="6">
        <f>SUM(Grandview_Inventory[[#This Row],[Intercept]:[det_value]])*Grandview_Inventory[[#This Row],[res_pct]]</f>
        <v>299545.87770000001</v>
      </c>
      <c r="BS767" s="6">
        <f>Grandview_Inventory[[#This Row],[land_value]]</f>
        <v>49167.631333630678</v>
      </c>
      <c r="BT767" s="4">
        <f>_xlfn.IFNA(VLOOKUP(Grandview_Inventory[[#This Row],[quality]],Lookups!$A$26:$C$33,3,FALSE),1)</f>
        <v>0.98763855981004833</v>
      </c>
      <c r="BU767" s="4">
        <f>_xlfn.IFNA(VLOOKUP(Grandview_Inventory[[#This Row],[condition]],Lookups!$A$37:$C$44,3,FALSE),1)</f>
        <v>0.97383723671140243</v>
      </c>
      <c r="BV767" s="4">
        <f>IF(Grandview_Inventory[[#This Row],[bldg_style]]="",1,_xlfn.IFNA(VLOOKUP(Grandview_Inventory[[#This Row],[decade]],Lookups!$F$29:$H$43,3,FALSE),1))</f>
        <v>0.98397821291089549</v>
      </c>
      <c r="BW767" s="4">
        <f>_xlfn.IFNA(VLOOKUP(Grandview_Inventory[[#This Row],[living_area_range]],Lookups!$F$47:$H$56,3,FALSE),1)</f>
        <v>0.96120133463014379</v>
      </c>
      <c r="BX767" s="4">
        <f>AVERAGE(Grandview_Inventory[[#This Row],[qual_adj]:[size_adj]])</f>
        <v>0.97666383601562257</v>
      </c>
      <c r="BY767" s="6">
        <f>IF(Grandview_Inventory[[#This Row],[pre_res]]&lt;0,0,Grandview_Inventory[[#This Row],[pre_res]]*Grandview_Inventory[[#This Row],[overall_adj]])</f>
        <v>292555.62597714853</v>
      </c>
      <c r="BZ767" s="6">
        <f>(Grandview_Inventory[[#This Row],[sum_land]]-IF(Grandview_Inventory[[#This Row],[no_utilities]]=1,12000,0))/IF(Grandview_Inventory[[#This Row],[unbuildable]]=1,2,1)</f>
        <v>49167.631333630678</v>
      </c>
      <c r="CA76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67">
        <f>ROUND(Grandview_Inventory[[#This Row],[det_value]]*Lookups!$M$28,-2)</f>
        <v>0</v>
      </c>
      <c r="CC767">
        <f>IF(ROUND(Grandview_Inventory[[#This Row],[adj_res]]*Lookups!$M$28,-2)&lt;Grandview_Inventory[[#This Row],[min_res]],Grandview_Inventory[[#This Row],[min_res]],ROUND(Grandview_Inventory[[#This Row],[adj_res]]*Lookups!$M$28,-2))</f>
        <v>277900</v>
      </c>
      <c r="CD767">
        <f>Grandview_Inventory[[#This Row],[final_det]]+Grandview_Inventory[[#This Row],[final_res]]</f>
        <v>277900</v>
      </c>
      <c r="CE767">
        <f>Grandview_Inventory[[#This Row],[final_land]]+Grandview_Inventory[[#This Row],[final_imp]]+Grandview_Inventory[[#This Row],[crop_value]]</f>
        <v>324600</v>
      </c>
      <c r="CG767" t="str">
        <f t="shared" si="11"/>
        <v>update valuation set market_land =46700, market_bldg=277900, market_total =324600, market_mdno =401, market_date ='9/10/2023' where link_id = (select link_id from parcel where parcel_year = '2024' and parcel_id = '23092231516');</v>
      </c>
    </row>
    <row r="768" spans="1:85" x14ac:dyDescent="0.25">
      <c r="A768">
        <v>23092231517</v>
      </c>
      <c r="B768">
        <v>0.43</v>
      </c>
      <c r="C768">
        <v>18629</v>
      </c>
      <c r="D768" t="s">
        <v>129</v>
      </c>
      <c r="E768" t="s">
        <v>53</v>
      </c>
      <c r="F768" t="s">
        <v>53</v>
      </c>
      <c r="G768">
        <v>4</v>
      </c>
      <c r="H768" t="s">
        <v>54</v>
      </c>
      <c r="I768">
        <v>194100</v>
      </c>
      <c r="J768">
        <v>45900</v>
      </c>
      <c r="K768">
        <v>0.43</v>
      </c>
      <c r="L768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768">
        <v>0</v>
      </c>
      <c r="N768">
        <v>0</v>
      </c>
      <c r="O768">
        <v>0</v>
      </c>
      <c r="P768">
        <v>13398.7528</v>
      </c>
      <c r="Q768">
        <v>63903</v>
      </c>
      <c r="R768">
        <f>(Grandview_Inventory[[#This Row],[ln_acres]]*Grandview_Inventory[[#This Row],[coeff]])+Grandview_Inventory[[#This Row],[const]]</f>
        <v>52594.853657524982</v>
      </c>
      <c r="S768" t="s">
        <v>61</v>
      </c>
      <c r="T768">
        <v>1</v>
      </c>
      <c r="U768" t="s">
        <v>65</v>
      </c>
      <c r="V768" t="s">
        <v>69</v>
      </c>
      <c r="W768">
        <v>0</v>
      </c>
      <c r="X768">
        <v>0</v>
      </c>
      <c r="Y768">
        <v>47</v>
      </c>
      <c r="Z768">
        <v>58</v>
      </c>
      <c r="AA768">
        <v>60</v>
      </c>
      <c r="AB768">
        <v>2500</v>
      </c>
      <c r="AC768">
        <v>2025</v>
      </c>
      <c r="AD768">
        <v>1066</v>
      </c>
      <c r="AE768">
        <v>0</v>
      </c>
      <c r="AF768">
        <v>0</v>
      </c>
      <c r="AG768">
        <v>959</v>
      </c>
      <c r="AH768">
        <v>107</v>
      </c>
      <c r="AI768">
        <v>338</v>
      </c>
      <c r="AJ768">
        <v>0</v>
      </c>
      <c r="AK768">
        <v>0</v>
      </c>
      <c r="AL768">
        <v>180</v>
      </c>
      <c r="AM768">
        <v>160</v>
      </c>
      <c r="AN768">
        <v>0</v>
      </c>
      <c r="AO768">
        <v>0</v>
      </c>
      <c r="AP768">
        <v>8</v>
      </c>
      <c r="AQ768">
        <v>0</v>
      </c>
      <c r="AR768">
        <v>1</v>
      </c>
      <c r="AS768" t="s">
        <v>58</v>
      </c>
      <c r="AT768">
        <v>1</v>
      </c>
      <c r="AU768" t="s">
        <v>59</v>
      </c>
      <c r="AV768" t="s">
        <v>60</v>
      </c>
      <c r="AW768">
        <v>1</v>
      </c>
      <c r="AX768">
        <v>4</v>
      </c>
      <c r="AY768">
        <v>0</v>
      </c>
      <c r="AZ768">
        <v>0</v>
      </c>
      <c r="BA768">
        <v>100</v>
      </c>
      <c r="BB768">
        <v>100</v>
      </c>
      <c r="BC768">
        <v>100</v>
      </c>
      <c r="BD768">
        <v>100</v>
      </c>
      <c r="BE768">
        <v>1</v>
      </c>
      <c r="BF768">
        <v>15000</v>
      </c>
      <c r="BG768">
        <v>1000</v>
      </c>
      <c r="BH768" s="6">
        <f>Grandview_Inventory[[#This Row],[land_extract]]*Lookups!$B$3</f>
        <v>61078.261546378882</v>
      </c>
      <c r="BI768" s="6">
        <f>IF(Grandview_Inventory[[#This Row],[bldg_style]]="",0,Lookups!$B$2)</f>
        <v>155833.95000000001</v>
      </c>
      <c r="BJ768" s="6">
        <f>_xlfn.IFNA(VLOOKUP(Grandview_Inventory[[#This Row],[quality]],Lookups!$H$2:$J$14,3,FALSE),0)</f>
        <v>2251</v>
      </c>
      <c r="BK768" s="6">
        <f>_xlfn.IFNA(VLOOKUP(Grandview_Inventory[[#This Row],[condition]],Lookups!$H$17:$J$24,3,FALSE),0)</f>
        <v>-4503</v>
      </c>
      <c r="BL768" s="6">
        <f>Grandview_Inventory[[#This Row],[Eff_Age]]*Lookups!$B$14</f>
        <v>-11240.8302</v>
      </c>
      <c r="BM768" s="6">
        <f>Grandview_Inventory[[#This Row],[living_area]]*Lookups!$B$15</f>
        <v>126321.227325</v>
      </c>
      <c r="BN768" s="6">
        <f>Grandview_Inventory[[#This Row],[Fin BSMT]]*Lookups!$B$16</f>
        <v>-25988.171160000002</v>
      </c>
      <c r="BO768" s="6">
        <f>(Grandview_Inventory[[#This Row],[att_gar]]+Grandview_Inventory[[#This Row],[bltin_gar]])*Lookups!$B$17</f>
        <v>29581.907706000002</v>
      </c>
      <c r="BP768" s="6">
        <f>Grandview_Inventory[[#This Row],[Plumbing Fixtures]]*Lookups!$B$18</f>
        <v>16083.5344</v>
      </c>
      <c r="BQ768" s="6">
        <f>Grandview_Inventory[[#This Row],[detatched_value]]*Lookups!$B$19</f>
        <v>0</v>
      </c>
      <c r="BR768" s="6">
        <f>SUM(Grandview_Inventory[[#This Row],[Intercept]:[det_value]])*Grandview_Inventory[[#This Row],[res_pct]]</f>
        <v>288339.61807100003</v>
      </c>
      <c r="BS768" s="6">
        <f>Grandview_Inventory[[#This Row],[land_value]]</f>
        <v>61078.261546378882</v>
      </c>
      <c r="BT768" s="4">
        <f>_xlfn.IFNA(VLOOKUP(Grandview_Inventory[[#This Row],[quality]],Lookups!$A$26:$C$33,3,FALSE),1)</f>
        <v>0.98763855981004833</v>
      </c>
      <c r="BU768" s="4">
        <f>_xlfn.IFNA(VLOOKUP(Grandview_Inventory[[#This Row],[condition]],Lookups!$A$37:$C$44,3,FALSE),1)</f>
        <v>0.96469275950863709</v>
      </c>
      <c r="BV768" s="4">
        <f>IF(Grandview_Inventory[[#This Row],[bldg_style]]="",1,_xlfn.IFNA(VLOOKUP(Grandview_Inventory[[#This Row],[decade]],Lookups!$F$29:$H$43,3,FALSE),1))</f>
        <v>0.95268620544463312</v>
      </c>
      <c r="BW768" s="4">
        <f>_xlfn.IFNA(VLOOKUP(Grandview_Inventory[[#This Row],[living_area_range]],Lookups!$F$47:$H$56,3,FALSE),1)</f>
        <v>0.95799442568048754</v>
      </c>
      <c r="BX768" s="4">
        <f>AVERAGE(Grandview_Inventory[[#This Row],[qual_adj]:[size_adj]])</f>
        <v>0.96575298761095152</v>
      </c>
      <c r="BY768" s="6">
        <f>IF(Grandview_Inventory[[#This Row],[pre_res]]&lt;0,0,Grandview_Inventory[[#This Row],[pre_res]]*Grandview_Inventory[[#This Row],[overall_adj]])</f>
        <v>278464.847598669</v>
      </c>
      <c r="BZ768" s="6">
        <f>(Grandview_Inventory[[#This Row],[sum_land]]-IF(Grandview_Inventory[[#This Row],[no_utilities]]=1,12000,0))/IF(Grandview_Inventory[[#This Row],[unbuildable]]=1,2,1)</f>
        <v>61078.261546378882</v>
      </c>
      <c r="CA768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768">
        <f>ROUND(Grandview_Inventory[[#This Row],[det_value]]*Lookups!$M$28,-2)</f>
        <v>0</v>
      </c>
      <c r="CC768">
        <f>IF(ROUND(Grandview_Inventory[[#This Row],[adj_res]]*Lookups!$M$28,-2)&lt;Grandview_Inventory[[#This Row],[min_res]],Grandview_Inventory[[#This Row],[min_res]],ROUND(Grandview_Inventory[[#This Row],[adj_res]]*Lookups!$M$28,-2))</f>
        <v>264500</v>
      </c>
      <c r="CD768">
        <f>Grandview_Inventory[[#This Row],[final_det]]+Grandview_Inventory[[#This Row],[final_res]]</f>
        <v>264500</v>
      </c>
      <c r="CE768">
        <f>Grandview_Inventory[[#This Row],[final_land]]+Grandview_Inventory[[#This Row],[final_imp]]+Grandview_Inventory[[#This Row],[crop_value]]</f>
        <v>322500</v>
      </c>
      <c r="CG768" t="str">
        <f t="shared" si="11"/>
        <v>update valuation set market_land =58000, market_bldg=264500, market_total =322500, market_mdno =401, market_date ='9/10/2023' where link_id = (select link_id from parcel where parcel_year = '2024' and parcel_id = '23092231517');</v>
      </c>
    </row>
    <row r="769" spans="1:85" x14ac:dyDescent="0.25">
      <c r="A769">
        <v>23092231518</v>
      </c>
      <c r="B769">
        <v>0.27</v>
      </c>
      <c r="C769">
        <v>11876</v>
      </c>
      <c r="D769" t="s">
        <v>129</v>
      </c>
      <c r="E769" t="s">
        <v>53</v>
      </c>
      <c r="F769" t="s">
        <v>53</v>
      </c>
      <c r="G769">
        <v>4</v>
      </c>
      <c r="H769" t="s">
        <v>54</v>
      </c>
      <c r="I769">
        <v>333500</v>
      </c>
      <c r="J769">
        <v>33400</v>
      </c>
      <c r="K769">
        <v>0.27</v>
      </c>
      <c r="L769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69">
        <v>0</v>
      </c>
      <c r="N769">
        <v>0</v>
      </c>
      <c r="O769">
        <v>0</v>
      </c>
      <c r="P769">
        <v>13398.7528</v>
      </c>
      <c r="Q769">
        <v>63903</v>
      </c>
      <c r="R769">
        <f>(Grandview_Inventory[[#This Row],[ln_acres]]*Grandview_Inventory[[#This Row],[coeff]])+Grandview_Inventory[[#This Row],[const]]</f>
        <v>46359.566512734265</v>
      </c>
      <c r="S769" t="s">
        <v>58</v>
      </c>
      <c r="T769">
        <v>2</v>
      </c>
      <c r="U769" t="s">
        <v>64</v>
      </c>
      <c r="V769" t="s">
        <v>57</v>
      </c>
      <c r="W769">
        <v>0</v>
      </c>
      <c r="X769">
        <v>0</v>
      </c>
      <c r="Y769">
        <v>3</v>
      </c>
      <c r="Z769">
        <v>3</v>
      </c>
      <c r="AA769">
        <v>10</v>
      </c>
      <c r="AB769">
        <v>3000</v>
      </c>
      <c r="AC769">
        <v>2552</v>
      </c>
      <c r="AD769">
        <v>1096</v>
      </c>
      <c r="AE769">
        <v>1456</v>
      </c>
      <c r="AF769">
        <v>0</v>
      </c>
      <c r="AG769">
        <v>0</v>
      </c>
      <c r="AH769">
        <v>0</v>
      </c>
      <c r="AI769">
        <v>520</v>
      </c>
      <c r="AJ769">
        <v>0</v>
      </c>
      <c r="AK769">
        <v>0</v>
      </c>
      <c r="AL769">
        <v>0</v>
      </c>
      <c r="AM769">
        <v>0</v>
      </c>
      <c r="AN769">
        <v>80</v>
      </c>
      <c r="AO769">
        <v>0</v>
      </c>
      <c r="AP769">
        <v>13</v>
      </c>
      <c r="AQ769">
        <v>0</v>
      </c>
      <c r="AR769">
        <v>0</v>
      </c>
      <c r="AS769" t="s">
        <v>58</v>
      </c>
      <c r="AT769">
        <v>1</v>
      </c>
      <c r="AU769" t="s">
        <v>59</v>
      </c>
      <c r="AV769" t="s">
        <v>60</v>
      </c>
      <c r="AW769">
        <v>1</v>
      </c>
      <c r="AX769">
        <v>4</v>
      </c>
      <c r="AY769">
        <v>0</v>
      </c>
      <c r="AZ769">
        <v>0</v>
      </c>
      <c r="BA769">
        <v>100</v>
      </c>
      <c r="BB769">
        <v>100</v>
      </c>
      <c r="BC769">
        <v>100</v>
      </c>
      <c r="BD769">
        <v>100</v>
      </c>
      <c r="BE769">
        <v>1</v>
      </c>
      <c r="BF769">
        <v>15000</v>
      </c>
      <c r="BG769">
        <v>1000</v>
      </c>
      <c r="BH769" s="6">
        <f>Grandview_Inventory[[#This Row],[land_extract]]*Lookups!$B$3</f>
        <v>53837.239420408718</v>
      </c>
      <c r="BI769" s="6">
        <f>IF(Grandview_Inventory[[#This Row],[bldg_style]]="",0,Lookups!$B$2)</f>
        <v>155833.95000000001</v>
      </c>
      <c r="BJ769" s="6">
        <f>_xlfn.IFNA(VLOOKUP(Grandview_Inventory[[#This Row],[quality]],Lookups!$H$2:$J$14,3,FALSE),0)</f>
        <v>20768</v>
      </c>
      <c r="BK769" s="6">
        <f>_xlfn.IFNA(VLOOKUP(Grandview_Inventory[[#This Row],[condition]],Lookups!$H$17:$J$24,3,FALSE),0)</f>
        <v>25780</v>
      </c>
      <c r="BL769" s="6">
        <f>Grandview_Inventory[[#This Row],[Eff_Age]]*Lookups!$B$14</f>
        <v>-717.49979999999994</v>
      </c>
      <c r="BM769" s="6">
        <f>Grandview_Inventory[[#This Row],[living_area]]*Lookups!$B$15</f>
        <v>159195.93685600001</v>
      </c>
      <c r="BN769" s="6">
        <f>Grandview_Inventory[[#This Row],[Fin BSMT]]*Lookups!$B$16</f>
        <v>0</v>
      </c>
      <c r="BO769" s="6">
        <f>(Grandview_Inventory[[#This Row],[att_gar]]+Grandview_Inventory[[#This Row],[bltin_gar]])*Lookups!$B$17</f>
        <v>45510.627240000002</v>
      </c>
      <c r="BP769" s="6">
        <f>Grandview_Inventory[[#This Row],[Plumbing Fixtures]]*Lookups!$B$18</f>
        <v>26135.743399999999</v>
      </c>
      <c r="BQ769" s="6">
        <f>Grandview_Inventory[[#This Row],[detatched_value]]*Lookups!$B$19</f>
        <v>0</v>
      </c>
      <c r="BR769" s="6">
        <f>SUM(Grandview_Inventory[[#This Row],[Intercept]:[det_value]])*Grandview_Inventory[[#This Row],[res_pct]]</f>
        <v>432506.75769600004</v>
      </c>
      <c r="BS769" s="6">
        <f>Grandview_Inventory[[#This Row],[land_value]]</f>
        <v>53837.239420408718</v>
      </c>
      <c r="BT769" s="4">
        <f>_xlfn.IFNA(VLOOKUP(Grandview_Inventory[[#This Row],[quality]],Lookups!$A$26:$C$33,3,FALSE),1)</f>
        <v>0.94960540378902636</v>
      </c>
      <c r="BU769" s="4">
        <f>_xlfn.IFNA(VLOOKUP(Grandview_Inventory[[#This Row],[condition]],Lookups!$A$37:$C$44,3,FALSE),1)</f>
        <v>0.94347925387812148</v>
      </c>
      <c r="BV769" s="4">
        <f>IF(Grandview_Inventory[[#This Row],[bldg_style]]="",1,_xlfn.IFNA(VLOOKUP(Grandview_Inventory[[#This Row],[decade]],Lookups!$F$29:$H$43,3,FALSE),1))</f>
        <v>0.94601966599150278</v>
      </c>
      <c r="BW769" s="4">
        <f>_xlfn.IFNA(VLOOKUP(Grandview_Inventory[[#This Row],[living_area_range]],Lookups!$F$47:$H$56,3,FALSE),1)</f>
        <v>0.94224801443562123</v>
      </c>
      <c r="BX769" s="4">
        <f>AVERAGE(Grandview_Inventory[[#This Row],[qual_adj]:[size_adj]])</f>
        <v>0.94533808452356805</v>
      </c>
      <c r="BY769" s="6">
        <f>IF(Grandview_Inventory[[#This Row],[pre_res]]&lt;0,0,Grandview_Inventory[[#This Row],[pre_res]]*Grandview_Inventory[[#This Row],[overall_adj]])</f>
        <v>408865.10986383568</v>
      </c>
      <c r="BZ769" s="6">
        <f>(Grandview_Inventory[[#This Row],[sum_land]]-IF(Grandview_Inventory[[#This Row],[no_utilities]]=1,12000,0))/IF(Grandview_Inventory[[#This Row],[unbuildable]]=1,2,1)</f>
        <v>53837.239420408718</v>
      </c>
      <c r="CA769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69">
        <f>ROUND(Grandview_Inventory[[#This Row],[det_value]]*Lookups!$M$28,-2)</f>
        <v>0</v>
      </c>
      <c r="CC769">
        <f>IF(ROUND(Grandview_Inventory[[#This Row],[adj_res]]*Lookups!$M$28,-2)&lt;Grandview_Inventory[[#This Row],[min_res]],Grandview_Inventory[[#This Row],[min_res]],ROUND(Grandview_Inventory[[#This Row],[adj_res]]*Lookups!$M$28,-2))</f>
        <v>388400</v>
      </c>
      <c r="CD769">
        <f>Grandview_Inventory[[#This Row],[final_det]]+Grandview_Inventory[[#This Row],[final_res]]</f>
        <v>388400</v>
      </c>
      <c r="CE769">
        <f>Grandview_Inventory[[#This Row],[final_land]]+Grandview_Inventory[[#This Row],[final_imp]]+Grandview_Inventory[[#This Row],[crop_value]]</f>
        <v>439500</v>
      </c>
      <c r="CG769" t="str">
        <f t="shared" si="11"/>
        <v>update valuation set market_land =51100, market_bldg=388400, market_total =439500, market_mdno =401, market_date ='9/10/2023' where link_id = (select link_id from parcel where parcel_year = '2024' and parcel_id = '23092231518');</v>
      </c>
    </row>
    <row r="770" spans="1:85" x14ac:dyDescent="0.25">
      <c r="A770">
        <v>23092231519</v>
      </c>
      <c r="B770">
        <v>0.24</v>
      </c>
      <c r="C770">
        <v>10597</v>
      </c>
      <c r="D770" t="s">
        <v>129</v>
      </c>
      <c r="E770" t="s">
        <v>53</v>
      </c>
      <c r="F770" t="s">
        <v>53</v>
      </c>
      <c r="G770">
        <v>4</v>
      </c>
      <c r="H770" t="s">
        <v>54</v>
      </c>
      <c r="I770">
        <v>289000</v>
      </c>
      <c r="J770">
        <v>39800</v>
      </c>
      <c r="K770">
        <v>0.24</v>
      </c>
      <c r="L77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770">
        <v>0</v>
      </c>
      <c r="N770">
        <v>0</v>
      </c>
      <c r="O770">
        <v>0</v>
      </c>
      <c r="P770">
        <v>13398.7528</v>
      </c>
      <c r="Q770">
        <v>63903</v>
      </c>
      <c r="R770">
        <f>(Grandview_Inventory[[#This Row],[ln_acres]]*Grandview_Inventory[[#This Row],[coeff]])+Grandview_Inventory[[#This Row],[const]]</f>
        <v>44781.420733940802</v>
      </c>
      <c r="S770" t="s">
        <v>55</v>
      </c>
      <c r="T770">
        <v>1</v>
      </c>
      <c r="U770" t="s">
        <v>62</v>
      </c>
      <c r="V770" t="s">
        <v>57</v>
      </c>
      <c r="W770">
        <v>0</v>
      </c>
      <c r="X770">
        <v>0</v>
      </c>
      <c r="Y770">
        <v>3</v>
      </c>
      <c r="Z770">
        <v>3</v>
      </c>
      <c r="AA770">
        <v>10</v>
      </c>
      <c r="AB770">
        <v>2500</v>
      </c>
      <c r="AC770">
        <v>2012</v>
      </c>
      <c r="AD770">
        <v>1674</v>
      </c>
      <c r="AE770">
        <v>0</v>
      </c>
      <c r="AF770">
        <v>338</v>
      </c>
      <c r="AG770">
        <v>0</v>
      </c>
      <c r="AH770">
        <v>0</v>
      </c>
      <c r="AI770">
        <v>648</v>
      </c>
      <c r="AJ770">
        <v>0</v>
      </c>
      <c r="AK770">
        <v>0</v>
      </c>
      <c r="AL770">
        <v>0</v>
      </c>
      <c r="AM770">
        <v>0</v>
      </c>
      <c r="AN770">
        <v>78</v>
      </c>
      <c r="AO770">
        <v>0</v>
      </c>
      <c r="AP770">
        <v>9</v>
      </c>
      <c r="AQ770">
        <v>0</v>
      </c>
      <c r="AR770">
        <v>0</v>
      </c>
      <c r="AS770" t="s">
        <v>58</v>
      </c>
      <c r="AT770">
        <v>1</v>
      </c>
      <c r="AU770" t="s">
        <v>59</v>
      </c>
      <c r="AV770" t="s">
        <v>60</v>
      </c>
      <c r="AW770">
        <v>1</v>
      </c>
      <c r="AX770">
        <v>3</v>
      </c>
      <c r="AY770">
        <v>0</v>
      </c>
      <c r="AZ770">
        <v>0</v>
      </c>
      <c r="BA770">
        <v>100</v>
      </c>
      <c r="BB770">
        <v>100</v>
      </c>
      <c r="BC770">
        <v>100</v>
      </c>
      <c r="BD770">
        <v>100</v>
      </c>
      <c r="BE770">
        <v>1</v>
      </c>
      <c r="BF770">
        <v>15000</v>
      </c>
      <c r="BG770">
        <v>1000</v>
      </c>
      <c r="BH770" s="6">
        <f>Grandview_Inventory[[#This Row],[land_extract]]*Lookups!$B$3</f>
        <v>52004.542988489469</v>
      </c>
      <c r="BI770" s="6">
        <f>IF(Grandview_Inventory[[#This Row],[bldg_style]]="",0,Lookups!$B$2)</f>
        <v>155833.95000000001</v>
      </c>
      <c r="BJ770" s="6">
        <f>_xlfn.IFNA(VLOOKUP(Grandview_Inventory[[#This Row],[quality]],Lookups!$H$2:$J$14,3,FALSE),0)</f>
        <v>9808</v>
      </c>
      <c r="BK770" s="6">
        <f>_xlfn.IFNA(VLOOKUP(Grandview_Inventory[[#This Row],[condition]],Lookups!$H$17:$J$24,3,FALSE),0)</f>
        <v>25780</v>
      </c>
      <c r="BL770" s="6">
        <f>Grandview_Inventory[[#This Row],[Eff_Age]]*Lookups!$B$14</f>
        <v>-717.49979999999994</v>
      </c>
      <c r="BM770" s="6">
        <f>Grandview_Inventory[[#This Row],[living_area]]*Lookups!$B$15</f>
        <v>125510.27623600001</v>
      </c>
      <c r="BN770" s="6">
        <f>Grandview_Inventory[[#This Row],[Fin BSMT]]*Lookups!$B$16</f>
        <v>0</v>
      </c>
      <c r="BO770" s="6">
        <f>(Grandview_Inventory[[#This Row],[att_gar]]+Grandview_Inventory[[#This Row],[bltin_gar]])*Lookups!$B$17</f>
        <v>56713.243176000004</v>
      </c>
      <c r="BP770" s="6">
        <f>Grandview_Inventory[[#This Row],[Plumbing Fixtures]]*Lookups!$B$18</f>
        <v>18093.976200000001</v>
      </c>
      <c r="BQ770" s="6">
        <f>Grandview_Inventory[[#This Row],[detatched_value]]*Lookups!$B$19</f>
        <v>0</v>
      </c>
      <c r="BR770" s="6">
        <f>SUM(Grandview_Inventory[[#This Row],[Intercept]:[det_value]])*Grandview_Inventory[[#This Row],[res_pct]]</f>
        <v>391021.94581200002</v>
      </c>
      <c r="BS770" s="6">
        <f>Grandview_Inventory[[#This Row],[land_value]]</f>
        <v>52004.542988489469</v>
      </c>
      <c r="BT770" s="4">
        <f>_xlfn.IFNA(VLOOKUP(Grandview_Inventory[[#This Row],[quality]],Lookups!$A$26:$C$33,3,FALSE),1)</f>
        <v>0.94295468617355149</v>
      </c>
      <c r="BU770" s="4">
        <f>_xlfn.IFNA(VLOOKUP(Grandview_Inventory[[#This Row],[condition]],Lookups!$A$37:$C$44,3,FALSE),1)</f>
        <v>0.94347925387812148</v>
      </c>
      <c r="BV770" s="4">
        <f>IF(Grandview_Inventory[[#This Row],[bldg_style]]="",1,_xlfn.IFNA(VLOOKUP(Grandview_Inventory[[#This Row],[decade]],Lookups!$F$29:$H$43,3,FALSE),1))</f>
        <v>0.94601966599150278</v>
      </c>
      <c r="BW770" s="4">
        <f>_xlfn.IFNA(VLOOKUP(Grandview_Inventory[[#This Row],[living_area_range]],Lookups!$F$47:$H$56,3,FALSE),1)</f>
        <v>0.95799442568048754</v>
      </c>
      <c r="BX770" s="4">
        <f>AVERAGE(Grandview_Inventory[[#This Row],[qual_adj]:[size_adj]])</f>
        <v>0.94761200793091582</v>
      </c>
      <c r="BY770" s="6">
        <f>IF(Grandview_Inventory[[#This Row],[pre_res]]&lt;0,0,Grandview_Inventory[[#This Row],[pre_res]]*Grandview_Inventory[[#This Row],[overall_adj]])</f>
        <v>370537.09121596313</v>
      </c>
      <c r="BZ770" s="6">
        <f>(Grandview_Inventory[[#This Row],[sum_land]]-IF(Grandview_Inventory[[#This Row],[no_utilities]]=1,12000,0))/IF(Grandview_Inventory[[#This Row],[unbuildable]]=1,2,1)</f>
        <v>52004.542988489469</v>
      </c>
      <c r="CA77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770">
        <f>ROUND(Grandview_Inventory[[#This Row],[det_value]]*Lookups!$M$28,-2)</f>
        <v>0</v>
      </c>
      <c r="CC770">
        <f>IF(ROUND(Grandview_Inventory[[#This Row],[adj_res]]*Lookups!$M$28,-2)&lt;Grandview_Inventory[[#This Row],[min_res]],Grandview_Inventory[[#This Row],[min_res]],ROUND(Grandview_Inventory[[#This Row],[adj_res]]*Lookups!$M$28,-2))</f>
        <v>352000</v>
      </c>
      <c r="CD770">
        <f>Grandview_Inventory[[#This Row],[final_det]]+Grandview_Inventory[[#This Row],[final_res]]</f>
        <v>352000</v>
      </c>
      <c r="CE770">
        <f>Grandview_Inventory[[#This Row],[final_land]]+Grandview_Inventory[[#This Row],[final_imp]]+Grandview_Inventory[[#This Row],[crop_value]]</f>
        <v>401400</v>
      </c>
      <c r="CG770" t="str">
        <f t="shared" si="11"/>
        <v>update valuation set market_land =49400, market_bldg=352000, market_total =401400, market_mdno =401, market_date ='9/10/2023' where link_id = (select link_id from parcel where parcel_year = '2024' and parcel_id = '23092231519');</v>
      </c>
    </row>
    <row r="771" spans="1:85" x14ac:dyDescent="0.25">
      <c r="A771">
        <v>23092231520</v>
      </c>
      <c r="B771">
        <v>0.27</v>
      </c>
      <c r="C771">
        <v>11701</v>
      </c>
      <c r="D771" t="s">
        <v>129</v>
      </c>
      <c r="E771" t="s">
        <v>53</v>
      </c>
      <c r="F771" t="s">
        <v>53</v>
      </c>
      <c r="G771">
        <v>4</v>
      </c>
      <c r="H771" t="s">
        <v>54</v>
      </c>
      <c r="I771">
        <v>333500</v>
      </c>
      <c r="J771">
        <v>40200</v>
      </c>
      <c r="K771">
        <v>0.27</v>
      </c>
      <c r="L771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71">
        <v>0</v>
      </c>
      <c r="N771">
        <v>0</v>
      </c>
      <c r="O771">
        <v>0</v>
      </c>
      <c r="P771">
        <v>13398.7528</v>
      </c>
      <c r="Q771">
        <v>63903</v>
      </c>
      <c r="R771">
        <f>(Grandview_Inventory[[#This Row],[ln_acres]]*Grandview_Inventory[[#This Row],[coeff]])+Grandview_Inventory[[#This Row],[const]]</f>
        <v>46359.566512734265</v>
      </c>
      <c r="S771" t="s">
        <v>58</v>
      </c>
      <c r="T771">
        <v>2</v>
      </c>
      <c r="U771" t="s">
        <v>64</v>
      </c>
      <c r="V771" t="s">
        <v>57</v>
      </c>
      <c r="W771">
        <v>0</v>
      </c>
      <c r="X771">
        <v>0</v>
      </c>
      <c r="Y771">
        <v>3</v>
      </c>
      <c r="Z771">
        <v>3</v>
      </c>
      <c r="AA771">
        <v>10</v>
      </c>
      <c r="AB771">
        <v>3000</v>
      </c>
      <c r="AC771">
        <v>2552</v>
      </c>
      <c r="AD771">
        <v>1096</v>
      </c>
      <c r="AE771">
        <v>1456</v>
      </c>
      <c r="AF771">
        <v>0</v>
      </c>
      <c r="AG771">
        <v>0</v>
      </c>
      <c r="AH771">
        <v>0</v>
      </c>
      <c r="AI771">
        <v>520</v>
      </c>
      <c r="AJ771">
        <v>0</v>
      </c>
      <c r="AK771">
        <v>0</v>
      </c>
      <c r="AL771">
        <v>0</v>
      </c>
      <c r="AM771">
        <v>0</v>
      </c>
      <c r="AN771">
        <v>80</v>
      </c>
      <c r="AO771">
        <v>0</v>
      </c>
      <c r="AP771">
        <v>13</v>
      </c>
      <c r="AQ771">
        <v>0</v>
      </c>
      <c r="AR771">
        <v>0</v>
      </c>
      <c r="AS771" t="s">
        <v>58</v>
      </c>
      <c r="AT771">
        <v>1</v>
      </c>
      <c r="AU771" t="s">
        <v>59</v>
      </c>
      <c r="AV771" t="s">
        <v>60</v>
      </c>
      <c r="AW771">
        <v>1</v>
      </c>
      <c r="AX771">
        <v>4</v>
      </c>
      <c r="AY771">
        <v>0</v>
      </c>
      <c r="AZ771">
        <v>0</v>
      </c>
      <c r="BA771">
        <v>100</v>
      </c>
      <c r="BB771">
        <v>100</v>
      </c>
      <c r="BC771">
        <v>100</v>
      </c>
      <c r="BD771">
        <v>100</v>
      </c>
      <c r="BE771">
        <v>1</v>
      </c>
      <c r="BF771">
        <v>15000</v>
      </c>
      <c r="BG771">
        <v>1000</v>
      </c>
      <c r="BH771" s="6">
        <f>Grandview_Inventory[[#This Row],[land_extract]]*Lookups!$B$3</f>
        <v>53837.239420408718</v>
      </c>
      <c r="BI771" s="6">
        <f>IF(Grandview_Inventory[[#This Row],[bldg_style]]="",0,Lookups!$B$2)</f>
        <v>155833.95000000001</v>
      </c>
      <c r="BJ771" s="6">
        <f>_xlfn.IFNA(VLOOKUP(Grandview_Inventory[[#This Row],[quality]],Lookups!$H$2:$J$14,3,FALSE),0)</f>
        <v>20768</v>
      </c>
      <c r="BK771" s="6">
        <f>_xlfn.IFNA(VLOOKUP(Grandview_Inventory[[#This Row],[condition]],Lookups!$H$17:$J$24,3,FALSE),0)</f>
        <v>25780</v>
      </c>
      <c r="BL771" s="6">
        <f>Grandview_Inventory[[#This Row],[Eff_Age]]*Lookups!$B$14</f>
        <v>-717.49979999999994</v>
      </c>
      <c r="BM771" s="6">
        <f>Grandview_Inventory[[#This Row],[living_area]]*Lookups!$B$15</f>
        <v>159195.93685600001</v>
      </c>
      <c r="BN771" s="6">
        <f>Grandview_Inventory[[#This Row],[Fin BSMT]]*Lookups!$B$16</f>
        <v>0</v>
      </c>
      <c r="BO771" s="6">
        <f>(Grandview_Inventory[[#This Row],[att_gar]]+Grandview_Inventory[[#This Row],[bltin_gar]])*Lookups!$B$17</f>
        <v>45510.627240000002</v>
      </c>
      <c r="BP771" s="6">
        <f>Grandview_Inventory[[#This Row],[Plumbing Fixtures]]*Lookups!$B$18</f>
        <v>26135.743399999999</v>
      </c>
      <c r="BQ771" s="6">
        <f>Grandview_Inventory[[#This Row],[detatched_value]]*Lookups!$B$19</f>
        <v>0</v>
      </c>
      <c r="BR771" s="6">
        <f>SUM(Grandview_Inventory[[#This Row],[Intercept]:[det_value]])*Grandview_Inventory[[#This Row],[res_pct]]</f>
        <v>432506.75769600004</v>
      </c>
      <c r="BS771" s="6">
        <f>Grandview_Inventory[[#This Row],[land_value]]</f>
        <v>53837.239420408718</v>
      </c>
      <c r="BT771" s="4">
        <f>_xlfn.IFNA(VLOOKUP(Grandview_Inventory[[#This Row],[quality]],Lookups!$A$26:$C$33,3,FALSE),1)</f>
        <v>0.94960540378902636</v>
      </c>
      <c r="BU771" s="4">
        <f>_xlfn.IFNA(VLOOKUP(Grandview_Inventory[[#This Row],[condition]],Lookups!$A$37:$C$44,3,FALSE),1)</f>
        <v>0.94347925387812148</v>
      </c>
      <c r="BV771" s="4">
        <f>IF(Grandview_Inventory[[#This Row],[bldg_style]]="",1,_xlfn.IFNA(VLOOKUP(Grandview_Inventory[[#This Row],[decade]],Lookups!$F$29:$H$43,3,FALSE),1))</f>
        <v>0.94601966599150278</v>
      </c>
      <c r="BW771" s="4">
        <f>_xlfn.IFNA(VLOOKUP(Grandview_Inventory[[#This Row],[living_area_range]],Lookups!$F$47:$H$56,3,FALSE),1)</f>
        <v>0.94224801443562123</v>
      </c>
      <c r="BX771" s="4">
        <f>AVERAGE(Grandview_Inventory[[#This Row],[qual_adj]:[size_adj]])</f>
        <v>0.94533808452356805</v>
      </c>
      <c r="BY771" s="6">
        <f>IF(Grandview_Inventory[[#This Row],[pre_res]]&lt;0,0,Grandview_Inventory[[#This Row],[pre_res]]*Grandview_Inventory[[#This Row],[overall_adj]])</f>
        <v>408865.10986383568</v>
      </c>
      <c r="BZ771" s="6">
        <f>(Grandview_Inventory[[#This Row],[sum_land]]-IF(Grandview_Inventory[[#This Row],[no_utilities]]=1,12000,0))/IF(Grandview_Inventory[[#This Row],[unbuildable]]=1,2,1)</f>
        <v>53837.239420408718</v>
      </c>
      <c r="CA771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71">
        <f>ROUND(Grandview_Inventory[[#This Row],[det_value]]*Lookups!$M$28,-2)</f>
        <v>0</v>
      </c>
      <c r="CC771">
        <f>IF(ROUND(Grandview_Inventory[[#This Row],[adj_res]]*Lookups!$M$28,-2)&lt;Grandview_Inventory[[#This Row],[min_res]],Grandview_Inventory[[#This Row],[min_res]],ROUND(Grandview_Inventory[[#This Row],[adj_res]]*Lookups!$M$28,-2))</f>
        <v>388400</v>
      </c>
      <c r="CD771">
        <f>Grandview_Inventory[[#This Row],[final_det]]+Grandview_Inventory[[#This Row],[final_res]]</f>
        <v>388400</v>
      </c>
      <c r="CE771">
        <f>Grandview_Inventory[[#This Row],[final_land]]+Grandview_Inventory[[#This Row],[final_imp]]+Grandview_Inventory[[#This Row],[crop_value]]</f>
        <v>439500</v>
      </c>
      <c r="CG771" t="str">
        <f t="shared" ref="CG771:CG834" si="12">"update valuation set market_land ="&amp;CA771&amp;", market_bldg="&amp;CD771&amp;", market_total ="&amp;CE771&amp;", market_mdno ="&amp;$CG$1&amp;", market_date ='"&amp;TEXT($CH$1,"m/d/yyyy")&amp;"' where link_id = (select link_id from parcel where parcel_year = '2024' and parcel_id = '"&amp;A771&amp;"');"</f>
        <v>update valuation set market_land =51100, market_bldg=388400, market_total =439500, market_mdno =401, market_date ='9/10/2023' where link_id = (select link_id from parcel where parcel_year = '2024' and parcel_id = '23092231520');</v>
      </c>
    </row>
    <row r="772" spans="1:85" x14ac:dyDescent="0.25">
      <c r="A772">
        <v>23092231521</v>
      </c>
      <c r="B772" t="s">
        <v>129</v>
      </c>
      <c r="C772">
        <v>11901</v>
      </c>
      <c r="D772" t="s">
        <v>129</v>
      </c>
      <c r="E772" t="s">
        <v>53</v>
      </c>
      <c r="F772" t="s">
        <v>53</v>
      </c>
      <c r="G772">
        <v>4</v>
      </c>
      <c r="H772" t="s">
        <v>54</v>
      </c>
      <c r="I772">
        <v>368000</v>
      </c>
      <c r="J772">
        <v>40000</v>
      </c>
      <c r="K772">
        <v>0.27</v>
      </c>
      <c r="L77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772">
        <v>0</v>
      </c>
      <c r="N772">
        <v>0</v>
      </c>
      <c r="O772">
        <v>0</v>
      </c>
      <c r="P772">
        <v>13398.7528</v>
      </c>
      <c r="Q772">
        <v>63903</v>
      </c>
      <c r="R772">
        <f>(Grandview_Inventory[[#This Row],[ln_acres]]*Grandview_Inventory[[#This Row],[coeff]])+Grandview_Inventory[[#This Row],[const]]</f>
        <v>46359.566512734265</v>
      </c>
      <c r="S772" t="s">
        <v>58</v>
      </c>
      <c r="T772">
        <v>2</v>
      </c>
      <c r="U772" t="s">
        <v>64</v>
      </c>
      <c r="V772" t="s">
        <v>57</v>
      </c>
      <c r="W772">
        <v>0</v>
      </c>
      <c r="X772">
        <v>0</v>
      </c>
      <c r="Y772">
        <v>2</v>
      </c>
      <c r="Z772">
        <v>2</v>
      </c>
      <c r="AA772">
        <v>10</v>
      </c>
      <c r="AB772">
        <v>3000</v>
      </c>
      <c r="AC772">
        <v>2543</v>
      </c>
      <c r="AD772">
        <v>1131</v>
      </c>
      <c r="AE772">
        <v>1412</v>
      </c>
      <c r="AF772">
        <v>0</v>
      </c>
      <c r="AG772">
        <v>0</v>
      </c>
      <c r="AH772">
        <v>0</v>
      </c>
      <c r="AI772">
        <v>0</v>
      </c>
      <c r="AJ772">
        <v>1060</v>
      </c>
      <c r="AK772">
        <v>0</v>
      </c>
      <c r="AL772">
        <v>0</v>
      </c>
      <c r="AM772">
        <v>0</v>
      </c>
      <c r="AN772">
        <v>341</v>
      </c>
      <c r="AO772">
        <v>0</v>
      </c>
      <c r="AP772">
        <v>13</v>
      </c>
      <c r="AQ772">
        <v>0</v>
      </c>
      <c r="AR772">
        <v>0</v>
      </c>
      <c r="AS772" t="s">
        <v>58</v>
      </c>
      <c r="AT772">
        <v>1</v>
      </c>
      <c r="AU772" t="s">
        <v>59</v>
      </c>
      <c r="AV772" t="s">
        <v>60</v>
      </c>
      <c r="AW772">
        <v>1</v>
      </c>
      <c r="AX772">
        <v>3</v>
      </c>
      <c r="AY772">
        <v>0</v>
      </c>
      <c r="AZ772">
        <v>0</v>
      </c>
      <c r="BA772">
        <v>100</v>
      </c>
      <c r="BB772">
        <v>100</v>
      </c>
      <c r="BC772">
        <v>100</v>
      </c>
      <c r="BD772">
        <v>100</v>
      </c>
      <c r="BE772">
        <v>1</v>
      </c>
      <c r="BF772">
        <v>15000</v>
      </c>
      <c r="BG772">
        <v>1000</v>
      </c>
      <c r="BH772" s="6">
        <f>Grandview_Inventory[[#This Row],[land_extract]]*Lookups!$B$3</f>
        <v>53837.239420408718</v>
      </c>
      <c r="BI772" s="6">
        <f>IF(Grandview_Inventory[[#This Row],[bldg_style]]="",0,Lookups!$B$2)</f>
        <v>155833.95000000001</v>
      </c>
      <c r="BJ772" s="6">
        <f>_xlfn.IFNA(VLOOKUP(Grandview_Inventory[[#This Row],[quality]],Lookups!$H$2:$J$14,3,FALSE),0)</f>
        <v>20768</v>
      </c>
      <c r="BK772" s="6">
        <f>_xlfn.IFNA(VLOOKUP(Grandview_Inventory[[#This Row],[condition]],Lookups!$H$17:$J$24,3,FALSE),0)</f>
        <v>25780</v>
      </c>
      <c r="BL772" s="6">
        <f>Grandview_Inventory[[#This Row],[Eff_Age]]*Lookups!$B$14</f>
        <v>-478.33319999999998</v>
      </c>
      <c r="BM772" s="6">
        <f>Grandview_Inventory[[#This Row],[living_area]]*Lookups!$B$15</f>
        <v>158634.50917900002</v>
      </c>
      <c r="BN772" s="6">
        <f>Grandview_Inventory[[#This Row],[Fin BSMT]]*Lookups!$B$16</f>
        <v>0</v>
      </c>
      <c r="BO772" s="6">
        <f>(Grandview_Inventory[[#This Row],[att_gar]]+Grandview_Inventory[[#This Row],[bltin_gar]])*Lookups!$B$17</f>
        <v>92771.663220000002</v>
      </c>
      <c r="BP772" s="6">
        <f>Grandview_Inventory[[#This Row],[Plumbing Fixtures]]*Lookups!$B$18</f>
        <v>26135.743399999999</v>
      </c>
      <c r="BQ772" s="6">
        <f>Grandview_Inventory[[#This Row],[detatched_value]]*Lookups!$B$19</f>
        <v>0</v>
      </c>
      <c r="BR772" s="6">
        <f>SUM(Grandview_Inventory[[#This Row],[Intercept]:[det_value]])*Grandview_Inventory[[#This Row],[res_pct]]</f>
        <v>479445.53259899997</v>
      </c>
      <c r="BS772" s="6">
        <f>Grandview_Inventory[[#This Row],[land_value]]</f>
        <v>53837.239420408718</v>
      </c>
      <c r="BT772" s="4">
        <f>_xlfn.IFNA(VLOOKUP(Grandview_Inventory[[#This Row],[quality]],Lookups!$A$26:$C$33,3,FALSE),1)</f>
        <v>0.94960540378902636</v>
      </c>
      <c r="BU772" s="4">
        <f>_xlfn.IFNA(VLOOKUP(Grandview_Inventory[[#This Row],[condition]],Lookups!$A$37:$C$44,3,FALSE),1)</f>
        <v>0.94347925387812148</v>
      </c>
      <c r="BV772" s="4">
        <f>IF(Grandview_Inventory[[#This Row],[bldg_style]]="",1,_xlfn.IFNA(VLOOKUP(Grandview_Inventory[[#This Row],[decade]],Lookups!$F$29:$H$43,3,FALSE),1))</f>
        <v>0.94601966599150278</v>
      </c>
      <c r="BW772" s="4">
        <f>_xlfn.IFNA(VLOOKUP(Grandview_Inventory[[#This Row],[living_area_range]],Lookups!$F$47:$H$56,3,FALSE),1)</f>
        <v>0.94224801443562123</v>
      </c>
      <c r="BX772" s="4">
        <f>AVERAGE(Grandview_Inventory[[#This Row],[qual_adj]:[size_adj]])</f>
        <v>0.94533808452356805</v>
      </c>
      <c r="BY772" s="6">
        <f>IF(Grandview_Inventory[[#This Row],[pre_res]]&lt;0,0,Grandview_Inventory[[#This Row],[pre_res]]*Grandview_Inventory[[#This Row],[overall_adj]])</f>
        <v>453238.12142052053</v>
      </c>
      <c r="BZ772" s="6">
        <f>(Grandview_Inventory[[#This Row],[sum_land]]-IF(Grandview_Inventory[[#This Row],[no_utilities]]=1,12000,0))/IF(Grandview_Inventory[[#This Row],[unbuildable]]=1,2,1)</f>
        <v>53837.239420408718</v>
      </c>
      <c r="CA77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772">
        <f>ROUND(Grandview_Inventory[[#This Row],[det_value]]*Lookups!$M$28,-2)</f>
        <v>0</v>
      </c>
      <c r="CC772">
        <f>IF(ROUND(Grandview_Inventory[[#This Row],[adj_res]]*Lookups!$M$28,-2)&lt;Grandview_Inventory[[#This Row],[min_res]],Grandview_Inventory[[#This Row],[min_res]],ROUND(Grandview_Inventory[[#This Row],[adj_res]]*Lookups!$M$28,-2))</f>
        <v>430600</v>
      </c>
      <c r="CD772">
        <f>Grandview_Inventory[[#This Row],[final_det]]+Grandview_Inventory[[#This Row],[final_res]]</f>
        <v>430600</v>
      </c>
      <c r="CE772">
        <f>Grandview_Inventory[[#This Row],[final_land]]+Grandview_Inventory[[#This Row],[final_imp]]+Grandview_Inventory[[#This Row],[crop_value]]</f>
        <v>481700</v>
      </c>
      <c r="CG772" t="str">
        <f t="shared" si="12"/>
        <v>update valuation set market_land =51100, market_bldg=430600, market_total =481700, market_mdno =401, market_date ='9/10/2023' where link_id = (select link_id from parcel where parcel_year = '2024' and parcel_id = '23092231521');</v>
      </c>
    </row>
    <row r="773" spans="1:85" x14ac:dyDescent="0.25">
      <c r="A773">
        <v>23092231522</v>
      </c>
      <c r="B773" t="s">
        <v>129</v>
      </c>
      <c r="C773">
        <v>9761</v>
      </c>
      <c r="D773" t="s">
        <v>129</v>
      </c>
      <c r="E773" t="s">
        <v>53</v>
      </c>
      <c r="F773" t="s">
        <v>53</v>
      </c>
      <c r="G773">
        <v>4</v>
      </c>
      <c r="H773" t="s">
        <v>54</v>
      </c>
      <c r="I773">
        <v>329100</v>
      </c>
      <c r="J773">
        <v>39500</v>
      </c>
      <c r="K773">
        <v>0.22</v>
      </c>
      <c r="L77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773">
        <v>0</v>
      </c>
      <c r="N773">
        <v>0</v>
      </c>
      <c r="O773">
        <v>0</v>
      </c>
      <c r="P773">
        <v>13398.7528</v>
      </c>
      <c r="Q773">
        <v>63903</v>
      </c>
      <c r="R773">
        <f>(Grandview_Inventory[[#This Row],[ln_acres]]*Grandview_Inventory[[#This Row],[coeff]])+Grandview_Inventory[[#This Row],[const]]</f>
        <v>43615.576802869145</v>
      </c>
      <c r="S773" t="s">
        <v>58</v>
      </c>
      <c r="T773">
        <v>2</v>
      </c>
      <c r="U773" t="s">
        <v>64</v>
      </c>
      <c r="V773" t="s">
        <v>57</v>
      </c>
      <c r="W773">
        <v>0</v>
      </c>
      <c r="X773">
        <v>0</v>
      </c>
      <c r="Y773">
        <v>2</v>
      </c>
      <c r="Z773">
        <v>2</v>
      </c>
      <c r="AA773">
        <v>10</v>
      </c>
      <c r="AB773">
        <v>3000</v>
      </c>
      <c r="AC773">
        <v>2520</v>
      </c>
      <c r="AD773">
        <v>1104</v>
      </c>
      <c r="AE773">
        <v>1416</v>
      </c>
      <c r="AF773">
        <v>0</v>
      </c>
      <c r="AG773">
        <v>0</v>
      </c>
      <c r="AH773">
        <v>0</v>
      </c>
      <c r="AI773">
        <v>0</v>
      </c>
      <c r="AJ773">
        <v>500</v>
      </c>
      <c r="AK773">
        <v>0</v>
      </c>
      <c r="AL773">
        <v>0</v>
      </c>
      <c r="AM773">
        <v>0</v>
      </c>
      <c r="AN773">
        <v>206</v>
      </c>
      <c r="AO773">
        <v>0</v>
      </c>
      <c r="AP773">
        <v>13</v>
      </c>
      <c r="AQ773">
        <v>0</v>
      </c>
      <c r="AR773">
        <v>0</v>
      </c>
      <c r="AS773" t="s">
        <v>58</v>
      </c>
      <c r="AT773">
        <v>1</v>
      </c>
      <c r="AU773" t="s">
        <v>59</v>
      </c>
      <c r="AV773" t="s">
        <v>60</v>
      </c>
      <c r="AW773">
        <v>1</v>
      </c>
      <c r="AX773">
        <v>3</v>
      </c>
      <c r="AY773">
        <v>0</v>
      </c>
      <c r="AZ773">
        <v>0</v>
      </c>
      <c r="BA773">
        <v>100</v>
      </c>
      <c r="BB773">
        <v>100</v>
      </c>
      <c r="BC773">
        <v>100</v>
      </c>
      <c r="BD773">
        <v>100</v>
      </c>
      <c r="BE773">
        <v>1</v>
      </c>
      <c r="BF773">
        <v>15000</v>
      </c>
      <c r="BG773">
        <v>1000</v>
      </c>
      <c r="BH773" s="6">
        <f>Grandview_Inventory[[#This Row],[land_extract]]*Lookups!$B$3</f>
        <v>50650.651579114572</v>
      </c>
      <c r="BI773" s="6">
        <f>IF(Grandview_Inventory[[#This Row],[bldg_style]]="",0,Lookups!$B$2)</f>
        <v>155833.95000000001</v>
      </c>
      <c r="BJ773" s="6">
        <f>_xlfn.IFNA(VLOOKUP(Grandview_Inventory[[#This Row],[quality]],Lookups!$H$2:$J$14,3,FALSE),0)</f>
        <v>20768</v>
      </c>
      <c r="BK773" s="6">
        <f>_xlfn.IFNA(VLOOKUP(Grandview_Inventory[[#This Row],[condition]],Lookups!$H$17:$J$24,3,FALSE),0)</f>
        <v>25780</v>
      </c>
      <c r="BL773" s="6">
        <f>Grandview_Inventory[[#This Row],[Eff_Age]]*Lookups!$B$14</f>
        <v>-478.33319999999998</v>
      </c>
      <c r="BM773" s="6">
        <f>Grandview_Inventory[[#This Row],[living_area]]*Lookups!$B$15</f>
        <v>157199.74956</v>
      </c>
      <c r="BN773" s="6">
        <f>Grandview_Inventory[[#This Row],[Fin BSMT]]*Lookups!$B$16</f>
        <v>0</v>
      </c>
      <c r="BO773" s="6">
        <f>(Grandview_Inventory[[#This Row],[att_gar]]+Grandview_Inventory[[#This Row],[bltin_gar]])*Lookups!$B$17</f>
        <v>43760.218500000003</v>
      </c>
      <c r="BP773" s="6">
        <f>Grandview_Inventory[[#This Row],[Plumbing Fixtures]]*Lookups!$B$18</f>
        <v>26135.743399999999</v>
      </c>
      <c r="BQ773" s="6">
        <f>Grandview_Inventory[[#This Row],[detatched_value]]*Lookups!$B$19</f>
        <v>0</v>
      </c>
      <c r="BR773" s="6">
        <f>SUM(Grandview_Inventory[[#This Row],[Intercept]:[det_value]])*Grandview_Inventory[[#This Row],[res_pct]]</f>
        <v>428999.32825999998</v>
      </c>
      <c r="BS773" s="6">
        <f>Grandview_Inventory[[#This Row],[land_value]]</f>
        <v>50650.651579114572</v>
      </c>
      <c r="BT773" s="4">
        <f>_xlfn.IFNA(VLOOKUP(Grandview_Inventory[[#This Row],[quality]],Lookups!$A$26:$C$33,3,FALSE),1)</f>
        <v>0.94960540378902636</v>
      </c>
      <c r="BU773" s="4">
        <f>_xlfn.IFNA(VLOOKUP(Grandview_Inventory[[#This Row],[condition]],Lookups!$A$37:$C$44,3,FALSE),1)</f>
        <v>0.94347925387812148</v>
      </c>
      <c r="BV773" s="4">
        <f>IF(Grandview_Inventory[[#This Row],[bldg_style]]="",1,_xlfn.IFNA(VLOOKUP(Grandview_Inventory[[#This Row],[decade]],Lookups!$F$29:$H$43,3,FALSE),1))</f>
        <v>0.94601966599150278</v>
      </c>
      <c r="BW773" s="4">
        <f>_xlfn.IFNA(VLOOKUP(Grandview_Inventory[[#This Row],[living_area_range]],Lookups!$F$47:$H$56,3,FALSE),1)</f>
        <v>0.94224801443562123</v>
      </c>
      <c r="BX773" s="4">
        <f>AVERAGE(Grandview_Inventory[[#This Row],[qual_adj]:[size_adj]])</f>
        <v>0.94533808452356805</v>
      </c>
      <c r="BY773" s="6">
        <f>IF(Grandview_Inventory[[#This Row],[pre_res]]&lt;0,0,Grandview_Inventory[[#This Row],[pre_res]]*Grandview_Inventory[[#This Row],[overall_adj]])</f>
        <v>405549.40323920577</v>
      </c>
      <c r="BZ773" s="6">
        <f>(Grandview_Inventory[[#This Row],[sum_land]]-IF(Grandview_Inventory[[#This Row],[no_utilities]]=1,12000,0))/IF(Grandview_Inventory[[#This Row],[unbuildable]]=1,2,1)</f>
        <v>50650.651579114572</v>
      </c>
      <c r="CA77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773">
        <f>ROUND(Grandview_Inventory[[#This Row],[det_value]]*Lookups!$M$28,-2)</f>
        <v>0</v>
      </c>
      <c r="CC773">
        <f>IF(ROUND(Grandview_Inventory[[#This Row],[adj_res]]*Lookups!$M$28,-2)&lt;Grandview_Inventory[[#This Row],[min_res]],Grandview_Inventory[[#This Row],[min_res]],ROUND(Grandview_Inventory[[#This Row],[adj_res]]*Lookups!$M$28,-2))</f>
        <v>385300</v>
      </c>
      <c r="CD773">
        <f>Grandview_Inventory[[#This Row],[final_det]]+Grandview_Inventory[[#This Row],[final_res]]</f>
        <v>385300</v>
      </c>
      <c r="CE773">
        <f>Grandview_Inventory[[#This Row],[final_land]]+Grandview_Inventory[[#This Row],[final_imp]]+Grandview_Inventory[[#This Row],[crop_value]]</f>
        <v>433400</v>
      </c>
      <c r="CG773" t="str">
        <f t="shared" si="12"/>
        <v>update valuation set market_land =48100, market_bldg=385300, market_total =433400, market_mdno =401, market_date ='9/10/2023' where link_id = (select link_id from parcel where parcel_year = '2024' and parcel_id = '23092231522');</v>
      </c>
    </row>
    <row r="774" spans="1:85" x14ac:dyDescent="0.25">
      <c r="A774">
        <v>23092231523</v>
      </c>
      <c r="B774">
        <v>0.2</v>
      </c>
      <c r="C774">
        <v>8871</v>
      </c>
      <c r="D774" t="s">
        <v>129</v>
      </c>
      <c r="E774" t="s">
        <v>53</v>
      </c>
      <c r="F774" t="s">
        <v>53</v>
      </c>
      <c r="G774">
        <v>4</v>
      </c>
      <c r="H774" t="s">
        <v>54</v>
      </c>
      <c r="I774">
        <v>308000</v>
      </c>
      <c r="J774">
        <v>39300</v>
      </c>
      <c r="K774">
        <v>0.2</v>
      </c>
      <c r="L77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774">
        <v>0</v>
      </c>
      <c r="N774">
        <v>0</v>
      </c>
      <c r="O774">
        <v>0</v>
      </c>
      <c r="P774">
        <v>13398.7528</v>
      </c>
      <c r="Q774">
        <v>63903</v>
      </c>
      <c r="R774">
        <f>(Grandview_Inventory[[#This Row],[ln_acres]]*Grandview_Inventory[[#This Row],[coeff]])+Grandview_Inventory[[#This Row],[const]]</f>
        <v>42338.539264347448</v>
      </c>
      <c r="S774" t="s">
        <v>58</v>
      </c>
      <c r="T774">
        <v>2</v>
      </c>
      <c r="U774" t="s">
        <v>62</v>
      </c>
      <c r="V774" t="s">
        <v>57</v>
      </c>
      <c r="W774">
        <v>0</v>
      </c>
      <c r="X774">
        <v>0</v>
      </c>
      <c r="Y774">
        <v>2</v>
      </c>
      <c r="Z774">
        <v>2</v>
      </c>
      <c r="AA774">
        <v>10</v>
      </c>
      <c r="AB774">
        <v>2500</v>
      </c>
      <c r="AC774">
        <v>2374</v>
      </c>
      <c r="AD774">
        <v>924</v>
      </c>
      <c r="AE774">
        <v>1450</v>
      </c>
      <c r="AF774">
        <v>0</v>
      </c>
      <c r="AG774">
        <v>0</v>
      </c>
      <c r="AH774">
        <v>0</v>
      </c>
      <c r="AI774">
        <v>0</v>
      </c>
      <c r="AJ774">
        <v>526</v>
      </c>
      <c r="AK774">
        <v>0</v>
      </c>
      <c r="AL774">
        <v>0</v>
      </c>
      <c r="AM774">
        <v>0</v>
      </c>
      <c r="AN774">
        <v>40</v>
      </c>
      <c r="AO774">
        <v>0</v>
      </c>
      <c r="AP774">
        <v>11</v>
      </c>
      <c r="AQ774">
        <v>0</v>
      </c>
      <c r="AR774">
        <v>0</v>
      </c>
      <c r="AS774" t="s">
        <v>58</v>
      </c>
      <c r="AT774">
        <v>1</v>
      </c>
      <c r="AU774" t="s">
        <v>59</v>
      </c>
      <c r="AV774" t="s">
        <v>60</v>
      </c>
      <c r="AW774">
        <v>1</v>
      </c>
      <c r="AX774">
        <v>4</v>
      </c>
      <c r="AY774">
        <v>0</v>
      </c>
      <c r="AZ774">
        <v>0</v>
      </c>
      <c r="BA774">
        <v>100</v>
      </c>
      <c r="BB774">
        <v>100</v>
      </c>
      <c r="BC774">
        <v>100</v>
      </c>
      <c r="BD774">
        <v>100</v>
      </c>
      <c r="BE774">
        <v>1</v>
      </c>
      <c r="BF774">
        <v>15000</v>
      </c>
      <c r="BG774">
        <v>1000</v>
      </c>
      <c r="BH774" s="6">
        <f>Grandview_Inventory[[#This Row],[land_extract]]*Lookups!$B$3</f>
        <v>49167.631333630678</v>
      </c>
      <c r="BI774" s="6">
        <f>IF(Grandview_Inventory[[#This Row],[bldg_style]]="",0,Lookups!$B$2)</f>
        <v>155833.95000000001</v>
      </c>
      <c r="BJ774" s="6">
        <f>_xlfn.IFNA(VLOOKUP(Grandview_Inventory[[#This Row],[quality]],Lookups!$H$2:$J$14,3,FALSE),0)</f>
        <v>9808</v>
      </c>
      <c r="BK774" s="6">
        <f>_xlfn.IFNA(VLOOKUP(Grandview_Inventory[[#This Row],[condition]],Lookups!$H$17:$J$24,3,FALSE),0)</f>
        <v>25780</v>
      </c>
      <c r="BL774" s="6">
        <f>Grandview_Inventory[[#This Row],[Eff_Age]]*Lookups!$B$14</f>
        <v>-478.33319999999998</v>
      </c>
      <c r="BM774" s="6">
        <f>Grandview_Inventory[[#This Row],[living_area]]*Lookups!$B$15</f>
        <v>148092.14502200001</v>
      </c>
      <c r="BN774" s="6">
        <f>Grandview_Inventory[[#This Row],[Fin BSMT]]*Lookups!$B$16</f>
        <v>0</v>
      </c>
      <c r="BO774" s="6">
        <f>(Grandview_Inventory[[#This Row],[att_gar]]+Grandview_Inventory[[#This Row],[bltin_gar]])*Lookups!$B$17</f>
        <v>46035.749862000004</v>
      </c>
      <c r="BP774" s="6">
        <f>Grandview_Inventory[[#This Row],[Plumbing Fixtures]]*Lookups!$B$18</f>
        <v>22114.859800000002</v>
      </c>
      <c r="BQ774" s="6">
        <f>Grandview_Inventory[[#This Row],[detatched_value]]*Lookups!$B$19</f>
        <v>0</v>
      </c>
      <c r="BR774" s="6">
        <f>SUM(Grandview_Inventory[[#This Row],[Intercept]:[det_value]])*Grandview_Inventory[[#This Row],[res_pct]]</f>
        <v>407186.371484</v>
      </c>
      <c r="BS774" s="6">
        <f>Grandview_Inventory[[#This Row],[land_value]]</f>
        <v>49167.631333630678</v>
      </c>
      <c r="BT774" s="4">
        <f>_xlfn.IFNA(VLOOKUP(Grandview_Inventory[[#This Row],[quality]],Lookups!$A$26:$C$33,3,FALSE),1)</f>
        <v>0.94295468617355149</v>
      </c>
      <c r="BU774" s="4">
        <f>_xlfn.IFNA(VLOOKUP(Grandview_Inventory[[#This Row],[condition]],Lookups!$A$37:$C$44,3,FALSE),1)</f>
        <v>0.94347925387812148</v>
      </c>
      <c r="BV774" s="4">
        <f>IF(Grandview_Inventory[[#This Row],[bldg_style]]="",1,_xlfn.IFNA(VLOOKUP(Grandview_Inventory[[#This Row],[decade]],Lookups!$F$29:$H$43,3,FALSE),1))</f>
        <v>0.94601966599150278</v>
      </c>
      <c r="BW774" s="4">
        <f>_xlfn.IFNA(VLOOKUP(Grandview_Inventory[[#This Row],[living_area_range]],Lookups!$F$47:$H$56,3,FALSE),1)</f>
        <v>0.95799442568048754</v>
      </c>
      <c r="BX774" s="4">
        <f>AVERAGE(Grandview_Inventory[[#This Row],[qual_adj]:[size_adj]])</f>
        <v>0.94761200793091582</v>
      </c>
      <c r="BY774" s="6">
        <f>IF(Grandview_Inventory[[#This Row],[pre_res]]&lt;0,0,Grandview_Inventory[[#This Row],[pre_res]]*Grandview_Inventory[[#This Row],[overall_adj]])</f>
        <v>385854.69508405705</v>
      </c>
      <c r="BZ774" s="6">
        <f>(Grandview_Inventory[[#This Row],[sum_land]]-IF(Grandview_Inventory[[#This Row],[no_utilities]]=1,12000,0))/IF(Grandview_Inventory[[#This Row],[unbuildable]]=1,2,1)</f>
        <v>49167.631333630678</v>
      </c>
      <c r="CA77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774">
        <f>ROUND(Grandview_Inventory[[#This Row],[det_value]]*Lookups!$M$28,-2)</f>
        <v>0</v>
      </c>
      <c r="CC774">
        <f>IF(ROUND(Grandview_Inventory[[#This Row],[adj_res]]*Lookups!$M$28,-2)&lt;Grandview_Inventory[[#This Row],[min_res]],Grandview_Inventory[[#This Row],[min_res]],ROUND(Grandview_Inventory[[#This Row],[adj_res]]*Lookups!$M$28,-2))</f>
        <v>366600</v>
      </c>
      <c r="CD774">
        <f>Grandview_Inventory[[#This Row],[final_det]]+Grandview_Inventory[[#This Row],[final_res]]</f>
        <v>366600</v>
      </c>
      <c r="CE774">
        <f>Grandview_Inventory[[#This Row],[final_land]]+Grandview_Inventory[[#This Row],[final_imp]]+Grandview_Inventory[[#This Row],[crop_value]]</f>
        <v>413300</v>
      </c>
      <c r="CG774" t="str">
        <f t="shared" si="12"/>
        <v>update valuation set market_land =46700, market_bldg=366600, market_total =413300, market_mdno =401, market_date ='9/10/2023' where link_id = (select link_id from parcel where parcel_year = '2024' and parcel_id = '23092231523');</v>
      </c>
    </row>
    <row r="775" spans="1:85" x14ac:dyDescent="0.25">
      <c r="A775">
        <v>23092231524</v>
      </c>
      <c r="B775">
        <v>0.25</v>
      </c>
      <c r="C775">
        <v>11024</v>
      </c>
      <c r="D775" t="s">
        <v>129</v>
      </c>
      <c r="E775" t="s">
        <v>53</v>
      </c>
      <c r="F775" t="s">
        <v>53</v>
      </c>
      <c r="G775">
        <v>4</v>
      </c>
      <c r="H775" t="s">
        <v>54</v>
      </c>
      <c r="I775">
        <v>353000</v>
      </c>
      <c r="J775">
        <v>40000</v>
      </c>
      <c r="K775">
        <v>0.25</v>
      </c>
      <c r="L77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775">
        <v>0</v>
      </c>
      <c r="N775">
        <v>0</v>
      </c>
      <c r="O775">
        <v>0</v>
      </c>
      <c r="P775">
        <v>13398.7528</v>
      </c>
      <c r="Q775">
        <v>63903</v>
      </c>
      <c r="R775">
        <f>(Grandview_Inventory[[#This Row],[ln_acres]]*Grandview_Inventory[[#This Row],[coeff]])+Grandview_Inventory[[#This Row],[const]]</f>
        <v>45328.38454732066</v>
      </c>
      <c r="S775" t="s">
        <v>58</v>
      </c>
      <c r="T775">
        <v>2</v>
      </c>
      <c r="U775" t="s">
        <v>64</v>
      </c>
      <c r="V775" t="s">
        <v>57</v>
      </c>
      <c r="W775">
        <v>0</v>
      </c>
      <c r="X775">
        <v>0</v>
      </c>
      <c r="Y775">
        <v>2</v>
      </c>
      <c r="Z775">
        <v>2</v>
      </c>
      <c r="AA775">
        <v>10</v>
      </c>
      <c r="AB775">
        <v>3000</v>
      </c>
      <c r="AC775">
        <v>2540</v>
      </c>
      <c r="AD775">
        <v>1124</v>
      </c>
      <c r="AE775">
        <v>1416</v>
      </c>
      <c r="AF775">
        <v>0</v>
      </c>
      <c r="AG775">
        <v>0</v>
      </c>
      <c r="AH775">
        <v>0</v>
      </c>
      <c r="AI775">
        <v>0</v>
      </c>
      <c r="AJ775">
        <v>840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13</v>
      </c>
      <c r="AQ775">
        <v>0</v>
      </c>
      <c r="AR775">
        <v>0</v>
      </c>
      <c r="AS775" t="s">
        <v>58</v>
      </c>
      <c r="AT775">
        <v>1</v>
      </c>
      <c r="AU775" t="s">
        <v>59</v>
      </c>
      <c r="AV775" t="s">
        <v>60</v>
      </c>
      <c r="AW775">
        <v>1</v>
      </c>
      <c r="AX775">
        <v>3</v>
      </c>
      <c r="AY775">
        <v>0</v>
      </c>
      <c r="AZ775">
        <v>0</v>
      </c>
      <c r="BA775">
        <v>100</v>
      </c>
      <c r="BB775">
        <v>100</v>
      </c>
      <c r="BC775">
        <v>100</v>
      </c>
      <c r="BD775">
        <v>100</v>
      </c>
      <c r="BE775">
        <v>1</v>
      </c>
      <c r="BF775">
        <v>15000</v>
      </c>
      <c r="BG775">
        <v>1000</v>
      </c>
      <c r="BH775" s="6">
        <f>Grandview_Inventory[[#This Row],[land_extract]]*Lookups!$B$3</f>
        <v>52639.730588165206</v>
      </c>
      <c r="BI775" s="6">
        <f>IF(Grandview_Inventory[[#This Row],[bldg_style]]="",0,Lookups!$B$2)</f>
        <v>155833.95000000001</v>
      </c>
      <c r="BJ775" s="6">
        <f>_xlfn.IFNA(VLOOKUP(Grandview_Inventory[[#This Row],[quality]],Lookups!$H$2:$J$14,3,FALSE),0)</f>
        <v>20768</v>
      </c>
      <c r="BK775" s="6">
        <f>_xlfn.IFNA(VLOOKUP(Grandview_Inventory[[#This Row],[condition]],Lookups!$H$17:$J$24,3,FALSE),0)</f>
        <v>25780</v>
      </c>
      <c r="BL775" s="6">
        <f>Grandview_Inventory[[#This Row],[Eff_Age]]*Lookups!$B$14</f>
        <v>-478.33319999999998</v>
      </c>
      <c r="BM775" s="6">
        <f>Grandview_Inventory[[#This Row],[living_area]]*Lookups!$B$15</f>
        <v>158447.36662000002</v>
      </c>
      <c r="BN775" s="6">
        <f>Grandview_Inventory[[#This Row],[Fin BSMT]]*Lookups!$B$16</f>
        <v>0</v>
      </c>
      <c r="BO775" s="6">
        <f>(Grandview_Inventory[[#This Row],[att_gar]]+Grandview_Inventory[[#This Row],[bltin_gar]])*Lookups!$B$17</f>
        <v>73517.167079999999</v>
      </c>
      <c r="BP775" s="6">
        <f>Grandview_Inventory[[#This Row],[Plumbing Fixtures]]*Lookups!$B$18</f>
        <v>26135.743399999999</v>
      </c>
      <c r="BQ775" s="6">
        <f>Grandview_Inventory[[#This Row],[detatched_value]]*Lookups!$B$19</f>
        <v>0</v>
      </c>
      <c r="BR775" s="6">
        <f>SUM(Grandview_Inventory[[#This Row],[Intercept]:[det_value]])*Grandview_Inventory[[#This Row],[res_pct]]</f>
        <v>460003.89390000002</v>
      </c>
      <c r="BS775" s="6">
        <f>Grandview_Inventory[[#This Row],[land_value]]</f>
        <v>52639.730588165206</v>
      </c>
      <c r="BT775" s="4">
        <f>_xlfn.IFNA(VLOOKUP(Grandview_Inventory[[#This Row],[quality]],Lookups!$A$26:$C$33,3,FALSE),1)</f>
        <v>0.94960540378902636</v>
      </c>
      <c r="BU775" s="4">
        <f>_xlfn.IFNA(VLOOKUP(Grandview_Inventory[[#This Row],[condition]],Lookups!$A$37:$C$44,3,FALSE),1)</f>
        <v>0.94347925387812148</v>
      </c>
      <c r="BV775" s="4">
        <f>IF(Grandview_Inventory[[#This Row],[bldg_style]]="",1,_xlfn.IFNA(VLOOKUP(Grandview_Inventory[[#This Row],[decade]],Lookups!$F$29:$H$43,3,FALSE),1))</f>
        <v>0.94601966599150278</v>
      </c>
      <c r="BW775" s="4">
        <f>_xlfn.IFNA(VLOOKUP(Grandview_Inventory[[#This Row],[living_area_range]],Lookups!$F$47:$H$56,3,FALSE),1)</f>
        <v>0.94224801443562123</v>
      </c>
      <c r="BX775" s="4">
        <f>AVERAGE(Grandview_Inventory[[#This Row],[qual_adj]:[size_adj]])</f>
        <v>0.94533808452356805</v>
      </c>
      <c r="BY775" s="6">
        <f>IF(Grandview_Inventory[[#This Row],[pre_res]]&lt;0,0,Grandview_Inventory[[#This Row],[pre_res]]*Grandview_Inventory[[#This Row],[overall_adj]])</f>
        <v>434859.19993280864</v>
      </c>
      <c r="BZ775" s="6">
        <f>(Grandview_Inventory[[#This Row],[sum_land]]-IF(Grandview_Inventory[[#This Row],[no_utilities]]=1,12000,0))/IF(Grandview_Inventory[[#This Row],[unbuildable]]=1,2,1)</f>
        <v>52639.730588165206</v>
      </c>
      <c r="CA77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775">
        <f>ROUND(Grandview_Inventory[[#This Row],[det_value]]*Lookups!$M$28,-2)</f>
        <v>0</v>
      </c>
      <c r="CC775">
        <f>IF(ROUND(Grandview_Inventory[[#This Row],[adj_res]]*Lookups!$M$28,-2)&lt;Grandview_Inventory[[#This Row],[min_res]],Grandview_Inventory[[#This Row],[min_res]],ROUND(Grandview_Inventory[[#This Row],[adj_res]]*Lookups!$M$28,-2))</f>
        <v>413100</v>
      </c>
      <c r="CD775">
        <f>Grandview_Inventory[[#This Row],[final_det]]+Grandview_Inventory[[#This Row],[final_res]]</f>
        <v>413100</v>
      </c>
      <c r="CE775">
        <f>Grandview_Inventory[[#This Row],[final_land]]+Grandview_Inventory[[#This Row],[final_imp]]+Grandview_Inventory[[#This Row],[crop_value]]</f>
        <v>463100</v>
      </c>
      <c r="CG775" t="str">
        <f t="shared" si="12"/>
        <v>update valuation set market_land =50000, market_bldg=413100, market_total =463100, market_mdno =401, market_date ='9/10/2023' where link_id = (select link_id from parcel where parcel_year = '2024' and parcel_id = '23092231524');</v>
      </c>
    </row>
    <row r="776" spans="1:85" x14ac:dyDescent="0.25">
      <c r="A776">
        <v>23092231525</v>
      </c>
      <c r="B776">
        <v>0.32</v>
      </c>
      <c r="C776">
        <v>14029</v>
      </c>
      <c r="D776" t="s">
        <v>129</v>
      </c>
      <c r="E776" t="s">
        <v>53</v>
      </c>
      <c r="F776" t="s">
        <v>53</v>
      </c>
      <c r="G776">
        <v>4</v>
      </c>
      <c r="H776" t="s">
        <v>54</v>
      </c>
      <c r="I776">
        <v>311900</v>
      </c>
      <c r="J776">
        <v>41200</v>
      </c>
      <c r="K776">
        <v>0.32</v>
      </c>
      <c r="L776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776">
        <v>0</v>
      </c>
      <c r="N776">
        <v>0</v>
      </c>
      <c r="O776">
        <v>0</v>
      </c>
      <c r="P776">
        <v>13398.7528</v>
      </c>
      <c r="Q776">
        <v>63903</v>
      </c>
      <c r="R776">
        <f>(Grandview_Inventory[[#This Row],[ln_acres]]*Grandview_Inventory[[#This Row],[coeff]])+Grandview_Inventory[[#This Row],[const]]</f>
        <v>48636.001707713905</v>
      </c>
      <c r="S776" t="s">
        <v>58</v>
      </c>
      <c r="T776">
        <v>1</v>
      </c>
      <c r="U776" t="s">
        <v>62</v>
      </c>
      <c r="V776" t="s">
        <v>57</v>
      </c>
      <c r="W776">
        <v>0</v>
      </c>
      <c r="X776">
        <v>0</v>
      </c>
      <c r="Y776">
        <v>2</v>
      </c>
      <c r="Z776">
        <v>2</v>
      </c>
      <c r="AA776">
        <v>10</v>
      </c>
      <c r="AB776">
        <v>2000</v>
      </c>
      <c r="AC776">
        <v>1960</v>
      </c>
      <c r="AD776">
        <v>1960</v>
      </c>
      <c r="AE776">
        <v>0</v>
      </c>
      <c r="AF776">
        <v>0</v>
      </c>
      <c r="AG776">
        <v>0</v>
      </c>
      <c r="AH776">
        <v>0</v>
      </c>
      <c r="AI776">
        <v>772</v>
      </c>
      <c r="AJ776">
        <v>0</v>
      </c>
      <c r="AK776">
        <v>0</v>
      </c>
      <c r="AL776">
        <v>0</v>
      </c>
      <c r="AM776">
        <v>0</v>
      </c>
      <c r="AN776">
        <v>132</v>
      </c>
      <c r="AO776">
        <v>0</v>
      </c>
      <c r="AP776">
        <v>9</v>
      </c>
      <c r="AQ776">
        <v>0</v>
      </c>
      <c r="AR776">
        <v>0</v>
      </c>
      <c r="AS776" t="s">
        <v>58</v>
      </c>
      <c r="AT776">
        <v>1</v>
      </c>
      <c r="AU776" t="s">
        <v>59</v>
      </c>
      <c r="AV776" t="s">
        <v>60</v>
      </c>
      <c r="AW776">
        <v>1</v>
      </c>
      <c r="AX776">
        <v>3</v>
      </c>
      <c r="AY776">
        <v>0</v>
      </c>
      <c r="AZ776">
        <v>0</v>
      </c>
      <c r="BA776">
        <v>100</v>
      </c>
      <c r="BB776">
        <v>100</v>
      </c>
      <c r="BC776">
        <v>100</v>
      </c>
      <c r="BD776">
        <v>100</v>
      </c>
      <c r="BE776">
        <v>1</v>
      </c>
      <c r="BF776">
        <v>15000</v>
      </c>
      <c r="BG776">
        <v>1000</v>
      </c>
      <c r="BH776" s="6">
        <f>Grandview_Inventory[[#This Row],[land_extract]]*Lookups!$B$3</f>
        <v>56480.857465963549</v>
      </c>
      <c r="BI776" s="6">
        <f>IF(Grandview_Inventory[[#This Row],[bldg_style]]="",0,Lookups!$B$2)</f>
        <v>155833.95000000001</v>
      </c>
      <c r="BJ776" s="6">
        <f>_xlfn.IFNA(VLOOKUP(Grandview_Inventory[[#This Row],[quality]],Lookups!$H$2:$J$14,3,FALSE),0)</f>
        <v>9808</v>
      </c>
      <c r="BK776" s="6">
        <f>_xlfn.IFNA(VLOOKUP(Grandview_Inventory[[#This Row],[condition]],Lookups!$H$17:$J$24,3,FALSE),0)</f>
        <v>25780</v>
      </c>
      <c r="BL776" s="6">
        <f>Grandview_Inventory[[#This Row],[Eff_Age]]*Lookups!$B$14</f>
        <v>-478.33319999999998</v>
      </c>
      <c r="BM776" s="6">
        <f>Grandview_Inventory[[#This Row],[living_area]]*Lookups!$B$15</f>
        <v>122266.47188</v>
      </c>
      <c r="BN776" s="6">
        <f>Grandview_Inventory[[#This Row],[Fin BSMT]]*Lookups!$B$16</f>
        <v>0</v>
      </c>
      <c r="BO776" s="6">
        <f>(Grandview_Inventory[[#This Row],[att_gar]]+Grandview_Inventory[[#This Row],[bltin_gar]])*Lookups!$B$17</f>
        <v>67565.777363999994</v>
      </c>
      <c r="BP776" s="6">
        <f>Grandview_Inventory[[#This Row],[Plumbing Fixtures]]*Lookups!$B$18</f>
        <v>18093.976200000001</v>
      </c>
      <c r="BQ776" s="6">
        <f>Grandview_Inventory[[#This Row],[detatched_value]]*Lookups!$B$19</f>
        <v>0</v>
      </c>
      <c r="BR776" s="6">
        <f>SUM(Grandview_Inventory[[#This Row],[Intercept]:[det_value]])*Grandview_Inventory[[#This Row],[res_pct]]</f>
        <v>398869.842244</v>
      </c>
      <c r="BS776" s="6">
        <f>Grandview_Inventory[[#This Row],[land_value]]</f>
        <v>56480.857465963549</v>
      </c>
      <c r="BT776" s="4">
        <f>_xlfn.IFNA(VLOOKUP(Grandview_Inventory[[#This Row],[quality]],Lookups!$A$26:$C$33,3,FALSE),1)</f>
        <v>0.94295468617355149</v>
      </c>
      <c r="BU776" s="4">
        <f>_xlfn.IFNA(VLOOKUP(Grandview_Inventory[[#This Row],[condition]],Lookups!$A$37:$C$44,3,FALSE),1)</f>
        <v>0.94347925387812148</v>
      </c>
      <c r="BV776" s="4">
        <f>IF(Grandview_Inventory[[#This Row],[bldg_style]]="",1,_xlfn.IFNA(VLOOKUP(Grandview_Inventory[[#This Row],[decade]],Lookups!$F$29:$H$43,3,FALSE),1))</f>
        <v>0.94601966599150278</v>
      </c>
      <c r="BW776" s="4">
        <f>_xlfn.IFNA(VLOOKUP(Grandview_Inventory[[#This Row],[living_area_range]],Lookups!$F$47:$H$56,3,FALSE),1)</f>
        <v>0.96120133463014379</v>
      </c>
      <c r="BX776" s="4">
        <f>AVERAGE(Grandview_Inventory[[#This Row],[qual_adj]:[size_adj]])</f>
        <v>0.94841373516832994</v>
      </c>
      <c r="BY776" s="6">
        <f>IF(Grandview_Inventory[[#This Row],[pre_res]]&lt;0,0,Grandview_Inventory[[#This Row],[pre_res]]*Grandview_Inventory[[#This Row],[overall_adj]])</f>
        <v>378293.63692863454</v>
      </c>
      <c r="BZ776" s="6">
        <f>(Grandview_Inventory[[#This Row],[sum_land]]-IF(Grandview_Inventory[[#This Row],[no_utilities]]=1,12000,0))/IF(Grandview_Inventory[[#This Row],[unbuildable]]=1,2,1)</f>
        <v>56480.857465963549</v>
      </c>
      <c r="CA776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776">
        <f>ROUND(Grandview_Inventory[[#This Row],[det_value]]*Lookups!$M$28,-2)</f>
        <v>0</v>
      </c>
      <c r="CC776">
        <f>IF(ROUND(Grandview_Inventory[[#This Row],[adj_res]]*Lookups!$M$28,-2)&lt;Grandview_Inventory[[#This Row],[min_res]],Grandview_Inventory[[#This Row],[min_res]],ROUND(Grandview_Inventory[[#This Row],[adj_res]]*Lookups!$M$28,-2))</f>
        <v>359400</v>
      </c>
      <c r="CD776">
        <f>Grandview_Inventory[[#This Row],[final_det]]+Grandview_Inventory[[#This Row],[final_res]]</f>
        <v>359400</v>
      </c>
      <c r="CE776">
        <f>Grandview_Inventory[[#This Row],[final_land]]+Grandview_Inventory[[#This Row],[final_imp]]+Grandview_Inventory[[#This Row],[crop_value]]</f>
        <v>413100</v>
      </c>
      <c r="CG776" t="str">
        <f t="shared" si="12"/>
        <v>update valuation set market_land =53700, market_bldg=359400, market_total =413100, market_mdno =401, market_date ='9/10/2023' where link_id = (select link_id from parcel where parcel_year = '2024' and parcel_id = '23092231525');</v>
      </c>
    </row>
    <row r="777" spans="1:85" x14ac:dyDescent="0.25">
      <c r="A777">
        <v>23092231526</v>
      </c>
      <c r="B777">
        <v>0.8</v>
      </c>
      <c r="C777" t="s">
        <v>129</v>
      </c>
      <c r="D777" t="s">
        <v>129</v>
      </c>
      <c r="E777" t="s">
        <v>53</v>
      </c>
      <c r="F777" t="s">
        <v>53</v>
      </c>
      <c r="G777">
        <v>4</v>
      </c>
      <c r="H777" t="s">
        <v>54</v>
      </c>
      <c r="I777">
        <v>344900</v>
      </c>
      <c r="J777">
        <v>47900</v>
      </c>
      <c r="K777">
        <v>0.8</v>
      </c>
      <c r="L777">
        <f>IF(Grandview_Inventory[[#This Row],[parcel_acres]]-Grandview_Inventory[[#This Row],[non_valued_acres]] =0,0,LN(Grandview_Inventory[[#This Row],[parcel_acres]]-Grandview_Inventory[[#This Row],[non_valued_acres]]))</f>
        <v>-0.22314355131420971</v>
      </c>
      <c r="M777">
        <v>0</v>
      </c>
      <c r="N777">
        <v>0</v>
      </c>
      <c r="O777">
        <v>0</v>
      </c>
      <c r="P777">
        <v>13398.7528</v>
      </c>
      <c r="Q777">
        <v>63903</v>
      </c>
      <c r="R777">
        <f>(Grandview_Inventory[[#This Row],[ln_acres]]*Grandview_Inventory[[#This Row],[coeff]])+Grandview_Inventory[[#This Row],[const]]</f>
        <v>60913.154717026788</v>
      </c>
      <c r="S777" t="s">
        <v>61</v>
      </c>
      <c r="T777">
        <v>1</v>
      </c>
      <c r="U777" t="s">
        <v>65</v>
      </c>
      <c r="V777" t="s">
        <v>69</v>
      </c>
      <c r="W777">
        <v>0</v>
      </c>
      <c r="X777">
        <v>0</v>
      </c>
      <c r="Y777">
        <v>46</v>
      </c>
      <c r="Z777">
        <v>55</v>
      </c>
      <c r="AA777">
        <v>60</v>
      </c>
      <c r="AB777">
        <v>3000</v>
      </c>
      <c r="AC777">
        <v>2759</v>
      </c>
      <c r="AD777">
        <v>2759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720</v>
      </c>
      <c r="AL777">
        <v>0</v>
      </c>
      <c r="AM777">
        <v>5803</v>
      </c>
      <c r="AN777">
        <v>0</v>
      </c>
      <c r="AO777">
        <v>768</v>
      </c>
      <c r="AP777">
        <v>9</v>
      </c>
      <c r="AQ777">
        <v>1</v>
      </c>
      <c r="AR777">
        <v>1</v>
      </c>
      <c r="AS777" t="s">
        <v>58</v>
      </c>
      <c r="AT777">
        <v>1</v>
      </c>
      <c r="AU777" t="s">
        <v>59</v>
      </c>
      <c r="AV777" t="s">
        <v>60</v>
      </c>
      <c r="AW777">
        <v>1</v>
      </c>
      <c r="AX777">
        <v>3</v>
      </c>
      <c r="AY777">
        <v>0</v>
      </c>
      <c r="AZ777">
        <v>60300</v>
      </c>
      <c r="BA777">
        <v>100</v>
      </c>
      <c r="BB777">
        <v>100</v>
      </c>
      <c r="BC777">
        <v>100</v>
      </c>
      <c r="BD777">
        <v>100</v>
      </c>
      <c r="BE777">
        <v>1</v>
      </c>
      <c r="BF777">
        <v>15000</v>
      </c>
      <c r="BG777">
        <v>1000</v>
      </c>
      <c r="BH777" s="6">
        <f>Grandview_Inventory[[#This Row],[land_extract]]*Lookups!$B$3</f>
        <v>70738.282107365478</v>
      </c>
      <c r="BI777" s="6">
        <f>IF(Grandview_Inventory[[#This Row],[bldg_style]]="",0,Lookups!$B$2)</f>
        <v>155833.95000000001</v>
      </c>
      <c r="BJ777" s="6">
        <f>_xlfn.IFNA(VLOOKUP(Grandview_Inventory[[#This Row],[quality]],Lookups!$H$2:$J$14,3,FALSE),0)</f>
        <v>2251</v>
      </c>
      <c r="BK777" s="6">
        <f>_xlfn.IFNA(VLOOKUP(Grandview_Inventory[[#This Row],[condition]],Lookups!$H$17:$J$24,3,FALSE),0)</f>
        <v>-4503</v>
      </c>
      <c r="BL777" s="6">
        <f>Grandview_Inventory[[#This Row],[Eff_Age]]*Lookups!$B$14</f>
        <v>-11001.6636</v>
      </c>
      <c r="BM777" s="6">
        <f>Grandview_Inventory[[#This Row],[living_area]]*Lookups!$B$15</f>
        <v>172108.77342700001</v>
      </c>
      <c r="BN777" s="6">
        <f>Grandview_Inventory[[#This Row],[Fin BSMT]]*Lookups!$B$16</f>
        <v>0</v>
      </c>
      <c r="BO777" s="6">
        <f>(Grandview_Inventory[[#This Row],[att_gar]]+Grandview_Inventory[[#This Row],[bltin_gar]])*Lookups!$B$17</f>
        <v>0</v>
      </c>
      <c r="BP777" s="6">
        <f>Grandview_Inventory[[#This Row],[Plumbing Fixtures]]*Lookups!$B$18</f>
        <v>18093.976200000001</v>
      </c>
      <c r="BQ777" s="6">
        <f>Grandview_Inventory[[#This Row],[detatched_value]]*Lookups!$B$19</f>
        <v>51062.347529999999</v>
      </c>
      <c r="BR777" s="6">
        <f>SUM(Grandview_Inventory[[#This Row],[Intercept]:[det_value]])*Grandview_Inventory[[#This Row],[res_pct]]</f>
        <v>383845.38355699996</v>
      </c>
      <c r="BS777" s="6">
        <f>Grandview_Inventory[[#This Row],[land_value]]</f>
        <v>70738.282107365478</v>
      </c>
      <c r="BT777" s="4">
        <f>_xlfn.IFNA(VLOOKUP(Grandview_Inventory[[#This Row],[quality]],Lookups!$A$26:$C$33,3,FALSE),1)</f>
        <v>0.98763855981004833</v>
      </c>
      <c r="BU777" s="4">
        <f>_xlfn.IFNA(VLOOKUP(Grandview_Inventory[[#This Row],[condition]],Lookups!$A$37:$C$44,3,FALSE),1)</f>
        <v>0.96469275950863709</v>
      </c>
      <c r="BV777" s="4">
        <f>IF(Grandview_Inventory[[#This Row],[bldg_style]]="",1,_xlfn.IFNA(VLOOKUP(Grandview_Inventory[[#This Row],[decade]],Lookups!$F$29:$H$43,3,FALSE),1))</f>
        <v>0.95268620544463312</v>
      </c>
      <c r="BW777" s="4">
        <f>_xlfn.IFNA(VLOOKUP(Grandview_Inventory[[#This Row],[living_area_range]],Lookups!$F$47:$H$56,3,FALSE),1)</f>
        <v>0.94224801443562123</v>
      </c>
      <c r="BX777" s="4">
        <f>AVERAGE(Grandview_Inventory[[#This Row],[qual_adj]:[size_adj]])</f>
        <v>0.96181638479973497</v>
      </c>
      <c r="BY777" s="6">
        <f>IF(Grandview_Inventory[[#This Row],[pre_res]]&lt;0,0,Grandview_Inventory[[#This Row],[pre_res]]*Grandview_Inventory[[#This Row],[overall_adj]])</f>
        <v>369188.77913486137</v>
      </c>
      <c r="BZ777" s="6">
        <f>(Grandview_Inventory[[#This Row],[sum_land]]-IF(Grandview_Inventory[[#This Row],[no_utilities]]=1,12000,0))/IF(Grandview_Inventory[[#This Row],[unbuildable]]=1,2,1)</f>
        <v>70738.282107365478</v>
      </c>
      <c r="CA777">
        <f>IF(ROUND(Grandview_Inventory[[#This Row],[adj_land]]*Lookups!$M$28,-2)&lt;Grandview_Inventory[[#This Row],[min_land]],Grandview_Inventory[[#This Row],[min_land]],ROUND(Grandview_Inventory[[#This Row],[adj_land]]*Lookups!$M$28,-2))</f>
        <v>67200</v>
      </c>
      <c r="CB777">
        <f>ROUND(Grandview_Inventory[[#This Row],[det_value]]*Lookups!$M$28,-2)</f>
        <v>48500</v>
      </c>
      <c r="CC777">
        <f>IF(ROUND(Grandview_Inventory[[#This Row],[adj_res]]*Lookups!$M$28,-2)&lt;Grandview_Inventory[[#This Row],[min_res]],Grandview_Inventory[[#This Row],[min_res]],ROUND(Grandview_Inventory[[#This Row],[adj_res]]*Lookups!$M$28,-2))</f>
        <v>350700</v>
      </c>
      <c r="CD777">
        <f>Grandview_Inventory[[#This Row],[final_det]]+Grandview_Inventory[[#This Row],[final_res]]</f>
        <v>399200</v>
      </c>
      <c r="CE777">
        <f>Grandview_Inventory[[#This Row],[final_land]]+Grandview_Inventory[[#This Row],[final_imp]]+Grandview_Inventory[[#This Row],[crop_value]]</f>
        <v>466400</v>
      </c>
      <c r="CG777" t="str">
        <f t="shared" si="12"/>
        <v>update valuation set market_land =67200, market_bldg=399200, market_total =466400, market_mdno =401, market_date ='9/10/2023' where link_id = (select link_id from parcel where parcel_year = '2024' and parcel_id = '23092231526');</v>
      </c>
    </row>
    <row r="778" spans="1:85" x14ac:dyDescent="0.25">
      <c r="A778">
        <v>23092231527</v>
      </c>
      <c r="B778">
        <v>0.25</v>
      </c>
      <c r="C778">
        <v>10890</v>
      </c>
      <c r="D778">
        <v>0.25</v>
      </c>
      <c r="E778" t="s">
        <v>53</v>
      </c>
      <c r="F778" t="s">
        <v>53</v>
      </c>
      <c r="G778">
        <v>4</v>
      </c>
      <c r="H778" t="s">
        <v>54</v>
      </c>
      <c r="I778">
        <v>315800</v>
      </c>
      <c r="J778">
        <v>40000</v>
      </c>
      <c r="K778">
        <v>0.25</v>
      </c>
      <c r="L77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778">
        <v>0</v>
      </c>
      <c r="N778">
        <v>0</v>
      </c>
      <c r="O778">
        <v>0</v>
      </c>
      <c r="P778">
        <v>13398.7528</v>
      </c>
      <c r="Q778">
        <v>63903</v>
      </c>
      <c r="R778">
        <f>(Grandview_Inventory[[#This Row],[ln_acres]]*Grandview_Inventory[[#This Row],[coeff]])+Grandview_Inventory[[#This Row],[const]]</f>
        <v>45328.38454732066</v>
      </c>
      <c r="S778" t="s">
        <v>61</v>
      </c>
      <c r="T778">
        <v>1</v>
      </c>
      <c r="U778" t="s">
        <v>64</v>
      </c>
      <c r="V778" t="s">
        <v>57</v>
      </c>
      <c r="W778">
        <v>0</v>
      </c>
      <c r="X778">
        <v>0</v>
      </c>
      <c r="Y778">
        <v>11</v>
      </c>
      <c r="Z778">
        <v>11</v>
      </c>
      <c r="AA778">
        <v>20</v>
      </c>
      <c r="AB778">
        <v>2500</v>
      </c>
      <c r="AC778">
        <v>2364</v>
      </c>
      <c r="AD778">
        <v>2364</v>
      </c>
      <c r="AE778">
        <v>0</v>
      </c>
      <c r="AF778">
        <v>0</v>
      </c>
      <c r="AG778">
        <v>0</v>
      </c>
      <c r="AH778">
        <v>0</v>
      </c>
      <c r="AI778">
        <v>420</v>
      </c>
      <c r="AJ778">
        <v>0</v>
      </c>
      <c r="AK778">
        <v>0</v>
      </c>
      <c r="AL778">
        <v>0</v>
      </c>
      <c r="AM778">
        <v>0</v>
      </c>
      <c r="AN778">
        <v>378</v>
      </c>
      <c r="AO778">
        <v>0</v>
      </c>
      <c r="AP778">
        <v>11</v>
      </c>
      <c r="AQ778">
        <v>0</v>
      </c>
      <c r="AR778">
        <v>0</v>
      </c>
      <c r="AS778" t="s">
        <v>58</v>
      </c>
      <c r="AT778">
        <v>1</v>
      </c>
      <c r="AU778" t="s">
        <v>59</v>
      </c>
      <c r="AV778" t="s">
        <v>60</v>
      </c>
      <c r="AW778">
        <v>1</v>
      </c>
      <c r="AX778">
        <v>4</v>
      </c>
      <c r="AY778">
        <v>0</v>
      </c>
      <c r="AZ778">
        <v>0</v>
      </c>
      <c r="BA778">
        <v>100</v>
      </c>
      <c r="BB778">
        <v>100</v>
      </c>
      <c r="BC778">
        <v>100</v>
      </c>
      <c r="BD778">
        <v>100</v>
      </c>
      <c r="BE778">
        <v>1</v>
      </c>
      <c r="BF778">
        <v>15000</v>
      </c>
      <c r="BG778">
        <v>1000</v>
      </c>
      <c r="BH778" s="6">
        <f>Grandview_Inventory[[#This Row],[land_extract]]*Lookups!$B$3</f>
        <v>52639.730588165206</v>
      </c>
      <c r="BI778" s="6">
        <f>IF(Grandview_Inventory[[#This Row],[bldg_style]]="",0,Lookups!$B$2)</f>
        <v>155833.95000000001</v>
      </c>
      <c r="BJ778" s="6">
        <f>_xlfn.IFNA(VLOOKUP(Grandview_Inventory[[#This Row],[quality]],Lookups!$H$2:$J$14,3,FALSE),0)</f>
        <v>20768</v>
      </c>
      <c r="BK778" s="6">
        <f>_xlfn.IFNA(VLOOKUP(Grandview_Inventory[[#This Row],[condition]],Lookups!$H$17:$J$24,3,FALSE),0)</f>
        <v>25780</v>
      </c>
      <c r="BL778" s="6">
        <f>Grandview_Inventory[[#This Row],[Eff_Age]]*Lookups!$B$14</f>
        <v>-2630.8325999999997</v>
      </c>
      <c r="BM778" s="6">
        <f>Grandview_Inventory[[#This Row],[living_area]]*Lookups!$B$15</f>
        <v>147468.336492</v>
      </c>
      <c r="BN778" s="6">
        <f>Grandview_Inventory[[#This Row],[Fin BSMT]]*Lookups!$B$16</f>
        <v>0</v>
      </c>
      <c r="BO778" s="6">
        <f>(Grandview_Inventory[[#This Row],[att_gar]]+Grandview_Inventory[[#This Row],[bltin_gar]])*Lookups!$B$17</f>
        <v>36758.58354</v>
      </c>
      <c r="BP778" s="6">
        <f>Grandview_Inventory[[#This Row],[Plumbing Fixtures]]*Lookups!$B$18</f>
        <v>22114.859800000002</v>
      </c>
      <c r="BQ778" s="6">
        <f>Grandview_Inventory[[#This Row],[detatched_value]]*Lookups!$B$19</f>
        <v>0</v>
      </c>
      <c r="BR778" s="6">
        <f>SUM(Grandview_Inventory[[#This Row],[Intercept]:[det_value]])*Grandview_Inventory[[#This Row],[res_pct]]</f>
        <v>406092.89723200002</v>
      </c>
      <c r="BS778" s="6">
        <f>Grandview_Inventory[[#This Row],[land_value]]</f>
        <v>52639.730588165206</v>
      </c>
      <c r="BT778" s="4">
        <f>_xlfn.IFNA(VLOOKUP(Grandview_Inventory[[#This Row],[quality]],Lookups!$A$26:$C$33,3,FALSE),1)</f>
        <v>0.94960540378902636</v>
      </c>
      <c r="BU778" s="4">
        <f>_xlfn.IFNA(VLOOKUP(Grandview_Inventory[[#This Row],[condition]],Lookups!$A$37:$C$44,3,FALSE),1)</f>
        <v>0.94347925387812148</v>
      </c>
      <c r="BV778" s="4">
        <f>IF(Grandview_Inventory[[#This Row],[bldg_style]]="",1,_xlfn.IFNA(VLOOKUP(Grandview_Inventory[[#This Row],[decade]],Lookups!$F$29:$H$43,3,FALSE),1))</f>
        <v>0.96737494181490646</v>
      </c>
      <c r="BW778" s="4">
        <f>_xlfn.IFNA(VLOOKUP(Grandview_Inventory[[#This Row],[living_area_range]],Lookups!$F$47:$H$56,3,FALSE),1)</f>
        <v>0.95799442568048754</v>
      </c>
      <c r="BX778" s="4">
        <f>AVERAGE(Grandview_Inventory[[#This Row],[qual_adj]:[size_adj]])</f>
        <v>0.95461350629063546</v>
      </c>
      <c r="BY778" s="6">
        <f>IF(Grandview_Inventory[[#This Row],[pre_res]]&lt;0,0,Grandview_Inventory[[#This Row],[pre_res]]*Grandview_Inventory[[#This Row],[overall_adj]])</f>
        <v>387661.7645063622</v>
      </c>
      <c r="BZ778" s="6">
        <f>(Grandview_Inventory[[#This Row],[sum_land]]-IF(Grandview_Inventory[[#This Row],[no_utilities]]=1,12000,0))/IF(Grandview_Inventory[[#This Row],[unbuildable]]=1,2,1)</f>
        <v>52639.730588165206</v>
      </c>
      <c r="CA77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778">
        <f>ROUND(Grandview_Inventory[[#This Row],[det_value]]*Lookups!$M$28,-2)</f>
        <v>0</v>
      </c>
      <c r="CC778">
        <f>IF(ROUND(Grandview_Inventory[[#This Row],[adj_res]]*Lookups!$M$28,-2)&lt;Grandview_Inventory[[#This Row],[min_res]],Grandview_Inventory[[#This Row],[min_res]],ROUND(Grandview_Inventory[[#This Row],[adj_res]]*Lookups!$M$28,-2))</f>
        <v>368300</v>
      </c>
      <c r="CD778">
        <f>Grandview_Inventory[[#This Row],[final_det]]+Grandview_Inventory[[#This Row],[final_res]]</f>
        <v>368300</v>
      </c>
      <c r="CE778">
        <f>Grandview_Inventory[[#This Row],[final_land]]+Grandview_Inventory[[#This Row],[final_imp]]+Grandview_Inventory[[#This Row],[crop_value]]</f>
        <v>418300</v>
      </c>
      <c r="CG778" t="str">
        <f t="shared" si="12"/>
        <v>update valuation set market_land =50000, market_bldg=368300, market_total =418300, market_mdno =401, market_date ='9/10/2023' where link_id = (select link_id from parcel where parcel_year = '2024' and parcel_id = '23092231527');</v>
      </c>
    </row>
    <row r="779" spans="1:85" x14ac:dyDescent="0.25">
      <c r="A779">
        <v>23092231528</v>
      </c>
      <c r="B779">
        <v>2.0699999999999998</v>
      </c>
      <c r="C779">
        <v>90169</v>
      </c>
      <c r="D779" t="s">
        <v>129</v>
      </c>
      <c r="E779" t="s">
        <v>53</v>
      </c>
      <c r="F779" t="s">
        <v>53</v>
      </c>
      <c r="G779">
        <v>4</v>
      </c>
      <c r="H779" t="s">
        <v>54</v>
      </c>
      <c r="I779">
        <v>202700</v>
      </c>
      <c r="J779">
        <v>51200</v>
      </c>
      <c r="K779">
        <v>2.0699999999999998</v>
      </c>
      <c r="L779">
        <f>IF(Grandview_Inventory[[#This Row],[parcel_acres]]-Grandview_Inventory[[#This Row],[non_valued_acres]] =0,0,LN(Grandview_Inventory[[#This Row],[parcel_acres]]-Grandview_Inventory[[#This Row],[non_valued_acres]]))</f>
        <v>0.72754860727727766</v>
      </c>
      <c r="M779">
        <v>0</v>
      </c>
      <c r="N779">
        <v>0</v>
      </c>
      <c r="O779">
        <v>0</v>
      </c>
      <c r="P779">
        <v>13398.7528</v>
      </c>
      <c r="Q779">
        <v>63903</v>
      </c>
      <c r="R779">
        <f>(Grandview_Inventory[[#This Row],[ln_acres]]*Grandview_Inventory[[#This Row],[coeff]])+Grandview_Inventory[[#This Row],[const]]</f>
        <v>73651.243938892527</v>
      </c>
      <c r="S779" t="s">
        <v>68</v>
      </c>
      <c r="T779">
        <v>1</v>
      </c>
      <c r="U779" t="s">
        <v>65</v>
      </c>
      <c r="V779" t="s">
        <v>69</v>
      </c>
      <c r="W779">
        <v>0</v>
      </c>
      <c r="X779">
        <v>0</v>
      </c>
      <c r="Y779">
        <v>49</v>
      </c>
      <c r="Z779">
        <v>65</v>
      </c>
      <c r="AA779">
        <v>70</v>
      </c>
      <c r="AB779">
        <v>3000</v>
      </c>
      <c r="AC779">
        <v>2944</v>
      </c>
      <c r="AD779">
        <v>1472</v>
      </c>
      <c r="AE779">
        <v>0</v>
      </c>
      <c r="AF779">
        <v>0</v>
      </c>
      <c r="AG779">
        <v>1472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11</v>
      </c>
      <c r="AQ779">
        <v>1</v>
      </c>
      <c r="AR779">
        <v>0</v>
      </c>
      <c r="AS779" t="s">
        <v>58</v>
      </c>
      <c r="AT779">
        <v>1</v>
      </c>
      <c r="AU779" t="s">
        <v>75</v>
      </c>
      <c r="AV779" t="s">
        <v>60</v>
      </c>
      <c r="AW779">
        <v>0</v>
      </c>
      <c r="AX779">
        <v>4</v>
      </c>
      <c r="AY779">
        <v>0</v>
      </c>
      <c r="AZ779">
        <v>14600</v>
      </c>
      <c r="BA779">
        <v>100</v>
      </c>
      <c r="BB779">
        <v>100</v>
      </c>
      <c r="BC779">
        <v>100</v>
      </c>
      <c r="BD779">
        <v>100</v>
      </c>
      <c r="BE779">
        <v>1</v>
      </c>
      <c r="BF779">
        <v>15000</v>
      </c>
      <c r="BG779">
        <v>1000</v>
      </c>
      <c r="BH779" s="6">
        <f>Grandview_Inventory[[#This Row],[land_extract]]*Lookups!$B$3</f>
        <v>85530.990727877259</v>
      </c>
      <c r="BI779" s="6">
        <f>IF(Grandview_Inventory[[#This Row],[bldg_style]]="",0,Lookups!$B$2)</f>
        <v>155833.95000000001</v>
      </c>
      <c r="BJ779" s="6">
        <f>_xlfn.IFNA(VLOOKUP(Grandview_Inventory[[#This Row],[quality]],Lookups!$H$2:$J$14,3,FALSE),0)</f>
        <v>2251</v>
      </c>
      <c r="BK779" s="6">
        <f>_xlfn.IFNA(VLOOKUP(Grandview_Inventory[[#This Row],[condition]],Lookups!$H$17:$J$24,3,FALSE),0)</f>
        <v>-4503</v>
      </c>
      <c r="BL779" s="6">
        <f>Grandview_Inventory[[#This Row],[Eff_Age]]*Lookups!$B$14</f>
        <v>-11719.163399999999</v>
      </c>
      <c r="BM779" s="6">
        <f>Grandview_Inventory[[#This Row],[living_area]]*Lookups!$B$15</f>
        <v>183649.23123199999</v>
      </c>
      <c r="BN779" s="6">
        <f>Grandview_Inventory[[#This Row],[Fin BSMT]]*Lookups!$B$16</f>
        <v>-39890.081280000006</v>
      </c>
      <c r="BO779" s="6">
        <f>(Grandview_Inventory[[#This Row],[att_gar]]+Grandview_Inventory[[#This Row],[bltin_gar]])*Lookups!$B$17</f>
        <v>0</v>
      </c>
      <c r="BP779" s="6">
        <f>Grandview_Inventory[[#This Row],[Plumbing Fixtures]]*Lookups!$B$18</f>
        <v>22114.859800000002</v>
      </c>
      <c r="BQ779" s="6">
        <f>Grandview_Inventory[[#This Row],[detatched_value]]*Lookups!$B$19</f>
        <v>12363.35446</v>
      </c>
      <c r="BR779" s="6">
        <f>SUM(Grandview_Inventory[[#This Row],[Intercept]:[det_value]])*Grandview_Inventory[[#This Row],[res_pct]]</f>
        <v>320100.15081200004</v>
      </c>
      <c r="BS779" s="6">
        <f>Grandview_Inventory[[#This Row],[land_value]]</f>
        <v>85530.990727877259</v>
      </c>
      <c r="BT779" s="4">
        <f>_xlfn.IFNA(VLOOKUP(Grandview_Inventory[[#This Row],[quality]],Lookups!$A$26:$C$33,3,FALSE),1)</f>
        <v>0.98763855981004833</v>
      </c>
      <c r="BU779" s="4">
        <f>_xlfn.IFNA(VLOOKUP(Grandview_Inventory[[#This Row],[condition]],Lookups!$A$37:$C$44,3,FALSE),1)</f>
        <v>0.96469275950863709</v>
      </c>
      <c r="BV779" s="4">
        <f>IF(Grandview_Inventory[[#This Row],[bldg_style]]="",1,_xlfn.IFNA(VLOOKUP(Grandview_Inventory[[#This Row],[decade]],Lookups!$F$29:$H$43,3,FALSE),1))</f>
        <v>0.99472141305414818</v>
      </c>
      <c r="BW779" s="4">
        <f>_xlfn.IFNA(VLOOKUP(Grandview_Inventory[[#This Row],[living_area_range]],Lookups!$F$47:$H$56,3,FALSE),1)</f>
        <v>0.94224801443562123</v>
      </c>
      <c r="BX779" s="4">
        <f>AVERAGE(Grandview_Inventory[[#This Row],[qual_adj]:[size_adj]])</f>
        <v>0.97232518670211376</v>
      </c>
      <c r="BY779" s="6">
        <f>IF(Grandview_Inventory[[#This Row],[pre_res]]&lt;0,0,Grandview_Inventory[[#This Row],[pre_res]]*Grandview_Inventory[[#This Row],[overall_adj]])</f>
        <v>311241.4389016527</v>
      </c>
      <c r="BZ779" s="6">
        <f>(Grandview_Inventory[[#This Row],[sum_land]]-IF(Grandview_Inventory[[#This Row],[no_utilities]]=1,12000,0))/IF(Grandview_Inventory[[#This Row],[unbuildable]]=1,2,1)</f>
        <v>85530.990727877259</v>
      </c>
      <c r="CA779">
        <f>IF(ROUND(Grandview_Inventory[[#This Row],[adj_land]]*Lookups!$M$28,-2)&lt;Grandview_Inventory[[#This Row],[min_land]],Grandview_Inventory[[#This Row],[min_land]],ROUND(Grandview_Inventory[[#This Row],[adj_land]]*Lookups!$M$28,-2))</f>
        <v>81300</v>
      </c>
      <c r="CB779">
        <f>ROUND(Grandview_Inventory[[#This Row],[det_value]]*Lookups!$M$28,-2)</f>
        <v>11700</v>
      </c>
      <c r="CC779">
        <f>IF(ROUND(Grandview_Inventory[[#This Row],[adj_res]]*Lookups!$M$28,-2)&lt;Grandview_Inventory[[#This Row],[min_res]],Grandview_Inventory[[#This Row],[min_res]],ROUND(Grandview_Inventory[[#This Row],[adj_res]]*Lookups!$M$28,-2))</f>
        <v>295700</v>
      </c>
      <c r="CD779">
        <f>Grandview_Inventory[[#This Row],[final_det]]+Grandview_Inventory[[#This Row],[final_res]]</f>
        <v>307400</v>
      </c>
      <c r="CE779">
        <f>Grandview_Inventory[[#This Row],[final_land]]+Grandview_Inventory[[#This Row],[final_imp]]+Grandview_Inventory[[#This Row],[crop_value]]</f>
        <v>388700</v>
      </c>
      <c r="CG779" t="str">
        <f t="shared" si="12"/>
        <v>update valuation set market_land =81300, market_bldg=307400, market_total =388700, market_mdno =401, market_date ='9/10/2023' where link_id = (select link_id from parcel where parcel_year = '2024' and parcel_id = '23092231528');</v>
      </c>
    </row>
    <row r="780" spans="1:85" x14ac:dyDescent="0.25">
      <c r="A780">
        <v>23092231529</v>
      </c>
      <c r="B780" t="s">
        <v>129</v>
      </c>
      <c r="C780">
        <v>26942</v>
      </c>
      <c r="D780" t="s">
        <v>129</v>
      </c>
      <c r="E780" t="s">
        <v>53</v>
      </c>
      <c r="F780" t="s">
        <v>53</v>
      </c>
      <c r="G780">
        <v>4</v>
      </c>
      <c r="H780" t="s">
        <v>54</v>
      </c>
      <c r="I780">
        <v>399900</v>
      </c>
      <c r="J780">
        <v>42300</v>
      </c>
      <c r="K780">
        <v>0.62</v>
      </c>
      <c r="L780">
        <f>IF(Grandview_Inventory[[#This Row],[parcel_acres]]-Grandview_Inventory[[#This Row],[non_valued_acres]] =0,0,LN(Grandview_Inventory[[#This Row],[parcel_acres]]-Grandview_Inventory[[#This Row],[non_valued_acres]]))</f>
        <v>-0.4780358009429998</v>
      </c>
      <c r="M780">
        <v>0</v>
      </c>
      <c r="N780">
        <v>0</v>
      </c>
      <c r="O780">
        <v>0</v>
      </c>
      <c r="P780">
        <v>13398.7528</v>
      </c>
      <c r="Q780">
        <v>63903</v>
      </c>
      <c r="R780">
        <f>(Grandview_Inventory[[#This Row],[ln_acres]]*Grandview_Inventory[[#This Row],[coeff]])+Grandview_Inventory[[#This Row],[const]]</f>
        <v>57497.916473614736</v>
      </c>
      <c r="S780" t="s">
        <v>58</v>
      </c>
      <c r="T780">
        <v>1</v>
      </c>
      <c r="U780" t="s">
        <v>64</v>
      </c>
      <c r="V780" t="s">
        <v>57</v>
      </c>
      <c r="W780">
        <v>0</v>
      </c>
      <c r="X780">
        <v>0</v>
      </c>
      <c r="Y780">
        <v>4</v>
      </c>
      <c r="Z780">
        <v>4</v>
      </c>
      <c r="AA780">
        <v>10</v>
      </c>
      <c r="AB780">
        <v>3000</v>
      </c>
      <c r="AC780">
        <v>2792</v>
      </c>
      <c r="AD780">
        <v>2792</v>
      </c>
      <c r="AE780">
        <v>0</v>
      </c>
      <c r="AF780">
        <v>0</v>
      </c>
      <c r="AG780">
        <v>0</v>
      </c>
      <c r="AH780">
        <v>0</v>
      </c>
      <c r="AI780">
        <v>1088</v>
      </c>
      <c r="AJ780">
        <v>0</v>
      </c>
      <c r="AK780">
        <v>0</v>
      </c>
      <c r="AL780">
        <v>0</v>
      </c>
      <c r="AM780">
        <v>390</v>
      </c>
      <c r="AN780">
        <v>160</v>
      </c>
      <c r="AO780">
        <v>208</v>
      </c>
      <c r="AP780">
        <v>13</v>
      </c>
      <c r="AQ780">
        <v>0</v>
      </c>
      <c r="AR780">
        <v>0</v>
      </c>
      <c r="AS780" t="s">
        <v>58</v>
      </c>
      <c r="AT780">
        <v>1</v>
      </c>
      <c r="AU780" t="s">
        <v>59</v>
      </c>
      <c r="AV780" t="s">
        <v>60</v>
      </c>
      <c r="AW780">
        <v>1</v>
      </c>
      <c r="AX780">
        <v>4</v>
      </c>
      <c r="AY780">
        <v>0</v>
      </c>
      <c r="AZ780">
        <v>0</v>
      </c>
      <c r="BA780">
        <v>100</v>
      </c>
      <c r="BB780">
        <v>100</v>
      </c>
      <c r="BC780">
        <v>100</v>
      </c>
      <c r="BD780">
        <v>100</v>
      </c>
      <c r="BE780">
        <v>1</v>
      </c>
      <c r="BF780">
        <v>15000</v>
      </c>
      <c r="BG780">
        <v>1000</v>
      </c>
      <c r="BH780" s="6">
        <f>Grandview_Inventory[[#This Row],[land_extract]]*Lookups!$B$3</f>
        <v>66772.175156434314</v>
      </c>
      <c r="BI780" s="6">
        <f>IF(Grandview_Inventory[[#This Row],[bldg_style]]="",0,Lookups!$B$2)</f>
        <v>155833.95000000001</v>
      </c>
      <c r="BJ780" s="6">
        <f>_xlfn.IFNA(VLOOKUP(Grandview_Inventory[[#This Row],[quality]],Lookups!$H$2:$J$14,3,FALSE),0)</f>
        <v>20768</v>
      </c>
      <c r="BK780" s="6">
        <f>_xlfn.IFNA(VLOOKUP(Grandview_Inventory[[#This Row],[condition]],Lookups!$H$17:$J$24,3,FALSE),0)</f>
        <v>25780</v>
      </c>
      <c r="BL780" s="6">
        <f>Grandview_Inventory[[#This Row],[Eff_Age]]*Lookups!$B$14</f>
        <v>-956.66639999999995</v>
      </c>
      <c r="BM780" s="6">
        <f>Grandview_Inventory[[#This Row],[living_area]]*Lookups!$B$15</f>
        <v>174167.34157600001</v>
      </c>
      <c r="BN780" s="6">
        <f>Grandview_Inventory[[#This Row],[Fin BSMT]]*Lookups!$B$16</f>
        <v>0</v>
      </c>
      <c r="BO780" s="6">
        <f>(Grandview_Inventory[[#This Row],[att_gar]]+Grandview_Inventory[[#This Row],[bltin_gar]])*Lookups!$B$17</f>
        <v>95222.235455999995</v>
      </c>
      <c r="BP780" s="6">
        <f>Grandview_Inventory[[#This Row],[Plumbing Fixtures]]*Lookups!$B$18</f>
        <v>26135.743399999999</v>
      </c>
      <c r="BQ780" s="6">
        <f>Grandview_Inventory[[#This Row],[detatched_value]]*Lookups!$B$19</f>
        <v>0</v>
      </c>
      <c r="BR780" s="6">
        <f>SUM(Grandview_Inventory[[#This Row],[Intercept]:[det_value]])*Grandview_Inventory[[#This Row],[res_pct]]</f>
        <v>496950.604032</v>
      </c>
      <c r="BS780" s="6">
        <f>Grandview_Inventory[[#This Row],[land_value]]</f>
        <v>66772.175156434314</v>
      </c>
      <c r="BT780" s="4">
        <f>_xlfn.IFNA(VLOOKUP(Grandview_Inventory[[#This Row],[quality]],Lookups!$A$26:$C$33,3,FALSE),1)</f>
        <v>0.94960540378902636</v>
      </c>
      <c r="BU780" s="4">
        <f>_xlfn.IFNA(VLOOKUP(Grandview_Inventory[[#This Row],[condition]],Lookups!$A$37:$C$44,3,FALSE),1)</f>
        <v>0.94347925387812148</v>
      </c>
      <c r="BV780" s="4">
        <f>IF(Grandview_Inventory[[#This Row],[bldg_style]]="",1,_xlfn.IFNA(VLOOKUP(Grandview_Inventory[[#This Row],[decade]],Lookups!$F$29:$H$43,3,FALSE),1))</f>
        <v>0.94601966599150278</v>
      </c>
      <c r="BW780" s="4">
        <f>_xlfn.IFNA(VLOOKUP(Grandview_Inventory[[#This Row],[living_area_range]],Lookups!$F$47:$H$56,3,FALSE),1)</f>
        <v>0.94224801443562123</v>
      </c>
      <c r="BX780" s="4">
        <f>AVERAGE(Grandview_Inventory[[#This Row],[qual_adj]:[size_adj]])</f>
        <v>0.94533808452356805</v>
      </c>
      <c r="BY780" s="6">
        <f>IF(Grandview_Inventory[[#This Row],[pre_res]]&lt;0,0,Grandview_Inventory[[#This Row],[pre_res]]*Grandview_Inventory[[#This Row],[overall_adj]])</f>
        <v>469786.332118441</v>
      </c>
      <c r="BZ780" s="6">
        <f>(Grandview_Inventory[[#This Row],[sum_land]]-IF(Grandview_Inventory[[#This Row],[no_utilities]]=1,12000,0))/IF(Grandview_Inventory[[#This Row],[unbuildable]]=1,2,1)</f>
        <v>66772.175156434314</v>
      </c>
      <c r="CA780">
        <f>IF(ROUND(Grandview_Inventory[[#This Row],[adj_land]]*Lookups!$M$28,-2)&lt;Grandview_Inventory[[#This Row],[min_land]],Grandview_Inventory[[#This Row],[min_land]],ROUND(Grandview_Inventory[[#This Row],[adj_land]]*Lookups!$M$28,-2))</f>
        <v>63400</v>
      </c>
      <c r="CB780">
        <f>ROUND(Grandview_Inventory[[#This Row],[det_value]]*Lookups!$M$28,-2)</f>
        <v>0</v>
      </c>
      <c r="CC780">
        <f>IF(ROUND(Grandview_Inventory[[#This Row],[adj_res]]*Lookups!$M$28,-2)&lt;Grandview_Inventory[[#This Row],[min_res]],Grandview_Inventory[[#This Row],[min_res]],ROUND(Grandview_Inventory[[#This Row],[adj_res]]*Lookups!$M$28,-2))</f>
        <v>446300</v>
      </c>
      <c r="CD780">
        <f>Grandview_Inventory[[#This Row],[final_det]]+Grandview_Inventory[[#This Row],[final_res]]</f>
        <v>446300</v>
      </c>
      <c r="CE780">
        <f>Grandview_Inventory[[#This Row],[final_land]]+Grandview_Inventory[[#This Row],[final_imp]]+Grandview_Inventory[[#This Row],[crop_value]]</f>
        <v>509700</v>
      </c>
      <c r="CG780" t="str">
        <f t="shared" si="12"/>
        <v>update valuation set market_land =63400, market_bldg=446300, market_total =509700, market_mdno =401, market_date ='9/10/2023' where link_id = (select link_id from parcel where parcel_year = '2024' and parcel_id = '23092231529');</v>
      </c>
    </row>
    <row r="781" spans="1:85" x14ac:dyDescent="0.25">
      <c r="A781">
        <v>23092231530</v>
      </c>
      <c r="B781" t="s">
        <v>129</v>
      </c>
      <c r="C781">
        <v>64168</v>
      </c>
      <c r="D781" t="s">
        <v>129</v>
      </c>
      <c r="E781" t="s">
        <v>53</v>
      </c>
      <c r="F781" t="s">
        <v>53</v>
      </c>
      <c r="G781">
        <v>4</v>
      </c>
      <c r="H781" t="s">
        <v>54</v>
      </c>
      <c r="I781">
        <v>298400</v>
      </c>
      <c r="J781">
        <v>44900</v>
      </c>
      <c r="K781">
        <v>1.47</v>
      </c>
      <c r="L781">
        <f>IF(Grandview_Inventory[[#This Row],[parcel_acres]]-Grandview_Inventory[[#This Row],[non_valued_acres]] =0,0,LN(Grandview_Inventory[[#This Row],[parcel_acres]]-Grandview_Inventory[[#This Row],[non_valued_acres]]))</f>
        <v>0.38526240079064489</v>
      </c>
      <c r="M781">
        <v>0</v>
      </c>
      <c r="N781">
        <v>0</v>
      </c>
      <c r="O781">
        <v>0</v>
      </c>
      <c r="P781">
        <v>13398.7528</v>
      </c>
      <c r="Q781">
        <v>63903</v>
      </c>
      <c r="R781">
        <f>(Grandview_Inventory[[#This Row],[ln_acres]]*Grandview_Inventory[[#This Row],[coeff]])+Grandview_Inventory[[#This Row],[const]]</f>
        <v>69065.035671328369</v>
      </c>
      <c r="S781" t="s">
        <v>61</v>
      </c>
      <c r="T781">
        <v>1</v>
      </c>
      <c r="U781" t="s">
        <v>64</v>
      </c>
      <c r="V781" t="s">
        <v>57</v>
      </c>
      <c r="W781">
        <v>0</v>
      </c>
      <c r="X781">
        <v>0</v>
      </c>
      <c r="Y781">
        <v>3</v>
      </c>
      <c r="Z781">
        <v>3</v>
      </c>
      <c r="AA781">
        <v>10</v>
      </c>
      <c r="AB781">
        <v>2000</v>
      </c>
      <c r="AC781">
        <v>1940</v>
      </c>
      <c r="AD781">
        <v>1940</v>
      </c>
      <c r="AE781">
        <v>0</v>
      </c>
      <c r="AF781">
        <v>0</v>
      </c>
      <c r="AG781">
        <v>0</v>
      </c>
      <c r="AH781">
        <v>0</v>
      </c>
      <c r="AI781">
        <v>528</v>
      </c>
      <c r="AJ781">
        <v>0</v>
      </c>
      <c r="AK781">
        <v>0</v>
      </c>
      <c r="AL781">
        <v>204</v>
      </c>
      <c r="AM781">
        <v>0</v>
      </c>
      <c r="AN781">
        <v>48</v>
      </c>
      <c r="AO781">
        <v>0</v>
      </c>
      <c r="AP781">
        <v>10</v>
      </c>
      <c r="AQ781">
        <v>0</v>
      </c>
      <c r="AR781">
        <v>0</v>
      </c>
      <c r="AS781" t="s">
        <v>58</v>
      </c>
      <c r="AT781">
        <v>1</v>
      </c>
      <c r="AU781" t="s">
        <v>59</v>
      </c>
      <c r="AV781" t="s">
        <v>60</v>
      </c>
      <c r="AW781">
        <v>1</v>
      </c>
      <c r="AX781">
        <v>3</v>
      </c>
      <c r="AY781">
        <v>0</v>
      </c>
      <c r="AZ781">
        <v>0</v>
      </c>
      <c r="BA781">
        <v>100</v>
      </c>
      <c r="BB781">
        <v>100</v>
      </c>
      <c r="BC781">
        <v>100</v>
      </c>
      <c r="BD781">
        <v>100</v>
      </c>
      <c r="BE781">
        <v>1</v>
      </c>
      <c r="BF781">
        <v>15000</v>
      </c>
      <c r="BG781">
        <v>1000</v>
      </c>
      <c r="BH781" s="6">
        <f>Grandview_Inventory[[#This Row],[land_extract]]*Lookups!$B$3</f>
        <v>80205.039449517324</v>
      </c>
      <c r="BI781" s="6">
        <f>IF(Grandview_Inventory[[#This Row],[bldg_style]]="",0,Lookups!$B$2)</f>
        <v>155833.95000000001</v>
      </c>
      <c r="BJ781" s="6">
        <f>_xlfn.IFNA(VLOOKUP(Grandview_Inventory[[#This Row],[quality]],Lookups!$H$2:$J$14,3,FALSE),0)</f>
        <v>20768</v>
      </c>
      <c r="BK781" s="6">
        <f>_xlfn.IFNA(VLOOKUP(Grandview_Inventory[[#This Row],[condition]],Lookups!$H$17:$J$24,3,FALSE),0)</f>
        <v>25780</v>
      </c>
      <c r="BL781" s="6">
        <f>Grandview_Inventory[[#This Row],[Eff_Age]]*Lookups!$B$14</f>
        <v>-717.49979999999994</v>
      </c>
      <c r="BM781" s="6">
        <f>Grandview_Inventory[[#This Row],[living_area]]*Lookups!$B$15</f>
        <v>121018.85482000001</v>
      </c>
      <c r="BN781" s="6">
        <f>Grandview_Inventory[[#This Row],[Fin BSMT]]*Lookups!$B$16</f>
        <v>0</v>
      </c>
      <c r="BO781" s="6">
        <f>(Grandview_Inventory[[#This Row],[att_gar]]+Grandview_Inventory[[#This Row],[bltin_gar]])*Lookups!$B$17</f>
        <v>46210.790736000003</v>
      </c>
      <c r="BP781" s="6">
        <f>Grandview_Inventory[[#This Row],[Plumbing Fixtures]]*Lookups!$B$18</f>
        <v>20104.418000000001</v>
      </c>
      <c r="BQ781" s="6">
        <f>Grandview_Inventory[[#This Row],[detatched_value]]*Lookups!$B$19</f>
        <v>0</v>
      </c>
      <c r="BR781" s="6">
        <f>SUM(Grandview_Inventory[[#This Row],[Intercept]:[det_value]])*Grandview_Inventory[[#This Row],[res_pct]]</f>
        <v>388998.51375600003</v>
      </c>
      <c r="BS781" s="6">
        <f>Grandview_Inventory[[#This Row],[land_value]]</f>
        <v>80205.039449517324</v>
      </c>
      <c r="BT781" s="4">
        <f>_xlfn.IFNA(VLOOKUP(Grandview_Inventory[[#This Row],[quality]],Lookups!$A$26:$C$33,3,FALSE),1)</f>
        <v>0.94960540378902636</v>
      </c>
      <c r="BU781" s="4">
        <f>_xlfn.IFNA(VLOOKUP(Grandview_Inventory[[#This Row],[condition]],Lookups!$A$37:$C$44,3,FALSE),1)</f>
        <v>0.94347925387812148</v>
      </c>
      <c r="BV781" s="4">
        <f>IF(Grandview_Inventory[[#This Row],[bldg_style]]="",1,_xlfn.IFNA(VLOOKUP(Grandview_Inventory[[#This Row],[decade]],Lookups!$F$29:$H$43,3,FALSE),1))</f>
        <v>0.94601966599150278</v>
      </c>
      <c r="BW781" s="4">
        <f>_xlfn.IFNA(VLOOKUP(Grandview_Inventory[[#This Row],[living_area_range]],Lookups!$F$47:$H$56,3,FALSE),1)</f>
        <v>0.96120133463014379</v>
      </c>
      <c r="BX781" s="4">
        <f>AVERAGE(Grandview_Inventory[[#This Row],[qual_adj]:[size_adj]])</f>
        <v>0.95007641457219871</v>
      </c>
      <c r="BY781" s="6">
        <f>IF(Grandview_Inventory[[#This Row],[pre_res]]&lt;0,0,Grandview_Inventory[[#This Row],[pre_res]]*Grandview_Inventory[[#This Row],[overall_adj]])</f>
        <v>369578.31322321465</v>
      </c>
      <c r="BZ781" s="6">
        <f>(Grandview_Inventory[[#This Row],[sum_land]]-IF(Grandview_Inventory[[#This Row],[no_utilities]]=1,12000,0))/IF(Grandview_Inventory[[#This Row],[unbuildable]]=1,2,1)</f>
        <v>80205.039449517324</v>
      </c>
      <c r="CA781">
        <f>IF(ROUND(Grandview_Inventory[[#This Row],[adj_land]]*Lookups!$M$28,-2)&lt;Grandview_Inventory[[#This Row],[min_land]],Grandview_Inventory[[#This Row],[min_land]],ROUND(Grandview_Inventory[[#This Row],[adj_land]]*Lookups!$M$28,-2))</f>
        <v>76200</v>
      </c>
      <c r="CB781">
        <f>ROUND(Grandview_Inventory[[#This Row],[det_value]]*Lookups!$M$28,-2)</f>
        <v>0</v>
      </c>
      <c r="CC781">
        <f>IF(ROUND(Grandview_Inventory[[#This Row],[adj_res]]*Lookups!$M$28,-2)&lt;Grandview_Inventory[[#This Row],[min_res]],Grandview_Inventory[[#This Row],[min_res]],ROUND(Grandview_Inventory[[#This Row],[adj_res]]*Lookups!$M$28,-2))</f>
        <v>351100</v>
      </c>
      <c r="CD781">
        <f>Grandview_Inventory[[#This Row],[final_det]]+Grandview_Inventory[[#This Row],[final_res]]</f>
        <v>351100</v>
      </c>
      <c r="CE781">
        <f>Grandview_Inventory[[#This Row],[final_land]]+Grandview_Inventory[[#This Row],[final_imp]]+Grandview_Inventory[[#This Row],[crop_value]]</f>
        <v>427300</v>
      </c>
      <c r="CG781" t="str">
        <f t="shared" si="12"/>
        <v>update valuation set market_land =76200, market_bldg=351100, market_total =427300, market_mdno =401, market_date ='9/10/2023' where link_id = (select link_id from parcel where parcel_year = '2024' and parcel_id = '23092231530');</v>
      </c>
    </row>
    <row r="782" spans="1:85" x14ac:dyDescent="0.25">
      <c r="A782">
        <v>23092231531</v>
      </c>
      <c r="B782">
        <v>0.42</v>
      </c>
      <c r="C782" t="s">
        <v>129</v>
      </c>
      <c r="D782" t="s">
        <v>129</v>
      </c>
      <c r="E782" t="s">
        <v>53</v>
      </c>
      <c r="F782" t="s">
        <v>53</v>
      </c>
      <c r="G782">
        <v>4</v>
      </c>
      <c r="H782" t="s">
        <v>54</v>
      </c>
      <c r="I782">
        <v>222000</v>
      </c>
      <c r="J782">
        <v>41200</v>
      </c>
      <c r="K782">
        <v>0.42</v>
      </c>
      <c r="L782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782">
        <v>0</v>
      </c>
      <c r="N782">
        <v>0</v>
      </c>
      <c r="O782">
        <v>0</v>
      </c>
      <c r="P782">
        <v>13398.7528</v>
      </c>
      <c r="Q782">
        <v>63903</v>
      </c>
      <c r="R782">
        <f>(Grandview_Inventory[[#This Row],[ln_acres]]*Grandview_Inventory[[#This Row],[coeff]])+Grandview_Inventory[[#This Row],[const]]</f>
        <v>52279.574339464751</v>
      </c>
      <c r="S782" t="s">
        <v>61</v>
      </c>
      <c r="T782">
        <v>1</v>
      </c>
      <c r="U782" t="s">
        <v>65</v>
      </c>
      <c r="V782" t="s">
        <v>67</v>
      </c>
      <c r="W782">
        <v>0</v>
      </c>
      <c r="X782">
        <v>0</v>
      </c>
      <c r="Y782">
        <v>20</v>
      </c>
      <c r="Z782">
        <v>20</v>
      </c>
      <c r="AA782">
        <v>20</v>
      </c>
      <c r="AB782">
        <v>1500</v>
      </c>
      <c r="AC782">
        <v>1381</v>
      </c>
      <c r="AD782">
        <v>1381</v>
      </c>
      <c r="AE782">
        <v>0</v>
      </c>
      <c r="AF782">
        <v>0</v>
      </c>
      <c r="AG782">
        <v>0</v>
      </c>
      <c r="AH782">
        <v>0</v>
      </c>
      <c r="AI782">
        <v>300</v>
      </c>
      <c r="AJ782">
        <v>0</v>
      </c>
      <c r="AK782">
        <v>0</v>
      </c>
      <c r="AL782">
        <v>0</v>
      </c>
      <c r="AM782">
        <v>486</v>
      </c>
      <c r="AN782">
        <v>0</v>
      </c>
      <c r="AO782">
        <v>486</v>
      </c>
      <c r="AP782">
        <v>8</v>
      </c>
      <c r="AQ782">
        <v>0</v>
      </c>
      <c r="AR782">
        <v>0</v>
      </c>
      <c r="AS782" t="s">
        <v>58</v>
      </c>
      <c r="AT782">
        <v>1</v>
      </c>
      <c r="AU782" t="s">
        <v>63</v>
      </c>
      <c r="AV782" t="s">
        <v>60</v>
      </c>
      <c r="AW782">
        <v>1</v>
      </c>
      <c r="AX782">
        <v>3</v>
      </c>
      <c r="AY782">
        <v>0</v>
      </c>
      <c r="AZ782">
        <v>40900</v>
      </c>
      <c r="BA782">
        <v>100</v>
      </c>
      <c r="BB782">
        <v>100</v>
      </c>
      <c r="BC782">
        <v>100</v>
      </c>
      <c r="BD782">
        <v>100</v>
      </c>
      <c r="BE782">
        <v>1</v>
      </c>
      <c r="BF782">
        <v>15000</v>
      </c>
      <c r="BG782">
        <v>1000</v>
      </c>
      <c r="BH782" s="6">
        <f>Grandview_Inventory[[#This Row],[land_extract]]*Lookups!$B$3</f>
        <v>60712.1285255697</v>
      </c>
      <c r="BI782" s="6">
        <f>IF(Grandview_Inventory[[#This Row],[bldg_style]]="",0,Lookups!$B$2)</f>
        <v>155833.95000000001</v>
      </c>
      <c r="BJ782" s="6">
        <f>_xlfn.IFNA(VLOOKUP(Grandview_Inventory[[#This Row],[quality]],Lookups!$H$2:$J$14,3,FALSE),0)</f>
        <v>2251</v>
      </c>
      <c r="BK782" s="6">
        <f>_xlfn.IFNA(VLOOKUP(Grandview_Inventory[[#This Row],[condition]],Lookups!$H$17:$J$24,3,FALSE),0)</f>
        <v>22342</v>
      </c>
      <c r="BL782" s="6">
        <f>Grandview_Inventory[[#This Row],[Eff_Age]]*Lookups!$B$14</f>
        <v>-4783.3319999999994</v>
      </c>
      <c r="BM782" s="6">
        <f>Grandview_Inventory[[#This Row],[living_area]]*Lookups!$B$15</f>
        <v>86147.957993000004</v>
      </c>
      <c r="BN782" s="6">
        <f>Grandview_Inventory[[#This Row],[Fin BSMT]]*Lookups!$B$16</f>
        <v>0</v>
      </c>
      <c r="BO782" s="6">
        <f>(Grandview_Inventory[[#This Row],[att_gar]]+Grandview_Inventory[[#This Row],[bltin_gar]])*Lookups!$B$17</f>
        <v>26256.131099999999</v>
      </c>
      <c r="BP782" s="6">
        <f>Grandview_Inventory[[#This Row],[Plumbing Fixtures]]*Lookups!$B$18</f>
        <v>16083.5344</v>
      </c>
      <c r="BQ782" s="6">
        <f>Grandview_Inventory[[#This Row],[detatched_value]]*Lookups!$B$19</f>
        <v>34634.328589999997</v>
      </c>
      <c r="BR782" s="6">
        <f>SUM(Grandview_Inventory[[#This Row],[Intercept]:[det_value]])*Grandview_Inventory[[#This Row],[res_pct]]</f>
        <v>338765.570083</v>
      </c>
      <c r="BS782" s="6">
        <f>Grandview_Inventory[[#This Row],[land_value]]</f>
        <v>60712.1285255697</v>
      </c>
      <c r="BT782" s="4">
        <f>_xlfn.IFNA(VLOOKUP(Grandview_Inventory[[#This Row],[quality]],Lookups!$A$26:$C$33,3,FALSE),1)</f>
        <v>0.98763855981004833</v>
      </c>
      <c r="BU782" s="4">
        <f>_xlfn.IFNA(VLOOKUP(Grandview_Inventory[[#This Row],[condition]],Lookups!$A$37:$C$44,3,FALSE),1)</f>
        <v>0.97383723671140243</v>
      </c>
      <c r="BV782" s="4">
        <f>IF(Grandview_Inventory[[#This Row],[bldg_style]]="",1,_xlfn.IFNA(VLOOKUP(Grandview_Inventory[[#This Row],[decade]],Lookups!$F$29:$H$43,3,FALSE),1))</f>
        <v>0.96737494181490646</v>
      </c>
      <c r="BW782" s="4">
        <f>_xlfn.IFNA(VLOOKUP(Grandview_Inventory[[#This Row],[living_area_range]],Lookups!$F$47:$H$56,3,FALSE),1)</f>
        <v>0.96135087979789358</v>
      </c>
      <c r="BX782" s="4">
        <f>AVERAGE(Grandview_Inventory[[#This Row],[qual_adj]:[size_adj]])</f>
        <v>0.97255040453356267</v>
      </c>
      <c r="BY782" s="6">
        <f>IF(Grandview_Inventory[[#This Row],[pre_res]]&lt;0,0,Grandview_Inventory[[#This Row],[pre_res]]*Grandview_Inventory[[#This Row],[overall_adj]])</f>
        <v>329466.59222626465</v>
      </c>
      <c r="BZ782" s="6">
        <f>(Grandview_Inventory[[#This Row],[sum_land]]-IF(Grandview_Inventory[[#This Row],[no_utilities]]=1,12000,0))/IF(Grandview_Inventory[[#This Row],[unbuildable]]=1,2,1)</f>
        <v>60712.1285255697</v>
      </c>
      <c r="CA782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782">
        <f>ROUND(Grandview_Inventory[[#This Row],[det_value]]*Lookups!$M$28,-2)</f>
        <v>32900</v>
      </c>
      <c r="CC782">
        <f>IF(ROUND(Grandview_Inventory[[#This Row],[adj_res]]*Lookups!$M$28,-2)&lt;Grandview_Inventory[[#This Row],[min_res]],Grandview_Inventory[[#This Row],[min_res]],ROUND(Grandview_Inventory[[#This Row],[adj_res]]*Lookups!$M$28,-2))</f>
        <v>313000</v>
      </c>
      <c r="CD782">
        <f>Grandview_Inventory[[#This Row],[final_det]]+Grandview_Inventory[[#This Row],[final_res]]</f>
        <v>345900</v>
      </c>
      <c r="CE782">
        <f>Grandview_Inventory[[#This Row],[final_land]]+Grandview_Inventory[[#This Row],[final_imp]]+Grandview_Inventory[[#This Row],[crop_value]]</f>
        <v>403600</v>
      </c>
      <c r="CG782" t="str">
        <f t="shared" si="12"/>
        <v>update valuation set market_land =57700, market_bldg=345900, market_total =403600, market_mdno =401, market_date ='9/10/2023' where link_id = (select link_id from parcel where parcel_year = '2024' and parcel_id = '23092231531');</v>
      </c>
    </row>
    <row r="783" spans="1:85" x14ac:dyDescent="0.25">
      <c r="A783">
        <v>23092231532</v>
      </c>
      <c r="B783" t="s">
        <v>129</v>
      </c>
      <c r="C783">
        <v>9631</v>
      </c>
      <c r="D783" t="s">
        <v>129</v>
      </c>
      <c r="E783" t="s">
        <v>53</v>
      </c>
      <c r="F783" t="s">
        <v>53</v>
      </c>
      <c r="G783">
        <v>4</v>
      </c>
      <c r="H783" t="s">
        <v>54</v>
      </c>
      <c r="I783">
        <v>203600</v>
      </c>
      <c r="J783">
        <v>43800</v>
      </c>
      <c r="K783">
        <v>0.22</v>
      </c>
      <c r="L78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783">
        <v>0</v>
      </c>
      <c r="N783">
        <v>0</v>
      </c>
      <c r="O783">
        <v>0</v>
      </c>
      <c r="P783">
        <v>13398.7528</v>
      </c>
      <c r="Q783">
        <v>63903</v>
      </c>
      <c r="R783">
        <f>(Grandview_Inventory[[#This Row],[ln_acres]]*Grandview_Inventory[[#This Row],[coeff]])+Grandview_Inventory[[#This Row],[const]]</f>
        <v>43615.576802869145</v>
      </c>
      <c r="S783" t="s">
        <v>61</v>
      </c>
      <c r="T783">
        <v>1</v>
      </c>
      <c r="U783" t="s">
        <v>65</v>
      </c>
      <c r="V783" t="s">
        <v>67</v>
      </c>
      <c r="W783">
        <v>0</v>
      </c>
      <c r="X783">
        <v>0</v>
      </c>
      <c r="Y783">
        <v>46</v>
      </c>
      <c r="Z783">
        <v>55</v>
      </c>
      <c r="AA783">
        <v>60</v>
      </c>
      <c r="AB783">
        <v>1500</v>
      </c>
      <c r="AC783">
        <v>1430</v>
      </c>
      <c r="AD783">
        <v>1430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144</v>
      </c>
      <c r="AN783">
        <v>30</v>
      </c>
      <c r="AO783">
        <v>0</v>
      </c>
      <c r="AP783">
        <v>8</v>
      </c>
      <c r="AQ783">
        <v>0</v>
      </c>
      <c r="AR783">
        <v>1</v>
      </c>
      <c r="AS783" t="s">
        <v>58</v>
      </c>
      <c r="AT783">
        <v>1</v>
      </c>
      <c r="AU783" t="s">
        <v>75</v>
      </c>
      <c r="AV783" t="s">
        <v>60</v>
      </c>
      <c r="AW783">
        <v>0</v>
      </c>
      <c r="AX783">
        <v>3</v>
      </c>
      <c r="AY783">
        <v>0</v>
      </c>
      <c r="AZ783">
        <v>9300</v>
      </c>
      <c r="BA783">
        <v>100</v>
      </c>
      <c r="BB783">
        <v>100</v>
      </c>
      <c r="BC783">
        <v>100</v>
      </c>
      <c r="BD783">
        <v>100</v>
      </c>
      <c r="BE783">
        <v>1</v>
      </c>
      <c r="BF783">
        <v>15000</v>
      </c>
      <c r="BG783">
        <v>1000</v>
      </c>
      <c r="BH783" s="6">
        <f>Grandview_Inventory[[#This Row],[land_extract]]*Lookups!$B$3</f>
        <v>50650.651579114572</v>
      </c>
      <c r="BI783" s="6">
        <f>IF(Grandview_Inventory[[#This Row],[bldg_style]]="",0,Lookups!$B$2)</f>
        <v>155833.95000000001</v>
      </c>
      <c r="BJ783" s="6">
        <f>_xlfn.IFNA(VLOOKUP(Grandview_Inventory[[#This Row],[quality]],Lookups!$H$2:$J$14,3,FALSE),0)</f>
        <v>2251</v>
      </c>
      <c r="BK783" s="6">
        <f>_xlfn.IFNA(VLOOKUP(Grandview_Inventory[[#This Row],[condition]],Lookups!$H$17:$J$24,3,FALSE),0)</f>
        <v>22342</v>
      </c>
      <c r="BL783" s="6">
        <f>Grandview_Inventory[[#This Row],[Eff_Age]]*Lookups!$B$14</f>
        <v>-11001.6636</v>
      </c>
      <c r="BM783" s="6">
        <f>Grandview_Inventory[[#This Row],[living_area]]*Lookups!$B$15</f>
        <v>89204.619789999997</v>
      </c>
      <c r="BN783" s="6">
        <f>Grandview_Inventory[[#This Row],[Fin BSMT]]*Lookups!$B$16</f>
        <v>0</v>
      </c>
      <c r="BO783" s="6">
        <f>(Grandview_Inventory[[#This Row],[att_gar]]+Grandview_Inventory[[#This Row],[bltin_gar]])*Lookups!$B$17</f>
        <v>0</v>
      </c>
      <c r="BP783" s="6">
        <f>Grandview_Inventory[[#This Row],[Plumbing Fixtures]]*Lookups!$B$18</f>
        <v>16083.5344</v>
      </c>
      <c r="BQ783" s="6">
        <f>Grandview_Inventory[[#This Row],[detatched_value]]*Lookups!$B$19</f>
        <v>7875.2874299999994</v>
      </c>
      <c r="BR783" s="6">
        <f>SUM(Grandview_Inventory[[#This Row],[Intercept]:[det_value]])*Grandview_Inventory[[#This Row],[res_pct]]</f>
        <v>282588.72802000004</v>
      </c>
      <c r="BS783" s="6">
        <f>Grandview_Inventory[[#This Row],[land_value]]</f>
        <v>50650.651579114572</v>
      </c>
      <c r="BT783" s="4">
        <f>_xlfn.IFNA(VLOOKUP(Grandview_Inventory[[#This Row],[quality]],Lookups!$A$26:$C$33,3,FALSE),1)</f>
        <v>0.98763855981004833</v>
      </c>
      <c r="BU783" s="4">
        <f>_xlfn.IFNA(VLOOKUP(Grandview_Inventory[[#This Row],[condition]],Lookups!$A$37:$C$44,3,FALSE),1)</f>
        <v>0.97383723671140243</v>
      </c>
      <c r="BV783" s="4">
        <f>IF(Grandview_Inventory[[#This Row],[bldg_style]]="",1,_xlfn.IFNA(VLOOKUP(Grandview_Inventory[[#This Row],[decade]],Lookups!$F$29:$H$43,3,FALSE),1))</f>
        <v>0.95268620544463312</v>
      </c>
      <c r="BW783" s="4">
        <f>_xlfn.IFNA(VLOOKUP(Grandview_Inventory[[#This Row],[living_area_range]],Lookups!$F$47:$H$56,3,FALSE),1)</f>
        <v>0.96135087979789358</v>
      </c>
      <c r="BX783" s="4">
        <f>AVERAGE(Grandview_Inventory[[#This Row],[qual_adj]:[size_adj]])</f>
        <v>0.96887822044099436</v>
      </c>
      <c r="BY783" s="6">
        <f>IF(Grandview_Inventory[[#This Row],[pre_res]]&lt;0,0,Grandview_Inventory[[#This Row],[pre_res]]*Grandview_Inventory[[#This Row],[overall_adj]])</f>
        <v>273794.0639207018</v>
      </c>
      <c r="BZ783" s="6">
        <f>(Grandview_Inventory[[#This Row],[sum_land]]-IF(Grandview_Inventory[[#This Row],[no_utilities]]=1,12000,0))/IF(Grandview_Inventory[[#This Row],[unbuildable]]=1,2,1)</f>
        <v>50650.651579114572</v>
      </c>
      <c r="CA78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783">
        <f>ROUND(Grandview_Inventory[[#This Row],[det_value]]*Lookups!$M$28,-2)</f>
        <v>7500</v>
      </c>
      <c r="CC783">
        <f>IF(ROUND(Grandview_Inventory[[#This Row],[adj_res]]*Lookups!$M$28,-2)&lt;Grandview_Inventory[[#This Row],[min_res]],Grandview_Inventory[[#This Row],[min_res]],ROUND(Grandview_Inventory[[#This Row],[adj_res]]*Lookups!$M$28,-2))</f>
        <v>260100</v>
      </c>
      <c r="CD783">
        <f>Grandview_Inventory[[#This Row],[final_det]]+Grandview_Inventory[[#This Row],[final_res]]</f>
        <v>267600</v>
      </c>
      <c r="CE783">
        <f>Grandview_Inventory[[#This Row],[final_land]]+Grandview_Inventory[[#This Row],[final_imp]]+Grandview_Inventory[[#This Row],[crop_value]]</f>
        <v>315700</v>
      </c>
      <c r="CG783" t="str">
        <f t="shared" si="12"/>
        <v>update valuation set market_land =48100, market_bldg=267600, market_total =315700, market_mdno =401, market_date ='9/10/2023' where link_id = (select link_id from parcel where parcel_year = '2024' and parcel_id = '23092231532');</v>
      </c>
    </row>
    <row r="784" spans="1:85" x14ac:dyDescent="0.25">
      <c r="A784">
        <v>23092231533</v>
      </c>
      <c r="B784" t="s">
        <v>129</v>
      </c>
      <c r="C784">
        <v>7829</v>
      </c>
      <c r="D784" t="s">
        <v>129</v>
      </c>
      <c r="E784" t="s">
        <v>53</v>
      </c>
      <c r="F784" t="s">
        <v>53</v>
      </c>
      <c r="G784">
        <v>4</v>
      </c>
      <c r="H784" t="s">
        <v>54</v>
      </c>
      <c r="I784">
        <v>56100</v>
      </c>
      <c r="J784">
        <v>43100</v>
      </c>
      <c r="K784">
        <v>0.18</v>
      </c>
      <c r="L78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784">
        <v>0</v>
      </c>
      <c r="N784">
        <v>0</v>
      </c>
      <c r="O784">
        <v>0</v>
      </c>
      <c r="P784">
        <v>13398.7528</v>
      </c>
      <c r="Q784">
        <v>63903</v>
      </c>
      <c r="R784">
        <f>(Grandview_Inventory[[#This Row],[ln_acres]]*Grandview_Inventory[[#This Row],[coeff]])+Grandview_Inventory[[#This Row],[const]]</f>
        <v>40926.839760167699</v>
      </c>
      <c r="S784" t="s">
        <v>61</v>
      </c>
      <c r="T784">
        <v>1</v>
      </c>
      <c r="U784" t="s">
        <v>64</v>
      </c>
      <c r="V784" t="s">
        <v>57</v>
      </c>
      <c r="W784">
        <v>0</v>
      </c>
      <c r="X784">
        <v>0</v>
      </c>
      <c r="Y784">
        <v>1</v>
      </c>
      <c r="Z784">
        <v>1</v>
      </c>
      <c r="AA784">
        <v>10</v>
      </c>
      <c r="AB784">
        <v>2000</v>
      </c>
      <c r="AC784">
        <v>1706</v>
      </c>
      <c r="AD784">
        <v>1706</v>
      </c>
      <c r="AE784">
        <v>0</v>
      </c>
      <c r="AF784">
        <v>0</v>
      </c>
      <c r="AG784">
        <v>0</v>
      </c>
      <c r="AH784">
        <v>0</v>
      </c>
      <c r="AI784">
        <v>440</v>
      </c>
      <c r="AJ784">
        <v>0</v>
      </c>
      <c r="AK784">
        <v>0</v>
      </c>
      <c r="AL784">
        <v>0</v>
      </c>
      <c r="AM784">
        <v>98</v>
      </c>
      <c r="AN784">
        <v>96</v>
      </c>
      <c r="AO784">
        <v>98</v>
      </c>
      <c r="AP784">
        <v>10</v>
      </c>
      <c r="AQ784">
        <v>0</v>
      </c>
      <c r="AR784">
        <v>0</v>
      </c>
      <c r="AS784" t="s">
        <v>58</v>
      </c>
      <c r="AT784">
        <v>1</v>
      </c>
      <c r="AU784" t="s">
        <v>59</v>
      </c>
      <c r="AV784" t="s">
        <v>60</v>
      </c>
      <c r="AW784">
        <v>1</v>
      </c>
      <c r="AX784">
        <v>3</v>
      </c>
      <c r="AY784">
        <v>0</v>
      </c>
      <c r="AZ784">
        <v>0</v>
      </c>
      <c r="BA784">
        <v>100</v>
      </c>
      <c r="BB784">
        <v>100</v>
      </c>
      <c r="BC784">
        <v>100</v>
      </c>
      <c r="BD784">
        <v>100</v>
      </c>
      <c r="BE784">
        <v>1</v>
      </c>
      <c r="BF784">
        <v>15000</v>
      </c>
      <c r="BG784">
        <v>1000</v>
      </c>
      <c r="BH784" s="6">
        <f>Grandview_Inventory[[#This Row],[land_extract]]*Lookups!$B$3</f>
        <v>47528.228511015397</v>
      </c>
      <c r="BI784" s="6">
        <f>IF(Grandview_Inventory[[#This Row],[bldg_style]]="",0,Lookups!$B$2)</f>
        <v>155833.95000000001</v>
      </c>
      <c r="BJ784" s="6">
        <f>_xlfn.IFNA(VLOOKUP(Grandview_Inventory[[#This Row],[quality]],Lookups!$H$2:$J$14,3,FALSE),0)</f>
        <v>20768</v>
      </c>
      <c r="BK784" s="6">
        <f>_xlfn.IFNA(VLOOKUP(Grandview_Inventory[[#This Row],[condition]],Lookups!$H$17:$J$24,3,FALSE),0)</f>
        <v>25780</v>
      </c>
      <c r="BL784" s="6">
        <f>Grandview_Inventory[[#This Row],[Eff_Age]]*Lookups!$B$14</f>
        <v>-239.16659999999999</v>
      </c>
      <c r="BM784" s="6">
        <f>Grandview_Inventory[[#This Row],[living_area]]*Lookups!$B$15</f>
        <v>106421.735218</v>
      </c>
      <c r="BN784" s="6">
        <f>Grandview_Inventory[[#This Row],[Fin BSMT]]*Lookups!$B$16</f>
        <v>0</v>
      </c>
      <c r="BO784" s="6">
        <f>(Grandview_Inventory[[#This Row],[att_gar]]+Grandview_Inventory[[#This Row],[bltin_gar]])*Lookups!$B$17</f>
        <v>38508.992279999999</v>
      </c>
      <c r="BP784" s="6">
        <f>Grandview_Inventory[[#This Row],[Plumbing Fixtures]]*Lookups!$B$18</f>
        <v>20104.418000000001</v>
      </c>
      <c r="BQ784" s="6">
        <f>Grandview_Inventory[[#This Row],[detatched_value]]*Lookups!$B$19</f>
        <v>0</v>
      </c>
      <c r="BR784" s="6">
        <f>SUM(Grandview_Inventory[[#This Row],[Intercept]:[det_value]])*Grandview_Inventory[[#This Row],[res_pct]]</f>
        <v>367177.92889800004</v>
      </c>
      <c r="BS784" s="6">
        <f>Grandview_Inventory[[#This Row],[land_value]]</f>
        <v>47528.228511015397</v>
      </c>
      <c r="BT784" s="4">
        <f>_xlfn.IFNA(VLOOKUP(Grandview_Inventory[[#This Row],[quality]],Lookups!$A$26:$C$33,3,FALSE),1)</f>
        <v>0.94960540378902636</v>
      </c>
      <c r="BU784" s="4">
        <f>_xlfn.IFNA(VLOOKUP(Grandview_Inventory[[#This Row],[condition]],Lookups!$A$37:$C$44,3,FALSE),1)</f>
        <v>0.94347925387812148</v>
      </c>
      <c r="BV784" s="4">
        <f>IF(Grandview_Inventory[[#This Row],[bldg_style]]="",1,_xlfn.IFNA(VLOOKUP(Grandview_Inventory[[#This Row],[decade]],Lookups!$F$29:$H$43,3,FALSE),1))</f>
        <v>0.94601966599150278</v>
      </c>
      <c r="BW784" s="4">
        <f>_xlfn.IFNA(VLOOKUP(Grandview_Inventory[[#This Row],[living_area_range]],Lookups!$F$47:$H$56,3,FALSE),1)</f>
        <v>0.96120133463014379</v>
      </c>
      <c r="BX784" s="4">
        <f>AVERAGE(Grandview_Inventory[[#This Row],[qual_adj]:[size_adj]])</f>
        <v>0.95007641457219871</v>
      </c>
      <c r="BY784" s="6">
        <f>IF(Grandview_Inventory[[#This Row],[pre_res]]&lt;0,0,Grandview_Inventory[[#This Row],[pre_res]]*Grandview_Inventory[[#This Row],[overall_adj]])</f>
        <v>348847.09019745758</v>
      </c>
      <c r="BZ784" s="6">
        <f>(Grandview_Inventory[[#This Row],[sum_land]]-IF(Grandview_Inventory[[#This Row],[no_utilities]]=1,12000,0))/IF(Grandview_Inventory[[#This Row],[unbuildable]]=1,2,1)</f>
        <v>47528.228511015397</v>
      </c>
      <c r="CA78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784">
        <f>ROUND(Grandview_Inventory[[#This Row],[det_value]]*Lookups!$M$28,-2)</f>
        <v>0</v>
      </c>
      <c r="CC784">
        <f>IF(ROUND(Grandview_Inventory[[#This Row],[adj_res]]*Lookups!$M$28,-2)&lt;Grandview_Inventory[[#This Row],[min_res]],Grandview_Inventory[[#This Row],[min_res]],ROUND(Grandview_Inventory[[#This Row],[adj_res]]*Lookups!$M$28,-2))</f>
        <v>331400</v>
      </c>
      <c r="CD784">
        <f>Grandview_Inventory[[#This Row],[final_det]]+Grandview_Inventory[[#This Row],[final_res]]</f>
        <v>331400</v>
      </c>
      <c r="CE784">
        <f>Grandview_Inventory[[#This Row],[final_land]]+Grandview_Inventory[[#This Row],[final_imp]]+Grandview_Inventory[[#This Row],[crop_value]]</f>
        <v>376600</v>
      </c>
      <c r="CG784" t="str">
        <f t="shared" si="12"/>
        <v>update valuation set market_land =45200, market_bldg=331400, market_total =376600, market_mdno =401, market_date ='9/10/2023' where link_id = (select link_id from parcel where parcel_year = '2024' and parcel_id = '23092231533');</v>
      </c>
    </row>
    <row r="785" spans="1:85" x14ac:dyDescent="0.25">
      <c r="A785">
        <v>23092232402</v>
      </c>
      <c r="B785">
        <v>0.56999999999999995</v>
      </c>
      <c r="C785">
        <v>24955</v>
      </c>
      <c r="D785" t="s">
        <v>129</v>
      </c>
      <c r="E785" t="s">
        <v>53</v>
      </c>
      <c r="F785" t="s">
        <v>53</v>
      </c>
      <c r="G785">
        <v>4</v>
      </c>
      <c r="H785" t="s">
        <v>54</v>
      </c>
      <c r="I785">
        <v>195800</v>
      </c>
      <c r="J785">
        <v>46800</v>
      </c>
      <c r="K785">
        <v>0.56999999999999995</v>
      </c>
      <c r="L785">
        <f>IF(Grandview_Inventory[[#This Row],[parcel_acres]]-Grandview_Inventory[[#This Row],[non_valued_acres]] =0,0,LN(Grandview_Inventory[[#This Row],[parcel_acres]]-Grandview_Inventory[[#This Row],[non_valued_acres]]))</f>
        <v>-0.56211891815354131</v>
      </c>
      <c r="M785">
        <v>0</v>
      </c>
      <c r="N785">
        <v>0</v>
      </c>
      <c r="O785">
        <v>0</v>
      </c>
      <c r="P785">
        <v>13398.7528</v>
      </c>
      <c r="Q785">
        <v>63903</v>
      </c>
      <c r="R785">
        <f>(Grandview_Inventory[[#This Row],[ln_acres]]*Grandview_Inventory[[#This Row],[coeff]])+Grandview_Inventory[[#This Row],[const]]</f>
        <v>56371.30757145727</v>
      </c>
      <c r="S785" t="s">
        <v>77</v>
      </c>
      <c r="T785">
        <v>1</v>
      </c>
      <c r="U785" t="s">
        <v>65</v>
      </c>
      <c r="V785" t="s">
        <v>78</v>
      </c>
      <c r="W785">
        <v>0</v>
      </c>
      <c r="X785">
        <v>0</v>
      </c>
      <c r="Y785">
        <v>47</v>
      </c>
      <c r="Z785">
        <v>58</v>
      </c>
      <c r="AA785">
        <v>60</v>
      </c>
      <c r="AB785">
        <v>2500</v>
      </c>
      <c r="AC785">
        <v>2486</v>
      </c>
      <c r="AD785">
        <v>1286</v>
      </c>
      <c r="AE785">
        <v>0</v>
      </c>
      <c r="AF785">
        <v>0</v>
      </c>
      <c r="AG785">
        <v>1200</v>
      </c>
      <c r="AH785">
        <v>0</v>
      </c>
      <c r="AI785">
        <v>0</v>
      </c>
      <c r="AJ785">
        <v>0</v>
      </c>
      <c r="AK785">
        <v>432</v>
      </c>
      <c r="AL785">
        <v>400</v>
      </c>
      <c r="AM785">
        <v>256</v>
      </c>
      <c r="AN785">
        <v>0</v>
      </c>
      <c r="AO785">
        <v>0</v>
      </c>
      <c r="AP785">
        <v>11</v>
      </c>
      <c r="AQ785">
        <v>0</v>
      </c>
      <c r="AR785">
        <v>2</v>
      </c>
      <c r="AS785" t="s">
        <v>58</v>
      </c>
      <c r="AT785">
        <v>1</v>
      </c>
      <c r="AU785" t="s">
        <v>63</v>
      </c>
      <c r="AV785" t="s">
        <v>60</v>
      </c>
      <c r="AW785">
        <v>1</v>
      </c>
      <c r="AX785">
        <v>4</v>
      </c>
      <c r="AY785">
        <v>0</v>
      </c>
      <c r="AZ785">
        <v>0</v>
      </c>
      <c r="BA785">
        <v>100</v>
      </c>
      <c r="BB785">
        <v>100</v>
      </c>
      <c r="BC785">
        <v>100</v>
      </c>
      <c r="BD785">
        <v>100</v>
      </c>
      <c r="BE785">
        <v>1</v>
      </c>
      <c r="BF785">
        <v>15000</v>
      </c>
      <c r="BG785">
        <v>1000</v>
      </c>
      <c r="BH785" s="6">
        <f>Grandview_Inventory[[#This Row],[land_extract]]*Lookups!$B$3</f>
        <v>65463.847280202885</v>
      </c>
      <c r="BI785" s="6">
        <f>IF(Grandview_Inventory[[#This Row],[bldg_style]]="",0,Lookups!$B$2)</f>
        <v>155833.95000000001</v>
      </c>
      <c r="BJ785" s="6">
        <f>_xlfn.IFNA(VLOOKUP(Grandview_Inventory[[#This Row],[quality]],Lookups!$H$2:$J$14,3,FALSE),0)</f>
        <v>2251</v>
      </c>
      <c r="BK785" s="6">
        <f>_xlfn.IFNA(VLOOKUP(Grandview_Inventory[[#This Row],[condition]],Lookups!$H$17:$J$24,3,FALSE),0)</f>
        <v>-45357</v>
      </c>
      <c r="BL785" s="6">
        <f>Grandview_Inventory[[#This Row],[Eff_Age]]*Lookups!$B$14</f>
        <v>-11240.8302</v>
      </c>
      <c r="BM785" s="6">
        <f>Grandview_Inventory[[#This Row],[living_area]]*Lookups!$B$15</f>
        <v>155078.80055800002</v>
      </c>
      <c r="BN785" s="6">
        <f>Grandview_Inventory[[#This Row],[Fin BSMT]]*Lookups!$B$16</f>
        <v>-32519.088000000003</v>
      </c>
      <c r="BO785" s="6">
        <f>(Grandview_Inventory[[#This Row],[att_gar]]+Grandview_Inventory[[#This Row],[bltin_gar]])*Lookups!$B$17</f>
        <v>0</v>
      </c>
      <c r="BP785" s="6">
        <f>Grandview_Inventory[[#This Row],[Plumbing Fixtures]]*Lookups!$B$18</f>
        <v>22114.859800000002</v>
      </c>
      <c r="BQ785" s="6">
        <f>Grandview_Inventory[[#This Row],[detatched_value]]*Lookups!$B$19</f>
        <v>0</v>
      </c>
      <c r="BR785" s="6">
        <f>SUM(Grandview_Inventory[[#This Row],[Intercept]:[det_value]])*Grandview_Inventory[[#This Row],[res_pct]]</f>
        <v>246161.69215800005</v>
      </c>
      <c r="BS785" s="6">
        <f>Grandview_Inventory[[#This Row],[land_value]]</f>
        <v>65463.847280202885</v>
      </c>
      <c r="BT785" s="4">
        <f>_xlfn.IFNA(VLOOKUP(Grandview_Inventory[[#This Row],[quality]],Lookups!$A$26:$C$33,3,FALSE),1)</f>
        <v>0.98763855981004833</v>
      </c>
      <c r="BU785" s="4">
        <f>_xlfn.IFNA(VLOOKUP(Grandview_Inventory[[#This Row],[condition]],Lookups!$A$37:$C$44,3,FALSE),1)</f>
        <v>0.97161819570155394</v>
      </c>
      <c r="BV785" s="4">
        <f>IF(Grandview_Inventory[[#This Row],[bldg_style]]="",1,_xlfn.IFNA(VLOOKUP(Grandview_Inventory[[#This Row],[decade]],Lookups!$F$29:$H$43,3,FALSE),1))</f>
        <v>0.95268620544463312</v>
      </c>
      <c r="BW785" s="4">
        <f>_xlfn.IFNA(VLOOKUP(Grandview_Inventory[[#This Row],[living_area_range]],Lookups!$F$47:$H$56,3,FALSE),1)</f>
        <v>0.95799442568048754</v>
      </c>
      <c r="BX785" s="4">
        <f>AVERAGE(Grandview_Inventory[[#This Row],[qual_adj]:[size_adj]])</f>
        <v>0.96748434665918071</v>
      </c>
      <c r="BY785" s="6">
        <f>IF(Grandview_Inventory[[#This Row],[pre_res]]&lt;0,0,Grandview_Inventory[[#This Row],[pre_res]]*Grandview_Inventory[[#This Row],[overall_adj]])</f>
        <v>238157.58391000103</v>
      </c>
      <c r="BZ785" s="6">
        <f>(Grandview_Inventory[[#This Row],[sum_land]]-IF(Grandview_Inventory[[#This Row],[no_utilities]]=1,12000,0))/IF(Grandview_Inventory[[#This Row],[unbuildable]]=1,2,1)</f>
        <v>65463.847280202885</v>
      </c>
      <c r="CA785">
        <f>IF(ROUND(Grandview_Inventory[[#This Row],[adj_land]]*Lookups!$M$28,-2)&lt;Grandview_Inventory[[#This Row],[min_land]],Grandview_Inventory[[#This Row],[min_land]],ROUND(Grandview_Inventory[[#This Row],[adj_land]]*Lookups!$M$28,-2))</f>
        <v>62200</v>
      </c>
      <c r="CB785">
        <f>ROUND(Grandview_Inventory[[#This Row],[det_value]]*Lookups!$M$28,-2)</f>
        <v>0</v>
      </c>
      <c r="CC785">
        <f>IF(ROUND(Grandview_Inventory[[#This Row],[adj_res]]*Lookups!$M$28,-2)&lt;Grandview_Inventory[[#This Row],[min_res]],Grandview_Inventory[[#This Row],[min_res]],ROUND(Grandview_Inventory[[#This Row],[adj_res]]*Lookups!$M$28,-2))</f>
        <v>226200</v>
      </c>
      <c r="CD785">
        <f>Grandview_Inventory[[#This Row],[final_det]]+Grandview_Inventory[[#This Row],[final_res]]</f>
        <v>226200</v>
      </c>
      <c r="CE785">
        <f>Grandview_Inventory[[#This Row],[final_land]]+Grandview_Inventory[[#This Row],[final_imp]]+Grandview_Inventory[[#This Row],[crop_value]]</f>
        <v>288400</v>
      </c>
      <c r="CG785" t="str">
        <f t="shared" si="12"/>
        <v>update valuation set market_land =62200, market_bldg=226200, market_total =288400, market_mdno =401, market_date ='9/10/2023' where link_id = (select link_id from parcel where parcel_year = '2024' and parcel_id = '23092232402');</v>
      </c>
    </row>
    <row r="786" spans="1:85" x14ac:dyDescent="0.25">
      <c r="A786">
        <v>23092232403</v>
      </c>
      <c r="B786">
        <v>0.43</v>
      </c>
      <c r="C786">
        <v>18866</v>
      </c>
      <c r="D786" t="s">
        <v>129</v>
      </c>
      <c r="E786" t="s">
        <v>53</v>
      </c>
      <c r="F786" t="s">
        <v>53</v>
      </c>
      <c r="G786">
        <v>4</v>
      </c>
      <c r="H786" t="s">
        <v>54</v>
      </c>
      <c r="I786">
        <v>216700</v>
      </c>
      <c r="J786">
        <v>45900</v>
      </c>
      <c r="K786">
        <v>0.43</v>
      </c>
      <c r="L786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786">
        <v>0</v>
      </c>
      <c r="N786">
        <v>0</v>
      </c>
      <c r="O786">
        <v>0</v>
      </c>
      <c r="P786">
        <v>13398.7528</v>
      </c>
      <c r="Q786">
        <v>63903</v>
      </c>
      <c r="R786">
        <f>(Grandview_Inventory[[#This Row],[ln_acres]]*Grandview_Inventory[[#This Row],[coeff]])+Grandview_Inventory[[#This Row],[const]]</f>
        <v>52594.853657524982</v>
      </c>
      <c r="S786" t="s">
        <v>61</v>
      </c>
      <c r="T786">
        <v>1</v>
      </c>
      <c r="U786" t="s">
        <v>65</v>
      </c>
      <c r="V786" t="s">
        <v>69</v>
      </c>
      <c r="W786">
        <v>0</v>
      </c>
      <c r="X786">
        <v>0</v>
      </c>
      <c r="Y786">
        <v>44</v>
      </c>
      <c r="Z786">
        <v>49</v>
      </c>
      <c r="AA786">
        <v>50</v>
      </c>
      <c r="AB786">
        <v>2500</v>
      </c>
      <c r="AC786">
        <v>2182</v>
      </c>
      <c r="AD786">
        <v>1566</v>
      </c>
      <c r="AE786">
        <v>0</v>
      </c>
      <c r="AF786">
        <v>0</v>
      </c>
      <c r="AG786">
        <v>616</v>
      </c>
      <c r="AH786">
        <v>0</v>
      </c>
      <c r="AI786">
        <v>484</v>
      </c>
      <c r="AJ786">
        <v>0</v>
      </c>
      <c r="AK786">
        <v>0</v>
      </c>
      <c r="AL786">
        <v>168</v>
      </c>
      <c r="AM786">
        <v>170</v>
      </c>
      <c r="AN786">
        <v>0</v>
      </c>
      <c r="AO786">
        <v>0</v>
      </c>
      <c r="AP786">
        <v>8</v>
      </c>
      <c r="AQ786">
        <v>0</v>
      </c>
      <c r="AR786">
        <v>1</v>
      </c>
      <c r="AS786" t="s">
        <v>58</v>
      </c>
      <c r="AT786">
        <v>1</v>
      </c>
      <c r="AU786" t="s">
        <v>63</v>
      </c>
      <c r="AV786" t="s">
        <v>64</v>
      </c>
      <c r="AW786">
        <v>1</v>
      </c>
      <c r="AX786">
        <v>3</v>
      </c>
      <c r="AY786">
        <v>0</v>
      </c>
      <c r="AZ786">
        <v>0</v>
      </c>
      <c r="BA786">
        <v>100</v>
      </c>
      <c r="BB786">
        <v>100</v>
      </c>
      <c r="BC786">
        <v>100</v>
      </c>
      <c r="BD786">
        <v>100</v>
      </c>
      <c r="BE786">
        <v>1</v>
      </c>
      <c r="BF786">
        <v>15000</v>
      </c>
      <c r="BG786">
        <v>1000</v>
      </c>
      <c r="BH786" s="6">
        <f>Grandview_Inventory[[#This Row],[land_extract]]*Lookups!$B$3</f>
        <v>61078.261546378882</v>
      </c>
      <c r="BI786" s="6">
        <f>IF(Grandview_Inventory[[#This Row],[bldg_style]]="",0,Lookups!$B$2)</f>
        <v>155833.95000000001</v>
      </c>
      <c r="BJ786" s="6">
        <f>_xlfn.IFNA(VLOOKUP(Grandview_Inventory[[#This Row],[quality]],Lookups!$H$2:$J$14,3,FALSE),0)</f>
        <v>2251</v>
      </c>
      <c r="BK786" s="6">
        <f>_xlfn.IFNA(VLOOKUP(Grandview_Inventory[[#This Row],[condition]],Lookups!$H$17:$J$24,3,FALSE),0)</f>
        <v>-4503</v>
      </c>
      <c r="BL786" s="6">
        <f>Grandview_Inventory[[#This Row],[Eff_Age]]*Lookups!$B$14</f>
        <v>-10523.330399999999</v>
      </c>
      <c r="BM786" s="6">
        <f>Grandview_Inventory[[#This Row],[living_area]]*Lookups!$B$15</f>
        <v>136115.02124600002</v>
      </c>
      <c r="BN786" s="6">
        <f>Grandview_Inventory[[#This Row],[Fin BSMT]]*Lookups!$B$16</f>
        <v>-16693.131840000002</v>
      </c>
      <c r="BO786" s="6">
        <f>(Grandview_Inventory[[#This Row],[att_gar]]+Grandview_Inventory[[#This Row],[bltin_gar]])*Lookups!$B$17</f>
        <v>42359.891508000001</v>
      </c>
      <c r="BP786" s="6">
        <f>Grandview_Inventory[[#This Row],[Plumbing Fixtures]]*Lookups!$B$18</f>
        <v>16083.5344</v>
      </c>
      <c r="BQ786" s="6">
        <f>Grandview_Inventory[[#This Row],[detatched_value]]*Lookups!$B$19</f>
        <v>0</v>
      </c>
      <c r="BR786" s="6">
        <f>SUM(Grandview_Inventory[[#This Row],[Intercept]:[det_value]])*Grandview_Inventory[[#This Row],[res_pct]]</f>
        <v>320923.9349140001</v>
      </c>
      <c r="BS786" s="6">
        <f>Grandview_Inventory[[#This Row],[land_value]]</f>
        <v>61078.261546378882</v>
      </c>
      <c r="BT786" s="4">
        <f>_xlfn.IFNA(VLOOKUP(Grandview_Inventory[[#This Row],[quality]],Lookups!$A$26:$C$33,3,FALSE),1)</f>
        <v>0.98763855981004833</v>
      </c>
      <c r="BU786" s="4">
        <f>_xlfn.IFNA(VLOOKUP(Grandview_Inventory[[#This Row],[condition]],Lookups!$A$37:$C$44,3,FALSE),1)</f>
        <v>0.96469275950863709</v>
      </c>
      <c r="BV786" s="4">
        <f>IF(Grandview_Inventory[[#This Row],[bldg_style]]="",1,_xlfn.IFNA(VLOOKUP(Grandview_Inventory[[#This Row],[decade]],Lookups!$F$29:$H$43,3,FALSE),1))</f>
        <v>0.9871940091910919</v>
      </c>
      <c r="BW786" s="4">
        <f>_xlfn.IFNA(VLOOKUP(Grandview_Inventory[[#This Row],[living_area_range]],Lookups!$F$47:$H$56,3,FALSE),1)</f>
        <v>0.95799442568048754</v>
      </c>
      <c r="BX786" s="4">
        <f>AVERAGE(Grandview_Inventory[[#This Row],[qual_adj]:[size_adj]])</f>
        <v>0.97437993854756622</v>
      </c>
      <c r="BY786" s="6">
        <f>IF(Grandview_Inventory[[#This Row],[pre_res]]&lt;0,0,Grandview_Inventory[[#This Row],[pre_res]]*Grandview_Inventory[[#This Row],[overall_adj]])</f>
        <v>312701.84397994657</v>
      </c>
      <c r="BZ786" s="6">
        <f>(Grandview_Inventory[[#This Row],[sum_land]]-IF(Grandview_Inventory[[#This Row],[no_utilities]]=1,12000,0))/IF(Grandview_Inventory[[#This Row],[unbuildable]]=1,2,1)</f>
        <v>61078.261546378882</v>
      </c>
      <c r="CA786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786">
        <f>ROUND(Grandview_Inventory[[#This Row],[det_value]]*Lookups!$M$28,-2)</f>
        <v>0</v>
      </c>
      <c r="CC786">
        <f>IF(ROUND(Grandview_Inventory[[#This Row],[adj_res]]*Lookups!$M$28,-2)&lt;Grandview_Inventory[[#This Row],[min_res]],Grandview_Inventory[[#This Row],[min_res]],ROUND(Grandview_Inventory[[#This Row],[adj_res]]*Lookups!$M$28,-2))</f>
        <v>297100</v>
      </c>
      <c r="CD786">
        <f>Grandview_Inventory[[#This Row],[final_det]]+Grandview_Inventory[[#This Row],[final_res]]</f>
        <v>297100</v>
      </c>
      <c r="CE786">
        <f>Grandview_Inventory[[#This Row],[final_land]]+Grandview_Inventory[[#This Row],[final_imp]]+Grandview_Inventory[[#This Row],[crop_value]]</f>
        <v>355100</v>
      </c>
      <c r="CG786" t="str">
        <f t="shared" si="12"/>
        <v>update valuation set market_land =58000, market_bldg=297100, market_total =355100, market_mdno =401, market_date ='9/10/2023' where link_id = (select link_id from parcel where parcel_year = '2024' and parcel_id = '23092232403');</v>
      </c>
    </row>
    <row r="787" spans="1:85" x14ac:dyDescent="0.25">
      <c r="A787">
        <v>23092232404</v>
      </c>
      <c r="B787">
        <v>0.47</v>
      </c>
      <c r="C787">
        <v>20512</v>
      </c>
      <c r="D787" t="s">
        <v>129</v>
      </c>
      <c r="E787" t="s">
        <v>53</v>
      </c>
      <c r="F787" t="s">
        <v>53</v>
      </c>
      <c r="G787">
        <v>4</v>
      </c>
      <c r="H787" t="s">
        <v>54</v>
      </c>
      <c r="I787">
        <v>241100</v>
      </c>
      <c r="J787">
        <v>46300</v>
      </c>
      <c r="K787">
        <v>0.47</v>
      </c>
      <c r="L787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787">
        <v>0</v>
      </c>
      <c r="N787">
        <v>0</v>
      </c>
      <c r="O787">
        <v>0</v>
      </c>
      <c r="P787">
        <v>13398.7528</v>
      </c>
      <c r="Q787">
        <v>63903</v>
      </c>
      <c r="R787">
        <f>(Grandview_Inventory[[#This Row],[ln_acres]]*Grandview_Inventory[[#This Row],[coeff]])+Grandview_Inventory[[#This Row],[const]]</f>
        <v>53786.639034841472</v>
      </c>
      <c r="S787" t="s">
        <v>61</v>
      </c>
      <c r="T787">
        <v>1</v>
      </c>
      <c r="U787" t="s">
        <v>65</v>
      </c>
      <c r="V787" t="s">
        <v>69</v>
      </c>
      <c r="W787">
        <v>0</v>
      </c>
      <c r="X787">
        <v>0</v>
      </c>
      <c r="Y787">
        <v>46</v>
      </c>
      <c r="Z787">
        <v>55</v>
      </c>
      <c r="AA787">
        <v>60</v>
      </c>
      <c r="AB787">
        <v>2500</v>
      </c>
      <c r="AC787">
        <v>2284</v>
      </c>
      <c r="AD787">
        <v>2284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832</v>
      </c>
      <c r="AL787">
        <v>0</v>
      </c>
      <c r="AM787">
        <v>1798</v>
      </c>
      <c r="AN787">
        <v>0</v>
      </c>
      <c r="AO787">
        <v>0</v>
      </c>
      <c r="AP787">
        <v>8</v>
      </c>
      <c r="AQ787">
        <v>0</v>
      </c>
      <c r="AR787">
        <v>0</v>
      </c>
      <c r="AS787" t="s">
        <v>58</v>
      </c>
      <c r="AT787">
        <v>1</v>
      </c>
      <c r="AU787" t="s">
        <v>63</v>
      </c>
      <c r="AV787" t="s">
        <v>64</v>
      </c>
      <c r="AW787">
        <v>1</v>
      </c>
      <c r="AX787">
        <v>4</v>
      </c>
      <c r="AY787">
        <v>0</v>
      </c>
      <c r="AZ787">
        <v>16000</v>
      </c>
      <c r="BA787">
        <v>100</v>
      </c>
      <c r="BB787">
        <v>100</v>
      </c>
      <c r="BC787">
        <v>100</v>
      </c>
      <c r="BD787">
        <v>100</v>
      </c>
      <c r="BE787">
        <v>1</v>
      </c>
      <c r="BF787">
        <v>15000</v>
      </c>
      <c r="BG787">
        <v>1000</v>
      </c>
      <c r="BH787" s="6">
        <f>Grandview_Inventory[[#This Row],[land_extract]]*Lookups!$B$3</f>
        <v>62462.278687236008</v>
      </c>
      <c r="BI787" s="6">
        <f>IF(Grandview_Inventory[[#This Row],[bldg_style]]="",0,Lookups!$B$2)</f>
        <v>155833.95000000001</v>
      </c>
      <c r="BJ787" s="6">
        <f>_xlfn.IFNA(VLOOKUP(Grandview_Inventory[[#This Row],[quality]],Lookups!$H$2:$J$14,3,FALSE),0)</f>
        <v>2251</v>
      </c>
      <c r="BK787" s="6">
        <f>_xlfn.IFNA(VLOOKUP(Grandview_Inventory[[#This Row],[condition]],Lookups!$H$17:$J$24,3,FALSE),0)</f>
        <v>-4503</v>
      </c>
      <c r="BL787" s="6">
        <f>Grandview_Inventory[[#This Row],[Eff_Age]]*Lookups!$B$14</f>
        <v>-11001.6636</v>
      </c>
      <c r="BM787" s="6">
        <f>Grandview_Inventory[[#This Row],[living_area]]*Lookups!$B$15</f>
        <v>142477.86825200001</v>
      </c>
      <c r="BN787" s="6">
        <f>Grandview_Inventory[[#This Row],[Fin BSMT]]*Lookups!$B$16</f>
        <v>0</v>
      </c>
      <c r="BO787" s="6">
        <f>(Grandview_Inventory[[#This Row],[att_gar]]+Grandview_Inventory[[#This Row],[bltin_gar]])*Lookups!$B$17</f>
        <v>0</v>
      </c>
      <c r="BP787" s="6">
        <f>Grandview_Inventory[[#This Row],[Plumbing Fixtures]]*Lookups!$B$18</f>
        <v>16083.5344</v>
      </c>
      <c r="BQ787" s="6">
        <f>Grandview_Inventory[[#This Row],[detatched_value]]*Lookups!$B$19</f>
        <v>13548.881599999999</v>
      </c>
      <c r="BR787" s="6">
        <f>SUM(Grandview_Inventory[[#This Row],[Intercept]:[det_value]])*Grandview_Inventory[[#This Row],[res_pct]]</f>
        <v>314690.57065200008</v>
      </c>
      <c r="BS787" s="6">
        <f>Grandview_Inventory[[#This Row],[land_value]]</f>
        <v>62462.278687236008</v>
      </c>
      <c r="BT787" s="4">
        <f>_xlfn.IFNA(VLOOKUP(Grandview_Inventory[[#This Row],[quality]],Lookups!$A$26:$C$33,3,FALSE),1)</f>
        <v>0.98763855981004833</v>
      </c>
      <c r="BU787" s="4">
        <f>_xlfn.IFNA(VLOOKUP(Grandview_Inventory[[#This Row],[condition]],Lookups!$A$37:$C$44,3,FALSE),1)</f>
        <v>0.96469275950863709</v>
      </c>
      <c r="BV787" s="4">
        <f>IF(Grandview_Inventory[[#This Row],[bldg_style]]="",1,_xlfn.IFNA(VLOOKUP(Grandview_Inventory[[#This Row],[decade]],Lookups!$F$29:$H$43,3,FALSE),1))</f>
        <v>0.95268620544463312</v>
      </c>
      <c r="BW787" s="4">
        <f>_xlfn.IFNA(VLOOKUP(Grandview_Inventory[[#This Row],[living_area_range]],Lookups!$F$47:$H$56,3,FALSE),1)</f>
        <v>0.95799442568048754</v>
      </c>
      <c r="BX787" s="4">
        <f>AVERAGE(Grandview_Inventory[[#This Row],[qual_adj]:[size_adj]])</f>
        <v>0.96575298761095152</v>
      </c>
      <c r="BY787" s="6">
        <f>IF(Grandview_Inventory[[#This Row],[pre_res]]&lt;0,0,Grandview_Inventory[[#This Row],[pre_res]]*Grandview_Inventory[[#This Row],[overall_adj]])</f>
        <v>303913.35878016427</v>
      </c>
      <c r="BZ787" s="6">
        <f>(Grandview_Inventory[[#This Row],[sum_land]]-IF(Grandview_Inventory[[#This Row],[no_utilities]]=1,12000,0))/IF(Grandview_Inventory[[#This Row],[unbuildable]]=1,2,1)</f>
        <v>62462.278687236008</v>
      </c>
      <c r="CA787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787">
        <f>ROUND(Grandview_Inventory[[#This Row],[det_value]]*Lookups!$M$28,-2)</f>
        <v>12900</v>
      </c>
      <c r="CC787">
        <f>IF(ROUND(Grandview_Inventory[[#This Row],[adj_res]]*Lookups!$M$28,-2)&lt;Grandview_Inventory[[#This Row],[min_res]],Grandview_Inventory[[#This Row],[min_res]],ROUND(Grandview_Inventory[[#This Row],[adj_res]]*Lookups!$M$28,-2))</f>
        <v>288700</v>
      </c>
      <c r="CD787">
        <f>Grandview_Inventory[[#This Row],[final_det]]+Grandview_Inventory[[#This Row],[final_res]]</f>
        <v>301600</v>
      </c>
      <c r="CE787">
        <f>Grandview_Inventory[[#This Row],[final_land]]+Grandview_Inventory[[#This Row],[final_imp]]+Grandview_Inventory[[#This Row],[crop_value]]</f>
        <v>360900</v>
      </c>
      <c r="CG787" t="str">
        <f t="shared" si="12"/>
        <v>update valuation set market_land =59300, market_bldg=301600, market_total =360900, market_mdno =401, market_date ='9/10/2023' where link_id = (select link_id from parcel where parcel_year = '2024' and parcel_id = '23092232404');</v>
      </c>
    </row>
    <row r="788" spans="1:85" x14ac:dyDescent="0.25">
      <c r="A788">
        <v>23092232405</v>
      </c>
      <c r="B788">
        <v>0.49</v>
      </c>
      <c r="C788">
        <v>21337</v>
      </c>
      <c r="D788" t="s">
        <v>129</v>
      </c>
      <c r="E788" t="s">
        <v>53</v>
      </c>
      <c r="F788" t="s">
        <v>53</v>
      </c>
      <c r="G788">
        <v>4</v>
      </c>
      <c r="H788" t="s">
        <v>54</v>
      </c>
      <c r="I788">
        <v>322600</v>
      </c>
      <c r="J788">
        <v>46500</v>
      </c>
      <c r="K788">
        <v>0.49</v>
      </c>
      <c r="L788">
        <f>IF(Grandview_Inventory[[#This Row],[parcel_acres]]-Grandview_Inventory[[#This Row],[non_valued_acres]] =0,0,LN(Grandview_Inventory[[#This Row],[parcel_acres]]-Grandview_Inventory[[#This Row],[non_valued_acres]]))</f>
        <v>-0.71334988787746478</v>
      </c>
      <c r="M788">
        <v>0</v>
      </c>
      <c r="N788">
        <v>0</v>
      </c>
      <c r="O788">
        <v>0</v>
      </c>
      <c r="P788">
        <v>13398.7528</v>
      </c>
      <c r="Q788">
        <v>63903</v>
      </c>
      <c r="R788">
        <f>(Grandview_Inventory[[#This Row],[ln_acres]]*Grandview_Inventory[[#This Row],[coeff]])+Grandview_Inventory[[#This Row],[const]]</f>
        <v>54345.001192422133</v>
      </c>
      <c r="S788" t="s">
        <v>61</v>
      </c>
      <c r="T788">
        <v>1</v>
      </c>
      <c r="U788" t="s">
        <v>65</v>
      </c>
      <c r="V788" t="s">
        <v>67</v>
      </c>
      <c r="W788">
        <v>0</v>
      </c>
      <c r="X788">
        <v>0</v>
      </c>
      <c r="Y788">
        <v>44</v>
      </c>
      <c r="Z788">
        <v>48</v>
      </c>
      <c r="AA788">
        <v>50</v>
      </c>
      <c r="AB788">
        <v>4000</v>
      </c>
      <c r="AC788">
        <v>3620</v>
      </c>
      <c r="AD788">
        <v>1996</v>
      </c>
      <c r="AE788">
        <v>0</v>
      </c>
      <c r="AF788">
        <v>0</v>
      </c>
      <c r="AG788">
        <v>1624</v>
      </c>
      <c r="AH788">
        <v>0</v>
      </c>
      <c r="AI788">
        <v>660</v>
      </c>
      <c r="AJ788">
        <v>0</v>
      </c>
      <c r="AK788">
        <v>0</v>
      </c>
      <c r="AL788">
        <v>0</v>
      </c>
      <c r="AM788">
        <v>708</v>
      </c>
      <c r="AN788">
        <v>0</v>
      </c>
      <c r="AO788">
        <v>0</v>
      </c>
      <c r="AP788">
        <v>10</v>
      </c>
      <c r="AQ788">
        <v>0</v>
      </c>
      <c r="AR788">
        <v>1</v>
      </c>
      <c r="AS788" t="s">
        <v>58</v>
      </c>
      <c r="AT788">
        <v>1</v>
      </c>
      <c r="AU788" t="s">
        <v>59</v>
      </c>
      <c r="AV788" t="s">
        <v>60</v>
      </c>
      <c r="AW788">
        <v>1</v>
      </c>
      <c r="AX788">
        <v>4</v>
      </c>
      <c r="AY788">
        <v>0</v>
      </c>
      <c r="AZ788">
        <v>0</v>
      </c>
      <c r="BA788">
        <v>100</v>
      </c>
      <c r="BB788">
        <v>100</v>
      </c>
      <c r="BC788">
        <v>100</v>
      </c>
      <c r="BD788">
        <v>100</v>
      </c>
      <c r="BE788">
        <v>1</v>
      </c>
      <c r="BF788">
        <v>15000</v>
      </c>
      <c r="BG788">
        <v>1000</v>
      </c>
      <c r="BH788" s="6">
        <f>Grandview_Inventory[[#This Row],[land_extract]]*Lookups!$B$3</f>
        <v>63110.703153256603</v>
      </c>
      <c r="BI788" s="6">
        <f>IF(Grandview_Inventory[[#This Row],[bldg_style]]="",0,Lookups!$B$2)</f>
        <v>155833.95000000001</v>
      </c>
      <c r="BJ788" s="6">
        <f>_xlfn.IFNA(VLOOKUP(Grandview_Inventory[[#This Row],[quality]],Lookups!$H$2:$J$14,3,FALSE),0)</f>
        <v>2251</v>
      </c>
      <c r="BK788" s="6">
        <f>_xlfn.IFNA(VLOOKUP(Grandview_Inventory[[#This Row],[condition]],Lookups!$H$17:$J$24,3,FALSE),0)</f>
        <v>22342</v>
      </c>
      <c r="BL788" s="6">
        <f>Grandview_Inventory[[#This Row],[Eff_Age]]*Lookups!$B$14</f>
        <v>-10523.330399999999</v>
      </c>
      <c r="BM788" s="6">
        <f>Grandview_Inventory[[#This Row],[living_area]]*Lookups!$B$15</f>
        <v>225818.68786000001</v>
      </c>
      <c r="BN788" s="6">
        <f>Grandview_Inventory[[#This Row],[Fin BSMT]]*Lookups!$B$16</f>
        <v>-44009.165760000004</v>
      </c>
      <c r="BO788" s="6">
        <f>(Grandview_Inventory[[#This Row],[att_gar]]+Grandview_Inventory[[#This Row],[bltin_gar]])*Lookups!$B$17</f>
        <v>57763.488420000001</v>
      </c>
      <c r="BP788" s="6">
        <f>Grandview_Inventory[[#This Row],[Plumbing Fixtures]]*Lookups!$B$18</f>
        <v>20104.418000000001</v>
      </c>
      <c r="BQ788" s="6">
        <f>Grandview_Inventory[[#This Row],[detatched_value]]*Lookups!$B$19</f>
        <v>0</v>
      </c>
      <c r="BR788" s="6">
        <f>SUM(Grandview_Inventory[[#This Row],[Intercept]:[det_value]])*Grandview_Inventory[[#This Row],[res_pct]]</f>
        <v>429581.04812000005</v>
      </c>
      <c r="BS788" s="6">
        <f>Grandview_Inventory[[#This Row],[land_value]]</f>
        <v>63110.703153256603</v>
      </c>
      <c r="BT788" s="4">
        <f>_xlfn.IFNA(VLOOKUP(Grandview_Inventory[[#This Row],[quality]],Lookups!$A$26:$C$33,3,FALSE),1)</f>
        <v>0.98763855981004833</v>
      </c>
      <c r="BU788" s="4">
        <f>_xlfn.IFNA(VLOOKUP(Grandview_Inventory[[#This Row],[condition]],Lookups!$A$37:$C$44,3,FALSE),1)</f>
        <v>0.97383723671140243</v>
      </c>
      <c r="BV788" s="4">
        <f>IF(Grandview_Inventory[[#This Row],[bldg_style]]="",1,_xlfn.IFNA(VLOOKUP(Grandview_Inventory[[#This Row],[decade]],Lookups!$F$29:$H$43,3,FALSE),1))</f>
        <v>0.9871940091910919</v>
      </c>
      <c r="BW788" s="4">
        <f>_xlfn.IFNA(VLOOKUP(Grandview_Inventory[[#This Row],[living_area_range]],Lookups!$F$47:$H$56,3,FALSE),1)</f>
        <v>0.90089875105039252</v>
      </c>
      <c r="BX788" s="4">
        <f>AVERAGE(Grandview_Inventory[[#This Row],[qual_adj]:[size_adj]])</f>
        <v>0.96239213919073374</v>
      </c>
      <c r="BY788" s="6">
        <f>IF(Grandview_Inventory[[#This Row],[pre_res]]&lt;0,0,Grandview_Inventory[[#This Row],[pre_res]]*Grandview_Inventory[[#This Row],[overall_adj]])</f>
        <v>413425.42385600437</v>
      </c>
      <c r="BZ788" s="6">
        <f>(Grandview_Inventory[[#This Row],[sum_land]]-IF(Grandview_Inventory[[#This Row],[no_utilities]]=1,12000,0))/IF(Grandview_Inventory[[#This Row],[unbuildable]]=1,2,1)</f>
        <v>63110.703153256603</v>
      </c>
      <c r="CA788">
        <f>IF(ROUND(Grandview_Inventory[[#This Row],[adj_land]]*Lookups!$M$28,-2)&lt;Grandview_Inventory[[#This Row],[min_land]],Grandview_Inventory[[#This Row],[min_land]],ROUND(Grandview_Inventory[[#This Row],[adj_land]]*Lookups!$M$28,-2))</f>
        <v>60000</v>
      </c>
      <c r="CB788">
        <f>ROUND(Grandview_Inventory[[#This Row],[det_value]]*Lookups!$M$28,-2)</f>
        <v>0</v>
      </c>
      <c r="CC788">
        <f>IF(ROUND(Grandview_Inventory[[#This Row],[adj_res]]*Lookups!$M$28,-2)&lt;Grandview_Inventory[[#This Row],[min_res]],Grandview_Inventory[[#This Row],[min_res]],ROUND(Grandview_Inventory[[#This Row],[adj_res]]*Lookups!$M$28,-2))</f>
        <v>392800</v>
      </c>
      <c r="CD788">
        <f>Grandview_Inventory[[#This Row],[final_det]]+Grandview_Inventory[[#This Row],[final_res]]</f>
        <v>392800</v>
      </c>
      <c r="CE788">
        <f>Grandview_Inventory[[#This Row],[final_land]]+Grandview_Inventory[[#This Row],[final_imp]]+Grandview_Inventory[[#This Row],[crop_value]]</f>
        <v>452800</v>
      </c>
      <c r="CG788" t="str">
        <f t="shared" si="12"/>
        <v>update valuation set market_land =60000, market_bldg=392800, market_total =452800, market_mdno =401, market_date ='9/10/2023' where link_id = (select link_id from parcel where parcel_year = '2024' and parcel_id = '23092232405');</v>
      </c>
    </row>
    <row r="789" spans="1:85" x14ac:dyDescent="0.25">
      <c r="A789">
        <v>23092232406</v>
      </c>
      <c r="B789">
        <v>0.64</v>
      </c>
      <c r="C789">
        <v>27795</v>
      </c>
      <c r="D789" t="s">
        <v>129</v>
      </c>
      <c r="E789" t="s">
        <v>53</v>
      </c>
      <c r="F789" t="s">
        <v>53</v>
      </c>
      <c r="G789">
        <v>4</v>
      </c>
      <c r="H789" t="s">
        <v>54</v>
      </c>
      <c r="I789">
        <v>218800</v>
      </c>
      <c r="J789">
        <v>47200</v>
      </c>
      <c r="K789">
        <v>0.64</v>
      </c>
      <c r="L789">
        <f>IF(Grandview_Inventory[[#This Row],[parcel_acres]]-Grandview_Inventory[[#This Row],[non_valued_acres]] =0,0,LN(Grandview_Inventory[[#This Row],[parcel_acres]]-Grandview_Inventory[[#This Row],[non_valued_acres]]))</f>
        <v>-0.44628710262841947</v>
      </c>
      <c r="M789">
        <v>0</v>
      </c>
      <c r="N789">
        <v>0</v>
      </c>
      <c r="O789">
        <v>0</v>
      </c>
      <c r="P789">
        <v>13398.7528</v>
      </c>
      <c r="Q789">
        <v>63903</v>
      </c>
      <c r="R789">
        <f>(Grandview_Inventory[[#This Row],[ln_acres]]*Grandview_Inventory[[#This Row],[coeff]])+Grandview_Inventory[[#This Row],[const]]</f>
        <v>57923.309434053575</v>
      </c>
      <c r="S789" t="s">
        <v>61</v>
      </c>
      <c r="T789">
        <v>1</v>
      </c>
      <c r="U789" t="s">
        <v>62</v>
      </c>
      <c r="V789" t="s">
        <v>69</v>
      </c>
      <c r="W789">
        <v>0</v>
      </c>
      <c r="X789">
        <v>0</v>
      </c>
      <c r="Y789">
        <v>44</v>
      </c>
      <c r="Z789">
        <v>48</v>
      </c>
      <c r="AA789">
        <v>50</v>
      </c>
      <c r="AB789">
        <v>2000</v>
      </c>
      <c r="AC789">
        <v>1750</v>
      </c>
      <c r="AD789">
        <v>1750</v>
      </c>
      <c r="AE789">
        <v>0</v>
      </c>
      <c r="AF789">
        <v>0</v>
      </c>
      <c r="AG789">
        <v>0</v>
      </c>
      <c r="AH789">
        <v>0</v>
      </c>
      <c r="AI789">
        <v>716</v>
      </c>
      <c r="AJ789">
        <v>0</v>
      </c>
      <c r="AK789">
        <v>0</v>
      </c>
      <c r="AL789">
        <v>0</v>
      </c>
      <c r="AM789">
        <v>373</v>
      </c>
      <c r="AN789">
        <v>234</v>
      </c>
      <c r="AO789">
        <v>0</v>
      </c>
      <c r="AP789">
        <v>8</v>
      </c>
      <c r="AQ789">
        <v>0</v>
      </c>
      <c r="AR789">
        <v>0</v>
      </c>
      <c r="AS789" t="s">
        <v>58</v>
      </c>
      <c r="AT789">
        <v>1</v>
      </c>
      <c r="AU789" t="s">
        <v>59</v>
      </c>
      <c r="AV789" t="s">
        <v>60</v>
      </c>
      <c r="AW789">
        <v>1</v>
      </c>
      <c r="AX789">
        <v>3</v>
      </c>
      <c r="AY789">
        <v>0</v>
      </c>
      <c r="AZ789">
        <v>0</v>
      </c>
      <c r="BA789">
        <v>100</v>
      </c>
      <c r="BB789">
        <v>100</v>
      </c>
      <c r="BC789">
        <v>100</v>
      </c>
      <c r="BD789">
        <v>100</v>
      </c>
      <c r="BE789">
        <v>1</v>
      </c>
      <c r="BF789">
        <v>15000</v>
      </c>
      <c r="BG789">
        <v>1000</v>
      </c>
      <c r="BH789" s="6">
        <f>Grandview_Inventory[[#This Row],[land_extract]]*Lookups!$B$3</f>
        <v>67266.182852830942</v>
      </c>
      <c r="BI789" s="6">
        <f>IF(Grandview_Inventory[[#This Row],[bldg_style]]="",0,Lookups!$B$2)</f>
        <v>155833.95000000001</v>
      </c>
      <c r="BJ789" s="6">
        <f>_xlfn.IFNA(VLOOKUP(Grandview_Inventory[[#This Row],[quality]],Lookups!$H$2:$J$14,3,FALSE),0)</f>
        <v>9808</v>
      </c>
      <c r="BK789" s="6">
        <f>_xlfn.IFNA(VLOOKUP(Grandview_Inventory[[#This Row],[condition]],Lookups!$H$17:$J$24,3,FALSE),0)</f>
        <v>-4503</v>
      </c>
      <c r="BL789" s="6">
        <f>Grandview_Inventory[[#This Row],[Eff_Age]]*Lookups!$B$14</f>
        <v>-10523.330399999999</v>
      </c>
      <c r="BM789" s="6">
        <f>Grandview_Inventory[[#This Row],[living_area]]*Lookups!$B$15</f>
        <v>109166.49275</v>
      </c>
      <c r="BN789" s="6">
        <f>Grandview_Inventory[[#This Row],[Fin BSMT]]*Lookups!$B$16</f>
        <v>0</v>
      </c>
      <c r="BO789" s="6">
        <f>(Grandview_Inventory[[#This Row],[att_gar]]+Grandview_Inventory[[#This Row],[bltin_gar]])*Lookups!$B$17</f>
        <v>62664.632892000001</v>
      </c>
      <c r="BP789" s="6">
        <f>Grandview_Inventory[[#This Row],[Plumbing Fixtures]]*Lookups!$B$18</f>
        <v>16083.5344</v>
      </c>
      <c r="BQ789" s="6">
        <f>Grandview_Inventory[[#This Row],[detatched_value]]*Lookups!$B$19</f>
        <v>0</v>
      </c>
      <c r="BR789" s="6">
        <f>SUM(Grandview_Inventory[[#This Row],[Intercept]:[det_value]])*Grandview_Inventory[[#This Row],[res_pct]]</f>
        <v>338530.27964200004</v>
      </c>
      <c r="BS789" s="6">
        <f>Grandview_Inventory[[#This Row],[land_value]]</f>
        <v>67266.182852830942</v>
      </c>
      <c r="BT789" s="4">
        <f>_xlfn.IFNA(VLOOKUP(Grandview_Inventory[[#This Row],[quality]],Lookups!$A$26:$C$33,3,FALSE),1)</f>
        <v>0.94295468617355149</v>
      </c>
      <c r="BU789" s="4">
        <f>_xlfn.IFNA(VLOOKUP(Grandview_Inventory[[#This Row],[condition]],Lookups!$A$37:$C$44,3,FALSE),1)</f>
        <v>0.96469275950863709</v>
      </c>
      <c r="BV789" s="4">
        <f>IF(Grandview_Inventory[[#This Row],[bldg_style]]="",1,_xlfn.IFNA(VLOOKUP(Grandview_Inventory[[#This Row],[decade]],Lookups!$F$29:$H$43,3,FALSE),1))</f>
        <v>0.9871940091910919</v>
      </c>
      <c r="BW789" s="4">
        <f>_xlfn.IFNA(VLOOKUP(Grandview_Inventory[[#This Row],[living_area_range]],Lookups!$F$47:$H$56,3,FALSE),1)</f>
        <v>0.96120133463014379</v>
      </c>
      <c r="BX789" s="4">
        <f>AVERAGE(Grandview_Inventory[[#This Row],[qual_adj]:[size_adj]])</f>
        <v>0.96401069737585598</v>
      </c>
      <c r="BY789" s="6">
        <f>IF(Grandview_Inventory[[#This Row],[pre_res]]&lt;0,0,Grandview_Inventory[[#This Row],[pre_res]]*Grandview_Inventory[[#This Row],[overall_adj]])</f>
        <v>326346.81096052798</v>
      </c>
      <c r="BZ789" s="6">
        <f>(Grandview_Inventory[[#This Row],[sum_land]]-IF(Grandview_Inventory[[#This Row],[no_utilities]]=1,12000,0))/IF(Grandview_Inventory[[#This Row],[unbuildable]]=1,2,1)</f>
        <v>67266.182852830942</v>
      </c>
      <c r="CA789">
        <f>IF(ROUND(Grandview_Inventory[[#This Row],[adj_land]]*Lookups!$M$28,-2)&lt;Grandview_Inventory[[#This Row],[min_land]],Grandview_Inventory[[#This Row],[min_land]],ROUND(Grandview_Inventory[[#This Row],[adj_land]]*Lookups!$M$28,-2))</f>
        <v>63900</v>
      </c>
      <c r="CB789">
        <f>ROUND(Grandview_Inventory[[#This Row],[det_value]]*Lookups!$M$28,-2)</f>
        <v>0</v>
      </c>
      <c r="CC789">
        <f>IF(ROUND(Grandview_Inventory[[#This Row],[adj_res]]*Lookups!$M$28,-2)&lt;Grandview_Inventory[[#This Row],[min_res]],Grandview_Inventory[[#This Row],[min_res]],ROUND(Grandview_Inventory[[#This Row],[adj_res]]*Lookups!$M$28,-2))</f>
        <v>310000</v>
      </c>
      <c r="CD789">
        <f>Grandview_Inventory[[#This Row],[final_det]]+Grandview_Inventory[[#This Row],[final_res]]</f>
        <v>310000</v>
      </c>
      <c r="CE789">
        <f>Grandview_Inventory[[#This Row],[final_land]]+Grandview_Inventory[[#This Row],[final_imp]]+Grandview_Inventory[[#This Row],[crop_value]]</f>
        <v>373900</v>
      </c>
      <c r="CG789" t="str">
        <f t="shared" si="12"/>
        <v>update valuation set market_land =63900, market_bldg=310000, market_total =373900, market_mdno =401, market_date ='9/10/2023' where link_id = (select link_id from parcel where parcel_year = '2024' and parcel_id = '23092232406');</v>
      </c>
    </row>
    <row r="790" spans="1:85" x14ac:dyDescent="0.25">
      <c r="A790">
        <v>23092232407</v>
      </c>
      <c r="B790">
        <v>0.61</v>
      </c>
      <c r="C790">
        <v>26521</v>
      </c>
      <c r="D790" t="s">
        <v>129</v>
      </c>
      <c r="E790" t="s">
        <v>53</v>
      </c>
      <c r="F790" t="s">
        <v>53</v>
      </c>
      <c r="G790">
        <v>4</v>
      </c>
      <c r="H790" t="s">
        <v>54</v>
      </c>
      <c r="I790">
        <v>305200</v>
      </c>
      <c r="J790">
        <v>47000</v>
      </c>
      <c r="K790">
        <v>0.61</v>
      </c>
      <c r="L790">
        <f>IF(Grandview_Inventory[[#This Row],[parcel_acres]]-Grandview_Inventory[[#This Row],[non_valued_acres]] =0,0,LN(Grandview_Inventory[[#This Row],[parcel_acres]]-Grandview_Inventory[[#This Row],[non_valued_acres]]))</f>
        <v>-0.49429632181478012</v>
      </c>
      <c r="M790">
        <v>0</v>
      </c>
      <c r="N790">
        <v>0</v>
      </c>
      <c r="O790">
        <v>0</v>
      </c>
      <c r="P790">
        <v>13398.7528</v>
      </c>
      <c r="Q790">
        <v>63903</v>
      </c>
      <c r="R790">
        <f>(Grandview_Inventory[[#This Row],[ln_acres]]*Grandview_Inventory[[#This Row],[coeff]])+Grandview_Inventory[[#This Row],[const]]</f>
        <v>57280.04577405451</v>
      </c>
      <c r="S790" t="s">
        <v>74</v>
      </c>
      <c r="T790">
        <v>1</v>
      </c>
      <c r="U790" t="s">
        <v>65</v>
      </c>
      <c r="V790" t="s">
        <v>67</v>
      </c>
      <c r="W790">
        <v>0</v>
      </c>
      <c r="X790">
        <v>0</v>
      </c>
      <c r="Y790">
        <v>44</v>
      </c>
      <c r="Z790">
        <v>49</v>
      </c>
      <c r="AA790">
        <v>50</v>
      </c>
      <c r="AB790">
        <v>2500</v>
      </c>
      <c r="AC790">
        <v>2020</v>
      </c>
      <c r="AD790">
        <v>1448</v>
      </c>
      <c r="AE790">
        <v>0</v>
      </c>
      <c r="AF790">
        <v>0</v>
      </c>
      <c r="AG790">
        <v>572</v>
      </c>
      <c r="AH790">
        <v>0</v>
      </c>
      <c r="AI790">
        <v>432</v>
      </c>
      <c r="AJ790">
        <v>0</v>
      </c>
      <c r="AK790">
        <v>0</v>
      </c>
      <c r="AL790">
        <v>300</v>
      </c>
      <c r="AM790">
        <v>418</v>
      </c>
      <c r="AN790">
        <v>0</v>
      </c>
      <c r="AO790">
        <v>0</v>
      </c>
      <c r="AP790">
        <v>7</v>
      </c>
      <c r="AQ790">
        <v>1</v>
      </c>
      <c r="AR790">
        <v>1</v>
      </c>
      <c r="AS790" t="s">
        <v>58</v>
      </c>
      <c r="AT790">
        <v>1</v>
      </c>
      <c r="AU790" t="s">
        <v>63</v>
      </c>
      <c r="AV790" t="s">
        <v>60</v>
      </c>
      <c r="AW790">
        <v>1</v>
      </c>
      <c r="AX790">
        <v>3</v>
      </c>
      <c r="AY790">
        <v>0</v>
      </c>
      <c r="AZ790">
        <v>30500</v>
      </c>
      <c r="BA790">
        <v>100</v>
      </c>
      <c r="BB790">
        <v>100</v>
      </c>
      <c r="BC790">
        <v>100</v>
      </c>
      <c r="BD790">
        <v>100</v>
      </c>
      <c r="BE790">
        <v>1</v>
      </c>
      <c r="BF790">
        <v>15000</v>
      </c>
      <c r="BG790">
        <v>1000</v>
      </c>
      <c r="BH790" s="6">
        <f>Grandview_Inventory[[#This Row],[land_extract]]*Lookups!$B$3</f>
        <v>66519.162501285915</v>
      </c>
      <c r="BI790" s="6">
        <f>IF(Grandview_Inventory[[#This Row],[bldg_style]]="",0,Lookups!$B$2)</f>
        <v>155833.95000000001</v>
      </c>
      <c r="BJ790" s="6">
        <f>_xlfn.IFNA(VLOOKUP(Grandview_Inventory[[#This Row],[quality]],Lookups!$H$2:$J$14,3,FALSE),0)</f>
        <v>2251</v>
      </c>
      <c r="BK790" s="6">
        <f>_xlfn.IFNA(VLOOKUP(Grandview_Inventory[[#This Row],[condition]],Lookups!$H$17:$J$24,3,FALSE),0)</f>
        <v>22342</v>
      </c>
      <c r="BL790" s="6">
        <f>Grandview_Inventory[[#This Row],[Eff_Age]]*Lookups!$B$14</f>
        <v>-10523.330399999999</v>
      </c>
      <c r="BM790" s="6">
        <f>Grandview_Inventory[[#This Row],[living_area]]*Lookups!$B$15</f>
        <v>126009.32306000001</v>
      </c>
      <c r="BN790" s="6">
        <f>Grandview_Inventory[[#This Row],[Fin BSMT]]*Lookups!$B$16</f>
        <v>-15500.765280000001</v>
      </c>
      <c r="BO790" s="6">
        <f>(Grandview_Inventory[[#This Row],[att_gar]]+Grandview_Inventory[[#This Row],[bltin_gar]])*Lookups!$B$17</f>
        <v>37808.828783999998</v>
      </c>
      <c r="BP790" s="6">
        <f>Grandview_Inventory[[#This Row],[Plumbing Fixtures]]*Lookups!$B$18</f>
        <v>14073.0926</v>
      </c>
      <c r="BQ790" s="6">
        <f>Grandview_Inventory[[#This Row],[detatched_value]]*Lookups!$B$19</f>
        <v>25827.555550000001</v>
      </c>
      <c r="BR790" s="6">
        <f>SUM(Grandview_Inventory[[#This Row],[Intercept]:[det_value]])*Grandview_Inventory[[#This Row],[res_pct]]</f>
        <v>358121.65431399998</v>
      </c>
      <c r="BS790" s="6">
        <f>Grandview_Inventory[[#This Row],[land_value]]</f>
        <v>66519.162501285915</v>
      </c>
      <c r="BT790" s="4">
        <f>_xlfn.IFNA(VLOOKUP(Grandview_Inventory[[#This Row],[quality]],Lookups!$A$26:$C$33,3,FALSE),1)</f>
        <v>0.98763855981004833</v>
      </c>
      <c r="BU790" s="4">
        <f>_xlfn.IFNA(VLOOKUP(Grandview_Inventory[[#This Row],[condition]],Lookups!$A$37:$C$44,3,FALSE),1)</f>
        <v>0.97383723671140243</v>
      </c>
      <c r="BV790" s="4">
        <f>IF(Grandview_Inventory[[#This Row],[bldg_style]]="",1,_xlfn.IFNA(VLOOKUP(Grandview_Inventory[[#This Row],[decade]],Lookups!$F$29:$H$43,3,FALSE),1))</f>
        <v>0.9871940091910919</v>
      </c>
      <c r="BW790" s="4">
        <f>_xlfn.IFNA(VLOOKUP(Grandview_Inventory[[#This Row],[living_area_range]],Lookups!$F$47:$H$56,3,FALSE),1)</f>
        <v>0.95799442568048754</v>
      </c>
      <c r="BX790" s="4">
        <f>AVERAGE(Grandview_Inventory[[#This Row],[qual_adj]:[size_adj]])</f>
        <v>0.97666605784825755</v>
      </c>
      <c r="BY790" s="6">
        <f>IF(Grandview_Inventory[[#This Row],[pre_res]]&lt;0,0,Grandview_Inventory[[#This Row],[pre_res]]*Grandview_Inventory[[#This Row],[overall_adj]])</f>
        <v>349765.26434895082</v>
      </c>
      <c r="BZ790" s="6">
        <f>(Grandview_Inventory[[#This Row],[sum_land]]-IF(Grandview_Inventory[[#This Row],[no_utilities]]=1,12000,0))/IF(Grandview_Inventory[[#This Row],[unbuildable]]=1,2,1)</f>
        <v>66519.162501285915</v>
      </c>
      <c r="CA790">
        <f>IF(ROUND(Grandview_Inventory[[#This Row],[adj_land]]*Lookups!$M$28,-2)&lt;Grandview_Inventory[[#This Row],[min_land]],Grandview_Inventory[[#This Row],[min_land]],ROUND(Grandview_Inventory[[#This Row],[adj_land]]*Lookups!$M$28,-2))</f>
        <v>63200</v>
      </c>
      <c r="CB790">
        <f>ROUND(Grandview_Inventory[[#This Row],[det_value]]*Lookups!$M$28,-2)</f>
        <v>24500</v>
      </c>
      <c r="CC790">
        <f>IF(ROUND(Grandview_Inventory[[#This Row],[adj_res]]*Lookups!$M$28,-2)&lt;Grandview_Inventory[[#This Row],[min_res]],Grandview_Inventory[[#This Row],[min_res]],ROUND(Grandview_Inventory[[#This Row],[adj_res]]*Lookups!$M$28,-2))</f>
        <v>332300</v>
      </c>
      <c r="CD790">
        <f>Grandview_Inventory[[#This Row],[final_det]]+Grandview_Inventory[[#This Row],[final_res]]</f>
        <v>356800</v>
      </c>
      <c r="CE790">
        <f>Grandview_Inventory[[#This Row],[final_land]]+Grandview_Inventory[[#This Row],[final_imp]]+Grandview_Inventory[[#This Row],[crop_value]]</f>
        <v>420000</v>
      </c>
      <c r="CG790" t="str">
        <f t="shared" si="12"/>
        <v>update valuation set market_land =63200, market_bldg=356800, market_total =420000, market_mdno =401, market_date ='9/10/2023' where link_id = (select link_id from parcel where parcel_year = '2024' and parcel_id = '23092232407');</v>
      </c>
    </row>
    <row r="791" spans="1:85" x14ac:dyDescent="0.25">
      <c r="A791">
        <v>23092232408</v>
      </c>
      <c r="B791">
        <v>0.44</v>
      </c>
      <c r="C791">
        <v>19067</v>
      </c>
      <c r="D791" t="s">
        <v>129</v>
      </c>
      <c r="E791" t="s">
        <v>53</v>
      </c>
      <c r="F791" t="s">
        <v>53</v>
      </c>
      <c r="G791">
        <v>4</v>
      </c>
      <c r="H791" t="s">
        <v>54</v>
      </c>
      <c r="I791">
        <v>280800</v>
      </c>
      <c r="J791">
        <v>45900</v>
      </c>
      <c r="K791">
        <v>0.44</v>
      </c>
      <c r="L791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791">
        <v>0</v>
      </c>
      <c r="N791">
        <v>0</v>
      </c>
      <c r="O791">
        <v>0</v>
      </c>
      <c r="P791">
        <v>13398.7528</v>
      </c>
      <c r="Q791">
        <v>63903</v>
      </c>
      <c r="R791">
        <f>(Grandview_Inventory[[#This Row],[ln_acres]]*Grandview_Inventory[[#This Row],[coeff]])+Grandview_Inventory[[#This Row],[const]]</f>
        <v>52902.884529208815</v>
      </c>
      <c r="S791" t="s">
        <v>61</v>
      </c>
      <c r="T791">
        <v>1</v>
      </c>
      <c r="U791" t="s">
        <v>65</v>
      </c>
      <c r="V791" t="s">
        <v>67</v>
      </c>
      <c r="W791">
        <v>0</v>
      </c>
      <c r="X791">
        <v>0</v>
      </c>
      <c r="Y791">
        <v>45</v>
      </c>
      <c r="Z791">
        <v>50</v>
      </c>
      <c r="AA791">
        <v>50</v>
      </c>
      <c r="AB791">
        <v>2000</v>
      </c>
      <c r="AC791">
        <v>1804</v>
      </c>
      <c r="AD791">
        <v>1804</v>
      </c>
      <c r="AE791">
        <v>0</v>
      </c>
      <c r="AF791">
        <v>0</v>
      </c>
      <c r="AG791">
        <v>0</v>
      </c>
      <c r="AH791">
        <v>0</v>
      </c>
      <c r="AI791">
        <v>440</v>
      </c>
      <c r="AJ791">
        <v>0</v>
      </c>
      <c r="AK791">
        <v>0</v>
      </c>
      <c r="AL791">
        <v>0</v>
      </c>
      <c r="AM791">
        <v>806</v>
      </c>
      <c r="AN791">
        <v>0</v>
      </c>
      <c r="AO791">
        <v>72</v>
      </c>
      <c r="AP791">
        <v>11</v>
      </c>
      <c r="AQ791">
        <v>1</v>
      </c>
      <c r="AR791">
        <v>0</v>
      </c>
      <c r="AS791" t="s">
        <v>76</v>
      </c>
      <c r="AT791">
        <v>1</v>
      </c>
      <c r="AU791" t="s">
        <v>63</v>
      </c>
      <c r="AV791" t="s">
        <v>60</v>
      </c>
      <c r="AW791">
        <v>1</v>
      </c>
      <c r="AX791">
        <v>3</v>
      </c>
      <c r="AY791">
        <v>0</v>
      </c>
      <c r="AZ791">
        <v>0</v>
      </c>
      <c r="BA791">
        <v>100</v>
      </c>
      <c r="BB791">
        <v>100</v>
      </c>
      <c r="BC791">
        <v>100</v>
      </c>
      <c r="BD791">
        <v>100</v>
      </c>
      <c r="BE791">
        <v>1</v>
      </c>
      <c r="BF791">
        <v>15000</v>
      </c>
      <c r="BG791">
        <v>1000</v>
      </c>
      <c r="BH791" s="6">
        <f>Grandview_Inventory[[#This Row],[land_extract]]*Lookups!$B$3</f>
        <v>61435.976965981965</v>
      </c>
      <c r="BI791" s="6">
        <f>IF(Grandview_Inventory[[#This Row],[bldg_style]]="",0,Lookups!$B$2)</f>
        <v>155833.95000000001</v>
      </c>
      <c r="BJ791" s="6">
        <f>_xlfn.IFNA(VLOOKUP(Grandview_Inventory[[#This Row],[quality]],Lookups!$H$2:$J$14,3,FALSE),0)</f>
        <v>2251</v>
      </c>
      <c r="BK791" s="6">
        <f>_xlfn.IFNA(VLOOKUP(Grandview_Inventory[[#This Row],[condition]],Lookups!$H$17:$J$24,3,FALSE),0)</f>
        <v>22342</v>
      </c>
      <c r="BL791" s="6">
        <f>Grandview_Inventory[[#This Row],[Eff_Age]]*Lookups!$B$14</f>
        <v>-10762.496999999999</v>
      </c>
      <c r="BM791" s="6">
        <f>Grandview_Inventory[[#This Row],[living_area]]*Lookups!$B$15</f>
        <v>112535.058812</v>
      </c>
      <c r="BN791" s="6">
        <f>Grandview_Inventory[[#This Row],[Fin BSMT]]*Lookups!$B$16</f>
        <v>0</v>
      </c>
      <c r="BO791" s="6">
        <f>(Grandview_Inventory[[#This Row],[att_gar]]+Grandview_Inventory[[#This Row],[bltin_gar]])*Lookups!$B$17</f>
        <v>38508.992279999999</v>
      </c>
      <c r="BP791" s="6">
        <f>Grandview_Inventory[[#This Row],[Plumbing Fixtures]]*Lookups!$B$18</f>
        <v>22114.859800000002</v>
      </c>
      <c r="BQ791" s="6">
        <f>Grandview_Inventory[[#This Row],[detatched_value]]*Lookups!$B$19</f>
        <v>0</v>
      </c>
      <c r="BR791" s="6">
        <f>SUM(Grandview_Inventory[[#This Row],[Intercept]:[det_value]])*Grandview_Inventory[[#This Row],[res_pct]]</f>
        <v>342823.36389199999</v>
      </c>
      <c r="BS791" s="6">
        <f>Grandview_Inventory[[#This Row],[land_value]]</f>
        <v>61435.976965981965</v>
      </c>
      <c r="BT791" s="4">
        <f>_xlfn.IFNA(VLOOKUP(Grandview_Inventory[[#This Row],[quality]],Lookups!$A$26:$C$33,3,FALSE),1)</f>
        <v>0.98763855981004833</v>
      </c>
      <c r="BU791" s="4">
        <f>_xlfn.IFNA(VLOOKUP(Grandview_Inventory[[#This Row],[condition]],Lookups!$A$37:$C$44,3,FALSE),1)</f>
        <v>0.97383723671140243</v>
      </c>
      <c r="BV791" s="4">
        <f>IF(Grandview_Inventory[[#This Row],[bldg_style]]="",1,_xlfn.IFNA(VLOOKUP(Grandview_Inventory[[#This Row],[decade]],Lookups!$F$29:$H$43,3,FALSE),1))</f>
        <v>0.9871940091910919</v>
      </c>
      <c r="BW791" s="4">
        <f>_xlfn.IFNA(VLOOKUP(Grandview_Inventory[[#This Row],[living_area_range]],Lookups!$F$47:$H$56,3,FALSE),1)</f>
        <v>0.96120133463014379</v>
      </c>
      <c r="BX791" s="4">
        <f>AVERAGE(Grandview_Inventory[[#This Row],[qual_adj]:[size_adj]])</f>
        <v>0.97746778508567167</v>
      </c>
      <c r="BY791" s="6">
        <f>IF(Grandview_Inventory[[#This Row],[pre_res]]&lt;0,0,Grandview_Inventory[[#This Row],[pre_res]]*Grandview_Inventory[[#This Row],[overall_adj]])</f>
        <v>335098.79417913244</v>
      </c>
      <c r="BZ791" s="6">
        <f>(Grandview_Inventory[[#This Row],[sum_land]]-IF(Grandview_Inventory[[#This Row],[no_utilities]]=1,12000,0))/IF(Grandview_Inventory[[#This Row],[unbuildable]]=1,2,1)</f>
        <v>61435.976965981965</v>
      </c>
      <c r="CA791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791">
        <f>ROUND(Grandview_Inventory[[#This Row],[det_value]]*Lookups!$M$28,-2)</f>
        <v>0</v>
      </c>
      <c r="CC791">
        <f>IF(ROUND(Grandview_Inventory[[#This Row],[adj_res]]*Lookups!$M$28,-2)&lt;Grandview_Inventory[[#This Row],[min_res]],Grandview_Inventory[[#This Row],[min_res]],ROUND(Grandview_Inventory[[#This Row],[adj_res]]*Lookups!$M$28,-2))</f>
        <v>318300</v>
      </c>
      <c r="CD791">
        <f>Grandview_Inventory[[#This Row],[final_det]]+Grandview_Inventory[[#This Row],[final_res]]</f>
        <v>318300</v>
      </c>
      <c r="CE791">
        <f>Grandview_Inventory[[#This Row],[final_land]]+Grandview_Inventory[[#This Row],[final_imp]]+Grandview_Inventory[[#This Row],[crop_value]]</f>
        <v>376700</v>
      </c>
      <c r="CG791" t="str">
        <f t="shared" si="12"/>
        <v>update valuation set market_land =58400, market_bldg=318300, market_total =376700, market_mdno =401, market_date ='9/10/2023' where link_id = (select link_id from parcel where parcel_year = '2024' and parcel_id = '23092232408');</v>
      </c>
    </row>
    <row r="792" spans="1:85" x14ac:dyDescent="0.25">
      <c r="A792">
        <v>23092232409</v>
      </c>
      <c r="B792">
        <v>0.43</v>
      </c>
      <c r="C792">
        <v>18583</v>
      </c>
      <c r="D792" t="s">
        <v>129</v>
      </c>
      <c r="E792" t="s">
        <v>53</v>
      </c>
      <c r="F792" t="s">
        <v>53</v>
      </c>
      <c r="G792">
        <v>4</v>
      </c>
      <c r="H792" t="s">
        <v>54</v>
      </c>
      <c r="I792">
        <v>367500</v>
      </c>
      <c r="J792">
        <v>45900</v>
      </c>
      <c r="K792">
        <v>0.43</v>
      </c>
      <c r="L792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792">
        <v>0</v>
      </c>
      <c r="N792">
        <v>0</v>
      </c>
      <c r="O792">
        <v>0</v>
      </c>
      <c r="P792">
        <v>13398.7528</v>
      </c>
      <c r="Q792">
        <v>63903</v>
      </c>
      <c r="R792">
        <f>(Grandview_Inventory[[#This Row],[ln_acres]]*Grandview_Inventory[[#This Row],[coeff]])+Grandview_Inventory[[#This Row],[const]]</f>
        <v>52594.853657524982</v>
      </c>
      <c r="S792" t="s">
        <v>55</v>
      </c>
      <c r="T792">
        <v>2</v>
      </c>
      <c r="U792" t="s">
        <v>65</v>
      </c>
      <c r="V792" t="s">
        <v>67</v>
      </c>
      <c r="W792">
        <v>0</v>
      </c>
      <c r="X792">
        <v>0</v>
      </c>
      <c r="Y792">
        <v>45</v>
      </c>
      <c r="Z792">
        <v>50</v>
      </c>
      <c r="AA792">
        <v>50</v>
      </c>
      <c r="AB792">
        <v>2500</v>
      </c>
      <c r="AC792">
        <v>2497</v>
      </c>
      <c r="AD792">
        <v>1288</v>
      </c>
      <c r="AE792">
        <v>1209</v>
      </c>
      <c r="AF792">
        <v>0</v>
      </c>
      <c r="AG792">
        <v>0</v>
      </c>
      <c r="AH792">
        <v>0</v>
      </c>
      <c r="AI792">
        <v>0</v>
      </c>
      <c r="AJ792">
        <v>1218</v>
      </c>
      <c r="AK792">
        <v>0</v>
      </c>
      <c r="AL792">
        <v>0</v>
      </c>
      <c r="AM792">
        <v>346</v>
      </c>
      <c r="AN792">
        <v>0</v>
      </c>
      <c r="AO792">
        <v>162</v>
      </c>
      <c r="AP792">
        <v>13</v>
      </c>
      <c r="AQ792">
        <v>0</v>
      </c>
      <c r="AR792">
        <v>0</v>
      </c>
      <c r="AS792" t="s">
        <v>58</v>
      </c>
      <c r="AT792">
        <v>1</v>
      </c>
      <c r="AU792" t="s">
        <v>63</v>
      </c>
      <c r="AV792" t="s">
        <v>60</v>
      </c>
      <c r="AW792">
        <v>1</v>
      </c>
      <c r="AX792">
        <v>5</v>
      </c>
      <c r="AY792">
        <v>0</v>
      </c>
      <c r="AZ792">
        <v>18200</v>
      </c>
      <c r="BA792">
        <v>100</v>
      </c>
      <c r="BB792">
        <v>100</v>
      </c>
      <c r="BC792">
        <v>100</v>
      </c>
      <c r="BD792">
        <v>100</v>
      </c>
      <c r="BE792">
        <v>1</v>
      </c>
      <c r="BF792">
        <v>15000</v>
      </c>
      <c r="BG792">
        <v>1000</v>
      </c>
      <c r="BH792" s="6">
        <f>Grandview_Inventory[[#This Row],[land_extract]]*Lookups!$B$3</f>
        <v>61078.261546378882</v>
      </c>
      <c r="BI792" s="6">
        <f>IF(Grandview_Inventory[[#This Row],[bldg_style]]="",0,Lookups!$B$2)</f>
        <v>155833.95000000001</v>
      </c>
      <c r="BJ792" s="6">
        <f>_xlfn.IFNA(VLOOKUP(Grandview_Inventory[[#This Row],[quality]],Lookups!$H$2:$J$14,3,FALSE),0)</f>
        <v>2251</v>
      </c>
      <c r="BK792" s="6">
        <f>_xlfn.IFNA(VLOOKUP(Grandview_Inventory[[#This Row],[condition]],Lookups!$H$17:$J$24,3,FALSE),0)</f>
        <v>22342</v>
      </c>
      <c r="BL792" s="6">
        <f>Grandview_Inventory[[#This Row],[Eff_Age]]*Lookups!$B$14</f>
        <v>-10762.496999999999</v>
      </c>
      <c r="BM792" s="6">
        <f>Grandview_Inventory[[#This Row],[living_area]]*Lookups!$B$15</f>
        <v>155764.98994100001</v>
      </c>
      <c r="BN792" s="6">
        <f>Grandview_Inventory[[#This Row],[Fin BSMT]]*Lookups!$B$16</f>
        <v>0</v>
      </c>
      <c r="BO792" s="6">
        <f>(Grandview_Inventory[[#This Row],[att_gar]]+Grandview_Inventory[[#This Row],[bltin_gar]])*Lookups!$B$17</f>
        <v>106599.892266</v>
      </c>
      <c r="BP792" s="6">
        <f>Grandview_Inventory[[#This Row],[Plumbing Fixtures]]*Lookups!$B$18</f>
        <v>26135.743399999999</v>
      </c>
      <c r="BQ792" s="6">
        <f>Grandview_Inventory[[#This Row],[detatched_value]]*Lookups!$B$19</f>
        <v>15411.85282</v>
      </c>
      <c r="BR792" s="6">
        <f>SUM(Grandview_Inventory[[#This Row],[Intercept]:[det_value]])*Grandview_Inventory[[#This Row],[res_pct]]</f>
        <v>473576.93142699997</v>
      </c>
      <c r="BS792" s="6">
        <f>Grandview_Inventory[[#This Row],[land_value]]</f>
        <v>61078.261546378882</v>
      </c>
      <c r="BT792" s="4">
        <f>_xlfn.IFNA(VLOOKUP(Grandview_Inventory[[#This Row],[quality]],Lookups!$A$26:$C$33,3,FALSE),1)</f>
        <v>0.98763855981004833</v>
      </c>
      <c r="BU792" s="4">
        <f>_xlfn.IFNA(VLOOKUP(Grandview_Inventory[[#This Row],[condition]],Lookups!$A$37:$C$44,3,FALSE),1)</f>
        <v>0.97383723671140243</v>
      </c>
      <c r="BV792" s="4">
        <f>IF(Grandview_Inventory[[#This Row],[bldg_style]]="",1,_xlfn.IFNA(VLOOKUP(Grandview_Inventory[[#This Row],[decade]],Lookups!$F$29:$H$43,3,FALSE),1))</f>
        <v>0.9871940091910919</v>
      </c>
      <c r="BW792" s="4">
        <f>_xlfn.IFNA(VLOOKUP(Grandview_Inventory[[#This Row],[living_area_range]],Lookups!$F$47:$H$56,3,FALSE),1)</f>
        <v>0.95799442568048754</v>
      </c>
      <c r="BX792" s="4">
        <f>AVERAGE(Grandview_Inventory[[#This Row],[qual_adj]:[size_adj]])</f>
        <v>0.97666605784825755</v>
      </c>
      <c r="BY792" s="6">
        <f>IF(Grandview_Inventory[[#This Row],[pre_res]]&lt;0,0,Grandview_Inventory[[#This Row],[pre_res]]*Grandview_Inventory[[#This Row],[overall_adj]])</f>
        <v>462526.51470468263</v>
      </c>
      <c r="BZ792" s="6">
        <f>(Grandview_Inventory[[#This Row],[sum_land]]-IF(Grandview_Inventory[[#This Row],[no_utilities]]=1,12000,0))/IF(Grandview_Inventory[[#This Row],[unbuildable]]=1,2,1)</f>
        <v>61078.261546378882</v>
      </c>
      <c r="CA792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792">
        <f>ROUND(Grandview_Inventory[[#This Row],[det_value]]*Lookups!$M$28,-2)</f>
        <v>14600</v>
      </c>
      <c r="CC792">
        <f>IF(ROUND(Grandview_Inventory[[#This Row],[adj_res]]*Lookups!$M$28,-2)&lt;Grandview_Inventory[[#This Row],[min_res]],Grandview_Inventory[[#This Row],[min_res]],ROUND(Grandview_Inventory[[#This Row],[adj_res]]*Lookups!$M$28,-2))</f>
        <v>439400</v>
      </c>
      <c r="CD792">
        <f>Grandview_Inventory[[#This Row],[final_det]]+Grandview_Inventory[[#This Row],[final_res]]</f>
        <v>454000</v>
      </c>
      <c r="CE792">
        <f>Grandview_Inventory[[#This Row],[final_land]]+Grandview_Inventory[[#This Row],[final_imp]]+Grandview_Inventory[[#This Row],[crop_value]]</f>
        <v>512000</v>
      </c>
      <c r="CG792" t="str">
        <f t="shared" si="12"/>
        <v>update valuation set market_land =58000, market_bldg=454000, market_total =512000, market_mdno =401, market_date ='9/10/2023' where link_id = (select link_id from parcel where parcel_year = '2024' and parcel_id = '23092232409');</v>
      </c>
    </row>
    <row r="793" spans="1:85" x14ac:dyDescent="0.25">
      <c r="A793">
        <v>23092232410</v>
      </c>
      <c r="B793">
        <v>0.46</v>
      </c>
      <c r="C793">
        <v>20205</v>
      </c>
      <c r="D793" t="s">
        <v>129</v>
      </c>
      <c r="E793" t="s">
        <v>53</v>
      </c>
      <c r="F793" t="s">
        <v>53</v>
      </c>
      <c r="G793">
        <v>4</v>
      </c>
      <c r="H793" t="s">
        <v>54</v>
      </c>
      <c r="I793">
        <v>236700</v>
      </c>
      <c r="J793">
        <v>46100</v>
      </c>
      <c r="K793">
        <v>0.46</v>
      </c>
      <c r="L793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793">
        <v>0</v>
      </c>
      <c r="N793">
        <v>0</v>
      </c>
      <c r="O793">
        <v>0</v>
      </c>
      <c r="P793">
        <v>13398.7528</v>
      </c>
      <c r="Q793">
        <v>63903</v>
      </c>
      <c r="R793">
        <f>(Grandview_Inventory[[#This Row],[ln_acres]]*Grandview_Inventory[[#This Row],[coeff]])+Grandview_Inventory[[#This Row],[const]]</f>
        <v>53498.482707419709</v>
      </c>
      <c r="S793" t="s">
        <v>74</v>
      </c>
      <c r="T793">
        <v>1</v>
      </c>
      <c r="U793" t="s">
        <v>65</v>
      </c>
      <c r="V793" t="s">
        <v>69</v>
      </c>
      <c r="W793">
        <v>0</v>
      </c>
      <c r="X793">
        <v>0</v>
      </c>
      <c r="Y793">
        <v>45</v>
      </c>
      <c r="Z793">
        <v>50</v>
      </c>
      <c r="AA793">
        <v>50</v>
      </c>
      <c r="AB793">
        <v>2500</v>
      </c>
      <c r="AC793">
        <v>2204</v>
      </c>
      <c r="AD793">
        <v>1537</v>
      </c>
      <c r="AE793">
        <v>0</v>
      </c>
      <c r="AF793">
        <v>0</v>
      </c>
      <c r="AG793">
        <v>667</v>
      </c>
      <c r="AH793">
        <v>0</v>
      </c>
      <c r="AI793">
        <v>432</v>
      </c>
      <c r="AJ793">
        <v>0</v>
      </c>
      <c r="AK793">
        <v>0</v>
      </c>
      <c r="AL793">
        <v>0</v>
      </c>
      <c r="AM793">
        <v>240</v>
      </c>
      <c r="AN793">
        <v>0</v>
      </c>
      <c r="AO793">
        <v>0</v>
      </c>
      <c r="AP793">
        <v>8</v>
      </c>
      <c r="AQ793">
        <v>0</v>
      </c>
      <c r="AR793">
        <v>0</v>
      </c>
      <c r="AS793" t="s">
        <v>58</v>
      </c>
      <c r="AT793">
        <v>1</v>
      </c>
      <c r="AU793" t="s">
        <v>63</v>
      </c>
      <c r="AV793" t="s">
        <v>64</v>
      </c>
      <c r="AW793">
        <v>1</v>
      </c>
      <c r="AX793">
        <v>3</v>
      </c>
      <c r="AY793">
        <v>0</v>
      </c>
      <c r="AZ793">
        <v>0</v>
      </c>
      <c r="BA793">
        <v>100</v>
      </c>
      <c r="BB793">
        <v>100</v>
      </c>
      <c r="BC793">
        <v>100</v>
      </c>
      <c r="BD793">
        <v>100</v>
      </c>
      <c r="BE793">
        <v>1</v>
      </c>
      <c r="BF793">
        <v>15000</v>
      </c>
      <c r="BG793">
        <v>1000</v>
      </c>
      <c r="BH793" s="6">
        <f>Grandview_Inventory[[#This Row],[land_extract]]*Lookups!$B$3</f>
        <v>62127.643522223196</v>
      </c>
      <c r="BI793" s="6">
        <f>IF(Grandview_Inventory[[#This Row],[bldg_style]]="",0,Lookups!$B$2)</f>
        <v>155833.95000000001</v>
      </c>
      <c r="BJ793" s="6">
        <f>_xlfn.IFNA(VLOOKUP(Grandview_Inventory[[#This Row],[quality]],Lookups!$H$2:$J$14,3,FALSE),0)</f>
        <v>2251</v>
      </c>
      <c r="BK793" s="6">
        <f>_xlfn.IFNA(VLOOKUP(Grandview_Inventory[[#This Row],[condition]],Lookups!$H$17:$J$24,3,FALSE),0)</f>
        <v>-4503</v>
      </c>
      <c r="BL793" s="6">
        <f>Grandview_Inventory[[#This Row],[Eff_Age]]*Lookups!$B$14</f>
        <v>-10762.496999999999</v>
      </c>
      <c r="BM793" s="6">
        <f>Grandview_Inventory[[#This Row],[living_area]]*Lookups!$B$15</f>
        <v>137487.400012</v>
      </c>
      <c r="BN793" s="6">
        <f>Grandview_Inventory[[#This Row],[Fin BSMT]]*Lookups!$B$16</f>
        <v>-18075.193080000001</v>
      </c>
      <c r="BO793" s="6">
        <f>(Grandview_Inventory[[#This Row],[att_gar]]+Grandview_Inventory[[#This Row],[bltin_gar]])*Lookups!$B$17</f>
        <v>37808.828783999998</v>
      </c>
      <c r="BP793" s="6">
        <f>Grandview_Inventory[[#This Row],[Plumbing Fixtures]]*Lookups!$B$18</f>
        <v>16083.5344</v>
      </c>
      <c r="BQ793" s="6">
        <f>Grandview_Inventory[[#This Row],[detatched_value]]*Lookups!$B$19</f>
        <v>0</v>
      </c>
      <c r="BR793" s="6">
        <f>SUM(Grandview_Inventory[[#This Row],[Intercept]:[det_value]])*Grandview_Inventory[[#This Row],[res_pct]]</f>
        <v>316124.023116</v>
      </c>
      <c r="BS793" s="6">
        <f>Grandview_Inventory[[#This Row],[land_value]]</f>
        <v>62127.643522223196</v>
      </c>
      <c r="BT793" s="4">
        <f>_xlfn.IFNA(VLOOKUP(Grandview_Inventory[[#This Row],[quality]],Lookups!$A$26:$C$33,3,FALSE),1)</f>
        <v>0.98763855981004833</v>
      </c>
      <c r="BU793" s="4">
        <f>_xlfn.IFNA(VLOOKUP(Grandview_Inventory[[#This Row],[condition]],Lookups!$A$37:$C$44,3,FALSE),1)</f>
        <v>0.96469275950863709</v>
      </c>
      <c r="BV793" s="4">
        <f>IF(Grandview_Inventory[[#This Row],[bldg_style]]="",1,_xlfn.IFNA(VLOOKUP(Grandview_Inventory[[#This Row],[decade]],Lookups!$F$29:$H$43,3,FALSE),1))</f>
        <v>0.9871940091910919</v>
      </c>
      <c r="BW793" s="4">
        <f>_xlfn.IFNA(VLOOKUP(Grandview_Inventory[[#This Row],[living_area_range]],Lookups!$F$47:$H$56,3,FALSE),1)</f>
        <v>0.95799442568048754</v>
      </c>
      <c r="BX793" s="4">
        <f>AVERAGE(Grandview_Inventory[[#This Row],[qual_adj]:[size_adj]])</f>
        <v>0.97437993854756622</v>
      </c>
      <c r="BY793" s="6">
        <f>IF(Grandview_Inventory[[#This Row],[pre_res]]&lt;0,0,Grandview_Inventory[[#This Row],[pre_res]]*Grandview_Inventory[[#This Row],[overall_adj]])</f>
        <v>308024.90621717746</v>
      </c>
      <c r="BZ793" s="6">
        <f>(Grandview_Inventory[[#This Row],[sum_land]]-IF(Grandview_Inventory[[#This Row],[no_utilities]]=1,12000,0))/IF(Grandview_Inventory[[#This Row],[unbuildable]]=1,2,1)</f>
        <v>62127.643522223196</v>
      </c>
      <c r="CA793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793">
        <f>ROUND(Grandview_Inventory[[#This Row],[det_value]]*Lookups!$M$28,-2)</f>
        <v>0</v>
      </c>
      <c r="CC793">
        <f>IF(ROUND(Grandview_Inventory[[#This Row],[adj_res]]*Lookups!$M$28,-2)&lt;Grandview_Inventory[[#This Row],[min_res]],Grandview_Inventory[[#This Row],[min_res]],ROUND(Grandview_Inventory[[#This Row],[adj_res]]*Lookups!$M$28,-2))</f>
        <v>292600</v>
      </c>
      <c r="CD793">
        <f>Grandview_Inventory[[#This Row],[final_det]]+Grandview_Inventory[[#This Row],[final_res]]</f>
        <v>292600</v>
      </c>
      <c r="CE793">
        <f>Grandview_Inventory[[#This Row],[final_land]]+Grandview_Inventory[[#This Row],[final_imp]]+Grandview_Inventory[[#This Row],[crop_value]]</f>
        <v>351600</v>
      </c>
      <c r="CG793" t="str">
        <f t="shared" si="12"/>
        <v>update valuation set market_land =59000, market_bldg=292600, market_total =351600, market_mdno =401, market_date ='9/10/2023' where link_id = (select link_id from parcel where parcel_year = '2024' and parcel_id = '23092232410');</v>
      </c>
    </row>
    <row r="794" spans="1:85" x14ac:dyDescent="0.25">
      <c r="A794">
        <v>23092232411</v>
      </c>
      <c r="B794">
        <v>0.45</v>
      </c>
      <c r="C794">
        <v>19662</v>
      </c>
      <c r="D794" t="s">
        <v>129</v>
      </c>
      <c r="E794" t="s">
        <v>53</v>
      </c>
      <c r="F794" t="s">
        <v>53</v>
      </c>
      <c r="G794">
        <v>4</v>
      </c>
      <c r="H794" t="s">
        <v>54</v>
      </c>
      <c r="I794">
        <v>213200</v>
      </c>
      <c r="J794">
        <v>45900</v>
      </c>
      <c r="K794">
        <v>0.45</v>
      </c>
      <c r="L794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794">
        <v>0</v>
      </c>
      <c r="N794">
        <v>0</v>
      </c>
      <c r="O794">
        <v>0</v>
      </c>
      <c r="P794">
        <v>13398.7528</v>
      </c>
      <c r="Q794">
        <v>63903</v>
      </c>
      <c r="R794">
        <f>(Grandview_Inventory[[#This Row],[ln_acres]]*Grandview_Inventory[[#This Row],[coeff]])+Grandview_Inventory[[#This Row],[const]]</f>
        <v>53203.992769480581</v>
      </c>
      <c r="S794" t="s">
        <v>61</v>
      </c>
      <c r="T794">
        <v>1</v>
      </c>
      <c r="U794" t="s">
        <v>65</v>
      </c>
      <c r="V794" t="s">
        <v>69</v>
      </c>
      <c r="W794">
        <v>0</v>
      </c>
      <c r="X794">
        <v>0</v>
      </c>
      <c r="Y794">
        <v>45</v>
      </c>
      <c r="Z794">
        <v>50</v>
      </c>
      <c r="AA794">
        <v>50</v>
      </c>
      <c r="AB794">
        <v>2500</v>
      </c>
      <c r="AC794">
        <v>2310</v>
      </c>
      <c r="AD794">
        <v>2070</v>
      </c>
      <c r="AE794">
        <v>240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497</v>
      </c>
      <c r="AM794">
        <v>0</v>
      </c>
      <c r="AN794">
        <v>132</v>
      </c>
      <c r="AO794">
        <v>416</v>
      </c>
      <c r="AP794">
        <v>11</v>
      </c>
      <c r="AQ794">
        <v>0</v>
      </c>
      <c r="AR794">
        <v>1</v>
      </c>
      <c r="AS794" t="s">
        <v>58</v>
      </c>
      <c r="AT794">
        <v>1</v>
      </c>
      <c r="AU794" t="s">
        <v>63</v>
      </c>
      <c r="AV794" t="s">
        <v>64</v>
      </c>
      <c r="AW794">
        <v>1</v>
      </c>
      <c r="AX794">
        <v>3</v>
      </c>
      <c r="AY794">
        <v>0</v>
      </c>
      <c r="AZ794">
        <v>0</v>
      </c>
      <c r="BA794">
        <v>100</v>
      </c>
      <c r="BB794">
        <v>100</v>
      </c>
      <c r="BC794">
        <v>100</v>
      </c>
      <c r="BD794">
        <v>100</v>
      </c>
      <c r="BE794">
        <v>1</v>
      </c>
      <c r="BF794">
        <v>15000</v>
      </c>
      <c r="BG794">
        <v>1000</v>
      </c>
      <c r="BH794" s="6">
        <f>Grandview_Inventory[[#This Row],[land_extract]]*Lookups!$B$3</f>
        <v>61785.653152417319</v>
      </c>
      <c r="BI794" s="6">
        <f>IF(Grandview_Inventory[[#This Row],[bldg_style]]="",0,Lookups!$B$2)</f>
        <v>155833.95000000001</v>
      </c>
      <c r="BJ794" s="6">
        <f>_xlfn.IFNA(VLOOKUP(Grandview_Inventory[[#This Row],[quality]],Lookups!$H$2:$J$14,3,FALSE),0)</f>
        <v>2251</v>
      </c>
      <c r="BK794" s="6">
        <f>_xlfn.IFNA(VLOOKUP(Grandview_Inventory[[#This Row],[condition]],Lookups!$H$17:$J$24,3,FALSE),0)</f>
        <v>-4503</v>
      </c>
      <c r="BL794" s="6">
        <f>Grandview_Inventory[[#This Row],[Eff_Age]]*Lookups!$B$14</f>
        <v>-10762.496999999999</v>
      </c>
      <c r="BM794" s="6">
        <f>Grandview_Inventory[[#This Row],[living_area]]*Lookups!$B$15</f>
        <v>144099.77043</v>
      </c>
      <c r="BN794" s="6">
        <f>Grandview_Inventory[[#This Row],[Fin BSMT]]*Lookups!$B$16</f>
        <v>0</v>
      </c>
      <c r="BO794" s="6">
        <f>(Grandview_Inventory[[#This Row],[att_gar]]+Grandview_Inventory[[#This Row],[bltin_gar]])*Lookups!$B$17</f>
        <v>0</v>
      </c>
      <c r="BP794" s="6">
        <f>Grandview_Inventory[[#This Row],[Plumbing Fixtures]]*Lookups!$B$18</f>
        <v>22114.859800000002</v>
      </c>
      <c r="BQ794" s="6">
        <f>Grandview_Inventory[[#This Row],[detatched_value]]*Lookups!$B$19</f>
        <v>0</v>
      </c>
      <c r="BR794" s="6">
        <f>SUM(Grandview_Inventory[[#This Row],[Intercept]:[det_value]])*Grandview_Inventory[[#This Row],[res_pct]]</f>
        <v>309034.08322999999</v>
      </c>
      <c r="BS794" s="6">
        <f>Grandview_Inventory[[#This Row],[land_value]]</f>
        <v>61785.653152417319</v>
      </c>
      <c r="BT794" s="4">
        <f>_xlfn.IFNA(VLOOKUP(Grandview_Inventory[[#This Row],[quality]],Lookups!$A$26:$C$33,3,FALSE),1)</f>
        <v>0.98763855981004833</v>
      </c>
      <c r="BU794" s="4">
        <f>_xlfn.IFNA(VLOOKUP(Grandview_Inventory[[#This Row],[condition]],Lookups!$A$37:$C$44,3,FALSE),1)</f>
        <v>0.96469275950863709</v>
      </c>
      <c r="BV794" s="4">
        <f>IF(Grandview_Inventory[[#This Row],[bldg_style]]="",1,_xlfn.IFNA(VLOOKUP(Grandview_Inventory[[#This Row],[decade]],Lookups!$F$29:$H$43,3,FALSE),1))</f>
        <v>0.9871940091910919</v>
      </c>
      <c r="BW794" s="4">
        <f>_xlfn.IFNA(VLOOKUP(Grandview_Inventory[[#This Row],[living_area_range]],Lookups!$F$47:$H$56,3,FALSE),1)</f>
        <v>0.95799442568048754</v>
      </c>
      <c r="BX794" s="4">
        <f>AVERAGE(Grandview_Inventory[[#This Row],[qual_adj]:[size_adj]])</f>
        <v>0.97437993854756622</v>
      </c>
      <c r="BY794" s="6">
        <f>IF(Grandview_Inventory[[#This Row],[pre_res]]&lt;0,0,Grandview_Inventory[[#This Row],[pre_res]]*Grandview_Inventory[[#This Row],[overall_adj]])</f>
        <v>301116.61102675088</v>
      </c>
      <c r="BZ794" s="6">
        <f>(Grandview_Inventory[[#This Row],[sum_land]]-IF(Grandview_Inventory[[#This Row],[no_utilities]]=1,12000,0))/IF(Grandview_Inventory[[#This Row],[unbuildable]]=1,2,1)</f>
        <v>61785.653152417319</v>
      </c>
      <c r="CA794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794">
        <f>ROUND(Grandview_Inventory[[#This Row],[det_value]]*Lookups!$M$28,-2)</f>
        <v>0</v>
      </c>
      <c r="CC794">
        <f>IF(ROUND(Grandview_Inventory[[#This Row],[adj_res]]*Lookups!$M$28,-2)&lt;Grandview_Inventory[[#This Row],[min_res]],Grandview_Inventory[[#This Row],[min_res]],ROUND(Grandview_Inventory[[#This Row],[adj_res]]*Lookups!$M$28,-2))</f>
        <v>286100</v>
      </c>
      <c r="CD794">
        <f>Grandview_Inventory[[#This Row],[final_det]]+Grandview_Inventory[[#This Row],[final_res]]</f>
        <v>286100</v>
      </c>
      <c r="CE794">
        <f>Grandview_Inventory[[#This Row],[final_land]]+Grandview_Inventory[[#This Row],[final_imp]]+Grandview_Inventory[[#This Row],[crop_value]]</f>
        <v>344800</v>
      </c>
      <c r="CG794" t="str">
        <f t="shared" si="12"/>
        <v>update valuation set market_land =58700, market_bldg=286100, market_total =344800, market_mdno =401, market_date ='9/10/2023' where link_id = (select link_id from parcel where parcel_year = '2024' and parcel_id = '23092232411');</v>
      </c>
    </row>
    <row r="795" spans="1:85" x14ac:dyDescent="0.25">
      <c r="A795">
        <v>23092232412</v>
      </c>
      <c r="B795">
        <v>0.56000000000000005</v>
      </c>
      <c r="C795">
        <v>24393</v>
      </c>
      <c r="D795" t="s">
        <v>129</v>
      </c>
      <c r="E795" t="s">
        <v>53</v>
      </c>
      <c r="F795" t="s">
        <v>53</v>
      </c>
      <c r="G795">
        <v>4</v>
      </c>
      <c r="H795" t="s">
        <v>54</v>
      </c>
      <c r="I795">
        <v>210000</v>
      </c>
      <c r="J795">
        <v>46800</v>
      </c>
      <c r="K795">
        <v>0.56000000000000005</v>
      </c>
      <c r="L795">
        <f>IF(Grandview_Inventory[[#This Row],[parcel_acres]]-Grandview_Inventory[[#This Row],[non_valued_acres]] =0,0,LN(Grandview_Inventory[[#This Row],[parcel_acres]]-Grandview_Inventory[[#This Row],[non_valued_acres]]))</f>
        <v>-0.57981849525294205</v>
      </c>
      <c r="M795">
        <v>0</v>
      </c>
      <c r="N795">
        <v>0</v>
      </c>
      <c r="O795">
        <v>0</v>
      </c>
      <c r="P795">
        <v>13398.7528</v>
      </c>
      <c r="Q795">
        <v>63903</v>
      </c>
      <c r="R795">
        <f>(Grandview_Inventory[[#This Row],[ln_acres]]*Grandview_Inventory[[#This Row],[coeff]])+Grandview_Inventory[[#This Row],[const]]</f>
        <v>56134.155313237854</v>
      </c>
      <c r="S795" t="s">
        <v>61</v>
      </c>
      <c r="T795">
        <v>1</v>
      </c>
      <c r="U795" t="s">
        <v>65</v>
      </c>
      <c r="V795" t="s">
        <v>69</v>
      </c>
      <c r="W795">
        <v>0</v>
      </c>
      <c r="X795">
        <v>0</v>
      </c>
      <c r="Y795">
        <v>45</v>
      </c>
      <c r="Z795">
        <v>51</v>
      </c>
      <c r="AA795">
        <v>60</v>
      </c>
      <c r="AB795">
        <v>3000</v>
      </c>
      <c r="AC795">
        <v>2800</v>
      </c>
      <c r="AD795">
        <v>1400</v>
      </c>
      <c r="AE795">
        <v>0</v>
      </c>
      <c r="AF795">
        <v>0</v>
      </c>
      <c r="AG795">
        <v>1400</v>
      </c>
      <c r="AH795">
        <v>0</v>
      </c>
      <c r="AI795">
        <v>468</v>
      </c>
      <c r="AJ795">
        <v>0</v>
      </c>
      <c r="AK795">
        <v>0</v>
      </c>
      <c r="AL795">
        <v>320</v>
      </c>
      <c r="AM795">
        <v>2026</v>
      </c>
      <c r="AN795">
        <v>0</v>
      </c>
      <c r="AO795">
        <v>896</v>
      </c>
      <c r="AP795">
        <v>7</v>
      </c>
      <c r="AQ795">
        <v>0</v>
      </c>
      <c r="AR795">
        <v>0</v>
      </c>
      <c r="AS795" t="s">
        <v>58</v>
      </c>
      <c r="AT795">
        <v>1</v>
      </c>
      <c r="AU795" t="s">
        <v>63</v>
      </c>
      <c r="AV795" t="s">
        <v>64</v>
      </c>
      <c r="AW795">
        <v>1</v>
      </c>
      <c r="AX795">
        <v>3</v>
      </c>
      <c r="AY795">
        <v>0</v>
      </c>
      <c r="AZ795">
        <v>0</v>
      </c>
      <c r="BA795">
        <v>100</v>
      </c>
      <c r="BB795">
        <v>100</v>
      </c>
      <c r="BC795">
        <v>100</v>
      </c>
      <c r="BD795">
        <v>100</v>
      </c>
      <c r="BE795">
        <v>1</v>
      </c>
      <c r="BF795">
        <v>15000</v>
      </c>
      <c r="BG795">
        <v>1000</v>
      </c>
      <c r="BH795" s="6">
        <f>Grandview_Inventory[[#This Row],[land_extract]]*Lookups!$B$3</f>
        <v>65188.443003043772</v>
      </c>
      <c r="BI795" s="6">
        <f>IF(Grandview_Inventory[[#This Row],[bldg_style]]="",0,Lookups!$B$2)</f>
        <v>155833.95000000001</v>
      </c>
      <c r="BJ795" s="6">
        <f>_xlfn.IFNA(VLOOKUP(Grandview_Inventory[[#This Row],[quality]],Lookups!$H$2:$J$14,3,FALSE),0)</f>
        <v>2251</v>
      </c>
      <c r="BK795" s="6">
        <f>_xlfn.IFNA(VLOOKUP(Grandview_Inventory[[#This Row],[condition]],Lookups!$H$17:$J$24,3,FALSE),0)</f>
        <v>-4503</v>
      </c>
      <c r="BL795" s="6">
        <f>Grandview_Inventory[[#This Row],[Eff_Age]]*Lookups!$B$14</f>
        <v>-10762.496999999999</v>
      </c>
      <c r="BM795" s="6">
        <f>Grandview_Inventory[[#This Row],[living_area]]*Lookups!$B$15</f>
        <v>174666.3884</v>
      </c>
      <c r="BN795" s="6">
        <f>Grandview_Inventory[[#This Row],[Fin BSMT]]*Lookups!$B$16</f>
        <v>-37938.936000000002</v>
      </c>
      <c r="BO795" s="6">
        <f>(Grandview_Inventory[[#This Row],[att_gar]]+Grandview_Inventory[[#This Row],[bltin_gar]])*Lookups!$B$17</f>
        <v>40959.564515999999</v>
      </c>
      <c r="BP795" s="6">
        <f>Grandview_Inventory[[#This Row],[Plumbing Fixtures]]*Lookups!$B$18</f>
        <v>14073.0926</v>
      </c>
      <c r="BQ795" s="6">
        <f>Grandview_Inventory[[#This Row],[detatched_value]]*Lookups!$B$19</f>
        <v>0</v>
      </c>
      <c r="BR795" s="6">
        <f>SUM(Grandview_Inventory[[#This Row],[Intercept]:[det_value]])*Grandview_Inventory[[#This Row],[res_pct]]</f>
        <v>334579.56251600001</v>
      </c>
      <c r="BS795" s="6">
        <f>Grandview_Inventory[[#This Row],[land_value]]</f>
        <v>65188.443003043772</v>
      </c>
      <c r="BT795" s="4">
        <f>_xlfn.IFNA(VLOOKUP(Grandview_Inventory[[#This Row],[quality]],Lookups!$A$26:$C$33,3,FALSE),1)</f>
        <v>0.98763855981004833</v>
      </c>
      <c r="BU795" s="4">
        <f>_xlfn.IFNA(VLOOKUP(Grandview_Inventory[[#This Row],[condition]],Lookups!$A$37:$C$44,3,FALSE),1)</f>
        <v>0.96469275950863709</v>
      </c>
      <c r="BV795" s="4">
        <f>IF(Grandview_Inventory[[#This Row],[bldg_style]]="",1,_xlfn.IFNA(VLOOKUP(Grandview_Inventory[[#This Row],[decade]],Lookups!$F$29:$H$43,3,FALSE),1))</f>
        <v>0.95268620544463312</v>
      </c>
      <c r="BW795" s="4">
        <f>_xlfn.IFNA(VLOOKUP(Grandview_Inventory[[#This Row],[living_area_range]],Lookups!$F$47:$H$56,3,FALSE),1)</f>
        <v>0.94224801443562123</v>
      </c>
      <c r="BX795" s="4">
        <f>AVERAGE(Grandview_Inventory[[#This Row],[qual_adj]:[size_adj]])</f>
        <v>0.96181638479973497</v>
      </c>
      <c r="BY795" s="6">
        <f>IF(Grandview_Inventory[[#This Row],[pre_res]]&lt;0,0,Grandview_Inventory[[#This Row],[pre_res]]*Grandview_Inventory[[#This Row],[overall_adj]])</f>
        <v>321804.10524701606</v>
      </c>
      <c r="BZ795" s="6">
        <f>(Grandview_Inventory[[#This Row],[sum_land]]-IF(Grandview_Inventory[[#This Row],[no_utilities]]=1,12000,0))/IF(Grandview_Inventory[[#This Row],[unbuildable]]=1,2,1)</f>
        <v>65188.443003043772</v>
      </c>
      <c r="CA795">
        <f>IF(ROUND(Grandview_Inventory[[#This Row],[adj_land]]*Lookups!$M$28,-2)&lt;Grandview_Inventory[[#This Row],[min_land]],Grandview_Inventory[[#This Row],[min_land]],ROUND(Grandview_Inventory[[#This Row],[adj_land]]*Lookups!$M$28,-2))</f>
        <v>61900</v>
      </c>
      <c r="CB795">
        <f>ROUND(Grandview_Inventory[[#This Row],[det_value]]*Lookups!$M$28,-2)</f>
        <v>0</v>
      </c>
      <c r="CC795">
        <f>IF(ROUND(Grandview_Inventory[[#This Row],[adj_res]]*Lookups!$M$28,-2)&lt;Grandview_Inventory[[#This Row],[min_res]],Grandview_Inventory[[#This Row],[min_res]],ROUND(Grandview_Inventory[[#This Row],[adj_res]]*Lookups!$M$28,-2))</f>
        <v>305700</v>
      </c>
      <c r="CD795">
        <f>Grandview_Inventory[[#This Row],[final_det]]+Grandview_Inventory[[#This Row],[final_res]]</f>
        <v>305700</v>
      </c>
      <c r="CE795">
        <f>Grandview_Inventory[[#This Row],[final_land]]+Grandview_Inventory[[#This Row],[final_imp]]+Grandview_Inventory[[#This Row],[crop_value]]</f>
        <v>367600</v>
      </c>
      <c r="CG795" t="str">
        <f t="shared" si="12"/>
        <v>update valuation set market_land =61900, market_bldg=305700, market_total =367600, market_mdno =401, market_date ='9/10/2023' where link_id = (select link_id from parcel where parcel_year = '2024' and parcel_id = '23092232412');</v>
      </c>
    </row>
    <row r="796" spans="1:85" x14ac:dyDescent="0.25">
      <c r="A796">
        <v>23092232415</v>
      </c>
      <c r="B796">
        <v>0.45</v>
      </c>
      <c r="C796">
        <v>19598</v>
      </c>
      <c r="D796" t="s">
        <v>129</v>
      </c>
      <c r="E796" t="s">
        <v>53</v>
      </c>
      <c r="F796" t="s">
        <v>53</v>
      </c>
      <c r="G796">
        <v>4</v>
      </c>
      <c r="H796" t="s">
        <v>54</v>
      </c>
      <c r="I796">
        <v>152100</v>
      </c>
      <c r="J796">
        <v>46100</v>
      </c>
      <c r="K796">
        <v>0.45</v>
      </c>
      <c r="L796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796">
        <v>0</v>
      </c>
      <c r="N796">
        <v>0</v>
      </c>
      <c r="O796">
        <v>0</v>
      </c>
      <c r="P796">
        <v>13398.7528</v>
      </c>
      <c r="Q796">
        <v>63903</v>
      </c>
      <c r="R796">
        <f>(Grandview_Inventory[[#This Row],[ln_acres]]*Grandview_Inventory[[#This Row],[coeff]])+Grandview_Inventory[[#This Row],[const]]</f>
        <v>53203.992769480581</v>
      </c>
      <c r="S796" t="s">
        <v>61</v>
      </c>
      <c r="T796">
        <v>1</v>
      </c>
      <c r="U796" t="s">
        <v>65</v>
      </c>
      <c r="V796" t="s">
        <v>69</v>
      </c>
      <c r="W796">
        <v>0</v>
      </c>
      <c r="X796">
        <v>0</v>
      </c>
      <c r="Y796">
        <v>47</v>
      </c>
      <c r="Z796">
        <v>58</v>
      </c>
      <c r="AA796">
        <v>60</v>
      </c>
      <c r="AB796">
        <v>2500</v>
      </c>
      <c r="AC796">
        <v>2288</v>
      </c>
      <c r="AD796">
        <v>1144</v>
      </c>
      <c r="AE796">
        <v>0</v>
      </c>
      <c r="AF796">
        <v>0</v>
      </c>
      <c r="AG796">
        <v>1144</v>
      </c>
      <c r="AH796">
        <v>0</v>
      </c>
      <c r="AI796">
        <v>0</v>
      </c>
      <c r="AJ796">
        <v>0</v>
      </c>
      <c r="AK796">
        <v>0</v>
      </c>
      <c r="AL796">
        <v>204</v>
      </c>
      <c r="AM796">
        <v>0</v>
      </c>
      <c r="AN796">
        <v>0</v>
      </c>
      <c r="AO796">
        <v>0</v>
      </c>
      <c r="AP796">
        <v>8</v>
      </c>
      <c r="AQ796">
        <v>0</v>
      </c>
      <c r="AR796">
        <v>0</v>
      </c>
      <c r="AS796" t="s">
        <v>58</v>
      </c>
      <c r="AT796">
        <v>1</v>
      </c>
      <c r="AU796" t="s">
        <v>63</v>
      </c>
      <c r="AV796" t="s">
        <v>64</v>
      </c>
      <c r="AW796">
        <v>0</v>
      </c>
      <c r="AX796">
        <v>3</v>
      </c>
      <c r="AY796">
        <v>0</v>
      </c>
      <c r="AZ796">
        <v>4300</v>
      </c>
      <c r="BA796">
        <v>100</v>
      </c>
      <c r="BB796">
        <v>100</v>
      </c>
      <c r="BC796">
        <v>100</v>
      </c>
      <c r="BD796">
        <v>100</v>
      </c>
      <c r="BE796">
        <v>1</v>
      </c>
      <c r="BF796">
        <v>15000</v>
      </c>
      <c r="BG796">
        <v>1000</v>
      </c>
      <c r="BH796" s="6">
        <f>Grandview_Inventory[[#This Row],[land_extract]]*Lookups!$B$3</f>
        <v>61785.653152417319</v>
      </c>
      <c r="BI796" s="6">
        <f>IF(Grandview_Inventory[[#This Row],[bldg_style]]="",0,Lookups!$B$2)</f>
        <v>155833.95000000001</v>
      </c>
      <c r="BJ796" s="6">
        <f>_xlfn.IFNA(VLOOKUP(Grandview_Inventory[[#This Row],[quality]],Lookups!$H$2:$J$14,3,FALSE),0)</f>
        <v>2251</v>
      </c>
      <c r="BK796" s="6">
        <f>_xlfn.IFNA(VLOOKUP(Grandview_Inventory[[#This Row],[condition]],Lookups!$H$17:$J$24,3,FALSE),0)</f>
        <v>-4503</v>
      </c>
      <c r="BL796" s="6">
        <f>Grandview_Inventory[[#This Row],[Eff_Age]]*Lookups!$B$14</f>
        <v>-11240.8302</v>
      </c>
      <c r="BM796" s="6">
        <f>Grandview_Inventory[[#This Row],[living_area]]*Lookups!$B$15</f>
        <v>142727.391664</v>
      </c>
      <c r="BN796" s="6">
        <f>Grandview_Inventory[[#This Row],[Fin BSMT]]*Lookups!$B$16</f>
        <v>-31001.530560000003</v>
      </c>
      <c r="BO796" s="6">
        <f>(Grandview_Inventory[[#This Row],[att_gar]]+Grandview_Inventory[[#This Row],[bltin_gar]])*Lookups!$B$17</f>
        <v>0</v>
      </c>
      <c r="BP796" s="6">
        <f>Grandview_Inventory[[#This Row],[Plumbing Fixtures]]*Lookups!$B$18</f>
        <v>16083.5344</v>
      </c>
      <c r="BQ796" s="6">
        <f>Grandview_Inventory[[#This Row],[detatched_value]]*Lookups!$B$19</f>
        <v>3641.2619300000001</v>
      </c>
      <c r="BR796" s="6">
        <f>SUM(Grandview_Inventory[[#This Row],[Intercept]:[det_value]])*Grandview_Inventory[[#This Row],[res_pct]]</f>
        <v>273791.77723399992</v>
      </c>
      <c r="BS796" s="6">
        <f>Grandview_Inventory[[#This Row],[land_value]]</f>
        <v>61785.653152417319</v>
      </c>
      <c r="BT796" s="4">
        <f>_xlfn.IFNA(VLOOKUP(Grandview_Inventory[[#This Row],[quality]],Lookups!$A$26:$C$33,3,FALSE),1)</f>
        <v>0.98763855981004833</v>
      </c>
      <c r="BU796" s="4">
        <f>_xlfn.IFNA(VLOOKUP(Grandview_Inventory[[#This Row],[condition]],Lookups!$A$37:$C$44,3,FALSE),1)</f>
        <v>0.96469275950863709</v>
      </c>
      <c r="BV796" s="4">
        <f>IF(Grandview_Inventory[[#This Row],[bldg_style]]="",1,_xlfn.IFNA(VLOOKUP(Grandview_Inventory[[#This Row],[decade]],Lookups!$F$29:$H$43,3,FALSE),1))</f>
        <v>0.95268620544463312</v>
      </c>
      <c r="BW796" s="4">
        <f>_xlfn.IFNA(VLOOKUP(Grandview_Inventory[[#This Row],[living_area_range]],Lookups!$F$47:$H$56,3,FALSE),1)</f>
        <v>0.95799442568048754</v>
      </c>
      <c r="BX796" s="4">
        <f>AVERAGE(Grandview_Inventory[[#This Row],[qual_adj]:[size_adj]])</f>
        <v>0.96575298761095152</v>
      </c>
      <c r="BY796" s="6">
        <f>IF(Grandview_Inventory[[#This Row],[pre_res]]&lt;0,0,Grandview_Inventory[[#This Row],[pre_res]]*Grandview_Inventory[[#This Row],[overall_adj]])</f>
        <v>264415.22684704751</v>
      </c>
      <c r="BZ796" s="6">
        <f>(Grandview_Inventory[[#This Row],[sum_land]]-IF(Grandview_Inventory[[#This Row],[no_utilities]]=1,12000,0))/IF(Grandview_Inventory[[#This Row],[unbuildable]]=1,2,1)</f>
        <v>61785.653152417319</v>
      </c>
      <c r="CA796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796">
        <f>ROUND(Grandview_Inventory[[#This Row],[det_value]]*Lookups!$M$28,-2)</f>
        <v>3500</v>
      </c>
      <c r="CC796">
        <f>IF(ROUND(Grandview_Inventory[[#This Row],[adj_res]]*Lookups!$M$28,-2)&lt;Grandview_Inventory[[#This Row],[min_res]],Grandview_Inventory[[#This Row],[min_res]],ROUND(Grandview_Inventory[[#This Row],[adj_res]]*Lookups!$M$28,-2))</f>
        <v>251200</v>
      </c>
      <c r="CD796">
        <f>Grandview_Inventory[[#This Row],[final_det]]+Grandview_Inventory[[#This Row],[final_res]]</f>
        <v>254700</v>
      </c>
      <c r="CE796">
        <f>Grandview_Inventory[[#This Row],[final_land]]+Grandview_Inventory[[#This Row],[final_imp]]+Grandview_Inventory[[#This Row],[crop_value]]</f>
        <v>313400</v>
      </c>
      <c r="CG796" t="str">
        <f t="shared" si="12"/>
        <v>update valuation set market_land =58700, market_bldg=254700, market_total =313400, market_mdno =401, market_date ='9/10/2023' where link_id = (select link_id from parcel where parcel_year = '2024' and parcel_id = '23092232415');</v>
      </c>
    </row>
    <row r="797" spans="1:85" x14ac:dyDescent="0.25">
      <c r="A797">
        <v>23092232416</v>
      </c>
      <c r="B797">
        <v>0.63</v>
      </c>
      <c r="C797">
        <v>27376</v>
      </c>
      <c r="D797" t="s">
        <v>129</v>
      </c>
      <c r="E797" t="s">
        <v>53</v>
      </c>
      <c r="F797" t="s">
        <v>53</v>
      </c>
      <c r="G797">
        <v>4</v>
      </c>
      <c r="H797" t="s">
        <v>54</v>
      </c>
      <c r="I797">
        <v>277000</v>
      </c>
      <c r="J797">
        <v>47000</v>
      </c>
      <c r="K797">
        <v>0.63</v>
      </c>
      <c r="L797">
        <f>IF(Grandview_Inventory[[#This Row],[parcel_acres]]-Grandview_Inventory[[#This Row],[non_valued_acres]] =0,0,LN(Grandview_Inventory[[#This Row],[parcel_acres]]-Grandview_Inventory[[#This Row],[non_valued_acres]]))</f>
        <v>-0.46203545959655867</v>
      </c>
      <c r="M797">
        <v>0</v>
      </c>
      <c r="N797">
        <v>0</v>
      </c>
      <c r="O797">
        <v>0</v>
      </c>
      <c r="P797">
        <v>13398.7528</v>
      </c>
      <c r="Q797">
        <v>63903</v>
      </c>
      <c r="R797">
        <f>(Grandview_Inventory[[#This Row],[ln_acres]]*Grandview_Inventory[[#This Row],[coeff]])+Grandview_Inventory[[#This Row],[const]]</f>
        <v>57712.301092031325</v>
      </c>
      <c r="S797" t="s">
        <v>74</v>
      </c>
      <c r="T797">
        <v>1</v>
      </c>
      <c r="U797" t="s">
        <v>65</v>
      </c>
      <c r="V797" t="s">
        <v>67</v>
      </c>
      <c r="W797">
        <v>0</v>
      </c>
      <c r="X797">
        <v>0</v>
      </c>
      <c r="Y797">
        <v>46</v>
      </c>
      <c r="Z797">
        <v>55</v>
      </c>
      <c r="AA797">
        <v>60</v>
      </c>
      <c r="AB797">
        <v>2500</v>
      </c>
      <c r="AC797">
        <v>2012</v>
      </c>
      <c r="AD797">
        <v>1396</v>
      </c>
      <c r="AE797">
        <v>0</v>
      </c>
      <c r="AF797">
        <v>0</v>
      </c>
      <c r="AG797">
        <v>616</v>
      </c>
      <c r="AH797">
        <v>0</v>
      </c>
      <c r="AI797">
        <v>350</v>
      </c>
      <c r="AJ797">
        <v>0</v>
      </c>
      <c r="AK797">
        <v>0</v>
      </c>
      <c r="AL797">
        <v>0</v>
      </c>
      <c r="AM797">
        <v>448</v>
      </c>
      <c r="AN797">
        <v>0</v>
      </c>
      <c r="AO797">
        <v>448</v>
      </c>
      <c r="AP797">
        <v>7</v>
      </c>
      <c r="AQ797">
        <v>1</v>
      </c>
      <c r="AR797">
        <v>1</v>
      </c>
      <c r="AS797" t="s">
        <v>58</v>
      </c>
      <c r="AT797">
        <v>1</v>
      </c>
      <c r="AU797" t="s">
        <v>63</v>
      </c>
      <c r="AV797" t="s">
        <v>64</v>
      </c>
      <c r="AW797">
        <v>0</v>
      </c>
      <c r="AX797">
        <v>3</v>
      </c>
      <c r="AY797">
        <v>0</v>
      </c>
      <c r="AZ797">
        <v>5800</v>
      </c>
      <c r="BA797">
        <v>100</v>
      </c>
      <c r="BB797">
        <v>100</v>
      </c>
      <c r="BC797">
        <v>100</v>
      </c>
      <c r="BD797">
        <v>100</v>
      </c>
      <c r="BE797">
        <v>1</v>
      </c>
      <c r="BF797">
        <v>15000</v>
      </c>
      <c r="BG797">
        <v>1000</v>
      </c>
      <c r="BH797" s="6">
        <f>Grandview_Inventory[[#This Row],[land_extract]]*Lookups!$B$3</f>
        <v>67021.139434963028</v>
      </c>
      <c r="BI797" s="6">
        <f>IF(Grandview_Inventory[[#This Row],[bldg_style]]="",0,Lookups!$B$2)</f>
        <v>155833.95000000001</v>
      </c>
      <c r="BJ797" s="6">
        <f>_xlfn.IFNA(VLOOKUP(Grandview_Inventory[[#This Row],[quality]],Lookups!$H$2:$J$14,3,FALSE),0)</f>
        <v>2251</v>
      </c>
      <c r="BK797" s="6">
        <f>_xlfn.IFNA(VLOOKUP(Grandview_Inventory[[#This Row],[condition]],Lookups!$H$17:$J$24,3,FALSE),0)</f>
        <v>22342</v>
      </c>
      <c r="BL797" s="6">
        <f>Grandview_Inventory[[#This Row],[Eff_Age]]*Lookups!$B$14</f>
        <v>-11001.6636</v>
      </c>
      <c r="BM797" s="6">
        <f>Grandview_Inventory[[#This Row],[living_area]]*Lookups!$B$15</f>
        <v>125510.27623600001</v>
      </c>
      <c r="BN797" s="6">
        <f>Grandview_Inventory[[#This Row],[Fin BSMT]]*Lookups!$B$16</f>
        <v>-16693.131840000002</v>
      </c>
      <c r="BO797" s="6">
        <f>(Grandview_Inventory[[#This Row],[att_gar]]+Grandview_Inventory[[#This Row],[bltin_gar]])*Lookups!$B$17</f>
        <v>30632.15295</v>
      </c>
      <c r="BP797" s="6">
        <f>Grandview_Inventory[[#This Row],[Plumbing Fixtures]]*Lookups!$B$18</f>
        <v>14073.0926</v>
      </c>
      <c r="BQ797" s="6">
        <f>Grandview_Inventory[[#This Row],[detatched_value]]*Lookups!$B$19</f>
        <v>4911.46958</v>
      </c>
      <c r="BR797" s="6">
        <f>SUM(Grandview_Inventory[[#This Row],[Intercept]:[det_value]])*Grandview_Inventory[[#This Row],[res_pct]]</f>
        <v>327859.14592599997</v>
      </c>
      <c r="BS797" s="6">
        <f>Grandview_Inventory[[#This Row],[land_value]]</f>
        <v>67021.139434963028</v>
      </c>
      <c r="BT797" s="4">
        <f>_xlfn.IFNA(VLOOKUP(Grandview_Inventory[[#This Row],[quality]],Lookups!$A$26:$C$33,3,FALSE),1)</f>
        <v>0.98763855981004833</v>
      </c>
      <c r="BU797" s="4">
        <f>_xlfn.IFNA(VLOOKUP(Grandview_Inventory[[#This Row],[condition]],Lookups!$A$37:$C$44,3,FALSE),1)</f>
        <v>0.97383723671140243</v>
      </c>
      <c r="BV797" s="4">
        <f>IF(Grandview_Inventory[[#This Row],[bldg_style]]="",1,_xlfn.IFNA(VLOOKUP(Grandview_Inventory[[#This Row],[decade]],Lookups!$F$29:$H$43,3,FALSE),1))</f>
        <v>0.95268620544463312</v>
      </c>
      <c r="BW797" s="4">
        <f>_xlfn.IFNA(VLOOKUP(Grandview_Inventory[[#This Row],[living_area_range]],Lookups!$F$47:$H$56,3,FALSE),1)</f>
        <v>0.95799442568048754</v>
      </c>
      <c r="BX797" s="4">
        <f>AVERAGE(Grandview_Inventory[[#This Row],[qual_adj]:[size_adj]])</f>
        <v>0.96803910691164285</v>
      </c>
      <c r="BY797" s="6">
        <f>IF(Grandview_Inventory[[#This Row],[pre_res]]&lt;0,0,Grandview_Inventory[[#This Row],[pre_res]]*Grandview_Inventory[[#This Row],[overall_adj]])</f>
        <v>317380.474815019</v>
      </c>
      <c r="BZ797" s="6">
        <f>(Grandview_Inventory[[#This Row],[sum_land]]-IF(Grandview_Inventory[[#This Row],[no_utilities]]=1,12000,0))/IF(Grandview_Inventory[[#This Row],[unbuildable]]=1,2,1)</f>
        <v>67021.139434963028</v>
      </c>
      <c r="CA797">
        <f>IF(ROUND(Grandview_Inventory[[#This Row],[adj_land]]*Lookups!$M$28,-2)&lt;Grandview_Inventory[[#This Row],[min_land]],Grandview_Inventory[[#This Row],[min_land]],ROUND(Grandview_Inventory[[#This Row],[adj_land]]*Lookups!$M$28,-2))</f>
        <v>63700</v>
      </c>
      <c r="CB797">
        <f>ROUND(Grandview_Inventory[[#This Row],[det_value]]*Lookups!$M$28,-2)</f>
        <v>4700</v>
      </c>
      <c r="CC797">
        <f>IF(ROUND(Grandview_Inventory[[#This Row],[adj_res]]*Lookups!$M$28,-2)&lt;Grandview_Inventory[[#This Row],[min_res]],Grandview_Inventory[[#This Row],[min_res]],ROUND(Grandview_Inventory[[#This Row],[adj_res]]*Lookups!$M$28,-2))</f>
        <v>301500</v>
      </c>
      <c r="CD797">
        <f>Grandview_Inventory[[#This Row],[final_det]]+Grandview_Inventory[[#This Row],[final_res]]</f>
        <v>306200</v>
      </c>
      <c r="CE797">
        <f>Grandview_Inventory[[#This Row],[final_land]]+Grandview_Inventory[[#This Row],[final_imp]]+Grandview_Inventory[[#This Row],[crop_value]]</f>
        <v>369900</v>
      </c>
      <c r="CG797" t="str">
        <f t="shared" si="12"/>
        <v>update valuation set market_land =63700, market_bldg=306200, market_total =369900, market_mdno =401, market_date ='9/10/2023' where link_id = (select link_id from parcel where parcel_year = '2024' and parcel_id = '23092232416');</v>
      </c>
    </row>
    <row r="798" spans="1:85" x14ac:dyDescent="0.25">
      <c r="A798">
        <v>23092232417</v>
      </c>
      <c r="B798">
        <v>0.45</v>
      </c>
      <c r="C798">
        <v>19497</v>
      </c>
      <c r="D798" t="s">
        <v>129</v>
      </c>
      <c r="E798" t="s">
        <v>53</v>
      </c>
      <c r="F798" t="s">
        <v>53</v>
      </c>
      <c r="G798">
        <v>4</v>
      </c>
      <c r="H798" t="s">
        <v>54</v>
      </c>
      <c r="I798">
        <v>169100</v>
      </c>
      <c r="J798">
        <v>45900</v>
      </c>
      <c r="K798">
        <v>0.45</v>
      </c>
      <c r="L798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798">
        <v>0</v>
      </c>
      <c r="N798">
        <v>0</v>
      </c>
      <c r="O798">
        <v>0</v>
      </c>
      <c r="P798">
        <v>13398.7528</v>
      </c>
      <c r="Q798">
        <v>63903</v>
      </c>
      <c r="R798">
        <f>(Grandview_Inventory[[#This Row],[ln_acres]]*Grandview_Inventory[[#This Row],[coeff]])+Grandview_Inventory[[#This Row],[const]]</f>
        <v>53203.992769480581</v>
      </c>
      <c r="S798" t="s">
        <v>61</v>
      </c>
      <c r="T798">
        <v>1</v>
      </c>
      <c r="U798" t="s">
        <v>65</v>
      </c>
      <c r="V798" t="s">
        <v>69</v>
      </c>
      <c r="W798">
        <v>0</v>
      </c>
      <c r="X798">
        <v>0</v>
      </c>
      <c r="Y798">
        <v>46</v>
      </c>
      <c r="Z798">
        <v>55</v>
      </c>
      <c r="AA798">
        <v>60</v>
      </c>
      <c r="AB798">
        <v>2500</v>
      </c>
      <c r="AC798">
        <v>2288</v>
      </c>
      <c r="AD798">
        <v>1144</v>
      </c>
      <c r="AE798">
        <v>0</v>
      </c>
      <c r="AF798">
        <v>0</v>
      </c>
      <c r="AG798">
        <v>1144</v>
      </c>
      <c r="AH798">
        <v>0</v>
      </c>
      <c r="AI798">
        <v>0</v>
      </c>
      <c r="AJ798">
        <v>0</v>
      </c>
      <c r="AK798">
        <v>400</v>
      </c>
      <c r="AL798">
        <v>204</v>
      </c>
      <c r="AM798">
        <v>296</v>
      </c>
      <c r="AN798">
        <v>0</v>
      </c>
      <c r="AO798">
        <v>204</v>
      </c>
      <c r="AP798">
        <v>7</v>
      </c>
      <c r="AQ798">
        <v>0</v>
      </c>
      <c r="AR798">
        <v>0</v>
      </c>
      <c r="AS798" t="s">
        <v>58</v>
      </c>
      <c r="AT798">
        <v>1</v>
      </c>
      <c r="AU798" t="s">
        <v>63</v>
      </c>
      <c r="AV798" t="s">
        <v>60</v>
      </c>
      <c r="AW798">
        <v>0</v>
      </c>
      <c r="AX798">
        <v>5</v>
      </c>
      <c r="AY798">
        <v>0</v>
      </c>
      <c r="AZ798">
        <v>0</v>
      </c>
      <c r="BA798">
        <v>100</v>
      </c>
      <c r="BB798">
        <v>100</v>
      </c>
      <c r="BC798">
        <v>100</v>
      </c>
      <c r="BD798">
        <v>100</v>
      </c>
      <c r="BE798">
        <v>1</v>
      </c>
      <c r="BF798">
        <v>15000</v>
      </c>
      <c r="BG798">
        <v>1000</v>
      </c>
      <c r="BH798" s="6">
        <f>Grandview_Inventory[[#This Row],[land_extract]]*Lookups!$B$3</f>
        <v>61785.653152417319</v>
      </c>
      <c r="BI798" s="6">
        <f>IF(Grandview_Inventory[[#This Row],[bldg_style]]="",0,Lookups!$B$2)</f>
        <v>155833.95000000001</v>
      </c>
      <c r="BJ798" s="6">
        <f>_xlfn.IFNA(VLOOKUP(Grandview_Inventory[[#This Row],[quality]],Lookups!$H$2:$J$14,3,FALSE),0)</f>
        <v>2251</v>
      </c>
      <c r="BK798" s="6">
        <f>_xlfn.IFNA(VLOOKUP(Grandview_Inventory[[#This Row],[condition]],Lookups!$H$17:$J$24,3,FALSE),0)</f>
        <v>-4503</v>
      </c>
      <c r="BL798" s="6">
        <f>Grandview_Inventory[[#This Row],[Eff_Age]]*Lookups!$B$14</f>
        <v>-11001.6636</v>
      </c>
      <c r="BM798" s="6">
        <f>Grandview_Inventory[[#This Row],[living_area]]*Lookups!$B$15</f>
        <v>142727.391664</v>
      </c>
      <c r="BN798" s="6">
        <f>Grandview_Inventory[[#This Row],[Fin BSMT]]*Lookups!$B$16</f>
        <v>-31001.530560000003</v>
      </c>
      <c r="BO798" s="6">
        <f>(Grandview_Inventory[[#This Row],[att_gar]]+Grandview_Inventory[[#This Row],[bltin_gar]])*Lookups!$B$17</f>
        <v>0</v>
      </c>
      <c r="BP798" s="6">
        <f>Grandview_Inventory[[#This Row],[Plumbing Fixtures]]*Lookups!$B$18</f>
        <v>14073.0926</v>
      </c>
      <c r="BQ798" s="6">
        <f>Grandview_Inventory[[#This Row],[detatched_value]]*Lookups!$B$19</f>
        <v>0</v>
      </c>
      <c r="BR798" s="6">
        <f>SUM(Grandview_Inventory[[#This Row],[Intercept]:[det_value]])*Grandview_Inventory[[#This Row],[res_pct]]</f>
        <v>268379.24010399997</v>
      </c>
      <c r="BS798" s="6">
        <f>Grandview_Inventory[[#This Row],[land_value]]</f>
        <v>61785.653152417319</v>
      </c>
      <c r="BT798" s="4">
        <f>_xlfn.IFNA(VLOOKUP(Grandview_Inventory[[#This Row],[quality]],Lookups!$A$26:$C$33,3,FALSE),1)</f>
        <v>0.98763855981004833</v>
      </c>
      <c r="BU798" s="4">
        <f>_xlfn.IFNA(VLOOKUP(Grandview_Inventory[[#This Row],[condition]],Lookups!$A$37:$C$44,3,FALSE),1)</f>
        <v>0.96469275950863709</v>
      </c>
      <c r="BV798" s="4">
        <f>IF(Grandview_Inventory[[#This Row],[bldg_style]]="",1,_xlfn.IFNA(VLOOKUP(Grandview_Inventory[[#This Row],[decade]],Lookups!$F$29:$H$43,3,FALSE),1))</f>
        <v>0.95268620544463312</v>
      </c>
      <c r="BW798" s="4">
        <f>_xlfn.IFNA(VLOOKUP(Grandview_Inventory[[#This Row],[living_area_range]],Lookups!$F$47:$H$56,3,FALSE),1)</f>
        <v>0.95799442568048754</v>
      </c>
      <c r="BX798" s="4">
        <f>AVERAGE(Grandview_Inventory[[#This Row],[qual_adj]:[size_adj]])</f>
        <v>0.96575298761095152</v>
      </c>
      <c r="BY798" s="6">
        <f>IF(Grandview_Inventory[[#This Row],[pre_res]]&lt;0,0,Grandview_Inventory[[#This Row],[pre_res]]*Grandview_Inventory[[#This Row],[overall_adj]])</f>
        <v>259188.05294319487</v>
      </c>
      <c r="BZ798" s="6">
        <f>(Grandview_Inventory[[#This Row],[sum_land]]-IF(Grandview_Inventory[[#This Row],[no_utilities]]=1,12000,0))/IF(Grandview_Inventory[[#This Row],[unbuildable]]=1,2,1)</f>
        <v>61785.653152417319</v>
      </c>
      <c r="CA798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798">
        <f>ROUND(Grandview_Inventory[[#This Row],[det_value]]*Lookups!$M$28,-2)</f>
        <v>0</v>
      </c>
      <c r="CC798">
        <f>IF(ROUND(Grandview_Inventory[[#This Row],[adj_res]]*Lookups!$M$28,-2)&lt;Grandview_Inventory[[#This Row],[min_res]],Grandview_Inventory[[#This Row],[min_res]],ROUND(Grandview_Inventory[[#This Row],[adj_res]]*Lookups!$M$28,-2))</f>
        <v>246200</v>
      </c>
      <c r="CD798">
        <f>Grandview_Inventory[[#This Row],[final_det]]+Grandview_Inventory[[#This Row],[final_res]]</f>
        <v>246200</v>
      </c>
      <c r="CE798">
        <f>Grandview_Inventory[[#This Row],[final_land]]+Grandview_Inventory[[#This Row],[final_imp]]+Grandview_Inventory[[#This Row],[crop_value]]</f>
        <v>304900</v>
      </c>
      <c r="CG798" t="str">
        <f t="shared" si="12"/>
        <v>update valuation set market_land =58700, market_bldg=246200, market_total =304900, market_mdno =401, market_date ='9/10/2023' where link_id = (select link_id from parcel where parcel_year = '2024' and parcel_id = '23092232417');</v>
      </c>
    </row>
    <row r="799" spans="1:85" x14ac:dyDescent="0.25">
      <c r="A799">
        <v>23092232418</v>
      </c>
      <c r="B799">
        <v>0.5</v>
      </c>
      <c r="C799">
        <v>21906</v>
      </c>
      <c r="D799" t="s">
        <v>129</v>
      </c>
      <c r="E799" t="s">
        <v>53</v>
      </c>
      <c r="F799" t="s">
        <v>53</v>
      </c>
      <c r="G799">
        <v>4</v>
      </c>
      <c r="H799" t="s">
        <v>54</v>
      </c>
      <c r="I799">
        <v>224700</v>
      </c>
      <c r="J799">
        <v>46600</v>
      </c>
      <c r="K799">
        <v>0.5</v>
      </c>
      <c r="L799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799">
        <v>0</v>
      </c>
      <c r="N799">
        <v>0</v>
      </c>
      <c r="O799">
        <v>0</v>
      </c>
      <c r="P799">
        <v>13398.7528</v>
      </c>
      <c r="Q799">
        <v>63903</v>
      </c>
      <c r="R799">
        <f>(Grandview_Inventory[[#This Row],[ln_acres]]*Grandview_Inventory[[#This Row],[coeff]])+Grandview_Inventory[[#This Row],[const]]</f>
        <v>54615.69227366033</v>
      </c>
      <c r="S799" t="s">
        <v>77</v>
      </c>
      <c r="T799">
        <v>1</v>
      </c>
      <c r="U799" t="s">
        <v>62</v>
      </c>
      <c r="V799" t="s">
        <v>69</v>
      </c>
      <c r="W799">
        <v>0</v>
      </c>
      <c r="X799">
        <v>0</v>
      </c>
      <c r="Y799">
        <v>46</v>
      </c>
      <c r="Z799">
        <v>54</v>
      </c>
      <c r="AA799">
        <v>60</v>
      </c>
      <c r="AB799">
        <v>2000</v>
      </c>
      <c r="AC799">
        <v>1685</v>
      </c>
      <c r="AD799">
        <v>1048</v>
      </c>
      <c r="AE799">
        <v>0</v>
      </c>
      <c r="AF799">
        <v>0</v>
      </c>
      <c r="AG799">
        <v>637</v>
      </c>
      <c r="AH799">
        <v>403</v>
      </c>
      <c r="AI799">
        <v>1092</v>
      </c>
      <c r="AJ799">
        <v>0</v>
      </c>
      <c r="AK799">
        <v>0</v>
      </c>
      <c r="AL799">
        <v>0</v>
      </c>
      <c r="AM799">
        <v>344</v>
      </c>
      <c r="AN799">
        <v>0</v>
      </c>
      <c r="AO799">
        <v>0</v>
      </c>
      <c r="AP799">
        <v>8</v>
      </c>
      <c r="AQ799">
        <v>0</v>
      </c>
      <c r="AR799">
        <v>0</v>
      </c>
      <c r="AS799" t="s">
        <v>58</v>
      </c>
      <c r="AT799">
        <v>1</v>
      </c>
      <c r="AU799" t="s">
        <v>63</v>
      </c>
      <c r="AV799" t="s">
        <v>64</v>
      </c>
      <c r="AW799">
        <v>1</v>
      </c>
      <c r="AX799">
        <v>4</v>
      </c>
      <c r="AY799">
        <v>0</v>
      </c>
      <c r="AZ799">
        <v>0</v>
      </c>
      <c r="BA799">
        <v>100</v>
      </c>
      <c r="BB799">
        <v>100</v>
      </c>
      <c r="BC799">
        <v>100</v>
      </c>
      <c r="BD799">
        <v>100</v>
      </c>
      <c r="BE799">
        <v>1</v>
      </c>
      <c r="BF799">
        <v>15000</v>
      </c>
      <c r="BG799">
        <v>1000</v>
      </c>
      <c r="BH799" s="6">
        <f>Grandview_Inventory[[#This Row],[land_extract]]*Lookups!$B$3</f>
        <v>63425.055975032599</v>
      </c>
      <c r="BI799" s="6">
        <f>IF(Grandview_Inventory[[#This Row],[bldg_style]]="",0,Lookups!$B$2)</f>
        <v>155833.95000000001</v>
      </c>
      <c r="BJ799" s="6">
        <f>_xlfn.IFNA(VLOOKUP(Grandview_Inventory[[#This Row],[quality]],Lookups!$H$2:$J$14,3,FALSE),0)</f>
        <v>9808</v>
      </c>
      <c r="BK799" s="6">
        <f>_xlfn.IFNA(VLOOKUP(Grandview_Inventory[[#This Row],[condition]],Lookups!$H$17:$J$24,3,FALSE),0)</f>
        <v>-4503</v>
      </c>
      <c r="BL799" s="6">
        <f>Grandview_Inventory[[#This Row],[Eff_Age]]*Lookups!$B$14</f>
        <v>-11001.6636</v>
      </c>
      <c r="BM799" s="6">
        <f>Grandview_Inventory[[#This Row],[living_area]]*Lookups!$B$15</f>
        <v>105111.737305</v>
      </c>
      <c r="BN799" s="6">
        <f>Grandview_Inventory[[#This Row],[Fin BSMT]]*Lookups!$B$16</f>
        <v>-17262.21588</v>
      </c>
      <c r="BO799" s="6">
        <f>(Grandview_Inventory[[#This Row],[att_gar]]+Grandview_Inventory[[#This Row],[bltin_gar]])*Lookups!$B$17</f>
        <v>95572.317204000006</v>
      </c>
      <c r="BP799" s="6">
        <f>Grandview_Inventory[[#This Row],[Plumbing Fixtures]]*Lookups!$B$18</f>
        <v>16083.5344</v>
      </c>
      <c r="BQ799" s="6">
        <f>Grandview_Inventory[[#This Row],[detatched_value]]*Lookups!$B$19</f>
        <v>0</v>
      </c>
      <c r="BR799" s="6">
        <f>SUM(Grandview_Inventory[[#This Row],[Intercept]:[det_value]])*Grandview_Inventory[[#This Row],[res_pct]]</f>
        <v>349642.65942899999</v>
      </c>
      <c r="BS799" s="6">
        <f>Grandview_Inventory[[#This Row],[land_value]]</f>
        <v>63425.055975032599</v>
      </c>
      <c r="BT799" s="4">
        <f>_xlfn.IFNA(VLOOKUP(Grandview_Inventory[[#This Row],[quality]],Lookups!$A$26:$C$33,3,FALSE),1)</f>
        <v>0.94295468617355149</v>
      </c>
      <c r="BU799" s="4">
        <f>_xlfn.IFNA(VLOOKUP(Grandview_Inventory[[#This Row],[condition]],Lookups!$A$37:$C$44,3,FALSE),1)</f>
        <v>0.96469275950863709</v>
      </c>
      <c r="BV799" s="4">
        <f>IF(Grandview_Inventory[[#This Row],[bldg_style]]="",1,_xlfn.IFNA(VLOOKUP(Grandview_Inventory[[#This Row],[decade]],Lookups!$F$29:$H$43,3,FALSE),1))</f>
        <v>0.95268620544463312</v>
      </c>
      <c r="BW799" s="4">
        <f>_xlfn.IFNA(VLOOKUP(Grandview_Inventory[[#This Row],[living_area_range]],Lookups!$F$47:$H$56,3,FALSE),1)</f>
        <v>0.96120133463014379</v>
      </c>
      <c r="BX799" s="4">
        <f>AVERAGE(Grandview_Inventory[[#This Row],[qual_adj]:[size_adj]])</f>
        <v>0.9553837464392414</v>
      </c>
      <c r="BY799" s="6">
        <f>IF(Grandview_Inventory[[#This Row],[pre_res]]&lt;0,0,Grandview_Inventory[[#This Row],[pre_res]]*Grandview_Inventory[[#This Row],[overall_adj]])</f>
        <v>334042.91388025775</v>
      </c>
      <c r="BZ799" s="6">
        <f>(Grandview_Inventory[[#This Row],[sum_land]]-IF(Grandview_Inventory[[#This Row],[no_utilities]]=1,12000,0))/IF(Grandview_Inventory[[#This Row],[unbuildable]]=1,2,1)</f>
        <v>63425.055975032599</v>
      </c>
      <c r="CA799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799">
        <f>ROUND(Grandview_Inventory[[#This Row],[det_value]]*Lookups!$M$28,-2)</f>
        <v>0</v>
      </c>
      <c r="CC799">
        <f>IF(ROUND(Grandview_Inventory[[#This Row],[adj_res]]*Lookups!$M$28,-2)&lt;Grandview_Inventory[[#This Row],[min_res]],Grandview_Inventory[[#This Row],[min_res]],ROUND(Grandview_Inventory[[#This Row],[adj_res]]*Lookups!$M$28,-2))</f>
        <v>317300</v>
      </c>
      <c r="CD799">
        <f>Grandview_Inventory[[#This Row],[final_det]]+Grandview_Inventory[[#This Row],[final_res]]</f>
        <v>317300</v>
      </c>
      <c r="CE799">
        <f>Grandview_Inventory[[#This Row],[final_land]]+Grandview_Inventory[[#This Row],[final_imp]]+Grandview_Inventory[[#This Row],[crop_value]]</f>
        <v>377600</v>
      </c>
      <c r="CG799" t="str">
        <f t="shared" si="12"/>
        <v>update valuation set market_land =60300, market_bldg=317300, market_total =377600, market_mdno =401, market_date ='9/10/2023' where link_id = (select link_id from parcel where parcel_year = '2024' and parcel_id = '23092232418');</v>
      </c>
    </row>
    <row r="800" spans="1:85" x14ac:dyDescent="0.25">
      <c r="A800">
        <v>23092232419</v>
      </c>
      <c r="B800">
        <v>0.38</v>
      </c>
      <c r="C800">
        <v>16655</v>
      </c>
      <c r="D800" t="s">
        <v>129</v>
      </c>
      <c r="E800" t="s">
        <v>53</v>
      </c>
      <c r="F800" t="s">
        <v>53</v>
      </c>
      <c r="G800">
        <v>4</v>
      </c>
      <c r="H800" t="s">
        <v>54</v>
      </c>
      <c r="I800">
        <v>165600</v>
      </c>
      <c r="J800">
        <v>45600</v>
      </c>
      <c r="K800">
        <v>0.38</v>
      </c>
      <c r="L800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800">
        <v>0</v>
      </c>
      <c r="N800">
        <v>0</v>
      </c>
      <c r="O800">
        <v>0</v>
      </c>
      <c r="P800">
        <v>13398.7528</v>
      </c>
      <c r="Q800">
        <v>63903</v>
      </c>
      <c r="R800">
        <f>(Grandview_Inventory[[#This Row],[ln_acres]]*Grandview_Inventory[[#This Row],[coeff]])+Grandview_Inventory[[#This Row],[const]]</f>
        <v>50938.580818890696</v>
      </c>
      <c r="S800" t="s">
        <v>61</v>
      </c>
      <c r="T800">
        <v>1</v>
      </c>
      <c r="U800" t="s">
        <v>65</v>
      </c>
      <c r="V800" t="s">
        <v>69</v>
      </c>
      <c r="W800">
        <v>0</v>
      </c>
      <c r="X800">
        <v>0</v>
      </c>
      <c r="Y800">
        <v>46</v>
      </c>
      <c r="Z800">
        <v>53</v>
      </c>
      <c r="AA800">
        <v>60</v>
      </c>
      <c r="AB800">
        <v>1500</v>
      </c>
      <c r="AC800">
        <v>1388</v>
      </c>
      <c r="AD800">
        <v>1096</v>
      </c>
      <c r="AE800">
        <v>0</v>
      </c>
      <c r="AF800">
        <v>0</v>
      </c>
      <c r="AG800">
        <v>292</v>
      </c>
      <c r="AH800">
        <v>804</v>
      </c>
      <c r="AI800">
        <v>336</v>
      </c>
      <c r="AJ800">
        <v>0</v>
      </c>
      <c r="AK800">
        <v>0</v>
      </c>
      <c r="AL800">
        <v>364</v>
      </c>
      <c r="AM800">
        <v>260</v>
      </c>
      <c r="AN800">
        <v>0</v>
      </c>
      <c r="AO800">
        <v>0</v>
      </c>
      <c r="AP800">
        <v>7</v>
      </c>
      <c r="AQ800">
        <v>0</v>
      </c>
      <c r="AR800">
        <v>0</v>
      </c>
      <c r="AS800" t="s">
        <v>58</v>
      </c>
      <c r="AT800">
        <v>1</v>
      </c>
      <c r="AU800" t="s">
        <v>59</v>
      </c>
      <c r="AV800" t="s">
        <v>60</v>
      </c>
      <c r="AW800">
        <v>1</v>
      </c>
      <c r="AX800">
        <v>3</v>
      </c>
      <c r="AY800">
        <v>0</v>
      </c>
      <c r="AZ800">
        <v>0</v>
      </c>
      <c r="BA800">
        <v>100</v>
      </c>
      <c r="BB800">
        <v>100</v>
      </c>
      <c r="BC800">
        <v>100</v>
      </c>
      <c r="BD800">
        <v>100</v>
      </c>
      <c r="BE800">
        <v>1</v>
      </c>
      <c r="BF800">
        <v>15000</v>
      </c>
      <c r="BG800">
        <v>1000</v>
      </c>
      <c r="BH800" s="6">
        <f>Grandview_Inventory[[#This Row],[land_extract]]*Lookups!$B$3</f>
        <v>59154.836370809549</v>
      </c>
      <c r="BI800" s="6">
        <f>IF(Grandview_Inventory[[#This Row],[bldg_style]]="",0,Lookups!$B$2)</f>
        <v>155833.95000000001</v>
      </c>
      <c r="BJ800" s="6">
        <f>_xlfn.IFNA(VLOOKUP(Grandview_Inventory[[#This Row],[quality]],Lookups!$H$2:$J$14,3,FALSE),0)</f>
        <v>2251</v>
      </c>
      <c r="BK800" s="6">
        <f>_xlfn.IFNA(VLOOKUP(Grandview_Inventory[[#This Row],[condition]],Lookups!$H$17:$J$24,3,FALSE),0)</f>
        <v>-4503</v>
      </c>
      <c r="BL800" s="6">
        <f>Grandview_Inventory[[#This Row],[Eff_Age]]*Lookups!$B$14</f>
        <v>-11001.6636</v>
      </c>
      <c r="BM800" s="6">
        <f>Grandview_Inventory[[#This Row],[living_area]]*Lookups!$B$15</f>
        <v>86584.623963999999</v>
      </c>
      <c r="BN800" s="6">
        <f>Grandview_Inventory[[#This Row],[Fin BSMT]]*Lookups!$B$16</f>
        <v>-7912.9780800000008</v>
      </c>
      <c r="BO800" s="6">
        <f>(Grandview_Inventory[[#This Row],[att_gar]]+Grandview_Inventory[[#This Row],[bltin_gar]])*Lookups!$B$17</f>
        <v>29406.866832</v>
      </c>
      <c r="BP800" s="6">
        <f>Grandview_Inventory[[#This Row],[Plumbing Fixtures]]*Lookups!$B$18</f>
        <v>14073.0926</v>
      </c>
      <c r="BQ800" s="6">
        <f>Grandview_Inventory[[#This Row],[detatched_value]]*Lookups!$B$19</f>
        <v>0</v>
      </c>
      <c r="BR800" s="6">
        <f>SUM(Grandview_Inventory[[#This Row],[Intercept]:[det_value]])*Grandview_Inventory[[#This Row],[res_pct]]</f>
        <v>264731.89171599998</v>
      </c>
      <c r="BS800" s="6">
        <f>Grandview_Inventory[[#This Row],[land_value]]</f>
        <v>59154.836370809549</v>
      </c>
      <c r="BT800" s="4">
        <f>_xlfn.IFNA(VLOOKUP(Grandview_Inventory[[#This Row],[quality]],Lookups!$A$26:$C$33,3,FALSE),1)</f>
        <v>0.98763855981004833</v>
      </c>
      <c r="BU800" s="4">
        <f>_xlfn.IFNA(VLOOKUP(Grandview_Inventory[[#This Row],[condition]],Lookups!$A$37:$C$44,3,FALSE),1)</f>
        <v>0.96469275950863709</v>
      </c>
      <c r="BV800" s="4">
        <f>IF(Grandview_Inventory[[#This Row],[bldg_style]]="",1,_xlfn.IFNA(VLOOKUP(Grandview_Inventory[[#This Row],[decade]],Lookups!$F$29:$H$43,3,FALSE),1))</f>
        <v>0.95268620544463312</v>
      </c>
      <c r="BW800" s="4">
        <f>_xlfn.IFNA(VLOOKUP(Grandview_Inventory[[#This Row],[living_area_range]],Lookups!$F$47:$H$56,3,FALSE),1)</f>
        <v>0.96135087979789358</v>
      </c>
      <c r="BX800" s="4">
        <f>AVERAGE(Grandview_Inventory[[#This Row],[qual_adj]:[size_adj]])</f>
        <v>0.96659210114030303</v>
      </c>
      <c r="BY800" s="6">
        <f>IF(Grandview_Inventory[[#This Row],[pre_res]]&lt;0,0,Grandview_Inventory[[#This Row],[pre_res]]*Grandview_Inventory[[#This Row],[overall_adj]])</f>
        <v>255887.75545261562</v>
      </c>
      <c r="BZ800" s="6">
        <f>(Grandview_Inventory[[#This Row],[sum_land]]-IF(Grandview_Inventory[[#This Row],[no_utilities]]=1,12000,0))/IF(Grandview_Inventory[[#This Row],[unbuildable]]=1,2,1)</f>
        <v>59154.836370809549</v>
      </c>
      <c r="CA800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800">
        <f>ROUND(Grandview_Inventory[[#This Row],[det_value]]*Lookups!$M$28,-2)</f>
        <v>0</v>
      </c>
      <c r="CC800">
        <f>IF(ROUND(Grandview_Inventory[[#This Row],[adj_res]]*Lookups!$M$28,-2)&lt;Grandview_Inventory[[#This Row],[min_res]],Grandview_Inventory[[#This Row],[min_res]],ROUND(Grandview_Inventory[[#This Row],[adj_res]]*Lookups!$M$28,-2))</f>
        <v>243100</v>
      </c>
      <c r="CD800">
        <f>Grandview_Inventory[[#This Row],[final_det]]+Grandview_Inventory[[#This Row],[final_res]]</f>
        <v>243100</v>
      </c>
      <c r="CE800">
        <f>Grandview_Inventory[[#This Row],[final_land]]+Grandview_Inventory[[#This Row],[final_imp]]+Grandview_Inventory[[#This Row],[crop_value]]</f>
        <v>299300</v>
      </c>
      <c r="CG800" t="str">
        <f t="shared" si="12"/>
        <v>update valuation set market_land =56200, market_bldg=243100, market_total =299300, market_mdno =401, market_date ='9/10/2023' where link_id = (select link_id from parcel where parcel_year = '2024' and parcel_id = '23092232419');</v>
      </c>
    </row>
    <row r="801" spans="1:85" x14ac:dyDescent="0.25">
      <c r="A801">
        <v>23092232420</v>
      </c>
      <c r="B801">
        <v>0.26</v>
      </c>
      <c r="C801">
        <v>11328</v>
      </c>
      <c r="D801" t="s">
        <v>129</v>
      </c>
      <c r="E801" t="s">
        <v>53</v>
      </c>
      <c r="F801" t="s">
        <v>53</v>
      </c>
      <c r="G801">
        <v>4</v>
      </c>
      <c r="H801" t="s">
        <v>54</v>
      </c>
      <c r="I801">
        <v>217900</v>
      </c>
      <c r="J801">
        <v>44500</v>
      </c>
      <c r="K801">
        <v>0.26</v>
      </c>
      <c r="L801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801">
        <v>0</v>
      </c>
      <c r="N801">
        <v>0</v>
      </c>
      <c r="O801">
        <v>0</v>
      </c>
      <c r="P801">
        <v>13398.7528</v>
      </c>
      <c r="Q801">
        <v>63903</v>
      </c>
      <c r="R801">
        <f>(Grandview_Inventory[[#This Row],[ln_acres]]*Grandview_Inventory[[#This Row],[coeff]])+Grandview_Inventory[[#This Row],[const]]</f>
        <v>45853.893187501177</v>
      </c>
      <c r="S801" t="s">
        <v>61</v>
      </c>
      <c r="T801">
        <v>1</v>
      </c>
      <c r="U801" t="s">
        <v>65</v>
      </c>
      <c r="V801" t="s">
        <v>69</v>
      </c>
      <c r="W801">
        <v>0</v>
      </c>
      <c r="X801">
        <v>0</v>
      </c>
      <c r="Y801">
        <v>46</v>
      </c>
      <c r="Z801">
        <v>53</v>
      </c>
      <c r="AA801">
        <v>60</v>
      </c>
      <c r="AB801">
        <v>2500</v>
      </c>
      <c r="AC801">
        <v>2200</v>
      </c>
      <c r="AD801">
        <v>1104</v>
      </c>
      <c r="AE801">
        <v>0</v>
      </c>
      <c r="AF801">
        <v>0</v>
      </c>
      <c r="AG801">
        <v>1096</v>
      </c>
      <c r="AH801">
        <v>8</v>
      </c>
      <c r="AI801">
        <v>522</v>
      </c>
      <c r="AJ801">
        <v>0</v>
      </c>
      <c r="AK801">
        <v>0</v>
      </c>
      <c r="AL801">
        <v>264</v>
      </c>
      <c r="AM801">
        <v>288</v>
      </c>
      <c r="AN801">
        <v>0</v>
      </c>
      <c r="AO801">
        <v>0</v>
      </c>
      <c r="AP801">
        <v>7</v>
      </c>
      <c r="AQ801">
        <v>0</v>
      </c>
      <c r="AR801">
        <v>0</v>
      </c>
      <c r="AS801" t="s">
        <v>58</v>
      </c>
      <c r="AT801">
        <v>1</v>
      </c>
      <c r="AU801" t="s">
        <v>59</v>
      </c>
      <c r="AV801" t="s">
        <v>60</v>
      </c>
      <c r="AW801">
        <v>1</v>
      </c>
      <c r="AX801">
        <v>2</v>
      </c>
      <c r="AY801">
        <v>0</v>
      </c>
      <c r="AZ801">
        <v>21800</v>
      </c>
      <c r="BA801">
        <v>100</v>
      </c>
      <c r="BB801">
        <v>100</v>
      </c>
      <c r="BC801">
        <v>100</v>
      </c>
      <c r="BD801">
        <v>100</v>
      </c>
      <c r="BE801">
        <v>1</v>
      </c>
      <c r="BF801">
        <v>15000</v>
      </c>
      <c r="BG801">
        <v>1000</v>
      </c>
      <c r="BH801" s="6">
        <f>Grandview_Inventory[[#This Row],[land_extract]]*Lookups!$B$3</f>
        <v>53250.00235313351</v>
      </c>
      <c r="BI801" s="6">
        <f>IF(Grandview_Inventory[[#This Row],[bldg_style]]="",0,Lookups!$B$2)</f>
        <v>155833.95000000001</v>
      </c>
      <c r="BJ801" s="6">
        <f>_xlfn.IFNA(VLOOKUP(Grandview_Inventory[[#This Row],[quality]],Lookups!$H$2:$J$14,3,FALSE),0)</f>
        <v>2251</v>
      </c>
      <c r="BK801" s="6">
        <f>_xlfn.IFNA(VLOOKUP(Grandview_Inventory[[#This Row],[condition]],Lookups!$H$17:$J$24,3,FALSE),0)</f>
        <v>-4503</v>
      </c>
      <c r="BL801" s="6">
        <f>Grandview_Inventory[[#This Row],[Eff_Age]]*Lookups!$B$14</f>
        <v>-11001.6636</v>
      </c>
      <c r="BM801" s="6">
        <f>Grandview_Inventory[[#This Row],[living_area]]*Lookups!$B$15</f>
        <v>137237.87660000002</v>
      </c>
      <c r="BN801" s="6">
        <f>Grandview_Inventory[[#This Row],[Fin BSMT]]*Lookups!$B$16</f>
        <v>-29700.767040000002</v>
      </c>
      <c r="BO801" s="6">
        <f>(Grandview_Inventory[[#This Row],[att_gar]]+Grandview_Inventory[[#This Row],[bltin_gar]])*Lookups!$B$17</f>
        <v>45685.668114</v>
      </c>
      <c r="BP801" s="6">
        <f>Grandview_Inventory[[#This Row],[Plumbing Fixtures]]*Lookups!$B$18</f>
        <v>14073.0926</v>
      </c>
      <c r="BQ801" s="6">
        <f>Grandview_Inventory[[#This Row],[detatched_value]]*Lookups!$B$19</f>
        <v>18460.351179999998</v>
      </c>
      <c r="BR801" s="6">
        <f>SUM(Grandview_Inventory[[#This Row],[Intercept]:[det_value]])*Grandview_Inventory[[#This Row],[res_pct]]</f>
        <v>328336.50785400002</v>
      </c>
      <c r="BS801" s="6">
        <f>Grandview_Inventory[[#This Row],[land_value]]</f>
        <v>53250.00235313351</v>
      </c>
      <c r="BT801" s="4">
        <f>_xlfn.IFNA(VLOOKUP(Grandview_Inventory[[#This Row],[quality]],Lookups!$A$26:$C$33,3,FALSE),1)</f>
        <v>0.98763855981004833</v>
      </c>
      <c r="BU801" s="4">
        <f>_xlfn.IFNA(VLOOKUP(Grandview_Inventory[[#This Row],[condition]],Lookups!$A$37:$C$44,3,FALSE),1)</f>
        <v>0.96469275950863709</v>
      </c>
      <c r="BV801" s="4">
        <f>IF(Grandview_Inventory[[#This Row],[bldg_style]]="",1,_xlfn.IFNA(VLOOKUP(Grandview_Inventory[[#This Row],[decade]],Lookups!$F$29:$H$43,3,FALSE),1))</f>
        <v>0.95268620544463312</v>
      </c>
      <c r="BW801" s="4">
        <f>_xlfn.IFNA(VLOOKUP(Grandview_Inventory[[#This Row],[living_area_range]],Lookups!$F$47:$H$56,3,FALSE),1)</f>
        <v>0.95799442568048754</v>
      </c>
      <c r="BX801" s="4">
        <f>AVERAGE(Grandview_Inventory[[#This Row],[qual_adj]:[size_adj]])</f>
        <v>0.96575298761095152</v>
      </c>
      <c r="BY801" s="6">
        <f>IF(Grandview_Inventory[[#This Row],[pre_res]]&lt;0,0,Grandview_Inventory[[#This Row],[pre_res]]*Grandview_Inventory[[#This Row],[overall_adj]])</f>
        <v>317091.96340174717</v>
      </c>
      <c r="BZ801" s="6">
        <f>(Grandview_Inventory[[#This Row],[sum_land]]-IF(Grandview_Inventory[[#This Row],[no_utilities]]=1,12000,0))/IF(Grandview_Inventory[[#This Row],[unbuildable]]=1,2,1)</f>
        <v>53250.00235313351</v>
      </c>
      <c r="CA801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801">
        <f>ROUND(Grandview_Inventory[[#This Row],[det_value]]*Lookups!$M$28,-2)</f>
        <v>17500</v>
      </c>
      <c r="CC801">
        <f>IF(ROUND(Grandview_Inventory[[#This Row],[adj_res]]*Lookups!$M$28,-2)&lt;Grandview_Inventory[[#This Row],[min_res]],Grandview_Inventory[[#This Row],[min_res]],ROUND(Grandview_Inventory[[#This Row],[adj_res]]*Lookups!$M$28,-2))</f>
        <v>301200</v>
      </c>
      <c r="CD801">
        <f>Grandview_Inventory[[#This Row],[final_det]]+Grandview_Inventory[[#This Row],[final_res]]</f>
        <v>318700</v>
      </c>
      <c r="CE801">
        <f>Grandview_Inventory[[#This Row],[final_land]]+Grandview_Inventory[[#This Row],[final_imp]]+Grandview_Inventory[[#This Row],[crop_value]]</f>
        <v>369300</v>
      </c>
      <c r="CG801" t="str">
        <f t="shared" si="12"/>
        <v>update valuation set market_land =50600, market_bldg=318700, market_total =369300, market_mdno =401, market_date ='9/10/2023' where link_id = (select link_id from parcel where parcel_year = '2024' and parcel_id = '23092232420');</v>
      </c>
    </row>
    <row r="802" spans="1:85" x14ac:dyDescent="0.25">
      <c r="A802">
        <v>23092232421</v>
      </c>
      <c r="B802">
        <v>0.43</v>
      </c>
      <c r="C802">
        <v>18639</v>
      </c>
      <c r="D802" t="s">
        <v>129</v>
      </c>
      <c r="E802" t="s">
        <v>53</v>
      </c>
      <c r="F802" t="s">
        <v>53</v>
      </c>
      <c r="G802">
        <v>4</v>
      </c>
      <c r="H802" t="s">
        <v>54</v>
      </c>
      <c r="I802">
        <v>270400</v>
      </c>
      <c r="J802">
        <v>45900</v>
      </c>
      <c r="K802">
        <v>0.43</v>
      </c>
      <c r="L802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802">
        <v>0</v>
      </c>
      <c r="N802">
        <v>0</v>
      </c>
      <c r="O802">
        <v>0</v>
      </c>
      <c r="P802">
        <v>13398.7528</v>
      </c>
      <c r="Q802">
        <v>63903</v>
      </c>
      <c r="R802">
        <f>(Grandview_Inventory[[#This Row],[ln_acres]]*Grandview_Inventory[[#This Row],[coeff]])+Grandview_Inventory[[#This Row],[const]]</f>
        <v>52594.853657524982</v>
      </c>
      <c r="S802" t="s">
        <v>61</v>
      </c>
      <c r="T802">
        <v>1</v>
      </c>
      <c r="U802" t="s">
        <v>65</v>
      </c>
      <c r="V802" t="s">
        <v>69</v>
      </c>
      <c r="W802">
        <v>0</v>
      </c>
      <c r="X802">
        <v>0</v>
      </c>
      <c r="Y802">
        <v>45</v>
      </c>
      <c r="Z802">
        <v>52</v>
      </c>
      <c r="AA802">
        <v>60</v>
      </c>
      <c r="AB802">
        <v>3000</v>
      </c>
      <c r="AC802">
        <v>2569</v>
      </c>
      <c r="AD802">
        <v>2569</v>
      </c>
      <c r="AE802">
        <v>0</v>
      </c>
      <c r="AF802">
        <v>0</v>
      </c>
      <c r="AG802">
        <v>0</v>
      </c>
      <c r="AH802">
        <v>0</v>
      </c>
      <c r="AI802">
        <v>484</v>
      </c>
      <c r="AJ802">
        <v>0</v>
      </c>
      <c r="AK802">
        <v>0</v>
      </c>
      <c r="AL802">
        <v>0</v>
      </c>
      <c r="AM802">
        <v>416</v>
      </c>
      <c r="AN802">
        <v>20</v>
      </c>
      <c r="AO802">
        <v>0</v>
      </c>
      <c r="AP802">
        <v>11</v>
      </c>
      <c r="AQ802">
        <v>1</v>
      </c>
      <c r="AR802">
        <v>0</v>
      </c>
      <c r="AS802" t="s">
        <v>58</v>
      </c>
      <c r="AT802">
        <v>1</v>
      </c>
      <c r="AU802" t="s">
        <v>63</v>
      </c>
      <c r="AV802" t="s">
        <v>60</v>
      </c>
      <c r="AW802">
        <v>1</v>
      </c>
      <c r="AX802">
        <v>4</v>
      </c>
      <c r="AY802">
        <v>0</v>
      </c>
      <c r="AZ802">
        <v>0</v>
      </c>
      <c r="BA802">
        <v>100</v>
      </c>
      <c r="BB802">
        <v>100</v>
      </c>
      <c r="BC802">
        <v>100</v>
      </c>
      <c r="BD802">
        <v>100</v>
      </c>
      <c r="BE802">
        <v>1</v>
      </c>
      <c r="BF802">
        <v>15000</v>
      </c>
      <c r="BG802">
        <v>1000</v>
      </c>
      <c r="BH802" s="6">
        <f>Grandview_Inventory[[#This Row],[land_extract]]*Lookups!$B$3</f>
        <v>61078.261546378882</v>
      </c>
      <c r="BI802" s="6">
        <f>IF(Grandview_Inventory[[#This Row],[bldg_style]]="",0,Lookups!$B$2)</f>
        <v>155833.95000000001</v>
      </c>
      <c r="BJ802" s="6">
        <f>_xlfn.IFNA(VLOOKUP(Grandview_Inventory[[#This Row],[quality]],Lookups!$H$2:$J$14,3,FALSE),0)</f>
        <v>2251</v>
      </c>
      <c r="BK802" s="6">
        <f>_xlfn.IFNA(VLOOKUP(Grandview_Inventory[[#This Row],[condition]],Lookups!$H$17:$J$24,3,FALSE),0)</f>
        <v>-4503</v>
      </c>
      <c r="BL802" s="6">
        <f>Grandview_Inventory[[#This Row],[Eff_Age]]*Lookups!$B$14</f>
        <v>-10762.496999999999</v>
      </c>
      <c r="BM802" s="6">
        <f>Grandview_Inventory[[#This Row],[living_area]]*Lookups!$B$15</f>
        <v>160256.411357</v>
      </c>
      <c r="BN802" s="6">
        <f>Grandview_Inventory[[#This Row],[Fin BSMT]]*Lookups!$B$16</f>
        <v>0</v>
      </c>
      <c r="BO802" s="6">
        <f>(Grandview_Inventory[[#This Row],[att_gar]]+Grandview_Inventory[[#This Row],[bltin_gar]])*Lookups!$B$17</f>
        <v>42359.891508000001</v>
      </c>
      <c r="BP802" s="6">
        <f>Grandview_Inventory[[#This Row],[Plumbing Fixtures]]*Lookups!$B$18</f>
        <v>22114.859800000002</v>
      </c>
      <c r="BQ802" s="6">
        <f>Grandview_Inventory[[#This Row],[detatched_value]]*Lookups!$B$19</f>
        <v>0</v>
      </c>
      <c r="BR802" s="6">
        <f>SUM(Grandview_Inventory[[#This Row],[Intercept]:[det_value]])*Grandview_Inventory[[#This Row],[res_pct]]</f>
        <v>367550.61566499993</v>
      </c>
      <c r="BS802" s="6">
        <f>Grandview_Inventory[[#This Row],[land_value]]</f>
        <v>61078.261546378882</v>
      </c>
      <c r="BT802" s="4">
        <f>_xlfn.IFNA(VLOOKUP(Grandview_Inventory[[#This Row],[quality]],Lookups!$A$26:$C$33,3,FALSE),1)</f>
        <v>0.98763855981004833</v>
      </c>
      <c r="BU802" s="4">
        <f>_xlfn.IFNA(VLOOKUP(Grandview_Inventory[[#This Row],[condition]],Lookups!$A$37:$C$44,3,FALSE),1)</f>
        <v>0.96469275950863709</v>
      </c>
      <c r="BV802" s="4">
        <f>IF(Grandview_Inventory[[#This Row],[bldg_style]]="",1,_xlfn.IFNA(VLOOKUP(Grandview_Inventory[[#This Row],[decade]],Lookups!$F$29:$H$43,3,FALSE),1))</f>
        <v>0.95268620544463312</v>
      </c>
      <c r="BW802" s="4">
        <f>_xlfn.IFNA(VLOOKUP(Grandview_Inventory[[#This Row],[living_area_range]],Lookups!$F$47:$H$56,3,FALSE),1)</f>
        <v>0.94224801443562123</v>
      </c>
      <c r="BX802" s="4">
        <f>AVERAGE(Grandview_Inventory[[#This Row],[qual_adj]:[size_adj]])</f>
        <v>0.96181638479973497</v>
      </c>
      <c r="BY802" s="6">
        <f>IF(Grandview_Inventory[[#This Row],[pre_res]]&lt;0,0,Grandview_Inventory[[#This Row],[pre_res]]*Grandview_Inventory[[#This Row],[overall_adj]])</f>
        <v>353516.20438982709</v>
      </c>
      <c r="BZ802" s="6">
        <f>(Grandview_Inventory[[#This Row],[sum_land]]-IF(Grandview_Inventory[[#This Row],[no_utilities]]=1,12000,0))/IF(Grandview_Inventory[[#This Row],[unbuildable]]=1,2,1)</f>
        <v>61078.261546378882</v>
      </c>
      <c r="CA802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802">
        <f>ROUND(Grandview_Inventory[[#This Row],[det_value]]*Lookups!$M$28,-2)</f>
        <v>0</v>
      </c>
      <c r="CC802">
        <f>IF(ROUND(Grandview_Inventory[[#This Row],[adj_res]]*Lookups!$M$28,-2)&lt;Grandview_Inventory[[#This Row],[min_res]],Grandview_Inventory[[#This Row],[min_res]],ROUND(Grandview_Inventory[[#This Row],[adj_res]]*Lookups!$M$28,-2))</f>
        <v>335800</v>
      </c>
      <c r="CD802">
        <f>Grandview_Inventory[[#This Row],[final_det]]+Grandview_Inventory[[#This Row],[final_res]]</f>
        <v>335800</v>
      </c>
      <c r="CE802">
        <f>Grandview_Inventory[[#This Row],[final_land]]+Grandview_Inventory[[#This Row],[final_imp]]+Grandview_Inventory[[#This Row],[crop_value]]</f>
        <v>393800</v>
      </c>
      <c r="CG802" t="str">
        <f t="shared" si="12"/>
        <v>update valuation set market_land =58000, market_bldg=335800, market_total =393800, market_mdno =401, market_date ='9/10/2023' where link_id = (select link_id from parcel where parcel_year = '2024' and parcel_id = '23092232421');</v>
      </c>
    </row>
    <row r="803" spans="1:85" x14ac:dyDescent="0.25">
      <c r="A803">
        <v>23092232422</v>
      </c>
      <c r="B803">
        <v>0.46</v>
      </c>
      <c r="C803">
        <v>19950</v>
      </c>
      <c r="D803" t="s">
        <v>129</v>
      </c>
      <c r="E803" t="s">
        <v>53</v>
      </c>
      <c r="F803" t="s">
        <v>53</v>
      </c>
      <c r="G803">
        <v>4</v>
      </c>
      <c r="H803" t="s">
        <v>54</v>
      </c>
      <c r="I803">
        <v>194500</v>
      </c>
      <c r="J803">
        <v>46100</v>
      </c>
      <c r="K803">
        <v>0.46</v>
      </c>
      <c r="L803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803">
        <v>0</v>
      </c>
      <c r="N803">
        <v>0</v>
      </c>
      <c r="O803">
        <v>0</v>
      </c>
      <c r="P803">
        <v>13398.7528</v>
      </c>
      <c r="Q803">
        <v>63903</v>
      </c>
      <c r="R803">
        <f>(Grandview_Inventory[[#This Row],[ln_acres]]*Grandview_Inventory[[#This Row],[coeff]])+Grandview_Inventory[[#This Row],[const]]</f>
        <v>53498.482707419709</v>
      </c>
      <c r="S803" t="s">
        <v>61</v>
      </c>
      <c r="T803">
        <v>1</v>
      </c>
      <c r="U803" t="s">
        <v>65</v>
      </c>
      <c r="V803" t="s">
        <v>69</v>
      </c>
      <c r="W803">
        <v>0</v>
      </c>
      <c r="X803">
        <v>0</v>
      </c>
      <c r="Y803">
        <v>46</v>
      </c>
      <c r="Z803">
        <v>54</v>
      </c>
      <c r="AA803">
        <v>60</v>
      </c>
      <c r="AB803">
        <v>2000</v>
      </c>
      <c r="AC803">
        <v>1818</v>
      </c>
      <c r="AD803">
        <v>1818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571</v>
      </c>
      <c r="AN803">
        <v>68</v>
      </c>
      <c r="AO803">
        <v>0</v>
      </c>
      <c r="AP803">
        <v>8</v>
      </c>
      <c r="AQ803">
        <v>1</v>
      </c>
      <c r="AR803">
        <v>0</v>
      </c>
      <c r="AS803" t="s">
        <v>58</v>
      </c>
      <c r="AT803">
        <v>1</v>
      </c>
      <c r="AU803" t="s">
        <v>63</v>
      </c>
      <c r="AV803" t="s">
        <v>60</v>
      </c>
      <c r="AW803">
        <v>1</v>
      </c>
      <c r="AX803">
        <v>3</v>
      </c>
      <c r="AY803">
        <v>0</v>
      </c>
      <c r="AZ803">
        <v>0</v>
      </c>
      <c r="BA803">
        <v>100</v>
      </c>
      <c r="BB803">
        <v>100</v>
      </c>
      <c r="BC803">
        <v>100</v>
      </c>
      <c r="BD803">
        <v>100</v>
      </c>
      <c r="BE803">
        <v>1</v>
      </c>
      <c r="BF803">
        <v>15000</v>
      </c>
      <c r="BG803">
        <v>1000</v>
      </c>
      <c r="BH803" s="6">
        <f>Grandview_Inventory[[#This Row],[land_extract]]*Lookups!$B$3</f>
        <v>62127.643522223196</v>
      </c>
      <c r="BI803" s="6">
        <f>IF(Grandview_Inventory[[#This Row],[bldg_style]]="",0,Lookups!$B$2)</f>
        <v>155833.95000000001</v>
      </c>
      <c r="BJ803" s="6">
        <f>_xlfn.IFNA(VLOOKUP(Grandview_Inventory[[#This Row],[quality]],Lookups!$H$2:$J$14,3,FALSE),0)</f>
        <v>2251</v>
      </c>
      <c r="BK803" s="6">
        <f>_xlfn.IFNA(VLOOKUP(Grandview_Inventory[[#This Row],[condition]],Lookups!$H$17:$J$24,3,FALSE),0)</f>
        <v>-4503</v>
      </c>
      <c r="BL803" s="6">
        <f>Grandview_Inventory[[#This Row],[Eff_Age]]*Lookups!$B$14</f>
        <v>-11001.6636</v>
      </c>
      <c r="BM803" s="6">
        <f>Grandview_Inventory[[#This Row],[living_area]]*Lookups!$B$15</f>
        <v>113408.39075400001</v>
      </c>
      <c r="BN803" s="6">
        <f>Grandview_Inventory[[#This Row],[Fin BSMT]]*Lookups!$B$16</f>
        <v>0</v>
      </c>
      <c r="BO803" s="6">
        <f>(Grandview_Inventory[[#This Row],[att_gar]]+Grandview_Inventory[[#This Row],[bltin_gar]])*Lookups!$B$17</f>
        <v>0</v>
      </c>
      <c r="BP803" s="6">
        <f>Grandview_Inventory[[#This Row],[Plumbing Fixtures]]*Lookups!$B$18</f>
        <v>16083.5344</v>
      </c>
      <c r="BQ803" s="6">
        <f>Grandview_Inventory[[#This Row],[detatched_value]]*Lookups!$B$19</f>
        <v>0</v>
      </c>
      <c r="BR803" s="6">
        <f>SUM(Grandview_Inventory[[#This Row],[Intercept]:[det_value]])*Grandview_Inventory[[#This Row],[res_pct]]</f>
        <v>272072.21155400004</v>
      </c>
      <c r="BS803" s="6">
        <f>Grandview_Inventory[[#This Row],[land_value]]</f>
        <v>62127.643522223196</v>
      </c>
      <c r="BT803" s="4">
        <f>_xlfn.IFNA(VLOOKUP(Grandview_Inventory[[#This Row],[quality]],Lookups!$A$26:$C$33,3,FALSE),1)</f>
        <v>0.98763855981004833</v>
      </c>
      <c r="BU803" s="4">
        <f>_xlfn.IFNA(VLOOKUP(Grandview_Inventory[[#This Row],[condition]],Lookups!$A$37:$C$44,3,FALSE),1)</f>
        <v>0.96469275950863709</v>
      </c>
      <c r="BV803" s="4">
        <f>IF(Grandview_Inventory[[#This Row],[bldg_style]]="",1,_xlfn.IFNA(VLOOKUP(Grandview_Inventory[[#This Row],[decade]],Lookups!$F$29:$H$43,3,FALSE),1))</f>
        <v>0.95268620544463312</v>
      </c>
      <c r="BW803" s="4">
        <f>_xlfn.IFNA(VLOOKUP(Grandview_Inventory[[#This Row],[living_area_range]],Lookups!$F$47:$H$56,3,FALSE),1)</f>
        <v>0.96120133463014379</v>
      </c>
      <c r="BX803" s="4">
        <f>AVERAGE(Grandview_Inventory[[#This Row],[qual_adj]:[size_adj]])</f>
        <v>0.96655471484836553</v>
      </c>
      <c r="BY803" s="6">
        <f>IF(Grandview_Inventory[[#This Row],[pre_res]]&lt;0,0,Grandview_Inventory[[#This Row],[pre_res]]*Grandview_Inventory[[#This Row],[overall_adj]])</f>
        <v>262972.67885674071</v>
      </c>
      <c r="BZ803" s="6">
        <f>(Grandview_Inventory[[#This Row],[sum_land]]-IF(Grandview_Inventory[[#This Row],[no_utilities]]=1,12000,0))/IF(Grandview_Inventory[[#This Row],[unbuildable]]=1,2,1)</f>
        <v>62127.643522223196</v>
      </c>
      <c r="CA803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803">
        <f>ROUND(Grandview_Inventory[[#This Row],[det_value]]*Lookups!$M$28,-2)</f>
        <v>0</v>
      </c>
      <c r="CC803">
        <f>IF(ROUND(Grandview_Inventory[[#This Row],[adj_res]]*Lookups!$M$28,-2)&lt;Grandview_Inventory[[#This Row],[min_res]],Grandview_Inventory[[#This Row],[min_res]],ROUND(Grandview_Inventory[[#This Row],[adj_res]]*Lookups!$M$28,-2))</f>
        <v>249800</v>
      </c>
      <c r="CD803">
        <f>Grandview_Inventory[[#This Row],[final_det]]+Grandview_Inventory[[#This Row],[final_res]]</f>
        <v>249800</v>
      </c>
      <c r="CE803">
        <f>Grandview_Inventory[[#This Row],[final_land]]+Grandview_Inventory[[#This Row],[final_imp]]+Grandview_Inventory[[#This Row],[crop_value]]</f>
        <v>308800</v>
      </c>
      <c r="CG803" t="str">
        <f t="shared" si="12"/>
        <v>update valuation set market_land =59000, market_bldg=249800, market_total =308800, market_mdno =401, market_date ='9/10/2023' where link_id = (select link_id from parcel where parcel_year = '2024' and parcel_id = '23092232422');</v>
      </c>
    </row>
    <row r="804" spans="1:85" x14ac:dyDescent="0.25">
      <c r="A804">
        <v>23092232423</v>
      </c>
      <c r="B804">
        <v>0.5</v>
      </c>
      <c r="C804">
        <v>21624</v>
      </c>
      <c r="D804" t="s">
        <v>129</v>
      </c>
      <c r="E804" t="s">
        <v>53</v>
      </c>
      <c r="F804" t="s">
        <v>53</v>
      </c>
      <c r="G804">
        <v>4</v>
      </c>
      <c r="H804" t="s">
        <v>54</v>
      </c>
      <c r="I804">
        <v>141400</v>
      </c>
      <c r="J804">
        <v>41900</v>
      </c>
      <c r="K804">
        <v>0.5</v>
      </c>
      <c r="L804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804">
        <v>0</v>
      </c>
      <c r="N804">
        <v>0</v>
      </c>
      <c r="O804">
        <v>0</v>
      </c>
      <c r="P804">
        <v>13398.7528</v>
      </c>
      <c r="Q804">
        <v>63903</v>
      </c>
      <c r="R804">
        <f>(Grandview_Inventory[[#This Row],[ln_acres]]*Grandview_Inventory[[#This Row],[coeff]])+Grandview_Inventory[[#This Row],[const]]</f>
        <v>54615.69227366033</v>
      </c>
      <c r="S804" t="s">
        <v>61</v>
      </c>
      <c r="T804">
        <v>1</v>
      </c>
      <c r="U804" t="s">
        <v>65</v>
      </c>
      <c r="V804" t="s">
        <v>78</v>
      </c>
      <c r="W804">
        <v>0</v>
      </c>
      <c r="X804">
        <v>0</v>
      </c>
      <c r="Y804">
        <v>47</v>
      </c>
      <c r="Z804">
        <v>56</v>
      </c>
      <c r="AA804">
        <v>60</v>
      </c>
      <c r="AB804">
        <v>1500</v>
      </c>
      <c r="AC804">
        <v>1200</v>
      </c>
      <c r="AD804">
        <v>1200</v>
      </c>
      <c r="AE804">
        <v>0</v>
      </c>
      <c r="AF804">
        <v>0</v>
      </c>
      <c r="AG804">
        <v>0</v>
      </c>
      <c r="AH804">
        <v>1200</v>
      </c>
      <c r="AI804">
        <v>498</v>
      </c>
      <c r="AJ804">
        <v>0</v>
      </c>
      <c r="AK804">
        <v>0</v>
      </c>
      <c r="AL804">
        <v>432</v>
      </c>
      <c r="AM804">
        <v>0</v>
      </c>
      <c r="AN804">
        <v>0</v>
      </c>
      <c r="AO804">
        <v>176</v>
      </c>
      <c r="AP804">
        <v>8</v>
      </c>
      <c r="AQ804">
        <v>0</v>
      </c>
      <c r="AR804">
        <v>0</v>
      </c>
      <c r="AS804" t="s">
        <v>58</v>
      </c>
      <c r="AT804">
        <v>1</v>
      </c>
      <c r="AU804" t="s">
        <v>63</v>
      </c>
      <c r="AV804" t="s">
        <v>64</v>
      </c>
      <c r="AW804">
        <v>1</v>
      </c>
      <c r="AX804">
        <v>3</v>
      </c>
      <c r="AY804">
        <v>0</v>
      </c>
      <c r="AZ804">
        <v>0</v>
      </c>
      <c r="BA804">
        <v>100</v>
      </c>
      <c r="BB804">
        <v>100</v>
      </c>
      <c r="BC804">
        <v>100</v>
      </c>
      <c r="BD804">
        <v>100</v>
      </c>
      <c r="BE804">
        <v>1</v>
      </c>
      <c r="BF804">
        <v>15000</v>
      </c>
      <c r="BG804">
        <v>1000</v>
      </c>
      <c r="BH804" s="6">
        <f>Grandview_Inventory[[#This Row],[land_extract]]*Lookups!$B$3</f>
        <v>63425.055975032599</v>
      </c>
      <c r="BI804" s="6">
        <f>IF(Grandview_Inventory[[#This Row],[bldg_style]]="",0,Lookups!$B$2)</f>
        <v>155833.95000000001</v>
      </c>
      <c r="BJ804" s="6">
        <f>_xlfn.IFNA(VLOOKUP(Grandview_Inventory[[#This Row],[quality]],Lookups!$H$2:$J$14,3,FALSE),0)</f>
        <v>2251</v>
      </c>
      <c r="BK804" s="6">
        <f>_xlfn.IFNA(VLOOKUP(Grandview_Inventory[[#This Row],[condition]],Lookups!$H$17:$J$24,3,FALSE),0)</f>
        <v>-45357</v>
      </c>
      <c r="BL804" s="6">
        <f>Grandview_Inventory[[#This Row],[Eff_Age]]*Lookups!$B$14</f>
        <v>-11240.8302</v>
      </c>
      <c r="BM804" s="6">
        <f>Grandview_Inventory[[#This Row],[living_area]]*Lookups!$B$15</f>
        <v>74857.0236</v>
      </c>
      <c r="BN804" s="6">
        <f>Grandview_Inventory[[#This Row],[Fin BSMT]]*Lookups!$B$16</f>
        <v>0</v>
      </c>
      <c r="BO804" s="6">
        <f>(Grandview_Inventory[[#This Row],[att_gar]]+Grandview_Inventory[[#This Row],[bltin_gar]])*Lookups!$B$17</f>
        <v>43585.177625999997</v>
      </c>
      <c r="BP804" s="6">
        <f>Grandview_Inventory[[#This Row],[Plumbing Fixtures]]*Lookups!$B$18</f>
        <v>16083.5344</v>
      </c>
      <c r="BQ804" s="6">
        <f>Grandview_Inventory[[#This Row],[detatched_value]]*Lookups!$B$19</f>
        <v>0</v>
      </c>
      <c r="BR804" s="6">
        <f>SUM(Grandview_Inventory[[#This Row],[Intercept]:[det_value]])*Grandview_Inventory[[#This Row],[res_pct]]</f>
        <v>236012.85542599999</v>
      </c>
      <c r="BS804" s="6">
        <f>Grandview_Inventory[[#This Row],[land_value]]</f>
        <v>63425.055975032599</v>
      </c>
      <c r="BT804" s="4">
        <f>_xlfn.IFNA(VLOOKUP(Grandview_Inventory[[#This Row],[quality]],Lookups!$A$26:$C$33,3,FALSE),1)</f>
        <v>0.98763855981004833</v>
      </c>
      <c r="BU804" s="4">
        <f>_xlfn.IFNA(VLOOKUP(Grandview_Inventory[[#This Row],[condition]],Lookups!$A$37:$C$44,3,FALSE),1)</f>
        <v>0.97161819570155394</v>
      </c>
      <c r="BV804" s="4">
        <f>IF(Grandview_Inventory[[#This Row],[bldg_style]]="",1,_xlfn.IFNA(VLOOKUP(Grandview_Inventory[[#This Row],[decade]],Lookups!$F$29:$H$43,3,FALSE),1))</f>
        <v>0.95268620544463312</v>
      </c>
      <c r="BW804" s="4">
        <f>_xlfn.IFNA(VLOOKUP(Grandview_Inventory[[#This Row],[living_area_range]],Lookups!$F$47:$H$56,3,FALSE),1)</f>
        <v>0.96135087979789358</v>
      </c>
      <c r="BX804" s="4">
        <f>AVERAGE(Grandview_Inventory[[#This Row],[qual_adj]:[size_adj]])</f>
        <v>0.96832346018853221</v>
      </c>
      <c r="BY804" s="6">
        <f>IF(Grandview_Inventory[[#This Row],[pre_res]]&lt;0,0,Grandview_Inventory[[#This Row],[pre_res]]*Grandview_Inventory[[#This Row],[overall_adj]])</f>
        <v>228536.78481508011</v>
      </c>
      <c r="BZ804" s="6">
        <f>(Grandview_Inventory[[#This Row],[sum_land]]-IF(Grandview_Inventory[[#This Row],[no_utilities]]=1,12000,0))/IF(Grandview_Inventory[[#This Row],[unbuildable]]=1,2,1)</f>
        <v>63425.055975032599</v>
      </c>
      <c r="CA804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804">
        <f>ROUND(Grandview_Inventory[[#This Row],[det_value]]*Lookups!$M$28,-2)</f>
        <v>0</v>
      </c>
      <c r="CC804">
        <f>IF(ROUND(Grandview_Inventory[[#This Row],[adj_res]]*Lookups!$M$28,-2)&lt;Grandview_Inventory[[#This Row],[min_res]],Grandview_Inventory[[#This Row],[min_res]],ROUND(Grandview_Inventory[[#This Row],[adj_res]]*Lookups!$M$28,-2))</f>
        <v>217100</v>
      </c>
      <c r="CD804">
        <f>Grandview_Inventory[[#This Row],[final_det]]+Grandview_Inventory[[#This Row],[final_res]]</f>
        <v>217100</v>
      </c>
      <c r="CE804">
        <f>Grandview_Inventory[[#This Row],[final_land]]+Grandview_Inventory[[#This Row],[final_imp]]+Grandview_Inventory[[#This Row],[crop_value]]</f>
        <v>277400</v>
      </c>
      <c r="CG804" t="str">
        <f t="shared" si="12"/>
        <v>update valuation set market_land =60300, market_bldg=217100, market_total =277400, market_mdno =401, market_date ='9/10/2023' where link_id = (select link_id from parcel where parcel_year = '2024' and parcel_id = '23092232423');</v>
      </c>
    </row>
    <row r="805" spans="1:85" x14ac:dyDescent="0.25">
      <c r="A805">
        <v>23092232424</v>
      </c>
      <c r="B805">
        <v>0.42</v>
      </c>
      <c r="C805">
        <v>18433</v>
      </c>
      <c r="D805" t="s">
        <v>129</v>
      </c>
      <c r="E805" t="s">
        <v>53</v>
      </c>
      <c r="F805" t="s">
        <v>53</v>
      </c>
      <c r="G805">
        <v>4</v>
      </c>
      <c r="H805" t="s">
        <v>54</v>
      </c>
      <c r="I805">
        <v>191400</v>
      </c>
      <c r="J805">
        <v>45800</v>
      </c>
      <c r="K805">
        <v>0.42</v>
      </c>
      <c r="L805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805">
        <v>0</v>
      </c>
      <c r="N805">
        <v>0</v>
      </c>
      <c r="O805">
        <v>0</v>
      </c>
      <c r="P805">
        <v>13398.7528</v>
      </c>
      <c r="Q805">
        <v>63903</v>
      </c>
      <c r="R805">
        <f>(Grandview_Inventory[[#This Row],[ln_acres]]*Grandview_Inventory[[#This Row],[coeff]])+Grandview_Inventory[[#This Row],[const]]</f>
        <v>52279.574339464751</v>
      </c>
      <c r="S805" t="s">
        <v>77</v>
      </c>
      <c r="T805">
        <v>1</v>
      </c>
      <c r="U805" t="s">
        <v>65</v>
      </c>
      <c r="V805" t="s">
        <v>69</v>
      </c>
      <c r="W805">
        <v>0</v>
      </c>
      <c r="X805">
        <v>0</v>
      </c>
      <c r="Y805">
        <v>46</v>
      </c>
      <c r="Z805">
        <v>55</v>
      </c>
      <c r="AA805">
        <v>60</v>
      </c>
      <c r="AB805">
        <v>2000</v>
      </c>
      <c r="AC805">
        <v>1736</v>
      </c>
      <c r="AD805">
        <v>1120</v>
      </c>
      <c r="AE805">
        <v>0</v>
      </c>
      <c r="AF805">
        <v>0</v>
      </c>
      <c r="AG805">
        <v>616</v>
      </c>
      <c r="AH805">
        <v>0</v>
      </c>
      <c r="AI805">
        <v>0</v>
      </c>
      <c r="AJ805">
        <v>504</v>
      </c>
      <c r="AK805">
        <v>0</v>
      </c>
      <c r="AL805">
        <v>0</v>
      </c>
      <c r="AM805">
        <v>378</v>
      </c>
      <c r="AN805">
        <v>0</v>
      </c>
      <c r="AO805">
        <v>378</v>
      </c>
      <c r="AP805">
        <v>7</v>
      </c>
      <c r="AQ805">
        <v>0</v>
      </c>
      <c r="AR805">
        <v>1</v>
      </c>
      <c r="AS805" t="s">
        <v>58</v>
      </c>
      <c r="AT805">
        <v>1</v>
      </c>
      <c r="AU805" t="s">
        <v>63</v>
      </c>
      <c r="AV805" t="s">
        <v>60</v>
      </c>
      <c r="AW805">
        <v>0</v>
      </c>
      <c r="AX805">
        <v>3</v>
      </c>
      <c r="AY805">
        <v>0</v>
      </c>
      <c r="AZ805">
        <v>0</v>
      </c>
      <c r="BA805">
        <v>100</v>
      </c>
      <c r="BB805">
        <v>100</v>
      </c>
      <c r="BC805">
        <v>100</v>
      </c>
      <c r="BD805">
        <v>100</v>
      </c>
      <c r="BE805">
        <v>1</v>
      </c>
      <c r="BF805">
        <v>15000</v>
      </c>
      <c r="BG805">
        <v>1000</v>
      </c>
      <c r="BH805" s="6">
        <f>Grandview_Inventory[[#This Row],[land_extract]]*Lookups!$B$3</f>
        <v>60712.1285255697</v>
      </c>
      <c r="BI805" s="6">
        <f>IF(Grandview_Inventory[[#This Row],[bldg_style]]="",0,Lookups!$B$2)</f>
        <v>155833.95000000001</v>
      </c>
      <c r="BJ805" s="6">
        <f>_xlfn.IFNA(VLOOKUP(Grandview_Inventory[[#This Row],[quality]],Lookups!$H$2:$J$14,3,FALSE),0)</f>
        <v>2251</v>
      </c>
      <c r="BK805" s="6">
        <f>_xlfn.IFNA(VLOOKUP(Grandview_Inventory[[#This Row],[condition]],Lookups!$H$17:$J$24,3,FALSE),0)</f>
        <v>-4503</v>
      </c>
      <c r="BL805" s="6">
        <f>Grandview_Inventory[[#This Row],[Eff_Age]]*Lookups!$B$14</f>
        <v>-11001.6636</v>
      </c>
      <c r="BM805" s="6">
        <f>Grandview_Inventory[[#This Row],[living_area]]*Lookups!$B$15</f>
        <v>108293.160808</v>
      </c>
      <c r="BN805" s="6">
        <f>Grandview_Inventory[[#This Row],[Fin BSMT]]*Lookups!$B$16</f>
        <v>-16693.131840000002</v>
      </c>
      <c r="BO805" s="6">
        <f>(Grandview_Inventory[[#This Row],[att_gar]]+Grandview_Inventory[[#This Row],[bltin_gar]])*Lookups!$B$17</f>
        <v>44110.300248</v>
      </c>
      <c r="BP805" s="6">
        <f>Grandview_Inventory[[#This Row],[Plumbing Fixtures]]*Lookups!$B$18</f>
        <v>14073.0926</v>
      </c>
      <c r="BQ805" s="6">
        <f>Grandview_Inventory[[#This Row],[detatched_value]]*Lookups!$B$19</f>
        <v>0</v>
      </c>
      <c r="BR805" s="6">
        <f>SUM(Grandview_Inventory[[#This Row],[Intercept]:[det_value]])*Grandview_Inventory[[#This Row],[res_pct]]</f>
        <v>292363.708216</v>
      </c>
      <c r="BS805" s="6">
        <f>Grandview_Inventory[[#This Row],[land_value]]</f>
        <v>60712.1285255697</v>
      </c>
      <c r="BT805" s="4">
        <f>_xlfn.IFNA(VLOOKUP(Grandview_Inventory[[#This Row],[quality]],Lookups!$A$26:$C$33,3,FALSE),1)</f>
        <v>0.98763855981004833</v>
      </c>
      <c r="BU805" s="4">
        <f>_xlfn.IFNA(VLOOKUP(Grandview_Inventory[[#This Row],[condition]],Lookups!$A$37:$C$44,3,FALSE),1)</f>
        <v>0.96469275950863709</v>
      </c>
      <c r="BV805" s="4">
        <f>IF(Grandview_Inventory[[#This Row],[bldg_style]]="",1,_xlfn.IFNA(VLOOKUP(Grandview_Inventory[[#This Row],[decade]],Lookups!$F$29:$H$43,3,FALSE),1))</f>
        <v>0.95268620544463312</v>
      </c>
      <c r="BW805" s="4">
        <f>_xlfn.IFNA(VLOOKUP(Grandview_Inventory[[#This Row],[living_area_range]],Lookups!$F$47:$H$56,3,FALSE),1)</f>
        <v>0.96120133463014379</v>
      </c>
      <c r="BX805" s="4">
        <f>AVERAGE(Grandview_Inventory[[#This Row],[qual_adj]:[size_adj]])</f>
        <v>0.96655471484836553</v>
      </c>
      <c r="BY805" s="6">
        <f>IF(Grandview_Inventory[[#This Row],[pre_res]]&lt;0,0,Grandview_Inventory[[#This Row],[pre_res]]*Grandview_Inventory[[#This Row],[overall_adj]])</f>
        <v>282585.52062672662</v>
      </c>
      <c r="BZ805" s="6">
        <f>(Grandview_Inventory[[#This Row],[sum_land]]-IF(Grandview_Inventory[[#This Row],[no_utilities]]=1,12000,0))/IF(Grandview_Inventory[[#This Row],[unbuildable]]=1,2,1)</f>
        <v>60712.1285255697</v>
      </c>
      <c r="CA805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805">
        <f>ROUND(Grandview_Inventory[[#This Row],[det_value]]*Lookups!$M$28,-2)</f>
        <v>0</v>
      </c>
      <c r="CC805">
        <f>IF(ROUND(Grandview_Inventory[[#This Row],[adj_res]]*Lookups!$M$28,-2)&lt;Grandview_Inventory[[#This Row],[min_res]],Grandview_Inventory[[#This Row],[min_res]],ROUND(Grandview_Inventory[[#This Row],[adj_res]]*Lookups!$M$28,-2))</f>
        <v>268500</v>
      </c>
      <c r="CD805">
        <f>Grandview_Inventory[[#This Row],[final_det]]+Grandview_Inventory[[#This Row],[final_res]]</f>
        <v>268500</v>
      </c>
      <c r="CE805">
        <f>Grandview_Inventory[[#This Row],[final_land]]+Grandview_Inventory[[#This Row],[final_imp]]+Grandview_Inventory[[#This Row],[crop_value]]</f>
        <v>326200</v>
      </c>
      <c r="CG805" t="str">
        <f t="shared" si="12"/>
        <v>update valuation set market_land =57700, market_bldg=268500, market_total =326200, market_mdno =401, market_date ='9/10/2023' where link_id = (select link_id from parcel where parcel_year = '2024' and parcel_id = '23092232424');</v>
      </c>
    </row>
    <row r="806" spans="1:85" x14ac:dyDescent="0.25">
      <c r="A806">
        <v>23092232425</v>
      </c>
      <c r="B806">
        <v>0.47</v>
      </c>
      <c r="C806">
        <v>20438</v>
      </c>
      <c r="D806" t="s">
        <v>129</v>
      </c>
      <c r="E806" t="s">
        <v>53</v>
      </c>
      <c r="F806" t="s">
        <v>53</v>
      </c>
      <c r="G806">
        <v>4</v>
      </c>
      <c r="H806" t="s">
        <v>54</v>
      </c>
      <c r="I806">
        <v>201600</v>
      </c>
      <c r="J806">
        <v>46100</v>
      </c>
      <c r="K806">
        <v>0.47</v>
      </c>
      <c r="L806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806">
        <v>0</v>
      </c>
      <c r="N806">
        <v>0</v>
      </c>
      <c r="O806">
        <v>0</v>
      </c>
      <c r="P806">
        <v>13398.7528</v>
      </c>
      <c r="Q806">
        <v>63903</v>
      </c>
      <c r="R806">
        <f>(Grandview_Inventory[[#This Row],[ln_acres]]*Grandview_Inventory[[#This Row],[coeff]])+Grandview_Inventory[[#This Row],[const]]</f>
        <v>53786.639034841472</v>
      </c>
      <c r="S806" t="s">
        <v>61</v>
      </c>
      <c r="T806">
        <v>1</v>
      </c>
      <c r="U806" t="s">
        <v>65</v>
      </c>
      <c r="V806" t="s">
        <v>69</v>
      </c>
      <c r="W806">
        <v>0</v>
      </c>
      <c r="X806">
        <v>0</v>
      </c>
      <c r="Y806">
        <v>46</v>
      </c>
      <c r="Z806">
        <v>55</v>
      </c>
      <c r="AA806">
        <v>60</v>
      </c>
      <c r="AB806">
        <v>2500</v>
      </c>
      <c r="AC806">
        <v>2128</v>
      </c>
      <c r="AD806">
        <v>1064</v>
      </c>
      <c r="AE806">
        <v>0</v>
      </c>
      <c r="AF806">
        <v>0</v>
      </c>
      <c r="AG806">
        <v>1064</v>
      </c>
      <c r="AH806">
        <v>0</v>
      </c>
      <c r="AI806">
        <v>308</v>
      </c>
      <c r="AJ806">
        <v>0</v>
      </c>
      <c r="AK806">
        <v>0</v>
      </c>
      <c r="AL806">
        <v>0</v>
      </c>
      <c r="AM806">
        <v>853</v>
      </c>
      <c r="AN806">
        <v>0</v>
      </c>
      <c r="AO806">
        <v>320</v>
      </c>
      <c r="AP806">
        <v>7</v>
      </c>
      <c r="AQ806">
        <v>0</v>
      </c>
      <c r="AR806">
        <v>2</v>
      </c>
      <c r="AS806" t="s">
        <v>58</v>
      </c>
      <c r="AT806">
        <v>1</v>
      </c>
      <c r="AU806" t="s">
        <v>63</v>
      </c>
      <c r="AV806" t="s">
        <v>64</v>
      </c>
      <c r="AW806">
        <v>1</v>
      </c>
      <c r="AX806">
        <v>4</v>
      </c>
      <c r="AY806">
        <v>0</v>
      </c>
      <c r="AZ806">
        <v>0</v>
      </c>
      <c r="BA806">
        <v>100</v>
      </c>
      <c r="BB806">
        <v>100</v>
      </c>
      <c r="BC806">
        <v>100</v>
      </c>
      <c r="BD806">
        <v>100</v>
      </c>
      <c r="BE806">
        <v>1</v>
      </c>
      <c r="BF806">
        <v>15000</v>
      </c>
      <c r="BG806">
        <v>1000</v>
      </c>
      <c r="BH806" s="6">
        <f>Grandview_Inventory[[#This Row],[land_extract]]*Lookups!$B$3</f>
        <v>62462.278687236008</v>
      </c>
      <c r="BI806" s="6">
        <f>IF(Grandview_Inventory[[#This Row],[bldg_style]]="",0,Lookups!$B$2)</f>
        <v>155833.95000000001</v>
      </c>
      <c r="BJ806" s="6">
        <f>_xlfn.IFNA(VLOOKUP(Grandview_Inventory[[#This Row],[quality]],Lookups!$H$2:$J$14,3,FALSE),0)</f>
        <v>2251</v>
      </c>
      <c r="BK806" s="6">
        <f>_xlfn.IFNA(VLOOKUP(Grandview_Inventory[[#This Row],[condition]],Lookups!$H$17:$J$24,3,FALSE),0)</f>
        <v>-4503</v>
      </c>
      <c r="BL806" s="6">
        <f>Grandview_Inventory[[#This Row],[Eff_Age]]*Lookups!$B$14</f>
        <v>-11001.6636</v>
      </c>
      <c r="BM806" s="6">
        <f>Grandview_Inventory[[#This Row],[living_area]]*Lookups!$B$15</f>
        <v>132746.45518399999</v>
      </c>
      <c r="BN806" s="6">
        <f>Grandview_Inventory[[#This Row],[Fin BSMT]]*Lookups!$B$16</f>
        <v>-28833.591360000002</v>
      </c>
      <c r="BO806" s="6">
        <f>(Grandview_Inventory[[#This Row],[att_gar]]+Grandview_Inventory[[#This Row],[bltin_gar]])*Lookups!$B$17</f>
        <v>26956.294596</v>
      </c>
      <c r="BP806" s="6">
        <f>Grandview_Inventory[[#This Row],[Plumbing Fixtures]]*Lookups!$B$18</f>
        <v>14073.0926</v>
      </c>
      <c r="BQ806" s="6">
        <f>Grandview_Inventory[[#This Row],[detatched_value]]*Lookups!$B$19</f>
        <v>0</v>
      </c>
      <c r="BR806" s="6">
        <f>SUM(Grandview_Inventory[[#This Row],[Intercept]:[det_value]])*Grandview_Inventory[[#This Row],[res_pct]]</f>
        <v>287522.53742000001</v>
      </c>
      <c r="BS806" s="6">
        <f>Grandview_Inventory[[#This Row],[land_value]]</f>
        <v>62462.278687236008</v>
      </c>
      <c r="BT806" s="4">
        <f>_xlfn.IFNA(VLOOKUP(Grandview_Inventory[[#This Row],[quality]],Lookups!$A$26:$C$33,3,FALSE),1)</f>
        <v>0.98763855981004833</v>
      </c>
      <c r="BU806" s="4">
        <f>_xlfn.IFNA(VLOOKUP(Grandview_Inventory[[#This Row],[condition]],Lookups!$A$37:$C$44,3,FALSE),1)</f>
        <v>0.96469275950863709</v>
      </c>
      <c r="BV806" s="4">
        <f>IF(Grandview_Inventory[[#This Row],[bldg_style]]="",1,_xlfn.IFNA(VLOOKUP(Grandview_Inventory[[#This Row],[decade]],Lookups!$F$29:$H$43,3,FALSE),1))</f>
        <v>0.95268620544463312</v>
      </c>
      <c r="BW806" s="4">
        <f>_xlfn.IFNA(VLOOKUP(Grandview_Inventory[[#This Row],[living_area_range]],Lookups!$F$47:$H$56,3,FALSE),1)</f>
        <v>0.95799442568048754</v>
      </c>
      <c r="BX806" s="4">
        <f>AVERAGE(Grandview_Inventory[[#This Row],[qual_adj]:[size_adj]])</f>
        <v>0.96575298761095152</v>
      </c>
      <c r="BY806" s="6">
        <f>IF(Grandview_Inventory[[#This Row],[pre_res]]&lt;0,0,Grandview_Inventory[[#This Row],[pre_res]]*Grandview_Inventory[[#This Row],[overall_adj]])</f>
        <v>277675.74951884663</v>
      </c>
      <c r="BZ806" s="6">
        <f>(Grandview_Inventory[[#This Row],[sum_land]]-IF(Grandview_Inventory[[#This Row],[no_utilities]]=1,12000,0))/IF(Grandview_Inventory[[#This Row],[unbuildable]]=1,2,1)</f>
        <v>62462.278687236008</v>
      </c>
      <c r="CA806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806">
        <f>ROUND(Grandview_Inventory[[#This Row],[det_value]]*Lookups!$M$28,-2)</f>
        <v>0</v>
      </c>
      <c r="CC806">
        <f>IF(ROUND(Grandview_Inventory[[#This Row],[adj_res]]*Lookups!$M$28,-2)&lt;Grandview_Inventory[[#This Row],[min_res]],Grandview_Inventory[[#This Row],[min_res]],ROUND(Grandview_Inventory[[#This Row],[adj_res]]*Lookups!$M$28,-2))</f>
        <v>263800</v>
      </c>
      <c r="CD806">
        <f>Grandview_Inventory[[#This Row],[final_det]]+Grandview_Inventory[[#This Row],[final_res]]</f>
        <v>263800</v>
      </c>
      <c r="CE806">
        <f>Grandview_Inventory[[#This Row],[final_land]]+Grandview_Inventory[[#This Row],[final_imp]]+Grandview_Inventory[[#This Row],[crop_value]]</f>
        <v>323100</v>
      </c>
      <c r="CG806" t="str">
        <f t="shared" si="12"/>
        <v>update valuation set market_land =59300, market_bldg=263800, market_total =323100, market_mdno =401, market_date ='9/10/2023' where link_id = (select link_id from parcel where parcel_year = '2024' and parcel_id = '23092232425');</v>
      </c>
    </row>
    <row r="807" spans="1:85" x14ac:dyDescent="0.25">
      <c r="A807">
        <v>23092232426</v>
      </c>
      <c r="B807">
        <v>0.5</v>
      </c>
      <c r="C807">
        <v>21686</v>
      </c>
      <c r="D807" t="s">
        <v>129</v>
      </c>
      <c r="E807" t="s">
        <v>53</v>
      </c>
      <c r="F807" t="s">
        <v>53</v>
      </c>
      <c r="G807">
        <v>4</v>
      </c>
      <c r="H807" t="s">
        <v>54</v>
      </c>
      <c r="I807">
        <v>177100</v>
      </c>
      <c r="J807">
        <v>46500</v>
      </c>
      <c r="K807">
        <v>0.5</v>
      </c>
      <c r="L807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807">
        <v>0</v>
      </c>
      <c r="N807">
        <v>0</v>
      </c>
      <c r="O807">
        <v>0</v>
      </c>
      <c r="P807">
        <v>13398.7528</v>
      </c>
      <c r="Q807">
        <v>63903</v>
      </c>
      <c r="R807">
        <f>(Grandview_Inventory[[#This Row],[ln_acres]]*Grandview_Inventory[[#This Row],[coeff]])+Grandview_Inventory[[#This Row],[const]]</f>
        <v>54615.69227366033</v>
      </c>
      <c r="S807" t="s">
        <v>61</v>
      </c>
      <c r="T807">
        <v>1</v>
      </c>
      <c r="U807" t="s">
        <v>65</v>
      </c>
      <c r="V807" t="s">
        <v>69</v>
      </c>
      <c r="W807">
        <v>0</v>
      </c>
      <c r="X807">
        <v>0</v>
      </c>
      <c r="Y807">
        <v>46</v>
      </c>
      <c r="Z807">
        <v>55</v>
      </c>
      <c r="AA807">
        <v>60</v>
      </c>
      <c r="AB807">
        <v>1500</v>
      </c>
      <c r="AC807">
        <v>1272</v>
      </c>
      <c r="AD807">
        <v>1156</v>
      </c>
      <c r="AE807">
        <v>0</v>
      </c>
      <c r="AF807">
        <v>0</v>
      </c>
      <c r="AG807">
        <v>116</v>
      </c>
      <c r="AH807">
        <v>1040</v>
      </c>
      <c r="AI807">
        <v>504</v>
      </c>
      <c r="AJ807">
        <v>0</v>
      </c>
      <c r="AK807">
        <v>0</v>
      </c>
      <c r="AL807">
        <v>276</v>
      </c>
      <c r="AM807">
        <v>96</v>
      </c>
      <c r="AN807">
        <v>0</v>
      </c>
      <c r="AO807">
        <v>276</v>
      </c>
      <c r="AP807">
        <v>8</v>
      </c>
      <c r="AQ807">
        <v>0</v>
      </c>
      <c r="AR807">
        <v>0</v>
      </c>
      <c r="AS807" t="s">
        <v>58</v>
      </c>
      <c r="AT807">
        <v>1</v>
      </c>
      <c r="AU807" t="s">
        <v>59</v>
      </c>
      <c r="AV807" t="s">
        <v>60</v>
      </c>
      <c r="AW807">
        <v>1</v>
      </c>
      <c r="AX807">
        <v>3</v>
      </c>
      <c r="AY807">
        <v>0</v>
      </c>
      <c r="AZ807">
        <v>0</v>
      </c>
      <c r="BA807">
        <v>100</v>
      </c>
      <c r="BB807">
        <v>100</v>
      </c>
      <c r="BC807">
        <v>100</v>
      </c>
      <c r="BD807">
        <v>100</v>
      </c>
      <c r="BE807">
        <v>1</v>
      </c>
      <c r="BF807">
        <v>15000</v>
      </c>
      <c r="BG807">
        <v>1000</v>
      </c>
      <c r="BH807" s="6">
        <f>Grandview_Inventory[[#This Row],[land_extract]]*Lookups!$B$3</f>
        <v>63425.055975032599</v>
      </c>
      <c r="BI807" s="6">
        <f>IF(Grandview_Inventory[[#This Row],[bldg_style]]="",0,Lookups!$B$2)</f>
        <v>155833.95000000001</v>
      </c>
      <c r="BJ807" s="6">
        <f>_xlfn.IFNA(VLOOKUP(Grandview_Inventory[[#This Row],[quality]],Lookups!$H$2:$J$14,3,FALSE),0)</f>
        <v>2251</v>
      </c>
      <c r="BK807" s="6">
        <f>_xlfn.IFNA(VLOOKUP(Grandview_Inventory[[#This Row],[condition]],Lookups!$H$17:$J$24,3,FALSE),0)</f>
        <v>-4503</v>
      </c>
      <c r="BL807" s="6">
        <f>Grandview_Inventory[[#This Row],[Eff_Age]]*Lookups!$B$14</f>
        <v>-11001.6636</v>
      </c>
      <c r="BM807" s="6">
        <f>Grandview_Inventory[[#This Row],[living_area]]*Lookups!$B$15</f>
        <v>79348.445015999998</v>
      </c>
      <c r="BN807" s="6">
        <f>Grandview_Inventory[[#This Row],[Fin BSMT]]*Lookups!$B$16</f>
        <v>-3143.5118400000001</v>
      </c>
      <c r="BO807" s="6">
        <f>(Grandview_Inventory[[#This Row],[att_gar]]+Grandview_Inventory[[#This Row],[bltin_gar]])*Lookups!$B$17</f>
        <v>44110.300248</v>
      </c>
      <c r="BP807" s="6">
        <f>Grandview_Inventory[[#This Row],[Plumbing Fixtures]]*Lookups!$B$18</f>
        <v>16083.5344</v>
      </c>
      <c r="BQ807" s="6">
        <f>Grandview_Inventory[[#This Row],[detatched_value]]*Lookups!$B$19</f>
        <v>0</v>
      </c>
      <c r="BR807" s="6">
        <f>SUM(Grandview_Inventory[[#This Row],[Intercept]:[det_value]])*Grandview_Inventory[[#This Row],[res_pct]]</f>
        <v>278979.05422400002</v>
      </c>
      <c r="BS807" s="6">
        <f>Grandview_Inventory[[#This Row],[land_value]]</f>
        <v>63425.055975032599</v>
      </c>
      <c r="BT807" s="4">
        <f>_xlfn.IFNA(VLOOKUP(Grandview_Inventory[[#This Row],[quality]],Lookups!$A$26:$C$33,3,FALSE),1)</f>
        <v>0.98763855981004833</v>
      </c>
      <c r="BU807" s="4">
        <f>_xlfn.IFNA(VLOOKUP(Grandview_Inventory[[#This Row],[condition]],Lookups!$A$37:$C$44,3,FALSE),1)</f>
        <v>0.96469275950863709</v>
      </c>
      <c r="BV807" s="4">
        <f>IF(Grandview_Inventory[[#This Row],[bldg_style]]="",1,_xlfn.IFNA(VLOOKUP(Grandview_Inventory[[#This Row],[decade]],Lookups!$F$29:$H$43,3,FALSE),1))</f>
        <v>0.95268620544463312</v>
      </c>
      <c r="BW807" s="4">
        <f>_xlfn.IFNA(VLOOKUP(Grandview_Inventory[[#This Row],[living_area_range]],Lookups!$F$47:$H$56,3,FALSE),1)</f>
        <v>0.96135087979789358</v>
      </c>
      <c r="BX807" s="4">
        <f>AVERAGE(Grandview_Inventory[[#This Row],[qual_adj]:[size_adj]])</f>
        <v>0.96659210114030303</v>
      </c>
      <c r="BY807" s="6">
        <f>IF(Grandview_Inventory[[#This Row],[pre_res]]&lt;0,0,Grandview_Inventory[[#This Row],[pre_res]]*Grandview_Inventory[[#This Row],[overall_adj]])</f>
        <v>269658.9501965107</v>
      </c>
      <c r="BZ807" s="6">
        <f>(Grandview_Inventory[[#This Row],[sum_land]]-IF(Grandview_Inventory[[#This Row],[no_utilities]]=1,12000,0))/IF(Grandview_Inventory[[#This Row],[unbuildable]]=1,2,1)</f>
        <v>63425.055975032599</v>
      </c>
      <c r="CA807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807">
        <f>ROUND(Grandview_Inventory[[#This Row],[det_value]]*Lookups!$M$28,-2)</f>
        <v>0</v>
      </c>
      <c r="CC807">
        <f>IF(ROUND(Grandview_Inventory[[#This Row],[adj_res]]*Lookups!$M$28,-2)&lt;Grandview_Inventory[[#This Row],[min_res]],Grandview_Inventory[[#This Row],[min_res]],ROUND(Grandview_Inventory[[#This Row],[adj_res]]*Lookups!$M$28,-2))</f>
        <v>256200</v>
      </c>
      <c r="CD807">
        <f>Grandview_Inventory[[#This Row],[final_det]]+Grandview_Inventory[[#This Row],[final_res]]</f>
        <v>256200</v>
      </c>
      <c r="CE807">
        <f>Grandview_Inventory[[#This Row],[final_land]]+Grandview_Inventory[[#This Row],[final_imp]]+Grandview_Inventory[[#This Row],[crop_value]]</f>
        <v>316500</v>
      </c>
      <c r="CG807" t="str">
        <f t="shared" si="12"/>
        <v>update valuation set market_land =60300, market_bldg=256200, market_total =316500, market_mdno =401, market_date ='9/10/2023' where link_id = (select link_id from parcel where parcel_year = '2024' and parcel_id = '23092232426');</v>
      </c>
    </row>
    <row r="808" spans="1:85" x14ac:dyDescent="0.25">
      <c r="A808">
        <v>23092232427</v>
      </c>
      <c r="B808">
        <v>0.46</v>
      </c>
      <c r="C808">
        <v>19891</v>
      </c>
      <c r="D808" t="s">
        <v>129</v>
      </c>
      <c r="E808" t="s">
        <v>53</v>
      </c>
      <c r="F808" t="s">
        <v>53</v>
      </c>
      <c r="G808">
        <v>4</v>
      </c>
      <c r="H808" t="s">
        <v>54</v>
      </c>
      <c r="I808">
        <v>249600</v>
      </c>
      <c r="J808">
        <v>45900</v>
      </c>
      <c r="K808">
        <v>0.46</v>
      </c>
      <c r="L808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808">
        <v>0</v>
      </c>
      <c r="N808">
        <v>0</v>
      </c>
      <c r="O808">
        <v>0</v>
      </c>
      <c r="P808">
        <v>13398.7528</v>
      </c>
      <c r="Q808">
        <v>63903</v>
      </c>
      <c r="R808">
        <f>(Grandview_Inventory[[#This Row],[ln_acres]]*Grandview_Inventory[[#This Row],[coeff]])+Grandview_Inventory[[#This Row],[const]]</f>
        <v>53498.482707419709</v>
      </c>
      <c r="S808" t="s">
        <v>61</v>
      </c>
      <c r="T808">
        <v>1</v>
      </c>
      <c r="U808" t="s">
        <v>65</v>
      </c>
      <c r="V808" t="s">
        <v>67</v>
      </c>
      <c r="W808">
        <v>0</v>
      </c>
      <c r="X808">
        <v>0</v>
      </c>
      <c r="Y808">
        <v>46</v>
      </c>
      <c r="Z808">
        <v>55</v>
      </c>
      <c r="AA808">
        <v>60</v>
      </c>
      <c r="AB808">
        <v>2500</v>
      </c>
      <c r="AC808">
        <v>2456</v>
      </c>
      <c r="AD808">
        <v>1348</v>
      </c>
      <c r="AE808">
        <v>0</v>
      </c>
      <c r="AF808">
        <v>0</v>
      </c>
      <c r="AG808">
        <v>1108</v>
      </c>
      <c r="AH808">
        <v>0</v>
      </c>
      <c r="AI808">
        <v>308</v>
      </c>
      <c r="AJ808">
        <v>0</v>
      </c>
      <c r="AK808">
        <v>0</v>
      </c>
      <c r="AL808">
        <v>192</v>
      </c>
      <c r="AM808">
        <v>0</v>
      </c>
      <c r="AN808">
        <v>0</v>
      </c>
      <c r="AO808">
        <v>224</v>
      </c>
      <c r="AP808">
        <v>7</v>
      </c>
      <c r="AQ808">
        <v>0</v>
      </c>
      <c r="AR808">
        <v>1</v>
      </c>
      <c r="AS808" t="s">
        <v>58</v>
      </c>
      <c r="AT808">
        <v>1</v>
      </c>
      <c r="AU808" t="s">
        <v>63</v>
      </c>
      <c r="AV808" t="s">
        <v>64</v>
      </c>
      <c r="AW808">
        <v>1</v>
      </c>
      <c r="AX808">
        <v>3</v>
      </c>
      <c r="AY808">
        <v>0</v>
      </c>
      <c r="AZ808">
        <v>6900</v>
      </c>
      <c r="BA808">
        <v>100</v>
      </c>
      <c r="BB808">
        <v>100</v>
      </c>
      <c r="BC808">
        <v>100</v>
      </c>
      <c r="BD808">
        <v>100</v>
      </c>
      <c r="BE808">
        <v>1</v>
      </c>
      <c r="BF808">
        <v>15000</v>
      </c>
      <c r="BG808">
        <v>1000</v>
      </c>
      <c r="BH808" s="6">
        <f>Grandview_Inventory[[#This Row],[land_extract]]*Lookups!$B$3</f>
        <v>62127.643522223196</v>
      </c>
      <c r="BI808" s="6">
        <f>IF(Grandview_Inventory[[#This Row],[bldg_style]]="",0,Lookups!$B$2)</f>
        <v>155833.95000000001</v>
      </c>
      <c r="BJ808" s="6">
        <f>_xlfn.IFNA(VLOOKUP(Grandview_Inventory[[#This Row],[quality]],Lookups!$H$2:$J$14,3,FALSE),0)</f>
        <v>2251</v>
      </c>
      <c r="BK808" s="6">
        <f>_xlfn.IFNA(VLOOKUP(Grandview_Inventory[[#This Row],[condition]],Lookups!$H$17:$J$24,3,FALSE),0)</f>
        <v>22342</v>
      </c>
      <c r="BL808" s="6">
        <f>Grandview_Inventory[[#This Row],[Eff_Age]]*Lookups!$B$14</f>
        <v>-11001.6636</v>
      </c>
      <c r="BM808" s="6">
        <f>Grandview_Inventory[[#This Row],[living_area]]*Lookups!$B$15</f>
        <v>153207.37496800002</v>
      </c>
      <c r="BN808" s="6">
        <f>Grandview_Inventory[[#This Row],[Fin BSMT]]*Lookups!$B$16</f>
        <v>-30025.957920000001</v>
      </c>
      <c r="BO808" s="6">
        <f>(Grandview_Inventory[[#This Row],[att_gar]]+Grandview_Inventory[[#This Row],[bltin_gar]])*Lookups!$B$17</f>
        <v>26956.294596</v>
      </c>
      <c r="BP808" s="6">
        <f>Grandview_Inventory[[#This Row],[Plumbing Fixtures]]*Lookups!$B$18</f>
        <v>14073.0926</v>
      </c>
      <c r="BQ808" s="6">
        <f>Grandview_Inventory[[#This Row],[detatched_value]]*Lookups!$B$19</f>
        <v>5842.9551899999997</v>
      </c>
      <c r="BR808" s="6">
        <f>SUM(Grandview_Inventory[[#This Row],[Intercept]:[det_value]])*Grandview_Inventory[[#This Row],[res_pct]]</f>
        <v>339479.04583399999</v>
      </c>
      <c r="BS808" s="6">
        <f>Grandview_Inventory[[#This Row],[land_value]]</f>
        <v>62127.643522223196</v>
      </c>
      <c r="BT808" s="4">
        <f>_xlfn.IFNA(VLOOKUP(Grandview_Inventory[[#This Row],[quality]],Lookups!$A$26:$C$33,3,FALSE),1)</f>
        <v>0.98763855981004833</v>
      </c>
      <c r="BU808" s="4">
        <f>_xlfn.IFNA(VLOOKUP(Grandview_Inventory[[#This Row],[condition]],Lookups!$A$37:$C$44,3,FALSE),1)</f>
        <v>0.97383723671140243</v>
      </c>
      <c r="BV808" s="4">
        <f>IF(Grandview_Inventory[[#This Row],[bldg_style]]="",1,_xlfn.IFNA(VLOOKUP(Grandview_Inventory[[#This Row],[decade]],Lookups!$F$29:$H$43,3,FALSE),1))</f>
        <v>0.95268620544463312</v>
      </c>
      <c r="BW808" s="4">
        <f>_xlfn.IFNA(VLOOKUP(Grandview_Inventory[[#This Row],[living_area_range]],Lookups!$F$47:$H$56,3,FALSE),1)</f>
        <v>0.95799442568048754</v>
      </c>
      <c r="BX808" s="4">
        <f>AVERAGE(Grandview_Inventory[[#This Row],[qual_adj]:[size_adj]])</f>
        <v>0.96803910691164285</v>
      </c>
      <c r="BY808" s="6">
        <f>IF(Grandview_Inventory[[#This Row],[pre_res]]&lt;0,0,Grandview_Inventory[[#This Row],[pre_res]]*Grandview_Inventory[[#This Row],[overall_adj]])</f>
        <v>328628.99234436202</v>
      </c>
      <c r="BZ808" s="6">
        <f>(Grandview_Inventory[[#This Row],[sum_land]]-IF(Grandview_Inventory[[#This Row],[no_utilities]]=1,12000,0))/IF(Grandview_Inventory[[#This Row],[unbuildable]]=1,2,1)</f>
        <v>62127.643522223196</v>
      </c>
      <c r="CA808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808">
        <f>ROUND(Grandview_Inventory[[#This Row],[det_value]]*Lookups!$M$28,-2)</f>
        <v>5600</v>
      </c>
      <c r="CC808">
        <f>IF(ROUND(Grandview_Inventory[[#This Row],[adj_res]]*Lookups!$M$28,-2)&lt;Grandview_Inventory[[#This Row],[min_res]],Grandview_Inventory[[#This Row],[min_res]],ROUND(Grandview_Inventory[[#This Row],[adj_res]]*Lookups!$M$28,-2))</f>
        <v>312200</v>
      </c>
      <c r="CD808">
        <f>Grandview_Inventory[[#This Row],[final_det]]+Grandview_Inventory[[#This Row],[final_res]]</f>
        <v>317800</v>
      </c>
      <c r="CE808">
        <f>Grandview_Inventory[[#This Row],[final_land]]+Grandview_Inventory[[#This Row],[final_imp]]+Grandview_Inventory[[#This Row],[crop_value]]</f>
        <v>376800</v>
      </c>
      <c r="CG808" t="str">
        <f t="shared" si="12"/>
        <v>update valuation set market_land =59000, market_bldg=317800, market_total =376800, market_mdno =401, market_date ='9/10/2023' where link_id = (select link_id from parcel where parcel_year = '2024' and parcel_id = '23092232427');</v>
      </c>
    </row>
    <row r="809" spans="1:85" x14ac:dyDescent="0.25">
      <c r="A809">
        <v>23092232428</v>
      </c>
      <c r="B809">
        <v>0.57999999999999996</v>
      </c>
      <c r="C809">
        <v>25378</v>
      </c>
      <c r="D809" t="s">
        <v>129</v>
      </c>
      <c r="E809" t="s">
        <v>53</v>
      </c>
      <c r="F809" t="s">
        <v>53</v>
      </c>
      <c r="G809">
        <v>4</v>
      </c>
      <c r="H809" t="s">
        <v>54</v>
      </c>
      <c r="I809">
        <v>220200</v>
      </c>
      <c r="J809">
        <v>47000</v>
      </c>
      <c r="K809">
        <v>0.57999999999999996</v>
      </c>
      <c r="L809">
        <f>IF(Grandview_Inventory[[#This Row],[parcel_acres]]-Grandview_Inventory[[#This Row],[non_valued_acres]] =0,0,LN(Grandview_Inventory[[#This Row],[parcel_acres]]-Grandview_Inventory[[#This Row],[non_valued_acres]]))</f>
        <v>-0.54472717544167215</v>
      </c>
      <c r="M809">
        <v>0</v>
      </c>
      <c r="N809">
        <v>0</v>
      </c>
      <c r="O809">
        <v>0</v>
      </c>
      <c r="P809">
        <v>13398.7528</v>
      </c>
      <c r="Q809">
        <v>63903</v>
      </c>
      <c r="R809">
        <f>(Grandview_Inventory[[#This Row],[ln_acres]]*Grandview_Inventory[[#This Row],[coeff]])+Grandview_Inventory[[#This Row],[const]]</f>
        <v>56604.335232814803</v>
      </c>
      <c r="S809" t="s">
        <v>61</v>
      </c>
      <c r="T809">
        <v>1</v>
      </c>
      <c r="U809" t="s">
        <v>65</v>
      </c>
      <c r="V809" t="s">
        <v>69</v>
      </c>
      <c r="W809">
        <v>0</v>
      </c>
      <c r="X809">
        <v>0</v>
      </c>
      <c r="Y809">
        <v>46</v>
      </c>
      <c r="Z809">
        <v>55</v>
      </c>
      <c r="AA809">
        <v>60</v>
      </c>
      <c r="AB809">
        <v>2500</v>
      </c>
      <c r="AC809">
        <v>2240</v>
      </c>
      <c r="AD809">
        <v>1120</v>
      </c>
      <c r="AE809">
        <v>0</v>
      </c>
      <c r="AF809">
        <v>0</v>
      </c>
      <c r="AG809">
        <v>1120</v>
      </c>
      <c r="AH809">
        <v>0</v>
      </c>
      <c r="AI809">
        <v>308</v>
      </c>
      <c r="AJ809">
        <v>0</v>
      </c>
      <c r="AK809">
        <v>0</v>
      </c>
      <c r="AL809">
        <v>240</v>
      </c>
      <c r="AM809">
        <v>0</v>
      </c>
      <c r="AN809">
        <v>0</v>
      </c>
      <c r="AO809">
        <v>240</v>
      </c>
      <c r="AP809">
        <v>11</v>
      </c>
      <c r="AQ809">
        <v>0</v>
      </c>
      <c r="AR809">
        <v>2</v>
      </c>
      <c r="AS809" t="s">
        <v>58</v>
      </c>
      <c r="AT809">
        <v>1</v>
      </c>
      <c r="AU809" t="s">
        <v>63</v>
      </c>
      <c r="AV809" t="s">
        <v>60</v>
      </c>
      <c r="AW809">
        <v>1</v>
      </c>
      <c r="AX809">
        <v>4</v>
      </c>
      <c r="AY809">
        <v>0</v>
      </c>
      <c r="AZ809">
        <v>0</v>
      </c>
      <c r="BA809">
        <v>100</v>
      </c>
      <c r="BB809">
        <v>100</v>
      </c>
      <c r="BC809">
        <v>100</v>
      </c>
      <c r="BD809">
        <v>100</v>
      </c>
      <c r="BE809">
        <v>1</v>
      </c>
      <c r="BF809">
        <v>15000</v>
      </c>
      <c r="BG809">
        <v>1000</v>
      </c>
      <c r="BH809" s="6">
        <f>Grandview_Inventory[[#This Row],[land_extract]]*Lookups!$B$3</f>
        <v>65734.461674162696</v>
      </c>
      <c r="BI809" s="6">
        <f>IF(Grandview_Inventory[[#This Row],[bldg_style]]="",0,Lookups!$B$2)</f>
        <v>155833.95000000001</v>
      </c>
      <c r="BJ809" s="6">
        <f>_xlfn.IFNA(VLOOKUP(Grandview_Inventory[[#This Row],[quality]],Lookups!$H$2:$J$14,3,FALSE),0)</f>
        <v>2251</v>
      </c>
      <c r="BK809" s="6">
        <f>_xlfn.IFNA(VLOOKUP(Grandview_Inventory[[#This Row],[condition]],Lookups!$H$17:$J$24,3,FALSE),0)</f>
        <v>-4503</v>
      </c>
      <c r="BL809" s="6">
        <f>Grandview_Inventory[[#This Row],[Eff_Age]]*Lookups!$B$14</f>
        <v>-11001.6636</v>
      </c>
      <c r="BM809" s="6">
        <f>Grandview_Inventory[[#This Row],[living_area]]*Lookups!$B$15</f>
        <v>139733.11072</v>
      </c>
      <c r="BN809" s="6">
        <f>Grandview_Inventory[[#This Row],[Fin BSMT]]*Lookups!$B$16</f>
        <v>-30351.148800000003</v>
      </c>
      <c r="BO809" s="6">
        <f>(Grandview_Inventory[[#This Row],[att_gar]]+Grandview_Inventory[[#This Row],[bltin_gar]])*Lookups!$B$17</f>
        <v>26956.294596</v>
      </c>
      <c r="BP809" s="6">
        <f>Grandview_Inventory[[#This Row],[Plumbing Fixtures]]*Lookups!$B$18</f>
        <v>22114.859800000002</v>
      </c>
      <c r="BQ809" s="6">
        <f>Grandview_Inventory[[#This Row],[detatched_value]]*Lookups!$B$19</f>
        <v>0</v>
      </c>
      <c r="BR809" s="6">
        <f>SUM(Grandview_Inventory[[#This Row],[Intercept]:[det_value]])*Grandview_Inventory[[#This Row],[res_pct]]</f>
        <v>301033.40271599998</v>
      </c>
      <c r="BS809" s="6">
        <f>Grandview_Inventory[[#This Row],[land_value]]</f>
        <v>65734.461674162696</v>
      </c>
      <c r="BT809" s="4">
        <f>_xlfn.IFNA(VLOOKUP(Grandview_Inventory[[#This Row],[quality]],Lookups!$A$26:$C$33,3,FALSE),1)</f>
        <v>0.98763855981004833</v>
      </c>
      <c r="BU809" s="4">
        <f>_xlfn.IFNA(VLOOKUP(Grandview_Inventory[[#This Row],[condition]],Lookups!$A$37:$C$44,3,FALSE),1)</f>
        <v>0.96469275950863709</v>
      </c>
      <c r="BV809" s="4">
        <f>IF(Grandview_Inventory[[#This Row],[bldg_style]]="",1,_xlfn.IFNA(VLOOKUP(Grandview_Inventory[[#This Row],[decade]],Lookups!$F$29:$H$43,3,FALSE),1))</f>
        <v>0.95268620544463312</v>
      </c>
      <c r="BW809" s="4">
        <f>_xlfn.IFNA(VLOOKUP(Grandview_Inventory[[#This Row],[living_area_range]],Lookups!$F$47:$H$56,3,FALSE),1)</f>
        <v>0.95799442568048754</v>
      </c>
      <c r="BX809" s="4">
        <f>AVERAGE(Grandview_Inventory[[#This Row],[qual_adj]:[size_adj]])</f>
        <v>0.96575298761095152</v>
      </c>
      <c r="BY809" s="6">
        <f>IF(Grandview_Inventory[[#This Row],[pre_res]]&lt;0,0,Grandview_Inventory[[#This Row],[pre_res]]*Grandview_Inventory[[#This Row],[overall_adj]])</f>
        <v>290723.90804366773</v>
      </c>
      <c r="BZ809" s="6">
        <f>(Grandview_Inventory[[#This Row],[sum_land]]-IF(Grandview_Inventory[[#This Row],[no_utilities]]=1,12000,0))/IF(Grandview_Inventory[[#This Row],[unbuildable]]=1,2,1)</f>
        <v>65734.461674162696</v>
      </c>
      <c r="CA809">
        <f>IF(ROUND(Grandview_Inventory[[#This Row],[adj_land]]*Lookups!$M$28,-2)&lt;Grandview_Inventory[[#This Row],[min_land]],Grandview_Inventory[[#This Row],[min_land]],ROUND(Grandview_Inventory[[#This Row],[adj_land]]*Lookups!$M$28,-2))</f>
        <v>62400</v>
      </c>
      <c r="CB809">
        <f>ROUND(Grandview_Inventory[[#This Row],[det_value]]*Lookups!$M$28,-2)</f>
        <v>0</v>
      </c>
      <c r="CC809">
        <f>IF(ROUND(Grandview_Inventory[[#This Row],[adj_res]]*Lookups!$M$28,-2)&lt;Grandview_Inventory[[#This Row],[min_res]],Grandview_Inventory[[#This Row],[min_res]],ROUND(Grandview_Inventory[[#This Row],[adj_res]]*Lookups!$M$28,-2))</f>
        <v>276200</v>
      </c>
      <c r="CD809">
        <f>Grandview_Inventory[[#This Row],[final_det]]+Grandview_Inventory[[#This Row],[final_res]]</f>
        <v>276200</v>
      </c>
      <c r="CE809">
        <f>Grandview_Inventory[[#This Row],[final_land]]+Grandview_Inventory[[#This Row],[final_imp]]+Grandview_Inventory[[#This Row],[crop_value]]</f>
        <v>338600</v>
      </c>
      <c r="CG809" t="str">
        <f t="shared" si="12"/>
        <v>update valuation set market_land =62400, market_bldg=276200, market_total =338600, market_mdno =401, market_date ='9/10/2023' where link_id = (select link_id from parcel where parcel_year = '2024' and parcel_id = '23092232428');</v>
      </c>
    </row>
    <row r="810" spans="1:85" x14ac:dyDescent="0.25">
      <c r="A810">
        <v>23092232429</v>
      </c>
      <c r="B810">
        <v>0.44</v>
      </c>
      <c r="C810">
        <v>19123</v>
      </c>
      <c r="D810" t="s">
        <v>129</v>
      </c>
      <c r="E810" t="s">
        <v>53</v>
      </c>
      <c r="F810" t="s">
        <v>53</v>
      </c>
      <c r="G810">
        <v>4</v>
      </c>
      <c r="H810" t="s">
        <v>54</v>
      </c>
      <c r="I810">
        <v>171000</v>
      </c>
      <c r="J810">
        <v>45900</v>
      </c>
      <c r="K810">
        <v>0.44</v>
      </c>
      <c r="L810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810">
        <v>0</v>
      </c>
      <c r="N810">
        <v>0</v>
      </c>
      <c r="O810">
        <v>0</v>
      </c>
      <c r="P810">
        <v>13398.7528</v>
      </c>
      <c r="Q810">
        <v>63903</v>
      </c>
      <c r="R810">
        <f>(Grandview_Inventory[[#This Row],[ln_acres]]*Grandview_Inventory[[#This Row],[coeff]])+Grandview_Inventory[[#This Row],[const]]</f>
        <v>52902.884529208815</v>
      </c>
      <c r="S810" t="s">
        <v>61</v>
      </c>
      <c r="T810">
        <v>1</v>
      </c>
      <c r="U810" t="s">
        <v>65</v>
      </c>
      <c r="V810" t="s">
        <v>69</v>
      </c>
      <c r="W810">
        <v>0</v>
      </c>
      <c r="X810">
        <v>0</v>
      </c>
      <c r="Y810">
        <v>45</v>
      </c>
      <c r="Z810">
        <v>51</v>
      </c>
      <c r="AA810">
        <v>60</v>
      </c>
      <c r="AB810">
        <v>1500</v>
      </c>
      <c r="AC810">
        <v>1352</v>
      </c>
      <c r="AD810">
        <v>1352</v>
      </c>
      <c r="AE810">
        <v>0</v>
      </c>
      <c r="AF810">
        <v>0</v>
      </c>
      <c r="AG810">
        <v>0</v>
      </c>
      <c r="AH810">
        <v>0</v>
      </c>
      <c r="AI810">
        <v>312</v>
      </c>
      <c r="AJ810">
        <v>0</v>
      </c>
      <c r="AK810">
        <v>0</v>
      </c>
      <c r="AL810">
        <v>0</v>
      </c>
      <c r="AM810">
        <v>360</v>
      </c>
      <c r="AN810">
        <v>0</v>
      </c>
      <c r="AO810">
        <v>360</v>
      </c>
      <c r="AP810">
        <v>5</v>
      </c>
      <c r="AQ810">
        <v>0</v>
      </c>
      <c r="AR810">
        <v>0</v>
      </c>
      <c r="AS810" t="s">
        <v>58</v>
      </c>
      <c r="AT810">
        <v>1</v>
      </c>
      <c r="AU810" t="s">
        <v>59</v>
      </c>
      <c r="AV810" t="s">
        <v>60</v>
      </c>
      <c r="AW810">
        <v>1</v>
      </c>
      <c r="AX810">
        <v>3</v>
      </c>
      <c r="AY810">
        <v>0</v>
      </c>
      <c r="AZ810">
        <v>2700</v>
      </c>
      <c r="BA810">
        <v>100</v>
      </c>
      <c r="BB810">
        <v>100</v>
      </c>
      <c r="BC810">
        <v>100</v>
      </c>
      <c r="BD810">
        <v>100</v>
      </c>
      <c r="BE810">
        <v>1</v>
      </c>
      <c r="BF810">
        <v>15000</v>
      </c>
      <c r="BG810">
        <v>1000</v>
      </c>
      <c r="BH810" s="6">
        <f>Grandview_Inventory[[#This Row],[land_extract]]*Lookups!$B$3</f>
        <v>61435.976965981965</v>
      </c>
      <c r="BI810" s="6">
        <f>IF(Grandview_Inventory[[#This Row],[bldg_style]]="",0,Lookups!$B$2)</f>
        <v>155833.95000000001</v>
      </c>
      <c r="BJ810" s="6">
        <f>_xlfn.IFNA(VLOOKUP(Grandview_Inventory[[#This Row],[quality]],Lookups!$H$2:$J$14,3,FALSE),0)</f>
        <v>2251</v>
      </c>
      <c r="BK810" s="6">
        <f>_xlfn.IFNA(VLOOKUP(Grandview_Inventory[[#This Row],[condition]],Lookups!$H$17:$J$24,3,FALSE),0)</f>
        <v>-4503</v>
      </c>
      <c r="BL810" s="6">
        <f>Grandview_Inventory[[#This Row],[Eff_Age]]*Lookups!$B$14</f>
        <v>-10762.496999999999</v>
      </c>
      <c r="BM810" s="6">
        <f>Grandview_Inventory[[#This Row],[living_area]]*Lookups!$B$15</f>
        <v>84338.913256</v>
      </c>
      <c r="BN810" s="6">
        <f>Grandview_Inventory[[#This Row],[Fin BSMT]]*Lookups!$B$16</f>
        <v>0</v>
      </c>
      <c r="BO810" s="6">
        <f>(Grandview_Inventory[[#This Row],[att_gar]]+Grandview_Inventory[[#This Row],[bltin_gar]])*Lookups!$B$17</f>
        <v>27306.376344</v>
      </c>
      <c r="BP810" s="6">
        <f>Grandview_Inventory[[#This Row],[Plumbing Fixtures]]*Lookups!$B$18</f>
        <v>10052.209000000001</v>
      </c>
      <c r="BQ810" s="6">
        <f>Grandview_Inventory[[#This Row],[detatched_value]]*Lookups!$B$19</f>
        <v>2286.3737700000001</v>
      </c>
      <c r="BR810" s="6">
        <f>SUM(Grandview_Inventory[[#This Row],[Intercept]:[det_value]])*Grandview_Inventory[[#This Row],[res_pct]]</f>
        <v>266803.32536999998</v>
      </c>
      <c r="BS810" s="6">
        <f>Grandview_Inventory[[#This Row],[land_value]]</f>
        <v>61435.976965981965</v>
      </c>
      <c r="BT810" s="4">
        <f>_xlfn.IFNA(VLOOKUP(Grandview_Inventory[[#This Row],[quality]],Lookups!$A$26:$C$33,3,FALSE),1)</f>
        <v>0.98763855981004833</v>
      </c>
      <c r="BU810" s="4">
        <f>_xlfn.IFNA(VLOOKUP(Grandview_Inventory[[#This Row],[condition]],Lookups!$A$37:$C$44,3,FALSE),1)</f>
        <v>0.96469275950863709</v>
      </c>
      <c r="BV810" s="4">
        <f>IF(Grandview_Inventory[[#This Row],[bldg_style]]="",1,_xlfn.IFNA(VLOOKUP(Grandview_Inventory[[#This Row],[decade]],Lookups!$F$29:$H$43,3,FALSE),1))</f>
        <v>0.95268620544463312</v>
      </c>
      <c r="BW810" s="4">
        <f>_xlfn.IFNA(VLOOKUP(Grandview_Inventory[[#This Row],[living_area_range]],Lookups!$F$47:$H$56,3,FALSE),1)</f>
        <v>0.96135087979789358</v>
      </c>
      <c r="BX810" s="4">
        <f>AVERAGE(Grandview_Inventory[[#This Row],[qual_adj]:[size_adj]])</f>
        <v>0.96659210114030303</v>
      </c>
      <c r="BY810" s="6">
        <f>IF(Grandview_Inventory[[#This Row],[pre_res]]&lt;0,0,Grandview_Inventory[[#This Row],[pre_res]]*Grandview_Inventory[[#This Row],[overall_adj]])</f>
        <v>257889.98686060819</v>
      </c>
      <c r="BZ810" s="6">
        <f>(Grandview_Inventory[[#This Row],[sum_land]]-IF(Grandview_Inventory[[#This Row],[no_utilities]]=1,12000,0))/IF(Grandview_Inventory[[#This Row],[unbuildable]]=1,2,1)</f>
        <v>61435.976965981965</v>
      </c>
      <c r="CA810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810">
        <f>ROUND(Grandview_Inventory[[#This Row],[det_value]]*Lookups!$M$28,-2)</f>
        <v>2200</v>
      </c>
      <c r="CC810">
        <f>IF(ROUND(Grandview_Inventory[[#This Row],[adj_res]]*Lookups!$M$28,-2)&lt;Grandview_Inventory[[#This Row],[min_res]],Grandview_Inventory[[#This Row],[min_res]],ROUND(Grandview_Inventory[[#This Row],[adj_res]]*Lookups!$M$28,-2))</f>
        <v>245000</v>
      </c>
      <c r="CD810">
        <f>Grandview_Inventory[[#This Row],[final_det]]+Grandview_Inventory[[#This Row],[final_res]]</f>
        <v>247200</v>
      </c>
      <c r="CE810">
        <f>Grandview_Inventory[[#This Row],[final_land]]+Grandview_Inventory[[#This Row],[final_imp]]+Grandview_Inventory[[#This Row],[crop_value]]</f>
        <v>305600</v>
      </c>
      <c r="CG810" t="str">
        <f t="shared" si="12"/>
        <v>update valuation set market_land =58400, market_bldg=247200, market_total =305600, market_mdno =401, market_date ='9/10/2023' where link_id = (select link_id from parcel where parcel_year = '2024' and parcel_id = '23092232429');</v>
      </c>
    </row>
    <row r="811" spans="1:85" x14ac:dyDescent="0.25">
      <c r="A811">
        <v>23092232430</v>
      </c>
      <c r="B811">
        <v>0.31</v>
      </c>
      <c r="C811">
        <v>13711</v>
      </c>
      <c r="D811" t="s">
        <v>129</v>
      </c>
      <c r="E811" t="s">
        <v>53</v>
      </c>
      <c r="F811" t="s">
        <v>53</v>
      </c>
      <c r="G811">
        <v>4</v>
      </c>
      <c r="H811" t="s">
        <v>54</v>
      </c>
      <c r="I811">
        <v>142100</v>
      </c>
      <c r="J811">
        <v>45600</v>
      </c>
      <c r="K811">
        <v>0.31</v>
      </c>
      <c r="L811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811">
        <v>0</v>
      </c>
      <c r="N811">
        <v>0</v>
      </c>
      <c r="O811">
        <v>0</v>
      </c>
      <c r="P811">
        <v>13398.7528</v>
      </c>
      <c r="Q811">
        <v>63903</v>
      </c>
      <c r="R811">
        <f>(Grandview_Inventory[[#This Row],[ln_acres]]*Grandview_Inventory[[#This Row],[coeff]])+Grandview_Inventory[[#This Row],[const]]</f>
        <v>48210.608747275066</v>
      </c>
      <c r="S811" t="s">
        <v>61</v>
      </c>
      <c r="T811">
        <v>1</v>
      </c>
      <c r="U811" t="s">
        <v>65</v>
      </c>
      <c r="V811" t="s">
        <v>78</v>
      </c>
      <c r="W811">
        <v>0</v>
      </c>
      <c r="X811">
        <v>0</v>
      </c>
      <c r="Y811">
        <v>45</v>
      </c>
      <c r="Z811">
        <v>51</v>
      </c>
      <c r="AA811">
        <v>60</v>
      </c>
      <c r="AB811">
        <v>1500</v>
      </c>
      <c r="AC811">
        <v>1196</v>
      </c>
      <c r="AD811">
        <v>1196</v>
      </c>
      <c r="AE811">
        <v>0</v>
      </c>
      <c r="AF811">
        <v>0</v>
      </c>
      <c r="AG811">
        <v>0</v>
      </c>
      <c r="AH811">
        <v>0</v>
      </c>
      <c r="AI811">
        <v>286</v>
      </c>
      <c r="AJ811">
        <v>0</v>
      </c>
      <c r="AK811">
        <v>0</v>
      </c>
      <c r="AL811">
        <v>0</v>
      </c>
      <c r="AM811">
        <v>0</v>
      </c>
      <c r="AN811">
        <v>64</v>
      </c>
      <c r="AO811">
        <v>0</v>
      </c>
      <c r="AP811">
        <v>6</v>
      </c>
      <c r="AQ811">
        <v>0</v>
      </c>
      <c r="AR811">
        <v>0</v>
      </c>
      <c r="AS811" t="s">
        <v>58</v>
      </c>
      <c r="AT811">
        <v>1</v>
      </c>
      <c r="AU811" t="s">
        <v>63</v>
      </c>
      <c r="AV811" t="s">
        <v>64</v>
      </c>
      <c r="AW811">
        <v>0</v>
      </c>
      <c r="AX811">
        <v>4</v>
      </c>
      <c r="AY811">
        <v>0</v>
      </c>
      <c r="AZ811">
        <v>0</v>
      </c>
      <c r="BA811">
        <v>100</v>
      </c>
      <c r="BB811">
        <v>100</v>
      </c>
      <c r="BC811">
        <v>100</v>
      </c>
      <c r="BD811">
        <v>100</v>
      </c>
      <c r="BE811">
        <v>1</v>
      </c>
      <c r="BF811">
        <v>15000</v>
      </c>
      <c r="BG811">
        <v>1000</v>
      </c>
      <c r="BH811" s="6">
        <f>Grandview_Inventory[[#This Row],[land_extract]]*Lookups!$B$3</f>
        <v>55986.849769566914</v>
      </c>
      <c r="BI811" s="6">
        <f>IF(Grandview_Inventory[[#This Row],[bldg_style]]="",0,Lookups!$B$2)</f>
        <v>155833.95000000001</v>
      </c>
      <c r="BJ811" s="6">
        <f>_xlfn.IFNA(VLOOKUP(Grandview_Inventory[[#This Row],[quality]],Lookups!$H$2:$J$14,3,FALSE),0)</f>
        <v>2251</v>
      </c>
      <c r="BK811" s="6">
        <f>_xlfn.IFNA(VLOOKUP(Grandview_Inventory[[#This Row],[condition]],Lookups!$H$17:$J$24,3,FALSE),0)</f>
        <v>-45357</v>
      </c>
      <c r="BL811" s="6">
        <f>Grandview_Inventory[[#This Row],[Eff_Age]]*Lookups!$B$14</f>
        <v>-10762.496999999999</v>
      </c>
      <c r="BM811" s="6">
        <f>Grandview_Inventory[[#This Row],[living_area]]*Lookups!$B$15</f>
        <v>74607.500188000005</v>
      </c>
      <c r="BN811" s="6">
        <f>Grandview_Inventory[[#This Row],[Fin BSMT]]*Lookups!$B$16</f>
        <v>0</v>
      </c>
      <c r="BO811" s="6">
        <f>(Grandview_Inventory[[#This Row],[att_gar]]+Grandview_Inventory[[#This Row],[bltin_gar]])*Lookups!$B$17</f>
        <v>25030.844981999999</v>
      </c>
      <c r="BP811" s="6">
        <f>Grandview_Inventory[[#This Row],[Plumbing Fixtures]]*Lookups!$B$18</f>
        <v>12062.650799999999</v>
      </c>
      <c r="BQ811" s="6">
        <f>Grandview_Inventory[[#This Row],[detatched_value]]*Lookups!$B$19</f>
        <v>0</v>
      </c>
      <c r="BR811" s="6">
        <f>SUM(Grandview_Inventory[[#This Row],[Intercept]:[det_value]])*Grandview_Inventory[[#This Row],[res_pct]]</f>
        <v>213666.44897000003</v>
      </c>
      <c r="BS811" s="6">
        <f>Grandview_Inventory[[#This Row],[land_value]]</f>
        <v>55986.849769566914</v>
      </c>
      <c r="BT811" s="4">
        <f>_xlfn.IFNA(VLOOKUP(Grandview_Inventory[[#This Row],[quality]],Lookups!$A$26:$C$33,3,FALSE),1)</f>
        <v>0.98763855981004833</v>
      </c>
      <c r="BU811" s="4">
        <f>_xlfn.IFNA(VLOOKUP(Grandview_Inventory[[#This Row],[condition]],Lookups!$A$37:$C$44,3,FALSE),1)</f>
        <v>0.97161819570155394</v>
      </c>
      <c r="BV811" s="4">
        <f>IF(Grandview_Inventory[[#This Row],[bldg_style]]="",1,_xlfn.IFNA(VLOOKUP(Grandview_Inventory[[#This Row],[decade]],Lookups!$F$29:$H$43,3,FALSE),1))</f>
        <v>0.95268620544463312</v>
      </c>
      <c r="BW811" s="4">
        <f>_xlfn.IFNA(VLOOKUP(Grandview_Inventory[[#This Row],[living_area_range]],Lookups!$F$47:$H$56,3,FALSE),1)</f>
        <v>0.96135087979789358</v>
      </c>
      <c r="BX811" s="4">
        <f>AVERAGE(Grandview_Inventory[[#This Row],[qual_adj]:[size_adj]])</f>
        <v>0.96832346018853221</v>
      </c>
      <c r="BY811" s="6">
        <f>IF(Grandview_Inventory[[#This Row],[pre_res]]&lt;0,0,Grandview_Inventory[[#This Row],[pre_res]]*Grandview_Inventory[[#This Row],[overall_adj]])</f>
        <v>206898.23519282686</v>
      </c>
      <c r="BZ811" s="6">
        <f>(Grandview_Inventory[[#This Row],[sum_land]]-IF(Grandview_Inventory[[#This Row],[no_utilities]]=1,12000,0))/IF(Grandview_Inventory[[#This Row],[unbuildable]]=1,2,1)</f>
        <v>55986.849769566914</v>
      </c>
      <c r="CA811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811">
        <f>ROUND(Grandview_Inventory[[#This Row],[det_value]]*Lookups!$M$28,-2)</f>
        <v>0</v>
      </c>
      <c r="CC811">
        <f>IF(ROUND(Grandview_Inventory[[#This Row],[adj_res]]*Lookups!$M$28,-2)&lt;Grandview_Inventory[[#This Row],[min_res]],Grandview_Inventory[[#This Row],[min_res]],ROUND(Grandview_Inventory[[#This Row],[adj_res]]*Lookups!$M$28,-2))</f>
        <v>196600</v>
      </c>
      <c r="CD811">
        <f>Grandview_Inventory[[#This Row],[final_det]]+Grandview_Inventory[[#This Row],[final_res]]</f>
        <v>196600</v>
      </c>
      <c r="CE811">
        <f>Grandview_Inventory[[#This Row],[final_land]]+Grandview_Inventory[[#This Row],[final_imp]]+Grandview_Inventory[[#This Row],[crop_value]]</f>
        <v>249800</v>
      </c>
      <c r="CG811" t="str">
        <f t="shared" si="12"/>
        <v>update valuation set market_land =53200, market_bldg=196600, market_total =249800, market_mdno =401, market_date ='9/10/2023' where link_id = (select link_id from parcel where parcel_year = '2024' and parcel_id = '23092232430');</v>
      </c>
    </row>
    <row r="812" spans="1:85" x14ac:dyDescent="0.25">
      <c r="A812">
        <v>23092232431</v>
      </c>
      <c r="B812">
        <v>0.32</v>
      </c>
      <c r="C812">
        <v>13785</v>
      </c>
      <c r="D812" t="s">
        <v>129</v>
      </c>
      <c r="E812" t="s">
        <v>53</v>
      </c>
      <c r="F812" t="s">
        <v>53</v>
      </c>
      <c r="G812">
        <v>4</v>
      </c>
      <c r="H812" t="s">
        <v>54</v>
      </c>
      <c r="I812">
        <v>254400</v>
      </c>
      <c r="J812">
        <v>41200</v>
      </c>
      <c r="K812">
        <v>0.32</v>
      </c>
      <c r="L812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812">
        <v>0</v>
      </c>
      <c r="N812">
        <v>0</v>
      </c>
      <c r="O812">
        <v>0</v>
      </c>
      <c r="P812">
        <v>13398.7528</v>
      </c>
      <c r="Q812">
        <v>63903</v>
      </c>
      <c r="R812">
        <f>(Grandview_Inventory[[#This Row],[ln_acres]]*Grandview_Inventory[[#This Row],[coeff]])+Grandview_Inventory[[#This Row],[const]]</f>
        <v>48636.001707713905</v>
      </c>
      <c r="S812" t="s">
        <v>58</v>
      </c>
      <c r="T812">
        <v>1</v>
      </c>
      <c r="U812" t="s">
        <v>62</v>
      </c>
      <c r="V812" t="s">
        <v>66</v>
      </c>
      <c r="W812">
        <v>0</v>
      </c>
      <c r="X812">
        <v>0</v>
      </c>
      <c r="Y812">
        <v>9</v>
      </c>
      <c r="Z812">
        <v>9</v>
      </c>
      <c r="AA812">
        <v>10</v>
      </c>
      <c r="AB812">
        <v>1500</v>
      </c>
      <c r="AC812">
        <v>1498</v>
      </c>
      <c r="AD812">
        <v>1498</v>
      </c>
      <c r="AE812">
        <v>0</v>
      </c>
      <c r="AF812">
        <v>0</v>
      </c>
      <c r="AG812">
        <v>0</v>
      </c>
      <c r="AH812">
        <v>0</v>
      </c>
      <c r="AI812">
        <v>400</v>
      </c>
      <c r="AJ812">
        <v>0</v>
      </c>
      <c r="AK812">
        <v>0</v>
      </c>
      <c r="AL812">
        <v>0</v>
      </c>
      <c r="AM812">
        <v>0</v>
      </c>
      <c r="AN812">
        <v>300</v>
      </c>
      <c r="AO812">
        <v>0</v>
      </c>
      <c r="AP812">
        <v>8</v>
      </c>
      <c r="AQ812">
        <v>0</v>
      </c>
      <c r="AR812">
        <v>0</v>
      </c>
      <c r="AS812" t="s">
        <v>58</v>
      </c>
      <c r="AT812">
        <v>1</v>
      </c>
      <c r="AU812" t="s">
        <v>63</v>
      </c>
      <c r="AV812" t="s">
        <v>60</v>
      </c>
      <c r="AW812">
        <v>0</v>
      </c>
      <c r="AX812">
        <v>3</v>
      </c>
      <c r="AY812">
        <v>0</v>
      </c>
      <c r="AZ812">
        <v>6900</v>
      </c>
      <c r="BA812">
        <v>100</v>
      </c>
      <c r="BB812">
        <v>100</v>
      </c>
      <c r="BC812">
        <v>100</v>
      </c>
      <c r="BD812">
        <v>100</v>
      </c>
      <c r="BE812">
        <v>1</v>
      </c>
      <c r="BF812">
        <v>15000</v>
      </c>
      <c r="BG812">
        <v>1000</v>
      </c>
      <c r="BH812" s="6">
        <f>Grandview_Inventory[[#This Row],[land_extract]]*Lookups!$B$3</f>
        <v>56480.857465963549</v>
      </c>
      <c r="BI812" s="6">
        <f>IF(Grandview_Inventory[[#This Row],[bldg_style]]="",0,Lookups!$B$2)</f>
        <v>155833.95000000001</v>
      </c>
      <c r="BJ812" s="6">
        <f>_xlfn.IFNA(VLOOKUP(Grandview_Inventory[[#This Row],[quality]],Lookups!$H$2:$J$14,3,FALSE),0)</f>
        <v>9808</v>
      </c>
      <c r="BK812" s="6">
        <f>_xlfn.IFNA(VLOOKUP(Grandview_Inventory[[#This Row],[condition]],Lookups!$H$17:$J$24,3,FALSE),0)</f>
        <v>25818</v>
      </c>
      <c r="BL812" s="6">
        <f>Grandview_Inventory[[#This Row],[Eff_Age]]*Lookups!$B$14</f>
        <v>-2152.4993999999997</v>
      </c>
      <c r="BM812" s="6">
        <f>Grandview_Inventory[[#This Row],[living_area]]*Lookups!$B$15</f>
        <v>93446.517793999999</v>
      </c>
      <c r="BN812" s="6">
        <f>Grandview_Inventory[[#This Row],[Fin BSMT]]*Lookups!$B$16</f>
        <v>0</v>
      </c>
      <c r="BO812" s="6">
        <f>(Grandview_Inventory[[#This Row],[att_gar]]+Grandview_Inventory[[#This Row],[bltin_gar]])*Lookups!$B$17</f>
        <v>35008.174800000001</v>
      </c>
      <c r="BP812" s="6">
        <f>Grandview_Inventory[[#This Row],[Plumbing Fixtures]]*Lookups!$B$18</f>
        <v>16083.5344</v>
      </c>
      <c r="BQ812" s="6">
        <f>Grandview_Inventory[[#This Row],[detatched_value]]*Lookups!$B$19</f>
        <v>5842.9551899999997</v>
      </c>
      <c r="BR812" s="6">
        <f>SUM(Grandview_Inventory[[#This Row],[Intercept]:[det_value]])*Grandview_Inventory[[#This Row],[res_pct]]</f>
        <v>339688.63278400002</v>
      </c>
      <c r="BS812" s="6">
        <f>Grandview_Inventory[[#This Row],[land_value]]</f>
        <v>56480.857465963549</v>
      </c>
      <c r="BT812" s="4">
        <f>_xlfn.IFNA(VLOOKUP(Grandview_Inventory[[#This Row],[quality]],Lookups!$A$26:$C$33,3,FALSE),1)</f>
        <v>0.94295468617355149</v>
      </c>
      <c r="BU812" s="4">
        <f>_xlfn.IFNA(VLOOKUP(Grandview_Inventory[[#This Row],[condition]],Lookups!$A$37:$C$44,3,FALSE),1)</f>
        <v>0.96661476234146892</v>
      </c>
      <c r="BV812" s="4">
        <f>IF(Grandview_Inventory[[#This Row],[bldg_style]]="",1,_xlfn.IFNA(VLOOKUP(Grandview_Inventory[[#This Row],[decade]],Lookups!$F$29:$H$43,3,FALSE),1))</f>
        <v>0.94601966599150278</v>
      </c>
      <c r="BW812" s="4">
        <f>_xlfn.IFNA(VLOOKUP(Grandview_Inventory[[#This Row],[living_area_range]],Lookups!$F$47:$H$56,3,FALSE),1)</f>
        <v>0.96135087979789358</v>
      </c>
      <c r="BX812" s="4">
        <f>AVERAGE(Grandview_Inventory[[#This Row],[qual_adj]:[size_adj]])</f>
        <v>0.95423499857610428</v>
      </c>
      <c r="BY812" s="6">
        <f>IF(Grandview_Inventory[[#This Row],[pre_res]]&lt;0,0,Grandview_Inventory[[#This Row],[pre_res]]*Grandview_Inventory[[#This Row],[overall_adj]])</f>
        <v>324142.78202095907</v>
      </c>
      <c r="BZ812" s="6">
        <f>(Grandview_Inventory[[#This Row],[sum_land]]-IF(Grandview_Inventory[[#This Row],[no_utilities]]=1,12000,0))/IF(Grandview_Inventory[[#This Row],[unbuildable]]=1,2,1)</f>
        <v>56480.857465963549</v>
      </c>
      <c r="CA812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812">
        <f>ROUND(Grandview_Inventory[[#This Row],[det_value]]*Lookups!$M$28,-2)</f>
        <v>5600</v>
      </c>
      <c r="CC812">
        <f>IF(ROUND(Grandview_Inventory[[#This Row],[adj_res]]*Lookups!$M$28,-2)&lt;Grandview_Inventory[[#This Row],[min_res]],Grandview_Inventory[[#This Row],[min_res]],ROUND(Grandview_Inventory[[#This Row],[adj_res]]*Lookups!$M$28,-2))</f>
        <v>307900</v>
      </c>
      <c r="CD812">
        <f>Grandview_Inventory[[#This Row],[final_det]]+Grandview_Inventory[[#This Row],[final_res]]</f>
        <v>313500</v>
      </c>
      <c r="CE812">
        <f>Grandview_Inventory[[#This Row],[final_land]]+Grandview_Inventory[[#This Row],[final_imp]]+Grandview_Inventory[[#This Row],[crop_value]]</f>
        <v>367200</v>
      </c>
      <c r="CG812" t="str">
        <f t="shared" si="12"/>
        <v>update valuation set market_land =53700, market_bldg=313500, market_total =367200, market_mdno =401, market_date ='9/10/2023' where link_id = (select link_id from parcel where parcel_year = '2024' and parcel_id = '23092232431');</v>
      </c>
    </row>
    <row r="813" spans="1:85" x14ac:dyDescent="0.25">
      <c r="A813">
        <v>23092232433</v>
      </c>
      <c r="B813">
        <v>0.33</v>
      </c>
      <c r="C813">
        <v>14172</v>
      </c>
      <c r="D813" t="s">
        <v>129</v>
      </c>
      <c r="E813" t="s">
        <v>53</v>
      </c>
      <c r="F813" t="s">
        <v>53</v>
      </c>
      <c r="G813">
        <v>4</v>
      </c>
      <c r="H813" t="s">
        <v>54</v>
      </c>
      <c r="I813">
        <v>186700</v>
      </c>
      <c r="J813">
        <v>45800</v>
      </c>
      <c r="K813">
        <v>0.33</v>
      </c>
      <c r="L813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813">
        <v>0</v>
      </c>
      <c r="N813">
        <v>0</v>
      </c>
      <c r="O813">
        <v>0</v>
      </c>
      <c r="P813">
        <v>13398.7528</v>
      </c>
      <c r="Q813">
        <v>63903</v>
      </c>
      <c r="R813">
        <f>(Grandview_Inventory[[#This Row],[ln_acres]]*Grandview_Inventory[[#This Row],[coeff]])+Grandview_Inventory[[#This Row],[const]]</f>
        <v>49048.303555435712</v>
      </c>
      <c r="S813" t="s">
        <v>61</v>
      </c>
      <c r="T813">
        <v>1</v>
      </c>
      <c r="U813" t="s">
        <v>65</v>
      </c>
      <c r="V813" t="s">
        <v>69</v>
      </c>
      <c r="W813">
        <v>0</v>
      </c>
      <c r="X813">
        <v>0</v>
      </c>
      <c r="Y813">
        <v>45</v>
      </c>
      <c r="Z813">
        <v>52</v>
      </c>
      <c r="AA813">
        <v>60</v>
      </c>
      <c r="AB813">
        <v>1500</v>
      </c>
      <c r="AC813">
        <v>1200</v>
      </c>
      <c r="AD813">
        <v>1200</v>
      </c>
      <c r="AE813">
        <v>0</v>
      </c>
      <c r="AF813">
        <v>0</v>
      </c>
      <c r="AG813">
        <v>0</v>
      </c>
      <c r="AH813">
        <v>0</v>
      </c>
      <c r="AI813">
        <v>320</v>
      </c>
      <c r="AJ813">
        <v>0</v>
      </c>
      <c r="AK813">
        <v>0</v>
      </c>
      <c r="AL813">
        <v>192</v>
      </c>
      <c r="AM813">
        <v>0</v>
      </c>
      <c r="AN813">
        <v>0</v>
      </c>
      <c r="AO813">
        <v>192</v>
      </c>
      <c r="AP813">
        <v>5</v>
      </c>
      <c r="AQ813">
        <v>0</v>
      </c>
      <c r="AR813">
        <v>1</v>
      </c>
      <c r="AS813" t="s">
        <v>58</v>
      </c>
      <c r="AT813">
        <v>1</v>
      </c>
      <c r="AU813" t="s">
        <v>63</v>
      </c>
      <c r="AV813" t="s">
        <v>64</v>
      </c>
      <c r="AW813">
        <v>1</v>
      </c>
      <c r="AX813">
        <v>3</v>
      </c>
      <c r="AY813">
        <v>0</v>
      </c>
      <c r="AZ813">
        <v>15800</v>
      </c>
      <c r="BA813">
        <v>100</v>
      </c>
      <c r="BB813">
        <v>100</v>
      </c>
      <c r="BC813">
        <v>100</v>
      </c>
      <c r="BD813">
        <v>100</v>
      </c>
      <c r="BE813">
        <v>1</v>
      </c>
      <c r="BF813">
        <v>15000</v>
      </c>
      <c r="BG813">
        <v>1000</v>
      </c>
      <c r="BH813" s="6">
        <f>Grandview_Inventory[[#This Row],[land_extract]]*Lookups!$B$3</f>
        <v>56959.662488507893</v>
      </c>
      <c r="BI813" s="6">
        <f>IF(Grandview_Inventory[[#This Row],[bldg_style]]="",0,Lookups!$B$2)</f>
        <v>155833.95000000001</v>
      </c>
      <c r="BJ813" s="6">
        <f>_xlfn.IFNA(VLOOKUP(Grandview_Inventory[[#This Row],[quality]],Lookups!$H$2:$J$14,3,FALSE),0)</f>
        <v>2251</v>
      </c>
      <c r="BK813" s="6">
        <f>_xlfn.IFNA(VLOOKUP(Grandview_Inventory[[#This Row],[condition]],Lookups!$H$17:$J$24,3,FALSE),0)</f>
        <v>-4503</v>
      </c>
      <c r="BL813" s="6">
        <f>Grandview_Inventory[[#This Row],[Eff_Age]]*Lookups!$B$14</f>
        <v>-10762.496999999999</v>
      </c>
      <c r="BM813" s="6">
        <f>Grandview_Inventory[[#This Row],[living_area]]*Lookups!$B$15</f>
        <v>74857.0236</v>
      </c>
      <c r="BN813" s="6">
        <f>Grandview_Inventory[[#This Row],[Fin BSMT]]*Lookups!$B$16</f>
        <v>0</v>
      </c>
      <c r="BO813" s="6">
        <f>(Grandview_Inventory[[#This Row],[att_gar]]+Grandview_Inventory[[#This Row],[bltin_gar]])*Lookups!$B$17</f>
        <v>28006.539840000001</v>
      </c>
      <c r="BP813" s="6">
        <f>Grandview_Inventory[[#This Row],[Plumbing Fixtures]]*Lookups!$B$18</f>
        <v>10052.209000000001</v>
      </c>
      <c r="BQ813" s="6">
        <f>Grandview_Inventory[[#This Row],[detatched_value]]*Lookups!$B$19</f>
        <v>13379.52058</v>
      </c>
      <c r="BR813" s="6">
        <f>SUM(Grandview_Inventory[[#This Row],[Intercept]:[det_value]])*Grandview_Inventory[[#This Row],[res_pct]]</f>
        <v>269114.74602000002</v>
      </c>
      <c r="BS813" s="6">
        <f>Grandview_Inventory[[#This Row],[land_value]]</f>
        <v>56959.662488507893</v>
      </c>
      <c r="BT813" s="4">
        <f>_xlfn.IFNA(VLOOKUP(Grandview_Inventory[[#This Row],[quality]],Lookups!$A$26:$C$33,3,FALSE),1)</f>
        <v>0.98763855981004833</v>
      </c>
      <c r="BU813" s="4">
        <f>_xlfn.IFNA(VLOOKUP(Grandview_Inventory[[#This Row],[condition]],Lookups!$A$37:$C$44,3,FALSE),1)</f>
        <v>0.96469275950863709</v>
      </c>
      <c r="BV813" s="4">
        <f>IF(Grandview_Inventory[[#This Row],[bldg_style]]="",1,_xlfn.IFNA(VLOOKUP(Grandview_Inventory[[#This Row],[decade]],Lookups!$F$29:$H$43,3,FALSE),1))</f>
        <v>0.95268620544463312</v>
      </c>
      <c r="BW813" s="4">
        <f>_xlfn.IFNA(VLOOKUP(Grandview_Inventory[[#This Row],[living_area_range]],Lookups!$F$47:$H$56,3,FALSE),1)</f>
        <v>0.96135087979789358</v>
      </c>
      <c r="BX813" s="4">
        <f>AVERAGE(Grandview_Inventory[[#This Row],[qual_adj]:[size_adj]])</f>
        <v>0.96659210114030303</v>
      </c>
      <c r="BY813" s="6">
        <f>IF(Grandview_Inventory[[#This Row],[pre_res]]&lt;0,0,Grandview_Inventory[[#This Row],[pre_res]]*Grandview_Inventory[[#This Row],[overall_adj]])</f>
        <v>260124.18780331081</v>
      </c>
      <c r="BZ813" s="6">
        <f>(Grandview_Inventory[[#This Row],[sum_land]]-IF(Grandview_Inventory[[#This Row],[no_utilities]]=1,12000,0))/IF(Grandview_Inventory[[#This Row],[unbuildable]]=1,2,1)</f>
        <v>56959.662488507893</v>
      </c>
      <c r="CA813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813">
        <f>ROUND(Grandview_Inventory[[#This Row],[det_value]]*Lookups!$M$28,-2)</f>
        <v>12700</v>
      </c>
      <c r="CC813">
        <f>IF(ROUND(Grandview_Inventory[[#This Row],[adj_res]]*Lookups!$M$28,-2)&lt;Grandview_Inventory[[#This Row],[min_res]],Grandview_Inventory[[#This Row],[min_res]],ROUND(Grandview_Inventory[[#This Row],[adj_res]]*Lookups!$M$28,-2))</f>
        <v>247100</v>
      </c>
      <c r="CD813">
        <f>Grandview_Inventory[[#This Row],[final_det]]+Grandview_Inventory[[#This Row],[final_res]]</f>
        <v>259800</v>
      </c>
      <c r="CE813">
        <f>Grandview_Inventory[[#This Row],[final_land]]+Grandview_Inventory[[#This Row],[final_imp]]+Grandview_Inventory[[#This Row],[crop_value]]</f>
        <v>313900</v>
      </c>
      <c r="CG813" t="str">
        <f t="shared" si="12"/>
        <v>update valuation set market_land =54100, market_bldg=259800, market_total =313900, market_mdno =401, market_date ='9/10/2023' where link_id = (select link_id from parcel where parcel_year = '2024' and parcel_id = '23092232433');</v>
      </c>
    </row>
    <row r="814" spans="1:85" x14ac:dyDescent="0.25">
      <c r="A814">
        <v>23092232434</v>
      </c>
      <c r="B814">
        <v>0.53</v>
      </c>
      <c r="C814">
        <v>23011</v>
      </c>
      <c r="D814" t="s">
        <v>129</v>
      </c>
      <c r="E814" t="s">
        <v>53</v>
      </c>
      <c r="F814" t="s">
        <v>53</v>
      </c>
      <c r="G814">
        <v>4</v>
      </c>
      <c r="H814" t="s">
        <v>54</v>
      </c>
      <c r="I814">
        <v>221400</v>
      </c>
      <c r="J814">
        <v>46600</v>
      </c>
      <c r="K814">
        <v>0.53</v>
      </c>
      <c r="L814">
        <f>IF(Grandview_Inventory[[#This Row],[parcel_acres]]-Grandview_Inventory[[#This Row],[non_valued_acres]] =0,0,LN(Grandview_Inventory[[#This Row],[parcel_acres]]-Grandview_Inventory[[#This Row],[non_valued_acres]]))</f>
        <v>-0.6348782724359695</v>
      </c>
      <c r="M814">
        <v>0</v>
      </c>
      <c r="N814">
        <v>0</v>
      </c>
      <c r="O814">
        <v>0</v>
      </c>
      <c r="P814">
        <v>13398.7528</v>
      </c>
      <c r="Q814">
        <v>63903</v>
      </c>
      <c r="R814">
        <f>(Grandview_Inventory[[#This Row],[ln_acres]]*Grandview_Inventory[[#This Row],[coeff]])+Grandview_Inventory[[#This Row],[const]]</f>
        <v>55396.422969539388</v>
      </c>
      <c r="S814" t="s">
        <v>61</v>
      </c>
      <c r="T814">
        <v>1</v>
      </c>
      <c r="U814" t="s">
        <v>65</v>
      </c>
      <c r="V814" t="s">
        <v>67</v>
      </c>
      <c r="W814">
        <v>0</v>
      </c>
      <c r="X814">
        <v>0</v>
      </c>
      <c r="Y814">
        <v>46</v>
      </c>
      <c r="Z814">
        <v>55</v>
      </c>
      <c r="AA814">
        <v>60</v>
      </c>
      <c r="AB814">
        <v>2000</v>
      </c>
      <c r="AC814">
        <v>1716</v>
      </c>
      <c r="AD814">
        <v>1716</v>
      </c>
      <c r="AE814">
        <v>0</v>
      </c>
      <c r="AF814">
        <v>0</v>
      </c>
      <c r="AG814">
        <v>0</v>
      </c>
      <c r="AH814">
        <v>550</v>
      </c>
      <c r="AI814">
        <v>0</v>
      </c>
      <c r="AJ814">
        <v>0</v>
      </c>
      <c r="AK814">
        <v>518</v>
      </c>
      <c r="AL814">
        <v>100</v>
      </c>
      <c r="AM814">
        <v>720</v>
      </c>
      <c r="AN814">
        <v>0</v>
      </c>
      <c r="AO814">
        <v>720</v>
      </c>
      <c r="AP814">
        <v>8</v>
      </c>
      <c r="AQ814">
        <v>0</v>
      </c>
      <c r="AR814">
        <v>0</v>
      </c>
      <c r="AS814" t="s">
        <v>58</v>
      </c>
      <c r="AT814">
        <v>1</v>
      </c>
      <c r="AU814" t="s">
        <v>63</v>
      </c>
      <c r="AV814" t="s">
        <v>64</v>
      </c>
      <c r="AW814">
        <v>1</v>
      </c>
      <c r="AX814">
        <v>3</v>
      </c>
      <c r="AY814">
        <v>0</v>
      </c>
      <c r="AZ814">
        <v>0</v>
      </c>
      <c r="BA814">
        <v>100</v>
      </c>
      <c r="BB814">
        <v>100</v>
      </c>
      <c r="BC814">
        <v>100</v>
      </c>
      <c r="BD814">
        <v>100</v>
      </c>
      <c r="BE814">
        <v>1</v>
      </c>
      <c r="BF814">
        <v>15000</v>
      </c>
      <c r="BG814">
        <v>1000</v>
      </c>
      <c r="BH814" s="6">
        <f>Grandview_Inventory[[#This Row],[land_extract]]*Lookups!$B$3</f>
        <v>64331.716424184073</v>
      </c>
      <c r="BI814" s="6">
        <f>IF(Grandview_Inventory[[#This Row],[bldg_style]]="",0,Lookups!$B$2)</f>
        <v>155833.95000000001</v>
      </c>
      <c r="BJ814" s="6">
        <f>_xlfn.IFNA(VLOOKUP(Grandview_Inventory[[#This Row],[quality]],Lookups!$H$2:$J$14,3,FALSE),0)</f>
        <v>2251</v>
      </c>
      <c r="BK814" s="6">
        <f>_xlfn.IFNA(VLOOKUP(Grandview_Inventory[[#This Row],[condition]],Lookups!$H$17:$J$24,3,FALSE),0)</f>
        <v>22342</v>
      </c>
      <c r="BL814" s="6">
        <f>Grandview_Inventory[[#This Row],[Eff_Age]]*Lookups!$B$14</f>
        <v>-11001.6636</v>
      </c>
      <c r="BM814" s="6">
        <f>Grandview_Inventory[[#This Row],[living_area]]*Lookups!$B$15</f>
        <v>107045.543748</v>
      </c>
      <c r="BN814" s="6">
        <f>Grandview_Inventory[[#This Row],[Fin BSMT]]*Lookups!$B$16</f>
        <v>0</v>
      </c>
      <c r="BO814" s="6">
        <f>(Grandview_Inventory[[#This Row],[att_gar]]+Grandview_Inventory[[#This Row],[bltin_gar]])*Lookups!$B$17</f>
        <v>0</v>
      </c>
      <c r="BP814" s="6">
        <f>Grandview_Inventory[[#This Row],[Plumbing Fixtures]]*Lookups!$B$18</f>
        <v>16083.5344</v>
      </c>
      <c r="BQ814" s="6">
        <f>Grandview_Inventory[[#This Row],[detatched_value]]*Lookups!$B$19</f>
        <v>0</v>
      </c>
      <c r="BR814" s="6">
        <f>SUM(Grandview_Inventory[[#This Row],[Intercept]:[det_value]])*Grandview_Inventory[[#This Row],[res_pct]]</f>
        <v>292554.36454800004</v>
      </c>
      <c r="BS814" s="6">
        <f>Grandview_Inventory[[#This Row],[land_value]]</f>
        <v>64331.716424184073</v>
      </c>
      <c r="BT814" s="4">
        <f>_xlfn.IFNA(VLOOKUP(Grandview_Inventory[[#This Row],[quality]],Lookups!$A$26:$C$33,3,FALSE),1)</f>
        <v>0.98763855981004833</v>
      </c>
      <c r="BU814" s="4">
        <f>_xlfn.IFNA(VLOOKUP(Grandview_Inventory[[#This Row],[condition]],Lookups!$A$37:$C$44,3,FALSE),1)</f>
        <v>0.97383723671140243</v>
      </c>
      <c r="BV814" s="4">
        <f>IF(Grandview_Inventory[[#This Row],[bldg_style]]="",1,_xlfn.IFNA(VLOOKUP(Grandview_Inventory[[#This Row],[decade]],Lookups!$F$29:$H$43,3,FALSE),1))</f>
        <v>0.95268620544463312</v>
      </c>
      <c r="BW814" s="4">
        <f>_xlfn.IFNA(VLOOKUP(Grandview_Inventory[[#This Row],[living_area_range]],Lookups!$F$47:$H$56,3,FALSE),1)</f>
        <v>0.96120133463014379</v>
      </c>
      <c r="BX814" s="4">
        <f>AVERAGE(Grandview_Inventory[[#This Row],[qual_adj]:[size_adj]])</f>
        <v>0.96884083414905686</v>
      </c>
      <c r="BY814" s="6">
        <f>IF(Grandview_Inventory[[#This Row],[pre_res]]&lt;0,0,Grandview_Inventory[[#This Row],[pre_res]]*Grandview_Inventory[[#This Row],[overall_adj]])</f>
        <v>283438.61458263162</v>
      </c>
      <c r="BZ814" s="6">
        <f>(Grandview_Inventory[[#This Row],[sum_land]]-IF(Grandview_Inventory[[#This Row],[no_utilities]]=1,12000,0))/IF(Grandview_Inventory[[#This Row],[unbuildable]]=1,2,1)</f>
        <v>64331.716424184073</v>
      </c>
      <c r="CA814">
        <f>IF(ROUND(Grandview_Inventory[[#This Row],[adj_land]]*Lookups!$M$28,-2)&lt;Grandview_Inventory[[#This Row],[min_land]],Grandview_Inventory[[#This Row],[min_land]],ROUND(Grandview_Inventory[[#This Row],[adj_land]]*Lookups!$M$28,-2))</f>
        <v>61100</v>
      </c>
      <c r="CB814">
        <f>ROUND(Grandview_Inventory[[#This Row],[det_value]]*Lookups!$M$28,-2)</f>
        <v>0</v>
      </c>
      <c r="CC814">
        <f>IF(ROUND(Grandview_Inventory[[#This Row],[adj_res]]*Lookups!$M$28,-2)&lt;Grandview_Inventory[[#This Row],[min_res]],Grandview_Inventory[[#This Row],[min_res]],ROUND(Grandview_Inventory[[#This Row],[adj_res]]*Lookups!$M$28,-2))</f>
        <v>269300</v>
      </c>
      <c r="CD814">
        <f>Grandview_Inventory[[#This Row],[final_det]]+Grandview_Inventory[[#This Row],[final_res]]</f>
        <v>269300</v>
      </c>
      <c r="CE814">
        <f>Grandview_Inventory[[#This Row],[final_land]]+Grandview_Inventory[[#This Row],[final_imp]]+Grandview_Inventory[[#This Row],[crop_value]]</f>
        <v>330400</v>
      </c>
      <c r="CG814" t="str">
        <f t="shared" si="12"/>
        <v>update valuation set market_land =61100, market_bldg=269300, market_total =330400, market_mdno =401, market_date ='9/10/2023' where link_id = (select link_id from parcel where parcel_year = '2024' and parcel_id = '23092232434');</v>
      </c>
    </row>
    <row r="815" spans="1:85" x14ac:dyDescent="0.25">
      <c r="A815">
        <v>23092232435</v>
      </c>
      <c r="B815">
        <v>0.52</v>
      </c>
      <c r="C815">
        <v>22754</v>
      </c>
      <c r="D815" t="s">
        <v>129</v>
      </c>
      <c r="E815" t="s">
        <v>53</v>
      </c>
      <c r="F815" t="s">
        <v>53</v>
      </c>
      <c r="G815">
        <v>4</v>
      </c>
      <c r="H815" t="s">
        <v>54</v>
      </c>
      <c r="I815">
        <v>178100</v>
      </c>
      <c r="J815">
        <v>46600</v>
      </c>
      <c r="K815">
        <v>0.52</v>
      </c>
      <c r="L815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815">
        <v>0</v>
      </c>
      <c r="N815">
        <v>0</v>
      </c>
      <c r="O815">
        <v>0</v>
      </c>
      <c r="P815">
        <v>13398.7528</v>
      </c>
      <c r="Q815">
        <v>63903</v>
      </c>
      <c r="R815">
        <f>(Grandview_Inventory[[#This Row],[ln_acres]]*Grandview_Inventory[[#This Row],[coeff]])+Grandview_Inventory[[#This Row],[const]]</f>
        <v>55141.200913840854</v>
      </c>
      <c r="S815" t="s">
        <v>55</v>
      </c>
      <c r="T815">
        <v>1</v>
      </c>
      <c r="U815" t="s">
        <v>70</v>
      </c>
      <c r="V815" t="s">
        <v>69</v>
      </c>
      <c r="W815">
        <v>0</v>
      </c>
      <c r="X815">
        <v>0</v>
      </c>
      <c r="Y815">
        <v>45</v>
      </c>
      <c r="Z815">
        <v>51</v>
      </c>
      <c r="AA815">
        <v>60</v>
      </c>
      <c r="AB815">
        <v>1500</v>
      </c>
      <c r="AC815">
        <v>1456</v>
      </c>
      <c r="AD815">
        <v>1456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544</v>
      </c>
      <c r="AN815">
        <v>0</v>
      </c>
      <c r="AO815">
        <v>520</v>
      </c>
      <c r="AP815">
        <v>5</v>
      </c>
      <c r="AQ815">
        <v>1</v>
      </c>
      <c r="AR815">
        <v>0</v>
      </c>
      <c r="AS815" t="s">
        <v>58</v>
      </c>
      <c r="AT815">
        <v>1</v>
      </c>
      <c r="AU815" t="s">
        <v>63</v>
      </c>
      <c r="AV815" t="s">
        <v>60</v>
      </c>
      <c r="AW815">
        <v>0</v>
      </c>
      <c r="AX815">
        <v>3</v>
      </c>
      <c r="AY815">
        <v>0</v>
      </c>
      <c r="AZ815">
        <v>0</v>
      </c>
      <c r="BA815">
        <v>100</v>
      </c>
      <c r="BB815">
        <v>100</v>
      </c>
      <c r="BC815">
        <v>100</v>
      </c>
      <c r="BD815">
        <v>100</v>
      </c>
      <c r="BE815">
        <v>1</v>
      </c>
      <c r="BF815">
        <v>15000</v>
      </c>
      <c r="BG815">
        <v>1000</v>
      </c>
      <c r="BH815" s="6">
        <f>Grandview_Inventory[[#This Row],[land_extract]]*Lookups!$B$3</f>
        <v>64035.327740000917</v>
      </c>
      <c r="BI815" s="6">
        <f>IF(Grandview_Inventory[[#This Row],[bldg_style]]="",0,Lookups!$B$2)</f>
        <v>155833.95000000001</v>
      </c>
      <c r="BJ815" s="6">
        <f>_xlfn.IFNA(VLOOKUP(Grandview_Inventory[[#This Row],[quality]],Lookups!$H$2:$J$14,3,FALSE),0)</f>
        <v>10733</v>
      </c>
      <c r="BK815" s="6">
        <f>_xlfn.IFNA(VLOOKUP(Grandview_Inventory[[#This Row],[condition]],Lookups!$H$17:$J$24,3,FALSE),0)</f>
        <v>-4503</v>
      </c>
      <c r="BL815" s="6">
        <f>Grandview_Inventory[[#This Row],[Eff_Age]]*Lookups!$B$14</f>
        <v>-10762.496999999999</v>
      </c>
      <c r="BM815" s="6">
        <f>Grandview_Inventory[[#This Row],[living_area]]*Lookups!$B$15</f>
        <v>90826.521968000001</v>
      </c>
      <c r="BN815" s="6">
        <f>Grandview_Inventory[[#This Row],[Fin BSMT]]*Lookups!$B$16</f>
        <v>0</v>
      </c>
      <c r="BO815" s="6">
        <f>(Grandview_Inventory[[#This Row],[att_gar]]+Grandview_Inventory[[#This Row],[bltin_gar]])*Lookups!$B$17</f>
        <v>0</v>
      </c>
      <c r="BP815" s="6">
        <f>Grandview_Inventory[[#This Row],[Plumbing Fixtures]]*Lookups!$B$18</f>
        <v>10052.209000000001</v>
      </c>
      <c r="BQ815" s="6">
        <f>Grandview_Inventory[[#This Row],[detatched_value]]*Lookups!$B$19</f>
        <v>0</v>
      </c>
      <c r="BR815" s="6">
        <f>SUM(Grandview_Inventory[[#This Row],[Intercept]:[det_value]])*Grandview_Inventory[[#This Row],[res_pct]]</f>
        <v>252180.18396800003</v>
      </c>
      <c r="BS815" s="6">
        <f>Grandview_Inventory[[#This Row],[land_value]]</f>
        <v>64035.327740000917</v>
      </c>
      <c r="BT815" s="4">
        <f>_xlfn.IFNA(VLOOKUP(Grandview_Inventory[[#This Row],[quality]],Lookups!$A$26:$C$33,3,FALSE),1)</f>
        <v>0.98079741117310582</v>
      </c>
      <c r="BU815" s="4">
        <f>_xlfn.IFNA(VLOOKUP(Grandview_Inventory[[#This Row],[condition]],Lookups!$A$37:$C$44,3,FALSE),1)</f>
        <v>0.96469275950863709</v>
      </c>
      <c r="BV815" s="4">
        <f>IF(Grandview_Inventory[[#This Row],[bldg_style]]="",1,_xlfn.IFNA(VLOOKUP(Grandview_Inventory[[#This Row],[decade]],Lookups!$F$29:$H$43,3,FALSE),1))</f>
        <v>0.95268620544463312</v>
      </c>
      <c r="BW815" s="4">
        <f>_xlfn.IFNA(VLOOKUP(Grandview_Inventory[[#This Row],[living_area_range]],Lookups!$F$47:$H$56,3,FALSE),1)</f>
        <v>0.96135087979789358</v>
      </c>
      <c r="BX815" s="4">
        <f>AVERAGE(Grandview_Inventory[[#This Row],[qual_adj]:[size_adj]])</f>
        <v>0.96488181398106743</v>
      </c>
      <c r="BY815" s="6">
        <f>IF(Grandview_Inventory[[#This Row],[pre_res]]&lt;0,0,Grandview_Inventory[[#This Row],[pre_res]]*Grandview_Inventory[[#This Row],[overall_adj]])</f>
        <v>243324.07335712315</v>
      </c>
      <c r="BZ815" s="6">
        <f>(Grandview_Inventory[[#This Row],[sum_land]]-IF(Grandview_Inventory[[#This Row],[no_utilities]]=1,12000,0))/IF(Grandview_Inventory[[#This Row],[unbuildable]]=1,2,1)</f>
        <v>64035.327740000917</v>
      </c>
      <c r="CA815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815">
        <f>ROUND(Grandview_Inventory[[#This Row],[det_value]]*Lookups!$M$28,-2)</f>
        <v>0</v>
      </c>
      <c r="CC815">
        <f>IF(ROUND(Grandview_Inventory[[#This Row],[adj_res]]*Lookups!$M$28,-2)&lt;Grandview_Inventory[[#This Row],[min_res]],Grandview_Inventory[[#This Row],[min_res]],ROUND(Grandview_Inventory[[#This Row],[adj_res]]*Lookups!$M$28,-2))</f>
        <v>231200</v>
      </c>
      <c r="CD815">
        <f>Grandview_Inventory[[#This Row],[final_det]]+Grandview_Inventory[[#This Row],[final_res]]</f>
        <v>231200</v>
      </c>
      <c r="CE815">
        <f>Grandview_Inventory[[#This Row],[final_land]]+Grandview_Inventory[[#This Row],[final_imp]]+Grandview_Inventory[[#This Row],[crop_value]]</f>
        <v>292000</v>
      </c>
      <c r="CG815" t="str">
        <f t="shared" si="12"/>
        <v>update valuation set market_land =60800, market_bldg=231200, market_total =292000, market_mdno =401, market_date ='9/10/2023' where link_id = (select link_id from parcel where parcel_year = '2024' and parcel_id = '23092232435');</v>
      </c>
    </row>
    <row r="816" spans="1:85" x14ac:dyDescent="0.25">
      <c r="A816">
        <v>23092232436</v>
      </c>
      <c r="B816">
        <v>0.53</v>
      </c>
      <c r="C816">
        <v>22871</v>
      </c>
      <c r="D816" t="s">
        <v>129</v>
      </c>
      <c r="E816" t="s">
        <v>53</v>
      </c>
      <c r="F816" t="s">
        <v>53</v>
      </c>
      <c r="G816">
        <v>4</v>
      </c>
      <c r="H816" t="s">
        <v>54</v>
      </c>
      <c r="I816">
        <v>176000</v>
      </c>
      <c r="J816">
        <v>46600</v>
      </c>
      <c r="K816">
        <v>0.53</v>
      </c>
      <c r="L816">
        <f>IF(Grandview_Inventory[[#This Row],[parcel_acres]]-Grandview_Inventory[[#This Row],[non_valued_acres]] =0,0,LN(Grandview_Inventory[[#This Row],[parcel_acres]]-Grandview_Inventory[[#This Row],[non_valued_acres]]))</f>
        <v>-0.6348782724359695</v>
      </c>
      <c r="M816">
        <v>0</v>
      </c>
      <c r="N816">
        <v>0</v>
      </c>
      <c r="O816">
        <v>0</v>
      </c>
      <c r="P816">
        <v>13398.7528</v>
      </c>
      <c r="Q816">
        <v>63903</v>
      </c>
      <c r="R816">
        <f>(Grandview_Inventory[[#This Row],[ln_acres]]*Grandview_Inventory[[#This Row],[coeff]])+Grandview_Inventory[[#This Row],[const]]</f>
        <v>55396.422969539388</v>
      </c>
      <c r="S816" t="s">
        <v>61</v>
      </c>
      <c r="T816">
        <v>1</v>
      </c>
      <c r="U816" t="s">
        <v>65</v>
      </c>
      <c r="V816" t="s">
        <v>67</v>
      </c>
      <c r="W816">
        <v>0</v>
      </c>
      <c r="X816">
        <v>0</v>
      </c>
      <c r="Y816">
        <v>45</v>
      </c>
      <c r="Z816">
        <v>52</v>
      </c>
      <c r="AA816">
        <v>60</v>
      </c>
      <c r="AB816">
        <v>1500</v>
      </c>
      <c r="AC816">
        <v>1415</v>
      </c>
      <c r="AD816">
        <v>1415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480</v>
      </c>
      <c r="AN816">
        <v>0</v>
      </c>
      <c r="AO816">
        <v>480</v>
      </c>
      <c r="AP816">
        <v>5</v>
      </c>
      <c r="AQ816">
        <v>0</v>
      </c>
      <c r="AR816">
        <v>0</v>
      </c>
      <c r="AS816" t="s">
        <v>58</v>
      </c>
      <c r="AT816">
        <v>1</v>
      </c>
      <c r="AU816" t="s">
        <v>59</v>
      </c>
      <c r="AV816" t="s">
        <v>60</v>
      </c>
      <c r="AW816">
        <v>1</v>
      </c>
      <c r="AX816">
        <v>3</v>
      </c>
      <c r="AY816">
        <v>0</v>
      </c>
      <c r="AZ816">
        <v>0</v>
      </c>
      <c r="BA816">
        <v>100</v>
      </c>
      <c r="BB816">
        <v>100</v>
      </c>
      <c r="BC816">
        <v>100</v>
      </c>
      <c r="BD816">
        <v>100</v>
      </c>
      <c r="BE816">
        <v>1</v>
      </c>
      <c r="BF816">
        <v>15000</v>
      </c>
      <c r="BG816">
        <v>1000</v>
      </c>
      <c r="BH816" s="6">
        <f>Grandview_Inventory[[#This Row],[land_extract]]*Lookups!$B$3</f>
        <v>64331.716424184073</v>
      </c>
      <c r="BI816" s="6">
        <f>IF(Grandview_Inventory[[#This Row],[bldg_style]]="",0,Lookups!$B$2)</f>
        <v>155833.95000000001</v>
      </c>
      <c r="BJ816" s="6">
        <f>_xlfn.IFNA(VLOOKUP(Grandview_Inventory[[#This Row],[quality]],Lookups!$H$2:$J$14,3,FALSE),0)</f>
        <v>2251</v>
      </c>
      <c r="BK816" s="6">
        <f>_xlfn.IFNA(VLOOKUP(Grandview_Inventory[[#This Row],[condition]],Lookups!$H$17:$J$24,3,FALSE),0)</f>
        <v>22342</v>
      </c>
      <c r="BL816" s="6">
        <f>Grandview_Inventory[[#This Row],[Eff_Age]]*Lookups!$B$14</f>
        <v>-10762.496999999999</v>
      </c>
      <c r="BM816" s="6">
        <f>Grandview_Inventory[[#This Row],[living_area]]*Lookups!$B$15</f>
        <v>88268.906994999998</v>
      </c>
      <c r="BN816" s="6">
        <f>Grandview_Inventory[[#This Row],[Fin BSMT]]*Lookups!$B$16</f>
        <v>0</v>
      </c>
      <c r="BO816" s="6">
        <f>(Grandview_Inventory[[#This Row],[att_gar]]+Grandview_Inventory[[#This Row],[bltin_gar]])*Lookups!$B$17</f>
        <v>0</v>
      </c>
      <c r="BP816" s="6">
        <f>Grandview_Inventory[[#This Row],[Plumbing Fixtures]]*Lookups!$B$18</f>
        <v>10052.209000000001</v>
      </c>
      <c r="BQ816" s="6">
        <f>Grandview_Inventory[[#This Row],[detatched_value]]*Lookups!$B$19</f>
        <v>0</v>
      </c>
      <c r="BR816" s="6">
        <f>SUM(Grandview_Inventory[[#This Row],[Intercept]:[det_value]])*Grandview_Inventory[[#This Row],[res_pct]]</f>
        <v>267985.56899499998</v>
      </c>
      <c r="BS816" s="6">
        <f>Grandview_Inventory[[#This Row],[land_value]]</f>
        <v>64331.716424184073</v>
      </c>
      <c r="BT816" s="4">
        <f>_xlfn.IFNA(VLOOKUP(Grandview_Inventory[[#This Row],[quality]],Lookups!$A$26:$C$33,3,FALSE),1)</f>
        <v>0.98763855981004833</v>
      </c>
      <c r="BU816" s="4">
        <f>_xlfn.IFNA(VLOOKUP(Grandview_Inventory[[#This Row],[condition]],Lookups!$A$37:$C$44,3,FALSE),1)</f>
        <v>0.97383723671140243</v>
      </c>
      <c r="BV816" s="4">
        <f>IF(Grandview_Inventory[[#This Row],[bldg_style]]="",1,_xlfn.IFNA(VLOOKUP(Grandview_Inventory[[#This Row],[decade]],Lookups!$F$29:$H$43,3,FALSE),1))</f>
        <v>0.95268620544463312</v>
      </c>
      <c r="BW816" s="4">
        <f>_xlfn.IFNA(VLOOKUP(Grandview_Inventory[[#This Row],[living_area_range]],Lookups!$F$47:$H$56,3,FALSE),1)</f>
        <v>0.96135087979789358</v>
      </c>
      <c r="BX816" s="4">
        <f>AVERAGE(Grandview_Inventory[[#This Row],[qual_adj]:[size_adj]])</f>
        <v>0.96887822044099436</v>
      </c>
      <c r="BY816" s="6">
        <f>IF(Grandview_Inventory[[#This Row],[pre_res]]&lt;0,0,Grandview_Inventory[[#This Row],[pre_res]]*Grandview_Inventory[[#This Row],[overall_adj]])</f>
        <v>259645.3811917429</v>
      </c>
      <c r="BZ816" s="6">
        <f>(Grandview_Inventory[[#This Row],[sum_land]]-IF(Grandview_Inventory[[#This Row],[no_utilities]]=1,12000,0))/IF(Grandview_Inventory[[#This Row],[unbuildable]]=1,2,1)</f>
        <v>64331.716424184073</v>
      </c>
      <c r="CA816">
        <f>IF(ROUND(Grandview_Inventory[[#This Row],[adj_land]]*Lookups!$M$28,-2)&lt;Grandview_Inventory[[#This Row],[min_land]],Grandview_Inventory[[#This Row],[min_land]],ROUND(Grandview_Inventory[[#This Row],[adj_land]]*Lookups!$M$28,-2))</f>
        <v>61100</v>
      </c>
      <c r="CB816">
        <f>ROUND(Grandview_Inventory[[#This Row],[det_value]]*Lookups!$M$28,-2)</f>
        <v>0</v>
      </c>
      <c r="CC816">
        <f>IF(ROUND(Grandview_Inventory[[#This Row],[adj_res]]*Lookups!$M$28,-2)&lt;Grandview_Inventory[[#This Row],[min_res]],Grandview_Inventory[[#This Row],[min_res]],ROUND(Grandview_Inventory[[#This Row],[adj_res]]*Lookups!$M$28,-2))</f>
        <v>246700</v>
      </c>
      <c r="CD816">
        <f>Grandview_Inventory[[#This Row],[final_det]]+Grandview_Inventory[[#This Row],[final_res]]</f>
        <v>246700</v>
      </c>
      <c r="CE816">
        <f>Grandview_Inventory[[#This Row],[final_land]]+Grandview_Inventory[[#This Row],[final_imp]]+Grandview_Inventory[[#This Row],[crop_value]]</f>
        <v>307800</v>
      </c>
      <c r="CG816" t="str">
        <f t="shared" si="12"/>
        <v>update valuation set market_land =61100, market_bldg=246700, market_total =307800, market_mdno =401, market_date ='9/10/2023' where link_id = (select link_id from parcel where parcel_year = '2024' and parcel_id = '23092232436');</v>
      </c>
    </row>
    <row r="817" spans="1:85" x14ac:dyDescent="0.25">
      <c r="A817">
        <v>23092232437</v>
      </c>
      <c r="B817">
        <v>0.53</v>
      </c>
      <c r="C817">
        <v>22933</v>
      </c>
      <c r="D817" t="s">
        <v>129</v>
      </c>
      <c r="E817" t="s">
        <v>53</v>
      </c>
      <c r="F817" t="s">
        <v>53</v>
      </c>
      <c r="G817">
        <v>4</v>
      </c>
      <c r="H817" t="s">
        <v>54</v>
      </c>
      <c r="I817">
        <v>208200</v>
      </c>
      <c r="J817">
        <v>46600</v>
      </c>
      <c r="K817">
        <v>0.53</v>
      </c>
      <c r="L817">
        <f>IF(Grandview_Inventory[[#This Row],[parcel_acres]]-Grandview_Inventory[[#This Row],[non_valued_acres]] =0,0,LN(Grandview_Inventory[[#This Row],[parcel_acres]]-Grandview_Inventory[[#This Row],[non_valued_acres]]))</f>
        <v>-0.6348782724359695</v>
      </c>
      <c r="M817">
        <v>0</v>
      </c>
      <c r="N817">
        <v>0</v>
      </c>
      <c r="O817">
        <v>0</v>
      </c>
      <c r="P817">
        <v>13398.7528</v>
      </c>
      <c r="Q817">
        <v>63903</v>
      </c>
      <c r="R817">
        <f>(Grandview_Inventory[[#This Row],[ln_acres]]*Grandview_Inventory[[#This Row],[coeff]])+Grandview_Inventory[[#This Row],[const]]</f>
        <v>55396.422969539388</v>
      </c>
      <c r="S817" t="s">
        <v>61</v>
      </c>
      <c r="T817">
        <v>1</v>
      </c>
      <c r="U817" t="s">
        <v>65</v>
      </c>
      <c r="V817" t="s">
        <v>69</v>
      </c>
      <c r="W817">
        <v>0</v>
      </c>
      <c r="X817">
        <v>0</v>
      </c>
      <c r="Y817">
        <v>45</v>
      </c>
      <c r="Z817">
        <v>52</v>
      </c>
      <c r="AA817">
        <v>60</v>
      </c>
      <c r="AB817">
        <v>1500</v>
      </c>
      <c r="AC817">
        <v>1448</v>
      </c>
      <c r="AD817">
        <v>1448</v>
      </c>
      <c r="AE817">
        <v>0</v>
      </c>
      <c r="AF817">
        <v>0</v>
      </c>
      <c r="AG817">
        <v>0</v>
      </c>
      <c r="AH817">
        <v>0</v>
      </c>
      <c r="AI817">
        <v>768</v>
      </c>
      <c r="AJ817">
        <v>0</v>
      </c>
      <c r="AK817">
        <v>0</v>
      </c>
      <c r="AL817">
        <v>0</v>
      </c>
      <c r="AM817">
        <v>312</v>
      </c>
      <c r="AN817">
        <v>0</v>
      </c>
      <c r="AO817">
        <v>168</v>
      </c>
      <c r="AP817">
        <v>8</v>
      </c>
      <c r="AQ817">
        <v>0</v>
      </c>
      <c r="AR817">
        <v>0</v>
      </c>
      <c r="AS817" t="s">
        <v>76</v>
      </c>
      <c r="AT817">
        <v>1</v>
      </c>
      <c r="AU817" t="s">
        <v>63</v>
      </c>
      <c r="AV817" t="s">
        <v>60</v>
      </c>
      <c r="AW817">
        <v>0</v>
      </c>
      <c r="AX817">
        <v>3</v>
      </c>
      <c r="AY817">
        <v>0</v>
      </c>
      <c r="AZ817">
        <v>0</v>
      </c>
      <c r="BA817">
        <v>100</v>
      </c>
      <c r="BB817">
        <v>100</v>
      </c>
      <c r="BC817">
        <v>100</v>
      </c>
      <c r="BD817">
        <v>100</v>
      </c>
      <c r="BE817">
        <v>1</v>
      </c>
      <c r="BF817">
        <v>15000</v>
      </c>
      <c r="BG817">
        <v>1000</v>
      </c>
      <c r="BH817" s="6">
        <f>Grandview_Inventory[[#This Row],[land_extract]]*Lookups!$B$3</f>
        <v>64331.716424184073</v>
      </c>
      <c r="BI817" s="6">
        <f>IF(Grandview_Inventory[[#This Row],[bldg_style]]="",0,Lookups!$B$2)</f>
        <v>155833.95000000001</v>
      </c>
      <c r="BJ817" s="6">
        <f>_xlfn.IFNA(VLOOKUP(Grandview_Inventory[[#This Row],[quality]],Lookups!$H$2:$J$14,3,FALSE),0)</f>
        <v>2251</v>
      </c>
      <c r="BK817" s="6">
        <f>_xlfn.IFNA(VLOOKUP(Grandview_Inventory[[#This Row],[condition]],Lookups!$H$17:$J$24,3,FALSE),0)</f>
        <v>-4503</v>
      </c>
      <c r="BL817" s="6">
        <f>Grandview_Inventory[[#This Row],[Eff_Age]]*Lookups!$B$14</f>
        <v>-10762.496999999999</v>
      </c>
      <c r="BM817" s="6">
        <f>Grandview_Inventory[[#This Row],[living_area]]*Lookups!$B$15</f>
        <v>90327.475143999996</v>
      </c>
      <c r="BN817" s="6">
        <f>Grandview_Inventory[[#This Row],[Fin BSMT]]*Lookups!$B$16</f>
        <v>0</v>
      </c>
      <c r="BO817" s="6">
        <f>(Grandview_Inventory[[#This Row],[att_gar]]+Grandview_Inventory[[#This Row],[bltin_gar]])*Lookups!$B$17</f>
        <v>67215.695615999997</v>
      </c>
      <c r="BP817" s="6">
        <f>Grandview_Inventory[[#This Row],[Plumbing Fixtures]]*Lookups!$B$18</f>
        <v>16083.5344</v>
      </c>
      <c r="BQ817" s="6">
        <f>Grandview_Inventory[[#This Row],[detatched_value]]*Lookups!$B$19</f>
        <v>0</v>
      </c>
      <c r="BR817" s="6">
        <f>SUM(Grandview_Inventory[[#This Row],[Intercept]:[det_value]])*Grandview_Inventory[[#This Row],[res_pct]]</f>
        <v>316446.15815999999</v>
      </c>
      <c r="BS817" s="6">
        <f>Grandview_Inventory[[#This Row],[land_value]]</f>
        <v>64331.716424184073</v>
      </c>
      <c r="BT817" s="4">
        <f>_xlfn.IFNA(VLOOKUP(Grandview_Inventory[[#This Row],[quality]],Lookups!$A$26:$C$33,3,FALSE),1)</f>
        <v>0.98763855981004833</v>
      </c>
      <c r="BU817" s="4">
        <f>_xlfn.IFNA(VLOOKUP(Grandview_Inventory[[#This Row],[condition]],Lookups!$A$37:$C$44,3,FALSE),1)</f>
        <v>0.96469275950863709</v>
      </c>
      <c r="BV817" s="4">
        <f>IF(Grandview_Inventory[[#This Row],[bldg_style]]="",1,_xlfn.IFNA(VLOOKUP(Grandview_Inventory[[#This Row],[decade]],Lookups!$F$29:$H$43,3,FALSE),1))</f>
        <v>0.95268620544463312</v>
      </c>
      <c r="BW817" s="4">
        <f>_xlfn.IFNA(VLOOKUP(Grandview_Inventory[[#This Row],[living_area_range]],Lookups!$F$47:$H$56,3,FALSE),1)</f>
        <v>0.96135087979789358</v>
      </c>
      <c r="BX817" s="4">
        <f>AVERAGE(Grandview_Inventory[[#This Row],[qual_adj]:[size_adj]])</f>
        <v>0.96659210114030303</v>
      </c>
      <c r="BY817" s="6">
        <f>IF(Grandview_Inventory[[#This Row],[pre_res]]&lt;0,0,Grandview_Inventory[[#This Row],[pre_res]]*Grandview_Inventory[[#This Row],[overall_adj]])</f>
        <v>305874.35691365105</v>
      </c>
      <c r="BZ817" s="6">
        <f>(Grandview_Inventory[[#This Row],[sum_land]]-IF(Grandview_Inventory[[#This Row],[no_utilities]]=1,12000,0))/IF(Grandview_Inventory[[#This Row],[unbuildable]]=1,2,1)</f>
        <v>64331.716424184073</v>
      </c>
      <c r="CA817">
        <f>IF(ROUND(Grandview_Inventory[[#This Row],[adj_land]]*Lookups!$M$28,-2)&lt;Grandview_Inventory[[#This Row],[min_land]],Grandview_Inventory[[#This Row],[min_land]],ROUND(Grandview_Inventory[[#This Row],[adj_land]]*Lookups!$M$28,-2))</f>
        <v>61100</v>
      </c>
      <c r="CB817">
        <f>ROUND(Grandview_Inventory[[#This Row],[det_value]]*Lookups!$M$28,-2)</f>
        <v>0</v>
      </c>
      <c r="CC817">
        <f>IF(ROUND(Grandview_Inventory[[#This Row],[adj_res]]*Lookups!$M$28,-2)&lt;Grandview_Inventory[[#This Row],[min_res]],Grandview_Inventory[[#This Row],[min_res]],ROUND(Grandview_Inventory[[#This Row],[adj_res]]*Lookups!$M$28,-2))</f>
        <v>290600</v>
      </c>
      <c r="CD817">
        <f>Grandview_Inventory[[#This Row],[final_det]]+Grandview_Inventory[[#This Row],[final_res]]</f>
        <v>290600</v>
      </c>
      <c r="CE817">
        <f>Grandview_Inventory[[#This Row],[final_land]]+Grandview_Inventory[[#This Row],[final_imp]]+Grandview_Inventory[[#This Row],[crop_value]]</f>
        <v>351700</v>
      </c>
      <c r="CG817" t="str">
        <f t="shared" si="12"/>
        <v>update valuation set market_land =61100, market_bldg=290600, market_total =351700, market_mdno =401, market_date ='9/10/2023' where link_id = (select link_id from parcel where parcel_year = '2024' and parcel_id = '23092232437');</v>
      </c>
    </row>
    <row r="818" spans="1:85" x14ac:dyDescent="0.25">
      <c r="A818">
        <v>23092232438</v>
      </c>
      <c r="B818">
        <v>0.56000000000000005</v>
      </c>
      <c r="C818">
        <v>24442</v>
      </c>
      <c r="D818" t="s">
        <v>129</v>
      </c>
      <c r="E818" t="s">
        <v>53</v>
      </c>
      <c r="F818" t="s">
        <v>53</v>
      </c>
      <c r="G818">
        <v>4</v>
      </c>
      <c r="H818" t="s">
        <v>54</v>
      </c>
      <c r="I818">
        <v>283500</v>
      </c>
      <c r="J818">
        <v>46800</v>
      </c>
      <c r="K818">
        <v>0.56000000000000005</v>
      </c>
      <c r="L818">
        <f>IF(Grandview_Inventory[[#This Row],[parcel_acres]]-Grandview_Inventory[[#This Row],[non_valued_acres]] =0,0,LN(Grandview_Inventory[[#This Row],[parcel_acres]]-Grandview_Inventory[[#This Row],[non_valued_acres]]))</f>
        <v>-0.57981849525294205</v>
      </c>
      <c r="M818">
        <v>0</v>
      </c>
      <c r="N818">
        <v>0</v>
      </c>
      <c r="O818">
        <v>0</v>
      </c>
      <c r="P818">
        <v>13398.7528</v>
      </c>
      <c r="Q818">
        <v>63903</v>
      </c>
      <c r="R818">
        <f>(Grandview_Inventory[[#This Row],[ln_acres]]*Grandview_Inventory[[#This Row],[coeff]])+Grandview_Inventory[[#This Row],[const]]</f>
        <v>56134.155313237854</v>
      </c>
      <c r="S818" t="s">
        <v>55</v>
      </c>
      <c r="T818">
        <v>1</v>
      </c>
      <c r="U818" t="s">
        <v>65</v>
      </c>
      <c r="V818" t="s">
        <v>67</v>
      </c>
      <c r="W818">
        <v>0</v>
      </c>
      <c r="X818">
        <v>0</v>
      </c>
      <c r="Y818">
        <v>27</v>
      </c>
      <c r="Z818">
        <v>27</v>
      </c>
      <c r="AA818">
        <v>30</v>
      </c>
      <c r="AB818">
        <v>2000</v>
      </c>
      <c r="AC818">
        <v>1824</v>
      </c>
      <c r="AD818">
        <v>1824</v>
      </c>
      <c r="AE818">
        <v>0</v>
      </c>
      <c r="AF818">
        <v>0</v>
      </c>
      <c r="AG818">
        <v>0</v>
      </c>
      <c r="AH818">
        <v>0</v>
      </c>
      <c r="AI818">
        <v>726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8</v>
      </c>
      <c r="AQ818">
        <v>0</v>
      </c>
      <c r="AR818">
        <v>0</v>
      </c>
      <c r="AS818" t="s">
        <v>58</v>
      </c>
      <c r="AT818">
        <v>1</v>
      </c>
      <c r="AU818" t="s">
        <v>59</v>
      </c>
      <c r="AV818" t="s">
        <v>60</v>
      </c>
      <c r="AW818">
        <v>1</v>
      </c>
      <c r="AX818">
        <v>3</v>
      </c>
      <c r="AY818">
        <v>0</v>
      </c>
      <c r="AZ818">
        <v>3700</v>
      </c>
      <c r="BA818">
        <v>100</v>
      </c>
      <c r="BB818">
        <v>100</v>
      </c>
      <c r="BC818">
        <v>100</v>
      </c>
      <c r="BD818">
        <v>100</v>
      </c>
      <c r="BE818">
        <v>1</v>
      </c>
      <c r="BF818">
        <v>15000</v>
      </c>
      <c r="BG818">
        <v>1000</v>
      </c>
      <c r="BH818" s="6">
        <f>Grandview_Inventory[[#This Row],[land_extract]]*Lookups!$B$3</f>
        <v>65188.443003043772</v>
      </c>
      <c r="BI818" s="6">
        <f>IF(Grandview_Inventory[[#This Row],[bldg_style]]="",0,Lookups!$B$2)</f>
        <v>155833.95000000001</v>
      </c>
      <c r="BJ818" s="6">
        <f>_xlfn.IFNA(VLOOKUP(Grandview_Inventory[[#This Row],[quality]],Lookups!$H$2:$J$14,3,FALSE),0)</f>
        <v>2251</v>
      </c>
      <c r="BK818" s="6">
        <f>_xlfn.IFNA(VLOOKUP(Grandview_Inventory[[#This Row],[condition]],Lookups!$H$17:$J$24,3,FALSE),0)</f>
        <v>22342</v>
      </c>
      <c r="BL818" s="6">
        <f>Grandview_Inventory[[#This Row],[Eff_Age]]*Lookups!$B$14</f>
        <v>-6457.4982</v>
      </c>
      <c r="BM818" s="6">
        <f>Grandview_Inventory[[#This Row],[living_area]]*Lookups!$B$15</f>
        <v>113782.67587200001</v>
      </c>
      <c r="BN818" s="6">
        <f>Grandview_Inventory[[#This Row],[Fin BSMT]]*Lookups!$B$16</f>
        <v>0</v>
      </c>
      <c r="BO818" s="6">
        <f>(Grandview_Inventory[[#This Row],[att_gar]]+Grandview_Inventory[[#This Row],[bltin_gar]])*Lookups!$B$17</f>
        <v>63539.837262000001</v>
      </c>
      <c r="BP818" s="6">
        <f>Grandview_Inventory[[#This Row],[Plumbing Fixtures]]*Lookups!$B$18</f>
        <v>16083.5344</v>
      </c>
      <c r="BQ818" s="6">
        <f>Grandview_Inventory[[#This Row],[detatched_value]]*Lookups!$B$19</f>
        <v>3133.1788699999997</v>
      </c>
      <c r="BR818" s="6">
        <f>SUM(Grandview_Inventory[[#This Row],[Intercept]:[det_value]])*Grandview_Inventory[[#This Row],[res_pct]]</f>
        <v>370508.67820400005</v>
      </c>
      <c r="BS818" s="6">
        <f>Grandview_Inventory[[#This Row],[land_value]]</f>
        <v>65188.443003043772</v>
      </c>
      <c r="BT818" s="4">
        <f>_xlfn.IFNA(VLOOKUP(Grandview_Inventory[[#This Row],[quality]],Lookups!$A$26:$C$33,3,FALSE),1)</f>
        <v>0.98763855981004833</v>
      </c>
      <c r="BU818" s="4">
        <f>_xlfn.IFNA(VLOOKUP(Grandview_Inventory[[#This Row],[condition]],Lookups!$A$37:$C$44,3,FALSE),1)</f>
        <v>0.97383723671140243</v>
      </c>
      <c r="BV818" s="4">
        <f>IF(Grandview_Inventory[[#This Row],[bldg_style]]="",1,_xlfn.IFNA(VLOOKUP(Grandview_Inventory[[#This Row],[decade]],Lookups!$F$29:$H$43,3,FALSE),1))</f>
        <v>0.98397821291089549</v>
      </c>
      <c r="BW818" s="4">
        <f>_xlfn.IFNA(VLOOKUP(Grandview_Inventory[[#This Row],[living_area_range]],Lookups!$F$47:$H$56,3,FALSE),1)</f>
        <v>0.96120133463014379</v>
      </c>
      <c r="BX818" s="4">
        <f>AVERAGE(Grandview_Inventory[[#This Row],[qual_adj]:[size_adj]])</f>
        <v>0.97666383601562257</v>
      </c>
      <c r="BY818" s="6">
        <f>IF(Grandview_Inventory[[#This Row],[pre_res]]&lt;0,0,Grandview_Inventory[[#This Row],[pre_res]]*Grandview_Inventory[[#This Row],[overall_adj]])</f>
        <v>361862.4269317966</v>
      </c>
      <c r="BZ818" s="6">
        <f>(Grandview_Inventory[[#This Row],[sum_land]]-IF(Grandview_Inventory[[#This Row],[no_utilities]]=1,12000,0))/IF(Grandview_Inventory[[#This Row],[unbuildable]]=1,2,1)</f>
        <v>65188.443003043772</v>
      </c>
      <c r="CA818">
        <f>IF(ROUND(Grandview_Inventory[[#This Row],[adj_land]]*Lookups!$M$28,-2)&lt;Grandview_Inventory[[#This Row],[min_land]],Grandview_Inventory[[#This Row],[min_land]],ROUND(Grandview_Inventory[[#This Row],[adj_land]]*Lookups!$M$28,-2))</f>
        <v>61900</v>
      </c>
      <c r="CB818">
        <f>ROUND(Grandview_Inventory[[#This Row],[det_value]]*Lookups!$M$28,-2)</f>
        <v>3000</v>
      </c>
      <c r="CC818">
        <f>IF(ROUND(Grandview_Inventory[[#This Row],[adj_res]]*Lookups!$M$28,-2)&lt;Grandview_Inventory[[#This Row],[min_res]],Grandview_Inventory[[#This Row],[min_res]],ROUND(Grandview_Inventory[[#This Row],[adj_res]]*Lookups!$M$28,-2))</f>
        <v>343800</v>
      </c>
      <c r="CD818">
        <f>Grandview_Inventory[[#This Row],[final_det]]+Grandview_Inventory[[#This Row],[final_res]]</f>
        <v>346800</v>
      </c>
      <c r="CE818">
        <f>Grandview_Inventory[[#This Row],[final_land]]+Grandview_Inventory[[#This Row],[final_imp]]+Grandview_Inventory[[#This Row],[crop_value]]</f>
        <v>408700</v>
      </c>
      <c r="CG818" t="str">
        <f t="shared" si="12"/>
        <v>update valuation set market_land =61900, market_bldg=346800, market_total =408700, market_mdno =401, market_date ='9/10/2023' where link_id = (select link_id from parcel where parcel_year = '2024' and parcel_id = '23092232438');</v>
      </c>
    </row>
    <row r="819" spans="1:85" x14ac:dyDescent="0.25">
      <c r="A819">
        <v>23092232439</v>
      </c>
      <c r="B819">
        <v>0.51</v>
      </c>
      <c r="C819">
        <v>22252</v>
      </c>
      <c r="D819" t="s">
        <v>129</v>
      </c>
      <c r="E819" t="s">
        <v>53</v>
      </c>
      <c r="F819" t="s">
        <v>53</v>
      </c>
      <c r="G819">
        <v>4</v>
      </c>
      <c r="H819" t="s">
        <v>54</v>
      </c>
      <c r="I819">
        <v>220200</v>
      </c>
      <c r="J819">
        <v>46600</v>
      </c>
      <c r="K819">
        <v>0.51</v>
      </c>
      <c r="L819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819">
        <v>0</v>
      </c>
      <c r="N819">
        <v>0</v>
      </c>
      <c r="O819">
        <v>0</v>
      </c>
      <c r="P819">
        <v>13398.7528</v>
      </c>
      <c r="Q819">
        <v>63903</v>
      </c>
      <c r="R819">
        <f>(Grandview_Inventory[[#This Row],[ln_acres]]*Grandview_Inventory[[#This Row],[coeff]])+Grandview_Inventory[[#This Row],[const]]</f>
        <v>54881.022781592372</v>
      </c>
      <c r="S819" t="s">
        <v>61</v>
      </c>
      <c r="T819">
        <v>1</v>
      </c>
      <c r="U819" t="s">
        <v>65</v>
      </c>
      <c r="V819" t="s">
        <v>67</v>
      </c>
      <c r="W819">
        <v>0</v>
      </c>
      <c r="X819">
        <v>0</v>
      </c>
      <c r="Y819">
        <v>45</v>
      </c>
      <c r="Z819">
        <v>51</v>
      </c>
      <c r="AA819">
        <v>60</v>
      </c>
      <c r="AB819">
        <v>2000</v>
      </c>
      <c r="AC819">
        <v>1664</v>
      </c>
      <c r="AD819">
        <v>1664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442</v>
      </c>
      <c r="AL819">
        <v>0</v>
      </c>
      <c r="AM819">
        <v>462</v>
      </c>
      <c r="AN819">
        <v>0</v>
      </c>
      <c r="AO819">
        <v>462</v>
      </c>
      <c r="AP819">
        <v>8</v>
      </c>
      <c r="AQ819">
        <v>0</v>
      </c>
      <c r="AR819">
        <v>0</v>
      </c>
      <c r="AS819" t="s">
        <v>58</v>
      </c>
      <c r="AT819">
        <v>1</v>
      </c>
      <c r="AU819" t="s">
        <v>59</v>
      </c>
      <c r="AV819" t="s">
        <v>60</v>
      </c>
      <c r="AW819">
        <v>1</v>
      </c>
      <c r="AX819">
        <v>3</v>
      </c>
      <c r="AY819">
        <v>0</v>
      </c>
      <c r="AZ819">
        <v>0</v>
      </c>
      <c r="BA819">
        <v>100</v>
      </c>
      <c r="BB819">
        <v>100</v>
      </c>
      <c r="BC819">
        <v>100</v>
      </c>
      <c r="BD819">
        <v>100</v>
      </c>
      <c r="BE819">
        <v>1</v>
      </c>
      <c r="BF819">
        <v>15000</v>
      </c>
      <c r="BG819">
        <v>1000</v>
      </c>
      <c r="BH819" s="6">
        <f>Grandview_Inventory[[#This Row],[land_extract]]*Lookups!$B$3</f>
        <v>63733.18357750171</v>
      </c>
      <c r="BI819" s="6">
        <f>IF(Grandview_Inventory[[#This Row],[bldg_style]]="",0,Lookups!$B$2)</f>
        <v>155833.95000000001</v>
      </c>
      <c r="BJ819" s="6">
        <f>_xlfn.IFNA(VLOOKUP(Grandview_Inventory[[#This Row],[quality]],Lookups!$H$2:$J$14,3,FALSE),0)</f>
        <v>2251</v>
      </c>
      <c r="BK819" s="6">
        <f>_xlfn.IFNA(VLOOKUP(Grandview_Inventory[[#This Row],[condition]],Lookups!$H$17:$J$24,3,FALSE),0)</f>
        <v>22342</v>
      </c>
      <c r="BL819" s="6">
        <f>Grandview_Inventory[[#This Row],[Eff_Age]]*Lookups!$B$14</f>
        <v>-10762.496999999999</v>
      </c>
      <c r="BM819" s="6">
        <f>Grandview_Inventory[[#This Row],[living_area]]*Lookups!$B$15</f>
        <v>103801.739392</v>
      </c>
      <c r="BN819" s="6">
        <f>Grandview_Inventory[[#This Row],[Fin BSMT]]*Lookups!$B$16</f>
        <v>0</v>
      </c>
      <c r="BO819" s="6">
        <f>(Grandview_Inventory[[#This Row],[att_gar]]+Grandview_Inventory[[#This Row],[bltin_gar]])*Lookups!$B$17</f>
        <v>0</v>
      </c>
      <c r="BP819" s="6">
        <f>Grandview_Inventory[[#This Row],[Plumbing Fixtures]]*Lookups!$B$18</f>
        <v>16083.5344</v>
      </c>
      <c r="BQ819" s="6">
        <f>Grandview_Inventory[[#This Row],[detatched_value]]*Lookups!$B$19</f>
        <v>0</v>
      </c>
      <c r="BR819" s="6">
        <f>SUM(Grandview_Inventory[[#This Row],[Intercept]:[det_value]])*Grandview_Inventory[[#This Row],[res_pct]]</f>
        <v>289549.726792</v>
      </c>
      <c r="BS819" s="6">
        <f>Grandview_Inventory[[#This Row],[land_value]]</f>
        <v>63733.18357750171</v>
      </c>
      <c r="BT819" s="4">
        <f>_xlfn.IFNA(VLOOKUP(Grandview_Inventory[[#This Row],[quality]],Lookups!$A$26:$C$33,3,FALSE),1)</f>
        <v>0.98763855981004833</v>
      </c>
      <c r="BU819" s="4">
        <f>_xlfn.IFNA(VLOOKUP(Grandview_Inventory[[#This Row],[condition]],Lookups!$A$37:$C$44,3,FALSE),1)</f>
        <v>0.97383723671140243</v>
      </c>
      <c r="BV819" s="4">
        <f>IF(Grandview_Inventory[[#This Row],[bldg_style]]="",1,_xlfn.IFNA(VLOOKUP(Grandview_Inventory[[#This Row],[decade]],Lookups!$F$29:$H$43,3,FALSE),1))</f>
        <v>0.95268620544463312</v>
      </c>
      <c r="BW819" s="4">
        <f>_xlfn.IFNA(VLOOKUP(Grandview_Inventory[[#This Row],[living_area_range]],Lookups!$F$47:$H$56,3,FALSE),1)</f>
        <v>0.96120133463014379</v>
      </c>
      <c r="BX819" s="4">
        <f>AVERAGE(Grandview_Inventory[[#This Row],[qual_adj]:[size_adj]])</f>
        <v>0.96884083414905686</v>
      </c>
      <c r="BY819" s="6">
        <f>IF(Grandview_Inventory[[#This Row],[pre_res]]&lt;0,0,Grandview_Inventory[[#This Row],[pre_res]]*Grandview_Inventory[[#This Row],[overall_adj]])</f>
        <v>280527.59883279278</v>
      </c>
      <c r="BZ819" s="6">
        <f>(Grandview_Inventory[[#This Row],[sum_land]]-IF(Grandview_Inventory[[#This Row],[no_utilities]]=1,12000,0))/IF(Grandview_Inventory[[#This Row],[unbuildable]]=1,2,1)</f>
        <v>63733.18357750171</v>
      </c>
      <c r="CA819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819">
        <f>ROUND(Grandview_Inventory[[#This Row],[det_value]]*Lookups!$M$28,-2)</f>
        <v>0</v>
      </c>
      <c r="CC819">
        <f>IF(ROUND(Grandview_Inventory[[#This Row],[adj_res]]*Lookups!$M$28,-2)&lt;Grandview_Inventory[[#This Row],[min_res]],Grandview_Inventory[[#This Row],[min_res]],ROUND(Grandview_Inventory[[#This Row],[adj_res]]*Lookups!$M$28,-2))</f>
        <v>266500</v>
      </c>
      <c r="CD819">
        <f>Grandview_Inventory[[#This Row],[final_det]]+Grandview_Inventory[[#This Row],[final_res]]</f>
        <v>266500</v>
      </c>
      <c r="CE819">
        <f>Grandview_Inventory[[#This Row],[final_land]]+Grandview_Inventory[[#This Row],[final_imp]]+Grandview_Inventory[[#This Row],[crop_value]]</f>
        <v>327000</v>
      </c>
      <c r="CG819" t="str">
        <f t="shared" si="12"/>
        <v>update valuation set market_land =60500, market_bldg=266500, market_total =327000, market_mdno =401, market_date ='9/10/2023' where link_id = (select link_id from parcel where parcel_year = '2024' and parcel_id = '23092232439');</v>
      </c>
    </row>
    <row r="820" spans="1:85" x14ac:dyDescent="0.25">
      <c r="A820">
        <v>23092232440</v>
      </c>
      <c r="B820">
        <v>0.52</v>
      </c>
      <c r="C820">
        <v>22722</v>
      </c>
      <c r="D820" t="s">
        <v>129</v>
      </c>
      <c r="E820" t="s">
        <v>53</v>
      </c>
      <c r="F820" t="s">
        <v>53</v>
      </c>
      <c r="G820">
        <v>4</v>
      </c>
      <c r="H820" t="s">
        <v>54</v>
      </c>
      <c r="I820">
        <v>294000</v>
      </c>
      <c r="J820">
        <v>46600</v>
      </c>
      <c r="K820">
        <v>0.52</v>
      </c>
      <c r="L820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820">
        <v>0</v>
      </c>
      <c r="N820">
        <v>0</v>
      </c>
      <c r="O820">
        <v>0</v>
      </c>
      <c r="P820">
        <v>13398.7528</v>
      </c>
      <c r="Q820">
        <v>63903</v>
      </c>
      <c r="R820">
        <f>(Grandview_Inventory[[#This Row],[ln_acres]]*Grandview_Inventory[[#This Row],[coeff]])+Grandview_Inventory[[#This Row],[const]]</f>
        <v>55141.200913840854</v>
      </c>
      <c r="S820" t="s">
        <v>61</v>
      </c>
      <c r="T820">
        <v>1</v>
      </c>
      <c r="U820" t="s">
        <v>65</v>
      </c>
      <c r="V820" t="s">
        <v>67</v>
      </c>
      <c r="W820">
        <v>0</v>
      </c>
      <c r="X820">
        <v>0</v>
      </c>
      <c r="Y820">
        <v>45</v>
      </c>
      <c r="Z820">
        <v>52</v>
      </c>
      <c r="AA820">
        <v>60</v>
      </c>
      <c r="AB820">
        <v>2000</v>
      </c>
      <c r="AC820">
        <v>1516</v>
      </c>
      <c r="AD820">
        <v>1516</v>
      </c>
      <c r="AE820">
        <v>0</v>
      </c>
      <c r="AF820">
        <v>0</v>
      </c>
      <c r="AG820">
        <v>0</v>
      </c>
      <c r="AH820">
        <v>0</v>
      </c>
      <c r="AI820">
        <v>440</v>
      </c>
      <c r="AJ820">
        <v>0</v>
      </c>
      <c r="AK820">
        <v>0</v>
      </c>
      <c r="AL820">
        <v>400</v>
      </c>
      <c r="AM820">
        <v>0</v>
      </c>
      <c r="AN820">
        <v>48</v>
      </c>
      <c r="AO820">
        <v>400</v>
      </c>
      <c r="AP820">
        <v>8</v>
      </c>
      <c r="AQ820">
        <v>0</v>
      </c>
      <c r="AR820">
        <v>1</v>
      </c>
      <c r="AS820" t="s">
        <v>58</v>
      </c>
      <c r="AT820">
        <v>1</v>
      </c>
      <c r="AU820" t="s">
        <v>59</v>
      </c>
      <c r="AV820" t="s">
        <v>60</v>
      </c>
      <c r="AW820">
        <v>1</v>
      </c>
      <c r="AX820">
        <v>3</v>
      </c>
      <c r="AY820">
        <v>0</v>
      </c>
      <c r="AZ820">
        <v>48500</v>
      </c>
      <c r="BA820">
        <v>100</v>
      </c>
      <c r="BB820">
        <v>100</v>
      </c>
      <c r="BC820">
        <v>100</v>
      </c>
      <c r="BD820">
        <v>100</v>
      </c>
      <c r="BE820">
        <v>1</v>
      </c>
      <c r="BF820">
        <v>15000</v>
      </c>
      <c r="BG820">
        <v>1000</v>
      </c>
      <c r="BH820" s="6">
        <f>Grandview_Inventory[[#This Row],[land_extract]]*Lookups!$B$3</f>
        <v>64035.327740000917</v>
      </c>
      <c r="BI820" s="6">
        <f>IF(Grandview_Inventory[[#This Row],[bldg_style]]="",0,Lookups!$B$2)</f>
        <v>155833.95000000001</v>
      </c>
      <c r="BJ820" s="6">
        <f>_xlfn.IFNA(VLOOKUP(Grandview_Inventory[[#This Row],[quality]],Lookups!$H$2:$J$14,3,FALSE),0)</f>
        <v>2251</v>
      </c>
      <c r="BK820" s="6">
        <f>_xlfn.IFNA(VLOOKUP(Grandview_Inventory[[#This Row],[condition]],Lookups!$H$17:$J$24,3,FALSE),0)</f>
        <v>22342</v>
      </c>
      <c r="BL820" s="6">
        <f>Grandview_Inventory[[#This Row],[Eff_Age]]*Lookups!$B$14</f>
        <v>-10762.496999999999</v>
      </c>
      <c r="BM820" s="6">
        <f>Grandview_Inventory[[#This Row],[living_area]]*Lookups!$B$15</f>
        <v>94569.373147999999</v>
      </c>
      <c r="BN820" s="6">
        <f>Grandview_Inventory[[#This Row],[Fin BSMT]]*Lookups!$B$16</f>
        <v>0</v>
      </c>
      <c r="BO820" s="6">
        <f>(Grandview_Inventory[[#This Row],[att_gar]]+Grandview_Inventory[[#This Row],[bltin_gar]])*Lookups!$B$17</f>
        <v>38508.992279999999</v>
      </c>
      <c r="BP820" s="6">
        <f>Grandview_Inventory[[#This Row],[Plumbing Fixtures]]*Lookups!$B$18</f>
        <v>16083.5344</v>
      </c>
      <c r="BQ820" s="6">
        <f>Grandview_Inventory[[#This Row],[detatched_value]]*Lookups!$B$19</f>
        <v>41070.047350000001</v>
      </c>
      <c r="BR820" s="6">
        <f>SUM(Grandview_Inventory[[#This Row],[Intercept]:[det_value]])*Grandview_Inventory[[#This Row],[res_pct]]</f>
        <v>359896.40017800004</v>
      </c>
      <c r="BS820" s="6">
        <f>Grandview_Inventory[[#This Row],[land_value]]</f>
        <v>64035.327740000917</v>
      </c>
      <c r="BT820" s="4">
        <f>_xlfn.IFNA(VLOOKUP(Grandview_Inventory[[#This Row],[quality]],Lookups!$A$26:$C$33,3,FALSE),1)</f>
        <v>0.98763855981004833</v>
      </c>
      <c r="BU820" s="4">
        <f>_xlfn.IFNA(VLOOKUP(Grandview_Inventory[[#This Row],[condition]],Lookups!$A$37:$C$44,3,FALSE),1)</f>
        <v>0.97383723671140243</v>
      </c>
      <c r="BV820" s="4">
        <f>IF(Grandview_Inventory[[#This Row],[bldg_style]]="",1,_xlfn.IFNA(VLOOKUP(Grandview_Inventory[[#This Row],[decade]],Lookups!$F$29:$H$43,3,FALSE),1))</f>
        <v>0.95268620544463312</v>
      </c>
      <c r="BW820" s="4">
        <f>_xlfn.IFNA(VLOOKUP(Grandview_Inventory[[#This Row],[living_area_range]],Lookups!$F$47:$H$56,3,FALSE),1)</f>
        <v>0.96120133463014379</v>
      </c>
      <c r="BX820" s="4">
        <f>AVERAGE(Grandview_Inventory[[#This Row],[qual_adj]:[size_adj]])</f>
        <v>0.96884083414905686</v>
      </c>
      <c r="BY820" s="6">
        <f>IF(Grandview_Inventory[[#This Row],[pre_res]]&lt;0,0,Grandview_Inventory[[#This Row],[pre_res]]*Grandview_Inventory[[#This Row],[overall_adj]])</f>
        <v>348682.32855569635</v>
      </c>
      <c r="BZ820" s="6">
        <f>(Grandview_Inventory[[#This Row],[sum_land]]-IF(Grandview_Inventory[[#This Row],[no_utilities]]=1,12000,0))/IF(Grandview_Inventory[[#This Row],[unbuildable]]=1,2,1)</f>
        <v>64035.327740000917</v>
      </c>
      <c r="CA820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820">
        <f>ROUND(Grandview_Inventory[[#This Row],[det_value]]*Lookups!$M$28,-2)</f>
        <v>39000</v>
      </c>
      <c r="CC820">
        <f>IF(ROUND(Grandview_Inventory[[#This Row],[adj_res]]*Lookups!$M$28,-2)&lt;Grandview_Inventory[[#This Row],[min_res]],Grandview_Inventory[[#This Row],[min_res]],ROUND(Grandview_Inventory[[#This Row],[adj_res]]*Lookups!$M$28,-2))</f>
        <v>331200</v>
      </c>
      <c r="CD820">
        <f>Grandview_Inventory[[#This Row],[final_det]]+Grandview_Inventory[[#This Row],[final_res]]</f>
        <v>370200</v>
      </c>
      <c r="CE820">
        <f>Grandview_Inventory[[#This Row],[final_land]]+Grandview_Inventory[[#This Row],[final_imp]]+Grandview_Inventory[[#This Row],[crop_value]]</f>
        <v>431000</v>
      </c>
      <c r="CG820" t="str">
        <f t="shared" si="12"/>
        <v>update valuation set market_land =60800, market_bldg=370200, market_total =431000, market_mdno =401, market_date ='9/10/2023' where link_id = (select link_id from parcel where parcel_year = '2024' and parcel_id = '23092232440');</v>
      </c>
    </row>
    <row r="821" spans="1:85" x14ac:dyDescent="0.25">
      <c r="A821">
        <v>23092232443</v>
      </c>
      <c r="B821">
        <v>0.43</v>
      </c>
      <c r="C821">
        <v>18761</v>
      </c>
      <c r="D821" t="s">
        <v>129</v>
      </c>
      <c r="E821" t="s">
        <v>53</v>
      </c>
      <c r="F821" t="s">
        <v>53</v>
      </c>
      <c r="G821">
        <v>4</v>
      </c>
      <c r="H821" t="s">
        <v>54</v>
      </c>
      <c r="I821">
        <v>207000</v>
      </c>
      <c r="J821">
        <v>41400</v>
      </c>
      <c r="K821">
        <v>0.43</v>
      </c>
      <c r="L821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821">
        <v>0</v>
      </c>
      <c r="N821">
        <v>0</v>
      </c>
      <c r="O821">
        <v>0</v>
      </c>
      <c r="P821">
        <v>13398.7528</v>
      </c>
      <c r="Q821">
        <v>63903</v>
      </c>
      <c r="R821">
        <f>(Grandview_Inventory[[#This Row],[ln_acres]]*Grandview_Inventory[[#This Row],[coeff]])+Grandview_Inventory[[#This Row],[const]]</f>
        <v>52594.853657524982</v>
      </c>
      <c r="S821" t="s">
        <v>61</v>
      </c>
      <c r="T821">
        <v>1</v>
      </c>
      <c r="U821" t="s">
        <v>65</v>
      </c>
      <c r="V821" t="s">
        <v>69</v>
      </c>
      <c r="W821">
        <v>0</v>
      </c>
      <c r="X821">
        <v>0</v>
      </c>
      <c r="Y821">
        <v>47</v>
      </c>
      <c r="Z821">
        <v>57</v>
      </c>
      <c r="AA821">
        <v>60</v>
      </c>
      <c r="AB821">
        <v>1500</v>
      </c>
      <c r="AC821">
        <v>1294</v>
      </c>
      <c r="AD821">
        <v>1294</v>
      </c>
      <c r="AE821">
        <v>0</v>
      </c>
      <c r="AF821">
        <v>0</v>
      </c>
      <c r="AG821">
        <v>0</v>
      </c>
      <c r="AH821">
        <v>0</v>
      </c>
      <c r="AI821">
        <v>672</v>
      </c>
      <c r="AJ821">
        <v>0</v>
      </c>
      <c r="AK821">
        <v>0</v>
      </c>
      <c r="AL821">
        <v>0</v>
      </c>
      <c r="AM821">
        <v>364</v>
      </c>
      <c r="AN821">
        <v>0</v>
      </c>
      <c r="AO821">
        <v>364</v>
      </c>
      <c r="AP821">
        <v>7</v>
      </c>
      <c r="AQ821">
        <v>0</v>
      </c>
      <c r="AR821">
        <v>1</v>
      </c>
      <c r="AS821" t="s">
        <v>58</v>
      </c>
      <c r="AT821">
        <v>1</v>
      </c>
      <c r="AU821" t="s">
        <v>63</v>
      </c>
      <c r="AV821" t="s">
        <v>60</v>
      </c>
      <c r="AW821">
        <v>1</v>
      </c>
      <c r="AX821">
        <v>3</v>
      </c>
      <c r="AY821">
        <v>0</v>
      </c>
      <c r="AZ821">
        <v>0</v>
      </c>
      <c r="BA821">
        <v>100</v>
      </c>
      <c r="BB821">
        <v>100</v>
      </c>
      <c r="BC821">
        <v>100</v>
      </c>
      <c r="BD821">
        <v>100</v>
      </c>
      <c r="BE821">
        <v>1</v>
      </c>
      <c r="BF821">
        <v>15000</v>
      </c>
      <c r="BG821">
        <v>1000</v>
      </c>
      <c r="BH821" s="6">
        <f>Grandview_Inventory[[#This Row],[land_extract]]*Lookups!$B$3</f>
        <v>61078.261546378882</v>
      </c>
      <c r="BI821" s="6">
        <f>IF(Grandview_Inventory[[#This Row],[bldg_style]]="",0,Lookups!$B$2)</f>
        <v>155833.95000000001</v>
      </c>
      <c r="BJ821" s="6">
        <f>_xlfn.IFNA(VLOOKUP(Grandview_Inventory[[#This Row],[quality]],Lookups!$H$2:$J$14,3,FALSE),0)</f>
        <v>2251</v>
      </c>
      <c r="BK821" s="6">
        <f>_xlfn.IFNA(VLOOKUP(Grandview_Inventory[[#This Row],[condition]],Lookups!$H$17:$J$24,3,FALSE),0)</f>
        <v>-4503</v>
      </c>
      <c r="BL821" s="6">
        <f>Grandview_Inventory[[#This Row],[Eff_Age]]*Lookups!$B$14</f>
        <v>-11240.8302</v>
      </c>
      <c r="BM821" s="6">
        <f>Grandview_Inventory[[#This Row],[living_area]]*Lookups!$B$15</f>
        <v>80720.823782000007</v>
      </c>
      <c r="BN821" s="6">
        <f>Grandview_Inventory[[#This Row],[Fin BSMT]]*Lookups!$B$16</f>
        <v>0</v>
      </c>
      <c r="BO821" s="6">
        <f>(Grandview_Inventory[[#This Row],[att_gar]]+Grandview_Inventory[[#This Row],[bltin_gar]])*Lookups!$B$17</f>
        <v>58813.733663999999</v>
      </c>
      <c r="BP821" s="6">
        <f>Grandview_Inventory[[#This Row],[Plumbing Fixtures]]*Lookups!$B$18</f>
        <v>14073.0926</v>
      </c>
      <c r="BQ821" s="6">
        <f>Grandview_Inventory[[#This Row],[detatched_value]]*Lookups!$B$19</f>
        <v>0</v>
      </c>
      <c r="BR821" s="6">
        <f>SUM(Grandview_Inventory[[#This Row],[Intercept]:[det_value]])*Grandview_Inventory[[#This Row],[res_pct]]</f>
        <v>295948.76984600001</v>
      </c>
      <c r="BS821" s="6">
        <f>Grandview_Inventory[[#This Row],[land_value]]</f>
        <v>61078.261546378882</v>
      </c>
      <c r="BT821" s="4">
        <f>_xlfn.IFNA(VLOOKUP(Grandview_Inventory[[#This Row],[quality]],Lookups!$A$26:$C$33,3,FALSE),1)</f>
        <v>0.98763855981004833</v>
      </c>
      <c r="BU821" s="4">
        <f>_xlfn.IFNA(VLOOKUP(Grandview_Inventory[[#This Row],[condition]],Lookups!$A$37:$C$44,3,FALSE),1)</f>
        <v>0.96469275950863709</v>
      </c>
      <c r="BV821" s="4">
        <f>IF(Grandview_Inventory[[#This Row],[bldg_style]]="",1,_xlfn.IFNA(VLOOKUP(Grandview_Inventory[[#This Row],[decade]],Lookups!$F$29:$H$43,3,FALSE),1))</f>
        <v>0.95268620544463312</v>
      </c>
      <c r="BW821" s="4">
        <f>_xlfn.IFNA(VLOOKUP(Grandview_Inventory[[#This Row],[living_area_range]],Lookups!$F$47:$H$56,3,FALSE),1)</f>
        <v>0.96135087979789358</v>
      </c>
      <c r="BX821" s="4">
        <f>AVERAGE(Grandview_Inventory[[#This Row],[qual_adj]:[size_adj]])</f>
        <v>0.96659210114030303</v>
      </c>
      <c r="BY821" s="6">
        <f>IF(Grandview_Inventory[[#This Row],[pre_res]]&lt;0,0,Grandview_Inventory[[#This Row],[pre_res]]*Grandview_Inventory[[#This Row],[overall_adj]])</f>
        <v>286061.74327533308</v>
      </c>
      <c r="BZ821" s="6">
        <f>(Grandview_Inventory[[#This Row],[sum_land]]-IF(Grandview_Inventory[[#This Row],[no_utilities]]=1,12000,0))/IF(Grandview_Inventory[[#This Row],[unbuildable]]=1,2,1)</f>
        <v>61078.261546378882</v>
      </c>
      <c r="CA821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821">
        <f>ROUND(Grandview_Inventory[[#This Row],[det_value]]*Lookups!$M$28,-2)</f>
        <v>0</v>
      </c>
      <c r="CC821">
        <f>IF(ROUND(Grandview_Inventory[[#This Row],[adj_res]]*Lookups!$M$28,-2)&lt;Grandview_Inventory[[#This Row],[min_res]],Grandview_Inventory[[#This Row],[min_res]],ROUND(Grandview_Inventory[[#This Row],[adj_res]]*Lookups!$M$28,-2))</f>
        <v>271800</v>
      </c>
      <c r="CD821">
        <f>Grandview_Inventory[[#This Row],[final_det]]+Grandview_Inventory[[#This Row],[final_res]]</f>
        <v>271800</v>
      </c>
      <c r="CE821">
        <f>Grandview_Inventory[[#This Row],[final_land]]+Grandview_Inventory[[#This Row],[final_imp]]+Grandview_Inventory[[#This Row],[crop_value]]</f>
        <v>329800</v>
      </c>
      <c r="CG821" t="str">
        <f t="shared" si="12"/>
        <v>update valuation set market_land =58000, market_bldg=271800, market_total =329800, market_mdno =401, market_date ='9/10/2023' where link_id = (select link_id from parcel where parcel_year = '2024' and parcel_id = '23092232443');</v>
      </c>
    </row>
    <row r="822" spans="1:85" x14ac:dyDescent="0.25">
      <c r="A822">
        <v>23092232444</v>
      </c>
      <c r="B822">
        <v>0.54</v>
      </c>
      <c r="C822">
        <v>23428</v>
      </c>
      <c r="D822" t="s">
        <v>129</v>
      </c>
      <c r="E822" t="s">
        <v>53</v>
      </c>
      <c r="F822" t="s">
        <v>53</v>
      </c>
      <c r="G822">
        <v>4</v>
      </c>
      <c r="H822" t="s">
        <v>54</v>
      </c>
      <c r="I822">
        <v>178000</v>
      </c>
      <c r="J822">
        <v>41900</v>
      </c>
      <c r="K822">
        <v>0.54</v>
      </c>
      <c r="L822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822">
        <v>0</v>
      </c>
      <c r="N822">
        <v>0</v>
      </c>
      <c r="O822">
        <v>0</v>
      </c>
      <c r="P822">
        <v>13398.7528</v>
      </c>
      <c r="Q822">
        <v>63903</v>
      </c>
      <c r="R822">
        <f>(Grandview_Inventory[[#This Row],[ln_acres]]*Grandview_Inventory[[#This Row],[coeff]])+Grandview_Inventory[[#This Row],[const]]</f>
        <v>55646.874239073943</v>
      </c>
      <c r="S822" t="s">
        <v>55</v>
      </c>
      <c r="T822">
        <v>2</v>
      </c>
      <c r="U822" t="s">
        <v>70</v>
      </c>
      <c r="V822" t="s">
        <v>69</v>
      </c>
      <c r="W822">
        <v>0</v>
      </c>
      <c r="X822">
        <v>0</v>
      </c>
      <c r="Y822">
        <v>52</v>
      </c>
      <c r="Z822">
        <v>88</v>
      </c>
      <c r="AA822">
        <v>90</v>
      </c>
      <c r="AB822">
        <v>2000</v>
      </c>
      <c r="AC822">
        <v>1732</v>
      </c>
      <c r="AD822">
        <v>942</v>
      </c>
      <c r="AE822">
        <v>550</v>
      </c>
      <c r="AF822">
        <v>0</v>
      </c>
      <c r="AG822">
        <v>240</v>
      </c>
      <c r="AH822">
        <v>240</v>
      </c>
      <c r="AI822">
        <v>0</v>
      </c>
      <c r="AJ822">
        <v>0</v>
      </c>
      <c r="AK822">
        <v>0</v>
      </c>
      <c r="AL822">
        <v>0</v>
      </c>
      <c r="AM822">
        <v>24</v>
      </c>
      <c r="AN822">
        <v>36</v>
      </c>
      <c r="AO822">
        <v>0</v>
      </c>
      <c r="AP822">
        <v>5</v>
      </c>
      <c r="AQ822">
        <v>1</v>
      </c>
      <c r="AR822">
        <v>0</v>
      </c>
      <c r="AS822" t="s">
        <v>58</v>
      </c>
      <c r="AT822">
        <v>1</v>
      </c>
      <c r="AU822" t="s">
        <v>63</v>
      </c>
      <c r="AV822" t="s">
        <v>60</v>
      </c>
      <c r="AW822">
        <v>0</v>
      </c>
      <c r="AX822">
        <v>3</v>
      </c>
      <c r="AY822">
        <v>0</v>
      </c>
      <c r="AZ822">
        <v>0</v>
      </c>
      <c r="BA822">
        <v>100</v>
      </c>
      <c r="BB822">
        <v>100</v>
      </c>
      <c r="BC822">
        <v>100</v>
      </c>
      <c r="BD822">
        <v>100</v>
      </c>
      <c r="BE822">
        <v>1</v>
      </c>
      <c r="BF822">
        <v>15000</v>
      </c>
      <c r="BG822">
        <v>1000</v>
      </c>
      <c r="BH822" s="6">
        <f>Grandview_Inventory[[#This Row],[land_extract]]*Lookups!$B$3</f>
        <v>64622.564807276125</v>
      </c>
      <c r="BI822" s="6">
        <f>IF(Grandview_Inventory[[#This Row],[bldg_style]]="",0,Lookups!$B$2)</f>
        <v>155833.95000000001</v>
      </c>
      <c r="BJ822" s="6">
        <f>_xlfn.IFNA(VLOOKUP(Grandview_Inventory[[#This Row],[quality]],Lookups!$H$2:$J$14,3,FALSE),0)</f>
        <v>10733</v>
      </c>
      <c r="BK822" s="6">
        <f>_xlfn.IFNA(VLOOKUP(Grandview_Inventory[[#This Row],[condition]],Lookups!$H$17:$J$24,3,FALSE),0)</f>
        <v>-4503</v>
      </c>
      <c r="BL822" s="6">
        <f>Grandview_Inventory[[#This Row],[Eff_Age]]*Lookups!$B$14</f>
        <v>-12436.663199999999</v>
      </c>
      <c r="BM822" s="6">
        <f>Grandview_Inventory[[#This Row],[living_area]]*Lookups!$B$15</f>
        <v>108043.63739600001</v>
      </c>
      <c r="BN822" s="6">
        <f>Grandview_Inventory[[#This Row],[Fin BSMT]]*Lookups!$B$16</f>
        <v>-6503.8176000000003</v>
      </c>
      <c r="BO822" s="6">
        <f>(Grandview_Inventory[[#This Row],[att_gar]]+Grandview_Inventory[[#This Row],[bltin_gar]])*Lookups!$B$17</f>
        <v>0</v>
      </c>
      <c r="BP822" s="6">
        <f>Grandview_Inventory[[#This Row],[Plumbing Fixtures]]*Lookups!$B$18</f>
        <v>10052.209000000001</v>
      </c>
      <c r="BQ822" s="6">
        <f>Grandview_Inventory[[#This Row],[detatched_value]]*Lookups!$B$19</f>
        <v>0</v>
      </c>
      <c r="BR822" s="6">
        <f>SUM(Grandview_Inventory[[#This Row],[Intercept]:[det_value]])*Grandview_Inventory[[#This Row],[res_pct]]</f>
        <v>261219.315596</v>
      </c>
      <c r="BS822" s="6">
        <f>Grandview_Inventory[[#This Row],[land_value]]</f>
        <v>64622.564807276125</v>
      </c>
      <c r="BT822" s="4">
        <f>_xlfn.IFNA(VLOOKUP(Grandview_Inventory[[#This Row],[quality]],Lookups!$A$26:$C$33,3,FALSE),1)</f>
        <v>0.98079741117310582</v>
      </c>
      <c r="BU822" s="4">
        <f>_xlfn.IFNA(VLOOKUP(Grandview_Inventory[[#This Row],[condition]],Lookups!$A$37:$C$44,3,FALSE),1)</f>
        <v>0.96469275950863709</v>
      </c>
      <c r="BV822" s="4">
        <f>IF(Grandview_Inventory[[#This Row],[bldg_style]]="",1,_xlfn.IFNA(VLOOKUP(Grandview_Inventory[[#This Row],[decade]],Lookups!$F$29:$H$43,3,FALSE),1))</f>
        <v>0.94161750052457416</v>
      </c>
      <c r="BW822" s="4">
        <f>_xlfn.IFNA(VLOOKUP(Grandview_Inventory[[#This Row],[living_area_range]],Lookups!$F$47:$H$56,3,FALSE),1)</f>
        <v>0.96120133463014379</v>
      </c>
      <c r="BX822" s="4">
        <f>AVERAGE(Grandview_Inventory[[#This Row],[qual_adj]:[size_adj]])</f>
        <v>0.96207725145911516</v>
      </c>
      <c r="BY822" s="6">
        <f>IF(Grandview_Inventory[[#This Row],[pre_res]]&lt;0,0,Grandview_Inventory[[#This Row],[pre_res]]*Grandview_Inventory[[#This Row],[overall_adj]])</f>
        <v>251313.16117663085</v>
      </c>
      <c r="BZ822" s="6">
        <f>(Grandview_Inventory[[#This Row],[sum_land]]-IF(Grandview_Inventory[[#This Row],[no_utilities]]=1,12000,0))/IF(Grandview_Inventory[[#This Row],[unbuildable]]=1,2,1)</f>
        <v>64622.564807276125</v>
      </c>
      <c r="CA822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822">
        <f>ROUND(Grandview_Inventory[[#This Row],[det_value]]*Lookups!$M$28,-2)</f>
        <v>0</v>
      </c>
      <c r="CC822">
        <f>IF(ROUND(Grandview_Inventory[[#This Row],[adj_res]]*Lookups!$M$28,-2)&lt;Grandview_Inventory[[#This Row],[min_res]],Grandview_Inventory[[#This Row],[min_res]],ROUND(Grandview_Inventory[[#This Row],[adj_res]]*Lookups!$M$28,-2))</f>
        <v>238700</v>
      </c>
      <c r="CD822">
        <f>Grandview_Inventory[[#This Row],[final_det]]+Grandview_Inventory[[#This Row],[final_res]]</f>
        <v>238700</v>
      </c>
      <c r="CE822">
        <f>Grandview_Inventory[[#This Row],[final_land]]+Grandview_Inventory[[#This Row],[final_imp]]+Grandview_Inventory[[#This Row],[crop_value]]</f>
        <v>300100</v>
      </c>
      <c r="CG822" t="str">
        <f t="shared" si="12"/>
        <v>update valuation set market_land =61400, market_bldg=238700, market_total =300100, market_mdno =401, market_date ='9/10/2023' where link_id = (select link_id from parcel where parcel_year = '2024' and parcel_id = '23092232444');</v>
      </c>
    </row>
    <row r="823" spans="1:85" x14ac:dyDescent="0.25">
      <c r="A823">
        <v>23092232446</v>
      </c>
      <c r="B823">
        <v>3.97</v>
      </c>
      <c r="C823">
        <v>172925</v>
      </c>
      <c r="D823" t="s">
        <v>129</v>
      </c>
      <c r="E823" t="s">
        <v>53</v>
      </c>
      <c r="F823" t="s">
        <v>53</v>
      </c>
      <c r="G823">
        <v>4</v>
      </c>
      <c r="H823" t="s">
        <v>54</v>
      </c>
      <c r="I823">
        <v>350200</v>
      </c>
      <c r="J823">
        <v>53300</v>
      </c>
      <c r="K823">
        <v>3.97</v>
      </c>
      <c r="L823">
        <f>IF(Grandview_Inventory[[#This Row],[parcel_acres]]-Grandview_Inventory[[#This Row],[non_valued_acres]] =0,0,LN(Grandview_Inventory[[#This Row],[parcel_acres]]-Grandview_Inventory[[#This Row],[non_valued_acres]]))</f>
        <v>1.3787660946990992</v>
      </c>
      <c r="M823">
        <v>0</v>
      </c>
      <c r="N823">
        <v>0</v>
      </c>
      <c r="O823">
        <v>0</v>
      </c>
      <c r="P823">
        <v>13398.7528</v>
      </c>
      <c r="Q823">
        <v>63903</v>
      </c>
      <c r="R823">
        <f>(Grandview_Inventory[[#This Row],[ln_acres]]*Grandview_Inventory[[#This Row],[coeff]])+Grandview_Inventory[[#This Row],[const]]</f>
        <v>82376.746071894624</v>
      </c>
      <c r="S823" t="s">
        <v>61</v>
      </c>
      <c r="T823">
        <v>1</v>
      </c>
      <c r="U823" t="s">
        <v>65</v>
      </c>
      <c r="V823" t="s">
        <v>67</v>
      </c>
      <c r="W823">
        <v>0</v>
      </c>
      <c r="X823">
        <v>0</v>
      </c>
      <c r="Y823">
        <v>51</v>
      </c>
      <c r="Z823">
        <v>77</v>
      </c>
      <c r="AA823">
        <v>80</v>
      </c>
      <c r="AB823">
        <v>3500</v>
      </c>
      <c r="AC823">
        <v>3452</v>
      </c>
      <c r="AD823">
        <v>1916</v>
      </c>
      <c r="AE823">
        <v>0</v>
      </c>
      <c r="AF823">
        <v>0</v>
      </c>
      <c r="AG823">
        <v>1536</v>
      </c>
      <c r="AH823">
        <v>0</v>
      </c>
      <c r="AI823">
        <v>0</v>
      </c>
      <c r="AJ823">
        <v>0</v>
      </c>
      <c r="AK823">
        <v>0</v>
      </c>
      <c r="AL823">
        <v>140</v>
      </c>
      <c r="AM823">
        <v>1468</v>
      </c>
      <c r="AN823">
        <v>64</v>
      </c>
      <c r="AO823">
        <v>576</v>
      </c>
      <c r="AP823">
        <v>11</v>
      </c>
      <c r="AQ823">
        <v>0</v>
      </c>
      <c r="AR823">
        <v>0</v>
      </c>
      <c r="AS823" t="s">
        <v>76</v>
      </c>
      <c r="AT823">
        <v>1</v>
      </c>
      <c r="AU823" t="s">
        <v>63</v>
      </c>
      <c r="AV823" t="s">
        <v>64</v>
      </c>
      <c r="AW823">
        <v>1</v>
      </c>
      <c r="AX823">
        <v>5</v>
      </c>
      <c r="AY823">
        <v>0</v>
      </c>
      <c r="AZ823">
        <v>67500</v>
      </c>
      <c r="BA823">
        <v>100</v>
      </c>
      <c r="BB823">
        <v>100</v>
      </c>
      <c r="BC823">
        <v>100</v>
      </c>
      <c r="BD823">
        <v>100</v>
      </c>
      <c r="BE823">
        <v>1</v>
      </c>
      <c r="BF823">
        <v>15000</v>
      </c>
      <c r="BG823">
        <v>1000</v>
      </c>
      <c r="BH823" s="6">
        <f>Grandview_Inventory[[#This Row],[land_extract]]*Lookups!$B$3</f>
        <v>95663.892796076834</v>
      </c>
      <c r="BI823" s="6">
        <f>IF(Grandview_Inventory[[#This Row],[bldg_style]]="",0,Lookups!$B$2)</f>
        <v>155833.95000000001</v>
      </c>
      <c r="BJ823" s="6">
        <f>_xlfn.IFNA(VLOOKUP(Grandview_Inventory[[#This Row],[quality]],Lookups!$H$2:$J$14,3,FALSE),0)</f>
        <v>2251</v>
      </c>
      <c r="BK823" s="6">
        <f>_xlfn.IFNA(VLOOKUP(Grandview_Inventory[[#This Row],[condition]],Lookups!$H$17:$J$24,3,FALSE),0)</f>
        <v>22342</v>
      </c>
      <c r="BL823" s="6">
        <f>Grandview_Inventory[[#This Row],[Eff_Age]]*Lookups!$B$14</f>
        <v>-12197.496599999999</v>
      </c>
      <c r="BM823" s="6">
        <f>Grandview_Inventory[[#This Row],[living_area]]*Lookups!$B$15</f>
        <v>215338.70455600001</v>
      </c>
      <c r="BN823" s="6">
        <f>Grandview_Inventory[[#This Row],[Fin BSMT]]*Lookups!$B$16</f>
        <v>-41624.432639999999</v>
      </c>
      <c r="BO823" s="6">
        <f>(Grandview_Inventory[[#This Row],[att_gar]]+Grandview_Inventory[[#This Row],[bltin_gar]])*Lookups!$B$17</f>
        <v>0</v>
      </c>
      <c r="BP823" s="6">
        <f>Grandview_Inventory[[#This Row],[Plumbing Fixtures]]*Lookups!$B$18</f>
        <v>22114.859800000002</v>
      </c>
      <c r="BQ823" s="6">
        <f>Grandview_Inventory[[#This Row],[detatched_value]]*Lookups!$B$19</f>
        <v>57159.344250000002</v>
      </c>
      <c r="BR823" s="6">
        <f>SUM(Grandview_Inventory[[#This Row],[Intercept]:[det_value]])*Grandview_Inventory[[#This Row],[res_pct]]</f>
        <v>421217.929366</v>
      </c>
      <c r="BS823" s="6">
        <f>Grandview_Inventory[[#This Row],[land_value]]</f>
        <v>95663.892796076834</v>
      </c>
      <c r="BT823" s="4">
        <f>_xlfn.IFNA(VLOOKUP(Grandview_Inventory[[#This Row],[quality]],Lookups!$A$26:$C$33,3,FALSE),1)</f>
        <v>0.98763855981004833</v>
      </c>
      <c r="BU823" s="4">
        <f>_xlfn.IFNA(VLOOKUP(Grandview_Inventory[[#This Row],[condition]],Lookups!$A$37:$C$44,3,FALSE),1)</f>
        <v>0.97383723671140243</v>
      </c>
      <c r="BV823" s="4">
        <f>IF(Grandview_Inventory[[#This Row],[bldg_style]]="",1,_xlfn.IFNA(VLOOKUP(Grandview_Inventory[[#This Row],[decade]],Lookups!$F$29:$H$43,3,FALSE),1))</f>
        <v>0.98763256963907298</v>
      </c>
      <c r="BW823" s="4">
        <f>_xlfn.IFNA(VLOOKUP(Grandview_Inventory[[#This Row],[living_area_range]],Lookups!$F$47:$H$56,3,FALSE),1)</f>
        <v>1.0170112215140563</v>
      </c>
      <c r="BX823" s="4">
        <f>AVERAGE(Grandview_Inventory[[#This Row],[qual_adj]:[size_adj]])</f>
        <v>0.99152989691864502</v>
      </c>
      <c r="BY823" s="6">
        <f>IF(Grandview_Inventory[[#This Row],[pre_res]]&lt;0,0,Grandview_Inventory[[#This Row],[pre_res]]*Grandview_Inventory[[#This Row],[overall_adj]])</f>
        <v>417650.17008455505</v>
      </c>
      <c r="BZ823" s="6">
        <f>(Grandview_Inventory[[#This Row],[sum_land]]-IF(Grandview_Inventory[[#This Row],[no_utilities]]=1,12000,0))/IF(Grandview_Inventory[[#This Row],[unbuildable]]=1,2,1)</f>
        <v>95663.892796076834</v>
      </c>
      <c r="CA823">
        <f>IF(ROUND(Grandview_Inventory[[#This Row],[adj_land]]*Lookups!$M$28,-2)&lt;Grandview_Inventory[[#This Row],[min_land]],Grandview_Inventory[[#This Row],[min_land]],ROUND(Grandview_Inventory[[#This Row],[adj_land]]*Lookups!$M$28,-2))</f>
        <v>90900</v>
      </c>
      <c r="CB823">
        <f>ROUND(Grandview_Inventory[[#This Row],[det_value]]*Lookups!$M$28,-2)</f>
        <v>54300</v>
      </c>
      <c r="CC823">
        <f>IF(ROUND(Grandview_Inventory[[#This Row],[adj_res]]*Lookups!$M$28,-2)&lt;Grandview_Inventory[[#This Row],[min_res]],Grandview_Inventory[[#This Row],[min_res]],ROUND(Grandview_Inventory[[#This Row],[adj_res]]*Lookups!$M$28,-2))</f>
        <v>396800</v>
      </c>
      <c r="CD823">
        <f>Grandview_Inventory[[#This Row],[final_det]]+Grandview_Inventory[[#This Row],[final_res]]</f>
        <v>451100</v>
      </c>
      <c r="CE823">
        <f>Grandview_Inventory[[#This Row],[final_land]]+Grandview_Inventory[[#This Row],[final_imp]]+Grandview_Inventory[[#This Row],[crop_value]]</f>
        <v>542000</v>
      </c>
      <c r="CG823" t="str">
        <f t="shared" si="12"/>
        <v>update valuation set market_land =90900, market_bldg=451100, market_total =542000, market_mdno =401, market_date ='9/10/2023' where link_id = (select link_id from parcel where parcel_year = '2024' and parcel_id = '23092232446');</v>
      </c>
    </row>
    <row r="824" spans="1:85" x14ac:dyDescent="0.25">
      <c r="A824">
        <v>23092232447</v>
      </c>
      <c r="B824">
        <v>1.57</v>
      </c>
      <c r="C824">
        <v>68400</v>
      </c>
      <c r="D824" t="s">
        <v>129</v>
      </c>
      <c r="E824" t="s">
        <v>53</v>
      </c>
      <c r="F824" t="s">
        <v>53</v>
      </c>
      <c r="G824">
        <v>4</v>
      </c>
      <c r="H824" t="s">
        <v>54</v>
      </c>
      <c r="I824">
        <v>146100</v>
      </c>
      <c r="J824">
        <v>50300</v>
      </c>
      <c r="K824">
        <v>1.57</v>
      </c>
      <c r="L824">
        <f>IF(Grandview_Inventory[[#This Row],[parcel_acres]]-Grandview_Inventory[[#This Row],[non_valued_acres]] =0,0,LN(Grandview_Inventory[[#This Row],[parcel_acres]]-Grandview_Inventory[[#This Row],[non_valued_acres]]))</f>
        <v>0.45107561936021673</v>
      </c>
      <c r="M824">
        <v>0</v>
      </c>
      <c r="N824">
        <v>0</v>
      </c>
      <c r="O824">
        <v>0</v>
      </c>
      <c r="P824">
        <v>13398.7528</v>
      </c>
      <c r="Q824">
        <v>63903</v>
      </c>
      <c r="R824">
        <f>(Grandview_Inventory[[#This Row],[ln_acres]]*Grandview_Inventory[[#This Row],[coeff]])+Grandview_Inventory[[#This Row],[const]]</f>
        <v>69946.850717914436</v>
      </c>
      <c r="S824" t="s">
        <v>68</v>
      </c>
      <c r="T824">
        <v>1</v>
      </c>
      <c r="U824" t="s">
        <v>65</v>
      </c>
      <c r="V824" t="s">
        <v>69</v>
      </c>
      <c r="W824">
        <v>0</v>
      </c>
      <c r="X824">
        <v>0</v>
      </c>
      <c r="Y824">
        <v>51</v>
      </c>
      <c r="Z824">
        <v>78</v>
      </c>
      <c r="AA824">
        <v>80</v>
      </c>
      <c r="AB824">
        <v>1500</v>
      </c>
      <c r="AC824">
        <v>1306</v>
      </c>
      <c r="AD824">
        <v>1306</v>
      </c>
      <c r="AE824">
        <v>0</v>
      </c>
      <c r="AF824">
        <v>0</v>
      </c>
      <c r="AG824">
        <v>0</v>
      </c>
      <c r="AH824">
        <v>600</v>
      </c>
      <c r="AI824">
        <v>0</v>
      </c>
      <c r="AJ824">
        <v>0</v>
      </c>
      <c r="AK824">
        <v>0</v>
      </c>
      <c r="AL824">
        <v>0</v>
      </c>
      <c r="AM824">
        <v>176</v>
      </c>
      <c r="AN824">
        <v>0</v>
      </c>
      <c r="AO824">
        <v>176</v>
      </c>
      <c r="AP824">
        <v>5</v>
      </c>
      <c r="AQ824">
        <v>0</v>
      </c>
      <c r="AR824">
        <v>0</v>
      </c>
      <c r="AS824" t="s">
        <v>58</v>
      </c>
      <c r="AT824">
        <v>1</v>
      </c>
      <c r="AU824" t="s">
        <v>63</v>
      </c>
      <c r="AV824" t="s">
        <v>64</v>
      </c>
      <c r="AW824">
        <v>1</v>
      </c>
      <c r="AX824">
        <v>3</v>
      </c>
      <c r="AY824">
        <v>0</v>
      </c>
      <c r="AZ824">
        <v>11200</v>
      </c>
      <c r="BA824">
        <v>100</v>
      </c>
      <c r="BB824">
        <v>100</v>
      </c>
      <c r="BC824">
        <v>100</v>
      </c>
      <c r="BD824">
        <v>100</v>
      </c>
      <c r="BE824">
        <v>1</v>
      </c>
      <c r="BF824">
        <v>15000</v>
      </c>
      <c r="BG824">
        <v>1000</v>
      </c>
      <c r="BH824" s="6">
        <f>Grandview_Inventory[[#This Row],[land_extract]]*Lookups!$B$3</f>
        <v>81229.088882217096</v>
      </c>
      <c r="BI824" s="6">
        <f>IF(Grandview_Inventory[[#This Row],[bldg_style]]="",0,Lookups!$B$2)</f>
        <v>155833.95000000001</v>
      </c>
      <c r="BJ824" s="6">
        <f>_xlfn.IFNA(VLOOKUP(Grandview_Inventory[[#This Row],[quality]],Lookups!$H$2:$J$14,3,FALSE),0)</f>
        <v>2251</v>
      </c>
      <c r="BK824" s="6">
        <f>_xlfn.IFNA(VLOOKUP(Grandview_Inventory[[#This Row],[condition]],Lookups!$H$17:$J$24,3,FALSE),0)</f>
        <v>-4503</v>
      </c>
      <c r="BL824" s="6">
        <f>Grandview_Inventory[[#This Row],[Eff_Age]]*Lookups!$B$14</f>
        <v>-12197.496599999999</v>
      </c>
      <c r="BM824" s="6">
        <f>Grandview_Inventory[[#This Row],[living_area]]*Lookups!$B$15</f>
        <v>81469.394018000006</v>
      </c>
      <c r="BN824" s="6">
        <f>Grandview_Inventory[[#This Row],[Fin BSMT]]*Lookups!$B$16</f>
        <v>0</v>
      </c>
      <c r="BO824" s="6">
        <f>(Grandview_Inventory[[#This Row],[att_gar]]+Grandview_Inventory[[#This Row],[bltin_gar]])*Lookups!$B$17</f>
        <v>0</v>
      </c>
      <c r="BP824" s="6">
        <f>Grandview_Inventory[[#This Row],[Plumbing Fixtures]]*Lookups!$B$18</f>
        <v>10052.209000000001</v>
      </c>
      <c r="BQ824" s="6">
        <f>Grandview_Inventory[[#This Row],[detatched_value]]*Lookups!$B$19</f>
        <v>9484.2171199999993</v>
      </c>
      <c r="BR824" s="6">
        <f>SUM(Grandview_Inventory[[#This Row],[Intercept]:[det_value]])*Grandview_Inventory[[#This Row],[res_pct]]</f>
        <v>242390.27353799998</v>
      </c>
      <c r="BS824" s="6">
        <f>Grandview_Inventory[[#This Row],[land_value]]</f>
        <v>81229.088882217096</v>
      </c>
      <c r="BT824" s="4">
        <f>_xlfn.IFNA(VLOOKUP(Grandview_Inventory[[#This Row],[quality]],Lookups!$A$26:$C$33,3,FALSE),1)</f>
        <v>0.98763855981004833</v>
      </c>
      <c r="BU824" s="4">
        <f>_xlfn.IFNA(VLOOKUP(Grandview_Inventory[[#This Row],[condition]],Lookups!$A$37:$C$44,3,FALSE),1)</f>
        <v>0.96469275950863709</v>
      </c>
      <c r="BV824" s="4">
        <f>IF(Grandview_Inventory[[#This Row],[bldg_style]]="",1,_xlfn.IFNA(VLOOKUP(Grandview_Inventory[[#This Row],[decade]],Lookups!$F$29:$H$43,3,FALSE),1))</f>
        <v>0.98763256963907298</v>
      </c>
      <c r="BW824" s="4">
        <f>_xlfn.IFNA(VLOOKUP(Grandview_Inventory[[#This Row],[living_area_range]],Lookups!$F$47:$H$56,3,FALSE),1)</f>
        <v>0.96135087979789358</v>
      </c>
      <c r="BX824" s="4">
        <f>AVERAGE(Grandview_Inventory[[#This Row],[qual_adj]:[size_adj]])</f>
        <v>0.97532869218891294</v>
      </c>
      <c r="BY824" s="6">
        <f>IF(Grandview_Inventory[[#This Row],[pre_res]]&lt;0,0,Grandview_Inventory[[#This Row],[pre_res]]*Grandview_Inventory[[#This Row],[overall_adj]])</f>
        <v>236410.18848913038</v>
      </c>
      <c r="BZ824" s="6">
        <f>(Grandview_Inventory[[#This Row],[sum_land]]-IF(Grandview_Inventory[[#This Row],[no_utilities]]=1,12000,0))/IF(Grandview_Inventory[[#This Row],[unbuildable]]=1,2,1)</f>
        <v>81229.088882217096</v>
      </c>
      <c r="CA824">
        <f>IF(ROUND(Grandview_Inventory[[#This Row],[adj_land]]*Lookups!$M$28,-2)&lt;Grandview_Inventory[[#This Row],[min_land]],Grandview_Inventory[[#This Row],[min_land]],ROUND(Grandview_Inventory[[#This Row],[adj_land]]*Lookups!$M$28,-2))</f>
        <v>77200</v>
      </c>
      <c r="CB824">
        <f>ROUND(Grandview_Inventory[[#This Row],[det_value]]*Lookups!$M$28,-2)</f>
        <v>9000</v>
      </c>
      <c r="CC824">
        <f>IF(ROUND(Grandview_Inventory[[#This Row],[adj_res]]*Lookups!$M$28,-2)&lt;Grandview_Inventory[[#This Row],[min_res]],Grandview_Inventory[[#This Row],[min_res]],ROUND(Grandview_Inventory[[#This Row],[adj_res]]*Lookups!$M$28,-2))</f>
        <v>224600</v>
      </c>
      <c r="CD824">
        <f>Grandview_Inventory[[#This Row],[final_det]]+Grandview_Inventory[[#This Row],[final_res]]</f>
        <v>233600</v>
      </c>
      <c r="CE824">
        <f>Grandview_Inventory[[#This Row],[final_land]]+Grandview_Inventory[[#This Row],[final_imp]]+Grandview_Inventory[[#This Row],[crop_value]]</f>
        <v>310800</v>
      </c>
      <c r="CG824" t="str">
        <f t="shared" si="12"/>
        <v>update valuation set market_land =77200, market_bldg=233600, market_total =310800, market_mdno =401, market_date ='9/10/2023' where link_id = (select link_id from parcel where parcel_year = '2024' and parcel_id = '23092232447');</v>
      </c>
    </row>
    <row r="825" spans="1:85" x14ac:dyDescent="0.25">
      <c r="A825">
        <v>23092232451</v>
      </c>
      <c r="B825">
        <v>0.21</v>
      </c>
      <c r="C825">
        <v>9349</v>
      </c>
      <c r="D825" t="s">
        <v>129</v>
      </c>
      <c r="E825" t="s">
        <v>53</v>
      </c>
      <c r="F825" t="s">
        <v>53</v>
      </c>
      <c r="G825">
        <v>4</v>
      </c>
      <c r="H825" t="s">
        <v>54</v>
      </c>
      <c r="I825">
        <v>154200</v>
      </c>
      <c r="J825">
        <v>43800</v>
      </c>
      <c r="K825">
        <v>0.21</v>
      </c>
      <c r="L82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825">
        <v>0</v>
      </c>
      <c r="N825">
        <v>0</v>
      </c>
      <c r="O825">
        <v>0</v>
      </c>
      <c r="P825">
        <v>13398.7528</v>
      </c>
      <c r="Q825">
        <v>63903</v>
      </c>
      <c r="R825">
        <f>(Grandview_Inventory[[#This Row],[ln_acres]]*Grandview_Inventory[[#This Row],[coeff]])+Grandview_Inventory[[#This Row],[const]]</f>
        <v>42992.266613125081</v>
      </c>
      <c r="S825" t="s">
        <v>61</v>
      </c>
      <c r="T825">
        <v>1</v>
      </c>
      <c r="U825" t="s">
        <v>65</v>
      </c>
      <c r="V825" t="s">
        <v>69</v>
      </c>
      <c r="W825">
        <v>0</v>
      </c>
      <c r="X825">
        <v>0</v>
      </c>
      <c r="Y825">
        <v>46</v>
      </c>
      <c r="Z825">
        <v>53</v>
      </c>
      <c r="AA825">
        <v>60</v>
      </c>
      <c r="AB825">
        <v>1500</v>
      </c>
      <c r="AC825">
        <v>1400</v>
      </c>
      <c r="AD825">
        <v>1400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336</v>
      </c>
      <c r="AL825">
        <v>0</v>
      </c>
      <c r="AM825">
        <v>200</v>
      </c>
      <c r="AN825">
        <v>100</v>
      </c>
      <c r="AO825">
        <v>0</v>
      </c>
      <c r="AP825">
        <v>5</v>
      </c>
      <c r="AQ825">
        <v>1</v>
      </c>
      <c r="AR825">
        <v>0</v>
      </c>
      <c r="AS825" t="s">
        <v>58</v>
      </c>
      <c r="AT825">
        <v>1</v>
      </c>
      <c r="AU825" t="s">
        <v>63</v>
      </c>
      <c r="AV825" t="s">
        <v>64</v>
      </c>
      <c r="AW825">
        <v>0</v>
      </c>
      <c r="AX825">
        <v>3</v>
      </c>
      <c r="AY825">
        <v>0</v>
      </c>
      <c r="AZ825">
        <v>0</v>
      </c>
      <c r="BA825">
        <v>100</v>
      </c>
      <c r="BB825">
        <v>100</v>
      </c>
      <c r="BC825">
        <v>100</v>
      </c>
      <c r="BD825">
        <v>100</v>
      </c>
      <c r="BE825">
        <v>1</v>
      </c>
      <c r="BF825">
        <v>15000</v>
      </c>
      <c r="BG825">
        <v>1000</v>
      </c>
      <c r="BH825" s="6">
        <f>Grandview_Inventory[[#This Row],[land_extract]]*Lookups!$B$3</f>
        <v>49926.8031387023</v>
      </c>
      <c r="BI825" s="6">
        <f>IF(Grandview_Inventory[[#This Row],[bldg_style]]="",0,Lookups!$B$2)</f>
        <v>155833.95000000001</v>
      </c>
      <c r="BJ825" s="6">
        <f>_xlfn.IFNA(VLOOKUP(Grandview_Inventory[[#This Row],[quality]],Lookups!$H$2:$J$14,3,FALSE),0)</f>
        <v>2251</v>
      </c>
      <c r="BK825" s="6">
        <f>_xlfn.IFNA(VLOOKUP(Grandview_Inventory[[#This Row],[condition]],Lookups!$H$17:$J$24,3,FALSE),0)</f>
        <v>-4503</v>
      </c>
      <c r="BL825" s="6">
        <f>Grandview_Inventory[[#This Row],[Eff_Age]]*Lookups!$B$14</f>
        <v>-11001.6636</v>
      </c>
      <c r="BM825" s="6">
        <f>Grandview_Inventory[[#This Row],[living_area]]*Lookups!$B$15</f>
        <v>87333.194199999998</v>
      </c>
      <c r="BN825" s="6">
        <f>Grandview_Inventory[[#This Row],[Fin BSMT]]*Lookups!$B$16</f>
        <v>0</v>
      </c>
      <c r="BO825" s="6">
        <f>(Grandview_Inventory[[#This Row],[att_gar]]+Grandview_Inventory[[#This Row],[bltin_gar]])*Lookups!$B$17</f>
        <v>0</v>
      </c>
      <c r="BP825" s="6">
        <f>Grandview_Inventory[[#This Row],[Plumbing Fixtures]]*Lookups!$B$18</f>
        <v>10052.209000000001</v>
      </c>
      <c r="BQ825" s="6">
        <f>Grandview_Inventory[[#This Row],[detatched_value]]*Lookups!$B$19</f>
        <v>0</v>
      </c>
      <c r="BR825" s="6">
        <f>SUM(Grandview_Inventory[[#This Row],[Intercept]:[det_value]])*Grandview_Inventory[[#This Row],[res_pct]]</f>
        <v>239965.68960000001</v>
      </c>
      <c r="BS825" s="6">
        <f>Grandview_Inventory[[#This Row],[land_value]]</f>
        <v>49926.8031387023</v>
      </c>
      <c r="BT825" s="4">
        <f>_xlfn.IFNA(VLOOKUP(Grandview_Inventory[[#This Row],[quality]],Lookups!$A$26:$C$33,3,FALSE),1)</f>
        <v>0.98763855981004833</v>
      </c>
      <c r="BU825" s="4">
        <f>_xlfn.IFNA(VLOOKUP(Grandview_Inventory[[#This Row],[condition]],Lookups!$A$37:$C$44,3,FALSE),1)</f>
        <v>0.96469275950863709</v>
      </c>
      <c r="BV825" s="4">
        <f>IF(Grandview_Inventory[[#This Row],[bldg_style]]="",1,_xlfn.IFNA(VLOOKUP(Grandview_Inventory[[#This Row],[decade]],Lookups!$F$29:$H$43,3,FALSE),1))</f>
        <v>0.95268620544463312</v>
      </c>
      <c r="BW825" s="4">
        <f>_xlfn.IFNA(VLOOKUP(Grandview_Inventory[[#This Row],[living_area_range]],Lookups!$F$47:$H$56,3,FALSE),1)</f>
        <v>0.96135087979789358</v>
      </c>
      <c r="BX825" s="4">
        <f>AVERAGE(Grandview_Inventory[[#This Row],[qual_adj]:[size_adj]])</f>
        <v>0.96659210114030303</v>
      </c>
      <c r="BY825" s="6">
        <f>IF(Grandview_Inventory[[#This Row],[pre_res]]&lt;0,0,Grandview_Inventory[[#This Row],[pre_res]]*Grandview_Inventory[[#This Row],[overall_adj]])</f>
        <v>231948.94011204576</v>
      </c>
      <c r="BZ825" s="6">
        <f>(Grandview_Inventory[[#This Row],[sum_land]]-IF(Grandview_Inventory[[#This Row],[no_utilities]]=1,12000,0))/IF(Grandview_Inventory[[#This Row],[unbuildable]]=1,2,1)</f>
        <v>49926.8031387023</v>
      </c>
      <c r="CA82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825">
        <f>ROUND(Grandview_Inventory[[#This Row],[det_value]]*Lookups!$M$28,-2)</f>
        <v>0</v>
      </c>
      <c r="CC825">
        <f>IF(ROUND(Grandview_Inventory[[#This Row],[adj_res]]*Lookups!$M$28,-2)&lt;Grandview_Inventory[[#This Row],[min_res]],Grandview_Inventory[[#This Row],[min_res]],ROUND(Grandview_Inventory[[#This Row],[adj_res]]*Lookups!$M$28,-2))</f>
        <v>220400</v>
      </c>
      <c r="CD825">
        <f>Grandview_Inventory[[#This Row],[final_det]]+Grandview_Inventory[[#This Row],[final_res]]</f>
        <v>220400</v>
      </c>
      <c r="CE825">
        <f>Grandview_Inventory[[#This Row],[final_land]]+Grandview_Inventory[[#This Row],[final_imp]]+Grandview_Inventory[[#This Row],[crop_value]]</f>
        <v>267800</v>
      </c>
      <c r="CG825" t="str">
        <f t="shared" si="12"/>
        <v>update valuation set market_land =47400, market_bldg=220400, market_total =267800, market_mdno =401, market_date ='9/10/2023' where link_id = (select link_id from parcel where parcel_year = '2024' and parcel_id = '23092232451');</v>
      </c>
    </row>
    <row r="826" spans="1:85" x14ac:dyDescent="0.25">
      <c r="A826">
        <v>23092232452</v>
      </c>
      <c r="B826">
        <v>0.2</v>
      </c>
      <c r="C826">
        <v>8714</v>
      </c>
      <c r="D826" t="s">
        <v>129</v>
      </c>
      <c r="E826" t="s">
        <v>53</v>
      </c>
      <c r="F826" t="s">
        <v>53</v>
      </c>
      <c r="G826">
        <v>4</v>
      </c>
      <c r="H826" t="s">
        <v>54</v>
      </c>
      <c r="I826">
        <v>155300</v>
      </c>
      <c r="J826">
        <v>39300</v>
      </c>
      <c r="K826">
        <v>0.2</v>
      </c>
      <c r="L82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26">
        <v>0</v>
      </c>
      <c r="N826">
        <v>0</v>
      </c>
      <c r="O826">
        <v>0</v>
      </c>
      <c r="P826">
        <v>13398.7528</v>
      </c>
      <c r="Q826">
        <v>63903</v>
      </c>
      <c r="R826">
        <f>(Grandview_Inventory[[#This Row],[ln_acres]]*Grandview_Inventory[[#This Row],[coeff]])+Grandview_Inventory[[#This Row],[const]]</f>
        <v>42338.539264347448</v>
      </c>
      <c r="S826" t="s">
        <v>61</v>
      </c>
      <c r="T826">
        <v>1</v>
      </c>
      <c r="U826" t="s">
        <v>65</v>
      </c>
      <c r="V826" t="s">
        <v>69</v>
      </c>
      <c r="W826">
        <v>0</v>
      </c>
      <c r="X826">
        <v>0</v>
      </c>
      <c r="Y826">
        <v>45</v>
      </c>
      <c r="Z826">
        <v>52</v>
      </c>
      <c r="AA826">
        <v>60</v>
      </c>
      <c r="AB826">
        <v>1500</v>
      </c>
      <c r="AC826">
        <v>1160</v>
      </c>
      <c r="AD826">
        <v>1160</v>
      </c>
      <c r="AE826">
        <v>0</v>
      </c>
      <c r="AF826">
        <v>0</v>
      </c>
      <c r="AG826">
        <v>0</v>
      </c>
      <c r="AH826">
        <v>0</v>
      </c>
      <c r="AI826">
        <v>240</v>
      </c>
      <c r="AJ826">
        <v>0</v>
      </c>
      <c r="AK826">
        <v>0</v>
      </c>
      <c r="AL826">
        <v>0</v>
      </c>
      <c r="AM826">
        <v>340</v>
      </c>
      <c r="AN826">
        <v>0</v>
      </c>
      <c r="AO826">
        <v>240</v>
      </c>
      <c r="AP826">
        <v>5</v>
      </c>
      <c r="AQ826">
        <v>1</v>
      </c>
      <c r="AR826">
        <v>0</v>
      </c>
      <c r="AS826" t="s">
        <v>58</v>
      </c>
      <c r="AT826">
        <v>1</v>
      </c>
      <c r="AU826" t="s">
        <v>63</v>
      </c>
      <c r="AV826" t="s">
        <v>60</v>
      </c>
      <c r="AW826">
        <v>0</v>
      </c>
      <c r="AX826">
        <v>3</v>
      </c>
      <c r="AY826">
        <v>0</v>
      </c>
      <c r="AZ826">
        <v>0</v>
      </c>
      <c r="BA826">
        <v>100</v>
      </c>
      <c r="BB826">
        <v>100</v>
      </c>
      <c r="BC826">
        <v>100</v>
      </c>
      <c r="BD826">
        <v>100</v>
      </c>
      <c r="BE826">
        <v>1</v>
      </c>
      <c r="BF826">
        <v>15000</v>
      </c>
      <c r="BG826">
        <v>1000</v>
      </c>
      <c r="BH826" s="6">
        <f>Grandview_Inventory[[#This Row],[land_extract]]*Lookups!$B$3</f>
        <v>49167.631333630678</v>
      </c>
      <c r="BI826" s="6">
        <f>IF(Grandview_Inventory[[#This Row],[bldg_style]]="",0,Lookups!$B$2)</f>
        <v>155833.95000000001</v>
      </c>
      <c r="BJ826" s="6">
        <f>_xlfn.IFNA(VLOOKUP(Grandview_Inventory[[#This Row],[quality]],Lookups!$H$2:$J$14,3,FALSE),0)</f>
        <v>2251</v>
      </c>
      <c r="BK826" s="6">
        <f>_xlfn.IFNA(VLOOKUP(Grandview_Inventory[[#This Row],[condition]],Lookups!$H$17:$J$24,3,FALSE),0)</f>
        <v>-4503</v>
      </c>
      <c r="BL826" s="6">
        <f>Grandview_Inventory[[#This Row],[Eff_Age]]*Lookups!$B$14</f>
        <v>-10762.496999999999</v>
      </c>
      <c r="BM826" s="6">
        <f>Grandview_Inventory[[#This Row],[living_area]]*Lookups!$B$15</f>
        <v>72361.789480000007</v>
      </c>
      <c r="BN826" s="6">
        <f>Grandview_Inventory[[#This Row],[Fin BSMT]]*Lookups!$B$16</f>
        <v>0</v>
      </c>
      <c r="BO826" s="6">
        <f>(Grandview_Inventory[[#This Row],[att_gar]]+Grandview_Inventory[[#This Row],[bltin_gar]])*Lookups!$B$17</f>
        <v>21004.904880000002</v>
      </c>
      <c r="BP826" s="6">
        <f>Grandview_Inventory[[#This Row],[Plumbing Fixtures]]*Lookups!$B$18</f>
        <v>10052.209000000001</v>
      </c>
      <c r="BQ826" s="6">
        <f>Grandview_Inventory[[#This Row],[detatched_value]]*Lookups!$B$19</f>
        <v>0</v>
      </c>
      <c r="BR826" s="6">
        <f>SUM(Grandview_Inventory[[#This Row],[Intercept]:[det_value]])*Grandview_Inventory[[#This Row],[res_pct]]</f>
        <v>246238.35636000001</v>
      </c>
      <c r="BS826" s="6">
        <f>Grandview_Inventory[[#This Row],[land_value]]</f>
        <v>49167.631333630678</v>
      </c>
      <c r="BT826" s="4">
        <f>_xlfn.IFNA(VLOOKUP(Grandview_Inventory[[#This Row],[quality]],Lookups!$A$26:$C$33,3,FALSE),1)</f>
        <v>0.98763855981004833</v>
      </c>
      <c r="BU826" s="4">
        <f>_xlfn.IFNA(VLOOKUP(Grandview_Inventory[[#This Row],[condition]],Lookups!$A$37:$C$44,3,FALSE),1)</f>
        <v>0.96469275950863709</v>
      </c>
      <c r="BV826" s="4">
        <f>IF(Grandview_Inventory[[#This Row],[bldg_style]]="",1,_xlfn.IFNA(VLOOKUP(Grandview_Inventory[[#This Row],[decade]],Lookups!$F$29:$H$43,3,FALSE),1))</f>
        <v>0.95268620544463312</v>
      </c>
      <c r="BW826" s="4">
        <f>_xlfn.IFNA(VLOOKUP(Grandview_Inventory[[#This Row],[living_area_range]],Lookups!$F$47:$H$56,3,FALSE),1)</f>
        <v>0.96135087979789358</v>
      </c>
      <c r="BX826" s="4">
        <f>AVERAGE(Grandview_Inventory[[#This Row],[qual_adj]:[size_adj]])</f>
        <v>0.96659210114030303</v>
      </c>
      <c r="BY826" s="6">
        <f>IF(Grandview_Inventory[[#This Row],[pre_res]]&lt;0,0,Grandview_Inventory[[#This Row],[pre_res]]*Grandview_Inventory[[#This Row],[overall_adj]])</f>
        <v>238012.0502553471</v>
      </c>
      <c r="BZ826" s="6">
        <f>(Grandview_Inventory[[#This Row],[sum_land]]-IF(Grandview_Inventory[[#This Row],[no_utilities]]=1,12000,0))/IF(Grandview_Inventory[[#This Row],[unbuildable]]=1,2,1)</f>
        <v>49167.631333630678</v>
      </c>
      <c r="CA82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26">
        <f>ROUND(Grandview_Inventory[[#This Row],[det_value]]*Lookups!$M$28,-2)</f>
        <v>0</v>
      </c>
      <c r="CC826">
        <f>IF(ROUND(Grandview_Inventory[[#This Row],[adj_res]]*Lookups!$M$28,-2)&lt;Grandview_Inventory[[#This Row],[min_res]],Grandview_Inventory[[#This Row],[min_res]],ROUND(Grandview_Inventory[[#This Row],[adj_res]]*Lookups!$M$28,-2))</f>
        <v>226100</v>
      </c>
      <c r="CD826">
        <f>Grandview_Inventory[[#This Row],[final_det]]+Grandview_Inventory[[#This Row],[final_res]]</f>
        <v>226100</v>
      </c>
      <c r="CE826">
        <f>Grandview_Inventory[[#This Row],[final_land]]+Grandview_Inventory[[#This Row],[final_imp]]+Grandview_Inventory[[#This Row],[crop_value]]</f>
        <v>272800</v>
      </c>
      <c r="CG826" t="str">
        <f t="shared" si="12"/>
        <v>update valuation set market_land =46700, market_bldg=226100, market_total =272800, market_mdno =401, market_date ='9/10/2023' where link_id = (select link_id from parcel where parcel_year = '2024' and parcel_id = '23092232452');</v>
      </c>
    </row>
    <row r="827" spans="1:85" x14ac:dyDescent="0.25">
      <c r="A827">
        <v>23092232453</v>
      </c>
      <c r="B827">
        <v>0.2</v>
      </c>
      <c r="C827">
        <v>8854</v>
      </c>
      <c r="D827" t="s">
        <v>129</v>
      </c>
      <c r="E827" t="s">
        <v>53</v>
      </c>
      <c r="F827" t="s">
        <v>53</v>
      </c>
      <c r="G827">
        <v>4</v>
      </c>
      <c r="H827" t="s">
        <v>54</v>
      </c>
      <c r="I827">
        <v>185700</v>
      </c>
      <c r="J827">
        <v>43700</v>
      </c>
      <c r="K827">
        <v>0.2</v>
      </c>
      <c r="L82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27">
        <v>0</v>
      </c>
      <c r="N827">
        <v>0</v>
      </c>
      <c r="O827">
        <v>0</v>
      </c>
      <c r="P827">
        <v>13398.7528</v>
      </c>
      <c r="Q827">
        <v>63903</v>
      </c>
      <c r="R827">
        <f>(Grandview_Inventory[[#This Row],[ln_acres]]*Grandview_Inventory[[#This Row],[coeff]])+Grandview_Inventory[[#This Row],[const]]</f>
        <v>42338.539264347448</v>
      </c>
      <c r="S827" t="s">
        <v>61</v>
      </c>
      <c r="T827">
        <v>1</v>
      </c>
      <c r="U827" t="s">
        <v>65</v>
      </c>
      <c r="V827" t="s">
        <v>69</v>
      </c>
      <c r="W827">
        <v>0</v>
      </c>
      <c r="X827">
        <v>0</v>
      </c>
      <c r="Y827">
        <v>45</v>
      </c>
      <c r="Z827">
        <v>51</v>
      </c>
      <c r="AA827">
        <v>60</v>
      </c>
      <c r="AB827">
        <v>1500</v>
      </c>
      <c r="AC827">
        <v>1344</v>
      </c>
      <c r="AD827">
        <v>1344</v>
      </c>
      <c r="AE827">
        <v>0</v>
      </c>
      <c r="AF827">
        <v>0</v>
      </c>
      <c r="AG827">
        <v>0</v>
      </c>
      <c r="AH827">
        <v>0</v>
      </c>
      <c r="AI827">
        <v>480</v>
      </c>
      <c r="AJ827">
        <v>0</v>
      </c>
      <c r="AK827">
        <v>0</v>
      </c>
      <c r="AL827">
        <v>0</v>
      </c>
      <c r="AM827">
        <v>990</v>
      </c>
      <c r="AN827">
        <v>0</v>
      </c>
      <c r="AO827">
        <v>144</v>
      </c>
      <c r="AP827">
        <v>7</v>
      </c>
      <c r="AQ827">
        <v>0</v>
      </c>
      <c r="AR827">
        <v>0</v>
      </c>
      <c r="AS827" t="s">
        <v>58</v>
      </c>
      <c r="AT827">
        <v>1</v>
      </c>
      <c r="AU827" t="s">
        <v>63</v>
      </c>
      <c r="AV827" t="s">
        <v>60</v>
      </c>
      <c r="AW827">
        <v>1</v>
      </c>
      <c r="AX827">
        <v>3</v>
      </c>
      <c r="AY827">
        <v>0</v>
      </c>
      <c r="AZ827">
        <v>0</v>
      </c>
      <c r="BA827">
        <v>100</v>
      </c>
      <c r="BB827">
        <v>100</v>
      </c>
      <c r="BC827">
        <v>100</v>
      </c>
      <c r="BD827">
        <v>100</v>
      </c>
      <c r="BE827">
        <v>1</v>
      </c>
      <c r="BF827">
        <v>15000</v>
      </c>
      <c r="BG827">
        <v>1000</v>
      </c>
      <c r="BH827" s="6">
        <f>Grandview_Inventory[[#This Row],[land_extract]]*Lookups!$B$3</f>
        <v>49167.631333630678</v>
      </c>
      <c r="BI827" s="6">
        <f>IF(Grandview_Inventory[[#This Row],[bldg_style]]="",0,Lookups!$B$2)</f>
        <v>155833.95000000001</v>
      </c>
      <c r="BJ827" s="6">
        <f>_xlfn.IFNA(VLOOKUP(Grandview_Inventory[[#This Row],[quality]],Lookups!$H$2:$J$14,3,FALSE),0)</f>
        <v>2251</v>
      </c>
      <c r="BK827" s="6">
        <f>_xlfn.IFNA(VLOOKUP(Grandview_Inventory[[#This Row],[condition]],Lookups!$H$17:$J$24,3,FALSE),0)</f>
        <v>-4503</v>
      </c>
      <c r="BL827" s="6">
        <f>Grandview_Inventory[[#This Row],[Eff_Age]]*Lookups!$B$14</f>
        <v>-10762.496999999999</v>
      </c>
      <c r="BM827" s="6">
        <f>Grandview_Inventory[[#This Row],[living_area]]*Lookups!$B$15</f>
        <v>83839.86643200001</v>
      </c>
      <c r="BN827" s="6">
        <f>Grandview_Inventory[[#This Row],[Fin BSMT]]*Lookups!$B$16</f>
        <v>0</v>
      </c>
      <c r="BO827" s="6">
        <f>(Grandview_Inventory[[#This Row],[att_gar]]+Grandview_Inventory[[#This Row],[bltin_gar]])*Lookups!$B$17</f>
        <v>42009.809760000004</v>
      </c>
      <c r="BP827" s="6">
        <f>Grandview_Inventory[[#This Row],[Plumbing Fixtures]]*Lookups!$B$18</f>
        <v>14073.0926</v>
      </c>
      <c r="BQ827" s="6">
        <f>Grandview_Inventory[[#This Row],[detatched_value]]*Lookups!$B$19</f>
        <v>0</v>
      </c>
      <c r="BR827" s="6">
        <f>SUM(Grandview_Inventory[[#This Row],[Intercept]:[det_value]])*Grandview_Inventory[[#This Row],[res_pct]]</f>
        <v>282742.221792</v>
      </c>
      <c r="BS827" s="6">
        <f>Grandview_Inventory[[#This Row],[land_value]]</f>
        <v>49167.631333630678</v>
      </c>
      <c r="BT827" s="4">
        <f>_xlfn.IFNA(VLOOKUP(Grandview_Inventory[[#This Row],[quality]],Lookups!$A$26:$C$33,3,FALSE),1)</f>
        <v>0.98763855981004833</v>
      </c>
      <c r="BU827" s="4">
        <f>_xlfn.IFNA(VLOOKUP(Grandview_Inventory[[#This Row],[condition]],Lookups!$A$37:$C$44,3,FALSE),1)</f>
        <v>0.96469275950863709</v>
      </c>
      <c r="BV827" s="4">
        <f>IF(Grandview_Inventory[[#This Row],[bldg_style]]="",1,_xlfn.IFNA(VLOOKUP(Grandview_Inventory[[#This Row],[decade]],Lookups!$F$29:$H$43,3,FALSE),1))</f>
        <v>0.95268620544463312</v>
      </c>
      <c r="BW827" s="4">
        <f>_xlfn.IFNA(VLOOKUP(Grandview_Inventory[[#This Row],[living_area_range]],Lookups!$F$47:$H$56,3,FALSE),1)</f>
        <v>0.96135087979789358</v>
      </c>
      <c r="BX827" s="4">
        <f>AVERAGE(Grandview_Inventory[[#This Row],[qual_adj]:[size_adj]])</f>
        <v>0.96659210114030303</v>
      </c>
      <c r="BY827" s="6">
        <f>IF(Grandview_Inventory[[#This Row],[pre_res]]&lt;0,0,Grandview_Inventory[[#This Row],[pre_res]]*Grandview_Inventory[[#This Row],[overall_adj]])</f>
        <v>273296.39824300684</v>
      </c>
      <c r="BZ827" s="6">
        <f>(Grandview_Inventory[[#This Row],[sum_land]]-IF(Grandview_Inventory[[#This Row],[no_utilities]]=1,12000,0))/IF(Grandview_Inventory[[#This Row],[unbuildable]]=1,2,1)</f>
        <v>49167.631333630678</v>
      </c>
      <c r="CA82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27">
        <f>ROUND(Grandview_Inventory[[#This Row],[det_value]]*Lookups!$M$28,-2)</f>
        <v>0</v>
      </c>
      <c r="CC827">
        <f>IF(ROUND(Grandview_Inventory[[#This Row],[adj_res]]*Lookups!$M$28,-2)&lt;Grandview_Inventory[[#This Row],[min_res]],Grandview_Inventory[[#This Row],[min_res]],ROUND(Grandview_Inventory[[#This Row],[adj_res]]*Lookups!$M$28,-2))</f>
        <v>259600</v>
      </c>
      <c r="CD827">
        <f>Grandview_Inventory[[#This Row],[final_det]]+Grandview_Inventory[[#This Row],[final_res]]</f>
        <v>259600</v>
      </c>
      <c r="CE827">
        <f>Grandview_Inventory[[#This Row],[final_land]]+Grandview_Inventory[[#This Row],[final_imp]]+Grandview_Inventory[[#This Row],[crop_value]]</f>
        <v>306300</v>
      </c>
      <c r="CG827" t="str">
        <f t="shared" si="12"/>
        <v>update valuation set market_land =46700, market_bldg=259600, market_total =306300, market_mdno =401, market_date ='9/10/2023' where link_id = (select link_id from parcel where parcel_year = '2024' and parcel_id = '23092232453');</v>
      </c>
    </row>
    <row r="828" spans="1:85" x14ac:dyDescent="0.25">
      <c r="A828">
        <v>23092232454</v>
      </c>
      <c r="B828">
        <v>0.21</v>
      </c>
      <c r="C828">
        <v>9058</v>
      </c>
      <c r="D828" t="s">
        <v>129</v>
      </c>
      <c r="E828" t="s">
        <v>53</v>
      </c>
      <c r="F828" t="s">
        <v>53</v>
      </c>
      <c r="G828">
        <v>4</v>
      </c>
      <c r="H828" t="s">
        <v>54</v>
      </c>
      <c r="I828">
        <v>111300</v>
      </c>
      <c r="J828">
        <v>43700</v>
      </c>
      <c r="K828">
        <v>0.21</v>
      </c>
      <c r="L82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828">
        <v>0</v>
      </c>
      <c r="N828">
        <v>0</v>
      </c>
      <c r="O828">
        <v>0</v>
      </c>
      <c r="P828">
        <v>13398.7528</v>
      </c>
      <c r="Q828">
        <v>63903</v>
      </c>
      <c r="R828">
        <f>(Grandview_Inventory[[#This Row],[ln_acres]]*Grandview_Inventory[[#This Row],[coeff]])+Grandview_Inventory[[#This Row],[const]]</f>
        <v>42992.266613125081</v>
      </c>
      <c r="S828" t="s">
        <v>61</v>
      </c>
      <c r="T828">
        <v>1</v>
      </c>
      <c r="U828" t="s">
        <v>70</v>
      </c>
      <c r="V828" t="s">
        <v>78</v>
      </c>
      <c r="W828">
        <v>0</v>
      </c>
      <c r="X828">
        <v>0</v>
      </c>
      <c r="Y828">
        <v>45</v>
      </c>
      <c r="Z828">
        <v>50</v>
      </c>
      <c r="AA828">
        <v>50</v>
      </c>
      <c r="AB828">
        <v>1500</v>
      </c>
      <c r="AC828">
        <v>1200</v>
      </c>
      <c r="AD828">
        <v>1200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360</v>
      </c>
      <c r="AN828">
        <v>0</v>
      </c>
      <c r="AO828">
        <v>360</v>
      </c>
      <c r="AP828">
        <v>5</v>
      </c>
      <c r="AQ828">
        <v>0</v>
      </c>
      <c r="AR828">
        <v>0</v>
      </c>
      <c r="AS828" t="s">
        <v>58</v>
      </c>
      <c r="AT828">
        <v>1</v>
      </c>
      <c r="AU828" t="s">
        <v>63</v>
      </c>
      <c r="AV828" t="s">
        <v>60</v>
      </c>
      <c r="AW828">
        <v>0</v>
      </c>
      <c r="AX828">
        <v>3</v>
      </c>
      <c r="AY828">
        <v>0</v>
      </c>
      <c r="AZ828">
        <v>0</v>
      </c>
      <c r="BA828">
        <v>100</v>
      </c>
      <c r="BB828">
        <v>100</v>
      </c>
      <c r="BC828">
        <v>100</v>
      </c>
      <c r="BD828">
        <v>100</v>
      </c>
      <c r="BE828">
        <v>1</v>
      </c>
      <c r="BF828">
        <v>15000</v>
      </c>
      <c r="BG828">
        <v>1000</v>
      </c>
      <c r="BH828" s="6">
        <f>Grandview_Inventory[[#This Row],[land_extract]]*Lookups!$B$3</f>
        <v>49926.8031387023</v>
      </c>
      <c r="BI828" s="6">
        <f>IF(Grandview_Inventory[[#This Row],[bldg_style]]="",0,Lookups!$B$2)</f>
        <v>155833.95000000001</v>
      </c>
      <c r="BJ828" s="6">
        <f>_xlfn.IFNA(VLOOKUP(Grandview_Inventory[[#This Row],[quality]],Lookups!$H$2:$J$14,3,FALSE),0)</f>
        <v>10733</v>
      </c>
      <c r="BK828" s="6">
        <f>_xlfn.IFNA(VLOOKUP(Grandview_Inventory[[#This Row],[condition]],Lookups!$H$17:$J$24,3,FALSE),0)</f>
        <v>-45357</v>
      </c>
      <c r="BL828" s="6">
        <f>Grandview_Inventory[[#This Row],[Eff_Age]]*Lookups!$B$14</f>
        <v>-10762.496999999999</v>
      </c>
      <c r="BM828" s="6">
        <f>Grandview_Inventory[[#This Row],[living_area]]*Lookups!$B$15</f>
        <v>74857.0236</v>
      </c>
      <c r="BN828" s="6">
        <f>Grandview_Inventory[[#This Row],[Fin BSMT]]*Lookups!$B$16</f>
        <v>0</v>
      </c>
      <c r="BO828" s="6">
        <f>(Grandview_Inventory[[#This Row],[att_gar]]+Grandview_Inventory[[#This Row],[bltin_gar]])*Lookups!$B$17</f>
        <v>0</v>
      </c>
      <c r="BP828" s="6">
        <f>Grandview_Inventory[[#This Row],[Plumbing Fixtures]]*Lookups!$B$18</f>
        <v>10052.209000000001</v>
      </c>
      <c r="BQ828" s="6">
        <f>Grandview_Inventory[[#This Row],[detatched_value]]*Lookups!$B$19</f>
        <v>0</v>
      </c>
      <c r="BR828" s="6">
        <f>SUM(Grandview_Inventory[[#This Row],[Intercept]:[det_value]])*Grandview_Inventory[[#This Row],[res_pct]]</f>
        <v>195356.6856</v>
      </c>
      <c r="BS828" s="6">
        <f>Grandview_Inventory[[#This Row],[land_value]]</f>
        <v>49926.8031387023</v>
      </c>
      <c r="BT828" s="4">
        <f>_xlfn.IFNA(VLOOKUP(Grandview_Inventory[[#This Row],[quality]],Lookups!$A$26:$C$33,3,FALSE),1)</f>
        <v>0.98079741117310582</v>
      </c>
      <c r="BU828" s="4">
        <f>_xlfn.IFNA(VLOOKUP(Grandview_Inventory[[#This Row],[condition]],Lookups!$A$37:$C$44,3,FALSE),1)</f>
        <v>0.97161819570155394</v>
      </c>
      <c r="BV828" s="4">
        <f>IF(Grandview_Inventory[[#This Row],[bldg_style]]="",1,_xlfn.IFNA(VLOOKUP(Grandview_Inventory[[#This Row],[decade]],Lookups!$F$29:$H$43,3,FALSE),1))</f>
        <v>0.9871940091910919</v>
      </c>
      <c r="BW828" s="4">
        <f>_xlfn.IFNA(VLOOKUP(Grandview_Inventory[[#This Row],[living_area_range]],Lookups!$F$47:$H$56,3,FALSE),1)</f>
        <v>0.96135087979789358</v>
      </c>
      <c r="BX828" s="4">
        <f>AVERAGE(Grandview_Inventory[[#This Row],[qual_adj]:[size_adj]])</f>
        <v>0.97524012396591131</v>
      </c>
      <c r="BY828" s="6">
        <f>IF(Grandview_Inventory[[#This Row],[pre_res]]&lt;0,0,Grandview_Inventory[[#This Row],[pre_res]]*Grandview_Inventory[[#This Row],[overall_adj]])</f>
        <v>190519.67828211357</v>
      </c>
      <c r="BZ828" s="6">
        <f>(Grandview_Inventory[[#This Row],[sum_land]]-IF(Grandview_Inventory[[#This Row],[no_utilities]]=1,12000,0))/IF(Grandview_Inventory[[#This Row],[unbuildable]]=1,2,1)</f>
        <v>49926.8031387023</v>
      </c>
      <c r="CA82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828">
        <f>ROUND(Grandview_Inventory[[#This Row],[det_value]]*Lookups!$M$28,-2)</f>
        <v>0</v>
      </c>
      <c r="CC828">
        <f>IF(ROUND(Grandview_Inventory[[#This Row],[adj_res]]*Lookups!$M$28,-2)&lt;Grandview_Inventory[[#This Row],[min_res]],Grandview_Inventory[[#This Row],[min_res]],ROUND(Grandview_Inventory[[#This Row],[adj_res]]*Lookups!$M$28,-2))</f>
        <v>181000</v>
      </c>
      <c r="CD828">
        <f>Grandview_Inventory[[#This Row],[final_det]]+Grandview_Inventory[[#This Row],[final_res]]</f>
        <v>181000</v>
      </c>
      <c r="CE828">
        <f>Grandview_Inventory[[#This Row],[final_land]]+Grandview_Inventory[[#This Row],[final_imp]]+Grandview_Inventory[[#This Row],[crop_value]]</f>
        <v>228400</v>
      </c>
      <c r="CG828" t="str">
        <f t="shared" si="12"/>
        <v>update valuation set market_land =47400, market_bldg=181000, market_total =228400, market_mdno =401, market_date ='9/10/2023' where link_id = (select link_id from parcel where parcel_year = '2024' and parcel_id = '23092232454');</v>
      </c>
    </row>
    <row r="829" spans="1:85" x14ac:dyDescent="0.25">
      <c r="A829">
        <v>23092232455</v>
      </c>
      <c r="B829">
        <v>0.2</v>
      </c>
      <c r="C829">
        <v>8712</v>
      </c>
      <c r="D829" t="s">
        <v>129</v>
      </c>
      <c r="E829" t="s">
        <v>53</v>
      </c>
      <c r="F829" t="s">
        <v>53</v>
      </c>
      <c r="G829">
        <v>4</v>
      </c>
      <c r="H829" t="s">
        <v>54</v>
      </c>
      <c r="I829">
        <v>145400</v>
      </c>
      <c r="J829">
        <v>39300</v>
      </c>
      <c r="K829">
        <v>0.2</v>
      </c>
      <c r="L82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29">
        <v>0</v>
      </c>
      <c r="N829">
        <v>0</v>
      </c>
      <c r="O829">
        <v>0</v>
      </c>
      <c r="P829">
        <v>13398.7528</v>
      </c>
      <c r="Q829">
        <v>63903</v>
      </c>
      <c r="R829">
        <f>(Grandview_Inventory[[#This Row],[ln_acres]]*Grandview_Inventory[[#This Row],[coeff]])+Grandview_Inventory[[#This Row],[const]]</f>
        <v>42338.539264347448</v>
      </c>
      <c r="S829" t="s">
        <v>61</v>
      </c>
      <c r="T829">
        <v>1</v>
      </c>
      <c r="U829" t="s">
        <v>70</v>
      </c>
      <c r="V829" t="s">
        <v>69</v>
      </c>
      <c r="W829">
        <v>0</v>
      </c>
      <c r="X829">
        <v>0</v>
      </c>
      <c r="Y829">
        <v>45</v>
      </c>
      <c r="Z829">
        <v>50</v>
      </c>
      <c r="AA829">
        <v>50</v>
      </c>
      <c r="AB829">
        <v>1500</v>
      </c>
      <c r="AC829">
        <v>1200</v>
      </c>
      <c r="AD829">
        <v>1200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180</v>
      </c>
      <c r="AL829">
        <v>0</v>
      </c>
      <c r="AM829">
        <v>192</v>
      </c>
      <c r="AN829">
        <v>0</v>
      </c>
      <c r="AO829">
        <v>0</v>
      </c>
      <c r="AP829">
        <v>5</v>
      </c>
      <c r="AQ829">
        <v>0</v>
      </c>
      <c r="AR829">
        <v>0</v>
      </c>
      <c r="AS829" t="s">
        <v>58</v>
      </c>
      <c r="AT829">
        <v>1</v>
      </c>
      <c r="AU829" t="s">
        <v>63</v>
      </c>
      <c r="AV829" t="s">
        <v>60</v>
      </c>
      <c r="AW829">
        <v>0</v>
      </c>
      <c r="AX829">
        <v>3</v>
      </c>
      <c r="AY829">
        <v>0</v>
      </c>
      <c r="AZ829">
        <v>0</v>
      </c>
      <c r="BA829">
        <v>100</v>
      </c>
      <c r="BB829">
        <v>100</v>
      </c>
      <c r="BC829">
        <v>100</v>
      </c>
      <c r="BD829">
        <v>100</v>
      </c>
      <c r="BE829">
        <v>1</v>
      </c>
      <c r="BF829">
        <v>15000</v>
      </c>
      <c r="BG829">
        <v>1000</v>
      </c>
      <c r="BH829" s="6">
        <f>Grandview_Inventory[[#This Row],[land_extract]]*Lookups!$B$3</f>
        <v>49167.631333630678</v>
      </c>
      <c r="BI829" s="6">
        <f>IF(Grandview_Inventory[[#This Row],[bldg_style]]="",0,Lookups!$B$2)</f>
        <v>155833.95000000001</v>
      </c>
      <c r="BJ829" s="6">
        <f>_xlfn.IFNA(VLOOKUP(Grandview_Inventory[[#This Row],[quality]],Lookups!$H$2:$J$14,3,FALSE),0)</f>
        <v>10733</v>
      </c>
      <c r="BK829" s="6">
        <f>_xlfn.IFNA(VLOOKUP(Grandview_Inventory[[#This Row],[condition]],Lookups!$H$17:$J$24,3,FALSE),0)</f>
        <v>-4503</v>
      </c>
      <c r="BL829" s="6">
        <f>Grandview_Inventory[[#This Row],[Eff_Age]]*Lookups!$B$14</f>
        <v>-10762.496999999999</v>
      </c>
      <c r="BM829" s="6">
        <f>Grandview_Inventory[[#This Row],[living_area]]*Lookups!$B$15</f>
        <v>74857.0236</v>
      </c>
      <c r="BN829" s="6">
        <f>Grandview_Inventory[[#This Row],[Fin BSMT]]*Lookups!$B$16</f>
        <v>0</v>
      </c>
      <c r="BO829" s="6">
        <f>(Grandview_Inventory[[#This Row],[att_gar]]+Grandview_Inventory[[#This Row],[bltin_gar]])*Lookups!$B$17</f>
        <v>0</v>
      </c>
      <c r="BP829" s="6">
        <f>Grandview_Inventory[[#This Row],[Plumbing Fixtures]]*Lookups!$B$18</f>
        <v>10052.209000000001</v>
      </c>
      <c r="BQ829" s="6">
        <f>Grandview_Inventory[[#This Row],[detatched_value]]*Lookups!$B$19</f>
        <v>0</v>
      </c>
      <c r="BR829" s="6">
        <f>SUM(Grandview_Inventory[[#This Row],[Intercept]:[det_value]])*Grandview_Inventory[[#This Row],[res_pct]]</f>
        <v>236210.6856</v>
      </c>
      <c r="BS829" s="6">
        <f>Grandview_Inventory[[#This Row],[land_value]]</f>
        <v>49167.631333630678</v>
      </c>
      <c r="BT829" s="4">
        <f>_xlfn.IFNA(VLOOKUP(Grandview_Inventory[[#This Row],[quality]],Lookups!$A$26:$C$33,3,FALSE),1)</f>
        <v>0.98079741117310582</v>
      </c>
      <c r="BU829" s="4">
        <f>_xlfn.IFNA(VLOOKUP(Grandview_Inventory[[#This Row],[condition]],Lookups!$A$37:$C$44,3,FALSE),1)</f>
        <v>0.96469275950863709</v>
      </c>
      <c r="BV829" s="4">
        <f>IF(Grandview_Inventory[[#This Row],[bldg_style]]="",1,_xlfn.IFNA(VLOOKUP(Grandview_Inventory[[#This Row],[decade]],Lookups!$F$29:$H$43,3,FALSE),1))</f>
        <v>0.9871940091910919</v>
      </c>
      <c r="BW829" s="4">
        <f>_xlfn.IFNA(VLOOKUP(Grandview_Inventory[[#This Row],[living_area_range]],Lookups!$F$47:$H$56,3,FALSE),1)</f>
        <v>0.96135087979789358</v>
      </c>
      <c r="BX829" s="4">
        <f>AVERAGE(Grandview_Inventory[[#This Row],[qual_adj]:[size_adj]])</f>
        <v>0.97350876491768212</v>
      </c>
      <c r="BY829" s="6">
        <f>IF(Grandview_Inventory[[#This Row],[pre_res]]&lt;0,0,Grandview_Inventory[[#This Row],[pre_res]]*Grandview_Inventory[[#This Row],[overall_adj]])</f>
        <v>229953.17279881492</v>
      </c>
      <c r="BZ829" s="6">
        <f>(Grandview_Inventory[[#This Row],[sum_land]]-IF(Grandview_Inventory[[#This Row],[no_utilities]]=1,12000,0))/IF(Grandview_Inventory[[#This Row],[unbuildable]]=1,2,1)</f>
        <v>49167.631333630678</v>
      </c>
      <c r="CA82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29">
        <f>ROUND(Grandview_Inventory[[#This Row],[det_value]]*Lookups!$M$28,-2)</f>
        <v>0</v>
      </c>
      <c r="CC829">
        <f>IF(ROUND(Grandview_Inventory[[#This Row],[adj_res]]*Lookups!$M$28,-2)&lt;Grandview_Inventory[[#This Row],[min_res]],Grandview_Inventory[[#This Row],[min_res]],ROUND(Grandview_Inventory[[#This Row],[adj_res]]*Lookups!$M$28,-2))</f>
        <v>218500</v>
      </c>
      <c r="CD829">
        <f>Grandview_Inventory[[#This Row],[final_det]]+Grandview_Inventory[[#This Row],[final_res]]</f>
        <v>218500</v>
      </c>
      <c r="CE829">
        <f>Grandview_Inventory[[#This Row],[final_land]]+Grandview_Inventory[[#This Row],[final_imp]]+Grandview_Inventory[[#This Row],[crop_value]]</f>
        <v>265200</v>
      </c>
      <c r="CG829" t="str">
        <f t="shared" si="12"/>
        <v>update valuation set market_land =46700, market_bldg=218500, market_total =265200, market_mdno =401, market_date ='9/10/2023' where link_id = (select link_id from parcel where parcel_year = '2024' and parcel_id = '23092232455');</v>
      </c>
    </row>
    <row r="830" spans="1:85" x14ac:dyDescent="0.25">
      <c r="A830">
        <v>23092232456</v>
      </c>
      <c r="B830">
        <v>0.22</v>
      </c>
      <c r="C830">
        <v>9660</v>
      </c>
      <c r="D830" t="s">
        <v>129</v>
      </c>
      <c r="E830" t="s">
        <v>53</v>
      </c>
      <c r="F830" t="s">
        <v>53</v>
      </c>
      <c r="G830">
        <v>4</v>
      </c>
      <c r="H830" t="s">
        <v>54</v>
      </c>
      <c r="I830">
        <v>143300</v>
      </c>
      <c r="J830">
        <v>39500</v>
      </c>
      <c r="K830">
        <v>0.22</v>
      </c>
      <c r="L83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830">
        <v>0</v>
      </c>
      <c r="N830">
        <v>0</v>
      </c>
      <c r="O830">
        <v>0</v>
      </c>
      <c r="P830">
        <v>13398.7528</v>
      </c>
      <c r="Q830">
        <v>63903</v>
      </c>
      <c r="R830">
        <f>(Grandview_Inventory[[#This Row],[ln_acres]]*Grandview_Inventory[[#This Row],[coeff]])+Grandview_Inventory[[#This Row],[const]]</f>
        <v>43615.576802869145</v>
      </c>
      <c r="S830" t="s">
        <v>61</v>
      </c>
      <c r="T830">
        <v>1</v>
      </c>
      <c r="U830" t="s">
        <v>70</v>
      </c>
      <c r="V830" t="s">
        <v>69</v>
      </c>
      <c r="W830">
        <v>0</v>
      </c>
      <c r="X830">
        <v>0</v>
      </c>
      <c r="Y830">
        <v>45</v>
      </c>
      <c r="Z830">
        <v>51</v>
      </c>
      <c r="AA830">
        <v>60</v>
      </c>
      <c r="AB830">
        <v>1000</v>
      </c>
      <c r="AC830">
        <v>936</v>
      </c>
      <c r="AD830">
        <v>936</v>
      </c>
      <c r="AE830">
        <v>0</v>
      </c>
      <c r="AF830">
        <v>0</v>
      </c>
      <c r="AG830">
        <v>0</v>
      </c>
      <c r="AH830">
        <v>0</v>
      </c>
      <c r="AI830">
        <v>264</v>
      </c>
      <c r="AJ830">
        <v>0</v>
      </c>
      <c r="AK830">
        <v>0</v>
      </c>
      <c r="AL830">
        <v>0</v>
      </c>
      <c r="AM830">
        <v>0</v>
      </c>
      <c r="AN830">
        <v>68</v>
      </c>
      <c r="AO830">
        <v>0</v>
      </c>
      <c r="AP830">
        <v>5</v>
      </c>
      <c r="AQ830">
        <v>0</v>
      </c>
      <c r="AR830">
        <v>0</v>
      </c>
      <c r="AS830" t="s">
        <v>58</v>
      </c>
      <c r="AT830">
        <v>1</v>
      </c>
      <c r="AU830" t="s">
        <v>63</v>
      </c>
      <c r="AV830" t="s">
        <v>60</v>
      </c>
      <c r="AW830">
        <v>0</v>
      </c>
      <c r="AX830">
        <v>3</v>
      </c>
      <c r="AY830">
        <v>0</v>
      </c>
      <c r="AZ830">
        <v>0</v>
      </c>
      <c r="BA830">
        <v>100</v>
      </c>
      <c r="BB830">
        <v>100</v>
      </c>
      <c r="BC830">
        <v>100</v>
      </c>
      <c r="BD830">
        <v>100</v>
      </c>
      <c r="BE830">
        <v>1</v>
      </c>
      <c r="BF830">
        <v>15000</v>
      </c>
      <c r="BG830">
        <v>1000</v>
      </c>
      <c r="BH830" s="6">
        <f>Grandview_Inventory[[#This Row],[land_extract]]*Lookups!$B$3</f>
        <v>50650.651579114572</v>
      </c>
      <c r="BI830" s="6">
        <f>IF(Grandview_Inventory[[#This Row],[bldg_style]]="",0,Lookups!$B$2)</f>
        <v>155833.95000000001</v>
      </c>
      <c r="BJ830" s="6">
        <f>_xlfn.IFNA(VLOOKUP(Grandview_Inventory[[#This Row],[quality]],Lookups!$H$2:$J$14,3,FALSE),0)</f>
        <v>10733</v>
      </c>
      <c r="BK830" s="6">
        <f>_xlfn.IFNA(VLOOKUP(Grandview_Inventory[[#This Row],[condition]],Lookups!$H$17:$J$24,3,FALSE),0)</f>
        <v>-4503</v>
      </c>
      <c r="BL830" s="6">
        <f>Grandview_Inventory[[#This Row],[Eff_Age]]*Lookups!$B$14</f>
        <v>-10762.496999999999</v>
      </c>
      <c r="BM830" s="6">
        <f>Grandview_Inventory[[#This Row],[living_area]]*Lookups!$B$15</f>
        <v>58388.478408000003</v>
      </c>
      <c r="BN830" s="6">
        <f>Grandview_Inventory[[#This Row],[Fin BSMT]]*Lookups!$B$16</f>
        <v>0</v>
      </c>
      <c r="BO830" s="6">
        <f>(Grandview_Inventory[[#This Row],[att_gar]]+Grandview_Inventory[[#This Row],[bltin_gar]])*Lookups!$B$17</f>
        <v>23105.395368000001</v>
      </c>
      <c r="BP830" s="6">
        <f>Grandview_Inventory[[#This Row],[Plumbing Fixtures]]*Lookups!$B$18</f>
        <v>10052.209000000001</v>
      </c>
      <c r="BQ830" s="6">
        <f>Grandview_Inventory[[#This Row],[detatched_value]]*Lookups!$B$19</f>
        <v>0</v>
      </c>
      <c r="BR830" s="6">
        <f>SUM(Grandview_Inventory[[#This Row],[Intercept]:[det_value]])*Grandview_Inventory[[#This Row],[res_pct]]</f>
        <v>242847.535776</v>
      </c>
      <c r="BS830" s="6">
        <f>Grandview_Inventory[[#This Row],[land_value]]</f>
        <v>50650.651579114572</v>
      </c>
      <c r="BT830" s="4">
        <f>_xlfn.IFNA(VLOOKUP(Grandview_Inventory[[#This Row],[quality]],Lookups!$A$26:$C$33,3,FALSE),1)</f>
        <v>0.98079741117310582</v>
      </c>
      <c r="BU830" s="4">
        <f>_xlfn.IFNA(VLOOKUP(Grandview_Inventory[[#This Row],[condition]],Lookups!$A$37:$C$44,3,FALSE),1)</f>
        <v>0.96469275950863709</v>
      </c>
      <c r="BV830" s="4">
        <f>IF(Grandview_Inventory[[#This Row],[bldg_style]]="",1,_xlfn.IFNA(VLOOKUP(Grandview_Inventory[[#This Row],[decade]],Lookups!$F$29:$H$43,3,FALSE),1))</f>
        <v>0.95268620544463312</v>
      </c>
      <c r="BW830" s="4">
        <f>_xlfn.IFNA(VLOOKUP(Grandview_Inventory[[#This Row],[living_area_range]],Lookups!$F$47:$H$56,3,FALSE),1)</f>
        <v>0.94306777142782894</v>
      </c>
      <c r="BX830" s="4">
        <f>AVERAGE(Grandview_Inventory[[#This Row],[qual_adj]:[size_adj]])</f>
        <v>0.96031103688855124</v>
      </c>
      <c r="BY830" s="6">
        <f>IF(Grandview_Inventory[[#This Row],[pre_res]]&lt;0,0,Grandview_Inventory[[#This Row],[pre_res]]*Grandview_Inventory[[#This Row],[overall_adj]])</f>
        <v>233209.1688868801</v>
      </c>
      <c r="BZ830" s="6">
        <f>(Grandview_Inventory[[#This Row],[sum_land]]-IF(Grandview_Inventory[[#This Row],[no_utilities]]=1,12000,0))/IF(Grandview_Inventory[[#This Row],[unbuildable]]=1,2,1)</f>
        <v>50650.651579114572</v>
      </c>
      <c r="CA83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830">
        <f>ROUND(Grandview_Inventory[[#This Row],[det_value]]*Lookups!$M$28,-2)</f>
        <v>0</v>
      </c>
      <c r="CC830">
        <f>IF(ROUND(Grandview_Inventory[[#This Row],[adj_res]]*Lookups!$M$28,-2)&lt;Grandview_Inventory[[#This Row],[min_res]],Grandview_Inventory[[#This Row],[min_res]],ROUND(Grandview_Inventory[[#This Row],[adj_res]]*Lookups!$M$28,-2))</f>
        <v>221500</v>
      </c>
      <c r="CD830">
        <f>Grandview_Inventory[[#This Row],[final_det]]+Grandview_Inventory[[#This Row],[final_res]]</f>
        <v>221500</v>
      </c>
      <c r="CE830">
        <f>Grandview_Inventory[[#This Row],[final_land]]+Grandview_Inventory[[#This Row],[final_imp]]+Grandview_Inventory[[#This Row],[crop_value]]</f>
        <v>269600</v>
      </c>
      <c r="CG830" t="str">
        <f t="shared" si="12"/>
        <v>update valuation set market_land =48100, market_bldg=221500, market_total =269600, market_mdno =401, market_date ='9/10/2023' where link_id = (select link_id from parcel where parcel_year = '2024' and parcel_id = '23092232456');</v>
      </c>
    </row>
    <row r="831" spans="1:85" x14ac:dyDescent="0.25">
      <c r="A831">
        <v>23092232457</v>
      </c>
      <c r="B831">
        <v>0.19</v>
      </c>
      <c r="C831">
        <v>8483</v>
      </c>
      <c r="D831" t="s">
        <v>129</v>
      </c>
      <c r="E831" t="s">
        <v>53</v>
      </c>
      <c r="F831" t="s">
        <v>53</v>
      </c>
      <c r="G831">
        <v>4</v>
      </c>
      <c r="H831" t="s">
        <v>54</v>
      </c>
      <c r="I831">
        <v>155100</v>
      </c>
      <c r="J831">
        <v>43500</v>
      </c>
      <c r="K831">
        <v>0.19</v>
      </c>
      <c r="L83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831">
        <v>0</v>
      </c>
      <c r="N831">
        <v>0</v>
      </c>
      <c r="O831">
        <v>0</v>
      </c>
      <c r="P831">
        <v>13398.7528</v>
      </c>
      <c r="Q831">
        <v>63903</v>
      </c>
      <c r="R831">
        <f>(Grandview_Inventory[[#This Row],[ln_acres]]*Grandview_Inventory[[#This Row],[coeff]])+Grandview_Inventory[[#This Row],[const]]</f>
        <v>41651.273092551026</v>
      </c>
      <c r="S831" t="s">
        <v>55</v>
      </c>
      <c r="T831">
        <v>1</v>
      </c>
      <c r="U831" t="s">
        <v>70</v>
      </c>
      <c r="V831" t="s">
        <v>69</v>
      </c>
      <c r="W831">
        <v>0</v>
      </c>
      <c r="X831">
        <v>0</v>
      </c>
      <c r="Y831">
        <v>45</v>
      </c>
      <c r="Z831">
        <v>51</v>
      </c>
      <c r="AA831">
        <v>60</v>
      </c>
      <c r="AB831">
        <v>1500</v>
      </c>
      <c r="AC831">
        <v>1248</v>
      </c>
      <c r="AD831">
        <v>1248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5</v>
      </c>
      <c r="AQ831">
        <v>0</v>
      </c>
      <c r="AR831">
        <v>0</v>
      </c>
      <c r="AS831" t="s">
        <v>58</v>
      </c>
      <c r="AT831">
        <v>1</v>
      </c>
      <c r="AU831" t="s">
        <v>63</v>
      </c>
      <c r="AV831" t="s">
        <v>60</v>
      </c>
      <c r="AW831">
        <v>0</v>
      </c>
      <c r="AX831">
        <v>3</v>
      </c>
      <c r="AY831">
        <v>0</v>
      </c>
      <c r="AZ831">
        <v>0</v>
      </c>
      <c r="BA831">
        <v>100</v>
      </c>
      <c r="BB831">
        <v>100</v>
      </c>
      <c r="BC831">
        <v>100</v>
      </c>
      <c r="BD831">
        <v>100</v>
      </c>
      <c r="BE831">
        <v>1</v>
      </c>
      <c r="BF831">
        <v>15000</v>
      </c>
      <c r="BG831">
        <v>1000</v>
      </c>
      <c r="BH831" s="6">
        <f>Grandview_Inventory[[#This Row],[land_extract]]*Lookups!$B$3</f>
        <v>48369.510983942157</v>
      </c>
      <c r="BI831" s="6">
        <f>IF(Grandview_Inventory[[#This Row],[bldg_style]]="",0,Lookups!$B$2)</f>
        <v>155833.95000000001</v>
      </c>
      <c r="BJ831" s="6">
        <f>_xlfn.IFNA(VLOOKUP(Grandview_Inventory[[#This Row],[quality]],Lookups!$H$2:$J$14,3,FALSE),0)</f>
        <v>10733</v>
      </c>
      <c r="BK831" s="6">
        <f>_xlfn.IFNA(VLOOKUP(Grandview_Inventory[[#This Row],[condition]],Lookups!$H$17:$J$24,3,FALSE),0)</f>
        <v>-4503</v>
      </c>
      <c r="BL831" s="6">
        <f>Grandview_Inventory[[#This Row],[Eff_Age]]*Lookups!$B$14</f>
        <v>-10762.496999999999</v>
      </c>
      <c r="BM831" s="6">
        <f>Grandview_Inventory[[#This Row],[living_area]]*Lookups!$B$15</f>
        <v>77851.304543999999</v>
      </c>
      <c r="BN831" s="6">
        <f>Grandview_Inventory[[#This Row],[Fin BSMT]]*Lookups!$B$16</f>
        <v>0</v>
      </c>
      <c r="BO831" s="6">
        <f>(Grandview_Inventory[[#This Row],[att_gar]]+Grandview_Inventory[[#This Row],[bltin_gar]])*Lookups!$B$17</f>
        <v>0</v>
      </c>
      <c r="BP831" s="6">
        <f>Grandview_Inventory[[#This Row],[Plumbing Fixtures]]*Lookups!$B$18</f>
        <v>10052.209000000001</v>
      </c>
      <c r="BQ831" s="6">
        <f>Grandview_Inventory[[#This Row],[detatched_value]]*Lookups!$B$19</f>
        <v>0</v>
      </c>
      <c r="BR831" s="6">
        <f>SUM(Grandview_Inventory[[#This Row],[Intercept]:[det_value]])*Grandview_Inventory[[#This Row],[res_pct]]</f>
        <v>239204.966544</v>
      </c>
      <c r="BS831" s="6">
        <f>Grandview_Inventory[[#This Row],[land_value]]</f>
        <v>48369.510983942157</v>
      </c>
      <c r="BT831" s="4">
        <f>_xlfn.IFNA(VLOOKUP(Grandview_Inventory[[#This Row],[quality]],Lookups!$A$26:$C$33,3,FALSE),1)</f>
        <v>0.98079741117310582</v>
      </c>
      <c r="BU831" s="4">
        <f>_xlfn.IFNA(VLOOKUP(Grandview_Inventory[[#This Row],[condition]],Lookups!$A$37:$C$44,3,FALSE),1)</f>
        <v>0.96469275950863709</v>
      </c>
      <c r="BV831" s="4">
        <f>IF(Grandview_Inventory[[#This Row],[bldg_style]]="",1,_xlfn.IFNA(VLOOKUP(Grandview_Inventory[[#This Row],[decade]],Lookups!$F$29:$H$43,3,FALSE),1))</f>
        <v>0.95268620544463312</v>
      </c>
      <c r="BW831" s="4">
        <f>_xlfn.IFNA(VLOOKUP(Grandview_Inventory[[#This Row],[living_area_range]],Lookups!$F$47:$H$56,3,FALSE),1)</f>
        <v>0.96135087979789358</v>
      </c>
      <c r="BX831" s="4">
        <f>AVERAGE(Grandview_Inventory[[#This Row],[qual_adj]:[size_adj]])</f>
        <v>0.96488181398106743</v>
      </c>
      <c r="BY831" s="6">
        <f>IF(Grandview_Inventory[[#This Row],[pre_res]]&lt;0,0,Grandview_Inventory[[#This Row],[pre_res]]*Grandview_Inventory[[#This Row],[overall_adj]])</f>
        <v>230804.52203225525</v>
      </c>
      <c r="BZ831" s="6">
        <f>(Grandview_Inventory[[#This Row],[sum_land]]-IF(Grandview_Inventory[[#This Row],[no_utilities]]=1,12000,0))/IF(Grandview_Inventory[[#This Row],[unbuildable]]=1,2,1)</f>
        <v>48369.510983942157</v>
      </c>
      <c r="CA83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831">
        <f>ROUND(Grandview_Inventory[[#This Row],[det_value]]*Lookups!$M$28,-2)</f>
        <v>0</v>
      </c>
      <c r="CC831">
        <f>IF(ROUND(Grandview_Inventory[[#This Row],[adj_res]]*Lookups!$M$28,-2)&lt;Grandview_Inventory[[#This Row],[min_res]],Grandview_Inventory[[#This Row],[min_res]],ROUND(Grandview_Inventory[[#This Row],[adj_res]]*Lookups!$M$28,-2))</f>
        <v>219300</v>
      </c>
      <c r="CD831">
        <f>Grandview_Inventory[[#This Row],[final_det]]+Grandview_Inventory[[#This Row],[final_res]]</f>
        <v>219300</v>
      </c>
      <c r="CE831">
        <f>Grandview_Inventory[[#This Row],[final_land]]+Grandview_Inventory[[#This Row],[final_imp]]+Grandview_Inventory[[#This Row],[crop_value]]</f>
        <v>265300</v>
      </c>
      <c r="CG831" t="str">
        <f t="shared" si="12"/>
        <v>update valuation set market_land =46000, market_bldg=219300, market_total =265300, market_mdno =401, market_date ='9/10/2023' where link_id = (select link_id from parcel where parcel_year = '2024' and parcel_id = '23092232457');</v>
      </c>
    </row>
    <row r="832" spans="1:85" x14ac:dyDescent="0.25">
      <c r="A832">
        <v>23092232458</v>
      </c>
      <c r="B832">
        <v>0.2</v>
      </c>
      <c r="C832">
        <v>8805</v>
      </c>
      <c r="D832" t="s">
        <v>129</v>
      </c>
      <c r="E832" t="s">
        <v>53</v>
      </c>
      <c r="F832" t="s">
        <v>53</v>
      </c>
      <c r="G832">
        <v>4</v>
      </c>
      <c r="H832" t="s">
        <v>54</v>
      </c>
      <c r="I832">
        <v>172500</v>
      </c>
      <c r="J832">
        <v>39300</v>
      </c>
      <c r="K832">
        <v>0.2</v>
      </c>
      <c r="L83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32">
        <v>0</v>
      </c>
      <c r="N832">
        <v>0</v>
      </c>
      <c r="O832">
        <v>0</v>
      </c>
      <c r="P832">
        <v>13398.7528</v>
      </c>
      <c r="Q832">
        <v>63903</v>
      </c>
      <c r="R832">
        <f>(Grandview_Inventory[[#This Row],[ln_acres]]*Grandview_Inventory[[#This Row],[coeff]])+Grandview_Inventory[[#This Row],[const]]</f>
        <v>42338.539264347448</v>
      </c>
      <c r="S832" t="s">
        <v>61</v>
      </c>
      <c r="T832">
        <v>1</v>
      </c>
      <c r="U832" t="s">
        <v>70</v>
      </c>
      <c r="V832" t="s">
        <v>69</v>
      </c>
      <c r="W832">
        <v>0</v>
      </c>
      <c r="X832">
        <v>0</v>
      </c>
      <c r="Y832">
        <v>45</v>
      </c>
      <c r="Z832">
        <v>51</v>
      </c>
      <c r="AA832">
        <v>60</v>
      </c>
      <c r="AB832">
        <v>1500</v>
      </c>
      <c r="AC832">
        <v>1120</v>
      </c>
      <c r="AD832">
        <v>1120</v>
      </c>
      <c r="AE832">
        <v>0</v>
      </c>
      <c r="AF832">
        <v>0</v>
      </c>
      <c r="AG832">
        <v>0</v>
      </c>
      <c r="AH832">
        <v>0</v>
      </c>
      <c r="AI832">
        <v>308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5</v>
      </c>
      <c r="AQ832">
        <v>0</v>
      </c>
      <c r="AR832">
        <v>0</v>
      </c>
      <c r="AS832" t="s">
        <v>58</v>
      </c>
      <c r="AT832">
        <v>1</v>
      </c>
      <c r="AU832" t="s">
        <v>63</v>
      </c>
      <c r="AV832" t="s">
        <v>60</v>
      </c>
      <c r="AW832">
        <v>1</v>
      </c>
      <c r="AX832">
        <v>4</v>
      </c>
      <c r="AY832">
        <v>0</v>
      </c>
      <c r="AZ832">
        <v>0</v>
      </c>
      <c r="BA832">
        <v>100</v>
      </c>
      <c r="BB832">
        <v>100</v>
      </c>
      <c r="BC832">
        <v>100</v>
      </c>
      <c r="BD832">
        <v>100</v>
      </c>
      <c r="BE832">
        <v>1</v>
      </c>
      <c r="BF832">
        <v>15000</v>
      </c>
      <c r="BG832">
        <v>1000</v>
      </c>
      <c r="BH832" s="6">
        <f>Grandview_Inventory[[#This Row],[land_extract]]*Lookups!$B$3</f>
        <v>49167.631333630678</v>
      </c>
      <c r="BI832" s="6">
        <f>IF(Grandview_Inventory[[#This Row],[bldg_style]]="",0,Lookups!$B$2)</f>
        <v>155833.95000000001</v>
      </c>
      <c r="BJ832" s="6">
        <f>_xlfn.IFNA(VLOOKUP(Grandview_Inventory[[#This Row],[quality]],Lookups!$H$2:$J$14,3,FALSE),0)</f>
        <v>10733</v>
      </c>
      <c r="BK832" s="6">
        <f>_xlfn.IFNA(VLOOKUP(Grandview_Inventory[[#This Row],[condition]],Lookups!$H$17:$J$24,3,FALSE),0)</f>
        <v>-4503</v>
      </c>
      <c r="BL832" s="6">
        <f>Grandview_Inventory[[#This Row],[Eff_Age]]*Lookups!$B$14</f>
        <v>-10762.496999999999</v>
      </c>
      <c r="BM832" s="6">
        <f>Grandview_Inventory[[#This Row],[living_area]]*Lookups!$B$15</f>
        <v>69866.555359999998</v>
      </c>
      <c r="BN832" s="6">
        <f>Grandview_Inventory[[#This Row],[Fin BSMT]]*Lookups!$B$16</f>
        <v>0</v>
      </c>
      <c r="BO832" s="6">
        <f>(Grandview_Inventory[[#This Row],[att_gar]]+Grandview_Inventory[[#This Row],[bltin_gar]])*Lookups!$B$17</f>
        <v>26956.294596</v>
      </c>
      <c r="BP832" s="6">
        <f>Grandview_Inventory[[#This Row],[Plumbing Fixtures]]*Lookups!$B$18</f>
        <v>10052.209000000001</v>
      </c>
      <c r="BQ832" s="6">
        <f>Grandview_Inventory[[#This Row],[detatched_value]]*Lookups!$B$19</f>
        <v>0</v>
      </c>
      <c r="BR832" s="6">
        <f>SUM(Grandview_Inventory[[#This Row],[Intercept]:[det_value]])*Grandview_Inventory[[#This Row],[res_pct]]</f>
        <v>258176.511956</v>
      </c>
      <c r="BS832" s="6">
        <f>Grandview_Inventory[[#This Row],[land_value]]</f>
        <v>49167.631333630678</v>
      </c>
      <c r="BT832" s="4">
        <f>_xlfn.IFNA(VLOOKUP(Grandview_Inventory[[#This Row],[quality]],Lookups!$A$26:$C$33,3,FALSE),1)</f>
        <v>0.98079741117310582</v>
      </c>
      <c r="BU832" s="4">
        <f>_xlfn.IFNA(VLOOKUP(Grandview_Inventory[[#This Row],[condition]],Lookups!$A$37:$C$44,3,FALSE),1)</f>
        <v>0.96469275950863709</v>
      </c>
      <c r="BV832" s="4">
        <f>IF(Grandview_Inventory[[#This Row],[bldg_style]]="",1,_xlfn.IFNA(VLOOKUP(Grandview_Inventory[[#This Row],[decade]],Lookups!$F$29:$H$43,3,FALSE),1))</f>
        <v>0.95268620544463312</v>
      </c>
      <c r="BW832" s="4">
        <f>_xlfn.IFNA(VLOOKUP(Grandview_Inventory[[#This Row],[living_area_range]],Lookups!$F$47:$H$56,3,FALSE),1)</f>
        <v>0.96135087979789358</v>
      </c>
      <c r="BX832" s="4">
        <f>AVERAGE(Grandview_Inventory[[#This Row],[qual_adj]:[size_adj]])</f>
        <v>0.96488181398106743</v>
      </c>
      <c r="BY832" s="6">
        <f>IF(Grandview_Inventory[[#This Row],[pre_res]]&lt;0,0,Grandview_Inventory[[#This Row],[pre_res]]*Grandview_Inventory[[#This Row],[overall_adj]])</f>
        <v>249109.82118341004</v>
      </c>
      <c r="BZ832" s="6">
        <f>(Grandview_Inventory[[#This Row],[sum_land]]-IF(Grandview_Inventory[[#This Row],[no_utilities]]=1,12000,0))/IF(Grandview_Inventory[[#This Row],[unbuildable]]=1,2,1)</f>
        <v>49167.631333630678</v>
      </c>
      <c r="CA83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32">
        <f>ROUND(Grandview_Inventory[[#This Row],[det_value]]*Lookups!$M$28,-2)</f>
        <v>0</v>
      </c>
      <c r="CC832">
        <f>IF(ROUND(Grandview_Inventory[[#This Row],[adj_res]]*Lookups!$M$28,-2)&lt;Grandview_Inventory[[#This Row],[min_res]],Grandview_Inventory[[#This Row],[min_res]],ROUND(Grandview_Inventory[[#This Row],[adj_res]]*Lookups!$M$28,-2))</f>
        <v>236700</v>
      </c>
      <c r="CD832">
        <f>Grandview_Inventory[[#This Row],[final_det]]+Grandview_Inventory[[#This Row],[final_res]]</f>
        <v>236700</v>
      </c>
      <c r="CE832">
        <f>Grandview_Inventory[[#This Row],[final_land]]+Grandview_Inventory[[#This Row],[final_imp]]+Grandview_Inventory[[#This Row],[crop_value]]</f>
        <v>283400</v>
      </c>
      <c r="CG832" t="str">
        <f t="shared" si="12"/>
        <v>update valuation set market_land =46700, market_bldg=236700, market_total =283400, market_mdno =401, market_date ='9/10/2023' where link_id = (select link_id from parcel where parcel_year = '2024' and parcel_id = '23092232458');</v>
      </c>
    </row>
    <row r="833" spans="1:85" x14ac:dyDescent="0.25">
      <c r="A833">
        <v>23092232459</v>
      </c>
      <c r="B833">
        <v>0.2</v>
      </c>
      <c r="C833">
        <v>8803</v>
      </c>
      <c r="D833" t="s">
        <v>129</v>
      </c>
      <c r="E833" t="s">
        <v>53</v>
      </c>
      <c r="F833" t="s">
        <v>53</v>
      </c>
      <c r="G833">
        <v>4</v>
      </c>
      <c r="H833" t="s">
        <v>54</v>
      </c>
      <c r="I833">
        <v>153400</v>
      </c>
      <c r="J833">
        <v>39300</v>
      </c>
      <c r="K833">
        <v>0.2</v>
      </c>
      <c r="L83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33">
        <v>0</v>
      </c>
      <c r="N833">
        <v>0</v>
      </c>
      <c r="O833">
        <v>0</v>
      </c>
      <c r="P833">
        <v>13398.7528</v>
      </c>
      <c r="Q833">
        <v>63903</v>
      </c>
      <c r="R833">
        <f>(Grandview_Inventory[[#This Row],[ln_acres]]*Grandview_Inventory[[#This Row],[coeff]])+Grandview_Inventory[[#This Row],[const]]</f>
        <v>42338.539264347448</v>
      </c>
      <c r="S833" t="s">
        <v>61</v>
      </c>
      <c r="T833">
        <v>1</v>
      </c>
      <c r="U833" t="s">
        <v>70</v>
      </c>
      <c r="V833" t="s">
        <v>69</v>
      </c>
      <c r="W833">
        <v>0</v>
      </c>
      <c r="X833">
        <v>0</v>
      </c>
      <c r="Y833">
        <v>45</v>
      </c>
      <c r="Z833">
        <v>51</v>
      </c>
      <c r="AA833">
        <v>60</v>
      </c>
      <c r="AB833">
        <v>1500</v>
      </c>
      <c r="AC833">
        <v>1428</v>
      </c>
      <c r="AD833">
        <v>1428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54</v>
      </c>
      <c r="AN833">
        <v>0</v>
      </c>
      <c r="AO833">
        <v>54</v>
      </c>
      <c r="AP833">
        <v>5</v>
      </c>
      <c r="AQ833">
        <v>0</v>
      </c>
      <c r="AR833">
        <v>0</v>
      </c>
      <c r="AS833" t="s">
        <v>58</v>
      </c>
      <c r="AT833">
        <v>1</v>
      </c>
      <c r="AU833" t="s">
        <v>63</v>
      </c>
      <c r="AV833" t="s">
        <v>60</v>
      </c>
      <c r="AW833">
        <v>0</v>
      </c>
      <c r="AX833">
        <v>4</v>
      </c>
      <c r="AY833">
        <v>0</v>
      </c>
      <c r="AZ833">
        <v>0</v>
      </c>
      <c r="BA833">
        <v>100</v>
      </c>
      <c r="BB833">
        <v>100</v>
      </c>
      <c r="BC833">
        <v>100</v>
      </c>
      <c r="BD833">
        <v>100</v>
      </c>
      <c r="BE833">
        <v>1</v>
      </c>
      <c r="BF833">
        <v>15000</v>
      </c>
      <c r="BG833">
        <v>1000</v>
      </c>
      <c r="BH833" s="6">
        <f>Grandview_Inventory[[#This Row],[land_extract]]*Lookups!$B$3</f>
        <v>49167.631333630678</v>
      </c>
      <c r="BI833" s="6">
        <f>IF(Grandview_Inventory[[#This Row],[bldg_style]]="",0,Lookups!$B$2)</f>
        <v>155833.95000000001</v>
      </c>
      <c r="BJ833" s="6">
        <f>_xlfn.IFNA(VLOOKUP(Grandview_Inventory[[#This Row],[quality]],Lookups!$H$2:$J$14,3,FALSE),0)</f>
        <v>10733</v>
      </c>
      <c r="BK833" s="6">
        <f>_xlfn.IFNA(VLOOKUP(Grandview_Inventory[[#This Row],[condition]],Lookups!$H$17:$J$24,3,FALSE),0)</f>
        <v>-4503</v>
      </c>
      <c r="BL833" s="6">
        <f>Grandview_Inventory[[#This Row],[Eff_Age]]*Lookups!$B$14</f>
        <v>-10762.496999999999</v>
      </c>
      <c r="BM833" s="6">
        <f>Grandview_Inventory[[#This Row],[living_area]]*Lookups!$B$15</f>
        <v>89079.858084000007</v>
      </c>
      <c r="BN833" s="6">
        <f>Grandview_Inventory[[#This Row],[Fin BSMT]]*Lookups!$B$16</f>
        <v>0</v>
      </c>
      <c r="BO833" s="6">
        <f>(Grandview_Inventory[[#This Row],[att_gar]]+Grandview_Inventory[[#This Row],[bltin_gar]])*Lookups!$B$17</f>
        <v>0</v>
      </c>
      <c r="BP833" s="6">
        <f>Grandview_Inventory[[#This Row],[Plumbing Fixtures]]*Lookups!$B$18</f>
        <v>10052.209000000001</v>
      </c>
      <c r="BQ833" s="6">
        <f>Grandview_Inventory[[#This Row],[detatched_value]]*Lookups!$B$19</f>
        <v>0</v>
      </c>
      <c r="BR833" s="6">
        <f>SUM(Grandview_Inventory[[#This Row],[Intercept]:[det_value]])*Grandview_Inventory[[#This Row],[res_pct]]</f>
        <v>250433.52008400002</v>
      </c>
      <c r="BS833" s="6">
        <f>Grandview_Inventory[[#This Row],[land_value]]</f>
        <v>49167.631333630678</v>
      </c>
      <c r="BT833" s="4">
        <f>_xlfn.IFNA(VLOOKUP(Grandview_Inventory[[#This Row],[quality]],Lookups!$A$26:$C$33,3,FALSE),1)</f>
        <v>0.98079741117310582</v>
      </c>
      <c r="BU833" s="4">
        <f>_xlfn.IFNA(VLOOKUP(Grandview_Inventory[[#This Row],[condition]],Lookups!$A$37:$C$44,3,FALSE),1)</f>
        <v>0.96469275950863709</v>
      </c>
      <c r="BV833" s="4">
        <f>IF(Grandview_Inventory[[#This Row],[bldg_style]]="",1,_xlfn.IFNA(VLOOKUP(Grandview_Inventory[[#This Row],[decade]],Lookups!$F$29:$H$43,3,FALSE),1))</f>
        <v>0.95268620544463312</v>
      </c>
      <c r="BW833" s="4">
        <f>_xlfn.IFNA(VLOOKUP(Grandview_Inventory[[#This Row],[living_area_range]],Lookups!$F$47:$H$56,3,FALSE),1)</f>
        <v>0.96135087979789358</v>
      </c>
      <c r="BX833" s="4">
        <f>AVERAGE(Grandview_Inventory[[#This Row],[qual_adj]:[size_adj]])</f>
        <v>0.96488181398106743</v>
      </c>
      <c r="BY833" s="6">
        <f>IF(Grandview_Inventory[[#This Row],[pre_res]]&lt;0,0,Grandview_Inventory[[#This Row],[pre_res]]*Grandview_Inventory[[#This Row],[overall_adj]])</f>
        <v>241638.74914031403</v>
      </c>
      <c r="BZ833" s="6">
        <f>(Grandview_Inventory[[#This Row],[sum_land]]-IF(Grandview_Inventory[[#This Row],[no_utilities]]=1,12000,0))/IF(Grandview_Inventory[[#This Row],[unbuildable]]=1,2,1)</f>
        <v>49167.631333630678</v>
      </c>
      <c r="CA83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33">
        <f>ROUND(Grandview_Inventory[[#This Row],[det_value]]*Lookups!$M$28,-2)</f>
        <v>0</v>
      </c>
      <c r="CC833">
        <f>IF(ROUND(Grandview_Inventory[[#This Row],[adj_res]]*Lookups!$M$28,-2)&lt;Grandview_Inventory[[#This Row],[min_res]],Grandview_Inventory[[#This Row],[min_res]],ROUND(Grandview_Inventory[[#This Row],[adj_res]]*Lookups!$M$28,-2))</f>
        <v>229600</v>
      </c>
      <c r="CD833">
        <f>Grandview_Inventory[[#This Row],[final_det]]+Grandview_Inventory[[#This Row],[final_res]]</f>
        <v>229600</v>
      </c>
      <c r="CE833">
        <f>Grandview_Inventory[[#This Row],[final_land]]+Grandview_Inventory[[#This Row],[final_imp]]+Grandview_Inventory[[#This Row],[crop_value]]</f>
        <v>276300</v>
      </c>
      <c r="CG833" t="str">
        <f t="shared" si="12"/>
        <v>update valuation set market_land =46700, market_bldg=229600, market_total =276300, market_mdno =401, market_date ='9/10/2023' where link_id = (select link_id from parcel where parcel_year = '2024' and parcel_id = '23092232459');</v>
      </c>
    </row>
    <row r="834" spans="1:85" x14ac:dyDescent="0.25">
      <c r="A834">
        <v>23092232460</v>
      </c>
      <c r="B834">
        <v>0.22</v>
      </c>
      <c r="C834">
        <v>9371</v>
      </c>
      <c r="D834" t="s">
        <v>129</v>
      </c>
      <c r="E834" t="s">
        <v>53</v>
      </c>
      <c r="F834" t="s">
        <v>53</v>
      </c>
      <c r="G834">
        <v>4</v>
      </c>
      <c r="H834" t="s">
        <v>54</v>
      </c>
      <c r="I834">
        <v>149200</v>
      </c>
      <c r="J834">
        <v>39500</v>
      </c>
      <c r="K834">
        <v>0.22</v>
      </c>
      <c r="L83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834">
        <v>0</v>
      </c>
      <c r="N834">
        <v>0</v>
      </c>
      <c r="O834">
        <v>0</v>
      </c>
      <c r="P834">
        <v>13398.7528</v>
      </c>
      <c r="Q834">
        <v>63903</v>
      </c>
      <c r="R834">
        <f>(Grandview_Inventory[[#This Row],[ln_acres]]*Grandview_Inventory[[#This Row],[coeff]])+Grandview_Inventory[[#This Row],[const]]</f>
        <v>43615.576802869145</v>
      </c>
      <c r="S834" t="s">
        <v>61</v>
      </c>
      <c r="T834">
        <v>1</v>
      </c>
      <c r="U834" t="s">
        <v>70</v>
      </c>
      <c r="V834" t="s">
        <v>69</v>
      </c>
      <c r="W834">
        <v>0</v>
      </c>
      <c r="X834">
        <v>0</v>
      </c>
      <c r="Y834">
        <v>45</v>
      </c>
      <c r="Z834">
        <v>51</v>
      </c>
      <c r="AA834">
        <v>60</v>
      </c>
      <c r="AB834">
        <v>1500</v>
      </c>
      <c r="AC834">
        <v>1152</v>
      </c>
      <c r="AD834">
        <v>1152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48</v>
      </c>
      <c r="AO834">
        <v>0</v>
      </c>
      <c r="AP834">
        <v>5</v>
      </c>
      <c r="AQ834">
        <v>0</v>
      </c>
      <c r="AR834">
        <v>0</v>
      </c>
      <c r="AS834" t="s">
        <v>58</v>
      </c>
      <c r="AT834">
        <v>1</v>
      </c>
      <c r="AU834" t="s">
        <v>59</v>
      </c>
      <c r="AV834" t="s">
        <v>60</v>
      </c>
      <c r="AW834">
        <v>1</v>
      </c>
      <c r="AX834">
        <v>3</v>
      </c>
      <c r="AY834">
        <v>0</v>
      </c>
      <c r="AZ834">
        <v>0</v>
      </c>
      <c r="BA834">
        <v>100</v>
      </c>
      <c r="BB834">
        <v>100</v>
      </c>
      <c r="BC834">
        <v>100</v>
      </c>
      <c r="BD834">
        <v>100</v>
      </c>
      <c r="BE834">
        <v>1</v>
      </c>
      <c r="BF834">
        <v>15000</v>
      </c>
      <c r="BG834">
        <v>1000</v>
      </c>
      <c r="BH834" s="6">
        <f>Grandview_Inventory[[#This Row],[land_extract]]*Lookups!$B$3</f>
        <v>50650.651579114572</v>
      </c>
      <c r="BI834" s="6">
        <f>IF(Grandview_Inventory[[#This Row],[bldg_style]]="",0,Lookups!$B$2)</f>
        <v>155833.95000000001</v>
      </c>
      <c r="BJ834" s="6">
        <f>_xlfn.IFNA(VLOOKUP(Grandview_Inventory[[#This Row],[quality]],Lookups!$H$2:$J$14,3,FALSE),0)</f>
        <v>10733</v>
      </c>
      <c r="BK834" s="6">
        <f>_xlfn.IFNA(VLOOKUP(Grandview_Inventory[[#This Row],[condition]],Lookups!$H$17:$J$24,3,FALSE),0)</f>
        <v>-4503</v>
      </c>
      <c r="BL834" s="6">
        <f>Grandview_Inventory[[#This Row],[Eff_Age]]*Lookups!$B$14</f>
        <v>-10762.496999999999</v>
      </c>
      <c r="BM834" s="6">
        <f>Grandview_Inventory[[#This Row],[living_area]]*Lookups!$B$15</f>
        <v>71862.742656000002</v>
      </c>
      <c r="BN834" s="6">
        <f>Grandview_Inventory[[#This Row],[Fin BSMT]]*Lookups!$B$16</f>
        <v>0</v>
      </c>
      <c r="BO834" s="6">
        <f>(Grandview_Inventory[[#This Row],[att_gar]]+Grandview_Inventory[[#This Row],[bltin_gar]])*Lookups!$B$17</f>
        <v>0</v>
      </c>
      <c r="BP834" s="6">
        <f>Grandview_Inventory[[#This Row],[Plumbing Fixtures]]*Lookups!$B$18</f>
        <v>10052.209000000001</v>
      </c>
      <c r="BQ834" s="6">
        <f>Grandview_Inventory[[#This Row],[detatched_value]]*Lookups!$B$19</f>
        <v>0</v>
      </c>
      <c r="BR834" s="6">
        <f>SUM(Grandview_Inventory[[#This Row],[Intercept]:[det_value]])*Grandview_Inventory[[#This Row],[res_pct]]</f>
        <v>233216.404656</v>
      </c>
      <c r="BS834" s="6">
        <f>Grandview_Inventory[[#This Row],[land_value]]</f>
        <v>50650.651579114572</v>
      </c>
      <c r="BT834" s="4">
        <f>_xlfn.IFNA(VLOOKUP(Grandview_Inventory[[#This Row],[quality]],Lookups!$A$26:$C$33,3,FALSE),1)</f>
        <v>0.98079741117310582</v>
      </c>
      <c r="BU834" s="4">
        <f>_xlfn.IFNA(VLOOKUP(Grandview_Inventory[[#This Row],[condition]],Lookups!$A$37:$C$44,3,FALSE),1)</f>
        <v>0.96469275950863709</v>
      </c>
      <c r="BV834" s="4">
        <f>IF(Grandview_Inventory[[#This Row],[bldg_style]]="",1,_xlfn.IFNA(VLOOKUP(Grandview_Inventory[[#This Row],[decade]],Lookups!$F$29:$H$43,3,FALSE),1))</f>
        <v>0.95268620544463312</v>
      </c>
      <c r="BW834" s="4">
        <f>_xlfn.IFNA(VLOOKUP(Grandview_Inventory[[#This Row],[living_area_range]],Lookups!$F$47:$H$56,3,FALSE),1)</f>
        <v>0.96135087979789358</v>
      </c>
      <c r="BX834" s="4">
        <f>AVERAGE(Grandview_Inventory[[#This Row],[qual_adj]:[size_adj]])</f>
        <v>0.96488181398106743</v>
      </c>
      <c r="BY834" s="6">
        <f>IF(Grandview_Inventory[[#This Row],[pre_res]]&lt;0,0,Grandview_Inventory[[#This Row],[pre_res]]*Grandview_Inventory[[#This Row],[overall_adj]])</f>
        <v>225026.26757462393</v>
      </c>
      <c r="BZ834" s="6">
        <f>(Grandview_Inventory[[#This Row],[sum_land]]-IF(Grandview_Inventory[[#This Row],[no_utilities]]=1,12000,0))/IF(Grandview_Inventory[[#This Row],[unbuildable]]=1,2,1)</f>
        <v>50650.651579114572</v>
      </c>
      <c r="CA83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834">
        <f>ROUND(Grandview_Inventory[[#This Row],[det_value]]*Lookups!$M$28,-2)</f>
        <v>0</v>
      </c>
      <c r="CC834">
        <f>IF(ROUND(Grandview_Inventory[[#This Row],[adj_res]]*Lookups!$M$28,-2)&lt;Grandview_Inventory[[#This Row],[min_res]],Grandview_Inventory[[#This Row],[min_res]],ROUND(Grandview_Inventory[[#This Row],[adj_res]]*Lookups!$M$28,-2))</f>
        <v>213800</v>
      </c>
      <c r="CD834">
        <f>Grandview_Inventory[[#This Row],[final_det]]+Grandview_Inventory[[#This Row],[final_res]]</f>
        <v>213800</v>
      </c>
      <c r="CE834">
        <f>Grandview_Inventory[[#This Row],[final_land]]+Grandview_Inventory[[#This Row],[final_imp]]+Grandview_Inventory[[#This Row],[crop_value]]</f>
        <v>261900</v>
      </c>
      <c r="CG834" t="str">
        <f t="shared" si="12"/>
        <v>update valuation set market_land =48100, market_bldg=213800, market_total =261900, market_mdno =401, market_date ='9/10/2023' where link_id = (select link_id from parcel where parcel_year = '2024' and parcel_id = '23092232460');</v>
      </c>
    </row>
    <row r="835" spans="1:85" x14ac:dyDescent="0.25">
      <c r="A835">
        <v>23092232461</v>
      </c>
      <c r="B835">
        <v>0.25</v>
      </c>
      <c r="C835">
        <v>10685</v>
      </c>
      <c r="D835" t="s">
        <v>129</v>
      </c>
      <c r="E835" t="s">
        <v>53</v>
      </c>
      <c r="F835" t="s">
        <v>53</v>
      </c>
      <c r="G835">
        <v>4</v>
      </c>
      <c r="H835" t="s">
        <v>54</v>
      </c>
      <c r="I835">
        <v>143300</v>
      </c>
      <c r="J835">
        <v>40000</v>
      </c>
      <c r="K835">
        <v>0.25</v>
      </c>
      <c r="L83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835">
        <v>0</v>
      </c>
      <c r="N835">
        <v>0</v>
      </c>
      <c r="O835">
        <v>0</v>
      </c>
      <c r="P835">
        <v>13398.7528</v>
      </c>
      <c r="Q835">
        <v>63903</v>
      </c>
      <c r="R835">
        <f>(Grandview_Inventory[[#This Row],[ln_acres]]*Grandview_Inventory[[#This Row],[coeff]])+Grandview_Inventory[[#This Row],[const]]</f>
        <v>45328.38454732066</v>
      </c>
      <c r="S835" t="s">
        <v>61</v>
      </c>
      <c r="T835">
        <v>1</v>
      </c>
      <c r="U835" t="s">
        <v>70</v>
      </c>
      <c r="V835" t="s">
        <v>69</v>
      </c>
      <c r="W835">
        <v>0</v>
      </c>
      <c r="X835">
        <v>0</v>
      </c>
      <c r="Y835">
        <v>45</v>
      </c>
      <c r="Z835">
        <v>50</v>
      </c>
      <c r="AA835">
        <v>50</v>
      </c>
      <c r="AB835">
        <v>1000</v>
      </c>
      <c r="AC835">
        <v>936</v>
      </c>
      <c r="AD835">
        <v>936</v>
      </c>
      <c r="AE835">
        <v>0</v>
      </c>
      <c r="AF835">
        <v>0</v>
      </c>
      <c r="AG835">
        <v>0</v>
      </c>
      <c r="AH835">
        <v>0</v>
      </c>
      <c r="AI835">
        <v>264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5</v>
      </c>
      <c r="AQ835">
        <v>0</v>
      </c>
      <c r="AR835">
        <v>0</v>
      </c>
      <c r="AS835" t="s">
        <v>58</v>
      </c>
      <c r="AT835">
        <v>1</v>
      </c>
      <c r="AU835" t="s">
        <v>63</v>
      </c>
      <c r="AV835" t="s">
        <v>60</v>
      </c>
      <c r="AW835">
        <v>0</v>
      </c>
      <c r="AX835">
        <v>3</v>
      </c>
      <c r="AY835">
        <v>0</v>
      </c>
      <c r="AZ835">
        <v>0</v>
      </c>
      <c r="BA835">
        <v>100</v>
      </c>
      <c r="BB835">
        <v>100</v>
      </c>
      <c r="BC835">
        <v>100</v>
      </c>
      <c r="BD835">
        <v>100</v>
      </c>
      <c r="BE835">
        <v>1</v>
      </c>
      <c r="BF835">
        <v>15000</v>
      </c>
      <c r="BG835">
        <v>1000</v>
      </c>
      <c r="BH835" s="6">
        <f>Grandview_Inventory[[#This Row],[land_extract]]*Lookups!$B$3</f>
        <v>52639.730588165206</v>
      </c>
      <c r="BI835" s="6">
        <f>IF(Grandview_Inventory[[#This Row],[bldg_style]]="",0,Lookups!$B$2)</f>
        <v>155833.95000000001</v>
      </c>
      <c r="BJ835" s="6">
        <f>_xlfn.IFNA(VLOOKUP(Grandview_Inventory[[#This Row],[quality]],Lookups!$H$2:$J$14,3,FALSE),0)</f>
        <v>10733</v>
      </c>
      <c r="BK835" s="6">
        <f>_xlfn.IFNA(VLOOKUP(Grandview_Inventory[[#This Row],[condition]],Lookups!$H$17:$J$24,3,FALSE),0)</f>
        <v>-4503</v>
      </c>
      <c r="BL835" s="6">
        <f>Grandview_Inventory[[#This Row],[Eff_Age]]*Lookups!$B$14</f>
        <v>-10762.496999999999</v>
      </c>
      <c r="BM835" s="6">
        <f>Grandview_Inventory[[#This Row],[living_area]]*Lookups!$B$15</f>
        <v>58388.478408000003</v>
      </c>
      <c r="BN835" s="6">
        <f>Grandview_Inventory[[#This Row],[Fin BSMT]]*Lookups!$B$16</f>
        <v>0</v>
      </c>
      <c r="BO835" s="6">
        <f>(Grandview_Inventory[[#This Row],[att_gar]]+Grandview_Inventory[[#This Row],[bltin_gar]])*Lookups!$B$17</f>
        <v>23105.395368000001</v>
      </c>
      <c r="BP835" s="6">
        <f>Grandview_Inventory[[#This Row],[Plumbing Fixtures]]*Lookups!$B$18</f>
        <v>10052.209000000001</v>
      </c>
      <c r="BQ835" s="6">
        <f>Grandview_Inventory[[#This Row],[detatched_value]]*Lookups!$B$19</f>
        <v>0</v>
      </c>
      <c r="BR835" s="6">
        <f>SUM(Grandview_Inventory[[#This Row],[Intercept]:[det_value]])*Grandview_Inventory[[#This Row],[res_pct]]</f>
        <v>242847.535776</v>
      </c>
      <c r="BS835" s="6">
        <f>Grandview_Inventory[[#This Row],[land_value]]</f>
        <v>52639.730588165206</v>
      </c>
      <c r="BT835" s="4">
        <f>_xlfn.IFNA(VLOOKUP(Grandview_Inventory[[#This Row],[quality]],Lookups!$A$26:$C$33,3,FALSE),1)</f>
        <v>0.98079741117310582</v>
      </c>
      <c r="BU835" s="4">
        <f>_xlfn.IFNA(VLOOKUP(Grandview_Inventory[[#This Row],[condition]],Lookups!$A$37:$C$44,3,FALSE),1)</f>
        <v>0.96469275950863709</v>
      </c>
      <c r="BV835" s="4">
        <f>IF(Grandview_Inventory[[#This Row],[bldg_style]]="",1,_xlfn.IFNA(VLOOKUP(Grandview_Inventory[[#This Row],[decade]],Lookups!$F$29:$H$43,3,FALSE),1))</f>
        <v>0.9871940091910919</v>
      </c>
      <c r="BW835" s="4">
        <f>_xlfn.IFNA(VLOOKUP(Grandview_Inventory[[#This Row],[living_area_range]],Lookups!$F$47:$H$56,3,FALSE),1)</f>
        <v>0.94306777142782894</v>
      </c>
      <c r="BX835" s="4">
        <f>AVERAGE(Grandview_Inventory[[#This Row],[qual_adj]:[size_adj]])</f>
        <v>0.96893798782516594</v>
      </c>
      <c r="BY835" s="6">
        <f>IF(Grandview_Inventory[[#This Row],[pre_res]]&lt;0,0,Grandview_Inventory[[#This Row],[pre_res]]*Grandview_Inventory[[#This Row],[overall_adj]])</f>
        <v>235304.20266309744</v>
      </c>
      <c r="BZ835" s="6">
        <f>(Grandview_Inventory[[#This Row],[sum_land]]-IF(Grandview_Inventory[[#This Row],[no_utilities]]=1,12000,0))/IF(Grandview_Inventory[[#This Row],[unbuildable]]=1,2,1)</f>
        <v>52639.730588165206</v>
      </c>
      <c r="CA83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835">
        <f>ROUND(Grandview_Inventory[[#This Row],[det_value]]*Lookups!$M$28,-2)</f>
        <v>0</v>
      </c>
      <c r="CC835">
        <f>IF(ROUND(Grandview_Inventory[[#This Row],[adj_res]]*Lookups!$M$28,-2)&lt;Grandview_Inventory[[#This Row],[min_res]],Grandview_Inventory[[#This Row],[min_res]],ROUND(Grandview_Inventory[[#This Row],[adj_res]]*Lookups!$M$28,-2))</f>
        <v>223500</v>
      </c>
      <c r="CD835">
        <f>Grandview_Inventory[[#This Row],[final_det]]+Grandview_Inventory[[#This Row],[final_res]]</f>
        <v>223500</v>
      </c>
      <c r="CE835">
        <f>Grandview_Inventory[[#This Row],[final_land]]+Grandview_Inventory[[#This Row],[final_imp]]+Grandview_Inventory[[#This Row],[crop_value]]</f>
        <v>273500</v>
      </c>
      <c r="CG835" t="str">
        <f t="shared" ref="CG835:CG898" si="13">"update valuation set market_land ="&amp;CA835&amp;", market_bldg="&amp;CD835&amp;", market_total ="&amp;CE835&amp;", market_mdno ="&amp;$CG$1&amp;", market_date ='"&amp;TEXT($CH$1,"m/d/yyyy")&amp;"' where link_id = (select link_id from parcel where parcel_year = '2024' and parcel_id = '"&amp;A835&amp;"');"</f>
        <v>update valuation set market_land =50000, market_bldg=223500, market_total =273500, market_mdno =401, market_date ='9/10/2023' where link_id = (select link_id from parcel where parcel_year = '2024' and parcel_id = '23092232461');</v>
      </c>
    </row>
    <row r="836" spans="1:85" x14ac:dyDescent="0.25">
      <c r="A836">
        <v>23092232462</v>
      </c>
      <c r="B836">
        <v>0.18</v>
      </c>
      <c r="C836">
        <v>7782</v>
      </c>
      <c r="D836" t="s">
        <v>129</v>
      </c>
      <c r="E836" t="s">
        <v>53</v>
      </c>
      <c r="F836" t="s">
        <v>53</v>
      </c>
      <c r="G836">
        <v>4</v>
      </c>
      <c r="H836" t="s">
        <v>54</v>
      </c>
      <c r="I836">
        <v>139500</v>
      </c>
      <c r="J836">
        <v>38800</v>
      </c>
      <c r="K836">
        <v>0.18</v>
      </c>
      <c r="L83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36">
        <v>0</v>
      </c>
      <c r="N836">
        <v>0</v>
      </c>
      <c r="O836">
        <v>0</v>
      </c>
      <c r="P836">
        <v>13398.7528</v>
      </c>
      <c r="Q836">
        <v>63903</v>
      </c>
      <c r="R836">
        <f>(Grandview_Inventory[[#This Row],[ln_acres]]*Grandview_Inventory[[#This Row],[coeff]])+Grandview_Inventory[[#This Row],[const]]</f>
        <v>40926.839760167699</v>
      </c>
      <c r="S836" t="s">
        <v>61</v>
      </c>
      <c r="T836">
        <v>1</v>
      </c>
      <c r="U836" t="s">
        <v>70</v>
      </c>
      <c r="V836" t="s">
        <v>69</v>
      </c>
      <c r="W836">
        <v>0</v>
      </c>
      <c r="X836">
        <v>0</v>
      </c>
      <c r="Y836">
        <v>45</v>
      </c>
      <c r="Z836">
        <v>50</v>
      </c>
      <c r="AA836">
        <v>50</v>
      </c>
      <c r="AB836">
        <v>1500</v>
      </c>
      <c r="AC836">
        <v>1200</v>
      </c>
      <c r="AD836">
        <v>1200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5</v>
      </c>
      <c r="AQ836">
        <v>0</v>
      </c>
      <c r="AR836">
        <v>0</v>
      </c>
      <c r="AS836" t="s">
        <v>58</v>
      </c>
      <c r="AT836">
        <v>1</v>
      </c>
      <c r="AU836" t="s">
        <v>75</v>
      </c>
      <c r="AV836" t="s">
        <v>60</v>
      </c>
      <c r="AW836">
        <v>0</v>
      </c>
      <c r="AX836">
        <v>3</v>
      </c>
      <c r="AY836">
        <v>0</v>
      </c>
      <c r="AZ836">
        <v>0</v>
      </c>
      <c r="BA836">
        <v>100</v>
      </c>
      <c r="BB836">
        <v>100</v>
      </c>
      <c r="BC836">
        <v>100</v>
      </c>
      <c r="BD836">
        <v>100</v>
      </c>
      <c r="BE836">
        <v>1</v>
      </c>
      <c r="BF836">
        <v>15000</v>
      </c>
      <c r="BG836">
        <v>1000</v>
      </c>
      <c r="BH836" s="6">
        <f>Grandview_Inventory[[#This Row],[land_extract]]*Lookups!$B$3</f>
        <v>47528.228511015397</v>
      </c>
      <c r="BI836" s="6">
        <f>IF(Grandview_Inventory[[#This Row],[bldg_style]]="",0,Lookups!$B$2)</f>
        <v>155833.95000000001</v>
      </c>
      <c r="BJ836" s="6">
        <f>_xlfn.IFNA(VLOOKUP(Grandview_Inventory[[#This Row],[quality]],Lookups!$H$2:$J$14,3,FALSE),0)</f>
        <v>10733</v>
      </c>
      <c r="BK836" s="6">
        <f>_xlfn.IFNA(VLOOKUP(Grandview_Inventory[[#This Row],[condition]],Lookups!$H$17:$J$24,3,FALSE),0)</f>
        <v>-4503</v>
      </c>
      <c r="BL836" s="6">
        <f>Grandview_Inventory[[#This Row],[Eff_Age]]*Lookups!$B$14</f>
        <v>-10762.496999999999</v>
      </c>
      <c r="BM836" s="6">
        <f>Grandview_Inventory[[#This Row],[living_area]]*Lookups!$B$15</f>
        <v>74857.0236</v>
      </c>
      <c r="BN836" s="6">
        <f>Grandview_Inventory[[#This Row],[Fin BSMT]]*Lookups!$B$16</f>
        <v>0</v>
      </c>
      <c r="BO836" s="6">
        <f>(Grandview_Inventory[[#This Row],[att_gar]]+Grandview_Inventory[[#This Row],[bltin_gar]])*Lookups!$B$17</f>
        <v>0</v>
      </c>
      <c r="BP836" s="6">
        <f>Grandview_Inventory[[#This Row],[Plumbing Fixtures]]*Lookups!$B$18</f>
        <v>10052.209000000001</v>
      </c>
      <c r="BQ836" s="6">
        <f>Grandview_Inventory[[#This Row],[detatched_value]]*Lookups!$B$19</f>
        <v>0</v>
      </c>
      <c r="BR836" s="6">
        <f>SUM(Grandview_Inventory[[#This Row],[Intercept]:[det_value]])*Grandview_Inventory[[#This Row],[res_pct]]</f>
        <v>236210.6856</v>
      </c>
      <c r="BS836" s="6">
        <f>Grandview_Inventory[[#This Row],[land_value]]</f>
        <v>47528.228511015397</v>
      </c>
      <c r="BT836" s="4">
        <f>_xlfn.IFNA(VLOOKUP(Grandview_Inventory[[#This Row],[quality]],Lookups!$A$26:$C$33,3,FALSE),1)</f>
        <v>0.98079741117310582</v>
      </c>
      <c r="BU836" s="4">
        <f>_xlfn.IFNA(VLOOKUP(Grandview_Inventory[[#This Row],[condition]],Lookups!$A$37:$C$44,3,FALSE),1)</f>
        <v>0.96469275950863709</v>
      </c>
      <c r="BV836" s="4">
        <f>IF(Grandview_Inventory[[#This Row],[bldg_style]]="",1,_xlfn.IFNA(VLOOKUP(Grandview_Inventory[[#This Row],[decade]],Lookups!$F$29:$H$43,3,FALSE),1))</f>
        <v>0.9871940091910919</v>
      </c>
      <c r="BW836" s="4">
        <f>_xlfn.IFNA(VLOOKUP(Grandview_Inventory[[#This Row],[living_area_range]],Lookups!$F$47:$H$56,3,FALSE),1)</f>
        <v>0.96135087979789358</v>
      </c>
      <c r="BX836" s="4">
        <f>AVERAGE(Grandview_Inventory[[#This Row],[qual_adj]:[size_adj]])</f>
        <v>0.97350876491768212</v>
      </c>
      <c r="BY836" s="6">
        <f>IF(Grandview_Inventory[[#This Row],[pre_res]]&lt;0,0,Grandview_Inventory[[#This Row],[pre_res]]*Grandview_Inventory[[#This Row],[overall_adj]])</f>
        <v>229953.17279881492</v>
      </c>
      <c r="BZ836" s="6">
        <f>(Grandview_Inventory[[#This Row],[sum_land]]-IF(Grandview_Inventory[[#This Row],[no_utilities]]=1,12000,0))/IF(Grandview_Inventory[[#This Row],[unbuildable]]=1,2,1)</f>
        <v>47528.228511015397</v>
      </c>
      <c r="CA83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36">
        <f>ROUND(Grandview_Inventory[[#This Row],[det_value]]*Lookups!$M$28,-2)</f>
        <v>0</v>
      </c>
      <c r="CC836">
        <f>IF(ROUND(Grandview_Inventory[[#This Row],[adj_res]]*Lookups!$M$28,-2)&lt;Grandview_Inventory[[#This Row],[min_res]],Grandview_Inventory[[#This Row],[min_res]],ROUND(Grandview_Inventory[[#This Row],[adj_res]]*Lookups!$M$28,-2))</f>
        <v>218500</v>
      </c>
      <c r="CD836">
        <f>Grandview_Inventory[[#This Row],[final_det]]+Grandview_Inventory[[#This Row],[final_res]]</f>
        <v>218500</v>
      </c>
      <c r="CE836">
        <f>Grandview_Inventory[[#This Row],[final_land]]+Grandview_Inventory[[#This Row],[final_imp]]+Grandview_Inventory[[#This Row],[crop_value]]</f>
        <v>263700</v>
      </c>
      <c r="CG836" t="str">
        <f t="shared" si="13"/>
        <v>update valuation set market_land =45200, market_bldg=218500, market_total =263700, market_mdno =401, market_date ='9/10/2023' where link_id = (select link_id from parcel where parcel_year = '2024' and parcel_id = '23092232462');</v>
      </c>
    </row>
    <row r="837" spans="1:85" x14ac:dyDescent="0.25">
      <c r="A837">
        <v>23092232463</v>
      </c>
      <c r="B837">
        <v>0.19</v>
      </c>
      <c r="C837">
        <v>8258</v>
      </c>
      <c r="D837" t="s">
        <v>129</v>
      </c>
      <c r="E837" t="s">
        <v>53</v>
      </c>
      <c r="F837" t="s">
        <v>53</v>
      </c>
      <c r="G837">
        <v>4</v>
      </c>
      <c r="H837" t="s">
        <v>54</v>
      </c>
      <c r="I837">
        <v>142300</v>
      </c>
      <c r="J837">
        <v>39100</v>
      </c>
      <c r="K837">
        <v>0.19</v>
      </c>
      <c r="L83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837">
        <v>0</v>
      </c>
      <c r="N837">
        <v>0</v>
      </c>
      <c r="O837">
        <v>0</v>
      </c>
      <c r="P837">
        <v>13398.7528</v>
      </c>
      <c r="Q837">
        <v>63903</v>
      </c>
      <c r="R837">
        <f>(Grandview_Inventory[[#This Row],[ln_acres]]*Grandview_Inventory[[#This Row],[coeff]])+Grandview_Inventory[[#This Row],[const]]</f>
        <v>41651.273092551026</v>
      </c>
      <c r="S837" t="s">
        <v>61</v>
      </c>
      <c r="T837">
        <v>1</v>
      </c>
      <c r="U837" t="s">
        <v>65</v>
      </c>
      <c r="V837" t="s">
        <v>69</v>
      </c>
      <c r="W837">
        <v>0</v>
      </c>
      <c r="X837">
        <v>0</v>
      </c>
      <c r="Y837">
        <v>45</v>
      </c>
      <c r="Z837">
        <v>50</v>
      </c>
      <c r="AA837">
        <v>50</v>
      </c>
      <c r="AB837">
        <v>1500</v>
      </c>
      <c r="AC837">
        <v>1400</v>
      </c>
      <c r="AD837">
        <v>1400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124</v>
      </c>
      <c r="AN837">
        <v>0</v>
      </c>
      <c r="AO837">
        <v>0</v>
      </c>
      <c r="AP837">
        <v>7</v>
      </c>
      <c r="AQ837">
        <v>0</v>
      </c>
      <c r="AR837">
        <v>0</v>
      </c>
      <c r="AS837" t="s">
        <v>58</v>
      </c>
      <c r="AT837">
        <v>1</v>
      </c>
      <c r="AU837" t="s">
        <v>63</v>
      </c>
      <c r="AV837" t="s">
        <v>60</v>
      </c>
      <c r="AW837">
        <v>0</v>
      </c>
      <c r="AX837">
        <v>3</v>
      </c>
      <c r="AY837">
        <v>0</v>
      </c>
      <c r="AZ837">
        <v>0</v>
      </c>
      <c r="BA837">
        <v>100</v>
      </c>
      <c r="BB837">
        <v>100</v>
      </c>
      <c r="BC837">
        <v>100</v>
      </c>
      <c r="BD837">
        <v>100</v>
      </c>
      <c r="BE837">
        <v>1</v>
      </c>
      <c r="BF837">
        <v>15000</v>
      </c>
      <c r="BG837">
        <v>1000</v>
      </c>
      <c r="BH837" s="6">
        <f>Grandview_Inventory[[#This Row],[land_extract]]*Lookups!$B$3</f>
        <v>48369.510983942157</v>
      </c>
      <c r="BI837" s="6">
        <f>IF(Grandview_Inventory[[#This Row],[bldg_style]]="",0,Lookups!$B$2)</f>
        <v>155833.95000000001</v>
      </c>
      <c r="BJ837" s="6">
        <f>_xlfn.IFNA(VLOOKUP(Grandview_Inventory[[#This Row],[quality]],Lookups!$H$2:$J$14,3,FALSE),0)</f>
        <v>2251</v>
      </c>
      <c r="BK837" s="6">
        <f>_xlfn.IFNA(VLOOKUP(Grandview_Inventory[[#This Row],[condition]],Lookups!$H$17:$J$24,3,FALSE),0)</f>
        <v>-4503</v>
      </c>
      <c r="BL837" s="6">
        <f>Grandview_Inventory[[#This Row],[Eff_Age]]*Lookups!$B$14</f>
        <v>-10762.496999999999</v>
      </c>
      <c r="BM837" s="6">
        <f>Grandview_Inventory[[#This Row],[living_area]]*Lookups!$B$15</f>
        <v>87333.194199999998</v>
      </c>
      <c r="BN837" s="6">
        <f>Grandview_Inventory[[#This Row],[Fin BSMT]]*Lookups!$B$16</f>
        <v>0</v>
      </c>
      <c r="BO837" s="6">
        <f>(Grandview_Inventory[[#This Row],[att_gar]]+Grandview_Inventory[[#This Row],[bltin_gar]])*Lookups!$B$17</f>
        <v>0</v>
      </c>
      <c r="BP837" s="6">
        <f>Grandview_Inventory[[#This Row],[Plumbing Fixtures]]*Lookups!$B$18</f>
        <v>14073.0926</v>
      </c>
      <c r="BQ837" s="6">
        <f>Grandview_Inventory[[#This Row],[detatched_value]]*Lookups!$B$19</f>
        <v>0</v>
      </c>
      <c r="BR837" s="6">
        <f>SUM(Grandview_Inventory[[#This Row],[Intercept]:[det_value]])*Grandview_Inventory[[#This Row],[res_pct]]</f>
        <v>244225.73980000001</v>
      </c>
      <c r="BS837" s="6">
        <f>Grandview_Inventory[[#This Row],[land_value]]</f>
        <v>48369.510983942157</v>
      </c>
      <c r="BT837" s="4">
        <f>_xlfn.IFNA(VLOOKUP(Grandview_Inventory[[#This Row],[quality]],Lookups!$A$26:$C$33,3,FALSE),1)</f>
        <v>0.98763855981004833</v>
      </c>
      <c r="BU837" s="4">
        <f>_xlfn.IFNA(VLOOKUP(Grandview_Inventory[[#This Row],[condition]],Lookups!$A$37:$C$44,3,FALSE),1)</f>
        <v>0.96469275950863709</v>
      </c>
      <c r="BV837" s="4">
        <f>IF(Grandview_Inventory[[#This Row],[bldg_style]]="",1,_xlfn.IFNA(VLOOKUP(Grandview_Inventory[[#This Row],[decade]],Lookups!$F$29:$H$43,3,FALSE),1))</f>
        <v>0.9871940091910919</v>
      </c>
      <c r="BW837" s="4">
        <f>_xlfn.IFNA(VLOOKUP(Grandview_Inventory[[#This Row],[living_area_range]],Lookups!$F$47:$H$56,3,FALSE),1)</f>
        <v>0.96135087979789358</v>
      </c>
      <c r="BX837" s="4">
        <f>AVERAGE(Grandview_Inventory[[#This Row],[qual_adj]:[size_adj]])</f>
        <v>0.97521905207691773</v>
      </c>
      <c r="BY837" s="6">
        <f>IF(Grandview_Inventory[[#This Row],[pre_res]]&lt;0,0,Grandview_Inventory[[#This Row],[pre_res]]*Grandview_Inventory[[#This Row],[overall_adj]])</f>
        <v>238173.59446053996</v>
      </c>
      <c r="BZ837" s="6">
        <f>(Grandview_Inventory[[#This Row],[sum_land]]-IF(Grandview_Inventory[[#This Row],[no_utilities]]=1,12000,0))/IF(Grandview_Inventory[[#This Row],[unbuildable]]=1,2,1)</f>
        <v>48369.510983942157</v>
      </c>
      <c r="CA83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837">
        <f>ROUND(Grandview_Inventory[[#This Row],[det_value]]*Lookups!$M$28,-2)</f>
        <v>0</v>
      </c>
      <c r="CC837">
        <f>IF(ROUND(Grandview_Inventory[[#This Row],[adj_res]]*Lookups!$M$28,-2)&lt;Grandview_Inventory[[#This Row],[min_res]],Grandview_Inventory[[#This Row],[min_res]],ROUND(Grandview_Inventory[[#This Row],[adj_res]]*Lookups!$M$28,-2))</f>
        <v>226300</v>
      </c>
      <c r="CD837">
        <f>Grandview_Inventory[[#This Row],[final_det]]+Grandview_Inventory[[#This Row],[final_res]]</f>
        <v>226300</v>
      </c>
      <c r="CE837">
        <f>Grandview_Inventory[[#This Row],[final_land]]+Grandview_Inventory[[#This Row],[final_imp]]+Grandview_Inventory[[#This Row],[crop_value]]</f>
        <v>272300</v>
      </c>
      <c r="CG837" t="str">
        <f t="shared" si="13"/>
        <v>update valuation set market_land =46000, market_bldg=226300, market_total =272300, market_mdno =401, market_date ='9/10/2023' where link_id = (select link_id from parcel where parcel_year = '2024' and parcel_id = '23092232463');</v>
      </c>
    </row>
    <row r="838" spans="1:85" x14ac:dyDescent="0.25">
      <c r="A838">
        <v>23092232464</v>
      </c>
      <c r="B838">
        <v>0.21</v>
      </c>
      <c r="C838">
        <v>9074</v>
      </c>
      <c r="D838" t="s">
        <v>129</v>
      </c>
      <c r="E838" t="s">
        <v>53</v>
      </c>
      <c r="F838" t="s">
        <v>53</v>
      </c>
      <c r="G838">
        <v>4</v>
      </c>
      <c r="H838" t="s">
        <v>54</v>
      </c>
      <c r="I838">
        <v>174700</v>
      </c>
      <c r="J838">
        <v>39300</v>
      </c>
      <c r="K838">
        <v>0.21</v>
      </c>
      <c r="L83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838">
        <v>0</v>
      </c>
      <c r="N838">
        <v>0</v>
      </c>
      <c r="O838">
        <v>0</v>
      </c>
      <c r="P838">
        <v>13398.7528</v>
      </c>
      <c r="Q838">
        <v>63903</v>
      </c>
      <c r="R838">
        <f>(Grandview_Inventory[[#This Row],[ln_acres]]*Grandview_Inventory[[#This Row],[coeff]])+Grandview_Inventory[[#This Row],[const]]</f>
        <v>42992.266613125081</v>
      </c>
      <c r="S838" t="s">
        <v>61</v>
      </c>
      <c r="T838">
        <v>1</v>
      </c>
      <c r="U838" t="s">
        <v>70</v>
      </c>
      <c r="V838" t="s">
        <v>69</v>
      </c>
      <c r="W838">
        <v>0</v>
      </c>
      <c r="X838">
        <v>0</v>
      </c>
      <c r="Y838">
        <v>45</v>
      </c>
      <c r="Z838">
        <v>51</v>
      </c>
      <c r="AA838">
        <v>60</v>
      </c>
      <c r="AB838">
        <v>1500</v>
      </c>
      <c r="AC838">
        <v>1400</v>
      </c>
      <c r="AD838">
        <v>1400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1008</v>
      </c>
      <c r="AL838">
        <v>0</v>
      </c>
      <c r="AM838">
        <v>16</v>
      </c>
      <c r="AN838">
        <v>0</v>
      </c>
      <c r="AO838">
        <v>0</v>
      </c>
      <c r="AP838">
        <v>7</v>
      </c>
      <c r="AQ838">
        <v>0</v>
      </c>
      <c r="AR838">
        <v>0</v>
      </c>
      <c r="AS838" t="s">
        <v>58</v>
      </c>
      <c r="AT838">
        <v>1</v>
      </c>
      <c r="AU838" t="s">
        <v>63</v>
      </c>
      <c r="AV838" t="s">
        <v>64</v>
      </c>
      <c r="AW838">
        <v>0</v>
      </c>
      <c r="AX838">
        <v>3</v>
      </c>
      <c r="AY838">
        <v>0</v>
      </c>
      <c r="AZ838">
        <v>0</v>
      </c>
      <c r="BA838">
        <v>100</v>
      </c>
      <c r="BB838">
        <v>100</v>
      </c>
      <c r="BC838">
        <v>100</v>
      </c>
      <c r="BD838">
        <v>100</v>
      </c>
      <c r="BE838">
        <v>1</v>
      </c>
      <c r="BF838">
        <v>15000</v>
      </c>
      <c r="BG838">
        <v>1000</v>
      </c>
      <c r="BH838" s="6">
        <f>Grandview_Inventory[[#This Row],[land_extract]]*Lookups!$B$3</f>
        <v>49926.8031387023</v>
      </c>
      <c r="BI838" s="6">
        <f>IF(Grandview_Inventory[[#This Row],[bldg_style]]="",0,Lookups!$B$2)</f>
        <v>155833.95000000001</v>
      </c>
      <c r="BJ838" s="6">
        <f>_xlfn.IFNA(VLOOKUP(Grandview_Inventory[[#This Row],[quality]],Lookups!$H$2:$J$14,3,FALSE),0)</f>
        <v>10733</v>
      </c>
      <c r="BK838" s="6">
        <f>_xlfn.IFNA(VLOOKUP(Grandview_Inventory[[#This Row],[condition]],Lookups!$H$17:$J$24,3,FALSE),0)</f>
        <v>-4503</v>
      </c>
      <c r="BL838" s="6">
        <f>Grandview_Inventory[[#This Row],[Eff_Age]]*Lookups!$B$14</f>
        <v>-10762.496999999999</v>
      </c>
      <c r="BM838" s="6">
        <f>Grandview_Inventory[[#This Row],[living_area]]*Lookups!$B$15</f>
        <v>87333.194199999998</v>
      </c>
      <c r="BN838" s="6">
        <f>Grandview_Inventory[[#This Row],[Fin BSMT]]*Lookups!$B$16</f>
        <v>0</v>
      </c>
      <c r="BO838" s="6">
        <f>(Grandview_Inventory[[#This Row],[att_gar]]+Grandview_Inventory[[#This Row],[bltin_gar]])*Lookups!$B$17</f>
        <v>0</v>
      </c>
      <c r="BP838" s="6">
        <f>Grandview_Inventory[[#This Row],[Plumbing Fixtures]]*Lookups!$B$18</f>
        <v>14073.0926</v>
      </c>
      <c r="BQ838" s="6">
        <f>Grandview_Inventory[[#This Row],[detatched_value]]*Lookups!$B$19</f>
        <v>0</v>
      </c>
      <c r="BR838" s="6">
        <f>SUM(Grandview_Inventory[[#This Row],[Intercept]:[det_value]])*Grandview_Inventory[[#This Row],[res_pct]]</f>
        <v>252707.73980000001</v>
      </c>
      <c r="BS838" s="6">
        <f>Grandview_Inventory[[#This Row],[land_value]]</f>
        <v>49926.8031387023</v>
      </c>
      <c r="BT838" s="4">
        <f>_xlfn.IFNA(VLOOKUP(Grandview_Inventory[[#This Row],[quality]],Lookups!$A$26:$C$33,3,FALSE),1)</f>
        <v>0.98079741117310582</v>
      </c>
      <c r="BU838" s="4">
        <f>_xlfn.IFNA(VLOOKUP(Grandview_Inventory[[#This Row],[condition]],Lookups!$A$37:$C$44,3,FALSE),1)</f>
        <v>0.96469275950863709</v>
      </c>
      <c r="BV838" s="4">
        <f>IF(Grandview_Inventory[[#This Row],[bldg_style]]="",1,_xlfn.IFNA(VLOOKUP(Grandview_Inventory[[#This Row],[decade]],Lookups!$F$29:$H$43,3,FALSE),1))</f>
        <v>0.95268620544463312</v>
      </c>
      <c r="BW838" s="4">
        <f>_xlfn.IFNA(VLOOKUP(Grandview_Inventory[[#This Row],[living_area_range]],Lookups!$F$47:$H$56,3,FALSE),1)</f>
        <v>0.96135087979789358</v>
      </c>
      <c r="BX838" s="4">
        <f>AVERAGE(Grandview_Inventory[[#This Row],[qual_adj]:[size_adj]])</f>
        <v>0.96488181398106743</v>
      </c>
      <c r="BY838" s="6">
        <f>IF(Grandview_Inventory[[#This Row],[pre_res]]&lt;0,0,Grandview_Inventory[[#This Row],[pre_res]]*Grandview_Inventory[[#This Row],[overall_adj]])</f>
        <v>243833.10238527961</v>
      </c>
      <c r="BZ838" s="6">
        <f>(Grandview_Inventory[[#This Row],[sum_land]]-IF(Grandview_Inventory[[#This Row],[no_utilities]]=1,12000,0))/IF(Grandview_Inventory[[#This Row],[unbuildable]]=1,2,1)</f>
        <v>49926.8031387023</v>
      </c>
      <c r="CA83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838">
        <f>ROUND(Grandview_Inventory[[#This Row],[det_value]]*Lookups!$M$28,-2)</f>
        <v>0</v>
      </c>
      <c r="CC838">
        <f>IF(ROUND(Grandview_Inventory[[#This Row],[adj_res]]*Lookups!$M$28,-2)&lt;Grandview_Inventory[[#This Row],[min_res]],Grandview_Inventory[[#This Row],[min_res]],ROUND(Grandview_Inventory[[#This Row],[adj_res]]*Lookups!$M$28,-2))</f>
        <v>231600</v>
      </c>
      <c r="CD838">
        <f>Grandview_Inventory[[#This Row],[final_det]]+Grandview_Inventory[[#This Row],[final_res]]</f>
        <v>231600</v>
      </c>
      <c r="CE838">
        <f>Grandview_Inventory[[#This Row],[final_land]]+Grandview_Inventory[[#This Row],[final_imp]]+Grandview_Inventory[[#This Row],[crop_value]]</f>
        <v>279000</v>
      </c>
      <c r="CG838" t="str">
        <f t="shared" si="13"/>
        <v>update valuation set market_land =47400, market_bldg=231600, market_total =279000, market_mdno =401, market_date ='9/10/2023' where link_id = (select link_id from parcel where parcel_year = '2024' and parcel_id = '23092232464');</v>
      </c>
    </row>
    <row r="839" spans="1:85" x14ac:dyDescent="0.25">
      <c r="A839">
        <v>23092232465</v>
      </c>
      <c r="B839">
        <v>0.22</v>
      </c>
      <c r="C839">
        <v>9754</v>
      </c>
      <c r="D839" t="s">
        <v>129</v>
      </c>
      <c r="E839" t="s">
        <v>53</v>
      </c>
      <c r="F839" t="s">
        <v>53</v>
      </c>
      <c r="G839">
        <v>4</v>
      </c>
      <c r="H839" t="s">
        <v>54</v>
      </c>
      <c r="I839">
        <v>198600</v>
      </c>
      <c r="J839">
        <v>43800</v>
      </c>
      <c r="K839">
        <v>0.22</v>
      </c>
      <c r="L83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839">
        <v>0</v>
      </c>
      <c r="N839">
        <v>0</v>
      </c>
      <c r="O839">
        <v>0</v>
      </c>
      <c r="P839">
        <v>13398.7528</v>
      </c>
      <c r="Q839">
        <v>63903</v>
      </c>
      <c r="R839">
        <f>(Grandview_Inventory[[#This Row],[ln_acres]]*Grandview_Inventory[[#This Row],[coeff]])+Grandview_Inventory[[#This Row],[const]]</f>
        <v>43615.576802869145</v>
      </c>
      <c r="S839" t="s">
        <v>61</v>
      </c>
      <c r="T839">
        <v>1</v>
      </c>
      <c r="U839" t="s">
        <v>65</v>
      </c>
      <c r="V839" t="s">
        <v>67</v>
      </c>
      <c r="W839">
        <v>0</v>
      </c>
      <c r="X839">
        <v>0</v>
      </c>
      <c r="Y839">
        <v>45</v>
      </c>
      <c r="Z839">
        <v>50</v>
      </c>
      <c r="AA839">
        <v>50</v>
      </c>
      <c r="AB839">
        <v>1500</v>
      </c>
      <c r="AC839">
        <v>1428</v>
      </c>
      <c r="AD839">
        <v>1428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276</v>
      </c>
      <c r="AN839">
        <v>88</v>
      </c>
      <c r="AO839">
        <v>276</v>
      </c>
      <c r="AP839">
        <v>8</v>
      </c>
      <c r="AQ839">
        <v>0</v>
      </c>
      <c r="AR839">
        <v>0</v>
      </c>
      <c r="AS839" t="s">
        <v>58</v>
      </c>
      <c r="AT839">
        <v>1</v>
      </c>
      <c r="AU839" t="s">
        <v>63</v>
      </c>
      <c r="AV839" t="s">
        <v>60</v>
      </c>
      <c r="AW839">
        <v>1</v>
      </c>
      <c r="AX839">
        <v>3</v>
      </c>
      <c r="AY839">
        <v>0</v>
      </c>
      <c r="AZ839">
        <v>0</v>
      </c>
      <c r="BA839">
        <v>100</v>
      </c>
      <c r="BB839">
        <v>100</v>
      </c>
      <c r="BC839">
        <v>100</v>
      </c>
      <c r="BD839">
        <v>100</v>
      </c>
      <c r="BE839">
        <v>1</v>
      </c>
      <c r="BF839">
        <v>15000</v>
      </c>
      <c r="BG839">
        <v>1000</v>
      </c>
      <c r="BH839" s="6">
        <f>Grandview_Inventory[[#This Row],[land_extract]]*Lookups!$B$3</f>
        <v>50650.651579114572</v>
      </c>
      <c r="BI839" s="6">
        <f>IF(Grandview_Inventory[[#This Row],[bldg_style]]="",0,Lookups!$B$2)</f>
        <v>155833.95000000001</v>
      </c>
      <c r="BJ839" s="6">
        <f>_xlfn.IFNA(VLOOKUP(Grandview_Inventory[[#This Row],[quality]],Lookups!$H$2:$J$14,3,FALSE),0)</f>
        <v>2251</v>
      </c>
      <c r="BK839" s="6">
        <f>_xlfn.IFNA(VLOOKUP(Grandview_Inventory[[#This Row],[condition]],Lookups!$H$17:$J$24,3,FALSE),0)</f>
        <v>22342</v>
      </c>
      <c r="BL839" s="6">
        <f>Grandview_Inventory[[#This Row],[Eff_Age]]*Lookups!$B$14</f>
        <v>-10762.496999999999</v>
      </c>
      <c r="BM839" s="6">
        <f>Grandview_Inventory[[#This Row],[living_area]]*Lookups!$B$15</f>
        <v>89079.858084000007</v>
      </c>
      <c r="BN839" s="6">
        <f>Grandview_Inventory[[#This Row],[Fin BSMT]]*Lookups!$B$16</f>
        <v>0</v>
      </c>
      <c r="BO839" s="6">
        <f>(Grandview_Inventory[[#This Row],[att_gar]]+Grandview_Inventory[[#This Row],[bltin_gar]])*Lookups!$B$17</f>
        <v>0</v>
      </c>
      <c r="BP839" s="6">
        <f>Grandview_Inventory[[#This Row],[Plumbing Fixtures]]*Lookups!$B$18</f>
        <v>16083.5344</v>
      </c>
      <c r="BQ839" s="6">
        <f>Grandview_Inventory[[#This Row],[detatched_value]]*Lookups!$B$19</f>
        <v>0</v>
      </c>
      <c r="BR839" s="6">
        <f>SUM(Grandview_Inventory[[#This Row],[Intercept]:[det_value]])*Grandview_Inventory[[#This Row],[res_pct]]</f>
        <v>274827.84548399999</v>
      </c>
      <c r="BS839" s="6">
        <f>Grandview_Inventory[[#This Row],[land_value]]</f>
        <v>50650.651579114572</v>
      </c>
      <c r="BT839" s="4">
        <f>_xlfn.IFNA(VLOOKUP(Grandview_Inventory[[#This Row],[quality]],Lookups!$A$26:$C$33,3,FALSE),1)</f>
        <v>0.98763855981004833</v>
      </c>
      <c r="BU839" s="4">
        <f>_xlfn.IFNA(VLOOKUP(Grandview_Inventory[[#This Row],[condition]],Lookups!$A$37:$C$44,3,FALSE),1)</f>
        <v>0.97383723671140243</v>
      </c>
      <c r="BV839" s="4">
        <f>IF(Grandview_Inventory[[#This Row],[bldg_style]]="",1,_xlfn.IFNA(VLOOKUP(Grandview_Inventory[[#This Row],[decade]],Lookups!$F$29:$H$43,3,FALSE),1))</f>
        <v>0.9871940091910919</v>
      </c>
      <c r="BW839" s="4">
        <f>_xlfn.IFNA(VLOOKUP(Grandview_Inventory[[#This Row],[living_area_range]],Lookups!$F$47:$H$56,3,FALSE),1)</f>
        <v>0.96135087979789358</v>
      </c>
      <c r="BX839" s="4">
        <f>AVERAGE(Grandview_Inventory[[#This Row],[qual_adj]:[size_adj]])</f>
        <v>0.97750517137760906</v>
      </c>
      <c r="BY839" s="6">
        <f>IF(Grandview_Inventory[[#This Row],[pre_res]]&lt;0,0,Grandview_Inventory[[#This Row],[pre_res]]*Grandview_Inventory[[#This Row],[overall_adj]])</f>
        <v>268645.6401991765</v>
      </c>
      <c r="BZ839" s="6">
        <f>(Grandview_Inventory[[#This Row],[sum_land]]-IF(Grandview_Inventory[[#This Row],[no_utilities]]=1,12000,0))/IF(Grandview_Inventory[[#This Row],[unbuildable]]=1,2,1)</f>
        <v>50650.651579114572</v>
      </c>
      <c r="CA83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839">
        <f>ROUND(Grandview_Inventory[[#This Row],[det_value]]*Lookups!$M$28,-2)</f>
        <v>0</v>
      </c>
      <c r="CC839">
        <f>IF(ROUND(Grandview_Inventory[[#This Row],[adj_res]]*Lookups!$M$28,-2)&lt;Grandview_Inventory[[#This Row],[min_res]],Grandview_Inventory[[#This Row],[min_res]],ROUND(Grandview_Inventory[[#This Row],[adj_res]]*Lookups!$M$28,-2))</f>
        <v>255200</v>
      </c>
      <c r="CD839">
        <f>Grandview_Inventory[[#This Row],[final_det]]+Grandview_Inventory[[#This Row],[final_res]]</f>
        <v>255200</v>
      </c>
      <c r="CE839">
        <f>Grandview_Inventory[[#This Row],[final_land]]+Grandview_Inventory[[#This Row],[final_imp]]+Grandview_Inventory[[#This Row],[crop_value]]</f>
        <v>303300</v>
      </c>
      <c r="CG839" t="str">
        <f t="shared" si="13"/>
        <v>update valuation set market_land =48100, market_bldg=255200, market_total =303300, market_mdno =401, market_date ='9/10/2023' where link_id = (select link_id from parcel where parcel_year = '2024' and parcel_id = '23092232465');</v>
      </c>
    </row>
    <row r="840" spans="1:85" x14ac:dyDescent="0.25">
      <c r="A840">
        <v>23092232466</v>
      </c>
      <c r="B840">
        <v>0.2</v>
      </c>
      <c r="C840">
        <v>8714</v>
      </c>
      <c r="D840" t="s">
        <v>129</v>
      </c>
      <c r="E840" t="s">
        <v>53</v>
      </c>
      <c r="F840" t="s">
        <v>53</v>
      </c>
      <c r="G840">
        <v>4</v>
      </c>
      <c r="H840" t="s">
        <v>54</v>
      </c>
      <c r="I840">
        <v>149700</v>
      </c>
      <c r="J840">
        <v>43700</v>
      </c>
      <c r="K840">
        <v>0.2</v>
      </c>
      <c r="L84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40">
        <v>0</v>
      </c>
      <c r="N840">
        <v>0</v>
      </c>
      <c r="O840">
        <v>0</v>
      </c>
      <c r="P840">
        <v>13398.7528</v>
      </c>
      <c r="Q840">
        <v>63903</v>
      </c>
      <c r="R840">
        <f>(Grandview_Inventory[[#This Row],[ln_acres]]*Grandview_Inventory[[#This Row],[coeff]])+Grandview_Inventory[[#This Row],[const]]</f>
        <v>42338.539264347448</v>
      </c>
      <c r="S840" t="s">
        <v>61</v>
      </c>
      <c r="T840">
        <v>1</v>
      </c>
      <c r="U840" t="s">
        <v>65</v>
      </c>
      <c r="V840" t="s">
        <v>69</v>
      </c>
      <c r="W840">
        <v>0</v>
      </c>
      <c r="X840">
        <v>0</v>
      </c>
      <c r="Y840">
        <v>46</v>
      </c>
      <c r="Z840">
        <v>53</v>
      </c>
      <c r="AA840">
        <v>60</v>
      </c>
      <c r="AB840">
        <v>1500</v>
      </c>
      <c r="AC840">
        <v>1204</v>
      </c>
      <c r="AD840">
        <v>1204</v>
      </c>
      <c r="AE840">
        <v>0</v>
      </c>
      <c r="AF840">
        <v>0</v>
      </c>
      <c r="AG840">
        <v>0</v>
      </c>
      <c r="AH840">
        <v>0</v>
      </c>
      <c r="AI840">
        <v>280</v>
      </c>
      <c r="AJ840">
        <v>0</v>
      </c>
      <c r="AK840">
        <v>0</v>
      </c>
      <c r="AL840">
        <v>0</v>
      </c>
      <c r="AM840">
        <v>304</v>
      </c>
      <c r="AN840">
        <v>0</v>
      </c>
      <c r="AO840">
        <v>0</v>
      </c>
      <c r="AP840">
        <v>7</v>
      </c>
      <c r="AQ840">
        <v>0</v>
      </c>
      <c r="AR840">
        <v>0</v>
      </c>
      <c r="AS840" t="s">
        <v>58</v>
      </c>
      <c r="AT840">
        <v>1</v>
      </c>
      <c r="AU840" t="s">
        <v>63</v>
      </c>
      <c r="AV840" t="s">
        <v>60</v>
      </c>
      <c r="AW840">
        <v>0</v>
      </c>
      <c r="AX840">
        <v>3</v>
      </c>
      <c r="AY840">
        <v>0</v>
      </c>
      <c r="AZ840">
        <v>0</v>
      </c>
      <c r="BA840">
        <v>100</v>
      </c>
      <c r="BB840">
        <v>100</v>
      </c>
      <c r="BC840">
        <v>100</v>
      </c>
      <c r="BD840">
        <v>100</v>
      </c>
      <c r="BE840">
        <v>1</v>
      </c>
      <c r="BF840">
        <v>15000</v>
      </c>
      <c r="BG840">
        <v>1000</v>
      </c>
      <c r="BH840" s="6">
        <f>Grandview_Inventory[[#This Row],[land_extract]]*Lookups!$B$3</f>
        <v>49167.631333630678</v>
      </c>
      <c r="BI840" s="6">
        <f>IF(Grandview_Inventory[[#This Row],[bldg_style]]="",0,Lookups!$B$2)</f>
        <v>155833.95000000001</v>
      </c>
      <c r="BJ840" s="6">
        <f>_xlfn.IFNA(VLOOKUP(Grandview_Inventory[[#This Row],[quality]],Lookups!$H$2:$J$14,3,FALSE),0)</f>
        <v>2251</v>
      </c>
      <c r="BK840" s="6">
        <f>_xlfn.IFNA(VLOOKUP(Grandview_Inventory[[#This Row],[condition]],Lookups!$H$17:$J$24,3,FALSE),0)</f>
        <v>-4503</v>
      </c>
      <c r="BL840" s="6">
        <f>Grandview_Inventory[[#This Row],[Eff_Age]]*Lookups!$B$14</f>
        <v>-11001.6636</v>
      </c>
      <c r="BM840" s="6">
        <f>Grandview_Inventory[[#This Row],[living_area]]*Lookups!$B$15</f>
        <v>75106.547011999995</v>
      </c>
      <c r="BN840" s="6">
        <f>Grandview_Inventory[[#This Row],[Fin BSMT]]*Lookups!$B$16</f>
        <v>0</v>
      </c>
      <c r="BO840" s="6">
        <f>(Grandview_Inventory[[#This Row],[att_gar]]+Grandview_Inventory[[#This Row],[bltin_gar]])*Lookups!$B$17</f>
        <v>24505.72236</v>
      </c>
      <c r="BP840" s="6">
        <f>Grandview_Inventory[[#This Row],[Plumbing Fixtures]]*Lookups!$B$18</f>
        <v>14073.0926</v>
      </c>
      <c r="BQ840" s="6">
        <f>Grandview_Inventory[[#This Row],[detatched_value]]*Lookups!$B$19</f>
        <v>0</v>
      </c>
      <c r="BR840" s="6">
        <f>SUM(Grandview_Inventory[[#This Row],[Intercept]:[det_value]])*Grandview_Inventory[[#This Row],[res_pct]]</f>
        <v>256265.648372</v>
      </c>
      <c r="BS840" s="6">
        <f>Grandview_Inventory[[#This Row],[land_value]]</f>
        <v>49167.631333630678</v>
      </c>
      <c r="BT840" s="4">
        <f>_xlfn.IFNA(VLOOKUP(Grandview_Inventory[[#This Row],[quality]],Lookups!$A$26:$C$33,3,FALSE),1)</f>
        <v>0.98763855981004833</v>
      </c>
      <c r="BU840" s="4">
        <f>_xlfn.IFNA(VLOOKUP(Grandview_Inventory[[#This Row],[condition]],Lookups!$A$37:$C$44,3,FALSE),1)</f>
        <v>0.96469275950863709</v>
      </c>
      <c r="BV840" s="4">
        <f>IF(Grandview_Inventory[[#This Row],[bldg_style]]="",1,_xlfn.IFNA(VLOOKUP(Grandview_Inventory[[#This Row],[decade]],Lookups!$F$29:$H$43,3,FALSE),1))</f>
        <v>0.95268620544463312</v>
      </c>
      <c r="BW840" s="4">
        <f>_xlfn.IFNA(VLOOKUP(Grandview_Inventory[[#This Row],[living_area_range]],Lookups!$F$47:$H$56,3,FALSE),1)</f>
        <v>0.96135087979789358</v>
      </c>
      <c r="BX840" s="4">
        <f>AVERAGE(Grandview_Inventory[[#This Row],[qual_adj]:[size_adj]])</f>
        <v>0.96659210114030303</v>
      </c>
      <c r="BY840" s="6">
        <f>IF(Grandview_Inventory[[#This Row],[pre_res]]&lt;0,0,Grandview_Inventory[[#This Row],[pre_res]]*Grandview_Inventory[[#This Row],[overall_adj]])</f>
        <v>247704.35150997355</v>
      </c>
      <c r="BZ840" s="6">
        <f>(Grandview_Inventory[[#This Row],[sum_land]]-IF(Grandview_Inventory[[#This Row],[no_utilities]]=1,12000,0))/IF(Grandview_Inventory[[#This Row],[unbuildable]]=1,2,1)</f>
        <v>49167.631333630678</v>
      </c>
      <c r="CA84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40">
        <f>ROUND(Grandview_Inventory[[#This Row],[det_value]]*Lookups!$M$28,-2)</f>
        <v>0</v>
      </c>
      <c r="CC840">
        <f>IF(ROUND(Grandview_Inventory[[#This Row],[adj_res]]*Lookups!$M$28,-2)&lt;Grandview_Inventory[[#This Row],[min_res]],Grandview_Inventory[[#This Row],[min_res]],ROUND(Grandview_Inventory[[#This Row],[adj_res]]*Lookups!$M$28,-2))</f>
        <v>235300</v>
      </c>
      <c r="CD840">
        <f>Grandview_Inventory[[#This Row],[final_det]]+Grandview_Inventory[[#This Row],[final_res]]</f>
        <v>235300</v>
      </c>
      <c r="CE840">
        <f>Grandview_Inventory[[#This Row],[final_land]]+Grandview_Inventory[[#This Row],[final_imp]]+Grandview_Inventory[[#This Row],[crop_value]]</f>
        <v>282000</v>
      </c>
      <c r="CG840" t="str">
        <f t="shared" si="13"/>
        <v>update valuation set market_land =46700, market_bldg=235300, market_total =282000, market_mdno =401, market_date ='9/10/2023' where link_id = (select link_id from parcel where parcel_year = '2024' and parcel_id = '23092232466');</v>
      </c>
    </row>
    <row r="841" spans="1:85" x14ac:dyDescent="0.25">
      <c r="A841">
        <v>23092232467</v>
      </c>
      <c r="B841">
        <v>0.2</v>
      </c>
      <c r="C841">
        <v>8570</v>
      </c>
      <c r="D841" t="s">
        <v>129</v>
      </c>
      <c r="E841" t="s">
        <v>53</v>
      </c>
      <c r="F841" t="s">
        <v>53</v>
      </c>
      <c r="G841">
        <v>4</v>
      </c>
      <c r="H841" t="s">
        <v>54</v>
      </c>
      <c r="I841">
        <v>149000</v>
      </c>
      <c r="J841">
        <v>39300</v>
      </c>
      <c r="K841">
        <v>0.2</v>
      </c>
      <c r="L84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41">
        <v>0</v>
      </c>
      <c r="N841">
        <v>0</v>
      </c>
      <c r="O841">
        <v>0</v>
      </c>
      <c r="P841">
        <v>13398.7528</v>
      </c>
      <c r="Q841">
        <v>63903</v>
      </c>
      <c r="R841">
        <f>(Grandview_Inventory[[#This Row],[ln_acres]]*Grandview_Inventory[[#This Row],[coeff]])+Grandview_Inventory[[#This Row],[const]]</f>
        <v>42338.539264347448</v>
      </c>
      <c r="S841" t="s">
        <v>61</v>
      </c>
      <c r="T841">
        <v>1</v>
      </c>
      <c r="U841" t="s">
        <v>65</v>
      </c>
      <c r="V841" t="s">
        <v>69</v>
      </c>
      <c r="W841">
        <v>0</v>
      </c>
      <c r="X841">
        <v>0</v>
      </c>
      <c r="Y841">
        <v>46</v>
      </c>
      <c r="Z841">
        <v>53</v>
      </c>
      <c r="AA841">
        <v>60</v>
      </c>
      <c r="AB841">
        <v>1500</v>
      </c>
      <c r="AC841">
        <v>1008</v>
      </c>
      <c r="AD841">
        <v>1008</v>
      </c>
      <c r="AE841">
        <v>0</v>
      </c>
      <c r="AF841">
        <v>0</v>
      </c>
      <c r="AG841">
        <v>0</v>
      </c>
      <c r="AH841">
        <v>0</v>
      </c>
      <c r="AI841">
        <v>529</v>
      </c>
      <c r="AJ841">
        <v>0</v>
      </c>
      <c r="AK841">
        <v>0</v>
      </c>
      <c r="AL841">
        <v>0</v>
      </c>
      <c r="AM841">
        <v>0</v>
      </c>
      <c r="AN841">
        <v>60</v>
      </c>
      <c r="AO841">
        <v>0</v>
      </c>
      <c r="AP841">
        <v>8</v>
      </c>
      <c r="AQ841">
        <v>0</v>
      </c>
      <c r="AR841">
        <v>0</v>
      </c>
      <c r="AS841" t="s">
        <v>58</v>
      </c>
      <c r="AT841">
        <v>1</v>
      </c>
      <c r="AU841" t="s">
        <v>63</v>
      </c>
      <c r="AV841" t="s">
        <v>64</v>
      </c>
      <c r="AW841">
        <v>0</v>
      </c>
      <c r="AX841">
        <v>3</v>
      </c>
      <c r="AY841">
        <v>0</v>
      </c>
      <c r="AZ841">
        <v>0</v>
      </c>
      <c r="BA841">
        <v>100</v>
      </c>
      <c r="BB841">
        <v>100</v>
      </c>
      <c r="BC841">
        <v>100</v>
      </c>
      <c r="BD841">
        <v>100</v>
      </c>
      <c r="BE841">
        <v>1</v>
      </c>
      <c r="BF841">
        <v>15000</v>
      </c>
      <c r="BG841">
        <v>1000</v>
      </c>
      <c r="BH841" s="6">
        <f>Grandview_Inventory[[#This Row],[land_extract]]*Lookups!$B$3</f>
        <v>49167.631333630678</v>
      </c>
      <c r="BI841" s="6">
        <f>IF(Grandview_Inventory[[#This Row],[bldg_style]]="",0,Lookups!$B$2)</f>
        <v>155833.95000000001</v>
      </c>
      <c r="BJ841" s="6">
        <f>_xlfn.IFNA(VLOOKUP(Grandview_Inventory[[#This Row],[quality]],Lookups!$H$2:$J$14,3,FALSE),0)</f>
        <v>2251</v>
      </c>
      <c r="BK841" s="6">
        <f>_xlfn.IFNA(VLOOKUP(Grandview_Inventory[[#This Row],[condition]],Lookups!$H$17:$J$24,3,FALSE),0)</f>
        <v>-4503</v>
      </c>
      <c r="BL841" s="6">
        <f>Grandview_Inventory[[#This Row],[Eff_Age]]*Lookups!$B$14</f>
        <v>-11001.6636</v>
      </c>
      <c r="BM841" s="6">
        <f>Grandview_Inventory[[#This Row],[living_area]]*Lookups!$B$15</f>
        <v>62879.899824</v>
      </c>
      <c r="BN841" s="6">
        <f>Grandview_Inventory[[#This Row],[Fin BSMT]]*Lookups!$B$16</f>
        <v>0</v>
      </c>
      <c r="BO841" s="6">
        <f>(Grandview_Inventory[[#This Row],[att_gar]]+Grandview_Inventory[[#This Row],[bltin_gar]])*Lookups!$B$17</f>
        <v>46298.311173000002</v>
      </c>
      <c r="BP841" s="6">
        <f>Grandview_Inventory[[#This Row],[Plumbing Fixtures]]*Lookups!$B$18</f>
        <v>16083.5344</v>
      </c>
      <c r="BQ841" s="6">
        <f>Grandview_Inventory[[#This Row],[detatched_value]]*Lookups!$B$19</f>
        <v>0</v>
      </c>
      <c r="BR841" s="6">
        <f>SUM(Grandview_Inventory[[#This Row],[Intercept]:[det_value]])*Grandview_Inventory[[#This Row],[res_pct]]</f>
        <v>267842.03179699997</v>
      </c>
      <c r="BS841" s="6">
        <f>Grandview_Inventory[[#This Row],[land_value]]</f>
        <v>49167.631333630678</v>
      </c>
      <c r="BT841" s="4">
        <f>_xlfn.IFNA(VLOOKUP(Grandview_Inventory[[#This Row],[quality]],Lookups!$A$26:$C$33,3,FALSE),1)</f>
        <v>0.98763855981004833</v>
      </c>
      <c r="BU841" s="4">
        <f>_xlfn.IFNA(VLOOKUP(Grandview_Inventory[[#This Row],[condition]],Lookups!$A$37:$C$44,3,FALSE),1)</f>
        <v>0.96469275950863709</v>
      </c>
      <c r="BV841" s="4">
        <f>IF(Grandview_Inventory[[#This Row],[bldg_style]]="",1,_xlfn.IFNA(VLOOKUP(Grandview_Inventory[[#This Row],[decade]],Lookups!$F$29:$H$43,3,FALSE),1))</f>
        <v>0.95268620544463312</v>
      </c>
      <c r="BW841" s="4">
        <f>_xlfn.IFNA(VLOOKUP(Grandview_Inventory[[#This Row],[living_area_range]],Lookups!$F$47:$H$56,3,FALSE),1)</f>
        <v>0.96135087979789358</v>
      </c>
      <c r="BX841" s="4">
        <f>AVERAGE(Grandview_Inventory[[#This Row],[qual_adj]:[size_adj]])</f>
        <v>0.96659210114030303</v>
      </c>
      <c r="BY841" s="6">
        <f>IF(Grandview_Inventory[[#This Row],[pre_res]]&lt;0,0,Grandview_Inventory[[#This Row],[pre_res]]*Grandview_Inventory[[#This Row],[overall_adj]])</f>
        <v>258893.99228835007</v>
      </c>
      <c r="BZ841" s="6">
        <f>(Grandview_Inventory[[#This Row],[sum_land]]-IF(Grandview_Inventory[[#This Row],[no_utilities]]=1,12000,0))/IF(Grandview_Inventory[[#This Row],[unbuildable]]=1,2,1)</f>
        <v>49167.631333630678</v>
      </c>
      <c r="CA84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41">
        <f>ROUND(Grandview_Inventory[[#This Row],[det_value]]*Lookups!$M$28,-2)</f>
        <v>0</v>
      </c>
      <c r="CC841">
        <f>IF(ROUND(Grandview_Inventory[[#This Row],[adj_res]]*Lookups!$M$28,-2)&lt;Grandview_Inventory[[#This Row],[min_res]],Grandview_Inventory[[#This Row],[min_res]],ROUND(Grandview_Inventory[[#This Row],[adj_res]]*Lookups!$M$28,-2))</f>
        <v>245900</v>
      </c>
      <c r="CD841">
        <f>Grandview_Inventory[[#This Row],[final_det]]+Grandview_Inventory[[#This Row],[final_res]]</f>
        <v>245900</v>
      </c>
      <c r="CE841">
        <f>Grandview_Inventory[[#This Row],[final_land]]+Grandview_Inventory[[#This Row],[final_imp]]+Grandview_Inventory[[#This Row],[crop_value]]</f>
        <v>292600</v>
      </c>
      <c r="CG841" t="str">
        <f t="shared" si="13"/>
        <v>update valuation set market_land =46700, market_bldg=245900, market_total =292600, market_mdno =401, market_date ='9/10/2023' where link_id = (select link_id from parcel where parcel_year = '2024' and parcel_id = '23092232467');</v>
      </c>
    </row>
    <row r="842" spans="1:85" x14ac:dyDescent="0.25">
      <c r="A842">
        <v>23092232469</v>
      </c>
      <c r="B842">
        <v>0.32</v>
      </c>
      <c r="C842">
        <v>13826</v>
      </c>
      <c r="D842" t="s">
        <v>129</v>
      </c>
      <c r="E842" t="s">
        <v>53</v>
      </c>
      <c r="F842" t="s">
        <v>53</v>
      </c>
      <c r="G842">
        <v>4</v>
      </c>
      <c r="H842" t="s">
        <v>54</v>
      </c>
      <c r="I842">
        <v>153600</v>
      </c>
      <c r="J842">
        <v>41200</v>
      </c>
      <c r="K842">
        <v>0.32</v>
      </c>
      <c r="L842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842">
        <v>0</v>
      </c>
      <c r="N842">
        <v>0</v>
      </c>
      <c r="O842">
        <v>0</v>
      </c>
      <c r="P842">
        <v>13398.7528</v>
      </c>
      <c r="Q842">
        <v>63903</v>
      </c>
      <c r="R842">
        <f>(Grandview_Inventory[[#This Row],[ln_acres]]*Grandview_Inventory[[#This Row],[coeff]])+Grandview_Inventory[[#This Row],[const]]</f>
        <v>48636.001707713905</v>
      </c>
      <c r="S842" t="s">
        <v>61</v>
      </c>
      <c r="T842">
        <v>1</v>
      </c>
      <c r="U842" t="s">
        <v>70</v>
      </c>
      <c r="V842" t="s">
        <v>69</v>
      </c>
      <c r="W842">
        <v>0</v>
      </c>
      <c r="X842">
        <v>0</v>
      </c>
      <c r="Y842">
        <v>46</v>
      </c>
      <c r="Z842">
        <v>53</v>
      </c>
      <c r="AA842">
        <v>60</v>
      </c>
      <c r="AB842">
        <v>1500</v>
      </c>
      <c r="AC842">
        <v>1176</v>
      </c>
      <c r="AD842">
        <v>1176</v>
      </c>
      <c r="AE842">
        <v>0</v>
      </c>
      <c r="AF842">
        <v>0</v>
      </c>
      <c r="AG842">
        <v>0</v>
      </c>
      <c r="AH842">
        <v>0</v>
      </c>
      <c r="AI842">
        <v>253</v>
      </c>
      <c r="AJ842">
        <v>0</v>
      </c>
      <c r="AK842">
        <v>0</v>
      </c>
      <c r="AL842">
        <v>0</v>
      </c>
      <c r="AM842">
        <v>652</v>
      </c>
      <c r="AN842">
        <v>56</v>
      </c>
      <c r="AO842">
        <v>324</v>
      </c>
      <c r="AP842">
        <v>5</v>
      </c>
      <c r="AQ842">
        <v>0</v>
      </c>
      <c r="AR842">
        <v>0</v>
      </c>
      <c r="AS842" t="s">
        <v>58</v>
      </c>
      <c r="AT842">
        <v>1</v>
      </c>
      <c r="AU842" t="s">
        <v>75</v>
      </c>
      <c r="AV842" t="s">
        <v>60</v>
      </c>
      <c r="AW842">
        <v>0</v>
      </c>
      <c r="AX842">
        <v>3</v>
      </c>
      <c r="AY842">
        <v>0</v>
      </c>
      <c r="AZ842">
        <v>0</v>
      </c>
      <c r="BA842">
        <v>100</v>
      </c>
      <c r="BB842">
        <v>100</v>
      </c>
      <c r="BC842">
        <v>100</v>
      </c>
      <c r="BD842">
        <v>100</v>
      </c>
      <c r="BE842">
        <v>1</v>
      </c>
      <c r="BF842">
        <v>15000</v>
      </c>
      <c r="BG842">
        <v>1000</v>
      </c>
      <c r="BH842" s="6">
        <f>Grandview_Inventory[[#This Row],[land_extract]]*Lookups!$B$3</f>
        <v>56480.857465963549</v>
      </c>
      <c r="BI842" s="6">
        <f>IF(Grandview_Inventory[[#This Row],[bldg_style]]="",0,Lookups!$B$2)</f>
        <v>155833.95000000001</v>
      </c>
      <c r="BJ842" s="6">
        <f>_xlfn.IFNA(VLOOKUP(Grandview_Inventory[[#This Row],[quality]],Lookups!$H$2:$J$14,3,FALSE),0)</f>
        <v>10733</v>
      </c>
      <c r="BK842" s="6">
        <f>_xlfn.IFNA(VLOOKUP(Grandview_Inventory[[#This Row],[condition]],Lookups!$H$17:$J$24,3,FALSE),0)</f>
        <v>-4503</v>
      </c>
      <c r="BL842" s="6">
        <f>Grandview_Inventory[[#This Row],[Eff_Age]]*Lookups!$B$14</f>
        <v>-11001.6636</v>
      </c>
      <c r="BM842" s="6">
        <f>Grandview_Inventory[[#This Row],[living_area]]*Lookups!$B$15</f>
        <v>73359.883128000001</v>
      </c>
      <c r="BN842" s="6">
        <f>Grandview_Inventory[[#This Row],[Fin BSMT]]*Lookups!$B$16</f>
        <v>0</v>
      </c>
      <c r="BO842" s="6">
        <f>(Grandview_Inventory[[#This Row],[att_gar]]+Grandview_Inventory[[#This Row],[bltin_gar]])*Lookups!$B$17</f>
        <v>22142.670560999999</v>
      </c>
      <c r="BP842" s="6">
        <f>Grandview_Inventory[[#This Row],[Plumbing Fixtures]]*Lookups!$B$18</f>
        <v>10052.209000000001</v>
      </c>
      <c r="BQ842" s="6">
        <f>Grandview_Inventory[[#This Row],[detatched_value]]*Lookups!$B$19</f>
        <v>0</v>
      </c>
      <c r="BR842" s="6">
        <f>SUM(Grandview_Inventory[[#This Row],[Intercept]:[det_value]])*Grandview_Inventory[[#This Row],[res_pct]]</f>
        <v>256617.04908900001</v>
      </c>
      <c r="BS842" s="6">
        <f>Grandview_Inventory[[#This Row],[land_value]]</f>
        <v>56480.857465963549</v>
      </c>
      <c r="BT842" s="4">
        <f>_xlfn.IFNA(VLOOKUP(Grandview_Inventory[[#This Row],[quality]],Lookups!$A$26:$C$33,3,FALSE),1)</f>
        <v>0.98079741117310582</v>
      </c>
      <c r="BU842" s="4">
        <f>_xlfn.IFNA(VLOOKUP(Grandview_Inventory[[#This Row],[condition]],Lookups!$A$37:$C$44,3,FALSE),1)</f>
        <v>0.96469275950863709</v>
      </c>
      <c r="BV842" s="4">
        <f>IF(Grandview_Inventory[[#This Row],[bldg_style]]="",1,_xlfn.IFNA(VLOOKUP(Grandview_Inventory[[#This Row],[decade]],Lookups!$F$29:$H$43,3,FALSE),1))</f>
        <v>0.95268620544463312</v>
      </c>
      <c r="BW842" s="4">
        <f>_xlfn.IFNA(VLOOKUP(Grandview_Inventory[[#This Row],[living_area_range]],Lookups!$F$47:$H$56,3,FALSE),1)</f>
        <v>0.96135087979789358</v>
      </c>
      <c r="BX842" s="4">
        <f>AVERAGE(Grandview_Inventory[[#This Row],[qual_adj]:[size_adj]])</f>
        <v>0.96488181398106743</v>
      </c>
      <c r="BY842" s="6">
        <f>IF(Grandview_Inventory[[#This Row],[pre_res]]&lt;0,0,Grandview_Inventory[[#This Row],[pre_res]]*Grandview_Inventory[[#This Row],[overall_adj]])</f>
        <v>247605.12382346296</v>
      </c>
      <c r="BZ842" s="6">
        <f>(Grandview_Inventory[[#This Row],[sum_land]]-IF(Grandview_Inventory[[#This Row],[no_utilities]]=1,12000,0))/IF(Grandview_Inventory[[#This Row],[unbuildable]]=1,2,1)</f>
        <v>56480.857465963549</v>
      </c>
      <c r="CA842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842">
        <f>ROUND(Grandview_Inventory[[#This Row],[det_value]]*Lookups!$M$28,-2)</f>
        <v>0</v>
      </c>
      <c r="CC842">
        <f>IF(ROUND(Grandview_Inventory[[#This Row],[adj_res]]*Lookups!$M$28,-2)&lt;Grandview_Inventory[[#This Row],[min_res]],Grandview_Inventory[[#This Row],[min_res]],ROUND(Grandview_Inventory[[#This Row],[adj_res]]*Lookups!$M$28,-2))</f>
        <v>235200</v>
      </c>
      <c r="CD842">
        <f>Grandview_Inventory[[#This Row],[final_det]]+Grandview_Inventory[[#This Row],[final_res]]</f>
        <v>235200</v>
      </c>
      <c r="CE842">
        <f>Grandview_Inventory[[#This Row],[final_land]]+Grandview_Inventory[[#This Row],[final_imp]]+Grandview_Inventory[[#This Row],[crop_value]]</f>
        <v>288900</v>
      </c>
      <c r="CG842" t="str">
        <f t="shared" si="13"/>
        <v>update valuation set market_land =53700, market_bldg=235200, market_total =288900, market_mdno =401, market_date ='9/10/2023' where link_id = (select link_id from parcel where parcel_year = '2024' and parcel_id = '23092232469');</v>
      </c>
    </row>
    <row r="843" spans="1:85" x14ac:dyDescent="0.25">
      <c r="A843">
        <v>23092232471</v>
      </c>
      <c r="B843">
        <v>0.3</v>
      </c>
      <c r="C843">
        <v>13035</v>
      </c>
      <c r="D843" t="s">
        <v>129</v>
      </c>
      <c r="E843" t="s">
        <v>53</v>
      </c>
      <c r="F843" t="s">
        <v>53</v>
      </c>
      <c r="G843">
        <v>4</v>
      </c>
      <c r="H843" t="s">
        <v>54</v>
      </c>
      <c r="I843">
        <v>212300</v>
      </c>
      <c r="J843">
        <v>40900</v>
      </c>
      <c r="K843">
        <v>0.3</v>
      </c>
      <c r="L843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843">
        <v>0</v>
      </c>
      <c r="N843">
        <v>0</v>
      </c>
      <c r="O843">
        <v>0</v>
      </c>
      <c r="P843">
        <v>13398.7528</v>
      </c>
      <c r="Q843">
        <v>63903</v>
      </c>
      <c r="R843">
        <f>(Grandview_Inventory[[#This Row],[ln_acres]]*Grandview_Inventory[[#This Row],[coeff]])+Grandview_Inventory[[#This Row],[const]]</f>
        <v>47771.266016914014</v>
      </c>
      <c r="S843" t="s">
        <v>61</v>
      </c>
      <c r="T843">
        <v>1</v>
      </c>
      <c r="U843" t="s">
        <v>70</v>
      </c>
      <c r="V843" t="s">
        <v>69</v>
      </c>
      <c r="W843">
        <v>0</v>
      </c>
      <c r="X843">
        <v>0</v>
      </c>
      <c r="Y843">
        <v>45</v>
      </c>
      <c r="Z843">
        <v>51</v>
      </c>
      <c r="AA843">
        <v>60</v>
      </c>
      <c r="AB843">
        <v>1500</v>
      </c>
      <c r="AC843">
        <v>1320</v>
      </c>
      <c r="AD843">
        <v>1320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432</v>
      </c>
      <c r="AL843">
        <v>0</v>
      </c>
      <c r="AM843">
        <v>330</v>
      </c>
      <c r="AN843">
        <v>0</v>
      </c>
      <c r="AO843">
        <v>330</v>
      </c>
      <c r="AP843">
        <v>5</v>
      </c>
      <c r="AQ843">
        <v>1</v>
      </c>
      <c r="AR843">
        <v>0</v>
      </c>
      <c r="AS843" t="s">
        <v>58</v>
      </c>
      <c r="AT843">
        <v>1</v>
      </c>
      <c r="AU843" t="s">
        <v>63</v>
      </c>
      <c r="AV843" t="s">
        <v>60</v>
      </c>
      <c r="AW843">
        <v>0</v>
      </c>
      <c r="AX843">
        <v>3</v>
      </c>
      <c r="AY843">
        <v>0</v>
      </c>
      <c r="AZ843">
        <v>37100</v>
      </c>
      <c r="BA843">
        <v>100</v>
      </c>
      <c r="BB843">
        <v>100</v>
      </c>
      <c r="BC843">
        <v>100</v>
      </c>
      <c r="BD843">
        <v>100</v>
      </c>
      <c r="BE843">
        <v>1</v>
      </c>
      <c r="BF843">
        <v>15000</v>
      </c>
      <c r="BG843">
        <v>1000</v>
      </c>
      <c r="BH843" s="6">
        <f>Grandview_Inventory[[#This Row],[land_extract]]*Lookups!$B$3</f>
        <v>55476.642243023998</v>
      </c>
      <c r="BI843" s="6">
        <f>IF(Grandview_Inventory[[#This Row],[bldg_style]]="",0,Lookups!$B$2)</f>
        <v>155833.95000000001</v>
      </c>
      <c r="BJ843" s="6">
        <f>_xlfn.IFNA(VLOOKUP(Grandview_Inventory[[#This Row],[quality]],Lookups!$H$2:$J$14,3,FALSE),0)</f>
        <v>10733</v>
      </c>
      <c r="BK843" s="6">
        <f>_xlfn.IFNA(VLOOKUP(Grandview_Inventory[[#This Row],[condition]],Lookups!$H$17:$J$24,3,FALSE),0)</f>
        <v>-4503</v>
      </c>
      <c r="BL843" s="6">
        <f>Grandview_Inventory[[#This Row],[Eff_Age]]*Lookups!$B$14</f>
        <v>-10762.496999999999</v>
      </c>
      <c r="BM843" s="6">
        <f>Grandview_Inventory[[#This Row],[living_area]]*Lookups!$B$15</f>
        <v>82342.725959999996</v>
      </c>
      <c r="BN843" s="6">
        <f>Grandview_Inventory[[#This Row],[Fin BSMT]]*Lookups!$B$16</f>
        <v>0</v>
      </c>
      <c r="BO843" s="6">
        <f>(Grandview_Inventory[[#This Row],[att_gar]]+Grandview_Inventory[[#This Row],[bltin_gar]])*Lookups!$B$17</f>
        <v>0</v>
      </c>
      <c r="BP843" s="6">
        <f>Grandview_Inventory[[#This Row],[Plumbing Fixtures]]*Lookups!$B$18</f>
        <v>10052.209000000001</v>
      </c>
      <c r="BQ843" s="6">
        <f>Grandview_Inventory[[#This Row],[detatched_value]]*Lookups!$B$19</f>
        <v>31416.469209999999</v>
      </c>
      <c r="BR843" s="6">
        <f>SUM(Grandview_Inventory[[#This Row],[Intercept]:[det_value]])*Grandview_Inventory[[#This Row],[res_pct]]</f>
        <v>275112.85716999997</v>
      </c>
      <c r="BS843" s="6">
        <f>Grandview_Inventory[[#This Row],[land_value]]</f>
        <v>55476.642243023998</v>
      </c>
      <c r="BT843" s="4">
        <f>_xlfn.IFNA(VLOOKUP(Grandview_Inventory[[#This Row],[quality]],Lookups!$A$26:$C$33,3,FALSE),1)</f>
        <v>0.98079741117310582</v>
      </c>
      <c r="BU843" s="4">
        <f>_xlfn.IFNA(VLOOKUP(Grandview_Inventory[[#This Row],[condition]],Lookups!$A$37:$C$44,3,FALSE),1)</f>
        <v>0.96469275950863709</v>
      </c>
      <c r="BV843" s="4">
        <f>IF(Grandview_Inventory[[#This Row],[bldg_style]]="",1,_xlfn.IFNA(VLOOKUP(Grandview_Inventory[[#This Row],[decade]],Lookups!$F$29:$H$43,3,FALSE),1))</f>
        <v>0.95268620544463312</v>
      </c>
      <c r="BW843" s="4">
        <f>_xlfn.IFNA(VLOOKUP(Grandview_Inventory[[#This Row],[living_area_range]],Lookups!$F$47:$H$56,3,FALSE),1)</f>
        <v>0.96135087979789358</v>
      </c>
      <c r="BX843" s="4">
        <f>AVERAGE(Grandview_Inventory[[#This Row],[qual_adj]:[size_adj]])</f>
        <v>0.96488181398106743</v>
      </c>
      <c r="BY843" s="6">
        <f>IF(Grandview_Inventory[[#This Row],[pre_res]]&lt;0,0,Grandview_Inventory[[#This Row],[pre_res]]*Grandview_Inventory[[#This Row],[overall_adj]])</f>
        <v>265451.39267570392</v>
      </c>
      <c r="BZ843" s="6">
        <f>(Grandview_Inventory[[#This Row],[sum_land]]-IF(Grandview_Inventory[[#This Row],[no_utilities]]=1,12000,0))/IF(Grandview_Inventory[[#This Row],[unbuildable]]=1,2,1)</f>
        <v>55476.642243023998</v>
      </c>
      <c r="CA843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843">
        <f>ROUND(Grandview_Inventory[[#This Row],[det_value]]*Lookups!$M$28,-2)</f>
        <v>29800</v>
      </c>
      <c r="CC843">
        <f>IF(ROUND(Grandview_Inventory[[#This Row],[adj_res]]*Lookups!$M$28,-2)&lt;Grandview_Inventory[[#This Row],[min_res]],Grandview_Inventory[[#This Row],[min_res]],ROUND(Grandview_Inventory[[#This Row],[adj_res]]*Lookups!$M$28,-2))</f>
        <v>252200</v>
      </c>
      <c r="CD843">
        <f>Grandview_Inventory[[#This Row],[final_det]]+Grandview_Inventory[[#This Row],[final_res]]</f>
        <v>282000</v>
      </c>
      <c r="CE843">
        <f>Grandview_Inventory[[#This Row],[final_land]]+Grandview_Inventory[[#This Row],[final_imp]]+Grandview_Inventory[[#This Row],[crop_value]]</f>
        <v>334700</v>
      </c>
      <c r="CG843" t="str">
        <f t="shared" si="13"/>
        <v>update valuation set market_land =52700, market_bldg=282000, market_total =334700, market_mdno =401, market_date ='9/10/2023' where link_id = (select link_id from parcel where parcel_year = '2024' and parcel_id = '23092232471');</v>
      </c>
    </row>
    <row r="844" spans="1:85" x14ac:dyDescent="0.25">
      <c r="A844">
        <v>23092232473</v>
      </c>
      <c r="B844">
        <v>1.89</v>
      </c>
      <c r="C844" t="s">
        <v>129</v>
      </c>
      <c r="D844" t="s">
        <v>129</v>
      </c>
      <c r="E844" t="s">
        <v>53</v>
      </c>
      <c r="F844" t="s">
        <v>53</v>
      </c>
      <c r="G844">
        <v>4</v>
      </c>
      <c r="H844" t="s">
        <v>54</v>
      </c>
      <c r="I844">
        <v>494400</v>
      </c>
      <c r="J844">
        <v>45900</v>
      </c>
      <c r="K844">
        <v>1.89</v>
      </c>
      <c r="L844">
        <f>IF(Grandview_Inventory[[#This Row],[parcel_acres]]-Grandview_Inventory[[#This Row],[non_valued_acres]] =0,0,LN(Grandview_Inventory[[#This Row],[parcel_acres]]-Grandview_Inventory[[#This Row],[non_valued_acres]]))</f>
        <v>0.636576829071551</v>
      </c>
      <c r="M844">
        <v>0</v>
      </c>
      <c r="N844">
        <v>0</v>
      </c>
      <c r="O844">
        <v>0</v>
      </c>
      <c r="P844">
        <v>13398.7528</v>
      </c>
      <c r="Q844">
        <v>63903</v>
      </c>
      <c r="R844">
        <f>(Grandview_Inventory[[#This Row],[ln_acres]]*Grandview_Inventory[[#This Row],[coeff]])+Grandview_Inventory[[#This Row],[const]]</f>
        <v>72432.335570937561</v>
      </c>
      <c r="S844" t="s">
        <v>61</v>
      </c>
      <c r="T844">
        <v>1</v>
      </c>
      <c r="U844" t="s">
        <v>64</v>
      </c>
      <c r="V844" t="s">
        <v>67</v>
      </c>
      <c r="W844">
        <v>0</v>
      </c>
      <c r="X844">
        <v>0</v>
      </c>
      <c r="Y844">
        <v>45</v>
      </c>
      <c r="Z844">
        <v>50</v>
      </c>
      <c r="AA844">
        <v>50</v>
      </c>
      <c r="AB844">
        <v>3000</v>
      </c>
      <c r="AC844">
        <v>2744</v>
      </c>
      <c r="AD844">
        <v>2744</v>
      </c>
      <c r="AE844">
        <v>0</v>
      </c>
      <c r="AF844">
        <v>0</v>
      </c>
      <c r="AG844">
        <v>0</v>
      </c>
      <c r="AH844">
        <v>0</v>
      </c>
      <c r="AI844">
        <v>700</v>
      </c>
      <c r="AJ844">
        <v>0</v>
      </c>
      <c r="AK844">
        <v>0</v>
      </c>
      <c r="AL844">
        <v>0</v>
      </c>
      <c r="AM844">
        <v>675</v>
      </c>
      <c r="AN844">
        <v>150</v>
      </c>
      <c r="AO844">
        <v>209</v>
      </c>
      <c r="AP844">
        <v>14</v>
      </c>
      <c r="AQ844">
        <v>0</v>
      </c>
      <c r="AR844">
        <v>0</v>
      </c>
      <c r="AS844" t="s">
        <v>76</v>
      </c>
      <c r="AT844">
        <v>1</v>
      </c>
      <c r="AU844" t="s">
        <v>63</v>
      </c>
      <c r="AV844" t="s">
        <v>60</v>
      </c>
      <c r="AW844">
        <v>1</v>
      </c>
      <c r="AX844">
        <v>4</v>
      </c>
      <c r="AY844">
        <v>0</v>
      </c>
      <c r="AZ844">
        <v>127300</v>
      </c>
      <c r="BA844">
        <v>100</v>
      </c>
      <c r="BB844">
        <v>100</v>
      </c>
      <c r="BC844">
        <v>100</v>
      </c>
      <c r="BD844">
        <v>100</v>
      </c>
      <c r="BE844">
        <v>1</v>
      </c>
      <c r="BF844">
        <v>15000</v>
      </c>
      <c r="BG844">
        <v>1000</v>
      </c>
      <c r="BH844" s="6">
        <f>Grandview_Inventory[[#This Row],[land_extract]]*Lookups!$B$3</f>
        <v>84115.475731223749</v>
      </c>
      <c r="BI844" s="6">
        <f>IF(Grandview_Inventory[[#This Row],[bldg_style]]="",0,Lookups!$B$2)</f>
        <v>155833.95000000001</v>
      </c>
      <c r="BJ844" s="6">
        <f>_xlfn.IFNA(VLOOKUP(Grandview_Inventory[[#This Row],[quality]],Lookups!$H$2:$J$14,3,FALSE),0)</f>
        <v>20768</v>
      </c>
      <c r="BK844" s="6">
        <f>_xlfn.IFNA(VLOOKUP(Grandview_Inventory[[#This Row],[condition]],Lookups!$H$17:$J$24,3,FALSE),0)</f>
        <v>22342</v>
      </c>
      <c r="BL844" s="6">
        <f>Grandview_Inventory[[#This Row],[Eff_Age]]*Lookups!$B$14</f>
        <v>-10762.496999999999</v>
      </c>
      <c r="BM844" s="6">
        <f>Grandview_Inventory[[#This Row],[living_area]]*Lookups!$B$15</f>
        <v>171173.06063200001</v>
      </c>
      <c r="BN844" s="6">
        <f>Grandview_Inventory[[#This Row],[Fin BSMT]]*Lookups!$B$16</f>
        <v>0</v>
      </c>
      <c r="BO844" s="6">
        <f>(Grandview_Inventory[[#This Row],[att_gar]]+Grandview_Inventory[[#This Row],[bltin_gar]])*Lookups!$B$17</f>
        <v>61264.305899999999</v>
      </c>
      <c r="BP844" s="6">
        <f>Grandview_Inventory[[#This Row],[Plumbing Fixtures]]*Lookups!$B$18</f>
        <v>28146.1852</v>
      </c>
      <c r="BQ844" s="6">
        <f>Grandview_Inventory[[#This Row],[detatched_value]]*Lookups!$B$19</f>
        <v>107798.28922999999</v>
      </c>
      <c r="BR844" s="6">
        <f>SUM(Grandview_Inventory[[#This Row],[Intercept]:[det_value]])*Grandview_Inventory[[#This Row],[res_pct]]</f>
        <v>556563.29396199994</v>
      </c>
      <c r="BS844" s="6">
        <f>Grandview_Inventory[[#This Row],[land_value]]</f>
        <v>84115.475731223749</v>
      </c>
      <c r="BT844" s="4">
        <f>_xlfn.IFNA(VLOOKUP(Grandview_Inventory[[#This Row],[quality]],Lookups!$A$26:$C$33,3,FALSE),1)</f>
        <v>0.94960540378902636</v>
      </c>
      <c r="BU844" s="4">
        <f>_xlfn.IFNA(VLOOKUP(Grandview_Inventory[[#This Row],[condition]],Lookups!$A$37:$C$44,3,FALSE),1)</f>
        <v>0.97383723671140243</v>
      </c>
      <c r="BV844" s="4">
        <f>IF(Grandview_Inventory[[#This Row],[bldg_style]]="",1,_xlfn.IFNA(VLOOKUP(Grandview_Inventory[[#This Row],[decade]],Lookups!$F$29:$H$43,3,FALSE),1))</f>
        <v>0.9871940091910919</v>
      </c>
      <c r="BW844" s="4">
        <f>_xlfn.IFNA(VLOOKUP(Grandview_Inventory[[#This Row],[living_area_range]],Lookups!$F$47:$H$56,3,FALSE),1)</f>
        <v>0.94224801443562123</v>
      </c>
      <c r="BX844" s="4">
        <f>AVERAGE(Grandview_Inventory[[#This Row],[qual_adj]:[size_adj]])</f>
        <v>0.96322116603178554</v>
      </c>
      <c r="BY844" s="6">
        <f>IF(Grandview_Inventory[[#This Row],[pre_res]]&lt;0,0,Grandview_Inventory[[#This Row],[pre_res]]*Grandview_Inventory[[#This Row],[overall_adj]])</f>
        <v>536093.54498056904</v>
      </c>
      <c r="BZ844" s="6">
        <f>(Grandview_Inventory[[#This Row],[sum_land]]-IF(Grandview_Inventory[[#This Row],[no_utilities]]=1,12000,0))/IF(Grandview_Inventory[[#This Row],[unbuildable]]=1,2,1)</f>
        <v>84115.475731223749</v>
      </c>
      <c r="CA844">
        <f>IF(ROUND(Grandview_Inventory[[#This Row],[adj_land]]*Lookups!$M$28,-2)&lt;Grandview_Inventory[[#This Row],[min_land]],Grandview_Inventory[[#This Row],[min_land]],ROUND(Grandview_Inventory[[#This Row],[adj_land]]*Lookups!$M$28,-2))</f>
        <v>79900</v>
      </c>
      <c r="CB844">
        <f>ROUND(Grandview_Inventory[[#This Row],[det_value]]*Lookups!$M$28,-2)</f>
        <v>102400</v>
      </c>
      <c r="CC844">
        <f>IF(ROUND(Grandview_Inventory[[#This Row],[adj_res]]*Lookups!$M$28,-2)&lt;Grandview_Inventory[[#This Row],[min_res]],Grandview_Inventory[[#This Row],[min_res]],ROUND(Grandview_Inventory[[#This Row],[adj_res]]*Lookups!$M$28,-2))</f>
        <v>509300</v>
      </c>
      <c r="CD844">
        <f>Grandview_Inventory[[#This Row],[final_det]]+Grandview_Inventory[[#This Row],[final_res]]</f>
        <v>611700</v>
      </c>
      <c r="CE844">
        <f>Grandview_Inventory[[#This Row],[final_land]]+Grandview_Inventory[[#This Row],[final_imp]]+Grandview_Inventory[[#This Row],[crop_value]]</f>
        <v>691600</v>
      </c>
      <c r="CG844" t="str">
        <f t="shared" si="13"/>
        <v>update valuation set market_land =79900, market_bldg=611700, market_total =691600, market_mdno =401, market_date ='9/10/2023' where link_id = (select link_id from parcel where parcel_year = '2024' and parcel_id = '23092232473');</v>
      </c>
    </row>
    <row r="845" spans="1:85" x14ac:dyDescent="0.25">
      <c r="A845">
        <v>23092232474</v>
      </c>
      <c r="B845">
        <v>1.17</v>
      </c>
      <c r="C845" t="s">
        <v>129</v>
      </c>
      <c r="D845" t="s">
        <v>129</v>
      </c>
      <c r="E845" t="s">
        <v>53</v>
      </c>
      <c r="F845" t="s">
        <v>53</v>
      </c>
      <c r="G845">
        <v>4</v>
      </c>
      <c r="H845" t="s">
        <v>54</v>
      </c>
      <c r="I845">
        <v>407900</v>
      </c>
      <c r="J845">
        <v>49100</v>
      </c>
      <c r="K845">
        <v>1.17</v>
      </c>
      <c r="L845">
        <f>IF(Grandview_Inventory[[#This Row],[parcel_acres]]-Grandview_Inventory[[#This Row],[non_valued_acres]] =0,0,LN(Grandview_Inventory[[#This Row],[parcel_acres]]-Grandview_Inventory[[#This Row],[non_valued_acres]]))</f>
        <v>0.15700374880966469</v>
      </c>
      <c r="M845">
        <v>0</v>
      </c>
      <c r="N845">
        <v>0</v>
      </c>
      <c r="O845">
        <v>0</v>
      </c>
      <c r="P845">
        <v>13398.7528</v>
      </c>
      <c r="Q845">
        <v>63903</v>
      </c>
      <c r="R845">
        <f>(Grandview_Inventory[[#This Row],[ln_acres]]*Grandview_Inventory[[#This Row],[coeff]])+Grandview_Inventory[[#This Row],[const]]</f>
        <v>66006.654418973994</v>
      </c>
      <c r="S845" t="s">
        <v>61</v>
      </c>
      <c r="T845">
        <v>1</v>
      </c>
      <c r="U845" t="s">
        <v>62</v>
      </c>
      <c r="V845" t="s">
        <v>67</v>
      </c>
      <c r="W845">
        <v>0</v>
      </c>
      <c r="X845">
        <v>0</v>
      </c>
      <c r="Y845">
        <v>43</v>
      </c>
      <c r="Z845">
        <v>44</v>
      </c>
      <c r="AA845">
        <v>50</v>
      </c>
      <c r="AB845">
        <v>4000</v>
      </c>
      <c r="AC845">
        <v>3744</v>
      </c>
      <c r="AD845">
        <v>2080</v>
      </c>
      <c r="AE845">
        <v>0</v>
      </c>
      <c r="AF845">
        <v>0</v>
      </c>
      <c r="AG845">
        <v>1664</v>
      </c>
      <c r="AH845">
        <v>0</v>
      </c>
      <c r="AI845">
        <v>600</v>
      </c>
      <c r="AJ845">
        <v>0</v>
      </c>
      <c r="AK845">
        <v>0</v>
      </c>
      <c r="AL845">
        <v>0</v>
      </c>
      <c r="AM845">
        <v>552</v>
      </c>
      <c r="AN845">
        <v>288</v>
      </c>
      <c r="AO845">
        <v>552</v>
      </c>
      <c r="AP845">
        <v>14</v>
      </c>
      <c r="AQ845">
        <v>0</v>
      </c>
      <c r="AR845">
        <v>0</v>
      </c>
      <c r="AS845" t="s">
        <v>76</v>
      </c>
      <c r="AT845">
        <v>1</v>
      </c>
      <c r="AU845" t="s">
        <v>63</v>
      </c>
      <c r="AV845" t="s">
        <v>60</v>
      </c>
      <c r="AW845">
        <v>1</v>
      </c>
      <c r="AX845">
        <v>5</v>
      </c>
      <c r="AY845">
        <v>0</v>
      </c>
      <c r="AZ845">
        <v>58700</v>
      </c>
      <c r="BA845">
        <v>100</v>
      </c>
      <c r="BB845">
        <v>100</v>
      </c>
      <c r="BC845">
        <v>100</v>
      </c>
      <c r="BD845">
        <v>100</v>
      </c>
      <c r="BE845">
        <v>1</v>
      </c>
      <c r="BF845">
        <v>15000</v>
      </c>
      <c r="BG845">
        <v>1000</v>
      </c>
      <c r="BH845" s="6">
        <f>Grandview_Inventory[[#This Row],[land_extract]]*Lookups!$B$3</f>
        <v>76653.349558787566</v>
      </c>
      <c r="BI845" s="6">
        <f>IF(Grandview_Inventory[[#This Row],[bldg_style]]="",0,Lookups!$B$2)</f>
        <v>155833.95000000001</v>
      </c>
      <c r="BJ845" s="6">
        <f>_xlfn.IFNA(VLOOKUP(Grandview_Inventory[[#This Row],[quality]],Lookups!$H$2:$J$14,3,FALSE),0)</f>
        <v>9808</v>
      </c>
      <c r="BK845" s="6">
        <f>_xlfn.IFNA(VLOOKUP(Grandview_Inventory[[#This Row],[condition]],Lookups!$H$17:$J$24,3,FALSE),0)</f>
        <v>22342</v>
      </c>
      <c r="BL845" s="6">
        <f>Grandview_Inventory[[#This Row],[Eff_Age]]*Lookups!$B$14</f>
        <v>-10284.1638</v>
      </c>
      <c r="BM845" s="6">
        <f>Grandview_Inventory[[#This Row],[living_area]]*Lookups!$B$15</f>
        <v>233553.91363200001</v>
      </c>
      <c r="BN845" s="6">
        <f>Grandview_Inventory[[#This Row],[Fin BSMT]]*Lookups!$B$16</f>
        <v>-45093.13536</v>
      </c>
      <c r="BO845" s="6">
        <f>(Grandview_Inventory[[#This Row],[att_gar]]+Grandview_Inventory[[#This Row],[bltin_gar]])*Lookups!$B$17</f>
        <v>52512.262199999997</v>
      </c>
      <c r="BP845" s="6">
        <f>Grandview_Inventory[[#This Row],[Plumbing Fixtures]]*Lookups!$B$18</f>
        <v>28146.1852</v>
      </c>
      <c r="BQ845" s="6">
        <f>Grandview_Inventory[[#This Row],[detatched_value]]*Lookups!$B$19</f>
        <v>49707.459369999997</v>
      </c>
      <c r="BR845" s="6">
        <f>SUM(Grandview_Inventory[[#This Row],[Intercept]:[det_value]])*Grandview_Inventory[[#This Row],[res_pct]]</f>
        <v>496526.471242</v>
      </c>
      <c r="BS845" s="6">
        <f>Grandview_Inventory[[#This Row],[land_value]]</f>
        <v>76653.349558787566</v>
      </c>
      <c r="BT845" s="4">
        <f>_xlfn.IFNA(VLOOKUP(Grandview_Inventory[[#This Row],[quality]],Lookups!$A$26:$C$33,3,FALSE),1)</f>
        <v>0.94295468617355149</v>
      </c>
      <c r="BU845" s="4">
        <f>_xlfn.IFNA(VLOOKUP(Grandview_Inventory[[#This Row],[condition]],Lookups!$A$37:$C$44,3,FALSE),1)</f>
        <v>0.97383723671140243</v>
      </c>
      <c r="BV845" s="4">
        <f>IF(Grandview_Inventory[[#This Row],[bldg_style]]="",1,_xlfn.IFNA(VLOOKUP(Grandview_Inventory[[#This Row],[decade]],Lookups!$F$29:$H$43,3,FALSE),1))</f>
        <v>0.9871940091910919</v>
      </c>
      <c r="BW845" s="4">
        <f>_xlfn.IFNA(VLOOKUP(Grandview_Inventory[[#This Row],[living_area_range]],Lookups!$F$47:$H$56,3,FALSE),1)</f>
        <v>0.90089875105039252</v>
      </c>
      <c r="BX845" s="4">
        <f>AVERAGE(Grandview_Inventory[[#This Row],[qual_adj]:[size_adj]])</f>
        <v>0.95122117078160962</v>
      </c>
      <c r="BY845" s="6">
        <f>IF(Grandview_Inventory[[#This Row],[pre_res]]&lt;0,0,Grandview_Inventory[[#This Row],[pre_res]]*Grandview_Inventory[[#This Row],[overall_adj]])</f>
        <v>472306.49129887647</v>
      </c>
      <c r="BZ845" s="6">
        <f>(Grandview_Inventory[[#This Row],[sum_land]]-IF(Grandview_Inventory[[#This Row],[no_utilities]]=1,12000,0))/IF(Grandview_Inventory[[#This Row],[unbuildable]]=1,2,1)</f>
        <v>76653.349558787566</v>
      </c>
      <c r="CA845">
        <f>IF(ROUND(Grandview_Inventory[[#This Row],[adj_land]]*Lookups!$M$28,-2)&lt;Grandview_Inventory[[#This Row],[min_land]],Grandview_Inventory[[#This Row],[min_land]],ROUND(Grandview_Inventory[[#This Row],[adj_land]]*Lookups!$M$28,-2))</f>
        <v>72800</v>
      </c>
      <c r="CB845">
        <f>ROUND(Grandview_Inventory[[#This Row],[det_value]]*Lookups!$M$28,-2)</f>
        <v>47200</v>
      </c>
      <c r="CC845">
        <f>IF(ROUND(Grandview_Inventory[[#This Row],[adj_res]]*Lookups!$M$28,-2)&lt;Grandview_Inventory[[#This Row],[min_res]],Grandview_Inventory[[#This Row],[min_res]],ROUND(Grandview_Inventory[[#This Row],[adj_res]]*Lookups!$M$28,-2))</f>
        <v>448700</v>
      </c>
      <c r="CD845">
        <f>Grandview_Inventory[[#This Row],[final_det]]+Grandview_Inventory[[#This Row],[final_res]]</f>
        <v>495900</v>
      </c>
      <c r="CE845">
        <f>Grandview_Inventory[[#This Row],[final_land]]+Grandview_Inventory[[#This Row],[final_imp]]+Grandview_Inventory[[#This Row],[crop_value]]</f>
        <v>568700</v>
      </c>
      <c r="CG845" t="str">
        <f t="shared" si="13"/>
        <v>update valuation set market_land =72800, market_bldg=495900, market_total =568700, market_mdno =401, market_date ='9/10/2023' where link_id = (select link_id from parcel where parcel_year = '2024' and parcel_id = '23092232474');</v>
      </c>
    </row>
    <row r="846" spans="1:85" x14ac:dyDescent="0.25">
      <c r="A846">
        <v>23092232475</v>
      </c>
      <c r="B846">
        <v>0.63</v>
      </c>
      <c r="C846" t="s">
        <v>129</v>
      </c>
      <c r="D846" t="s">
        <v>129</v>
      </c>
      <c r="E846" t="s">
        <v>53</v>
      </c>
      <c r="F846" t="s">
        <v>53</v>
      </c>
      <c r="G846">
        <v>4</v>
      </c>
      <c r="H846" t="s">
        <v>54</v>
      </c>
      <c r="I846">
        <v>296400</v>
      </c>
      <c r="J846">
        <v>47000</v>
      </c>
      <c r="K846">
        <v>0.63</v>
      </c>
      <c r="L846">
        <f>IF(Grandview_Inventory[[#This Row],[parcel_acres]]-Grandview_Inventory[[#This Row],[non_valued_acres]] =0,0,LN(Grandview_Inventory[[#This Row],[parcel_acres]]-Grandview_Inventory[[#This Row],[non_valued_acres]]))</f>
        <v>-0.46203545959655867</v>
      </c>
      <c r="M846">
        <v>0</v>
      </c>
      <c r="N846">
        <v>0</v>
      </c>
      <c r="O846">
        <v>0</v>
      </c>
      <c r="P846">
        <v>13398.7528</v>
      </c>
      <c r="Q846">
        <v>63903</v>
      </c>
      <c r="R846">
        <f>(Grandview_Inventory[[#This Row],[ln_acres]]*Grandview_Inventory[[#This Row],[coeff]])+Grandview_Inventory[[#This Row],[const]]</f>
        <v>57712.301092031325</v>
      </c>
      <c r="S846" t="s">
        <v>61</v>
      </c>
      <c r="T846">
        <v>1</v>
      </c>
      <c r="U846" t="s">
        <v>62</v>
      </c>
      <c r="V846" t="s">
        <v>67</v>
      </c>
      <c r="W846">
        <v>0</v>
      </c>
      <c r="X846">
        <v>0</v>
      </c>
      <c r="Y846">
        <v>44</v>
      </c>
      <c r="Z846">
        <v>48</v>
      </c>
      <c r="AA846">
        <v>50</v>
      </c>
      <c r="AB846">
        <v>2000</v>
      </c>
      <c r="AC846">
        <v>1860</v>
      </c>
      <c r="AD846">
        <v>1860</v>
      </c>
      <c r="AE846">
        <v>0</v>
      </c>
      <c r="AF846">
        <v>0</v>
      </c>
      <c r="AG846">
        <v>0</v>
      </c>
      <c r="AH846">
        <v>0</v>
      </c>
      <c r="AI846">
        <v>528</v>
      </c>
      <c r="AJ846">
        <v>0</v>
      </c>
      <c r="AK846">
        <v>0</v>
      </c>
      <c r="AL846">
        <v>0</v>
      </c>
      <c r="AM846">
        <v>1251</v>
      </c>
      <c r="AN846">
        <v>0</v>
      </c>
      <c r="AO846">
        <v>0</v>
      </c>
      <c r="AP846">
        <v>11</v>
      </c>
      <c r="AQ846">
        <v>0</v>
      </c>
      <c r="AR846">
        <v>0</v>
      </c>
      <c r="AS846" t="s">
        <v>58</v>
      </c>
      <c r="AT846">
        <v>1</v>
      </c>
      <c r="AU846" t="s">
        <v>59</v>
      </c>
      <c r="AV846" t="s">
        <v>60</v>
      </c>
      <c r="AW846">
        <v>1</v>
      </c>
      <c r="AX846">
        <v>3</v>
      </c>
      <c r="AY846">
        <v>0</v>
      </c>
      <c r="AZ846">
        <v>37100</v>
      </c>
      <c r="BA846">
        <v>100</v>
      </c>
      <c r="BB846">
        <v>100</v>
      </c>
      <c r="BC846">
        <v>100</v>
      </c>
      <c r="BD846">
        <v>100</v>
      </c>
      <c r="BE846">
        <v>1</v>
      </c>
      <c r="BF846">
        <v>15000</v>
      </c>
      <c r="BG846">
        <v>1000</v>
      </c>
      <c r="BH846" s="6">
        <f>Grandview_Inventory[[#This Row],[land_extract]]*Lookups!$B$3</f>
        <v>67021.139434963028</v>
      </c>
      <c r="BI846" s="6">
        <f>IF(Grandview_Inventory[[#This Row],[bldg_style]]="",0,Lookups!$B$2)</f>
        <v>155833.95000000001</v>
      </c>
      <c r="BJ846" s="6">
        <f>_xlfn.IFNA(VLOOKUP(Grandview_Inventory[[#This Row],[quality]],Lookups!$H$2:$J$14,3,FALSE),0)</f>
        <v>9808</v>
      </c>
      <c r="BK846" s="6">
        <f>_xlfn.IFNA(VLOOKUP(Grandview_Inventory[[#This Row],[condition]],Lookups!$H$17:$J$24,3,FALSE),0)</f>
        <v>22342</v>
      </c>
      <c r="BL846" s="6">
        <f>Grandview_Inventory[[#This Row],[Eff_Age]]*Lookups!$B$14</f>
        <v>-10523.330399999999</v>
      </c>
      <c r="BM846" s="6">
        <f>Grandview_Inventory[[#This Row],[living_area]]*Lookups!$B$15</f>
        <v>116028.38658000001</v>
      </c>
      <c r="BN846" s="6">
        <f>Grandview_Inventory[[#This Row],[Fin BSMT]]*Lookups!$B$16</f>
        <v>0</v>
      </c>
      <c r="BO846" s="6">
        <f>(Grandview_Inventory[[#This Row],[att_gar]]+Grandview_Inventory[[#This Row],[bltin_gar]])*Lookups!$B$17</f>
        <v>46210.790736000003</v>
      </c>
      <c r="BP846" s="6">
        <f>Grandview_Inventory[[#This Row],[Plumbing Fixtures]]*Lookups!$B$18</f>
        <v>22114.859800000002</v>
      </c>
      <c r="BQ846" s="6">
        <f>Grandview_Inventory[[#This Row],[detatched_value]]*Lookups!$B$19</f>
        <v>31416.469209999999</v>
      </c>
      <c r="BR846" s="6">
        <f>SUM(Grandview_Inventory[[#This Row],[Intercept]:[det_value]])*Grandview_Inventory[[#This Row],[res_pct]]</f>
        <v>393231.12592600001</v>
      </c>
      <c r="BS846" s="6">
        <f>Grandview_Inventory[[#This Row],[land_value]]</f>
        <v>67021.139434963028</v>
      </c>
      <c r="BT846" s="4">
        <f>_xlfn.IFNA(VLOOKUP(Grandview_Inventory[[#This Row],[quality]],Lookups!$A$26:$C$33,3,FALSE),1)</f>
        <v>0.94295468617355149</v>
      </c>
      <c r="BU846" s="4">
        <f>_xlfn.IFNA(VLOOKUP(Grandview_Inventory[[#This Row],[condition]],Lookups!$A$37:$C$44,3,FALSE),1)</f>
        <v>0.97383723671140243</v>
      </c>
      <c r="BV846" s="4">
        <f>IF(Grandview_Inventory[[#This Row],[bldg_style]]="",1,_xlfn.IFNA(VLOOKUP(Grandview_Inventory[[#This Row],[decade]],Lookups!$F$29:$H$43,3,FALSE),1))</f>
        <v>0.9871940091910919</v>
      </c>
      <c r="BW846" s="4">
        <f>_xlfn.IFNA(VLOOKUP(Grandview_Inventory[[#This Row],[living_area_range]],Lookups!$F$47:$H$56,3,FALSE),1)</f>
        <v>0.96120133463014379</v>
      </c>
      <c r="BX846" s="4">
        <f>AVERAGE(Grandview_Inventory[[#This Row],[qual_adj]:[size_adj]])</f>
        <v>0.96629681667654732</v>
      </c>
      <c r="BY846" s="6">
        <f>IF(Grandview_Inventory[[#This Row],[pre_res]]&lt;0,0,Grandview_Inventory[[#This Row],[pre_res]]*Grandview_Inventory[[#This Row],[overall_adj]])</f>
        <v>379977.98520042835</v>
      </c>
      <c r="BZ846" s="6">
        <f>(Grandview_Inventory[[#This Row],[sum_land]]-IF(Grandview_Inventory[[#This Row],[no_utilities]]=1,12000,0))/IF(Grandview_Inventory[[#This Row],[unbuildable]]=1,2,1)</f>
        <v>67021.139434963028</v>
      </c>
      <c r="CA846">
        <f>IF(ROUND(Grandview_Inventory[[#This Row],[adj_land]]*Lookups!$M$28,-2)&lt;Grandview_Inventory[[#This Row],[min_land]],Grandview_Inventory[[#This Row],[min_land]],ROUND(Grandview_Inventory[[#This Row],[adj_land]]*Lookups!$M$28,-2))</f>
        <v>63700</v>
      </c>
      <c r="CB846">
        <f>ROUND(Grandview_Inventory[[#This Row],[det_value]]*Lookups!$M$28,-2)</f>
        <v>29800</v>
      </c>
      <c r="CC846">
        <f>IF(ROUND(Grandview_Inventory[[#This Row],[adj_res]]*Lookups!$M$28,-2)&lt;Grandview_Inventory[[#This Row],[min_res]],Grandview_Inventory[[#This Row],[min_res]],ROUND(Grandview_Inventory[[#This Row],[adj_res]]*Lookups!$M$28,-2))</f>
        <v>361000</v>
      </c>
      <c r="CD846">
        <f>Grandview_Inventory[[#This Row],[final_det]]+Grandview_Inventory[[#This Row],[final_res]]</f>
        <v>390800</v>
      </c>
      <c r="CE846">
        <f>Grandview_Inventory[[#This Row],[final_land]]+Grandview_Inventory[[#This Row],[final_imp]]+Grandview_Inventory[[#This Row],[crop_value]]</f>
        <v>454500</v>
      </c>
      <c r="CG846" t="str">
        <f t="shared" si="13"/>
        <v>update valuation set market_land =63700, market_bldg=390800, market_total =454500, market_mdno =401, market_date ='9/10/2023' where link_id = (select link_id from parcel where parcel_year = '2024' and parcel_id = '23092232475');</v>
      </c>
    </row>
    <row r="847" spans="1:85" x14ac:dyDescent="0.25">
      <c r="A847">
        <v>23092232476</v>
      </c>
      <c r="B847">
        <v>0.17</v>
      </c>
      <c r="C847">
        <v>7605</v>
      </c>
      <c r="D847" t="s">
        <v>129</v>
      </c>
      <c r="E847" t="s">
        <v>53</v>
      </c>
      <c r="F847" t="s">
        <v>53</v>
      </c>
      <c r="G847">
        <v>4</v>
      </c>
      <c r="H847" t="s">
        <v>54</v>
      </c>
      <c r="I847">
        <v>155800</v>
      </c>
      <c r="J847">
        <v>43100</v>
      </c>
      <c r="K847">
        <v>0.17</v>
      </c>
      <c r="L84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847">
        <v>0</v>
      </c>
      <c r="N847">
        <v>0</v>
      </c>
      <c r="O847">
        <v>0</v>
      </c>
      <c r="P847">
        <v>13398.7528</v>
      </c>
      <c r="Q847">
        <v>63903</v>
      </c>
      <c r="R847">
        <f>(Grandview_Inventory[[#This Row],[ln_acres]]*Grandview_Inventory[[#This Row],[coeff]])+Grandview_Inventory[[#This Row],[const]]</f>
        <v>40160.988302686128</v>
      </c>
      <c r="S847" t="s">
        <v>58</v>
      </c>
      <c r="T847">
        <v>1</v>
      </c>
      <c r="U847" t="s">
        <v>65</v>
      </c>
      <c r="V847" t="s">
        <v>69</v>
      </c>
      <c r="W847">
        <v>0</v>
      </c>
      <c r="X847">
        <v>0</v>
      </c>
      <c r="Y847">
        <v>42</v>
      </c>
      <c r="Z847">
        <v>42</v>
      </c>
      <c r="AA847">
        <v>50</v>
      </c>
      <c r="AB847">
        <v>1500</v>
      </c>
      <c r="AC847">
        <v>1148</v>
      </c>
      <c r="AD847">
        <v>1148</v>
      </c>
      <c r="AE847">
        <v>0</v>
      </c>
      <c r="AF847">
        <v>0</v>
      </c>
      <c r="AG847">
        <v>0</v>
      </c>
      <c r="AH847">
        <v>0</v>
      </c>
      <c r="AI847">
        <v>308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5</v>
      </c>
      <c r="AQ847">
        <v>0</v>
      </c>
      <c r="AR847">
        <v>0</v>
      </c>
      <c r="AS847" t="s">
        <v>58</v>
      </c>
      <c r="AT847">
        <v>1</v>
      </c>
      <c r="AU847" t="s">
        <v>63</v>
      </c>
      <c r="AV847" t="s">
        <v>60</v>
      </c>
      <c r="AW847">
        <v>0</v>
      </c>
      <c r="AX847">
        <v>3</v>
      </c>
      <c r="AY847">
        <v>0</v>
      </c>
      <c r="AZ847">
        <v>0</v>
      </c>
      <c r="BA847">
        <v>100</v>
      </c>
      <c r="BB847">
        <v>100</v>
      </c>
      <c r="BC847">
        <v>100</v>
      </c>
      <c r="BD847">
        <v>100</v>
      </c>
      <c r="BE847">
        <v>1</v>
      </c>
      <c r="BF847">
        <v>15000</v>
      </c>
      <c r="BG847">
        <v>1000</v>
      </c>
      <c r="BH847" s="6">
        <f>Grandview_Inventory[[#This Row],[land_extract]]*Lookups!$B$3</f>
        <v>46638.847281240982</v>
      </c>
      <c r="BI847" s="6">
        <f>IF(Grandview_Inventory[[#This Row],[bldg_style]]="",0,Lookups!$B$2)</f>
        <v>155833.95000000001</v>
      </c>
      <c r="BJ847" s="6">
        <f>_xlfn.IFNA(VLOOKUP(Grandview_Inventory[[#This Row],[quality]],Lookups!$H$2:$J$14,3,FALSE),0)</f>
        <v>2251</v>
      </c>
      <c r="BK847" s="6">
        <f>_xlfn.IFNA(VLOOKUP(Grandview_Inventory[[#This Row],[condition]],Lookups!$H$17:$J$24,3,FALSE),0)</f>
        <v>-4503</v>
      </c>
      <c r="BL847" s="6">
        <f>Grandview_Inventory[[#This Row],[Eff_Age]]*Lookups!$B$14</f>
        <v>-10044.9972</v>
      </c>
      <c r="BM847" s="6">
        <f>Grandview_Inventory[[#This Row],[living_area]]*Lookups!$B$15</f>
        <v>71613.219244000007</v>
      </c>
      <c r="BN847" s="6">
        <f>Grandview_Inventory[[#This Row],[Fin BSMT]]*Lookups!$B$16</f>
        <v>0</v>
      </c>
      <c r="BO847" s="6">
        <f>(Grandview_Inventory[[#This Row],[att_gar]]+Grandview_Inventory[[#This Row],[bltin_gar]])*Lookups!$B$17</f>
        <v>26956.294596</v>
      </c>
      <c r="BP847" s="6">
        <f>Grandview_Inventory[[#This Row],[Plumbing Fixtures]]*Lookups!$B$18</f>
        <v>10052.209000000001</v>
      </c>
      <c r="BQ847" s="6">
        <f>Grandview_Inventory[[#This Row],[detatched_value]]*Lookups!$B$19</f>
        <v>0</v>
      </c>
      <c r="BR847" s="6">
        <f>SUM(Grandview_Inventory[[#This Row],[Intercept]:[det_value]])*Grandview_Inventory[[#This Row],[res_pct]]</f>
        <v>252158.67564</v>
      </c>
      <c r="BS847" s="6">
        <f>Grandview_Inventory[[#This Row],[land_value]]</f>
        <v>46638.847281240982</v>
      </c>
      <c r="BT847" s="4">
        <f>_xlfn.IFNA(VLOOKUP(Grandview_Inventory[[#This Row],[quality]],Lookups!$A$26:$C$33,3,FALSE),1)</f>
        <v>0.98763855981004833</v>
      </c>
      <c r="BU847" s="4">
        <f>_xlfn.IFNA(VLOOKUP(Grandview_Inventory[[#This Row],[condition]],Lookups!$A$37:$C$44,3,FALSE),1)</f>
        <v>0.96469275950863709</v>
      </c>
      <c r="BV847" s="4">
        <f>IF(Grandview_Inventory[[#This Row],[bldg_style]]="",1,_xlfn.IFNA(VLOOKUP(Grandview_Inventory[[#This Row],[decade]],Lookups!$F$29:$H$43,3,FALSE),1))</f>
        <v>0.9871940091910919</v>
      </c>
      <c r="BW847" s="4">
        <f>_xlfn.IFNA(VLOOKUP(Grandview_Inventory[[#This Row],[living_area_range]],Lookups!$F$47:$H$56,3,FALSE),1)</f>
        <v>0.96135087979789358</v>
      </c>
      <c r="BX847" s="4">
        <f>AVERAGE(Grandview_Inventory[[#This Row],[qual_adj]:[size_adj]])</f>
        <v>0.97521905207691773</v>
      </c>
      <c r="BY847" s="6">
        <f>IF(Grandview_Inventory[[#This Row],[pre_res]]&lt;0,0,Grandview_Inventory[[#This Row],[pre_res]]*Grandview_Inventory[[#This Row],[overall_adj]])</f>
        <v>245909.94463061178</v>
      </c>
      <c r="BZ847" s="6">
        <f>(Grandview_Inventory[[#This Row],[sum_land]]-IF(Grandview_Inventory[[#This Row],[no_utilities]]=1,12000,0))/IF(Grandview_Inventory[[#This Row],[unbuildable]]=1,2,1)</f>
        <v>46638.847281240982</v>
      </c>
      <c r="CA84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847">
        <f>ROUND(Grandview_Inventory[[#This Row],[det_value]]*Lookups!$M$28,-2)</f>
        <v>0</v>
      </c>
      <c r="CC847">
        <f>IF(ROUND(Grandview_Inventory[[#This Row],[adj_res]]*Lookups!$M$28,-2)&lt;Grandview_Inventory[[#This Row],[min_res]],Grandview_Inventory[[#This Row],[min_res]],ROUND(Grandview_Inventory[[#This Row],[adj_res]]*Lookups!$M$28,-2))</f>
        <v>233600</v>
      </c>
      <c r="CD847">
        <f>Grandview_Inventory[[#This Row],[final_det]]+Grandview_Inventory[[#This Row],[final_res]]</f>
        <v>233600</v>
      </c>
      <c r="CE847">
        <f>Grandview_Inventory[[#This Row],[final_land]]+Grandview_Inventory[[#This Row],[final_imp]]+Grandview_Inventory[[#This Row],[crop_value]]</f>
        <v>277900</v>
      </c>
      <c r="CG847" t="str">
        <f t="shared" si="13"/>
        <v>update valuation set market_land =44300, market_bldg=233600, market_total =277900, market_mdno =401, market_date ='9/10/2023' where link_id = (select link_id from parcel where parcel_year = '2024' and parcel_id = '23092232476');</v>
      </c>
    </row>
    <row r="848" spans="1:85" x14ac:dyDescent="0.25">
      <c r="A848">
        <v>23092232477</v>
      </c>
      <c r="B848">
        <v>0.18</v>
      </c>
      <c r="C848">
        <v>7929</v>
      </c>
      <c r="D848" t="s">
        <v>129</v>
      </c>
      <c r="E848" t="s">
        <v>53</v>
      </c>
      <c r="F848" t="s">
        <v>53</v>
      </c>
      <c r="G848">
        <v>4</v>
      </c>
      <c r="H848" t="s">
        <v>54</v>
      </c>
      <c r="I848">
        <v>163900</v>
      </c>
      <c r="J848">
        <v>43100</v>
      </c>
      <c r="K848">
        <v>0.18</v>
      </c>
      <c r="L84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48">
        <v>0</v>
      </c>
      <c r="N848">
        <v>0</v>
      </c>
      <c r="O848">
        <v>0</v>
      </c>
      <c r="P848">
        <v>13398.7528</v>
      </c>
      <c r="Q848">
        <v>63903</v>
      </c>
      <c r="R848">
        <f>(Grandview_Inventory[[#This Row],[ln_acres]]*Grandview_Inventory[[#This Row],[coeff]])+Grandview_Inventory[[#This Row],[const]]</f>
        <v>40926.839760167699</v>
      </c>
      <c r="S848" t="s">
        <v>61</v>
      </c>
      <c r="T848">
        <v>1</v>
      </c>
      <c r="U848" t="s">
        <v>65</v>
      </c>
      <c r="V848" t="s">
        <v>69</v>
      </c>
      <c r="W848">
        <v>0</v>
      </c>
      <c r="X848">
        <v>0</v>
      </c>
      <c r="Y848">
        <v>48</v>
      </c>
      <c r="Z848">
        <v>63</v>
      </c>
      <c r="AA848">
        <v>70</v>
      </c>
      <c r="AB848">
        <v>2000</v>
      </c>
      <c r="AC848">
        <v>1628</v>
      </c>
      <c r="AD848">
        <v>1628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411</v>
      </c>
      <c r="AL848">
        <v>0</v>
      </c>
      <c r="AM848">
        <v>286</v>
      </c>
      <c r="AN848">
        <v>20</v>
      </c>
      <c r="AO848">
        <v>0</v>
      </c>
      <c r="AP848">
        <v>5</v>
      </c>
      <c r="AQ848">
        <v>0</v>
      </c>
      <c r="AR848">
        <v>0</v>
      </c>
      <c r="AS848" t="s">
        <v>58</v>
      </c>
      <c r="AT848">
        <v>1</v>
      </c>
      <c r="AU848" t="s">
        <v>63</v>
      </c>
      <c r="AV848" t="s">
        <v>60</v>
      </c>
      <c r="AW848">
        <v>0</v>
      </c>
      <c r="AX848">
        <v>4</v>
      </c>
      <c r="AY848">
        <v>0</v>
      </c>
      <c r="AZ848">
        <v>0</v>
      </c>
      <c r="BA848">
        <v>100</v>
      </c>
      <c r="BB848">
        <v>100</v>
      </c>
      <c r="BC848">
        <v>100</v>
      </c>
      <c r="BD848">
        <v>100</v>
      </c>
      <c r="BE848">
        <v>1</v>
      </c>
      <c r="BF848">
        <v>15000</v>
      </c>
      <c r="BG848">
        <v>1000</v>
      </c>
      <c r="BH848" s="6">
        <f>Grandview_Inventory[[#This Row],[land_extract]]*Lookups!$B$3</f>
        <v>47528.228511015397</v>
      </c>
      <c r="BI848" s="6">
        <f>IF(Grandview_Inventory[[#This Row],[bldg_style]]="",0,Lookups!$B$2)</f>
        <v>155833.95000000001</v>
      </c>
      <c r="BJ848" s="6">
        <f>_xlfn.IFNA(VLOOKUP(Grandview_Inventory[[#This Row],[quality]],Lookups!$H$2:$J$14,3,FALSE),0)</f>
        <v>2251</v>
      </c>
      <c r="BK848" s="6">
        <f>_xlfn.IFNA(VLOOKUP(Grandview_Inventory[[#This Row],[condition]],Lookups!$H$17:$J$24,3,FALSE),0)</f>
        <v>-4503</v>
      </c>
      <c r="BL848" s="6">
        <f>Grandview_Inventory[[#This Row],[Eff_Age]]*Lookups!$B$14</f>
        <v>-11479.996799999999</v>
      </c>
      <c r="BM848" s="6">
        <f>Grandview_Inventory[[#This Row],[living_area]]*Lookups!$B$15</f>
        <v>101556.028684</v>
      </c>
      <c r="BN848" s="6">
        <f>Grandview_Inventory[[#This Row],[Fin BSMT]]*Lookups!$B$16</f>
        <v>0</v>
      </c>
      <c r="BO848" s="6">
        <f>(Grandview_Inventory[[#This Row],[att_gar]]+Grandview_Inventory[[#This Row],[bltin_gar]])*Lookups!$B$17</f>
        <v>0</v>
      </c>
      <c r="BP848" s="6">
        <f>Grandview_Inventory[[#This Row],[Plumbing Fixtures]]*Lookups!$B$18</f>
        <v>10052.209000000001</v>
      </c>
      <c r="BQ848" s="6">
        <f>Grandview_Inventory[[#This Row],[detatched_value]]*Lookups!$B$19</f>
        <v>0</v>
      </c>
      <c r="BR848" s="6">
        <f>SUM(Grandview_Inventory[[#This Row],[Intercept]:[det_value]])*Grandview_Inventory[[#This Row],[res_pct]]</f>
        <v>253710.19088400001</v>
      </c>
      <c r="BS848" s="6">
        <f>Grandview_Inventory[[#This Row],[land_value]]</f>
        <v>47528.228511015397</v>
      </c>
      <c r="BT848" s="4">
        <f>_xlfn.IFNA(VLOOKUP(Grandview_Inventory[[#This Row],[quality]],Lookups!$A$26:$C$33,3,FALSE),1)</f>
        <v>0.98763855981004833</v>
      </c>
      <c r="BU848" s="4">
        <f>_xlfn.IFNA(VLOOKUP(Grandview_Inventory[[#This Row],[condition]],Lookups!$A$37:$C$44,3,FALSE),1)</f>
        <v>0.96469275950863709</v>
      </c>
      <c r="BV848" s="4">
        <f>IF(Grandview_Inventory[[#This Row],[bldg_style]]="",1,_xlfn.IFNA(VLOOKUP(Grandview_Inventory[[#This Row],[decade]],Lookups!$F$29:$H$43,3,FALSE),1))</f>
        <v>0.99472141305414818</v>
      </c>
      <c r="BW848" s="4">
        <f>_xlfn.IFNA(VLOOKUP(Grandview_Inventory[[#This Row],[living_area_range]],Lookups!$F$47:$H$56,3,FALSE),1)</f>
        <v>0.96120133463014379</v>
      </c>
      <c r="BX848" s="4">
        <f>AVERAGE(Grandview_Inventory[[#This Row],[qual_adj]:[size_adj]])</f>
        <v>0.97706351675074443</v>
      </c>
      <c r="BY848" s="6">
        <f>IF(Grandview_Inventory[[#This Row],[pre_res]]&lt;0,0,Grandview_Inventory[[#This Row],[pre_res]]*Grandview_Inventory[[#This Row],[overall_adj]])</f>
        <v>247890.97134062371</v>
      </c>
      <c r="BZ848" s="6">
        <f>(Grandview_Inventory[[#This Row],[sum_land]]-IF(Grandview_Inventory[[#This Row],[no_utilities]]=1,12000,0))/IF(Grandview_Inventory[[#This Row],[unbuildable]]=1,2,1)</f>
        <v>47528.228511015397</v>
      </c>
      <c r="CA84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48">
        <f>ROUND(Grandview_Inventory[[#This Row],[det_value]]*Lookups!$M$28,-2)</f>
        <v>0</v>
      </c>
      <c r="CC848">
        <f>IF(ROUND(Grandview_Inventory[[#This Row],[adj_res]]*Lookups!$M$28,-2)&lt;Grandview_Inventory[[#This Row],[min_res]],Grandview_Inventory[[#This Row],[min_res]],ROUND(Grandview_Inventory[[#This Row],[adj_res]]*Lookups!$M$28,-2))</f>
        <v>235500</v>
      </c>
      <c r="CD848">
        <f>Grandview_Inventory[[#This Row],[final_det]]+Grandview_Inventory[[#This Row],[final_res]]</f>
        <v>235500</v>
      </c>
      <c r="CE848">
        <f>Grandview_Inventory[[#This Row],[final_land]]+Grandview_Inventory[[#This Row],[final_imp]]+Grandview_Inventory[[#This Row],[crop_value]]</f>
        <v>280700</v>
      </c>
      <c r="CG848" t="str">
        <f t="shared" si="13"/>
        <v>update valuation set market_land =45200, market_bldg=235500, market_total =280700, market_mdno =401, market_date ='9/10/2023' where link_id = (select link_id from parcel where parcel_year = '2024' and parcel_id = '23092232477');</v>
      </c>
    </row>
    <row r="849" spans="1:85" x14ac:dyDescent="0.25">
      <c r="A849">
        <v>23092232478</v>
      </c>
      <c r="B849">
        <v>0.69</v>
      </c>
      <c r="C849">
        <v>30197</v>
      </c>
      <c r="D849" t="s">
        <v>129</v>
      </c>
      <c r="E849" t="s">
        <v>53</v>
      </c>
      <c r="F849" t="s">
        <v>53</v>
      </c>
      <c r="G849">
        <v>4</v>
      </c>
      <c r="H849" t="s">
        <v>54</v>
      </c>
      <c r="I849">
        <v>292100</v>
      </c>
      <c r="J849">
        <v>47300</v>
      </c>
      <c r="K849">
        <v>0.69</v>
      </c>
      <c r="L849">
        <f>IF(Grandview_Inventory[[#This Row],[parcel_acres]]-Grandview_Inventory[[#This Row],[non_valued_acres]] =0,0,LN(Grandview_Inventory[[#This Row],[parcel_acres]]-Grandview_Inventory[[#This Row],[non_valued_acres]]))</f>
        <v>-0.37106368139083207</v>
      </c>
      <c r="M849">
        <v>0</v>
      </c>
      <c r="N849">
        <v>0</v>
      </c>
      <c r="O849">
        <v>0</v>
      </c>
      <c r="P849">
        <v>13398.7528</v>
      </c>
      <c r="Q849">
        <v>63903</v>
      </c>
      <c r="R849">
        <f>(Grandview_Inventory[[#This Row],[ln_acres]]*Grandview_Inventory[[#This Row],[coeff]])+Grandview_Inventory[[#This Row],[const]]</f>
        <v>58931.209459986283</v>
      </c>
      <c r="S849" t="s">
        <v>74</v>
      </c>
      <c r="T849">
        <v>1</v>
      </c>
      <c r="U849" t="s">
        <v>65</v>
      </c>
      <c r="V849" t="s">
        <v>67</v>
      </c>
      <c r="W849">
        <v>0</v>
      </c>
      <c r="X849">
        <v>0</v>
      </c>
      <c r="Y849">
        <v>47</v>
      </c>
      <c r="Z849">
        <v>57</v>
      </c>
      <c r="AA849">
        <v>60</v>
      </c>
      <c r="AB849">
        <v>2000</v>
      </c>
      <c r="AC849">
        <v>1986</v>
      </c>
      <c r="AD849">
        <v>1388</v>
      </c>
      <c r="AE849">
        <v>0</v>
      </c>
      <c r="AF849">
        <v>0</v>
      </c>
      <c r="AG849">
        <v>598</v>
      </c>
      <c r="AH849">
        <v>0</v>
      </c>
      <c r="AI849">
        <v>0</v>
      </c>
      <c r="AJ849">
        <v>0</v>
      </c>
      <c r="AK849">
        <v>386</v>
      </c>
      <c r="AL849">
        <v>0</v>
      </c>
      <c r="AM849">
        <v>361</v>
      </c>
      <c r="AN849">
        <v>0</v>
      </c>
      <c r="AO849">
        <v>0</v>
      </c>
      <c r="AP849">
        <v>8</v>
      </c>
      <c r="AQ849">
        <v>0</v>
      </c>
      <c r="AR849">
        <v>1</v>
      </c>
      <c r="AS849" t="s">
        <v>58</v>
      </c>
      <c r="AT849">
        <v>1</v>
      </c>
      <c r="AU849" t="s">
        <v>63</v>
      </c>
      <c r="AV849" t="s">
        <v>60</v>
      </c>
      <c r="AW849">
        <v>1</v>
      </c>
      <c r="AX849">
        <v>3</v>
      </c>
      <c r="AY849">
        <v>0</v>
      </c>
      <c r="AZ849">
        <v>19000</v>
      </c>
      <c r="BA849">
        <v>100</v>
      </c>
      <c r="BB849">
        <v>100</v>
      </c>
      <c r="BC849">
        <v>100</v>
      </c>
      <c r="BD849">
        <v>100</v>
      </c>
      <c r="BE849">
        <v>1</v>
      </c>
      <c r="BF849">
        <v>15000</v>
      </c>
      <c r="BG849">
        <v>1000</v>
      </c>
      <c r="BH849" s="6">
        <f>Grandview_Inventory[[#This Row],[land_extract]]*Lookups!$B$3</f>
        <v>68436.654431616524</v>
      </c>
      <c r="BI849" s="6">
        <f>IF(Grandview_Inventory[[#This Row],[bldg_style]]="",0,Lookups!$B$2)</f>
        <v>155833.95000000001</v>
      </c>
      <c r="BJ849" s="6">
        <f>_xlfn.IFNA(VLOOKUP(Grandview_Inventory[[#This Row],[quality]],Lookups!$H$2:$J$14,3,FALSE),0)</f>
        <v>2251</v>
      </c>
      <c r="BK849" s="6">
        <f>_xlfn.IFNA(VLOOKUP(Grandview_Inventory[[#This Row],[condition]],Lookups!$H$17:$J$24,3,FALSE),0)</f>
        <v>22342</v>
      </c>
      <c r="BL849" s="6">
        <f>Grandview_Inventory[[#This Row],[Eff_Age]]*Lookups!$B$14</f>
        <v>-11240.8302</v>
      </c>
      <c r="BM849" s="6">
        <f>Grandview_Inventory[[#This Row],[living_area]]*Lookups!$B$15</f>
        <v>123888.374058</v>
      </c>
      <c r="BN849" s="6">
        <f>Grandview_Inventory[[#This Row],[Fin BSMT]]*Lookups!$B$16</f>
        <v>-16205.345520000001</v>
      </c>
      <c r="BO849" s="6">
        <f>(Grandview_Inventory[[#This Row],[att_gar]]+Grandview_Inventory[[#This Row],[bltin_gar]])*Lookups!$B$17</f>
        <v>0</v>
      </c>
      <c r="BP849" s="6">
        <f>Grandview_Inventory[[#This Row],[Plumbing Fixtures]]*Lookups!$B$18</f>
        <v>16083.5344</v>
      </c>
      <c r="BQ849" s="6">
        <f>Grandview_Inventory[[#This Row],[detatched_value]]*Lookups!$B$19</f>
        <v>16089.296899999999</v>
      </c>
      <c r="BR849" s="6">
        <f>SUM(Grandview_Inventory[[#This Row],[Intercept]:[det_value]])*Grandview_Inventory[[#This Row],[res_pct]]</f>
        <v>309041.97963800008</v>
      </c>
      <c r="BS849" s="6">
        <f>Grandview_Inventory[[#This Row],[land_value]]</f>
        <v>68436.654431616524</v>
      </c>
      <c r="BT849" s="4">
        <f>_xlfn.IFNA(VLOOKUP(Grandview_Inventory[[#This Row],[quality]],Lookups!$A$26:$C$33,3,FALSE),1)</f>
        <v>0.98763855981004833</v>
      </c>
      <c r="BU849" s="4">
        <f>_xlfn.IFNA(VLOOKUP(Grandview_Inventory[[#This Row],[condition]],Lookups!$A$37:$C$44,3,FALSE),1)</f>
        <v>0.97383723671140243</v>
      </c>
      <c r="BV849" s="4">
        <f>IF(Grandview_Inventory[[#This Row],[bldg_style]]="",1,_xlfn.IFNA(VLOOKUP(Grandview_Inventory[[#This Row],[decade]],Lookups!$F$29:$H$43,3,FALSE),1))</f>
        <v>0.95268620544463312</v>
      </c>
      <c r="BW849" s="4">
        <f>_xlfn.IFNA(VLOOKUP(Grandview_Inventory[[#This Row],[living_area_range]],Lookups!$F$47:$H$56,3,FALSE),1)</f>
        <v>0.96120133463014379</v>
      </c>
      <c r="BX849" s="4">
        <f>AVERAGE(Grandview_Inventory[[#This Row],[qual_adj]:[size_adj]])</f>
        <v>0.96884083414905686</v>
      </c>
      <c r="BY849" s="6">
        <f>IF(Grandview_Inventory[[#This Row],[pre_res]]&lt;0,0,Grandview_Inventory[[#This Row],[pre_res]]*Grandview_Inventory[[#This Row],[overall_adj]])</f>
        <v>299412.48933955585</v>
      </c>
      <c r="BZ849" s="6">
        <f>(Grandview_Inventory[[#This Row],[sum_land]]-IF(Grandview_Inventory[[#This Row],[no_utilities]]=1,12000,0))/IF(Grandview_Inventory[[#This Row],[unbuildable]]=1,2,1)</f>
        <v>68436.654431616524</v>
      </c>
      <c r="CA849">
        <f>IF(ROUND(Grandview_Inventory[[#This Row],[adj_land]]*Lookups!$M$28,-2)&lt;Grandview_Inventory[[#This Row],[min_land]],Grandview_Inventory[[#This Row],[min_land]],ROUND(Grandview_Inventory[[#This Row],[adj_land]]*Lookups!$M$28,-2))</f>
        <v>65000</v>
      </c>
      <c r="CB849">
        <f>ROUND(Grandview_Inventory[[#This Row],[det_value]]*Lookups!$M$28,-2)</f>
        <v>15300</v>
      </c>
      <c r="CC849">
        <f>IF(ROUND(Grandview_Inventory[[#This Row],[adj_res]]*Lookups!$M$28,-2)&lt;Grandview_Inventory[[#This Row],[min_res]],Grandview_Inventory[[#This Row],[min_res]],ROUND(Grandview_Inventory[[#This Row],[adj_res]]*Lookups!$M$28,-2))</f>
        <v>284400</v>
      </c>
      <c r="CD849">
        <f>Grandview_Inventory[[#This Row],[final_det]]+Grandview_Inventory[[#This Row],[final_res]]</f>
        <v>299700</v>
      </c>
      <c r="CE849">
        <f>Grandview_Inventory[[#This Row],[final_land]]+Grandview_Inventory[[#This Row],[final_imp]]+Grandview_Inventory[[#This Row],[crop_value]]</f>
        <v>364700</v>
      </c>
      <c r="CG849" t="str">
        <f t="shared" si="13"/>
        <v>update valuation set market_land =65000, market_bldg=299700, market_total =364700, market_mdno =401, market_date ='9/10/2023' where link_id = (select link_id from parcel where parcel_year = '2024' and parcel_id = '23092232478');</v>
      </c>
    </row>
    <row r="850" spans="1:85" x14ac:dyDescent="0.25">
      <c r="A850">
        <v>23092232479</v>
      </c>
      <c r="B850">
        <v>0.45</v>
      </c>
      <c r="C850">
        <v>19545</v>
      </c>
      <c r="D850" t="s">
        <v>129</v>
      </c>
      <c r="E850" t="s">
        <v>53</v>
      </c>
      <c r="F850" t="s">
        <v>53</v>
      </c>
      <c r="G850">
        <v>4</v>
      </c>
      <c r="H850" t="s">
        <v>54</v>
      </c>
      <c r="I850">
        <v>197900</v>
      </c>
      <c r="J850">
        <v>45900</v>
      </c>
      <c r="K850">
        <v>0.45</v>
      </c>
      <c r="L850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850">
        <v>0</v>
      </c>
      <c r="N850">
        <v>0</v>
      </c>
      <c r="O850">
        <v>0</v>
      </c>
      <c r="P850">
        <v>13398.7528</v>
      </c>
      <c r="Q850">
        <v>63903</v>
      </c>
      <c r="R850">
        <f>(Grandview_Inventory[[#This Row],[ln_acres]]*Grandview_Inventory[[#This Row],[coeff]])+Grandview_Inventory[[#This Row],[const]]</f>
        <v>53203.992769480581</v>
      </c>
      <c r="S850" t="s">
        <v>61</v>
      </c>
      <c r="T850">
        <v>1</v>
      </c>
      <c r="U850" t="s">
        <v>65</v>
      </c>
      <c r="V850" t="s">
        <v>69</v>
      </c>
      <c r="W850">
        <v>0</v>
      </c>
      <c r="X850">
        <v>0</v>
      </c>
      <c r="Y850">
        <v>47</v>
      </c>
      <c r="Z850">
        <v>58</v>
      </c>
      <c r="AA850">
        <v>60</v>
      </c>
      <c r="AB850">
        <v>2500</v>
      </c>
      <c r="AC850">
        <v>2484</v>
      </c>
      <c r="AD850">
        <v>1242</v>
      </c>
      <c r="AE850">
        <v>0</v>
      </c>
      <c r="AF850">
        <v>0</v>
      </c>
      <c r="AG850">
        <v>1242</v>
      </c>
      <c r="AH850">
        <v>0</v>
      </c>
      <c r="AI850">
        <v>440</v>
      </c>
      <c r="AJ850">
        <v>0</v>
      </c>
      <c r="AK850">
        <v>0</v>
      </c>
      <c r="AL850">
        <v>0</v>
      </c>
      <c r="AM850">
        <v>401</v>
      </c>
      <c r="AN850">
        <v>0</v>
      </c>
      <c r="AO850">
        <v>0</v>
      </c>
      <c r="AP850">
        <v>8</v>
      </c>
      <c r="AQ850">
        <v>0</v>
      </c>
      <c r="AR850">
        <v>0</v>
      </c>
      <c r="AS850" t="s">
        <v>58</v>
      </c>
      <c r="AT850">
        <v>1</v>
      </c>
      <c r="AU850" t="s">
        <v>63</v>
      </c>
      <c r="AV850" t="s">
        <v>64</v>
      </c>
      <c r="AW850">
        <v>1</v>
      </c>
      <c r="AX850">
        <v>3</v>
      </c>
      <c r="AY850">
        <v>0</v>
      </c>
      <c r="AZ850">
        <v>0</v>
      </c>
      <c r="BA850">
        <v>100</v>
      </c>
      <c r="BB850">
        <v>100</v>
      </c>
      <c r="BC850">
        <v>100</v>
      </c>
      <c r="BD850">
        <v>100</v>
      </c>
      <c r="BE850">
        <v>1</v>
      </c>
      <c r="BF850">
        <v>15000</v>
      </c>
      <c r="BG850">
        <v>1000</v>
      </c>
      <c r="BH850" s="6">
        <f>Grandview_Inventory[[#This Row],[land_extract]]*Lookups!$B$3</f>
        <v>61785.653152417319</v>
      </c>
      <c r="BI850" s="6">
        <f>IF(Grandview_Inventory[[#This Row],[bldg_style]]="",0,Lookups!$B$2)</f>
        <v>155833.95000000001</v>
      </c>
      <c r="BJ850" s="6">
        <f>_xlfn.IFNA(VLOOKUP(Grandview_Inventory[[#This Row],[quality]],Lookups!$H$2:$J$14,3,FALSE),0)</f>
        <v>2251</v>
      </c>
      <c r="BK850" s="6">
        <f>_xlfn.IFNA(VLOOKUP(Grandview_Inventory[[#This Row],[condition]],Lookups!$H$17:$J$24,3,FALSE),0)</f>
        <v>-4503</v>
      </c>
      <c r="BL850" s="6">
        <f>Grandview_Inventory[[#This Row],[Eff_Age]]*Lookups!$B$14</f>
        <v>-11240.8302</v>
      </c>
      <c r="BM850" s="6">
        <f>Grandview_Inventory[[#This Row],[living_area]]*Lookups!$B$15</f>
        <v>154954.038852</v>
      </c>
      <c r="BN850" s="6">
        <f>Grandview_Inventory[[#This Row],[Fin BSMT]]*Lookups!$B$16</f>
        <v>-33657.256079999999</v>
      </c>
      <c r="BO850" s="6">
        <f>(Grandview_Inventory[[#This Row],[att_gar]]+Grandview_Inventory[[#This Row],[bltin_gar]])*Lookups!$B$17</f>
        <v>38508.992279999999</v>
      </c>
      <c r="BP850" s="6">
        <f>Grandview_Inventory[[#This Row],[Plumbing Fixtures]]*Lookups!$B$18</f>
        <v>16083.5344</v>
      </c>
      <c r="BQ850" s="6">
        <f>Grandview_Inventory[[#This Row],[detatched_value]]*Lookups!$B$19</f>
        <v>0</v>
      </c>
      <c r="BR850" s="6">
        <f>SUM(Grandview_Inventory[[#This Row],[Intercept]:[det_value]])*Grandview_Inventory[[#This Row],[res_pct]]</f>
        <v>318230.429252</v>
      </c>
      <c r="BS850" s="6">
        <f>Grandview_Inventory[[#This Row],[land_value]]</f>
        <v>61785.653152417319</v>
      </c>
      <c r="BT850" s="4">
        <f>_xlfn.IFNA(VLOOKUP(Grandview_Inventory[[#This Row],[quality]],Lookups!$A$26:$C$33,3,FALSE),1)</f>
        <v>0.98763855981004833</v>
      </c>
      <c r="BU850" s="4">
        <f>_xlfn.IFNA(VLOOKUP(Grandview_Inventory[[#This Row],[condition]],Lookups!$A$37:$C$44,3,FALSE),1)</f>
        <v>0.96469275950863709</v>
      </c>
      <c r="BV850" s="4">
        <f>IF(Grandview_Inventory[[#This Row],[bldg_style]]="",1,_xlfn.IFNA(VLOOKUP(Grandview_Inventory[[#This Row],[decade]],Lookups!$F$29:$H$43,3,FALSE),1))</f>
        <v>0.95268620544463312</v>
      </c>
      <c r="BW850" s="4">
        <f>_xlfn.IFNA(VLOOKUP(Grandview_Inventory[[#This Row],[living_area_range]],Lookups!$F$47:$H$56,3,FALSE),1)</f>
        <v>0.95799442568048754</v>
      </c>
      <c r="BX850" s="4">
        <f>AVERAGE(Grandview_Inventory[[#This Row],[qual_adj]:[size_adj]])</f>
        <v>0.96575298761095152</v>
      </c>
      <c r="BY850" s="6">
        <f>IF(Grandview_Inventory[[#This Row],[pre_res]]&lt;0,0,Grandview_Inventory[[#This Row],[pre_res]]*Grandview_Inventory[[#This Row],[overall_adj]])</f>
        <v>307331.98779883457</v>
      </c>
      <c r="BZ850" s="6">
        <f>(Grandview_Inventory[[#This Row],[sum_land]]-IF(Grandview_Inventory[[#This Row],[no_utilities]]=1,12000,0))/IF(Grandview_Inventory[[#This Row],[unbuildable]]=1,2,1)</f>
        <v>61785.653152417319</v>
      </c>
      <c r="CA850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850">
        <f>ROUND(Grandview_Inventory[[#This Row],[det_value]]*Lookups!$M$28,-2)</f>
        <v>0</v>
      </c>
      <c r="CC850">
        <f>IF(ROUND(Grandview_Inventory[[#This Row],[adj_res]]*Lookups!$M$28,-2)&lt;Grandview_Inventory[[#This Row],[min_res]],Grandview_Inventory[[#This Row],[min_res]],ROUND(Grandview_Inventory[[#This Row],[adj_res]]*Lookups!$M$28,-2))</f>
        <v>292000</v>
      </c>
      <c r="CD850">
        <f>Grandview_Inventory[[#This Row],[final_det]]+Grandview_Inventory[[#This Row],[final_res]]</f>
        <v>292000</v>
      </c>
      <c r="CE850">
        <f>Grandview_Inventory[[#This Row],[final_land]]+Grandview_Inventory[[#This Row],[final_imp]]+Grandview_Inventory[[#This Row],[crop_value]]</f>
        <v>350700</v>
      </c>
      <c r="CG850" t="str">
        <f t="shared" si="13"/>
        <v>update valuation set market_land =58700, market_bldg=292000, market_total =350700, market_mdno =401, market_date ='9/10/2023' where link_id = (select link_id from parcel where parcel_year = '2024' and parcel_id = '23092232479');</v>
      </c>
    </row>
    <row r="851" spans="1:85" x14ac:dyDescent="0.25">
      <c r="A851">
        <v>23092232481</v>
      </c>
      <c r="B851">
        <v>0.34</v>
      </c>
      <c r="C851">
        <v>14909</v>
      </c>
      <c r="D851" t="s">
        <v>129</v>
      </c>
      <c r="E851" t="s">
        <v>53</v>
      </c>
      <c r="F851" t="s">
        <v>53</v>
      </c>
      <c r="G851">
        <v>4</v>
      </c>
      <c r="H851" t="s">
        <v>54</v>
      </c>
      <c r="I851">
        <v>173500</v>
      </c>
      <c r="J851">
        <v>41200</v>
      </c>
      <c r="K851">
        <v>0.34</v>
      </c>
      <c r="L851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851">
        <v>0</v>
      </c>
      <c r="N851">
        <v>0</v>
      </c>
      <c r="O851">
        <v>0</v>
      </c>
      <c r="P851">
        <v>13398.7528</v>
      </c>
      <c r="Q851">
        <v>63903</v>
      </c>
      <c r="R851">
        <f>(Grandview_Inventory[[#This Row],[ln_acres]]*Grandview_Inventory[[#This Row],[coeff]])+Grandview_Inventory[[#This Row],[const]]</f>
        <v>49448.296029025805</v>
      </c>
      <c r="S851" t="s">
        <v>61</v>
      </c>
      <c r="T851">
        <v>1</v>
      </c>
      <c r="U851" t="s">
        <v>65</v>
      </c>
      <c r="V851" t="s">
        <v>69</v>
      </c>
      <c r="W851">
        <v>0</v>
      </c>
      <c r="X851">
        <v>0</v>
      </c>
      <c r="Y851">
        <v>48</v>
      </c>
      <c r="Z851">
        <v>59</v>
      </c>
      <c r="AA851">
        <v>60</v>
      </c>
      <c r="AB851">
        <v>2000</v>
      </c>
      <c r="AC851">
        <v>1732</v>
      </c>
      <c r="AD851">
        <v>1732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180</v>
      </c>
      <c r="AN851">
        <v>36</v>
      </c>
      <c r="AO851">
        <v>180</v>
      </c>
      <c r="AP851">
        <v>8</v>
      </c>
      <c r="AQ851">
        <v>0</v>
      </c>
      <c r="AR851">
        <v>1</v>
      </c>
      <c r="AS851" t="s">
        <v>58</v>
      </c>
      <c r="AT851">
        <v>1</v>
      </c>
      <c r="AU851" t="s">
        <v>75</v>
      </c>
      <c r="AV851" t="s">
        <v>60</v>
      </c>
      <c r="AW851">
        <v>0</v>
      </c>
      <c r="AX851">
        <v>4</v>
      </c>
      <c r="AY851">
        <v>0</v>
      </c>
      <c r="AZ851">
        <v>0</v>
      </c>
      <c r="BA851">
        <v>100</v>
      </c>
      <c r="BB851">
        <v>100</v>
      </c>
      <c r="BC851">
        <v>100</v>
      </c>
      <c r="BD851">
        <v>100</v>
      </c>
      <c r="BE851">
        <v>1</v>
      </c>
      <c r="BF851">
        <v>15000</v>
      </c>
      <c r="BG851">
        <v>1000</v>
      </c>
      <c r="BH851" s="6">
        <f>Grandview_Inventory[[#This Row],[land_extract]]*Lookups!$B$3</f>
        <v>57424.172668108389</v>
      </c>
      <c r="BI851" s="6">
        <f>IF(Grandview_Inventory[[#This Row],[bldg_style]]="",0,Lookups!$B$2)</f>
        <v>155833.95000000001</v>
      </c>
      <c r="BJ851" s="6">
        <f>_xlfn.IFNA(VLOOKUP(Grandview_Inventory[[#This Row],[quality]],Lookups!$H$2:$J$14,3,FALSE),0)</f>
        <v>2251</v>
      </c>
      <c r="BK851" s="6">
        <f>_xlfn.IFNA(VLOOKUP(Grandview_Inventory[[#This Row],[condition]],Lookups!$H$17:$J$24,3,FALSE),0)</f>
        <v>-4503</v>
      </c>
      <c r="BL851" s="6">
        <f>Grandview_Inventory[[#This Row],[Eff_Age]]*Lookups!$B$14</f>
        <v>-11479.996799999999</v>
      </c>
      <c r="BM851" s="6">
        <f>Grandview_Inventory[[#This Row],[living_area]]*Lookups!$B$15</f>
        <v>108043.63739600001</v>
      </c>
      <c r="BN851" s="6">
        <f>Grandview_Inventory[[#This Row],[Fin BSMT]]*Lookups!$B$16</f>
        <v>0</v>
      </c>
      <c r="BO851" s="6">
        <f>(Grandview_Inventory[[#This Row],[att_gar]]+Grandview_Inventory[[#This Row],[bltin_gar]])*Lookups!$B$17</f>
        <v>0</v>
      </c>
      <c r="BP851" s="6">
        <f>Grandview_Inventory[[#This Row],[Plumbing Fixtures]]*Lookups!$B$18</f>
        <v>16083.5344</v>
      </c>
      <c r="BQ851" s="6">
        <f>Grandview_Inventory[[#This Row],[detatched_value]]*Lookups!$B$19</f>
        <v>0</v>
      </c>
      <c r="BR851" s="6">
        <f>SUM(Grandview_Inventory[[#This Row],[Intercept]:[det_value]])*Grandview_Inventory[[#This Row],[res_pct]]</f>
        <v>266229.12499600003</v>
      </c>
      <c r="BS851" s="6">
        <f>Grandview_Inventory[[#This Row],[land_value]]</f>
        <v>57424.172668108389</v>
      </c>
      <c r="BT851" s="4">
        <f>_xlfn.IFNA(VLOOKUP(Grandview_Inventory[[#This Row],[quality]],Lookups!$A$26:$C$33,3,FALSE),1)</f>
        <v>0.98763855981004833</v>
      </c>
      <c r="BU851" s="4">
        <f>_xlfn.IFNA(VLOOKUP(Grandview_Inventory[[#This Row],[condition]],Lookups!$A$37:$C$44,3,FALSE),1)</f>
        <v>0.96469275950863709</v>
      </c>
      <c r="BV851" s="4">
        <f>IF(Grandview_Inventory[[#This Row],[bldg_style]]="",1,_xlfn.IFNA(VLOOKUP(Grandview_Inventory[[#This Row],[decade]],Lookups!$F$29:$H$43,3,FALSE),1))</f>
        <v>0.95268620544463312</v>
      </c>
      <c r="BW851" s="4">
        <f>_xlfn.IFNA(VLOOKUP(Grandview_Inventory[[#This Row],[living_area_range]],Lookups!$F$47:$H$56,3,FALSE),1)</f>
        <v>0.96120133463014379</v>
      </c>
      <c r="BX851" s="4">
        <f>AVERAGE(Grandview_Inventory[[#This Row],[qual_adj]:[size_adj]])</f>
        <v>0.96655471484836553</v>
      </c>
      <c r="BY851" s="6">
        <f>IF(Grandview_Inventory[[#This Row],[pre_res]]&lt;0,0,Grandview_Inventory[[#This Row],[pre_res]]*Grandview_Inventory[[#This Row],[overall_adj]])</f>
        <v>257325.01599483867</v>
      </c>
      <c r="BZ851" s="6">
        <f>(Grandview_Inventory[[#This Row],[sum_land]]-IF(Grandview_Inventory[[#This Row],[no_utilities]]=1,12000,0))/IF(Grandview_Inventory[[#This Row],[unbuildable]]=1,2,1)</f>
        <v>57424.172668108389</v>
      </c>
      <c r="CA851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851">
        <f>ROUND(Grandview_Inventory[[#This Row],[det_value]]*Lookups!$M$28,-2)</f>
        <v>0</v>
      </c>
      <c r="CC851">
        <f>IF(ROUND(Grandview_Inventory[[#This Row],[adj_res]]*Lookups!$M$28,-2)&lt;Grandview_Inventory[[#This Row],[min_res]],Grandview_Inventory[[#This Row],[min_res]],ROUND(Grandview_Inventory[[#This Row],[adj_res]]*Lookups!$M$28,-2))</f>
        <v>244500</v>
      </c>
      <c r="CD851">
        <f>Grandview_Inventory[[#This Row],[final_det]]+Grandview_Inventory[[#This Row],[final_res]]</f>
        <v>244500</v>
      </c>
      <c r="CE851">
        <f>Grandview_Inventory[[#This Row],[final_land]]+Grandview_Inventory[[#This Row],[final_imp]]+Grandview_Inventory[[#This Row],[crop_value]]</f>
        <v>299100</v>
      </c>
      <c r="CG851" t="str">
        <f t="shared" si="13"/>
        <v>update valuation set market_land =54600, market_bldg=244500, market_total =299100, market_mdno =401, market_date ='9/10/2023' where link_id = (select link_id from parcel where parcel_year = '2024' and parcel_id = '23092232481');</v>
      </c>
    </row>
    <row r="852" spans="1:85" x14ac:dyDescent="0.25">
      <c r="A852">
        <v>23092232482</v>
      </c>
      <c r="B852">
        <v>0.31</v>
      </c>
      <c r="C852">
        <v>13534</v>
      </c>
      <c r="D852" t="s">
        <v>129</v>
      </c>
      <c r="E852" t="s">
        <v>53</v>
      </c>
      <c r="F852" t="s">
        <v>53</v>
      </c>
      <c r="G852">
        <v>4</v>
      </c>
      <c r="H852" t="s">
        <v>54</v>
      </c>
      <c r="I852">
        <v>180100</v>
      </c>
      <c r="J852">
        <v>41100</v>
      </c>
      <c r="K852">
        <v>0.31</v>
      </c>
      <c r="L852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852">
        <v>0</v>
      </c>
      <c r="N852">
        <v>0</v>
      </c>
      <c r="O852">
        <v>0</v>
      </c>
      <c r="P852">
        <v>13398.7528</v>
      </c>
      <c r="Q852">
        <v>63903</v>
      </c>
      <c r="R852">
        <f>(Grandview_Inventory[[#This Row],[ln_acres]]*Grandview_Inventory[[#This Row],[coeff]])+Grandview_Inventory[[#This Row],[const]]</f>
        <v>48210.608747275066</v>
      </c>
      <c r="S852" t="s">
        <v>61</v>
      </c>
      <c r="T852">
        <v>1</v>
      </c>
      <c r="U852" t="s">
        <v>65</v>
      </c>
      <c r="V852" t="s">
        <v>67</v>
      </c>
      <c r="W852">
        <v>0</v>
      </c>
      <c r="X852">
        <v>0</v>
      </c>
      <c r="Y852">
        <v>30</v>
      </c>
      <c r="Z852">
        <v>30</v>
      </c>
      <c r="AA852">
        <v>30</v>
      </c>
      <c r="AB852">
        <v>1500</v>
      </c>
      <c r="AC852">
        <v>1008</v>
      </c>
      <c r="AD852">
        <v>1008</v>
      </c>
      <c r="AE852">
        <v>0</v>
      </c>
      <c r="AF852">
        <v>0</v>
      </c>
      <c r="AG852">
        <v>0</v>
      </c>
      <c r="AH852">
        <v>0</v>
      </c>
      <c r="AI852">
        <v>336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5</v>
      </c>
      <c r="AQ852">
        <v>0</v>
      </c>
      <c r="AR852">
        <v>0</v>
      </c>
      <c r="AS852" t="s">
        <v>58</v>
      </c>
      <c r="AT852">
        <v>1</v>
      </c>
      <c r="AU852" t="s">
        <v>63</v>
      </c>
      <c r="AV852" t="s">
        <v>60</v>
      </c>
      <c r="AW852">
        <v>0</v>
      </c>
      <c r="AX852">
        <v>3</v>
      </c>
      <c r="AY852">
        <v>0</v>
      </c>
      <c r="AZ852">
        <v>0</v>
      </c>
      <c r="BA852">
        <v>100</v>
      </c>
      <c r="BB852">
        <v>100</v>
      </c>
      <c r="BC852">
        <v>100</v>
      </c>
      <c r="BD852">
        <v>100</v>
      </c>
      <c r="BE852">
        <v>1</v>
      </c>
      <c r="BF852">
        <v>15000</v>
      </c>
      <c r="BG852">
        <v>1000</v>
      </c>
      <c r="BH852" s="6">
        <f>Grandview_Inventory[[#This Row],[land_extract]]*Lookups!$B$3</f>
        <v>55986.849769566914</v>
      </c>
      <c r="BI852" s="6">
        <f>IF(Grandview_Inventory[[#This Row],[bldg_style]]="",0,Lookups!$B$2)</f>
        <v>155833.95000000001</v>
      </c>
      <c r="BJ852" s="6">
        <f>_xlfn.IFNA(VLOOKUP(Grandview_Inventory[[#This Row],[quality]],Lookups!$H$2:$J$14,3,FALSE),0)</f>
        <v>2251</v>
      </c>
      <c r="BK852" s="6">
        <f>_xlfn.IFNA(VLOOKUP(Grandview_Inventory[[#This Row],[condition]],Lookups!$H$17:$J$24,3,FALSE),0)</f>
        <v>22342</v>
      </c>
      <c r="BL852" s="6">
        <f>Grandview_Inventory[[#This Row],[Eff_Age]]*Lookups!$B$14</f>
        <v>-7174.9979999999996</v>
      </c>
      <c r="BM852" s="6">
        <f>Grandview_Inventory[[#This Row],[living_area]]*Lookups!$B$15</f>
        <v>62879.899824</v>
      </c>
      <c r="BN852" s="6">
        <f>Grandview_Inventory[[#This Row],[Fin BSMT]]*Lookups!$B$16</f>
        <v>0</v>
      </c>
      <c r="BO852" s="6">
        <f>(Grandview_Inventory[[#This Row],[att_gar]]+Grandview_Inventory[[#This Row],[bltin_gar]])*Lookups!$B$17</f>
        <v>29406.866832</v>
      </c>
      <c r="BP852" s="6">
        <f>Grandview_Inventory[[#This Row],[Plumbing Fixtures]]*Lookups!$B$18</f>
        <v>10052.209000000001</v>
      </c>
      <c r="BQ852" s="6">
        <f>Grandview_Inventory[[#This Row],[detatched_value]]*Lookups!$B$19</f>
        <v>0</v>
      </c>
      <c r="BR852" s="6">
        <f>SUM(Grandview_Inventory[[#This Row],[Intercept]:[det_value]])*Grandview_Inventory[[#This Row],[res_pct]]</f>
        <v>275590.92765599996</v>
      </c>
      <c r="BS852" s="6">
        <f>Grandview_Inventory[[#This Row],[land_value]]</f>
        <v>55986.849769566914</v>
      </c>
      <c r="BT852" s="4">
        <f>_xlfn.IFNA(VLOOKUP(Grandview_Inventory[[#This Row],[quality]],Lookups!$A$26:$C$33,3,FALSE),1)</f>
        <v>0.98763855981004833</v>
      </c>
      <c r="BU852" s="4">
        <f>_xlfn.IFNA(VLOOKUP(Grandview_Inventory[[#This Row],[condition]],Lookups!$A$37:$C$44,3,FALSE),1)</f>
        <v>0.97383723671140243</v>
      </c>
      <c r="BV852" s="4">
        <f>IF(Grandview_Inventory[[#This Row],[bldg_style]]="",1,_xlfn.IFNA(VLOOKUP(Grandview_Inventory[[#This Row],[decade]],Lookups!$F$29:$H$43,3,FALSE),1))</f>
        <v>0.98397821291089549</v>
      </c>
      <c r="BW852" s="4">
        <f>_xlfn.IFNA(VLOOKUP(Grandview_Inventory[[#This Row],[living_area_range]],Lookups!$F$47:$H$56,3,FALSE),1)</f>
        <v>0.96135087979789358</v>
      </c>
      <c r="BX852" s="4">
        <f>AVERAGE(Grandview_Inventory[[#This Row],[qual_adj]:[size_adj]])</f>
        <v>0.97670122230755996</v>
      </c>
      <c r="BY852" s="6">
        <f>IF(Grandview_Inventory[[#This Row],[pre_res]]&lt;0,0,Grandview_Inventory[[#This Row],[pre_res]]*Grandview_Inventory[[#This Row],[overall_adj]])</f>
        <v>269169.99589848949</v>
      </c>
      <c r="BZ852" s="6">
        <f>(Grandview_Inventory[[#This Row],[sum_land]]-IF(Grandview_Inventory[[#This Row],[no_utilities]]=1,12000,0))/IF(Grandview_Inventory[[#This Row],[unbuildable]]=1,2,1)</f>
        <v>55986.849769566914</v>
      </c>
      <c r="CA852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852">
        <f>ROUND(Grandview_Inventory[[#This Row],[det_value]]*Lookups!$M$28,-2)</f>
        <v>0</v>
      </c>
      <c r="CC852">
        <f>IF(ROUND(Grandview_Inventory[[#This Row],[adj_res]]*Lookups!$M$28,-2)&lt;Grandview_Inventory[[#This Row],[min_res]],Grandview_Inventory[[#This Row],[min_res]],ROUND(Grandview_Inventory[[#This Row],[adj_res]]*Lookups!$M$28,-2))</f>
        <v>255700</v>
      </c>
      <c r="CD852">
        <f>Grandview_Inventory[[#This Row],[final_det]]+Grandview_Inventory[[#This Row],[final_res]]</f>
        <v>255700</v>
      </c>
      <c r="CE852">
        <f>Grandview_Inventory[[#This Row],[final_land]]+Grandview_Inventory[[#This Row],[final_imp]]+Grandview_Inventory[[#This Row],[crop_value]]</f>
        <v>308900</v>
      </c>
      <c r="CG852" t="str">
        <f t="shared" si="13"/>
        <v>update valuation set market_land =53200, market_bldg=255700, market_total =308900, market_mdno =401, market_date ='9/10/2023' where link_id = (select link_id from parcel where parcel_year = '2024' and parcel_id = '23092232482');</v>
      </c>
    </row>
    <row r="853" spans="1:85" x14ac:dyDescent="0.25">
      <c r="A853">
        <v>23092232483</v>
      </c>
      <c r="B853">
        <v>0.36</v>
      </c>
      <c r="C853">
        <v>15593</v>
      </c>
      <c r="D853" t="s">
        <v>129</v>
      </c>
      <c r="E853" t="s">
        <v>53</v>
      </c>
      <c r="F853" t="s">
        <v>53</v>
      </c>
      <c r="G853">
        <v>4</v>
      </c>
      <c r="H853" t="s">
        <v>54</v>
      </c>
      <c r="I853">
        <v>148500</v>
      </c>
      <c r="J853">
        <v>41100</v>
      </c>
      <c r="K853">
        <v>0.36</v>
      </c>
      <c r="L853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853">
        <v>0</v>
      </c>
      <c r="N853">
        <v>0</v>
      </c>
      <c r="O853">
        <v>0</v>
      </c>
      <c r="P853">
        <v>13398.7528</v>
      </c>
      <c r="Q853">
        <v>63903</v>
      </c>
      <c r="R853">
        <f>(Grandview_Inventory[[#This Row],[ln_acres]]*Grandview_Inventory[[#This Row],[coeff]])+Grandview_Inventory[[#This Row],[const]]</f>
        <v>50214.147486507369</v>
      </c>
      <c r="S853" t="s">
        <v>61</v>
      </c>
      <c r="T853">
        <v>1</v>
      </c>
      <c r="U853" t="s">
        <v>70</v>
      </c>
      <c r="V853" t="s">
        <v>69</v>
      </c>
      <c r="W853">
        <v>0</v>
      </c>
      <c r="X853">
        <v>0</v>
      </c>
      <c r="Y853">
        <v>30</v>
      </c>
      <c r="Z853">
        <v>30</v>
      </c>
      <c r="AA853">
        <v>30</v>
      </c>
      <c r="AB853">
        <v>1500</v>
      </c>
      <c r="AC853">
        <v>1296</v>
      </c>
      <c r="AD853">
        <v>1296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5</v>
      </c>
      <c r="AQ853">
        <v>0</v>
      </c>
      <c r="AR853">
        <v>0</v>
      </c>
      <c r="AS853" t="s">
        <v>58</v>
      </c>
      <c r="AT853">
        <v>1</v>
      </c>
      <c r="AU853" t="s">
        <v>63</v>
      </c>
      <c r="AV853" t="s">
        <v>60</v>
      </c>
      <c r="AW853">
        <v>0</v>
      </c>
      <c r="AX853">
        <v>3</v>
      </c>
      <c r="AY853">
        <v>0</v>
      </c>
      <c r="AZ853">
        <v>0</v>
      </c>
      <c r="BA853">
        <v>100</v>
      </c>
      <c r="BB853">
        <v>100</v>
      </c>
      <c r="BC853">
        <v>100</v>
      </c>
      <c r="BD853">
        <v>100</v>
      </c>
      <c r="BE853">
        <v>1</v>
      </c>
      <c r="BF853">
        <v>15000</v>
      </c>
      <c r="BG853">
        <v>1000</v>
      </c>
      <c r="BH853" s="6">
        <f>Grandview_Inventory[[#This Row],[land_extract]]*Lookups!$B$3</f>
        <v>58313.55389788279</v>
      </c>
      <c r="BI853" s="6">
        <f>IF(Grandview_Inventory[[#This Row],[bldg_style]]="",0,Lookups!$B$2)</f>
        <v>155833.95000000001</v>
      </c>
      <c r="BJ853" s="6">
        <f>_xlfn.IFNA(VLOOKUP(Grandview_Inventory[[#This Row],[quality]],Lookups!$H$2:$J$14,3,FALSE),0)</f>
        <v>10733</v>
      </c>
      <c r="BK853" s="6">
        <f>_xlfn.IFNA(VLOOKUP(Grandview_Inventory[[#This Row],[condition]],Lookups!$H$17:$J$24,3,FALSE),0)</f>
        <v>-4503</v>
      </c>
      <c r="BL853" s="6">
        <f>Grandview_Inventory[[#This Row],[Eff_Age]]*Lookups!$B$14</f>
        <v>-7174.9979999999996</v>
      </c>
      <c r="BM853" s="6">
        <f>Grandview_Inventory[[#This Row],[living_area]]*Lookups!$B$15</f>
        <v>80845.585487999997</v>
      </c>
      <c r="BN853" s="6">
        <f>Grandview_Inventory[[#This Row],[Fin BSMT]]*Lookups!$B$16</f>
        <v>0</v>
      </c>
      <c r="BO853" s="6">
        <f>(Grandview_Inventory[[#This Row],[att_gar]]+Grandview_Inventory[[#This Row],[bltin_gar]])*Lookups!$B$17</f>
        <v>0</v>
      </c>
      <c r="BP853" s="6">
        <f>Grandview_Inventory[[#This Row],[Plumbing Fixtures]]*Lookups!$B$18</f>
        <v>10052.209000000001</v>
      </c>
      <c r="BQ853" s="6">
        <f>Grandview_Inventory[[#This Row],[detatched_value]]*Lookups!$B$19</f>
        <v>0</v>
      </c>
      <c r="BR853" s="6">
        <f>SUM(Grandview_Inventory[[#This Row],[Intercept]:[det_value]])*Grandview_Inventory[[#This Row],[res_pct]]</f>
        <v>245786.746488</v>
      </c>
      <c r="BS853" s="6">
        <f>Grandview_Inventory[[#This Row],[land_value]]</f>
        <v>58313.55389788279</v>
      </c>
      <c r="BT853" s="4">
        <f>_xlfn.IFNA(VLOOKUP(Grandview_Inventory[[#This Row],[quality]],Lookups!$A$26:$C$33,3,FALSE),1)</f>
        <v>0.98079741117310582</v>
      </c>
      <c r="BU853" s="4">
        <f>_xlfn.IFNA(VLOOKUP(Grandview_Inventory[[#This Row],[condition]],Lookups!$A$37:$C$44,3,FALSE),1)</f>
        <v>0.96469275950863709</v>
      </c>
      <c r="BV853" s="4">
        <f>IF(Grandview_Inventory[[#This Row],[bldg_style]]="",1,_xlfn.IFNA(VLOOKUP(Grandview_Inventory[[#This Row],[decade]],Lookups!$F$29:$H$43,3,FALSE),1))</f>
        <v>0.98397821291089549</v>
      </c>
      <c r="BW853" s="4">
        <f>_xlfn.IFNA(VLOOKUP(Grandview_Inventory[[#This Row],[living_area_range]],Lookups!$F$47:$H$56,3,FALSE),1)</f>
        <v>0.96135087979789358</v>
      </c>
      <c r="BX853" s="4">
        <f>AVERAGE(Grandview_Inventory[[#This Row],[qual_adj]:[size_adj]])</f>
        <v>0.97270481584763302</v>
      </c>
      <c r="BY853" s="6">
        <f>IF(Grandview_Inventory[[#This Row],[pre_res]]&lt;0,0,Grandview_Inventory[[#This Row],[pre_res]]*Grandview_Inventory[[#This Row],[overall_adj]])</f>
        <v>239077.95198039891</v>
      </c>
      <c r="BZ853" s="6">
        <f>(Grandview_Inventory[[#This Row],[sum_land]]-IF(Grandview_Inventory[[#This Row],[no_utilities]]=1,12000,0))/IF(Grandview_Inventory[[#This Row],[unbuildable]]=1,2,1)</f>
        <v>58313.55389788279</v>
      </c>
      <c r="CA853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853">
        <f>ROUND(Grandview_Inventory[[#This Row],[det_value]]*Lookups!$M$28,-2)</f>
        <v>0</v>
      </c>
      <c r="CC853">
        <f>IF(ROUND(Grandview_Inventory[[#This Row],[adj_res]]*Lookups!$M$28,-2)&lt;Grandview_Inventory[[#This Row],[min_res]],Grandview_Inventory[[#This Row],[min_res]],ROUND(Grandview_Inventory[[#This Row],[adj_res]]*Lookups!$M$28,-2))</f>
        <v>227100</v>
      </c>
      <c r="CD853">
        <f>Grandview_Inventory[[#This Row],[final_det]]+Grandview_Inventory[[#This Row],[final_res]]</f>
        <v>227100</v>
      </c>
      <c r="CE853">
        <f>Grandview_Inventory[[#This Row],[final_land]]+Grandview_Inventory[[#This Row],[final_imp]]+Grandview_Inventory[[#This Row],[crop_value]]</f>
        <v>282500</v>
      </c>
      <c r="CG853" t="str">
        <f t="shared" si="13"/>
        <v>update valuation set market_land =55400, market_bldg=227100, market_total =282500, market_mdno =401, market_date ='9/10/2023' where link_id = (select link_id from parcel where parcel_year = '2024' and parcel_id = '23092232483');</v>
      </c>
    </row>
    <row r="854" spans="1:85" x14ac:dyDescent="0.25">
      <c r="A854">
        <v>23092232490</v>
      </c>
      <c r="B854" t="s">
        <v>129</v>
      </c>
      <c r="C854">
        <v>8284</v>
      </c>
      <c r="D854" t="s">
        <v>129</v>
      </c>
      <c r="E854" t="s">
        <v>53</v>
      </c>
      <c r="F854" t="s">
        <v>53</v>
      </c>
      <c r="G854">
        <v>4</v>
      </c>
      <c r="H854" t="s">
        <v>54</v>
      </c>
      <c r="I854">
        <v>239600</v>
      </c>
      <c r="J854">
        <v>39100</v>
      </c>
      <c r="K854">
        <v>0.19</v>
      </c>
      <c r="L85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854">
        <v>0</v>
      </c>
      <c r="N854">
        <v>0</v>
      </c>
      <c r="O854">
        <v>0</v>
      </c>
      <c r="P854">
        <v>13398.7528</v>
      </c>
      <c r="Q854">
        <v>63903</v>
      </c>
      <c r="R854">
        <f>(Grandview_Inventory[[#This Row],[ln_acres]]*Grandview_Inventory[[#This Row],[coeff]])+Grandview_Inventory[[#This Row],[const]]</f>
        <v>41651.273092551026</v>
      </c>
      <c r="S854" t="s">
        <v>61</v>
      </c>
      <c r="T854">
        <v>1</v>
      </c>
      <c r="U854" t="s">
        <v>62</v>
      </c>
      <c r="V854" t="s">
        <v>57</v>
      </c>
      <c r="W854">
        <v>0</v>
      </c>
      <c r="X854">
        <v>0</v>
      </c>
      <c r="Y854">
        <v>1</v>
      </c>
      <c r="Z854">
        <v>1</v>
      </c>
      <c r="AA854">
        <v>10</v>
      </c>
      <c r="AB854">
        <v>1500</v>
      </c>
      <c r="AC854">
        <v>1210</v>
      </c>
      <c r="AD854">
        <v>1210</v>
      </c>
      <c r="AE854">
        <v>0</v>
      </c>
      <c r="AF854">
        <v>0</v>
      </c>
      <c r="AG854">
        <v>0</v>
      </c>
      <c r="AH854">
        <v>0</v>
      </c>
      <c r="AI854">
        <v>400</v>
      </c>
      <c r="AJ854">
        <v>0</v>
      </c>
      <c r="AK854">
        <v>0</v>
      </c>
      <c r="AL854">
        <v>0</v>
      </c>
      <c r="AM854">
        <v>96</v>
      </c>
      <c r="AN854">
        <v>24</v>
      </c>
      <c r="AO854">
        <v>0</v>
      </c>
      <c r="AP854">
        <v>8</v>
      </c>
      <c r="AQ854">
        <v>0</v>
      </c>
      <c r="AR854">
        <v>0</v>
      </c>
      <c r="AS854" t="s">
        <v>58</v>
      </c>
      <c r="AT854">
        <v>1</v>
      </c>
      <c r="AU854" t="s">
        <v>63</v>
      </c>
      <c r="AV854" t="s">
        <v>60</v>
      </c>
      <c r="AW854">
        <v>1</v>
      </c>
      <c r="AX854">
        <v>3</v>
      </c>
      <c r="AY854">
        <v>0</v>
      </c>
      <c r="AZ854">
        <v>0</v>
      </c>
      <c r="BA854">
        <v>100</v>
      </c>
      <c r="BB854">
        <v>100</v>
      </c>
      <c r="BC854">
        <v>100</v>
      </c>
      <c r="BD854">
        <v>100</v>
      </c>
      <c r="BE854">
        <v>1</v>
      </c>
      <c r="BF854">
        <v>15000</v>
      </c>
      <c r="BG854">
        <v>1000</v>
      </c>
      <c r="BH854" s="6">
        <f>Grandview_Inventory[[#This Row],[land_extract]]*Lookups!$B$3</f>
        <v>48369.510983942157</v>
      </c>
      <c r="BI854" s="6">
        <f>IF(Grandview_Inventory[[#This Row],[bldg_style]]="",0,Lookups!$B$2)</f>
        <v>155833.95000000001</v>
      </c>
      <c r="BJ854" s="6">
        <f>_xlfn.IFNA(VLOOKUP(Grandview_Inventory[[#This Row],[quality]],Lookups!$H$2:$J$14,3,FALSE),0)</f>
        <v>9808</v>
      </c>
      <c r="BK854" s="6">
        <f>_xlfn.IFNA(VLOOKUP(Grandview_Inventory[[#This Row],[condition]],Lookups!$H$17:$J$24,3,FALSE),0)</f>
        <v>25780</v>
      </c>
      <c r="BL854" s="6">
        <f>Grandview_Inventory[[#This Row],[Eff_Age]]*Lookups!$B$14</f>
        <v>-239.16659999999999</v>
      </c>
      <c r="BM854" s="6">
        <f>Grandview_Inventory[[#This Row],[living_area]]*Lookups!$B$15</f>
        <v>75480.832129999995</v>
      </c>
      <c r="BN854" s="6">
        <f>Grandview_Inventory[[#This Row],[Fin BSMT]]*Lookups!$B$16</f>
        <v>0</v>
      </c>
      <c r="BO854" s="6">
        <f>(Grandview_Inventory[[#This Row],[att_gar]]+Grandview_Inventory[[#This Row],[bltin_gar]])*Lookups!$B$17</f>
        <v>35008.174800000001</v>
      </c>
      <c r="BP854" s="6">
        <f>Grandview_Inventory[[#This Row],[Plumbing Fixtures]]*Lookups!$B$18</f>
        <v>16083.5344</v>
      </c>
      <c r="BQ854" s="6">
        <f>Grandview_Inventory[[#This Row],[detatched_value]]*Lookups!$B$19</f>
        <v>0</v>
      </c>
      <c r="BR854" s="6">
        <f>SUM(Grandview_Inventory[[#This Row],[Intercept]:[det_value]])*Grandview_Inventory[[#This Row],[res_pct]]</f>
        <v>317755.32472999999</v>
      </c>
      <c r="BS854" s="6">
        <f>Grandview_Inventory[[#This Row],[land_value]]</f>
        <v>48369.510983942157</v>
      </c>
      <c r="BT854" s="4">
        <f>_xlfn.IFNA(VLOOKUP(Grandview_Inventory[[#This Row],[quality]],Lookups!$A$26:$C$33,3,FALSE),1)</f>
        <v>0.94295468617355149</v>
      </c>
      <c r="BU854" s="4">
        <f>_xlfn.IFNA(VLOOKUP(Grandview_Inventory[[#This Row],[condition]],Lookups!$A$37:$C$44,3,FALSE),1)</f>
        <v>0.94347925387812148</v>
      </c>
      <c r="BV854" s="4">
        <f>IF(Grandview_Inventory[[#This Row],[bldg_style]]="",1,_xlfn.IFNA(VLOOKUP(Grandview_Inventory[[#This Row],[decade]],Lookups!$F$29:$H$43,3,FALSE),1))</f>
        <v>0.94601966599150278</v>
      </c>
      <c r="BW854" s="4">
        <f>_xlfn.IFNA(VLOOKUP(Grandview_Inventory[[#This Row],[living_area_range]],Lookups!$F$47:$H$56,3,FALSE),1)</f>
        <v>0.96135087979789358</v>
      </c>
      <c r="BX854" s="4">
        <f>AVERAGE(Grandview_Inventory[[#This Row],[qual_adj]:[size_adj]])</f>
        <v>0.94845112146026733</v>
      </c>
      <c r="BY854" s="6">
        <f>IF(Grandview_Inventory[[#This Row],[pre_res]]&lt;0,0,Grandview_Inventory[[#This Row],[pre_res]]*Grandview_Inventory[[#This Row],[overall_adj]])</f>
        <v>301375.39409013989</v>
      </c>
      <c r="BZ854" s="6">
        <f>(Grandview_Inventory[[#This Row],[sum_land]]-IF(Grandview_Inventory[[#This Row],[no_utilities]]=1,12000,0))/IF(Grandview_Inventory[[#This Row],[unbuildable]]=1,2,1)</f>
        <v>48369.510983942157</v>
      </c>
      <c r="CA85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854">
        <f>ROUND(Grandview_Inventory[[#This Row],[det_value]]*Lookups!$M$28,-2)</f>
        <v>0</v>
      </c>
      <c r="CC854">
        <f>IF(ROUND(Grandview_Inventory[[#This Row],[adj_res]]*Lookups!$M$28,-2)&lt;Grandview_Inventory[[#This Row],[min_res]],Grandview_Inventory[[#This Row],[min_res]],ROUND(Grandview_Inventory[[#This Row],[adj_res]]*Lookups!$M$28,-2))</f>
        <v>286300</v>
      </c>
      <c r="CD854">
        <f>Grandview_Inventory[[#This Row],[final_det]]+Grandview_Inventory[[#This Row],[final_res]]</f>
        <v>286300</v>
      </c>
      <c r="CE854">
        <f>Grandview_Inventory[[#This Row],[final_land]]+Grandview_Inventory[[#This Row],[final_imp]]+Grandview_Inventory[[#This Row],[crop_value]]</f>
        <v>332300</v>
      </c>
      <c r="CG854" t="str">
        <f t="shared" si="13"/>
        <v>update valuation set market_land =46000, market_bldg=286300, market_total =332300, market_mdno =401, market_date ='9/10/2023' where link_id = (select link_id from parcel where parcel_year = '2024' and parcel_id = '23092232490');</v>
      </c>
    </row>
    <row r="855" spans="1:85" x14ac:dyDescent="0.25">
      <c r="A855">
        <v>23092232491</v>
      </c>
      <c r="B855" t="s">
        <v>129</v>
      </c>
      <c r="C855">
        <v>8896</v>
      </c>
      <c r="D855" t="s">
        <v>129</v>
      </c>
      <c r="E855" t="s">
        <v>53</v>
      </c>
      <c r="F855" t="s">
        <v>53</v>
      </c>
      <c r="G855">
        <v>4</v>
      </c>
      <c r="H855" t="s">
        <v>54</v>
      </c>
      <c r="I855">
        <v>290900</v>
      </c>
      <c r="J855">
        <v>39300</v>
      </c>
      <c r="K855">
        <v>0.2</v>
      </c>
      <c r="L85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55">
        <v>0</v>
      </c>
      <c r="N855">
        <v>0</v>
      </c>
      <c r="O855">
        <v>0</v>
      </c>
      <c r="P855">
        <v>13398.7528</v>
      </c>
      <c r="Q855">
        <v>63903</v>
      </c>
      <c r="R855">
        <f>(Grandview_Inventory[[#This Row],[ln_acres]]*Grandview_Inventory[[#This Row],[coeff]])+Grandview_Inventory[[#This Row],[const]]</f>
        <v>42338.539264347448</v>
      </c>
      <c r="S855" t="s">
        <v>55</v>
      </c>
      <c r="T855">
        <v>1</v>
      </c>
      <c r="U855" t="s">
        <v>62</v>
      </c>
      <c r="V855" t="s">
        <v>57</v>
      </c>
      <c r="W855">
        <v>0</v>
      </c>
      <c r="X855">
        <v>0</v>
      </c>
      <c r="Y855">
        <v>1</v>
      </c>
      <c r="Z855">
        <v>1</v>
      </c>
      <c r="AA855">
        <v>10</v>
      </c>
      <c r="AB855">
        <v>2000</v>
      </c>
      <c r="AC855">
        <v>1598</v>
      </c>
      <c r="AD855">
        <v>1598</v>
      </c>
      <c r="AE855">
        <v>0</v>
      </c>
      <c r="AF855">
        <v>0</v>
      </c>
      <c r="AG855">
        <v>0</v>
      </c>
      <c r="AH855">
        <v>0</v>
      </c>
      <c r="AI855">
        <v>788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9</v>
      </c>
      <c r="AQ855">
        <v>0</v>
      </c>
      <c r="AR855">
        <v>0</v>
      </c>
      <c r="AS855" t="s">
        <v>58</v>
      </c>
      <c r="AT855">
        <v>1</v>
      </c>
      <c r="AU855" t="s">
        <v>63</v>
      </c>
      <c r="AV855" t="s">
        <v>64</v>
      </c>
      <c r="AW855">
        <v>1</v>
      </c>
      <c r="AX855">
        <v>3</v>
      </c>
      <c r="AY855">
        <v>0</v>
      </c>
      <c r="AZ855">
        <v>0</v>
      </c>
      <c r="BA855">
        <v>100</v>
      </c>
      <c r="BB855">
        <v>100</v>
      </c>
      <c r="BC855">
        <v>100</v>
      </c>
      <c r="BD855">
        <v>100</v>
      </c>
      <c r="BE855">
        <v>1</v>
      </c>
      <c r="BF855">
        <v>15000</v>
      </c>
      <c r="BG855">
        <v>1000</v>
      </c>
      <c r="BH855" s="6">
        <f>Grandview_Inventory[[#This Row],[land_extract]]*Lookups!$B$3</f>
        <v>49167.631333630678</v>
      </c>
      <c r="BI855" s="6">
        <f>IF(Grandview_Inventory[[#This Row],[bldg_style]]="",0,Lookups!$B$2)</f>
        <v>155833.95000000001</v>
      </c>
      <c r="BJ855" s="6">
        <f>_xlfn.IFNA(VLOOKUP(Grandview_Inventory[[#This Row],[quality]],Lookups!$H$2:$J$14,3,FALSE),0)</f>
        <v>9808</v>
      </c>
      <c r="BK855" s="6">
        <f>_xlfn.IFNA(VLOOKUP(Grandview_Inventory[[#This Row],[condition]],Lookups!$H$17:$J$24,3,FALSE),0)</f>
        <v>25780</v>
      </c>
      <c r="BL855" s="6">
        <f>Grandview_Inventory[[#This Row],[Eff_Age]]*Lookups!$B$14</f>
        <v>-239.16659999999999</v>
      </c>
      <c r="BM855" s="6">
        <f>Grandview_Inventory[[#This Row],[living_area]]*Lookups!$B$15</f>
        <v>99684.603094000006</v>
      </c>
      <c r="BN855" s="6">
        <f>Grandview_Inventory[[#This Row],[Fin BSMT]]*Lookups!$B$16</f>
        <v>0</v>
      </c>
      <c r="BO855" s="6">
        <f>(Grandview_Inventory[[#This Row],[att_gar]]+Grandview_Inventory[[#This Row],[bltin_gar]])*Lookups!$B$17</f>
        <v>68966.104355999996</v>
      </c>
      <c r="BP855" s="6">
        <f>Grandview_Inventory[[#This Row],[Plumbing Fixtures]]*Lookups!$B$18</f>
        <v>18093.976200000001</v>
      </c>
      <c r="BQ855" s="6">
        <f>Grandview_Inventory[[#This Row],[detatched_value]]*Lookups!$B$19</f>
        <v>0</v>
      </c>
      <c r="BR855" s="6">
        <f>SUM(Grandview_Inventory[[#This Row],[Intercept]:[det_value]])*Grandview_Inventory[[#This Row],[res_pct]]</f>
        <v>377927.46705000004</v>
      </c>
      <c r="BS855" s="6">
        <f>Grandview_Inventory[[#This Row],[land_value]]</f>
        <v>49167.631333630678</v>
      </c>
      <c r="BT855" s="4">
        <f>_xlfn.IFNA(VLOOKUP(Grandview_Inventory[[#This Row],[quality]],Lookups!$A$26:$C$33,3,FALSE),1)</f>
        <v>0.94295468617355149</v>
      </c>
      <c r="BU855" s="4">
        <f>_xlfn.IFNA(VLOOKUP(Grandview_Inventory[[#This Row],[condition]],Lookups!$A$37:$C$44,3,FALSE),1)</f>
        <v>0.94347925387812148</v>
      </c>
      <c r="BV855" s="4">
        <f>IF(Grandview_Inventory[[#This Row],[bldg_style]]="",1,_xlfn.IFNA(VLOOKUP(Grandview_Inventory[[#This Row],[decade]],Lookups!$F$29:$H$43,3,FALSE),1))</f>
        <v>0.94601966599150278</v>
      </c>
      <c r="BW855" s="4">
        <f>_xlfn.IFNA(VLOOKUP(Grandview_Inventory[[#This Row],[living_area_range]],Lookups!$F$47:$H$56,3,FALSE),1)</f>
        <v>0.96120133463014379</v>
      </c>
      <c r="BX855" s="4">
        <f>AVERAGE(Grandview_Inventory[[#This Row],[qual_adj]:[size_adj]])</f>
        <v>0.94841373516832994</v>
      </c>
      <c r="BY855" s="6">
        <f>IF(Grandview_Inventory[[#This Row],[pre_res]]&lt;0,0,Grandview_Inventory[[#This Row],[pre_res]]*Grandview_Inventory[[#This Row],[overall_adj]])</f>
        <v>358431.60064759647</v>
      </c>
      <c r="BZ855" s="6">
        <f>(Grandview_Inventory[[#This Row],[sum_land]]-IF(Grandview_Inventory[[#This Row],[no_utilities]]=1,12000,0))/IF(Grandview_Inventory[[#This Row],[unbuildable]]=1,2,1)</f>
        <v>49167.631333630678</v>
      </c>
      <c r="CA85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55">
        <f>ROUND(Grandview_Inventory[[#This Row],[det_value]]*Lookups!$M$28,-2)</f>
        <v>0</v>
      </c>
      <c r="CC855">
        <f>IF(ROUND(Grandview_Inventory[[#This Row],[adj_res]]*Lookups!$M$28,-2)&lt;Grandview_Inventory[[#This Row],[min_res]],Grandview_Inventory[[#This Row],[min_res]],ROUND(Grandview_Inventory[[#This Row],[adj_res]]*Lookups!$M$28,-2))</f>
        <v>340500</v>
      </c>
      <c r="CD855">
        <f>Grandview_Inventory[[#This Row],[final_det]]+Grandview_Inventory[[#This Row],[final_res]]</f>
        <v>340500</v>
      </c>
      <c r="CE855">
        <f>Grandview_Inventory[[#This Row],[final_land]]+Grandview_Inventory[[#This Row],[final_imp]]+Grandview_Inventory[[#This Row],[crop_value]]</f>
        <v>387200</v>
      </c>
      <c r="CG855" t="str">
        <f t="shared" si="13"/>
        <v>update valuation set market_land =46700, market_bldg=340500, market_total =387200, market_mdno =401, market_date ='9/10/2023' where link_id = (select link_id from parcel where parcel_year = '2024' and parcel_id = '23092232491');</v>
      </c>
    </row>
    <row r="856" spans="1:85" x14ac:dyDescent="0.25">
      <c r="A856">
        <v>23092232492</v>
      </c>
      <c r="B856" t="s">
        <v>129</v>
      </c>
      <c r="C856">
        <v>11250</v>
      </c>
      <c r="D856" t="s">
        <v>129</v>
      </c>
      <c r="E856" t="s">
        <v>53</v>
      </c>
      <c r="F856" t="s">
        <v>53</v>
      </c>
      <c r="G856">
        <v>4</v>
      </c>
      <c r="H856" t="s">
        <v>54</v>
      </c>
      <c r="I856">
        <v>304300</v>
      </c>
      <c r="J856">
        <v>40200</v>
      </c>
      <c r="K856">
        <v>0.26</v>
      </c>
      <c r="L85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856">
        <v>0</v>
      </c>
      <c r="N856">
        <v>0</v>
      </c>
      <c r="O856">
        <v>0</v>
      </c>
      <c r="P856">
        <v>13398.7528</v>
      </c>
      <c r="Q856">
        <v>63903</v>
      </c>
      <c r="R856">
        <f>(Grandview_Inventory[[#This Row],[ln_acres]]*Grandview_Inventory[[#This Row],[coeff]])+Grandview_Inventory[[#This Row],[const]]</f>
        <v>45853.893187501177</v>
      </c>
      <c r="S856" t="s">
        <v>58</v>
      </c>
      <c r="T856">
        <v>1</v>
      </c>
      <c r="U856" t="s">
        <v>64</v>
      </c>
      <c r="V856" t="s">
        <v>57</v>
      </c>
      <c r="W856">
        <v>0</v>
      </c>
      <c r="X856">
        <v>0</v>
      </c>
      <c r="Y856">
        <v>1</v>
      </c>
      <c r="Z856">
        <v>1</v>
      </c>
      <c r="AA856">
        <v>10</v>
      </c>
      <c r="AB856">
        <v>2000</v>
      </c>
      <c r="AC856">
        <v>1801</v>
      </c>
      <c r="AD856">
        <v>1801</v>
      </c>
      <c r="AE856">
        <v>0</v>
      </c>
      <c r="AF856">
        <v>0</v>
      </c>
      <c r="AG856">
        <v>0</v>
      </c>
      <c r="AH856">
        <v>0</v>
      </c>
      <c r="AI856">
        <v>619</v>
      </c>
      <c r="AJ856">
        <v>0</v>
      </c>
      <c r="AK856">
        <v>0</v>
      </c>
      <c r="AL856">
        <v>0</v>
      </c>
      <c r="AM856">
        <v>0</v>
      </c>
      <c r="AN856">
        <v>258</v>
      </c>
      <c r="AO856">
        <v>0</v>
      </c>
      <c r="AP856">
        <v>10</v>
      </c>
      <c r="AQ856">
        <v>0</v>
      </c>
      <c r="AR856">
        <v>0</v>
      </c>
      <c r="AS856" t="s">
        <v>58</v>
      </c>
      <c r="AT856">
        <v>1</v>
      </c>
      <c r="AU856" t="s">
        <v>63</v>
      </c>
      <c r="AV856" t="s">
        <v>64</v>
      </c>
      <c r="AW856">
        <v>1</v>
      </c>
      <c r="AX856">
        <v>3</v>
      </c>
      <c r="AY856">
        <v>0</v>
      </c>
      <c r="AZ856">
        <v>0</v>
      </c>
      <c r="BA856">
        <v>100</v>
      </c>
      <c r="BB856">
        <v>100</v>
      </c>
      <c r="BC856">
        <v>100</v>
      </c>
      <c r="BD856">
        <v>100</v>
      </c>
      <c r="BE856">
        <v>1</v>
      </c>
      <c r="BF856">
        <v>15000</v>
      </c>
      <c r="BG856">
        <v>1000</v>
      </c>
      <c r="BH856" s="6">
        <f>Grandview_Inventory[[#This Row],[land_extract]]*Lookups!$B$3</f>
        <v>53250.00235313351</v>
      </c>
      <c r="BI856" s="6">
        <f>IF(Grandview_Inventory[[#This Row],[bldg_style]]="",0,Lookups!$B$2)</f>
        <v>155833.95000000001</v>
      </c>
      <c r="BJ856" s="6">
        <f>_xlfn.IFNA(VLOOKUP(Grandview_Inventory[[#This Row],[quality]],Lookups!$H$2:$J$14,3,FALSE),0)</f>
        <v>20768</v>
      </c>
      <c r="BK856" s="6">
        <f>_xlfn.IFNA(VLOOKUP(Grandview_Inventory[[#This Row],[condition]],Lookups!$H$17:$J$24,3,FALSE),0)</f>
        <v>25780</v>
      </c>
      <c r="BL856" s="6">
        <f>Grandview_Inventory[[#This Row],[Eff_Age]]*Lookups!$B$14</f>
        <v>-239.16659999999999</v>
      </c>
      <c r="BM856" s="6">
        <f>Grandview_Inventory[[#This Row],[living_area]]*Lookups!$B$15</f>
        <v>112347.916253</v>
      </c>
      <c r="BN856" s="6">
        <f>Grandview_Inventory[[#This Row],[Fin BSMT]]*Lookups!$B$16</f>
        <v>0</v>
      </c>
      <c r="BO856" s="6">
        <f>(Grandview_Inventory[[#This Row],[att_gar]]+Grandview_Inventory[[#This Row],[bltin_gar]])*Lookups!$B$17</f>
        <v>54175.150502999997</v>
      </c>
      <c r="BP856" s="6">
        <f>Grandview_Inventory[[#This Row],[Plumbing Fixtures]]*Lookups!$B$18</f>
        <v>20104.418000000001</v>
      </c>
      <c r="BQ856" s="6">
        <f>Grandview_Inventory[[#This Row],[detatched_value]]*Lookups!$B$19</f>
        <v>0</v>
      </c>
      <c r="BR856" s="6">
        <f>SUM(Grandview_Inventory[[#This Row],[Intercept]:[det_value]])*Grandview_Inventory[[#This Row],[res_pct]]</f>
        <v>388770.26815600001</v>
      </c>
      <c r="BS856" s="6">
        <f>Grandview_Inventory[[#This Row],[land_value]]</f>
        <v>53250.00235313351</v>
      </c>
      <c r="BT856" s="4">
        <f>_xlfn.IFNA(VLOOKUP(Grandview_Inventory[[#This Row],[quality]],Lookups!$A$26:$C$33,3,FALSE),1)</f>
        <v>0.94960540378902636</v>
      </c>
      <c r="BU856" s="4">
        <f>_xlfn.IFNA(VLOOKUP(Grandview_Inventory[[#This Row],[condition]],Lookups!$A$37:$C$44,3,FALSE),1)</f>
        <v>0.94347925387812148</v>
      </c>
      <c r="BV856" s="4">
        <f>IF(Grandview_Inventory[[#This Row],[bldg_style]]="",1,_xlfn.IFNA(VLOOKUP(Grandview_Inventory[[#This Row],[decade]],Lookups!$F$29:$H$43,3,FALSE),1))</f>
        <v>0.94601966599150278</v>
      </c>
      <c r="BW856" s="4">
        <f>_xlfn.IFNA(VLOOKUP(Grandview_Inventory[[#This Row],[living_area_range]],Lookups!$F$47:$H$56,3,FALSE),1)</f>
        <v>0.96120133463014379</v>
      </c>
      <c r="BX856" s="4">
        <f>AVERAGE(Grandview_Inventory[[#This Row],[qual_adj]:[size_adj]])</f>
        <v>0.95007641457219871</v>
      </c>
      <c r="BY856" s="6">
        <f>IF(Grandview_Inventory[[#This Row],[pre_res]]&lt;0,0,Grandview_Inventory[[#This Row],[pre_res]]*Grandview_Inventory[[#This Row],[overall_adj]])</f>
        <v>369361.4624619247</v>
      </c>
      <c r="BZ856" s="6">
        <f>(Grandview_Inventory[[#This Row],[sum_land]]-IF(Grandview_Inventory[[#This Row],[no_utilities]]=1,12000,0))/IF(Grandview_Inventory[[#This Row],[unbuildable]]=1,2,1)</f>
        <v>53250.00235313351</v>
      </c>
      <c r="CA85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856">
        <f>ROUND(Grandview_Inventory[[#This Row],[det_value]]*Lookups!$M$28,-2)</f>
        <v>0</v>
      </c>
      <c r="CC856">
        <f>IF(ROUND(Grandview_Inventory[[#This Row],[adj_res]]*Lookups!$M$28,-2)&lt;Grandview_Inventory[[#This Row],[min_res]],Grandview_Inventory[[#This Row],[min_res]],ROUND(Grandview_Inventory[[#This Row],[adj_res]]*Lookups!$M$28,-2))</f>
        <v>350900</v>
      </c>
      <c r="CD856">
        <f>Grandview_Inventory[[#This Row],[final_det]]+Grandview_Inventory[[#This Row],[final_res]]</f>
        <v>350900</v>
      </c>
      <c r="CE856">
        <f>Grandview_Inventory[[#This Row],[final_land]]+Grandview_Inventory[[#This Row],[final_imp]]+Grandview_Inventory[[#This Row],[crop_value]]</f>
        <v>401500</v>
      </c>
      <c r="CG856" t="str">
        <f t="shared" si="13"/>
        <v>update valuation set market_land =50600, market_bldg=350900, market_total =401500, market_mdno =401, market_date ='9/10/2023' where link_id = (select link_id from parcel where parcel_year = '2024' and parcel_id = '23092232492');</v>
      </c>
    </row>
    <row r="857" spans="1:85" x14ac:dyDescent="0.25">
      <c r="A857">
        <v>23092232493</v>
      </c>
      <c r="B857" t="s">
        <v>129</v>
      </c>
      <c r="C857">
        <v>10686</v>
      </c>
      <c r="D857" t="s">
        <v>129</v>
      </c>
      <c r="E857" t="s">
        <v>53</v>
      </c>
      <c r="F857" t="s">
        <v>53</v>
      </c>
      <c r="G857">
        <v>4</v>
      </c>
      <c r="H857" t="s">
        <v>54</v>
      </c>
      <c r="I857">
        <v>284500</v>
      </c>
      <c r="J857">
        <v>40000</v>
      </c>
      <c r="K857">
        <v>0.25</v>
      </c>
      <c r="L85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857">
        <v>0</v>
      </c>
      <c r="N857">
        <v>0</v>
      </c>
      <c r="O857">
        <v>0</v>
      </c>
      <c r="P857">
        <v>13398.7528</v>
      </c>
      <c r="Q857">
        <v>63903</v>
      </c>
      <c r="R857">
        <f>(Grandview_Inventory[[#This Row],[ln_acres]]*Grandview_Inventory[[#This Row],[coeff]])+Grandview_Inventory[[#This Row],[const]]</f>
        <v>45328.38454732066</v>
      </c>
      <c r="S857" t="s">
        <v>55</v>
      </c>
      <c r="T857">
        <v>1</v>
      </c>
      <c r="U857" t="s">
        <v>62</v>
      </c>
      <c r="V857" t="s">
        <v>57</v>
      </c>
      <c r="W857">
        <v>0</v>
      </c>
      <c r="X857">
        <v>0</v>
      </c>
      <c r="Y857">
        <v>2</v>
      </c>
      <c r="Z857">
        <v>2</v>
      </c>
      <c r="AA857">
        <v>10</v>
      </c>
      <c r="AB857">
        <v>2000</v>
      </c>
      <c r="AC857">
        <v>1628</v>
      </c>
      <c r="AD857">
        <v>1628</v>
      </c>
      <c r="AE857">
        <v>0</v>
      </c>
      <c r="AF857">
        <v>0</v>
      </c>
      <c r="AG857">
        <v>0</v>
      </c>
      <c r="AH857">
        <v>0</v>
      </c>
      <c r="AI857">
        <v>668</v>
      </c>
      <c r="AJ857">
        <v>0</v>
      </c>
      <c r="AK857">
        <v>0</v>
      </c>
      <c r="AL857">
        <v>0</v>
      </c>
      <c r="AM857">
        <v>0</v>
      </c>
      <c r="AN857">
        <v>72</v>
      </c>
      <c r="AO857">
        <v>0</v>
      </c>
      <c r="AP857">
        <v>9</v>
      </c>
      <c r="AQ857">
        <v>0</v>
      </c>
      <c r="AR857">
        <v>0</v>
      </c>
      <c r="AS857" t="s">
        <v>58</v>
      </c>
      <c r="AT857">
        <v>1</v>
      </c>
      <c r="AU857" t="s">
        <v>63</v>
      </c>
      <c r="AV857" t="s">
        <v>64</v>
      </c>
      <c r="AW857">
        <v>1</v>
      </c>
      <c r="AX857">
        <v>3</v>
      </c>
      <c r="AY857">
        <v>0</v>
      </c>
      <c r="AZ857">
        <v>0</v>
      </c>
      <c r="BA857">
        <v>100</v>
      </c>
      <c r="BB857">
        <v>100</v>
      </c>
      <c r="BC857">
        <v>100</v>
      </c>
      <c r="BD857">
        <v>100</v>
      </c>
      <c r="BE857">
        <v>1</v>
      </c>
      <c r="BF857">
        <v>15000</v>
      </c>
      <c r="BG857">
        <v>1000</v>
      </c>
      <c r="BH857" s="6">
        <f>Grandview_Inventory[[#This Row],[land_extract]]*Lookups!$B$3</f>
        <v>52639.730588165206</v>
      </c>
      <c r="BI857" s="6">
        <f>IF(Grandview_Inventory[[#This Row],[bldg_style]]="",0,Lookups!$B$2)</f>
        <v>155833.95000000001</v>
      </c>
      <c r="BJ857" s="6">
        <f>_xlfn.IFNA(VLOOKUP(Grandview_Inventory[[#This Row],[quality]],Lookups!$H$2:$J$14,3,FALSE),0)</f>
        <v>9808</v>
      </c>
      <c r="BK857" s="6">
        <f>_xlfn.IFNA(VLOOKUP(Grandview_Inventory[[#This Row],[condition]],Lookups!$H$17:$J$24,3,FALSE),0)</f>
        <v>25780</v>
      </c>
      <c r="BL857" s="6">
        <f>Grandview_Inventory[[#This Row],[Eff_Age]]*Lookups!$B$14</f>
        <v>-478.33319999999998</v>
      </c>
      <c r="BM857" s="6">
        <f>Grandview_Inventory[[#This Row],[living_area]]*Lookups!$B$15</f>
        <v>101556.028684</v>
      </c>
      <c r="BN857" s="6">
        <f>Grandview_Inventory[[#This Row],[Fin BSMT]]*Lookups!$B$16</f>
        <v>0</v>
      </c>
      <c r="BO857" s="6">
        <f>(Grandview_Inventory[[#This Row],[att_gar]]+Grandview_Inventory[[#This Row],[bltin_gar]])*Lookups!$B$17</f>
        <v>58463.651916000003</v>
      </c>
      <c r="BP857" s="6">
        <f>Grandview_Inventory[[#This Row],[Plumbing Fixtures]]*Lookups!$B$18</f>
        <v>18093.976200000001</v>
      </c>
      <c r="BQ857" s="6">
        <f>Grandview_Inventory[[#This Row],[detatched_value]]*Lookups!$B$19</f>
        <v>0</v>
      </c>
      <c r="BR857" s="6">
        <f>SUM(Grandview_Inventory[[#This Row],[Intercept]:[det_value]])*Grandview_Inventory[[#This Row],[res_pct]]</f>
        <v>369057.27360000001</v>
      </c>
      <c r="BS857" s="6">
        <f>Grandview_Inventory[[#This Row],[land_value]]</f>
        <v>52639.730588165206</v>
      </c>
      <c r="BT857" s="4">
        <f>_xlfn.IFNA(VLOOKUP(Grandview_Inventory[[#This Row],[quality]],Lookups!$A$26:$C$33,3,FALSE),1)</f>
        <v>0.94295468617355149</v>
      </c>
      <c r="BU857" s="4">
        <f>_xlfn.IFNA(VLOOKUP(Grandview_Inventory[[#This Row],[condition]],Lookups!$A$37:$C$44,3,FALSE),1)</f>
        <v>0.94347925387812148</v>
      </c>
      <c r="BV857" s="4">
        <f>IF(Grandview_Inventory[[#This Row],[bldg_style]]="",1,_xlfn.IFNA(VLOOKUP(Grandview_Inventory[[#This Row],[decade]],Lookups!$F$29:$H$43,3,FALSE),1))</f>
        <v>0.94601966599150278</v>
      </c>
      <c r="BW857" s="4">
        <f>_xlfn.IFNA(VLOOKUP(Grandview_Inventory[[#This Row],[living_area_range]],Lookups!$F$47:$H$56,3,FALSE),1)</f>
        <v>0.96120133463014379</v>
      </c>
      <c r="BX857" s="4">
        <f>AVERAGE(Grandview_Inventory[[#This Row],[qual_adj]:[size_adj]])</f>
        <v>0.94841373516832994</v>
      </c>
      <c r="BY857" s="6">
        <f>IF(Grandview_Inventory[[#This Row],[pre_res]]&lt;0,0,Grandview_Inventory[[#This Row],[pre_res]]*Grandview_Inventory[[#This Row],[overall_adj]])</f>
        <v>350018.98734601628</v>
      </c>
      <c r="BZ857" s="6">
        <f>(Grandview_Inventory[[#This Row],[sum_land]]-IF(Grandview_Inventory[[#This Row],[no_utilities]]=1,12000,0))/IF(Grandview_Inventory[[#This Row],[unbuildable]]=1,2,1)</f>
        <v>52639.730588165206</v>
      </c>
      <c r="CA85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857">
        <f>ROUND(Grandview_Inventory[[#This Row],[det_value]]*Lookups!$M$28,-2)</f>
        <v>0</v>
      </c>
      <c r="CC857">
        <f>IF(ROUND(Grandview_Inventory[[#This Row],[adj_res]]*Lookups!$M$28,-2)&lt;Grandview_Inventory[[#This Row],[min_res]],Grandview_Inventory[[#This Row],[min_res]],ROUND(Grandview_Inventory[[#This Row],[adj_res]]*Lookups!$M$28,-2))</f>
        <v>332500</v>
      </c>
      <c r="CD857">
        <f>Grandview_Inventory[[#This Row],[final_det]]+Grandview_Inventory[[#This Row],[final_res]]</f>
        <v>332500</v>
      </c>
      <c r="CE857">
        <f>Grandview_Inventory[[#This Row],[final_land]]+Grandview_Inventory[[#This Row],[final_imp]]+Grandview_Inventory[[#This Row],[crop_value]]</f>
        <v>382500</v>
      </c>
      <c r="CG857" t="str">
        <f t="shared" si="13"/>
        <v>update valuation set market_land =50000, market_bldg=332500, market_total =382500, market_mdno =401, market_date ='9/10/2023' where link_id = (select link_id from parcel where parcel_year = '2024' and parcel_id = '23092232493');</v>
      </c>
    </row>
    <row r="858" spans="1:85" x14ac:dyDescent="0.25">
      <c r="A858">
        <v>23092232494</v>
      </c>
      <c r="B858" t="s">
        <v>129</v>
      </c>
      <c r="C858">
        <v>10003</v>
      </c>
      <c r="D858" t="s">
        <v>129</v>
      </c>
      <c r="E858" t="s">
        <v>53</v>
      </c>
      <c r="F858" t="s">
        <v>53</v>
      </c>
      <c r="G858">
        <v>4</v>
      </c>
      <c r="H858" t="s">
        <v>54</v>
      </c>
      <c r="I858">
        <v>269700</v>
      </c>
      <c r="J858">
        <v>39500</v>
      </c>
      <c r="K858">
        <v>0.23</v>
      </c>
      <c r="L85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858">
        <v>0</v>
      </c>
      <c r="N858">
        <v>0</v>
      </c>
      <c r="O858">
        <v>0</v>
      </c>
      <c r="P858">
        <v>13398.7528</v>
      </c>
      <c r="Q858">
        <v>63903</v>
      </c>
      <c r="R858">
        <f>(Grandview_Inventory[[#This Row],[ln_acres]]*Grandview_Inventory[[#This Row],[coeff]])+Grandview_Inventory[[#This Row],[const]]</f>
        <v>44211.174981080039</v>
      </c>
      <c r="S858" t="s">
        <v>55</v>
      </c>
      <c r="T858">
        <v>1</v>
      </c>
      <c r="U858" t="s">
        <v>62</v>
      </c>
      <c r="V858" t="s">
        <v>57</v>
      </c>
      <c r="W858">
        <v>0</v>
      </c>
      <c r="X858">
        <v>0</v>
      </c>
      <c r="Y858">
        <v>1</v>
      </c>
      <c r="Z858">
        <v>1</v>
      </c>
      <c r="AA858">
        <v>10</v>
      </c>
      <c r="AB858">
        <v>2000</v>
      </c>
      <c r="AC858">
        <v>1529</v>
      </c>
      <c r="AD858">
        <v>1529</v>
      </c>
      <c r="AE858">
        <v>0</v>
      </c>
      <c r="AF858">
        <v>0</v>
      </c>
      <c r="AG858">
        <v>0</v>
      </c>
      <c r="AH858">
        <v>0</v>
      </c>
      <c r="AI858">
        <v>518</v>
      </c>
      <c r="AJ858">
        <v>0</v>
      </c>
      <c r="AK858">
        <v>0</v>
      </c>
      <c r="AL858">
        <v>0</v>
      </c>
      <c r="AM858">
        <v>0</v>
      </c>
      <c r="AN858">
        <v>235</v>
      </c>
      <c r="AO858">
        <v>0</v>
      </c>
      <c r="AP858">
        <v>9</v>
      </c>
      <c r="AQ858">
        <v>0</v>
      </c>
      <c r="AR858">
        <v>0</v>
      </c>
      <c r="AS858" t="s">
        <v>58</v>
      </c>
      <c r="AT858">
        <v>1</v>
      </c>
      <c r="AU858" t="s">
        <v>63</v>
      </c>
      <c r="AV858" t="s">
        <v>64</v>
      </c>
      <c r="AW858">
        <v>1</v>
      </c>
      <c r="AX858">
        <v>3</v>
      </c>
      <c r="AY858">
        <v>0</v>
      </c>
      <c r="AZ858">
        <v>0</v>
      </c>
      <c r="BA858">
        <v>100</v>
      </c>
      <c r="BB858">
        <v>100</v>
      </c>
      <c r="BC858">
        <v>100</v>
      </c>
      <c r="BD858">
        <v>100</v>
      </c>
      <c r="BE858">
        <v>1</v>
      </c>
      <c r="BF858">
        <v>15000</v>
      </c>
      <c r="BG858">
        <v>1000</v>
      </c>
      <c r="BH858" s="6">
        <f>Grandview_Inventory[[#This Row],[land_extract]]*Lookups!$B$3</f>
        <v>51342.318135355803</v>
      </c>
      <c r="BI858" s="6">
        <f>IF(Grandview_Inventory[[#This Row],[bldg_style]]="",0,Lookups!$B$2)</f>
        <v>155833.95000000001</v>
      </c>
      <c r="BJ858" s="6">
        <f>_xlfn.IFNA(VLOOKUP(Grandview_Inventory[[#This Row],[quality]],Lookups!$H$2:$J$14,3,FALSE),0)</f>
        <v>9808</v>
      </c>
      <c r="BK858" s="6">
        <f>_xlfn.IFNA(VLOOKUP(Grandview_Inventory[[#This Row],[condition]],Lookups!$H$17:$J$24,3,FALSE),0)</f>
        <v>25780</v>
      </c>
      <c r="BL858" s="6">
        <f>Grandview_Inventory[[#This Row],[Eff_Age]]*Lookups!$B$14</f>
        <v>-239.16659999999999</v>
      </c>
      <c r="BM858" s="6">
        <f>Grandview_Inventory[[#This Row],[living_area]]*Lookups!$B$15</f>
        <v>95380.324237000008</v>
      </c>
      <c r="BN858" s="6">
        <f>Grandview_Inventory[[#This Row],[Fin BSMT]]*Lookups!$B$16</f>
        <v>0</v>
      </c>
      <c r="BO858" s="6">
        <f>(Grandview_Inventory[[#This Row],[att_gar]]+Grandview_Inventory[[#This Row],[bltin_gar]])*Lookups!$B$17</f>
        <v>45335.586366000003</v>
      </c>
      <c r="BP858" s="6">
        <f>Grandview_Inventory[[#This Row],[Plumbing Fixtures]]*Lookups!$B$18</f>
        <v>18093.976200000001</v>
      </c>
      <c r="BQ858" s="6">
        <f>Grandview_Inventory[[#This Row],[detatched_value]]*Lookups!$B$19</f>
        <v>0</v>
      </c>
      <c r="BR858" s="6">
        <f>SUM(Grandview_Inventory[[#This Row],[Intercept]:[det_value]])*Grandview_Inventory[[#This Row],[res_pct]]</f>
        <v>349992.67020300002</v>
      </c>
      <c r="BS858" s="6">
        <f>Grandview_Inventory[[#This Row],[land_value]]</f>
        <v>51342.318135355803</v>
      </c>
      <c r="BT858" s="4">
        <f>_xlfn.IFNA(VLOOKUP(Grandview_Inventory[[#This Row],[quality]],Lookups!$A$26:$C$33,3,FALSE),1)</f>
        <v>0.94295468617355149</v>
      </c>
      <c r="BU858" s="4">
        <f>_xlfn.IFNA(VLOOKUP(Grandview_Inventory[[#This Row],[condition]],Lookups!$A$37:$C$44,3,FALSE),1)</f>
        <v>0.94347925387812148</v>
      </c>
      <c r="BV858" s="4">
        <f>IF(Grandview_Inventory[[#This Row],[bldg_style]]="",1,_xlfn.IFNA(VLOOKUP(Grandview_Inventory[[#This Row],[decade]],Lookups!$F$29:$H$43,3,FALSE),1))</f>
        <v>0.94601966599150278</v>
      </c>
      <c r="BW858" s="4">
        <f>_xlfn.IFNA(VLOOKUP(Grandview_Inventory[[#This Row],[living_area_range]],Lookups!$F$47:$H$56,3,FALSE),1)</f>
        <v>0.96120133463014379</v>
      </c>
      <c r="BX858" s="4">
        <f>AVERAGE(Grandview_Inventory[[#This Row],[qual_adj]:[size_adj]])</f>
        <v>0.94841373516832994</v>
      </c>
      <c r="BY858" s="6">
        <f>IF(Grandview_Inventory[[#This Row],[pre_res]]&lt;0,0,Grandview_Inventory[[#This Row],[pre_res]]*Grandview_Inventory[[#This Row],[overall_adj]])</f>
        <v>331937.85562876472</v>
      </c>
      <c r="BZ858" s="6">
        <f>(Grandview_Inventory[[#This Row],[sum_land]]-IF(Grandview_Inventory[[#This Row],[no_utilities]]=1,12000,0))/IF(Grandview_Inventory[[#This Row],[unbuildable]]=1,2,1)</f>
        <v>51342.318135355803</v>
      </c>
      <c r="CA85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858">
        <f>ROUND(Grandview_Inventory[[#This Row],[det_value]]*Lookups!$M$28,-2)</f>
        <v>0</v>
      </c>
      <c r="CC858">
        <f>IF(ROUND(Grandview_Inventory[[#This Row],[adj_res]]*Lookups!$M$28,-2)&lt;Grandview_Inventory[[#This Row],[min_res]],Grandview_Inventory[[#This Row],[min_res]],ROUND(Grandview_Inventory[[#This Row],[adj_res]]*Lookups!$M$28,-2))</f>
        <v>315300</v>
      </c>
      <c r="CD858">
        <f>Grandview_Inventory[[#This Row],[final_det]]+Grandview_Inventory[[#This Row],[final_res]]</f>
        <v>315300</v>
      </c>
      <c r="CE858">
        <f>Grandview_Inventory[[#This Row],[final_land]]+Grandview_Inventory[[#This Row],[final_imp]]+Grandview_Inventory[[#This Row],[crop_value]]</f>
        <v>364100</v>
      </c>
      <c r="CG858" t="str">
        <f t="shared" si="13"/>
        <v>update valuation set market_land =48800, market_bldg=315300, market_total =364100, market_mdno =401, market_date ='9/10/2023' where link_id = (select link_id from parcel where parcel_year = '2024' and parcel_id = '23092232494');</v>
      </c>
    </row>
    <row r="859" spans="1:85" x14ac:dyDescent="0.25">
      <c r="A859">
        <v>23092232495</v>
      </c>
      <c r="B859" t="s">
        <v>129</v>
      </c>
      <c r="C859">
        <v>9400</v>
      </c>
      <c r="D859" t="s">
        <v>129</v>
      </c>
      <c r="E859" t="s">
        <v>53</v>
      </c>
      <c r="F859" t="s">
        <v>53</v>
      </c>
      <c r="G859">
        <v>4</v>
      </c>
      <c r="H859" t="s">
        <v>54</v>
      </c>
      <c r="I859">
        <v>246900</v>
      </c>
      <c r="J859">
        <v>39500</v>
      </c>
      <c r="K859">
        <v>0.22</v>
      </c>
      <c r="L85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859">
        <v>0</v>
      </c>
      <c r="N859">
        <v>0</v>
      </c>
      <c r="O859">
        <v>0</v>
      </c>
      <c r="P859">
        <v>13398.7528</v>
      </c>
      <c r="Q859">
        <v>63903</v>
      </c>
      <c r="R859">
        <f>(Grandview_Inventory[[#This Row],[ln_acres]]*Grandview_Inventory[[#This Row],[coeff]])+Grandview_Inventory[[#This Row],[const]]</f>
        <v>43615.576802869145</v>
      </c>
      <c r="S859" t="s">
        <v>55</v>
      </c>
      <c r="T859">
        <v>1</v>
      </c>
      <c r="U859" t="s">
        <v>62</v>
      </c>
      <c r="V859" t="s">
        <v>57</v>
      </c>
      <c r="W859">
        <v>0</v>
      </c>
      <c r="X859">
        <v>0</v>
      </c>
      <c r="Y859">
        <v>2</v>
      </c>
      <c r="Z859">
        <v>2</v>
      </c>
      <c r="AA859">
        <v>10</v>
      </c>
      <c r="AB859">
        <v>1500</v>
      </c>
      <c r="AC859">
        <v>1280</v>
      </c>
      <c r="AD859">
        <v>1280</v>
      </c>
      <c r="AE859">
        <v>0</v>
      </c>
      <c r="AF859">
        <v>0</v>
      </c>
      <c r="AG859">
        <v>0</v>
      </c>
      <c r="AH859">
        <v>0</v>
      </c>
      <c r="AI859">
        <v>400</v>
      </c>
      <c r="AJ859">
        <v>0</v>
      </c>
      <c r="AK859">
        <v>0</v>
      </c>
      <c r="AL859">
        <v>0</v>
      </c>
      <c r="AM859">
        <v>0</v>
      </c>
      <c r="AN859">
        <v>36</v>
      </c>
      <c r="AO859">
        <v>0</v>
      </c>
      <c r="AP859">
        <v>8</v>
      </c>
      <c r="AQ859">
        <v>0</v>
      </c>
      <c r="AR859">
        <v>0</v>
      </c>
      <c r="AS859" t="s">
        <v>58</v>
      </c>
      <c r="AT859">
        <v>1</v>
      </c>
      <c r="AU859" t="s">
        <v>63</v>
      </c>
      <c r="AV859" t="s">
        <v>64</v>
      </c>
      <c r="AW859">
        <v>1</v>
      </c>
      <c r="AX859">
        <v>3</v>
      </c>
      <c r="AY859">
        <v>0</v>
      </c>
      <c r="AZ859">
        <v>0</v>
      </c>
      <c r="BA859">
        <v>100</v>
      </c>
      <c r="BB859">
        <v>100</v>
      </c>
      <c r="BC859">
        <v>100</v>
      </c>
      <c r="BD859">
        <v>100</v>
      </c>
      <c r="BE859">
        <v>1</v>
      </c>
      <c r="BF859">
        <v>15000</v>
      </c>
      <c r="BG859">
        <v>1000</v>
      </c>
      <c r="BH859" s="6">
        <f>Grandview_Inventory[[#This Row],[land_extract]]*Lookups!$B$3</f>
        <v>50650.651579114572</v>
      </c>
      <c r="BI859" s="6">
        <f>IF(Grandview_Inventory[[#This Row],[bldg_style]]="",0,Lookups!$B$2)</f>
        <v>155833.95000000001</v>
      </c>
      <c r="BJ859" s="6">
        <f>_xlfn.IFNA(VLOOKUP(Grandview_Inventory[[#This Row],[quality]],Lookups!$H$2:$J$14,3,FALSE),0)</f>
        <v>9808</v>
      </c>
      <c r="BK859" s="6">
        <f>_xlfn.IFNA(VLOOKUP(Grandview_Inventory[[#This Row],[condition]],Lookups!$H$17:$J$24,3,FALSE),0)</f>
        <v>25780</v>
      </c>
      <c r="BL859" s="6">
        <f>Grandview_Inventory[[#This Row],[Eff_Age]]*Lookups!$B$14</f>
        <v>-478.33319999999998</v>
      </c>
      <c r="BM859" s="6">
        <f>Grandview_Inventory[[#This Row],[living_area]]*Lookups!$B$15</f>
        <v>79847.491840000002</v>
      </c>
      <c r="BN859" s="6">
        <f>Grandview_Inventory[[#This Row],[Fin BSMT]]*Lookups!$B$16</f>
        <v>0</v>
      </c>
      <c r="BO859" s="6">
        <f>(Grandview_Inventory[[#This Row],[att_gar]]+Grandview_Inventory[[#This Row],[bltin_gar]])*Lookups!$B$17</f>
        <v>35008.174800000001</v>
      </c>
      <c r="BP859" s="6">
        <f>Grandview_Inventory[[#This Row],[Plumbing Fixtures]]*Lookups!$B$18</f>
        <v>16083.5344</v>
      </c>
      <c r="BQ859" s="6">
        <f>Grandview_Inventory[[#This Row],[detatched_value]]*Lookups!$B$19</f>
        <v>0</v>
      </c>
      <c r="BR859" s="6">
        <f>SUM(Grandview_Inventory[[#This Row],[Intercept]:[det_value]])*Grandview_Inventory[[#This Row],[res_pct]]</f>
        <v>321882.81783999997</v>
      </c>
      <c r="BS859" s="6">
        <f>Grandview_Inventory[[#This Row],[land_value]]</f>
        <v>50650.651579114572</v>
      </c>
      <c r="BT859" s="4">
        <f>_xlfn.IFNA(VLOOKUP(Grandview_Inventory[[#This Row],[quality]],Lookups!$A$26:$C$33,3,FALSE),1)</f>
        <v>0.94295468617355149</v>
      </c>
      <c r="BU859" s="4">
        <f>_xlfn.IFNA(VLOOKUP(Grandview_Inventory[[#This Row],[condition]],Lookups!$A$37:$C$44,3,FALSE),1)</f>
        <v>0.94347925387812148</v>
      </c>
      <c r="BV859" s="4">
        <f>IF(Grandview_Inventory[[#This Row],[bldg_style]]="",1,_xlfn.IFNA(VLOOKUP(Grandview_Inventory[[#This Row],[decade]],Lookups!$F$29:$H$43,3,FALSE),1))</f>
        <v>0.94601966599150278</v>
      </c>
      <c r="BW859" s="4">
        <f>_xlfn.IFNA(VLOOKUP(Grandview_Inventory[[#This Row],[living_area_range]],Lookups!$F$47:$H$56,3,FALSE),1)</f>
        <v>0.96135087979789358</v>
      </c>
      <c r="BX859" s="4">
        <f>AVERAGE(Grandview_Inventory[[#This Row],[qual_adj]:[size_adj]])</f>
        <v>0.94845112146026733</v>
      </c>
      <c r="BY859" s="6">
        <f>IF(Grandview_Inventory[[#This Row],[pre_res]]&lt;0,0,Grandview_Inventory[[#This Row],[pre_res]]*Grandview_Inventory[[#This Row],[overall_adj]])</f>
        <v>305290.1195591389</v>
      </c>
      <c r="BZ859" s="6">
        <f>(Grandview_Inventory[[#This Row],[sum_land]]-IF(Grandview_Inventory[[#This Row],[no_utilities]]=1,12000,0))/IF(Grandview_Inventory[[#This Row],[unbuildable]]=1,2,1)</f>
        <v>50650.651579114572</v>
      </c>
      <c r="CA85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859">
        <f>ROUND(Grandview_Inventory[[#This Row],[det_value]]*Lookups!$M$28,-2)</f>
        <v>0</v>
      </c>
      <c r="CC859">
        <f>IF(ROUND(Grandview_Inventory[[#This Row],[adj_res]]*Lookups!$M$28,-2)&lt;Grandview_Inventory[[#This Row],[min_res]],Grandview_Inventory[[#This Row],[min_res]],ROUND(Grandview_Inventory[[#This Row],[adj_res]]*Lookups!$M$28,-2))</f>
        <v>290000</v>
      </c>
      <c r="CD859">
        <f>Grandview_Inventory[[#This Row],[final_det]]+Grandview_Inventory[[#This Row],[final_res]]</f>
        <v>290000</v>
      </c>
      <c r="CE859">
        <f>Grandview_Inventory[[#This Row],[final_land]]+Grandview_Inventory[[#This Row],[final_imp]]+Grandview_Inventory[[#This Row],[crop_value]]</f>
        <v>338100</v>
      </c>
      <c r="CG859" t="str">
        <f t="shared" si="13"/>
        <v>update valuation set market_land =48100, market_bldg=290000, market_total =338100, market_mdno =401, market_date ='9/10/2023' where link_id = (select link_id from parcel where parcel_year = '2024' and parcel_id = '23092232495');</v>
      </c>
    </row>
    <row r="860" spans="1:85" x14ac:dyDescent="0.25">
      <c r="A860">
        <v>23092232496</v>
      </c>
      <c r="B860" t="s">
        <v>129</v>
      </c>
      <c r="C860">
        <v>8819</v>
      </c>
      <c r="D860" t="s">
        <v>129</v>
      </c>
      <c r="E860" t="s">
        <v>53</v>
      </c>
      <c r="F860" t="s">
        <v>53</v>
      </c>
      <c r="G860">
        <v>4</v>
      </c>
      <c r="H860" t="s">
        <v>54</v>
      </c>
      <c r="I860">
        <v>275300</v>
      </c>
      <c r="J860">
        <v>39300</v>
      </c>
      <c r="K860">
        <v>0.2</v>
      </c>
      <c r="L86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60">
        <v>0</v>
      </c>
      <c r="N860">
        <v>0</v>
      </c>
      <c r="O860">
        <v>0</v>
      </c>
      <c r="P860">
        <v>13398.7528</v>
      </c>
      <c r="Q860">
        <v>63903</v>
      </c>
      <c r="R860">
        <f>(Grandview_Inventory[[#This Row],[ln_acres]]*Grandview_Inventory[[#This Row],[coeff]])+Grandview_Inventory[[#This Row],[const]]</f>
        <v>42338.539264347448</v>
      </c>
      <c r="S860" t="s">
        <v>55</v>
      </c>
      <c r="T860">
        <v>1</v>
      </c>
      <c r="U860" t="s">
        <v>62</v>
      </c>
      <c r="V860" t="s">
        <v>57</v>
      </c>
      <c r="W860">
        <v>0</v>
      </c>
      <c r="X860">
        <v>0</v>
      </c>
      <c r="Y860">
        <v>1</v>
      </c>
      <c r="Z860">
        <v>1</v>
      </c>
      <c r="AA860">
        <v>10</v>
      </c>
      <c r="AB860">
        <v>2000</v>
      </c>
      <c r="AC860">
        <v>1683</v>
      </c>
      <c r="AD860">
        <v>1683</v>
      </c>
      <c r="AE860">
        <v>0</v>
      </c>
      <c r="AF860">
        <v>0</v>
      </c>
      <c r="AG860">
        <v>0</v>
      </c>
      <c r="AH860">
        <v>0</v>
      </c>
      <c r="AI860">
        <v>479</v>
      </c>
      <c r="AJ860">
        <v>0</v>
      </c>
      <c r="AK860">
        <v>0</v>
      </c>
      <c r="AL860">
        <v>0</v>
      </c>
      <c r="AM860">
        <v>0</v>
      </c>
      <c r="AN860">
        <v>288</v>
      </c>
      <c r="AO860">
        <v>0</v>
      </c>
      <c r="AP860">
        <v>9</v>
      </c>
      <c r="AQ860">
        <v>0</v>
      </c>
      <c r="AR860">
        <v>0</v>
      </c>
      <c r="AS860" t="s">
        <v>58</v>
      </c>
      <c r="AT860">
        <v>1</v>
      </c>
      <c r="AU860" t="s">
        <v>63</v>
      </c>
      <c r="AV860" t="s">
        <v>64</v>
      </c>
      <c r="AW860">
        <v>1</v>
      </c>
      <c r="AX860">
        <v>3</v>
      </c>
      <c r="AY860">
        <v>0</v>
      </c>
      <c r="AZ860">
        <v>0</v>
      </c>
      <c r="BA860">
        <v>100</v>
      </c>
      <c r="BB860">
        <v>100</v>
      </c>
      <c r="BC860">
        <v>100</v>
      </c>
      <c r="BD860">
        <v>100</v>
      </c>
      <c r="BE860">
        <v>1</v>
      </c>
      <c r="BF860">
        <v>15000</v>
      </c>
      <c r="BG860">
        <v>1000</v>
      </c>
      <c r="BH860" s="6">
        <f>Grandview_Inventory[[#This Row],[land_extract]]*Lookups!$B$3</f>
        <v>49167.631333630678</v>
      </c>
      <c r="BI860" s="6">
        <f>IF(Grandview_Inventory[[#This Row],[bldg_style]]="",0,Lookups!$B$2)</f>
        <v>155833.95000000001</v>
      </c>
      <c r="BJ860" s="6">
        <f>_xlfn.IFNA(VLOOKUP(Grandview_Inventory[[#This Row],[quality]],Lookups!$H$2:$J$14,3,FALSE),0)</f>
        <v>9808</v>
      </c>
      <c r="BK860" s="6">
        <f>_xlfn.IFNA(VLOOKUP(Grandview_Inventory[[#This Row],[condition]],Lookups!$H$17:$J$24,3,FALSE),0)</f>
        <v>25780</v>
      </c>
      <c r="BL860" s="6">
        <f>Grandview_Inventory[[#This Row],[Eff_Age]]*Lookups!$B$14</f>
        <v>-239.16659999999999</v>
      </c>
      <c r="BM860" s="6">
        <f>Grandview_Inventory[[#This Row],[living_area]]*Lookups!$B$15</f>
        <v>104986.975599</v>
      </c>
      <c r="BN860" s="6">
        <f>Grandview_Inventory[[#This Row],[Fin BSMT]]*Lookups!$B$16</f>
        <v>0</v>
      </c>
      <c r="BO860" s="6">
        <f>(Grandview_Inventory[[#This Row],[att_gar]]+Grandview_Inventory[[#This Row],[bltin_gar]])*Lookups!$B$17</f>
        <v>41922.289322999997</v>
      </c>
      <c r="BP860" s="6">
        <f>Grandview_Inventory[[#This Row],[Plumbing Fixtures]]*Lookups!$B$18</f>
        <v>18093.976200000001</v>
      </c>
      <c r="BQ860" s="6">
        <f>Grandview_Inventory[[#This Row],[detatched_value]]*Lookups!$B$19</f>
        <v>0</v>
      </c>
      <c r="BR860" s="6">
        <f>SUM(Grandview_Inventory[[#This Row],[Intercept]:[det_value]])*Grandview_Inventory[[#This Row],[res_pct]]</f>
        <v>356186.02452199999</v>
      </c>
      <c r="BS860" s="6">
        <f>Grandview_Inventory[[#This Row],[land_value]]</f>
        <v>49167.631333630678</v>
      </c>
      <c r="BT860" s="4">
        <f>_xlfn.IFNA(VLOOKUP(Grandview_Inventory[[#This Row],[quality]],Lookups!$A$26:$C$33,3,FALSE),1)</f>
        <v>0.94295468617355149</v>
      </c>
      <c r="BU860" s="4">
        <f>_xlfn.IFNA(VLOOKUP(Grandview_Inventory[[#This Row],[condition]],Lookups!$A$37:$C$44,3,FALSE),1)</f>
        <v>0.94347925387812148</v>
      </c>
      <c r="BV860" s="4">
        <f>IF(Grandview_Inventory[[#This Row],[bldg_style]]="",1,_xlfn.IFNA(VLOOKUP(Grandview_Inventory[[#This Row],[decade]],Lookups!$F$29:$H$43,3,FALSE),1))</f>
        <v>0.94601966599150278</v>
      </c>
      <c r="BW860" s="4">
        <f>_xlfn.IFNA(VLOOKUP(Grandview_Inventory[[#This Row],[living_area_range]],Lookups!$F$47:$H$56,3,FALSE),1)</f>
        <v>0.96120133463014379</v>
      </c>
      <c r="BX860" s="4">
        <f>AVERAGE(Grandview_Inventory[[#This Row],[qual_adj]:[size_adj]])</f>
        <v>0.94841373516832994</v>
      </c>
      <c r="BY860" s="6">
        <f>IF(Grandview_Inventory[[#This Row],[pre_res]]&lt;0,0,Grandview_Inventory[[#This Row],[pre_res]]*Grandview_Inventory[[#This Row],[overall_adj]])</f>
        <v>337811.71793166839</v>
      </c>
      <c r="BZ860" s="6">
        <f>(Grandview_Inventory[[#This Row],[sum_land]]-IF(Grandview_Inventory[[#This Row],[no_utilities]]=1,12000,0))/IF(Grandview_Inventory[[#This Row],[unbuildable]]=1,2,1)</f>
        <v>49167.631333630678</v>
      </c>
      <c r="CA86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60">
        <f>ROUND(Grandview_Inventory[[#This Row],[det_value]]*Lookups!$M$28,-2)</f>
        <v>0</v>
      </c>
      <c r="CC860">
        <f>IF(ROUND(Grandview_Inventory[[#This Row],[adj_res]]*Lookups!$M$28,-2)&lt;Grandview_Inventory[[#This Row],[min_res]],Grandview_Inventory[[#This Row],[min_res]],ROUND(Grandview_Inventory[[#This Row],[adj_res]]*Lookups!$M$28,-2))</f>
        <v>320900</v>
      </c>
      <c r="CD860">
        <f>Grandview_Inventory[[#This Row],[final_det]]+Grandview_Inventory[[#This Row],[final_res]]</f>
        <v>320900</v>
      </c>
      <c r="CE860">
        <f>Grandview_Inventory[[#This Row],[final_land]]+Grandview_Inventory[[#This Row],[final_imp]]+Grandview_Inventory[[#This Row],[crop_value]]</f>
        <v>367600</v>
      </c>
      <c r="CG860" t="str">
        <f t="shared" si="13"/>
        <v>update valuation set market_land =46700, market_bldg=320900, market_total =367600, market_mdno =401, market_date ='9/10/2023' where link_id = (select link_id from parcel where parcel_year = '2024' and parcel_id = '23092232496');</v>
      </c>
    </row>
    <row r="861" spans="1:85" x14ac:dyDescent="0.25">
      <c r="A861">
        <v>23092232497</v>
      </c>
      <c r="B861" t="s">
        <v>129</v>
      </c>
      <c r="C861">
        <v>8625</v>
      </c>
      <c r="D861" t="s">
        <v>129</v>
      </c>
      <c r="E861" t="s">
        <v>53</v>
      </c>
      <c r="F861" t="s">
        <v>53</v>
      </c>
      <c r="G861">
        <v>4</v>
      </c>
      <c r="H861" t="s">
        <v>54</v>
      </c>
      <c r="I861">
        <v>230500</v>
      </c>
      <c r="J861">
        <v>39300</v>
      </c>
      <c r="K861">
        <v>0.2</v>
      </c>
      <c r="L86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61">
        <v>0</v>
      </c>
      <c r="N861">
        <v>0</v>
      </c>
      <c r="O861">
        <v>0</v>
      </c>
      <c r="P861">
        <v>13398.7528</v>
      </c>
      <c r="Q861">
        <v>63903</v>
      </c>
      <c r="R861">
        <f>(Grandview_Inventory[[#This Row],[ln_acres]]*Grandview_Inventory[[#This Row],[coeff]])+Grandview_Inventory[[#This Row],[const]]</f>
        <v>42338.539264347448</v>
      </c>
      <c r="S861" t="s">
        <v>55</v>
      </c>
      <c r="T861">
        <v>1</v>
      </c>
      <c r="U861" t="s">
        <v>62</v>
      </c>
      <c r="V861" t="s">
        <v>57</v>
      </c>
      <c r="W861">
        <v>0</v>
      </c>
      <c r="X861">
        <v>0</v>
      </c>
      <c r="Y861">
        <v>1</v>
      </c>
      <c r="Z861">
        <v>1</v>
      </c>
      <c r="AA861">
        <v>10</v>
      </c>
      <c r="AB861">
        <v>1500</v>
      </c>
      <c r="AC861">
        <v>1426</v>
      </c>
      <c r="AD861">
        <v>1426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21</v>
      </c>
      <c r="AO861">
        <v>0</v>
      </c>
      <c r="AP861">
        <v>9</v>
      </c>
      <c r="AQ861">
        <v>0</v>
      </c>
      <c r="AR861">
        <v>0</v>
      </c>
      <c r="AS861" t="s">
        <v>58</v>
      </c>
      <c r="AT861">
        <v>1</v>
      </c>
      <c r="AU861" t="s">
        <v>63</v>
      </c>
      <c r="AV861" t="s">
        <v>64</v>
      </c>
      <c r="AW861">
        <v>1</v>
      </c>
      <c r="AX861">
        <v>3</v>
      </c>
      <c r="AY861">
        <v>0</v>
      </c>
      <c r="AZ861">
        <v>0</v>
      </c>
      <c r="BA861">
        <v>100</v>
      </c>
      <c r="BB861">
        <v>100</v>
      </c>
      <c r="BC861">
        <v>100</v>
      </c>
      <c r="BD861">
        <v>100</v>
      </c>
      <c r="BE861">
        <v>1</v>
      </c>
      <c r="BF861">
        <v>15000</v>
      </c>
      <c r="BG861">
        <v>1000</v>
      </c>
      <c r="BH861" s="6">
        <f>Grandview_Inventory[[#This Row],[land_extract]]*Lookups!$B$3</f>
        <v>49167.631333630678</v>
      </c>
      <c r="BI861" s="6">
        <f>IF(Grandview_Inventory[[#This Row],[bldg_style]]="",0,Lookups!$B$2)</f>
        <v>155833.95000000001</v>
      </c>
      <c r="BJ861" s="6">
        <f>_xlfn.IFNA(VLOOKUP(Grandview_Inventory[[#This Row],[quality]],Lookups!$H$2:$J$14,3,FALSE),0)</f>
        <v>9808</v>
      </c>
      <c r="BK861" s="6">
        <f>_xlfn.IFNA(VLOOKUP(Grandview_Inventory[[#This Row],[condition]],Lookups!$H$17:$J$24,3,FALSE),0)</f>
        <v>25780</v>
      </c>
      <c r="BL861" s="6">
        <f>Grandview_Inventory[[#This Row],[Eff_Age]]*Lookups!$B$14</f>
        <v>-239.16659999999999</v>
      </c>
      <c r="BM861" s="6">
        <f>Grandview_Inventory[[#This Row],[living_area]]*Lookups!$B$15</f>
        <v>88955.096378000002</v>
      </c>
      <c r="BN861" s="6">
        <f>Grandview_Inventory[[#This Row],[Fin BSMT]]*Lookups!$B$16</f>
        <v>0</v>
      </c>
      <c r="BO861" s="6">
        <f>(Grandview_Inventory[[#This Row],[att_gar]]+Grandview_Inventory[[#This Row],[bltin_gar]])*Lookups!$B$17</f>
        <v>0</v>
      </c>
      <c r="BP861" s="6">
        <f>Grandview_Inventory[[#This Row],[Plumbing Fixtures]]*Lookups!$B$18</f>
        <v>18093.976200000001</v>
      </c>
      <c r="BQ861" s="6">
        <f>Grandview_Inventory[[#This Row],[detatched_value]]*Lookups!$B$19</f>
        <v>0</v>
      </c>
      <c r="BR861" s="6">
        <f>SUM(Grandview_Inventory[[#This Row],[Intercept]:[det_value]])*Grandview_Inventory[[#This Row],[res_pct]]</f>
        <v>298231.85597799998</v>
      </c>
      <c r="BS861" s="6">
        <f>Grandview_Inventory[[#This Row],[land_value]]</f>
        <v>49167.631333630678</v>
      </c>
      <c r="BT861" s="4">
        <f>_xlfn.IFNA(VLOOKUP(Grandview_Inventory[[#This Row],[quality]],Lookups!$A$26:$C$33,3,FALSE),1)</f>
        <v>0.94295468617355149</v>
      </c>
      <c r="BU861" s="4">
        <f>_xlfn.IFNA(VLOOKUP(Grandview_Inventory[[#This Row],[condition]],Lookups!$A$37:$C$44,3,FALSE),1)</f>
        <v>0.94347925387812148</v>
      </c>
      <c r="BV861" s="4">
        <f>IF(Grandview_Inventory[[#This Row],[bldg_style]]="",1,_xlfn.IFNA(VLOOKUP(Grandview_Inventory[[#This Row],[decade]],Lookups!$F$29:$H$43,3,FALSE),1))</f>
        <v>0.94601966599150278</v>
      </c>
      <c r="BW861" s="4">
        <f>_xlfn.IFNA(VLOOKUP(Grandview_Inventory[[#This Row],[living_area_range]],Lookups!$F$47:$H$56,3,FALSE),1)</f>
        <v>0.96135087979789358</v>
      </c>
      <c r="BX861" s="4">
        <f>AVERAGE(Grandview_Inventory[[#This Row],[qual_adj]:[size_adj]])</f>
        <v>0.94845112146026733</v>
      </c>
      <c r="BY861" s="6">
        <f>IF(Grandview_Inventory[[#This Row],[pre_res]]&lt;0,0,Grandview_Inventory[[#This Row],[pre_res]]*Grandview_Inventory[[#This Row],[overall_adj]])</f>
        <v>282858.33825751103</v>
      </c>
      <c r="BZ861" s="6">
        <f>(Grandview_Inventory[[#This Row],[sum_land]]-IF(Grandview_Inventory[[#This Row],[no_utilities]]=1,12000,0))/IF(Grandview_Inventory[[#This Row],[unbuildable]]=1,2,1)</f>
        <v>49167.631333630678</v>
      </c>
      <c r="CA86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61">
        <f>ROUND(Grandview_Inventory[[#This Row],[det_value]]*Lookups!$M$28,-2)</f>
        <v>0</v>
      </c>
      <c r="CC861">
        <f>IF(ROUND(Grandview_Inventory[[#This Row],[adj_res]]*Lookups!$M$28,-2)&lt;Grandview_Inventory[[#This Row],[min_res]],Grandview_Inventory[[#This Row],[min_res]],ROUND(Grandview_Inventory[[#This Row],[adj_res]]*Lookups!$M$28,-2))</f>
        <v>268700</v>
      </c>
      <c r="CD861">
        <f>Grandview_Inventory[[#This Row],[final_det]]+Grandview_Inventory[[#This Row],[final_res]]</f>
        <v>268700</v>
      </c>
      <c r="CE861">
        <f>Grandview_Inventory[[#This Row],[final_land]]+Grandview_Inventory[[#This Row],[final_imp]]+Grandview_Inventory[[#This Row],[crop_value]]</f>
        <v>315400</v>
      </c>
      <c r="CG861" t="str">
        <f t="shared" si="13"/>
        <v>update valuation set market_land =46700, market_bldg=268700, market_total =315400, market_mdno =401, market_date ='9/10/2023' where link_id = (select link_id from parcel where parcel_year = '2024' and parcel_id = '23092232497');</v>
      </c>
    </row>
    <row r="862" spans="1:85" x14ac:dyDescent="0.25">
      <c r="A862">
        <v>23092232498</v>
      </c>
      <c r="B862" t="s">
        <v>129</v>
      </c>
      <c r="C862">
        <v>8625</v>
      </c>
      <c r="D862" t="s">
        <v>129</v>
      </c>
      <c r="E862" t="s">
        <v>53</v>
      </c>
      <c r="F862" t="s">
        <v>53</v>
      </c>
      <c r="G862">
        <v>4</v>
      </c>
      <c r="H862" t="s">
        <v>54</v>
      </c>
      <c r="I862">
        <v>282800</v>
      </c>
      <c r="J862">
        <v>39300</v>
      </c>
      <c r="K862">
        <v>0.2</v>
      </c>
      <c r="L86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62">
        <v>0</v>
      </c>
      <c r="N862">
        <v>0</v>
      </c>
      <c r="O862">
        <v>0</v>
      </c>
      <c r="P862">
        <v>13398.7528</v>
      </c>
      <c r="Q862">
        <v>63903</v>
      </c>
      <c r="R862">
        <f>(Grandview_Inventory[[#This Row],[ln_acres]]*Grandview_Inventory[[#This Row],[coeff]])+Grandview_Inventory[[#This Row],[const]]</f>
        <v>42338.539264347448</v>
      </c>
      <c r="S862" t="s">
        <v>55</v>
      </c>
      <c r="T862">
        <v>1</v>
      </c>
      <c r="U862" t="s">
        <v>62</v>
      </c>
      <c r="V862" t="s">
        <v>57</v>
      </c>
      <c r="W862">
        <v>0</v>
      </c>
      <c r="X862">
        <v>0</v>
      </c>
      <c r="Y862">
        <v>2</v>
      </c>
      <c r="Z862">
        <v>2</v>
      </c>
      <c r="AA862">
        <v>10</v>
      </c>
      <c r="AB862">
        <v>2000</v>
      </c>
      <c r="AC862">
        <v>1597</v>
      </c>
      <c r="AD862">
        <v>1597</v>
      </c>
      <c r="AE862">
        <v>0</v>
      </c>
      <c r="AF862">
        <v>0</v>
      </c>
      <c r="AG862">
        <v>0</v>
      </c>
      <c r="AH862">
        <v>0</v>
      </c>
      <c r="AI862">
        <v>668</v>
      </c>
      <c r="AJ862">
        <v>0</v>
      </c>
      <c r="AK862">
        <v>0</v>
      </c>
      <c r="AL862">
        <v>0</v>
      </c>
      <c r="AM862">
        <v>0</v>
      </c>
      <c r="AN862">
        <v>211</v>
      </c>
      <c r="AO862">
        <v>0</v>
      </c>
      <c r="AP862">
        <v>9</v>
      </c>
      <c r="AQ862">
        <v>0</v>
      </c>
      <c r="AR862">
        <v>0</v>
      </c>
      <c r="AS862" t="s">
        <v>58</v>
      </c>
      <c r="AT862">
        <v>1</v>
      </c>
      <c r="AU862" t="s">
        <v>63</v>
      </c>
      <c r="AV862" t="s">
        <v>64</v>
      </c>
      <c r="AW862">
        <v>1</v>
      </c>
      <c r="AX862">
        <v>3</v>
      </c>
      <c r="AY862">
        <v>0</v>
      </c>
      <c r="AZ862">
        <v>0</v>
      </c>
      <c r="BA862">
        <v>100</v>
      </c>
      <c r="BB862">
        <v>100</v>
      </c>
      <c r="BC862">
        <v>100</v>
      </c>
      <c r="BD862">
        <v>100</v>
      </c>
      <c r="BE862">
        <v>1</v>
      </c>
      <c r="BF862">
        <v>15000</v>
      </c>
      <c r="BG862">
        <v>1000</v>
      </c>
      <c r="BH862" s="6">
        <f>Grandview_Inventory[[#This Row],[land_extract]]*Lookups!$B$3</f>
        <v>49167.631333630678</v>
      </c>
      <c r="BI862" s="6">
        <f>IF(Grandview_Inventory[[#This Row],[bldg_style]]="",0,Lookups!$B$2)</f>
        <v>155833.95000000001</v>
      </c>
      <c r="BJ862" s="6">
        <f>_xlfn.IFNA(VLOOKUP(Grandview_Inventory[[#This Row],[quality]],Lookups!$H$2:$J$14,3,FALSE),0)</f>
        <v>9808</v>
      </c>
      <c r="BK862" s="6">
        <f>_xlfn.IFNA(VLOOKUP(Grandview_Inventory[[#This Row],[condition]],Lookups!$H$17:$J$24,3,FALSE),0)</f>
        <v>25780</v>
      </c>
      <c r="BL862" s="6">
        <f>Grandview_Inventory[[#This Row],[Eff_Age]]*Lookups!$B$14</f>
        <v>-478.33319999999998</v>
      </c>
      <c r="BM862" s="6">
        <f>Grandview_Inventory[[#This Row],[living_area]]*Lookups!$B$15</f>
        <v>99622.222240999996</v>
      </c>
      <c r="BN862" s="6">
        <f>Grandview_Inventory[[#This Row],[Fin BSMT]]*Lookups!$B$16</f>
        <v>0</v>
      </c>
      <c r="BO862" s="6">
        <f>(Grandview_Inventory[[#This Row],[att_gar]]+Grandview_Inventory[[#This Row],[bltin_gar]])*Lookups!$B$17</f>
        <v>58463.651916000003</v>
      </c>
      <c r="BP862" s="6">
        <f>Grandview_Inventory[[#This Row],[Plumbing Fixtures]]*Lookups!$B$18</f>
        <v>18093.976200000001</v>
      </c>
      <c r="BQ862" s="6">
        <f>Grandview_Inventory[[#This Row],[detatched_value]]*Lookups!$B$19</f>
        <v>0</v>
      </c>
      <c r="BR862" s="6">
        <f>SUM(Grandview_Inventory[[#This Row],[Intercept]:[det_value]])*Grandview_Inventory[[#This Row],[res_pct]]</f>
        <v>367123.46715699998</v>
      </c>
      <c r="BS862" s="6">
        <f>Grandview_Inventory[[#This Row],[land_value]]</f>
        <v>49167.631333630678</v>
      </c>
      <c r="BT862" s="4">
        <f>_xlfn.IFNA(VLOOKUP(Grandview_Inventory[[#This Row],[quality]],Lookups!$A$26:$C$33,3,FALSE),1)</f>
        <v>0.94295468617355149</v>
      </c>
      <c r="BU862" s="4">
        <f>_xlfn.IFNA(VLOOKUP(Grandview_Inventory[[#This Row],[condition]],Lookups!$A$37:$C$44,3,FALSE),1)</f>
        <v>0.94347925387812148</v>
      </c>
      <c r="BV862" s="4">
        <f>IF(Grandview_Inventory[[#This Row],[bldg_style]]="",1,_xlfn.IFNA(VLOOKUP(Grandview_Inventory[[#This Row],[decade]],Lookups!$F$29:$H$43,3,FALSE),1))</f>
        <v>0.94601966599150278</v>
      </c>
      <c r="BW862" s="4">
        <f>_xlfn.IFNA(VLOOKUP(Grandview_Inventory[[#This Row],[living_area_range]],Lookups!$F$47:$H$56,3,FALSE),1)</f>
        <v>0.96120133463014379</v>
      </c>
      <c r="BX862" s="4">
        <f>AVERAGE(Grandview_Inventory[[#This Row],[qual_adj]:[size_adj]])</f>
        <v>0.94841373516832994</v>
      </c>
      <c r="BY862" s="6">
        <f>IF(Grandview_Inventory[[#This Row],[pre_res]]&lt;0,0,Grandview_Inventory[[#This Row],[pre_res]]*Grandview_Inventory[[#This Row],[overall_adj]])</f>
        <v>348184.93875431805</v>
      </c>
      <c r="BZ862" s="6">
        <f>(Grandview_Inventory[[#This Row],[sum_land]]-IF(Grandview_Inventory[[#This Row],[no_utilities]]=1,12000,0))/IF(Grandview_Inventory[[#This Row],[unbuildable]]=1,2,1)</f>
        <v>49167.631333630678</v>
      </c>
      <c r="CA86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62">
        <f>ROUND(Grandview_Inventory[[#This Row],[det_value]]*Lookups!$M$28,-2)</f>
        <v>0</v>
      </c>
      <c r="CC862">
        <f>IF(ROUND(Grandview_Inventory[[#This Row],[adj_res]]*Lookups!$M$28,-2)&lt;Grandview_Inventory[[#This Row],[min_res]],Grandview_Inventory[[#This Row],[min_res]],ROUND(Grandview_Inventory[[#This Row],[adj_res]]*Lookups!$M$28,-2))</f>
        <v>330800</v>
      </c>
      <c r="CD862">
        <f>Grandview_Inventory[[#This Row],[final_det]]+Grandview_Inventory[[#This Row],[final_res]]</f>
        <v>330800</v>
      </c>
      <c r="CE862">
        <f>Grandview_Inventory[[#This Row],[final_land]]+Grandview_Inventory[[#This Row],[final_imp]]+Grandview_Inventory[[#This Row],[crop_value]]</f>
        <v>377500</v>
      </c>
      <c r="CG862" t="str">
        <f t="shared" si="13"/>
        <v>update valuation set market_land =46700, market_bldg=330800, market_total =377500, market_mdno =401, market_date ='9/10/2023' where link_id = (select link_id from parcel where parcel_year = '2024' and parcel_id = '23092232498');</v>
      </c>
    </row>
    <row r="863" spans="1:85" x14ac:dyDescent="0.25">
      <c r="A863">
        <v>23092232499</v>
      </c>
      <c r="B863" t="s">
        <v>129</v>
      </c>
      <c r="C863">
        <v>9348</v>
      </c>
      <c r="D863" t="s">
        <v>129</v>
      </c>
      <c r="E863" t="s">
        <v>53</v>
      </c>
      <c r="F863" t="s">
        <v>53</v>
      </c>
      <c r="G863">
        <v>4</v>
      </c>
      <c r="H863" t="s">
        <v>54</v>
      </c>
      <c r="I863">
        <v>246900</v>
      </c>
      <c r="J863">
        <v>39500</v>
      </c>
      <c r="K863">
        <v>0.21</v>
      </c>
      <c r="L86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863">
        <v>0</v>
      </c>
      <c r="N863">
        <v>0</v>
      </c>
      <c r="O863">
        <v>0</v>
      </c>
      <c r="P863">
        <v>13398.7528</v>
      </c>
      <c r="Q863">
        <v>63903</v>
      </c>
      <c r="R863">
        <f>(Grandview_Inventory[[#This Row],[ln_acres]]*Grandview_Inventory[[#This Row],[coeff]])+Grandview_Inventory[[#This Row],[const]]</f>
        <v>42992.266613125081</v>
      </c>
      <c r="S863" t="s">
        <v>55</v>
      </c>
      <c r="T863">
        <v>1</v>
      </c>
      <c r="U863" t="s">
        <v>62</v>
      </c>
      <c r="V863" t="s">
        <v>57</v>
      </c>
      <c r="W863">
        <v>0</v>
      </c>
      <c r="X863">
        <v>0</v>
      </c>
      <c r="Y863">
        <v>2</v>
      </c>
      <c r="Z863">
        <v>2</v>
      </c>
      <c r="AA863">
        <v>10</v>
      </c>
      <c r="AB863">
        <v>1500</v>
      </c>
      <c r="AC863">
        <v>1280</v>
      </c>
      <c r="AD863">
        <v>1280</v>
      </c>
      <c r="AE863">
        <v>0</v>
      </c>
      <c r="AF863">
        <v>0</v>
      </c>
      <c r="AG863">
        <v>0</v>
      </c>
      <c r="AH863">
        <v>0</v>
      </c>
      <c r="AI863">
        <v>400</v>
      </c>
      <c r="AJ863">
        <v>0</v>
      </c>
      <c r="AK863">
        <v>0</v>
      </c>
      <c r="AL863">
        <v>0</v>
      </c>
      <c r="AM863">
        <v>0</v>
      </c>
      <c r="AN863">
        <v>36</v>
      </c>
      <c r="AO863">
        <v>0</v>
      </c>
      <c r="AP863">
        <v>8</v>
      </c>
      <c r="AQ863">
        <v>0</v>
      </c>
      <c r="AR863">
        <v>0</v>
      </c>
      <c r="AS863" t="s">
        <v>58</v>
      </c>
      <c r="AT863">
        <v>1</v>
      </c>
      <c r="AU863" t="s">
        <v>63</v>
      </c>
      <c r="AV863" t="s">
        <v>64</v>
      </c>
      <c r="AW863">
        <v>1</v>
      </c>
      <c r="AX863">
        <v>3</v>
      </c>
      <c r="AY863">
        <v>0</v>
      </c>
      <c r="AZ863">
        <v>0</v>
      </c>
      <c r="BA863">
        <v>100</v>
      </c>
      <c r="BB863">
        <v>100</v>
      </c>
      <c r="BC863">
        <v>100</v>
      </c>
      <c r="BD863">
        <v>100</v>
      </c>
      <c r="BE863">
        <v>1</v>
      </c>
      <c r="BF863">
        <v>15000</v>
      </c>
      <c r="BG863">
        <v>1000</v>
      </c>
      <c r="BH863" s="6">
        <f>Grandview_Inventory[[#This Row],[land_extract]]*Lookups!$B$3</f>
        <v>49926.8031387023</v>
      </c>
      <c r="BI863" s="6">
        <f>IF(Grandview_Inventory[[#This Row],[bldg_style]]="",0,Lookups!$B$2)</f>
        <v>155833.95000000001</v>
      </c>
      <c r="BJ863" s="6">
        <f>_xlfn.IFNA(VLOOKUP(Grandview_Inventory[[#This Row],[quality]],Lookups!$H$2:$J$14,3,FALSE),0)</f>
        <v>9808</v>
      </c>
      <c r="BK863" s="6">
        <f>_xlfn.IFNA(VLOOKUP(Grandview_Inventory[[#This Row],[condition]],Lookups!$H$17:$J$24,3,FALSE),0)</f>
        <v>25780</v>
      </c>
      <c r="BL863" s="6">
        <f>Grandview_Inventory[[#This Row],[Eff_Age]]*Lookups!$B$14</f>
        <v>-478.33319999999998</v>
      </c>
      <c r="BM863" s="6">
        <f>Grandview_Inventory[[#This Row],[living_area]]*Lookups!$B$15</f>
        <v>79847.491840000002</v>
      </c>
      <c r="BN863" s="6">
        <f>Grandview_Inventory[[#This Row],[Fin BSMT]]*Lookups!$B$16</f>
        <v>0</v>
      </c>
      <c r="BO863" s="6">
        <f>(Grandview_Inventory[[#This Row],[att_gar]]+Grandview_Inventory[[#This Row],[bltin_gar]])*Lookups!$B$17</f>
        <v>35008.174800000001</v>
      </c>
      <c r="BP863" s="6">
        <f>Grandview_Inventory[[#This Row],[Plumbing Fixtures]]*Lookups!$B$18</f>
        <v>16083.5344</v>
      </c>
      <c r="BQ863" s="6">
        <f>Grandview_Inventory[[#This Row],[detatched_value]]*Lookups!$B$19</f>
        <v>0</v>
      </c>
      <c r="BR863" s="6">
        <f>SUM(Grandview_Inventory[[#This Row],[Intercept]:[det_value]])*Grandview_Inventory[[#This Row],[res_pct]]</f>
        <v>321882.81783999997</v>
      </c>
      <c r="BS863" s="6">
        <f>Grandview_Inventory[[#This Row],[land_value]]</f>
        <v>49926.8031387023</v>
      </c>
      <c r="BT863" s="4">
        <f>_xlfn.IFNA(VLOOKUP(Grandview_Inventory[[#This Row],[quality]],Lookups!$A$26:$C$33,3,FALSE),1)</f>
        <v>0.94295468617355149</v>
      </c>
      <c r="BU863" s="4">
        <f>_xlfn.IFNA(VLOOKUP(Grandview_Inventory[[#This Row],[condition]],Lookups!$A$37:$C$44,3,FALSE),1)</f>
        <v>0.94347925387812148</v>
      </c>
      <c r="BV863" s="4">
        <f>IF(Grandview_Inventory[[#This Row],[bldg_style]]="",1,_xlfn.IFNA(VLOOKUP(Grandview_Inventory[[#This Row],[decade]],Lookups!$F$29:$H$43,3,FALSE),1))</f>
        <v>0.94601966599150278</v>
      </c>
      <c r="BW863" s="4">
        <f>_xlfn.IFNA(VLOOKUP(Grandview_Inventory[[#This Row],[living_area_range]],Lookups!$F$47:$H$56,3,FALSE),1)</f>
        <v>0.96135087979789358</v>
      </c>
      <c r="BX863" s="4">
        <f>AVERAGE(Grandview_Inventory[[#This Row],[qual_adj]:[size_adj]])</f>
        <v>0.94845112146026733</v>
      </c>
      <c r="BY863" s="6">
        <f>IF(Grandview_Inventory[[#This Row],[pre_res]]&lt;0,0,Grandview_Inventory[[#This Row],[pre_res]]*Grandview_Inventory[[#This Row],[overall_adj]])</f>
        <v>305290.1195591389</v>
      </c>
      <c r="BZ863" s="6">
        <f>(Grandview_Inventory[[#This Row],[sum_land]]-IF(Grandview_Inventory[[#This Row],[no_utilities]]=1,12000,0))/IF(Grandview_Inventory[[#This Row],[unbuildable]]=1,2,1)</f>
        <v>49926.8031387023</v>
      </c>
      <c r="CA86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863">
        <f>ROUND(Grandview_Inventory[[#This Row],[det_value]]*Lookups!$M$28,-2)</f>
        <v>0</v>
      </c>
      <c r="CC863">
        <f>IF(ROUND(Grandview_Inventory[[#This Row],[adj_res]]*Lookups!$M$28,-2)&lt;Grandview_Inventory[[#This Row],[min_res]],Grandview_Inventory[[#This Row],[min_res]],ROUND(Grandview_Inventory[[#This Row],[adj_res]]*Lookups!$M$28,-2))</f>
        <v>290000</v>
      </c>
      <c r="CD863">
        <f>Grandview_Inventory[[#This Row],[final_det]]+Grandview_Inventory[[#This Row],[final_res]]</f>
        <v>290000</v>
      </c>
      <c r="CE863">
        <f>Grandview_Inventory[[#This Row],[final_land]]+Grandview_Inventory[[#This Row],[final_imp]]+Grandview_Inventory[[#This Row],[crop_value]]</f>
        <v>337400</v>
      </c>
      <c r="CG863" t="str">
        <f t="shared" si="13"/>
        <v>update valuation set market_land =47400, market_bldg=290000, market_total =337400, market_mdno =401, market_date ='9/10/2023' where link_id = (select link_id from parcel where parcel_year = '2024' and parcel_id = '23092232499');</v>
      </c>
    </row>
    <row r="864" spans="1:85" x14ac:dyDescent="0.25">
      <c r="A864">
        <v>23092232500</v>
      </c>
      <c r="B864" t="s">
        <v>129</v>
      </c>
      <c r="C864">
        <v>13202</v>
      </c>
      <c r="D864" t="s">
        <v>129</v>
      </c>
      <c r="E864" t="s">
        <v>53</v>
      </c>
      <c r="F864" t="s">
        <v>53</v>
      </c>
      <c r="G864">
        <v>4</v>
      </c>
      <c r="H864" t="s">
        <v>54</v>
      </c>
      <c r="I864">
        <v>306700</v>
      </c>
      <c r="J864">
        <v>40900</v>
      </c>
      <c r="K864">
        <v>0.3</v>
      </c>
      <c r="L864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864">
        <v>0</v>
      </c>
      <c r="N864">
        <v>0</v>
      </c>
      <c r="O864">
        <v>0</v>
      </c>
      <c r="P864">
        <v>13398.7528</v>
      </c>
      <c r="Q864">
        <v>63903</v>
      </c>
      <c r="R864">
        <f>(Grandview_Inventory[[#This Row],[ln_acres]]*Grandview_Inventory[[#This Row],[coeff]])+Grandview_Inventory[[#This Row],[const]]</f>
        <v>47771.266016914014</v>
      </c>
      <c r="S864" t="s">
        <v>55</v>
      </c>
      <c r="T864">
        <v>1</v>
      </c>
      <c r="U864" t="s">
        <v>64</v>
      </c>
      <c r="V864" t="s">
        <v>57</v>
      </c>
      <c r="W864">
        <v>0</v>
      </c>
      <c r="X864">
        <v>0</v>
      </c>
      <c r="Y864">
        <v>2</v>
      </c>
      <c r="Z864">
        <v>2</v>
      </c>
      <c r="AA864">
        <v>10</v>
      </c>
      <c r="AB864">
        <v>2000</v>
      </c>
      <c r="AC864">
        <v>1807</v>
      </c>
      <c r="AD864">
        <v>1807</v>
      </c>
      <c r="AE864">
        <v>0</v>
      </c>
      <c r="AF864">
        <v>0</v>
      </c>
      <c r="AG864">
        <v>0</v>
      </c>
      <c r="AH864">
        <v>0</v>
      </c>
      <c r="AI864">
        <v>668</v>
      </c>
      <c r="AJ864">
        <v>0</v>
      </c>
      <c r="AK864">
        <v>0</v>
      </c>
      <c r="AL864">
        <v>0</v>
      </c>
      <c r="AM864">
        <v>0</v>
      </c>
      <c r="AN864">
        <v>200</v>
      </c>
      <c r="AO864">
        <v>0</v>
      </c>
      <c r="AP864">
        <v>9</v>
      </c>
      <c r="AQ864">
        <v>0</v>
      </c>
      <c r="AR864">
        <v>0</v>
      </c>
      <c r="AS864" t="s">
        <v>58</v>
      </c>
      <c r="AT864">
        <v>1</v>
      </c>
      <c r="AU864" t="s">
        <v>63</v>
      </c>
      <c r="AV864" t="s">
        <v>64</v>
      </c>
      <c r="AW864">
        <v>1</v>
      </c>
      <c r="AX864">
        <v>3</v>
      </c>
      <c r="AY864">
        <v>0</v>
      </c>
      <c r="AZ864">
        <v>0</v>
      </c>
      <c r="BA864">
        <v>100</v>
      </c>
      <c r="BB864">
        <v>100</v>
      </c>
      <c r="BC864">
        <v>100</v>
      </c>
      <c r="BD864">
        <v>100</v>
      </c>
      <c r="BE864">
        <v>1</v>
      </c>
      <c r="BF864">
        <v>15000</v>
      </c>
      <c r="BG864">
        <v>1000</v>
      </c>
      <c r="BH864" s="6">
        <f>Grandview_Inventory[[#This Row],[land_extract]]*Lookups!$B$3</f>
        <v>55476.642243023998</v>
      </c>
      <c r="BI864" s="6">
        <f>IF(Grandview_Inventory[[#This Row],[bldg_style]]="",0,Lookups!$B$2)</f>
        <v>155833.95000000001</v>
      </c>
      <c r="BJ864" s="6">
        <f>_xlfn.IFNA(VLOOKUP(Grandview_Inventory[[#This Row],[quality]],Lookups!$H$2:$J$14,3,FALSE),0)</f>
        <v>20768</v>
      </c>
      <c r="BK864" s="6">
        <f>_xlfn.IFNA(VLOOKUP(Grandview_Inventory[[#This Row],[condition]],Lookups!$H$17:$J$24,3,FALSE),0)</f>
        <v>25780</v>
      </c>
      <c r="BL864" s="6">
        <f>Grandview_Inventory[[#This Row],[Eff_Age]]*Lookups!$B$14</f>
        <v>-478.33319999999998</v>
      </c>
      <c r="BM864" s="6">
        <f>Grandview_Inventory[[#This Row],[living_area]]*Lookups!$B$15</f>
        <v>112722.201371</v>
      </c>
      <c r="BN864" s="6">
        <f>Grandview_Inventory[[#This Row],[Fin BSMT]]*Lookups!$B$16</f>
        <v>0</v>
      </c>
      <c r="BO864" s="6">
        <f>(Grandview_Inventory[[#This Row],[att_gar]]+Grandview_Inventory[[#This Row],[bltin_gar]])*Lookups!$B$17</f>
        <v>58463.651916000003</v>
      </c>
      <c r="BP864" s="6">
        <f>Grandview_Inventory[[#This Row],[Plumbing Fixtures]]*Lookups!$B$18</f>
        <v>18093.976200000001</v>
      </c>
      <c r="BQ864" s="6">
        <f>Grandview_Inventory[[#This Row],[detatched_value]]*Lookups!$B$19</f>
        <v>0</v>
      </c>
      <c r="BR864" s="6">
        <f>SUM(Grandview_Inventory[[#This Row],[Intercept]:[det_value]])*Grandview_Inventory[[#This Row],[res_pct]]</f>
        <v>391183.44628699997</v>
      </c>
      <c r="BS864" s="6">
        <f>Grandview_Inventory[[#This Row],[land_value]]</f>
        <v>55476.642243023998</v>
      </c>
      <c r="BT864" s="4">
        <f>_xlfn.IFNA(VLOOKUP(Grandview_Inventory[[#This Row],[quality]],Lookups!$A$26:$C$33,3,FALSE),1)</f>
        <v>0.94960540378902636</v>
      </c>
      <c r="BU864" s="4">
        <f>_xlfn.IFNA(VLOOKUP(Grandview_Inventory[[#This Row],[condition]],Lookups!$A$37:$C$44,3,FALSE),1)</f>
        <v>0.94347925387812148</v>
      </c>
      <c r="BV864" s="4">
        <f>IF(Grandview_Inventory[[#This Row],[bldg_style]]="",1,_xlfn.IFNA(VLOOKUP(Grandview_Inventory[[#This Row],[decade]],Lookups!$F$29:$H$43,3,FALSE),1))</f>
        <v>0.94601966599150278</v>
      </c>
      <c r="BW864" s="4">
        <f>_xlfn.IFNA(VLOOKUP(Grandview_Inventory[[#This Row],[living_area_range]],Lookups!$F$47:$H$56,3,FALSE),1)</f>
        <v>0.96120133463014379</v>
      </c>
      <c r="BX864" s="4">
        <f>AVERAGE(Grandview_Inventory[[#This Row],[qual_adj]:[size_adj]])</f>
        <v>0.95007641457219871</v>
      </c>
      <c r="BY864" s="6">
        <f>IF(Grandview_Inventory[[#This Row],[pre_res]]&lt;0,0,Grandview_Inventory[[#This Row],[pre_res]]*Grandview_Inventory[[#This Row],[overall_adj]])</f>
        <v>371654.16608834919</v>
      </c>
      <c r="BZ864" s="6">
        <f>(Grandview_Inventory[[#This Row],[sum_land]]-IF(Grandview_Inventory[[#This Row],[no_utilities]]=1,12000,0))/IF(Grandview_Inventory[[#This Row],[unbuildable]]=1,2,1)</f>
        <v>55476.642243023998</v>
      </c>
      <c r="CA864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864">
        <f>ROUND(Grandview_Inventory[[#This Row],[det_value]]*Lookups!$M$28,-2)</f>
        <v>0</v>
      </c>
      <c r="CC864">
        <f>IF(ROUND(Grandview_Inventory[[#This Row],[adj_res]]*Lookups!$M$28,-2)&lt;Grandview_Inventory[[#This Row],[min_res]],Grandview_Inventory[[#This Row],[min_res]],ROUND(Grandview_Inventory[[#This Row],[adj_res]]*Lookups!$M$28,-2))</f>
        <v>353100</v>
      </c>
      <c r="CD864">
        <f>Grandview_Inventory[[#This Row],[final_det]]+Grandview_Inventory[[#This Row],[final_res]]</f>
        <v>353100</v>
      </c>
      <c r="CE864">
        <f>Grandview_Inventory[[#This Row],[final_land]]+Grandview_Inventory[[#This Row],[final_imp]]+Grandview_Inventory[[#This Row],[crop_value]]</f>
        <v>405800</v>
      </c>
      <c r="CG864" t="str">
        <f t="shared" si="13"/>
        <v>update valuation set market_land =52700, market_bldg=353100, market_total =405800, market_mdno =401, market_date ='9/10/2023' where link_id = (select link_id from parcel where parcel_year = '2024' and parcel_id = '23092232500');</v>
      </c>
    </row>
    <row r="865" spans="1:85" x14ac:dyDescent="0.25">
      <c r="A865">
        <v>23092232501</v>
      </c>
      <c r="B865" t="s">
        <v>129</v>
      </c>
      <c r="C865">
        <v>15051</v>
      </c>
      <c r="D865" t="s">
        <v>129</v>
      </c>
      <c r="E865" t="s">
        <v>53</v>
      </c>
      <c r="F865" t="s">
        <v>53</v>
      </c>
      <c r="G865">
        <v>4</v>
      </c>
      <c r="H865" t="s">
        <v>54</v>
      </c>
      <c r="I865">
        <v>292900</v>
      </c>
      <c r="J865">
        <v>41200</v>
      </c>
      <c r="K865">
        <v>0.35</v>
      </c>
      <c r="L865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865">
        <v>0</v>
      </c>
      <c r="N865">
        <v>0</v>
      </c>
      <c r="O865">
        <v>0</v>
      </c>
      <c r="P865">
        <v>13398.7528</v>
      </c>
      <c r="Q865">
        <v>63903</v>
      </c>
      <c r="R865">
        <f>(Grandview_Inventory[[#This Row],[ln_acres]]*Grandview_Inventory[[#This Row],[coeff]])+Grandview_Inventory[[#This Row],[const]]</f>
        <v>49836.692869871389</v>
      </c>
      <c r="S865" t="s">
        <v>55</v>
      </c>
      <c r="T865">
        <v>1</v>
      </c>
      <c r="U865" t="s">
        <v>62</v>
      </c>
      <c r="V865" t="s">
        <v>57</v>
      </c>
      <c r="W865">
        <v>0</v>
      </c>
      <c r="X865">
        <v>0</v>
      </c>
      <c r="Y865">
        <v>1</v>
      </c>
      <c r="Z865">
        <v>1</v>
      </c>
      <c r="AA865">
        <v>10</v>
      </c>
      <c r="AB865">
        <v>2000</v>
      </c>
      <c r="AC865">
        <v>1747</v>
      </c>
      <c r="AD865">
        <v>1747</v>
      </c>
      <c r="AE865">
        <v>0</v>
      </c>
      <c r="AF865">
        <v>0</v>
      </c>
      <c r="AG865">
        <v>0</v>
      </c>
      <c r="AH865">
        <v>0</v>
      </c>
      <c r="AI865">
        <v>698</v>
      </c>
      <c r="AJ865">
        <v>0</v>
      </c>
      <c r="AK865">
        <v>0</v>
      </c>
      <c r="AL865">
        <v>0</v>
      </c>
      <c r="AM865">
        <v>0</v>
      </c>
      <c r="AN865">
        <v>190</v>
      </c>
      <c r="AO865">
        <v>0</v>
      </c>
      <c r="AP865">
        <v>9</v>
      </c>
      <c r="AQ865">
        <v>0</v>
      </c>
      <c r="AR865">
        <v>0</v>
      </c>
      <c r="AS865" t="s">
        <v>58</v>
      </c>
      <c r="AT865">
        <v>1</v>
      </c>
      <c r="AU865" t="s">
        <v>63</v>
      </c>
      <c r="AV865" t="s">
        <v>64</v>
      </c>
      <c r="AW865">
        <v>1</v>
      </c>
      <c r="AX865">
        <v>3</v>
      </c>
      <c r="AY865">
        <v>0</v>
      </c>
      <c r="AZ865">
        <v>0</v>
      </c>
      <c r="BA865">
        <v>100</v>
      </c>
      <c r="BB865">
        <v>100</v>
      </c>
      <c r="BC865">
        <v>100</v>
      </c>
      <c r="BD865">
        <v>100</v>
      </c>
      <c r="BE865">
        <v>1</v>
      </c>
      <c r="BF865">
        <v>15000</v>
      </c>
      <c r="BG865">
        <v>1000</v>
      </c>
      <c r="BH865" s="6">
        <f>Grandview_Inventory[[#This Row],[land_extract]]*Lookups!$B$3</f>
        <v>57875.216870710894</v>
      </c>
      <c r="BI865" s="6">
        <f>IF(Grandview_Inventory[[#This Row],[bldg_style]]="",0,Lookups!$B$2)</f>
        <v>155833.95000000001</v>
      </c>
      <c r="BJ865" s="6">
        <f>_xlfn.IFNA(VLOOKUP(Grandview_Inventory[[#This Row],[quality]],Lookups!$H$2:$J$14,3,FALSE),0)</f>
        <v>9808</v>
      </c>
      <c r="BK865" s="6">
        <f>_xlfn.IFNA(VLOOKUP(Grandview_Inventory[[#This Row],[condition]],Lookups!$H$17:$J$24,3,FALSE),0)</f>
        <v>25780</v>
      </c>
      <c r="BL865" s="6">
        <f>Grandview_Inventory[[#This Row],[Eff_Age]]*Lookups!$B$14</f>
        <v>-239.16659999999999</v>
      </c>
      <c r="BM865" s="6">
        <f>Grandview_Inventory[[#This Row],[living_area]]*Lookups!$B$15</f>
        <v>108979.350191</v>
      </c>
      <c r="BN865" s="6">
        <f>Grandview_Inventory[[#This Row],[Fin BSMT]]*Lookups!$B$16</f>
        <v>0</v>
      </c>
      <c r="BO865" s="6">
        <f>(Grandview_Inventory[[#This Row],[att_gar]]+Grandview_Inventory[[#This Row],[bltin_gar]])*Lookups!$B$17</f>
        <v>61089.265026000001</v>
      </c>
      <c r="BP865" s="6">
        <f>Grandview_Inventory[[#This Row],[Plumbing Fixtures]]*Lookups!$B$18</f>
        <v>18093.976200000001</v>
      </c>
      <c r="BQ865" s="6">
        <f>Grandview_Inventory[[#This Row],[detatched_value]]*Lookups!$B$19</f>
        <v>0</v>
      </c>
      <c r="BR865" s="6">
        <f>SUM(Grandview_Inventory[[#This Row],[Intercept]:[det_value]])*Grandview_Inventory[[#This Row],[res_pct]]</f>
        <v>379345.37481699995</v>
      </c>
      <c r="BS865" s="6">
        <f>Grandview_Inventory[[#This Row],[land_value]]</f>
        <v>57875.216870710894</v>
      </c>
      <c r="BT865" s="4">
        <f>_xlfn.IFNA(VLOOKUP(Grandview_Inventory[[#This Row],[quality]],Lookups!$A$26:$C$33,3,FALSE),1)</f>
        <v>0.94295468617355149</v>
      </c>
      <c r="BU865" s="4">
        <f>_xlfn.IFNA(VLOOKUP(Grandview_Inventory[[#This Row],[condition]],Lookups!$A$37:$C$44,3,FALSE),1)</f>
        <v>0.94347925387812148</v>
      </c>
      <c r="BV865" s="4">
        <f>IF(Grandview_Inventory[[#This Row],[bldg_style]]="",1,_xlfn.IFNA(VLOOKUP(Grandview_Inventory[[#This Row],[decade]],Lookups!$F$29:$H$43,3,FALSE),1))</f>
        <v>0.94601966599150278</v>
      </c>
      <c r="BW865" s="4">
        <f>_xlfn.IFNA(VLOOKUP(Grandview_Inventory[[#This Row],[living_area_range]],Lookups!$F$47:$H$56,3,FALSE),1)</f>
        <v>0.96120133463014379</v>
      </c>
      <c r="BX865" s="4">
        <f>AVERAGE(Grandview_Inventory[[#This Row],[qual_adj]:[size_adj]])</f>
        <v>0.94841373516832994</v>
      </c>
      <c r="BY865" s="6">
        <f>IF(Grandview_Inventory[[#This Row],[pre_res]]&lt;0,0,Grandview_Inventory[[#This Row],[pre_res]]*Grandview_Inventory[[#This Row],[overall_adj]])</f>
        <v>359776.36384902103</v>
      </c>
      <c r="BZ865" s="6">
        <f>(Grandview_Inventory[[#This Row],[sum_land]]-IF(Grandview_Inventory[[#This Row],[no_utilities]]=1,12000,0))/IF(Grandview_Inventory[[#This Row],[unbuildable]]=1,2,1)</f>
        <v>57875.216870710894</v>
      </c>
      <c r="CA865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865">
        <f>ROUND(Grandview_Inventory[[#This Row],[det_value]]*Lookups!$M$28,-2)</f>
        <v>0</v>
      </c>
      <c r="CC865">
        <f>IF(ROUND(Grandview_Inventory[[#This Row],[adj_res]]*Lookups!$M$28,-2)&lt;Grandview_Inventory[[#This Row],[min_res]],Grandview_Inventory[[#This Row],[min_res]],ROUND(Grandview_Inventory[[#This Row],[adj_res]]*Lookups!$M$28,-2))</f>
        <v>341800</v>
      </c>
      <c r="CD865">
        <f>Grandview_Inventory[[#This Row],[final_det]]+Grandview_Inventory[[#This Row],[final_res]]</f>
        <v>341800</v>
      </c>
      <c r="CE865">
        <f>Grandview_Inventory[[#This Row],[final_land]]+Grandview_Inventory[[#This Row],[final_imp]]+Grandview_Inventory[[#This Row],[crop_value]]</f>
        <v>396800</v>
      </c>
      <c r="CG865" t="str">
        <f t="shared" si="13"/>
        <v>update valuation set market_land =55000, market_bldg=341800, market_total =396800, market_mdno =401, market_date ='9/10/2023' where link_id = (select link_id from parcel where parcel_year = '2024' and parcel_id = '23092232501');</v>
      </c>
    </row>
    <row r="866" spans="1:85" x14ac:dyDescent="0.25">
      <c r="A866">
        <v>23092232502</v>
      </c>
      <c r="B866" t="s">
        <v>129</v>
      </c>
      <c r="C866">
        <v>21342</v>
      </c>
      <c r="D866" t="s">
        <v>129</v>
      </c>
      <c r="E866" t="s">
        <v>53</v>
      </c>
      <c r="F866" t="s">
        <v>53</v>
      </c>
      <c r="G866">
        <v>4</v>
      </c>
      <c r="H866" t="s">
        <v>54</v>
      </c>
      <c r="I866">
        <v>292000</v>
      </c>
      <c r="J866">
        <v>41900</v>
      </c>
      <c r="K866">
        <v>0.49</v>
      </c>
      <c r="L866">
        <f>IF(Grandview_Inventory[[#This Row],[parcel_acres]]-Grandview_Inventory[[#This Row],[non_valued_acres]] =0,0,LN(Grandview_Inventory[[#This Row],[parcel_acres]]-Grandview_Inventory[[#This Row],[non_valued_acres]]))</f>
        <v>-0.71334988787746478</v>
      </c>
      <c r="M866">
        <v>0</v>
      </c>
      <c r="N866">
        <v>0</v>
      </c>
      <c r="O866">
        <v>0</v>
      </c>
      <c r="P866">
        <v>13398.7528</v>
      </c>
      <c r="Q866">
        <v>63903</v>
      </c>
      <c r="R866">
        <f>(Grandview_Inventory[[#This Row],[ln_acres]]*Grandview_Inventory[[#This Row],[coeff]])+Grandview_Inventory[[#This Row],[const]]</f>
        <v>54345.001192422133</v>
      </c>
      <c r="S866" t="s">
        <v>61</v>
      </c>
      <c r="T866">
        <v>1</v>
      </c>
      <c r="U866" t="s">
        <v>64</v>
      </c>
      <c r="V866" t="s">
        <v>57</v>
      </c>
      <c r="W866">
        <v>0</v>
      </c>
      <c r="X866">
        <v>0</v>
      </c>
      <c r="Y866">
        <v>1</v>
      </c>
      <c r="Z866">
        <v>1</v>
      </c>
      <c r="AA866">
        <v>10</v>
      </c>
      <c r="AB866">
        <v>2000</v>
      </c>
      <c r="AC866">
        <v>1797</v>
      </c>
      <c r="AD866">
        <v>1797</v>
      </c>
      <c r="AE866">
        <v>0</v>
      </c>
      <c r="AF866">
        <v>0</v>
      </c>
      <c r="AG866">
        <v>0</v>
      </c>
      <c r="AH866">
        <v>0</v>
      </c>
      <c r="AI866">
        <v>668</v>
      </c>
      <c r="AJ866">
        <v>0</v>
      </c>
      <c r="AK866">
        <v>0</v>
      </c>
      <c r="AL866">
        <v>0</v>
      </c>
      <c r="AM866">
        <v>0</v>
      </c>
      <c r="AN866">
        <v>276</v>
      </c>
      <c r="AO866">
        <v>0</v>
      </c>
      <c r="AP866">
        <v>10</v>
      </c>
      <c r="AQ866">
        <v>0</v>
      </c>
      <c r="AR866">
        <v>0</v>
      </c>
      <c r="AS866" t="s">
        <v>58</v>
      </c>
      <c r="AT866">
        <v>1</v>
      </c>
      <c r="AU866" t="s">
        <v>59</v>
      </c>
      <c r="AV866" t="s">
        <v>64</v>
      </c>
      <c r="AW866">
        <v>1</v>
      </c>
      <c r="AX866">
        <v>3</v>
      </c>
      <c r="AY866">
        <v>0</v>
      </c>
      <c r="AZ866">
        <v>0</v>
      </c>
      <c r="BA866">
        <v>100</v>
      </c>
      <c r="BB866">
        <v>100</v>
      </c>
      <c r="BC866">
        <v>100</v>
      </c>
      <c r="BD866">
        <v>100</v>
      </c>
      <c r="BE866">
        <v>1</v>
      </c>
      <c r="BF866">
        <v>15000</v>
      </c>
      <c r="BG866">
        <v>1000</v>
      </c>
      <c r="BH866" s="6">
        <f>Grandview_Inventory[[#This Row],[land_extract]]*Lookups!$B$3</f>
        <v>63110.703153256603</v>
      </c>
      <c r="BI866" s="6">
        <f>IF(Grandview_Inventory[[#This Row],[bldg_style]]="",0,Lookups!$B$2)</f>
        <v>155833.95000000001</v>
      </c>
      <c r="BJ866" s="6">
        <f>_xlfn.IFNA(VLOOKUP(Grandview_Inventory[[#This Row],[quality]],Lookups!$H$2:$J$14,3,FALSE),0)</f>
        <v>20768</v>
      </c>
      <c r="BK866" s="6">
        <f>_xlfn.IFNA(VLOOKUP(Grandview_Inventory[[#This Row],[condition]],Lookups!$H$17:$J$24,3,FALSE),0)</f>
        <v>25780</v>
      </c>
      <c r="BL866" s="6">
        <f>Grandview_Inventory[[#This Row],[Eff_Age]]*Lookups!$B$14</f>
        <v>-239.16659999999999</v>
      </c>
      <c r="BM866" s="6">
        <f>Grandview_Inventory[[#This Row],[living_area]]*Lookups!$B$15</f>
        <v>112098.39284100001</v>
      </c>
      <c r="BN866" s="6">
        <f>Grandview_Inventory[[#This Row],[Fin BSMT]]*Lookups!$B$16</f>
        <v>0</v>
      </c>
      <c r="BO866" s="6">
        <f>(Grandview_Inventory[[#This Row],[att_gar]]+Grandview_Inventory[[#This Row],[bltin_gar]])*Lookups!$B$17</f>
        <v>58463.651916000003</v>
      </c>
      <c r="BP866" s="6">
        <f>Grandview_Inventory[[#This Row],[Plumbing Fixtures]]*Lookups!$B$18</f>
        <v>20104.418000000001</v>
      </c>
      <c r="BQ866" s="6">
        <f>Grandview_Inventory[[#This Row],[detatched_value]]*Lookups!$B$19</f>
        <v>0</v>
      </c>
      <c r="BR866" s="6">
        <f>SUM(Grandview_Inventory[[#This Row],[Intercept]:[det_value]])*Grandview_Inventory[[#This Row],[res_pct]]</f>
        <v>392809.24615700002</v>
      </c>
      <c r="BS866" s="6">
        <f>Grandview_Inventory[[#This Row],[land_value]]</f>
        <v>63110.703153256603</v>
      </c>
      <c r="BT866" s="4">
        <f>_xlfn.IFNA(VLOOKUP(Grandview_Inventory[[#This Row],[quality]],Lookups!$A$26:$C$33,3,FALSE),1)</f>
        <v>0.94960540378902636</v>
      </c>
      <c r="BU866" s="4">
        <f>_xlfn.IFNA(VLOOKUP(Grandview_Inventory[[#This Row],[condition]],Lookups!$A$37:$C$44,3,FALSE),1)</f>
        <v>0.94347925387812148</v>
      </c>
      <c r="BV866" s="4">
        <f>IF(Grandview_Inventory[[#This Row],[bldg_style]]="",1,_xlfn.IFNA(VLOOKUP(Grandview_Inventory[[#This Row],[decade]],Lookups!$F$29:$H$43,3,FALSE),1))</f>
        <v>0.94601966599150278</v>
      </c>
      <c r="BW866" s="4">
        <f>_xlfn.IFNA(VLOOKUP(Grandview_Inventory[[#This Row],[living_area_range]],Lookups!$F$47:$H$56,3,FALSE),1)</f>
        <v>0.96120133463014379</v>
      </c>
      <c r="BX866" s="4">
        <f>AVERAGE(Grandview_Inventory[[#This Row],[qual_adj]:[size_adj]])</f>
        <v>0.95007641457219871</v>
      </c>
      <c r="BY866" s="6">
        <f>IF(Grandview_Inventory[[#This Row],[pre_res]]&lt;0,0,Grandview_Inventory[[#This Row],[pre_res]]*Grandview_Inventory[[#This Row],[overall_adj]])</f>
        <v>373198.80019965081</v>
      </c>
      <c r="BZ866" s="6">
        <f>(Grandview_Inventory[[#This Row],[sum_land]]-IF(Grandview_Inventory[[#This Row],[no_utilities]]=1,12000,0))/IF(Grandview_Inventory[[#This Row],[unbuildable]]=1,2,1)</f>
        <v>63110.703153256603</v>
      </c>
      <c r="CA866">
        <f>IF(ROUND(Grandview_Inventory[[#This Row],[adj_land]]*Lookups!$M$28,-2)&lt;Grandview_Inventory[[#This Row],[min_land]],Grandview_Inventory[[#This Row],[min_land]],ROUND(Grandview_Inventory[[#This Row],[adj_land]]*Lookups!$M$28,-2))</f>
        <v>60000</v>
      </c>
      <c r="CB866">
        <f>ROUND(Grandview_Inventory[[#This Row],[det_value]]*Lookups!$M$28,-2)</f>
        <v>0</v>
      </c>
      <c r="CC866">
        <f>IF(ROUND(Grandview_Inventory[[#This Row],[adj_res]]*Lookups!$M$28,-2)&lt;Grandview_Inventory[[#This Row],[min_res]],Grandview_Inventory[[#This Row],[min_res]],ROUND(Grandview_Inventory[[#This Row],[adj_res]]*Lookups!$M$28,-2))</f>
        <v>354500</v>
      </c>
      <c r="CD866">
        <f>Grandview_Inventory[[#This Row],[final_det]]+Grandview_Inventory[[#This Row],[final_res]]</f>
        <v>354500</v>
      </c>
      <c r="CE866">
        <f>Grandview_Inventory[[#This Row],[final_land]]+Grandview_Inventory[[#This Row],[final_imp]]+Grandview_Inventory[[#This Row],[crop_value]]</f>
        <v>414500</v>
      </c>
      <c r="CG866" t="str">
        <f t="shared" si="13"/>
        <v>update valuation set market_land =60000, market_bldg=354500, market_total =414500, market_mdno =401, market_date ='9/10/2023' where link_id = (select link_id from parcel where parcel_year = '2024' and parcel_id = '23092232502');</v>
      </c>
    </row>
    <row r="867" spans="1:85" x14ac:dyDescent="0.25">
      <c r="A867">
        <v>23092232503</v>
      </c>
      <c r="B867" t="s">
        <v>129</v>
      </c>
      <c r="C867">
        <v>15203</v>
      </c>
      <c r="D867" t="s">
        <v>129</v>
      </c>
      <c r="E867" t="s">
        <v>53</v>
      </c>
      <c r="F867" t="s">
        <v>53</v>
      </c>
      <c r="G867">
        <v>4</v>
      </c>
      <c r="H867" t="s">
        <v>54</v>
      </c>
      <c r="I867">
        <v>290700</v>
      </c>
      <c r="J867">
        <v>41200</v>
      </c>
      <c r="K867">
        <v>0.35</v>
      </c>
      <c r="L867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867">
        <v>0</v>
      </c>
      <c r="N867">
        <v>0</v>
      </c>
      <c r="O867">
        <v>0</v>
      </c>
      <c r="P867">
        <v>13398.7528</v>
      </c>
      <c r="Q867">
        <v>63903</v>
      </c>
      <c r="R867">
        <f>(Grandview_Inventory[[#This Row],[ln_acres]]*Grandview_Inventory[[#This Row],[coeff]])+Grandview_Inventory[[#This Row],[const]]</f>
        <v>49836.692869871389</v>
      </c>
      <c r="S867" t="s">
        <v>61</v>
      </c>
      <c r="T867">
        <v>1</v>
      </c>
      <c r="U867" t="s">
        <v>62</v>
      </c>
      <c r="V867" t="s">
        <v>57</v>
      </c>
      <c r="W867">
        <v>0</v>
      </c>
      <c r="X867">
        <v>0</v>
      </c>
      <c r="Y867">
        <v>1</v>
      </c>
      <c r="Z867">
        <v>1</v>
      </c>
      <c r="AA867">
        <v>10</v>
      </c>
      <c r="AB867">
        <v>2500</v>
      </c>
      <c r="AC867">
        <v>2331</v>
      </c>
      <c r="AD867">
        <v>1947</v>
      </c>
      <c r="AE867">
        <v>0</v>
      </c>
      <c r="AF867">
        <v>384</v>
      </c>
      <c r="AG867">
        <v>0</v>
      </c>
      <c r="AH867">
        <v>0</v>
      </c>
      <c r="AI867">
        <v>720</v>
      </c>
      <c r="AJ867">
        <v>0</v>
      </c>
      <c r="AK867">
        <v>0</v>
      </c>
      <c r="AL867">
        <v>0</v>
      </c>
      <c r="AM867">
        <v>0</v>
      </c>
      <c r="AN867">
        <v>186</v>
      </c>
      <c r="AO867">
        <v>0</v>
      </c>
      <c r="AP867">
        <v>10</v>
      </c>
      <c r="AQ867">
        <v>0</v>
      </c>
      <c r="AR867">
        <v>0</v>
      </c>
      <c r="AS867" t="s">
        <v>58</v>
      </c>
      <c r="AT867">
        <v>1</v>
      </c>
      <c r="AU867" t="s">
        <v>59</v>
      </c>
      <c r="AV867" t="s">
        <v>64</v>
      </c>
      <c r="AW867">
        <v>1</v>
      </c>
      <c r="AX867">
        <v>3</v>
      </c>
      <c r="AY867">
        <v>0</v>
      </c>
      <c r="AZ867">
        <v>0</v>
      </c>
      <c r="BA867">
        <v>100</v>
      </c>
      <c r="BB867">
        <v>100</v>
      </c>
      <c r="BC867">
        <v>100</v>
      </c>
      <c r="BD867">
        <v>100</v>
      </c>
      <c r="BE867">
        <v>1</v>
      </c>
      <c r="BF867">
        <v>15000</v>
      </c>
      <c r="BG867">
        <v>1000</v>
      </c>
      <c r="BH867" s="6">
        <f>Grandview_Inventory[[#This Row],[land_extract]]*Lookups!$B$3</f>
        <v>57875.216870710894</v>
      </c>
      <c r="BI867" s="6">
        <f>IF(Grandview_Inventory[[#This Row],[bldg_style]]="",0,Lookups!$B$2)</f>
        <v>155833.95000000001</v>
      </c>
      <c r="BJ867" s="6">
        <f>_xlfn.IFNA(VLOOKUP(Grandview_Inventory[[#This Row],[quality]],Lookups!$H$2:$J$14,3,FALSE),0)</f>
        <v>9808</v>
      </c>
      <c r="BK867" s="6">
        <f>_xlfn.IFNA(VLOOKUP(Grandview_Inventory[[#This Row],[condition]],Lookups!$H$17:$J$24,3,FALSE),0)</f>
        <v>25780</v>
      </c>
      <c r="BL867" s="6">
        <f>Grandview_Inventory[[#This Row],[Eff_Age]]*Lookups!$B$14</f>
        <v>-239.16659999999999</v>
      </c>
      <c r="BM867" s="6">
        <f>Grandview_Inventory[[#This Row],[living_area]]*Lookups!$B$15</f>
        <v>145409.768343</v>
      </c>
      <c r="BN867" s="6">
        <f>Grandview_Inventory[[#This Row],[Fin BSMT]]*Lookups!$B$16</f>
        <v>0</v>
      </c>
      <c r="BO867" s="6">
        <f>(Grandview_Inventory[[#This Row],[att_gar]]+Grandview_Inventory[[#This Row],[bltin_gar]])*Lookups!$B$17</f>
        <v>63014.714639999998</v>
      </c>
      <c r="BP867" s="6">
        <f>Grandview_Inventory[[#This Row],[Plumbing Fixtures]]*Lookups!$B$18</f>
        <v>20104.418000000001</v>
      </c>
      <c r="BQ867" s="6">
        <f>Grandview_Inventory[[#This Row],[detatched_value]]*Lookups!$B$19</f>
        <v>0</v>
      </c>
      <c r="BR867" s="6">
        <f>SUM(Grandview_Inventory[[#This Row],[Intercept]:[det_value]])*Grandview_Inventory[[#This Row],[res_pct]]</f>
        <v>419711.68438300007</v>
      </c>
      <c r="BS867" s="6">
        <f>Grandview_Inventory[[#This Row],[land_value]]</f>
        <v>57875.216870710894</v>
      </c>
      <c r="BT867" s="4">
        <f>_xlfn.IFNA(VLOOKUP(Grandview_Inventory[[#This Row],[quality]],Lookups!$A$26:$C$33,3,FALSE),1)</f>
        <v>0.94295468617355149</v>
      </c>
      <c r="BU867" s="4">
        <f>_xlfn.IFNA(VLOOKUP(Grandview_Inventory[[#This Row],[condition]],Lookups!$A$37:$C$44,3,FALSE),1)</f>
        <v>0.94347925387812148</v>
      </c>
      <c r="BV867" s="4">
        <f>IF(Grandview_Inventory[[#This Row],[bldg_style]]="",1,_xlfn.IFNA(VLOOKUP(Grandview_Inventory[[#This Row],[decade]],Lookups!$F$29:$H$43,3,FALSE),1))</f>
        <v>0.94601966599150278</v>
      </c>
      <c r="BW867" s="4">
        <f>_xlfn.IFNA(VLOOKUP(Grandview_Inventory[[#This Row],[living_area_range]],Lookups!$F$47:$H$56,3,FALSE),1)</f>
        <v>0.95799442568048754</v>
      </c>
      <c r="BX867" s="4">
        <f>AVERAGE(Grandview_Inventory[[#This Row],[qual_adj]:[size_adj]])</f>
        <v>0.94761200793091582</v>
      </c>
      <c r="BY867" s="6">
        <f>IF(Grandview_Inventory[[#This Row],[pre_res]]&lt;0,0,Grandview_Inventory[[#This Row],[pre_res]]*Grandview_Inventory[[#This Row],[overall_adj]])</f>
        <v>397723.83199024148</v>
      </c>
      <c r="BZ867" s="6">
        <f>(Grandview_Inventory[[#This Row],[sum_land]]-IF(Grandview_Inventory[[#This Row],[no_utilities]]=1,12000,0))/IF(Grandview_Inventory[[#This Row],[unbuildable]]=1,2,1)</f>
        <v>57875.216870710894</v>
      </c>
      <c r="CA867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867">
        <f>ROUND(Grandview_Inventory[[#This Row],[det_value]]*Lookups!$M$28,-2)</f>
        <v>0</v>
      </c>
      <c r="CC867">
        <f>IF(ROUND(Grandview_Inventory[[#This Row],[adj_res]]*Lookups!$M$28,-2)&lt;Grandview_Inventory[[#This Row],[min_res]],Grandview_Inventory[[#This Row],[min_res]],ROUND(Grandview_Inventory[[#This Row],[adj_res]]*Lookups!$M$28,-2))</f>
        <v>377800</v>
      </c>
      <c r="CD867">
        <f>Grandview_Inventory[[#This Row],[final_det]]+Grandview_Inventory[[#This Row],[final_res]]</f>
        <v>377800</v>
      </c>
      <c r="CE867">
        <f>Grandview_Inventory[[#This Row],[final_land]]+Grandview_Inventory[[#This Row],[final_imp]]+Grandview_Inventory[[#This Row],[crop_value]]</f>
        <v>432800</v>
      </c>
      <c r="CG867" t="str">
        <f t="shared" si="13"/>
        <v>update valuation set market_land =55000, market_bldg=377800, market_total =432800, market_mdno =401, market_date ='9/10/2023' where link_id = (select link_id from parcel where parcel_year = '2024' and parcel_id = '23092232503');</v>
      </c>
    </row>
    <row r="868" spans="1:85" x14ac:dyDescent="0.25">
      <c r="A868">
        <v>23092232504</v>
      </c>
      <c r="B868" t="s">
        <v>129</v>
      </c>
      <c r="C868">
        <v>15624</v>
      </c>
      <c r="D868" t="s">
        <v>129</v>
      </c>
      <c r="E868" t="s">
        <v>53</v>
      </c>
      <c r="F868" t="s">
        <v>53</v>
      </c>
      <c r="G868">
        <v>4</v>
      </c>
      <c r="H868" t="s">
        <v>54</v>
      </c>
      <c r="I868">
        <v>248200</v>
      </c>
      <c r="J868">
        <v>41100</v>
      </c>
      <c r="K868">
        <v>0.36</v>
      </c>
      <c r="L868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868">
        <v>0</v>
      </c>
      <c r="N868">
        <v>0</v>
      </c>
      <c r="O868">
        <v>0</v>
      </c>
      <c r="P868">
        <v>13398.7528</v>
      </c>
      <c r="Q868">
        <v>63903</v>
      </c>
      <c r="R868">
        <f>(Grandview_Inventory[[#This Row],[ln_acres]]*Grandview_Inventory[[#This Row],[coeff]])+Grandview_Inventory[[#This Row],[const]]</f>
        <v>50214.147486507369</v>
      </c>
      <c r="S868" t="s">
        <v>61</v>
      </c>
      <c r="T868">
        <v>1</v>
      </c>
      <c r="U868" t="s">
        <v>62</v>
      </c>
      <c r="V868" t="s">
        <v>57</v>
      </c>
      <c r="W868">
        <v>0</v>
      </c>
      <c r="X868">
        <v>0</v>
      </c>
      <c r="Y868">
        <v>1</v>
      </c>
      <c r="Z868">
        <v>1</v>
      </c>
      <c r="AA868">
        <v>10</v>
      </c>
      <c r="AB868">
        <v>1500</v>
      </c>
      <c r="AC868">
        <v>1418</v>
      </c>
      <c r="AD868">
        <v>1418</v>
      </c>
      <c r="AE868">
        <v>0</v>
      </c>
      <c r="AF868">
        <v>0</v>
      </c>
      <c r="AG868">
        <v>0</v>
      </c>
      <c r="AH868">
        <v>0</v>
      </c>
      <c r="AI868">
        <v>462</v>
      </c>
      <c r="AJ868">
        <v>0</v>
      </c>
      <c r="AK868">
        <v>0</v>
      </c>
      <c r="AL868">
        <v>0</v>
      </c>
      <c r="AM868">
        <v>64</v>
      </c>
      <c r="AN868">
        <v>21</v>
      </c>
      <c r="AO868">
        <v>0</v>
      </c>
      <c r="AP868">
        <v>9</v>
      </c>
      <c r="AQ868">
        <v>0</v>
      </c>
      <c r="AR868">
        <v>0</v>
      </c>
      <c r="AS868" t="s">
        <v>58</v>
      </c>
      <c r="AT868">
        <v>1</v>
      </c>
      <c r="AU868" t="s">
        <v>63</v>
      </c>
      <c r="AV868" t="s">
        <v>64</v>
      </c>
      <c r="AW868">
        <v>1</v>
      </c>
      <c r="AX868">
        <v>3</v>
      </c>
      <c r="AY868">
        <v>0</v>
      </c>
      <c r="AZ868">
        <v>0</v>
      </c>
      <c r="BA868">
        <v>100</v>
      </c>
      <c r="BB868">
        <v>100</v>
      </c>
      <c r="BC868">
        <v>100</v>
      </c>
      <c r="BD868">
        <v>100</v>
      </c>
      <c r="BE868">
        <v>1</v>
      </c>
      <c r="BF868">
        <v>15000</v>
      </c>
      <c r="BG868">
        <v>1000</v>
      </c>
      <c r="BH868" s="6">
        <f>Grandview_Inventory[[#This Row],[land_extract]]*Lookups!$B$3</f>
        <v>58313.55389788279</v>
      </c>
      <c r="BI868" s="6">
        <f>IF(Grandview_Inventory[[#This Row],[bldg_style]]="",0,Lookups!$B$2)</f>
        <v>155833.95000000001</v>
      </c>
      <c r="BJ868" s="6">
        <f>_xlfn.IFNA(VLOOKUP(Grandview_Inventory[[#This Row],[quality]],Lookups!$H$2:$J$14,3,FALSE),0)</f>
        <v>9808</v>
      </c>
      <c r="BK868" s="6">
        <f>_xlfn.IFNA(VLOOKUP(Grandview_Inventory[[#This Row],[condition]],Lookups!$H$17:$J$24,3,FALSE),0)</f>
        <v>25780</v>
      </c>
      <c r="BL868" s="6">
        <f>Grandview_Inventory[[#This Row],[Eff_Age]]*Lookups!$B$14</f>
        <v>-239.16659999999999</v>
      </c>
      <c r="BM868" s="6">
        <f>Grandview_Inventory[[#This Row],[living_area]]*Lookups!$B$15</f>
        <v>88456.049553999997</v>
      </c>
      <c r="BN868" s="6">
        <f>Grandview_Inventory[[#This Row],[Fin BSMT]]*Lookups!$B$16</f>
        <v>0</v>
      </c>
      <c r="BO868" s="6">
        <f>(Grandview_Inventory[[#This Row],[att_gar]]+Grandview_Inventory[[#This Row],[bltin_gar]])*Lookups!$B$17</f>
        <v>40434.441894000003</v>
      </c>
      <c r="BP868" s="6">
        <f>Grandview_Inventory[[#This Row],[Plumbing Fixtures]]*Lookups!$B$18</f>
        <v>18093.976200000001</v>
      </c>
      <c r="BQ868" s="6">
        <f>Grandview_Inventory[[#This Row],[detatched_value]]*Lookups!$B$19</f>
        <v>0</v>
      </c>
      <c r="BR868" s="6">
        <f>SUM(Grandview_Inventory[[#This Row],[Intercept]:[det_value]])*Grandview_Inventory[[#This Row],[res_pct]]</f>
        <v>338167.25104799995</v>
      </c>
      <c r="BS868" s="6">
        <f>Grandview_Inventory[[#This Row],[land_value]]</f>
        <v>58313.55389788279</v>
      </c>
      <c r="BT868" s="4">
        <f>_xlfn.IFNA(VLOOKUP(Grandview_Inventory[[#This Row],[quality]],Lookups!$A$26:$C$33,3,FALSE),1)</f>
        <v>0.94295468617355149</v>
      </c>
      <c r="BU868" s="4">
        <f>_xlfn.IFNA(VLOOKUP(Grandview_Inventory[[#This Row],[condition]],Lookups!$A$37:$C$44,3,FALSE),1)</f>
        <v>0.94347925387812148</v>
      </c>
      <c r="BV868" s="4">
        <f>IF(Grandview_Inventory[[#This Row],[bldg_style]]="",1,_xlfn.IFNA(VLOOKUP(Grandview_Inventory[[#This Row],[decade]],Lookups!$F$29:$H$43,3,FALSE),1))</f>
        <v>0.94601966599150278</v>
      </c>
      <c r="BW868" s="4">
        <f>_xlfn.IFNA(VLOOKUP(Grandview_Inventory[[#This Row],[living_area_range]],Lookups!$F$47:$H$56,3,FALSE),1)</f>
        <v>0.96135087979789358</v>
      </c>
      <c r="BX868" s="4">
        <f>AVERAGE(Grandview_Inventory[[#This Row],[qual_adj]:[size_adj]])</f>
        <v>0.94845112146026733</v>
      </c>
      <c r="BY868" s="6">
        <f>IF(Grandview_Inventory[[#This Row],[pre_res]]&lt;0,0,Grandview_Inventory[[#This Row],[pre_res]]*Grandview_Inventory[[#This Row],[overall_adj]])</f>
        <v>320735.10849761131</v>
      </c>
      <c r="BZ868" s="6">
        <f>(Grandview_Inventory[[#This Row],[sum_land]]-IF(Grandview_Inventory[[#This Row],[no_utilities]]=1,12000,0))/IF(Grandview_Inventory[[#This Row],[unbuildable]]=1,2,1)</f>
        <v>58313.55389788279</v>
      </c>
      <c r="CA868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868">
        <f>ROUND(Grandview_Inventory[[#This Row],[det_value]]*Lookups!$M$28,-2)</f>
        <v>0</v>
      </c>
      <c r="CC868">
        <f>IF(ROUND(Grandview_Inventory[[#This Row],[adj_res]]*Lookups!$M$28,-2)&lt;Grandview_Inventory[[#This Row],[min_res]],Grandview_Inventory[[#This Row],[min_res]],ROUND(Grandview_Inventory[[#This Row],[adj_res]]*Lookups!$M$28,-2))</f>
        <v>304700</v>
      </c>
      <c r="CD868">
        <f>Grandview_Inventory[[#This Row],[final_det]]+Grandview_Inventory[[#This Row],[final_res]]</f>
        <v>304700</v>
      </c>
      <c r="CE868">
        <f>Grandview_Inventory[[#This Row],[final_land]]+Grandview_Inventory[[#This Row],[final_imp]]+Grandview_Inventory[[#This Row],[crop_value]]</f>
        <v>360100</v>
      </c>
      <c r="CG868" t="str">
        <f t="shared" si="13"/>
        <v>update valuation set market_land =55400, market_bldg=304700, market_total =360100, market_mdno =401, market_date ='9/10/2023' where link_id = (select link_id from parcel where parcel_year = '2024' and parcel_id = '23092232504');</v>
      </c>
    </row>
    <row r="869" spans="1:85" x14ac:dyDescent="0.25">
      <c r="A869">
        <v>23092232505</v>
      </c>
      <c r="B869" t="s">
        <v>129</v>
      </c>
      <c r="C869">
        <v>14532</v>
      </c>
      <c r="D869" t="s">
        <v>129</v>
      </c>
      <c r="E869" t="s">
        <v>53</v>
      </c>
      <c r="F869" t="s">
        <v>53</v>
      </c>
      <c r="G869">
        <v>4</v>
      </c>
      <c r="H869" t="s">
        <v>54</v>
      </c>
      <c r="I869">
        <v>291100</v>
      </c>
      <c r="J869">
        <v>41200</v>
      </c>
      <c r="K869">
        <v>0.33</v>
      </c>
      <c r="L869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869">
        <v>0</v>
      </c>
      <c r="N869">
        <v>0</v>
      </c>
      <c r="O869">
        <v>0</v>
      </c>
      <c r="P869">
        <v>13398.7528</v>
      </c>
      <c r="Q869">
        <v>63903</v>
      </c>
      <c r="R869">
        <f>(Grandview_Inventory[[#This Row],[ln_acres]]*Grandview_Inventory[[#This Row],[coeff]])+Grandview_Inventory[[#This Row],[const]]</f>
        <v>49048.303555435712</v>
      </c>
      <c r="S869" t="s">
        <v>58</v>
      </c>
      <c r="T869">
        <v>1</v>
      </c>
      <c r="U869" t="s">
        <v>62</v>
      </c>
      <c r="V869" t="s">
        <v>57</v>
      </c>
      <c r="W869">
        <v>0</v>
      </c>
      <c r="X869">
        <v>0</v>
      </c>
      <c r="Y869">
        <v>1</v>
      </c>
      <c r="Z869">
        <v>1</v>
      </c>
      <c r="AA869">
        <v>10</v>
      </c>
      <c r="AB869">
        <v>2000</v>
      </c>
      <c r="AC869">
        <v>1827</v>
      </c>
      <c r="AD869">
        <v>1827</v>
      </c>
      <c r="AE869">
        <v>0</v>
      </c>
      <c r="AF869">
        <v>0</v>
      </c>
      <c r="AG869">
        <v>0</v>
      </c>
      <c r="AH869">
        <v>0</v>
      </c>
      <c r="AI869">
        <v>619</v>
      </c>
      <c r="AJ869">
        <v>0</v>
      </c>
      <c r="AK869">
        <v>0</v>
      </c>
      <c r="AL869">
        <v>0</v>
      </c>
      <c r="AM869">
        <v>0</v>
      </c>
      <c r="AN869">
        <v>237</v>
      </c>
      <c r="AO869">
        <v>0</v>
      </c>
      <c r="AP869">
        <v>9</v>
      </c>
      <c r="AQ869">
        <v>0</v>
      </c>
      <c r="AR869">
        <v>0</v>
      </c>
      <c r="AS869" t="s">
        <v>58</v>
      </c>
      <c r="AT869">
        <v>1</v>
      </c>
      <c r="AU869" t="s">
        <v>63</v>
      </c>
      <c r="AV869" t="s">
        <v>64</v>
      </c>
      <c r="AW869">
        <v>1</v>
      </c>
      <c r="AX869">
        <v>3</v>
      </c>
      <c r="AY869">
        <v>0</v>
      </c>
      <c r="AZ869">
        <v>0</v>
      </c>
      <c r="BA869">
        <v>100</v>
      </c>
      <c r="BB869">
        <v>100</v>
      </c>
      <c r="BC869">
        <v>100</v>
      </c>
      <c r="BD869">
        <v>100</v>
      </c>
      <c r="BE869">
        <v>1</v>
      </c>
      <c r="BF869">
        <v>15000</v>
      </c>
      <c r="BG869">
        <v>1000</v>
      </c>
      <c r="BH869" s="6">
        <f>Grandview_Inventory[[#This Row],[land_extract]]*Lookups!$B$3</f>
        <v>56959.662488507893</v>
      </c>
      <c r="BI869" s="6">
        <f>IF(Grandview_Inventory[[#This Row],[bldg_style]]="",0,Lookups!$B$2)</f>
        <v>155833.95000000001</v>
      </c>
      <c r="BJ869" s="6">
        <f>_xlfn.IFNA(VLOOKUP(Grandview_Inventory[[#This Row],[quality]],Lookups!$H$2:$J$14,3,FALSE),0)</f>
        <v>9808</v>
      </c>
      <c r="BK869" s="6">
        <f>_xlfn.IFNA(VLOOKUP(Grandview_Inventory[[#This Row],[condition]],Lookups!$H$17:$J$24,3,FALSE),0)</f>
        <v>25780</v>
      </c>
      <c r="BL869" s="6">
        <f>Grandview_Inventory[[#This Row],[Eff_Age]]*Lookups!$B$14</f>
        <v>-239.16659999999999</v>
      </c>
      <c r="BM869" s="6">
        <f>Grandview_Inventory[[#This Row],[living_area]]*Lookups!$B$15</f>
        <v>113969.81843100001</v>
      </c>
      <c r="BN869" s="6">
        <f>Grandview_Inventory[[#This Row],[Fin BSMT]]*Lookups!$B$16</f>
        <v>0</v>
      </c>
      <c r="BO869" s="6">
        <f>(Grandview_Inventory[[#This Row],[att_gar]]+Grandview_Inventory[[#This Row],[bltin_gar]])*Lookups!$B$17</f>
        <v>54175.150502999997</v>
      </c>
      <c r="BP869" s="6">
        <f>Grandview_Inventory[[#This Row],[Plumbing Fixtures]]*Lookups!$B$18</f>
        <v>18093.976200000001</v>
      </c>
      <c r="BQ869" s="6">
        <f>Grandview_Inventory[[#This Row],[detatched_value]]*Lookups!$B$19</f>
        <v>0</v>
      </c>
      <c r="BR869" s="6">
        <f>SUM(Grandview_Inventory[[#This Row],[Intercept]:[det_value]])*Grandview_Inventory[[#This Row],[res_pct]]</f>
        <v>377421.72853399999</v>
      </c>
      <c r="BS869" s="6">
        <f>Grandview_Inventory[[#This Row],[land_value]]</f>
        <v>56959.662488507893</v>
      </c>
      <c r="BT869" s="4">
        <f>_xlfn.IFNA(VLOOKUP(Grandview_Inventory[[#This Row],[quality]],Lookups!$A$26:$C$33,3,FALSE),1)</f>
        <v>0.94295468617355149</v>
      </c>
      <c r="BU869" s="4">
        <f>_xlfn.IFNA(VLOOKUP(Grandview_Inventory[[#This Row],[condition]],Lookups!$A$37:$C$44,3,FALSE),1)</f>
        <v>0.94347925387812148</v>
      </c>
      <c r="BV869" s="4">
        <f>IF(Grandview_Inventory[[#This Row],[bldg_style]]="",1,_xlfn.IFNA(VLOOKUP(Grandview_Inventory[[#This Row],[decade]],Lookups!$F$29:$H$43,3,FALSE),1))</f>
        <v>0.94601966599150278</v>
      </c>
      <c r="BW869" s="4">
        <f>_xlfn.IFNA(VLOOKUP(Grandview_Inventory[[#This Row],[living_area_range]],Lookups!$F$47:$H$56,3,FALSE),1)</f>
        <v>0.96120133463014379</v>
      </c>
      <c r="BX869" s="4">
        <f>AVERAGE(Grandview_Inventory[[#This Row],[qual_adj]:[size_adj]])</f>
        <v>0.94841373516832994</v>
      </c>
      <c r="BY869" s="6">
        <f>IF(Grandview_Inventory[[#This Row],[pre_res]]&lt;0,0,Grandview_Inventory[[#This Row],[pre_res]]*Grandview_Inventory[[#This Row],[overall_adj]])</f>
        <v>357951.95129261841</v>
      </c>
      <c r="BZ869" s="6">
        <f>(Grandview_Inventory[[#This Row],[sum_land]]-IF(Grandview_Inventory[[#This Row],[no_utilities]]=1,12000,0))/IF(Grandview_Inventory[[#This Row],[unbuildable]]=1,2,1)</f>
        <v>56959.662488507893</v>
      </c>
      <c r="CA869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869">
        <f>ROUND(Grandview_Inventory[[#This Row],[det_value]]*Lookups!$M$28,-2)</f>
        <v>0</v>
      </c>
      <c r="CC869">
        <f>IF(ROUND(Grandview_Inventory[[#This Row],[adj_res]]*Lookups!$M$28,-2)&lt;Grandview_Inventory[[#This Row],[min_res]],Grandview_Inventory[[#This Row],[min_res]],ROUND(Grandview_Inventory[[#This Row],[adj_res]]*Lookups!$M$28,-2))</f>
        <v>340100</v>
      </c>
      <c r="CD869">
        <f>Grandview_Inventory[[#This Row],[final_det]]+Grandview_Inventory[[#This Row],[final_res]]</f>
        <v>340100</v>
      </c>
      <c r="CE869">
        <f>Grandview_Inventory[[#This Row],[final_land]]+Grandview_Inventory[[#This Row],[final_imp]]+Grandview_Inventory[[#This Row],[crop_value]]</f>
        <v>394200</v>
      </c>
      <c r="CG869" t="str">
        <f t="shared" si="13"/>
        <v>update valuation set market_land =54100, market_bldg=340100, market_total =394200, market_mdno =401, market_date ='9/10/2023' where link_id = (select link_id from parcel where parcel_year = '2024' and parcel_id = '23092232505');</v>
      </c>
    </row>
    <row r="870" spans="1:85" x14ac:dyDescent="0.25">
      <c r="A870">
        <v>23092232506</v>
      </c>
      <c r="B870" t="s">
        <v>129</v>
      </c>
      <c r="C870">
        <v>8902</v>
      </c>
      <c r="D870" t="s">
        <v>129</v>
      </c>
      <c r="E870" t="s">
        <v>53</v>
      </c>
      <c r="F870" t="s">
        <v>53</v>
      </c>
      <c r="G870">
        <v>4</v>
      </c>
      <c r="H870" t="s">
        <v>54</v>
      </c>
      <c r="I870">
        <v>274700</v>
      </c>
      <c r="J870">
        <v>39300</v>
      </c>
      <c r="K870">
        <v>0.2</v>
      </c>
      <c r="L87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70">
        <v>0</v>
      </c>
      <c r="N870">
        <v>0</v>
      </c>
      <c r="O870">
        <v>0</v>
      </c>
      <c r="P870">
        <v>13398.7528</v>
      </c>
      <c r="Q870">
        <v>63903</v>
      </c>
      <c r="R870">
        <f>(Grandview_Inventory[[#This Row],[ln_acres]]*Grandview_Inventory[[#This Row],[coeff]])+Grandview_Inventory[[#This Row],[const]]</f>
        <v>42338.539264347448</v>
      </c>
      <c r="S870" t="s">
        <v>55</v>
      </c>
      <c r="T870">
        <v>1</v>
      </c>
      <c r="U870" t="s">
        <v>62</v>
      </c>
      <c r="V870" t="s">
        <v>57</v>
      </c>
      <c r="W870">
        <v>0</v>
      </c>
      <c r="X870">
        <v>0</v>
      </c>
      <c r="Y870">
        <v>2</v>
      </c>
      <c r="Z870">
        <v>2</v>
      </c>
      <c r="AA870">
        <v>10</v>
      </c>
      <c r="AB870">
        <v>2000</v>
      </c>
      <c r="AC870">
        <v>1705</v>
      </c>
      <c r="AD870">
        <v>1705</v>
      </c>
      <c r="AE870">
        <v>0</v>
      </c>
      <c r="AF870">
        <v>0</v>
      </c>
      <c r="AG870">
        <v>0</v>
      </c>
      <c r="AH870">
        <v>0</v>
      </c>
      <c r="AI870">
        <v>456</v>
      </c>
      <c r="AJ870">
        <v>0</v>
      </c>
      <c r="AK870">
        <v>0</v>
      </c>
      <c r="AL870">
        <v>0</v>
      </c>
      <c r="AM870">
        <v>0</v>
      </c>
      <c r="AN870">
        <v>211</v>
      </c>
      <c r="AO870">
        <v>0</v>
      </c>
      <c r="AP870">
        <v>9</v>
      </c>
      <c r="AQ870">
        <v>0</v>
      </c>
      <c r="AR870">
        <v>0</v>
      </c>
      <c r="AS870" t="s">
        <v>58</v>
      </c>
      <c r="AT870">
        <v>1</v>
      </c>
      <c r="AU870" t="s">
        <v>63</v>
      </c>
      <c r="AV870" t="s">
        <v>64</v>
      </c>
      <c r="AW870">
        <v>1</v>
      </c>
      <c r="AX870">
        <v>3</v>
      </c>
      <c r="AY870">
        <v>0</v>
      </c>
      <c r="AZ870">
        <v>0</v>
      </c>
      <c r="BA870">
        <v>100</v>
      </c>
      <c r="BB870">
        <v>100</v>
      </c>
      <c r="BC870">
        <v>100</v>
      </c>
      <c r="BD870">
        <v>100</v>
      </c>
      <c r="BE870">
        <v>1</v>
      </c>
      <c r="BF870">
        <v>15000</v>
      </c>
      <c r="BG870">
        <v>1000</v>
      </c>
      <c r="BH870" s="6">
        <f>Grandview_Inventory[[#This Row],[land_extract]]*Lookups!$B$3</f>
        <v>49167.631333630678</v>
      </c>
      <c r="BI870" s="6">
        <f>IF(Grandview_Inventory[[#This Row],[bldg_style]]="",0,Lookups!$B$2)</f>
        <v>155833.95000000001</v>
      </c>
      <c r="BJ870" s="6">
        <f>_xlfn.IFNA(VLOOKUP(Grandview_Inventory[[#This Row],[quality]],Lookups!$H$2:$J$14,3,FALSE),0)</f>
        <v>9808</v>
      </c>
      <c r="BK870" s="6">
        <f>_xlfn.IFNA(VLOOKUP(Grandview_Inventory[[#This Row],[condition]],Lookups!$H$17:$J$24,3,FALSE),0)</f>
        <v>25780</v>
      </c>
      <c r="BL870" s="6">
        <f>Grandview_Inventory[[#This Row],[Eff_Age]]*Lookups!$B$14</f>
        <v>-478.33319999999998</v>
      </c>
      <c r="BM870" s="6">
        <f>Grandview_Inventory[[#This Row],[living_area]]*Lookups!$B$15</f>
        <v>106359.35436500001</v>
      </c>
      <c r="BN870" s="6">
        <f>Grandview_Inventory[[#This Row],[Fin BSMT]]*Lookups!$B$16</f>
        <v>0</v>
      </c>
      <c r="BO870" s="6">
        <f>(Grandview_Inventory[[#This Row],[att_gar]]+Grandview_Inventory[[#This Row],[bltin_gar]])*Lookups!$B$17</f>
        <v>39909.319272000001</v>
      </c>
      <c r="BP870" s="6">
        <f>Grandview_Inventory[[#This Row],[Plumbing Fixtures]]*Lookups!$B$18</f>
        <v>18093.976200000001</v>
      </c>
      <c r="BQ870" s="6">
        <f>Grandview_Inventory[[#This Row],[detatched_value]]*Lookups!$B$19</f>
        <v>0</v>
      </c>
      <c r="BR870" s="6">
        <f>SUM(Grandview_Inventory[[#This Row],[Intercept]:[det_value]])*Grandview_Inventory[[#This Row],[res_pct]]</f>
        <v>355306.26663699996</v>
      </c>
      <c r="BS870" s="6">
        <f>Grandview_Inventory[[#This Row],[land_value]]</f>
        <v>49167.631333630678</v>
      </c>
      <c r="BT870" s="4">
        <f>_xlfn.IFNA(VLOOKUP(Grandview_Inventory[[#This Row],[quality]],Lookups!$A$26:$C$33,3,FALSE),1)</f>
        <v>0.94295468617355149</v>
      </c>
      <c r="BU870" s="4">
        <f>_xlfn.IFNA(VLOOKUP(Grandview_Inventory[[#This Row],[condition]],Lookups!$A$37:$C$44,3,FALSE),1)</f>
        <v>0.94347925387812148</v>
      </c>
      <c r="BV870" s="4">
        <f>IF(Grandview_Inventory[[#This Row],[bldg_style]]="",1,_xlfn.IFNA(VLOOKUP(Grandview_Inventory[[#This Row],[decade]],Lookups!$F$29:$H$43,3,FALSE),1))</f>
        <v>0.94601966599150278</v>
      </c>
      <c r="BW870" s="4">
        <f>_xlfn.IFNA(VLOOKUP(Grandview_Inventory[[#This Row],[living_area_range]],Lookups!$F$47:$H$56,3,FALSE),1)</f>
        <v>0.96120133463014379</v>
      </c>
      <c r="BX870" s="4">
        <f>AVERAGE(Grandview_Inventory[[#This Row],[qual_adj]:[size_adj]])</f>
        <v>0.94841373516832994</v>
      </c>
      <c r="BY870" s="6">
        <f>IF(Grandview_Inventory[[#This Row],[pre_res]]&lt;0,0,Grandview_Inventory[[#This Row],[pre_res]]*Grandview_Inventory[[#This Row],[overall_adj]])</f>
        <v>336977.34346991172</v>
      </c>
      <c r="BZ870" s="6">
        <f>(Grandview_Inventory[[#This Row],[sum_land]]-IF(Grandview_Inventory[[#This Row],[no_utilities]]=1,12000,0))/IF(Grandview_Inventory[[#This Row],[unbuildable]]=1,2,1)</f>
        <v>49167.631333630678</v>
      </c>
      <c r="CA87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70">
        <f>ROUND(Grandview_Inventory[[#This Row],[det_value]]*Lookups!$M$28,-2)</f>
        <v>0</v>
      </c>
      <c r="CC870">
        <f>IF(ROUND(Grandview_Inventory[[#This Row],[adj_res]]*Lookups!$M$28,-2)&lt;Grandview_Inventory[[#This Row],[min_res]],Grandview_Inventory[[#This Row],[min_res]],ROUND(Grandview_Inventory[[#This Row],[adj_res]]*Lookups!$M$28,-2))</f>
        <v>320100</v>
      </c>
      <c r="CD870">
        <f>Grandview_Inventory[[#This Row],[final_det]]+Grandview_Inventory[[#This Row],[final_res]]</f>
        <v>320100</v>
      </c>
      <c r="CE870">
        <f>Grandview_Inventory[[#This Row],[final_land]]+Grandview_Inventory[[#This Row],[final_imp]]+Grandview_Inventory[[#This Row],[crop_value]]</f>
        <v>366800</v>
      </c>
      <c r="CG870" t="str">
        <f t="shared" si="13"/>
        <v>update valuation set market_land =46700, market_bldg=320100, market_total =366800, market_mdno =401, market_date ='9/10/2023' where link_id = (select link_id from parcel where parcel_year = '2024' and parcel_id = '23092232506');</v>
      </c>
    </row>
    <row r="871" spans="1:85" x14ac:dyDescent="0.25">
      <c r="A871">
        <v>23092232507</v>
      </c>
      <c r="B871" t="s">
        <v>129</v>
      </c>
      <c r="C871">
        <v>11149</v>
      </c>
      <c r="D871" t="s">
        <v>129</v>
      </c>
      <c r="E871" t="s">
        <v>53</v>
      </c>
      <c r="F871" t="s">
        <v>53</v>
      </c>
      <c r="G871">
        <v>4</v>
      </c>
      <c r="H871" t="s">
        <v>54</v>
      </c>
      <c r="I871">
        <v>261000</v>
      </c>
      <c r="J871">
        <v>40200</v>
      </c>
      <c r="K871">
        <v>0.26</v>
      </c>
      <c r="L871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871">
        <v>0</v>
      </c>
      <c r="N871">
        <v>0</v>
      </c>
      <c r="O871">
        <v>0</v>
      </c>
      <c r="P871">
        <v>13398.7528</v>
      </c>
      <c r="Q871">
        <v>63903</v>
      </c>
      <c r="R871">
        <f>(Grandview_Inventory[[#This Row],[ln_acres]]*Grandview_Inventory[[#This Row],[coeff]])+Grandview_Inventory[[#This Row],[const]]</f>
        <v>45853.893187501177</v>
      </c>
      <c r="S871" t="s">
        <v>55</v>
      </c>
      <c r="T871">
        <v>1</v>
      </c>
      <c r="U871" t="s">
        <v>62</v>
      </c>
      <c r="V871" t="s">
        <v>57</v>
      </c>
      <c r="W871">
        <v>0</v>
      </c>
      <c r="X871">
        <v>0</v>
      </c>
      <c r="Y871">
        <v>2</v>
      </c>
      <c r="Z871">
        <v>2</v>
      </c>
      <c r="AA871">
        <v>10</v>
      </c>
      <c r="AB871">
        <v>1500</v>
      </c>
      <c r="AC871">
        <v>1489</v>
      </c>
      <c r="AD871">
        <v>1489</v>
      </c>
      <c r="AE871">
        <v>0</v>
      </c>
      <c r="AF871">
        <v>0</v>
      </c>
      <c r="AG871">
        <v>0</v>
      </c>
      <c r="AH871">
        <v>0</v>
      </c>
      <c r="AI871">
        <v>420</v>
      </c>
      <c r="AJ871">
        <v>0</v>
      </c>
      <c r="AK871">
        <v>0</v>
      </c>
      <c r="AL871">
        <v>0</v>
      </c>
      <c r="AM871">
        <v>80</v>
      </c>
      <c r="AN871">
        <v>18</v>
      </c>
      <c r="AO871">
        <v>0</v>
      </c>
      <c r="AP871">
        <v>9</v>
      </c>
      <c r="AQ871">
        <v>0</v>
      </c>
      <c r="AR871">
        <v>0</v>
      </c>
      <c r="AS871" t="s">
        <v>58</v>
      </c>
      <c r="AT871">
        <v>1</v>
      </c>
      <c r="AU871" t="s">
        <v>63</v>
      </c>
      <c r="AV871" t="s">
        <v>64</v>
      </c>
      <c r="AW871">
        <v>1</v>
      </c>
      <c r="AX871">
        <v>3</v>
      </c>
      <c r="AY871">
        <v>0</v>
      </c>
      <c r="AZ871">
        <v>0</v>
      </c>
      <c r="BA871">
        <v>100</v>
      </c>
      <c r="BB871">
        <v>100</v>
      </c>
      <c r="BC871">
        <v>100</v>
      </c>
      <c r="BD871">
        <v>100</v>
      </c>
      <c r="BE871">
        <v>1</v>
      </c>
      <c r="BF871">
        <v>15000</v>
      </c>
      <c r="BG871">
        <v>1000</v>
      </c>
      <c r="BH871" s="6">
        <f>Grandview_Inventory[[#This Row],[land_extract]]*Lookups!$B$3</f>
        <v>53250.00235313351</v>
      </c>
      <c r="BI871" s="6">
        <f>IF(Grandview_Inventory[[#This Row],[bldg_style]]="",0,Lookups!$B$2)</f>
        <v>155833.95000000001</v>
      </c>
      <c r="BJ871" s="6">
        <f>_xlfn.IFNA(VLOOKUP(Grandview_Inventory[[#This Row],[quality]],Lookups!$H$2:$J$14,3,FALSE),0)</f>
        <v>9808</v>
      </c>
      <c r="BK871" s="6">
        <f>_xlfn.IFNA(VLOOKUP(Grandview_Inventory[[#This Row],[condition]],Lookups!$H$17:$J$24,3,FALSE),0)</f>
        <v>25780</v>
      </c>
      <c r="BL871" s="6">
        <f>Grandview_Inventory[[#This Row],[Eff_Age]]*Lookups!$B$14</f>
        <v>-478.33319999999998</v>
      </c>
      <c r="BM871" s="6">
        <f>Grandview_Inventory[[#This Row],[living_area]]*Lookups!$B$15</f>
        <v>92885.090117</v>
      </c>
      <c r="BN871" s="6">
        <f>Grandview_Inventory[[#This Row],[Fin BSMT]]*Lookups!$B$16</f>
        <v>0</v>
      </c>
      <c r="BO871" s="6">
        <f>(Grandview_Inventory[[#This Row],[att_gar]]+Grandview_Inventory[[#This Row],[bltin_gar]])*Lookups!$B$17</f>
        <v>36758.58354</v>
      </c>
      <c r="BP871" s="6">
        <f>Grandview_Inventory[[#This Row],[Plumbing Fixtures]]*Lookups!$B$18</f>
        <v>18093.976200000001</v>
      </c>
      <c r="BQ871" s="6">
        <f>Grandview_Inventory[[#This Row],[detatched_value]]*Lookups!$B$19</f>
        <v>0</v>
      </c>
      <c r="BR871" s="6">
        <f>SUM(Grandview_Inventory[[#This Row],[Intercept]:[det_value]])*Grandview_Inventory[[#This Row],[res_pct]]</f>
        <v>338681.266657</v>
      </c>
      <c r="BS871" s="6">
        <f>Grandview_Inventory[[#This Row],[land_value]]</f>
        <v>53250.00235313351</v>
      </c>
      <c r="BT871" s="4">
        <f>_xlfn.IFNA(VLOOKUP(Grandview_Inventory[[#This Row],[quality]],Lookups!$A$26:$C$33,3,FALSE),1)</f>
        <v>0.94295468617355149</v>
      </c>
      <c r="BU871" s="4">
        <f>_xlfn.IFNA(VLOOKUP(Grandview_Inventory[[#This Row],[condition]],Lookups!$A$37:$C$44,3,FALSE),1)</f>
        <v>0.94347925387812148</v>
      </c>
      <c r="BV871" s="4">
        <f>IF(Grandview_Inventory[[#This Row],[bldg_style]]="",1,_xlfn.IFNA(VLOOKUP(Grandview_Inventory[[#This Row],[decade]],Lookups!$F$29:$H$43,3,FALSE),1))</f>
        <v>0.94601966599150278</v>
      </c>
      <c r="BW871" s="4">
        <f>_xlfn.IFNA(VLOOKUP(Grandview_Inventory[[#This Row],[living_area_range]],Lookups!$F$47:$H$56,3,FALSE),1)</f>
        <v>0.96135087979789358</v>
      </c>
      <c r="BX871" s="4">
        <f>AVERAGE(Grandview_Inventory[[#This Row],[qual_adj]:[size_adj]])</f>
        <v>0.94845112146026733</v>
      </c>
      <c r="BY871" s="6">
        <f>IF(Grandview_Inventory[[#This Row],[pre_res]]&lt;0,0,Grandview_Inventory[[#This Row],[pre_res]]*Grandview_Inventory[[#This Row],[overall_adj]])</f>
        <v>321222.62717841548</v>
      </c>
      <c r="BZ871" s="6">
        <f>(Grandview_Inventory[[#This Row],[sum_land]]-IF(Grandview_Inventory[[#This Row],[no_utilities]]=1,12000,0))/IF(Grandview_Inventory[[#This Row],[unbuildable]]=1,2,1)</f>
        <v>53250.00235313351</v>
      </c>
      <c r="CA871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871">
        <f>ROUND(Grandview_Inventory[[#This Row],[det_value]]*Lookups!$M$28,-2)</f>
        <v>0</v>
      </c>
      <c r="CC871">
        <f>IF(ROUND(Grandview_Inventory[[#This Row],[adj_res]]*Lookups!$M$28,-2)&lt;Grandview_Inventory[[#This Row],[min_res]],Grandview_Inventory[[#This Row],[min_res]],ROUND(Grandview_Inventory[[#This Row],[adj_res]]*Lookups!$M$28,-2))</f>
        <v>305200</v>
      </c>
      <c r="CD871">
        <f>Grandview_Inventory[[#This Row],[final_det]]+Grandview_Inventory[[#This Row],[final_res]]</f>
        <v>305200</v>
      </c>
      <c r="CE871">
        <f>Grandview_Inventory[[#This Row],[final_land]]+Grandview_Inventory[[#This Row],[final_imp]]+Grandview_Inventory[[#This Row],[crop_value]]</f>
        <v>355800</v>
      </c>
      <c r="CG871" t="str">
        <f t="shared" si="13"/>
        <v>update valuation set market_land =50600, market_bldg=305200, market_total =355800, market_mdno =401, market_date ='9/10/2023' where link_id = (select link_id from parcel where parcel_year = '2024' and parcel_id = '23092232507');</v>
      </c>
    </row>
    <row r="872" spans="1:85" x14ac:dyDescent="0.25">
      <c r="A872">
        <v>23092233400</v>
      </c>
      <c r="B872">
        <v>7.75</v>
      </c>
      <c r="C872">
        <v>337392</v>
      </c>
      <c r="D872" t="s">
        <v>129</v>
      </c>
      <c r="E872" t="s">
        <v>53</v>
      </c>
      <c r="F872" t="s">
        <v>53</v>
      </c>
      <c r="G872">
        <v>4</v>
      </c>
      <c r="H872" t="s">
        <v>54</v>
      </c>
      <c r="I872">
        <v>212100</v>
      </c>
      <c r="J872">
        <v>56100</v>
      </c>
      <c r="K872">
        <v>7.75</v>
      </c>
      <c r="L872">
        <f>IF(Grandview_Inventory[[#This Row],[parcel_acres]]-Grandview_Inventory[[#This Row],[non_valued_acres]] =0,0,LN(Grandview_Inventory[[#This Row],[parcel_acres]]-Grandview_Inventory[[#This Row],[non_valued_acres]]))</f>
        <v>2.0476928433652555</v>
      </c>
      <c r="M872">
        <v>0</v>
      </c>
      <c r="N872">
        <v>0</v>
      </c>
      <c r="O872">
        <v>0</v>
      </c>
      <c r="P872">
        <v>13398.7528</v>
      </c>
      <c r="Q872">
        <v>63903</v>
      </c>
      <c r="R872">
        <f>(Grandview_Inventory[[#This Row],[ln_acres]]*Grandview_Inventory[[#This Row],[coeff]])+Grandview_Inventory[[#This Row],[const]]</f>
        <v>91339.530218580185</v>
      </c>
      <c r="S872" t="s">
        <v>86</v>
      </c>
      <c r="T872">
        <v>2</v>
      </c>
      <c r="U872" t="s">
        <v>70</v>
      </c>
      <c r="V872" t="s">
        <v>78</v>
      </c>
      <c r="W872">
        <v>0</v>
      </c>
      <c r="X872">
        <v>0</v>
      </c>
      <c r="Y872">
        <v>51</v>
      </c>
      <c r="Z872">
        <v>78</v>
      </c>
      <c r="AA872">
        <v>80</v>
      </c>
      <c r="AB872">
        <v>2500</v>
      </c>
      <c r="AC872">
        <v>2003</v>
      </c>
      <c r="AD872">
        <v>1157</v>
      </c>
      <c r="AE872">
        <v>846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408</v>
      </c>
      <c r="AN872">
        <v>24</v>
      </c>
      <c r="AO872">
        <v>456</v>
      </c>
      <c r="AP872">
        <v>10</v>
      </c>
      <c r="AQ872">
        <v>0</v>
      </c>
      <c r="AR872">
        <v>1</v>
      </c>
      <c r="AS872" t="s">
        <v>140</v>
      </c>
      <c r="AT872">
        <v>1</v>
      </c>
      <c r="AU872" t="s">
        <v>63</v>
      </c>
      <c r="AV872" t="s">
        <v>81</v>
      </c>
      <c r="AW872">
        <v>1</v>
      </c>
      <c r="AX872">
        <v>3</v>
      </c>
      <c r="AY872">
        <v>12600</v>
      </c>
      <c r="AZ872">
        <v>38400</v>
      </c>
      <c r="BA872">
        <v>100</v>
      </c>
      <c r="BB872">
        <v>100</v>
      </c>
      <c r="BC872">
        <v>100</v>
      </c>
      <c r="BD872">
        <v>100</v>
      </c>
      <c r="BE872">
        <v>1</v>
      </c>
      <c r="BF872">
        <v>15000</v>
      </c>
      <c r="BG872">
        <v>1000</v>
      </c>
      <c r="BH872" s="6">
        <f>Grandview_Inventory[[#This Row],[land_extract]]*Lookups!$B$3</f>
        <v>106072.34982610558</v>
      </c>
      <c r="BI872" s="6">
        <f>IF(Grandview_Inventory[[#This Row],[bldg_style]]="",0,Lookups!$B$2)</f>
        <v>155833.95000000001</v>
      </c>
      <c r="BJ872" s="6">
        <f>_xlfn.IFNA(VLOOKUP(Grandview_Inventory[[#This Row],[quality]],Lookups!$H$2:$J$14,3,FALSE),0)</f>
        <v>10733</v>
      </c>
      <c r="BK872" s="6">
        <f>_xlfn.IFNA(VLOOKUP(Grandview_Inventory[[#This Row],[condition]],Lookups!$H$17:$J$24,3,FALSE),0)</f>
        <v>-45357</v>
      </c>
      <c r="BL872" s="6">
        <f>Grandview_Inventory[[#This Row],[Eff_Age]]*Lookups!$B$14</f>
        <v>-12197.496599999999</v>
      </c>
      <c r="BM872" s="6">
        <f>Grandview_Inventory[[#This Row],[living_area]]*Lookups!$B$15</f>
        <v>124948.84855900001</v>
      </c>
      <c r="BN872" s="6">
        <f>Grandview_Inventory[[#This Row],[Fin BSMT]]*Lookups!$B$16</f>
        <v>0</v>
      </c>
      <c r="BO872" s="6">
        <f>(Grandview_Inventory[[#This Row],[att_gar]]+Grandview_Inventory[[#This Row],[bltin_gar]])*Lookups!$B$17</f>
        <v>0</v>
      </c>
      <c r="BP872" s="6">
        <f>Grandview_Inventory[[#This Row],[Plumbing Fixtures]]*Lookups!$B$18</f>
        <v>20104.418000000001</v>
      </c>
      <c r="BQ872" s="6">
        <f>Grandview_Inventory[[#This Row],[detatched_value]]*Lookups!$B$19</f>
        <v>32517.315839999999</v>
      </c>
      <c r="BR872" s="6">
        <f>SUM(Grandview_Inventory[[#This Row],[Intercept]:[det_value]])*Grandview_Inventory[[#This Row],[res_pct]]</f>
        <v>286583.035799</v>
      </c>
      <c r="BS872" s="6">
        <f>Grandview_Inventory[[#This Row],[land_value]]</f>
        <v>106072.34982610558</v>
      </c>
      <c r="BT872" s="4">
        <f>_xlfn.IFNA(VLOOKUP(Grandview_Inventory[[#This Row],[quality]],Lookups!$A$26:$C$33,3,FALSE),1)</f>
        <v>0.98079741117310582</v>
      </c>
      <c r="BU872" s="4">
        <f>_xlfn.IFNA(VLOOKUP(Grandview_Inventory[[#This Row],[condition]],Lookups!$A$37:$C$44,3,FALSE),1)</f>
        <v>0.97161819570155394</v>
      </c>
      <c r="BV872" s="4">
        <f>IF(Grandview_Inventory[[#This Row],[bldg_style]]="",1,_xlfn.IFNA(VLOOKUP(Grandview_Inventory[[#This Row],[decade]],Lookups!$F$29:$H$43,3,FALSE),1))</f>
        <v>0.98763256963907298</v>
      </c>
      <c r="BW872" s="4">
        <f>_xlfn.IFNA(VLOOKUP(Grandview_Inventory[[#This Row],[living_area_range]],Lookups!$F$47:$H$56,3,FALSE),1)</f>
        <v>0.95799442568048754</v>
      </c>
      <c r="BX872" s="4">
        <f>AVERAGE(Grandview_Inventory[[#This Row],[qual_adj]:[size_adj]])</f>
        <v>0.97451065054855501</v>
      </c>
      <c r="BY872" s="6">
        <f>IF(Grandview_Inventory[[#This Row],[pre_res]]&lt;0,0,Grandview_Inventory[[#This Row],[pre_res]]*Grandview_Inventory[[#This Row],[overall_adj]])</f>
        <v>279278.22065266332</v>
      </c>
      <c r="BZ872" s="6">
        <f>(Grandview_Inventory[[#This Row],[sum_land]]-IF(Grandview_Inventory[[#This Row],[no_utilities]]=1,12000,0))/IF(Grandview_Inventory[[#This Row],[unbuildable]]=1,2,1)</f>
        <v>106072.34982610558</v>
      </c>
      <c r="CA872">
        <f>IF(ROUND(Grandview_Inventory[[#This Row],[adj_land]]*Lookups!$M$28,-2)&lt;Grandview_Inventory[[#This Row],[min_land]],Grandview_Inventory[[#This Row],[min_land]],ROUND(Grandview_Inventory[[#This Row],[adj_land]]*Lookups!$M$28,-2))</f>
        <v>100800</v>
      </c>
      <c r="CB872">
        <f>ROUND(Grandview_Inventory[[#This Row],[det_value]]*Lookups!$M$28,-2)</f>
        <v>30900</v>
      </c>
      <c r="CC872">
        <f>IF(ROUND(Grandview_Inventory[[#This Row],[adj_res]]*Lookups!$M$28,-2)&lt;Grandview_Inventory[[#This Row],[min_res]],Grandview_Inventory[[#This Row],[min_res]],ROUND(Grandview_Inventory[[#This Row],[adj_res]]*Lookups!$M$28,-2))</f>
        <v>265300</v>
      </c>
      <c r="CD872">
        <f>Grandview_Inventory[[#This Row],[final_det]]+Grandview_Inventory[[#This Row],[final_res]]</f>
        <v>296200</v>
      </c>
      <c r="CE872">
        <f>Grandview_Inventory[[#This Row],[final_land]]+Grandview_Inventory[[#This Row],[final_imp]]+Grandview_Inventory[[#This Row],[crop_value]]</f>
        <v>409600</v>
      </c>
      <c r="CG872" t="str">
        <f t="shared" si="13"/>
        <v>update valuation set market_land =100800, market_bldg=296200, market_total =409600, market_mdno =401, market_date ='9/10/2023' where link_id = (select link_id from parcel where parcel_year = '2024' and parcel_id = '23092233400');</v>
      </c>
    </row>
    <row r="873" spans="1:85" x14ac:dyDescent="0.25">
      <c r="A873">
        <v>23092233402</v>
      </c>
      <c r="B873">
        <v>12.12</v>
      </c>
      <c r="C873" t="s">
        <v>129</v>
      </c>
      <c r="D873" t="s">
        <v>129</v>
      </c>
      <c r="E873" t="s">
        <v>53</v>
      </c>
      <c r="F873" t="s">
        <v>53</v>
      </c>
      <c r="G873">
        <v>4</v>
      </c>
      <c r="H873" t="s">
        <v>54</v>
      </c>
      <c r="I873">
        <v>263800</v>
      </c>
      <c r="J873">
        <v>86800</v>
      </c>
      <c r="K873">
        <v>12.12</v>
      </c>
      <c r="L873">
        <f>IF(Grandview_Inventory[[#This Row],[parcel_acres]]-Grandview_Inventory[[#This Row],[non_valued_acres]] =0,0,LN(Grandview_Inventory[[#This Row],[parcel_acres]]-Grandview_Inventory[[#This Row],[non_valued_acres]]))</f>
        <v>2.4948569806411682</v>
      </c>
      <c r="M873">
        <v>0</v>
      </c>
      <c r="N873">
        <v>0</v>
      </c>
      <c r="O873">
        <v>0</v>
      </c>
      <c r="P873">
        <v>13398.7528</v>
      </c>
      <c r="Q873">
        <v>63903</v>
      </c>
      <c r="R873">
        <f>(Grandview_Inventory[[#This Row],[ln_acres]]*Grandview_Inventory[[#This Row],[coeff]])+Grandview_Inventory[[#This Row],[const]]</f>
        <v>97330.971954965396</v>
      </c>
      <c r="S873" t="s">
        <v>61</v>
      </c>
      <c r="T873">
        <v>1</v>
      </c>
      <c r="U873" t="s">
        <v>70</v>
      </c>
      <c r="V873" t="s">
        <v>69</v>
      </c>
      <c r="W873">
        <v>0</v>
      </c>
      <c r="X873">
        <v>0</v>
      </c>
      <c r="Y873">
        <v>49</v>
      </c>
      <c r="Z873">
        <v>65</v>
      </c>
      <c r="AA873">
        <v>70</v>
      </c>
      <c r="AB873">
        <v>1500</v>
      </c>
      <c r="AC873">
        <v>1152</v>
      </c>
      <c r="AD873">
        <v>1152</v>
      </c>
      <c r="AE873">
        <v>0</v>
      </c>
      <c r="AF873">
        <v>0</v>
      </c>
      <c r="AG873">
        <v>0</v>
      </c>
      <c r="AH873">
        <v>60</v>
      </c>
      <c r="AI873">
        <v>0</v>
      </c>
      <c r="AJ873">
        <v>0</v>
      </c>
      <c r="AK873">
        <v>486</v>
      </c>
      <c r="AL873">
        <v>0</v>
      </c>
      <c r="AM873">
        <v>336</v>
      </c>
      <c r="AN873">
        <v>0</v>
      </c>
      <c r="AO873">
        <v>336</v>
      </c>
      <c r="AP873">
        <v>5</v>
      </c>
      <c r="AQ873">
        <v>0</v>
      </c>
      <c r="AR873">
        <v>1</v>
      </c>
      <c r="AS873" t="s">
        <v>76</v>
      </c>
      <c r="AT873">
        <v>1</v>
      </c>
      <c r="AU873" t="s">
        <v>59</v>
      </c>
      <c r="AV873" t="s">
        <v>60</v>
      </c>
      <c r="AW873">
        <v>1</v>
      </c>
      <c r="AX873">
        <v>3</v>
      </c>
      <c r="AY873">
        <v>0</v>
      </c>
      <c r="AZ873">
        <v>25800</v>
      </c>
      <c r="BA873">
        <v>100</v>
      </c>
      <c r="BB873">
        <v>100</v>
      </c>
      <c r="BC873">
        <v>100</v>
      </c>
      <c r="BD873">
        <v>100</v>
      </c>
      <c r="BE873">
        <v>1</v>
      </c>
      <c r="BF873">
        <v>15000</v>
      </c>
      <c r="BG873">
        <v>1000</v>
      </c>
      <c r="BH873" s="6">
        <f>Grandview_Inventory[[#This Row],[land_extract]]*Lookups!$B$3</f>
        <v>113030.19493767704</v>
      </c>
      <c r="BI873" s="6">
        <f>IF(Grandview_Inventory[[#This Row],[bldg_style]]="",0,Lookups!$B$2)</f>
        <v>155833.95000000001</v>
      </c>
      <c r="BJ873" s="6">
        <f>_xlfn.IFNA(VLOOKUP(Grandview_Inventory[[#This Row],[quality]],Lookups!$H$2:$J$14,3,FALSE),0)</f>
        <v>10733</v>
      </c>
      <c r="BK873" s="6">
        <f>_xlfn.IFNA(VLOOKUP(Grandview_Inventory[[#This Row],[condition]],Lookups!$H$17:$J$24,3,FALSE),0)</f>
        <v>-4503</v>
      </c>
      <c r="BL873" s="6">
        <f>Grandview_Inventory[[#This Row],[Eff_Age]]*Lookups!$B$14</f>
        <v>-11719.163399999999</v>
      </c>
      <c r="BM873" s="6">
        <f>Grandview_Inventory[[#This Row],[living_area]]*Lookups!$B$15</f>
        <v>71862.742656000002</v>
      </c>
      <c r="BN873" s="6">
        <f>Grandview_Inventory[[#This Row],[Fin BSMT]]*Lookups!$B$16</f>
        <v>0</v>
      </c>
      <c r="BO873" s="6">
        <f>(Grandview_Inventory[[#This Row],[att_gar]]+Grandview_Inventory[[#This Row],[bltin_gar]])*Lookups!$B$17</f>
        <v>0</v>
      </c>
      <c r="BP873" s="6">
        <f>Grandview_Inventory[[#This Row],[Plumbing Fixtures]]*Lookups!$B$18</f>
        <v>10052.209000000001</v>
      </c>
      <c r="BQ873" s="6">
        <f>Grandview_Inventory[[#This Row],[detatched_value]]*Lookups!$B$19</f>
        <v>21847.57158</v>
      </c>
      <c r="BR873" s="6">
        <f>SUM(Grandview_Inventory[[#This Row],[Intercept]:[det_value]])*Grandview_Inventory[[#This Row],[res_pct]]</f>
        <v>254107.309836</v>
      </c>
      <c r="BS873" s="6">
        <f>Grandview_Inventory[[#This Row],[land_value]]</f>
        <v>113030.19493767704</v>
      </c>
      <c r="BT873" s="4">
        <f>_xlfn.IFNA(VLOOKUP(Grandview_Inventory[[#This Row],[quality]],Lookups!$A$26:$C$33,3,FALSE),1)</f>
        <v>0.98079741117310582</v>
      </c>
      <c r="BU873" s="4">
        <f>_xlfn.IFNA(VLOOKUP(Grandview_Inventory[[#This Row],[condition]],Lookups!$A$37:$C$44,3,FALSE),1)</f>
        <v>0.96469275950863709</v>
      </c>
      <c r="BV873" s="4">
        <f>IF(Grandview_Inventory[[#This Row],[bldg_style]]="",1,_xlfn.IFNA(VLOOKUP(Grandview_Inventory[[#This Row],[decade]],Lookups!$F$29:$H$43,3,FALSE),1))</f>
        <v>0.99472141305414818</v>
      </c>
      <c r="BW873" s="4">
        <f>_xlfn.IFNA(VLOOKUP(Grandview_Inventory[[#This Row],[living_area_range]],Lookups!$F$47:$H$56,3,FALSE),1)</f>
        <v>0.96135087979789358</v>
      </c>
      <c r="BX873" s="4">
        <f>AVERAGE(Grandview_Inventory[[#This Row],[qual_adj]:[size_adj]])</f>
        <v>0.97539061588344622</v>
      </c>
      <c r="BY873" s="6">
        <f>IF(Grandview_Inventory[[#This Row],[pre_res]]&lt;0,0,Grandview_Inventory[[#This Row],[pre_res]]*Grandview_Inventory[[#This Row],[overall_adj]])</f>
        <v>247853.88544142173</v>
      </c>
      <c r="BZ873" s="6">
        <f>(Grandview_Inventory[[#This Row],[sum_land]]-IF(Grandview_Inventory[[#This Row],[no_utilities]]=1,12000,0))/IF(Grandview_Inventory[[#This Row],[unbuildable]]=1,2,1)</f>
        <v>113030.19493767704</v>
      </c>
      <c r="CA873">
        <f>IF(ROUND(Grandview_Inventory[[#This Row],[adj_land]]*Lookups!$M$28,-2)&lt;Grandview_Inventory[[#This Row],[min_land]],Grandview_Inventory[[#This Row],[min_land]],ROUND(Grandview_Inventory[[#This Row],[adj_land]]*Lookups!$M$28,-2))</f>
        <v>107400</v>
      </c>
      <c r="CB873">
        <f>ROUND(Grandview_Inventory[[#This Row],[det_value]]*Lookups!$M$28,-2)</f>
        <v>20800</v>
      </c>
      <c r="CC873">
        <f>IF(ROUND(Grandview_Inventory[[#This Row],[adj_res]]*Lookups!$M$28,-2)&lt;Grandview_Inventory[[#This Row],[min_res]],Grandview_Inventory[[#This Row],[min_res]],ROUND(Grandview_Inventory[[#This Row],[adj_res]]*Lookups!$M$28,-2))</f>
        <v>235500</v>
      </c>
      <c r="CD873">
        <f>Grandview_Inventory[[#This Row],[final_det]]+Grandview_Inventory[[#This Row],[final_res]]</f>
        <v>256300</v>
      </c>
      <c r="CE873">
        <f>Grandview_Inventory[[#This Row],[final_land]]+Grandview_Inventory[[#This Row],[final_imp]]+Grandview_Inventory[[#This Row],[crop_value]]</f>
        <v>363700</v>
      </c>
      <c r="CG873" t="str">
        <f t="shared" si="13"/>
        <v>update valuation set market_land =107400, market_bldg=256300, market_total =363700, market_mdno =401, market_date ='9/10/2023' where link_id = (select link_id from parcel where parcel_year = '2024' and parcel_id = '23092233402');</v>
      </c>
    </row>
    <row r="874" spans="1:85" x14ac:dyDescent="0.25">
      <c r="A874">
        <v>23092233403</v>
      </c>
      <c r="B874">
        <v>0.42</v>
      </c>
      <c r="C874">
        <v>18323</v>
      </c>
      <c r="D874" t="s">
        <v>129</v>
      </c>
      <c r="E874" t="s">
        <v>53</v>
      </c>
      <c r="F874" t="s">
        <v>53</v>
      </c>
      <c r="G874">
        <v>4</v>
      </c>
      <c r="H874" t="s">
        <v>54</v>
      </c>
      <c r="I874">
        <v>206100</v>
      </c>
      <c r="J874">
        <v>45800</v>
      </c>
      <c r="K874">
        <v>0.42</v>
      </c>
      <c r="L874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874">
        <v>0</v>
      </c>
      <c r="N874">
        <v>0</v>
      </c>
      <c r="O874">
        <v>0</v>
      </c>
      <c r="P874">
        <v>13398.7528</v>
      </c>
      <c r="Q874">
        <v>63903</v>
      </c>
      <c r="R874">
        <f>(Grandview_Inventory[[#This Row],[ln_acres]]*Grandview_Inventory[[#This Row],[coeff]])+Grandview_Inventory[[#This Row],[const]]</f>
        <v>52279.574339464751</v>
      </c>
      <c r="S874" t="s">
        <v>55</v>
      </c>
      <c r="T874">
        <v>1</v>
      </c>
      <c r="U874" t="s">
        <v>70</v>
      </c>
      <c r="V874" t="s">
        <v>69</v>
      </c>
      <c r="W874">
        <v>0</v>
      </c>
      <c r="X874">
        <v>0</v>
      </c>
      <c r="Y874">
        <v>43</v>
      </c>
      <c r="Z874">
        <v>44</v>
      </c>
      <c r="AA874">
        <v>50</v>
      </c>
      <c r="AB874">
        <v>2500</v>
      </c>
      <c r="AC874">
        <v>2240</v>
      </c>
      <c r="AD874">
        <v>1120</v>
      </c>
      <c r="AE874">
        <v>0</v>
      </c>
      <c r="AF874">
        <v>0</v>
      </c>
      <c r="AG874">
        <v>1120</v>
      </c>
      <c r="AH874">
        <v>0</v>
      </c>
      <c r="AI874">
        <v>0</v>
      </c>
      <c r="AJ874">
        <v>0</v>
      </c>
      <c r="AK874">
        <v>0</v>
      </c>
      <c r="AL874">
        <v>192</v>
      </c>
      <c r="AM874">
        <v>77</v>
      </c>
      <c r="AN874">
        <v>0</v>
      </c>
      <c r="AO874">
        <v>77</v>
      </c>
      <c r="AP874">
        <v>9</v>
      </c>
      <c r="AQ874">
        <v>0</v>
      </c>
      <c r="AR874">
        <v>0</v>
      </c>
      <c r="AS874" t="s">
        <v>58</v>
      </c>
      <c r="AT874">
        <v>1</v>
      </c>
      <c r="AU874" t="s">
        <v>63</v>
      </c>
      <c r="AV874" t="s">
        <v>64</v>
      </c>
      <c r="AW874">
        <v>1</v>
      </c>
      <c r="AX874">
        <v>4</v>
      </c>
      <c r="AY874">
        <v>0</v>
      </c>
      <c r="AZ874">
        <v>16300</v>
      </c>
      <c r="BA874">
        <v>100</v>
      </c>
      <c r="BB874">
        <v>100</v>
      </c>
      <c r="BC874">
        <v>100</v>
      </c>
      <c r="BD874">
        <v>100</v>
      </c>
      <c r="BE874">
        <v>1</v>
      </c>
      <c r="BF874">
        <v>15000</v>
      </c>
      <c r="BG874">
        <v>1000</v>
      </c>
      <c r="BH874" s="6">
        <f>Grandview_Inventory[[#This Row],[land_extract]]*Lookups!$B$3</f>
        <v>60712.1285255697</v>
      </c>
      <c r="BI874" s="6">
        <f>IF(Grandview_Inventory[[#This Row],[bldg_style]]="",0,Lookups!$B$2)</f>
        <v>155833.95000000001</v>
      </c>
      <c r="BJ874" s="6">
        <f>_xlfn.IFNA(VLOOKUP(Grandview_Inventory[[#This Row],[quality]],Lookups!$H$2:$J$14,3,FALSE),0)</f>
        <v>10733</v>
      </c>
      <c r="BK874" s="6">
        <f>_xlfn.IFNA(VLOOKUP(Grandview_Inventory[[#This Row],[condition]],Lookups!$H$17:$J$24,3,FALSE),0)</f>
        <v>-4503</v>
      </c>
      <c r="BL874" s="6">
        <f>Grandview_Inventory[[#This Row],[Eff_Age]]*Lookups!$B$14</f>
        <v>-10284.1638</v>
      </c>
      <c r="BM874" s="6">
        <f>Grandview_Inventory[[#This Row],[living_area]]*Lookups!$B$15</f>
        <v>139733.11072</v>
      </c>
      <c r="BN874" s="6">
        <f>Grandview_Inventory[[#This Row],[Fin BSMT]]*Lookups!$B$16</f>
        <v>-30351.148800000003</v>
      </c>
      <c r="BO874" s="6">
        <f>(Grandview_Inventory[[#This Row],[att_gar]]+Grandview_Inventory[[#This Row],[bltin_gar]])*Lookups!$B$17</f>
        <v>0</v>
      </c>
      <c r="BP874" s="6">
        <f>Grandview_Inventory[[#This Row],[Plumbing Fixtures]]*Lookups!$B$18</f>
        <v>18093.976200000001</v>
      </c>
      <c r="BQ874" s="6">
        <f>Grandview_Inventory[[#This Row],[detatched_value]]*Lookups!$B$19</f>
        <v>13802.923129999999</v>
      </c>
      <c r="BR874" s="6">
        <f>SUM(Grandview_Inventory[[#This Row],[Intercept]:[det_value]])*Grandview_Inventory[[#This Row],[res_pct]]</f>
        <v>293058.64744999999</v>
      </c>
      <c r="BS874" s="6">
        <f>Grandview_Inventory[[#This Row],[land_value]]</f>
        <v>60712.1285255697</v>
      </c>
      <c r="BT874" s="4">
        <f>_xlfn.IFNA(VLOOKUP(Grandview_Inventory[[#This Row],[quality]],Lookups!$A$26:$C$33,3,FALSE),1)</f>
        <v>0.98079741117310582</v>
      </c>
      <c r="BU874" s="4">
        <f>_xlfn.IFNA(VLOOKUP(Grandview_Inventory[[#This Row],[condition]],Lookups!$A$37:$C$44,3,FALSE),1)</f>
        <v>0.96469275950863709</v>
      </c>
      <c r="BV874" s="4">
        <f>IF(Grandview_Inventory[[#This Row],[bldg_style]]="",1,_xlfn.IFNA(VLOOKUP(Grandview_Inventory[[#This Row],[decade]],Lookups!$F$29:$H$43,3,FALSE),1))</f>
        <v>0.9871940091910919</v>
      </c>
      <c r="BW874" s="4">
        <f>_xlfn.IFNA(VLOOKUP(Grandview_Inventory[[#This Row],[living_area_range]],Lookups!$F$47:$H$56,3,FALSE),1)</f>
        <v>0.95799442568048754</v>
      </c>
      <c r="BX874" s="4">
        <f>AVERAGE(Grandview_Inventory[[#This Row],[qual_adj]:[size_adj]])</f>
        <v>0.97266965138833061</v>
      </c>
      <c r="BY874" s="6">
        <f>IF(Grandview_Inventory[[#This Row],[pre_res]]&lt;0,0,Grandview_Inventory[[#This Row],[pre_res]]*Grandview_Inventory[[#This Row],[overall_adj]])</f>
        <v>285049.25245152717</v>
      </c>
      <c r="BZ874" s="6">
        <f>(Grandview_Inventory[[#This Row],[sum_land]]-IF(Grandview_Inventory[[#This Row],[no_utilities]]=1,12000,0))/IF(Grandview_Inventory[[#This Row],[unbuildable]]=1,2,1)</f>
        <v>60712.1285255697</v>
      </c>
      <c r="CA874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874">
        <f>ROUND(Grandview_Inventory[[#This Row],[det_value]]*Lookups!$M$28,-2)</f>
        <v>13100</v>
      </c>
      <c r="CC874">
        <f>IF(ROUND(Grandview_Inventory[[#This Row],[adj_res]]*Lookups!$M$28,-2)&lt;Grandview_Inventory[[#This Row],[min_res]],Grandview_Inventory[[#This Row],[min_res]],ROUND(Grandview_Inventory[[#This Row],[adj_res]]*Lookups!$M$28,-2))</f>
        <v>270800</v>
      </c>
      <c r="CD874">
        <f>Grandview_Inventory[[#This Row],[final_det]]+Grandview_Inventory[[#This Row],[final_res]]</f>
        <v>283900</v>
      </c>
      <c r="CE874">
        <f>Grandview_Inventory[[#This Row],[final_land]]+Grandview_Inventory[[#This Row],[final_imp]]+Grandview_Inventory[[#This Row],[crop_value]]</f>
        <v>341600</v>
      </c>
      <c r="CG874" t="str">
        <f t="shared" si="13"/>
        <v>update valuation set market_land =57700, market_bldg=283900, market_total =341600, market_mdno =401, market_date ='9/10/2023' where link_id = (select link_id from parcel where parcel_year = '2024' and parcel_id = '23092233403');</v>
      </c>
    </row>
    <row r="875" spans="1:85" x14ac:dyDescent="0.25">
      <c r="A875">
        <v>23092233404</v>
      </c>
      <c r="B875">
        <v>0.3</v>
      </c>
      <c r="C875">
        <v>13160</v>
      </c>
      <c r="D875" t="s">
        <v>129</v>
      </c>
      <c r="E875" t="s">
        <v>53</v>
      </c>
      <c r="F875" t="s">
        <v>53</v>
      </c>
      <c r="G875">
        <v>4</v>
      </c>
      <c r="H875" t="s">
        <v>54</v>
      </c>
      <c r="I875">
        <v>202000</v>
      </c>
      <c r="J875">
        <v>45400</v>
      </c>
      <c r="K875">
        <v>0.3</v>
      </c>
      <c r="L875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875">
        <v>0</v>
      </c>
      <c r="N875">
        <v>0</v>
      </c>
      <c r="O875">
        <v>0</v>
      </c>
      <c r="P875">
        <v>13398.7528</v>
      </c>
      <c r="Q875">
        <v>63903</v>
      </c>
      <c r="R875">
        <f>(Grandview_Inventory[[#This Row],[ln_acres]]*Grandview_Inventory[[#This Row],[coeff]])+Grandview_Inventory[[#This Row],[const]]</f>
        <v>47771.266016914014</v>
      </c>
      <c r="S875" t="s">
        <v>61</v>
      </c>
      <c r="T875">
        <v>1</v>
      </c>
      <c r="U875" t="s">
        <v>65</v>
      </c>
      <c r="V875" t="s">
        <v>69</v>
      </c>
      <c r="W875">
        <v>0</v>
      </c>
      <c r="X875">
        <v>0</v>
      </c>
      <c r="Y875">
        <v>45</v>
      </c>
      <c r="Z875">
        <v>51</v>
      </c>
      <c r="AA875">
        <v>60</v>
      </c>
      <c r="AB875">
        <v>2500</v>
      </c>
      <c r="AC875">
        <v>2184</v>
      </c>
      <c r="AD875">
        <v>1248</v>
      </c>
      <c r="AE875">
        <v>0</v>
      </c>
      <c r="AF875">
        <v>0</v>
      </c>
      <c r="AG875">
        <v>936</v>
      </c>
      <c r="AH875">
        <v>312</v>
      </c>
      <c r="AI875">
        <v>468</v>
      </c>
      <c r="AJ875">
        <v>0</v>
      </c>
      <c r="AK875">
        <v>0</v>
      </c>
      <c r="AL875">
        <v>0</v>
      </c>
      <c r="AM875">
        <v>648</v>
      </c>
      <c r="AN875">
        <v>0</v>
      </c>
      <c r="AO875">
        <v>0</v>
      </c>
      <c r="AP875">
        <v>7</v>
      </c>
      <c r="AQ875">
        <v>0</v>
      </c>
      <c r="AR875">
        <v>0</v>
      </c>
      <c r="AS875" t="s">
        <v>58</v>
      </c>
      <c r="AT875">
        <v>1</v>
      </c>
      <c r="AU875" t="s">
        <v>63</v>
      </c>
      <c r="AV875" t="s">
        <v>60</v>
      </c>
      <c r="AW875">
        <v>1</v>
      </c>
      <c r="AX875">
        <v>4</v>
      </c>
      <c r="AY875">
        <v>0</v>
      </c>
      <c r="AZ875">
        <v>0</v>
      </c>
      <c r="BA875">
        <v>100</v>
      </c>
      <c r="BB875">
        <v>100</v>
      </c>
      <c r="BC875">
        <v>100</v>
      </c>
      <c r="BD875">
        <v>100</v>
      </c>
      <c r="BE875">
        <v>1</v>
      </c>
      <c r="BF875">
        <v>15000</v>
      </c>
      <c r="BG875">
        <v>1000</v>
      </c>
      <c r="BH875" s="6">
        <f>Grandview_Inventory[[#This Row],[land_extract]]*Lookups!$B$3</f>
        <v>55476.642243023998</v>
      </c>
      <c r="BI875" s="6">
        <f>IF(Grandview_Inventory[[#This Row],[bldg_style]]="",0,Lookups!$B$2)</f>
        <v>155833.95000000001</v>
      </c>
      <c r="BJ875" s="6">
        <f>_xlfn.IFNA(VLOOKUP(Grandview_Inventory[[#This Row],[quality]],Lookups!$H$2:$J$14,3,FALSE),0)</f>
        <v>2251</v>
      </c>
      <c r="BK875" s="6">
        <f>_xlfn.IFNA(VLOOKUP(Grandview_Inventory[[#This Row],[condition]],Lookups!$H$17:$J$24,3,FALSE),0)</f>
        <v>-4503</v>
      </c>
      <c r="BL875" s="6">
        <f>Grandview_Inventory[[#This Row],[Eff_Age]]*Lookups!$B$14</f>
        <v>-10762.496999999999</v>
      </c>
      <c r="BM875" s="6">
        <f>Grandview_Inventory[[#This Row],[living_area]]*Lookups!$B$15</f>
        <v>136239.78295200001</v>
      </c>
      <c r="BN875" s="6">
        <f>Grandview_Inventory[[#This Row],[Fin BSMT]]*Lookups!$B$16</f>
        <v>-25364.888640000001</v>
      </c>
      <c r="BO875" s="6">
        <f>(Grandview_Inventory[[#This Row],[att_gar]]+Grandview_Inventory[[#This Row],[bltin_gar]])*Lookups!$B$17</f>
        <v>40959.564515999999</v>
      </c>
      <c r="BP875" s="6">
        <f>Grandview_Inventory[[#This Row],[Plumbing Fixtures]]*Lookups!$B$18</f>
        <v>14073.0926</v>
      </c>
      <c r="BQ875" s="6">
        <f>Grandview_Inventory[[#This Row],[detatched_value]]*Lookups!$B$19</f>
        <v>0</v>
      </c>
      <c r="BR875" s="6">
        <f>SUM(Grandview_Inventory[[#This Row],[Intercept]:[det_value]])*Grandview_Inventory[[#This Row],[res_pct]]</f>
        <v>308727.00442800001</v>
      </c>
      <c r="BS875" s="6">
        <f>Grandview_Inventory[[#This Row],[land_value]]</f>
        <v>55476.642243023998</v>
      </c>
      <c r="BT875" s="4">
        <f>_xlfn.IFNA(VLOOKUP(Grandview_Inventory[[#This Row],[quality]],Lookups!$A$26:$C$33,3,FALSE),1)</f>
        <v>0.98763855981004833</v>
      </c>
      <c r="BU875" s="4">
        <f>_xlfn.IFNA(VLOOKUP(Grandview_Inventory[[#This Row],[condition]],Lookups!$A$37:$C$44,3,FALSE),1)</f>
        <v>0.96469275950863709</v>
      </c>
      <c r="BV875" s="4">
        <f>IF(Grandview_Inventory[[#This Row],[bldg_style]]="",1,_xlfn.IFNA(VLOOKUP(Grandview_Inventory[[#This Row],[decade]],Lookups!$F$29:$H$43,3,FALSE),1))</f>
        <v>0.95268620544463312</v>
      </c>
      <c r="BW875" s="4">
        <f>_xlfn.IFNA(VLOOKUP(Grandview_Inventory[[#This Row],[living_area_range]],Lookups!$F$47:$H$56,3,FALSE),1)</f>
        <v>0.95799442568048754</v>
      </c>
      <c r="BX875" s="4">
        <f>AVERAGE(Grandview_Inventory[[#This Row],[qual_adj]:[size_adj]])</f>
        <v>0.96575298761095152</v>
      </c>
      <c r="BY875" s="6">
        <f>IF(Grandview_Inventory[[#This Row],[pre_res]]&lt;0,0,Grandview_Inventory[[#This Row],[pre_res]]*Grandview_Inventory[[#This Row],[overall_adj]])</f>
        <v>298154.02688252047</v>
      </c>
      <c r="BZ875" s="6">
        <f>(Grandview_Inventory[[#This Row],[sum_land]]-IF(Grandview_Inventory[[#This Row],[no_utilities]]=1,12000,0))/IF(Grandview_Inventory[[#This Row],[unbuildable]]=1,2,1)</f>
        <v>55476.642243023998</v>
      </c>
      <c r="CA875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875">
        <f>ROUND(Grandview_Inventory[[#This Row],[det_value]]*Lookups!$M$28,-2)</f>
        <v>0</v>
      </c>
      <c r="CC875">
        <f>IF(ROUND(Grandview_Inventory[[#This Row],[adj_res]]*Lookups!$M$28,-2)&lt;Grandview_Inventory[[#This Row],[min_res]],Grandview_Inventory[[#This Row],[min_res]],ROUND(Grandview_Inventory[[#This Row],[adj_res]]*Lookups!$M$28,-2))</f>
        <v>283200</v>
      </c>
      <c r="CD875">
        <f>Grandview_Inventory[[#This Row],[final_det]]+Grandview_Inventory[[#This Row],[final_res]]</f>
        <v>283200</v>
      </c>
      <c r="CE875">
        <f>Grandview_Inventory[[#This Row],[final_land]]+Grandview_Inventory[[#This Row],[final_imp]]+Grandview_Inventory[[#This Row],[crop_value]]</f>
        <v>335900</v>
      </c>
      <c r="CG875" t="str">
        <f t="shared" si="13"/>
        <v>update valuation set market_land =52700, market_bldg=283200, market_total =335900, market_mdno =401, market_date ='9/10/2023' where link_id = (select link_id from parcel where parcel_year = '2024' and parcel_id = '23092233404');</v>
      </c>
    </row>
    <row r="876" spans="1:85" x14ac:dyDescent="0.25">
      <c r="A876">
        <v>23092233405</v>
      </c>
      <c r="B876">
        <v>0.37</v>
      </c>
      <c r="C876">
        <v>15910</v>
      </c>
      <c r="D876" t="s">
        <v>129</v>
      </c>
      <c r="E876" t="s">
        <v>53</v>
      </c>
      <c r="F876" t="s">
        <v>53</v>
      </c>
      <c r="G876">
        <v>4</v>
      </c>
      <c r="H876" t="s">
        <v>54</v>
      </c>
      <c r="I876">
        <v>378500</v>
      </c>
      <c r="J876">
        <v>45400</v>
      </c>
      <c r="K876">
        <v>0.37</v>
      </c>
      <c r="L876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876">
        <v>0</v>
      </c>
      <c r="N876">
        <v>0</v>
      </c>
      <c r="O876">
        <v>0</v>
      </c>
      <c r="P876">
        <v>13398.7528</v>
      </c>
      <c r="Q876">
        <v>63903</v>
      </c>
      <c r="R876">
        <f>(Grandview_Inventory[[#This Row],[ln_acres]]*Grandview_Inventory[[#This Row],[coeff]])+Grandview_Inventory[[#This Row],[const]]</f>
        <v>50581.259568627502</v>
      </c>
      <c r="S876" t="s">
        <v>58</v>
      </c>
      <c r="T876">
        <v>2</v>
      </c>
      <c r="U876" t="s">
        <v>64</v>
      </c>
      <c r="V876" t="s">
        <v>67</v>
      </c>
      <c r="W876">
        <v>0</v>
      </c>
      <c r="X876">
        <v>0</v>
      </c>
      <c r="Y876">
        <v>43</v>
      </c>
      <c r="Z876">
        <v>44</v>
      </c>
      <c r="AA876">
        <v>50</v>
      </c>
      <c r="AB876">
        <v>3000</v>
      </c>
      <c r="AC876">
        <v>2928</v>
      </c>
      <c r="AD876">
        <v>1907</v>
      </c>
      <c r="AE876">
        <v>1021</v>
      </c>
      <c r="AF876">
        <v>0</v>
      </c>
      <c r="AG876">
        <v>0</v>
      </c>
      <c r="AH876">
        <v>0</v>
      </c>
      <c r="AI876">
        <v>552</v>
      </c>
      <c r="AJ876">
        <v>0</v>
      </c>
      <c r="AK876">
        <v>0</v>
      </c>
      <c r="AL876">
        <v>0</v>
      </c>
      <c r="AM876">
        <v>0</v>
      </c>
      <c r="AN876">
        <v>120</v>
      </c>
      <c r="AO876">
        <v>0</v>
      </c>
      <c r="AP876">
        <v>8</v>
      </c>
      <c r="AQ876">
        <v>0</v>
      </c>
      <c r="AR876">
        <v>0</v>
      </c>
      <c r="AS876" t="s">
        <v>76</v>
      </c>
      <c r="AT876">
        <v>1</v>
      </c>
      <c r="AU876" t="s">
        <v>63</v>
      </c>
      <c r="AV876" t="s">
        <v>60</v>
      </c>
      <c r="AW876">
        <v>1</v>
      </c>
      <c r="AX876">
        <v>3</v>
      </c>
      <c r="AY876">
        <v>0</v>
      </c>
      <c r="AZ876">
        <v>31800</v>
      </c>
      <c r="BA876">
        <v>100</v>
      </c>
      <c r="BB876">
        <v>100</v>
      </c>
      <c r="BC876">
        <v>100</v>
      </c>
      <c r="BD876">
        <v>100</v>
      </c>
      <c r="BE876">
        <v>1</v>
      </c>
      <c r="BF876">
        <v>15000</v>
      </c>
      <c r="BG876">
        <v>1000</v>
      </c>
      <c r="BH876" s="6">
        <f>Grandview_Inventory[[#This Row],[land_extract]]*Lookups!$B$3</f>
        <v>58739.880167646283</v>
      </c>
      <c r="BI876" s="6">
        <f>IF(Grandview_Inventory[[#This Row],[bldg_style]]="",0,Lookups!$B$2)</f>
        <v>155833.95000000001</v>
      </c>
      <c r="BJ876" s="6">
        <f>_xlfn.IFNA(VLOOKUP(Grandview_Inventory[[#This Row],[quality]],Lookups!$H$2:$J$14,3,FALSE),0)</f>
        <v>20768</v>
      </c>
      <c r="BK876" s="6">
        <f>_xlfn.IFNA(VLOOKUP(Grandview_Inventory[[#This Row],[condition]],Lookups!$H$17:$J$24,3,FALSE),0)</f>
        <v>22342</v>
      </c>
      <c r="BL876" s="6">
        <f>Grandview_Inventory[[#This Row],[Eff_Age]]*Lookups!$B$14</f>
        <v>-10284.1638</v>
      </c>
      <c r="BM876" s="6">
        <f>Grandview_Inventory[[#This Row],[living_area]]*Lookups!$B$15</f>
        <v>182651.13758400001</v>
      </c>
      <c r="BN876" s="6">
        <f>Grandview_Inventory[[#This Row],[Fin BSMT]]*Lookups!$B$16</f>
        <v>0</v>
      </c>
      <c r="BO876" s="6">
        <f>(Grandview_Inventory[[#This Row],[att_gar]]+Grandview_Inventory[[#This Row],[bltin_gar]])*Lookups!$B$17</f>
        <v>48311.281223999998</v>
      </c>
      <c r="BP876" s="6">
        <f>Grandview_Inventory[[#This Row],[Plumbing Fixtures]]*Lookups!$B$18</f>
        <v>16083.5344</v>
      </c>
      <c r="BQ876" s="6">
        <f>Grandview_Inventory[[#This Row],[detatched_value]]*Lookups!$B$19</f>
        <v>26928.402180000001</v>
      </c>
      <c r="BR876" s="6">
        <f>SUM(Grandview_Inventory[[#This Row],[Intercept]:[det_value]])*Grandview_Inventory[[#This Row],[res_pct]]</f>
        <v>462634.14158799994</v>
      </c>
      <c r="BS876" s="6">
        <f>Grandview_Inventory[[#This Row],[land_value]]</f>
        <v>58739.880167646283</v>
      </c>
      <c r="BT876" s="4">
        <f>_xlfn.IFNA(VLOOKUP(Grandview_Inventory[[#This Row],[quality]],Lookups!$A$26:$C$33,3,FALSE),1)</f>
        <v>0.94960540378902636</v>
      </c>
      <c r="BU876" s="4">
        <f>_xlfn.IFNA(VLOOKUP(Grandview_Inventory[[#This Row],[condition]],Lookups!$A$37:$C$44,3,FALSE),1)</f>
        <v>0.97383723671140243</v>
      </c>
      <c r="BV876" s="4">
        <f>IF(Grandview_Inventory[[#This Row],[bldg_style]]="",1,_xlfn.IFNA(VLOOKUP(Grandview_Inventory[[#This Row],[decade]],Lookups!$F$29:$H$43,3,FALSE),1))</f>
        <v>0.9871940091910919</v>
      </c>
      <c r="BW876" s="4">
        <f>_xlfn.IFNA(VLOOKUP(Grandview_Inventory[[#This Row],[living_area_range]],Lookups!$F$47:$H$56,3,FALSE),1)</f>
        <v>0.94224801443562123</v>
      </c>
      <c r="BX876" s="4">
        <f>AVERAGE(Grandview_Inventory[[#This Row],[qual_adj]:[size_adj]])</f>
        <v>0.96322116603178554</v>
      </c>
      <c r="BY876" s="6">
        <f>IF(Grandview_Inventory[[#This Row],[pre_res]]&lt;0,0,Grandview_Inventory[[#This Row],[pre_res]]*Grandview_Inventory[[#This Row],[overall_adj]])</f>
        <v>445618.99730650749</v>
      </c>
      <c r="BZ876" s="6">
        <f>(Grandview_Inventory[[#This Row],[sum_land]]-IF(Grandview_Inventory[[#This Row],[no_utilities]]=1,12000,0))/IF(Grandview_Inventory[[#This Row],[unbuildable]]=1,2,1)</f>
        <v>58739.880167646283</v>
      </c>
      <c r="CA876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876">
        <f>ROUND(Grandview_Inventory[[#This Row],[det_value]]*Lookups!$M$28,-2)</f>
        <v>25600</v>
      </c>
      <c r="CC876">
        <f>IF(ROUND(Grandview_Inventory[[#This Row],[adj_res]]*Lookups!$M$28,-2)&lt;Grandview_Inventory[[#This Row],[min_res]],Grandview_Inventory[[#This Row],[min_res]],ROUND(Grandview_Inventory[[#This Row],[adj_res]]*Lookups!$M$28,-2))</f>
        <v>423300</v>
      </c>
      <c r="CD876">
        <f>Grandview_Inventory[[#This Row],[final_det]]+Grandview_Inventory[[#This Row],[final_res]]</f>
        <v>448900</v>
      </c>
      <c r="CE876">
        <f>Grandview_Inventory[[#This Row],[final_land]]+Grandview_Inventory[[#This Row],[final_imp]]+Grandview_Inventory[[#This Row],[crop_value]]</f>
        <v>504700</v>
      </c>
      <c r="CG876" t="str">
        <f t="shared" si="13"/>
        <v>update valuation set market_land =55800, market_bldg=448900, market_total =504700, market_mdno =401, market_date ='9/10/2023' where link_id = (select link_id from parcel where parcel_year = '2024' and parcel_id = '23092233405');</v>
      </c>
    </row>
    <row r="877" spans="1:85" x14ac:dyDescent="0.25">
      <c r="A877">
        <v>23092233406</v>
      </c>
      <c r="B877">
        <v>0.34</v>
      </c>
      <c r="C877">
        <v>14699</v>
      </c>
      <c r="D877" t="s">
        <v>129</v>
      </c>
      <c r="E877" t="s">
        <v>53</v>
      </c>
      <c r="F877" t="s">
        <v>53</v>
      </c>
      <c r="G877">
        <v>4</v>
      </c>
      <c r="H877" t="s">
        <v>54</v>
      </c>
      <c r="I877">
        <v>193200</v>
      </c>
      <c r="J877">
        <v>45800</v>
      </c>
      <c r="K877">
        <v>0.34</v>
      </c>
      <c r="L877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877">
        <v>0</v>
      </c>
      <c r="N877">
        <v>0</v>
      </c>
      <c r="O877">
        <v>0</v>
      </c>
      <c r="P877">
        <v>13398.7528</v>
      </c>
      <c r="Q877">
        <v>63903</v>
      </c>
      <c r="R877">
        <f>(Grandview_Inventory[[#This Row],[ln_acres]]*Grandview_Inventory[[#This Row],[coeff]])+Grandview_Inventory[[#This Row],[const]]</f>
        <v>49448.296029025805</v>
      </c>
      <c r="S877" t="s">
        <v>61</v>
      </c>
      <c r="T877">
        <v>1</v>
      </c>
      <c r="U877" t="s">
        <v>65</v>
      </c>
      <c r="V877" t="s">
        <v>69</v>
      </c>
      <c r="W877">
        <v>0</v>
      </c>
      <c r="X877">
        <v>0</v>
      </c>
      <c r="Y877">
        <v>43</v>
      </c>
      <c r="Z877">
        <v>44</v>
      </c>
      <c r="AA877">
        <v>50</v>
      </c>
      <c r="AB877">
        <v>2000</v>
      </c>
      <c r="AC877">
        <v>1827</v>
      </c>
      <c r="AD877">
        <v>1218</v>
      </c>
      <c r="AE877">
        <v>0</v>
      </c>
      <c r="AF877">
        <v>0</v>
      </c>
      <c r="AG877">
        <v>609</v>
      </c>
      <c r="AH877">
        <v>609</v>
      </c>
      <c r="AI877">
        <v>460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8</v>
      </c>
      <c r="AQ877">
        <v>0</v>
      </c>
      <c r="AR877">
        <v>0</v>
      </c>
      <c r="AS877" t="s">
        <v>58</v>
      </c>
      <c r="AT877">
        <v>1</v>
      </c>
      <c r="AU877" t="s">
        <v>63</v>
      </c>
      <c r="AV877" t="s">
        <v>60</v>
      </c>
      <c r="AW877">
        <v>1</v>
      </c>
      <c r="AX877">
        <v>3</v>
      </c>
      <c r="AY877">
        <v>0</v>
      </c>
      <c r="AZ877">
        <v>0</v>
      </c>
      <c r="BA877">
        <v>100</v>
      </c>
      <c r="BB877">
        <v>100</v>
      </c>
      <c r="BC877">
        <v>100</v>
      </c>
      <c r="BD877">
        <v>100</v>
      </c>
      <c r="BE877">
        <v>1</v>
      </c>
      <c r="BF877">
        <v>15000</v>
      </c>
      <c r="BG877">
        <v>1000</v>
      </c>
      <c r="BH877" s="6">
        <f>Grandview_Inventory[[#This Row],[land_extract]]*Lookups!$B$3</f>
        <v>57424.172668108389</v>
      </c>
      <c r="BI877" s="6">
        <f>IF(Grandview_Inventory[[#This Row],[bldg_style]]="",0,Lookups!$B$2)</f>
        <v>155833.95000000001</v>
      </c>
      <c r="BJ877" s="6">
        <f>_xlfn.IFNA(VLOOKUP(Grandview_Inventory[[#This Row],[quality]],Lookups!$H$2:$J$14,3,FALSE),0)</f>
        <v>2251</v>
      </c>
      <c r="BK877" s="6">
        <f>_xlfn.IFNA(VLOOKUP(Grandview_Inventory[[#This Row],[condition]],Lookups!$H$17:$J$24,3,FALSE),0)</f>
        <v>-4503</v>
      </c>
      <c r="BL877" s="6">
        <f>Grandview_Inventory[[#This Row],[Eff_Age]]*Lookups!$B$14</f>
        <v>-10284.1638</v>
      </c>
      <c r="BM877" s="6">
        <f>Grandview_Inventory[[#This Row],[living_area]]*Lookups!$B$15</f>
        <v>113969.81843100001</v>
      </c>
      <c r="BN877" s="6">
        <f>Grandview_Inventory[[#This Row],[Fin BSMT]]*Lookups!$B$16</f>
        <v>-16503.437160000001</v>
      </c>
      <c r="BO877" s="6">
        <f>(Grandview_Inventory[[#This Row],[att_gar]]+Grandview_Inventory[[#This Row],[bltin_gar]])*Lookups!$B$17</f>
        <v>40259.401019999998</v>
      </c>
      <c r="BP877" s="6">
        <f>Grandview_Inventory[[#This Row],[Plumbing Fixtures]]*Lookups!$B$18</f>
        <v>16083.5344</v>
      </c>
      <c r="BQ877" s="6">
        <f>Grandview_Inventory[[#This Row],[detatched_value]]*Lookups!$B$19</f>
        <v>0</v>
      </c>
      <c r="BR877" s="6">
        <f>SUM(Grandview_Inventory[[#This Row],[Intercept]:[det_value]])*Grandview_Inventory[[#This Row],[res_pct]]</f>
        <v>297107.10289100005</v>
      </c>
      <c r="BS877" s="6">
        <f>Grandview_Inventory[[#This Row],[land_value]]</f>
        <v>57424.172668108389</v>
      </c>
      <c r="BT877" s="4">
        <f>_xlfn.IFNA(VLOOKUP(Grandview_Inventory[[#This Row],[quality]],Lookups!$A$26:$C$33,3,FALSE),1)</f>
        <v>0.98763855981004833</v>
      </c>
      <c r="BU877" s="4">
        <f>_xlfn.IFNA(VLOOKUP(Grandview_Inventory[[#This Row],[condition]],Lookups!$A$37:$C$44,3,FALSE),1)</f>
        <v>0.96469275950863709</v>
      </c>
      <c r="BV877" s="4">
        <f>IF(Grandview_Inventory[[#This Row],[bldg_style]]="",1,_xlfn.IFNA(VLOOKUP(Grandview_Inventory[[#This Row],[decade]],Lookups!$F$29:$H$43,3,FALSE),1))</f>
        <v>0.9871940091910919</v>
      </c>
      <c r="BW877" s="4">
        <f>_xlfn.IFNA(VLOOKUP(Grandview_Inventory[[#This Row],[living_area_range]],Lookups!$F$47:$H$56,3,FALSE),1)</f>
        <v>0.96120133463014379</v>
      </c>
      <c r="BX877" s="4">
        <f>AVERAGE(Grandview_Inventory[[#This Row],[qual_adj]:[size_adj]])</f>
        <v>0.97518166578498033</v>
      </c>
      <c r="BY877" s="6">
        <f>IF(Grandview_Inventory[[#This Row],[pre_res]]&lt;0,0,Grandview_Inventory[[#This Row],[pre_res]]*Grandview_Inventory[[#This Row],[overall_adj]])</f>
        <v>289733.39951379498</v>
      </c>
      <c r="BZ877" s="6">
        <f>(Grandview_Inventory[[#This Row],[sum_land]]-IF(Grandview_Inventory[[#This Row],[no_utilities]]=1,12000,0))/IF(Grandview_Inventory[[#This Row],[unbuildable]]=1,2,1)</f>
        <v>57424.172668108389</v>
      </c>
      <c r="CA877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877">
        <f>ROUND(Grandview_Inventory[[#This Row],[det_value]]*Lookups!$M$28,-2)</f>
        <v>0</v>
      </c>
      <c r="CC877">
        <f>IF(ROUND(Grandview_Inventory[[#This Row],[adj_res]]*Lookups!$M$28,-2)&lt;Grandview_Inventory[[#This Row],[min_res]],Grandview_Inventory[[#This Row],[min_res]],ROUND(Grandview_Inventory[[#This Row],[adj_res]]*Lookups!$M$28,-2))</f>
        <v>275200</v>
      </c>
      <c r="CD877">
        <f>Grandview_Inventory[[#This Row],[final_det]]+Grandview_Inventory[[#This Row],[final_res]]</f>
        <v>275200</v>
      </c>
      <c r="CE877">
        <f>Grandview_Inventory[[#This Row],[final_land]]+Grandview_Inventory[[#This Row],[final_imp]]+Grandview_Inventory[[#This Row],[crop_value]]</f>
        <v>329800</v>
      </c>
      <c r="CG877" t="str">
        <f t="shared" si="13"/>
        <v>update valuation set market_land =54600, market_bldg=275200, market_total =329800, market_mdno =401, market_date ='9/10/2023' where link_id = (select link_id from parcel where parcel_year = '2024' and parcel_id = '23092233406');</v>
      </c>
    </row>
    <row r="878" spans="1:85" x14ac:dyDescent="0.25">
      <c r="A878">
        <v>23092233407</v>
      </c>
      <c r="B878">
        <v>0.41</v>
      </c>
      <c r="C878">
        <v>17831</v>
      </c>
      <c r="D878" t="s">
        <v>129</v>
      </c>
      <c r="E878" t="s">
        <v>53</v>
      </c>
      <c r="F878" t="s">
        <v>53</v>
      </c>
      <c r="G878">
        <v>4</v>
      </c>
      <c r="H878" t="s">
        <v>54</v>
      </c>
      <c r="I878">
        <v>174900</v>
      </c>
      <c r="J878">
        <v>45600</v>
      </c>
      <c r="K878">
        <v>0.41</v>
      </c>
      <c r="L878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878">
        <v>0</v>
      </c>
      <c r="N878">
        <v>0</v>
      </c>
      <c r="O878">
        <v>0</v>
      </c>
      <c r="P878">
        <v>13398.7528</v>
      </c>
      <c r="Q878">
        <v>63903</v>
      </c>
      <c r="R878">
        <f>(Grandview_Inventory[[#This Row],[ln_acres]]*Grandview_Inventory[[#This Row],[coeff]])+Grandview_Inventory[[#This Row],[const]]</f>
        <v>51956.697202771669</v>
      </c>
      <c r="S878" t="s">
        <v>61</v>
      </c>
      <c r="T878">
        <v>1</v>
      </c>
      <c r="U878" t="s">
        <v>65</v>
      </c>
      <c r="V878" t="s">
        <v>69</v>
      </c>
      <c r="W878">
        <v>0</v>
      </c>
      <c r="X878">
        <v>0</v>
      </c>
      <c r="Y878">
        <v>43</v>
      </c>
      <c r="Z878">
        <v>44</v>
      </c>
      <c r="AA878">
        <v>50</v>
      </c>
      <c r="AB878">
        <v>1500</v>
      </c>
      <c r="AC878">
        <v>1248</v>
      </c>
      <c r="AD878">
        <v>1248</v>
      </c>
      <c r="AE878">
        <v>0</v>
      </c>
      <c r="AF878">
        <v>0</v>
      </c>
      <c r="AG878">
        <v>0</v>
      </c>
      <c r="AH878">
        <v>0</v>
      </c>
      <c r="AI878">
        <v>480</v>
      </c>
      <c r="AJ878">
        <v>0</v>
      </c>
      <c r="AK878">
        <v>0</v>
      </c>
      <c r="AL878">
        <v>184</v>
      </c>
      <c r="AM878">
        <v>168</v>
      </c>
      <c r="AN878">
        <v>0</v>
      </c>
      <c r="AO878">
        <v>0</v>
      </c>
      <c r="AP878">
        <v>8</v>
      </c>
      <c r="AQ878">
        <v>0</v>
      </c>
      <c r="AR878">
        <v>0</v>
      </c>
      <c r="AS878" t="s">
        <v>58</v>
      </c>
      <c r="AT878">
        <v>1</v>
      </c>
      <c r="AU878" t="s">
        <v>63</v>
      </c>
      <c r="AV878" t="s">
        <v>64</v>
      </c>
      <c r="AW878">
        <v>1</v>
      </c>
      <c r="AX878">
        <v>3</v>
      </c>
      <c r="AY878">
        <v>0</v>
      </c>
      <c r="AZ878">
        <v>0</v>
      </c>
      <c r="BA878">
        <v>100</v>
      </c>
      <c r="BB878">
        <v>100</v>
      </c>
      <c r="BC878">
        <v>100</v>
      </c>
      <c r="BD878">
        <v>100</v>
      </c>
      <c r="BE878">
        <v>1</v>
      </c>
      <c r="BF878">
        <v>15000</v>
      </c>
      <c r="BG878">
        <v>1000</v>
      </c>
      <c r="BH878" s="6">
        <f>Grandview_Inventory[[#This Row],[land_extract]]*Lookups!$B$3</f>
        <v>60337.172178496294</v>
      </c>
      <c r="BI878" s="6">
        <f>IF(Grandview_Inventory[[#This Row],[bldg_style]]="",0,Lookups!$B$2)</f>
        <v>155833.95000000001</v>
      </c>
      <c r="BJ878" s="6">
        <f>_xlfn.IFNA(VLOOKUP(Grandview_Inventory[[#This Row],[quality]],Lookups!$H$2:$J$14,3,FALSE),0)</f>
        <v>2251</v>
      </c>
      <c r="BK878" s="6">
        <f>_xlfn.IFNA(VLOOKUP(Grandview_Inventory[[#This Row],[condition]],Lookups!$H$17:$J$24,3,FALSE),0)</f>
        <v>-4503</v>
      </c>
      <c r="BL878" s="6">
        <f>Grandview_Inventory[[#This Row],[Eff_Age]]*Lookups!$B$14</f>
        <v>-10284.1638</v>
      </c>
      <c r="BM878" s="6">
        <f>Grandview_Inventory[[#This Row],[living_area]]*Lookups!$B$15</f>
        <v>77851.304543999999</v>
      </c>
      <c r="BN878" s="6">
        <f>Grandview_Inventory[[#This Row],[Fin BSMT]]*Lookups!$B$16</f>
        <v>0</v>
      </c>
      <c r="BO878" s="6">
        <f>(Grandview_Inventory[[#This Row],[att_gar]]+Grandview_Inventory[[#This Row],[bltin_gar]])*Lookups!$B$17</f>
        <v>42009.809760000004</v>
      </c>
      <c r="BP878" s="6">
        <f>Grandview_Inventory[[#This Row],[Plumbing Fixtures]]*Lookups!$B$18</f>
        <v>16083.5344</v>
      </c>
      <c r="BQ878" s="6">
        <f>Grandview_Inventory[[#This Row],[detatched_value]]*Lookups!$B$19</f>
        <v>0</v>
      </c>
      <c r="BR878" s="6">
        <f>SUM(Grandview_Inventory[[#This Row],[Intercept]:[det_value]])*Grandview_Inventory[[#This Row],[res_pct]]</f>
        <v>279242.43490400002</v>
      </c>
      <c r="BS878" s="6">
        <f>Grandview_Inventory[[#This Row],[land_value]]</f>
        <v>60337.172178496294</v>
      </c>
      <c r="BT878" s="4">
        <f>_xlfn.IFNA(VLOOKUP(Grandview_Inventory[[#This Row],[quality]],Lookups!$A$26:$C$33,3,FALSE),1)</f>
        <v>0.98763855981004833</v>
      </c>
      <c r="BU878" s="4">
        <f>_xlfn.IFNA(VLOOKUP(Grandview_Inventory[[#This Row],[condition]],Lookups!$A$37:$C$44,3,FALSE),1)</f>
        <v>0.96469275950863709</v>
      </c>
      <c r="BV878" s="4">
        <f>IF(Grandview_Inventory[[#This Row],[bldg_style]]="",1,_xlfn.IFNA(VLOOKUP(Grandview_Inventory[[#This Row],[decade]],Lookups!$F$29:$H$43,3,FALSE),1))</f>
        <v>0.9871940091910919</v>
      </c>
      <c r="BW878" s="4">
        <f>_xlfn.IFNA(VLOOKUP(Grandview_Inventory[[#This Row],[living_area_range]],Lookups!$F$47:$H$56,3,FALSE),1)</f>
        <v>0.96135087979789358</v>
      </c>
      <c r="BX878" s="4">
        <f>AVERAGE(Grandview_Inventory[[#This Row],[qual_adj]:[size_adj]])</f>
        <v>0.97521905207691773</v>
      </c>
      <c r="BY878" s="6">
        <f>IF(Grandview_Inventory[[#This Row],[pre_res]]&lt;0,0,Grandview_Inventory[[#This Row],[pre_res]]*Grandview_Inventory[[#This Row],[overall_adj]])</f>
        <v>272322.54266672931</v>
      </c>
      <c r="BZ878" s="6">
        <f>(Grandview_Inventory[[#This Row],[sum_land]]-IF(Grandview_Inventory[[#This Row],[no_utilities]]=1,12000,0))/IF(Grandview_Inventory[[#This Row],[unbuildable]]=1,2,1)</f>
        <v>60337.172178496294</v>
      </c>
      <c r="CA878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878">
        <f>ROUND(Grandview_Inventory[[#This Row],[det_value]]*Lookups!$M$28,-2)</f>
        <v>0</v>
      </c>
      <c r="CC878">
        <f>IF(ROUND(Grandview_Inventory[[#This Row],[adj_res]]*Lookups!$M$28,-2)&lt;Grandview_Inventory[[#This Row],[min_res]],Grandview_Inventory[[#This Row],[min_res]],ROUND(Grandview_Inventory[[#This Row],[adj_res]]*Lookups!$M$28,-2))</f>
        <v>258700</v>
      </c>
      <c r="CD878">
        <f>Grandview_Inventory[[#This Row],[final_det]]+Grandview_Inventory[[#This Row],[final_res]]</f>
        <v>258700</v>
      </c>
      <c r="CE878">
        <f>Grandview_Inventory[[#This Row],[final_land]]+Grandview_Inventory[[#This Row],[final_imp]]+Grandview_Inventory[[#This Row],[crop_value]]</f>
        <v>316000</v>
      </c>
      <c r="CG878" t="str">
        <f t="shared" si="13"/>
        <v>update valuation set market_land =57300, market_bldg=258700, market_total =316000, market_mdno =401, market_date ='9/10/2023' where link_id = (select link_id from parcel where parcel_year = '2024' and parcel_id = '23092233407');</v>
      </c>
    </row>
    <row r="879" spans="1:85" x14ac:dyDescent="0.25">
      <c r="A879">
        <v>23092233408</v>
      </c>
      <c r="B879">
        <v>2.61</v>
      </c>
      <c r="C879">
        <v>113629</v>
      </c>
      <c r="D879" t="s">
        <v>129</v>
      </c>
      <c r="E879" t="s">
        <v>53</v>
      </c>
      <c r="F879" t="s">
        <v>53</v>
      </c>
      <c r="G879">
        <v>4</v>
      </c>
      <c r="H879" t="s">
        <v>54</v>
      </c>
      <c r="I879">
        <v>402800</v>
      </c>
      <c r="J879">
        <v>54000</v>
      </c>
      <c r="K879">
        <v>2.61</v>
      </c>
      <c r="L879">
        <f>IF(Grandview_Inventory[[#This Row],[parcel_acres]]-Grandview_Inventory[[#This Row],[non_valued_acres]] =0,0,LN(Grandview_Inventory[[#This Row],[parcel_acres]]-Grandview_Inventory[[#This Row],[non_valued_acres]]))</f>
        <v>0.95935022133460202</v>
      </c>
      <c r="M879">
        <v>0</v>
      </c>
      <c r="N879">
        <v>0</v>
      </c>
      <c r="O879">
        <v>0</v>
      </c>
      <c r="P879">
        <v>13398.7528</v>
      </c>
      <c r="Q879">
        <v>63903</v>
      </c>
      <c r="R879">
        <f>(Grandview_Inventory[[#This Row],[ln_acres]]*Grandview_Inventory[[#This Row],[coeff]])+Grandview_Inventory[[#This Row],[const]]</f>
        <v>76757.096464287621</v>
      </c>
      <c r="S879" t="s">
        <v>58</v>
      </c>
      <c r="T879">
        <v>2</v>
      </c>
      <c r="U879" t="s">
        <v>64</v>
      </c>
      <c r="V879" t="s">
        <v>69</v>
      </c>
      <c r="W879">
        <v>0</v>
      </c>
      <c r="X879">
        <v>0</v>
      </c>
      <c r="Y879">
        <v>39</v>
      </c>
      <c r="Z879">
        <v>39</v>
      </c>
      <c r="AA879">
        <v>40</v>
      </c>
      <c r="AB879">
        <v>3500</v>
      </c>
      <c r="AC879">
        <v>3132</v>
      </c>
      <c r="AD879">
        <v>1600</v>
      </c>
      <c r="AE879">
        <v>572</v>
      </c>
      <c r="AF879">
        <v>0</v>
      </c>
      <c r="AG879">
        <v>960</v>
      </c>
      <c r="AH879">
        <v>0</v>
      </c>
      <c r="AI879">
        <v>600</v>
      </c>
      <c r="AJ879">
        <v>0</v>
      </c>
      <c r="AK879">
        <v>0</v>
      </c>
      <c r="AL879">
        <v>714</v>
      </c>
      <c r="AM879">
        <v>216</v>
      </c>
      <c r="AN879">
        <v>152</v>
      </c>
      <c r="AO879">
        <v>0</v>
      </c>
      <c r="AP879">
        <v>11</v>
      </c>
      <c r="AQ879">
        <v>0</v>
      </c>
      <c r="AR879">
        <v>1</v>
      </c>
      <c r="AS879" t="s">
        <v>58</v>
      </c>
      <c r="AT879">
        <v>1</v>
      </c>
      <c r="AU879" t="s">
        <v>59</v>
      </c>
      <c r="AV879" t="s">
        <v>60</v>
      </c>
      <c r="AW879">
        <v>1</v>
      </c>
      <c r="AX879">
        <v>3</v>
      </c>
      <c r="AY879">
        <v>0</v>
      </c>
      <c r="AZ879">
        <v>101900</v>
      </c>
      <c r="BA879">
        <v>100</v>
      </c>
      <c r="BB879">
        <v>100</v>
      </c>
      <c r="BC879">
        <v>100</v>
      </c>
      <c r="BD879">
        <v>100</v>
      </c>
      <c r="BE879">
        <v>1</v>
      </c>
      <c r="BF879">
        <v>15000</v>
      </c>
      <c r="BG879">
        <v>1000</v>
      </c>
      <c r="BH879" s="6">
        <f>Grandview_Inventory[[#This Row],[land_extract]]*Lookups!$B$3</f>
        <v>89137.808879816759</v>
      </c>
      <c r="BI879" s="6">
        <f>IF(Grandview_Inventory[[#This Row],[bldg_style]]="",0,Lookups!$B$2)</f>
        <v>155833.95000000001</v>
      </c>
      <c r="BJ879" s="6">
        <f>_xlfn.IFNA(VLOOKUP(Grandview_Inventory[[#This Row],[quality]],Lookups!$H$2:$J$14,3,FALSE),0)</f>
        <v>20768</v>
      </c>
      <c r="BK879" s="6">
        <f>_xlfn.IFNA(VLOOKUP(Grandview_Inventory[[#This Row],[condition]],Lookups!$H$17:$J$24,3,FALSE),0)</f>
        <v>-4503</v>
      </c>
      <c r="BL879" s="6">
        <f>Grandview_Inventory[[#This Row],[Eff_Age]]*Lookups!$B$14</f>
        <v>-9327.4974000000002</v>
      </c>
      <c r="BM879" s="6">
        <f>Grandview_Inventory[[#This Row],[living_area]]*Lookups!$B$15</f>
        <v>195376.831596</v>
      </c>
      <c r="BN879" s="6">
        <f>Grandview_Inventory[[#This Row],[Fin BSMT]]*Lookups!$B$16</f>
        <v>-26015.270400000001</v>
      </c>
      <c r="BO879" s="6">
        <f>(Grandview_Inventory[[#This Row],[att_gar]]+Grandview_Inventory[[#This Row],[bltin_gar]])*Lookups!$B$17</f>
        <v>52512.262199999997</v>
      </c>
      <c r="BP879" s="6">
        <f>Grandview_Inventory[[#This Row],[Plumbing Fixtures]]*Lookups!$B$18</f>
        <v>22114.859800000002</v>
      </c>
      <c r="BQ879" s="6">
        <f>Grandview_Inventory[[#This Row],[detatched_value]]*Lookups!$B$19</f>
        <v>86289.439689999999</v>
      </c>
      <c r="BR879" s="6">
        <f>SUM(Grandview_Inventory[[#This Row],[Intercept]:[det_value]])*Grandview_Inventory[[#This Row],[res_pct]]</f>
        <v>493049.57548600005</v>
      </c>
      <c r="BS879" s="6">
        <f>Grandview_Inventory[[#This Row],[land_value]]</f>
        <v>89137.808879816759</v>
      </c>
      <c r="BT879" s="4">
        <f>_xlfn.IFNA(VLOOKUP(Grandview_Inventory[[#This Row],[quality]],Lookups!$A$26:$C$33,3,FALSE),1)</f>
        <v>0.94960540378902636</v>
      </c>
      <c r="BU879" s="4">
        <f>_xlfn.IFNA(VLOOKUP(Grandview_Inventory[[#This Row],[condition]],Lookups!$A$37:$C$44,3,FALSE),1)</f>
        <v>0.96469275950863709</v>
      </c>
      <c r="BV879" s="4">
        <f>IF(Grandview_Inventory[[#This Row],[bldg_style]]="",1,_xlfn.IFNA(VLOOKUP(Grandview_Inventory[[#This Row],[decade]],Lookups!$F$29:$H$43,3,FALSE),1))</f>
        <v>0.98031878267063854</v>
      </c>
      <c r="BW879" s="4">
        <f>_xlfn.IFNA(VLOOKUP(Grandview_Inventory[[#This Row],[living_area_range]],Lookups!$F$47:$H$56,3,FALSE),1)</f>
        <v>1.0170112215140563</v>
      </c>
      <c r="BX879" s="4">
        <f>AVERAGE(Grandview_Inventory[[#This Row],[qual_adj]:[size_adj]])</f>
        <v>0.97790704187058952</v>
      </c>
      <c r="BY879" s="6">
        <f>IF(Grandview_Inventory[[#This Row],[pre_res]]&lt;0,0,Grandview_Inventory[[#This Row],[pre_res]]*Grandview_Inventory[[#This Row],[overall_adj]])</f>
        <v>482156.65185906424</v>
      </c>
      <c r="BZ879" s="6">
        <f>(Grandview_Inventory[[#This Row],[sum_land]]-IF(Grandview_Inventory[[#This Row],[no_utilities]]=1,12000,0))/IF(Grandview_Inventory[[#This Row],[unbuildable]]=1,2,1)</f>
        <v>89137.808879816759</v>
      </c>
      <c r="CA879">
        <f>IF(ROUND(Grandview_Inventory[[#This Row],[adj_land]]*Lookups!$M$28,-2)&lt;Grandview_Inventory[[#This Row],[min_land]],Grandview_Inventory[[#This Row],[min_land]],ROUND(Grandview_Inventory[[#This Row],[adj_land]]*Lookups!$M$28,-2))</f>
        <v>84700</v>
      </c>
      <c r="CB879">
        <f>ROUND(Grandview_Inventory[[#This Row],[det_value]]*Lookups!$M$28,-2)</f>
        <v>82000</v>
      </c>
      <c r="CC879">
        <f>IF(ROUND(Grandview_Inventory[[#This Row],[adj_res]]*Lookups!$M$28,-2)&lt;Grandview_Inventory[[#This Row],[min_res]],Grandview_Inventory[[#This Row],[min_res]],ROUND(Grandview_Inventory[[#This Row],[adj_res]]*Lookups!$M$28,-2))</f>
        <v>458000</v>
      </c>
      <c r="CD879">
        <f>Grandview_Inventory[[#This Row],[final_det]]+Grandview_Inventory[[#This Row],[final_res]]</f>
        <v>540000</v>
      </c>
      <c r="CE879">
        <f>Grandview_Inventory[[#This Row],[final_land]]+Grandview_Inventory[[#This Row],[final_imp]]+Grandview_Inventory[[#This Row],[crop_value]]</f>
        <v>624700</v>
      </c>
      <c r="CG879" t="str">
        <f t="shared" si="13"/>
        <v>update valuation set market_land =84700, market_bldg=540000, market_total =624700, market_mdno =401, market_date ='9/10/2023' where link_id = (select link_id from parcel where parcel_year = '2024' and parcel_id = '23092233408');</v>
      </c>
    </row>
    <row r="880" spans="1:85" x14ac:dyDescent="0.25">
      <c r="A880">
        <v>23092234403</v>
      </c>
      <c r="B880">
        <v>1.02</v>
      </c>
      <c r="C880" t="s">
        <v>129</v>
      </c>
      <c r="D880" t="s">
        <v>129</v>
      </c>
      <c r="E880" t="s">
        <v>53</v>
      </c>
      <c r="F880" t="s">
        <v>53</v>
      </c>
      <c r="G880">
        <v>4</v>
      </c>
      <c r="H880" t="s">
        <v>54</v>
      </c>
      <c r="I880">
        <v>143400</v>
      </c>
      <c r="J880">
        <v>51000</v>
      </c>
      <c r="K880">
        <v>1.02</v>
      </c>
      <c r="L880">
        <f>IF(Grandview_Inventory[[#This Row],[parcel_acres]]-Grandview_Inventory[[#This Row],[non_valued_acres]] =0,0,LN(Grandview_Inventory[[#This Row],[parcel_acres]]-Grandview_Inventory[[#This Row],[non_valued_acres]]))</f>
        <v>1.980262729617973E-2</v>
      </c>
      <c r="M880">
        <v>0</v>
      </c>
      <c r="N880">
        <v>0</v>
      </c>
      <c r="O880">
        <v>0</v>
      </c>
      <c r="P880">
        <v>13398.7528</v>
      </c>
      <c r="Q880">
        <v>63903</v>
      </c>
      <c r="R880">
        <f>(Grandview_Inventory[[#This Row],[ln_acres]]*Grandview_Inventory[[#This Row],[coeff]])+Grandview_Inventory[[#This Row],[const]]</f>
        <v>64168.330507932042</v>
      </c>
      <c r="S880" t="s">
        <v>68</v>
      </c>
      <c r="T880">
        <v>1</v>
      </c>
      <c r="U880" t="s">
        <v>80</v>
      </c>
      <c r="V880" t="s">
        <v>69</v>
      </c>
      <c r="W880">
        <v>0</v>
      </c>
      <c r="X880">
        <v>0</v>
      </c>
      <c r="Y880">
        <v>54</v>
      </c>
      <c r="Z880">
        <v>67</v>
      </c>
      <c r="AA880">
        <v>70</v>
      </c>
      <c r="AB880">
        <v>1500</v>
      </c>
      <c r="AC880">
        <v>1440</v>
      </c>
      <c r="AD880">
        <v>1040</v>
      </c>
      <c r="AE880">
        <v>0</v>
      </c>
      <c r="AF880">
        <v>0</v>
      </c>
      <c r="AG880">
        <v>400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50</v>
      </c>
      <c r="AN880">
        <v>25</v>
      </c>
      <c r="AO880">
        <v>0</v>
      </c>
      <c r="AP880">
        <v>5</v>
      </c>
      <c r="AQ880">
        <v>0</v>
      </c>
      <c r="AR880">
        <v>0</v>
      </c>
      <c r="AS880" t="s">
        <v>58</v>
      </c>
      <c r="AT880">
        <v>1</v>
      </c>
      <c r="AU880" t="s">
        <v>63</v>
      </c>
      <c r="AV880" t="s">
        <v>60</v>
      </c>
      <c r="AW880">
        <v>1</v>
      </c>
      <c r="AX880">
        <v>3</v>
      </c>
      <c r="AY880">
        <v>0</v>
      </c>
      <c r="AZ880">
        <v>16200</v>
      </c>
      <c r="BA880">
        <v>100</v>
      </c>
      <c r="BB880">
        <v>100</v>
      </c>
      <c r="BC880">
        <v>100</v>
      </c>
      <c r="BD880">
        <v>100</v>
      </c>
      <c r="BE880">
        <v>1</v>
      </c>
      <c r="BF880">
        <v>15000</v>
      </c>
      <c r="BG880">
        <v>1000</v>
      </c>
      <c r="BH880" s="6">
        <f>Grandview_Inventory[[#This Row],[land_extract]]*Lookups!$B$3</f>
        <v>74518.508964369103</v>
      </c>
      <c r="BI880" s="6">
        <f>IF(Grandview_Inventory[[#This Row],[bldg_style]]="",0,Lookups!$B$2)</f>
        <v>155833.95000000001</v>
      </c>
      <c r="BJ880" s="6">
        <f>_xlfn.IFNA(VLOOKUP(Grandview_Inventory[[#This Row],[quality]],Lookups!$H$2:$J$14,3,FALSE),0)</f>
        <v>-28558</v>
      </c>
      <c r="BK880" s="6">
        <f>_xlfn.IFNA(VLOOKUP(Grandview_Inventory[[#This Row],[condition]],Lookups!$H$17:$J$24,3,FALSE),0)</f>
        <v>-4503</v>
      </c>
      <c r="BL880" s="6">
        <f>Grandview_Inventory[[#This Row],[Eff_Age]]*Lookups!$B$14</f>
        <v>-12914.9964</v>
      </c>
      <c r="BM880" s="6">
        <f>Grandview_Inventory[[#This Row],[living_area]]*Lookups!$B$15</f>
        <v>89828.428320000006</v>
      </c>
      <c r="BN880" s="6">
        <f>Grandview_Inventory[[#This Row],[Fin BSMT]]*Lookups!$B$16</f>
        <v>-10839.696</v>
      </c>
      <c r="BO880" s="6">
        <f>(Grandview_Inventory[[#This Row],[att_gar]]+Grandview_Inventory[[#This Row],[bltin_gar]])*Lookups!$B$17</f>
        <v>0</v>
      </c>
      <c r="BP880" s="6">
        <f>Grandview_Inventory[[#This Row],[Plumbing Fixtures]]*Lookups!$B$18</f>
        <v>10052.209000000001</v>
      </c>
      <c r="BQ880" s="6">
        <f>Grandview_Inventory[[#This Row],[detatched_value]]*Lookups!$B$19</f>
        <v>13718.242619999999</v>
      </c>
      <c r="BR880" s="6">
        <f>SUM(Grandview_Inventory[[#This Row],[Intercept]:[det_value]])*Grandview_Inventory[[#This Row],[res_pct]]</f>
        <v>212617.13754000003</v>
      </c>
      <c r="BS880" s="6">
        <f>Grandview_Inventory[[#This Row],[land_value]]</f>
        <v>74518.508964369103</v>
      </c>
      <c r="BT880" s="4">
        <f>_xlfn.IFNA(VLOOKUP(Grandview_Inventory[[#This Row],[quality]],Lookups!$A$26:$C$33,3,FALSE),1)</f>
        <v>0.9690360070159818</v>
      </c>
      <c r="BU880" s="4">
        <f>_xlfn.IFNA(VLOOKUP(Grandview_Inventory[[#This Row],[condition]],Lookups!$A$37:$C$44,3,FALSE),1)</f>
        <v>0.96469275950863709</v>
      </c>
      <c r="BV880" s="4">
        <f>IF(Grandview_Inventory[[#This Row],[bldg_style]]="",1,_xlfn.IFNA(VLOOKUP(Grandview_Inventory[[#This Row],[decade]],Lookups!$F$29:$H$43,3,FALSE),1))</f>
        <v>0.99472141305414818</v>
      </c>
      <c r="BW880" s="4">
        <f>_xlfn.IFNA(VLOOKUP(Grandview_Inventory[[#This Row],[living_area_range]],Lookups!$F$47:$H$56,3,FALSE),1)</f>
        <v>0.96135087979789358</v>
      </c>
      <c r="BX880" s="4">
        <f>AVERAGE(Grandview_Inventory[[#This Row],[qual_adj]:[size_adj]])</f>
        <v>0.97245026484416508</v>
      </c>
      <c r="BY880" s="6">
        <f>IF(Grandview_Inventory[[#This Row],[pre_res]]&lt;0,0,Grandview_Inventory[[#This Row],[pre_res]]*Grandview_Inventory[[#This Row],[overall_adj]])</f>
        <v>206759.5917111813</v>
      </c>
      <c r="BZ880" s="6">
        <f>(Grandview_Inventory[[#This Row],[sum_land]]-IF(Grandview_Inventory[[#This Row],[no_utilities]]=1,12000,0))/IF(Grandview_Inventory[[#This Row],[unbuildable]]=1,2,1)</f>
        <v>74518.508964369103</v>
      </c>
      <c r="CA880">
        <f>IF(ROUND(Grandview_Inventory[[#This Row],[adj_land]]*Lookups!$M$28,-2)&lt;Grandview_Inventory[[#This Row],[min_land]],Grandview_Inventory[[#This Row],[min_land]],ROUND(Grandview_Inventory[[#This Row],[adj_land]]*Lookups!$M$28,-2))</f>
        <v>70800</v>
      </c>
      <c r="CB880">
        <f>ROUND(Grandview_Inventory[[#This Row],[det_value]]*Lookups!$M$28,-2)</f>
        <v>13000</v>
      </c>
      <c r="CC880">
        <f>IF(ROUND(Grandview_Inventory[[#This Row],[adj_res]]*Lookups!$M$28,-2)&lt;Grandview_Inventory[[#This Row],[min_res]],Grandview_Inventory[[#This Row],[min_res]],ROUND(Grandview_Inventory[[#This Row],[adj_res]]*Lookups!$M$28,-2))</f>
        <v>196400</v>
      </c>
      <c r="CD880">
        <f>Grandview_Inventory[[#This Row],[final_det]]+Grandview_Inventory[[#This Row],[final_res]]</f>
        <v>209400</v>
      </c>
      <c r="CE880">
        <f>Grandview_Inventory[[#This Row],[final_land]]+Grandview_Inventory[[#This Row],[final_imp]]+Grandview_Inventory[[#This Row],[crop_value]]</f>
        <v>280200</v>
      </c>
      <c r="CG880" t="str">
        <f t="shared" si="13"/>
        <v>update valuation set market_land =70800, market_bldg=209400, market_total =280200, market_mdno =401, market_date ='9/10/2023' where link_id = (select link_id from parcel where parcel_year = '2024' and parcel_id = '23092234403');</v>
      </c>
    </row>
    <row r="881" spans="1:85" x14ac:dyDescent="0.25">
      <c r="A881">
        <v>23092241404</v>
      </c>
      <c r="B881">
        <v>0.2</v>
      </c>
      <c r="C881">
        <v>8588</v>
      </c>
      <c r="D881" t="s">
        <v>129</v>
      </c>
      <c r="E881" t="s">
        <v>53</v>
      </c>
      <c r="F881" t="s">
        <v>53</v>
      </c>
      <c r="G881">
        <v>4</v>
      </c>
      <c r="H881" t="s">
        <v>54</v>
      </c>
      <c r="I881">
        <v>271400</v>
      </c>
      <c r="J881">
        <v>43500</v>
      </c>
      <c r="K881">
        <v>0.2</v>
      </c>
      <c r="L88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881">
        <v>0</v>
      </c>
      <c r="N881">
        <v>0</v>
      </c>
      <c r="O881">
        <v>0</v>
      </c>
      <c r="P881">
        <v>13398.7528</v>
      </c>
      <c r="Q881">
        <v>63903</v>
      </c>
      <c r="R881">
        <f>(Grandview_Inventory[[#This Row],[ln_acres]]*Grandview_Inventory[[#This Row],[coeff]])+Grandview_Inventory[[#This Row],[const]]</f>
        <v>42338.539264347448</v>
      </c>
      <c r="S881" t="s">
        <v>61</v>
      </c>
      <c r="T881">
        <v>1</v>
      </c>
      <c r="U881" t="s">
        <v>65</v>
      </c>
      <c r="V881" t="s">
        <v>69</v>
      </c>
      <c r="W881">
        <v>0</v>
      </c>
      <c r="X881">
        <v>0</v>
      </c>
      <c r="Y881">
        <v>49</v>
      </c>
      <c r="Z881">
        <v>68</v>
      </c>
      <c r="AA881">
        <v>70</v>
      </c>
      <c r="AB881">
        <v>2500</v>
      </c>
      <c r="AC881">
        <v>2246</v>
      </c>
      <c r="AD881">
        <v>1798</v>
      </c>
      <c r="AE881">
        <v>0</v>
      </c>
      <c r="AF881">
        <v>0</v>
      </c>
      <c r="AG881">
        <v>448</v>
      </c>
      <c r="AH881">
        <v>448</v>
      </c>
      <c r="AI881">
        <v>750</v>
      </c>
      <c r="AJ881">
        <v>0</v>
      </c>
      <c r="AK881">
        <v>0</v>
      </c>
      <c r="AL881">
        <v>0</v>
      </c>
      <c r="AM881">
        <v>1091</v>
      </c>
      <c r="AN881">
        <v>0</v>
      </c>
      <c r="AO881">
        <v>275</v>
      </c>
      <c r="AP881">
        <v>10</v>
      </c>
      <c r="AQ881">
        <v>1</v>
      </c>
      <c r="AR881">
        <v>2</v>
      </c>
      <c r="AS881" t="s">
        <v>58</v>
      </c>
      <c r="AT881">
        <v>1</v>
      </c>
      <c r="AU881" t="s">
        <v>63</v>
      </c>
      <c r="AV881" t="s">
        <v>64</v>
      </c>
      <c r="AW881">
        <v>1</v>
      </c>
      <c r="AX881">
        <v>4</v>
      </c>
      <c r="AY881">
        <v>0</v>
      </c>
      <c r="AZ881">
        <v>0</v>
      </c>
      <c r="BA881">
        <v>100</v>
      </c>
      <c r="BB881">
        <v>100</v>
      </c>
      <c r="BC881">
        <v>100</v>
      </c>
      <c r="BD881">
        <v>100</v>
      </c>
      <c r="BE881">
        <v>1</v>
      </c>
      <c r="BF881">
        <v>15000</v>
      </c>
      <c r="BG881">
        <v>1000</v>
      </c>
      <c r="BH881" s="6">
        <f>Grandview_Inventory[[#This Row],[land_extract]]*Lookups!$B$3</f>
        <v>49167.631333630678</v>
      </c>
      <c r="BI881" s="6">
        <f>IF(Grandview_Inventory[[#This Row],[bldg_style]]="",0,Lookups!$B$2)</f>
        <v>155833.95000000001</v>
      </c>
      <c r="BJ881" s="6">
        <f>_xlfn.IFNA(VLOOKUP(Grandview_Inventory[[#This Row],[quality]],Lookups!$H$2:$J$14,3,FALSE),0)</f>
        <v>2251</v>
      </c>
      <c r="BK881" s="6">
        <f>_xlfn.IFNA(VLOOKUP(Grandview_Inventory[[#This Row],[condition]],Lookups!$H$17:$J$24,3,FALSE),0)</f>
        <v>-4503</v>
      </c>
      <c r="BL881" s="6">
        <f>Grandview_Inventory[[#This Row],[Eff_Age]]*Lookups!$B$14</f>
        <v>-11719.163399999999</v>
      </c>
      <c r="BM881" s="6">
        <f>Grandview_Inventory[[#This Row],[living_area]]*Lookups!$B$15</f>
        <v>140107.395838</v>
      </c>
      <c r="BN881" s="6">
        <f>Grandview_Inventory[[#This Row],[Fin BSMT]]*Lookups!$B$16</f>
        <v>-12140.45952</v>
      </c>
      <c r="BO881" s="6">
        <f>(Grandview_Inventory[[#This Row],[att_gar]]+Grandview_Inventory[[#This Row],[bltin_gar]])*Lookups!$B$17</f>
        <v>65640.327749999997</v>
      </c>
      <c r="BP881" s="6">
        <f>Grandview_Inventory[[#This Row],[Plumbing Fixtures]]*Lookups!$B$18</f>
        <v>20104.418000000001</v>
      </c>
      <c r="BQ881" s="6">
        <f>Grandview_Inventory[[#This Row],[detatched_value]]*Lookups!$B$19</f>
        <v>0</v>
      </c>
      <c r="BR881" s="6">
        <f>SUM(Grandview_Inventory[[#This Row],[Intercept]:[det_value]])*Grandview_Inventory[[#This Row],[res_pct]]</f>
        <v>355574.46866800002</v>
      </c>
      <c r="BS881" s="6">
        <f>Grandview_Inventory[[#This Row],[land_value]]</f>
        <v>49167.631333630678</v>
      </c>
      <c r="BT881" s="4">
        <f>_xlfn.IFNA(VLOOKUP(Grandview_Inventory[[#This Row],[quality]],Lookups!$A$26:$C$33,3,FALSE),1)</f>
        <v>0.98763855981004833</v>
      </c>
      <c r="BU881" s="4">
        <f>_xlfn.IFNA(VLOOKUP(Grandview_Inventory[[#This Row],[condition]],Lookups!$A$37:$C$44,3,FALSE),1)</f>
        <v>0.96469275950863709</v>
      </c>
      <c r="BV881" s="4">
        <f>IF(Grandview_Inventory[[#This Row],[bldg_style]]="",1,_xlfn.IFNA(VLOOKUP(Grandview_Inventory[[#This Row],[decade]],Lookups!$F$29:$H$43,3,FALSE),1))</f>
        <v>0.99472141305414818</v>
      </c>
      <c r="BW881" s="4">
        <f>_xlfn.IFNA(VLOOKUP(Grandview_Inventory[[#This Row],[living_area_range]],Lookups!$F$47:$H$56,3,FALSE),1)</f>
        <v>0.95799442568048754</v>
      </c>
      <c r="BX881" s="4">
        <f>AVERAGE(Grandview_Inventory[[#This Row],[qual_adj]:[size_adj]])</f>
        <v>0.97626178951333031</v>
      </c>
      <c r="BY881" s="6">
        <f>IF(Grandview_Inventory[[#This Row],[pre_res]]&lt;0,0,Grandview_Inventory[[#This Row],[pre_res]]*Grandview_Inventory[[#This Row],[overall_adj]])</f>
        <v>347133.7670870733</v>
      </c>
      <c r="BZ881" s="6">
        <f>(Grandview_Inventory[[#This Row],[sum_land]]-IF(Grandview_Inventory[[#This Row],[no_utilities]]=1,12000,0))/IF(Grandview_Inventory[[#This Row],[unbuildable]]=1,2,1)</f>
        <v>49167.631333630678</v>
      </c>
      <c r="CA88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881">
        <f>ROUND(Grandview_Inventory[[#This Row],[det_value]]*Lookups!$M$28,-2)</f>
        <v>0</v>
      </c>
      <c r="CC881">
        <f>IF(ROUND(Grandview_Inventory[[#This Row],[adj_res]]*Lookups!$M$28,-2)&lt;Grandview_Inventory[[#This Row],[min_res]],Grandview_Inventory[[#This Row],[min_res]],ROUND(Grandview_Inventory[[#This Row],[adj_res]]*Lookups!$M$28,-2))</f>
        <v>329800</v>
      </c>
      <c r="CD881">
        <f>Grandview_Inventory[[#This Row],[final_det]]+Grandview_Inventory[[#This Row],[final_res]]</f>
        <v>329800</v>
      </c>
      <c r="CE881">
        <f>Grandview_Inventory[[#This Row],[final_land]]+Grandview_Inventory[[#This Row],[final_imp]]+Grandview_Inventory[[#This Row],[crop_value]]</f>
        <v>376500</v>
      </c>
      <c r="CG881" t="str">
        <f t="shared" si="13"/>
        <v>update valuation set market_land =46700, market_bldg=329800, market_total =376500, market_mdno =401, market_date ='9/10/2023' where link_id = (select link_id from parcel where parcel_year = '2024' and parcel_id = '23092241404');</v>
      </c>
    </row>
    <row r="882" spans="1:85" x14ac:dyDescent="0.25">
      <c r="A882">
        <v>23092241406</v>
      </c>
      <c r="B882">
        <v>0.28000000000000003</v>
      </c>
      <c r="C882">
        <v>12019</v>
      </c>
      <c r="D882" t="s">
        <v>129</v>
      </c>
      <c r="E882" t="s">
        <v>53</v>
      </c>
      <c r="F882" t="s">
        <v>53</v>
      </c>
      <c r="G882">
        <v>4</v>
      </c>
      <c r="H882" t="s">
        <v>54</v>
      </c>
      <c r="I882">
        <v>235200</v>
      </c>
      <c r="J882">
        <v>44400</v>
      </c>
      <c r="K882">
        <v>0.28000000000000003</v>
      </c>
      <c r="L882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882">
        <v>0</v>
      </c>
      <c r="N882">
        <v>0</v>
      </c>
      <c r="O882">
        <v>0</v>
      </c>
      <c r="P882">
        <v>13398.7528</v>
      </c>
      <c r="Q882">
        <v>63903</v>
      </c>
      <c r="R882">
        <f>(Grandview_Inventory[[#This Row],[ln_acres]]*Grandview_Inventory[[#This Row],[coeff]])+Grandview_Inventory[[#This Row],[const]]</f>
        <v>46846.847586898184</v>
      </c>
      <c r="S882" t="s">
        <v>61</v>
      </c>
      <c r="T882">
        <v>1</v>
      </c>
      <c r="U882" t="s">
        <v>65</v>
      </c>
      <c r="V882" t="s">
        <v>69</v>
      </c>
      <c r="W882">
        <v>0</v>
      </c>
      <c r="X882">
        <v>0</v>
      </c>
      <c r="Y882">
        <v>49</v>
      </c>
      <c r="Z882">
        <v>68</v>
      </c>
      <c r="AA882">
        <v>70</v>
      </c>
      <c r="AB882">
        <v>3000</v>
      </c>
      <c r="AC882">
        <v>2796</v>
      </c>
      <c r="AD882">
        <v>1475</v>
      </c>
      <c r="AE882">
        <v>0</v>
      </c>
      <c r="AF882">
        <v>0</v>
      </c>
      <c r="AG882">
        <v>1321</v>
      </c>
      <c r="AH882">
        <v>0</v>
      </c>
      <c r="AI882">
        <v>616</v>
      </c>
      <c r="AJ882">
        <v>0</v>
      </c>
      <c r="AK882">
        <v>0</v>
      </c>
      <c r="AL882">
        <v>0</v>
      </c>
      <c r="AM882">
        <v>350</v>
      </c>
      <c r="AN882">
        <v>0</v>
      </c>
      <c r="AO882">
        <v>425</v>
      </c>
      <c r="AP882">
        <v>10</v>
      </c>
      <c r="AQ882">
        <v>0</v>
      </c>
      <c r="AR882">
        <v>0</v>
      </c>
      <c r="AS882" t="s">
        <v>58</v>
      </c>
      <c r="AT882">
        <v>1</v>
      </c>
      <c r="AU882" t="s">
        <v>63</v>
      </c>
      <c r="AV882" t="s">
        <v>60</v>
      </c>
      <c r="AW882">
        <v>1</v>
      </c>
      <c r="AX882">
        <v>4</v>
      </c>
      <c r="AY882">
        <v>0</v>
      </c>
      <c r="AZ882">
        <v>0</v>
      </c>
      <c r="BA882">
        <v>100</v>
      </c>
      <c r="BB882">
        <v>100</v>
      </c>
      <c r="BC882">
        <v>100</v>
      </c>
      <c r="BD882">
        <v>100</v>
      </c>
      <c r="BE882">
        <v>1</v>
      </c>
      <c r="BF882">
        <v>15000</v>
      </c>
      <c r="BG882">
        <v>1000</v>
      </c>
      <c r="BH882" s="6">
        <f>Grandview_Inventory[[#This Row],[land_extract]]*Lookups!$B$3</f>
        <v>54403.117616176372</v>
      </c>
      <c r="BI882" s="6">
        <f>IF(Grandview_Inventory[[#This Row],[bldg_style]]="",0,Lookups!$B$2)</f>
        <v>155833.95000000001</v>
      </c>
      <c r="BJ882" s="6">
        <f>_xlfn.IFNA(VLOOKUP(Grandview_Inventory[[#This Row],[quality]],Lookups!$H$2:$J$14,3,FALSE),0)</f>
        <v>2251</v>
      </c>
      <c r="BK882" s="6">
        <f>_xlfn.IFNA(VLOOKUP(Grandview_Inventory[[#This Row],[condition]],Lookups!$H$17:$J$24,3,FALSE),0)</f>
        <v>-4503</v>
      </c>
      <c r="BL882" s="6">
        <f>Grandview_Inventory[[#This Row],[Eff_Age]]*Lookups!$B$14</f>
        <v>-11719.163399999999</v>
      </c>
      <c r="BM882" s="6">
        <f>Grandview_Inventory[[#This Row],[living_area]]*Lookups!$B$15</f>
        <v>174416.86498800002</v>
      </c>
      <c r="BN882" s="6">
        <f>Grandview_Inventory[[#This Row],[Fin BSMT]]*Lookups!$B$16</f>
        <v>-35798.096040000004</v>
      </c>
      <c r="BO882" s="6">
        <f>(Grandview_Inventory[[#This Row],[att_gar]]+Grandview_Inventory[[#This Row],[bltin_gar]])*Lookups!$B$17</f>
        <v>53912.589191999999</v>
      </c>
      <c r="BP882" s="6">
        <f>Grandview_Inventory[[#This Row],[Plumbing Fixtures]]*Lookups!$B$18</f>
        <v>20104.418000000001</v>
      </c>
      <c r="BQ882" s="6">
        <f>Grandview_Inventory[[#This Row],[detatched_value]]*Lookups!$B$19</f>
        <v>0</v>
      </c>
      <c r="BR882" s="6">
        <f>SUM(Grandview_Inventory[[#This Row],[Intercept]:[det_value]])*Grandview_Inventory[[#This Row],[res_pct]]</f>
        <v>354498.56274000002</v>
      </c>
      <c r="BS882" s="6">
        <f>Grandview_Inventory[[#This Row],[land_value]]</f>
        <v>54403.117616176372</v>
      </c>
      <c r="BT882" s="4">
        <f>_xlfn.IFNA(VLOOKUP(Grandview_Inventory[[#This Row],[quality]],Lookups!$A$26:$C$33,3,FALSE),1)</f>
        <v>0.98763855981004833</v>
      </c>
      <c r="BU882" s="4">
        <f>_xlfn.IFNA(VLOOKUP(Grandview_Inventory[[#This Row],[condition]],Lookups!$A$37:$C$44,3,FALSE),1)</f>
        <v>0.96469275950863709</v>
      </c>
      <c r="BV882" s="4">
        <f>IF(Grandview_Inventory[[#This Row],[bldg_style]]="",1,_xlfn.IFNA(VLOOKUP(Grandview_Inventory[[#This Row],[decade]],Lookups!$F$29:$H$43,3,FALSE),1))</f>
        <v>0.99472141305414818</v>
      </c>
      <c r="BW882" s="4">
        <f>_xlfn.IFNA(VLOOKUP(Grandview_Inventory[[#This Row],[living_area_range]],Lookups!$F$47:$H$56,3,FALSE),1)</f>
        <v>0.94224801443562123</v>
      </c>
      <c r="BX882" s="4">
        <f>AVERAGE(Grandview_Inventory[[#This Row],[qual_adj]:[size_adj]])</f>
        <v>0.97232518670211376</v>
      </c>
      <c r="BY882" s="6">
        <f>IF(Grandview_Inventory[[#This Row],[pre_res]]&lt;0,0,Grandview_Inventory[[#This Row],[pre_res]]*Grandview_Inventory[[#This Row],[overall_adj]])</f>
        <v>344687.88120180153</v>
      </c>
      <c r="BZ882" s="6">
        <f>(Grandview_Inventory[[#This Row],[sum_land]]-IF(Grandview_Inventory[[#This Row],[no_utilities]]=1,12000,0))/IF(Grandview_Inventory[[#This Row],[unbuildable]]=1,2,1)</f>
        <v>54403.117616176372</v>
      </c>
      <c r="CA882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882">
        <f>ROUND(Grandview_Inventory[[#This Row],[det_value]]*Lookups!$M$28,-2)</f>
        <v>0</v>
      </c>
      <c r="CC882">
        <f>IF(ROUND(Grandview_Inventory[[#This Row],[adj_res]]*Lookups!$M$28,-2)&lt;Grandview_Inventory[[#This Row],[min_res]],Grandview_Inventory[[#This Row],[min_res]],ROUND(Grandview_Inventory[[#This Row],[adj_res]]*Lookups!$M$28,-2))</f>
        <v>327500</v>
      </c>
      <c r="CD882">
        <f>Grandview_Inventory[[#This Row],[final_det]]+Grandview_Inventory[[#This Row],[final_res]]</f>
        <v>327500</v>
      </c>
      <c r="CE882">
        <f>Grandview_Inventory[[#This Row],[final_land]]+Grandview_Inventory[[#This Row],[final_imp]]+Grandview_Inventory[[#This Row],[crop_value]]</f>
        <v>379200</v>
      </c>
      <c r="CG882" t="str">
        <f t="shared" si="13"/>
        <v>update valuation set market_land =51700, market_bldg=327500, market_total =379200, market_mdno =401, market_date ='9/10/2023' where link_id = (select link_id from parcel where parcel_year = '2024' and parcel_id = '23092241406');</v>
      </c>
    </row>
    <row r="883" spans="1:85" x14ac:dyDescent="0.25">
      <c r="A883">
        <v>23092241407</v>
      </c>
      <c r="B883">
        <v>0.28000000000000003</v>
      </c>
      <c r="C883">
        <v>12070</v>
      </c>
      <c r="D883" t="s">
        <v>129</v>
      </c>
      <c r="E883" t="s">
        <v>53</v>
      </c>
      <c r="F883" t="s">
        <v>53</v>
      </c>
      <c r="G883">
        <v>4</v>
      </c>
      <c r="H883" t="s">
        <v>54</v>
      </c>
      <c r="I883">
        <v>204300</v>
      </c>
      <c r="J883">
        <v>44500</v>
      </c>
      <c r="K883">
        <v>0.28000000000000003</v>
      </c>
      <c r="L883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883">
        <v>0</v>
      </c>
      <c r="N883">
        <v>0</v>
      </c>
      <c r="O883">
        <v>0</v>
      </c>
      <c r="P883">
        <v>13398.7528</v>
      </c>
      <c r="Q883">
        <v>63903</v>
      </c>
      <c r="R883">
        <f>(Grandview_Inventory[[#This Row],[ln_acres]]*Grandview_Inventory[[#This Row],[coeff]])+Grandview_Inventory[[#This Row],[const]]</f>
        <v>46846.847586898184</v>
      </c>
      <c r="S883" t="s">
        <v>61</v>
      </c>
      <c r="T883">
        <v>1</v>
      </c>
      <c r="U883" t="s">
        <v>65</v>
      </c>
      <c r="V883" t="s">
        <v>69</v>
      </c>
      <c r="W883">
        <v>0</v>
      </c>
      <c r="X883">
        <v>0</v>
      </c>
      <c r="Y883">
        <v>46</v>
      </c>
      <c r="Z883">
        <v>54</v>
      </c>
      <c r="AA883">
        <v>60</v>
      </c>
      <c r="AB883">
        <v>2000</v>
      </c>
      <c r="AC883">
        <v>1654</v>
      </c>
      <c r="AD883">
        <v>1654</v>
      </c>
      <c r="AE883">
        <v>0</v>
      </c>
      <c r="AF883">
        <v>0</v>
      </c>
      <c r="AG883">
        <v>0</v>
      </c>
      <c r="AH883">
        <v>0</v>
      </c>
      <c r="AI883">
        <v>572</v>
      </c>
      <c r="AJ883">
        <v>0</v>
      </c>
      <c r="AK883">
        <v>0</v>
      </c>
      <c r="AL883">
        <v>0</v>
      </c>
      <c r="AM883">
        <v>392</v>
      </c>
      <c r="AN883">
        <v>0</v>
      </c>
      <c r="AO883">
        <v>392</v>
      </c>
      <c r="AP883">
        <v>8</v>
      </c>
      <c r="AQ883">
        <v>0</v>
      </c>
      <c r="AR883">
        <v>0</v>
      </c>
      <c r="AS883" t="s">
        <v>58</v>
      </c>
      <c r="AT883">
        <v>1</v>
      </c>
      <c r="AU883" t="s">
        <v>59</v>
      </c>
      <c r="AV883" t="s">
        <v>60</v>
      </c>
      <c r="AW883">
        <v>1</v>
      </c>
      <c r="AX883">
        <v>3</v>
      </c>
      <c r="AY883">
        <v>0</v>
      </c>
      <c r="AZ883">
        <v>0</v>
      </c>
      <c r="BA883">
        <v>100</v>
      </c>
      <c r="BB883">
        <v>100</v>
      </c>
      <c r="BC883">
        <v>100</v>
      </c>
      <c r="BD883">
        <v>100</v>
      </c>
      <c r="BE883">
        <v>1</v>
      </c>
      <c r="BF883">
        <v>15000</v>
      </c>
      <c r="BG883">
        <v>1000</v>
      </c>
      <c r="BH883" s="6">
        <f>Grandview_Inventory[[#This Row],[land_extract]]*Lookups!$B$3</f>
        <v>54403.117616176372</v>
      </c>
      <c r="BI883" s="6">
        <f>IF(Grandview_Inventory[[#This Row],[bldg_style]]="",0,Lookups!$B$2)</f>
        <v>155833.95000000001</v>
      </c>
      <c r="BJ883" s="6">
        <f>_xlfn.IFNA(VLOOKUP(Grandview_Inventory[[#This Row],[quality]],Lookups!$H$2:$J$14,3,FALSE),0)</f>
        <v>2251</v>
      </c>
      <c r="BK883" s="6">
        <f>_xlfn.IFNA(VLOOKUP(Grandview_Inventory[[#This Row],[condition]],Lookups!$H$17:$J$24,3,FALSE),0)</f>
        <v>-4503</v>
      </c>
      <c r="BL883" s="6">
        <f>Grandview_Inventory[[#This Row],[Eff_Age]]*Lookups!$B$14</f>
        <v>-11001.6636</v>
      </c>
      <c r="BM883" s="6">
        <f>Grandview_Inventory[[#This Row],[living_area]]*Lookups!$B$15</f>
        <v>103177.93086200001</v>
      </c>
      <c r="BN883" s="6">
        <f>Grandview_Inventory[[#This Row],[Fin BSMT]]*Lookups!$B$16</f>
        <v>0</v>
      </c>
      <c r="BO883" s="6">
        <f>(Grandview_Inventory[[#This Row],[att_gar]]+Grandview_Inventory[[#This Row],[bltin_gar]])*Lookups!$B$17</f>
        <v>50061.689963999997</v>
      </c>
      <c r="BP883" s="6">
        <f>Grandview_Inventory[[#This Row],[Plumbing Fixtures]]*Lookups!$B$18</f>
        <v>16083.5344</v>
      </c>
      <c r="BQ883" s="6">
        <f>Grandview_Inventory[[#This Row],[detatched_value]]*Lookups!$B$19</f>
        <v>0</v>
      </c>
      <c r="BR883" s="6">
        <f>SUM(Grandview_Inventory[[#This Row],[Intercept]:[det_value]])*Grandview_Inventory[[#This Row],[res_pct]]</f>
        <v>311903.44162600004</v>
      </c>
      <c r="BS883" s="6">
        <f>Grandview_Inventory[[#This Row],[land_value]]</f>
        <v>54403.117616176372</v>
      </c>
      <c r="BT883" s="4">
        <f>_xlfn.IFNA(VLOOKUP(Grandview_Inventory[[#This Row],[quality]],Lookups!$A$26:$C$33,3,FALSE),1)</f>
        <v>0.98763855981004833</v>
      </c>
      <c r="BU883" s="4">
        <f>_xlfn.IFNA(VLOOKUP(Grandview_Inventory[[#This Row],[condition]],Lookups!$A$37:$C$44,3,FALSE),1)</f>
        <v>0.96469275950863709</v>
      </c>
      <c r="BV883" s="4">
        <f>IF(Grandview_Inventory[[#This Row],[bldg_style]]="",1,_xlfn.IFNA(VLOOKUP(Grandview_Inventory[[#This Row],[decade]],Lookups!$F$29:$H$43,3,FALSE),1))</f>
        <v>0.95268620544463312</v>
      </c>
      <c r="BW883" s="4">
        <f>_xlfn.IFNA(VLOOKUP(Grandview_Inventory[[#This Row],[living_area_range]],Lookups!$F$47:$H$56,3,FALSE),1)</f>
        <v>0.96120133463014379</v>
      </c>
      <c r="BX883" s="4">
        <f>AVERAGE(Grandview_Inventory[[#This Row],[qual_adj]:[size_adj]])</f>
        <v>0.96655471484836553</v>
      </c>
      <c r="BY883" s="6">
        <f>IF(Grandview_Inventory[[#This Row],[pre_res]]&lt;0,0,Grandview_Inventory[[#This Row],[pre_res]]*Grandview_Inventory[[#This Row],[overall_adj]])</f>
        <v>301471.74208104232</v>
      </c>
      <c r="BZ883" s="6">
        <f>(Grandview_Inventory[[#This Row],[sum_land]]-IF(Grandview_Inventory[[#This Row],[no_utilities]]=1,12000,0))/IF(Grandview_Inventory[[#This Row],[unbuildable]]=1,2,1)</f>
        <v>54403.117616176372</v>
      </c>
      <c r="CA883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883">
        <f>ROUND(Grandview_Inventory[[#This Row],[det_value]]*Lookups!$M$28,-2)</f>
        <v>0</v>
      </c>
      <c r="CC883">
        <f>IF(ROUND(Grandview_Inventory[[#This Row],[adj_res]]*Lookups!$M$28,-2)&lt;Grandview_Inventory[[#This Row],[min_res]],Grandview_Inventory[[#This Row],[min_res]],ROUND(Grandview_Inventory[[#This Row],[adj_res]]*Lookups!$M$28,-2))</f>
        <v>286400</v>
      </c>
      <c r="CD883">
        <f>Grandview_Inventory[[#This Row],[final_det]]+Grandview_Inventory[[#This Row],[final_res]]</f>
        <v>286400</v>
      </c>
      <c r="CE883">
        <f>Grandview_Inventory[[#This Row],[final_land]]+Grandview_Inventory[[#This Row],[final_imp]]+Grandview_Inventory[[#This Row],[crop_value]]</f>
        <v>338100</v>
      </c>
      <c r="CG883" t="str">
        <f t="shared" si="13"/>
        <v>update valuation set market_land =51700, market_bldg=286400, market_total =338100, market_mdno =401, market_date ='9/10/2023' where link_id = (select link_id from parcel where parcel_year = '2024' and parcel_id = '23092241407');</v>
      </c>
    </row>
    <row r="884" spans="1:85" x14ac:dyDescent="0.25">
      <c r="A884">
        <v>23092241408</v>
      </c>
      <c r="B884">
        <v>0.28000000000000003</v>
      </c>
      <c r="C884">
        <v>12070</v>
      </c>
      <c r="D884" t="s">
        <v>129</v>
      </c>
      <c r="E884" t="s">
        <v>53</v>
      </c>
      <c r="F884" t="s">
        <v>53</v>
      </c>
      <c r="G884">
        <v>4</v>
      </c>
      <c r="H884" t="s">
        <v>54</v>
      </c>
      <c r="I884">
        <v>240500</v>
      </c>
      <c r="J884">
        <v>44500</v>
      </c>
      <c r="K884">
        <v>0.28000000000000003</v>
      </c>
      <c r="L884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884">
        <v>0</v>
      </c>
      <c r="N884">
        <v>0</v>
      </c>
      <c r="O884">
        <v>0</v>
      </c>
      <c r="P884">
        <v>13398.7528</v>
      </c>
      <c r="Q884">
        <v>63903</v>
      </c>
      <c r="R884">
        <f>(Grandview_Inventory[[#This Row],[ln_acres]]*Grandview_Inventory[[#This Row],[coeff]])+Grandview_Inventory[[#This Row],[const]]</f>
        <v>46846.847586898184</v>
      </c>
      <c r="S884" t="s">
        <v>61</v>
      </c>
      <c r="T884">
        <v>1</v>
      </c>
      <c r="U884" t="s">
        <v>64</v>
      </c>
      <c r="V884" t="s">
        <v>67</v>
      </c>
      <c r="W884">
        <v>0</v>
      </c>
      <c r="X884">
        <v>0</v>
      </c>
      <c r="Y884">
        <v>48</v>
      </c>
      <c r="Z884">
        <v>62</v>
      </c>
      <c r="AA884">
        <v>70</v>
      </c>
      <c r="AB884">
        <v>3000</v>
      </c>
      <c r="AC884">
        <v>2973</v>
      </c>
      <c r="AD884">
        <v>1592</v>
      </c>
      <c r="AE884">
        <v>0</v>
      </c>
      <c r="AF884">
        <v>0</v>
      </c>
      <c r="AG884">
        <v>1381</v>
      </c>
      <c r="AH884">
        <v>0</v>
      </c>
      <c r="AI884">
        <v>308</v>
      </c>
      <c r="AJ884">
        <v>0</v>
      </c>
      <c r="AK884">
        <v>200</v>
      </c>
      <c r="AL884">
        <v>0</v>
      </c>
      <c r="AM884">
        <v>426</v>
      </c>
      <c r="AN884">
        <v>162</v>
      </c>
      <c r="AO884">
        <v>426</v>
      </c>
      <c r="AP884">
        <v>9</v>
      </c>
      <c r="AQ884">
        <v>0</v>
      </c>
      <c r="AR884">
        <v>2</v>
      </c>
      <c r="AS884" t="s">
        <v>58</v>
      </c>
      <c r="AT884">
        <v>1</v>
      </c>
      <c r="AU884" t="s">
        <v>63</v>
      </c>
      <c r="AV884" t="s">
        <v>64</v>
      </c>
      <c r="AW884">
        <v>1</v>
      </c>
      <c r="AX884">
        <v>4</v>
      </c>
      <c r="AY884">
        <v>0</v>
      </c>
      <c r="AZ884">
        <v>0</v>
      </c>
      <c r="BA884">
        <v>100</v>
      </c>
      <c r="BB884">
        <v>100</v>
      </c>
      <c r="BC884">
        <v>100</v>
      </c>
      <c r="BD884">
        <v>100</v>
      </c>
      <c r="BE884">
        <v>1</v>
      </c>
      <c r="BF884">
        <v>15000</v>
      </c>
      <c r="BG884">
        <v>1000</v>
      </c>
      <c r="BH884" s="6">
        <f>Grandview_Inventory[[#This Row],[land_extract]]*Lookups!$B$3</f>
        <v>54403.117616176372</v>
      </c>
      <c r="BI884" s="6">
        <f>IF(Grandview_Inventory[[#This Row],[bldg_style]]="",0,Lookups!$B$2)</f>
        <v>155833.95000000001</v>
      </c>
      <c r="BJ884" s="6">
        <f>_xlfn.IFNA(VLOOKUP(Grandview_Inventory[[#This Row],[quality]],Lookups!$H$2:$J$14,3,FALSE),0)</f>
        <v>20768</v>
      </c>
      <c r="BK884" s="6">
        <f>_xlfn.IFNA(VLOOKUP(Grandview_Inventory[[#This Row],[condition]],Lookups!$H$17:$J$24,3,FALSE),0)</f>
        <v>22342</v>
      </c>
      <c r="BL884" s="6">
        <f>Grandview_Inventory[[#This Row],[Eff_Age]]*Lookups!$B$14</f>
        <v>-11479.996799999999</v>
      </c>
      <c r="BM884" s="6">
        <f>Grandview_Inventory[[#This Row],[living_area]]*Lookups!$B$15</f>
        <v>185458.27596900001</v>
      </c>
      <c r="BN884" s="6">
        <f>Grandview_Inventory[[#This Row],[Fin BSMT]]*Lookups!$B$16</f>
        <v>-37424.050439999999</v>
      </c>
      <c r="BO884" s="6">
        <f>(Grandview_Inventory[[#This Row],[att_gar]]+Grandview_Inventory[[#This Row],[bltin_gar]])*Lookups!$B$17</f>
        <v>26956.294596</v>
      </c>
      <c r="BP884" s="6">
        <f>Grandview_Inventory[[#This Row],[Plumbing Fixtures]]*Lookups!$B$18</f>
        <v>18093.976200000001</v>
      </c>
      <c r="BQ884" s="6">
        <f>Grandview_Inventory[[#This Row],[detatched_value]]*Lookups!$B$19</f>
        <v>0</v>
      </c>
      <c r="BR884" s="6">
        <f>SUM(Grandview_Inventory[[#This Row],[Intercept]:[det_value]])*Grandview_Inventory[[#This Row],[res_pct]]</f>
        <v>380548.449525</v>
      </c>
      <c r="BS884" s="6">
        <f>Grandview_Inventory[[#This Row],[land_value]]</f>
        <v>54403.117616176372</v>
      </c>
      <c r="BT884" s="4">
        <f>_xlfn.IFNA(VLOOKUP(Grandview_Inventory[[#This Row],[quality]],Lookups!$A$26:$C$33,3,FALSE),1)</f>
        <v>0.94960540378902636</v>
      </c>
      <c r="BU884" s="4">
        <f>_xlfn.IFNA(VLOOKUP(Grandview_Inventory[[#This Row],[condition]],Lookups!$A$37:$C$44,3,FALSE),1)</f>
        <v>0.97383723671140243</v>
      </c>
      <c r="BV884" s="4">
        <f>IF(Grandview_Inventory[[#This Row],[bldg_style]]="",1,_xlfn.IFNA(VLOOKUP(Grandview_Inventory[[#This Row],[decade]],Lookups!$F$29:$H$43,3,FALSE),1))</f>
        <v>0.99472141305414818</v>
      </c>
      <c r="BW884" s="4">
        <f>_xlfn.IFNA(VLOOKUP(Grandview_Inventory[[#This Row],[living_area_range]],Lookups!$F$47:$H$56,3,FALSE),1)</f>
        <v>0.94224801443562123</v>
      </c>
      <c r="BX884" s="4">
        <f>AVERAGE(Grandview_Inventory[[#This Row],[qual_adj]:[size_adj]])</f>
        <v>0.96510301699754952</v>
      </c>
      <c r="BY884" s="6">
        <f>IF(Grandview_Inventory[[#This Row],[pre_res]]&lt;0,0,Grandview_Inventory[[#This Row],[pre_res]]*Grandview_Inventory[[#This Row],[overall_adj]])</f>
        <v>367268.45675031719</v>
      </c>
      <c r="BZ884" s="6">
        <f>(Grandview_Inventory[[#This Row],[sum_land]]-IF(Grandview_Inventory[[#This Row],[no_utilities]]=1,12000,0))/IF(Grandview_Inventory[[#This Row],[unbuildable]]=1,2,1)</f>
        <v>54403.117616176372</v>
      </c>
      <c r="CA884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884">
        <f>ROUND(Grandview_Inventory[[#This Row],[det_value]]*Lookups!$M$28,-2)</f>
        <v>0</v>
      </c>
      <c r="CC884">
        <f>IF(ROUND(Grandview_Inventory[[#This Row],[adj_res]]*Lookups!$M$28,-2)&lt;Grandview_Inventory[[#This Row],[min_res]],Grandview_Inventory[[#This Row],[min_res]],ROUND(Grandview_Inventory[[#This Row],[adj_res]]*Lookups!$M$28,-2))</f>
        <v>348900</v>
      </c>
      <c r="CD884">
        <f>Grandview_Inventory[[#This Row],[final_det]]+Grandview_Inventory[[#This Row],[final_res]]</f>
        <v>348900</v>
      </c>
      <c r="CE884">
        <f>Grandview_Inventory[[#This Row],[final_land]]+Grandview_Inventory[[#This Row],[final_imp]]+Grandview_Inventory[[#This Row],[crop_value]]</f>
        <v>400600</v>
      </c>
      <c r="CG884" t="str">
        <f t="shared" si="13"/>
        <v>update valuation set market_land =51700, market_bldg=348900, market_total =400600, market_mdno =401, market_date ='9/10/2023' where link_id = (select link_id from parcel where parcel_year = '2024' and parcel_id = '23092241408');</v>
      </c>
    </row>
    <row r="885" spans="1:85" x14ac:dyDescent="0.25">
      <c r="A885">
        <v>23092241409</v>
      </c>
      <c r="B885">
        <v>0.18</v>
      </c>
      <c r="C885" t="s">
        <v>129</v>
      </c>
      <c r="D885" t="s">
        <v>129</v>
      </c>
      <c r="E885" t="s">
        <v>53</v>
      </c>
      <c r="F885" t="s">
        <v>53</v>
      </c>
      <c r="G885">
        <v>4</v>
      </c>
      <c r="H885" t="s">
        <v>54</v>
      </c>
      <c r="I885">
        <v>196000</v>
      </c>
      <c r="J885">
        <v>43100</v>
      </c>
      <c r="K885">
        <v>0.18</v>
      </c>
      <c r="L88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85">
        <v>0</v>
      </c>
      <c r="N885">
        <v>0</v>
      </c>
      <c r="O885">
        <v>0</v>
      </c>
      <c r="P885">
        <v>13398.7528</v>
      </c>
      <c r="Q885">
        <v>63903</v>
      </c>
      <c r="R885">
        <f>(Grandview_Inventory[[#This Row],[ln_acres]]*Grandview_Inventory[[#This Row],[coeff]])+Grandview_Inventory[[#This Row],[const]]</f>
        <v>40926.839760167699</v>
      </c>
      <c r="S885" t="s">
        <v>61</v>
      </c>
      <c r="T885">
        <v>1</v>
      </c>
      <c r="U885" t="s">
        <v>65</v>
      </c>
      <c r="V885" t="s">
        <v>69</v>
      </c>
      <c r="W885">
        <v>0</v>
      </c>
      <c r="X885">
        <v>0</v>
      </c>
      <c r="Y885">
        <v>48</v>
      </c>
      <c r="Z885">
        <v>63</v>
      </c>
      <c r="AA885">
        <v>70</v>
      </c>
      <c r="AB885">
        <v>3000</v>
      </c>
      <c r="AC885">
        <v>2888</v>
      </c>
      <c r="AD885">
        <v>1444</v>
      </c>
      <c r="AE885">
        <v>0</v>
      </c>
      <c r="AF885">
        <v>0</v>
      </c>
      <c r="AG885">
        <v>1444</v>
      </c>
      <c r="AH885">
        <v>0</v>
      </c>
      <c r="AI885">
        <v>406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8</v>
      </c>
      <c r="AQ885">
        <v>0</v>
      </c>
      <c r="AR885">
        <v>0</v>
      </c>
      <c r="AS885" t="s">
        <v>58</v>
      </c>
      <c r="AT885">
        <v>1</v>
      </c>
      <c r="AU885" t="s">
        <v>63</v>
      </c>
      <c r="AV885" t="s">
        <v>64</v>
      </c>
      <c r="AW885">
        <v>0</v>
      </c>
      <c r="AX885">
        <v>4</v>
      </c>
      <c r="AY885">
        <v>0</v>
      </c>
      <c r="AZ885">
        <v>0</v>
      </c>
      <c r="BA885">
        <v>100</v>
      </c>
      <c r="BB885">
        <v>100</v>
      </c>
      <c r="BC885">
        <v>100</v>
      </c>
      <c r="BD885">
        <v>100</v>
      </c>
      <c r="BE885">
        <v>1</v>
      </c>
      <c r="BF885">
        <v>15000</v>
      </c>
      <c r="BG885">
        <v>1000</v>
      </c>
      <c r="BH885" s="6">
        <f>Grandview_Inventory[[#This Row],[land_extract]]*Lookups!$B$3</f>
        <v>47528.228511015397</v>
      </c>
      <c r="BI885" s="6">
        <f>IF(Grandview_Inventory[[#This Row],[bldg_style]]="",0,Lookups!$B$2)</f>
        <v>155833.95000000001</v>
      </c>
      <c r="BJ885" s="6">
        <f>_xlfn.IFNA(VLOOKUP(Grandview_Inventory[[#This Row],[quality]],Lookups!$H$2:$J$14,3,FALSE),0)</f>
        <v>2251</v>
      </c>
      <c r="BK885" s="6">
        <f>_xlfn.IFNA(VLOOKUP(Grandview_Inventory[[#This Row],[condition]],Lookups!$H$17:$J$24,3,FALSE),0)</f>
        <v>-4503</v>
      </c>
      <c r="BL885" s="6">
        <f>Grandview_Inventory[[#This Row],[Eff_Age]]*Lookups!$B$14</f>
        <v>-11479.996799999999</v>
      </c>
      <c r="BM885" s="6">
        <f>Grandview_Inventory[[#This Row],[living_area]]*Lookups!$B$15</f>
        <v>180155.903464</v>
      </c>
      <c r="BN885" s="6">
        <f>Grandview_Inventory[[#This Row],[Fin BSMT]]*Lookups!$B$16</f>
        <v>-39131.302560000004</v>
      </c>
      <c r="BO885" s="6">
        <f>(Grandview_Inventory[[#This Row],[att_gar]]+Grandview_Inventory[[#This Row],[bltin_gar]])*Lookups!$B$17</f>
        <v>35533.297422000003</v>
      </c>
      <c r="BP885" s="6">
        <f>Grandview_Inventory[[#This Row],[Plumbing Fixtures]]*Lookups!$B$18</f>
        <v>16083.5344</v>
      </c>
      <c r="BQ885" s="6">
        <f>Grandview_Inventory[[#This Row],[detatched_value]]*Lookups!$B$19</f>
        <v>0</v>
      </c>
      <c r="BR885" s="6">
        <f>SUM(Grandview_Inventory[[#This Row],[Intercept]:[det_value]])*Grandview_Inventory[[#This Row],[res_pct]]</f>
        <v>334743.38592600008</v>
      </c>
      <c r="BS885" s="6">
        <f>Grandview_Inventory[[#This Row],[land_value]]</f>
        <v>47528.228511015397</v>
      </c>
      <c r="BT885" s="4">
        <f>_xlfn.IFNA(VLOOKUP(Grandview_Inventory[[#This Row],[quality]],Lookups!$A$26:$C$33,3,FALSE),1)</f>
        <v>0.98763855981004833</v>
      </c>
      <c r="BU885" s="4">
        <f>_xlfn.IFNA(VLOOKUP(Grandview_Inventory[[#This Row],[condition]],Lookups!$A$37:$C$44,3,FALSE),1)</f>
        <v>0.96469275950863709</v>
      </c>
      <c r="BV885" s="4">
        <f>IF(Grandview_Inventory[[#This Row],[bldg_style]]="",1,_xlfn.IFNA(VLOOKUP(Grandview_Inventory[[#This Row],[decade]],Lookups!$F$29:$H$43,3,FALSE),1))</f>
        <v>0.99472141305414818</v>
      </c>
      <c r="BW885" s="4">
        <f>_xlfn.IFNA(VLOOKUP(Grandview_Inventory[[#This Row],[living_area_range]],Lookups!$F$47:$H$56,3,FALSE),1)</f>
        <v>0.94224801443562123</v>
      </c>
      <c r="BX885" s="4">
        <f>AVERAGE(Grandview_Inventory[[#This Row],[qual_adj]:[size_adj]])</f>
        <v>0.97232518670211376</v>
      </c>
      <c r="BY885" s="6">
        <f>IF(Grandview_Inventory[[#This Row],[pre_res]]&lt;0,0,Grandview_Inventory[[#This Row],[pre_res]]*Grandview_Inventory[[#This Row],[overall_adj]])</f>
        <v>325479.42521779577</v>
      </c>
      <c r="BZ885" s="6">
        <f>(Grandview_Inventory[[#This Row],[sum_land]]-IF(Grandview_Inventory[[#This Row],[no_utilities]]=1,12000,0))/IF(Grandview_Inventory[[#This Row],[unbuildable]]=1,2,1)</f>
        <v>47528.228511015397</v>
      </c>
      <c r="CA88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85">
        <f>ROUND(Grandview_Inventory[[#This Row],[det_value]]*Lookups!$M$28,-2)</f>
        <v>0</v>
      </c>
      <c r="CC885">
        <f>IF(ROUND(Grandview_Inventory[[#This Row],[adj_res]]*Lookups!$M$28,-2)&lt;Grandview_Inventory[[#This Row],[min_res]],Grandview_Inventory[[#This Row],[min_res]],ROUND(Grandview_Inventory[[#This Row],[adj_res]]*Lookups!$M$28,-2))</f>
        <v>309200</v>
      </c>
      <c r="CD885">
        <f>Grandview_Inventory[[#This Row],[final_det]]+Grandview_Inventory[[#This Row],[final_res]]</f>
        <v>309200</v>
      </c>
      <c r="CE885">
        <f>Grandview_Inventory[[#This Row],[final_land]]+Grandview_Inventory[[#This Row],[final_imp]]+Grandview_Inventory[[#This Row],[crop_value]]</f>
        <v>354400</v>
      </c>
      <c r="CG885" t="str">
        <f t="shared" si="13"/>
        <v>update valuation set market_land =45200, market_bldg=309200, market_total =354400, market_mdno =401, market_date ='9/10/2023' where link_id = (select link_id from parcel where parcel_year = '2024' and parcel_id = '23092241409');</v>
      </c>
    </row>
    <row r="886" spans="1:85" x14ac:dyDescent="0.25">
      <c r="A886">
        <v>23092241410</v>
      </c>
      <c r="B886">
        <v>0.18</v>
      </c>
      <c r="C886">
        <v>8047</v>
      </c>
      <c r="D886" t="s">
        <v>129</v>
      </c>
      <c r="E886" t="s">
        <v>53</v>
      </c>
      <c r="F886" t="s">
        <v>53</v>
      </c>
      <c r="G886">
        <v>4</v>
      </c>
      <c r="H886" t="s">
        <v>54</v>
      </c>
      <c r="I886">
        <v>213900</v>
      </c>
      <c r="J886">
        <v>39000</v>
      </c>
      <c r="K886">
        <v>0.18</v>
      </c>
      <c r="L88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86">
        <v>0</v>
      </c>
      <c r="N886">
        <v>0</v>
      </c>
      <c r="O886">
        <v>0</v>
      </c>
      <c r="P886">
        <v>13398.7528</v>
      </c>
      <c r="Q886">
        <v>63903</v>
      </c>
      <c r="R886">
        <f>(Grandview_Inventory[[#This Row],[ln_acres]]*Grandview_Inventory[[#This Row],[coeff]])+Grandview_Inventory[[#This Row],[const]]</f>
        <v>40926.839760167699</v>
      </c>
      <c r="S886" t="s">
        <v>61</v>
      </c>
      <c r="T886">
        <v>1</v>
      </c>
      <c r="U886" t="s">
        <v>62</v>
      </c>
      <c r="V886" t="s">
        <v>67</v>
      </c>
      <c r="W886">
        <v>0</v>
      </c>
      <c r="X886">
        <v>0</v>
      </c>
      <c r="Y886">
        <v>37</v>
      </c>
      <c r="Z886">
        <v>58</v>
      </c>
      <c r="AA886">
        <v>60</v>
      </c>
      <c r="AB886">
        <v>1500</v>
      </c>
      <c r="AC886">
        <v>1430</v>
      </c>
      <c r="AD886">
        <v>1430</v>
      </c>
      <c r="AE886">
        <v>0</v>
      </c>
      <c r="AF886">
        <v>0</v>
      </c>
      <c r="AG886">
        <v>0</v>
      </c>
      <c r="AH886">
        <v>0</v>
      </c>
      <c r="AI886">
        <v>360</v>
      </c>
      <c r="AJ886">
        <v>0</v>
      </c>
      <c r="AK886">
        <v>0</v>
      </c>
      <c r="AL886">
        <v>0</v>
      </c>
      <c r="AM886">
        <v>0</v>
      </c>
      <c r="AN886">
        <v>368</v>
      </c>
      <c r="AO886">
        <v>0</v>
      </c>
      <c r="AP886">
        <v>8</v>
      </c>
      <c r="AQ886">
        <v>0</v>
      </c>
      <c r="AR886">
        <v>0</v>
      </c>
      <c r="AS886" t="s">
        <v>58</v>
      </c>
      <c r="AT886">
        <v>1</v>
      </c>
      <c r="AU886" t="s">
        <v>63</v>
      </c>
      <c r="AV886" t="s">
        <v>64</v>
      </c>
      <c r="AW886">
        <v>1</v>
      </c>
      <c r="AX886">
        <v>3</v>
      </c>
      <c r="AY886">
        <v>0</v>
      </c>
      <c r="AZ886">
        <v>0</v>
      </c>
      <c r="BA886">
        <v>100</v>
      </c>
      <c r="BB886">
        <v>100</v>
      </c>
      <c r="BC886">
        <v>100</v>
      </c>
      <c r="BD886">
        <v>100</v>
      </c>
      <c r="BE886">
        <v>1</v>
      </c>
      <c r="BF886">
        <v>15000</v>
      </c>
      <c r="BG886">
        <v>1000</v>
      </c>
      <c r="BH886" s="6">
        <f>Grandview_Inventory[[#This Row],[land_extract]]*Lookups!$B$3</f>
        <v>47528.228511015397</v>
      </c>
      <c r="BI886" s="6">
        <f>IF(Grandview_Inventory[[#This Row],[bldg_style]]="",0,Lookups!$B$2)</f>
        <v>155833.95000000001</v>
      </c>
      <c r="BJ886" s="6">
        <f>_xlfn.IFNA(VLOOKUP(Grandview_Inventory[[#This Row],[quality]],Lookups!$H$2:$J$14,3,FALSE),0)</f>
        <v>9808</v>
      </c>
      <c r="BK886" s="6">
        <f>_xlfn.IFNA(VLOOKUP(Grandview_Inventory[[#This Row],[condition]],Lookups!$H$17:$J$24,3,FALSE),0)</f>
        <v>22342</v>
      </c>
      <c r="BL886" s="6">
        <f>Grandview_Inventory[[#This Row],[Eff_Age]]*Lookups!$B$14</f>
        <v>-8849.1641999999993</v>
      </c>
      <c r="BM886" s="6">
        <f>Grandview_Inventory[[#This Row],[living_area]]*Lookups!$B$15</f>
        <v>89204.619789999997</v>
      </c>
      <c r="BN886" s="6">
        <f>Grandview_Inventory[[#This Row],[Fin BSMT]]*Lookups!$B$16</f>
        <v>0</v>
      </c>
      <c r="BO886" s="6">
        <f>(Grandview_Inventory[[#This Row],[att_gar]]+Grandview_Inventory[[#This Row],[bltin_gar]])*Lookups!$B$17</f>
        <v>31507.357319999999</v>
      </c>
      <c r="BP886" s="6">
        <f>Grandview_Inventory[[#This Row],[Plumbing Fixtures]]*Lookups!$B$18</f>
        <v>16083.5344</v>
      </c>
      <c r="BQ886" s="6">
        <f>Grandview_Inventory[[#This Row],[detatched_value]]*Lookups!$B$19</f>
        <v>0</v>
      </c>
      <c r="BR886" s="6">
        <f>SUM(Grandview_Inventory[[#This Row],[Intercept]:[det_value]])*Grandview_Inventory[[#This Row],[res_pct]]</f>
        <v>315930.29730999999</v>
      </c>
      <c r="BS886" s="6">
        <f>Grandview_Inventory[[#This Row],[land_value]]</f>
        <v>47528.228511015397</v>
      </c>
      <c r="BT886" s="4">
        <f>_xlfn.IFNA(VLOOKUP(Grandview_Inventory[[#This Row],[quality]],Lookups!$A$26:$C$33,3,FALSE),1)</f>
        <v>0.94295468617355149</v>
      </c>
      <c r="BU886" s="4">
        <f>_xlfn.IFNA(VLOOKUP(Grandview_Inventory[[#This Row],[condition]],Lookups!$A$37:$C$44,3,FALSE),1)</f>
        <v>0.97383723671140243</v>
      </c>
      <c r="BV886" s="4">
        <f>IF(Grandview_Inventory[[#This Row],[bldg_style]]="",1,_xlfn.IFNA(VLOOKUP(Grandview_Inventory[[#This Row],[decade]],Lookups!$F$29:$H$43,3,FALSE),1))</f>
        <v>0.95268620544463312</v>
      </c>
      <c r="BW886" s="4">
        <f>_xlfn.IFNA(VLOOKUP(Grandview_Inventory[[#This Row],[living_area_range]],Lookups!$F$47:$H$56,3,FALSE),1)</f>
        <v>0.96135087979789358</v>
      </c>
      <c r="BX886" s="4">
        <f>AVERAGE(Grandview_Inventory[[#This Row],[qual_adj]:[size_adj]])</f>
        <v>0.95770725203187013</v>
      </c>
      <c r="BY886" s="6">
        <f>IF(Grandview_Inventory[[#This Row],[pre_res]]&lt;0,0,Grandview_Inventory[[#This Row],[pre_res]]*Grandview_Inventory[[#This Row],[overall_adj]])</f>
        <v>302568.73687037185</v>
      </c>
      <c r="BZ886" s="6">
        <f>(Grandview_Inventory[[#This Row],[sum_land]]-IF(Grandview_Inventory[[#This Row],[no_utilities]]=1,12000,0))/IF(Grandview_Inventory[[#This Row],[unbuildable]]=1,2,1)</f>
        <v>47528.228511015397</v>
      </c>
      <c r="CA88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86">
        <f>ROUND(Grandview_Inventory[[#This Row],[det_value]]*Lookups!$M$28,-2)</f>
        <v>0</v>
      </c>
      <c r="CC886">
        <f>IF(ROUND(Grandview_Inventory[[#This Row],[adj_res]]*Lookups!$M$28,-2)&lt;Grandview_Inventory[[#This Row],[min_res]],Grandview_Inventory[[#This Row],[min_res]],ROUND(Grandview_Inventory[[#This Row],[adj_res]]*Lookups!$M$28,-2))</f>
        <v>287400</v>
      </c>
      <c r="CD886">
        <f>Grandview_Inventory[[#This Row],[final_det]]+Grandview_Inventory[[#This Row],[final_res]]</f>
        <v>287400</v>
      </c>
      <c r="CE886">
        <f>Grandview_Inventory[[#This Row],[final_land]]+Grandview_Inventory[[#This Row],[final_imp]]+Grandview_Inventory[[#This Row],[crop_value]]</f>
        <v>332600</v>
      </c>
      <c r="CG886" t="str">
        <f t="shared" si="13"/>
        <v>update valuation set market_land =45200, market_bldg=287400, market_total =332600, market_mdno =401, market_date ='9/10/2023' where link_id = (select link_id from parcel where parcel_year = '2024' and parcel_id = '23092241410');</v>
      </c>
    </row>
    <row r="887" spans="1:85" x14ac:dyDescent="0.25">
      <c r="A887">
        <v>23092241411</v>
      </c>
      <c r="B887">
        <v>0.18</v>
      </c>
      <c r="C887">
        <v>8047</v>
      </c>
      <c r="D887" t="s">
        <v>129</v>
      </c>
      <c r="E887" t="s">
        <v>53</v>
      </c>
      <c r="F887" t="s">
        <v>53</v>
      </c>
      <c r="G887">
        <v>4</v>
      </c>
      <c r="H887" t="s">
        <v>54</v>
      </c>
      <c r="I887">
        <v>185600</v>
      </c>
      <c r="J887">
        <v>39000</v>
      </c>
      <c r="K887">
        <v>0.18</v>
      </c>
      <c r="L88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87">
        <v>0</v>
      </c>
      <c r="N887">
        <v>0</v>
      </c>
      <c r="O887">
        <v>0</v>
      </c>
      <c r="P887">
        <v>13398.7528</v>
      </c>
      <c r="Q887">
        <v>63903</v>
      </c>
      <c r="R887">
        <f>(Grandview_Inventory[[#This Row],[ln_acres]]*Grandview_Inventory[[#This Row],[coeff]])+Grandview_Inventory[[#This Row],[const]]</f>
        <v>40926.839760167699</v>
      </c>
      <c r="S887" t="s">
        <v>61</v>
      </c>
      <c r="T887">
        <v>1</v>
      </c>
      <c r="U887" t="s">
        <v>70</v>
      </c>
      <c r="V887" t="s">
        <v>69</v>
      </c>
      <c r="W887">
        <v>0</v>
      </c>
      <c r="X887">
        <v>0</v>
      </c>
      <c r="Y887">
        <v>49</v>
      </c>
      <c r="Z887">
        <v>65</v>
      </c>
      <c r="AA887">
        <v>70</v>
      </c>
      <c r="AB887">
        <v>2000</v>
      </c>
      <c r="AC887">
        <v>1806</v>
      </c>
      <c r="AD887">
        <v>1806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288</v>
      </c>
      <c r="AL887">
        <v>0</v>
      </c>
      <c r="AM887">
        <v>224</v>
      </c>
      <c r="AN887">
        <v>108</v>
      </c>
      <c r="AO887">
        <v>224</v>
      </c>
      <c r="AP887">
        <v>5</v>
      </c>
      <c r="AQ887">
        <v>0</v>
      </c>
      <c r="AR887">
        <v>0</v>
      </c>
      <c r="AS887" t="s">
        <v>58</v>
      </c>
      <c r="AT887">
        <v>1</v>
      </c>
      <c r="AU887" t="s">
        <v>63</v>
      </c>
      <c r="AV887" t="s">
        <v>64</v>
      </c>
      <c r="AW887">
        <v>1</v>
      </c>
      <c r="AX887">
        <v>3</v>
      </c>
      <c r="AY887">
        <v>0</v>
      </c>
      <c r="AZ887">
        <v>0</v>
      </c>
      <c r="BA887">
        <v>100</v>
      </c>
      <c r="BB887">
        <v>100</v>
      </c>
      <c r="BC887">
        <v>100</v>
      </c>
      <c r="BD887">
        <v>100</v>
      </c>
      <c r="BE887">
        <v>1</v>
      </c>
      <c r="BF887">
        <v>15000</v>
      </c>
      <c r="BG887">
        <v>1000</v>
      </c>
      <c r="BH887" s="6">
        <f>Grandview_Inventory[[#This Row],[land_extract]]*Lookups!$B$3</f>
        <v>47528.228511015397</v>
      </c>
      <c r="BI887" s="6">
        <f>IF(Grandview_Inventory[[#This Row],[bldg_style]]="",0,Lookups!$B$2)</f>
        <v>155833.95000000001</v>
      </c>
      <c r="BJ887" s="6">
        <f>_xlfn.IFNA(VLOOKUP(Grandview_Inventory[[#This Row],[quality]],Lookups!$H$2:$J$14,3,FALSE),0)</f>
        <v>10733</v>
      </c>
      <c r="BK887" s="6">
        <f>_xlfn.IFNA(VLOOKUP(Grandview_Inventory[[#This Row],[condition]],Lookups!$H$17:$J$24,3,FALSE),0)</f>
        <v>-4503</v>
      </c>
      <c r="BL887" s="6">
        <f>Grandview_Inventory[[#This Row],[Eff_Age]]*Lookups!$B$14</f>
        <v>-11719.163399999999</v>
      </c>
      <c r="BM887" s="6">
        <f>Grandview_Inventory[[#This Row],[living_area]]*Lookups!$B$15</f>
        <v>112659.82051800001</v>
      </c>
      <c r="BN887" s="6">
        <f>Grandview_Inventory[[#This Row],[Fin BSMT]]*Lookups!$B$16</f>
        <v>0</v>
      </c>
      <c r="BO887" s="6">
        <f>(Grandview_Inventory[[#This Row],[att_gar]]+Grandview_Inventory[[#This Row],[bltin_gar]])*Lookups!$B$17</f>
        <v>0</v>
      </c>
      <c r="BP887" s="6">
        <f>Grandview_Inventory[[#This Row],[Plumbing Fixtures]]*Lookups!$B$18</f>
        <v>10052.209000000001</v>
      </c>
      <c r="BQ887" s="6">
        <f>Grandview_Inventory[[#This Row],[detatched_value]]*Lookups!$B$19</f>
        <v>0</v>
      </c>
      <c r="BR887" s="6">
        <f>SUM(Grandview_Inventory[[#This Row],[Intercept]:[det_value]])*Grandview_Inventory[[#This Row],[res_pct]]</f>
        <v>273056.81611800002</v>
      </c>
      <c r="BS887" s="6">
        <f>Grandview_Inventory[[#This Row],[land_value]]</f>
        <v>47528.228511015397</v>
      </c>
      <c r="BT887" s="4">
        <f>_xlfn.IFNA(VLOOKUP(Grandview_Inventory[[#This Row],[quality]],Lookups!$A$26:$C$33,3,FALSE),1)</f>
        <v>0.98079741117310582</v>
      </c>
      <c r="BU887" s="4">
        <f>_xlfn.IFNA(VLOOKUP(Grandview_Inventory[[#This Row],[condition]],Lookups!$A$37:$C$44,3,FALSE),1)</f>
        <v>0.96469275950863709</v>
      </c>
      <c r="BV887" s="4">
        <f>IF(Grandview_Inventory[[#This Row],[bldg_style]]="",1,_xlfn.IFNA(VLOOKUP(Grandview_Inventory[[#This Row],[decade]],Lookups!$F$29:$H$43,3,FALSE),1))</f>
        <v>0.99472141305414818</v>
      </c>
      <c r="BW887" s="4">
        <f>_xlfn.IFNA(VLOOKUP(Grandview_Inventory[[#This Row],[living_area_range]],Lookups!$F$47:$H$56,3,FALSE),1)</f>
        <v>0.96120133463014379</v>
      </c>
      <c r="BX887" s="4">
        <f>AVERAGE(Grandview_Inventory[[#This Row],[qual_adj]:[size_adj]])</f>
        <v>0.97535322959150883</v>
      </c>
      <c r="BY887" s="6">
        <f>IF(Grandview_Inventory[[#This Row],[pre_res]]&lt;0,0,Grandview_Inventory[[#This Row],[pre_res]]*Grandview_Inventory[[#This Row],[overall_adj]])</f>
        <v>266326.8474626661</v>
      </c>
      <c r="BZ887" s="6">
        <f>(Grandview_Inventory[[#This Row],[sum_land]]-IF(Grandview_Inventory[[#This Row],[no_utilities]]=1,12000,0))/IF(Grandview_Inventory[[#This Row],[unbuildable]]=1,2,1)</f>
        <v>47528.228511015397</v>
      </c>
      <c r="CA88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87">
        <f>ROUND(Grandview_Inventory[[#This Row],[det_value]]*Lookups!$M$28,-2)</f>
        <v>0</v>
      </c>
      <c r="CC887">
        <f>IF(ROUND(Grandview_Inventory[[#This Row],[adj_res]]*Lookups!$M$28,-2)&lt;Grandview_Inventory[[#This Row],[min_res]],Grandview_Inventory[[#This Row],[min_res]],ROUND(Grandview_Inventory[[#This Row],[adj_res]]*Lookups!$M$28,-2))</f>
        <v>253000</v>
      </c>
      <c r="CD887">
        <f>Grandview_Inventory[[#This Row],[final_det]]+Grandview_Inventory[[#This Row],[final_res]]</f>
        <v>253000</v>
      </c>
      <c r="CE887">
        <f>Grandview_Inventory[[#This Row],[final_land]]+Grandview_Inventory[[#This Row],[final_imp]]+Grandview_Inventory[[#This Row],[crop_value]]</f>
        <v>298200</v>
      </c>
      <c r="CG887" t="str">
        <f t="shared" si="13"/>
        <v>update valuation set market_land =45200, market_bldg=253000, market_total =298200, market_mdno =401, market_date ='9/10/2023' where link_id = (select link_id from parcel where parcel_year = '2024' and parcel_id = '23092241411');</v>
      </c>
    </row>
    <row r="888" spans="1:85" x14ac:dyDescent="0.25">
      <c r="A888">
        <v>23092241412</v>
      </c>
      <c r="B888">
        <v>0.18</v>
      </c>
      <c r="C888">
        <v>8047</v>
      </c>
      <c r="D888" t="s">
        <v>129</v>
      </c>
      <c r="E888" t="s">
        <v>53</v>
      </c>
      <c r="F888" t="s">
        <v>53</v>
      </c>
      <c r="G888">
        <v>4</v>
      </c>
      <c r="H888" t="s">
        <v>54</v>
      </c>
      <c r="I888">
        <v>189100</v>
      </c>
      <c r="J888">
        <v>43300</v>
      </c>
      <c r="K888">
        <v>0.18</v>
      </c>
      <c r="L88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88">
        <v>0</v>
      </c>
      <c r="N888">
        <v>0</v>
      </c>
      <c r="O888">
        <v>0</v>
      </c>
      <c r="P888">
        <v>13398.7528</v>
      </c>
      <c r="Q888">
        <v>63903</v>
      </c>
      <c r="R888">
        <f>(Grandview_Inventory[[#This Row],[ln_acres]]*Grandview_Inventory[[#This Row],[coeff]])+Grandview_Inventory[[#This Row],[const]]</f>
        <v>40926.839760167699</v>
      </c>
      <c r="S888" t="s">
        <v>68</v>
      </c>
      <c r="T888">
        <v>1</v>
      </c>
      <c r="U888" t="s">
        <v>62</v>
      </c>
      <c r="V888" t="s">
        <v>78</v>
      </c>
      <c r="W888">
        <v>0</v>
      </c>
      <c r="X888">
        <v>0</v>
      </c>
      <c r="Y888">
        <v>49</v>
      </c>
      <c r="Z888">
        <v>65</v>
      </c>
      <c r="AA888">
        <v>70</v>
      </c>
      <c r="AB888">
        <v>3000</v>
      </c>
      <c r="AC888">
        <v>2750</v>
      </c>
      <c r="AD888">
        <v>1375</v>
      </c>
      <c r="AE888">
        <v>0</v>
      </c>
      <c r="AF888">
        <v>0</v>
      </c>
      <c r="AG888">
        <v>1375</v>
      </c>
      <c r="AH888">
        <v>0</v>
      </c>
      <c r="AI888">
        <v>550</v>
      </c>
      <c r="AJ888">
        <v>0</v>
      </c>
      <c r="AK888">
        <v>0</v>
      </c>
      <c r="AL888">
        <v>0</v>
      </c>
      <c r="AM888">
        <v>576</v>
      </c>
      <c r="AN888">
        <v>0</v>
      </c>
      <c r="AO888">
        <v>576</v>
      </c>
      <c r="AP888">
        <v>10</v>
      </c>
      <c r="AQ888">
        <v>0</v>
      </c>
      <c r="AR888">
        <v>1</v>
      </c>
      <c r="AS888" t="s">
        <v>58</v>
      </c>
      <c r="AT888">
        <v>1</v>
      </c>
      <c r="AU888" t="s">
        <v>63</v>
      </c>
      <c r="AV888" t="s">
        <v>60</v>
      </c>
      <c r="AW888">
        <v>1</v>
      </c>
      <c r="AX888">
        <v>3</v>
      </c>
      <c r="AY888">
        <v>0</v>
      </c>
      <c r="AZ888">
        <v>0</v>
      </c>
      <c r="BA888">
        <v>100</v>
      </c>
      <c r="BB888">
        <v>100</v>
      </c>
      <c r="BC888">
        <v>100</v>
      </c>
      <c r="BD888">
        <v>100</v>
      </c>
      <c r="BE888">
        <v>1</v>
      </c>
      <c r="BF888">
        <v>15000</v>
      </c>
      <c r="BG888">
        <v>1000</v>
      </c>
      <c r="BH888" s="6">
        <f>Grandview_Inventory[[#This Row],[land_extract]]*Lookups!$B$3</f>
        <v>47528.228511015397</v>
      </c>
      <c r="BI888" s="6">
        <f>IF(Grandview_Inventory[[#This Row],[bldg_style]]="",0,Lookups!$B$2)</f>
        <v>155833.95000000001</v>
      </c>
      <c r="BJ888" s="6">
        <f>_xlfn.IFNA(VLOOKUP(Grandview_Inventory[[#This Row],[quality]],Lookups!$H$2:$J$14,3,FALSE),0)</f>
        <v>9808</v>
      </c>
      <c r="BK888" s="6">
        <f>_xlfn.IFNA(VLOOKUP(Grandview_Inventory[[#This Row],[condition]],Lookups!$H$17:$J$24,3,FALSE),0)</f>
        <v>-45357</v>
      </c>
      <c r="BL888" s="6">
        <f>Grandview_Inventory[[#This Row],[Eff_Age]]*Lookups!$B$14</f>
        <v>-11719.163399999999</v>
      </c>
      <c r="BM888" s="6">
        <f>Grandview_Inventory[[#This Row],[living_area]]*Lookups!$B$15</f>
        <v>171547.34575000001</v>
      </c>
      <c r="BN888" s="6">
        <f>Grandview_Inventory[[#This Row],[Fin BSMT]]*Lookups!$B$16</f>
        <v>-37261.455000000002</v>
      </c>
      <c r="BO888" s="6">
        <f>(Grandview_Inventory[[#This Row],[att_gar]]+Grandview_Inventory[[#This Row],[bltin_gar]])*Lookups!$B$17</f>
        <v>48136.24035</v>
      </c>
      <c r="BP888" s="6">
        <f>Grandview_Inventory[[#This Row],[Plumbing Fixtures]]*Lookups!$B$18</f>
        <v>20104.418000000001</v>
      </c>
      <c r="BQ888" s="6">
        <f>Grandview_Inventory[[#This Row],[detatched_value]]*Lookups!$B$19</f>
        <v>0</v>
      </c>
      <c r="BR888" s="6">
        <f>SUM(Grandview_Inventory[[#This Row],[Intercept]:[det_value]])*Grandview_Inventory[[#This Row],[res_pct]]</f>
        <v>311092.3357</v>
      </c>
      <c r="BS888" s="6">
        <f>Grandview_Inventory[[#This Row],[land_value]]</f>
        <v>47528.228511015397</v>
      </c>
      <c r="BT888" s="4">
        <f>_xlfn.IFNA(VLOOKUP(Grandview_Inventory[[#This Row],[quality]],Lookups!$A$26:$C$33,3,FALSE),1)</f>
        <v>0.94295468617355149</v>
      </c>
      <c r="BU888" s="4">
        <f>_xlfn.IFNA(VLOOKUP(Grandview_Inventory[[#This Row],[condition]],Lookups!$A$37:$C$44,3,FALSE),1)</f>
        <v>0.97161819570155394</v>
      </c>
      <c r="BV888" s="4">
        <f>IF(Grandview_Inventory[[#This Row],[bldg_style]]="",1,_xlfn.IFNA(VLOOKUP(Grandview_Inventory[[#This Row],[decade]],Lookups!$F$29:$H$43,3,FALSE),1))</f>
        <v>0.99472141305414818</v>
      </c>
      <c r="BW888" s="4">
        <f>_xlfn.IFNA(VLOOKUP(Grandview_Inventory[[#This Row],[living_area_range]],Lookups!$F$47:$H$56,3,FALSE),1)</f>
        <v>0.94224801443562123</v>
      </c>
      <c r="BX888" s="4">
        <f>AVERAGE(Grandview_Inventory[[#This Row],[qual_adj]:[size_adj]])</f>
        <v>0.96288557734121871</v>
      </c>
      <c r="BY888" s="6">
        <f>IF(Grandview_Inventory[[#This Row],[pre_res]]&lt;0,0,Grandview_Inventory[[#This Row],[pre_res]]*Grandview_Inventory[[#This Row],[overall_adj]])</f>
        <v>299546.32326692273</v>
      </c>
      <c r="BZ888" s="6">
        <f>(Grandview_Inventory[[#This Row],[sum_land]]-IF(Grandview_Inventory[[#This Row],[no_utilities]]=1,12000,0))/IF(Grandview_Inventory[[#This Row],[unbuildable]]=1,2,1)</f>
        <v>47528.228511015397</v>
      </c>
      <c r="CA88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88">
        <f>ROUND(Grandview_Inventory[[#This Row],[det_value]]*Lookups!$M$28,-2)</f>
        <v>0</v>
      </c>
      <c r="CC888">
        <f>IF(ROUND(Grandview_Inventory[[#This Row],[adj_res]]*Lookups!$M$28,-2)&lt;Grandview_Inventory[[#This Row],[min_res]],Grandview_Inventory[[#This Row],[min_res]],ROUND(Grandview_Inventory[[#This Row],[adj_res]]*Lookups!$M$28,-2))</f>
        <v>284600</v>
      </c>
      <c r="CD888">
        <f>Grandview_Inventory[[#This Row],[final_det]]+Grandview_Inventory[[#This Row],[final_res]]</f>
        <v>284600</v>
      </c>
      <c r="CE888">
        <f>Grandview_Inventory[[#This Row],[final_land]]+Grandview_Inventory[[#This Row],[final_imp]]+Grandview_Inventory[[#This Row],[crop_value]]</f>
        <v>329800</v>
      </c>
      <c r="CG888" t="str">
        <f t="shared" si="13"/>
        <v>update valuation set market_land =45200, market_bldg=284600, market_total =329800, market_mdno =401, market_date ='9/10/2023' where link_id = (select link_id from parcel where parcel_year = '2024' and parcel_id = '23092241412');</v>
      </c>
    </row>
    <row r="889" spans="1:85" x14ac:dyDescent="0.25">
      <c r="A889">
        <v>23092241413</v>
      </c>
      <c r="B889">
        <v>0.18</v>
      </c>
      <c r="C889" t="s">
        <v>129</v>
      </c>
      <c r="D889" t="s">
        <v>129</v>
      </c>
      <c r="E889" t="s">
        <v>53</v>
      </c>
      <c r="F889" t="s">
        <v>53</v>
      </c>
      <c r="G889">
        <v>4</v>
      </c>
      <c r="H889" t="s">
        <v>54</v>
      </c>
      <c r="I889">
        <v>216800</v>
      </c>
      <c r="J889">
        <v>43100</v>
      </c>
      <c r="K889">
        <v>0.18</v>
      </c>
      <c r="L88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89">
        <v>0</v>
      </c>
      <c r="N889">
        <v>0</v>
      </c>
      <c r="O889">
        <v>0</v>
      </c>
      <c r="P889">
        <v>13398.7528</v>
      </c>
      <c r="Q889">
        <v>63903</v>
      </c>
      <c r="R889">
        <f>(Grandview_Inventory[[#This Row],[ln_acres]]*Grandview_Inventory[[#This Row],[coeff]])+Grandview_Inventory[[#This Row],[const]]</f>
        <v>40926.839760167699</v>
      </c>
      <c r="S889" t="s">
        <v>74</v>
      </c>
      <c r="T889">
        <v>1</v>
      </c>
      <c r="U889" t="s">
        <v>65</v>
      </c>
      <c r="V889" t="s">
        <v>69</v>
      </c>
      <c r="W889">
        <v>0</v>
      </c>
      <c r="X889">
        <v>0</v>
      </c>
      <c r="Y889">
        <v>47</v>
      </c>
      <c r="Z889">
        <v>58</v>
      </c>
      <c r="AA889">
        <v>60</v>
      </c>
      <c r="AB889">
        <v>2000</v>
      </c>
      <c r="AC889">
        <v>1957</v>
      </c>
      <c r="AD889">
        <v>1357</v>
      </c>
      <c r="AE889">
        <v>0</v>
      </c>
      <c r="AF889">
        <v>0</v>
      </c>
      <c r="AG889">
        <v>600</v>
      </c>
      <c r="AH889">
        <v>0</v>
      </c>
      <c r="AI889">
        <v>308</v>
      </c>
      <c r="AJ889">
        <v>0</v>
      </c>
      <c r="AK889">
        <v>0</v>
      </c>
      <c r="AL889">
        <v>0</v>
      </c>
      <c r="AM889">
        <v>400</v>
      </c>
      <c r="AN889">
        <v>0</v>
      </c>
      <c r="AO889">
        <v>0</v>
      </c>
      <c r="AP889">
        <v>7</v>
      </c>
      <c r="AQ889">
        <v>0</v>
      </c>
      <c r="AR889">
        <v>0</v>
      </c>
      <c r="AS889" t="s">
        <v>58</v>
      </c>
      <c r="AT889">
        <v>1</v>
      </c>
      <c r="AU889" t="s">
        <v>63</v>
      </c>
      <c r="AV889" t="s">
        <v>64</v>
      </c>
      <c r="AW889">
        <v>1</v>
      </c>
      <c r="AX889">
        <v>3</v>
      </c>
      <c r="AY889">
        <v>0</v>
      </c>
      <c r="AZ889">
        <v>0</v>
      </c>
      <c r="BA889">
        <v>100</v>
      </c>
      <c r="BB889">
        <v>100</v>
      </c>
      <c r="BC889">
        <v>100</v>
      </c>
      <c r="BD889">
        <v>100</v>
      </c>
      <c r="BE889">
        <v>1</v>
      </c>
      <c r="BF889">
        <v>15000</v>
      </c>
      <c r="BG889">
        <v>1000</v>
      </c>
      <c r="BH889" s="6">
        <f>Grandview_Inventory[[#This Row],[land_extract]]*Lookups!$B$3</f>
        <v>47528.228511015397</v>
      </c>
      <c r="BI889" s="6">
        <f>IF(Grandview_Inventory[[#This Row],[bldg_style]]="",0,Lookups!$B$2)</f>
        <v>155833.95000000001</v>
      </c>
      <c r="BJ889" s="6">
        <f>_xlfn.IFNA(VLOOKUP(Grandview_Inventory[[#This Row],[quality]],Lookups!$H$2:$J$14,3,FALSE),0)</f>
        <v>2251</v>
      </c>
      <c r="BK889" s="6">
        <f>_xlfn.IFNA(VLOOKUP(Grandview_Inventory[[#This Row],[condition]],Lookups!$H$17:$J$24,3,FALSE),0)</f>
        <v>-4503</v>
      </c>
      <c r="BL889" s="6">
        <f>Grandview_Inventory[[#This Row],[Eff_Age]]*Lookups!$B$14</f>
        <v>-11240.8302</v>
      </c>
      <c r="BM889" s="6">
        <f>Grandview_Inventory[[#This Row],[living_area]]*Lookups!$B$15</f>
        <v>122079.329321</v>
      </c>
      <c r="BN889" s="6">
        <f>Grandview_Inventory[[#This Row],[Fin BSMT]]*Lookups!$B$16</f>
        <v>-16259.544000000002</v>
      </c>
      <c r="BO889" s="6">
        <f>(Grandview_Inventory[[#This Row],[att_gar]]+Grandview_Inventory[[#This Row],[bltin_gar]])*Lookups!$B$17</f>
        <v>26956.294596</v>
      </c>
      <c r="BP889" s="6">
        <f>Grandview_Inventory[[#This Row],[Plumbing Fixtures]]*Lookups!$B$18</f>
        <v>14073.0926</v>
      </c>
      <c r="BQ889" s="6">
        <f>Grandview_Inventory[[#This Row],[detatched_value]]*Lookups!$B$19</f>
        <v>0</v>
      </c>
      <c r="BR889" s="6">
        <f>SUM(Grandview_Inventory[[#This Row],[Intercept]:[det_value]])*Grandview_Inventory[[#This Row],[res_pct]]</f>
        <v>289190.29231699998</v>
      </c>
      <c r="BS889" s="6">
        <f>Grandview_Inventory[[#This Row],[land_value]]</f>
        <v>47528.228511015397</v>
      </c>
      <c r="BT889" s="4">
        <f>_xlfn.IFNA(VLOOKUP(Grandview_Inventory[[#This Row],[quality]],Lookups!$A$26:$C$33,3,FALSE),1)</f>
        <v>0.98763855981004833</v>
      </c>
      <c r="BU889" s="4">
        <f>_xlfn.IFNA(VLOOKUP(Grandview_Inventory[[#This Row],[condition]],Lookups!$A$37:$C$44,3,FALSE),1)</f>
        <v>0.96469275950863709</v>
      </c>
      <c r="BV889" s="4">
        <f>IF(Grandview_Inventory[[#This Row],[bldg_style]]="",1,_xlfn.IFNA(VLOOKUP(Grandview_Inventory[[#This Row],[decade]],Lookups!$F$29:$H$43,3,FALSE),1))</f>
        <v>0.95268620544463312</v>
      </c>
      <c r="BW889" s="4">
        <f>_xlfn.IFNA(VLOOKUP(Grandview_Inventory[[#This Row],[living_area_range]],Lookups!$F$47:$H$56,3,FALSE),1)</f>
        <v>0.96120133463014379</v>
      </c>
      <c r="BX889" s="4">
        <f>AVERAGE(Grandview_Inventory[[#This Row],[qual_adj]:[size_adj]])</f>
        <v>0.96655471484836553</v>
      </c>
      <c r="BY889" s="6">
        <f>IF(Grandview_Inventory[[#This Row],[pre_res]]&lt;0,0,Grandview_Inventory[[#This Row],[pre_res]]*Grandview_Inventory[[#This Row],[overall_adj]])</f>
        <v>279518.24052737339</v>
      </c>
      <c r="BZ889" s="6">
        <f>(Grandview_Inventory[[#This Row],[sum_land]]-IF(Grandview_Inventory[[#This Row],[no_utilities]]=1,12000,0))/IF(Grandview_Inventory[[#This Row],[unbuildable]]=1,2,1)</f>
        <v>47528.228511015397</v>
      </c>
      <c r="CA88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89">
        <f>ROUND(Grandview_Inventory[[#This Row],[det_value]]*Lookups!$M$28,-2)</f>
        <v>0</v>
      </c>
      <c r="CC889">
        <f>IF(ROUND(Grandview_Inventory[[#This Row],[adj_res]]*Lookups!$M$28,-2)&lt;Grandview_Inventory[[#This Row],[min_res]],Grandview_Inventory[[#This Row],[min_res]],ROUND(Grandview_Inventory[[#This Row],[adj_res]]*Lookups!$M$28,-2))</f>
        <v>265500</v>
      </c>
      <c r="CD889">
        <f>Grandview_Inventory[[#This Row],[final_det]]+Grandview_Inventory[[#This Row],[final_res]]</f>
        <v>265500</v>
      </c>
      <c r="CE889">
        <f>Grandview_Inventory[[#This Row],[final_land]]+Grandview_Inventory[[#This Row],[final_imp]]+Grandview_Inventory[[#This Row],[crop_value]]</f>
        <v>310700</v>
      </c>
      <c r="CG889" t="str">
        <f t="shared" si="13"/>
        <v>update valuation set market_land =45200, market_bldg=265500, market_total =310700, market_mdno =401, market_date ='9/10/2023' where link_id = (select link_id from parcel where parcel_year = '2024' and parcel_id = '23092241413');</v>
      </c>
    </row>
    <row r="890" spans="1:85" x14ac:dyDescent="0.25">
      <c r="A890">
        <v>23092241414</v>
      </c>
      <c r="B890">
        <v>0.18</v>
      </c>
      <c r="C890" t="s">
        <v>129</v>
      </c>
      <c r="D890" t="s">
        <v>129</v>
      </c>
      <c r="E890" t="s">
        <v>53</v>
      </c>
      <c r="F890" t="s">
        <v>53</v>
      </c>
      <c r="G890">
        <v>4</v>
      </c>
      <c r="H890" t="s">
        <v>54</v>
      </c>
      <c r="I890">
        <v>183400</v>
      </c>
      <c r="J890">
        <v>43100</v>
      </c>
      <c r="K890">
        <v>0.18</v>
      </c>
      <c r="L89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90">
        <v>0</v>
      </c>
      <c r="N890">
        <v>0</v>
      </c>
      <c r="O890">
        <v>0</v>
      </c>
      <c r="P890">
        <v>13398.7528</v>
      </c>
      <c r="Q890">
        <v>63903</v>
      </c>
      <c r="R890">
        <f>(Grandview_Inventory[[#This Row],[ln_acres]]*Grandview_Inventory[[#This Row],[coeff]])+Grandview_Inventory[[#This Row],[const]]</f>
        <v>40926.839760167699</v>
      </c>
      <c r="S890" t="s">
        <v>61</v>
      </c>
      <c r="T890">
        <v>1</v>
      </c>
      <c r="U890" t="s">
        <v>65</v>
      </c>
      <c r="V890" t="s">
        <v>69</v>
      </c>
      <c r="W890">
        <v>0</v>
      </c>
      <c r="X890">
        <v>0</v>
      </c>
      <c r="Y890">
        <v>49</v>
      </c>
      <c r="Z890">
        <v>65</v>
      </c>
      <c r="AA890">
        <v>70</v>
      </c>
      <c r="AB890">
        <v>2000</v>
      </c>
      <c r="AC890">
        <v>1616</v>
      </c>
      <c r="AD890">
        <v>1616</v>
      </c>
      <c r="AE890">
        <v>0</v>
      </c>
      <c r="AF890">
        <v>0</v>
      </c>
      <c r="AG890">
        <v>0</v>
      </c>
      <c r="AH890">
        <v>0</v>
      </c>
      <c r="AI890">
        <v>308</v>
      </c>
      <c r="AJ890">
        <v>0</v>
      </c>
      <c r="AK890">
        <v>0</v>
      </c>
      <c r="AL890">
        <v>0</v>
      </c>
      <c r="AM890">
        <v>304</v>
      </c>
      <c r="AN890">
        <v>0</v>
      </c>
      <c r="AO890">
        <v>0</v>
      </c>
      <c r="AP890">
        <v>7</v>
      </c>
      <c r="AQ890">
        <v>0</v>
      </c>
      <c r="AR890">
        <v>0</v>
      </c>
      <c r="AS890" t="s">
        <v>58</v>
      </c>
      <c r="AT890">
        <v>1</v>
      </c>
      <c r="AU890" t="s">
        <v>59</v>
      </c>
      <c r="AV890" t="s">
        <v>60</v>
      </c>
      <c r="AW890">
        <v>1</v>
      </c>
      <c r="AX890">
        <v>3</v>
      </c>
      <c r="AY890">
        <v>0</v>
      </c>
      <c r="AZ890">
        <v>0</v>
      </c>
      <c r="BA890">
        <v>100</v>
      </c>
      <c r="BB890">
        <v>100</v>
      </c>
      <c r="BC890">
        <v>100</v>
      </c>
      <c r="BD890">
        <v>100</v>
      </c>
      <c r="BE890">
        <v>1</v>
      </c>
      <c r="BF890">
        <v>15000</v>
      </c>
      <c r="BG890">
        <v>1000</v>
      </c>
      <c r="BH890" s="6">
        <f>Grandview_Inventory[[#This Row],[land_extract]]*Lookups!$B$3</f>
        <v>47528.228511015397</v>
      </c>
      <c r="BI890" s="6">
        <f>IF(Grandview_Inventory[[#This Row],[bldg_style]]="",0,Lookups!$B$2)</f>
        <v>155833.95000000001</v>
      </c>
      <c r="BJ890" s="6">
        <f>_xlfn.IFNA(VLOOKUP(Grandview_Inventory[[#This Row],[quality]],Lookups!$H$2:$J$14,3,FALSE),0)</f>
        <v>2251</v>
      </c>
      <c r="BK890" s="6">
        <f>_xlfn.IFNA(VLOOKUP(Grandview_Inventory[[#This Row],[condition]],Lookups!$H$17:$J$24,3,FALSE),0)</f>
        <v>-4503</v>
      </c>
      <c r="BL890" s="6">
        <f>Grandview_Inventory[[#This Row],[Eff_Age]]*Lookups!$B$14</f>
        <v>-11719.163399999999</v>
      </c>
      <c r="BM890" s="6">
        <f>Grandview_Inventory[[#This Row],[living_area]]*Lookups!$B$15</f>
        <v>100807.458448</v>
      </c>
      <c r="BN890" s="6">
        <f>Grandview_Inventory[[#This Row],[Fin BSMT]]*Lookups!$B$16</f>
        <v>0</v>
      </c>
      <c r="BO890" s="6">
        <f>(Grandview_Inventory[[#This Row],[att_gar]]+Grandview_Inventory[[#This Row],[bltin_gar]])*Lookups!$B$17</f>
        <v>26956.294596</v>
      </c>
      <c r="BP890" s="6">
        <f>Grandview_Inventory[[#This Row],[Plumbing Fixtures]]*Lookups!$B$18</f>
        <v>14073.0926</v>
      </c>
      <c r="BQ890" s="6">
        <f>Grandview_Inventory[[#This Row],[detatched_value]]*Lookups!$B$19</f>
        <v>0</v>
      </c>
      <c r="BR890" s="6">
        <f>SUM(Grandview_Inventory[[#This Row],[Intercept]:[det_value]])*Grandview_Inventory[[#This Row],[res_pct]]</f>
        <v>283699.63224399998</v>
      </c>
      <c r="BS890" s="6">
        <f>Grandview_Inventory[[#This Row],[land_value]]</f>
        <v>47528.228511015397</v>
      </c>
      <c r="BT890" s="4">
        <f>_xlfn.IFNA(VLOOKUP(Grandview_Inventory[[#This Row],[quality]],Lookups!$A$26:$C$33,3,FALSE),1)</f>
        <v>0.98763855981004833</v>
      </c>
      <c r="BU890" s="4">
        <f>_xlfn.IFNA(VLOOKUP(Grandview_Inventory[[#This Row],[condition]],Lookups!$A$37:$C$44,3,FALSE),1)</f>
        <v>0.96469275950863709</v>
      </c>
      <c r="BV890" s="4">
        <f>IF(Grandview_Inventory[[#This Row],[bldg_style]]="",1,_xlfn.IFNA(VLOOKUP(Grandview_Inventory[[#This Row],[decade]],Lookups!$F$29:$H$43,3,FALSE),1))</f>
        <v>0.99472141305414818</v>
      </c>
      <c r="BW890" s="4">
        <f>_xlfn.IFNA(VLOOKUP(Grandview_Inventory[[#This Row],[living_area_range]],Lookups!$F$47:$H$56,3,FALSE),1)</f>
        <v>0.96120133463014379</v>
      </c>
      <c r="BX890" s="4">
        <f>AVERAGE(Grandview_Inventory[[#This Row],[qual_adj]:[size_adj]])</f>
        <v>0.97706351675074443</v>
      </c>
      <c r="BY890" s="6">
        <f>IF(Grandview_Inventory[[#This Row],[pre_res]]&lt;0,0,Grandview_Inventory[[#This Row],[pre_res]]*Grandview_Inventory[[#This Row],[overall_adj]])</f>
        <v>277192.56038121553</v>
      </c>
      <c r="BZ890" s="6">
        <f>(Grandview_Inventory[[#This Row],[sum_land]]-IF(Grandview_Inventory[[#This Row],[no_utilities]]=1,12000,0))/IF(Grandview_Inventory[[#This Row],[unbuildable]]=1,2,1)</f>
        <v>47528.228511015397</v>
      </c>
      <c r="CA89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90">
        <f>ROUND(Grandview_Inventory[[#This Row],[det_value]]*Lookups!$M$28,-2)</f>
        <v>0</v>
      </c>
      <c r="CC890">
        <f>IF(ROUND(Grandview_Inventory[[#This Row],[adj_res]]*Lookups!$M$28,-2)&lt;Grandview_Inventory[[#This Row],[min_res]],Grandview_Inventory[[#This Row],[min_res]],ROUND(Grandview_Inventory[[#This Row],[adj_res]]*Lookups!$M$28,-2))</f>
        <v>263300</v>
      </c>
      <c r="CD890">
        <f>Grandview_Inventory[[#This Row],[final_det]]+Grandview_Inventory[[#This Row],[final_res]]</f>
        <v>263300</v>
      </c>
      <c r="CE890">
        <f>Grandview_Inventory[[#This Row],[final_land]]+Grandview_Inventory[[#This Row],[final_imp]]+Grandview_Inventory[[#This Row],[crop_value]]</f>
        <v>308500</v>
      </c>
      <c r="CG890" t="str">
        <f t="shared" si="13"/>
        <v>update valuation set market_land =45200, market_bldg=263300, market_total =308500, market_mdno =401, market_date ='9/10/2023' where link_id = (select link_id from parcel where parcel_year = '2024' and parcel_id = '23092241414');</v>
      </c>
    </row>
    <row r="891" spans="1:85" x14ac:dyDescent="0.25">
      <c r="A891">
        <v>23092241415</v>
      </c>
      <c r="B891">
        <v>0.18</v>
      </c>
      <c r="C891">
        <v>8047</v>
      </c>
      <c r="D891" t="s">
        <v>129</v>
      </c>
      <c r="E891" t="s">
        <v>53</v>
      </c>
      <c r="F891" t="s">
        <v>53</v>
      </c>
      <c r="G891">
        <v>4</v>
      </c>
      <c r="H891" t="s">
        <v>54</v>
      </c>
      <c r="I891">
        <v>240800</v>
      </c>
      <c r="J891">
        <v>39000</v>
      </c>
      <c r="K891">
        <v>0.18</v>
      </c>
      <c r="L89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91">
        <v>0</v>
      </c>
      <c r="N891">
        <v>0</v>
      </c>
      <c r="O891">
        <v>0</v>
      </c>
      <c r="P891">
        <v>13398.7528</v>
      </c>
      <c r="Q891">
        <v>63903</v>
      </c>
      <c r="R891">
        <f>(Grandview_Inventory[[#This Row],[ln_acres]]*Grandview_Inventory[[#This Row],[coeff]])+Grandview_Inventory[[#This Row],[const]]</f>
        <v>40926.839760167699</v>
      </c>
      <c r="S891" t="s">
        <v>74</v>
      </c>
      <c r="T891">
        <v>1</v>
      </c>
      <c r="U891" t="s">
        <v>65</v>
      </c>
      <c r="V891" t="s">
        <v>69</v>
      </c>
      <c r="W891">
        <v>0</v>
      </c>
      <c r="X891">
        <v>0</v>
      </c>
      <c r="Y891">
        <v>46</v>
      </c>
      <c r="Z891">
        <v>53</v>
      </c>
      <c r="AA891">
        <v>60</v>
      </c>
      <c r="AB891">
        <v>2000</v>
      </c>
      <c r="AC891">
        <v>1931</v>
      </c>
      <c r="AD891">
        <v>1331</v>
      </c>
      <c r="AE891">
        <v>0</v>
      </c>
      <c r="AF891">
        <v>0</v>
      </c>
      <c r="AG891">
        <v>600</v>
      </c>
      <c r="AH891">
        <v>0</v>
      </c>
      <c r="AI891">
        <v>325</v>
      </c>
      <c r="AJ891">
        <v>0</v>
      </c>
      <c r="AK891">
        <v>136</v>
      </c>
      <c r="AL891">
        <v>0</v>
      </c>
      <c r="AM891">
        <v>300</v>
      </c>
      <c r="AN891">
        <v>0</v>
      </c>
      <c r="AO891">
        <v>200</v>
      </c>
      <c r="AP891">
        <v>10</v>
      </c>
      <c r="AQ891">
        <v>0</v>
      </c>
      <c r="AR891">
        <v>1</v>
      </c>
      <c r="AS891" t="s">
        <v>58</v>
      </c>
      <c r="AT891">
        <v>1</v>
      </c>
      <c r="AU891" t="s">
        <v>59</v>
      </c>
      <c r="AV891" t="s">
        <v>60</v>
      </c>
      <c r="AW891">
        <v>1</v>
      </c>
      <c r="AX891">
        <v>3</v>
      </c>
      <c r="AY891">
        <v>0</v>
      </c>
      <c r="AZ891">
        <v>0</v>
      </c>
      <c r="BA891">
        <v>100</v>
      </c>
      <c r="BB891">
        <v>100</v>
      </c>
      <c r="BC891">
        <v>100</v>
      </c>
      <c r="BD891">
        <v>100</v>
      </c>
      <c r="BE891">
        <v>1</v>
      </c>
      <c r="BF891">
        <v>15000</v>
      </c>
      <c r="BG891">
        <v>1000</v>
      </c>
      <c r="BH891" s="6">
        <f>Grandview_Inventory[[#This Row],[land_extract]]*Lookups!$B$3</f>
        <v>47528.228511015397</v>
      </c>
      <c r="BI891" s="6">
        <f>IF(Grandview_Inventory[[#This Row],[bldg_style]]="",0,Lookups!$B$2)</f>
        <v>155833.95000000001</v>
      </c>
      <c r="BJ891" s="6">
        <f>_xlfn.IFNA(VLOOKUP(Grandview_Inventory[[#This Row],[quality]],Lookups!$H$2:$J$14,3,FALSE),0)</f>
        <v>2251</v>
      </c>
      <c r="BK891" s="6">
        <f>_xlfn.IFNA(VLOOKUP(Grandview_Inventory[[#This Row],[condition]],Lookups!$H$17:$J$24,3,FALSE),0)</f>
        <v>-4503</v>
      </c>
      <c r="BL891" s="6">
        <f>Grandview_Inventory[[#This Row],[Eff_Age]]*Lookups!$B$14</f>
        <v>-11001.6636</v>
      </c>
      <c r="BM891" s="6">
        <f>Grandview_Inventory[[#This Row],[living_area]]*Lookups!$B$15</f>
        <v>120457.42714300001</v>
      </c>
      <c r="BN891" s="6">
        <f>Grandview_Inventory[[#This Row],[Fin BSMT]]*Lookups!$B$16</f>
        <v>-16259.544000000002</v>
      </c>
      <c r="BO891" s="6">
        <f>(Grandview_Inventory[[#This Row],[att_gar]]+Grandview_Inventory[[#This Row],[bltin_gar]])*Lookups!$B$17</f>
        <v>28444.142025000001</v>
      </c>
      <c r="BP891" s="6">
        <f>Grandview_Inventory[[#This Row],[Plumbing Fixtures]]*Lookups!$B$18</f>
        <v>20104.418000000001</v>
      </c>
      <c r="BQ891" s="6">
        <f>Grandview_Inventory[[#This Row],[detatched_value]]*Lookups!$B$19</f>
        <v>0</v>
      </c>
      <c r="BR891" s="6">
        <f>SUM(Grandview_Inventory[[#This Row],[Intercept]:[det_value]])*Grandview_Inventory[[#This Row],[res_pct]]</f>
        <v>295326.72956800007</v>
      </c>
      <c r="BS891" s="6">
        <f>Grandview_Inventory[[#This Row],[land_value]]</f>
        <v>47528.228511015397</v>
      </c>
      <c r="BT891" s="4">
        <f>_xlfn.IFNA(VLOOKUP(Grandview_Inventory[[#This Row],[quality]],Lookups!$A$26:$C$33,3,FALSE),1)</f>
        <v>0.98763855981004833</v>
      </c>
      <c r="BU891" s="4">
        <f>_xlfn.IFNA(VLOOKUP(Grandview_Inventory[[#This Row],[condition]],Lookups!$A$37:$C$44,3,FALSE),1)</f>
        <v>0.96469275950863709</v>
      </c>
      <c r="BV891" s="4">
        <f>IF(Grandview_Inventory[[#This Row],[bldg_style]]="",1,_xlfn.IFNA(VLOOKUP(Grandview_Inventory[[#This Row],[decade]],Lookups!$F$29:$H$43,3,FALSE),1))</f>
        <v>0.95268620544463312</v>
      </c>
      <c r="BW891" s="4">
        <f>_xlfn.IFNA(VLOOKUP(Grandview_Inventory[[#This Row],[living_area_range]],Lookups!$F$47:$H$56,3,FALSE),1)</f>
        <v>0.96120133463014379</v>
      </c>
      <c r="BX891" s="4">
        <f>AVERAGE(Grandview_Inventory[[#This Row],[qual_adj]:[size_adj]])</f>
        <v>0.96655471484836553</v>
      </c>
      <c r="BY891" s="6">
        <f>IF(Grandview_Inventory[[#This Row],[pre_res]]&lt;0,0,Grandview_Inventory[[#This Row],[pre_res]]*Grandview_Inventory[[#This Row],[overall_adj]])</f>
        <v>285449.44288469868</v>
      </c>
      <c r="BZ891" s="6">
        <f>(Grandview_Inventory[[#This Row],[sum_land]]-IF(Grandview_Inventory[[#This Row],[no_utilities]]=1,12000,0))/IF(Grandview_Inventory[[#This Row],[unbuildable]]=1,2,1)</f>
        <v>47528.228511015397</v>
      </c>
      <c r="CA89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91">
        <f>ROUND(Grandview_Inventory[[#This Row],[det_value]]*Lookups!$M$28,-2)</f>
        <v>0</v>
      </c>
      <c r="CC891">
        <f>IF(ROUND(Grandview_Inventory[[#This Row],[adj_res]]*Lookups!$M$28,-2)&lt;Grandview_Inventory[[#This Row],[min_res]],Grandview_Inventory[[#This Row],[min_res]],ROUND(Grandview_Inventory[[#This Row],[adj_res]]*Lookups!$M$28,-2))</f>
        <v>271200</v>
      </c>
      <c r="CD891">
        <f>Grandview_Inventory[[#This Row],[final_det]]+Grandview_Inventory[[#This Row],[final_res]]</f>
        <v>271200</v>
      </c>
      <c r="CE891">
        <f>Grandview_Inventory[[#This Row],[final_land]]+Grandview_Inventory[[#This Row],[final_imp]]+Grandview_Inventory[[#This Row],[crop_value]]</f>
        <v>316400</v>
      </c>
      <c r="CG891" t="str">
        <f t="shared" si="13"/>
        <v>update valuation set market_land =45200, market_bldg=271200, market_total =316400, market_mdno =401, market_date ='9/10/2023' where link_id = (select link_id from parcel where parcel_year = '2024' and parcel_id = '23092241415');</v>
      </c>
    </row>
    <row r="892" spans="1:85" x14ac:dyDescent="0.25">
      <c r="A892">
        <v>23092241416</v>
      </c>
      <c r="B892">
        <v>0.37</v>
      </c>
      <c r="C892" t="s">
        <v>129</v>
      </c>
      <c r="D892" t="s">
        <v>129</v>
      </c>
      <c r="E892" t="s">
        <v>53</v>
      </c>
      <c r="F892" t="s">
        <v>53</v>
      </c>
      <c r="G892">
        <v>4</v>
      </c>
      <c r="H892" t="s">
        <v>54</v>
      </c>
      <c r="I892">
        <v>246500</v>
      </c>
      <c r="J892">
        <v>45400</v>
      </c>
      <c r="K892">
        <v>0.37</v>
      </c>
      <c r="L892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892">
        <v>0</v>
      </c>
      <c r="N892">
        <v>0</v>
      </c>
      <c r="O892">
        <v>0</v>
      </c>
      <c r="P892">
        <v>13398.7528</v>
      </c>
      <c r="Q892">
        <v>63903</v>
      </c>
      <c r="R892">
        <f>(Grandview_Inventory[[#This Row],[ln_acres]]*Grandview_Inventory[[#This Row],[coeff]])+Grandview_Inventory[[#This Row],[const]]</f>
        <v>50581.259568627502</v>
      </c>
      <c r="S892" t="s">
        <v>68</v>
      </c>
      <c r="T892">
        <v>1</v>
      </c>
      <c r="U892" t="s">
        <v>64</v>
      </c>
      <c r="V892" t="s">
        <v>69</v>
      </c>
      <c r="W892">
        <v>0</v>
      </c>
      <c r="X892">
        <v>0</v>
      </c>
      <c r="Y892">
        <v>49</v>
      </c>
      <c r="Z892">
        <v>69</v>
      </c>
      <c r="AA892">
        <v>70</v>
      </c>
      <c r="AB892">
        <v>3000</v>
      </c>
      <c r="AC892">
        <v>2664</v>
      </c>
      <c r="AD892">
        <v>1664</v>
      </c>
      <c r="AE892">
        <v>0</v>
      </c>
      <c r="AF892">
        <v>0</v>
      </c>
      <c r="AG892">
        <v>1000</v>
      </c>
      <c r="AH892">
        <v>664</v>
      </c>
      <c r="AI892">
        <v>528</v>
      </c>
      <c r="AJ892">
        <v>0</v>
      </c>
      <c r="AK892">
        <v>0</v>
      </c>
      <c r="AL892">
        <v>0</v>
      </c>
      <c r="AM892">
        <v>346</v>
      </c>
      <c r="AN892">
        <v>0</v>
      </c>
      <c r="AO892">
        <v>189</v>
      </c>
      <c r="AP892">
        <v>11</v>
      </c>
      <c r="AQ892">
        <v>0</v>
      </c>
      <c r="AR892">
        <v>2</v>
      </c>
      <c r="AS892" t="s">
        <v>58</v>
      </c>
      <c r="AT892">
        <v>1</v>
      </c>
      <c r="AU892" t="s">
        <v>59</v>
      </c>
      <c r="AV892" t="s">
        <v>60</v>
      </c>
      <c r="AW892">
        <v>1</v>
      </c>
      <c r="AX892">
        <v>3</v>
      </c>
      <c r="AY892">
        <v>0</v>
      </c>
      <c r="AZ892">
        <v>0</v>
      </c>
      <c r="BA892">
        <v>100</v>
      </c>
      <c r="BB892">
        <v>100</v>
      </c>
      <c r="BC892">
        <v>100</v>
      </c>
      <c r="BD892">
        <v>100</v>
      </c>
      <c r="BE892">
        <v>1</v>
      </c>
      <c r="BF892">
        <v>15000</v>
      </c>
      <c r="BG892">
        <v>1000</v>
      </c>
      <c r="BH892" s="6">
        <f>Grandview_Inventory[[#This Row],[land_extract]]*Lookups!$B$3</f>
        <v>58739.880167646283</v>
      </c>
      <c r="BI892" s="6">
        <f>IF(Grandview_Inventory[[#This Row],[bldg_style]]="",0,Lookups!$B$2)</f>
        <v>155833.95000000001</v>
      </c>
      <c r="BJ892" s="6">
        <f>_xlfn.IFNA(VLOOKUP(Grandview_Inventory[[#This Row],[quality]],Lookups!$H$2:$J$14,3,FALSE),0)</f>
        <v>20768</v>
      </c>
      <c r="BK892" s="6">
        <f>_xlfn.IFNA(VLOOKUP(Grandview_Inventory[[#This Row],[condition]],Lookups!$H$17:$J$24,3,FALSE),0)</f>
        <v>-4503</v>
      </c>
      <c r="BL892" s="6">
        <f>Grandview_Inventory[[#This Row],[Eff_Age]]*Lookups!$B$14</f>
        <v>-11719.163399999999</v>
      </c>
      <c r="BM892" s="6">
        <f>Grandview_Inventory[[#This Row],[living_area]]*Lookups!$B$15</f>
        <v>166182.59239199999</v>
      </c>
      <c r="BN892" s="6">
        <f>Grandview_Inventory[[#This Row],[Fin BSMT]]*Lookups!$B$16</f>
        <v>-27099.24</v>
      </c>
      <c r="BO892" s="6">
        <f>(Grandview_Inventory[[#This Row],[att_gar]]+Grandview_Inventory[[#This Row],[bltin_gar]])*Lookups!$B$17</f>
        <v>46210.790736000003</v>
      </c>
      <c r="BP892" s="6">
        <f>Grandview_Inventory[[#This Row],[Plumbing Fixtures]]*Lookups!$B$18</f>
        <v>22114.859800000002</v>
      </c>
      <c r="BQ892" s="6">
        <f>Grandview_Inventory[[#This Row],[detatched_value]]*Lookups!$B$19</f>
        <v>0</v>
      </c>
      <c r="BR892" s="6">
        <f>SUM(Grandview_Inventory[[#This Row],[Intercept]:[det_value]])*Grandview_Inventory[[#This Row],[res_pct]]</f>
        <v>367788.78952799999</v>
      </c>
      <c r="BS892" s="6">
        <f>Grandview_Inventory[[#This Row],[land_value]]</f>
        <v>58739.880167646283</v>
      </c>
      <c r="BT892" s="4">
        <f>_xlfn.IFNA(VLOOKUP(Grandview_Inventory[[#This Row],[quality]],Lookups!$A$26:$C$33,3,FALSE),1)</f>
        <v>0.94960540378902636</v>
      </c>
      <c r="BU892" s="4">
        <f>_xlfn.IFNA(VLOOKUP(Grandview_Inventory[[#This Row],[condition]],Lookups!$A$37:$C$44,3,FALSE),1)</f>
        <v>0.96469275950863709</v>
      </c>
      <c r="BV892" s="4">
        <f>IF(Grandview_Inventory[[#This Row],[bldg_style]]="",1,_xlfn.IFNA(VLOOKUP(Grandview_Inventory[[#This Row],[decade]],Lookups!$F$29:$H$43,3,FALSE),1))</f>
        <v>0.99472141305414818</v>
      </c>
      <c r="BW892" s="4">
        <f>_xlfn.IFNA(VLOOKUP(Grandview_Inventory[[#This Row],[living_area_range]],Lookups!$F$47:$H$56,3,FALSE),1)</f>
        <v>0.94224801443562123</v>
      </c>
      <c r="BX892" s="4">
        <f>AVERAGE(Grandview_Inventory[[#This Row],[qual_adj]:[size_adj]])</f>
        <v>0.96281689769685819</v>
      </c>
      <c r="BY892" s="6">
        <f>IF(Grandview_Inventory[[#This Row],[pre_res]]&lt;0,0,Grandview_Inventory[[#This Row],[pre_res]]*Grandview_Inventory[[#This Row],[overall_adj]])</f>
        <v>354113.2613410317</v>
      </c>
      <c r="BZ892" s="6">
        <f>(Grandview_Inventory[[#This Row],[sum_land]]-IF(Grandview_Inventory[[#This Row],[no_utilities]]=1,12000,0))/IF(Grandview_Inventory[[#This Row],[unbuildable]]=1,2,1)</f>
        <v>58739.880167646283</v>
      </c>
      <c r="CA892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892">
        <f>ROUND(Grandview_Inventory[[#This Row],[det_value]]*Lookups!$M$28,-2)</f>
        <v>0</v>
      </c>
      <c r="CC892">
        <f>IF(ROUND(Grandview_Inventory[[#This Row],[adj_res]]*Lookups!$M$28,-2)&lt;Grandview_Inventory[[#This Row],[min_res]],Grandview_Inventory[[#This Row],[min_res]],ROUND(Grandview_Inventory[[#This Row],[adj_res]]*Lookups!$M$28,-2))</f>
        <v>336400</v>
      </c>
      <c r="CD892">
        <f>Grandview_Inventory[[#This Row],[final_det]]+Grandview_Inventory[[#This Row],[final_res]]</f>
        <v>336400</v>
      </c>
      <c r="CE892">
        <f>Grandview_Inventory[[#This Row],[final_land]]+Grandview_Inventory[[#This Row],[final_imp]]+Grandview_Inventory[[#This Row],[crop_value]]</f>
        <v>392200</v>
      </c>
      <c r="CG892" t="str">
        <f t="shared" si="13"/>
        <v>update valuation set market_land =55800, market_bldg=336400, market_total =392200, market_mdno =401, market_date ='9/10/2023' where link_id = (select link_id from parcel where parcel_year = '2024' and parcel_id = '23092241416');</v>
      </c>
    </row>
    <row r="893" spans="1:85" x14ac:dyDescent="0.25">
      <c r="A893">
        <v>23092241418</v>
      </c>
      <c r="B893">
        <v>0.28000000000000003</v>
      </c>
      <c r="C893">
        <v>12070</v>
      </c>
      <c r="D893" t="s">
        <v>129</v>
      </c>
      <c r="E893" t="s">
        <v>53</v>
      </c>
      <c r="F893" t="s">
        <v>53</v>
      </c>
      <c r="G893">
        <v>4</v>
      </c>
      <c r="H893" t="s">
        <v>54</v>
      </c>
      <c r="I893">
        <v>287600</v>
      </c>
      <c r="J893">
        <v>44500</v>
      </c>
      <c r="K893">
        <v>0.28000000000000003</v>
      </c>
      <c r="L893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893">
        <v>0</v>
      </c>
      <c r="N893">
        <v>0</v>
      </c>
      <c r="O893">
        <v>0</v>
      </c>
      <c r="P893">
        <v>13398.7528</v>
      </c>
      <c r="Q893">
        <v>63903</v>
      </c>
      <c r="R893">
        <f>(Grandview_Inventory[[#This Row],[ln_acres]]*Grandview_Inventory[[#This Row],[coeff]])+Grandview_Inventory[[#This Row],[const]]</f>
        <v>46846.847586898184</v>
      </c>
      <c r="S893" t="s">
        <v>61</v>
      </c>
      <c r="T893">
        <v>1</v>
      </c>
      <c r="U893" t="s">
        <v>62</v>
      </c>
      <c r="V893" t="s">
        <v>67</v>
      </c>
      <c r="W893">
        <v>0</v>
      </c>
      <c r="X893">
        <v>0</v>
      </c>
      <c r="Y893">
        <v>44</v>
      </c>
      <c r="Z893">
        <v>48</v>
      </c>
      <c r="AA893">
        <v>50</v>
      </c>
      <c r="AB893">
        <v>3500</v>
      </c>
      <c r="AC893">
        <v>3140</v>
      </c>
      <c r="AD893">
        <v>1570</v>
      </c>
      <c r="AE893">
        <v>0</v>
      </c>
      <c r="AF893">
        <v>0</v>
      </c>
      <c r="AG893">
        <v>1570</v>
      </c>
      <c r="AH893">
        <v>0</v>
      </c>
      <c r="AI893">
        <v>441</v>
      </c>
      <c r="AJ893">
        <v>0</v>
      </c>
      <c r="AK893">
        <v>0</v>
      </c>
      <c r="AL893">
        <v>0</v>
      </c>
      <c r="AM893">
        <v>309</v>
      </c>
      <c r="AN893">
        <v>48</v>
      </c>
      <c r="AO893">
        <v>155</v>
      </c>
      <c r="AP893">
        <v>11</v>
      </c>
      <c r="AQ893">
        <v>0</v>
      </c>
      <c r="AR893">
        <v>1</v>
      </c>
      <c r="AS893" t="s">
        <v>58</v>
      </c>
      <c r="AT893">
        <v>1</v>
      </c>
      <c r="AU893" t="s">
        <v>63</v>
      </c>
      <c r="AV893" t="s">
        <v>60</v>
      </c>
      <c r="AW893">
        <v>1</v>
      </c>
      <c r="AX893">
        <v>3</v>
      </c>
      <c r="AY893">
        <v>0</v>
      </c>
      <c r="AZ893">
        <v>0</v>
      </c>
      <c r="BA893">
        <v>100</v>
      </c>
      <c r="BB893">
        <v>100</v>
      </c>
      <c r="BC893">
        <v>100</v>
      </c>
      <c r="BD893">
        <v>100</v>
      </c>
      <c r="BE893">
        <v>1</v>
      </c>
      <c r="BF893">
        <v>15000</v>
      </c>
      <c r="BG893">
        <v>1000</v>
      </c>
      <c r="BH893" s="6">
        <f>Grandview_Inventory[[#This Row],[land_extract]]*Lookups!$B$3</f>
        <v>54403.117616176372</v>
      </c>
      <c r="BI893" s="6">
        <f>IF(Grandview_Inventory[[#This Row],[bldg_style]]="",0,Lookups!$B$2)</f>
        <v>155833.95000000001</v>
      </c>
      <c r="BJ893" s="6">
        <f>_xlfn.IFNA(VLOOKUP(Grandview_Inventory[[#This Row],[quality]],Lookups!$H$2:$J$14,3,FALSE),0)</f>
        <v>9808</v>
      </c>
      <c r="BK893" s="6">
        <f>_xlfn.IFNA(VLOOKUP(Grandview_Inventory[[#This Row],[condition]],Lookups!$H$17:$J$24,3,FALSE),0)</f>
        <v>22342</v>
      </c>
      <c r="BL893" s="6">
        <f>Grandview_Inventory[[#This Row],[Eff_Age]]*Lookups!$B$14</f>
        <v>-10523.330399999999</v>
      </c>
      <c r="BM893" s="6">
        <f>Grandview_Inventory[[#This Row],[living_area]]*Lookups!$B$15</f>
        <v>195875.87841999999</v>
      </c>
      <c r="BN893" s="6">
        <f>Grandview_Inventory[[#This Row],[Fin BSMT]]*Lookups!$B$16</f>
        <v>-42545.806800000006</v>
      </c>
      <c r="BO893" s="6">
        <f>(Grandview_Inventory[[#This Row],[att_gar]]+Grandview_Inventory[[#This Row],[bltin_gar]])*Lookups!$B$17</f>
        <v>38596.512716999998</v>
      </c>
      <c r="BP893" s="6">
        <f>Grandview_Inventory[[#This Row],[Plumbing Fixtures]]*Lookups!$B$18</f>
        <v>22114.859800000002</v>
      </c>
      <c r="BQ893" s="6">
        <f>Grandview_Inventory[[#This Row],[detatched_value]]*Lookups!$B$19</f>
        <v>0</v>
      </c>
      <c r="BR893" s="6">
        <f>SUM(Grandview_Inventory[[#This Row],[Intercept]:[det_value]])*Grandview_Inventory[[#This Row],[res_pct]]</f>
        <v>391502.06373699993</v>
      </c>
      <c r="BS893" s="6">
        <f>Grandview_Inventory[[#This Row],[land_value]]</f>
        <v>54403.117616176372</v>
      </c>
      <c r="BT893" s="4">
        <f>_xlfn.IFNA(VLOOKUP(Grandview_Inventory[[#This Row],[quality]],Lookups!$A$26:$C$33,3,FALSE),1)</f>
        <v>0.94295468617355149</v>
      </c>
      <c r="BU893" s="4">
        <f>_xlfn.IFNA(VLOOKUP(Grandview_Inventory[[#This Row],[condition]],Lookups!$A$37:$C$44,3,FALSE),1)</f>
        <v>0.97383723671140243</v>
      </c>
      <c r="BV893" s="4">
        <f>IF(Grandview_Inventory[[#This Row],[bldg_style]]="",1,_xlfn.IFNA(VLOOKUP(Grandview_Inventory[[#This Row],[decade]],Lookups!$F$29:$H$43,3,FALSE),1))</f>
        <v>0.9871940091910919</v>
      </c>
      <c r="BW893" s="4">
        <f>_xlfn.IFNA(VLOOKUP(Grandview_Inventory[[#This Row],[living_area_range]],Lookups!$F$47:$H$56,3,FALSE),1)</f>
        <v>1.0170112215140563</v>
      </c>
      <c r="BX893" s="4">
        <f>AVERAGE(Grandview_Inventory[[#This Row],[qual_adj]:[size_adj]])</f>
        <v>0.98024928839752556</v>
      </c>
      <c r="BY893" s="6">
        <f>IF(Grandview_Inventory[[#This Row],[pre_res]]&lt;0,0,Grandview_Inventory[[#This Row],[pre_res]]*Grandview_Inventory[[#This Row],[overall_adj]])</f>
        <v>383769.61938435689</v>
      </c>
      <c r="BZ893" s="6">
        <f>(Grandview_Inventory[[#This Row],[sum_land]]-IF(Grandview_Inventory[[#This Row],[no_utilities]]=1,12000,0))/IF(Grandview_Inventory[[#This Row],[unbuildable]]=1,2,1)</f>
        <v>54403.117616176372</v>
      </c>
      <c r="CA893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893">
        <f>ROUND(Grandview_Inventory[[#This Row],[det_value]]*Lookups!$M$28,-2)</f>
        <v>0</v>
      </c>
      <c r="CC893">
        <f>IF(ROUND(Grandview_Inventory[[#This Row],[adj_res]]*Lookups!$M$28,-2)&lt;Grandview_Inventory[[#This Row],[min_res]],Grandview_Inventory[[#This Row],[min_res]],ROUND(Grandview_Inventory[[#This Row],[adj_res]]*Lookups!$M$28,-2))</f>
        <v>364600</v>
      </c>
      <c r="CD893">
        <f>Grandview_Inventory[[#This Row],[final_det]]+Grandview_Inventory[[#This Row],[final_res]]</f>
        <v>364600</v>
      </c>
      <c r="CE893">
        <f>Grandview_Inventory[[#This Row],[final_land]]+Grandview_Inventory[[#This Row],[final_imp]]+Grandview_Inventory[[#This Row],[crop_value]]</f>
        <v>416300</v>
      </c>
      <c r="CG893" t="str">
        <f t="shared" si="13"/>
        <v>update valuation set market_land =51700, market_bldg=364600, market_total =416300, market_mdno =401, market_date ='9/10/2023' where link_id = (select link_id from parcel where parcel_year = '2024' and parcel_id = '23092241418');</v>
      </c>
    </row>
    <row r="894" spans="1:85" x14ac:dyDescent="0.25">
      <c r="A894">
        <v>23092241419</v>
      </c>
      <c r="B894">
        <v>0.26</v>
      </c>
      <c r="C894">
        <v>11529</v>
      </c>
      <c r="D894" t="s">
        <v>129</v>
      </c>
      <c r="E894" t="s">
        <v>53</v>
      </c>
      <c r="F894" t="s">
        <v>53</v>
      </c>
      <c r="G894">
        <v>4</v>
      </c>
      <c r="H894" t="s">
        <v>54</v>
      </c>
      <c r="I894">
        <v>202800</v>
      </c>
      <c r="J894">
        <v>44500</v>
      </c>
      <c r="K894">
        <v>0.26</v>
      </c>
      <c r="L894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894">
        <v>0</v>
      </c>
      <c r="N894">
        <v>0</v>
      </c>
      <c r="O894">
        <v>0</v>
      </c>
      <c r="P894">
        <v>13398.7528</v>
      </c>
      <c r="Q894">
        <v>63903</v>
      </c>
      <c r="R894">
        <f>(Grandview_Inventory[[#This Row],[ln_acres]]*Grandview_Inventory[[#This Row],[coeff]])+Grandview_Inventory[[#This Row],[const]]</f>
        <v>45853.893187501177</v>
      </c>
      <c r="S894" t="s">
        <v>61</v>
      </c>
      <c r="T894">
        <v>1</v>
      </c>
      <c r="U894" t="s">
        <v>62</v>
      </c>
      <c r="V894" t="s">
        <v>69</v>
      </c>
      <c r="W894">
        <v>0</v>
      </c>
      <c r="X894">
        <v>0</v>
      </c>
      <c r="Y894">
        <v>47</v>
      </c>
      <c r="Z894">
        <v>57</v>
      </c>
      <c r="AA894">
        <v>60</v>
      </c>
      <c r="AB894">
        <v>2000</v>
      </c>
      <c r="AC894">
        <v>1972</v>
      </c>
      <c r="AD894">
        <v>1106</v>
      </c>
      <c r="AE894">
        <v>0</v>
      </c>
      <c r="AF894">
        <v>0</v>
      </c>
      <c r="AG894">
        <v>866</v>
      </c>
      <c r="AH894">
        <v>240</v>
      </c>
      <c r="AI894">
        <v>575</v>
      </c>
      <c r="AJ894">
        <v>0</v>
      </c>
      <c r="AK894">
        <v>0</v>
      </c>
      <c r="AL894">
        <v>0</v>
      </c>
      <c r="AM894">
        <v>467</v>
      </c>
      <c r="AN894">
        <v>0</v>
      </c>
      <c r="AO894">
        <v>0</v>
      </c>
      <c r="AP894">
        <v>8</v>
      </c>
      <c r="AQ894">
        <v>1</v>
      </c>
      <c r="AR894">
        <v>0</v>
      </c>
      <c r="AS894" t="s">
        <v>58</v>
      </c>
      <c r="AT894">
        <v>1</v>
      </c>
      <c r="AU894" t="s">
        <v>63</v>
      </c>
      <c r="AV894" t="s">
        <v>64</v>
      </c>
      <c r="AW894">
        <v>1</v>
      </c>
      <c r="AX894">
        <v>3</v>
      </c>
      <c r="AY894">
        <v>0</v>
      </c>
      <c r="AZ894">
        <v>0</v>
      </c>
      <c r="BA894">
        <v>100</v>
      </c>
      <c r="BB894">
        <v>100</v>
      </c>
      <c r="BC894">
        <v>100</v>
      </c>
      <c r="BD894">
        <v>100</v>
      </c>
      <c r="BE894">
        <v>1</v>
      </c>
      <c r="BF894">
        <v>15000</v>
      </c>
      <c r="BG894">
        <v>1000</v>
      </c>
      <c r="BH894" s="6">
        <f>Grandview_Inventory[[#This Row],[land_extract]]*Lookups!$B$3</f>
        <v>53250.00235313351</v>
      </c>
      <c r="BI894" s="6">
        <f>IF(Grandview_Inventory[[#This Row],[bldg_style]]="",0,Lookups!$B$2)</f>
        <v>155833.95000000001</v>
      </c>
      <c r="BJ894" s="6">
        <f>_xlfn.IFNA(VLOOKUP(Grandview_Inventory[[#This Row],[quality]],Lookups!$H$2:$J$14,3,FALSE),0)</f>
        <v>9808</v>
      </c>
      <c r="BK894" s="6">
        <f>_xlfn.IFNA(VLOOKUP(Grandview_Inventory[[#This Row],[condition]],Lookups!$H$17:$J$24,3,FALSE),0)</f>
        <v>-4503</v>
      </c>
      <c r="BL894" s="6">
        <f>Grandview_Inventory[[#This Row],[Eff_Age]]*Lookups!$B$14</f>
        <v>-11240.8302</v>
      </c>
      <c r="BM894" s="6">
        <f>Grandview_Inventory[[#This Row],[living_area]]*Lookups!$B$15</f>
        <v>123015.042116</v>
      </c>
      <c r="BN894" s="6">
        <f>Grandview_Inventory[[#This Row],[Fin BSMT]]*Lookups!$B$16</f>
        <v>-23467.941840000003</v>
      </c>
      <c r="BO894" s="6">
        <f>(Grandview_Inventory[[#This Row],[att_gar]]+Grandview_Inventory[[#This Row],[bltin_gar]])*Lookups!$B$17</f>
        <v>50324.251275000002</v>
      </c>
      <c r="BP894" s="6">
        <f>Grandview_Inventory[[#This Row],[Plumbing Fixtures]]*Lookups!$B$18</f>
        <v>16083.5344</v>
      </c>
      <c r="BQ894" s="6">
        <f>Grandview_Inventory[[#This Row],[detatched_value]]*Lookups!$B$19</f>
        <v>0</v>
      </c>
      <c r="BR894" s="6">
        <f>SUM(Grandview_Inventory[[#This Row],[Intercept]:[det_value]])*Grandview_Inventory[[#This Row],[res_pct]]</f>
        <v>315853.00575100002</v>
      </c>
      <c r="BS894" s="6">
        <f>Grandview_Inventory[[#This Row],[land_value]]</f>
        <v>53250.00235313351</v>
      </c>
      <c r="BT894" s="4">
        <f>_xlfn.IFNA(VLOOKUP(Grandview_Inventory[[#This Row],[quality]],Lookups!$A$26:$C$33,3,FALSE),1)</f>
        <v>0.94295468617355149</v>
      </c>
      <c r="BU894" s="4">
        <f>_xlfn.IFNA(VLOOKUP(Grandview_Inventory[[#This Row],[condition]],Lookups!$A$37:$C$44,3,FALSE),1)</f>
        <v>0.96469275950863709</v>
      </c>
      <c r="BV894" s="4">
        <f>IF(Grandview_Inventory[[#This Row],[bldg_style]]="",1,_xlfn.IFNA(VLOOKUP(Grandview_Inventory[[#This Row],[decade]],Lookups!$F$29:$H$43,3,FALSE),1))</f>
        <v>0.95268620544463312</v>
      </c>
      <c r="BW894" s="4">
        <f>_xlfn.IFNA(VLOOKUP(Grandview_Inventory[[#This Row],[living_area_range]],Lookups!$F$47:$H$56,3,FALSE),1)</f>
        <v>0.96120133463014379</v>
      </c>
      <c r="BX894" s="4">
        <f>AVERAGE(Grandview_Inventory[[#This Row],[qual_adj]:[size_adj]])</f>
        <v>0.9553837464392414</v>
      </c>
      <c r="BY894" s="6">
        <f>IF(Grandview_Inventory[[#This Row],[pre_res]]&lt;0,0,Grandview_Inventory[[#This Row],[pre_res]]*Grandview_Inventory[[#This Row],[overall_adj]])</f>
        <v>301760.82795848564</v>
      </c>
      <c r="BZ894" s="6">
        <f>(Grandview_Inventory[[#This Row],[sum_land]]-IF(Grandview_Inventory[[#This Row],[no_utilities]]=1,12000,0))/IF(Grandview_Inventory[[#This Row],[unbuildable]]=1,2,1)</f>
        <v>53250.00235313351</v>
      </c>
      <c r="CA894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894">
        <f>ROUND(Grandview_Inventory[[#This Row],[det_value]]*Lookups!$M$28,-2)</f>
        <v>0</v>
      </c>
      <c r="CC894">
        <f>IF(ROUND(Grandview_Inventory[[#This Row],[adj_res]]*Lookups!$M$28,-2)&lt;Grandview_Inventory[[#This Row],[min_res]],Grandview_Inventory[[#This Row],[min_res]],ROUND(Grandview_Inventory[[#This Row],[adj_res]]*Lookups!$M$28,-2))</f>
        <v>286700</v>
      </c>
      <c r="CD894">
        <f>Grandview_Inventory[[#This Row],[final_det]]+Grandview_Inventory[[#This Row],[final_res]]</f>
        <v>286700</v>
      </c>
      <c r="CE894">
        <f>Grandview_Inventory[[#This Row],[final_land]]+Grandview_Inventory[[#This Row],[final_imp]]+Grandview_Inventory[[#This Row],[crop_value]]</f>
        <v>337300</v>
      </c>
      <c r="CG894" t="str">
        <f t="shared" si="13"/>
        <v>update valuation set market_land =50600, market_bldg=286700, market_total =337300, market_mdno =401, market_date ='9/10/2023' where link_id = (select link_id from parcel where parcel_year = '2024' and parcel_id = '23092241419');</v>
      </c>
    </row>
    <row r="895" spans="1:85" x14ac:dyDescent="0.25">
      <c r="A895">
        <v>23092241420</v>
      </c>
      <c r="B895">
        <v>0.22</v>
      </c>
      <c r="C895">
        <v>9591</v>
      </c>
      <c r="D895" t="s">
        <v>129</v>
      </c>
      <c r="E895" t="s">
        <v>53</v>
      </c>
      <c r="F895" t="s">
        <v>53</v>
      </c>
      <c r="G895">
        <v>4</v>
      </c>
      <c r="H895" t="s">
        <v>54</v>
      </c>
      <c r="I895">
        <v>281100</v>
      </c>
      <c r="J895">
        <v>43800</v>
      </c>
      <c r="K895">
        <v>0.22</v>
      </c>
      <c r="L89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895">
        <v>0</v>
      </c>
      <c r="N895">
        <v>0</v>
      </c>
      <c r="O895">
        <v>0</v>
      </c>
      <c r="P895">
        <v>13398.7528</v>
      </c>
      <c r="Q895">
        <v>63903</v>
      </c>
      <c r="R895">
        <f>(Grandview_Inventory[[#This Row],[ln_acres]]*Grandview_Inventory[[#This Row],[coeff]])+Grandview_Inventory[[#This Row],[const]]</f>
        <v>43615.576802869145</v>
      </c>
      <c r="S895" t="s">
        <v>55</v>
      </c>
      <c r="T895">
        <v>2</v>
      </c>
      <c r="U895" t="s">
        <v>64</v>
      </c>
      <c r="V895" t="s">
        <v>69</v>
      </c>
      <c r="W895">
        <v>0</v>
      </c>
      <c r="X895">
        <v>0</v>
      </c>
      <c r="Y895">
        <v>47</v>
      </c>
      <c r="Z895">
        <v>57</v>
      </c>
      <c r="AA895">
        <v>60</v>
      </c>
      <c r="AB895">
        <v>4000</v>
      </c>
      <c r="AC895">
        <v>3873</v>
      </c>
      <c r="AD895">
        <v>2051</v>
      </c>
      <c r="AE895">
        <v>440</v>
      </c>
      <c r="AF895">
        <v>0</v>
      </c>
      <c r="AG895">
        <v>1382</v>
      </c>
      <c r="AH895">
        <v>0</v>
      </c>
      <c r="AI895">
        <v>0</v>
      </c>
      <c r="AJ895">
        <v>0</v>
      </c>
      <c r="AK895">
        <v>375</v>
      </c>
      <c r="AL895">
        <v>0</v>
      </c>
      <c r="AM895">
        <v>410</v>
      </c>
      <c r="AN895">
        <v>120</v>
      </c>
      <c r="AO895">
        <v>410</v>
      </c>
      <c r="AP895">
        <v>15</v>
      </c>
      <c r="AQ895">
        <v>0</v>
      </c>
      <c r="AR895">
        <v>0</v>
      </c>
      <c r="AS895" t="s">
        <v>58</v>
      </c>
      <c r="AT895">
        <v>1</v>
      </c>
      <c r="AU895" t="s">
        <v>63</v>
      </c>
      <c r="AV895" t="s">
        <v>64</v>
      </c>
      <c r="AW895">
        <v>1</v>
      </c>
      <c r="AX895">
        <v>5</v>
      </c>
      <c r="AY895">
        <v>0</v>
      </c>
      <c r="AZ895">
        <v>0</v>
      </c>
      <c r="BA895">
        <v>100</v>
      </c>
      <c r="BB895">
        <v>100</v>
      </c>
      <c r="BC895">
        <v>100</v>
      </c>
      <c r="BD895">
        <v>100</v>
      </c>
      <c r="BE895">
        <v>1</v>
      </c>
      <c r="BF895">
        <v>15000</v>
      </c>
      <c r="BG895">
        <v>1000</v>
      </c>
      <c r="BH895" s="6">
        <f>Grandview_Inventory[[#This Row],[land_extract]]*Lookups!$B$3</f>
        <v>50650.651579114572</v>
      </c>
      <c r="BI895" s="6">
        <f>IF(Grandview_Inventory[[#This Row],[bldg_style]]="",0,Lookups!$B$2)</f>
        <v>155833.95000000001</v>
      </c>
      <c r="BJ895" s="6">
        <f>_xlfn.IFNA(VLOOKUP(Grandview_Inventory[[#This Row],[quality]],Lookups!$H$2:$J$14,3,FALSE),0)</f>
        <v>20768</v>
      </c>
      <c r="BK895" s="6">
        <f>_xlfn.IFNA(VLOOKUP(Grandview_Inventory[[#This Row],[condition]],Lookups!$H$17:$J$24,3,FALSE),0)</f>
        <v>-4503</v>
      </c>
      <c r="BL895" s="6">
        <f>Grandview_Inventory[[#This Row],[Eff_Age]]*Lookups!$B$14</f>
        <v>-11240.8302</v>
      </c>
      <c r="BM895" s="6">
        <f>Grandview_Inventory[[#This Row],[living_area]]*Lookups!$B$15</f>
        <v>241601.04366900001</v>
      </c>
      <c r="BN895" s="6">
        <f>Grandview_Inventory[[#This Row],[Fin BSMT]]*Lookups!$B$16</f>
        <v>-37451.149680000002</v>
      </c>
      <c r="BO895" s="6">
        <f>(Grandview_Inventory[[#This Row],[att_gar]]+Grandview_Inventory[[#This Row],[bltin_gar]])*Lookups!$B$17</f>
        <v>0</v>
      </c>
      <c r="BP895" s="6">
        <f>Grandview_Inventory[[#This Row],[Plumbing Fixtures]]*Lookups!$B$18</f>
        <v>30156.627</v>
      </c>
      <c r="BQ895" s="6">
        <f>Grandview_Inventory[[#This Row],[detatched_value]]*Lookups!$B$19</f>
        <v>0</v>
      </c>
      <c r="BR895" s="6">
        <f>SUM(Grandview_Inventory[[#This Row],[Intercept]:[det_value]])*Grandview_Inventory[[#This Row],[res_pct]]</f>
        <v>395164.64078899997</v>
      </c>
      <c r="BS895" s="6">
        <f>Grandview_Inventory[[#This Row],[land_value]]</f>
        <v>50650.651579114572</v>
      </c>
      <c r="BT895" s="4">
        <f>_xlfn.IFNA(VLOOKUP(Grandview_Inventory[[#This Row],[quality]],Lookups!$A$26:$C$33,3,FALSE),1)</f>
        <v>0.94960540378902636</v>
      </c>
      <c r="BU895" s="4">
        <f>_xlfn.IFNA(VLOOKUP(Grandview_Inventory[[#This Row],[condition]],Lookups!$A$37:$C$44,3,FALSE),1)</f>
        <v>0.96469275950863709</v>
      </c>
      <c r="BV895" s="4">
        <f>IF(Grandview_Inventory[[#This Row],[bldg_style]]="",1,_xlfn.IFNA(VLOOKUP(Grandview_Inventory[[#This Row],[decade]],Lookups!$F$29:$H$43,3,FALSE),1))</f>
        <v>0.95268620544463312</v>
      </c>
      <c r="BW895" s="4">
        <f>_xlfn.IFNA(VLOOKUP(Grandview_Inventory[[#This Row],[living_area_range]],Lookups!$F$47:$H$56,3,FALSE),1)</f>
        <v>0.90089875105039252</v>
      </c>
      <c r="BX895" s="4">
        <f>AVERAGE(Grandview_Inventory[[#This Row],[qual_adj]:[size_adj]])</f>
        <v>0.94197077994817224</v>
      </c>
      <c r="BY895" s="6">
        <f>IF(Grandview_Inventory[[#This Row],[pre_res]]&lt;0,0,Grandview_Inventory[[#This Row],[pre_res]]*Grandview_Inventory[[#This Row],[overall_adj]])</f>
        <v>372233.54489195364</v>
      </c>
      <c r="BZ895" s="6">
        <f>(Grandview_Inventory[[#This Row],[sum_land]]-IF(Grandview_Inventory[[#This Row],[no_utilities]]=1,12000,0))/IF(Grandview_Inventory[[#This Row],[unbuildable]]=1,2,1)</f>
        <v>50650.651579114572</v>
      </c>
      <c r="CA89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895">
        <f>ROUND(Grandview_Inventory[[#This Row],[det_value]]*Lookups!$M$28,-2)</f>
        <v>0</v>
      </c>
      <c r="CC895">
        <f>IF(ROUND(Grandview_Inventory[[#This Row],[adj_res]]*Lookups!$M$28,-2)&lt;Grandview_Inventory[[#This Row],[min_res]],Grandview_Inventory[[#This Row],[min_res]],ROUND(Grandview_Inventory[[#This Row],[adj_res]]*Lookups!$M$28,-2))</f>
        <v>353600</v>
      </c>
      <c r="CD895">
        <f>Grandview_Inventory[[#This Row],[final_det]]+Grandview_Inventory[[#This Row],[final_res]]</f>
        <v>353600</v>
      </c>
      <c r="CE895">
        <f>Grandview_Inventory[[#This Row],[final_land]]+Grandview_Inventory[[#This Row],[final_imp]]+Grandview_Inventory[[#This Row],[crop_value]]</f>
        <v>401700</v>
      </c>
      <c r="CG895" t="str">
        <f t="shared" si="13"/>
        <v>update valuation set market_land =48100, market_bldg=353600, market_total =401700, market_mdno =401, market_date ='9/10/2023' where link_id = (select link_id from parcel where parcel_year = '2024' and parcel_id = '23092241420');</v>
      </c>
    </row>
    <row r="896" spans="1:85" x14ac:dyDescent="0.25">
      <c r="A896">
        <v>23092241421</v>
      </c>
      <c r="B896">
        <v>0.27</v>
      </c>
      <c r="C896">
        <v>11844</v>
      </c>
      <c r="D896" t="s">
        <v>129</v>
      </c>
      <c r="E896" t="s">
        <v>53</v>
      </c>
      <c r="F896" t="s">
        <v>53</v>
      </c>
      <c r="G896">
        <v>4</v>
      </c>
      <c r="H896" t="s">
        <v>54</v>
      </c>
      <c r="I896">
        <v>167900</v>
      </c>
      <c r="J896">
        <v>44400</v>
      </c>
      <c r="K896">
        <v>0.27</v>
      </c>
      <c r="L896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896">
        <v>0</v>
      </c>
      <c r="N896">
        <v>0</v>
      </c>
      <c r="O896">
        <v>0</v>
      </c>
      <c r="P896">
        <v>13398.7528</v>
      </c>
      <c r="Q896">
        <v>63903</v>
      </c>
      <c r="R896">
        <f>(Grandview_Inventory[[#This Row],[ln_acres]]*Grandview_Inventory[[#This Row],[coeff]])+Grandview_Inventory[[#This Row],[const]]</f>
        <v>46359.566512734265</v>
      </c>
      <c r="S896" t="s">
        <v>61</v>
      </c>
      <c r="T896">
        <v>1</v>
      </c>
      <c r="U896" t="s">
        <v>65</v>
      </c>
      <c r="V896" t="s">
        <v>69</v>
      </c>
      <c r="W896">
        <v>0</v>
      </c>
      <c r="X896">
        <v>0</v>
      </c>
      <c r="Y896">
        <v>49</v>
      </c>
      <c r="Z896">
        <v>65</v>
      </c>
      <c r="AA896">
        <v>70</v>
      </c>
      <c r="AB896">
        <v>2000</v>
      </c>
      <c r="AC896">
        <v>1590</v>
      </c>
      <c r="AD896">
        <v>1590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350</v>
      </c>
      <c r="AN896">
        <v>0</v>
      </c>
      <c r="AO896">
        <v>0</v>
      </c>
      <c r="AP896">
        <v>8</v>
      </c>
      <c r="AQ896">
        <v>0</v>
      </c>
      <c r="AR896">
        <v>1</v>
      </c>
      <c r="AS896" t="s">
        <v>58</v>
      </c>
      <c r="AT896">
        <v>1</v>
      </c>
      <c r="AU896" t="s">
        <v>63</v>
      </c>
      <c r="AV896" t="s">
        <v>60</v>
      </c>
      <c r="AW896">
        <v>0</v>
      </c>
      <c r="AX896">
        <v>3</v>
      </c>
      <c r="AY896">
        <v>0</v>
      </c>
      <c r="AZ896">
        <v>2700</v>
      </c>
      <c r="BA896">
        <v>100</v>
      </c>
      <c r="BB896">
        <v>100</v>
      </c>
      <c r="BC896">
        <v>100</v>
      </c>
      <c r="BD896">
        <v>100</v>
      </c>
      <c r="BE896">
        <v>1</v>
      </c>
      <c r="BF896">
        <v>15000</v>
      </c>
      <c r="BG896">
        <v>1000</v>
      </c>
      <c r="BH896" s="6">
        <f>Grandview_Inventory[[#This Row],[land_extract]]*Lookups!$B$3</f>
        <v>53837.239420408718</v>
      </c>
      <c r="BI896" s="6">
        <f>IF(Grandview_Inventory[[#This Row],[bldg_style]]="",0,Lookups!$B$2)</f>
        <v>155833.95000000001</v>
      </c>
      <c r="BJ896" s="6">
        <f>_xlfn.IFNA(VLOOKUP(Grandview_Inventory[[#This Row],[quality]],Lookups!$H$2:$J$14,3,FALSE),0)</f>
        <v>2251</v>
      </c>
      <c r="BK896" s="6">
        <f>_xlfn.IFNA(VLOOKUP(Grandview_Inventory[[#This Row],[condition]],Lookups!$H$17:$J$24,3,FALSE),0)</f>
        <v>-4503</v>
      </c>
      <c r="BL896" s="6">
        <f>Grandview_Inventory[[#This Row],[Eff_Age]]*Lookups!$B$14</f>
        <v>-11719.163399999999</v>
      </c>
      <c r="BM896" s="6">
        <f>Grandview_Inventory[[#This Row],[living_area]]*Lookups!$B$15</f>
        <v>99185.556270000001</v>
      </c>
      <c r="BN896" s="6">
        <f>Grandview_Inventory[[#This Row],[Fin BSMT]]*Lookups!$B$16</f>
        <v>0</v>
      </c>
      <c r="BO896" s="6">
        <f>(Grandview_Inventory[[#This Row],[att_gar]]+Grandview_Inventory[[#This Row],[bltin_gar]])*Lookups!$B$17</f>
        <v>0</v>
      </c>
      <c r="BP896" s="6">
        <f>Grandview_Inventory[[#This Row],[Plumbing Fixtures]]*Lookups!$B$18</f>
        <v>16083.5344</v>
      </c>
      <c r="BQ896" s="6">
        <f>Grandview_Inventory[[#This Row],[detatched_value]]*Lookups!$B$19</f>
        <v>2286.3737700000001</v>
      </c>
      <c r="BR896" s="6">
        <f>SUM(Grandview_Inventory[[#This Row],[Intercept]:[det_value]])*Grandview_Inventory[[#This Row],[res_pct]]</f>
        <v>259418.25104000003</v>
      </c>
      <c r="BS896" s="6">
        <f>Grandview_Inventory[[#This Row],[land_value]]</f>
        <v>53837.239420408718</v>
      </c>
      <c r="BT896" s="4">
        <f>_xlfn.IFNA(VLOOKUP(Grandview_Inventory[[#This Row],[quality]],Lookups!$A$26:$C$33,3,FALSE),1)</f>
        <v>0.98763855981004833</v>
      </c>
      <c r="BU896" s="4">
        <f>_xlfn.IFNA(VLOOKUP(Grandview_Inventory[[#This Row],[condition]],Lookups!$A$37:$C$44,3,FALSE),1)</f>
        <v>0.96469275950863709</v>
      </c>
      <c r="BV896" s="4">
        <f>IF(Grandview_Inventory[[#This Row],[bldg_style]]="",1,_xlfn.IFNA(VLOOKUP(Grandview_Inventory[[#This Row],[decade]],Lookups!$F$29:$H$43,3,FALSE),1))</f>
        <v>0.99472141305414818</v>
      </c>
      <c r="BW896" s="4">
        <f>_xlfn.IFNA(VLOOKUP(Grandview_Inventory[[#This Row],[living_area_range]],Lookups!$F$47:$H$56,3,FALSE),1)</f>
        <v>0.96120133463014379</v>
      </c>
      <c r="BX896" s="4">
        <f>AVERAGE(Grandview_Inventory[[#This Row],[qual_adj]:[size_adj]])</f>
        <v>0.97706351675074443</v>
      </c>
      <c r="BY896" s="6">
        <f>IF(Grandview_Inventory[[#This Row],[pre_res]]&lt;0,0,Grandview_Inventory[[#This Row],[pre_res]]*Grandview_Inventory[[#This Row],[overall_adj]])</f>
        <v>253468.1086704699</v>
      </c>
      <c r="BZ896" s="6">
        <f>(Grandview_Inventory[[#This Row],[sum_land]]-IF(Grandview_Inventory[[#This Row],[no_utilities]]=1,12000,0))/IF(Grandview_Inventory[[#This Row],[unbuildable]]=1,2,1)</f>
        <v>53837.239420408718</v>
      </c>
      <c r="CA896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896">
        <f>ROUND(Grandview_Inventory[[#This Row],[det_value]]*Lookups!$M$28,-2)</f>
        <v>2200</v>
      </c>
      <c r="CC896">
        <f>IF(ROUND(Grandview_Inventory[[#This Row],[adj_res]]*Lookups!$M$28,-2)&lt;Grandview_Inventory[[#This Row],[min_res]],Grandview_Inventory[[#This Row],[min_res]],ROUND(Grandview_Inventory[[#This Row],[adj_res]]*Lookups!$M$28,-2))</f>
        <v>240800</v>
      </c>
      <c r="CD896">
        <f>Grandview_Inventory[[#This Row],[final_det]]+Grandview_Inventory[[#This Row],[final_res]]</f>
        <v>243000</v>
      </c>
      <c r="CE896">
        <f>Grandview_Inventory[[#This Row],[final_land]]+Grandview_Inventory[[#This Row],[final_imp]]+Grandview_Inventory[[#This Row],[crop_value]]</f>
        <v>294100</v>
      </c>
      <c r="CG896" t="str">
        <f t="shared" si="13"/>
        <v>update valuation set market_land =51100, market_bldg=243000, market_total =294100, market_mdno =401, market_date ='9/10/2023' where link_id = (select link_id from parcel where parcel_year = '2024' and parcel_id = '23092241421');</v>
      </c>
    </row>
    <row r="897" spans="1:85" x14ac:dyDescent="0.25">
      <c r="A897">
        <v>23092241422</v>
      </c>
      <c r="B897">
        <v>0.28000000000000003</v>
      </c>
      <c r="C897">
        <v>12399</v>
      </c>
      <c r="D897" t="s">
        <v>129</v>
      </c>
      <c r="E897" t="s">
        <v>53</v>
      </c>
      <c r="F897" t="s">
        <v>53</v>
      </c>
      <c r="G897">
        <v>4</v>
      </c>
      <c r="H897" t="s">
        <v>54</v>
      </c>
      <c r="I897">
        <v>208200</v>
      </c>
      <c r="J897">
        <v>40400</v>
      </c>
      <c r="K897">
        <v>0.28000000000000003</v>
      </c>
      <c r="L897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897">
        <v>0</v>
      </c>
      <c r="N897">
        <v>0</v>
      </c>
      <c r="O897">
        <v>0</v>
      </c>
      <c r="P897">
        <v>13398.7528</v>
      </c>
      <c r="Q897">
        <v>63903</v>
      </c>
      <c r="R897">
        <f>(Grandview_Inventory[[#This Row],[ln_acres]]*Grandview_Inventory[[#This Row],[coeff]])+Grandview_Inventory[[#This Row],[const]]</f>
        <v>46846.847586898184</v>
      </c>
      <c r="S897" t="s">
        <v>61</v>
      </c>
      <c r="T897">
        <v>1</v>
      </c>
      <c r="U897" t="s">
        <v>64</v>
      </c>
      <c r="V897" t="s">
        <v>69</v>
      </c>
      <c r="W897">
        <v>0</v>
      </c>
      <c r="X897">
        <v>0</v>
      </c>
      <c r="Y897">
        <v>49</v>
      </c>
      <c r="Z897">
        <v>69</v>
      </c>
      <c r="AA897">
        <v>70</v>
      </c>
      <c r="AB897">
        <v>2500</v>
      </c>
      <c r="AC897">
        <v>2340</v>
      </c>
      <c r="AD897">
        <v>1170</v>
      </c>
      <c r="AE897">
        <v>0</v>
      </c>
      <c r="AF897">
        <v>0</v>
      </c>
      <c r="AG897">
        <v>1170</v>
      </c>
      <c r="AH897">
        <v>0</v>
      </c>
      <c r="AI897">
        <v>299</v>
      </c>
      <c r="AJ897">
        <v>0</v>
      </c>
      <c r="AK897">
        <v>0</v>
      </c>
      <c r="AL897">
        <v>0</v>
      </c>
      <c r="AM897">
        <v>160</v>
      </c>
      <c r="AN897">
        <v>0</v>
      </c>
      <c r="AO897">
        <v>160</v>
      </c>
      <c r="AP897">
        <v>5</v>
      </c>
      <c r="AQ897">
        <v>0</v>
      </c>
      <c r="AR897">
        <v>1</v>
      </c>
      <c r="AS897" t="s">
        <v>58</v>
      </c>
      <c r="AT897">
        <v>1</v>
      </c>
      <c r="AU897" t="s">
        <v>63</v>
      </c>
      <c r="AV897" t="s">
        <v>60</v>
      </c>
      <c r="AW897">
        <v>1</v>
      </c>
      <c r="AX897">
        <v>3</v>
      </c>
      <c r="AY897">
        <v>0</v>
      </c>
      <c r="AZ897">
        <v>0</v>
      </c>
      <c r="BA897">
        <v>100</v>
      </c>
      <c r="BB897">
        <v>100</v>
      </c>
      <c r="BC897">
        <v>100</v>
      </c>
      <c r="BD897">
        <v>100</v>
      </c>
      <c r="BE897">
        <v>1</v>
      </c>
      <c r="BF897">
        <v>15000</v>
      </c>
      <c r="BG897">
        <v>1000</v>
      </c>
      <c r="BH897" s="6">
        <f>Grandview_Inventory[[#This Row],[land_extract]]*Lookups!$B$3</f>
        <v>54403.117616176372</v>
      </c>
      <c r="BI897" s="6">
        <f>IF(Grandview_Inventory[[#This Row],[bldg_style]]="",0,Lookups!$B$2)</f>
        <v>155833.95000000001</v>
      </c>
      <c r="BJ897" s="6">
        <f>_xlfn.IFNA(VLOOKUP(Grandview_Inventory[[#This Row],[quality]],Lookups!$H$2:$J$14,3,FALSE),0)</f>
        <v>20768</v>
      </c>
      <c r="BK897" s="6">
        <f>_xlfn.IFNA(VLOOKUP(Grandview_Inventory[[#This Row],[condition]],Lookups!$H$17:$J$24,3,FALSE),0)</f>
        <v>-4503</v>
      </c>
      <c r="BL897" s="6">
        <f>Grandview_Inventory[[#This Row],[Eff_Age]]*Lookups!$B$14</f>
        <v>-11719.163399999999</v>
      </c>
      <c r="BM897" s="6">
        <f>Grandview_Inventory[[#This Row],[living_area]]*Lookups!$B$15</f>
        <v>145971.19602</v>
      </c>
      <c r="BN897" s="6">
        <f>Grandview_Inventory[[#This Row],[Fin BSMT]]*Lookups!$B$16</f>
        <v>-31706.110800000002</v>
      </c>
      <c r="BO897" s="6">
        <f>(Grandview_Inventory[[#This Row],[att_gar]]+Grandview_Inventory[[#This Row],[bltin_gar]])*Lookups!$B$17</f>
        <v>26168.610662999999</v>
      </c>
      <c r="BP897" s="6">
        <f>Grandview_Inventory[[#This Row],[Plumbing Fixtures]]*Lookups!$B$18</f>
        <v>10052.209000000001</v>
      </c>
      <c r="BQ897" s="6">
        <f>Grandview_Inventory[[#This Row],[detatched_value]]*Lookups!$B$19</f>
        <v>0</v>
      </c>
      <c r="BR897" s="6">
        <f>SUM(Grandview_Inventory[[#This Row],[Intercept]:[det_value]])*Grandview_Inventory[[#This Row],[res_pct]]</f>
        <v>310865.691483</v>
      </c>
      <c r="BS897" s="6">
        <f>Grandview_Inventory[[#This Row],[land_value]]</f>
        <v>54403.117616176372</v>
      </c>
      <c r="BT897" s="4">
        <f>_xlfn.IFNA(VLOOKUP(Grandview_Inventory[[#This Row],[quality]],Lookups!$A$26:$C$33,3,FALSE),1)</f>
        <v>0.94960540378902636</v>
      </c>
      <c r="BU897" s="4">
        <f>_xlfn.IFNA(VLOOKUP(Grandview_Inventory[[#This Row],[condition]],Lookups!$A$37:$C$44,3,FALSE),1)</f>
        <v>0.96469275950863709</v>
      </c>
      <c r="BV897" s="4">
        <f>IF(Grandview_Inventory[[#This Row],[bldg_style]]="",1,_xlfn.IFNA(VLOOKUP(Grandview_Inventory[[#This Row],[decade]],Lookups!$F$29:$H$43,3,FALSE),1))</f>
        <v>0.99472141305414818</v>
      </c>
      <c r="BW897" s="4">
        <f>_xlfn.IFNA(VLOOKUP(Grandview_Inventory[[#This Row],[living_area_range]],Lookups!$F$47:$H$56,3,FALSE),1)</f>
        <v>0.95799442568048754</v>
      </c>
      <c r="BX897" s="4">
        <f>AVERAGE(Grandview_Inventory[[#This Row],[qual_adj]:[size_adj]])</f>
        <v>0.96675350050807474</v>
      </c>
      <c r="BY897" s="6">
        <f>IF(Grandview_Inventory[[#This Row],[pre_res]]&lt;0,0,Grandview_Inventory[[#This Row],[pre_res]]*Grandview_Inventory[[#This Row],[overall_adj]])</f>
        <v>300530.49542905344</v>
      </c>
      <c r="BZ897" s="6">
        <f>(Grandview_Inventory[[#This Row],[sum_land]]-IF(Grandview_Inventory[[#This Row],[no_utilities]]=1,12000,0))/IF(Grandview_Inventory[[#This Row],[unbuildable]]=1,2,1)</f>
        <v>54403.117616176372</v>
      </c>
      <c r="CA897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897">
        <f>ROUND(Grandview_Inventory[[#This Row],[det_value]]*Lookups!$M$28,-2)</f>
        <v>0</v>
      </c>
      <c r="CC897">
        <f>IF(ROUND(Grandview_Inventory[[#This Row],[adj_res]]*Lookups!$M$28,-2)&lt;Grandview_Inventory[[#This Row],[min_res]],Grandview_Inventory[[#This Row],[min_res]],ROUND(Grandview_Inventory[[#This Row],[adj_res]]*Lookups!$M$28,-2))</f>
        <v>285500</v>
      </c>
      <c r="CD897">
        <f>Grandview_Inventory[[#This Row],[final_det]]+Grandview_Inventory[[#This Row],[final_res]]</f>
        <v>285500</v>
      </c>
      <c r="CE897">
        <f>Grandview_Inventory[[#This Row],[final_land]]+Grandview_Inventory[[#This Row],[final_imp]]+Grandview_Inventory[[#This Row],[crop_value]]</f>
        <v>337200</v>
      </c>
      <c r="CG897" t="str">
        <f t="shared" si="13"/>
        <v>update valuation set market_land =51700, market_bldg=285500, market_total =337200, market_mdno =401, market_date ='9/10/2023' where link_id = (select link_id from parcel where parcel_year = '2024' and parcel_id = '23092241422');</v>
      </c>
    </row>
    <row r="898" spans="1:85" x14ac:dyDescent="0.25">
      <c r="A898">
        <v>23092241424</v>
      </c>
      <c r="B898">
        <v>0.18</v>
      </c>
      <c r="C898">
        <v>7987</v>
      </c>
      <c r="D898" t="s">
        <v>129</v>
      </c>
      <c r="E898" t="s">
        <v>53</v>
      </c>
      <c r="F898" t="s">
        <v>53</v>
      </c>
      <c r="G898">
        <v>4</v>
      </c>
      <c r="H898" t="s">
        <v>54</v>
      </c>
      <c r="I898">
        <v>220900</v>
      </c>
      <c r="J898">
        <v>43100</v>
      </c>
      <c r="K898">
        <v>0.18</v>
      </c>
      <c r="L89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898">
        <v>0</v>
      </c>
      <c r="N898">
        <v>0</v>
      </c>
      <c r="O898">
        <v>0</v>
      </c>
      <c r="P898">
        <v>13398.7528</v>
      </c>
      <c r="Q898">
        <v>63903</v>
      </c>
      <c r="R898">
        <f>(Grandview_Inventory[[#This Row],[ln_acres]]*Grandview_Inventory[[#This Row],[coeff]])+Grandview_Inventory[[#This Row],[const]]</f>
        <v>40926.839760167699</v>
      </c>
      <c r="S898" t="s">
        <v>61</v>
      </c>
      <c r="T898">
        <v>1</v>
      </c>
      <c r="U898" t="s">
        <v>64</v>
      </c>
      <c r="V898" t="s">
        <v>69</v>
      </c>
      <c r="W898">
        <v>0</v>
      </c>
      <c r="X898">
        <v>0</v>
      </c>
      <c r="Y898">
        <v>47</v>
      </c>
      <c r="Z898">
        <v>58</v>
      </c>
      <c r="AA898">
        <v>60</v>
      </c>
      <c r="AB898">
        <v>1500</v>
      </c>
      <c r="AC898">
        <v>1453</v>
      </c>
      <c r="AD898">
        <v>1453</v>
      </c>
      <c r="AE898">
        <v>0</v>
      </c>
      <c r="AF898">
        <v>0</v>
      </c>
      <c r="AG898">
        <v>0</v>
      </c>
      <c r="AH898">
        <v>0</v>
      </c>
      <c r="AI898">
        <v>648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7</v>
      </c>
      <c r="AQ898">
        <v>0</v>
      </c>
      <c r="AR898">
        <v>1</v>
      </c>
      <c r="AS898" t="s">
        <v>76</v>
      </c>
      <c r="AT898">
        <v>1</v>
      </c>
      <c r="AU898" t="s">
        <v>63</v>
      </c>
      <c r="AV898" t="s">
        <v>60</v>
      </c>
      <c r="AW898">
        <v>0</v>
      </c>
      <c r="AX898">
        <v>3</v>
      </c>
      <c r="AY898">
        <v>0</v>
      </c>
      <c r="AZ898">
        <v>0</v>
      </c>
      <c r="BA898">
        <v>100</v>
      </c>
      <c r="BB898">
        <v>100</v>
      </c>
      <c r="BC898">
        <v>100</v>
      </c>
      <c r="BD898">
        <v>100</v>
      </c>
      <c r="BE898">
        <v>1</v>
      </c>
      <c r="BF898">
        <v>15000</v>
      </c>
      <c r="BG898">
        <v>1000</v>
      </c>
      <c r="BH898" s="6">
        <f>Grandview_Inventory[[#This Row],[land_extract]]*Lookups!$B$3</f>
        <v>47528.228511015397</v>
      </c>
      <c r="BI898" s="6">
        <f>IF(Grandview_Inventory[[#This Row],[bldg_style]]="",0,Lookups!$B$2)</f>
        <v>155833.95000000001</v>
      </c>
      <c r="BJ898" s="6">
        <f>_xlfn.IFNA(VLOOKUP(Grandview_Inventory[[#This Row],[quality]],Lookups!$H$2:$J$14,3,FALSE),0)</f>
        <v>20768</v>
      </c>
      <c r="BK898" s="6">
        <f>_xlfn.IFNA(VLOOKUP(Grandview_Inventory[[#This Row],[condition]],Lookups!$H$17:$J$24,3,FALSE),0)</f>
        <v>-4503</v>
      </c>
      <c r="BL898" s="6">
        <f>Grandview_Inventory[[#This Row],[Eff_Age]]*Lookups!$B$14</f>
        <v>-11240.8302</v>
      </c>
      <c r="BM898" s="6">
        <f>Grandview_Inventory[[#This Row],[living_area]]*Lookups!$B$15</f>
        <v>90639.379409000001</v>
      </c>
      <c r="BN898" s="6">
        <f>Grandview_Inventory[[#This Row],[Fin BSMT]]*Lookups!$B$16</f>
        <v>0</v>
      </c>
      <c r="BO898" s="6">
        <f>(Grandview_Inventory[[#This Row],[att_gar]]+Grandview_Inventory[[#This Row],[bltin_gar]])*Lookups!$B$17</f>
        <v>56713.243176000004</v>
      </c>
      <c r="BP898" s="6">
        <f>Grandview_Inventory[[#This Row],[Plumbing Fixtures]]*Lookups!$B$18</f>
        <v>14073.0926</v>
      </c>
      <c r="BQ898" s="6">
        <f>Grandview_Inventory[[#This Row],[detatched_value]]*Lookups!$B$19</f>
        <v>0</v>
      </c>
      <c r="BR898" s="6">
        <f>SUM(Grandview_Inventory[[#This Row],[Intercept]:[det_value]])*Grandview_Inventory[[#This Row],[res_pct]]</f>
        <v>322283.83498500002</v>
      </c>
      <c r="BS898" s="6">
        <f>Grandview_Inventory[[#This Row],[land_value]]</f>
        <v>47528.228511015397</v>
      </c>
      <c r="BT898" s="4">
        <f>_xlfn.IFNA(VLOOKUP(Grandview_Inventory[[#This Row],[quality]],Lookups!$A$26:$C$33,3,FALSE),1)</f>
        <v>0.94960540378902636</v>
      </c>
      <c r="BU898" s="4">
        <f>_xlfn.IFNA(VLOOKUP(Grandview_Inventory[[#This Row],[condition]],Lookups!$A$37:$C$44,3,FALSE),1)</f>
        <v>0.96469275950863709</v>
      </c>
      <c r="BV898" s="4">
        <f>IF(Grandview_Inventory[[#This Row],[bldg_style]]="",1,_xlfn.IFNA(VLOOKUP(Grandview_Inventory[[#This Row],[decade]],Lookups!$F$29:$H$43,3,FALSE),1))</f>
        <v>0.95268620544463312</v>
      </c>
      <c r="BW898" s="4">
        <f>_xlfn.IFNA(VLOOKUP(Grandview_Inventory[[#This Row],[living_area_range]],Lookups!$F$47:$H$56,3,FALSE),1)</f>
        <v>0.96135087979789358</v>
      </c>
      <c r="BX898" s="4">
        <f>AVERAGE(Grandview_Inventory[[#This Row],[qual_adj]:[size_adj]])</f>
        <v>0.95708381213504756</v>
      </c>
      <c r="BY898" s="6">
        <f>IF(Grandview_Inventory[[#This Row],[pre_res]]&lt;0,0,Grandview_Inventory[[#This Row],[pre_res]]*Grandview_Inventory[[#This Row],[overall_adj]])</f>
        <v>308452.64137694641</v>
      </c>
      <c r="BZ898" s="6">
        <f>(Grandview_Inventory[[#This Row],[sum_land]]-IF(Grandview_Inventory[[#This Row],[no_utilities]]=1,12000,0))/IF(Grandview_Inventory[[#This Row],[unbuildable]]=1,2,1)</f>
        <v>47528.228511015397</v>
      </c>
      <c r="CA89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898">
        <f>ROUND(Grandview_Inventory[[#This Row],[det_value]]*Lookups!$M$28,-2)</f>
        <v>0</v>
      </c>
      <c r="CC898">
        <f>IF(ROUND(Grandview_Inventory[[#This Row],[adj_res]]*Lookups!$M$28,-2)&lt;Grandview_Inventory[[#This Row],[min_res]],Grandview_Inventory[[#This Row],[min_res]],ROUND(Grandview_Inventory[[#This Row],[adj_res]]*Lookups!$M$28,-2))</f>
        <v>293000</v>
      </c>
      <c r="CD898">
        <f>Grandview_Inventory[[#This Row],[final_det]]+Grandview_Inventory[[#This Row],[final_res]]</f>
        <v>293000</v>
      </c>
      <c r="CE898">
        <f>Grandview_Inventory[[#This Row],[final_land]]+Grandview_Inventory[[#This Row],[final_imp]]+Grandview_Inventory[[#This Row],[crop_value]]</f>
        <v>338200</v>
      </c>
      <c r="CG898" t="str">
        <f t="shared" si="13"/>
        <v>update valuation set market_land =45200, market_bldg=293000, market_total =338200, market_mdno =401, market_date ='9/10/2023' where link_id = (select link_id from parcel where parcel_year = '2024' and parcel_id = '23092241424');</v>
      </c>
    </row>
    <row r="899" spans="1:85" x14ac:dyDescent="0.25">
      <c r="A899">
        <v>23092241425</v>
      </c>
      <c r="B899">
        <v>0.23</v>
      </c>
      <c r="C899">
        <v>10024</v>
      </c>
      <c r="D899" t="s">
        <v>129</v>
      </c>
      <c r="E899" t="s">
        <v>53</v>
      </c>
      <c r="F899" t="s">
        <v>53</v>
      </c>
      <c r="G899">
        <v>4</v>
      </c>
      <c r="H899" t="s">
        <v>54</v>
      </c>
      <c r="I899">
        <v>199300</v>
      </c>
      <c r="J899">
        <v>43800</v>
      </c>
      <c r="K899">
        <v>0.23</v>
      </c>
      <c r="L89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899">
        <v>0</v>
      </c>
      <c r="N899">
        <v>0</v>
      </c>
      <c r="O899">
        <v>0</v>
      </c>
      <c r="P899">
        <v>13398.7528</v>
      </c>
      <c r="Q899">
        <v>63903</v>
      </c>
      <c r="R899">
        <f>(Grandview_Inventory[[#This Row],[ln_acres]]*Grandview_Inventory[[#This Row],[coeff]])+Grandview_Inventory[[#This Row],[const]]</f>
        <v>44211.174981080039</v>
      </c>
      <c r="S899" t="s">
        <v>61</v>
      </c>
      <c r="T899">
        <v>1</v>
      </c>
      <c r="U899" t="s">
        <v>65</v>
      </c>
      <c r="V899" t="s">
        <v>69</v>
      </c>
      <c r="W899">
        <v>0</v>
      </c>
      <c r="X899">
        <v>0</v>
      </c>
      <c r="Y899">
        <v>49</v>
      </c>
      <c r="Z899">
        <v>67</v>
      </c>
      <c r="AA899">
        <v>70</v>
      </c>
      <c r="AB899">
        <v>2500</v>
      </c>
      <c r="AC899">
        <v>2182</v>
      </c>
      <c r="AD899">
        <v>1085</v>
      </c>
      <c r="AE899">
        <v>0</v>
      </c>
      <c r="AF899">
        <v>0</v>
      </c>
      <c r="AG899">
        <v>1097</v>
      </c>
      <c r="AH899">
        <v>0</v>
      </c>
      <c r="AI899">
        <v>336</v>
      </c>
      <c r="AJ899">
        <v>0</v>
      </c>
      <c r="AK899">
        <v>0</v>
      </c>
      <c r="AL899">
        <v>0</v>
      </c>
      <c r="AM899">
        <v>240</v>
      </c>
      <c r="AN899">
        <v>64</v>
      </c>
      <c r="AO899">
        <v>240</v>
      </c>
      <c r="AP899">
        <v>8</v>
      </c>
      <c r="AQ899">
        <v>0</v>
      </c>
      <c r="AR899">
        <v>0</v>
      </c>
      <c r="AS899" t="s">
        <v>58</v>
      </c>
      <c r="AT899">
        <v>1</v>
      </c>
      <c r="AU899" t="s">
        <v>63</v>
      </c>
      <c r="AV899" t="s">
        <v>60</v>
      </c>
      <c r="AW899">
        <v>1</v>
      </c>
      <c r="AX899">
        <v>4</v>
      </c>
      <c r="AY899">
        <v>0</v>
      </c>
      <c r="AZ899">
        <v>8100</v>
      </c>
      <c r="BA899">
        <v>100</v>
      </c>
      <c r="BB899">
        <v>100</v>
      </c>
      <c r="BC899">
        <v>100</v>
      </c>
      <c r="BD899">
        <v>100</v>
      </c>
      <c r="BE899">
        <v>1</v>
      </c>
      <c r="BF899">
        <v>15000</v>
      </c>
      <c r="BG899">
        <v>1000</v>
      </c>
      <c r="BH899" s="6">
        <f>Grandview_Inventory[[#This Row],[land_extract]]*Lookups!$B$3</f>
        <v>51342.318135355803</v>
      </c>
      <c r="BI899" s="6">
        <f>IF(Grandview_Inventory[[#This Row],[bldg_style]]="",0,Lookups!$B$2)</f>
        <v>155833.95000000001</v>
      </c>
      <c r="BJ899" s="6">
        <f>_xlfn.IFNA(VLOOKUP(Grandview_Inventory[[#This Row],[quality]],Lookups!$H$2:$J$14,3,FALSE),0)</f>
        <v>2251</v>
      </c>
      <c r="BK899" s="6">
        <f>_xlfn.IFNA(VLOOKUP(Grandview_Inventory[[#This Row],[condition]],Lookups!$H$17:$J$24,3,FALSE),0)</f>
        <v>-4503</v>
      </c>
      <c r="BL899" s="6">
        <f>Grandview_Inventory[[#This Row],[Eff_Age]]*Lookups!$B$14</f>
        <v>-11719.163399999999</v>
      </c>
      <c r="BM899" s="6">
        <f>Grandview_Inventory[[#This Row],[living_area]]*Lookups!$B$15</f>
        <v>136115.02124600002</v>
      </c>
      <c r="BN899" s="6">
        <f>Grandview_Inventory[[#This Row],[Fin BSMT]]*Lookups!$B$16</f>
        <v>-29727.866280000002</v>
      </c>
      <c r="BO899" s="6">
        <f>(Grandview_Inventory[[#This Row],[att_gar]]+Grandview_Inventory[[#This Row],[bltin_gar]])*Lookups!$B$17</f>
        <v>29406.866832</v>
      </c>
      <c r="BP899" s="6">
        <f>Grandview_Inventory[[#This Row],[Plumbing Fixtures]]*Lookups!$B$18</f>
        <v>16083.5344</v>
      </c>
      <c r="BQ899" s="6">
        <f>Grandview_Inventory[[#This Row],[detatched_value]]*Lookups!$B$19</f>
        <v>6859.1213099999995</v>
      </c>
      <c r="BR899" s="6">
        <f>SUM(Grandview_Inventory[[#This Row],[Intercept]:[det_value]])*Grandview_Inventory[[#This Row],[res_pct]]</f>
        <v>300599.4641080001</v>
      </c>
      <c r="BS899" s="6">
        <f>Grandview_Inventory[[#This Row],[land_value]]</f>
        <v>51342.318135355803</v>
      </c>
      <c r="BT899" s="4">
        <f>_xlfn.IFNA(VLOOKUP(Grandview_Inventory[[#This Row],[quality]],Lookups!$A$26:$C$33,3,FALSE),1)</f>
        <v>0.98763855981004833</v>
      </c>
      <c r="BU899" s="4">
        <f>_xlfn.IFNA(VLOOKUP(Grandview_Inventory[[#This Row],[condition]],Lookups!$A$37:$C$44,3,FALSE),1)</f>
        <v>0.96469275950863709</v>
      </c>
      <c r="BV899" s="4">
        <f>IF(Grandview_Inventory[[#This Row],[bldg_style]]="",1,_xlfn.IFNA(VLOOKUP(Grandview_Inventory[[#This Row],[decade]],Lookups!$F$29:$H$43,3,FALSE),1))</f>
        <v>0.99472141305414818</v>
      </c>
      <c r="BW899" s="4">
        <f>_xlfn.IFNA(VLOOKUP(Grandview_Inventory[[#This Row],[living_area_range]],Lookups!$F$47:$H$56,3,FALSE),1)</f>
        <v>0.95799442568048754</v>
      </c>
      <c r="BX899" s="4">
        <f>AVERAGE(Grandview_Inventory[[#This Row],[qual_adj]:[size_adj]])</f>
        <v>0.97626178951333031</v>
      </c>
      <c r="BY899" s="6">
        <f>IF(Grandview_Inventory[[#This Row],[pre_res]]&lt;0,0,Grandview_Inventory[[#This Row],[pre_res]]*Grandview_Inventory[[#This Row],[overall_adj]])</f>
        <v>293463.77075682429</v>
      </c>
      <c r="BZ899" s="6">
        <f>(Grandview_Inventory[[#This Row],[sum_land]]-IF(Grandview_Inventory[[#This Row],[no_utilities]]=1,12000,0))/IF(Grandview_Inventory[[#This Row],[unbuildable]]=1,2,1)</f>
        <v>51342.318135355803</v>
      </c>
      <c r="CA89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899">
        <f>ROUND(Grandview_Inventory[[#This Row],[det_value]]*Lookups!$M$28,-2)</f>
        <v>6500</v>
      </c>
      <c r="CC899">
        <f>IF(ROUND(Grandview_Inventory[[#This Row],[adj_res]]*Lookups!$M$28,-2)&lt;Grandview_Inventory[[#This Row],[min_res]],Grandview_Inventory[[#This Row],[min_res]],ROUND(Grandview_Inventory[[#This Row],[adj_res]]*Lookups!$M$28,-2))</f>
        <v>278800</v>
      </c>
      <c r="CD899">
        <f>Grandview_Inventory[[#This Row],[final_det]]+Grandview_Inventory[[#This Row],[final_res]]</f>
        <v>285300</v>
      </c>
      <c r="CE899">
        <f>Grandview_Inventory[[#This Row],[final_land]]+Grandview_Inventory[[#This Row],[final_imp]]+Grandview_Inventory[[#This Row],[crop_value]]</f>
        <v>334100</v>
      </c>
      <c r="CG899" t="str">
        <f t="shared" ref="CG899:CG962" si="14">"update valuation set market_land ="&amp;CA899&amp;", market_bldg="&amp;CD899&amp;", market_total ="&amp;CE899&amp;", market_mdno ="&amp;$CG$1&amp;", market_date ='"&amp;TEXT($CH$1,"m/d/yyyy")&amp;"' where link_id = (select link_id from parcel where parcel_year = '2024' and parcel_id = '"&amp;A899&amp;"');"</f>
        <v>update valuation set market_land =48800, market_bldg=285300, market_total =334100, market_mdno =401, market_date ='9/10/2023' where link_id = (select link_id from parcel where parcel_year = '2024' and parcel_id = '23092241425');</v>
      </c>
    </row>
    <row r="900" spans="1:85" x14ac:dyDescent="0.25">
      <c r="A900">
        <v>23092241426</v>
      </c>
      <c r="B900">
        <v>0.33</v>
      </c>
      <c r="C900">
        <v>14395</v>
      </c>
      <c r="D900" t="s">
        <v>129</v>
      </c>
      <c r="E900" t="s">
        <v>53</v>
      </c>
      <c r="F900" t="s">
        <v>53</v>
      </c>
      <c r="G900">
        <v>4</v>
      </c>
      <c r="H900" t="s">
        <v>54</v>
      </c>
      <c r="I900">
        <v>175400</v>
      </c>
      <c r="J900">
        <v>45800</v>
      </c>
      <c r="K900">
        <v>0.33</v>
      </c>
      <c r="L900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900">
        <v>0</v>
      </c>
      <c r="N900">
        <v>0</v>
      </c>
      <c r="O900">
        <v>0</v>
      </c>
      <c r="P900">
        <v>13398.7528</v>
      </c>
      <c r="Q900">
        <v>63903</v>
      </c>
      <c r="R900">
        <f>(Grandview_Inventory[[#This Row],[ln_acres]]*Grandview_Inventory[[#This Row],[coeff]])+Grandview_Inventory[[#This Row],[const]]</f>
        <v>49048.303555435712</v>
      </c>
      <c r="S900" t="s">
        <v>61</v>
      </c>
      <c r="T900">
        <v>1</v>
      </c>
      <c r="U900" t="s">
        <v>65</v>
      </c>
      <c r="V900" t="s">
        <v>69</v>
      </c>
      <c r="W900">
        <v>0</v>
      </c>
      <c r="X900">
        <v>0</v>
      </c>
      <c r="Y900">
        <v>49</v>
      </c>
      <c r="Z900">
        <v>69</v>
      </c>
      <c r="AA900">
        <v>70</v>
      </c>
      <c r="AB900">
        <v>2000</v>
      </c>
      <c r="AC900">
        <v>1576</v>
      </c>
      <c r="AD900">
        <v>1576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738</v>
      </c>
      <c r="AN900">
        <v>0</v>
      </c>
      <c r="AO900">
        <v>738</v>
      </c>
      <c r="AP900">
        <v>5</v>
      </c>
      <c r="AQ900">
        <v>0</v>
      </c>
      <c r="AR900">
        <v>1</v>
      </c>
      <c r="AS900" t="s">
        <v>58</v>
      </c>
      <c r="AT900">
        <v>1</v>
      </c>
      <c r="AU900" t="s">
        <v>63</v>
      </c>
      <c r="AV900" t="s">
        <v>60</v>
      </c>
      <c r="AW900">
        <v>1</v>
      </c>
      <c r="AX900">
        <v>3</v>
      </c>
      <c r="AY900">
        <v>0</v>
      </c>
      <c r="AZ900">
        <v>0</v>
      </c>
      <c r="BA900">
        <v>100</v>
      </c>
      <c r="BB900">
        <v>100</v>
      </c>
      <c r="BC900">
        <v>100</v>
      </c>
      <c r="BD900">
        <v>100</v>
      </c>
      <c r="BE900">
        <v>1</v>
      </c>
      <c r="BF900">
        <v>15000</v>
      </c>
      <c r="BG900">
        <v>1000</v>
      </c>
      <c r="BH900" s="6">
        <f>Grandview_Inventory[[#This Row],[land_extract]]*Lookups!$B$3</f>
        <v>56959.662488507893</v>
      </c>
      <c r="BI900" s="6">
        <f>IF(Grandview_Inventory[[#This Row],[bldg_style]]="",0,Lookups!$B$2)</f>
        <v>155833.95000000001</v>
      </c>
      <c r="BJ900" s="6">
        <f>_xlfn.IFNA(VLOOKUP(Grandview_Inventory[[#This Row],[quality]],Lookups!$H$2:$J$14,3,FALSE),0)</f>
        <v>2251</v>
      </c>
      <c r="BK900" s="6">
        <f>_xlfn.IFNA(VLOOKUP(Grandview_Inventory[[#This Row],[condition]],Lookups!$H$17:$J$24,3,FALSE),0)</f>
        <v>-4503</v>
      </c>
      <c r="BL900" s="6">
        <f>Grandview_Inventory[[#This Row],[Eff_Age]]*Lookups!$B$14</f>
        <v>-11719.163399999999</v>
      </c>
      <c r="BM900" s="6">
        <f>Grandview_Inventory[[#This Row],[living_area]]*Lookups!$B$15</f>
        <v>98312.224327999997</v>
      </c>
      <c r="BN900" s="6">
        <f>Grandview_Inventory[[#This Row],[Fin BSMT]]*Lookups!$B$16</f>
        <v>0</v>
      </c>
      <c r="BO900" s="6">
        <f>(Grandview_Inventory[[#This Row],[att_gar]]+Grandview_Inventory[[#This Row],[bltin_gar]])*Lookups!$B$17</f>
        <v>0</v>
      </c>
      <c r="BP900" s="6">
        <f>Grandview_Inventory[[#This Row],[Plumbing Fixtures]]*Lookups!$B$18</f>
        <v>10052.209000000001</v>
      </c>
      <c r="BQ900" s="6">
        <f>Grandview_Inventory[[#This Row],[detatched_value]]*Lookups!$B$19</f>
        <v>0</v>
      </c>
      <c r="BR900" s="6">
        <f>SUM(Grandview_Inventory[[#This Row],[Intercept]:[det_value]])*Grandview_Inventory[[#This Row],[res_pct]]</f>
        <v>250227.21992800003</v>
      </c>
      <c r="BS900" s="6">
        <f>Grandview_Inventory[[#This Row],[land_value]]</f>
        <v>56959.662488507893</v>
      </c>
      <c r="BT900" s="4">
        <f>_xlfn.IFNA(VLOOKUP(Grandview_Inventory[[#This Row],[quality]],Lookups!$A$26:$C$33,3,FALSE),1)</f>
        <v>0.98763855981004833</v>
      </c>
      <c r="BU900" s="4">
        <f>_xlfn.IFNA(VLOOKUP(Grandview_Inventory[[#This Row],[condition]],Lookups!$A$37:$C$44,3,FALSE),1)</f>
        <v>0.96469275950863709</v>
      </c>
      <c r="BV900" s="4">
        <f>IF(Grandview_Inventory[[#This Row],[bldg_style]]="",1,_xlfn.IFNA(VLOOKUP(Grandview_Inventory[[#This Row],[decade]],Lookups!$F$29:$H$43,3,FALSE),1))</f>
        <v>0.99472141305414818</v>
      </c>
      <c r="BW900" s="4">
        <f>_xlfn.IFNA(VLOOKUP(Grandview_Inventory[[#This Row],[living_area_range]],Lookups!$F$47:$H$56,3,FALSE),1)</f>
        <v>0.96120133463014379</v>
      </c>
      <c r="BX900" s="4">
        <f>AVERAGE(Grandview_Inventory[[#This Row],[qual_adj]:[size_adj]])</f>
        <v>0.97706351675074443</v>
      </c>
      <c r="BY900" s="6">
        <f>IF(Grandview_Inventory[[#This Row],[pre_res]]&lt;0,0,Grandview_Inventory[[#This Row],[pre_res]]*Grandview_Inventory[[#This Row],[overall_adj]])</f>
        <v>244487.88748961367</v>
      </c>
      <c r="BZ900" s="6">
        <f>(Grandview_Inventory[[#This Row],[sum_land]]-IF(Grandview_Inventory[[#This Row],[no_utilities]]=1,12000,0))/IF(Grandview_Inventory[[#This Row],[unbuildable]]=1,2,1)</f>
        <v>56959.662488507893</v>
      </c>
      <c r="CA900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900">
        <f>ROUND(Grandview_Inventory[[#This Row],[det_value]]*Lookups!$M$28,-2)</f>
        <v>0</v>
      </c>
      <c r="CC900">
        <f>IF(ROUND(Grandview_Inventory[[#This Row],[adj_res]]*Lookups!$M$28,-2)&lt;Grandview_Inventory[[#This Row],[min_res]],Grandview_Inventory[[#This Row],[min_res]],ROUND(Grandview_Inventory[[#This Row],[adj_res]]*Lookups!$M$28,-2))</f>
        <v>232300</v>
      </c>
      <c r="CD900">
        <f>Grandview_Inventory[[#This Row],[final_det]]+Grandview_Inventory[[#This Row],[final_res]]</f>
        <v>232300</v>
      </c>
      <c r="CE900">
        <f>Grandview_Inventory[[#This Row],[final_land]]+Grandview_Inventory[[#This Row],[final_imp]]+Grandview_Inventory[[#This Row],[crop_value]]</f>
        <v>286400</v>
      </c>
      <c r="CG900" t="str">
        <f t="shared" si="14"/>
        <v>update valuation set market_land =54100, market_bldg=232300, market_total =286400, market_mdno =401, market_date ='9/10/2023' where link_id = (select link_id from parcel where parcel_year = '2024' and parcel_id = '23092241426');</v>
      </c>
    </row>
    <row r="901" spans="1:85" x14ac:dyDescent="0.25">
      <c r="A901">
        <v>23092241427</v>
      </c>
      <c r="B901">
        <v>0.25</v>
      </c>
      <c r="C901">
        <v>11100</v>
      </c>
      <c r="D901" t="s">
        <v>129</v>
      </c>
      <c r="E901" t="s">
        <v>53</v>
      </c>
      <c r="F901" t="s">
        <v>53</v>
      </c>
      <c r="G901">
        <v>4</v>
      </c>
      <c r="H901" t="s">
        <v>54</v>
      </c>
      <c r="I901">
        <v>216200</v>
      </c>
      <c r="J901">
        <v>40200</v>
      </c>
      <c r="K901">
        <v>0.25</v>
      </c>
      <c r="L90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01">
        <v>0</v>
      </c>
      <c r="N901">
        <v>0</v>
      </c>
      <c r="O901">
        <v>0</v>
      </c>
      <c r="P901">
        <v>13398.7528</v>
      </c>
      <c r="Q901">
        <v>63903</v>
      </c>
      <c r="R901">
        <f>(Grandview_Inventory[[#This Row],[ln_acres]]*Grandview_Inventory[[#This Row],[coeff]])+Grandview_Inventory[[#This Row],[const]]</f>
        <v>45328.38454732066</v>
      </c>
      <c r="S901" t="s">
        <v>68</v>
      </c>
      <c r="T901">
        <v>1</v>
      </c>
      <c r="U901" t="s">
        <v>64</v>
      </c>
      <c r="V901" t="s">
        <v>69</v>
      </c>
      <c r="W901">
        <v>0</v>
      </c>
      <c r="X901">
        <v>0</v>
      </c>
      <c r="Y901">
        <v>49</v>
      </c>
      <c r="Z901">
        <v>69</v>
      </c>
      <c r="AA901">
        <v>70</v>
      </c>
      <c r="AB901">
        <v>3000</v>
      </c>
      <c r="AC901">
        <v>2789</v>
      </c>
      <c r="AD901">
        <v>1387</v>
      </c>
      <c r="AE901">
        <v>0</v>
      </c>
      <c r="AF901">
        <v>0</v>
      </c>
      <c r="AG901">
        <v>1402</v>
      </c>
      <c r="AH901">
        <v>0</v>
      </c>
      <c r="AI901">
        <v>667</v>
      </c>
      <c r="AJ901">
        <v>0</v>
      </c>
      <c r="AK901">
        <v>0</v>
      </c>
      <c r="AL901">
        <v>0</v>
      </c>
      <c r="AM901">
        <v>378</v>
      </c>
      <c r="AN901">
        <v>0</v>
      </c>
      <c r="AO901">
        <v>204</v>
      </c>
      <c r="AP901">
        <v>7</v>
      </c>
      <c r="AQ901">
        <v>0</v>
      </c>
      <c r="AR901">
        <v>0</v>
      </c>
      <c r="AS901" t="s">
        <v>58</v>
      </c>
      <c r="AT901">
        <v>1</v>
      </c>
      <c r="AU901" t="s">
        <v>63</v>
      </c>
      <c r="AV901" t="s">
        <v>81</v>
      </c>
      <c r="AW901">
        <v>1</v>
      </c>
      <c r="AX901">
        <v>4</v>
      </c>
      <c r="AY901">
        <v>0</v>
      </c>
      <c r="AZ901">
        <v>0</v>
      </c>
      <c r="BA901">
        <v>100</v>
      </c>
      <c r="BB901">
        <v>100</v>
      </c>
      <c r="BC901">
        <v>100</v>
      </c>
      <c r="BD901">
        <v>100</v>
      </c>
      <c r="BE901">
        <v>1</v>
      </c>
      <c r="BF901">
        <v>15000</v>
      </c>
      <c r="BG901">
        <v>1000</v>
      </c>
      <c r="BH901" s="6">
        <f>Grandview_Inventory[[#This Row],[land_extract]]*Lookups!$B$3</f>
        <v>52639.730588165206</v>
      </c>
      <c r="BI901" s="6">
        <f>IF(Grandview_Inventory[[#This Row],[bldg_style]]="",0,Lookups!$B$2)</f>
        <v>155833.95000000001</v>
      </c>
      <c r="BJ901" s="6">
        <f>_xlfn.IFNA(VLOOKUP(Grandview_Inventory[[#This Row],[quality]],Lookups!$H$2:$J$14,3,FALSE),0)</f>
        <v>20768</v>
      </c>
      <c r="BK901" s="6">
        <f>_xlfn.IFNA(VLOOKUP(Grandview_Inventory[[#This Row],[condition]],Lookups!$H$17:$J$24,3,FALSE),0)</f>
        <v>-4503</v>
      </c>
      <c r="BL901" s="6">
        <f>Grandview_Inventory[[#This Row],[Eff_Age]]*Lookups!$B$14</f>
        <v>-11719.163399999999</v>
      </c>
      <c r="BM901" s="6">
        <f>Grandview_Inventory[[#This Row],[living_area]]*Lookups!$B$15</f>
        <v>173980.19901700001</v>
      </c>
      <c r="BN901" s="6">
        <f>Grandview_Inventory[[#This Row],[Fin BSMT]]*Lookups!$B$16</f>
        <v>-37993.134480000001</v>
      </c>
      <c r="BO901" s="6">
        <f>(Grandview_Inventory[[#This Row],[att_gar]]+Grandview_Inventory[[#This Row],[bltin_gar]])*Lookups!$B$17</f>
        <v>58376.131479000003</v>
      </c>
      <c r="BP901" s="6">
        <f>Grandview_Inventory[[#This Row],[Plumbing Fixtures]]*Lookups!$B$18</f>
        <v>14073.0926</v>
      </c>
      <c r="BQ901" s="6">
        <f>Grandview_Inventory[[#This Row],[detatched_value]]*Lookups!$B$19</f>
        <v>0</v>
      </c>
      <c r="BR901" s="6">
        <f>SUM(Grandview_Inventory[[#This Row],[Intercept]:[det_value]])*Grandview_Inventory[[#This Row],[res_pct]]</f>
        <v>368816.07521599997</v>
      </c>
      <c r="BS901" s="6">
        <f>Grandview_Inventory[[#This Row],[land_value]]</f>
        <v>52639.730588165206</v>
      </c>
      <c r="BT901" s="4">
        <f>_xlfn.IFNA(VLOOKUP(Grandview_Inventory[[#This Row],[quality]],Lookups!$A$26:$C$33,3,FALSE),1)</f>
        <v>0.94960540378902636</v>
      </c>
      <c r="BU901" s="4">
        <f>_xlfn.IFNA(VLOOKUP(Grandview_Inventory[[#This Row],[condition]],Lookups!$A$37:$C$44,3,FALSE),1)</f>
        <v>0.96469275950863709</v>
      </c>
      <c r="BV901" s="4">
        <f>IF(Grandview_Inventory[[#This Row],[bldg_style]]="",1,_xlfn.IFNA(VLOOKUP(Grandview_Inventory[[#This Row],[decade]],Lookups!$F$29:$H$43,3,FALSE),1))</f>
        <v>0.99472141305414818</v>
      </c>
      <c r="BW901" s="4">
        <f>_xlfn.IFNA(VLOOKUP(Grandview_Inventory[[#This Row],[living_area_range]],Lookups!$F$47:$H$56,3,FALSE),1)</f>
        <v>0.94224801443562123</v>
      </c>
      <c r="BX901" s="4">
        <f>AVERAGE(Grandview_Inventory[[#This Row],[qual_adj]:[size_adj]])</f>
        <v>0.96281689769685819</v>
      </c>
      <c r="BY901" s="6">
        <f>IF(Grandview_Inventory[[#This Row],[pre_res]]&lt;0,0,Grandview_Inventory[[#This Row],[pre_res]]*Grandview_Inventory[[#This Row],[overall_adj]])</f>
        <v>355102.34936020017</v>
      </c>
      <c r="BZ901" s="6">
        <f>(Grandview_Inventory[[#This Row],[sum_land]]-IF(Grandview_Inventory[[#This Row],[no_utilities]]=1,12000,0))/IF(Grandview_Inventory[[#This Row],[unbuildable]]=1,2,1)</f>
        <v>52639.730588165206</v>
      </c>
      <c r="CA90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01">
        <f>ROUND(Grandview_Inventory[[#This Row],[det_value]]*Lookups!$M$28,-2)</f>
        <v>0</v>
      </c>
      <c r="CC901">
        <f>IF(ROUND(Grandview_Inventory[[#This Row],[adj_res]]*Lookups!$M$28,-2)&lt;Grandview_Inventory[[#This Row],[min_res]],Grandview_Inventory[[#This Row],[min_res]],ROUND(Grandview_Inventory[[#This Row],[adj_res]]*Lookups!$M$28,-2))</f>
        <v>337300</v>
      </c>
      <c r="CD901">
        <f>Grandview_Inventory[[#This Row],[final_det]]+Grandview_Inventory[[#This Row],[final_res]]</f>
        <v>337300</v>
      </c>
      <c r="CE901">
        <f>Grandview_Inventory[[#This Row],[final_land]]+Grandview_Inventory[[#This Row],[final_imp]]+Grandview_Inventory[[#This Row],[crop_value]]</f>
        <v>387300</v>
      </c>
      <c r="CG901" t="str">
        <f t="shared" si="14"/>
        <v>update valuation set market_land =50000, market_bldg=337300, market_total =387300, market_mdno =401, market_date ='9/10/2023' where link_id = (select link_id from parcel where parcel_year = '2024' and parcel_id = '23092241427');</v>
      </c>
    </row>
    <row r="902" spans="1:85" x14ac:dyDescent="0.25">
      <c r="A902">
        <v>23092241428</v>
      </c>
      <c r="B902">
        <v>0.25</v>
      </c>
      <c r="C902">
        <v>11028</v>
      </c>
      <c r="D902" t="s">
        <v>129</v>
      </c>
      <c r="E902" t="s">
        <v>53</v>
      </c>
      <c r="F902" t="s">
        <v>53</v>
      </c>
      <c r="G902">
        <v>4</v>
      </c>
      <c r="H902" t="s">
        <v>54</v>
      </c>
      <c r="I902">
        <v>238300</v>
      </c>
      <c r="J902">
        <v>44500</v>
      </c>
      <c r="K902">
        <v>0.25</v>
      </c>
      <c r="L902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02">
        <v>0</v>
      </c>
      <c r="N902">
        <v>0</v>
      </c>
      <c r="O902">
        <v>0</v>
      </c>
      <c r="P902">
        <v>13398.7528</v>
      </c>
      <c r="Q902">
        <v>63903</v>
      </c>
      <c r="R902">
        <f>(Grandview_Inventory[[#This Row],[ln_acres]]*Grandview_Inventory[[#This Row],[coeff]])+Grandview_Inventory[[#This Row],[const]]</f>
        <v>45328.38454732066</v>
      </c>
      <c r="S902" t="s">
        <v>61</v>
      </c>
      <c r="T902">
        <v>1</v>
      </c>
      <c r="U902" t="s">
        <v>64</v>
      </c>
      <c r="V902" t="s">
        <v>69</v>
      </c>
      <c r="W902">
        <v>0</v>
      </c>
      <c r="X902">
        <v>0</v>
      </c>
      <c r="Y902">
        <v>49</v>
      </c>
      <c r="Z902">
        <v>68</v>
      </c>
      <c r="AA902">
        <v>70</v>
      </c>
      <c r="AB902">
        <v>3000</v>
      </c>
      <c r="AC902">
        <v>2716</v>
      </c>
      <c r="AD902">
        <v>1358</v>
      </c>
      <c r="AE902">
        <v>0</v>
      </c>
      <c r="AF902">
        <v>0</v>
      </c>
      <c r="AG902">
        <v>1358</v>
      </c>
      <c r="AH902">
        <v>0</v>
      </c>
      <c r="AI902">
        <v>420</v>
      </c>
      <c r="AJ902">
        <v>0</v>
      </c>
      <c r="AK902">
        <v>0</v>
      </c>
      <c r="AL902">
        <v>0</v>
      </c>
      <c r="AM902">
        <v>459</v>
      </c>
      <c r="AN902">
        <v>0</v>
      </c>
      <c r="AO902">
        <v>162</v>
      </c>
      <c r="AP902">
        <v>8</v>
      </c>
      <c r="AQ902">
        <v>0</v>
      </c>
      <c r="AR902">
        <v>0</v>
      </c>
      <c r="AS902" t="s">
        <v>76</v>
      </c>
      <c r="AT902">
        <v>1</v>
      </c>
      <c r="AU902" t="s">
        <v>63</v>
      </c>
      <c r="AV902" t="s">
        <v>64</v>
      </c>
      <c r="AW902">
        <v>1</v>
      </c>
      <c r="AX902">
        <v>5</v>
      </c>
      <c r="AY902">
        <v>0</v>
      </c>
      <c r="AZ902">
        <v>5800</v>
      </c>
      <c r="BA902">
        <v>100</v>
      </c>
      <c r="BB902">
        <v>100</v>
      </c>
      <c r="BC902">
        <v>100</v>
      </c>
      <c r="BD902">
        <v>100</v>
      </c>
      <c r="BE902">
        <v>1</v>
      </c>
      <c r="BF902">
        <v>15000</v>
      </c>
      <c r="BG902">
        <v>1000</v>
      </c>
      <c r="BH902" s="6">
        <f>Grandview_Inventory[[#This Row],[land_extract]]*Lookups!$B$3</f>
        <v>52639.730588165206</v>
      </c>
      <c r="BI902" s="6">
        <f>IF(Grandview_Inventory[[#This Row],[bldg_style]]="",0,Lookups!$B$2)</f>
        <v>155833.95000000001</v>
      </c>
      <c r="BJ902" s="6">
        <f>_xlfn.IFNA(VLOOKUP(Grandview_Inventory[[#This Row],[quality]],Lookups!$H$2:$J$14,3,FALSE),0)</f>
        <v>20768</v>
      </c>
      <c r="BK902" s="6">
        <f>_xlfn.IFNA(VLOOKUP(Grandview_Inventory[[#This Row],[condition]],Lookups!$H$17:$J$24,3,FALSE),0)</f>
        <v>-4503</v>
      </c>
      <c r="BL902" s="6">
        <f>Grandview_Inventory[[#This Row],[Eff_Age]]*Lookups!$B$14</f>
        <v>-11719.163399999999</v>
      </c>
      <c r="BM902" s="6">
        <f>Grandview_Inventory[[#This Row],[living_area]]*Lookups!$B$15</f>
        <v>169426.396748</v>
      </c>
      <c r="BN902" s="6">
        <f>Grandview_Inventory[[#This Row],[Fin BSMT]]*Lookups!$B$16</f>
        <v>-36800.767920000006</v>
      </c>
      <c r="BO902" s="6">
        <f>(Grandview_Inventory[[#This Row],[att_gar]]+Grandview_Inventory[[#This Row],[bltin_gar]])*Lookups!$B$17</f>
        <v>36758.58354</v>
      </c>
      <c r="BP902" s="6">
        <f>Grandview_Inventory[[#This Row],[Plumbing Fixtures]]*Lookups!$B$18</f>
        <v>16083.5344</v>
      </c>
      <c r="BQ902" s="6">
        <f>Grandview_Inventory[[#This Row],[detatched_value]]*Lookups!$B$19</f>
        <v>4911.46958</v>
      </c>
      <c r="BR902" s="6">
        <f>SUM(Grandview_Inventory[[#This Row],[Intercept]:[det_value]])*Grandview_Inventory[[#This Row],[res_pct]]</f>
        <v>350759.00294800004</v>
      </c>
      <c r="BS902" s="6">
        <f>Grandview_Inventory[[#This Row],[land_value]]</f>
        <v>52639.730588165206</v>
      </c>
      <c r="BT902" s="4">
        <f>_xlfn.IFNA(VLOOKUP(Grandview_Inventory[[#This Row],[quality]],Lookups!$A$26:$C$33,3,FALSE),1)</f>
        <v>0.94960540378902636</v>
      </c>
      <c r="BU902" s="4">
        <f>_xlfn.IFNA(VLOOKUP(Grandview_Inventory[[#This Row],[condition]],Lookups!$A$37:$C$44,3,FALSE),1)</f>
        <v>0.96469275950863709</v>
      </c>
      <c r="BV902" s="4">
        <f>IF(Grandview_Inventory[[#This Row],[bldg_style]]="",1,_xlfn.IFNA(VLOOKUP(Grandview_Inventory[[#This Row],[decade]],Lookups!$F$29:$H$43,3,FALSE),1))</f>
        <v>0.99472141305414818</v>
      </c>
      <c r="BW902" s="4">
        <f>_xlfn.IFNA(VLOOKUP(Grandview_Inventory[[#This Row],[living_area_range]],Lookups!$F$47:$H$56,3,FALSE),1)</f>
        <v>0.94224801443562123</v>
      </c>
      <c r="BX902" s="4">
        <f>AVERAGE(Grandview_Inventory[[#This Row],[qual_adj]:[size_adj]])</f>
        <v>0.96281689769685819</v>
      </c>
      <c r="BY902" s="6">
        <f>IF(Grandview_Inventory[[#This Row],[pre_res]]&lt;0,0,Grandview_Inventory[[#This Row],[pre_res]]*Grandview_Inventory[[#This Row],[overall_adj]])</f>
        <v>337716.69505763653</v>
      </c>
      <c r="BZ902" s="6">
        <f>(Grandview_Inventory[[#This Row],[sum_land]]-IF(Grandview_Inventory[[#This Row],[no_utilities]]=1,12000,0))/IF(Grandview_Inventory[[#This Row],[unbuildable]]=1,2,1)</f>
        <v>52639.730588165206</v>
      </c>
      <c r="CA902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02">
        <f>ROUND(Grandview_Inventory[[#This Row],[det_value]]*Lookups!$M$28,-2)</f>
        <v>4700</v>
      </c>
      <c r="CC902">
        <f>IF(ROUND(Grandview_Inventory[[#This Row],[adj_res]]*Lookups!$M$28,-2)&lt;Grandview_Inventory[[#This Row],[min_res]],Grandview_Inventory[[#This Row],[min_res]],ROUND(Grandview_Inventory[[#This Row],[adj_res]]*Lookups!$M$28,-2))</f>
        <v>320800</v>
      </c>
      <c r="CD902">
        <f>Grandview_Inventory[[#This Row],[final_det]]+Grandview_Inventory[[#This Row],[final_res]]</f>
        <v>325500</v>
      </c>
      <c r="CE902">
        <f>Grandview_Inventory[[#This Row],[final_land]]+Grandview_Inventory[[#This Row],[final_imp]]+Grandview_Inventory[[#This Row],[crop_value]]</f>
        <v>375500</v>
      </c>
      <c r="CG902" t="str">
        <f t="shared" si="14"/>
        <v>update valuation set market_land =50000, market_bldg=325500, market_total =375500, market_mdno =401, market_date ='9/10/2023' where link_id = (select link_id from parcel where parcel_year = '2024' and parcel_id = '23092241428');</v>
      </c>
    </row>
    <row r="903" spans="1:85" x14ac:dyDescent="0.25">
      <c r="A903">
        <v>23092241430</v>
      </c>
      <c r="B903">
        <v>0.26</v>
      </c>
      <c r="C903">
        <v>11317</v>
      </c>
      <c r="D903" t="s">
        <v>129</v>
      </c>
      <c r="E903" t="s">
        <v>53</v>
      </c>
      <c r="F903" t="s">
        <v>53</v>
      </c>
      <c r="G903">
        <v>4</v>
      </c>
      <c r="H903" t="s">
        <v>54</v>
      </c>
      <c r="I903">
        <v>233400</v>
      </c>
      <c r="J903">
        <v>44500</v>
      </c>
      <c r="K903">
        <v>0.26</v>
      </c>
      <c r="L903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903">
        <v>0</v>
      </c>
      <c r="N903">
        <v>0</v>
      </c>
      <c r="O903">
        <v>0</v>
      </c>
      <c r="P903">
        <v>13398.7528</v>
      </c>
      <c r="Q903">
        <v>63903</v>
      </c>
      <c r="R903">
        <f>(Grandview_Inventory[[#This Row],[ln_acres]]*Grandview_Inventory[[#This Row],[coeff]])+Grandview_Inventory[[#This Row],[const]]</f>
        <v>45853.893187501177</v>
      </c>
      <c r="S903" t="s">
        <v>61</v>
      </c>
      <c r="T903">
        <v>1</v>
      </c>
      <c r="U903" t="s">
        <v>64</v>
      </c>
      <c r="V903" t="s">
        <v>69</v>
      </c>
      <c r="W903">
        <v>0</v>
      </c>
      <c r="X903">
        <v>0</v>
      </c>
      <c r="Y903">
        <v>49</v>
      </c>
      <c r="Z903">
        <v>68</v>
      </c>
      <c r="AA903">
        <v>70</v>
      </c>
      <c r="AB903">
        <v>2000</v>
      </c>
      <c r="AC903">
        <v>1678</v>
      </c>
      <c r="AD903">
        <v>1678</v>
      </c>
      <c r="AE903">
        <v>0</v>
      </c>
      <c r="AF903">
        <v>0</v>
      </c>
      <c r="AG903">
        <v>0</v>
      </c>
      <c r="AH903">
        <v>0</v>
      </c>
      <c r="AI903">
        <v>600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8</v>
      </c>
      <c r="AQ903">
        <v>0</v>
      </c>
      <c r="AR903">
        <v>1</v>
      </c>
      <c r="AS903" t="s">
        <v>58</v>
      </c>
      <c r="AT903">
        <v>1</v>
      </c>
      <c r="AU903" t="s">
        <v>63</v>
      </c>
      <c r="AV903" t="s">
        <v>60</v>
      </c>
      <c r="AW903">
        <v>1</v>
      </c>
      <c r="AX903">
        <v>3</v>
      </c>
      <c r="AY903">
        <v>0</v>
      </c>
      <c r="AZ903">
        <v>0</v>
      </c>
      <c r="BA903">
        <v>100</v>
      </c>
      <c r="BB903">
        <v>100</v>
      </c>
      <c r="BC903">
        <v>100</v>
      </c>
      <c r="BD903">
        <v>100</v>
      </c>
      <c r="BE903">
        <v>1</v>
      </c>
      <c r="BF903">
        <v>15000</v>
      </c>
      <c r="BG903">
        <v>1000</v>
      </c>
      <c r="BH903" s="6">
        <f>Grandview_Inventory[[#This Row],[land_extract]]*Lookups!$B$3</f>
        <v>53250.00235313351</v>
      </c>
      <c r="BI903" s="6">
        <f>IF(Grandview_Inventory[[#This Row],[bldg_style]]="",0,Lookups!$B$2)</f>
        <v>155833.95000000001</v>
      </c>
      <c r="BJ903" s="6">
        <f>_xlfn.IFNA(VLOOKUP(Grandview_Inventory[[#This Row],[quality]],Lookups!$H$2:$J$14,3,FALSE),0)</f>
        <v>20768</v>
      </c>
      <c r="BK903" s="6">
        <f>_xlfn.IFNA(VLOOKUP(Grandview_Inventory[[#This Row],[condition]],Lookups!$H$17:$J$24,3,FALSE),0)</f>
        <v>-4503</v>
      </c>
      <c r="BL903" s="6">
        <f>Grandview_Inventory[[#This Row],[Eff_Age]]*Lookups!$B$14</f>
        <v>-11719.163399999999</v>
      </c>
      <c r="BM903" s="6">
        <f>Grandview_Inventory[[#This Row],[living_area]]*Lookups!$B$15</f>
        <v>104675.07133400001</v>
      </c>
      <c r="BN903" s="6">
        <f>Grandview_Inventory[[#This Row],[Fin BSMT]]*Lookups!$B$16</f>
        <v>0</v>
      </c>
      <c r="BO903" s="6">
        <f>(Grandview_Inventory[[#This Row],[att_gar]]+Grandview_Inventory[[#This Row],[bltin_gar]])*Lookups!$B$17</f>
        <v>52512.262199999997</v>
      </c>
      <c r="BP903" s="6">
        <f>Grandview_Inventory[[#This Row],[Plumbing Fixtures]]*Lookups!$B$18</f>
        <v>16083.5344</v>
      </c>
      <c r="BQ903" s="6">
        <f>Grandview_Inventory[[#This Row],[detatched_value]]*Lookups!$B$19</f>
        <v>0</v>
      </c>
      <c r="BR903" s="6">
        <f>SUM(Grandview_Inventory[[#This Row],[Intercept]:[det_value]])*Grandview_Inventory[[#This Row],[res_pct]]</f>
        <v>333650.65453400003</v>
      </c>
      <c r="BS903" s="6">
        <f>Grandview_Inventory[[#This Row],[land_value]]</f>
        <v>53250.00235313351</v>
      </c>
      <c r="BT903" s="4">
        <f>_xlfn.IFNA(VLOOKUP(Grandview_Inventory[[#This Row],[quality]],Lookups!$A$26:$C$33,3,FALSE),1)</f>
        <v>0.94960540378902636</v>
      </c>
      <c r="BU903" s="4">
        <f>_xlfn.IFNA(VLOOKUP(Grandview_Inventory[[#This Row],[condition]],Lookups!$A$37:$C$44,3,FALSE),1)</f>
        <v>0.96469275950863709</v>
      </c>
      <c r="BV903" s="4">
        <f>IF(Grandview_Inventory[[#This Row],[bldg_style]]="",1,_xlfn.IFNA(VLOOKUP(Grandview_Inventory[[#This Row],[decade]],Lookups!$F$29:$H$43,3,FALSE),1))</f>
        <v>0.99472141305414818</v>
      </c>
      <c r="BW903" s="4">
        <f>_xlfn.IFNA(VLOOKUP(Grandview_Inventory[[#This Row],[living_area_range]],Lookups!$F$47:$H$56,3,FALSE),1)</f>
        <v>0.96120133463014379</v>
      </c>
      <c r="BX903" s="4">
        <f>AVERAGE(Grandview_Inventory[[#This Row],[qual_adj]:[size_adj]])</f>
        <v>0.96755522774548886</v>
      </c>
      <c r="BY903" s="6">
        <f>IF(Grandview_Inventory[[#This Row],[pre_res]]&lt;0,0,Grandview_Inventory[[#This Row],[pre_res]]*Grandview_Inventory[[#This Row],[overall_adj]])</f>
        <v>322825.43503507582</v>
      </c>
      <c r="BZ903" s="6">
        <f>(Grandview_Inventory[[#This Row],[sum_land]]-IF(Grandview_Inventory[[#This Row],[no_utilities]]=1,12000,0))/IF(Grandview_Inventory[[#This Row],[unbuildable]]=1,2,1)</f>
        <v>53250.00235313351</v>
      </c>
      <c r="CA903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903">
        <f>ROUND(Grandview_Inventory[[#This Row],[det_value]]*Lookups!$M$28,-2)</f>
        <v>0</v>
      </c>
      <c r="CC903">
        <f>IF(ROUND(Grandview_Inventory[[#This Row],[adj_res]]*Lookups!$M$28,-2)&lt;Grandview_Inventory[[#This Row],[min_res]],Grandview_Inventory[[#This Row],[min_res]],ROUND(Grandview_Inventory[[#This Row],[adj_res]]*Lookups!$M$28,-2))</f>
        <v>306700</v>
      </c>
      <c r="CD903">
        <f>Grandview_Inventory[[#This Row],[final_det]]+Grandview_Inventory[[#This Row],[final_res]]</f>
        <v>306700</v>
      </c>
      <c r="CE903">
        <f>Grandview_Inventory[[#This Row],[final_land]]+Grandview_Inventory[[#This Row],[final_imp]]+Grandview_Inventory[[#This Row],[crop_value]]</f>
        <v>357300</v>
      </c>
      <c r="CG903" t="str">
        <f t="shared" si="14"/>
        <v>update valuation set market_land =50600, market_bldg=306700, market_total =357300, market_mdno =401, market_date ='9/10/2023' where link_id = (select link_id from parcel where parcel_year = '2024' and parcel_id = '23092241430');</v>
      </c>
    </row>
    <row r="904" spans="1:85" x14ac:dyDescent="0.25">
      <c r="A904">
        <v>23092241431</v>
      </c>
      <c r="B904">
        <v>0.19</v>
      </c>
      <c r="C904">
        <v>8079</v>
      </c>
      <c r="D904" t="s">
        <v>129</v>
      </c>
      <c r="E904" t="s">
        <v>53</v>
      </c>
      <c r="F904" t="s">
        <v>53</v>
      </c>
      <c r="G904">
        <v>4</v>
      </c>
      <c r="H904" t="s">
        <v>54</v>
      </c>
      <c r="I904">
        <v>200800</v>
      </c>
      <c r="J904">
        <v>43300</v>
      </c>
      <c r="K904">
        <v>0.19</v>
      </c>
      <c r="L90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04">
        <v>0</v>
      </c>
      <c r="N904">
        <v>0</v>
      </c>
      <c r="O904">
        <v>0</v>
      </c>
      <c r="P904">
        <v>13398.7528</v>
      </c>
      <c r="Q904">
        <v>63903</v>
      </c>
      <c r="R904">
        <f>(Grandview_Inventory[[#This Row],[ln_acres]]*Grandview_Inventory[[#This Row],[coeff]])+Grandview_Inventory[[#This Row],[const]]</f>
        <v>41651.273092551026</v>
      </c>
      <c r="S904" t="s">
        <v>61</v>
      </c>
      <c r="T904">
        <v>1</v>
      </c>
      <c r="U904" t="s">
        <v>65</v>
      </c>
      <c r="V904" t="s">
        <v>69</v>
      </c>
      <c r="W904">
        <v>0</v>
      </c>
      <c r="X904">
        <v>0</v>
      </c>
      <c r="Y904">
        <v>48</v>
      </c>
      <c r="Z904">
        <v>63</v>
      </c>
      <c r="AA904">
        <v>70</v>
      </c>
      <c r="AB904">
        <v>2000</v>
      </c>
      <c r="AC904">
        <v>1971</v>
      </c>
      <c r="AD904">
        <v>991</v>
      </c>
      <c r="AE904">
        <v>0</v>
      </c>
      <c r="AF904">
        <v>0</v>
      </c>
      <c r="AG904">
        <v>980</v>
      </c>
      <c r="AH904">
        <v>0</v>
      </c>
      <c r="AI904">
        <v>364</v>
      </c>
      <c r="AJ904">
        <v>0</v>
      </c>
      <c r="AK904">
        <v>0</v>
      </c>
      <c r="AL904">
        <v>0</v>
      </c>
      <c r="AM904">
        <v>204</v>
      </c>
      <c r="AN904">
        <v>0</v>
      </c>
      <c r="AO904">
        <v>204</v>
      </c>
      <c r="AP904">
        <v>8</v>
      </c>
      <c r="AQ904">
        <v>0</v>
      </c>
      <c r="AR904">
        <v>2</v>
      </c>
      <c r="AS904" t="s">
        <v>58</v>
      </c>
      <c r="AT904">
        <v>1</v>
      </c>
      <c r="AU904" t="s">
        <v>63</v>
      </c>
      <c r="AV904" t="s">
        <v>64</v>
      </c>
      <c r="AW904">
        <v>1</v>
      </c>
      <c r="AX904">
        <v>4</v>
      </c>
      <c r="AY904">
        <v>0</v>
      </c>
      <c r="AZ904">
        <v>0</v>
      </c>
      <c r="BA904">
        <v>100</v>
      </c>
      <c r="BB904">
        <v>100</v>
      </c>
      <c r="BC904">
        <v>100</v>
      </c>
      <c r="BD904">
        <v>100</v>
      </c>
      <c r="BE904">
        <v>1</v>
      </c>
      <c r="BF904">
        <v>15000</v>
      </c>
      <c r="BG904">
        <v>1000</v>
      </c>
      <c r="BH904" s="6">
        <f>Grandview_Inventory[[#This Row],[land_extract]]*Lookups!$B$3</f>
        <v>48369.510983942157</v>
      </c>
      <c r="BI904" s="6">
        <f>IF(Grandview_Inventory[[#This Row],[bldg_style]]="",0,Lookups!$B$2)</f>
        <v>155833.95000000001</v>
      </c>
      <c r="BJ904" s="6">
        <f>_xlfn.IFNA(VLOOKUP(Grandview_Inventory[[#This Row],[quality]],Lookups!$H$2:$J$14,3,FALSE),0)</f>
        <v>2251</v>
      </c>
      <c r="BK904" s="6">
        <f>_xlfn.IFNA(VLOOKUP(Grandview_Inventory[[#This Row],[condition]],Lookups!$H$17:$J$24,3,FALSE),0)</f>
        <v>-4503</v>
      </c>
      <c r="BL904" s="6">
        <f>Grandview_Inventory[[#This Row],[Eff_Age]]*Lookups!$B$14</f>
        <v>-11479.996799999999</v>
      </c>
      <c r="BM904" s="6">
        <f>Grandview_Inventory[[#This Row],[living_area]]*Lookups!$B$15</f>
        <v>122952.661263</v>
      </c>
      <c r="BN904" s="6">
        <f>Grandview_Inventory[[#This Row],[Fin BSMT]]*Lookups!$B$16</f>
        <v>-26557.255200000003</v>
      </c>
      <c r="BO904" s="6">
        <f>(Grandview_Inventory[[#This Row],[att_gar]]+Grandview_Inventory[[#This Row],[bltin_gar]])*Lookups!$B$17</f>
        <v>31857.439068</v>
      </c>
      <c r="BP904" s="6">
        <f>Grandview_Inventory[[#This Row],[Plumbing Fixtures]]*Lookups!$B$18</f>
        <v>16083.5344</v>
      </c>
      <c r="BQ904" s="6">
        <f>Grandview_Inventory[[#This Row],[detatched_value]]*Lookups!$B$19</f>
        <v>0</v>
      </c>
      <c r="BR904" s="6">
        <f>SUM(Grandview_Inventory[[#This Row],[Intercept]:[det_value]])*Grandview_Inventory[[#This Row],[res_pct]]</f>
        <v>286438.33273100003</v>
      </c>
      <c r="BS904" s="6">
        <f>Grandview_Inventory[[#This Row],[land_value]]</f>
        <v>48369.510983942157</v>
      </c>
      <c r="BT904" s="4">
        <f>_xlfn.IFNA(VLOOKUP(Grandview_Inventory[[#This Row],[quality]],Lookups!$A$26:$C$33,3,FALSE),1)</f>
        <v>0.98763855981004833</v>
      </c>
      <c r="BU904" s="4">
        <f>_xlfn.IFNA(VLOOKUP(Grandview_Inventory[[#This Row],[condition]],Lookups!$A$37:$C$44,3,FALSE),1)</f>
        <v>0.96469275950863709</v>
      </c>
      <c r="BV904" s="4">
        <f>IF(Grandview_Inventory[[#This Row],[bldg_style]]="",1,_xlfn.IFNA(VLOOKUP(Grandview_Inventory[[#This Row],[decade]],Lookups!$F$29:$H$43,3,FALSE),1))</f>
        <v>0.99472141305414818</v>
      </c>
      <c r="BW904" s="4">
        <f>_xlfn.IFNA(VLOOKUP(Grandview_Inventory[[#This Row],[living_area_range]],Lookups!$F$47:$H$56,3,FALSE),1)</f>
        <v>0.96120133463014379</v>
      </c>
      <c r="BX904" s="4">
        <f>AVERAGE(Grandview_Inventory[[#This Row],[qual_adj]:[size_adj]])</f>
        <v>0.97706351675074443</v>
      </c>
      <c r="BY904" s="6">
        <f>IF(Grandview_Inventory[[#This Row],[pre_res]]&lt;0,0,Grandview_Inventory[[#This Row],[pre_res]]*Grandview_Inventory[[#This Row],[overall_adj]])</f>
        <v>279868.44471037074</v>
      </c>
      <c r="BZ904" s="6">
        <f>(Grandview_Inventory[[#This Row],[sum_land]]-IF(Grandview_Inventory[[#This Row],[no_utilities]]=1,12000,0))/IF(Grandview_Inventory[[#This Row],[unbuildable]]=1,2,1)</f>
        <v>48369.510983942157</v>
      </c>
      <c r="CA90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04">
        <f>ROUND(Grandview_Inventory[[#This Row],[det_value]]*Lookups!$M$28,-2)</f>
        <v>0</v>
      </c>
      <c r="CC904">
        <f>IF(ROUND(Grandview_Inventory[[#This Row],[adj_res]]*Lookups!$M$28,-2)&lt;Grandview_Inventory[[#This Row],[min_res]],Grandview_Inventory[[#This Row],[min_res]],ROUND(Grandview_Inventory[[#This Row],[adj_res]]*Lookups!$M$28,-2))</f>
        <v>265900</v>
      </c>
      <c r="CD904">
        <f>Grandview_Inventory[[#This Row],[final_det]]+Grandview_Inventory[[#This Row],[final_res]]</f>
        <v>265900</v>
      </c>
      <c r="CE904">
        <f>Grandview_Inventory[[#This Row],[final_land]]+Grandview_Inventory[[#This Row],[final_imp]]+Grandview_Inventory[[#This Row],[crop_value]]</f>
        <v>311900</v>
      </c>
      <c r="CG904" t="str">
        <f t="shared" si="14"/>
        <v>update valuation set market_land =46000, market_bldg=265900, market_total =311900, market_mdno =401, market_date ='9/10/2023' where link_id = (select link_id from parcel where parcel_year = '2024' and parcel_id = '23092241431');</v>
      </c>
    </row>
    <row r="905" spans="1:85" x14ac:dyDescent="0.25">
      <c r="A905">
        <v>23092241432</v>
      </c>
      <c r="B905">
        <v>0.19</v>
      </c>
      <c r="C905">
        <v>8260</v>
      </c>
      <c r="D905" t="s">
        <v>129</v>
      </c>
      <c r="E905" t="s">
        <v>53</v>
      </c>
      <c r="F905" t="s">
        <v>53</v>
      </c>
      <c r="G905">
        <v>4</v>
      </c>
      <c r="H905" t="s">
        <v>54</v>
      </c>
      <c r="I905">
        <v>281500</v>
      </c>
      <c r="J905">
        <v>43500</v>
      </c>
      <c r="K905">
        <v>0.19</v>
      </c>
      <c r="L9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05">
        <v>0</v>
      </c>
      <c r="N905">
        <v>0</v>
      </c>
      <c r="O905">
        <v>0</v>
      </c>
      <c r="P905">
        <v>13398.7528</v>
      </c>
      <c r="Q905">
        <v>63903</v>
      </c>
      <c r="R905">
        <f>(Grandview_Inventory[[#This Row],[ln_acres]]*Grandview_Inventory[[#This Row],[coeff]])+Grandview_Inventory[[#This Row],[const]]</f>
        <v>41651.273092551026</v>
      </c>
      <c r="S905" t="s">
        <v>61</v>
      </c>
      <c r="T905">
        <v>1</v>
      </c>
      <c r="U905" t="s">
        <v>64</v>
      </c>
      <c r="V905" t="s">
        <v>67</v>
      </c>
      <c r="W905">
        <v>0</v>
      </c>
      <c r="X905">
        <v>0</v>
      </c>
      <c r="Y905">
        <v>49</v>
      </c>
      <c r="Z905">
        <v>68</v>
      </c>
      <c r="AA905">
        <v>70</v>
      </c>
      <c r="AB905">
        <v>2500</v>
      </c>
      <c r="AC905">
        <v>2175</v>
      </c>
      <c r="AD905">
        <v>1692</v>
      </c>
      <c r="AE905">
        <v>0</v>
      </c>
      <c r="AF905">
        <v>0</v>
      </c>
      <c r="AG905">
        <v>483</v>
      </c>
      <c r="AH905">
        <v>0</v>
      </c>
      <c r="AI905">
        <v>528</v>
      </c>
      <c r="AJ905">
        <v>0</v>
      </c>
      <c r="AK905">
        <v>0</v>
      </c>
      <c r="AL905">
        <v>224</v>
      </c>
      <c r="AM905">
        <v>130</v>
      </c>
      <c r="AN905">
        <v>0</v>
      </c>
      <c r="AO905">
        <v>208</v>
      </c>
      <c r="AP905">
        <v>8</v>
      </c>
      <c r="AQ905">
        <v>0</v>
      </c>
      <c r="AR905">
        <v>1</v>
      </c>
      <c r="AS905" t="s">
        <v>58</v>
      </c>
      <c r="AT905">
        <v>1</v>
      </c>
      <c r="AU905" t="s">
        <v>63</v>
      </c>
      <c r="AV905" t="s">
        <v>60</v>
      </c>
      <c r="AW905">
        <v>1</v>
      </c>
      <c r="AX905">
        <v>3</v>
      </c>
      <c r="AY905">
        <v>0</v>
      </c>
      <c r="AZ905">
        <v>0</v>
      </c>
      <c r="BA905">
        <v>100</v>
      </c>
      <c r="BB905">
        <v>100</v>
      </c>
      <c r="BC905">
        <v>100</v>
      </c>
      <c r="BD905">
        <v>100</v>
      </c>
      <c r="BE905">
        <v>1</v>
      </c>
      <c r="BF905">
        <v>15000</v>
      </c>
      <c r="BG905">
        <v>1000</v>
      </c>
      <c r="BH905" s="6">
        <f>Grandview_Inventory[[#This Row],[land_extract]]*Lookups!$B$3</f>
        <v>48369.510983942157</v>
      </c>
      <c r="BI905" s="6">
        <f>IF(Grandview_Inventory[[#This Row],[bldg_style]]="",0,Lookups!$B$2)</f>
        <v>155833.95000000001</v>
      </c>
      <c r="BJ905" s="6">
        <f>_xlfn.IFNA(VLOOKUP(Grandview_Inventory[[#This Row],[quality]],Lookups!$H$2:$J$14,3,FALSE),0)</f>
        <v>20768</v>
      </c>
      <c r="BK905" s="6">
        <f>_xlfn.IFNA(VLOOKUP(Grandview_Inventory[[#This Row],[condition]],Lookups!$H$17:$J$24,3,FALSE),0)</f>
        <v>22342</v>
      </c>
      <c r="BL905" s="6">
        <f>Grandview_Inventory[[#This Row],[Eff_Age]]*Lookups!$B$14</f>
        <v>-11719.163399999999</v>
      </c>
      <c r="BM905" s="6">
        <f>Grandview_Inventory[[#This Row],[living_area]]*Lookups!$B$15</f>
        <v>135678.35527500001</v>
      </c>
      <c r="BN905" s="6">
        <f>Grandview_Inventory[[#This Row],[Fin BSMT]]*Lookups!$B$16</f>
        <v>-13088.932920000001</v>
      </c>
      <c r="BO905" s="6">
        <f>(Grandview_Inventory[[#This Row],[att_gar]]+Grandview_Inventory[[#This Row],[bltin_gar]])*Lookups!$B$17</f>
        <v>46210.790736000003</v>
      </c>
      <c r="BP905" s="6">
        <f>Grandview_Inventory[[#This Row],[Plumbing Fixtures]]*Lookups!$B$18</f>
        <v>16083.5344</v>
      </c>
      <c r="BQ905" s="6">
        <f>Grandview_Inventory[[#This Row],[detatched_value]]*Lookups!$B$19</f>
        <v>0</v>
      </c>
      <c r="BR905" s="6">
        <f>SUM(Grandview_Inventory[[#This Row],[Intercept]:[det_value]])*Grandview_Inventory[[#This Row],[res_pct]]</f>
        <v>372108.53409100004</v>
      </c>
      <c r="BS905" s="6">
        <f>Grandview_Inventory[[#This Row],[land_value]]</f>
        <v>48369.510983942157</v>
      </c>
      <c r="BT905" s="4">
        <f>_xlfn.IFNA(VLOOKUP(Grandview_Inventory[[#This Row],[quality]],Lookups!$A$26:$C$33,3,FALSE),1)</f>
        <v>0.94960540378902636</v>
      </c>
      <c r="BU905" s="4">
        <f>_xlfn.IFNA(VLOOKUP(Grandview_Inventory[[#This Row],[condition]],Lookups!$A$37:$C$44,3,FALSE),1)</f>
        <v>0.97383723671140243</v>
      </c>
      <c r="BV905" s="4">
        <f>IF(Grandview_Inventory[[#This Row],[bldg_style]]="",1,_xlfn.IFNA(VLOOKUP(Grandview_Inventory[[#This Row],[decade]],Lookups!$F$29:$H$43,3,FALSE),1))</f>
        <v>0.99472141305414818</v>
      </c>
      <c r="BW905" s="4">
        <f>_xlfn.IFNA(VLOOKUP(Grandview_Inventory[[#This Row],[living_area_range]],Lookups!$F$47:$H$56,3,FALSE),1)</f>
        <v>0.95799442568048754</v>
      </c>
      <c r="BX905" s="4">
        <f>AVERAGE(Grandview_Inventory[[#This Row],[qual_adj]:[size_adj]])</f>
        <v>0.96903961980876607</v>
      </c>
      <c r="BY905" s="6">
        <f>IF(Grandview_Inventory[[#This Row],[pre_res]]&lt;0,0,Grandview_Inventory[[#This Row],[pre_res]]*Grandview_Inventory[[#This Row],[overall_adj]])</f>
        <v>360587.91240313993</v>
      </c>
      <c r="BZ905" s="6">
        <f>(Grandview_Inventory[[#This Row],[sum_land]]-IF(Grandview_Inventory[[#This Row],[no_utilities]]=1,12000,0))/IF(Grandview_Inventory[[#This Row],[unbuildable]]=1,2,1)</f>
        <v>48369.510983942157</v>
      </c>
      <c r="CA9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05">
        <f>ROUND(Grandview_Inventory[[#This Row],[det_value]]*Lookups!$M$28,-2)</f>
        <v>0</v>
      </c>
      <c r="CC905">
        <f>IF(ROUND(Grandview_Inventory[[#This Row],[adj_res]]*Lookups!$M$28,-2)&lt;Grandview_Inventory[[#This Row],[min_res]],Grandview_Inventory[[#This Row],[min_res]],ROUND(Grandview_Inventory[[#This Row],[adj_res]]*Lookups!$M$28,-2))</f>
        <v>342600</v>
      </c>
      <c r="CD905">
        <f>Grandview_Inventory[[#This Row],[final_det]]+Grandview_Inventory[[#This Row],[final_res]]</f>
        <v>342600</v>
      </c>
      <c r="CE905">
        <f>Grandview_Inventory[[#This Row],[final_land]]+Grandview_Inventory[[#This Row],[final_imp]]+Grandview_Inventory[[#This Row],[crop_value]]</f>
        <v>388600</v>
      </c>
      <c r="CG905" t="str">
        <f t="shared" si="14"/>
        <v>update valuation set market_land =46000, market_bldg=342600, market_total =388600, market_mdno =401, market_date ='9/10/2023' where link_id = (select link_id from parcel where parcel_year = '2024' and parcel_id = '23092241432');</v>
      </c>
    </row>
    <row r="906" spans="1:85" x14ac:dyDescent="0.25">
      <c r="A906">
        <v>23092241433</v>
      </c>
      <c r="B906">
        <v>0.19</v>
      </c>
      <c r="C906">
        <v>8294</v>
      </c>
      <c r="D906" t="s">
        <v>129</v>
      </c>
      <c r="E906" t="s">
        <v>53</v>
      </c>
      <c r="F906" t="s">
        <v>53</v>
      </c>
      <c r="G906">
        <v>4</v>
      </c>
      <c r="H906" t="s">
        <v>54</v>
      </c>
      <c r="I906">
        <v>203300</v>
      </c>
      <c r="J906">
        <v>43300</v>
      </c>
      <c r="K906">
        <v>0.19</v>
      </c>
      <c r="L90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06">
        <v>0</v>
      </c>
      <c r="N906">
        <v>0</v>
      </c>
      <c r="O906">
        <v>0</v>
      </c>
      <c r="P906">
        <v>13398.7528</v>
      </c>
      <c r="Q906">
        <v>63903</v>
      </c>
      <c r="R906">
        <f>(Grandview_Inventory[[#This Row],[ln_acres]]*Grandview_Inventory[[#This Row],[coeff]])+Grandview_Inventory[[#This Row],[const]]</f>
        <v>41651.273092551026</v>
      </c>
      <c r="S906" t="s">
        <v>61</v>
      </c>
      <c r="T906">
        <v>1</v>
      </c>
      <c r="U906" t="s">
        <v>65</v>
      </c>
      <c r="V906" t="s">
        <v>67</v>
      </c>
      <c r="W906">
        <v>0</v>
      </c>
      <c r="X906">
        <v>0</v>
      </c>
      <c r="Y906">
        <v>48</v>
      </c>
      <c r="Z906">
        <v>63</v>
      </c>
      <c r="AA906">
        <v>70</v>
      </c>
      <c r="AB906">
        <v>1500</v>
      </c>
      <c r="AC906">
        <v>1301</v>
      </c>
      <c r="AD906">
        <v>1301</v>
      </c>
      <c r="AE906">
        <v>0</v>
      </c>
      <c r="AF906">
        <v>0</v>
      </c>
      <c r="AG906">
        <v>0</v>
      </c>
      <c r="AH906">
        <v>0</v>
      </c>
      <c r="AI906">
        <v>390</v>
      </c>
      <c r="AJ906">
        <v>0</v>
      </c>
      <c r="AK906">
        <v>0</v>
      </c>
      <c r="AL906">
        <v>0</v>
      </c>
      <c r="AM906">
        <v>220</v>
      </c>
      <c r="AN906">
        <v>0</v>
      </c>
      <c r="AO906">
        <v>220</v>
      </c>
      <c r="AP906">
        <v>5</v>
      </c>
      <c r="AQ906">
        <v>0</v>
      </c>
      <c r="AR906">
        <v>0</v>
      </c>
      <c r="AS906" t="s">
        <v>58</v>
      </c>
      <c r="AT906">
        <v>1</v>
      </c>
      <c r="AU906" t="s">
        <v>63</v>
      </c>
      <c r="AV906" t="s">
        <v>64</v>
      </c>
      <c r="AW906">
        <v>1</v>
      </c>
      <c r="AX906">
        <v>3</v>
      </c>
      <c r="AY906">
        <v>0</v>
      </c>
      <c r="AZ906">
        <v>0</v>
      </c>
      <c r="BA906">
        <v>100</v>
      </c>
      <c r="BB906">
        <v>100</v>
      </c>
      <c r="BC906">
        <v>100</v>
      </c>
      <c r="BD906">
        <v>100</v>
      </c>
      <c r="BE906">
        <v>1</v>
      </c>
      <c r="BF906">
        <v>15000</v>
      </c>
      <c r="BG906">
        <v>1000</v>
      </c>
      <c r="BH906" s="6">
        <f>Grandview_Inventory[[#This Row],[land_extract]]*Lookups!$B$3</f>
        <v>48369.510983942157</v>
      </c>
      <c r="BI906" s="6">
        <f>IF(Grandview_Inventory[[#This Row],[bldg_style]]="",0,Lookups!$B$2)</f>
        <v>155833.95000000001</v>
      </c>
      <c r="BJ906" s="6">
        <f>_xlfn.IFNA(VLOOKUP(Grandview_Inventory[[#This Row],[quality]],Lookups!$H$2:$J$14,3,FALSE),0)</f>
        <v>2251</v>
      </c>
      <c r="BK906" s="6">
        <f>_xlfn.IFNA(VLOOKUP(Grandview_Inventory[[#This Row],[condition]],Lookups!$H$17:$J$24,3,FALSE),0)</f>
        <v>22342</v>
      </c>
      <c r="BL906" s="6">
        <f>Grandview_Inventory[[#This Row],[Eff_Age]]*Lookups!$B$14</f>
        <v>-11479.996799999999</v>
      </c>
      <c r="BM906" s="6">
        <f>Grandview_Inventory[[#This Row],[living_area]]*Lookups!$B$15</f>
        <v>81157.489753000002</v>
      </c>
      <c r="BN906" s="6">
        <f>Grandview_Inventory[[#This Row],[Fin BSMT]]*Lookups!$B$16</f>
        <v>0</v>
      </c>
      <c r="BO906" s="6">
        <f>(Grandview_Inventory[[#This Row],[att_gar]]+Grandview_Inventory[[#This Row],[bltin_gar]])*Lookups!$B$17</f>
        <v>34132.970430000001</v>
      </c>
      <c r="BP906" s="6">
        <f>Grandview_Inventory[[#This Row],[Plumbing Fixtures]]*Lookups!$B$18</f>
        <v>10052.209000000001</v>
      </c>
      <c r="BQ906" s="6">
        <f>Grandview_Inventory[[#This Row],[detatched_value]]*Lookups!$B$19</f>
        <v>0</v>
      </c>
      <c r="BR906" s="6">
        <f>SUM(Grandview_Inventory[[#This Row],[Intercept]:[det_value]])*Grandview_Inventory[[#This Row],[res_pct]]</f>
        <v>294289.62238299998</v>
      </c>
      <c r="BS906" s="6">
        <f>Grandview_Inventory[[#This Row],[land_value]]</f>
        <v>48369.510983942157</v>
      </c>
      <c r="BT906" s="4">
        <f>_xlfn.IFNA(VLOOKUP(Grandview_Inventory[[#This Row],[quality]],Lookups!$A$26:$C$33,3,FALSE),1)</f>
        <v>0.98763855981004833</v>
      </c>
      <c r="BU906" s="4">
        <f>_xlfn.IFNA(VLOOKUP(Grandview_Inventory[[#This Row],[condition]],Lookups!$A$37:$C$44,3,FALSE),1)</f>
        <v>0.97383723671140243</v>
      </c>
      <c r="BV906" s="4">
        <f>IF(Grandview_Inventory[[#This Row],[bldg_style]]="",1,_xlfn.IFNA(VLOOKUP(Grandview_Inventory[[#This Row],[decade]],Lookups!$F$29:$H$43,3,FALSE),1))</f>
        <v>0.99472141305414818</v>
      </c>
      <c r="BW906" s="4">
        <f>_xlfn.IFNA(VLOOKUP(Grandview_Inventory[[#This Row],[living_area_range]],Lookups!$F$47:$H$56,3,FALSE),1)</f>
        <v>0.96135087979789358</v>
      </c>
      <c r="BX906" s="4">
        <f>AVERAGE(Grandview_Inventory[[#This Row],[qual_adj]:[size_adj]])</f>
        <v>0.97938702234337316</v>
      </c>
      <c r="BY906" s="6">
        <f>IF(Grandview_Inventory[[#This Row],[pre_res]]&lt;0,0,Grandview_Inventory[[#This Row],[pre_res]]*Grandview_Inventory[[#This Row],[overall_adj]])</f>
        <v>288223.43697224202</v>
      </c>
      <c r="BZ906" s="6">
        <f>(Grandview_Inventory[[#This Row],[sum_land]]-IF(Grandview_Inventory[[#This Row],[no_utilities]]=1,12000,0))/IF(Grandview_Inventory[[#This Row],[unbuildable]]=1,2,1)</f>
        <v>48369.510983942157</v>
      </c>
      <c r="CA90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06">
        <f>ROUND(Grandview_Inventory[[#This Row],[det_value]]*Lookups!$M$28,-2)</f>
        <v>0</v>
      </c>
      <c r="CC906">
        <f>IF(ROUND(Grandview_Inventory[[#This Row],[adj_res]]*Lookups!$M$28,-2)&lt;Grandview_Inventory[[#This Row],[min_res]],Grandview_Inventory[[#This Row],[min_res]],ROUND(Grandview_Inventory[[#This Row],[adj_res]]*Lookups!$M$28,-2))</f>
        <v>273800</v>
      </c>
      <c r="CD906">
        <f>Grandview_Inventory[[#This Row],[final_det]]+Grandview_Inventory[[#This Row],[final_res]]</f>
        <v>273800</v>
      </c>
      <c r="CE906">
        <f>Grandview_Inventory[[#This Row],[final_land]]+Grandview_Inventory[[#This Row],[final_imp]]+Grandview_Inventory[[#This Row],[crop_value]]</f>
        <v>319800</v>
      </c>
      <c r="CG906" t="str">
        <f t="shared" si="14"/>
        <v>update valuation set market_land =46000, market_bldg=273800, market_total =319800, market_mdno =401, market_date ='9/10/2023' where link_id = (select link_id from parcel where parcel_year = '2024' and parcel_id = '23092241433');</v>
      </c>
    </row>
    <row r="907" spans="1:85" x14ac:dyDescent="0.25">
      <c r="A907">
        <v>23092241434</v>
      </c>
      <c r="B907">
        <v>0.19</v>
      </c>
      <c r="C907">
        <v>8340</v>
      </c>
      <c r="D907" t="s">
        <v>129</v>
      </c>
      <c r="E907" t="s">
        <v>53</v>
      </c>
      <c r="F907" t="s">
        <v>53</v>
      </c>
      <c r="G907">
        <v>4</v>
      </c>
      <c r="H907" t="s">
        <v>54</v>
      </c>
      <c r="I907">
        <v>149600</v>
      </c>
      <c r="J907">
        <v>43500</v>
      </c>
      <c r="K907">
        <v>0.19</v>
      </c>
      <c r="L90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07">
        <v>0</v>
      </c>
      <c r="N907">
        <v>0</v>
      </c>
      <c r="O907">
        <v>0</v>
      </c>
      <c r="P907">
        <v>13398.7528</v>
      </c>
      <c r="Q907">
        <v>63903</v>
      </c>
      <c r="R907">
        <f>(Grandview_Inventory[[#This Row],[ln_acres]]*Grandview_Inventory[[#This Row],[coeff]])+Grandview_Inventory[[#This Row],[const]]</f>
        <v>41651.273092551026</v>
      </c>
      <c r="S907" t="s">
        <v>61</v>
      </c>
      <c r="T907">
        <v>1</v>
      </c>
      <c r="U907" t="s">
        <v>65</v>
      </c>
      <c r="V907" t="s">
        <v>69</v>
      </c>
      <c r="W907">
        <v>0</v>
      </c>
      <c r="X907">
        <v>0</v>
      </c>
      <c r="Y907">
        <v>49</v>
      </c>
      <c r="Z907">
        <v>68</v>
      </c>
      <c r="AA907">
        <v>70</v>
      </c>
      <c r="AB907">
        <v>1500</v>
      </c>
      <c r="AC907">
        <v>1110</v>
      </c>
      <c r="AD907">
        <v>1110</v>
      </c>
      <c r="AE907">
        <v>0</v>
      </c>
      <c r="AF907">
        <v>0</v>
      </c>
      <c r="AG907">
        <v>0</v>
      </c>
      <c r="AH907">
        <v>0</v>
      </c>
      <c r="AI907">
        <v>320</v>
      </c>
      <c r="AJ907">
        <v>0</v>
      </c>
      <c r="AK907">
        <v>0</v>
      </c>
      <c r="AL907">
        <v>0</v>
      </c>
      <c r="AM907">
        <v>780</v>
      </c>
      <c r="AN907">
        <v>0</v>
      </c>
      <c r="AO907">
        <v>0</v>
      </c>
      <c r="AP907">
        <v>5</v>
      </c>
      <c r="AQ907">
        <v>0</v>
      </c>
      <c r="AR907">
        <v>0</v>
      </c>
      <c r="AS907" t="s">
        <v>58</v>
      </c>
      <c r="AT907">
        <v>1</v>
      </c>
      <c r="AU907" t="s">
        <v>63</v>
      </c>
      <c r="AV907" t="s">
        <v>64</v>
      </c>
      <c r="AW907">
        <v>1</v>
      </c>
      <c r="AX907">
        <v>2</v>
      </c>
      <c r="AY907">
        <v>0</v>
      </c>
      <c r="AZ907">
        <v>0</v>
      </c>
      <c r="BA907">
        <v>100</v>
      </c>
      <c r="BB907">
        <v>100</v>
      </c>
      <c r="BC907">
        <v>100</v>
      </c>
      <c r="BD907">
        <v>100</v>
      </c>
      <c r="BE907">
        <v>1</v>
      </c>
      <c r="BF907">
        <v>15000</v>
      </c>
      <c r="BG907">
        <v>1000</v>
      </c>
      <c r="BH907" s="6">
        <f>Grandview_Inventory[[#This Row],[land_extract]]*Lookups!$B$3</f>
        <v>48369.510983942157</v>
      </c>
      <c r="BI907" s="6">
        <f>IF(Grandview_Inventory[[#This Row],[bldg_style]]="",0,Lookups!$B$2)</f>
        <v>155833.95000000001</v>
      </c>
      <c r="BJ907" s="6">
        <f>_xlfn.IFNA(VLOOKUP(Grandview_Inventory[[#This Row],[quality]],Lookups!$H$2:$J$14,3,FALSE),0)</f>
        <v>2251</v>
      </c>
      <c r="BK907" s="6">
        <f>_xlfn.IFNA(VLOOKUP(Grandview_Inventory[[#This Row],[condition]],Lookups!$H$17:$J$24,3,FALSE),0)</f>
        <v>-4503</v>
      </c>
      <c r="BL907" s="6">
        <f>Grandview_Inventory[[#This Row],[Eff_Age]]*Lookups!$B$14</f>
        <v>-11719.163399999999</v>
      </c>
      <c r="BM907" s="6">
        <f>Grandview_Inventory[[#This Row],[living_area]]*Lookups!$B$15</f>
        <v>69242.746830000004</v>
      </c>
      <c r="BN907" s="6">
        <f>Grandview_Inventory[[#This Row],[Fin BSMT]]*Lookups!$B$16</f>
        <v>0</v>
      </c>
      <c r="BO907" s="6">
        <f>(Grandview_Inventory[[#This Row],[att_gar]]+Grandview_Inventory[[#This Row],[bltin_gar]])*Lookups!$B$17</f>
        <v>28006.539840000001</v>
      </c>
      <c r="BP907" s="6">
        <f>Grandview_Inventory[[#This Row],[Plumbing Fixtures]]*Lookups!$B$18</f>
        <v>10052.209000000001</v>
      </c>
      <c r="BQ907" s="6">
        <f>Grandview_Inventory[[#This Row],[detatched_value]]*Lookups!$B$19</f>
        <v>0</v>
      </c>
      <c r="BR907" s="6">
        <f>SUM(Grandview_Inventory[[#This Row],[Intercept]:[det_value]])*Grandview_Inventory[[#This Row],[res_pct]]</f>
        <v>249164.28227000003</v>
      </c>
      <c r="BS907" s="6">
        <f>Grandview_Inventory[[#This Row],[land_value]]</f>
        <v>48369.510983942157</v>
      </c>
      <c r="BT907" s="4">
        <f>_xlfn.IFNA(VLOOKUP(Grandview_Inventory[[#This Row],[quality]],Lookups!$A$26:$C$33,3,FALSE),1)</f>
        <v>0.98763855981004833</v>
      </c>
      <c r="BU907" s="4">
        <f>_xlfn.IFNA(VLOOKUP(Grandview_Inventory[[#This Row],[condition]],Lookups!$A$37:$C$44,3,FALSE),1)</f>
        <v>0.96469275950863709</v>
      </c>
      <c r="BV907" s="4">
        <f>IF(Grandview_Inventory[[#This Row],[bldg_style]]="",1,_xlfn.IFNA(VLOOKUP(Grandview_Inventory[[#This Row],[decade]],Lookups!$F$29:$H$43,3,FALSE),1))</f>
        <v>0.99472141305414818</v>
      </c>
      <c r="BW907" s="4">
        <f>_xlfn.IFNA(VLOOKUP(Grandview_Inventory[[#This Row],[living_area_range]],Lookups!$F$47:$H$56,3,FALSE),1)</f>
        <v>0.96135087979789358</v>
      </c>
      <c r="BX907" s="4">
        <f>AVERAGE(Grandview_Inventory[[#This Row],[qual_adj]:[size_adj]])</f>
        <v>0.97710090304268182</v>
      </c>
      <c r="BY907" s="6">
        <f>IF(Grandview_Inventory[[#This Row],[pre_res]]&lt;0,0,Grandview_Inventory[[#This Row],[pre_res]]*Grandview_Inventory[[#This Row],[overall_adj]])</f>
        <v>243458.64521199869</v>
      </c>
      <c r="BZ907" s="6">
        <f>(Grandview_Inventory[[#This Row],[sum_land]]-IF(Grandview_Inventory[[#This Row],[no_utilities]]=1,12000,0))/IF(Grandview_Inventory[[#This Row],[unbuildable]]=1,2,1)</f>
        <v>48369.510983942157</v>
      </c>
      <c r="CA90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07">
        <f>ROUND(Grandview_Inventory[[#This Row],[det_value]]*Lookups!$M$28,-2)</f>
        <v>0</v>
      </c>
      <c r="CC907">
        <f>IF(ROUND(Grandview_Inventory[[#This Row],[adj_res]]*Lookups!$M$28,-2)&lt;Grandview_Inventory[[#This Row],[min_res]],Grandview_Inventory[[#This Row],[min_res]],ROUND(Grandview_Inventory[[#This Row],[adj_res]]*Lookups!$M$28,-2))</f>
        <v>231300</v>
      </c>
      <c r="CD907">
        <f>Grandview_Inventory[[#This Row],[final_det]]+Grandview_Inventory[[#This Row],[final_res]]</f>
        <v>231300</v>
      </c>
      <c r="CE907">
        <f>Grandview_Inventory[[#This Row],[final_land]]+Grandview_Inventory[[#This Row],[final_imp]]+Grandview_Inventory[[#This Row],[crop_value]]</f>
        <v>277300</v>
      </c>
      <c r="CG907" t="str">
        <f t="shared" si="14"/>
        <v>update valuation set market_land =46000, market_bldg=231300, market_total =277300, market_mdno =401, market_date ='9/10/2023' where link_id = (select link_id from parcel where parcel_year = '2024' and parcel_id = '23092241434');</v>
      </c>
    </row>
    <row r="908" spans="1:85" x14ac:dyDescent="0.25">
      <c r="A908">
        <v>23092241435</v>
      </c>
      <c r="B908">
        <v>0.21</v>
      </c>
      <c r="C908">
        <v>9211</v>
      </c>
      <c r="D908" t="s">
        <v>129</v>
      </c>
      <c r="E908" t="s">
        <v>53</v>
      </c>
      <c r="F908" t="s">
        <v>53</v>
      </c>
      <c r="G908">
        <v>4</v>
      </c>
      <c r="H908" t="s">
        <v>54</v>
      </c>
      <c r="I908">
        <v>184500</v>
      </c>
      <c r="J908">
        <v>39300</v>
      </c>
      <c r="K908">
        <v>0.21</v>
      </c>
      <c r="L90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08">
        <v>0</v>
      </c>
      <c r="N908">
        <v>0</v>
      </c>
      <c r="O908">
        <v>0</v>
      </c>
      <c r="P908">
        <v>13398.7528</v>
      </c>
      <c r="Q908">
        <v>63903</v>
      </c>
      <c r="R908">
        <f>(Grandview_Inventory[[#This Row],[ln_acres]]*Grandview_Inventory[[#This Row],[coeff]])+Grandview_Inventory[[#This Row],[const]]</f>
        <v>42992.266613125081</v>
      </c>
      <c r="S908" t="s">
        <v>61</v>
      </c>
      <c r="T908">
        <v>1</v>
      </c>
      <c r="U908" t="s">
        <v>65</v>
      </c>
      <c r="V908" t="s">
        <v>69</v>
      </c>
      <c r="W908">
        <v>0</v>
      </c>
      <c r="X908">
        <v>0</v>
      </c>
      <c r="Y908">
        <v>48</v>
      </c>
      <c r="Z908">
        <v>63</v>
      </c>
      <c r="AA908">
        <v>70</v>
      </c>
      <c r="AB908">
        <v>2500</v>
      </c>
      <c r="AC908">
        <v>2352</v>
      </c>
      <c r="AD908">
        <v>1176</v>
      </c>
      <c r="AE908">
        <v>0</v>
      </c>
      <c r="AF908">
        <v>0</v>
      </c>
      <c r="AG908">
        <v>1176</v>
      </c>
      <c r="AH908">
        <v>0</v>
      </c>
      <c r="AI908">
        <v>308</v>
      </c>
      <c r="AJ908">
        <v>0</v>
      </c>
      <c r="AK908">
        <v>0</v>
      </c>
      <c r="AL908">
        <v>0</v>
      </c>
      <c r="AM908">
        <v>376</v>
      </c>
      <c r="AN908">
        <v>0</v>
      </c>
      <c r="AO908">
        <v>376</v>
      </c>
      <c r="AP908">
        <v>8</v>
      </c>
      <c r="AQ908">
        <v>0</v>
      </c>
      <c r="AR908">
        <v>0</v>
      </c>
      <c r="AS908" t="s">
        <v>58</v>
      </c>
      <c r="AT908">
        <v>1</v>
      </c>
      <c r="AU908" t="s">
        <v>63</v>
      </c>
      <c r="AV908" t="s">
        <v>64</v>
      </c>
      <c r="AW908">
        <v>1</v>
      </c>
      <c r="AX908">
        <v>3</v>
      </c>
      <c r="AY908">
        <v>0</v>
      </c>
      <c r="AZ908">
        <v>0</v>
      </c>
      <c r="BA908">
        <v>100</v>
      </c>
      <c r="BB908">
        <v>100</v>
      </c>
      <c r="BC908">
        <v>100</v>
      </c>
      <c r="BD908">
        <v>100</v>
      </c>
      <c r="BE908">
        <v>1</v>
      </c>
      <c r="BF908">
        <v>15000</v>
      </c>
      <c r="BG908">
        <v>1000</v>
      </c>
      <c r="BH908" s="6">
        <f>Grandview_Inventory[[#This Row],[land_extract]]*Lookups!$B$3</f>
        <v>49926.8031387023</v>
      </c>
      <c r="BI908" s="6">
        <f>IF(Grandview_Inventory[[#This Row],[bldg_style]]="",0,Lookups!$B$2)</f>
        <v>155833.95000000001</v>
      </c>
      <c r="BJ908" s="6">
        <f>_xlfn.IFNA(VLOOKUP(Grandview_Inventory[[#This Row],[quality]],Lookups!$H$2:$J$14,3,FALSE),0)</f>
        <v>2251</v>
      </c>
      <c r="BK908" s="6">
        <f>_xlfn.IFNA(VLOOKUP(Grandview_Inventory[[#This Row],[condition]],Lookups!$H$17:$J$24,3,FALSE),0)</f>
        <v>-4503</v>
      </c>
      <c r="BL908" s="6">
        <f>Grandview_Inventory[[#This Row],[Eff_Age]]*Lookups!$B$14</f>
        <v>-11479.996799999999</v>
      </c>
      <c r="BM908" s="6">
        <f>Grandview_Inventory[[#This Row],[living_area]]*Lookups!$B$15</f>
        <v>146719.766256</v>
      </c>
      <c r="BN908" s="6">
        <f>Grandview_Inventory[[#This Row],[Fin BSMT]]*Lookups!$B$16</f>
        <v>-31868.706240000003</v>
      </c>
      <c r="BO908" s="6">
        <f>(Grandview_Inventory[[#This Row],[att_gar]]+Grandview_Inventory[[#This Row],[bltin_gar]])*Lookups!$B$17</f>
        <v>26956.294596</v>
      </c>
      <c r="BP908" s="6">
        <f>Grandview_Inventory[[#This Row],[Plumbing Fixtures]]*Lookups!$B$18</f>
        <v>16083.5344</v>
      </c>
      <c r="BQ908" s="6">
        <f>Grandview_Inventory[[#This Row],[detatched_value]]*Lookups!$B$19</f>
        <v>0</v>
      </c>
      <c r="BR908" s="6">
        <f>SUM(Grandview_Inventory[[#This Row],[Intercept]:[det_value]])*Grandview_Inventory[[#This Row],[res_pct]]</f>
        <v>299992.84221200005</v>
      </c>
      <c r="BS908" s="6">
        <f>Grandview_Inventory[[#This Row],[land_value]]</f>
        <v>49926.8031387023</v>
      </c>
      <c r="BT908" s="4">
        <f>_xlfn.IFNA(VLOOKUP(Grandview_Inventory[[#This Row],[quality]],Lookups!$A$26:$C$33,3,FALSE),1)</f>
        <v>0.98763855981004833</v>
      </c>
      <c r="BU908" s="4">
        <f>_xlfn.IFNA(VLOOKUP(Grandview_Inventory[[#This Row],[condition]],Lookups!$A$37:$C$44,3,FALSE),1)</f>
        <v>0.96469275950863709</v>
      </c>
      <c r="BV908" s="4">
        <f>IF(Grandview_Inventory[[#This Row],[bldg_style]]="",1,_xlfn.IFNA(VLOOKUP(Grandview_Inventory[[#This Row],[decade]],Lookups!$F$29:$H$43,3,FALSE),1))</f>
        <v>0.99472141305414818</v>
      </c>
      <c r="BW908" s="4">
        <f>_xlfn.IFNA(VLOOKUP(Grandview_Inventory[[#This Row],[living_area_range]],Lookups!$F$47:$H$56,3,FALSE),1)</f>
        <v>0.95799442568048754</v>
      </c>
      <c r="BX908" s="4">
        <f>AVERAGE(Grandview_Inventory[[#This Row],[qual_adj]:[size_adj]])</f>
        <v>0.97626178951333031</v>
      </c>
      <c r="BY908" s="6">
        <f>IF(Grandview_Inventory[[#This Row],[pre_res]]&lt;0,0,Grandview_Inventory[[#This Row],[pre_res]]*Grandview_Inventory[[#This Row],[overall_adj]])</f>
        <v>292871.54897907731</v>
      </c>
      <c r="BZ908" s="6">
        <f>(Grandview_Inventory[[#This Row],[sum_land]]-IF(Grandview_Inventory[[#This Row],[no_utilities]]=1,12000,0))/IF(Grandview_Inventory[[#This Row],[unbuildable]]=1,2,1)</f>
        <v>49926.8031387023</v>
      </c>
      <c r="CA90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08">
        <f>ROUND(Grandview_Inventory[[#This Row],[det_value]]*Lookups!$M$28,-2)</f>
        <v>0</v>
      </c>
      <c r="CC908">
        <f>IF(ROUND(Grandview_Inventory[[#This Row],[adj_res]]*Lookups!$M$28,-2)&lt;Grandview_Inventory[[#This Row],[min_res]],Grandview_Inventory[[#This Row],[min_res]],ROUND(Grandview_Inventory[[#This Row],[adj_res]]*Lookups!$M$28,-2))</f>
        <v>278200</v>
      </c>
      <c r="CD908">
        <f>Grandview_Inventory[[#This Row],[final_det]]+Grandview_Inventory[[#This Row],[final_res]]</f>
        <v>278200</v>
      </c>
      <c r="CE908">
        <f>Grandview_Inventory[[#This Row],[final_land]]+Grandview_Inventory[[#This Row],[final_imp]]+Grandview_Inventory[[#This Row],[crop_value]]</f>
        <v>325600</v>
      </c>
      <c r="CG908" t="str">
        <f t="shared" si="14"/>
        <v>update valuation set market_land =47400, market_bldg=278200, market_total =325600, market_mdno =401, market_date ='9/10/2023' where link_id = (select link_id from parcel where parcel_year = '2024' and parcel_id = '23092241435');</v>
      </c>
    </row>
    <row r="909" spans="1:85" x14ac:dyDescent="0.25">
      <c r="A909">
        <v>23092241436</v>
      </c>
      <c r="B909">
        <v>0.18</v>
      </c>
      <c r="C909">
        <v>8047</v>
      </c>
      <c r="D909" t="s">
        <v>129</v>
      </c>
      <c r="E909" t="s">
        <v>53</v>
      </c>
      <c r="F909" t="s">
        <v>53</v>
      </c>
      <c r="G909">
        <v>4</v>
      </c>
      <c r="H909" t="s">
        <v>54</v>
      </c>
      <c r="I909">
        <v>166000</v>
      </c>
      <c r="J909">
        <v>43300</v>
      </c>
      <c r="K909">
        <v>0.18</v>
      </c>
      <c r="L90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09">
        <v>0</v>
      </c>
      <c r="N909">
        <v>0</v>
      </c>
      <c r="O909">
        <v>0</v>
      </c>
      <c r="P909">
        <v>13398.7528</v>
      </c>
      <c r="Q909">
        <v>63903</v>
      </c>
      <c r="R909">
        <f>(Grandview_Inventory[[#This Row],[ln_acres]]*Grandview_Inventory[[#This Row],[coeff]])+Grandview_Inventory[[#This Row],[const]]</f>
        <v>40926.839760167699</v>
      </c>
      <c r="S909" t="s">
        <v>61</v>
      </c>
      <c r="T909">
        <v>1</v>
      </c>
      <c r="U909" t="s">
        <v>65</v>
      </c>
      <c r="V909" t="s">
        <v>69</v>
      </c>
      <c r="W909">
        <v>0</v>
      </c>
      <c r="X909">
        <v>0</v>
      </c>
      <c r="Y909">
        <v>49</v>
      </c>
      <c r="Z909">
        <v>65</v>
      </c>
      <c r="AA909">
        <v>70</v>
      </c>
      <c r="AB909">
        <v>1500</v>
      </c>
      <c r="AC909">
        <v>1392</v>
      </c>
      <c r="AD909">
        <v>1392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442</v>
      </c>
      <c r="AN909">
        <v>0</v>
      </c>
      <c r="AO909">
        <v>364</v>
      </c>
      <c r="AP909">
        <v>5</v>
      </c>
      <c r="AQ909">
        <v>0</v>
      </c>
      <c r="AR909">
        <v>1</v>
      </c>
      <c r="AS909" t="s">
        <v>58</v>
      </c>
      <c r="AT909">
        <v>1</v>
      </c>
      <c r="AU909" t="s">
        <v>63</v>
      </c>
      <c r="AV909" t="s">
        <v>60</v>
      </c>
      <c r="AW909">
        <v>1</v>
      </c>
      <c r="AX909">
        <v>3</v>
      </c>
      <c r="AY909">
        <v>0</v>
      </c>
      <c r="AZ909">
        <v>0</v>
      </c>
      <c r="BA909">
        <v>100</v>
      </c>
      <c r="BB909">
        <v>100</v>
      </c>
      <c r="BC909">
        <v>100</v>
      </c>
      <c r="BD909">
        <v>100</v>
      </c>
      <c r="BE909">
        <v>1</v>
      </c>
      <c r="BF909">
        <v>15000</v>
      </c>
      <c r="BG909">
        <v>1000</v>
      </c>
      <c r="BH909" s="6">
        <f>Grandview_Inventory[[#This Row],[land_extract]]*Lookups!$B$3</f>
        <v>47528.228511015397</v>
      </c>
      <c r="BI909" s="6">
        <f>IF(Grandview_Inventory[[#This Row],[bldg_style]]="",0,Lookups!$B$2)</f>
        <v>155833.95000000001</v>
      </c>
      <c r="BJ909" s="6">
        <f>_xlfn.IFNA(VLOOKUP(Grandview_Inventory[[#This Row],[quality]],Lookups!$H$2:$J$14,3,FALSE),0)</f>
        <v>2251</v>
      </c>
      <c r="BK909" s="6">
        <f>_xlfn.IFNA(VLOOKUP(Grandview_Inventory[[#This Row],[condition]],Lookups!$H$17:$J$24,3,FALSE),0)</f>
        <v>-4503</v>
      </c>
      <c r="BL909" s="6">
        <f>Grandview_Inventory[[#This Row],[Eff_Age]]*Lookups!$B$14</f>
        <v>-11719.163399999999</v>
      </c>
      <c r="BM909" s="6">
        <f>Grandview_Inventory[[#This Row],[living_area]]*Lookups!$B$15</f>
        <v>86834.147376000008</v>
      </c>
      <c r="BN909" s="6">
        <f>Grandview_Inventory[[#This Row],[Fin BSMT]]*Lookups!$B$16</f>
        <v>0</v>
      </c>
      <c r="BO909" s="6">
        <f>(Grandview_Inventory[[#This Row],[att_gar]]+Grandview_Inventory[[#This Row],[bltin_gar]])*Lookups!$B$17</f>
        <v>0</v>
      </c>
      <c r="BP909" s="6">
        <f>Grandview_Inventory[[#This Row],[Plumbing Fixtures]]*Lookups!$B$18</f>
        <v>10052.209000000001</v>
      </c>
      <c r="BQ909" s="6">
        <f>Grandview_Inventory[[#This Row],[detatched_value]]*Lookups!$B$19</f>
        <v>0</v>
      </c>
      <c r="BR909" s="6">
        <f>SUM(Grandview_Inventory[[#This Row],[Intercept]:[det_value]])*Grandview_Inventory[[#This Row],[res_pct]]</f>
        <v>238749.14297600003</v>
      </c>
      <c r="BS909" s="6">
        <f>Grandview_Inventory[[#This Row],[land_value]]</f>
        <v>47528.228511015397</v>
      </c>
      <c r="BT909" s="4">
        <f>_xlfn.IFNA(VLOOKUP(Grandview_Inventory[[#This Row],[quality]],Lookups!$A$26:$C$33,3,FALSE),1)</f>
        <v>0.98763855981004833</v>
      </c>
      <c r="BU909" s="4">
        <f>_xlfn.IFNA(VLOOKUP(Grandview_Inventory[[#This Row],[condition]],Lookups!$A$37:$C$44,3,FALSE),1)</f>
        <v>0.96469275950863709</v>
      </c>
      <c r="BV909" s="4">
        <f>IF(Grandview_Inventory[[#This Row],[bldg_style]]="",1,_xlfn.IFNA(VLOOKUP(Grandview_Inventory[[#This Row],[decade]],Lookups!$F$29:$H$43,3,FALSE),1))</f>
        <v>0.99472141305414818</v>
      </c>
      <c r="BW909" s="4">
        <f>_xlfn.IFNA(VLOOKUP(Grandview_Inventory[[#This Row],[living_area_range]],Lookups!$F$47:$H$56,3,FALSE),1)</f>
        <v>0.96135087979789358</v>
      </c>
      <c r="BX909" s="4">
        <f>AVERAGE(Grandview_Inventory[[#This Row],[qual_adj]:[size_adj]])</f>
        <v>0.97710090304268182</v>
      </c>
      <c r="BY909" s="6">
        <f>IF(Grandview_Inventory[[#This Row],[pre_res]]&lt;0,0,Grandview_Inventory[[#This Row],[pre_res]]*Grandview_Inventory[[#This Row],[overall_adj]])</f>
        <v>233282.00320251597</v>
      </c>
      <c r="BZ909" s="6">
        <f>(Grandview_Inventory[[#This Row],[sum_land]]-IF(Grandview_Inventory[[#This Row],[no_utilities]]=1,12000,0))/IF(Grandview_Inventory[[#This Row],[unbuildable]]=1,2,1)</f>
        <v>47528.228511015397</v>
      </c>
      <c r="CA90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09">
        <f>ROUND(Grandview_Inventory[[#This Row],[det_value]]*Lookups!$M$28,-2)</f>
        <v>0</v>
      </c>
      <c r="CC909">
        <f>IF(ROUND(Grandview_Inventory[[#This Row],[adj_res]]*Lookups!$M$28,-2)&lt;Grandview_Inventory[[#This Row],[min_res]],Grandview_Inventory[[#This Row],[min_res]],ROUND(Grandview_Inventory[[#This Row],[adj_res]]*Lookups!$M$28,-2))</f>
        <v>221600</v>
      </c>
      <c r="CD909">
        <f>Grandview_Inventory[[#This Row],[final_det]]+Grandview_Inventory[[#This Row],[final_res]]</f>
        <v>221600</v>
      </c>
      <c r="CE909">
        <f>Grandview_Inventory[[#This Row],[final_land]]+Grandview_Inventory[[#This Row],[final_imp]]+Grandview_Inventory[[#This Row],[crop_value]]</f>
        <v>266800</v>
      </c>
      <c r="CG909" t="str">
        <f t="shared" si="14"/>
        <v>update valuation set market_land =45200, market_bldg=221600, market_total =266800, market_mdno =401, market_date ='9/10/2023' where link_id = (select link_id from parcel where parcel_year = '2024' and parcel_id = '23092241436');</v>
      </c>
    </row>
    <row r="910" spans="1:85" x14ac:dyDescent="0.25">
      <c r="A910">
        <v>23092241437</v>
      </c>
      <c r="B910">
        <v>0.18</v>
      </c>
      <c r="C910">
        <v>8047</v>
      </c>
      <c r="D910" t="s">
        <v>129</v>
      </c>
      <c r="E910" t="s">
        <v>53</v>
      </c>
      <c r="F910" t="s">
        <v>53</v>
      </c>
      <c r="G910">
        <v>4</v>
      </c>
      <c r="H910" t="s">
        <v>54</v>
      </c>
      <c r="I910">
        <v>200000</v>
      </c>
      <c r="J910">
        <v>39000</v>
      </c>
      <c r="K910">
        <v>0.18</v>
      </c>
      <c r="L91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0">
        <v>0</v>
      </c>
      <c r="N910">
        <v>0</v>
      </c>
      <c r="O910">
        <v>0</v>
      </c>
      <c r="P910">
        <v>13398.7528</v>
      </c>
      <c r="Q910">
        <v>63903</v>
      </c>
      <c r="R910">
        <f>(Grandview_Inventory[[#This Row],[ln_acres]]*Grandview_Inventory[[#This Row],[coeff]])+Grandview_Inventory[[#This Row],[const]]</f>
        <v>40926.839760167699</v>
      </c>
      <c r="S910" t="s">
        <v>61</v>
      </c>
      <c r="T910">
        <v>1</v>
      </c>
      <c r="U910" t="s">
        <v>65</v>
      </c>
      <c r="V910" t="s">
        <v>67</v>
      </c>
      <c r="W910">
        <v>0</v>
      </c>
      <c r="X910">
        <v>0</v>
      </c>
      <c r="Y910">
        <v>49</v>
      </c>
      <c r="Z910">
        <v>65</v>
      </c>
      <c r="AA910">
        <v>70</v>
      </c>
      <c r="AB910">
        <v>1500</v>
      </c>
      <c r="AC910">
        <v>1165</v>
      </c>
      <c r="AD910">
        <v>1165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266</v>
      </c>
      <c r="AL910">
        <v>0</v>
      </c>
      <c r="AM910">
        <v>440</v>
      </c>
      <c r="AN910">
        <v>0</v>
      </c>
      <c r="AO910">
        <v>440</v>
      </c>
      <c r="AP910">
        <v>5</v>
      </c>
      <c r="AQ910">
        <v>0</v>
      </c>
      <c r="AR910">
        <v>1</v>
      </c>
      <c r="AS910" t="s">
        <v>71</v>
      </c>
      <c r="AT910">
        <v>1</v>
      </c>
      <c r="AU910" t="s">
        <v>63</v>
      </c>
      <c r="AV910" t="s">
        <v>64</v>
      </c>
      <c r="AW910">
        <v>1</v>
      </c>
      <c r="AX910">
        <v>4</v>
      </c>
      <c r="AY910">
        <v>0</v>
      </c>
      <c r="AZ910">
        <v>0</v>
      </c>
      <c r="BA910">
        <v>100</v>
      </c>
      <c r="BB910">
        <v>100</v>
      </c>
      <c r="BC910">
        <v>100</v>
      </c>
      <c r="BD910">
        <v>100</v>
      </c>
      <c r="BE910">
        <v>1</v>
      </c>
      <c r="BF910">
        <v>15000</v>
      </c>
      <c r="BG910">
        <v>1000</v>
      </c>
      <c r="BH910" s="6">
        <f>Grandview_Inventory[[#This Row],[land_extract]]*Lookups!$B$3</f>
        <v>47528.228511015397</v>
      </c>
      <c r="BI910" s="6">
        <f>IF(Grandview_Inventory[[#This Row],[bldg_style]]="",0,Lookups!$B$2)</f>
        <v>155833.95000000001</v>
      </c>
      <c r="BJ910" s="6">
        <f>_xlfn.IFNA(VLOOKUP(Grandview_Inventory[[#This Row],[quality]],Lookups!$H$2:$J$14,3,FALSE),0)</f>
        <v>2251</v>
      </c>
      <c r="BK910" s="6">
        <f>_xlfn.IFNA(VLOOKUP(Grandview_Inventory[[#This Row],[condition]],Lookups!$H$17:$J$24,3,FALSE),0)</f>
        <v>22342</v>
      </c>
      <c r="BL910" s="6">
        <f>Grandview_Inventory[[#This Row],[Eff_Age]]*Lookups!$B$14</f>
        <v>-11719.163399999999</v>
      </c>
      <c r="BM910" s="6">
        <f>Grandview_Inventory[[#This Row],[living_area]]*Lookups!$B$15</f>
        <v>72673.693744999997</v>
      </c>
      <c r="BN910" s="6">
        <f>Grandview_Inventory[[#This Row],[Fin BSMT]]*Lookups!$B$16</f>
        <v>0</v>
      </c>
      <c r="BO910" s="6">
        <f>(Grandview_Inventory[[#This Row],[att_gar]]+Grandview_Inventory[[#This Row],[bltin_gar]])*Lookups!$B$17</f>
        <v>0</v>
      </c>
      <c r="BP910" s="6">
        <f>Grandview_Inventory[[#This Row],[Plumbing Fixtures]]*Lookups!$B$18</f>
        <v>10052.209000000001</v>
      </c>
      <c r="BQ910" s="6">
        <f>Grandview_Inventory[[#This Row],[detatched_value]]*Lookups!$B$19</f>
        <v>0</v>
      </c>
      <c r="BR910" s="6">
        <f>SUM(Grandview_Inventory[[#This Row],[Intercept]:[det_value]])*Grandview_Inventory[[#This Row],[res_pct]]</f>
        <v>251433.68934500002</v>
      </c>
      <c r="BS910" s="6">
        <f>Grandview_Inventory[[#This Row],[land_value]]</f>
        <v>47528.228511015397</v>
      </c>
      <c r="BT910" s="4">
        <f>_xlfn.IFNA(VLOOKUP(Grandview_Inventory[[#This Row],[quality]],Lookups!$A$26:$C$33,3,FALSE),1)</f>
        <v>0.98763855981004833</v>
      </c>
      <c r="BU910" s="4">
        <f>_xlfn.IFNA(VLOOKUP(Grandview_Inventory[[#This Row],[condition]],Lookups!$A$37:$C$44,3,FALSE),1)</f>
        <v>0.97383723671140243</v>
      </c>
      <c r="BV910" s="4">
        <f>IF(Grandview_Inventory[[#This Row],[bldg_style]]="",1,_xlfn.IFNA(VLOOKUP(Grandview_Inventory[[#This Row],[decade]],Lookups!$F$29:$H$43,3,FALSE),1))</f>
        <v>0.99472141305414818</v>
      </c>
      <c r="BW910" s="4">
        <f>_xlfn.IFNA(VLOOKUP(Grandview_Inventory[[#This Row],[living_area_range]],Lookups!$F$47:$H$56,3,FALSE),1)</f>
        <v>0.96135087979789358</v>
      </c>
      <c r="BX910" s="4">
        <f>AVERAGE(Grandview_Inventory[[#This Row],[qual_adj]:[size_adj]])</f>
        <v>0.97938702234337316</v>
      </c>
      <c r="BY910" s="6">
        <f>IF(Grandview_Inventory[[#This Row],[pre_res]]&lt;0,0,Grandview_Inventory[[#This Row],[pre_res]]*Grandview_Inventory[[#This Row],[overall_adj]])</f>
        <v>246250.89232440828</v>
      </c>
      <c r="BZ910" s="6">
        <f>(Grandview_Inventory[[#This Row],[sum_land]]-IF(Grandview_Inventory[[#This Row],[no_utilities]]=1,12000,0))/IF(Grandview_Inventory[[#This Row],[unbuildable]]=1,2,1)</f>
        <v>47528.228511015397</v>
      </c>
      <c r="CA91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0">
        <f>ROUND(Grandview_Inventory[[#This Row],[det_value]]*Lookups!$M$28,-2)</f>
        <v>0</v>
      </c>
      <c r="CC910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910">
        <f>Grandview_Inventory[[#This Row],[final_det]]+Grandview_Inventory[[#This Row],[final_res]]</f>
        <v>233900</v>
      </c>
      <c r="CE910">
        <f>Grandview_Inventory[[#This Row],[final_land]]+Grandview_Inventory[[#This Row],[final_imp]]+Grandview_Inventory[[#This Row],[crop_value]]</f>
        <v>279100</v>
      </c>
      <c r="CG910" t="str">
        <f t="shared" si="14"/>
        <v>update valuation set market_land =45200, market_bldg=233900, market_total =279100, market_mdno =401, market_date ='9/10/2023' where link_id = (select link_id from parcel where parcel_year = '2024' and parcel_id = '23092241437');</v>
      </c>
    </row>
    <row r="911" spans="1:85" x14ac:dyDescent="0.25">
      <c r="A911">
        <v>23092241438</v>
      </c>
      <c r="B911">
        <v>0.18</v>
      </c>
      <c r="C911">
        <v>8047</v>
      </c>
      <c r="D911" t="s">
        <v>129</v>
      </c>
      <c r="E911" t="s">
        <v>53</v>
      </c>
      <c r="F911" t="s">
        <v>53</v>
      </c>
      <c r="G911">
        <v>4</v>
      </c>
      <c r="H911" t="s">
        <v>54</v>
      </c>
      <c r="I911">
        <v>217500</v>
      </c>
      <c r="J911">
        <v>43300</v>
      </c>
      <c r="K911">
        <v>0.18</v>
      </c>
      <c r="L91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1">
        <v>0</v>
      </c>
      <c r="N911">
        <v>0</v>
      </c>
      <c r="O911">
        <v>0</v>
      </c>
      <c r="P911">
        <v>13398.7528</v>
      </c>
      <c r="Q911">
        <v>63903</v>
      </c>
      <c r="R911">
        <f>(Grandview_Inventory[[#This Row],[ln_acres]]*Grandview_Inventory[[#This Row],[coeff]])+Grandview_Inventory[[#This Row],[const]]</f>
        <v>40926.839760167699</v>
      </c>
      <c r="S911" t="s">
        <v>68</v>
      </c>
      <c r="T911">
        <v>1</v>
      </c>
      <c r="U911" t="s">
        <v>65</v>
      </c>
      <c r="V911" t="s">
        <v>69</v>
      </c>
      <c r="W911">
        <v>0</v>
      </c>
      <c r="X911">
        <v>0</v>
      </c>
      <c r="Y911">
        <v>49</v>
      </c>
      <c r="Z911">
        <v>68</v>
      </c>
      <c r="AA911">
        <v>70</v>
      </c>
      <c r="AB911">
        <v>3000</v>
      </c>
      <c r="AC911">
        <v>2932</v>
      </c>
      <c r="AD911">
        <v>1466</v>
      </c>
      <c r="AE911">
        <v>0</v>
      </c>
      <c r="AF911">
        <v>0</v>
      </c>
      <c r="AG911">
        <v>1466</v>
      </c>
      <c r="AH911">
        <v>0</v>
      </c>
      <c r="AI911">
        <v>308</v>
      </c>
      <c r="AJ911">
        <v>0</v>
      </c>
      <c r="AK911">
        <v>0</v>
      </c>
      <c r="AL911">
        <v>0</v>
      </c>
      <c r="AM911">
        <v>0</v>
      </c>
      <c r="AN911">
        <v>182</v>
      </c>
      <c r="AO911">
        <v>0</v>
      </c>
      <c r="AP911">
        <v>8</v>
      </c>
      <c r="AQ911">
        <v>0</v>
      </c>
      <c r="AR911">
        <v>2</v>
      </c>
      <c r="AS911" t="s">
        <v>58</v>
      </c>
      <c r="AT911">
        <v>1</v>
      </c>
      <c r="AU911" t="s">
        <v>63</v>
      </c>
      <c r="AV911" t="s">
        <v>64</v>
      </c>
      <c r="AW911">
        <v>1</v>
      </c>
      <c r="AX911">
        <v>4</v>
      </c>
      <c r="AY911">
        <v>0</v>
      </c>
      <c r="AZ911">
        <v>0</v>
      </c>
      <c r="BA911">
        <v>100</v>
      </c>
      <c r="BB911">
        <v>100</v>
      </c>
      <c r="BC911">
        <v>100</v>
      </c>
      <c r="BD911">
        <v>100</v>
      </c>
      <c r="BE911">
        <v>1</v>
      </c>
      <c r="BF911">
        <v>15000</v>
      </c>
      <c r="BG911">
        <v>1000</v>
      </c>
      <c r="BH911" s="6">
        <f>Grandview_Inventory[[#This Row],[land_extract]]*Lookups!$B$3</f>
        <v>47528.228511015397</v>
      </c>
      <c r="BI911" s="6">
        <f>IF(Grandview_Inventory[[#This Row],[bldg_style]]="",0,Lookups!$B$2)</f>
        <v>155833.95000000001</v>
      </c>
      <c r="BJ911" s="6">
        <f>_xlfn.IFNA(VLOOKUP(Grandview_Inventory[[#This Row],[quality]],Lookups!$H$2:$J$14,3,FALSE),0)</f>
        <v>2251</v>
      </c>
      <c r="BK911" s="6">
        <f>_xlfn.IFNA(VLOOKUP(Grandview_Inventory[[#This Row],[condition]],Lookups!$H$17:$J$24,3,FALSE),0)</f>
        <v>-4503</v>
      </c>
      <c r="BL911" s="6">
        <f>Grandview_Inventory[[#This Row],[Eff_Age]]*Lookups!$B$14</f>
        <v>-11719.163399999999</v>
      </c>
      <c r="BM911" s="6">
        <f>Grandview_Inventory[[#This Row],[living_area]]*Lookups!$B$15</f>
        <v>182900.66099599999</v>
      </c>
      <c r="BN911" s="6">
        <f>Grandview_Inventory[[#This Row],[Fin BSMT]]*Lookups!$B$16</f>
        <v>-39727.485840000001</v>
      </c>
      <c r="BO911" s="6">
        <f>(Grandview_Inventory[[#This Row],[att_gar]]+Grandview_Inventory[[#This Row],[bltin_gar]])*Lookups!$B$17</f>
        <v>26956.294596</v>
      </c>
      <c r="BP911" s="6">
        <f>Grandview_Inventory[[#This Row],[Plumbing Fixtures]]*Lookups!$B$18</f>
        <v>16083.5344</v>
      </c>
      <c r="BQ911" s="6">
        <f>Grandview_Inventory[[#This Row],[detatched_value]]*Lookups!$B$19</f>
        <v>0</v>
      </c>
      <c r="BR911" s="6">
        <f>SUM(Grandview_Inventory[[#This Row],[Intercept]:[det_value]])*Grandview_Inventory[[#This Row],[res_pct]]</f>
        <v>328075.79075200006</v>
      </c>
      <c r="BS911" s="6">
        <f>Grandview_Inventory[[#This Row],[land_value]]</f>
        <v>47528.228511015397</v>
      </c>
      <c r="BT911" s="4">
        <f>_xlfn.IFNA(VLOOKUP(Grandview_Inventory[[#This Row],[quality]],Lookups!$A$26:$C$33,3,FALSE),1)</f>
        <v>0.98763855981004833</v>
      </c>
      <c r="BU911" s="4">
        <f>_xlfn.IFNA(VLOOKUP(Grandview_Inventory[[#This Row],[condition]],Lookups!$A$37:$C$44,3,FALSE),1)</f>
        <v>0.96469275950863709</v>
      </c>
      <c r="BV911" s="4">
        <f>IF(Grandview_Inventory[[#This Row],[bldg_style]]="",1,_xlfn.IFNA(VLOOKUP(Grandview_Inventory[[#This Row],[decade]],Lookups!$F$29:$H$43,3,FALSE),1))</f>
        <v>0.99472141305414818</v>
      </c>
      <c r="BW911" s="4">
        <f>_xlfn.IFNA(VLOOKUP(Grandview_Inventory[[#This Row],[living_area_range]],Lookups!$F$47:$H$56,3,FALSE),1)</f>
        <v>0.94224801443562123</v>
      </c>
      <c r="BX911" s="4">
        <f>AVERAGE(Grandview_Inventory[[#This Row],[qual_adj]:[size_adj]])</f>
        <v>0.97232518670211376</v>
      </c>
      <c r="BY911" s="6">
        <f>IF(Grandview_Inventory[[#This Row],[pre_res]]&lt;0,0,Grandview_Inventory[[#This Row],[pre_res]]*Grandview_Inventory[[#This Row],[overall_adj]])</f>
        <v>318996.35449538205</v>
      </c>
      <c r="BZ911" s="6">
        <f>(Grandview_Inventory[[#This Row],[sum_land]]-IF(Grandview_Inventory[[#This Row],[no_utilities]]=1,12000,0))/IF(Grandview_Inventory[[#This Row],[unbuildable]]=1,2,1)</f>
        <v>47528.228511015397</v>
      </c>
      <c r="CA91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1">
        <f>ROUND(Grandview_Inventory[[#This Row],[det_value]]*Lookups!$M$28,-2)</f>
        <v>0</v>
      </c>
      <c r="CC911">
        <f>IF(ROUND(Grandview_Inventory[[#This Row],[adj_res]]*Lookups!$M$28,-2)&lt;Grandview_Inventory[[#This Row],[min_res]],Grandview_Inventory[[#This Row],[min_res]],ROUND(Grandview_Inventory[[#This Row],[adj_res]]*Lookups!$M$28,-2))</f>
        <v>303000</v>
      </c>
      <c r="CD911">
        <f>Grandview_Inventory[[#This Row],[final_det]]+Grandview_Inventory[[#This Row],[final_res]]</f>
        <v>303000</v>
      </c>
      <c r="CE911">
        <f>Grandview_Inventory[[#This Row],[final_land]]+Grandview_Inventory[[#This Row],[final_imp]]+Grandview_Inventory[[#This Row],[crop_value]]</f>
        <v>348200</v>
      </c>
      <c r="CG911" t="str">
        <f t="shared" si="14"/>
        <v>update valuation set market_land =45200, market_bldg=303000, market_total =348200, market_mdno =401, market_date ='9/10/2023' where link_id = (select link_id from parcel where parcel_year = '2024' and parcel_id = '23092241438');</v>
      </c>
    </row>
    <row r="912" spans="1:85" x14ac:dyDescent="0.25">
      <c r="A912">
        <v>23092241439</v>
      </c>
      <c r="B912">
        <v>0.18</v>
      </c>
      <c r="C912">
        <v>8047</v>
      </c>
      <c r="D912" t="s">
        <v>129</v>
      </c>
      <c r="E912" t="s">
        <v>53</v>
      </c>
      <c r="F912" t="s">
        <v>53</v>
      </c>
      <c r="G912">
        <v>4</v>
      </c>
      <c r="H912" t="s">
        <v>54</v>
      </c>
      <c r="I912">
        <v>252700</v>
      </c>
      <c r="J912">
        <v>43300</v>
      </c>
      <c r="K912">
        <v>0.18</v>
      </c>
      <c r="L91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2">
        <v>0</v>
      </c>
      <c r="N912">
        <v>0</v>
      </c>
      <c r="O912">
        <v>0</v>
      </c>
      <c r="P912">
        <v>13398.7528</v>
      </c>
      <c r="Q912">
        <v>63903</v>
      </c>
      <c r="R912">
        <f>(Grandview_Inventory[[#This Row],[ln_acres]]*Grandview_Inventory[[#This Row],[coeff]])+Grandview_Inventory[[#This Row],[const]]</f>
        <v>40926.839760167699</v>
      </c>
      <c r="S912" t="s">
        <v>61</v>
      </c>
      <c r="T912">
        <v>1</v>
      </c>
      <c r="U912" t="s">
        <v>64</v>
      </c>
      <c r="V912" t="s">
        <v>69</v>
      </c>
      <c r="W912">
        <v>0</v>
      </c>
      <c r="X912">
        <v>0</v>
      </c>
      <c r="Y912">
        <v>49</v>
      </c>
      <c r="Z912">
        <v>65</v>
      </c>
      <c r="AA912">
        <v>70</v>
      </c>
      <c r="AB912">
        <v>3500</v>
      </c>
      <c r="AC912">
        <v>3316</v>
      </c>
      <c r="AD912">
        <v>1768</v>
      </c>
      <c r="AE912">
        <v>0</v>
      </c>
      <c r="AF912">
        <v>0</v>
      </c>
      <c r="AG912">
        <v>1548</v>
      </c>
      <c r="AH912">
        <v>0</v>
      </c>
      <c r="AI912">
        <v>484</v>
      </c>
      <c r="AJ912">
        <v>0</v>
      </c>
      <c r="AK912">
        <v>0</v>
      </c>
      <c r="AL912">
        <v>0</v>
      </c>
      <c r="AM912">
        <v>144</v>
      </c>
      <c r="AN912">
        <v>0</v>
      </c>
      <c r="AO912">
        <v>144</v>
      </c>
      <c r="AP912">
        <v>11</v>
      </c>
      <c r="AQ912">
        <v>0</v>
      </c>
      <c r="AR912">
        <v>0</v>
      </c>
      <c r="AS912" t="s">
        <v>58</v>
      </c>
      <c r="AT912">
        <v>1</v>
      </c>
      <c r="AU912" t="s">
        <v>59</v>
      </c>
      <c r="AV912" t="s">
        <v>60</v>
      </c>
      <c r="AW912">
        <v>1</v>
      </c>
      <c r="AX912">
        <v>3</v>
      </c>
      <c r="AY912">
        <v>0</v>
      </c>
      <c r="AZ912">
        <v>0</v>
      </c>
      <c r="BA912">
        <v>100</v>
      </c>
      <c r="BB912">
        <v>100</v>
      </c>
      <c r="BC912">
        <v>100</v>
      </c>
      <c r="BD912">
        <v>100</v>
      </c>
      <c r="BE912">
        <v>1</v>
      </c>
      <c r="BF912">
        <v>15000</v>
      </c>
      <c r="BG912">
        <v>1000</v>
      </c>
      <c r="BH912" s="6">
        <f>Grandview_Inventory[[#This Row],[land_extract]]*Lookups!$B$3</f>
        <v>47528.228511015397</v>
      </c>
      <c r="BI912" s="6">
        <f>IF(Grandview_Inventory[[#This Row],[bldg_style]]="",0,Lookups!$B$2)</f>
        <v>155833.95000000001</v>
      </c>
      <c r="BJ912" s="6">
        <f>_xlfn.IFNA(VLOOKUP(Grandview_Inventory[[#This Row],[quality]],Lookups!$H$2:$J$14,3,FALSE),0)</f>
        <v>20768</v>
      </c>
      <c r="BK912" s="6">
        <f>_xlfn.IFNA(VLOOKUP(Grandview_Inventory[[#This Row],[condition]],Lookups!$H$17:$J$24,3,FALSE),0)</f>
        <v>-4503</v>
      </c>
      <c r="BL912" s="6">
        <f>Grandview_Inventory[[#This Row],[Eff_Age]]*Lookups!$B$14</f>
        <v>-11719.163399999999</v>
      </c>
      <c r="BM912" s="6">
        <f>Grandview_Inventory[[#This Row],[living_area]]*Lookups!$B$15</f>
        <v>206854.90854800001</v>
      </c>
      <c r="BN912" s="6">
        <f>Grandview_Inventory[[#This Row],[Fin BSMT]]*Lookups!$B$16</f>
        <v>-41949.623520000001</v>
      </c>
      <c r="BO912" s="6">
        <f>(Grandview_Inventory[[#This Row],[att_gar]]+Grandview_Inventory[[#This Row],[bltin_gar]])*Lookups!$B$17</f>
        <v>42359.891508000001</v>
      </c>
      <c r="BP912" s="6">
        <f>Grandview_Inventory[[#This Row],[Plumbing Fixtures]]*Lookups!$B$18</f>
        <v>22114.859800000002</v>
      </c>
      <c r="BQ912" s="6">
        <f>Grandview_Inventory[[#This Row],[detatched_value]]*Lookups!$B$19</f>
        <v>0</v>
      </c>
      <c r="BR912" s="6">
        <f>SUM(Grandview_Inventory[[#This Row],[Intercept]:[det_value]])*Grandview_Inventory[[#This Row],[res_pct]]</f>
        <v>389759.82293599995</v>
      </c>
      <c r="BS912" s="6">
        <f>Grandview_Inventory[[#This Row],[land_value]]</f>
        <v>47528.228511015397</v>
      </c>
      <c r="BT912" s="4">
        <f>_xlfn.IFNA(VLOOKUP(Grandview_Inventory[[#This Row],[quality]],Lookups!$A$26:$C$33,3,FALSE),1)</f>
        <v>0.94960540378902636</v>
      </c>
      <c r="BU912" s="4">
        <f>_xlfn.IFNA(VLOOKUP(Grandview_Inventory[[#This Row],[condition]],Lookups!$A$37:$C$44,3,FALSE),1)</f>
        <v>0.96469275950863709</v>
      </c>
      <c r="BV912" s="4">
        <f>IF(Grandview_Inventory[[#This Row],[bldg_style]]="",1,_xlfn.IFNA(VLOOKUP(Grandview_Inventory[[#This Row],[decade]],Lookups!$F$29:$H$43,3,FALSE),1))</f>
        <v>0.99472141305414818</v>
      </c>
      <c r="BW912" s="4">
        <f>_xlfn.IFNA(VLOOKUP(Grandview_Inventory[[#This Row],[living_area_range]],Lookups!$F$47:$H$56,3,FALSE),1)</f>
        <v>1.0170112215140563</v>
      </c>
      <c r="BX912" s="4">
        <f>AVERAGE(Grandview_Inventory[[#This Row],[qual_adj]:[size_adj]])</f>
        <v>0.98150769946646688</v>
      </c>
      <c r="BY912" s="6">
        <f>IF(Grandview_Inventory[[#This Row],[pre_res]]&lt;0,0,Grandview_Inventory[[#This Row],[pre_res]]*Grandview_Inventory[[#This Row],[overall_adj]])</f>
        <v>382552.26715437078</v>
      </c>
      <c r="BZ912" s="6">
        <f>(Grandview_Inventory[[#This Row],[sum_land]]-IF(Grandview_Inventory[[#This Row],[no_utilities]]=1,12000,0))/IF(Grandview_Inventory[[#This Row],[unbuildable]]=1,2,1)</f>
        <v>47528.228511015397</v>
      </c>
      <c r="CA91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2">
        <f>ROUND(Grandview_Inventory[[#This Row],[det_value]]*Lookups!$M$28,-2)</f>
        <v>0</v>
      </c>
      <c r="CC912">
        <f>IF(ROUND(Grandview_Inventory[[#This Row],[adj_res]]*Lookups!$M$28,-2)&lt;Grandview_Inventory[[#This Row],[min_res]],Grandview_Inventory[[#This Row],[min_res]],ROUND(Grandview_Inventory[[#This Row],[adj_res]]*Lookups!$M$28,-2))</f>
        <v>363400</v>
      </c>
      <c r="CD912">
        <f>Grandview_Inventory[[#This Row],[final_det]]+Grandview_Inventory[[#This Row],[final_res]]</f>
        <v>363400</v>
      </c>
      <c r="CE912">
        <f>Grandview_Inventory[[#This Row],[final_land]]+Grandview_Inventory[[#This Row],[final_imp]]+Grandview_Inventory[[#This Row],[crop_value]]</f>
        <v>408600</v>
      </c>
      <c r="CG912" t="str">
        <f t="shared" si="14"/>
        <v>update valuation set market_land =45200, market_bldg=363400, market_total =408600, market_mdno =401, market_date ='9/10/2023' where link_id = (select link_id from parcel where parcel_year = '2024' and parcel_id = '23092241439');</v>
      </c>
    </row>
    <row r="913" spans="1:85" x14ac:dyDescent="0.25">
      <c r="A913">
        <v>23092241440</v>
      </c>
      <c r="B913">
        <v>0.18</v>
      </c>
      <c r="C913">
        <v>8047</v>
      </c>
      <c r="D913" t="s">
        <v>129</v>
      </c>
      <c r="E913" t="s">
        <v>53</v>
      </c>
      <c r="F913" t="s">
        <v>53</v>
      </c>
      <c r="G913">
        <v>4</v>
      </c>
      <c r="H913" t="s">
        <v>54</v>
      </c>
      <c r="I913">
        <v>154700</v>
      </c>
      <c r="J913">
        <v>43300</v>
      </c>
      <c r="K913">
        <v>0.18</v>
      </c>
      <c r="L91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3">
        <v>0</v>
      </c>
      <c r="N913">
        <v>0</v>
      </c>
      <c r="O913">
        <v>0</v>
      </c>
      <c r="P913">
        <v>13398.7528</v>
      </c>
      <c r="Q913">
        <v>63903</v>
      </c>
      <c r="R913">
        <f>(Grandview_Inventory[[#This Row],[ln_acres]]*Grandview_Inventory[[#This Row],[coeff]])+Grandview_Inventory[[#This Row],[const]]</f>
        <v>40926.839760167699</v>
      </c>
      <c r="S913" t="s">
        <v>61</v>
      </c>
      <c r="T913">
        <v>1</v>
      </c>
      <c r="U913" t="s">
        <v>65</v>
      </c>
      <c r="V913" t="s">
        <v>69</v>
      </c>
      <c r="W913">
        <v>0</v>
      </c>
      <c r="X913">
        <v>0</v>
      </c>
      <c r="Y913">
        <v>49</v>
      </c>
      <c r="Z913">
        <v>65</v>
      </c>
      <c r="AA913">
        <v>70</v>
      </c>
      <c r="AB913">
        <v>1500</v>
      </c>
      <c r="AC913">
        <v>1283</v>
      </c>
      <c r="AD913">
        <v>1283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5</v>
      </c>
      <c r="AQ913">
        <v>0</v>
      </c>
      <c r="AR913">
        <v>0</v>
      </c>
      <c r="AS913" t="s">
        <v>58</v>
      </c>
      <c r="AT913">
        <v>1</v>
      </c>
      <c r="AU913" t="s">
        <v>63</v>
      </c>
      <c r="AV913" t="s">
        <v>60</v>
      </c>
      <c r="AW913">
        <v>0</v>
      </c>
      <c r="AX913">
        <v>3</v>
      </c>
      <c r="AY913">
        <v>0</v>
      </c>
      <c r="AZ913">
        <v>20800</v>
      </c>
      <c r="BA913">
        <v>100</v>
      </c>
      <c r="BB913">
        <v>100</v>
      </c>
      <c r="BC913">
        <v>100</v>
      </c>
      <c r="BD913">
        <v>100</v>
      </c>
      <c r="BE913">
        <v>1</v>
      </c>
      <c r="BF913">
        <v>15000</v>
      </c>
      <c r="BG913">
        <v>1000</v>
      </c>
      <c r="BH913" s="6">
        <f>Grandview_Inventory[[#This Row],[land_extract]]*Lookups!$B$3</f>
        <v>47528.228511015397</v>
      </c>
      <c r="BI913" s="6">
        <f>IF(Grandview_Inventory[[#This Row],[bldg_style]]="",0,Lookups!$B$2)</f>
        <v>155833.95000000001</v>
      </c>
      <c r="BJ913" s="6">
        <f>_xlfn.IFNA(VLOOKUP(Grandview_Inventory[[#This Row],[quality]],Lookups!$H$2:$J$14,3,FALSE),0)</f>
        <v>2251</v>
      </c>
      <c r="BK913" s="6">
        <f>_xlfn.IFNA(VLOOKUP(Grandview_Inventory[[#This Row],[condition]],Lookups!$H$17:$J$24,3,FALSE),0)</f>
        <v>-4503</v>
      </c>
      <c r="BL913" s="6">
        <f>Grandview_Inventory[[#This Row],[Eff_Age]]*Lookups!$B$14</f>
        <v>-11719.163399999999</v>
      </c>
      <c r="BM913" s="6">
        <f>Grandview_Inventory[[#This Row],[living_area]]*Lookups!$B$15</f>
        <v>80034.634399000002</v>
      </c>
      <c r="BN913" s="6">
        <f>Grandview_Inventory[[#This Row],[Fin BSMT]]*Lookups!$B$16</f>
        <v>0</v>
      </c>
      <c r="BO913" s="6">
        <f>(Grandview_Inventory[[#This Row],[att_gar]]+Grandview_Inventory[[#This Row],[bltin_gar]])*Lookups!$B$17</f>
        <v>0</v>
      </c>
      <c r="BP913" s="6">
        <f>Grandview_Inventory[[#This Row],[Plumbing Fixtures]]*Lookups!$B$18</f>
        <v>10052.209000000001</v>
      </c>
      <c r="BQ913" s="6">
        <f>Grandview_Inventory[[#This Row],[detatched_value]]*Lookups!$B$19</f>
        <v>17613.54608</v>
      </c>
      <c r="BR913" s="6">
        <f>SUM(Grandview_Inventory[[#This Row],[Intercept]:[det_value]])*Grandview_Inventory[[#This Row],[res_pct]]</f>
        <v>249563.17607900003</v>
      </c>
      <c r="BS913" s="6">
        <f>Grandview_Inventory[[#This Row],[land_value]]</f>
        <v>47528.228511015397</v>
      </c>
      <c r="BT913" s="4">
        <f>_xlfn.IFNA(VLOOKUP(Grandview_Inventory[[#This Row],[quality]],Lookups!$A$26:$C$33,3,FALSE),1)</f>
        <v>0.98763855981004833</v>
      </c>
      <c r="BU913" s="4">
        <f>_xlfn.IFNA(VLOOKUP(Grandview_Inventory[[#This Row],[condition]],Lookups!$A$37:$C$44,3,FALSE),1)</f>
        <v>0.96469275950863709</v>
      </c>
      <c r="BV913" s="4">
        <f>IF(Grandview_Inventory[[#This Row],[bldg_style]]="",1,_xlfn.IFNA(VLOOKUP(Grandview_Inventory[[#This Row],[decade]],Lookups!$F$29:$H$43,3,FALSE),1))</f>
        <v>0.99472141305414818</v>
      </c>
      <c r="BW913" s="4">
        <f>_xlfn.IFNA(VLOOKUP(Grandview_Inventory[[#This Row],[living_area_range]],Lookups!$F$47:$H$56,3,FALSE),1)</f>
        <v>0.96135087979789358</v>
      </c>
      <c r="BX913" s="4">
        <f>AVERAGE(Grandview_Inventory[[#This Row],[qual_adj]:[size_adj]])</f>
        <v>0.97710090304268182</v>
      </c>
      <c r="BY913" s="6">
        <f>IF(Grandview_Inventory[[#This Row],[pre_res]]&lt;0,0,Grandview_Inventory[[#This Row],[pre_res]]*Grandview_Inventory[[#This Row],[overall_adj]])</f>
        <v>243848.40471299074</v>
      </c>
      <c r="BZ913" s="6">
        <f>(Grandview_Inventory[[#This Row],[sum_land]]-IF(Grandview_Inventory[[#This Row],[no_utilities]]=1,12000,0))/IF(Grandview_Inventory[[#This Row],[unbuildable]]=1,2,1)</f>
        <v>47528.228511015397</v>
      </c>
      <c r="CA91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3">
        <f>ROUND(Grandview_Inventory[[#This Row],[det_value]]*Lookups!$M$28,-2)</f>
        <v>16700</v>
      </c>
      <c r="CC913">
        <f>IF(ROUND(Grandview_Inventory[[#This Row],[adj_res]]*Lookups!$M$28,-2)&lt;Grandview_Inventory[[#This Row],[min_res]],Grandview_Inventory[[#This Row],[min_res]],ROUND(Grandview_Inventory[[#This Row],[adj_res]]*Lookups!$M$28,-2))</f>
        <v>231700</v>
      </c>
      <c r="CD913">
        <f>Grandview_Inventory[[#This Row],[final_det]]+Grandview_Inventory[[#This Row],[final_res]]</f>
        <v>248400</v>
      </c>
      <c r="CE913">
        <f>Grandview_Inventory[[#This Row],[final_land]]+Grandview_Inventory[[#This Row],[final_imp]]+Grandview_Inventory[[#This Row],[crop_value]]</f>
        <v>293600</v>
      </c>
      <c r="CG913" t="str">
        <f t="shared" si="14"/>
        <v>update valuation set market_land =45200, market_bldg=248400, market_total =293600, market_mdno =401, market_date ='9/10/2023' where link_id = (select link_id from parcel where parcel_year = '2024' and parcel_id = '23092241440');</v>
      </c>
    </row>
    <row r="914" spans="1:85" x14ac:dyDescent="0.25">
      <c r="A914">
        <v>23092241441</v>
      </c>
      <c r="B914">
        <v>0.18</v>
      </c>
      <c r="C914">
        <v>8047</v>
      </c>
      <c r="D914" t="s">
        <v>129</v>
      </c>
      <c r="E914" t="s">
        <v>53</v>
      </c>
      <c r="F914" t="s">
        <v>53</v>
      </c>
      <c r="G914">
        <v>4</v>
      </c>
      <c r="H914" t="s">
        <v>54</v>
      </c>
      <c r="I914">
        <v>218600</v>
      </c>
      <c r="J914">
        <v>43300</v>
      </c>
      <c r="K914">
        <v>0.18</v>
      </c>
      <c r="L91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4">
        <v>0</v>
      </c>
      <c r="N914">
        <v>0</v>
      </c>
      <c r="O914">
        <v>0</v>
      </c>
      <c r="P914">
        <v>13398.7528</v>
      </c>
      <c r="Q914">
        <v>63903</v>
      </c>
      <c r="R914">
        <f>(Grandview_Inventory[[#This Row],[ln_acres]]*Grandview_Inventory[[#This Row],[coeff]])+Grandview_Inventory[[#This Row],[const]]</f>
        <v>40926.839760167699</v>
      </c>
      <c r="S914" t="s">
        <v>74</v>
      </c>
      <c r="T914">
        <v>1</v>
      </c>
      <c r="U914" t="s">
        <v>65</v>
      </c>
      <c r="V914" t="s">
        <v>69</v>
      </c>
      <c r="W914">
        <v>0</v>
      </c>
      <c r="X914">
        <v>0</v>
      </c>
      <c r="Y914">
        <v>48</v>
      </c>
      <c r="Z914">
        <v>63</v>
      </c>
      <c r="AA914">
        <v>70</v>
      </c>
      <c r="AB914">
        <v>2000</v>
      </c>
      <c r="AC914">
        <v>1944</v>
      </c>
      <c r="AD914">
        <v>1320</v>
      </c>
      <c r="AE914">
        <v>0</v>
      </c>
      <c r="AF914">
        <v>0</v>
      </c>
      <c r="AG914">
        <v>624</v>
      </c>
      <c r="AH914">
        <v>0</v>
      </c>
      <c r="AI914">
        <v>312</v>
      </c>
      <c r="AJ914">
        <v>0</v>
      </c>
      <c r="AK914">
        <v>0</v>
      </c>
      <c r="AL914">
        <v>480</v>
      </c>
      <c r="AM914">
        <v>0</v>
      </c>
      <c r="AN914">
        <v>0</v>
      </c>
      <c r="AO914">
        <v>0</v>
      </c>
      <c r="AP914">
        <v>9</v>
      </c>
      <c r="AQ914">
        <v>0</v>
      </c>
      <c r="AR914">
        <v>0</v>
      </c>
      <c r="AS914" t="s">
        <v>58</v>
      </c>
      <c r="AT914">
        <v>1</v>
      </c>
      <c r="AU914" t="s">
        <v>63</v>
      </c>
      <c r="AV914" t="s">
        <v>64</v>
      </c>
      <c r="AW914">
        <v>1</v>
      </c>
      <c r="AX914">
        <v>3</v>
      </c>
      <c r="AY914">
        <v>0</v>
      </c>
      <c r="AZ914">
        <v>0</v>
      </c>
      <c r="BA914">
        <v>100</v>
      </c>
      <c r="BB914">
        <v>100</v>
      </c>
      <c r="BC914">
        <v>100</v>
      </c>
      <c r="BD914">
        <v>100</v>
      </c>
      <c r="BE914">
        <v>1</v>
      </c>
      <c r="BF914">
        <v>15000</v>
      </c>
      <c r="BG914">
        <v>1000</v>
      </c>
      <c r="BH914" s="6">
        <f>Grandview_Inventory[[#This Row],[land_extract]]*Lookups!$B$3</f>
        <v>47528.228511015397</v>
      </c>
      <c r="BI914" s="6">
        <f>IF(Grandview_Inventory[[#This Row],[bldg_style]]="",0,Lookups!$B$2)</f>
        <v>155833.95000000001</v>
      </c>
      <c r="BJ914" s="6">
        <f>_xlfn.IFNA(VLOOKUP(Grandview_Inventory[[#This Row],[quality]],Lookups!$H$2:$J$14,3,FALSE),0)</f>
        <v>2251</v>
      </c>
      <c r="BK914" s="6">
        <f>_xlfn.IFNA(VLOOKUP(Grandview_Inventory[[#This Row],[condition]],Lookups!$H$17:$J$24,3,FALSE),0)</f>
        <v>-4503</v>
      </c>
      <c r="BL914" s="6">
        <f>Grandview_Inventory[[#This Row],[Eff_Age]]*Lookups!$B$14</f>
        <v>-11479.996799999999</v>
      </c>
      <c r="BM914" s="6">
        <f>Grandview_Inventory[[#This Row],[living_area]]*Lookups!$B$15</f>
        <v>121268.378232</v>
      </c>
      <c r="BN914" s="6">
        <f>Grandview_Inventory[[#This Row],[Fin BSMT]]*Lookups!$B$16</f>
        <v>-16909.925760000002</v>
      </c>
      <c r="BO914" s="6">
        <f>(Grandview_Inventory[[#This Row],[att_gar]]+Grandview_Inventory[[#This Row],[bltin_gar]])*Lookups!$B$17</f>
        <v>27306.376344</v>
      </c>
      <c r="BP914" s="6">
        <f>Grandview_Inventory[[#This Row],[Plumbing Fixtures]]*Lookups!$B$18</f>
        <v>18093.976200000001</v>
      </c>
      <c r="BQ914" s="6">
        <f>Grandview_Inventory[[#This Row],[detatched_value]]*Lookups!$B$19</f>
        <v>0</v>
      </c>
      <c r="BR914" s="6">
        <f>SUM(Grandview_Inventory[[#This Row],[Intercept]:[det_value]])*Grandview_Inventory[[#This Row],[res_pct]]</f>
        <v>291860.75821599999</v>
      </c>
      <c r="BS914" s="6">
        <f>Grandview_Inventory[[#This Row],[land_value]]</f>
        <v>47528.228511015397</v>
      </c>
      <c r="BT914" s="4">
        <f>_xlfn.IFNA(VLOOKUP(Grandview_Inventory[[#This Row],[quality]],Lookups!$A$26:$C$33,3,FALSE),1)</f>
        <v>0.98763855981004833</v>
      </c>
      <c r="BU914" s="4">
        <f>_xlfn.IFNA(VLOOKUP(Grandview_Inventory[[#This Row],[condition]],Lookups!$A$37:$C$44,3,FALSE),1)</f>
        <v>0.96469275950863709</v>
      </c>
      <c r="BV914" s="4">
        <f>IF(Grandview_Inventory[[#This Row],[bldg_style]]="",1,_xlfn.IFNA(VLOOKUP(Grandview_Inventory[[#This Row],[decade]],Lookups!$F$29:$H$43,3,FALSE),1))</f>
        <v>0.99472141305414818</v>
      </c>
      <c r="BW914" s="4">
        <f>_xlfn.IFNA(VLOOKUP(Grandview_Inventory[[#This Row],[living_area_range]],Lookups!$F$47:$H$56,3,FALSE),1)</f>
        <v>0.96120133463014379</v>
      </c>
      <c r="BX914" s="4">
        <f>AVERAGE(Grandview_Inventory[[#This Row],[qual_adj]:[size_adj]])</f>
        <v>0.97706351675074443</v>
      </c>
      <c r="BY914" s="6">
        <f>IF(Grandview_Inventory[[#This Row],[pre_res]]&lt;0,0,Grandview_Inventory[[#This Row],[pre_res]]*Grandview_Inventory[[#This Row],[overall_adj]])</f>
        <v>285166.49882406369</v>
      </c>
      <c r="BZ914" s="6">
        <f>(Grandview_Inventory[[#This Row],[sum_land]]-IF(Grandview_Inventory[[#This Row],[no_utilities]]=1,12000,0))/IF(Grandview_Inventory[[#This Row],[unbuildable]]=1,2,1)</f>
        <v>47528.228511015397</v>
      </c>
      <c r="CA91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4">
        <f>ROUND(Grandview_Inventory[[#This Row],[det_value]]*Lookups!$M$28,-2)</f>
        <v>0</v>
      </c>
      <c r="CC914">
        <f>IF(ROUND(Grandview_Inventory[[#This Row],[adj_res]]*Lookups!$M$28,-2)&lt;Grandview_Inventory[[#This Row],[min_res]],Grandview_Inventory[[#This Row],[min_res]],ROUND(Grandview_Inventory[[#This Row],[adj_res]]*Lookups!$M$28,-2))</f>
        <v>270900</v>
      </c>
      <c r="CD914">
        <f>Grandview_Inventory[[#This Row],[final_det]]+Grandview_Inventory[[#This Row],[final_res]]</f>
        <v>270900</v>
      </c>
      <c r="CE914">
        <f>Grandview_Inventory[[#This Row],[final_land]]+Grandview_Inventory[[#This Row],[final_imp]]+Grandview_Inventory[[#This Row],[crop_value]]</f>
        <v>316100</v>
      </c>
      <c r="CG914" t="str">
        <f t="shared" si="14"/>
        <v>update valuation set market_land =45200, market_bldg=270900, market_total =316100, market_mdno =401, market_date ='9/10/2023' where link_id = (select link_id from parcel where parcel_year = '2024' and parcel_id = '23092241441');</v>
      </c>
    </row>
    <row r="915" spans="1:85" x14ac:dyDescent="0.25">
      <c r="A915">
        <v>23092241442</v>
      </c>
      <c r="B915">
        <v>0.18</v>
      </c>
      <c r="C915">
        <v>8047</v>
      </c>
      <c r="D915" t="s">
        <v>129</v>
      </c>
      <c r="E915" t="s">
        <v>53</v>
      </c>
      <c r="F915" t="s">
        <v>53</v>
      </c>
      <c r="G915">
        <v>4</v>
      </c>
      <c r="H915" t="s">
        <v>54</v>
      </c>
      <c r="I915">
        <v>208200</v>
      </c>
      <c r="J915">
        <v>43300</v>
      </c>
      <c r="K915">
        <v>0.18</v>
      </c>
      <c r="L91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5">
        <v>0</v>
      </c>
      <c r="N915">
        <v>0</v>
      </c>
      <c r="O915">
        <v>0</v>
      </c>
      <c r="P915">
        <v>13398.7528</v>
      </c>
      <c r="Q915">
        <v>63903</v>
      </c>
      <c r="R915">
        <f>(Grandview_Inventory[[#This Row],[ln_acres]]*Grandview_Inventory[[#This Row],[coeff]])+Grandview_Inventory[[#This Row],[const]]</f>
        <v>40926.839760167699</v>
      </c>
      <c r="S915" t="s">
        <v>55</v>
      </c>
      <c r="T915">
        <v>1</v>
      </c>
      <c r="U915" t="s">
        <v>65</v>
      </c>
      <c r="V915" t="s">
        <v>69</v>
      </c>
      <c r="W915">
        <v>0</v>
      </c>
      <c r="X915">
        <v>0</v>
      </c>
      <c r="Y915">
        <v>49</v>
      </c>
      <c r="Z915">
        <v>64</v>
      </c>
      <c r="AA915">
        <v>70</v>
      </c>
      <c r="AB915">
        <v>2000</v>
      </c>
      <c r="AC915">
        <v>1989</v>
      </c>
      <c r="AD915">
        <v>1330</v>
      </c>
      <c r="AE915">
        <v>0</v>
      </c>
      <c r="AF915">
        <v>0</v>
      </c>
      <c r="AG915">
        <v>659</v>
      </c>
      <c r="AH915">
        <v>671</v>
      </c>
      <c r="AI915">
        <v>308</v>
      </c>
      <c r="AJ915">
        <v>0</v>
      </c>
      <c r="AK915">
        <v>0</v>
      </c>
      <c r="AL915">
        <v>0</v>
      </c>
      <c r="AM915">
        <v>333</v>
      </c>
      <c r="AN915">
        <v>0</v>
      </c>
      <c r="AO915">
        <v>0</v>
      </c>
      <c r="AP915">
        <v>9</v>
      </c>
      <c r="AQ915">
        <v>0</v>
      </c>
      <c r="AR915">
        <v>0</v>
      </c>
      <c r="AS915" t="s">
        <v>76</v>
      </c>
      <c r="AT915">
        <v>1</v>
      </c>
      <c r="AU915" t="s">
        <v>63</v>
      </c>
      <c r="AV915" t="s">
        <v>64</v>
      </c>
      <c r="AW915">
        <v>1</v>
      </c>
      <c r="AX915">
        <v>3</v>
      </c>
      <c r="AY915">
        <v>0</v>
      </c>
      <c r="AZ915">
        <v>0</v>
      </c>
      <c r="BA915">
        <v>100</v>
      </c>
      <c r="BB915">
        <v>100</v>
      </c>
      <c r="BC915">
        <v>100</v>
      </c>
      <c r="BD915">
        <v>100</v>
      </c>
      <c r="BE915">
        <v>1</v>
      </c>
      <c r="BF915">
        <v>15000</v>
      </c>
      <c r="BG915">
        <v>1000</v>
      </c>
      <c r="BH915" s="6">
        <f>Grandview_Inventory[[#This Row],[land_extract]]*Lookups!$B$3</f>
        <v>47528.228511015397</v>
      </c>
      <c r="BI915" s="6">
        <f>IF(Grandview_Inventory[[#This Row],[bldg_style]]="",0,Lookups!$B$2)</f>
        <v>155833.95000000001</v>
      </c>
      <c r="BJ915" s="6">
        <f>_xlfn.IFNA(VLOOKUP(Grandview_Inventory[[#This Row],[quality]],Lookups!$H$2:$J$14,3,FALSE),0)</f>
        <v>2251</v>
      </c>
      <c r="BK915" s="6">
        <f>_xlfn.IFNA(VLOOKUP(Grandview_Inventory[[#This Row],[condition]],Lookups!$H$17:$J$24,3,FALSE),0)</f>
        <v>-4503</v>
      </c>
      <c r="BL915" s="6">
        <f>Grandview_Inventory[[#This Row],[Eff_Age]]*Lookups!$B$14</f>
        <v>-11719.163399999999</v>
      </c>
      <c r="BM915" s="6">
        <f>Grandview_Inventory[[#This Row],[living_area]]*Lookups!$B$15</f>
        <v>124075.516617</v>
      </c>
      <c r="BN915" s="6">
        <f>Grandview_Inventory[[#This Row],[Fin BSMT]]*Lookups!$B$16</f>
        <v>-17858.399160000001</v>
      </c>
      <c r="BO915" s="6">
        <f>(Grandview_Inventory[[#This Row],[att_gar]]+Grandview_Inventory[[#This Row],[bltin_gar]])*Lookups!$B$17</f>
        <v>26956.294596</v>
      </c>
      <c r="BP915" s="6">
        <f>Grandview_Inventory[[#This Row],[Plumbing Fixtures]]*Lookups!$B$18</f>
        <v>18093.976200000001</v>
      </c>
      <c r="BQ915" s="6">
        <f>Grandview_Inventory[[#This Row],[detatched_value]]*Lookups!$B$19</f>
        <v>0</v>
      </c>
      <c r="BR915" s="6">
        <f>SUM(Grandview_Inventory[[#This Row],[Intercept]:[det_value]])*Grandview_Inventory[[#This Row],[res_pct]]</f>
        <v>293130.17485300003</v>
      </c>
      <c r="BS915" s="6">
        <f>Grandview_Inventory[[#This Row],[land_value]]</f>
        <v>47528.228511015397</v>
      </c>
      <c r="BT915" s="4">
        <f>_xlfn.IFNA(VLOOKUP(Grandview_Inventory[[#This Row],[quality]],Lookups!$A$26:$C$33,3,FALSE),1)</f>
        <v>0.98763855981004833</v>
      </c>
      <c r="BU915" s="4">
        <f>_xlfn.IFNA(VLOOKUP(Grandview_Inventory[[#This Row],[condition]],Lookups!$A$37:$C$44,3,FALSE),1)</f>
        <v>0.96469275950863709</v>
      </c>
      <c r="BV915" s="4">
        <f>IF(Grandview_Inventory[[#This Row],[bldg_style]]="",1,_xlfn.IFNA(VLOOKUP(Grandview_Inventory[[#This Row],[decade]],Lookups!$F$29:$H$43,3,FALSE),1))</f>
        <v>0.99472141305414818</v>
      </c>
      <c r="BW915" s="4">
        <f>_xlfn.IFNA(VLOOKUP(Grandview_Inventory[[#This Row],[living_area_range]],Lookups!$F$47:$H$56,3,FALSE),1)</f>
        <v>0.96120133463014379</v>
      </c>
      <c r="BX915" s="4">
        <f>AVERAGE(Grandview_Inventory[[#This Row],[qual_adj]:[size_adj]])</f>
        <v>0.97706351675074443</v>
      </c>
      <c r="BY915" s="6">
        <f>IF(Grandview_Inventory[[#This Row],[pre_res]]&lt;0,0,Grandview_Inventory[[#This Row],[pre_res]]*Grandview_Inventory[[#This Row],[overall_adj]])</f>
        <v>286406.79950763285</v>
      </c>
      <c r="BZ915" s="6">
        <f>(Grandview_Inventory[[#This Row],[sum_land]]-IF(Grandview_Inventory[[#This Row],[no_utilities]]=1,12000,0))/IF(Grandview_Inventory[[#This Row],[unbuildable]]=1,2,1)</f>
        <v>47528.228511015397</v>
      </c>
      <c r="CA91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5">
        <f>ROUND(Grandview_Inventory[[#This Row],[det_value]]*Lookups!$M$28,-2)</f>
        <v>0</v>
      </c>
      <c r="CC915">
        <f>IF(ROUND(Grandview_Inventory[[#This Row],[adj_res]]*Lookups!$M$28,-2)&lt;Grandview_Inventory[[#This Row],[min_res]],Grandview_Inventory[[#This Row],[min_res]],ROUND(Grandview_Inventory[[#This Row],[adj_res]]*Lookups!$M$28,-2))</f>
        <v>272100</v>
      </c>
      <c r="CD915">
        <f>Grandview_Inventory[[#This Row],[final_det]]+Grandview_Inventory[[#This Row],[final_res]]</f>
        <v>272100</v>
      </c>
      <c r="CE915">
        <f>Grandview_Inventory[[#This Row],[final_land]]+Grandview_Inventory[[#This Row],[final_imp]]+Grandview_Inventory[[#This Row],[crop_value]]</f>
        <v>317300</v>
      </c>
      <c r="CG915" t="str">
        <f t="shared" si="14"/>
        <v>update valuation set market_land =45200, market_bldg=272100, market_total =317300, market_mdno =401, market_date ='9/10/2023' where link_id = (select link_id from parcel where parcel_year = '2024' and parcel_id = '23092241442');</v>
      </c>
    </row>
    <row r="916" spans="1:85" x14ac:dyDescent="0.25">
      <c r="A916">
        <v>23092241443</v>
      </c>
      <c r="B916">
        <v>0.18</v>
      </c>
      <c r="C916">
        <v>8047</v>
      </c>
      <c r="D916" t="s">
        <v>129</v>
      </c>
      <c r="E916" t="s">
        <v>53</v>
      </c>
      <c r="F916" t="s">
        <v>53</v>
      </c>
      <c r="G916">
        <v>4</v>
      </c>
      <c r="H916" t="s">
        <v>54</v>
      </c>
      <c r="I916">
        <v>225100</v>
      </c>
      <c r="J916">
        <v>43300</v>
      </c>
      <c r="K916">
        <v>0.18</v>
      </c>
      <c r="L91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6">
        <v>0</v>
      </c>
      <c r="N916">
        <v>0</v>
      </c>
      <c r="O916">
        <v>0</v>
      </c>
      <c r="P916">
        <v>13398.7528</v>
      </c>
      <c r="Q916">
        <v>63903</v>
      </c>
      <c r="R916">
        <f>(Grandview_Inventory[[#This Row],[ln_acres]]*Grandview_Inventory[[#This Row],[coeff]])+Grandview_Inventory[[#This Row],[const]]</f>
        <v>40926.839760167699</v>
      </c>
      <c r="S916" t="s">
        <v>74</v>
      </c>
      <c r="T916">
        <v>1</v>
      </c>
      <c r="U916" t="s">
        <v>65</v>
      </c>
      <c r="V916" t="s">
        <v>69</v>
      </c>
      <c r="W916">
        <v>0</v>
      </c>
      <c r="X916">
        <v>0</v>
      </c>
      <c r="Y916">
        <v>49</v>
      </c>
      <c r="Z916">
        <v>64</v>
      </c>
      <c r="AA916">
        <v>70</v>
      </c>
      <c r="AB916">
        <v>2000</v>
      </c>
      <c r="AC916">
        <v>1964</v>
      </c>
      <c r="AD916">
        <v>1282</v>
      </c>
      <c r="AE916">
        <v>0</v>
      </c>
      <c r="AF916">
        <v>0</v>
      </c>
      <c r="AG916">
        <v>682</v>
      </c>
      <c r="AH916">
        <v>0</v>
      </c>
      <c r="AI916">
        <v>432</v>
      </c>
      <c r="AJ916">
        <v>0</v>
      </c>
      <c r="AK916">
        <v>0</v>
      </c>
      <c r="AL916">
        <v>0</v>
      </c>
      <c r="AM916">
        <v>420</v>
      </c>
      <c r="AN916">
        <v>0</v>
      </c>
      <c r="AO916">
        <v>420</v>
      </c>
      <c r="AP916">
        <v>9</v>
      </c>
      <c r="AQ916">
        <v>0</v>
      </c>
      <c r="AR916">
        <v>0</v>
      </c>
      <c r="AS916" t="s">
        <v>58</v>
      </c>
      <c r="AT916">
        <v>1</v>
      </c>
      <c r="AU916" t="s">
        <v>63</v>
      </c>
      <c r="AV916" t="s">
        <v>64</v>
      </c>
      <c r="AW916">
        <v>1</v>
      </c>
      <c r="AX916">
        <v>3</v>
      </c>
      <c r="AY916">
        <v>0</v>
      </c>
      <c r="AZ916">
        <v>0</v>
      </c>
      <c r="BA916">
        <v>100</v>
      </c>
      <c r="BB916">
        <v>100</v>
      </c>
      <c r="BC916">
        <v>100</v>
      </c>
      <c r="BD916">
        <v>100</v>
      </c>
      <c r="BE916">
        <v>1</v>
      </c>
      <c r="BF916">
        <v>15000</v>
      </c>
      <c r="BG916">
        <v>1000</v>
      </c>
      <c r="BH916" s="6">
        <f>Grandview_Inventory[[#This Row],[land_extract]]*Lookups!$B$3</f>
        <v>47528.228511015397</v>
      </c>
      <c r="BI916" s="6">
        <f>IF(Grandview_Inventory[[#This Row],[bldg_style]]="",0,Lookups!$B$2)</f>
        <v>155833.95000000001</v>
      </c>
      <c r="BJ916" s="6">
        <f>_xlfn.IFNA(VLOOKUP(Grandview_Inventory[[#This Row],[quality]],Lookups!$H$2:$J$14,3,FALSE),0)</f>
        <v>2251</v>
      </c>
      <c r="BK916" s="6">
        <f>_xlfn.IFNA(VLOOKUP(Grandview_Inventory[[#This Row],[condition]],Lookups!$H$17:$J$24,3,FALSE),0)</f>
        <v>-4503</v>
      </c>
      <c r="BL916" s="6">
        <f>Grandview_Inventory[[#This Row],[Eff_Age]]*Lookups!$B$14</f>
        <v>-11719.163399999999</v>
      </c>
      <c r="BM916" s="6">
        <f>Grandview_Inventory[[#This Row],[living_area]]*Lookups!$B$15</f>
        <v>122515.99529200001</v>
      </c>
      <c r="BN916" s="6">
        <f>Grandview_Inventory[[#This Row],[Fin BSMT]]*Lookups!$B$16</f>
        <v>-18481.681680000002</v>
      </c>
      <c r="BO916" s="6">
        <f>(Grandview_Inventory[[#This Row],[att_gar]]+Grandview_Inventory[[#This Row],[bltin_gar]])*Lookups!$B$17</f>
        <v>37808.828783999998</v>
      </c>
      <c r="BP916" s="6">
        <f>Grandview_Inventory[[#This Row],[Plumbing Fixtures]]*Lookups!$B$18</f>
        <v>18093.976200000001</v>
      </c>
      <c r="BQ916" s="6">
        <f>Grandview_Inventory[[#This Row],[detatched_value]]*Lookups!$B$19</f>
        <v>0</v>
      </c>
      <c r="BR916" s="6">
        <f>SUM(Grandview_Inventory[[#This Row],[Intercept]:[det_value]])*Grandview_Inventory[[#This Row],[res_pct]]</f>
        <v>301799.90519599995</v>
      </c>
      <c r="BS916" s="6">
        <f>Grandview_Inventory[[#This Row],[land_value]]</f>
        <v>47528.228511015397</v>
      </c>
      <c r="BT916" s="4">
        <f>_xlfn.IFNA(VLOOKUP(Grandview_Inventory[[#This Row],[quality]],Lookups!$A$26:$C$33,3,FALSE),1)</f>
        <v>0.98763855981004833</v>
      </c>
      <c r="BU916" s="4">
        <f>_xlfn.IFNA(VLOOKUP(Grandview_Inventory[[#This Row],[condition]],Lookups!$A$37:$C$44,3,FALSE),1)</f>
        <v>0.96469275950863709</v>
      </c>
      <c r="BV916" s="4">
        <f>IF(Grandview_Inventory[[#This Row],[bldg_style]]="",1,_xlfn.IFNA(VLOOKUP(Grandview_Inventory[[#This Row],[decade]],Lookups!$F$29:$H$43,3,FALSE),1))</f>
        <v>0.99472141305414818</v>
      </c>
      <c r="BW916" s="4">
        <f>_xlfn.IFNA(VLOOKUP(Grandview_Inventory[[#This Row],[living_area_range]],Lookups!$F$47:$H$56,3,FALSE),1)</f>
        <v>0.96120133463014379</v>
      </c>
      <c r="BX916" s="4">
        <f>AVERAGE(Grandview_Inventory[[#This Row],[qual_adj]:[size_adj]])</f>
        <v>0.97706351675074443</v>
      </c>
      <c r="BY916" s="6">
        <f>IF(Grandview_Inventory[[#This Row],[pre_res]]&lt;0,0,Grandview_Inventory[[#This Row],[pre_res]]*Grandview_Inventory[[#This Row],[overall_adj]])</f>
        <v>294877.67672584497</v>
      </c>
      <c r="BZ916" s="6">
        <f>(Grandview_Inventory[[#This Row],[sum_land]]-IF(Grandview_Inventory[[#This Row],[no_utilities]]=1,12000,0))/IF(Grandview_Inventory[[#This Row],[unbuildable]]=1,2,1)</f>
        <v>47528.228511015397</v>
      </c>
      <c r="CA91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6">
        <f>ROUND(Grandview_Inventory[[#This Row],[det_value]]*Lookups!$M$28,-2)</f>
        <v>0</v>
      </c>
      <c r="CC916">
        <f>IF(ROUND(Grandview_Inventory[[#This Row],[adj_res]]*Lookups!$M$28,-2)&lt;Grandview_Inventory[[#This Row],[min_res]],Grandview_Inventory[[#This Row],[min_res]],ROUND(Grandview_Inventory[[#This Row],[adj_res]]*Lookups!$M$28,-2))</f>
        <v>280100</v>
      </c>
      <c r="CD916">
        <f>Grandview_Inventory[[#This Row],[final_det]]+Grandview_Inventory[[#This Row],[final_res]]</f>
        <v>280100</v>
      </c>
      <c r="CE916">
        <f>Grandview_Inventory[[#This Row],[final_land]]+Grandview_Inventory[[#This Row],[final_imp]]+Grandview_Inventory[[#This Row],[crop_value]]</f>
        <v>325300</v>
      </c>
      <c r="CG916" t="str">
        <f t="shared" si="14"/>
        <v>update valuation set market_land =45200, market_bldg=280100, market_total =325300, market_mdno =401, market_date ='9/10/2023' where link_id = (select link_id from parcel where parcel_year = '2024' and parcel_id = '23092241443');</v>
      </c>
    </row>
    <row r="917" spans="1:85" x14ac:dyDescent="0.25">
      <c r="A917">
        <v>23092241444</v>
      </c>
      <c r="B917">
        <v>0.18</v>
      </c>
      <c r="C917">
        <v>8047</v>
      </c>
      <c r="D917" t="s">
        <v>129</v>
      </c>
      <c r="E917" t="s">
        <v>53</v>
      </c>
      <c r="F917" t="s">
        <v>53</v>
      </c>
      <c r="G917">
        <v>4</v>
      </c>
      <c r="H917" t="s">
        <v>54</v>
      </c>
      <c r="I917">
        <v>216200</v>
      </c>
      <c r="J917">
        <v>39000</v>
      </c>
      <c r="K917">
        <v>0.18</v>
      </c>
      <c r="L91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7">
        <v>0</v>
      </c>
      <c r="N917">
        <v>0</v>
      </c>
      <c r="O917">
        <v>0</v>
      </c>
      <c r="P917">
        <v>13398.7528</v>
      </c>
      <c r="Q917">
        <v>63903</v>
      </c>
      <c r="R917">
        <f>(Grandview_Inventory[[#This Row],[ln_acres]]*Grandview_Inventory[[#This Row],[coeff]])+Grandview_Inventory[[#This Row],[const]]</f>
        <v>40926.839760167699</v>
      </c>
      <c r="S917" t="s">
        <v>61</v>
      </c>
      <c r="T917">
        <v>1</v>
      </c>
      <c r="U917" t="s">
        <v>62</v>
      </c>
      <c r="V917" t="s">
        <v>67</v>
      </c>
      <c r="W917">
        <v>0</v>
      </c>
      <c r="X917">
        <v>0</v>
      </c>
      <c r="Y917">
        <v>46</v>
      </c>
      <c r="Z917">
        <v>53</v>
      </c>
      <c r="AA917">
        <v>60</v>
      </c>
      <c r="AB917">
        <v>2500</v>
      </c>
      <c r="AC917">
        <v>2098</v>
      </c>
      <c r="AD917">
        <v>1477</v>
      </c>
      <c r="AE917">
        <v>0</v>
      </c>
      <c r="AF917">
        <v>0</v>
      </c>
      <c r="AG917">
        <v>621</v>
      </c>
      <c r="AH917">
        <v>0</v>
      </c>
      <c r="AI917">
        <v>0</v>
      </c>
      <c r="AJ917">
        <v>0</v>
      </c>
      <c r="AK917">
        <v>378</v>
      </c>
      <c r="AL917">
        <v>0</v>
      </c>
      <c r="AM917">
        <v>504</v>
      </c>
      <c r="AN917">
        <v>0</v>
      </c>
      <c r="AO917">
        <v>192</v>
      </c>
      <c r="AP917">
        <v>8</v>
      </c>
      <c r="AQ917">
        <v>0</v>
      </c>
      <c r="AR917">
        <v>0</v>
      </c>
      <c r="AS917" t="s">
        <v>58</v>
      </c>
      <c r="AT917">
        <v>1</v>
      </c>
      <c r="AU917" t="s">
        <v>63</v>
      </c>
      <c r="AV917" t="s">
        <v>64</v>
      </c>
      <c r="AW917">
        <v>1</v>
      </c>
      <c r="AX917">
        <v>3</v>
      </c>
      <c r="AY917">
        <v>0</v>
      </c>
      <c r="AZ917">
        <v>0</v>
      </c>
      <c r="BA917">
        <v>100</v>
      </c>
      <c r="BB917">
        <v>100</v>
      </c>
      <c r="BC917">
        <v>100</v>
      </c>
      <c r="BD917">
        <v>100</v>
      </c>
      <c r="BE917">
        <v>1</v>
      </c>
      <c r="BF917">
        <v>15000</v>
      </c>
      <c r="BG917">
        <v>1000</v>
      </c>
      <c r="BH917" s="6">
        <f>Grandview_Inventory[[#This Row],[land_extract]]*Lookups!$B$3</f>
        <v>47528.228511015397</v>
      </c>
      <c r="BI917" s="6">
        <f>IF(Grandview_Inventory[[#This Row],[bldg_style]]="",0,Lookups!$B$2)</f>
        <v>155833.95000000001</v>
      </c>
      <c r="BJ917" s="6">
        <f>_xlfn.IFNA(VLOOKUP(Grandview_Inventory[[#This Row],[quality]],Lookups!$H$2:$J$14,3,FALSE),0)</f>
        <v>9808</v>
      </c>
      <c r="BK917" s="6">
        <f>_xlfn.IFNA(VLOOKUP(Grandview_Inventory[[#This Row],[condition]],Lookups!$H$17:$J$24,3,FALSE),0)</f>
        <v>22342</v>
      </c>
      <c r="BL917" s="6">
        <f>Grandview_Inventory[[#This Row],[Eff_Age]]*Lookups!$B$14</f>
        <v>-11001.6636</v>
      </c>
      <c r="BM917" s="6">
        <f>Grandview_Inventory[[#This Row],[living_area]]*Lookups!$B$15</f>
        <v>130875.02959400001</v>
      </c>
      <c r="BN917" s="6">
        <f>Grandview_Inventory[[#This Row],[Fin BSMT]]*Lookups!$B$16</f>
        <v>-16828.62804</v>
      </c>
      <c r="BO917" s="6">
        <f>(Grandview_Inventory[[#This Row],[att_gar]]+Grandview_Inventory[[#This Row],[bltin_gar]])*Lookups!$B$17</f>
        <v>0</v>
      </c>
      <c r="BP917" s="6">
        <f>Grandview_Inventory[[#This Row],[Plumbing Fixtures]]*Lookups!$B$18</f>
        <v>16083.5344</v>
      </c>
      <c r="BQ917" s="6">
        <f>Grandview_Inventory[[#This Row],[detatched_value]]*Lookups!$B$19</f>
        <v>0</v>
      </c>
      <c r="BR917" s="6">
        <f>SUM(Grandview_Inventory[[#This Row],[Intercept]:[det_value]])*Grandview_Inventory[[#This Row],[res_pct]]</f>
        <v>307112.22235400003</v>
      </c>
      <c r="BS917" s="6">
        <f>Grandview_Inventory[[#This Row],[land_value]]</f>
        <v>47528.228511015397</v>
      </c>
      <c r="BT917" s="4">
        <f>_xlfn.IFNA(VLOOKUP(Grandview_Inventory[[#This Row],[quality]],Lookups!$A$26:$C$33,3,FALSE),1)</f>
        <v>0.94295468617355149</v>
      </c>
      <c r="BU917" s="4">
        <f>_xlfn.IFNA(VLOOKUP(Grandview_Inventory[[#This Row],[condition]],Lookups!$A$37:$C$44,3,FALSE),1)</f>
        <v>0.97383723671140243</v>
      </c>
      <c r="BV917" s="4">
        <f>IF(Grandview_Inventory[[#This Row],[bldg_style]]="",1,_xlfn.IFNA(VLOOKUP(Grandview_Inventory[[#This Row],[decade]],Lookups!$F$29:$H$43,3,FALSE),1))</f>
        <v>0.95268620544463312</v>
      </c>
      <c r="BW917" s="4">
        <f>_xlfn.IFNA(VLOOKUP(Grandview_Inventory[[#This Row],[living_area_range]],Lookups!$F$47:$H$56,3,FALSE),1)</f>
        <v>0.95799442568048754</v>
      </c>
      <c r="BX917" s="4">
        <f>AVERAGE(Grandview_Inventory[[#This Row],[qual_adj]:[size_adj]])</f>
        <v>0.95686813850251862</v>
      </c>
      <c r="BY917" s="6">
        <f>IF(Grandview_Inventory[[#This Row],[pre_res]]&lt;0,0,Grandview_Inventory[[#This Row],[pre_res]]*Grandview_Inventory[[#This Row],[overall_adj]])</f>
        <v>293865.90051524359</v>
      </c>
      <c r="BZ917" s="6">
        <f>(Grandview_Inventory[[#This Row],[sum_land]]-IF(Grandview_Inventory[[#This Row],[no_utilities]]=1,12000,0))/IF(Grandview_Inventory[[#This Row],[unbuildable]]=1,2,1)</f>
        <v>47528.228511015397</v>
      </c>
      <c r="CA91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7">
        <f>ROUND(Grandview_Inventory[[#This Row],[det_value]]*Lookups!$M$28,-2)</f>
        <v>0</v>
      </c>
      <c r="CC917">
        <f>IF(ROUND(Grandview_Inventory[[#This Row],[adj_res]]*Lookups!$M$28,-2)&lt;Grandview_Inventory[[#This Row],[min_res]],Grandview_Inventory[[#This Row],[min_res]],ROUND(Grandview_Inventory[[#This Row],[adj_res]]*Lookups!$M$28,-2))</f>
        <v>279200</v>
      </c>
      <c r="CD917">
        <f>Grandview_Inventory[[#This Row],[final_det]]+Grandview_Inventory[[#This Row],[final_res]]</f>
        <v>279200</v>
      </c>
      <c r="CE917">
        <f>Grandview_Inventory[[#This Row],[final_land]]+Grandview_Inventory[[#This Row],[final_imp]]+Grandview_Inventory[[#This Row],[crop_value]]</f>
        <v>324400</v>
      </c>
      <c r="CG917" t="str">
        <f t="shared" si="14"/>
        <v>update valuation set market_land =45200, market_bldg=279200, market_total =324400, market_mdno =401, market_date ='9/10/2023' where link_id = (select link_id from parcel where parcel_year = '2024' and parcel_id = '23092241444');</v>
      </c>
    </row>
    <row r="918" spans="1:85" x14ac:dyDescent="0.25">
      <c r="A918">
        <v>23092241445</v>
      </c>
      <c r="B918">
        <v>0.18</v>
      </c>
      <c r="C918">
        <v>7703</v>
      </c>
      <c r="D918" t="s">
        <v>129</v>
      </c>
      <c r="E918" t="s">
        <v>53</v>
      </c>
      <c r="F918" t="s">
        <v>53</v>
      </c>
      <c r="G918">
        <v>4</v>
      </c>
      <c r="H918" t="s">
        <v>54</v>
      </c>
      <c r="I918">
        <v>286300</v>
      </c>
      <c r="J918">
        <v>39000</v>
      </c>
      <c r="K918">
        <v>0.18</v>
      </c>
      <c r="L91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8">
        <v>0</v>
      </c>
      <c r="N918">
        <v>0</v>
      </c>
      <c r="O918">
        <v>0</v>
      </c>
      <c r="P918">
        <v>13398.7528</v>
      </c>
      <c r="Q918">
        <v>63903</v>
      </c>
      <c r="R918">
        <f>(Grandview_Inventory[[#This Row],[ln_acres]]*Grandview_Inventory[[#This Row],[coeff]])+Grandview_Inventory[[#This Row],[const]]</f>
        <v>40926.839760167699</v>
      </c>
      <c r="S918" t="s">
        <v>61</v>
      </c>
      <c r="T918">
        <v>1</v>
      </c>
      <c r="U918" t="s">
        <v>62</v>
      </c>
      <c r="V918" t="s">
        <v>67</v>
      </c>
      <c r="W918">
        <v>0</v>
      </c>
      <c r="X918">
        <v>0</v>
      </c>
      <c r="Y918">
        <v>48</v>
      </c>
      <c r="Z918">
        <v>61</v>
      </c>
      <c r="AA918">
        <v>70</v>
      </c>
      <c r="AB918">
        <v>3000</v>
      </c>
      <c r="AC918">
        <v>2588</v>
      </c>
      <c r="AD918">
        <v>1916</v>
      </c>
      <c r="AE918">
        <v>0</v>
      </c>
      <c r="AF918">
        <v>0</v>
      </c>
      <c r="AG918">
        <v>672</v>
      </c>
      <c r="AH918">
        <v>672</v>
      </c>
      <c r="AI918">
        <v>364</v>
      </c>
      <c r="AJ918">
        <v>0</v>
      </c>
      <c r="AK918">
        <v>0</v>
      </c>
      <c r="AL918">
        <v>0</v>
      </c>
      <c r="AM918">
        <v>392</v>
      </c>
      <c r="AN918">
        <v>0</v>
      </c>
      <c r="AO918">
        <v>0</v>
      </c>
      <c r="AP918">
        <v>10</v>
      </c>
      <c r="AQ918">
        <v>0</v>
      </c>
      <c r="AR918">
        <v>2</v>
      </c>
      <c r="AS918" t="s">
        <v>58</v>
      </c>
      <c r="AT918">
        <v>1</v>
      </c>
      <c r="AU918" t="s">
        <v>59</v>
      </c>
      <c r="AV918" t="s">
        <v>60</v>
      </c>
      <c r="AW918">
        <v>1</v>
      </c>
      <c r="AX918">
        <v>3</v>
      </c>
      <c r="AY918">
        <v>0</v>
      </c>
      <c r="AZ918">
        <v>0</v>
      </c>
      <c r="BA918">
        <v>100</v>
      </c>
      <c r="BB918">
        <v>100</v>
      </c>
      <c r="BC918">
        <v>100</v>
      </c>
      <c r="BD918">
        <v>100</v>
      </c>
      <c r="BE918">
        <v>1</v>
      </c>
      <c r="BF918">
        <v>15000</v>
      </c>
      <c r="BG918">
        <v>1000</v>
      </c>
      <c r="BH918" s="6">
        <f>Grandview_Inventory[[#This Row],[land_extract]]*Lookups!$B$3</f>
        <v>47528.228511015397</v>
      </c>
      <c r="BI918" s="6">
        <f>IF(Grandview_Inventory[[#This Row],[bldg_style]]="",0,Lookups!$B$2)</f>
        <v>155833.95000000001</v>
      </c>
      <c r="BJ918" s="6">
        <f>_xlfn.IFNA(VLOOKUP(Grandview_Inventory[[#This Row],[quality]],Lookups!$H$2:$J$14,3,FALSE),0)</f>
        <v>9808</v>
      </c>
      <c r="BK918" s="6">
        <f>_xlfn.IFNA(VLOOKUP(Grandview_Inventory[[#This Row],[condition]],Lookups!$H$17:$J$24,3,FALSE),0)</f>
        <v>22342</v>
      </c>
      <c r="BL918" s="6">
        <f>Grandview_Inventory[[#This Row],[Eff_Age]]*Lookups!$B$14</f>
        <v>-11479.996799999999</v>
      </c>
      <c r="BM918" s="6">
        <f>Grandview_Inventory[[#This Row],[living_area]]*Lookups!$B$15</f>
        <v>161441.64756400001</v>
      </c>
      <c r="BN918" s="6">
        <f>Grandview_Inventory[[#This Row],[Fin BSMT]]*Lookups!$B$16</f>
        <v>-18210.689280000002</v>
      </c>
      <c r="BO918" s="6">
        <f>(Grandview_Inventory[[#This Row],[att_gar]]+Grandview_Inventory[[#This Row],[bltin_gar]])*Lookups!$B$17</f>
        <v>31857.439068</v>
      </c>
      <c r="BP918" s="6">
        <f>Grandview_Inventory[[#This Row],[Plumbing Fixtures]]*Lookups!$B$18</f>
        <v>20104.418000000001</v>
      </c>
      <c r="BQ918" s="6">
        <f>Grandview_Inventory[[#This Row],[detatched_value]]*Lookups!$B$19</f>
        <v>0</v>
      </c>
      <c r="BR918" s="6">
        <f>SUM(Grandview_Inventory[[#This Row],[Intercept]:[det_value]])*Grandview_Inventory[[#This Row],[res_pct]]</f>
        <v>371696.76855200005</v>
      </c>
      <c r="BS918" s="6">
        <f>Grandview_Inventory[[#This Row],[land_value]]</f>
        <v>47528.228511015397</v>
      </c>
      <c r="BT918" s="4">
        <f>_xlfn.IFNA(VLOOKUP(Grandview_Inventory[[#This Row],[quality]],Lookups!$A$26:$C$33,3,FALSE),1)</f>
        <v>0.94295468617355149</v>
      </c>
      <c r="BU918" s="4">
        <f>_xlfn.IFNA(VLOOKUP(Grandview_Inventory[[#This Row],[condition]],Lookups!$A$37:$C$44,3,FALSE),1)</f>
        <v>0.97383723671140243</v>
      </c>
      <c r="BV918" s="4">
        <f>IF(Grandview_Inventory[[#This Row],[bldg_style]]="",1,_xlfn.IFNA(VLOOKUP(Grandview_Inventory[[#This Row],[decade]],Lookups!$F$29:$H$43,3,FALSE),1))</f>
        <v>0.99472141305414818</v>
      </c>
      <c r="BW918" s="4">
        <f>_xlfn.IFNA(VLOOKUP(Grandview_Inventory[[#This Row],[living_area_range]],Lookups!$F$47:$H$56,3,FALSE),1)</f>
        <v>0.94224801443562123</v>
      </c>
      <c r="BX918" s="4">
        <f>AVERAGE(Grandview_Inventory[[#This Row],[qual_adj]:[size_adj]])</f>
        <v>0.96344033759368086</v>
      </c>
      <c r="BY918" s="6">
        <f>IF(Grandview_Inventory[[#This Row],[pre_res]]&lt;0,0,Grandview_Inventory[[#This Row],[pre_res]]*Grandview_Inventory[[#This Row],[overall_adj]])</f>
        <v>358107.66017621919</v>
      </c>
      <c r="BZ918" s="6">
        <f>(Grandview_Inventory[[#This Row],[sum_land]]-IF(Grandview_Inventory[[#This Row],[no_utilities]]=1,12000,0))/IF(Grandview_Inventory[[#This Row],[unbuildable]]=1,2,1)</f>
        <v>47528.228511015397</v>
      </c>
      <c r="CA91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8">
        <f>ROUND(Grandview_Inventory[[#This Row],[det_value]]*Lookups!$M$28,-2)</f>
        <v>0</v>
      </c>
      <c r="CC918">
        <f>IF(ROUND(Grandview_Inventory[[#This Row],[adj_res]]*Lookups!$M$28,-2)&lt;Grandview_Inventory[[#This Row],[min_res]],Grandview_Inventory[[#This Row],[min_res]],ROUND(Grandview_Inventory[[#This Row],[adj_res]]*Lookups!$M$28,-2))</f>
        <v>340200</v>
      </c>
      <c r="CD918">
        <f>Grandview_Inventory[[#This Row],[final_det]]+Grandview_Inventory[[#This Row],[final_res]]</f>
        <v>340200</v>
      </c>
      <c r="CE918">
        <f>Grandview_Inventory[[#This Row],[final_land]]+Grandview_Inventory[[#This Row],[final_imp]]+Grandview_Inventory[[#This Row],[crop_value]]</f>
        <v>385400</v>
      </c>
      <c r="CG918" t="str">
        <f t="shared" si="14"/>
        <v>update valuation set market_land =45200, market_bldg=340200, market_total =385400, market_mdno =401, market_date ='9/10/2023' where link_id = (select link_id from parcel where parcel_year = '2024' and parcel_id = '23092241445');</v>
      </c>
    </row>
    <row r="919" spans="1:85" x14ac:dyDescent="0.25">
      <c r="A919">
        <v>23092241446</v>
      </c>
      <c r="B919">
        <v>0.18</v>
      </c>
      <c r="C919">
        <v>8047</v>
      </c>
      <c r="D919" t="s">
        <v>129</v>
      </c>
      <c r="E919" t="s">
        <v>53</v>
      </c>
      <c r="F919" t="s">
        <v>53</v>
      </c>
      <c r="G919">
        <v>4</v>
      </c>
      <c r="H919" t="s">
        <v>54</v>
      </c>
      <c r="I919">
        <v>207000</v>
      </c>
      <c r="J919">
        <v>43300</v>
      </c>
      <c r="K919">
        <v>0.18</v>
      </c>
      <c r="L91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19">
        <v>0</v>
      </c>
      <c r="N919">
        <v>0</v>
      </c>
      <c r="O919">
        <v>0</v>
      </c>
      <c r="P919">
        <v>13398.7528</v>
      </c>
      <c r="Q919">
        <v>63903</v>
      </c>
      <c r="R919">
        <f>(Grandview_Inventory[[#This Row],[ln_acres]]*Grandview_Inventory[[#This Row],[coeff]])+Grandview_Inventory[[#This Row],[const]]</f>
        <v>40926.839760167699</v>
      </c>
      <c r="S919" t="s">
        <v>74</v>
      </c>
      <c r="T919">
        <v>1</v>
      </c>
      <c r="U919" t="s">
        <v>65</v>
      </c>
      <c r="V919" t="s">
        <v>69</v>
      </c>
      <c r="W919">
        <v>0</v>
      </c>
      <c r="X919">
        <v>0</v>
      </c>
      <c r="Y919">
        <v>49</v>
      </c>
      <c r="Z919">
        <v>65</v>
      </c>
      <c r="AA919">
        <v>70</v>
      </c>
      <c r="AB919">
        <v>2000</v>
      </c>
      <c r="AC919">
        <v>1909</v>
      </c>
      <c r="AD919">
        <v>1269</v>
      </c>
      <c r="AE919">
        <v>0</v>
      </c>
      <c r="AF919">
        <v>0</v>
      </c>
      <c r="AG919">
        <v>640</v>
      </c>
      <c r="AH919">
        <v>0</v>
      </c>
      <c r="AI919">
        <v>286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8</v>
      </c>
      <c r="AQ919">
        <v>0</v>
      </c>
      <c r="AR919">
        <v>0</v>
      </c>
      <c r="AS919" t="s">
        <v>58</v>
      </c>
      <c r="AT919">
        <v>1</v>
      </c>
      <c r="AU919" t="s">
        <v>63</v>
      </c>
      <c r="AV919" t="s">
        <v>60</v>
      </c>
      <c r="AW919">
        <v>0</v>
      </c>
      <c r="AX919">
        <v>4</v>
      </c>
      <c r="AY919">
        <v>0</v>
      </c>
      <c r="AZ919">
        <v>0</v>
      </c>
      <c r="BA919">
        <v>100</v>
      </c>
      <c r="BB919">
        <v>100</v>
      </c>
      <c r="BC919">
        <v>100</v>
      </c>
      <c r="BD919">
        <v>100</v>
      </c>
      <c r="BE919">
        <v>1</v>
      </c>
      <c r="BF919">
        <v>15000</v>
      </c>
      <c r="BG919">
        <v>1000</v>
      </c>
      <c r="BH919" s="6">
        <f>Grandview_Inventory[[#This Row],[land_extract]]*Lookups!$B$3</f>
        <v>47528.228511015397</v>
      </c>
      <c r="BI919" s="6">
        <f>IF(Grandview_Inventory[[#This Row],[bldg_style]]="",0,Lookups!$B$2)</f>
        <v>155833.95000000001</v>
      </c>
      <c r="BJ919" s="6">
        <f>_xlfn.IFNA(VLOOKUP(Grandview_Inventory[[#This Row],[quality]],Lookups!$H$2:$J$14,3,FALSE),0)</f>
        <v>2251</v>
      </c>
      <c r="BK919" s="6">
        <f>_xlfn.IFNA(VLOOKUP(Grandview_Inventory[[#This Row],[condition]],Lookups!$H$17:$J$24,3,FALSE),0)</f>
        <v>-4503</v>
      </c>
      <c r="BL919" s="6">
        <f>Grandview_Inventory[[#This Row],[Eff_Age]]*Lookups!$B$14</f>
        <v>-11719.163399999999</v>
      </c>
      <c r="BM919" s="6">
        <f>Grandview_Inventory[[#This Row],[living_area]]*Lookups!$B$15</f>
        <v>119085.048377</v>
      </c>
      <c r="BN919" s="6">
        <f>Grandview_Inventory[[#This Row],[Fin BSMT]]*Lookups!$B$16</f>
        <v>-17343.513600000002</v>
      </c>
      <c r="BO919" s="6">
        <f>(Grandview_Inventory[[#This Row],[att_gar]]+Grandview_Inventory[[#This Row],[bltin_gar]])*Lookups!$B$17</f>
        <v>25030.844981999999</v>
      </c>
      <c r="BP919" s="6">
        <f>Grandview_Inventory[[#This Row],[Plumbing Fixtures]]*Lookups!$B$18</f>
        <v>16083.5344</v>
      </c>
      <c r="BQ919" s="6">
        <f>Grandview_Inventory[[#This Row],[detatched_value]]*Lookups!$B$19</f>
        <v>0</v>
      </c>
      <c r="BR919" s="6">
        <f>SUM(Grandview_Inventory[[#This Row],[Intercept]:[det_value]])*Grandview_Inventory[[#This Row],[res_pct]]</f>
        <v>284718.70075900003</v>
      </c>
      <c r="BS919" s="6">
        <f>Grandview_Inventory[[#This Row],[land_value]]</f>
        <v>47528.228511015397</v>
      </c>
      <c r="BT919" s="4">
        <f>_xlfn.IFNA(VLOOKUP(Grandview_Inventory[[#This Row],[quality]],Lookups!$A$26:$C$33,3,FALSE),1)</f>
        <v>0.98763855981004833</v>
      </c>
      <c r="BU919" s="4">
        <f>_xlfn.IFNA(VLOOKUP(Grandview_Inventory[[#This Row],[condition]],Lookups!$A$37:$C$44,3,FALSE),1)</f>
        <v>0.96469275950863709</v>
      </c>
      <c r="BV919" s="4">
        <f>IF(Grandview_Inventory[[#This Row],[bldg_style]]="",1,_xlfn.IFNA(VLOOKUP(Grandview_Inventory[[#This Row],[decade]],Lookups!$F$29:$H$43,3,FALSE),1))</f>
        <v>0.99472141305414818</v>
      </c>
      <c r="BW919" s="4">
        <f>_xlfn.IFNA(VLOOKUP(Grandview_Inventory[[#This Row],[living_area_range]],Lookups!$F$47:$H$56,3,FALSE),1)</f>
        <v>0.96120133463014379</v>
      </c>
      <c r="BX919" s="4">
        <f>AVERAGE(Grandview_Inventory[[#This Row],[qual_adj]:[size_adj]])</f>
        <v>0.97706351675074443</v>
      </c>
      <c r="BY919" s="6">
        <f>IF(Grandview_Inventory[[#This Row],[pre_res]]&lt;0,0,Grandview_Inventory[[#This Row],[pre_res]]*Grandview_Inventory[[#This Row],[overall_adj]])</f>
        <v>278188.25504829141</v>
      </c>
      <c r="BZ919" s="6">
        <f>(Grandview_Inventory[[#This Row],[sum_land]]-IF(Grandview_Inventory[[#This Row],[no_utilities]]=1,12000,0))/IF(Grandview_Inventory[[#This Row],[unbuildable]]=1,2,1)</f>
        <v>47528.228511015397</v>
      </c>
      <c r="CA91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19">
        <f>ROUND(Grandview_Inventory[[#This Row],[det_value]]*Lookups!$M$28,-2)</f>
        <v>0</v>
      </c>
      <c r="CC919">
        <f>IF(ROUND(Grandview_Inventory[[#This Row],[adj_res]]*Lookups!$M$28,-2)&lt;Grandview_Inventory[[#This Row],[min_res]],Grandview_Inventory[[#This Row],[min_res]],ROUND(Grandview_Inventory[[#This Row],[adj_res]]*Lookups!$M$28,-2))</f>
        <v>264300</v>
      </c>
      <c r="CD919">
        <f>Grandview_Inventory[[#This Row],[final_det]]+Grandview_Inventory[[#This Row],[final_res]]</f>
        <v>264300</v>
      </c>
      <c r="CE919">
        <f>Grandview_Inventory[[#This Row],[final_land]]+Grandview_Inventory[[#This Row],[final_imp]]+Grandview_Inventory[[#This Row],[crop_value]]</f>
        <v>309500</v>
      </c>
      <c r="CG919" t="str">
        <f t="shared" si="14"/>
        <v>update valuation set market_land =45200, market_bldg=264300, market_total =309500, market_mdno =401, market_date ='9/10/2023' where link_id = (select link_id from parcel where parcel_year = '2024' and parcel_id = '23092241446');</v>
      </c>
    </row>
    <row r="920" spans="1:85" x14ac:dyDescent="0.25">
      <c r="A920">
        <v>23092241447</v>
      </c>
      <c r="B920">
        <v>0.18</v>
      </c>
      <c r="C920">
        <v>8047</v>
      </c>
      <c r="D920" t="s">
        <v>129</v>
      </c>
      <c r="E920" t="s">
        <v>53</v>
      </c>
      <c r="F920" t="s">
        <v>53</v>
      </c>
      <c r="G920">
        <v>4</v>
      </c>
      <c r="H920" t="s">
        <v>54</v>
      </c>
      <c r="I920">
        <v>211800</v>
      </c>
      <c r="J920">
        <v>39000</v>
      </c>
      <c r="K920">
        <v>0.18</v>
      </c>
      <c r="L92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20">
        <v>0</v>
      </c>
      <c r="N920">
        <v>0</v>
      </c>
      <c r="O920">
        <v>0</v>
      </c>
      <c r="P920">
        <v>13398.7528</v>
      </c>
      <c r="Q920">
        <v>63903</v>
      </c>
      <c r="R920">
        <f>(Grandview_Inventory[[#This Row],[ln_acres]]*Grandview_Inventory[[#This Row],[coeff]])+Grandview_Inventory[[#This Row],[const]]</f>
        <v>40926.839760167699</v>
      </c>
      <c r="S920" t="s">
        <v>68</v>
      </c>
      <c r="T920">
        <v>1</v>
      </c>
      <c r="U920" t="s">
        <v>65</v>
      </c>
      <c r="V920" t="s">
        <v>67</v>
      </c>
      <c r="W920">
        <v>0</v>
      </c>
      <c r="X920">
        <v>0</v>
      </c>
      <c r="Y920">
        <v>49</v>
      </c>
      <c r="Z920">
        <v>68</v>
      </c>
      <c r="AA920">
        <v>70</v>
      </c>
      <c r="AB920">
        <v>2000</v>
      </c>
      <c r="AC920">
        <v>1777</v>
      </c>
      <c r="AD920">
        <v>1183</v>
      </c>
      <c r="AE920">
        <v>0</v>
      </c>
      <c r="AF920">
        <v>0</v>
      </c>
      <c r="AG920">
        <v>594</v>
      </c>
      <c r="AH920">
        <v>589</v>
      </c>
      <c r="AI920">
        <v>392</v>
      </c>
      <c r="AJ920">
        <v>0</v>
      </c>
      <c r="AK920">
        <v>0</v>
      </c>
      <c r="AL920">
        <v>0</v>
      </c>
      <c r="AM920">
        <v>252</v>
      </c>
      <c r="AN920">
        <v>0</v>
      </c>
      <c r="AO920">
        <v>0</v>
      </c>
      <c r="AP920">
        <v>9</v>
      </c>
      <c r="AQ920">
        <v>0</v>
      </c>
      <c r="AR920">
        <v>1</v>
      </c>
      <c r="AS920" t="s">
        <v>58</v>
      </c>
      <c r="AT920">
        <v>1</v>
      </c>
      <c r="AU920" t="s">
        <v>59</v>
      </c>
      <c r="AV920" t="s">
        <v>64</v>
      </c>
      <c r="AW920">
        <v>1</v>
      </c>
      <c r="AX920">
        <v>3</v>
      </c>
      <c r="AY920">
        <v>0</v>
      </c>
      <c r="AZ920">
        <v>0</v>
      </c>
      <c r="BA920">
        <v>100</v>
      </c>
      <c r="BB920">
        <v>100</v>
      </c>
      <c r="BC920">
        <v>100</v>
      </c>
      <c r="BD920">
        <v>100</v>
      </c>
      <c r="BE920">
        <v>1</v>
      </c>
      <c r="BF920">
        <v>15000</v>
      </c>
      <c r="BG920">
        <v>1000</v>
      </c>
      <c r="BH920" s="6">
        <f>Grandview_Inventory[[#This Row],[land_extract]]*Lookups!$B$3</f>
        <v>47528.228511015397</v>
      </c>
      <c r="BI920" s="6">
        <f>IF(Grandview_Inventory[[#This Row],[bldg_style]]="",0,Lookups!$B$2)</f>
        <v>155833.95000000001</v>
      </c>
      <c r="BJ920" s="6">
        <f>_xlfn.IFNA(VLOOKUP(Grandview_Inventory[[#This Row],[quality]],Lookups!$H$2:$J$14,3,FALSE),0)</f>
        <v>2251</v>
      </c>
      <c r="BK920" s="6">
        <f>_xlfn.IFNA(VLOOKUP(Grandview_Inventory[[#This Row],[condition]],Lookups!$H$17:$J$24,3,FALSE),0)</f>
        <v>22342</v>
      </c>
      <c r="BL920" s="6">
        <f>Grandview_Inventory[[#This Row],[Eff_Age]]*Lookups!$B$14</f>
        <v>-11719.163399999999</v>
      </c>
      <c r="BM920" s="6">
        <f>Grandview_Inventory[[#This Row],[living_area]]*Lookups!$B$15</f>
        <v>110850.775781</v>
      </c>
      <c r="BN920" s="6">
        <f>Grandview_Inventory[[#This Row],[Fin BSMT]]*Lookups!$B$16</f>
        <v>-16096.948560000001</v>
      </c>
      <c r="BO920" s="6">
        <f>(Grandview_Inventory[[#This Row],[att_gar]]+Grandview_Inventory[[#This Row],[bltin_gar]])*Lookups!$B$17</f>
        <v>34308.011304</v>
      </c>
      <c r="BP920" s="6">
        <f>Grandview_Inventory[[#This Row],[Plumbing Fixtures]]*Lookups!$B$18</f>
        <v>18093.976200000001</v>
      </c>
      <c r="BQ920" s="6">
        <f>Grandview_Inventory[[#This Row],[detatched_value]]*Lookups!$B$19</f>
        <v>0</v>
      </c>
      <c r="BR920" s="6">
        <f>SUM(Grandview_Inventory[[#This Row],[Intercept]:[det_value]])*Grandview_Inventory[[#This Row],[res_pct]]</f>
        <v>315863.601325</v>
      </c>
      <c r="BS920" s="6">
        <f>Grandview_Inventory[[#This Row],[land_value]]</f>
        <v>47528.228511015397</v>
      </c>
      <c r="BT920" s="4">
        <f>_xlfn.IFNA(VLOOKUP(Grandview_Inventory[[#This Row],[quality]],Lookups!$A$26:$C$33,3,FALSE),1)</f>
        <v>0.98763855981004833</v>
      </c>
      <c r="BU920" s="4">
        <f>_xlfn.IFNA(VLOOKUP(Grandview_Inventory[[#This Row],[condition]],Lookups!$A$37:$C$44,3,FALSE),1)</f>
        <v>0.97383723671140243</v>
      </c>
      <c r="BV920" s="4">
        <f>IF(Grandview_Inventory[[#This Row],[bldg_style]]="",1,_xlfn.IFNA(VLOOKUP(Grandview_Inventory[[#This Row],[decade]],Lookups!$F$29:$H$43,3,FALSE),1))</f>
        <v>0.99472141305414818</v>
      </c>
      <c r="BW920" s="4">
        <f>_xlfn.IFNA(VLOOKUP(Grandview_Inventory[[#This Row],[living_area_range]],Lookups!$F$47:$H$56,3,FALSE),1)</f>
        <v>0.96120133463014379</v>
      </c>
      <c r="BX920" s="4">
        <f>AVERAGE(Grandview_Inventory[[#This Row],[qual_adj]:[size_adj]])</f>
        <v>0.97934963605143577</v>
      </c>
      <c r="BY920" s="6">
        <f>IF(Grandview_Inventory[[#This Row],[pre_res]]&lt;0,0,Grandview_Inventory[[#This Row],[pre_res]]*Grandview_Inventory[[#This Row],[overall_adj]])</f>
        <v>309340.90299953456</v>
      </c>
      <c r="BZ920" s="6">
        <f>(Grandview_Inventory[[#This Row],[sum_land]]-IF(Grandview_Inventory[[#This Row],[no_utilities]]=1,12000,0))/IF(Grandview_Inventory[[#This Row],[unbuildable]]=1,2,1)</f>
        <v>47528.228511015397</v>
      </c>
      <c r="CA92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20">
        <f>ROUND(Grandview_Inventory[[#This Row],[det_value]]*Lookups!$M$28,-2)</f>
        <v>0</v>
      </c>
      <c r="CC920">
        <f>IF(ROUND(Grandview_Inventory[[#This Row],[adj_res]]*Lookups!$M$28,-2)&lt;Grandview_Inventory[[#This Row],[min_res]],Grandview_Inventory[[#This Row],[min_res]],ROUND(Grandview_Inventory[[#This Row],[adj_res]]*Lookups!$M$28,-2))</f>
        <v>293900</v>
      </c>
      <c r="CD920">
        <f>Grandview_Inventory[[#This Row],[final_det]]+Grandview_Inventory[[#This Row],[final_res]]</f>
        <v>293900</v>
      </c>
      <c r="CE920">
        <f>Grandview_Inventory[[#This Row],[final_land]]+Grandview_Inventory[[#This Row],[final_imp]]+Grandview_Inventory[[#This Row],[crop_value]]</f>
        <v>339100</v>
      </c>
      <c r="CG920" t="str">
        <f t="shared" si="14"/>
        <v>update valuation set market_land =45200, market_bldg=293900, market_total =339100, market_mdno =401, market_date ='9/10/2023' where link_id = (select link_id from parcel where parcel_year = '2024' and parcel_id = '23092241447');</v>
      </c>
    </row>
    <row r="921" spans="1:85" x14ac:dyDescent="0.25">
      <c r="A921">
        <v>23092241448</v>
      </c>
      <c r="B921">
        <v>0.18</v>
      </c>
      <c r="C921">
        <v>8047</v>
      </c>
      <c r="D921" t="s">
        <v>129</v>
      </c>
      <c r="E921" t="s">
        <v>53</v>
      </c>
      <c r="F921" t="s">
        <v>53</v>
      </c>
      <c r="G921">
        <v>4</v>
      </c>
      <c r="H921" t="s">
        <v>54</v>
      </c>
      <c r="I921">
        <v>280800</v>
      </c>
      <c r="J921">
        <v>43300</v>
      </c>
      <c r="K921">
        <v>0.18</v>
      </c>
      <c r="L9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21">
        <v>0</v>
      </c>
      <c r="N921">
        <v>0</v>
      </c>
      <c r="O921">
        <v>0</v>
      </c>
      <c r="P921">
        <v>13398.7528</v>
      </c>
      <c r="Q921">
        <v>63903</v>
      </c>
      <c r="R921">
        <f>(Grandview_Inventory[[#This Row],[ln_acres]]*Grandview_Inventory[[#This Row],[coeff]])+Grandview_Inventory[[#This Row],[const]]</f>
        <v>40926.839760167699</v>
      </c>
      <c r="S921" t="s">
        <v>74</v>
      </c>
      <c r="T921">
        <v>1</v>
      </c>
      <c r="U921" t="s">
        <v>62</v>
      </c>
      <c r="V921" t="s">
        <v>67</v>
      </c>
      <c r="W921">
        <v>0</v>
      </c>
      <c r="X921">
        <v>0</v>
      </c>
      <c r="Y921">
        <v>47</v>
      </c>
      <c r="Z921">
        <v>58</v>
      </c>
      <c r="AA921">
        <v>60</v>
      </c>
      <c r="AB921">
        <v>2000</v>
      </c>
      <c r="AC921">
        <v>1880</v>
      </c>
      <c r="AD921">
        <v>1286</v>
      </c>
      <c r="AE921">
        <v>0</v>
      </c>
      <c r="AF921">
        <v>0</v>
      </c>
      <c r="AG921">
        <v>594</v>
      </c>
      <c r="AH921">
        <v>0</v>
      </c>
      <c r="AI921">
        <v>312</v>
      </c>
      <c r="AJ921">
        <v>0</v>
      </c>
      <c r="AK921">
        <v>0</v>
      </c>
      <c r="AL921">
        <v>0</v>
      </c>
      <c r="AM921">
        <v>192</v>
      </c>
      <c r="AN921">
        <v>0</v>
      </c>
      <c r="AO921">
        <v>0</v>
      </c>
      <c r="AP921">
        <v>10</v>
      </c>
      <c r="AQ921">
        <v>0</v>
      </c>
      <c r="AR921">
        <v>2</v>
      </c>
      <c r="AS921" t="s">
        <v>58</v>
      </c>
      <c r="AT921">
        <v>1</v>
      </c>
      <c r="AU921" t="s">
        <v>63</v>
      </c>
      <c r="AV921" t="s">
        <v>64</v>
      </c>
      <c r="AW921">
        <v>1</v>
      </c>
      <c r="AX921">
        <v>3</v>
      </c>
      <c r="AY921">
        <v>0</v>
      </c>
      <c r="AZ921">
        <v>0</v>
      </c>
      <c r="BA921">
        <v>100</v>
      </c>
      <c r="BB921">
        <v>100</v>
      </c>
      <c r="BC921">
        <v>100</v>
      </c>
      <c r="BD921">
        <v>100</v>
      </c>
      <c r="BE921">
        <v>1</v>
      </c>
      <c r="BF921">
        <v>15000</v>
      </c>
      <c r="BG921">
        <v>1000</v>
      </c>
      <c r="BH921" s="6">
        <f>Grandview_Inventory[[#This Row],[land_extract]]*Lookups!$B$3</f>
        <v>47528.228511015397</v>
      </c>
      <c r="BI921" s="6">
        <f>IF(Grandview_Inventory[[#This Row],[bldg_style]]="",0,Lookups!$B$2)</f>
        <v>155833.95000000001</v>
      </c>
      <c r="BJ921" s="6">
        <f>_xlfn.IFNA(VLOOKUP(Grandview_Inventory[[#This Row],[quality]],Lookups!$H$2:$J$14,3,FALSE),0)</f>
        <v>9808</v>
      </c>
      <c r="BK921" s="6">
        <f>_xlfn.IFNA(VLOOKUP(Grandview_Inventory[[#This Row],[condition]],Lookups!$H$17:$J$24,3,FALSE),0)</f>
        <v>22342</v>
      </c>
      <c r="BL921" s="6">
        <f>Grandview_Inventory[[#This Row],[Eff_Age]]*Lookups!$B$14</f>
        <v>-11240.8302</v>
      </c>
      <c r="BM921" s="6">
        <f>Grandview_Inventory[[#This Row],[living_area]]*Lookups!$B$15</f>
        <v>117276.00364000001</v>
      </c>
      <c r="BN921" s="6">
        <f>Grandview_Inventory[[#This Row],[Fin BSMT]]*Lookups!$B$16</f>
        <v>-16096.948560000001</v>
      </c>
      <c r="BO921" s="6">
        <f>(Grandview_Inventory[[#This Row],[att_gar]]+Grandview_Inventory[[#This Row],[bltin_gar]])*Lookups!$B$17</f>
        <v>27306.376344</v>
      </c>
      <c r="BP921" s="6">
        <f>Grandview_Inventory[[#This Row],[Plumbing Fixtures]]*Lookups!$B$18</f>
        <v>20104.418000000001</v>
      </c>
      <c r="BQ921" s="6">
        <f>Grandview_Inventory[[#This Row],[detatched_value]]*Lookups!$B$19</f>
        <v>0</v>
      </c>
      <c r="BR921" s="6">
        <f>SUM(Grandview_Inventory[[#This Row],[Intercept]:[det_value]])*Grandview_Inventory[[#This Row],[res_pct]]</f>
        <v>325332.969224</v>
      </c>
      <c r="BS921" s="6">
        <f>Grandview_Inventory[[#This Row],[land_value]]</f>
        <v>47528.228511015397</v>
      </c>
      <c r="BT921" s="4">
        <f>_xlfn.IFNA(VLOOKUP(Grandview_Inventory[[#This Row],[quality]],Lookups!$A$26:$C$33,3,FALSE),1)</f>
        <v>0.94295468617355149</v>
      </c>
      <c r="BU921" s="4">
        <f>_xlfn.IFNA(VLOOKUP(Grandview_Inventory[[#This Row],[condition]],Lookups!$A$37:$C$44,3,FALSE),1)</f>
        <v>0.97383723671140243</v>
      </c>
      <c r="BV921" s="4">
        <f>IF(Grandview_Inventory[[#This Row],[bldg_style]]="",1,_xlfn.IFNA(VLOOKUP(Grandview_Inventory[[#This Row],[decade]],Lookups!$F$29:$H$43,3,FALSE),1))</f>
        <v>0.95268620544463312</v>
      </c>
      <c r="BW921" s="4">
        <f>_xlfn.IFNA(VLOOKUP(Grandview_Inventory[[#This Row],[living_area_range]],Lookups!$F$47:$H$56,3,FALSE),1)</f>
        <v>0.96120133463014379</v>
      </c>
      <c r="BX921" s="4">
        <f>AVERAGE(Grandview_Inventory[[#This Row],[qual_adj]:[size_adj]])</f>
        <v>0.95766986573993274</v>
      </c>
      <c r="BY921" s="6">
        <f>IF(Grandview_Inventory[[#This Row],[pre_res]]&lt;0,0,Grandview_Inventory[[#This Row],[pre_res]]*Grandview_Inventory[[#This Row],[overall_adj]])</f>
        <v>311561.58095752174</v>
      </c>
      <c r="BZ921" s="6">
        <f>(Grandview_Inventory[[#This Row],[sum_land]]-IF(Grandview_Inventory[[#This Row],[no_utilities]]=1,12000,0))/IF(Grandview_Inventory[[#This Row],[unbuildable]]=1,2,1)</f>
        <v>47528.228511015397</v>
      </c>
      <c r="CA9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21">
        <f>ROUND(Grandview_Inventory[[#This Row],[det_value]]*Lookups!$M$28,-2)</f>
        <v>0</v>
      </c>
      <c r="CC921">
        <f>IF(ROUND(Grandview_Inventory[[#This Row],[adj_res]]*Lookups!$M$28,-2)&lt;Grandview_Inventory[[#This Row],[min_res]],Grandview_Inventory[[#This Row],[min_res]],ROUND(Grandview_Inventory[[#This Row],[adj_res]]*Lookups!$M$28,-2))</f>
        <v>296000</v>
      </c>
      <c r="CD921">
        <f>Grandview_Inventory[[#This Row],[final_det]]+Grandview_Inventory[[#This Row],[final_res]]</f>
        <v>296000</v>
      </c>
      <c r="CE921">
        <f>Grandview_Inventory[[#This Row],[final_land]]+Grandview_Inventory[[#This Row],[final_imp]]+Grandview_Inventory[[#This Row],[crop_value]]</f>
        <v>341200</v>
      </c>
      <c r="CG921" t="str">
        <f t="shared" si="14"/>
        <v>update valuation set market_land =45200, market_bldg=296000, market_total =341200, market_mdno =401, market_date ='9/10/2023' where link_id = (select link_id from parcel where parcel_year = '2024' and parcel_id = '23092241448');</v>
      </c>
    </row>
    <row r="922" spans="1:85" x14ac:dyDescent="0.25">
      <c r="A922">
        <v>23092241449</v>
      </c>
      <c r="B922">
        <v>0.18</v>
      </c>
      <c r="C922">
        <v>8047</v>
      </c>
      <c r="D922" t="s">
        <v>129</v>
      </c>
      <c r="E922" t="s">
        <v>53</v>
      </c>
      <c r="F922" t="s">
        <v>53</v>
      </c>
      <c r="G922">
        <v>4</v>
      </c>
      <c r="H922" t="s">
        <v>54</v>
      </c>
      <c r="I922">
        <v>178200</v>
      </c>
      <c r="J922">
        <v>43300</v>
      </c>
      <c r="K922">
        <v>0.18</v>
      </c>
      <c r="L92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22">
        <v>0</v>
      </c>
      <c r="N922">
        <v>0</v>
      </c>
      <c r="O922">
        <v>0</v>
      </c>
      <c r="P922">
        <v>13398.7528</v>
      </c>
      <c r="Q922">
        <v>63903</v>
      </c>
      <c r="R922">
        <f>(Grandview_Inventory[[#This Row],[ln_acres]]*Grandview_Inventory[[#This Row],[coeff]])+Grandview_Inventory[[#This Row],[const]]</f>
        <v>40926.839760167699</v>
      </c>
      <c r="S922" t="s">
        <v>61</v>
      </c>
      <c r="T922">
        <v>1</v>
      </c>
      <c r="U922" t="s">
        <v>70</v>
      </c>
      <c r="V922" t="s">
        <v>69</v>
      </c>
      <c r="W922">
        <v>0</v>
      </c>
      <c r="X922">
        <v>0</v>
      </c>
      <c r="Y922">
        <v>49</v>
      </c>
      <c r="Z922">
        <v>65</v>
      </c>
      <c r="AA922">
        <v>70</v>
      </c>
      <c r="AB922">
        <v>2000</v>
      </c>
      <c r="AC922">
        <v>1778</v>
      </c>
      <c r="AD922">
        <v>1422</v>
      </c>
      <c r="AE922">
        <v>0</v>
      </c>
      <c r="AF922">
        <v>0</v>
      </c>
      <c r="AG922">
        <v>356</v>
      </c>
      <c r="AH922">
        <v>1066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8</v>
      </c>
      <c r="AQ922">
        <v>0</v>
      </c>
      <c r="AR922">
        <v>0</v>
      </c>
      <c r="AS922" t="s">
        <v>58</v>
      </c>
      <c r="AT922">
        <v>1</v>
      </c>
      <c r="AU922" t="s">
        <v>63</v>
      </c>
      <c r="AV922" t="s">
        <v>60</v>
      </c>
      <c r="AW922">
        <v>1</v>
      </c>
      <c r="AX922">
        <v>3</v>
      </c>
      <c r="AY922">
        <v>0</v>
      </c>
      <c r="AZ922">
        <v>0</v>
      </c>
      <c r="BA922">
        <v>100</v>
      </c>
      <c r="BB922">
        <v>100</v>
      </c>
      <c r="BC922">
        <v>100</v>
      </c>
      <c r="BD922">
        <v>100</v>
      </c>
      <c r="BE922">
        <v>1</v>
      </c>
      <c r="BF922">
        <v>15000</v>
      </c>
      <c r="BG922">
        <v>1000</v>
      </c>
      <c r="BH922" s="6">
        <f>Grandview_Inventory[[#This Row],[land_extract]]*Lookups!$B$3</f>
        <v>47528.228511015397</v>
      </c>
      <c r="BI922" s="6">
        <f>IF(Grandview_Inventory[[#This Row],[bldg_style]]="",0,Lookups!$B$2)</f>
        <v>155833.95000000001</v>
      </c>
      <c r="BJ922" s="6">
        <f>_xlfn.IFNA(VLOOKUP(Grandview_Inventory[[#This Row],[quality]],Lookups!$H$2:$J$14,3,FALSE),0)</f>
        <v>10733</v>
      </c>
      <c r="BK922" s="6">
        <f>_xlfn.IFNA(VLOOKUP(Grandview_Inventory[[#This Row],[condition]],Lookups!$H$17:$J$24,3,FALSE),0)</f>
        <v>-4503</v>
      </c>
      <c r="BL922" s="6">
        <f>Grandview_Inventory[[#This Row],[Eff_Age]]*Lookups!$B$14</f>
        <v>-11719.163399999999</v>
      </c>
      <c r="BM922" s="6">
        <f>Grandview_Inventory[[#This Row],[living_area]]*Lookups!$B$15</f>
        <v>110913.156634</v>
      </c>
      <c r="BN922" s="6">
        <f>Grandview_Inventory[[#This Row],[Fin BSMT]]*Lookups!$B$16</f>
        <v>-9647.3294400000013</v>
      </c>
      <c r="BO922" s="6">
        <f>(Grandview_Inventory[[#This Row],[att_gar]]+Grandview_Inventory[[#This Row],[bltin_gar]])*Lookups!$B$17</f>
        <v>0</v>
      </c>
      <c r="BP922" s="6">
        <f>Grandview_Inventory[[#This Row],[Plumbing Fixtures]]*Lookups!$B$18</f>
        <v>16083.5344</v>
      </c>
      <c r="BQ922" s="6">
        <f>Grandview_Inventory[[#This Row],[detatched_value]]*Lookups!$B$19</f>
        <v>0</v>
      </c>
      <c r="BR922" s="6">
        <f>SUM(Grandview_Inventory[[#This Row],[Intercept]:[det_value]])*Grandview_Inventory[[#This Row],[res_pct]]</f>
        <v>267694.14819400001</v>
      </c>
      <c r="BS922" s="6">
        <f>Grandview_Inventory[[#This Row],[land_value]]</f>
        <v>47528.228511015397</v>
      </c>
      <c r="BT922" s="4">
        <f>_xlfn.IFNA(VLOOKUP(Grandview_Inventory[[#This Row],[quality]],Lookups!$A$26:$C$33,3,FALSE),1)</f>
        <v>0.98079741117310582</v>
      </c>
      <c r="BU922" s="4">
        <f>_xlfn.IFNA(VLOOKUP(Grandview_Inventory[[#This Row],[condition]],Lookups!$A$37:$C$44,3,FALSE),1)</f>
        <v>0.96469275950863709</v>
      </c>
      <c r="BV922" s="4">
        <f>IF(Grandview_Inventory[[#This Row],[bldg_style]]="",1,_xlfn.IFNA(VLOOKUP(Grandview_Inventory[[#This Row],[decade]],Lookups!$F$29:$H$43,3,FALSE),1))</f>
        <v>0.99472141305414818</v>
      </c>
      <c r="BW922" s="4">
        <f>_xlfn.IFNA(VLOOKUP(Grandview_Inventory[[#This Row],[living_area_range]],Lookups!$F$47:$H$56,3,FALSE),1)</f>
        <v>0.96120133463014379</v>
      </c>
      <c r="BX922" s="4">
        <f>AVERAGE(Grandview_Inventory[[#This Row],[qual_adj]:[size_adj]])</f>
        <v>0.97535322959150883</v>
      </c>
      <c r="BY922" s="6">
        <f>IF(Grandview_Inventory[[#This Row],[pre_res]]&lt;0,0,Grandview_Inventory[[#This Row],[pre_res]]*Grandview_Inventory[[#This Row],[overall_adj]])</f>
        <v>261096.35198376587</v>
      </c>
      <c r="BZ922" s="6">
        <f>(Grandview_Inventory[[#This Row],[sum_land]]-IF(Grandview_Inventory[[#This Row],[no_utilities]]=1,12000,0))/IF(Grandview_Inventory[[#This Row],[unbuildable]]=1,2,1)</f>
        <v>47528.228511015397</v>
      </c>
      <c r="CA92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22">
        <f>ROUND(Grandview_Inventory[[#This Row],[det_value]]*Lookups!$M$28,-2)</f>
        <v>0</v>
      </c>
      <c r="CC922">
        <f>IF(ROUND(Grandview_Inventory[[#This Row],[adj_res]]*Lookups!$M$28,-2)&lt;Grandview_Inventory[[#This Row],[min_res]],Grandview_Inventory[[#This Row],[min_res]],ROUND(Grandview_Inventory[[#This Row],[adj_res]]*Lookups!$M$28,-2))</f>
        <v>248000</v>
      </c>
      <c r="CD922">
        <f>Grandview_Inventory[[#This Row],[final_det]]+Grandview_Inventory[[#This Row],[final_res]]</f>
        <v>248000</v>
      </c>
      <c r="CE922">
        <f>Grandview_Inventory[[#This Row],[final_land]]+Grandview_Inventory[[#This Row],[final_imp]]+Grandview_Inventory[[#This Row],[crop_value]]</f>
        <v>293200</v>
      </c>
      <c r="CG922" t="str">
        <f t="shared" si="14"/>
        <v>update valuation set market_land =45200, market_bldg=248000, market_total =293200, market_mdno =401, market_date ='9/10/2023' where link_id = (select link_id from parcel where parcel_year = '2024' and parcel_id = '23092241449');</v>
      </c>
    </row>
    <row r="923" spans="1:85" x14ac:dyDescent="0.25">
      <c r="A923">
        <v>23092241450</v>
      </c>
      <c r="B923">
        <v>0.18</v>
      </c>
      <c r="C923">
        <v>8047</v>
      </c>
      <c r="D923" t="s">
        <v>129</v>
      </c>
      <c r="E923" t="s">
        <v>53</v>
      </c>
      <c r="F923" t="s">
        <v>53</v>
      </c>
      <c r="G923">
        <v>4</v>
      </c>
      <c r="H923" t="s">
        <v>54</v>
      </c>
      <c r="I923">
        <v>190900</v>
      </c>
      <c r="J923">
        <v>43300</v>
      </c>
      <c r="K923">
        <v>0.18</v>
      </c>
      <c r="L92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23">
        <v>0</v>
      </c>
      <c r="N923">
        <v>0</v>
      </c>
      <c r="O923">
        <v>0</v>
      </c>
      <c r="P923">
        <v>13398.7528</v>
      </c>
      <c r="Q923">
        <v>63903</v>
      </c>
      <c r="R923">
        <f>(Grandview_Inventory[[#This Row],[ln_acres]]*Grandview_Inventory[[#This Row],[coeff]])+Grandview_Inventory[[#This Row],[const]]</f>
        <v>40926.839760167699</v>
      </c>
      <c r="S923" t="s">
        <v>61</v>
      </c>
      <c r="T923">
        <v>1</v>
      </c>
      <c r="U923" t="s">
        <v>62</v>
      </c>
      <c r="V923" t="s">
        <v>69</v>
      </c>
      <c r="W923">
        <v>0</v>
      </c>
      <c r="X923">
        <v>0</v>
      </c>
      <c r="Y923">
        <v>49</v>
      </c>
      <c r="Z923">
        <v>65</v>
      </c>
      <c r="AA923">
        <v>70</v>
      </c>
      <c r="AB923">
        <v>1500</v>
      </c>
      <c r="AC923">
        <v>1459</v>
      </c>
      <c r="AD923">
        <v>1459</v>
      </c>
      <c r="AE923">
        <v>0</v>
      </c>
      <c r="AF923">
        <v>0</v>
      </c>
      <c r="AG923">
        <v>0</v>
      </c>
      <c r="AH923">
        <v>0</v>
      </c>
      <c r="AI923">
        <v>290</v>
      </c>
      <c r="AJ923">
        <v>0</v>
      </c>
      <c r="AK923">
        <v>165</v>
      </c>
      <c r="AL923">
        <v>0</v>
      </c>
      <c r="AM923">
        <v>320</v>
      </c>
      <c r="AN923">
        <v>0</v>
      </c>
      <c r="AO923">
        <v>320</v>
      </c>
      <c r="AP923">
        <v>8</v>
      </c>
      <c r="AQ923">
        <v>0</v>
      </c>
      <c r="AR923">
        <v>1</v>
      </c>
      <c r="AS923" t="s">
        <v>58</v>
      </c>
      <c r="AT923">
        <v>1</v>
      </c>
      <c r="AU923" t="s">
        <v>59</v>
      </c>
      <c r="AV923" t="s">
        <v>60</v>
      </c>
      <c r="AW923">
        <v>1</v>
      </c>
      <c r="AX923">
        <v>3</v>
      </c>
      <c r="AY923">
        <v>0</v>
      </c>
      <c r="AZ923">
        <v>0</v>
      </c>
      <c r="BA923">
        <v>100</v>
      </c>
      <c r="BB923">
        <v>100</v>
      </c>
      <c r="BC923">
        <v>100</v>
      </c>
      <c r="BD923">
        <v>100</v>
      </c>
      <c r="BE923">
        <v>1</v>
      </c>
      <c r="BF923">
        <v>15000</v>
      </c>
      <c r="BG923">
        <v>1000</v>
      </c>
      <c r="BH923" s="6">
        <f>Grandview_Inventory[[#This Row],[land_extract]]*Lookups!$B$3</f>
        <v>47528.228511015397</v>
      </c>
      <c r="BI923" s="6">
        <f>IF(Grandview_Inventory[[#This Row],[bldg_style]]="",0,Lookups!$B$2)</f>
        <v>155833.95000000001</v>
      </c>
      <c r="BJ923" s="6">
        <f>_xlfn.IFNA(VLOOKUP(Grandview_Inventory[[#This Row],[quality]],Lookups!$H$2:$J$14,3,FALSE),0)</f>
        <v>9808</v>
      </c>
      <c r="BK923" s="6">
        <f>_xlfn.IFNA(VLOOKUP(Grandview_Inventory[[#This Row],[condition]],Lookups!$H$17:$J$24,3,FALSE),0)</f>
        <v>-4503</v>
      </c>
      <c r="BL923" s="6">
        <f>Grandview_Inventory[[#This Row],[Eff_Age]]*Lookups!$B$14</f>
        <v>-11719.163399999999</v>
      </c>
      <c r="BM923" s="6">
        <f>Grandview_Inventory[[#This Row],[living_area]]*Lookups!$B$15</f>
        <v>91013.664527000001</v>
      </c>
      <c r="BN923" s="6">
        <f>Grandview_Inventory[[#This Row],[Fin BSMT]]*Lookups!$B$16</f>
        <v>0</v>
      </c>
      <c r="BO923" s="6">
        <f>(Grandview_Inventory[[#This Row],[att_gar]]+Grandview_Inventory[[#This Row],[bltin_gar]])*Lookups!$B$17</f>
        <v>25380.926729999999</v>
      </c>
      <c r="BP923" s="6">
        <f>Grandview_Inventory[[#This Row],[Plumbing Fixtures]]*Lookups!$B$18</f>
        <v>16083.5344</v>
      </c>
      <c r="BQ923" s="6">
        <f>Grandview_Inventory[[#This Row],[detatched_value]]*Lookups!$B$19</f>
        <v>0</v>
      </c>
      <c r="BR923" s="6">
        <f>SUM(Grandview_Inventory[[#This Row],[Intercept]:[det_value]])*Grandview_Inventory[[#This Row],[res_pct]]</f>
        <v>281897.91225700005</v>
      </c>
      <c r="BS923" s="6">
        <f>Grandview_Inventory[[#This Row],[land_value]]</f>
        <v>47528.228511015397</v>
      </c>
      <c r="BT923" s="4">
        <f>_xlfn.IFNA(VLOOKUP(Grandview_Inventory[[#This Row],[quality]],Lookups!$A$26:$C$33,3,FALSE),1)</f>
        <v>0.94295468617355149</v>
      </c>
      <c r="BU923" s="4">
        <f>_xlfn.IFNA(VLOOKUP(Grandview_Inventory[[#This Row],[condition]],Lookups!$A$37:$C$44,3,FALSE),1)</f>
        <v>0.96469275950863709</v>
      </c>
      <c r="BV923" s="4">
        <f>IF(Grandview_Inventory[[#This Row],[bldg_style]]="",1,_xlfn.IFNA(VLOOKUP(Grandview_Inventory[[#This Row],[decade]],Lookups!$F$29:$H$43,3,FALSE),1))</f>
        <v>0.99472141305414818</v>
      </c>
      <c r="BW923" s="4">
        <f>_xlfn.IFNA(VLOOKUP(Grandview_Inventory[[#This Row],[living_area_range]],Lookups!$F$47:$H$56,3,FALSE),1)</f>
        <v>0.96135087979789358</v>
      </c>
      <c r="BX923" s="4">
        <f>AVERAGE(Grandview_Inventory[[#This Row],[qual_adj]:[size_adj]])</f>
        <v>0.96592993463355759</v>
      </c>
      <c r="BY923" s="6">
        <f>IF(Grandview_Inventory[[#This Row],[pre_res]]&lt;0,0,Grandview_Inventory[[#This Row],[pre_res]]*Grandview_Inventory[[#This Row],[overall_adj]])</f>
        <v>272293.63195974042</v>
      </c>
      <c r="BZ923" s="6">
        <f>(Grandview_Inventory[[#This Row],[sum_land]]-IF(Grandview_Inventory[[#This Row],[no_utilities]]=1,12000,0))/IF(Grandview_Inventory[[#This Row],[unbuildable]]=1,2,1)</f>
        <v>47528.228511015397</v>
      </c>
      <c r="CA92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23">
        <f>ROUND(Grandview_Inventory[[#This Row],[det_value]]*Lookups!$M$28,-2)</f>
        <v>0</v>
      </c>
      <c r="CC923">
        <f>IF(ROUND(Grandview_Inventory[[#This Row],[adj_res]]*Lookups!$M$28,-2)&lt;Grandview_Inventory[[#This Row],[min_res]],Grandview_Inventory[[#This Row],[min_res]],ROUND(Grandview_Inventory[[#This Row],[adj_res]]*Lookups!$M$28,-2))</f>
        <v>258700</v>
      </c>
      <c r="CD923">
        <f>Grandview_Inventory[[#This Row],[final_det]]+Grandview_Inventory[[#This Row],[final_res]]</f>
        <v>258700</v>
      </c>
      <c r="CE923">
        <f>Grandview_Inventory[[#This Row],[final_land]]+Grandview_Inventory[[#This Row],[final_imp]]+Grandview_Inventory[[#This Row],[crop_value]]</f>
        <v>303900</v>
      </c>
      <c r="CG923" t="str">
        <f t="shared" si="14"/>
        <v>update valuation set market_land =45200, market_bldg=258700, market_total =303900, market_mdno =401, market_date ='9/10/2023' where link_id = (select link_id from parcel where parcel_year = '2024' and parcel_id = '23092241450');</v>
      </c>
    </row>
    <row r="924" spans="1:85" x14ac:dyDescent="0.25">
      <c r="A924">
        <v>23092241451</v>
      </c>
      <c r="B924">
        <v>0.18</v>
      </c>
      <c r="C924">
        <v>8047</v>
      </c>
      <c r="D924" t="s">
        <v>129</v>
      </c>
      <c r="E924" t="s">
        <v>53</v>
      </c>
      <c r="F924" t="s">
        <v>53</v>
      </c>
      <c r="G924">
        <v>4</v>
      </c>
      <c r="H924" t="s">
        <v>54</v>
      </c>
      <c r="I924">
        <v>187800</v>
      </c>
      <c r="J924">
        <v>43300</v>
      </c>
      <c r="K924">
        <v>0.18</v>
      </c>
      <c r="L92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24">
        <v>0</v>
      </c>
      <c r="N924">
        <v>0</v>
      </c>
      <c r="O924">
        <v>0</v>
      </c>
      <c r="P924">
        <v>13398.7528</v>
      </c>
      <c r="Q924">
        <v>63903</v>
      </c>
      <c r="R924">
        <f>(Grandview_Inventory[[#This Row],[ln_acres]]*Grandview_Inventory[[#This Row],[coeff]])+Grandview_Inventory[[#This Row],[const]]</f>
        <v>40926.839760167699</v>
      </c>
      <c r="S924" t="s">
        <v>61</v>
      </c>
      <c r="T924">
        <v>1</v>
      </c>
      <c r="U924" t="s">
        <v>65</v>
      </c>
      <c r="V924" t="s">
        <v>69</v>
      </c>
      <c r="W924">
        <v>0</v>
      </c>
      <c r="X924">
        <v>0</v>
      </c>
      <c r="Y924">
        <v>49</v>
      </c>
      <c r="Z924">
        <v>65</v>
      </c>
      <c r="AA924">
        <v>70</v>
      </c>
      <c r="AB924">
        <v>2000</v>
      </c>
      <c r="AC924">
        <v>1582</v>
      </c>
      <c r="AD924">
        <v>1582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286</v>
      </c>
      <c r="AL924">
        <v>0</v>
      </c>
      <c r="AM924">
        <v>210</v>
      </c>
      <c r="AN924">
        <v>0</v>
      </c>
      <c r="AO924">
        <v>210</v>
      </c>
      <c r="AP924">
        <v>5</v>
      </c>
      <c r="AQ924">
        <v>0</v>
      </c>
      <c r="AR924">
        <v>0</v>
      </c>
      <c r="AS924" t="s">
        <v>58</v>
      </c>
      <c r="AT924">
        <v>1</v>
      </c>
      <c r="AU924" t="s">
        <v>63</v>
      </c>
      <c r="AV924" t="s">
        <v>64</v>
      </c>
      <c r="AW924">
        <v>1</v>
      </c>
      <c r="AX924">
        <v>3</v>
      </c>
      <c r="AY924">
        <v>0</v>
      </c>
      <c r="AZ924">
        <v>22000</v>
      </c>
      <c r="BA924">
        <v>100</v>
      </c>
      <c r="BB924">
        <v>100</v>
      </c>
      <c r="BC924">
        <v>100</v>
      </c>
      <c r="BD924">
        <v>100</v>
      </c>
      <c r="BE924">
        <v>1</v>
      </c>
      <c r="BF924">
        <v>15000</v>
      </c>
      <c r="BG924">
        <v>1000</v>
      </c>
      <c r="BH924" s="6">
        <f>Grandview_Inventory[[#This Row],[land_extract]]*Lookups!$B$3</f>
        <v>47528.228511015397</v>
      </c>
      <c r="BI924" s="6">
        <f>IF(Grandview_Inventory[[#This Row],[bldg_style]]="",0,Lookups!$B$2)</f>
        <v>155833.95000000001</v>
      </c>
      <c r="BJ924" s="6">
        <f>_xlfn.IFNA(VLOOKUP(Grandview_Inventory[[#This Row],[quality]],Lookups!$H$2:$J$14,3,FALSE),0)</f>
        <v>2251</v>
      </c>
      <c r="BK924" s="6">
        <f>_xlfn.IFNA(VLOOKUP(Grandview_Inventory[[#This Row],[condition]],Lookups!$H$17:$J$24,3,FALSE),0)</f>
        <v>-4503</v>
      </c>
      <c r="BL924" s="6">
        <f>Grandview_Inventory[[#This Row],[Eff_Age]]*Lookups!$B$14</f>
        <v>-11719.163399999999</v>
      </c>
      <c r="BM924" s="6">
        <f>Grandview_Inventory[[#This Row],[living_area]]*Lookups!$B$15</f>
        <v>98686.509445999996</v>
      </c>
      <c r="BN924" s="6">
        <f>Grandview_Inventory[[#This Row],[Fin BSMT]]*Lookups!$B$16</f>
        <v>0</v>
      </c>
      <c r="BO924" s="6">
        <f>(Grandview_Inventory[[#This Row],[att_gar]]+Grandview_Inventory[[#This Row],[bltin_gar]])*Lookups!$B$17</f>
        <v>0</v>
      </c>
      <c r="BP924" s="6">
        <f>Grandview_Inventory[[#This Row],[Plumbing Fixtures]]*Lookups!$B$18</f>
        <v>10052.209000000001</v>
      </c>
      <c r="BQ924" s="6">
        <f>Grandview_Inventory[[#This Row],[detatched_value]]*Lookups!$B$19</f>
        <v>18629.712199999998</v>
      </c>
      <c r="BR924" s="6">
        <f>SUM(Grandview_Inventory[[#This Row],[Intercept]:[det_value]])*Grandview_Inventory[[#This Row],[res_pct]]</f>
        <v>269231.21724600001</v>
      </c>
      <c r="BS924" s="6">
        <f>Grandview_Inventory[[#This Row],[land_value]]</f>
        <v>47528.228511015397</v>
      </c>
      <c r="BT924" s="4">
        <f>_xlfn.IFNA(VLOOKUP(Grandview_Inventory[[#This Row],[quality]],Lookups!$A$26:$C$33,3,FALSE),1)</f>
        <v>0.98763855981004833</v>
      </c>
      <c r="BU924" s="4">
        <f>_xlfn.IFNA(VLOOKUP(Grandview_Inventory[[#This Row],[condition]],Lookups!$A$37:$C$44,3,FALSE),1)</f>
        <v>0.96469275950863709</v>
      </c>
      <c r="BV924" s="4">
        <f>IF(Grandview_Inventory[[#This Row],[bldg_style]]="",1,_xlfn.IFNA(VLOOKUP(Grandview_Inventory[[#This Row],[decade]],Lookups!$F$29:$H$43,3,FALSE),1))</f>
        <v>0.99472141305414818</v>
      </c>
      <c r="BW924" s="4">
        <f>_xlfn.IFNA(VLOOKUP(Grandview_Inventory[[#This Row],[living_area_range]],Lookups!$F$47:$H$56,3,FALSE),1)</f>
        <v>0.96120133463014379</v>
      </c>
      <c r="BX924" s="4">
        <f>AVERAGE(Grandview_Inventory[[#This Row],[qual_adj]:[size_adj]])</f>
        <v>0.97706351675074443</v>
      </c>
      <c r="BY924" s="6">
        <f>IF(Grandview_Inventory[[#This Row],[pre_res]]&lt;0,0,Grandview_Inventory[[#This Row],[pre_res]]*Grandview_Inventory[[#This Row],[overall_adj]])</f>
        <v>263055.99994146044</v>
      </c>
      <c r="BZ924" s="6">
        <f>(Grandview_Inventory[[#This Row],[sum_land]]-IF(Grandview_Inventory[[#This Row],[no_utilities]]=1,12000,0))/IF(Grandview_Inventory[[#This Row],[unbuildable]]=1,2,1)</f>
        <v>47528.228511015397</v>
      </c>
      <c r="CA92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24">
        <f>ROUND(Grandview_Inventory[[#This Row],[det_value]]*Lookups!$M$28,-2)</f>
        <v>17700</v>
      </c>
      <c r="CC924">
        <f>IF(ROUND(Grandview_Inventory[[#This Row],[adj_res]]*Lookups!$M$28,-2)&lt;Grandview_Inventory[[#This Row],[min_res]],Grandview_Inventory[[#This Row],[min_res]],ROUND(Grandview_Inventory[[#This Row],[adj_res]]*Lookups!$M$28,-2))</f>
        <v>249900</v>
      </c>
      <c r="CD924">
        <f>Grandview_Inventory[[#This Row],[final_det]]+Grandview_Inventory[[#This Row],[final_res]]</f>
        <v>267600</v>
      </c>
      <c r="CE924">
        <f>Grandview_Inventory[[#This Row],[final_land]]+Grandview_Inventory[[#This Row],[final_imp]]+Grandview_Inventory[[#This Row],[crop_value]]</f>
        <v>312800</v>
      </c>
      <c r="CG924" t="str">
        <f t="shared" si="14"/>
        <v>update valuation set market_land =45200, market_bldg=267600, market_total =312800, market_mdno =401, market_date ='9/10/2023' where link_id = (select link_id from parcel where parcel_year = '2024' and parcel_id = '23092241451');</v>
      </c>
    </row>
    <row r="925" spans="1:85" x14ac:dyDescent="0.25">
      <c r="A925">
        <v>23092241452</v>
      </c>
      <c r="B925">
        <v>0.37</v>
      </c>
      <c r="C925">
        <v>16093</v>
      </c>
      <c r="D925" t="s">
        <v>129</v>
      </c>
      <c r="E925" t="s">
        <v>53</v>
      </c>
      <c r="F925" t="s">
        <v>53</v>
      </c>
      <c r="G925">
        <v>4</v>
      </c>
      <c r="H925" t="s">
        <v>54</v>
      </c>
      <c r="I925">
        <v>248400</v>
      </c>
      <c r="J925">
        <v>45400</v>
      </c>
      <c r="K925">
        <v>0.37</v>
      </c>
      <c r="L925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925">
        <v>0</v>
      </c>
      <c r="N925">
        <v>0</v>
      </c>
      <c r="O925">
        <v>0</v>
      </c>
      <c r="P925">
        <v>13398.7528</v>
      </c>
      <c r="Q925">
        <v>63903</v>
      </c>
      <c r="R925">
        <f>(Grandview_Inventory[[#This Row],[ln_acres]]*Grandview_Inventory[[#This Row],[coeff]])+Grandview_Inventory[[#This Row],[const]]</f>
        <v>50581.259568627502</v>
      </c>
      <c r="S925" t="s">
        <v>61</v>
      </c>
      <c r="T925">
        <v>1</v>
      </c>
      <c r="U925" t="s">
        <v>65</v>
      </c>
      <c r="V925" t="s">
        <v>69</v>
      </c>
      <c r="W925">
        <v>0</v>
      </c>
      <c r="X925">
        <v>0</v>
      </c>
      <c r="Y925">
        <v>48</v>
      </c>
      <c r="Z925">
        <v>63</v>
      </c>
      <c r="AA925">
        <v>70</v>
      </c>
      <c r="AB925">
        <v>2500</v>
      </c>
      <c r="AC925">
        <v>2316</v>
      </c>
      <c r="AD925">
        <v>2316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484</v>
      </c>
      <c r="AL925">
        <v>0</v>
      </c>
      <c r="AM925">
        <v>0</v>
      </c>
      <c r="AN925">
        <v>40</v>
      </c>
      <c r="AO925">
        <v>122</v>
      </c>
      <c r="AP925">
        <v>9</v>
      </c>
      <c r="AQ925">
        <v>0</v>
      </c>
      <c r="AR925">
        <v>1</v>
      </c>
      <c r="AS925" t="s">
        <v>58</v>
      </c>
      <c r="AT925">
        <v>1</v>
      </c>
      <c r="AU925" t="s">
        <v>63</v>
      </c>
      <c r="AV925" t="s">
        <v>64</v>
      </c>
      <c r="AW925">
        <v>1</v>
      </c>
      <c r="AX925">
        <v>3</v>
      </c>
      <c r="AY925">
        <v>0</v>
      </c>
      <c r="AZ925">
        <v>19400</v>
      </c>
      <c r="BA925">
        <v>100</v>
      </c>
      <c r="BB925">
        <v>100</v>
      </c>
      <c r="BC925">
        <v>100</v>
      </c>
      <c r="BD925">
        <v>100</v>
      </c>
      <c r="BE925">
        <v>1</v>
      </c>
      <c r="BF925">
        <v>15000</v>
      </c>
      <c r="BG925">
        <v>1000</v>
      </c>
      <c r="BH925" s="6">
        <f>Grandview_Inventory[[#This Row],[land_extract]]*Lookups!$B$3</f>
        <v>58739.880167646283</v>
      </c>
      <c r="BI925" s="6">
        <f>IF(Grandview_Inventory[[#This Row],[bldg_style]]="",0,Lookups!$B$2)</f>
        <v>155833.95000000001</v>
      </c>
      <c r="BJ925" s="6">
        <f>_xlfn.IFNA(VLOOKUP(Grandview_Inventory[[#This Row],[quality]],Lookups!$H$2:$J$14,3,FALSE),0)</f>
        <v>2251</v>
      </c>
      <c r="BK925" s="6">
        <f>_xlfn.IFNA(VLOOKUP(Grandview_Inventory[[#This Row],[condition]],Lookups!$H$17:$J$24,3,FALSE),0)</f>
        <v>-4503</v>
      </c>
      <c r="BL925" s="6">
        <f>Grandview_Inventory[[#This Row],[Eff_Age]]*Lookups!$B$14</f>
        <v>-11479.996799999999</v>
      </c>
      <c r="BM925" s="6">
        <f>Grandview_Inventory[[#This Row],[living_area]]*Lookups!$B$15</f>
        <v>144474.055548</v>
      </c>
      <c r="BN925" s="6">
        <f>Grandview_Inventory[[#This Row],[Fin BSMT]]*Lookups!$B$16</f>
        <v>0</v>
      </c>
      <c r="BO925" s="6">
        <f>(Grandview_Inventory[[#This Row],[att_gar]]+Grandview_Inventory[[#This Row],[bltin_gar]])*Lookups!$B$17</f>
        <v>0</v>
      </c>
      <c r="BP925" s="6">
        <f>Grandview_Inventory[[#This Row],[Plumbing Fixtures]]*Lookups!$B$18</f>
        <v>18093.976200000001</v>
      </c>
      <c r="BQ925" s="6">
        <f>Grandview_Inventory[[#This Row],[detatched_value]]*Lookups!$B$19</f>
        <v>16428.018939999998</v>
      </c>
      <c r="BR925" s="6">
        <f>SUM(Grandview_Inventory[[#This Row],[Intercept]:[det_value]])*Grandview_Inventory[[#This Row],[res_pct]]</f>
        <v>321098.00388799998</v>
      </c>
      <c r="BS925" s="6">
        <f>Grandview_Inventory[[#This Row],[land_value]]</f>
        <v>58739.880167646283</v>
      </c>
      <c r="BT925" s="4">
        <f>_xlfn.IFNA(VLOOKUP(Grandview_Inventory[[#This Row],[quality]],Lookups!$A$26:$C$33,3,FALSE),1)</f>
        <v>0.98763855981004833</v>
      </c>
      <c r="BU925" s="4">
        <f>_xlfn.IFNA(VLOOKUP(Grandview_Inventory[[#This Row],[condition]],Lookups!$A$37:$C$44,3,FALSE),1)</f>
        <v>0.96469275950863709</v>
      </c>
      <c r="BV925" s="4">
        <f>IF(Grandview_Inventory[[#This Row],[bldg_style]]="",1,_xlfn.IFNA(VLOOKUP(Grandview_Inventory[[#This Row],[decade]],Lookups!$F$29:$H$43,3,FALSE),1))</f>
        <v>0.99472141305414818</v>
      </c>
      <c r="BW925" s="4">
        <f>_xlfn.IFNA(VLOOKUP(Grandview_Inventory[[#This Row],[living_area_range]],Lookups!$F$47:$H$56,3,FALSE),1)</f>
        <v>0.95799442568048754</v>
      </c>
      <c r="BX925" s="4">
        <f>AVERAGE(Grandview_Inventory[[#This Row],[qual_adj]:[size_adj]])</f>
        <v>0.97626178951333031</v>
      </c>
      <c r="BY925" s="6">
        <f>IF(Grandview_Inventory[[#This Row],[pre_res]]&lt;0,0,Grandview_Inventory[[#This Row],[pre_res]]*Grandview_Inventory[[#This Row],[overall_adj]])</f>
        <v>313475.71188485716</v>
      </c>
      <c r="BZ925" s="6">
        <f>(Grandview_Inventory[[#This Row],[sum_land]]-IF(Grandview_Inventory[[#This Row],[no_utilities]]=1,12000,0))/IF(Grandview_Inventory[[#This Row],[unbuildable]]=1,2,1)</f>
        <v>58739.880167646283</v>
      </c>
      <c r="CA925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925">
        <f>ROUND(Grandview_Inventory[[#This Row],[det_value]]*Lookups!$M$28,-2)</f>
        <v>15600</v>
      </c>
      <c r="CC925">
        <f>IF(ROUND(Grandview_Inventory[[#This Row],[adj_res]]*Lookups!$M$28,-2)&lt;Grandview_Inventory[[#This Row],[min_res]],Grandview_Inventory[[#This Row],[min_res]],ROUND(Grandview_Inventory[[#This Row],[adj_res]]*Lookups!$M$28,-2))</f>
        <v>297800</v>
      </c>
      <c r="CD925">
        <f>Grandview_Inventory[[#This Row],[final_det]]+Grandview_Inventory[[#This Row],[final_res]]</f>
        <v>313400</v>
      </c>
      <c r="CE925">
        <f>Grandview_Inventory[[#This Row],[final_land]]+Grandview_Inventory[[#This Row],[final_imp]]+Grandview_Inventory[[#This Row],[crop_value]]</f>
        <v>369200</v>
      </c>
      <c r="CG925" t="str">
        <f t="shared" si="14"/>
        <v>update valuation set market_land =55800, market_bldg=313400, market_total =369200, market_mdno =401, market_date ='9/10/2023' where link_id = (select link_id from parcel where parcel_year = '2024' and parcel_id = '23092241452');</v>
      </c>
    </row>
    <row r="926" spans="1:85" x14ac:dyDescent="0.25">
      <c r="A926">
        <v>23092241454</v>
      </c>
      <c r="B926">
        <v>0.21</v>
      </c>
      <c r="C926">
        <v>9211</v>
      </c>
      <c r="D926" t="s">
        <v>129</v>
      </c>
      <c r="E926" t="s">
        <v>53</v>
      </c>
      <c r="F926" t="s">
        <v>53</v>
      </c>
      <c r="G926">
        <v>4</v>
      </c>
      <c r="H926" t="s">
        <v>54</v>
      </c>
      <c r="I926">
        <v>197900</v>
      </c>
      <c r="J926">
        <v>43700</v>
      </c>
      <c r="K926">
        <v>0.21</v>
      </c>
      <c r="L92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26">
        <v>0</v>
      </c>
      <c r="N926">
        <v>0</v>
      </c>
      <c r="O926">
        <v>0</v>
      </c>
      <c r="P926">
        <v>13398.7528</v>
      </c>
      <c r="Q926">
        <v>63903</v>
      </c>
      <c r="R926">
        <f>(Grandview_Inventory[[#This Row],[ln_acres]]*Grandview_Inventory[[#This Row],[coeff]])+Grandview_Inventory[[#This Row],[const]]</f>
        <v>42992.266613125081</v>
      </c>
      <c r="S926" t="s">
        <v>61</v>
      </c>
      <c r="T926">
        <v>1</v>
      </c>
      <c r="U926" t="s">
        <v>65</v>
      </c>
      <c r="V926" t="s">
        <v>69</v>
      </c>
      <c r="W926">
        <v>0</v>
      </c>
      <c r="X926">
        <v>0</v>
      </c>
      <c r="Y926">
        <v>49</v>
      </c>
      <c r="Z926">
        <v>65</v>
      </c>
      <c r="AA926">
        <v>70</v>
      </c>
      <c r="AB926">
        <v>2500</v>
      </c>
      <c r="AC926">
        <v>2412</v>
      </c>
      <c r="AD926">
        <v>1206</v>
      </c>
      <c r="AE926">
        <v>0</v>
      </c>
      <c r="AF926">
        <v>0</v>
      </c>
      <c r="AG926">
        <v>1206</v>
      </c>
      <c r="AH926">
        <v>0</v>
      </c>
      <c r="AI926">
        <v>0</v>
      </c>
      <c r="AJ926">
        <v>0</v>
      </c>
      <c r="AK926">
        <v>240</v>
      </c>
      <c r="AL926">
        <v>0</v>
      </c>
      <c r="AM926">
        <v>0</v>
      </c>
      <c r="AN926">
        <v>0</v>
      </c>
      <c r="AO926">
        <v>0</v>
      </c>
      <c r="AP926">
        <v>9</v>
      </c>
      <c r="AQ926">
        <v>0</v>
      </c>
      <c r="AR926">
        <v>1</v>
      </c>
      <c r="AS926" t="s">
        <v>58</v>
      </c>
      <c r="AT926">
        <v>1</v>
      </c>
      <c r="AU926" t="s">
        <v>63</v>
      </c>
      <c r="AV926" t="s">
        <v>60</v>
      </c>
      <c r="AW926">
        <v>1</v>
      </c>
      <c r="AX926">
        <v>4</v>
      </c>
      <c r="AY926">
        <v>0</v>
      </c>
      <c r="AZ926">
        <v>0</v>
      </c>
      <c r="BA926">
        <v>100</v>
      </c>
      <c r="BB926">
        <v>100</v>
      </c>
      <c r="BC926">
        <v>100</v>
      </c>
      <c r="BD926">
        <v>100</v>
      </c>
      <c r="BE926">
        <v>1</v>
      </c>
      <c r="BF926">
        <v>15000</v>
      </c>
      <c r="BG926">
        <v>1000</v>
      </c>
      <c r="BH926" s="6">
        <f>Grandview_Inventory[[#This Row],[land_extract]]*Lookups!$B$3</f>
        <v>49926.8031387023</v>
      </c>
      <c r="BI926" s="6">
        <f>IF(Grandview_Inventory[[#This Row],[bldg_style]]="",0,Lookups!$B$2)</f>
        <v>155833.95000000001</v>
      </c>
      <c r="BJ926" s="6">
        <f>_xlfn.IFNA(VLOOKUP(Grandview_Inventory[[#This Row],[quality]],Lookups!$H$2:$J$14,3,FALSE),0)</f>
        <v>2251</v>
      </c>
      <c r="BK926" s="6">
        <f>_xlfn.IFNA(VLOOKUP(Grandview_Inventory[[#This Row],[condition]],Lookups!$H$17:$J$24,3,FALSE),0)</f>
        <v>-4503</v>
      </c>
      <c r="BL926" s="6">
        <f>Grandview_Inventory[[#This Row],[Eff_Age]]*Lookups!$B$14</f>
        <v>-11719.163399999999</v>
      </c>
      <c r="BM926" s="6">
        <f>Grandview_Inventory[[#This Row],[living_area]]*Lookups!$B$15</f>
        <v>150462.617436</v>
      </c>
      <c r="BN926" s="6">
        <f>Grandview_Inventory[[#This Row],[Fin BSMT]]*Lookups!$B$16</f>
        <v>-32681.683440000001</v>
      </c>
      <c r="BO926" s="6">
        <f>(Grandview_Inventory[[#This Row],[att_gar]]+Grandview_Inventory[[#This Row],[bltin_gar]])*Lookups!$B$17</f>
        <v>0</v>
      </c>
      <c r="BP926" s="6">
        <f>Grandview_Inventory[[#This Row],[Plumbing Fixtures]]*Lookups!$B$18</f>
        <v>18093.976200000001</v>
      </c>
      <c r="BQ926" s="6">
        <f>Grandview_Inventory[[#This Row],[detatched_value]]*Lookups!$B$19</f>
        <v>0</v>
      </c>
      <c r="BR926" s="6">
        <f>SUM(Grandview_Inventory[[#This Row],[Intercept]:[det_value]])*Grandview_Inventory[[#This Row],[res_pct]]</f>
        <v>277737.696796</v>
      </c>
      <c r="BS926" s="6">
        <f>Grandview_Inventory[[#This Row],[land_value]]</f>
        <v>49926.8031387023</v>
      </c>
      <c r="BT926" s="4">
        <f>_xlfn.IFNA(VLOOKUP(Grandview_Inventory[[#This Row],[quality]],Lookups!$A$26:$C$33,3,FALSE),1)</f>
        <v>0.98763855981004833</v>
      </c>
      <c r="BU926" s="4">
        <f>_xlfn.IFNA(VLOOKUP(Grandview_Inventory[[#This Row],[condition]],Lookups!$A$37:$C$44,3,FALSE),1)</f>
        <v>0.96469275950863709</v>
      </c>
      <c r="BV926" s="4">
        <f>IF(Grandview_Inventory[[#This Row],[bldg_style]]="",1,_xlfn.IFNA(VLOOKUP(Grandview_Inventory[[#This Row],[decade]],Lookups!$F$29:$H$43,3,FALSE),1))</f>
        <v>0.99472141305414818</v>
      </c>
      <c r="BW926" s="4">
        <f>_xlfn.IFNA(VLOOKUP(Grandview_Inventory[[#This Row],[living_area_range]],Lookups!$F$47:$H$56,3,FALSE),1)</f>
        <v>0.95799442568048754</v>
      </c>
      <c r="BX926" s="4">
        <f>AVERAGE(Grandview_Inventory[[#This Row],[qual_adj]:[size_adj]])</f>
        <v>0.97626178951333031</v>
      </c>
      <c r="BY926" s="6">
        <f>IF(Grandview_Inventory[[#This Row],[pre_res]]&lt;0,0,Grandview_Inventory[[#This Row],[pre_res]]*Grandview_Inventory[[#This Row],[overall_adj]])</f>
        <v>271144.70088937372</v>
      </c>
      <c r="BZ926" s="6">
        <f>(Grandview_Inventory[[#This Row],[sum_land]]-IF(Grandview_Inventory[[#This Row],[no_utilities]]=1,12000,0))/IF(Grandview_Inventory[[#This Row],[unbuildable]]=1,2,1)</f>
        <v>49926.8031387023</v>
      </c>
      <c r="CA92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26">
        <f>ROUND(Grandview_Inventory[[#This Row],[det_value]]*Lookups!$M$28,-2)</f>
        <v>0</v>
      </c>
      <c r="CC926">
        <f>IF(ROUND(Grandview_Inventory[[#This Row],[adj_res]]*Lookups!$M$28,-2)&lt;Grandview_Inventory[[#This Row],[min_res]],Grandview_Inventory[[#This Row],[min_res]],ROUND(Grandview_Inventory[[#This Row],[adj_res]]*Lookups!$M$28,-2))</f>
        <v>257600</v>
      </c>
      <c r="CD926">
        <f>Grandview_Inventory[[#This Row],[final_det]]+Grandview_Inventory[[#This Row],[final_res]]</f>
        <v>257600</v>
      </c>
      <c r="CE926">
        <f>Grandview_Inventory[[#This Row],[final_land]]+Grandview_Inventory[[#This Row],[final_imp]]+Grandview_Inventory[[#This Row],[crop_value]]</f>
        <v>305000</v>
      </c>
      <c r="CG926" t="str">
        <f t="shared" si="14"/>
        <v>update valuation set market_land =47400, market_bldg=257600, market_total =305000, market_mdno =401, market_date ='9/10/2023' where link_id = (select link_id from parcel where parcel_year = '2024' and parcel_id = '23092241454');</v>
      </c>
    </row>
    <row r="927" spans="1:85" x14ac:dyDescent="0.25">
      <c r="A927">
        <v>23092241457</v>
      </c>
      <c r="B927">
        <v>0.18</v>
      </c>
      <c r="C927">
        <v>8023</v>
      </c>
      <c r="D927" t="s">
        <v>129</v>
      </c>
      <c r="E927" t="s">
        <v>53</v>
      </c>
      <c r="F927" t="s">
        <v>53</v>
      </c>
      <c r="G927">
        <v>4</v>
      </c>
      <c r="H927" t="s">
        <v>54</v>
      </c>
      <c r="I927">
        <v>223100</v>
      </c>
      <c r="J927">
        <v>43100</v>
      </c>
      <c r="K927">
        <v>0.18</v>
      </c>
      <c r="L92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27">
        <v>0</v>
      </c>
      <c r="N927">
        <v>0</v>
      </c>
      <c r="O927">
        <v>0</v>
      </c>
      <c r="P927">
        <v>13398.7528</v>
      </c>
      <c r="Q927">
        <v>63903</v>
      </c>
      <c r="R927">
        <f>(Grandview_Inventory[[#This Row],[ln_acres]]*Grandview_Inventory[[#This Row],[coeff]])+Grandview_Inventory[[#This Row],[const]]</f>
        <v>40926.839760167699</v>
      </c>
      <c r="S927" t="s">
        <v>61</v>
      </c>
      <c r="T927">
        <v>1</v>
      </c>
      <c r="U927" t="s">
        <v>62</v>
      </c>
      <c r="V927" t="s">
        <v>69</v>
      </c>
      <c r="W927">
        <v>0</v>
      </c>
      <c r="X927">
        <v>0</v>
      </c>
      <c r="Y927">
        <v>48</v>
      </c>
      <c r="Z927">
        <v>63</v>
      </c>
      <c r="AA927">
        <v>70</v>
      </c>
      <c r="AB927">
        <v>3000</v>
      </c>
      <c r="AC927">
        <v>2778</v>
      </c>
      <c r="AD927">
        <v>1636</v>
      </c>
      <c r="AE927">
        <v>0</v>
      </c>
      <c r="AF927">
        <v>0</v>
      </c>
      <c r="AG927">
        <v>1142</v>
      </c>
      <c r="AH927">
        <v>494</v>
      </c>
      <c r="AI927">
        <v>352</v>
      </c>
      <c r="AJ927">
        <v>0</v>
      </c>
      <c r="AK927">
        <v>0</v>
      </c>
      <c r="AL927">
        <v>0</v>
      </c>
      <c r="AM927">
        <v>400</v>
      </c>
      <c r="AN927">
        <v>0</v>
      </c>
      <c r="AO927">
        <v>400</v>
      </c>
      <c r="AP927">
        <v>11</v>
      </c>
      <c r="AQ927">
        <v>0</v>
      </c>
      <c r="AR927">
        <v>0</v>
      </c>
      <c r="AS927" t="s">
        <v>58</v>
      </c>
      <c r="AT927">
        <v>1</v>
      </c>
      <c r="AU927" t="s">
        <v>63</v>
      </c>
      <c r="AV927" t="s">
        <v>60</v>
      </c>
      <c r="AW927">
        <v>1</v>
      </c>
      <c r="AX927">
        <v>4</v>
      </c>
      <c r="AY927">
        <v>0</v>
      </c>
      <c r="AZ927">
        <v>0</v>
      </c>
      <c r="BA927">
        <v>100</v>
      </c>
      <c r="BB927">
        <v>100</v>
      </c>
      <c r="BC927">
        <v>100</v>
      </c>
      <c r="BD927">
        <v>100</v>
      </c>
      <c r="BE927">
        <v>1</v>
      </c>
      <c r="BF927">
        <v>15000</v>
      </c>
      <c r="BG927">
        <v>1000</v>
      </c>
      <c r="BH927" s="6">
        <f>Grandview_Inventory[[#This Row],[land_extract]]*Lookups!$B$3</f>
        <v>47528.228511015397</v>
      </c>
      <c r="BI927" s="6">
        <f>IF(Grandview_Inventory[[#This Row],[bldg_style]]="",0,Lookups!$B$2)</f>
        <v>155833.95000000001</v>
      </c>
      <c r="BJ927" s="6">
        <f>_xlfn.IFNA(VLOOKUP(Grandview_Inventory[[#This Row],[quality]],Lookups!$H$2:$J$14,3,FALSE),0)</f>
        <v>9808</v>
      </c>
      <c r="BK927" s="6">
        <f>_xlfn.IFNA(VLOOKUP(Grandview_Inventory[[#This Row],[condition]],Lookups!$H$17:$J$24,3,FALSE),0)</f>
        <v>-4503</v>
      </c>
      <c r="BL927" s="6">
        <f>Grandview_Inventory[[#This Row],[Eff_Age]]*Lookups!$B$14</f>
        <v>-11479.996799999999</v>
      </c>
      <c r="BM927" s="6">
        <f>Grandview_Inventory[[#This Row],[living_area]]*Lookups!$B$15</f>
        <v>173294.00963400002</v>
      </c>
      <c r="BN927" s="6">
        <f>Grandview_Inventory[[#This Row],[Fin BSMT]]*Lookups!$B$16</f>
        <v>-30947.332080000004</v>
      </c>
      <c r="BO927" s="6">
        <f>(Grandview_Inventory[[#This Row],[att_gar]]+Grandview_Inventory[[#This Row],[bltin_gar]])*Lookups!$B$17</f>
        <v>30807.193824000002</v>
      </c>
      <c r="BP927" s="6">
        <f>Grandview_Inventory[[#This Row],[Plumbing Fixtures]]*Lookups!$B$18</f>
        <v>22114.859800000002</v>
      </c>
      <c r="BQ927" s="6">
        <f>Grandview_Inventory[[#This Row],[detatched_value]]*Lookups!$B$19</f>
        <v>0</v>
      </c>
      <c r="BR927" s="6">
        <f>SUM(Grandview_Inventory[[#This Row],[Intercept]:[det_value]])*Grandview_Inventory[[#This Row],[res_pct]]</f>
        <v>344927.68437799998</v>
      </c>
      <c r="BS927" s="6">
        <f>Grandview_Inventory[[#This Row],[land_value]]</f>
        <v>47528.228511015397</v>
      </c>
      <c r="BT927" s="4">
        <f>_xlfn.IFNA(VLOOKUP(Grandview_Inventory[[#This Row],[quality]],Lookups!$A$26:$C$33,3,FALSE),1)</f>
        <v>0.94295468617355149</v>
      </c>
      <c r="BU927" s="4">
        <f>_xlfn.IFNA(VLOOKUP(Grandview_Inventory[[#This Row],[condition]],Lookups!$A$37:$C$44,3,FALSE),1)</f>
        <v>0.96469275950863709</v>
      </c>
      <c r="BV927" s="4">
        <f>IF(Grandview_Inventory[[#This Row],[bldg_style]]="",1,_xlfn.IFNA(VLOOKUP(Grandview_Inventory[[#This Row],[decade]],Lookups!$F$29:$H$43,3,FALSE),1))</f>
        <v>0.99472141305414818</v>
      </c>
      <c r="BW927" s="4">
        <f>_xlfn.IFNA(VLOOKUP(Grandview_Inventory[[#This Row],[living_area_range]],Lookups!$F$47:$H$56,3,FALSE),1)</f>
        <v>0.94224801443562123</v>
      </c>
      <c r="BX927" s="4">
        <f>AVERAGE(Grandview_Inventory[[#This Row],[qual_adj]:[size_adj]])</f>
        <v>0.96115421829298953</v>
      </c>
      <c r="BY927" s="6">
        <f>IF(Grandview_Inventory[[#This Row],[pre_res]]&lt;0,0,Grandview_Inventory[[#This Row],[pre_res]]*Grandview_Inventory[[#This Row],[overall_adj]])</f>
        <v>331528.69884594757</v>
      </c>
      <c r="BZ927" s="6">
        <f>(Grandview_Inventory[[#This Row],[sum_land]]-IF(Grandview_Inventory[[#This Row],[no_utilities]]=1,12000,0))/IF(Grandview_Inventory[[#This Row],[unbuildable]]=1,2,1)</f>
        <v>47528.228511015397</v>
      </c>
      <c r="CA92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27">
        <f>ROUND(Grandview_Inventory[[#This Row],[det_value]]*Lookups!$M$28,-2)</f>
        <v>0</v>
      </c>
      <c r="CC927">
        <f>IF(ROUND(Grandview_Inventory[[#This Row],[adj_res]]*Lookups!$M$28,-2)&lt;Grandview_Inventory[[#This Row],[min_res]],Grandview_Inventory[[#This Row],[min_res]],ROUND(Grandview_Inventory[[#This Row],[adj_res]]*Lookups!$M$28,-2))</f>
        <v>315000</v>
      </c>
      <c r="CD927">
        <f>Grandview_Inventory[[#This Row],[final_det]]+Grandview_Inventory[[#This Row],[final_res]]</f>
        <v>315000</v>
      </c>
      <c r="CE927">
        <f>Grandview_Inventory[[#This Row],[final_land]]+Grandview_Inventory[[#This Row],[final_imp]]+Grandview_Inventory[[#This Row],[crop_value]]</f>
        <v>360200</v>
      </c>
      <c r="CG927" t="str">
        <f t="shared" si="14"/>
        <v>update valuation set market_land =45200, market_bldg=315000, market_total =360200, market_mdno =401, market_date ='9/10/2023' where link_id = (select link_id from parcel where parcel_year = '2024' and parcel_id = '23092241457');</v>
      </c>
    </row>
    <row r="928" spans="1:85" x14ac:dyDescent="0.25">
      <c r="A928">
        <v>23092241458</v>
      </c>
      <c r="B928">
        <v>0.17</v>
      </c>
      <c r="C928">
        <v>7481</v>
      </c>
      <c r="D928" t="s">
        <v>129</v>
      </c>
      <c r="E928" t="s">
        <v>53</v>
      </c>
      <c r="F928" t="s">
        <v>53</v>
      </c>
      <c r="G928">
        <v>4</v>
      </c>
      <c r="H928" t="s">
        <v>54</v>
      </c>
      <c r="I928">
        <v>267400</v>
      </c>
      <c r="J928">
        <v>43000</v>
      </c>
      <c r="K928">
        <v>0.17</v>
      </c>
      <c r="L92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928">
        <v>0</v>
      </c>
      <c r="N928">
        <v>0</v>
      </c>
      <c r="O928">
        <v>0</v>
      </c>
      <c r="P928">
        <v>13398.7528</v>
      </c>
      <c r="Q928">
        <v>63903</v>
      </c>
      <c r="R928">
        <f>(Grandview_Inventory[[#This Row],[ln_acres]]*Grandview_Inventory[[#This Row],[coeff]])+Grandview_Inventory[[#This Row],[const]]</f>
        <v>40160.988302686128</v>
      </c>
      <c r="S928" t="s">
        <v>74</v>
      </c>
      <c r="T928">
        <v>1</v>
      </c>
      <c r="U928" t="s">
        <v>65</v>
      </c>
      <c r="V928" t="s">
        <v>67</v>
      </c>
      <c r="W928">
        <v>0</v>
      </c>
      <c r="X928">
        <v>0</v>
      </c>
      <c r="Y928">
        <v>48</v>
      </c>
      <c r="Z928">
        <v>60</v>
      </c>
      <c r="AA928">
        <v>60</v>
      </c>
      <c r="AB928">
        <v>2500</v>
      </c>
      <c r="AC928">
        <v>2030</v>
      </c>
      <c r="AD928">
        <v>1382</v>
      </c>
      <c r="AE928">
        <v>0</v>
      </c>
      <c r="AF928">
        <v>0</v>
      </c>
      <c r="AG928">
        <v>648</v>
      </c>
      <c r="AH928">
        <v>0</v>
      </c>
      <c r="AI928">
        <v>0</v>
      </c>
      <c r="AJ928">
        <v>0</v>
      </c>
      <c r="AK928">
        <v>392</v>
      </c>
      <c r="AL928">
        <v>0</v>
      </c>
      <c r="AM928">
        <v>457</v>
      </c>
      <c r="AN928">
        <v>0</v>
      </c>
      <c r="AO928">
        <v>457</v>
      </c>
      <c r="AP928">
        <v>8</v>
      </c>
      <c r="AQ928">
        <v>0</v>
      </c>
      <c r="AR928">
        <v>1</v>
      </c>
      <c r="AS928" t="s">
        <v>58</v>
      </c>
      <c r="AT928">
        <v>1</v>
      </c>
      <c r="AU928" t="s">
        <v>59</v>
      </c>
      <c r="AV928" t="s">
        <v>60</v>
      </c>
      <c r="AW928">
        <v>1</v>
      </c>
      <c r="AX928">
        <v>3</v>
      </c>
      <c r="AY928">
        <v>0</v>
      </c>
      <c r="AZ928">
        <v>0</v>
      </c>
      <c r="BA928">
        <v>100</v>
      </c>
      <c r="BB928">
        <v>100</v>
      </c>
      <c r="BC928">
        <v>100</v>
      </c>
      <c r="BD928">
        <v>100</v>
      </c>
      <c r="BE928">
        <v>1</v>
      </c>
      <c r="BF928">
        <v>15000</v>
      </c>
      <c r="BG928">
        <v>1000</v>
      </c>
      <c r="BH928" s="6">
        <f>Grandview_Inventory[[#This Row],[land_extract]]*Lookups!$B$3</f>
        <v>46638.847281240982</v>
      </c>
      <c r="BI928" s="6">
        <f>IF(Grandview_Inventory[[#This Row],[bldg_style]]="",0,Lookups!$B$2)</f>
        <v>155833.95000000001</v>
      </c>
      <c r="BJ928" s="6">
        <f>_xlfn.IFNA(VLOOKUP(Grandview_Inventory[[#This Row],[quality]],Lookups!$H$2:$J$14,3,FALSE),0)</f>
        <v>2251</v>
      </c>
      <c r="BK928" s="6">
        <f>_xlfn.IFNA(VLOOKUP(Grandview_Inventory[[#This Row],[condition]],Lookups!$H$17:$J$24,3,FALSE),0)</f>
        <v>22342</v>
      </c>
      <c r="BL928" s="6">
        <f>Grandview_Inventory[[#This Row],[Eff_Age]]*Lookups!$B$14</f>
        <v>-11479.996799999999</v>
      </c>
      <c r="BM928" s="6">
        <f>Grandview_Inventory[[#This Row],[living_area]]*Lookups!$B$15</f>
        <v>126633.13159</v>
      </c>
      <c r="BN928" s="6">
        <f>Grandview_Inventory[[#This Row],[Fin BSMT]]*Lookups!$B$16</f>
        <v>-17560.307520000002</v>
      </c>
      <c r="BO928" s="6">
        <f>(Grandview_Inventory[[#This Row],[att_gar]]+Grandview_Inventory[[#This Row],[bltin_gar]])*Lookups!$B$17</f>
        <v>0</v>
      </c>
      <c r="BP928" s="6">
        <f>Grandview_Inventory[[#This Row],[Plumbing Fixtures]]*Lookups!$B$18</f>
        <v>16083.5344</v>
      </c>
      <c r="BQ928" s="6">
        <f>Grandview_Inventory[[#This Row],[detatched_value]]*Lookups!$B$19</f>
        <v>0</v>
      </c>
      <c r="BR928" s="6">
        <f>SUM(Grandview_Inventory[[#This Row],[Intercept]:[det_value]])*Grandview_Inventory[[#This Row],[res_pct]]</f>
        <v>294103.31166999997</v>
      </c>
      <c r="BS928" s="6">
        <f>Grandview_Inventory[[#This Row],[land_value]]</f>
        <v>46638.847281240982</v>
      </c>
      <c r="BT928" s="4">
        <f>_xlfn.IFNA(VLOOKUP(Grandview_Inventory[[#This Row],[quality]],Lookups!$A$26:$C$33,3,FALSE),1)</f>
        <v>0.98763855981004833</v>
      </c>
      <c r="BU928" s="4">
        <f>_xlfn.IFNA(VLOOKUP(Grandview_Inventory[[#This Row],[condition]],Lookups!$A$37:$C$44,3,FALSE),1)</f>
        <v>0.97383723671140243</v>
      </c>
      <c r="BV928" s="4">
        <f>IF(Grandview_Inventory[[#This Row],[bldg_style]]="",1,_xlfn.IFNA(VLOOKUP(Grandview_Inventory[[#This Row],[decade]],Lookups!$F$29:$H$43,3,FALSE),1))</f>
        <v>0.95268620544463312</v>
      </c>
      <c r="BW928" s="4">
        <f>_xlfn.IFNA(VLOOKUP(Grandview_Inventory[[#This Row],[living_area_range]],Lookups!$F$47:$H$56,3,FALSE),1)</f>
        <v>0.95799442568048754</v>
      </c>
      <c r="BX928" s="4">
        <f>AVERAGE(Grandview_Inventory[[#This Row],[qual_adj]:[size_adj]])</f>
        <v>0.96803910691164285</v>
      </c>
      <c r="BY928" s="6">
        <f>IF(Grandview_Inventory[[#This Row],[pre_res]]&lt;0,0,Grandview_Inventory[[#This Row],[pre_res]]*Grandview_Inventory[[#This Row],[overall_adj]])</f>
        <v>284703.50716878334</v>
      </c>
      <c r="BZ928" s="6">
        <f>(Grandview_Inventory[[#This Row],[sum_land]]-IF(Grandview_Inventory[[#This Row],[no_utilities]]=1,12000,0))/IF(Grandview_Inventory[[#This Row],[unbuildable]]=1,2,1)</f>
        <v>46638.847281240982</v>
      </c>
      <c r="CA92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928">
        <f>ROUND(Grandview_Inventory[[#This Row],[det_value]]*Lookups!$M$28,-2)</f>
        <v>0</v>
      </c>
      <c r="CC928">
        <f>IF(ROUND(Grandview_Inventory[[#This Row],[adj_res]]*Lookups!$M$28,-2)&lt;Grandview_Inventory[[#This Row],[min_res]],Grandview_Inventory[[#This Row],[min_res]],ROUND(Grandview_Inventory[[#This Row],[adj_res]]*Lookups!$M$28,-2))</f>
        <v>270500</v>
      </c>
      <c r="CD928">
        <f>Grandview_Inventory[[#This Row],[final_det]]+Grandview_Inventory[[#This Row],[final_res]]</f>
        <v>270500</v>
      </c>
      <c r="CE928">
        <f>Grandview_Inventory[[#This Row],[final_land]]+Grandview_Inventory[[#This Row],[final_imp]]+Grandview_Inventory[[#This Row],[crop_value]]</f>
        <v>314800</v>
      </c>
      <c r="CG928" t="str">
        <f t="shared" si="14"/>
        <v>update valuation set market_land =44300, market_bldg=270500, market_total =314800, market_mdno =401, market_date ='9/10/2023' where link_id = (select link_id from parcel where parcel_year = '2024' and parcel_id = '23092241458');</v>
      </c>
    </row>
    <row r="929" spans="1:85" x14ac:dyDescent="0.25">
      <c r="A929">
        <v>23092241459</v>
      </c>
      <c r="B929">
        <v>0.19</v>
      </c>
      <c r="C929">
        <v>8079</v>
      </c>
      <c r="D929" t="s">
        <v>129</v>
      </c>
      <c r="E929" t="s">
        <v>53</v>
      </c>
      <c r="F929" t="s">
        <v>53</v>
      </c>
      <c r="G929">
        <v>4</v>
      </c>
      <c r="H929" t="s">
        <v>54</v>
      </c>
      <c r="I929">
        <v>173500</v>
      </c>
      <c r="J929">
        <v>39000</v>
      </c>
      <c r="K929">
        <v>0.19</v>
      </c>
      <c r="L92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29">
        <v>0</v>
      </c>
      <c r="N929">
        <v>0</v>
      </c>
      <c r="O929">
        <v>0</v>
      </c>
      <c r="P929">
        <v>13398.7528</v>
      </c>
      <c r="Q929">
        <v>63903</v>
      </c>
      <c r="R929">
        <f>(Grandview_Inventory[[#This Row],[ln_acres]]*Grandview_Inventory[[#This Row],[coeff]])+Grandview_Inventory[[#This Row],[const]]</f>
        <v>41651.273092551026</v>
      </c>
      <c r="S929" t="s">
        <v>61</v>
      </c>
      <c r="T929">
        <v>1</v>
      </c>
      <c r="U929" t="s">
        <v>62</v>
      </c>
      <c r="V929" t="s">
        <v>69</v>
      </c>
      <c r="W929">
        <v>0</v>
      </c>
      <c r="X929">
        <v>0</v>
      </c>
      <c r="Y929">
        <v>49</v>
      </c>
      <c r="Z929">
        <v>65</v>
      </c>
      <c r="AA929">
        <v>70</v>
      </c>
      <c r="AB929">
        <v>2500</v>
      </c>
      <c r="AC929">
        <v>2160</v>
      </c>
      <c r="AD929">
        <v>1080</v>
      </c>
      <c r="AE929">
        <v>0</v>
      </c>
      <c r="AF929">
        <v>0</v>
      </c>
      <c r="AG929">
        <v>1080</v>
      </c>
      <c r="AH929">
        <v>0</v>
      </c>
      <c r="AI929">
        <v>0</v>
      </c>
      <c r="AJ929">
        <v>0</v>
      </c>
      <c r="AK929">
        <v>216</v>
      </c>
      <c r="AL929">
        <v>66</v>
      </c>
      <c r="AM929">
        <v>0</v>
      </c>
      <c r="AN929">
        <v>0</v>
      </c>
      <c r="AO929">
        <v>0</v>
      </c>
      <c r="AP929">
        <v>8</v>
      </c>
      <c r="AQ929">
        <v>0</v>
      </c>
      <c r="AR929">
        <v>0</v>
      </c>
      <c r="AS929" t="s">
        <v>76</v>
      </c>
      <c r="AT929">
        <v>1</v>
      </c>
      <c r="AU929" t="s">
        <v>63</v>
      </c>
      <c r="AV929" t="s">
        <v>64</v>
      </c>
      <c r="AW929">
        <v>1</v>
      </c>
      <c r="AX929">
        <v>2</v>
      </c>
      <c r="AY929">
        <v>0</v>
      </c>
      <c r="AZ929">
        <v>0</v>
      </c>
      <c r="BA929">
        <v>100</v>
      </c>
      <c r="BB929">
        <v>100</v>
      </c>
      <c r="BC929">
        <v>100</v>
      </c>
      <c r="BD929">
        <v>100</v>
      </c>
      <c r="BE929">
        <v>1</v>
      </c>
      <c r="BF929">
        <v>15000</v>
      </c>
      <c r="BG929">
        <v>1000</v>
      </c>
      <c r="BH929" s="6">
        <f>Grandview_Inventory[[#This Row],[land_extract]]*Lookups!$B$3</f>
        <v>48369.510983942157</v>
      </c>
      <c r="BI929" s="6">
        <f>IF(Grandview_Inventory[[#This Row],[bldg_style]]="",0,Lookups!$B$2)</f>
        <v>155833.95000000001</v>
      </c>
      <c r="BJ929" s="6">
        <f>_xlfn.IFNA(VLOOKUP(Grandview_Inventory[[#This Row],[quality]],Lookups!$H$2:$J$14,3,FALSE),0)</f>
        <v>9808</v>
      </c>
      <c r="BK929" s="6">
        <f>_xlfn.IFNA(VLOOKUP(Grandview_Inventory[[#This Row],[condition]],Lookups!$H$17:$J$24,3,FALSE),0)</f>
        <v>-4503</v>
      </c>
      <c r="BL929" s="6">
        <f>Grandview_Inventory[[#This Row],[Eff_Age]]*Lookups!$B$14</f>
        <v>-11719.163399999999</v>
      </c>
      <c r="BM929" s="6">
        <f>Grandview_Inventory[[#This Row],[living_area]]*Lookups!$B$15</f>
        <v>134742.64248000001</v>
      </c>
      <c r="BN929" s="6">
        <f>Grandview_Inventory[[#This Row],[Fin BSMT]]*Lookups!$B$16</f>
        <v>-29267.179200000002</v>
      </c>
      <c r="BO929" s="6">
        <f>(Grandview_Inventory[[#This Row],[att_gar]]+Grandview_Inventory[[#This Row],[bltin_gar]])*Lookups!$B$17</f>
        <v>0</v>
      </c>
      <c r="BP929" s="6">
        <f>Grandview_Inventory[[#This Row],[Plumbing Fixtures]]*Lookups!$B$18</f>
        <v>16083.5344</v>
      </c>
      <c r="BQ929" s="6">
        <f>Grandview_Inventory[[#This Row],[detatched_value]]*Lookups!$B$19</f>
        <v>0</v>
      </c>
      <c r="BR929" s="6">
        <f>SUM(Grandview_Inventory[[#This Row],[Intercept]:[det_value]])*Grandview_Inventory[[#This Row],[res_pct]]</f>
        <v>270978.78428000002</v>
      </c>
      <c r="BS929" s="6">
        <f>Grandview_Inventory[[#This Row],[land_value]]</f>
        <v>48369.510983942157</v>
      </c>
      <c r="BT929" s="4">
        <f>_xlfn.IFNA(VLOOKUP(Grandview_Inventory[[#This Row],[quality]],Lookups!$A$26:$C$33,3,FALSE),1)</f>
        <v>0.94295468617355149</v>
      </c>
      <c r="BU929" s="4">
        <f>_xlfn.IFNA(VLOOKUP(Grandview_Inventory[[#This Row],[condition]],Lookups!$A$37:$C$44,3,FALSE),1)</f>
        <v>0.96469275950863709</v>
      </c>
      <c r="BV929" s="4">
        <f>IF(Grandview_Inventory[[#This Row],[bldg_style]]="",1,_xlfn.IFNA(VLOOKUP(Grandview_Inventory[[#This Row],[decade]],Lookups!$F$29:$H$43,3,FALSE),1))</f>
        <v>0.99472141305414818</v>
      </c>
      <c r="BW929" s="4">
        <f>_xlfn.IFNA(VLOOKUP(Grandview_Inventory[[#This Row],[living_area_range]],Lookups!$F$47:$H$56,3,FALSE),1)</f>
        <v>0.95799442568048754</v>
      </c>
      <c r="BX929" s="4">
        <f>AVERAGE(Grandview_Inventory[[#This Row],[qual_adj]:[size_adj]])</f>
        <v>0.96509082110420608</v>
      </c>
      <c r="BY929" s="6">
        <f>IF(Grandview_Inventory[[#This Row],[pre_res]]&lt;0,0,Grandview_Inventory[[#This Row],[pre_res]]*Grandview_Inventory[[#This Row],[overall_adj]])</f>
        <v>261519.13742260475</v>
      </c>
      <c r="BZ929" s="6">
        <f>(Grandview_Inventory[[#This Row],[sum_land]]-IF(Grandview_Inventory[[#This Row],[no_utilities]]=1,12000,0))/IF(Grandview_Inventory[[#This Row],[unbuildable]]=1,2,1)</f>
        <v>48369.510983942157</v>
      </c>
      <c r="CA92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29">
        <f>ROUND(Grandview_Inventory[[#This Row],[det_value]]*Lookups!$M$28,-2)</f>
        <v>0</v>
      </c>
      <c r="CC929">
        <f>IF(ROUND(Grandview_Inventory[[#This Row],[adj_res]]*Lookups!$M$28,-2)&lt;Grandview_Inventory[[#This Row],[min_res]],Grandview_Inventory[[#This Row],[min_res]],ROUND(Grandview_Inventory[[#This Row],[adj_res]]*Lookups!$M$28,-2))</f>
        <v>248400</v>
      </c>
      <c r="CD929">
        <f>Grandview_Inventory[[#This Row],[final_det]]+Grandview_Inventory[[#This Row],[final_res]]</f>
        <v>248400</v>
      </c>
      <c r="CE929">
        <f>Grandview_Inventory[[#This Row],[final_land]]+Grandview_Inventory[[#This Row],[final_imp]]+Grandview_Inventory[[#This Row],[crop_value]]</f>
        <v>294400</v>
      </c>
      <c r="CG929" t="str">
        <f t="shared" si="14"/>
        <v>update valuation set market_land =46000, market_bldg=248400, market_total =294400, market_mdno =401, market_date ='9/10/2023' where link_id = (select link_id from parcel where parcel_year = '2024' and parcel_id = '23092241459');</v>
      </c>
    </row>
    <row r="930" spans="1:85" x14ac:dyDescent="0.25">
      <c r="A930">
        <v>23092241460</v>
      </c>
      <c r="B930">
        <v>0.19</v>
      </c>
      <c r="C930">
        <v>8090</v>
      </c>
      <c r="D930" t="s">
        <v>129</v>
      </c>
      <c r="E930" t="s">
        <v>53</v>
      </c>
      <c r="F930" t="s">
        <v>53</v>
      </c>
      <c r="G930">
        <v>4</v>
      </c>
      <c r="H930" t="s">
        <v>54</v>
      </c>
      <c r="I930">
        <v>203700</v>
      </c>
      <c r="J930">
        <v>39000</v>
      </c>
      <c r="K930">
        <v>0.19</v>
      </c>
      <c r="L93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30">
        <v>0</v>
      </c>
      <c r="N930">
        <v>0</v>
      </c>
      <c r="O930">
        <v>0</v>
      </c>
      <c r="P930">
        <v>13398.7528</v>
      </c>
      <c r="Q930">
        <v>63903</v>
      </c>
      <c r="R930">
        <f>(Grandview_Inventory[[#This Row],[ln_acres]]*Grandview_Inventory[[#This Row],[coeff]])+Grandview_Inventory[[#This Row],[const]]</f>
        <v>41651.273092551026</v>
      </c>
      <c r="S930" t="s">
        <v>61</v>
      </c>
      <c r="T930">
        <v>1</v>
      </c>
      <c r="U930" t="s">
        <v>65</v>
      </c>
      <c r="V930" t="s">
        <v>67</v>
      </c>
      <c r="W930">
        <v>0</v>
      </c>
      <c r="X930">
        <v>0</v>
      </c>
      <c r="Y930">
        <v>48</v>
      </c>
      <c r="Z930">
        <v>61</v>
      </c>
      <c r="AA930">
        <v>70</v>
      </c>
      <c r="AB930">
        <v>1500</v>
      </c>
      <c r="AC930">
        <v>1247</v>
      </c>
      <c r="AD930">
        <v>1247</v>
      </c>
      <c r="AE930">
        <v>0</v>
      </c>
      <c r="AF930">
        <v>0</v>
      </c>
      <c r="AG930">
        <v>0</v>
      </c>
      <c r="AH930">
        <v>0</v>
      </c>
      <c r="AI930">
        <v>440</v>
      </c>
      <c r="AJ930">
        <v>0</v>
      </c>
      <c r="AK930">
        <v>0</v>
      </c>
      <c r="AL930">
        <v>0</v>
      </c>
      <c r="AM930">
        <v>240</v>
      </c>
      <c r="AN930">
        <v>0</v>
      </c>
      <c r="AO930">
        <v>240</v>
      </c>
      <c r="AP930">
        <v>5</v>
      </c>
      <c r="AQ930">
        <v>0</v>
      </c>
      <c r="AR930">
        <v>0</v>
      </c>
      <c r="AS930" t="s">
        <v>58</v>
      </c>
      <c r="AT930">
        <v>1</v>
      </c>
      <c r="AU930" t="s">
        <v>63</v>
      </c>
      <c r="AV930" t="s">
        <v>64</v>
      </c>
      <c r="AW930">
        <v>1</v>
      </c>
      <c r="AX930">
        <v>3</v>
      </c>
      <c r="AY930">
        <v>0</v>
      </c>
      <c r="AZ930">
        <v>0</v>
      </c>
      <c r="BA930">
        <v>100</v>
      </c>
      <c r="BB930">
        <v>100</v>
      </c>
      <c r="BC930">
        <v>100</v>
      </c>
      <c r="BD930">
        <v>100</v>
      </c>
      <c r="BE930">
        <v>1</v>
      </c>
      <c r="BF930">
        <v>15000</v>
      </c>
      <c r="BG930">
        <v>1000</v>
      </c>
      <c r="BH930" s="6">
        <f>Grandview_Inventory[[#This Row],[land_extract]]*Lookups!$B$3</f>
        <v>48369.510983942157</v>
      </c>
      <c r="BI930" s="6">
        <f>IF(Grandview_Inventory[[#This Row],[bldg_style]]="",0,Lookups!$B$2)</f>
        <v>155833.95000000001</v>
      </c>
      <c r="BJ930" s="6">
        <f>_xlfn.IFNA(VLOOKUP(Grandview_Inventory[[#This Row],[quality]],Lookups!$H$2:$J$14,3,FALSE),0)</f>
        <v>2251</v>
      </c>
      <c r="BK930" s="6">
        <f>_xlfn.IFNA(VLOOKUP(Grandview_Inventory[[#This Row],[condition]],Lookups!$H$17:$J$24,3,FALSE),0)</f>
        <v>22342</v>
      </c>
      <c r="BL930" s="6">
        <f>Grandview_Inventory[[#This Row],[Eff_Age]]*Lookups!$B$14</f>
        <v>-11479.996799999999</v>
      </c>
      <c r="BM930" s="6">
        <f>Grandview_Inventory[[#This Row],[living_area]]*Lookups!$B$15</f>
        <v>77788.923691000004</v>
      </c>
      <c r="BN930" s="6">
        <f>Grandview_Inventory[[#This Row],[Fin BSMT]]*Lookups!$B$16</f>
        <v>0</v>
      </c>
      <c r="BO930" s="6">
        <f>(Grandview_Inventory[[#This Row],[att_gar]]+Grandview_Inventory[[#This Row],[bltin_gar]])*Lookups!$B$17</f>
        <v>38508.992279999999</v>
      </c>
      <c r="BP930" s="6">
        <f>Grandview_Inventory[[#This Row],[Plumbing Fixtures]]*Lookups!$B$18</f>
        <v>10052.209000000001</v>
      </c>
      <c r="BQ930" s="6">
        <f>Grandview_Inventory[[#This Row],[detatched_value]]*Lookups!$B$19</f>
        <v>0</v>
      </c>
      <c r="BR930" s="6">
        <f>SUM(Grandview_Inventory[[#This Row],[Intercept]:[det_value]])*Grandview_Inventory[[#This Row],[res_pct]]</f>
        <v>295297.078171</v>
      </c>
      <c r="BS930" s="6">
        <f>Grandview_Inventory[[#This Row],[land_value]]</f>
        <v>48369.510983942157</v>
      </c>
      <c r="BT930" s="4">
        <f>_xlfn.IFNA(VLOOKUP(Grandview_Inventory[[#This Row],[quality]],Lookups!$A$26:$C$33,3,FALSE),1)</f>
        <v>0.98763855981004833</v>
      </c>
      <c r="BU930" s="4">
        <f>_xlfn.IFNA(VLOOKUP(Grandview_Inventory[[#This Row],[condition]],Lookups!$A$37:$C$44,3,FALSE),1)</f>
        <v>0.97383723671140243</v>
      </c>
      <c r="BV930" s="4">
        <f>IF(Grandview_Inventory[[#This Row],[bldg_style]]="",1,_xlfn.IFNA(VLOOKUP(Grandview_Inventory[[#This Row],[decade]],Lookups!$F$29:$H$43,3,FALSE),1))</f>
        <v>0.99472141305414818</v>
      </c>
      <c r="BW930" s="4">
        <f>_xlfn.IFNA(VLOOKUP(Grandview_Inventory[[#This Row],[living_area_range]],Lookups!$F$47:$H$56,3,FALSE),1)</f>
        <v>0.96135087979789358</v>
      </c>
      <c r="BX930" s="4">
        <f>AVERAGE(Grandview_Inventory[[#This Row],[qual_adj]:[size_adj]])</f>
        <v>0.97938702234337316</v>
      </c>
      <c r="BY930" s="6">
        <f>IF(Grandview_Inventory[[#This Row],[pre_res]]&lt;0,0,Grandview_Inventory[[#This Row],[pre_res]]*Grandview_Inventory[[#This Row],[overall_adj]])</f>
        <v>289210.12609659397</v>
      </c>
      <c r="BZ930" s="6">
        <f>(Grandview_Inventory[[#This Row],[sum_land]]-IF(Grandview_Inventory[[#This Row],[no_utilities]]=1,12000,0))/IF(Grandview_Inventory[[#This Row],[unbuildable]]=1,2,1)</f>
        <v>48369.510983942157</v>
      </c>
      <c r="CA93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30">
        <f>ROUND(Grandview_Inventory[[#This Row],[det_value]]*Lookups!$M$28,-2)</f>
        <v>0</v>
      </c>
      <c r="CC930">
        <f>IF(ROUND(Grandview_Inventory[[#This Row],[adj_res]]*Lookups!$M$28,-2)&lt;Grandview_Inventory[[#This Row],[min_res]],Grandview_Inventory[[#This Row],[min_res]],ROUND(Grandview_Inventory[[#This Row],[adj_res]]*Lookups!$M$28,-2))</f>
        <v>274700</v>
      </c>
      <c r="CD930">
        <f>Grandview_Inventory[[#This Row],[final_det]]+Grandview_Inventory[[#This Row],[final_res]]</f>
        <v>274700</v>
      </c>
      <c r="CE930">
        <f>Grandview_Inventory[[#This Row],[final_land]]+Grandview_Inventory[[#This Row],[final_imp]]+Grandview_Inventory[[#This Row],[crop_value]]</f>
        <v>320700</v>
      </c>
      <c r="CG930" t="str">
        <f t="shared" si="14"/>
        <v>update valuation set market_land =46000, market_bldg=274700, market_total =320700, market_mdno =401, market_date ='9/10/2023' where link_id = (select link_id from parcel where parcel_year = '2024' and parcel_id = '23092241460');</v>
      </c>
    </row>
    <row r="931" spans="1:85" x14ac:dyDescent="0.25">
      <c r="A931">
        <v>23092241461</v>
      </c>
      <c r="B931">
        <v>0.19</v>
      </c>
      <c r="C931">
        <v>8079</v>
      </c>
      <c r="D931" t="s">
        <v>129</v>
      </c>
      <c r="E931" t="s">
        <v>53</v>
      </c>
      <c r="F931" t="s">
        <v>53</v>
      </c>
      <c r="G931">
        <v>4</v>
      </c>
      <c r="H931" t="s">
        <v>54</v>
      </c>
      <c r="I931">
        <v>155500</v>
      </c>
      <c r="J931">
        <v>43300</v>
      </c>
      <c r="K931">
        <v>0.19</v>
      </c>
      <c r="L93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31">
        <v>0</v>
      </c>
      <c r="N931">
        <v>0</v>
      </c>
      <c r="O931">
        <v>0</v>
      </c>
      <c r="P931">
        <v>13398.7528</v>
      </c>
      <c r="Q931">
        <v>63903</v>
      </c>
      <c r="R931">
        <f>(Grandview_Inventory[[#This Row],[ln_acres]]*Grandview_Inventory[[#This Row],[coeff]])+Grandview_Inventory[[#This Row],[const]]</f>
        <v>41651.273092551026</v>
      </c>
      <c r="S931" t="s">
        <v>61</v>
      </c>
      <c r="T931">
        <v>1</v>
      </c>
      <c r="U931" t="s">
        <v>62</v>
      </c>
      <c r="V931" t="s">
        <v>69</v>
      </c>
      <c r="W931">
        <v>0</v>
      </c>
      <c r="X931">
        <v>0</v>
      </c>
      <c r="Y931">
        <v>48</v>
      </c>
      <c r="Z931">
        <v>63</v>
      </c>
      <c r="AA931">
        <v>70</v>
      </c>
      <c r="AB931">
        <v>1500</v>
      </c>
      <c r="AC931">
        <v>1198</v>
      </c>
      <c r="AD931">
        <v>1198</v>
      </c>
      <c r="AE931">
        <v>0</v>
      </c>
      <c r="AF931">
        <v>0</v>
      </c>
      <c r="AG931">
        <v>0</v>
      </c>
      <c r="AH931">
        <v>0</v>
      </c>
      <c r="AI931">
        <v>480</v>
      </c>
      <c r="AJ931">
        <v>0</v>
      </c>
      <c r="AK931">
        <v>0</v>
      </c>
      <c r="AL931">
        <v>0</v>
      </c>
      <c r="AM931">
        <v>180</v>
      </c>
      <c r="AN931">
        <v>88</v>
      </c>
      <c r="AO931">
        <v>180</v>
      </c>
      <c r="AP931">
        <v>5</v>
      </c>
      <c r="AQ931">
        <v>0</v>
      </c>
      <c r="AR931">
        <v>0</v>
      </c>
      <c r="AS931" t="s">
        <v>58</v>
      </c>
      <c r="AT931">
        <v>1</v>
      </c>
      <c r="AU931" t="s">
        <v>63</v>
      </c>
      <c r="AV931" t="s">
        <v>60</v>
      </c>
      <c r="AW931">
        <v>0</v>
      </c>
      <c r="AX931">
        <v>3</v>
      </c>
      <c r="AY931">
        <v>0</v>
      </c>
      <c r="AZ931">
        <v>0</v>
      </c>
      <c r="BA931">
        <v>100</v>
      </c>
      <c r="BB931">
        <v>100</v>
      </c>
      <c r="BC931">
        <v>100</v>
      </c>
      <c r="BD931">
        <v>100</v>
      </c>
      <c r="BE931">
        <v>1</v>
      </c>
      <c r="BF931">
        <v>15000</v>
      </c>
      <c r="BG931">
        <v>1000</v>
      </c>
      <c r="BH931" s="6">
        <f>Grandview_Inventory[[#This Row],[land_extract]]*Lookups!$B$3</f>
        <v>48369.510983942157</v>
      </c>
      <c r="BI931" s="6">
        <f>IF(Grandview_Inventory[[#This Row],[bldg_style]]="",0,Lookups!$B$2)</f>
        <v>155833.95000000001</v>
      </c>
      <c r="BJ931" s="6">
        <f>_xlfn.IFNA(VLOOKUP(Grandview_Inventory[[#This Row],[quality]],Lookups!$H$2:$J$14,3,FALSE),0)</f>
        <v>9808</v>
      </c>
      <c r="BK931" s="6">
        <f>_xlfn.IFNA(VLOOKUP(Grandview_Inventory[[#This Row],[condition]],Lookups!$H$17:$J$24,3,FALSE),0)</f>
        <v>-4503</v>
      </c>
      <c r="BL931" s="6">
        <f>Grandview_Inventory[[#This Row],[Eff_Age]]*Lookups!$B$14</f>
        <v>-11479.996799999999</v>
      </c>
      <c r="BM931" s="6">
        <f>Grandview_Inventory[[#This Row],[living_area]]*Lookups!$B$15</f>
        <v>74732.261893999996</v>
      </c>
      <c r="BN931" s="6">
        <f>Grandview_Inventory[[#This Row],[Fin BSMT]]*Lookups!$B$16</f>
        <v>0</v>
      </c>
      <c r="BO931" s="6">
        <f>(Grandview_Inventory[[#This Row],[att_gar]]+Grandview_Inventory[[#This Row],[bltin_gar]])*Lookups!$B$17</f>
        <v>42009.809760000004</v>
      </c>
      <c r="BP931" s="6">
        <f>Grandview_Inventory[[#This Row],[Plumbing Fixtures]]*Lookups!$B$18</f>
        <v>10052.209000000001</v>
      </c>
      <c r="BQ931" s="6">
        <f>Grandview_Inventory[[#This Row],[detatched_value]]*Lookups!$B$19</f>
        <v>0</v>
      </c>
      <c r="BR931" s="6">
        <f>SUM(Grandview_Inventory[[#This Row],[Intercept]:[det_value]])*Grandview_Inventory[[#This Row],[res_pct]]</f>
        <v>276453.23385399999</v>
      </c>
      <c r="BS931" s="6">
        <f>Grandview_Inventory[[#This Row],[land_value]]</f>
        <v>48369.510983942157</v>
      </c>
      <c r="BT931" s="4">
        <f>_xlfn.IFNA(VLOOKUP(Grandview_Inventory[[#This Row],[quality]],Lookups!$A$26:$C$33,3,FALSE),1)</f>
        <v>0.94295468617355149</v>
      </c>
      <c r="BU931" s="4">
        <f>_xlfn.IFNA(VLOOKUP(Grandview_Inventory[[#This Row],[condition]],Lookups!$A$37:$C$44,3,FALSE),1)</f>
        <v>0.96469275950863709</v>
      </c>
      <c r="BV931" s="4">
        <f>IF(Grandview_Inventory[[#This Row],[bldg_style]]="",1,_xlfn.IFNA(VLOOKUP(Grandview_Inventory[[#This Row],[decade]],Lookups!$F$29:$H$43,3,FALSE),1))</f>
        <v>0.99472141305414818</v>
      </c>
      <c r="BW931" s="4">
        <f>_xlfn.IFNA(VLOOKUP(Grandview_Inventory[[#This Row],[living_area_range]],Lookups!$F$47:$H$56,3,FALSE),1)</f>
        <v>0.96135087979789358</v>
      </c>
      <c r="BX931" s="4">
        <f>AVERAGE(Grandview_Inventory[[#This Row],[qual_adj]:[size_adj]])</f>
        <v>0.96592993463355759</v>
      </c>
      <c r="BY931" s="6">
        <f>IF(Grandview_Inventory[[#This Row],[pre_res]]&lt;0,0,Grandview_Inventory[[#This Row],[pre_res]]*Grandview_Inventory[[#This Row],[overall_adj]])</f>
        <v>267034.45410582982</v>
      </c>
      <c r="BZ931" s="6">
        <f>(Grandview_Inventory[[#This Row],[sum_land]]-IF(Grandview_Inventory[[#This Row],[no_utilities]]=1,12000,0))/IF(Grandview_Inventory[[#This Row],[unbuildable]]=1,2,1)</f>
        <v>48369.510983942157</v>
      </c>
      <c r="CA93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31">
        <f>ROUND(Grandview_Inventory[[#This Row],[det_value]]*Lookups!$M$28,-2)</f>
        <v>0</v>
      </c>
      <c r="CC931">
        <f>IF(ROUND(Grandview_Inventory[[#This Row],[adj_res]]*Lookups!$M$28,-2)&lt;Grandview_Inventory[[#This Row],[min_res]],Grandview_Inventory[[#This Row],[min_res]],ROUND(Grandview_Inventory[[#This Row],[adj_res]]*Lookups!$M$28,-2))</f>
        <v>253700</v>
      </c>
      <c r="CD931">
        <f>Grandview_Inventory[[#This Row],[final_det]]+Grandview_Inventory[[#This Row],[final_res]]</f>
        <v>253700</v>
      </c>
      <c r="CE931">
        <f>Grandview_Inventory[[#This Row],[final_land]]+Grandview_Inventory[[#This Row],[final_imp]]+Grandview_Inventory[[#This Row],[crop_value]]</f>
        <v>299700</v>
      </c>
      <c r="CG931" t="str">
        <f t="shared" si="14"/>
        <v>update valuation set market_land =46000, market_bldg=253700, market_total =299700, market_mdno =401, market_date ='9/10/2023' where link_id = (select link_id from parcel where parcel_year = '2024' and parcel_id = '23092241461');</v>
      </c>
    </row>
    <row r="932" spans="1:85" x14ac:dyDescent="0.25">
      <c r="A932">
        <v>23092241462</v>
      </c>
      <c r="B932">
        <v>0.2</v>
      </c>
      <c r="C932">
        <v>8553</v>
      </c>
      <c r="D932" t="s">
        <v>129</v>
      </c>
      <c r="E932" t="s">
        <v>53</v>
      </c>
      <c r="F932" t="s">
        <v>53</v>
      </c>
      <c r="G932">
        <v>4</v>
      </c>
      <c r="H932" t="s">
        <v>54</v>
      </c>
      <c r="I932">
        <v>223600</v>
      </c>
      <c r="J932">
        <v>43500</v>
      </c>
      <c r="K932">
        <v>0.2</v>
      </c>
      <c r="L93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32">
        <v>0</v>
      </c>
      <c r="N932">
        <v>0</v>
      </c>
      <c r="O932">
        <v>0</v>
      </c>
      <c r="P932">
        <v>13398.7528</v>
      </c>
      <c r="Q932">
        <v>63903</v>
      </c>
      <c r="R932">
        <f>(Grandview_Inventory[[#This Row],[ln_acres]]*Grandview_Inventory[[#This Row],[coeff]])+Grandview_Inventory[[#This Row],[const]]</f>
        <v>42338.539264347448</v>
      </c>
      <c r="S932" t="s">
        <v>61</v>
      </c>
      <c r="T932">
        <v>1</v>
      </c>
      <c r="U932" t="s">
        <v>65</v>
      </c>
      <c r="V932" t="s">
        <v>67</v>
      </c>
      <c r="W932">
        <v>0</v>
      </c>
      <c r="X932">
        <v>0</v>
      </c>
      <c r="Y932">
        <v>48</v>
      </c>
      <c r="Z932">
        <v>63</v>
      </c>
      <c r="AA932">
        <v>70</v>
      </c>
      <c r="AB932">
        <v>1500</v>
      </c>
      <c r="AC932">
        <v>1438</v>
      </c>
      <c r="AD932">
        <v>1438</v>
      </c>
      <c r="AE932">
        <v>0</v>
      </c>
      <c r="AF932">
        <v>0</v>
      </c>
      <c r="AG932">
        <v>0</v>
      </c>
      <c r="AH932">
        <v>0</v>
      </c>
      <c r="AI932">
        <v>462</v>
      </c>
      <c r="AJ932">
        <v>0</v>
      </c>
      <c r="AK932">
        <v>0</v>
      </c>
      <c r="AL932">
        <v>0</v>
      </c>
      <c r="AM932">
        <v>88</v>
      </c>
      <c r="AN932">
        <v>0</v>
      </c>
      <c r="AO932">
        <v>88</v>
      </c>
      <c r="AP932">
        <v>5</v>
      </c>
      <c r="AQ932">
        <v>0</v>
      </c>
      <c r="AR932">
        <v>0</v>
      </c>
      <c r="AS932" t="s">
        <v>58</v>
      </c>
      <c r="AT932">
        <v>1</v>
      </c>
      <c r="AU932" t="s">
        <v>63</v>
      </c>
      <c r="AV932" t="s">
        <v>60</v>
      </c>
      <c r="AW932">
        <v>1</v>
      </c>
      <c r="AX932">
        <v>3</v>
      </c>
      <c r="AY932">
        <v>0</v>
      </c>
      <c r="AZ932">
        <v>0</v>
      </c>
      <c r="BA932">
        <v>100</v>
      </c>
      <c r="BB932">
        <v>100</v>
      </c>
      <c r="BC932">
        <v>100</v>
      </c>
      <c r="BD932">
        <v>100</v>
      </c>
      <c r="BE932">
        <v>1</v>
      </c>
      <c r="BF932">
        <v>15000</v>
      </c>
      <c r="BG932">
        <v>1000</v>
      </c>
      <c r="BH932" s="6">
        <f>Grandview_Inventory[[#This Row],[land_extract]]*Lookups!$B$3</f>
        <v>49167.631333630678</v>
      </c>
      <c r="BI932" s="6">
        <f>IF(Grandview_Inventory[[#This Row],[bldg_style]]="",0,Lookups!$B$2)</f>
        <v>155833.95000000001</v>
      </c>
      <c r="BJ932" s="6">
        <f>_xlfn.IFNA(VLOOKUP(Grandview_Inventory[[#This Row],[quality]],Lookups!$H$2:$J$14,3,FALSE),0)</f>
        <v>2251</v>
      </c>
      <c r="BK932" s="6">
        <f>_xlfn.IFNA(VLOOKUP(Grandview_Inventory[[#This Row],[condition]],Lookups!$H$17:$J$24,3,FALSE),0)</f>
        <v>22342</v>
      </c>
      <c r="BL932" s="6">
        <f>Grandview_Inventory[[#This Row],[Eff_Age]]*Lookups!$B$14</f>
        <v>-11479.996799999999</v>
      </c>
      <c r="BM932" s="6">
        <f>Grandview_Inventory[[#This Row],[living_area]]*Lookups!$B$15</f>
        <v>89703.666614000002</v>
      </c>
      <c r="BN932" s="6">
        <f>Grandview_Inventory[[#This Row],[Fin BSMT]]*Lookups!$B$16</f>
        <v>0</v>
      </c>
      <c r="BO932" s="6">
        <f>(Grandview_Inventory[[#This Row],[att_gar]]+Grandview_Inventory[[#This Row],[bltin_gar]])*Lookups!$B$17</f>
        <v>40434.441894000003</v>
      </c>
      <c r="BP932" s="6">
        <f>Grandview_Inventory[[#This Row],[Plumbing Fixtures]]*Lookups!$B$18</f>
        <v>10052.209000000001</v>
      </c>
      <c r="BQ932" s="6">
        <f>Grandview_Inventory[[#This Row],[detatched_value]]*Lookups!$B$19</f>
        <v>0</v>
      </c>
      <c r="BR932" s="6">
        <f>SUM(Grandview_Inventory[[#This Row],[Intercept]:[det_value]])*Grandview_Inventory[[#This Row],[res_pct]]</f>
        <v>309137.270708</v>
      </c>
      <c r="BS932" s="6">
        <f>Grandview_Inventory[[#This Row],[land_value]]</f>
        <v>49167.631333630678</v>
      </c>
      <c r="BT932" s="4">
        <f>_xlfn.IFNA(VLOOKUP(Grandview_Inventory[[#This Row],[quality]],Lookups!$A$26:$C$33,3,FALSE),1)</f>
        <v>0.98763855981004833</v>
      </c>
      <c r="BU932" s="4">
        <f>_xlfn.IFNA(VLOOKUP(Grandview_Inventory[[#This Row],[condition]],Lookups!$A$37:$C$44,3,FALSE),1)</f>
        <v>0.97383723671140243</v>
      </c>
      <c r="BV932" s="4">
        <f>IF(Grandview_Inventory[[#This Row],[bldg_style]]="",1,_xlfn.IFNA(VLOOKUP(Grandview_Inventory[[#This Row],[decade]],Lookups!$F$29:$H$43,3,FALSE),1))</f>
        <v>0.99472141305414818</v>
      </c>
      <c r="BW932" s="4">
        <f>_xlfn.IFNA(VLOOKUP(Grandview_Inventory[[#This Row],[living_area_range]],Lookups!$F$47:$H$56,3,FALSE),1)</f>
        <v>0.96135087979789358</v>
      </c>
      <c r="BX932" s="4">
        <f>AVERAGE(Grandview_Inventory[[#This Row],[qual_adj]:[size_adj]])</f>
        <v>0.97938702234337316</v>
      </c>
      <c r="BY932" s="6">
        <f>IF(Grandview_Inventory[[#This Row],[pre_res]]&lt;0,0,Grandview_Inventory[[#This Row],[pre_res]]*Grandview_Inventory[[#This Row],[overall_adj]])</f>
        <v>302765.03105406539</v>
      </c>
      <c r="BZ932" s="6">
        <f>(Grandview_Inventory[[#This Row],[sum_land]]-IF(Grandview_Inventory[[#This Row],[no_utilities]]=1,12000,0))/IF(Grandview_Inventory[[#This Row],[unbuildable]]=1,2,1)</f>
        <v>49167.631333630678</v>
      </c>
      <c r="CA93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32">
        <f>ROUND(Grandview_Inventory[[#This Row],[det_value]]*Lookups!$M$28,-2)</f>
        <v>0</v>
      </c>
      <c r="CC932">
        <f>IF(ROUND(Grandview_Inventory[[#This Row],[adj_res]]*Lookups!$M$28,-2)&lt;Grandview_Inventory[[#This Row],[min_res]],Grandview_Inventory[[#This Row],[min_res]],ROUND(Grandview_Inventory[[#This Row],[adj_res]]*Lookups!$M$28,-2))</f>
        <v>287600</v>
      </c>
      <c r="CD932">
        <f>Grandview_Inventory[[#This Row],[final_det]]+Grandview_Inventory[[#This Row],[final_res]]</f>
        <v>287600</v>
      </c>
      <c r="CE932">
        <f>Grandview_Inventory[[#This Row],[final_land]]+Grandview_Inventory[[#This Row],[final_imp]]+Grandview_Inventory[[#This Row],[crop_value]]</f>
        <v>334300</v>
      </c>
      <c r="CG932" t="str">
        <f t="shared" si="14"/>
        <v>update valuation set market_land =46700, market_bldg=287600, market_total =334300, market_mdno =401, market_date ='9/10/2023' where link_id = (select link_id from parcel where parcel_year = '2024' and parcel_id = '23092241462');</v>
      </c>
    </row>
    <row r="933" spans="1:85" x14ac:dyDescent="0.25">
      <c r="A933">
        <v>23092241463</v>
      </c>
      <c r="B933">
        <v>0.2</v>
      </c>
      <c r="C933">
        <v>8553</v>
      </c>
      <c r="D933" t="s">
        <v>129</v>
      </c>
      <c r="E933" t="s">
        <v>53</v>
      </c>
      <c r="F933" t="s">
        <v>53</v>
      </c>
      <c r="G933">
        <v>4</v>
      </c>
      <c r="H933" t="s">
        <v>54</v>
      </c>
      <c r="I933">
        <v>226200</v>
      </c>
      <c r="J933">
        <v>43500</v>
      </c>
      <c r="K933">
        <v>0.2</v>
      </c>
      <c r="L93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33">
        <v>0</v>
      </c>
      <c r="N933">
        <v>0</v>
      </c>
      <c r="O933">
        <v>0</v>
      </c>
      <c r="P933">
        <v>13398.7528</v>
      </c>
      <c r="Q933">
        <v>63903</v>
      </c>
      <c r="R933">
        <f>(Grandview_Inventory[[#This Row],[ln_acres]]*Grandview_Inventory[[#This Row],[coeff]])+Grandview_Inventory[[#This Row],[const]]</f>
        <v>42338.539264347448</v>
      </c>
      <c r="S933" t="s">
        <v>74</v>
      </c>
      <c r="T933">
        <v>1</v>
      </c>
      <c r="U933" t="s">
        <v>65</v>
      </c>
      <c r="V933" t="s">
        <v>69</v>
      </c>
      <c r="W933">
        <v>0</v>
      </c>
      <c r="X933">
        <v>0</v>
      </c>
      <c r="Y933">
        <v>48</v>
      </c>
      <c r="Z933">
        <v>63</v>
      </c>
      <c r="AA933">
        <v>70</v>
      </c>
      <c r="AB933">
        <v>2000</v>
      </c>
      <c r="AC933">
        <v>1842</v>
      </c>
      <c r="AD933">
        <v>1270</v>
      </c>
      <c r="AE933">
        <v>0</v>
      </c>
      <c r="AF933">
        <v>0</v>
      </c>
      <c r="AG933">
        <v>572</v>
      </c>
      <c r="AH933">
        <v>0</v>
      </c>
      <c r="AI933">
        <v>338</v>
      </c>
      <c r="AJ933">
        <v>0</v>
      </c>
      <c r="AK933">
        <v>0</v>
      </c>
      <c r="AL933">
        <v>0</v>
      </c>
      <c r="AM933">
        <v>200</v>
      </c>
      <c r="AN933">
        <v>0</v>
      </c>
      <c r="AO933">
        <v>0</v>
      </c>
      <c r="AP933">
        <v>9</v>
      </c>
      <c r="AQ933">
        <v>0</v>
      </c>
      <c r="AR933">
        <v>0</v>
      </c>
      <c r="AS933" t="s">
        <v>58</v>
      </c>
      <c r="AT933">
        <v>1</v>
      </c>
      <c r="AU933" t="s">
        <v>63</v>
      </c>
      <c r="AV933" t="s">
        <v>60</v>
      </c>
      <c r="AW933">
        <v>1</v>
      </c>
      <c r="AX933">
        <v>4</v>
      </c>
      <c r="AY933">
        <v>0</v>
      </c>
      <c r="AZ933">
        <v>0</v>
      </c>
      <c r="BA933">
        <v>100</v>
      </c>
      <c r="BB933">
        <v>100</v>
      </c>
      <c r="BC933">
        <v>100</v>
      </c>
      <c r="BD933">
        <v>100</v>
      </c>
      <c r="BE933">
        <v>1</v>
      </c>
      <c r="BF933">
        <v>15000</v>
      </c>
      <c r="BG933">
        <v>1000</v>
      </c>
      <c r="BH933" s="6">
        <f>Grandview_Inventory[[#This Row],[land_extract]]*Lookups!$B$3</f>
        <v>49167.631333630678</v>
      </c>
      <c r="BI933" s="6">
        <f>IF(Grandview_Inventory[[#This Row],[bldg_style]]="",0,Lookups!$B$2)</f>
        <v>155833.95000000001</v>
      </c>
      <c r="BJ933" s="6">
        <f>_xlfn.IFNA(VLOOKUP(Grandview_Inventory[[#This Row],[quality]],Lookups!$H$2:$J$14,3,FALSE),0)</f>
        <v>2251</v>
      </c>
      <c r="BK933" s="6">
        <f>_xlfn.IFNA(VLOOKUP(Grandview_Inventory[[#This Row],[condition]],Lookups!$H$17:$J$24,3,FALSE),0)</f>
        <v>-4503</v>
      </c>
      <c r="BL933" s="6">
        <f>Grandview_Inventory[[#This Row],[Eff_Age]]*Lookups!$B$14</f>
        <v>-11479.996799999999</v>
      </c>
      <c r="BM933" s="6">
        <f>Grandview_Inventory[[#This Row],[living_area]]*Lookups!$B$15</f>
        <v>114905.53122600001</v>
      </c>
      <c r="BN933" s="6">
        <f>Grandview_Inventory[[#This Row],[Fin BSMT]]*Lookups!$B$16</f>
        <v>-15500.765280000001</v>
      </c>
      <c r="BO933" s="6">
        <f>(Grandview_Inventory[[#This Row],[att_gar]]+Grandview_Inventory[[#This Row],[bltin_gar]])*Lookups!$B$17</f>
        <v>29581.907706000002</v>
      </c>
      <c r="BP933" s="6">
        <f>Grandview_Inventory[[#This Row],[Plumbing Fixtures]]*Lookups!$B$18</f>
        <v>18093.976200000001</v>
      </c>
      <c r="BQ933" s="6">
        <f>Grandview_Inventory[[#This Row],[detatched_value]]*Lookups!$B$19</f>
        <v>0</v>
      </c>
      <c r="BR933" s="6">
        <f>SUM(Grandview_Inventory[[#This Row],[Intercept]:[det_value]])*Grandview_Inventory[[#This Row],[res_pct]]</f>
        <v>289182.60305200005</v>
      </c>
      <c r="BS933" s="6">
        <f>Grandview_Inventory[[#This Row],[land_value]]</f>
        <v>49167.631333630678</v>
      </c>
      <c r="BT933" s="4">
        <f>_xlfn.IFNA(VLOOKUP(Grandview_Inventory[[#This Row],[quality]],Lookups!$A$26:$C$33,3,FALSE),1)</f>
        <v>0.98763855981004833</v>
      </c>
      <c r="BU933" s="4">
        <f>_xlfn.IFNA(VLOOKUP(Grandview_Inventory[[#This Row],[condition]],Lookups!$A$37:$C$44,3,FALSE),1)</f>
        <v>0.96469275950863709</v>
      </c>
      <c r="BV933" s="4">
        <f>IF(Grandview_Inventory[[#This Row],[bldg_style]]="",1,_xlfn.IFNA(VLOOKUP(Grandview_Inventory[[#This Row],[decade]],Lookups!$F$29:$H$43,3,FALSE),1))</f>
        <v>0.99472141305414818</v>
      </c>
      <c r="BW933" s="4">
        <f>_xlfn.IFNA(VLOOKUP(Grandview_Inventory[[#This Row],[living_area_range]],Lookups!$F$47:$H$56,3,FALSE),1)</f>
        <v>0.96120133463014379</v>
      </c>
      <c r="BX933" s="4">
        <f>AVERAGE(Grandview_Inventory[[#This Row],[qual_adj]:[size_adj]])</f>
        <v>0.97706351675074443</v>
      </c>
      <c r="BY933" s="6">
        <f>IF(Grandview_Inventory[[#This Row],[pre_res]]&lt;0,0,Grandview_Inventory[[#This Row],[pre_res]]*Grandview_Inventory[[#This Row],[overall_adj]])</f>
        <v>282549.77112112171</v>
      </c>
      <c r="BZ933" s="6">
        <f>(Grandview_Inventory[[#This Row],[sum_land]]-IF(Grandview_Inventory[[#This Row],[no_utilities]]=1,12000,0))/IF(Grandview_Inventory[[#This Row],[unbuildable]]=1,2,1)</f>
        <v>49167.631333630678</v>
      </c>
      <c r="CA93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33">
        <f>ROUND(Grandview_Inventory[[#This Row],[det_value]]*Lookups!$M$28,-2)</f>
        <v>0</v>
      </c>
      <c r="CC933">
        <f>IF(ROUND(Grandview_Inventory[[#This Row],[adj_res]]*Lookups!$M$28,-2)&lt;Grandview_Inventory[[#This Row],[min_res]],Grandview_Inventory[[#This Row],[min_res]],ROUND(Grandview_Inventory[[#This Row],[adj_res]]*Lookups!$M$28,-2))</f>
        <v>268400</v>
      </c>
      <c r="CD933">
        <f>Grandview_Inventory[[#This Row],[final_det]]+Grandview_Inventory[[#This Row],[final_res]]</f>
        <v>268400</v>
      </c>
      <c r="CE933">
        <f>Grandview_Inventory[[#This Row],[final_land]]+Grandview_Inventory[[#This Row],[final_imp]]+Grandview_Inventory[[#This Row],[crop_value]]</f>
        <v>315100</v>
      </c>
      <c r="CG933" t="str">
        <f t="shared" si="14"/>
        <v>update valuation set market_land =46700, market_bldg=268400, market_total =315100, market_mdno =401, market_date ='9/10/2023' where link_id = (select link_id from parcel where parcel_year = '2024' and parcel_id = '23092241463');</v>
      </c>
    </row>
    <row r="934" spans="1:85" x14ac:dyDescent="0.25">
      <c r="A934">
        <v>23092241464</v>
      </c>
      <c r="B934">
        <v>0.2</v>
      </c>
      <c r="C934">
        <v>8553</v>
      </c>
      <c r="D934" t="s">
        <v>129</v>
      </c>
      <c r="E934" t="s">
        <v>53</v>
      </c>
      <c r="F934" t="s">
        <v>53</v>
      </c>
      <c r="G934">
        <v>4</v>
      </c>
      <c r="H934" t="s">
        <v>54</v>
      </c>
      <c r="I934">
        <v>192600</v>
      </c>
      <c r="J934">
        <v>43500</v>
      </c>
      <c r="K934">
        <v>0.2</v>
      </c>
      <c r="L93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34">
        <v>0</v>
      </c>
      <c r="N934">
        <v>0</v>
      </c>
      <c r="O934">
        <v>0</v>
      </c>
      <c r="P934">
        <v>13398.7528</v>
      </c>
      <c r="Q934">
        <v>63903</v>
      </c>
      <c r="R934">
        <f>(Grandview_Inventory[[#This Row],[ln_acres]]*Grandview_Inventory[[#This Row],[coeff]])+Grandview_Inventory[[#This Row],[const]]</f>
        <v>42338.539264347448</v>
      </c>
      <c r="S934" t="s">
        <v>61</v>
      </c>
      <c r="T934">
        <v>1</v>
      </c>
      <c r="U934" t="s">
        <v>65</v>
      </c>
      <c r="V934" t="s">
        <v>69</v>
      </c>
      <c r="W934">
        <v>0</v>
      </c>
      <c r="X934">
        <v>0</v>
      </c>
      <c r="Y934">
        <v>48</v>
      </c>
      <c r="Z934">
        <v>63</v>
      </c>
      <c r="AA934">
        <v>70</v>
      </c>
      <c r="AB934">
        <v>2500</v>
      </c>
      <c r="AC934">
        <v>2150</v>
      </c>
      <c r="AD934">
        <v>1405</v>
      </c>
      <c r="AE934">
        <v>0</v>
      </c>
      <c r="AF934">
        <v>0</v>
      </c>
      <c r="AG934">
        <v>745</v>
      </c>
      <c r="AH934">
        <v>0</v>
      </c>
      <c r="AI934">
        <v>286</v>
      </c>
      <c r="AJ934">
        <v>0</v>
      </c>
      <c r="AK934">
        <v>0</v>
      </c>
      <c r="AL934">
        <v>0</v>
      </c>
      <c r="AM934">
        <v>326</v>
      </c>
      <c r="AN934">
        <v>0</v>
      </c>
      <c r="AO934">
        <v>87</v>
      </c>
      <c r="AP934">
        <v>9</v>
      </c>
      <c r="AQ934">
        <v>0</v>
      </c>
      <c r="AR934">
        <v>0</v>
      </c>
      <c r="AS934" t="s">
        <v>58</v>
      </c>
      <c r="AT934">
        <v>1</v>
      </c>
      <c r="AU934" t="s">
        <v>59</v>
      </c>
      <c r="AV934" t="s">
        <v>60</v>
      </c>
      <c r="AW934">
        <v>1</v>
      </c>
      <c r="AX934">
        <v>4</v>
      </c>
      <c r="AY934">
        <v>0</v>
      </c>
      <c r="AZ934">
        <v>0</v>
      </c>
      <c r="BA934">
        <v>100</v>
      </c>
      <c r="BB934">
        <v>100</v>
      </c>
      <c r="BC934">
        <v>100</v>
      </c>
      <c r="BD934">
        <v>100</v>
      </c>
      <c r="BE934">
        <v>1</v>
      </c>
      <c r="BF934">
        <v>15000</v>
      </c>
      <c r="BG934">
        <v>1000</v>
      </c>
      <c r="BH934" s="6">
        <f>Grandview_Inventory[[#This Row],[land_extract]]*Lookups!$B$3</f>
        <v>49167.631333630678</v>
      </c>
      <c r="BI934" s="6">
        <f>IF(Grandview_Inventory[[#This Row],[bldg_style]]="",0,Lookups!$B$2)</f>
        <v>155833.95000000001</v>
      </c>
      <c r="BJ934" s="6">
        <f>_xlfn.IFNA(VLOOKUP(Grandview_Inventory[[#This Row],[quality]],Lookups!$H$2:$J$14,3,FALSE),0)</f>
        <v>2251</v>
      </c>
      <c r="BK934" s="6">
        <f>_xlfn.IFNA(VLOOKUP(Grandview_Inventory[[#This Row],[condition]],Lookups!$H$17:$J$24,3,FALSE),0)</f>
        <v>-4503</v>
      </c>
      <c r="BL934" s="6">
        <f>Grandview_Inventory[[#This Row],[Eff_Age]]*Lookups!$B$14</f>
        <v>-11479.996799999999</v>
      </c>
      <c r="BM934" s="6">
        <f>Grandview_Inventory[[#This Row],[living_area]]*Lookups!$B$15</f>
        <v>134118.83395</v>
      </c>
      <c r="BN934" s="6">
        <f>Grandview_Inventory[[#This Row],[Fin BSMT]]*Lookups!$B$16</f>
        <v>-20188.933800000003</v>
      </c>
      <c r="BO934" s="6">
        <f>(Grandview_Inventory[[#This Row],[att_gar]]+Grandview_Inventory[[#This Row],[bltin_gar]])*Lookups!$B$17</f>
        <v>25030.844981999999</v>
      </c>
      <c r="BP934" s="6">
        <f>Grandview_Inventory[[#This Row],[Plumbing Fixtures]]*Lookups!$B$18</f>
        <v>18093.976200000001</v>
      </c>
      <c r="BQ934" s="6">
        <f>Grandview_Inventory[[#This Row],[detatched_value]]*Lookups!$B$19</f>
        <v>0</v>
      </c>
      <c r="BR934" s="6">
        <f>SUM(Grandview_Inventory[[#This Row],[Intercept]:[det_value]])*Grandview_Inventory[[#This Row],[res_pct]]</f>
        <v>299156.67453199998</v>
      </c>
      <c r="BS934" s="6">
        <f>Grandview_Inventory[[#This Row],[land_value]]</f>
        <v>49167.631333630678</v>
      </c>
      <c r="BT934" s="4">
        <f>_xlfn.IFNA(VLOOKUP(Grandview_Inventory[[#This Row],[quality]],Lookups!$A$26:$C$33,3,FALSE),1)</f>
        <v>0.98763855981004833</v>
      </c>
      <c r="BU934" s="4">
        <f>_xlfn.IFNA(VLOOKUP(Grandview_Inventory[[#This Row],[condition]],Lookups!$A$37:$C$44,3,FALSE),1)</f>
        <v>0.96469275950863709</v>
      </c>
      <c r="BV934" s="4">
        <f>IF(Grandview_Inventory[[#This Row],[bldg_style]]="",1,_xlfn.IFNA(VLOOKUP(Grandview_Inventory[[#This Row],[decade]],Lookups!$F$29:$H$43,3,FALSE),1))</f>
        <v>0.99472141305414818</v>
      </c>
      <c r="BW934" s="4">
        <f>_xlfn.IFNA(VLOOKUP(Grandview_Inventory[[#This Row],[living_area_range]],Lookups!$F$47:$H$56,3,FALSE),1)</f>
        <v>0.95799442568048754</v>
      </c>
      <c r="BX934" s="4">
        <f>AVERAGE(Grandview_Inventory[[#This Row],[qual_adj]:[size_adj]])</f>
        <v>0.97626178951333031</v>
      </c>
      <c r="BY934" s="6">
        <f>IF(Grandview_Inventory[[#This Row],[pre_res]]&lt;0,0,Grandview_Inventory[[#This Row],[pre_res]]*Grandview_Inventory[[#This Row],[overall_adj]])</f>
        <v>292055.23042346723</v>
      </c>
      <c r="BZ934" s="6">
        <f>(Grandview_Inventory[[#This Row],[sum_land]]-IF(Grandview_Inventory[[#This Row],[no_utilities]]=1,12000,0))/IF(Grandview_Inventory[[#This Row],[unbuildable]]=1,2,1)</f>
        <v>49167.631333630678</v>
      </c>
      <c r="CA93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34">
        <f>ROUND(Grandview_Inventory[[#This Row],[det_value]]*Lookups!$M$28,-2)</f>
        <v>0</v>
      </c>
      <c r="CC934">
        <f>IF(ROUND(Grandview_Inventory[[#This Row],[adj_res]]*Lookups!$M$28,-2)&lt;Grandview_Inventory[[#This Row],[min_res]],Grandview_Inventory[[#This Row],[min_res]],ROUND(Grandview_Inventory[[#This Row],[adj_res]]*Lookups!$M$28,-2))</f>
        <v>277500</v>
      </c>
      <c r="CD934">
        <f>Grandview_Inventory[[#This Row],[final_det]]+Grandview_Inventory[[#This Row],[final_res]]</f>
        <v>277500</v>
      </c>
      <c r="CE934">
        <f>Grandview_Inventory[[#This Row],[final_land]]+Grandview_Inventory[[#This Row],[final_imp]]+Grandview_Inventory[[#This Row],[crop_value]]</f>
        <v>324200</v>
      </c>
      <c r="CG934" t="str">
        <f t="shared" si="14"/>
        <v>update valuation set market_land =46700, market_bldg=277500, market_total =324200, market_mdno =401, market_date ='9/10/2023' where link_id = (select link_id from parcel where parcel_year = '2024' and parcel_id = '23092241464');</v>
      </c>
    </row>
    <row r="935" spans="1:85" x14ac:dyDescent="0.25">
      <c r="A935">
        <v>23092241465</v>
      </c>
      <c r="B935">
        <v>0.2</v>
      </c>
      <c r="C935">
        <v>8553</v>
      </c>
      <c r="D935" t="s">
        <v>129</v>
      </c>
      <c r="E935" t="s">
        <v>53</v>
      </c>
      <c r="F935" t="s">
        <v>53</v>
      </c>
      <c r="G935">
        <v>4</v>
      </c>
      <c r="H935" t="s">
        <v>54</v>
      </c>
      <c r="I935">
        <v>189800</v>
      </c>
      <c r="J935">
        <v>43500</v>
      </c>
      <c r="K935">
        <v>0.2</v>
      </c>
      <c r="L93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35">
        <v>0</v>
      </c>
      <c r="N935">
        <v>0</v>
      </c>
      <c r="O935">
        <v>0</v>
      </c>
      <c r="P935">
        <v>13398.7528</v>
      </c>
      <c r="Q935">
        <v>63903</v>
      </c>
      <c r="R935">
        <f>(Grandview_Inventory[[#This Row],[ln_acres]]*Grandview_Inventory[[#This Row],[coeff]])+Grandview_Inventory[[#This Row],[const]]</f>
        <v>42338.539264347448</v>
      </c>
      <c r="S935" t="s">
        <v>61</v>
      </c>
      <c r="T935">
        <v>1</v>
      </c>
      <c r="U935" t="s">
        <v>62</v>
      </c>
      <c r="V935" t="s">
        <v>69</v>
      </c>
      <c r="W935">
        <v>0</v>
      </c>
      <c r="X935">
        <v>0</v>
      </c>
      <c r="Y935">
        <v>48</v>
      </c>
      <c r="Z935">
        <v>63</v>
      </c>
      <c r="AA935">
        <v>70</v>
      </c>
      <c r="AB935">
        <v>2500</v>
      </c>
      <c r="AC935">
        <v>2248</v>
      </c>
      <c r="AD935">
        <v>1436</v>
      </c>
      <c r="AE935">
        <v>0</v>
      </c>
      <c r="AF935">
        <v>0</v>
      </c>
      <c r="AG935">
        <v>812</v>
      </c>
      <c r="AH935">
        <v>0</v>
      </c>
      <c r="AI935">
        <v>308</v>
      </c>
      <c r="AJ935">
        <v>0</v>
      </c>
      <c r="AK935">
        <v>0</v>
      </c>
      <c r="AL935">
        <v>0</v>
      </c>
      <c r="AM935">
        <v>0</v>
      </c>
      <c r="AN935">
        <v>104</v>
      </c>
      <c r="AO935">
        <v>0</v>
      </c>
      <c r="AP935">
        <v>7</v>
      </c>
      <c r="AQ935">
        <v>0</v>
      </c>
      <c r="AR935">
        <v>0</v>
      </c>
      <c r="AS935" t="s">
        <v>58</v>
      </c>
      <c r="AT935">
        <v>1</v>
      </c>
      <c r="AU935" t="s">
        <v>63</v>
      </c>
      <c r="AV935" t="s">
        <v>64</v>
      </c>
      <c r="AW935">
        <v>1</v>
      </c>
      <c r="AX935">
        <v>5</v>
      </c>
      <c r="AY935">
        <v>0</v>
      </c>
      <c r="AZ935">
        <v>0</v>
      </c>
      <c r="BA935">
        <v>100</v>
      </c>
      <c r="BB935">
        <v>100</v>
      </c>
      <c r="BC935">
        <v>100</v>
      </c>
      <c r="BD935">
        <v>100</v>
      </c>
      <c r="BE935">
        <v>1</v>
      </c>
      <c r="BF935">
        <v>15000</v>
      </c>
      <c r="BG935">
        <v>1000</v>
      </c>
      <c r="BH935" s="6">
        <f>Grandview_Inventory[[#This Row],[land_extract]]*Lookups!$B$3</f>
        <v>49167.631333630678</v>
      </c>
      <c r="BI935" s="6">
        <f>IF(Grandview_Inventory[[#This Row],[bldg_style]]="",0,Lookups!$B$2)</f>
        <v>155833.95000000001</v>
      </c>
      <c r="BJ935" s="6">
        <f>_xlfn.IFNA(VLOOKUP(Grandview_Inventory[[#This Row],[quality]],Lookups!$H$2:$J$14,3,FALSE),0)</f>
        <v>9808</v>
      </c>
      <c r="BK935" s="6">
        <f>_xlfn.IFNA(VLOOKUP(Grandview_Inventory[[#This Row],[condition]],Lookups!$H$17:$J$24,3,FALSE),0)</f>
        <v>-4503</v>
      </c>
      <c r="BL935" s="6">
        <f>Grandview_Inventory[[#This Row],[Eff_Age]]*Lookups!$B$14</f>
        <v>-11479.996799999999</v>
      </c>
      <c r="BM935" s="6">
        <f>Grandview_Inventory[[#This Row],[living_area]]*Lookups!$B$15</f>
        <v>140232.15754400002</v>
      </c>
      <c r="BN935" s="6">
        <f>Grandview_Inventory[[#This Row],[Fin BSMT]]*Lookups!$B$16</f>
        <v>-22004.582880000002</v>
      </c>
      <c r="BO935" s="6">
        <f>(Grandview_Inventory[[#This Row],[att_gar]]+Grandview_Inventory[[#This Row],[bltin_gar]])*Lookups!$B$17</f>
        <v>26956.294596</v>
      </c>
      <c r="BP935" s="6">
        <f>Grandview_Inventory[[#This Row],[Plumbing Fixtures]]*Lookups!$B$18</f>
        <v>14073.0926</v>
      </c>
      <c r="BQ935" s="6">
        <f>Grandview_Inventory[[#This Row],[detatched_value]]*Lookups!$B$19</f>
        <v>0</v>
      </c>
      <c r="BR935" s="6">
        <f>SUM(Grandview_Inventory[[#This Row],[Intercept]:[det_value]])*Grandview_Inventory[[#This Row],[res_pct]]</f>
        <v>308915.91506000003</v>
      </c>
      <c r="BS935" s="6">
        <f>Grandview_Inventory[[#This Row],[land_value]]</f>
        <v>49167.631333630678</v>
      </c>
      <c r="BT935" s="4">
        <f>_xlfn.IFNA(VLOOKUP(Grandview_Inventory[[#This Row],[quality]],Lookups!$A$26:$C$33,3,FALSE),1)</f>
        <v>0.94295468617355149</v>
      </c>
      <c r="BU935" s="4">
        <f>_xlfn.IFNA(VLOOKUP(Grandview_Inventory[[#This Row],[condition]],Lookups!$A$37:$C$44,3,FALSE),1)</f>
        <v>0.96469275950863709</v>
      </c>
      <c r="BV935" s="4">
        <f>IF(Grandview_Inventory[[#This Row],[bldg_style]]="",1,_xlfn.IFNA(VLOOKUP(Grandview_Inventory[[#This Row],[decade]],Lookups!$F$29:$H$43,3,FALSE),1))</f>
        <v>0.99472141305414818</v>
      </c>
      <c r="BW935" s="4">
        <f>_xlfn.IFNA(VLOOKUP(Grandview_Inventory[[#This Row],[living_area_range]],Lookups!$F$47:$H$56,3,FALSE),1)</f>
        <v>0.95799442568048754</v>
      </c>
      <c r="BX935" s="4">
        <f>AVERAGE(Grandview_Inventory[[#This Row],[qual_adj]:[size_adj]])</f>
        <v>0.96509082110420608</v>
      </c>
      <c r="BY935" s="6">
        <f>IF(Grandview_Inventory[[#This Row],[pre_res]]&lt;0,0,Grandview_Inventory[[#This Row],[pre_res]]*Grandview_Inventory[[#This Row],[overall_adj]])</f>
        <v>298131.91411741258</v>
      </c>
      <c r="BZ935" s="6">
        <f>(Grandview_Inventory[[#This Row],[sum_land]]-IF(Grandview_Inventory[[#This Row],[no_utilities]]=1,12000,0))/IF(Grandview_Inventory[[#This Row],[unbuildable]]=1,2,1)</f>
        <v>49167.631333630678</v>
      </c>
      <c r="CA93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35">
        <f>ROUND(Grandview_Inventory[[#This Row],[det_value]]*Lookups!$M$28,-2)</f>
        <v>0</v>
      </c>
      <c r="CC935">
        <f>IF(ROUND(Grandview_Inventory[[#This Row],[adj_res]]*Lookups!$M$28,-2)&lt;Grandview_Inventory[[#This Row],[min_res]],Grandview_Inventory[[#This Row],[min_res]],ROUND(Grandview_Inventory[[#This Row],[adj_res]]*Lookups!$M$28,-2))</f>
        <v>283200</v>
      </c>
      <c r="CD935">
        <f>Grandview_Inventory[[#This Row],[final_det]]+Grandview_Inventory[[#This Row],[final_res]]</f>
        <v>283200</v>
      </c>
      <c r="CE935">
        <f>Grandview_Inventory[[#This Row],[final_land]]+Grandview_Inventory[[#This Row],[final_imp]]+Grandview_Inventory[[#This Row],[crop_value]]</f>
        <v>329900</v>
      </c>
      <c r="CG935" t="str">
        <f t="shared" si="14"/>
        <v>update valuation set market_land =46700, market_bldg=283200, market_total =329900, market_mdno =401, market_date ='9/10/2023' where link_id = (select link_id from parcel where parcel_year = '2024' and parcel_id = '23092241465');</v>
      </c>
    </row>
    <row r="936" spans="1:85" x14ac:dyDescent="0.25">
      <c r="A936">
        <v>23092241466</v>
      </c>
      <c r="B936">
        <v>0.2</v>
      </c>
      <c r="C936">
        <v>8553</v>
      </c>
      <c r="D936" t="s">
        <v>129</v>
      </c>
      <c r="E936" t="s">
        <v>53</v>
      </c>
      <c r="F936" t="s">
        <v>53</v>
      </c>
      <c r="G936">
        <v>4</v>
      </c>
      <c r="H936" t="s">
        <v>54</v>
      </c>
      <c r="I936">
        <v>227100</v>
      </c>
      <c r="J936">
        <v>43500</v>
      </c>
      <c r="K936">
        <v>0.2</v>
      </c>
      <c r="L93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36">
        <v>0</v>
      </c>
      <c r="N936">
        <v>0</v>
      </c>
      <c r="O936">
        <v>0</v>
      </c>
      <c r="P936">
        <v>13398.7528</v>
      </c>
      <c r="Q936">
        <v>63903</v>
      </c>
      <c r="R936">
        <f>(Grandview_Inventory[[#This Row],[ln_acres]]*Grandview_Inventory[[#This Row],[coeff]])+Grandview_Inventory[[#This Row],[const]]</f>
        <v>42338.539264347448</v>
      </c>
      <c r="S936" t="s">
        <v>68</v>
      </c>
      <c r="T936">
        <v>1</v>
      </c>
      <c r="U936" t="s">
        <v>64</v>
      </c>
      <c r="V936" t="s">
        <v>69</v>
      </c>
      <c r="W936">
        <v>0</v>
      </c>
      <c r="X936">
        <v>0</v>
      </c>
      <c r="Y936">
        <v>49</v>
      </c>
      <c r="Z936">
        <v>65</v>
      </c>
      <c r="AA936">
        <v>70</v>
      </c>
      <c r="AB936">
        <v>3000</v>
      </c>
      <c r="AC936">
        <v>2858</v>
      </c>
      <c r="AD936">
        <v>1514</v>
      </c>
      <c r="AE936">
        <v>0</v>
      </c>
      <c r="AF936">
        <v>0</v>
      </c>
      <c r="AG936">
        <v>1344</v>
      </c>
      <c r="AH936">
        <v>96</v>
      </c>
      <c r="AI936">
        <v>308</v>
      </c>
      <c r="AJ936">
        <v>0</v>
      </c>
      <c r="AK936">
        <v>0</v>
      </c>
      <c r="AL936">
        <v>0</v>
      </c>
      <c r="AM936">
        <v>413</v>
      </c>
      <c r="AN936">
        <v>0</v>
      </c>
      <c r="AO936">
        <v>299</v>
      </c>
      <c r="AP936">
        <v>10</v>
      </c>
      <c r="AQ936">
        <v>0</v>
      </c>
      <c r="AR936">
        <v>0</v>
      </c>
      <c r="AS936" t="s">
        <v>76</v>
      </c>
      <c r="AT936">
        <v>1</v>
      </c>
      <c r="AU936" t="s">
        <v>63</v>
      </c>
      <c r="AV936" t="s">
        <v>60</v>
      </c>
      <c r="AW936">
        <v>1</v>
      </c>
      <c r="AX936">
        <v>4</v>
      </c>
      <c r="AY936">
        <v>0</v>
      </c>
      <c r="AZ936">
        <v>0</v>
      </c>
      <c r="BA936">
        <v>100</v>
      </c>
      <c r="BB936">
        <v>100</v>
      </c>
      <c r="BC936">
        <v>100</v>
      </c>
      <c r="BD936">
        <v>100</v>
      </c>
      <c r="BE936">
        <v>1</v>
      </c>
      <c r="BF936">
        <v>15000</v>
      </c>
      <c r="BG936">
        <v>1000</v>
      </c>
      <c r="BH936" s="6">
        <f>Grandview_Inventory[[#This Row],[land_extract]]*Lookups!$B$3</f>
        <v>49167.631333630678</v>
      </c>
      <c r="BI936" s="6">
        <f>IF(Grandview_Inventory[[#This Row],[bldg_style]]="",0,Lookups!$B$2)</f>
        <v>155833.95000000001</v>
      </c>
      <c r="BJ936" s="6">
        <f>_xlfn.IFNA(VLOOKUP(Grandview_Inventory[[#This Row],[quality]],Lookups!$H$2:$J$14,3,FALSE),0)</f>
        <v>20768</v>
      </c>
      <c r="BK936" s="6">
        <f>_xlfn.IFNA(VLOOKUP(Grandview_Inventory[[#This Row],[condition]],Lookups!$H$17:$J$24,3,FALSE),0)</f>
        <v>-4503</v>
      </c>
      <c r="BL936" s="6">
        <f>Grandview_Inventory[[#This Row],[Eff_Age]]*Lookups!$B$14</f>
        <v>-11719.163399999999</v>
      </c>
      <c r="BM936" s="6">
        <f>Grandview_Inventory[[#This Row],[living_area]]*Lookups!$B$15</f>
        <v>178284.477874</v>
      </c>
      <c r="BN936" s="6">
        <f>Grandview_Inventory[[#This Row],[Fin BSMT]]*Lookups!$B$16</f>
        <v>-36421.378560000005</v>
      </c>
      <c r="BO936" s="6">
        <f>(Grandview_Inventory[[#This Row],[att_gar]]+Grandview_Inventory[[#This Row],[bltin_gar]])*Lookups!$B$17</f>
        <v>26956.294596</v>
      </c>
      <c r="BP936" s="6">
        <f>Grandview_Inventory[[#This Row],[Plumbing Fixtures]]*Lookups!$B$18</f>
        <v>20104.418000000001</v>
      </c>
      <c r="BQ936" s="6">
        <f>Grandview_Inventory[[#This Row],[detatched_value]]*Lookups!$B$19</f>
        <v>0</v>
      </c>
      <c r="BR936" s="6">
        <f>SUM(Grandview_Inventory[[#This Row],[Intercept]:[det_value]])*Grandview_Inventory[[#This Row],[res_pct]]</f>
        <v>349303.59851000004</v>
      </c>
      <c r="BS936" s="6">
        <f>Grandview_Inventory[[#This Row],[land_value]]</f>
        <v>49167.631333630678</v>
      </c>
      <c r="BT936" s="4">
        <f>_xlfn.IFNA(VLOOKUP(Grandview_Inventory[[#This Row],[quality]],Lookups!$A$26:$C$33,3,FALSE),1)</f>
        <v>0.94960540378902636</v>
      </c>
      <c r="BU936" s="4">
        <f>_xlfn.IFNA(VLOOKUP(Grandview_Inventory[[#This Row],[condition]],Lookups!$A$37:$C$44,3,FALSE),1)</f>
        <v>0.96469275950863709</v>
      </c>
      <c r="BV936" s="4">
        <f>IF(Grandview_Inventory[[#This Row],[bldg_style]]="",1,_xlfn.IFNA(VLOOKUP(Grandview_Inventory[[#This Row],[decade]],Lookups!$F$29:$H$43,3,FALSE),1))</f>
        <v>0.99472141305414818</v>
      </c>
      <c r="BW936" s="4">
        <f>_xlfn.IFNA(VLOOKUP(Grandview_Inventory[[#This Row],[living_area_range]],Lookups!$F$47:$H$56,3,FALSE),1)</f>
        <v>0.94224801443562123</v>
      </c>
      <c r="BX936" s="4">
        <f>AVERAGE(Grandview_Inventory[[#This Row],[qual_adj]:[size_adj]])</f>
        <v>0.96281689769685819</v>
      </c>
      <c r="BY936" s="6">
        <f>IF(Grandview_Inventory[[#This Row],[pre_res]]&lt;0,0,Grandview_Inventory[[#This Row],[pre_res]]*Grandview_Inventory[[#This Row],[overall_adj]])</f>
        <v>336315.40707174712</v>
      </c>
      <c r="BZ936" s="6">
        <f>(Grandview_Inventory[[#This Row],[sum_land]]-IF(Grandview_Inventory[[#This Row],[no_utilities]]=1,12000,0))/IF(Grandview_Inventory[[#This Row],[unbuildable]]=1,2,1)</f>
        <v>49167.631333630678</v>
      </c>
      <c r="CA93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36">
        <f>ROUND(Grandview_Inventory[[#This Row],[det_value]]*Lookups!$M$28,-2)</f>
        <v>0</v>
      </c>
      <c r="CC936">
        <f>IF(ROUND(Grandview_Inventory[[#This Row],[adj_res]]*Lookups!$M$28,-2)&lt;Grandview_Inventory[[#This Row],[min_res]],Grandview_Inventory[[#This Row],[min_res]],ROUND(Grandview_Inventory[[#This Row],[adj_res]]*Lookups!$M$28,-2))</f>
        <v>319500</v>
      </c>
      <c r="CD936">
        <f>Grandview_Inventory[[#This Row],[final_det]]+Grandview_Inventory[[#This Row],[final_res]]</f>
        <v>319500</v>
      </c>
      <c r="CE936">
        <f>Grandview_Inventory[[#This Row],[final_land]]+Grandview_Inventory[[#This Row],[final_imp]]+Grandview_Inventory[[#This Row],[crop_value]]</f>
        <v>366200</v>
      </c>
      <c r="CG936" t="str">
        <f t="shared" si="14"/>
        <v>update valuation set market_land =46700, market_bldg=319500, market_total =366200, market_mdno =401, market_date ='9/10/2023' where link_id = (select link_id from parcel where parcel_year = '2024' and parcel_id = '23092241466');</v>
      </c>
    </row>
    <row r="937" spans="1:85" x14ac:dyDescent="0.25">
      <c r="A937">
        <v>23092241467</v>
      </c>
      <c r="B937">
        <v>0.2</v>
      </c>
      <c r="C937">
        <v>8553</v>
      </c>
      <c r="D937" t="s">
        <v>129</v>
      </c>
      <c r="E937" t="s">
        <v>53</v>
      </c>
      <c r="F937" t="s">
        <v>53</v>
      </c>
      <c r="G937">
        <v>4</v>
      </c>
      <c r="H937" t="s">
        <v>54</v>
      </c>
      <c r="I937">
        <v>234200</v>
      </c>
      <c r="J937">
        <v>39100</v>
      </c>
      <c r="K937">
        <v>0.2</v>
      </c>
      <c r="L93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37">
        <v>0</v>
      </c>
      <c r="N937">
        <v>0</v>
      </c>
      <c r="O937">
        <v>0</v>
      </c>
      <c r="P937">
        <v>13398.7528</v>
      </c>
      <c r="Q937">
        <v>63903</v>
      </c>
      <c r="R937">
        <f>(Grandview_Inventory[[#This Row],[ln_acres]]*Grandview_Inventory[[#This Row],[coeff]])+Grandview_Inventory[[#This Row],[const]]</f>
        <v>42338.539264347448</v>
      </c>
      <c r="S937" t="s">
        <v>61</v>
      </c>
      <c r="T937">
        <v>1</v>
      </c>
      <c r="U937" t="s">
        <v>65</v>
      </c>
      <c r="V937" t="s">
        <v>67</v>
      </c>
      <c r="W937">
        <v>0</v>
      </c>
      <c r="X937">
        <v>0</v>
      </c>
      <c r="Y937">
        <v>49</v>
      </c>
      <c r="Z937">
        <v>65</v>
      </c>
      <c r="AA937">
        <v>70</v>
      </c>
      <c r="AB937">
        <v>2000</v>
      </c>
      <c r="AC937">
        <v>1770</v>
      </c>
      <c r="AD937">
        <v>1770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403</v>
      </c>
      <c r="AL937">
        <v>0</v>
      </c>
      <c r="AM937">
        <v>360</v>
      </c>
      <c r="AN937">
        <v>0</v>
      </c>
      <c r="AO937">
        <v>0</v>
      </c>
      <c r="AP937">
        <v>7</v>
      </c>
      <c r="AQ937">
        <v>1</v>
      </c>
      <c r="AR937">
        <v>0</v>
      </c>
      <c r="AS937" t="s">
        <v>58</v>
      </c>
      <c r="AT937">
        <v>1</v>
      </c>
      <c r="AU937" t="s">
        <v>63</v>
      </c>
      <c r="AV937" t="s">
        <v>64</v>
      </c>
      <c r="AW937">
        <v>1</v>
      </c>
      <c r="AX937">
        <v>4</v>
      </c>
      <c r="AY937">
        <v>0</v>
      </c>
      <c r="AZ937">
        <v>0</v>
      </c>
      <c r="BA937">
        <v>100</v>
      </c>
      <c r="BB937">
        <v>100</v>
      </c>
      <c r="BC937">
        <v>100</v>
      </c>
      <c r="BD937">
        <v>100</v>
      </c>
      <c r="BE937">
        <v>1</v>
      </c>
      <c r="BF937">
        <v>15000</v>
      </c>
      <c r="BG937">
        <v>1000</v>
      </c>
      <c r="BH937" s="6">
        <f>Grandview_Inventory[[#This Row],[land_extract]]*Lookups!$B$3</f>
        <v>49167.631333630678</v>
      </c>
      <c r="BI937" s="6">
        <f>IF(Grandview_Inventory[[#This Row],[bldg_style]]="",0,Lookups!$B$2)</f>
        <v>155833.95000000001</v>
      </c>
      <c r="BJ937" s="6">
        <f>_xlfn.IFNA(VLOOKUP(Grandview_Inventory[[#This Row],[quality]],Lookups!$H$2:$J$14,3,FALSE),0)</f>
        <v>2251</v>
      </c>
      <c r="BK937" s="6">
        <f>_xlfn.IFNA(VLOOKUP(Grandview_Inventory[[#This Row],[condition]],Lookups!$H$17:$J$24,3,FALSE),0)</f>
        <v>22342</v>
      </c>
      <c r="BL937" s="6">
        <f>Grandview_Inventory[[#This Row],[Eff_Age]]*Lookups!$B$14</f>
        <v>-11719.163399999999</v>
      </c>
      <c r="BM937" s="6">
        <f>Grandview_Inventory[[#This Row],[living_area]]*Lookups!$B$15</f>
        <v>110414.10981000001</v>
      </c>
      <c r="BN937" s="6">
        <f>Grandview_Inventory[[#This Row],[Fin BSMT]]*Lookups!$B$16</f>
        <v>0</v>
      </c>
      <c r="BO937" s="6">
        <f>(Grandview_Inventory[[#This Row],[att_gar]]+Grandview_Inventory[[#This Row],[bltin_gar]])*Lookups!$B$17</f>
        <v>0</v>
      </c>
      <c r="BP937" s="6">
        <f>Grandview_Inventory[[#This Row],[Plumbing Fixtures]]*Lookups!$B$18</f>
        <v>14073.0926</v>
      </c>
      <c r="BQ937" s="6">
        <f>Grandview_Inventory[[#This Row],[detatched_value]]*Lookups!$B$19</f>
        <v>0</v>
      </c>
      <c r="BR937" s="6">
        <f>SUM(Grandview_Inventory[[#This Row],[Intercept]:[det_value]])*Grandview_Inventory[[#This Row],[res_pct]]</f>
        <v>293194.98901000002</v>
      </c>
      <c r="BS937" s="6">
        <f>Grandview_Inventory[[#This Row],[land_value]]</f>
        <v>49167.631333630678</v>
      </c>
      <c r="BT937" s="4">
        <f>_xlfn.IFNA(VLOOKUP(Grandview_Inventory[[#This Row],[quality]],Lookups!$A$26:$C$33,3,FALSE),1)</f>
        <v>0.98763855981004833</v>
      </c>
      <c r="BU937" s="4">
        <f>_xlfn.IFNA(VLOOKUP(Grandview_Inventory[[#This Row],[condition]],Lookups!$A$37:$C$44,3,FALSE),1)</f>
        <v>0.97383723671140243</v>
      </c>
      <c r="BV937" s="4">
        <f>IF(Grandview_Inventory[[#This Row],[bldg_style]]="",1,_xlfn.IFNA(VLOOKUP(Grandview_Inventory[[#This Row],[decade]],Lookups!$F$29:$H$43,3,FALSE),1))</f>
        <v>0.99472141305414818</v>
      </c>
      <c r="BW937" s="4">
        <f>_xlfn.IFNA(VLOOKUP(Grandview_Inventory[[#This Row],[living_area_range]],Lookups!$F$47:$H$56,3,FALSE),1)</f>
        <v>0.96120133463014379</v>
      </c>
      <c r="BX937" s="4">
        <f>AVERAGE(Grandview_Inventory[[#This Row],[qual_adj]:[size_adj]])</f>
        <v>0.97934963605143577</v>
      </c>
      <c r="BY937" s="6">
        <f>IF(Grandview_Inventory[[#This Row],[pre_res]]&lt;0,0,Grandview_Inventory[[#This Row],[pre_res]]*Grandview_Inventory[[#This Row],[overall_adj]])</f>
        <v>287140.40577904822</v>
      </c>
      <c r="BZ937" s="6">
        <f>(Grandview_Inventory[[#This Row],[sum_land]]-IF(Grandview_Inventory[[#This Row],[no_utilities]]=1,12000,0))/IF(Grandview_Inventory[[#This Row],[unbuildable]]=1,2,1)</f>
        <v>49167.631333630678</v>
      </c>
      <c r="CA93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37">
        <f>ROUND(Grandview_Inventory[[#This Row],[det_value]]*Lookups!$M$28,-2)</f>
        <v>0</v>
      </c>
      <c r="CC937">
        <f>IF(ROUND(Grandview_Inventory[[#This Row],[adj_res]]*Lookups!$M$28,-2)&lt;Grandview_Inventory[[#This Row],[min_res]],Grandview_Inventory[[#This Row],[min_res]],ROUND(Grandview_Inventory[[#This Row],[adj_res]]*Lookups!$M$28,-2))</f>
        <v>272800</v>
      </c>
      <c r="CD937">
        <f>Grandview_Inventory[[#This Row],[final_det]]+Grandview_Inventory[[#This Row],[final_res]]</f>
        <v>272800</v>
      </c>
      <c r="CE937">
        <f>Grandview_Inventory[[#This Row],[final_land]]+Grandview_Inventory[[#This Row],[final_imp]]+Grandview_Inventory[[#This Row],[crop_value]]</f>
        <v>319500</v>
      </c>
      <c r="CG937" t="str">
        <f t="shared" si="14"/>
        <v>update valuation set market_land =46700, market_bldg=272800, market_total =319500, market_mdno =401, market_date ='9/10/2023' where link_id = (select link_id from parcel where parcel_year = '2024' and parcel_id = '23092241467');</v>
      </c>
    </row>
    <row r="938" spans="1:85" x14ac:dyDescent="0.25">
      <c r="A938">
        <v>23092241468</v>
      </c>
      <c r="B938">
        <v>0.28000000000000003</v>
      </c>
      <c r="C938">
        <v>12025</v>
      </c>
      <c r="D938" t="s">
        <v>129</v>
      </c>
      <c r="E938" t="s">
        <v>53</v>
      </c>
      <c r="F938" t="s">
        <v>53</v>
      </c>
      <c r="G938">
        <v>4</v>
      </c>
      <c r="H938" t="s">
        <v>54</v>
      </c>
      <c r="I938">
        <v>148600</v>
      </c>
      <c r="J938">
        <v>40000</v>
      </c>
      <c r="K938">
        <v>0.28000000000000003</v>
      </c>
      <c r="L938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938">
        <v>0</v>
      </c>
      <c r="N938">
        <v>0</v>
      </c>
      <c r="O938">
        <v>0</v>
      </c>
      <c r="P938">
        <v>13398.7528</v>
      </c>
      <c r="Q938">
        <v>63903</v>
      </c>
      <c r="R938">
        <f>(Grandview_Inventory[[#This Row],[ln_acres]]*Grandview_Inventory[[#This Row],[coeff]])+Grandview_Inventory[[#This Row],[const]]</f>
        <v>46846.847586898184</v>
      </c>
      <c r="S938" t="s">
        <v>61</v>
      </c>
      <c r="T938">
        <v>1</v>
      </c>
      <c r="U938" t="s">
        <v>65</v>
      </c>
      <c r="V938" t="s">
        <v>69</v>
      </c>
      <c r="W938">
        <v>0</v>
      </c>
      <c r="X938">
        <v>0</v>
      </c>
      <c r="Y938">
        <v>49</v>
      </c>
      <c r="Z938">
        <v>68</v>
      </c>
      <c r="AA938">
        <v>70</v>
      </c>
      <c r="AB938">
        <v>1500</v>
      </c>
      <c r="AC938">
        <v>1448</v>
      </c>
      <c r="AD938">
        <v>1448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752</v>
      </c>
      <c r="AN938">
        <v>0</v>
      </c>
      <c r="AO938">
        <v>0</v>
      </c>
      <c r="AP938">
        <v>5</v>
      </c>
      <c r="AQ938">
        <v>0</v>
      </c>
      <c r="AR938">
        <v>0</v>
      </c>
      <c r="AS938" t="s">
        <v>58</v>
      </c>
      <c r="AT938">
        <v>1</v>
      </c>
      <c r="AU938" t="s">
        <v>63</v>
      </c>
      <c r="AV938" t="s">
        <v>64</v>
      </c>
      <c r="AW938">
        <v>1</v>
      </c>
      <c r="AX938">
        <v>3</v>
      </c>
      <c r="AY938">
        <v>0</v>
      </c>
      <c r="AZ938">
        <v>0</v>
      </c>
      <c r="BA938">
        <v>100</v>
      </c>
      <c r="BB938">
        <v>100</v>
      </c>
      <c r="BC938">
        <v>100</v>
      </c>
      <c r="BD938">
        <v>100</v>
      </c>
      <c r="BE938">
        <v>1</v>
      </c>
      <c r="BF938">
        <v>15000</v>
      </c>
      <c r="BG938">
        <v>1000</v>
      </c>
      <c r="BH938" s="6">
        <f>Grandview_Inventory[[#This Row],[land_extract]]*Lookups!$B$3</f>
        <v>54403.117616176372</v>
      </c>
      <c r="BI938" s="6">
        <f>IF(Grandview_Inventory[[#This Row],[bldg_style]]="",0,Lookups!$B$2)</f>
        <v>155833.95000000001</v>
      </c>
      <c r="BJ938" s="6">
        <f>_xlfn.IFNA(VLOOKUP(Grandview_Inventory[[#This Row],[quality]],Lookups!$H$2:$J$14,3,FALSE),0)</f>
        <v>2251</v>
      </c>
      <c r="BK938" s="6">
        <f>_xlfn.IFNA(VLOOKUP(Grandview_Inventory[[#This Row],[condition]],Lookups!$H$17:$J$24,3,FALSE),0)</f>
        <v>-4503</v>
      </c>
      <c r="BL938" s="6">
        <f>Grandview_Inventory[[#This Row],[Eff_Age]]*Lookups!$B$14</f>
        <v>-11719.163399999999</v>
      </c>
      <c r="BM938" s="6">
        <f>Grandview_Inventory[[#This Row],[living_area]]*Lookups!$B$15</f>
        <v>90327.475143999996</v>
      </c>
      <c r="BN938" s="6">
        <f>Grandview_Inventory[[#This Row],[Fin BSMT]]*Lookups!$B$16</f>
        <v>0</v>
      </c>
      <c r="BO938" s="6">
        <f>(Grandview_Inventory[[#This Row],[att_gar]]+Grandview_Inventory[[#This Row],[bltin_gar]])*Lookups!$B$17</f>
        <v>0</v>
      </c>
      <c r="BP938" s="6">
        <f>Grandview_Inventory[[#This Row],[Plumbing Fixtures]]*Lookups!$B$18</f>
        <v>10052.209000000001</v>
      </c>
      <c r="BQ938" s="6">
        <f>Grandview_Inventory[[#This Row],[detatched_value]]*Lookups!$B$19</f>
        <v>0</v>
      </c>
      <c r="BR938" s="6">
        <f>SUM(Grandview_Inventory[[#This Row],[Intercept]:[det_value]])*Grandview_Inventory[[#This Row],[res_pct]]</f>
        <v>242242.47074400002</v>
      </c>
      <c r="BS938" s="6">
        <f>Grandview_Inventory[[#This Row],[land_value]]</f>
        <v>54403.117616176372</v>
      </c>
      <c r="BT938" s="4">
        <f>_xlfn.IFNA(VLOOKUP(Grandview_Inventory[[#This Row],[quality]],Lookups!$A$26:$C$33,3,FALSE),1)</f>
        <v>0.98763855981004833</v>
      </c>
      <c r="BU938" s="4">
        <f>_xlfn.IFNA(VLOOKUP(Grandview_Inventory[[#This Row],[condition]],Lookups!$A$37:$C$44,3,FALSE),1)</f>
        <v>0.96469275950863709</v>
      </c>
      <c r="BV938" s="4">
        <f>IF(Grandview_Inventory[[#This Row],[bldg_style]]="",1,_xlfn.IFNA(VLOOKUP(Grandview_Inventory[[#This Row],[decade]],Lookups!$F$29:$H$43,3,FALSE),1))</f>
        <v>0.99472141305414818</v>
      </c>
      <c r="BW938" s="4">
        <f>_xlfn.IFNA(VLOOKUP(Grandview_Inventory[[#This Row],[living_area_range]],Lookups!$F$47:$H$56,3,FALSE),1)</f>
        <v>0.96135087979789358</v>
      </c>
      <c r="BX938" s="4">
        <f>AVERAGE(Grandview_Inventory[[#This Row],[qual_adj]:[size_adj]])</f>
        <v>0.97710090304268182</v>
      </c>
      <c r="BY938" s="6">
        <f>IF(Grandview_Inventory[[#This Row],[pre_res]]&lt;0,0,Grandview_Inventory[[#This Row],[pre_res]]*Grandview_Inventory[[#This Row],[overall_adj]])</f>
        <v>236695.33691925285</v>
      </c>
      <c r="BZ938" s="6">
        <f>(Grandview_Inventory[[#This Row],[sum_land]]-IF(Grandview_Inventory[[#This Row],[no_utilities]]=1,12000,0))/IF(Grandview_Inventory[[#This Row],[unbuildable]]=1,2,1)</f>
        <v>54403.117616176372</v>
      </c>
      <c r="CA938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938">
        <f>ROUND(Grandview_Inventory[[#This Row],[det_value]]*Lookups!$M$28,-2)</f>
        <v>0</v>
      </c>
      <c r="CC938">
        <f>IF(ROUND(Grandview_Inventory[[#This Row],[adj_res]]*Lookups!$M$28,-2)&lt;Grandview_Inventory[[#This Row],[min_res]],Grandview_Inventory[[#This Row],[min_res]],ROUND(Grandview_Inventory[[#This Row],[adj_res]]*Lookups!$M$28,-2))</f>
        <v>224900</v>
      </c>
      <c r="CD938">
        <f>Grandview_Inventory[[#This Row],[final_det]]+Grandview_Inventory[[#This Row],[final_res]]</f>
        <v>224900</v>
      </c>
      <c r="CE938">
        <f>Grandview_Inventory[[#This Row],[final_land]]+Grandview_Inventory[[#This Row],[final_imp]]+Grandview_Inventory[[#This Row],[crop_value]]</f>
        <v>276600</v>
      </c>
      <c r="CG938" t="str">
        <f t="shared" si="14"/>
        <v>update valuation set market_land =51700, market_bldg=224900, market_total =276600, market_mdno =401, market_date ='9/10/2023' where link_id = (select link_id from parcel where parcel_year = '2024' and parcel_id = '23092241468');</v>
      </c>
    </row>
    <row r="939" spans="1:85" x14ac:dyDescent="0.25">
      <c r="A939">
        <v>23092241469</v>
      </c>
      <c r="B939">
        <v>0.27</v>
      </c>
      <c r="C939">
        <v>11818</v>
      </c>
      <c r="D939" t="s">
        <v>129</v>
      </c>
      <c r="E939" t="s">
        <v>53</v>
      </c>
      <c r="F939" t="s">
        <v>53</v>
      </c>
      <c r="G939">
        <v>4</v>
      </c>
      <c r="H939" t="s">
        <v>54</v>
      </c>
      <c r="I939">
        <v>201500</v>
      </c>
      <c r="J939">
        <v>44500</v>
      </c>
      <c r="K939">
        <v>0.27</v>
      </c>
      <c r="L939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939">
        <v>0</v>
      </c>
      <c r="N939">
        <v>0</v>
      </c>
      <c r="O939">
        <v>0</v>
      </c>
      <c r="P939">
        <v>13398.7528</v>
      </c>
      <c r="Q939">
        <v>63903</v>
      </c>
      <c r="R939">
        <f>(Grandview_Inventory[[#This Row],[ln_acres]]*Grandview_Inventory[[#This Row],[coeff]])+Grandview_Inventory[[#This Row],[const]]</f>
        <v>46359.566512734265</v>
      </c>
      <c r="S939" t="s">
        <v>61</v>
      </c>
      <c r="T939">
        <v>1</v>
      </c>
      <c r="U939" t="s">
        <v>62</v>
      </c>
      <c r="V939" t="s">
        <v>69</v>
      </c>
      <c r="W939">
        <v>0</v>
      </c>
      <c r="X939">
        <v>0</v>
      </c>
      <c r="Y939">
        <v>49</v>
      </c>
      <c r="Z939">
        <v>68</v>
      </c>
      <c r="AA939">
        <v>70</v>
      </c>
      <c r="AB939">
        <v>3000</v>
      </c>
      <c r="AC939">
        <v>2792</v>
      </c>
      <c r="AD939">
        <v>1396</v>
      </c>
      <c r="AE939">
        <v>0</v>
      </c>
      <c r="AF939">
        <v>0</v>
      </c>
      <c r="AG939">
        <v>1396</v>
      </c>
      <c r="AH939">
        <v>0</v>
      </c>
      <c r="AI939">
        <v>330</v>
      </c>
      <c r="AJ939">
        <v>0</v>
      </c>
      <c r="AK939">
        <v>0</v>
      </c>
      <c r="AL939">
        <v>182</v>
      </c>
      <c r="AM939">
        <v>224</v>
      </c>
      <c r="AN939">
        <v>132</v>
      </c>
      <c r="AO939">
        <v>406</v>
      </c>
      <c r="AP939">
        <v>8</v>
      </c>
      <c r="AQ939">
        <v>0</v>
      </c>
      <c r="AR939">
        <v>0</v>
      </c>
      <c r="AS939" t="s">
        <v>58</v>
      </c>
      <c r="AT939">
        <v>1</v>
      </c>
      <c r="AU939" t="s">
        <v>63</v>
      </c>
      <c r="AV939" t="s">
        <v>64</v>
      </c>
      <c r="AW939">
        <v>1</v>
      </c>
      <c r="AX939">
        <v>4</v>
      </c>
      <c r="AY939">
        <v>0</v>
      </c>
      <c r="AZ939">
        <v>0</v>
      </c>
      <c r="BA939">
        <v>100</v>
      </c>
      <c r="BB939">
        <v>100</v>
      </c>
      <c r="BC939">
        <v>100</v>
      </c>
      <c r="BD939">
        <v>100</v>
      </c>
      <c r="BE939">
        <v>1</v>
      </c>
      <c r="BF939">
        <v>15000</v>
      </c>
      <c r="BG939">
        <v>1000</v>
      </c>
      <c r="BH939" s="6">
        <f>Grandview_Inventory[[#This Row],[land_extract]]*Lookups!$B$3</f>
        <v>53837.239420408718</v>
      </c>
      <c r="BI939" s="6">
        <f>IF(Grandview_Inventory[[#This Row],[bldg_style]]="",0,Lookups!$B$2)</f>
        <v>155833.95000000001</v>
      </c>
      <c r="BJ939" s="6">
        <f>_xlfn.IFNA(VLOOKUP(Grandview_Inventory[[#This Row],[quality]],Lookups!$H$2:$J$14,3,FALSE),0)</f>
        <v>9808</v>
      </c>
      <c r="BK939" s="6">
        <f>_xlfn.IFNA(VLOOKUP(Grandview_Inventory[[#This Row],[condition]],Lookups!$H$17:$J$24,3,FALSE),0)</f>
        <v>-4503</v>
      </c>
      <c r="BL939" s="6">
        <f>Grandview_Inventory[[#This Row],[Eff_Age]]*Lookups!$B$14</f>
        <v>-11719.163399999999</v>
      </c>
      <c r="BM939" s="6">
        <f>Grandview_Inventory[[#This Row],[living_area]]*Lookups!$B$15</f>
        <v>174167.34157600001</v>
      </c>
      <c r="BN939" s="6">
        <f>Grandview_Inventory[[#This Row],[Fin BSMT]]*Lookups!$B$16</f>
        <v>-37830.539040000003</v>
      </c>
      <c r="BO939" s="6">
        <f>(Grandview_Inventory[[#This Row],[att_gar]]+Grandview_Inventory[[#This Row],[bltin_gar]])*Lookups!$B$17</f>
        <v>28881.744210000001</v>
      </c>
      <c r="BP939" s="6">
        <f>Grandview_Inventory[[#This Row],[Plumbing Fixtures]]*Lookups!$B$18</f>
        <v>16083.5344</v>
      </c>
      <c r="BQ939" s="6">
        <f>Grandview_Inventory[[#This Row],[detatched_value]]*Lookups!$B$19</f>
        <v>0</v>
      </c>
      <c r="BR939" s="6">
        <f>SUM(Grandview_Inventory[[#This Row],[Intercept]:[det_value]])*Grandview_Inventory[[#This Row],[res_pct]]</f>
        <v>330721.867746</v>
      </c>
      <c r="BS939" s="6">
        <f>Grandview_Inventory[[#This Row],[land_value]]</f>
        <v>53837.239420408718</v>
      </c>
      <c r="BT939" s="4">
        <f>_xlfn.IFNA(VLOOKUP(Grandview_Inventory[[#This Row],[quality]],Lookups!$A$26:$C$33,3,FALSE),1)</f>
        <v>0.94295468617355149</v>
      </c>
      <c r="BU939" s="4">
        <f>_xlfn.IFNA(VLOOKUP(Grandview_Inventory[[#This Row],[condition]],Lookups!$A$37:$C$44,3,FALSE),1)</f>
        <v>0.96469275950863709</v>
      </c>
      <c r="BV939" s="4">
        <f>IF(Grandview_Inventory[[#This Row],[bldg_style]]="",1,_xlfn.IFNA(VLOOKUP(Grandview_Inventory[[#This Row],[decade]],Lookups!$F$29:$H$43,3,FALSE),1))</f>
        <v>0.99472141305414818</v>
      </c>
      <c r="BW939" s="4">
        <f>_xlfn.IFNA(VLOOKUP(Grandview_Inventory[[#This Row],[living_area_range]],Lookups!$F$47:$H$56,3,FALSE),1)</f>
        <v>0.94224801443562123</v>
      </c>
      <c r="BX939" s="4">
        <f>AVERAGE(Grandview_Inventory[[#This Row],[qual_adj]:[size_adj]])</f>
        <v>0.96115421829298953</v>
      </c>
      <c r="BY939" s="6">
        <f>IF(Grandview_Inventory[[#This Row],[pre_res]]&lt;0,0,Grandview_Inventory[[#This Row],[pre_res]]*Grandview_Inventory[[#This Row],[overall_adj]])</f>
        <v>317874.71826580411</v>
      </c>
      <c r="BZ939" s="6">
        <f>(Grandview_Inventory[[#This Row],[sum_land]]-IF(Grandview_Inventory[[#This Row],[no_utilities]]=1,12000,0))/IF(Grandview_Inventory[[#This Row],[unbuildable]]=1,2,1)</f>
        <v>53837.239420408718</v>
      </c>
      <c r="CA939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939">
        <f>ROUND(Grandview_Inventory[[#This Row],[det_value]]*Lookups!$M$28,-2)</f>
        <v>0</v>
      </c>
      <c r="CC939">
        <f>IF(ROUND(Grandview_Inventory[[#This Row],[adj_res]]*Lookups!$M$28,-2)&lt;Grandview_Inventory[[#This Row],[min_res]],Grandview_Inventory[[#This Row],[min_res]],ROUND(Grandview_Inventory[[#This Row],[adj_res]]*Lookups!$M$28,-2))</f>
        <v>302000</v>
      </c>
      <c r="CD939">
        <f>Grandview_Inventory[[#This Row],[final_det]]+Grandview_Inventory[[#This Row],[final_res]]</f>
        <v>302000</v>
      </c>
      <c r="CE939">
        <f>Grandview_Inventory[[#This Row],[final_land]]+Grandview_Inventory[[#This Row],[final_imp]]+Grandview_Inventory[[#This Row],[crop_value]]</f>
        <v>353100</v>
      </c>
      <c r="CG939" t="str">
        <f t="shared" si="14"/>
        <v>update valuation set market_land =51100, market_bldg=302000, market_total =353100, market_mdno =401, market_date ='9/10/2023' where link_id = (select link_id from parcel where parcel_year = '2024' and parcel_id = '23092241469');</v>
      </c>
    </row>
    <row r="940" spans="1:85" x14ac:dyDescent="0.25">
      <c r="A940">
        <v>23092241470</v>
      </c>
      <c r="B940">
        <v>0.2</v>
      </c>
      <c r="C940">
        <v>8553</v>
      </c>
      <c r="D940" t="s">
        <v>129</v>
      </c>
      <c r="E940" t="s">
        <v>53</v>
      </c>
      <c r="F940" t="s">
        <v>53</v>
      </c>
      <c r="G940">
        <v>4</v>
      </c>
      <c r="H940" t="s">
        <v>54</v>
      </c>
      <c r="I940">
        <v>129700</v>
      </c>
      <c r="J940">
        <v>43500</v>
      </c>
      <c r="K940">
        <v>0.2</v>
      </c>
      <c r="L94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40">
        <v>0</v>
      </c>
      <c r="N940">
        <v>0</v>
      </c>
      <c r="O940">
        <v>0</v>
      </c>
      <c r="P940">
        <v>13398.7528</v>
      </c>
      <c r="Q940">
        <v>63903</v>
      </c>
      <c r="R940">
        <f>(Grandview_Inventory[[#This Row],[ln_acres]]*Grandview_Inventory[[#This Row],[coeff]])+Grandview_Inventory[[#This Row],[const]]</f>
        <v>42338.539264347448</v>
      </c>
      <c r="S940" t="s">
        <v>68</v>
      </c>
      <c r="T940">
        <v>1</v>
      </c>
      <c r="U940" t="s">
        <v>65</v>
      </c>
      <c r="V940" t="s">
        <v>69</v>
      </c>
      <c r="W940">
        <v>0</v>
      </c>
      <c r="X940">
        <v>0</v>
      </c>
      <c r="Y940">
        <v>49</v>
      </c>
      <c r="Z940">
        <v>65</v>
      </c>
      <c r="AA940">
        <v>70</v>
      </c>
      <c r="AB940">
        <v>1500</v>
      </c>
      <c r="AC940">
        <v>1424</v>
      </c>
      <c r="AD940">
        <v>1424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8</v>
      </c>
      <c r="AQ940">
        <v>0</v>
      </c>
      <c r="AR940">
        <v>0</v>
      </c>
      <c r="AS940" t="s">
        <v>58</v>
      </c>
      <c r="AT940">
        <v>1</v>
      </c>
      <c r="AU940" t="s">
        <v>63</v>
      </c>
      <c r="AV940" t="s">
        <v>64</v>
      </c>
      <c r="AW940">
        <v>0</v>
      </c>
      <c r="AX940">
        <v>3</v>
      </c>
      <c r="AY940">
        <v>0</v>
      </c>
      <c r="AZ940">
        <v>0</v>
      </c>
      <c r="BA940">
        <v>100</v>
      </c>
      <c r="BB940">
        <v>100</v>
      </c>
      <c r="BC940">
        <v>100</v>
      </c>
      <c r="BD940">
        <v>100</v>
      </c>
      <c r="BE940">
        <v>1</v>
      </c>
      <c r="BF940">
        <v>15000</v>
      </c>
      <c r="BG940">
        <v>1000</v>
      </c>
      <c r="BH940" s="6">
        <f>Grandview_Inventory[[#This Row],[land_extract]]*Lookups!$B$3</f>
        <v>49167.631333630678</v>
      </c>
      <c r="BI940" s="6">
        <f>IF(Grandview_Inventory[[#This Row],[bldg_style]]="",0,Lookups!$B$2)</f>
        <v>155833.95000000001</v>
      </c>
      <c r="BJ940" s="6">
        <f>_xlfn.IFNA(VLOOKUP(Grandview_Inventory[[#This Row],[quality]],Lookups!$H$2:$J$14,3,FALSE),0)</f>
        <v>2251</v>
      </c>
      <c r="BK940" s="6">
        <f>_xlfn.IFNA(VLOOKUP(Grandview_Inventory[[#This Row],[condition]],Lookups!$H$17:$J$24,3,FALSE),0)</f>
        <v>-4503</v>
      </c>
      <c r="BL940" s="6">
        <f>Grandview_Inventory[[#This Row],[Eff_Age]]*Lookups!$B$14</f>
        <v>-11719.163399999999</v>
      </c>
      <c r="BM940" s="6">
        <f>Grandview_Inventory[[#This Row],[living_area]]*Lookups!$B$15</f>
        <v>88830.334671999997</v>
      </c>
      <c r="BN940" s="6">
        <f>Grandview_Inventory[[#This Row],[Fin BSMT]]*Lookups!$B$16</f>
        <v>0</v>
      </c>
      <c r="BO940" s="6">
        <f>(Grandview_Inventory[[#This Row],[att_gar]]+Grandview_Inventory[[#This Row],[bltin_gar]])*Lookups!$B$17</f>
        <v>0</v>
      </c>
      <c r="BP940" s="6">
        <f>Grandview_Inventory[[#This Row],[Plumbing Fixtures]]*Lookups!$B$18</f>
        <v>16083.5344</v>
      </c>
      <c r="BQ940" s="6">
        <f>Grandview_Inventory[[#This Row],[detatched_value]]*Lookups!$B$19</f>
        <v>0</v>
      </c>
      <c r="BR940" s="6">
        <f>SUM(Grandview_Inventory[[#This Row],[Intercept]:[det_value]])*Grandview_Inventory[[#This Row],[res_pct]]</f>
        <v>246776.65567200002</v>
      </c>
      <c r="BS940" s="6">
        <f>Grandview_Inventory[[#This Row],[land_value]]</f>
        <v>49167.631333630678</v>
      </c>
      <c r="BT940" s="4">
        <f>_xlfn.IFNA(VLOOKUP(Grandview_Inventory[[#This Row],[quality]],Lookups!$A$26:$C$33,3,FALSE),1)</f>
        <v>0.98763855981004833</v>
      </c>
      <c r="BU940" s="4">
        <f>_xlfn.IFNA(VLOOKUP(Grandview_Inventory[[#This Row],[condition]],Lookups!$A$37:$C$44,3,FALSE),1)</f>
        <v>0.96469275950863709</v>
      </c>
      <c r="BV940" s="4">
        <f>IF(Grandview_Inventory[[#This Row],[bldg_style]]="",1,_xlfn.IFNA(VLOOKUP(Grandview_Inventory[[#This Row],[decade]],Lookups!$F$29:$H$43,3,FALSE),1))</f>
        <v>0.99472141305414818</v>
      </c>
      <c r="BW940" s="4">
        <f>_xlfn.IFNA(VLOOKUP(Grandview_Inventory[[#This Row],[living_area_range]],Lookups!$F$47:$H$56,3,FALSE),1)</f>
        <v>0.96135087979789358</v>
      </c>
      <c r="BX940" s="4">
        <f>AVERAGE(Grandview_Inventory[[#This Row],[qual_adj]:[size_adj]])</f>
        <v>0.97710090304268182</v>
      </c>
      <c r="BY940" s="6">
        <f>IF(Grandview_Inventory[[#This Row],[pre_res]]&lt;0,0,Grandview_Inventory[[#This Row],[pre_res]]*Grandview_Inventory[[#This Row],[overall_adj]])</f>
        <v>241125.69310696417</v>
      </c>
      <c r="BZ940" s="6">
        <f>(Grandview_Inventory[[#This Row],[sum_land]]-IF(Grandview_Inventory[[#This Row],[no_utilities]]=1,12000,0))/IF(Grandview_Inventory[[#This Row],[unbuildable]]=1,2,1)</f>
        <v>49167.631333630678</v>
      </c>
      <c r="CA94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40">
        <f>ROUND(Grandview_Inventory[[#This Row],[det_value]]*Lookups!$M$28,-2)</f>
        <v>0</v>
      </c>
      <c r="CC940">
        <f>IF(ROUND(Grandview_Inventory[[#This Row],[adj_res]]*Lookups!$M$28,-2)&lt;Grandview_Inventory[[#This Row],[min_res]],Grandview_Inventory[[#This Row],[min_res]],ROUND(Grandview_Inventory[[#This Row],[adj_res]]*Lookups!$M$28,-2))</f>
        <v>229100</v>
      </c>
      <c r="CD940">
        <f>Grandview_Inventory[[#This Row],[final_det]]+Grandview_Inventory[[#This Row],[final_res]]</f>
        <v>229100</v>
      </c>
      <c r="CE940">
        <f>Grandview_Inventory[[#This Row],[final_land]]+Grandview_Inventory[[#This Row],[final_imp]]+Grandview_Inventory[[#This Row],[crop_value]]</f>
        <v>275800</v>
      </c>
      <c r="CG940" t="str">
        <f t="shared" si="14"/>
        <v>update valuation set market_land =46700, market_bldg=229100, market_total =275800, market_mdno =401, market_date ='9/10/2023' where link_id = (select link_id from parcel where parcel_year = '2024' and parcel_id = '23092241470');</v>
      </c>
    </row>
    <row r="941" spans="1:85" x14ac:dyDescent="0.25">
      <c r="A941">
        <v>23092241471</v>
      </c>
      <c r="B941">
        <v>0.2</v>
      </c>
      <c r="C941">
        <v>8553</v>
      </c>
      <c r="D941" t="s">
        <v>129</v>
      </c>
      <c r="E941" t="s">
        <v>53</v>
      </c>
      <c r="F941" t="s">
        <v>53</v>
      </c>
      <c r="G941">
        <v>4</v>
      </c>
      <c r="H941" t="s">
        <v>54</v>
      </c>
      <c r="I941">
        <v>182500</v>
      </c>
      <c r="J941">
        <v>43500</v>
      </c>
      <c r="K941">
        <v>0.2</v>
      </c>
      <c r="L94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41">
        <v>0</v>
      </c>
      <c r="N941">
        <v>0</v>
      </c>
      <c r="O941">
        <v>0</v>
      </c>
      <c r="P941">
        <v>13398.7528</v>
      </c>
      <c r="Q941">
        <v>63903</v>
      </c>
      <c r="R941">
        <f>(Grandview_Inventory[[#This Row],[ln_acres]]*Grandview_Inventory[[#This Row],[coeff]])+Grandview_Inventory[[#This Row],[const]]</f>
        <v>42338.539264347448</v>
      </c>
      <c r="S941" t="s">
        <v>61</v>
      </c>
      <c r="T941">
        <v>1</v>
      </c>
      <c r="U941" t="s">
        <v>65</v>
      </c>
      <c r="V941" t="s">
        <v>78</v>
      </c>
      <c r="W941">
        <v>0</v>
      </c>
      <c r="X941">
        <v>0</v>
      </c>
      <c r="Y941">
        <v>48</v>
      </c>
      <c r="Z941">
        <v>63</v>
      </c>
      <c r="AA941">
        <v>70</v>
      </c>
      <c r="AB941">
        <v>3500</v>
      </c>
      <c r="AC941">
        <v>3444</v>
      </c>
      <c r="AD941">
        <v>1722</v>
      </c>
      <c r="AE941">
        <v>0</v>
      </c>
      <c r="AF941">
        <v>0</v>
      </c>
      <c r="AG941">
        <v>1722</v>
      </c>
      <c r="AH941">
        <v>0</v>
      </c>
      <c r="AI941">
        <v>300</v>
      </c>
      <c r="AJ941">
        <v>0</v>
      </c>
      <c r="AK941">
        <v>0</v>
      </c>
      <c r="AL941">
        <v>0</v>
      </c>
      <c r="AM941">
        <v>336</v>
      </c>
      <c r="AN941">
        <v>0</v>
      </c>
      <c r="AO941">
        <v>336</v>
      </c>
      <c r="AP941">
        <v>12</v>
      </c>
      <c r="AQ941">
        <v>0</v>
      </c>
      <c r="AR941">
        <v>0</v>
      </c>
      <c r="AS941" t="s">
        <v>58</v>
      </c>
      <c r="AT941">
        <v>1</v>
      </c>
      <c r="AU941" t="s">
        <v>63</v>
      </c>
      <c r="AV941" t="s">
        <v>64</v>
      </c>
      <c r="AW941">
        <v>0</v>
      </c>
      <c r="AX941">
        <v>4</v>
      </c>
      <c r="AY941">
        <v>0</v>
      </c>
      <c r="AZ941">
        <v>0</v>
      </c>
      <c r="BA941">
        <v>100</v>
      </c>
      <c r="BB941">
        <v>100</v>
      </c>
      <c r="BC941">
        <v>100</v>
      </c>
      <c r="BD941">
        <v>100</v>
      </c>
      <c r="BE941">
        <v>1</v>
      </c>
      <c r="BF941">
        <v>15000</v>
      </c>
      <c r="BG941">
        <v>1000</v>
      </c>
      <c r="BH941" s="6">
        <f>Grandview_Inventory[[#This Row],[land_extract]]*Lookups!$B$3</f>
        <v>49167.631333630678</v>
      </c>
      <c r="BI941" s="6">
        <f>IF(Grandview_Inventory[[#This Row],[bldg_style]]="",0,Lookups!$B$2)</f>
        <v>155833.95000000001</v>
      </c>
      <c r="BJ941" s="6">
        <f>_xlfn.IFNA(VLOOKUP(Grandview_Inventory[[#This Row],[quality]],Lookups!$H$2:$J$14,3,FALSE),0)</f>
        <v>2251</v>
      </c>
      <c r="BK941" s="6">
        <f>_xlfn.IFNA(VLOOKUP(Grandview_Inventory[[#This Row],[condition]],Lookups!$H$17:$J$24,3,FALSE),0)</f>
        <v>-45357</v>
      </c>
      <c r="BL941" s="6">
        <f>Grandview_Inventory[[#This Row],[Eff_Age]]*Lookups!$B$14</f>
        <v>-11479.996799999999</v>
      </c>
      <c r="BM941" s="6">
        <f>Grandview_Inventory[[#This Row],[living_area]]*Lookups!$B$15</f>
        <v>214839.65773199999</v>
      </c>
      <c r="BN941" s="6">
        <f>Grandview_Inventory[[#This Row],[Fin BSMT]]*Lookups!$B$16</f>
        <v>-46664.891280000003</v>
      </c>
      <c r="BO941" s="6">
        <f>(Grandview_Inventory[[#This Row],[att_gar]]+Grandview_Inventory[[#This Row],[bltin_gar]])*Lookups!$B$17</f>
        <v>26256.131099999999</v>
      </c>
      <c r="BP941" s="6">
        <f>Grandview_Inventory[[#This Row],[Plumbing Fixtures]]*Lookups!$B$18</f>
        <v>24125.301599999999</v>
      </c>
      <c r="BQ941" s="6">
        <f>Grandview_Inventory[[#This Row],[detatched_value]]*Lookups!$B$19</f>
        <v>0</v>
      </c>
      <c r="BR941" s="6">
        <f>SUM(Grandview_Inventory[[#This Row],[Intercept]:[det_value]])*Grandview_Inventory[[#This Row],[res_pct]]</f>
        <v>319804.152352</v>
      </c>
      <c r="BS941" s="6">
        <f>Grandview_Inventory[[#This Row],[land_value]]</f>
        <v>49167.631333630678</v>
      </c>
      <c r="BT941" s="4">
        <f>_xlfn.IFNA(VLOOKUP(Grandview_Inventory[[#This Row],[quality]],Lookups!$A$26:$C$33,3,FALSE),1)</f>
        <v>0.98763855981004833</v>
      </c>
      <c r="BU941" s="4">
        <f>_xlfn.IFNA(VLOOKUP(Grandview_Inventory[[#This Row],[condition]],Lookups!$A$37:$C$44,3,FALSE),1)</f>
        <v>0.97161819570155394</v>
      </c>
      <c r="BV941" s="4">
        <f>IF(Grandview_Inventory[[#This Row],[bldg_style]]="",1,_xlfn.IFNA(VLOOKUP(Grandview_Inventory[[#This Row],[decade]],Lookups!$F$29:$H$43,3,FALSE),1))</f>
        <v>0.99472141305414818</v>
      </c>
      <c r="BW941" s="4">
        <f>_xlfn.IFNA(VLOOKUP(Grandview_Inventory[[#This Row],[living_area_range]],Lookups!$F$47:$H$56,3,FALSE),1)</f>
        <v>1.0170112215140563</v>
      </c>
      <c r="BX941" s="4">
        <f>AVERAGE(Grandview_Inventory[[#This Row],[qual_adj]:[size_adj]])</f>
        <v>0.99274734751995175</v>
      </c>
      <c r="BY941" s="6">
        <f>IF(Grandview_Inventory[[#This Row],[pre_res]]&lt;0,0,Grandview_Inventory[[#This Row],[pre_res]]*Grandview_Inventory[[#This Row],[overall_adj]])</f>
        <v>317484.72397331457</v>
      </c>
      <c r="BZ941" s="6">
        <f>(Grandview_Inventory[[#This Row],[sum_land]]-IF(Grandview_Inventory[[#This Row],[no_utilities]]=1,12000,0))/IF(Grandview_Inventory[[#This Row],[unbuildable]]=1,2,1)</f>
        <v>49167.631333630678</v>
      </c>
      <c r="CA94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41">
        <f>ROUND(Grandview_Inventory[[#This Row],[det_value]]*Lookups!$M$28,-2)</f>
        <v>0</v>
      </c>
      <c r="CC941">
        <f>IF(ROUND(Grandview_Inventory[[#This Row],[adj_res]]*Lookups!$M$28,-2)&lt;Grandview_Inventory[[#This Row],[min_res]],Grandview_Inventory[[#This Row],[min_res]],ROUND(Grandview_Inventory[[#This Row],[adj_res]]*Lookups!$M$28,-2))</f>
        <v>301600</v>
      </c>
      <c r="CD941">
        <f>Grandview_Inventory[[#This Row],[final_det]]+Grandview_Inventory[[#This Row],[final_res]]</f>
        <v>301600</v>
      </c>
      <c r="CE941">
        <f>Grandview_Inventory[[#This Row],[final_land]]+Grandview_Inventory[[#This Row],[final_imp]]+Grandview_Inventory[[#This Row],[crop_value]]</f>
        <v>348300</v>
      </c>
      <c r="CG941" t="str">
        <f t="shared" si="14"/>
        <v>update valuation set market_land =46700, market_bldg=301600, market_total =348300, market_mdno =401, market_date ='9/10/2023' where link_id = (select link_id from parcel where parcel_year = '2024' and parcel_id = '23092241471');</v>
      </c>
    </row>
    <row r="942" spans="1:85" x14ac:dyDescent="0.25">
      <c r="A942">
        <v>23092241472</v>
      </c>
      <c r="B942">
        <v>0.2</v>
      </c>
      <c r="C942">
        <v>8553</v>
      </c>
      <c r="D942" t="s">
        <v>129</v>
      </c>
      <c r="E942" t="s">
        <v>53</v>
      </c>
      <c r="F942" t="s">
        <v>53</v>
      </c>
      <c r="G942">
        <v>4</v>
      </c>
      <c r="H942" t="s">
        <v>54</v>
      </c>
      <c r="I942">
        <v>175200</v>
      </c>
      <c r="J942">
        <v>43500</v>
      </c>
      <c r="K942">
        <v>0.2</v>
      </c>
      <c r="L94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42">
        <v>0</v>
      </c>
      <c r="N942">
        <v>0</v>
      </c>
      <c r="O942">
        <v>0</v>
      </c>
      <c r="P942">
        <v>13398.7528</v>
      </c>
      <c r="Q942">
        <v>63903</v>
      </c>
      <c r="R942">
        <f>(Grandview_Inventory[[#This Row],[ln_acres]]*Grandview_Inventory[[#This Row],[coeff]])+Grandview_Inventory[[#This Row],[const]]</f>
        <v>42338.539264347448</v>
      </c>
      <c r="S942" t="s">
        <v>61</v>
      </c>
      <c r="T942">
        <v>1</v>
      </c>
      <c r="U942" t="s">
        <v>62</v>
      </c>
      <c r="V942" t="s">
        <v>69</v>
      </c>
      <c r="W942">
        <v>0</v>
      </c>
      <c r="X942">
        <v>0</v>
      </c>
      <c r="Y942">
        <v>48</v>
      </c>
      <c r="Z942">
        <v>63</v>
      </c>
      <c r="AA942">
        <v>70</v>
      </c>
      <c r="AB942">
        <v>2000</v>
      </c>
      <c r="AC942">
        <v>1820</v>
      </c>
      <c r="AD942">
        <v>1820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480</v>
      </c>
      <c r="AN942">
        <v>108</v>
      </c>
      <c r="AO942">
        <v>0</v>
      </c>
      <c r="AP942">
        <v>11</v>
      </c>
      <c r="AQ942">
        <v>0</v>
      </c>
      <c r="AR942">
        <v>0</v>
      </c>
      <c r="AS942" t="s">
        <v>58</v>
      </c>
      <c r="AT942">
        <v>1</v>
      </c>
      <c r="AU942" t="s">
        <v>63</v>
      </c>
      <c r="AV942" t="s">
        <v>64</v>
      </c>
      <c r="AW942">
        <v>1</v>
      </c>
      <c r="AX942">
        <v>3</v>
      </c>
      <c r="AY942">
        <v>0</v>
      </c>
      <c r="AZ942">
        <v>0</v>
      </c>
      <c r="BA942">
        <v>100</v>
      </c>
      <c r="BB942">
        <v>100</v>
      </c>
      <c r="BC942">
        <v>100</v>
      </c>
      <c r="BD942">
        <v>100</v>
      </c>
      <c r="BE942">
        <v>1</v>
      </c>
      <c r="BF942">
        <v>15000</v>
      </c>
      <c r="BG942">
        <v>1000</v>
      </c>
      <c r="BH942" s="6">
        <f>Grandview_Inventory[[#This Row],[land_extract]]*Lookups!$B$3</f>
        <v>49167.631333630678</v>
      </c>
      <c r="BI942" s="6">
        <f>IF(Grandview_Inventory[[#This Row],[bldg_style]]="",0,Lookups!$B$2)</f>
        <v>155833.95000000001</v>
      </c>
      <c r="BJ942" s="6">
        <f>_xlfn.IFNA(VLOOKUP(Grandview_Inventory[[#This Row],[quality]],Lookups!$H$2:$J$14,3,FALSE),0)</f>
        <v>9808</v>
      </c>
      <c r="BK942" s="6">
        <f>_xlfn.IFNA(VLOOKUP(Grandview_Inventory[[#This Row],[condition]],Lookups!$H$17:$J$24,3,FALSE),0)</f>
        <v>-4503</v>
      </c>
      <c r="BL942" s="6">
        <f>Grandview_Inventory[[#This Row],[Eff_Age]]*Lookups!$B$14</f>
        <v>-11479.996799999999</v>
      </c>
      <c r="BM942" s="6">
        <f>Grandview_Inventory[[#This Row],[living_area]]*Lookups!$B$15</f>
        <v>113533.15246</v>
      </c>
      <c r="BN942" s="6">
        <f>Grandview_Inventory[[#This Row],[Fin BSMT]]*Lookups!$B$16</f>
        <v>0</v>
      </c>
      <c r="BO942" s="6">
        <f>(Grandview_Inventory[[#This Row],[att_gar]]+Grandview_Inventory[[#This Row],[bltin_gar]])*Lookups!$B$17</f>
        <v>0</v>
      </c>
      <c r="BP942" s="6">
        <f>Grandview_Inventory[[#This Row],[Plumbing Fixtures]]*Lookups!$B$18</f>
        <v>22114.859800000002</v>
      </c>
      <c r="BQ942" s="6">
        <f>Grandview_Inventory[[#This Row],[detatched_value]]*Lookups!$B$19</f>
        <v>0</v>
      </c>
      <c r="BR942" s="6">
        <f>SUM(Grandview_Inventory[[#This Row],[Intercept]:[det_value]])*Grandview_Inventory[[#This Row],[res_pct]]</f>
        <v>285306.96545999998</v>
      </c>
      <c r="BS942" s="6">
        <f>Grandview_Inventory[[#This Row],[land_value]]</f>
        <v>49167.631333630678</v>
      </c>
      <c r="BT942" s="4">
        <f>_xlfn.IFNA(VLOOKUP(Grandview_Inventory[[#This Row],[quality]],Lookups!$A$26:$C$33,3,FALSE),1)</f>
        <v>0.94295468617355149</v>
      </c>
      <c r="BU942" s="4">
        <f>_xlfn.IFNA(VLOOKUP(Grandview_Inventory[[#This Row],[condition]],Lookups!$A$37:$C$44,3,FALSE),1)</f>
        <v>0.96469275950863709</v>
      </c>
      <c r="BV942" s="4">
        <f>IF(Grandview_Inventory[[#This Row],[bldg_style]]="",1,_xlfn.IFNA(VLOOKUP(Grandview_Inventory[[#This Row],[decade]],Lookups!$F$29:$H$43,3,FALSE),1))</f>
        <v>0.99472141305414818</v>
      </c>
      <c r="BW942" s="4">
        <f>_xlfn.IFNA(VLOOKUP(Grandview_Inventory[[#This Row],[living_area_range]],Lookups!$F$47:$H$56,3,FALSE),1)</f>
        <v>0.96120133463014379</v>
      </c>
      <c r="BX942" s="4">
        <f>AVERAGE(Grandview_Inventory[[#This Row],[qual_adj]:[size_adj]])</f>
        <v>0.96589254834162008</v>
      </c>
      <c r="BY942" s="6">
        <f>IF(Grandview_Inventory[[#This Row],[pre_res]]&lt;0,0,Grandview_Inventory[[#This Row],[pre_res]]*Grandview_Inventory[[#This Row],[overall_adj]])</f>
        <v>275575.87192777399</v>
      </c>
      <c r="BZ942" s="6">
        <f>(Grandview_Inventory[[#This Row],[sum_land]]-IF(Grandview_Inventory[[#This Row],[no_utilities]]=1,12000,0))/IF(Grandview_Inventory[[#This Row],[unbuildable]]=1,2,1)</f>
        <v>49167.631333630678</v>
      </c>
      <c r="CA94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42">
        <f>ROUND(Grandview_Inventory[[#This Row],[det_value]]*Lookups!$M$28,-2)</f>
        <v>0</v>
      </c>
      <c r="CC942">
        <f>IF(ROUND(Grandview_Inventory[[#This Row],[adj_res]]*Lookups!$M$28,-2)&lt;Grandview_Inventory[[#This Row],[min_res]],Grandview_Inventory[[#This Row],[min_res]],ROUND(Grandview_Inventory[[#This Row],[adj_res]]*Lookups!$M$28,-2))</f>
        <v>261800</v>
      </c>
      <c r="CD942">
        <f>Grandview_Inventory[[#This Row],[final_det]]+Grandview_Inventory[[#This Row],[final_res]]</f>
        <v>261800</v>
      </c>
      <c r="CE942">
        <f>Grandview_Inventory[[#This Row],[final_land]]+Grandview_Inventory[[#This Row],[final_imp]]+Grandview_Inventory[[#This Row],[crop_value]]</f>
        <v>308500</v>
      </c>
      <c r="CG942" t="str">
        <f t="shared" si="14"/>
        <v>update valuation set market_land =46700, market_bldg=261800, market_total =308500, market_mdno =401, market_date ='9/10/2023' where link_id = (select link_id from parcel where parcel_year = '2024' and parcel_id = '23092241472');</v>
      </c>
    </row>
    <row r="943" spans="1:85" x14ac:dyDescent="0.25">
      <c r="A943">
        <v>23092241473</v>
      </c>
      <c r="B943">
        <v>0.2</v>
      </c>
      <c r="C943">
        <v>8553</v>
      </c>
      <c r="D943" t="s">
        <v>129</v>
      </c>
      <c r="E943" t="s">
        <v>53</v>
      </c>
      <c r="F943" t="s">
        <v>53</v>
      </c>
      <c r="G943">
        <v>4</v>
      </c>
      <c r="H943" t="s">
        <v>54</v>
      </c>
      <c r="I943">
        <v>216600</v>
      </c>
      <c r="J943">
        <v>39100</v>
      </c>
      <c r="K943">
        <v>0.2</v>
      </c>
      <c r="L94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43">
        <v>0</v>
      </c>
      <c r="N943">
        <v>0</v>
      </c>
      <c r="O943">
        <v>0</v>
      </c>
      <c r="P943">
        <v>13398.7528</v>
      </c>
      <c r="Q943">
        <v>63903</v>
      </c>
      <c r="R943">
        <f>(Grandview_Inventory[[#This Row],[ln_acres]]*Grandview_Inventory[[#This Row],[coeff]])+Grandview_Inventory[[#This Row],[const]]</f>
        <v>42338.539264347448</v>
      </c>
      <c r="S943" t="s">
        <v>61</v>
      </c>
      <c r="T943">
        <v>1</v>
      </c>
      <c r="U943" t="s">
        <v>62</v>
      </c>
      <c r="V943" t="s">
        <v>69</v>
      </c>
      <c r="W943">
        <v>0</v>
      </c>
      <c r="X943">
        <v>0</v>
      </c>
      <c r="Y943">
        <v>48</v>
      </c>
      <c r="Z943">
        <v>63</v>
      </c>
      <c r="AA943">
        <v>70</v>
      </c>
      <c r="AB943">
        <v>2500</v>
      </c>
      <c r="AC943">
        <v>2084</v>
      </c>
      <c r="AD943">
        <v>1532</v>
      </c>
      <c r="AE943">
        <v>0</v>
      </c>
      <c r="AF943">
        <v>0</v>
      </c>
      <c r="AG943">
        <v>552</v>
      </c>
      <c r="AH943">
        <v>0</v>
      </c>
      <c r="AI943">
        <v>330</v>
      </c>
      <c r="AJ943">
        <v>0</v>
      </c>
      <c r="AK943">
        <v>253</v>
      </c>
      <c r="AL943">
        <v>0</v>
      </c>
      <c r="AM943">
        <v>0</v>
      </c>
      <c r="AN943">
        <v>56</v>
      </c>
      <c r="AO943">
        <v>0</v>
      </c>
      <c r="AP943">
        <v>8</v>
      </c>
      <c r="AQ943">
        <v>0</v>
      </c>
      <c r="AR943">
        <v>1</v>
      </c>
      <c r="AS943" t="s">
        <v>58</v>
      </c>
      <c r="AT943">
        <v>1</v>
      </c>
      <c r="AU943" t="s">
        <v>63</v>
      </c>
      <c r="AV943" t="s">
        <v>60</v>
      </c>
      <c r="AW943">
        <v>1</v>
      </c>
      <c r="AX943">
        <v>3</v>
      </c>
      <c r="AY943">
        <v>0</v>
      </c>
      <c r="AZ943">
        <v>0</v>
      </c>
      <c r="BA943">
        <v>100</v>
      </c>
      <c r="BB943">
        <v>100</v>
      </c>
      <c r="BC943">
        <v>100</v>
      </c>
      <c r="BD943">
        <v>100</v>
      </c>
      <c r="BE943">
        <v>1</v>
      </c>
      <c r="BF943">
        <v>15000</v>
      </c>
      <c r="BG943">
        <v>1000</v>
      </c>
      <c r="BH943" s="6">
        <f>Grandview_Inventory[[#This Row],[land_extract]]*Lookups!$B$3</f>
        <v>49167.631333630678</v>
      </c>
      <c r="BI943" s="6">
        <f>IF(Grandview_Inventory[[#This Row],[bldg_style]]="",0,Lookups!$B$2)</f>
        <v>155833.95000000001</v>
      </c>
      <c r="BJ943" s="6">
        <f>_xlfn.IFNA(VLOOKUP(Grandview_Inventory[[#This Row],[quality]],Lookups!$H$2:$J$14,3,FALSE),0)</f>
        <v>9808</v>
      </c>
      <c r="BK943" s="6">
        <f>_xlfn.IFNA(VLOOKUP(Grandview_Inventory[[#This Row],[condition]],Lookups!$H$17:$J$24,3,FALSE),0)</f>
        <v>-4503</v>
      </c>
      <c r="BL943" s="6">
        <f>Grandview_Inventory[[#This Row],[Eff_Age]]*Lookups!$B$14</f>
        <v>-11479.996799999999</v>
      </c>
      <c r="BM943" s="6">
        <f>Grandview_Inventory[[#This Row],[living_area]]*Lookups!$B$15</f>
        <v>130001.697652</v>
      </c>
      <c r="BN943" s="6">
        <f>Grandview_Inventory[[#This Row],[Fin BSMT]]*Lookups!$B$16</f>
        <v>-14958.780480000001</v>
      </c>
      <c r="BO943" s="6">
        <f>(Grandview_Inventory[[#This Row],[att_gar]]+Grandview_Inventory[[#This Row],[bltin_gar]])*Lookups!$B$17</f>
        <v>28881.744210000001</v>
      </c>
      <c r="BP943" s="6">
        <f>Grandview_Inventory[[#This Row],[Plumbing Fixtures]]*Lookups!$B$18</f>
        <v>16083.5344</v>
      </c>
      <c r="BQ943" s="6">
        <f>Grandview_Inventory[[#This Row],[detatched_value]]*Lookups!$B$19</f>
        <v>0</v>
      </c>
      <c r="BR943" s="6">
        <f>SUM(Grandview_Inventory[[#This Row],[Intercept]:[det_value]])*Grandview_Inventory[[#This Row],[res_pct]]</f>
        <v>309667.14898199996</v>
      </c>
      <c r="BS943" s="6">
        <f>Grandview_Inventory[[#This Row],[land_value]]</f>
        <v>49167.631333630678</v>
      </c>
      <c r="BT943" s="4">
        <f>_xlfn.IFNA(VLOOKUP(Grandview_Inventory[[#This Row],[quality]],Lookups!$A$26:$C$33,3,FALSE),1)</f>
        <v>0.94295468617355149</v>
      </c>
      <c r="BU943" s="4">
        <f>_xlfn.IFNA(VLOOKUP(Grandview_Inventory[[#This Row],[condition]],Lookups!$A$37:$C$44,3,FALSE),1)</f>
        <v>0.96469275950863709</v>
      </c>
      <c r="BV943" s="4">
        <f>IF(Grandview_Inventory[[#This Row],[bldg_style]]="",1,_xlfn.IFNA(VLOOKUP(Grandview_Inventory[[#This Row],[decade]],Lookups!$F$29:$H$43,3,FALSE),1))</f>
        <v>0.99472141305414818</v>
      </c>
      <c r="BW943" s="4">
        <f>_xlfn.IFNA(VLOOKUP(Grandview_Inventory[[#This Row],[living_area_range]],Lookups!$F$47:$H$56,3,FALSE),1)</f>
        <v>0.95799442568048754</v>
      </c>
      <c r="BX943" s="4">
        <f>AVERAGE(Grandview_Inventory[[#This Row],[qual_adj]:[size_adj]])</f>
        <v>0.96509082110420608</v>
      </c>
      <c r="BY943" s="6">
        <f>IF(Grandview_Inventory[[#This Row],[pre_res]]&lt;0,0,Grandview_Inventory[[#This Row],[pre_res]]*Grandview_Inventory[[#This Row],[overall_adj]])</f>
        <v>298856.92308003682</v>
      </c>
      <c r="BZ943" s="6">
        <f>(Grandview_Inventory[[#This Row],[sum_land]]-IF(Grandview_Inventory[[#This Row],[no_utilities]]=1,12000,0))/IF(Grandview_Inventory[[#This Row],[unbuildable]]=1,2,1)</f>
        <v>49167.631333630678</v>
      </c>
      <c r="CA94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43">
        <f>ROUND(Grandview_Inventory[[#This Row],[det_value]]*Lookups!$M$28,-2)</f>
        <v>0</v>
      </c>
      <c r="CC943">
        <f>IF(ROUND(Grandview_Inventory[[#This Row],[adj_res]]*Lookups!$M$28,-2)&lt;Grandview_Inventory[[#This Row],[min_res]],Grandview_Inventory[[#This Row],[min_res]],ROUND(Grandview_Inventory[[#This Row],[adj_res]]*Lookups!$M$28,-2))</f>
        <v>283900</v>
      </c>
      <c r="CD943">
        <f>Grandview_Inventory[[#This Row],[final_det]]+Grandview_Inventory[[#This Row],[final_res]]</f>
        <v>283900</v>
      </c>
      <c r="CE943">
        <f>Grandview_Inventory[[#This Row],[final_land]]+Grandview_Inventory[[#This Row],[final_imp]]+Grandview_Inventory[[#This Row],[crop_value]]</f>
        <v>330600</v>
      </c>
      <c r="CG943" t="str">
        <f t="shared" si="14"/>
        <v>update valuation set market_land =46700, market_bldg=283900, market_total =330600, market_mdno =401, market_date ='9/10/2023' where link_id = (select link_id from parcel where parcel_year = '2024' and parcel_id = '23092241473');</v>
      </c>
    </row>
    <row r="944" spans="1:85" x14ac:dyDescent="0.25">
      <c r="A944">
        <v>23092241474</v>
      </c>
      <c r="B944">
        <v>0.2</v>
      </c>
      <c r="C944">
        <v>8553</v>
      </c>
      <c r="D944" t="s">
        <v>129</v>
      </c>
      <c r="E944" t="s">
        <v>53</v>
      </c>
      <c r="F944" t="s">
        <v>53</v>
      </c>
      <c r="G944">
        <v>4</v>
      </c>
      <c r="H944" t="s">
        <v>54</v>
      </c>
      <c r="I944">
        <v>286200</v>
      </c>
      <c r="J944">
        <v>43500</v>
      </c>
      <c r="K944">
        <v>0.2</v>
      </c>
      <c r="L94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44">
        <v>0</v>
      </c>
      <c r="N944">
        <v>0</v>
      </c>
      <c r="O944">
        <v>0</v>
      </c>
      <c r="P944">
        <v>13398.7528</v>
      </c>
      <c r="Q944">
        <v>63903</v>
      </c>
      <c r="R944">
        <f>(Grandview_Inventory[[#This Row],[ln_acres]]*Grandview_Inventory[[#This Row],[coeff]])+Grandview_Inventory[[#This Row],[const]]</f>
        <v>42338.539264347448</v>
      </c>
      <c r="S944" t="s">
        <v>74</v>
      </c>
      <c r="T944">
        <v>1</v>
      </c>
      <c r="U944" t="s">
        <v>64</v>
      </c>
      <c r="V944" t="s">
        <v>67</v>
      </c>
      <c r="W944">
        <v>0</v>
      </c>
      <c r="X944">
        <v>0</v>
      </c>
      <c r="Y944">
        <v>48</v>
      </c>
      <c r="Z944">
        <v>63</v>
      </c>
      <c r="AA944">
        <v>70</v>
      </c>
      <c r="AB944">
        <v>2500</v>
      </c>
      <c r="AC944">
        <v>2032</v>
      </c>
      <c r="AD944">
        <v>1366</v>
      </c>
      <c r="AE944">
        <v>0</v>
      </c>
      <c r="AF944">
        <v>0</v>
      </c>
      <c r="AG944">
        <v>666</v>
      </c>
      <c r="AH944">
        <v>0</v>
      </c>
      <c r="AI944">
        <v>312</v>
      </c>
      <c r="AJ944">
        <v>0</v>
      </c>
      <c r="AK944">
        <v>0</v>
      </c>
      <c r="AL944">
        <v>0</v>
      </c>
      <c r="AM944">
        <v>619</v>
      </c>
      <c r="AN944">
        <v>72</v>
      </c>
      <c r="AO944">
        <v>320</v>
      </c>
      <c r="AP944">
        <v>10</v>
      </c>
      <c r="AQ944">
        <v>0</v>
      </c>
      <c r="AR944">
        <v>1</v>
      </c>
      <c r="AS944" t="s">
        <v>58</v>
      </c>
      <c r="AT944">
        <v>1</v>
      </c>
      <c r="AU944" t="s">
        <v>63</v>
      </c>
      <c r="AV944" t="s">
        <v>64</v>
      </c>
      <c r="AW944">
        <v>1</v>
      </c>
      <c r="AX944">
        <v>3</v>
      </c>
      <c r="AY944">
        <v>0</v>
      </c>
      <c r="AZ944">
        <v>0</v>
      </c>
      <c r="BA944">
        <v>100</v>
      </c>
      <c r="BB944">
        <v>100</v>
      </c>
      <c r="BC944">
        <v>100</v>
      </c>
      <c r="BD944">
        <v>100</v>
      </c>
      <c r="BE944">
        <v>1</v>
      </c>
      <c r="BF944">
        <v>15000</v>
      </c>
      <c r="BG944">
        <v>1000</v>
      </c>
      <c r="BH944" s="6">
        <f>Grandview_Inventory[[#This Row],[land_extract]]*Lookups!$B$3</f>
        <v>49167.631333630678</v>
      </c>
      <c r="BI944" s="6">
        <f>IF(Grandview_Inventory[[#This Row],[bldg_style]]="",0,Lookups!$B$2)</f>
        <v>155833.95000000001</v>
      </c>
      <c r="BJ944" s="6">
        <f>_xlfn.IFNA(VLOOKUP(Grandview_Inventory[[#This Row],[quality]],Lookups!$H$2:$J$14,3,FALSE),0)</f>
        <v>20768</v>
      </c>
      <c r="BK944" s="6">
        <f>_xlfn.IFNA(VLOOKUP(Grandview_Inventory[[#This Row],[condition]],Lookups!$H$17:$J$24,3,FALSE),0)</f>
        <v>22342</v>
      </c>
      <c r="BL944" s="6">
        <f>Grandview_Inventory[[#This Row],[Eff_Age]]*Lookups!$B$14</f>
        <v>-11479.996799999999</v>
      </c>
      <c r="BM944" s="6">
        <f>Grandview_Inventory[[#This Row],[living_area]]*Lookups!$B$15</f>
        <v>126757.89329600001</v>
      </c>
      <c r="BN944" s="6">
        <f>Grandview_Inventory[[#This Row],[Fin BSMT]]*Lookups!$B$16</f>
        <v>-18048.093840000001</v>
      </c>
      <c r="BO944" s="6">
        <f>(Grandview_Inventory[[#This Row],[att_gar]]+Grandview_Inventory[[#This Row],[bltin_gar]])*Lookups!$B$17</f>
        <v>27306.376344</v>
      </c>
      <c r="BP944" s="6">
        <f>Grandview_Inventory[[#This Row],[Plumbing Fixtures]]*Lookups!$B$18</f>
        <v>20104.418000000001</v>
      </c>
      <c r="BQ944" s="6">
        <f>Grandview_Inventory[[#This Row],[detatched_value]]*Lookups!$B$19</f>
        <v>0</v>
      </c>
      <c r="BR944" s="6">
        <f>SUM(Grandview_Inventory[[#This Row],[Intercept]:[det_value]])*Grandview_Inventory[[#This Row],[res_pct]]</f>
        <v>343584.54700000002</v>
      </c>
      <c r="BS944" s="6">
        <f>Grandview_Inventory[[#This Row],[land_value]]</f>
        <v>49167.631333630678</v>
      </c>
      <c r="BT944" s="4">
        <f>_xlfn.IFNA(VLOOKUP(Grandview_Inventory[[#This Row],[quality]],Lookups!$A$26:$C$33,3,FALSE),1)</f>
        <v>0.94960540378902636</v>
      </c>
      <c r="BU944" s="4">
        <f>_xlfn.IFNA(VLOOKUP(Grandview_Inventory[[#This Row],[condition]],Lookups!$A$37:$C$44,3,FALSE),1)</f>
        <v>0.97383723671140243</v>
      </c>
      <c r="BV944" s="4">
        <f>IF(Grandview_Inventory[[#This Row],[bldg_style]]="",1,_xlfn.IFNA(VLOOKUP(Grandview_Inventory[[#This Row],[decade]],Lookups!$F$29:$H$43,3,FALSE),1))</f>
        <v>0.99472141305414818</v>
      </c>
      <c r="BW944" s="4">
        <f>_xlfn.IFNA(VLOOKUP(Grandview_Inventory[[#This Row],[living_area_range]],Lookups!$F$47:$H$56,3,FALSE),1)</f>
        <v>0.95799442568048754</v>
      </c>
      <c r="BX944" s="4">
        <f>AVERAGE(Grandview_Inventory[[#This Row],[qual_adj]:[size_adj]])</f>
        <v>0.96903961980876607</v>
      </c>
      <c r="BY944" s="6">
        <f>IF(Grandview_Inventory[[#This Row],[pre_res]]&lt;0,0,Grandview_Inventory[[#This Row],[pre_res]]*Grandview_Inventory[[#This Row],[overall_adj]])</f>
        <v>332947.03879704716</v>
      </c>
      <c r="BZ944" s="6">
        <f>(Grandview_Inventory[[#This Row],[sum_land]]-IF(Grandview_Inventory[[#This Row],[no_utilities]]=1,12000,0))/IF(Grandview_Inventory[[#This Row],[unbuildable]]=1,2,1)</f>
        <v>49167.631333630678</v>
      </c>
      <c r="CA94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44">
        <f>ROUND(Grandview_Inventory[[#This Row],[det_value]]*Lookups!$M$28,-2)</f>
        <v>0</v>
      </c>
      <c r="CC944">
        <f>IF(ROUND(Grandview_Inventory[[#This Row],[adj_res]]*Lookups!$M$28,-2)&lt;Grandview_Inventory[[#This Row],[min_res]],Grandview_Inventory[[#This Row],[min_res]],ROUND(Grandview_Inventory[[#This Row],[adj_res]]*Lookups!$M$28,-2))</f>
        <v>316300</v>
      </c>
      <c r="CD944">
        <f>Grandview_Inventory[[#This Row],[final_det]]+Grandview_Inventory[[#This Row],[final_res]]</f>
        <v>316300</v>
      </c>
      <c r="CE944">
        <f>Grandview_Inventory[[#This Row],[final_land]]+Grandview_Inventory[[#This Row],[final_imp]]+Grandview_Inventory[[#This Row],[crop_value]]</f>
        <v>363000</v>
      </c>
      <c r="CG944" t="str">
        <f t="shared" si="14"/>
        <v>update valuation set market_land =46700, market_bldg=316300, market_total =363000, market_mdno =401, market_date ='9/10/2023' where link_id = (select link_id from parcel where parcel_year = '2024' and parcel_id = '23092241474');</v>
      </c>
    </row>
    <row r="945" spans="1:85" x14ac:dyDescent="0.25">
      <c r="A945">
        <v>23092241475</v>
      </c>
      <c r="B945">
        <v>0.2</v>
      </c>
      <c r="C945">
        <v>8553</v>
      </c>
      <c r="D945" t="s">
        <v>129</v>
      </c>
      <c r="E945" t="s">
        <v>53</v>
      </c>
      <c r="F945" t="s">
        <v>53</v>
      </c>
      <c r="G945">
        <v>4</v>
      </c>
      <c r="H945" t="s">
        <v>54</v>
      </c>
      <c r="I945">
        <v>170500</v>
      </c>
      <c r="J945">
        <v>43500</v>
      </c>
      <c r="K945">
        <v>0.2</v>
      </c>
      <c r="L94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45">
        <v>0</v>
      </c>
      <c r="N945">
        <v>0</v>
      </c>
      <c r="O945">
        <v>0</v>
      </c>
      <c r="P945">
        <v>13398.7528</v>
      </c>
      <c r="Q945">
        <v>63903</v>
      </c>
      <c r="R945">
        <f>(Grandview_Inventory[[#This Row],[ln_acres]]*Grandview_Inventory[[#This Row],[coeff]])+Grandview_Inventory[[#This Row],[const]]</f>
        <v>42338.539264347448</v>
      </c>
      <c r="S945" t="s">
        <v>61</v>
      </c>
      <c r="T945">
        <v>1</v>
      </c>
      <c r="U945" t="s">
        <v>65</v>
      </c>
      <c r="V945" t="s">
        <v>69</v>
      </c>
      <c r="W945">
        <v>0</v>
      </c>
      <c r="X945">
        <v>0</v>
      </c>
      <c r="Y945">
        <v>48</v>
      </c>
      <c r="Z945">
        <v>63</v>
      </c>
      <c r="AA945">
        <v>70</v>
      </c>
      <c r="AB945">
        <v>2500</v>
      </c>
      <c r="AC945">
        <v>2464</v>
      </c>
      <c r="AD945">
        <v>1232</v>
      </c>
      <c r="AE945">
        <v>0</v>
      </c>
      <c r="AF945">
        <v>0</v>
      </c>
      <c r="AG945">
        <v>1232</v>
      </c>
      <c r="AH945">
        <v>0</v>
      </c>
      <c r="AI945">
        <v>0</v>
      </c>
      <c r="AJ945">
        <v>0</v>
      </c>
      <c r="AK945">
        <v>240</v>
      </c>
      <c r="AL945">
        <v>200</v>
      </c>
      <c r="AM945">
        <v>0</v>
      </c>
      <c r="AN945">
        <v>32</v>
      </c>
      <c r="AO945">
        <v>0</v>
      </c>
      <c r="AP945">
        <v>6</v>
      </c>
      <c r="AQ945">
        <v>0</v>
      </c>
      <c r="AR945">
        <v>0</v>
      </c>
      <c r="AS945" t="s">
        <v>76</v>
      </c>
      <c r="AT945">
        <v>1</v>
      </c>
      <c r="AU945" t="s">
        <v>63</v>
      </c>
      <c r="AV945" t="s">
        <v>64</v>
      </c>
      <c r="AW945">
        <v>0</v>
      </c>
      <c r="AX945">
        <v>3</v>
      </c>
      <c r="AY945">
        <v>0</v>
      </c>
      <c r="AZ945">
        <v>0</v>
      </c>
      <c r="BA945">
        <v>100</v>
      </c>
      <c r="BB945">
        <v>100</v>
      </c>
      <c r="BC945">
        <v>100</v>
      </c>
      <c r="BD945">
        <v>100</v>
      </c>
      <c r="BE945">
        <v>1</v>
      </c>
      <c r="BF945">
        <v>15000</v>
      </c>
      <c r="BG945">
        <v>1000</v>
      </c>
      <c r="BH945" s="6">
        <f>Grandview_Inventory[[#This Row],[land_extract]]*Lookups!$B$3</f>
        <v>49167.631333630678</v>
      </c>
      <c r="BI945" s="6">
        <f>IF(Grandview_Inventory[[#This Row],[bldg_style]]="",0,Lookups!$B$2)</f>
        <v>155833.95000000001</v>
      </c>
      <c r="BJ945" s="6">
        <f>_xlfn.IFNA(VLOOKUP(Grandview_Inventory[[#This Row],[quality]],Lookups!$H$2:$J$14,3,FALSE),0)</f>
        <v>2251</v>
      </c>
      <c r="BK945" s="6">
        <f>_xlfn.IFNA(VLOOKUP(Grandview_Inventory[[#This Row],[condition]],Lookups!$H$17:$J$24,3,FALSE),0)</f>
        <v>-4503</v>
      </c>
      <c r="BL945" s="6">
        <f>Grandview_Inventory[[#This Row],[Eff_Age]]*Lookups!$B$14</f>
        <v>-11479.996799999999</v>
      </c>
      <c r="BM945" s="6">
        <f>Grandview_Inventory[[#This Row],[living_area]]*Lookups!$B$15</f>
        <v>153706.42179200001</v>
      </c>
      <c r="BN945" s="6">
        <f>Grandview_Inventory[[#This Row],[Fin BSMT]]*Lookups!$B$16</f>
        <v>-33386.263680000004</v>
      </c>
      <c r="BO945" s="6">
        <f>(Grandview_Inventory[[#This Row],[att_gar]]+Grandview_Inventory[[#This Row],[bltin_gar]])*Lookups!$B$17</f>
        <v>0</v>
      </c>
      <c r="BP945" s="6">
        <f>Grandview_Inventory[[#This Row],[Plumbing Fixtures]]*Lookups!$B$18</f>
        <v>12062.650799999999</v>
      </c>
      <c r="BQ945" s="6">
        <f>Grandview_Inventory[[#This Row],[detatched_value]]*Lookups!$B$19</f>
        <v>0</v>
      </c>
      <c r="BR945" s="6">
        <f>SUM(Grandview_Inventory[[#This Row],[Intercept]:[det_value]])*Grandview_Inventory[[#This Row],[res_pct]]</f>
        <v>274484.76211200008</v>
      </c>
      <c r="BS945" s="6">
        <f>Grandview_Inventory[[#This Row],[land_value]]</f>
        <v>49167.631333630678</v>
      </c>
      <c r="BT945" s="4">
        <f>_xlfn.IFNA(VLOOKUP(Grandview_Inventory[[#This Row],[quality]],Lookups!$A$26:$C$33,3,FALSE),1)</f>
        <v>0.98763855981004833</v>
      </c>
      <c r="BU945" s="4">
        <f>_xlfn.IFNA(VLOOKUP(Grandview_Inventory[[#This Row],[condition]],Lookups!$A$37:$C$44,3,FALSE),1)</f>
        <v>0.96469275950863709</v>
      </c>
      <c r="BV945" s="4">
        <f>IF(Grandview_Inventory[[#This Row],[bldg_style]]="",1,_xlfn.IFNA(VLOOKUP(Grandview_Inventory[[#This Row],[decade]],Lookups!$F$29:$H$43,3,FALSE),1))</f>
        <v>0.99472141305414818</v>
      </c>
      <c r="BW945" s="4">
        <f>_xlfn.IFNA(VLOOKUP(Grandview_Inventory[[#This Row],[living_area_range]],Lookups!$F$47:$H$56,3,FALSE),1)</f>
        <v>0.95799442568048754</v>
      </c>
      <c r="BX945" s="4">
        <f>AVERAGE(Grandview_Inventory[[#This Row],[qual_adj]:[size_adj]])</f>
        <v>0.97626178951333031</v>
      </c>
      <c r="BY945" s="6">
        <f>IF(Grandview_Inventory[[#This Row],[pre_res]]&lt;0,0,Grandview_Inventory[[#This Row],[pre_res]]*Grandview_Inventory[[#This Row],[overall_adj]])</f>
        <v>267968.98505360197</v>
      </c>
      <c r="BZ945" s="6">
        <f>(Grandview_Inventory[[#This Row],[sum_land]]-IF(Grandview_Inventory[[#This Row],[no_utilities]]=1,12000,0))/IF(Grandview_Inventory[[#This Row],[unbuildable]]=1,2,1)</f>
        <v>49167.631333630678</v>
      </c>
      <c r="CA94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45">
        <f>ROUND(Grandview_Inventory[[#This Row],[det_value]]*Lookups!$M$28,-2)</f>
        <v>0</v>
      </c>
      <c r="CC945">
        <f>IF(ROUND(Grandview_Inventory[[#This Row],[adj_res]]*Lookups!$M$28,-2)&lt;Grandview_Inventory[[#This Row],[min_res]],Grandview_Inventory[[#This Row],[min_res]],ROUND(Grandview_Inventory[[#This Row],[adj_res]]*Lookups!$M$28,-2))</f>
        <v>254600</v>
      </c>
      <c r="CD945">
        <f>Grandview_Inventory[[#This Row],[final_det]]+Grandview_Inventory[[#This Row],[final_res]]</f>
        <v>254600</v>
      </c>
      <c r="CE945">
        <f>Grandview_Inventory[[#This Row],[final_land]]+Grandview_Inventory[[#This Row],[final_imp]]+Grandview_Inventory[[#This Row],[crop_value]]</f>
        <v>301300</v>
      </c>
      <c r="CG945" t="str">
        <f t="shared" si="14"/>
        <v>update valuation set market_land =46700, market_bldg=254600, market_total =301300, market_mdno =401, market_date ='9/10/2023' where link_id = (select link_id from parcel where parcel_year = '2024' and parcel_id = '23092241475');</v>
      </c>
    </row>
    <row r="946" spans="1:85" x14ac:dyDescent="0.25">
      <c r="A946">
        <v>23092241476</v>
      </c>
      <c r="B946">
        <v>0.15</v>
      </c>
      <c r="C946">
        <v>6440</v>
      </c>
      <c r="D946" t="s">
        <v>129</v>
      </c>
      <c r="E946" t="s">
        <v>53</v>
      </c>
      <c r="F946" t="s">
        <v>53</v>
      </c>
      <c r="G946">
        <v>4</v>
      </c>
      <c r="H946" t="s">
        <v>54</v>
      </c>
      <c r="I946">
        <v>201200</v>
      </c>
      <c r="J946">
        <v>42400</v>
      </c>
      <c r="K946">
        <v>0.15</v>
      </c>
      <c r="L94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946">
        <v>0</v>
      </c>
      <c r="N946">
        <v>0</v>
      </c>
      <c r="O946">
        <v>0</v>
      </c>
      <c r="P946">
        <v>13398.7528</v>
      </c>
      <c r="Q946">
        <v>63903</v>
      </c>
      <c r="R946">
        <f>(Grandview_Inventory[[#This Row],[ln_acres]]*Grandview_Inventory[[#This Row],[coeff]])+Grandview_Inventory[[#This Row],[const]]</f>
        <v>38483.958290574345</v>
      </c>
      <c r="S946" t="s">
        <v>61</v>
      </c>
      <c r="T946">
        <v>1</v>
      </c>
      <c r="U946" t="s">
        <v>65</v>
      </c>
      <c r="V946" t="s">
        <v>69</v>
      </c>
      <c r="W946">
        <v>0</v>
      </c>
      <c r="X946">
        <v>0</v>
      </c>
      <c r="Y946">
        <v>50</v>
      </c>
      <c r="Z946">
        <v>71</v>
      </c>
      <c r="AA946">
        <v>80</v>
      </c>
      <c r="AB946">
        <v>3000</v>
      </c>
      <c r="AC946">
        <v>2554</v>
      </c>
      <c r="AD946">
        <v>1277</v>
      </c>
      <c r="AE946">
        <v>0</v>
      </c>
      <c r="AF946">
        <v>0</v>
      </c>
      <c r="AG946">
        <v>1277</v>
      </c>
      <c r="AH946">
        <v>0</v>
      </c>
      <c r="AI946">
        <v>352</v>
      </c>
      <c r="AJ946">
        <v>0</v>
      </c>
      <c r="AK946">
        <v>0</v>
      </c>
      <c r="AL946">
        <v>0</v>
      </c>
      <c r="AM946">
        <v>176</v>
      </c>
      <c r="AN946">
        <v>24</v>
      </c>
      <c r="AO946">
        <v>0</v>
      </c>
      <c r="AP946">
        <v>9</v>
      </c>
      <c r="AQ946">
        <v>0</v>
      </c>
      <c r="AR946">
        <v>0</v>
      </c>
      <c r="AS946" t="s">
        <v>58</v>
      </c>
      <c r="AT946">
        <v>1</v>
      </c>
      <c r="AU946" t="s">
        <v>59</v>
      </c>
      <c r="AV946" t="s">
        <v>60</v>
      </c>
      <c r="AW946">
        <v>1</v>
      </c>
      <c r="AX946">
        <v>4</v>
      </c>
      <c r="AY946">
        <v>0</v>
      </c>
      <c r="AZ946">
        <v>0</v>
      </c>
      <c r="BA946">
        <v>100</v>
      </c>
      <c r="BB946">
        <v>100</v>
      </c>
      <c r="BC946">
        <v>100</v>
      </c>
      <c r="BD946">
        <v>100</v>
      </c>
      <c r="BE946">
        <v>1</v>
      </c>
      <c r="BF946">
        <v>15000</v>
      </c>
      <c r="BG946">
        <v>1000</v>
      </c>
      <c r="BH946" s="6">
        <f>Grandview_Inventory[[#This Row],[land_extract]]*Lookups!$B$3</f>
        <v>44691.316856156598</v>
      </c>
      <c r="BI946" s="6">
        <f>IF(Grandview_Inventory[[#This Row],[bldg_style]]="",0,Lookups!$B$2)</f>
        <v>155833.95000000001</v>
      </c>
      <c r="BJ946" s="6">
        <f>_xlfn.IFNA(VLOOKUP(Grandview_Inventory[[#This Row],[quality]],Lookups!$H$2:$J$14,3,FALSE),0)</f>
        <v>2251</v>
      </c>
      <c r="BK946" s="6">
        <f>_xlfn.IFNA(VLOOKUP(Grandview_Inventory[[#This Row],[condition]],Lookups!$H$17:$J$24,3,FALSE),0)</f>
        <v>-4503</v>
      </c>
      <c r="BL946" s="6">
        <f>Grandview_Inventory[[#This Row],[Eff_Age]]*Lookups!$B$14</f>
        <v>-11958.33</v>
      </c>
      <c r="BM946" s="6">
        <f>Grandview_Inventory[[#This Row],[living_area]]*Lookups!$B$15</f>
        <v>159320.69856200001</v>
      </c>
      <c r="BN946" s="6">
        <f>Grandview_Inventory[[#This Row],[Fin BSMT]]*Lookups!$B$16</f>
        <v>-34605.729480000002</v>
      </c>
      <c r="BO946" s="6">
        <f>(Grandview_Inventory[[#This Row],[att_gar]]+Grandview_Inventory[[#This Row],[bltin_gar]])*Lookups!$B$17</f>
        <v>30807.193824000002</v>
      </c>
      <c r="BP946" s="6">
        <f>Grandview_Inventory[[#This Row],[Plumbing Fixtures]]*Lookups!$B$18</f>
        <v>18093.976200000001</v>
      </c>
      <c r="BQ946" s="6">
        <f>Grandview_Inventory[[#This Row],[detatched_value]]*Lookups!$B$19</f>
        <v>0</v>
      </c>
      <c r="BR946" s="6">
        <f>SUM(Grandview_Inventory[[#This Row],[Intercept]:[det_value]])*Grandview_Inventory[[#This Row],[res_pct]]</f>
        <v>315239.75910600007</v>
      </c>
      <c r="BS946" s="6">
        <f>Grandview_Inventory[[#This Row],[land_value]]</f>
        <v>44691.316856156598</v>
      </c>
      <c r="BT946" s="4">
        <f>_xlfn.IFNA(VLOOKUP(Grandview_Inventory[[#This Row],[quality]],Lookups!$A$26:$C$33,3,FALSE),1)</f>
        <v>0.98763855981004833</v>
      </c>
      <c r="BU946" s="4">
        <f>_xlfn.IFNA(VLOOKUP(Grandview_Inventory[[#This Row],[condition]],Lookups!$A$37:$C$44,3,FALSE),1)</f>
        <v>0.96469275950863709</v>
      </c>
      <c r="BV946" s="4">
        <f>IF(Grandview_Inventory[[#This Row],[bldg_style]]="",1,_xlfn.IFNA(VLOOKUP(Grandview_Inventory[[#This Row],[decade]],Lookups!$F$29:$H$43,3,FALSE),1))</f>
        <v>0.98763256963907298</v>
      </c>
      <c r="BW946" s="4">
        <f>_xlfn.IFNA(VLOOKUP(Grandview_Inventory[[#This Row],[living_area_range]],Lookups!$F$47:$H$56,3,FALSE),1)</f>
        <v>0.94224801443562123</v>
      </c>
      <c r="BX946" s="4">
        <f>AVERAGE(Grandview_Inventory[[#This Row],[qual_adj]:[size_adj]])</f>
        <v>0.97055297584834488</v>
      </c>
      <c r="BY946" s="6">
        <f>IF(Grandview_Inventory[[#This Row],[pre_res]]&lt;0,0,Grandview_Inventory[[#This Row],[pre_res]]*Grandview_Inventory[[#This Row],[overall_adj]])</f>
        <v>305956.88630604377</v>
      </c>
      <c r="BZ946" s="6">
        <f>(Grandview_Inventory[[#This Row],[sum_land]]-IF(Grandview_Inventory[[#This Row],[no_utilities]]=1,12000,0))/IF(Grandview_Inventory[[#This Row],[unbuildable]]=1,2,1)</f>
        <v>44691.316856156598</v>
      </c>
      <c r="CA94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946">
        <f>ROUND(Grandview_Inventory[[#This Row],[det_value]]*Lookups!$M$28,-2)</f>
        <v>0</v>
      </c>
      <c r="CC946">
        <f>IF(ROUND(Grandview_Inventory[[#This Row],[adj_res]]*Lookups!$M$28,-2)&lt;Grandview_Inventory[[#This Row],[min_res]],Grandview_Inventory[[#This Row],[min_res]],ROUND(Grandview_Inventory[[#This Row],[adj_res]]*Lookups!$M$28,-2))</f>
        <v>290700</v>
      </c>
      <c r="CD946">
        <f>Grandview_Inventory[[#This Row],[final_det]]+Grandview_Inventory[[#This Row],[final_res]]</f>
        <v>290700</v>
      </c>
      <c r="CE946">
        <f>Grandview_Inventory[[#This Row],[final_land]]+Grandview_Inventory[[#This Row],[final_imp]]+Grandview_Inventory[[#This Row],[crop_value]]</f>
        <v>333200</v>
      </c>
      <c r="CG946" t="str">
        <f t="shared" si="14"/>
        <v>update valuation set market_land =42500, market_bldg=290700, market_total =333200, market_mdno =401, market_date ='9/10/2023' where link_id = (select link_id from parcel where parcel_year = '2024' and parcel_id = '23092241476');</v>
      </c>
    </row>
    <row r="947" spans="1:85" x14ac:dyDescent="0.25">
      <c r="A947">
        <v>23092241477</v>
      </c>
      <c r="B947">
        <v>0.21</v>
      </c>
      <c r="C947">
        <v>9029</v>
      </c>
      <c r="D947" t="s">
        <v>129</v>
      </c>
      <c r="E947" t="s">
        <v>53</v>
      </c>
      <c r="F947" t="s">
        <v>53</v>
      </c>
      <c r="G947">
        <v>4</v>
      </c>
      <c r="H947" t="s">
        <v>54</v>
      </c>
      <c r="I947">
        <v>147300</v>
      </c>
      <c r="J947">
        <v>39300</v>
      </c>
      <c r="K947">
        <v>0.21</v>
      </c>
      <c r="L94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47">
        <v>0</v>
      </c>
      <c r="N947">
        <v>0</v>
      </c>
      <c r="O947">
        <v>0</v>
      </c>
      <c r="P947">
        <v>13398.7528</v>
      </c>
      <c r="Q947">
        <v>63903</v>
      </c>
      <c r="R947">
        <f>(Grandview_Inventory[[#This Row],[ln_acres]]*Grandview_Inventory[[#This Row],[coeff]])+Grandview_Inventory[[#This Row],[const]]</f>
        <v>42992.266613125081</v>
      </c>
      <c r="S947" t="s">
        <v>61</v>
      </c>
      <c r="T947">
        <v>1</v>
      </c>
      <c r="U947" t="s">
        <v>65</v>
      </c>
      <c r="V947" t="s">
        <v>69</v>
      </c>
      <c r="W947">
        <v>0</v>
      </c>
      <c r="X947">
        <v>0</v>
      </c>
      <c r="Y947">
        <v>50</v>
      </c>
      <c r="Z947">
        <v>71</v>
      </c>
      <c r="AA947">
        <v>80</v>
      </c>
      <c r="AB947">
        <v>1500</v>
      </c>
      <c r="AC947">
        <v>1156</v>
      </c>
      <c r="AD947">
        <v>1156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264</v>
      </c>
      <c r="AP947">
        <v>5</v>
      </c>
      <c r="AQ947">
        <v>0</v>
      </c>
      <c r="AR947">
        <v>0</v>
      </c>
      <c r="AS947" t="s">
        <v>58</v>
      </c>
      <c r="AT947">
        <v>1</v>
      </c>
      <c r="AU947" t="s">
        <v>59</v>
      </c>
      <c r="AV947" t="s">
        <v>60</v>
      </c>
      <c r="AW947">
        <v>1</v>
      </c>
      <c r="AX947">
        <v>3</v>
      </c>
      <c r="AY947">
        <v>0</v>
      </c>
      <c r="AZ947">
        <v>9600</v>
      </c>
      <c r="BA947">
        <v>100</v>
      </c>
      <c r="BB947">
        <v>100</v>
      </c>
      <c r="BC947">
        <v>100</v>
      </c>
      <c r="BD947">
        <v>100</v>
      </c>
      <c r="BE947">
        <v>1</v>
      </c>
      <c r="BF947">
        <v>15000</v>
      </c>
      <c r="BG947">
        <v>1000</v>
      </c>
      <c r="BH947" s="6">
        <f>Grandview_Inventory[[#This Row],[land_extract]]*Lookups!$B$3</f>
        <v>49926.8031387023</v>
      </c>
      <c r="BI947" s="6">
        <f>IF(Grandview_Inventory[[#This Row],[bldg_style]]="",0,Lookups!$B$2)</f>
        <v>155833.95000000001</v>
      </c>
      <c r="BJ947" s="6">
        <f>_xlfn.IFNA(VLOOKUP(Grandview_Inventory[[#This Row],[quality]],Lookups!$H$2:$J$14,3,FALSE),0)</f>
        <v>2251</v>
      </c>
      <c r="BK947" s="6">
        <f>_xlfn.IFNA(VLOOKUP(Grandview_Inventory[[#This Row],[condition]],Lookups!$H$17:$J$24,3,FALSE),0)</f>
        <v>-4503</v>
      </c>
      <c r="BL947" s="6">
        <f>Grandview_Inventory[[#This Row],[Eff_Age]]*Lookups!$B$14</f>
        <v>-11958.33</v>
      </c>
      <c r="BM947" s="6">
        <f>Grandview_Inventory[[#This Row],[living_area]]*Lookups!$B$15</f>
        <v>72112.266067999997</v>
      </c>
      <c r="BN947" s="6">
        <f>Grandview_Inventory[[#This Row],[Fin BSMT]]*Lookups!$B$16</f>
        <v>0</v>
      </c>
      <c r="BO947" s="6">
        <f>(Grandview_Inventory[[#This Row],[att_gar]]+Grandview_Inventory[[#This Row],[bltin_gar]])*Lookups!$B$17</f>
        <v>0</v>
      </c>
      <c r="BP947" s="6">
        <f>Grandview_Inventory[[#This Row],[Plumbing Fixtures]]*Lookups!$B$18</f>
        <v>10052.209000000001</v>
      </c>
      <c r="BQ947" s="6">
        <f>Grandview_Inventory[[#This Row],[detatched_value]]*Lookups!$B$19</f>
        <v>8129.3289599999998</v>
      </c>
      <c r="BR947" s="6">
        <f>SUM(Grandview_Inventory[[#This Row],[Intercept]:[det_value]])*Grandview_Inventory[[#This Row],[res_pct]]</f>
        <v>231917.42402800004</v>
      </c>
      <c r="BS947" s="6">
        <f>Grandview_Inventory[[#This Row],[land_value]]</f>
        <v>49926.8031387023</v>
      </c>
      <c r="BT947" s="4">
        <f>_xlfn.IFNA(VLOOKUP(Grandview_Inventory[[#This Row],[quality]],Lookups!$A$26:$C$33,3,FALSE),1)</f>
        <v>0.98763855981004833</v>
      </c>
      <c r="BU947" s="4">
        <f>_xlfn.IFNA(VLOOKUP(Grandview_Inventory[[#This Row],[condition]],Lookups!$A$37:$C$44,3,FALSE),1)</f>
        <v>0.96469275950863709</v>
      </c>
      <c r="BV947" s="4">
        <f>IF(Grandview_Inventory[[#This Row],[bldg_style]]="",1,_xlfn.IFNA(VLOOKUP(Grandview_Inventory[[#This Row],[decade]],Lookups!$F$29:$H$43,3,FALSE),1))</f>
        <v>0.98763256963907298</v>
      </c>
      <c r="BW947" s="4">
        <f>_xlfn.IFNA(VLOOKUP(Grandview_Inventory[[#This Row],[living_area_range]],Lookups!$F$47:$H$56,3,FALSE),1)</f>
        <v>0.96135087979789358</v>
      </c>
      <c r="BX947" s="4">
        <f>AVERAGE(Grandview_Inventory[[#This Row],[qual_adj]:[size_adj]])</f>
        <v>0.97532869218891294</v>
      </c>
      <c r="BY947" s="6">
        <f>IF(Grandview_Inventory[[#This Row],[pre_res]]&lt;0,0,Grandview_Inventory[[#This Row],[pre_res]]*Grandview_Inventory[[#This Row],[overall_adj]])</f>
        <v>226195.71787305086</v>
      </c>
      <c r="BZ947" s="6">
        <f>(Grandview_Inventory[[#This Row],[sum_land]]-IF(Grandview_Inventory[[#This Row],[no_utilities]]=1,12000,0))/IF(Grandview_Inventory[[#This Row],[unbuildable]]=1,2,1)</f>
        <v>49926.8031387023</v>
      </c>
      <c r="CA94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47">
        <f>ROUND(Grandview_Inventory[[#This Row],[det_value]]*Lookups!$M$28,-2)</f>
        <v>7700</v>
      </c>
      <c r="CC947">
        <f>IF(ROUND(Grandview_Inventory[[#This Row],[adj_res]]*Lookups!$M$28,-2)&lt;Grandview_Inventory[[#This Row],[min_res]],Grandview_Inventory[[#This Row],[min_res]],ROUND(Grandview_Inventory[[#This Row],[adj_res]]*Lookups!$M$28,-2))</f>
        <v>214900</v>
      </c>
      <c r="CD947">
        <f>Grandview_Inventory[[#This Row],[final_det]]+Grandview_Inventory[[#This Row],[final_res]]</f>
        <v>222600</v>
      </c>
      <c r="CE947">
        <f>Grandview_Inventory[[#This Row],[final_land]]+Grandview_Inventory[[#This Row],[final_imp]]+Grandview_Inventory[[#This Row],[crop_value]]</f>
        <v>270000</v>
      </c>
      <c r="CG947" t="str">
        <f t="shared" si="14"/>
        <v>update valuation set market_land =47400, market_bldg=222600, market_total =270000, market_mdno =401, market_date ='9/10/2023' where link_id = (select link_id from parcel where parcel_year = '2024' and parcel_id = '23092241477');</v>
      </c>
    </row>
    <row r="948" spans="1:85" x14ac:dyDescent="0.25">
      <c r="A948">
        <v>23092241478</v>
      </c>
      <c r="B948">
        <v>0.14000000000000001</v>
      </c>
      <c r="C948">
        <v>6100</v>
      </c>
      <c r="D948" t="s">
        <v>129</v>
      </c>
      <c r="E948" t="s">
        <v>53</v>
      </c>
      <c r="F948" t="s">
        <v>53</v>
      </c>
      <c r="G948">
        <v>4</v>
      </c>
      <c r="H948" t="s">
        <v>54</v>
      </c>
      <c r="I948">
        <v>162900</v>
      </c>
      <c r="J948">
        <v>42400</v>
      </c>
      <c r="K948">
        <v>0.14000000000000001</v>
      </c>
      <c r="L948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948">
        <v>0</v>
      </c>
      <c r="N948">
        <v>0</v>
      </c>
      <c r="O948">
        <v>0</v>
      </c>
      <c r="P948">
        <v>13398.7528</v>
      </c>
      <c r="Q948">
        <v>63903</v>
      </c>
      <c r="R948">
        <f>(Grandview_Inventory[[#This Row],[ln_acres]]*Grandview_Inventory[[#This Row],[coeff]])+Grandview_Inventory[[#This Row],[const]]</f>
        <v>37559.539860558507</v>
      </c>
      <c r="S948" t="s">
        <v>61</v>
      </c>
      <c r="T948">
        <v>1</v>
      </c>
      <c r="U948" t="s">
        <v>65</v>
      </c>
      <c r="V948" t="s">
        <v>78</v>
      </c>
      <c r="W948">
        <v>0</v>
      </c>
      <c r="X948">
        <v>0</v>
      </c>
      <c r="Y948">
        <v>50</v>
      </c>
      <c r="Z948">
        <v>73</v>
      </c>
      <c r="AA948">
        <v>80</v>
      </c>
      <c r="AB948">
        <v>3000</v>
      </c>
      <c r="AC948">
        <v>2592</v>
      </c>
      <c r="AD948">
        <v>1300</v>
      </c>
      <c r="AE948">
        <v>0</v>
      </c>
      <c r="AF948">
        <v>0</v>
      </c>
      <c r="AG948">
        <v>1292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200</v>
      </c>
      <c r="AN948">
        <v>32</v>
      </c>
      <c r="AO948">
        <v>200</v>
      </c>
      <c r="AP948">
        <v>9</v>
      </c>
      <c r="AQ948">
        <v>0</v>
      </c>
      <c r="AR948">
        <v>1</v>
      </c>
      <c r="AS948" t="s">
        <v>58</v>
      </c>
      <c r="AT948">
        <v>1</v>
      </c>
      <c r="AU948" t="s">
        <v>63</v>
      </c>
      <c r="AV948" t="s">
        <v>60</v>
      </c>
      <c r="AW948">
        <v>1</v>
      </c>
      <c r="AX948">
        <v>3</v>
      </c>
      <c r="AY948">
        <v>0</v>
      </c>
      <c r="AZ948">
        <v>0</v>
      </c>
      <c r="BA948">
        <v>100</v>
      </c>
      <c r="BB948">
        <v>100</v>
      </c>
      <c r="BC948">
        <v>100</v>
      </c>
      <c r="BD948">
        <v>100</v>
      </c>
      <c r="BE948">
        <v>1</v>
      </c>
      <c r="BF948">
        <v>15000</v>
      </c>
      <c r="BG948">
        <v>1000</v>
      </c>
      <c r="BH948" s="6">
        <f>Grandview_Inventory[[#This Row],[land_extract]]*Lookups!$B$3</f>
        <v>43617.792229308972</v>
      </c>
      <c r="BI948" s="6">
        <f>IF(Grandview_Inventory[[#This Row],[bldg_style]]="",0,Lookups!$B$2)</f>
        <v>155833.95000000001</v>
      </c>
      <c r="BJ948" s="6">
        <f>_xlfn.IFNA(VLOOKUP(Grandview_Inventory[[#This Row],[quality]],Lookups!$H$2:$J$14,3,FALSE),0)</f>
        <v>2251</v>
      </c>
      <c r="BK948" s="6">
        <f>_xlfn.IFNA(VLOOKUP(Grandview_Inventory[[#This Row],[condition]],Lookups!$H$17:$J$24,3,FALSE),0)</f>
        <v>-45357</v>
      </c>
      <c r="BL948" s="6">
        <f>Grandview_Inventory[[#This Row],[Eff_Age]]*Lookups!$B$14</f>
        <v>-11958.33</v>
      </c>
      <c r="BM948" s="6">
        <f>Grandview_Inventory[[#This Row],[living_area]]*Lookups!$B$15</f>
        <v>161691.17097599999</v>
      </c>
      <c r="BN948" s="6">
        <f>Grandview_Inventory[[#This Row],[Fin BSMT]]*Lookups!$B$16</f>
        <v>-35012.218079999999</v>
      </c>
      <c r="BO948" s="6">
        <f>(Grandview_Inventory[[#This Row],[att_gar]]+Grandview_Inventory[[#This Row],[bltin_gar]])*Lookups!$B$17</f>
        <v>0</v>
      </c>
      <c r="BP948" s="6">
        <f>Grandview_Inventory[[#This Row],[Plumbing Fixtures]]*Lookups!$B$18</f>
        <v>18093.976200000001</v>
      </c>
      <c r="BQ948" s="6">
        <f>Grandview_Inventory[[#This Row],[detatched_value]]*Lookups!$B$19</f>
        <v>0</v>
      </c>
      <c r="BR948" s="6">
        <f>SUM(Grandview_Inventory[[#This Row],[Intercept]:[det_value]])*Grandview_Inventory[[#This Row],[res_pct]]</f>
        <v>245542.54909600003</v>
      </c>
      <c r="BS948" s="6">
        <f>Grandview_Inventory[[#This Row],[land_value]]</f>
        <v>43617.792229308972</v>
      </c>
      <c r="BT948" s="4">
        <f>_xlfn.IFNA(VLOOKUP(Grandview_Inventory[[#This Row],[quality]],Lookups!$A$26:$C$33,3,FALSE),1)</f>
        <v>0.98763855981004833</v>
      </c>
      <c r="BU948" s="4">
        <f>_xlfn.IFNA(VLOOKUP(Grandview_Inventory[[#This Row],[condition]],Lookups!$A$37:$C$44,3,FALSE),1)</f>
        <v>0.97161819570155394</v>
      </c>
      <c r="BV948" s="4">
        <f>IF(Grandview_Inventory[[#This Row],[bldg_style]]="",1,_xlfn.IFNA(VLOOKUP(Grandview_Inventory[[#This Row],[decade]],Lookups!$F$29:$H$43,3,FALSE),1))</f>
        <v>0.98763256963907298</v>
      </c>
      <c r="BW948" s="4">
        <f>_xlfn.IFNA(VLOOKUP(Grandview_Inventory[[#This Row],[living_area_range]],Lookups!$F$47:$H$56,3,FALSE),1)</f>
        <v>0.94224801443562123</v>
      </c>
      <c r="BX948" s="4">
        <f>AVERAGE(Grandview_Inventory[[#This Row],[qual_adj]:[size_adj]])</f>
        <v>0.97228433489657418</v>
      </c>
      <c r="BY948" s="6">
        <f>IF(Grandview_Inventory[[#This Row],[pre_res]]&lt;0,0,Grandview_Inventory[[#This Row],[pre_res]]*Grandview_Inventory[[#This Row],[overall_adj]])</f>
        <v>238737.17403661381</v>
      </c>
      <c r="BZ948" s="6">
        <f>(Grandview_Inventory[[#This Row],[sum_land]]-IF(Grandview_Inventory[[#This Row],[no_utilities]]=1,12000,0))/IF(Grandview_Inventory[[#This Row],[unbuildable]]=1,2,1)</f>
        <v>43617.792229308972</v>
      </c>
      <c r="CA948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948">
        <f>ROUND(Grandview_Inventory[[#This Row],[det_value]]*Lookups!$M$28,-2)</f>
        <v>0</v>
      </c>
      <c r="CC948">
        <f>IF(ROUND(Grandview_Inventory[[#This Row],[adj_res]]*Lookups!$M$28,-2)&lt;Grandview_Inventory[[#This Row],[min_res]],Grandview_Inventory[[#This Row],[min_res]],ROUND(Grandview_Inventory[[#This Row],[adj_res]]*Lookups!$M$28,-2))</f>
        <v>226800</v>
      </c>
      <c r="CD948">
        <f>Grandview_Inventory[[#This Row],[final_det]]+Grandview_Inventory[[#This Row],[final_res]]</f>
        <v>226800</v>
      </c>
      <c r="CE948">
        <f>Grandview_Inventory[[#This Row],[final_land]]+Grandview_Inventory[[#This Row],[final_imp]]+Grandview_Inventory[[#This Row],[crop_value]]</f>
        <v>268200</v>
      </c>
      <c r="CG948" t="str">
        <f t="shared" si="14"/>
        <v>update valuation set market_land =41400, market_bldg=226800, market_total =268200, market_mdno =401, market_date ='9/10/2023' where link_id = (select link_id from parcel where parcel_year = '2024' and parcel_id = '23092241478');</v>
      </c>
    </row>
    <row r="949" spans="1:85" x14ac:dyDescent="0.25">
      <c r="A949">
        <v>23092241479</v>
      </c>
      <c r="B949">
        <v>0.18</v>
      </c>
      <c r="C949">
        <v>8052</v>
      </c>
      <c r="D949" t="s">
        <v>129</v>
      </c>
      <c r="E949" t="s">
        <v>53</v>
      </c>
      <c r="F949" t="s">
        <v>53</v>
      </c>
      <c r="G949">
        <v>4</v>
      </c>
      <c r="H949" t="s">
        <v>54</v>
      </c>
      <c r="I949">
        <v>147500</v>
      </c>
      <c r="J949">
        <v>43300</v>
      </c>
      <c r="K949">
        <v>0.18</v>
      </c>
      <c r="L94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49">
        <v>0</v>
      </c>
      <c r="N949">
        <v>0</v>
      </c>
      <c r="O949">
        <v>0</v>
      </c>
      <c r="P949">
        <v>13398.7528</v>
      </c>
      <c r="Q949">
        <v>63903</v>
      </c>
      <c r="R949">
        <f>(Grandview_Inventory[[#This Row],[ln_acres]]*Grandview_Inventory[[#This Row],[coeff]])+Grandview_Inventory[[#This Row],[const]]</f>
        <v>40926.839760167699</v>
      </c>
      <c r="S949" t="s">
        <v>61</v>
      </c>
      <c r="T949">
        <v>1</v>
      </c>
      <c r="U949" t="s">
        <v>65</v>
      </c>
      <c r="V949" t="s">
        <v>69</v>
      </c>
      <c r="W949">
        <v>0</v>
      </c>
      <c r="X949">
        <v>0</v>
      </c>
      <c r="Y949">
        <v>50</v>
      </c>
      <c r="Z949">
        <v>71</v>
      </c>
      <c r="AA949">
        <v>80</v>
      </c>
      <c r="AB949">
        <v>2500</v>
      </c>
      <c r="AC949">
        <v>2225</v>
      </c>
      <c r="AD949">
        <v>1285</v>
      </c>
      <c r="AE949">
        <v>0</v>
      </c>
      <c r="AF949">
        <v>0</v>
      </c>
      <c r="AG949">
        <v>940</v>
      </c>
      <c r="AH949">
        <v>17</v>
      </c>
      <c r="AI949">
        <v>0</v>
      </c>
      <c r="AJ949">
        <v>0</v>
      </c>
      <c r="AK949">
        <v>0</v>
      </c>
      <c r="AL949">
        <v>0</v>
      </c>
      <c r="AM949">
        <v>216</v>
      </c>
      <c r="AN949">
        <v>0</v>
      </c>
      <c r="AO949">
        <v>0</v>
      </c>
      <c r="AP949">
        <v>7</v>
      </c>
      <c r="AQ949">
        <v>0</v>
      </c>
      <c r="AR949">
        <v>0</v>
      </c>
      <c r="AS949" t="s">
        <v>58</v>
      </c>
      <c r="AT949">
        <v>1</v>
      </c>
      <c r="AU949" t="s">
        <v>63</v>
      </c>
      <c r="AV949" t="s">
        <v>64</v>
      </c>
      <c r="AW949">
        <v>0</v>
      </c>
      <c r="AX949">
        <v>3</v>
      </c>
      <c r="AY949">
        <v>0</v>
      </c>
      <c r="AZ949">
        <v>0</v>
      </c>
      <c r="BA949">
        <v>100</v>
      </c>
      <c r="BB949">
        <v>100</v>
      </c>
      <c r="BC949">
        <v>100</v>
      </c>
      <c r="BD949">
        <v>100</v>
      </c>
      <c r="BE949">
        <v>1</v>
      </c>
      <c r="BF949">
        <v>15000</v>
      </c>
      <c r="BG949">
        <v>1000</v>
      </c>
      <c r="BH949" s="6">
        <f>Grandview_Inventory[[#This Row],[land_extract]]*Lookups!$B$3</f>
        <v>47528.228511015397</v>
      </c>
      <c r="BI949" s="6">
        <f>IF(Grandview_Inventory[[#This Row],[bldg_style]]="",0,Lookups!$B$2)</f>
        <v>155833.95000000001</v>
      </c>
      <c r="BJ949" s="6">
        <f>_xlfn.IFNA(VLOOKUP(Grandview_Inventory[[#This Row],[quality]],Lookups!$H$2:$J$14,3,FALSE),0)</f>
        <v>2251</v>
      </c>
      <c r="BK949" s="6">
        <f>_xlfn.IFNA(VLOOKUP(Grandview_Inventory[[#This Row],[condition]],Lookups!$H$17:$J$24,3,FALSE),0)</f>
        <v>-4503</v>
      </c>
      <c r="BL949" s="6">
        <f>Grandview_Inventory[[#This Row],[Eff_Age]]*Lookups!$B$14</f>
        <v>-11958.33</v>
      </c>
      <c r="BM949" s="6">
        <f>Grandview_Inventory[[#This Row],[living_area]]*Lookups!$B$15</f>
        <v>138797.397925</v>
      </c>
      <c r="BN949" s="6">
        <f>Grandview_Inventory[[#This Row],[Fin BSMT]]*Lookups!$B$16</f>
        <v>-25473.285600000003</v>
      </c>
      <c r="BO949" s="6">
        <f>(Grandview_Inventory[[#This Row],[att_gar]]+Grandview_Inventory[[#This Row],[bltin_gar]])*Lookups!$B$17</f>
        <v>0</v>
      </c>
      <c r="BP949" s="6">
        <f>Grandview_Inventory[[#This Row],[Plumbing Fixtures]]*Lookups!$B$18</f>
        <v>14073.0926</v>
      </c>
      <c r="BQ949" s="6">
        <f>Grandview_Inventory[[#This Row],[detatched_value]]*Lookups!$B$19</f>
        <v>0</v>
      </c>
      <c r="BR949" s="6">
        <f>SUM(Grandview_Inventory[[#This Row],[Intercept]:[det_value]])*Grandview_Inventory[[#This Row],[res_pct]]</f>
        <v>269020.82492500002</v>
      </c>
      <c r="BS949" s="6">
        <f>Grandview_Inventory[[#This Row],[land_value]]</f>
        <v>47528.228511015397</v>
      </c>
      <c r="BT949" s="4">
        <f>_xlfn.IFNA(VLOOKUP(Grandview_Inventory[[#This Row],[quality]],Lookups!$A$26:$C$33,3,FALSE),1)</f>
        <v>0.98763855981004833</v>
      </c>
      <c r="BU949" s="4">
        <f>_xlfn.IFNA(VLOOKUP(Grandview_Inventory[[#This Row],[condition]],Lookups!$A$37:$C$44,3,FALSE),1)</f>
        <v>0.96469275950863709</v>
      </c>
      <c r="BV949" s="4">
        <f>IF(Grandview_Inventory[[#This Row],[bldg_style]]="",1,_xlfn.IFNA(VLOOKUP(Grandview_Inventory[[#This Row],[decade]],Lookups!$F$29:$H$43,3,FALSE),1))</f>
        <v>0.98763256963907298</v>
      </c>
      <c r="BW949" s="4">
        <f>_xlfn.IFNA(VLOOKUP(Grandview_Inventory[[#This Row],[living_area_range]],Lookups!$F$47:$H$56,3,FALSE),1)</f>
        <v>0.95799442568048754</v>
      </c>
      <c r="BX949" s="4">
        <f>AVERAGE(Grandview_Inventory[[#This Row],[qual_adj]:[size_adj]])</f>
        <v>0.97448957865956143</v>
      </c>
      <c r="BY949" s="6">
        <f>IF(Grandview_Inventory[[#This Row],[pre_res]]&lt;0,0,Grandview_Inventory[[#This Row],[pre_res]]*Grandview_Inventory[[#This Row],[overall_adj]])</f>
        <v>262157.9903318109</v>
      </c>
      <c r="BZ949" s="6">
        <f>(Grandview_Inventory[[#This Row],[sum_land]]-IF(Grandview_Inventory[[#This Row],[no_utilities]]=1,12000,0))/IF(Grandview_Inventory[[#This Row],[unbuildable]]=1,2,1)</f>
        <v>47528.228511015397</v>
      </c>
      <c r="CA94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49">
        <f>ROUND(Grandview_Inventory[[#This Row],[det_value]]*Lookups!$M$28,-2)</f>
        <v>0</v>
      </c>
      <c r="CC949">
        <f>IF(ROUND(Grandview_Inventory[[#This Row],[adj_res]]*Lookups!$M$28,-2)&lt;Grandview_Inventory[[#This Row],[min_res]],Grandview_Inventory[[#This Row],[min_res]],ROUND(Grandview_Inventory[[#This Row],[adj_res]]*Lookups!$M$28,-2))</f>
        <v>249100</v>
      </c>
      <c r="CD949">
        <f>Grandview_Inventory[[#This Row],[final_det]]+Grandview_Inventory[[#This Row],[final_res]]</f>
        <v>249100</v>
      </c>
      <c r="CE949">
        <f>Grandview_Inventory[[#This Row],[final_land]]+Grandview_Inventory[[#This Row],[final_imp]]+Grandview_Inventory[[#This Row],[crop_value]]</f>
        <v>294300</v>
      </c>
      <c r="CG949" t="str">
        <f t="shared" si="14"/>
        <v>update valuation set market_land =45200, market_bldg=249100, market_total =294300, market_mdno =401, market_date ='9/10/2023' where link_id = (select link_id from parcel where parcel_year = '2024' and parcel_id = '23092241479');</v>
      </c>
    </row>
    <row r="950" spans="1:85" x14ac:dyDescent="0.25">
      <c r="A950">
        <v>23092241480</v>
      </c>
      <c r="B950">
        <v>0.18</v>
      </c>
      <c r="C950">
        <v>8052</v>
      </c>
      <c r="D950" t="s">
        <v>129</v>
      </c>
      <c r="E950" t="s">
        <v>53</v>
      </c>
      <c r="F950" t="s">
        <v>53</v>
      </c>
      <c r="G950">
        <v>4</v>
      </c>
      <c r="H950" t="s">
        <v>54</v>
      </c>
      <c r="I950">
        <v>148300</v>
      </c>
      <c r="J950">
        <v>43300</v>
      </c>
      <c r="K950">
        <v>0.18</v>
      </c>
      <c r="L95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50">
        <v>0</v>
      </c>
      <c r="N950">
        <v>0</v>
      </c>
      <c r="O950">
        <v>0</v>
      </c>
      <c r="P950">
        <v>13398.7528</v>
      </c>
      <c r="Q950">
        <v>63903</v>
      </c>
      <c r="R950">
        <f>(Grandview_Inventory[[#This Row],[ln_acres]]*Grandview_Inventory[[#This Row],[coeff]])+Grandview_Inventory[[#This Row],[const]]</f>
        <v>40926.839760167699</v>
      </c>
      <c r="S950" t="s">
        <v>61</v>
      </c>
      <c r="T950">
        <v>1</v>
      </c>
      <c r="U950" t="s">
        <v>65</v>
      </c>
      <c r="V950" t="s">
        <v>69</v>
      </c>
      <c r="W950">
        <v>0</v>
      </c>
      <c r="X950">
        <v>0</v>
      </c>
      <c r="Y950">
        <v>49</v>
      </c>
      <c r="Z950">
        <v>68</v>
      </c>
      <c r="AA950">
        <v>70</v>
      </c>
      <c r="AB950">
        <v>1500</v>
      </c>
      <c r="AC950">
        <v>1427</v>
      </c>
      <c r="AD950">
        <v>1098</v>
      </c>
      <c r="AE950">
        <v>0</v>
      </c>
      <c r="AF950">
        <v>0</v>
      </c>
      <c r="AG950">
        <v>329</v>
      </c>
      <c r="AH950">
        <v>769</v>
      </c>
      <c r="AI950">
        <v>324</v>
      </c>
      <c r="AJ950">
        <v>0</v>
      </c>
      <c r="AK950">
        <v>0</v>
      </c>
      <c r="AL950">
        <v>0</v>
      </c>
      <c r="AM950">
        <v>204</v>
      </c>
      <c r="AN950">
        <v>0</v>
      </c>
      <c r="AO950">
        <v>204</v>
      </c>
      <c r="AP950">
        <v>5</v>
      </c>
      <c r="AQ950">
        <v>0</v>
      </c>
      <c r="AR950">
        <v>0</v>
      </c>
      <c r="AS950" t="s">
        <v>58</v>
      </c>
      <c r="AT950">
        <v>1</v>
      </c>
      <c r="AU950" t="s">
        <v>63</v>
      </c>
      <c r="AV950" t="s">
        <v>60</v>
      </c>
      <c r="AW950">
        <v>0</v>
      </c>
      <c r="AX950">
        <v>2</v>
      </c>
      <c r="AY950">
        <v>0</v>
      </c>
      <c r="AZ950">
        <v>0</v>
      </c>
      <c r="BA950">
        <v>100</v>
      </c>
      <c r="BB950">
        <v>100</v>
      </c>
      <c r="BC950">
        <v>100</v>
      </c>
      <c r="BD950">
        <v>100</v>
      </c>
      <c r="BE950">
        <v>1</v>
      </c>
      <c r="BF950">
        <v>15000</v>
      </c>
      <c r="BG950">
        <v>1000</v>
      </c>
      <c r="BH950" s="6">
        <f>Grandview_Inventory[[#This Row],[land_extract]]*Lookups!$B$3</f>
        <v>47528.228511015397</v>
      </c>
      <c r="BI950" s="6">
        <f>IF(Grandview_Inventory[[#This Row],[bldg_style]]="",0,Lookups!$B$2)</f>
        <v>155833.95000000001</v>
      </c>
      <c r="BJ950" s="6">
        <f>_xlfn.IFNA(VLOOKUP(Grandview_Inventory[[#This Row],[quality]],Lookups!$H$2:$J$14,3,FALSE),0)</f>
        <v>2251</v>
      </c>
      <c r="BK950" s="6">
        <f>_xlfn.IFNA(VLOOKUP(Grandview_Inventory[[#This Row],[condition]],Lookups!$H$17:$J$24,3,FALSE),0)</f>
        <v>-4503</v>
      </c>
      <c r="BL950" s="6">
        <f>Grandview_Inventory[[#This Row],[Eff_Age]]*Lookups!$B$14</f>
        <v>-11719.163399999999</v>
      </c>
      <c r="BM950" s="6">
        <f>Grandview_Inventory[[#This Row],[living_area]]*Lookups!$B$15</f>
        <v>89017.477230999997</v>
      </c>
      <c r="BN950" s="6">
        <f>Grandview_Inventory[[#This Row],[Fin BSMT]]*Lookups!$B$16</f>
        <v>-8915.6499600000006</v>
      </c>
      <c r="BO950" s="6">
        <f>(Grandview_Inventory[[#This Row],[att_gar]]+Grandview_Inventory[[#This Row],[bltin_gar]])*Lookups!$B$17</f>
        <v>28356.621588000002</v>
      </c>
      <c r="BP950" s="6">
        <f>Grandview_Inventory[[#This Row],[Plumbing Fixtures]]*Lookups!$B$18</f>
        <v>10052.209000000001</v>
      </c>
      <c r="BQ950" s="6">
        <f>Grandview_Inventory[[#This Row],[detatched_value]]*Lookups!$B$19</f>
        <v>0</v>
      </c>
      <c r="BR950" s="6">
        <f>SUM(Grandview_Inventory[[#This Row],[Intercept]:[det_value]])*Grandview_Inventory[[#This Row],[res_pct]]</f>
        <v>260373.44445900002</v>
      </c>
      <c r="BS950" s="6">
        <f>Grandview_Inventory[[#This Row],[land_value]]</f>
        <v>47528.228511015397</v>
      </c>
      <c r="BT950" s="4">
        <f>_xlfn.IFNA(VLOOKUP(Grandview_Inventory[[#This Row],[quality]],Lookups!$A$26:$C$33,3,FALSE),1)</f>
        <v>0.98763855981004833</v>
      </c>
      <c r="BU950" s="4">
        <f>_xlfn.IFNA(VLOOKUP(Grandview_Inventory[[#This Row],[condition]],Lookups!$A$37:$C$44,3,FALSE),1)</f>
        <v>0.96469275950863709</v>
      </c>
      <c r="BV950" s="4">
        <f>IF(Grandview_Inventory[[#This Row],[bldg_style]]="",1,_xlfn.IFNA(VLOOKUP(Grandview_Inventory[[#This Row],[decade]],Lookups!$F$29:$H$43,3,FALSE),1))</f>
        <v>0.99472141305414818</v>
      </c>
      <c r="BW950" s="4">
        <f>_xlfn.IFNA(VLOOKUP(Grandview_Inventory[[#This Row],[living_area_range]],Lookups!$F$47:$H$56,3,FALSE),1)</f>
        <v>0.96135087979789358</v>
      </c>
      <c r="BX950" s="4">
        <f>AVERAGE(Grandview_Inventory[[#This Row],[qual_adj]:[size_adj]])</f>
        <v>0.97710090304268182</v>
      </c>
      <c r="BY950" s="6">
        <f>IF(Grandview_Inventory[[#This Row],[pre_res]]&lt;0,0,Grandview_Inventory[[#This Row],[pre_res]]*Grandview_Inventory[[#This Row],[overall_adj]])</f>
        <v>254411.12770922249</v>
      </c>
      <c r="BZ950" s="6">
        <f>(Grandview_Inventory[[#This Row],[sum_land]]-IF(Grandview_Inventory[[#This Row],[no_utilities]]=1,12000,0))/IF(Grandview_Inventory[[#This Row],[unbuildable]]=1,2,1)</f>
        <v>47528.228511015397</v>
      </c>
      <c r="CA95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50">
        <f>ROUND(Grandview_Inventory[[#This Row],[det_value]]*Lookups!$M$28,-2)</f>
        <v>0</v>
      </c>
      <c r="CC950">
        <f>IF(ROUND(Grandview_Inventory[[#This Row],[adj_res]]*Lookups!$M$28,-2)&lt;Grandview_Inventory[[#This Row],[min_res]],Grandview_Inventory[[#This Row],[min_res]],ROUND(Grandview_Inventory[[#This Row],[adj_res]]*Lookups!$M$28,-2))</f>
        <v>241700</v>
      </c>
      <c r="CD950">
        <f>Grandview_Inventory[[#This Row],[final_det]]+Grandview_Inventory[[#This Row],[final_res]]</f>
        <v>241700</v>
      </c>
      <c r="CE950">
        <f>Grandview_Inventory[[#This Row],[final_land]]+Grandview_Inventory[[#This Row],[final_imp]]+Grandview_Inventory[[#This Row],[crop_value]]</f>
        <v>286900</v>
      </c>
      <c r="CG950" t="str">
        <f t="shared" si="14"/>
        <v>update valuation set market_land =45200, market_bldg=241700, market_total =286900, market_mdno =401, market_date ='9/10/2023' where link_id = (select link_id from parcel where parcel_year = '2024' and parcel_id = '23092241480');</v>
      </c>
    </row>
    <row r="951" spans="1:85" x14ac:dyDescent="0.25">
      <c r="A951">
        <v>23092241481</v>
      </c>
      <c r="B951">
        <v>0.18</v>
      </c>
      <c r="C951">
        <v>8052</v>
      </c>
      <c r="D951" t="s">
        <v>129</v>
      </c>
      <c r="E951" t="s">
        <v>53</v>
      </c>
      <c r="F951" t="s">
        <v>53</v>
      </c>
      <c r="G951">
        <v>4</v>
      </c>
      <c r="H951" t="s">
        <v>54</v>
      </c>
      <c r="I951">
        <v>175700</v>
      </c>
      <c r="J951">
        <v>43300</v>
      </c>
      <c r="K951">
        <v>0.18</v>
      </c>
      <c r="L95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51">
        <v>0</v>
      </c>
      <c r="N951">
        <v>0</v>
      </c>
      <c r="O951">
        <v>0</v>
      </c>
      <c r="P951">
        <v>13398.7528</v>
      </c>
      <c r="Q951">
        <v>63903</v>
      </c>
      <c r="R951">
        <f>(Grandview_Inventory[[#This Row],[ln_acres]]*Grandview_Inventory[[#This Row],[coeff]])+Grandview_Inventory[[#This Row],[const]]</f>
        <v>40926.839760167699</v>
      </c>
      <c r="S951" t="s">
        <v>61</v>
      </c>
      <c r="T951">
        <v>1</v>
      </c>
      <c r="U951" t="s">
        <v>65</v>
      </c>
      <c r="V951" t="s">
        <v>67</v>
      </c>
      <c r="W951">
        <v>0</v>
      </c>
      <c r="X951">
        <v>0</v>
      </c>
      <c r="Y951">
        <v>49</v>
      </c>
      <c r="Z951">
        <v>66</v>
      </c>
      <c r="AA951">
        <v>70</v>
      </c>
      <c r="AB951">
        <v>1500</v>
      </c>
      <c r="AC951">
        <v>1472</v>
      </c>
      <c r="AD951">
        <v>1230</v>
      </c>
      <c r="AE951">
        <v>0</v>
      </c>
      <c r="AF951">
        <v>0</v>
      </c>
      <c r="AG951">
        <v>242</v>
      </c>
      <c r="AH951">
        <v>241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95</v>
      </c>
      <c r="AO951">
        <v>0</v>
      </c>
      <c r="AP951">
        <v>8</v>
      </c>
      <c r="AQ951">
        <v>0</v>
      </c>
      <c r="AR951">
        <v>0</v>
      </c>
      <c r="AS951" t="s">
        <v>58</v>
      </c>
      <c r="AT951">
        <v>1</v>
      </c>
      <c r="AU951" t="s">
        <v>63</v>
      </c>
      <c r="AV951" t="s">
        <v>60</v>
      </c>
      <c r="AW951">
        <v>0</v>
      </c>
      <c r="AX951">
        <v>3</v>
      </c>
      <c r="AY951">
        <v>0</v>
      </c>
      <c r="AZ951">
        <v>0</v>
      </c>
      <c r="BA951">
        <v>100</v>
      </c>
      <c r="BB951">
        <v>100</v>
      </c>
      <c r="BC951">
        <v>100</v>
      </c>
      <c r="BD951">
        <v>100</v>
      </c>
      <c r="BE951">
        <v>1</v>
      </c>
      <c r="BF951">
        <v>15000</v>
      </c>
      <c r="BG951">
        <v>1000</v>
      </c>
      <c r="BH951" s="6">
        <f>Grandview_Inventory[[#This Row],[land_extract]]*Lookups!$B$3</f>
        <v>47528.228511015397</v>
      </c>
      <c r="BI951" s="6">
        <f>IF(Grandview_Inventory[[#This Row],[bldg_style]]="",0,Lookups!$B$2)</f>
        <v>155833.95000000001</v>
      </c>
      <c r="BJ951" s="6">
        <f>_xlfn.IFNA(VLOOKUP(Grandview_Inventory[[#This Row],[quality]],Lookups!$H$2:$J$14,3,FALSE),0)</f>
        <v>2251</v>
      </c>
      <c r="BK951" s="6">
        <f>_xlfn.IFNA(VLOOKUP(Grandview_Inventory[[#This Row],[condition]],Lookups!$H$17:$J$24,3,FALSE),0)</f>
        <v>22342</v>
      </c>
      <c r="BL951" s="6">
        <f>Grandview_Inventory[[#This Row],[Eff_Age]]*Lookups!$B$14</f>
        <v>-11719.163399999999</v>
      </c>
      <c r="BM951" s="6">
        <f>Grandview_Inventory[[#This Row],[living_area]]*Lookups!$B$15</f>
        <v>91824.615615999995</v>
      </c>
      <c r="BN951" s="6">
        <f>Grandview_Inventory[[#This Row],[Fin BSMT]]*Lookups!$B$16</f>
        <v>-6558.0160800000003</v>
      </c>
      <c r="BO951" s="6">
        <f>(Grandview_Inventory[[#This Row],[att_gar]]+Grandview_Inventory[[#This Row],[bltin_gar]])*Lookups!$B$17</f>
        <v>0</v>
      </c>
      <c r="BP951" s="6">
        <f>Grandview_Inventory[[#This Row],[Plumbing Fixtures]]*Lookups!$B$18</f>
        <v>16083.5344</v>
      </c>
      <c r="BQ951" s="6">
        <f>Grandview_Inventory[[#This Row],[detatched_value]]*Lookups!$B$19</f>
        <v>0</v>
      </c>
      <c r="BR951" s="6">
        <f>SUM(Grandview_Inventory[[#This Row],[Intercept]:[det_value]])*Grandview_Inventory[[#This Row],[res_pct]]</f>
        <v>270057.92053599999</v>
      </c>
      <c r="BS951" s="6">
        <f>Grandview_Inventory[[#This Row],[land_value]]</f>
        <v>47528.228511015397</v>
      </c>
      <c r="BT951" s="4">
        <f>_xlfn.IFNA(VLOOKUP(Grandview_Inventory[[#This Row],[quality]],Lookups!$A$26:$C$33,3,FALSE),1)</f>
        <v>0.98763855981004833</v>
      </c>
      <c r="BU951" s="4">
        <f>_xlfn.IFNA(VLOOKUP(Grandview_Inventory[[#This Row],[condition]],Lookups!$A$37:$C$44,3,FALSE),1)</f>
        <v>0.97383723671140243</v>
      </c>
      <c r="BV951" s="4">
        <f>IF(Grandview_Inventory[[#This Row],[bldg_style]]="",1,_xlfn.IFNA(VLOOKUP(Grandview_Inventory[[#This Row],[decade]],Lookups!$F$29:$H$43,3,FALSE),1))</f>
        <v>0.99472141305414818</v>
      </c>
      <c r="BW951" s="4">
        <f>_xlfn.IFNA(VLOOKUP(Grandview_Inventory[[#This Row],[living_area_range]],Lookups!$F$47:$H$56,3,FALSE),1)</f>
        <v>0.96135087979789358</v>
      </c>
      <c r="BX951" s="4">
        <f>AVERAGE(Grandview_Inventory[[#This Row],[qual_adj]:[size_adj]])</f>
        <v>0.97938702234337316</v>
      </c>
      <c r="BY951" s="6">
        <f>IF(Grandview_Inventory[[#This Row],[pre_res]]&lt;0,0,Grandview_Inventory[[#This Row],[pre_res]]*Grandview_Inventory[[#This Row],[overall_adj]])</f>
        <v>264491.22265399632</v>
      </c>
      <c r="BZ951" s="6">
        <f>(Grandview_Inventory[[#This Row],[sum_land]]-IF(Grandview_Inventory[[#This Row],[no_utilities]]=1,12000,0))/IF(Grandview_Inventory[[#This Row],[unbuildable]]=1,2,1)</f>
        <v>47528.228511015397</v>
      </c>
      <c r="CA95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51">
        <f>ROUND(Grandview_Inventory[[#This Row],[det_value]]*Lookups!$M$28,-2)</f>
        <v>0</v>
      </c>
      <c r="CC951">
        <f>IF(ROUND(Grandview_Inventory[[#This Row],[adj_res]]*Lookups!$M$28,-2)&lt;Grandview_Inventory[[#This Row],[min_res]],Grandview_Inventory[[#This Row],[min_res]],ROUND(Grandview_Inventory[[#This Row],[adj_res]]*Lookups!$M$28,-2))</f>
        <v>251300</v>
      </c>
      <c r="CD951">
        <f>Grandview_Inventory[[#This Row],[final_det]]+Grandview_Inventory[[#This Row],[final_res]]</f>
        <v>251300</v>
      </c>
      <c r="CE951">
        <f>Grandview_Inventory[[#This Row],[final_land]]+Grandview_Inventory[[#This Row],[final_imp]]+Grandview_Inventory[[#This Row],[crop_value]]</f>
        <v>296500</v>
      </c>
      <c r="CG951" t="str">
        <f t="shared" si="14"/>
        <v>update valuation set market_land =45200, market_bldg=251300, market_total =296500, market_mdno =401, market_date ='9/10/2023' where link_id = (select link_id from parcel where parcel_year = '2024' and parcel_id = '23092241481');</v>
      </c>
    </row>
    <row r="952" spans="1:85" x14ac:dyDescent="0.25">
      <c r="A952">
        <v>23092241482</v>
      </c>
      <c r="B952">
        <v>0.18</v>
      </c>
      <c r="C952">
        <v>7920</v>
      </c>
      <c r="D952" t="s">
        <v>129</v>
      </c>
      <c r="E952" t="s">
        <v>53</v>
      </c>
      <c r="F952" t="s">
        <v>53</v>
      </c>
      <c r="G952">
        <v>4</v>
      </c>
      <c r="H952" t="s">
        <v>54</v>
      </c>
      <c r="I952">
        <v>148200</v>
      </c>
      <c r="J952">
        <v>43100</v>
      </c>
      <c r="K952">
        <v>0.18</v>
      </c>
      <c r="L95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52">
        <v>0</v>
      </c>
      <c r="N952">
        <v>0</v>
      </c>
      <c r="O952">
        <v>0</v>
      </c>
      <c r="P952">
        <v>13398.7528</v>
      </c>
      <c r="Q952">
        <v>63903</v>
      </c>
      <c r="R952">
        <f>(Grandview_Inventory[[#This Row],[ln_acres]]*Grandview_Inventory[[#This Row],[coeff]])+Grandview_Inventory[[#This Row],[const]]</f>
        <v>40926.839760167699</v>
      </c>
      <c r="S952" t="s">
        <v>61</v>
      </c>
      <c r="T952">
        <v>1</v>
      </c>
      <c r="U952" t="s">
        <v>65</v>
      </c>
      <c r="V952" t="s">
        <v>69</v>
      </c>
      <c r="W952">
        <v>0</v>
      </c>
      <c r="X952">
        <v>0</v>
      </c>
      <c r="Y952">
        <v>49</v>
      </c>
      <c r="Z952">
        <v>68</v>
      </c>
      <c r="AA952">
        <v>70</v>
      </c>
      <c r="AB952">
        <v>1500</v>
      </c>
      <c r="AC952">
        <v>1284</v>
      </c>
      <c r="AD952">
        <v>1284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470</v>
      </c>
      <c r="AN952">
        <v>126</v>
      </c>
      <c r="AO952">
        <v>470</v>
      </c>
      <c r="AP952">
        <v>5</v>
      </c>
      <c r="AQ952">
        <v>0</v>
      </c>
      <c r="AR952">
        <v>0</v>
      </c>
      <c r="AS952" t="s">
        <v>58</v>
      </c>
      <c r="AT952">
        <v>1</v>
      </c>
      <c r="AU952" t="s">
        <v>63</v>
      </c>
      <c r="AV952" t="s">
        <v>60</v>
      </c>
      <c r="AW952">
        <v>1</v>
      </c>
      <c r="AX952">
        <v>3</v>
      </c>
      <c r="AY952">
        <v>0</v>
      </c>
      <c r="AZ952">
        <v>0</v>
      </c>
      <c r="BA952">
        <v>100</v>
      </c>
      <c r="BB952">
        <v>100</v>
      </c>
      <c r="BC952">
        <v>100</v>
      </c>
      <c r="BD952">
        <v>100</v>
      </c>
      <c r="BE952">
        <v>1</v>
      </c>
      <c r="BF952">
        <v>15000</v>
      </c>
      <c r="BG952">
        <v>1000</v>
      </c>
      <c r="BH952" s="6">
        <f>Grandview_Inventory[[#This Row],[land_extract]]*Lookups!$B$3</f>
        <v>47528.228511015397</v>
      </c>
      <c r="BI952" s="6">
        <f>IF(Grandview_Inventory[[#This Row],[bldg_style]]="",0,Lookups!$B$2)</f>
        <v>155833.95000000001</v>
      </c>
      <c r="BJ952" s="6">
        <f>_xlfn.IFNA(VLOOKUP(Grandview_Inventory[[#This Row],[quality]],Lookups!$H$2:$J$14,3,FALSE),0)</f>
        <v>2251</v>
      </c>
      <c r="BK952" s="6">
        <f>_xlfn.IFNA(VLOOKUP(Grandview_Inventory[[#This Row],[condition]],Lookups!$H$17:$J$24,3,FALSE),0)</f>
        <v>-4503</v>
      </c>
      <c r="BL952" s="6">
        <f>Grandview_Inventory[[#This Row],[Eff_Age]]*Lookups!$B$14</f>
        <v>-11719.163399999999</v>
      </c>
      <c r="BM952" s="6">
        <f>Grandview_Inventory[[#This Row],[living_area]]*Lookups!$B$15</f>
        <v>80097.015251999997</v>
      </c>
      <c r="BN952" s="6">
        <f>Grandview_Inventory[[#This Row],[Fin BSMT]]*Lookups!$B$16</f>
        <v>0</v>
      </c>
      <c r="BO952" s="6">
        <f>(Grandview_Inventory[[#This Row],[att_gar]]+Grandview_Inventory[[#This Row],[bltin_gar]])*Lookups!$B$17</f>
        <v>0</v>
      </c>
      <c r="BP952" s="6">
        <f>Grandview_Inventory[[#This Row],[Plumbing Fixtures]]*Lookups!$B$18</f>
        <v>10052.209000000001</v>
      </c>
      <c r="BQ952" s="6">
        <f>Grandview_Inventory[[#This Row],[detatched_value]]*Lookups!$B$19</f>
        <v>0</v>
      </c>
      <c r="BR952" s="6">
        <f>SUM(Grandview_Inventory[[#This Row],[Intercept]:[det_value]])*Grandview_Inventory[[#This Row],[res_pct]]</f>
        <v>232012.01085200001</v>
      </c>
      <c r="BS952" s="6">
        <f>Grandview_Inventory[[#This Row],[land_value]]</f>
        <v>47528.228511015397</v>
      </c>
      <c r="BT952" s="4">
        <f>_xlfn.IFNA(VLOOKUP(Grandview_Inventory[[#This Row],[quality]],Lookups!$A$26:$C$33,3,FALSE),1)</f>
        <v>0.98763855981004833</v>
      </c>
      <c r="BU952" s="4">
        <f>_xlfn.IFNA(VLOOKUP(Grandview_Inventory[[#This Row],[condition]],Lookups!$A$37:$C$44,3,FALSE),1)</f>
        <v>0.96469275950863709</v>
      </c>
      <c r="BV952" s="4">
        <f>IF(Grandview_Inventory[[#This Row],[bldg_style]]="",1,_xlfn.IFNA(VLOOKUP(Grandview_Inventory[[#This Row],[decade]],Lookups!$F$29:$H$43,3,FALSE),1))</f>
        <v>0.99472141305414818</v>
      </c>
      <c r="BW952" s="4">
        <f>_xlfn.IFNA(VLOOKUP(Grandview_Inventory[[#This Row],[living_area_range]],Lookups!$F$47:$H$56,3,FALSE),1)</f>
        <v>0.96135087979789358</v>
      </c>
      <c r="BX952" s="4">
        <f>AVERAGE(Grandview_Inventory[[#This Row],[qual_adj]:[size_adj]])</f>
        <v>0.97710090304268182</v>
      </c>
      <c r="BY952" s="6">
        <f>IF(Grandview_Inventory[[#This Row],[pre_res]]&lt;0,0,Grandview_Inventory[[#This Row],[pre_res]]*Grandview_Inventory[[#This Row],[overall_adj]])</f>
        <v>226699.1453202377</v>
      </c>
      <c r="BZ952" s="6">
        <f>(Grandview_Inventory[[#This Row],[sum_land]]-IF(Grandview_Inventory[[#This Row],[no_utilities]]=1,12000,0))/IF(Grandview_Inventory[[#This Row],[unbuildable]]=1,2,1)</f>
        <v>47528.228511015397</v>
      </c>
      <c r="CA95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52">
        <f>ROUND(Grandview_Inventory[[#This Row],[det_value]]*Lookups!$M$28,-2)</f>
        <v>0</v>
      </c>
      <c r="CC952">
        <f>IF(ROUND(Grandview_Inventory[[#This Row],[adj_res]]*Lookups!$M$28,-2)&lt;Grandview_Inventory[[#This Row],[min_res]],Grandview_Inventory[[#This Row],[min_res]],ROUND(Grandview_Inventory[[#This Row],[adj_res]]*Lookups!$M$28,-2))</f>
        <v>215400</v>
      </c>
      <c r="CD952">
        <f>Grandview_Inventory[[#This Row],[final_det]]+Grandview_Inventory[[#This Row],[final_res]]</f>
        <v>215400</v>
      </c>
      <c r="CE952">
        <f>Grandview_Inventory[[#This Row],[final_land]]+Grandview_Inventory[[#This Row],[final_imp]]+Grandview_Inventory[[#This Row],[crop_value]]</f>
        <v>260600</v>
      </c>
      <c r="CG952" t="str">
        <f t="shared" si="14"/>
        <v>update valuation set market_land =45200, market_bldg=215400, market_total =260600, market_mdno =401, market_date ='9/10/2023' where link_id = (select link_id from parcel where parcel_year = '2024' and parcel_id = '23092241482');</v>
      </c>
    </row>
    <row r="953" spans="1:85" x14ac:dyDescent="0.25">
      <c r="A953">
        <v>23092241483</v>
      </c>
      <c r="B953">
        <v>0.18</v>
      </c>
      <c r="C953">
        <v>8052</v>
      </c>
      <c r="D953" t="s">
        <v>129</v>
      </c>
      <c r="E953" t="s">
        <v>53</v>
      </c>
      <c r="F953" t="s">
        <v>53</v>
      </c>
      <c r="G953">
        <v>4</v>
      </c>
      <c r="H953" t="s">
        <v>54</v>
      </c>
      <c r="I953">
        <v>136200</v>
      </c>
      <c r="J953">
        <v>39000</v>
      </c>
      <c r="K953">
        <v>0.18</v>
      </c>
      <c r="L95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953">
        <v>0</v>
      </c>
      <c r="N953">
        <v>0</v>
      </c>
      <c r="O953">
        <v>0</v>
      </c>
      <c r="P953">
        <v>13398.7528</v>
      </c>
      <c r="Q953">
        <v>63903</v>
      </c>
      <c r="R953">
        <f>(Grandview_Inventory[[#This Row],[ln_acres]]*Grandview_Inventory[[#This Row],[coeff]])+Grandview_Inventory[[#This Row],[const]]</f>
        <v>40926.839760167699</v>
      </c>
      <c r="S953" t="s">
        <v>61</v>
      </c>
      <c r="T953">
        <v>1</v>
      </c>
      <c r="U953" t="s">
        <v>65</v>
      </c>
      <c r="V953" t="s">
        <v>69</v>
      </c>
      <c r="W953">
        <v>0</v>
      </c>
      <c r="X953">
        <v>0</v>
      </c>
      <c r="Y953">
        <v>50</v>
      </c>
      <c r="Z953">
        <v>74</v>
      </c>
      <c r="AA953">
        <v>80</v>
      </c>
      <c r="AB953">
        <v>2000</v>
      </c>
      <c r="AC953">
        <v>1536</v>
      </c>
      <c r="AD953">
        <v>1024</v>
      </c>
      <c r="AE953">
        <v>0</v>
      </c>
      <c r="AF953">
        <v>0</v>
      </c>
      <c r="AG953">
        <v>512</v>
      </c>
      <c r="AH953">
        <v>512</v>
      </c>
      <c r="AI953">
        <v>260</v>
      </c>
      <c r="AJ953">
        <v>0</v>
      </c>
      <c r="AK953">
        <v>0</v>
      </c>
      <c r="AL953">
        <v>0</v>
      </c>
      <c r="AM953">
        <v>168</v>
      </c>
      <c r="AN953">
        <v>0</v>
      </c>
      <c r="AO953">
        <v>0</v>
      </c>
      <c r="AP953">
        <v>5</v>
      </c>
      <c r="AQ953">
        <v>0</v>
      </c>
      <c r="AR953">
        <v>0</v>
      </c>
      <c r="AS953" t="s">
        <v>58</v>
      </c>
      <c r="AT953">
        <v>1</v>
      </c>
      <c r="AU953" t="s">
        <v>63</v>
      </c>
      <c r="AV953" t="s">
        <v>64</v>
      </c>
      <c r="AW953">
        <v>0</v>
      </c>
      <c r="AX953">
        <v>2</v>
      </c>
      <c r="AY953">
        <v>0</v>
      </c>
      <c r="AZ953">
        <v>0</v>
      </c>
      <c r="BA953">
        <v>100</v>
      </c>
      <c r="BB953">
        <v>100</v>
      </c>
      <c r="BC953">
        <v>100</v>
      </c>
      <c r="BD953">
        <v>100</v>
      </c>
      <c r="BE953">
        <v>1</v>
      </c>
      <c r="BF953">
        <v>15000</v>
      </c>
      <c r="BG953">
        <v>1000</v>
      </c>
      <c r="BH953" s="6">
        <f>Grandview_Inventory[[#This Row],[land_extract]]*Lookups!$B$3</f>
        <v>47528.228511015397</v>
      </c>
      <c r="BI953" s="6">
        <f>IF(Grandview_Inventory[[#This Row],[bldg_style]]="",0,Lookups!$B$2)</f>
        <v>155833.95000000001</v>
      </c>
      <c r="BJ953" s="6">
        <f>_xlfn.IFNA(VLOOKUP(Grandview_Inventory[[#This Row],[quality]],Lookups!$H$2:$J$14,3,FALSE),0)</f>
        <v>2251</v>
      </c>
      <c r="BK953" s="6">
        <f>_xlfn.IFNA(VLOOKUP(Grandview_Inventory[[#This Row],[condition]],Lookups!$H$17:$J$24,3,FALSE),0)</f>
        <v>-4503</v>
      </c>
      <c r="BL953" s="6">
        <f>Grandview_Inventory[[#This Row],[Eff_Age]]*Lookups!$B$14</f>
        <v>-11958.33</v>
      </c>
      <c r="BM953" s="6">
        <f>Grandview_Inventory[[#This Row],[living_area]]*Lookups!$B$15</f>
        <v>95816.990208000003</v>
      </c>
      <c r="BN953" s="6">
        <f>Grandview_Inventory[[#This Row],[Fin BSMT]]*Lookups!$B$16</f>
        <v>-13874.810880000001</v>
      </c>
      <c r="BO953" s="6">
        <f>(Grandview_Inventory[[#This Row],[att_gar]]+Grandview_Inventory[[#This Row],[bltin_gar]])*Lookups!$B$17</f>
        <v>22755.313620000001</v>
      </c>
      <c r="BP953" s="6">
        <f>Grandview_Inventory[[#This Row],[Plumbing Fixtures]]*Lookups!$B$18</f>
        <v>10052.209000000001</v>
      </c>
      <c r="BQ953" s="6">
        <f>Grandview_Inventory[[#This Row],[detatched_value]]*Lookups!$B$19</f>
        <v>0</v>
      </c>
      <c r="BR953" s="6">
        <f>SUM(Grandview_Inventory[[#This Row],[Intercept]:[det_value]])*Grandview_Inventory[[#This Row],[res_pct]]</f>
        <v>256373.32194800003</v>
      </c>
      <c r="BS953" s="6">
        <f>Grandview_Inventory[[#This Row],[land_value]]</f>
        <v>47528.228511015397</v>
      </c>
      <c r="BT953" s="4">
        <f>_xlfn.IFNA(VLOOKUP(Grandview_Inventory[[#This Row],[quality]],Lookups!$A$26:$C$33,3,FALSE),1)</f>
        <v>0.98763855981004833</v>
      </c>
      <c r="BU953" s="4">
        <f>_xlfn.IFNA(VLOOKUP(Grandview_Inventory[[#This Row],[condition]],Lookups!$A$37:$C$44,3,FALSE),1)</f>
        <v>0.96469275950863709</v>
      </c>
      <c r="BV953" s="4">
        <f>IF(Grandview_Inventory[[#This Row],[bldg_style]]="",1,_xlfn.IFNA(VLOOKUP(Grandview_Inventory[[#This Row],[decade]],Lookups!$F$29:$H$43,3,FALSE),1))</f>
        <v>0.98763256963907298</v>
      </c>
      <c r="BW953" s="4">
        <f>_xlfn.IFNA(VLOOKUP(Grandview_Inventory[[#This Row],[living_area_range]],Lookups!$F$47:$H$56,3,FALSE),1)</f>
        <v>0.96120133463014379</v>
      </c>
      <c r="BX953" s="4">
        <f>AVERAGE(Grandview_Inventory[[#This Row],[qual_adj]:[size_adj]])</f>
        <v>0.97529130589697544</v>
      </c>
      <c r="BY953" s="6">
        <f>IF(Grandview_Inventory[[#This Row],[pre_res]]&lt;0,0,Grandview_Inventory[[#This Row],[pre_res]]*Grandview_Inventory[[#This Row],[overall_adj]])</f>
        <v>250038.67195981066</v>
      </c>
      <c r="BZ953" s="6">
        <f>(Grandview_Inventory[[#This Row],[sum_land]]-IF(Grandview_Inventory[[#This Row],[no_utilities]]=1,12000,0))/IF(Grandview_Inventory[[#This Row],[unbuildable]]=1,2,1)</f>
        <v>47528.228511015397</v>
      </c>
      <c r="CA95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953">
        <f>ROUND(Grandview_Inventory[[#This Row],[det_value]]*Lookups!$M$28,-2)</f>
        <v>0</v>
      </c>
      <c r="CC953">
        <f>IF(ROUND(Grandview_Inventory[[#This Row],[adj_res]]*Lookups!$M$28,-2)&lt;Grandview_Inventory[[#This Row],[min_res]],Grandview_Inventory[[#This Row],[min_res]],ROUND(Grandview_Inventory[[#This Row],[adj_res]]*Lookups!$M$28,-2))</f>
        <v>237500</v>
      </c>
      <c r="CD953">
        <f>Grandview_Inventory[[#This Row],[final_det]]+Grandview_Inventory[[#This Row],[final_res]]</f>
        <v>237500</v>
      </c>
      <c r="CE953">
        <f>Grandview_Inventory[[#This Row],[final_land]]+Grandview_Inventory[[#This Row],[final_imp]]+Grandview_Inventory[[#This Row],[crop_value]]</f>
        <v>282700</v>
      </c>
      <c r="CG953" t="str">
        <f t="shared" si="14"/>
        <v>update valuation set market_land =45200, market_bldg=237500, market_total =282700, market_mdno =401, market_date ='9/10/2023' where link_id = (select link_id from parcel where parcel_year = '2024' and parcel_id = '23092241483');</v>
      </c>
    </row>
    <row r="954" spans="1:85" x14ac:dyDescent="0.25">
      <c r="A954">
        <v>23092241484</v>
      </c>
      <c r="B954">
        <v>0.26</v>
      </c>
      <c r="C954">
        <v>11185</v>
      </c>
      <c r="D954" t="s">
        <v>129</v>
      </c>
      <c r="E954" t="s">
        <v>53</v>
      </c>
      <c r="F954" t="s">
        <v>53</v>
      </c>
      <c r="G954">
        <v>4</v>
      </c>
      <c r="H954" t="s">
        <v>54</v>
      </c>
      <c r="I954">
        <v>105300</v>
      </c>
      <c r="J954">
        <v>40000</v>
      </c>
      <c r="K954">
        <v>0.26</v>
      </c>
      <c r="L954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954">
        <v>0</v>
      </c>
      <c r="N954">
        <v>0</v>
      </c>
      <c r="O954">
        <v>0</v>
      </c>
      <c r="P954">
        <v>13398.7528</v>
      </c>
      <c r="Q954">
        <v>63903</v>
      </c>
      <c r="R954">
        <f>(Grandview_Inventory[[#This Row],[ln_acres]]*Grandview_Inventory[[#This Row],[coeff]])+Grandview_Inventory[[#This Row],[const]]</f>
        <v>45853.893187501177</v>
      </c>
      <c r="S954" t="s">
        <v>55</v>
      </c>
      <c r="T954">
        <v>1</v>
      </c>
      <c r="U954" t="s">
        <v>70</v>
      </c>
      <c r="V954" t="s">
        <v>78</v>
      </c>
      <c r="W954">
        <v>0</v>
      </c>
      <c r="X954">
        <v>0</v>
      </c>
      <c r="Y954">
        <v>50</v>
      </c>
      <c r="Z954">
        <v>73</v>
      </c>
      <c r="AA954">
        <v>80</v>
      </c>
      <c r="AB954">
        <v>1500</v>
      </c>
      <c r="AC954">
        <v>1076</v>
      </c>
      <c r="AD954">
        <v>1076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5</v>
      </c>
      <c r="AQ954">
        <v>0</v>
      </c>
      <c r="AR954">
        <v>0</v>
      </c>
      <c r="AS954" t="s">
        <v>58</v>
      </c>
      <c r="AT954">
        <v>0</v>
      </c>
      <c r="AU954" t="s">
        <v>82</v>
      </c>
      <c r="AV954" t="s">
        <v>64</v>
      </c>
      <c r="AW954">
        <v>0</v>
      </c>
      <c r="AX954">
        <v>2</v>
      </c>
      <c r="AY954">
        <v>0</v>
      </c>
      <c r="AZ954">
        <v>0</v>
      </c>
      <c r="BA954">
        <v>100</v>
      </c>
      <c r="BB954">
        <v>100</v>
      </c>
      <c r="BC954">
        <v>100</v>
      </c>
      <c r="BD954">
        <v>100</v>
      </c>
      <c r="BE954">
        <v>1</v>
      </c>
      <c r="BF954">
        <v>15000</v>
      </c>
      <c r="BG954">
        <v>1000</v>
      </c>
      <c r="BH954" s="6">
        <f>Grandview_Inventory[[#This Row],[land_extract]]*Lookups!$B$3</f>
        <v>53250.00235313351</v>
      </c>
      <c r="BI954" s="6">
        <f>IF(Grandview_Inventory[[#This Row],[bldg_style]]="",0,Lookups!$B$2)</f>
        <v>155833.95000000001</v>
      </c>
      <c r="BJ954" s="6">
        <f>_xlfn.IFNA(VLOOKUP(Grandview_Inventory[[#This Row],[quality]],Lookups!$H$2:$J$14,3,FALSE),0)</f>
        <v>10733</v>
      </c>
      <c r="BK954" s="6">
        <f>_xlfn.IFNA(VLOOKUP(Grandview_Inventory[[#This Row],[condition]],Lookups!$H$17:$J$24,3,FALSE),0)</f>
        <v>-45357</v>
      </c>
      <c r="BL954" s="6">
        <f>Grandview_Inventory[[#This Row],[Eff_Age]]*Lookups!$B$14</f>
        <v>-11958.33</v>
      </c>
      <c r="BM954" s="6">
        <f>Grandview_Inventory[[#This Row],[living_area]]*Lookups!$B$15</f>
        <v>67121.797827999995</v>
      </c>
      <c r="BN954" s="6">
        <f>Grandview_Inventory[[#This Row],[Fin BSMT]]*Lookups!$B$16</f>
        <v>0</v>
      </c>
      <c r="BO954" s="6">
        <f>(Grandview_Inventory[[#This Row],[att_gar]]+Grandview_Inventory[[#This Row],[bltin_gar]])*Lookups!$B$17</f>
        <v>0</v>
      </c>
      <c r="BP954" s="6">
        <f>Grandview_Inventory[[#This Row],[Plumbing Fixtures]]*Lookups!$B$18</f>
        <v>10052.209000000001</v>
      </c>
      <c r="BQ954" s="6">
        <f>Grandview_Inventory[[#This Row],[detatched_value]]*Lookups!$B$19</f>
        <v>0</v>
      </c>
      <c r="BR954" s="6">
        <f>SUM(Grandview_Inventory[[#This Row],[Intercept]:[det_value]])*Grandview_Inventory[[#This Row],[res_pct]]</f>
        <v>186425.62682800001</v>
      </c>
      <c r="BS954" s="6">
        <f>Grandview_Inventory[[#This Row],[land_value]]</f>
        <v>53250.00235313351</v>
      </c>
      <c r="BT954" s="4">
        <f>_xlfn.IFNA(VLOOKUP(Grandview_Inventory[[#This Row],[quality]],Lookups!$A$26:$C$33,3,FALSE),1)</f>
        <v>0.98079741117310582</v>
      </c>
      <c r="BU954" s="4">
        <f>_xlfn.IFNA(VLOOKUP(Grandview_Inventory[[#This Row],[condition]],Lookups!$A$37:$C$44,3,FALSE),1)</f>
        <v>0.97161819570155394</v>
      </c>
      <c r="BV954" s="4">
        <f>IF(Grandview_Inventory[[#This Row],[bldg_style]]="",1,_xlfn.IFNA(VLOOKUP(Grandview_Inventory[[#This Row],[decade]],Lookups!$F$29:$H$43,3,FALSE),1))</f>
        <v>0.98763256963907298</v>
      </c>
      <c r="BW954" s="4">
        <f>_xlfn.IFNA(VLOOKUP(Grandview_Inventory[[#This Row],[living_area_range]],Lookups!$F$47:$H$56,3,FALSE),1)</f>
        <v>0.96135087979789358</v>
      </c>
      <c r="BX954" s="4">
        <f>AVERAGE(Grandview_Inventory[[#This Row],[qual_adj]:[size_adj]])</f>
        <v>0.97534976407790652</v>
      </c>
      <c r="BY954" s="6">
        <f>IF(Grandview_Inventory[[#This Row],[pre_res]]&lt;0,0,Grandview_Inventory[[#This Row],[pre_res]]*Grandview_Inventory[[#This Row],[overall_adj]])</f>
        <v>181830.19114476565</v>
      </c>
      <c r="BZ954" s="6">
        <f>(Grandview_Inventory[[#This Row],[sum_land]]-IF(Grandview_Inventory[[#This Row],[no_utilities]]=1,12000,0))/IF(Grandview_Inventory[[#This Row],[unbuildable]]=1,2,1)</f>
        <v>53250.00235313351</v>
      </c>
      <c r="CA954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954">
        <f>ROUND(Grandview_Inventory[[#This Row],[det_value]]*Lookups!$M$28,-2)</f>
        <v>0</v>
      </c>
      <c r="CC954">
        <f>IF(ROUND(Grandview_Inventory[[#This Row],[adj_res]]*Lookups!$M$28,-2)&lt;Grandview_Inventory[[#This Row],[min_res]],Grandview_Inventory[[#This Row],[min_res]],ROUND(Grandview_Inventory[[#This Row],[adj_res]]*Lookups!$M$28,-2))</f>
        <v>172700</v>
      </c>
      <c r="CD954">
        <f>Grandview_Inventory[[#This Row],[final_det]]+Grandview_Inventory[[#This Row],[final_res]]</f>
        <v>172700</v>
      </c>
      <c r="CE954">
        <f>Grandview_Inventory[[#This Row],[final_land]]+Grandview_Inventory[[#This Row],[final_imp]]+Grandview_Inventory[[#This Row],[crop_value]]</f>
        <v>223300</v>
      </c>
      <c r="CG954" t="str">
        <f t="shared" si="14"/>
        <v>update valuation set market_land =50600, market_bldg=172700, market_total =223300, market_mdno =401, market_date ='9/10/2023' where link_id = (select link_id from parcel where parcel_year = '2024' and parcel_id = '23092241484');</v>
      </c>
    </row>
    <row r="955" spans="1:85" x14ac:dyDescent="0.25">
      <c r="A955">
        <v>23092241485</v>
      </c>
      <c r="B955">
        <v>0.2</v>
      </c>
      <c r="C955">
        <v>8498</v>
      </c>
      <c r="D955" t="s">
        <v>129</v>
      </c>
      <c r="E955" t="s">
        <v>53</v>
      </c>
      <c r="F955" t="s">
        <v>53</v>
      </c>
      <c r="G955">
        <v>4</v>
      </c>
      <c r="H955" t="s">
        <v>54</v>
      </c>
      <c r="I955">
        <v>152600</v>
      </c>
      <c r="J955">
        <v>39300</v>
      </c>
      <c r="K955">
        <v>0.2</v>
      </c>
      <c r="L95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55">
        <v>0</v>
      </c>
      <c r="N955">
        <v>0</v>
      </c>
      <c r="O955">
        <v>0</v>
      </c>
      <c r="P955">
        <v>13398.7528</v>
      </c>
      <c r="Q955">
        <v>63903</v>
      </c>
      <c r="R955">
        <f>(Grandview_Inventory[[#This Row],[ln_acres]]*Grandview_Inventory[[#This Row],[coeff]])+Grandview_Inventory[[#This Row],[const]]</f>
        <v>42338.539264347448</v>
      </c>
      <c r="S955" t="s">
        <v>68</v>
      </c>
      <c r="T955">
        <v>1</v>
      </c>
      <c r="U955" t="s">
        <v>65</v>
      </c>
      <c r="V955" t="s">
        <v>69</v>
      </c>
      <c r="W955">
        <v>0</v>
      </c>
      <c r="X955">
        <v>0</v>
      </c>
      <c r="Y955">
        <v>49</v>
      </c>
      <c r="Z955">
        <v>68</v>
      </c>
      <c r="AA955">
        <v>70</v>
      </c>
      <c r="AB955">
        <v>1500</v>
      </c>
      <c r="AC955">
        <v>1443</v>
      </c>
      <c r="AD955">
        <v>1443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7</v>
      </c>
      <c r="AQ955">
        <v>0</v>
      </c>
      <c r="AR955">
        <v>0</v>
      </c>
      <c r="AS955" t="s">
        <v>58</v>
      </c>
      <c r="AT955">
        <v>1</v>
      </c>
      <c r="AU955" t="s">
        <v>63</v>
      </c>
      <c r="AV955" t="s">
        <v>64</v>
      </c>
      <c r="AW955">
        <v>0</v>
      </c>
      <c r="AX955">
        <v>3</v>
      </c>
      <c r="AY955">
        <v>0</v>
      </c>
      <c r="AZ955">
        <v>21700</v>
      </c>
      <c r="BA955">
        <v>100</v>
      </c>
      <c r="BB955">
        <v>100</v>
      </c>
      <c r="BC955">
        <v>100</v>
      </c>
      <c r="BD955">
        <v>100</v>
      </c>
      <c r="BE955">
        <v>1</v>
      </c>
      <c r="BF955">
        <v>15000</v>
      </c>
      <c r="BG955">
        <v>1000</v>
      </c>
      <c r="BH955" s="6">
        <f>Grandview_Inventory[[#This Row],[land_extract]]*Lookups!$B$3</f>
        <v>49167.631333630678</v>
      </c>
      <c r="BI955" s="6">
        <f>IF(Grandview_Inventory[[#This Row],[bldg_style]]="",0,Lookups!$B$2)</f>
        <v>155833.95000000001</v>
      </c>
      <c r="BJ955" s="6">
        <f>_xlfn.IFNA(VLOOKUP(Grandview_Inventory[[#This Row],[quality]],Lookups!$H$2:$J$14,3,FALSE),0)</f>
        <v>2251</v>
      </c>
      <c r="BK955" s="6">
        <f>_xlfn.IFNA(VLOOKUP(Grandview_Inventory[[#This Row],[condition]],Lookups!$H$17:$J$24,3,FALSE),0)</f>
        <v>-4503</v>
      </c>
      <c r="BL955" s="6">
        <f>Grandview_Inventory[[#This Row],[Eff_Age]]*Lookups!$B$14</f>
        <v>-11719.163399999999</v>
      </c>
      <c r="BM955" s="6">
        <f>Grandview_Inventory[[#This Row],[living_area]]*Lookups!$B$15</f>
        <v>90015.570879000006</v>
      </c>
      <c r="BN955" s="6">
        <f>Grandview_Inventory[[#This Row],[Fin BSMT]]*Lookups!$B$16</f>
        <v>0</v>
      </c>
      <c r="BO955" s="6">
        <f>(Grandview_Inventory[[#This Row],[att_gar]]+Grandview_Inventory[[#This Row],[bltin_gar]])*Lookups!$B$17</f>
        <v>0</v>
      </c>
      <c r="BP955" s="6">
        <f>Grandview_Inventory[[#This Row],[Plumbing Fixtures]]*Lookups!$B$18</f>
        <v>14073.0926</v>
      </c>
      <c r="BQ955" s="6">
        <f>Grandview_Inventory[[#This Row],[detatched_value]]*Lookups!$B$19</f>
        <v>18375.67067</v>
      </c>
      <c r="BR955" s="6">
        <f>SUM(Grandview_Inventory[[#This Row],[Intercept]:[det_value]])*Grandview_Inventory[[#This Row],[res_pct]]</f>
        <v>264327.12074900005</v>
      </c>
      <c r="BS955" s="6">
        <f>Grandview_Inventory[[#This Row],[land_value]]</f>
        <v>49167.631333630678</v>
      </c>
      <c r="BT955" s="4">
        <f>_xlfn.IFNA(VLOOKUP(Grandview_Inventory[[#This Row],[quality]],Lookups!$A$26:$C$33,3,FALSE),1)</f>
        <v>0.98763855981004833</v>
      </c>
      <c r="BU955" s="4">
        <f>_xlfn.IFNA(VLOOKUP(Grandview_Inventory[[#This Row],[condition]],Lookups!$A$37:$C$44,3,FALSE),1)</f>
        <v>0.96469275950863709</v>
      </c>
      <c r="BV955" s="4">
        <f>IF(Grandview_Inventory[[#This Row],[bldg_style]]="",1,_xlfn.IFNA(VLOOKUP(Grandview_Inventory[[#This Row],[decade]],Lookups!$F$29:$H$43,3,FALSE),1))</f>
        <v>0.99472141305414818</v>
      </c>
      <c r="BW955" s="4">
        <f>_xlfn.IFNA(VLOOKUP(Grandview_Inventory[[#This Row],[living_area_range]],Lookups!$F$47:$H$56,3,FALSE),1)</f>
        <v>0.96135087979789358</v>
      </c>
      <c r="BX955" s="4">
        <f>AVERAGE(Grandview_Inventory[[#This Row],[qual_adj]:[size_adj]])</f>
        <v>0.97710090304268182</v>
      </c>
      <c r="BY955" s="6">
        <f>IF(Grandview_Inventory[[#This Row],[pre_res]]&lt;0,0,Grandview_Inventory[[#This Row],[pre_res]]*Grandview_Inventory[[#This Row],[overall_adj]])</f>
        <v>258274.26838251995</v>
      </c>
      <c r="BZ955" s="6">
        <f>(Grandview_Inventory[[#This Row],[sum_land]]-IF(Grandview_Inventory[[#This Row],[no_utilities]]=1,12000,0))/IF(Grandview_Inventory[[#This Row],[unbuildable]]=1,2,1)</f>
        <v>49167.631333630678</v>
      </c>
      <c r="CA95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55">
        <f>ROUND(Grandview_Inventory[[#This Row],[det_value]]*Lookups!$M$28,-2)</f>
        <v>17500</v>
      </c>
      <c r="CC955">
        <f>IF(ROUND(Grandview_Inventory[[#This Row],[adj_res]]*Lookups!$M$28,-2)&lt;Grandview_Inventory[[#This Row],[min_res]],Grandview_Inventory[[#This Row],[min_res]],ROUND(Grandview_Inventory[[#This Row],[adj_res]]*Lookups!$M$28,-2))</f>
        <v>245400</v>
      </c>
      <c r="CD955">
        <f>Grandview_Inventory[[#This Row],[final_det]]+Grandview_Inventory[[#This Row],[final_res]]</f>
        <v>262900</v>
      </c>
      <c r="CE955">
        <f>Grandview_Inventory[[#This Row],[final_land]]+Grandview_Inventory[[#This Row],[final_imp]]+Grandview_Inventory[[#This Row],[crop_value]]</f>
        <v>309600</v>
      </c>
      <c r="CG955" t="str">
        <f t="shared" si="14"/>
        <v>update valuation set market_land =46700, market_bldg=262900, market_total =309600, market_mdno =401, market_date ='9/10/2023' where link_id = (select link_id from parcel where parcel_year = '2024' and parcel_id = '23092241485');</v>
      </c>
    </row>
    <row r="956" spans="1:85" x14ac:dyDescent="0.25">
      <c r="A956">
        <v>23092241486</v>
      </c>
      <c r="B956">
        <v>0.2</v>
      </c>
      <c r="C956">
        <v>8511</v>
      </c>
      <c r="D956" t="s">
        <v>129</v>
      </c>
      <c r="E956" t="s">
        <v>53</v>
      </c>
      <c r="F956" t="s">
        <v>53</v>
      </c>
      <c r="G956">
        <v>4</v>
      </c>
      <c r="H956" t="s">
        <v>54</v>
      </c>
      <c r="I956">
        <v>154200</v>
      </c>
      <c r="J956">
        <v>43500</v>
      </c>
      <c r="K956">
        <v>0.2</v>
      </c>
      <c r="L95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56">
        <v>0</v>
      </c>
      <c r="N956">
        <v>0</v>
      </c>
      <c r="O956">
        <v>0</v>
      </c>
      <c r="P956">
        <v>13398.7528</v>
      </c>
      <c r="Q956">
        <v>63903</v>
      </c>
      <c r="R956">
        <f>(Grandview_Inventory[[#This Row],[ln_acres]]*Grandview_Inventory[[#This Row],[coeff]])+Grandview_Inventory[[#This Row],[const]]</f>
        <v>42338.539264347448</v>
      </c>
      <c r="S956" t="s">
        <v>61</v>
      </c>
      <c r="T956">
        <v>1</v>
      </c>
      <c r="U956" t="s">
        <v>70</v>
      </c>
      <c r="V956" t="s">
        <v>78</v>
      </c>
      <c r="W956">
        <v>0</v>
      </c>
      <c r="X956">
        <v>0</v>
      </c>
      <c r="Y956">
        <v>49</v>
      </c>
      <c r="Z956">
        <v>68</v>
      </c>
      <c r="AA956">
        <v>70</v>
      </c>
      <c r="AB956">
        <v>2000</v>
      </c>
      <c r="AC956">
        <v>1865</v>
      </c>
      <c r="AD956">
        <v>1865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7</v>
      </c>
      <c r="AQ956">
        <v>0</v>
      </c>
      <c r="AR956">
        <v>0</v>
      </c>
      <c r="AS956" t="s">
        <v>58</v>
      </c>
      <c r="AT956">
        <v>1</v>
      </c>
      <c r="AU956" t="s">
        <v>79</v>
      </c>
      <c r="AV956" t="s">
        <v>60</v>
      </c>
      <c r="AW956">
        <v>0</v>
      </c>
      <c r="AX956">
        <v>3</v>
      </c>
      <c r="AY956">
        <v>0</v>
      </c>
      <c r="AZ956">
        <v>1300</v>
      </c>
      <c r="BA956">
        <v>100</v>
      </c>
      <c r="BB956">
        <v>100</v>
      </c>
      <c r="BC956">
        <v>100</v>
      </c>
      <c r="BD956">
        <v>100</v>
      </c>
      <c r="BE956">
        <v>1</v>
      </c>
      <c r="BF956">
        <v>15000</v>
      </c>
      <c r="BG956">
        <v>1000</v>
      </c>
      <c r="BH956" s="6">
        <f>Grandview_Inventory[[#This Row],[land_extract]]*Lookups!$B$3</f>
        <v>49167.631333630678</v>
      </c>
      <c r="BI956" s="6">
        <f>IF(Grandview_Inventory[[#This Row],[bldg_style]]="",0,Lookups!$B$2)</f>
        <v>155833.95000000001</v>
      </c>
      <c r="BJ956" s="6">
        <f>_xlfn.IFNA(VLOOKUP(Grandview_Inventory[[#This Row],[quality]],Lookups!$H$2:$J$14,3,FALSE),0)</f>
        <v>10733</v>
      </c>
      <c r="BK956" s="6">
        <f>_xlfn.IFNA(VLOOKUP(Grandview_Inventory[[#This Row],[condition]],Lookups!$H$17:$J$24,3,FALSE),0)</f>
        <v>-45357</v>
      </c>
      <c r="BL956" s="6">
        <f>Grandview_Inventory[[#This Row],[Eff_Age]]*Lookups!$B$14</f>
        <v>-11719.163399999999</v>
      </c>
      <c r="BM956" s="6">
        <f>Grandview_Inventory[[#This Row],[living_area]]*Lookups!$B$15</f>
        <v>116340.29084500001</v>
      </c>
      <c r="BN956" s="6">
        <f>Grandview_Inventory[[#This Row],[Fin BSMT]]*Lookups!$B$16</f>
        <v>0</v>
      </c>
      <c r="BO956" s="6">
        <f>(Grandview_Inventory[[#This Row],[att_gar]]+Grandview_Inventory[[#This Row],[bltin_gar]])*Lookups!$B$17</f>
        <v>0</v>
      </c>
      <c r="BP956" s="6">
        <f>Grandview_Inventory[[#This Row],[Plumbing Fixtures]]*Lookups!$B$18</f>
        <v>14073.0926</v>
      </c>
      <c r="BQ956" s="6">
        <f>Grandview_Inventory[[#This Row],[detatched_value]]*Lookups!$B$19</f>
        <v>1100.84663</v>
      </c>
      <c r="BR956" s="6">
        <f>SUM(Grandview_Inventory[[#This Row],[Intercept]:[det_value]])*Grandview_Inventory[[#This Row],[res_pct]]</f>
        <v>241005.01667500002</v>
      </c>
      <c r="BS956" s="6">
        <f>Grandview_Inventory[[#This Row],[land_value]]</f>
        <v>49167.631333630678</v>
      </c>
      <c r="BT956" s="4">
        <f>_xlfn.IFNA(VLOOKUP(Grandview_Inventory[[#This Row],[quality]],Lookups!$A$26:$C$33,3,FALSE),1)</f>
        <v>0.98079741117310582</v>
      </c>
      <c r="BU956" s="4">
        <f>_xlfn.IFNA(VLOOKUP(Grandview_Inventory[[#This Row],[condition]],Lookups!$A$37:$C$44,3,FALSE),1)</f>
        <v>0.97161819570155394</v>
      </c>
      <c r="BV956" s="4">
        <f>IF(Grandview_Inventory[[#This Row],[bldg_style]]="",1,_xlfn.IFNA(VLOOKUP(Grandview_Inventory[[#This Row],[decade]],Lookups!$F$29:$H$43,3,FALSE),1))</f>
        <v>0.99472141305414818</v>
      </c>
      <c r="BW956" s="4">
        <f>_xlfn.IFNA(VLOOKUP(Grandview_Inventory[[#This Row],[living_area_range]],Lookups!$F$47:$H$56,3,FALSE),1)</f>
        <v>0.96120133463014379</v>
      </c>
      <c r="BX956" s="4">
        <f>AVERAGE(Grandview_Inventory[[#This Row],[qual_adj]:[size_adj]])</f>
        <v>0.97708458863973791</v>
      </c>
      <c r="BY956" s="6">
        <f>IF(Grandview_Inventory[[#This Row],[pre_res]]&lt;0,0,Grandview_Inventory[[#This Row],[pre_res]]*Grandview_Inventory[[#This Row],[overall_adj]])</f>
        <v>235482.28757800558</v>
      </c>
      <c r="BZ956" s="6">
        <f>(Grandview_Inventory[[#This Row],[sum_land]]-IF(Grandview_Inventory[[#This Row],[no_utilities]]=1,12000,0))/IF(Grandview_Inventory[[#This Row],[unbuildable]]=1,2,1)</f>
        <v>49167.631333630678</v>
      </c>
      <c r="CA95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56">
        <f>ROUND(Grandview_Inventory[[#This Row],[det_value]]*Lookups!$M$28,-2)</f>
        <v>1000</v>
      </c>
      <c r="CC956">
        <f>IF(ROUND(Grandview_Inventory[[#This Row],[adj_res]]*Lookups!$M$28,-2)&lt;Grandview_Inventory[[#This Row],[min_res]],Grandview_Inventory[[#This Row],[min_res]],ROUND(Grandview_Inventory[[#This Row],[adj_res]]*Lookups!$M$28,-2))</f>
        <v>223700</v>
      </c>
      <c r="CD956">
        <f>Grandview_Inventory[[#This Row],[final_det]]+Grandview_Inventory[[#This Row],[final_res]]</f>
        <v>224700</v>
      </c>
      <c r="CE956">
        <f>Grandview_Inventory[[#This Row],[final_land]]+Grandview_Inventory[[#This Row],[final_imp]]+Grandview_Inventory[[#This Row],[crop_value]]</f>
        <v>271400</v>
      </c>
      <c r="CG956" t="str">
        <f t="shared" si="14"/>
        <v>update valuation set market_land =46700, market_bldg=224700, market_total =271400, market_mdno =401, market_date ='9/10/2023' where link_id = (select link_id from parcel where parcel_year = '2024' and parcel_id = '23092241486');</v>
      </c>
    </row>
    <row r="957" spans="1:85" x14ac:dyDescent="0.25">
      <c r="A957">
        <v>23092241487</v>
      </c>
      <c r="B957">
        <v>0.2</v>
      </c>
      <c r="C957">
        <v>8520</v>
      </c>
      <c r="D957" t="s">
        <v>129</v>
      </c>
      <c r="E957" t="s">
        <v>53</v>
      </c>
      <c r="F957" t="s">
        <v>53</v>
      </c>
      <c r="G957">
        <v>4</v>
      </c>
      <c r="H957" t="s">
        <v>54</v>
      </c>
      <c r="I957">
        <v>112600</v>
      </c>
      <c r="J957">
        <v>43500</v>
      </c>
      <c r="K957">
        <v>0.2</v>
      </c>
      <c r="L95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57">
        <v>0</v>
      </c>
      <c r="N957">
        <v>0</v>
      </c>
      <c r="O957">
        <v>0</v>
      </c>
      <c r="P957">
        <v>13398.7528</v>
      </c>
      <c r="Q957">
        <v>63903</v>
      </c>
      <c r="R957">
        <f>(Grandview_Inventory[[#This Row],[ln_acres]]*Grandview_Inventory[[#This Row],[coeff]])+Grandview_Inventory[[#This Row],[const]]</f>
        <v>42338.539264347448</v>
      </c>
      <c r="S957" t="s">
        <v>68</v>
      </c>
      <c r="T957">
        <v>1</v>
      </c>
      <c r="U957" t="s">
        <v>65</v>
      </c>
      <c r="V957" t="s">
        <v>78</v>
      </c>
      <c r="W957">
        <v>0</v>
      </c>
      <c r="X957">
        <v>0</v>
      </c>
      <c r="Y957">
        <v>49</v>
      </c>
      <c r="Z957">
        <v>68</v>
      </c>
      <c r="AA957">
        <v>70</v>
      </c>
      <c r="AB957">
        <v>1500</v>
      </c>
      <c r="AC957">
        <v>1168</v>
      </c>
      <c r="AD957">
        <v>1168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5</v>
      </c>
      <c r="AQ957">
        <v>1</v>
      </c>
      <c r="AR957">
        <v>0</v>
      </c>
      <c r="AS957" t="s">
        <v>58</v>
      </c>
      <c r="AT957">
        <v>1</v>
      </c>
      <c r="AU957" t="s">
        <v>63</v>
      </c>
      <c r="AV957" t="s">
        <v>64</v>
      </c>
      <c r="AW957">
        <v>1</v>
      </c>
      <c r="AX957">
        <v>3</v>
      </c>
      <c r="AY957">
        <v>0</v>
      </c>
      <c r="AZ957">
        <v>0</v>
      </c>
      <c r="BA957">
        <v>100</v>
      </c>
      <c r="BB957">
        <v>100</v>
      </c>
      <c r="BC957">
        <v>100</v>
      </c>
      <c r="BD957">
        <v>100</v>
      </c>
      <c r="BE957">
        <v>1</v>
      </c>
      <c r="BF957">
        <v>15000</v>
      </c>
      <c r="BG957">
        <v>1000</v>
      </c>
      <c r="BH957" s="6">
        <f>Grandview_Inventory[[#This Row],[land_extract]]*Lookups!$B$3</f>
        <v>49167.631333630678</v>
      </c>
      <c r="BI957" s="6">
        <f>IF(Grandview_Inventory[[#This Row],[bldg_style]]="",0,Lookups!$B$2)</f>
        <v>155833.95000000001</v>
      </c>
      <c r="BJ957" s="6">
        <f>_xlfn.IFNA(VLOOKUP(Grandview_Inventory[[#This Row],[quality]],Lookups!$H$2:$J$14,3,FALSE),0)</f>
        <v>2251</v>
      </c>
      <c r="BK957" s="6">
        <f>_xlfn.IFNA(VLOOKUP(Grandview_Inventory[[#This Row],[condition]],Lookups!$H$17:$J$24,3,FALSE),0)</f>
        <v>-45357</v>
      </c>
      <c r="BL957" s="6">
        <f>Grandview_Inventory[[#This Row],[Eff_Age]]*Lookups!$B$14</f>
        <v>-11719.163399999999</v>
      </c>
      <c r="BM957" s="6">
        <f>Grandview_Inventory[[#This Row],[living_area]]*Lookups!$B$15</f>
        <v>72860.836303999997</v>
      </c>
      <c r="BN957" s="6">
        <f>Grandview_Inventory[[#This Row],[Fin BSMT]]*Lookups!$B$16</f>
        <v>0</v>
      </c>
      <c r="BO957" s="6">
        <f>(Grandview_Inventory[[#This Row],[att_gar]]+Grandview_Inventory[[#This Row],[bltin_gar]])*Lookups!$B$17</f>
        <v>0</v>
      </c>
      <c r="BP957" s="6">
        <f>Grandview_Inventory[[#This Row],[Plumbing Fixtures]]*Lookups!$B$18</f>
        <v>10052.209000000001</v>
      </c>
      <c r="BQ957" s="6">
        <f>Grandview_Inventory[[#This Row],[detatched_value]]*Lookups!$B$19</f>
        <v>0</v>
      </c>
      <c r="BR957" s="6">
        <f>SUM(Grandview_Inventory[[#This Row],[Intercept]:[det_value]])*Grandview_Inventory[[#This Row],[res_pct]]</f>
        <v>183921.83190399999</v>
      </c>
      <c r="BS957" s="6">
        <f>Grandview_Inventory[[#This Row],[land_value]]</f>
        <v>49167.631333630678</v>
      </c>
      <c r="BT957" s="4">
        <f>_xlfn.IFNA(VLOOKUP(Grandview_Inventory[[#This Row],[quality]],Lookups!$A$26:$C$33,3,FALSE),1)</f>
        <v>0.98763855981004833</v>
      </c>
      <c r="BU957" s="4">
        <f>_xlfn.IFNA(VLOOKUP(Grandview_Inventory[[#This Row],[condition]],Lookups!$A$37:$C$44,3,FALSE),1)</f>
        <v>0.97161819570155394</v>
      </c>
      <c r="BV957" s="4">
        <f>IF(Grandview_Inventory[[#This Row],[bldg_style]]="",1,_xlfn.IFNA(VLOOKUP(Grandview_Inventory[[#This Row],[decade]],Lookups!$F$29:$H$43,3,FALSE),1))</f>
        <v>0.99472141305414818</v>
      </c>
      <c r="BW957" s="4">
        <f>_xlfn.IFNA(VLOOKUP(Grandview_Inventory[[#This Row],[living_area_range]],Lookups!$F$47:$H$56,3,FALSE),1)</f>
        <v>0.96135087979789358</v>
      </c>
      <c r="BX957" s="4">
        <f>AVERAGE(Grandview_Inventory[[#This Row],[qual_adj]:[size_adj]])</f>
        <v>0.97883226209091101</v>
      </c>
      <c r="BY957" s="6">
        <f>IF(Grandview_Inventory[[#This Row],[pre_res]]&lt;0,0,Grandview_Inventory[[#This Row],[pre_res]]*Grandview_Inventory[[#This Row],[overall_adj]])</f>
        <v>180028.62277049659</v>
      </c>
      <c r="BZ957" s="6">
        <f>(Grandview_Inventory[[#This Row],[sum_land]]-IF(Grandview_Inventory[[#This Row],[no_utilities]]=1,12000,0))/IF(Grandview_Inventory[[#This Row],[unbuildable]]=1,2,1)</f>
        <v>49167.631333630678</v>
      </c>
      <c r="CA95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57">
        <f>ROUND(Grandview_Inventory[[#This Row],[det_value]]*Lookups!$M$28,-2)</f>
        <v>0</v>
      </c>
      <c r="CC957">
        <f>IF(ROUND(Grandview_Inventory[[#This Row],[adj_res]]*Lookups!$M$28,-2)&lt;Grandview_Inventory[[#This Row],[min_res]],Grandview_Inventory[[#This Row],[min_res]],ROUND(Grandview_Inventory[[#This Row],[adj_res]]*Lookups!$M$28,-2))</f>
        <v>171000</v>
      </c>
      <c r="CD957">
        <f>Grandview_Inventory[[#This Row],[final_det]]+Grandview_Inventory[[#This Row],[final_res]]</f>
        <v>171000</v>
      </c>
      <c r="CE957">
        <f>Grandview_Inventory[[#This Row],[final_land]]+Grandview_Inventory[[#This Row],[final_imp]]+Grandview_Inventory[[#This Row],[crop_value]]</f>
        <v>217700</v>
      </c>
      <c r="CG957" t="str">
        <f t="shared" si="14"/>
        <v>update valuation set market_land =46700, market_bldg=171000, market_total =217700, market_mdno =401, market_date ='9/10/2023' where link_id = (select link_id from parcel where parcel_year = '2024' and parcel_id = '23092241487');</v>
      </c>
    </row>
    <row r="958" spans="1:85" x14ac:dyDescent="0.25">
      <c r="A958">
        <v>23092241488</v>
      </c>
      <c r="B958">
        <v>0.2</v>
      </c>
      <c r="C958">
        <v>8520</v>
      </c>
      <c r="D958" t="s">
        <v>129</v>
      </c>
      <c r="E958" t="s">
        <v>53</v>
      </c>
      <c r="F958" t="s">
        <v>53</v>
      </c>
      <c r="G958">
        <v>4</v>
      </c>
      <c r="H958" t="s">
        <v>54</v>
      </c>
      <c r="I958">
        <v>168800</v>
      </c>
      <c r="J958">
        <v>43500</v>
      </c>
      <c r="K958">
        <v>0.2</v>
      </c>
      <c r="L95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58">
        <v>0</v>
      </c>
      <c r="N958">
        <v>0</v>
      </c>
      <c r="O958">
        <v>0</v>
      </c>
      <c r="P958">
        <v>13398.7528</v>
      </c>
      <c r="Q958">
        <v>63903</v>
      </c>
      <c r="R958">
        <f>(Grandview_Inventory[[#This Row],[ln_acres]]*Grandview_Inventory[[#This Row],[coeff]])+Grandview_Inventory[[#This Row],[const]]</f>
        <v>42338.539264347448</v>
      </c>
      <c r="S958" t="s">
        <v>61</v>
      </c>
      <c r="T958">
        <v>1</v>
      </c>
      <c r="U958" t="s">
        <v>65</v>
      </c>
      <c r="V958" t="s">
        <v>69</v>
      </c>
      <c r="W958">
        <v>0</v>
      </c>
      <c r="X958">
        <v>0</v>
      </c>
      <c r="Y958">
        <v>49</v>
      </c>
      <c r="Z958">
        <v>68</v>
      </c>
      <c r="AA958">
        <v>70</v>
      </c>
      <c r="AB958">
        <v>1500</v>
      </c>
      <c r="AC958">
        <v>1476</v>
      </c>
      <c r="AD958">
        <v>1476</v>
      </c>
      <c r="AE958">
        <v>0</v>
      </c>
      <c r="AF958">
        <v>0</v>
      </c>
      <c r="AG958">
        <v>0</v>
      </c>
      <c r="AH958">
        <v>0</v>
      </c>
      <c r="AI958">
        <v>299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5</v>
      </c>
      <c r="AQ958">
        <v>0</v>
      </c>
      <c r="AR958">
        <v>0</v>
      </c>
      <c r="AS958" t="s">
        <v>58</v>
      </c>
      <c r="AT958">
        <v>1</v>
      </c>
      <c r="AU958" t="s">
        <v>63</v>
      </c>
      <c r="AV958" t="s">
        <v>64</v>
      </c>
      <c r="AW958">
        <v>1</v>
      </c>
      <c r="AX958">
        <v>3</v>
      </c>
      <c r="AY958">
        <v>0</v>
      </c>
      <c r="AZ958">
        <v>0</v>
      </c>
      <c r="BA958">
        <v>100</v>
      </c>
      <c r="BB958">
        <v>100</v>
      </c>
      <c r="BC958">
        <v>100</v>
      </c>
      <c r="BD958">
        <v>100</v>
      </c>
      <c r="BE958">
        <v>1</v>
      </c>
      <c r="BF958">
        <v>15000</v>
      </c>
      <c r="BG958">
        <v>1000</v>
      </c>
      <c r="BH958" s="6">
        <f>Grandview_Inventory[[#This Row],[land_extract]]*Lookups!$B$3</f>
        <v>49167.631333630678</v>
      </c>
      <c r="BI958" s="6">
        <f>IF(Grandview_Inventory[[#This Row],[bldg_style]]="",0,Lookups!$B$2)</f>
        <v>155833.95000000001</v>
      </c>
      <c r="BJ958" s="6">
        <f>_xlfn.IFNA(VLOOKUP(Grandview_Inventory[[#This Row],[quality]],Lookups!$H$2:$J$14,3,FALSE),0)</f>
        <v>2251</v>
      </c>
      <c r="BK958" s="6">
        <f>_xlfn.IFNA(VLOOKUP(Grandview_Inventory[[#This Row],[condition]],Lookups!$H$17:$J$24,3,FALSE),0)</f>
        <v>-4503</v>
      </c>
      <c r="BL958" s="6">
        <f>Grandview_Inventory[[#This Row],[Eff_Age]]*Lookups!$B$14</f>
        <v>-11719.163399999999</v>
      </c>
      <c r="BM958" s="6">
        <f>Grandview_Inventory[[#This Row],[living_area]]*Lookups!$B$15</f>
        <v>92074.139028000005</v>
      </c>
      <c r="BN958" s="6">
        <f>Grandview_Inventory[[#This Row],[Fin BSMT]]*Lookups!$B$16</f>
        <v>0</v>
      </c>
      <c r="BO958" s="6">
        <f>(Grandview_Inventory[[#This Row],[att_gar]]+Grandview_Inventory[[#This Row],[bltin_gar]])*Lookups!$B$17</f>
        <v>26168.610662999999</v>
      </c>
      <c r="BP958" s="6">
        <f>Grandview_Inventory[[#This Row],[Plumbing Fixtures]]*Lookups!$B$18</f>
        <v>10052.209000000001</v>
      </c>
      <c r="BQ958" s="6">
        <f>Grandview_Inventory[[#This Row],[detatched_value]]*Lookups!$B$19</f>
        <v>0</v>
      </c>
      <c r="BR958" s="6">
        <f>SUM(Grandview_Inventory[[#This Row],[Intercept]:[det_value]])*Grandview_Inventory[[#This Row],[res_pct]]</f>
        <v>270157.745291</v>
      </c>
      <c r="BS958" s="6">
        <f>Grandview_Inventory[[#This Row],[land_value]]</f>
        <v>49167.631333630678</v>
      </c>
      <c r="BT958" s="4">
        <f>_xlfn.IFNA(VLOOKUP(Grandview_Inventory[[#This Row],[quality]],Lookups!$A$26:$C$33,3,FALSE),1)</f>
        <v>0.98763855981004833</v>
      </c>
      <c r="BU958" s="4">
        <f>_xlfn.IFNA(VLOOKUP(Grandview_Inventory[[#This Row],[condition]],Lookups!$A$37:$C$44,3,FALSE),1)</f>
        <v>0.96469275950863709</v>
      </c>
      <c r="BV958" s="4">
        <f>IF(Grandview_Inventory[[#This Row],[bldg_style]]="",1,_xlfn.IFNA(VLOOKUP(Grandview_Inventory[[#This Row],[decade]],Lookups!$F$29:$H$43,3,FALSE),1))</f>
        <v>0.99472141305414818</v>
      </c>
      <c r="BW958" s="4">
        <f>_xlfn.IFNA(VLOOKUP(Grandview_Inventory[[#This Row],[living_area_range]],Lookups!$F$47:$H$56,3,FALSE),1)</f>
        <v>0.96135087979789358</v>
      </c>
      <c r="BX958" s="4">
        <f>AVERAGE(Grandview_Inventory[[#This Row],[qual_adj]:[size_adj]])</f>
        <v>0.97710090304268182</v>
      </c>
      <c r="BY958" s="6">
        <f>IF(Grandview_Inventory[[#This Row],[pre_res]]&lt;0,0,Grandview_Inventory[[#This Row],[pre_res]]*Grandview_Inventory[[#This Row],[overall_adj]])</f>
        <v>263971.37688781094</v>
      </c>
      <c r="BZ958" s="6">
        <f>(Grandview_Inventory[[#This Row],[sum_land]]-IF(Grandview_Inventory[[#This Row],[no_utilities]]=1,12000,0))/IF(Grandview_Inventory[[#This Row],[unbuildable]]=1,2,1)</f>
        <v>49167.631333630678</v>
      </c>
      <c r="CA95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58">
        <f>ROUND(Grandview_Inventory[[#This Row],[det_value]]*Lookups!$M$28,-2)</f>
        <v>0</v>
      </c>
      <c r="CC958">
        <f>IF(ROUND(Grandview_Inventory[[#This Row],[adj_res]]*Lookups!$M$28,-2)&lt;Grandview_Inventory[[#This Row],[min_res]],Grandview_Inventory[[#This Row],[min_res]],ROUND(Grandview_Inventory[[#This Row],[adj_res]]*Lookups!$M$28,-2))</f>
        <v>250800</v>
      </c>
      <c r="CD958">
        <f>Grandview_Inventory[[#This Row],[final_det]]+Grandview_Inventory[[#This Row],[final_res]]</f>
        <v>250800</v>
      </c>
      <c r="CE958">
        <f>Grandview_Inventory[[#This Row],[final_land]]+Grandview_Inventory[[#This Row],[final_imp]]+Grandview_Inventory[[#This Row],[crop_value]]</f>
        <v>297500</v>
      </c>
      <c r="CG958" t="str">
        <f t="shared" si="14"/>
        <v>update valuation set market_land =46700, market_bldg=250800, market_total =297500, market_mdno =401, market_date ='9/10/2023' where link_id = (select link_id from parcel where parcel_year = '2024' and parcel_id = '23092241488');</v>
      </c>
    </row>
    <row r="959" spans="1:85" x14ac:dyDescent="0.25">
      <c r="A959">
        <v>23092241489</v>
      </c>
      <c r="B959">
        <v>0.17</v>
      </c>
      <c r="C959">
        <v>7454</v>
      </c>
      <c r="D959" t="s">
        <v>129</v>
      </c>
      <c r="E959" t="s">
        <v>53</v>
      </c>
      <c r="F959" t="s">
        <v>53</v>
      </c>
      <c r="G959">
        <v>4</v>
      </c>
      <c r="H959" t="s">
        <v>54</v>
      </c>
      <c r="I959">
        <v>129100</v>
      </c>
      <c r="J959">
        <v>43000</v>
      </c>
      <c r="K959">
        <v>0.17</v>
      </c>
      <c r="L95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959">
        <v>0</v>
      </c>
      <c r="N959">
        <v>0</v>
      </c>
      <c r="O959">
        <v>0</v>
      </c>
      <c r="P959">
        <v>13398.7528</v>
      </c>
      <c r="Q959">
        <v>63903</v>
      </c>
      <c r="R959">
        <f>(Grandview_Inventory[[#This Row],[ln_acres]]*Grandview_Inventory[[#This Row],[coeff]])+Grandview_Inventory[[#This Row],[const]]</f>
        <v>40160.988302686128</v>
      </c>
      <c r="S959" t="s">
        <v>61</v>
      </c>
      <c r="T959">
        <v>1</v>
      </c>
      <c r="U959" t="s">
        <v>65</v>
      </c>
      <c r="V959" t="s">
        <v>69</v>
      </c>
      <c r="W959">
        <v>0</v>
      </c>
      <c r="X959">
        <v>0</v>
      </c>
      <c r="Y959">
        <v>49</v>
      </c>
      <c r="Z959">
        <v>65</v>
      </c>
      <c r="AA959">
        <v>70</v>
      </c>
      <c r="AB959">
        <v>1500</v>
      </c>
      <c r="AC959">
        <v>1164</v>
      </c>
      <c r="AD959">
        <v>1164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358</v>
      </c>
      <c r="AN959">
        <v>0</v>
      </c>
      <c r="AO959">
        <v>72</v>
      </c>
      <c r="AP959">
        <v>8</v>
      </c>
      <c r="AQ959">
        <v>0</v>
      </c>
      <c r="AR959">
        <v>0</v>
      </c>
      <c r="AS959" t="s">
        <v>58</v>
      </c>
      <c r="AT959">
        <v>1</v>
      </c>
      <c r="AU959" t="s">
        <v>63</v>
      </c>
      <c r="AV959" t="s">
        <v>60</v>
      </c>
      <c r="AW959">
        <v>0</v>
      </c>
      <c r="AX959">
        <v>2</v>
      </c>
      <c r="AY959">
        <v>0</v>
      </c>
      <c r="AZ959">
        <v>0</v>
      </c>
      <c r="BA959">
        <v>100</v>
      </c>
      <c r="BB959">
        <v>100</v>
      </c>
      <c r="BC959">
        <v>100</v>
      </c>
      <c r="BD959">
        <v>100</v>
      </c>
      <c r="BE959">
        <v>1</v>
      </c>
      <c r="BF959">
        <v>15000</v>
      </c>
      <c r="BG959">
        <v>1000</v>
      </c>
      <c r="BH959" s="6">
        <f>Grandview_Inventory[[#This Row],[land_extract]]*Lookups!$B$3</f>
        <v>46638.847281240982</v>
      </c>
      <c r="BI959" s="6">
        <f>IF(Grandview_Inventory[[#This Row],[bldg_style]]="",0,Lookups!$B$2)</f>
        <v>155833.95000000001</v>
      </c>
      <c r="BJ959" s="6">
        <f>_xlfn.IFNA(VLOOKUP(Grandview_Inventory[[#This Row],[quality]],Lookups!$H$2:$J$14,3,FALSE),0)</f>
        <v>2251</v>
      </c>
      <c r="BK959" s="6">
        <f>_xlfn.IFNA(VLOOKUP(Grandview_Inventory[[#This Row],[condition]],Lookups!$H$17:$J$24,3,FALSE),0)</f>
        <v>-4503</v>
      </c>
      <c r="BL959" s="6">
        <f>Grandview_Inventory[[#This Row],[Eff_Age]]*Lookups!$B$14</f>
        <v>-11719.163399999999</v>
      </c>
      <c r="BM959" s="6">
        <f>Grandview_Inventory[[#This Row],[living_area]]*Lookups!$B$15</f>
        <v>72611.312892000002</v>
      </c>
      <c r="BN959" s="6">
        <f>Grandview_Inventory[[#This Row],[Fin BSMT]]*Lookups!$B$16</f>
        <v>0</v>
      </c>
      <c r="BO959" s="6">
        <f>(Grandview_Inventory[[#This Row],[att_gar]]+Grandview_Inventory[[#This Row],[bltin_gar]])*Lookups!$B$17</f>
        <v>0</v>
      </c>
      <c r="BP959" s="6">
        <f>Grandview_Inventory[[#This Row],[Plumbing Fixtures]]*Lookups!$B$18</f>
        <v>16083.5344</v>
      </c>
      <c r="BQ959" s="6">
        <f>Grandview_Inventory[[#This Row],[detatched_value]]*Lookups!$B$19</f>
        <v>0</v>
      </c>
      <c r="BR959" s="6">
        <f>SUM(Grandview_Inventory[[#This Row],[Intercept]:[det_value]])*Grandview_Inventory[[#This Row],[res_pct]]</f>
        <v>230557.63389200001</v>
      </c>
      <c r="BS959" s="6">
        <f>Grandview_Inventory[[#This Row],[land_value]]</f>
        <v>46638.847281240982</v>
      </c>
      <c r="BT959" s="4">
        <f>_xlfn.IFNA(VLOOKUP(Grandview_Inventory[[#This Row],[quality]],Lookups!$A$26:$C$33,3,FALSE),1)</f>
        <v>0.98763855981004833</v>
      </c>
      <c r="BU959" s="4">
        <f>_xlfn.IFNA(VLOOKUP(Grandview_Inventory[[#This Row],[condition]],Lookups!$A$37:$C$44,3,FALSE),1)</f>
        <v>0.96469275950863709</v>
      </c>
      <c r="BV959" s="4">
        <f>IF(Grandview_Inventory[[#This Row],[bldg_style]]="",1,_xlfn.IFNA(VLOOKUP(Grandview_Inventory[[#This Row],[decade]],Lookups!$F$29:$H$43,3,FALSE),1))</f>
        <v>0.99472141305414818</v>
      </c>
      <c r="BW959" s="4">
        <f>_xlfn.IFNA(VLOOKUP(Grandview_Inventory[[#This Row],[living_area_range]],Lookups!$F$47:$H$56,3,FALSE),1)</f>
        <v>0.96135087979789358</v>
      </c>
      <c r="BX959" s="4">
        <f>AVERAGE(Grandview_Inventory[[#This Row],[qual_adj]:[size_adj]])</f>
        <v>0.97710090304268182</v>
      </c>
      <c r="BY959" s="6">
        <f>IF(Grandview_Inventory[[#This Row],[pre_res]]&lt;0,0,Grandview_Inventory[[#This Row],[pre_res]]*Grandview_Inventory[[#This Row],[overall_adj]])</f>
        <v>225278.07227925723</v>
      </c>
      <c r="BZ959" s="6">
        <f>(Grandview_Inventory[[#This Row],[sum_land]]-IF(Grandview_Inventory[[#This Row],[no_utilities]]=1,12000,0))/IF(Grandview_Inventory[[#This Row],[unbuildable]]=1,2,1)</f>
        <v>46638.847281240982</v>
      </c>
      <c r="CA95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959">
        <f>ROUND(Grandview_Inventory[[#This Row],[det_value]]*Lookups!$M$28,-2)</f>
        <v>0</v>
      </c>
      <c r="CC959">
        <f>IF(ROUND(Grandview_Inventory[[#This Row],[adj_res]]*Lookups!$M$28,-2)&lt;Grandview_Inventory[[#This Row],[min_res]],Grandview_Inventory[[#This Row],[min_res]],ROUND(Grandview_Inventory[[#This Row],[adj_res]]*Lookups!$M$28,-2))</f>
        <v>214000</v>
      </c>
      <c r="CD959">
        <f>Grandview_Inventory[[#This Row],[final_det]]+Grandview_Inventory[[#This Row],[final_res]]</f>
        <v>214000</v>
      </c>
      <c r="CE959">
        <f>Grandview_Inventory[[#This Row],[final_land]]+Grandview_Inventory[[#This Row],[final_imp]]+Grandview_Inventory[[#This Row],[crop_value]]</f>
        <v>258300</v>
      </c>
      <c r="CG959" t="str">
        <f t="shared" si="14"/>
        <v>update valuation set market_land =44300, market_bldg=214000, market_total =258300, market_mdno =401, market_date ='9/10/2023' where link_id = (select link_id from parcel where parcel_year = '2024' and parcel_id = '23092241489');</v>
      </c>
    </row>
    <row r="960" spans="1:85" x14ac:dyDescent="0.25">
      <c r="A960">
        <v>23092241490</v>
      </c>
      <c r="B960">
        <v>0.17</v>
      </c>
      <c r="C960">
        <v>7550</v>
      </c>
      <c r="D960" t="s">
        <v>129</v>
      </c>
      <c r="E960" t="s">
        <v>53</v>
      </c>
      <c r="F960" t="s">
        <v>53</v>
      </c>
      <c r="G960">
        <v>4</v>
      </c>
      <c r="H960" t="s">
        <v>54</v>
      </c>
      <c r="I960">
        <v>160700</v>
      </c>
      <c r="J960">
        <v>43100</v>
      </c>
      <c r="K960">
        <v>0.17</v>
      </c>
      <c r="L96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960">
        <v>0</v>
      </c>
      <c r="N960">
        <v>0</v>
      </c>
      <c r="O960">
        <v>0</v>
      </c>
      <c r="P960">
        <v>13398.7528</v>
      </c>
      <c r="Q960">
        <v>63903</v>
      </c>
      <c r="R960">
        <f>(Grandview_Inventory[[#This Row],[ln_acres]]*Grandview_Inventory[[#This Row],[coeff]])+Grandview_Inventory[[#This Row],[const]]</f>
        <v>40160.988302686128</v>
      </c>
      <c r="S960" t="s">
        <v>68</v>
      </c>
      <c r="T960">
        <v>1</v>
      </c>
      <c r="U960" t="s">
        <v>70</v>
      </c>
      <c r="V960" t="s">
        <v>69</v>
      </c>
      <c r="W960">
        <v>0</v>
      </c>
      <c r="X960">
        <v>0</v>
      </c>
      <c r="Y960">
        <v>49</v>
      </c>
      <c r="Z960">
        <v>68</v>
      </c>
      <c r="AA960">
        <v>70</v>
      </c>
      <c r="AB960">
        <v>1500</v>
      </c>
      <c r="AC960">
        <v>1297</v>
      </c>
      <c r="AD960">
        <v>1297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170</v>
      </c>
      <c r="AO960">
        <v>0</v>
      </c>
      <c r="AP960">
        <v>8</v>
      </c>
      <c r="AQ960">
        <v>0</v>
      </c>
      <c r="AR960">
        <v>0</v>
      </c>
      <c r="AS960" t="s">
        <v>58</v>
      </c>
      <c r="AT960">
        <v>1</v>
      </c>
      <c r="AU960" t="s">
        <v>59</v>
      </c>
      <c r="AV960" t="s">
        <v>60</v>
      </c>
      <c r="AW960">
        <v>1</v>
      </c>
      <c r="AX960">
        <v>4</v>
      </c>
      <c r="AY960">
        <v>0</v>
      </c>
      <c r="AZ960">
        <v>6900</v>
      </c>
      <c r="BA960">
        <v>100</v>
      </c>
      <c r="BB960">
        <v>100</v>
      </c>
      <c r="BC960">
        <v>100</v>
      </c>
      <c r="BD960">
        <v>100</v>
      </c>
      <c r="BE960">
        <v>1</v>
      </c>
      <c r="BF960">
        <v>15000</v>
      </c>
      <c r="BG960">
        <v>1000</v>
      </c>
      <c r="BH960" s="6">
        <f>Grandview_Inventory[[#This Row],[land_extract]]*Lookups!$B$3</f>
        <v>46638.847281240982</v>
      </c>
      <c r="BI960" s="6">
        <f>IF(Grandview_Inventory[[#This Row],[bldg_style]]="",0,Lookups!$B$2)</f>
        <v>155833.95000000001</v>
      </c>
      <c r="BJ960" s="6">
        <f>_xlfn.IFNA(VLOOKUP(Grandview_Inventory[[#This Row],[quality]],Lookups!$H$2:$J$14,3,FALSE),0)</f>
        <v>10733</v>
      </c>
      <c r="BK960" s="6">
        <f>_xlfn.IFNA(VLOOKUP(Grandview_Inventory[[#This Row],[condition]],Lookups!$H$17:$J$24,3,FALSE),0)</f>
        <v>-4503</v>
      </c>
      <c r="BL960" s="6">
        <f>Grandview_Inventory[[#This Row],[Eff_Age]]*Lookups!$B$14</f>
        <v>-11719.163399999999</v>
      </c>
      <c r="BM960" s="6">
        <f>Grandview_Inventory[[#This Row],[living_area]]*Lookups!$B$15</f>
        <v>80907.966341000007</v>
      </c>
      <c r="BN960" s="6">
        <f>Grandview_Inventory[[#This Row],[Fin BSMT]]*Lookups!$B$16</f>
        <v>0</v>
      </c>
      <c r="BO960" s="6">
        <f>(Grandview_Inventory[[#This Row],[att_gar]]+Grandview_Inventory[[#This Row],[bltin_gar]])*Lookups!$B$17</f>
        <v>0</v>
      </c>
      <c r="BP960" s="6">
        <f>Grandview_Inventory[[#This Row],[Plumbing Fixtures]]*Lookups!$B$18</f>
        <v>16083.5344</v>
      </c>
      <c r="BQ960" s="6">
        <f>Grandview_Inventory[[#This Row],[detatched_value]]*Lookups!$B$19</f>
        <v>5842.9551899999997</v>
      </c>
      <c r="BR960" s="6">
        <f>SUM(Grandview_Inventory[[#This Row],[Intercept]:[det_value]])*Grandview_Inventory[[#This Row],[res_pct]]</f>
        <v>253179.24253100005</v>
      </c>
      <c r="BS960" s="6">
        <f>Grandview_Inventory[[#This Row],[land_value]]</f>
        <v>46638.847281240982</v>
      </c>
      <c r="BT960" s="4">
        <f>_xlfn.IFNA(VLOOKUP(Grandview_Inventory[[#This Row],[quality]],Lookups!$A$26:$C$33,3,FALSE),1)</f>
        <v>0.98079741117310582</v>
      </c>
      <c r="BU960" s="4">
        <f>_xlfn.IFNA(VLOOKUP(Grandview_Inventory[[#This Row],[condition]],Lookups!$A$37:$C$44,3,FALSE),1)</f>
        <v>0.96469275950863709</v>
      </c>
      <c r="BV960" s="4">
        <f>IF(Grandview_Inventory[[#This Row],[bldg_style]]="",1,_xlfn.IFNA(VLOOKUP(Grandview_Inventory[[#This Row],[decade]],Lookups!$F$29:$H$43,3,FALSE),1))</f>
        <v>0.99472141305414818</v>
      </c>
      <c r="BW960" s="4">
        <f>_xlfn.IFNA(VLOOKUP(Grandview_Inventory[[#This Row],[living_area_range]],Lookups!$F$47:$H$56,3,FALSE),1)</f>
        <v>0.96135087979789358</v>
      </c>
      <c r="BX960" s="4">
        <f>AVERAGE(Grandview_Inventory[[#This Row],[qual_adj]:[size_adj]])</f>
        <v>0.97539061588344622</v>
      </c>
      <c r="BY960" s="6">
        <f>IF(Grandview_Inventory[[#This Row],[pre_res]]&lt;0,0,Grandview_Inventory[[#This Row],[pre_res]]*Grandview_Inventory[[#This Row],[overall_adj]])</f>
        <v>246948.65730121653</v>
      </c>
      <c r="BZ960" s="6">
        <f>(Grandview_Inventory[[#This Row],[sum_land]]-IF(Grandview_Inventory[[#This Row],[no_utilities]]=1,12000,0))/IF(Grandview_Inventory[[#This Row],[unbuildable]]=1,2,1)</f>
        <v>46638.847281240982</v>
      </c>
      <c r="CA96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960">
        <f>ROUND(Grandview_Inventory[[#This Row],[det_value]]*Lookups!$M$28,-2)</f>
        <v>5600</v>
      </c>
      <c r="CC960">
        <f>IF(ROUND(Grandview_Inventory[[#This Row],[adj_res]]*Lookups!$M$28,-2)&lt;Grandview_Inventory[[#This Row],[min_res]],Grandview_Inventory[[#This Row],[min_res]],ROUND(Grandview_Inventory[[#This Row],[adj_res]]*Lookups!$M$28,-2))</f>
        <v>234600</v>
      </c>
      <c r="CD960">
        <f>Grandview_Inventory[[#This Row],[final_det]]+Grandview_Inventory[[#This Row],[final_res]]</f>
        <v>240200</v>
      </c>
      <c r="CE960">
        <f>Grandview_Inventory[[#This Row],[final_land]]+Grandview_Inventory[[#This Row],[final_imp]]+Grandview_Inventory[[#This Row],[crop_value]]</f>
        <v>284500</v>
      </c>
      <c r="CG960" t="str">
        <f t="shared" si="14"/>
        <v>update valuation set market_land =44300, market_bldg=240200, market_total =284500, market_mdno =401, market_date ='9/10/2023' where link_id = (select link_id from parcel where parcel_year = '2024' and parcel_id = '23092241490');</v>
      </c>
    </row>
    <row r="961" spans="1:85" x14ac:dyDescent="0.25">
      <c r="A961">
        <v>23092241491</v>
      </c>
      <c r="B961">
        <v>0.28999999999999998</v>
      </c>
      <c r="C961">
        <v>12461</v>
      </c>
      <c r="D961" t="s">
        <v>129</v>
      </c>
      <c r="E961" t="s">
        <v>53</v>
      </c>
      <c r="F961" t="s">
        <v>53</v>
      </c>
      <c r="G961">
        <v>4</v>
      </c>
      <c r="H961" t="s">
        <v>54</v>
      </c>
      <c r="I961">
        <v>142200</v>
      </c>
      <c r="J961">
        <v>40400</v>
      </c>
      <c r="K961">
        <v>0.28999999999999998</v>
      </c>
      <c r="L96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961">
        <v>0</v>
      </c>
      <c r="N961">
        <v>0</v>
      </c>
      <c r="O961">
        <v>0</v>
      </c>
      <c r="P961">
        <v>13398.7528</v>
      </c>
      <c r="Q961">
        <v>63903</v>
      </c>
      <c r="R961">
        <f>(Grandview_Inventory[[#This Row],[ln_acres]]*Grandview_Inventory[[#This Row],[coeff]])+Grandview_Inventory[[#This Row],[const]]</f>
        <v>47317.027506475133</v>
      </c>
      <c r="S961" t="s">
        <v>68</v>
      </c>
      <c r="T961">
        <v>1</v>
      </c>
      <c r="U961" t="s">
        <v>62</v>
      </c>
      <c r="V961" t="s">
        <v>69</v>
      </c>
      <c r="W961">
        <v>0</v>
      </c>
      <c r="X961">
        <v>0</v>
      </c>
      <c r="Y961">
        <v>49</v>
      </c>
      <c r="Z961">
        <v>68</v>
      </c>
      <c r="AA961">
        <v>70</v>
      </c>
      <c r="AB961">
        <v>1500</v>
      </c>
      <c r="AC961">
        <v>1188</v>
      </c>
      <c r="AD961">
        <v>1188</v>
      </c>
      <c r="AE961">
        <v>0</v>
      </c>
      <c r="AF961">
        <v>0</v>
      </c>
      <c r="AG961">
        <v>0</v>
      </c>
      <c r="AH961">
        <v>0</v>
      </c>
      <c r="AI961">
        <v>264</v>
      </c>
      <c r="AJ961">
        <v>0</v>
      </c>
      <c r="AK961">
        <v>0</v>
      </c>
      <c r="AL961">
        <v>0</v>
      </c>
      <c r="AM961">
        <v>0</v>
      </c>
      <c r="AN961">
        <v>56</v>
      </c>
      <c r="AO961">
        <v>0</v>
      </c>
      <c r="AP961">
        <v>8</v>
      </c>
      <c r="AQ961">
        <v>0</v>
      </c>
      <c r="AR961">
        <v>0</v>
      </c>
      <c r="AS961" t="s">
        <v>58</v>
      </c>
      <c r="AT961">
        <v>1</v>
      </c>
      <c r="AU961" t="s">
        <v>59</v>
      </c>
      <c r="AV961" t="s">
        <v>64</v>
      </c>
      <c r="AW961">
        <v>1</v>
      </c>
      <c r="AX961">
        <v>3</v>
      </c>
      <c r="AY961">
        <v>0</v>
      </c>
      <c r="AZ961">
        <v>0</v>
      </c>
      <c r="BA961">
        <v>100</v>
      </c>
      <c r="BB961">
        <v>100</v>
      </c>
      <c r="BC961">
        <v>100</v>
      </c>
      <c r="BD961">
        <v>100</v>
      </c>
      <c r="BE961">
        <v>1</v>
      </c>
      <c r="BF961">
        <v>15000</v>
      </c>
      <c r="BG961">
        <v>1000</v>
      </c>
      <c r="BH961" s="6">
        <f>Grandview_Inventory[[#This Row],[land_extract]]*Lookups!$B$3</f>
        <v>54949.136287295303</v>
      </c>
      <c r="BI961" s="6">
        <f>IF(Grandview_Inventory[[#This Row],[bldg_style]]="",0,Lookups!$B$2)</f>
        <v>155833.95000000001</v>
      </c>
      <c r="BJ961" s="6">
        <f>_xlfn.IFNA(VLOOKUP(Grandview_Inventory[[#This Row],[quality]],Lookups!$H$2:$J$14,3,FALSE),0)</f>
        <v>9808</v>
      </c>
      <c r="BK961" s="6">
        <f>_xlfn.IFNA(VLOOKUP(Grandview_Inventory[[#This Row],[condition]],Lookups!$H$17:$J$24,3,FALSE),0)</f>
        <v>-4503</v>
      </c>
      <c r="BL961" s="6">
        <f>Grandview_Inventory[[#This Row],[Eff_Age]]*Lookups!$B$14</f>
        <v>-11719.163399999999</v>
      </c>
      <c r="BM961" s="6">
        <f>Grandview_Inventory[[#This Row],[living_area]]*Lookups!$B$15</f>
        <v>74108.453364000001</v>
      </c>
      <c r="BN961" s="6">
        <f>Grandview_Inventory[[#This Row],[Fin BSMT]]*Lookups!$B$16</f>
        <v>0</v>
      </c>
      <c r="BO961" s="6">
        <f>(Grandview_Inventory[[#This Row],[att_gar]]+Grandview_Inventory[[#This Row],[bltin_gar]])*Lookups!$B$17</f>
        <v>23105.395368000001</v>
      </c>
      <c r="BP961" s="6">
        <f>Grandview_Inventory[[#This Row],[Plumbing Fixtures]]*Lookups!$B$18</f>
        <v>16083.5344</v>
      </c>
      <c r="BQ961" s="6">
        <f>Grandview_Inventory[[#This Row],[detatched_value]]*Lookups!$B$19</f>
        <v>0</v>
      </c>
      <c r="BR961" s="6">
        <f>SUM(Grandview_Inventory[[#This Row],[Intercept]:[det_value]])*Grandview_Inventory[[#This Row],[res_pct]]</f>
        <v>262717.16973199998</v>
      </c>
      <c r="BS961" s="6">
        <f>Grandview_Inventory[[#This Row],[land_value]]</f>
        <v>54949.136287295303</v>
      </c>
      <c r="BT961" s="4">
        <f>_xlfn.IFNA(VLOOKUP(Grandview_Inventory[[#This Row],[quality]],Lookups!$A$26:$C$33,3,FALSE),1)</f>
        <v>0.94295468617355149</v>
      </c>
      <c r="BU961" s="4">
        <f>_xlfn.IFNA(VLOOKUP(Grandview_Inventory[[#This Row],[condition]],Lookups!$A$37:$C$44,3,FALSE),1)</f>
        <v>0.96469275950863709</v>
      </c>
      <c r="BV961" s="4">
        <f>IF(Grandview_Inventory[[#This Row],[bldg_style]]="",1,_xlfn.IFNA(VLOOKUP(Grandview_Inventory[[#This Row],[decade]],Lookups!$F$29:$H$43,3,FALSE),1))</f>
        <v>0.99472141305414818</v>
      </c>
      <c r="BW961" s="4">
        <f>_xlfn.IFNA(VLOOKUP(Grandview_Inventory[[#This Row],[living_area_range]],Lookups!$F$47:$H$56,3,FALSE),1)</f>
        <v>0.96135087979789358</v>
      </c>
      <c r="BX961" s="4">
        <f>AVERAGE(Grandview_Inventory[[#This Row],[qual_adj]:[size_adj]])</f>
        <v>0.96592993463355759</v>
      </c>
      <c r="BY961" s="6">
        <f>IF(Grandview_Inventory[[#This Row],[pre_res]]&lt;0,0,Grandview_Inventory[[#This Row],[pre_res]]*Grandview_Inventory[[#This Row],[overall_adj]])</f>
        <v>253766.37858634398</v>
      </c>
      <c r="BZ961" s="6">
        <f>(Grandview_Inventory[[#This Row],[sum_land]]-IF(Grandview_Inventory[[#This Row],[no_utilities]]=1,12000,0))/IF(Grandview_Inventory[[#This Row],[unbuildable]]=1,2,1)</f>
        <v>54949.136287295303</v>
      </c>
      <c r="CA96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961">
        <f>ROUND(Grandview_Inventory[[#This Row],[det_value]]*Lookups!$M$28,-2)</f>
        <v>0</v>
      </c>
      <c r="CC961">
        <f>IF(ROUND(Grandview_Inventory[[#This Row],[adj_res]]*Lookups!$M$28,-2)&lt;Grandview_Inventory[[#This Row],[min_res]],Grandview_Inventory[[#This Row],[min_res]],ROUND(Grandview_Inventory[[#This Row],[adj_res]]*Lookups!$M$28,-2))</f>
        <v>241100</v>
      </c>
      <c r="CD961">
        <f>Grandview_Inventory[[#This Row],[final_det]]+Grandview_Inventory[[#This Row],[final_res]]</f>
        <v>241100</v>
      </c>
      <c r="CE961">
        <f>Grandview_Inventory[[#This Row],[final_land]]+Grandview_Inventory[[#This Row],[final_imp]]+Grandview_Inventory[[#This Row],[crop_value]]</f>
        <v>293300</v>
      </c>
      <c r="CG961" t="str">
        <f t="shared" si="14"/>
        <v>update valuation set market_land =52200, market_bldg=241100, market_total =293300, market_mdno =401, market_date ='9/10/2023' where link_id = (select link_id from parcel where parcel_year = '2024' and parcel_id = '23092241491');</v>
      </c>
    </row>
    <row r="962" spans="1:85" x14ac:dyDescent="0.25">
      <c r="A962">
        <v>23092241492</v>
      </c>
      <c r="B962">
        <v>0.28999999999999998</v>
      </c>
      <c r="C962">
        <v>12500</v>
      </c>
      <c r="D962" t="s">
        <v>129</v>
      </c>
      <c r="E962" t="s">
        <v>53</v>
      </c>
      <c r="F962" t="s">
        <v>53</v>
      </c>
      <c r="G962">
        <v>4</v>
      </c>
      <c r="H962" t="s">
        <v>54</v>
      </c>
      <c r="I962">
        <v>58400</v>
      </c>
      <c r="J962">
        <v>40500</v>
      </c>
      <c r="K962">
        <v>0.28999999999999998</v>
      </c>
      <c r="L962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962">
        <v>0</v>
      </c>
      <c r="N962">
        <v>0</v>
      </c>
      <c r="O962">
        <v>0</v>
      </c>
      <c r="P962">
        <v>13398.7528</v>
      </c>
      <c r="Q962">
        <v>63903</v>
      </c>
      <c r="R962">
        <f>(Grandview_Inventory[[#This Row],[ln_acres]]*Grandview_Inventory[[#This Row],[coeff]])+Grandview_Inventory[[#This Row],[const]]</f>
        <v>47317.027506475133</v>
      </c>
      <c r="S962" t="s">
        <v>68</v>
      </c>
      <c r="T962">
        <v>1</v>
      </c>
      <c r="U962" t="s">
        <v>80</v>
      </c>
      <c r="V962" t="s">
        <v>94</v>
      </c>
      <c r="W962">
        <v>0</v>
      </c>
      <c r="X962">
        <v>0</v>
      </c>
      <c r="Y962">
        <v>49</v>
      </c>
      <c r="Z962">
        <v>68</v>
      </c>
      <c r="AA962">
        <v>70</v>
      </c>
      <c r="AB962">
        <v>1500</v>
      </c>
      <c r="AC962">
        <v>1040</v>
      </c>
      <c r="AD962">
        <v>1040</v>
      </c>
      <c r="AE962">
        <v>0</v>
      </c>
      <c r="AF962">
        <v>0</v>
      </c>
      <c r="AG962">
        <v>0</v>
      </c>
      <c r="AH962">
        <v>0</v>
      </c>
      <c r="AI962">
        <v>344</v>
      </c>
      <c r="AJ962">
        <v>0</v>
      </c>
      <c r="AK962">
        <v>0</v>
      </c>
      <c r="AL962">
        <v>0</v>
      </c>
      <c r="AM962">
        <v>136</v>
      </c>
      <c r="AN962">
        <v>0</v>
      </c>
      <c r="AO962">
        <v>136</v>
      </c>
      <c r="AP962">
        <v>5</v>
      </c>
      <c r="AQ962">
        <v>0</v>
      </c>
      <c r="AR962">
        <v>0</v>
      </c>
      <c r="AS962" t="s">
        <v>58</v>
      </c>
      <c r="AT962">
        <v>0</v>
      </c>
      <c r="AU962" t="s">
        <v>82</v>
      </c>
      <c r="AV962" t="s">
        <v>60</v>
      </c>
      <c r="AW962">
        <v>0</v>
      </c>
      <c r="AX962">
        <v>3</v>
      </c>
      <c r="AY962">
        <v>0</v>
      </c>
      <c r="AZ962">
        <v>0</v>
      </c>
      <c r="BA962">
        <v>100</v>
      </c>
      <c r="BB962">
        <v>100</v>
      </c>
      <c r="BC962">
        <v>100</v>
      </c>
      <c r="BD962">
        <v>100</v>
      </c>
      <c r="BE962">
        <v>1</v>
      </c>
      <c r="BF962">
        <v>15000</v>
      </c>
      <c r="BG962">
        <v>1000</v>
      </c>
      <c r="BH962" s="6">
        <f>Grandview_Inventory[[#This Row],[land_extract]]*Lookups!$B$3</f>
        <v>54949.136287295303</v>
      </c>
      <c r="BI962" s="6">
        <f>IF(Grandview_Inventory[[#This Row],[bldg_style]]="",0,Lookups!$B$2)</f>
        <v>155833.95000000001</v>
      </c>
      <c r="BJ962" s="6">
        <f>_xlfn.IFNA(VLOOKUP(Grandview_Inventory[[#This Row],[quality]],Lookups!$H$2:$J$14,3,FALSE),0)</f>
        <v>-28558</v>
      </c>
      <c r="BK962" s="6">
        <f>_xlfn.IFNA(VLOOKUP(Grandview_Inventory[[#This Row],[condition]],Lookups!$H$17:$J$24,3,FALSE),0)</f>
        <v>-77566.475205170951</v>
      </c>
      <c r="BL962" s="6">
        <f>Grandview_Inventory[[#This Row],[Eff_Age]]*Lookups!$B$14</f>
        <v>-11719.163399999999</v>
      </c>
      <c r="BM962" s="6">
        <f>Grandview_Inventory[[#This Row],[living_area]]*Lookups!$B$15</f>
        <v>64876.087120000004</v>
      </c>
      <c r="BN962" s="6">
        <f>Grandview_Inventory[[#This Row],[Fin BSMT]]*Lookups!$B$16</f>
        <v>0</v>
      </c>
      <c r="BO962" s="6">
        <f>(Grandview_Inventory[[#This Row],[att_gar]]+Grandview_Inventory[[#This Row],[bltin_gar]])*Lookups!$B$17</f>
        <v>30107.030328000001</v>
      </c>
      <c r="BP962" s="6">
        <f>Grandview_Inventory[[#This Row],[Plumbing Fixtures]]*Lookups!$B$18</f>
        <v>10052.209000000001</v>
      </c>
      <c r="BQ962" s="6">
        <f>Grandview_Inventory[[#This Row],[detatched_value]]*Lookups!$B$19</f>
        <v>0</v>
      </c>
      <c r="BR962" s="6">
        <f>SUM(Grandview_Inventory[[#This Row],[Intercept]:[det_value]])*Grandview_Inventory[[#This Row],[res_pct]]</f>
        <v>143025.63784282908</v>
      </c>
      <c r="BS962" s="6">
        <f>Grandview_Inventory[[#This Row],[land_value]]</f>
        <v>54949.136287295303</v>
      </c>
      <c r="BT962" s="4">
        <f>_xlfn.IFNA(VLOOKUP(Grandview_Inventory[[#This Row],[quality]],Lookups!$A$26:$C$33,3,FALSE),1)</f>
        <v>0.9690360070159818</v>
      </c>
      <c r="BU962" s="4">
        <f>_xlfn.IFNA(VLOOKUP(Grandview_Inventory[[#This Row],[condition]],Lookups!$A$37:$C$44,3,FALSE),1)</f>
        <v>0.97161819570155394</v>
      </c>
      <c r="BV962" s="4">
        <f>IF(Grandview_Inventory[[#This Row],[bldg_style]]="",1,_xlfn.IFNA(VLOOKUP(Grandview_Inventory[[#This Row],[decade]],Lookups!$F$29:$H$43,3,FALSE),1))</f>
        <v>0.99472141305414818</v>
      </c>
      <c r="BW962" s="4">
        <f>_xlfn.IFNA(VLOOKUP(Grandview_Inventory[[#This Row],[living_area_range]],Lookups!$F$47:$H$56,3,FALSE),1)</f>
        <v>0.96135087979789358</v>
      </c>
      <c r="BX962" s="4">
        <f>AVERAGE(Grandview_Inventory[[#This Row],[qual_adj]:[size_adj]])</f>
        <v>0.97418162389239438</v>
      </c>
      <c r="BY962" s="6">
        <f>IF(Grandview_Inventory[[#This Row],[pre_res]]&lt;0,0,Grandview_Inventory[[#This Row],[pre_res]]*Grandview_Inventory[[#This Row],[overall_adj]])</f>
        <v>139332.94813197272</v>
      </c>
      <c r="BZ962" s="6">
        <f>(Grandview_Inventory[[#This Row],[sum_land]]-IF(Grandview_Inventory[[#This Row],[no_utilities]]=1,12000,0))/IF(Grandview_Inventory[[#This Row],[unbuildable]]=1,2,1)</f>
        <v>54949.136287295303</v>
      </c>
      <c r="CA962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962">
        <f>ROUND(Grandview_Inventory[[#This Row],[det_value]]*Lookups!$M$28,-2)</f>
        <v>0</v>
      </c>
      <c r="CC962">
        <f>IF(ROUND(Grandview_Inventory[[#This Row],[adj_res]]*Lookups!$M$28,-2)&lt;Grandview_Inventory[[#This Row],[min_res]],Grandview_Inventory[[#This Row],[min_res]],ROUND(Grandview_Inventory[[#This Row],[adj_res]]*Lookups!$M$28,-2))</f>
        <v>132400</v>
      </c>
      <c r="CD962">
        <f>Grandview_Inventory[[#This Row],[final_det]]+Grandview_Inventory[[#This Row],[final_res]]</f>
        <v>132400</v>
      </c>
      <c r="CE962">
        <f>Grandview_Inventory[[#This Row],[final_land]]+Grandview_Inventory[[#This Row],[final_imp]]+Grandview_Inventory[[#This Row],[crop_value]]</f>
        <v>184600</v>
      </c>
      <c r="CG962" t="str">
        <f t="shared" si="14"/>
        <v>update valuation set market_land =52200, market_bldg=132400, market_total =184600, market_mdno =401, market_date ='9/10/2023' where link_id = (select link_id from parcel where parcel_year = '2024' and parcel_id = '23092241492');</v>
      </c>
    </row>
    <row r="963" spans="1:85" x14ac:dyDescent="0.25">
      <c r="A963">
        <v>23092241493</v>
      </c>
      <c r="B963">
        <v>0.22</v>
      </c>
      <c r="C963">
        <v>9596</v>
      </c>
      <c r="D963" t="s">
        <v>129</v>
      </c>
      <c r="E963" t="s">
        <v>53</v>
      </c>
      <c r="F963" t="s">
        <v>53</v>
      </c>
      <c r="G963">
        <v>4</v>
      </c>
      <c r="H963" t="s">
        <v>54</v>
      </c>
      <c r="I963">
        <v>143400</v>
      </c>
      <c r="J963">
        <v>39500</v>
      </c>
      <c r="K963">
        <v>0.22</v>
      </c>
      <c r="L96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963">
        <v>0</v>
      </c>
      <c r="N963">
        <v>0</v>
      </c>
      <c r="O963">
        <v>0</v>
      </c>
      <c r="P963">
        <v>13398.7528</v>
      </c>
      <c r="Q963">
        <v>63903</v>
      </c>
      <c r="R963">
        <f>(Grandview_Inventory[[#This Row],[ln_acres]]*Grandview_Inventory[[#This Row],[coeff]])+Grandview_Inventory[[#This Row],[const]]</f>
        <v>43615.576802869145</v>
      </c>
      <c r="S963" t="s">
        <v>61</v>
      </c>
      <c r="T963">
        <v>1</v>
      </c>
      <c r="U963" t="s">
        <v>65</v>
      </c>
      <c r="V963" t="s">
        <v>67</v>
      </c>
      <c r="W963">
        <v>0</v>
      </c>
      <c r="X963">
        <v>0</v>
      </c>
      <c r="Y963">
        <v>49</v>
      </c>
      <c r="Z963">
        <v>68</v>
      </c>
      <c r="AA963">
        <v>70</v>
      </c>
      <c r="AB963">
        <v>1500</v>
      </c>
      <c r="AC963">
        <v>1300</v>
      </c>
      <c r="AD963">
        <v>1300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72</v>
      </c>
      <c r="AO963">
        <v>0</v>
      </c>
      <c r="AP963">
        <v>5</v>
      </c>
      <c r="AQ963">
        <v>0</v>
      </c>
      <c r="AR963">
        <v>1</v>
      </c>
      <c r="AS963" t="s">
        <v>58</v>
      </c>
      <c r="AT963">
        <v>1</v>
      </c>
      <c r="AU963" t="s">
        <v>63</v>
      </c>
      <c r="AV963" t="s">
        <v>60</v>
      </c>
      <c r="AW963">
        <v>0</v>
      </c>
      <c r="AX963">
        <v>2</v>
      </c>
      <c r="AY963">
        <v>0</v>
      </c>
      <c r="AZ963">
        <v>0</v>
      </c>
      <c r="BA963">
        <v>100</v>
      </c>
      <c r="BB963">
        <v>100</v>
      </c>
      <c r="BC963">
        <v>100</v>
      </c>
      <c r="BD963">
        <v>100</v>
      </c>
      <c r="BE963">
        <v>1</v>
      </c>
      <c r="BF963">
        <v>15000</v>
      </c>
      <c r="BG963">
        <v>1000</v>
      </c>
      <c r="BH963" s="6">
        <f>Grandview_Inventory[[#This Row],[land_extract]]*Lookups!$B$3</f>
        <v>50650.651579114572</v>
      </c>
      <c r="BI963" s="6">
        <f>IF(Grandview_Inventory[[#This Row],[bldg_style]]="",0,Lookups!$B$2)</f>
        <v>155833.95000000001</v>
      </c>
      <c r="BJ963" s="6">
        <f>_xlfn.IFNA(VLOOKUP(Grandview_Inventory[[#This Row],[quality]],Lookups!$H$2:$J$14,3,FALSE),0)</f>
        <v>2251</v>
      </c>
      <c r="BK963" s="6">
        <f>_xlfn.IFNA(VLOOKUP(Grandview_Inventory[[#This Row],[condition]],Lookups!$H$17:$J$24,3,FALSE),0)</f>
        <v>22342</v>
      </c>
      <c r="BL963" s="6">
        <f>Grandview_Inventory[[#This Row],[Eff_Age]]*Lookups!$B$14</f>
        <v>-11719.163399999999</v>
      </c>
      <c r="BM963" s="6">
        <f>Grandview_Inventory[[#This Row],[living_area]]*Lookups!$B$15</f>
        <v>81095.108900000007</v>
      </c>
      <c r="BN963" s="6">
        <f>Grandview_Inventory[[#This Row],[Fin BSMT]]*Lookups!$B$16</f>
        <v>0</v>
      </c>
      <c r="BO963" s="6">
        <f>(Grandview_Inventory[[#This Row],[att_gar]]+Grandview_Inventory[[#This Row],[bltin_gar]])*Lookups!$B$17</f>
        <v>0</v>
      </c>
      <c r="BP963" s="6">
        <f>Grandview_Inventory[[#This Row],[Plumbing Fixtures]]*Lookups!$B$18</f>
        <v>10052.209000000001</v>
      </c>
      <c r="BQ963" s="6">
        <f>Grandview_Inventory[[#This Row],[detatched_value]]*Lookups!$B$19</f>
        <v>0</v>
      </c>
      <c r="BR963" s="6">
        <f>SUM(Grandview_Inventory[[#This Row],[Intercept]:[det_value]])*Grandview_Inventory[[#This Row],[res_pct]]</f>
        <v>259855.10450000004</v>
      </c>
      <c r="BS963" s="6">
        <f>Grandview_Inventory[[#This Row],[land_value]]</f>
        <v>50650.651579114572</v>
      </c>
      <c r="BT963" s="4">
        <f>_xlfn.IFNA(VLOOKUP(Grandview_Inventory[[#This Row],[quality]],Lookups!$A$26:$C$33,3,FALSE),1)</f>
        <v>0.98763855981004833</v>
      </c>
      <c r="BU963" s="4">
        <f>_xlfn.IFNA(VLOOKUP(Grandview_Inventory[[#This Row],[condition]],Lookups!$A$37:$C$44,3,FALSE),1)</f>
        <v>0.97383723671140243</v>
      </c>
      <c r="BV963" s="4">
        <f>IF(Grandview_Inventory[[#This Row],[bldg_style]]="",1,_xlfn.IFNA(VLOOKUP(Grandview_Inventory[[#This Row],[decade]],Lookups!$F$29:$H$43,3,FALSE),1))</f>
        <v>0.99472141305414818</v>
      </c>
      <c r="BW963" s="4">
        <f>_xlfn.IFNA(VLOOKUP(Grandview_Inventory[[#This Row],[living_area_range]],Lookups!$F$47:$H$56,3,FALSE),1)</f>
        <v>0.96135087979789358</v>
      </c>
      <c r="BX963" s="4">
        <f>AVERAGE(Grandview_Inventory[[#This Row],[qual_adj]:[size_adj]])</f>
        <v>0.97938702234337316</v>
      </c>
      <c r="BY963" s="6">
        <f>IF(Grandview_Inventory[[#This Row],[pre_res]]&lt;0,0,Grandview_Inventory[[#This Row],[pre_res]]*Grandview_Inventory[[#This Row],[overall_adj]])</f>
        <v>254498.71703698111</v>
      </c>
      <c r="BZ963" s="6">
        <f>(Grandview_Inventory[[#This Row],[sum_land]]-IF(Grandview_Inventory[[#This Row],[no_utilities]]=1,12000,0))/IF(Grandview_Inventory[[#This Row],[unbuildable]]=1,2,1)</f>
        <v>50650.651579114572</v>
      </c>
      <c r="CA96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963">
        <f>ROUND(Grandview_Inventory[[#This Row],[det_value]]*Lookups!$M$28,-2)</f>
        <v>0</v>
      </c>
      <c r="CC963">
        <f>IF(ROUND(Grandview_Inventory[[#This Row],[adj_res]]*Lookups!$M$28,-2)&lt;Grandview_Inventory[[#This Row],[min_res]],Grandview_Inventory[[#This Row],[min_res]],ROUND(Grandview_Inventory[[#This Row],[adj_res]]*Lookups!$M$28,-2))</f>
        <v>241800</v>
      </c>
      <c r="CD963">
        <f>Grandview_Inventory[[#This Row],[final_det]]+Grandview_Inventory[[#This Row],[final_res]]</f>
        <v>241800</v>
      </c>
      <c r="CE963">
        <f>Grandview_Inventory[[#This Row],[final_land]]+Grandview_Inventory[[#This Row],[final_imp]]+Grandview_Inventory[[#This Row],[crop_value]]</f>
        <v>289900</v>
      </c>
      <c r="CG963" t="str">
        <f t="shared" ref="CG963:CG1026" si="15">"update valuation set market_land ="&amp;CA963&amp;", market_bldg="&amp;CD963&amp;", market_total ="&amp;CE963&amp;", market_mdno ="&amp;$CG$1&amp;", market_date ='"&amp;TEXT($CH$1,"m/d/yyyy")&amp;"' where link_id = (select link_id from parcel where parcel_year = '2024' and parcel_id = '"&amp;A963&amp;"');"</f>
        <v>update valuation set market_land =48100, market_bldg=241800, market_total =289900, market_mdno =401, market_date ='9/10/2023' where link_id = (select link_id from parcel where parcel_year = '2024' and parcel_id = '23092241493');</v>
      </c>
    </row>
    <row r="964" spans="1:85" x14ac:dyDescent="0.25">
      <c r="A964">
        <v>23092241494</v>
      </c>
      <c r="B964">
        <v>0.19</v>
      </c>
      <c r="C964">
        <v>8276</v>
      </c>
      <c r="D964" t="s">
        <v>129</v>
      </c>
      <c r="E964" t="s">
        <v>53</v>
      </c>
      <c r="F964" t="s">
        <v>53</v>
      </c>
      <c r="G964">
        <v>4</v>
      </c>
      <c r="H964" t="s">
        <v>54</v>
      </c>
      <c r="I964">
        <v>149700</v>
      </c>
      <c r="J964">
        <v>39100</v>
      </c>
      <c r="K964">
        <v>0.19</v>
      </c>
      <c r="L96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64">
        <v>0</v>
      </c>
      <c r="N964">
        <v>0</v>
      </c>
      <c r="O964">
        <v>0</v>
      </c>
      <c r="P964">
        <v>13398.7528</v>
      </c>
      <c r="Q964">
        <v>63903</v>
      </c>
      <c r="R964">
        <f>(Grandview_Inventory[[#This Row],[ln_acres]]*Grandview_Inventory[[#This Row],[coeff]])+Grandview_Inventory[[#This Row],[const]]</f>
        <v>41651.273092551026</v>
      </c>
      <c r="S964" t="s">
        <v>68</v>
      </c>
      <c r="T964">
        <v>1</v>
      </c>
      <c r="U964" t="s">
        <v>65</v>
      </c>
      <c r="V964" t="s">
        <v>69</v>
      </c>
      <c r="W964">
        <v>0</v>
      </c>
      <c r="X964">
        <v>0</v>
      </c>
      <c r="Y964">
        <v>49</v>
      </c>
      <c r="Z964">
        <v>68</v>
      </c>
      <c r="AA964">
        <v>70</v>
      </c>
      <c r="AB964">
        <v>1500</v>
      </c>
      <c r="AC964">
        <v>1276</v>
      </c>
      <c r="AD964">
        <v>1276</v>
      </c>
      <c r="AE964">
        <v>0</v>
      </c>
      <c r="AF964">
        <v>0</v>
      </c>
      <c r="AG964">
        <v>0</v>
      </c>
      <c r="AH964">
        <v>0</v>
      </c>
      <c r="AI964">
        <v>288</v>
      </c>
      <c r="AJ964">
        <v>0</v>
      </c>
      <c r="AK964">
        <v>0</v>
      </c>
      <c r="AL964">
        <v>0</v>
      </c>
      <c r="AM964">
        <v>132</v>
      </c>
      <c r="AN964">
        <v>120</v>
      </c>
      <c r="AO964">
        <v>132</v>
      </c>
      <c r="AP964">
        <v>5</v>
      </c>
      <c r="AQ964">
        <v>0</v>
      </c>
      <c r="AR964">
        <v>0</v>
      </c>
      <c r="AS964" t="s">
        <v>58</v>
      </c>
      <c r="AT964">
        <v>1</v>
      </c>
      <c r="AU964" t="s">
        <v>63</v>
      </c>
      <c r="AV964" t="s">
        <v>64</v>
      </c>
      <c r="AW964">
        <v>1</v>
      </c>
      <c r="AX964">
        <v>3</v>
      </c>
      <c r="AY964">
        <v>0</v>
      </c>
      <c r="AZ964">
        <v>0</v>
      </c>
      <c r="BA964">
        <v>100</v>
      </c>
      <c r="BB964">
        <v>100</v>
      </c>
      <c r="BC964">
        <v>100</v>
      </c>
      <c r="BD964">
        <v>100</v>
      </c>
      <c r="BE964">
        <v>1</v>
      </c>
      <c r="BF964">
        <v>15000</v>
      </c>
      <c r="BG964">
        <v>1000</v>
      </c>
      <c r="BH964" s="6">
        <f>Grandview_Inventory[[#This Row],[land_extract]]*Lookups!$B$3</f>
        <v>48369.510983942157</v>
      </c>
      <c r="BI964" s="6">
        <f>IF(Grandview_Inventory[[#This Row],[bldg_style]]="",0,Lookups!$B$2)</f>
        <v>155833.95000000001</v>
      </c>
      <c r="BJ964" s="6">
        <f>_xlfn.IFNA(VLOOKUP(Grandview_Inventory[[#This Row],[quality]],Lookups!$H$2:$J$14,3,FALSE),0)</f>
        <v>2251</v>
      </c>
      <c r="BK964" s="6">
        <f>_xlfn.IFNA(VLOOKUP(Grandview_Inventory[[#This Row],[condition]],Lookups!$H$17:$J$24,3,FALSE),0)</f>
        <v>-4503</v>
      </c>
      <c r="BL964" s="6">
        <f>Grandview_Inventory[[#This Row],[Eff_Age]]*Lookups!$B$14</f>
        <v>-11719.163399999999</v>
      </c>
      <c r="BM964" s="6">
        <f>Grandview_Inventory[[#This Row],[living_area]]*Lookups!$B$15</f>
        <v>79597.968428000007</v>
      </c>
      <c r="BN964" s="6">
        <f>Grandview_Inventory[[#This Row],[Fin BSMT]]*Lookups!$B$16</f>
        <v>0</v>
      </c>
      <c r="BO964" s="6">
        <f>(Grandview_Inventory[[#This Row],[att_gar]]+Grandview_Inventory[[#This Row],[bltin_gar]])*Lookups!$B$17</f>
        <v>25205.885856000001</v>
      </c>
      <c r="BP964" s="6">
        <f>Grandview_Inventory[[#This Row],[Plumbing Fixtures]]*Lookups!$B$18</f>
        <v>10052.209000000001</v>
      </c>
      <c r="BQ964" s="6">
        <f>Grandview_Inventory[[#This Row],[detatched_value]]*Lookups!$B$19</f>
        <v>0</v>
      </c>
      <c r="BR964" s="6">
        <f>SUM(Grandview_Inventory[[#This Row],[Intercept]:[det_value]])*Grandview_Inventory[[#This Row],[res_pct]]</f>
        <v>256718.84988400005</v>
      </c>
      <c r="BS964" s="6">
        <f>Grandview_Inventory[[#This Row],[land_value]]</f>
        <v>48369.510983942157</v>
      </c>
      <c r="BT964" s="4">
        <f>_xlfn.IFNA(VLOOKUP(Grandview_Inventory[[#This Row],[quality]],Lookups!$A$26:$C$33,3,FALSE),1)</f>
        <v>0.98763855981004833</v>
      </c>
      <c r="BU964" s="4">
        <f>_xlfn.IFNA(VLOOKUP(Grandview_Inventory[[#This Row],[condition]],Lookups!$A$37:$C$44,3,FALSE),1)</f>
        <v>0.96469275950863709</v>
      </c>
      <c r="BV964" s="4">
        <f>IF(Grandview_Inventory[[#This Row],[bldg_style]]="",1,_xlfn.IFNA(VLOOKUP(Grandview_Inventory[[#This Row],[decade]],Lookups!$F$29:$H$43,3,FALSE),1))</f>
        <v>0.99472141305414818</v>
      </c>
      <c r="BW964" s="4">
        <f>_xlfn.IFNA(VLOOKUP(Grandview_Inventory[[#This Row],[living_area_range]],Lookups!$F$47:$H$56,3,FALSE),1)</f>
        <v>0.96135087979789358</v>
      </c>
      <c r="BX964" s="4">
        <f>AVERAGE(Grandview_Inventory[[#This Row],[qual_adj]:[size_adj]])</f>
        <v>0.97710090304268182</v>
      </c>
      <c r="BY964" s="6">
        <f>IF(Grandview_Inventory[[#This Row],[pre_res]]&lt;0,0,Grandview_Inventory[[#This Row],[pre_res]]*Grandview_Inventory[[#This Row],[overall_adj]])</f>
        <v>250840.22004973513</v>
      </c>
      <c r="BZ964" s="6">
        <f>(Grandview_Inventory[[#This Row],[sum_land]]-IF(Grandview_Inventory[[#This Row],[no_utilities]]=1,12000,0))/IF(Grandview_Inventory[[#This Row],[unbuildable]]=1,2,1)</f>
        <v>48369.510983942157</v>
      </c>
      <c r="CA96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64">
        <f>ROUND(Grandview_Inventory[[#This Row],[det_value]]*Lookups!$M$28,-2)</f>
        <v>0</v>
      </c>
      <c r="CC964">
        <f>IF(ROUND(Grandview_Inventory[[#This Row],[adj_res]]*Lookups!$M$28,-2)&lt;Grandview_Inventory[[#This Row],[min_res]],Grandview_Inventory[[#This Row],[min_res]],ROUND(Grandview_Inventory[[#This Row],[adj_res]]*Lookups!$M$28,-2))</f>
        <v>238300</v>
      </c>
      <c r="CD964">
        <f>Grandview_Inventory[[#This Row],[final_det]]+Grandview_Inventory[[#This Row],[final_res]]</f>
        <v>238300</v>
      </c>
      <c r="CE964">
        <f>Grandview_Inventory[[#This Row],[final_land]]+Grandview_Inventory[[#This Row],[final_imp]]+Grandview_Inventory[[#This Row],[crop_value]]</f>
        <v>284300</v>
      </c>
      <c r="CG964" t="str">
        <f t="shared" si="15"/>
        <v>update valuation set market_land =46000, market_bldg=238300, market_total =284300, market_mdno =401, market_date ='9/10/2023' where link_id = (select link_id from parcel where parcel_year = '2024' and parcel_id = '23092241494');</v>
      </c>
    </row>
    <row r="965" spans="1:85" x14ac:dyDescent="0.25">
      <c r="A965">
        <v>23092241495</v>
      </c>
      <c r="B965">
        <v>0.19</v>
      </c>
      <c r="C965">
        <v>8290</v>
      </c>
      <c r="D965" t="s">
        <v>129</v>
      </c>
      <c r="E965" t="s">
        <v>53</v>
      </c>
      <c r="F965" t="s">
        <v>53</v>
      </c>
      <c r="G965">
        <v>4</v>
      </c>
      <c r="H965" t="s">
        <v>54</v>
      </c>
      <c r="I965">
        <v>137100</v>
      </c>
      <c r="J965">
        <v>43500</v>
      </c>
      <c r="K965">
        <v>0.19</v>
      </c>
      <c r="L96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65">
        <v>0</v>
      </c>
      <c r="N965">
        <v>0</v>
      </c>
      <c r="O965">
        <v>0</v>
      </c>
      <c r="P965">
        <v>13398.7528</v>
      </c>
      <c r="Q965">
        <v>63903</v>
      </c>
      <c r="R965">
        <f>(Grandview_Inventory[[#This Row],[ln_acres]]*Grandview_Inventory[[#This Row],[coeff]])+Grandview_Inventory[[#This Row],[const]]</f>
        <v>41651.273092551026</v>
      </c>
      <c r="S965" t="s">
        <v>61</v>
      </c>
      <c r="T965">
        <v>1</v>
      </c>
      <c r="U965" t="s">
        <v>65</v>
      </c>
      <c r="V965" t="s">
        <v>69</v>
      </c>
      <c r="W965">
        <v>0</v>
      </c>
      <c r="X965">
        <v>0</v>
      </c>
      <c r="Y965">
        <v>49</v>
      </c>
      <c r="Z965">
        <v>68</v>
      </c>
      <c r="AA965">
        <v>70</v>
      </c>
      <c r="AB965">
        <v>1500</v>
      </c>
      <c r="AC965">
        <v>1242</v>
      </c>
      <c r="AD965">
        <v>1242</v>
      </c>
      <c r="AE965">
        <v>0</v>
      </c>
      <c r="AF965">
        <v>0</v>
      </c>
      <c r="AG965">
        <v>0</v>
      </c>
      <c r="AH965">
        <v>0</v>
      </c>
      <c r="AI965">
        <v>240</v>
      </c>
      <c r="AJ965">
        <v>0</v>
      </c>
      <c r="AK965">
        <v>0</v>
      </c>
      <c r="AL965">
        <v>0</v>
      </c>
      <c r="AM965">
        <v>334</v>
      </c>
      <c r="AN965">
        <v>0</v>
      </c>
      <c r="AO965">
        <v>334</v>
      </c>
      <c r="AP965">
        <v>5</v>
      </c>
      <c r="AQ965">
        <v>0</v>
      </c>
      <c r="AR965">
        <v>0</v>
      </c>
      <c r="AS965" t="s">
        <v>58</v>
      </c>
      <c r="AT965">
        <v>1</v>
      </c>
      <c r="AU965" t="s">
        <v>63</v>
      </c>
      <c r="AV965" t="s">
        <v>64</v>
      </c>
      <c r="AW965">
        <v>0</v>
      </c>
      <c r="AX965">
        <v>3</v>
      </c>
      <c r="AY965">
        <v>0</v>
      </c>
      <c r="AZ965">
        <v>0</v>
      </c>
      <c r="BA965">
        <v>100</v>
      </c>
      <c r="BB965">
        <v>100</v>
      </c>
      <c r="BC965">
        <v>100</v>
      </c>
      <c r="BD965">
        <v>100</v>
      </c>
      <c r="BE965">
        <v>1</v>
      </c>
      <c r="BF965">
        <v>15000</v>
      </c>
      <c r="BG965">
        <v>1000</v>
      </c>
      <c r="BH965" s="6">
        <f>Grandview_Inventory[[#This Row],[land_extract]]*Lookups!$B$3</f>
        <v>48369.510983942157</v>
      </c>
      <c r="BI965" s="6">
        <f>IF(Grandview_Inventory[[#This Row],[bldg_style]]="",0,Lookups!$B$2)</f>
        <v>155833.95000000001</v>
      </c>
      <c r="BJ965" s="6">
        <f>_xlfn.IFNA(VLOOKUP(Grandview_Inventory[[#This Row],[quality]],Lookups!$H$2:$J$14,3,FALSE),0)</f>
        <v>2251</v>
      </c>
      <c r="BK965" s="6">
        <f>_xlfn.IFNA(VLOOKUP(Grandview_Inventory[[#This Row],[condition]],Lookups!$H$17:$J$24,3,FALSE),0)</f>
        <v>-4503</v>
      </c>
      <c r="BL965" s="6">
        <f>Grandview_Inventory[[#This Row],[Eff_Age]]*Lookups!$B$14</f>
        <v>-11719.163399999999</v>
      </c>
      <c r="BM965" s="6">
        <f>Grandview_Inventory[[#This Row],[living_area]]*Lookups!$B$15</f>
        <v>77477.019425999999</v>
      </c>
      <c r="BN965" s="6">
        <f>Grandview_Inventory[[#This Row],[Fin BSMT]]*Lookups!$B$16</f>
        <v>0</v>
      </c>
      <c r="BO965" s="6">
        <f>(Grandview_Inventory[[#This Row],[att_gar]]+Grandview_Inventory[[#This Row],[bltin_gar]])*Lookups!$B$17</f>
        <v>21004.904880000002</v>
      </c>
      <c r="BP965" s="6">
        <f>Grandview_Inventory[[#This Row],[Plumbing Fixtures]]*Lookups!$B$18</f>
        <v>10052.209000000001</v>
      </c>
      <c r="BQ965" s="6">
        <f>Grandview_Inventory[[#This Row],[detatched_value]]*Lookups!$B$19</f>
        <v>0</v>
      </c>
      <c r="BR965" s="6">
        <f>SUM(Grandview_Inventory[[#This Row],[Intercept]:[det_value]])*Grandview_Inventory[[#This Row],[res_pct]]</f>
        <v>250396.919906</v>
      </c>
      <c r="BS965" s="6">
        <f>Grandview_Inventory[[#This Row],[land_value]]</f>
        <v>48369.510983942157</v>
      </c>
      <c r="BT965" s="4">
        <f>_xlfn.IFNA(VLOOKUP(Grandview_Inventory[[#This Row],[quality]],Lookups!$A$26:$C$33,3,FALSE),1)</f>
        <v>0.98763855981004833</v>
      </c>
      <c r="BU965" s="4">
        <f>_xlfn.IFNA(VLOOKUP(Grandview_Inventory[[#This Row],[condition]],Lookups!$A$37:$C$44,3,FALSE),1)</f>
        <v>0.96469275950863709</v>
      </c>
      <c r="BV965" s="4">
        <f>IF(Grandview_Inventory[[#This Row],[bldg_style]]="",1,_xlfn.IFNA(VLOOKUP(Grandview_Inventory[[#This Row],[decade]],Lookups!$F$29:$H$43,3,FALSE),1))</f>
        <v>0.99472141305414818</v>
      </c>
      <c r="BW965" s="4">
        <f>_xlfn.IFNA(VLOOKUP(Grandview_Inventory[[#This Row],[living_area_range]],Lookups!$F$47:$H$56,3,FALSE),1)</f>
        <v>0.96135087979789358</v>
      </c>
      <c r="BX965" s="4">
        <f>AVERAGE(Grandview_Inventory[[#This Row],[qual_adj]:[size_adj]])</f>
        <v>0.97710090304268182</v>
      </c>
      <c r="BY965" s="6">
        <f>IF(Grandview_Inventory[[#This Row],[pre_res]]&lt;0,0,Grandview_Inventory[[#This Row],[pre_res]]*Grandview_Inventory[[#This Row],[overall_adj]])</f>
        <v>244663.05655925866</v>
      </c>
      <c r="BZ965" s="6">
        <f>(Grandview_Inventory[[#This Row],[sum_land]]-IF(Grandview_Inventory[[#This Row],[no_utilities]]=1,12000,0))/IF(Grandview_Inventory[[#This Row],[unbuildable]]=1,2,1)</f>
        <v>48369.510983942157</v>
      </c>
      <c r="CA96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65">
        <f>ROUND(Grandview_Inventory[[#This Row],[det_value]]*Lookups!$M$28,-2)</f>
        <v>0</v>
      </c>
      <c r="CC965">
        <f>IF(ROUND(Grandview_Inventory[[#This Row],[adj_res]]*Lookups!$M$28,-2)&lt;Grandview_Inventory[[#This Row],[min_res]],Grandview_Inventory[[#This Row],[min_res]],ROUND(Grandview_Inventory[[#This Row],[adj_res]]*Lookups!$M$28,-2))</f>
        <v>232400</v>
      </c>
      <c r="CD965">
        <f>Grandview_Inventory[[#This Row],[final_det]]+Grandview_Inventory[[#This Row],[final_res]]</f>
        <v>232400</v>
      </c>
      <c r="CE965">
        <f>Grandview_Inventory[[#This Row],[final_land]]+Grandview_Inventory[[#This Row],[final_imp]]+Grandview_Inventory[[#This Row],[crop_value]]</f>
        <v>278400</v>
      </c>
      <c r="CG965" t="str">
        <f t="shared" si="15"/>
        <v>update valuation set market_land =46000, market_bldg=232400, market_total =278400, market_mdno =401, market_date ='9/10/2023' where link_id = (select link_id from parcel where parcel_year = '2024' and parcel_id = '23092241495');</v>
      </c>
    </row>
    <row r="966" spans="1:85" x14ac:dyDescent="0.25">
      <c r="A966">
        <v>23092241496</v>
      </c>
      <c r="B966">
        <v>0.19</v>
      </c>
      <c r="C966">
        <v>8290</v>
      </c>
      <c r="D966" t="s">
        <v>129</v>
      </c>
      <c r="E966" t="s">
        <v>53</v>
      </c>
      <c r="F966" t="s">
        <v>53</v>
      </c>
      <c r="G966">
        <v>4</v>
      </c>
      <c r="H966" t="s">
        <v>54</v>
      </c>
      <c r="I966">
        <v>157100</v>
      </c>
      <c r="J966">
        <v>39100</v>
      </c>
      <c r="K966">
        <v>0.19</v>
      </c>
      <c r="L96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66">
        <v>0</v>
      </c>
      <c r="N966">
        <v>0</v>
      </c>
      <c r="O966">
        <v>0</v>
      </c>
      <c r="P966">
        <v>13398.7528</v>
      </c>
      <c r="Q966">
        <v>63903</v>
      </c>
      <c r="R966">
        <f>(Grandview_Inventory[[#This Row],[ln_acres]]*Grandview_Inventory[[#This Row],[coeff]])+Grandview_Inventory[[#This Row],[const]]</f>
        <v>41651.273092551026</v>
      </c>
      <c r="S966" t="s">
        <v>61</v>
      </c>
      <c r="T966">
        <v>1</v>
      </c>
      <c r="U966" t="s">
        <v>65</v>
      </c>
      <c r="V966" t="s">
        <v>69</v>
      </c>
      <c r="W966">
        <v>0</v>
      </c>
      <c r="X966">
        <v>0</v>
      </c>
      <c r="Y966">
        <v>49</v>
      </c>
      <c r="Z966">
        <v>68</v>
      </c>
      <c r="AA966">
        <v>70</v>
      </c>
      <c r="AB966">
        <v>2500</v>
      </c>
      <c r="AC966">
        <v>2144</v>
      </c>
      <c r="AD966">
        <v>1192</v>
      </c>
      <c r="AE966">
        <v>0</v>
      </c>
      <c r="AF966">
        <v>0</v>
      </c>
      <c r="AG966">
        <v>952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280</v>
      </c>
      <c r="AN966">
        <v>18</v>
      </c>
      <c r="AO966">
        <v>280</v>
      </c>
      <c r="AP966">
        <v>5</v>
      </c>
      <c r="AQ966">
        <v>0</v>
      </c>
      <c r="AR966">
        <v>0</v>
      </c>
      <c r="AS966" t="s">
        <v>58</v>
      </c>
      <c r="AT966">
        <v>1</v>
      </c>
      <c r="AU966" t="s">
        <v>63</v>
      </c>
      <c r="AV966" t="s">
        <v>81</v>
      </c>
      <c r="AW966">
        <v>0</v>
      </c>
      <c r="AX966">
        <v>3</v>
      </c>
      <c r="AY966">
        <v>0</v>
      </c>
      <c r="AZ966">
        <v>18200</v>
      </c>
      <c r="BA966">
        <v>100</v>
      </c>
      <c r="BB966">
        <v>100</v>
      </c>
      <c r="BC966">
        <v>100</v>
      </c>
      <c r="BD966">
        <v>100</v>
      </c>
      <c r="BE966">
        <v>1</v>
      </c>
      <c r="BF966">
        <v>15000</v>
      </c>
      <c r="BG966">
        <v>1000</v>
      </c>
      <c r="BH966" s="6">
        <f>Grandview_Inventory[[#This Row],[land_extract]]*Lookups!$B$3</f>
        <v>48369.510983942157</v>
      </c>
      <c r="BI966" s="6">
        <f>IF(Grandview_Inventory[[#This Row],[bldg_style]]="",0,Lookups!$B$2)</f>
        <v>155833.95000000001</v>
      </c>
      <c r="BJ966" s="6">
        <f>_xlfn.IFNA(VLOOKUP(Grandview_Inventory[[#This Row],[quality]],Lookups!$H$2:$J$14,3,FALSE),0)</f>
        <v>2251</v>
      </c>
      <c r="BK966" s="6">
        <f>_xlfn.IFNA(VLOOKUP(Grandview_Inventory[[#This Row],[condition]],Lookups!$H$17:$J$24,3,FALSE),0)</f>
        <v>-4503</v>
      </c>
      <c r="BL966" s="6">
        <f>Grandview_Inventory[[#This Row],[Eff_Age]]*Lookups!$B$14</f>
        <v>-11719.163399999999</v>
      </c>
      <c r="BM966" s="6">
        <f>Grandview_Inventory[[#This Row],[living_area]]*Lookups!$B$15</f>
        <v>133744.548832</v>
      </c>
      <c r="BN966" s="6">
        <f>Grandview_Inventory[[#This Row],[Fin BSMT]]*Lookups!$B$16</f>
        <v>-25798.476480000001</v>
      </c>
      <c r="BO966" s="6">
        <f>(Grandview_Inventory[[#This Row],[att_gar]]+Grandview_Inventory[[#This Row],[bltin_gar]])*Lookups!$B$17</f>
        <v>0</v>
      </c>
      <c r="BP966" s="6">
        <f>Grandview_Inventory[[#This Row],[Plumbing Fixtures]]*Lookups!$B$18</f>
        <v>10052.209000000001</v>
      </c>
      <c r="BQ966" s="6">
        <f>Grandview_Inventory[[#This Row],[detatched_value]]*Lookups!$B$19</f>
        <v>15411.85282</v>
      </c>
      <c r="BR966" s="6">
        <f>SUM(Grandview_Inventory[[#This Row],[Intercept]:[det_value]])*Grandview_Inventory[[#This Row],[res_pct]]</f>
        <v>275272.92077199998</v>
      </c>
      <c r="BS966" s="6">
        <f>Grandview_Inventory[[#This Row],[land_value]]</f>
        <v>48369.510983942157</v>
      </c>
      <c r="BT966" s="4">
        <f>_xlfn.IFNA(VLOOKUP(Grandview_Inventory[[#This Row],[quality]],Lookups!$A$26:$C$33,3,FALSE),1)</f>
        <v>0.98763855981004833</v>
      </c>
      <c r="BU966" s="4">
        <f>_xlfn.IFNA(VLOOKUP(Grandview_Inventory[[#This Row],[condition]],Lookups!$A$37:$C$44,3,FALSE),1)</f>
        <v>0.96469275950863709</v>
      </c>
      <c r="BV966" s="4">
        <f>IF(Grandview_Inventory[[#This Row],[bldg_style]]="",1,_xlfn.IFNA(VLOOKUP(Grandview_Inventory[[#This Row],[decade]],Lookups!$F$29:$H$43,3,FALSE),1))</f>
        <v>0.99472141305414818</v>
      </c>
      <c r="BW966" s="4">
        <f>_xlfn.IFNA(VLOOKUP(Grandview_Inventory[[#This Row],[living_area_range]],Lookups!$F$47:$H$56,3,FALSE),1)</f>
        <v>0.95799442568048754</v>
      </c>
      <c r="BX966" s="4">
        <f>AVERAGE(Grandview_Inventory[[#This Row],[qual_adj]:[size_adj]])</f>
        <v>0.97626178951333031</v>
      </c>
      <c r="BY966" s="6">
        <f>IF(Grandview_Inventory[[#This Row],[pre_res]]&lt;0,0,Grandview_Inventory[[#This Row],[pre_res]]*Grandview_Inventory[[#This Row],[overall_adj]])</f>
        <v>268738.43423743389</v>
      </c>
      <c r="BZ966" s="6">
        <f>(Grandview_Inventory[[#This Row],[sum_land]]-IF(Grandview_Inventory[[#This Row],[no_utilities]]=1,12000,0))/IF(Grandview_Inventory[[#This Row],[unbuildable]]=1,2,1)</f>
        <v>48369.510983942157</v>
      </c>
      <c r="CA96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66">
        <f>ROUND(Grandview_Inventory[[#This Row],[det_value]]*Lookups!$M$28,-2)</f>
        <v>14600</v>
      </c>
      <c r="CC966">
        <f>IF(ROUND(Grandview_Inventory[[#This Row],[adj_res]]*Lookups!$M$28,-2)&lt;Grandview_Inventory[[#This Row],[min_res]],Grandview_Inventory[[#This Row],[min_res]],ROUND(Grandview_Inventory[[#This Row],[adj_res]]*Lookups!$M$28,-2))</f>
        <v>255300</v>
      </c>
      <c r="CD966">
        <f>Grandview_Inventory[[#This Row],[final_det]]+Grandview_Inventory[[#This Row],[final_res]]</f>
        <v>269900</v>
      </c>
      <c r="CE966">
        <f>Grandview_Inventory[[#This Row],[final_land]]+Grandview_Inventory[[#This Row],[final_imp]]+Grandview_Inventory[[#This Row],[crop_value]]</f>
        <v>315900</v>
      </c>
      <c r="CG966" t="str">
        <f t="shared" si="15"/>
        <v>update valuation set market_land =46000, market_bldg=269900, market_total =315900, market_mdno =401, market_date ='9/10/2023' where link_id = (select link_id from parcel where parcel_year = '2024' and parcel_id = '23092241496');</v>
      </c>
    </row>
    <row r="967" spans="1:85" x14ac:dyDescent="0.25">
      <c r="A967">
        <v>23092241497</v>
      </c>
      <c r="B967">
        <v>0.19</v>
      </c>
      <c r="C967">
        <v>8276</v>
      </c>
      <c r="D967" t="s">
        <v>129</v>
      </c>
      <c r="E967" t="s">
        <v>53</v>
      </c>
      <c r="F967" t="s">
        <v>53</v>
      </c>
      <c r="G967">
        <v>4</v>
      </c>
      <c r="H967" t="s">
        <v>54</v>
      </c>
      <c r="I967">
        <v>144700</v>
      </c>
      <c r="J967">
        <v>43500</v>
      </c>
      <c r="K967">
        <v>0.19</v>
      </c>
      <c r="L96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967">
        <v>0</v>
      </c>
      <c r="N967">
        <v>0</v>
      </c>
      <c r="O967">
        <v>0</v>
      </c>
      <c r="P967">
        <v>13398.7528</v>
      </c>
      <c r="Q967">
        <v>63903</v>
      </c>
      <c r="R967">
        <f>(Grandview_Inventory[[#This Row],[ln_acres]]*Grandview_Inventory[[#This Row],[coeff]])+Grandview_Inventory[[#This Row],[const]]</f>
        <v>41651.273092551026</v>
      </c>
      <c r="S967" t="s">
        <v>61</v>
      </c>
      <c r="T967">
        <v>1</v>
      </c>
      <c r="U967" t="s">
        <v>65</v>
      </c>
      <c r="V967" t="s">
        <v>78</v>
      </c>
      <c r="W967">
        <v>0</v>
      </c>
      <c r="X967">
        <v>0</v>
      </c>
      <c r="Y967">
        <v>50</v>
      </c>
      <c r="Z967">
        <v>73</v>
      </c>
      <c r="AA967">
        <v>80</v>
      </c>
      <c r="AB967">
        <v>1500</v>
      </c>
      <c r="AC967">
        <v>1028</v>
      </c>
      <c r="AD967">
        <v>1028</v>
      </c>
      <c r="AE967">
        <v>0</v>
      </c>
      <c r="AF967">
        <v>0</v>
      </c>
      <c r="AG967">
        <v>0</v>
      </c>
      <c r="AH967">
        <v>1028</v>
      </c>
      <c r="AI967">
        <v>240</v>
      </c>
      <c r="AJ967">
        <v>0</v>
      </c>
      <c r="AK967">
        <v>0</v>
      </c>
      <c r="AL967">
        <v>0</v>
      </c>
      <c r="AM967">
        <v>236</v>
      </c>
      <c r="AN967">
        <v>0</v>
      </c>
      <c r="AO967">
        <v>0</v>
      </c>
      <c r="AP967">
        <v>5</v>
      </c>
      <c r="AQ967">
        <v>0</v>
      </c>
      <c r="AR967">
        <v>1</v>
      </c>
      <c r="AS967" t="s">
        <v>58</v>
      </c>
      <c r="AT967">
        <v>1</v>
      </c>
      <c r="AU967" t="s">
        <v>63</v>
      </c>
      <c r="AV967" t="s">
        <v>60</v>
      </c>
      <c r="AW967">
        <v>1</v>
      </c>
      <c r="AX967">
        <v>3</v>
      </c>
      <c r="AY967">
        <v>0</v>
      </c>
      <c r="AZ967">
        <v>12200</v>
      </c>
      <c r="BA967">
        <v>100</v>
      </c>
      <c r="BB967">
        <v>100</v>
      </c>
      <c r="BC967">
        <v>100</v>
      </c>
      <c r="BD967">
        <v>100</v>
      </c>
      <c r="BE967">
        <v>1</v>
      </c>
      <c r="BF967">
        <v>15000</v>
      </c>
      <c r="BG967">
        <v>1000</v>
      </c>
      <c r="BH967" s="6">
        <f>Grandview_Inventory[[#This Row],[land_extract]]*Lookups!$B$3</f>
        <v>48369.510983942157</v>
      </c>
      <c r="BI967" s="6">
        <f>IF(Grandview_Inventory[[#This Row],[bldg_style]]="",0,Lookups!$B$2)</f>
        <v>155833.95000000001</v>
      </c>
      <c r="BJ967" s="6">
        <f>_xlfn.IFNA(VLOOKUP(Grandview_Inventory[[#This Row],[quality]],Lookups!$H$2:$J$14,3,FALSE),0)</f>
        <v>2251</v>
      </c>
      <c r="BK967" s="6">
        <f>_xlfn.IFNA(VLOOKUP(Grandview_Inventory[[#This Row],[condition]],Lookups!$H$17:$J$24,3,FALSE),0)</f>
        <v>-45357</v>
      </c>
      <c r="BL967" s="6">
        <f>Grandview_Inventory[[#This Row],[Eff_Age]]*Lookups!$B$14</f>
        <v>-11958.33</v>
      </c>
      <c r="BM967" s="6">
        <f>Grandview_Inventory[[#This Row],[living_area]]*Lookups!$B$15</f>
        <v>64127.516884000004</v>
      </c>
      <c r="BN967" s="6">
        <f>Grandview_Inventory[[#This Row],[Fin BSMT]]*Lookups!$B$16</f>
        <v>0</v>
      </c>
      <c r="BO967" s="6">
        <f>(Grandview_Inventory[[#This Row],[att_gar]]+Grandview_Inventory[[#This Row],[bltin_gar]])*Lookups!$B$17</f>
        <v>21004.904880000002</v>
      </c>
      <c r="BP967" s="6">
        <f>Grandview_Inventory[[#This Row],[Plumbing Fixtures]]*Lookups!$B$18</f>
        <v>10052.209000000001</v>
      </c>
      <c r="BQ967" s="6">
        <f>Grandview_Inventory[[#This Row],[detatched_value]]*Lookups!$B$19</f>
        <v>10331.022219999999</v>
      </c>
      <c r="BR967" s="6">
        <f>SUM(Grandview_Inventory[[#This Row],[Intercept]:[det_value]])*Grandview_Inventory[[#This Row],[res_pct]]</f>
        <v>206285.27298400004</v>
      </c>
      <c r="BS967" s="6">
        <f>Grandview_Inventory[[#This Row],[land_value]]</f>
        <v>48369.510983942157</v>
      </c>
      <c r="BT967" s="4">
        <f>_xlfn.IFNA(VLOOKUP(Grandview_Inventory[[#This Row],[quality]],Lookups!$A$26:$C$33,3,FALSE),1)</f>
        <v>0.98763855981004833</v>
      </c>
      <c r="BU967" s="4">
        <f>_xlfn.IFNA(VLOOKUP(Grandview_Inventory[[#This Row],[condition]],Lookups!$A$37:$C$44,3,FALSE),1)</f>
        <v>0.97161819570155394</v>
      </c>
      <c r="BV967" s="4">
        <f>IF(Grandview_Inventory[[#This Row],[bldg_style]]="",1,_xlfn.IFNA(VLOOKUP(Grandview_Inventory[[#This Row],[decade]],Lookups!$F$29:$H$43,3,FALSE),1))</f>
        <v>0.98763256963907298</v>
      </c>
      <c r="BW967" s="4">
        <f>_xlfn.IFNA(VLOOKUP(Grandview_Inventory[[#This Row],[living_area_range]],Lookups!$F$47:$H$56,3,FALSE),1)</f>
        <v>0.96135087979789358</v>
      </c>
      <c r="BX967" s="4">
        <f>AVERAGE(Grandview_Inventory[[#This Row],[qual_adj]:[size_adj]])</f>
        <v>0.97706005123714224</v>
      </c>
      <c r="BY967" s="6">
        <f>IF(Grandview_Inventory[[#This Row],[pre_res]]&lt;0,0,Grandview_Inventory[[#This Row],[pre_res]]*Grandview_Inventory[[#This Row],[overall_adj]])</f>
        <v>201553.09939121496</v>
      </c>
      <c r="BZ967" s="6">
        <f>(Grandview_Inventory[[#This Row],[sum_land]]-IF(Grandview_Inventory[[#This Row],[no_utilities]]=1,12000,0))/IF(Grandview_Inventory[[#This Row],[unbuildable]]=1,2,1)</f>
        <v>48369.510983942157</v>
      </c>
      <c r="CA96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967">
        <f>ROUND(Grandview_Inventory[[#This Row],[det_value]]*Lookups!$M$28,-2)</f>
        <v>9800</v>
      </c>
      <c r="CC967">
        <f>IF(ROUND(Grandview_Inventory[[#This Row],[adj_res]]*Lookups!$M$28,-2)&lt;Grandview_Inventory[[#This Row],[min_res]],Grandview_Inventory[[#This Row],[min_res]],ROUND(Grandview_Inventory[[#This Row],[adj_res]]*Lookups!$M$28,-2))</f>
        <v>191500</v>
      </c>
      <c r="CD967">
        <f>Grandview_Inventory[[#This Row],[final_det]]+Grandview_Inventory[[#This Row],[final_res]]</f>
        <v>201300</v>
      </c>
      <c r="CE967">
        <f>Grandview_Inventory[[#This Row],[final_land]]+Grandview_Inventory[[#This Row],[final_imp]]+Grandview_Inventory[[#This Row],[crop_value]]</f>
        <v>247300</v>
      </c>
      <c r="CG967" t="str">
        <f t="shared" si="15"/>
        <v>update valuation set market_land =46000, market_bldg=201300, market_total =247300, market_mdno =401, market_date ='9/10/2023' where link_id = (select link_id from parcel where parcel_year = '2024' and parcel_id = '23092241497');</v>
      </c>
    </row>
    <row r="968" spans="1:85" x14ac:dyDescent="0.25">
      <c r="A968">
        <v>23092241498</v>
      </c>
      <c r="B968">
        <v>0.21</v>
      </c>
      <c r="C968">
        <v>9002</v>
      </c>
      <c r="D968" t="s">
        <v>129</v>
      </c>
      <c r="E968" t="s">
        <v>53</v>
      </c>
      <c r="F968" t="s">
        <v>53</v>
      </c>
      <c r="G968">
        <v>4</v>
      </c>
      <c r="H968" t="s">
        <v>54</v>
      </c>
      <c r="I968">
        <v>225700</v>
      </c>
      <c r="J968">
        <v>39300</v>
      </c>
      <c r="K968">
        <v>0.21</v>
      </c>
      <c r="L96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68">
        <v>0</v>
      </c>
      <c r="N968">
        <v>0</v>
      </c>
      <c r="O968">
        <v>0</v>
      </c>
      <c r="P968">
        <v>13398.7528</v>
      </c>
      <c r="Q968">
        <v>63903</v>
      </c>
      <c r="R968">
        <f>(Grandview_Inventory[[#This Row],[ln_acres]]*Grandview_Inventory[[#This Row],[coeff]])+Grandview_Inventory[[#This Row],[const]]</f>
        <v>42992.266613125081</v>
      </c>
      <c r="S968" t="s">
        <v>61</v>
      </c>
      <c r="T968">
        <v>1</v>
      </c>
      <c r="U968" t="s">
        <v>65</v>
      </c>
      <c r="V968" t="s">
        <v>67</v>
      </c>
      <c r="W968">
        <v>0</v>
      </c>
      <c r="X968">
        <v>0</v>
      </c>
      <c r="Y968">
        <v>48</v>
      </c>
      <c r="Z968">
        <v>63</v>
      </c>
      <c r="AA968">
        <v>70</v>
      </c>
      <c r="AB968">
        <v>1500</v>
      </c>
      <c r="AC968">
        <v>1494</v>
      </c>
      <c r="AD968">
        <v>1494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390</v>
      </c>
      <c r="AL968">
        <v>0</v>
      </c>
      <c r="AM968">
        <v>126</v>
      </c>
      <c r="AN968">
        <v>120</v>
      </c>
      <c r="AO968">
        <v>126</v>
      </c>
      <c r="AP968">
        <v>7</v>
      </c>
      <c r="AQ968">
        <v>1</v>
      </c>
      <c r="AR968">
        <v>0</v>
      </c>
      <c r="AS968" t="s">
        <v>58</v>
      </c>
      <c r="AT968">
        <v>1</v>
      </c>
      <c r="AU968" t="s">
        <v>63</v>
      </c>
      <c r="AV968" t="s">
        <v>60</v>
      </c>
      <c r="AW968">
        <v>1</v>
      </c>
      <c r="AX968">
        <v>3</v>
      </c>
      <c r="AY968">
        <v>0</v>
      </c>
      <c r="AZ968">
        <v>0</v>
      </c>
      <c r="BA968">
        <v>100</v>
      </c>
      <c r="BB968">
        <v>100</v>
      </c>
      <c r="BC968">
        <v>100</v>
      </c>
      <c r="BD968">
        <v>100</v>
      </c>
      <c r="BE968">
        <v>1</v>
      </c>
      <c r="BF968">
        <v>15000</v>
      </c>
      <c r="BG968">
        <v>1000</v>
      </c>
      <c r="BH968" s="6">
        <f>Grandview_Inventory[[#This Row],[land_extract]]*Lookups!$B$3</f>
        <v>49926.8031387023</v>
      </c>
      <c r="BI968" s="6">
        <f>IF(Grandview_Inventory[[#This Row],[bldg_style]]="",0,Lookups!$B$2)</f>
        <v>155833.95000000001</v>
      </c>
      <c r="BJ968" s="6">
        <f>_xlfn.IFNA(VLOOKUP(Grandview_Inventory[[#This Row],[quality]],Lookups!$H$2:$J$14,3,FALSE),0)</f>
        <v>2251</v>
      </c>
      <c r="BK968" s="6">
        <f>_xlfn.IFNA(VLOOKUP(Grandview_Inventory[[#This Row],[condition]],Lookups!$H$17:$J$24,3,FALSE),0)</f>
        <v>22342</v>
      </c>
      <c r="BL968" s="6">
        <f>Grandview_Inventory[[#This Row],[Eff_Age]]*Lookups!$B$14</f>
        <v>-11479.996799999999</v>
      </c>
      <c r="BM968" s="6">
        <f>Grandview_Inventory[[#This Row],[living_area]]*Lookups!$B$15</f>
        <v>93196.994382000004</v>
      </c>
      <c r="BN968" s="6">
        <f>Grandview_Inventory[[#This Row],[Fin BSMT]]*Lookups!$B$16</f>
        <v>0</v>
      </c>
      <c r="BO968" s="6">
        <f>(Grandview_Inventory[[#This Row],[att_gar]]+Grandview_Inventory[[#This Row],[bltin_gar]])*Lookups!$B$17</f>
        <v>0</v>
      </c>
      <c r="BP968" s="6">
        <f>Grandview_Inventory[[#This Row],[Plumbing Fixtures]]*Lookups!$B$18</f>
        <v>14073.0926</v>
      </c>
      <c r="BQ968" s="6">
        <f>Grandview_Inventory[[#This Row],[detatched_value]]*Lookups!$B$19</f>
        <v>0</v>
      </c>
      <c r="BR968" s="6">
        <f>SUM(Grandview_Inventory[[#This Row],[Intercept]:[det_value]])*Grandview_Inventory[[#This Row],[res_pct]]</f>
        <v>276217.04018200003</v>
      </c>
      <c r="BS968" s="6">
        <f>Grandview_Inventory[[#This Row],[land_value]]</f>
        <v>49926.8031387023</v>
      </c>
      <c r="BT968" s="4">
        <f>_xlfn.IFNA(VLOOKUP(Grandview_Inventory[[#This Row],[quality]],Lookups!$A$26:$C$33,3,FALSE),1)</f>
        <v>0.98763855981004833</v>
      </c>
      <c r="BU968" s="4">
        <f>_xlfn.IFNA(VLOOKUP(Grandview_Inventory[[#This Row],[condition]],Lookups!$A$37:$C$44,3,FALSE),1)</f>
        <v>0.97383723671140243</v>
      </c>
      <c r="BV968" s="4">
        <f>IF(Grandview_Inventory[[#This Row],[bldg_style]]="",1,_xlfn.IFNA(VLOOKUP(Grandview_Inventory[[#This Row],[decade]],Lookups!$F$29:$H$43,3,FALSE),1))</f>
        <v>0.99472141305414818</v>
      </c>
      <c r="BW968" s="4">
        <f>_xlfn.IFNA(VLOOKUP(Grandview_Inventory[[#This Row],[living_area_range]],Lookups!$F$47:$H$56,3,FALSE),1)</f>
        <v>0.96135087979789358</v>
      </c>
      <c r="BX968" s="4">
        <f>AVERAGE(Grandview_Inventory[[#This Row],[qual_adj]:[size_adj]])</f>
        <v>0.97938702234337316</v>
      </c>
      <c r="BY968" s="6">
        <f>IF(Grandview_Inventory[[#This Row],[pre_res]]&lt;0,0,Grandview_Inventory[[#This Row],[pre_res]]*Grandview_Inventory[[#This Row],[overall_adj]])</f>
        <v>270523.38450434885</v>
      </c>
      <c r="BZ968" s="6">
        <f>(Grandview_Inventory[[#This Row],[sum_land]]-IF(Grandview_Inventory[[#This Row],[no_utilities]]=1,12000,0))/IF(Grandview_Inventory[[#This Row],[unbuildable]]=1,2,1)</f>
        <v>49926.8031387023</v>
      </c>
      <c r="CA96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68">
        <f>ROUND(Grandview_Inventory[[#This Row],[det_value]]*Lookups!$M$28,-2)</f>
        <v>0</v>
      </c>
      <c r="CC968">
        <f>IF(ROUND(Grandview_Inventory[[#This Row],[adj_res]]*Lookups!$M$28,-2)&lt;Grandview_Inventory[[#This Row],[min_res]],Grandview_Inventory[[#This Row],[min_res]],ROUND(Grandview_Inventory[[#This Row],[adj_res]]*Lookups!$M$28,-2))</f>
        <v>257000</v>
      </c>
      <c r="CD968">
        <f>Grandview_Inventory[[#This Row],[final_det]]+Grandview_Inventory[[#This Row],[final_res]]</f>
        <v>257000</v>
      </c>
      <c r="CE968">
        <f>Grandview_Inventory[[#This Row],[final_land]]+Grandview_Inventory[[#This Row],[final_imp]]+Grandview_Inventory[[#This Row],[crop_value]]</f>
        <v>304400</v>
      </c>
      <c r="CG968" t="str">
        <f t="shared" si="15"/>
        <v>update valuation set market_land =47400, market_bldg=257000, market_total =304400, market_mdno =401, market_date ='9/10/2023' where link_id = (select link_id from parcel where parcel_year = '2024' and parcel_id = '23092241498');</v>
      </c>
    </row>
    <row r="969" spans="1:85" x14ac:dyDescent="0.25">
      <c r="A969">
        <v>23092241499</v>
      </c>
      <c r="B969">
        <v>0.21</v>
      </c>
      <c r="C969">
        <v>9002</v>
      </c>
      <c r="D969" t="s">
        <v>129</v>
      </c>
      <c r="E969" t="s">
        <v>53</v>
      </c>
      <c r="F969" t="s">
        <v>53</v>
      </c>
      <c r="G969">
        <v>4</v>
      </c>
      <c r="H969" t="s">
        <v>54</v>
      </c>
      <c r="I969">
        <v>140100</v>
      </c>
      <c r="J969">
        <v>39300</v>
      </c>
      <c r="K969">
        <v>0.21</v>
      </c>
      <c r="L96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69">
        <v>0</v>
      </c>
      <c r="N969">
        <v>0</v>
      </c>
      <c r="O969">
        <v>0</v>
      </c>
      <c r="P969">
        <v>13398.7528</v>
      </c>
      <c r="Q969">
        <v>63903</v>
      </c>
      <c r="R969">
        <f>(Grandview_Inventory[[#This Row],[ln_acres]]*Grandview_Inventory[[#This Row],[coeff]])+Grandview_Inventory[[#This Row],[const]]</f>
        <v>42992.266613125081</v>
      </c>
      <c r="S969" t="s">
        <v>61</v>
      </c>
      <c r="T969">
        <v>1</v>
      </c>
      <c r="U969" t="s">
        <v>65</v>
      </c>
      <c r="V969" t="s">
        <v>69</v>
      </c>
      <c r="W969">
        <v>0</v>
      </c>
      <c r="X969">
        <v>0</v>
      </c>
      <c r="Y969">
        <v>49</v>
      </c>
      <c r="Z969">
        <v>68</v>
      </c>
      <c r="AA969">
        <v>70</v>
      </c>
      <c r="AB969">
        <v>1500</v>
      </c>
      <c r="AC969">
        <v>1200</v>
      </c>
      <c r="AD969">
        <v>1200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330</v>
      </c>
      <c r="AN969">
        <v>0</v>
      </c>
      <c r="AO969">
        <v>330</v>
      </c>
      <c r="AP969">
        <v>5</v>
      </c>
      <c r="AQ969">
        <v>0</v>
      </c>
      <c r="AR969">
        <v>1</v>
      </c>
      <c r="AS969" t="s">
        <v>58</v>
      </c>
      <c r="AT969">
        <v>1</v>
      </c>
      <c r="AU969" t="s">
        <v>63</v>
      </c>
      <c r="AV969" t="s">
        <v>60</v>
      </c>
      <c r="AW969">
        <v>0</v>
      </c>
      <c r="AX969">
        <v>3</v>
      </c>
      <c r="AY969">
        <v>0</v>
      </c>
      <c r="AZ969">
        <v>0</v>
      </c>
      <c r="BA969">
        <v>100</v>
      </c>
      <c r="BB969">
        <v>100</v>
      </c>
      <c r="BC969">
        <v>100</v>
      </c>
      <c r="BD969">
        <v>100</v>
      </c>
      <c r="BE969">
        <v>1</v>
      </c>
      <c r="BF969">
        <v>15000</v>
      </c>
      <c r="BG969">
        <v>1000</v>
      </c>
      <c r="BH969" s="6">
        <f>Grandview_Inventory[[#This Row],[land_extract]]*Lookups!$B$3</f>
        <v>49926.8031387023</v>
      </c>
      <c r="BI969" s="6">
        <f>IF(Grandview_Inventory[[#This Row],[bldg_style]]="",0,Lookups!$B$2)</f>
        <v>155833.95000000001</v>
      </c>
      <c r="BJ969" s="6">
        <f>_xlfn.IFNA(VLOOKUP(Grandview_Inventory[[#This Row],[quality]],Lookups!$H$2:$J$14,3,FALSE),0)</f>
        <v>2251</v>
      </c>
      <c r="BK969" s="6">
        <f>_xlfn.IFNA(VLOOKUP(Grandview_Inventory[[#This Row],[condition]],Lookups!$H$17:$J$24,3,FALSE),0)</f>
        <v>-4503</v>
      </c>
      <c r="BL969" s="6">
        <f>Grandview_Inventory[[#This Row],[Eff_Age]]*Lookups!$B$14</f>
        <v>-11719.163399999999</v>
      </c>
      <c r="BM969" s="6">
        <f>Grandview_Inventory[[#This Row],[living_area]]*Lookups!$B$15</f>
        <v>74857.0236</v>
      </c>
      <c r="BN969" s="6">
        <f>Grandview_Inventory[[#This Row],[Fin BSMT]]*Lookups!$B$16</f>
        <v>0</v>
      </c>
      <c r="BO969" s="6">
        <f>(Grandview_Inventory[[#This Row],[att_gar]]+Grandview_Inventory[[#This Row],[bltin_gar]])*Lookups!$B$17</f>
        <v>0</v>
      </c>
      <c r="BP969" s="6">
        <f>Grandview_Inventory[[#This Row],[Plumbing Fixtures]]*Lookups!$B$18</f>
        <v>10052.209000000001</v>
      </c>
      <c r="BQ969" s="6">
        <f>Grandview_Inventory[[#This Row],[detatched_value]]*Lookups!$B$19</f>
        <v>0</v>
      </c>
      <c r="BR969" s="6">
        <f>SUM(Grandview_Inventory[[#This Row],[Intercept]:[det_value]])*Grandview_Inventory[[#This Row],[res_pct]]</f>
        <v>226772.01920000001</v>
      </c>
      <c r="BS969" s="6">
        <f>Grandview_Inventory[[#This Row],[land_value]]</f>
        <v>49926.8031387023</v>
      </c>
      <c r="BT969" s="4">
        <f>_xlfn.IFNA(VLOOKUP(Grandview_Inventory[[#This Row],[quality]],Lookups!$A$26:$C$33,3,FALSE),1)</f>
        <v>0.98763855981004833</v>
      </c>
      <c r="BU969" s="4">
        <f>_xlfn.IFNA(VLOOKUP(Grandview_Inventory[[#This Row],[condition]],Lookups!$A$37:$C$44,3,FALSE),1)</f>
        <v>0.96469275950863709</v>
      </c>
      <c r="BV969" s="4">
        <f>IF(Grandview_Inventory[[#This Row],[bldg_style]]="",1,_xlfn.IFNA(VLOOKUP(Grandview_Inventory[[#This Row],[decade]],Lookups!$F$29:$H$43,3,FALSE),1))</f>
        <v>0.99472141305414818</v>
      </c>
      <c r="BW969" s="4">
        <f>_xlfn.IFNA(VLOOKUP(Grandview_Inventory[[#This Row],[living_area_range]],Lookups!$F$47:$H$56,3,FALSE),1)</f>
        <v>0.96135087979789358</v>
      </c>
      <c r="BX969" s="4">
        <f>AVERAGE(Grandview_Inventory[[#This Row],[qual_adj]:[size_adj]])</f>
        <v>0.97710090304268182</v>
      </c>
      <c r="BY969" s="6">
        <f>IF(Grandview_Inventory[[#This Row],[pre_res]]&lt;0,0,Grandview_Inventory[[#This Row],[pre_res]]*Grandview_Inventory[[#This Row],[overall_adj]])</f>
        <v>221579.14474513239</v>
      </c>
      <c r="BZ969" s="6">
        <f>(Grandview_Inventory[[#This Row],[sum_land]]-IF(Grandview_Inventory[[#This Row],[no_utilities]]=1,12000,0))/IF(Grandview_Inventory[[#This Row],[unbuildable]]=1,2,1)</f>
        <v>49926.8031387023</v>
      </c>
      <c r="CA96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69">
        <f>ROUND(Grandview_Inventory[[#This Row],[det_value]]*Lookups!$M$28,-2)</f>
        <v>0</v>
      </c>
      <c r="CC969">
        <f>IF(ROUND(Grandview_Inventory[[#This Row],[adj_res]]*Lookups!$M$28,-2)&lt;Grandview_Inventory[[#This Row],[min_res]],Grandview_Inventory[[#This Row],[min_res]],ROUND(Grandview_Inventory[[#This Row],[adj_res]]*Lookups!$M$28,-2))</f>
        <v>210500</v>
      </c>
      <c r="CD969">
        <f>Grandview_Inventory[[#This Row],[final_det]]+Grandview_Inventory[[#This Row],[final_res]]</f>
        <v>210500</v>
      </c>
      <c r="CE969">
        <f>Grandview_Inventory[[#This Row],[final_land]]+Grandview_Inventory[[#This Row],[final_imp]]+Grandview_Inventory[[#This Row],[crop_value]]</f>
        <v>257900</v>
      </c>
      <c r="CG969" t="str">
        <f t="shared" si="15"/>
        <v>update valuation set market_land =47400, market_bldg=210500, market_total =257900, market_mdno =401, market_date ='9/10/2023' where link_id = (select link_id from parcel where parcel_year = '2024' and parcel_id = '23092241499');</v>
      </c>
    </row>
    <row r="970" spans="1:85" x14ac:dyDescent="0.25">
      <c r="A970">
        <v>23092241500</v>
      </c>
      <c r="B970">
        <v>0.21</v>
      </c>
      <c r="C970">
        <v>9002</v>
      </c>
      <c r="D970" t="s">
        <v>129</v>
      </c>
      <c r="E970" t="s">
        <v>53</v>
      </c>
      <c r="F970" t="s">
        <v>53</v>
      </c>
      <c r="G970">
        <v>4</v>
      </c>
      <c r="H970" t="s">
        <v>54</v>
      </c>
      <c r="I970">
        <v>178000</v>
      </c>
      <c r="J970">
        <v>43500</v>
      </c>
      <c r="K970">
        <v>0.21</v>
      </c>
      <c r="L97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0">
        <v>0</v>
      </c>
      <c r="N970">
        <v>0</v>
      </c>
      <c r="O970">
        <v>0</v>
      </c>
      <c r="P970">
        <v>13398.7528</v>
      </c>
      <c r="Q970">
        <v>63903</v>
      </c>
      <c r="R970">
        <f>(Grandview_Inventory[[#This Row],[ln_acres]]*Grandview_Inventory[[#This Row],[coeff]])+Grandview_Inventory[[#This Row],[const]]</f>
        <v>42992.266613125081</v>
      </c>
      <c r="S970" t="s">
        <v>61</v>
      </c>
      <c r="T970">
        <v>1</v>
      </c>
      <c r="U970" t="s">
        <v>70</v>
      </c>
      <c r="V970" t="s">
        <v>66</v>
      </c>
      <c r="W970">
        <v>0</v>
      </c>
      <c r="X970">
        <v>0</v>
      </c>
      <c r="Y970">
        <v>49</v>
      </c>
      <c r="Z970">
        <v>68</v>
      </c>
      <c r="AA970">
        <v>70</v>
      </c>
      <c r="AB970">
        <v>1500</v>
      </c>
      <c r="AC970">
        <v>1200</v>
      </c>
      <c r="AD970">
        <v>1200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57</v>
      </c>
      <c r="AN970">
        <v>0</v>
      </c>
      <c r="AO970">
        <v>0</v>
      </c>
      <c r="AP970">
        <v>5</v>
      </c>
      <c r="AQ970">
        <v>0</v>
      </c>
      <c r="AR970">
        <v>0</v>
      </c>
      <c r="AS970" t="s">
        <v>58</v>
      </c>
      <c r="AT970">
        <v>1</v>
      </c>
      <c r="AU970" t="s">
        <v>63</v>
      </c>
      <c r="AV970" t="s">
        <v>60</v>
      </c>
      <c r="AW970">
        <v>0</v>
      </c>
      <c r="AX970">
        <v>3</v>
      </c>
      <c r="AY970">
        <v>0</v>
      </c>
      <c r="AZ970">
        <v>0</v>
      </c>
      <c r="BA970">
        <v>100</v>
      </c>
      <c r="BB970">
        <v>100</v>
      </c>
      <c r="BC970">
        <v>100</v>
      </c>
      <c r="BD970">
        <v>100</v>
      </c>
      <c r="BE970">
        <v>1</v>
      </c>
      <c r="BF970">
        <v>15000</v>
      </c>
      <c r="BG970">
        <v>1000</v>
      </c>
      <c r="BH970" s="6">
        <f>Grandview_Inventory[[#This Row],[land_extract]]*Lookups!$B$3</f>
        <v>49926.8031387023</v>
      </c>
      <c r="BI970" s="6">
        <f>IF(Grandview_Inventory[[#This Row],[bldg_style]]="",0,Lookups!$B$2)</f>
        <v>155833.95000000001</v>
      </c>
      <c r="BJ970" s="6">
        <f>_xlfn.IFNA(VLOOKUP(Grandview_Inventory[[#This Row],[quality]],Lookups!$H$2:$J$14,3,FALSE),0)</f>
        <v>10733</v>
      </c>
      <c r="BK970" s="6">
        <f>_xlfn.IFNA(VLOOKUP(Grandview_Inventory[[#This Row],[condition]],Lookups!$H$17:$J$24,3,FALSE),0)</f>
        <v>25818</v>
      </c>
      <c r="BL970" s="6">
        <f>Grandview_Inventory[[#This Row],[Eff_Age]]*Lookups!$B$14</f>
        <v>-11719.163399999999</v>
      </c>
      <c r="BM970" s="6">
        <f>Grandview_Inventory[[#This Row],[living_area]]*Lookups!$B$15</f>
        <v>74857.0236</v>
      </c>
      <c r="BN970" s="6">
        <f>Grandview_Inventory[[#This Row],[Fin BSMT]]*Lookups!$B$16</f>
        <v>0</v>
      </c>
      <c r="BO970" s="6">
        <f>(Grandview_Inventory[[#This Row],[att_gar]]+Grandview_Inventory[[#This Row],[bltin_gar]])*Lookups!$B$17</f>
        <v>0</v>
      </c>
      <c r="BP970" s="6">
        <f>Grandview_Inventory[[#This Row],[Plumbing Fixtures]]*Lookups!$B$18</f>
        <v>10052.209000000001</v>
      </c>
      <c r="BQ970" s="6">
        <f>Grandview_Inventory[[#This Row],[detatched_value]]*Lookups!$B$19</f>
        <v>0</v>
      </c>
      <c r="BR970" s="6">
        <f>SUM(Grandview_Inventory[[#This Row],[Intercept]:[det_value]])*Grandview_Inventory[[#This Row],[res_pct]]</f>
        <v>265575.01919999998</v>
      </c>
      <c r="BS970" s="6">
        <f>Grandview_Inventory[[#This Row],[land_value]]</f>
        <v>49926.8031387023</v>
      </c>
      <c r="BT970" s="4">
        <f>_xlfn.IFNA(VLOOKUP(Grandview_Inventory[[#This Row],[quality]],Lookups!$A$26:$C$33,3,FALSE),1)</f>
        <v>0.98079741117310582</v>
      </c>
      <c r="BU970" s="4">
        <f>_xlfn.IFNA(VLOOKUP(Grandview_Inventory[[#This Row],[condition]],Lookups!$A$37:$C$44,3,FALSE),1)</f>
        <v>0.96661476234146892</v>
      </c>
      <c r="BV970" s="4">
        <f>IF(Grandview_Inventory[[#This Row],[bldg_style]]="",1,_xlfn.IFNA(VLOOKUP(Grandview_Inventory[[#This Row],[decade]],Lookups!$F$29:$H$43,3,FALSE),1))</f>
        <v>0.99472141305414818</v>
      </c>
      <c r="BW970" s="4">
        <f>_xlfn.IFNA(VLOOKUP(Grandview_Inventory[[#This Row],[living_area_range]],Lookups!$F$47:$H$56,3,FALSE),1)</f>
        <v>0.96135087979789358</v>
      </c>
      <c r="BX970" s="4">
        <f>AVERAGE(Grandview_Inventory[[#This Row],[qual_adj]:[size_adj]])</f>
        <v>0.97587111659165404</v>
      </c>
      <c r="BY970" s="6">
        <f>IF(Grandview_Inventory[[#This Row],[pre_res]]&lt;0,0,Grandview_Inventory[[#This Row],[pre_res]]*Grandview_Inventory[[#This Row],[overall_adj]])</f>
        <v>259166.99052555393</v>
      </c>
      <c r="BZ970" s="6">
        <f>(Grandview_Inventory[[#This Row],[sum_land]]-IF(Grandview_Inventory[[#This Row],[no_utilities]]=1,12000,0))/IF(Grandview_Inventory[[#This Row],[unbuildable]]=1,2,1)</f>
        <v>49926.8031387023</v>
      </c>
      <c r="CA97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0">
        <f>ROUND(Grandview_Inventory[[#This Row],[det_value]]*Lookups!$M$28,-2)</f>
        <v>0</v>
      </c>
      <c r="CC970">
        <f>IF(ROUND(Grandview_Inventory[[#This Row],[adj_res]]*Lookups!$M$28,-2)&lt;Grandview_Inventory[[#This Row],[min_res]],Grandview_Inventory[[#This Row],[min_res]],ROUND(Grandview_Inventory[[#This Row],[adj_res]]*Lookups!$M$28,-2))</f>
        <v>246200</v>
      </c>
      <c r="CD970">
        <f>Grandview_Inventory[[#This Row],[final_det]]+Grandview_Inventory[[#This Row],[final_res]]</f>
        <v>246200</v>
      </c>
      <c r="CE970">
        <f>Grandview_Inventory[[#This Row],[final_land]]+Grandview_Inventory[[#This Row],[final_imp]]+Grandview_Inventory[[#This Row],[crop_value]]</f>
        <v>293600</v>
      </c>
      <c r="CG970" t="str">
        <f t="shared" si="15"/>
        <v>update valuation set market_land =47400, market_bldg=246200, market_total =293600, market_mdno =401, market_date ='9/10/2023' where link_id = (select link_id from parcel where parcel_year = '2024' and parcel_id = '23092241500');</v>
      </c>
    </row>
    <row r="971" spans="1:85" x14ac:dyDescent="0.25">
      <c r="A971">
        <v>23092241501</v>
      </c>
      <c r="B971">
        <v>0.26</v>
      </c>
      <c r="C971">
        <v>11326</v>
      </c>
      <c r="D971" t="s">
        <v>129</v>
      </c>
      <c r="E971" t="s">
        <v>53</v>
      </c>
      <c r="F971" t="s">
        <v>53</v>
      </c>
      <c r="G971">
        <v>4</v>
      </c>
      <c r="H971" t="s">
        <v>54</v>
      </c>
      <c r="I971">
        <v>171000</v>
      </c>
      <c r="J971">
        <v>44500</v>
      </c>
      <c r="K971">
        <v>0.26</v>
      </c>
      <c r="L971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971">
        <v>0</v>
      </c>
      <c r="N971">
        <v>0</v>
      </c>
      <c r="O971">
        <v>0</v>
      </c>
      <c r="P971">
        <v>13398.7528</v>
      </c>
      <c r="Q971">
        <v>63903</v>
      </c>
      <c r="R971">
        <f>(Grandview_Inventory[[#This Row],[ln_acres]]*Grandview_Inventory[[#This Row],[coeff]])+Grandview_Inventory[[#This Row],[const]]</f>
        <v>45853.893187501177</v>
      </c>
      <c r="S971" t="s">
        <v>68</v>
      </c>
      <c r="T971">
        <v>1</v>
      </c>
      <c r="U971" t="s">
        <v>65</v>
      </c>
      <c r="V971" t="s">
        <v>69</v>
      </c>
      <c r="W971">
        <v>0</v>
      </c>
      <c r="X971">
        <v>0</v>
      </c>
      <c r="Y971">
        <v>50</v>
      </c>
      <c r="Z971">
        <v>70</v>
      </c>
      <c r="AA971">
        <v>70</v>
      </c>
      <c r="AB971">
        <v>2000</v>
      </c>
      <c r="AC971">
        <v>1922</v>
      </c>
      <c r="AD971">
        <v>1922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180</v>
      </c>
      <c r="AL971">
        <v>0</v>
      </c>
      <c r="AM971">
        <v>168</v>
      </c>
      <c r="AN971">
        <v>0</v>
      </c>
      <c r="AO971">
        <v>0</v>
      </c>
      <c r="AP971">
        <v>7</v>
      </c>
      <c r="AQ971">
        <v>0</v>
      </c>
      <c r="AR971">
        <v>0</v>
      </c>
      <c r="AS971" t="s">
        <v>58</v>
      </c>
      <c r="AT971">
        <v>1</v>
      </c>
      <c r="AU971" t="s">
        <v>63</v>
      </c>
      <c r="AV971" t="s">
        <v>64</v>
      </c>
      <c r="AW971">
        <v>1</v>
      </c>
      <c r="AX971">
        <v>3</v>
      </c>
      <c r="AY971">
        <v>0</v>
      </c>
      <c r="AZ971">
        <v>0</v>
      </c>
      <c r="BA971">
        <v>100</v>
      </c>
      <c r="BB971">
        <v>100</v>
      </c>
      <c r="BC971">
        <v>100</v>
      </c>
      <c r="BD971">
        <v>100</v>
      </c>
      <c r="BE971">
        <v>1</v>
      </c>
      <c r="BF971">
        <v>15000</v>
      </c>
      <c r="BG971">
        <v>1000</v>
      </c>
      <c r="BH971" s="6">
        <f>Grandview_Inventory[[#This Row],[land_extract]]*Lookups!$B$3</f>
        <v>53250.00235313351</v>
      </c>
      <c r="BI971" s="6">
        <f>IF(Grandview_Inventory[[#This Row],[bldg_style]]="",0,Lookups!$B$2)</f>
        <v>155833.95000000001</v>
      </c>
      <c r="BJ971" s="6">
        <f>_xlfn.IFNA(VLOOKUP(Grandview_Inventory[[#This Row],[quality]],Lookups!$H$2:$J$14,3,FALSE),0)</f>
        <v>2251</v>
      </c>
      <c r="BK971" s="6">
        <f>_xlfn.IFNA(VLOOKUP(Grandview_Inventory[[#This Row],[condition]],Lookups!$H$17:$J$24,3,FALSE),0)</f>
        <v>-4503</v>
      </c>
      <c r="BL971" s="6">
        <f>Grandview_Inventory[[#This Row],[Eff_Age]]*Lookups!$B$14</f>
        <v>-11958.33</v>
      </c>
      <c r="BM971" s="6">
        <f>Grandview_Inventory[[#This Row],[living_area]]*Lookups!$B$15</f>
        <v>119895.99946600001</v>
      </c>
      <c r="BN971" s="6">
        <f>Grandview_Inventory[[#This Row],[Fin BSMT]]*Lookups!$B$16</f>
        <v>0</v>
      </c>
      <c r="BO971" s="6">
        <f>(Grandview_Inventory[[#This Row],[att_gar]]+Grandview_Inventory[[#This Row],[bltin_gar]])*Lookups!$B$17</f>
        <v>0</v>
      </c>
      <c r="BP971" s="6">
        <f>Grandview_Inventory[[#This Row],[Plumbing Fixtures]]*Lookups!$B$18</f>
        <v>14073.0926</v>
      </c>
      <c r="BQ971" s="6">
        <f>Grandview_Inventory[[#This Row],[detatched_value]]*Lookups!$B$19</f>
        <v>0</v>
      </c>
      <c r="BR971" s="6">
        <f>SUM(Grandview_Inventory[[#This Row],[Intercept]:[det_value]])*Grandview_Inventory[[#This Row],[res_pct]]</f>
        <v>275592.71206600004</v>
      </c>
      <c r="BS971" s="6">
        <f>Grandview_Inventory[[#This Row],[land_value]]</f>
        <v>53250.00235313351</v>
      </c>
      <c r="BT971" s="4">
        <f>_xlfn.IFNA(VLOOKUP(Grandview_Inventory[[#This Row],[quality]],Lookups!$A$26:$C$33,3,FALSE),1)</f>
        <v>0.98763855981004833</v>
      </c>
      <c r="BU971" s="4">
        <f>_xlfn.IFNA(VLOOKUP(Grandview_Inventory[[#This Row],[condition]],Lookups!$A$37:$C$44,3,FALSE),1)</f>
        <v>0.96469275950863709</v>
      </c>
      <c r="BV971" s="4">
        <f>IF(Grandview_Inventory[[#This Row],[bldg_style]]="",1,_xlfn.IFNA(VLOOKUP(Grandview_Inventory[[#This Row],[decade]],Lookups!$F$29:$H$43,3,FALSE),1))</f>
        <v>0.99472141305414818</v>
      </c>
      <c r="BW971" s="4">
        <f>_xlfn.IFNA(VLOOKUP(Grandview_Inventory[[#This Row],[living_area_range]],Lookups!$F$47:$H$56,3,FALSE),1)</f>
        <v>0.96120133463014379</v>
      </c>
      <c r="BX971" s="4">
        <f>AVERAGE(Grandview_Inventory[[#This Row],[qual_adj]:[size_adj]])</f>
        <v>0.97706351675074443</v>
      </c>
      <c r="BY971" s="6">
        <f>IF(Grandview_Inventory[[#This Row],[pre_res]]&lt;0,0,Grandview_Inventory[[#This Row],[pre_res]]*Grandview_Inventory[[#This Row],[overall_adj]])</f>
        <v>269271.58444208134</v>
      </c>
      <c r="BZ971" s="6">
        <f>(Grandview_Inventory[[#This Row],[sum_land]]-IF(Grandview_Inventory[[#This Row],[no_utilities]]=1,12000,0))/IF(Grandview_Inventory[[#This Row],[unbuildable]]=1,2,1)</f>
        <v>53250.00235313351</v>
      </c>
      <c r="CA971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971">
        <f>ROUND(Grandview_Inventory[[#This Row],[det_value]]*Lookups!$M$28,-2)</f>
        <v>0</v>
      </c>
      <c r="CC971">
        <f>IF(ROUND(Grandview_Inventory[[#This Row],[adj_res]]*Lookups!$M$28,-2)&lt;Grandview_Inventory[[#This Row],[min_res]],Grandview_Inventory[[#This Row],[min_res]],ROUND(Grandview_Inventory[[#This Row],[adj_res]]*Lookups!$M$28,-2))</f>
        <v>255800</v>
      </c>
      <c r="CD971">
        <f>Grandview_Inventory[[#This Row],[final_det]]+Grandview_Inventory[[#This Row],[final_res]]</f>
        <v>255800</v>
      </c>
      <c r="CE971">
        <f>Grandview_Inventory[[#This Row],[final_land]]+Grandview_Inventory[[#This Row],[final_imp]]+Grandview_Inventory[[#This Row],[crop_value]]</f>
        <v>306400</v>
      </c>
      <c r="CG971" t="str">
        <f t="shared" si="15"/>
        <v>update valuation set market_land =50600, market_bldg=255800, market_total =306400, market_mdno =401, market_date ='9/10/2023' where link_id = (select link_id from parcel where parcel_year = '2024' and parcel_id = '23092241501');</v>
      </c>
    </row>
    <row r="972" spans="1:85" x14ac:dyDescent="0.25">
      <c r="A972">
        <v>23092241503</v>
      </c>
      <c r="B972">
        <v>0.22</v>
      </c>
      <c r="C972">
        <v>9498</v>
      </c>
      <c r="D972" t="s">
        <v>129</v>
      </c>
      <c r="E972" t="s">
        <v>53</v>
      </c>
      <c r="F972" t="s">
        <v>53</v>
      </c>
      <c r="G972">
        <v>4</v>
      </c>
      <c r="H972" t="s">
        <v>54</v>
      </c>
      <c r="I972">
        <v>221700</v>
      </c>
      <c r="J972">
        <v>39500</v>
      </c>
      <c r="K972">
        <v>0.22</v>
      </c>
      <c r="L97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972">
        <v>0</v>
      </c>
      <c r="N972">
        <v>0</v>
      </c>
      <c r="O972">
        <v>0</v>
      </c>
      <c r="P972">
        <v>13398.7528</v>
      </c>
      <c r="Q972">
        <v>63903</v>
      </c>
      <c r="R972">
        <f>(Grandview_Inventory[[#This Row],[ln_acres]]*Grandview_Inventory[[#This Row],[coeff]])+Grandview_Inventory[[#This Row],[const]]</f>
        <v>43615.576802869145</v>
      </c>
      <c r="S972" t="s">
        <v>58</v>
      </c>
      <c r="T972">
        <v>1</v>
      </c>
      <c r="U972" t="s">
        <v>62</v>
      </c>
      <c r="V972" t="s">
        <v>67</v>
      </c>
      <c r="W972">
        <v>0</v>
      </c>
      <c r="X972">
        <v>0</v>
      </c>
      <c r="Y972">
        <v>49</v>
      </c>
      <c r="Z972">
        <v>68</v>
      </c>
      <c r="AA972">
        <v>70</v>
      </c>
      <c r="AB972">
        <v>1500</v>
      </c>
      <c r="AC972">
        <v>1485</v>
      </c>
      <c r="AD972">
        <v>1485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169</v>
      </c>
      <c r="AN972">
        <v>42</v>
      </c>
      <c r="AO972">
        <v>169</v>
      </c>
      <c r="AP972">
        <v>9</v>
      </c>
      <c r="AQ972">
        <v>0</v>
      </c>
      <c r="AR972">
        <v>0</v>
      </c>
      <c r="AS972" t="s">
        <v>58</v>
      </c>
      <c r="AT972">
        <v>1</v>
      </c>
      <c r="AU972" t="s">
        <v>63</v>
      </c>
      <c r="AV972" t="s">
        <v>60</v>
      </c>
      <c r="AW972">
        <v>1</v>
      </c>
      <c r="AX972">
        <v>2</v>
      </c>
      <c r="AY972">
        <v>0</v>
      </c>
      <c r="AZ972">
        <v>12400</v>
      </c>
      <c r="BA972">
        <v>100</v>
      </c>
      <c r="BB972">
        <v>100</v>
      </c>
      <c r="BC972">
        <v>100</v>
      </c>
      <c r="BD972">
        <v>100</v>
      </c>
      <c r="BE972">
        <v>1</v>
      </c>
      <c r="BF972">
        <v>15000</v>
      </c>
      <c r="BG972">
        <v>1000</v>
      </c>
      <c r="BH972" s="6">
        <f>Grandview_Inventory[[#This Row],[land_extract]]*Lookups!$B$3</f>
        <v>50650.651579114572</v>
      </c>
      <c r="BI972" s="6">
        <f>IF(Grandview_Inventory[[#This Row],[bldg_style]]="",0,Lookups!$B$2)</f>
        <v>155833.95000000001</v>
      </c>
      <c r="BJ972" s="6">
        <f>_xlfn.IFNA(VLOOKUP(Grandview_Inventory[[#This Row],[quality]],Lookups!$H$2:$J$14,3,FALSE),0)</f>
        <v>9808</v>
      </c>
      <c r="BK972" s="6">
        <f>_xlfn.IFNA(VLOOKUP(Grandview_Inventory[[#This Row],[condition]],Lookups!$H$17:$J$24,3,FALSE),0)</f>
        <v>22342</v>
      </c>
      <c r="BL972" s="6">
        <f>Grandview_Inventory[[#This Row],[Eff_Age]]*Lookups!$B$14</f>
        <v>-11719.163399999999</v>
      </c>
      <c r="BM972" s="6">
        <f>Grandview_Inventory[[#This Row],[living_area]]*Lookups!$B$15</f>
        <v>92635.566705000005</v>
      </c>
      <c r="BN972" s="6">
        <f>Grandview_Inventory[[#This Row],[Fin BSMT]]*Lookups!$B$16</f>
        <v>0</v>
      </c>
      <c r="BO972" s="6">
        <f>(Grandview_Inventory[[#This Row],[att_gar]]+Grandview_Inventory[[#This Row],[bltin_gar]])*Lookups!$B$17</f>
        <v>0</v>
      </c>
      <c r="BP972" s="6">
        <f>Grandview_Inventory[[#This Row],[Plumbing Fixtures]]*Lookups!$B$18</f>
        <v>18093.976200000001</v>
      </c>
      <c r="BQ972" s="6">
        <f>Grandview_Inventory[[#This Row],[detatched_value]]*Lookups!$B$19</f>
        <v>10500.383239999999</v>
      </c>
      <c r="BR972" s="6">
        <f>SUM(Grandview_Inventory[[#This Row],[Intercept]:[det_value]])*Grandview_Inventory[[#This Row],[res_pct]]</f>
        <v>297494.71274499997</v>
      </c>
      <c r="BS972" s="6">
        <f>Grandview_Inventory[[#This Row],[land_value]]</f>
        <v>50650.651579114572</v>
      </c>
      <c r="BT972" s="4">
        <f>_xlfn.IFNA(VLOOKUP(Grandview_Inventory[[#This Row],[quality]],Lookups!$A$26:$C$33,3,FALSE),1)</f>
        <v>0.94295468617355149</v>
      </c>
      <c r="BU972" s="4">
        <f>_xlfn.IFNA(VLOOKUP(Grandview_Inventory[[#This Row],[condition]],Lookups!$A$37:$C$44,3,FALSE),1)</f>
        <v>0.97383723671140243</v>
      </c>
      <c r="BV972" s="4">
        <f>IF(Grandview_Inventory[[#This Row],[bldg_style]]="",1,_xlfn.IFNA(VLOOKUP(Grandview_Inventory[[#This Row],[decade]],Lookups!$F$29:$H$43,3,FALSE),1))</f>
        <v>0.99472141305414818</v>
      </c>
      <c r="BW972" s="4">
        <f>_xlfn.IFNA(VLOOKUP(Grandview_Inventory[[#This Row],[living_area_range]],Lookups!$F$47:$H$56,3,FALSE),1)</f>
        <v>0.96135087979789358</v>
      </c>
      <c r="BX972" s="4">
        <f>AVERAGE(Grandview_Inventory[[#This Row],[qual_adj]:[size_adj]])</f>
        <v>0.96821605393424892</v>
      </c>
      <c r="BY972" s="6">
        <f>IF(Grandview_Inventory[[#This Row],[pre_res]]&lt;0,0,Grandview_Inventory[[#This Row],[pre_res]]*Grandview_Inventory[[#This Row],[overall_adj]])</f>
        <v>288039.15684026678</v>
      </c>
      <c r="BZ972" s="6">
        <f>(Grandview_Inventory[[#This Row],[sum_land]]-IF(Grandview_Inventory[[#This Row],[no_utilities]]=1,12000,0))/IF(Grandview_Inventory[[#This Row],[unbuildable]]=1,2,1)</f>
        <v>50650.651579114572</v>
      </c>
      <c r="CA97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972">
        <f>ROUND(Grandview_Inventory[[#This Row],[det_value]]*Lookups!$M$28,-2)</f>
        <v>10000</v>
      </c>
      <c r="CC972">
        <f>IF(ROUND(Grandview_Inventory[[#This Row],[adj_res]]*Lookups!$M$28,-2)&lt;Grandview_Inventory[[#This Row],[min_res]],Grandview_Inventory[[#This Row],[min_res]],ROUND(Grandview_Inventory[[#This Row],[adj_res]]*Lookups!$M$28,-2))</f>
        <v>273600</v>
      </c>
      <c r="CD972">
        <f>Grandview_Inventory[[#This Row],[final_det]]+Grandview_Inventory[[#This Row],[final_res]]</f>
        <v>283600</v>
      </c>
      <c r="CE972">
        <f>Grandview_Inventory[[#This Row],[final_land]]+Grandview_Inventory[[#This Row],[final_imp]]+Grandview_Inventory[[#This Row],[crop_value]]</f>
        <v>331700</v>
      </c>
      <c r="CG972" t="str">
        <f t="shared" si="15"/>
        <v>update valuation set market_land =48100, market_bldg=283600, market_total =331700, market_mdno =401, market_date ='9/10/2023' where link_id = (select link_id from parcel where parcel_year = '2024' and parcel_id = '23092241503');</v>
      </c>
    </row>
    <row r="973" spans="1:85" x14ac:dyDescent="0.25">
      <c r="A973">
        <v>23092241504</v>
      </c>
      <c r="B973">
        <v>0.17</v>
      </c>
      <c r="C973">
        <v>7605</v>
      </c>
      <c r="D973" t="s">
        <v>129</v>
      </c>
      <c r="E973" t="s">
        <v>53</v>
      </c>
      <c r="F973" t="s">
        <v>53</v>
      </c>
      <c r="G973">
        <v>4</v>
      </c>
      <c r="H973" t="s">
        <v>54</v>
      </c>
      <c r="I973">
        <v>119000</v>
      </c>
      <c r="J973">
        <v>38800</v>
      </c>
      <c r="K973">
        <v>0.17</v>
      </c>
      <c r="L97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973">
        <v>0</v>
      </c>
      <c r="N973">
        <v>0</v>
      </c>
      <c r="O973">
        <v>0</v>
      </c>
      <c r="P973">
        <v>13398.7528</v>
      </c>
      <c r="Q973">
        <v>63903</v>
      </c>
      <c r="R973">
        <f>(Grandview_Inventory[[#This Row],[ln_acres]]*Grandview_Inventory[[#This Row],[coeff]])+Grandview_Inventory[[#This Row],[const]]</f>
        <v>40160.988302686128</v>
      </c>
      <c r="S973" t="s">
        <v>55</v>
      </c>
      <c r="T973">
        <v>1</v>
      </c>
      <c r="U973" t="s">
        <v>65</v>
      </c>
      <c r="V973" t="s">
        <v>69</v>
      </c>
      <c r="W973">
        <v>0</v>
      </c>
      <c r="X973">
        <v>0</v>
      </c>
      <c r="Y973">
        <v>51</v>
      </c>
      <c r="Z973">
        <v>78</v>
      </c>
      <c r="AA973">
        <v>80</v>
      </c>
      <c r="AB973">
        <v>1500</v>
      </c>
      <c r="AC973">
        <v>1184</v>
      </c>
      <c r="AD973">
        <v>1184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240</v>
      </c>
      <c r="AN973">
        <v>24</v>
      </c>
      <c r="AO973">
        <v>50</v>
      </c>
      <c r="AP973">
        <v>5</v>
      </c>
      <c r="AQ973">
        <v>0</v>
      </c>
      <c r="AR973">
        <v>0</v>
      </c>
      <c r="AS973" t="s">
        <v>58</v>
      </c>
      <c r="AT973">
        <v>1</v>
      </c>
      <c r="AU973" t="s">
        <v>63</v>
      </c>
      <c r="AV973" t="s">
        <v>64</v>
      </c>
      <c r="AW973">
        <v>0</v>
      </c>
      <c r="AX973">
        <v>3</v>
      </c>
      <c r="AY973">
        <v>0</v>
      </c>
      <c r="AZ973">
        <v>4500</v>
      </c>
      <c r="BA973">
        <v>100</v>
      </c>
      <c r="BB973">
        <v>100</v>
      </c>
      <c r="BC973">
        <v>100</v>
      </c>
      <c r="BD973">
        <v>100</v>
      </c>
      <c r="BE973">
        <v>1</v>
      </c>
      <c r="BF973">
        <v>15000</v>
      </c>
      <c r="BG973">
        <v>1000</v>
      </c>
      <c r="BH973" s="6">
        <f>Grandview_Inventory[[#This Row],[land_extract]]*Lookups!$B$3</f>
        <v>46638.847281240982</v>
      </c>
      <c r="BI973" s="6">
        <f>IF(Grandview_Inventory[[#This Row],[bldg_style]]="",0,Lookups!$B$2)</f>
        <v>155833.95000000001</v>
      </c>
      <c r="BJ973" s="6">
        <f>_xlfn.IFNA(VLOOKUP(Grandview_Inventory[[#This Row],[quality]],Lookups!$H$2:$J$14,3,FALSE),0)</f>
        <v>2251</v>
      </c>
      <c r="BK973" s="6">
        <f>_xlfn.IFNA(VLOOKUP(Grandview_Inventory[[#This Row],[condition]],Lookups!$H$17:$J$24,3,FALSE),0)</f>
        <v>-4503</v>
      </c>
      <c r="BL973" s="6">
        <f>Grandview_Inventory[[#This Row],[Eff_Age]]*Lookups!$B$14</f>
        <v>-12197.496599999999</v>
      </c>
      <c r="BM973" s="6">
        <f>Grandview_Inventory[[#This Row],[living_area]]*Lookups!$B$15</f>
        <v>73858.929952000006</v>
      </c>
      <c r="BN973" s="6">
        <f>Grandview_Inventory[[#This Row],[Fin BSMT]]*Lookups!$B$16</f>
        <v>0</v>
      </c>
      <c r="BO973" s="6">
        <f>(Grandview_Inventory[[#This Row],[att_gar]]+Grandview_Inventory[[#This Row],[bltin_gar]])*Lookups!$B$17</f>
        <v>0</v>
      </c>
      <c r="BP973" s="6">
        <f>Grandview_Inventory[[#This Row],[Plumbing Fixtures]]*Lookups!$B$18</f>
        <v>10052.209000000001</v>
      </c>
      <c r="BQ973" s="6">
        <f>Grandview_Inventory[[#This Row],[detatched_value]]*Lookups!$B$19</f>
        <v>3810.6229499999999</v>
      </c>
      <c r="BR973" s="6">
        <f>SUM(Grandview_Inventory[[#This Row],[Intercept]:[det_value]])*Grandview_Inventory[[#This Row],[res_pct]]</f>
        <v>229106.215302</v>
      </c>
      <c r="BS973" s="6">
        <f>Grandview_Inventory[[#This Row],[land_value]]</f>
        <v>46638.847281240982</v>
      </c>
      <c r="BT973" s="4">
        <f>_xlfn.IFNA(VLOOKUP(Grandview_Inventory[[#This Row],[quality]],Lookups!$A$26:$C$33,3,FALSE),1)</f>
        <v>0.98763855981004833</v>
      </c>
      <c r="BU973" s="4">
        <f>_xlfn.IFNA(VLOOKUP(Grandview_Inventory[[#This Row],[condition]],Lookups!$A$37:$C$44,3,FALSE),1)</f>
        <v>0.96469275950863709</v>
      </c>
      <c r="BV973" s="4">
        <f>IF(Grandview_Inventory[[#This Row],[bldg_style]]="",1,_xlfn.IFNA(VLOOKUP(Grandview_Inventory[[#This Row],[decade]],Lookups!$F$29:$H$43,3,FALSE),1))</f>
        <v>0.98763256963907298</v>
      </c>
      <c r="BW973" s="4">
        <f>_xlfn.IFNA(VLOOKUP(Grandview_Inventory[[#This Row],[living_area_range]],Lookups!$F$47:$H$56,3,FALSE),1)</f>
        <v>0.96135087979789358</v>
      </c>
      <c r="BX973" s="4">
        <f>AVERAGE(Grandview_Inventory[[#This Row],[qual_adj]:[size_adj]])</f>
        <v>0.97532869218891294</v>
      </c>
      <c r="BY973" s="6">
        <f>IF(Grandview_Inventory[[#This Row],[pre_res]]&lt;0,0,Grandview_Inventory[[#This Row],[pre_res]]*Grandview_Inventory[[#This Row],[overall_adj]])</f>
        <v>223453.86534285118</v>
      </c>
      <c r="BZ973" s="6">
        <f>(Grandview_Inventory[[#This Row],[sum_land]]-IF(Grandview_Inventory[[#This Row],[no_utilities]]=1,12000,0))/IF(Grandview_Inventory[[#This Row],[unbuildable]]=1,2,1)</f>
        <v>46638.847281240982</v>
      </c>
      <c r="CA97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973">
        <f>ROUND(Grandview_Inventory[[#This Row],[det_value]]*Lookups!$M$28,-2)</f>
        <v>3600</v>
      </c>
      <c r="CC973">
        <f>IF(ROUND(Grandview_Inventory[[#This Row],[adj_res]]*Lookups!$M$28,-2)&lt;Grandview_Inventory[[#This Row],[min_res]],Grandview_Inventory[[#This Row],[min_res]],ROUND(Grandview_Inventory[[#This Row],[adj_res]]*Lookups!$M$28,-2))</f>
        <v>212300</v>
      </c>
      <c r="CD973">
        <f>Grandview_Inventory[[#This Row],[final_det]]+Grandview_Inventory[[#This Row],[final_res]]</f>
        <v>215900</v>
      </c>
      <c r="CE973">
        <f>Grandview_Inventory[[#This Row],[final_land]]+Grandview_Inventory[[#This Row],[final_imp]]+Grandview_Inventory[[#This Row],[crop_value]]</f>
        <v>260200</v>
      </c>
      <c r="CG973" t="str">
        <f t="shared" si="15"/>
        <v>update valuation set market_land =44300, market_bldg=215900, market_total =260200, market_mdno =401, market_date ='9/10/2023' where link_id = (select link_id from parcel where parcel_year = '2024' and parcel_id = '23092241504');</v>
      </c>
    </row>
    <row r="974" spans="1:85" x14ac:dyDescent="0.25">
      <c r="A974">
        <v>23092241505</v>
      </c>
      <c r="B974">
        <v>0.21</v>
      </c>
      <c r="C974">
        <v>8996</v>
      </c>
      <c r="D974" t="s">
        <v>129</v>
      </c>
      <c r="E974" t="s">
        <v>53</v>
      </c>
      <c r="F974" t="s">
        <v>53</v>
      </c>
      <c r="G974">
        <v>4</v>
      </c>
      <c r="H974" t="s">
        <v>54</v>
      </c>
      <c r="I974">
        <v>152200</v>
      </c>
      <c r="J974">
        <v>39300</v>
      </c>
      <c r="K974">
        <v>0.21</v>
      </c>
      <c r="L97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4">
        <v>0</v>
      </c>
      <c r="N974">
        <v>0</v>
      </c>
      <c r="O974">
        <v>0</v>
      </c>
      <c r="P974">
        <v>13398.7528</v>
      </c>
      <c r="Q974">
        <v>63903</v>
      </c>
      <c r="R974">
        <f>(Grandview_Inventory[[#This Row],[ln_acres]]*Grandview_Inventory[[#This Row],[coeff]])+Grandview_Inventory[[#This Row],[const]]</f>
        <v>42992.266613125081</v>
      </c>
      <c r="S974" t="s">
        <v>68</v>
      </c>
      <c r="T974">
        <v>1</v>
      </c>
      <c r="U974" t="s">
        <v>65</v>
      </c>
      <c r="V974" t="s">
        <v>69</v>
      </c>
      <c r="W974">
        <v>0</v>
      </c>
      <c r="X974">
        <v>0</v>
      </c>
      <c r="Y974">
        <v>49</v>
      </c>
      <c r="Z974">
        <v>68</v>
      </c>
      <c r="AA974">
        <v>70</v>
      </c>
      <c r="AB974">
        <v>2000</v>
      </c>
      <c r="AC974">
        <v>1730</v>
      </c>
      <c r="AD974">
        <v>1155</v>
      </c>
      <c r="AE974">
        <v>0</v>
      </c>
      <c r="AF974">
        <v>0</v>
      </c>
      <c r="AG974">
        <v>575</v>
      </c>
      <c r="AH974">
        <v>580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40</v>
      </c>
      <c r="AO974">
        <v>0</v>
      </c>
      <c r="AP974">
        <v>7</v>
      </c>
      <c r="AQ974">
        <v>0</v>
      </c>
      <c r="AR974">
        <v>0</v>
      </c>
      <c r="AS974" t="s">
        <v>58</v>
      </c>
      <c r="AT974">
        <v>0</v>
      </c>
      <c r="AU974" t="s">
        <v>82</v>
      </c>
      <c r="AV974" t="s">
        <v>135</v>
      </c>
      <c r="AW974">
        <v>0</v>
      </c>
      <c r="AX974">
        <v>4</v>
      </c>
      <c r="AY974">
        <v>0</v>
      </c>
      <c r="AZ974">
        <v>7200</v>
      </c>
      <c r="BA974">
        <v>100</v>
      </c>
      <c r="BB974">
        <v>100</v>
      </c>
      <c r="BC974">
        <v>100</v>
      </c>
      <c r="BD974">
        <v>100</v>
      </c>
      <c r="BE974">
        <v>1</v>
      </c>
      <c r="BF974">
        <v>15000</v>
      </c>
      <c r="BG974">
        <v>1000</v>
      </c>
      <c r="BH974" s="6">
        <f>Grandview_Inventory[[#This Row],[land_extract]]*Lookups!$B$3</f>
        <v>49926.8031387023</v>
      </c>
      <c r="BI974" s="6">
        <f>IF(Grandview_Inventory[[#This Row],[bldg_style]]="",0,Lookups!$B$2)</f>
        <v>155833.95000000001</v>
      </c>
      <c r="BJ974" s="6">
        <f>_xlfn.IFNA(VLOOKUP(Grandview_Inventory[[#This Row],[quality]],Lookups!$H$2:$J$14,3,FALSE),0)</f>
        <v>2251</v>
      </c>
      <c r="BK974" s="6">
        <f>_xlfn.IFNA(VLOOKUP(Grandview_Inventory[[#This Row],[condition]],Lookups!$H$17:$J$24,3,FALSE),0)</f>
        <v>-4503</v>
      </c>
      <c r="BL974" s="6">
        <f>Grandview_Inventory[[#This Row],[Eff_Age]]*Lookups!$B$14</f>
        <v>-11719.163399999999</v>
      </c>
      <c r="BM974" s="6">
        <f>Grandview_Inventory[[#This Row],[living_area]]*Lookups!$B$15</f>
        <v>107918.87569</v>
      </c>
      <c r="BN974" s="6">
        <f>Grandview_Inventory[[#This Row],[Fin BSMT]]*Lookups!$B$16</f>
        <v>-15582.063000000002</v>
      </c>
      <c r="BO974" s="6">
        <f>(Grandview_Inventory[[#This Row],[att_gar]]+Grandview_Inventory[[#This Row],[bltin_gar]])*Lookups!$B$17</f>
        <v>0</v>
      </c>
      <c r="BP974" s="6">
        <f>Grandview_Inventory[[#This Row],[Plumbing Fixtures]]*Lookups!$B$18</f>
        <v>14073.0926</v>
      </c>
      <c r="BQ974" s="6">
        <f>Grandview_Inventory[[#This Row],[detatched_value]]*Lookups!$B$19</f>
        <v>6096.9967200000001</v>
      </c>
      <c r="BR974" s="6">
        <f>SUM(Grandview_Inventory[[#This Row],[Intercept]:[det_value]])*Grandview_Inventory[[#This Row],[res_pct]]</f>
        <v>254369.68861000001</v>
      </c>
      <c r="BS974" s="6">
        <f>Grandview_Inventory[[#This Row],[land_value]]</f>
        <v>49926.8031387023</v>
      </c>
      <c r="BT974" s="4">
        <f>_xlfn.IFNA(VLOOKUP(Grandview_Inventory[[#This Row],[quality]],Lookups!$A$26:$C$33,3,FALSE),1)</f>
        <v>0.98763855981004833</v>
      </c>
      <c r="BU974" s="4">
        <f>_xlfn.IFNA(VLOOKUP(Grandview_Inventory[[#This Row],[condition]],Lookups!$A$37:$C$44,3,FALSE),1)</f>
        <v>0.96469275950863709</v>
      </c>
      <c r="BV974" s="4">
        <f>IF(Grandview_Inventory[[#This Row],[bldg_style]]="",1,_xlfn.IFNA(VLOOKUP(Grandview_Inventory[[#This Row],[decade]],Lookups!$F$29:$H$43,3,FALSE),1))</f>
        <v>0.99472141305414818</v>
      </c>
      <c r="BW974" s="4">
        <f>_xlfn.IFNA(VLOOKUP(Grandview_Inventory[[#This Row],[living_area_range]],Lookups!$F$47:$H$56,3,FALSE),1)</f>
        <v>0.96120133463014379</v>
      </c>
      <c r="BX974" s="4">
        <f>AVERAGE(Grandview_Inventory[[#This Row],[qual_adj]:[size_adj]])</f>
        <v>0.97706351675074443</v>
      </c>
      <c r="BY974" s="6">
        <f>IF(Grandview_Inventory[[#This Row],[pre_res]]&lt;0,0,Grandview_Inventory[[#This Row],[pre_res]]*Grandview_Inventory[[#This Row],[overall_adj]])</f>
        <v>248535.34250807838</v>
      </c>
      <c r="BZ974" s="6">
        <f>(Grandview_Inventory[[#This Row],[sum_land]]-IF(Grandview_Inventory[[#This Row],[no_utilities]]=1,12000,0))/IF(Grandview_Inventory[[#This Row],[unbuildable]]=1,2,1)</f>
        <v>49926.8031387023</v>
      </c>
      <c r="CA97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4">
        <f>ROUND(Grandview_Inventory[[#This Row],[det_value]]*Lookups!$M$28,-2)</f>
        <v>5800</v>
      </c>
      <c r="CC974">
        <f>IF(ROUND(Grandview_Inventory[[#This Row],[adj_res]]*Lookups!$M$28,-2)&lt;Grandview_Inventory[[#This Row],[min_res]],Grandview_Inventory[[#This Row],[min_res]],ROUND(Grandview_Inventory[[#This Row],[adj_res]]*Lookups!$M$28,-2))</f>
        <v>236100</v>
      </c>
      <c r="CD974">
        <f>Grandview_Inventory[[#This Row],[final_det]]+Grandview_Inventory[[#This Row],[final_res]]</f>
        <v>241900</v>
      </c>
      <c r="CE974">
        <f>Grandview_Inventory[[#This Row],[final_land]]+Grandview_Inventory[[#This Row],[final_imp]]+Grandview_Inventory[[#This Row],[crop_value]]</f>
        <v>289300</v>
      </c>
      <c r="CG974" t="str">
        <f t="shared" si="15"/>
        <v>update valuation set market_land =47400, market_bldg=241900, market_total =289300, market_mdno =401, market_date ='9/10/2023' where link_id = (select link_id from parcel where parcel_year = '2024' and parcel_id = '23092241505');</v>
      </c>
    </row>
    <row r="975" spans="1:85" x14ac:dyDescent="0.25">
      <c r="A975">
        <v>23092241506</v>
      </c>
      <c r="B975">
        <v>0.21</v>
      </c>
      <c r="C975">
        <v>8996</v>
      </c>
      <c r="D975" t="s">
        <v>129</v>
      </c>
      <c r="E975" t="s">
        <v>53</v>
      </c>
      <c r="F975" t="s">
        <v>53</v>
      </c>
      <c r="G975">
        <v>4</v>
      </c>
      <c r="H975" t="s">
        <v>54</v>
      </c>
      <c r="I975">
        <v>118300</v>
      </c>
      <c r="J975">
        <v>39300</v>
      </c>
      <c r="K975">
        <v>0.21</v>
      </c>
      <c r="L97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5">
        <v>0</v>
      </c>
      <c r="N975">
        <v>0</v>
      </c>
      <c r="O975">
        <v>0</v>
      </c>
      <c r="P975">
        <v>13398.7528</v>
      </c>
      <c r="Q975">
        <v>63903</v>
      </c>
      <c r="R975">
        <f>(Grandview_Inventory[[#This Row],[ln_acres]]*Grandview_Inventory[[#This Row],[coeff]])+Grandview_Inventory[[#This Row],[const]]</f>
        <v>42992.266613125081</v>
      </c>
      <c r="S975" t="s">
        <v>68</v>
      </c>
      <c r="T975">
        <v>1</v>
      </c>
      <c r="U975" t="s">
        <v>70</v>
      </c>
      <c r="V975" t="s">
        <v>69</v>
      </c>
      <c r="W975">
        <v>0</v>
      </c>
      <c r="X975">
        <v>0</v>
      </c>
      <c r="Y975">
        <v>49</v>
      </c>
      <c r="Z975">
        <v>68</v>
      </c>
      <c r="AA975">
        <v>70</v>
      </c>
      <c r="AB975">
        <v>1000</v>
      </c>
      <c r="AC975">
        <v>825</v>
      </c>
      <c r="AD975">
        <v>825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144</v>
      </c>
      <c r="AN975">
        <v>0</v>
      </c>
      <c r="AO975">
        <v>144</v>
      </c>
      <c r="AP975">
        <v>5</v>
      </c>
      <c r="AQ975">
        <v>0</v>
      </c>
      <c r="AR975">
        <v>0</v>
      </c>
      <c r="AS975" t="s">
        <v>58</v>
      </c>
      <c r="AT975">
        <v>1</v>
      </c>
      <c r="AU975" t="s">
        <v>63</v>
      </c>
      <c r="AV975" t="s">
        <v>60</v>
      </c>
      <c r="AW975">
        <v>0</v>
      </c>
      <c r="AX975">
        <v>2</v>
      </c>
      <c r="AY975">
        <v>0</v>
      </c>
      <c r="AZ975">
        <v>4300</v>
      </c>
      <c r="BA975">
        <v>100</v>
      </c>
      <c r="BB975">
        <v>100</v>
      </c>
      <c r="BC975">
        <v>100</v>
      </c>
      <c r="BD975">
        <v>100</v>
      </c>
      <c r="BE975">
        <v>1</v>
      </c>
      <c r="BF975">
        <v>15000</v>
      </c>
      <c r="BG975">
        <v>1000</v>
      </c>
      <c r="BH975" s="6">
        <f>Grandview_Inventory[[#This Row],[land_extract]]*Lookups!$B$3</f>
        <v>49926.8031387023</v>
      </c>
      <c r="BI975" s="6">
        <f>IF(Grandview_Inventory[[#This Row],[bldg_style]]="",0,Lookups!$B$2)</f>
        <v>155833.95000000001</v>
      </c>
      <c r="BJ975" s="6">
        <f>_xlfn.IFNA(VLOOKUP(Grandview_Inventory[[#This Row],[quality]],Lookups!$H$2:$J$14,3,FALSE),0)</f>
        <v>10733</v>
      </c>
      <c r="BK975" s="6">
        <f>_xlfn.IFNA(VLOOKUP(Grandview_Inventory[[#This Row],[condition]],Lookups!$H$17:$J$24,3,FALSE),0)</f>
        <v>-4503</v>
      </c>
      <c r="BL975" s="6">
        <f>Grandview_Inventory[[#This Row],[Eff_Age]]*Lookups!$B$14</f>
        <v>-11719.163399999999</v>
      </c>
      <c r="BM975" s="6">
        <f>Grandview_Inventory[[#This Row],[living_area]]*Lookups!$B$15</f>
        <v>51464.203724999999</v>
      </c>
      <c r="BN975" s="6">
        <f>Grandview_Inventory[[#This Row],[Fin BSMT]]*Lookups!$B$16</f>
        <v>0</v>
      </c>
      <c r="BO975" s="6">
        <f>(Grandview_Inventory[[#This Row],[att_gar]]+Grandview_Inventory[[#This Row],[bltin_gar]])*Lookups!$B$17</f>
        <v>0</v>
      </c>
      <c r="BP975" s="6">
        <f>Grandview_Inventory[[#This Row],[Plumbing Fixtures]]*Lookups!$B$18</f>
        <v>10052.209000000001</v>
      </c>
      <c r="BQ975" s="6">
        <f>Grandview_Inventory[[#This Row],[detatched_value]]*Lookups!$B$19</f>
        <v>3641.2619300000001</v>
      </c>
      <c r="BR975" s="6">
        <f>SUM(Grandview_Inventory[[#This Row],[Intercept]:[det_value]])*Grandview_Inventory[[#This Row],[res_pct]]</f>
        <v>215502.46125500003</v>
      </c>
      <c r="BS975" s="6">
        <f>Grandview_Inventory[[#This Row],[land_value]]</f>
        <v>49926.8031387023</v>
      </c>
      <c r="BT975" s="4">
        <f>_xlfn.IFNA(VLOOKUP(Grandview_Inventory[[#This Row],[quality]],Lookups!$A$26:$C$33,3,FALSE),1)</f>
        <v>0.98079741117310582</v>
      </c>
      <c r="BU975" s="4">
        <f>_xlfn.IFNA(VLOOKUP(Grandview_Inventory[[#This Row],[condition]],Lookups!$A$37:$C$44,3,FALSE),1)</f>
        <v>0.96469275950863709</v>
      </c>
      <c r="BV975" s="4">
        <f>IF(Grandview_Inventory[[#This Row],[bldg_style]]="",1,_xlfn.IFNA(VLOOKUP(Grandview_Inventory[[#This Row],[decade]],Lookups!$F$29:$H$43,3,FALSE),1))</f>
        <v>0.99472141305414818</v>
      </c>
      <c r="BW975" s="4">
        <f>_xlfn.IFNA(VLOOKUP(Grandview_Inventory[[#This Row],[living_area_range]],Lookups!$F$47:$H$56,3,FALSE),1)</f>
        <v>0.94306777142782894</v>
      </c>
      <c r="BX975" s="4">
        <f>AVERAGE(Grandview_Inventory[[#This Row],[qual_adj]:[size_adj]])</f>
        <v>0.97081983879093003</v>
      </c>
      <c r="BY975" s="6">
        <f>IF(Grandview_Inventory[[#This Row],[pre_res]]&lt;0,0,Grandview_Inventory[[#This Row],[pre_res]]*Grandview_Inventory[[#This Row],[overall_adj]])</f>
        <v>209214.06469462777</v>
      </c>
      <c r="BZ975" s="6">
        <f>(Grandview_Inventory[[#This Row],[sum_land]]-IF(Grandview_Inventory[[#This Row],[no_utilities]]=1,12000,0))/IF(Grandview_Inventory[[#This Row],[unbuildable]]=1,2,1)</f>
        <v>49926.8031387023</v>
      </c>
      <c r="CA97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5">
        <f>ROUND(Grandview_Inventory[[#This Row],[det_value]]*Lookups!$M$28,-2)</f>
        <v>3500</v>
      </c>
      <c r="CC975">
        <f>IF(ROUND(Grandview_Inventory[[#This Row],[adj_res]]*Lookups!$M$28,-2)&lt;Grandview_Inventory[[#This Row],[min_res]],Grandview_Inventory[[#This Row],[min_res]],ROUND(Grandview_Inventory[[#This Row],[adj_res]]*Lookups!$M$28,-2))</f>
        <v>198800</v>
      </c>
      <c r="CD975">
        <f>Grandview_Inventory[[#This Row],[final_det]]+Grandview_Inventory[[#This Row],[final_res]]</f>
        <v>202300</v>
      </c>
      <c r="CE975">
        <f>Grandview_Inventory[[#This Row],[final_land]]+Grandview_Inventory[[#This Row],[final_imp]]+Grandview_Inventory[[#This Row],[crop_value]]</f>
        <v>249700</v>
      </c>
      <c r="CG975" t="str">
        <f t="shared" si="15"/>
        <v>update valuation set market_land =47400, market_bldg=202300, market_total =249700, market_mdno =401, market_date ='9/10/2023' where link_id = (select link_id from parcel where parcel_year = '2024' and parcel_id = '23092241506');</v>
      </c>
    </row>
    <row r="976" spans="1:85" x14ac:dyDescent="0.25">
      <c r="A976">
        <v>23092241507</v>
      </c>
      <c r="B976">
        <v>0.21</v>
      </c>
      <c r="C976">
        <v>8996</v>
      </c>
      <c r="D976" t="s">
        <v>129</v>
      </c>
      <c r="E976" t="s">
        <v>53</v>
      </c>
      <c r="F976" t="s">
        <v>53</v>
      </c>
      <c r="G976">
        <v>4</v>
      </c>
      <c r="H976" t="s">
        <v>54</v>
      </c>
      <c r="I976">
        <v>150900</v>
      </c>
      <c r="J976">
        <v>43700</v>
      </c>
      <c r="K976">
        <v>0.21</v>
      </c>
      <c r="L97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6">
        <v>0</v>
      </c>
      <c r="N976">
        <v>0</v>
      </c>
      <c r="O976">
        <v>0</v>
      </c>
      <c r="P976">
        <v>13398.7528</v>
      </c>
      <c r="Q976">
        <v>63903</v>
      </c>
      <c r="R976">
        <f>(Grandview_Inventory[[#This Row],[ln_acres]]*Grandview_Inventory[[#This Row],[coeff]])+Grandview_Inventory[[#This Row],[const]]</f>
        <v>42992.266613125081</v>
      </c>
      <c r="S976" t="s">
        <v>61</v>
      </c>
      <c r="T976">
        <v>1</v>
      </c>
      <c r="U976" t="s">
        <v>65</v>
      </c>
      <c r="V976" t="s">
        <v>78</v>
      </c>
      <c r="W976">
        <v>0</v>
      </c>
      <c r="X976">
        <v>0</v>
      </c>
      <c r="Y976">
        <v>49</v>
      </c>
      <c r="Z976">
        <v>68</v>
      </c>
      <c r="AA976">
        <v>70</v>
      </c>
      <c r="AB976">
        <v>1500</v>
      </c>
      <c r="AC976">
        <v>1364</v>
      </c>
      <c r="AD976">
        <v>1364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292</v>
      </c>
      <c r="AN976">
        <v>0</v>
      </c>
      <c r="AO976">
        <v>72</v>
      </c>
      <c r="AP976">
        <v>5</v>
      </c>
      <c r="AQ976">
        <v>1</v>
      </c>
      <c r="AR976">
        <v>0</v>
      </c>
      <c r="AS976" t="s">
        <v>58</v>
      </c>
      <c r="AT976">
        <v>1</v>
      </c>
      <c r="AU976" t="s">
        <v>63</v>
      </c>
      <c r="AV976" t="s">
        <v>64</v>
      </c>
      <c r="AW976">
        <v>0</v>
      </c>
      <c r="AX976">
        <v>3</v>
      </c>
      <c r="AY976">
        <v>0</v>
      </c>
      <c r="AZ976">
        <v>35900</v>
      </c>
      <c r="BA976">
        <v>100</v>
      </c>
      <c r="BB976">
        <v>100</v>
      </c>
      <c r="BC976">
        <v>100</v>
      </c>
      <c r="BD976">
        <v>100</v>
      </c>
      <c r="BE976">
        <v>1</v>
      </c>
      <c r="BF976">
        <v>15000</v>
      </c>
      <c r="BG976">
        <v>1000</v>
      </c>
      <c r="BH976" s="6">
        <f>Grandview_Inventory[[#This Row],[land_extract]]*Lookups!$B$3</f>
        <v>49926.8031387023</v>
      </c>
      <c r="BI976" s="6">
        <f>IF(Grandview_Inventory[[#This Row],[bldg_style]]="",0,Lookups!$B$2)</f>
        <v>155833.95000000001</v>
      </c>
      <c r="BJ976" s="6">
        <f>_xlfn.IFNA(VLOOKUP(Grandview_Inventory[[#This Row],[quality]],Lookups!$H$2:$J$14,3,FALSE),0)</f>
        <v>2251</v>
      </c>
      <c r="BK976" s="6">
        <f>_xlfn.IFNA(VLOOKUP(Grandview_Inventory[[#This Row],[condition]],Lookups!$H$17:$J$24,3,FALSE),0)</f>
        <v>-45357</v>
      </c>
      <c r="BL976" s="6">
        <f>Grandview_Inventory[[#This Row],[Eff_Age]]*Lookups!$B$14</f>
        <v>-11719.163399999999</v>
      </c>
      <c r="BM976" s="6">
        <f>Grandview_Inventory[[#This Row],[living_area]]*Lookups!$B$15</f>
        <v>85087.483491999999</v>
      </c>
      <c r="BN976" s="6">
        <f>Grandview_Inventory[[#This Row],[Fin BSMT]]*Lookups!$B$16</f>
        <v>0</v>
      </c>
      <c r="BO976" s="6">
        <f>(Grandview_Inventory[[#This Row],[att_gar]]+Grandview_Inventory[[#This Row],[bltin_gar]])*Lookups!$B$17</f>
        <v>0</v>
      </c>
      <c r="BP976" s="6">
        <f>Grandview_Inventory[[#This Row],[Plumbing Fixtures]]*Lookups!$B$18</f>
        <v>10052.209000000001</v>
      </c>
      <c r="BQ976" s="6">
        <f>Grandview_Inventory[[#This Row],[detatched_value]]*Lookups!$B$19</f>
        <v>30400.303089999998</v>
      </c>
      <c r="BR976" s="6">
        <f>SUM(Grandview_Inventory[[#This Row],[Intercept]:[det_value]])*Grandview_Inventory[[#This Row],[res_pct]]</f>
        <v>226548.78218200002</v>
      </c>
      <c r="BS976" s="6">
        <f>Grandview_Inventory[[#This Row],[land_value]]</f>
        <v>49926.8031387023</v>
      </c>
      <c r="BT976" s="4">
        <f>_xlfn.IFNA(VLOOKUP(Grandview_Inventory[[#This Row],[quality]],Lookups!$A$26:$C$33,3,FALSE),1)</f>
        <v>0.98763855981004833</v>
      </c>
      <c r="BU976" s="4">
        <f>_xlfn.IFNA(VLOOKUP(Grandview_Inventory[[#This Row],[condition]],Lookups!$A$37:$C$44,3,FALSE),1)</f>
        <v>0.97161819570155394</v>
      </c>
      <c r="BV976" s="4">
        <f>IF(Grandview_Inventory[[#This Row],[bldg_style]]="",1,_xlfn.IFNA(VLOOKUP(Grandview_Inventory[[#This Row],[decade]],Lookups!$F$29:$H$43,3,FALSE),1))</f>
        <v>0.99472141305414818</v>
      </c>
      <c r="BW976" s="4">
        <f>_xlfn.IFNA(VLOOKUP(Grandview_Inventory[[#This Row],[living_area_range]],Lookups!$F$47:$H$56,3,FALSE),1)</f>
        <v>0.96135087979789358</v>
      </c>
      <c r="BX976" s="4">
        <f>AVERAGE(Grandview_Inventory[[#This Row],[qual_adj]:[size_adj]])</f>
        <v>0.97883226209091101</v>
      </c>
      <c r="BY976" s="6">
        <f>IF(Grandview_Inventory[[#This Row],[pre_res]]&lt;0,0,Grandview_Inventory[[#This Row],[pre_res]]*Grandview_Inventory[[#This Row],[overall_adj]])</f>
        <v>221753.25693714817</v>
      </c>
      <c r="BZ976" s="6">
        <f>(Grandview_Inventory[[#This Row],[sum_land]]-IF(Grandview_Inventory[[#This Row],[no_utilities]]=1,12000,0))/IF(Grandview_Inventory[[#This Row],[unbuildable]]=1,2,1)</f>
        <v>49926.8031387023</v>
      </c>
      <c r="CA97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6">
        <f>ROUND(Grandview_Inventory[[#This Row],[det_value]]*Lookups!$M$28,-2)</f>
        <v>28900</v>
      </c>
      <c r="CC976">
        <f>IF(ROUND(Grandview_Inventory[[#This Row],[adj_res]]*Lookups!$M$28,-2)&lt;Grandview_Inventory[[#This Row],[min_res]],Grandview_Inventory[[#This Row],[min_res]],ROUND(Grandview_Inventory[[#This Row],[adj_res]]*Lookups!$M$28,-2))</f>
        <v>210700</v>
      </c>
      <c r="CD976">
        <f>Grandview_Inventory[[#This Row],[final_det]]+Grandview_Inventory[[#This Row],[final_res]]</f>
        <v>239600</v>
      </c>
      <c r="CE976">
        <f>Grandview_Inventory[[#This Row],[final_land]]+Grandview_Inventory[[#This Row],[final_imp]]+Grandview_Inventory[[#This Row],[crop_value]]</f>
        <v>287000</v>
      </c>
      <c r="CG976" t="str">
        <f t="shared" si="15"/>
        <v>update valuation set market_land =47400, market_bldg=239600, market_total =287000, market_mdno =401, market_date ='9/10/2023' where link_id = (select link_id from parcel where parcel_year = '2024' and parcel_id = '23092241507');</v>
      </c>
    </row>
    <row r="977" spans="1:85" x14ac:dyDescent="0.25">
      <c r="A977">
        <v>23092241508</v>
      </c>
      <c r="B977">
        <v>0.21</v>
      </c>
      <c r="C977">
        <v>8996</v>
      </c>
      <c r="D977" t="s">
        <v>129</v>
      </c>
      <c r="E977" t="s">
        <v>53</v>
      </c>
      <c r="F977" t="s">
        <v>53</v>
      </c>
      <c r="G977">
        <v>4</v>
      </c>
      <c r="H977" t="s">
        <v>54</v>
      </c>
      <c r="I977">
        <v>203400</v>
      </c>
      <c r="J977">
        <v>43700</v>
      </c>
      <c r="K977">
        <v>0.21</v>
      </c>
      <c r="L97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7">
        <v>0</v>
      </c>
      <c r="N977">
        <v>0</v>
      </c>
      <c r="O977">
        <v>0</v>
      </c>
      <c r="P977">
        <v>13398.7528</v>
      </c>
      <c r="Q977">
        <v>63903</v>
      </c>
      <c r="R977">
        <f>(Grandview_Inventory[[#This Row],[ln_acres]]*Grandview_Inventory[[#This Row],[coeff]])+Grandview_Inventory[[#This Row],[const]]</f>
        <v>42992.266613125081</v>
      </c>
      <c r="S977" t="s">
        <v>61</v>
      </c>
      <c r="T977">
        <v>1</v>
      </c>
      <c r="U977" t="s">
        <v>70</v>
      </c>
      <c r="V977" t="s">
        <v>67</v>
      </c>
      <c r="W977">
        <v>0</v>
      </c>
      <c r="X977">
        <v>0</v>
      </c>
      <c r="Y977">
        <v>48</v>
      </c>
      <c r="Z977">
        <v>63</v>
      </c>
      <c r="AA977">
        <v>70</v>
      </c>
      <c r="AB977">
        <v>1500</v>
      </c>
      <c r="AC977">
        <v>1494</v>
      </c>
      <c r="AD977">
        <v>1278</v>
      </c>
      <c r="AE977">
        <v>0</v>
      </c>
      <c r="AF977">
        <v>0</v>
      </c>
      <c r="AG977">
        <v>216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366</v>
      </c>
      <c r="AN977">
        <v>0</v>
      </c>
      <c r="AO977">
        <v>174</v>
      </c>
      <c r="AP977">
        <v>8</v>
      </c>
      <c r="AQ977">
        <v>0</v>
      </c>
      <c r="AR977">
        <v>0</v>
      </c>
      <c r="AS977" t="s">
        <v>58</v>
      </c>
      <c r="AT977">
        <v>1</v>
      </c>
      <c r="AU977" t="s">
        <v>63</v>
      </c>
      <c r="AV977" t="s">
        <v>64</v>
      </c>
      <c r="AW977">
        <v>1</v>
      </c>
      <c r="AX977">
        <v>3</v>
      </c>
      <c r="AY977">
        <v>0</v>
      </c>
      <c r="AZ977">
        <v>5900</v>
      </c>
      <c r="BA977">
        <v>100</v>
      </c>
      <c r="BB977">
        <v>100</v>
      </c>
      <c r="BC977">
        <v>100</v>
      </c>
      <c r="BD977">
        <v>100</v>
      </c>
      <c r="BE977">
        <v>1</v>
      </c>
      <c r="BF977">
        <v>15000</v>
      </c>
      <c r="BG977">
        <v>1000</v>
      </c>
      <c r="BH977" s="6">
        <f>Grandview_Inventory[[#This Row],[land_extract]]*Lookups!$B$3</f>
        <v>49926.8031387023</v>
      </c>
      <c r="BI977" s="6">
        <f>IF(Grandview_Inventory[[#This Row],[bldg_style]]="",0,Lookups!$B$2)</f>
        <v>155833.95000000001</v>
      </c>
      <c r="BJ977" s="6">
        <f>_xlfn.IFNA(VLOOKUP(Grandview_Inventory[[#This Row],[quality]],Lookups!$H$2:$J$14,3,FALSE),0)</f>
        <v>10733</v>
      </c>
      <c r="BK977" s="6">
        <f>_xlfn.IFNA(VLOOKUP(Grandview_Inventory[[#This Row],[condition]],Lookups!$H$17:$J$24,3,FALSE),0)</f>
        <v>22342</v>
      </c>
      <c r="BL977" s="6">
        <f>Grandview_Inventory[[#This Row],[Eff_Age]]*Lookups!$B$14</f>
        <v>-11479.996799999999</v>
      </c>
      <c r="BM977" s="6">
        <f>Grandview_Inventory[[#This Row],[living_area]]*Lookups!$B$15</f>
        <v>93196.994382000004</v>
      </c>
      <c r="BN977" s="6">
        <f>Grandview_Inventory[[#This Row],[Fin BSMT]]*Lookups!$B$16</f>
        <v>-5853.4358400000001</v>
      </c>
      <c r="BO977" s="6">
        <f>(Grandview_Inventory[[#This Row],[att_gar]]+Grandview_Inventory[[#This Row],[bltin_gar]])*Lookups!$B$17</f>
        <v>0</v>
      </c>
      <c r="BP977" s="6">
        <f>Grandview_Inventory[[#This Row],[Plumbing Fixtures]]*Lookups!$B$18</f>
        <v>16083.5344</v>
      </c>
      <c r="BQ977" s="6">
        <f>Grandview_Inventory[[#This Row],[detatched_value]]*Lookups!$B$19</f>
        <v>4996.1500900000001</v>
      </c>
      <c r="BR977" s="6">
        <f>SUM(Grandview_Inventory[[#This Row],[Intercept]:[det_value]])*Grandview_Inventory[[#This Row],[res_pct]]</f>
        <v>285852.19623200007</v>
      </c>
      <c r="BS977" s="6">
        <f>Grandview_Inventory[[#This Row],[land_value]]</f>
        <v>49926.8031387023</v>
      </c>
      <c r="BT977" s="4">
        <f>_xlfn.IFNA(VLOOKUP(Grandview_Inventory[[#This Row],[quality]],Lookups!$A$26:$C$33,3,FALSE),1)</f>
        <v>0.98079741117310582</v>
      </c>
      <c r="BU977" s="4">
        <f>_xlfn.IFNA(VLOOKUP(Grandview_Inventory[[#This Row],[condition]],Lookups!$A$37:$C$44,3,FALSE),1)</f>
        <v>0.97383723671140243</v>
      </c>
      <c r="BV977" s="4">
        <f>IF(Grandview_Inventory[[#This Row],[bldg_style]]="",1,_xlfn.IFNA(VLOOKUP(Grandview_Inventory[[#This Row],[decade]],Lookups!$F$29:$H$43,3,FALSE),1))</f>
        <v>0.99472141305414818</v>
      </c>
      <c r="BW977" s="4">
        <f>_xlfn.IFNA(VLOOKUP(Grandview_Inventory[[#This Row],[living_area_range]],Lookups!$F$47:$H$56,3,FALSE),1)</f>
        <v>0.96135087979789358</v>
      </c>
      <c r="BX977" s="4">
        <f>AVERAGE(Grandview_Inventory[[#This Row],[qual_adj]:[size_adj]])</f>
        <v>0.97767673518413756</v>
      </c>
      <c r="BY977" s="6">
        <f>IF(Grandview_Inventory[[#This Row],[pre_res]]&lt;0,0,Grandview_Inventory[[#This Row],[pre_res]]*Grandview_Inventory[[#This Row],[overall_adj]])</f>
        <v>279471.04195731727</v>
      </c>
      <c r="BZ977" s="6">
        <f>(Grandview_Inventory[[#This Row],[sum_land]]-IF(Grandview_Inventory[[#This Row],[no_utilities]]=1,12000,0))/IF(Grandview_Inventory[[#This Row],[unbuildable]]=1,2,1)</f>
        <v>49926.8031387023</v>
      </c>
      <c r="CA97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7">
        <f>ROUND(Grandview_Inventory[[#This Row],[det_value]]*Lookups!$M$28,-2)</f>
        <v>4700</v>
      </c>
      <c r="CC977">
        <f>IF(ROUND(Grandview_Inventory[[#This Row],[adj_res]]*Lookups!$M$28,-2)&lt;Grandview_Inventory[[#This Row],[min_res]],Grandview_Inventory[[#This Row],[min_res]],ROUND(Grandview_Inventory[[#This Row],[adj_res]]*Lookups!$M$28,-2))</f>
        <v>265500</v>
      </c>
      <c r="CD977">
        <f>Grandview_Inventory[[#This Row],[final_det]]+Grandview_Inventory[[#This Row],[final_res]]</f>
        <v>270200</v>
      </c>
      <c r="CE977">
        <f>Grandview_Inventory[[#This Row],[final_land]]+Grandview_Inventory[[#This Row],[final_imp]]+Grandview_Inventory[[#This Row],[crop_value]]</f>
        <v>317600</v>
      </c>
      <c r="CG977" t="str">
        <f t="shared" si="15"/>
        <v>update valuation set market_land =47400, market_bldg=270200, market_total =317600, market_mdno =401, market_date ='9/10/2023' where link_id = (select link_id from parcel where parcel_year = '2024' and parcel_id = '23092241508');</v>
      </c>
    </row>
    <row r="978" spans="1:85" x14ac:dyDescent="0.25">
      <c r="A978">
        <v>23092241510</v>
      </c>
      <c r="B978">
        <v>0.21</v>
      </c>
      <c r="C978">
        <v>8996</v>
      </c>
      <c r="D978" t="s">
        <v>129</v>
      </c>
      <c r="E978" t="s">
        <v>53</v>
      </c>
      <c r="F978" t="s">
        <v>53</v>
      </c>
      <c r="G978">
        <v>4</v>
      </c>
      <c r="H978" t="s">
        <v>54</v>
      </c>
      <c r="I978">
        <v>84100</v>
      </c>
      <c r="J978">
        <v>43700</v>
      </c>
      <c r="K978">
        <v>0.21</v>
      </c>
      <c r="L97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8">
        <v>0</v>
      </c>
      <c r="N978">
        <v>0</v>
      </c>
      <c r="O978">
        <v>0</v>
      </c>
      <c r="P978">
        <v>13398.7528</v>
      </c>
      <c r="Q978">
        <v>63903</v>
      </c>
      <c r="R978">
        <f>(Grandview_Inventory[[#This Row],[ln_acres]]*Grandview_Inventory[[#This Row],[coeff]])+Grandview_Inventory[[#This Row],[const]]</f>
        <v>42992.266613125081</v>
      </c>
      <c r="S978" t="s">
        <v>68</v>
      </c>
      <c r="T978">
        <v>1</v>
      </c>
      <c r="U978" t="s">
        <v>70</v>
      </c>
      <c r="V978" t="s">
        <v>69</v>
      </c>
      <c r="W978">
        <v>0</v>
      </c>
      <c r="X978">
        <v>0</v>
      </c>
      <c r="Y978">
        <v>49</v>
      </c>
      <c r="Z978">
        <v>65</v>
      </c>
      <c r="AA978">
        <v>70</v>
      </c>
      <c r="AB978">
        <v>1500</v>
      </c>
      <c r="AC978">
        <v>1020</v>
      </c>
      <c r="AD978">
        <v>1020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5</v>
      </c>
      <c r="AQ978">
        <v>1</v>
      </c>
      <c r="AR978">
        <v>0</v>
      </c>
      <c r="AS978" t="s">
        <v>58</v>
      </c>
      <c r="AT978">
        <v>1</v>
      </c>
      <c r="AU978" t="s">
        <v>63</v>
      </c>
      <c r="AV978" t="s">
        <v>64</v>
      </c>
      <c r="AW978">
        <v>0</v>
      </c>
      <c r="AX978">
        <v>2</v>
      </c>
      <c r="AY978">
        <v>0</v>
      </c>
      <c r="AZ978">
        <v>0</v>
      </c>
      <c r="BA978">
        <v>100</v>
      </c>
      <c r="BB978">
        <v>100</v>
      </c>
      <c r="BC978">
        <v>100</v>
      </c>
      <c r="BD978">
        <v>100</v>
      </c>
      <c r="BE978">
        <v>1</v>
      </c>
      <c r="BF978">
        <v>15000</v>
      </c>
      <c r="BG978">
        <v>1000</v>
      </c>
      <c r="BH978" s="6">
        <f>Grandview_Inventory[[#This Row],[land_extract]]*Lookups!$B$3</f>
        <v>49926.8031387023</v>
      </c>
      <c r="BI978" s="6">
        <f>IF(Grandview_Inventory[[#This Row],[bldg_style]]="",0,Lookups!$B$2)</f>
        <v>155833.95000000001</v>
      </c>
      <c r="BJ978" s="6">
        <f>_xlfn.IFNA(VLOOKUP(Grandview_Inventory[[#This Row],[quality]],Lookups!$H$2:$J$14,3,FALSE),0)</f>
        <v>10733</v>
      </c>
      <c r="BK978" s="6">
        <f>_xlfn.IFNA(VLOOKUP(Grandview_Inventory[[#This Row],[condition]],Lookups!$H$17:$J$24,3,FALSE),0)</f>
        <v>-4503</v>
      </c>
      <c r="BL978" s="6">
        <f>Grandview_Inventory[[#This Row],[Eff_Age]]*Lookups!$B$14</f>
        <v>-11719.163399999999</v>
      </c>
      <c r="BM978" s="6">
        <f>Grandview_Inventory[[#This Row],[living_area]]*Lookups!$B$15</f>
        <v>63628.47006</v>
      </c>
      <c r="BN978" s="6">
        <f>Grandview_Inventory[[#This Row],[Fin BSMT]]*Lookups!$B$16</f>
        <v>0</v>
      </c>
      <c r="BO978" s="6">
        <f>(Grandview_Inventory[[#This Row],[att_gar]]+Grandview_Inventory[[#This Row],[bltin_gar]])*Lookups!$B$17</f>
        <v>0</v>
      </c>
      <c r="BP978" s="6">
        <f>Grandview_Inventory[[#This Row],[Plumbing Fixtures]]*Lookups!$B$18</f>
        <v>10052.209000000001</v>
      </c>
      <c r="BQ978" s="6">
        <f>Grandview_Inventory[[#This Row],[detatched_value]]*Lookups!$B$19</f>
        <v>0</v>
      </c>
      <c r="BR978" s="6">
        <f>SUM(Grandview_Inventory[[#This Row],[Intercept]:[det_value]])*Grandview_Inventory[[#This Row],[res_pct]]</f>
        <v>224025.46566000002</v>
      </c>
      <c r="BS978" s="6">
        <f>Grandview_Inventory[[#This Row],[land_value]]</f>
        <v>49926.8031387023</v>
      </c>
      <c r="BT978" s="4">
        <f>_xlfn.IFNA(VLOOKUP(Grandview_Inventory[[#This Row],[quality]],Lookups!$A$26:$C$33,3,FALSE),1)</f>
        <v>0.98079741117310582</v>
      </c>
      <c r="BU978" s="4">
        <f>_xlfn.IFNA(VLOOKUP(Grandview_Inventory[[#This Row],[condition]],Lookups!$A$37:$C$44,3,FALSE),1)</f>
        <v>0.96469275950863709</v>
      </c>
      <c r="BV978" s="4">
        <f>IF(Grandview_Inventory[[#This Row],[bldg_style]]="",1,_xlfn.IFNA(VLOOKUP(Grandview_Inventory[[#This Row],[decade]],Lookups!$F$29:$H$43,3,FALSE),1))</f>
        <v>0.99472141305414818</v>
      </c>
      <c r="BW978" s="4">
        <f>_xlfn.IFNA(VLOOKUP(Grandview_Inventory[[#This Row],[living_area_range]],Lookups!$F$47:$H$56,3,FALSE),1)</f>
        <v>0.96135087979789358</v>
      </c>
      <c r="BX978" s="4">
        <f>AVERAGE(Grandview_Inventory[[#This Row],[qual_adj]:[size_adj]])</f>
        <v>0.97539061588344622</v>
      </c>
      <c r="BY978" s="6">
        <f>IF(Grandview_Inventory[[#This Row],[pre_res]]&lt;0,0,Grandview_Inventory[[#This Row],[pre_res]]*Grandview_Inventory[[#This Row],[overall_adj]])</f>
        <v>218512.33692368324</v>
      </c>
      <c r="BZ978" s="6">
        <f>(Grandview_Inventory[[#This Row],[sum_land]]-IF(Grandview_Inventory[[#This Row],[no_utilities]]=1,12000,0))/IF(Grandview_Inventory[[#This Row],[unbuildable]]=1,2,1)</f>
        <v>49926.8031387023</v>
      </c>
      <c r="CA97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8">
        <f>ROUND(Grandview_Inventory[[#This Row],[det_value]]*Lookups!$M$28,-2)</f>
        <v>0</v>
      </c>
      <c r="CC978">
        <f>IF(ROUND(Grandview_Inventory[[#This Row],[adj_res]]*Lookups!$M$28,-2)&lt;Grandview_Inventory[[#This Row],[min_res]],Grandview_Inventory[[#This Row],[min_res]],ROUND(Grandview_Inventory[[#This Row],[adj_res]]*Lookups!$M$28,-2))</f>
        <v>207600</v>
      </c>
      <c r="CD978">
        <f>Grandview_Inventory[[#This Row],[final_det]]+Grandview_Inventory[[#This Row],[final_res]]</f>
        <v>207600</v>
      </c>
      <c r="CE978">
        <f>Grandview_Inventory[[#This Row],[final_land]]+Grandview_Inventory[[#This Row],[final_imp]]+Grandview_Inventory[[#This Row],[crop_value]]</f>
        <v>255000</v>
      </c>
      <c r="CG978" t="str">
        <f t="shared" si="15"/>
        <v>update valuation set market_land =47400, market_bldg=207600, market_total =255000, market_mdno =401, market_date ='9/10/2023' where link_id = (select link_id from parcel where parcel_year = '2024' and parcel_id = '23092241510');</v>
      </c>
    </row>
    <row r="979" spans="1:85" x14ac:dyDescent="0.25">
      <c r="A979">
        <v>23092241511</v>
      </c>
      <c r="B979">
        <v>0.21</v>
      </c>
      <c r="C979">
        <v>8996</v>
      </c>
      <c r="D979" t="s">
        <v>129</v>
      </c>
      <c r="E979" t="s">
        <v>53</v>
      </c>
      <c r="F979" t="s">
        <v>53</v>
      </c>
      <c r="G979">
        <v>4</v>
      </c>
      <c r="H979" t="s">
        <v>54</v>
      </c>
      <c r="I979">
        <v>191100</v>
      </c>
      <c r="J979">
        <v>43700</v>
      </c>
      <c r="K979">
        <v>0.21</v>
      </c>
      <c r="L97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79">
        <v>0</v>
      </c>
      <c r="N979">
        <v>0</v>
      </c>
      <c r="O979">
        <v>0</v>
      </c>
      <c r="P979">
        <v>13398.7528</v>
      </c>
      <c r="Q979">
        <v>63903</v>
      </c>
      <c r="R979">
        <f>(Grandview_Inventory[[#This Row],[ln_acres]]*Grandview_Inventory[[#This Row],[coeff]])+Grandview_Inventory[[#This Row],[const]]</f>
        <v>42992.266613125081</v>
      </c>
      <c r="S979" t="s">
        <v>61</v>
      </c>
      <c r="T979">
        <v>1</v>
      </c>
      <c r="U979" t="s">
        <v>65</v>
      </c>
      <c r="V979" t="s">
        <v>67</v>
      </c>
      <c r="W979">
        <v>0</v>
      </c>
      <c r="X979">
        <v>0</v>
      </c>
      <c r="Y979">
        <v>51</v>
      </c>
      <c r="Z979">
        <v>77</v>
      </c>
      <c r="AA979">
        <v>80</v>
      </c>
      <c r="AB979">
        <v>1500</v>
      </c>
      <c r="AC979">
        <v>1372</v>
      </c>
      <c r="AD979">
        <v>1372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410</v>
      </c>
      <c r="AN979">
        <v>0</v>
      </c>
      <c r="AO979">
        <v>410</v>
      </c>
      <c r="AP979">
        <v>5</v>
      </c>
      <c r="AQ979">
        <v>1</v>
      </c>
      <c r="AR979">
        <v>0</v>
      </c>
      <c r="AS979" t="s">
        <v>58</v>
      </c>
      <c r="AT979">
        <v>1</v>
      </c>
      <c r="AU979" t="s">
        <v>63</v>
      </c>
      <c r="AV979" t="s">
        <v>64</v>
      </c>
      <c r="AW979">
        <v>0</v>
      </c>
      <c r="AX979">
        <v>3</v>
      </c>
      <c r="AY979">
        <v>0</v>
      </c>
      <c r="AZ979">
        <v>11300</v>
      </c>
      <c r="BA979">
        <v>100</v>
      </c>
      <c r="BB979">
        <v>100</v>
      </c>
      <c r="BC979">
        <v>100</v>
      </c>
      <c r="BD979">
        <v>100</v>
      </c>
      <c r="BE979">
        <v>1</v>
      </c>
      <c r="BF979">
        <v>15000</v>
      </c>
      <c r="BG979">
        <v>1000</v>
      </c>
      <c r="BH979" s="6">
        <f>Grandview_Inventory[[#This Row],[land_extract]]*Lookups!$B$3</f>
        <v>49926.8031387023</v>
      </c>
      <c r="BI979" s="6">
        <f>IF(Grandview_Inventory[[#This Row],[bldg_style]]="",0,Lookups!$B$2)</f>
        <v>155833.95000000001</v>
      </c>
      <c r="BJ979" s="6">
        <f>_xlfn.IFNA(VLOOKUP(Grandview_Inventory[[#This Row],[quality]],Lookups!$H$2:$J$14,3,FALSE),0)</f>
        <v>2251</v>
      </c>
      <c r="BK979" s="6">
        <f>_xlfn.IFNA(VLOOKUP(Grandview_Inventory[[#This Row],[condition]],Lookups!$H$17:$J$24,3,FALSE),0)</f>
        <v>22342</v>
      </c>
      <c r="BL979" s="6">
        <f>Grandview_Inventory[[#This Row],[Eff_Age]]*Lookups!$B$14</f>
        <v>-12197.496599999999</v>
      </c>
      <c r="BM979" s="6">
        <f>Grandview_Inventory[[#This Row],[living_area]]*Lookups!$B$15</f>
        <v>85586.530316000004</v>
      </c>
      <c r="BN979" s="6">
        <f>Grandview_Inventory[[#This Row],[Fin BSMT]]*Lookups!$B$16</f>
        <v>0</v>
      </c>
      <c r="BO979" s="6">
        <f>(Grandview_Inventory[[#This Row],[att_gar]]+Grandview_Inventory[[#This Row],[bltin_gar]])*Lookups!$B$17</f>
        <v>0</v>
      </c>
      <c r="BP979" s="6">
        <f>Grandview_Inventory[[#This Row],[Plumbing Fixtures]]*Lookups!$B$18</f>
        <v>10052.209000000001</v>
      </c>
      <c r="BQ979" s="6">
        <f>Grandview_Inventory[[#This Row],[detatched_value]]*Lookups!$B$19</f>
        <v>9568.8976299999995</v>
      </c>
      <c r="BR979" s="6">
        <f>SUM(Grandview_Inventory[[#This Row],[Intercept]:[det_value]])*Grandview_Inventory[[#This Row],[res_pct]]</f>
        <v>273437.09034599998</v>
      </c>
      <c r="BS979" s="6">
        <f>Grandview_Inventory[[#This Row],[land_value]]</f>
        <v>49926.8031387023</v>
      </c>
      <c r="BT979" s="4">
        <f>_xlfn.IFNA(VLOOKUP(Grandview_Inventory[[#This Row],[quality]],Lookups!$A$26:$C$33,3,FALSE),1)</f>
        <v>0.98763855981004833</v>
      </c>
      <c r="BU979" s="4">
        <f>_xlfn.IFNA(VLOOKUP(Grandview_Inventory[[#This Row],[condition]],Lookups!$A$37:$C$44,3,FALSE),1)</f>
        <v>0.97383723671140243</v>
      </c>
      <c r="BV979" s="4">
        <f>IF(Grandview_Inventory[[#This Row],[bldg_style]]="",1,_xlfn.IFNA(VLOOKUP(Grandview_Inventory[[#This Row],[decade]],Lookups!$F$29:$H$43,3,FALSE),1))</f>
        <v>0.98763256963907298</v>
      </c>
      <c r="BW979" s="4">
        <f>_xlfn.IFNA(VLOOKUP(Grandview_Inventory[[#This Row],[living_area_range]],Lookups!$F$47:$H$56,3,FALSE),1)</f>
        <v>0.96135087979789358</v>
      </c>
      <c r="BX979" s="4">
        <f>AVERAGE(Grandview_Inventory[[#This Row],[qual_adj]:[size_adj]])</f>
        <v>0.97761481148960427</v>
      </c>
      <c r="BY979" s="6">
        <f>IF(Grandview_Inventory[[#This Row],[pre_res]]&lt;0,0,Grandview_Inventory[[#This Row],[pre_res]]*Grandview_Inventory[[#This Row],[overall_adj]])</f>
        <v>267316.14953287068</v>
      </c>
      <c r="BZ979" s="6">
        <f>(Grandview_Inventory[[#This Row],[sum_land]]-IF(Grandview_Inventory[[#This Row],[no_utilities]]=1,12000,0))/IF(Grandview_Inventory[[#This Row],[unbuildable]]=1,2,1)</f>
        <v>49926.8031387023</v>
      </c>
      <c r="CA97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79">
        <f>ROUND(Grandview_Inventory[[#This Row],[det_value]]*Lookups!$M$28,-2)</f>
        <v>9100</v>
      </c>
      <c r="CC979">
        <f>IF(ROUND(Grandview_Inventory[[#This Row],[adj_res]]*Lookups!$M$28,-2)&lt;Grandview_Inventory[[#This Row],[min_res]],Grandview_Inventory[[#This Row],[min_res]],ROUND(Grandview_Inventory[[#This Row],[adj_res]]*Lookups!$M$28,-2))</f>
        <v>254000</v>
      </c>
      <c r="CD979">
        <f>Grandview_Inventory[[#This Row],[final_det]]+Grandview_Inventory[[#This Row],[final_res]]</f>
        <v>263100</v>
      </c>
      <c r="CE979">
        <f>Grandview_Inventory[[#This Row],[final_land]]+Grandview_Inventory[[#This Row],[final_imp]]+Grandview_Inventory[[#This Row],[crop_value]]</f>
        <v>310500</v>
      </c>
      <c r="CG979" t="str">
        <f t="shared" si="15"/>
        <v>update valuation set market_land =47400, market_bldg=263100, market_total =310500, market_mdno =401, market_date ='9/10/2023' where link_id = (select link_id from parcel where parcel_year = '2024' and parcel_id = '23092241511');</v>
      </c>
    </row>
    <row r="980" spans="1:85" x14ac:dyDescent="0.25">
      <c r="A980">
        <v>23092241512</v>
      </c>
      <c r="B980">
        <v>0.21</v>
      </c>
      <c r="C980">
        <v>8996</v>
      </c>
      <c r="D980" t="s">
        <v>129</v>
      </c>
      <c r="E980" t="s">
        <v>53</v>
      </c>
      <c r="F980" t="s">
        <v>53</v>
      </c>
      <c r="G980">
        <v>4</v>
      </c>
      <c r="H980" t="s">
        <v>54</v>
      </c>
      <c r="I980">
        <v>156900</v>
      </c>
      <c r="J980">
        <v>39300</v>
      </c>
      <c r="K980">
        <v>0.21</v>
      </c>
      <c r="L98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80">
        <v>0</v>
      </c>
      <c r="N980">
        <v>0</v>
      </c>
      <c r="O980">
        <v>0</v>
      </c>
      <c r="P980">
        <v>13398.7528</v>
      </c>
      <c r="Q980">
        <v>63903</v>
      </c>
      <c r="R980">
        <f>(Grandview_Inventory[[#This Row],[ln_acres]]*Grandview_Inventory[[#This Row],[coeff]])+Grandview_Inventory[[#This Row],[const]]</f>
        <v>42992.266613125081</v>
      </c>
      <c r="S980" t="s">
        <v>55</v>
      </c>
      <c r="T980">
        <v>2</v>
      </c>
      <c r="U980" t="s">
        <v>70</v>
      </c>
      <c r="V980" t="s">
        <v>69</v>
      </c>
      <c r="W980">
        <v>0</v>
      </c>
      <c r="X980">
        <v>0</v>
      </c>
      <c r="Y980">
        <v>49</v>
      </c>
      <c r="Z980">
        <v>68</v>
      </c>
      <c r="AA980">
        <v>70</v>
      </c>
      <c r="AB980">
        <v>1500</v>
      </c>
      <c r="AC980">
        <v>1344</v>
      </c>
      <c r="AD980">
        <v>1104</v>
      </c>
      <c r="AE980">
        <v>240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280</v>
      </c>
      <c r="AL980">
        <v>0</v>
      </c>
      <c r="AM980">
        <v>234</v>
      </c>
      <c r="AN980">
        <v>0</v>
      </c>
      <c r="AO980">
        <v>0</v>
      </c>
      <c r="AP980">
        <v>5</v>
      </c>
      <c r="AQ980">
        <v>0</v>
      </c>
      <c r="AR980">
        <v>0</v>
      </c>
      <c r="AS980" t="s">
        <v>58</v>
      </c>
      <c r="AT980">
        <v>1</v>
      </c>
      <c r="AU980" t="s">
        <v>63</v>
      </c>
      <c r="AV980" t="s">
        <v>64</v>
      </c>
      <c r="AW980">
        <v>1</v>
      </c>
      <c r="AX980">
        <v>3</v>
      </c>
      <c r="AY980">
        <v>0</v>
      </c>
      <c r="AZ980">
        <v>0</v>
      </c>
      <c r="BA980">
        <v>100</v>
      </c>
      <c r="BB980">
        <v>100</v>
      </c>
      <c r="BC980">
        <v>100</v>
      </c>
      <c r="BD980">
        <v>100</v>
      </c>
      <c r="BE980">
        <v>1</v>
      </c>
      <c r="BF980">
        <v>15000</v>
      </c>
      <c r="BG980">
        <v>1000</v>
      </c>
      <c r="BH980" s="6">
        <f>Grandview_Inventory[[#This Row],[land_extract]]*Lookups!$B$3</f>
        <v>49926.8031387023</v>
      </c>
      <c r="BI980" s="6">
        <f>IF(Grandview_Inventory[[#This Row],[bldg_style]]="",0,Lookups!$B$2)</f>
        <v>155833.95000000001</v>
      </c>
      <c r="BJ980" s="6">
        <f>_xlfn.IFNA(VLOOKUP(Grandview_Inventory[[#This Row],[quality]],Lookups!$H$2:$J$14,3,FALSE),0)</f>
        <v>10733</v>
      </c>
      <c r="BK980" s="6">
        <f>_xlfn.IFNA(VLOOKUP(Grandview_Inventory[[#This Row],[condition]],Lookups!$H$17:$J$24,3,FALSE),0)</f>
        <v>-4503</v>
      </c>
      <c r="BL980" s="6">
        <f>Grandview_Inventory[[#This Row],[Eff_Age]]*Lookups!$B$14</f>
        <v>-11719.163399999999</v>
      </c>
      <c r="BM980" s="6">
        <f>Grandview_Inventory[[#This Row],[living_area]]*Lookups!$B$15</f>
        <v>83839.86643200001</v>
      </c>
      <c r="BN980" s="6">
        <f>Grandview_Inventory[[#This Row],[Fin BSMT]]*Lookups!$B$16</f>
        <v>0</v>
      </c>
      <c r="BO980" s="6">
        <f>(Grandview_Inventory[[#This Row],[att_gar]]+Grandview_Inventory[[#This Row],[bltin_gar]])*Lookups!$B$17</f>
        <v>0</v>
      </c>
      <c r="BP980" s="6">
        <f>Grandview_Inventory[[#This Row],[Plumbing Fixtures]]*Lookups!$B$18</f>
        <v>10052.209000000001</v>
      </c>
      <c r="BQ980" s="6">
        <f>Grandview_Inventory[[#This Row],[detatched_value]]*Lookups!$B$19</f>
        <v>0</v>
      </c>
      <c r="BR980" s="6">
        <f>SUM(Grandview_Inventory[[#This Row],[Intercept]:[det_value]])*Grandview_Inventory[[#This Row],[res_pct]]</f>
        <v>244236.86203200003</v>
      </c>
      <c r="BS980" s="6">
        <f>Grandview_Inventory[[#This Row],[land_value]]</f>
        <v>49926.8031387023</v>
      </c>
      <c r="BT980" s="4">
        <f>_xlfn.IFNA(VLOOKUP(Grandview_Inventory[[#This Row],[quality]],Lookups!$A$26:$C$33,3,FALSE),1)</f>
        <v>0.98079741117310582</v>
      </c>
      <c r="BU980" s="4">
        <f>_xlfn.IFNA(VLOOKUP(Grandview_Inventory[[#This Row],[condition]],Lookups!$A$37:$C$44,3,FALSE),1)</f>
        <v>0.96469275950863709</v>
      </c>
      <c r="BV980" s="4">
        <f>IF(Grandview_Inventory[[#This Row],[bldg_style]]="",1,_xlfn.IFNA(VLOOKUP(Grandview_Inventory[[#This Row],[decade]],Lookups!$F$29:$H$43,3,FALSE),1))</f>
        <v>0.99472141305414818</v>
      </c>
      <c r="BW980" s="4">
        <f>_xlfn.IFNA(VLOOKUP(Grandview_Inventory[[#This Row],[living_area_range]],Lookups!$F$47:$H$56,3,FALSE),1)</f>
        <v>0.96135087979789358</v>
      </c>
      <c r="BX980" s="4">
        <f>AVERAGE(Grandview_Inventory[[#This Row],[qual_adj]:[size_adj]])</f>
        <v>0.97539061588344622</v>
      </c>
      <c r="BY980" s="6">
        <f>IF(Grandview_Inventory[[#This Row],[pre_res]]&lt;0,0,Grandview_Inventory[[#This Row],[pre_res]]*Grandview_Inventory[[#This Row],[overall_adj]])</f>
        <v>238226.34327883279</v>
      </c>
      <c r="BZ980" s="6">
        <f>(Grandview_Inventory[[#This Row],[sum_land]]-IF(Grandview_Inventory[[#This Row],[no_utilities]]=1,12000,0))/IF(Grandview_Inventory[[#This Row],[unbuildable]]=1,2,1)</f>
        <v>49926.8031387023</v>
      </c>
      <c r="CA98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80">
        <f>ROUND(Grandview_Inventory[[#This Row],[det_value]]*Lookups!$M$28,-2)</f>
        <v>0</v>
      </c>
      <c r="CC980">
        <f>IF(ROUND(Grandview_Inventory[[#This Row],[adj_res]]*Lookups!$M$28,-2)&lt;Grandview_Inventory[[#This Row],[min_res]],Grandview_Inventory[[#This Row],[min_res]],ROUND(Grandview_Inventory[[#This Row],[adj_res]]*Lookups!$M$28,-2))</f>
        <v>226300</v>
      </c>
      <c r="CD980">
        <f>Grandview_Inventory[[#This Row],[final_det]]+Grandview_Inventory[[#This Row],[final_res]]</f>
        <v>226300</v>
      </c>
      <c r="CE980">
        <f>Grandview_Inventory[[#This Row],[final_land]]+Grandview_Inventory[[#This Row],[final_imp]]+Grandview_Inventory[[#This Row],[crop_value]]</f>
        <v>273700</v>
      </c>
      <c r="CG980" t="str">
        <f t="shared" si="15"/>
        <v>update valuation set market_land =47400, market_bldg=226300, market_total =273700, market_mdno =401, market_date ='9/10/2023' where link_id = (select link_id from parcel where parcel_year = '2024' and parcel_id = '23092241512');</v>
      </c>
    </row>
    <row r="981" spans="1:85" x14ac:dyDescent="0.25">
      <c r="A981">
        <v>23092241513</v>
      </c>
      <c r="B981">
        <v>0.21</v>
      </c>
      <c r="C981">
        <v>8996</v>
      </c>
      <c r="D981" t="s">
        <v>129</v>
      </c>
      <c r="E981" t="s">
        <v>53</v>
      </c>
      <c r="F981" t="s">
        <v>53</v>
      </c>
      <c r="G981">
        <v>4</v>
      </c>
      <c r="H981" t="s">
        <v>54</v>
      </c>
      <c r="I981">
        <v>132000</v>
      </c>
      <c r="J981">
        <v>43700</v>
      </c>
      <c r="K981">
        <v>0.21</v>
      </c>
      <c r="L98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81">
        <v>0</v>
      </c>
      <c r="N981">
        <v>0</v>
      </c>
      <c r="O981">
        <v>0</v>
      </c>
      <c r="P981">
        <v>13398.7528</v>
      </c>
      <c r="Q981">
        <v>63903</v>
      </c>
      <c r="R981">
        <f>(Grandview_Inventory[[#This Row],[ln_acres]]*Grandview_Inventory[[#This Row],[coeff]])+Grandview_Inventory[[#This Row],[const]]</f>
        <v>42992.266613125081</v>
      </c>
      <c r="S981" t="s">
        <v>68</v>
      </c>
      <c r="T981">
        <v>1</v>
      </c>
      <c r="U981" t="s">
        <v>65</v>
      </c>
      <c r="V981" t="s">
        <v>69</v>
      </c>
      <c r="W981">
        <v>0</v>
      </c>
      <c r="X981">
        <v>0</v>
      </c>
      <c r="Y981">
        <v>50</v>
      </c>
      <c r="Z981">
        <v>73</v>
      </c>
      <c r="AA981">
        <v>80</v>
      </c>
      <c r="AB981">
        <v>2000</v>
      </c>
      <c r="AC981">
        <v>1642</v>
      </c>
      <c r="AD981">
        <v>892</v>
      </c>
      <c r="AE981">
        <v>0</v>
      </c>
      <c r="AF981">
        <v>0</v>
      </c>
      <c r="AG981">
        <v>750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200</v>
      </c>
      <c r="AN981">
        <v>0</v>
      </c>
      <c r="AO981">
        <v>0</v>
      </c>
      <c r="AP981">
        <v>5</v>
      </c>
      <c r="AQ981">
        <v>1</v>
      </c>
      <c r="AR981">
        <v>0</v>
      </c>
      <c r="AS981" t="s">
        <v>58</v>
      </c>
      <c r="AT981">
        <v>1</v>
      </c>
      <c r="AU981" t="s">
        <v>63</v>
      </c>
      <c r="AV981" t="s">
        <v>64</v>
      </c>
      <c r="AW981">
        <v>0</v>
      </c>
      <c r="AX981">
        <v>3</v>
      </c>
      <c r="AY981">
        <v>0</v>
      </c>
      <c r="AZ981">
        <v>4400</v>
      </c>
      <c r="BA981">
        <v>100</v>
      </c>
      <c r="BB981">
        <v>100</v>
      </c>
      <c r="BC981">
        <v>100</v>
      </c>
      <c r="BD981">
        <v>100</v>
      </c>
      <c r="BE981">
        <v>1</v>
      </c>
      <c r="BF981">
        <v>15000</v>
      </c>
      <c r="BG981">
        <v>1000</v>
      </c>
      <c r="BH981" s="6">
        <f>Grandview_Inventory[[#This Row],[land_extract]]*Lookups!$B$3</f>
        <v>49926.8031387023</v>
      </c>
      <c r="BI981" s="6">
        <f>IF(Grandview_Inventory[[#This Row],[bldg_style]]="",0,Lookups!$B$2)</f>
        <v>155833.95000000001</v>
      </c>
      <c r="BJ981" s="6">
        <f>_xlfn.IFNA(VLOOKUP(Grandview_Inventory[[#This Row],[quality]],Lookups!$H$2:$J$14,3,FALSE),0)</f>
        <v>2251</v>
      </c>
      <c r="BK981" s="6">
        <f>_xlfn.IFNA(VLOOKUP(Grandview_Inventory[[#This Row],[condition]],Lookups!$H$17:$J$24,3,FALSE),0)</f>
        <v>-4503</v>
      </c>
      <c r="BL981" s="6">
        <f>Grandview_Inventory[[#This Row],[Eff_Age]]*Lookups!$B$14</f>
        <v>-11958.33</v>
      </c>
      <c r="BM981" s="6">
        <f>Grandview_Inventory[[#This Row],[living_area]]*Lookups!$B$15</f>
        <v>102429.36062600001</v>
      </c>
      <c r="BN981" s="6">
        <f>Grandview_Inventory[[#This Row],[Fin BSMT]]*Lookups!$B$16</f>
        <v>-20324.43</v>
      </c>
      <c r="BO981" s="6">
        <f>(Grandview_Inventory[[#This Row],[att_gar]]+Grandview_Inventory[[#This Row],[bltin_gar]])*Lookups!$B$17</f>
        <v>0</v>
      </c>
      <c r="BP981" s="6">
        <f>Grandview_Inventory[[#This Row],[Plumbing Fixtures]]*Lookups!$B$18</f>
        <v>10052.209000000001</v>
      </c>
      <c r="BQ981" s="6">
        <f>Grandview_Inventory[[#This Row],[detatched_value]]*Lookups!$B$19</f>
        <v>3725.9424399999998</v>
      </c>
      <c r="BR981" s="6">
        <f>SUM(Grandview_Inventory[[#This Row],[Intercept]:[det_value]])*Grandview_Inventory[[#This Row],[res_pct]]</f>
        <v>237506.70206600006</v>
      </c>
      <c r="BS981" s="6">
        <f>Grandview_Inventory[[#This Row],[land_value]]</f>
        <v>49926.8031387023</v>
      </c>
      <c r="BT981" s="4">
        <f>_xlfn.IFNA(VLOOKUP(Grandview_Inventory[[#This Row],[quality]],Lookups!$A$26:$C$33,3,FALSE),1)</f>
        <v>0.98763855981004833</v>
      </c>
      <c r="BU981" s="4">
        <f>_xlfn.IFNA(VLOOKUP(Grandview_Inventory[[#This Row],[condition]],Lookups!$A$37:$C$44,3,FALSE),1)</f>
        <v>0.96469275950863709</v>
      </c>
      <c r="BV981" s="4">
        <f>IF(Grandview_Inventory[[#This Row],[bldg_style]]="",1,_xlfn.IFNA(VLOOKUP(Grandview_Inventory[[#This Row],[decade]],Lookups!$F$29:$H$43,3,FALSE),1))</f>
        <v>0.98763256963907298</v>
      </c>
      <c r="BW981" s="4">
        <f>_xlfn.IFNA(VLOOKUP(Grandview_Inventory[[#This Row],[living_area_range]],Lookups!$F$47:$H$56,3,FALSE),1)</f>
        <v>0.96120133463014379</v>
      </c>
      <c r="BX981" s="4">
        <f>AVERAGE(Grandview_Inventory[[#This Row],[qual_adj]:[size_adj]])</f>
        <v>0.97529130589697544</v>
      </c>
      <c r="BY981" s="6">
        <f>IF(Grandview_Inventory[[#This Row],[pre_res]]&lt;0,0,Grandview_Inventory[[#This Row],[pre_res]]*Grandview_Inventory[[#This Row],[overall_adj]])</f>
        <v>231638.22161723307</v>
      </c>
      <c r="BZ981" s="6">
        <f>(Grandview_Inventory[[#This Row],[sum_land]]-IF(Grandview_Inventory[[#This Row],[no_utilities]]=1,12000,0))/IF(Grandview_Inventory[[#This Row],[unbuildable]]=1,2,1)</f>
        <v>49926.8031387023</v>
      </c>
      <c r="CA98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81">
        <f>ROUND(Grandview_Inventory[[#This Row],[det_value]]*Lookups!$M$28,-2)</f>
        <v>3500</v>
      </c>
      <c r="CC981">
        <f>IF(ROUND(Grandview_Inventory[[#This Row],[adj_res]]*Lookups!$M$28,-2)&lt;Grandview_Inventory[[#This Row],[min_res]],Grandview_Inventory[[#This Row],[min_res]],ROUND(Grandview_Inventory[[#This Row],[adj_res]]*Lookups!$M$28,-2))</f>
        <v>220100</v>
      </c>
      <c r="CD981">
        <f>Grandview_Inventory[[#This Row],[final_det]]+Grandview_Inventory[[#This Row],[final_res]]</f>
        <v>223600</v>
      </c>
      <c r="CE981">
        <f>Grandview_Inventory[[#This Row],[final_land]]+Grandview_Inventory[[#This Row],[final_imp]]+Grandview_Inventory[[#This Row],[crop_value]]</f>
        <v>271000</v>
      </c>
      <c r="CG981" t="str">
        <f t="shared" si="15"/>
        <v>update valuation set market_land =47400, market_bldg=223600, market_total =271000, market_mdno =401, market_date ='9/10/2023' where link_id = (select link_id from parcel where parcel_year = '2024' and parcel_id = '23092241513');</v>
      </c>
    </row>
    <row r="982" spans="1:85" x14ac:dyDescent="0.25">
      <c r="A982">
        <v>23092241514</v>
      </c>
      <c r="B982">
        <v>0.21</v>
      </c>
      <c r="C982">
        <v>8996</v>
      </c>
      <c r="D982" t="s">
        <v>129</v>
      </c>
      <c r="E982" t="s">
        <v>53</v>
      </c>
      <c r="F982" t="s">
        <v>53</v>
      </c>
      <c r="G982">
        <v>4</v>
      </c>
      <c r="H982" t="s">
        <v>54</v>
      </c>
      <c r="I982">
        <v>193500</v>
      </c>
      <c r="J982">
        <v>39300</v>
      </c>
      <c r="K982">
        <v>0.21</v>
      </c>
      <c r="L98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82">
        <v>0</v>
      </c>
      <c r="N982">
        <v>0</v>
      </c>
      <c r="O982">
        <v>0</v>
      </c>
      <c r="P982">
        <v>13398.7528</v>
      </c>
      <c r="Q982">
        <v>63903</v>
      </c>
      <c r="R982">
        <f>(Grandview_Inventory[[#This Row],[ln_acres]]*Grandview_Inventory[[#This Row],[coeff]])+Grandview_Inventory[[#This Row],[const]]</f>
        <v>42992.266613125081</v>
      </c>
      <c r="S982" t="s">
        <v>61</v>
      </c>
      <c r="T982">
        <v>1</v>
      </c>
      <c r="U982" t="s">
        <v>65</v>
      </c>
      <c r="V982" t="s">
        <v>69</v>
      </c>
      <c r="W982">
        <v>0</v>
      </c>
      <c r="X982">
        <v>0</v>
      </c>
      <c r="Y982">
        <v>50</v>
      </c>
      <c r="Z982">
        <v>75</v>
      </c>
      <c r="AA982">
        <v>80</v>
      </c>
      <c r="AB982">
        <v>2500</v>
      </c>
      <c r="AC982">
        <v>2332</v>
      </c>
      <c r="AD982">
        <v>2332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220</v>
      </c>
      <c r="AM982">
        <v>0</v>
      </c>
      <c r="AN982">
        <v>117</v>
      </c>
      <c r="AO982">
        <v>0</v>
      </c>
      <c r="AP982">
        <v>5</v>
      </c>
      <c r="AQ982">
        <v>0</v>
      </c>
      <c r="AR982">
        <v>0</v>
      </c>
      <c r="AS982" t="s">
        <v>58</v>
      </c>
      <c r="AT982">
        <v>1</v>
      </c>
      <c r="AU982" t="s">
        <v>63</v>
      </c>
      <c r="AV982" t="s">
        <v>64</v>
      </c>
      <c r="AW982">
        <v>1</v>
      </c>
      <c r="AX982">
        <v>3</v>
      </c>
      <c r="AY982">
        <v>0</v>
      </c>
      <c r="AZ982">
        <v>0</v>
      </c>
      <c r="BA982">
        <v>100</v>
      </c>
      <c r="BB982">
        <v>100</v>
      </c>
      <c r="BC982">
        <v>100</v>
      </c>
      <c r="BD982">
        <v>100</v>
      </c>
      <c r="BE982">
        <v>1</v>
      </c>
      <c r="BF982">
        <v>15000</v>
      </c>
      <c r="BG982">
        <v>1000</v>
      </c>
      <c r="BH982" s="6">
        <f>Grandview_Inventory[[#This Row],[land_extract]]*Lookups!$B$3</f>
        <v>49926.8031387023</v>
      </c>
      <c r="BI982" s="6">
        <f>IF(Grandview_Inventory[[#This Row],[bldg_style]]="",0,Lookups!$B$2)</f>
        <v>155833.95000000001</v>
      </c>
      <c r="BJ982" s="6">
        <f>_xlfn.IFNA(VLOOKUP(Grandview_Inventory[[#This Row],[quality]],Lookups!$H$2:$J$14,3,FALSE),0)</f>
        <v>2251</v>
      </c>
      <c r="BK982" s="6">
        <f>_xlfn.IFNA(VLOOKUP(Grandview_Inventory[[#This Row],[condition]],Lookups!$H$17:$J$24,3,FALSE),0)</f>
        <v>-4503</v>
      </c>
      <c r="BL982" s="6">
        <f>Grandview_Inventory[[#This Row],[Eff_Age]]*Lookups!$B$14</f>
        <v>-11958.33</v>
      </c>
      <c r="BM982" s="6">
        <f>Grandview_Inventory[[#This Row],[living_area]]*Lookups!$B$15</f>
        <v>145472.14919600001</v>
      </c>
      <c r="BN982" s="6">
        <f>Grandview_Inventory[[#This Row],[Fin BSMT]]*Lookups!$B$16</f>
        <v>0</v>
      </c>
      <c r="BO982" s="6">
        <f>(Grandview_Inventory[[#This Row],[att_gar]]+Grandview_Inventory[[#This Row],[bltin_gar]])*Lookups!$B$17</f>
        <v>0</v>
      </c>
      <c r="BP982" s="6">
        <f>Grandview_Inventory[[#This Row],[Plumbing Fixtures]]*Lookups!$B$18</f>
        <v>10052.209000000001</v>
      </c>
      <c r="BQ982" s="6">
        <f>Grandview_Inventory[[#This Row],[detatched_value]]*Lookups!$B$19</f>
        <v>0</v>
      </c>
      <c r="BR982" s="6">
        <f>SUM(Grandview_Inventory[[#This Row],[Intercept]:[det_value]])*Grandview_Inventory[[#This Row],[res_pct]]</f>
        <v>297147.97819600004</v>
      </c>
      <c r="BS982" s="6">
        <f>Grandview_Inventory[[#This Row],[land_value]]</f>
        <v>49926.8031387023</v>
      </c>
      <c r="BT982" s="4">
        <f>_xlfn.IFNA(VLOOKUP(Grandview_Inventory[[#This Row],[quality]],Lookups!$A$26:$C$33,3,FALSE),1)</f>
        <v>0.98763855981004833</v>
      </c>
      <c r="BU982" s="4">
        <f>_xlfn.IFNA(VLOOKUP(Grandview_Inventory[[#This Row],[condition]],Lookups!$A$37:$C$44,3,FALSE),1)</f>
        <v>0.96469275950863709</v>
      </c>
      <c r="BV982" s="4">
        <f>IF(Grandview_Inventory[[#This Row],[bldg_style]]="",1,_xlfn.IFNA(VLOOKUP(Grandview_Inventory[[#This Row],[decade]],Lookups!$F$29:$H$43,3,FALSE),1))</f>
        <v>0.98763256963907298</v>
      </c>
      <c r="BW982" s="4">
        <f>_xlfn.IFNA(VLOOKUP(Grandview_Inventory[[#This Row],[living_area_range]],Lookups!$F$47:$H$56,3,FALSE),1)</f>
        <v>0.95799442568048754</v>
      </c>
      <c r="BX982" s="4">
        <f>AVERAGE(Grandview_Inventory[[#This Row],[qual_adj]:[size_adj]])</f>
        <v>0.97448957865956143</v>
      </c>
      <c r="BY982" s="6">
        <f>IF(Grandview_Inventory[[#This Row],[pre_res]]&lt;0,0,Grandview_Inventory[[#This Row],[pre_res]]*Grandview_Inventory[[#This Row],[overall_adj]])</f>
        <v>289567.60807176062</v>
      </c>
      <c r="BZ982" s="6">
        <f>(Grandview_Inventory[[#This Row],[sum_land]]-IF(Grandview_Inventory[[#This Row],[no_utilities]]=1,12000,0))/IF(Grandview_Inventory[[#This Row],[unbuildable]]=1,2,1)</f>
        <v>49926.8031387023</v>
      </c>
      <c r="CA98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82">
        <f>ROUND(Grandview_Inventory[[#This Row],[det_value]]*Lookups!$M$28,-2)</f>
        <v>0</v>
      </c>
      <c r="CC982">
        <f>IF(ROUND(Grandview_Inventory[[#This Row],[adj_res]]*Lookups!$M$28,-2)&lt;Grandview_Inventory[[#This Row],[min_res]],Grandview_Inventory[[#This Row],[min_res]],ROUND(Grandview_Inventory[[#This Row],[adj_res]]*Lookups!$M$28,-2))</f>
        <v>275100</v>
      </c>
      <c r="CD982">
        <f>Grandview_Inventory[[#This Row],[final_det]]+Grandview_Inventory[[#This Row],[final_res]]</f>
        <v>275100</v>
      </c>
      <c r="CE982">
        <f>Grandview_Inventory[[#This Row],[final_land]]+Grandview_Inventory[[#This Row],[final_imp]]+Grandview_Inventory[[#This Row],[crop_value]]</f>
        <v>322500</v>
      </c>
      <c r="CG982" t="str">
        <f t="shared" si="15"/>
        <v>update valuation set market_land =47400, market_bldg=275100, market_total =322500, market_mdno =401, market_date ='9/10/2023' where link_id = (select link_id from parcel where parcel_year = '2024' and parcel_id = '23092241514');</v>
      </c>
    </row>
    <row r="983" spans="1:85" x14ac:dyDescent="0.25">
      <c r="A983">
        <v>23092241515</v>
      </c>
      <c r="B983">
        <v>0.25</v>
      </c>
      <c r="C983">
        <v>10835</v>
      </c>
      <c r="D983" t="s">
        <v>129</v>
      </c>
      <c r="E983" t="s">
        <v>53</v>
      </c>
      <c r="F983" t="s">
        <v>53</v>
      </c>
      <c r="G983">
        <v>4</v>
      </c>
      <c r="H983" t="s">
        <v>54</v>
      </c>
      <c r="I983">
        <v>150900</v>
      </c>
      <c r="J983">
        <v>44400</v>
      </c>
      <c r="K983">
        <v>0.25</v>
      </c>
      <c r="L983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83">
        <v>0</v>
      </c>
      <c r="N983">
        <v>0</v>
      </c>
      <c r="O983">
        <v>0</v>
      </c>
      <c r="P983">
        <v>13398.7528</v>
      </c>
      <c r="Q983">
        <v>63903</v>
      </c>
      <c r="R983">
        <f>(Grandview_Inventory[[#This Row],[ln_acres]]*Grandview_Inventory[[#This Row],[coeff]])+Grandview_Inventory[[#This Row],[const]]</f>
        <v>45328.38454732066</v>
      </c>
      <c r="S983" t="s">
        <v>68</v>
      </c>
      <c r="T983">
        <v>1</v>
      </c>
      <c r="U983" t="s">
        <v>70</v>
      </c>
      <c r="V983" t="s">
        <v>69</v>
      </c>
      <c r="W983">
        <v>0</v>
      </c>
      <c r="X983">
        <v>0</v>
      </c>
      <c r="Y983">
        <v>49</v>
      </c>
      <c r="Z983">
        <v>68</v>
      </c>
      <c r="AA983">
        <v>70</v>
      </c>
      <c r="AB983">
        <v>1500</v>
      </c>
      <c r="AC983">
        <v>1489</v>
      </c>
      <c r="AD983">
        <v>1489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528</v>
      </c>
      <c r="AL983">
        <v>0</v>
      </c>
      <c r="AM983">
        <v>252</v>
      </c>
      <c r="AN983">
        <v>261</v>
      </c>
      <c r="AO983">
        <v>252</v>
      </c>
      <c r="AP983">
        <v>5</v>
      </c>
      <c r="AQ983">
        <v>0</v>
      </c>
      <c r="AR983">
        <v>0</v>
      </c>
      <c r="AS983" t="s">
        <v>58</v>
      </c>
      <c r="AT983">
        <v>1</v>
      </c>
      <c r="AU983" t="s">
        <v>63</v>
      </c>
      <c r="AV983" t="s">
        <v>64</v>
      </c>
      <c r="AW983">
        <v>0</v>
      </c>
      <c r="AX983">
        <v>2</v>
      </c>
      <c r="AY983">
        <v>0</v>
      </c>
      <c r="AZ983">
        <v>0</v>
      </c>
      <c r="BA983">
        <v>100</v>
      </c>
      <c r="BB983">
        <v>100</v>
      </c>
      <c r="BC983">
        <v>100</v>
      </c>
      <c r="BD983">
        <v>100</v>
      </c>
      <c r="BE983">
        <v>1</v>
      </c>
      <c r="BF983">
        <v>15000</v>
      </c>
      <c r="BG983">
        <v>1000</v>
      </c>
      <c r="BH983" s="6">
        <f>Grandview_Inventory[[#This Row],[land_extract]]*Lookups!$B$3</f>
        <v>52639.730588165206</v>
      </c>
      <c r="BI983" s="6">
        <f>IF(Grandview_Inventory[[#This Row],[bldg_style]]="",0,Lookups!$B$2)</f>
        <v>155833.95000000001</v>
      </c>
      <c r="BJ983" s="6">
        <f>_xlfn.IFNA(VLOOKUP(Grandview_Inventory[[#This Row],[quality]],Lookups!$H$2:$J$14,3,FALSE),0)</f>
        <v>10733</v>
      </c>
      <c r="BK983" s="6">
        <f>_xlfn.IFNA(VLOOKUP(Grandview_Inventory[[#This Row],[condition]],Lookups!$H$17:$J$24,3,FALSE),0)</f>
        <v>-4503</v>
      </c>
      <c r="BL983" s="6">
        <f>Grandview_Inventory[[#This Row],[Eff_Age]]*Lookups!$B$14</f>
        <v>-11719.163399999999</v>
      </c>
      <c r="BM983" s="6">
        <f>Grandview_Inventory[[#This Row],[living_area]]*Lookups!$B$15</f>
        <v>92885.090117</v>
      </c>
      <c r="BN983" s="6">
        <f>Grandview_Inventory[[#This Row],[Fin BSMT]]*Lookups!$B$16</f>
        <v>0</v>
      </c>
      <c r="BO983" s="6">
        <f>(Grandview_Inventory[[#This Row],[att_gar]]+Grandview_Inventory[[#This Row],[bltin_gar]])*Lookups!$B$17</f>
        <v>0</v>
      </c>
      <c r="BP983" s="6">
        <f>Grandview_Inventory[[#This Row],[Plumbing Fixtures]]*Lookups!$B$18</f>
        <v>10052.209000000001</v>
      </c>
      <c r="BQ983" s="6">
        <f>Grandview_Inventory[[#This Row],[detatched_value]]*Lookups!$B$19</f>
        <v>0</v>
      </c>
      <c r="BR983" s="6">
        <f>SUM(Grandview_Inventory[[#This Row],[Intercept]:[det_value]])*Grandview_Inventory[[#This Row],[res_pct]]</f>
        <v>253282.08571700004</v>
      </c>
      <c r="BS983" s="6">
        <f>Grandview_Inventory[[#This Row],[land_value]]</f>
        <v>52639.730588165206</v>
      </c>
      <c r="BT983" s="4">
        <f>_xlfn.IFNA(VLOOKUP(Grandview_Inventory[[#This Row],[quality]],Lookups!$A$26:$C$33,3,FALSE),1)</f>
        <v>0.98079741117310582</v>
      </c>
      <c r="BU983" s="4">
        <f>_xlfn.IFNA(VLOOKUP(Grandview_Inventory[[#This Row],[condition]],Lookups!$A$37:$C$44,3,FALSE),1)</f>
        <v>0.96469275950863709</v>
      </c>
      <c r="BV983" s="4">
        <f>IF(Grandview_Inventory[[#This Row],[bldg_style]]="",1,_xlfn.IFNA(VLOOKUP(Grandview_Inventory[[#This Row],[decade]],Lookups!$F$29:$H$43,3,FALSE),1))</f>
        <v>0.99472141305414818</v>
      </c>
      <c r="BW983" s="4">
        <f>_xlfn.IFNA(VLOOKUP(Grandview_Inventory[[#This Row],[living_area_range]],Lookups!$F$47:$H$56,3,FALSE),1)</f>
        <v>0.96135087979789358</v>
      </c>
      <c r="BX983" s="4">
        <f>AVERAGE(Grandview_Inventory[[#This Row],[qual_adj]:[size_adj]])</f>
        <v>0.97539061588344622</v>
      </c>
      <c r="BY983" s="6">
        <f>IF(Grandview_Inventory[[#This Row],[pre_res]]&lt;0,0,Grandview_Inventory[[#This Row],[pre_res]]*Grandview_Inventory[[#This Row],[overall_adj]])</f>
        <v>247048.96957974849</v>
      </c>
      <c r="BZ983" s="6">
        <f>(Grandview_Inventory[[#This Row],[sum_land]]-IF(Grandview_Inventory[[#This Row],[no_utilities]]=1,12000,0))/IF(Grandview_Inventory[[#This Row],[unbuildable]]=1,2,1)</f>
        <v>52639.730588165206</v>
      </c>
      <c r="CA983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83">
        <f>ROUND(Grandview_Inventory[[#This Row],[det_value]]*Lookups!$M$28,-2)</f>
        <v>0</v>
      </c>
      <c r="CC983">
        <f>IF(ROUND(Grandview_Inventory[[#This Row],[adj_res]]*Lookups!$M$28,-2)&lt;Grandview_Inventory[[#This Row],[min_res]],Grandview_Inventory[[#This Row],[min_res]],ROUND(Grandview_Inventory[[#This Row],[adj_res]]*Lookups!$M$28,-2))</f>
        <v>234700</v>
      </c>
      <c r="CD983">
        <f>Grandview_Inventory[[#This Row],[final_det]]+Grandview_Inventory[[#This Row],[final_res]]</f>
        <v>234700</v>
      </c>
      <c r="CE983">
        <f>Grandview_Inventory[[#This Row],[final_land]]+Grandview_Inventory[[#This Row],[final_imp]]+Grandview_Inventory[[#This Row],[crop_value]]</f>
        <v>284700</v>
      </c>
      <c r="CG983" t="str">
        <f t="shared" si="15"/>
        <v>update valuation set market_land =50000, market_bldg=234700, market_total =284700, market_mdno =401, market_date ='9/10/2023' where link_id = (select link_id from parcel where parcel_year = '2024' and parcel_id = '23092241515');</v>
      </c>
    </row>
    <row r="984" spans="1:85" x14ac:dyDescent="0.25">
      <c r="A984">
        <v>23092241516</v>
      </c>
      <c r="B984">
        <v>0.25</v>
      </c>
      <c r="C984">
        <v>10835</v>
      </c>
      <c r="D984" t="s">
        <v>129</v>
      </c>
      <c r="E984" t="s">
        <v>53</v>
      </c>
      <c r="F984" t="s">
        <v>53</v>
      </c>
      <c r="G984">
        <v>4</v>
      </c>
      <c r="H984" t="s">
        <v>54</v>
      </c>
      <c r="I984">
        <v>142000</v>
      </c>
      <c r="J984">
        <v>44400</v>
      </c>
      <c r="K984">
        <v>0.25</v>
      </c>
      <c r="L98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84">
        <v>0</v>
      </c>
      <c r="N984">
        <v>0</v>
      </c>
      <c r="O984">
        <v>0</v>
      </c>
      <c r="P984">
        <v>13398.7528</v>
      </c>
      <c r="Q984">
        <v>63903</v>
      </c>
      <c r="R984">
        <f>(Grandview_Inventory[[#This Row],[ln_acres]]*Grandview_Inventory[[#This Row],[coeff]])+Grandview_Inventory[[#This Row],[const]]</f>
        <v>45328.38454732066</v>
      </c>
      <c r="S984" t="s">
        <v>61</v>
      </c>
      <c r="T984">
        <v>1</v>
      </c>
      <c r="U984" t="s">
        <v>65</v>
      </c>
      <c r="V984" t="s">
        <v>69</v>
      </c>
      <c r="W984">
        <v>0</v>
      </c>
      <c r="X984">
        <v>0</v>
      </c>
      <c r="Y984">
        <v>49</v>
      </c>
      <c r="Z984">
        <v>68</v>
      </c>
      <c r="AA984">
        <v>70</v>
      </c>
      <c r="AB984">
        <v>2000</v>
      </c>
      <c r="AC984">
        <v>1536</v>
      </c>
      <c r="AD984">
        <v>1536</v>
      </c>
      <c r="AE984">
        <v>0</v>
      </c>
      <c r="AF984">
        <v>0</v>
      </c>
      <c r="AG984">
        <v>0</v>
      </c>
      <c r="AH984">
        <v>0</v>
      </c>
      <c r="AI984">
        <v>320</v>
      </c>
      <c r="AJ984">
        <v>0</v>
      </c>
      <c r="AK984">
        <v>0</v>
      </c>
      <c r="AL984">
        <v>0</v>
      </c>
      <c r="AM984">
        <v>360</v>
      </c>
      <c r="AN984">
        <v>0</v>
      </c>
      <c r="AO984">
        <v>360</v>
      </c>
      <c r="AP984">
        <v>5</v>
      </c>
      <c r="AQ984">
        <v>0</v>
      </c>
      <c r="AR984">
        <v>0</v>
      </c>
      <c r="AS984" t="s">
        <v>58</v>
      </c>
      <c r="AT984">
        <v>1</v>
      </c>
      <c r="AU984" t="s">
        <v>63</v>
      </c>
      <c r="AV984" t="s">
        <v>64</v>
      </c>
      <c r="AW984">
        <v>1</v>
      </c>
      <c r="AX984">
        <v>3</v>
      </c>
      <c r="AY984">
        <v>0</v>
      </c>
      <c r="AZ984">
        <v>0</v>
      </c>
      <c r="BA984">
        <v>100</v>
      </c>
      <c r="BB984">
        <v>100</v>
      </c>
      <c r="BC984">
        <v>100</v>
      </c>
      <c r="BD984">
        <v>100</v>
      </c>
      <c r="BE984">
        <v>1</v>
      </c>
      <c r="BF984">
        <v>15000</v>
      </c>
      <c r="BG984">
        <v>1000</v>
      </c>
      <c r="BH984" s="6">
        <f>Grandview_Inventory[[#This Row],[land_extract]]*Lookups!$B$3</f>
        <v>52639.730588165206</v>
      </c>
      <c r="BI984" s="6">
        <f>IF(Grandview_Inventory[[#This Row],[bldg_style]]="",0,Lookups!$B$2)</f>
        <v>155833.95000000001</v>
      </c>
      <c r="BJ984" s="6">
        <f>_xlfn.IFNA(VLOOKUP(Grandview_Inventory[[#This Row],[quality]],Lookups!$H$2:$J$14,3,FALSE),0)</f>
        <v>2251</v>
      </c>
      <c r="BK984" s="6">
        <f>_xlfn.IFNA(VLOOKUP(Grandview_Inventory[[#This Row],[condition]],Lookups!$H$17:$J$24,3,FALSE),0)</f>
        <v>-4503</v>
      </c>
      <c r="BL984" s="6">
        <f>Grandview_Inventory[[#This Row],[Eff_Age]]*Lookups!$B$14</f>
        <v>-11719.163399999999</v>
      </c>
      <c r="BM984" s="6">
        <f>Grandview_Inventory[[#This Row],[living_area]]*Lookups!$B$15</f>
        <v>95816.990208000003</v>
      </c>
      <c r="BN984" s="6">
        <f>Grandview_Inventory[[#This Row],[Fin BSMT]]*Lookups!$B$16</f>
        <v>0</v>
      </c>
      <c r="BO984" s="6">
        <f>(Grandview_Inventory[[#This Row],[att_gar]]+Grandview_Inventory[[#This Row],[bltin_gar]])*Lookups!$B$17</f>
        <v>28006.539840000001</v>
      </c>
      <c r="BP984" s="6">
        <f>Grandview_Inventory[[#This Row],[Plumbing Fixtures]]*Lookups!$B$18</f>
        <v>10052.209000000001</v>
      </c>
      <c r="BQ984" s="6">
        <f>Grandview_Inventory[[#This Row],[detatched_value]]*Lookups!$B$19</f>
        <v>0</v>
      </c>
      <c r="BR984" s="6">
        <f>SUM(Grandview_Inventory[[#This Row],[Intercept]:[det_value]])*Grandview_Inventory[[#This Row],[res_pct]]</f>
        <v>275738.52564800001</v>
      </c>
      <c r="BS984" s="6">
        <f>Grandview_Inventory[[#This Row],[land_value]]</f>
        <v>52639.730588165206</v>
      </c>
      <c r="BT984" s="4">
        <f>_xlfn.IFNA(VLOOKUP(Grandview_Inventory[[#This Row],[quality]],Lookups!$A$26:$C$33,3,FALSE),1)</f>
        <v>0.98763855981004833</v>
      </c>
      <c r="BU984" s="4">
        <f>_xlfn.IFNA(VLOOKUP(Grandview_Inventory[[#This Row],[condition]],Lookups!$A$37:$C$44,3,FALSE),1)</f>
        <v>0.96469275950863709</v>
      </c>
      <c r="BV984" s="4">
        <f>IF(Grandview_Inventory[[#This Row],[bldg_style]]="",1,_xlfn.IFNA(VLOOKUP(Grandview_Inventory[[#This Row],[decade]],Lookups!$F$29:$H$43,3,FALSE),1))</f>
        <v>0.99472141305414818</v>
      </c>
      <c r="BW984" s="4">
        <f>_xlfn.IFNA(VLOOKUP(Grandview_Inventory[[#This Row],[living_area_range]],Lookups!$F$47:$H$56,3,FALSE),1)</f>
        <v>0.96120133463014379</v>
      </c>
      <c r="BX984" s="4">
        <f>AVERAGE(Grandview_Inventory[[#This Row],[qual_adj]:[size_adj]])</f>
        <v>0.97706351675074443</v>
      </c>
      <c r="BY984" s="6">
        <f>IF(Grandview_Inventory[[#This Row],[pre_res]]&lt;0,0,Grandview_Inventory[[#This Row],[pre_res]]*Grandview_Inventory[[#This Row],[overall_adj]])</f>
        <v>269414.05357330025</v>
      </c>
      <c r="BZ984" s="6">
        <f>(Grandview_Inventory[[#This Row],[sum_land]]-IF(Grandview_Inventory[[#This Row],[no_utilities]]=1,12000,0))/IF(Grandview_Inventory[[#This Row],[unbuildable]]=1,2,1)</f>
        <v>52639.730588165206</v>
      </c>
      <c r="CA98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84">
        <f>ROUND(Grandview_Inventory[[#This Row],[det_value]]*Lookups!$M$28,-2)</f>
        <v>0</v>
      </c>
      <c r="CC984">
        <f>IF(ROUND(Grandview_Inventory[[#This Row],[adj_res]]*Lookups!$M$28,-2)&lt;Grandview_Inventory[[#This Row],[min_res]],Grandview_Inventory[[#This Row],[min_res]],ROUND(Grandview_Inventory[[#This Row],[adj_res]]*Lookups!$M$28,-2))</f>
        <v>255900</v>
      </c>
      <c r="CD984">
        <f>Grandview_Inventory[[#This Row],[final_det]]+Grandview_Inventory[[#This Row],[final_res]]</f>
        <v>255900</v>
      </c>
      <c r="CE984">
        <f>Grandview_Inventory[[#This Row],[final_land]]+Grandview_Inventory[[#This Row],[final_imp]]+Grandview_Inventory[[#This Row],[crop_value]]</f>
        <v>305900</v>
      </c>
      <c r="CG984" t="str">
        <f t="shared" si="15"/>
        <v>update valuation set market_land =50000, market_bldg=255900, market_total =305900, market_mdno =401, market_date ='9/10/2023' where link_id = (select link_id from parcel where parcel_year = '2024' and parcel_id = '23092241516');</v>
      </c>
    </row>
    <row r="985" spans="1:85" x14ac:dyDescent="0.25">
      <c r="A985">
        <v>23092241517</v>
      </c>
      <c r="B985">
        <v>0.36</v>
      </c>
      <c r="C985">
        <v>15585</v>
      </c>
      <c r="D985" t="s">
        <v>129</v>
      </c>
      <c r="E985" t="s">
        <v>53</v>
      </c>
      <c r="F985" t="s">
        <v>53</v>
      </c>
      <c r="G985">
        <v>4</v>
      </c>
      <c r="H985" t="s">
        <v>54</v>
      </c>
      <c r="I985">
        <v>178500</v>
      </c>
      <c r="J985">
        <v>41100</v>
      </c>
      <c r="K985">
        <v>0.36</v>
      </c>
      <c r="L985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985">
        <v>0</v>
      </c>
      <c r="N985">
        <v>0</v>
      </c>
      <c r="O985">
        <v>0</v>
      </c>
      <c r="P985">
        <v>13398.7528</v>
      </c>
      <c r="Q985">
        <v>63903</v>
      </c>
      <c r="R985">
        <f>(Grandview_Inventory[[#This Row],[ln_acres]]*Grandview_Inventory[[#This Row],[coeff]])+Grandview_Inventory[[#This Row],[const]]</f>
        <v>50214.147486507369</v>
      </c>
      <c r="S985" t="s">
        <v>61</v>
      </c>
      <c r="T985">
        <v>1</v>
      </c>
      <c r="U985" t="s">
        <v>65</v>
      </c>
      <c r="V985" t="s">
        <v>69</v>
      </c>
      <c r="W985">
        <v>0</v>
      </c>
      <c r="X985">
        <v>0</v>
      </c>
      <c r="Y985">
        <v>48</v>
      </c>
      <c r="Z985">
        <v>63</v>
      </c>
      <c r="AA985">
        <v>70</v>
      </c>
      <c r="AB985">
        <v>1500</v>
      </c>
      <c r="AC985">
        <v>1408</v>
      </c>
      <c r="AD985">
        <v>1408</v>
      </c>
      <c r="AE985">
        <v>0</v>
      </c>
      <c r="AF985">
        <v>0</v>
      </c>
      <c r="AG985">
        <v>0</v>
      </c>
      <c r="AH985">
        <v>0</v>
      </c>
      <c r="AI985">
        <v>308</v>
      </c>
      <c r="AJ985">
        <v>0</v>
      </c>
      <c r="AK985">
        <v>0</v>
      </c>
      <c r="AL985">
        <v>0</v>
      </c>
      <c r="AM985">
        <v>242</v>
      </c>
      <c r="AN985">
        <v>0</v>
      </c>
      <c r="AO985">
        <v>242</v>
      </c>
      <c r="AP985">
        <v>5</v>
      </c>
      <c r="AQ985">
        <v>0</v>
      </c>
      <c r="AR985">
        <v>1</v>
      </c>
      <c r="AS985" t="s">
        <v>58</v>
      </c>
      <c r="AT985">
        <v>1</v>
      </c>
      <c r="AU985" t="s">
        <v>63</v>
      </c>
      <c r="AV985" t="s">
        <v>64</v>
      </c>
      <c r="AW985">
        <v>1</v>
      </c>
      <c r="AX985">
        <v>3</v>
      </c>
      <c r="AY985">
        <v>0</v>
      </c>
      <c r="AZ985">
        <v>0</v>
      </c>
      <c r="BA985">
        <v>100</v>
      </c>
      <c r="BB985">
        <v>100</v>
      </c>
      <c r="BC985">
        <v>100</v>
      </c>
      <c r="BD985">
        <v>100</v>
      </c>
      <c r="BE985">
        <v>1</v>
      </c>
      <c r="BF985">
        <v>15000</v>
      </c>
      <c r="BG985">
        <v>1000</v>
      </c>
      <c r="BH985" s="6">
        <f>Grandview_Inventory[[#This Row],[land_extract]]*Lookups!$B$3</f>
        <v>58313.55389788279</v>
      </c>
      <c r="BI985" s="6">
        <f>IF(Grandview_Inventory[[#This Row],[bldg_style]]="",0,Lookups!$B$2)</f>
        <v>155833.95000000001</v>
      </c>
      <c r="BJ985" s="6">
        <f>_xlfn.IFNA(VLOOKUP(Grandview_Inventory[[#This Row],[quality]],Lookups!$H$2:$J$14,3,FALSE),0)</f>
        <v>2251</v>
      </c>
      <c r="BK985" s="6">
        <f>_xlfn.IFNA(VLOOKUP(Grandview_Inventory[[#This Row],[condition]],Lookups!$H$17:$J$24,3,FALSE),0)</f>
        <v>-4503</v>
      </c>
      <c r="BL985" s="6">
        <f>Grandview_Inventory[[#This Row],[Eff_Age]]*Lookups!$B$14</f>
        <v>-11479.996799999999</v>
      </c>
      <c r="BM985" s="6">
        <f>Grandview_Inventory[[#This Row],[living_area]]*Lookups!$B$15</f>
        <v>87832.241024000003</v>
      </c>
      <c r="BN985" s="6">
        <f>Grandview_Inventory[[#This Row],[Fin BSMT]]*Lookups!$B$16</f>
        <v>0</v>
      </c>
      <c r="BO985" s="6">
        <f>(Grandview_Inventory[[#This Row],[att_gar]]+Grandview_Inventory[[#This Row],[bltin_gar]])*Lookups!$B$17</f>
        <v>26956.294596</v>
      </c>
      <c r="BP985" s="6">
        <f>Grandview_Inventory[[#This Row],[Plumbing Fixtures]]*Lookups!$B$18</f>
        <v>10052.209000000001</v>
      </c>
      <c r="BQ985" s="6">
        <f>Grandview_Inventory[[#This Row],[detatched_value]]*Lookups!$B$19</f>
        <v>0</v>
      </c>
      <c r="BR985" s="6">
        <f>SUM(Grandview_Inventory[[#This Row],[Intercept]:[det_value]])*Grandview_Inventory[[#This Row],[res_pct]]</f>
        <v>266942.69782</v>
      </c>
      <c r="BS985" s="6">
        <f>Grandview_Inventory[[#This Row],[land_value]]</f>
        <v>58313.55389788279</v>
      </c>
      <c r="BT985" s="4">
        <f>_xlfn.IFNA(VLOOKUP(Grandview_Inventory[[#This Row],[quality]],Lookups!$A$26:$C$33,3,FALSE),1)</f>
        <v>0.98763855981004833</v>
      </c>
      <c r="BU985" s="4">
        <f>_xlfn.IFNA(VLOOKUP(Grandview_Inventory[[#This Row],[condition]],Lookups!$A$37:$C$44,3,FALSE),1)</f>
        <v>0.96469275950863709</v>
      </c>
      <c r="BV985" s="4">
        <f>IF(Grandview_Inventory[[#This Row],[bldg_style]]="",1,_xlfn.IFNA(VLOOKUP(Grandview_Inventory[[#This Row],[decade]],Lookups!$F$29:$H$43,3,FALSE),1))</f>
        <v>0.99472141305414818</v>
      </c>
      <c r="BW985" s="4">
        <f>_xlfn.IFNA(VLOOKUP(Grandview_Inventory[[#This Row],[living_area_range]],Lookups!$F$47:$H$56,3,FALSE),1)</f>
        <v>0.96135087979789358</v>
      </c>
      <c r="BX985" s="4">
        <f>AVERAGE(Grandview_Inventory[[#This Row],[qual_adj]:[size_adj]])</f>
        <v>0.97710090304268182</v>
      </c>
      <c r="BY985" s="6">
        <f>IF(Grandview_Inventory[[#This Row],[pre_res]]&lt;0,0,Grandview_Inventory[[#This Row],[pre_res]]*Grandview_Inventory[[#This Row],[overall_adj]])</f>
        <v>260829.95110057172</v>
      </c>
      <c r="BZ985" s="6">
        <f>(Grandview_Inventory[[#This Row],[sum_land]]-IF(Grandview_Inventory[[#This Row],[no_utilities]]=1,12000,0))/IF(Grandview_Inventory[[#This Row],[unbuildable]]=1,2,1)</f>
        <v>58313.55389788279</v>
      </c>
      <c r="CA985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985">
        <f>ROUND(Grandview_Inventory[[#This Row],[det_value]]*Lookups!$M$28,-2)</f>
        <v>0</v>
      </c>
      <c r="CC985">
        <f>IF(ROUND(Grandview_Inventory[[#This Row],[adj_res]]*Lookups!$M$28,-2)&lt;Grandview_Inventory[[#This Row],[min_res]],Grandview_Inventory[[#This Row],[min_res]],ROUND(Grandview_Inventory[[#This Row],[adj_res]]*Lookups!$M$28,-2))</f>
        <v>247800</v>
      </c>
      <c r="CD985">
        <f>Grandview_Inventory[[#This Row],[final_det]]+Grandview_Inventory[[#This Row],[final_res]]</f>
        <v>247800</v>
      </c>
      <c r="CE985">
        <f>Grandview_Inventory[[#This Row],[final_land]]+Grandview_Inventory[[#This Row],[final_imp]]+Grandview_Inventory[[#This Row],[crop_value]]</f>
        <v>303200</v>
      </c>
      <c r="CG985" t="str">
        <f t="shared" si="15"/>
        <v>update valuation set market_land =55400, market_bldg=247800, market_total =303200, market_mdno =401, market_date ='9/10/2023' where link_id = (select link_id from parcel where parcel_year = '2024' and parcel_id = '23092241517');</v>
      </c>
    </row>
    <row r="986" spans="1:85" x14ac:dyDescent="0.25">
      <c r="A986">
        <v>23092241519</v>
      </c>
      <c r="B986">
        <v>0.14000000000000001</v>
      </c>
      <c r="C986">
        <v>6090</v>
      </c>
      <c r="D986" t="s">
        <v>129</v>
      </c>
      <c r="E986" t="s">
        <v>53</v>
      </c>
      <c r="F986" t="s">
        <v>53</v>
      </c>
      <c r="G986">
        <v>4</v>
      </c>
      <c r="H986" t="s">
        <v>54</v>
      </c>
      <c r="I986">
        <v>130400</v>
      </c>
      <c r="J986">
        <v>38300</v>
      </c>
      <c r="K986">
        <v>0.14000000000000001</v>
      </c>
      <c r="L986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986">
        <v>0</v>
      </c>
      <c r="N986">
        <v>0</v>
      </c>
      <c r="O986">
        <v>0</v>
      </c>
      <c r="P986">
        <v>13398.7528</v>
      </c>
      <c r="Q986">
        <v>63903</v>
      </c>
      <c r="R986">
        <f>(Grandview_Inventory[[#This Row],[ln_acres]]*Grandview_Inventory[[#This Row],[coeff]])+Grandview_Inventory[[#This Row],[const]]</f>
        <v>37559.539860558507</v>
      </c>
      <c r="S986" t="s">
        <v>68</v>
      </c>
      <c r="T986">
        <v>1</v>
      </c>
      <c r="U986" t="s">
        <v>65</v>
      </c>
      <c r="V986" t="s">
        <v>69</v>
      </c>
      <c r="W986">
        <v>0</v>
      </c>
      <c r="X986">
        <v>0</v>
      </c>
      <c r="Y986">
        <v>50</v>
      </c>
      <c r="Z986">
        <v>73</v>
      </c>
      <c r="AA986">
        <v>80</v>
      </c>
      <c r="AB986">
        <v>1500</v>
      </c>
      <c r="AC986">
        <v>1156</v>
      </c>
      <c r="AD986">
        <v>1156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64</v>
      </c>
      <c r="AN986">
        <v>0</v>
      </c>
      <c r="AO986">
        <v>0</v>
      </c>
      <c r="AP986">
        <v>5</v>
      </c>
      <c r="AQ986">
        <v>0</v>
      </c>
      <c r="AR986">
        <v>0</v>
      </c>
      <c r="AS986" t="s">
        <v>58</v>
      </c>
      <c r="AT986">
        <v>1</v>
      </c>
      <c r="AU986" t="s">
        <v>59</v>
      </c>
      <c r="AV986" t="s">
        <v>60</v>
      </c>
      <c r="AW986">
        <v>1</v>
      </c>
      <c r="AX986">
        <v>3</v>
      </c>
      <c r="AY986">
        <v>0</v>
      </c>
      <c r="AZ986">
        <v>0</v>
      </c>
      <c r="BA986">
        <v>100</v>
      </c>
      <c r="BB986">
        <v>100</v>
      </c>
      <c r="BC986">
        <v>100</v>
      </c>
      <c r="BD986">
        <v>100</v>
      </c>
      <c r="BE986">
        <v>1</v>
      </c>
      <c r="BF986">
        <v>15000</v>
      </c>
      <c r="BG986">
        <v>1000</v>
      </c>
      <c r="BH986" s="6">
        <f>Grandview_Inventory[[#This Row],[land_extract]]*Lookups!$B$3</f>
        <v>43617.792229308972</v>
      </c>
      <c r="BI986" s="6">
        <f>IF(Grandview_Inventory[[#This Row],[bldg_style]]="",0,Lookups!$B$2)</f>
        <v>155833.95000000001</v>
      </c>
      <c r="BJ986" s="6">
        <f>_xlfn.IFNA(VLOOKUP(Grandview_Inventory[[#This Row],[quality]],Lookups!$H$2:$J$14,3,FALSE),0)</f>
        <v>2251</v>
      </c>
      <c r="BK986" s="6">
        <f>_xlfn.IFNA(VLOOKUP(Grandview_Inventory[[#This Row],[condition]],Lookups!$H$17:$J$24,3,FALSE),0)</f>
        <v>-4503</v>
      </c>
      <c r="BL986" s="6">
        <f>Grandview_Inventory[[#This Row],[Eff_Age]]*Lookups!$B$14</f>
        <v>-11958.33</v>
      </c>
      <c r="BM986" s="6">
        <f>Grandview_Inventory[[#This Row],[living_area]]*Lookups!$B$15</f>
        <v>72112.266067999997</v>
      </c>
      <c r="BN986" s="6">
        <f>Grandview_Inventory[[#This Row],[Fin BSMT]]*Lookups!$B$16</f>
        <v>0</v>
      </c>
      <c r="BO986" s="6">
        <f>(Grandview_Inventory[[#This Row],[att_gar]]+Grandview_Inventory[[#This Row],[bltin_gar]])*Lookups!$B$17</f>
        <v>0</v>
      </c>
      <c r="BP986" s="6">
        <f>Grandview_Inventory[[#This Row],[Plumbing Fixtures]]*Lookups!$B$18</f>
        <v>10052.209000000001</v>
      </c>
      <c r="BQ986" s="6">
        <f>Grandview_Inventory[[#This Row],[detatched_value]]*Lookups!$B$19</f>
        <v>0</v>
      </c>
      <c r="BR986" s="6">
        <f>SUM(Grandview_Inventory[[#This Row],[Intercept]:[det_value]])*Grandview_Inventory[[#This Row],[res_pct]]</f>
        <v>223788.09506800002</v>
      </c>
      <c r="BS986" s="6">
        <f>Grandview_Inventory[[#This Row],[land_value]]</f>
        <v>43617.792229308972</v>
      </c>
      <c r="BT986" s="4">
        <f>_xlfn.IFNA(VLOOKUP(Grandview_Inventory[[#This Row],[quality]],Lookups!$A$26:$C$33,3,FALSE),1)</f>
        <v>0.98763855981004833</v>
      </c>
      <c r="BU986" s="4">
        <f>_xlfn.IFNA(VLOOKUP(Grandview_Inventory[[#This Row],[condition]],Lookups!$A$37:$C$44,3,FALSE),1)</f>
        <v>0.96469275950863709</v>
      </c>
      <c r="BV986" s="4">
        <f>IF(Grandview_Inventory[[#This Row],[bldg_style]]="",1,_xlfn.IFNA(VLOOKUP(Grandview_Inventory[[#This Row],[decade]],Lookups!$F$29:$H$43,3,FALSE),1))</f>
        <v>0.98763256963907298</v>
      </c>
      <c r="BW986" s="4">
        <f>_xlfn.IFNA(VLOOKUP(Grandview_Inventory[[#This Row],[living_area_range]],Lookups!$F$47:$H$56,3,FALSE),1)</f>
        <v>0.96135087979789358</v>
      </c>
      <c r="BX986" s="4">
        <f>AVERAGE(Grandview_Inventory[[#This Row],[qual_adj]:[size_adj]])</f>
        <v>0.97532869218891294</v>
      </c>
      <c r="BY986" s="6">
        <f>IF(Grandview_Inventory[[#This Row],[pre_res]]&lt;0,0,Grandview_Inventory[[#This Row],[pre_res]]*Grandview_Inventory[[#This Row],[overall_adj]])</f>
        <v>218266.95009012058</v>
      </c>
      <c r="BZ986" s="6">
        <f>(Grandview_Inventory[[#This Row],[sum_land]]-IF(Grandview_Inventory[[#This Row],[no_utilities]]=1,12000,0))/IF(Grandview_Inventory[[#This Row],[unbuildable]]=1,2,1)</f>
        <v>43617.792229308972</v>
      </c>
      <c r="CA986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986">
        <f>ROUND(Grandview_Inventory[[#This Row],[det_value]]*Lookups!$M$28,-2)</f>
        <v>0</v>
      </c>
      <c r="CC986">
        <f>IF(ROUND(Grandview_Inventory[[#This Row],[adj_res]]*Lookups!$M$28,-2)&lt;Grandview_Inventory[[#This Row],[min_res]],Grandview_Inventory[[#This Row],[min_res]],ROUND(Grandview_Inventory[[#This Row],[adj_res]]*Lookups!$M$28,-2))</f>
        <v>207400</v>
      </c>
      <c r="CD986">
        <f>Grandview_Inventory[[#This Row],[final_det]]+Grandview_Inventory[[#This Row],[final_res]]</f>
        <v>207400</v>
      </c>
      <c r="CE986">
        <f>Grandview_Inventory[[#This Row],[final_land]]+Grandview_Inventory[[#This Row],[final_imp]]+Grandview_Inventory[[#This Row],[crop_value]]</f>
        <v>248800</v>
      </c>
      <c r="CG986" t="str">
        <f t="shared" si="15"/>
        <v>update valuation set market_land =41400, market_bldg=207400, market_total =248800, market_mdno =401, market_date ='9/10/2023' where link_id = (select link_id from parcel where parcel_year = '2024' and parcel_id = '23092241519');</v>
      </c>
    </row>
    <row r="987" spans="1:85" x14ac:dyDescent="0.25">
      <c r="A987">
        <v>23092241520</v>
      </c>
      <c r="B987">
        <v>0.21</v>
      </c>
      <c r="C987">
        <v>8970</v>
      </c>
      <c r="D987" t="s">
        <v>129</v>
      </c>
      <c r="E987" t="s">
        <v>53</v>
      </c>
      <c r="F987" t="s">
        <v>53</v>
      </c>
      <c r="G987">
        <v>4</v>
      </c>
      <c r="H987" t="s">
        <v>54</v>
      </c>
      <c r="I987">
        <v>260100</v>
      </c>
      <c r="J987">
        <v>43700</v>
      </c>
      <c r="K987">
        <v>0.21</v>
      </c>
      <c r="L98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87">
        <v>0</v>
      </c>
      <c r="N987">
        <v>0</v>
      </c>
      <c r="O987">
        <v>0</v>
      </c>
      <c r="P987">
        <v>13398.7528</v>
      </c>
      <c r="Q987">
        <v>63903</v>
      </c>
      <c r="R987">
        <f>(Grandview_Inventory[[#This Row],[ln_acres]]*Grandview_Inventory[[#This Row],[coeff]])+Grandview_Inventory[[#This Row],[const]]</f>
        <v>42992.266613125081</v>
      </c>
      <c r="S987" t="s">
        <v>61</v>
      </c>
      <c r="T987">
        <v>1</v>
      </c>
      <c r="U987" t="s">
        <v>64</v>
      </c>
      <c r="V987" t="s">
        <v>67</v>
      </c>
      <c r="W987">
        <v>0</v>
      </c>
      <c r="X987">
        <v>0</v>
      </c>
      <c r="Y987">
        <v>48</v>
      </c>
      <c r="Z987">
        <v>63</v>
      </c>
      <c r="AA987">
        <v>70</v>
      </c>
      <c r="AB987">
        <v>2500</v>
      </c>
      <c r="AC987">
        <v>2154</v>
      </c>
      <c r="AD987">
        <v>2154</v>
      </c>
      <c r="AE987">
        <v>0</v>
      </c>
      <c r="AF987">
        <v>0</v>
      </c>
      <c r="AG987">
        <v>0</v>
      </c>
      <c r="AH987">
        <v>0</v>
      </c>
      <c r="AI987">
        <v>264</v>
      </c>
      <c r="AJ987">
        <v>0</v>
      </c>
      <c r="AK987">
        <v>200</v>
      </c>
      <c r="AL987">
        <v>0</v>
      </c>
      <c r="AM987">
        <v>240</v>
      </c>
      <c r="AN987">
        <v>0</v>
      </c>
      <c r="AO987">
        <v>0</v>
      </c>
      <c r="AP987">
        <v>8</v>
      </c>
      <c r="AQ987">
        <v>0</v>
      </c>
      <c r="AR987">
        <v>0</v>
      </c>
      <c r="AS987" t="s">
        <v>58</v>
      </c>
      <c r="AT987">
        <v>1</v>
      </c>
      <c r="AU987" t="s">
        <v>63</v>
      </c>
      <c r="AV987" t="s">
        <v>60</v>
      </c>
      <c r="AW987">
        <v>1</v>
      </c>
      <c r="AX987">
        <v>3</v>
      </c>
      <c r="AY987">
        <v>0</v>
      </c>
      <c r="AZ987">
        <v>0</v>
      </c>
      <c r="BA987">
        <v>100</v>
      </c>
      <c r="BB987">
        <v>100</v>
      </c>
      <c r="BC987">
        <v>100</v>
      </c>
      <c r="BD987">
        <v>100</v>
      </c>
      <c r="BE987">
        <v>1</v>
      </c>
      <c r="BF987">
        <v>15000</v>
      </c>
      <c r="BG987">
        <v>1000</v>
      </c>
      <c r="BH987" s="6">
        <f>Grandview_Inventory[[#This Row],[land_extract]]*Lookups!$B$3</f>
        <v>49926.8031387023</v>
      </c>
      <c r="BI987" s="6">
        <f>IF(Grandview_Inventory[[#This Row],[bldg_style]]="",0,Lookups!$B$2)</f>
        <v>155833.95000000001</v>
      </c>
      <c r="BJ987" s="6">
        <f>_xlfn.IFNA(VLOOKUP(Grandview_Inventory[[#This Row],[quality]],Lookups!$H$2:$J$14,3,FALSE),0)</f>
        <v>20768</v>
      </c>
      <c r="BK987" s="6">
        <f>_xlfn.IFNA(VLOOKUP(Grandview_Inventory[[#This Row],[condition]],Lookups!$H$17:$J$24,3,FALSE),0)</f>
        <v>22342</v>
      </c>
      <c r="BL987" s="6">
        <f>Grandview_Inventory[[#This Row],[Eff_Age]]*Lookups!$B$14</f>
        <v>-11479.996799999999</v>
      </c>
      <c r="BM987" s="6">
        <f>Grandview_Inventory[[#This Row],[living_area]]*Lookups!$B$15</f>
        <v>134368.35736200001</v>
      </c>
      <c r="BN987" s="6">
        <f>Grandview_Inventory[[#This Row],[Fin BSMT]]*Lookups!$B$16</f>
        <v>0</v>
      </c>
      <c r="BO987" s="6">
        <f>(Grandview_Inventory[[#This Row],[att_gar]]+Grandview_Inventory[[#This Row],[bltin_gar]])*Lookups!$B$17</f>
        <v>23105.395368000001</v>
      </c>
      <c r="BP987" s="6">
        <f>Grandview_Inventory[[#This Row],[Plumbing Fixtures]]*Lookups!$B$18</f>
        <v>16083.5344</v>
      </c>
      <c r="BQ987" s="6">
        <f>Grandview_Inventory[[#This Row],[detatched_value]]*Lookups!$B$19</f>
        <v>0</v>
      </c>
      <c r="BR987" s="6">
        <f>SUM(Grandview_Inventory[[#This Row],[Intercept]:[det_value]])*Grandview_Inventory[[#This Row],[res_pct]]</f>
        <v>361021.24033000006</v>
      </c>
      <c r="BS987" s="6">
        <f>Grandview_Inventory[[#This Row],[land_value]]</f>
        <v>49926.8031387023</v>
      </c>
      <c r="BT987" s="4">
        <f>_xlfn.IFNA(VLOOKUP(Grandview_Inventory[[#This Row],[quality]],Lookups!$A$26:$C$33,3,FALSE),1)</f>
        <v>0.94960540378902636</v>
      </c>
      <c r="BU987" s="4">
        <f>_xlfn.IFNA(VLOOKUP(Grandview_Inventory[[#This Row],[condition]],Lookups!$A$37:$C$44,3,FALSE),1)</f>
        <v>0.97383723671140243</v>
      </c>
      <c r="BV987" s="4">
        <f>IF(Grandview_Inventory[[#This Row],[bldg_style]]="",1,_xlfn.IFNA(VLOOKUP(Grandview_Inventory[[#This Row],[decade]],Lookups!$F$29:$H$43,3,FALSE),1))</f>
        <v>0.99472141305414818</v>
      </c>
      <c r="BW987" s="4">
        <f>_xlfn.IFNA(VLOOKUP(Grandview_Inventory[[#This Row],[living_area_range]],Lookups!$F$47:$H$56,3,FALSE),1)</f>
        <v>0.95799442568048754</v>
      </c>
      <c r="BX987" s="4">
        <f>AVERAGE(Grandview_Inventory[[#This Row],[qual_adj]:[size_adj]])</f>
        <v>0.96903961980876607</v>
      </c>
      <c r="BY987" s="6">
        <f>IF(Grandview_Inventory[[#This Row],[pre_res]]&lt;0,0,Grandview_Inventory[[#This Row],[pre_res]]*Grandview_Inventory[[#This Row],[overall_adj]])</f>
        <v>349843.88547227241</v>
      </c>
      <c r="BZ987" s="6">
        <f>(Grandview_Inventory[[#This Row],[sum_land]]-IF(Grandview_Inventory[[#This Row],[no_utilities]]=1,12000,0))/IF(Grandview_Inventory[[#This Row],[unbuildable]]=1,2,1)</f>
        <v>49926.8031387023</v>
      </c>
      <c r="CA98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87">
        <f>ROUND(Grandview_Inventory[[#This Row],[det_value]]*Lookups!$M$28,-2)</f>
        <v>0</v>
      </c>
      <c r="CC987">
        <f>IF(ROUND(Grandview_Inventory[[#This Row],[adj_res]]*Lookups!$M$28,-2)&lt;Grandview_Inventory[[#This Row],[min_res]],Grandview_Inventory[[#This Row],[min_res]],ROUND(Grandview_Inventory[[#This Row],[adj_res]]*Lookups!$M$28,-2))</f>
        <v>332400</v>
      </c>
      <c r="CD987">
        <f>Grandview_Inventory[[#This Row],[final_det]]+Grandview_Inventory[[#This Row],[final_res]]</f>
        <v>332400</v>
      </c>
      <c r="CE987">
        <f>Grandview_Inventory[[#This Row],[final_land]]+Grandview_Inventory[[#This Row],[final_imp]]+Grandview_Inventory[[#This Row],[crop_value]]</f>
        <v>379800</v>
      </c>
      <c r="CG987" t="str">
        <f t="shared" si="15"/>
        <v>update valuation set market_land =47400, market_bldg=332400, market_total =379800, market_mdno =401, market_date ='9/10/2023' where link_id = (select link_id from parcel where parcel_year = '2024' and parcel_id = '23092241520');</v>
      </c>
    </row>
    <row r="988" spans="1:85" x14ac:dyDescent="0.25">
      <c r="A988">
        <v>23092241521</v>
      </c>
      <c r="B988">
        <v>0.21</v>
      </c>
      <c r="C988">
        <v>9100</v>
      </c>
      <c r="D988" t="s">
        <v>129</v>
      </c>
      <c r="E988" t="s">
        <v>53</v>
      </c>
      <c r="F988" t="s">
        <v>53</v>
      </c>
      <c r="G988">
        <v>4</v>
      </c>
      <c r="H988" t="s">
        <v>54</v>
      </c>
      <c r="I988">
        <v>174600</v>
      </c>
      <c r="J988">
        <v>43700</v>
      </c>
      <c r="K988">
        <v>0.21</v>
      </c>
      <c r="L98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988">
        <v>0</v>
      </c>
      <c r="N988">
        <v>0</v>
      </c>
      <c r="O988">
        <v>0</v>
      </c>
      <c r="P988">
        <v>13398.7528</v>
      </c>
      <c r="Q988">
        <v>63903</v>
      </c>
      <c r="R988">
        <f>(Grandview_Inventory[[#This Row],[ln_acres]]*Grandview_Inventory[[#This Row],[coeff]])+Grandview_Inventory[[#This Row],[const]]</f>
        <v>42992.266613125081</v>
      </c>
      <c r="S988" t="s">
        <v>68</v>
      </c>
      <c r="T988">
        <v>1</v>
      </c>
      <c r="U988" t="s">
        <v>65</v>
      </c>
      <c r="V988" t="s">
        <v>69</v>
      </c>
      <c r="W988">
        <v>0</v>
      </c>
      <c r="X988">
        <v>0</v>
      </c>
      <c r="Y988">
        <v>49</v>
      </c>
      <c r="Z988">
        <v>68</v>
      </c>
      <c r="AA988">
        <v>70</v>
      </c>
      <c r="AB988">
        <v>2000</v>
      </c>
      <c r="AC988">
        <v>1840</v>
      </c>
      <c r="AD988">
        <v>1840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220</v>
      </c>
      <c r="AL988">
        <v>0</v>
      </c>
      <c r="AM988">
        <v>0</v>
      </c>
      <c r="AN988">
        <v>20</v>
      </c>
      <c r="AO988">
        <v>0</v>
      </c>
      <c r="AP988">
        <v>11</v>
      </c>
      <c r="AQ988">
        <v>0</v>
      </c>
      <c r="AR988">
        <v>0</v>
      </c>
      <c r="AS988" t="s">
        <v>58</v>
      </c>
      <c r="AT988">
        <v>1</v>
      </c>
      <c r="AU988" t="s">
        <v>63</v>
      </c>
      <c r="AV988" t="s">
        <v>60</v>
      </c>
      <c r="AW988">
        <v>0</v>
      </c>
      <c r="AX988">
        <v>5</v>
      </c>
      <c r="AY988">
        <v>0</v>
      </c>
      <c r="AZ988">
        <v>3800</v>
      </c>
      <c r="BA988">
        <v>100</v>
      </c>
      <c r="BB988">
        <v>100</v>
      </c>
      <c r="BC988">
        <v>100</v>
      </c>
      <c r="BD988">
        <v>100</v>
      </c>
      <c r="BE988">
        <v>1</v>
      </c>
      <c r="BF988">
        <v>15000</v>
      </c>
      <c r="BG988">
        <v>1000</v>
      </c>
      <c r="BH988" s="6">
        <f>Grandview_Inventory[[#This Row],[land_extract]]*Lookups!$B$3</f>
        <v>49926.8031387023</v>
      </c>
      <c r="BI988" s="6">
        <f>IF(Grandview_Inventory[[#This Row],[bldg_style]]="",0,Lookups!$B$2)</f>
        <v>155833.95000000001</v>
      </c>
      <c r="BJ988" s="6">
        <f>_xlfn.IFNA(VLOOKUP(Grandview_Inventory[[#This Row],[quality]],Lookups!$H$2:$J$14,3,FALSE),0)</f>
        <v>2251</v>
      </c>
      <c r="BK988" s="6">
        <f>_xlfn.IFNA(VLOOKUP(Grandview_Inventory[[#This Row],[condition]],Lookups!$H$17:$J$24,3,FALSE),0)</f>
        <v>-4503</v>
      </c>
      <c r="BL988" s="6">
        <f>Grandview_Inventory[[#This Row],[Eff_Age]]*Lookups!$B$14</f>
        <v>-11719.163399999999</v>
      </c>
      <c r="BM988" s="6">
        <f>Grandview_Inventory[[#This Row],[living_area]]*Lookups!$B$15</f>
        <v>114780.76952</v>
      </c>
      <c r="BN988" s="6">
        <f>Grandview_Inventory[[#This Row],[Fin BSMT]]*Lookups!$B$16</f>
        <v>0</v>
      </c>
      <c r="BO988" s="6">
        <f>(Grandview_Inventory[[#This Row],[att_gar]]+Grandview_Inventory[[#This Row],[bltin_gar]])*Lookups!$B$17</f>
        <v>0</v>
      </c>
      <c r="BP988" s="6">
        <f>Grandview_Inventory[[#This Row],[Plumbing Fixtures]]*Lookups!$B$18</f>
        <v>22114.859800000002</v>
      </c>
      <c r="BQ988" s="6">
        <f>Grandview_Inventory[[#This Row],[detatched_value]]*Lookups!$B$19</f>
        <v>3217.8593799999999</v>
      </c>
      <c r="BR988" s="6">
        <f>SUM(Grandview_Inventory[[#This Row],[Intercept]:[det_value]])*Grandview_Inventory[[#This Row],[res_pct]]</f>
        <v>281976.27529999998</v>
      </c>
      <c r="BS988" s="6">
        <f>Grandview_Inventory[[#This Row],[land_value]]</f>
        <v>49926.8031387023</v>
      </c>
      <c r="BT988" s="4">
        <f>_xlfn.IFNA(VLOOKUP(Grandview_Inventory[[#This Row],[quality]],Lookups!$A$26:$C$33,3,FALSE),1)</f>
        <v>0.98763855981004833</v>
      </c>
      <c r="BU988" s="4">
        <f>_xlfn.IFNA(VLOOKUP(Grandview_Inventory[[#This Row],[condition]],Lookups!$A$37:$C$44,3,FALSE),1)</f>
        <v>0.96469275950863709</v>
      </c>
      <c r="BV988" s="4">
        <f>IF(Grandview_Inventory[[#This Row],[bldg_style]]="",1,_xlfn.IFNA(VLOOKUP(Grandview_Inventory[[#This Row],[decade]],Lookups!$F$29:$H$43,3,FALSE),1))</f>
        <v>0.99472141305414818</v>
      </c>
      <c r="BW988" s="4">
        <f>_xlfn.IFNA(VLOOKUP(Grandview_Inventory[[#This Row],[living_area_range]],Lookups!$F$47:$H$56,3,FALSE),1)</f>
        <v>0.96120133463014379</v>
      </c>
      <c r="BX988" s="4">
        <f>AVERAGE(Grandview_Inventory[[#This Row],[qual_adj]:[size_adj]])</f>
        <v>0.97706351675074443</v>
      </c>
      <c r="BY988" s="6">
        <f>IF(Grandview_Inventory[[#This Row],[pre_res]]&lt;0,0,Grandview_Inventory[[#This Row],[pre_res]]*Grandview_Inventory[[#This Row],[overall_adj]])</f>
        <v>275508.73118489404</v>
      </c>
      <c r="BZ988" s="6">
        <f>(Grandview_Inventory[[#This Row],[sum_land]]-IF(Grandview_Inventory[[#This Row],[no_utilities]]=1,12000,0))/IF(Grandview_Inventory[[#This Row],[unbuildable]]=1,2,1)</f>
        <v>49926.8031387023</v>
      </c>
      <c r="CA98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988">
        <f>ROUND(Grandview_Inventory[[#This Row],[det_value]]*Lookups!$M$28,-2)</f>
        <v>3100</v>
      </c>
      <c r="CC988">
        <f>IF(ROUND(Grandview_Inventory[[#This Row],[adj_res]]*Lookups!$M$28,-2)&lt;Grandview_Inventory[[#This Row],[min_res]],Grandview_Inventory[[#This Row],[min_res]],ROUND(Grandview_Inventory[[#This Row],[adj_res]]*Lookups!$M$28,-2))</f>
        <v>261700</v>
      </c>
      <c r="CD988">
        <f>Grandview_Inventory[[#This Row],[final_det]]+Grandview_Inventory[[#This Row],[final_res]]</f>
        <v>264800</v>
      </c>
      <c r="CE988">
        <f>Grandview_Inventory[[#This Row],[final_land]]+Grandview_Inventory[[#This Row],[final_imp]]+Grandview_Inventory[[#This Row],[crop_value]]</f>
        <v>312200</v>
      </c>
      <c r="CG988" t="str">
        <f t="shared" si="15"/>
        <v>update valuation set market_land =47400, market_bldg=264800, market_total =312200, market_mdno =401, market_date ='9/10/2023' where link_id = (select link_id from parcel where parcel_year = '2024' and parcel_id = '23092241521');</v>
      </c>
    </row>
    <row r="989" spans="1:85" x14ac:dyDescent="0.25">
      <c r="A989">
        <v>23092241522</v>
      </c>
      <c r="B989">
        <v>0.15</v>
      </c>
      <c r="C989">
        <v>6350</v>
      </c>
      <c r="D989" t="s">
        <v>129</v>
      </c>
      <c r="E989" t="s">
        <v>53</v>
      </c>
      <c r="F989" t="s">
        <v>53</v>
      </c>
      <c r="G989">
        <v>4</v>
      </c>
      <c r="H989" t="s">
        <v>54</v>
      </c>
      <c r="I989">
        <v>127600</v>
      </c>
      <c r="J989">
        <v>38300</v>
      </c>
      <c r="K989">
        <v>0.15</v>
      </c>
      <c r="L989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989">
        <v>0</v>
      </c>
      <c r="N989">
        <v>0</v>
      </c>
      <c r="O989">
        <v>0</v>
      </c>
      <c r="P989">
        <v>13398.7528</v>
      </c>
      <c r="Q989">
        <v>63903</v>
      </c>
      <c r="R989">
        <f>(Grandview_Inventory[[#This Row],[ln_acres]]*Grandview_Inventory[[#This Row],[coeff]])+Grandview_Inventory[[#This Row],[const]]</f>
        <v>38483.958290574345</v>
      </c>
      <c r="S989" t="s">
        <v>68</v>
      </c>
      <c r="T989">
        <v>1</v>
      </c>
      <c r="U989" t="s">
        <v>83</v>
      </c>
      <c r="V989" t="s">
        <v>69</v>
      </c>
      <c r="W989">
        <v>0</v>
      </c>
      <c r="X989">
        <v>0</v>
      </c>
      <c r="Y989">
        <v>49</v>
      </c>
      <c r="Z989">
        <v>68</v>
      </c>
      <c r="AA989">
        <v>70</v>
      </c>
      <c r="AB989">
        <v>1000</v>
      </c>
      <c r="AC989">
        <v>576</v>
      </c>
      <c r="AD989">
        <v>576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648</v>
      </c>
      <c r="AM989">
        <v>512</v>
      </c>
      <c r="AN989">
        <v>0</v>
      </c>
      <c r="AO989">
        <v>0</v>
      </c>
      <c r="AP989">
        <v>5</v>
      </c>
      <c r="AQ989">
        <v>0</v>
      </c>
      <c r="AR989">
        <v>0</v>
      </c>
      <c r="AS989" t="s">
        <v>58</v>
      </c>
      <c r="AT989">
        <v>1</v>
      </c>
      <c r="AU989" t="s">
        <v>79</v>
      </c>
      <c r="AV989" t="s">
        <v>60</v>
      </c>
      <c r="AW989">
        <v>0</v>
      </c>
      <c r="AX989">
        <v>1</v>
      </c>
      <c r="AY989">
        <v>0</v>
      </c>
      <c r="AZ989">
        <v>17500</v>
      </c>
      <c r="BA989">
        <v>100</v>
      </c>
      <c r="BB989">
        <v>100</v>
      </c>
      <c r="BC989">
        <v>100</v>
      </c>
      <c r="BD989">
        <v>100</v>
      </c>
      <c r="BE989">
        <v>1</v>
      </c>
      <c r="BF989">
        <v>15000</v>
      </c>
      <c r="BG989">
        <v>1000</v>
      </c>
      <c r="BH989" s="6">
        <f>Grandview_Inventory[[#This Row],[land_extract]]*Lookups!$B$3</f>
        <v>44691.316856156598</v>
      </c>
      <c r="BI989" s="6">
        <f>IF(Grandview_Inventory[[#This Row],[bldg_style]]="",0,Lookups!$B$2)</f>
        <v>155833.95000000001</v>
      </c>
      <c r="BJ989" s="6">
        <f>_xlfn.IFNA(VLOOKUP(Grandview_Inventory[[#This Row],[quality]],Lookups!$H$2:$J$14,3,FALSE),0)</f>
        <v>-28558</v>
      </c>
      <c r="BK989" s="6">
        <f>_xlfn.IFNA(VLOOKUP(Grandview_Inventory[[#This Row],[condition]],Lookups!$H$17:$J$24,3,FALSE),0)</f>
        <v>-4503</v>
      </c>
      <c r="BL989" s="6">
        <f>Grandview_Inventory[[#This Row],[Eff_Age]]*Lookups!$B$14</f>
        <v>-11719.163399999999</v>
      </c>
      <c r="BM989" s="6">
        <f>Grandview_Inventory[[#This Row],[living_area]]*Lookups!$B$15</f>
        <v>35931.371328000001</v>
      </c>
      <c r="BN989" s="6">
        <f>Grandview_Inventory[[#This Row],[Fin BSMT]]*Lookups!$B$16</f>
        <v>0</v>
      </c>
      <c r="BO989" s="6">
        <f>(Grandview_Inventory[[#This Row],[att_gar]]+Grandview_Inventory[[#This Row],[bltin_gar]])*Lookups!$B$17</f>
        <v>0</v>
      </c>
      <c r="BP989" s="6">
        <f>Grandview_Inventory[[#This Row],[Plumbing Fixtures]]*Lookups!$B$18</f>
        <v>10052.209000000001</v>
      </c>
      <c r="BQ989" s="6">
        <f>Grandview_Inventory[[#This Row],[detatched_value]]*Lookups!$B$19</f>
        <v>14819.089249999999</v>
      </c>
      <c r="BR989" s="6">
        <f>SUM(Grandview_Inventory[[#This Row],[Intercept]:[det_value]])*Grandview_Inventory[[#This Row],[res_pct]]</f>
        <v>171856.45617799999</v>
      </c>
      <c r="BS989" s="6">
        <f>Grandview_Inventory[[#This Row],[land_value]]</f>
        <v>44691.316856156598</v>
      </c>
      <c r="BT989" s="4">
        <f>_xlfn.IFNA(VLOOKUP(Grandview_Inventory[[#This Row],[quality]],Lookups!$A$26:$C$33,3,FALSE),1)</f>
        <v>0.96329552998502799</v>
      </c>
      <c r="BU989" s="4">
        <f>_xlfn.IFNA(VLOOKUP(Grandview_Inventory[[#This Row],[condition]],Lookups!$A$37:$C$44,3,FALSE),1)</f>
        <v>0.96469275950863709</v>
      </c>
      <c r="BV989" s="4">
        <f>IF(Grandview_Inventory[[#This Row],[bldg_style]]="",1,_xlfn.IFNA(VLOOKUP(Grandview_Inventory[[#This Row],[decade]],Lookups!$F$29:$H$43,3,FALSE),1))</f>
        <v>0.99472141305414818</v>
      </c>
      <c r="BW989" s="4">
        <f>_xlfn.IFNA(VLOOKUP(Grandview_Inventory[[#This Row],[living_area_range]],Lookups!$F$47:$H$56,3,FALSE),1)</f>
        <v>0.94306777142782894</v>
      </c>
      <c r="BX989" s="4">
        <f>AVERAGE(Grandview_Inventory[[#This Row],[qual_adj]:[size_adj]])</f>
        <v>0.96644436849391047</v>
      </c>
      <c r="BY989" s="6">
        <f>IF(Grandview_Inventory[[#This Row],[pre_res]]&lt;0,0,Grandview_Inventory[[#This Row],[pre_res]]*Grandview_Inventory[[#This Row],[overall_adj]])</f>
        <v>166089.70426254859</v>
      </c>
      <c r="BZ989" s="6">
        <f>(Grandview_Inventory[[#This Row],[sum_land]]-IF(Grandview_Inventory[[#This Row],[no_utilities]]=1,12000,0))/IF(Grandview_Inventory[[#This Row],[unbuildable]]=1,2,1)</f>
        <v>44691.316856156598</v>
      </c>
      <c r="CA989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989">
        <f>ROUND(Grandview_Inventory[[#This Row],[det_value]]*Lookups!$M$28,-2)</f>
        <v>14100</v>
      </c>
      <c r="CC989">
        <f>IF(ROUND(Grandview_Inventory[[#This Row],[adj_res]]*Lookups!$M$28,-2)&lt;Grandview_Inventory[[#This Row],[min_res]],Grandview_Inventory[[#This Row],[min_res]],ROUND(Grandview_Inventory[[#This Row],[adj_res]]*Lookups!$M$28,-2))</f>
        <v>157800</v>
      </c>
      <c r="CD989">
        <f>Grandview_Inventory[[#This Row],[final_det]]+Grandview_Inventory[[#This Row],[final_res]]</f>
        <v>171900</v>
      </c>
      <c r="CE989">
        <f>Grandview_Inventory[[#This Row],[final_land]]+Grandview_Inventory[[#This Row],[final_imp]]+Grandview_Inventory[[#This Row],[crop_value]]</f>
        <v>214400</v>
      </c>
      <c r="CG989" t="str">
        <f t="shared" si="15"/>
        <v>update valuation set market_land =42500, market_bldg=171900, market_total =214400, market_mdno =401, market_date ='9/10/2023' where link_id = (select link_id from parcel where parcel_year = '2024' and parcel_id = '23092241522');</v>
      </c>
    </row>
    <row r="990" spans="1:85" x14ac:dyDescent="0.25">
      <c r="A990">
        <v>23092241523</v>
      </c>
      <c r="B990">
        <v>0.2</v>
      </c>
      <c r="C990">
        <v>8890</v>
      </c>
      <c r="D990" t="s">
        <v>129</v>
      </c>
      <c r="E990" t="s">
        <v>53</v>
      </c>
      <c r="F990" t="s">
        <v>53</v>
      </c>
      <c r="G990">
        <v>4</v>
      </c>
      <c r="H990" t="s">
        <v>54</v>
      </c>
      <c r="I990">
        <v>168800</v>
      </c>
      <c r="J990">
        <v>43700</v>
      </c>
      <c r="K990">
        <v>0.2</v>
      </c>
      <c r="L99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90">
        <v>0</v>
      </c>
      <c r="N990">
        <v>0</v>
      </c>
      <c r="O990">
        <v>0</v>
      </c>
      <c r="P990">
        <v>13398.7528</v>
      </c>
      <c r="Q990">
        <v>63903</v>
      </c>
      <c r="R990">
        <f>(Grandview_Inventory[[#This Row],[ln_acres]]*Grandview_Inventory[[#This Row],[coeff]])+Grandview_Inventory[[#This Row],[const]]</f>
        <v>42338.539264347448</v>
      </c>
      <c r="S990" t="s">
        <v>68</v>
      </c>
      <c r="T990">
        <v>1</v>
      </c>
      <c r="U990" t="s">
        <v>65</v>
      </c>
      <c r="V990" t="s">
        <v>69</v>
      </c>
      <c r="W990">
        <v>0</v>
      </c>
      <c r="X990">
        <v>0</v>
      </c>
      <c r="Y990">
        <v>49</v>
      </c>
      <c r="Z990">
        <v>69</v>
      </c>
      <c r="AA990">
        <v>70</v>
      </c>
      <c r="AB990">
        <v>2000</v>
      </c>
      <c r="AC990">
        <v>1670</v>
      </c>
      <c r="AD990">
        <v>1670</v>
      </c>
      <c r="AE990">
        <v>0</v>
      </c>
      <c r="AF990">
        <v>0</v>
      </c>
      <c r="AG990">
        <v>0</v>
      </c>
      <c r="AH990">
        <v>0</v>
      </c>
      <c r="AI990">
        <v>299</v>
      </c>
      <c r="AJ990">
        <v>0</v>
      </c>
      <c r="AK990">
        <v>0</v>
      </c>
      <c r="AL990">
        <v>0</v>
      </c>
      <c r="AM990">
        <v>180</v>
      </c>
      <c r="AN990">
        <v>54</v>
      </c>
      <c r="AO990">
        <v>180</v>
      </c>
      <c r="AP990">
        <v>5</v>
      </c>
      <c r="AQ990">
        <v>0</v>
      </c>
      <c r="AR990">
        <v>0</v>
      </c>
      <c r="AS990" t="s">
        <v>58</v>
      </c>
      <c r="AT990">
        <v>1</v>
      </c>
      <c r="AU990" t="s">
        <v>63</v>
      </c>
      <c r="AV990" t="s">
        <v>64</v>
      </c>
      <c r="AW990">
        <v>1</v>
      </c>
      <c r="AX990">
        <v>3</v>
      </c>
      <c r="AY990">
        <v>0</v>
      </c>
      <c r="AZ990">
        <v>0</v>
      </c>
      <c r="BA990">
        <v>100</v>
      </c>
      <c r="BB990">
        <v>100</v>
      </c>
      <c r="BC990">
        <v>100</v>
      </c>
      <c r="BD990">
        <v>100</v>
      </c>
      <c r="BE990">
        <v>1</v>
      </c>
      <c r="BF990">
        <v>15000</v>
      </c>
      <c r="BG990">
        <v>1000</v>
      </c>
      <c r="BH990" s="6">
        <f>Grandview_Inventory[[#This Row],[land_extract]]*Lookups!$B$3</f>
        <v>49167.631333630678</v>
      </c>
      <c r="BI990" s="6">
        <f>IF(Grandview_Inventory[[#This Row],[bldg_style]]="",0,Lookups!$B$2)</f>
        <v>155833.95000000001</v>
      </c>
      <c r="BJ990" s="6">
        <f>_xlfn.IFNA(VLOOKUP(Grandview_Inventory[[#This Row],[quality]],Lookups!$H$2:$J$14,3,FALSE),0)</f>
        <v>2251</v>
      </c>
      <c r="BK990" s="6">
        <f>_xlfn.IFNA(VLOOKUP(Grandview_Inventory[[#This Row],[condition]],Lookups!$H$17:$J$24,3,FALSE),0)</f>
        <v>-4503</v>
      </c>
      <c r="BL990" s="6">
        <f>Grandview_Inventory[[#This Row],[Eff_Age]]*Lookups!$B$14</f>
        <v>-11719.163399999999</v>
      </c>
      <c r="BM990" s="6">
        <f>Grandview_Inventory[[#This Row],[living_area]]*Lookups!$B$15</f>
        <v>104176.02451</v>
      </c>
      <c r="BN990" s="6">
        <f>Grandview_Inventory[[#This Row],[Fin BSMT]]*Lookups!$B$16</f>
        <v>0</v>
      </c>
      <c r="BO990" s="6">
        <f>(Grandview_Inventory[[#This Row],[att_gar]]+Grandview_Inventory[[#This Row],[bltin_gar]])*Lookups!$B$17</f>
        <v>26168.610662999999</v>
      </c>
      <c r="BP990" s="6">
        <f>Grandview_Inventory[[#This Row],[Plumbing Fixtures]]*Lookups!$B$18</f>
        <v>10052.209000000001</v>
      </c>
      <c r="BQ990" s="6">
        <f>Grandview_Inventory[[#This Row],[detatched_value]]*Lookups!$B$19</f>
        <v>0</v>
      </c>
      <c r="BR990" s="6">
        <f>SUM(Grandview_Inventory[[#This Row],[Intercept]:[det_value]])*Grandview_Inventory[[#This Row],[res_pct]]</f>
        <v>282259.63077300001</v>
      </c>
      <c r="BS990" s="6">
        <f>Grandview_Inventory[[#This Row],[land_value]]</f>
        <v>49167.631333630678</v>
      </c>
      <c r="BT990" s="4">
        <f>_xlfn.IFNA(VLOOKUP(Grandview_Inventory[[#This Row],[quality]],Lookups!$A$26:$C$33,3,FALSE),1)</f>
        <v>0.98763855981004833</v>
      </c>
      <c r="BU990" s="4">
        <f>_xlfn.IFNA(VLOOKUP(Grandview_Inventory[[#This Row],[condition]],Lookups!$A$37:$C$44,3,FALSE),1)</f>
        <v>0.96469275950863709</v>
      </c>
      <c r="BV990" s="4">
        <f>IF(Grandview_Inventory[[#This Row],[bldg_style]]="",1,_xlfn.IFNA(VLOOKUP(Grandview_Inventory[[#This Row],[decade]],Lookups!$F$29:$H$43,3,FALSE),1))</f>
        <v>0.99472141305414818</v>
      </c>
      <c r="BW990" s="4">
        <f>_xlfn.IFNA(VLOOKUP(Grandview_Inventory[[#This Row],[living_area_range]],Lookups!$F$47:$H$56,3,FALSE),1)</f>
        <v>0.96120133463014379</v>
      </c>
      <c r="BX990" s="4">
        <f>AVERAGE(Grandview_Inventory[[#This Row],[qual_adj]:[size_adj]])</f>
        <v>0.97706351675074443</v>
      </c>
      <c r="BY990" s="6">
        <f>IF(Grandview_Inventory[[#This Row],[pre_res]]&lt;0,0,Grandview_Inventory[[#This Row],[pre_res]]*Grandview_Inventory[[#This Row],[overall_adj]])</f>
        <v>275785.58747983404</v>
      </c>
      <c r="BZ990" s="6">
        <f>(Grandview_Inventory[[#This Row],[sum_land]]-IF(Grandview_Inventory[[#This Row],[no_utilities]]=1,12000,0))/IF(Grandview_Inventory[[#This Row],[unbuildable]]=1,2,1)</f>
        <v>49167.631333630678</v>
      </c>
      <c r="CA99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90">
        <f>ROUND(Grandview_Inventory[[#This Row],[det_value]]*Lookups!$M$28,-2)</f>
        <v>0</v>
      </c>
      <c r="CC990">
        <f>IF(ROUND(Grandview_Inventory[[#This Row],[adj_res]]*Lookups!$M$28,-2)&lt;Grandview_Inventory[[#This Row],[min_res]],Grandview_Inventory[[#This Row],[min_res]],ROUND(Grandview_Inventory[[#This Row],[adj_res]]*Lookups!$M$28,-2))</f>
        <v>262000</v>
      </c>
      <c r="CD990">
        <f>Grandview_Inventory[[#This Row],[final_det]]+Grandview_Inventory[[#This Row],[final_res]]</f>
        <v>262000</v>
      </c>
      <c r="CE990">
        <f>Grandview_Inventory[[#This Row],[final_land]]+Grandview_Inventory[[#This Row],[final_imp]]+Grandview_Inventory[[#This Row],[crop_value]]</f>
        <v>308700</v>
      </c>
      <c r="CG990" t="str">
        <f t="shared" si="15"/>
        <v>update valuation set market_land =46700, market_bldg=262000, market_total =308700, market_mdno =401, market_date ='9/10/2023' where link_id = (select link_id from parcel where parcel_year = '2024' and parcel_id = '23092241523');</v>
      </c>
    </row>
    <row r="991" spans="1:85" x14ac:dyDescent="0.25">
      <c r="A991">
        <v>23092241524</v>
      </c>
      <c r="B991">
        <v>0.25</v>
      </c>
      <c r="C991">
        <v>10835</v>
      </c>
      <c r="D991" t="s">
        <v>129</v>
      </c>
      <c r="E991" t="s">
        <v>53</v>
      </c>
      <c r="F991" t="s">
        <v>53</v>
      </c>
      <c r="G991">
        <v>4</v>
      </c>
      <c r="H991" t="s">
        <v>54</v>
      </c>
      <c r="I991">
        <v>204600</v>
      </c>
      <c r="J991">
        <v>44400</v>
      </c>
      <c r="K991">
        <v>0.25</v>
      </c>
      <c r="L99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91">
        <v>0</v>
      </c>
      <c r="N991">
        <v>0</v>
      </c>
      <c r="O991">
        <v>0</v>
      </c>
      <c r="P991">
        <v>13398.7528</v>
      </c>
      <c r="Q991">
        <v>63903</v>
      </c>
      <c r="R991">
        <f>(Grandview_Inventory[[#This Row],[ln_acres]]*Grandview_Inventory[[#This Row],[coeff]])+Grandview_Inventory[[#This Row],[const]]</f>
        <v>45328.38454732066</v>
      </c>
      <c r="S991" t="s">
        <v>68</v>
      </c>
      <c r="T991">
        <v>1</v>
      </c>
      <c r="U991" t="s">
        <v>70</v>
      </c>
      <c r="V991" t="s">
        <v>67</v>
      </c>
      <c r="W991">
        <v>0</v>
      </c>
      <c r="X991">
        <v>0</v>
      </c>
      <c r="Y991">
        <v>49</v>
      </c>
      <c r="Z991">
        <v>68</v>
      </c>
      <c r="AA991">
        <v>70</v>
      </c>
      <c r="AB991">
        <v>2500</v>
      </c>
      <c r="AC991">
        <v>2205</v>
      </c>
      <c r="AD991">
        <v>1239</v>
      </c>
      <c r="AE991">
        <v>0</v>
      </c>
      <c r="AF991">
        <v>0</v>
      </c>
      <c r="AG991">
        <v>966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378</v>
      </c>
      <c r="AN991">
        <v>0</v>
      </c>
      <c r="AO991">
        <v>378</v>
      </c>
      <c r="AP991">
        <v>5</v>
      </c>
      <c r="AQ991">
        <v>1</v>
      </c>
      <c r="AR991">
        <v>0</v>
      </c>
      <c r="AS991" t="s">
        <v>58</v>
      </c>
      <c r="AT991">
        <v>1</v>
      </c>
      <c r="AU991" t="s">
        <v>63</v>
      </c>
      <c r="AV991" t="s">
        <v>60</v>
      </c>
      <c r="AW991">
        <v>0</v>
      </c>
      <c r="AX991">
        <v>3</v>
      </c>
      <c r="AY991">
        <v>0</v>
      </c>
      <c r="AZ991">
        <v>5200</v>
      </c>
      <c r="BA991">
        <v>100</v>
      </c>
      <c r="BB991">
        <v>100</v>
      </c>
      <c r="BC991">
        <v>100</v>
      </c>
      <c r="BD991">
        <v>100</v>
      </c>
      <c r="BE991">
        <v>1</v>
      </c>
      <c r="BF991">
        <v>15000</v>
      </c>
      <c r="BG991">
        <v>1000</v>
      </c>
      <c r="BH991" s="6">
        <f>Grandview_Inventory[[#This Row],[land_extract]]*Lookups!$B$3</f>
        <v>52639.730588165206</v>
      </c>
      <c r="BI991" s="6">
        <f>IF(Grandview_Inventory[[#This Row],[bldg_style]]="",0,Lookups!$B$2)</f>
        <v>155833.95000000001</v>
      </c>
      <c r="BJ991" s="6">
        <f>_xlfn.IFNA(VLOOKUP(Grandview_Inventory[[#This Row],[quality]],Lookups!$H$2:$J$14,3,FALSE),0)</f>
        <v>10733</v>
      </c>
      <c r="BK991" s="6">
        <f>_xlfn.IFNA(VLOOKUP(Grandview_Inventory[[#This Row],[condition]],Lookups!$H$17:$J$24,3,FALSE),0)</f>
        <v>22342</v>
      </c>
      <c r="BL991" s="6">
        <f>Grandview_Inventory[[#This Row],[Eff_Age]]*Lookups!$B$14</f>
        <v>-11719.163399999999</v>
      </c>
      <c r="BM991" s="6">
        <f>Grandview_Inventory[[#This Row],[living_area]]*Lookups!$B$15</f>
        <v>137549.78086500001</v>
      </c>
      <c r="BN991" s="6">
        <f>Grandview_Inventory[[#This Row],[Fin BSMT]]*Lookups!$B$16</f>
        <v>-26177.865840000002</v>
      </c>
      <c r="BO991" s="6">
        <f>(Grandview_Inventory[[#This Row],[att_gar]]+Grandview_Inventory[[#This Row],[bltin_gar]])*Lookups!$B$17</f>
        <v>0</v>
      </c>
      <c r="BP991" s="6">
        <f>Grandview_Inventory[[#This Row],[Plumbing Fixtures]]*Lookups!$B$18</f>
        <v>10052.209000000001</v>
      </c>
      <c r="BQ991" s="6">
        <f>Grandview_Inventory[[#This Row],[detatched_value]]*Lookups!$B$19</f>
        <v>4403.38652</v>
      </c>
      <c r="BR991" s="6">
        <f>SUM(Grandview_Inventory[[#This Row],[Intercept]:[det_value]])*Grandview_Inventory[[#This Row],[res_pct]]</f>
        <v>303017.29714500002</v>
      </c>
      <c r="BS991" s="6">
        <f>Grandview_Inventory[[#This Row],[land_value]]</f>
        <v>52639.730588165206</v>
      </c>
      <c r="BT991" s="4">
        <f>_xlfn.IFNA(VLOOKUP(Grandview_Inventory[[#This Row],[quality]],Lookups!$A$26:$C$33,3,FALSE),1)</f>
        <v>0.98079741117310582</v>
      </c>
      <c r="BU991" s="4">
        <f>_xlfn.IFNA(VLOOKUP(Grandview_Inventory[[#This Row],[condition]],Lookups!$A$37:$C$44,3,FALSE),1)</f>
        <v>0.97383723671140243</v>
      </c>
      <c r="BV991" s="4">
        <f>IF(Grandview_Inventory[[#This Row],[bldg_style]]="",1,_xlfn.IFNA(VLOOKUP(Grandview_Inventory[[#This Row],[decade]],Lookups!$F$29:$H$43,3,FALSE),1))</f>
        <v>0.99472141305414818</v>
      </c>
      <c r="BW991" s="4">
        <f>_xlfn.IFNA(VLOOKUP(Grandview_Inventory[[#This Row],[living_area_range]],Lookups!$F$47:$H$56,3,FALSE),1)</f>
        <v>0.95799442568048754</v>
      </c>
      <c r="BX991" s="4">
        <f>AVERAGE(Grandview_Inventory[[#This Row],[qual_adj]:[size_adj]])</f>
        <v>0.97683762165478605</v>
      </c>
      <c r="BY991" s="6">
        <f>IF(Grandview_Inventory[[#This Row],[pre_res]]&lt;0,0,Grandview_Inventory[[#This Row],[pre_res]]*Grandview_Inventory[[#This Row],[overall_adj]])</f>
        <v>295998.69586338341</v>
      </c>
      <c r="BZ991" s="6">
        <f>(Grandview_Inventory[[#This Row],[sum_land]]-IF(Grandview_Inventory[[#This Row],[no_utilities]]=1,12000,0))/IF(Grandview_Inventory[[#This Row],[unbuildable]]=1,2,1)</f>
        <v>52639.730588165206</v>
      </c>
      <c r="CA99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91">
        <f>ROUND(Grandview_Inventory[[#This Row],[det_value]]*Lookups!$M$28,-2)</f>
        <v>4200</v>
      </c>
      <c r="CC991">
        <f>IF(ROUND(Grandview_Inventory[[#This Row],[adj_res]]*Lookups!$M$28,-2)&lt;Grandview_Inventory[[#This Row],[min_res]],Grandview_Inventory[[#This Row],[min_res]],ROUND(Grandview_Inventory[[#This Row],[adj_res]]*Lookups!$M$28,-2))</f>
        <v>281200</v>
      </c>
      <c r="CD991">
        <f>Grandview_Inventory[[#This Row],[final_det]]+Grandview_Inventory[[#This Row],[final_res]]</f>
        <v>285400</v>
      </c>
      <c r="CE991">
        <f>Grandview_Inventory[[#This Row],[final_land]]+Grandview_Inventory[[#This Row],[final_imp]]+Grandview_Inventory[[#This Row],[crop_value]]</f>
        <v>335400</v>
      </c>
      <c r="CG991" t="str">
        <f t="shared" si="15"/>
        <v>update valuation set market_land =50000, market_bldg=285400, market_total =335400, market_mdno =401, market_date ='9/10/2023' where link_id = (select link_id from parcel where parcel_year = '2024' and parcel_id = '23092241524');</v>
      </c>
    </row>
    <row r="992" spans="1:85" x14ac:dyDescent="0.25">
      <c r="A992">
        <v>23092241525</v>
      </c>
      <c r="B992">
        <v>0.25</v>
      </c>
      <c r="C992">
        <v>10835</v>
      </c>
      <c r="D992" t="s">
        <v>129</v>
      </c>
      <c r="E992" t="s">
        <v>53</v>
      </c>
      <c r="F992" t="s">
        <v>53</v>
      </c>
      <c r="G992">
        <v>4</v>
      </c>
      <c r="H992" t="s">
        <v>54</v>
      </c>
      <c r="I992">
        <v>151400</v>
      </c>
      <c r="J992">
        <v>44400</v>
      </c>
      <c r="K992">
        <v>0.25</v>
      </c>
      <c r="L992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92">
        <v>0</v>
      </c>
      <c r="N992">
        <v>0</v>
      </c>
      <c r="O992">
        <v>0</v>
      </c>
      <c r="P992">
        <v>13398.7528</v>
      </c>
      <c r="Q992">
        <v>63903</v>
      </c>
      <c r="R992">
        <f>(Grandview_Inventory[[#This Row],[ln_acres]]*Grandview_Inventory[[#This Row],[coeff]])+Grandview_Inventory[[#This Row],[const]]</f>
        <v>45328.38454732066</v>
      </c>
      <c r="S992" t="s">
        <v>68</v>
      </c>
      <c r="T992">
        <v>1</v>
      </c>
      <c r="U992" t="s">
        <v>65</v>
      </c>
      <c r="V992" t="s">
        <v>67</v>
      </c>
      <c r="W992">
        <v>0</v>
      </c>
      <c r="X992">
        <v>0</v>
      </c>
      <c r="Y992">
        <v>49</v>
      </c>
      <c r="Z992">
        <v>68</v>
      </c>
      <c r="AA992">
        <v>70</v>
      </c>
      <c r="AB992">
        <v>1500</v>
      </c>
      <c r="AC992">
        <v>1162</v>
      </c>
      <c r="AD992">
        <v>1162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5</v>
      </c>
      <c r="AQ992">
        <v>0</v>
      </c>
      <c r="AR992">
        <v>0</v>
      </c>
      <c r="AS992" t="s">
        <v>58</v>
      </c>
      <c r="AT992">
        <v>1</v>
      </c>
      <c r="AU992" t="s">
        <v>63</v>
      </c>
      <c r="AV992" t="s">
        <v>60</v>
      </c>
      <c r="AW992">
        <v>0</v>
      </c>
      <c r="AX992">
        <v>2</v>
      </c>
      <c r="AY992">
        <v>0</v>
      </c>
      <c r="AZ992">
        <v>0</v>
      </c>
      <c r="BA992">
        <v>100</v>
      </c>
      <c r="BB992">
        <v>100</v>
      </c>
      <c r="BC992">
        <v>100</v>
      </c>
      <c r="BD992">
        <v>100</v>
      </c>
      <c r="BE992">
        <v>1</v>
      </c>
      <c r="BF992">
        <v>15000</v>
      </c>
      <c r="BG992">
        <v>1000</v>
      </c>
      <c r="BH992" s="6">
        <f>Grandview_Inventory[[#This Row],[land_extract]]*Lookups!$B$3</f>
        <v>52639.730588165206</v>
      </c>
      <c r="BI992" s="6">
        <f>IF(Grandview_Inventory[[#This Row],[bldg_style]]="",0,Lookups!$B$2)</f>
        <v>155833.95000000001</v>
      </c>
      <c r="BJ992" s="6">
        <f>_xlfn.IFNA(VLOOKUP(Grandview_Inventory[[#This Row],[quality]],Lookups!$H$2:$J$14,3,FALSE),0)</f>
        <v>2251</v>
      </c>
      <c r="BK992" s="6">
        <f>_xlfn.IFNA(VLOOKUP(Grandview_Inventory[[#This Row],[condition]],Lookups!$H$17:$J$24,3,FALSE),0)</f>
        <v>22342</v>
      </c>
      <c r="BL992" s="6">
        <f>Grandview_Inventory[[#This Row],[Eff_Age]]*Lookups!$B$14</f>
        <v>-11719.163399999999</v>
      </c>
      <c r="BM992" s="6">
        <f>Grandview_Inventory[[#This Row],[living_area]]*Lookups!$B$15</f>
        <v>72486.551185999997</v>
      </c>
      <c r="BN992" s="6">
        <f>Grandview_Inventory[[#This Row],[Fin BSMT]]*Lookups!$B$16</f>
        <v>0</v>
      </c>
      <c r="BO992" s="6">
        <f>(Grandview_Inventory[[#This Row],[att_gar]]+Grandview_Inventory[[#This Row],[bltin_gar]])*Lookups!$B$17</f>
        <v>0</v>
      </c>
      <c r="BP992" s="6">
        <f>Grandview_Inventory[[#This Row],[Plumbing Fixtures]]*Lookups!$B$18</f>
        <v>10052.209000000001</v>
      </c>
      <c r="BQ992" s="6">
        <f>Grandview_Inventory[[#This Row],[detatched_value]]*Lookups!$B$19</f>
        <v>0</v>
      </c>
      <c r="BR992" s="6">
        <f>SUM(Grandview_Inventory[[#This Row],[Intercept]:[det_value]])*Grandview_Inventory[[#This Row],[res_pct]]</f>
        <v>251246.54678600002</v>
      </c>
      <c r="BS992" s="6">
        <f>Grandview_Inventory[[#This Row],[land_value]]</f>
        <v>52639.730588165206</v>
      </c>
      <c r="BT992" s="4">
        <f>_xlfn.IFNA(VLOOKUP(Grandview_Inventory[[#This Row],[quality]],Lookups!$A$26:$C$33,3,FALSE),1)</f>
        <v>0.98763855981004833</v>
      </c>
      <c r="BU992" s="4">
        <f>_xlfn.IFNA(VLOOKUP(Grandview_Inventory[[#This Row],[condition]],Lookups!$A$37:$C$44,3,FALSE),1)</f>
        <v>0.97383723671140243</v>
      </c>
      <c r="BV992" s="4">
        <f>IF(Grandview_Inventory[[#This Row],[bldg_style]]="",1,_xlfn.IFNA(VLOOKUP(Grandview_Inventory[[#This Row],[decade]],Lookups!$F$29:$H$43,3,FALSE),1))</f>
        <v>0.99472141305414818</v>
      </c>
      <c r="BW992" s="4">
        <f>_xlfn.IFNA(VLOOKUP(Grandview_Inventory[[#This Row],[living_area_range]],Lookups!$F$47:$H$56,3,FALSE),1)</f>
        <v>0.96135087979789358</v>
      </c>
      <c r="BX992" s="4">
        <f>AVERAGE(Grandview_Inventory[[#This Row],[qual_adj]:[size_adj]])</f>
        <v>0.97938702234337316</v>
      </c>
      <c r="BY992" s="6">
        <f>IF(Grandview_Inventory[[#This Row],[pre_res]]&lt;0,0,Grandview_Inventory[[#This Row],[pre_res]]*Grandview_Inventory[[#This Row],[overall_adj]])</f>
        <v>246067.60733079555</v>
      </c>
      <c r="BZ992" s="6">
        <f>(Grandview_Inventory[[#This Row],[sum_land]]-IF(Grandview_Inventory[[#This Row],[no_utilities]]=1,12000,0))/IF(Grandview_Inventory[[#This Row],[unbuildable]]=1,2,1)</f>
        <v>52639.730588165206</v>
      </c>
      <c r="CA992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92">
        <f>ROUND(Grandview_Inventory[[#This Row],[det_value]]*Lookups!$M$28,-2)</f>
        <v>0</v>
      </c>
      <c r="CC992">
        <f>IF(ROUND(Grandview_Inventory[[#This Row],[adj_res]]*Lookups!$M$28,-2)&lt;Grandview_Inventory[[#This Row],[min_res]],Grandview_Inventory[[#This Row],[min_res]],ROUND(Grandview_Inventory[[#This Row],[adj_res]]*Lookups!$M$28,-2))</f>
        <v>233800</v>
      </c>
      <c r="CD992">
        <f>Grandview_Inventory[[#This Row],[final_det]]+Grandview_Inventory[[#This Row],[final_res]]</f>
        <v>233800</v>
      </c>
      <c r="CE992">
        <f>Grandview_Inventory[[#This Row],[final_land]]+Grandview_Inventory[[#This Row],[final_imp]]+Grandview_Inventory[[#This Row],[crop_value]]</f>
        <v>283800</v>
      </c>
      <c r="CG992" t="str">
        <f t="shared" si="15"/>
        <v>update valuation set market_land =50000, market_bldg=233800, market_total =283800, market_mdno =401, market_date ='9/10/2023' where link_id = (select link_id from parcel where parcel_year = '2024' and parcel_id = '23092241525');</v>
      </c>
    </row>
    <row r="993" spans="1:85" x14ac:dyDescent="0.25">
      <c r="A993">
        <v>23092241526</v>
      </c>
      <c r="B993">
        <v>0.2</v>
      </c>
      <c r="C993">
        <v>8878</v>
      </c>
      <c r="D993" t="s">
        <v>129</v>
      </c>
      <c r="E993" t="s">
        <v>53</v>
      </c>
      <c r="F993" t="s">
        <v>53</v>
      </c>
      <c r="G993">
        <v>4</v>
      </c>
      <c r="H993" t="s">
        <v>54</v>
      </c>
      <c r="I993">
        <v>167900</v>
      </c>
      <c r="J993">
        <v>43700</v>
      </c>
      <c r="K993">
        <v>0.2</v>
      </c>
      <c r="L99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993">
        <v>0</v>
      </c>
      <c r="N993">
        <v>0</v>
      </c>
      <c r="O993">
        <v>0</v>
      </c>
      <c r="P993">
        <v>13398.7528</v>
      </c>
      <c r="Q993">
        <v>63903</v>
      </c>
      <c r="R993">
        <f>(Grandview_Inventory[[#This Row],[ln_acres]]*Grandview_Inventory[[#This Row],[coeff]])+Grandview_Inventory[[#This Row],[const]]</f>
        <v>42338.539264347448</v>
      </c>
      <c r="S993" t="s">
        <v>68</v>
      </c>
      <c r="T993">
        <v>1</v>
      </c>
      <c r="U993" t="s">
        <v>65</v>
      </c>
      <c r="V993" t="s">
        <v>67</v>
      </c>
      <c r="W993">
        <v>0</v>
      </c>
      <c r="X993">
        <v>0</v>
      </c>
      <c r="Y993">
        <v>49</v>
      </c>
      <c r="Z993">
        <v>68</v>
      </c>
      <c r="AA993">
        <v>70</v>
      </c>
      <c r="AB993">
        <v>1500</v>
      </c>
      <c r="AC993">
        <v>1156</v>
      </c>
      <c r="AD993">
        <v>1156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5</v>
      </c>
      <c r="AQ993">
        <v>0</v>
      </c>
      <c r="AR993">
        <v>0</v>
      </c>
      <c r="AS993" t="s">
        <v>58</v>
      </c>
      <c r="AT993">
        <v>1</v>
      </c>
      <c r="AU993" t="s">
        <v>63</v>
      </c>
      <c r="AV993" t="s">
        <v>64</v>
      </c>
      <c r="AW993">
        <v>0</v>
      </c>
      <c r="AX993">
        <v>2</v>
      </c>
      <c r="AY993">
        <v>0</v>
      </c>
      <c r="AZ993">
        <v>22500</v>
      </c>
      <c r="BA993">
        <v>100</v>
      </c>
      <c r="BB993">
        <v>100</v>
      </c>
      <c r="BC993">
        <v>100</v>
      </c>
      <c r="BD993">
        <v>100</v>
      </c>
      <c r="BE993">
        <v>1</v>
      </c>
      <c r="BF993">
        <v>15000</v>
      </c>
      <c r="BG993">
        <v>1000</v>
      </c>
      <c r="BH993" s="6">
        <f>Grandview_Inventory[[#This Row],[land_extract]]*Lookups!$B$3</f>
        <v>49167.631333630678</v>
      </c>
      <c r="BI993" s="6">
        <f>IF(Grandview_Inventory[[#This Row],[bldg_style]]="",0,Lookups!$B$2)</f>
        <v>155833.95000000001</v>
      </c>
      <c r="BJ993" s="6">
        <f>_xlfn.IFNA(VLOOKUP(Grandview_Inventory[[#This Row],[quality]],Lookups!$H$2:$J$14,3,FALSE),0)</f>
        <v>2251</v>
      </c>
      <c r="BK993" s="6">
        <f>_xlfn.IFNA(VLOOKUP(Grandview_Inventory[[#This Row],[condition]],Lookups!$H$17:$J$24,3,FALSE),0)</f>
        <v>22342</v>
      </c>
      <c r="BL993" s="6">
        <f>Grandview_Inventory[[#This Row],[Eff_Age]]*Lookups!$B$14</f>
        <v>-11719.163399999999</v>
      </c>
      <c r="BM993" s="6">
        <f>Grandview_Inventory[[#This Row],[living_area]]*Lookups!$B$15</f>
        <v>72112.266067999997</v>
      </c>
      <c r="BN993" s="6">
        <f>Grandview_Inventory[[#This Row],[Fin BSMT]]*Lookups!$B$16</f>
        <v>0</v>
      </c>
      <c r="BO993" s="6">
        <f>(Grandview_Inventory[[#This Row],[att_gar]]+Grandview_Inventory[[#This Row],[bltin_gar]])*Lookups!$B$17</f>
        <v>0</v>
      </c>
      <c r="BP993" s="6">
        <f>Grandview_Inventory[[#This Row],[Plumbing Fixtures]]*Lookups!$B$18</f>
        <v>10052.209000000001</v>
      </c>
      <c r="BQ993" s="6">
        <f>Grandview_Inventory[[#This Row],[detatched_value]]*Lookups!$B$19</f>
        <v>19053.114750000001</v>
      </c>
      <c r="BR993" s="6">
        <f>SUM(Grandview_Inventory[[#This Row],[Intercept]:[det_value]])*Grandview_Inventory[[#This Row],[res_pct]]</f>
        <v>269925.37641800003</v>
      </c>
      <c r="BS993" s="6">
        <f>Grandview_Inventory[[#This Row],[land_value]]</f>
        <v>49167.631333630678</v>
      </c>
      <c r="BT993" s="4">
        <f>_xlfn.IFNA(VLOOKUP(Grandview_Inventory[[#This Row],[quality]],Lookups!$A$26:$C$33,3,FALSE),1)</f>
        <v>0.98763855981004833</v>
      </c>
      <c r="BU993" s="4">
        <f>_xlfn.IFNA(VLOOKUP(Grandview_Inventory[[#This Row],[condition]],Lookups!$A$37:$C$44,3,FALSE),1)</f>
        <v>0.97383723671140243</v>
      </c>
      <c r="BV993" s="4">
        <f>IF(Grandview_Inventory[[#This Row],[bldg_style]]="",1,_xlfn.IFNA(VLOOKUP(Grandview_Inventory[[#This Row],[decade]],Lookups!$F$29:$H$43,3,FALSE),1))</f>
        <v>0.99472141305414818</v>
      </c>
      <c r="BW993" s="4">
        <f>_xlfn.IFNA(VLOOKUP(Grandview_Inventory[[#This Row],[living_area_range]],Lookups!$F$47:$H$56,3,FALSE),1)</f>
        <v>0.96135087979789358</v>
      </c>
      <c r="BX993" s="4">
        <f>AVERAGE(Grandview_Inventory[[#This Row],[qual_adj]:[size_adj]])</f>
        <v>0.97938702234337316</v>
      </c>
      <c r="BY993" s="6">
        <f>IF(Grandview_Inventory[[#This Row],[pre_res]]&lt;0,0,Grandview_Inventory[[#This Row],[pre_res]]*Grandview_Inventory[[#This Row],[overall_adj]])</f>
        <v>264361.41066493921</v>
      </c>
      <c r="BZ993" s="6">
        <f>(Grandview_Inventory[[#This Row],[sum_land]]-IF(Grandview_Inventory[[#This Row],[no_utilities]]=1,12000,0))/IF(Grandview_Inventory[[#This Row],[unbuildable]]=1,2,1)</f>
        <v>49167.631333630678</v>
      </c>
      <c r="CA99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993">
        <f>ROUND(Grandview_Inventory[[#This Row],[det_value]]*Lookups!$M$28,-2)</f>
        <v>18100</v>
      </c>
      <c r="CC993">
        <f>IF(ROUND(Grandview_Inventory[[#This Row],[adj_res]]*Lookups!$M$28,-2)&lt;Grandview_Inventory[[#This Row],[min_res]],Grandview_Inventory[[#This Row],[min_res]],ROUND(Grandview_Inventory[[#This Row],[adj_res]]*Lookups!$M$28,-2))</f>
        <v>251100</v>
      </c>
      <c r="CD993">
        <f>Grandview_Inventory[[#This Row],[final_det]]+Grandview_Inventory[[#This Row],[final_res]]</f>
        <v>269200</v>
      </c>
      <c r="CE993">
        <f>Grandview_Inventory[[#This Row],[final_land]]+Grandview_Inventory[[#This Row],[final_imp]]+Grandview_Inventory[[#This Row],[crop_value]]</f>
        <v>315900</v>
      </c>
      <c r="CG993" t="str">
        <f t="shared" si="15"/>
        <v>update valuation set market_land =46700, market_bldg=269200, market_total =315900, market_mdno =401, market_date ='9/10/2023' where link_id = (select link_id from parcel where parcel_year = '2024' and parcel_id = '23092241526');</v>
      </c>
    </row>
    <row r="994" spans="1:85" x14ac:dyDescent="0.25">
      <c r="A994">
        <v>23092241527</v>
      </c>
      <c r="B994">
        <v>0.25</v>
      </c>
      <c r="C994">
        <v>11025</v>
      </c>
      <c r="D994" t="s">
        <v>129</v>
      </c>
      <c r="E994" t="s">
        <v>53</v>
      </c>
      <c r="F994" t="s">
        <v>53</v>
      </c>
      <c r="G994">
        <v>4</v>
      </c>
      <c r="H994" t="s">
        <v>54</v>
      </c>
      <c r="I994">
        <v>153500</v>
      </c>
      <c r="J994">
        <v>40000</v>
      </c>
      <c r="K994">
        <v>0.25</v>
      </c>
      <c r="L99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94">
        <v>0</v>
      </c>
      <c r="N994">
        <v>0</v>
      </c>
      <c r="O994">
        <v>0</v>
      </c>
      <c r="P994">
        <v>13398.7528</v>
      </c>
      <c r="Q994">
        <v>63903</v>
      </c>
      <c r="R994">
        <f>(Grandview_Inventory[[#This Row],[ln_acres]]*Grandview_Inventory[[#This Row],[coeff]])+Grandview_Inventory[[#This Row],[const]]</f>
        <v>45328.38454732066</v>
      </c>
      <c r="S994" t="s">
        <v>68</v>
      </c>
      <c r="T994">
        <v>1</v>
      </c>
      <c r="U994" t="s">
        <v>65</v>
      </c>
      <c r="V994" t="s">
        <v>69</v>
      </c>
      <c r="W994">
        <v>0</v>
      </c>
      <c r="X994">
        <v>0</v>
      </c>
      <c r="Y994">
        <v>51</v>
      </c>
      <c r="Z994">
        <v>78</v>
      </c>
      <c r="AA994">
        <v>80</v>
      </c>
      <c r="AB994">
        <v>2000</v>
      </c>
      <c r="AC994">
        <v>1752</v>
      </c>
      <c r="AD994">
        <v>1200</v>
      </c>
      <c r="AE994">
        <v>0</v>
      </c>
      <c r="AF994">
        <v>0</v>
      </c>
      <c r="AG994">
        <v>552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88</v>
      </c>
      <c r="AO994">
        <v>0</v>
      </c>
      <c r="AP994">
        <v>5</v>
      </c>
      <c r="AQ994">
        <v>0</v>
      </c>
      <c r="AR994">
        <v>0</v>
      </c>
      <c r="AS994" t="s">
        <v>58</v>
      </c>
      <c r="AT994">
        <v>1</v>
      </c>
      <c r="AU994" t="s">
        <v>63</v>
      </c>
      <c r="AV994" t="s">
        <v>64</v>
      </c>
      <c r="AW994">
        <v>1</v>
      </c>
      <c r="AX994">
        <v>3</v>
      </c>
      <c r="AY994">
        <v>0</v>
      </c>
      <c r="AZ994">
        <v>12600</v>
      </c>
      <c r="BA994">
        <v>100</v>
      </c>
      <c r="BB994">
        <v>100</v>
      </c>
      <c r="BC994">
        <v>100</v>
      </c>
      <c r="BD994">
        <v>100</v>
      </c>
      <c r="BE994">
        <v>1</v>
      </c>
      <c r="BF994">
        <v>15000</v>
      </c>
      <c r="BG994">
        <v>1000</v>
      </c>
      <c r="BH994" s="6">
        <f>Grandview_Inventory[[#This Row],[land_extract]]*Lookups!$B$3</f>
        <v>52639.730588165206</v>
      </c>
      <c r="BI994" s="6">
        <f>IF(Grandview_Inventory[[#This Row],[bldg_style]]="",0,Lookups!$B$2)</f>
        <v>155833.95000000001</v>
      </c>
      <c r="BJ994" s="6">
        <f>_xlfn.IFNA(VLOOKUP(Grandview_Inventory[[#This Row],[quality]],Lookups!$H$2:$J$14,3,FALSE),0)</f>
        <v>2251</v>
      </c>
      <c r="BK994" s="6">
        <f>_xlfn.IFNA(VLOOKUP(Grandview_Inventory[[#This Row],[condition]],Lookups!$H$17:$J$24,3,FALSE),0)</f>
        <v>-4503</v>
      </c>
      <c r="BL994" s="6">
        <f>Grandview_Inventory[[#This Row],[Eff_Age]]*Lookups!$B$14</f>
        <v>-12197.496599999999</v>
      </c>
      <c r="BM994" s="6">
        <f>Grandview_Inventory[[#This Row],[living_area]]*Lookups!$B$15</f>
        <v>109291.25445600001</v>
      </c>
      <c r="BN994" s="6">
        <f>Grandview_Inventory[[#This Row],[Fin BSMT]]*Lookups!$B$16</f>
        <v>-14958.780480000001</v>
      </c>
      <c r="BO994" s="6">
        <f>(Grandview_Inventory[[#This Row],[att_gar]]+Grandview_Inventory[[#This Row],[bltin_gar]])*Lookups!$B$17</f>
        <v>0</v>
      </c>
      <c r="BP994" s="6">
        <f>Grandview_Inventory[[#This Row],[Plumbing Fixtures]]*Lookups!$B$18</f>
        <v>10052.209000000001</v>
      </c>
      <c r="BQ994" s="6">
        <f>Grandview_Inventory[[#This Row],[detatched_value]]*Lookups!$B$19</f>
        <v>10669.744259999999</v>
      </c>
      <c r="BR994" s="6">
        <f>SUM(Grandview_Inventory[[#This Row],[Intercept]:[det_value]])*Grandview_Inventory[[#This Row],[res_pct]]</f>
        <v>256438.88063599999</v>
      </c>
      <c r="BS994" s="6">
        <f>Grandview_Inventory[[#This Row],[land_value]]</f>
        <v>52639.730588165206</v>
      </c>
      <c r="BT994" s="4">
        <f>_xlfn.IFNA(VLOOKUP(Grandview_Inventory[[#This Row],[quality]],Lookups!$A$26:$C$33,3,FALSE),1)</f>
        <v>0.98763855981004833</v>
      </c>
      <c r="BU994" s="4">
        <f>_xlfn.IFNA(VLOOKUP(Grandview_Inventory[[#This Row],[condition]],Lookups!$A$37:$C$44,3,FALSE),1)</f>
        <v>0.96469275950863709</v>
      </c>
      <c r="BV994" s="4">
        <f>IF(Grandview_Inventory[[#This Row],[bldg_style]]="",1,_xlfn.IFNA(VLOOKUP(Grandview_Inventory[[#This Row],[decade]],Lookups!$F$29:$H$43,3,FALSE),1))</f>
        <v>0.98763256963907298</v>
      </c>
      <c r="BW994" s="4">
        <f>_xlfn.IFNA(VLOOKUP(Grandview_Inventory[[#This Row],[living_area_range]],Lookups!$F$47:$H$56,3,FALSE),1)</f>
        <v>0.96120133463014379</v>
      </c>
      <c r="BX994" s="4">
        <f>AVERAGE(Grandview_Inventory[[#This Row],[qual_adj]:[size_adj]])</f>
        <v>0.97529130589697544</v>
      </c>
      <c r="BY994" s="6">
        <f>IF(Grandview_Inventory[[#This Row],[pre_res]]&lt;0,0,Grandview_Inventory[[#This Row],[pre_res]]*Grandview_Inventory[[#This Row],[overall_adj]])</f>
        <v>250102.61077824305</v>
      </c>
      <c r="BZ994" s="6">
        <f>(Grandview_Inventory[[#This Row],[sum_land]]-IF(Grandview_Inventory[[#This Row],[no_utilities]]=1,12000,0))/IF(Grandview_Inventory[[#This Row],[unbuildable]]=1,2,1)</f>
        <v>52639.730588165206</v>
      </c>
      <c r="CA99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94">
        <f>ROUND(Grandview_Inventory[[#This Row],[det_value]]*Lookups!$M$28,-2)</f>
        <v>10100</v>
      </c>
      <c r="CC994">
        <f>IF(ROUND(Grandview_Inventory[[#This Row],[adj_res]]*Lookups!$M$28,-2)&lt;Grandview_Inventory[[#This Row],[min_res]],Grandview_Inventory[[#This Row],[min_res]],ROUND(Grandview_Inventory[[#This Row],[adj_res]]*Lookups!$M$28,-2))</f>
        <v>237600</v>
      </c>
      <c r="CD994">
        <f>Grandview_Inventory[[#This Row],[final_det]]+Grandview_Inventory[[#This Row],[final_res]]</f>
        <v>247700</v>
      </c>
      <c r="CE994">
        <f>Grandview_Inventory[[#This Row],[final_land]]+Grandview_Inventory[[#This Row],[final_imp]]+Grandview_Inventory[[#This Row],[crop_value]]</f>
        <v>297700</v>
      </c>
      <c r="CG994" t="str">
        <f t="shared" si="15"/>
        <v>update valuation set market_land =50000, market_bldg=247700, market_total =297700, market_mdno =401, market_date ='9/10/2023' where link_id = (select link_id from parcel where parcel_year = '2024' and parcel_id = '23092241527');</v>
      </c>
    </row>
    <row r="995" spans="1:85" x14ac:dyDescent="0.25">
      <c r="A995">
        <v>23092241528</v>
      </c>
      <c r="B995">
        <v>0.14000000000000001</v>
      </c>
      <c r="C995">
        <v>6300</v>
      </c>
      <c r="D995" t="s">
        <v>129</v>
      </c>
      <c r="E995" t="s">
        <v>53</v>
      </c>
      <c r="F995" t="s">
        <v>53</v>
      </c>
      <c r="G995">
        <v>4</v>
      </c>
      <c r="H995" t="s">
        <v>54</v>
      </c>
      <c r="I995">
        <v>112100</v>
      </c>
      <c r="J995">
        <v>38300</v>
      </c>
      <c r="K995">
        <v>0.14000000000000001</v>
      </c>
      <c r="L995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995">
        <v>0</v>
      </c>
      <c r="N995">
        <v>0</v>
      </c>
      <c r="O995">
        <v>0</v>
      </c>
      <c r="P995">
        <v>13398.7528</v>
      </c>
      <c r="Q995">
        <v>63903</v>
      </c>
      <c r="R995">
        <f>(Grandview_Inventory[[#This Row],[ln_acres]]*Grandview_Inventory[[#This Row],[coeff]])+Grandview_Inventory[[#This Row],[const]]</f>
        <v>37559.539860558507</v>
      </c>
      <c r="S995" t="s">
        <v>68</v>
      </c>
      <c r="T995">
        <v>1</v>
      </c>
      <c r="U995" t="s">
        <v>70</v>
      </c>
      <c r="V995" t="s">
        <v>78</v>
      </c>
      <c r="W995">
        <v>0</v>
      </c>
      <c r="X995">
        <v>0</v>
      </c>
      <c r="Y995">
        <v>49</v>
      </c>
      <c r="Z995">
        <v>68</v>
      </c>
      <c r="AA995">
        <v>70</v>
      </c>
      <c r="AB995">
        <v>2000</v>
      </c>
      <c r="AC995">
        <v>1504</v>
      </c>
      <c r="AD995">
        <v>934</v>
      </c>
      <c r="AE995">
        <v>0</v>
      </c>
      <c r="AF995">
        <v>0</v>
      </c>
      <c r="AG995">
        <v>570</v>
      </c>
      <c r="AH995">
        <v>0</v>
      </c>
      <c r="AI995">
        <v>0</v>
      </c>
      <c r="AJ995">
        <v>0</v>
      </c>
      <c r="AK995">
        <v>364</v>
      </c>
      <c r="AL995">
        <v>0</v>
      </c>
      <c r="AM995">
        <v>168</v>
      </c>
      <c r="AN995">
        <v>56</v>
      </c>
      <c r="AO995">
        <v>168</v>
      </c>
      <c r="AP995">
        <v>5</v>
      </c>
      <c r="AQ995">
        <v>0</v>
      </c>
      <c r="AR995">
        <v>0</v>
      </c>
      <c r="AS995" t="s">
        <v>58</v>
      </c>
      <c r="AT995">
        <v>1</v>
      </c>
      <c r="AU995" t="s">
        <v>63</v>
      </c>
      <c r="AV995" t="s">
        <v>60</v>
      </c>
      <c r="AW995">
        <v>0</v>
      </c>
      <c r="AX995">
        <v>2</v>
      </c>
      <c r="AY995">
        <v>0</v>
      </c>
      <c r="AZ995">
        <v>0</v>
      </c>
      <c r="BA995">
        <v>100</v>
      </c>
      <c r="BB995">
        <v>100</v>
      </c>
      <c r="BC995">
        <v>100</v>
      </c>
      <c r="BD995">
        <v>100</v>
      </c>
      <c r="BE995">
        <v>1</v>
      </c>
      <c r="BF995">
        <v>15000</v>
      </c>
      <c r="BG995">
        <v>1000</v>
      </c>
      <c r="BH995" s="6">
        <f>Grandview_Inventory[[#This Row],[land_extract]]*Lookups!$B$3</f>
        <v>43617.792229308972</v>
      </c>
      <c r="BI995" s="6">
        <f>IF(Grandview_Inventory[[#This Row],[bldg_style]]="",0,Lookups!$B$2)</f>
        <v>155833.95000000001</v>
      </c>
      <c r="BJ995" s="6">
        <f>_xlfn.IFNA(VLOOKUP(Grandview_Inventory[[#This Row],[quality]],Lookups!$H$2:$J$14,3,FALSE),0)</f>
        <v>10733</v>
      </c>
      <c r="BK995" s="6">
        <f>_xlfn.IFNA(VLOOKUP(Grandview_Inventory[[#This Row],[condition]],Lookups!$H$17:$J$24,3,FALSE),0)</f>
        <v>-45357</v>
      </c>
      <c r="BL995" s="6">
        <f>Grandview_Inventory[[#This Row],[Eff_Age]]*Lookups!$B$14</f>
        <v>-11719.163399999999</v>
      </c>
      <c r="BM995" s="6">
        <f>Grandview_Inventory[[#This Row],[living_area]]*Lookups!$B$15</f>
        <v>93820.802911999999</v>
      </c>
      <c r="BN995" s="6">
        <f>Grandview_Inventory[[#This Row],[Fin BSMT]]*Lookups!$B$16</f>
        <v>-15446.566800000001</v>
      </c>
      <c r="BO995" s="6">
        <f>(Grandview_Inventory[[#This Row],[att_gar]]+Grandview_Inventory[[#This Row],[bltin_gar]])*Lookups!$B$17</f>
        <v>0</v>
      </c>
      <c r="BP995" s="6">
        <f>Grandview_Inventory[[#This Row],[Plumbing Fixtures]]*Lookups!$B$18</f>
        <v>10052.209000000001</v>
      </c>
      <c r="BQ995" s="6">
        <f>Grandview_Inventory[[#This Row],[detatched_value]]*Lookups!$B$19</f>
        <v>0</v>
      </c>
      <c r="BR995" s="6">
        <f>SUM(Grandview_Inventory[[#This Row],[Intercept]:[det_value]])*Grandview_Inventory[[#This Row],[res_pct]]</f>
        <v>197917.23171200001</v>
      </c>
      <c r="BS995" s="6">
        <f>Grandview_Inventory[[#This Row],[land_value]]</f>
        <v>43617.792229308972</v>
      </c>
      <c r="BT995" s="4">
        <f>_xlfn.IFNA(VLOOKUP(Grandview_Inventory[[#This Row],[quality]],Lookups!$A$26:$C$33,3,FALSE),1)</f>
        <v>0.98079741117310582</v>
      </c>
      <c r="BU995" s="4">
        <f>_xlfn.IFNA(VLOOKUP(Grandview_Inventory[[#This Row],[condition]],Lookups!$A$37:$C$44,3,FALSE),1)</f>
        <v>0.97161819570155394</v>
      </c>
      <c r="BV995" s="4">
        <f>IF(Grandview_Inventory[[#This Row],[bldg_style]]="",1,_xlfn.IFNA(VLOOKUP(Grandview_Inventory[[#This Row],[decade]],Lookups!$F$29:$H$43,3,FALSE),1))</f>
        <v>0.99472141305414818</v>
      </c>
      <c r="BW995" s="4">
        <f>_xlfn.IFNA(VLOOKUP(Grandview_Inventory[[#This Row],[living_area_range]],Lookups!$F$47:$H$56,3,FALSE),1)</f>
        <v>0.96120133463014379</v>
      </c>
      <c r="BX995" s="4">
        <f>AVERAGE(Grandview_Inventory[[#This Row],[qual_adj]:[size_adj]])</f>
        <v>0.97708458863973791</v>
      </c>
      <c r="BY995" s="6">
        <f>IF(Grandview_Inventory[[#This Row],[pre_res]]&lt;0,0,Grandview_Inventory[[#This Row],[pre_res]]*Grandview_Inventory[[#This Row],[overall_adj]])</f>
        <v>193381.87693203523</v>
      </c>
      <c r="BZ995" s="6">
        <f>(Grandview_Inventory[[#This Row],[sum_land]]-IF(Grandview_Inventory[[#This Row],[no_utilities]]=1,12000,0))/IF(Grandview_Inventory[[#This Row],[unbuildable]]=1,2,1)</f>
        <v>43617.792229308972</v>
      </c>
      <c r="CA995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995">
        <f>ROUND(Grandview_Inventory[[#This Row],[det_value]]*Lookups!$M$28,-2)</f>
        <v>0</v>
      </c>
      <c r="CC995">
        <f>IF(ROUND(Grandview_Inventory[[#This Row],[adj_res]]*Lookups!$M$28,-2)&lt;Grandview_Inventory[[#This Row],[min_res]],Grandview_Inventory[[#This Row],[min_res]],ROUND(Grandview_Inventory[[#This Row],[adj_res]]*Lookups!$M$28,-2))</f>
        <v>183700</v>
      </c>
      <c r="CD995">
        <f>Grandview_Inventory[[#This Row],[final_det]]+Grandview_Inventory[[#This Row],[final_res]]</f>
        <v>183700</v>
      </c>
      <c r="CE995">
        <f>Grandview_Inventory[[#This Row],[final_land]]+Grandview_Inventory[[#This Row],[final_imp]]+Grandview_Inventory[[#This Row],[crop_value]]</f>
        <v>225100</v>
      </c>
      <c r="CG995" t="str">
        <f t="shared" si="15"/>
        <v>update valuation set market_land =41400, market_bldg=183700, market_total =225100, market_mdno =401, market_date ='9/10/2023' where link_id = (select link_id from parcel where parcel_year = '2024' and parcel_id = '23092241528');</v>
      </c>
    </row>
    <row r="996" spans="1:85" x14ac:dyDescent="0.25">
      <c r="A996">
        <v>23092241529</v>
      </c>
      <c r="B996">
        <v>0.12</v>
      </c>
      <c r="C996">
        <v>5015</v>
      </c>
      <c r="D996" t="s">
        <v>129</v>
      </c>
      <c r="E996" t="s">
        <v>53</v>
      </c>
      <c r="F996" t="s">
        <v>53</v>
      </c>
      <c r="G996">
        <v>4</v>
      </c>
      <c r="H996" t="s">
        <v>54</v>
      </c>
      <c r="I996">
        <v>160500</v>
      </c>
      <c r="J996">
        <v>41900</v>
      </c>
      <c r="K996">
        <v>0.12</v>
      </c>
      <c r="L996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996">
        <v>0</v>
      </c>
      <c r="N996">
        <v>0</v>
      </c>
      <c r="O996">
        <v>0</v>
      </c>
      <c r="P996">
        <v>13398.7528</v>
      </c>
      <c r="Q996">
        <v>63903</v>
      </c>
      <c r="R996">
        <f>(Grandview_Inventory[[#This Row],[ln_acres]]*Grandview_Inventory[[#This Row],[coeff]])+Grandview_Inventory[[#This Row],[const]]</f>
        <v>35494.113007601132</v>
      </c>
      <c r="S996" t="s">
        <v>55</v>
      </c>
      <c r="T996">
        <v>2</v>
      </c>
      <c r="U996" t="s">
        <v>65</v>
      </c>
      <c r="V996" t="s">
        <v>69</v>
      </c>
      <c r="W996">
        <v>0</v>
      </c>
      <c r="X996">
        <v>0</v>
      </c>
      <c r="Y996">
        <v>46</v>
      </c>
      <c r="Z996">
        <v>53</v>
      </c>
      <c r="AA996">
        <v>60</v>
      </c>
      <c r="AB996">
        <v>1500</v>
      </c>
      <c r="AC996">
        <v>1184</v>
      </c>
      <c r="AD996">
        <v>848</v>
      </c>
      <c r="AE996">
        <v>336</v>
      </c>
      <c r="AF996">
        <v>0</v>
      </c>
      <c r="AG996">
        <v>0</v>
      </c>
      <c r="AH996">
        <v>848</v>
      </c>
      <c r="AI996">
        <v>0</v>
      </c>
      <c r="AJ996">
        <v>336</v>
      </c>
      <c r="AK996">
        <v>0</v>
      </c>
      <c r="AL996">
        <v>0</v>
      </c>
      <c r="AM996">
        <v>126</v>
      </c>
      <c r="AN996">
        <v>54</v>
      </c>
      <c r="AO996">
        <v>0</v>
      </c>
      <c r="AP996">
        <v>8</v>
      </c>
      <c r="AQ996">
        <v>0</v>
      </c>
      <c r="AR996">
        <v>0</v>
      </c>
      <c r="AS996" t="s">
        <v>58</v>
      </c>
      <c r="AT996">
        <v>0</v>
      </c>
      <c r="AU996" t="s">
        <v>82</v>
      </c>
      <c r="AV996" t="s">
        <v>60</v>
      </c>
      <c r="AW996">
        <v>0</v>
      </c>
      <c r="AX996">
        <v>3</v>
      </c>
      <c r="AY996">
        <v>0</v>
      </c>
      <c r="AZ996">
        <v>0</v>
      </c>
      <c r="BA996">
        <v>100</v>
      </c>
      <c r="BB996">
        <v>100</v>
      </c>
      <c r="BC996">
        <v>100</v>
      </c>
      <c r="BD996">
        <v>100</v>
      </c>
      <c r="BE996">
        <v>1</v>
      </c>
      <c r="BF996">
        <v>15000</v>
      </c>
      <c r="BG996">
        <v>1000</v>
      </c>
      <c r="BH996" s="6">
        <f>Grandview_Inventory[[#This Row],[land_extract]]*Lookups!$B$3</f>
        <v>41219.217601622076</v>
      </c>
      <c r="BI996" s="6">
        <f>IF(Grandview_Inventory[[#This Row],[bldg_style]]="",0,Lookups!$B$2)</f>
        <v>155833.95000000001</v>
      </c>
      <c r="BJ996" s="6">
        <f>_xlfn.IFNA(VLOOKUP(Grandview_Inventory[[#This Row],[quality]],Lookups!$H$2:$J$14,3,FALSE),0)</f>
        <v>2251</v>
      </c>
      <c r="BK996" s="6">
        <f>_xlfn.IFNA(VLOOKUP(Grandview_Inventory[[#This Row],[condition]],Lookups!$H$17:$J$24,3,FALSE),0)</f>
        <v>-4503</v>
      </c>
      <c r="BL996" s="6">
        <f>Grandview_Inventory[[#This Row],[Eff_Age]]*Lookups!$B$14</f>
        <v>-11001.6636</v>
      </c>
      <c r="BM996" s="6">
        <f>Grandview_Inventory[[#This Row],[living_area]]*Lookups!$B$15</f>
        <v>73858.929952000006</v>
      </c>
      <c r="BN996" s="6">
        <f>Grandview_Inventory[[#This Row],[Fin BSMT]]*Lookups!$B$16</f>
        <v>0</v>
      </c>
      <c r="BO996" s="6">
        <f>(Grandview_Inventory[[#This Row],[att_gar]]+Grandview_Inventory[[#This Row],[bltin_gar]])*Lookups!$B$17</f>
        <v>29406.866832</v>
      </c>
      <c r="BP996" s="6">
        <f>Grandview_Inventory[[#This Row],[Plumbing Fixtures]]*Lookups!$B$18</f>
        <v>16083.5344</v>
      </c>
      <c r="BQ996" s="6">
        <f>Grandview_Inventory[[#This Row],[detatched_value]]*Lookups!$B$19</f>
        <v>0</v>
      </c>
      <c r="BR996" s="6">
        <f>SUM(Grandview_Inventory[[#This Row],[Intercept]:[det_value]])*Grandview_Inventory[[#This Row],[res_pct]]</f>
        <v>261929.61758400002</v>
      </c>
      <c r="BS996" s="6">
        <f>Grandview_Inventory[[#This Row],[land_value]]</f>
        <v>41219.217601622076</v>
      </c>
      <c r="BT996" s="4">
        <f>_xlfn.IFNA(VLOOKUP(Grandview_Inventory[[#This Row],[quality]],Lookups!$A$26:$C$33,3,FALSE),1)</f>
        <v>0.98763855981004833</v>
      </c>
      <c r="BU996" s="4">
        <f>_xlfn.IFNA(VLOOKUP(Grandview_Inventory[[#This Row],[condition]],Lookups!$A$37:$C$44,3,FALSE),1)</f>
        <v>0.96469275950863709</v>
      </c>
      <c r="BV996" s="4">
        <f>IF(Grandview_Inventory[[#This Row],[bldg_style]]="",1,_xlfn.IFNA(VLOOKUP(Grandview_Inventory[[#This Row],[decade]],Lookups!$F$29:$H$43,3,FALSE),1))</f>
        <v>0.95268620544463312</v>
      </c>
      <c r="BW996" s="4">
        <f>_xlfn.IFNA(VLOOKUP(Grandview_Inventory[[#This Row],[living_area_range]],Lookups!$F$47:$H$56,3,FALSE),1)</f>
        <v>0.96135087979789358</v>
      </c>
      <c r="BX996" s="4">
        <f>AVERAGE(Grandview_Inventory[[#This Row],[qual_adj]:[size_adj]])</f>
        <v>0.96659210114030303</v>
      </c>
      <c r="BY996" s="6">
        <f>IF(Grandview_Inventory[[#This Row],[pre_res]]&lt;0,0,Grandview_Inventory[[#This Row],[pre_res]]*Grandview_Inventory[[#This Row],[overall_adj]])</f>
        <v>253179.09941139465</v>
      </c>
      <c r="BZ996" s="6">
        <f>(Grandview_Inventory[[#This Row],[sum_land]]-IF(Grandview_Inventory[[#This Row],[no_utilities]]=1,12000,0))/IF(Grandview_Inventory[[#This Row],[unbuildable]]=1,2,1)</f>
        <v>41219.217601622076</v>
      </c>
      <c r="CA996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996">
        <f>ROUND(Grandview_Inventory[[#This Row],[det_value]]*Lookups!$M$28,-2)</f>
        <v>0</v>
      </c>
      <c r="CC996">
        <f>IF(ROUND(Grandview_Inventory[[#This Row],[adj_res]]*Lookups!$M$28,-2)&lt;Grandview_Inventory[[#This Row],[min_res]],Grandview_Inventory[[#This Row],[min_res]],ROUND(Grandview_Inventory[[#This Row],[adj_res]]*Lookups!$M$28,-2))</f>
        <v>240500</v>
      </c>
      <c r="CD996">
        <f>Grandview_Inventory[[#This Row],[final_det]]+Grandview_Inventory[[#This Row],[final_res]]</f>
        <v>240500</v>
      </c>
      <c r="CE996">
        <f>Grandview_Inventory[[#This Row],[final_land]]+Grandview_Inventory[[#This Row],[final_imp]]+Grandview_Inventory[[#This Row],[crop_value]]</f>
        <v>279700</v>
      </c>
      <c r="CG996" t="str">
        <f t="shared" si="15"/>
        <v>update valuation set market_land =39200, market_bldg=240500, market_total =279700, market_mdno =401, market_date ='9/10/2023' where link_id = (select link_id from parcel where parcel_year = '2024' and parcel_id = '23092241529');</v>
      </c>
    </row>
    <row r="997" spans="1:85" x14ac:dyDescent="0.25">
      <c r="A997">
        <v>23092241530</v>
      </c>
      <c r="B997">
        <v>0.26</v>
      </c>
      <c r="C997">
        <v>11328</v>
      </c>
      <c r="D997" t="s">
        <v>129</v>
      </c>
      <c r="E997" t="s">
        <v>53</v>
      </c>
      <c r="F997" t="s">
        <v>53</v>
      </c>
      <c r="G997">
        <v>4</v>
      </c>
      <c r="H997" t="s">
        <v>54</v>
      </c>
      <c r="I997">
        <v>142500</v>
      </c>
      <c r="J997">
        <v>40000</v>
      </c>
      <c r="K997">
        <v>0.26</v>
      </c>
      <c r="L99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997">
        <v>0</v>
      </c>
      <c r="N997">
        <v>0</v>
      </c>
      <c r="O997">
        <v>0</v>
      </c>
      <c r="P997">
        <v>13398.7528</v>
      </c>
      <c r="Q997">
        <v>63903</v>
      </c>
      <c r="R997">
        <f>(Grandview_Inventory[[#This Row],[ln_acres]]*Grandview_Inventory[[#This Row],[coeff]])+Grandview_Inventory[[#This Row],[const]]</f>
        <v>45853.893187501177</v>
      </c>
      <c r="S997" t="s">
        <v>68</v>
      </c>
      <c r="T997">
        <v>1</v>
      </c>
      <c r="U997" t="s">
        <v>65</v>
      </c>
      <c r="V997" t="s">
        <v>69</v>
      </c>
      <c r="W997">
        <v>0</v>
      </c>
      <c r="X997">
        <v>0</v>
      </c>
      <c r="Y997">
        <v>49</v>
      </c>
      <c r="Z997">
        <v>68</v>
      </c>
      <c r="AA997">
        <v>70</v>
      </c>
      <c r="AB997">
        <v>2000</v>
      </c>
      <c r="AC997">
        <v>1514</v>
      </c>
      <c r="AD997">
        <v>1514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20</v>
      </c>
      <c r="AN997">
        <v>80</v>
      </c>
      <c r="AO997">
        <v>20</v>
      </c>
      <c r="AP997">
        <v>5</v>
      </c>
      <c r="AQ997">
        <v>0</v>
      </c>
      <c r="AR997">
        <v>0</v>
      </c>
      <c r="AS997" t="s">
        <v>58</v>
      </c>
      <c r="AT997">
        <v>1</v>
      </c>
      <c r="AU997" t="s">
        <v>63</v>
      </c>
      <c r="AV997" t="s">
        <v>64</v>
      </c>
      <c r="AW997">
        <v>1</v>
      </c>
      <c r="AX997">
        <v>2</v>
      </c>
      <c r="AY997">
        <v>0</v>
      </c>
      <c r="AZ997">
        <v>0</v>
      </c>
      <c r="BA997">
        <v>100</v>
      </c>
      <c r="BB997">
        <v>100</v>
      </c>
      <c r="BC997">
        <v>100</v>
      </c>
      <c r="BD997">
        <v>100</v>
      </c>
      <c r="BE997">
        <v>1</v>
      </c>
      <c r="BF997">
        <v>15000</v>
      </c>
      <c r="BG997">
        <v>1000</v>
      </c>
      <c r="BH997" s="6">
        <f>Grandview_Inventory[[#This Row],[land_extract]]*Lookups!$B$3</f>
        <v>53250.00235313351</v>
      </c>
      <c r="BI997" s="6">
        <f>IF(Grandview_Inventory[[#This Row],[bldg_style]]="",0,Lookups!$B$2)</f>
        <v>155833.95000000001</v>
      </c>
      <c r="BJ997" s="6">
        <f>_xlfn.IFNA(VLOOKUP(Grandview_Inventory[[#This Row],[quality]],Lookups!$H$2:$J$14,3,FALSE),0)</f>
        <v>2251</v>
      </c>
      <c r="BK997" s="6">
        <f>_xlfn.IFNA(VLOOKUP(Grandview_Inventory[[#This Row],[condition]],Lookups!$H$17:$J$24,3,FALSE),0)</f>
        <v>-4503</v>
      </c>
      <c r="BL997" s="6">
        <f>Grandview_Inventory[[#This Row],[Eff_Age]]*Lookups!$B$14</f>
        <v>-11719.163399999999</v>
      </c>
      <c r="BM997" s="6">
        <f>Grandview_Inventory[[#This Row],[living_area]]*Lookups!$B$15</f>
        <v>94444.611442000009</v>
      </c>
      <c r="BN997" s="6">
        <f>Grandview_Inventory[[#This Row],[Fin BSMT]]*Lookups!$B$16</f>
        <v>0</v>
      </c>
      <c r="BO997" s="6">
        <f>(Grandview_Inventory[[#This Row],[att_gar]]+Grandview_Inventory[[#This Row],[bltin_gar]])*Lookups!$B$17</f>
        <v>0</v>
      </c>
      <c r="BP997" s="6">
        <f>Grandview_Inventory[[#This Row],[Plumbing Fixtures]]*Lookups!$B$18</f>
        <v>10052.209000000001</v>
      </c>
      <c r="BQ997" s="6">
        <f>Grandview_Inventory[[#This Row],[detatched_value]]*Lookups!$B$19</f>
        <v>0</v>
      </c>
      <c r="BR997" s="6">
        <f>SUM(Grandview_Inventory[[#This Row],[Intercept]:[det_value]])*Grandview_Inventory[[#This Row],[res_pct]]</f>
        <v>246359.60704200002</v>
      </c>
      <c r="BS997" s="6">
        <f>Grandview_Inventory[[#This Row],[land_value]]</f>
        <v>53250.00235313351</v>
      </c>
      <c r="BT997" s="4">
        <f>_xlfn.IFNA(VLOOKUP(Grandview_Inventory[[#This Row],[quality]],Lookups!$A$26:$C$33,3,FALSE),1)</f>
        <v>0.98763855981004833</v>
      </c>
      <c r="BU997" s="4">
        <f>_xlfn.IFNA(VLOOKUP(Grandview_Inventory[[#This Row],[condition]],Lookups!$A$37:$C$44,3,FALSE),1)</f>
        <v>0.96469275950863709</v>
      </c>
      <c r="BV997" s="4">
        <f>IF(Grandview_Inventory[[#This Row],[bldg_style]]="",1,_xlfn.IFNA(VLOOKUP(Grandview_Inventory[[#This Row],[decade]],Lookups!$F$29:$H$43,3,FALSE),1))</f>
        <v>0.99472141305414818</v>
      </c>
      <c r="BW997" s="4">
        <f>_xlfn.IFNA(VLOOKUP(Grandview_Inventory[[#This Row],[living_area_range]],Lookups!$F$47:$H$56,3,FALSE),1)</f>
        <v>0.96120133463014379</v>
      </c>
      <c r="BX997" s="4">
        <f>AVERAGE(Grandview_Inventory[[#This Row],[qual_adj]:[size_adj]])</f>
        <v>0.97706351675074443</v>
      </c>
      <c r="BY997" s="6">
        <f>IF(Grandview_Inventory[[#This Row],[pre_res]]&lt;0,0,Grandview_Inventory[[#This Row],[pre_res]]*Grandview_Inventory[[#This Row],[overall_adj]])</f>
        <v>240708.984041788</v>
      </c>
      <c r="BZ997" s="6">
        <f>(Grandview_Inventory[[#This Row],[sum_land]]-IF(Grandview_Inventory[[#This Row],[no_utilities]]=1,12000,0))/IF(Grandview_Inventory[[#This Row],[unbuildable]]=1,2,1)</f>
        <v>53250.00235313351</v>
      </c>
      <c r="CA99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997">
        <f>ROUND(Grandview_Inventory[[#This Row],[det_value]]*Lookups!$M$28,-2)</f>
        <v>0</v>
      </c>
      <c r="CC997">
        <f>IF(ROUND(Grandview_Inventory[[#This Row],[adj_res]]*Lookups!$M$28,-2)&lt;Grandview_Inventory[[#This Row],[min_res]],Grandview_Inventory[[#This Row],[min_res]],ROUND(Grandview_Inventory[[#This Row],[adj_res]]*Lookups!$M$28,-2))</f>
        <v>228700</v>
      </c>
      <c r="CD997">
        <f>Grandview_Inventory[[#This Row],[final_det]]+Grandview_Inventory[[#This Row],[final_res]]</f>
        <v>228700</v>
      </c>
      <c r="CE997">
        <f>Grandview_Inventory[[#This Row],[final_land]]+Grandview_Inventory[[#This Row],[final_imp]]+Grandview_Inventory[[#This Row],[crop_value]]</f>
        <v>279300</v>
      </c>
      <c r="CG997" t="str">
        <f t="shared" si="15"/>
        <v>update valuation set market_land =50600, market_bldg=228700, market_total =279300, market_mdno =401, market_date ='9/10/2023' where link_id = (select link_id from parcel where parcel_year = '2024' and parcel_id = '23092241530');</v>
      </c>
    </row>
    <row r="998" spans="1:85" x14ac:dyDescent="0.25">
      <c r="A998">
        <v>23092241531</v>
      </c>
      <c r="B998">
        <v>0.24</v>
      </c>
      <c r="C998">
        <v>10342</v>
      </c>
      <c r="D998" t="s">
        <v>129</v>
      </c>
      <c r="E998" t="s">
        <v>53</v>
      </c>
      <c r="F998" t="s">
        <v>53</v>
      </c>
      <c r="G998">
        <v>4</v>
      </c>
      <c r="H998" t="s">
        <v>54</v>
      </c>
      <c r="I998">
        <v>149300</v>
      </c>
      <c r="J998">
        <v>44200</v>
      </c>
      <c r="K998">
        <v>0.24</v>
      </c>
      <c r="L998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998">
        <v>0</v>
      </c>
      <c r="N998">
        <v>0</v>
      </c>
      <c r="O998">
        <v>0</v>
      </c>
      <c r="P998">
        <v>13398.7528</v>
      </c>
      <c r="Q998">
        <v>63903</v>
      </c>
      <c r="R998">
        <f>(Grandview_Inventory[[#This Row],[ln_acres]]*Grandview_Inventory[[#This Row],[coeff]])+Grandview_Inventory[[#This Row],[const]]</f>
        <v>44781.420733940802</v>
      </c>
      <c r="S998" t="s">
        <v>55</v>
      </c>
      <c r="T998">
        <v>1</v>
      </c>
      <c r="U998" t="s">
        <v>70</v>
      </c>
      <c r="V998" t="s">
        <v>69</v>
      </c>
      <c r="W998">
        <v>0</v>
      </c>
      <c r="X998">
        <v>0</v>
      </c>
      <c r="Y998">
        <v>49</v>
      </c>
      <c r="Z998">
        <v>68</v>
      </c>
      <c r="AA998">
        <v>70</v>
      </c>
      <c r="AB998">
        <v>1500</v>
      </c>
      <c r="AC998">
        <v>1050</v>
      </c>
      <c r="AD998">
        <v>1050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208</v>
      </c>
      <c r="AN998">
        <v>0</v>
      </c>
      <c r="AO998">
        <v>208</v>
      </c>
      <c r="AP998">
        <v>5</v>
      </c>
      <c r="AQ998">
        <v>0</v>
      </c>
      <c r="AR998">
        <v>0</v>
      </c>
      <c r="AS998" t="s">
        <v>58</v>
      </c>
      <c r="AT998">
        <v>0</v>
      </c>
      <c r="AU998" t="s">
        <v>82</v>
      </c>
      <c r="AV998" t="s">
        <v>60</v>
      </c>
      <c r="AW998">
        <v>0</v>
      </c>
      <c r="AX998">
        <v>2</v>
      </c>
      <c r="AY998">
        <v>0</v>
      </c>
      <c r="AZ998">
        <v>8500</v>
      </c>
      <c r="BA998">
        <v>100</v>
      </c>
      <c r="BB998">
        <v>100</v>
      </c>
      <c r="BC998">
        <v>100</v>
      </c>
      <c r="BD998">
        <v>100</v>
      </c>
      <c r="BE998">
        <v>1</v>
      </c>
      <c r="BF998">
        <v>15000</v>
      </c>
      <c r="BG998">
        <v>1000</v>
      </c>
      <c r="BH998" s="6">
        <f>Grandview_Inventory[[#This Row],[land_extract]]*Lookups!$B$3</f>
        <v>52004.542988489469</v>
      </c>
      <c r="BI998" s="6">
        <f>IF(Grandview_Inventory[[#This Row],[bldg_style]]="",0,Lookups!$B$2)</f>
        <v>155833.95000000001</v>
      </c>
      <c r="BJ998" s="6">
        <f>_xlfn.IFNA(VLOOKUP(Grandview_Inventory[[#This Row],[quality]],Lookups!$H$2:$J$14,3,FALSE),0)</f>
        <v>10733</v>
      </c>
      <c r="BK998" s="6">
        <f>_xlfn.IFNA(VLOOKUP(Grandview_Inventory[[#This Row],[condition]],Lookups!$H$17:$J$24,3,FALSE),0)</f>
        <v>-4503</v>
      </c>
      <c r="BL998" s="6">
        <f>Grandview_Inventory[[#This Row],[Eff_Age]]*Lookups!$B$14</f>
        <v>-11719.163399999999</v>
      </c>
      <c r="BM998" s="6">
        <f>Grandview_Inventory[[#This Row],[living_area]]*Lookups!$B$15</f>
        <v>65499.895649999999</v>
      </c>
      <c r="BN998" s="6">
        <f>Grandview_Inventory[[#This Row],[Fin BSMT]]*Lookups!$B$16</f>
        <v>0</v>
      </c>
      <c r="BO998" s="6">
        <f>(Grandview_Inventory[[#This Row],[att_gar]]+Grandview_Inventory[[#This Row],[bltin_gar]])*Lookups!$B$17</f>
        <v>0</v>
      </c>
      <c r="BP998" s="6">
        <f>Grandview_Inventory[[#This Row],[Plumbing Fixtures]]*Lookups!$B$18</f>
        <v>10052.209000000001</v>
      </c>
      <c r="BQ998" s="6">
        <f>Grandview_Inventory[[#This Row],[detatched_value]]*Lookups!$B$19</f>
        <v>7197.8433500000001</v>
      </c>
      <c r="BR998" s="6">
        <f>SUM(Grandview_Inventory[[#This Row],[Intercept]:[det_value]])*Grandview_Inventory[[#This Row],[res_pct]]</f>
        <v>233094.73460000003</v>
      </c>
      <c r="BS998" s="6">
        <f>Grandview_Inventory[[#This Row],[land_value]]</f>
        <v>52004.542988489469</v>
      </c>
      <c r="BT998" s="4">
        <f>_xlfn.IFNA(VLOOKUP(Grandview_Inventory[[#This Row],[quality]],Lookups!$A$26:$C$33,3,FALSE),1)</f>
        <v>0.98079741117310582</v>
      </c>
      <c r="BU998" s="4">
        <f>_xlfn.IFNA(VLOOKUP(Grandview_Inventory[[#This Row],[condition]],Lookups!$A$37:$C$44,3,FALSE),1)</f>
        <v>0.96469275950863709</v>
      </c>
      <c r="BV998" s="4">
        <f>IF(Grandview_Inventory[[#This Row],[bldg_style]]="",1,_xlfn.IFNA(VLOOKUP(Grandview_Inventory[[#This Row],[decade]],Lookups!$F$29:$H$43,3,FALSE),1))</f>
        <v>0.99472141305414818</v>
      </c>
      <c r="BW998" s="4">
        <f>_xlfn.IFNA(VLOOKUP(Grandview_Inventory[[#This Row],[living_area_range]],Lookups!$F$47:$H$56,3,FALSE),1)</f>
        <v>0.96135087979789358</v>
      </c>
      <c r="BX998" s="4">
        <f>AVERAGE(Grandview_Inventory[[#This Row],[qual_adj]:[size_adj]])</f>
        <v>0.97539061588344622</v>
      </c>
      <c r="BY998" s="6">
        <f>IF(Grandview_Inventory[[#This Row],[pre_res]]&lt;0,0,Grandview_Inventory[[#This Row],[pre_res]]*Grandview_Inventory[[#This Row],[overall_adj]])</f>
        <v>227358.41674068247</v>
      </c>
      <c r="BZ998" s="6">
        <f>(Grandview_Inventory[[#This Row],[sum_land]]-IF(Grandview_Inventory[[#This Row],[no_utilities]]=1,12000,0))/IF(Grandview_Inventory[[#This Row],[unbuildable]]=1,2,1)</f>
        <v>52004.542988489469</v>
      </c>
      <c r="CA998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998">
        <f>ROUND(Grandview_Inventory[[#This Row],[det_value]]*Lookups!$M$28,-2)</f>
        <v>6800</v>
      </c>
      <c r="CC998">
        <f>IF(ROUND(Grandview_Inventory[[#This Row],[adj_res]]*Lookups!$M$28,-2)&lt;Grandview_Inventory[[#This Row],[min_res]],Grandview_Inventory[[#This Row],[min_res]],ROUND(Grandview_Inventory[[#This Row],[adj_res]]*Lookups!$M$28,-2))</f>
        <v>216000</v>
      </c>
      <c r="CD998">
        <f>Grandview_Inventory[[#This Row],[final_det]]+Grandview_Inventory[[#This Row],[final_res]]</f>
        <v>222800</v>
      </c>
      <c r="CE998">
        <f>Grandview_Inventory[[#This Row],[final_land]]+Grandview_Inventory[[#This Row],[final_imp]]+Grandview_Inventory[[#This Row],[crop_value]]</f>
        <v>272200</v>
      </c>
      <c r="CG998" t="str">
        <f t="shared" si="15"/>
        <v>update valuation set market_land =49400, market_bldg=222800, market_total =272200, market_mdno =401, market_date ='9/10/2023' where link_id = (select link_id from parcel where parcel_year = '2024' and parcel_id = '23092241531');</v>
      </c>
    </row>
    <row r="999" spans="1:85" x14ac:dyDescent="0.25">
      <c r="A999">
        <v>23092241532</v>
      </c>
      <c r="B999">
        <v>0.25</v>
      </c>
      <c r="C999">
        <v>10835</v>
      </c>
      <c r="D999" t="s">
        <v>129</v>
      </c>
      <c r="E999" t="s">
        <v>53</v>
      </c>
      <c r="F999" t="s">
        <v>53</v>
      </c>
      <c r="G999">
        <v>4</v>
      </c>
      <c r="H999" t="s">
        <v>54</v>
      </c>
      <c r="I999">
        <v>214300</v>
      </c>
      <c r="J999">
        <v>40000</v>
      </c>
      <c r="K999">
        <v>0.25</v>
      </c>
      <c r="L99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999">
        <v>0</v>
      </c>
      <c r="N999">
        <v>0</v>
      </c>
      <c r="O999">
        <v>0</v>
      </c>
      <c r="P999">
        <v>13398.7528</v>
      </c>
      <c r="Q999">
        <v>63903</v>
      </c>
      <c r="R999">
        <f>(Grandview_Inventory[[#This Row],[ln_acres]]*Grandview_Inventory[[#This Row],[coeff]])+Grandview_Inventory[[#This Row],[const]]</f>
        <v>45328.38454732066</v>
      </c>
      <c r="S999" t="s">
        <v>61</v>
      </c>
      <c r="T999">
        <v>1</v>
      </c>
      <c r="U999" t="s">
        <v>70</v>
      </c>
      <c r="V999" t="s">
        <v>69</v>
      </c>
      <c r="W999">
        <v>0</v>
      </c>
      <c r="X999">
        <v>0</v>
      </c>
      <c r="Y999">
        <v>48</v>
      </c>
      <c r="Z999">
        <v>63</v>
      </c>
      <c r="AA999">
        <v>70</v>
      </c>
      <c r="AB999">
        <v>2500</v>
      </c>
      <c r="AC999">
        <v>2496</v>
      </c>
      <c r="AD999">
        <v>1420</v>
      </c>
      <c r="AE999">
        <v>0</v>
      </c>
      <c r="AF999">
        <v>0</v>
      </c>
      <c r="AG999">
        <v>1076</v>
      </c>
      <c r="AH999">
        <v>344</v>
      </c>
      <c r="AI999">
        <v>273</v>
      </c>
      <c r="AJ999">
        <v>0</v>
      </c>
      <c r="AK999">
        <v>0</v>
      </c>
      <c r="AL999">
        <v>0</v>
      </c>
      <c r="AM999">
        <v>480</v>
      </c>
      <c r="AN999">
        <v>0</v>
      </c>
      <c r="AO999">
        <v>480</v>
      </c>
      <c r="AP999">
        <v>8</v>
      </c>
      <c r="AQ999">
        <v>0</v>
      </c>
      <c r="AR999">
        <v>1</v>
      </c>
      <c r="AS999" t="s">
        <v>58</v>
      </c>
      <c r="AT999">
        <v>1</v>
      </c>
      <c r="AU999" t="s">
        <v>63</v>
      </c>
      <c r="AV999" t="s">
        <v>64</v>
      </c>
      <c r="AW999">
        <v>1</v>
      </c>
      <c r="AX999">
        <v>3</v>
      </c>
      <c r="AY999">
        <v>0</v>
      </c>
      <c r="AZ999">
        <v>0</v>
      </c>
      <c r="BA999">
        <v>100</v>
      </c>
      <c r="BB999">
        <v>100</v>
      </c>
      <c r="BC999">
        <v>100</v>
      </c>
      <c r="BD999">
        <v>100</v>
      </c>
      <c r="BE999">
        <v>1</v>
      </c>
      <c r="BF999">
        <v>15000</v>
      </c>
      <c r="BG999">
        <v>1000</v>
      </c>
      <c r="BH999" s="6">
        <f>Grandview_Inventory[[#This Row],[land_extract]]*Lookups!$B$3</f>
        <v>52639.730588165206</v>
      </c>
      <c r="BI999" s="6">
        <f>IF(Grandview_Inventory[[#This Row],[bldg_style]]="",0,Lookups!$B$2)</f>
        <v>155833.95000000001</v>
      </c>
      <c r="BJ999" s="6">
        <f>_xlfn.IFNA(VLOOKUP(Grandview_Inventory[[#This Row],[quality]],Lookups!$H$2:$J$14,3,FALSE),0)</f>
        <v>10733</v>
      </c>
      <c r="BK999" s="6">
        <f>_xlfn.IFNA(VLOOKUP(Grandview_Inventory[[#This Row],[condition]],Lookups!$H$17:$J$24,3,FALSE),0)</f>
        <v>-4503</v>
      </c>
      <c r="BL999" s="6">
        <f>Grandview_Inventory[[#This Row],[Eff_Age]]*Lookups!$B$14</f>
        <v>-11479.996799999999</v>
      </c>
      <c r="BM999" s="6">
        <f>Grandview_Inventory[[#This Row],[living_area]]*Lookups!$B$15</f>
        <v>155702.609088</v>
      </c>
      <c r="BN999" s="6">
        <f>Grandview_Inventory[[#This Row],[Fin BSMT]]*Lookups!$B$16</f>
        <v>-29158.78224</v>
      </c>
      <c r="BO999" s="6">
        <f>(Grandview_Inventory[[#This Row],[att_gar]]+Grandview_Inventory[[#This Row],[bltin_gar]])*Lookups!$B$17</f>
        <v>23893.079301000002</v>
      </c>
      <c r="BP999" s="6">
        <f>Grandview_Inventory[[#This Row],[Plumbing Fixtures]]*Lookups!$B$18</f>
        <v>16083.5344</v>
      </c>
      <c r="BQ999" s="6">
        <f>Grandview_Inventory[[#This Row],[detatched_value]]*Lookups!$B$19</f>
        <v>0</v>
      </c>
      <c r="BR999" s="6">
        <f>SUM(Grandview_Inventory[[#This Row],[Intercept]:[det_value]])*Grandview_Inventory[[#This Row],[res_pct]]</f>
        <v>317104.39374900004</v>
      </c>
      <c r="BS999" s="6">
        <f>Grandview_Inventory[[#This Row],[land_value]]</f>
        <v>52639.730588165206</v>
      </c>
      <c r="BT999" s="4">
        <f>_xlfn.IFNA(VLOOKUP(Grandview_Inventory[[#This Row],[quality]],Lookups!$A$26:$C$33,3,FALSE),1)</f>
        <v>0.98079741117310582</v>
      </c>
      <c r="BU999" s="4">
        <f>_xlfn.IFNA(VLOOKUP(Grandview_Inventory[[#This Row],[condition]],Lookups!$A$37:$C$44,3,FALSE),1)</f>
        <v>0.96469275950863709</v>
      </c>
      <c r="BV999" s="4">
        <f>IF(Grandview_Inventory[[#This Row],[bldg_style]]="",1,_xlfn.IFNA(VLOOKUP(Grandview_Inventory[[#This Row],[decade]],Lookups!$F$29:$H$43,3,FALSE),1))</f>
        <v>0.99472141305414818</v>
      </c>
      <c r="BW999" s="4">
        <f>_xlfn.IFNA(VLOOKUP(Grandview_Inventory[[#This Row],[living_area_range]],Lookups!$F$47:$H$56,3,FALSE),1)</f>
        <v>0.95799442568048754</v>
      </c>
      <c r="BX999" s="4">
        <f>AVERAGE(Grandview_Inventory[[#This Row],[qual_adj]:[size_adj]])</f>
        <v>0.97455150235409471</v>
      </c>
      <c r="BY999" s="6">
        <f>IF(Grandview_Inventory[[#This Row],[pre_res]]&lt;0,0,Grandview_Inventory[[#This Row],[pre_res]]*Grandview_Inventory[[#This Row],[overall_adj]])</f>
        <v>309034.56333117239</v>
      </c>
      <c r="BZ999" s="6">
        <f>(Grandview_Inventory[[#This Row],[sum_land]]-IF(Grandview_Inventory[[#This Row],[no_utilities]]=1,12000,0))/IF(Grandview_Inventory[[#This Row],[unbuildable]]=1,2,1)</f>
        <v>52639.730588165206</v>
      </c>
      <c r="CA99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999">
        <f>ROUND(Grandview_Inventory[[#This Row],[det_value]]*Lookups!$M$28,-2)</f>
        <v>0</v>
      </c>
      <c r="CC999">
        <f>IF(ROUND(Grandview_Inventory[[#This Row],[adj_res]]*Lookups!$M$28,-2)&lt;Grandview_Inventory[[#This Row],[min_res]],Grandview_Inventory[[#This Row],[min_res]],ROUND(Grandview_Inventory[[#This Row],[adj_res]]*Lookups!$M$28,-2))</f>
        <v>293600</v>
      </c>
      <c r="CD999">
        <f>Grandview_Inventory[[#This Row],[final_det]]+Grandview_Inventory[[#This Row],[final_res]]</f>
        <v>293600</v>
      </c>
      <c r="CE999">
        <f>Grandview_Inventory[[#This Row],[final_land]]+Grandview_Inventory[[#This Row],[final_imp]]+Grandview_Inventory[[#This Row],[crop_value]]</f>
        <v>343600</v>
      </c>
      <c r="CG999" t="str">
        <f t="shared" si="15"/>
        <v>update valuation set market_land =50000, market_bldg=293600, market_total =343600, market_mdno =401, market_date ='9/10/2023' where link_id = (select link_id from parcel where parcel_year = '2024' and parcel_id = '23092241532');</v>
      </c>
    </row>
    <row r="1000" spans="1:85" x14ac:dyDescent="0.25">
      <c r="A1000">
        <v>23092241533</v>
      </c>
      <c r="B1000">
        <v>0.17</v>
      </c>
      <c r="C1000">
        <v>7200</v>
      </c>
      <c r="D1000" t="s">
        <v>129</v>
      </c>
      <c r="E1000" t="s">
        <v>53</v>
      </c>
      <c r="F1000" t="s">
        <v>53</v>
      </c>
      <c r="G1000">
        <v>4</v>
      </c>
      <c r="H1000" t="s">
        <v>54</v>
      </c>
      <c r="I1000">
        <v>123200</v>
      </c>
      <c r="J1000">
        <v>43000</v>
      </c>
      <c r="K1000">
        <v>0.17</v>
      </c>
      <c r="L100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0">
        <v>0</v>
      </c>
      <c r="N1000">
        <v>0</v>
      </c>
      <c r="O1000">
        <v>0</v>
      </c>
      <c r="P1000">
        <v>13398.7528</v>
      </c>
      <c r="Q1000">
        <v>63903</v>
      </c>
      <c r="R1000">
        <f>(Grandview_Inventory[[#This Row],[ln_acres]]*Grandview_Inventory[[#This Row],[coeff]])+Grandview_Inventory[[#This Row],[const]]</f>
        <v>40160.988302686128</v>
      </c>
      <c r="S1000" t="s">
        <v>68</v>
      </c>
      <c r="T1000">
        <v>1</v>
      </c>
      <c r="U1000" t="s">
        <v>65</v>
      </c>
      <c r="V1000" t="s">
        <v>69</v>
      </c>
      <c r="W1000">
        <v>0</v>
      </c>
      <c r="X1000">
        <v>0</v>
      </c>
      <c r="Y1000">
        <v>49</v>
      </c>
      <c r="Z1000">
        <v>68</v>
      </c>
      <c r="AA1000">
        <v>70</v>
      </c>
      <c r="AB1000">
        <v>1500</v>
      </c>
      <c r="AC1000">
        <v>1096</v>
      </c>
      <c r="AD1000">
        <v>1096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312</v>
      </c>
      <c r="AL1000">
        <v>0</v>
      </c>
      <c r="AM1000">
        <v>64</v>
      </c>
      <c r="AN1000">
        <v>0</v>
      </c>
      <c r="AO1000">
        <v>0</v>
      </c>
      <c r="AP1000">
        <v>5</v>
      </c>
      <c r="AQ1000">
        <v>0</v>
      </c>
      <c r="AR1000">
        <v>0</v>
      </c>
      <c r="AS1000" t="s">
        <v>58</v>
      </c>
      <c r="AT1000">
        <v>1</v>
      </c>
      <c r="AU1000" t="s">
        <v>75</v>
      </c>
      <c r="AV1000" t="s">
        <v>60</v>
      </c>
      <c r="AW1000">
        <v>0</v>
      </c>
      <c r="AX1000">
        <v>2</v>
      </c>
      <c r="AY1000">
        <v>0</v>
      </c>
      <c r="AZ1000">
        <v>0</v>
      </c>
      <c r="BA1000">
        <v>100</v>
      </c>
      <c r="BB1000">
        <v>100</v>
      </c>
      <c r="BC1000">
        <v>100</v>
      </c>
      <c r="BD1000">
        <v>100</v>
      </c>
      <c r="BE1000">
        <v>1</v>
      </c>
      <c r="BF1000">
        <v>15000</v>
      </c>
      <c r="BG1000">
        <v>1000</v>
      </c>
      <c r="BH1000" s="6">
        <f>Grandview_Inventory[[#This Row],[land_extract]]*Lookups!$B$3</f>
        <v>46638.847281240982</v>
      </c>
      <c r="BI1000" s="6">
        <f>IF(Grandview_Inventory[[#This Row],[bldg_style]]="",0,Lookups!$B$2)</f>
        <v>155833.95000000001</v>
      </c>
      <c r="BJ1000" s="6">
        <f>_xlfn.IFNA(VLOOKUP(Grandview_Inventory[[#This Row],[quality]],Lookups!$H$2:$J$14,3,FALSE),0)</f>
        <v>2251</v>
      </c>
      <c r="BK1000" s="6">
        <f>_xlfn.IFNA(VLOOKUP(Grandview_Inventory[[#This Row],[condition]],Lookups!$H$17:$J$24,3,FALSE),0)</f>
        <v>-4503</v>
      </c>
      <c r="BL1000" s="6">
        <f>Grandview_Inventory[[#This Row],[Eff_Age]]*Lookups!$B$14</f>
        <v>-11719.163399999999</v>
      </c>
      <c r="BM1000" s="6">
        <f>Grandview_Inventory[[#This Row],[living_area]]*Lookups!$B$15</f>
        <v>68369.414887999999</v>
      </c>
      <c r="BN1000" s="6">
        <f>Grandview_Inventory[[#This Row],[Fin BSMT]]*Lookups!$B$16</f>
        <v>0</v>
      </c>
      <c r="BO1000" s="6">
        <f>(Grandview_Inventory[[#This Row],[att_gar]]+Grandview_Inventory[[#This Row],[bltin_gar]])*Lookups!$B$17</f>
        <v>0</v>
      </c>
      <c r="BP1000" s="6">
        <f>Grandview_Inventory[[#This Row],[Plumbing Fixtures]]*Lookups!$B$18</f>
        <v>10052.209000000001</v>
      </c>
      <c r="BQ1000" s="6">
        <f>Grandview_Inventory[[#This Row],[detatched_value]]*Lookups!$B$19</f>
        <v>0</v>
      </c>
      <c r="BR1000" s="6">
        <f>SUM(Grandview_Inventory[[#This Row],[Intercept]:[det_value]])*Grandview_Inventory[[#This Row],[res_pct]]</f>
        <v>220284.41048800002</v>
      </c>
      <c r="BS1000" s="6">
        <f>Grandview_Inventory[[#This Row],[land_value]]</f>
        <v>46638.847281240982</v>
      </c>
      <c r="BT1000" s="4">
        <f>_xlfn.IFNA(VLOOKUP(Grandview_Inventory[[#This Row],[quality]],Lookups!$A$26:$C$33,3,FALSE),1)</f>
        <v>0.98763855981004833</v>
      </c>
      <c r="BU1000" s="4">
        <f>_xlfn.IFNA(VLOOKUP(Grandview_Inventory[[#This Row],[condition]],Lookups!$A$37:$C$44,3,FALSE),1)</f>
        <v>0.96469275950863709</v>
      </c>
      <c r="BV1000" s="4">
        <f>IF(Grandview_Inventory[[#This Row],[bldg_style]]="",1,_xlfn.IFNA(VLOOKUP(Grandview_Inventory[[#This Row],[decade]],Lookups!$F$29:$H$43,3,FALSE),1))</f>
        <v>0.99472141305414818</v>
      </c>
      <c r="BW1000" s="4">
        <f>_xlfn.IFNA(VLOOKUP(Grandview_Inventory[[#This Row],[living_area_range]],Lookups!$F$47:$H$56,3,FALSE),1)</f>
        <v>0.96135087979789358</v>
      </c>
      <c r="BX1000" s="4">
        <f>AVERAGE(Grandview_Inventory[[#This Row],[qual_adj]:[size_adj]])</f>
        <v>0.97710090304268182</v>
      </c>
      <c r="BY1000" s="6">
        <f>IF(Grandview_Inventory[[#This Row],[pre_res]]&lt;0,0,Grandview_Inventory[[#This Row],[pre_res]]*Grandview_Inventory[[#This Row],[overall_adj]])</f>
        <v>215240.09641404962</v>
      </c>
      <c r="BZ1000" s="6">
        <f>(Grandview_Inventory[[#This Row],[sum_land]]-IF(Grandview_Inventory[[#This Row],[no_utilities]]=1,12000,0))/IF(Grandview_Inventory[[#This Row],[unbuildable]]=1,2,1)</f>
        <v>46638.847281240982</v>
      </c>
      <c r="CA100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0">
        <f>ROUND(Grandview_Inventory[[#This Row],[det_value]]*Lookups!$M$28,-2)</f>
        <v>0</v>
      </c>
      <c r="CC1000">
        <f>IF(ROUND(Grandview_Inventory[[#This Row],[adj_res]]*Lookups!$M$28,-2)&lt;Grandview_Inventory[[#This Row],[min_res]],Grandview_Inventory[[#This Row],[min_res]],ROUND(Grandview_Inventory[[#This Row],[adj_res]]*Lookups!$M$28,-2))</f>
        <v>204500</v>
      </c>
      <c r="CD1000">
        <f>Grandview_Inventory[[#This Row],[final_det]]+Grandview_Inventory[[#This Row],[final_res]]</f>
        <v>204500</v>
      </c>
      <c r="CE1000">
        <f>Grandview_Inventory[[#This Row],[final_land]]+Grandview_Inventory[[#This Row],[final_imp]]+Grandview_Inventory[[#This Row],[crop_value]]</f>
        <v>248800</v>
      </c>
      <c r="CG1000" t="str">
        <f t="shared" si="15"/>
        <v>update valuation set market_land =44300, market_bldg=204500, market_total =248800, market_mdno =401, market_date ='9/10/2023' where link_id = (select link_id from parcel where parcel_year = '2024' and parcel_id = '23092241533');</v>
      </c>
    </row>
    <row r="1001" spans="1:85" x14ac:dyDescent="0.25">
      <c r="A1001">
        <v>23092241534</v>
      </c>
      <c r="B1001">
        <v>0.17</v>
      </c>
      <c r="C1001">
        <v>7287</v>
      </c>
      <c r="D1001" t="s">
        <v>129</v>
      </c>
      <c r="E1001" t="s">
        <v>53</v>
      </c>
      <c r="F1001" t="s">
        <v>53</v>
      </c>
      <c r="G1001">
        <v>4</v>
      </c>
      <c r="H1001" t="s">
        <v>54</v>
      </c>
      <c r="I1001">
        <v>114500</v>
      </c>
      <c r="J1001">
        <v>43000</v>
      </c>
      <c r="K1001">
        <v>0.17</v>
      </c>
      <c r="L100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1">
        <v>0</v>
      </c>
      <c r="N1001">
        <v>0</v>
      </c>
      <c r="O1001">
        <v>0</v>
      </c>
      <c r="P1001">
        <v>13398.7528</v>
      </c>
      <c r="Q1001">
        <v>63903</v>
      </c>
      <c r="R1001">
        <f>(Grandview_Inventory[[#This Row],[ln_acres]]*Grandview_Inventory[[#This Row],[coeff]])+Grandview_Inventory[[#This Row],[const]]</f>
        <v>40160.988302686128</v>
      </c>
      <c r="S1001" t="s">
        <v>68</v>
      </c>
      <c r="T1001">
        <v>1</v>
      </c>
      <c r="U1001" t="s">
        <v>80</v>
      </c>
      <c r="V1001" t="s">
        <v>78</v>
      </c>
      <c r="W1001">
        <v>0</v>
      </c>
      <c r="X1001">
        <v>0</v>
      </c>
      <c r="Y1001">
        <v>50</v>
      </c>
      <c r="Z1001">
        <v>73</v>
      </c>
      <c r="AA1001">
        <v>80</v>
      </c>
      <c r="AB1001">
        <v>1000</v>
      </c>
      <c r="AC1001">
        <v>748</v>
      </c>
      <c r="AD1001">
        <v>748</v>
      </c>
      <c r="AE1001">
        <v>0</v>
      </c>
      <c r="AF1001">
        <v>0</v>
      </c>
      <c r="AG1001">
        <v>0</v>
      </c>
      <c r="AH1001">
        <v>0</v>
      </c>
      <c r="AI1001">
        <v>560</v>
      </c>
      <c r="AJ1001">
        <v>0</v>
      </c>
      <c r="AK1001">
        <v>330</v>
      </c>
      <c r="AL1001">
        <v>128</v>
      </c>
      <c r="AM1001">
        <v>0</v>
      </c>
      <c r="AN1001">
        <v>0</v>
      </c>
      <c r="AO1001">
        <v>128</v>
      </c>
      <c r="AP1001">
        <v>5</v>
      </c>
      <c r="AQ1001">
        <v>1</v>
      </c>
      <c r="AR1001">
        <v>0</v>
      </c>
      <c r="AS1001" t="s">
        <v>58</v>
      </c>
      <c r="AT1001">
        <v>1</v>
      </c>
      <c r="AU1001" t="s">
        <v>75</v>
      </c>
      <c r="AV1001" t="s">
        <v>60</v>
      </c>
      <c r="AW1001">
        <v>0</v>
      </c>
      <c r="AX1001">
        <v>2</v>
      </c>
      <c r="AY1001">
        <v>0</v>
      </c>
      <c r="AZ1001">
        <v>0</v>
      </c>
      <c r="BA1001">
        <v>100</v>
      </c>
      <c r="BB1001">
        <v>100</v>
      </c>
      <c r="BC1001">
        <v>100</v>
      </c>
      <c r="BD1001">
        <v>100</v>
      </c>
      <c r="BE1001">
        <v>1</v>
      </c>
      <c r="BF1001">
        <v>15000</v>
      </c>
      <c r="BG1001">
        <v>1000</v>
      </c>
      <c r="BH1001" s="6">
        <f>Grandview_Inventory[[#This Row],[land_extract]]*Lookups!$B$3</f>
        <v>46638.847281240982</v>
      </c>
      <c r="BI1001" s="6">
        <f>IF(Grandview_Inventory[[#This Row],[bldg_style]]="",0,Lookups!$B$2)</f>
        <v>155833.95000000001</v>
      </c>
      <c r="BJ1001" s="6">
        <f>_xlfn.IFNA(VLOOKUP(Grandview_Inventory[[#This Row],[quality]],Lookups!$H$2:$J$14,3,FALSE),0)</f>
        <v>-28558</v>
      </c>
      <c r="BK1001" s="6">
        <f>_xlfn.IFNA(VLOOKUP(Grandview_Inventory[[#This Row],[condition]],Lookups!$H$17:$J$24,3,FALSE),0)</f>
        <v>-45357</v>
      </c>
      <c r="BL1001" s="6">
        <f>Grandview_Inventory[[#This Row],[Eff_Age]]*Lookups!$B$14</f>
        <v>-11958.33</v>
      </c>
      <c r="BM1001" s="6">
        <f>Grandview_Inventory[[#This Row],[living_area]]*Lookups!$B$15</f>
        <v>46660.878044000005</v>
      </c>
      <c r="BN1001" s="6">
        <f>Grandview_Inventory[[#This Row],[Fin BSMT]]*Lookups!$B$16</f>
        <v>0</v>
      </c>
      <c r="BO1001" s="6">
        <f>(Grandview_Inventory[[#This Row],[att_gar]]+Grandview_Inventory[[#This Row],[bltin_gar]])*Lookups!$B$17</f>
        <v>49011.44472</v>
      </c>
      <c r="BP1001" s="6">
        <f>Grandview_Inventory[[#This Row],[Plumbing Fixtures]]*Lookups!$B$18</f>
        <v>10052.209000000001</v>
      </c>
      <c r="BQ1001" s="6">
        <f>Grandview_Inventory[[#This Row],[detatched_value]]*Lookups!$B$19</f>
        <v>0</v>
      </c>
      <c r="BR1001" s="6">
        <f>SUM(Grandview_Inventory[[#This Row],[Intercept]:[det_value]])*Grandview_Inventory[[#This Row],[res_pct]]</f>
        <v>175685.15176400001</v>
      </c>
      <c r="BS1001" s="6">
        <f>Grandview_Inventory[[#This Row],[land_value]]</f>
        <v>46638.847281240982</v>
      </c>
      <c r="BT1001" s="4">
        <f>_xlfn.IFNA(VLOOKUP(Grandview_Inventory[[#This Row],[quality]],Lookups!$A$26:$C$33,3,FALSE),1)</f>
        <v>0.9690360070159818</v>
      </c>
      <c r="BU1001" s="4">
        <f>_xlfn.IFNA(VLOOKUP(Grandview_Inventory[[#This Row],[condition]],Lookups!$A$37:$C$44,3,FALSE),1)</f>
        <v>0.97161819570155394</v>
      </c>
      <c r="BV1001" s="4">
        <f>IF(Grandview_Inventory[[#This Row],[bldg_style]]="",1,_xlfn.IFNA(VLOOKUP(Grandview_Inventory[[#This Row],[decade]],Lookups!$F$29:$H$43,3,FALSE),1))</f>
        <v>0.98763256963907298</v>
      </c>
      <c r="BW1001" s="4">
        <f>_xlfn.IFNA(VLOOKUP(Grandview_Inventory[[#This Row],[living_area_range]],Lookups!$F$47:$H$56,3,FALSE),1)</f>
        <v>0.94306777142782894</v>
      </c>
      <c r="BX1001" s="4">
        <f>AVERAGE(Grandview_Inventory[[#This Row],[qual_adj]:[size_adj]])</f>
        <v>0.96783863594610942</v>
      </c>
      <c r="BY1001" s="6">
        <f>IF(Grandview_Inventory[[#This Row],[pre_res]]&lt;0,0,Grandview_Inventory[[#This Row],[pre_res]]*Grandview_Inventory[[#This Row],[overall_adj]])</f>
        <v>170034.87763925499</v>
      </c>
      <c r="BZ1001" s="6">
        <f>(Grandview_Inventory[[#This Row],[sum_land]]-IF(Grandview_Inventory[[#This Row],[no_utilities]]=1,12000,0))/IF(Grandview_Inventory[[#This Row],[unbuildable]]=1,2,1)</f>
        <v>46638.847281240982</v>
      </c>
      <c r="CA100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1">
        <f>ROUND(Grandview_Inventory[[#This Row],[det_value]]*Lookups!$M$28,-2)</f>
        <v>0</v>
      </c>
      <c r="CC1001">
        <f>IF(ROUND(Grandview_Inventory[[#This Row],[adj_res]]*Lookups!$M$28,-2)&lt;Grandview_Inventory[[#This Row],[min_res]],Grandview_Inventory[[#This Row],[min_res]],ROUND(Grandview_Inventory[[#This Row],[adj_res]]*Lookups!$M$28,-2))</f>
        <v>161500</v>
      </c>
      <c r="CD1001">
        <f>Grandview_Inventory[[#This Row],[final_det]]+Grandview_Inventory[[#This Row],[final_res]]</f>
        <v>161500</v>
      </c>
      <c r="CE1001">
        <f>Grandview_Inventory[[#This Row],[final_land]]+Grandview_Inventory[[#This Row],[final_imp]]+Grandview_Inventory[[#This Row],[crop_value]]</f>
        <v>205800</v>
      </c>
      <c r="CG1001" t="str">
        <f t="shared" si="15"/>
        <v>update valuation set market_land =44300, market_bldg=161500, market_total =205800, market_mdno =401, market_date ='9/10/2023' where link_id = (select link_id from parcel where parcel_year = '2024' and parcel_id = '23092241534');</v>
      </c>
    </row>
    <row r="1002" spans="1:85" x14ac:dyDescent="0.25">
      <c r="A1002">
        <v>23092241535</v>
      </c>
      <c r="B1002">
        <v>0.21</v>
      </c>
      <c r="C1002">
        <v>9163</v>
      </c>
      <c r="D1002" t="s">
        <v>129</v>
      </c>
      <c r="E1002" t="s">
        <v>53</v>
      </c>
      <c r="F1002" t="s">
        <v>53</v>
      </c>
      <c r="G1002">
        <v>4</v>
      </c>
      <c r="H1002" t="s">
        <v>54</v>
      </c>
      <c r="I1002">
        <v>160700</v>
      </c>
      <c r="J1002">
        <v>43700</v>
      </c>
      <c r="K1002">
        <v>0.21</v>
      </c>
      <c r="L100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02">
        <v>0</v>
      </c>
      <c r="N1002">
        <v>0</v>
      </c>
      <c r="O1002">
        <v>0</v>
      </c>
      <c r="P1002">
        <v>13398.7528</v>
      </c>
      <c r="Q1002">
        <v>63903</v>
      </c>
      <c r="R1002">
        <f>(Grandview_Inventory[[#This Row],[ln_acres]]*Grandview_Inventory[[#This Row],[coeff]])+Grandview_Inventory[[#This Row],[const]]</f>
        <v>42992.266613125081</v>
      </c>
      <c r="S1002" t="s">
        <v>61</v>
      </c>
      <c r="T1002">
        <v>1</v>
      </c>
      <c r="U1002" t="s">
        <v>65</v>
      </c>
      <c r="V1002" t="s">
        <v>69</v>
      </c>
      <c r="W1002">
        <v>0</v>
      </c>
      <c r="X1002">
        <v>0</v>
      </c>
      <c r="Y1002">
        <v>48</v>
      </c>
      <c r="Z1002">
        <v>63</v>
      </c>
      <c r="AA1002">
        <v>70</v>
      </c>
      <c r="AB1002">
        <v>1500</v>
      </c>
      <c r="AC1002">
        <v>1108</v>
      </c>
      <c r="AD1002">
        <v>1108</v>
      </c>
      <c r="AE1002">
        <v>0</v>
      </c>
      <c r="AF1002">
        <v>0</v>
      </c>
      <c r="AG1002">
        <v>0</v>
      </c>
      <c r="AH1002">
        <v>0</v>
      </c>
      <c r="AI1002">
        <v>338</v>
      </c>
      <c r="AJ1002">
        <v>0</v>
      </c>
      <c r="AK1002">
        <v>0</v>
      </c>
      <c r="AL1002">
        <v>0</v>
      </c>
      <c r="AM1002">
        <v>600</v>
      </c>
      <c r="AN1002">
        <v>0</v>
      </c>
      <c r="AO1002">
        <v>0</v>
      </c>
      <c r="AP1002">
        <v>5</v>
      </c>
      <c r="AQ1002">
        <v>0</v>
      </c>
      <c r="AR1002">
        <v>0</v>
      </c>
      <c r="AS1002" t="s">
        <v>58</v>
      </c>
      <c r="AT1002">
        <v>1</v>
      </c>
      <c r="AU1002" t="s">
        <v>63</v>
      </c>
      <c r="AV1002" t="s">
        <v>60</v>
      </c>
      <c r="AW1002">
        <v>1</v>
      </c>
      <c r="AX1002">
        <v>3</v>
      </c>
      <c r="AY1002">
        <v>0</v>
      </c>
      <c r="AZ1002">
        <v>0</v>
      </c>
      <c r="BA1002">
        <v>100</v>
      </c>
      <c r="BB1002">
        <v>100</v>
      </c>
      <c r="BC1002">
        <v>100</v>
      </c>
      <c r="BD1002">
        <v>100</v>
      </c>
      <c r="BE1002">
        <v>1</v>
      </c>
      <c r="BF1002">
        <v>15000</v>
      </c>
      <c r="BG1002">
        <v>1000</v>
      </c>
      <c r="BH1002" s="6">
        <f>Grandview_Inventory[[#This Row],[land_extract]]*Lookups!$B$3</f>
        <v>49926.8031387023</v>
      </c>
      <c r="BI1002" s="6">
        <f>IF(Grandview_Inventory[[#This Row],[bldg_style]]="",0,Lookups!$B$2)</f>
        <v>155833.95000000001</v>
      </c>
      <c r="BJ1002" s="6">
        <f>_xlfn.IFNA(VLOOKUP(Grandview_Inventory[[#This Row],[quality]],Lookups!$H$2:$J$14,3,FALSE),0)</f>
        <v>2251</v>
      </c>
      <c r="BK1002" s="6">
        <f>_xlfn.IFNA(VLOOKUP(Grandview_Inventory[[#This Row],[condition]],Lookups!$H$17:$J$24,3,FALSE),0)</f>
        <v>-4503</v>
      </c>
      <c r="BL1002" s="6">
        <f>Grandview_Inventory[[#This Row],[Eff_Age]]*Lookups!$B$14</f>
        <v>-11479.996799999999</v>
      </c>
      <c r="BM1002" s="6">
        <f>Grandview_Inventory[[#This Row],[living_area]]*Lookups!$B$15</f>
        <v>69117.985123999999</v>
      </c>
      <c r="BN1002" s="6">
        <f>Grandview_Inventory[[#This Row],[Fin BSMT]]*Lookups!$B$16</f>
        <v>0</v>
      </c>
      <c r="BO1002" s="6">
        <f>(Grandview_Inventory[[#This Row],[att_gar]]+Grandview_Inventory[[#This Row],[bltin_gar]])*Lookups!$B$17</f>
        <v>29581.907706000002</v>
      </c>
      <c r="BP1002" s="6">
        <f>Grandview_Inventory[[#This Row],[Plumbing Fixtures]]*Lookups!$B$18</f>
        <v>10052.209000000001</v>
      </c>
      <c r="BQ1002" s="6">
        <f>Grandview_Inventory[[#This Row],[detatched_value]]*Lookups!$B$19</f>
        <v>0</v>
      </c>
      <c r="BR1002" s="6">
        <f>SUM(Grandview_Inventory[[#This Row],[Intercept]:[det_value]])*Grandview_Inventory[[#This Row],[res_pct]]</f>
        <v>250854.05503000002</v>
      </c>
      <c r="BS1002" s="6">
        <f>Grandview_Inventory[[#This Row],[land_value]]</f>
        <v>49926.8031387023</v>
      </c>
      <c r="BT1002" s="4">
        <f>_xlfn.IFNA(VLOOKUP(Grandview_Inventory[[#This Row],[quality]],Lookups!$A$26:$C$33,3,FALSE),1)</f>
        <v>0.98763855981004833</v>
      </c>
      <c r="BU1002" s="4">
        <f>_xlfn.IFNA(VLOOKUP(Grandview_Inventory[[#This Row],[condition]],Lookups!$A$37:$C$44,3,FALSE),1)</f>
        <v>0.96469275950863709</v>
      </c>
      <c r="BV1002" s="4">
        <f>IF(Grandview_Inventory[[#This Row],[bldg_style]]="",1,_xlfn.IFNA(VLOOKUP(Grandview_Inventory[[#This Row],[decade]],Lookups!$F$29:$H$43,3,FALSE),1))</f>
        <v>0.99472141305414818</v>
      </c>
      <c r="BW1002" s="4">
        <f>_xlfn.IFNA(VLOOKUP(Grandview_Inventory[[#This Row],[living_area_range]],Lookups!$F$47:$H$56,3,FALSE),1)</f>
        <v>0.96135087979789358</v>
      </c>
      <c r="BX1002" s="4">
        <f>AVERAGE(Grandview_Inventory[[#This Row],[qual_adj]:[size_adj]])</f>
        <v>0.97710090304268182</v>
      </c>
      <c r="BY1002" s="6">
        <f>IF(Grandview_Inventory[[#This Row],[pre_res]]&lt;0,0,Grandview_Inventory[[#This Row],[pre_res]]*Grandview_Inventory[[#This Row],[overall_adj]])</f>
        <v>245109.72370173162</v>
      </c>
      <c r="BZ1002" s="6">
        <f>(Grandview_Inventory[[#This Row],[sum_land]]-IF(Grandview_Inventory[[#This Row],[no_utilities]]=1,12000,0))/IF(Grandview_Inventory[[#This Row],[unbuildable]]=1,2,1)</f>
        <v>49926.8031387023</v>
      </c>
      <c r="CA100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02">
        <f>ROUND(Grandview_Inventory[[#This Row],[det_value]]*Lookups!$M$28,-2)</f>
        <v>0</v>
      </c>
      <c r="CC1002">
        <f>IF(ROUND(Grandview_Inventory[[#This Row],[adj_res]]*Lookups!$M$28,-2)&lt;Grandview_Inventory[[#This Row],[min_res]],Grandview_Inventory[[#This Row],[min_res]],ROUND(Grandview_Inventory[[#This Row],[adj_res]]*Lookups!$M$28,-2))</f>
        <v>232900</v>
      </c>
      <c r="CD1002">
        <f>Grandview_Inventory[[#This Row],[final_det]]+Grandview_Inventory[[#This Row],[final_res]]</f>
        <v>232900</v>
      </c>
      <c r="CE1002">
        <f>Grandview_Inventory[[#This Row],[final_land]]+Grandview_Inventory[[#This Row],[final_imp]]+Grandview_Inventory[[#This Row],[crop_value]]</f>
        <v>280300</v>
      </c>
      <c r="CG1002" t="str">
        <f t="shared" si="15"/>
        <v>update valuation set market_land =47400, market_bldg=232900, market_total =280300, market_mdno =401, market_date ='9/10/2023' where link_id = (select link_id from parcel where parcel_year = '2024' and parcel_id = '23092241535');</v>
      </c>
    </row>
    <row r="1003" spans="1:85" x14ac:dyDescent="0.25">
      <c r="A1003">
        <v>23092241536</v>
      </c>
      <c r="B1003">
        <v>0.18</v>
      </c>
      <c r="C1003">
        <v>7641</v>
      </c>
      <c r="D1003" t="s">
        <v>129</v>
      </c>
      <c r="E1003" t="s">
        <v>53</v>
      </c>
      <c r="F1003" t="s">
        <v>53</v>
      </c>
      <c r="G1003">
        <v>4</v>
      </c>
      <c r="H1003" t="s">
        <v>54</v>
      </c>
      <c r="I1003">
        <v>138500</v>
      </c>
      <c r="J1003">
        <v>38800</v>
      </c>
      <c r="K1003">
        <v>0.18</v>
      </c>
      <c r="L100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03">
        <v>0</v>
      </c>
      <c r="N1003">
        <v>0</v>
      </c>
      <c r="O1003">
        <v>0</v>
      </c>
      <c r="P1003">
        <v>13398.7528</v>
      </c>
      <c r="Q1003">
        <v>63903</v>
      </c>
      <c r="R1003">
        <f>(Grandview_Inventory[[#This Row],[ln_acres]]*Grandview_Inventory[[#This Row],[coeff]])+Grandview_Inventory[[#This Row],[const]]</f>
        <v>40926.839760167699</v>
      </c>
      <c r="S1003" t="s">
        <v>68</v>
      </c>
      <c r="T1003">
        <v>1</v>
      </c>
      <c r="U1003" t="s">
        <v>70</v>
      </c>
      <c r="V1003" t="s">
        <v>69</v>
      </c>
      <c r="W1003">
        <v>0</v>
      </c>
      <c r="X1003">
        <v>0</v>
      </c>
      <c r="Y1003">
        <v>50</v>
      </c>
      <c r="Z1003">
        <v>73</v>
      </c>
      <c r="AA1003">
        <v>80</v>
      </c>
      <c r="AB1003">
        <v>2000</v>
      </c>
      <c r="AC1003">
        <v>1680</v>
      </c>
      <c r="AD1003">
        <v>840</v>
      </c>
      <c r="AE1003">
        <v>0</v>
      </c>
      <c r="AF1003">
        <v>0</v>
      </c>
      <c r="AG1003">
        <v>840</v>
      </c>
      <c r="AH1003">
        <v>0</v>
      </c>
      <c r="AI1003">
        <v>0</v>
      </c>
      <c r="AJ1003">
        <v>0</v>
      </c>
      <c r="AK1003">
        <v>0</v>
      </c>
      <c r="AL1003">
        <v>288</v>
      </c>
      <c r="AM1003">
        <v>0</v>
      </c>
      <c r="AN1003">
        <v>0</v>
      </c>
      <c r="AO1003">
        <v>0</v>
      </c>
      <c r="AP1003">
        <v>5</v>
      </c>
      <c r="AQ1003">
        <v>0</v>
      </c>
      <c r="AR1003">
        <v>0</v>
      </c>
      <c r="AS1003" t="s">
        <v>58</v>
      </c>
      <c r="AT1003">
        <v>1</v>
      </c>
      <c r="AU1003" t="s">
        <v>75</v>
      </c>
      <c r="AV1003" t="s">
        <v>60</v>
      </c>
      <c r="AW1003">
        <v>0</v>
      </c>
      <c r="AX1003">
        <v>3</v>
      </c>
      <c r="AY1003">
        <v>0</v>
      </c>
      <c r="AZ1003">
        <v>6700</v>
      </c>
      <c r="BA1003">
        <v>100</v>
      </c>
      <c r="BB1003">
        <v>100</v>
      </c>
      <c r="BC1003">
        <v>100</v>
      </c>
      <c r="BD1003">
        <v>100</v>
      </c>
      <c r="BE1003">
        <v>1</v>
      </c>
      <c r="BF1003">
        <v>15000</v>
      </c>
      <c r="BG1003">
        <v>1000</v>
      </c>
      <c r="BH1003" s="6">
        <f>Grandview_Inventory[[#This Row],[land_extract]]*Lookups!$B$3</f>
        <v>47528.228511015397</v>
      </c>
      <c r="BI1003" s="6">
        <f>IF(Grandview_Inventory[[#This Row],[bldg_style]]="",0,Lookups!$B$2)</f>
        <v>155833.95000000001</v>
      </c>
      <c r="BJ1003" s="6">
        <f>_xlfn.IFNA(VLOOKUP(Grandview_Inventory[[#This Row],[quality]],Lookups!$H$2:$J$14,3,FALSE),0)</f>
        <v>10733</v>
      </c>
      <c r="BK1003" s="6">
        <f>_xlfn.IFNA(VLOOKUP(Grandview_Inventory[[#This Row],[condition]],Lookups!$H$17:$J$24,3,FALSE),0)</f>
        <v>-4503</v>
      </c>
      <c r="BL1003" s="6">
        <f>Grandview_Inventory[[#This Row],[Eff_Age]]*Lookups!$B$14</f>
        <v>-11958.33</v>
      </c>
      <c r="BM1003" s="6">
        <f>Grandview_Inventory[[#This Row],[living_area]]*Lookups!$B$15</f>
        <v>104799.83304</v>
      </c>
      <c r="BN1003" s="6">
        <f>Grandview_Inventory[[#This Row],[Fin BSMT]]*Lookups!$B$16</f>
        <v>-22763.3616</v>
      </c>
      <c r="BO1003" s="6">
        <f>(Grandview_Inventory[[#This Row],[att_gar]]+Grandview_Inventory[[#This Row],[bltin_gar]])*Lookups!$B$17</f>
        <v>0</v>
      </c>
      <c r="BP1003" s="6">
        <f>Grandview_Inventory[[#This Row],[Plumbing Fixtures]]*Lookups!$B$18</f>
        <v>10052.209000000001</v>
      </c>
      <c r="BQ1003" s="6">
        <f>Grandview_Inventory[[#This Row],[detatched_value]]*Lookups!$B$19</f>
        <v>5673.5941699999994</v>
      </c>
      <c r="BR1003" s="6">
        <f>SUM(Grandview_Inventory[[#This Row],[Intercept]:[det_value]])*Grandview_Inventory[[#This Row],[res_pct]]</f>
        <v>247867.89461000002</v>
      </c>
      <c r="BS1003" s="6">
        <f>Grandview_Inventory[[#This Row],[land_value]]</f>
        <v>47528.228511015397</v>
      </c>
      <c r="BT1003" s="4">
        <f>_xlfn.IFNA(VLOOKUP(Grandview_Inventory[[#This Row],[quality]],Lookups!$A$26:$C$33,3,FALSE),1)</f>
        <v>0.98079741117310582</v>
      </c>
      <c r="BU1003" s="4">
        <f>_xlfn.IFNA(VLOOKUP(Grandview_Inventory[[#This Row],[condition]],Lookups!$A$37:$C$44,3,FALSE),1)</f>
        <v>0.96469275950863709</v>
      </c>
      <c r="BV1003" s="4">
        <f>IF(Grandview_Inventory[[#This Row],[bldg_style]]="",1,_xlfn.IFNA(VLOOKUP(Grandview_Inventory[[#This Row],[decade]],Lookups!$F$29:$H$43,3,FALSE),1))</f>
        <v>0.98763256963907298</v>
      </c>
      <c r="BW1003" s="4">
        <f>_xlfn.IFNA(VLOOKUP(Grandview_Inventory[[#This Row],[living_area_range]],Lookups!$F$47:$H$56,3,FALSE),1)</f>
        <v>0.96120133463014379</v>
      </c>
      <c r="BX1003" s="4">
        <f>AVERAGE(Grandview_Inventory[[#This Row],[qual_adj]:[size_adj]])</f>
        <v>0.97358101873773983</v>
      </c>
      <c r="BY1003" s="6">
        <f>IF(Grandview_Inventory[[#This Row],[pre_res]]&lt;0,0,Grandview_Inventory[[#This Row],[pre_res]]*Grandview_Inventory[[#This Row],[overall_adj]])</f>
        <v>241319.47734678254</v>
      </c>
      <c r="BZ1003" s="6">
        <f>(Grandview_Inventory[[#This Row],[sum_land]]-IF(Grandview_Inventory[[#This Row],[no_utilities]]=1,12000,0))/IF(Grandview_Inventory[[#This Row],[unbuildable]]=1,2,1)</f>
        <v>47528.228511015397</v>
      </c>
      <c r="CA100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03">
        <f>ROUND(Grandview_Inventory[[#This Row],[det_value]]*Lookups!$M$28,-2)</f>
        <v>5400</v>
      </c>
      <c r="CC1003">
        <f>IF(ROUND(Grandview_Inventory[[#This Row],[adj_res]]*Lookups!$M$28,-2)&lt;Grandview_Inventory[[#This Row],[min_res]],Grandview_Inventory[[#This Row],[min_res]],ROUND(Grandview_Inventory[[#This Row],[adj_res]]*Lookups!$M$28,-2))</f>
        <v>229300</v>
      </c>
      <c r="CD1003">
        <f>Grandview_Inventory[[#This Row],[final_det]]+Grandview_Inventory[[#This Row],[final_res]]</f>
        <v>234700</v>
      </c>
      <c r="CE1003">
        <f>Grandview_Inventory[[#This Row],[final_land]]+Grandview_Inventory[[#This Row],[final_imp]]+Grandview_Inventory[[#This Row],[crop_value]]</f>
        <v>279900</v>
      </c>
      <c r="CG1003" t="str">
        <f t="shared" si="15"/>
        <v>update valuation set market_land =45200, market_bldg=234700, market_total =279900, market_mdno =401, market_date ='9/10/2023' where link_id = (select link_id from parcel where parcel_year = '2024' and parcel_id = '23092241536');</v>
      </c>
    </row>
    <row r="1004" spans="1:85" x14ac:dyDescent="0.25">
      <c r="A1004">
        <v>23092241537</v>
      </c>
      <c r="B1004">
        <v>0.17</v>
      </c>
      <c r="C1004">
        <v>7287</v>
      </c>
      <c r="D1004" t="s">
        <v>129</v>
      </c>
      <c r="E1004" t="s">
        <v>53</v>
      </c>
      <c r="F1004" t="s">
        <v>53</v>
      </c>
      <c r="G1004">
        <v>4</v>
      </c>
      <c r="H1004" t="s">
        <v>54</v>
      </c>
      <c r="I1004">
        <v>177500</v>
      </c>
      <c r="J1004">
        <v>38800</v>
      </c>
      <c r="K1004">
        <v>0.17</v>
      </c>
      <c r="L100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4">
        <v>0</v>
      </c>
      <c r="N1004">
        <v>0</v>
      </c>
      <c r="O1004">
        <v>0</v>
      </c>
      <c r="P1004">
        <v>13398.7528</v>
      </c>
      <c r="Q1004">
        <v>63903</v>
      </c>
      <c r="R1004">
        <f>(Grandview_Inventory[[#This Row],[ln_acres]]*Grandview_Inventory[[#This Row],[coeff]])+Grandview_Inventory[[#This Row],[const]]</f>
        <v>40160.988302686128</v>
      </c>
      <c r="S1004" t="s">
        <v>61</v>
      </c>
      <c r="T1004">
        <v>1</v>
      </c>
      <c r="U1004" t="s">
        <v>65</v>
      </c>
      <c r="V1004" t="s">
        <v>69</v>
      </c>
      <c r="W1004">
        <v>0</v>
      </c>
      <c r="X1004">
        <v>0</v>
      </c>
      <c r="Y1004">
        <v>49</v>
      </c>
      <c r="Z1004">
        <v>68</v>
      </c>
      <c r="AA1004">
        <v>70</v>
      </c>
      <c r="AB1004">
        <v>2000</v>
      </c>
      <c r="AC1004">
        <v>1730</v>
      </c>
      <c r="AD1004">
        <v>1730</v>
      </c>
      <c r="AE1004">
        <v>0</v>
      </c>
      <c r="AF1004">
        <v>0</v>
      </c>
      <c r="AG1004">
        <v>0</v>
      </c>
      <c r="AH1004">
        <v>437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9</v>
      </c>
      <c r="AQ1004">
        <v>0</v>
      </c>
      <c r="AR1004">
        <v>0</v>
      </c>
      <c r="AS1004" t="s">
        <v>58</v>
      </c>
      <c r="AT1004">
        <v>1</v>
      </c>
      <c r="AU1004" t="s">
        <v>63</v>
      </c>
      <c r="AV1004" t="s">
        <v>60</v>
      </c>
      <c r="AW1004">
        <v>1</v>
      </c>
      <c r="AX1004">
        <v>3</v>
      </c>
      <c r="AY1004">
        <v>0</v>
      </c>
      <c r="AZ1004">
        <v>0</v>
      </c>
      <c r="BA1004">
        <v>100</v>
      </c>
      <c r="BB1004">
        <v>100</v>
      </c>
      <c r="BC1004">
        <v>100</v>
      </c>
      <c r="BD1004">
        <v>100</v>
      </c>
      <c r="BE1004">
        <v>1</v>
      </c>
      <c r="BF1004">
        <v>15000</v>
      </c>
      <c r="BG1004">
        <v>1000</v>
      </c>
      <c r="BH1004" s="6">
        <f>Grandview_Inventory[[#This Row],[land_extract]]*Lookups!$B$3</f>
        <v>46638.847281240982</v>
      </c>
      <c r="BI1004" s="6">
        <f>IF(Grandview_Inventory[[#This Row],[bldg_style]]="",0,Lookups!$B$2)</f>
        <v>155833.95000000001</v>
      </c>
      <c r="BJ1004" s="6">
        <f>_xlfn.IFNA(VLOOKUP(Grandview_Inventory[[#This Row],[quality]],Lookups!$H$2:$J$14,3,FALSE),0)</f>
        <v>2251</v>
      </c>
      <c r="BK1004" s="6">
        <f>_xlfn.IFNA(VLOOKUP(Grandview_Inventory[[#This Row],[condition]],Lookups!$H$17:$J$24,3,FALSE),0)</f>
        <v>-4503</v>
      </c>
      <c r="BL1004" s="6">
        <f>Grandview_Inventory[[#This Row],[Eff_Age]]*Lookups!$B$14</f>
        <v>-11719.163399999999</v>
      </c>
      <c r="BM1004" s="6">
        <f>Grandview_Inventory[[#This Row],[living_area]]*Lookups!$B$15</f>
        <v>107918.87569</v>
      </c>
      <c r="BN1004" s="6">
        <f>Grandview_Inventory[[#This Row],[Fin BSMT]]*Lookups!$B$16</f>
        <v>0</v>
      </c>
      <c r="BO1004" s="6">
        <f>(Grandview_Inventory[[#This Row],[att_gar]]+Grandview_Inventory[[#This Row],[bltin_gar]])*Lookups!$B$17</f>
        <v>0</v>
      </c>
      <c r="BP1004" s="6">
        <f>Grandview_Inventory[[#This Row],[Plumbing Fixtures]]*Lookups!$B$18</f>
        <v>18093.976200000001</v>
      </c>
      <c r="BQ1004" s="6">
        <f>Grandview_Inventory[[#This Row],[detatched_value]]*Lookups!$B$19</f>
        <v>0</v>
      </c>
      <c r="BR1004" s="6">
        <f>SUM(Grandview_Inventory[[#This Row],[Intercept]:[det_value]])*Grandview_Inventory[[#This Row],[res_pct]]</f>
        <v>267875.63848999998</v>
      </c>
      <c r="BS1004" s="6">
        <f>Grandview_Inventory[[#This Row],[land_value]]</f>
        <v>46638.847281240982</v>
      </c>
      <c r="BT1004" s="4">
        <f>_xlfn.IFNA(VLOOKUP(Grandview_Inventory[[#This Row],[quality]],Lookups!$A$26:$C$33,3,FALSE),1)</f>
        <v>0.98763855981004833</v>
      </c>
      <c r="BU1004" s="4">
        <f>_xlfn.IFNA(VLOOKUP(Grandview_Inventory[[#This Row],[condition]],Lookups!$A$37:$C$44,3,FALSE),1)</f>
        <v>0.96469275950863709</v>
      </c>
      <c r="BV1004" s="4">
        <f>IF(Grandview_Inventory[[#This Row],[bldg_style]]="",1,_xlfn.IFNA(VLOOKUP(Grandview_Inventory[[#This Row],[decade]],Lookups!$F$29:$H$43,3,FALSE),1))</f>
        <v>0.99472141305414818</v>
      </c>
      <c r="BW1004" s="4">
        <f>_xlfn.IFNA(VLOOKUP(Grandview_Inventory[[#This Row],[living_area_range]],Lookups!$F$47:$H$56,3,FALSE),1)</f>
        <v>0.96120133463014379</v>
      </c>
      <c r="BX1004" s="4">
        <f>AVERAGE(Grandview_Inventory[[#This Row],[qual_adj]:[size_adj]])</f>
        <v>0.97706351675074443</v>
      </c>
      <c r="BY1004" s="6">
        <f>IF(Grandview_Inventory[[#This Row],[pre_res]]&lt;0,0,Grandview_Inventory[[#This Row],[pre_res]]*Grandview_Inventory[[#This Row],[overall_adj]])</f>
        <v>261731.51339489047</v>
      </c>
      <c r="BZ1004" s="6">
        <f>(Grandview_Inventory[[#This Row],[sum_land]]-IF(Grandview_Inventory[[#This Row],[no_utilities]]=1,12000,0))/IF(Grandview_Inventory[[#This Row],[unbuildable]]=1,2,1)</f>
        <v>46638.847281240982</v>
      </c>
      <c r="CA100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4">
        <f>ROUND(Grandview_Inventory[[#This Row],[det_value]]*Lookups!$M$28,-2)</f>
        <v>0</v>
      </c>
      <c r="CC1004">
        <f>IF(ROUND(Grandview_Inventory[[#This Row],[adj_res]]*Lookups!$M$28,-2)&lt;Grandview_Inventory[[#This Row],[min_res]],Grandview_Inventory[[#This Row],[min_res]],ROUND(Grandview_Inventory[[#This Row],[adj_res]]*Lookups!$M$28,-2))</f>
        <v>248600</v>
      </c>
      <c r="CD1004">
        <f>Grandview_Inventory[[#This Row],[final_det]]+Grandview_Inventory[[#This Row],[final_res]]</f>
        <v>248600</v>
      </c>
      <c r="CE1004">
        <f>Grandview_Inventory[[#This Row],[final_land]]+Grandview_Inventory[[#This Row],[final_imp]]+Grandview_Inventory[[#This Row],[crop_value]]</f>
        <v>292900</v>
      </c>
      <c r="CG1004" t="str">
        <f t="shared" si="15"/>
        <v>update valuation set market_land =44300, market_bldg=248600, market_total =292900, market_mdno =401, market_date ='9/10/2023' where link_id = (select link_id from parcel where parcel_year = '2024' and parcel_id = '23092241537');</v>
      </c>
    </row>
    <row r="1005" spans="1:85" x14ac:dyDescent="0.25">
      <c r="A1005">
        <v>23092241538</v>
      </c>
      <c r="B1005">
        <v>0.17</v>
      </c>
      <c r="C1005">
        <v>7287</v>
      </c>
      <c r="D1005" t="s">
        <v>129</v>
      </c>
      <c r="E1005" t="s">
        <v>53</v>
      </c>
      <c r="F1005" t="s">
        <v>53</v>
      </c>
      <c r="G1005">
        <v>4</v>
      </c>
      <c r="H1005" t="s">
        <v>54</v>
      </c>
      <c r="I1005">
        <v>139300</v>
      </c>
      <c r="J1005">
        <v>43000</v>
      </c>
      <c r="K1005">
        <v>0.17</v>
      </c>
      <c r="L100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5">
        <v>0</v>
      </c>
      <c r="N1005">
        <v>0</v>
      </c>
      <c r="O1005">
        <v>0</v>
      </c>
      <c r="P1005">
        <v>13398.7528</v>
      </c>
      <c r="Q1005">
        <v>63903</v>
      </c>
      <c r="R1005">
        <f>(Grandview_Inventory[[#This Row],[ln_acres]]*Grandview_Inventory[[#This Row],[coeff]])+Grandview_Inventory[[#This Row],[const]]</f>
        <v>40160.988302686128</v>
      </c>
      <c r="S1005" t="s">
        <v>55</v>
      </c>
      <c r="T1005">
        <v>1</v>
      </c>
      <c r="U1005" t="s">
        <v>70</v>
      </c>
      <c r="V1005" t="s">
        <v>69</v>
      </c>
      <c r="W1005">
        <v>0</v>
      </c>
      <c r="X1005">
        <v>0</v>
      </c>
      <c r="Y1005">
        <v>49</v>
      </c>
      <c r="Z1005">
        <v>68</v>
      </c>
      <c r="AA1005">
        <v>70</v>
      </c>
      <c r="AB1005">
        <v>1000</v>
      </c>
      <c r="AC1005">
        <v>872</v>
      </c>
      <c r="AD1005">
        <v>872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5</v>
      </c>
      <c r="AQ1005">
        <v>0</v>
      </c>
      <c r="AR1005">
        <v>0</v>
      </c>
      <c r="AS1005" t="s">
        <v>58</v>
      </c>
      <c r="AT1005">
        <v>1</v>
      </c>
      <c r="AU1005" t="s">
        <v>75</v>
      </c>
      <c r="AV1005" t="s">
        <v>60</v>
      </c>
      <c r="AW1005">
        <v>0</v>
      </c>
      <c r="AX1005">
        <v>2</v>
      </c>
      <c r="AY1005">
        <v>0</v>
      </c>
      <c r="AZ1005">
        <v>5600</v>
      </c>
      <c r="BA1005">
        <v>100</v>
      </c>
      <c r="BB1005">
        <v>100</v>
      </c>
      <c r="BC1005">
        <v>100</v>
      </c>
      <c r="BD1005">
        <v>100</v>
      </c>
      <c r="BE1005">
        <v>1</v>
      </c>
      <c r="BF1005">
        <v>15000</v>
      </c>
      <c r="BG1005">
        <v>1000</v>
      </c>
      <c r="BH1005" s="6">
        <f>Grandview_Inventory[[#This Row],[land_extract]]*Lookups!$B$3</f>
        <v>46638.847281240982</v>
      </c>
      <c r="BI1005" s="6">
        <f>IF(Grandview_Inventory[[#This Row],[bldg_style]]="",0,Lookups!$B$2)</f>
        <v>155833.95000000001</v>
      </c>
      <c r="BJ1005" s="6">
        <f>_xlfn.IFNA(VLOOKUP(Grandview_Inventory[[#This Row],[quality]],Lookups!$H$2:$J$14,3,FALSE),0)</f>
        <v>10733</v>
      </c>
      <c r="BK1005" s="6">
        <f>_xlfn.IFNA(VLOOKUP(Grandview_Inventory[[#This Row],[condition]],Lookups!$H$17:$J$24,3,FALSE),0)</f>
        <v>-4503</v>
      </c>
      <c r="BL1005" s="6">
        <f>Grandview_Inventory[[#This Row],[Eff_Age]]*Lookups!$B$14</f>
        <v>-11719.163399999999</v>
      </c>
      <c r="BM1005" s="6">
        <f>Grandview_Inventory[[#This Row],[living_area]]*Lookups!$B$15</f>
        <v>54396.103816000003</v>
      </c>
      <c r="BN1005" s="6">
        <f>Grandview_Inventory[[#This Row],[Fin BSMT]]*Lookups!$B$16</f>
        <v>0</v>
      </c>
      <c r="BO1005" s="6">
        <f>(Grandview_Inventory[[#This Row],[att_gar]]+Grandview_Inventory[[#This Row],[bltin_gar]])*Lookups!$B$17</f>
        <v>0</v>
      </c>
      <c r="BP1005" s="6">
        <f>Grandview_Inventory[[#This Row],[Plumbing Fixtures]]*Lookups!$B$18</f>
        <v>10052.209000000001</v>
      </c>
      <c r="BQ1005" s="6">
        <f>Grandview_Inventory[[#This Row],[detatched_value]]*Lookups!$B$19</f>
        <v>4742.1085599999997</v>
      </c>
      <c r="BR1005" s="6">
        <f>SUM(Grandview_Inventory[[#This Row],[Intercept]:[det_value]])*Grandview_Inventory[[#This Row],[res_pct]]</f>
        <v>219535.20797600003</v>
      </c>
      <c r="BS1005" s="6">
        <f>Grandview_Inventory[[#This Row],[land_value]]</f>
        <v>46638.847281240982</v>
      </c>
      <c r="BT1005" s="4">
        <f>_xlfn.IFNA(VLOOKUP(Grandview_Inventory[[#This Row],[quality]],Lookups!$A$26:$C$33,3,FALSE),1)</f>
        <v>0.98079741117310582</v>
      </c>
      <c r="BU1005" s="4">
        <f>_xlfn.IFNA(VLOOKUP(Grandview_Inventory[[#This Row],[condition]],Lookups!$A$37:$C$44,3,FALSE),1)</f>
        <v>0.96469275950863709</v>
      </c>
      <c r="BV1005" s="4">
        <f>IF(Grandview_Inventory[[#This Row],[bldg_style]]="",1,_xlfn.IFNA(VLOOKUP(Grandview_Inventory[[#This Row],[decade]],Lookups!$F$29:$H$43,3,FALSE),1))</f>
        <v>0.99472141305414818</v>
      </c>
      <c r="BW1005" s="4">
        <f>_xlfn.IFNA(VLOOKUP(Grandview_Inventory[[#This Row],[living_area_range]],Lookups!$F$47:$H$56,3,FALSE),1)</f>
        <v>0.94306777142782894</v>
      </c>
      <c r="BX1005" s="4">
        <f>AVERAGE(Grandview_Inventory[[#This Row],[qual_adj]:[size_adj]])</f>
        <v>0.97081983879093003</v>
      </c>
      <c r="BY1005" s="6">
        <f>IF(Grandview_Inventory[[#This Row],[pre_res]]&lt;0,0,Grandview_Inventory[[#This Row],[pre_res]]*Grandview_Inventory[[#This Row],[overall_adj]])</f>
        <v>213129.13521619365</v>
      </c>
      <c r="BZ1005" s="6">
        <f>(Grandview_Inventory[[#This Row],[sum_land]]-IF(Grandview_Inventory[[#This Row],[no_utilities]]=1,12000,0))/IF(Grandview_Inventory[[#This Row],[unbuildable]]=1,2,1)</f>
        <v>46638.847281240982</v>
      </c>
      <c r="CA100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5">
        <f>ROUND(Grandview_Inventory[[#This Row],[det_value]]*Lookups!$M$28,-2)</f>
        <v>4500</v>
      </c>
      <c r="CC1005">
        <f>IF(ROUND(Grandview_Inventory[[#This Row],[adj_res]]*Lookups!$M$28,-2)&lt;Grandview_Inventory[[#This Row],[min_res]],Grandview_Inventory[[#This Row],[min_res]],ROUND(Grandview_Inventory[[#This Row],[adj_res]]*Lookups!$M$28,-2))</f>
        <v>202500</v>
      </c>
      <c r="CD1005">
        <f>Grandview_Inventory[[#This Row],[final_det]]+Grandview_Inventory[[#This Row],[final_res]]</f>
        <v>207000</v>
      </c>
      <c r="CE1005">
        <f>Grandview_Inventory[[#This Row],[final_land]]+Grandview_Inventory[[#This Row],[final_imp]]+Grandview_Inventory[[#This Row],[crop_value]]</f>
        <v>251300</v>
      </c>
      <c r="CG1005" t="str">
        <f t="shared" si="15"/>
        <v>update valuation set market_land =44300, market_bldg=207000, market_total =251300, market_mdno =401, market_date ='9/10/2023' where link_id = (select link_id from parcel where parcel_year = '2024' and parcel_id = '23092241538');</v>
      </c>
    </row>
    <row r="1006" spans="1:85" x14ac:dyDescent="0.25">
      <c r="A1006">
        <v>23092241539</v>
      </c>
      <c r="B1006">
        <v>0.17</v>
      </c>
      <c r="C1006">
        <v>7200</v>
      </c>
      <c r="D1006" t="s">
        <v>129</v>
      </c>
      <c r="E1006" t="s">
        <v>53</v>
      </c>
      <c r="F1006" t="s">
        <v>53</v>
      </c>
      <c r="G1006">
        <v>4</v>
      </c>
      <c r="H1006" t="s">
        <v>54</v>
      </c>
      <c r="I1006">
        <v>111100</v>
      </c>
      <c r="J1006">
        <v>43000</v>
      </c>
      <c r="K1006">
        <v>0.17</v>
      </c>
      <c r="L100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6">
        <v>0</v>
      </c>
      <c r="N1006">
        <v>0</v>
      </c>
      <c r="O1006">
        <v>0</v>
      </c>
      <c r="P1006">
        <v>13398.7528</v>
      </c>
      <c r="Q1006">
        <v>63903</v>
      </c>
      <c r="R1006">
        <f>(Grandview_Inventory[[#This Row],[ln_acres]]*Grandview_Inventory[[#This Row],[coeff]])+Grandview_Inventory[[#This Row],[const]]</f>
        <v>40160.988302686128</v>
      </c>
      <c r="S1006" t="s">
        <v>68</v>
      </c>
      <c r="T1006">
        <v>1</v>
      </c>
      <c r="U1006" t="s">
        <v>65</v>
      </c>
      <c r="V1006" t="s">
        <v>78</v>
      </c>
      <c r="W1006">
        <v>0</v>
      </c>
      <c r="X1006">
        <v>0</v>
      </c>
      <c r="Y1006">
        <v>49</v>
      </c>
      <c r="Z1006">
        <v>68</v>
      </c>
      <c r="AA1006">
        <v>70</v>
      </c>
      <c r="AB1006">
        <v>1000</v>
      </c>
      <c r="AC1006">
        <v>1000</v>
      </c>
      <c r="AD1006">
        <v>1000</v>
      </c>
      <c r="AE1006">
        <v>0</v>
      </c>
      <c r="AF1006">
        <v>0</v>
      </c>
      <c r="AG1006">
        <v>0</v>
      </c>
      <c r="AH1006">
        <v>0</v>
      </c>
      <c r="AI1006">
        <v>480</v>
      </c>
      <c r="AJ1006">
        <v>0</v>
      </c>
      <c r="AK1006">
        <v>0</v>
      </c>
      <c r="AL1006">
        <v>0</v>
      </c>
      <c r="AM1006">
        <v>0</v>
      </c>
      <c r="AN1006">
        <v>48</v>
      </c>
      <c r="AO1006">
        <v>0</v>
      </c>
      <c r="AP1006">
        <v>5</v>
      </c>
      <c r="AQ1006">
        <v>0</v>
      </c>
      <c r="AR1006">
        <v>0</v>
      </c>
      <c r="AS1006" t="s">
        <v>58</v>
      </c>
      <c r="AT1006">
        <v>1</v>
      </c>
      <c r="AU1006" t="s">
        <v>63</v>
      </c>
      <c r="AV1006" t="s">
        <v>60</v>
      </c>
      <c r="AW1006">
        <v>0</v>
      </c>
      <c r="AX1006">
        <v>2</v>
      </c>
      <c r="AY1006">
        <v>0</v>
      </c>
      <c r="AZ1006">
        <v>0</v>
      </c>
      <c r="BA1006">
        <v>100</v>
      </c>
      <c r="BB1006">
        <v>100</v>
      </c>
      <c r="BC1006">
        <v>100</v>
      </c>
      <c r="BD1006">
        <v>100</v>
      </c>
      <c r="BE1006">
        <v>1</v>
      </c>
      <c r="BF1006">
        <v>15000</v>
      </c>
      <c r="BG1006">
        <v>1000</v>
      </c>
      <c r="BH1006" s="6">
        <f>Grandview_Inventory[[#This Row],[land_extract]]*Lookups!$B$3</f>
        <v>46638.847281240982</v>
      </c>
      <c r="BI1006" s="6">
        <f>IF(Grandview_Inventory[[#This Row],[bldg_style]]="",0,Lookups!$B$2)</f>
        <v>155833.95000000001</v>
      </c>
      <c r="BJ1006" s="6">
        <f>_xlfn.IFNA(VLOOKUP(Grandview_Inventory[[#This Row],[quality]],Lookups!$H$2:$J$14,3,FALSE),0)</f>
        <v>2251</v>
      </c>
      <c r="BK1006" s="6">
        <f>_xlfn.IFNA(VLOOKUP(Grandview_Inventory[[#This Row],[condition]],Lookups!$H$17:$J$24,3,FALSE),0)</f>
        <v>-45357</v>
      </c>
      <c r="BL1006" s="6">
        <f>Grandview_Inventory[[#This Row],[Eff_Age]]*Lookups!$B$14</f>
        <v>-11719.163399999999</v>
      </c>
      <c r="BM1006" s="6">
        <f>Grandview_Inventory[[#This Row],[living_area]]*Lookups!$B$15</f>
        <v>62380.853000000003</v>
      </c>
      <c r="BN1006" s="6">
        <f>Grandview_Inventory[[#This Row],[Fin BSMT]]*Lookups!$B$16</f>
        <v>0</v>
      </c>
      <c r="BO1006" s="6">
        <f>(Grandview_Inventory[[#This Row],[att_gar]]+Grandview_Inventory[[#This Row],[bltin_gar]])*Lookups!$B$17</f>
        <v>42009.809760000004</v>
      </c>
      <c r="BP1006" s="6">
        <f>Grandview_Inventory[[#This Row],[Plumbing Fixtures]]*Lookups!$B$18</f>
        <v>10052.209000000001</v>
      </c>
      <c r="BQ1006" s="6">
        <f>Grandview_Inventory[[#This Row],[detatched_value]]*Lookups!$B$19</f>
        <v>0</v>
      </c>
      <c r="BR1006" s="6">
        <f>SUM(Grandview_Inventory[[#This Row],[Intercept]:[det_value]])*Grandview_Inventory[[#This Row],[res_pct]]</f>
        <v>215451.65836</v>
      </c>
      <c r="BS1006" s="6">
        <f>Grandview_Inventory[[#This Row],[land_value]]</f>
        <v>46638.847281240982</v>
      </c>
      <c r="BT1006" s="4">
        <f>_xlfn.IFNA(VLOOKUP(Grandview_Inventory[[#This Row],[quality]],Lookups!$A$26:$C$33,3,FALSE),1)</f>
        <v>0.98763855981004833</v>
      </c>
      <c r="BU1006" s="4">
        <f>_xlfn.IFNA(VLOOKUP(Grandview_Inventory[[#This Row],[condition]],Lookups!$A$37:$C$44,3,FALSE),1)</f>
        <v>0.97161819570155394</v>
      </c>
      <c r="BV1006" s="4">
        <f>IF(Grandview_Inventory[[#This Row],[bldg_style]]="",1,_xlfn.IFNA(VLOOKUP(Grandview_Inventory[[#This Row],[decade]],Lookups!$F$29:$H$43,3,FALSE),1))</f>
        <v>0.99472141305414818</v>
      </c>
      <c r="BW1006" s="4">
        <f>_xlfn.IFNA(VLOOKUP(Grandview_Inventory[[#This Row],[living_area_range]],Lookups!$F$47:$H$56,3,FALSE),1)</f>
        <v>0.94306777142782894</v>
      </c>
      <c r="BX1006" s="4">
        <f>AVERAGE(Grandview_Inventory[[#This Row],[qual_adj]:[size_adj]])</f>
        <v>0.97426148499839482</v>
      </c>
      <c r="BY1006" s="6">
        <f>IF(Grandview_Inventory[[#This Row],[pre_res]]&lt;0,0,Grandview_Inventory[[#This Row],[pre_res]]*Grandview_Inventory[[#This Row],[overall_adj]])</f>
        <v>209906.25261918042</v>
      </c>
      <c r="BZ1006" s="6">
        <f>(Grandview_Inventory[[#This Row],[sum_land]]-IF(Grandview_Inventory[[#This Row],[no_utilities]]=1,12000,0))/IF(Grandview_Inventory[[#This Row],[unbuildable]]=1,2,1)</f>
        <v>46638.847281240982</v>
      </c>
      <c r="CA100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6">
        <f>ROUND(Grandview_Inventory[[#This Row],[det_value]]*Lookups!$M$28,-2)</f>
        <v>0</v>
      </c>
      <c r="CC1006">
        <f>IF(ROUND(Grandview_Inventory[[#This Row],[adj_res]]*Lookups!$M$28,-2)&lt;Grandview_Inventory[[#This Row],[min_res]],Grandview_Inventory[[#This Row],[min_res]],ROUND(Grandview_Inventory[[#This Row],[adj_res]]*Lookups!$M$28,-2))</f>
        <v>199400</v>
      </c>
      <c r="CD1006">
        <f>Grandview_Inventory[[#This Row],[final_det]]+Grandview_Inventory[[#This Row],[final_res]]</f>
        <v>199400</v>
      </c>
      <c r="CE1006">
        <f>Grandview_Inventory[[#This Row],[final_land]]+Grandview_Inventory[[#This Row],[final_imp]]+Grandview_Inventory[[#This Row],[crop_value]]</f>
        <v>243700</v>
      </c>
      <c r="CG1006" t="str">
        <f t="shared" si="15"/>
        <v>update valuation set market_land =44300, market_bldg=199400, market_total =243700, market_mdno =401, market_date ='9/10/2023' where link_id = (select link_id from parcel where parcel_year = '2024' and parcel_id = '23092241539');</v>
      </c>
    </row>
    <row r="1007" spans="1:85" x14ac:dyDescent="0.25">
      <c r="A1007">
        <v>23092241540</v>
      </c>
      <c r="B1007">
        <v>0.27</v>
      </c>
      <c r="C1007">
        <v>11578</v>
      </c>
      <c r="D1007" t="s">
        <v>129</v>
      </c>
      <c r="E1007" t="s">
        <v>53</v>
      </c>
      <c r="F1007" t="s">
        <v>53</v>
      </c>
      <c r="G1007">
        <v>4</v>
      </c>
      <c r="H1007" t="s">
        <v>54</v>
      </c>
      <c r="I1007">
        <v>92300</v>
      </c>
      <c r="J1007">
        <v>40200</v>
      </c>
      <c r="K1007">
        <v>0.27</v>
      </c>
      <c r="L1007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007">
        <v>0</v>
      </c>
      <c r="N1007">
        <v>0</v>
      </c>
      <c r="O1007">
        <v>0</v>
      </c>
      <c r="P1007">
        <v>13398.7528</v>
      </c>
      <c r="Q1007">
        <v>63903</v>
      </c>
      <c r="R1007">
        <f>(Grandview_Inventory[[#This Row],[ln_acres]]*Grandview_Inventory[[#This Row],[coeff]])+Grandview_Inventory[[#This Row],[const]]</f>
        <v>46359.566512734265</v>
      </c>
      <c r="S1007" t="s">
        <v>68</v>
      </c>
      <c r="T1007">
        <v>1</v>
      </c>
      <c r="U1007" t="s">
        <v>70</v>
      </c>
      <c r="V1007" t="s">
        <v>78</v>
      </c>
      <c r="W1007">
        <v>0</v>
      </c>
      <c r="X1007">
        <v>0</v>
      </c>
      <c r="Y1007">
        <v>49</v>
      </c>
      <c r="Z1007">
        <v>68</v>
      </c>
      <c r="AA1007">
        <v>70</v>
      </c>
      <c r="AB1007">
        <v>1000</v>
      </c>
      <c r="AC1007">
        <v>902</v>
      </c>
      <c r="AD1007">
        <v>902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312</v>
      </c>
      <c r="AL1007">
        <v>0</v>
      </c>
      <c r="AM1007">
        <v>250</v>
      </c>
      <c r="AN1007">
        <v>8</v>
      </c>
      <c r="AO1007">
        <v>250</v>
      </c>
      <c r="AP1007">
        <v>5</v>
      </c>
      <c r="AQ1007">
        <v>0</v>
      </c>
      <c r="AR1007">
        <v>0</v>
      </c>
      <c r="AS1007" t="s">
        <v>58</v>
      </c>
      <c r="AT1007">
        <v>1</v>
      </c>
      <c r="AU1007" t="s">
        <v>63</v>
      </c>
      <c r="AV1007" t="s">
        <v>64</v>
      </c>
      <c r="AW1007">
        <v>0</v>
      </c>
      <c r="AX1007">
        <v>2</v>
      </c>
      <c r="AY1007">
        <v>0</v>
      </c>
      <c r="AZ1007">
        <v>0</v>
      </c>
      <c r="BA1007">
        <v>100</v>
      </c>
      <c r="BB1007">
        <v>100</v>
      </c>
      <c r="BC1007">
        <v>100</v>
      </c>
      <c r="BD1007">
        <v>100</v>
      </c>
      <c r="BE1007">
        <v>1</v>
      </c>
      <c r="BF1007">
        <v>15000</v>
      </c>
      <c r="BG1007">
        <v>1000</v>
      </c>
      <c r="BH1007" s="6">
        <f>Grandview_Inventory[[#This Row],[land_extract]]*Lookups!$B$3</f>
        <v>53837.239420408718</v>
      </c>
      <c r="BI1007" s="6">
        <f>IF(Grandview_Inventory[[#This Row],[bldg_style]]="",0,Lookups!$B$2)</f>
        <v>155833.95000000001</v>
      </c>
      <c r="BJ1007" s="6">
        <f>_xlfn.IFNA(VLOOKUP(Grandview_Inventory[[#This Row],[quality]],Lookups!$H$2:$J$14,3,FALSE),0)</f>
        <v>10733</v>
      </c>
      <c r="BK1007" s="6">
        <f>_xlfn.IFNA(VLOOKUP(Grandview_Inventory[[#This Row],[condition]],Lookups!$H$17:$J$24,3,FALSE),0)</f>
        <v>-45357</v>
      </c>
      <c r="BL1007" s="6">
        <f>Grandview_Inventory[[#This Row],[Eff_Age]]*Lookups!$B$14</f>
        <v>-11719.163399999999</v>
      </c>
      <c r="BM1007" s="6">
        <f>Grandview_Inventory[[#This Row],[living_area]]*Lookups!$B$15</f>
        <v>56267.529406000001</v>
      </c>
      <c r="BN1007" s="6">
        <f>Grandview_Inventory[[#This Row],[Fin BSMT]]*Lookups!$B$16</f>
        <v>0</v>
      </c>
      <c r="BO1007" s="6">
        <f>(Grandview_Inventory[[#This Row],[att_gar]]+Grandview_Inventory[[#This Row],[bltin_gar]])*Lookups!$B$17</f>
        <v>0</v>
      </c>
      <c r="BP1007" s="6">
        <f>Grandview_Inventory[[#This Row],[Plumbing Fixtures]]*Lookups!$B$18</f>
        <v>10052.209000000001</v>
      </c>
      <c r="BQ1007" s="6">
        <f>Grandview_Inventory[[#This Row],[detatched_value]]*Lookups!$B$19</f>
        <v>0</v>
      </c>
      <c r="BR1007" s="6">
        <f>SUM(Grandview_Inventory[[#This Row],[Intercept]:[det_value]])*Grandview_Inventory[[#This Row],[res_pct]]</f>
        <v>175810.52500600001</v>
      </c>
      <c r="BS1007" s="6">
        <f>Grandview_Inventory[[#This Row],[land_value]]</f>
        <v>53837.239420408718</v>
      </c>
      <c r="BT1007" s="4">
        <f>_xlfn.IFNA(VLOOKUP(Grandview_Inventory[[#This Row],[quality]],Lookups!$A$26:$C$33,3,FALSE),1)</f>
        <v>0.98079741117310582</v>
      </c>
      <c r="BU1007" s="4">
        <f>_xlfn.IFNA(VLOOKUP(Grandview_Inventory[[#This Row],[condition]],Lookups!$A$37:$C$44,3,FALSE),1)</f>
        <v>0.97161819570155394</v>
      </c>
      <c r="BV1007" s="4">
        <f>IF(Grandview_Inventory[[#This Row],[bldg_style]]="",1,_xlfn.IFNA(VLOOKUP(Grandview_Inventory[[#This Row],[decade]],Lookups!$F$29:$H$43,3,FALSE),1))</f>
        <v>0.99472141305414818</v>
      </c>
      <c r="BW1007" s="4">
        <f>_xlfn.IFNA(VLOOKUP(Grandview_Inventory[[#This Row],[living_area_range]],Lookups!$F$47:$H$56,3,FALSE),1)</f>
        <v>0.94306777142782894</v>
      </c>
      <c r="BX1007" s="4">
        <f>AVERAGE(Grandview_Inventory[[#This Row],[qual_adj]:[size_adj]])</f>
        <v>0.97255119783915911</v>
      </c>
      <c r="BY1007" s="6">
        <f>IF(Grandview_Inventory[[#This Row],[pre_res]]&lt;0,0,Grandview_Inventory[[#This Row],[pre_res]]*Grandview_Inventory[[#This Row],[overall_adj]])</f>
        <v>170984.73668731673</v>
      </c>
      <c r="BZ1007" s="6">
        <f>(Grandview_Inventory[[#This Row],[sum_land]]-IF(Grandview_Inventory[[#This Row],[no_utilities]]=1,12000,0))/IF(Grandview_Inventory[[#This Row],[unbuildable]]=1,2,1)</f>
        <v>53837.239420408718</v>
      </c>
      <c r="CA1007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007">
        <f>ROUND(Grandview_Inventory[[#This Row],[det_value]]*Lookups!$M$28,-2)</f>
        <v>0</v>
      </c>
      <c r="CC1007">
        <f>IF(ROUND(Grandview_Inventory[[#This Row],[adj_res]]*Lookups!$M$28,-2)&lt;Grandview_Inventory[[#This Row],[min_res]],Grandview_Inventory[[#This Row],[min_res]],ROUND(Grandview_Inventory[[#This Row],[adj_res]]*Lookups!$M$28,-2))</f>
        <v>162400</v>
      </c>
      <c r="CD1007">
        <f>Grandview_Inventory[[#This Row],[final_det]]+Grandview_Inventory[[#This Row],[final_res]]</f>
        <v>162400</v>
      </c>
      <c r="CE1007">
        <f>Grandview_Inventory[[#This Row],[final_land]]+Grandview_Inventory[[#This Row],[final_imp]]+Grandview_Inventory[[#This Row],[crop_value]]</f>
        <v>213500</v>
      </c>
      <c r="CG1007" t="str">
        <f t="shared" si="15"/>
        <v>update valuation set market_land =51100, market_bldg=162400, market_total =213500, market_mdno =401, market_date ='9/10/2023' where link_id = (select link_id from parcel where parcel_year = '2024' and parcel_id = '23092241540');</v>
      </c>
    </row>
    <row r="1008" spans="1:85" x14ac:dyDescent="0.25">
      <c r="A1008">
        <v>23092241541</v>
      </c>
      <c r="B1008">
        <v>0.17</v>
      </c>
      <c r="C1008">
        <v>7200</v>
      </c>
      <c r="D1008" t="s">
        <v>129</v>
      </c>
      <c r="E1008" t="s">
        <v>53</v>
      </c>
      <c r="F1008" t="s">
        <v>53</v>
      </c>
      <c r="G1008">
        <v>4</v>
      </c>
      <c r="H1008" t="s">
        <v>54</v>
      </c>
      <c r="I1008">
        <v>142000</v>
      </c>
      <c r="J1008">
        <v>43000</v>
      </c>
      <c r="K1008">
        <v>0.17</v>
      </c>
      <c r="L100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08">
        <v>0</v>
      </c>
      <c r="N1008">
        <v>0</v>
      </c>
      <c r="O1008">
        <v>0</v>
      </c>
      <c r="P1008">
        <v>13398.7528</v>
      </c>
      <c r="Q1008">
        <v>63903</v>
      </c>
      <c r="R1008">
        <f>(Grandview_Inventory[[#This Row],[ln_acres]]*Grandview_Inventory[[#This Row],[coeff]])+Grandview_Inventory[[#This Row],[const]]</f>
        <v>40160.988302686128</v>
      </c>
      <c r="S1008" t="s">
        <v>61</v>
      </c>
      <c r="T1008">
        <v>1</v>
      </c>
      <c r="U1008" t="s">
        <v>65</v>
      </c>
      <c r="V1008" t="s">
        <v>69</v>
      </c>
      <c r="W1008">
        <v>0</v>
      </c>
      <c r="X1008">
        <v>0</v>
      </c>
      <c r="Y1008">
        <v>47</v>
      </c>
      <c r="Z1008">
        <v>58</v>
      </c>
      <c r="AA1008">
        <v>60</v>
      </c>
      <c r="AB1008">
        <v>2000</v>
      </c>
      <c r="AC1008">
        <v>1725</v>
      </c>
      <c r="AD1008">
        <v>1487</v>
      </c>
      <c r="AE1008">
        <v>0</v>
      </c>
      <c r="AF1008">
        <v>0</v>
      </c>
      <c r="AG1008">
        <v>238</v>
      </c>
      <c r="AH1008">
        <v>714</v>
      </c>
      <c r="AI1008">
        <v>0</v>
      </c>
      <c r="AJ1008">
        <v>0</v>
      </c>
      <c r="AK1008">
        <v>0</v>
      </c>
      <c r="AL1008">
        <v>0</v>
      </c>
      <c r="AM1008">
        <v>135</v>
      </c>
      <c r="AN1008">
        <v>70</v>
      </c>
      <c r="AO1008">
        <v>135</v>
      </c>
      <c r="AP1008">
        <v>5</v>
      </c>
      <c r="AQ1008">
        <v>0</v>
      </c>
      <c r="AR1008">
        <v>0</v>
      </c>
      <c r="AS1008" t="s">
        <v>58</v>
      </c>
      <c r="AT1008">
        <v>1</v>
      </c>
      <c r="AU1008" t="s">
        <v>63</v>
      </c>
      <c r="AV1008" t="s">
        <v>64</v>
      </c>
      <c r="AW1008">
        <v>0</v>
      </c>
      <c r="AX1008">
        <v>4</v>
      </c>
      <c r="AY1008">
        <v>0</v>
      </c>
      <c r="AZ1008">
        <v>0</v>
      </c>
      <c r="BA1008">
        <v>100</v>
      </c>
      <c r="BB1008">
        <v>100</v>
      </c>
      <c r="BC1008">
        <v>100</v>
      </c>
      <c r="BD1008">
        <v>100</v>
      </c>
      <c r="BE1008">
        <v>1</v>
      </c>
      <c r="BF1008">
        <v>15000</v>
      </c>
      <c r="BG1008">
        <v>1000</v>
      </c>
      <c r="BH1008" s="6">
        <f>Grandview_Inventory[[#This Row],[land_extract]]*Lookups!$B$3</f>
        <v>46638.847281240982</v>
      </c>
      <c r="BI1008" s="6">
        <f>IF(Grandview_Inventory[[#This Row],[bldg_style]]="",0,Lookups!$B$2)</f>
        <v>155833.95000000001</v>
      </c>
      <c r="BJ1008" s="6">
        <f>_xlfn.IFNA(VLOOKUP(Grandview_Inventory[[#This Row],[quality]],Lookups!$H$2:$J$14,3,FALSE),0)</f>
        <v>2251</v>
      </c>
      <c r="BK1008" s="6">
        <f>_xlfn.IFNA(VLOOKUP(Grandview_Inventory[[#This Row],[condition]],Lookups!$H$17:$J$24,3,FALSE),0)</f>
        <v>-4503</v>
      </c>
      <c r="BL1008" s="6">
        <f>Grandview_Inventory[[#This Row],[Eff_Age]]*Lookups!$B$14</f>
        <v>-11240.8302</v>
      </c>
      <c r="BM1008" s="6">
        <f>Grandview_Inventory[[#This Row],[living_area]]*Lookups!$B$15</f>
        <v>107606.971425</v>
      </c>
      <c r="BN1008" s="6">
        <f>Grandview_Inventory[[#This Row],[Fin BSMT]]*Lookups!$B$16</f>
        <v>-6449.6191200000003</v>
      </c>
      <c r="BO1008" s="6">
        <f>(Grandview_Inventory[[#This Row],[att_gar]]+Grandview_Inventory[[#This Row],[bltin_gar]])*Lookups!$B$17</f>
        <v>0</v>
      </c>
      <c r="BP1008" s="6">
        <f>Grandview_Inventory[[#This Row],[Plumbing Fixtures]]*Lookups!$B$18</f>
        <v>10052.209000000001</v>
      </c>
      <c r="BQ1008" s="6">
        <f>Grandview_Inventory[[#This Row],[detatched_value]]*Lookups!$B$19</f>
        <v>0</v>
      </c>
      <c r="BR1008" s="6">
        <f>SUM(Grandview_Inventory[[#This Row],[Intercept]:[det_value]])*Grandview_Inventory[[#This Row],[res_pct]]</f>
        <v>253550.68110500003</v>
      </c>
      <c r="BS1008" s="6">
        <f>Grandview_Inventory[[#This Row],[land_value]]</f>
        <v>46638.847281240982</v>
      </c>
      <c r="BT1008" s="4">
        <f>_xlfn.IFNA(VLOOKUP(Grandview_Inventory[[#This Row],[quality]],Lookups!$A$26:$C$33,3,FALSE),1)</f>
        <v>0.98763855981004833</v>
      </c>
      <c r="BU1008" s="4">
        <f>_xlfn.IFNA(VLOOKUP(Grandview_Inventory[[#This Row],[condition]],Lookups!$A$37:$C$44,3,FALSE),1)</f>
        <v>0.96469275950863709</v>
      </c>
      <c r="BV1008" s="4">
        <f>IF(Grandview_Inventory[[#This Row],[bldg_style]]="",1,_xlfn.IFNA(VLOOKUP(Grandview_Inventory[[#This Row],[decade]],Lookups!$F$29:$H$43,3,FALSE),1))</f>
        <v>0.95268620544463312</v>
      </c>
      <c r="BW1008" s="4">
        <f>_xlfn.IFNA(VLOOKUP(Grandview_Inventory[[#This Row],[living_area_range]],Lookups!$F$47:$H$56,3,FALSE),1)</f>
        <v>0.96120133463014379</v>
      </c>
      <c r="BX1008" s="4">
        <f>AVERAGE(Grandview_Inventory[[#This Row],[qual_adj]:[size_adj]])</f>
        <v>0.96655471484836553</v>
      </c>
      <c r="BY1008" s="6">
        <f>IF(Grandview_Inventory[[#This Row],[pre_res]]&lt;0,0,Grandview_Inventory[[#This Row],[pre_res]]*Grandview_Inventory[[#This Row],[overall_adj]])</f>
        <v>245070.60627505215</v>
      </c>
      <c r="BZ1008" s="6">
        <f>(Grandview_Inventory[[#This Row],[sum_land]]-IF(Grandview_Inventory[[#This Row],[no_utilities]]=1,12000,0))/IF(Grandview_Inventory[[#This Row],[unbuildable]]=1,2,1)</f>
        <v>46638.847281240982</v>
      </c>
      <c r="CA100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08">
        <f>ROUND(Grandview_Inventory[[#This Row],[det_value]]*Lookups!$M$28,-2)</f>
        <v>0</v>
      </c>
      <c r="CC1008">
        <f>IF(ROUND(Grandview_Inventory[[#This Row],[adj_res]]*Lookups!$M$28,-2)&lt;Grandview_Inventory[[#This Row],[min_res]],Grandview_Inventory[[#This Row],[min_res]],ROUND(Grandview_Inventory[[#This Row],[adj_res]]*Lookups!$M$28,-2))</f>
        <v>232800</v>
      </c>
      <c r="CD1008">
        <f>Grandview_Inventory[[#This Row],[final_det]]+Grandview_Inventory[[#This Row],[final_res]]</f>
        <v>232800</v>
      </c>
      <c r="CE1008">
        <f>Grandview_Inventory[[#This Row],[final_land]]+Grandview_Inventory[[#This Row],[final_imp]]+Grandview_Inventory[[#This Row],[crop_value]]</f>
        <v>277100</v>
      </c>
      <c r="CG1008" t="str">
        <f t="shared" si="15"/>
        <v>update valuation set market_land =44300, market_bldg=232800, market_total =277100, market_mdno =401, market_date ='9/10/2023' where link_id = (select link_id from parcel where parcel_year = '2024' and parcel_id = '23092241541');</v>
      </c>
    </row>
    <row r="1009" spans="1:85" x14ac:dyDescent="0.25">
      <c r="A1009">
        <v>23092241542</v>
      </c>
      <c r="B1009">
        <v>0.2</v>
      </c>
      <c r="C1009">
        <v>8696</v>
      </c>
      <c r="D1009" t="s">
        <v>129</v>
      </c>
      <c r="E1009" t="s">
        <v>53</v>
      </c>
      <c r="F1009" t="s">
        <v>53</v>
      </c>
      <c r="G1009">
        <v>4</v>
      </c>
      <c r="H1009" t="s">
        <v>54</v>
      </c>
      <c r="I1009">
        <v>144700</v>
      </c>
      <c r="J1009">
        <v>39300</v>
      </c>
      <c r="K1009">
        <v>0.2</v>
      </c>
      <c r="L100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09">
        <v>0</v>
      </c>
      <c r="N1009">
        <v>0</v>
      </c>
      <c r="O1009">
        <v>0</v>
      </c>
      <c r="P1009">
        <v>13398.7528</v>
      </c>
      <c r="Q1009">
        <v>63903</v>
      </c>
      <c r="R1009">
        <f>(Grandview_Inventory[[#This Row],[ln_acres]]*Grandview_Inventory[[#This Row],[coeff]])+Grandview_Inventory[[#This Row],[const]]</f>
        <v>42338.539264347448</v>
      </c>
      <c r="S1009" t="s">
        <v>61</v>
      </c>
      <c r="T1009">
        <v>1</v>
      </c>
      <c r="U1009" t="s">
        <v>65</v>
      </c>
      <c r="V1009" t="s">
        <v>69</v>
      </c>
      <c r="W1009">
        <v>0</v>
      </c>
      <c r="X1009">
        <v>0</v>
      </c>
      <c r="Y1009">
        <v>49</v>
      </c>
      <c r="Z1009">
        <v>68</v>
      </c>
      <c r="AA1009">
        <v>70</v>
      </c>
      <c r="AB1009">
        <v>1500</v>
      </c>
      <c r="AC1009">
        <v>1200</v>
      </c>
      <c r="AD1009">
        <v>1200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112</v>
      </c>
      <c r="AN1009">
        <v>27</v>
      </c>
      <c r="AO1009">
        <v>112</v>
      </c>
      <c r="AP1009">
        <v>5</v>
      </c>
      <c r="AQ1009">
        <v>0</v>
      </c>
      <c r="AR1009">
        <v>1</v>
      </c>
      <c r="AS1009" t="s">
        <v>58</v>
      </c>
      <c r="AT1009">
        <v>1</v>
      </c>
      <c r="AU1009" t="s">
        <v>75</v>
      </c>
      <c r="AV1009" t="s">
        <v>60</v>
      </c>
      <c r="AW1009">
        <v>0</v>
      </c>
      <c r="AX1009">
        <v>2</v>
      </c>
      <c r="AY1009">
        <v>0</v>
      </c>
      <c r="AZ1009">
        <v>6700</v>
      </c>
      <c r="BA1009">
        <v>100</v>
      </c>
      <c r="BB1009">
        <v>100</v>
      </c>
      <c r="BC1009">
        <v>100</v>
      </c>
      <c r="BD1009">
        <v>100</v>
      </c>
      <c r="BE1009">
        <v>1</v>
      </c>
      <c r="BF1009">
        <v>15000</v>
      </c>
      <c r="BG1009">
        <v>1000</v>
      </c>
      <c r="BH1009" s="6">
        <f>Grandview_Inventory[[#This Row],[land_extract]]*Lookups!$B$3</f>
        <v>49167.631333630678</v>
      </c>
      <c r="BI1009" s="6">
        <f>IF(Grandview_Inventory[[#This Row],[bldg_style]]="",0,Lookups!$B$2)</f>
        <v>155833.95000000001</v>
      </c>
      <c r="BJ1009" s="6">
        <f>_xlfn.IFNA(VLOOKUP(Grandview_Inventory[[#This Row],[quality]],Lookups!$H$2:$J$14,3,FALSE),0)</f>
        <v>2251</v>
      </c>
      <c r="BK1009" s="6">
        <f>_xlfn.IFNA(VLOOKUP(Grandview_Inventory[[#This Row],[condition]],Lookups!$H$17:$J$24,3,FALSE),0)</f>
        <v>-4503</v>
      </c>
      <c r="BL1009" s="6">
        <f>Grandview_Inventory[[#This Row],[Eff_Age]]*Lookups!$B$14</f>
        <v>-11719.163399999999</v>
      </c>
      <c r="BM1009" s="6">
        <f>Grandview_Inventory[[#This Row],[living_area]]*Lookups!$B$15</f>
        <v>74857.0236</v>
      </c>
      <c r="BN1009" s="6">
        <f>Grandview_Inventory[[#This Row],[Fin BSMT]]*Lookups!$B$16</f>
        <v>0</v>
      </c>
      <c r="BO1009" s="6">
        <f>(Grandview_Inventory[[#This Row],[att_gar]]+Grandview_Inventory[[#This Row],[bltin_gar]])*Lookups!$B$17</f>
        <v>0</v>
      </c>
      <c r="BP1009" s="6">
        <f>Grandview_Inventory[[#This Row],[Plumbing Fixtures]]*Lookups!$B$18</f>
        <v>10052.209000000001</v>
      </c>
      <c r="BQ1009" s="6">
        <f>Grandview_Inventory[[#This Row],[detatched_value]]*Lookups!$B$19</f>
        <v>5673.5941699999994</v>
      </c>
      <c r="BR1009" s="6">
        <f>SUM(Grandview_Inventory[[#This Row],[Intercept]:[det_value]])*Grandview_Inventory[[#This Row],[res_pct]]</f>
        <v>232445.61337000001</v>
      </c>
      <c r="BS1009" s="6">
        <f>Grandview_Inventory[[#This Row],[land_value]]</f>
        <v>49167.631333630678</v>
      </c>
      <c r="BT1009" s="4">
        <f>_xlfn.IFNA(VLOOKUP(Grandview_Inventory[[#This Row],[quality]],Lookups!$A$26:$C$33,3,FALSE),1)</f>
        <v>0.98763855981004833</v>
      </c>
      <c r="BU1009" s="4">
        <f>_xlfn.IFNA(VLOOKUP(Grandview_Inventory[[#This Row],[condition]],Lookups!$A$37:$C$44,3,FALSE),1)</f>
        <v>0.96469275950863709</v>
      </c>
      <c r="BV1009" s="4">
        <f>IF(Grandview_Inventory[[#This Row],[bldg_style]]="",1,_xlfn.IFNA(VLOOKUP(Grandview_Inventory[[#This Row],[decade]],Lookups!$F$29:$H$43,3,FALSE),1))</f>
        <v>0.99472141305414818</v>
      </c>
      <c r="BW1009" s="4">
        <f>_xlfn.IFNA(VLOOKUP(Grandview_Inventory[[#This Row],[living_area_range]],Lookups!$F$47:$H$56,3,FALSE),1)</f>
        <v>0.96135087979789358</v>
      </c>
      <c r="BX1009" s="4">
        <f>AVERAGE(Grandview_Inventory[[#This Row],[qual_adj]:[size_adj]])</f>
        <v>0.97710090304268182</v>
      </c>
      <c r="BY1009" s="6">
        <f>IF(Grandview_Inventory[[#This Row],[pre_res]]&lt;0,0,Grandview_Inventory[[#This Row],[pre_res]]*Grandview_Inventory[[#This Row],[overall_adj]])</f>
        <v>227122.81873213709</v>
      </c>
      <c r="BZ1009" s="6">
        <f>(Grandview_Inventory[[#This Row],[sum_land]]-IF(Grandview_Inventory[[#This Row],[no_utilities]]=1,12000,0))/IF(Grandview_Inventory[[#This Row],[unbuildable]]=1,2,1)</f>
        <v>49167.631333630678</v>
      </c>
      <c r="CA100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09">
        <f>ROUND(Grandview_Inventory[[#This Row],[det_value]]*Lookups!$M$28,-2)</f>
        <v>5400</v>
      </c>
      <c r="CC1009">
        <f>IF(ROUND(Grandview_Inventory[[#This Row],[adj_res]]*Lookups!$M$28,-2)&lt;Grandview_Inventory[[#This Row],[min_res]],Grandview_Inventory[[#This Row],[min_res]],ROUND(Grandview_Inventory[[#This Row],[adj_res]]*Lookups!$M$28,-2))</f>
        <v>215800</v>
      </c>
      <c r="CD1009">
        <f>Grandview_Inventory[[#This Row],[final_det]]+Grandview_Inventory[[#This Row],[final_res]]</f>
        <v>221200</v>
      </c>
      <c r="CE1009">
        <f>Grandview_Inventory[[#This Row],[final_land]]+Grandview_Inventory[[#This Row],[final_imp]]+Grandview_Inventory[[#This Row],[crop_value]]</f>
        <v>267900</v>
      </c>
      <c r="CG1009" t="str">
        <f t="shared" si="15"/>
        <v>update valuation set market_land =46700, market_bldg=221200, market_total =267900, market_mdno =401, market_date ='9/10/2023' where link_id = (select link_id from parcel where parcel_year = '2024' and parcel_id = '23092241542');</v>
      </c>
    </row>
    <row r="1010" spans="1:85" x14ac:dyDescent="0.25">
      <c r="A1010">
        <v>23092241543</v>
      </c>
      <c r="B1010">
        <v>0.21</v>
      </c>
      <c r="C1010">
        <v>9000</v>
      </c>
      <c r="D1010" t="s">
        <v>129</v>
      </c>
      <c r="E1010" t="s">
        <v>53</v>
      </c>
      <c r="F1010" t="s">
        <v>53</v>
      </c>
      <c r="G1010">
        <v>4</v>
      </c>
      <c r="H1010" t="s">
        <v>54</v>
      </c>
      <c r="I1010">
        <v>137000</v>
      </c>
      <c r="J1010">
        <v>43500</v>
      </c>
      <c r="K1010">
        <v>0.21</v>
      </c>
      <c r="L101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10">
        <v>0</v>
      </c>
      <c r="N1010">
        <v>0</v>
      </c>
      <c r="O1010">
        <v>0</v>
      </c>
      <c r="P1010">
        <v>13398.7528</v>
      </c>
      <c r="Q1010">
        <v>63903</v>
      </c>
      <c r="R1010">
        <f>(Grandview_Inventory[[#This Row],[ln_acres]]*Grandview_Inventory[[#This Row],[coeff]])+Grandview_Inventory[[#This Row],[const]]</f>
        <v>42992.266613125081</v>
      </c>
      <c r="S1010" t="s">
        <v>61</v>
      </c>
      <c r="T1010">
        <v>1</v>
      </c>
      <c r="U1010" t="s">
        <v>65</v>
      </c>
      <c r="V1010" t="s">
        <v>69</v>
      </c>
      <c r="W1010">
        <v>0</v>
      </c>
      <c r="X1010">
        <v>0</v>
      </c>
      <c r="Y1010">
        <v>48</v>
      </c>
      <c r="Z1010">
        <v>63</v>
      </c>
      <c r="AA1010">
        <v>70</v>
      </c>
      <c r="AB1010">
        <v>1500</v>
      </c>
      <c r="AC1010">
        <v>1125</v>
      </c>
      <c r="AD1010">
        <v>1125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312</v>
      </c>
      <c r="AL1010">
        <v>0</v>
      </c>
      <c r="AM1010">
        <v>208</v>
      </c>
      <c r="AN1010">
        <v>36</v>
      </c>
      <c r="AO1010">
        <v>208</v>
      </c>
      <c r="AP1010">
        <v>5</v>
      </c>
      <c r="AQ1010">
        <v>0</v>
      </c>
      <c r="AR1010">
        <v>0</v>
      </c>
      <c r="AS1010" t="s">
        <v>58</v>
      </c>
      <c r="AT1010">
        <v>1</v>
      </c>
      <c r="AU1010" t="s">
        <v>63</v>
      </c>
      <c r="AV1010" t="s">
        <v>60</v>
      </c>
      <c r="AW1010">
        <v>0</v>
      </c>
      <c r="AX1010">
        <v>2</v>
      </c>
      <c r="AY1010">
        <v>0</v>
      </c>
      <c r="AZ1010">
        <v>5000</v>
      </c>
      <c r="BA1010">
        <v>100</v>
      </c>
      <c r="BB1010">
        <v>100</v>
      </c>
      <c r="BC1010">
        <v>100</v>
      </c>
      <c r="BD1010">
        <v>100</v>
      </c>
      <c r="BE1010">
        <v>1</v>
      </c>
      <c r="BF1010">
        <v>15000</v>
      </c>
      <c r="BG1010">
        <v>1000</v>
      </c>
      <c r="BH1010" s="6">
        <f>Grandview_Inventory[[#This Row],[land_extract]]*Lookups!$B$3</f>
        <v>49926.8031387023</v>
      </c>
      <c r="BI1010" s="6">
        <f>IF(Grandview_Inventory[[#This Row],[bldg_style]]="",0,Lookups!$B$2)</f>
        <v>155833.95000000001</v>
      </c>
      <c r="BJ1010" s="6">
        <f>_xlfn.IFNA(VLOOKUP(Grandview_Inventory[[#This Row],[quality]],Lookups!$H$2:$J$14,3,FALSE),0)</f>
        <v>2251</v>
      </c>
      <c r="BK1010" s="6">
        <f>_xlfn.IFNA(VLOOKUP(Grandview_Inventory[[#This Row],[condition]],Lookups!$H$17:$J$24,3,FALSE),0)</f>
        <v>-4503</v>
      </c>
      <c r="BL1010" s="6">
        <f>Grandview_Inventory[[#This Row],[Eff_Age]]*Lookups!$B$14</f>
        <v>-11479.996799999999</v>
      </c>
      <c r="BM1010" s="6">
        <f>Grandview_Inventory[[#This Row],[living_area]]*Lookups!$B$15</f>
        <v>70178.459625000003</v>
      </c>
      <c r="BN1010" s="6">
        <f>Grandview_Inventory[[#This Row],[Fin BSMT]]*Lookups!$B$16</f>
        <v>0</v>
      </c>
      <c r="BO1010" s="6">
        <f>(Grandview_Inventory[[#This Row],[att_gar]]+Grandview_Inventory[[#This Row],[bltin_gar]])*Lookups!$B$17</f>
        <v>0</v>
      </c>
      <c r="BP1010" s="6">
        <f>Grandview_Inventory[[#This Row],[Plumbing Fixtures]]*Lookups!$B$18</f>
        <v>10052.209000000001</v>
      </c>
      <c r="BQ1010" s="6">
        <f>Grandview_Inventory[[#This Row],[detatched_value]]*Lookups!$B$19</f>
        <v>4234.0254999999997</v>
      </c>
      <c r="BR1010" s="6">
        <f>SUM(Grandview_Inventory[[#This Row],[Intercept]:[det_value]])*Grandview_Inventory[[#This Row],[res_pct]]</f>
        <v>226566.647325</v>
      </c>
      <c r="BS1010" s="6">
        <f>Grandview_Inventory[[#This Row],[land_value]]</f>
        <v>49926.8031387023</v>
      </c>
      <c r="BT1010" s="4">
        <f>_xlfn.IFNA(VLOOKUP(Grandview_Inventory[[#This Row],[quality]],Lookups!$A$26:$C$33,3,FALSE),1)</f>
        <v>0.98763855981004833</v>
      </c>
      <c r="BU1010" s="4">
        <f>_xlfn.IFNA(VLOOKUP(Grandview_Inventory[[#This Row],[condition]],Lookups!$A$37:$C$44,3,FALSE),1)</f>
        <v>0.96469275950863709</v>
      </c>
      <c r="BV1010" s="4">
        <f>IF(Grandview_Inventory[[#This Row],[bldg_style]]="",1,_xlfn.IFNA(VLOOKUP(Grandview_Inventory[[#This Row],[decade]],Lookups!$F$29:$H$43,3,FALSE),1))</f>
        <v>0.99472141305414818</v>
      </c>
      <c r="BW1010" s="4">
        <f>_xlfn.IFNA(VLOOKUP(Grandview_Inventory[[#This Row],[living_area_range]],Lookups!$F$47:$H$56,3,FALSE),1)</f>
        <v>0.96135087979789358</v>
      </c>
      <c r="BX1010" s="4">
        <f>AVERAGE(Grandview_Inventory[[#This Row],[qual_adj]:[size_adj]])</f>
        <v>0.97710090304268182</v>
      </c>
      <c r="BY1010" s="6">
        <f>IF(Grandview_Inventory[[#This Row],[pre_res]]&lt;0,0,Grandview_Inventory[[#This Row],[pre_res]]*Grandview_Inventory[[#This Row],[overall_adj]])</f>
        <v>221378.47570061032</v>
      </c>
      <c r="BZ1010" s="6">
        <f>(Grandview_Inventory[[#This Row],[sum_land]]-IF(Grandview_Inventory[[#This Row],[no_utilities]]=1,12000,0))/IF(Grandview_Inventory[[#This Row],[unbuildable]]=1,2,1)</f>
        <v>49926.8031387023</v>
      </c>
      <c r="CA101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10">
        <f>ROUND(Grandview_Inventory[[#This Row],[det_value]]*Lookups!$M$28,-2)</f>
        <v>4000</v>
      </c>
      <c r="CC1010">
        <f>IF(ROUND(Grandview_Inventory[[#This Row],[adj_res]]*Lookups!$M$28,-2)&lt;Grandview_Inventory[[#This Row],[min_res]],Grandview_Inventory[[#This Row],[min_res]],ROUND(Grandview_Inventory[[#This Row],[adj_res]]*Lookups!$M$28,-2))</f>
        <v>210300</v>
      </c>
      <c r="CD1010">
        <f>Grandview_Inventory[[#This Row],[final_det]]+Grandview_Inventory[[#This Row],[final_res]]</f>
        <v>214300</v>
      </c>
      <c r="CE1010">
        <f>Grandview_Inventory[[#This Row],[final_land]]+Grandview_Inventory[[#This Row],[final_imp]]+Grandview_Inventory[[#This Row],[crop_value]]</f>
        <v>261700</v>
      </c>
      <c r="CG1010" t="str">
        <f t="shared" si="15"/>
        <v>update valuation set market_land =47400, market_bldg=214300, market_total =261700, market_mdno =401, market_date ='9/10/2023' where link_id = (select link_id from parcel where parcel_year = '2024' and parcel_id = '23092241543');</v>
      </c>
    </row>
    <row r="1011" spans="1:85" x14ac:dyDescent="0.25">
      <c r="A1011">
        <v>23092241544</v>
      </c>
      <c r="B1011">
        <v>0.25</v>
      </c>
      <c r="C1011">
        <v>10881</v>
      </c>
      <c r="D1011" t="s">
        <v>129</v>
      </c>
      <c r="E1011" t="s">
        <v>53</v>
      </c>
      <c r="F1011" t="s">
        <v>53</v>
      </c>
      <c r="G1011">
        <v>4</v>
      </c>
      <c r="H1011" t="s">
        <v>54</v>
      </c>
      <c r="I1011">
        <v>146300</v>
      </c>
      <c r="J1011">
        <v>44400</v>
      </c>
      <c r="K1011">
        <v>0.25</v>
      </c>
      <c r="L101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011">
        <v>0</v>
      </c>
      <c r="N1011">
        <v>0</v>
      </c>
      <c r="O1011">
        <v>0</v>
      </c>
      <c r="P1011">
        <v>13398.7528</v>
      </c>
      <c r="Q1011">
        <v>63903</v>
      </c>
      <c r="R1011">
        <f>(Grandview_Inventory[[#This Row],[ln_acres]]*Grandview_Inventory[[#This Row],[coeff]])+Grandview_Inventory[[#This Row],[const]]</f>
        <v>45328.38454732066</v>
      </c>
      <c r="S1011" t="s">
        <v>61</v>
      </c>
      <c r="T1011">
        <v>1</v>
      </c>
      <c r="U1011" t="s">
        <v>70</v>
      </c>
      <c r="V1011" t="s">
        <v>69</v>
      </c>
      <c r="W1011">
        <v>0</v>
      </c>
      <c r="X1011">
        <v>0</v>
      </c>
      <c r="Y1011">
        <v>46</v>
      </c>
      <c r="Z1011">
        <v>53</v>
      </c>
      <c r="AA1011">
        <v>60</v>
      </c>
      <c r="AB1011">
        <v>1500</v>
      </c>
      <c r="AC1011">
        <v>1061</v>
      </c>
      <c r="AD1011">
        <v>1061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80</v>
      </c>
      <c r="AN1011">
        <v>48</v>
      </c>
      <c r="AO1011">
        <v>80</v>
      </c>
      <c r="AP1011">
        <v>5</v>
      </c>
      <c r="AQ1011">
        <v>1</v>
      </c>
      <c r="AR1011">
        <v>0</v>
      </c>
      <c r="AS1011" t="s">
        <v>58</v>
      </c>
      <c r="AT1011">
        <v>1</v>
      </c>
      <c r="AU1011" t="s">
        <v>63</v>
      </c>
      <c r="AV1011" t="s">
        <v>64</v>
      </c>
      <c r="AW1011">
        <v>0</v>
      </c>
      <c r="AX1011">
        <v>3</v>
      </c>
      <c r="AY1011">
        <v>0</v>
      </c>
      <c r="AZ1011">
        <v>6500</v>
      </c>
      <c r="BA1011">
        <v>100</v>
      </c>
      <c r="BB1011">
        <v>100</v>
      </c>
      <c r="BC1011">
        <v>100</v>
      </c>
      <c r="BD1011">
        <v>100</v>
      </c>
      <c r="BE1011">
        <v>1</v>
      </c>
      <c r="BF1011">
        <v>15000</v>
      </c>
      <c r="BG1011">
        <v>1000</v>
      </c>
      <c r="BH1011" s="6">
        <f>Grandview_Inventory[[#This Row],[land_extract]]*Lookups!$B$3</f>
        <v>52639.730588165206</v>
      </c>
      <c r="BI1011" s="6">
        <f>IF(Grandview_Inventory[[#This Row],[bldg_style]]="",0,Lookups!$B$2)</f>
        <v>155833.95000000001</v>
      </c>
      <c r="BJ1011" s="6">
        <f>_xlfn.IFNA(VLOOKUP(Grandview_Inventory[[#This Row],[quality]],Lookups!$H$2:$J$14,3,FALSE),0)</f>
        <v>10733</v>
      </c>
      <c r="BK1011" s="6">
        <f>_xlfn.IFNA(VLOOKUP(Grandview_Inventory[[#This Row],[condition]],Lookups!$H$17:$J$24,3,FALSE),0)</f>
        <v>-4503</v>
      </c>
      <c r="BL1011" s="6">
        <f>Grandview_Inventory[[#This Row],[Eff_Age]]*Lookups!$B$14</f>
        <v>-11001.6636</v>
      </c>
      <c r="BM1011" s="6">
        <f>Grandview_Inventory[[#This Row],[living_area]]*Lookups!$B$15</f>
        <v>66186.085032999996</v>
      </c>
      <c r="BN1011" s="6">
        <f>Grandview_Inventory[[#This Row],[Fin BSMT]]*Lookups!$B$16</f>
        <v>0</v>
      </c>
      <c r="BO1011" s="6">
        <f>(Grandview_Inventory[[#This Row],[att_gar]]+Grandview_Inventory[[#This Row],[bltin_gar]])*Lookups!$B$17</f>
        <v>0</v>
      </c>
      <c r="BP1011" s="6">
        <f>Grandview_Inventory[[#This Row],[Plumbing Fixtures]]*Lookups!$B$18</f>
        <v>10052.209000000001</v>
      </c>
      <c r="BQ1011" s="6">
        <f>Grandview_Inventory[[#This Row],[detatched_value]]*Lookups!$B$19</f>
        <v>5504.23315</v>
      </c>
      <c r="BR1011" s="6">
        <f>SUM(Grandview_Inventory[[#This Row],[Intercept]:[det_value]])*Grandview_Inventory[[#This Row],[res_pct]]</f>
        <v>232804.81358300004</v>
      </c>
      <c r="BS1011" s="6">
        <f>Grandview_Inventory[[#This Row],[land_value]]</f>
        <v>52639.730588165206</v>
      </c>
      <c r="BT1011" s="4">
        <f>_xlfn.IFNA(VLOOKUP(Grandview_Inventory[[#This Row],[quality]],Lookups!$A$26:$C$33,3,FALSE),1)</f>
        <v>0.98079741117310582</v>
      </c>
      <c r="BU1011" s="4">
        <f>_xlfn.IFNA(VLOOKUP(Grandview_Inventory[[#This Row],[condition]],Lookups!$A$37:$C$44,3,FALSE),1)</f>
        <v>0.96469275950863709</v>
      </c>
      <c r="BV1011" s="4">
        <f>IF(Grandview_Inventory[[#This Row],[bldg_style]]="",1,_xlfn.IFNA(VLOOKUP(Grandview_Inventory[[#This Row],[decade]],Lookups!$F$29:$H$43,3,FALSE),1))</f>
        <v>0.95268620544463312</v>
      </c>
      <c r="BW1011" s="4">
        <f>_xlfn.IFNA(VLOOKUP(Grandview_Inventory[[#This Row],[living_area_range]],Lookups!$F$47:$H$56,3,FALSE),1)</f>
        <v>0.96135087979789358</v>
      </c>
      <c r="BX1011" s="4">
        <f>AVERAGE(Grandview_Inventory[[#This Row],[qual_adj]:[size_adj]])</f>
        <v>0.96488181398106743</v>
      </c>
      <c r="BY1011" s="6">
        <f>IF(Grandview_Inventory[[#This Row],[pre_res]]&lt;0,0,Grandview_Inventory[[#This Row],[pre_res]]*Grandview_Inventory[[#This Row],[overall_adj]])</f>
        <v>224629.13083348933</v>
      </c>
      <c r="BZ1011" s="6">
        <f>(Grandview_Inventory[[#This Row],[sum_land]]-IF(Grandview_Inventory[[#This Row],[no_utilities]]=1,12000,0))/IF(Grandview_Inventory[[#This Row],[unbuildable]]=1,2,1)</f>
        <v>52639.730588165206</v>
      </c>
      <c r="CA101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011">
        <f>ROUND(Grandview_Inventory[[#This Row],[det_value]]*Lookups!$M$28,-2)</f>
        <v>5200</v>
      </c>
      <c r="CC1011">
        <f>IF(ROUND(Grandview_Inventory[[#This Row],[adj_res]]*Lookups!$M$28,-2)&lt;Grandview_Inventory[[#This Row],[min_res]],Grandview_Inventory[[#This Row],[min_res]],ROUND(Grandview_Inventory[[#This Row],[adj_res]]*Lookups!$M$28,-2))</f>
        <v>213400</v>
      </c>
      <c r="CD1011">
        <f>Grandview_Inventory[[#This Row],[final_det]]+Grandview_Inventory[[#This Row],[final_res]]</f>
        <v>218600</v>
      </c>
      <c r="CE1011">
        <f>Grandview_Inventory[[#This Row],[final_land]]+Grandview_Inventory[[#This Row],[final_imp]]+Grandview_Inventory[[#This Row],[crop_value]]</f>
        <v>268600</v>
      </c>
      <c r="CG1011" t="str">
        <f t="shared" si="15"/>
        <v>update valuation set market_land =50000, market_bldg=218600, market_total =268600, market_mdno =401, market_date ='9/10/2023' where link_id = (select link_id from parcel where parcel_year = '2024' and parcel_id = '23092241544');</v>
      </c>
    </row>
    <row r="1012" spans="1:85" x14ac:dyDescent="0.25">
      <c r="A1012">
        <v>23092241545</v>
      </c>
      <c r="B1012">
        <v>0.27</v>
      </c>
      <c r="C1012">
        <v>11736</v>
      </c>
      <c r="D1012" t="s">
        <v>129</v>
      </c>
      <c r="E1012" t="s">
        <v>53</v>
      </c>
      <c r="F1012" t="s">
        <v>53</v>
      </c>
      <c r="G1012">
        <v>4</v>
      </c>
      <c r="H1012" t="s">
        <v>54</v>
      </c>
      <c r="I1012">
        <v>211700</v>
      </c>
      <c r="J1012">
        <v>44500</v>
      </c>
      <c r="K1012">
        <v>0.27</v>
      </c>
      <c r="L101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012">
        <v>0</v>
      </c>
      <c r="N1012">
        <v>0</v>
      </c>
      <c r="O1012">
        <v>0</v>
      </c>
      <c r="P1012">
        <v>13398.7528</v>
      </c>
      <c r="Q1012">
        <v>63903</v>
      </c>
      <c r="R1012">
        <f>(Grandview_Inventory[[#This Row],[ln_acres]]*Grandview_Inventory[[#This Row],[coeff]])+Grandview_Inventory[[#This Row],[const]]</f>
        <v>46359.566512734265</v>
      </c>
      <c r="S1012" t="s">
        <v>61</v>
      </c>
      <c r="T1012">
        <v>1</v>
      </c>
      <c r="U1012" t="s">
        <v>62</v>
      </c>
      <c r="V1012" t="s">
        <v>67</v>
      </c>
      <c r="W1012">
        <v>0</v>
      </c>
      <c r="X1012">
        <v>0</v>
      </c>
      <c r="Y1012">
        <v>50</v>
      </c>
      <c r="Z1012">
        <v>70</v>
      </c>
      <c r="AA1012">
        <v>70</v>
      </c>
      <c r="AB1012">
        <v>1500</v>
      </c>
      <c r="AC1012">
        <v>1265</v>
      </c>
      <c r="AD1012">
        <v>1265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928</v>
      </c>
      <c r="AN1012">
        <v>48</v>
      </c>
      <c r="AO1012">
        <v>0</v>
      </c>
      <c r="AP1012">
        <v>7</v>
      </c>
      <c r="AQ1012">
        <v>0</v>
      </c>
      <c r="AR1012">
        <v>0</v>
      </c>
      <c r="AS1012" t="s">
        <v>58</v>
      </c>
      <c r="AT1012">
        <v>1</v>
      </c>
      <c r="AU1012" t="s">
        <v>63</v>
      </c>
      <c r="AV1012" t="s">
        <v>60</v>
      </c>
      <c r="AW1012">
        <v>1</v>
      </c>
      <c r="AX1012">
        <v>3</v>
      </c>
      <c r="AY1012">
        <v>0</v>
      </c>
      <c r="AZ1012">
        <v>25100</v>
      </c>
      <c r="BA1012">
        <v>100</v>
      </c>
      <c r="BB1012">
        <v>100</v>
      </c>
      <c r="BC1012">
        <v>100</v>
      </c>
      <c r="BD1012">
        <v>100</v>
      </c>
      <c r="BE1012">
        <v>1</v>
      </c>
      <c r="BF1012">
        <v>15000</v>
      </c>
      <c r="BG1012">
        <v>1000</v>
      </c>
      <c r="BH1012" s="6">
        <f>Grandview_Inventory[[#This Row],[land_extract]]*Lookups!$B$3</f>
        <v>53837.239420408718</v>
      </c>
      <c r="BI1012" s="6">
        <f>IF(Grandview_Inventory[[#This Row],[bldg_style]]="",0,Lookups!$B$2)</f>
        <v>155833.95000000001</v>
      </c>
      <c r="BJ1012" s="6">
        <f>_xlfn.IFNA(VLOOKUP(Grandview_Inventory[[#This Row],[quality]],Lookups!$H$2:$J$14,3,FALSE),0)</f>
        <v>9808</v>
      </c>
      <c r="BK1012" s="6">
        <f>_xlfn.IFNA(VLOOKUP(Grandview_Inventory[[#This Row],[condition]],Lookups!$H$17:$J$24,3,FALSE),0)</f>
        <v>22342</v>
      </c>
      <c r="BL1012" s="6">
        <f>Grandview_Inventory[[#This Row],[Eff_Age]]*Lookups!$B$14</f>
        <v>-11958.33</v>
      </c>
      <c r="BM1012" s="6">
        <f>Grandview_Inventory[[#This Row],[living_area]]*Lookups!$B$15</f>
        <v>78911.779045000003</v>
      </c>
      <c r="BN1012" s="6">
        <f>Grandview_Inventory[[#This Row],[Fin BSMT]]*Lookups!$B$16</f>
        <v>0</v>
      </c>
      <c r="BO1012" s="6">
        <f>(Grandview_Inventory[[#This Row],[att_gar]]+Grandview_Inventory[[#This Row],[bltin_gar]])*Lookups!$B$17</f>
        <v>0</v>
      </c>
      <c r="BP1012" s="6">
        <f>Grandview_Inventory[[#This Row],[Plumbing Fixtures]]*Lookups!$B$18</f>
        <v>14073.0926</v>
      </c>
      <c r="BQ1012" s="6">
        <f>Grandview_Inventory[[#This Row],[detatched_value]]*Lookups!$B$19</f>
        <v>21254.808010000001</v>
      </c>
      <c r="BR1012" s="6">
        <f>SUM(Grandview_Inventory[[#This Row],[Intercept]:[det_value]])*Grandview_Inventory[[#This Row],[res_pct]]</f>
        <v>290265.29965499998</v>
      </c>
      <c r="BS1012" s="6">
        <f>Grandview_Inventory[[#This Row],[land_value]]</f>
        <v>53837.239420408718</v>
      </c>
      <c r="BT1012" s="4">
        <f>_xlfn.IFNA(VLOOKUP(Grandview_Inventory[[#This Row],[quality]],Lookups!$A$26:$C$33,3,FALSE),1)</f>
        <v>0.94295468617355149</v>
      </c>
      <c r="BU1012" s="4">
        <f>_xlfn.IFNA(VLOOKUP(Grandview_Inventory[[#This Row],[condition]],Lookups!$A$37:$C$44,3,FALSE),1)</f>
        <v>0.97383723671140243</v>
      </c>
      <c r="BV1012" s="4">
        <f>IF(Grandview_Inventory[[#This Row],[bldg_style]]="",1,_xlfn.IFNA(VLOOKUP(Grandview_Inventory[[#This Row],[decade]],Lookups!$F$29:$H$43,3,FALSE),1))</f>
        <v>0.99472141305414818</v>
      </c>
      <c r="BW1012" s="4">
        <f>_xlfn.IFNA(VLOOKUP(Grandview_Inventory[[#This Row],[living_area_range]],Lookups!$F$47:$H$56,3,FALSE),1)</f>
        <v>0.96135087979789358</v>
      </c>
      <c r="BX1012" s="4">
        <f>AVERAGE(Grandview_Inventory[[#This Row],[qual_adj]:[size_adj]])</f>
        <v>0.96821605393424892</v>
      </c>
      <c r="BY1012" s="6">
        <f>IF(Grandview_Inventory[[#This Row],[pre_res]]&lt;0,0,Grandview_Inventory[[#This Row],[pre_res]]*Grandview_Inventory[[#This Row],[overall_adj]])</f>
        <v>281039.52302600641</v>
      </c>
      <c r="BZ1012" s="6">
        <f>(Grandview_Inventory[[#This Row],[sum_land]]-IF(Grandview_Inventory[[#This Row],[no_utilities]]=1,12000,0))/IF(Grandview_Inventory[[#This Row],[unbuildable]]=1,2,1)</f>
        <v>53837.239420408718</v>
      </c>
      <c r="CA101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012">
        <f>ROUND(Grandview_Inventory[[#This Row],[det_value]]*Lookups!$M$28,-2)</f>
        <v>20200</v>
      </c>
      <c r="CC1012">
        <f>IF(ROUND(Grandview_Inventory[[#This Row],[adj_res]]*Lookups!$M$28,-2)&lt;Grandview_Inventory[[#This Row],[min_res]],Grandview_Inventory[[#This Row],[min_res]],ROUND(Grandview_Inventory[[#This Row],[adj_res]]*Lookups!$M$28,-2))</f>
        <v>267000</v>
      </c>
      <c r="CD1012">
        <f>Grandview_Inventory[[#This Row],[final_det]]+Grandview_Inventory[[#This Row],[final_res]]</f>
        <v>287200</v>
      </c>
      <c r="CE1012">
        <f>Grandview_Inventory[[#This Row],[final_land]]+Grandview_Inventory[[#This Row],[final_imp]]+Grandview_Inventory[[#This Row],[crop_value]]</f>
        <v>338300</v>
      </c>
      <c r="CG1012" t="str">
        <f t="shared" si="15"/>
        <v>update valuation set market_land =51100, market_bldg=287200, market_total =338300, market_mdno =401, market_date ='9/10/2023' where link_id = (select link_id from parcel where parcel_year = '2024' and parcel_id = '23092241545');</v>
      </c>
    </row>
    <row r="1013" spans="1:85" x14ac:dyDescent="0.25">
      <c r="A1013">
        <v>23092241546</v>
      </c>
      <c r="B1013">
        <v>0.23</v>
      </c>
      <c r="C1013">
        <v>9861</v>
      </c>
      <c r="D1013" t="s">
        <v>129</v>
      </c>
      <c r="E1013" t="s">
        <v>53</v>
      </c>
      <c r="F1013" t="s">
        <v>53</v>
      </c>
      <c r="G1013">
        <v>4</v>
      </c>
      <c r="H1013" t="s">
        <v>54</v>
      </c>
      <c r="I1013">
        <v>167500</v>
      </c>
      <c r="J1013">
        <v>43800</v>
      </c>
      <c r="K1013">
        <v>0.23</v>
      </c>
      <c r="L101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013">
        <v>0</v>
      </c>
      <c r="N1013">
        <v>0</v>
      </c>
      <c r="O1013">
        <v>0</v>
      </c>
      <c r="P1013">
        <v>13398.7528</v>
      </c>
      <c r="Q1013">
        <v>63903</v>
      </c>
      <c r="R1013">
        <f>(Grandview_Inventory[[#This Row],[ln_acres]]*Grandview_Inventory[[#This Row],[coeff]])+Grandview_Inventory[[#This Row],[const]]</f>
        <v>44211.174981080039</v>
      </c>
      <c r="S1013" t="s">
        <v>61</v>
      </c>
      <c r="T1013">
        <v>1</v>
      </c>
      <c r="U1013" t="s">
        <v>65</v>
      </c>
      <c r="V1013" t="s">
        <v>69</v>
      </c>
      <c r="W1013">
        <v>0</v>
      </c>
      <c r="X1013">
        <v>0</v>
      </c>
      <c r="Y1013">
        <v>48</v>
      </c>
      <c r="Z1013">
        <v>63</v>
      </c>
      <c r="AA1013">
        <v>70</v>
      </c>
      <c r="AB1013">
        <v>2000</v>
      </c>
      <c r="AC1013">
        <v>1781</v>
      </c>
      <c r="AD1013">
        <v>1108</v>
      </c>
      <c r="AE1013">
        <v>0</v>
      </c>
      <c r="AF1013">
        <v>0</v>
      </c>
      <c r="AG1013">
        <v>673</v>
      </c>
      <c r="AH1013">
        <v>435</v>
      </c>
      <c r="AI1013">
        <v>0</v>
      </c>
      <c r="AJ1013">
        <v>0</v>
      </c>
      <c r="AK1013">
        <v>312</v>
      </c>
      <c r="AL1013">
        <v>0</v>
      </c>
      <c r="AM1013">
        <v>646</v>
      </c>
      <c r="AN1013">
        <v>0</v>
      </c>
      <c r="AO1013">
        <v>506</v>
      </c>
      <c r="AP1013">
        <v>10</v>
      </c>
      <c r="AQ1013">
        <v>0</v>
      </c>
      <c r="AR1013">
        <v>0</v>
      </c>
      <c r="AS1013" t="s">
        <v>58</v>
      </c>
      <c r="AT1013">
        <v>1</v>
      </c>
      <c r="AU1013" t="s">
        <v>75</v>
      </c>
      <c r="AV1013" t="s">
        <v>60</v>
      </c>
      <c r="AW1013">
        <v>0</v>
      </c>
      <c r="AX1013">
        <v>3</v>
      </c>
      <c r="AY1013">
        <v>0</v>
      </c>
      <c r="AZ1013">
        <v>12000</v>
      </c>
      <c r="BA1013">
        <v>100</v>
      </c>
      <c r="BB1013">
        <v>100</v>
      </c>
      <c r="BC1013">
        <v>100</v>
      </c>
      <c r="BD1013">
        <v>100</v>
      </c>
      <c r="BE1013">
        <v>1</v>
      </c>
      <c r="BF1013">
        <v>15000</v>
      </c>
      <c r="BG1013">
        <v>1000</v>
      </c>
      <c r="BH1013" s="6">
        <f>Grandview_Inventory[[#This Row],[land_extract]]*Lookups!$B$3</f>
        <v>51342.318135355803</v>
      </c>
      <c r="BI1013" s="6">
        <f>IF(Grandview_Inventory[[#This Row],[bldg_style]]="",0,Lookups!$B$2)</f>
        <v>155833.95000000001</v>
      </c>
      <c r="BJ1013" s="6">
        <f>_xlfn.IFNA(VLOOKUP(Grandview_Inventory[[#This Row],[quality]],Lookups!$H$2:$J$14,3,FALSE),0)</f>
        <v>2251</v>
      </c>
      <c r="BK1013" s="6">
        <f>_xlfn.IFNA(VLOOKUP(Grandview_Inventory[[#This Row],[condition]],Lookups!$H$17:$J$24,3,FALSE),0)</f>
        <v>-4503</v>
      </c>
      <c r="BL1013" s="6">
        <f>Grandview_Inventory[[#This Row],[Eff_Age]]*Lookups!$B$14</f>
        <v>-11479.996799999999</v>
      </c>
      <c r="BM1013" s="6">
        <f>Grandview_Inventory[[#This Row],[living_area]]*Lookups!$B$15</f>
        <v>111100.299193</v>
      </c>
      <c r="BN1013" s="6">
        <f>Grandview_Inventory[[#This Row],[Fin BSMT]]*Lookups!$B$16</f>
        <v>-18237.788520000002</v>
      </c>
      <c r="BO1013" s="6">
        <f>(Grandview_Inventory[[#This Row],[att_gar]]+Grandview_Inventory[[#This Row],[bltin_gar]])*Lookups!$B$17</f>
        <v>0</v>
      </c>
      <c r="BP1013" s="6">
        <f>Grandview_Inventory[[#This Row],[Plumbing Fixtures]]*Lookups!$B$18</f>
        <v>20104.418000000001</v>
      </c>
      <c r="BQ1013" s="6">
        <f>Grandview_Inventory[[#This Row],[detatched_value]]*Lookups!$B$19</f>
        <v>10161.6612</v>
      </c>
      <c r="BR1013" s="6">
        <f>SUM(Grandview_Inventory[[#This Row],[Intercept]:[det_value]])*Grandview_Inventory[[#This Row],[res_pct]]</f>
        <v>265230.54307299998</v>
      </c>
      <c r="BS1013" s="6">
        <f>Grandview_Inventory[[#This Row],[land_value]]</f>
        <v>51342.318135355803</v>
      </c>
      <c r="BT1013" s="4">
        <f>_xlfn.IFNA(VLOOKUP(Grandview_Inventory[[#This Row],[quality]],Lookups!$A$26:$C$33,3,FALSE),1)</f>
        <v>0.98763855981004833</v>
      </c>
      <c r="BU1013" s="4">
        <f>_xlfn.IFNA(VLOOKUP(Grandview_Inventory[[#This Row],[condition]],Lookups!$A$37:$C$44,3,FALSE),1)</f>
        <v>0.96469275950863709</v>
      </c>
      <c r="BV1013" s="4">
        <f>IF(Grandview_Inventory[[#This Row],[bldg_style]]="",1,_xlfn.IFNA(VLOOKUP(Grandview_Inventory[[#This Row],[decade]],Lookups!$F$29:$H$43,3,FALSE),1))</f>
        <v>0.99472141305414818</v>
      </c>
      <c r="BW1013" s="4">
        <f>_xlfn.IFNA(VLOOKUP(Grandview_Inventory[[#This Row],[living_area_range]],Lookups!$F$47:$H$56,3,FALSE),1)</f>
        <v>0.96120133463014379</v>
      </c>
      <c r="BX1013" s="4">
        <f>AVERAGE(Grandview_Inventory[[#This Row],[qual_adj]:[size_adj]])</f>
        <v>0.97706351675074443</v>
      </c>
      <c r="BY1013" s="6">
        <f>IF(Grandview_Inventory[[#This Row],[pre_res]]&lt;0,0,Grandview_Inventory[[#This Row],[pre_res]]*Grandview_Inventory[[#This Row],[overall_adj]])</f>
        <v>259147.08716461516</v>
      </c>
      <c r="BZ1013" s="6">
        <f>(Grandview_Inventory[[#This Row],[sum_land]]-IF(Grandview_Inventory[[#This Row],[no_utilities]]=1,12000,0))/IF(Grandview_Inventory[[#This Row],[unbuildable]]=1,2,1)</f>
        <v>51342.318135355803</v>
      </c>
      <c r="CA101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013">
        <f>ROUND(Grandview_Inventory[[#This Row],[det_value]]*Lookups!$M$28,-2)</f>
        <v>9700</v>
      </c>
      <c r="CC1013">
        <f>IF(ROUND(Grandview_Inventory[[#This Row],[adj_res]]*Lookups!$M$28,-2)&lt;Grandview_Inventory[[#This Row],[min_res]],Grandview_Inventory[[#This Row],[min_res]],ROUND(Grandview_Inventory[[#This Row],[adj_res]]*Lookups!$M$28,-2))</f>
        <v>246200</v>
      </c>
      <c r="CD1013">
        <f>Grandview_Inventory[[#This Row],[final_det]]+Grandview_Inventory[[#This Row],[final_res]]</f>
        <v>255900</v>
      </c>
      <c r="CE1013">
        <f>Grandview_Inventory[[#This Row],[final_land]]+Grandview_Inventory[[#This Row],[final_imp]]+Grandview_Inventory[[#This Row],[crop_value]]</f>
        <v>304700</v>
      </c>
      <c r="CG1013" t="str">
        <f t="shared" si="15"/>
        <v>update valuation set market_land =48800, market_bldg=255900, market_total =304700, market_mdno =401, market_date ='9/10/2023' where link_id = (select link_id from parcel where parcel_year = '2024' and parcel_id = '23092241546');</v>
      </c>
    </row>
    <row r="1014" spans="1:85" x14ac:dyDescent="0.25">
      <c r="A1014">
        <v>23092241547</v>
      </c>
      <c r="B1014">
        <v>0.24</v>
      </c>
      <c r="C1014">
        <v>10344</v>
      </c>
      <c r="D1014" t="s">
        <v>129</v>
      </c>
      <c r="E1014" t="s">
        <v>53</v>
      </c>
      <c r="F1014" t="s">
        <v>53</v>
      </c>
      <c r="G1014">
        <v>4</v>
      </c>
      <c r="H1014" t="s">
        <v>54</v>
      </c>
      <c r="I1014">
        <v>149500</v>
      </c>
      <c r="J1014">
        <v>44200</v>
      </c>
      <c r="K1014">
        <v>0.24</v>
      </c>
      <c r="L101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14">
        <v>0</v>
      </c>
      <c r="N1014">
        <v>0</v>
      </c>
      <c r="O1014">
        <v>0</v>
      </c>
      <c r="P1014">
        <v>13398.7528</v>
      </c>
      <c r="Q1014">
        <v>63903</v>
      </c>
      <c r="R1014">
        <f>(Grandview_Inventory[[#This Row],[ln_acres]]*Grandview_Inventory[[#This Row],[coeff]])+Grandview_Inventory[[#This Row],[const]]</f>
        <v>44781.420733940802</v>
      </c>
      <c r="S1014" t="s">
        <v>68</v>
      </c>
      <c r="T1014">
        <v>1</v>
      </c>
      <c r="U1014" t="s">
        <v>70</v>
      </c>
      <c r="V1014" t="s">
        <v>69</v>
      </c>
      <c r="W1014">
        <v>0</v>
      </c>
      <c r="X1014">
        <v>0</v>
      </c>
      <c r="Y1014">
        <v>49</v>
      </c>
      <c r="Z1014">
        <v>68</v>
      </c>
      <c r="AA1014">
        <v>70</v>
      </c>
      <c r="AB1014">
        <v>1500</v>
      </c>
      <c r="AC1014">
        <v>1220</v>
      </c>
      <c r="AD1014">
        <v>1220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5</v>
      </c>
      <c r="AQ1014">
        <v>0</v>
      </c>
      <c r="AR1014">
        <v>0</v>
      </c>
      <c r="AS1014" t="s">
        <v>58</v>
      </c>
      <c r="AT1014">
        <v>1</v>
      </c>
      <c r="AU1014" t="s">
        <v>63</v>
      </c>
      <c r="AV1014" t="s">
        <v>64</v>
      </c>
      <c r="AW1014">
        <v>1</v>
      </c>
      <c r="AX1014">
        <v>3</v>
      </c>
      <c r="AY1014">
        <v>0</v>
      </c>
      <c r="AZ1014">
        <v>8300</v>
      </c>
      <c r="BA1014">
        <v>100</v>
      </c>
      <c r="BB1014">
        <v>100</v>
      </c>
      <c r="BC1014">
        <v>100</v>
      </c>
      <c r="BD1014">
        <v>100</v>
      </c>
      <c r="BE1014">
        <v>1</v>
      </c>
      <c r="BF1014">
        <v>15000</v>
      </c>
      <c r="BG1014">
        <v>1000</v>
      </c>
      <c r="BH1014" s="6">
        <f>Grandview_Inventory[[#This Row],[land_extract]]*Lookups!$B$3</f>
        <v>52004.542988489469</v>
      </c>
      <c r="BI1014" s="6">
        <f>IF(Grandview_Inventory[[#This Row],[bldg_style]]="",0,Lookups!$B$2)</f>
        <v>155833.95000000001</v>
      </c>
      <c r="BJ1014" s="6">
        <f>_xlfn.IFNA(VLOOKUP(Grandview_Inventory[[#This Row],[quality]],Lookups!$H$2:$J$14,3,FALSE),0)</f>
        <v>10733</v>
      </c>
      <c r="BK1014" s="6">
        <f>_xlfn.IFNA(VLOOKUP(Grandview_Inventory[[#This Row],[condition]],Lookups!$H$17:$J$24,3,FALSE),0)</f>
        <v>-4503</v>
      </c>
      <c r="BL1014" s="6">
        <f>Grandview_Inventory[[#This Row],[Eff_Age]]*Lookups!$B$14</f>
        <v>-11719.163399999999</v>
      </c>
      <c r="BM1014" s="6">
        <f>Grandview_Inventory[[#This Row],[living_area]]*Lookups!$B$15</f>
        <v>76104.640660000005</v>
      </c>
      <c r="BN1014" s="6">
        <f>Grandview_Inventory[[#This Row],[Fin BSMT]]*Lookups!$B$16</f>
        <v>0</v>
      </c>
      <c r="BO1014" s="6">
        <f>(Grandview_Inventory[[#This Row],[att_gar]]+Grandview_Inventory[[#This Row],[bltin_gar]])*Lookups!$B$17</f>
        <v>0</v>
      </c>
      <c r="BP1014" s="6">
        <f>Grandview_Inventory[[#This Row],[Plumbing Fixtures]]*Lookups!$B$18</f>
        <v>10052.209000000001</v>
      </c>
      <c r="BQ1014" s="6">
        <f>Grandview_Inventory[[#This Row],[detatched_value]]*Lookups!$B$19</f>
        <v>7028.4823299999998</v>
      </c>
      <c r="BR1014" s="6">
        <f>SUM(Grandview_Inventory[[#This Row],[Intercept]:[det_value]])*Grandview_Inventory[[#This Row],[res_pct]]</f>
        <v>243530.11859000003</v>
      </c>
      <c r="BS1014" s="6">
        <f>Grandview_Inventory[[#This Row],[land_value]]</f>
        <v>52004.542988489469</v>
      </c>
      <c r="BT1014" s="4">
        <f>_xlfn.IFNA(VLOOKUP(Grandview_Inventory[[#This Row],[quality]],Lookups!$A$26:$C$33,3,FALSE),1)</f>
        <v>0.98079741117310582</v>
      </c>
      <c r="BU1014" s="4">
        <f>_xlfn.IFNA(VLOOKUP(Grandview_Inventory[[#This Row],[condition]],Lookups!$A$37:$C$44,3,FALSE),1)</f>
        <v>0.96469275950863709</v>
      </c>
      <c r="BV1014" s="4">
        <f>IF(Grandview_Inventory[[#This Row],[bldg_style]]="",1,_xlfn.IFNA(VLOOKUP(Grandview_Inventory[[#This Row],[decade]],Lookups!$F$29:$H$43,3,FALSE),1))</f>
        <v>0.99472141305414818</v>
      </c>
      <c r="BW1014" s="4">
        <f>_xlfn.IFNA(VLOOKUP(Grandview_Inventory[[#This Row],[living_area_range]],Lookups!$F$47:$H$56,3,FALSE),1)</f>
        <v>0.96135087979789358</v>
      </c>
      <c r="BX1014" s="4">
        <f>AVERAGE(Grandview_Inventory[[#This Row],[qual_adj]:[size_adj]])</f>
        <v>0.97539061588344622</v>
      </c>
      <c r="BY1014" s="6">
        <f>IF(Grandview_Inventory[[#This Row],[pre_res]]&lt;0,0,Grandview_Inventory[[#This Row],[pre_res]]*Grandview_Inventory[[#This Row],[overall_adj]])</f>
        <v>237536.99235766882</v>
      </c>
      <c r="BZ1014" s="6">
        <f>(Grandview_Inventory[[#This Row],[sum_land]]-IF(Grandview_Inventory[[#This Row],[no_utilities]]=1,12000,0))/IF(Grandview_Inventory[[#This Row],[unbuildable]]=1,2,1)</f>
        <v>52004.542988489469</v>
      </c>
      <c r="CA101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14">
        <f>ROUND(Grandview_Inventory[[#This Row],[det_value]]*Lookups!$M$28,-2)</f>
        <v>6700</v>
      </c>
      <c r="CC1014">
        <f>IF(ROUND(Grandview_Inventory[[#This Row],[adj_res]]*Lookups!$M$28,-2)&lt;Grandview_Inventory[[#This Row],[min_res]],Grandview_Inventory[[#This Row],[min_res]],ROUND(Grandview_Inventory[[#This Row],[adj_res]]*Lookups!$M$28,-2))</f>
        <v>225700</v>
      </c>
      <c r="CD1014">
        <f>Grandview_Inventory[[#This Row],[final_det]]+Grandview_Inventory[[#This Row],[final_res]]</f>
        <v>232400</v>
      </c>
      <c r="CE1014">
        <f>Grandview_Inventory[[#This Row],[final_land]]+Grandview_Inventory[[#This Row],[final_imp]]+Grandview_Inventory[[#This Row],[crop_value]]</f>
        <v>281800</v>
      </c>
      <c r="CG1014" t="str">
        <f t="shared" si="15"/>
        <v>update valuation set market_land =49400, market_bldg=232400, market_total =281800, market_mdno =401, market_date ='9/10/2023' where link_id = (select link_id from parcel where parcel_year = '2024' and parcel_id = '23092241547');</v>
      </c>
    </row>
    <row r="1015" spans="1:85" x14ac:dyDescent="0.25">
      <c r="A1015">
        <v>23092241548</v>
      </c>
      <c r="B1015">
        <v>0.24</v>
      </c>
      <c r="C1015">
        <v>10449</v>
      </c>
      <c r="D1015" t="s">
        <v>129</v>
      </c>
      <c r="E1015" t="s">
        <v>53</v>
      </c>
      <c r="F1015" t="s">
        <v>53</v>
      </c>
      <c r="G1015">
        <v>4</v>
      </c>
      <c r="H1015" t="s">
        <v>54</v>
      </c>
      <c r="I1015">
        <v>166600</v>
      </c>
      <c r="J1015">
        <v>39800</v>
      </c>
      <c r="K1015">
        <v>0.24</v>
      </c>
      <c r="L101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15">
        <v>0</v>
      </c>
      <c r="N1015">
        <v>0</v>
      </c>
      <c r="O1015">
        <v>0</v>
      </c>
      <c r="P1015">
        <v>13398.7528</v>
      </c>
      <c r="Q1015">
        <v>63903</v>
      </c>
      <c r="R1015">
        <f>(Grandview_Inventory[[#This Row],[ln_acres]]*Grandview_Inventory[[#This Row],[coeff]])+Grandview_Inventory[[#This Row],[const]]</f>
        <v>44781.420733940802</v>
      </c>
      <c r="S1015" t="s">
        <v>68</v>
      </c>
      <c r="T1015">
        <v>1</v>
      </c>
      <c r="U1015" t="s">
        <v>65</v>
      </c>
      <c r="V1015" t="s">
        <v>67</v>
      </c>
      <c r="W1015">
        <v>0</v>
      </c>
      <c r="X1015">
        <v>0</v>
      </c>
      <c r="Y1015">
        <v>50</v>
      </c>
      <c r="Z1015">
        <v>71</v>
      </c>
      <c r="AA1015">
        <v>80</v>
      </c>
      <c r="AB1015">
        <v>1500</v>
      </c>
      <c r="AC1015">
        <v>1134</v>
      </c>
      <c r="AD1015">
        <v>1134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54</v>
      </c>
      <c r="AO1015">
        <v>0</v>
      </c>
      <c r="AP1015">
        <v>5</v>
      </c>
      <c r="AQ1015">
        <v>0</v>
      </c>
      <c r="AR1015">
        <v>1</v>
      </c>
      <c r="AS1015" t="s">
        <v>58</v>
      </c>
      <c r="AT1015">
        <v>1</v>
      </c>
      <c r="AU1015" t="s">
        <v>63</v>
      </c>
      <c r="AV1015" t="s">
        <v>64</v>
      </c>
      <c r="AW1015">
        <v>0</v>
      </c>
      <c r="AX1015">
        <v>3</v>
      </c>
      <c r="AY1015">
        <v>0</v>
      </c>
      <c r="AZ1015">
        <v>10200</v>
      </c>
      <c r="BA1015">
        <v>100</v>
      </c>
      <c r="BB1015">
        <v>100</v>
      </c>
      <c r="BC1015">
        <v>100</v>
      </c>
      <c r="BD1015">
        <v>100</v>
      </c>
      <c r="BE1015">
        <v>1</v>
      </c>
      <c r="BF1015">
        <v>15000</v>
      </c>
      <c r="BG1015">
        <v>1000</v>
      </c>
      <c r="BH1015" s="6">
        <f>Grandview_Inventory[[#This Row],[land_extract]]*Lookups!$B$3</f>
        <v>52004.542988489469</v>
      </c>
      <c r="BI1015" s="6">
        <f>IF(Grandview_Inventory[[#This Row],[bldg_style]]="",0,Lookups!$B$2)</f>
        <v>155833.95000000001</v>
      </c>
      <c r="BJ1015" s="6">
        <f>_xlfn.IFNA(VLOOKUP(Grandview_Inventory[[#This Row],[quality]],Lookups!$H$2:$J$14,3,FALSE),0)</f>
        <v>2251</v>
      </c>
      <c r="BK1015" s="6">
        <f>_xlfn.IFNA(VLOOKUP(Grandview_Inventory[[#This Row],[condition]],Lookups!$H$17:$J$24,3,FALSE),0)</f>
        <v>22342</v>
      </c>
      <c r="BL1015" s="6">
        <f>Grandview_Inventory[[#This Row],[Eff_Age]]*Lookups!$B$14</f>
        <v>-11958.33</v>
      </c>
      <c r="BM1015" s="6">
        <f>Grandview_Inventory[[#This Row],[living_area]]*Lookups!$B$15</f>
        <v>70739.887302000003</v>
      </c>
      <c r="BN1015" s="6">
        <f>Grandview_Inventory[[#This Row],[Fin BSMT]]*Lookups!$B$16</f>
        <v>0</v>
      </c>
      <c r="BO1015" s="6">
        <f>(Grandview_Inventory[[#This Row],[att_gar]]+Grandview_Inventory[[#This Row],[bltin_gar]])*Lookups!$B$17</f>
        <v>0</v>
      </c>
      <c r="BP1015" s="6">
        <f>Grandview_Inventory[[#This Row],[Plumbing Fixtures]]*Lookups!$B$18</f>
        <v>10052.209000000001</v>
      </c>
      <c r="BQ1015" s="6">
        <f>Grandview_Inventory[[#This Row],[detatched_value]]*Lookups!$B$19</f>
        <v>8637.4120199999998</v>
      </c>
      <c r="BR1015" s="6">
        <f>SUM(Grandview_Inventory[[#This Row],[Intercept]:[det_value]])*Grandview_Inventory[[#This Row],[res_pct]]</f>
        <v>257898.128322</v>
      </c>
      <c r="BS1015" s="6">
        <f>Grandview_Inventory[[#This Row],[land_value]]</f>
        <v>52004.542988489469</v>
      </c>
      <c r="BT1015" s="4">
        <f>_xlfn.IFNA(VLOOKUP(Grandview_Inventory[[#This Row],[quality]],Lookups!$A$26:$C$33,3,FALSE),1)</f>
        <v>0.98763855981004833</v>
      </c>
      <c r="BU1015" s="4">
        <f>_xlfn.IFNA(VLOOKUP(Grandview_Inventory[[#This Row],[condition]],Lookups!$A$37:$C$44,3,FALSE),1)</f>
        <v>0.97383723671140243</v>
      </c>
      <c r="BV1015" s="4">
        <f>IF(Grandview_Inventory[[#This Row],[bldg_style]]="",1,_xlfn.IFNA(VLOOKUP(Grandview_Inventory[[#This Row],[decade]],Lookups!$F$29:$H$43,3,FALSE),1))</f>
        <v>0.98763256963907298</v>
      </c>
      <c r="BW1015" s="4">
        <f>_xlfn.IFNA(VLOOKUP(Grandview_Inventory[[#This Row],[living_area_range]],Lookups!$F$47:$H$56,3,FALSE),1)</f>
        <v>0.96135087979789358</v>
      </c>
      <c r="BX1015" s="4">
        <f>AVERAGE(Grandview_Inventory[[#This Row],[qual_adj]:[size_adj]])</f>
        <v>0.97761481148960427</v>
      </c>
      <c r="BY1015" s="6">
        <f>IF(Grandview_Inventory[[#This Row],[pre_res]]&lt;0,0,Grandview_Inventory[[#This Row],[pre_res]]*Grandview_Inventory[[#This Row],[overall_adj]])</f>
        <v>252125.03010303382</v>
      </c>
      <c r="BZ1015" s="6">
        <f>(Grandview_Inventory[[#This Row],[sum_land]]-IF(Grandview_Inventory[[#This Row],[no_utilities]]=1,12000,0))/IF(Grandview_Inventory[[#This Row],[unbuildable]]=1,2,1)</f>
        <v>52004.542988489469</v>
      </c>
      <c r="CA101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15">
        <f>ROUND(Grandview_Inventory[[#This Row],[det_value]]*Lookups!$M$28,-2)</f>
        <v>8200</v>
      </c>
      <c r="CC1015">
        <f>IF(ROUND(Grandview_Inventory[[#This Row],[adj_res]]*Lookups!$M$28,-2)&lt;Grandview_Inventory[[#This Row],[min_res]],Grandview_Inventory[[#This Row],[min_res]],ROUND(Grandview_Inventory[[#This Row],[adj_res]]*Lookups!$M$28,-2))</f>
        <v>239500</v>
      </c>
      <c r="CD1015">
        <f>Grandview_Inventory[[#This Row],[final_det]]+Grandview_Inventory[[#This Row],[final_res]]</f>
        <v>247700</v>
      </c>
      <c r="CE1015">
        <f>Grandview_Inventory[[#This Row],[final_land]]+Grandview_Inventory[[#This Row],[final_imp]]+Grandview_Inventory[[#This Row],[crop_value]]</f>
        <v>297100</v>
      </c>
      <c r="CG1015" t="str">
        <f t="shared" si="15"/>
        <v>update valuation set market_land =49400, market_bldg=247700, market_total =297100, market_mdno =401, market_date ='9/10/2023' where link_id = (select link_id from parcel where parcel_year = '2024' and parcel_id = '23092241548');</v>
      </c>
    </row>
    <row r="1016" spans="1:85" x14ac:dyDescent="0.25">
      <c r="A1016">
        <v>23092241549</v>
      </c>
      <c r="B1016">
        <v>0.24</v>
      </c>
      <c r="C1016">
        <v>10339</v>
      </c>
      <c r="D1016" t="s">
        <v>129</v>
      </c>
      <c r="E1016" t="s">
        <v>53</v>
      </c>
      <c r="F1016" t="s">
        <v>53</v>
      </c>
      <c r="G1016">
        <v>4</v>
      </c>
      <c r="H1016" t="s">
        <v>54</v>
      </c>
      <c r="I1016">
        <v>117400</v>
      </c>
      <c r="J1016">
        <v>44000</v>
      </c>
      <c r="K1016">
        <v>0.24</v>
      </c>
      <c r="L1016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16">
        <v>0</v>
      </c>
      <c r="N1016">
        <v>0</v>
      </c>
      <c r="O1016">
        <v>0</v>
      </c>
      <c r="P1016">
        <v>13398.7528</v>
      </c>
      <c r="Q1016">
        <v>63903</v>
      </c>
      <c r="R1016">
        <f>(Grandview_Inventory[[#This Row],[ln_acres]]*Grandview_Inventory[[#This Row],[coeff]])+Grandview_Inventory[[#This Row],[const]]</f>
        <v>44781.420733940802</v>
      </c>
      <c r="S1016" t="s">
        <v>68</v>
      </c>
      <c r="T1016">
        <v>1</v>
      </c>
      <c r="U1016" t="s">
        <v>65</v>
      </c>
      <c r="V1016" t="s">
        <v>69</v>
      </c>
      <c r="W1016">
        <v>0</v>
      </c>
      <c r="X1016">
        <v>0</v>
      </c>
      <c r="Y1016">
        <v>49</v>
      </c>
      <c r="Z1016">
        <v>68</v>
      </c>
      <c r="AA1016">
        <v>70</v>
      </c>
      <c r="AB1016">
        <v>1500</v>
      </c>
      <c r="AC1016">
        <v>1162</v>
      </c>
      <c r="AD1016">
        <v>1162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8</v>
      </c>
      <c r="AQ1016">
        <v>0</v>
      </c>
      <c r="AR1016">
        <v>0</v>
      </c>
      <c r="AS1016" t="s">
        <v>58</v>
      </c>
      <c r="AT1016">
        <v>1</v>
      </c>
      <c r="AU1016" t="s">
        <v>63</v>
      </c>
      <c r="AV1016" t="s">
        <v>64</v>
      </c>
      <c r="AW1016">
        <v>0</v>
      </c>
      <c r="AX1016">
        <v>3</v>
      </c>
      <c r="AY1016">
        <v>0</v>
      </c>
      <c r="AZ1016">
        <v>0</v>
      </c>
      <c r="BA1016">
        <v>100</v>
      </c>
      <c r="BB1016">
        <v>100</v>
      </c>
      <c r="BC1016">
        <v>100</v>
      </c>
      <c r="BD1016">
        <v>100</v>
      </c>
      <c r="BE1016">
        <v>1</v>
      </c>
      <c r="BF1016">
        <v>15000</v>
      </c>
      <c r="BG1016">
        <v>1000</v>
      </c>
      <c r="BH1016" s="6">
        <f>Grandview_Inventory[[#This Row],[land_extract]]*Lookups!$B$3</f>
        <v>52004.542988489469</v>
      </c>
      <c r="BI1016" s="6">
        <f>IF(Grandview_Inventory[[#This Row],[bldg_style]]="",0,Lookups!$B$2)</f>
        <v>155833.95000000001</v>
      </c>
      <c r="BJ1016" s="6">
        <f>_xlfn.IFNA(VLOOKUP(Grandview_Inventory[[#This Row],[quality]],Lookups!$H$2:$J$14,3,FALSE),0)</f>
        <v>2251</v>
      </c>
      <c r="BK1016" s="6">
        <f>_xlfn.IFNA(VLOOKUP(Grandview_Inventory[[#This Row],[condition]],Lookups!$H$17:$J$24,3,FALSE),0)</f>
        <v>-4503</v>
      </c>
      <c r="BL1016" s="6">
        <f>Grandview_Inventory[[#This Row],[Eff_Age]]*Lookups!$B$14</f>
        <v>-11719.163399999999</v>
      </c>
      <c r="BM1016" s="6">
        <f>Grandview_Inventory[[#This Row],[living_area]]*Lookups!$B$15</f>
        <v>72486.551185999997</v>
      </c>
      <c r="BN1016" s="6">
        <f>Grandview_Inventory[[#This Row],[Fin BSMT]]*Lookups!$B$16</f>
        <v>0</v>
      </c>
      <c r="BO1016" s="6">
        <f>(Grandview_Inventory[[#This Row],[att_gar]]+Grandview_Inventory[[#This Row],[bltin_gar]])*Lookups!$B$17</f>
        <v>0</v>
      </c>
      <c r="BP1016" s="6">
        <f>Grandview_Inventory[[#This Row],[Plumbing Fixtures]]*Lookups!$B$18</f>
        <v>16083.5344</v>
      </c>
      <c r="BQ1016" s="6">
        <f>Grandview_Inventory[[#This Row],[detatched_value]]*Lookups!$B$19</f>
        <v>0</v>
      </c>
      <c r="BR1016" s="6">
        <f>SUM(Grandview_Inventory[[#This Row],[Intercept]:[det_value]])*Grandview_Inventory[[#This Row],[res_pct]]</f>
        <v>230432.87218600002</v>
      </c>
      <c r="BS1016" s="6">
        <f>Grandview_Inventory[[#This Row],[land_value]]</f>
        <v>52004.542988489469</v>
      </c>
      <c r="BT1016" s="4">
        <f>_xlfn.IFNA(VLOOKUP(Grandview_Inventory[[#This Row],[quality]],Lookups!$A$26:$C$33,3,FALSE),1)</f>
        <v>0.98763855981004833</v>
      </c>
      <c r="BU1016" s="4">
        <f>_xlfn.IFNA(VLOOKUP(Grandview_Inventory[[#This Row],[condition]],Lookups!$A$37:$C$44,3,FALSE),1)</f>
        <v>0.96469275950863709</v>
      </c>
      <c r="BV1016" s="4">
        <f>IF(Grandview_Inventory[[#This Row],[bldg_style]]="",1,_xlfn.IFNA(VLOOKUP(Grandview_Inventory[[#This Row],[decade]],Lookups!$F$29:$H$43,3,FALSE),1))</f>
        <v>0.99472141305414818</v>
      </c>
      <c r="BW1016" s="4">
        <f>_xlfn.IFNA(VLOOKUP(Grandview_Inventory[[#This Row],[living_area_range]],Lookups!$F$47:$H$56,3,FALSE),1)</f>
        <v>0.96135087979789358</v>
      </c>
      <c r="BX1016" s="4">
        <f>AVERAGE(Grandview_Inventory[[#This Row],[qual_adj]:[size_adj]])</f>
        <v>0.97710090304268182</v>
      </c>
      <c r="BY1016" s="6">
        <f>IF(Grandview_Inventory[[#This Row],[pre_res]]&lt;0,0,Grandview_Inventory[[#This Row],[pre_res]]*Grandview_Inventory[[#This Row],[overall_adj]])</f>
        <v>225156.1675036595</v>
      </c>
      <c r="BZ1016" s="6">
        <f>(Grandview_Inventory[[#This Row],[sum_land]]-IF(Grandview_Inventory[[#This Row],[no_utilities]]=1,12000,0))/IF(Grandview_Inventory[[#This Row],[unbuildable]]=1,2,1)</f>
        <v>52004.542988489469</v>
      </c>
      <c r="CA1016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16">
        <f>ROUND(Grandview_Inventory[[#This Row],[det_value]]*Lookups!$M$28,-2)</f>
        <v>0</v>
      </c>
      <c r="CC1016">
        <f>IF(ROUND(Grandview_Inventory[[#This Row],[adj_res]]*Lookups!$M$28,-2)&lt;Grandview_Inventory[[#This Row],[min_res]],Grandview_Inventory[[#This Row],[min_res]],ROUND(Grandview_Inventory[[#This Row],[adj_res]]*Lookups!$M$28,-2))</f>
        <v>213900</v>
      </c>
      <c r="CD1016">
        <f>Grandview_Inventory[[#This Row],[final_det]]+Grandview_Inventory[[#This Row],[final_res]]</f>
        <v>213900</v>
      </c>
      <c r="CE1016">
        <f>Grandview_Inventory[[#This Row],[final_land]]+Grandview_Inventory[[#This Row],[final_imp]]+Grandview_Inventory[[#This Row],[crop_value]]</f>
        <v>263300</v>
      </c>
      <c r="CG1016" t="str">
        <f t="shared" si="15"/>
        <v>update valuation set market_land =49400, market_bldg=213900, market_total =263300, market_mdno =401, market_date ='9/10/2023' where link_id = (select link_id from parcel where parcel_year = '2024' and parcel_id = '23092241549');</v>
      </c>
    </row>
    <row r="1017" spans="1:85" x14ac:dyDescent="0.25">
      <c r="A1017">
        <v>23092241552</v>
      </c>
      <c r="B1017">
        <v>0.15</v>
      </c>
      <c r="C1017">
        <v>6500</v>
      </c>
      <c r="D1017" t="s">
        <v>129</v>
      </c>
      <c r="E1017" t="s">
        <v>53</v>
      </c>
      <c r="F1017" t="s">
        <v>53</v>
      </c>
      <c r="G1017">
        <v>4</v>
      </c>
      <c r="H1017" t="s">
        <v>54</v>
      </c>
      <c r="I1017">
        <v>114000</v>
      </c>
      <c r="J1017">
        <v>42600</v>
      </c>
      <c r="K1017">
        <v>0.15</v>
      </c>
      <c r="L101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017">
        <v>0</v>
      </c>
      <c r="N1017">
        <v>0</v>
      </c>
      <c r="O1017">
        <v>0</v>
      </c>
      <c r="P1017">
        <v>13398.7528</v>
      </c>
      <c r="Q1017">
        <v>63903</v>
      </c>
      <c r="R1017">
        <f>(Grandview_Inventory[[#This Row],[ln_acres]]*Grandview_Inventory[[#This Row],[coeff]])+Grandview_Inventory[[#This Row],[const]]</f>
        <v>38483.958290574345</v>
      </c>
      <c r="S1017" t="s">
        <v>61</v>
      </c>
      <c r="T1017">
        <v>1</v>
      </c>
      <c r="U1017" t="s">
        <v>65</v>
      </c>
      <c r="V1017" t="s">
        <v>78</v>
      </c>
      <c r="W1017">
        <v>0</v>
      </c>
      <c r="X1017">
        <v>0</v>
      </c>
      <c r="Y1017">
        <v>49</v>
      </c>
      <c r="Z1017">
        <v>68</v>
      </c>
      <c r="AA1017">
        <v>70</v>
      </c>
      <c r="AB1017">
        <v>1000</v>
      </c>
      <c r="AC1017">
        <v>986</v>
      </c>
      <c r="AD1017">
        <v>986</v>
      </c>
      <c r="AE1017">
        <v>0</v>
      </c>
      <c r="AF1017">
        <v>0</v>
      </c>
      <c r="AG1017">
        <v>0</v>
      </c>
      <c r="AH1017">
        <v>0</v>
      </c>
      <c r="AI1017">
        <v>240</v>
      </c>
      <c r="AJ1017">
        <v>0</v>
      </c>
      <c r="AK1017">
        <v>0</v>
      </c>
      <c r="AL1017">
        <v>0</v>
      </c>
      <c r="AM1017">
        <v>128</v>
      </c>
      <c r="AN1017">
        <v>0</v>
      </c>
      <c r="AO1017">
        <v>128</v>
      </c>
      <c r="AP1017">
        <v>5</v>
      </c>
      <c r="AQ1017">
        <v>1</v>
      </c>
      <c r="AR1017">
        <v>0</v>
      </c>
      <c r="AS1017" t="s">
        <v>58</v>
      </c>
      <c r="AT1017">
        <v>1</v>
      </c>
      <c r="AU1017" t="s">
        <v>63</v>
      </c>
      <c r="AV1017" t="s">
        <v>60</v>
      </c>
      <c r="AW1017">
        <v>0</v>
      </c>
      <c r="AX1017">
        <v>2</v>
      </c>
      <c r="AY1017">
        <v>0</v>
      </c>
      <c r="AZ1017">
        <v>0</v>
      </c>
      <c r="BA1017">
        <v>100</v>
      </c>
      <c r="BB1017">
        <v>100</v>
      </c>
      <c r="BC1017">
        <v>100</v>
      </c>
      <c r="BD1017">
        <v>100</v>
      </c>
      <c r="BE1017">
        <v>1</v>
      </c>
      <c r="BF1017">
        <v>15000</v>
      </c>
      <c r="BG1017">
        <v>1000</v>
      </c>
      <c r="BH1017" s="6">
        <f>Grandview_Inventory[[#This Row],[land_extract]]*Lookups!$B$3</f>
        <v>44691.316856156598</v>
      </c>
      <c r="BI1017" s="6">
        <f>IF(Grandview_Inventory[[#This Row],[bldg_style]]="",0,Lookups!$B$2)</f>
        <v>155833.95000000001</v>
      </c>
      <c r="BJ1017" s="6">
        <f>_xlfn.IFNA(VLOOKUP(Grandview_Inventory[[#This Row],[quality]],Lookups!$H$2:$J$14,3,FALSE),0)</f>
        <v>2251</v>
      </c>
      <c r="BK1017" s="6">
        <f>_xlfn.IFNA(VLOOKUP(Grandview_Inventory[[#This Row],[condition]],Lookups!$H$17:$J$24,3,FALSE),0)</f>
        <v>-45357</v>
      </c>
      <c r="BL1017" s="6">
        <f>Grandview_Inventory[[#This Row],[Eff_Age]]*Lookups!$B$14</f>
        <v>-11719.163399999999</v>
      </c>
      <c r="BM1017" s="6">
        <f>Grandview_Inventory[[#This Row],[living_area]]*Lookups!$B$15</f>
        <v>61507.521057999998</v>
      </c>
      <c r="BN1017" s="6">
        <f>Grandview_Inventory[[#This Row],[Fin BSMT]]*Lookups!$B$16</f>
        <v>0</v>
      </c>
      <c r="BO1017" s="6">
        <f>(Grandview_Inventory[[#This Row],[att_gar]]+Grandview_Inventory[[#This Row],[bltin_gar]])*Lookups!$B$17</f>
        <v>21004.904880000002</v>
      </c>
      <c r="BP1017" s="6">
        <f>Grandview_Inventory[[#This Row],[Plumbing Fixtures]]*Lookups!$B$18</f>
        <v>10052.209000000001</v>
      </c>
      <c r="BQ1017" s="6">
        <f>Grandview_Inventory[[#This Row],[detatched_value]]*Lookups!$B$19</f>
        <v>0</v>
      </c>
      <c r="BR1017" s="6">
        <f>SUM(Grandview_Inventory[[#This Row],[Intercept]:[det_value]])*Grandview_Inventory[[#This Row],[res_pct]]</f>
        <v>193573.42153800002</v>
      </c>
      <c r="BS1017" s="6">
        <f>Grandview_Inventory[[#This Row],[land_value]]</f>
        <v>44691.316856156598</v>
      </c>
      <c r="BT1017" s="4">
        <f>_xlfn.IFNA(VLOOKUP(Grandview_Inventory[[#This Row],[quality]],Lookups!$A$26:$C$33,3,FALSE),1)</f>
        <v>0.98763855981004833</v>
      </c>
      <c r="BU1017" s="4">
        <f>_xlfn.IFNA(VLOOKUP(Grandview_Inventory[[#This Row],[condition]],Lookups!$A$37:$C$44,3,FALSE),1)</f>
        <v>0.97161819570155394</v>
      </c>
      <c r="BV1017" s="4">
        <f>IF(Grandview_Inventory[[#This Row],[bldg_style]]="",1,_xlfn.IFNA(VLOOKUP(Grandview_Inventory[[#This Row],[decade]],Lookups!$F$29:$H$43,3,FALSE),1))</f>
        <v>0.99472141305414818</v>
      </c>
      <c r="BW1017" s="4">
        <f>_xlfn.IFNA(VLOOKUP(Grandview_Inventory[[#This Row],[living_area_range]],Lookups!$F$47:$H$56,3,FALSE),1)</f>
        <v>0.94306777142782894</v>
      </c>
      <c r="BX1017" s="4">
        <f>AVERAGE(Grandview_Inventory[[#This Row],[qual_adj]:[size_adj]])</f>
        <v>0.97426148499839482</v>
      </c>
      <c r="BY1017" s="6">
        <f>IF(Grandview_Inventory[[#This Row],[pre_res]]&lt;0,0,Grandview_Inventory[[#This Row],[pre_res]]*Grandview_Inventory[[#This Row],[overall_adj]])</f>
        <v>188591.12912383216</v>
      </c>
      <c r="BZ1017" s="6">
        <f>(Grandview_Inventory[[#This Row],[sum_land]]-IF(Grandview_Inventory[[#This Row],[no_utilities]]=1,12000,0))/IF(Grandview_Inventory[[#This Row],[unbuildable]]=1,2,1)</f>
        <v>44691.316856156598</v>
      </c>
      <c r="CA101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017">
        <f>ROUND(Grandview_Inventory[[#This Row],[det_value]]*Lookups!$M$28,-2)</f>
        <v>0</v>
      </c>
      <c r="CC1017">
        <f>IF(ROUND(Grandview_Inventory[[#This Row],[adj_res]]*Lookups!$M$28,-2)&lt;Grandview_Inventory[[#This Row],[min_res]],Grandview_Inventory[[#This Row],[min_res]],ROUND(Grandview_Inventory[[#This Row],[adj_res]]*Lookups!$M$28,-2))</f>
        <v>179200</v>
      </c>
      <c r="CD1017">
        <f>Grandview_Inventory[[#This Row],[final_det]]+Grandview_Inventory[[#This Row],[final_res]]</f>
        <v>179200</v>
      </c>
      <c r="CE1017">
        <f>Grandview_Inventory[[#This Row],[final_land]]+Grandview_Inventory[[#This Row],[final_imp]]+Grandview_Inventory[[#This Row],[crop_value]]</f>
        <v>221700</v>
      </c>
      <c r="CG1017" t="str">
        <f t="shared" si="15"/>
        <v>update valuation set market_land =42500, market_bldg=179200, market_total =221700, market_mdno =401, market_date ='9/10/2023' where link_id = (select link_id from parcel where parcel_year = '2024' and parcel_id = '23092241552');</v>
      </c>
    </row>
    <row r="1018" spans="1:85" x14ac:dyDescent="0.25">
      <c r="A1018">
        <v>23092241553</v>
      </c>
      <c r="B1018">
        <v>0.19</v>
      </c>
      <c r="C1018">
        <v>8168</v>
      </c>
      <c r="D1018" t="s">
        <v>129</v>
      </c>
      <c r="E1018" t="s">
        <v>53</v>
      </c>
      <c r="F1018" t="s">
        <v>53</v>
      </c>
      <c r="G1018">
        <v>4</v>
      </c>
      <c r="H1018" t="s">
        <v>54</v>
      </c>
      <c r="I1018">
        <v>133500</v>
      </c>
      <c r="J1018">
        <v>39100</v>
      </c>
      <c r="K1018">
        <v>0.19</v>
      </c>
      <c r="L101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18">
        <v>0</v>
      </c>
      <c r="N1018">
        <v>0</v>
      </c>
      <c r="O1018">
        <v>0</v>
      </c>
      <c r="P1018">
        <v>13398.7528</v>
      </c>
      <c r="Q1018">
        <v>63903</v>
      </c>
      <c r="R1018">
        <f>(Grandview_Inventory[[#This Row],[ln_acres]]*Grandview_Inventory[[#This Row],[coeff]])+Grandview_Inventory[[#This Row],[const]]</f>
        <v>41651.273092551026</v>
      </c>
      <c r="S1018" t="s">
        <v>61</v>
      </c>
      <c r="T1018">
        <v>1</v>
      </c>
      <c r="U1018" t="s">
        <v>65</v>
      </c>
      <c r="V1018" t="s">
        <v>69</v>
      </c>
      <c r="W1018">
        <v>0</v>
      </c>
      <c r="X1018">
        <v>0</v>
      </c>
      <c r="Y1018">
        <v>49</v>
      </c>
      <c r="Z1018">
        <v>68</v>
      </c>
      <c r="AA1018">
        <v>70</v>
      </c>
      <c r="AB1018">
        <v>1000</v>
      </c>
      <c r="AC1018">
        <v>967</v>
      </c>
      <c r="AD1018">
        <v>967</v>
      </c>
      <c r="AE1018">
        <v>0</v>
      </c>
      <c r="AF1018">
        <v>0</v>
      </c>
      <c r="AG1018">
        <v>0</v>
      </c>
      <c r="AH1018">
        <v>0</v>
      </c>
      <c r="AI1018">
        <v>240</v>
      </c>
      <c r="AJ1018">
        <v>0</v>
      </c>
      <c r="AK1018">
        <v>0</v>
      </c>
      <c r="AL1018">
        <v>0</v>
      </c>
      <c r="AM1018">
        <v>420</v>
      </c>
      <c r="AN1018">
        <v>0</v>
      </c>
      <c r="AO1018">
        <v>0</v>
      </c>
      <c r="AP1018">
        <v>5</v>
      </c>
      <c r="AQ1018">
        <v>0</v>
      </c>
      <c r="AR1018">
        <v>1</v>
      </c>
      <c r="AS1018" t="s">
        <v>58</v>
      </c>
      <c r="AT1018">
        <v>1</v>
      </c>
      <c r="AU1018" t="s">
        <v>63</v>
      </c>
      <c r="AV1018" t="s">
        <v>64</v>
      </c>
      <c r="AW1018">
        <v>0</v>
      </c>
      <c r="AX1018">
        <v>2</v>
      </c>
      <c r="AY1018">
        <v>0</v>
      </c>
      <c r="AZ1018">
        <v>0</v>
      </c>
      <c r="BA1018">
        <v>100</v>
      </c>
      <c r="BB1018">
        <v>100</v>
      </c>
      <c r="BC1018">
        <v>100</v>
      </c>
      <c r="BD1018">
        <v>100</v>
      </c>
      <c r="BE1018">
        <v>1</v>
      </c>
      <c r="BF1018">
        <v>15000</v>
      </c>
      <c r="BG1018">
        <v>1000</v>
      </c>
      <c r="BH1018" s="6">
        <f>Grandview_Inventory[[#This Row],[land_extract]]*Lookups!$B$3</f>
        <v>48369.510983942157</v>
      </c>
      <c r="BI1018" s="6">
        <f>IF(Grandview_Inventory[[#This Row],[bldg_style]]="",0,Lookups!$B$2)</f>
        <v>155833.95000000001</v>
      </c>
      <c r="BJ1018" s="6">
        <f>_xlfn.IFNA(VLOOKUP(Grandview_Inventory[[#This Row],[quality]],Lookups!$H$2:$J$14,3,FALSE),0)</f>
        <v>2251</v>
      </c>
      <c r="BK1018" s="6">
        <f>_xlfn.IFNA(VLOOKUP(Grandview_Inventory[[#This Row],[condition]],Lookups!$H$17:$J$24,3,FALSE),0)</f>
        <v>-4503</v>
      </c>
      <c r="BL1018" s="6">
        <f>Grandview_Inventory[[#This Row],[Eff_Age]]*Lookups!$B$14</f>
        <v>-11719.163399999999</v>
      </c>
      <c r="BM1018" s="6">
        <f>Grandview_Inventory[[#This Row],[living_area]]*Lookups!$B$15</f>
        <v>60322.284851000004</v>
      </c>
      <c r="BN1018" s="6">
        <f>Grandview_Inventory[[#This Row],[Fin BSMT]]*Lookups!$B$16</f>
        <v>0</v>
      </c>
      <c r="BO1018" s="6">
        <f>(Grandview_Inventory[[#This Row],[att_gar]]+Grandview_Inventory[[#This Row],[bltin_gar]])*Lookups!$B$17</f>
        <v>21004.904880000002</v>
      </c>
      <c r="BP1018" s="6">
        <f>Grandview_Inventory[[#This Row],[Plumbing Fixtures]]*Lookups!$B$18</f>
        <v>10052.209000000001</v>
      </c>
      <c r="BQ1018" s="6">
        <f>Grandview_Inventory[[#This Row],[detatched_value]]*Lookups!$B$19</f>
        <v>0</v>
      </c>
      <c r="BR1018" s="6">
        <f>SUM(Grandview_Inventory[[#This Row],[Intercept]:[det_value]])*Grandview_Inventory[[#This Row],[res_pct]]</f>
        <v>233242.18533100004</v>
      </c>
      <c r="BS1018" s="6">
        <f>Grandview_Inventory[[#This Row],[land_value]]</f>
        <v>48369.510983942157</v>
      </c>
      <c r="BT1018" s="4">
        <f>_xlfn.IFNA(VLOOKUP(Grandview_Inventory[[#This Row],[quality]],Lookups!$A$26:$C$33,3,FALSE),1)</f>
        <v>0.98763855981004833</v>
      </c>
      <c r="BU1018" s="4">
        <f>_xlfn.IFNA(VLOOKUP(Grandview_Inventory[[#This Row],[condition]],Lookups!$A$37:$C$44,3,FALSE),1)</f>
        <v>0.96469275950863709</v>
      </c>
      <c r="BV1018" s="4">
        <f>IF(Grandview_Inventory[[#This Row],[bldg_style]]="",1,_xlfn.IFNA(VLOOKUP(Grandview_Inventory[[#This Row],[decade]],Lookups!$F$29:$H$43,3,FALSE),1))</f>
        <v>0.99472141305414818</v>
      </c>
      <c r="BW1018" s="4">
        <f>_xlfn.IFNA(VLOOKUP(Grandview_Inventory[[#This Row],[living_area_range]],Lookups!$F$47:$H$56,3,FALSE),1)</f>
        <v>0.94306777142782894</v>
      </c>
      <c r="BX1018" s="4">
        <f>AVERAGE(Grandview_Inventory[[#This Row],[qual_adj]:[size_adj]])</f>
        <v>0.97253012595016564</v>
      </c>
      <c r="BY1018" s="6">
        <f>IF(Grandview_Inventory[[#This Row],[pre_res]]&lt;0,0,Grandview_Inventory[[#This Row],[pre_res]]*Grandview_Inventory[[#This Row],[overall_adj]])</f>
        <v>226835.05187684935</v>
      </c>
      <c r="BZ1018" s="6">
        <f>(Grandview_Inventory[[#This Row],[sum_land]]-IF(Grandview_Inventory[[#This Row],[no_utilities]]=1,12000,0))/IF(Grandview_Inventory[[#This Row],[unbuildable]]=1,2,1)</f>
        <v>48369.510983942157</v>
      </c>
      <c r="CA101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18">
        <f>ROUND(Grandview_Inventory[[#This Row],[det_value]]*Lookups!$M$28,-2)</f>
        <v>0</v>
      </c>
      <c r="CC1018">
        <f>IF(ROUND(Grandview_Inventory[[#This Row],[adj_res]]*Lookups!$M$28,-2)&lt;Grandview_Inventory[[#This Row],[min_res]],Grandview_Inventory[[#This Row],[min_res]],ROUND(Grandview_Inventory[[#This Row],[adj_res]]*Lookups!$M$28,-2))</f>
        <v>215500</v>
      </c>
      <c r="CD1018">
        <f>Grandview_Inventory[[#This Row],[final_det]]+Grandview_Inventory[[#This Row],[final_res]]</f>
        <v>215500</v>
      </c>
      <c r="CE1018">
        <f>Grandview_Inventory[[#This Row],[final_land]]+Grandview_Inventory[[#This Row],[final_imp]]+Grandview_Inventory[[#This Row],[crop_value]]</f>
        <v>261500</v>
      </c>
      <c r="CG1018" t="str">
        <f t="shared" si="15"/>
        <v>update valuation set market_land =46000, market_bldg=215500, market_total =261500, market_mdno =401, market_date ='9/10/2023' where link_id = (select link_id from parcel where parcel_year = '2024' and parcel_id = '23092241553');</v>
      </c>
    </row>
    <row r="1019" spans="1:85" x14ac:dyDescent="0.25">
      <c r="A1019">
        <v>23092241556</v>
      </c>
      <c r="B1019">
        <v>0.28999999999999998</v>
      </c>
      <c r="C1019">
        <v>12737</v>
      </c>
      <c r="D1019" t="s">
        <v>129</v>
      </c>
      <c r="E1019" t="s">
        <v>53</v>
      </c>
      <c r="F1019" t="s">
        <v>53</v>
      </c>
      <c r="G1019">
        <v>4</v>
      </c>
      <c r="H1019" t="s">
        <v>54</v>
      </c>
      <c r="I1019">
        <v>299100</v>
      </c>
      <c r="J1019">
        <v>45100</v>
      </c>
      <c r="K1019">
        <v>0.28999999999999998</v>
      </c>
      <c r="L1019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019">
        <v>0</v>
      </c>
      <c r="N1019">
        <v>0</v>
      </c>
      <c r="O1019">
        <v>0</v>
      </c>
      <c r="P1019">
        <v>13398.7528</v>
      </c>
      <c r="Q1019">
        <v>63903</v>
      </c>
      <c r="R1019">
        <f>(Grandview_Inventory[[#This Row],[ln_acres]]*Grandview_Inventory[[#This Row],[coeff]])+Grandview_Inventory[[#This Row],[const]]</f>
        <v>47317.027506475133</v>
      </c>
      <c r="S1019" t="s">
        <v>61</v>
      </c>
      <c r="T1019">
        <v>1</v>
      </c>
      <c r="U1019" t="s">
        <v>62</v>
      </c>
      <c r="V1019" t="s">
        <v>67</v>
      </c>
      <c r="W1019">
        <v>0</v>
      </c>
      <c r="X1019">
        <v>0</v>
      </c>
      <c r="Y1019">
        <v>50</v>
      </c>
      <c r="Z1019">
        <v>73</v>
      </c>
      <c r="AA1019">
        <v>80</v>
      </c>
      <c r="AB1019">
        <v>2500</v>
      </c>
      <c r="AC1019">
        <v>2048</v>
      </c>
      <c r="AD1019">
        <v>2048</v>
      </c>
      <c r="AE1019">
        <v>0</v>
      </c>
      <c r="AF1019">
        <v>0</v>
      </c>
      <c r="AG1019">
        <v>0</v>
      </c>
      <c r="AH1019">
        <v>0</v>
      </c>
      <c r="AI1019">
        <v>322</v>
      </c>
      <c r="AJ1019">
        <v>0</v>
      </c>
      <c r="AK1019">
        <v>0</v>
      </c>
      <c r="AL1019">
        <v>0</v>
      </c>
      <c r="AM1019">
        <v>308</v>
      </c>
      <c r="AN1019">
        <v>65</v>
      </c>
      <c r="AO1019">
        <v>308</v>
      </c>
      <c r="AP1019">
        <v>8</v>
      </c>
      <c r="AQ1019">
        <v>1</v>
      </c>
      <c r="AR1019">
        <v>1</v>
      </c>
      <c r="AS1019" t="s">
        <v>71</v>
      </c>
      <c r="AT1019">
        <v>1</v>
      </c>
      <c r="AU1019" t="s">
        <v>63</v>
      </c>
      <c r="AV1019" t="s">
        <v>81</v>
      </c>
      <c r="AW1019">
        <v>1</v>
      </c>
      <c r="AX1019">
        <v>3</v>
      </c>
      <c r="AY1019">
        <v>0</v>
      </c>
      <c r="AZ1019">
        <v>24300</v>
      </c>
      <c r="BA1019">
        <v>100</v>
      </c>
      <c r="BB1019">
        <v>100</v>
      </c>
      <c r="BC1019">
        <v>100</v>
      </c>
      <c r="BD1019">
        <v>100</v>
      </c>
      <c r="BE1019">
        <v>1</v>
      </c>
      <c r="BF1019">
        <v>15000</v>
      </c>
      <c r="BG1019">
        <v>1000</v>
      </c>
      <c r="BH1019" s="6">
        <f>Grandview_Inventory[[#This Row],[land_extract]]*Lookups!$B$3</f>
        <v>54949.136287295303</v>
      </c>
      <c r="BI1019" s="6">
        <f>IF(Grandview_Inventory[[#This Row],[bldg_style]]="",0,Lookups!$B$2)</f>
        <v>155833.95000000001</v>
      </c>
      <c r="BJ1019" s="6">
        <f>_xlfn.IFNA(VLOOKUP(Grandview_Inventory[[#This Row],[quality]],Lookups!$H$2:$J$14,3,FALSE),0)</f>
        <v>9808</v>
      </c>
      <c r="BK1019" s="6">
        <f>_xlfn.IFNA(VLOOKUP(Grandview_Inventory[[#This Row],[condition]],Lookups!$H$17:$J$24,3,FALSE),0)</f>
        <v>22342</v>
      </c>
      <c r="BL1019" s="6">
        <f>Grandview_Inventory[[#This Row],[Eff_Age]]*Lookups!$B$14</f>
        <v>-11958.33</v>
      </c>
      <c r="BM1019" s="6">
        <f>Grandview_Inventory[[#This Row],[living_area]]*Lookups!$B$15</f>
        <v>127755.986944</v>
      </c>
      <c r="BN1019" s="6">
        <f>Grandview_Inventory[[#This Row],[Fin BSMT]]*Lookups!$B$16</f>
        <v>0</v>
      </c>
      <c r="BO1019" s="6">
        <f>(Grandview_Inventory[[#This Row],[att_gar]]+Grandview_Inventory[[#This Row],[bltin_gar]])*Lookups!$B$17</f>
        <v>28181.580714</v>
      </c>
      <c r="BP1019" s="6">
        <f>Grandview_Inventory[[#This Row],[Plumbing Fixtures]]*Lookups!$B$18</f>
        <v>16083.5344</v>
      </c>
      <c r="BQ1019" s="6">
        <f>Grandview_Inventory[[#This Row],[detatched_value]]*Lookups!$B$19</f>
        <v>20577.36393</v>
      </c>
      <c r="BR1019" s="6">
        <f>SUM(Grandview_Inventory[[#This Row],[Intercept]:[det_value]])*Grandview_Inventory[[#This Row],[res_pct]]</f>
        <v>368624.08598799998</v>
      </c>
      <c r="BS1019" s="6">
        <f>Grandview_Inventory[[#This Row],[land_value]]</f>
        <v>54949.136287295303</v>
      </c>
      <c r="BT1019" s="4">
        <f>_xlfn.IFNA(VLOOKUP(Grandview_Inventory[[#This Row],[quality]],Lookups!$A$26:$C$33,3,FALSE),1)</f>
        <v>0.94295468617355149</v>
      </c>
      <c r="BU1019" s="4">
        <f>_xlfn.IFNA(VLOOKUP(Grandview_Inventory[[#This Row],[condition]],Lookups!$A$37:$C$44,3,FALSE),1)</f>
        <v>0.97383723671140243</v>
      </c>
      <c r="BV1019" s="4">
        <f>IF(Grandview_Inventory[[#This Row],[bldg_style]]="",1,_xlfn.IFNA(VLOOKUP(Grandview_Inventory[[#This Row],[decade]],Lookups!$F$29:$H$43,3,FALSE),1))</f>
        <v>0.98763256963907298</v>
      </c>
      <c r="BW1019" s="4">
        <f>_xlfn.IFNA(VLOOKUP(Grandview_Inventory[[#This Row],[living_area_range]],Lookups!$F$47:$H$56,3,FALSE),1)</f>
        <v>0.95799442568048754</v>
      </c>
      <c r="BX1019" s="4">
        <f>AVERAGE(Grandview_Inventory[[#This Row],[qual_adj]:[size_adj]])</f>
        <v>0.96560472955112864</v>
      </c>
      <c r="BY1019" s="6">
        <f>IF(Grandview_Inventory[[#This Row],[pre_res]]&lt;0,0,Grandview_Inventory[[#This Row],[pre_res]]*Grandview_Inventory[[#This Row],[overall_adj]])</f>
        <v>355945.16085647471</v>
      </c>
      <c r="BZ1019" s="6">
        <f>(Grandview_Inventory[[#This Row],[sum_land]]-IF(Grandview_Inventory[[#This Row],[no_utilities]]=1,12000,0))/IF(Grandview_Inventory[[#This Row],[unbuildable]]=1,2,1)</f>
        <v>54949.136287295303</v>
      </c>
      <c r="CA1019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019">
        <f>ROUND(Grandview_Inventory[[#This Row],[det_value]]*Lookups!$M$28,-2)</f>
        <v>19500</v>
      </c>
      <c r="CC1019">
        <f>IF(ROUND(Grandview_Inventory[[#This Row],[adj_res]]*Lookups!$M$28,-2)&lt;Grandview_Inventory[[#This Row],[min_res]],Grandview_Inventory[[#This Row],[min_res]],ROUND(Grandview_Inventory[[#This Row],[adj_res]]*Lookups!$M$28,-2))</f>
        <v>338100</v>
      </c>
      <c r="CD1019">
        <f>Grandview_Inventory[[#This Row],[final_det]]+Grandview_Inventory[[#This Row],[final_res]]</f>
        <v>357600</v>
      </c>
      <c r="CE1019">
        <f>Grandview_Inventory[[#This Row],[final_land]]+Grandview_Inventory[[#This Row],[final_imp]]+Grandview_Inventory[[#This Row],[crop_value]]</f>
        <v>409800</v>
      </c>
      <c r="CG1019" t="str">
        <f t="shared" si="15"/>
        <v>update valuation set market_land =52200, market_bldg=357600, market_total =409800, market_mdno =401, market_date ='9/10/2023' where link_id = (select link_id from parcel where parcel_year = '2024' and parcel_id = '23092241556');</v>
      </c>
    </row>
    <row r="1020" spans="1:85" x14ac:dyDescent="0.25">
      <c r="A1020">
        <v>23092241557</v>
      </c>
      <c r="B1020">
        <v>0.25</v>
      </c>
      <c r="C1020">
        <v>10709</v>
      </c>
      <c r="D1020" t="s">
        <v>129</v>
      </c>
      <c r="E1020" t="s">
        <v>53</v>
      </c>
      <c r="F1020" t="s">
        <v>53</v>
      </c>
      <c r="G1020">
        <v>4</v>
      </c>
      <c r="H1020" t="s">
        <v>54</v>
      </c>
      <c r="I1020">
        <v>162300</v>
      </c>
      <c r="J1020">
        <v>40000</v>
      </c>
      <c r="K1020">
        <v>0.25</v>
      </c>
      <c r="L1020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020">
        <v>0</v>
      </c>
      <c r="N1020">
        <v>0</v>
      </c>
      <c r="O1020">
        <v>0</v>
      </c>
      <c r="P1020">
        <v>13398.7528</v>
      </c>
      <c r="Q1020">
        <v>63903</v>
      </c>
      <c r="R1020">
        <f>(Grandview_Inventory[[#This Row],[ln_acres]]*Grandview_Inventory[[#This Row],[coeff]])+Grandview_Inventory[[#This Row],[const]]</f>
        <v>45328.38454732066</v>
      </c>
      <c r="S1020" t="s">
        <v>68</v>
      </c>
      <c r="T1020">
        <v>1</v>
      </c>
      <c r="U1020" t="s">
        <v>70</v>
      </c>
      <c r="V1020" t="s">
        <v>69</v>
      </c>
      <c r="W1020">
        <v>0</v>
      </c>
      <c r="X1020">
        <v>0</v>
      </c>
      <c r="Y1020">
        <v>50</v>
      </c>
      <c r="Z1020">
        <v>71</v>
      </c>
      <c r="AA1020">
        <v>80</v>
      </c>
      <c r="AB1020">
        <v>2500</v>
      </c>
      <c r="AC1020">
        <v>2068</v>
      </c>
      <c r="AD1020">
        <v>1144</v>
      </c>
      <c r="AE1020">
        <v>0</v>
      </c>
      <c r="AF1020">
        <v>0</v>
      </c>
      <c r="AG1020">
        <v>924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300</v>
      </c>
      <c r="AN1020">
        <v>0</v>
      </c>
      <c r="AO1020">
        <v>300</v>
      </c>
      <c r="AP1020">
        <v>8</v>
      </c>
      <c r="AQ1020">
        <v>0</v>
      </c>
      <c r="AR1020">
        <v>0</v>
      </c>
      <c r="AS1020" t="s">
        <v>58</v>
      </c>
      <c r="AT1020">
        <v>1</v>
      </c>
      <c r="AU1020" t="s">
        <v>59</v>
      </c>
      <c r="AV1020" t="s">
        <v>60</v>
      </c>
      <c r="AW1020">
        <v>1</v>
      </c>
      <c r="AX1020">
        <v>3</v>
      </c>
      <c r="AY1020">
        <v>0</v>
      </c>
      <c r="AZ1020">
        <v>0</v>
      </c>
      <c r="BA1020">
        <v>100</v>
      </c>
      <c r="BB1020">
        <v>100</v>
      </c>
      <c r="BC1020">
        <v>100</v>
      </c>
      <c r="BD1020">
        <v>100</v>
      </c>
      <c r="BE1020">
        <v>1</v>
      </c>
      <c r="BF1020">
        <v>15000</v>
      </c>
      <c r="BG1020">
        <v>1000</v>
      </c>
      <c r="BH1020" s="6">
        <f>Grandview_Inventory[[#This Row],[land_extract]]*Lookups!$B$3</f>
        <v>52639.730588165206</v>
      </c>
      <c r="BI1020" s="6">
        <f>IF(Grandview_Inventory[[#This Row],[bldg_style]]="",0,Lookups!$B$2)</f>
        <v>155833.95000000001</v>
      </c>
      <c r="BJ1020" s="6">
        <f>_xlfn.IFNA(VLOOKUP(Grandview_Inventory[[#This Row],[quality]],Lookups!$H$2:$J$14,3,FALSE),0)</f>
        <v>10733</v>
      </c>
      <c r="BK1020" s="6">
        <f>_xlfn.IFNA(VLOOKUP(Grandview_Inventory[[#This Row],[condition]],Lookups!$H$17:$J$24,3,FALSE),0)</f>
        <v>-4503</v>
      </c>
      <c r="BL1020" s="6">
        <f>Grandview_Inventory[[#This Row],[Eff_Age]]*Lookups!$B$14</f>
        <v>-11958.33</v>
      </c>
      <c r="BM1020" s="6">
        <f>Grandview_Inventory[[#This Row],[living_area]]*Lookups!$B$15</f>
        <v>129003.60400400001</v>
      </c>
      <c r="BN1020" s="6">
        <f>Grandview_Inventory[[#This Row],[Fin BSMT]]*Lookups!$B$16</f>
        <v>-25039.697760000003</v>
      </c>
      <c r="BO1020" s="6">
        <f>(Grandview_Inventory[[#This Row],[att_gar]]+Grandview_Inventory[[#This Row],[bltin_gar]])*Lookups!$B$17</f>
        <v>0</v>
      </c>
      <c r="BP1020" s="6">
        <f>Grandview_Inventory[[#This Row],[Plumbing Fixtures]]*Lookups!$B$18</f>
        <v>16083.5344</v>
      </c>
      <c r="BQ1020" s="6">
        <f>Grandview_Inventory[[#This Row],[detatched_value]]*Lookups!$B$19</f>
        <v>0</v>
      </c>
      <c r="BR1020" s="6">
        <f>SUM(Grandview_Inventory[[#This Row],[Intercept]:[det_value]])*Grandview_Inventory[[#This Row],[res_pct]]</f>
        <v>270153.06064400001</v>
      </c>
      <c r="BS1020" s="6">
        <f>Grandview_Inventory[[#This Row],[land_value]]</f>
        <v>52639.730588165206</v>
      </c>
      <c r="BT1020" s="4">
        <f>_xlfn.IFNA(VLOOKUP(Grandview_Inventory[[#This Row],[quality]],Lookups!$A$26:$C$33,3,FALSE),1)</f>
        <v>0.98079741117310582</v>
      </c>
      <c r="BU1020" s="4">
        <f>_xlfn.IFNA(VLOOKUP(Grandview_Inventory[[#This Row],[condition]],Lookups!$A$37:$C$44,3,FALSE),1)</f>
        <v>0.96469275950863709</v>
      </c>
      <c r="BV1020" s="4">
        <f>IF(Grandview_Inventory[[#This Row],[bldg_style]]="",1,_xlfn.IFNA(VLOOKUP(Grandview_Inventory[[#This Row],[decade]],Lookups!$F$29:$H$43,3,FALSE),1))</f>
        <v>0.98763256963907298</v>
      </c>
      <c r="BW1020" s="4">
        <f>_xlfn.IFNA(VLOOKUP(Grandview_Inventory[[#This Row],[living_area_range]],Lookups!$F$47:$H$56,3,FALSE),1)</f>
        <v>0.95799442568048754</v>
      </c>
      <c r="BX1020" s="4">
        <f>AVERAGE(Grandview_Inventory[[#This Row],[qual_adj]:[size_adj]])</f>
        <v>0.97277929150032583</v>
      </c>
      <c r="BY1020" s="6">
        <f>IF(Grandview_Inventory[[#This Row],[pre_res]]&lt;0,0,Grandview_Inventory[[#This Row],[pre_res]]*Grandview_Inventory[[#This Row],[overall_adj]])</f>
        <v>262799.30292991491</v>
      </c>
      <c r="BZ1020" s="6">
        <f>(Grandview_Inventory[[#This Row],[sum_land]]-IF(Grandview_Inventory[[#This Row],[no_utilities]]=1,12000,0))/IF(Grandview_Inventory[[#This Row],[unbuildable]]=1,2,1)</f>
        <v>52639.730588165206</v>
      </c>
      <c r="CA1020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020">
        <f>ROUND(Grandview_Inventory[[#This Row],[det_value]]*Lookups!$M$28,-2)</f>
        <v>0</v>
      </c>
      <c r="CC1020">
        <f>IF(ROUND(Grandview_Inventory[[#This Row],[adj_res]]*Lookups!$M$28,-2)&lt;Grandview_Inventory[[#This Row],[min_res]],Grandview_Inventory[[#This Row],[min_res]],ROUND(Grandview_Inventory[[#This Row],[adj_res]]*Lookups!$M$28,-2))</f>
        <v>249700</v>
      </c>
      <c r="CD1020">
        <f>Grandview_Inventory[[#This Row],[final_det]]+Grandview_Inventory[[#This Row],[final_res]]</f>
        <v>249700</v>
      </c>
      <c r="CE1020">
        <f>Grandview_Inventory[[#This Row],[final_land]]+Grandview_Inventory[[#This Row],[final_imp]]+Grandview_Inventory[[#This Row],[crop_value]]</f>
        <v>299700</v>
      </c>
      <c r="CG1020" t="str">
        <f t="shared" si="15"/>
        <v>update valuation set market_land =50000, market_bldg=249700, market_total =299700, market_mdno =401, market_date ='9/10/2023' where link_id = (select link_id from parcel where parcel_year = '2024' and parcel_id = '23092241557');</v>
      </c>
    </row>
    <row r="1021" spans="1:85" x14ac:dyDescent="0.25">
      <c r="A1021">
        <v>23092241558</v>
      </c>
      <c r="B1021">
        <v>0.24</v>
      </c>
      <c r="C1021">
        <v>10344</v>
      </c>
      <c r="D1021" t="s">
        <v>129</v>
      </c>
      <c r="E1021" t="s">
        <v>53</v>
      </c>
      <c r="F1021" t="s">
        <v>53</v>
      </c>
      <c r="G1021">
        <v>4</v>
      </c>
      <c r="H1021" t="s">
        <v>54</v>
      </c>
      <c r="I1021">
        <v>163500</v>
      </c>
      <c r="J1021">
        <v>44200</v>
      </c>
      <c r="K1021">
        <v>0.24</v>
      </c>
      <c r="L102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21">
        <v>0</v>
      </c>
      <c r="N1021">
        <v>0</v>
      </c>
      <c r="O1021">
        <v>0</v>
      </c>
      <c r="P1021">
        <v>13398.7528</v>
      </c>
      <c r="Q1021">
        <v>63903</v>
      </c>
      <c r="R1021">
        <f>(Grandview_Inventory[[#This Row],[ln_acres]]*Grandview_Inventory[[#This Row],[coeff]])+Grandview_Inventory[[#This Row],[const]]</f>
        <v>44781.420733940802</v>
      </c>
      <c r="S1021" t="s">
        <v>68</v>
      </c>
      <c r="T1021">
        <v>1</v>
      </c>
      <c r="U1021" t="s">
        <v>65</v>
      </c>
      <c r="V1021" t="s">
        <v>69</v>
      </c>
      <c r="W1021">
        <v>0</v>
      </c>
      <c r="X1021">
        <v>0</v>
      </c>
      <c r="Y1021">
        <v>50</v>
      </c>
      <c r="Z1021">
        <v>73</v>
      </c>
      <c r="AA1021">
        <v>80</v>
      </c>
      <c r="AB1021">
        <v>2000</v>
      </c>
      <c r="AC1021">
        <v>1936</v>
      </c>
      <c r="AD1021">
        <v>1936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360</v>
      </c>
      <c r="AM1021">
        <v>0</v>
      </c>
      <c r="AN1021">
        <v>0</v>
      </c>
      <c r="AO1021">
        <v>0</v>
      </c>
      <c r="AP1021">
        <v>8</v>
      </c>
      <c r="AQ1021">
        <v>0</v>
      </c>
      <c r="AR1021">
        <v>0</v>
      </c>
      <c r="AS1021" t="s">
        <v>58</v>
      </c>
      <c r="AT1021">
        <v>1</v>
      </c>
      <c r="AU1021" t="s">
        <v>75</v>
      </c>
      <c r="AV1021" t="s">
        <v>60</v>
      </c>
      <c r="AW1021">
        <v>0</v>
      </c>
      <c r="AX1021">
        <v>5</v>
      </c>
      <c r="AY1021">
        <v>0</v>
      </c>
      <c r="AZ1021">
        <v>0</v>
      </c>
      <c r="BA1021">
        <v>100</v>
      </c>
      <c r="BB1021">
        <v>100</v>
      </c>
      <c r="BC1021">
        <v>100</v>
      </c>
      <c r="BD1021">
        <v>100</v>
      </c>
      <c r="BE1021">
        <v>1</v>
      </c>
      <c r="BF1021">
        <v>15000</v>
      </c>
      <c r="BG1021">
        <v>1000</v>
      </c>
      <c r="BH1021" s="6">
        <f>Grandview_Inventory[[#This Row],[land_extract]]*Lookups!$B$3</f>
        <v>52004.542988489469</v>
      </c>
      <c r="BI1021" s="6">
        <f>IF(Grandview_Inventory[[#This Row],[bldg_style]]="",0,Lookups!$B$2)</f>
        <v>155833.95000000001</v>
      </c>
      <c r="BJ1021" s="6">
        <f>_xlfn.IFNA(VLOOKUP(Grandview_Inventory[[#This Row],[quality]],Lookups!$H$2:$J$14,3,FALSE),0)</f>
        <v>2251</v>
      </c>
      <c r="BK1021" s="6">
        <f>_xlfn.IFNA(VLOOKUP(Grandview_Inventory[[#This Row],[condition]],Lookups!$H$17:$J$24,3,FALSE),0)</f>
        <v>-4503</v>
      </c>
      <c r="BL1021" s="6">
        <f>Grandview_Inventory[[#This Row],[Eff_Age]]*Lookups!$B$14</f>
        <v>-11958.33</v>
      </c>
      <c r="BM1021" s="6">
        <f>Grandview_Inventory[[#This Row],[living_area]]*Lookups!$B$15</f>
        <v>120769.331408</v>
      </c>
      <c r="BN1021" s="6">
        <f>Grandview_Inventory[[#This Row],[Fin BSMT]]*Lookups!$B$16</f>
        <v>0</v>
      </c>
      <c r="BO1021" s="6">
        <f>(Grandview_Inventory[[#This Row],[att_gar]]+Grandview_Inventory[[#This Row],[bltin_gar]])*Lookups!$B$17</f>
        <v>0</v>
      </c>
      <c r="BP1021" s="6">
        <f>Grandview_Inventory[[#This Row],[Plumbing Fixtures]]*Lookups!$B$18</f>
        <v>16083.5344</v>
      </c>
      <c r="BQ1021" s="6">
        <f>Grandview_Inventory[[#This Row],[detatched_value]]*Lookups!$B$19</f>
        <v>0</v>
      </c>
      <c r="BR1021" s="6">
        <f>SUM(Grandview_Inventory[[#This Row],[Intercept]:[det_value]])*Grandview_Inventory[[#This Row],[res_pct]]</f>
        <v>278476.48580800003</v>
      </c>
      <c r="BS1021" s="6">
        <f>Grandview_Inventory[[#This Row],[land_value]]</f>
        <v>52004.542988489469</v>
      </c>
      <c r="BT1021" s="4">
        <f>_xlfn.IFNA(VLOOKUP(Grandview_Inventory[[#This Row],[quality]],Lookups!$A$26:$C$33,3,FALSE),1)</f>
        <v>0.98763855981004833</v>
      </c>
      <c r="BU1021" s="4">
        <f>_xlfn.IFNA(VLOOKUP(Grandview_Inventory[[#This Row],[condition]],Lookups!$A$37:$C$44,3,FALSE),1)</f>
        <v>0.96469275950863709</v>
      </c>
      <c r="BV1021" s="4">
        <f>IF(Grandview_Inventory[[#This Row],[bldg_style]]="",1,_xlfn.IFNA(VLOOKUP(Grandview_Inventory[[#This Row],[decade]],Lookups!$F$29:$H$43,3,FALSE),1))</f>
        <v>0.98763256963907298</v>
      </c>
      <c r="BW1021" s="4">
        <f>_xlfn.IFNA(VLOOKUP(Grandview_Inventory[[#This Row],[living_area_range]],Lookups!$F$47:$H$56,3,FALSE),1)</f>
        <v>0.96120133463014379</v>
      </c>
      <c r="BX1021" s="4">
        <f>AVERAGE(Grandview_Inventory[[#This Row],[qual_adj]:[size_adj]])</f>
        <v>0.97529130589697544</v>
      </c>
      <c r="BY1021" s="6">
        <f>IF(Grandview_Inventory[[#This Row],[pre_res]]&lt;0,0,Grandview_Inventory[[#This Row],[pre_res]]*Grandview_Inventory[[#This Row],[overall_adj]])</f>
        <v>271595.69550528488</v>
      </c>
      <c r="BZ1021" s="6">
        <f>(Grandview_Inventory[[#This Row],[sum_land]]-IF(Grandview_Inventory[[#This Row],[no_utilities]]=1,12000,0))/IF(Grandview_Inventory[[#This Row],[unbuildable]]=1,2,1)</f>
        <v>52004.542988489469</v>
      </c>
      <c r="CA102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21">
        <f>ROUND(Grandview_Inventory[[#This Row],[det_value]]*Lookups!$M$28,-2)</f>
        <v>0</v>
      </c>
      <c r="CC1021">
        <f>IF(ROUND(Grandview_Inventory[[#This Row],[adj_res]]*Lookups!$M$28,-2)&lt;Grandview_Inventory[[#This Row],[min_res]],Grandview_Inventory[[#This Row],[min_res]],ROUND(Grandview_Inventory[[#This Row],[adj_res]]*Lookups!$M$28,-2))</f>
        <v>258000</v>
      </c>
      <c r="CD1021">
        <f>Grandview_Inventory[[#This Row],[final_det]]+Grandview_Inventory[[#This Row],[final_res]]</f>
        <v>258000</v>
      </c>
      <c r="CE1021">
        <f>Grandview_Inventory[[#This Row],[final_land]]+Grandview_Inventory[[#This Row],[final_imp]]+Grandview_Inventory[[#This Row],[crop_value]]</f>
        <v>307400</v>
      </c>
      <c r="CG1021" t="str">
        <f t="shared" si="15"/>
        <v>update valuation set market_land =49400, market_bldg=258000, market_total =307400, market_mdno =401, market_date ='9/10/2023' where link_id = (select link_id from parcel where parcel_year = '2024' and parcel_id = '23092241558');</v>
      </c>
    </row>
    <row r="1022" spans="1:85" x14ac:dyDescent="0.25">
      <c r="A1022">
        <v>23092241559</v>
      </c>
      <c r="B1022">
        <v>0.22</v>
      </c>
      <c r="C1022">
        <v>9682</v>
      </c>
      <c r="D1022" t="s">
        <v>129</v>
      </c>
      <c r="E1022" t="s">
        <v>53</v>
      </c>
      <c r="F1022" t="s">
        <v>53</v>
      </c>
      <c r="G1022">
        <v>4</v>
      </c>
      <c r="H1022" t="s">
        <v>54</v>
      </c>
      <c r="I1022">
        <v>165400</v>
      </c>
      <c r="J1022">
        <v>43800</v>
      </c>
      <c r="K1022">
        <v>0.22</v>
      </c>
      <c r="L102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022">
        <v>0</v>
      </c>
      <c r="N1022">
        <v>0</v>
      </c>
      <c r="O1022">
        <v>0</v>
      </c>
      <c r="P1022">
        <v>13398.7528</v>
      </c>
      <c r="Q1022">
        <v>63903</v>
      </c>
      <c r="R1022">
        <f>(Grandview_Inventory[[#This Row],[ln_acres]]*Grandview_Inventory[[#This Row],[coeff]])+Grandview_Inventory[[#This Row],[const]]</f>
        <v>43615.576802869145</v>
      </c>
      <c r="S1022" t="s">
        <v>68</v>
      </c>
      <c r="T1022">
        <v>1</v>
      </c>
      <c r="U1022" t="s">
        <v>65</v>
      </c>
      <c r="V1022" t="s">
        <v>67</v>
      </c>
      <c r="W1022">
        <v>0</v>
      </c>
      <c r="X1022">
        <v>0</v>
      </c>
      <c r="Y1022">
        <v>49</v>
      </c>
      <c r="Z1022">
        <v>68</v>
      </c>
      <c r="AA1022">
        <v>70</v>
      </c>
      <c r="AB1022">
        <v>1500</v>
      </c>
      <c r="AC1022">
        <v>1347</v>
      </c>
      <c r="AD1022">
        <v>892</v>
      </c>
      <c r="AE1022">
        <v>0</v>
      </c>
      <c r="AF1022">
        <v>0</v>
      </c>
      <c r="AG1022">
        <v>455</v>
      </c>
      <c r="AH1022">
        <v>437</v>
      </c>
      <c r="AI1022">
        <v>0</v>
      </c>
      <c r="AJ1022">
        <v>0</v>
      </c>
      <c r="AK1022">
        <v>0</v>
      </c>
      <c r="AL1022">
        <v>0</v>
      </c>
      <c r="AM1022">
        <v>216</v>
      </c>
      <c r="AN1022">
        <v>0</v>
      </c>
      <c r="AO1022">
        <v>216</v>
      </c>
      <c r="AP1022">
        <v>5</v>
      </c>
      <c r="AQ1022">
        <v>0</v>
      </c>
      <c r="AR1022">
        <v>0</v>
      </c>
      <c r="AS1022" t="s">
        <v>58</v>
      </c>
      <c r="AT1022">
        <v>1</v>
      </c>
      <c r="AU1022" t="s">
        <v>59</v>
      </c>
      <c r="AV1022" t="s">
        <v>60</v>
      </c>
      <c r="AW1022">
        <v>1</v>
      </c>
      <c r="AX1022">
        <v>2</v>
      </c>
      <c r="AY1022">
        <v>0</v>
      </c>
      <c r="AZ1022">
        <v>6100</v>
      </c>
      <c r="BA1022">
        <v>100</v>
      </c>
      <c r="BB1022">
        <v>100</v>
      </c>
      <c r="BC1022">
        <v>100</v>
      </c>
      <c r="BD1022">
        <v>100</v>
      </c>
      <c r="BE1022">
        <v>1</v>
      </c>
      <c r="BF1022">
        <v>15000</v>
      </c>
      <c r="BG1022">
        <v>1000</v>
      </c>
      <c r="BH1022" s="6">
        <f>Grandview_Inventory[[#This Row],[land_extract]]*Lookups!$B$3</f>
        <v>50650.651579114572</v>
      </c>
      <c r="BI1022" s="6">
        <f>IF(Grandview_Inventory[[#This Row],[bldg_style]]="",0,Lookups!$B$2)</f>
        <v>155833.95000000001</v>
      </c>
      <c r="BJ1022" s="6">
        <f>_xlfn.IFNA(VLOOKUP(Grandview_Inventory[[#This Row],[quality]],Lookups!$H$2:$J$14,3,FALSE),0)</f>
        <v>2251</v>
      </c>
      <c r="BK1022" s="6">
        <f>_xlfn.IFNA(VLOOKUP(Grandview_Inventory[[#This Row],[condition]],Lookups!$H$17:$J$24,3,FALSE),0)</f>
        <v>22342</v>
      </c>
      <c r="BL1022" s="6">
        <f>Grandview_Inventory[[#This Row],[Eff_Age]]*Lookups!$B$14</f>
        <v>-11719.163399999999</v>
      </c>
      <c r="BM1022" s="6">
        <f>Grandview_Inventory[[#This Row],[living_area]]*Lookups!$B$15</f>
        <v>84027.00899100001</v>
      </c>
      <c r="BN1022" s="6">
        <f>Grandview_Inventory[[#This Row],[Fin BSMT]]*Lookups!$B$16</f>
        <v>-12330.154200000001</v>
      </c>
      <c r="BO1022" s="6">
        <f>(Grandview_Inventory[[#This Row],[att_gar]]+Grandview_Inventory[[#This Row],[bltin_gar]])*Lookups!$B$17</f>
        <v>0</v>
      </c>
      <c r="BP1022" s="6">
        <f>Grandview_Inventory[[#This Row],[Plumbing Fixtures]]*Lookups!$B$18</f>
        <v>10052.209000000001</v>
      </c>
      <c r="BQ1022" s="6">
        <f>Grandview_Inventory[[#This Row],[detatched_value]]*Lookups!$B$19</f>
        <v>5165.5111099999995</v>
      </c>
      <c r="BR1022" s="6">
        <f>SUM(Grandview_Inventory[[#This Row],[Intercept]:[det_value]])*Grandview_Inventory[[#This Row],[res_pct]]</f>
        <v>255622.36150100004</v>
      </c>
      <c r="BS1022" s="6">
        <f>Grandview_Inventory[[#This Row],[land_value]]</f>
        <v>50650.651579114572</v>
      </c>
      <c r="BT1022" s="4">
        <f>_xlfn.IFNA(VLOOKUP(Grandview_Inventory[[#This Row],[quality]],Lookups!$A$26:$C$33,3,FALSE),1)</f>
        <v>0.98763855981004833</v>
      </c>
      <c r="BU1022" s="4">
        <f>_xlfn.IFNA(VLOOKUP(Grandview_Inventory[[#This Row],[condition]],Lookups!$A$37:$C$44,3,FALSE),1)</f>
        <v>0.97383723671140243</v>
      </c>
      <c r="BV1022" s="4">
        <f>IF(Grandview_Inventory[[#This Row],[bldg_style]]="",1,_xlfn.IFNA(VLOOKUP(Grandview_Inventory[[#This Row],[decade]],Lookups!$F$29:$H$43,3,FALSE),1))</f>
        <v>0.99472141305414818</v>
      </c>
      <c r="BW1022" s="4">
        <f>_xlfn.IFNA(VLOOKUP(Grandview_Inventory[[#This Row],[living_area_range]],Lookups!$F$47:$H$56,3,FALSE),1)</f>
        <v>0.96135087979789358</v>
      </c>
      <c r="BX1022" s="4">
        <f>AVERAGE(Grandview_Inventory[[#This Row],[qual_adj]:[size_adj]])</f>
        <v>0.97938702234337316</v>
      </c>
      <c r="BY1022" s="6">
        <f>IF(Grandview_Inventory[[#This Row],[pre_res]]&lt;0,0,Grandview_Inventory[[#This Row],[pre_res]]*Grandview_Inventory[[#This Row],[overall_adj]])</f>
        <v>250353.22347484573</v>
      </c>
      <c r="BZ1022" s="6">
        <f>(Grandview_Inventory[[#This Row],[sum_land]]-IF(Grandview_Inventory[[#This Row],[no_utilities]]=1,12000,0))/IF(Grandview_Inventory[[#This Row],[unbuildable]]=1,2,1)</f>
        <v>50650.651579114572</v>
      </c>
      <c r="CA102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022">
        <f>ROUND(Grandview_Inventory[[#This Row],[det_value]]*Lookups!$M$28,-2)</f>
        <v>4900</v>
      </c>
      <c r="CC1022">
        <f>IF(ROUND(Grandview_Inventory[[#This Row],[adj_res]]*Lookups!$M$28,-2)&lt;Grandview_Inventory[[#This Row],[min_res]],Grandview_Inventory[[#This Row],[min_res]],ROUND(Grandview_Inventory[[#This Row],[adj_res]]*Lookups!$M$28,-2))</f>
        <v>237800</v>
      </c>
      <c r="CD1022">
        <f>Grandview_Inventory[[#This Row],[final_det]]+Grandview_Inventory[[#This Row],[final_res]]</f>
        <v>242700</v>
      </c>
      <c r="CE1022">
        <f>Grandview_Inventory[[#This Row],[final_land]]+Grandview_Inventory[[#This Row],[final_imp]]+Grandview_Inventory[[#This Row],[crop_value]]</f>
        <v>290800</v>
      </c>
      <c r="CG1022" t="str">
        <f t="shared" si="15"/>
        <v>update valuation set market_land =48100, market_bldg=242700, market_total =290800, market_mdno =401, market_date ='9/10/2023' where link_id = (select link_id from parcel where parcel_year = '2024' and parcel_id = '23092241559');</v>
      </c>
    </row>
    <row r="1023" spans="1:85" x14ac:dyDescent="0.25">
      <c r="A1023">
        <v>23092241560</v>
      </c>
      <c r="B1023">
        <v>0.2</v>
      </c>
      <c r="C1023">
        <v>8528</v>
      </c>
      <c r="D1023" t="s">
        <v>129</v>
      </c>
      <c r="E1023" t="s">
        <v>53</v>
      </c>
      <c r="F1023" t="s">
        <v>53</v>
      </c>
      <c r="G1023">
        <v>4</v>
      </c>
      <c r="H1023" t="s">
        <v>54</v>
      </c>
      <c r="I1023">
        <v>188400</v>
      </c>
      <c r="J1023">
        <v>39100</v>
      </c>
      <c r="K1023">
        <v>0.2</v>
      </c>
      <c r="L102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23">
        <v>0</v>
      </c>
      <c r="N1023">
        <v>0</v>
      </c>
      <c r="O1023">
        <v>0</v>
      </c>
      <c r="P1023">
        <v>13398.7528</v>
      </c>
      <c r="Q1023">
        <v>63903</v>
      </c>
      <c r="R1023">
        <f>(Grandview_Inventory[[#This Row],[ln_acres]]*Grandview_Inventory[[#This Row],[coeff]])+Grandview_Inventory[[#This Row],[const]]</f>
        <v>42338.539264347448</v>
      </c>
      <c r="S1023" t="s">
        <v>61</v>
      </c>
      <c r="T1023">
        <v>1</v>
      </c>
      <c r="U1023" t="s">
        <v>70</v>
      </c>
      <c r="V1023" t="s">
        <v>69</v>
      </c>
      <c r="W1023">
        <v>0</v>
      </c>
      <c r="X1023">
        <v>0</v>
      </c>
      <c r="Y1023">
        <v>49</v>
      </c>
      <c r="Z1023">
        <v>68</v>
      </c>
      <c r="AA1023">
        <v>70</v>
      </c>
      <c r="AB1023">
        <v>3000</v>
      </c>
      <c r="AC1023">
        <v>2520</v>
      </c>
      <c r="AD1023">
        <v>1260</v>
      </c>
      <c r="AE1023">
        <v>0</v>
      </c>
      <c r="AF1023">
        <v>0</v>
      </c>
      <c r="AG1023">
        <v>1260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8</v>
      </c>
      <c r="AQ1023">
        <v>0</v>
      </c>
      <c r="AR1023">
        <v>0</v>
      </c>
      <c r="AS1023" t="s">
        <v>58</v>
      </c>
      <c r="AT1023">
        <v>1</v>
      </c>
      <c r="AU1023" t="s">
        <v>63</v>
      </c>
      <c r="AV1023" t="s">
        <v>60</v>
      </c>
      <c r="AW1023">
        <v>0</v>
      </c>
      <c r="AX1023">
        <v>4</v>
      </c>
      <c r="AY1023">
        <v>0</v>
      </c>
      <c r="AZ1023">
        <v>12200</v>
      </c>
      <c r="BA1023">
        <v>100</v>
      </c>
      <c r="BB1023">
        <v>100</v>
      </c>
      <c r="BC1023">
        <v>100</v>
      </c>
      <c r="BD1023">
        <v>100</v>
      </c>
      <c r="BE1023">
        <v>1</v>
      </c>
      <c r="BF1023">
        <v>15000</v>
      </c>
      <c r="BG1023">
        <v>1000</v>
      </c>
      <c r="BH1023" s="6">
        <f>Grandview_Inventory[[#This Row],[land_extract]]*Lookups!$B$3</f>
        <v>49167.631333630678</v>
      </c>
      <c r="BI1023" s="6">
        <f>IF(Grandview_Inventory[[#This Row],[bldg_style]]="",0,Lookups!$B$2)</f>
        <v>155833.95000000001</v>
      </c>
      <c r="BJ1023" s="6">
        <f>_xlfn.IFNA(VLOOKUP(Grandview_Inventory[[#This Row],[quality]],Lookups!$H$2:$J$14,3,FALSE),0)</f>
        <v>10733</v>
      </c>
      <c r="BK1023" s="6">
        <f>_xlfn.IFNA(VLOOKUP(Grandview_Inventory[[#This Row],[condition]],Lookups!$H$17:$J$24,3,FALSE),0)</f>
        <v>-4503</v>
      </c>
      <c r="BL1023" s="6">
        <f>Grandview_Inventory[[#This Row],[Eff_Age]]*Lookups!$B$14</f>
        <v>-11719.163399999999</v>
      </c>
      <c r="BM1023" s="6">
        <f>Grandview_Inventory[[#This Row],[living_area]]*Lookups!$B$15</f>
        <v>157199.74956</v>
      </c>
      <c r="BN1023" s="6">
        <f>Grandview_Inventory[[#This Row],[Fin BSMT]]*Lookups!$B$16</f>
        <v>-34145.042400000006</v>
      </c>
      <c r="BO1023" s="6">
        <f>(Grandview_Inventory[[#This Row],[att_gar]]+Grandview_Inventory[[#This Row],[bltin_gar]])*Lookups!$B$17</f>
        <v>0</v>
      </c>
      <c r="BP1023" s="6">
        <f>Grandview_Inventory[[#This Row],[Plumbing Fixtures]]*Lookups!$B$18</f>
        <v>16083.5344</v>
      </c>
      <c r="BQ1023" s="6">
        <f>Grandview_Inventory[[#This Row],[detatched_value]]*Lookups!$B$19</f>
        <v>10331.022219999999</v>
      </c>
      <c r="BR1023" s="6">
        <f>SUM(Grandview_Inventory[[#This Row],[Intercept]:[det_value]])*Grandview_Inventory[[#This Row],[res_pct]]</f>
        <v>299814.05037999997</v>
      </c>
      <c r="BS1023" s="6">
        <f>Grandview_Inventory[[#This Row],[land_value]]</f>
        <v>49167.631333630678</v>
      </c>
      <c r="BT1023" s="4">
        <f>_xlfn.IFNA(VLOOKUP(Grandview_Inventory[[#This Row],[quality]],Lookups!$A$26:$C$33,3,FALSE),1)</f>
        <v>0.98079741117310582</v>
      </c>
      <c r="BU1023" s="4">
        <f>_xlfn.IFNA(VLOOKUP(Grandview_Inventory[[#This Row],[condition]],Lookups!$A$37:$C$44,3,FALSE),1)</f>
        <v>0.96469275950863709</v>
      </c>
      <c r="BV1023" s="4">
        <f>IF(Grandview_Inventory[[#This Row],[bldg_style]]="",1,_xlfn.IFNA(VLOOKUP(Grandview_Inventory[[#This Row],[decade]],Lookups!$F$29:$H$43,3,FALSE),1))</f>
        <v>0.99472141305414818</v>
      </c>
      <c r="BW1023" s="4">
        <f>_xlfn.IFNA(VLOOKUP(Grandview_Inventory[[#This Row],[living_area_range]],Lookups!$F$47:$H$56,3,FALSE),1)</f>
        <v>0.94224801443562123</v>
      </c>
      <c r="BX1023" s="4">
        <f>AVERAGE(Grandview_Inventory[[#This Row],[qual_adj]:[size_adj]])</f>
        <v>0.97061489954287816</v>
      </c>
      <c r="BY1023" s="6">
        <f>IF(Grandview_Inventory[[#This Row],[pre_res]]&lt;0,0,Grandview_Inventory[[#This Row],[pre_res]]*Grandview_Inventory[[#This Row],[overall_adj]])</f>
        <v>291003.98439112707</v>
      </c>
      <c r="BZ1023" s="6">
        <f>(Grandview_Inventory[[#This Row],[sum_land]]-IF(Grandview_Inventory[[#This Row],[no_utilities]]=1,12000,0))/IF(Grandview_Inventory[[#This Row],[unbuildable]]=1,2,1)</f>
        <v>49167.631333630678</v>
      </c>
      <c r="CA102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23">
        <f>ROUND(Grandview_Inventory[[#This Row],[det_value]]*Lookups!$M$28,-2)</f>
        <v>9800</v>
      </c>
      <c r="CC1023">
        <f>IF(ROUND(Grandview_Inventory[[#This Row],[adj_res]]*Lookups!$M$28,-2)&lt;Grandview_Inventory[[#This Row],[min_res]],Grandview_Inventory[[#This Row],[min_res]],ROUND(Grandview_Inventory[[#This Row],[adj_res]]*Lookups!$M$28,-2))</f>
        <v>276500</v>
      </c>
      <c r="CD1023">
        <f>Grandview_Inventory[[#This Row],[final_det]]+Grandview_Inventory[[#This Row],[final_res]]</f>
        <v>286300</v>
      </c>
      <c r="CE1023">
        <f>Grandview_Inventory[[#This Row],[final_land]]+Grandview_Inventory[[#This Row],[final_imp]]+Grandview_Inventory[[#This Row],[crop_value]]</f>
        <v>333000</v>
      </c>
      <c r="CG1023" t="str">
        <f t="shared" si="15"/>
        <v>update valuation set market_land =46700, market_bldg=286300, market_total =333000, market_mdno =401, market_date ='9/10/2023' where link_id = (select link_id from parcel where parcel_year = '2024' and parcel_id = '23092241560');</v>
      </c>
    </row>
    <row r="1024" spans="1:85" x14ac:dyDescent="0.25">
      <c r="A1024">
        <v>23092241562</v>
      </c>
      <c r="B1024">
        <v>0.28999999999999998</v>
      </c>
      <c r="C1024">
        <v>12753</v>
      </c>
      <c r="D1024" t="s">
        <v>129</v>
      </c>
      <c r="E1024" t="s">
        <v>53</v>
      </c>
      <c r="F1024" t="s">
        <v>53</v>
      </c>
      <c r="G1024">
        <v>4</v>
      </c>
      <c r="H1024" t="s">
        <v>54</v>
      </c>
      <c r="I1024">
        <v>183400</v>
      </c>
      <c r="J1024">
        <v>45100</v>
      </c>
      <c r="K1024">
        <v>0.28999999999999998</v>
      </c>
      <c r="L1024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024">
        <v>0</v>
      </c>
      <c r="N1024">
        <v>0</v>
      </c>
      <c r="O1024">
        <v>0</v>
      </c>
      <c r="P1024">
        <v>13398.7528</v>
      </c>
      <c r="Q1024">
        <v>63903</v>
      </c>
      <c r="R1024">
        <f>(Grandview_Inventory[[#This Row],[ln_acres]]*Grandview_Inventory[[#This Row],[coeff]])+Grandview_Inventory[[#This Row],[const]]</f>
        <v>47317.027506475133</v>
      </c>
      <c r="S1024" t="s">
        <v>61</v>
      </c>
      <c r="T1024">
        <v>1</v>
      </c>
      <c r="U1024" t="s">
        <v>64</v>
      </c>
      <c r="V1024" t="s">
        <v>69</v>
      </c>
      <c r="W1024">
        <v>0</v>
      </c>
      <c r="X1024">
        <v>0</v>
      </c>
      <c r="Y1024">
        <v>49</v>
      </c>
      <c r="Z1024">
        <v>68</v>
      </c>
      <c r="AA1024">
        <v>70</v>
      </c>
      <c r="AB1024">
        <v>1500</v>
      </c>
      <c r="AC1024">
        <v>1197</v>
      </c>
      <c r="AD1024">
        <v>916</v>
      </c>
      <c r="AE1024">
        <v>0</v>
      </c>
      <c r="AF1024">
        <v>0</v>
      </c>
      <c r="AG1024">
        <v>281</v>
      </c>
      <c r="AH1024">
        <v>635</v>
      </c>
      <c r="AI1024">
        <v>338</v>
      </c>
      <c r="AJ1024">
        <v>0</v>
      </c>
      <c r="AK1024">
        <v>288</v>
      </c>
      <c r="AL1024">
        <v>0</v>
      </c>
      <c r="AM1024">
        <v>608</v>
      </c>
      <c r="AN1024">
        <v>138</v>
      </c>
      <c r="AO1024">
        <v>288</v>
      </c>
      <c r="AP1024">
        <v>8</v>
      </c>
      <c r="AQ1024">
        <v>0</v>
      </c>
      <c r="AR1024">
        <v>1</v>
      </c>
      <c r="AS1024" t="s">
        <v>58</v>
      </c>
      <c r="AT1024">
        <v>1</v>
      </c>
      <c r="AU1024" t="s">
        <v>63</v>
      </c>
      <c r="AV1024" t="s">
        <v>64</v>
      </c>
      <c r="AW1024">
        <v>1</v>
      </c>
      <c r="AX1024">
        <v>3</v>
      </c>
      <c r="AY1024">
        <v>0</v>
      </c>
      <c r="AZ1024">
        <v>0</v>
      </c>
      <c r="BA1024">
        <v>100</v>
      </c>
      <c r="BB1024">
        <v>100</v>
      </c>
      <c r="BC1024">
        <v>100</v>
      </c>
      <c r="BD1024">
        <v>100</v>
      </c>
      <c r="BE1024">
        <v>1</v>
      </c>
      <c r="BF1024">
        <v>15000</v>
      </c>
      <c r="BG1024">
        <v>1000</v>
      </c>
      <c r="BH1024" s="6">
        <f>Grandview_Inventory[[#This Row],[land_extract]]*Lookups!$B$3</f>
        <v>54949.136287295303</v>
      </c>
      <c r="BI1024" s="6">
        <f>IF(Grandview_Inventory[[#This Row],[bldg_style]]="",0,Lookups!$B$2)</f>
        <v>155833.95000000001</v>
      </c>
      <c r="BJ1024" s="6">
        <f>_xlfn.IFNA(VLOOKUP(Grandview_Inventory[[#This Row],[quality]],Lookups!$H$2:$J$14,3,FALSE),0)</f>
        <v>20768</v>
      </c>
      <c r="BK1024" s="6">
        <f>_xlfn.IFNA(VLOOKUP(Grandview_Inventory[[#This Row],[condition]],Lookups!$H$17:$J$24,3,FALSE),0)</f>
        <v>-4503</v>
      </c>
      <c r="BL1024" s="6">
        <f>Grandview_Inventory[[#This Row],[Eff_Age]]*Lookups!$B$14</f>
        <v>-11719.163399999999</v>
      </c>
      <c r="BM1024" s="6">
        <f>Grandview_Inventory[[#This Row],[living_area]]*Lookups!$B$15</f>
        <v>74669.881041000001</v>
      </c>
      <c r="BN1024" s="6">
        <f>Grandview_Inventory[[#This Row],[Fin BSMT]]*Lookups!$B$16</f>
        <v>-7614.8864400000002</v>
      </c>
      <c r="BO1024" s="6">
        <f>(Grandview_Inventory[[#This Row],[att_gar]]+Grandview_Inventory[[#This Row],[bltin_gar]])*Lookups!$B$17</f>
        <v>29581.907706000002</v>
      </c>
      <c r="BP1024" s="6">
        <f>Grandview_Inventory[[#This Row],[Plumbing Fixtures]]*Lookups!$B$18</f>
        <v>16083.5344</v>
      </c>
      <c r="BQ1024" s="6">
        <f>Grandview_Inventory[[#This Row],[detatched_value]]*Lookups!$B$19</f>
        <v>0</v>
      </c>
      <c r="BR1024" s="6">
        <f>SUM(Grandview_Inventory[[#This Row],[Intercept]:[det_value]])*Grandview_Inventory[[#This Row],[res_pct]]</f>
        <v>273100.22330700001</v>
      </c>
      <c r="BS1024" s="6">
        <f>Grandview_Inventory[[#This Row],[land_value]]</f>
        <v>54949.136287295303</v>
      </c>
      <c r="BT1024" s="4">
        <f>_xlfn.IFNA(VLOOKUP(Grandview_Inventory[[#This Row],[quality]],Lookups!$A$26:$C$33,3,FALSE),1)</f>
        <v>0.94960540378902636</v>
      </c>
      <c r="BU1024" s="4">
        <f>_xlfn.IFNA(VLOOKUP(Grandview_Inventory[[#This Row],[condition]],Lookups!$A$37:$C$44,3,FALSE),1)</f>
        <v>0.96469275950863709</v>
      </c>
      <c r="BV1024" s="4">
        <f>IF(Grandview_Inventory[[#This Row],[bldg_style]]="",1,_xlfn.IFNA(VLOOKUP(Grandview_Inventory[[#This Row],[decade]],Lookups!$F$29:$H$43,3,FALSE),1))</f>
        <v>0.99472141305414818</v>
      </c>
      <c r="BW1024" s="4">
        <f>_xlfn.IFNA(VLOOKUP(Grandview_Inventory[[#This Row],[living_area_range]],Lookups!$F$47:$H$56,3,FALSE),1)</f>
        <v>0.96135087979789358</v>
      </c>
      <c r="BX1024" s="4">
        <f>AVERAGE(Grandview_Inventory[[#This Row],[qual_adj]:[size_adj]])</f>
        <v>0.96759261403742625</v>
      </c>
      <c r="BY1024" s="6">
        <f>IF(Grandview_Inventory[[#This Row],[pre_res]]&lt;0,0,Grandview_Inventory[[#This Row],[pre_res]]*Grandview_Inventory[[#This Row],[overall_adj]])</f>
        <v>264249.75896382501</v>
      </c>
      <c r="BZ1024" s="6">
        <f>(Grandview_Inventory[[#This Row],[sum_land]]-IF(Grandview_Inventory[[#This Row],[no_utilities]]=1,12000,0))/IF(Grandview_Inventory[[#This Row],[unbuildable]]=1,2,1)</f>
        <v>54949.136287295303</v>
      </c>
      <c r="CA1024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024">
        <f>ROUND(Grandview_Inventory[[#This Row],[det_value]]*Lookups!$M$28,-2)</f>
        <v>0</v>
      </c>
      <c r="CC1024">
        <f>IF(ROUND(Grandview_Inventory[[#This Row],[adj_res]]*Lookups!$M$28,-2)&lt;Grandview_Inventory[[#This Row],[min_res]],Grandview_Inventory[[#This Row],[min_res]],ROUND(Grandview_Inventory[[#This Row],[adj_res]]*Lookups!$M$28,-2))</f>
        <v>251000</v>
      </c>
      <c r="CD1024">
        <f>Grandview_Inventory[[#This Row],[final_det]]+Grandview_Inventory[[#This Row],[final_res]]</f>
        <v>251000</v>
      </c>
      <c r="CE1024">
        <f>Grandview_Inventory[[#This Row],[final_land]]+Grandview_Inventory[[#This Row],[final_imp]]+Grandview_Inventory[[#This Row],[crop_value]]</f>
        <v>303200</v>
      </c>
      <c r="CG1024" t="str">
        <f t="shared" si="15"/>
        <v>update valuation set market_land =52200, market_bldg=251000, market_total =303200, market_mdno =401, market_date ='9/10/2023' where link_id = (select link_id from parcel where parcel_year = '2024' and parcel_id = '23092241562');</v>
      </c>
    </row>
    <row r="1025" spans="1:85" x14ac:dyDescent="0.25">
      <c r="A1025">
        <v>23092241563</v>
      </c>
      <c r="B1025">
        <v>0.33</v>
      </c>
      <c r="C1025">
        <v>14582</v>
      </c>
      <c r="D1025" t="s">
        <v>129</v>
      </c>
      <c r="E1025" t="s">
        <v>53</v>
      </c>
      <c r="F1025" t="s">
        <v>53</v>
      </c>
      <c r="G1025">
        <v>4</v>
      </c>
      <c r="H1025" t="s">
        <v>54</v>
      </c>
      <c r="I1025">
        <v>309600</v>
      </c>
      <c r="J1025">
        <v>45800</v>
      </c>
      <c r="K1025">
        <v>0.33</v>
      </c>
      <c r="L1025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025">
        <v>0</v>
      </c>
      <c r="N1025">
        <v>0</v>
      </c>
      <c r="O1025">
        <v>0</v>
      </c>
      <c r="P1025">
        <v>13398.7528</v>
      </c>
      <c r="Q1025">
        <v>63903</v>
      </c>
      <c r="R1025">
        <f>(Grandview_Inventory[[#This Row],[ln_acres]]*Grandview_Inventory[[#This Row],[coeff]])+Grandview_Inventory[[#This Row],[const]]</f>
        <v>49048.303555435712</v>
      </c>
      <c r="S1025" t="s">
        <v>61</v>
      </c>
      <c r="T1025">
        <v>1</v>
      </c>
      <c r="U1025" t="s">
        <v>62</v>
      </c>
      <c r="V1025" t="s">
        <v>67</v>
      </c>
      <c r="W1025">
        <v>0</v>
      </c>
      <c r="X1025">
        <v>0</v>
      </c>
      <c r="Y1025">
        <v>48</v>
      </c>
      <c r="Z1025">
        <v>63</v>
      </c>
      <c r="AA1025">
        <v>70</v>
      </c>
      <c r="AB1025">
        <v>3000</v>
      </c>
      <c r="AC1025">
        <v>2862</v>
      </c>
      <c r="AD1025">
        <v>1762</v>
      </c>
      <c r="AE1025">
        <v>0</v>
      </c>
      <c r="AF1025">
        <v>0</v>
      </c>
      <c r="AG1025">
        <v>1100</v>
      </c>
      <c r="AH1025">
        <v>0</v>
      </c>
      <c r="AI1025">
        <v>696</v>
      </c>
      <c r="AJ1025">
        <v>0</v>
      </c>
      <c r="AK1025">
        <v>0</v>
      </c>
      <c r="AL1025">
        <v>0</v>
      </c>
      <c r="AM1025">
        <v>602</v>
      </c>
      <c r="AN1025">
        <v>0</v>
      </c>
      <c r="AO1025">
        <v>258</v>
      </c>
      <c r="AP1025">
        <v>8</v>
      </c>
      <c r="AQ1025">
        <v>0</v>
      </c>
      <c r="AR1025">
        <v>1</v>
      </c>
      <c r="AS1025" t="s">
        <v>58</v>
      </c>
      <c r="AT1025">
        <v>1</v>
      </c>
      <c r="AU1025" t="s">
        <v>59</v>
      </c>
      <c r="AV1025" t="s">
        <v>60</v>
      </c>
      <c r="AW1025">
        <v>1</v>
      </c>
      <c r="AX1025">
        <v>4</v>
      </c>
      <c r="AY1025">
        <v>0</v>
      </c>
      <c r="AZ1025">
        <v>12800</v>
      </c>
      <c r="BA1025">
        <v>100</v>
      </c>
      <c r="BB1025">
        <v>100</v>
      </c>
      <c r="BC1025">
        <v>100</v>
      </c>
      <c r="BD1025">
        <v>100</v>
      </c>
      <c r="BE1025">
        <v>1</v>
      </c>
      <c r="BF1025">
        <v>15000</v>
      </c>
      <c r="BG1025">
        <v>1000</v>
      </c>
      <c r="BH1025" s="6">
        <f>Grandview_Inventory[[#This Row],[land_extract]]*Lookups!$B$3</f>
        <v>56959.662488507893</v>
      </c>
      <c r="BI1025" s="6">
        <f>IF(Grandview_Inventory[[#This Row],[bldg_style]]="",0,Lookups!$B$2)</f>
        <v>155833.95000000001</v>
      </c>
      <c r="BJ1025" s="6">
        <f>_xlfn.IFNA(VLOOKUP(Grandview_Inventory[[#This Row],[quality]],Lookups!$H$2:$J$14,3,FALSE),0)</f>
        <v>9808</v>
      </c>
      <c r="BK1025" s="6">
        <f>_xlfn.IFNA(VLOOKUP(Grandview_Inventory[[#This Row],[condition]],Lookups!$H$17:$J$24,3,FALSE),0)</f>
        <v>22342</v>
      </c>
      <c r="BL1025" s="6">
        <f>Grandview_Inventory[[#This Row],[Eff_Age]]*Lookups!$B$14</f>
        <v>-11479.996799999999</v>
      </c>
      <c r="BM1025" s="6">
        <f>Grandview_Inventory[[#This Row],[living_area]]*Lookups!$B$15</f>
        <v>178534.00128600001</v>
      </c>
      <c r="BN1025" s="6">
        <f>Grandview_Inventory[[#This Row],[Fin BSMT]]*Lookups!$B$16</f>
        <v>-29809.164000000001</v>
      </c>
      <c r="BO1025" s="6">
        <f>(Grandview_Inventory[[#This Row],[att_gar]]+Grandview_Inventory[[#This Row],[bltin_gar]])*Lookups!$B$17</f>
        <v>60914.224152000003</v>
      </c>
      <c r="BP1025" s="6">
        <f>Grandview_Inventory[[#This Row],[Plumbing Fixtures]]*Lookups!$B$18</f>
        <v>16083.5344</v>
      </c>
      <c r="BQ1025" s="6">
        <f>Grandview_Inventory[[#This Row],[detatched_value]]*Lookups!$B$19</f>
        <v>10839.10528</v>
      </c>
      <c r="BR1025" s="6">
        <f>SUM(Grandview_Inventory[[#This Row],[Intercept]:[det_value]])*Grandview_Inventory[[#This Row],[res_pct]]</f>
        <v>413065.65431800002</v>
      </c>
      <c r="BS1025" s="6">
        <f>Grandview_Inventory[[#This Row],[land_value]]</f>
        <v>56959.662488507893</v>
      </c>
      <c r="BT1025" s="4">
        <f>_xlfn.IFNA(VLOOKUP(Grandview_Inventory[[#This Row],[quality]],Lookups!$A$26:$C$33,3,FALSE),1)</f>
        <v>0.94295468617355149</v>
      </c>
      <c r="BU1025" s="4">
        <f>_xlfn.IFNA(VLOOKUP(Grandview_Inventory[[#This Row],[condition]],Lookups!$A$37:$C$44,3,FALSE),1)</f>
        <v>0.97383723671140243</v>
      </c>
      <c r="BV1025" s="4">
        <f>IF(Grandview_Inventory[[#This Row],[bldg_style]]="",1,_xlfn.IFNA(VLOOKUP(Grandview_Inventory[[#This Row],[decade]],Lookups!$F$29:$H$43,3,FALSE),1))</f>
        <v>0.99472141305414818</v>
      </c>
      <c r="BW1025" s="4">
        <f>_xlfn.IFNA(VLOOKUP(Grandview_Inventory[[#This Row],[living_area_range]],Lookups!$F$47:$H$56,3,FALSE),1)</f>
        <v>0.94224801443562123</v>
      </c>
      <c r="BX1025" s="4">
        <f>AVERAGE(Grandview_Inventory[[#This Row],[qual_adj]:[size_adj]])</f>
        <v>0.96344033759368086</v>
      </c>
      <c r="BY1025" s="6">
        <f>IF(Grandview_Inventory[[#This Row],[pre_res]]&lt;0,0,Grandview_Inventory[[#This Row],[pre_res]]*Grandview_Inventory[[#This Row],[overall_adj]])</f>
        <v>397964.11344448861</v>
      </c>
      <c r="BZ1025" s="6">
        <f>(Grandview_Inventory[[#This Row],[sum_land]]-IF(Grandview_Inventory[[#This Row],[no_utilities]]=1,12000,0))/IF(Grandview_Inventory[[#This Row],[unbuildable]]=1,2,1)</f>
        <v>56959.662488507893</v>
      </c>
      <c r="CA1025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025">
        <f>ROUND(Grandview_Inventory[[#This Row],[det_value]]*Lookups!$M$28,-2)</f>
        <v>10300</v>
      </c>
      <c r="CC1025">
        <f>IF(ROUND(Grandview_Inventory[[#This Row],[adj_res]]*Lookups!$M$28,-2)&lt;Grandview_Inventory[[#This Row],[min_res]],Grandview_Inventory[[#This Row],[min_res]],ROUND(Grandview_Inventory[[#This Row],[adj_res]]*Lookups!$M$28,-2))</f>
        <v>378100</v>
      </c>
      <c r="CD1025">
        <f>Grandview_Inventory[[#This Row],[final_det]]+Grandview_Inventory[[#This Row],[final_res]]</f>
        <v>388400</v>
      </c>
      <c r="CE1025">
        <f>Grandview_Inventory[[#This Row],[final_land]]+Grandview_Inventory[[#This Row],[final_imp]]+Grandview_Inventory[[#This Row],[crop_value]]</f>
        <v>442500</v>
      </c>
      <c r="CG1025" t="str">
        <f t="shared" si="15"/>
        <v>update valuation set market_land =54100, market_bldg=388400, market_total =442500, market_mdno =401, market_date ='9/10/2023' where link_id = (select link_id from parcel where parcel_year = '2024' and parcel_id = '23092241563');</v>
      </c>
    </row>
    <row r="1026" spans="1:85" x14ac:dyDescent="0.25">
      <c r="A1026">
        <v>23092241566</v>
      </c>
      <c r="B1026">
        <v>0.2</v>
      </c>
      <c r="C1026">
        <v>8844</v>
      </c>
      <c r="D1026" t="s">
        <v>129</v>
      </c>
      <c r="E1026" t="s">
        <v>53</v>
      </c>
      <c r="F1026" t="s">
        <v>53</v>
      </c>
      <c r="G1026">
        <v>4</v>
      </c>
      <c r="H1026" t="s">
        <v>54</v>
      </c>
      <c r="I1026">
        <v>179400</v>
      </c>
      <c r="J1026">
        <v>40000</v>
      </c>
      <c r="K1026">
        <v>0.2</v>
      </c>
      <c r="L102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26">
        <v>0</v>
      </c>
      <c r="N1026">
        <v>0</v>
      </c>
      <c r="O1026">
        <v>0</v>
      </c>
      <c r="P1026">
        <v>13398.7528</v>
      </c>
      <c r="Q1026">
        <v>63903</v>
      </c>
      <c r="R1026">
        <f>(Grandview_Inventory[[#This Row],[ln_acres]]*Grandview_Inventory[[#This Row],[coeff]])+Grandview_Inventory[[#This Row],[const]]</f>
        <v>42338.539264347448</v>
      </c>
      <c r="S1026" t="s">
        <v>61</v>
      </c>
      <c r="T1026">
        <v>1</v>
      </c>
      <c r="U1026" t="s">
        <v>62</v>
      </c>
      <c r="V1026" t="s">
        <v>67</v>
      </c>
      <c r="W1026">
        <v>0</v>
      </c>
      <c r="X1026">
        <v>0</v>
      </c>
      <c r="Y1026">
        <v>48</v>
      </c>
      <c r="Z1026">
        <v>59</v>
      </c>
      <c r="AA1026">
        <v>60</v>
      </c>
      <c r="AB1026">
        <v>2000</v>
      </c>
      <c r="AC1026">
        <v>1632</v>
      </c>
      <c r="AD1026">
        <v>1632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192</v>
      </c>
      <c r="AO1026">
        <v>0</v>
      </c>
      <c r="AP1026">
        <v>7</v>
      </c>
      <c r="AQ1026">
        <v>0</v>
      </c>
      <c r="AR1026">
        <v>0</v>
      </c>
      <c r="AS1026" t="s">
        <v>58</v>
      </c>
      <c r="AT1026">
        <v>1</v>
      </c>
      <c r="AU1026" t="s">
        <v>63</v>
      </c>
      <c r="AV1026" t="s">
        <v>64</v>
      </c>
      <c r="AW1026">
        <v>0</v>
      </c>
      <c r="AX1026">
        <v>3</v>
      </c>
      <c r="AY1026">
        <v>0</v>
      </c>
      <c r="AZ1026">
        <v>0</v>
      </c>
      <c r="BA1026">
        <v>100</v>
      </c>
      <c r="BB1026">
        <v>100</v>
      </c>
      <c r="BC1026">
        <v>100</v>
      </c>
      <c r="BD1026">
        <v>100</v>
      </c>
      <c r="BE1026">
        <v>1</v>
      </c>
      <c r="BF1026">
        <v>15000</v>
      </c>
      <c r="BG1026">
        <v>1000</v>
      </c>
      <c r="BH1026" s="6">
        <f>Grandview_Inventory[[#This Row],[land_extract]]*Lookups!$B$3</f>
        <v>49167.631333630678</v>
      </c>
      <c r="BI1026" s="6">
        <f>IF(Grandview_Inventory[[#This Row],[bldg_style]]="",0,Lookups!$B$2)</f>
        <v>155833.95000000001</v>
      </c>
      <c r="BJ1026" s="6">
        <f>_xlfn.IFNA(VLOOKUP(Grandview_Inventory[[#This Row],[quality]],Lookups!$H$2:$J$14,3,FALSE),0)</f>
        <v>9808</v>
      </c>
      <c r="BK1026" s="6">
        <f>_xlfn.IFNA(VLOOKUP(Grandview_Inventory[[#This Row],[condition]],Lookups!$H$17:$J$24,3,FALSE),0)</f>
        <v>22342</v>
      </c>
      <c r="BL1026" s="6">
        <f>Grandview_Inventory[[#This Row],[Eff_Age]]*Lookups!$B$14</f>
        <v>-11479.996799999999</v>
      </c>
      <c r="BM1026" s="6">
        <f>Grandview_Inventory[[#This Row],[living_area]]*Lookups!$B$15</f>
        <v>101805.552096</v>
      </c>
      <c r="BN1026" s="6">
        <f>Grandview_Inventory[[#This Row],[Fin BSMT]]*Lookups!$B$16</f>
        <v>0</v>
      </c>
      <c r="BO1026" s="6">
        <f>(Grandview_Inventory[[#This Row],[att_gar]]+Grandview_Inventory[[#This Row],[bltin_gar]])*Lookups!$B$17</f>
        <v>0</v>
      </c>
      <c r="BP1026" s="6">
        <f>Grandview_Inventory[[#This Row],[Plumbing Fixtures]]*Lookups!$B$18</f>
        <v>14073.0926</v>
      </c>
      <c r="BQ1026" s="6">
        <f>Grandview_Inventory[[#This Row],[detatched_value]]*Lookups!$B$19</f>
        <v>0</v>
      </c>
      <c r="BR1026" s="6">
        <f>SUM(Grandview_Inventory[[#This Row],[Intercept]:[det_value]])*Grandview_Inventory[[#This Row],[res_pct]]</f>
        <v>292382.59789600002</v>
      </c>
      <c r="BS1026" s="6">
        <f>Grandview_Inventory[[#This Row],[land_value]]</f>
        <v>49167.631333630678</v>
      </c>
      <c r="BT1026" s="4">
        <f>_xlfn.IFNA(VLOOKUP(Grandview_Inventory[[#This Row],[quality]],Lookups!$A$26:$C$33,3,FALSE),1)</f>
        <v>0.94295468617355149</v>
      </c>
      <c r="BU1026" s="4">
        <f>_xlfn.IFNA(VLOOKUP(Grandview_Inventory[[#This Row],[condition]],Lookups!$A$37:$C$44,3,FALSE),1)</f>
        <v>0.97383723671140243</v>
      </c>
      <c r="BV1026" s="4">
        <f>IF(Grandview_Inventory[[#This Row],[bldg_style]]="",1,_xlfn.IFNA(VLOOKUP(Grandview_Inventory[[#This Row],[decade]],Lookups!$F$29:$H$43,3,FALSE),1))</f>
        <v>0.95268620544463312</v>
      </c>
      <c r="BW1026" s="4">
        <f>_xlfn.IFNA(VLOOKUP(Grandview_Inventory[[#This Row],[living_area_range]],Lookups!$F$47:$H$56,3,FALSE),1)</f>
        <v>0.96120133463014379</v>
      </c>
      <c r="BX1026" s="4">
        <f>AVERAGE(Grandview_Inventory[[#This Row],[qual_adj]:[size_adj]])</f>
        <v>0.95766986573993274</v>
      </c>
      <c r="BY1026" s="6">
        <f>IF(Grandview_Inventory[[#This Row],[pre_res]]&lt;0,0,Grandview_Inventory[[#This Row],[pre_res]]*Grandview_Inventory[[#This Row],[overall_adj]])</f>
        <v>280006.00327175506</v>
      </c>
      <c r="BZ1026" s="6">
        <f>(Grandview_Inventory[[#This Row],[sum_land]]-IF(Grandview_Inventory[[#This Row],[no_utilities]]=1,12000,0))/IF(Grandview_Inventory[[#This Row],[unbuildable]]=1,2,1)</f>
        <v>49167.631333630678</v>
      </c>
      <c r="CA102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26">
        <f>ROUND(Grandview_Inventory[[#This Row],[det_value]]*Lookups!$M$28,-2)</f>
        <v>0</v>
      </c>
      <c r="CC1026">
        <f>IF(ROUND(Grandview_Inventory[[#This Row],[adj_res]]*Lookups!$M$28,-2)&lt;Grandview_Inventory[[#This Row],[min_res]],Grandview_Inventory[[#This Row],[min_res]],ROUND(Grandview_Inventory[[#This Row],[adj_res]]*Lookups!$M$28,-2))</f>
        <v>266000</v>
      </c>
      <c r="CD1026">
        <f>Grandview_Inventory[[#This Row],[final_det]]+Grandview_Inventory[[#This Row],[final_res]]</f>
        <v>266000</v>
      </c>
      <c r="CE1026">
        <f>Grandview_Inventory[[#This Row],[final_land]]+Grandview_Inventory[[#This Row],[final_imp]]+Grandview_Inventory[[#This Row],[crop_value]]</f>
        <v>312700</v>
      </c>
      <c r="CG1026" t="str">
        <f t="shared" si="15"/>
        <v>update valuation set market_land =46700, market_bldg=266000, market_total =312700, market_mdno =401, market_date ='9/10/2023' where link_id = (select link_id from parcel where parcel_year = '2024' and parcel_id = '23092241566');</v>
      </c>
    </row>
    <row r="1027" spans="1:85" x14ac:dyDescent="0.25">
      <c r="A1027">
        <v>23092242400</v>
      </c>
      <c r="B1027">
        <v>0.23</v>
      </c>
      <c r="C1027">
        <v>10200</v>
      </c>
      <c r="D1027" t="s">
        <v>129</v>
      </c>
      <c r="E1027" t="s">
        <v>53</v>
      </c>
      <c r="F1027" t="s">
        <v>53</v>
      </c>
      <c r="G1027">
        <v>4</v>
      </c>
      <c r="H1027" t="s">
        <v>54</v>
      </c>
      <c r="I1027">
        <v>165000</v>
      </c>
      <c r="J1027">
        <v>39700</v>
      </c>
      <c r="K1027">
        <v>0.23</v>
      </c>
      <c r="L102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027">
        <v>0</v>
      </c>
      <c r="N1027">
        <v>0</v>
      </c>
      <c r="O1027">
        <v>0</v>
      </c>
      <c r="P1027">
        <v>13398.7528</v>
      </c>
      <c r="Q1027">
        <v>63903</v>
      </c>
      <c r="R1027">
        <f>(Grandview_Inventory[[#This Row],[ln_acres]]*Grandview_Inventory[[#This Row],[coeff]])+Grandview_Inventory[[#This Row],[const]]</f>
        <v>44211.174981080039</v>
      </c>
      <c r="S1027" t="s">
        <v>61</v>
      </c>
      <c r="T1027">
        <v>1</v>
      </c>
      <c r="U1027" t="s">
        <v>65</v>
      </c>
      <c r="V1027" t="s">
        <v>69</v>
      </c>
      <c r="W1027">
        <v>0</v>
      </c>
      <c r="X1027">
        <v>0</v>
      </c>
      <c r="Y1027">
        <v>49</v>
      </c>
      <c r="Z1027">
        <v>68</v>
      </c>
      <c r="AA1027">
        <v>70</v>
      </c>
      <c r="AB1027">
        <v>2000</v>
      </c>
      <c r="AC1027">
        <v>1581</v>
      </c>
      <c r="AD1027">
        <v>1581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352</v>
      </c>
      <c r="AN1027">
        <v>0</v>
      </c>
      <c r="AO1027">
        <v>0</v>
      </c>
      <c r="AP1027">
        <v>5</v>
      </c>
      <c r="AQ1027">
        <v>0</v>
      </c>
      <c r="AR1027">
        <v>1</v>
      </c>
      <c r="AS1027" t="s">
        <v>58</v>
      </c>
      <c r="AT1027">
        <v>1</v>
      </c>
      <c r="AU1027" t="s">
        <v>63</v>
      </c>
      <c r="AV1027" t="s">
        <v>81</v>
      </c>
      <c r="AW1027">
        <v>1</v>
      </c>
      <c r="AX1027">
        <v>3</v>
      </c>
      <c r="AY1027">
        <v>0</v>
      </c>
      <c r="AZ1027">
        <v>0</v>
      </c>
      <c r="BA1027">
        <v>100</v>
      </c>
      <c r="BB1027">
        <v>100</v>
      </c>
      <c r="BC1027">
        <v>100</v>
      </c>
      <c r="BD1027">
        <v>100</v>
      </c>
      <c r="BE1027">
        <v>1</v>
      </c>
      <c r="BF1027">
        <v>15000</v>
      </c>
      <c r="BG1027">
        <v>1000</v>
      </c>
      <c r="BH1027" s="6">
        <f>Grandview_Inventory[[#This Row],[land_extract]]*Lookups!$B$3</f>
        <v>51342.318135355803</v>
      </c>
      <c r="BI1027" s="6">
        <f>IF(Grandview_Inventory[[#This Row],[bldg_style]]="",0,Lookups!$B$2)</f>
        <v>155833.95000000001</v>
      </c>
      <c r="BJ1027" s="6">
        <f>_xlfn.IFNA(VLOOKUP(Grandview_Inventory[[#This Row],[quality]],Lookups!$H$2:$J$14,3,FALSE),0)</f>
        <v>2251</v>
      </c>
      <c r="BK1027" s="6">
        <f>_xlfn.IFNA(VLOOKUP(Grandview_Inventory[[#This Row],[condition]],Lookups!$H$17:$J$24,3,FALSE),0)</f>
        <v>-4503</v>
      </c>
      <c r="BL1027" s="6">
        <f>Grandview_Inventory[[#This Row],[Eff_Age]]*Lookups!$B$14</f>
        <v>-11719.163399999999</v>
      </c>
      <c r="BM1027" s="6">
        <f>Grandview_Inventory[[#This Row],[living_area]]*Lookups!$B$15</f>
        <v>98624.128593000001</v>
      </c>
      <c r="BN1027" s="6">
        <f>Grandview_Inventory[[#This Row],[Fin BSMT]]*Lookups!$B$16</f>
        <v>0</v>
      </c>
      <c r="BO1027" s="6">
        <f>(Grandview_Inventory[[#This Row],[att_gar]]+Grandview_Inventory[[#This Row],[bltin_gar]])*Lookups!$B$17</f>
        <v>0</v>
      </c>
      <c r="BP1027" s="6">
        <f>Grandview_Inventory[[#This Row],[Plumbing Fixtures]]*Lookups!$B$18</f>
        <v>10052.209000000001</v>
      </c>
      <c r="BQ1027" s="6">
        <f>Grandview_Inventory[[#This Row],[detatched_value]]*Lookups!$B$19</f>
        <v>0</v>
      </c>
      <c r="BR1027" s="6">
        <f>SUM(Grandview_Inventory[[#This Row],[Intercept]:[det_value]])*Grandview_Inventory[[#This Row],[res_pct]]</f>
        <v>250539.12419300003</v>
      </c>
      <c r="BS1027" s="6">
        <f>Grandview_Inventory[[#This Row],[land_value]]</f>
        <v>51342.318135355803</v>
      </c>
      <c r="BT1027" s="4">
        <f>_xlfn.IFNA(VLOOKUP(Grandview_Inventory[[#This Row],[quality]],Lookups!$A$26:$C$33,3,FALSE),1)</f>
        <v>0.98763855981004833</v>
      </c>
      <c r="BU1027" s="4">
        <f>_xlfn.IFNA(VLOOKUP(Grandview_Inventory[[#This Row],[condition]],Lookups!$A$37:$C$44,3,FALSE),1)</f>
        <v>0.96469275950863709</v>
      </c>
      <c r="BV1027" s="4">
        <f>IF(Grandview_Inventory[[#This Row],[bldg_style]]="",1,_xlfn.IFNA(VLOOKUP(Grandview_Inventory[[#This Row],[decade]],Lookups!$F$29:$H$43,3,FALSE),1))</f>
        <v>0.99472141305414818</v>
      </c>
      <c r="BW1027" s="4">
        <f>_xlfn.IFNA(VLOOKUP(Grandview_Inventory[[#This Row],[living_area_range]],Lookups!$F$47:$H$56,3,FALSE),1)</f>
        <v>0.96120133463014379</v>
      </c>
      <c r="BX1027" s="4">
        <f>AVERAGE(Grandview_Inventory[[#This Row],[qual_adj]:[size_adj]])</f>
        <v>0.97706351675074443</v>
      </c>
      <c r="BY1027" s="6">
        <f>IF(Grandview_Inventory[[#This Row],[pre_res]]&lt;0,0,Grandview_Inventory[[#This Row],[pre_res]]*Grandview_Inventory[[#This Row],[overall_adj]])</f>
        <v>244792.63776766413</v>
      </c>
      <c r="BZ1027" s="6">
        <f>(Grandview_Inventory[[#This Row],[sum_land]]-IF(Grandview_Inventory[[#This Row],[no_utilities]]=1,12000,0))/IF(Grandview_Inventory[[#This Row],[unbuildable]]=1,2,1)</f>
        <v>51342.318135355803</v>
      </c>
      <c r="CA102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027">
        <f>ROUND(Grandview_Inventory[[#This Row],[det_value]]*Lookups!$M$28,-2)</f>
        <v>0</v>
      </c>
      <c r="CC1027">
        <f>IF(ROUND(Grandview_Inventory[[#This Row],[adj_res]]*Lookups!$M$28,-2)&lt;Grandview_Inventory[[#This Row],[min_res]],Grandview_Inventory[[#This Row],[min_res]],ROUND(Grandview_Inventory[[#This Row],[adj_res]]*Lookups!$M$28,-2))</f>
        <v>232600</v>
      </c>
      <c r="CD1027">
        <f>Grandview_Inventory[[#This Row],[final_det]]+Grandview_Inventory[[#This Row],[final_res]]</f>
        <v>232600</v>
      </c>
      <c r="CE1027">
        <f>Grandview_Inventory[[#This Row],[final_land]]+Grandview_Inventory[[#This Row],[final_imp]]+Grandview_Inventory[[#This Row],[crop_value]]</f>
        <v>281400</v>
      </c>
      <c r="CG1027" t="str">
        <f t="shared" ref="CG1027:CG1090" si="16">"update valuation set market_land ="&amp;CA1027&amp;", market_bldg="&amp;CD1027&amp;", market_total ="&amp;CE1027&amp;", market_mdno ="&amp;$CG$1&amp;", market_date ='"&amp;TEXT($CH$1,"m/d/yyyy")&amp;"' where link_id = (select link_id from parcel where parcel_year = '2024' and parcel_id = '"&amp;A1027&amp;"');"</f>
        <v>update valuation set market_land =48800, market_bldg=232600, market_total =281400, market_mdno =401, market_date ='9/10/2023' where link_id = (select link_id from parcel where parcel_year = '2024' and parcel_id = '23092242400');</v>
      </c>
    </row>
    <row r="1028" spans="1:85" x14ac:dyDescent="0.25">
      <c r="A1028">
        <v>23092242401</v>
      </c>
      <c r="B1028">
        <v>0.23</v>
      </c>
      <c r="C1028">
        <v>10191</v>
      </c>
      <c r="D1028" t="s">
        <v>129</v>
      </c>
      <c r="E1028" t="s">
        <v>53</v>
      </c>
      <c r="F1028" t="s">
        <v>53</v>
      </c>
      <c r="G1028">
        <v>4</v>
      </c>
      <c r="H1028" t="s">
        <v>54</v>
      </c>
      <c r="I1028">
        <v>169400</v>
      </c>
      <c r="J1028">
        <v>44000</v>
      </c>
      <c r="K1028">
        <v>0.23</v>
      </c>
      <c r="L102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028">
        <v>0</v>
      </c>
      <c r="N1028">
        <v>0</v>
      </c>
      <c r="O1028">
        <v>0</v>
      </c>
      <c r="P1028">
        <v>13398.7528</v>
      </c>
      <c r="Q1028">
        <v>63903</v>
      </c>
      <c r="R1028">
        <f>(Grandview_Inventory[[#This Row],[ln_acres]]*Grandview_Inventory[[#This Row],[coeff]])+Grandview_Inventory[[#This Row],[const]]</f>
        <v>44211.174981080039</v>
      </c>
      <c r="S1028" t="s">
        <v>68</v>
      </c>
      <c r="T1028">
        <v>1</v>
      </c>
      <c r="U1028" t="s">
        <v>65</v>
      </c>
      <c r="V1028" t="s">
        <v>69</v>
      </c>
      <c r="W1028">
        <v>0</v>
      </c>
      <c r="X1028">
        <v>0</v>
      </c>
      <c r="Y1028">
        <v>49</v>
      </c>
      <c r="Z1028">
        <v>68</v>
      </c>
      <c r="AA1028">
        <v>70</v>
      </c>
      <c r="AB1028">
        <v>2500</v>
      </c>
      <c r="AC1028">
        <v>2294</v>
      </c>
      <c r="AD1028">
        <v>1147</v>
      </c>
      <c r="AE1028">
        <v>0</v>
      </c>
      <c r="AF1028">
        <v>0</v>
      </c>
      <c r="AG1028">
        <v>1147</v>
      </c>
      <c r="AH1028">
        <v>0</v>
      </c>
      <c r="AI1028">
        <v>560</v>
      </c>
      <c r="AJ1028">
        <v>0</v>
      </c>
      <c r="AK1028">
        <v>0</v>
      </c>
      <c r="AL1028">
        <v>0</v>
      </c>
      <c r="AM1028">
        <v>275</v>
      </c>
      <c r="AN1028">
        <v>0</v>
      </c>
      <c r="AO1028">
        <v>275</v>
      </c>
      <c r="AP1028">
        <v>8</v>
      </c>
      <c r="AQ1028">
        <v>0</v>
      </c>
      <c r="AR1028">
        <v>0</v>
      </c>
      <c r="AS1028" t="s">
        <v>58</v>
      </c>
      <c r="AT1028">
        <v>1</v>
      </c>
      <c r="AU1028" t="s">
        <v>63</v>
      </c>
      <c r="AV1028" t="s">
        <v>81</v>
      </c>
      <c r="AW1028">
        <v>0</v>
      </c>
      <c r="AX1028">
        <v>3</v>
      </c>
      <c r="AY1028">
        <v>0</v>
      </c>
      <c r="AZ1028">
        <v>0</v>
      </c>
      <c r="BA1028">
        <v>100</v>
      </c>
      <c r="BB1028">
        <v>100</v>
      </c>
      <c r="BC1028">
        <v>100</v>
      </c>
      <c r="BD1028">
        <v>100</v>
      </c>
      <c r="BE1028">
        <v>1</v>
      </c>
      <c r="BF1028">
        <v>15000</v>
      </c>
      <c r="BG1028">
        <v>1000</v>
      </c>
      <c r="BH1028" s="6">
        <f>Grandview_Inventory[[#This Row],[land_extract]]*Lookups!$B$3</f>
        <v>51342.318135355803</v>
      </c>
      <c r="BI1028" s="6">
        <f>IF(Grandview_Inventory[[#This Row],[bldg_style]]="",0,Lookups!$B$2)</f>
        <v>155833.95000000001</v>
      </c>
      <c r="BJ1028" s="6">
        <f>_xlfn.IFNA(VLOOKUP(Grandview_Inventory[[#This Row],[quality]],Lookups!$H$2:$J$14,3,FALSE),0)</f>
        <v>2251</v>
      </c>
      <c r="BK1028" s="6">
        <f>_xlfn.IFNA(VLOOKUP(Grandview_Inventory[[#This Row],[condition]],Lookups!$H$17:$J$24,3,FALSE),0)</f>
        <v>-4503</v>
      </c>
      <c r="BL1028" s="6">
        <f>Grandview_Inventory[[#This Row],[Eff_Age]]*Lookups!$B$14</f>
        <v>-11719.163399999999</v>
      </c>
      <c r="BM1028" s="6">
        <f>Grandview_Inventory[[#This Row],[living_area]]*Lookups!$B$15</f>
        <v>143101.676782</v>
      </c>
      <c r="BN1028" s="6">
        <f>Grandview_Inventory[[#This Row],[Fin BSMT]]*Lookups!$B$16</f>
        <v>-31082.828280000002</v>
      </c>
      <c r="BO1028" s="6">
        <f>(Grandview_Inventory[[#This Row],[att_gar]]+Grandview_Inventory[[#This Row],[bltin_gar]])*Lookups!$B$17</f>
        <v>49011.44472</v>
      </c>
      <c r="BP1028" s="6">
        <f>Grandview_Inventory[[#This Row],[Plumbing Fixtures]]*Lookups!$B$18</f>
        <v>16083.5344</v>
      </c>
      <c r="BQ1028" s="6">
        <f>Grandview_Inventory[[#This Row],[detatched_value]]*Lookups!$B$19</f>
        <v>0</v>
      </c>
      <c r="BR1028" s="6">
        <f>SUM(Grandview_Inventory[[#This Row],[Intercept]:[det_value]])*Grandview_Inventory[[#This Row],[res_pct]]</f>
        <v>318976.614222</v>
      </c>
      <c r="BS1028" s="6">
        <f>Grandview_Inventory[[#This Row],[land_value]]</f>
        <v>51342.318135355803</v>
      </c>
      <c r="BT1028" s="4">
        <f>_xlfn.IFNA(VLOOKUP(Grandview_Inventory[[#This Row],[quality]],Lookups!$A$26:$C$33,3,FALSE),1)</f>
        <v>0.98763855981004833</v>
      </c>
      <c r="BU1028" s="4">
        <f>_xlfn.IFNA(VLOOKUP(Grandview_Inventory[[#This Row],[condition]],Lookups!$A$37:$C$44,3,FALSE),1)</f>
        <v>0.96469275950863709</v>
      </c>
      <c r="BV1028" s="4">
        <f>IF(Grandview_Inventory[[#This Row],[bldg_style]]="",1,_xlfn.IFNA(VLOOKUP(Grandview_Inventory[[#This Row],[decade]],Lookups!$F$29:$H$43,3,FALSE),1))</f>
        <v>0.99472141305414818</v>
      </c>
      <c r="BW1028" s="4">
        <f>_xlfn.IFNA(VLOOKUP(Grandview_Inventory[[#This Row],[living_area_range]],Lookups!$F$47:$H$56,3,FALSE),1)</f>
        <v>0.95799442568048754</v>
      </c>
      <c r="BX1028" s="4">
        <f>AVERAGE(Grandview_Inventory[[#This Row],[qual_adj]:[size_adj]])</f>
        <v>0.97626178951333031</v>
      </c>
      <c r="BY1028" s="6">
        <f>IF(Grandview_Inventory[[#This Row],[pre_res]]&lt;0,0,Grandview_Inventory[[#This Row],[pre_res]]*Grandview_Inventory[[#This Row],[overall_adj]])</f>
        <v>311404.68021327292</v>
      </c>
      <c r="BZ1028" s="6">
        <f>(Grandview_Inventory[[#This Row],[sum_land]]-IF(Grandview_Inventory[[#This Row],[no_utilities]]=1,12000,0))/IF(Grandview_Inventory[[#This Row],[unbuildable]]=1,2,1)</f>
        <v>51342.318135355803</v>
      </c>
      <c r="CA102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028">
        <f>ROUND(Grandview_Inventory[[#This Row],[det_value]]*Lookups!$M$28,-2)</f>
        <v>0</v>
      </c>
      <c r="CC1028">
        <f>IF(ROUND(Grandview_Inventory[[#This Row],[adj_res]]*Lookups!$M$28,-2)&lt;Grandview_Inventory[[#This Row],[min_res]],Grandview_Inventory[[#This Row],[min_res]],ROUND(Grandview_Inventory[[#This Row],[adj_res]]*Lookups!$M$28,-2))</f>
        <v>295800</v>
      </c>
      <c r="CD1028">
        <f>Grandview_Inventory[[#This Row],[final_det]]+Grandview_Inventory[[#This Row],[final_res]]</f>
        <v>295800</v>
      </c>
      <c r="CE1028">
        <f>Grandview_Inventory[[#This Row],[final_land]]+Grandview_Inventory[[#This Row],[final_imp]]+Grandview_Inventory[[#This Row],[crop_value]]</f>
        <v>344600</v>
      </c>
      <c r="CG1028" t="str">
        <f t="shared" si="16"/>
        <v>update valuation set market_land =48800, market_bldg=295800, market_total =344600, market_mdno =401, market_date ='9/10/2023' where link_id = (select link_id from parcel where parcel_year = '2024' and parcel_id = '23092242401');</v>
      </c>
    </row>
    <row r="1029" spans="1:85" x14ac:dyDescent="0.25">
      <c r="A1029">
        <v>23092242402</v>
      </c>
      <c r="B1029">
        <v>0.25</v>
      </c>
      <c r="C1029">
        <v>10794</v>
      </c>
      <c r="D1029" t="s">
        <v>129</v>
      </c>
      <c r="E1029" t="s">
        <v>53</v>
      </c>
      <c r="F1029" t="s">
        <v>53</v>
      </c>
      <c r="G1029">
        <v>4</v>
      </c>
      <c r="H1029" t="s">
        <v>54</v>
      </c>
      <c r="I1029">
        <v>201400</v>
      </c>
      <c r="J1029">
        <v>44400</v>
      </c>
      <c r="K1029">
        <v>0.25</v>
      </c>
      <c r="L102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029">
        <v>0</v>
      </c>
      <c r="N1029">
        <v>0</v>
      </c>
      <c r="O1029">
        <v>0</v>
      </c>
      <c r="P1029">
        <v>13398.7528</v>
      </c>
      <c r="Q1029">
        <v>63903</v>
      </c>
      <c r="R1029">
        <f>(Grandview_Inventory[[#This Row],[ln_acres]]*Grandview_Inventory[[#This Row],[coeff]])+Grandview_Inventory[[#This Row],[const]]</f>
        <v>45328.38454732066</v>
      </c>
      <c r="S1029" t="s">
        <v>61</v>
      </c>
      <c r="T1029">
        <v>1</v>
      </c>
      <c r="U1029" t="s">
        <v>65</v>
      </c>
      <c r="V1029" t="s">
        <v>69</v>
      </c>
      <c r="W1029">
        <v>0</v>
      </c>
      <c r="X1029">
        <v>0</v>
      </c>
      <c r="Y1029">
        <v>49</v>
      </c>
      <c r="Z1029">
        <v>68</v>
      </c>
      <c r="AA1029">
        <v>70</v>
      </c>
      <c r="AB1029">
        <v>2500</v>
      </c>
      <c r="AC1029">
        <v>2126</v>
      </c>
      <c r="AD1029">
        <v>1246</v>
      </c>
      <c r="AE1029">
        <v>0</v>
      </c>
      <c r="AF1029">
        <v>0</v>
      </c>
      <c r="AG1029">
        <v>880</v>
      </c>
      <c r="AH1029">
        <v>366</v>
      </c>
      <c r="AI1029">
        <v>456</v>
      </c>
      <c r="AJ1029">
        <v>0</v>
      </c>
      <c r="AK1029">
        <v>0</v>
      </c>
      <c r="AL1029">
        <v>0</v>
      </c>
      <c r="AM1029">
        <v>240</v>
      </c>
      <c r="AN1029">
        <v>0</v>
      </c>
      <c r="AO1029">
        <v>0</v>
      </c>
      <c r="AP1029">
        <v>8</v>
      </c>
      <c r="AQ1029">
        <v>0</v>
      </c>
      <c r="AR1029">
        <v>0</v>
      </c>
      <c r="AS1029" t="s">
        <v>58</v>
      </c>
      <c r="AT1029">
        <v>1</v>
      </c>
      <c r="AU1029" t="s">
        <v>59</v>
      </c>
      <c r="AV1029" t="s">
        <v>60</v>
      </c>
      <c r="AW1029">
        <v>1</v>
      </c>
      <c r="AX1029">
        <v>4</v>
      </c>
      <c r="AY1029">
        <v>0</v>
      </c>
      <c r="AZ1029">
        <v>4600</v>
      </c>
      <c r="BA1029">
        <v>100</v>
      </c>
      <c r="BB1029">
        <v>100</v>
      </c>
      <c r="BC1029">
        <v>100</v>
      </c>
      <c r="BD1029">
        <v>100</v>
      </c>
      <c r="BE1029">
        <v>1</v>
      </c>
      <c r="BF1029">
        <v>15000</v>
      </c>
      <c r="BG1029">
        <v>1000</v>
      </c>
      <c r="BH1029" s="6">
        <f>Grandview_Inventory[[#This Row],[land_extract]]*Lookups!$B$3</f>
        <v>52639.730588165206</v>
      </c>
      <c r="BI1029" s="6">
        <f>IF(Grandview_Inventory[[#This Row],[bldg_style]]="",0,Lookups!$B$2)</f>
        <v>155833.95000000001</v>
      </c>
      <c r="BJ1029" s="6">
        <f>_xlfn.IFNA(VLOOKUP(Grandview_Inventory[[#This Row],[quality]],Lookups!$H$2:$J$14,3,FALSE),0)</f>
        <v>2251</v>
      </c>
      <c r="BK1029" s="6">
        <f>_xlfn.IFNA(VLOOKUP(Grandview_Inventory[[#This Row],[condition]],Lookups!$H$17:$J$24,3,FALSE),0)</f>
        <v>-4503</v>
      </c>
      <c r="BL1029" s="6">
        <f>Grandview_Inventory[[#This Row],[Eff_Age]]*Lookups!$B$14</f>
        <v>-11719.163399999999</v>
      </c>
      <c r="BM1029" s="6">
        <f>Grandview_Inventory[[#This Row],[living_area]]*Lookups!$B$15</f>
        <v>132621.693478</v>
      </c>
      <c r="BN1029" s="6">
        <f>Grandview_Inventory[[#This Row],[Fin BSMT]]*Lookups!$B$16</f>
        <v>-23847.331200000001</v>
      </c>
      <c r="BO1029" s="6">
        <f>(Grandview_Inventory[[#This Row],[att_gar]]+Grandview_Inventory[[#This Row],[bltin_gar]])*Lookups!$B$17</f>
        <v>39909.319272000001</v>
      </c>
      <c r="BP1029" s="6">
        <f>Grandview_Inventory[[#This Row],[Plumbing Fixtures]]*Lookups!$B$18</f>
        <v>16083.5344</v>
      </c>
      <c r="BQ1029" s="6">
        <f>Grandview_Inventory[[#This Row],[detatched_value]]*Lookups!$B$19</f>
        <v>3895.3034600000001</v>
      </c>
      <c r="BR1029" s="6">
        <f>SUM(Grandview_Inventory[[#This Row],[Intercept]:[det_value]])*Grandview_Inventory[[#This Row],[res_pct]]</f>
        <v>310525.30601</v>
      </c>
      <c r="BS1029" s="6">
        <f>Grandview_Inventory[[#This Row],[land_value]]</f>
        <v>52639.730588165206</v>
      </c>
      <c r="BT1029" s="4">
        <f>_xlfn.IFNA(VLOOKUP(Grandview_Inventory[[#This Row],[quality]],Lookups!$A$26:$C$33,3,FALSE),1)</f>
        <v>0.98763855981004833</v>
      </c>
      <c r="BU1029" s="4">
        <f>_xlfn.IFNA(VLOOKUP(Grandview_Inventory[[#This Row],[condition]],Lookups!$A$37:$C$44,3,FALSE),1)</f>
        <v>0.96469275950863709</v>
      </c>
      <c r="BV1029" s="4">
        <f>IF(Grandview_Inventory[[#This Row],[bldg_style]]="",1,_xlfn.IFNA(VLOOKUP(Grandview_Inventory[[#This Row],[decade]],Lookups!$F$29:$H$43,3,FALSE),1))</f>
        <v>0.99472141305414818</v>
      </c>
      <c r="BW1029" s="4">
        <f>_xlfn.IFNA(VLOOKUP(Grandview_Inventory[[#This Row],[living_area_range]],Lookups!$F$47:$H$56,3,FALSE),1)</f>
        <v>0.95799442568048754</v>
      </c>
      <c r="BX1029" s="4">
        <f>AVERAGE(Grandview_Inventory[[#This Row],[qual_adj]:[size_adj]])</f>
        <v>0.97626178951333031</v>
      </c>
      <c r="BY1029" s="6">
        <f>IF(Grandview_Inventory[[#This Row],[pre_res]]&lt;0,0,Grandview_Inventory[[#This Row],[pre_res]]*Grandview_Inventory[[#This Row],[overall_adj]])</f>
        <v>303153.99093449709</v>
      </c>
      <c r="BZ1029" s="6">
        <f>(Grandview_Inventory[[#This Row],[sum_land]]-IF(Grandview_Inventory[[#This Row],[no_utilities]]=1,12000,0))/IF(Grandview_Inventory[[#This Row],[unbuildable]]=1,2,1)</f>
        <v>52639.730588165206</v>
      </c>
      <c r="CA102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029">
        <f>ROUND(Grandview_Inventory[[#This Row],[det_value]]*Lookups!$M$28,-2)</f>
        <v>3700</v>
      </c>
      <c r="CC1029">
        <f>IF(ROUND(Grandview_Inventory[[#This Row],[adj_res]]*Lookups!$M$28,-2)&lt;Grandview_Inventory[[#This Row],[min_res]],Grandview_Inventory[[#This Row],[min_res]],ROUND(Grandview_Inventory[[#This Row],[adj_res]]*Lookups!$M$28,-2))</f>
        <v>288000</v>
      </c>
      <c r="CD1029">
        <f>Grandview_Inventory[[#This Row],[final_det]]+Grandview_Inventory[[#This Row],[final_res]]</f>
        <v>291700</v>
      </c>
      <c r="CE1029">
        <f>Grandview_Inventory[[#This Row],[final_land]]+Grandview_Inventory[[#This Row],[final_imp]]+Grandview_Inventory[[#This Row],[crop_value]]</f>
        <v>341700</v>
      </c>
      <c r="CG1029" t="str">
        <f t="shared" si="16"/>
        <v>update valuation set market_land =50000, market_bldg=291700, market_total =341700, market_mdno =401, market_date ='9/10/2023' where link_id = (select link_id from parcel where parcel_year = '2024' and parcel_id = '23092242402');</v>
      </c>
    </row>
    <row r="1030" spans="1:85" x14ac:dyDescent="0.25">
      <c r="A1030">
        <v>23092242403</v>
      </c>
      <c r="B1030">
        <v>0.27</v>
      </c>
      <c r="C1030">
        <v>11671</v>
      </c>
      <c r="D1030" t="s">
        <v>129</v>
      </c>
      <c r="E1030" t="s">
        <v>53</v>
      </c>
      <c r="F1030" t="s">
        <v>53</v>
      </c>
      <c r="G1030">
        <v>4</v>
      </c>
      <c r="H1030" t="s">
        <v>54</v>
      </c>
      <c r="I1030">
        <v>172200</v>
      </c>
      <c r="J1030">
        <v>44500</v>
      </c>
      <c r="K1030">
        <v>0.27</v>
      </c>
      <c r="L1030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030">
        <v>0</v>
      </c>
      <c r="N1030">
        <v>0</v>
      </c>
      <c r="O1030">
        <v>0</v>
      </c>
      <c r="P1030">
        <v>13398.7528</v>
      </c>
      <c r="Q1030">
        <v>63903</v>
      </c>
      <c r="R1030">
        <f>(Grandview_Inventory[[#This Row],[ln_acres]]*Grandview_Inventory[[#This Row],[coeff]])+Grandview_Inventory[[#This Row],[const]]</f>
        <v>46359.566512734265</v>
      </c>
      <c r="S1030" t="s">
        <v>61</v>
      </c>
      <c r="T1030">
        <v>1</v>
      </c>
      <c r="U1030" t="s">
        <v>65</v>
      </c>
      <c r="V1030" t="s">
        <v>69</v>
      </c>
      <c r="W1030">
        <v>0</v>
      </c>
      <c r="X1030">
        <v>0</v>
      </c>
      <c r="Y1030">
        <v>49</v>
      </c>
      <c r="Z1030">
        <v>68</v>
      </c>
      <c r="AA1030">
        <v>70</v>
      </c>
      <c r="AB1030">
        <v>1500</v>
      </c>
      <c r="AC1030">
        <v>1411</v>
      </c>
      <c r="AD1030">
        <v>1411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288</v>
      </c>
      <c r="AM1030">
        <v>0</v>
      </c>
      <c r="AN1030">
        <v>0</v>
      </c>
      <c r="AO1030">
        <v>288</v>
      </c>
      <c r="AP1030">
        <v>7</v>
      </c>
      <c r="AQ1030">
        <v>0</v>
      </c>
      <c r="AR1030">
        <v>0</v>
      </c>
      <c r="AS1030" t="s">
        <v>58</v>
      </c>
      <c r="AT1030">
        <v>1</v>
      </c>
      <c r="AU1030" t="s">
        <v>59</v>
      </c>
      <c r="AV1030" t="s">
        <v>60</v>
      </c>
      <c r="AW1030">
        <v>1</v>
      </c>
      <c r="AX1030">
        <v>3</v>
      </c>
      <c r="AY1030">
        <v>0</v>
      </c>
      <c r="AZ1030">
        <v>17000</v>
      </c>
      <c r="BA1030">
        <v>100</v>
      </c>
      <c r="BB1030">
        <v>100</v>
      </c>
      <c r="BC1030">
        <v>100</v>
      </c>
      <c r="BD1030">
        <v>100</v>
      </c>
      <c r="BE1030">
        <v>1</v>
      </c>
      <c r="BF1030">
        <v>15000</v>
      </c>
      <c r="BG1030">
        <v>1000</v>
      </c>
      <c r="BH1030" s="6">
        <f>Grandview_Inventory[[#This Row],[land_extract]]*Lookups!$B$3</f>
        <v>53837.239420408718</v>
      </c>
      <c r="BI1030" s="6">
        <f>IF(Grandview_Inventory[[#This Row],[bldg_style]]="",0,Lookups!$B$2)</f>
        <v>155833.95000000001</v>
      </c>
      <c r="BJ1030" s="6">
        <f>_xlfn.IFNA(VLOOKUP(Grandview_Inventory[[#This Row],[quality]],Lookups!$H$2:$J$14,3,FALSE),0)</f>
        <v>2251</v>
      </c>
      <c r="BK1030" s="6">
        <f>_xlfn.IFNA(VLOOKUP(Grandview_Inventory[[#This Row],[condition]],Lookups!$H$17:$J$24,3,FALSE),0)</f>
        <v>-4503</v>
      </c>
      <c r="BL1030" s="6">
        <f>Grandview_Inventory[[#This Row],[Eff_Age]]*Lookups!$B$14</f>
        <v>-11719.163399999999</v>
      </c>
      <c r="BM1030" s="6">
        <f>Grandview_Inventory[[#This Row],[living_area]]*Lookups!$B$15</f>
        <v>88019.383583000003</v>
      </c>
      <c r="BN1030" s="6">
        <f>Grandview_Inventory[[#This Row],[Fin BSMT]]*Lookups!$B$16</f>
        <v>0</v>
      </c>
      <c r="BO1030" s="6">
        <f>(Grandview_Inventory[[#This Row],[att_gar]]+Grandview_Inventory[[#This Row],[bltin_gar]])*Lookups!$B$17</f>
        <v>0</v>
      </c>
      <c r="BP1030" s="6">
        <f>Grandview_Inventory[[#This Row],[Plumbing Fixtures]]*Lookups!$B$18</f>
        <v>14073.0926</v>
      </c>
      <c r="BQ1030" s="6">
        <f>Grandview_Inventory[[#This Row],[detatched_value]]*Lookups!$B$19</f>
        <v>14395.6867</v>
      </c>
      <c r="BR1030" s="6">
        <f>SUM(Grandview_Inventory[[#This Row],[Intercept]:[det_value]])*Grandview_Inventory[[#This Row],[res_pct]]</f>
        <v>258350.94948300003</v>
      </c>
      <c r="BS1030" s="6">
        <f>Grandview_Inventory[[#This Row],[land_value]]</f>
        <v>53837.239420408718</v>
      </c>
      <c r="BT1030" s="4">
        <f>_xlfn.IFNA(VLOOKUP(Grandview_Inventory[[#This Row],[quality]],Lookups!$A$26:$C$33,3,FALSE),1)</f>
        <v>0.98763855981004833</v>
      </c>
      <c r="BU1030" s="4">
        <f>_xlfn.IFNA(VLOOKUP(Grandview_Inventory[[#This Row],[condition]],Lookups!$A$37:$C$44,3,FALSE),1)</f>
        <v>0.96469275950863709</v>
      </c>
      <c r="BV1030" s="4">
        <f>IF(Grandview_Inventory[[#This Row],[bldg_style]]="",1,_xlfn.IFNA(VLOOKUP(Grandview_Inventory[[#This Row],[decade]],Lookups!$F$29:$H$43,3,FALSE),1))</f>
        <v>0.99472141305414818</v>
      </c>
      <c r="BW1030" s="4">
        <f>_xlfn.IFNA(VLOOKUP(Grandview_Inventory[[#This Row],[living_area_range]],Lookups!$F$47:$H$56,3,FALSE),1)</f>
        <v>0.96135087979789358</v>
      </c>
      <c r="BX1030" s="4">
        <f>AVERAGE(Grandview_Inventory[[#This Row],[qual_adj]:[size_adj]])</f>
        <v>0.97710090304268182</v>
      </c>
      <c r="BY1030" s="6">
        <f>IF(Grandview_Inventory[[#This Row],[pre_res]]&lt;0,0,Grandview_Inventory[[#This Row],[pre_res]]*Grandview_Inventory[[#This Row],[overall_adj]])</f>
        <v>252434.9460417736</v>
      </c>
      <c r="BZ1030" s="6">
        <f>(Grandview_Inventory[[#This Row],[sum_land]]-IF(Grandview_Inventory[[#This Row],[no_utilities]]=1,12000,0))/IF(Grandview_Inventory[[#This Row],[unbuildable]]=1,2,1)</f>
        <v>53837.239420408718</v>
      </c>
      <c r="CA1030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030">
        <f>ROUND(Grandview_Inventory[[#This Row],[det_value]]*Lookups!$M$28,-2)</f>
        <v>13700</v>
      </c>
      <c r="CC1030">
        <f>IF(ROUND(Grandview_Inventory[[#This Row],[adj_res]]*Lookups!$M$28,-2)&lt;Grandview_Inventory[[#This Row],[min_res]],Grandview_Inventory[[#This Row],[min_res]],ROUND(Grandview_Inventory[[#This Row],[adj_res]]*Lookups!$M$28,-2))</f>
        <v>239800</v>
      </c>
      <c r="CD1030">
        <f>Grandview_Inventory[[#This Row],[final_det]]+Grandview_Inventory[[#This Row],[final_res]]</f>
        <v>253500</v>
      </c>
      <c r="CE1030">
        <f>Grandview_Inventory[[#This Row],[final_land]]+Grandview_Inventory[[#This Row],[final_imp]]+Grandview_Inventory[[#This Row],[crop_value]]</f>
        <v>304600</v>
      </c>
      <c r="CG1030" t="str">
        <f t="shared" si="16"/>
        <v>update valuation set market_land =51100, market_bldg=253500, market_total =304600, market_mdno =401, market_date ='9/10/2023' where link_id = (select link_id from parcel where parcel_year = '2024' and parcel_id = '23092242403');</v>
      </c>
    </row>
    <row r="1031" spans="1:85" x14ac:dyDescent="0.25">
      <c r="A1031">
        <v>23092242404</v>
      </c>
      <c r="B1031">
        <v>0.25</v>
      </c>
      <c r="C1031">
        <v>10754</v>
      </c>
      <c r="D1031" t="s">
        <v>129</v>
      </c>
      <c r="E1031" t="s">
        <v>53</v>
      </c>
      <c r="F1031" t="s">
        <v>53</v>
      </c>
      <c r="G1031">
        <v>4</v>
      </c>
      <c r="H1031" t="s">
        <v>54</v>
      </c>
      <c r="I1031">
        <v>174200</v>
      </c>
      <c r="J1031">
        <v>44400</v>
      </c>
      <c r="K1031">
        <v>0.25</v>
      </c>
      <c r="L103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031">
        <v>0</v>
      </c>
      <c r="N1031">
        <v>0</v>
      </c>
      <c r="O1031">
        <v>0</v>
      </c>
      <c r="P1031">
        <v>13398.7528</v>
      </c>
      <c r="Q1031">
        <v>63903</v>
      </c>
      <c r="R1031">
        <f>(Grandview_Inventory[[#This Row],[ln_acres]]*Grandview_Inventory[[#This Row],[coeff]])+Grandview_Inventory[[#This Row],[const]]</f>
        <v>45328.38454732066</v>
      </c>
      <c r="S1031" t="s">
        <v>61</v>
      </c>
      <c r="T1031">
        <v>1</v>
      </c>
      <c r="U1031" t="s">
        <v>65</v>
      </c>
      <c r="V1031" t="s">
        <v>69</v>
      </c>
      <c r="W1031">
        <v>0</v>
      </c>
      <c r="X1031">
        <v>0</v>
      </c>
      <c r="Y1031">
        <v>48</v>
      </c>
      <c r="Z1031">
        <v>63</v>
      </c>
      <c r="AA1031">
        <v>70</v>
      </c>
      <c r="AB1031">
        <v>3000</v>
      </c>
      <c r="AC1031">
        <v>2546</v>
      </c>
      <c r="AD1031">
        <v>1273</v>
      </c>
      <c r="AE1031">
        <v>0</v>
      </c>
      <c r="AF1031">
        <v>0</v>
      </c>
      <c r="AG1031">
        <v>1273</v>
      </c>
      <c r="AH1031">
        <v>0</v>
      </c>
      <c r="AI1031">
        <v>299</v>
      </c>
      <c r="AJ1031">
        <v>0</v>
      </c>
      <c r="AK1031">
        <v>0</v>
      </c>
      <c r="AL1031">
        <v>0</v>
      </c>
      <c r="AM1031">
        <v>377</v>
      </c>
      <c r="AN1031">
        <v>0</v>
      </c>
      <c r="AO1031">
        <v>377</v>
      </c>
      <c r="AP1031">
        <v>8</v>
      </c>
      <c r="AQ1031">
        <v>0</v>
      </c>
      <c r="AR1031">
        <v>0</v>
      </c>
      <c r="AS1031" t="s">
        <v>58</v>
      </c>
      <c r="AT1031">
        <v>1</v>
      </c>
      <c r="AU1031" t="s">
        <v>63</v>
      </c>
      <c r="AV1031" t="s">
        <v>81</v>
      </c>
      <c r="AW1031">
        <v>0</v>
      </c>
      <c r="AX1031">
        <v>4</v>
      </c>
      <c r="AY1031">
        <v>0</v>
      </c>
      <c r="AZ1031">
        <v>0</v>
      </c>
      <c r="BA1031">
        <v>100</v>
      </c>
      <c r="BB1031">
        <v>100</v>
      </c>
      <c r="BC1031">
        <v>100</v>
      </c>
      <c r="BD1031">
        <v>100</v>
      </c>
      <c r="BE1031">
        <v>1</v>
      </c>
      <c r="BF1031">
        <v>15000</v>
      </c>
      <c r="BG1031">
        <v>1000</v>
      </c>
      <c r="BH1031" s="6">
        <f>Grandview_Inventory[[#This Row],[land_extract]]*Lookups!$B$3</f>
        <v>52639.730588165206</v>
      </c>
      <c r="BI1031" s="6">
        <f>IF(Grandview_Inventory[[#This Row],[bldg_style]]="",0,Lookups!$B$2)</f>
        <v>155833.95000000001</v>
      </c>
      <c r="BJ1031" s="6">
        <f>_xlfn.IFNA(VLOOKUP(Grandview_Inventory[[#This Row],[quality]],Lookups!$H$2:$J$14,3,FALSE),0)</f>
        <v>2251</v>
      </c>
      <c r="BK1031" s="6">
        <f>_xlfn.IFNA(VLOOKUP(Grandview_Inventory[[#This Row],[condition]],Lookups!$H$17:$J$24,3,FALSE),0)</f>
        <v>-4503</v>
      </c>
      <c r="BL1031" s="6">
        <f>Grandview_Inventory[[#This Row],[Eff_Age]]*Lookups!$B$14</f>
        <v>-11479.996799999999</v>
      </c>
      <c r="BM1031" s="6">
        <f>Grandview_Inventory[[#This Row],[living_area]]*Lookups!$B$15</f>
        <v>158821.65173800002</v>
      </c>
      <c r="BN1031" s="6">
        <f>Grandview_Inventory[[#This Row],[Fin BSMT]]*Lookups!$B$16</f>
        <v>-34497.332520000004</v>
      </c>
      <c r="BO1031" s="6">
        <f>(Grandview_Inventory[[#This Row],[att_gar]]+Grandview_Inventory[[#This Row],[bltin_gar]])*Lookups!$B$17</f>
        <v>26168.610662999999</v>
      </c>
      <c r="BP1031" s="6">
        <f>Grandview_Inventory[[#This Row],[Plumbing Fixtures]]*Lookups!$B$18</f>
        <v>16083.5344</v>
      </c>
      <c r="BQ1031" s="6">
        <f>Grandview_Inventory[[#This Row],[detatched_value]]*Lookups!$B$19</f>
        <v>0</v>
      </c>
      <c r="BR1031" s="6">
        <f>SUM(Grandview_Inventory[[#This Row],[Intercept]:[det_value]])*Grandview_Inventory[[#This Row],[res_pct]]</f>
        <v>308678.41748100007</v>
      </c>
      <c r="BS1031" s="6">
        <f>Grandview_Inventory[[#This Row],[land_value]]</f>
        <v>52639.730588165206</v>
      </c>
      <c r="BT1031" s="4">
        <f>_xlfn.IFNA(VLOOKUP(Grandview_Inventory[[#This Row],[quality]],Lookups!$A$26:$C$33,3,FALSE),1)</f>
        <v>0.98763855981004833</v>
      </c>
      <c r="BU1031" s="4">
        <f>_xlfn.IFNA(VLOOKUP(Grandview_Inventory[[#This Row],[condition]],Lookups!$A$37:$C$44,3,FALSE),1)</f>
        <v>0.96469275950863709</v>
      </c>
      <c r="BV1031" s="4">
        <f>IF(Grandview_Inventory[[#This Row],[bldg_style]]="",1,_xlfn.IFNA(VLOOKUP(Grandview_Inventory[[#This Row],[decade]],Lookups!$F$29:$H$43,3,FALSE),1))</f>
        <v>0.99472141305414818</v>
      </c>
      <c r="BW1031" s="4">
        <f>_xlfn.IFNA(VLOOKUP(Grandview_Inventory[[#This Row],[living_area_range]],Lookups!$F$47:$H$56,3,FALSE),1)</f>
        <v>0.94224801443562123</v>
      </c>
      <c r="BX1031" s="4">
        <f>AVERAGE(Grandview_Inventory[[#This Row],[qual_adj]:[size_adj]])</f>
        <v>0.97232518670211376</v>
      </c>
      <c r="BY1031" s="6">
        <f>IF(Grandview_Inventory[[#This Row],[pre_res]]&lt;0,0,Grandview_Inventory[[#This Row],[pre_res]]*Grandview_Inventory[[#This Row],[overall_adj]])</f>
        <v>300135.79990812641</v>
      </c>
      <c r="BZ1031" s="6">
        <f>(Grandview_Inventory[[#This Row],[sum_land]]-IF(Grandview_Inventory[[#This Row],[no_utilities]]=1,12000,0))/IF(Grandview_Inventory[[#This Row],[unbuildable]]=1,2,1)</f>
        <v>52639.730588165206</v>
      </c>
      <c r="CA103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031">
        <f>ROUND(Grandview_Inventory[[#This Row],[det_value]]*Lookups!$M$28,-2)</f>
        <v>0</v>
      </c>
      <c r="CC1031">
        <f>IF(ROUND(Grandview_Inventory[[#This Row],[adj_res]]*Lookups!$M$28,-2)&lt;Grandview_Inventory[[#This Row],[min_res]],Grandview_Inventory[[#This Row],[min_res]],ROUND(Grandview_Inventory[[#This Row],[adj_res]]*Lookups!$M$28,-2))</f>
        <v>285100</v>
      </c>
      <c r="CD1031">
        <f>Grandview_Inventory[[#This Row],[final_det]]+Grandview_Inventory[[#This Row],[final_res]]</f>
        <v>285100</v>
      </c>
      <c r="CE1031">
        <f>Grandview_Inventory[[#This Row],[final_land]]+Grandview_Inventory[[#This Row],[final_imp]]+Grandview_Inventory[[#This Row],[crop_value]]</f>
        <v>335100</v>
      </c>
      <c r="CG1031" t="str">
        <f t="shared" si="16"/>
        <v>update valuation set market_land =50000, market_bldg=285100, market_total =335100, market_mdno =401, market_date ='9/10/2023' where link_id = (select link_id from parcel where parcel_year = '2024' and parcel_id = '23092242404');</v>
      </c>
    </row>
    <row r="1032" spans="1:85" x14ac:dyDescent="0.25">
      <c r="A1032">
        <v>23092242405</v>
      </c>
      <c r="B1032">
        <v>0.24</v>
      </c>
      <c r="C1032">
        <v>10488</v>
      </c>
      <c r="D1032" t="s">
        <v>129</v>
      </c>
      <c r="E1032" t="s">
        <v>53</v>
      </c>
      <c r="F1032" t="s">
        <v>53</v>
      </c>
      <c r="G1032">
        <v>4</v>
      </c>
      <c r="H1032" t="s">
        <v>54</v>
      </c>
      <c r="I1032">
        <v>201900</v>
      </c>
      <c r="J1032">
        <v>44200</v>
      </c>
      <c r="K1032">
        <v>0.24</v>
      </c>
      <c r="L1032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32">
        <v>0</v>
      </c>
      <c r="N1032">
        <v>0</v>
      </c>
      <c r="O1032">
        <v>0</v>
      </c>
      <c r="P1032">
        <v>13398.7528</v>
      </c>
      <c r="Q1032">
        <v>63903</v>
      </c>
      <c r="R1032">
        <f>(Grandview_Inventory[[#This Row],[ln_acres]]*Grandview_Inventory[[#This Row],[coeff]])+Grandview_Inventory[[#This Row],[const]]</f>
        <v>44781.420733940802</v>
      </c>
      <c r="S1032" t="s">
        <v>61</v>
      </c>
      <c r="T1032">
        <v>1</v>
      </c>
      <c r="U1032" t="s">
        <v>65</v>
      </c>
      <c r="V1032" t="s">
        <v>67</v>
      </c>
      <c r="W1032">
        <v>0</v>
      </c>
      <c r="X1032">
        <v>0</v>
      </c>
      <c r="Y1032">
        <v>47</v>
      </c>
      <c r="Z1032">
        <v>58</v>
      </c>
      <c r="AA1032">
        <v>60</v>
      </c>
      <c r="AB1032">
        <v>2000</v>
      </c>
      <c r="AC1032">
        <v>1550</v>
      </c>
      <c r="AD1032">
        <v>1550</v>
      </c>
      <c r="AE1032">
        <v>0</v>
      </c>
      <c r="AF1032">
        <v>0</v>
      </c>
      <c r="AG1032">
        <v>0</v>
      </c>
      <c r="AH1032">
        <v>486</v>
      </c>
      <c r="AI1032">
        <v>0</v>
      </c>
      <c r="AJ1032">
        <v>0</v>
      </c>
      <c r="AK1032">
        <v>0</v>
      </c>
      <c r="AL1032">
        <v>0</v>
      </c>
      <c r="AM1032">
        <v>400</v>
      </c>
      <c r="AN1032">
        <v>48</v>
      </c>
      <c r="AO1032">
        <v>0</v>
      </c>
      <c r="AP1032">
        <v>8</v>
      </c>
      <c r="AQ1032">
        <v>0</v>
      </c>
      <c r="AR1032">
        <v>0</v>
      </c>
      <c r="AS1032" t="s">
        <v>58</v>
      </c>
      <c r="AT1032">
        <v>1</v>
      </c>
      <c r="AU1032" t="s">
        <v>59</v>
      </c>
      <c r="AV1032" t="s">
        <v>60</v>
      </c>
      <c r="AW1032">
        <v>1</v>
      </c>
      <c r="AX1032">
        <v>3</v>
      </c>
      <c r="AY1032">
        <v>0</v>
      </c>
      <c r="AZ1032">
        <v>1600</v>
      </c>
      <c r="BA1032">
        <v>100</v>
      </c>
      <c r="BB1032">
        <v>100</v>
      </c>
      <c r="BC1032">
        <v>100</v>
      </c>
      <c r="BD1032">
        <v>100</v>
      </c>
      <c r="BE1032">
        <v>1</v>
      </c>
      <c r="BF1032">
        <v>15000</v>
      </c>
      <c r="BG1032">
        <v>1000</v>
      </c>
      <c r="BH1032" s="6">
        <f>Grandview_Inventory[[#This Row],[land_extract]]*Lookups!$B$3</f>
        <v>52004.542988489469</v>
      </c>
      <c r="BI1032" s="6">
        <f>IF(Grandview_Inventory[[#This Row],[bldg_style]]="",0,Lookups!$B$2)</f>
        <v>155833.95000000001</v>
      </c>
      <c r="BJ1032" s="6">
        <f>_xlfn.IFNA(VLOOKUP(Grandview_Inventory[[#This Row],[quality]],Lookups!$H$2:$J$14,3,FALSE),0)</f>
        <v>2251</v>
      </c>
      <c r="BK1032" s="6">
        <f>_xlfn.IFNA(VLOOKUP(Grandview_Inventory[[#This Row],[condition]],Lookups!$H$17:$J$24,3,FALSE),0)</f>
        <v>22342</v>
      </c>
      <c r="BL1032" s="6">
        <f>Grandview_Inventory[[#This Row],[Eff_Age]]*Lookups!$B$14</f>
        <v>-11240.8302</v>
      </c>
      <c r="BM1032" s="6">
        <f>Grandview_Inventory[[#This Row],[living_area]]*Lookups!$B$15</f>
        <v>96690.322150000007</v>
      </c>
      <c r="BN1032" s="6">
        <f>Grandview_Inventory[[#This Row],[Fin BSMT]]*Lookups!$B$16</f>
        <v>0</v>
      </c>
      <c r="BO1032" s="6">
        <f>(Grandview_Inventory[[#This Row],[att_gar]]+Grandview_Inventory[[#This Row],[bltin_gar]])*Lookups!$B$17</f>
        <v>0</v>
      </c>
      <c r="BP1032" s="6">
        <f>Grandview_Inventory[[#This Row],[Plumbing Fixtures]]*Lookups!$B$18</f>
        <v>16083.5344</v>
      </c>
      <c r="BQ1032" s="6">
        <f>Grandview_Inventory[[#This Row],[detatched_value]]*Lookups!$B$19</f>
        <v>1354.88816</v>
      </c>
      <c r="BR1032" s="6">
        <f>SUM(Grandview_Inventory[[#This Row],[Intercept]:[det_value]])*Grandview_Inventory[[#This Row],[res_pct]]</f>
        <v>283314.86450999998</v>
      </c>
      <c r="BS1032" s="6">
        <f>Grandview_Inventory[[#This Row],[land_value]]</f>
        <v>52004.542988489469</v>
      </c>
      <c r="BT1032" s="4">
        <f>_xlfn.IFNA(VLOOKUP(Grandview_Inventory[[#This Row],[quality]],Lookups!$A$26:$C$33,3,FALSE),1)</f>
        <v>0.98763855981004833</v>
      </c>
      <c r="BU1032" s="4">
        <f>_xlfn.IFNA(VLOOKUP(Grandview_Inventory[[#This Row],[condition]],Lookups!$A$37:$C$44,3,FALSE),1)</f>
        <v>0.97383723671140243</v>
      </c>
      <c r="BV1032" s="4">
        <f>IF(Grandview_Inventory[[#This Row],[bldg_style]]="",1,_xlfn.IFNA(VLOOKUP(Grandview_Inventory[[#This Row],[decade]],Lookups!$F$29:$H$43,3,FALSE),1))</f>
        <v>0.95268620544463312</v>
      </c>
      <c r="BW1032" s="4">
        <f>_xlfn.IFNA(VLOOKUP(Grandview_Inventory[[#This Row],[living_area_range]],Lookups!$F$47:$H$56,3,FALSE),1)</f>
        <v>0.96120133463014379</v>
      </c>
      <c r="BX1032" s="4">
        <f>AVERAGE(Grandview_Inventory[[#This Row],[qual_adj]:[size_adj]])</f>
        <v>0.96884083414905686</v>
      </c>
      <c r="BY1032" s="6">
        <f>IF(Grandview_Inventory[[#This Row],[pre_res]]&lt;0,0,Grandview_Inventory[[#This Row],[pre_res]]*Grandview_Inventory[[#This Row],[overall_adj]])</f>
        <v>274487.00965869543</v>
      </c>
      <c r="BZ1032" s="6">
        <f>(Grandview_Inventory[[#This Row],[sum_land]]-IF(Grandview_Inventory[[#This Row],[no_utilities]]=1,12000,0))/IF(Grandview_Inventory[[#This Row],[unbuildable]]=1,2,1)</f>
        <v>52004.542988489469</v>
      </c>
      <c r="CA1032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32">
        <f>ROUND(Grandview_Inventory[[#This Row],[det_value]]*Lookups!$M$28,-2)</f>
        <v>1300</v>
      </c>
      <c r="CC1032">
        <f>IF(ROUND(Grandview_Inventory[[#This Row],[adj_res]]*Lookups!$M$28,-2)&lt;Grandview_Inventory[[#This Row],[min_res]],Grandview_Inventory[[#This Row],[min_res]],ROUND(Grandview_Inventory[[#This Row],[adj_res]]*Lookups!$M$28,-2))</f>
        <v>260800</v>
      </c>
      <c r="CD1032">
        <f>Grandview_Inventory[[#This Row],[final_det]]+Grandview_Inventory[[#This Row],[final_res]]</f>
        <v>262100</v>
      </c>
      <c r="CE1032">
        <f>Grandview_Inventory[[#This Row],[final_land]]+Grandview_Inventory[[#This Row],[final_imp]]+Grandview_Inventory[[#This Row],[crop_value]]</f>
        <v>311500</v>
      </c>
      <c r="CG1032" t="str">
        <f t="shared" si="16"/>
        <v>update valuation set market_land =49400, market_bldg=262100, market_total =311500, market_mdno =401, market_date ='9/10/2023' where link_id = (select link_id from parcel where parcel_year = '2024' and parcel_id = '23092242405');</v>
      </c>
    </row>
    <row r="1033" spans="1:85" x14ac:dyDescent="0.25">
      <c r="A1033">
        <v>23092242406</v>
      </c>
      <c r="B1033">
        <v>0.25</v>
      </c>
      <c r="C1033">
        <v>10987</v>
      </c>
      <c r="D1033" t="s">
        <v>129</v>
      </c>
      <c r="E1033" t="s">
        <v>53</v>
      </c>
      <c r="F1033" t="s">
        <v>53</v>
      </c>
      <c r="G1033">
        <v>4</v>
      </c>
      <c r="H1033" t="s">
        <v>54</v>
      </c>
      <c r="I1033">
        <v>148800</v>
      </c>
      <c r="J1033">
        <v>44500</v>
      </c>
      <c r="K1033">
        <v>0.25</v>
      </c>
      <c r="L1033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033">
        <v>0</v>
      </c>
      <c r="N1033">
        <v>0</v>
      </c>
      <c r="O1033">
        <v>0</v>
      </c>
      <c r="P1033">
        <v>13398.7528</v>
      </c>
      <c r="Q1033">
        <v>63903</v>
      </c>
      <c r="R1033">
        <f>(Grandview_Inventory[[#This Row],[ln_acres]]*Grandview_Inventory[[#This Row],[coeff]])+Grandview_Inventory[[#This Row],[const]]</f>
        <v>45328.38454732066</v>
      </c>
      <c r="S1033" t="s">
        <v>61</v>
      </c>
      <c r="T1033">
        <v>1</v>
      </c>
      <c r="U1033" t="s">
        <v>65</v>
      </c>
      <c r="V1033" t="s">
        <v>69</v>
      </c>
      <c r="W1033">
        <v>0</v>
      </c>
      <c r="X1033">
        <v>0</v>
      </c>
      <c r="Y1033">
        <v>48</v>
      </c>
      <c r="Z1033">
        <v>63</v>
      </c>
      <c r="AA1033">
        <v>70</v>
      </c>
      <c r="AB1033">
        <v>1500</v>
      </c>
      <c r="AC1033">
        <v>1218</v>
      </c>
      <c r="AD1033">
        <v>1218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440</v>
      </c>
      <c r="AL1033">
        <v>0</v>
      </c>
      <c r="AM1033">
        <v>300</v>
      </c>
      <c r="AN1033">
        <v>90</v>
      </c>
      <c r="AO1033">
        <v>0</v>
      </c>
      <c r="AP1033">
        <v>7</v>
      </c>
      <c r="AQ1033">
        <v>0</v>
      </c>
      <c r="AR1033">
        <v>1</v>
      </c>
      <c r="AS1033" t="s">
        <v>58</v>
      </c>
      <c r="AT1033">
        <v>1</v>
      </c>
      <c r="AU1033" t="s">
        <v>75</v>
      </c>
      <c r="AV1033" t="s">
        <v>64</v>
      </c>
      <c r="AW1033">
        <v>0</v>
      </c>
      <c r="AX1033">
        <v>3</v>
      </c>
      <c r="AY1033">
        <v>0</v>
      </c>
      <c r="AZ1033">
        <v>0</v>
      </c>
      <c r="BA1033">
        <v>100</v>
      </c>
      <c r="BB1033">
        <v>100</v>
      </c>
      <c r="BC1033">
        <v>100</v>
      </c>
      <c r="BD1033">
        <v>100</v>
      </c>
      <c r="BE1033">
        <v>1</v>
      </c>
      <c r="BF1033">
        <v>15000</v>
      </c>
      <c r="BG1033">
        <v>1000</v>
      </c>
      <c r="BH1033" s="6">
        <f>Grandview_Inventory[[#This Row],[land_extract]]*Lookups!$B$3</f>
        <v>52639.730588165206</v>
      </c>
      <c r="BI1033" s="6">
        <f>IF(Grandview_Inventory[[#This Row],[bldg_style]]="",0,Lookups!$B$2)</f>
        <v>155833.95000000001</v>
      </c>
      <c r="BJ1033" s="6">
        <f>_xlfn.IFNA(VLOOKUP(Grandview_Inventory[[#This Row],[quality]],Lookups!$H$2:$J$14,3,FALSE),0)</f>
        <v>2251</v>
      </c>
      <c r="BK1033" s="6">
        <f>_xlfn.IFNA(VLOOKUP(Grandview_Inventory[[#This Row],[condition]],Lookups!$H$17:$J$24,3,FALSE),0)</f>
        <v>-4503</v>
      </c>
      <c r="BL1033" s="6">
        <f>Grandview_Inventory[[#This Row],[Eff_Age]]*Lookups!$B$14</f>
        <v>-11479.996799999999</v>
      </c>
      <c r="BM1033" s="6">
        <f>Grandview_Inventory[[#This Row],[living_area]]*Lookups!$B$15</f>
        <v>75979.878954</v>
      </c>
      <c r="BN1033" s="6">
        <f>Grandview_Inventory[[#This Row],[Fin BSMT]]*Lookups!$B$16</f>
        <v>0</v>
      </c>
      <c r="BO1033" s="6">
        <f>(Grandview_Inventory[[#This Row],[att_gar]]+Grandview_Inventory[[#This Row],[bltin_gar]])*Lookups!$B$17</f>
        <v>0</v>
      </c>
      <c r="BP1033" s="6">
        <f>Grandview_Inventory[[#This Row],[Plumbing Fixtures]]*Lookups!$B$18</f>
        <v>14073.0926</v>
      </c>
      <c r="BQ1033" s="6">
        <f>Grandview_Inventory[[#This Row],[detatched_value]]*Lookups!$B$19</f>
        <v>0</v>
      </c>
      <c r="BR1033" s="6">
        <f>SUM(Grandview_Inventory[[#This Row],[Intercept]:[det_value]])*Grandview_Inventory[[#This Row],[res_pct]]</f>
        <v>232154.92475400001</v>
      </c>
      <c r="BS1033" s="6">
        <f>Grandview_Inventory[[#This Row],[land_value]]</f>
        <v>52639.730588165206</v>
      </c>
      <c r="BT1033" s="4">
        <f>_xlfn.IFNA(VLOOKUP(Grandview_Inventory[[#This Row],[quality]],Lookups!$A$26:$C$33,3,FALSE),1)</f>
        <v>0.98763855981004833</v>
      </c>
      <c r="BU1033" s="4">
        <f>_xlfn.IFNA(VLOOKUP(Grandview_Inventory[[#This Row],[condition]],Lookups!$A$37:$C$44,3,FALSE),1)</f>
        <v>0.96469275950863709</v>
      </c>
      <c r="BV1033" s="4">
        <f>IF(Grandview_Inventory[[#This Row],[bldg_style]]="",1,_xlfn.IFNA(VLOOKUP(Grandview_Inventory[[#This Row],[decade]],Lookups!$F$29:$H$43,3,FALSE),1))</f>
        <v>0.99472141305414818</v>
      </c>
      <c r="BW1033" s="4">
        <f>_xlfn.IFNA(VLOOKUP(Grandview_Inventory[[#This Row],[living_area_range]],Lookups!$F$47:$H$56,3,FALSE),1)</f>
        <v>0.96135087979789358</v>
      </c>
      <c r="BX1033" s="4">
        <f>AVERAGE(Grandview_Inventory[[#This Row],[qual_adj]:[size_adj]])</f>
        <v>0.97710090304268182</v>
      </c>
      <c r="BY1033" s="6">
        <f>IF(Grandview_Inventory[[#This Row],[pre_res]]&lt;0,0,Grandview_Inventory[[#This Row],[pre_res]]*Grandview_Inventory[[#This Row],[overall_adj]])</f>
        <v>226838.78662293925</v>
      </c>
      <c r="BZ1033" s="6">
        <f>(Grandview_Inventory[[#This Row],[sum_land]]-IF(Grandview_Inventory[[#This Row],[no_utilities]]=1,12000,0))/IF(Grandview_Inventory[[#This Row],[unbuildable]]=1,2,1)</f>
        <v>52639.730588165206</v>
      </c>
      <c r="CA1033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033">
        <f>ROUND(Grandview_Inventory[[#This Row],[det_value]]*Lookups!$M$28,-2)</f>
        <v>0</v>
      </c>
      <c r="CC1033">
        <f>IF(ROUND(Grandview_Inventory[[#This Row],[adj_res]]*Lookups!$M$28,-2)&lt;Grandview_Inventory[[#This Row],[min_res]],Grandview_Inventory[[#This Row],[min_res]],ROUND(Grandview_Inventory[[#This Row],[adj_res]]*Lookups!$M$28,-2))</f>
        <v>215500</v>
      </c>
      <c r="CD1033">
        <f>Grandview_Inventory[[#This Row],[final_det]]+Grandview_Inventory[[#This Row],[final_res]]</f>
        <v>215500</v>
      </c>
      <c r="CE1033">
        <f>Grandview_Inventory[[#This Row],[final_land]]+Grandview_Inventory[[#This Row],[final_imp]]+Grandview_Inventory[[#This Row],[crop_value]]</f>
        <v>265500</v>
      </c>
      <c r="CG1033" t="str">
        <f t="shared" si="16"/>
        <v>update valuation set market_land =50000, market_bldg=215500, market_total =265500, market_mdno =401, market_date ='9/10/2023' where link_id = (select link_id from parcel where parcel_year = '2024' and parcel_id = '23092242406');</v>
      </c>
    </row>
    <row r="1034" spans="1:85" x14ac:dyDescent="0.25">
      <c r="A1034">
        <v>23092242407</v>
      </c>
      <c r="B1034">
        <v>0.27</v>
      </c>
      <c r="C1034">
        <v>11680</v>
      </c>
      <c r="D1034" t="s">
        <v>129</v>
      </c>
      <c r="E1034" t="s">
        <v>53</v>
      </c>
      <c r="F1034" t="s">
        <v>53</v>
      </c>
      <c r="G1034">
        <v>4</v>
      </c>
      <c r="H1034" t="s">
        <v>54</v>
      </c>
      <c r="I1034">
        <v>161100</v>
      </c>
      <c r="J1034">
        <v>44500</v>
      </c>
      <c r="K1034">
        <v>0.27</v>
      </c>
      <c r="L103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034">
        <v>0</v>
      </c>
      <c r="N1034">
        <v>0</v>
      </c>
      <c r="O1034">
        <v>0</v>
      </c>
      <c r="P1034">
        <v>13398.7528</v>
      </c>
      <c r="Q1034">
        <v>63903</v>
      </c>
      <c r="R1034">
        <f>(Grandview_Inventory[[#This Row],[ln_acres]]*Grandview_Inventory[[#This Row],[coeff]])+Grandview_Inventory[[#This Row],[const]]</f>
        <v>46359.566512734265</v>
      </c>
      <c r="S1034" t="s">
        <v>61</v>
      </c>
      <c r="T1034">
        <v>1</v>
      </c>
      <c r="U1034" t="s">
        <v>65</v>
      </c>
      <c r="V1034" t="s">
        <v>69</v>
      </c>
      <c r="W1034">
        <v>0</v>
      </c>
      <c r="X1034">
        <v>0</v>
      </c>
      <c r="Y1034">
        <v>46</v>
      </c>
      <c r="Z1034">
        <v>53</v>
      </c>
      <c r="AA1034">
        <v>60</v>
      </c>
      <c r="AB1034">
        <v>2500</v>
      </c>
      <c r="AC1034">
        <v>2162</v>
      </c>
      <c r="AD1034">
        <v>1081</v>
      </c>
      <c r="AE1034">
        <v>0</v>
      </c>
      <c r="AF1034">
        <v>0</v>
      </c>
      <c r="AG1034">
        <v>1081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312</v>
      </c>
      <c r="AN1034">
        <v>0</v>
      </c>
      <c r="AO1034">
        <v>0</v>
      </c>
      <c r="AP1034">
        <v>8</v>
      </c>
      <c r="AQ1034">
        <v>0</v>
      </c>
      <c r="AR1034">
        <v>0</v>
      </c>
      <c r="AS1034" t="s">
        <v>58</v>
      </c>
      <c r="AT1034">
        <v>1</v>
      </c>
      <c r="AU1034" t="s">
        <v>63</v>
      </c>
      <c r="AV1034" t="s">
        <v>60</v>
      </c>
      <c r="AW1034">
        <v>0</v>
      </c>
      <c r="AX1034">
        <v>4</v>
      </c>
      <c r="AY1034">
        <v>0</v>
      </c>
      <c r="AZ1034">
        <v>8000</v>
      </c>
      <c r="BA1034">
        <v>100</v>
      </c>
      <c r="BB1034">
        <v>100</v>
      </c>
      <c r="BC1034">
        <v>100</v>
      </c>
      <c r="BD1034">
        <v>100</v>
      </c>
      <c r="BE1034">
        <v>1</v>
      </c>
      <c r="BF1034">
        <v>15000</v>
      </c>
      <c r="BG1034">
        <v>1000</v>
      </c>
      <c r="BH1034" s="6">
        <f>Grandview_Inventory[[#This Row],[land_extract]]*Lookups!$B$3</f>
        <v>53837.239420408718</v>
      </c>
      <c r="BI1034" s="6">
        <f>IF(Grandview_Inventory[[#This Row],[bldg_style]]="",0,Lookups!$B$2)</f>
        <v>155833.95000000001</v>
      </c>
      <c r="BJ1034" s="6">
        <f>_xlfn.IFNA(VLOOKUP(Grandview_Inventory[[#This Row],[quality]],Lookups!$H$2:$J$14,3,FALSE),0)</f>
        <v>2251</v>
      </c>
      <c r="BK1034" s="6">
        <f>_xlfn.IFNA(VLOOKUP(Grandview_Inventory[[#This Row],[condition]],Lookups!$H$17:$J$24,3,FALSE),0)</f>
        <v>-4503</v>
      </c>
      <c r="BL1034" s="6">
        <f>Grandview_Inventory[[#This Row],[Eff_Age]]*Lookups!$B$14</f>
        <v>-11001.6636</v>
      </c>
      <c r="BM1034" s="6">
        <f>Grandview_Inventory[[#This Row],[living_area]]*Lookups!$B$15</f>
        <v>134867.404186</v>
      </c>
      <c r="BN1034" s="6">
        <f>Grandview_Inventory[[#This Row],[Fin BSMT]]*Lookups!$B$16</f>
        <v>-29294.278440000002</v>
      </c>
      <c r="BO1034" s="6">
        <f>(Grandview_Inventory[[#This Row],[att_gar]]+Grandview_Inventory[[#This Row],[bltin_gar]])*Lookups!$B$17</f>
        <v>0</v>
      </c>
      <c r="BP1034" s="6">
        <f>Grandview_Inventory[[#This Row],[Plumbing Fixtures]]*Lookups!$B$18</f>
        <v>16083.5344</v>
      </c>
      <c r="BQ1034" s="6">
        <f>Grandview_Inventory[[#This Row],[detatched_value]]*Lookups!$B$19</f>
        <v>6774.4407999999994</v>
      </c>
      <c r="BR1034" s="6">
        <f>SUM(Grandview_Inventory[[#This Row],[Intercept]:[det_value]])*Grandview_Inventory[[#This Row],[res_pct]]</f>
        <v>271011.38734599994</v>
      </c>
      <c r="BS1034" s="6">
        <f>Grandview_Inventory[[#This Row],[land_value]]</f>
        <v>53837.239420408718</v>
      </c>
      <c r="BT1034" s="4">
        <f>_xlfn.IFNA(VLOOKUP(Grandview_Inventory[[#This Row],[quality]],Lookups!$A$26:$C$33,3,FALSE),1)</f>
        <v>0.98763855981004833</v>
      </c>
      <c r="BU1034" s="4">
        <f>_xlfn.IFNA(VLOOKUP(Grandview_Inventory[[#This Row],[condition]],Lookups!$A$37:$C$44,3,FALSE),1)</f>
        <v>0.96469275950863709</v>
      </c>
      <c r="BV1034" s="4">
        <f>IF(Grandview_Inventory[[#This Row],[bldg_style]]="",1,_xlfn.IFNA(VLOOKUP(Grandview_Inventory[[#This Row],[decade]],Lookups!$F$29:$H$43,3,FALSE),1))</f>
        <v>0.95268620544463312</v>
      </c>
      <c r="BW1034" s="4">
        <f>_xlfn.IFNA(VLOOKUP(Grandview_Inventory[[#This Row],[living_area_range]],Lookups!$F$47:$H$56,3,FALSE),1)</f>
        <v>0.95799442568048754</v>
      </c>
      <c r="BX1034" s="4">
        <f>AVERAGE(Grandview_Inventory[[#This Row],[qual_adj]:[size_adj]])</f>
        <v>0.96575298761095152</v>
      </c>
      <c r="BY1034" s="6">
        <f>IF(Grandview_Inventory[[#This Row],[pre_res]]&lt;0,0,Grandview_Inventory[[#This Row],[pre_res]]*Grandview_Inventory[[#This Row],[overall_adj]])</f>
        <v>261730.05700598826</v>
      </c>
      <c r="BZ1034" s="6">
        <f>(Grandview_Inventory[[#This Row],[sum_land]]-IF(Grandview_Inventory[[#This Row],[no_utilities]]=1,12000,0))/IF(Grandview_Inventory[[#This Row],[unbuildable]]=1,2,1)</f>
        <v>53837.239420408718</v>
      </c>
      <c r="CA103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034">
        <f>ROUND(Grandview_Inventory[[#This Row],[det_value]]*Lookups!$M$28,-2)</f>
        <v>6400</v>
      </c>
      <c r="CC1034">
        <f>IF(ROUND(Grandview_Inventory[[#This Row],[adj_res]]*Lookups!$M$28,-2)&lt;Grandview_Inventory[[#This Row],[min_res]],Grandview_Inventory[[#This Row],[min_res]],ROUND(Grandview_Inventory[[#This Row],[adj_res]]*Lookups!$M$28,-2))</f>
        <v>248600</v>
      </c>
      <c r="CD1034">
        <f>Grandview_Inventory[[#This Row],[final_det]]+Grandview_Inventory[[#This Row],[final_res]]</f>
        <v>255000</v>
      </c>
      <c r="CE1034">
        <f>Grandview_Inventory[[#This Row],[final_land]]+Grandview_Inventory[[#This Row],[final_imp]]+Grandview_Inventory[[#This Row],[crop_value]]</f>
        <v>306100</v>
      </c>
      <c r="CG1034" t="str">
        <f t="shared" si="16"/>
        <v>update valuation set market_land =51100, market_bldg=255000, market_total =306100, market_mdno =401, market_date ='9/10/2023' where link_id = (select link_id from parcel where parcel_year = '2024' and parcel_id = '23092242407');</v>
      </c>
    </row>
    <row r="1035" spans="1:85" x14ac:dyDescent="0.25">
      <c r="A1035">
        <v>23092242410</v>
      </c>
      <c r="B1035">
        <v>0.24</v>
      </c>
      <c r="C1035">
        <v>10257</v>
      </c>
      <c r="D1035" t="s">
        <v>129</v>
      </c>
      <c r="E1035" t="s">
        <v>53</v>
      </c>
      <c r="F1035" t="s">
        <v>53</v>
      </c>
      <c r="G1035">
        <v>4</v>
      </c>
      <c r="H1035" t="s">
        <v>54</v>
      </c>
      <c r="I1035">
        <v>187100</v>
      </c>
      <c r="J1035">
        <v>39700</v>
      </c>
      <c r="K1035">
        <v>0.24</v>
      </c>
      <c r="L103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35">
        <v>0</v>
      </c>
      <c r="N1035">
        <v>0</v>
      </c>
      <c r="O1035">
        <v>0</v>
      </c>
      <c r="P1035">
        <v>13398.7528</v>
      </c>
      <c r="Q1035">
        <v>63903</v>
      </c>
      <c r="R1035">
        <f>(Grandview_Inventory[[#This Row],[ln_acres]]*Grandview_Inventory[[#This Row],[coeff]])+Grandview_Inventory[[#This Row],[const]]</f>
        <v>44781.420733940802</v>
      </c>
      <c r="S1035" t="s">
        <v>61</v>
      </c>
      <c r="T1035">
        <v>1</v>
      </c>
      <c r="U1035" t="s">
        <v>65</v>
      </c>
      <c r="V1035" t="s">
        <v>69</v>
      </c>
      <c r="W1035">
        <v>0</v>
      </c>
      <c r="X1035">
        <v>0</v>
      </c>
      <c r="Y1035">
        <v>49</v>
      </c>
      <c r="Z1035">
        <v>68</v>
      </c>
      <c r="AA1035">
        <v>70</v>
      </c>
      <c r="AB1035">
        <v>2500</v>
      </c>
      <c r="AC1035">
        <v>2027</v>
      </c>
      <c r="AD1035">
        <v>1072</v>
      </c>
      <c r="AE1035">
        <v>0</v>
      </c>
      <c r="AF1035">
        <v>0</v>
      </c>
      <c r="AG1035">
        <v>955</v>
      </c>
      <c r="AH1035">
        <v>15</v>
      </c>
      <c r="AI1035">
        <v>312</v>
      </c>
      <c r="AJ1035">
        <v>0</v>
      </c>
      <c r="AK1035">
        <v>384</v>
      </c>
      <c r="AL1035">
        <v>0</v>
      </c>
      <c r="AM1035">
        <v>150</v>
      </c>
      <c r="AN1035">
        <v>0</v>
      </c>
      <c r="AO1035">
        <v>150</v>
      </c>
      <c r="AP1035">
        <v>5</v>
      </c>
      <c r="AQ1035">
        <v>0</v>
      </c>
      <c r="AR1035">
        <v>0</v>
      </c>
      <c r="AS1035" t="s">
        <v>58</v>
      </c>
      <c r="AT1035">
        <v>1</v>
      </c>
      <c r="AU1035" t="s">
        <v>63</v>
      </c>
      <c r="AV1035" t="s">
        <v>60</v>
      </c>
      <c r="AW1035">
        <v>1</v>
      </c>
      <c r="AX1035">
        <v>2</v>
      </c>
      <c r="AY1035">
        <v>0</v>
      </c>
      <c r="AZ1035">
        <v>0</v>
      </c>
      <c r="BA1035">
        <v>100</v>
      </c>
      <c r="BB1035">
        <v>100</v>
      </c>
      <c r="BC1035">
        <v>100</v>
      </c>
      <c r="BD1035">
        <v>100</v>
      </c>
      <c r="BE1035">
        <v>1</v>
      </c>
      <c r="BF1035">
        <v>15000</v>
      </c>
      <c r="BG1035">
        <v>1000</v>
      </c>
      <c r="BH1035" s="6">
        <f>Grandview_Inventory[[#This Row],[land_extract]]*Lookups!$B$3</f>
        <v>52004.542988489469</v>
      </c>
      <c r="BI1035" s="6">
        <f>IF(Grandview_Inventory[[#This Row],[bldg_style]]="",0,Lookups!$B$2)</f>
        <v>155833.95000000001</v>
      </c>
      <c r="BJ1035" s="6">
        <f>_xlfn.IFNA(VLOOKUP(Grandview_Inventory[[#This Row],[quality]],Lookups!$H$2:$J$14,3,FALSE),0)</f>
        <v>2251</v>
      </c>
      <c r="BK1035" s="6">
        <f>_xlfn.IFNA(VLOOKUP(Grandview_Inventory[[#This Row],[condition]],Lookups!$H$17:$J$24,3,FALSE),0)</f>
        <v>-4503</v>
      </c>
      <c r="BL1035" s="6">
        <f>Grandview_Inventory[[#This Row],[Eff_Age]]*Lookups!$B$14</f>
        <v>-11719.163399999999</v>
      </c>
      <c r="BM1035" s="6">
        <f>Grandview_Inventory[[#This Row],[living_area]]*Lookups!$B$15</f>
        <v>126445.989031</v>
      </c>
      <c r="BN1035" s="6">
        <f>Grandview_Inventory[[#This Row],[Fin BSMT]]*Lookups!$B$16</f>
        <v>-25879.774200000003</v>
      </c>
      <c r="BO1035" s="6">
        <f>(Grandview_Inventory[[#This Row],[att_gar]]+Grandview_Inventory[[#This Row],[bltin_gar]])*Lookups!$B$17</f>
        <v>27306.376344</v>
      </c>
      <c r="BP1035" s="6">
        <f>Grandview_Inventory[[#This Row],[Plumbing Fixtures]]*Lookups!$B$18</f>
        <v>10052.209000000001</v>
      </c>
      <c r="BQ1035" s="6">
        <f>Grandview_Inventory[[#This Row],[detatched_value]]*Lookups!$B$19</f>
        <v>0</v>
      </c>
      <c r="BR1035" s="6">
        <f>SUM(Grandview_Inventory[[#This Row],[Intercept]:[det_value]])*Grandview_Inventory[[#This Row],[res_pct]]</f>
        <v>279787.58677500003</v>
      </c>
      <c r="BS1035" s="6">
        <f>Grandview_Inventory[[#This Row],[land_value]]</f>
        <v>52004.542988489469</v>
      </c>
      <c r="BT1035" s="4">
        <f>_xlfn.IFNA(VLOOKUP(Grandview_Inventory[[#This Row],[quality]],Lookups!$A$26:$C$33,3,FALSE),1)</f>
        <v>0.98763855981004833</v>
      </c>
      <c r="BU1035" s="4">
        <f>_xlfn.IFNA(VLOOKUP(Grandview_Inventory[[#This Row],[condition]],Lookups!$A$37:$C$44,3,FALSE),1)</f>
        <v>0.96469275950863709</v>
      </c>
      <c r="BV1035" s="4">
        <f>IF(Grandview_Inventory[[#This Row],[bldg_style]]="",1,_xlfn.IFNA(VLOOKUP(Grandview_Inventory[[#This Row],[decade]],Lookups!$F$29:$H$43,3,FALSE),1))</f>
        <v>0.99472141305414818</v>
      </c>
      <c r="BW1035" s="4">
        <f>_xlfn.IFNA(VLOOKUP(Grandview_Inventory[[#This Row],[living_area_range]],Lookups!$F$47:$H$56,3,FALSE),1)</f>
        <v>0.95799442568048754</v>
      </c>
      <c r="BX1035" s="4">
        <f>AVERAGE(Grandview_Inventory[[#This Row],[qual_adj]:[size_adj]])</f>
        <v>0.97626178951333031</v>
      </c>
      <c r="BY1035" s="6">
        <f>IF(Grandview_Inventory[[#This Row],[pre_res]]&lt;0,0,Grandview_Inventory[[#This Row],[pre_res]]*Grandview_Inventory[[#This Row],[overall_adj]])</f>
        <v>273145.93014857773</v>
      </c>
      <c r="BZ1035" s="6">
        <f>(Grandview_Inventory[[#This Row],[sum_land]]-IF(Grandview_Inventory[[#This Row],[no_utilities]]=1,12000,0))/IF(Grandview_Inventory[[#This Row],[unbuildable]]=1,2,1)</f>
        <v>52004.542988489469</v>
      </c>
      <c r="CA103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35">
        <f>ROUND(Grandview_Inventory[[#This Row],[det_value]]*Lookups!$M$28,-2)</f>
        <v>0</v>
      </c>
      <c r="CC1035">
        <f>IF(ROUND(Grandview_Inventory[[#This Row],[adj_res]]*Lookups!$M$28,-2)&lt;Grandview_Inventory[[#This Row],[min_res]],Grandview_Inventory[[#This Row],[min_res]],ROUND(Grandview_Inventory[[#This Row],[adj_res]]*Lookups!$M$28,-2))</f>
        <v>259500</v>
      </c>
      <c r="CD1035">
        <f>Grandview_Inventory[[#This Row],[final_det]]+Grandview_Inventory[[#This Row],[final_res]]</f>
        <v>259500</v>
      </c>
      <c r="CE1035">
        <f>Grandview_Inventory[[#This Row],[final_land]]+Grandview_Inventory[[#This Row],[final_imp]]+Grandview_Inventory[[#This Row],[crop_value]]</f>
        <v>308900</v>
      </c>
      <c r="CG1035" t="str">
        <f t="shared" si="16"/>
        <v>update valuation set market_land =49400, market_bldg=259500, market_total =308900, market_mdno =401, market_date ='9/10/2023' where link_id = (select link_id from parcel where parcel_year = '2024' and parcel_id = '23092242410');</v>
      </c>
    </row>
    <row r="1036" spans="1:85" x14ac:dyDescent="0.25">
      <c r="A1036">
        <v>23092242411</v>
      </c>
      <c r="B1036">
        <v>0.36</v>
      </c>
      <c r="C1036">
        <v>15526</v>
      </c>
      <c r="D1036" t="s">
        <v>129</v>
      </c>
      <c r="E1036" t="s">
        <v>53</v>
      </c>
      <c r="F1036" t="s">
        <v>53</v>
      </c>
      <c r="G1036">
        <v>4</v>
      </c>
      <c r="H1036" t="s">
        <v>54</v>
      </c>
      <c r="I1036">
        <v>287900</v>
      </c>
      <c r="J1036">
        <v>45600</v>
      </c>
      <c r="K1036">
        <v>0.36</v>
      </c>
      <c r="L1036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036">
        <v>0</v>
      </c>
      <c r="N1036">
        <v>0</v>
      </c>
      <c r="O1036">
        <v>0</v>
      </c>
      <c r="P1036">
        <v>13398.7528</v>
      </c>
      <c r="Q1036">
        <v>63903</v>
      </c>
      <c r="R1036">
        <f>(Grandview_Inventory[[#This Row],[ln_acres]]*Grandview_Inventory[[#This Row],[coeff]])+Grandview_Inventory[[#This Row],[const]]</f>
        <v>50214.147486507369</v>
      </c>
      <c r="S1036" t="s">
        <v>55</v>
      </c>
      <c r="T1036">
        <v>2</v>
      </c>
      <c r="U1036" t="s">
        <v>62</v>
      </c>
      <c r="V1036" t="s">
        <v>67</v>
      </c>
      <c r="W1036">
        <v>0</v>
      </c>
      <c r="X1036">
        <v>0</v>
      </c>
      <c r="Y1036">
        <v>48</v>
      </c>
      <c r="Z1036">
        <v>63</v>
      </c>
      <c r="AA1036">
        <v>70</v>
      </c>
      <c r="AB1036">
        <v>2500</v>
      </c>
      <c r="AC1036">
        <v>2309</v>
      </c>
      <c r="AD1036">
        <v>1685</v>
      </c>
      <c r="AE1036">
        <v>624</v>
      </c>
      <c r="AF1036">
        <v>0</v>
      </c>
      <c r="AG1036">
        <v>0</v>
      </c>
      <c r="AH1036">
        <v>0</v>
      </c>
      <c r="AI1036">
        <v>364</v>
      </c>
      <c r="AJ1036">
        <v>0</v>
      </c>
      <c r="AK1036">
        <v>0</v>
      </c>
      <c r="AL1036">
        <v>0</v>
      </c>
      <c r="AM1036">
        <v>711</v>
      </c>
      <c r="AN1036">
        <v>0</v>
      </c>
      <c r="AO1036">
        <v>0</v>
      </c>
      <c r="AP1036">
        <v>12</v>
      </c>
      <c r="AQ1036">
        <v>0</v>
      </c>
      <c r="AR1036">
        <v>1</v>
      </c>
      <c r="AS1036" t="s">
        <v>58</v>
      </c>
      <c r="AT1036">
        <v>1</v>
      </c>
      <c r="AU1036" t="s">
        <v>63</v>
      </c>
      <c r="AV1036" t="s">
        <v>64</v>
      </c>
      <c r="AW1036">
        <v>1</v>
      </c>
      <c r="AX1036">
        <v>5</v>
      </c>
      <c r="AY1036">
        <v>0</v>
      </c>
      <c r="AZ1036">
        <v>0</v>
      </c>
      <c r="BA1036">
        <v>100</v>
      </c>
      <c r="BB1036">
        <v>100</v>
      </c>
      <c r="BC1036">
        <v>100</v>
      </c>
      <c r="BD1036">
        <v>100</v>
      </c>
      <c r="BE1036">
        <v>1</v>
      </c>
      <c r="BF1036">
        <v>15000</v>
      </c>
      <c r="BG1036">
        <v>1000</v>
      </c>
      <c r="BH1036" s="6">
        <f>Grandview_Inventory[[#This Row],[land_extract]]*Lookups!$B$3</f>
        <v>58313.55389788279</v>
      </c>
      <c r="BI1036" s="6">
        <f>IF(Grandview_Inventory[[#This Row],[bldg_style]]="",0,Lookups!$B$2)</f>
        <v>155833.95000000001</v>
      </c>
      <c r="BJ1036" s="6">
        <f>_xlfn.IFNA(VLOOKUP(Grandview_Inventory[[#This Row],[quality]],Lookups!$H$2:$J$14,3,FALSE),0)</f>
        <v>9808</v>
      </c>
      <c r="BK1036" s="6">
        <f>_xlfn.IFNA(VLOOKUP(Grandview_Inventory[[#This Row],[condition]],Lookups!$H$17:$J$24,3,FALSE),0)</f>
        <v>22342</v>
      </c>
      <c r="BL1036" s="6">
        <f>Grandview_Inventory[[#This Row],[Eff_Age]]*Lookups!$B$14</f>
        <v>-11479.996799999999</v>
      </c>
      <c r="BM1036" s="6">
        <f>Grandview_Inventory[[#This Row],[living_area]]*Lookups!$B$15</f>
        <v>144037.38957699999</v>
      </c>
      <c r="BN1036" s="6">
        <f>Grandview_Inventory[[#This Row],[Fin BSMT]]*Lookups!$B$16</f>
        <v>0</v>
      </c>
      <c r="BO1036" s="6">
        <f>(Grandview_Inventory[[#This Row],[att_gar]]+Grandview_Inventory[[#This Row],[bltin_gar]])*Lookups!$B$17</f>
        <v>31857.439068</v>
      </c>
      <c r="BP1036" s="6">
        <f>Grandview_Inventory[[#This Row],[Plumbing Fixtures]]*Lookups!$B$18</f>
        <v>24125.301599999999</v>
      </c>
      <c r="BQ1036" s="6">
        <f>Grandview_Inventory[[#This Row],[detatched_value]]*Lookups!$B$19</f>
        <v>0</v>
      </c>
      <c r="BR1036" s="6">
        <f>SUM(Grandview_Inventory[[#This Row],[Intercept]:[det_value]])*Grandview_Inventory[[#This Row],[res_pct]]</f>
        <v>376524.08344500005</v>
      </c>
      <c r="BS1036" s="6">
        <f>Grandview_Inventory[[#This Row],[land_value]]</f>
        <v>58313.55389788279</v>
      </c>
      <c r="BT1036" s="4">
        <f>_xlfn.IFNA(VLOOKUP(Grandview_Inventory[[#This Row],[quality]],Lookups!$A$26:$C$33,3,FALSE),1)</f>
        <v>0.94295468617355149</v>
      </c>
      <c r="BU1036" s="4">
        <f>_xlfn.IFNA(VLOOKUP(Grandview_Inventory[[#This Row],[condition]],Lookups!$A$37:$C$44,3,FALSE),1)</f>
        <v>0.97383723671140243</v>
      </c>
      <c r="BV1036" s="4">
        <f>IF(Grandview_Inventory[[#This Row],[bldg_style]]="",1,_xlfn.IFNA(VLOOKUP(Grandview_Inventory[[#This Row],[decade]],Lookups!$F$29:$H$43,3,FALSE),1))</f>
        <v>0.99472141305414818</v>
      </c>
      <c r="BW1036" s="4">
        <f>_xlfn.IFNA(VLOOKUP(Grandview_Inventory[[#This Row],[living_area_range]],Lookups!$F$47:$H$56,3,FALSE),1)</f>
        <v>0.95799442568048754</v>
      </c>
      <c r="BX1036" s="4">
        <f>AVERAGE(Grandview_Inventory[[#This Row],[qual_adj]:[size_adj]])</f>
        <v>0.96737694040489741</v>
      </c>
      <c r="BY1036" s="6">
        <f>IF(Grandview_Inventory[[#This Row],[pre_res]]&lt;0,0,Grandview_Inventory[[#This Row],[pre_res]]*Grandview_Inventory[[#This Row],[overall_adj]])</f>
        <v>364240.71583178244</v>
      </c>
      <c r="BZ1036" s="6">
        <f>(Grandview_Inventory[[#This Row],[sum_land]]-IF(Grandview_Inventory[[#This Row],[no_utilities]]=1,12000,0))/IF(Grandview_Inventory[[#This Row],[unbuildable]]=1,2,1)</f>
        <v>58313.55389788279</v>
      </c>
      <c r="CA1036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036">
        <f>ROUND(Grandview_Inventory[[#This Row],[det_value]]*Lookups!$M$28,-2)</f>
        <v>0</v>
      </c>
      <c r="CC1036">
        <f>IF(ROUND(Grandview_Inventory[[#This Row],[adj_res]]*Lookups!$M$28,-2)&lt;Grandview_Inventory[[#This Row],[min_res]],Grandview_Inventory[[#This Row],[min_res]],ROUND(Grandview_Inventory[[#This Row],[adj_res]]*Lookups!$M$28,-2))</f>
        <v>346000</v>
      </c>
      <c r="CD1036">
        <f>Grandview_Inventory[[#This Row],[final_det]]+Grandview_Inventory[[#This Row],[final_res]]</f>
        <v>346000</v>
      </c>
      <c r="CE1036">
        <f>Grandview_Inventory[[#This Row],[final_land]]+Grandview_Inventory[[#This Row],[final_imp]]+Grandview_Inventory[[#This Row],[crop_value]]</f>
        <v>401400</v>
      </c>
      <c r="CG1036" t="str">
        <f t="shared" si="16"/>
        <v>update valuation set market_land =55400, market_bldg=346000, market_total =401400, market_mdno =401, market_date ='9/10/2023' where link_id = (select link_id from parcel where parcel_year = '2024' and parcel_id = '23092242411');</v>
      </c>
    </row>
    <row r="1037" spans="1:85" x14ac:dyDescent="0.25">
      <c r="A1037">
        <v>23092242412</v>
      </c>
      <c r="B1037">
        <v>0.32</v>
      </c>
      <c r="C1037">
        <v>14149</v>
      </c>
      <c r="D1037" t="s">
        <v>129</v>
      </c>
      <c r="E1037" t="s">
        <v>53</v>
      </c>
      <c r="F1037" t="s">
        <v>53</v>
      </c>
      <c r="G1037">
        <v>4</v>
      </c>
      <c r="H1037" t="s">
        <v>54</v>
      </c>
      <c r="I1037">
        <v>201900</v>
      </c>
      <c r="J1037">
        <v>45800</v>
      </c>
      <c r="K1037">
        <v>0.32</v>
      </c>
      <c r="L1037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037">
        <v>0</v>
      </c>
      <c r="N1037">
        <v>0</v>
      </c>
      <c r="O1037">
        <v>0</v>
      </c>
      <c r="P1037">
        <v>13398.7528</v>
      </c>
      <c r="Q1037">
        <v>63903</v>
      </c>
      <c r="R1037">
        <f>(Grandview_Inventory[[#This Row],[ln_acres]]*Grandview_Inventory[[#This Row],[coeff]])+Grandview_Inventory[[#This Row],[const]]</f>
        <v>48636.001707713905</v>
      </c>
      <c r="S1037" t="s">
        <v>61</v>
      </c>
      <c r="T1037">
        <v>1</v>
      </c>
      <c r="U1037" t="s">
        <v>65</v>
      </c>
      <c r="V1037" t="s">
        <v>69</v>
      </c>
      <c r="W1037">
        <v>0</v>
      </c>
      <c r="X1037">
        <v>0</v>
      </c>
      <c r="Y1037">
        <v>48</v>
      </c>
      <c r="Z1037">
        <v>63</v>
      </c>
      <c r="AA1037">
        <v>70</v>
      </c>
      <c r="AB1037">
        <v>3000</v>
      </c>
      <c r="AC1037">
        <v>2864</v>
      </c>
      <c r="AD1037">
        <v>1436</v>
      </c>
      <c r="AE1037">
        <v>0</v>
      </c>
      <c r="AF1037">
        <v>0</v>
      </c>
      <c r="AG1037">
        <v>1428</v>
      </c>
      <c r="AH1037">
        <v>8</v>
      </c>
      <c r="AI1037">
        <v>0</v>
      </c>
      <c r="AJ1037">
        <v>0</v>
      </c>
      <c r="AK1037">
        <v>342</v>
      </c>
      <c r="AL1037">
        <v>608</v>
      </c>
      <c r="AM1037">
        <v>0</v>
      </c>
      <c r="AN1037">
        <v>0</v>
      </c>
      <c r="AO1037">
        <v>608</v>
      </c>
      <c r="AP1037">
        <v>8</v>
      </c>
      <c r="AQ1037">
        <v>0</v>
      </c>
      <c r="AR1037">
        <v>0</v>
      </c>
      <c r="AS1037" t="s">
        <v>58</v>
      </c>
      <c r="AT1037">
        <v>1</v>
      </c>
      <c r="AU1037" t="s">
        <v>63</v>
      </c>
      <c r="AV1037" t="s">
        <v>60</v>
      </c>
      <c r="AW1037">
        <v>1</v>
      </c>
      <c r="AX1037">
        <v>3</v>
      </c>
      <c r="AY1037">
        <v>0</v>
      </c>
      <c r="AZ1037">
        <v>0</v>
      </c>
      <c r="BA1037">
        <v>100</v>
      </c>
      <c r="BB1037">
        <v>100</v>
      </c>
      <c r="BC1037">
        <v>100</v>
      </c>
      <c r="BD1037">
        <v>100</v>
      </c>
      <c r="BE1037">
        <v>1</v>
      </c>
      <c r="BF1037">
        <v>15000</v>
      </c>
      <c r="BG1037">
        <v>1000</v>
      </c>
      <c r="BH1037" s="6">
        <f>Grandview_Inventory[[#This Row],[land_extract]]*Lookups!$B$3</f>
        <v>56480.857465963549</v>
      </c>
      <c r="BI1037" s="6">
        <f>IF(Grandview_Inventory[[#This Row],[bldg_style]]="",0,Lookups!$B$2)</f>
        <v>155833.95000000001</v>
      </c>
      <c r="BJ1037" s="6">
        <f>_xlfn.IFNA(VLOOKUP(Grandview_Inventory[[#This Row],[quality]],Lookups!$H$2:$J$14,3,FALSE),0)</f>
        <v>2251</v>
      </c>
      <c r="BK1037" s="6">
        <f>_xlfn.IFNA(VLOOKUP(Grandview_Inventory[[#This Row],[condition]],Lookups!$H$17:$J$24,3,FALSE),0)</f>
        <v>-4503</v>
      </c>
      <c r="BL1037" s="6">
        <f>Grandview_Inventory[[#This Row],[Eff_Age]]*Lookups!$B$14</f>
        <v>-11479.996799999999</v>
      </c>
      <c r="BM1037" s="6">
        <f>Grandview_Inventory[[#This Row],[living_area]]*Lookups!$B$15</f>
        <v>178658.762992</v>
      </c>
      <c r="BN1037" s="6">
        <f>Grandview_Inventory[[#This Row],[Fin BSMT]]*Lookups!$B$16</f>
        <v>-38697.714720000004</v>
      </c>
      <c r="BO1037" s="6">
        <f>(Grandview_Inventory[[#This Row],[att_gar]]+Grandview_Inventory[[#This Row],[bltin_gar]])*Lookups!$B$17</f>
        <v>0</v>
      </c>
      <c r="BP1037" s="6">
        <f>Grandview_Inventory[[#This Row],[Plumbing Fixtures]]*Lookups!$B$18</f>
        <v>16083.5344</v>
      </c>
      <c r="BQ1037" s="6">
        <f>Grandview_Inventory[[#This Row],[detatched_value]]*Lookups!$B$19</f>
        <v>0</v>
      </c>
      <c r="BR1037" s="6">
        <f>SUM(Grandview_Inventory[[#This Row],[Intercept]:[det_value]])*Grandview_Inventory[[#This Row],[res_pct]]</f>
        <v>298146.53587200004</v>
      </c>
      <c r="BS1037" s="6">
        <f>Grandview_Inventory[[#This Row],[land_value]]</f>
        <v>56480.857465963549</v>
      </c>
      <c r="BT1037" s="4">
        <f>_xlfn.IFNA(VLOOKUP(Grandview_Inventory[[#This Row],[quality]],Lookups!$A$26:$C$33,3,FALSE),1)</f>
        <v>0.98763855981004833</v>
      </c>
      <c r="BU1037" s="4">
        <f>_xlfn.IFNA(VLOOKUP(Grandview_Inventory[[#This Row],[condition]],Lookups!$A$37:$C$44,3,FALSE),1)</f>
        <v>0.96469275950863709</v>
      </c>
      <c r="BV1037" s="4">
        <f>IF(Grandview_Inventory[[#This Row],[bldg_style]]="",1,_xlfn.IFNA(VLOOKUP(Grandview_Inventory[[#This Row],[decade]],Lookups!$F$29:$H$43,3,FALSE),1))</f>
        <v>0.99472141305414818</v>
      </c>
      <c r="BW1037" s="4">
        <f>_xlfn.IFNA(VLOOKUP(Grandview_Inventory[[#This Row],[living_area_range]],Lookups!$F$47:$H$56,3,FALSE),1)</f>
        <v>0.94224801443562123</v>
      </c>
      <c r="BX1037" s="4">
        <f>AVERAGE(Grandview_Inventory[[#This Row],[qual_adj]:[size_adj]])</f>
        <v>0.97232518670211376</v>
      </c>
      <c r="BY1037" s="6">
        <f>IF(Grandview_Inventory[[#This Row],[pre_res]]&lt;0,0,Grandview_Inventory[[#This Row],[pre_res]]*Grandview_Inventory[[#This Row],[overall_adj]])</f>
        <v>289895.38615633087</v>
      </c>
      <c r="BZ1037" s="6">
        <f>(Grandview_Inventory[[#This Row],[sum_land]]-IF(Grandview_Inventory[[#This Row],[no_utilities]]=1,12000,0))/IF(Grandview_Inventory[[#This Row],[unbuildable]]=1,2,1)</f>
        <v>56480.857465963549</v>
      </c>
      <c r="CA1037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037">
        <f>ROUND(Grandview_Inventory[[#This Row],[det_value]]*Lookups!$M$28,-2)</f>
        <v>0</v>
      </c>
      <c r="CC1037">
        <f>IF(ROUND(Grandview_Inventory[[#This Row],[adj_res]]*Lookups!$M$28,-2)&lt;Grandview_Inventory[[#This Row],[min_res]],Grandview_Inventory[[#This Row],[min_res]],ROUND(Grandview_Inventory[[#This Row],[adj_res]]*Lookups!$M$28,-2))</f>
        <v>275400</v>
      </c>
      <c r="CD1037">
        <f>Grandview_Inventory[[#This Row],[final_det]]+Grandview_Inventory[[#This Row],[final_res]]</f>
        <v>275400</v>
      </c>
      <c r="CE1037">
        <f>Grandview_Inventory[[#This Row],[final_land]]+Grandview_Inventory[[#This Row],[final_imp]]+Grandview_Inventory[[#This Row],[crop_value]]</f>
        <v>329100</v>
      </c>
      <c r="CG1037" t="str">
        <f t="shared" si="16"/>
        <v>update valuation set market_land =53700, market_bldg=275400, market_total =329100, market_mdno =401, market_date ='9/10/2023' where link_id = (select link_id from parcel where parcel_year = '2024' and parcel_id = '23092242412');</v>
      </c>
    </row>
    <row r="1038" spans="1:85" x14ac:dyDescent="0.25">
      <c r="A1038">
        <v>23092242413</v>
      </c>
      <c r="B1038">
        <v>0.35</v>
      </c>
      <c r="C1038">
        <v>15321</v>
      </c>
      <c r="D1038" t="s">
        <v>129</v>
      </c>
      <c r="E1038" t="s">
        <v>53</v>
      </c>
      <c r="F1038" t="s">
        <v>53</v>
      </c>
      <c r="G1038">
        <v>4</v>
      </c>
      <c r="H1038" t="s">
        <v>54</v>
      </c>
      <c r="I1038">
        <v>205900</v>
      </c>
      <c r="J1038">
        <v>41200</v>
      </c>
      <c r="K1038">
        <v>0.35</v>
      </c>
      <c r="L1038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038">
        <v>0</v>
      </c>
      <c r="N1038">
        <v>0</v>
      </c>
      <c r="O1038">
        <v>0</v>
      </c>
      <c r="P1038">
        <v>13398.7528</v>
      </c>
      <c r="Q1038">
        <v>63903</v>
      </c>
      <c r="R1038">
        <f>(Grandview_Inventory[[#This Row],[ln_acres]]*Grandview_Inventory[[#This Row],[coeff]])+Grandview_Inventory[[#This Row],[const]]</f>
        <v>49836.692869871389</v>
      </c>
      <c r="S1038" t="s">
        <v>61</v>
      </c>
      <c r="T1038">
        <v>1</v>
      </c>
      <c r="U1038" t="s">
        <v>65</v>
      </c>
      <c r="V1038" t="s">
        <v>69</v>
      </c>
      <c r="W1038">
        <v>0</v>
      </c>
      <c r="X1038">
        <v>0</v>
      </c>
      <c r="Y1038">
        <v>49</v>
      </c>
      <c r="Z1038">
        <v>69</v>
      </c>
      <c r="AA1038">
        <v>70</v>
      </c>
      <c r="AB1038">
        <v>1500</v>
      </c>
      <c r="AC1038">
        <v>1424</v>
      </c>
      <c r="AD1038">
        <v>1344</v>
      </c>
      <c r="AE1038">
        <v>0</v>
      </c>
      <c r="AF1038">
        <v>0</v>
      </c>
      <c r="AG1038">
        <v>80</v>
      </c>
      <c r="AH1038">
        <v>1264</v>
      </c>
      <c r="AI1038">
        <v>694</v>
      </c>
      <c r="AJ1038">
        <v>0</v>
      </c>
      <c r="AK1038">
        <v>0</v>
      </c>
      <c r="AL1038">
        <v>0</v>
      </c>
      <c r="AM1038">
        <v>380</v>
      </c>
      <c r="AN1038">
        <v>0</v>
      </c>
      <c r="AO1038">
        <v>54</v>
      </c>
      <c r="AP1038">
        <v>8</v>
      </c>
      <c r="AQ1038">
        <v>0</v>
      </c>
      <c r="AR1038">
        <v>1</v>
      </c>
      <c r="AS1038" t="s">
        <v>58</v>
      </c>
      <c r="AT1038">
        <v>1</v>
      </c>
      <c r="AU1038" t="s">
        <v>63</v>
      </c>
      <c r="AV1038" t="s">
        <v>64</v>
      </c>
      <c r="AW1038">
        <v>1</v>
      </c>
      <c r="AX1038">
        <v>3</v>
      </c>
      <c r="AY1038">
        <v>0</v>
      </c>
      <c r="AZ1038">
        <v>0</v>
      </c>
      <c r="BA1038">
        <v>100</v>
      </c>
      <c r="BB1038">
        <v>100</v>
      </c>
      <c r="BC1038">
        <v>100</v>
      </c>
      <c r="BD1038">
        <v>100</v>
      </c>
      <c r="BE1038">
        <v>1</v>
      </c>
      <c r="BF1038">
        <v>15000</v>
      </c>
      <c r="BG1038">
        <v>1000</v>
      </c>
      <c r="BH1038" s="6">
        <f>Grandview_Inventory[[#This Row],[land_extract]]*Lookups!$B$3</f>
        <v>57875.216870710894</v>
      </c>
      <c r="BI1038" s="6">
        <f>IF(Grandview_Inventory[[#This Row],[bldg_style]]="",0,Lookups!$B$2)</f>
        <v>155833.95000000001</v>
      </c>
      <c r="BJ1038" s="6">
        <f>_xlfn.IFNA(VLOOKUP(Grandview_Inventory[[#This Row],[quality]],Lookups!$H$2:$J$14,3,FALSE),0)</f>
        <v>2251</v>
      </c>
      <c r="BK1038" s="6">
        <f>_xlfn.IFNA(VLOOKUP(Grandview_Inventory[[#This Row],[condition]],Lookups!$H$17:$J$24,3,FALSE),0)</f>
        <v>-4503</v>
      </c>
      <c r="BL1038" s="6">
        <f>Grandview_Inventory[[#This Row],[Eff_Age]]*Lookups!$B$14</f>
        <v>-11719.163399999999</v>
      </c>
      <c r="BM1038" s="6">
        <f>Grandview_Inventory[[#This Row],[living_area]]*Lookups!$B$15</f>
        <v>88830.334671999997</v>
      </c>
      <c r="BN1038" s="6">
        <f>Grandview_Inventory[[#This Row],[Fin BSMT]]*Lookups!$B$16</f>
        <v>-2167.9392000000003</v>
      </c>
      <c r="BO1038" s="6">
        <f>(Grandview_Inventory[[#This Row],[att_gar]]+Grandview_Inventory[[#This Row],[bltin_gar]])*Lookups!$B$17</f>
        <v>60739.183278000004</v>
      </c>
      <c r="BP1038" s="6">
        <f>Grandview_Inventory[[#This Row],[Plumbing Fixtures]]*Lookups!$B$18</f>
        <v>16083.5344</v>
      </c>
      <c r="BQ1038" s="6">
        <f>Grandview_Inventory[[#This Row],[detatched_value]]*Lookups!$B$19</f>
        <v>0</v>
      </c>
      <c r="BR1038" s="6">
        <f>SUM(Grandview_Inventory[[#This Row],[Intercept]:[det_value]])*Grandview_Inventory[[#This Row],[res_pct]]</f>
        <v>305347.89975000004</v>
      </c>
      <c r="BS1038" s="6">
        <f>Grandview_Inventory[[#This Row],[land_value]]</f>
        <v>57875.216870710894</v>
      </c>
      <c r="BT1038" s="4">
        <f>_xlfn.IFNA(VLOOKUP(Grandview_Inventory[[#This Row],[quality]],Lookups!$A$26:$C$33,3,FALSE),1)</f>
        <v>0.98763855981004833</v>
      </c>
      <c r="BU1038" s="4">
        <f>_xlfn.IFNA(VLOOKUP(Grandview_Inventory[[#This Row],[condition]],Lookups!$A$37:$C$44,3,FALSE),1)</f>
        <v>0.96469275950863709</v>
      </c>
      <c r="BV1038" s="4">
        <f>IF(Grandview_Inventory[[#This Row],[bldg_style]]="",1,_xlfn.IFNA(VLOOKUP(Grandview_Inventory[[#This Row],[decade]],Lookups!$F$29:$H$43,3,FALSE),1))</f>
        <v>0.99472141305414818</v>
      </c>
      <c r="BW1038" s="4">
        <f>_xlfn.IFNA(VLOOKUP(Grandview_Inventory[[#This Row],[living_area_range]],Lookups!$F$47:$H$56,3,FALSE),1)</f>
        <v>0.96135087979789358</v>
      </c>
      <c r="BX1038" s="4">
        <f>AVERAGE(Grandview_Inventory[[#This Row],[qual_adj]:[size_adj]])</f>
        <v>0.97710090304268182</v>
      </c>
      <c r="BY1038" s="6">
        <f>IF(Grandview_Inventory[[#This Row],[pre_res]]&lt;0,0,Grandview_Inventory[[#This Row],[pre_res]]*Grandview_Inventory[[#This Row],[overall_adj]])</f>
        <v>298355.70858791133</v>
      </c>
      <c r="BZ1038" s="6">
        <f>(Grandview_Inventory[[#This Row],[sum_land]]-IF(Grandview_Inventory[[#This Row],[no_utilities]]=1,12000,0))/IF(Grandview_Inventory[[#This Row],[unbuildable]]=1,2,1)</f>
        <v>57875.216870710894</v>
      </c>
      <c r="CA1038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038">
        <f>ROUND(Grandview_Inventory[[#This Row],[det_value]]*Lookups!$M$28,-2)</f>
        <v>0</v>
      </c>
      <c r="CC1038">
        <f>IF(ROUND(Grandview_Inventory[[#This Row],[adj_res]]*Lookups!$M$28,-2)&lt;Grandview_Inventory[[#This Row],[min_res]],Grandview_Inventory[[#This Row],[min_res]],ROUND(Grandview_Inventory[[#This Row],[adj_res]]*Lookups!$M$28,-2))</f>
        <v>283400</v>
      </c>
      <c r="CD1038">
        <f>Grandview_Inventory[[#This Row],[final_det]]+Grandview_Inventory[[#This Row],[final_res]]</f>
        <v>283400</v>
      </c>
      <c r="CE1038">
        <f>Grandview_Inventory[[#This Row],[final_land]]+Grandview_Inventory[[#This Row],[final_imp]]+Grandview_Inventory[[#This Row],[crop_value]]</f>
        <v>338400</v>
      </c>
      <c r="CG1038" t="str">
        <f t="shared" si="16"/>
        <v>update valuation set market_land =55000, market_bldg=283400, market_total =338400, market_mdno =401, market_date ='9/10/2023' where link_id = (select link_id from parcel where parcel_year = '2024' and parcel_id = '23092242413');</v>
      </c>
    </row>
    <row r="1039" spans="1:85" x14ac:dyDescent="0.25">
      <c r="A1039">
        <v>23092242414</v>
      </c>
      <c r="B1039">
        <v>0.77</v>
      </c>
      <c r="C1039">
        <v>33696</v>
      </c>
      <c r="D1039" t="s">
        <v>129</v>
      </c>
      <c r="E1039" t="s">
        <v>53</v>
      </c>
      <c r="F1039" t="s">
        <v>53</v>
      </c>
      <c r="G1039">
        <v>4</v>
      </c>
      <c r="H1039" t="s">
        <v>54</v>
      </c>
      <c r="I1039">
        <v>259700</v>
      </c>
      <c r="J1039">
        <v>43100</v>
      </c>
      <c r="K1039">
        <v>0.77</v>
      </c>
      <c r="L1039">
        <f>IF(Grandview_Inventory[[#This Row],[parcel_acres]]-Grandview_Inventory[[#This Row],[non_valued_acres]] =0,0,LN(Grandview_Inventory[[#This Row],[parcel_acres]]-Grandview_Inventory[[#This Row],[non_valued_acres]]))</f>
        <v>-0.26136476413440751</v>
      </c>
      <c r="M1039">
        <v>0</v>
      </c>
      <c r="N1039">
        <v>0</v>
      </c>
      <c r="O1039">
        <v>0</v>
      </c>
      <c r="P1039">
        <v>13398.7528</v>
      </c>
      <c r="Q1039">
        <v>63903</v>
      </c>
      <c r="R1039">
        <f>(Grandview_Inventory[[#This Row],[ln_acres]]*Grandview_Inventory[[#This Row],[coeff]])+Grandview_Inventory[[#This Row],[const]]</f>
        <v>60401.038134732764</v>
      </c>
      <c r="S1039" t="s">
        <v>61</v>
      </c>
      <c r="T1039">
        <v>1</v>
      </c>
      <c r="U1039" t="s">
        <v>65</v>
      </c>
      <c r="V1039" t="s">
        <v>69</v>
      </c>
      <c r="W1039">
        <v>0</v>
      </c>
      <c r="X1039">
        <v>0</v>
      </c>
      <c r="Y1039">
        <v>49</v>
      </c>
      <c r="Z1039">
        <v>68</v>
      </c>
      <c r="AA1039">
        <v>70</v>
      </c>
      <c r="AB1039">
        <v>4500</v>
      </c>
      <c r="AC1039">
        <v>4116</v>
      </c>
      <c r="AD1039">
        <v>2756</v>
      </c>
      <c r="AE1039">
        <v>0</v>
      </c>
      <c r="AF1039">
        <v>0</v>
      </c>
      <c r="AG1039">
        <v>1360</v>
      </c>
      <c r="AH1039">
        <v>0</v>
      </c>
      <c r="AI1039">
        <v>0</v>
      </c>
      <c r="AJ1039">
        <v>0</v>
      </c>
      <c r="AK1039">
        <v>0</v>
      </c>
      <c r="AL1039">
        <v>593</v>
      </c>
      <c r="AM1039">
        <v>1073</v>
      </c>
      <c r="AN1039">
        <v>0</v>
      </c>
      <c r="AO1039">
        <v>481</v>
      </c>
      <c r="AP1039">
        <v>10</v>
      </c>
      <c r="AQ1039">
        <v>0</v>
      </c>
      <c r="AR1039">
        <v>0</v>
      </c>
      <c r="AS1039" t="s">
        <v>58</v>
      </c>
      <c r="AT1039">
        <v>1</v>
      </c>
      <c r="AU1039" t="s">
        <v>63</v>
      </c>
      <c r="AV1039" t="s">
        <v>64</v>
      </c>
      <c r="AW1039">
        <v>1</v>
      </c>
      <c r="AX1039">
        <v>5</v>
      </c>
      <c r="AY1039">
        <v>0</v>
      </c>
      <c r="AZ1039">
        <v>3000</v>
      </c>
      <c r="BA1039">
        <v>100</v>
      </c>
      <c r="BB1039">
        <v>100</v>
      </c>
      <c r="BC1039">
        <v>100</v>
      </c>
      <c r="BD1039">
        <v>100</v>
      </c>
      <c r="BE1039">
        <v>1</v>
      </c>
      <c r="BF1039">
        <v>15000</v>
      </c>
      <c r="BG1039">
        <v>1000</v>
      </c>
      <c r="BH1039" s="6">
        <f>Grandview_Inventory[[#This Row],[land_extract]]*Lookups!$B$3</f>
        <v>70143.562503062189</v>
      </c>
      <c r="BI1039" s="6">
        <f>IF(Grandview_Inventory[[#This Row],[bldg_style]]="",0,Lookups!$B$2)</f>
        <v>155833.95000000001</v>
      </c>
      <c r="BJ1039" s="6">
        <f>_xlfn.IFNA(VLOOKUP(Grandview_Inventory[[#This Row],[quality]],Lookups!$H$2:$J$14,3,FALSE),0)</f>
        <v>2251</v>
      </c>
      <c r="BK1039" s="6">
        <f>_xlfn.IFNA(VLOOKUP(Grandview_Inventory[[#This Row],[condition]],Lookups!$H$17:$J$24,3,FALSE),0)</f>
        <v>-4503</v>
      </c>
      <c r="BL1039" s="6">
        <f>Grandview_Inventory[[#This Row],[Eff_Age]]*Lookups!$B$14</f>
        <v>-11719.163399999999</v>
      </c>
      <c r="BM1039" s="6">
        <f>Grandview_Inventory[[#This Row],[living_area]]*Lookups!$B$15</f>
        <v>256759.590948</v>
      </c>
      <c r="BN1039" s="6">
        <f>Grandview_Inventory[[#This Row],[Fin BSMT]]*Lookups!$B$16</f>
        <v>-36854.966400000005</v>
      </c>
      <c r="BO1039" s="6">
        <f>(Grandview_Inventory[[#This Row],[att_gar]]+Grandview_Inventory[[#This Row],[bltin_gar]])*Lookups!$B$17</f>
        <v>0</v>
      </c>
      <c r="BP1039" s="6">
        <f>Grandview_Inventory[[#This Row],[Plumbing Fixtures]]*Lookups!$B$18</f>
        <v>20104.418000000001</v>
      </c>
      <c r="BQ1039" s="6">
        <f>Grandview_Inventory[[#This Row],[detatched_value]]*Lookups!$B$19</f>
        <v>2540.4153000000001</v>
      </c>
      <c r="BR1039" s="6">
        <f>SUM(Grandview_Inventory[[#This Row],[Intercept]:[det_value]])*Grandview_Inventory[[#This Row],[res_pct]]</f>
        <v>384412.24444800004</v>
      </c>
      <c r="BS1039" s="6">
        <f>Grandview_Inventory[[#This Row],[land_value]]</f>
        <v>70143.562503062189</v>
      </c>
      <c r="BT1039" s="4">
        <f>_xlfn.IFNA(VLOOKUP(Grandview_Inventory[[#This Row],[quality]],Lookups!$A$26:$C$33,3,FALSE),1)</f>
        <v>0.98763855981004833</v>
      </c>
      <c r="BU1039" s="4">
        <f>_xlfn.IFNA(VLOOKUP(Grandview_Inventory[[#This Row],[condition]],Lookups!$A$37:$C$44,3,FALSE),1)</f>
        <v>0.96469275950863709</v>
      </c>
      <c r="BV1039" s="4">
        <f>IF(Grandview_Inventory[[#This Row],[bldg_style]]="",1,_xlfn.IFNA(VLOOKUP(Grandview_Inventory[[#This Row],[decade]],Lookups!$F$29:$H$43,3,FALSE),1))</f>
        <v>0.99472141305414818</v>
      </c>
      <c r="BW1039" s="4">
        <f>_xlfn.IFNA(VLOOKUP(Grandview_Inventory[[#This Row],[living_area_range]],Lookups!$F$47:$H$56,3,FALSE),1)</f>
        <v>0.90089875105039252</v>
      </c>
      <c r="BX1039" s="4">
        <f>AVERAGE(Grandview_Inventory[[#This Row],[qual_adj]:[size_adj]])</f>
        <v>0.9619878708558065</v>
      </c>
      <c r="BY1039" s="6">
        <f>IF(Grandview_Inventory[[#This Row],[pre_res]]&lt;0,0,Grandview_Inventory[[#This Row],[pre_res]]*Grandview_Inventory[[#This Row],[overall_adj]])</f>
        <v>369799.91656743339</v>
      </c>
      <c r="BZ1039" s="6">
        <f>(Grandview_Inventory[[#This Row],[sum_land]]-IF(Grandview_Inventory[[#This Row],[no_utilities]]=1,12000,0))/IF(Grandview_Inventory[[#This Row],[unbuildable]]=1,2,1)</f>
        <v>70143.562503062189</v>
      </c>
      <c r="CA1039">
        <f>IF(ROUND(Grandview_Inventory[[#This Row],[adj_land]]*Lookups!$M$28,-2)&lt;Grandview_Inventory[[#This Row],[min_land]],Grandview_Inventory[[#This Row],[min_land]],ROUND(Grandview_Inventory[[#This Row],[adj_land]]*Lookups!$M$28,-2))</f>
        <v>66600</v>
      </c>
      <c r="CB1039">
        <f>ROUND(Grandview_Inventory[[#This Row],[det_value]]*Lookups!$M$28,-2)</f>
        <v>2400</v>
      </c>
      <c r="CC1039">
        <f>IF(ROUND(Grandview_Inventory[[#This Row],[adj_res]]*Lookups!$M$28,-2)&lt;Grandview_Inventory[[#This Row],[min_res]],Grandview_Inventory[[#This Row],[min_res]],ROUND(Grandview_Inventory[[#This Row],[adj_res]]*Lookups!$M$28,-2))</f>
        <v>351300</v>
      </c>
      <c r="CD1039">
        <f>Grandview_Inventory[[#This Row],[final_det]]+Grandview_Inventory[[#This Row],[final_res]]</f>
        <v>353700</v>
      </c>
      <c r="CE1039">
        <f>Grandview_Inventory[[#This Row],[final_land]]+Grandview_Inventory[[#This Row],[final_imp]]+Grandview_Inventory[[#This Row],[crop_value]]</f>
        <v>420300</v>
      </c>
      <c r="CG1039" t="str">
        <f t="shared" si="16"/>
        <v>update valuation set market_land =66600, market_bldg=353700, market_total =420300, market_mdno =401, market_date ='9/10/2023' where link_id = (select link_id from parcel where parcel_year = '2024' and parcel_id = '23092242414');</v>
      </c>
    </row>
    <row r="1040" spans="1:85" x14ac:dyDescent="0.25">
      <c r="A1040">
        <v>23092242415</v>
      </c>
      <c r="B1040">
        <v>0.28999999999999998</v>
      </c>
      <c r="C1040">
        <v>12772</v>
      </c>
      <c r="D1040" t="s">
        <v>129</v>
      </c>
      <c r="E1040" t="s">
        <v>53</v>
      </c>
      <c r="F1040" t="s">
        <v>53</v>
      </c>
      <c r="G1040">
        <v>4</v>
      </c>
      <c r="H1040" t="s">
        <v>54</v>
      </c>
      <c r="I1040">
        <v>189700</v>
      </c>
      <c r="J1040">
        <v>45100</v>
      </c>
      <c r="K1040">
        <v>0.28999999999999998</v>
      </c>
      <c r="L1040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040">
        <v>0</v>
      </c>
      <c r="N1040">
        <v>0</v>
      </c>
      <c r="O1040">
        <v>0</v>
      </c>
      <c r="P1040">
        <v>13398.7528</v>
      </c>
      <c r="Q1040">
        <v>63903</v>
      </c>
      <c r="R1040">
        <f>(Grandview_Inventory[[#This Row],[ln_acres]]*Grandview_Inventory[[#This Row],[coeff]])+Grandview_Inventory[[#This Row],[const]]</f>
        <v>47317.027506475133</v>
      </c>
      <c r="S1040" t="s">
        <v>61</v>
      </c>
      <c r="T1040">
        <v>1</v>
      </c>
      <c r="U1040" t="s">
        <v>62</v>
      </c>
      <c r="V1040" t="s">
        <v>67</v>
      </c>
      <c r="W1040">
        <v>0</v>
      </c>
      <c r="X1040">
        <v>0</v>
      </c>
      <c r="Y1040">
        <v>49</v>
      </c>
      <c r="Z1040">
        <v>68</v>
      </c>
      <c r="AA1040">
        <v>70</v>
      </c>
      <c r="AB1040">
        <v>2500</v>
      </c>
      <c r="AC1040">
        <v>2022</v>
      </c>
      <c r="AD1040">
        <v>1039</v>
      </c>
      <c r="AE1040">
        <v>0</v>
      </c>
      <c r="AF1040">
        <v>0</v>
      </c>
      <c r="AG1040">
        <v>983</v>
      </c>
      <c r="AH1040">
        <v>0</v>
      </c>
      <c r="AI1040">
        <v>300</v>
      </c>
      <c r="AJ1040">
        <v>0</v>
      </c>
      <c r="AK1040">
        <v>0</v>
      </c>
      <c r="AL1040">
        <v>0</v>
      </c>
      <c r="AM1040">
        <v>368</v>
      </c>
      <c r="AN1040">
        <v>68</v>
      </c>
      <c r="AO1040">
        <v>368</v>
      </c>
      <c r="AP1040">
        <v>8</v>
      </c>
      <c r="AQ1040">
        <v>0</v>
      </c>
      <c r="AR1040">
        <v>0</v>
      </c>
      <c r="AS1040" t="s">
        <v>58</v>
      </c>
      <c r="AT1040">
        <v>1</v>
      </c>
      <c r="AU1040" t="s">
        <v>59</v>
      </c>
      <c r="AV1040" t="s">
        <v>60</v>
      </c>
      <c r="AW1040">
        <v>1</v>
      </c>
      <c r="AX1040">
        <v>3</v>
      </c>
      <c r="AY1040">
        <v>0</v>
      </c>
      <c r="AZ1040">
        <v>0</v>
      </c>
      <c r="BA1040">
        <v>100</v>
      </c>
      <c r="BB1040">
        <v>100</v>
      </c>
      <c r="BC1040">
        <v>100</v>
      </c>
      <c r="BD1040">
        <v>100</v>
      </c>
      <c r="BE1040">
        <v>1</v>
      </c>
      <c r="BF1040">
        <v>15000</v>
      </c>
      <c r="BG1040">
        <v>1000</v>
      </c>
      <c r="BH1040" s="6">
        <f>Grandview_Inventory[[#This Row],[land_extract]]*Lookups!$B$3</f>
        <v>54949.136287295303</v>
      </c>
      <c r="BI1040" s="6">
        <f>IF(Grandview_Inventory[[#This Row],[bldg_style]]="",0,Lookups!$B$2)</f>
        <v>155833.95000000001</v>
      </c>
      <c r="BJ1040" s="6">
        <f>_xlfn.IFNA(VLOOKUP(Grandview_Inventory[[#This Row],[quality]],Lookups!$H$2:$J$14,3,FALSE),0)</f>
        <v>9808</v>
      </c>
      <c r="BK1040" s="6">
        <f>_xlfn.IFNA(VLOOKUP(Grandview_Inventory[[#This Row],[condition]],Lookups!$H$17:$J$24,3,FALSE),0)</f>
        <v>22342</v>
      </c>
      <c r="BL1040" s="6">
        <f>Grandview_Inventory[[#This Row],[Eff_Age]]*Lookups!$B$14</f>
        <v>-11719.163399999999</v>
      </c>
      <c r="BM1040" s="6">
        <f>Grandview_Inventory[[#This Row],[living_area]]*Lookups!$B$15</f>
        <v>126134.084766</v>
      </c>
      <c r="BN1040" s="6">
        <f>Grandview_Inventory[[#This Row],[Fin BSMT]]*Lookups!$B$16</f>
        <v>-26638.552920000002</v>
      </c>
      <c r="BO1040" s="6">
        <f>(Grandview_Inventory[[#This Row],[att_gar]]+Grandview_Inventory[[#This Row],[bltin_gar]])*Lookups!$B$17</f>
        <v>26256.131099999999</v>
      </c>
      <c r="BP1040" s="6">
        <f>Grandview_Inventory[[#This Row],[Plumbing Fixtures]]*Lookups!$B$18</f>
        <v>16083.5344</v>
      </c>
      <c r="BQ1040" s="6">
        <f>Grandview_Inventory[[#This Row],[detatched_value]]*Lookups!$B$19</f>
        <v>0</v>
      </c>
      <c r="BR1040" s="6">
        <f>SUM(Grandview_Inventory[[#This Row],[Intercept]:[det_value]])*Grandview_Inventory[[#This Row],[res_pct]]</f>
        <v>318099.98394600005</v>
      </c>
      <c r="BS1040" s="6">
        <f>Grandview_Inventory[[#This Row],[land_value]]</f>
        <v>54949.136287295303</v>
      </c>
      <c r="BT1040" s="4">
        <f>_xlfn.IFNA(VLOOKUP(Grandview_Inventory[[#This Row],[quality]],Lookups!$A$26:$C$33,3,FALSE),1)</f>
        <v>0.94295468617355149</v>
      </c>
      <c r="BU1040" s="4">
        <f>_xlfn.IFNA(VLOOKUP(Grandview_Inventory[[#This Row],[condition]],Lookups!$A$37:$C$44,3,FALSE),1)</f>
        <v>0.97383723671140243</v>
      </c>
      <c r="BV1040" s="4">
        <f>IF(Grandview_Inventory[[#This Row],[bldg_style]]="",1,_xlfn.IFNA(VLOOKUP(Grandview_Inventory[[#This Row],[decade]],Lookups!$F$29:$H$43,3,FALSE),1))</f>
        <v>0.99472141305414818</v>
      </c>
      <c r="BW1040" s="4">
        <f>_xlfn.IFNA(VLOOKUP(Grandview_Inventory[[#This Row],[living_area_range]],Lookups!$F$47:$H$56,3,FALSE),1)</f>
        <v>0.95799442568048754</v>
      </c>
      <c r="BX1040" s="4">
        <f>AVERAGE(Grandview_Inventory[[#This Row],[qual_adj]:[size_adj]])</f>
        <v>0.96737694040489741</v>
      </c>
      <c r="BY1040" s="6">
        <f>IF(Grandview_Inventory[[#This Row],[pre_res]]&lt;0,0,Grandview_Inventory[[#This Row],[pre_res]]*Grandview_Inventory[[#This Row],[overall_adj]])</f>
        <v>307722.58921252849</v>
      </c>
      <c r="BZ1040" s="6">
        <f>(Grandview_Inventory[[#This Row],[sum_land]]-IF(Grandview_Inventory[[#This Row],[no_utilities]]=1,12000,0))/IF(Grandview_Inventory[[#This Row],[unbuildable]]=1,2,1)</f>
        <v>54949.136287295303</v>
      </c>
      <c r="CA1040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040">
        <f>ROUND(Grandview_Inventory[[#This Row],[det_value]]*Lookups!$M$28,-2)</f>
        <v>0</v>
      </c>
      <c r="CC1040">
        <f>IF(ROUND(Grandview_Inventory[[#This Row],[adj_res]]*Lookups!$M$28,-2)&lt;Grandview_Inventory[[#This Row],[min_res]],Grandview_Inventory[[#This Row],[min_res]],ROUND(Grandview_Inventory[[#This Row],[adj_res]]*Lookups!$M$28,-2))</f>
        <v>292300</v>
      </c>
      <c r="CD1040">
        <f>Grandview_Inventory[[#This Row],[final_det]]+Grandview_Inventory[[#This Row],[final_res]]</f>
        <v>292300</v>
      </c>
      <c r="CE1040">
        <f>Grandview_Inventory[[#This Row],[final_land]]+Grandview_Inventory[[#This Row],[final_imp]]+Grandview_Inventory[[#This Row],[crop_value]]</f>
        <v>344500</v>
      </c>
      <c r="CG1040" t="str">
        <f t="shared" si="16"/>
        <v>update valuation set market_land =52200, market_bldg=292300, market_total =344500, market_mdno =401, market_date ='9/10/2023' where link_id = (select link_id from parcel where parcel_year = '2024' and parcel_id = '23092242415');</v>
      </c>
    </row>
    <row r="1041" spans="1:85" x14ac:dyDescent="0.25">
      <c r="A1041">
        <v>23092242416</v>
      </c>
      <c r="B1041">
        <v>0.24</v>
      </c>
      <c r="C1041">
        <v>10417</v>
      </c>
      <c r="D1041" t="s">
        <v>129</v>
      </c>
      <c r="E1041" t="s">
        <v>53</v>
      </c>
      <c r="F1041" t="s">
        <v>53</v>
      </c>
      <c r="G1041">
        <v>4</v>
      </c>
      <c r="H1041" t="s">
        <v>54</v>
      </c>
      <c r="I1041">
        <v>222400</v>
      </c>
      <c r="J1041">
        <v>44200</v>
      </c>
      <c r="K1041">
        <v>0.24</v>
      </c>
      <c r="L104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41">
        <v>0</v>
      </c>
      <c r="N1041">
        <v>0</v>
      </c>
      <c r="O1041">
        <v>0</v>
      </c>
      <c r="P1041">
        <v>13398.7528</v>
      </c>
      <c r="Q1041">
        <v>63903</v>
      </c>
      <c r="R1041">
        <f>(Grandview_Inventory[[#This Row],[ln_acres]]*Grandview_Inventory[[#This Row],[coeff]])+Grandview_Inventory[[#This Row],[const]]</f>
        <v>44781.420733940802</v>
      </c>
      <c r="S1041" t="s">
        <v>61</v>
      </c>
      <c r="T1041">
        <v>1</v>
      </c>
      <c r="U1041" t="s">
        <v>62</v>
      </c>
      <c r="V1041" t="s">
        <v>66</v>
      </c>
      <c r="W1041">
        <v>0</v>
      </c>
      <c r="X1041">
        <v>0</v>
      </c>
      <c r="Y1041">
        <v>24</v>
      </c>
      <c r="Z1041">
        <v>63</v>
      </c>
      <c r="AA1041">
        <v>70</v>
      </c>
      <c r="AB1041">
        <v>2500</v>
      </c>
      <c r="AC1041">
        <v>2352</v>
      </c>
      <c r="AD1041">
        <v>1176</v>
      </c>
      <c r="AE1041">
        <v>0</v>
      </c>
      <c r="AF1041">
        <v>0</v>
      </c>
      <c r="AG1041">
        <v>1176</v>
      </c>
      <c r="AH1041">
        <v>0</v>
      </c>
      <c r="AI1041">
        <v>420</v>
      </c>
      <c r="AJ1041">
        <v>0</v>
      </c>
      <c r="AK1041">
        <v>0</v>
      </c>
      <c r="AL1041">
        <v>0</v>
      </c>
      <c r="AM1041">
        <v>189</v>
      </c>
      <c r="AN1041">
        <v>80</v>
      </c>
      <c r="AO1041">
        <v>189</v>
      </c>
      <c r="AP1041">
        <v>12</v>
      </c>
      <c r="AQ1041">
        <v>0</v>
      </c>
      <c r="AR1041">
        <v>1</v>
      </c>
      <c r="AS1041" t="s">
        <v>58</v>
      </c>
      <c r="AT1041">
        <v>1</v>
      </c>
      <c r="AU1041" t="s">
        <v>59</v>
      </c>
      <c r="AV1041" t="s">
        <v>64</v>
      </c>
      <c r="AW1041">
        <v>1</v>
      </c>
      <c r="AX1041">
        <v>4</v>
      </c>
      <c r="AY1041">
        <v>0</v>
      </c>
      <c r="AZ1041">
        <v>0</v>
      </c>
      <c r="BA1041">
        <v>100</v>
      </c>
      <c r="BB1041">
        <v>100</v>
      </c>
      <c r="BC1041">
        <v>100</v>
      </c>
      <c r="BD1041">
        <v>100</v>
      </c>
      <c r="BE1041">
        <v>1</v>
      </c>
      <c r="BF1041">
        <v>15000</v>
      </c>
      <c r="BG1041">
        <v>1000</v>
      </c>
      <c r="BH1041" s="6">
        <f>Grandview_Inventory[[#This Row],[land_extract]]*Lookups!$B$3</f>
        <v>52004.542988489469</v>
      </c>
      <c r="BI1041" s="6">
        <f>IF(Grandview_Inventory[[#This Row],[bldg_style]]="",0,Lookups!$B$2)</f>
        <v>155833.95000000001</v>
      </c>
      <c r="BJ1041" s="6">
        <f>_xlfn.IFNA(VLOOKUP(Grandview_Inventory[[#This Row],[quality]],Lookups!$H$2:$J$14,3,FALSE),0)</f>
        <v>9808</v>
      </c>
      <c r="BK1041" s="6">
        <f>_xlfn.IFNA(VLOOKUP(Grandview_Inventory[[#This Row],[condition]],Lookups!$H$17:$J$24,3,FALSE),0)</f>
        <v>25818</v>
      </c>
      <c r="BL1041" s="6">
        <f>Grandview_Inventory[[#This Row],[Eff_Age]]*Lookups!$B$14</f>
        <v>-5739.9983999999995</v>
      </c>
      <c r="BM1041" s="6">
        <f>Grandview_Inventory[[#This Row],[living_area]]*Lookups!$B$15</f>
        <v>146719.766256</v>
      </c>
      <c r="BN1041" s="6">
        <f>Grandview_Inventory[[#This Row],[Fin BSMT]]*Lookups!$B$16</f>
        <v>-31868.706240000003</v>
      </c>
      <c r="BO1041" s="6">
        <f>(Grandview_Inventory[[#This Row],[att_gar]]+Grandview_Inventory[[#This Row],[bltin_gar]])*Lookups!$B$17</f>
        <v>36758.58354</v>
      </c>
      <c r="BP1041" s="6">
        <f>Grandview_Inventory[[#This Row],[Plumbing Fixtures]]*Lookups!$B$18</f>
        <v>24125.301599999999</v>
      </c>
      <c r="BQ1041" s="6">
        <f>Grandview_Inventory[[#This Row],[detatched_value]]*Lookups!$B$19</f>
        <v>0</v>
      </c>
      <c r="BR1041" s="6">
        <f>SUM(Grandview_Inventory[[#This Row],[Intercept]:[det_value]])*Grandview_Inventory[[#This Row],[res_pct]]</f>
        <v>361454.896756</v>
      </c>
      <c r="BS1041" s="6">
        <f>Grandview_Inventory[[#This Row],[land_value]]</f>
        <v>52004.542988489469</v>
      </c>
      <c r="BT1041" s="4">
        <f>_xlfn.IFNA(VLOOKUP(Grandview_Inventory[[#This Row],[quality]],Lookups!$A$26:$C$33,3,FALSE),1)</f>
        <v>0.94295468617355149</v>
      </c>
      <c r="BU1041" s="4">
        <f>_xlfn.IFNA(VLOOKUP(Grandview_Inventory[[#This Row],[condition]],Lookups!$A$37:$C$44,3,FALSE),1)</f>
        <v>0.96661476234146892</v>
      </c>
      <c r="BV1041" s="4">
        <f>IF(Grandview_Inventory[[#This Row],[bldg_style]]="",1,_xlfn.IFNA(VLOOKUP(Grandview_Inventory[[#This Row],[decade]],Lookups!$F$29:$H$43,3,FALSE),1))</f>
        <v>0.99472141305414818</v>
      </c>
      <c r="BW1041" s="4">
        <f>_xlfn.IFNA(VLOOKUP(Grandview_Inventory[[#This Row],[living_area_range]],Lookups!$F$47:$H$56,3,FALSE),1)</f>
        <v>0.95799442568048754</v>
      </c>
      <c r="BX1041" s="4">
        <f>AVERAGE(Grandview_Inventory[[#This Row],[qual_adj]:[size_adj]])</f>
        <v>0.96557132181241401</v>
      </c>
      <c r="BY1041" s="6">
        <f>IF(Grandview_Inventory[[#This Row],[pre_res]]&lt;0,0,Grandview_Inventory[[#This Row],[pre_res]]*Grandview_Inventory[[#This Row],[overall_adj]])</f>
        <v>349010.48243626056</v>
      </c>
      <c r="BZ1041" s="6">
        <f>(Grandview_Inventory[[#This Row],[sum_land]]-IF(Grandview_Inventory[[#This Row],[no_utilities]]=1,12000,0))/IF(Grandview_Inventory[[#This Row],[unbuildable]]=1,2,1)</f>
        <v>52004.542988489469</v>
      </c>
      <c r="CA104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41">
        <f>ROUND(Grandview_Inventory[[#This Row],[det_value]]*Lookups!$M$28,-2)</f>
        <v>0</v>
      </c>
      <c r="CC1041">
        <f>IF(ROUND(Grandview_Inventory[[#This Row],[adj_res]]*Lookups!$M$28,-2)&lt;Grandview_Inventory[[#This Row],[min_res]],Grandview_Inventory[[#This Row],[min_res]],ROUND(Grandview_Inventory[[#This Row],[adj_res]]*Lookups!$M$28,-2))</f>
        <v>331600</v>
      </c>
      <c r="CD1041">
        <f>Grandview_Inventory[[#This Row],[final_det]]+Grandview_Inventory[[#This Row],[final_res]]</f>
        <v>331600</v>
      </c>
      <c r="CE1041">
        <f>Grandview_Inventory[[#This Row],[final_land]]+Grandview_Inventory[[#This Row],[final_imp]]+Grandview_Inventory[[#This Row],[crop_value]]</f>
        <v>381000</v>
      </c>
      <c r="CG1041" t="str">
        <f t="shared" si="16"/>
        <v>update valuation set market_land =49400, market_bldg=331600, market_total =381000, market_mdno =401, market_date ='9/10/2023' where link_id = (select link_id from parcel where parcel_year = '2024' and parcel_id = '23092242416');</v>
      </c>
    </row>
    <row r="1042" spans="1:85" x14ac:dyDescent="0.25">
      <c r="A1042">
        <v>23092242417</v>
      </c>
      <c r="B1042">
        <v>0.36</v>
      </c>
      <c r="C1042">
        <v>15777</v>
      </c>
      <c r="D1042" t="s">
        <v>129</v>
      </c>
      <c r="E1042" t="s">
        <v>53</v>
      </c>
      <c r="F1042" t="s">
        <v>53</v>
      </c>
      <c r="G1042">
        <v>4</v>
      </c>
      <c r="H1042" t="s">
        <v>54</v>
      </c>
      <c r="I1042">
        <v>199300</v>
      </c>
      <c r="J1042">
        <v>45400</v>
      </c>
      <c r="K1042">
        <v>0.36</v>
      </c>
      <c r="L1042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042">
        <v>0</v>
      </c>
      <c r="N1042">
        <v>0</v>
      </c>
      <c r="O1042">
        <v>0</v>
      </c>
      <c r="P1042">
        <v>13398.7528</v>
      </c>
      <c r="Q1042">
        <v>63903</v>
      </c>
      <c r="R1042">
        <f>(Grandview_Inventory[[#This Row],[ln_acres]]*Grandview_Inventory[[#This Row],[coeff]])+Grandview_Inventory[[#This Row],[const]]</f>
        <v>50214.147486507369</v>
      </c>
      <c r="S1042" t="s">
        <v>68</v>
      </c>
      <c r="T1042">
        <v>1</v>
      </c>
      <c r="U1042" t="s">
        <v>65</v>
      </c>
      <c r="V1042" t="s">
        <v>69</v>
      </c>
      <c r="W1042">
        <v>0</v>
      </c>
      <c r="X1042">
        <v>0</v>
      </c>
      <c r="Y1042">
        <v>49</v>
      </c>
      <c r="Z1042">
        <v>68</v>
      </c>
      <c r="AA1042">
        <v>70</v>
      </c>
      <c r="AB1042">
        <v>2500</v>
      </c>
      <c r="AC1042">
        <v>2262</v>
      </c>
      <c r="AD1042">
        <v>1315</v>
      </c>
      <c r="AE1042">
        <v>0</v>
      </c>
      <c r="AF1042">
        <v>0</v>
      </c>
      <c r="AG1042">
        <v>947</v>
      </c>
      <c r="AH1042">
        <v>368</v>
      </c>
      <c r="AI1042">
        <v>441</v>
      </c>
      <c r="AJ1042">
        <v>0</v>
      </c>
      <c r="AK1042">
        <v>0</v>
      </c>
      <c r="AL1042">
        <v>0</v>
      </c>
      <c r="AM1042">
        <v>607</v>
      </c>
      <c r="AN1042">
        <v>120</v>
      </c>
      <c r="AO1042">
        <v>391</v>
      </c>
      <c r="AP1042">
        <v>8</v>
      </c>
      <c r="AQ1042">
        <v>0</v>
      </c>
      <c r="AR1042">
        <v>0</v>
      </c>
      <c r="AS1042" t="s">
        <v>76</v>
      </c>
      <c r="AT1042">
        <v>1</v>
      </c>
      <c r="AU1042" t="s">
        <v>59</v>
      </c>
      <c r="AV1042" t="s">
        <v>60</v>
      </c>
      <c r="AW1042">
        <v>1</v>
      </c>
      <c r="AX1042">
        <v>3</v>
      </c>
      <c r="AY1042">
        <v>0</v>
      </c>
      <c r="AZ1042">
        <v>0</v>
      </c>
      <c r="BA1042">
        <v>100</v>
      </c>
      <c r="BB1042">
        <v>100</v>
      </c>
      <c r="BC1042">
        <v>100</v>
      </c>
      <c r="BD1042">
        <v>100</v>
      </c>
      <c r="BE1042">
        <v>1</v>
      </c>
      <c r="BF1042">
        <v>15000</v>
      </c>
      <c r="BG1042">
        <v>1000</v>
      </c>
      <c r="BH1042" s="6">
        <f>Grandview_Inventory[[#This Row],[land_extract]]*Lookups!$B$3</f>
        <v>58313.55389788279</v>
      </c>
      <c r="BI1042" s="6">
        <f>IF(Grandview_Inventory[[#This Row],[bldg_style]]="",0,Lookups!$B$2)</f>
        <v>155833.95000000001</v>
      </c>
      <c r="BJ1042" s="6">
        <f>_xlfn.IFNA(VLOOKUP(Grandview_Inventory[[#This Row],[quality]],Lookups!$H$2:$J$14,3,FALSE),0)</f>
        <v>2251</v>
      </c>
      <c r="BK1042" s="6">
        <f>_xlfn.IFNA(VLOOKUP(Grandview_Inventory[[#This Row],[condition]],Lookups!$H$17:$J$24,3,FALSE),0)</f>
        <v>-4503</v>
      </c>
      <c r="BL1042" s="6">
        <f>Grandview_Inventory[[#This Row],[Eff_Age]]*Lookups!$B$14</f>
        <v>-11719.163399999999</v>
      </c>
      <c r="BM1042" s="6">
        <f>Grandview_Inventory[[#This Row],[living_area]]*Lookups!$B$15</f>
        <v>141105.48948600001</v>
      </c>
      <c r="BN1042" s="6">
        <f>Grandview_Inventory[[#This Row],[Fin BSMT]]*Lookups!$B$16</f>
        <v>-25662.980280000003</v>
      </c>
      <c r="BO1042" s="6">
        <f>(Grandview_Inventory[[#This Row],[att_gar]]+Grandview_Inventory[[#This Row],[bltin_gar]])*Lookups!$B$17</f>
        <v>38596.512716999998</v>
      </c>
      <c r="BP1042" s="6">
        <f>Grandview_Inventory[[#This Row],[Plumbing Fixtures]]*Lookups!$B$18</f>
        <v>16083.5344</v>
      </c>
      <c r="BQ1042" s="6">
        <f>Grandview_Inventory[[#This Row],[detatched_value]]*Lookups!$B$19</f>
        <v>0</v>
      </c>
      <c r="BR1042" s="6">
        <f>SUM(Grandview_Inventory[[#This Row],[Intercept]:[det_value]])*Grandview_Inventory[[#This Row],[res_pct]]</f>
        <v>311985.34292299999</v>
      </c>
      <c r="BS1042" s="6">
        <f>Grandview_Inventory[[#This Row],[land_value]]</f>
        <v>58313.55389788279</v>
      </c>
      <c r="BT1042" s="4">
        <f>_xlfn.IFNA(VLOOKUP(Grandview_Inventory[[#This Row],[quality]],Lookups!$A$26:$C$33,3,FALSE),1)</f>
        <v>0.98763855981004833</v>
      </c>
      <c r="BU1042" s="4">
        <f>_xlfn.IFNA(VLOOKUP(Grandview_Inventory[[#This Row],[condition]],Lookups!$A$37:$C$44,3,FALSE),1)</f>
        <v>0.96469275950863709</v>
      </c>
      <c r="BV1042" s="4">
        <f>IF(Grandview_Inventory[[#This Row],[bldg_style]]="",1,_xlfn.IFNA(VLOOKUP(Grandview_Inventory[[#This Row],[decade]],Lookups!$F$29:$H$43,3,FALSE),1))</f>
        <v>0.99472141305414818</v>
      </c>
      <c r="BW1042" s="4">
        <f>_xlfn.IFNA(VLOOKUP(Grandview_Inventory[[#This Row],[living_area_range]],Lookups!$F$47:$H$56,3,FALSE),1)</f>
        <v>0.95799442568048754</v>
      </c>
      <c r="BX1042" s="4">
        <f>AVERAGE(Grandview_Inventory[[#This Row],[qual_adj]:[size_adj]])</f>
        <v>0.97626178951333031</v>
      </c>
      <c r="BY1042" s="6">
        <f>IF(Grandview_Inventory[[#This Row],[pre_res]]&lt;0,0,Grandview_Inventory[[#This Row],[pre_res]]*Grandview_Inventory[[#This Row],[overall_adj]])</f>
        <v>304579.36918393802</v>
      </c>
      <c r="BZ1042" s="6">
        <f>(Grandview_Inventory[[#This Row],[sum_land]]-IF(Grandview_Inventory[[#This Row],[no_utilities]]=1,12000,0))/IF(Grandview_Inventory[[#This Row],[unbuildable]]=1,2,1)</f>
        <v>58313.55389788279</v>
      </c>
      <c r="CA1042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042">
        <f>ROUND(Grandview_Inventory[[#This Row],[det_value]]*Lookups!$M$28,-2)</f>
        <v>0</v>
      </c>
      <c r="CC1042">
        <f>IF(ROUND(Grandview_Inventory[[#This Row],[adj_res]]*Lookups!$M$28,-2)&lt;Grandview_Inventory[[#This Row],[min_res]],Grandview_Inventory[[#This Row],[min_res]],ROUND(Grandview_Inventory[[#This Row],[adj_res]]*Lookups!$M$28,-2))</f>
        <v>289400</v>
      </c>
      <c r="CD1042">
        <f>Grandview_Inventory[[#This Row],[final_det]]+Grandview_Inventory[[#This Row],[final_res]]</f>
        <v>289400</v>
      </c>
      <c r="CE1042">
        <f>Grandview_Inventory[[#This Row],[final_land]]+Grandview_Inventory[[#This Row],[final_imp]]+Grandview_Inventory[[#This Row],[crop_value]]</f>
        <v>344800</v>
      </c>
      <c r="CG1042" t="str">
        <f t="shared" si="16"/>
        <v>update valuation set market_land =55400, market_bldg=289400, market_total =344800, market_mdno =401, market_date ='9/10/2023' where link_id = (select link_id from parcel where parcel_year = '2024' and parcel_id = '23092242417');</v>
      </c>
    </row>
    <row r="1043" spans="1:85" x14ac:dyDescent="0.25">
      <c r="A1043">
        <v>23092242418</v>
      </c>
      <c r="B1043">
        <v>0.27</v>
      </c>
      <c r="C1043">
        <v>11974</v>
      </c>
      <c r="D1043" t="s">
        <v>129</v>
      </c>
      <c r="E1043" t="s">
        <v>53</v>
      </c>
      <c r="F1043" t="s">
        <v>53</v>
      </c>
      <c r="G1043">
        <v>4</v>
      </c>
      <c r="H1043" t="s">
        <v>54</v>
      </c>
      <c r="I1043">
        <v>156900</v>
      </c>
      <c r="J1043">
        <v>44400</v>
      </c>
      <c r="K1043">
        <v>0.27</v>
      </c>
      <c r="L1043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043">
        <v>0</v>
      </c>
      <c r="N1043">
        <v>0</v>
      </c>
      <c r="O1043">
        <v>0</v>
      </c>
      <c r="P1043">
        <v>13398.7528</v>
      </c>
      <c r="Q1043">
        <v>63903</v>
      </c>
      <c r="R1043">
        <f>(Grandview_Inventory[[#This Row],[ln_acres]]*Grandview_Inventory[[#This Row],[coeff]])+Grandview_Inventory[[#This Row],[const]]</f>
        <v>46359.566512734265</v>
      </c>
      <c r="S1043" t="s">
        <v>61</v>
      </c>
      <c r="T1043">
        <v>1</v>
      </c>
      <c r="U1043" t="s">
        <v>62</v>
      </c>
      <c r="V1043" t="s">
        <v>69</v>
      </c>
      <c r="W1043">
        <v>0</v>
      </c>
      <c r="X1043">
        <v>0</v>
      </c>
      <c r="Y1043">
        <v>49</v>
      </c>
      <c r="Z1043">
        <v>68</v>
      </c>
      <c r="AA1043">
        <v>70</v>
      </c>
      <c r="AB1043">
        <v>2000</v>
      </c>
      <c r="AC1043">
        <v>1516</v>
      </c>
      <c r="AD1043">
        <v>1516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578</v>
      </c>
      <c r="AN1043">
        <v>0</v>
      </c>
      <c r="AO1043">
        <v>0</v>
      </c>
      <c r="AP1043">
        <v>7</v>
      </c>
      <c r="AQ1043">
        <v>0</v>
      </c>
      <c r="AR1043">
        <v>1</v>
      </c>
      <c r="AS1043" t="s">
        <v>58</v>
      </c>
      <c r="AT1043">
        <v>1</v>
      </c>
      <c r="AU1043" t="s">
        <v>63</v>
      </c>
      <c r="AV1043" t="s">
        <v>60</v>
      </c>
      <c r="AW1043">
        <v>0</v>
      </c>
      <c r="AX1043">
        <v>3</v>
      </c>
      <c r="AY1043">
        <v>0</v>
      </c>
      <c r="AZ1043">
        <v>0</v>
      </c>
      <c r="BA1043">
        <v>100</v>
      </c>
      <c r="BB1043">
        <v>100</v>
      </c>
      <c r="BC1043">
        <v>100</v>
      </c>
      <c r="BD1043">
        <v>100</v>
      </c>
      <c r="BE1043">
        <v>1</v>
      </c>
      <c r="BF1043">
        <v>15000</v>
      </c>
      <c r="BG1043">
        <v>1000</v>
      </c>
      <c r="BH1043" s="6">
        <f>Grandview_Inventory[[#This Row],[land_extract]]*Lookups!$B$3</f>
        <v>53837.239420408718</v>
      </c>
      <c r="BI1043" s="6">
        <f>IF(Grandview_Inventory[[#This Row],[bldg_style]]="",0,Lookups!$B$2)</f>
        <v>155833.95000000001</v>
      </c>
      <c r="BJ1043" s="6">
        <f>_xlfn.IFNA(VLOOKUP(Grandview_Inventory[[#This Row],[quality]],Lookups!$H$2:$J$14,3,FALSE),0)</f>
        <v>9808</v>
      </c>
      <c r="BK1043" s="6">
        <f>_xlfn.IFNA(VLOOKUP(Grandview_Inventory[[#This Row],[condition]],Lookups!$H$17:$J$24,3,FALSE),0)</f>
        <v>-4503</v>
      </c>
      <c r="BL1043" s="6">
        <f>Grandview_Inventory[[#This Row],[Eff_Age]]*Lookups!$B$14</f>
        <v>-11719.163399999999</v>
      </c>
      <c r="BM1043" s="6">
        <f>Grandview_Inventory[[#This Row],[living_area]]*Lookups!$B$15</f>
        <v>94569.373147999999</v>
      </c>
      <c r="BN1043" s="6">
        <f>Grandview_Inventory[[#This Row],[Fin BSMT]]*Lookups!$B$16</f>
        <v>0</v>
      </c>
      <c r="BO1043" s="6">
        <f>(Grandview_Inventory[[#This Row],[att_gar]]+Grandview_Inventory[[#This Row],[bltin_gar]])*Lookups!$B$17</f>
        <v>0</v>
      </c>
      <c r="BP1043" s="6">
        <f>Grandview_Inventory[[#This Row],[Plumbing Fixtures]]*Lookups!$B$18</f>
        <v>14073.0926</v>
      </c>
      <c r="BQ1043" s="6">
        <f>Grandview_Inventory[[#This Row],[detatched_value]]*Lookups!$B$19</f>
        <v>0</v>
      </c>
      <c r="BR1043" s="6">
        <f>SUM(Grandview_Inventory[[#This Row],[Intercept]:[det_value]])*Grandview_Inventory[[#This Row],[res_pct]]</f>
        <v>258062.25234800004</v>
      </c>
      <c r="BS1043" s="6">
        <f>Grandview_Inventory[[#This Row],[land_value]]</f>
        <v>53837.239420408718</v>
      </c>
      <c r="BT1043" s="4">
        <f>_xlfn.IFNA(VLOOKUP(Grandview_Inventory[[#This Row],[quality]],Lookups!$A$26:$C$33,3,FALSE),1)</f>
        <v>0.94295468617355149</v>
      </c>
      <c r="BU1043" s="4">
        <f>_xlfn.IFNA(VLOOKUP(Grandview_Inventory[[#This Row],[condition]],Lookups!$A$37:$C$44,3,FALSE),1)</f>
        <v>0.96469275950863709</v>
      </c>
      <c r="BV1043" s="4">
        <f>IF(Grandview_Inventory[[#This Row],[bldg_style]]="",1,_xlfn.IFNA(VLOOKUP(Grandview_Inventory[[#This Row],[decade]],Lookups!$F$29:$H$43,3,FALSE),1))</f>
        <v>0.99472141305414818</v>
      </c>
      <c r="BW1043" s="4">
        <f>_xlfn.IFNA(VLOOKUP(Grandview_Inventory[[#This Row],[living_area_range]],Lookups!$F$47:$H$56,3,FALSE),1)</f>
        <v>0.96120133463014379</v>
      </c>
      <c r="BX1043" s="4">
        <f>AVERAGE(Grandview_Inventory[[#This Row],[qual_adj]:[size_adj]])</f>
        <v>0.96589254834162008</v>
      </c>
      <c r="BY1043" s="6">
        <f>IF(Grandview_Inventory[[#This Row],[pre_res]]&lt;0,0,Grandview_Inventory[[#This Row],[pre_res]]*Grandview_Inventory[[#This Row],[overall_adj]])</f>
        <v>249260.40655118797</v>
      </c>
      <c r="BZ1043" s="6">
        <f>(Grandview_Inventory[[#This Row],[sum_land]]-IF(Grandview_Inventory[[#This Row],[no_utilities]]=1,12000,0))/IF(Grandview_Inventory[[#This Row],[unbuildable]]=1,2,1)</f>
        <v>53837.239420408718</v>
      </c>
      <c r="CA1043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043">
        <f>ROUND(Grandview_Inventory[[#This Row],[det_value]]*Lookups!$M$28,-2)</f>
        <v>0</v>
      </c>
      <c r="CC1043">
        <f>IF(ROUND(Grandview_Inventory[[#This Row],[adj_res]]*Lookups!$M$28,-2)&lt;Grandview_Inventory[[#This Row],[min_res]],Grandview_Inventory[[#This Row],[min_res]],ROUND(Grandview_Inventory[[#This Row],[adj_res]]*Lookups!$M$28,-2))</f>
        <v>236800</v>
      </c>
      <c r="CD1043">
        <f>Grandview_Inventory[[#This Row],[final_det]]+Grandview_Inventory[[#This Row],[final_res]]</f>
        <v>236800</v>
      </c>
      <c r="CE1043">
        <f>Grandview_Inventory[[#This Row],[final_land]]+Grandview_Inventory[[#This Row],[final_imp]]+Grandview_Inventory[[#This Row],[crop_value]]</f>
        <v>287900</v>
      </c>
      <c r="CG1043" t="str">
        <f t="shared" si="16"/>
        <v>update valuation set market_land =51100, market_bldg=236800, market_total =287900, market_mdno =401, market_date ='9/10/2023' where link_id = (select link_id from parcel where parcel_year = '2024' and parcel_id = '23092242418');</v>
      </c>
    </row>
    <row r="1044" spans="1:85" x14ac:dyDescent="0.25">
      <c r="A1044">
        <v>23092242419</v>
      </c>
      <c r="B1044">
        <v>0.28999999999999998</v>
      </c>
      <c r="C1044">
        <v>12650</v>
      </c>
      <c r="D1044" t="s">
        <v>129</v>
      </c>
      <c r="E1044" t="s">
        <v>53</v>
      </c>
      <c r="F1044" t="s">
        <v>53</v>
      </c>
      <c r="G1044">
        <v>4</v>
      </c>
      <c r="H1044" t="s">
        <v>54</v>
      </c>
      <c r="I1044">
        <v>173200</v>
      </c>
      <c r="J1044">
        <v>45100</v>
      </c>
      <c r="K1044">
        <v>0.28999999999999998</v>
      </c>
      <c r="L1044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044">
        <v>0</v>
      </c>
      <c r="N1044">
        <v>0</v>
      </c>
      <c r="O1044">
        <v>0</v>
      </c>
      <c r="P1044">
        <v>13398.7528</v>
      </c>
      <c r="Q1044">
        <v>63903</v>
      </c>
      <c r="R1044">
        <f>(Grandview_Inventory[[#This Row],[ln_acres]]*Grandview_Inventory[[#This Row],[coeff]])+Grandview_Inventory[[#This Row],[const]]</f>
        <v>47317.027506475133</v>
      </c>
      <c r="S1044" t="s">
        <v>61</v>
      </c>
      <c r="T1044">
        <v>1</v>
      </c>
      <c r="U1044" t="s">
        <v>65</v>
      </c>
      <c r="V1044" t="s">
        <v>69</v>
      </c>
      <c r="W1044">
        <v>0</v>
      </c>
      <c r="X1044">
        <v>0</v>
      </c>
      <c r="Y1044">
        <v>49</v>
      </c>
      <c r="Z1044">
        <v>68</v>
      </c>
      <c r="AA1044">
        <v>70</v>
      </c>
      <c r="AB1044">
        <v>1500</v>
      </c>
      <c r="AC1044">
        <v>1184</v>
      </c>
      <c r="AD1044">
        <v>1184</v>
      </c>
      <c r="AE1044">
        <v>0</v>
      </c>
      <c r="AF1044">
        <v>0</v>
      </c>
      <c r="AG1044">
        <v>0</v>
      </c>
      <c r="AH1044">
        <v>0</v>
      </c>
      <c r="AI1044">
        <v>420</v>
      </c>
      <c r="AJ1044">
        <v>0</v>
      </c>
      <c r="AK1044">
        <v>0</v>
      </c>
      <c r="AL1044">
        <v>0</v>
      </c>
      <c r="AM1044">
        <v>356</v>
      </c>
      <c r="AN1044">
        <v>0</v>
      </c>
      <c r="AO1044">
        <v>356</v>
      </c>
      <c r="AP1044">
        <v>5</v>
      </c>
      <c r="AQ1044">
        <v>0</v>
      </c>
      <c r="AR1044">
        <v>0</v>
      </c>
      <c r="AS1044" t="s">
        <v>76</v>
      </c>
      <c r="AT1044">
        <v>1</v>
      </c>
      <c r="AU1044" t="s">
        <v>63</v>
      </c>
      <c r="AV1044" t="s">
        <v>64</v>
      </c>
      <c r="AW1044">
        <v>1</v>
      </c>
      <c r="AX1044">
        <v>2</v>
      </c>
      <c r="AY1044">
        <v>0</v>
      </c>
      <c r="AZ1044">
        <v>0</v>
      </c>
      <c r="BA1044">
        <v>100</v>
      </c>
      <c r="BB1044">
        <v>100</v>
      </c>
      <c r="BC1044">
        <v>100</v>
      </c>
      <c r="BD1044">
        <v>100</v>
      </c>
      <c r="BE1044">
        <v>1</v>
      </c>
      <c r="BF1044">
        <v>15000</v>
      </c>
      <c r="BG1044">
        <v>1000</v>
      </c>
      <c r="BH1044" s="6">
        <f>Grandview_Inventory[[#This Row],[land_extract]]*Lookups!$B$3</f>
        <v>54949.136287295303</v>
      </c>
      <c r="BI1044" s="6">
        <f>IF(Grandview_Inventory[[#This Row],[bldg_style]]="",0,Lookups!$B$2)</f>
        <v>155833.95000000001</v>
      </c>
      <c r="BJ1044" s="6">
        <f>_xlfn.IFNA(VLOOKUP(Grandview_Inventory[[#This Row],[quality]],Lookups!$H$2:$J$14,3,FALSE),0)</f>
        <v>2251</v>
      </c>
      <c r="BK1044" s="6">
        <f>_xlfn.IFNA(VLOOKUP(Grandview_Inventory[[#This Row],[condition]],Lookups!$H$17:$J$24,3,FALSE),0)</f>
        <v>-4503</v>
      </c>
      <c r="BL1044" s="6">
        <f>Grandview_Inventory[[#This Row],[Eff_Age]]*Lookups!$B$14</f>
        <v>-11719.163399999999</v>
      </c>
      <c r="BM1044" s="6">
        <f>Grandview_Inventory[[#This Row],[living_area]]*Lookups!$B$15</f>
        <v>73858.929952000006</v>
      </c>
      <c r="BN1044" s="6">
        <f>Grandview_Inventory[[#This Row],[Fin BSMT]]*Lookups!$B$16</f>
        <v>0</v>
      </c>
      <c r="BO1044" s="6">
        <f>(Grandview_Inventory[[#This Row],[att_gar]]+Grandview_Inventory[[#This Row],[bltin_gar]])*Lookups!$B$17</f>
        <v>36758.58354</v>
      </c>
      <c r="BP1044" s="6">
        <f>Grandview_Inventory[[#This Row],[Plumbing Fixtures]]*Lookups!$B$18</f>
        <v>10052.209000000001</v>
      </c>
      <c r="BQ1044" s="6">
        <f>Grandview_Inventory[[#This Row],[detatched_value]]*Lookups!$B$19</f>
        <v>0</v>
      </c>
      <c r="BR1044" s="6">
        <f>SUM(Grandview_Inventory[[#This Row],[Intercept]:[det_value]])*Grandview_Inventory[[#This Row],[res_pct]]</f>
        <v>262532.50909200002</v>
      </c>
      <c r="BS1044" s="6">
        <f>Grandview_Inventory[[#This Row],[land_value]]</f>
        <v>54949.136287295303</v>
      </c>
      <c r="BT1044" s="4">
        <f>_xlfn.IFNA(VLOOKUP(Grandview_Inventory[[#This Row],[quality]],Lookups!$A$26:$C$33,3,FALSE),1)</f>
        <v>0.98763855981004833</v>
      </c>
      <c r="BU1044" s="4">
        <f>_xlfn.IFNA(VLOOKUP(Grandview_Inventory[[#This Row],[condition]],Lookups!$A$37:$C$44,3,FALSE),1)</f>
        <v>0.96469275950863709</v>
      </c>
      <c r="BV1044" s="4">
        <f>IF(Grandview_Inventory[[#This Row],[bldg_style]]="",1,_xlfn.IFNA(VLOOKUP(Grandview_Inventory[[#This Row],[decade]],Lookups!$F$29:$H$43,3,FALSE),1))</f>
        <v>0.99472141305414818</v>
      </c>
      <c r="BW1044" s="4">
        <f>_xlfn.IFNA(VLOOKUP(Grandview_Inventory[[#This Row],[living_area_range]],Lookups!$F$47:$H$56,3,FALSE),1)</f>
        <v>0.96135087979789358</v>
      </c>
      <c r="BX1044" s="4">
        <f>AVERAGE(Grandview_Inventory[[#This Row],[qual_adj]:[size_adj]])</f>
        <v>0.97710090304268182</v>
      </c>
      <c r="BY1044" s="6">
        <f>IF(Grandview_Inventory[[#This Row],[pre_res]]&lt;0,0,Grandview_Inventory[[#This Row],[pre_res]]*Grandview_Inventory[[#This Row],[overall_adj]])</f>
        <v>256520.7517118543</v>
      </c>
      <c r="BZ1044" s="6">
        <f>(Grandview_Inventory[[#This Row],[sum_land]]-IF(Grandview_Inventory[[#This Row],[no_utilities]]=1,12000,0))/IF(Grandview_Inventory[[#This Row],[unbuildable]]=1,2,1)</f>
        <v>54949.136287295303</v>
      </c>
      <c r="CA1044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044">
        <f>ROUND(Grandview_Inventory[[#This Row],[det_value]]*Lookups!$M$28,-2)</f>
        <v>0</v>
      </c>
      <c r="CC1044">
        <f>IF(ROUND(Grandview_Inventory[[#This Row],[adj_res]]*Lookups!$M$28,-2)&lt;Grandview_Inventory[[#This Row],[min_res]],Grandview_Inventory[[#This Row],[min_res]],ROUND(Grandview_Inventory[[#This Row],[adj_res]]*Lookups!$M$28,-2))</f>
        <v>243700</v>
      </c>
      <c r="CD1044">
        <f>Grandview_Inventory[[#This Row],[final_det]]+Grandview_Inventory[[#This Row],[final_res]]</f>
        <v>243700</v>
      </c>
      <c r="CE1044">
        <f>Grandview_Inventory[[#This Row],[final_land]]+Grandview_Inventory[[#This Row],[final_imp]]+Grandview_Inventory[[#This Row],[crop_value]]</f>
        <v>295900</v>
      </c>
      <c r="CG1044" t="str">
        <f t="shared" si="16"/>
        <v>update valuation set market_land =52200, market_bldg=243700, market_total =295900, market_mdno =401, market_date ='9/10/2023' where link_id = (select link_id from parcel where parcel_year = '2024' and parcel_id = '23092242419');</v>
      </c>
    </row>
    <row r="1045" spans="1:85" x14ac:dyDescent="0.25">
      <c r="A1045">
        <v>23092242420</v>
      </c>
      <c r="B1045">
        <v>0.21</v>
      </c>
      <c r="C1045">
        <v>9200</v>
      </c>
      <c r="D1045" t="s">
        <v>129</v>
      </c>
      <c r="E1045" t="s">
        <v>53</v>
      </c>
      <c r="F1045" t="s">
        <v>53</v>
      </c>
      <c r="G1045">
        <v>4</v>
      </c>
      <c r="H1045" t="s">
        <v>54</v>
      </c>
      <c r="I1045">
        <v>148300</v>
      </c>
      <c r="J1045">
        <v>43700</v>
      </c>
      <c r="K1045">
        <v>0.21</v>
      </c>
      <c r="L104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45">
        <v>0</v>
      </c>
      <c r="N1045">
        <v>0</v>
      </c>
      <c r="O1045">
        <v>0</v>
      </c>
      <c r="P1045">
        <v>13398.7528</v>
      </c>
      <c r="Q1045">
        <v>63903</v>
      </c>
      <c r="R1045">
        <f>(Grandview_Inventory[[#This Row],[ln_acres]]*Grandview_Inventory[[#This Row],[coeff]])+Grandview_Inventory[[#This Row],[const]]</f>
        <v>42992.266613125081</v>
      </c>
      <c r="S1045" t="s">
        <v>61</v>
      </c>
      <c r="T1045">
        <v>1</v>
      </c>
      <c r="U1045" t="s">
        <v>65</v>
      </c>
      <c r="V1045" t="s">
        <v>69</v>
      </c>
      <c r="W1045">
        <v>0</v>
      </c>
      <c r="X1045">
        <v>0</v>
      </c>
      <c r="Y1045">
        <v>50</v>
      </c>
      <c r="Z1045">
        <v>70</v>
      </c>
      <c r="AA1045">
        <v>70</v>
      </c>
      <c r="AB1045">
        <v>1500</v>
      </c>
      <c r="AC1045">
        <v>1230</v>
      </c>
      <c r="AD1045">
        <v>1230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548</v>
      </c>
      <c r="AN1045">
        <v>0</v>
      </c>
      <c r="AO1045">
        <v>260</v>
      </c>
      <c r="AP1045">
        <v>8</v>
      </c>
      <c r="AQ1045">
        <v>0</v>
      </c>
      <c r="AR1045">
        <v>0</v>
      </c>
      <c r="AS1045" t="s">
        <v>58</v>
      </c>
      <c r="AT1045">
        <v>1</v>
      </c>
      <c r="AU1045" t="s">
        <v>79</v>
      </c>
      <c r="AV1045" t="s">
        <v>60</v>
      </c>
      <c r="AW1045">
        <v>0</v>
      </c>
      <c r="AX1045">
        <v>2</v>
      </c>
      <c r="AY1045">
        <v>0</v>
      </c>
      <c r="AZ1045">
        <v>6800</v>
      </c>
      <c r="BA1045">
        <v>100</v>
      </c>
      <c r="BB1045">
        <v>100</v>
      </c>
      <c r="BC1045">
        <v>100</v>
      </c>
      <c r="BD1045">
        <v>100</v>
      </c>
      <c r="BE1045">
        <v>1</v>
      </c>
      <c r="BF1045">
        <v>15000</v>
      </c>
      <c r="BG1045">
        <v>1000</v>
      </c>
      <c r="BH1045" s="6">
        <f>Grandview_Inventory[[#This Row],[land_extract]]*Lookups!$B$3</f>
        <v>49926.8031387023</v>
      </c>
      <c r="BI1045" s="6">
        <f>IF(Grandview_Inventory[[#This Row],[bldg_style]]="",0,Lookups!$B$2)</f>
        <v>155833.95000000001</v>
      </c>
      <c r="BJ1045" s="6">
        <f>_xlfn.IFNA(VLOOKUP(Grandview_Inventory[[#This Row],[quality]],Lookups!$H$2:$J$14,3,FALSE),0)</f>
        <v>2251</v>
      </c>
      <c r="BK1045" s="6">
        <f>_xlfn.IFNA(VLOOKUP(Grandview_Inventory[[#This Row],[condition]],Lookups!$H$17:$J$24,3,FALSE),0)</f>
        <v>-4503</v>
      </c>
      <c r="BL1045" s="6">
        <f>Grandview_Inventory[[#This Row],[Eff_Age]]*Lookups!$B$14</f>
        <v>-11958.33</v>
      </c>
      <c r="BM1045" s="6">
        <f>Grandview_Inventory[[#This Row],[living_area]]*Lookups!$B$15</f>
        <v>76728.449189999999</v>
      </c>
      <c r="BN1045" s="6">
        <f>Grandview_Inventory[[#This Row],[Fin BSMT]]*Lookups!$B$16</f>
        <v>0</v>
      </c>
      <c r="BO1045" s="6">
        <f>(Grandview_Inventory[[#This Row],[att_gar]]+Grandview_Inventory[[#This Row],[bltin_gar]])*Lookups!$B$17</f>
        <v>0</v>
      </c>
      <c r="BP1045" s="6">
        <f>Grandview_Inventory[[#This Row],[Plumbing Fixtures]]*Lookups!$B$18</f>
        <v>16083.5344</v>
      </c>
      <c r="BQ1045" s="6">
        <f>Grandview_Inventory[[#This Row],[detatched_value]]*Lookups!$B$19</f>
        <v>5758.2746799999995</v>
      </c>
      <c r="BR1045" s="6">
        <f>SUM(Grandview_Inventory[[#This Row],[Intercept]:[det_value]])*Grandview_Inventory[[#This Row],[res_pct]]</f>
        <v>240193.87827000002</v>
      </c>
      <c r="BS1045" s="6">
        <f>Grandview_Inventory[[#This Row],[land_value]]</f>
        <v>49926.8031387023</v>
      </c>
      <c r="BT1045" s="4">
        <f>_xlfn.IFNA(VLOOKUP(Grandview_Inventory[[#This Row],[quality]],Lookups!$A$26:$C$33,3,FALSE),1)</f>
        <v>0.98763855981004833</v>
      </c>
      <c r="BU1045" s="4">
        <f>_xlfn.IFNA(VLOOKUP(Grandview_Inventory[[#This Row],[condition]],Lookups!$A$37:$C$44,3,FALSE),1)</f>
        <v>0.96469275950863709</v>
      </c>
      <c r="BV1045" s="4">
        <f>IF(Grandview_Inventory[[#This Row],[bldg_style]]="",1,_xlfn.IFNA(VLOOKUP(Grandview_Inventory[[#This Row],[decade]],Lookups!$F$29:$H$43,3,FALSE),1))</f>
        <v>0.99472141305414818</v>
      </c>
      <c r="BW1045" s="4">
        <f>_xlfn.IFNA(VLOOKUP(Grandview_Inventory[[#This Row],[living_area_range]],Lookups!$F$47:$H$56,3,FALSE),1)</f>
        <v>0.96135087979789358</v>
      </c>
      <c r="BX1045" s="4">
        <f>AVERAGE(Grandview_Inventory[[#This Row],[qual_adj]:[size_adj]])</f>
        <v>0.97710090304268182</v>
      </c>
      <c r="BY1045" s="6">
        <f>IF(Grandview_Inventory[[#This Row],[pre_res]]&lt;0,0,Grandview_Inventory[[#This Row],[pre_res]]*Grandview_Inventory[[#This Row],[overall_adj]])</f>
        <v>234693.655362941</v>
      </c>
      <c r="BZ1045" s="6">
        <f>(Grandview_Inventory[[#This Row],[sum_land]]-IF(Grandview_Inventory[[#This Row],[no_utilities]]=1,12000,0))/IF(Grandview_Inventory[[#This Row],[unbuildable]]=1,2,1)</f>
        <v>49926.8031387023</v>
      </c>
      <c r="CA104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45">
        <f>ROUND(Grandview_Inventory[[#This Row],[det_value]]*Lookups!$M$28,-2)</f>
        <v>5500</v>
      </c>
      <c r="CC1045">
        <f>IF(ROUND(Grandview_Inventory[[#This Row],[adj_res]]*Lookups!$M$28,-2)&lt;Grandview_Inventory[[#This Row],[min_res]],Grandview_Inventory[[#This Row],[min_res]],ROUND(Grandview_Inventory[[#This Row],[adj_res]]*Lookups!$M$28,-2))</f>
        <v>223000</v>
      </c>
      <c r="CD1045">
        <f>Grandview_Inventory[[#This Row],[final_det]]+Grandview_Inventory[[#This Row],[final_res]]</f>
        <v>228500</v>
      </c>
      <c r="CE1045">
        <f>Grandview_Inventory[[#This Row],[final_land]]+Grandview_Inventory[[#This Row],[final_imp]]+Grandview_Inventory[[#This Row],[crop_value]]</f>
        <v>275900</v>
      </c>
      <c r="CG1045" t="str">
        <f t="shared" si="16"/>
        <v>update valuation set market_land =47400, market_bldg=228500, market_total =275900, market_mdno =401, market_date ='9/10/2023' where link_id = (select link_id from parcel where parcel_year = '2024' and parcel_id = '23092242420');</v>
      </c>
    </row>
    <row r="1046" spans="1:85" x14ac:dyDescent="0.25">
      <c r="A1046">
        <v>23092242421</v>
      </c>
      <c r="B1046">
        <v>0.2</v>
      </c>
      <c r="C1046">
        <v>8625</v>
      </c>
      <c r="D1046" t="s">
        <v>129</v>
      </c>
      <c r="E1046" t="s">
        <v>53</v>
      </c>
      <c r="F1046" t="s">
        <v>53</v>
      </c>
      <c r="G1046">
        <v>4</v>
      </c>
      <c r="H1046" t="s">
        <v>54</v>
      </c>
      <c r="I1046">
        <v>148800</v>
      </c>
      <c r="J1046">
        <v>43500</v>
      </c>
      <c r="K1046">
        <v>0.2</v>
      </c>
      <c r="L104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46">
        <v>0</v>
      </c>
      <c r="N1046">
        <v>0</v>
      </c>
      <c r="O1046">
        <v>0</v>
      </c>
      <c r="P1046">
        <v>13398.7528</v>
      </c>
      <c r="Q1046">
        <v>63903</v>
      </c>
      <c r="R1046">
        <f>(Grandview_Inventory[[#This Row],[ln_acres]]*Grandview_Inventory[[#This Row],[coeff]])+Grandview_Inventory[[#This Row],[const]]</f>
        <v>42338.539264347448</v>
      </c>
      <c r="S1046" t="s">
        <v>61</v>
      </c>
      <c r="T1046">
        <v>1</v>
      </c>
      <c r="U1046" t="s">
        <v>65</v>
      </c>
      <c r="V1046" t="s">
        <v>69</v>
      </c>
      <c r="W1046">
        <v>0</v>
      </c>
      <c r="X1046">
        <v>0</v>
      </c>
      <c r="Y1046">
        <v>49</v>
      </c>
      <c r="Z1046">
        <v>68</v>
      </c>
      <c r="AA1046">
        <v>70</v>
      </c>
      <c r="AB1046">
        <v>1500</v>
      </c>
      <c r="AC1046">
        <v>1300</v>
      </c>
      <c r="AD1046">
        <v>1300</v>
      </c>
      <c r="AE1046">
        <v>0</v>
      </c>
      <c r="AF1046">
        <v>0</v>
      </c>
      <c r="AG1046">
        <v>0</v>
      </c>
      <c r="AH1046">
        <v>0</v>
      </c>
      <c r="AI1046">
        <v>300</v>
      </c>
      <c r="AJ1046">
        <v>0</v>
      </c>
      <c r="AK1046">
        <v>0</v>
      </c>
      <c r="AL1046">
        <v>0</v>
      </c>
      <c r="AM1046">
        <v>384</v>
      </c>
      <c r="AN1046">
        <v>0</v>
      </c>
      <c r="AO1046">
        <v>0</v>
      </c>
      <c r="AP1046">
        <v>8</v>
      </c>
      <c r="AQ1046">
        <v>0</v>
      </c>
      <c r="AR1046">
        <v>0</v>
      </c>
      <c r="AS1046" t="s">
        <v>58</v>
      </c>
      <c r="AT1046">
        <v>1</v>
      </c>
      <c r="AU1046" t="s">
        <v>63</v>
      </c>
      <c r="AV1046" t="s">
        <v>64</v>
      </c>
      <c r="AW1046">
        <v>0</v>
      </c>
      <c r="AX1046">
        <v>3</v>
      </c>
      <c r="AY1046">
        <v>0</v>
      </c>
      <c r="AZ1046">
        <v>0</v>
      </c>
      <c r="BA1046">
        <v>100</v>
      </c>
      <c r="BB1046">
        <v>100</v>
      </c>
      <c r="BC1046">
        <v>100</v>
      </c>
      <c r="BD1046">
        <v>100</v>
      </c>
      <c r="BE1046">
        <v>1</v>
      </c>
      <c r="BF1046">
        <v>15000</v>
      </c>
      <c r="BG1046">
        <v>1000</v>
      </c>
      <c r="BH1046" s="6">
        <f>Grandview_Inventory[[#This Row],[land_extract]]*Lookups!$B$3</f>
        <v>49167.631333630678</v>
      </c>
      <c r="BI1046" s="6">
        <f>IF(Grandview_Inventory[[#This Row],[bldg_style]]="",0,Lookups!$B$2)</f>
        <v>155833.95000000001</v>
      </c>
      <c r="BJ1046" s="6">
        <f>_xlfn.IFNA(VLOOKUP(Grandview_Inventory[[#This Row],[quality]],Lookups!$H$2:$J$14,3,FALSE),0)</f>
        <v>2251</v>
      </c>
      <c r="BK1046" s="6">
        <f>_xlfn.IFNA(VLOOKUP(Grandview_Inventory[[#This Row],[condition]],Lookups!$H$17:$J$24,3,FALSE),0)</f>
        <v>-4503</v>
      </c>
      <c r="BL1046" s="6">
        <f>Grandview_Inventory[[#This Row],[Eff_Age]]*Lookups!$B$14</f>
        <v>-11719.163399999999</v>
      </c>
      <c r="BM1046" s="6">
        <f>Grandview_Inventory[[#This Row],[living_area]]*Lookups!$B$15</f>
        <v>81095.108900000007</v>
      </c>
      <c r="BN1046" s="6">
        <f>Grandview_Inventory[[#This Row],[Fin BSMT]]*Lookups!$B$16</f>
        <v>0</v>
      </c>
      <c r="BO1046" s="6">
        <f>(Grandview_Inventory[[#This Row],[att_gar]]+Grandview_Inventory[[#This Row],[bltin_gar]])*Lookups!$B$17</f>
        <v>26256.131099999999</v>
      </c>
      <c r="BP1046" s="6">
        <f>Grandview_Inventory[[#This Row],[Plumbing Fixtures]]*Lookups!$B$18</f>
        <v>16083.5344</v>
      </c>
      <c r="BQ1046" s="6">
        <f>Grandview_Inventory[[#This Row],[detatched_value]]*Lookups!$B$19</f>
        <v>0</v>
      </c>
      <c r="BR1046" s="6">
        <f>SUM(Grandview_Inventory[[#This Row],[Intercept]:[det_value]])*Grandview_Inventory[[#This Row],[res_pct]]</f>
        <v>265297.56100000005</v>
      </c>
      <c r="BS1046" s="6">
        <f>Grandview_Inventory[[#This Row],[land_value]]</f>
        <v>49167.631333630678</v>
      </c>
      <c r="BT1046" s="4">
        <f>_xlfn.IFNA(VLOOKUP(Grandview_Inventory[[#This Row],[quality]],Lookups!$A$26:$C$33,3,FALSE),1)</f>
        <v>0.98763855981004833</v>
      </c>
      <c r="BU1046" s="4">
        <f>_xlfn.IFNA(VLOOKUP(Grandview_Inventory[[#This Row],[condition]],Lookups!$A$37:$C$44,3,FALSE),1)</f>
        <v>0.96469275950863709</v>
      </c>
      <c r="BV1046" s="4">
        <f>IF(Grandview_Inventory[[#This Row],[bldg_style]]="",1,_xlfn.IFNA(VLOOKUP(Grandview_Inventory[[#This Row],[decade]],Lookups!$F$29:$H$43,3,FALSE),1))</f>
        <v>0.99472141305414818</v>
      </c>
      <c r="BW1046" s="4">
        <f>_xlfn.IFNA(VLOOKUP(Grandview_Inventory[[#This Row],[living_area_range]],Lookups!$F$47:$H$56,3,FALSE),1)</f>
        <v>0.96135087979789358</v>
      </c>
      <c r="BX1046" s="4">
        <f>AVERAGE(Grandview_Inventory[[#This Row],[qual_adj]:[size_adj]])</f>
        <v>0.97710090304268182</v>
      </c>
      <c r="BY1046" s="6">
        <f>IF(Grandview_Inventory[[#This Row],[pre_res]]&lt;0,0,Grandview_Inventory[[#This Row],[pre_res]]*Grandview_Inventory[[#This Row],[overall_adj]])</f>
        <v>259222.48642812102</v>
      </c>
      <c r="BZ1046" s="6">
        <f>(Grandview_Inventory[[#This Row],[sum_land]]-IF(Grandview_Inventory[[#This Row],[no_utilities]]=1,12000,0))/IF(Grandview_Inventory[[#This Row],[unbuildable]]=1,2,1)</f>
        <v>49167.631333630678</v>
      </c>
      <c r="CA104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46">
        <f>ROUND(Grandview_Inventory[[#This Row],[det_value]]*Lookups!$M$28,-2)</f>
        <v>0</v>
      </c>
      <c r="CC1046">
        <f>IF(ROUND(Grandview_Inventory[[#This Row],[adj_res]]*Lookups!$M$28,-2)&lt;Grandview_Inventory[[#This Row],[min_res]],Grandview_Inventory[[#This Row],[min_res]],ROUND(Grandview_Inventory[[#This Row],[adj_res]]*Lookups!$M$28,-2))</f>
        <v>246300</v>
      </c>
      <c r="CD1046">
        <f>Grandview_Inventory[[#This Row],[final_det]]+Grandview_Inventory[[#This Row],[final_res]]</f>
        <v>246300</v>
      </c>
      <c r="CE1046">
        <f>Grandview_Inventory[[#This Row],[final_land]]+Grandview_Inventory[[#This Row],[final_imp]]+Grandview_Inventory[[#This Row],[crop_value]]</f>
        <v>293000</v>
      </c>
      <c r="CG1046" t="str">
        <f t="shared" si="16"/>
        <v>update valuation set market_land =46700, market_bldg=246300, market_total =293000, market_mdno =401, market_date ='9/10/2023' where link_id = (select link_id from parcel where parcel_year = '2024' and parcel_id = '23092242421');</v>
      </c>
    </row>
    <row r="1047" spans="1:85" x14ac:dyDescent="0.25">
      <c r="A1047">
        <v>23092242422</v>
      </c>
      <c r="B1047">
        <v>0.2</v>
      </c>
      <c r="C1047">
        <v>8625</v>
      </c>
      <c r="D1047" t="s">
        <v>129</v>
      </c>
      <c r="E1047" t="s">
        <v>53</v>
      </c>
      <c r="F1047" t="s">
        <v>53</v>
      </c>
      <c r="G1047">
        <v>4</v>
      </c>
      <c r="H1047" t="s">
        <v>54</v>
      </c>
      <c r="I1047">
        <v>190600</v>
      </c>
      <c r="J1047">
        <v>43500</v>
      </c>
      <c r="K1047">
        <v>0.2</v>
      </c>
      <c r="L104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47">
        <v>0</v>
      </c>
      <c r="N1047">
        <v>0</v>
      </c>
      <c r="O1047">
        <v>0</v>
      </c>
      <c r="P1047">
        <v>13398.7528</v>
      </c>
      <c r="Q1047">
        <v>63903</v>
      </c>
      <c r="R1047">
        <f>(Grandview_Inventory[[#This Row],[ln_acres]]*Grandview_Inventory[[#This Row],[coeff]])+Grandview_Inventory[[#This Row],[const]]</f>
        <v>42338.539264347448</v>
      </c>
      <c r="S1047" t="s">
        <v>61</v>
      </c>
      <c r="T1047">
        <v>1</v>
      </c>
      <c r="U1047" t="s">
        <v>62</v>
      </c>
      <c r="V1047" t="s">
        <v>69</v>
      </c>
      <c r="W1047">
        <v>0</v>
      </c>
      <c r="X1047">
        <v>0</v>
      </c>
      <c r="Y1047">
        <v>49</v>
      </c>
      <c r="Z1047">
        <v>67</v>
      </c>
      <c r="AA1047">
        <v>70</v>
      </c>
      <c r="AB1047">
        <v>2000</v>
      </c>
      <c r="AC1047">
        <v>1531</v>
      </c>
      <c r="AD1047">
        <v>1531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548</v>
      </c>
      <c r="AN1047">
        <v>144</v>
      </c>
      <c r="AO1047">
        <v>308</v>
      </c>
      <c r="AP1047">
        <v>8</v>
      </c>
      <c r="AQ1047">
        <v>0</v>
      </c>
      <c r="AR1047">
        <v>1</v>
      </c>
      <c r="AS1047" t="s">
        <v>58</v>
      </c>
      <c r="AT1047">
        <v>1</v>
      </c>
      <c r="AU1047" t="s">
        <v>63</v>
      </c>
      <c r="AV1047" t="s">
        <v>64</v>
      </c>
      <c r="AW1047">
        <v>1</v>
      </c>
      <c r="AX1047">
        <v>3</v>
      </c>
      <c r="AY1047">
        <v>0</v>
      </c>
      <c r="AZ1047">
        <v>21500</v>
      </c>
      <c r="BA1047">
        <v>100</v>
      </c>
      <c r="BB1047">
        <v>100</v>
      </c>
      <c r="BC1047">
        <v>100</v>
      </c>
      <c r="BD1047">
        <v>100</v>
      </c>
      <c r="BE1047">
        <v>1</v>
      </c>
      <c r="BF1047">
        <v>15000</v>
      </c>
      <c r="BG1047">
        <v>1000</v>
      </c>
      <c r="BH1047" s="6">
        <f>Grandview_Inventory[[#This Row],[land_extract]]*Lookups!$B$3</f>
        <v>49167.631333630678</v>
      </c>
      <c r="BI1047" s="6">
        <f>IF(Grandview_Inventory[[#This Row],[bldg_style]]="",0,Lookups!$B$2)</f>
        <v>155833.95000000001</v>
      </c>
      <c r="BJ1047" s="6">
        <f>_xlfn.IFNA(VLOOKUP(Grandview_Inventory[[#This Row],[quality]],Lookups!$H$2:$J$14,3,FALSE),0)</f>
        <v>9808</v>
      </c>
      <c r="BK1047" s="6">
        <f>_xlfn.IFNA(VLOOKUP(Grandview_Inventory[[#This Row],[condition]],Lookups!$H$17:$J$24,3,FALSE),0)</f>
        <v>-4503</v>
      </c>
      <c r="BL1047" s="6">
        <f>Grandview_Inventory[[#This Row],[Eff_Age]]*Lookups!$B$14</f>
        <v>-11719.163399999999</v>
      </c>
      <c r="BM1047" s="6">
        <f>Grandview_Inventory[[#This Row],[living_area]]*Lookups!$B$15</f>
        <v>95505.085942999998</v>
      </c>
      <c r="BN1047" s="6">
        <f>Grandview_Inventory[[#This Row],[Fin BSMT]]*Lookups!$B$16</f>
        <v>0</v>
      </c>
      <c r="BO1047" s="6">
        <f>(Grandview_Inventory[[#This Row],[att_gar]]+Grandview_Inventory[[#This Row],[bltin_gar]])*Lookups!$B$17</f>
        <v>0</v>
      </c>
      <c r="BP1047" s="6">
        <f>Grandview_Inventory[[#This Row],[Plumbing Fixtures]]*Lookups!$B$18</f>
        <v>16083.5344</v>
      </c>
      <c r="BQ1047" s="6">
        <f>Grandview_Inventory[[#This Row],[detatched_value]]*Lookups!$B$19</f>
        <v>18206.309649999999</v>
      </c>
      <c r="BR1047" s="6">
        <f>SUM(Grandview_Inventory[[#This Row],[Intercept]:[det_value]])*Grandview_Inventory[[#This Row],[res_pct]]</f>
        <v>279214.71659300005</v>
      </c>
      <c r="BS1047" s="6">
        <f>Grandview_Inventory[[#This Row],[land_value]]</f>
        <v>49167.631333630678</v>
      </c>
      <c r="BT1047" s="4">
        <f>_xlfn.IFNA(VLOOKUP(Grandview_Inventory[[#This Row],[quality]],Lookups!$A$26:$C$33,3,FALSE),1)</f>
        <v>0.94295468617355149</v>
      </c>
      <c r="BU1047" s="4">
        <f>_xlfn.IFNA(VLOOKUP(Grandview_Inventory[[#This Row],[condition]],Lookups!$A$37:$C$44,3,FALSE),1)</f>
        <v>0.96469275950863709</v>
      </c>
      <c r="BV1047" s="4">
        <f>IF(Grandview_Inventory[[#This Row],[bldg_style]]="",1,_xlfn.IFNA(VLOOKUP(Grandview_Inventory[[#This Row],[decade]],Lookups!$F$29:$H$43,3,FALSE),1))</f>
        <v>0.99472141305414818</v>
      </c>
      <c r="BW1047" s="4">
        <f>_xlfn.IFNA(VLOOKUP(Grandview_Inventory[[#This Row],[living_area_range]],Lookups!$F$47:$H$56,3,FALSE),1)</f>
        <v>0.96120133463014379</v>
      </c>
      <c r="BX1047" s="4">
        <f>AVERAGE(Grandview_Inventory[[#This Row],[qual_adj]:[size_adj]])</f>
        <v>0.96589254834162008</v>
      </c>
      <c r="BY1047" s="6">
        <f>IF(Grandview_Inventory[[#This Row],[pre_res]]&lt;0,0,Grandview_Inventory[[#This Row],[pre_res]]*Grandview_Inventory[[#This Row],[overall_adj]])</f>
        <v>269691.41414449603</v>
      </c>
      <c r="BZ1047" s="6">
        <f>(Grandview_Inventory[[#This Row],[sum_land]]-IF(Grandview_Inventory[[#This Row],[no_utilities]]=1,12000,0))/IF(Grandview_Inventory[[#This Row],[unbuildable]]=1,2,1)</f>
        <v>49167.631333630678</v>
      </c>
      <c r="CA104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47">
        <f>ROUND(Grandview_Inventory[[#This Row],[det_value]]*Lookups!$M$28,-2)</f>
        <v>17300</v>
      </c>
      <c r="CC1047">
        <f>IF(ROUND(Grandview_Inventory[[#This Row],[adj_res]]*Lookups!$M$28,-2)&lt;Grandview_Inventory[[#This Row],[min_res]],Grandview_Inventory[[#This Row],[min_res]],ROUND(Grandview_Inventory[[#This Row],[adj_res]]*Lookups!$M$28,-2))</f>
        <v>256200</v>
      </c>
      <c r="CD1047">
        <f>Grandview_Inventory[[#This Row],[final_det]]+Grandview_Inventory[[#This Row],[final_res]]</f>
        <v>273500</v>
      </c>
      <c r="CE1047">
        <f>Grandview_Inventory[[#This Row],[final_land]]+Grandview_Inventory[[#This Row],[final_imp]]+Grandview_Inventory[[#This Row],[crop_value]]</f>
        <v>320200</v>
      </c>
      <c r="CG1047" t="str">
        <f t="shared" si="16"/>
        <v>update valuation set market_land =46700, market_bldg=273500, market_total =320200, market_mdno =401, market_date ='9/10/2023' where link_id = (select link_id from parcel where parcel_year = '2024' and parcel_id = '23092242422');</v>
      </c>
    </row>
    <row r="1048" spans="1:85" x14ac:dyDescent="0.25">
      <c r="A1048">
        <v>23092242423</v>
      </c>
      <c r="B1048">
        <v>0.26</v>
      </c>
      <c r="C1048">
        <v>11500</v>
      </c>
      <c r="D1048" t="s">
        <v>129</v>
      </c>
      <c r="E1048" t="s">
        <v>53</v>
      </c>
      <c r="F1048" t="s">
        <v>53</v>
      </c>
      <c r="G1048">
        <v>4</v>
      </c>
      <c r="H1048" t="s">
        <v>54</v>
      </c>
      <c r="I1048">
        <v>275100</v>
      </c>
      <c r="J1048">
        <v>44500</v>
      </c>
      <c r="K1048">
        <v>0.26</v>
      </c>
      <c r="L1048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048">
        <v>0</v>
      </c>
      <c r="N1048">
        <v>0</v>
      </c>
      <c r="O1048">
        <v>0</v>
      </c>
      <c r="P1048">
        <v>13398.7528</v>
      </c>
      <c r="Q1048">
        <v>63903</v>
      </c>
      <c r="R1048">
        <f>(Grandview_Inventory[[#This Row],[ln_acres]]*Grandview_Inventory[[#This Row],[coeff]])+Grandview_Inventory[[#This Row],[const]]</f>
        <v>45853.893187501177</v>
      </c>
      <c r="S1048" t="s">
        <v>61</v>
      </c>
      <c r="T1048">
        <v>1</v>
      </c>
      <c r="U1048" t="s">
        <v>64</v>
      </c>
      <c r="V1048" t="s">
        <v>69</v>
      </c>
      <c r="W1048">
        <v>0</v>
      </c>
      <c r="X1048">
        <v>0</v>
      </c>
      <c r="Y1048">
        <v>46</v>
      </c>
      <c r="Z1048">
        <v>53</v>
      </c>
      <c r="AA1048">
        <v>60</v>
      </c>
      <c r="AB1048">
        <v>3000</v>
      </c>
      <c r="AC1048">
        <v>2561</v>
      </c>
      <c r="AD1048">
        <v>2561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425</v>
      </c>
      <c r="AL1048">
        <v>0</v>
      </c>
      <c r="AM1048">
        <v>0</v>
      </c>
      <c r="AN1048">
        <v>0</v>
      </c>
      <c r="AO1048">
        <v>0</v>
      </c>
      <c r="AP1048">
        <v>10</v>
      </c>
      <c r="AQ1048">
        <v>0</v>
      </c>
      <c r="AR1048">
        <v>2</v>
      </c>
      <c r="AS1048" t="s">
        <v>58</v>
      </c>
      <c r="AT1048">
        <v>1</v>
      </c>
      <c r="AU1048" t="s">
        <v>63</v>
      </c>
      <c r="AV1048" t="s">
        <v>60</v>
      </c>
      <c r="AW1048">
        <v>0</v>
      </c>
      <c r="AX1048">
        <v>3</v>
      </c>
      <c r="AY1048">
        <v>0</v>
      </c>
      <c r="AZ1048">
        <v>18500</v>
      </c>
      <c r="BA1048">
        <v>100</v>
      </c>
      <c r="BB1048">
        <v>100</v>
      </c>
      <c r="BC1048">
        <v>100</v>
      </c>
      <c r="BD1048">
        <v>100</v>
      </c>
      <c r="BE1048">
        <v>1</v>
      </c>
      <c r="BF1048">
        <v>15000</v>
      </c>
      <c r="BG1048">
        <v>1000</v>
      </c>
      <c r="BH1048" s="6">
        <f>Grandview_Inventory[[#This Row],[land_extract]]*Lookups!$B$3</f>
        <v>53250.00235313351</v>
      </c>
      <c r="BI1048" s="6">
        <f>IF(Grandview_Inventory[[#This Row],[bldg_style]]="",0,Lookups!$B$2)</f>
        <v>155833.95000000001</v>
      </c>
      <c r="BJ1048" s="6">
        <f>_xlfn.IFNA(VLOOKUP(Grandview_Inventory[[#This Row],[quality]],Lookups!$H$2:$J$14,3,FALSE),0)</f>
        <v>20768</v>
      </c>
      <c r="BK1048" s="6">
        <f>_xlfn.IFNA(VLOOKUP(Grandview_Inventory[[#This Row],[condition]],Lookups!$H$17:$J$24,3,FALSE),0)</f>
        <v>-4503</v>
      </c>
      <c r="BL1048" s="6">
        <f>Grandview_Inventory[[#This Row],[Eff_Age]]*Lookups!$B$14</f>
        <v>-11001.6636</v>
      </c>
      <c r="BM1048" s="6">
        <f>Grandview_Inventory[[#This Row],[living_area]]*Lookups!$B$15</f>
        <v>159757.36453300001</v>
      </c>
      <c r="BN1048" s="6">
        <f>Grandview_Inventory[[#This Row],[Fin BSMT]]*Lookups!$B$16</f>
        <v>0</v>
      </c>
      <c r="BO1048" s="6">
        <f>(Grandview_Inventory[[#This Row],[att_gar]]+Grandview_Inventory[[#This Row],[bltin_gar]])*Lookups!$B$17</f>
        <v>0</v>
      </c>
      <c r="BP1048" s="6">
        <f>Grandview_Inventory[[#This Row],[Plumbing Fixtures]]*Lookups!$B$18</f>
        <v>20104.418000000001</v>
      </c>
      <c r="BQ1048" s="6">
        <f>Grandview_Inventory[[#This Row],[detatched_value]]*Lookups!$B$19</f>
        <v>15665.89435</v>
      </c>
      <c r="BR1048" s="6">
        <f>SUM(Grandview_Inventory[[#This Row],[Intercept]:[det_value]])*Grandview_Inventory[[#This Row],[res_pct]]</f>
        <v>356624.96328300005</v>
      </c>
      <c r="BS1048" s="6">
        <f>Grandview_Inventory[[#This Row],[land_value]]</f>
        <v>53250.00235313351</v>
      </c>
      <c r="BT1048" s="4">
        <f>_xlfn.IFNA(VLOOKUP(Grandview_Inventory[[#This Row],[quality]],Lookups!$A$26:$C$33,3,FALSE),1)</f>
        <v>0.94960540378902636</v>
      </c>
      <c r="BU1048" s="4">
        <f>_xlfn.IFNA(VLOOKUP(Grandview_Inventory[[#This Row],[condition]],Lookups!$A$37:$C$44,3,FALSE),1)</f>
        <v>0.96469275950863709</v>
      </c>
      <c r="BV1048" s="4">
        <f>IF(Grandview_Inventory[[#This Row],[bldg_style]]="",1,_xlfn.IFNA(VLOOKUP(Grandview_Inventory[[#This Row],[decade]],Lookups!$F$29:$H$43,3,FALSE),1))</f>
        <v>0.95268620544463312</v>
      </c>
      <c r="BW1048" s="4">
        <f>_xlfn.IFNA(VLOOKUP(Grandview_Inventory[[#This Row],[living_area_range]],Lookups!$F$47:$H$56,3,FALSE),1)</f>
        <v>0.94224801443562123</v>
      </c>
      <c r="BX1048" s="4">
        <f>AVERAGE(Grandview_Inventory[[#This Row],[qual_adj]:[size_adj]])</f>
        <v>0.9523080957944795</v>
      </c>
      <c r="BY1048" s="6">
        <f>IF(Grandview_Inventory[[#This Row],[pre_res]]&lt;0,0,Grandview_Inventory[[#This Row],[pre_res]]*Grandview_Inventory[[#This Row],[overall_adj]])</f>
        <v>339616.83969680994</v>
      </c>
      <c r="BZ1048" s="6">
        <f>(Grandview_Inventory[[#This Row],[sum_land]]-IF(Grandview_Inventory[[#This Row],[no_utilities]]=1,12000,0))/IF(Grandview_Inventory[[#This Row],[unbuildable]]=1,2,1)</f>
        <v>53250.00235313351</v>
      </c>
      <c r="CA1048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048">
        <f>ROUND(Grandview_Inventory[[#This Row],[det_value]]*Lookups!$M$28,-2)</f>
        <v>14900</v>
      </c>
      <c r="CC1048">
        <f>IF(ROUND(Grandview_Inventory[[#This Row],[adj_res]]*Lookups!$M$28,-2)&lt;Grandview_Inventory[[#This Row],[min_res]],Grandview_Inventory[[#This Row],[min_res]],ROUND(Grandview_Inventory[[#This Row],[adj_res]]*Lookups!$M$28,-2))</f>
        <v>322600</v>
      </c>
      <c r="CD1048">
        <f>Grandview_Inventory[[#This Row],[final_det]]+Grandview_Inventory[[#This Row],[final_res]]</f>
        <v>337500</v>
      </c>
      <c r="CE1048">
        <f>Grandview_Inventory[[#This Row],[final_land]]+Grandview_Inventory[[#This Row],[final_imp]]+Grandview_Inventory[[#This Row],[crop_value]]</f>
        <v>388100</v>
      </c>
      <c r="CG1048" t="str">
        <f t="shared" si="16"/>
        <v>update valuation set market_land =50600, market_bldg=337500, market_total =388100, market_mdno =401, market_date ='9/10/2023' where link_id = (select link_id from parcel where parcel_year = '2024' and parcel_id = '23092242423');</v>
      </c>
    </row>
    <row r="1049" spans="1:85" x14ac:dyDescent="0.25">
      <c r="A1049">
        <v>23092242424</v>
      </c>
      <c r="B1049">
        <v>0.18</v>
      </c>
      <c r="C1049">
        <v>8050</v>
      </c>
      <c r="D1049" t="s">
        <v>129</v>
      </c>
      <c r="E1049" t="s">
        <v>53</v>
      </c>
      <c r="F1049" t="s">
        <v>53</v>
      </c>
      <c r="G1049">
        <v>4</v>
      </c>
      <c r="H1049" t="s">
        <v>54</v>
      </c>
      <c r="I1049">
        <v>152600</v>
      </c>
      <c r="J1049">
        <v>39000</v>
      </c>
      <c r="K1049">
        <v>0.18</v>
      </c>
      <c r="L104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49">
        <v>0</v>
      </c>
      <c r="N1049">
        <v>0</v>
      </c>
      <c r="O1049">
        <v>0</v>
      </c>
      <c r="P1049">
        <v>13398.7528</v>
      </c>
      <c r="Q1049">
        <v>63903</v>
      </c>
      <c r="R1049">
        <f>(Grandview_Inventory[[#This Row],[ln_acres]]*Grandview_Inventory[[#This Row],[coeff]])+Grandview_Inventory[[#This Row],[const]]</f>
        <v>40926.839760167699</v>
      </c>
      <c r="S1049" t="s">
        <v>61</v>
      </c>
      <c r="T1049">
        <v>1</v>
      </c>
      <c r="U1049" t="s">
        <v>65</v>
      </c>
      <c r="V1049" t="s">
        <v>69</v>
      </c>
      <c r="W1049">
        <v>0</v>
      </c>
      <c r="X1049">
        <v>0</v>
      </c>
      <c r="Y1049">
        <v>49</v>
      </c>
      <c r="Z1049">
        <v>68</v>
      </c>
      <c r="AA1049">
        <v>70</v>
      </c>
      <c r="AB1049">
        <v>1500</v>
      </c>
      <c r="AC1049">
        <v>1331</v>
      </c>
      <c r="AD1049">
        <v>1331</v>
      </c>
      <c r="AE1049">
        <v>0</v>
      </c>
      <c r="AF1049">
        <v>0</v>
      </c>
      <c r="AG1049">
        <v>0</v>
      </c>
      <c r="AH1049">
        <v>0</v>
      </c>
      <c r="AI1049">
        <v>260</v>
      </c>
      <c r="AJ1049">
        <v>0</v>
      </c>
      <c r="AK1049">
        <v>0</v>
      </c>
      <c r="AL1049">
        <v>160</v>
      </c>
      <c r="AM1049">
        <v>0</v>
      </c>
      <c r="AN1049">
        <v>32</v>
      </c>
      <c r="AO1049">
        <v>0</v>
      </c>
      <c r="AP1049">
        <v>5</v>
      </c>
      <c r="AQ1049">
        <v>0</v>
      </c>
      <c r="AR1049">
        <v>1</v>
      </c>
      <c r="AS1049" t="s">
        <v>58</v>
      </c>
      <c r="AT1049">
        <v>1</v>
      </c>
      <c r="AU1049" t="s">
        <v>63</v>
      </c>
      <c r="AV1049" t="s">
        <v>81</v>
      </c>
      <c r="AW1049">
        <v>0</v>
      </c>
      <c r="AX1049">
        <v>3</v>
      </c>
      <c r="AY1049">
        <v>0</v>
      </c>
      <c r="AZ1049">
        <v>0</v>
      </c>
      <c r="BA1049">
        <v>100</v>
      </c>
      <c r="BB1049">
        <v>100</v>
      </c>
      <c r="BC1049">
        <v>100</v>
      </c>
      <c r="BD1049">
        <v>100</v>
      </c>
      <c r="BE1049">
        <v>1</v>
      </c>
      <c r="BF1049">
        <v>15000</v>
      </c>
      <c r="BG1049">
        <v>1000</v>
      </c>
      <c r="BH1049" s="6">
        <f>Grandview_Inventory[[#This Row],[land_extract]]*Lookups!$B$3</f>
        <v>47528.228511015397</v>
      </c>
      <c r="BI1049" s="6">
        <f>IF(Grandview_Inventory[[#This Row],[bldg_style]]="",0,Lookups!$B$2)</f>
        <v>155833.95000000001</v>
      </c>
      <c r="BJ1049" s="6">
        <f>_xlfn.IFNA(VLOOKUP(Grandview_Inventory[[#This Row],[quality]],Lookups!$H$2:$J$14,3,FALSE),0)</f>
        <v>2251</v>
      </c>
      <c r="BK1049" s="6">
        <f>_xlfn.IFNA(VLOOKUP(Grandview_Inventory[[#This Row],[condition]],Lookups!$H$17:$J$24,3,FALSE),0)</f>
        <v>-4503</v>
      </c>
      <c r="BL1049" s="6">
        <f>Grandview_Inventory[[#This Row],[Eff_Age]]*Lookups!$B$14</f>
        <v>-11719.163399999999</v>
      </c>
      <c r="BM1049" s="6">
        <f>Grandview_Inventory[[#This Row],[living_area]]*Lookups!$B$15</f>
        <v>83028.915343000001</v>
      </c>
      <c r="BN1049" s="6">
        <f>Grandview_Inventory[[#This Row],[Fin BSMT]]*Lookups!$B$16</f>
        <v>0</v>
      </c>
      <c r="BO1049" s="6">
        <f>(Grandview_Inventory[[#This Row],[att_gar]]+Grandview_Inventory[[#This Row],[bltin_gar]])*Lookups!$B$17</f>
        <v>22755.313620000001</v>
      </c>
      <c r="BP1049" s="6">
        <f>Grandview_Inventory[[#This Row],[Plumbing Fixtures]]*Lookups!$B$18</f>
        <v>10052.209000000001</v>
      </c>
      <c r="BQ1049" s="6">
        <f>Grandview_Inventory[[#This Row],[detatched_value]]*Lookups!$B$19</f>
        <v>0</v>
      </c>
      <c r="BR1049" s="6">
        <f>SUM(Grandview_Inventory[[#This Row],[Intercept]:[det_value]])*Grandview_Inventory[[#This Row],[res_pct]]</f>
        <v>257699.22456300003</v>
      </c>
      <c r="BS1049" s="6">
        <f>Grandview_Inventory[[#This Row],[land_value]]</f>
        <v>47528.228511015397</v>
      </c>
      <c r="BT1049" s="4">
        <f>_xlfn.IFNA(VLOOKUP(Grandview_Inventory[[#This Row],[quality]],Lookups!$A$26:$C$33,3,FALSE),1)</f>
        <v>0.98763855981004833</v>
      </c>
      <c r="BU1049" s="4">
        <f>_xlfn.IFNA(VLOOKUP(Grandview_Inventory[[#This Row],[condition]],Lookups!$A$37:$C$44,3,FALSE),1)</f>
        <v>0.96469275950863709</v>
      </c>
      <c r="BV1049" s="4">
        <f>IF(Grandview_Inventory[[#This Row],[bldg_style]]="",1,_xlfn.IFNA(VLOOKUP(Grandview_Inventory[[#This Row],[decade]],Lookups!$F$29:$H$43,3,FALSE),1))</f>
        <v>0.99472141305414818</v>
      </c>
      <c r="BW1049" s="4">
        <f>_xlfn.IFNA(VLOOKUP(Grandview_Inventory[[#This Row],[living_area_range]],Lookups!$F$47:$H$56,3,FALSE),1)</f>
        <v>0.96135087979789358</v>
      </c>
      <c r="BX1049" s="4">
        <f>AVERAGE(Grandview_Inventory[[#This Row],[qual_adj]:[size_adj]])</f>
        <v>0.97710090304268182</v>
      </c>
      <c r="BY1049" s="6">
        <f>IF(Grandview_Inventory[[#This Row],[pre_res]]&lt;0,0,Grandview_Inventory[[#This Row],[pre_res]]*Grandview_Inventory[[#This Row],[overall_adj]])</f>
        <v>251798.14503390618</v>
      </c>
      <c r="BZ1049" s="6">
        <f>(Grandview_Inventory[[#This Row],[sum_land]]-IF(Grandview_Inventory[[#This Row],[no_utilities]]=1,12000,0))/IF(Grandview_Inventory[[#This Row],[unbuildable]]=1,2,1)</f>
        <v>47528.228511015397</v>
      </c>
      <c r="CA104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49">
        <f>ROUND(Grandview_Inventory[[#This Row],[det_value]]*Lookups!$M$28,-2)</f>
        <v>0</v>
      </c>
      <c r="CC1049">
        <f>IF(ROUND(Grandview_Inventory[[#This Row],[adj_res]]*Lookups!$M$28,-2)&lt;Grandview_Inventory[[#This Row],[min_res]],Grandview_Inventory[[#This Row],[min_res]],ROUND(Grandview_Inventory[[#This Row],[adj_res]]*Lookups!$M$28,-2))</f>
        <v>239200</v>
      </c>
      <c r="CD1049">
        <f>Grandview_Inventory[[#This Row],[final_det]]+Grandview_Inventory[[#This Row],[final_res]]</f>
        <v>239200</v>
      </c>
      <c r="CE1049">
        <f>Grandview_Inventory[[#This Row],[final_land]]+Grandview_Inventory[[#This Row],[final_imp]]+Grandview_Inventory[[#This Row],[crop_value]]</f>
        <v>284400</v>
      </c>
      <c r="CG1049" t="str">
        <f t="shared" si="16"/>
        <v>update valuation set market_land =45200, market_bldg=239200, market_total =284400, market_mdno =401, market_date ='9/10/2023' where link_id = (select link_id from parcel where parcel_year = '2024' and parcel_id = '23092242424');</v>
      </c>
    </row>
    <row r="1050" spans="1:85" x14ac:dyDescent="0.25">
      <c r="A1050">
        <v>23092242425</v>
      </c>
      <c r="B1050">
        <v>0.21</v>
      </c>
      <c r="C1050">
        <v>9200</v>
      </c>
      <c r="D1050" t="s">
        <v>129</v>
      </c>
      <c r="E1050" t="s">
        <v>53</v>
      </c>
      <c r="F1050" t="s">
        <v>53</v>
      </c>
      <c r="G1050">
        <v>4</v>
      </c>
      <c r="H1050" t="s">
        <v>54</v>
      </c>
      <c r="I1050">
        <v>182400</v>
      </c>
      <c r="J1050">
        <v>43700</v>
      </c>
      <c r="K1050">
        <v>0.21</v>
      </c>
      <c r="L105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50">
        <v>0</v>
      </c>
      <c r="N1050">
        <v>0</v>
      </c>
      <c r="O1050">
        <v>0</v>
      </c>
      <c r="P1050">
        <v>13398.7528</v>
      </c>
      <c r="Q1050">
        <v>63903</v>
      </c>
      <c r="R1050">
        <f>(Grandview_Inventory[[#This Row],[ln_acres]]*Grandview_Inventory[[#This Row],[coeff]])+Grandview_Inventory[[#This Row],[const]]</f>
        <v>42992.266613125081</v>
      </c>
      <c r="S1050" t="s">
        <v>55</v>
      </c>
      <c r="T1050">
        <v>1</v>
      </c>
      <c r="U1050" t="s">
        <v>70</v>
      </c>
      <c r="V1050" t="s">
        <v>69</v>
      </c>
      <c r="W1050">
        <v>0</v>
      </c>
      <c r="X1050">
        <v>0</v>
      </c>
      <c r="Y1050">
        <v>49</v>
      </c>
      <c r="Z1050">
        <v>68</v>
      </c>
      <c r="AA1050">
        <v>70</v>
      </c>
      <c r="AB1050">
        <v>2500</v>
      </c>
      <c r="AC1050">
        <v>2068</v>
      </c>
      <c r="AD1050">
        <v>1198</v>
      </c>
      <c r="AE1050">
        <v>0</v>
      </c>
      <c r="AF1050">
        <v>0</v>
      </c>
      <c r="AG1050">
        <v>870</v>
      </c>
      <c r="AH1050">
        <v>0</v>
      </c>
      <c r="AI1050">
        <v>240</v>
      </c>
      <c r="AJ1050">
        <v>0</v>
      </c>
      <c r="AK1050">
        <v>0</v>
      </c>
      <c r="AL1050">
        <v>0</v>
      </c>
      <c r="AM1050">
        <v>280</v>
      </c>
      <c r="AN1050">
        <v>0</v>
      </c>
      <c r="AO1050">
        <v>280</v>
      </c>
      <c r="AP1050">
        <v>5</v>
      </c>
      <c r="AQ1050">
        <v>0</v>
      </c>
      <c r="AR1050">
        <v>0</v>
      </c>
      <c r="AS1050" t="s">
        <v>58</v>
      </c>
      <c r="AT1050">
        <v>1</v>
      </c>
      <c r="AU1050" t="s">
        <v>63</v>
      </c>
      <c r="AV1050" t="s">
        <v>60</v>
      </c>
      <c r="AW1050">
        <v>0</v>
      </c>
      <c r="AX1050">
        <v>2</v>
      </c>
      <c r="AY1050">
        <v>0</v>
      </c>
      <c r="AZ1050">
        <v>0</v>
      </c>
      <c r="BA1050">
        <v>100</v>
      </c>
      <c r="BB1050">
        <v>100</v>
      </c>
      <c r="BC1050">
        <v>100</v>
      </c>
      <c r="BD1050">
        <v>100</v>
      </c>
      <c r="BE1050">
        <v>1</v>
      </c>
      <c r="BF1050">
        <v>15000</v>
      </c>
      <c r="BG1050">
        <v>1000</v>
      </c>
      <c r="BH1050" s="6">
        <f>Grandview_Inventory[[#This Row],[land_extract]]*Lookups!$B$3</f>
        <v>49926.8031387023</v>
      </c>
      <c r="BI1050" s="6">
        <f>IF(Grandview_Inventory[[#This Row],[bldg_style]]="",0,Lookups!$B$2)</f>
        <v>155833.95000000001</v>
      </c>
      <c r="BJ1050" s="6">
        <f>_xlfn.IFNA(VLOOKUP(Grandview_Inventory[[#This Row],[quality]],Lookups!$H$2:$J$14,3,FALSE),0)</f>
        <v>10733</v>
      </c>
      <c r="BK1050" s="6">
        <f>_xlfn.IFNA(VLOOKUP(Grandview_Inventory[[#This Row],[condition]],Lookups!$H$17:$J$24,3,FALSE),0)</f>
        <v>-4503</v>
      </c>
      <c r="BL1050" s="6">
        <f>Grandview_Inventory[[#This Row],[Eff_Age]]*Lookups!$B$14</f>
        <v>-11719.163399999999</v>
      </c>
      <c r="BM1050" s="6">
        <f>Grandview_Inventory[[#This Row],[living_area]]*Lookups!$B$15</f>
        <v>129003.60400400001</v>
      </c>
      <c r="BN1050" s="6">
        <f>Grandview_Inventory[[#This Row],[Fin BSMT]]*Lookups!$B$16</f>
        <v>-23576.338800000001</v>
      </c>
      <c r="BO1050" s="6">
        <f>(Grandview_Inventory[[#This Row],[att_gar]]+Grandview_Inventory[[#This Row],[bltin_gar]])*Lookups!$B$17</f>
        <v>21004.904880000002</v>
      </c>
      <c r="BP1050" s="6">
        <f>Grandview_Inventory[[#This Row],[Plumbing Fixtures]]*Lookups!$B$18</f>
        <v>10052.209000000001</v>
      </c>
      <c r="BQ1050" s="6">
        <f>Grandview_Inventory[[#This Row],[detatched_value]]*Lookups!$B$19</f>
        <v>0</v>
      </c>
      <c r="BR1050" s="6">
        <f>SUM(Grandview_Inventory[[#This Row],[Intercept]:[det_value]])*Grandview_Inventory[[#This Row],[res_pct]]</f>
        <v>286829.16568400001</v>
      </c>
      <c r="BS1050" s="6">
        <f>Grandview_Inventory[[#This Row],[land_value]]</f>
        <v>49926.8031387023</v>
      </c>
      <c r="BT1050" s="4">
        <f>_xlfn.IFNA(VLOOKUP(Grandview_Inventory[[#This Row],[quality]],Lookups!$A$26:$C$33,3,FALSE),1)</f>
        <v>0.98079741117310582</v>
      </c>
      <c r="BU1050" s="4">
        <f>_xlfn.IFNA(VLOOKUP(Grandview_Inventory[[#This Row],[condition]],Lookups!$A$37:$C$44,3,FALSE),1)</f>
        <v>0.96469275950863709</v>
      </c>
      <c r="BV1050" s="4">
        <f>IF(Grandview_Inventory[[#This Row],[bldg_style]]="",1,_xlfn.IFNA(VLOOKUP(Grandview_Inventory[[#This Row],[decade]],Lookups!$F$29:$H$43,3,FALSE),1))</f>
        <v>0.99472141305414818</v>
      </c>
      <c r="BW1050" s="4">
        <f>_xlfn.IFNA(VLOOKUP(Grandview_Inventory[[#This Row],[living_area_range]],Lookups!$F$47:$H$56,3,FALSE),1)</f>
        <v>0.95799442568048754</v>
      </c>
      <c r="BX1050" s="4">
        <f>AVERAGE(Grandview_Inventory[[#This Row],[qual_adj]:[size_adj]])</f>
        <v>0.97455150235409471</v>
      </c>
      <c r="BY1050" s="6">
        <f>IF(Grandview_Inventory[[#This Row],[pre_res]]&lt;0,0,Grandview_Inventory[[#This Row],[pre_res]]*Grandview_Inventory[[#This Row],[overall_adj]])</f>
        <v>279529.79433631373</v>
      </c>
      <c r="BZ1050" s="6">
        <f>(Grandview_Inventory[[#This Row],[sum_land]]-IF(Grandview_Inventory[[#This Row],[no_utilities]]=1,12000,0))/IF(Grandview_Inventory[[#This Row],[unbuildable]]=1,2,1)</f>
        <v>49926.8031387023</v>
      </c>
      <c r="CA105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50">
        <f>ROUND(Grandview_Inventory[[#This Row],[det_value]]*Lookups!$M$28,-2)</f>
        <v>0</v>
      </c>
      <c r="CC1050">
        <f>IF(ROUND(Grandview_Inventory[[#This Row],[adj_res]]*Lookups!$M$28,-2)&lt;Grandview_Inventory[[#This Row],[min_res]],Grandview_Inventory[[#This Row],[min_res]],ROUND(Grandview_Inventory[[#This Row],[adj_res]]*Lookups!$M$28,-2))</f>
        <v>265600</v>
      </c>
      <c r="CD1050">
        <f>Grandview_Inventory[[#This Row],[final_det]]+Grandview_Inventory[[#This Row],[final_res]]</f>
        <v>265600</v>
      </c>
      <c r="CE1050">
        <f>Grandview_Inventory[[#This Row],[final_land]]+Grandview_Inventory[[#This Row],[final_imp]]+Grandview_Inventory[[#This Row],[crop_value]]</f>
        <v>313000</v>
      </c>
      <c r="CG1050" t="str">
        <f t="shared" si="16"/>
        <v>update valuation set market_land =47400, market_bldg=265600, market_total =313000, market_mdno =401, market_date ='9/10/2023' where link_id = (select link_id from parcel where parcel_year = '2024' and parcel_id = '23092242425');</v>
      </c>
    </row>
    <row r="1051" spans="1:85" x14ac:dyDescent="0.25">
      <c r="A1051">
        <v>23092242426</v>
      </c>
      <c r="B1051">
        <v>0.22</v>
      </c>
      <c r="C1051">
        <v>9746</v>
      </c>
      <c r="D1051" t="s">
        <v>129</v>
      </c>
      <c r="E1051" t="s">
        <v>53</v>
      </c>
      <c r="F1051" t="s">
        <v>53</v>
      </c>
      <c r="G1051">
        <v>4</v>
      </c>
      <c r="H1051" t="s">
        <v>54</v>
      </c>
      <c r="I1051">
        <v>144200</v>
      </c>
      <c r="J1051">
        <v>43800</v>
      </c>
      <c r="K1051">
        <v>0.22</v>
      </c>
      <c r="L105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051">
        <v>0</v>
      </c>
      <c r="N1051">
        <v>0</v>
      </c>
      <c r="O1051">
        <v>0</v>
      </c>
      <c r="P1051">
        <v>13398.7528</v>
      </c>
      <c r="Q1051">
        <v>63903</v>
      </c>
      <c r="R1051">
        <f>(Grandview_Inventory[[#This Row],[ln_acres]]*Grandview_Inventory[[#This Row],[coeff]])+Grandview_Inventory[[#This Row],[const]]</f>
        <v>43615.576802869145</v>
      </c>
      <c r="S1051" t="s">
        <v>68</v>
      </c>
      <c r="T1051">
        <v>1</v>
      </c>
      <c r="U1051" t="s">
        <v>65</v>
      </c>
      <c r="V1051" t="s">
        <v>78</v>
      </c>
      <c r="W1051">
        <v>0</v>
      </c>
      <c r="X1051">
        <v>0</v>
      </c>
      <c r="Y1051">
        <v>49</v>
      </c>
      <c r="Z1051">
        <v>68</v>
      </c>
      <c r="AA1051">
        <v>70</v>
      </c>
      <c r="AB1051">
        <v>1500</v>
      </c>
      <c r="AC1051">
        <v>1175</v>
      </c>
      <c r="AD1051">
        <v>1175</v>
      </c>
      <c r="AE1051">
        <v>0</v>
      </c>
      <c r="AF1051">
        <v>0</v>
      </c>
      <c r="AG1051">
        <v>0</v>
      </c>
      <c r="AH1051">
        <v>0</v>
      </c>
      <c r="AI1051">
        <v>513</v>
      </c>
      <c r="AJ1051">
        <v>0</v>
      </c>
      <c r="AK1051">
        <v>270</v>
      </c>
      <c r="AL1051">
        <v>0</v>
      </c>
      <c r="AM1051">
        <v>200</v>
      </c>
      <c r="AN1051">
        <v>80</v>
      </c>
      <c r="AO1051">
        <v>200</v>
      </c>
      <c r="AP1051">
        <v>5</v>
      </c>
      <c r="AQ1051">
        <v>0</v>
      </c>
      <c r="AR1051">
        <v>1</v>
      </c>
      <c r="AS1051" t="s">
        <v>58</v>
      </c>
      <c r="AT1051">
        <v>1</v>
      </c>
      <c r="AU1051" t="s">
        <v>63</v>
      </c>
      <c r="AV1051" t="s">
        <v>60</v>
      </c>
      <c r="AW1051">
        <v>0</v>
      </c>
      <c r="AX1051">
        <v>3</v>
      </c>
      <c r="AY1051">
        <v>0</v>
      </c>
      <c r="AZ1051">
        <v>4000</v>
      </c>
      <c r="BA1051">
        <v>100</v>
      </c>
      <c r="BB1051">
        <v>100</v>
      </c>
      <c r="BC1051">
        <v>100</v>
      </c>
      <c r="BD1051">
        <v>100</v>
      </c>
      <c r="BE1051">
        <v>1</v>
      </c>
      <c r="BF1051">
        <v>15000</v>
      </c>
      <c r="BG1051">
        <v>1000</v>
      </c>
      <c r="BH1051" s="6">
        <f>Grandview_Inventory[[#This Row],[land_extract]]*Lookups!$B$3</f>
        <v>50650.651579114572</v>
      </c>
      <c r="BI1051" s="6">
        <f>IF(Grandview_Inventory[[#This Row],[bldg_style]]="",0,Lookups!$B$2)</f>
        <v>155833.95000000001</v>
      </c>
      <c r="BJ1051" s="6">
        <f>_xlfn.IFNA(VLOOKUP(Grandview_Inventory[[#This Row],[quality]],Lookups!$H$2:$J$14,3,FALSE),0)</f>
        <v>2251</v>
      </c>
      <c r="BK1051" s="6">
        <f>_xlfn.IFNA(VLOOKUP(Grandview_Inventory[[#This Row],[condition]],Lookups!$H$17:$J$24,3,FALSE),0)</f>
        <v>-45357</v>
      </c>
      <c r="BL1051" s="6">
        <f>Grandview_Inventory[[#This Row],[Eff_Age]]*Lookups!$B$14</f>
        <v>-11719.163399999999</v>
      </c>
      <c r="BM1051" s="6">
        <f>Grandview_Inventory[[#This Row],[living_area]]*Lookups!$B$15</f>
        <v>73297.502275000006</v>
      </c>
      <c r="BN1051" s="6">
        <f>Grandview_Inventory[[#This Row],[Fin BSMT]]*Lookups!$B$16</f>
        <v>0</v>
      </c>
      <c r="BO1051" s="6">
        <f>(Grandview_Inventory[[#This Row],[att_gar]]+Grandview_Inventory[[#This Row],[bltin_gar]])*Lookups!$B$17</f>
        <v>44897.984181</v>
      </c>
      <c r="BP1051" s="6">
        <f>Grandview_Inventory[[#This Row],[Plumbing Fixtures]]*Lookups!$B$18</f>
        <v>10052.209000000001</v>
      </c>
      <c r="BQ1051" s="6">
        <f>Grandview_Inventory[[#This Row],[detatched_value]]*Lookups!$B$19</f>
        <v>3387.2203999999997</v>
      </c>
      <c r="BR1051" s="6">
        <f>SUM(Grandview_Inventory[[#This Row],[Intercept]:[det_value]])*Grandview_Inventory[[#This Row],[res_pct]]</f>
        <v>232643.70245600003</v>
      </c>
      <c r="BS1051" s="6">
        <f>Grandview_Inventory[[#This Row],[land_value]]</f>
        <v>50650.651579114572</v>
      </c>
      <c r="BT1051" s="4">
        <f>_xlfn.IFNA(VLOOKUP(Grandview_Inventory[[#This Row],[quality]],Lookups!$A$26:$C$33,3,FALSE),1)</f>
        <v>0.98763855981004833</v>
      </c>
      <c r="BU1051" s="4">
        <f>_xlfn.IFNA(VLOOKUP(Grandview_Inventory[[#This Row],[condition]],Lookups!$A$37:$C$44,3,FALSE),1)</f>
        <v>0.97161819570155394</v>
      </c>
      <c r="BV1051" s="4">
        <f>IF(Grandview_Inventory[[#This Row],[bldg_style]]="",1,_xlfn.IFNA(VLOOKUP(Grandview_Inventory[[#This Row],[decade]],Lookups!$F$29:$H$43,3,FALSE),1))</f>
        <v>0.99472141305414818</v>
      </c>
      <c r="BW1051" s="4">
        <f>_xlfn.IFNA(VLOOKUP(Grandview_Inventory[[#This Row],[living_area_range]],Lookups!$F$47:$H$56,3,FALSE),1)</f>
        <v>0.96135087979789358</v>
      </c>
      <c r="BX1051" s="4">
        <f>AVERAGE(Grandview_Inventory[[#This Row],[qual_adj]:[size_adj]])</f>
        <v>0.97883226209091101</v>
      </c>
      <c r="BY1051" s="6">
        <f>IF(Grandview_Inventory[[#This Row],[pre_res]]&lt;0,0,Grandview_Inventory[[#This Row],[pre_res]]*Grandview_Inventory[[#This Row],[overall_adj]])</f>
        <v>227719.16153621132</v>
      </c>
      <c r="BZ1051" s="6">
        <f>(Grandview_Inventory[[#This Row],[sum_land]]-IF(Grandview_Inventory[[#This Row],[no_utilities]]=1,12000,0))/IF(Grandview_Inventory[[#This Row],[unbuildable]]=1,2,1)</f>
        <v>50650.651579114572</v>
      </c>
      <c r="CA105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051">
        <f>ROUND(Grandview_Inventory[[#This Row],[det_value]]*Lookups!$M$28,-2)</f>
        <v>3200</v>
      </c>
      <c r="CC1051">
        <f>IF(ROUND(Grandview_Inventory[[#This Row],[adj_res]]*Lookups!$M$28,-2)&lt;Grandview_Inventory[[#This Row],[min_res]],Grandview_Inventory[[#This Row],[min_res]],ROUND(Grandview_Inventory[[#This Row],[adj_res]]*Lookups!$M$28,-2))</f>
        <v>216300</v>
      </c>
      <c r="CD1051">
        <f>Grandview_Inventory[[#This Row],[final_det]]+Grandview_Inventory[[#This Row],[final_res]]</f>
        <v>219500</v>
      </c>
      <c r="CE1051">
        <f>Grandview_Inventory[[#This Row],[final_land]]+Grandview_Inventory[[#This Row],[final_imp]]+Grandview_Inventory[[#This Row],[crop_value]]</f>
        <v>267600</v>
      </c>
      <c r="CG1051" t="str">
        <f t="shared" si="16"/>
        <v>update valuation set market_land =48100, market_bldg=219500, market_total =267600, market_mdno =401, market_date ='9/10/2023' where link_id = (select link_id from parcel where parcel_year = '2024' and parcel_id = '23092242426');</v>
      </c>
    </row>
    <row r="1052" spans="1:85" x14ac:dyDescent="0.25">
      <c r="A1052">
        <v>23092242427</v>
      </c>
      <c r="B1052">
        <v>0.22</v>
      </c>
      <c r="C1052">
        <v>9746</v>
      </c>
      <c r="D1052" t="s">
        <v>129</v>
      </c>
      <c r="E1052" t="s">
        <v>53</v>
      </c>
      <c r="F1052" t="s">
        <v>53</v>
      </c>
      <c r="G1052">
        <v>4</v>
      </c>
      <c r="H1052" t="s">
        <v>54</v>
      </c>
      <c r="I1052">
        <v>200400</v>
      </c>
      <c r="J1052">
        <v>43800</v>
      </c>
      <c r="K1052">
        <v>0.22</v>
      </c>
      <c r="L105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052">
        <v>0</v>
      </c>
      <c r="N1052">
        <v>0</v>
      </c>
      <c r="O1052">
        <v>0</v>
      </c>
      <c r="P1052">
        <v>13398.7528</v>
      </c>
      <c r="Q1052">
        <v>63903</v>
      </c>
      <c r="R1052">
        <f>(Grandview_Inventory[[#This Row],[ln_acres]]*Grandview_Inventory[[#This Row],[coeff]])+Grandview_Inventory[[#This Row],[const]]</f>
        <v>43615.576802869145</v>
      </c>
      <c r="S1052" t="s">
        <v>61</v>
      </c>
      <c r="T1052">
        <v>1</v>
      </c>
      <c r="U1052" t="s">
        <v>65</v>
      </c>
      <c r="V1052" t="s">
        <v>69</v>
      </c>
      <c r="W1052">
        <v>0</v>
      </c>
      <c r="X1052">
        <v>0</v>
      </c>
      <c r="Y1052">
        <v>49</v>
      </c>
      <c r="Z1052">
        <v>68</v>
      </c>
      <c r="AA1052">
        <v>70</v>
      </c>
      <c r="AB1052">
        <v>1500</v>
      </c>
      <c r="AC1052">
        <v>1443</v>
      </c>
      <c r="AD1052">
        <v>1443</v>
      </c>
      <c r="AE1052">
        <v>0</v>
      </c>
      <c r="AF1052">
        <v>0</v>
      </c>
      <c r="AG1052">
        <v>0</v>
      </c>
      <c r="AH1052">
        <v>0</v>
      </c>
      <c r="AI1052">
        <v>252</v>
      </c>
      <c r="AJ1052">
        <v>0</v>
      </c>
      <c r="AK1052">
        <v>0</v>
      </c>
      <c r="AL1052">
        <v>0</v>
      </c>
      <c r="AM1052">
        <v>770</v>
      </c>
      <c r="AN1052">
        <v>0</v>
      </c>
      <c r="AO1052">
        <v>336</v>
      </c>
      <c r="AP1052">
        <v>7</v>
      </c>
      <c r="AQ1052">
        <v>0</v>
      </c>
      <c r="AR1052">
        <v>1</v>
      </c>
      <c r="AS1052" t="s">
        <v>58</v>
      </c>
      <c r="AT1052">
        <v>1</v>
      </c>
      <c r="AU1052" t="s">
        <v>63</v>
      </c>
      <c r="AV1052" t="s">
        <v>60</v>
      </c>
      <c r="AW1052">
        <v>1</v>
      </c>
      <c r="AX1052">
        <v>3</v>
      </c>
      <c r="AY1052">
        <v>0</v>
      </c>
      <c r="AZ1052">
        <v>11700</v>
      </c>
      <c r="BA1052">
        <v>100</v>
      </c>
      <c r="BB1052">
        <v>100</v>
      </c>
      <c r="BC1052">
        <v>100</v>
      </c>
      <c r="BD1052">
        <v>100</v>
      </c>
      <c r="BE1052">
        <v>1</v>
      </c>
      <c r="BF1052">
        <v>15000</v>
      </c>
      <c r="BG1052">
        <v>1000</v>
      </c>
      <c r="BH1052" s="6">
        <f>Grandview_Inventory[[#This Row],[land_extract]]*Lookups!$B$3</f>
        <v>50650.651579114572</v>
      </c>
      <c r="BI1052" s="6">
        <f>IF(Grandview_Inventory[[#This Row],[bldg_style]]="",0,Lookups!$B$2)</f>
        <v>155833.95000000001</v>
      </c>
      <c r="BJ1052" s="6">
        <f>_xlfn.IFNA(VLOOKUP(Grandview_Inventory[[#This Row],[quality]],Lookups!$H$2:$J$14,3,FALSE),0)</f>
        <v>2251</v>
      </c>
      <c r="BK1052" s="6">
        <f>_xlfn.IFNA(VLOOKUP(Grandview_Inventory[[#This Row],[condition]],Lookups!$H$17:$J$24,3,FALSE),0)</f>
        <v>-4503</v>
      </c>
      <c r="BL1052" s="6">
        <f>Grandview_Inventory[[#This Row],[Eff_Age]]*Lookups!$B$14</f>
        <v>-11719.163399999999</v>
      </c>
      <c r="BM1052" s="6">
        <f>Grandview_Inventory[[#This Row],[living_area]]*Lookups!$B$15</f>
        <v>90015.570879000006</v>
      </c>
      <c r="BN1052" s="6">
        <f>Grandview_Inventory[[#This Row],[Fin BSMT]]*Lookups!$B$16</f>
        <v>0</v>
      </c>
      <c r="BO1052" s="6">
        <f>(Grandview_Inventory[[#This Row],[att_gar]]+Grandview_Inventory[[#This Row],[bltin_gar]])*Lookups!$B$17</f>
        <v>22055.150124</v>
      </c>
      <c r="BP1052" s="6">
        <f>Grandview_Inventory[[#This Row],[Plumbing Fixtures]]*Lookups!$B$18</f>
        <v>14073.0926</v>
      </c>
      <c r="BQ1052" s="6">
        <f>Grandview_Inventory[[#This Row],[detatched_value]]*Lookups!$B$19</f>
        <v>9907.61967</v>
      </c>
      <c r="BR1052" s="6">
        <f>SUM(Grandview_Inventory[[#This Row],[Intercept]:[det_value]])*Grandview_Inventory[[#This Row],[res_pct]]</f>
        <v>277914.21987299999</v>
      </c>
      <c r="BS1052" s="6">
        <f>Grandview_Inventory[[#This Row],[land_value]]</f>
        <v>50650.651579114572</v>
      </c>
      <c r="BT1052" s="4">
        <f>_xlfn.IFNA(VLOOKUP(Grandview_Inventory[[#This Row],[quality]],Lookups!$A$26:$C$33,3,FALSE),1)</f>
        <v>0.98763855981004833</v>
      </c>
      <c r="BU1052" s="4">
        <f>_xlfn.IFNA(VLOOKUP(Grandview_Inventory[[#This Row],[condition]],Lookups!$A$37:$C$44,3,FALSE),1)</f>
        <v>0.96469275950863709</v>
      </c>
      <c r="BV1052" s="4">
        <f>IF(Grandview_Inventory[[#This Row],[bldg_style]]="",1,_xlfn.IFNA(VLOOKUP(Grandview_Inventory[[#This Row],[decade]],Lookups!$F$29:$H$43,3,FALSE),1))</f>
        <v>0.99472141305414818</v>
      </c>
      <c r="BW1052" s="4">
        <f>_xlfn.IFNA(VLOOKUP(Grandview_Inventory[[#This Row],[living_area_range]],Lookups!$F$47:$H$56,3,FALSE),1)</f>
        <v>0.96135087979789358</v>
      </c>
      <c r="BX1052" s="4">
        <f>AVERAGE(Grandview_Inventory[[#This Row],[qual_adj]:[size_adj]])</f>
        <v>0.97710090304268182</v>
      </c>
      <c r="BY1052" s="6">
        <f>IF(Grandview_Inventory[[#This Row],[pre_res]]&lt;0,0,Grandview_Inventory[[#This Row],[pre_res]]*Grandview_Inventory[[#This Row],[overall_adj]])</f>
        <v>271550.23520631075</v>
      </c>
      <c r="BZ1052" s="6">
        <f>(Grandview_Inventory[[#This Row],[sum_land]]-IF(Grandview_Inventory[[#This Row],[no_utilities]]=1,12000,0))/IF(Grandview_Inventory[[#This Row],[unbuildable]]=1,2,1)</f>
        <v>50650.651579114572</v>
      </c>
      <c r="CA105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052">
        <f>ROUND(Grandview_Inventory[[#This Row],[det_value]]*Lookups!$M$28,-2)</f>
        <v>9400</v>
      </c>
      <c r="CC1052">
        <f>IF(ROUND(Grandview_Inventory[[#This Row],[adj_res]]*Lookups!$M$28,-2)&lt;Grandview_Inventory[[#This Row],[min_res]],Grandview_Inventory[[#This Row],[min_res]],ROUND(Grandview_Inventory[[#This Row],[adj_res]]*Lookups!$M$28,-2))</f>
        <v>258000</v>
      </c>
      <c r="CD1052">
        <f>Grandview_Inventory[[#This Row],[final_det]]+Grandview_Inventory[[#This Row],[final_res]]</f>
        <v>267400</v>
      </c>
      <c r="CE1052">
        <f>Grandview_Inventory[[#This Row],[final_land]]+Grandview_Inventory[[#This Row],[final_imp]]+Grandview_Inventory[[#This Row],[crop_value]]</f>
        <v>315500</v>
      </c>
      <c r="CG1052" t="str">
        <f t="shared" si="16"/>
        <v>update valuation set market_land =48100, market_bldg=267400, market_total =315500, market_mdno =401, market_date ='9/10/2023' where link_id = (select link_id from parcel where parcel_year = '2024' and parcel_id = '23092242427');</v>
      </c>
    </row>
    <row r="1053" spans="1:85" x14ac:dyDescent="0.25">
      <c r="A1053">
        <v>23092242428</v>
      </c>
      <c r="B1053">
        <v>0.22</v>
      </c>
      <c r="C1053">
        <v>9746</v>
      </c>
      <c r="D1053" t="s">
        <v>129</v>
      </c>
      <c r="E1053" t="s">
        <v>53</v>
      </c>
      <c r="F1053" t="s">
        <v>53</v>
      </c>
      <c r="G1053">
        <v>4</v>
      </c>
      <c r="H1053" t="s">
        <v>54</v>
      </c>
      <c r="I1053">
        <v>196200</v>
      </c>
      <c r="J1053">
        <v>39500</v>
      </c>
      <c r="K1053">
        <v>0.22</v>
      </c>
      <c r="L105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053">
        <v>0</v>
      </c>
      <c r="N1053">
        <v>0</v>
      </c>
      <c r="O1053">
        <v>0</v>
      </c>
      <c r="P1053">
        <v>13398.7528</v>
      </c>
      <c r="Q1053">
        <v>63903</v>
      </c>
      <c r="R1053">
        <f>(Grandview_Inventory[[#This Row],[ln_acres]]*Grandview_Inventory[[#This Row],[coeff]])+Grandview_Inventory[[#This Row],[const]]</f>
        <v>43615.576802869145</v>
      </c>
      <c r="S1053" t="s">
        <v>61</v>
      </c>
      <c r="T1053">
        <v>1</v>
      </c>
      <c r="U1053" t="s">
        <v>62</v>
      </c>
      <c r="V1053" t="s">
        <v>69</v>
      </c>
      <c r="W1053">
        <v>0</v>
      </c>
      <c r="X1053">
        <v>0</v>
      </c>
      <c r="Y1053">
        <v>49</v>
      </c>
      <c r="Z1053">
        <v>68</v>
      </c>
      <c r="AA1053">
        <v>70</v>
      </c>
      <c r="AB1053">
        <v>1500</v>
      </c>
      <c r="AC1053">
        <v>1349</v>
      </c>
      <c r="AD1053">
        <v>1349</v>
      </c>
      <c r="AE1053">
        <v>0</v>
      </c>
      <c r="AF1053">
        <v>0</v>
      </c>
      <c r="AG1053">
        <v>0</v>
      </c>
      <c r="AH1053">
        <v>0</v>
      </c>
      <c r="AI1053">
        <v>462</v>
      </c>
      <c r="AJ1053">
        <v>0</v>
      </c>
      <c r="AK1053">
        <v>0</v>
      </c>
      <c r="AL1053">
        <v>0</v>
      </c>
      <c r="AM1053">
        <v>240</v>
      </c>
      <c r="AN1053">
        <v>0</v>
      </c>
      <c r="AO1053">
        <v>240</v>
      </c>
      <c r="AP1053">
        <v>9</v>
      </c>
      <c r="AQ1053">
        <v>0</v>
      </c>
      <c r="AR1053">
        <v>1</v>
      </c>
      <c r="AS1053" t="s">
        <v>58</v>
      </c>
      <c r="AT1053">
        <v>1</v>
      </c>
      <c r="AU1053" t="s">
        <v>59</v>
      </c>
      <c r="AV1053" t="s">
        <v>60</v>
      </c>
      <c r="AW1053">
        <v>1</v>
      </c>
      <c r="AX1053">
        <v>3</v>
      </c>
      <c r="AY1053">
        <v>0</v>
      </c>
      <c r="AZ1053">
        <v>3000</v>
      </c>
      <c r="BA1053">
        <v>100</v>
      </c>
      <c r="BB1053">
        <v>100</v>
      </c>
      <c r="BC1053">
        <v>100</v>
      </c>
      <c r="BD1053">
        <v>100</v>
      </c>
      <c r="BE1053">
        <v>1</v>
      </c>
      <c r="BF1053">
        <v>15000</v>
      </c>
      <c r="BG1053">
        <v>1000</v>
      </c>
      <c r="BH1053" s="6">
        <f>Grandview_Inventory[[#This Row],[land_extract]]*Lookups!$B$3</f>
        <v>50650.651579114572</v>
      </c>
      <c r="BI1053" s="6">
        <f>IF(Grandview_Inventory[[#This Row],[bldg_style]]="",0,Lookups!$B$2)</f>
        <v>155833.95000000001</v>
      </c>
      <c r="BJ1053" s="6">
        <f>_xlfn.IFNA(VLOOKUP(Grandview_Inventory[[#This Row],[quality]],Lookups!$H$2:$J$14,3,FALSE),0)</f>
        <v>9808</v>
      </c>
      <c r="BK1053" s="6">
        <f>_xlfn.IFNA(VLOOKUP(Grandview_Inventory[[#This Row],[condition]],Lookups!$H$17:$J$24,3,FALSE),0)</f>
        <v>-4503</v>
      </c>
      <c r="BL1053" s="6">
        <f>Grandview_Inventory[[#This Row],[Eff_Age]]*Lookups!$B$14</f>
        <v>-11719.163399999999</v>
      </c>
      <c r="BM1053" s="6">
        <f>Grandview_Inventory[[#This Row],[living_area]]*Lookups!$B$15</f>
        <v>84151.770697</v>
      </c>
      <c r="BN1053" s="6">
        <f>Grandview_Inventory[[#This Row],[Fin BSMT]]*Lookups!$B$16</f>
        <v>0</v>
      </c>
      <c r="BO1053" s="6">
        <f>(Grandview_Inventory[[#This Row],[att_gar]]+Grandview_Inventory[[#This Row],[bltin_gar]])*Lookups!$B$17</f>
        <v>40434.441894000003</v>
      </c>
      <c r="BP1053" s="6">
        <f>Grandview_Inventory[[#This Row],[Plumbing Fixtures]]*Lookups!$B$18</f>
        <v>18093.976200000001</v>
      </c>
      <c r="BQ1053" s="6">
        <f>Grandview_Inventory[[#This Row],[detatched_value]]*Lookups!$B$19</f>
        <v>2540.4153000000001</v>
      </c>
      <c r="BR1053" s="6">
        <f>SUM(Grandview_Inventory[[#This Row],[Intercept]:[det_value]])*Grandview_Inventory[[#This Row],[res_pct]]</f>
        <v>294640.39069099998</v>
      </c>
      <c r="BS1053" s="6">
        <f>Grandview_Inventory[[#This Row],[land_value]]</f>
        <v>50650.651579114572</v>
      </c>
      <c r="BT1053" s="4">
        <f>_xlfn.IFNA(VLOOKUP(Grandview_Inventory[[#This Row],[quality]],Lookups!$A$26:$C$33,3,FALSE),1)</f>
        <v>0.94295468617355149</v>
      </c>
      <c r="BU1053" s="4">
        <f>_xlfn.IFNA(VLOOKUP(Grandview_Inventory[[#This Row],[condition]],Lookups!$A$37:$C$44,3,FALSE),1)</f>
        <v>0.96469275950863709</v>
      </c>
      <c r="BV1053" s="4">
        <f>IF(Grandview_Inventory[[#This Row],[bldg_style]]="",1,_xlfn.IFNA(VLOOKUP(Grandview_Inventory[[#This Row],[decade]],Lookups!$F$29:$H$43,3,FALSE),1))</f>
        <v>0.99472141305414818</v>
      </c>
      <c r="BW1053" s="4">
        <f>_xlfn.IFNA(VLOOKUP(Grandview_Inventory[[#This Row],[living_area_range]],Lookups!$F$47:$H$56,3,FALSE),1)</f>
        <v>0.96135087979789358</v>
      </c>
      <c r="BX1053" s="4">
        <f>AVERAGE(Grandview_Inventory[[#This Row],[qual_adj]:[size_adj]])</f>
        <v>0.96592993463355759</v>
      </c>
      <c r="BY1053" s="6">
        <f>IF(Grandview_Inventory[[#This Row],[pre_res]]&lt;0,0,Grandview_Inventory[[#This Row],[pre_res]]*Grandview_Inventory[[#This Row],[overall_adj]])</f>
        <v>284601.9733205635</v>
      </c>
      <c r="BZ1053" s="6">
        <f>(Grandview_Inventory[[#This Row],[sum_land]]-IF(Grandview_Inventory[[#This Row],[no_utilities]]=1,12000,0))/IF(Grandview_Inventory[[#This Row],[unbuildable]]=1,2,1)</f>
        <v>50650.651579114572</v>
      </c>
      <c r="CA105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053">
        <f>ROUND(Grandview_Inventory[[#This Row],[det_value]]*Lookups!$M$28,-2)</f>
        <v>2400</v>
      </c>
      <c r="CC1053">
        <f>IF(ROUND(Grandview_Inventory[[#This Row],[adj_res]]*Lookups!$M$28,-2)&lt;Grandview_Inventory[[#This Row],[min_res]],Grandview_Inventory[[#This Row],[min_res]],ROUND(Grandview_Inventory[[#This Row],[adj_res]]*Lookups!$M$28,-2))</f>
        <v>270400</v>
      </c>
      <c r="CD1053">
        <f>Grandview_Inventory[[#This Row],[final_det]]+Grandview_Inventory[[#This Row],[final_res]]</f>
        <v>272800</v>
      </c>
      <c r="CE1053">
        <f>Grandview_Inventory[[#This Row],[final_land]]+Grandview_Inventory[[#This Row],[final_imp]]+Grandview_Inventory[[#This Row],[crop_value]]</f>
        <v>320900</v>
      </c>
      <c r="CG1053" t="str">
        <f t="shared" si="16"/>
        <v>update valuation set market_land =48100, market_bldg=272800, market_total =320900, market_mdno =401, market_date ='9/10/2023' where link_id = (select link_id from parcel where parcel_year = '2024' and parcel_id = '23092242428');</v>
      </c>
    </row>
    <row r="1054" spans="1:85" x14ac:dyDescent="0.25">
      <c r="A1054">
        <v>23092242429</v>
      </c>
      <c r="B1054">
        <v>0.22</v>
      </c>
      <c r="C1054">
        <v>9746</v>
      </c>
      <c r="D1054" t="s">
        <v>129</v>
      </c>
      <c r="E1054" t="s">
        <v>53</v>
      </c>
      <c r="F1054" t="s">
        <v>53</v>
      </c>
      <c r="G1054">
        <v>4</v>
      </c>
      <c r="H1054" t="s">
        <v>54</v>
      </c>
      <c r="I1054">
        <v>193300</v>
      </c>
      <c r="J1054">
        <v>43800</v>
      </c>
      <c r="K1054">
        <v>0.22</v>
      </c>
      <c r="L105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054">
        <v>0</v>
      </c>
      <c r="N1054">
        <v>0</v>
      </c>
      <c r="O1054">
        <v>0</v>
      </c>
      <c r="P1054">
        <v>13398.7528</v>
      </c>
      <c r="Q1054">
        <v>63903</v>
      </c>
      <c r="R1054">
        <f>(Grandview_Inventory[[#This Row],[ln_acres]]*Grandview_Inventory[[#This Row],[coeff]])+Grandview_Inventory[[#This Row],[const]]</f>
        <v>43615.576802869145</v>
      </c>
      <c r="S1054" t="s">
        <v>68</v>
      </c>
      <c r="T1054">
        <v>1</v>
      </c>
      <c r="U1054" t="s">
        <v>64</v>
      </c>
      <c r="V1054" t="s">
        <v>69</v>
      </c>
      <c r="W1054">
        <v>0</v>
      </c>
      <c r="X1054">
        <v>0</v>
      </c>
      <c r="Y1054">
        <v>49</v>
      </c>
      <c r="Z1054">
        <v>68</v>
      </c>
      <c r="AA1054">
        <v>70</v>
      </c>
      <c r="AB1054">
        <v>2500</v>
      </c>
      <c r="AC1054">
        <v>2160</v>
      </c>
      <c r="AD1054">
        <v>1080</v>
      </c>
      <c r="AE1054">
        <v>0</v>
      </c>
      <c r="AF1054">
        <v>0</v>
      </c>
      <c r="AG1054">
        <v>1080</v>
      </c>
      <c r="AH1054">
        <v>0</v>
      </c>
      <c r="AI1054">
        <v>378</v>
      </c>
      <c r="AJ1054">
        <v>0</v>
      </c>
      <c r="AK1054">
        <v>0</v>
      </c>
      <c r="AL1054">
        <v>0</v>
      </c>
      <c r="AM1054">
        <v>128</v>
      </c>
      <c r="AN1054">
        <v>0</v>
      </c>
      <c r="AO1054">
        <v>128</v>
      </c>
      <c r="AP1054">
        <v>8</v>
      </c>
      <c r="AQ1054">
        <v>0</v>
      </c>
      <c r="AR1054">
        <v>1</v>
      </c>
      <c r="AS1054" t="s">
        <v>58</v>
      </c>
      <c r="AT1054">
        <v>1</v>
      </c>
      <c r="AU1054" t="s">
        <v>63</v>
      </c>
      <c r="AV1054" t="s">
        <v>64</v>
      </c>
      <c r="AW1054">
        <v>1</v>
      </c>
      <c r="AX1054">
        <v>4</v>
      </c>
      <c r="AY1054">
        <v>0</v>
      </c>
      <c r="AZ1054">
        <v>0</v>
      </c>
      <c r="BA1054">
        <v>100</v>
      </c>
      <c r="BB1054">
        <v>100</v>
      </c>
      <c r="BC1054">
        <v>100</v>
      </c>
      <c r="BD1054">
        <v>100</v>
      </c>
      <c r="BE1054">
        <v>1</v>
      </c>
      <c r="BF1054">
        <v>15000</v>
      </c>
      <c r="BG1054">
        <v>1000</v>
      </c>
      <c r="BH1054" s="6">
        <f>Grandview_Inventory[[#This Row],[land_extract]]*Lookups!$B$3</f>
        <v>50650.651579114572</v>
      </c>
      <c r="BI1054" s="6">
        <f>IF(Grandview_Inventory[[#This Row],[bldg_style]]="",0,Lookups!$B$2)</f>
        <v>155833.95000000001</v>
      </c>
      <c r="BJ1054" s="6">
        <f>_xlfn.IFNA(VLOOKUP(Grandview_Inventory[[#This Row],[quality]],Lookups!$H$2:$J$14,3,FALSE),0)</f>
        <v>20768</v>
      </c>
      <c r="BK1054" s="6">
        <f>_xlfn.IFNA(VLOOKUP(Grandview_Inventory[[#This Row],[condition]],Lookups!$H$17:$J$24,3,FALSE),0)</f>
        <v>-4503</v>
      </c>
      <c r="BL1054" s="6">
        <f>Grandview_Inventory[[#This Row],[Eff_Age]]*Lookups!$B$14</f>
        <v>-11719.163399999999</v>
      </c>
      <c r="BM1054" s="6">
        <f>Grandview_Inventory[[#This Row],[living_area]]*Lookups!$B$15</f>
        <v>134742.64248000001</v>
      </c>
      <c r="BN1054" s="6">
        <f>Grandview_Inventory[[#This Row],[Fin BSMT]]*Lookups!$B$16</f>
        <v>-29267.179200000002</v>
      </c>
      <c r="BO1054" s="6">
        <f>(Grandview_Inventory[[#This Row],[att_gar]]+Grandview_Inventory[[#This Row],[bltin_gar]])*Lookups!$B$17</f>
        <v>33082.725186000003</v>
      </c>
      <c r="BP1054" s="6">
        <f>Grandview_Inventory[[#This Row],[Plumbing Fixtures]]*Lookups!$B$18</f>
        <v>16083.5344</v>
      </c>
      <c r="BQ1054" s="6">
        <f>Grandview_Inventory[[#This Row],[detatched_value]]*Lookups!$B$19</f>
        <v>0</v>
      </c>
      <c r="BR1054" s="6">
        <f>SUM(Grandview_Inventory[[#This Row],[Intercept]:[det_value]])*Grandview_Inventory[[#This Row],[res_pct]]</f>
        <v>315021.50946600002</v>
      </c>
      <c r="BS1054" s="6">
        <f>Grandview_Inventory[[#This Row],[land_value]]</f>
        <v>50650.651579114572</v>
      </c>
      <c r="BT1054" s="4">
        <f>_xlfn.IFNA(VLOOKUP(Grandview_Inventory[[#This Row],[quality]],Lookups!$A$26:$C$33,3,FALSE),1)</f>
        <v>0.94960540378902636</v>
      </c>
      <c r="BU1054" s="4">
        <f>_xlfn.IFNA(VLOOKUP(Grandview_Inventory[[#This Row],[condition]],Lookups!$A$37:$C$44,3,FALSE),1)</f>
        <v>0.96469275950863709</v>
      </c>
      <c r="BV1054" s="4">
        <f>IF(Grandview_Inventory[[#This Row],[bldg_style]]="",1,_xlfn.IFNA(VLOOKUP(Grandview_Inventory[[#This Row],[decade]],Lookups!$F$29:$H$43,3,FALSE),1))</f>
        <v>0.99472141305414818</v>
      </c>
      <c r="BW1054" s="4">
        <f>_xlfn.IFNA(VLOOKUP(Grandview_Inventory[[#This Row],[living_area_range]],Lookups!$F$47:$H$56,3,FALSE),1)</f>
        <v>0.95799442568048754</v>
      </c>
      <c r="BX1054" s="4">
        <f>AVERAGE(Grandview_Inventory[[#This Row],[qual_adj]:[size_adj]])</f>
        <v>0.96675350050807474</v>
      </c>
      <c r="BY1054" s="6">
        <f>IF(Grandview_Inventory[[#This Row],[pre_res]]&lt;0,0,Grandview_Inventory[[#This Row],[pre_res]]*Grandview_Inventory[[#This Row],[overall_adj]])</f>
        <v>304548.1470115931</v>
      </c>
      <c r="BZ1054" s="6">
        <f>(Grandview_Inventory[[#This Row],[sum_land]]-IF(Grandview_Inventory[[#This Row],[no_utilities]]=1,12000,0))/IF(Grandview_Inventory[[#This Row],[unbuildable]]=1,2,1)</f>
        <v>50650.651579114572</v>
      </c>
      <c r="CA105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054">
        <f>ROUND(Grandview_Inventory[[#This Row],[det_value]]*Lookups!$M$28,-2)</f>
        <v>0</v>
      </c>
      <c r="CC1054">
        <f>IF(ROUND(Grandview_Inventory[[#This Row],[adj_res]]*Lookups!$M$28,-2)&lt;Grandview_Inventory[[#This Row],[min_res]],Grandview_Inventory[[#This Row],[min_res]],ROUND(Grandview_Inventory[[#This Row],[adj_res]]*Lookups!$M$28,-2))</f>
        <v>289300</v>
      </c>
      <c r="CD1054">
        <f>Grandview_Inventory[[#This Row],[final_det]]+Grandview_Inventory[[#This Row],[final_res]]</f>
        <v>289300</v>
      </c>
      <c r="CE1054">
        <f>Grandview_Inventory[[#This Row],[final_land]]+Grandview_Inventory[[#This Row],[final_imp]]+Grandview_Inventory[[#This Row],[crop_value]]</f>
        <v>337400</v>
      </c>
      <c r="CG1054" t="str">
        <f t="shared" si="16"/>
        <v>update valuation set market_land =48100, market_bldg=289300, market_total =337400, market_mdno =401, market_date ='9/10/2023' where link_id = (select link_id from parcel where parcel_year = '2024' and parcel_id = '23092242429');</v>
      </c>
    </row>
    <row r="1055" spans="1:85" x14ac:dyDescent="0.25">
      <c r="A1055">
        <v>23092242430</v>
      </c>
      <c r="B1055">
        <v>0.21</v>
      </c>
      <c r="C1055">
        <v>9226</v>
      </c>
      <c r="D1055" t="s">
        <v>129</v>
      </c>
      <c r="E1055" t="s">
        <v>53</v>
      </c>
      <c r="F1055" t="s">
        <v>53</v>
      </c>
      <c r="G1055">
        <v>4</v>
      </c>
      <c r="H1055" t="s">
        <v>54</v>
      </c>
      <c r="I1055">
        <v>119100</v>
      </c>
      <c r="J1055">
        <v>43700</v>
      </c>
      <c r="K1055">
        <v>0.21</v>
      </c>
      <c r="L105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55">
        <v>0</v>
      </c>
      <c r="N1055">
        <v>0</v>
      </c>
      <c r="O1055">
        <v>0</v>
      </c>
      <c r="P1055">
        <v>13398.7528</v>
      </c>
      <c r="Q1055">
        <v>63903</v>
      </c>
      <c r="R1055">
        <f>(Grandview_Inventory[[#This Row],[ln_acres]]*Grandview_Inventory[[#This Row],[coeff]])+Grandview_Inventory[[#This Row],[const]]</f>
        <v>42992.266613125081</v>
      </c>
      <c r="S1055" t="s">
        <v>61</v>
      </c>
      <c r="T1055">
        <v>1</v>
      </c>
      <c r="U1055" t="s">
        <v>70</v>
      </c>
      <c r="V1055" t="s">
        <v>78</v>
      </c>
      <c r="W1055">
        <v>0</v>
      </c>
      <c r="X1055">
        <v>0</v>
      </c>
      <c r="Y1055">
        <v>49</v>
      </c>
      <c r="Z1055">
        <v>68</v>
      </c>
      <c r="AA1055">
        <v>70</v>
      </c>
      <c r="AB1055">
        <v>1500</v>
      </c>
      <c r="AC1055">
        <v>1025</v>
      </c>
      <c r="AD1055">
        <v>1025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256</v>
      </c>
      <c r="AN1055">
        <v>16</v>
      </c>
      <c r="AO1055">
        <v>256</v>
      </c>
      <c r="AP1055">
        <v>5</v>
      </c>
      <c r="AQ1055">
        <v>1</v>
      </c>
      <c r="AR1055">
        <v>0</v>
      </c>
      <c r="AS1055" t="s">
        <v>58</v>
      </c>
      <c r="AT1055">
        <v>1</v>
      </c>
      <c r="AU1055" t="s">
        <v>63</v>
      </c>
      <c r="AV1055" t="s">
        <v>64</v>
      </c>
      <c r="AW1055">
        <v>0</v>
      </c>
      <c r="AX1055">
        <v>3</v>
      </c>
      <c r="AY1055">
        <v>0</v>
      </c>
      <c r="AZ1055">
        <v>11000</v>
      </c>
      <c r="BA1055">
        <v>100</v>
      </c>
      <c r="BB1055">
        <v>100</v>
      </c>
      <c r="BC1055">
        <v>100</v>
      </c>
      <c r="BD1055">
        <v>100</v>
      </c>
      <c r="BE1055">
        <v>1</v>
      </c>
      <c r="BF1055">
        <v>15000</v>
      </c>
      <c r="BG1055">
        <v>1000</v>
      </c>
      <c r="BH1055" s="6">
        <f>Grandview_Inventory[[#This Row],[land_extract]]*Lookups!$B$3</f>
        <v>49926.8031387023</v>
      </c>
      <c r="BI1055" s="6">
        <f>IF(Grandview_Inventory[[#This Row],[bldg_style]]="",0,Lookups!$B$2)</f>
        <v>155833.95000000001</v>
      </c>
      <c r="BJ1055" s="6">
        <f>_xlfn.IFNA(VLOOKUP(Grandview_Inventory[[#This Row],[quality]],Lookups!$H$2:$J$14,3,FALSE),0)</f>
        <v>10733</v>
      </c>
      <c r="BK1055" s="6">
        <f>_xlfn.IFNA(VLOOKUP(Grandview_Inventory[[#This Row],[condition]],Lookups!$H$17:$J$24,3,FALSE),0)</f>
        <v>-45357</v>
      </c>
      <c r="BL1055" s="6">
        <f>Grandview_Inventory[[#This Row],[Eff_Age]]*Lookups!$B$14</f>
        <v>-11719.163399999999</v>
      </c>
      <c r="BM1055" s="6">
        <f>Grandview_Inventory[[#This Row],[living_area]]*Lookups!$B$15</f>
        <v>63940.374325000004</v>
      </c>
      <c r="BN1055" s="6">
        <f>Grandview_Inventory[[#This Row],[Fin BSMT]]*Lookups!$B$16</f>
        <v>0</v>
      </c>
      <c r="BO1055" s="6">
        <f>(Grandview_Inventory[[#This Row],[att_gar]]+Grandview_Inventory[[#This Row],[bltin_gar]])*Lookups!$B$17</f>
        <v>0</v>
      </c>
      <c r="BP1055" s="6">
        <f>Grandview_Inventory[[#This Row],[Plumbing Fixtures]]*Lookups!$B$18</f>
        <v>10052.209000000001</v>
      </c>
      <c r="BQ1055" s="6">
        <f>Grandview_Inventory[[#This Row],[detatched_value]]*Lookups!$B$19</f>
        <v>9314.8560999999991</v>
      </c>
      <c r="BR1055" s="6">
        <f>SUM(Grandview_Inventory[[#This Row],[Intercept]:[det_value]])*Grandview_Inventory[[#This Row],[res_pct]]</f>
        <v>192798.22602500001</v>
      </c>
      <c r="BS1055" s="6">
        <f>Grandview_Inventory[[#This Row],[land_value]]</f>
        <v>49926.8031387023</v>
      </c>
      <c r="BT1055" s="4">
        <f>_xlfn.IFNA(VLOOKUP(Grandview_Inventory[[#This Row],[quality]],Lookups!$A$26:$C$33,3,FALSE),1)</f>
        <v>0.98079741117310582</v>
      </c>
      <c r="BU1055" s="4">
        <f>_xlfn.IFNA(VLOOKUP(Grandview_Inventory[[#This Row],[condition]],Lookups!$A$37:$C$44,3,FALSE),1)</f>
        <v>0.97161819570155394</v>
      </c>
      <c r="BV1055" s="4">
        <f>IF(Grandview_Inventory[[#This Row],[bldg_style]]="",1,_xlfn.IFNA(VLOOKUP(Grandview_Inventory[[#This Row],[decade]],Lookups!$F$29:$H$43,3,FALSE),1))</f>
        <v>0.99472141305414818</v>
      </c>
      <c r="BW1055" s="4">
        <f>_xlfn.IFNA(VLOOKUP(Grandview_Inventory[[#This Row],[living_area_range]],Lookups!$F$47:$H$56,3,FALSE),1)</f>
        <v>0.96135087979789358</v>
      </c>
      <c r="BX1055" s="4">
        <f>AVERAGE(Grandview_Inventory[[#This Row],[qual_adj]:[size_adj]])</f>
        <v>0.9771219749316753</v>
      </c>
      <c r="BY1055" s="6">
        <f>IF(Grandview_Inventory[[#This Row],[pre_res]]&lt;0,0,Grandview_Inventory[[#This Row],[pre_res]]*Grandview_Inventory[[#This Row],[overall_adj]])</f>
        <v>188387.38337687153</v>
      </c>
      <c r="BZ1055" s="6">
        <f>(Grandview_Inventory[[#This Row],[sum_land]]-IF(Grandview_Inventory[[#This Row],[no_utilities]]=1,12000,0))/IF(Grandview_Inventory[[#This Row],[unbuildable]]=1,2,1)</f>
        <v>49926.8031387023</v>
      </c>
      <c r="CA105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55">
        <f>ROUND(Grandview_Inventory[[#This Row],[det_value]]*Lookups!$M$28,-2)</f>
        <v>8800</v>
      </c>
      <c r="CC1055">
        <f>IF(ROUND(Grandview_Inventory[[#This Row],[adj_res]]*Lookups!$M$28,-2)&lt;Grandview_Inventory[[#This Row],[min_res]],Grandview_Inventory[[#This Row],[min_res]],ROUND(Grandview_Inventory[[#This Row],[adj_res]]*Lookups!$M$28,-2))</f>
        <v>179000</v>
      </c>
      <c r="CD1055">
        <f>Grandview_Inventory[[#This Row],[final_det]]+Grandview_Inventory[[#This Row],[final_res]]</f>
        <v>187800</v>
      </c>
      <c r="CE1055">
        <f>Grandview_Inventory[[#This Row],[final_land]]+Grandview_Inventory[[#This Row],[final_imp]]+Grandview_Inventory[[#This Row],[crop_value]]</f>
        <v>235200</v>
      </c>
      <c r="CG1055" t="str">
        <f t="shared" si="16"/>
        <v>update valuation set market_land =47400, market_bldg=187800, market_total =235200, market_mdno =401, market_date ='9/10/2023' where link_id = (select link_id from parcel where parcel_year = '2024' and parcel_id = '23092242430');</v>
      </c>
    </row>
    <row r="1056" spans="1:85" x14ac:dyDescent="0.25">
      <c r="A1056">
        <v>23092242431</v>
      </c>
      <c r="B1056">
        <v>0.19</v>
      </c>
      <c r="C1056" t="s">
        <v>129</v>
      </c>
      <c r="D1056" t="s">
        <v>129</v>
      </c>
      <c r="E1056" t="s">
        <v>53</v>
      </c>
      <c r="F1056" t="s">
        <v>53</v>
      </c>
      <c r="G1056">
        <v>4</v>
      </c>
      <c r="H1056" t="s">
        <v>54</v>
      </c>
      <c r="I1056">
        <v>138700</v>
      </c>
      <c r="J1056">
        <v>43500</v>
      </c>
      <c r="K1056">
        <v>0.19</v>
      </c>
      <c r="L105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56">
        <v>0</v>
      </c>
      <c r="N1056">
        <v>0</v>
      </c>
      <c r="O1056">
        <v>0</v>
      </c>
      <c r="P1056">
        <v>13398.7528</v>
      </c>
      <c r="Q1056">
        <v>63903</v>
      </c>
      <c r="R1056">
        <f>(Grandview_Inventory[[#This Row],[ln_acres]]*Grandview_Inventory[[#This Row],[coeff]])+Grandview_Inventory[[#This Row],[const]]</f>
        <v>41651.273092551026</v>
      </c>
      <c r="S1056" t="s">
        <v>55</v>
      </c>
      <c r="T1056">
        <v>1</v>
      </c>
      <c r="U1056" t="s">
        <v>70</v>
      </c>
      <c r="V1056" t="s">
        <v>78</v>
      </c>
      <c r="W1056">
        <v>0</v>
      </c>
      <c r="X1056">
        <v>0</v>
      </c>
      <c r="Y1056">
        <v>48</v>
      </c>
      <c r="Z1056">
        <v>60</v>
      </c>
      <c r="AA1056">
        <v>60</v>
      </c>
      <c r="AB1056">
        <v>1500</v>
      </c>
      <c r="AC1056">
        <v>1025</v>
      </c>
      <c r="AD1056">
        <v>1025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275</v>
      </c>
      <c r="AL1056">
        <v>424</v>
      </c>
      <c r="AM1056">
        <v>168</v>
      </c>
      <c r="AN1056">
        <v>0</v>
      </c>
      <c r="AO1056">
        <v>0</v>
      </c>
      <c r="AP1056">
        <v>7</v>
      </c>
      <c r="AQ1056">
        <v>1</v>
      </c>
      <c r="AR1056">
        <v>0</v>
      </c>
      <c r="AS1056" t="s">
        <v>58</v>
      </c>
      <c r="AT1056">
        <v>1</v>
      </c>
      <c r="AU1056" t="s">
        <v>63</v>
      </c>
      <c r="AV1056" t="s">
        <v>60</v>
      </c>
      <c r="AW1056">
        <v>0</v>
      </c>
      <c r="AX1056">
        <v>3</v>
      </c>
      <c r="AY1056">
        <v>0</v>
      </c>
      <c r="AZ1056">
        <v>1300</v>
      </c>
      <c r="BA1056">
        <v>100</v>
      </c>
      <c r="BB1056">
        <v>100</v>
      </c>
      <c r="BC1056">
        <v>100</v>
      </c>
      <c r="BD1056">
        <v>100</v>
      </c>
      <c r="BE1056">
        <v>1</v>
      </c>
      <c r="BF1056">
        <v>15000</v>
      </c>
      <c r="BG1056">
        <v>1000</v>
      </c>
      <c r="BH1056" s="6">
        <f>Grandview_Inventory[[#This Row],[land_extract]]*Lookups!$B$3</f>
        <v>48369.510983942157</v>
      </c>
      <c r="BI1056" s="6">
        <f>IF(Grandview_Inventory[[#This Row],[bldg_style]]="",0,Lookups!$B$2)</f>
        <v>155833.95000000001</v>
      </c>
      <c r="BJ1056" s="6">
        <f>_xlfn.IFNA(VLOOKUP(Grandview_Inventory[[#This Row],[quality]],Lookups!$H$2:$J$14,3,FALSE),0)</f>
        <v>10733</v>
      </c>
      <c r="BK1056" s="6">
        <f>_xlfn.IFNA(VLOOKUP(Grandview_Inventory[[#This Row],[condition]],Lookups!$H$17:$J$24,3,FALSE),0)</f>
        <v>-45357</v>
      </c>
      <c r="BL1056" s="6">
        <f>Grandview_Inventory[[#This Row],[Eff_Age]]*Lookups!$B$14</f>
        <v>-11479.996799999999</v>
      </c>
      <c r="BM1056" s="6">
        <f>Grandview_Inventory[[#This Row],[living_area]]*Lookups!$B$15</f>
        <v>63940.374325000004</v>
      </c>
      <c r="BN1056" s="6">
        <f>Grandview_Inventory[[#This Row],[Fin BSMT]]*Lookups!$B$16</f>
        <v>0</v>
      </c>
      <c r="BO1056" s="6">
        <f>(Grandview_Inventory[[#This Row],[att_gar]]+Grandview_Inventory[[#This Row],[bltin_gar]])*Lookups!$B$17</f>
        <v>0</v>
      </c>
      <c r="BP1056" s="6">
        <f>Grandview_Inventory[[#This Row],[Plumbing Fixtures]]*Lookups!$B$18</f>
        <v>14073.0926</v>
      </c>
      <c r="BQ1056" s="6">
        <f>Grandview_Inventory[[#This Row],[detatched_value]]*Lookups!$B$19</f>
        <v>1100.84663</v>
      </c>
      <c r="BR1056" s="6">
        <f>SUM(Grandview_Inventory[[#This Row],[Intercept]:[det_value]])*Grandview_Inventory[[#This Row],[res_pct]]</f>
        <v>188844.26675500005</v>
      </c>
      <c r="BS1056" s="6">
        <f>Grandview_Inventory[[#This Row],[land_value]]</f>
        <v>48369.510983942157</v>
      </c>
      <c r="BT1056" s="4">
        <f>_xlfn.IFNA(VLOOKUP(Grandview_Inventory[[#This Row],[quality]],Lookups!$A$26:$C$33,3,FALSE),1)</f>
        <v>0.98079741117310582</v>
      </c>
      <c r="BU1056" s="4">
        <f>_xlfn.IFNA(VLOOKUP(Grandview_Inventory[[#This Row],[condition]],Lookups!$A$37:$C$44,3,FALSE),1)</f>
        <v>0.97161819570155394</v>
      </c>
      <c r="BV1056" s="4">
        <f>IF(Grandview_Inventory[[#This Row],[bldg_style]]="",1,_xlfn.IFNA(VLOOKUP(Grandview_Inventory[[#This Row],[decade]],Lookups!$F$29:$H$43,3,FALSE),1))</f>
        <v>0.95268620544463312</v>
      </c>
      <c r="BW1056" s="4">
        <f>_xlfn.IFNA(VLOOKUP(Grandview_Inventory[[#This Row],[living_area_range]],Lookups!$F$47:$H$56,3,FALSE),1)</f>
        <v>0.96135087979789358</v>
      </c>
      <c r="BX1056" s="4">
        <f>AVERAGE(Grandview_Inventory[[#This Row],[qual_adj]:[size_adj]])</f>
        <v>0.96661317302929661</v>
      </c>
      <c r="BY1056" s="6">
        <f>IF(Grandview_Inventory[[#This Row],[pre_res]]&lt;0,0,Grandview_Inventory[[#This Row],[pre_res]]*Grandview_Inventory[[#This Row],[overall_adj]])</f>
        <v>182539.3558964415</v>
      </c>
      <c r="BZ1056" s="6">
        <f>(Grandview_Inventory[[#This Row],[sum_land]]-IF(Grandview_Inventory[[#This Row],[no_utilities]]=1,12000,0))/IF(Grandview_Inventory[[#This Row],[unbuildable]]=1,2,1)</f>
        <v>48369.510983942157</v>
      </c>
      <c r="CA105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56">
        <f>ROUND(Grandview_Inventory[[#This Row],[det_value]]*Lookups!$M$28,-2)</f>
        <v>1000</v>
      </c>
      <c r="CC1056">
        <f>IF(ROUND(Grandview_Inventory[[#This Row],[adj_res]]*Lookups!$M$28,-2)&lt;Grandview_Inventory[[#This Row],[min_res]],Grandview_Inventory[[#This Row],[min_res]],ROUND(Grandview_Inventory[[#This Row],[adj_res]]*Lookups!$M$28,-2))</f>
        <v>173400</v>
      </c>
      <c r="CD1056">
        <f>Grandview_Inventory[[#This Row],[final_det]]+Grandview_Inventory[[#This Row],[final_res]]</f>
        <v>174400</v>
      </c>
      <c r="CE1056">
        <f>Grandview_Inventory[[#This Row],[final_land]]+Grandview_Inventory[[#This Row],[final_imp]]+Grandview_Inventory[[#This Row],[crop_value]]</f>
        <v>220400</v>
      </c>
      <c r="CG1056" t="str">
        <f t="shared" si="16"/>
        <v>update valuation set market_land =46000, market_bldg=174400, market_total =220400, market_mdno =401, market_date ='9/10/2023' where link_id = (select link_id from parcel where parcel_year = '2024' and parcel_id = '23092242431');</v>
      </c>
    </row>
    <row r="1057" spans="1:85" x14ac:dyDescent="0.25">
      <c r="A1057">
        <v>23092242436</v>
      </c>
      <c r="B1057">
        <v>0.18</v>
      </c>
      <c r="C1057">
        <v>7841</v>
      </c>
      <c r="D1057" t="s">
        <v>129</v>
      </c>
      <c r="E1057" t="s">
        <v>53</v>
      </c>
      <c r="F1057" t="s">
        <v>53</v>
      </c>
      <c r="G1057">
        <v>4</v>
      </c>
      <c r="H1057" t="s">
        <v>54</v>
      </c>
      <c r="I1057">
        <v>137000</v>
      </c>
      <c r="J1057">
        <v>43100</v>
      </c>
      <c r="K1057">
        <v>0.18</v>
      </c>
      <c r="L105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57">
        <v>0</v>
      </c>
      <c r="N1057">
        <v>0</v>
      </c>
      <c r="O1057">
        <v>0</v>
      </c>
      <c r="P1057">
        <v>13398.7528</v>
      </c>
      <c r="Q1057">
        <v>63903</v>
      </c>
      <c r="R1057">
        <f>(Grandview_Inventory[[#This Row],[ln_acres]]*Grandview_Inventory[[#This Row],[coeff]])+Grandview_Inventory[[#This Row],[const]]</f>
        <v>40926.839760167699</v>
      </c>
      <c r="S1057" t="s">
        <v>61</v>
      </c>
      <c r="T1057">
        <v>1</v>
      </c>
      <c r="U1057" t="s">
        <v>70</v>
      </c>
      <c r="V1057" t="s">
        <v>69</v>
      </c>
      <c r="W1057">
        <v>0</v>
      </c>
      <c r="X1057">
        <v>0</v>
      </c>
      <c r="Y1057">
        <v>48</v>
      </c>
      <c r="Z1057">
        <v>63</v>
      </c>
      <c r="AA1057">
        <v>70</v>
      </c>
      <c r="AB1057">
        <v>1500</v>
      </c>
      <c r="AC1057">
        <v>1197</v>
      </c>
      <c r="AD1057">
        <v>1197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5</v>
      </c>
      <c r="AQ1057">
        <v>0</v>
      </c>
      <c r="AR1057">
        <v>0</v>
      </c>
      <c r="AS1057" t="s">
        <v>58</v>
      </c>
      <c r="AT1057">
        <v>1</v>
      </c>
      <c r="AU1057" t="s">
        <v>63</v>
      </c>
      <c r="AV1057" t="s">
        <v>64</v>
      </c>
      <c r="AW1057">
        <v>0</v>
      </c>
      <c r="AX1057">
        <v>3</v>
      </c>
      <c r="AY1057">
        <v>0</v>
      </c>
      <c r="AZ1057">
        <v>4500</v>
      </c>
      <c r="BA1057">
        <v>100</v>
      </c>
      <c r="BB1057">
        <v>100</v>
      </c>
      <c r="BC1057">
        <v>100</v>
      </c>
      <c r="BD1057">
        <v>100</v>
      </c>
      <c r="BE1057">
        <v>1</v>
      </c>
      <c r="BF1057">
        <v>15000</v>
      </c>
      <c r="BG1057">
        <v>1000</v>
      </c>
      <c r="BH1057" s="6">
        <f>Grandview_Inventory[[#This Row],[land_extract]]*Lookups!$B$3</f>
        <v>47528.228511015397</v>
      </c>
      <c r="BI1057" s="6">
        <f>IF(Grandview_Inventory[[#This Row],[bldg_style]]="",0,Lookups!$B$2)</f>
        <v>155833.95000000001</v>
      </c>
      <c r="BJ1057" s="6">
        <f>_xlfn.IFNA(VLOOKUP(Grandview_Inventory[[#This Row],[quality]],Lookups!$H$2:$J$14,3,FALSE),0)</f>
        <v>10733</v>
      </c>
      <c r="BK1057" s="6">
        <f>_xlfn.IFNA(VLOOKUP(Grandview_Inventory[[#This Row],[condition]],Lookups!$H$17:$J$24,3,FALSE),0)</f>
        <v>-4503</v>
      </c>
      <c r="BL1057" s="6">
        <f>Grandview_Inventory[[#This Row],[Eff_Age]]*Lookups!$B$14</f>
        <v>-11479.996799999999</v>
      </c>
      <c r="BM1057" s="6">
        <f>Grandview_Inventory[[#This Row],[living_area]]*Lookups!$B$15</f>
        <v>74669.881041000001</v>
      </c>
      <c r="BN1057" s="6">
        <f>Grandview_Inventory[[#This Row],[Fin BSMT]]*Lookups!$B$16</f>
        <v>0</v>
      </c>
      <c r="BO1057" s="6">
        <f>(Grandview_Inventory[[#This Row],[att_gar]]+Grandview_Inventory[[#This Row],[bltin_gar]])*Lookups!$B$17</f>
        <v>0</v>
      </c>
      <c r="BP1057" s="6">
        <f>Grandview_Inventory[[#This Row],[Plumbing Fixtures]]*Lookups!$B$18</f>
        <v>10052.209000000001</v>
      </c>
      <c r="BQ1057" s="6">
        <f>Grandview_Inventory[[#This Row],[detatched_value]]*Lookups!$B$19</f>
        <v>3810.6229499999999</v>
      </c>
      <c r="BR1057" s="6">
        <f>SUM(Grandview_Inventory[[#This Row],[Intercept]:[det_value]])*Grandview_Inventory[[#This Row],[res_pct]]</f>
        <v>239116.666191</v>
      </c>
      <c r="BS1057" s="6">
        <f>Grandview_Inventory[[#This Row],[land_value]]</f>
        <v>47528.228511015397</v>
      </c>
      <c r="BT1057" s="4">
        <f>_xlfn.IFNA(VLOOKUP(Grandview_Inventory[[#This Row],[quality]],Lookups!$A$26:$C$33,3,FALSE),1)</f>
        <v>0.98079741117310582</v>
      </c>
      <c r="BU1057" s="4">
        <f>_xlfn.IFNA(VLOOKUP(Grandview_Inventory[[#This Row],[condition]],Lookups!$A$37:$C$44,3,FALSE),1)</f>
        <v>0.96469275950863709</v>
      </c>
      <c r="BV1057" s="4">
        <f>IF(Grandview_Inventory[[#This Row],[bldg_style]]="",1,_xlfn.IFNA(VLOOKUP(Grandview_Inventory[[#This Row],[decade]],Lookups!$F$29:$H$43,3,FALSE),1))</f>
        <v>0.99472141305414818</v>
      </c>
      <c r="BW1057" s="4">
        <f>_xlfn.IFNA(VLOOKUP(Grandview_Inventory[[#This Row],[living_area_range]],Lookups!$F$47:$H$56,3,FALSE),1)</f>
        <v>0.96135087979789358</v>
      </c>
      <c r="BX1057" s="4">
        <f>AVERAGE(Grandview_Inventory[[#This Row],[qual_adj]:[size_adj]])</f>
        <v>0.97539061588344622</v>
      </c>
      <c r="BY1057" s="6">
        <f>IF(Grandview_Inventory[[#This Row],[pre_res]]&lt;0,0,Grandview_Inventory[[#This Row],[pre_res]]*Grandview_Inventory[[#This Row],[overall_adj]])</f>
        <v>233232.1523040359</v>
      </c>
      <c r="BZ1057" s="6">
        <f>(Grandview_Inventory[[#This Row],[sum_land]]-IF(Grandview_Inventory[[#This Row],[no_utilities]]=1,12000,0))/IF(Grandview_Inventory[[#This Row],[unbuildable]]=1,2,1)</f>
        <v>47528.228511015397</v>
      </c>
      <c r="CA105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57">
        <f>ROUND(Grandview_Inventory[[#This Row],[det_value]]*Lookups!$M$28,-2)</f>
        <v>3600</v>
      </c>
      <c r="CC1057">
        <f>IF(ROUND(Grandview_Inventory[[#This Row],[adj_res]]*Lookups!$M$28,-2)&lt;Grandview_Inventory[[#This Row],[min_res]],Grandview_Inventory[[#This Row],[min_res]],ROUND(Grandview_Inventory[[#This Row],[adj_res]]*Lookups!$M$28,-2))</f>
        <v>221600</v>
      </c>
      <c r="CD1057">
        <f>Grandview_Inventory[[#This Row],[final_det]]+Grandview_Inventory[[#This Row],[final_res]]</f>
        <v>225200</v>
      </c>
      <c r="CE1057">
        <f>Grandview_Inventory[[#This Row],[final_land]]+Grandview_Inventory[[#This Row],[final_imp]]+Grandview_Inventory[[#This Row],[crop_value]]</f>
        <v>270400</v>
      </c>
      <c r="CG1057" t="str">
        <f t="shared" si="16"/>
        <v>update valuation set market_land =45200, market_bldg=225200, market_total =270400, market_mdno =401, market_date ='9/10/2023' where link_id = (select link_id from parcel where parcel_year = '2024' and parcel_id = '23092242436');</v>
      </c>
    </row>
    <row r="1058" spans="1:85" x14ac:dyDescent="0.25">
      <c r="A1058">
        <v>23092242437</v>
      </c>
      <c r="B1058">
        <v>0.18</v>
      </c>
      <c r="C1058">
        <v>7790</v>
      </c>
      <c r="D1058" t="s">
        <v>129</v>
      </c>
      <c r="E1058" t="s">
        <v>53</v>
      </c>
      <c r="F1058" t="s">
        <v>53</v>
      </c>
      <c r="G1058">
        <v>4</v>
      </c>
      <c r="H1058" t="s">
        <v>54</v>
      </c>
      <c r="I1058">
        <v>137000</v>
      </c>
      <c r="J1058">
        <v>43100</v>
      </c>
      <c r="K1058">
        <v>0.18</v>
      </c>
      <c r="L105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58">
        <v>0</v>
      </c>
      <c r="N1058">
        <v>0</v>
      </c>
      <c r="O1058">
        <v>0</v>
      </c>
      <c r="P1058">
        <v>13398.7528</v>
      </c>
      <c r="Q1058">
        <v>63903</v>
      </c>
      <c r="R1058">
        <f>(Grandview_Inventory[[#This Row],[ln_acres]]*Grandview_Inventory[[#This Row],[coeff]])+Grandview_Inventory[[#This Row],[const]]</f>
        <v>40926.839760167699</v>
      </c>
      <c r="S1058" t="s">
        <v>68</v>
      </c>
      <c r="T1058">
        <v>1</v>
      </c>
      <c r="U1058" t="s">
        <v>70</v>
      </c>
      <c r="V1058" t="s">
        <v>69</v>
      </c>
      <c r="W1058">
        <v>0</v>
      </c>
      <c r="X1058">
        <v>0</v>
      </c>
      <c r="Y1058">
        <v>49</v>
      </c>
      <c r="Z1058">
        <v>65</v>
      </c>
      <c r="AA1058">
        <v>70</v>
      </c>
      <c r="AB1058">
        <v>1500</v>
      </c>
      <c r="AC1058">
        <v>1239</v>
      </c>
      <c r="AD1058">
        <v>1239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5</v>
      </c>
      <c r="AQ1058">
        <v>0</v>
      </c>
      <c r="AR1058">
        <v>0</v>
      </c>
      <c r="AS1058" t="s">
        <v>58</v>
      </c>
      <c r="AT1058">
        <v>1</v>
      </c>
      <c r="AU1058" t="s">
        <v>63</v>
      </c>
      <c r="AV1058" t="s">
        <v>64</v>
      </c>
      <c r="AW1058">
        <v>0</v>
      </c>
      <c r="AX1058">
        <v>3</v>
      </c>
      <c r="AY1058">
        <v>0</v>
      </c>
      <c r="AZ1058">
        <v>9300</v>
      </c>
      <c r="BA1058">
        <v>100</v>
      </c>
      <c r="BB1058">
        <v>100</v>
      </c>
      <c r="BC1058">
        <v>100</v>
      </c>
      <c r="BD1058">
        <v>100</v>
      </c>
      <c r="BE1058">
        <v>1</v>
      </c>
      <c r="BF1058">
        <v>15000</v>
      </c>
      <c r="BG1058">
        <v>1000</v>
      </c>
      <c r="BH1058" s="6">
        <f>Grandview_Inventory[[#This Row],[land_extract]]*Lookups!$B$3</f>
        <v>47528.228511015397</v>
      </c>
      <c r="BI1058" s="6">
        <f>IF(Grandview_Inventory[[#This Row],[bldg_style]]="",0,Lookups!$B$2)</f>
        <v>155833.95000000001</v>
      </c>
      <c r="BJ1058" s="6">
        <f>_xlfn.IFNA(VLOOKUP(Grandview_Inventory[[#This Row],[quality]],Lookups!$H$2:$J$14,3,FALSE),0)</f>
        <v>10733</v>
      </c>
      <c r="BK1058" s="6">
        <f>_xlfn.IFNA(VLOOKUP(Grandview_Inventory[[#This Row],[condition]],Lookups!$H$17:$J$24,3,FALSE),0)</f>
        <v>-4503</v>
      </c>
      <c r="BL1058" s="6">
        <f>Grandview_Inventory[[#This Row],[Eff_Age]]*Lookups!$B$14</f>
        <v>-11719.163399999999</v>
      </c>
      <c r="BM1058" s="6">
        <f>Grandview_Inventory[[#This Row],[living_area]]*Lookups!$B$15</f>
        <v>77289.876866999999</v>
      </c>
      <c r="BN1058" s="6">
        <f>Grandview_Inventory[[#This Row],[Fin BSMT]]*Lookups!$B$16</f>
        <v>0</v>
      </c>
      <c r="BO1058" s="6">
        <f>(Grandview_Inventory[[#This Row],[att_gar]]+Grandview_Inventory[[#This Row],[bltin_gar]])*Lookups!$B$17</f>
        <v>0</v>
      </c>
      <c r="BP1058" s="6">
        <f>Grandview_Inventory[[#This Row],[Plumbing Fixtures]]*Lookups!$B$18</f>
        <v>10052.209000000001</v>
      </c>
      <c r="BQ1058" s="6">
        <f>Grandview_Inventory[[#This Row],[detatched_value]]*Lookups!$B$19</f>
        <v>7875.2874299999994</v>
      </c>
      <c r="BR1058" s="6">
        <f>SUM(Grandview_Inventory[[#This Row],[Intercept]:[det_value]])*Grandview_Inventory[[#This Row],[res_pct]]</f>
        <v>245562.15989700001</v>
      </c>
      <c r="BS1058" s="6">
        <f>Grandview_Inventory[[#This Row],[land_value]]</f>
        <v>47528.228511015397</v>
      </c>
      <c r="BT1058" s="4">
        <f>_xlfn.IFNA(VLOOKUP(Grandview_Inventory[[#This Row],[quality]],Lookups!$A$26:$C$33,3,FALSE),1)</f>
        <v>0.98079741117310582</v>
      </c>
      <c r="BU1058" s="4">
        <f>_xlfn.IFNA(VLOOKUP(Grandview_Inventory[[#This Row],[condition]],Lookups!$A$37:$C$44,3,FALSE),1)</f>
        <v>0.96469275950863709</v>
      </c>
      <c r="BV1058" s="4">
        <f>IF(Grandview_Inventory[[#This Row],[bldg_style]]="",1,_xlfn.IFNA(VLOOKUP(Grandview_Inventory[[#This Row],[decade]],Lookups!$F$29:$H$43,3,FALSE),1))</f>
        <v>0.99472141305414818</v>
      </c>
      <c r="BW1058" s="4">
        <f>_xlfn.IFNA(VLOOKUP(Grandview_Inventory[[#This Row],[living_area_range]],Lookups!$F$47:$H$56,3,FALSE),1)</f>
        <v>0.96135087979789358</v>
      </c>
      <c r="BX1058" s="4">
        <f>AVERAGE(Grandview_Inventory[[#This Row],[qual_adj]:[size_adj]])</f>
        <v>0.97539061588344622</v>
      </c>
      <c r="BY1058" s="6">
        <f>IF(Grandview_Inventory[[#This Row],[pre_res]]&lt;0,0,Grandview_Inventory[[#This Row],[pre_res]]*Grandview_Inventory[[#This Row],[overall_adj]])</f>
        <v>239519.02637960413</v>
      </c>
      <c r="BZ1058" s="6">
        <f>(Grandview_Inventory[[#This Row],[sum_land]]-IF(Grandview_Inventory[[#This Row],[no_utilities]]=1,12000,0))/IF(Grandview_Inventory[[#This Row],[unbuildable]]=1,2,1)</f>
        <v>47528.228511015397</v>
      </c>
      <c r="CA105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58">
        <f>ROUND(Grandview_Inventory[[#This Row],[det_value]]*Lookups!$M$28,-2)</f>
        <v>7500</v>
      </c>
      <c r="CC1058">
        <f>IF(ROUND(Grandview_Inventory[[#This Row],[adj_res]]*Lookups!$M$28,-2)&lt;Grandview_Inventory[[#This Row],[min_res]],Grandview_Inventory[[#This Row],[min_res]],ROUND(Grandview_Inventory[[#This Row],[adj_res]]*Lookups!$M$28,-2))</f>
        <v>227500</v>
      </c>
      <c r="CD1058">
        <f>Grandview_Inventory[[#This Row],[final_det]]+Grandview_Inventory[[#This Row],[final_res]]</f>
        <v>235000</v>
      </c>
      <c r="CE1058">
        <f>Grandview_Inventory[[#This Row],[final_land]]+Grandview_Inventory[[#This Row],[final_imp]]+Grandview_Inventory[[#This Row],[crop_value]]</f>
        <v>280200</v>
      </c>
      <c r="CG1058" t="str">
        <f t="shared" si="16"/>
        <v>update valuation set market_land =45200, market_bldg=235000, market_total =280200, market_mdno =401, market_date ='9/10/2023' where link_id = (select link_id from parcel where parcel_year = '2024' and parcel_id = '23092242437');</v>
      </c>
    </row>
    <row r="1059" spans="1:85" x14ac:dyDescent="0.25">
      <c r="A1059">
        <v>23092242441</v>
      </c>
      <c r="B1059">
        <v>0.2</v>
      </c>
      <c r="C1059">
        <v>8683</v>
      </c>
      <c r="D1059" t="s">
        <v>129</v>
      </c>
      <c r="E1059" t="s">
        <v>53</v>
      </c>
      <c r="F1059" t="s">
        <v>53</v>
      </c>
      <c r="G1059">
        <v>4</v>
      </c>
      <c r="H1059" t="s">
        <v>54</v>
      </c>
      <c r="I1059">
        <v>235400</v>
      </c>
      <c r="J1059">
        <v>43700</v>
      </c>
      <c r="K1059">
        <v>0.2</v>
      </c>
      <c r="L105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59">
        <v>0</v>
      </c>
      <c r="N1059">
        <v>0</v>
      </c>
      <c r="O1059">
        <v>0</v>
      </c>
      <c r="P1059">
        <v>13398.7528</v>
      </c>
      <c r="Q1059">
        <v>63903</v>
      </c>
      <c r="R1059">
        <f>(Grandview_Inventory[[#This Row],[ln_acres]]*Grandview_Inventory[[#This Row],[coeff]])+Grandview_Inventory[[#This Row],[const]]</f>
        <v>42338.539264347448</v>
      </c>
      <c r="S1059" t="s">
        <v>61</v>
      </c>
      <c r="T1059">
        <v>1</v>
      </c>
      <c r="U1059" t="s">
        <v>64</v>
      </c>
      <c r="V1059" t="s">
        <v>67</v>
      </c>
      <c r="W1059">
        <v>0</v>
      </c>
      <c r="X1059">
        <v>0</v>
      </c>
      <c r="Y1059">
        <v>18</v>
      </c>
      <c r="Z1059">
        <v>18</v>
      </c>
      <c r="AA1059">
        <v>20</v>
      </c>
      <c r="AB1059">
        <v>1500</v>
      </c>
      <c r="AC1059">
        <v>1467</v>
      </c>
      <c r="AD1059">
        <v>1467</v>
      </c>
      <c r="AE1059">
        <v>0</v>
      </c>
      <c r="AF1059">
        <v>0</v>
      </c>
      <c r="AG1059">
        <v>0</v>
      </c>
      <c r="AH1059">
        <v>0</v>
      </c>
      <c r="AI1059">
        <v>440</v>
      </c>
      <c r="AJ1059">
        <v>0</v>
      </c>
      <c r="AK1059">
        <v>0</v>
      </c>
      <c r="AL1059">
        <v>0</v>
      </c>
      <c r="AM1059">
        <v>195</v>
      </c>
      <c r="AN1059">
        <v>28</v>
      </c>
      <c r="AO1059">
        <v>120</v>
      </c>
      <c r="AP1059">
        <v>9</v>
      </c>
      <c r="AQ1059">
        <v>0</v>
      </c>
      <c r="AR1059">
        <v>0</v>
      </c>
      <c r="AS1059" t="s">
        <v>58</v>
      </c>
      <c r="AT1059">
        <v>1</v>
      </c>
      <c r="AU1059" t="s">
        <v>59</v>
      </c>
      <c r="AV1059" t="s">
        <v>64</v>
      </c>
      <c r="AW1059">
        <v>1</v>
      </c>
      <c r="AX1059">
        <v>3</v>
      </c>
      <c r="AY1059">
        <v>0</v>
      </c>
      <c r="AZ1059">
        <v>0</v>
      </c>
      <c r="BA1059">
        <v>100</v>
      </c>
      <c r="BB1059">
        <v>100</v>
      </c>
      <c r="BC1059">
        <v>100</v>
      </c>
      <c r="BD1059">
        <v>100</v>
      </c>
      <c r="BE1059">
        <v>1</v>
      </c>
      <c r="BF1059">
        <v>15000</v>
      </c>
      <c r="BG1059">
        <v>1000</v>
      </c>
      <c r="BH1059" s="6">
        <f>Grandview_Inventory[[#This Row],[land_extract]]*Lookups!$B$3</f>
        <v>49167.631333630678</v>
      </c>
      <c r="BI1059" s="6">
        <f>IF(Grandview_Inventory[[#This Row],[bldg_style]]="",0,Lookups!$B$2)</f>
        <v>155833.95000000001</v>
      </c>
      <c r="BJ1059" s="6">
        <f>_xlfn.IFNA(VLOOKUP(Grandview_Inventory[[#This Row],[quality]],Lookups!$H$2:$J$14,3,FALSE),0)</f>
        <v>20768</v>
      </c>
      <c r="BK1059" s="6">
        <f>_xlfn.IFNA(VLOOKUP(Grandview_Inventory[[#This Row],[condition]],Lookups!$H$17:$J$24,3,FALSE),0)</f>
        <v>22342</v>
      </c>
      <c r="BL1059" s="6">
        <f>Grandview_Inventory[[#This Row],[Eff_Age]]*Lookups!$B$14</f>
        <v>-4304.9987999999994</v>
      </c>
      <c r="BM1059" s="6">
        <f>Grandview_Inventory[[#This Row],[living_area]]*Lookups!$B$15</f>
        <v>91512.711351000005</v>
      </c>
      <c r="BN1059" s="6">
        <f>Grandview_Inventory[[#This Row],[Fin BSMT]]*Lookups!$B$16</f>
        <v>0</v>
      </c>
      <c r="BO1059" s="6">
        <f>(Grandview_Inventory[[#This Row],[att_gar]]+Grandview_Inventory[[#This Row],[bltin_gar]])*Lookups!$B$17</f>
        <v>38508.992279999999</v>
      </c>
      <c r="BP1059" s="6">
        <f>Grandview_Inventory[[#This Row],[Plumbing Fixtures]]*Lookups!$B$18</f>
        <v>18093.976200000001</v>
      </c>
      <c r="BQ1059" s="6">
        <f>Grandview_Inventory[[#This Row],[detatched_value]]*Lookups!$B$19</f>
        <v>0</v>
      </c>
      <c r="BR1059" s="6">
        <f>SUM(Grandview_Inventory[[#This Row],[Intercept]:[det_value]])*Grandview_Inventory[[#This Row],[res_pct]]</f>
        <v>342754.631031</v>
      </c>
      <c r="BS1059" s="6">
        <f>Grandview_Inventory[[#This Row],[land_value]]</f>
        <v>49167.631333630678</v>
      </c>
      <c r="BT1059" s="4">
        <f>_xlfn.IFNA(VLOOKUP(Grandview_Inventory[[#This Row],[quality]],Lookups!$A$26:$C$33,3,FALSE),1)</f>
        <v>0.94960540378902636</v>
      </c>
      <c r="BU1059" s="4">
        <f>_xlfn.IFNA(VLOOKUP(Grandview_Inventory[[#This Row],[condition]],Lookups!$A$37:$C$44,3,FALSE),1)</f>
        <v>0.97383723671140243</v>
      </c>
      <c r="BV1059" s="4">
        <f>IF(Grandview_Inventory[[#This Row],[bldg_style]]="",1,_xlfn.IFNA(VLOOKUP(Grandview_Inventory[[#This Row],[decade]],Lookups!$F$29:$H$43,3,FALSE),1))</f>
        <v>0.96737494181490646</v>
      </c>
      <c r="BW1059" s="4">
        <f>_xlfn.IFNA(VLOOKUP(Grandview_Inventory[[#This Row],[living_area_range]],Lookups!$F$47:$H$56,3,FALSE),1)</f>
        <v>0.96135087979789358</v>
      </c>
      <c r="BX1059" s="4">
        <f>AVERAGE(Grandview_Inventory[[#This Row],[qual_adj]:[size_adj]])</f>
        <v>0.96304211552830721</v>
      </c>
      <c r="BY1059" s="6">
        <f>IF(Grandview_Inventory[[#This Row],[pre_res]]&lt;0,0,Grandview_Inventory[[#This Row],[pre_res]]*Grandview_Inventory[[#This Row],[overall_adj]])</f>
        <v>330087.14497521863</v>
      </c>
      <c r="BZ1059" s="6">
        <f>(Grandview_Inventory[[#This Row],[sum_land]]-IF(Grandview_Inventory[[#This Row],[no_utilities]]=1,12000,0))/IF(Grandview_Inventory[[#This Row],[unbuildable]]=1,2,1)</f>
        <v>49167.631333630678</v>
      </c>
      <c r="CA105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59">
        <f>ROUND(Grandview_Inventory[[#This Row],[det_value]]*Lookups!$M$28,-2)</f>
        <v>0</v>
      </c>
      <c r="CC1059">
        <f>IF(ROUND(Grandview_Inventory[[#This Row],[adj_res]]*Lookups!$M$28,-2)&lt;Grandview_Inventory[[#This Row],[min_res]],Grandview_Inventory[[#This Row],[min_res]],ROUND(Grandview_Inventory[[#This Row],[adj_res]]*Lookups!$M$28,-2))</f>
        <v>313600</v>
      </c>
      <c r="CD1059">
        <f>Grandview_Inventory[[#This Row],[final_det]]+Grandview_Inventory[[#This Row],[final_res]]</f>
        <v>313600</v>
      </c>
      <c r="CE1059">
        <f>Grandview_Inventory[[#This Row],[final_land]]+Grandview_Inventory[[#This Row],[final_imp]]+Grandview_Inventory[[#This Row],[crop_value]]</f>
        <v>360300</v>
      </c>
      <c r="CG1059" t="str">
        <f t="shared" si="16"/>
        <v>update valuation set market_land =46700, market_bldg=313600, market_total =360300, market_mdno =401, market_date ='9/10/2023' where link_id = (select link_id from parcel where parcel_year = '2024' and parcel_id = '23092242441');</v>
      </c>
    </row>
    <row r="1060" spans="1:85" x14ac:dyDescent="0.25">
      <c r="A1060">
        <v>23092242442</v>
      </c>
      <c r="B1060">
        <v>0.2</v>
      </c>
      <c r="C1060">
        <v>8645</v>
      </c>
      <c r="D1060" t="s">
        <v>129</v>
      </c>
      <c r="E1060" t="s">
        <v>53</v>
      </c>
      <c r="F1060" t="s">
        <v>53</v>
      </c>
      <c r="G1060">
        <v>4</v>
      </c>
      <c r="H1060" t="s">
        <v>54</v>
      </c>
      <c r="I1060">
        <v>249300</v>
      </c>
      <c r="J1060">
        <v>43500</v>
      </c>
      <c r="K1060">
        <v>0.2</v>
      </c>
      <c r="L106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60">
        <v>0</v>
      </c>
      <c r="N1060">
        <v>0</v>
      </c>
      <c r="O1060">
        <v>0</v>
      </c>
      <c r="P1060">
        <v>13398.7528</v>
      </c>
      <c r="Q1060">
        <v>63903</v>
      </c>
      <c r="R1060">
        <f>(Grandview_Inventory[[#This Row],[ln_acres]]*Grandview_Inventory[[#This Row],[coeff]])+Grandview_Inventory[[#This Row],[const]]</f>
        <v>42338.539264347448</v>
      </c>
      <c r="S1060" t="s">
        <v>61</v>
      </c>
      <c r="T1060">
        <v>1</v>
      </c>
      <c r="U1060" t="s">
        <v>64</v>
      </c>
      <c r="V1060" t="s">
        <v>66</v>
      </c>
      <c r="W1060">
        <v>0</v>
      </c>
      <c r="X1060">
        <v>0</v>
      </c>
      <c r="Y1060">
        <v>18</v>
      </c>
      <c r="Z1060">
        <v>18</v>
      </c>
      <c r="AA1060">
        <v>20</v>
      </c>
      <c r="AB1060">
        <v>2000</v>
      </c>
      <c r="AC1060">
        <v>1649</v>
      </c>
      <c r="AD1060">
        <v>1649</v>
      </c>
      <c r="AE1060">
        <v>0</v>
      </c>
      <c r="AF1060">
        <v>0</v>
      </c>
      <c r="AG1060">
        <v>0</v>
      </c>
      <c r="AH1060">
        <v>0</v>
      </c>
      <c r="AI1060">
        <v>480</v>
      </c>
      <c r="AJ1060">
        <v>0</v>
      </c>
      <c r="AK1060">
        <v>0</v>
      </c>
      <c r="AL1060">
        <v>0</v>
      </c>
      <c r="AM1060">
        <v>96</v>
      </c>
      <c r="AN1060">
        <v>27</v>
      </c>
      <c r="AO1060">
        <v>96</v>
      </c>
      <c r="AP1060">
        <v>9</v>
      </c>
      <c r="AQ1060">
        <v>0</v>
      </c>
      <c r="AR1060">
        <v>0</v>
      </c>
      <c r="AS1060" t="s">
        <v>58</v>
      </c>
      <c r="AT1060">
        <v>1</v>
      </c>
      <c r="AU1060" t="s">
        <v>59</v>
      </c>
      <c r="AV1060" t="s">
        <v>64</v>
      </c>
      <c r="AW1060">
        <v>1</v>
      </c>
      <c r="AX1060">
        <v>3</v>
      </c>
      <c r="AY1060">
        <v>0</v>
      </c>
      <c r="AZ1060">
        <v>0</v>
      </c>
      <c r="BA1060">
        <v>100</v>
      </c>
      <c r="BB1060">
        <v>100</v>
      </c>
      <c r="BC1060">
        <v>100</v>
      </c>
      <c r="BD1060">
        <v>100</v>
      </c>
      <c r="BE1060">
        <v>1</v>
      </c>
      <c r="BF1060">
        <v>15000</v>
      </c>
      <c r="BG1060">
        <v>1000</v>
      </c>
      <c r="BH1060" s="6">
        <f>Grandview_Inventory[[#This Row],[land_extract]]*Lookups!$B$3</f>
        <v>49167.631333630678</v>
      </c>
      <c r="BI1060" s="6">
        <f>IF(Grandview_Inventory[[#This Row],[bldg_style]]="",0,Lookups!$B$2)</f>
        <v>155833.95000000001</v>
      </c>
      <c r="BJ1060" s="6">
        <f>_xlfn.IFNA(VLOOKUP(Grandview_Inventory[[#This Row],[quality]],Lookups!$H$2:$J$14,3,FALSE),0)</f>
        <v>20768</v>
      </c>
      <c r="BK1060" s="6">
        <f>_xlfn.IFNA(VLOOKUP(Grandview_Inventory[[#This Row],[condition]],Lookups!$H$17:$J$24,3,FALSE),0)</f>
        <v>25818</v>
      </c>
      <c r="BL1060" s="6">
        <f>Grandview_Inventory[[#This Row],[Eff_Age]]*Lookups!$B$14</f>
        <v>-4304.9987999999994</v>
      </c>
      <c r="BM1060" s="6">
        <f>Grandview_Inventory[[#This Row],[living_area]]*Lookups!$B$15</f>
        <v>102866.026597</v>
      </c>
      <c r="BN1060" s="6">
        <f>Grandview_Inventory[[#This Row],[Fin BSMT]]*Lookups!$B$16</f>
        <v>0</v>
      </c>
      <c r="BO1060" s="6">
        <f>(Grandview_Inventory[[#This Row],[att_gar]]+Grandview_Inventory[[#This Row],[bltin_gar]])*Lookups!$B$17</f>
        <v>42009.809760000004</v>
      </c>
      <c r="BP1060" s="6">
        <f>Grandview_Inventory[[#This Row],[Plumbing Fixtures]]*Lookups!$B$18</f>
        <v>18093.976200000001</v>
      </c>
      <c r="BQ1060" s="6">
        <f>Grandview_Inventory[[#This Row],[detatched_value]]*Lookups!$B$19</f>
        <v>0</v>
      </c>
      <c r="BR1060" s="6">
        <f>SUM(Grandview_Inventory[[#This Row],[Intercept]:[det_value]])*Grandview_Inventory[[#This Row],[res_pct]]</f>
        <v>361084.76375700004</v>
      </c>
      <c r="BS1060" s="6">
        <f>Grandview_Inventory[[#This Row],[land_value]]</f>
        <v>49167.631333630678</v>
      </c>
      <c r="BT1060" s="4">
        <f>_xlfn.IFNA(VLOOKUP(Grandview_Inventory[[#This Row],[quality]],Lookups!$A$26:$C$33,3,FALSE),1)</f>
        <v>0.94960540378902636</v>
      </c>
      <c r="BU1060" s="4">
        <f>_xlfn.IFNA(VLOOKUP(Grandview_Inventory[[#This Row],[condition]],Lookups!$A$37:$C$44,3,FALSE),1)</f>
        <v>0.96661476234146892</v>
      </c>
      <c r="BV1060" s="4">
        <f>IF(Grandview_Inventory[[#This Row],[bldg_style]]="",1,_xlfn.IFNA(VLOOKUP(Grandview_Inventory[[#This Row],[decade]],Lookups!$F$29:$H$43,3,FALSE),1))</f>
        <v>0.96737494181490646</v>
      </c>
      <c r="BW1060" s="4">
        <f>_xlfn.IFNA(VLOOKUP(Grandview_Inventory[[#This Row],[living_area_range]],Lookups!$F$47:$H$56,3,FALSE),1)</f>
        <v>0.96120133463014379</v>
      </c>
      <c r="BX1060" s="4">
        <f>AVERAGE(Grandview_Inventory[[#This Row],[qual_adj]:[size_adj]])</f>
        <v>0.96119911064388641</v>
      </c>
      <c r="BY1060" s="6">
        <f>IF(Grandview_Inventory[[#This Row],[pre_res]]&lt;0,0,Grandview_Inventory[[#This Row],[pre_res]]*Grandview_Inventory[[#This Row],[overall_adj]])</f>
        <v>347074.35379028629</v>
      </c>
      <c r="BZ1060" s="6">
        <f>(Grandview_Inventory[[#This Row],[sum_land]]-IF(Grandview_Inventory[[#This Row],[no_utilities]]=1,12000,0))/IF(Grandview_Inventory[[#This Row],[unbuildable]]=1,2,1)</f>
        <v>49167.631333630678</v>
      </c>
      <c r="CA106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60">
        <f>ROUND(Grandview_Inventory[[#This Row],[det_value]]*Lookups!$M$28,-2)</f>
        <v>0</v>
      </c>
      <c r="CC1060">
        <f>IF(ROUND(Grandview_Inventory[[#This Row],[adj_res]]*Lookups!$M$28,-2)&lt;Grandview_Inventory[[#This Row],[min_res]],Grandview_Inventory[[#This Row],[min_res]],ROUND(Grandview_Inventory[[#This Row],[adj_res]]*Lookups!$M$28,-2))</f>
        <v>329700</v>
      </c>
      <c r="CD1060">
        <f>Grandview_Inventory[[#This Row],[final_det]]+Grandview_Inventory[[#This Row],[final_res]]</f>
        <v>329700</v>
      </c>
      <c r="CE1060">
        <f>Grandview_Inventory[[#This Row],[final_land]]+Grandview_Inventory[[#This Row],[final_imp]]+Grandview_Inventory[[#This Row],[crop_value]]</f>
        <v>376400</v>
      </c>
      <c r="CG1060" t="str">
        <f t="shared" si="16"/>
        <v>update valuation set market_land =46700, market_bldg=329700, market_total =376400, market_mdno =401, market_date ='9/10/2023' where link_id = (select link_id from parcel where parcel_year = '2024' and parcel_id = '23092242442');</v>
      </c>
    </row>
    <row r="1061" spans="1:85" x14ac:dyDescent="0.25">
      <c r="A1061">
        <v>23092242443</v>
      </c>
      <c r="B1061">
        <v>0.2</v>
      </c>
      <c r="C1061">
        <v>8645</v>
      </c>
      <c r="D1061" t="s">
        <v>129</v>
      </c>
      <c r="E1061" t="s">
        <v>53</v>
      </c>
      <c r="F1061" t="s">
        <v>53</v>
      </c>
      <c r="G1061">
        <v>4</v>
      </c>
      <c r="H1061" t="s">
        <v>54</v>
      </c>
      <c r="I1061">
        <v>250500</v>
      </c>
      <c r="J1061">
        <v>43500</v>
      </c>
      <c r="K1061">
        <v>0.2</v>
      </c>
      <c r="L106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61">
        <v>0</v>
      </c>
      <c r="N1061">
        <v>0</v>
      </c>
      <c r="O1061">
        <v>0</v>
      </c>
      <c r="P1061">
        <v>13398.7528</v>
      </c>
      <c r="Q1061">
        <v>63903</v>
      </c>
      <c r="R1061">
        <f>(Grandview_Inventory[[#This Row],[ln_acres]]*Grandview_Inventory[[#This Row],[coeff]])+Grandview_Inventory[[#This Row],[const]]</f>
        <v>42338.539264347448</v>
      </c>
      <c r="S1061" t="s">
        <v>61</v>
      </c>
      <c r="T1061">
        <v>1</v>
      </c>
      <c r="U1061" t="s">
        <v>64</v>
      </c>
      <c r="V1061" t="s">
        <v>67</v>
      </c>
      <c r="W1061">
        <v>0</v>
      </c>
      <c r="X1061">
        <v>0</v>
      </c>
      <c r="Y1061">
        <v>18</v>
      </c>
      <c r="Z1061">
        <v>18</v>
      </c>
      <c r="AA1061">
        <v>20</v>
      </c>
      <c r="AB1061">
        <v>2000</v>
      </c>
      <c r="AC1061">
        <v>1578</v>
      </c>
      <c r="AD1061">
        <v>1578</v>
      </c>
      <c r="AE1061">
        <v>0</v>
      </c>
      <c r="AF1061">
        <v>0</v>
      </c>
      <c r="AG1061">
        <v>0</v>
      </c>
      <c r="AH1061">
        <v>0</v>
      </c>
      <c r="AI1061">
        <v>548</v>
      </c>
      <c r="AJ1061">
        <v>0</v>
      </c>
      <c r="AK1061">
        <v>0</v>
      </c>
      <c r="AL1061">
        <v>0</v>
      </c>
      <c r="AM1061">
        <v>247</v>
      </c>
      <c r="AN1061">
        <v>36</v>
      </c>
      <c r="AO1061">
        <v>145</v>
      </c>
      <c r="AP1061">
        <v>10</v>
      </c>
      <c r="AQ1061">
        <v>0</v>
      </c>
      <c r="AR1061">
        <v>0</v>
      </c>
      <c r="AS1061" t="s">
        <v>58</v>
      </c>
      <c r="AT1061">
        <v>1</v>
      </c>
      <c r="AU1061" t="s">
        <v>59</v>
      </c>
      <c r="AV1061" t="s">
        <v>64</v>
      </c>
      <c r="AW1061">
        <v>1</v>
      </c>
      <c r="AX1061">
        <v>3</v>
      </c>
      <c r="AY1061">
        <v>0</v>
      </c>
      <c r="AZ1061">
        <v>0</v>
      </c>
      <c r="BA1061">
        <v>100</v>
      </c>
      <c r="BB1061">
        <v>100</v>
      </c>
      <c r="BC1061">
        <v>100</v>
      </c>
      <c r="BD1061">
        <v>100</v>
      </c>
      <c r="BE1061">
        <v>1</v>
      </c>
      <c r="BF1061">
        <v>15000</v>
      </c>
      <c r="BG1061">
        <v>1000</v>
      </c>
      <c r="BH1061" s="6">
        <f>Grandview_Inventory[[#This Row],[land_extract]]*Lookups!$B$3</f>
        <v>49167.631333630678</v>
      </c>
      <c r="BI1061" s="6">
        <f>IF(Grandview_Inventory[[#This Row],[bldg_style]]="",0,Lookups!$B$2)</f>
        <v>155833.95000000001</v>
      </c>
      <c r="BJ1061" s="6">
        <f>_xlfn.IFNA(VLOOKUP(Grandview_Inventory[[#This Row],[quality]],Lookups!$H$2:$J$14,3,FALSE),0)</f>
        <v>20768</v>
      </c>
      <c r="BK1061" s="6">
        <f>_xlfn.IFNA(VLOOKUP(Grandview_Inventory[[#This Row],[condition]],Lookups!$H$17:$J$24,3,FALSE),0)</f>
        <v>22342</v>
      </c>
      <c r="BL1061" s="6">
        <f>Grandview_Inventory[[#This Row],[Eff_Age]]*Lookups!$B$14</f>
        <v>-4304.9987999999994</v>
      </c>
      <c r="BM1061" s="6">
        <f>Grandview_Inventory[[#This Row],[living_area]]*Lookups!$B$15</f>
        <v>98436.986034000001</v>
      </c>
      <c r="BN1061" s="6">
        <f>Grandview_Inventory[[#This Row],[Fin BSMT]]*Lookups!$B$16</f>
        <v>0</v>
      </c>
      <c r="BO1061" s="6">
        <f>(Grandview_Inventory[[#This Row],[att_gar]]+Grandview_Inventory[[#This Row],[bltin_gar]])*Lookups!$B$17</f>
        <v>47961.199476000002</v>
      </c>
      <c r="BP1061" s="6">
        <f>Grandview_Inventory[[#This Row],[Plumbing Fixtures]]*Lookups!$B$18</f>
        <v>20104.418000000001</v>
      </c>
      <c r="BQ1061" s="6">
        <f>Grandview_Inventory[[#This Row],[detatched_value]]*Lookups!$B$19</f>
        <v>0</v>
      </c>
      <c r="BR1061" s="6">
        <f>SUM(Grandview_Inventory[[#This Row],[Intercept]:[det_value]])*Grandview_Inventory[[#This Row],[res_pct]]</f>
        <v>361141.55471</v>
      </c>
      <c r="BS1061" s="6">
        <f>Grandview_Inventory[[#This Row],[land_value]]</f>
        <v>49167.631333630678</v>
      </c>
      <c r="BT1061" s="4">
        <f>_xlfn.IFNA(VLOOKUP(Grandview_Inventory[[#This Row],[quality]],Lookups!$A$26:$C$33,3,FALSE),1)</f>
        <v>0.94960540378902636</v>
      </c>
      <c r="BU1061" s="4">
        <f>_xlfn.IFNA(VLOOKUP(Grandview_Inventory[[#This Row],[condition]],Lookups!$A$37:$C$44,3,FALSE),1)</f>
        <v>0.97383723671140243</v>
      </c>
      <c r="BV1061" s="4">
        <f>IF(Grandview_Inventory[[#This Row],[bldg_style]]="",1,_xlfn.IFNA(VLOOKUP(Grandview_Inventory[[#This Row],[decade]],Lookups!$F$29:$H$43,3,FALSE),1))</f>
        <v>0.96737494181490646</v>
      </c>
      <c r="BW1061" s="4">
        <f>_xlfn.IFNA(VLOOKUP(Grandview_Inventory[[#This Row],[living_area_range]],Lookups!$F$47:$H$56,3,FALSE),1)</f>
        <v>0.96120133463014379</v>
      </c>
      <c r="BX1061" s="4">
        <f>AVERAGE(Grandview_Inventory[[#This Row],[qual_adj]:[size_adj]])</f>
        <v>0.96300472923636971</v>
      </c>
      <c r="BY1061" s="6">
        <f>IF(Grandview_Inventory[[#This Row],[pre_res]]&lt;0,0,Grandview_Inventory[[#This Row],[pre_res]]*Grandview_Inventory[[#This Row],[overall_adj]])</f>
        <v>347781.02510950516</v>
      </c>
      <c r="BZ1061" s="6">
        <f>(Grandview_Inventory[[#This Row],[sum_land]]-IF(Grandview_Inventory[[#This Row],[no_utilities]]=1,12000,0))/IF(Grandview_Inventory[[#This Row],[unbuildable]]=1,2,1)</f>
        <v>49167.631333630678</v>
      </c>
      <c r="CA106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61">
        <f>ROUND(Grandview_Inventory[[#This Row],[det_value]]*Lookups!$M$28,-2)</f>
        <v>0</v>
      </c>
      <c r="CC1061">
        <f>IF(ROUND(Grandview_Inventory[[#This Row],[adj_res]]*Lookups!$M$28,-2)&lt;Grandview_Inventory[[#This Row],[min_res]],Grandview_Inventory[[#This Row],[min_res]],ROUND(Grandview_Inventory[[#This Row],[adj_res]]*Lookups!$M$28,-2))</f>
        <v>330400</v>
      </c>
      <c r="CD1061">
        <f>Grandview_Inventory[[#This Row],[final_det]]+Grandview_Inventory[[#This Row],[final_res]]</f>
        <v>330400</v>
      </c>
      <c r="CE1061">
        <f>Grandview_Inventory[[#This Row],[final_land]]+Grandview_Inventory[[#This Row],[final_imp]]+Grandview_Inventory[[#This Row],[crop_value]]</f>
        <v>377100</v>
      </c>
      <c r="CG1061" t="str">
        <f t="shared" si="16"/>
        <v>update valuation set market_land =46700, market_bldg=330400, market_total =377100, market_mdno =401, market_date ='9/10/2023' where link_id = (select link_id from parcel where parcel_year = '2024' and parcel_id = '23092242443');</v>
      </c>
    </row>
    <row r="1062" spans="1:85" x14ac:dyDescent="0.25">
      <c r="A1062">
        <v>23092242444</v>
      </c>
      <c r="B1062">
        <v>0.2</v>
      </c>
      <c r="C1062">
        <v>8645</v>
      </c>
      <c r="D1062" t="s">
        <v>129</v>
      </c>
      <c r="E1062" t="s">
        <v>53</v>
      </c>
      <c r="F1062" t="s">
        <v>53</v>
      </c>
      <c r="G1062">
        <v>4</v>
      </c>
      <c r="H1062" t="s">
        <v>54</v>
      </c>
      <c r="I1062">
        <v>231900</v>
      </c>
      <c r="J1062">
        <v>43500</v>
      </c>
      <c r="K1062">
        <v>0.2</v>
      </c>
      <c r="L106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62">
        <v>0</v>
      </c>
      <c r="N1062">
        <v>0</v>
      </c>
      <c r="O1062">
        <v>0</v>
      </c>
      <c r="P1062">
        <v>13398.7528</v>
      </c>
      <c r="Q1062">
        <v>63903</v>
      </c>
      <c r="R1062">
        <f>(Grandview_Inventory[[#This Row],[ln_acres]]*Grandview_Inventory[[#This Row],[coeff]])+Grandview_Inventory[[#This Row],[const]]</f>
        <v>42338.539264347448</v>
      </c>
      <c r="S1062" t="s">
        <v>61</v>
      </c>
      <c r="T1062">
        <v>1</v>
      </c>
      <c r="U1062" t="s">
        <v>62</v>
      </c>
      <c r="V1062" t="s">
        <v>66</v>
      </c>
      <c r="W1062">
        <v>0</v>
      </c>
      <c r="X1062">
        <v>0</v>
      </c>
      <c r="Y1062">
        <v>18</v>
      </c>
      <c r="Z1062">
        <v>18</v>
      </c>
      <c r="AA1062">
        <v>20</v>
      </c>
      <c r="AB1062">
        <v>2000</v>
      </c>
      <c r="AC1062">
        <v>1548</v>
      </c>
      <c r="AD1062">
        <v>1548</v>
      </c>
      <c r="AE1062">
        <v>0</v>
      </c>
      <c r="AF1062">
        <v>0</v>
      </c>
      <c r="AG1062">
        <v>0</v>
      </c>
      <c r="AH1062">
        <v>0</v>
      </c>
      <c r="AI1062">
        <v>506</v>
      </c>
      <c r="AJ1062">
        <v>0</v>
      </c>
      <c r="AK1062">
        <v>0</v>
      </c>
      <c r="AL1062">
        <v>0</v>
      </c>
      <c r="AM1062">
        <v>144</v>
      </c>
      <c r="AN1062">
        <v>0</v>
      </c>
      <c r="AO1062">
        <v>0</v>
      </c>
      <c r="AP1062">
        <v>8</v>
      </c>
      <c r="AQ1062">
        <v>0</v>
      </c>
      <c r="AR1062">
        <v>0</v>
      </c>
      <c r="AS1062" t="s">
        <v>58</v>
      </c>
      <c r="AT1062">
        <v>1</v>
      </c>
      <c r="AU1062" t="s">
        <v>59</v>
      </c>
      <c r="AV1062" t="s">
        <v>64</v>
      </c>
      <c r="AW1062">
        <v>1</v>
      </c>
      <c r="AX1062">
        <v>3</v>
      </c>
      <c r="AY1062">
        <v>0</v>
      </c>
      <c r="AZ1062">
        <v>0</v>
      </c>
      <c r="BA1062">
        <v>100</v>
      </c>
      <c r="BB1062">
        <v>100</v>
      </c>
      <c r="BC1062">
        <v>100</v>
      </c>
      <c r="BD1062">
        <v>100</v>
      </c>
      <c r="BE1062">
        <v>1</v>
      </c>
      <c r="BF1062">
        <v>15000</v>
      </c>
      <c r="BG1062">
        <v>1000</v>
      </c>
      <c r="BH1062" s="6">
        <f>Grandview_Inventory[[#This Row],[land_extract]]*Lookups!$B$3</f>
        <v>49167.631333630678</v>
      </c>
      <c r="BI1062" s="6">
        <f>IF(Grandview_Inventory[[#This Row],[bldg_style]]="",0,Lookups!$B$2)</f>
        <v>155833.95000000001</v>
      </c>
      <c r="BJ1062" s="6">
        <f>_xlfn.IFNA(VLOOKUP(Grandview_Inventory[[#This Row],[quality]],Lookups!$H$2:$J$14,3,FALSE),0)</f>
        <v>9808</v>
      </c>
      <c r="BK1062" s="6">
        <f>_xlfn.IFNA(VLOOKUP(Grandview_Inventory[[#This Row],[condition]],Lookups!$H$17:$J$24,3,FALSE),0)</f>
        <v>25818</v>
      </c>
      <c r="BL1062" s="6">
        <f>Grandview_Inventory[[#This Row],[Eff_Age]]*Lookups!$B$14</f>
        <v>-4304.9987999999994</v>
      </c>
      <c r="BM1062" s="6">
        <f>Grandview_Inventory[[#This Row],[living_area]]*Lookups!$B$15</f>
        <v>96565.560444000002</v>
      </c>
      <c r="BN1062" s="6">
        <f>Grandview_Inventory[[#This Row],[Fin BSMT]]*Lookups!$B$16</f>
        <v>0</v>
      </c>
      <c r="BO1062" s="6">
        <f>(Grandview_Inventory[[#This Row],[att_gar]]+Grandview_Inventory[[#This Row],[bltin_gar]])*Lookups!$B$17</f>
        <v>44285.341121999998</v>
      </c>
      <c r="BP1062" s="6">
        <f>Grandview_Inventory[[#This Row],[Plumbing Fixtures]]*Lookups!$B$18</f>
        <v>16083.5344</v>
      </c>
      <c r="BQ1062" s="6">
        <f>Grandview_Inventory[[#This Row],[detatched_value]]*Lookups!$B$19</f>
        <v>0</v>
      </c>
      <c r="BR1062" s="6">
        <f>SUM(Grandview_Inventory[[#This Row],[Intercept]:[det_value]])*Grandview_Inventory[[#This Row],[res_pct]]</f>
        <v>344089.38716600003</v>
      </c>
      <c r="BS1062" s="6">
        <f>Grandview_Inventory[[#This Row],[land_value]]</f>
        <v>49167.631333630678</v>
      </c>
      <c r="BT1062" s="4">
        <f>_xlfn.IFNA(VLOOKUP(Grandview_Inventory[[#This Row],[quality]],Lookups!$A$26:$C$33,3,FALSE),1)</f>
        <v>0.94295468617355149</v>
      </c>
      <c r="BU1062" s="4">
        <f>_xlfn.IFNA(VLOOKUP(Grandview_Inventory[[#This Row],[condition]],Lookups!$A$37:$C$44,3,FALSE),1)</f>
        <v>0.96661476234146892</v>
      </c>
      <c r="BV1062" s="4">
        <f>IF(Grandview_Inventory[[#This Row],[bldg_style]]="",1,_xlfn.IFNA(VLOOKUP(Grandview_Inventory[[#This Row],[decade]],Lookups!$F$29:$H$43,3,FALSE),1))</f>
        <v>0.96737494181490646</v>
      </c>
      <c r="BW1062" s="4">
        <f>_xlfn.IFNA(VLOOKUP(Grandview_Inventory[[#This Row],[living_area_range]],Lookups!$F$47:$H$56,3,FALSE),1)</f>
        <v>0.96120133463014379</v>
      </c>
      <c r="BX1062" s="4">
        <f>AVERAGE(Grandview_Inventory[[#This Row],[qual_adj]:[size_adj]])</f>
        <v>0.95953643124001764</v>
      </c>
      <c r="BY1062" s="6">
        <f>IF(Grandview_Inventory[[#This Row],[pre_res]]&lt;0,0,Grandview_Inventory[[#This Row],[pre_res]]*Grandview_Inventory[[#This Row],[overall_adj]])</f>
        <v>330166.30258882837</v>
      </c>
      <c r="BZ1062" s="6">
        <f>(Grandview_Inventory[[#This Row],[sum_land]]-IF(Grandview_Inventory[[#This Row],[no_utilities]]=1,12000,0))/IF(Grandview_Inventory[[#This Row],[unbuildable]]=1,2,1)</f>
        <v>49167.631333630678</v>
      </c>
      <c r="CA106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62">
        <f>ROUND(Grandview_Inventory[[#This Row],[det_value]]*Lookups!$M$28,-2)</f>
        <v>0</v>
      </c>
      <c r="CC1062">
        <f>IF(ROUND(Grandview_Inventory[[#This Row],[adj_res]]*Lookups!$M$28,-2)&lt;Grandview_Inventory[[#This Row],[min_res]],Grandview_Inventory[[#This Row],[min_res]],ROUND(Grandview_Inventory[[#This Row],[adj_res]]*Lookups!$M$28,-2))</f>
        <v>313700</v>
      </c>
      <c r="CD1062">
        <f>Grandview_Inventory[[#This Row],[final_det]]+Grandview_Inventory[[#This Row],[final_res]]</f>
        <v>313700</v>
      </c>
      <c r="CE1062">
        <f>Grandview_Inventory[[#This Row],[final_land]]+Grandview_Inventory[[#This Row],[final_imp]]+Grandview_Inventory[[#This Row],[crop_value]]</f>
        <v>360400</v>
      </c>
      <c r="CG1062" t="str">
        <f t="shared" si="16"/>
        <v>update valuation set market_land =46700, market_bldg=313700, market_total =360400, market_mdno =401, market_date ='9/10/2023' where link_id = (select link_id from parcel where parcel_year = '2024' and parcel_id = '23092242444');</v>
      </c>
    </row>
    <row r="1063" spans="1:85" x14ac:dyDescent="0.25">
      <c r="A1063">
        <v>23092242445</v>
      </c>
      <c r="B1063">
        <v>0.2</v>
      </c>
      <c r="C1063">
        <v>8618</v>
      </c>
      <c r="D1063" t="s">
        <v>129</v>
      </c>
      <c r="E1063" t="s">
        <v>53</v>
      </c>
      <c r="F1063" t="s">
        <v>53</v>
      </c>
      <c r="G1063">
        <v>4</v>
      </c>
      <c r="H1063" t="s">
        <v>54</v>
      </c>
      <c r="I1063">
        <v>241600</v>
      </c>
      <c r="J1063">
        <v>43700</v>
      </c>
      <c r="K1063">
        <v>0.2</v>
      </c>
      <c r="L106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63">
        <v>0</v>
      </c>
      <c r="N1063">
        <v>0</v>
      </c>
      <c r="O1063">
        <v>0</v>
      </c>
      <c r="P1063">
        <v>13398.7528</v>
      </c>
      <c r="Q1063">
        <v>63903</v>
      </c>
      <c r="R1063">
        <f>(Grandview_Inventory[[#This Row],[ln_acres]]*Grandview_Inventory[[#This Row],[coeff]])+Grandview_Inventory[[#This Row],[const]]</f>
        <v>42338.539264347448</v>
      </c>
      <c r="S1063" t="s">
        <v>61</v>
      </c>
      <c r="T1063">
        <v>1</v>
      </c>
      <c r="U1063" t="s">
        <v>62</v>
      </c>
      <c r="V1063" t="s">
        <v>66</v>
      </c>
      <c r="W1063">
        <v>0</v>
      </c>
      <c r="X1063">
        <v>0</v>
      </c>
      <c r="Y1063">
        <v>18</v>
      </c>
      <c r="Z1063">
        <v>18</v>
      </c>
      <c r="AA1063">
        <v>20</v>
      </c>
      <c r="AB1063">
        <v>2000</v>
      </c>
      <c r="AC1063">
        <v>1644</v>
      </c>
      <c r="AD1063">
        <v>1644</v>
      </c>
      <c r="AE1063">
        <v>0</v>
      </c>
      <c r="AF1063">
        <v>0</v>
      </c>
      <c r="AG1063">
        <v>0</v>
      </c>
      <c r="AH1063">
        <v>0</v>
      </c>
      <c r="AI1063">
        <v>483</v>
      </c>
      <c r="AJ1063">
        <v>0</v>
      </c>
      <c r="AK1063">
        <v>0</v>
      </c>
      <c r="AL1063">
        <v>0</v>
      </c>
      <c r="AM1063">
        <v>201</v>
      </c>
      <c r="AN1063">
        <v>0</v>
      </c>
      <c r="AO1063">
        <v>96</v>
      </c>
      <c r="AP1063">
        <v>9</v>
      </c>
      <c r="AQ1063">
        <v>0</v>
      </c>
      <c r="AR1063">
        <v>0</v>
      </c>
      <c r="AS1063" t="s">
        <v>58</v>
      </c>
      <c r="AT1063">
        <v>1</v>
      </c>
      <c r="AU1063" t="s">
        <v>63</v>
      </c>
      <c r="AV1063" t="s">
        <v>64</v>
      </c>
      <c r="AW1063">
        <v>1</v>
      </c>
      <c r="AX1063">
        <v>3</v>
      </c>
      <c r="AY1063">
        <v>0</v>
      </c>
      <c r="AZ1063">
        <v>0</v>
      </c>
      <c r="BA1063">
        <v>100</v>
      </c>
      <c r="BB1063">
        <v>100</v>
      </c>
      <c r="BC1063">
        <v>100</v>
      </c>
      <c r="BD1063">
        <v>100</v>
      </c>
      <c r="BE1063">
        <v>1</v>
      </c>
      <c r="BF1063">
        <v>15000</v>
      </c>
      <c r="BG1063">
        <v>1000</v>
      </c>
      <c r="BH1063" s="6">
        <f>Grandview_Inventory[[#This Row],[land_extract]]*Lookups!$B$3</f>
        <v>49167.631333630678</v>
      </c>
      <c r="BI1063" s="6">
        <f>IF(Grandview_Inventory[[#This Row],[bldg_style]]="",0,Lookups!$B$2)</f>
        <v>155833.95000000001</v>
      </c>
      <c r="BJ1063" s="6">
        <f>_xlfn.IFNA(VLOOKUP(Grandview_Inventory[[#This Row],[quality]],Lookups!$H$2:$J$14,3,FALSE),0)</f>
        <v>9808</v>
      </c>
      <c r="BK1063" s="6">
        <f>_xlfn.IFNA(VLOOKUP(Grandview_Inventory[[#This Row],[condition]],Lookups!$H$17:$J$24,3,FALSE),0)</f>
        <v>25818</v>
      </c>
      <c r="BL1063" s="6">
        <f>Grandview_Inventory[[#This Row],[Eff_Age]]*Lookups!$B$14</f>
        <v>-4304.9987999999994</v>
      </c>
      <c r="BM1063" s="6">
        <f>Grandview_Inventory[[#This Row],[living_area]]*Lookups!$B$15</f>
        <v>102554.122332</v>
      </c>
      <c r="BN1063" s="6">
        <f>Grandview_Inventory[[#This Row],[Fin BSMT]]*Lookups!$B$16</f>
        <v>0</v>
      </c>
      <c r="BO1063" s="6">
        <f>(Grandview_Inventory[[#This Row],[att_gar]]+Grandview_Inventory[[#This Row],[bltin_gar]])*Lookups!$B$17</f>
        <v>42272.371071000001</v>
      </c>
      <c r="BP1063" s="6">
        <f>Grandview_Inventory[[#This Row],[Plumbing Fixtures]]*Lookups!$B$18</f>
        <v>18093.976200000001</v>
      </c>
      <c r="BQ1063" s="6">
        <f>Grandview_Inventory[[#This Row],[detatched_value]]*Lookups!$B$19</f>
        <v>0</v>
      </c>
      <c r="BR1063" s="6">
        <f>SUM(Grandview_Inventory[[#This Row],[Intercept]:[det_value]])*Grandview_Inventory[[#This Row],[res_pct]]</f>
        <v>350075.42080299999</v>
      </c>
      <c r="BS1063" s="6">
        <f>Grandview_Inventory[[#This Row],[land_value]]</f>
        <v>49167.631333630678</v>
      </c>
      <c r="BT1063" s="4">
        <f>_xlfn.IFNA(VLOOKUP(Grandview_Inventory[[#This Row],[quality]],Lookups!$A$26:$C$33,3,FALSE),1)</f>
        <v>0.94295468617355149</v>
      </c>
      <c r="BU1063" s="4">
        <f>_xlfn.IFNA(VLOOKUP(Grandview_Inventory[[#This Row],[condition]],Lookups!$A$37:$C$44,3,FALSE),1)</f>
        <v>0.96661476234146892</v>
      </c>
      <c r="BV1063" s="4">
        <f>IF(Grandview_Inventory[[#This Row],[bldg_style]]="",1,_xlfn.IFNA(VLOOKUP(Grandview_Inventory[[#This Row],[decade]],Lookups!$F$29:$H$43,3,FALSE),1))</f>
        <v>0.96737494181490646</v>
      </c>
      <c r="BW1063" s="4">
        <f>_xlfn.IFNA(VLOOKUP(Grandview_Inventory[[#This Row],[living_area_range]],Lookups!$F$47:$H$56,3,FALSE),1)</f>
        <v>0.96120133463014379</v>
      </c>
      <c r="BX1063" s="4">
        <f>AVERAGE(Grandview_Inventory[[#This Row],[qual_adj]:[size_adj]])</f>
        <v>0.95953643124001764</v>
      </c>
      <c r="BY1063" s="6">
        <f>IF(Grandview_Inventory[[#This Row],[pre_res]]&lt;0,0,Grandview_Inventory[[#This Row],[pre_res]]*Grandview_Inventory[[#This Row],[overall_adj]])</f>
        <v>335910.11994215805</v>
      </c>
      <c r="BZ1063" s="6">
        <f>(Grandview_Inventory[[#This Row],[sum_land]]-IF(Grandview_Inventory[[#This Row],[no_utilities]]=1,12000,0))/IF(Grandview_Inventory[[#This Row],[unbuildable]]=1,2,1)</f>
        <v>49167.631333630678</v>
      </c>
      <c r="CA106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63">
        <f>ROUND(Grandview_Inventory[[#This Row],[det_value]]*Lookups!$M$28,-2)</f>
        <v>0</v>
      </c>
      <c r="CC1063">
        <f>IF(ROUND(Grandview_Inventory[[#This Row],[adj_res]]*Lookups!$M$28,-2)&lt;Grandview_Inventory[[#This Row],[min_res]],Grandview_Inventory[[#This Row],[min_res]],ROUND(Grandview_Inventory[[#This Row],[adj_res]]*Lookups!$M$28,-2))</f>
        <v>319100</v>
      </c>
      <c r="CD1063">
        <f>Grandview_Inventory[[#This Row],[final_det]]+Grandview_Inventory[[#This Row],[final_res]]</f>
        <v>319100</v>
      </c>
      <c r="CE1063">
        <f>Grandview_Inventory[[#This Row],[final_land]]+Grandview_Inventory[[#This Row],[final_imp]]+Grandview_Inventory[[#This Row],[crop_value]]</f>
        <v>365800</v>
      </c>
      <c r="CG1063" t="str">
        <f t="shared" si="16"/>
        <v>update valuation set market_land =46700, market_bldg=319100, market_total =365800, market_mdno =401, market_date ='9/10/2023' where link_id = (select link_id from parcel where parcel_year = '2024' and parcel_id = '23092242445');</v>
      </c>
    </row>
    <row r="1064" spans="1:85" x14ac:dyDescent="0.25">
      <c r="A1064">
        <v>23092242452</v>
      </c>
      <c r="B1064">
        <v>0.18</v>
      </c>
      <c r="C1064">
        <v>7783</v>
      </c>
      <c r="D1064" t="s">
        <v>129</v>
      </c>
      <c r="E1064" t="s">
        <v>53</v>
      </c>
      <c r="F1064" t="s">
        <v>53</v>
      </c>
      <c r="G1064">
        <v>4</v>
      </c>
      <c r="H1064" t="s">
        <v>54</v>
      </c>
      <c r="I1064">
        <v>234200</v>
      </c>
      <c r="J1064">
        <v>39000</v>
      </c>
      <c r="K1064">
        <v>0.18</v>
      </c>
      <c r="L106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64">
        <v>0</v>
      </c>
      <c r="N1064">
        <v>0</v>
      </c>
      <c r="O1064">
        <v>0</v>
      </c>
      <c r="P1064">
        <v>13398.7528</v>
      </c>
      <c r="Q1064">
        <v>63903</v>
      </c>
      <c r="R1064">
        <f>(Grandview_Inventory[[#This Row],[ln_acres]]*Grandview_Inventory[[#This Row],[coeff]])+Grandview_Inventory[[#This Row],[const]]</f>
        <v>40926.839760167699</v>
      </c>
      <c r="S1064" t="s">
        <v>61</v>
      </c>
      <c r="T1064">
        <v>1</v>
      </c>
      <c r="U1064" t="s">
        <v>62</v>
      </c>
      <c r="V1064" t="s">
        <v>66</v>
      </c>
      <c r="W1064">
        <v>0</v>
      </c>
      <c r="X1064">
        <v>0</v>
      </c>
      <c r="Y1064">
        <v>17</v>
      </c>
      <c r="Z1064">
        <v>17</v>
      </c>
      <c r="AA1064">
        <v>20</v>
      </c>
      <c r="AB1064">
        <v>1500</v>
      </c>
      <c r="AC1064">
        <v>1415</v>
      </c>
      <c r="AD1064">
        <v>1415</v>
      </c>
      <c r="AE1064">
        <v>0</v>
      </c>
      <c r="AF1064">
        <v>0</v>
      </c>
      <c r="AG1064">
        <v>0</v>
      </c>
      <c r="AH1064">
        <v>0</v>
      </c>
      <c r="AI1064">
        <v>520</v>
      </c>
      <c r="AJ1064">
        <v>0</v>
      </c>
      <c r="AK1064">
        <v>0</v>
      </c>
      <c r="AL1064">
        <v>0</v>
      </c>
      <c r="AM1064">
        <v>256</v>
      </c>
      <c r="AN1064">
        <v>56</v>
      </c>
      <c r="AO1064">
        <v>0</v>
      </c>
      <c r="AP1064">
        <v>9</v>
      </c>
      <c r="AQ1064">
        <v>0</v>
      </c>
      <c r="AR1064">
        <v>0</v>
      </c>
      <c r="AS1064" t="s">
        <v>58</v>
      </c>
      <c r="AT1064">
        <v>1</v>
      </c>
      <c r="AU1064" t="s">
        <v>63</v>
      </c>
      <c r="AV1064" t="s">
        <v>64</v>
      </c>
      <c r="AW1064">
        <v>1</v>
      </c>
      <c r="AX1064">
        <v>4</v>
      </c>
      <c r="AY1064">
        <v>0</v>
      </c>
      <c r="AZ1064">
        <v>0</v>
      </c>
      <c r="BA1064">
        <v>100</v>
      </c>
      <c r="BB1064">
        <v>100</v>
      </c>
      <c r="BC1064">
        <v>100</v>
      </c>
      <c r="BD1064">
        <v>100</v>
      </c>
      <c r="BE1064">
        <v>1</v>
      </c>
      <c r="BF1064">
        <v>15000</v>
      </c>
      <c r="BG1064">
        <v>1000</v>
      </c>
      <c r="BH1064" s="6">
        <f>Grandview_Inventory[[#This Row],[land_extract]]*Lookups!$B$3</f>
        <v>47528.228511015397</v>
      </c>
      <c r="BI1064" s="6">
        <f>IF(Grandview_Inventory[[#This Row],[bldg_style]]="",0,Lookups!$B$2)</f>
        <v>155833.95000000001</v>
      </c>
      <c r="BJ1064" s="6">
        <f>_xlfn.IFNA(VLOOKUP(Grandview_Inventory[[#This Row],[quality]],Lookups!$H$2:$J$14,3,FALSE),0)</f>
        <v>9808</v>
      </c>
      <c r="BK1064" s="6">
        <f>_xlfn.IFNA(VLOOKUP(Grandview_Inventory[[#This Row],[condition]],Lookups!$H$17:$J$24,3,FALSE),0)</f>
        <v>25818</v>
      </c>
      <c r="BL1064" s="6">
        <f>Grandview_Inventory[[#This Row],[Eff_Age]]*Lookups!$B$14</f>
        <v>-4065.8321999999998</v>
      </c>
      <c r="BM1064" s="6">
        <f>Grandview_Inventory[[#This Row],[living_area]]*Lookups!$B$15</f>
        <v>88268.906994999998</v>
      </c>
      <c r="BN1064" s="6">
        <f>Grandview_Inventory[[#This Row],[Fin BSMT]]*Lookups!$B$16</f>
        <v>0</v>
      </c>
      <c r="BO1064" s="6">
        <f>(Grandview_Inventory[[#This Row],[att_gar]]+Grandview_Inventory[[#This Row],[bltin_gar]])*Lookups!$B$17</f>
        <v>45510.627240000002</v>
      </c>
      <c r="BP1064" s="6">
        <f>Grandview_Inventory[[#This Row],[Plumbing Fixtures]]*Lookups!$B$18</f>
        <v>18093.976200000001</v>
      </c>
      <c r="BQ1064" s="6">
        <f>Grandview_Inventory[[#This Row],[detatched_value]]*Lookups!$B$19</f>
        <v>0</v>
      </c>
      <c r="BR1064" s="6">
        <f>SUM(Grandview_Inventory[[#This Row],[Intercept]:[det_value]])*Grandview_Inventory[[#This Row],[res_pct]]</f>
        <v>339267.62823499995</v>
      </c>
      <c r="BS1064" s="6">
        <f>Grandview_Inventory[[#This Row],[land_value]]</f>
        <v>47528.228511015397</v>
      </c>
      <c r="BT1064" s="4">
        <f>_xlfn.IFNA(VLOOKUP(Grandview_Inventory[[#This Row],[quality]],Lookups!$A$26:$C$33,3,FALSE),1)</f>
        <v>0.94295468617355149</v>
      </c>
      <c r="BU1064" s="4">
        <f>_xlfn.IFNA(VLOOKUP(Grandview_Inventory[[#This Row],[condition]],Lookups!$A$37:$C$44,3,FALSE),1)</f>
        <v>0.96661476234146892</v>
      </c>
      <c r="BV1064" s="4">
        <f>IF(Grandview_Inventory[[#This Row],[bldg_style]]="",1,_xlfn.IFNA(VLOOKUP(Grandview_Inventory[[#This Row],[decade]],Lookups!$F$29:$H$43,3,FALSE),1))</f>
        <v>0.96737494181490646</v>
      </c>
      <c r="BW1064" s="4">
        <f>_xlfn.IFNA(VLOOKUP(Grandview_Inventory[[#This Row],[living_area_range]],Lookups!$F$47:$H$56,3,FALSE),1)</f>
        <v>0.96135087979789358</v>
      </c>
      <c r="BX1064" s="4">
        <f>AVERAGE(Grandview_Inventory[[#This Row],[qual_adj]:[size_adj]])</f>
        <v>0.95957381753195514</v>
      </c>
      <c r="BY1064" s="6">
        <f>IF(Grandview_Inventory[[#This Row],[pre_res]]&lt;0,0,Grandview_Inventory[[#This Row],[pre_res]]*Grandview_Inventory[[#This Row],[overall_adj]])</f>
        <v>325552.33319047105</v>
      </c>
      <c r="BZ1064" s="6">
        <f>(Grandview_Inventory[[#This Row],[sum_land]]-IF(Grandview_Inventory[[#This Row],[no_utilities]]=1,12000,0))/IF(Grandview_Inventory[[#This Row],[unbuildable]]=1,2,1)</f>
        <v>47528.228511015397</v>
      </c>
      <c r="CA106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64">
        <f>ROUND(Grandview_Inventory[[#This Row],[det_value]]*Lookups!$M$28,-2)</f>
        <v>0</v>
      </c>
      <c r="CC1064">
        <f>IF(ROUND(Grandview_Inventory[[#This Row],[adj_res]]*Lookups!$M$28,-2)&lt;Grandview_Inventory[[#This Row],[min_res]],Grandview_Inventory[[#This Row],[min_res]],ROUND(Grandview_Inventory[[#This Row],[adj_res]]*Lookups!$M$28,-2))</f>
        <v>309300</v>
      </c>
      <c r="CD1064">
        <f>Grandview_Inventory[[#This Row],[final_det]]+Grandview_Inventory[[#This Row],[final_res]]</f>
        <v>309300</v>
      </c>
      <c r="CE1064">
        <f>Grandview_Inventory[[#This Row],[final_land]]+Grandview_Inventory[[#This Row],[final_imp]]+Grandview_Inventory[[#This Row],[crop_value]]</f>
        <v>354500</v>
      </c>
      <c r="CG1064" t="str">
        <f t="shared" si="16"/>
        <v>update valuation set market_land =45200, market_bldg=309300, market_total =354500, market_mdno =401, market_date ='9/10/2023' where link_id = (select link_id from parcel where parcel_year = '2024' and parcel_id = '23092242452');</v>
      </c>
    </row>
    <row r="1065" spans="1:85" x14ac:dyDescent="0.25">
      <c r="A1065">
        <v>23092242453</v>
      </c>
      <c r="B1065">
        <v>0.18</v>
      </c>
      <c r="C1065">
        <v>7635</v>
      </c>
      <c r="D1065" t="s">
        <v>129</v>
      </c>
      <c r="E1065" t="s">
        <v>53</v>
      </c>
      <c r="F1065" t="s">
        <v>53</v>
      </c>
      <c r="G1065">
        <v>4</v>
      </c>
      <c r="H1065" t="s">
        <v>54</v>
      </c>
      <c r="I1065">
        <v>261000</v>
      </c>
      <c r="J1065">
        <v>38800</v>
      </c>
      <c r="K1065">
        <v>0.18</v>
      </c>
      <c r="L106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65">
        <v>0</v>
      </c>
      <c r="N1065">
        <v>0</v>
      </c>
      <c r="O1065">
        <v>0</v>
      </c>
      <c r="P1065">
        <v>13398.7528</v>
      </c>
      <c r="Q1065">
        <v>63903</v>
      </c>
      <c r="R1065">
        <f>(Grandview_Inventory[[#This Row],[ln_acres]]*Grandview_Inventory[[#This Row],[coeff]])+Grandview_Inventory[[#This Row],[const]]</f>
        <v>40926.839760167699</v>
      </c>
      <c r="S1065" t="s">
        <v>55</v>
      </c>
      <c r="T1065">
        <v>2</v>
      </c>
      <c r="U1065" t="s">
        <v>62</v>
      </c>
      <c r="V1065" t="s">
        <v>67</v>
      </c>
      <c r="W1065">
        <v>0</v>
      </c>
      <c r="X1065">
        <v>0</v>
      </c>
      <c r="Y1065">
        <v>17</v>
      </c>
      <c r="Z1065">
        <v>17</v>
      </c>
      <c r="AA1065">
        <v>20</v>
      </c>
      <c r="AB1065">
        <v>2000</v>
      </c>
      <c r="AC1065">
        <v>1937</v>
      </c>
      <c r="AD1065">
        <v>727</v>
      </c>
      <c r="AE1065">
        <v>1210</v>
      </c>
      <c r="AF1065">
        <v>0</v>
      </c>
      <c r="AG1065">
        <v>0</v>
      </c>
      <c r="AH1065">
        <v>0</v>
      </c>
      <c r="AI1065">
        <v>0</v>
      </c>
      <c r="AJ1065">
        <v>483</v>
      </c>
      <c r="AK1065">
        <v>0</v>
      </c>
      <c r="AL1065">
        <v>0</v>
      </c>
      <c r="AM1065">
        <v>0</v>
      </c>
      <c r="AN1065">
        <v>91</v>
      </c>
      <c r="AO1065">
        <v>0</v>
      </c>
      <c r="AP1065">
        <v>11</v>
      </c>
      <c r="AQ1065">
        <v>0</v>
      </c>
      <c r="AR1065">
        <v>0</v>
      </c>
      <c r="AS1065" t="s">
        <v>58</v>
      </c>
      <c r="AT1065">
        <v>1</v>
      </c>
      <c r="AU1065" t="s">
        <v>63</v>
      </c>
      <c r="AV1065" t="s">
        <v>64</v>
      </c>
      <c r="AW1065">
        <v>1</v>
      </c>
      <c r="AX1065">
        <v>4</v>
      </c>
      <c r="AY1065">
        <v>0</v>
      </c>
      <c r="AZ1065">
        <v>0</v>
      </c>
      <c r="BA1065">
        <v>100</v>
      </c>
      <c r="BB1065">
        <v>100</v>
      </c>
      <c r="BC1065">
        <v>100</v>
      </c>
      <c r="BD1065">
        <v>100</v>
      </c>
      <c r="BE1065">
        <v>1</v>
      </c>
      <c r="BF1065">
        <v>15000</v>
      </c>
      <c r="BG1065">
        <v>1000</v>
      </c>
      <c r="BH1065" s="6">
        <f>Grandview_Inventory[[#This Row],[land_extract]]*Lookups!$B$3</f>
        <v>47528.228511015397</v>
      </c>
      <c r="BI1065" s="6">
        <f>IF(Grandview_Inventory[[#This Row],[bldg_style]]="",0,Lookups!$B$2)</f>
        <v>155833.95000000001</v>
      </c>
      <c r="BJ1065" s="6">
        <f>_xlfn.IFNA(VLOOKUP(Grandview_Inventory[[#This Row],[quality]],Lookups!$H$2:$J$14,3,FALSE),0)</f>
        <v>9808</v>
      </c>
      <c r="BK1065" s="6">
        <f>_xlfn.IFNA(VLOOKUP(Grandview_Inventory[[#This Row],[condition]],Lookups!$H$17:$J$24,3,FALSE),0)</f>
        <v>22342</v>
      </c>
      <c r="BL1065" s="6">
        <f>Grandview_Inventory[[#This Row],[Eff_Age]]*Lookups!$B$14</f>
        <v>-4065.8321999999998</v>
      </c>
      <c r="BM1065" s="6">
        <f>Grandview_Inventory[[#This Row],[living_area]]*Lookups!$B$15</f>
        <v>120831.71226100001</v>
      </c>
      <c r="BN1065" s="6">
        <f>Grandview_Inventory[[#This Row],[Fin BSMT]]*Lookups!$B$16</f>
        <v>0</v>
      </c>
      <c r="BO1065" s="6">
        <f>(Grandview_Inventory[[#This Row],[att_gar]]+Grandview_Inventory[[#This Row],[bltin_gar]])*Lookups!$B$17</f>
        <v>42272.371071000001</v>
      </c>
      <c r="BP1065" s="6">
        <f>Grandview_Inventory[[#This Row],[Plumbing Fixtures]]*Lookups!$B$18</f>
        <v>22114.859800000002</v>
      </c>
      <c r="BQ1065" s="6">
        <f>Grandview_Inventory[[#This Row],[detatched_value]]*Lookups!$B$19</f>
        <v>0</v>
      </c>
      <c r="BR1065" s="6">
        <f>SUM(Grandview_Inventory[[#This Row],[Intercept]:[det_value]])*Grandview_Inventory[[#This Row],[res_pct]]</f>
        <v>369137.06093199999</v>
      </c>
      <c r="BS1065" s="6">
        <f>Grandview_Inventory[[#This Row],[land_value]]</f>
        <v>47528.228511015397</v>
      </c>
      <c r="BT1065" s="4">
        <f>_xlfn.IFNA(VLOOKUP(Grandview_Inventory[[#This Row],[quality]],Lookups!$A$26:$C$33,3,FALSE),1)</f>
        <v>0.94295468617355149</v>
      </c>
      <c r="BU1065" s="4">
        <f>_xlfn.IFNA(VLOOKUP(Grandview_Inventory[[#This Row],[condition]],Lookups!$A$37:$C$44,3,FALSE),1)</f>
        <v>0.97383723671140243</v>
      </c>
      <c r="BV1065" s="4">
        <f>IF(Grandview_Inventory[[#This Row],[bldg_style]]="",1,_xlfn.IFNA(VLOOKUP(Grandview_Inventory[[#This Row],[decade]],Lookups!$F$29:$H$43,3,FALSE),1))</f>
        <v>0.96737494181490646</v>
      </c>
      <c r="BW1065" s="4">
        <f>_xlfn.IFNA(VLOOKUP(Grandview_Inventory[[#This Row],[living_area_range]],Lookups!$F$47:$H$56,3,FALSE),1)</f>
        <v>0.96120133463014379</v>
      </c>
      <c r="BX1065" s="4">
        <f>AVERAGE(Grandview_Inventory[[#This Row],[qual_adj]:[size_adj]])</f>
        <v>0.96134204983250116</v>
      </c>
      <c r="BY1065" s="6">
        <f>IF(Grandview_Inventory[[#This Row],[pre_res]]&lt;0,0,Grandview_Inventory[[#This Row],[pre_res]]*Grandview_Inventory[[#This Row],[overall_adj]])</f>
        <v>354866.97882551374</v>
      </c>
      <c r="BZ1065" s="6">
        <f>(Grandview_Inventory[[#This Row],[sum_land]]-IF(Grandview_Inventory[[#This Row],[no_utilities]]=1,12000,0))/IF(Grandview_Inventory[[#This Row],[unbuildable]]=1,2,1)</f>
        <v>47528.228511015397</v>
      </c>
      <c r="CA106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65">
        <f>ROUND(Grandview_Inventory[[#This Row],[det_value]]*Lookups!$M$28,-2)</f>
        <v>0</v>
      </c>
      <c r="CC1065">
        <f>IF(ROUND(Grandview_Inventory[[#This Row],[adj_res]]*Lookups!$M$28,-2)&lt;Grandview_Inventory[[#This Row],[min_res]],Grandview_Inventory[[#This Row],[min_res]],ROUND(Grandview_Inventory[[#This Row],[adj_res]]*Lookups!$M$28,-2))</f>
        <v>337100</v>
      </c>
      <c r="CD1065">
        <f>Grandview_Inventory[[#This Row],[final_det]]+Grandview_Inventory[[#This Row],[final_res]]</f>
        <v>337100</v>
      </c>
      <c r="CE1065">
        <f>Grandview_Inventory[[#This Row],[final_land]]+Grandview_Inventory[[#This Row],[final_imp]]+Grandview_Inventory[[#This Row],[crop_value]]</f>
        <v>382300</v>
      </c>
      <c r="CG1065" t="str">
        <f t="shared" si="16"/>
        <v>update valuation set market_land =45200, market_bldg=337100, market_total =382300, market_mdno =401, market_date ='9/10/2023' where link_id = (select link_id from parcel where parcel_year = '2024' and parcel_id = '23092242453');</v>
      </c>
    </row>
    <row r="1066" spans="1:85" x14ac:dyDescent="0.25">
      <c r="A1066">
        <v>23092242454</v>
      </c>
      <c r="B1066">
        <v>0.17</v>
      </c>
      <c r="C1066">
        <v>7317</v>
      </c>
      <c r="D1066" t="s">
        <v>129</v>
      </c>
      <c r="E1066" t="s">
        <v>53</v>
      </c>
      <c r="F1066" t="s">
        <v>53</v>
      </c>
      <c r="G1066">
        <v>4</v>
      </c>
      <c r="H1066" t="s">
        <v>54</v>
      </c>
      <c r="I1066">
        <v>261600</v>
      </c>
      <c r="J1066">
        <v>43000</v>
      </c>
      <c r="K1066">
        <v>0.17</v>
      </c>
      <c r="L106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66">
        <v>0</v>
      </c>
      <c r="N1066">
        <v>0</v>
      </c>
      <c r="O1066">
        <v>0</v>
      </c>
      <c r="P1066">
        <v>13398.7528</v>
      </c>
      <c r="Q1066">
        <v>63903</v>
      </c>
      <c r="R1066">
        <f>(Grandview_Inventory[[#This Row],[ln_acres]]*Grandview_Inventory[[#This Row],[coeff]])+Grandview_Inventory[[#This Row],[const]]</f>
        <v>40160.988302686128</v>
      </c>
      <c r="S1066" t="s">
        <v>55</v>
      </c>
      <c r="T1066">
        <v>2</v>
      </c>
      <c r="U1066" t="s">
        <v>62</v>
      </c>
      <c r="V1066" t="s">
        <v>66</v>
      </c>
      <c r="W1066">
        <v>0</v>
      </c>
      <c r="X1066">
        <v>0</v>
      </c>
      <c r="Y1066">
        <v>17</v>
      </c>
      <c r="Z1066">
        <v>17</v>
      </c>
      <c r="AA1066">
        <v>20</v>
      </c>
      <c r="AB1066">
        <v>2000</v>
      </c>
      <c r="AC1066">
        <v>1937</v>
      </c>
      <c r="AD1066">
        <v>727</v>
      </c>
      <c r="AE1066">
        <v>1210</v>
      </c>
      <c r="AF1066">
        <v>0</v>
      </c>
      <c r="AG1066">
        <v>0</v>
      </c>
      <c r="AH1066">
        <v>0</v>
      </c>
      <c r="AI1066">
        <v>0</v>
      </c>
      <c r="AJ1066">
        <v>483</v>
      </c>
      <c r="AK1066">
        <v>0</v>
      </c>
      <c r="AL1066">
        <v>0</v>
      </c>
      <c r="AM1066">
        <v>0</v>
      </c>
      <c r="AN1066">
        <v>88</v>
      </c>
      <c r="AO1066">
        <v>0</v>
      </c>
      <c r="AP1066">
        <v>11</v>
      </c>
      <c r="AQ1066">
        <v>0</v>
      </c>
      <c r="AR1066">
        <v>0</v>
      </c>
      <c r="AS1066" t="s">
        <v>58</v>
      </c>
      <c r="AT1066">
        <v>1</v>
      </c>
      <c r="AU1066" t="s">
        <v>63</v>
      </c>
      <c r="AV1066" t="s">
        <v>64</v>
      </c>
      <c r="AW1066">
        <v>1</v>
      </c>
      <c r="AX1066">
        <v>4</v>
      </c>
      <c r="AY1066">
        <v>0</v>
      </c>
      <c r="AZ1066">
        <v>0</v>
      </c>
      <c r="BA1066">
        <v>100</v>
      </c>
      <c r="BB1066">
        <v>100</v>
      </c>
      <c r="BC1066">
        <v>100</v>
      </c>
      <c r="BD1066">
        <v>100</v>
      </c>
      <c r="BE1066">
        <v>1</v>
      </c>
      <c r="BF1066">
        <v>15000</v>
      </c>
      <c r="BG1066">
        <v>1000</v>
      </c>
      <c r="BH1066" s="6">
        <f>Grandview_Inventory[[#This Row],[land_extract]]*Lookups!$B$3</f>
        <v>46638.847281240982</v>
      </c>
      <c r="BI1066" s="6">
        <f>IF(Grandview_Inventory[[#This Row],[bldg_style]]="",0,Lookups!$B$2)</f>
        <v>155833.95000000001</v>
      </c>
      <c r="BJ1066" s="6">
        <f>_xlfn.IFNA(VLOOKUP(Grandview_Inventory[[#This Row],[quality]],Lookups!$H$2:$J$14,3,FALSE),0)</f>
        <v>9808</v>
      </c>
      <c r="BK1066" s="6">
        <f>_xlfn.IFNA(VLOOKUP(Grandview_Inventory[[#This Row],[condition]],Lookups!$H$17:$J$24,3,FALSE),0)</f>
        <v>25818</v>
      </c>
      <c r="BL1066" s="6">
        <f>Grandview_Inventory[[#This Row],[Eff_Age]]*Lookups!$B$14</f>
        <v>-4065.8321999999998</v>
      </c>
      <c r="BM1066" s="6">
        <f>Grandview_Inventory[[#This Row],[living_area]]*Lookups!$B$15</f>
        <v>120831.71226100001</v>
      </c>
      <c r="BN1066" s="6">
        <f>Grandview_Inventory[[#This Row],[Fin BSMT]]*Lookups!$B$16</f>
        <v>0</v>
      </c>
      <c r="BO1066" s="6">
        <f>(Grandview_Inventory[[#This Row],[att_gar]]+Grandview_Inventory[[#This Row],[bltin_gar]])*Lookups!$B$17</f>
        <v>42272.371071000001</v>
      </c>
      <c r="BP1066" s="6">
        <f>Grandview_Inventory[[#This Row],[Plumbing Fixtures]]*Lookups!$B$18</f>
        <v>22114.859800000002</v>
      </c>
      <c r="BQ1066" s="6">
        <f>Grandview_Inventory[[#This Row],[detatched_value]]*Lookups!$B$19</f>
        <v>0</v>
      </c>
      <c r="BR1066" s="6">
        <f>SUM(Grandview_Inventory[[#This Row],[Intercept]:[det_value]])*Grandview_Inventory[[#This Row],[res_pct]]</f>
        <v>372613.06093199999</v>
      </c>
      <c r="BS1066" s="6">
        <f>Grandview_Inventory[[#This Row],[land_value]]</f>
        <v>46638.847281240982</v>
      </c>
      <c r="BT1066" s="4">
        <f>_xlfn.IFNA(VLOOKUP(Grandview_Inventory[[#This Row],[quality]],Lookups!$A$26:$C$33,3,FALSE),1)</f>
        <v>0.94295468617355149</v>
      </c>
      <c r="BU1066" s="4">
        <f>_xlfn.IFNA(VLOOKUP(Grandview_Inventory[[#This Row],[condition]],Lookups!$A$37:$C$44,3,FALSE),1)</f>
        <v>0.96661476234146892</v>
      </c>
      <c r="BV1066" s="4">
        <f>IF(Grandview_Inventory[[#This Row],[bldg_style]]="",1,_xlfn.IFNA(VLOOKUP(Grandview_Inventory[[#This Row],[decade]],Lookups!$F$29:$H$43,3,FALSE),1))</f>
        <v>0.96737494181490646</v>
      </c>
      <c r="BW1066" s="4">
        <f>_xlfn.IFNA(VLOOKUP(Grandview_Inventory[[#This Row],[living_area_range]],Lookups!$F$47:$H$56,3,FALSE),1)</f>
        <v>0.96120133463014379</v>
      </c>
      <c r="BX1066" s="4">
        <f>AVERAGE(Grandview_Inventory[[#This Row],[qual_adj]:[size_adj]])</f>
        <v>0.95953643124001764</v>
      </c>
      <c r="BY1066" s="6">
        <f>IF(Grandview_Inventory[[#This Row],[pre_res]]&lt;0,0,Grandview_Inventory[[#This Row],[pre_res]]*Grandview_Inventory[[#This Row],[overall_adj]])</f>
        <v>357535.80672011053</v>
      </c>
      <c r="BZ1066" s="6">
        <f>(Grandview_Inventory[[#This Row],[sum_land]]-IF(Grandview_Inventory[[#This Row],[no_utilities]]=1,12000,0))/IF(Grandview_Inventory[[#This Row],[unbuildable]]=1,2,1)</f>
        <v>46638.847281240982</v>
      </c>
      <c r="CA106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66">
        <f>ROUND(Grandview_Inventory[[#This Row],[det_value]]*Lookups!$M$28,-2)</f>
        <v>0</v>
      </c>
      <c r="CC1066">
        <f>IF(ROUND(Grandview_Inventory[[#This Row],[adj_res]]*Lookups!$M$28,-2)&lt;Grandview_Inventory[[#This Row],[min_res]],Grandview_Inventory[[#This Row],[min_res]],ROUND(Grandview_Inventory[[#This Row],[adj_res]]*Lookups!$M$28,-2))</f>
        <v>339700</v>
      </c>
      <c r="CD1066">
        <f>Grandview_Inventory[[#This Row],[final_det]]+Grandview_Inventory[[#This Row],[final_res]]</f>
        <v>339700</v>
      </c>
      <c r="CE1066">
        <f>Grandview_Inventory[[#This Row],[final_land]]+Grandview_Inventory[[#This Row],[final_imp]]+Grandview_Inventory[[#This Row],[crop_value]]</f>
        <v>384000</v>
      </c>
      <c r="CG1066" t="str">
        <f t="shared" si="16"/>
        <v>update valuation set market_land =44300, market_bldg=339700, market_total =384000, market_mdno =401, market_date ='9/10/2023' where link_id = (select link_id from parcel where parcel_year = '2024' and parcel_id = '23092242454');</v>
      </c>
    </row>
    <row r="1067" spans="1:85" x14ac:dyDescent="0.25">
      <c r="A1067">
        <v>23092242455</v>
      </c>
      <c r="B1067">
        <v>0.17</v>
      </c>
      <c r="C1067">
        <v>7388</v>
      </c>
      <c r="D1067" t="s">
        <v>129</v>
      </c>
      <c r="E1067" t="s">
        <v>53</v>
      </c>
      <c r="F1067" t="s">
        <v>53</v>
      </c>
      <c r="G1067">
        <v>4</v>
      </c>
      <c r="H1067" t="s">
        <v>54</v>
      </c>
      <c r="I1067">
        <v>215500</v>
      </c>
      <c r="J1067">
        <v>38800</v>
      </c>
      <c r="K1067">
        <v>0.17</v>
      </c>
      <c r="L106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67">
        <v>0</v>
      </c>
      <c r="N1067">
        <v>0</v>
      </c>
      <c r="O1067">
        <v>0</v>
      </c>
      <c r="P1067">
        <v>13398.7528</v>
      </c>
      <c r="Q1067">
        <v>63903</v>
      </c>
      <c r="R1067">
        <f>(Grandview_Inventory[[#This Row],[ln_acres]]*Grandview_Inventory[[#This Row],[coeff]])+Grandview_Inventory[[#This Row],[const]]</f>
        <v>40160.988302686128</v>
      </c>
      <c r="S1067" t="s">
        <v>61</v>
      </c>
      <c r="T1067">
        <v>1</v>
      </c>
      <c r="U1067" t="s">
        <v>62</v>
      </c>
      <c r="V1067" t="s">
        <v>66</v>
      </c>
      <c r="W1067">
        <v>0</v>
      </c>
      <c r="X1067">
        <v>0</v>
      </c>
      <c r="Y1067">
        <v>17</v>
      </c>
      <c r="Z1067">
        <v>17</v>
      </c>
      <c r="AA1067">
        <v>20</v>
      </c>
      <c r="AB1067">
        <v>1500</v>
      </c>
      <c r="AC1067">
        <v>1157</v>
      </c>
      <c r="AD1067">
        <v>1157</v>
      </c>
      <c r="AE1067">
        <v>0</v>
      </c>
      <c r="AF1067">
        <v>0</v>
      </c>
      <c r="AG1067">
        <v>0</v>
      </c>
      <c r="AH1067">
        <v>0</v>
      </c>
      <c r="AI1067">
        <v>440</v>
      </c>
      <c r="AJ1067">
        <v>0</v>
      </c>
      <c r="AK1067">
        <v>0</v>
      </c>
      <c r="AL1067">
        <v>0</v>
      </c>
      <c r="AM1067">
        <v>0</v>
      </c>
      <c r="AN1067">
        <v>48</v>
      </c>
      <c r="AO1067">
        <v>0</v>
      </c>
      <c r="AP1067">
        <v>9</v>
      </c>
      <c r="AQ1067">
        <v>0</v>
      </c>
      <c r="AR1067">
        <v>0</v>
      </c>
      <c r="AS1067" t="s">
        <v>58</v>
      </c>
      <c r="AT1067">
        <v>1</v>
      </c>
      <c r="AU1067" t="s">
        <v>63</v>
      </c>
      <c r="AV1067" t="s">
        <v>64</v>
      </c>
      <c r="AW1067">
        <v>1</v>
      </c>
      <c r="AX1067">
        <v>4</v>
      </c>
      <c r="AY1067">
        <v>0</v>
      </c>
      <c r="AZ1067">
        <v>0</v>
      </c>
      <c r="BA1067">
        <v>100</v>
      </c>
      <c r="BB1067">
        <v>100</v>
      </c>
      <c r="BC1067">
        <v>100</v>
      </c>
      <c r="BD1067">
        <v>100</v>
      </c>
      <c r="BE1067">
        <v>1</v>
      </c>
      <c r="BF1067">
        <v>15000</v>
      </c>
      <c r="BG1067">
        <v>1000</v>
      </c>
      <c r="BH1067" s="6">
        <f>Grandview_Inventory[[#This Row],[land_extract]]*Lookups!$B$3</f>
        <v>46638.847281240982</v>
      </c>
      <c r="BI1067" s="6">
        <f>IF(Grandview_Inventory[[#This Row],[bldg_style]]="",0,Lookups!$B$2)</f>
        <v>155833.95000000001</v>
      </c>
      <c r="BJ1067" s="6">
        <f>_xlfn.IFNA(VLOOKUP(Grandview_Inventory[[#This Row],[quality]],Lookups!$H$2:$J$14,3,FALSE),0)</f>
        <v>9808</v>
      </c>
      <c r="BK1067" s="6">
        <f>_xlfn.IFNA(VLOOKUP(Grandview_Inventory[[#This Row],[condition]],Lookups!$H$17:$J$24,3,FALSE),0)</f>
        <v>25818</v>
      </c>
      <c r="BL1067" s="6">
        <f>Grandview_Inventory[[#This Row],[Eff_Age]]*Lookups!$B$14</f>
        <v>-4065.8321999999998</v>
      </c>
      <c r="BM1067" s="6">
        <f>Grandview_Inventory[[#This Row],[living_area]]*Lookups!$B$15</f>
        <v>72174.646921000007</v>
      </c>
      <c r="BN1067" s="6">
        <f>Grandview_Inventory[[#This Row],[Fin BSMT]]*Lookups!$B$16</f>
        <v>0</v>
      </c>
      <c r="BO1067" s="6">
        <f>(Grandview_Inventory[[#This Row],[att_gar]]+Grandview_Inventory[[#This Row],[bltin_gar]])*Lookups!$B$17</f>
        <v>38508.992279999999</v>
      </c>
      <c r="BP1067" s="6">
        <f>Grandview_Inventory[[#This Row],[Plumbing Fixtures]]*Lookups!$B$18</f>
        <v>18093.976200000001</v>
      </c>
      <c r="BQ1067" s="6">
        <f>Grandview_Inventory[[#This Row],[detatched_value]]*Lookups!$B$19</f>
        <v>0</v>
      </c>
      <c r="BR1067" s="6">
        <f>SUM(Grandview_Inventory[[#This Row],[Intercept]:[det_value]])*Grandview_Inventory[[#This Row],[res_pct]]</f>
        <v>316171.73320099997</v>
      </c>
      <c r="BS1067" s="6">
        <f>Grandview_Inventory[[#This Row],[land_value]]</f>
        <v>46638.847281240982</v>
      </c>
      <c r="BT1067" s="4">
        <f>_xlfn.IFNA(VLOOKUP(Grandview_Inventory[[#This Row],[quality]],Lookups!$A$26:$C$33,3,FALSE),1)</f>
        <v>0.94295468617355149</v>
      </c>
      <c r="BU1067" s="4">
        <f>_xlfn.IFNA(VLOOKUP(Grandview_Inventory[[#This Row],[condition]],Lookups!$A$37:$C$44,3,FALSE),1)</f>
        <v>0.96661476234146892</v>
      </c>
      <c r="BV1067" s="4">
        <f>IF(Grandview_Inventory[[#This Row],[bldg_style]]="",1,_xlfn.IFNA(VLOOKUP(Grandview_Inventory[[#This Row],[decade]],Lookups!$F$29:$H$43,3,FALSE),1))</f>
        <v>0.96737494181490646</v>
      </c>
      <c r="BW1067" s="4">
        <f>_xlfn.IFNA(VLOOKUP(Grandview_Inventory[[#This Row],[living_area_range]],Lookups!$F$47:$H$56,3,FALSE),1)</f>
        <v>0.96135087979789358</v>
      </c>
      <c r="BX1067" s="4">
        <f>AVERAGE(Grandview_Inventory[[#This Row],[qual_adj]:[size_adj]])</f>
        <v>0.95957381753195514</v>
      </c>
      <c r="BY1067" s="6">
        <f>IF(Grandview_Inventory[[#This Row],[pre_res]]&lt;0,0,Grandview_Inventory[[#This Row],[pre_res]]*Grandview_Inventory[[#This Row],[overall_adj]])</f>
        <v>303390.11702337832</v>
      </c>
      <c r="BZ1067" s="6">
        <f>(Grandview_Inventory[[#This Row],[sum_land]]-IF(Grandview_Inventory[[#This Row],[no_utilities]]=1,12000,0))/IF(Grandview_Inventory[[#This Row],[unbuildable]]=1,2,1)</f>
        <v>46638.847281240982</v>
      </c>
      <c r="CA106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67">
        <f>ROUND(Grandview_Inventory[[#This Row],[det_value]]*Lookups!$M$28,-2)</f>
        <v>0</v>
      </c>
      <c r="CC1067">
        <f>IF(ROUND(Grandview_Inventory[[#This Row],[adj_res]]*Lookups!$M$28,-2)&lt;Grandview_Inventory[[#This Row],[min_res]],Grandview_Inventory[[#This Row],[min_res]],ROUND(Grandview_Inventory[[#This Row],[adj_res]]*Lookups!$M$28,-2))</f>
        <v>288200</v>
      </c>
      <c r="CD1067">
        <f>Grandview_Inventory[[#This Row],[final_det]]+Grandview_Inventory[[#This Row],[final_res]]</f>
        <v>288200</v>
      </c>
      <c r="CE1067">
        <f>Grandview_Inventory[[#This Row],[final_land]]+Grandview_Inventory[[#This Row],[final_imp]]+Grandview_Inventory[[#This Row],[crop_value]]</f>
        <v>332500</v>
      </c>
      <c r="CG1067" t="str">
        <f t="shared" si="16"/>
        <v>update valuation set market_land =44300, market_bldg=288200, market_total =332500, market_mdno =401, market_date ='9/10/2023' where link_id = (select link_id from parcel where parcel_year = '2024' and parcel_id = '23092242455');</v>
      </c>
    </row>
    <row r="1068" spans="1:85" x14ac:dyDescent="0.25">
      <c r="A1068">
        <v>23092242456</v>
      </c>
      <c r="B1068">
        <v>0.18</v>
      </c>
      <c r="C1068">
        <v>8005</v>
      </c>
      <c r="D1068" t="s">
        <v>129</v>
      </c>
      <c r="E1068" t="s">
        <v>53</v>
      </c>
      <c r="F1068" t="s">
        <v>53</v>
      </c>
      <c r="G1068">
        <v>4</v>
      </c>
      <c r="H1068" t="s">
        <v>54</v>
      </c>
      <c r="I1068">
        <v>231700</v>
      </c>
      <c r="J1068">
        <v>43300</v>
      </c>
      <c r="K1068">
        <v>0.18</v>
      </c>
      <c r="L106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68">
        <v>0</v>
      </c>
      <c r="N1068">
        <v>0</v>
      </c>
      <c r="O1068">
        <v>0</v>
      </c>
      <c r="P1068">
        <v>13398.7528</v>
      </c>
      <c r="Q1068">
        <v>63903</v>
      </c>
      <c r="R1068">
        <f>(Grandview_Inventory[[#This Row],[ln_acres]]*Grandview_Inventory[[#This Row],[coeff]])+Grandview_Inventory[[#This Row],[const]]</f>
        <v>40926.839760167699</v>
      </c>
      <c r="S1068" t="s">
        <v>61</v>
      </c>
      <c r="T1068">
        <v>1</v>
      </c>
      <c r="U1068" t="s">
        <v>62</v>
      </c>
      <c r="V1068" t="s">
        <v>67</v>
      </c>
      <c r="W1068">
        <v>0</v>
      </c>
      <c r="X1068">
        <v>0</v>
      </c>
      <c r="Y1068">
        <v>18</v>
      </c>
      <c r="Z1068">
        <v>18</v>
      </c>
      <c r="AA1068">
        <v>20</v>
      </c>
      <c r="AB1068">
        <v>2000</v>
      </c>
      <c r="AC1068">
        <v>1577</v>
      </c>
      <c r="AD1068">
        <v>1577</v>
      </c>
      <c r="AE1068">
        <v>0</v>
      </c>
      <c r="AF1068">
        <v>0</v>
      </c>
      <c r="AG1068">
        <v>0</v>
      </c>
      <c r="AH1068">
        <v>0</v>
      </c>
      <c r="AI1068">
        <v>506</v>
      </c>
      <c r="AJ1068">
        <v>0</v>
      </c>
      <c r="AK1068">
        <v>0</v>
      </c>
      <c r="AL1068">
        <v>0</v>
      </c>
      <c r="AM1068">
        <v>180</v>
      </c>
      <c r="AN1068">
        <v>36</v>
      </c>
      <c r="AO1068">
        <v>180</v>
      </c>
      <c r="AP1068">
        <v>8</v>
      </c>
      <c r="AQ1068">
        <v>0</v>
      </c>
      <c r="AR1068">
        <v>0</v>
      </c>
      <c r="AS1068" t="s">
        <v>58</v>
      </c>
      <c r="AT1068">
        <v>1</v>
      </c>
      <c r="AU1068" t="s">
        <v>59</v>
      </c>
      <c r="AV1068" t="s">
        <v>64</v>
      </c>
      <c r="AW1068">
        <v>1</v>
      </c>
      <c r="AX1068">
        <v>3</v>
      </c>
      <c r="AY1068">
        <v>0</v>
      </c>
      <c r="AZ1068">
        <v>0</v>
      </c>
      <c r="BA1068">
        <v>100</v>
      </c>
      <c r="BB1068">
        <v>100</v>
      </c>
      <c r="BC1068">
        <v>100</v>
      </c>
      <c r="BD1068">
        <v>100</v>
      </c>
      <c r="BE1068">
        <v>1</v>
      </c>
      <c r="BF1068">
        <v>15000</v>
      </c>
      <c r="BG1068">
        <v>1000</v>
      </c>
      <c r="BH1068" s="6">
        <f>Grandview_Inventory[[#This Row],[land_extract]]*Lookups!$B$3</f>
        <v>47528.228511015397</v>
      </c>
      <c r="BI1068" s="6">
        <f>IF(Grandview_Inventory[[#This Row],[bldg_style]]="",0,Lookups!$B$2)</f>
        <v>155833.95000000001</v>
      </c>
      <c r="BJ1068" s="6">
        <f>_xlfn.IFNA(VLOOKUP(Grandview_Inventory[[#This Row],[quality]],Lookups!$H$2:$J$14,3,FALSE),0)</f>
        <v>9808</v>
      </c>
      <c r="BK1068" s="6">
        <f>_xlfn.IFNA(VLOOKUP(Grandview_Inventory[[#This Row],[condition]],Lookups!$H$17:$J$24,3,FALSE),0)</f>
        <v>22342</v>
      </c>
      <c r="BL1068" s="6">
        <f>Grandview_Inventory[[#This Row],[Eff_Age]]*Lookups!$B$14</f>
        <v>-4304.9987999999994</v>
      </c>
      <c r="BM1068" s="6">
        <f>Grandview_Inventory[[#This Row],[living_area]]*Lookups!$B$15</f>
        <v>98374.605181000006</v>
      </c>
      <c r="BN1068" s="6">
        <f>Grandview_Inventory[[#This Row],[Fin BSMT]]*Lookups!$B$16</f>
        <v>0</v>
      </c>
      <c r="BO1068" s="6">
        <f>(Grandview_Inventory[[#This Row],[att_gar]]+Grandview_Inventory[[#This Row],[bltin_gar]])*Lookups!$B$17</f>
        <v>44285.341121999998</v>
      </c>
      <c r="BP1068" s="6">
        <f>Grandview_Inventory[[#This Row],[Plumbing Fixtures]]*Lookups!$B$18</f>
        <v>16083.5344</v>
      </c>
      <c r="BQ1068" s="6">
        <f>Grandview_Inventory[[#This Row],[detatched_value]]*Lookups!$B$19</f>
        <v>0</v>
      </c>
      <c r="BR1068" s="6">
        <f>SUM(Grandview_Inventory[[#This Row],[Intercept]:[det_value]])*Grandview_Inventory[[#This Row],[res_pct]]</f>
        <v>342422.43190300005</v>
      </c>
      <c r="BS1068" s="6">
        <f>Grandview_Inventory[[#This Row],[land_value]]</f>
        <v>47528.228511015397</v>
      </c>
      <c r="BT1068" s="4">
        <f>_xlfn.IFNA(VLOOKUP(Grandview_Inventory[[#This Row],[quality]],Lookups!$A$26:$C$33,3,FALSE),1)</f>
        <v>0.94295468617355149</v>
      </c>
      <c r="BU1068" s="4">
        <f>_xlfn.IFNA(VLOOKUP(Grandview_Inventory[[#This Row],[condition]],Lookups!$A$37:$C$44,3,FALSE),1)</f>
        <v>0.97383723671140243</v>
      </c>
      <c r="BV1068" s="4">
        <f>IF(Grandview_Inventory[[#This Row],[bldg_style]]="",1,_xlfn.IFNA(VLOOKUP(Grandview_Inventory[[#This Row],[decade]],Lookups!$F$29:$H$43,3,FALSE),1))</f>
        <v>0.96737494181490646</v>
      </c>
      <c r="BW1068" s="4">
        <f>_xlfn.IFNA(VLOOKUP(Grandview_Inventory[[#This Row],[living_area_range]],Lookups!$F$47:$H$56,3,FALSE),1)</f>
        <v>0.96120133463014379</v>
      </c>
      <c r="BX1068" s="4">
        <f>AVERAGE(Grandview_Inventory[[#This Row],[qual_adj]:[size_adj]])</f>
        <v>0.96134204983250116</v>
      </c>
      <c r="BY1068" s="6">
        <f>IF(Grandview_Inventory[[#This Row],[pre_res]]&lt;0,0,Grandview_Inventory[[#This Row],[pre_res]]*Grandview_Inventory[[#This Row],[overall_adj]])</f>
        <v>329185.08259426011</v>
      </c>
      <c r="BZ1068" s="6">
        <f>(Grandview_Inventory[[#This Row],[sum_land]]-IF(Grandview_Inventory[[#This Row],[no_utilities]]=1,12000,0))/IF(Grandview_Inventory[[#This Row],[unbuildable]]=1,2,1)</f>
        <v>47528.228511015397</v>
      </c>
      <c r="CA106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68">
        <f>ROUND(Grandview_Inventory[[#This Row],[det_value]]*Lookups!$M$28,-2)</f>
        <v>0</v>
      </c>
      <c r="CC1068">
        <f>IF(ROUND(Grandview_Inventory[[#This Row],[adj_res]]*Lookups!$M$28,-2)&lt;Grandview_Inventory[[#This Row],[min_res]],Grandview_Inventory[[#This Row],[min_res]],ROUND(Grandview_Inventory[[#This Row],[adj_res]]*Lookups!$M$28,-2))</f>
        <v>312700</v>
      </c>
      <c r="CD1068">
        <f>Grandview_Inventory[[#This Row],[final_det]]+Grandview_Inventory[[#This Row],[final_res]]</f>
        <v>312700</v>
      </c>
      <c r="CE1068">
        <f>Grandview_Inventory[[#This Row],[final_land]]+Grandview_Inventory[[#This Row],[final_imp]]+Grandview_Inventory[[#This Row],[crop_value]]</f>
        <v>357900</v>
      </c>
      <c r="CG1068" t="str">
        <f t="shared" si="16"/>
        <v>update valuation set market_land =45200, market_bldg=312700, market_total =357900, market_mdno =401, market_date ='9/10/2023' where link_id = (select link_id from parcel where parcel_year = '2024' and parcel_id = '23092242456');</v>
      </c>
    </row>
    <row r="1069" spans="1:85" x14ac:dyDescent="0.25">
      <c r="A1069">
        <v>23092242457</v>
      </c>
      <c r="B1069">
        <v>0.16</v>
      </c>
      <c r="C1069">
        <v>7150</v>
      </c>
      <c r="D1069" t="s">
        <v>129</v>
      </c>
      <c r="E1069" t="s">
        <v>53</v>
      </c>
      <c r="F1069" t="s">
        <v>53</v>
      </c>
      <c r="G1069">
        <v>4</v>
      </c>
      <c r="H1069" t="s">
        <v>54</v>
      </c>
      <c r="I1069">
        <v>249500</v>
      </c>
      <c r="J1069">
        <v>43000</v>
      </c>
      <c r="K1069">
        <v>0.16</v>
      </c>
      <c r="L106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069">
        <v>0</v>
      </c>
      <c r="N1069">
        <v>0</v>
      </c>
      <c r="O1069">
        <v>0</v>
      </c>
      <c r="P1069">
        <v>13398.7528</v>
      </c>
      <c r="Q1069">
        <v>63903</v>
      </c>
      <c r="R1069">
        <f>(Grandview_Inventory[[#This Row],[ln_acres]]*Grandview_Inventory[[#This Row],[coeff]])+Grandview_Inventory[[#This Row],[const]]</f>
        <v>39348.693981374228</v>
      </c>
      <c r="S1069" t="s">
        <v>61</v>
      </c>
      <c r="T1069">
        <v>1</v>
      </c>
      <c r="U1069" t="s">
        <v>64</v>
      </c>
      <c r="V1069" t="s">
        <v>67</v>
      </c>
      <c r="W1069">
        <v>0</v>
      </c>
      <c r="X1069">
        <v>0</v>
      </c>
      <c r="Y1069">
        <v>18</v>
      </c>
      <c r="Z1069">
        <v>18</v>
      </c>
      <c r="AA1069">
        <v>20</v>
      </c>
      <c r="AB1069">
        <v>2000</v>
      </c>
      <c r="AC1069">
        <v>1628</v>
      </c>
      <c r="AD1069">
        <v>1628</v>
      </c>
      <c r="AE1069">
        <v>0</v>
      </c>
      <c r="AF1069">
        <v>0</v>
      </c>
      <c r="AG1069">
        <v>0</v>
      </c>
      <c r="AH1069">
        <v>0</v>
      </c>
      <c r="AI1069">
        <v>475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8</v>
      </c>
      <c r="AQ1069">
        <v>0</v>
      </c>
      <c r="AR1069">
        <v>0</v>
      </c>
      <c r="AS1069" t="s">
        <v>58</v>
      </c>
      <c r="AT1069">
        <v>1</v>
      </c>
      <c r="AU1069" t="s">
        <v>63</v>
      </c>
      <c r="AV1069" t="s">
        <v>64</v>
      </c>
      <c r="AW1069">
        <v>1</v>
      </c>
      <c r="AX1069">
        <v>3</v>
      </c>
      <c r="AY1069">
        <v>0</v>
      </c>
      <c r="AZ1069">
        <v>0</v>
      </c>
      <c r="BA1069">
        <v>100</v>
      </c>
      <c r="BB1069">
        <v>100</v>
      </c>
      <c r="BC1069">
        <v>100</v>
      </c>
      <c r="BD1069">
        <v>100</v>
      </c>
      <c r="BE1069">
        <v>1</v>
      </c>
      <c r="BF1069">
        <v>15000</v>
      </c>
      <c r="BG1069">
        <v>1000</v>
      </c>
      <c r="BH1069" s="6">
        <f>Grandview_Inventory[[#This Row],[land_extract]]*Lookups!$B$3</f>
        <v>45695.532079096141</v>
      </c>
      <c r="BI1069" s="6">
        <f>IF(Grandview_Inventory[[#This Row],[bldg_style]]="",0,Lookups!$B$2)</f>
        <v>155833.95000000001</v>
      </c>
      <c r="BJ1069" s="6">
        <f>_xlfn.IFNA(VLOOKUP(Grandview_Inventory[[#This Row],[quality]],Lookups!$H$2:$J$14,3,FALSE),0)</f>
        <v>20768</v>
      </c>
      <c r="BK1069" s="6">
        <f>_xlfn.IFNA(VLOOKUP(Grandview_Inventory[[#This Row],[condition]],Lookups!$H$17:$J$24,3,FALSE),0)</f>
        <v>22342</v>
      </c>
      <c r="BL1069" s="6">
        <f>Grandview_Inventory[[#This Row],[Eff_Age]]*Lookups!$B$14</f>
        <v>-4304.9987999999994</v>
      </c>
      <c r="BM1069" s="6">
        <f>Grandview_Inventory[[#This Row],[living_area]]*Lookups!$B$15</f>
        <v>101556.028684</v>
      </c>
      <c r="BN1069" s="6">
        <f>Grandview_Inventory[[#This Row],[Fin BSMT]]*Lookups!$B$16</f>
        <v>0</v>
      </c>
      <c r="BO1069" s="6">
        <f>(Grandview_Inventory[[#This Row],[att_gar]]+Grandview_Inventory[[#This Row],[bltin_gar]])*Lookups!$B$17</f>
        <v>41572.207575</v>
      </c>
      <c r="BP1069" s="6">
        <f>Grandview_Inventory[[#This Row],[Plumbing Fixtures]]*Lookups!$B$18</f>
        <v>16083.5344</v>
      </c>
      <c r="BQ1069" s="6">
        <f>Grandview_Inventory[[#This Row],[detatched_value]]*Lookups!$B$19</f>
        <v>0</v>
      </c>
      <c r="BR1069" s="6">
        <f>SUM(Grandview_Inventory[[#This Row],[Intercept]:[det_value]])*Grandview_Inventory[[#This Row],[res_pct]]</f>
        <v>353850.72185900004</v>
      </c>
      <c r="BS1069" s="6">
        <f>Grandview_Inventory[[#This Row],[land_value]]</f>
        <v>45695.532079096141</v>
      </c>
      <c r="BT1069" s="4">
        <f>_xlfn.IFNA(VLOOKUP(Grandview_Inventory[[#This Row],[quality]],Lookups!$A$26:$C$33,3,FALSE),1)</f>
        <v>0.94960540378902636</v>
      </c>
      <c r="BU1069" s="4">
        <f>_xlfn.IFNA(VLOOKUP(Grandview_Inventory[[#This Row],[condition]],Lookups!$A$37:$C$44,3,FALSE),1)</f>
        <v>0.97383723671140243</v>
      </c>
      <c r="BV1069" s="4">
        <f>IF(Grandview_Inventory[[#This Row],[bldg_style]]="",1,_xlfn.IFNA(VLOOKUP(Grandview_Inventory[[#This Row],[decade]],Lookups!$F$29:$H$43,3,FALSE),1))</f>
        <v>0.96737494181490646</v>
      </c>
      <c r="BW1069" s="4">
        <f>_xlfn.IFNA(VLOOKUP(Grandview_Inventory[[#This Row],[living_area_range]],Lookups!$F$47:$H$56,3,FALSE),1)</f>
        <v>0.96120133463014379</v>
      </c>
      <c r="BX1069" s="4">
        <f>AVERAGE(Grandview_Inventory[[#This Row],[qual_adj]:[size_adj]])</f>
        <v>0.96300472923636971</v>
      </c>
      <c r="BY1069" s="6">
        <f>IF(Grandview_Inventory[[#This Row],[pre_res]]&lt;0,0,Grandview_Inventory[[#This Row],[pre_res]]*Grandview_Inventory[[#This Row],[overall_adj]])</f>
        <v>340759.9185939203</v>
      </c>
      <c r="BZ1069" s="6">
        <f>(Grandview_Inventory[[#This Row],[sum_land]]-IF(Grandview_Inventory[[#This Row],[no_utilities]]=1,12000,0))/IF(Grandview_Inventory[[#This Row],[unbuildable]]=1,2,1)</f>
        <v>45695.532079096141</v>
      </c>
      <c r="CA106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069">
        <f>ROUND(Grandview_Inventory[[#This Row],[det_value]]*Lookups!$M$28,-2)</f>
        <v>0</v>
      </c>
      <c r="CC1069">
        <f>IF(ROUND(Grandview_Inventory[[#This Row],[adj_res]]*Lookups!$M$28,-2)&lt;Grandview_Inventory[[#This Row],[min_res]],Grandview_Inventory[[#This Row],[min_res]],ROUND(Grandview_Inventory[[#This Row],[adj_res]]*Lookups!$M$28,-2))</f>
        <v>323700</v>
      </c>
      <c r="CD1069">
        <f>Grandview_Inventory[[#This Row],[final_det]]+Grandview_Inventory[[#This Row],[final_res]]</f>
        <v>323700</v>
      </c>
      <c r="CE1069">
        <f>Grandview_Inventory[[#This Row],[final_land]]+Grandview_Inventory[[#This Row],[final_imp]]+Grandview_Inventory[[#This Row],[crop_value]]</f>
        <v>367100</v>
      </c>
      <c r="CG1069" t="str">
        <f t="shared" si="16"/>
        <v>update valuation set market_land =43400, market_bldg=323700, market_total =367100, market_mdno =401, market_date ='9/10/2023' where link_id = (select link_id from parcel where parcel_year = '2024' and parcel_id = '23092242457');</v>
      </c>
    </row>
    <row r="1070" spans="1:85" x14ac:dyDescent="0.25">
      <c r="A1070">
        <v>23092242458</v>
      </c>
      <c r="B1070">
        <v>0.17</v>
      </c>
      <c r="C1070">
        <v>7456</v>
      </c>
      <c r="D1070" t="s">
        <v>129</v>
      </c>
      <c r="E1070" t="s">
        <v>53</v>
      </c>
      <c r="F1070" t="s">
        <v>53</v>
      </c>
      <c r="G1070">
        <v>4</v>
      </c>
      <c r="H1070" t="s">
        <v>54</v>
      </c>
      <c r="I1070">
        <v>242300</v>
      </c>
      <c r="J1070">
        <v>43000</v>
      </c>
      <c r="K1070">
        <v>0.17</v>
      </c>
      <c r="L107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070">
        <v>0</v>
      </c>
      <c r="N1070">
        <v>0</v>
      </c>
      <c r="O1070">
        <v>0</v>
      </c>
      <c r="P1070">
        <v>13398.7528</v>
      </c>
      <c r="Q1070">
        <v>63903</v>
      </c>
      <c r="R1070">
        <f>(Grandview_Inventory[[#This Row],[ln_acres]]*Grandview_Inventory[[#This Row],[coeff]])+Grandview_Inventory[[#This Row],[const]]</f>
        <v>40160.988302686128</v>
      </c>
      <c r="S1070" t="s">
        <v>61</v>
      </c>
      <c r="T1070">
        <v>1</v>
      </c>
      <c r="U1070" t="s">
        <v>64</v>
      </c>
      <c r="V1070" t="s">
        <v>66</v>
      </c>
      <c r="W1070">
        <v>0</v>
      </c>
      <c r="X1070">
        <v>0</v>
      </c>
      <c r="Y1070">
        <v>18</v>
      </c>
      <c r="Z1070">
        <v>18</v>
      </c>
      <c r="AA1070">
        <v>20</v>
      </c>
      <c r="AB1070">
        <v>1500</v>
      </c>
      <c r="AC1070">
        <v>1475</v>
      </c>
      <c r="AD1070">
        <v>1475</v>
      </c>
      <c r="AE1070">
        <v>0</v>
      </c>
      <c r="AF1070">
        <v>0</v>
      </c>
      <c r="AG1070">
        <v>0</v>
      </c>
      <c r="AH1070">
        <v>0</v>
      </c>
      <c r="AI1070">
        <v>418</v>
      </c>
      <c r="AJ1070">
        <v>0</v>
      </c>
      <c r="AK1070">
        <v>0</v>
      </c>
      <c r="AL1070">
        <v>0</v>
      </c>
      <c r="AM1070">
        <v>195</v>
      </c>
      <c r="AN1070">
        <v>0</v>
      </c>
      <c r="AO1070">
        <v>105</v>
      </c>
      <c r="AP1070">
        <v>10</v>
      </c>
      <c r="AQ1070">
        <v>0</v>
      </c>
      <c r="AR1070">
        <v>0</v>
      </c>
      <c r="AS1070" t="s">
        <v>58</v>
      </c>
      <c r="AT1070">
        <v>1</v>
      </c>
      <c r="AU1070" t="s">
        <v>63</v>
      </c>
      <c r="AV1070" t="s">
        <v>64</v>
      </c>
      <c r="AW1070">
        <v>1</v>
      </c>
      <c r="AX1070">
        <v>3</v>
      </c>
      <c r="AY1070">
        <v>0</v>
      </c>
      <c r="AZ1070">
        <v>0</v>
      </c>
      <c r="BA1070">
        <v>100</v>
      </c>
      <c r="BB1070">
        <v>100</v>
      </c>
      <c r="BC1070">
        <v>100</v>
      </c>
      <c r="BD1070">
        <v>100</v>
      </c>
      <c r="BE1070">
        <v>1</v>
      </c>
      <c r="BF1070">
        <v>15000</v>
      </c>
      <c r="BG1070">
        <v>1000</v>
      </c>
      <c r="BH1070" s="6">
        <f>Grandview_Inventory[[#This Row],[land_extract]]*Lookups!$B$3</f>
        <v>46638.847281240982</v>
      </c>
      <c r="BI1070" s="6">
        <f>IF(Grandview_Inventory[[#This Row],[bldg_style]]="",0,Lookups!$B$2)</f>
        <v>155833.95000000001</v>
      </c>
      <c r="BJ1070" s="6">
        <f>_xlfn.IFNA(VLOOKUP(Grandview_Inventory[[#This Row],[quality]],Lookups!$H$2:$J$14,3,FALSE),0)</f>
        <v>20768</v>
      </c>
      <c r="BK1070" s="6">
        <f>_xlfn.IFNA(VLOOKUP(Grandview_Inventory[[#This Row],[condition]],Lookups!$H$17:$J$24,3,FALSE),0)</f>
        <v>25818</v>
      </c>
      <c r="BL1070" s="6">
        <f>Grandview_Inventory[[#This Row],[Eff_Age]]*Lookups!$B$14</f>
        <v>-4304.9987999999994</v>
      </c>
      <c r="BM1070" s="6">
        <f>Grandview_Inventory[[#This Row],[living_area]]*Lookups!$B$15</f>
        <v>92011.75817500001</v>
      </c>
      <c r="BN1070" s="6">
        <f>Grandview_Inventory[[#This Row],[Fin BSMT]]*Lookups!$B$16</f>
        <v>0</v>
      </c>
      <c r="BO1070" s="6">
        <f>(Grandview_Inventory[[#This Row],[att_gar]]+Grandview_Inventory[[#This Row],[bltin_gar]])*Lookups!$B$17</f>
        <v>36583.542666000001</v>
      </c>
      <c r="BP1070" s="6">
        <f>Grandview_Inventory[[#This Row],[Plumbing Fixtures]]*Lookups!$B$18</f>
        <v>20104.418000000001</v>
      </c>
      <c r="BQ1070" s="6">
        <f>Grandview_Inventory[[#This Row],[detatched_value]]*Lookups!$B$19</f>
        <v>0</v>
      </c>
      <c r="BR1070" s="6">
        <f>SUM(Grandview_Inventory[[#This Row],[Intercept]:[det_value]])*Grandview_Inventory[[#This Row],[res_pct]]</f>
        <v>346814.67004100006</v>
      </c>
      <c r="BS1070" s="6">
        <f>Grandview_Inventory[[#This Row],[land_value]]</f>
        <v>46638.847281240982</v>
      </c>
      <c r="BT1070" s="4">
        <f>_xlfn.IFNA(VLOOKUP(Grandview_Inventory[[#This Row],[quality]],Lookups!$A$26:$C$33,3,FALSE),1)</f>
        <v>0.94960540378902636</v>
      </c>
      <c r="BU1070" s="4">
        <f>_xlfn.IFNA(VLOOKUP(Grandview_Inventory[[#This Row],[condition]],Lookups!$A$37:$C$44,3,FALSE),1)</f>
        <v>0.96661476234146892</v>
      </c>
      <c r="BV1070" s="4">
        <f>IF(Grandview_Inventory[[#This Row],[bldg_style]]="",1,_xlfn.IFNA(VLOOKUP(Grandview_Inventory[[#This Row],[decade]],Lookups!$F$29:$H$43,3,FALSE),1))</f>
        <v>0.96737494181490646</v>
      </c>
      <c r="BW1070" s="4">
        <f>_xlfn.IFNA(VLOOKUP(Grandview_Inventory[[#This Row],[living_area_range]],Lookups!$F$47:$H$56,3,FALSE),1)</f>
        <v>0.96135087979789358</v>
      </c>
      <c r="BX1070" s="4">
        <f>AVERAGE(Grandview_Inventory[[#This Row],[qual_adj]:[size_adj]])</f>
        <v>0.9612364969358238</v>
      </c>
      <c r="BY1070" s="6">
        <f>IF(Grandview_Inventory[[#This Row],[pre_res]]&lt;0,0,Grandview_Inventory[[#This Row],[pre_res]]*Grandview_Inventory[[#This Row],[overall_adj]])</f>
        <v>333370.91851616453</v>
      </c>
      <c r="BZ1070" s="6">
        <f>(Grandview_Inventory[[#This Row],[sum_land]]-IF(Grandview_Inventory[[#This Row],[no_utilities]]=1,12000,0))/IF(Grandview_Inventory[[#This Row],[unbuildable]]=1,2,1)</f>
        <v>46638.847281240982</v>
      </c>
      <c r="CA107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070">
        <f>ROUND(Grandview_Inventory[[#This Row],[det_value]]*Lookups!$M$28,-2)</f>
        <v>0</v>
      </c>
      <c r="CC1070">
        <f>IF(ROUND(Grandview_Inventory[[#This Row],[adj_res]]*Lookups!$M$28,-2)&lt;Grandview_Inventory[[#This Row],[min_res]],Grandview_Inventory[[#This Row],[min_res]],ROUND(Grandview_Inventory[[#This Row],[adj_res]]*Lookups!$M$28,-2))</f>
        <v>316700</v>
      </c>
      <c r="CD1070">
        <f>Grandview_Inventory[[#This Row],[final_det]]+Grandview_Inventory[[#This Row],[final_res]]</f>
        <v>316700</v>
      </c>
      <c r="CE1070">
        <f>Grandview_Inventory[[#This Row],[final_land]]+Grandview_Inventory[[#This Row],[final_imp]]+Grandview_Inventory[[#This Row],[crop_value]]</f>
        <v>361000</v>
      </c>
      <c r="CG1070" t="str">
        <f t="shared" si="16"/>
        <v>update valuation set market_land =44300, market_bldg=316700, market_total =361000, market_mdno =401, market_date ='9/10/2023' where link_id = (select link_id from parcel where parcel_year = '2024' and parcel_id = '23092242458');</v>
      </c>
    </row>
    <row r="1071" spans="1:85" x14ac:dyDescent="0.25">
      <c r="A1071">
        <v>23092242459</v>
      </c>
      <c r="B1071">
        <v>0.19</v>
      </c>
      <c r="C1071">
        <v>8465</v>
      </c>
      <c r="D1071" t="s">
        <v>129</v>
      </c>
      <c r="E1071" t="s">
        <v>53</v>
      </c>
      <c r="F1071" t="s">
        <v>53</v>
      </c>
      <c r="G1071">
        <v>4</v>
      </c>
      <c r="H1071" t="s">
        <v>54</v>
      </c>
      <c r="I1071">
        <v>329700</v>
      </c>
      <c r="J1071">
        <v>43500</v>
      </c>
      <c r="K1071">
        <v>0.19</v>
      </c>
      <c r="L107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71">
        <v>0</v>
      </c>
      <c r="N1071">
        <v>0</v>
      </c>
      <c r="O1071">
        <v>0</v>
      </c>
      <c r="P1071">
        <v>13398.7528</v>
      </c>
      <c r="Q1071">
        <v>63903</v>
      </c>
      <c r="R1071">
        <f>(Grandview_Inventory[[#This Row],[ln_acres]]*Grandview_Inventory[[#This Row],[coeff]])+Grandview_Inventory[[#This Row],[const]]</f>
        <v>41651.273092551026</v>
      </c>
      <c r="S1071" t="s">
        <v>58</v>
      </c>
      <c r="T1071">
        <v>1</v>
      </c>
      <c r="U1071" t="s">
        <v>56</v>
      </c>
      <c r="V1071" t="s">
        <v>66</v>
      </c>
      <c r="W1071">
        <v>30700</v>
      </c>
      <c r="X1071">
        <v>0</v>
      </c>
      <c r="Y1071">
        <v>18</v>
      </c>
      <c r="Z1071">
        <v>18</v>
      </c>
      <c r="AA1071">
        <v>20</v>
      </c>
      <c r="AB1071">
        <v>2000</v>
      </c>
      <c r="AC1071">
        <v>1965</v>
      </c>
      <c r="AD1071">
        <v>1965</v>
      </c>
      <c r="AE1071">
        <v>0</v>
      </c>
      <c r="AF1071">
        <v>0</v>
      </c>
      <c r="AG1071">
        <v>0</v>
      </c>
      <c r="AH1071">
        <v>0</v>
      </c>
      <c r="AI1071">
        <v>930</v>
      </c>
      <c r="AJ1071">
        <v>0</v>
      </c>
      <c r="AK1071">
        <v>0</v>
      </c>
      <c r="AL1071">
        <v>0</v>
      </c>
      <c r="AM1071">
        <v>112</v>
      </c>
      <c r="AN1071">
        <v>226</v>
      </c>
      <c r="AO1071">
        <v>68</v>
      </c>
      <c r="AP1071">
        <v>11</v>
      </c>
      <c r="AQ1071">
        <v>1</v>
      </c>
      <c r="AR1071">
        <v>0</v>
      </c>
      <c r="AS1071" t="s">
        <v>58</v>
      </c>
      <c r="AT1071">
        <v>1</v>
      </c>
      <c r="AU1071" t="s">
        <v>59</v>
      </c>
      <c r="AV1071" t="s">
        <v>60</v>
      </c>
      <c r="AW1071">
        <v>1</v>
      </c>
      <c r="AX1071">
        <v>3</v>
      </c>
      <c r="AY1071">
        <v>0</v>
      </c>
      <c r="AZ1071">
        <v>35500</v>
      </c>
      <c r="BA1071">
        <v>100</v>
      </c>
      <c r="BB1071">
        <v>100</v>
      </c>
      <c r="BC1071">
        <v>100</v>
      </c>
      <c r="BD1071">
        <v>100</v>
      </c>
      <c r="BE1071">
        <v>1</v>
      </c>
      <c r="BF1071">
        <v>15000</v>
      </c>
      <c r="BG1071">
        <v>1000</v>
      </c>
      <c r="BH1071" s="6">
        <f>Grandview_Inventory[[#This Row],[land_extract]]*Lookups!$B$3</f>
        <v>48369.510983942157</v>
      </c>
      <c r="BI1071" s="6">
        <f>IF(Grandview_Inventory[[#This Row],[bldg_style]]="",0,Lookups!$B$2)</f>
        <v>155833.95000000001</v>
      </c>
      <c r="BJ1071" s="6">
        <f>_xlfn.IFNA(VLOOKUP(Grandview_Inventory[[#This Row],[quality]],Lookups!$H$2:$J$14,3,FALSE),0)</f>
        <v>56323</v>
      </c>
      <c r="BK1071" s="6">
        <f>_xlfn.IFNA(VLOOKUP(Grandview_Inventory[[#This Row],[condition]],Lookups!$H$17:$J$24,3,FALSE),0)</f>
        <v>25818</v>
      </c>
      <c r="BL1071" s="6">
        <f>Grandview_Inventory[[#This Row],[Eff_Age]]*Lookups!$B$14</f>
        <v>-4304.9987999999994</v>
      </c>
      <c r="BM1071" s="6">
        <f>Grandview_Inventory[[#This Row],[living_area]]*Lookups!$B$15</f>
        <v>122578.376145</v>
      </c>
      <c r="BN1071" s="6">
        <f>Grandview_Inventory[[#This Row],[Fin BSMT]]*Lookups!$B$16</f>
        <v>0</v>
      </c>
      <c r="BO1071" s="6">
        <f>(Grandview_Inventory[[#This Row],[att_gar]]+Grandview_Inventory[[#This Row],[bltin_gar]])*Lookups!$B$17</f>
        <v>81394.006410000002</v>
      </c>
      <c r="BP1071" s="6">
        <f>Grandview_Inventory[[#This Row],[Plumbing Fixtures]]*Lookups!$B$18</f>
        <v>22114.859800000002</v>
      </c>
      <c r="BQ1071" s="6">
        <f>Grandview_Inventory[[#This Row],[detatched_value]]*Lookups!$B$19</f>
        <v>30061.581050000001</v>
      </c>
      <c r="BR1071" s="6">
        <f>SUM(Grandview_Inventory[[#This Row],[Intercept]:[det_value]])*Grandview_Inventory[[#This Row],[res_pct]]</f>
        <v>489818.77460499998</v>
      </c>
      <c r="BS1071" s="6">
        <f>Grandview_Inventory[[#This Row],[land_value]]</f>
        <v>48369.510983942157</v>
      </c>
      <c r="BT1071" s="4">
        <f>_xlfn.IFNA(VLOOKUP(Grandview_Inventory[[#This Row],[quality]],Lookups!$A$26:$C$33,3,FALSE),1)</f>
        <v>0.76437650671582003</v>
      </c>
      <c r="BU1071" s="4">
        <f>_xlfn.IFNA(VLOOKUP(Grandview_Inventory[[#This Row],[condition]],Lookups!$A$37:$C$44,3,FALSE),1)</f>
        <v>0.96661476234146892</v>
      </c>
      <c r="BV1071" s="4">
        <f>IF(Grandview_Inventory[[#This Row],[bldg_style]]="",1,_xlfn.IFNA(VLOOKUP(Grandview_Inventory[[#This Row],[decade]],Lookups!$F$29:$H$43,3,FALSE),1))</f>
        <v>0.96737494181490646</v>
      </c>
      <c r="BW1071" s="4">
        <f>_xlfn.IFNA(VLOOKUP(Grandview_Inventory[[#This Row],[living_area_range]],Lookups!$F$47:$H$56,3,FALSE),1)</f>
        <v>0.96120133463014379</v>
      </c>
      <c r="BX1071" s="4">
        <f>AVERAGE(Grandview_Inventory[[#This Row],[qual_adj]:[size_adj]])</f>
        <v>0.91489188637558483</v>
      </c>
      <c r="BY1071" s="6">
        <f>IF(Grandview_Inventory[[#This Row],[pre_res]]&lt;0,0,Grandview_Inventory[[#This Row],[pre_res]]*Grandview_Inventory[[#This Row],[overall_adj]])</f>
        <v>448131.22268054582</v>
      </c>
      <c r="BZ1071" s="6">
        <f>(Grandview_Inventory[[#This Row],[sum_land]]-IF(Grandview_Inventory[[#This Row],[no_utilities]]=1,12000,0))/IF(Grandview_Inventory[[#This Row],[unbuildable]]=1,2,1)</f>
        <v>48369.510983942157</v>
      </c>
      <c r="CA107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71">
        <f>ROUND(Grandview_Inventory[[#This Row],[det_value]]*Lookups!$M$28,-2)</f>
        <v>28600</v>
      </c>
      <c r="CC1071">
        <f>IF(ROUND(Grandview_Inventory[[#This Row],[adj_res]]*Lookups!$M$28,-2)&lt;Grandview_Inventory[[#This Row],[min_res]],Grandview_Inventory[[#This Row],[min_res]],ROUND(Grandview_Inventory[[#This Row],[adj_res]]*Lookups!$M$28,-2))</f>
        <v>425700</v>
      </c>
      <c r="CD1071">
        <f>Grandview_Inventory[[#This Row],[final_det]]+Grandview_Inventory[[#This Row],[final_res]]</f>
        <v>454300</v>
      </c>
      <c r="CE1071">
        <f>Grandview_Inventory[[#This Row],[final_land]]+Grandview_Inventory[[#This Row],[final_imp]]+Grandview_Inventory[[#This Row],[crop_value]]</f>
        <v>500300</v>
      </c>
      <c r="CG1071" t="str">
        <f t="shared" si="16"/>
        <v>update valuation set market_land =46000, market_bldg=454300, market_total =500300, market_mdno =401, market_date ='9/10/2023' where link_id = (select link_id from parcel where parcel_year = '2024' and parcel_id = '23092242459');</v>
      </c>
    </row>
    <row r="1072" spans="1:85" x14ac:dyDescent="0.25">
      <c r="A1072">
        <v>23092242460</v>
      </c>
      <c r="B1072">
        <v>0.35</v>
      </c>
      <c r="C1072">
        <v>15065</v>
      </c>
      <c r="D1072" t="s">
        <v>129</v>
      </c>
      <c r="E1072" t="s">
        <v>53</v>
      </c>
      <c r="F1072" t="s">
        <v>53</v>
      </c>
      <c r="G1072">
        <v>4</v>
      </c>
      <c r="H1072" t="s">
        <v>54</v>
      </c>
      <c r="I1072">
        <v>291600</v>
      </c>
      <c r="J1072">
        <v>45800</v>
      </c>
      <c r="K1072">
        <v>0.35</v>
      </c>
      <c r="L1072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072">
        <v>0</v>
      </c>
      <c r="N1072">
        <v>0</v>
      </c>
      <c r="O1072">
        <v>0</v>
      </c>
      <c r="P1072">
        <v>13398.7528</v>
      </c>
      <c r="Q1072">
        <v>63903</v>
      </c>
      <c r="R1072">
        <f>(Grandview_Inventory[[#This Row],[ln_acres]]*Grandview_Inventory[[#This Row],[coeff]])+Grandview_Inventory[[#This Row],[const]]</f>
        <v>49836.692869871389</v>
      </c>
      <c r="S1072" t="s">
        <v>58</v>
      </c>
      <c r="T1072">
        <v>1</v>
      </c>
      <c r="U1072" t="s">
        <v>64</v>
      </c>
      <c r="V1072" t="s">
        <v>66</v>
      </c>
      <c r="W1072">
        <v>0</v>
      </c>
      <c r="X1072">
        <v>0</v>
      </c>
      <c r="Y1072">
        <v>17</v>
      </c>
      <c r="Z1072">
        <v>17</v>
      </c>
      <c r="AA1072">
        <v>20</v>
      </c>
      <c r="AB1072">
        <v>2500</v>
      </c>
      <c r="AC1072">
        <v>2264</v>
      </c>
      <c r="AD1072">
        <v>1976</v>
      </c>
      <c r="AE1072">
        <v>0</v>
      </c>
      <c r="AF1072">
        <v>288</v>
      </c>
      <c r="AG1072">
        <v>0</v>
      </c>
      <c r="AH1072">
        <v>0</v>
      </c>
      <c r="AI1072">
        <v>576</v>
      </c>
      <c r="AJ1072">
        <v>0</v>
      </c>
      <c r="AK1072">
        <v>0</v>
      </c>
      <c r="AL1072">
        <v>0</v>
      </c>
      <c r="AM1072">
        <v>0</v>
      </c>
      <c r="AN1072">
        <v>497</v>
      </c>
      <c r="AO1072">
        <v>0</v>
      </c>
      <c r="AP1072">
        <v>10</v>
      </c>
      <c r="AQ1072">
        <v>0</v>
      </c>
      <c r="AR1072">
        <v>0</v>
      </c>
      <c r="AS1072" t="s">
        <v>58</v>
      </c>
      <c r="AT1072">
        <v>1</v>
      </c>
      <c r="AU1072" t="s">
        <v>63</v>
      </c>
      <c r="AV1072" t="s">
        <v>64</v>
      </c>
      <c r="AW1072">
        <v>1</v>
      </c>
      <c r="AX1072">
        <v>4</v>
      </c>
      <c r="AY1072">
        <v>0</v>
      </c>
      <c r="AZ1072">
        <v>0</v>
      </c>
      <c r="BA1072">
        <v>100</v>
      </c>
      <c r="BB1072">
        <v>100</v>
      </c>
      <c r="BC1072">
        <v>100</v>
      </c>
      <c r="BD1072">
        <v>100</v>
      </c>
      <c r="BE1072">
        <v>1</v>
      </c>
      <c r="BF1072">
        <v>15000</v>
      </c>
      <c r="BG1072">
        <v>1000</v>
      </c>
      <c r="BH1072" s="6">
        <f>Grandview_Inventory[[#This Row],[land_extract]]*Lookups!$B$3</f>
        <v>57875.216870710894</v>
      </c>
      <c r="BI1072" s="6">
        <f>IF(Grandview_Inventory[[#This Row],[bldg_style]]="",0,Lookups!$B$2)</f>
        <v>155833.95000000001</v>
      </c>
      <c r="BJ1072" s="6">
        <f>_xlfn.IFNA(VLOOKUP(Grandview_Inventory[[#This Row],[quality]],Lookups!$H$2:$J$14,3,FALSE),0)</f>
        <v>20768</v>
      </c>
      <c r="BK1072" s="6">
        <f>_xlfn.IFNA(VLOOKUP(Grandview_Inventory[[#This Row],[condition]],Lookups!$H$17:$J$24,3,FALSE),0)</f>
        <v>25818</v>
      </c>
      <c r="BL1072" s="6">
        <f>Grandview_Inventory[[#This Row],[Eff_Age]]*Lookups!$B$14</f>
        <v>-4065.8321999999998</v>
      </c>
      <c r="BM1072" s="6">
        <f>Grandview_Inventory[[#This Row],[living_area]]*Lookups!$B$15</f>
        <v>141230.251192</v>
      </c>
      <c r="BN1072" s="6">
        <f>Grandview_Inventory[[#This Row],[Fin BSMT]]*Lookups!$B$16</f>
        <v>0</v>
      </c>
      <c r="BO1072" s="6">
        <f>(Grandview_Inventory[[#This Row],[att_gar]]+Grandview_Inventory[[#This Row],[bltin_gar]])*Lookups!$B$17</f>
        <v>50411.771712000002</v>
      </c>
      <c r="BP1072" s="6">
        <f>Grandview_Inventory[[#This Row],[Plumbing Fixtures]]*Lookups!$B$18</f>
        <v>20104.418000000001</v>
      </c>
      <c r="BQ1072" s="6">
        <f>Grandview_Inventory[[#This Row],[detatched_value]]*Lookups!$B$19</f>
        <v>0</v>
      </c>
      <c r="BR1072" s="6">
        <f>SUM(Grandview_Inventory[[#This Row],[Intercept]:[det_value]])*Grandview_Inventory[[#This Row],[res_pct]]</f>
        <v>410100.55870400002</v>
      </c>
      <c r="BS1072" s="6">
        <f>Grandview_Inventory[[#This Row],[land_value]]</f>
        <v>57875.216870710894</v>
      </c>
      <c r="BT1072" s="4">
        <f>_xlfn.IFNA(VLOOKUP(Grandview_Inventory[[#This Row],[quality]],Lookups!$A$26:$C$33,3,FALSE),1)</f>
        <v>0.94960540378902636</v>
      </c>
      <c r="BU1072" s="4">
        <f>_xlfn.IFNA(VLOOKUP(Grandview_Inventory[[#This Row],[condition]],Lookups!$A$37:$C$44,3,FALSE),1)</f>
        <v>0.96661476234146892</v>
      </c>
      <c r="BV1072" s="4">
        <f>IF(Grandview_Inventory[[#This Row],[bldg_style]]="",1,_xlfn.IFNA(VLOOKUP(Grandview_Inventory[[#This Row],[decade]],Lookups!$F$29:$H$43,3,FALSE),1))</f>
        <v>0.96737494181490646</v>
      </c>
      <c r="BW1072" s="4">
        <f>_xlfn.IFNA(VLOOKUP(Grandview_Inventory[[#This Row],[living_area_range]],Lookups!$F$47:$H$56,3,FALSE),1)</f>
        <v>0.95799442568048754</v>
      </c>
      <c r="BX1072" s="4">
        <f>AVERAGE(Grandview_Inventory[[#This Row],[qual_adj]:[size_adj]])</f>
        <v>0.96039738340647229</v>
      </c>
      <c r="BY1072" s="6">
        <f>IF(Grandview_Inventory[[#This Row],[pre_res]]&lt;0,0,Grandview_Inventory[[#This Row],[pre_res]]*Grandview_Inventory[[#This Row],[overall_adj]])</f>
        <v>393859.50351285399</v>
      </c>
      <c r="BZ1072" s="6">
        <f>(Grandview_Inventory[[#This Row],[sum_land]]-IF(Grandview_Inventory[[#This Row],[no_utilities]]=1,12000,0))/IF(Grandview_Inventory[[#This Row],[unbuildable]]=1,2,1)</f>
        <v>57875.216870710894</v>
      </c>
      <c r="CA1072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072">
        <f>ROUND(Grandview_Inventory[[#This Row],[det_value]]*Lookups!$M$28,-2)</f>
        <v>0</v>
      </c>
      <c r="CC1072">
        <f>IF(ROUND(Grandview_Inventory[[#This Row],[adj_res]]*Lookups!$M$28,-2)&lt;Grandview_Inventory[[#This Row],[min_res]],Grandview_Inventory[[#This Row],[min_res]],ROUND(Grandview_Inventory[[#This Row],[adj_res]]*Lookups!$M$28,-2))</f>
        <v>374200</v>
      </c>
      <c r="CD1072">
        <f>Grandview_Inventory[[#This Row],[final_det]]+Grandview_Inventory[[#This Row],[final_res]]</f>
        <v>374200</v>
      </c>
      <c r="CE1072">
        <f>Grandview_Inventory[[#This Row],[final_land]]+Grandview_Inventory[[#This Row],[final_imp]]+Grandview_Inventory[[#This Row],[crop_value]]</f>
        <v>429200</v>
      </c>
      <c r="CG1072" t="str">
        <f t="shared" si="16"/>
        <v>update valuation set market_land =55000, market_bldg=374200, market_total =429200, market_mdno =401, market_date ='9/10/2023' where link_id = (select link_id from parcel where parcel_year = '2024' and parcel_id = '23092242460');</v>
      </c>
    </row>
    <row r="1073" spans="1:85" x14ac:dyDescent="0.25">
      <c r="A1073">
        <v>23092242461</v>
      </c>
      <c r="B1073">
        <v>0.13</v>
      </c>
      <c r="C1073">
        <v>5602</v>
      </c>
      <c r="D1073" t="s">
        <v>129</v>
      </c>
      <c r="E1073" t="s">
        <v>53</v>
      </c>
      <c r="F1073" t="s">
        <v>53</v>
      </c>
      <c r="G1073">
        <v>4</v>
      </c>
      <c r="H1073" t="s">
        <v>54</v>
      </c>
      <c r="I1073">
        <v>293400</v>
      </c>
      <c r="J1073">
        <v>42300</v>
      </c>
      <c r="K1073">
        <v>0.13</v>
      </c>
      <c r="L1073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073">
        <v>0</v>
      </c>
      <c r="N1073">
        <v>0</v>
      </c>
      <c r="O1073">
        <v>0</v>
      </c>
      <c r="P1073">
        <v>13398.7528</v>
      </c>
      <c r="Q1073">
        <v>63903</v>
      </c>
      <c r="R1073">
        <f>(Grandview_Inventory[[#This Row],[ln_acres]]*Grandview_Inventory[[#This Row],[coeff]])+Grandview_Inventory[[#This Row],[const]]</f>
        <v>36566.585461161507</v>
      </c>
      <c r="S1073" t="s">
        <v>58</v>
      </c>
      <c r="T1073">
        <v>1</v>
      </c>
      <c r="U1073" t="s">
        <v>64</v>
      </c>
      <c r="V1073" t="s">
        <v>66</v>
      </c>
      <c r="W1073">
        <v>0</v>
      </c>
      <c r="X1073">
        <v>0</v>
      </c>
      <c r="Y1073">
        <v>17</v>
      </c>
      <c r="Z1073">
        <v>17</v>
      </c>
      <c r="AA1073">
        <v>20</v>
      </c>
      <c r="AB1073">
        <v>2500</v>
      </c>
      <c r="AC1073">
        <v>2170</v>
      </c>
      <c r="AD1073">
        <v>1858</v>
      </c>
      <c r="AE1073">
        <v>0</v>
      </c>
      <c r="AF1073">
        <v>312</v>
      </c>
      <c r="AG1073">
        <v>0</v>
      </c>
      <c r="AH1073">
        <v>0</v>
      </c>
      <c r="AI1073">
        <v>598</v>
      </c>
      <c r="AJ1073">
        <v>0</v>
      </c>
      <c r="AK1073">
        <v>0</v>
      </c>
      <c r="AL1073">
        <v>0</v>
      </c>
      <c r="AM1073">
        <v>0</v>
      </c>
      <c r="AN1073">
        <v>50</v>
      </c>
      <c r="AO1073">
        <v>0</v>
      </c>
      <c r="AP1073">
        <v>9</v>
      </c>
      <c r="AQ1073">
        <v>0</v>
      </c>
      <c r="AR1073">
        <v>0</v>
      </c>
      <c r="AS1073" t="s">
        <v>58</v>
      </c>
      <c r="AT1073">
        <v>1</v>
      </c>
      <c r="AU1073" t="s">
        <v>63</v>
      </c>
      <c r="AV1073" t="s">
        <v>60</v>
      </c>
      <c r="AW1073">
        <v>1</v>
      </c>
      <c r="AX1073">
        <v>4</v>
      </c>
      <c r="AY1073">
        <v>0</v>
      </c>
      <c r="AZ1073">
        <v>0</v>
      </c>
      <c r="BA1073">
        <v>100</v>
      </c>
      <c r="BB1073">
        <v>100</v>
      </c>
      <c r="BC1073">
        <v>100</v>
      </c>
      <c r="BD1073">
        <v>100</v>
      </c>
      <c r="BE1073">
        <v>1</v>
      </c>
      <c r="BF1073">
        <v>15000</v>
      </c>
      <c r="BG1073">
        <v>1000</v>
      </c>
      <c r="BH1073" s="6">
        <f>Grandview_Inventory[[#This Row],[land_extract]]*Lookups!$B$3</f>
        <v>42464.67696626611</v>
      </c>
      <c r="BI1073" s="6">
        <f>IF(Grandview_Inventory[[#This Row],[bldg_style]]="",0,Lookups!$B$2)</f>
        <v>155833.95000000001</v>
      </c>
      <c r="BJ1073" s="6">
        <f>_xlfn.IFNA(VLOOKUP(Grandview_Inventory[[#This Row],[quality]],Lookups!$H$2:$J$14,3,FALSE),0)</f>
        <v>20768</v>
      </c>
      <c r="BK1073" s="6">
        <f>_xlfn.IFNA(VLOOKUP(Grandview_Inventory[[#This Row],[condition]],Lookups!$H$17:$J$24,3,FALSE),0)</f>
        <v>25818</v>
      </c>
      <c r="BL1073" s="6">
        <f>Grandview_Inventory[[#This Row],[Eff_Age]]*Lookups!$B$14</f>
        <v>-4065.8321999999998</v>
      </c>
      <c r="BM1073" s="6">
        <f>Grandview_Inventory[[#This Row],[living_area]]*Lookups!$B$15</f>
        <v>135366.45100999999</v>
      </c>
      <c r="BN1073" s="6">
        <f>Grandview_Inventory[[#This Row],[Fin BSMT]]*Lookups!$B$16</f>
        <v>0</v>
      </c>
      <c r="BO1073" s="6">
        <f>(Grandview_Inventory[[#This Row],[att_gar]]+Grandview_Inventory[[#This Row],[bltin_gar]])*Lookups!$B$17</f>
        <v>52337.221325999999</v>
      </c>
      <c r="BP1073" s="6">
        <f>Grandview_Inventory[[#This Row],[Plumbing Fixtures]]*Lookups!$B$18</f>
        <v>18093.976200000001</v>
      </c>
      <c r="BQ1073" s="6">
        <f>Grandview_Inventory[[#This Row],[detatched_value]]*Lookups!$B$19</f>
        <v>0</v>
      </c>
      <c r="BR1073" s="6">
        <f>SUM(Grandview_Inventory[[#This Row],[Intercept]:[det_value]])*Grandview_Inventory[[#This Row],[res_pct]]</f>
        <v>404151.76633599994</v>
      </c>
      <c r="BS1073" s="6">
        <f>Grandview_Inventory[[#This Row],[land_value]]</f>
        <v>42464.67696626611</v>
      </c>
      <c r="BT1073" s="4">
        <f>_xlfn.IFNA(VLOOKUP(Grandview_Inventory[[#This Row],[quality]],Lookups!$A$26:$C$33,3,FALSE),1)</f>
        <v>0.94960540378902636</v>
      </c>
      <c r="BU1073" s="4">
        <f>_xlfn.IFNA(VLOOKUP(Grandview_Inventory[[#This Row],[condition]],Lookups!$A$37:$C$44,3,FALSE),1)</f>
        <v>0.96661476234146892</v>
      </c>
      <c r="BV1073" s="4">
        <f>IF(Grandview_Inventory[[#This Row],[bldg_style]]="",1,_xlfn.IFNA(VLOOKUP(Grandview_Inventory[[#This Row],[decade]],Lookups!$F$29:$H$43,3,FALSE),1))</f>
        <v>0.96737494181490646</v>
      </c>
      <c r="BW1073" s="4">
        <f>_xlfn.IFNA(VLOOKUP(Grandview_Inventory[[#This Row],[living_area_range]],Lookups!$F$47:$H$56,3,FALSE),1)</f>
        <v>0.95799442568048754</v>
      </c>
      <c r="BX1073" s="4">
        <f>AVERAGE(Grandview_Inventory[[#This Row],[qual_adj]:[size_adj]])</f>
        <v>0.96039738340647229</v>
      </c>
      <c r="BY1073" s="6">
        <f>IF(Grandview_Inventory[[#This Row],[pre_res]]&lt;0,0,Grandview_Inventory[[#This Row],[pre_res]]*Grandview_Inventory[[#This Row],[overall_adj]])</f>
        <v>388146.29888819833</v>
      </c>
      <c r="BZ1073" s="6">
        <f>(Grandview_Inventory[[#This Row],[sum_land]]-IF(Grandview_Inventory[[#This Row],[no_utilities]]=1,12000,0))/IF(Grandview_Inventory[[#This Row],[unbuildable]]=1,2,1)</f>
        <v>42464.67696626611</v>
      </c>
      <c r="CA1073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073">
        <f>ROUND(Grandview_Inventory[[#This Row],[det_value]]*Lookups!$M$28,-2)</f>
        <v>0</v>
      </c>
      <c r="CC1073">
        <f>IF(ROUND(Grandview_Inventory[[#This Row],[adj_res]]*Lookups!$M$28,-2)&lt;Grandview_Inventory[[#This Row],[min_res]],Grandview_Inventory[[#This Row],[min_res]],ROUND(Grandview_Inventory[[#This Row],[adj_res]]*Lookups!$M$28,-2))</f>
        <v>368700</v>
      </c>
      <c r="CD1073">
        <f>Grandview_Inventory[[#This Row],[final_det]]+Grandview_Inventory[[#This Row],[final_res]]</f>
        <v>368700</v>
      </c>
      <c r="CE1073">
        <f>Grandview_Inventory[[#This Row],[final_land]]+Grandview_Inventory[[#This Row],[final_imp]]+Grandview_Inventory[[#This Row],[crop_value]]</f>
        <v>409000</v>
      </c>
      <c r="CG1073" t="str">
        <f t="shared" si="16"/>
        <v>update valuation set market_land =40300, market_bldg=368700, market_total =409000, market_mdno =401, market_date ='9/10/2023' where link_id = (select link_id from parcel where parcel_year = '2024' and parcel_id = '23092242461');</v>
      </c>
    </row>
    <row r="1074" spans="1:85" x14ac:dyDescent="0.25">
      <c r="A1074">
        <v>23092242462</v>
      </c>
      <c r="B1074">
        <v>0.18</v>
      </c>
      <c r="C1074">
        <v>8013</v>
      </c>
      <c r="D1074" t="s">
        <v>129</v>
      </c>
      <c r="E1074" t="s">
        <v>53</v>
      </c>
      <c r="F1074" t="s">
        <v>53</v>
      </c>
      <c r="G1074">
        <v>4</v>
      </c>
      <c r="H1074" t="s">
        <v>54</v>
      </c>
      <c r="I1074">
        <v>295400</v>
      </c>
      <c r="J1074">
        <v>43100</v>
      </c>
      <c r="K1074">
        <v>0.18</v>
      </c>
      <c r="L107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74">
        <v>0</v>
      </c>
      <c r="N1074">
        <v>0</v>
      </c>
      <c r="O1074">
        <v>0</v>
      </c>
      <c r="P1074">
        <v>13398.7528</v>
      </c>
      <c r="Q1074">
        <v>63903</v>
      </c>
      <c r="R1074">
        <f>(Grandview_Inventory[[#This Row],[ln_acres]]*Grandview_Inventory[[#This Row],[coeff]])+Grandview_Inventory[[#This Row],[const]]</f>
        <v>40926.839760167699</v>
      </c>
      <c r="S1074" t="s">
        <v>58</v>
      </c>
      <c r="T1074">
        <v>1</v>
      </c>
      <c r="U1074" t="s">
        <v>64</v>
      </c>
      <c r="V1074" t="s">
        <v>66</v>
      </c>
      <c r="W1074">
        <v>0</v>
      </c>
      <c r="X1074">
        <v>0</v>
      </c>
      <c r="Y1074">
        <v>17</v>
      </c>
      <c r="Z1074">
        <v>17</v>
      </c>
      <c r="AA1074">
        <v>20</v>
      </c>
      <c r="AB1074">
        <v>2500</v>
      </c>
      <c r="AC1074">
        <v>2257</v>
      </c>
      <c r="AD1074">
        <v>1997</v>
      </c>
      <c r="AE1074">
        <v>0</v>
      </c>
      <c r="AF1074">
        <v>260</v>
      </c>
      <c r="AG1074">
        <v>0</v>
      </c>
      <c r="AH1074">
        <v>0</v>
      </c>
      <c r="AI1074">
        <v>520</v>
      </c>
      <c r="AJ1074">
        <v>0</v>
      </c>
      <c r="AK1074">
        <v>0</v>
      </c>
      <c r="AL1074">
        <v>0</v>
      </c>
      <c r="AM1074">
        <v>0</v>
      </c>
      <c r="AN1074">
        <v>327</v>
      </c>
      <c r="AO1074">
        <v>0</v>
      </c>
      <c r="AP1074">
        <v>10</v>
      </c>
      <c r="AQ1074">
        <v>0</v>
      </c>
      <c r="AR1074">
        <v>0</v>
      </c>
      <c r="AS1074" t="s">
        <v>58</v>
      </c>
      <c r="AT1074">
        <v>1</v>
      </c>
      <c r="AU1074" t="s">
        <v>63</v>
      </c>
      <c r="AV1074" t="s">
        <v>60</v>
      </c>
      <c r="AW1074">
        <v>1</v>
      </c>
      <c r="AX1074">
        <v>3</v>
      </c>
      <c r="AY1074">
        <v>0</v>
      </c>
      <c r="AZ1074">
        <v>0</v>
      </c>
      <c r="BA1074">
        <v>100</v>
      </c>
      <c r="BB1074">
        <v>100</v>
      </c>
      <c r="BC1074">
        <v>100</v>
      </c>
      <c r="BD1074">
        <v>100</v>
      </c>
      <c r="BE1074">
        <v>1</v>
      </c>
      <c r="BF1074">
        <v>15000</v>
      </c>
      <c r="BG1074">
        <v>1000</v>
      </c>
      <c r="BH1074" s="6">
        <f>Grandview_Inventory[[#This Row],[land_extract]]*Lookups!$B$3</f>
        <v>47528.228511015397</v>
      </c>
      <c r="BI1074" s="6">
        <f>IF(Grandview_Inventory[[#This Row],[bldg_style]]="",0,Lookups!$B$2)</f>
        <v>155833.95000000001</v>
      </c>
      <c r="BJ1074" s="6">
        <f>_xlfn.IFNA(VLOOKUP(Grandview_Inventory[[#This Row],[quality]],Lookups!$H$2:$J$14,3,FALSE),0)</f>
        <v>20768</v>
      </c>
      <c r="BK1074" s="6">
        <f>_xlfn.IFNA(VLOOKUP(Grandview_Inventory[[#This Row],[condition]],Lookups!$H$17:$J$24,3,FALSE),0)</f>
        <v>25818</v>
      </c>
      <c r="BL1074" s="6">
        <f>Grandview_Inventory[[#This Row],[Eff_Age]]*Lookups!$B$14</f>
        <v>-4065.8321999999998</v>
      </c>
      <c r="BM1074" s="6">
        <f>Grandview_Inventory[[#This Row],[living_area]]*Lookups!$B$15</f>
        <v>140793.58522100002</v>
      </c>
      <c r="BN1074" s="6">
        <f>Grandview_Inventory[[#This Row],[Fin BSMT]]*Lookups!$B$16</f>
        <v>0</v>
      </c>
      <c r="BO1074" s="6">
        <f>(Grandview_Inventory[[#This Row],[att_gar]]+Grandview_Inventory[[#This Row],[bltin_gar]])*Lookups!$B$17</f>
        <v>45510.627240000002</v>
      </c>
      <c r="BP1074" s="6">
        <f>Grandview_Inventory[[#This Row],[Plumbing Fixtures]]*Lookups!$B$18</f>
        <v>20104.418000000001</v>
      </c>
      <c r="BQ1074" s="6">
        <f>Grandview_Inventory[[#This Row],[detatched_value]]*Lookups!$B$19</f>
        <v>0</v>
      </c>
      <c r="BR1074" s="6">
        <f>SUM(Grandview_Inventory[[#This Row],[Intercept]:[det_value]])*Grandview_Inventory[[#This Row],[res_pct]]</f>
        <v>404762.74826100003</v>
      </c>
      <c r="BS1074" s="6">
        <f>Grandview_Inventory[[#This Row],[land_value]]</f>
        <v>47528.228511015397</v>
      </c>
      <c r="BT1074" s="4">
        <f>_xlfn.IFNA(VLOOKUP(Grandview_Inventory[[#This Row],[quality]],Lookups!$A$26:$C$33,3,FALSE),1)</f>
        <v>0.94960540378902636</v>
      </c>
      <c r="BU1074" s="4">
        <f>_xlfn.IFNA(VLOOKUP(Grandview_Inventory[[#This Row],[condition]],Lookups!$A$37:$C$44,3,FALSE),1)</f>
        <v>0.96661476234146892</v>
      </c>
      <c r="BV1074" s="4">
        <f>IF(Grandview_Inventory[[#This Row],[bldg_style]]="",1,_xlfn.IFNA(VLOOKUP(Grandview_Inventory[[#This Row],[decade]],Lookups!$F$29:$H$43,3,FALSE),1))</f>
        <v>0.96737494181490646</v>
      </c>
      <c r="BW1074" s="4">
        <f>_xlfn.IFNA(VLOOKUP(Grandview_Inventory[[#This Row],[living_area_range]],Lookups!$F$47:$H$56,3,FALSE),1)</f>
        <v>0.95799442568048754</v>
      </c>
      <c r="BX1074" s="4">
        <f>AVERAGE(Grandview_Inventory[[#This Row],[qual_adj]:[size_adj]])</f>
        <v>0.96039738340647229</v>
      </c>
      <c r="BY1074" s="6">
        <f>IF(Grandview_Inventory[[#This Row],[pre_res]]&lt;0,0,Grandview_Inventory[[#This Row],[pre_res]]*Grandview_Inventory[[#This Row],[overall_adj]])</f>
        <v>388733.08433027705</v>
      </c>
      <c r="BZ1074" s="6">
        <f>(Grandview_Inventory[[#This Row],[sum_land]]-IF(Grandview_Inventory[[#This Row],[no_utilities]]=1,12000,0))/IF(Grandview_Inventory[[#This Row],[unbuildable]]=1,2,1)</f>
        <v>47528.228511015397</v>
      </c>
      <c r="CA107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74">
        <f>ROUND(Grandview_Inventory[[#This Row],[det_value]]*Lookups!$M$28,-2)</f>
        <v>0</v>
      </c>
      <c r="CC1074">
        <f>IF(ROUND(Grandview_Inventory[[#This Row],[adj_res]]*Lookups!$M$28,-2)&lt;Grandview_Inventory[[#This Row],[min_res]],Grandview_Inventory[[#This Row],[min_res]],ROUND(Grandview_Inventory[[#This Row],[adj_res]]*Lookups!$M$28,-2))</f>
        <v>369300</v>
      </c>
      <c r="CD1074">
        <f>Grandview_Inventory[[#This Row],[final_det]]+Grandview_Inventory[[#This Row],[final_res]]</f>
        <v>369300</v>
      </c>
      <c r="CE1074">
        <f>Grandview_Inventory[[#This Row],[final_land]]+Grandview_Inventory[[#This Row],[final_imp]]+Grandview_Inventory[[#This Row],[crop_value]]</f>
        <v>414500</v>
      </c>
      <c r="CG1074" t="str">
        <f t="shared" si="16"/>
        <v>update valuation set market_land =45200, market_bldg=369300, market_total =414500, market_mdno =401, market_date ='9/10/2023' where link_id = (select link_id from parcel where parcel_year = '2024' and parcel_id = '23092242462');</v>
      </c>
    </row>
    <row r="1075" spans="1:85" x14ac:dyDescent="0.25">
      <c r="A1075">
        <v>23092242463</v>
      </c>
      <c r="B1075">
        <v>0.19</v>
      </c>
      <c r="C1075">
        <v>8063</v>
      </c>
      <c r="D1075" t="s">
        <v>129</v>
      </c>
      <c r="E1075" t="s">
        <v>53</v>
      </c>
      <c r="F1075" t="s">
        <v>53</v>
      </c>
      <c r="G1075">
        <v>4</v>
      </c>
      <c r="H1075" t="s">
        <v>54</v>
      </c>
      <c r="I1075">
        <v>247900</v>
      </c>
      <c r="J1075">
        <v>43100</v>
      </c>
      <c r="K1075">
        <v>0.19</v>
      </c>
      <c r="L10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75">
        <v>0</v>
      </c>
      <c r="N1075">
        <v>0</v>
      </c>
      <c r="O1075">
        <v>0</v>
      </c>
      <c r="P1075">
        <v>13398.7528</v>
      </c>
      <c r="Q1075">
        <v>63903</v>
      </c>
      <c r="R1075">
        <f>(Grandview_Inventory[[#This Row],[ln_acres]]*Grandview_Inventory[[#This Row],[coeff]])+Grandview_Inventory[[#This Row],[const]]</f>
        <v>41651.273092551026</v>
      </c>
      <c r="S1075" t="s">
        <v>58</v>
      </c>
      <c r="T1075">
        <v>1</v>
      </c>
      <c r="U1075" t="s">
        <v>56</v>
      </c>
      <c r="V1075" t="s">
        <v>66</v>
      </c>
      <c r="W1075">
        <v>30700</v>
      </c>
      <c r="X1075">
        <v>0</v>
      </c>
      <c r="Y1075">
        <v>16</v>
      </c>
      <c r="Z1075">
        <v>16</v>
      </c>
      <c r="AA1075">
        <v>20</v>
      </c>
      <c r="AB1075">
        <v>2000</v>
      </c>
      <c r="AC1075">
        <v>1970</v>
      </c>
      <c r="AD1075">
        <v>1710</v>
      </c>
      <c r="AE1075">
        <v>0</v>
      </c>
      <c r="AF1075">
        <v>260</v>
      </c>
      <c r="AG1075">
        <v>0</v>
      </c>
      <c r="AH1075">
        <v>0</v>
      </c>
      <c r="AI1075">
        <v>480</v>
      </c>
      <c r="AJ1075">
        <v>0</v>
      </c>
      <c r="AK1075">
        <v>0</v>
      </c>
      <c r="AL1075">
        <v>0</v>
      </c>
      <c r="AM1075">
        <v>0</v>
      </c>
      <c r="AN1075">
        <v>523</v>
      </c>
      <c r="AO1075">
        <v>0</v>
      </c>
      <c r="AP1075">
        <v>10</v>
      </c>
      <c r="AQ1075">
        <v>1</v>
      </c>
      <c r="AR1075">
        <v>0</v>
      </c>
      <c r="AS1075" t="s">
        <v>58</v>
      </c>
      <c r="AT1075">
        <v>1</v>
      </c>
      <c r="AU1075" t="s">
        <v>63</v>
      </c>
      <c r="AV1075" t="s">
        <v>64</v>
      </c>
      <c r="AW1075">
        <v>1</v>
      </c>
      <c r="AX1075">
        <v>3</v>
      </c>
      <c r="AY1075">
        <v>0</v>
      </c>
      <c r="AZ1075">
        <v>0</v>
      </c>
      <c r="BA1075">
        <v>100</v>
      </c>
      <c r="BB1075">
        <v>100</v>
      </c>
      <c r="BC1075">
        <v>100</v>
      </c>
      <c r="BD1075">
        <v>100</v>
      </c>
      <c r="BE1075">
        <v>1</v>
      </c>
      <c r="BF1075">
        <v>15000</v>
      </c>
      <c r="BG1075">
        <v>1000</v>
      </c>
      <c r="BH1075" s="6">
        <f>Grandview_Inventory[[#This Row],[land_extract]]*Lookups!$B$3</f>
        <v>48369.510983942157</v>
      </c>
      <c r="BI1075" s="6">
        <f>IF(Grandview_Inventory[[#This Row],[bldg_style]]="",0,Lookups!$B$2)</f>
        <v>155833.95000000001</v>
      </c>
      <c r="BJ1075" s="6">
        <f>_xlfn.IFNA(VLOOKUP(Grandview_Inventory[[#This Row],[quality]],Lookups!$H$2:$J$14,3,FALSE),0)</f>
        <v>56323</v>
      </c>
      <c r="BK1075" s="6">
        <f>_xlfn.IFNA(VLOOKUP(Grandview_Inventory[[#This Row],[condition]],Lookups!$H$17:$J$24,3,FALSE),0)</f>
        <v>25818</v>
      </c>
      <c r="BL1075" s="6">
        <f>Grandview_Inventory[[#This Row],[Eff_Age]]*Lookups!$B$14</f>
        <v>-3826.6655999999998</v>
      </c>
      <c r="BM1075" s="6">
        <f>Grandview_Inventory[[#This Row],[living_area]]*Lookups!$B$15</f>
        <v>122890.28041000001</v>
      </c>
      <c r="BN1075" s="6">
        <f>Grandview_Inventory[[#This Row],[Fin BSMT]]*Lookups!$B$16</f>
        <v>0</v>
      </c>
      <c r="BO1075" s="6">
        <f>(Grandview_Inventory[[#This Row],[att_gar]]+Grandview_Inventory[[#This Row],[bltin_gar]])*Lookups!$B$17</f>
        <v>42009.809760000004</v>
      </c>
      <c r="BP1075" s="6">
        <f>Grandview_Inventory[[#This Row],[Plumbing Fixtures]]*Lookups!$B$18</f>
        <v>20104.418000000001</v>
      </c>
      <c r="BQ1075" s="6">
        <f>Grandview_Inventory[[#This Row],[detatched_value]]*Lookups!$B$19</f>
        <v>0</v>
      </c>
      <c r="BR1075" s="6">
        <f>SUM(Grandview_Inventory[[#This Row],[Intercept]:[det_value]])*Grandview_Inventory[[#This Row],[res_pct]]</f>
        <v>419152.79256999999</v>
      </c>
      <c r="BS1075" s="6">
        <f>Grandview_Inventory[[#This Row],[land_value]]</f>
        <v>48369.510983942157</v>
      </c>
      <c r="BT1075" s="4">
        <f>_xlfn.IFNA(VLOOKUP(Grandview_Inventory[[#This Row],[quality]],Lookups!$A$26:$C$33,3,FALSE),1)</f>
        <v>0.76437650671582003</v>
      </c>
      <c r="BU1075" s="4">
        <f>_xlfn.IFNA(VLOOKUP(Grandview_Inventory[[#This Row],[condition]],Lookups!$A$37:$C$44,3,FALSE),1)</f>
        <v>0.96661476234146892</v>
      </c>
      <c r="BV1075" s="4">
        <f>IF(Grandview_Inventory[[#This Row],[bldg_style]]="",1,_xlfn.IFNA(VLOOKUP(Grandview_Inventory[[#This Row],[decade]],Lookups!$F$29:$H$43,3,FALSE),1))</f>
        <v>0.96737494181490646</v>
      </c>
      <c r="BW1075" s="4">
        <f>_xlfn.IFNA(VLOOKUP(Grandview_Inventory[[#This Row],[living_area_range]],Lookups!$F$47:$H$56,3,FALSE),1)</f>
        <v>0.96120133463014379</v>
      </c>
      <c r="BX1075" s="4">
        <f>AVERAGE(Grandview_Inventory[[#This Row],[qual_adj]:[size_adj]])</f>
        <v>0.91489188637558483</v>
      </c>
      <c r="BY1075" s="6">
        <f>IF(Grandview_Inventory[[#This Row],[pre_res]]&lt;0,0,Grandview_Inventory[[#This Row],[pre_res]]*Grandview_Inventory[[#This Row],[overall_adj]])</f>
        <v>383479.48907396151</v>
      </c>
      <c r="BZ1075" s="6">
        <f>(Grandview_Inventory[[#This Row],[sum_land]]-IF(Grandview_Inventory[[#This Row],[no_utilities]]=1,12000,0))/IF(Grandview_Inventory[[#This Row],[unbuildable]]=1,2,1)</f>
        <v>48369.510983942157</v>
      </c>
      <c r="CA10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75">
        <f>ROUND(Grandview_Inventory[[#This Row],[det_value]]*Lookups!$M$28,-2)</f>
        <v>0</v>
      </c>
      <c r="CC1075">
        <f>IF(ROUND(Grandview_Inventory[[#This Row],[adj_res]]*Lookups!$M$28,-2)&lt;Grandview_Inventory[[#This Row],[min_res]],Grandview_Inventory[[#This Row],[min_res]],ROUND(Grandview_Inventory[[#This Row],[adj_res]]*Lookups!$M$28,-2))</f>
        <v>364300</v>
      </c>
      <c r="CD1075">
        <f>Grandview_Inventory[[#This Row],[final_det]]+Grandview_Inventory[[#This Row],[final_res]]</f>
        <v>364300</v>
      </c>
      <c r="CE1075">
        <f>Grandview_Inventory[[#This Row],[final_land]]+Grandview_Inventory[[#This Row],[final_imp]]+Grandview_Inventory[[#This Row],[crop_value]]</f>
        <v>410300</v>
      </c>
      <c r="CG1075" t="str">
        <f t="shared" si="16"/>
        <v>update valuation set market_land =46000, market_bldg=364300, market_total =410300, market_mdno =401, market_date ='9/10/2023' where link_id = (select link_id from parcel where parcel_year = '2024' and parcel_id = '23092242463');</v>
      </c>
    </row>
    <row r="1076" spans="1:85" x14ac:dyDescent="0.25">
      <c r="A1076">
        <v>23092242464</v>
      </c>
      <c r="B1076">
        <v>0.19</v>
      </c>
      <c r="C1076">
        <v>8113</v>
      </c>
      <c r="D1076" t="s">
        <v>129</v>
      </c>
      <c r="E1076" t="s">
        <v>53</v>
      </c>
      <c r="F1076" t="s">
        <v>53</v>
      </c>
      <c r="G1076">
        <v>4</v>
      </c>
      <c r="H1076" t="s">
        <v>54</v>
      </c>
      <c r="I1076">
        <v>343400</v>
      </c>
      <c r="J1076">
        <v>43300</v>
      </c>
      <c r="K1076">
        <v>0.19</v>
      </c>
      <c r="L107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76">
        <v>0</v>
      </c>
      <c r="N1076">
        <v>0</v>
      </c>
      <c r="O1076">
        <v>0</v>
      </c>
      <c r="P1076">
        <v>13398.7528</v>
      </c>
      <c r="Q1076">
        <v>63903</v>
      </c>
      <c r="R1076">
        <f>(Grandview_Inventory[[#This Row],[ln_acres]]*Grandview_Inventory[[#This Row],[coeff]])+Grandview_Inventory[[#This Row],[const]]</f>
        <v>41651.273092551026</v>
      </c>
      <c r="S1076" t="s">
        <v>58</v>
      </c>
      <c r="T1076">
        <v>1</v>
      </c>
      <c r="U1076" t="s">
        <v>64</v>
      </c>
      <c r="V1076" t="s">
        <v>66</v>
      </c>
      <c r="W1076">
        <v>0</v>
      </c>
      <c r="X1076">
        <v>0</v>
      </c>
      <c r="Y1076">
        <v>16</v>
      </c>
      <c r="Z1076">
        <v>16</v>
      </c>
      <c r="AA1076">
        <v>20</v>
      </c>
      <c r="AB1076">
        <v>2500</v>
      </c>
      <c r="AC1076">
        <v>2193</v>
      </c>
      <c r="AD1076">
        <v>1973</v>
      </c>
      <c r="AE1076">
        <v>0</v>
      </c>
      <c r="AF1076">
        <v>220</v>
      </c>
      <c r="AG1076">
        <v>0</v>
      </c>
      <c r="AH1076">
        <v>0</v>
      </c>
      <c r="AI1076">
        <v>1212</v>
      </c>
      <c r="AJ1076">
        <v>0</v>
      </c>
      <c r="AK1076">
        <v>0</v>
      </c>
      <c r="AL1076">
        <v>0</v>
      </c>
      <c r="AM1076">
        <v>364</v>
      </c>
      <c r="AN1076">
        <v>337</v>
      </c>
      <c r="AO1076">
        <v>0</v>
      </c>
      <c r="AP1076">
        <v>10</v>
      </c>
      <c r="AQ1076">
        <v>1</v>
      </c>
      <c r="AR1076">
        <v>0</v>
      </c>
      <c r="AS1076" t="s">
        <v>58</v>
      </c>
      <c r="AT1076">
        <v>1</v>
      </c>
      <c r="AU1076" t="s">
        <v>63</v>
      </c>
      <c r="AV1076" t="s">
        <v>64</v>
      </c>
      <c r="AW1076">
        <v>1</v>
      </c>
      <c r="AX1076">
        <v>2</v>
      </c>
      <c r="AY1076">
        <v>0</v>
      </c>
      <c r="AZ1076">
        <v>0</v>
      </c>
      <c r="BA1076">
        <v>100</v>
      </c>
      <c r="BB1076">
        <v>100</v>
      </c>
      <c r="BC1076">
        <v>100</v>
      </c>
      <c r="BD1076">
        <v>100</v>
      </c>
      <c r="BE1076">
        <v>1</v>
      </c>
      <c r="BF1076">
        <v>15000</v>
      </c>
      <c r="BG1076">
        <v>1000</v>
      </c>
      <c r="BH1076" s="6">
        <f>Grandview_Inventory[[#This Row],[land_extract]]*Lookups!$B$3</f>
        <v>48369.510983942157</v>
      </c>
      <c r="BI1076" s="6">
        <f>IF(Grandview_Inventory[[#This Row],[bldg_style]]="",0,Lookups!$B$2)</f>
        <v>155833.95000000001</v>
      </c>
      <c r="BJ1076" s="6">
        <f>_xlfn.IFNA(VLOOKUP(Grandview_Inventory[[#This Row],[quality]],Lookups!$H$2:$J$14,3,FALSE),0)</f>
        <v>20768</v>
      </c>
      <c r="BK1076" s="6">
        <f>_xlfn.IFNA(VLOOKUP(Grandview_Inventory[[#This Row],[condition]],Lookups!$H$17:$J$24,3,FALSE),0)</f>
        <v>25818</v>
      </c>
      <c r="BL1076" s="6">
        <f>Grandview_Inventory[[#This Row],[Eff_Age]]*Lookups!$B$14</f>
        <v>-3826.6655999999998</v>
      </c>
      <c r="BM1076" s="6">
        <f>Grandview_Inventory[[#This Row],[living_area]]*Lookups!$B$15</f>
        <v>136801.21062900001</v>
      </c>
      <c r="BN1076" s="6">
        <f>Grandview_Inventory[[#This Row],[Fin BSMT]]*Lookups!$B$16</f>
        <v>0</v>
      </c>
      <c r="BO1076" s="6">
        <f>(Grandview_Inventory[[#This Row],[att_gar]]+Grandview_Inventory[[#This Row],[bltin_gar]])*Lookups!$B$17</f>
        <v>106074.769644</v>
      </c>
      <c r="BP1076" s="6">
        <f>Grandview_Inventory[[#This Row],[Plumbing Fixtures]]*Lookups!$B$18</f>
        <v>20104.418000000001</v>
      </c>
      <c r="BQ1076" s="6">
        <f>Grandview_Inventory[[#This Row],[detatched_value]]*Lookups!$B$19</f>
        <v>0</v>
      </c>
      <c r="BR1076" s="6">
        <f>SUM(Grandview_Inventory[[#This Row],[Intercept]:[det_value]])*Grandview_Inventory[[#This Row],[res_pct]]</f>
        <v>461573.68267299997</v>
      </c>
      <c r="BS1076" s="6">
        <f>Grandview_Inventory[[#This Row],[land_value]]</f>
        <v>48369.510983942157</v>
      </c>
      <c r="BT1076" s="4">
        <f>_xlfn.IFNA(VLOOKUP(Grandview_Inventory[[#This Row],[quality]],Lookups!$A$26:$C$33,3,FALSE),1)</f>
        <v>0.94960540378902636</v>
      </c>
      <c r="BU1076" s="4">
        <f>_xlfn.IFNA(VLOOKUP(Grandview_Inventory[[#This Row],[condition]],Lookups!$A$37:$C$44,3,FALSE),1)</f>
        <v>0.96661476234146892</v>
      </c>
      <c r="BV1076" s="4">
        <f>IF(Grandview_Inventory[[#This Row],[bldg_style]]="",1,_xlfn.IFNA(VLOOKUP(Grandview_Inventory[[#This Row],[decade]],Lookups!$F$29:$H$43,3,FALSE),1))</f>
        <v>0.96737494181490646</v>
      </c>
      <c r="BW1076" s="4">
        <f>_xlfn.IFNA(VLOOKUP(Grandview_Inventory[[#This Row],[living_area_range]],Lookups!$F$47:$H$56,3,FALSE),1)</f>
        <v>0.95799442568048754</v>
      </c>
      <c r="BX1076" s="4">
        <f>AVERAGE(Grandview_Inventory[[#This Row],[qual_adj]:[size_adj]])</f>
        <v>0.96039738340647229</v>
      </c>
      <c r="BY1076" s="6">
        <f>IF(Grandview_Inventory[[#This Row],[pre_res]]&lt;0,0,Grandview_Inventory[[#This Row],[pre_res]]*Grandview_Inventory[[#This Row],[overall_adj]])</f>
        <v>443294.15708843851</v>
      </c>
      <c r="BZ1076" s="6">
        <f>(Grandview_Inventory[[#This Row],[sum_land]]-IF(Grandview_Inventory[[#This Row],[no_utilities]]=1,12000,0))/IF(Grandview_Inventory[[#This Row],[unbuildable]]=1,2,1)</f>
        <v>48369.510983942157</v>
      </c>
      <c r="CA107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76">
        <f>ROUND(Grandview_Inventory[[#This Row],[det_value]]*Lookups!$M$28,-2)</f>
        <v>0</v>
      </c>
      <c r="CC1076">
        <f>IF(ROUND(Grandview_Inventory[[#This Row],[adj_res]]*Lookups!$M$28,-2)&lt;Grandview_Inventory[[#This Row],[min_res]],Grandview_Inventory[[#This Row],[min_res]],ROUND(Grandview_Inventory[[#This Row],[adj_res]]*Lookups!$M$28,-2))</f>
        <v>421100</v>
      </c>
      <c r="CD1076">
        <f>Grandview_Inventory[[#This Row],[final_det]]+Grandview_Inventory[[#This Row],[final_res]]</f>
        <v>421100</v>
      </c>
      <c r="CE1076">
        <f>Grandview_Inventory[[#This Row],[final_land]]+Grandview_Inventory[[#This Row],[final_imp]]+Grandview_Inventory[[#This Row],[crop_value]]</f>
        <v>467100</v>
      </c>
      <c r="CG1076" t="str">
        <f t="shared" si="16"/>
        <v>update valuation set market_land =46000, market_bldg=421100, market_total =467100, market_mdno =401, market_date ='9/10/2023' where link_id = (select link_id from parcel where parcel_year = '2024' and parcel_id = '23092242464');</v>
      </c>
    </row>
    <row r="1077" spans="1:85" x14ac:dyDescent="0.25">
      <c r="A1077">
        <v>23092242465</v>
      </c>
      <c r="B1077">
        <v>0.19</v>
      </c>
      <c r="C1077">
        <v>8162</v>
      </c>
      <c r="D1077" t="s">
        <v>129</v>
      </c>
      <c r="E1077" t="s">
        <v>53</v>
      </c>
      <c r="F1077" t="s">
        <v>53</v>
      </c>
      <c r="G1077">
        <v>4</v>
      </c>
      <c r="H1077" t="s">
        <v>54</v>
      </c>
      <c r="I1077">
        <v>294000</v>
      </c>
      <c r="J1077">
        <v>43300</v>
      </c>
      <c r="K1077">
        <v>0.19</v>
      </c>
      <c r="L107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77">
        <v>0</v>
      </c>
      <c r="N1077">
        <v>0</v>
      </c>
      <c r="O1077">
        <v>0</v>
      </c>
      <c r="P1077">
        <v>13398.7528</v>
      </c>
      <c r="Q1077">
        <v>63903</v>
      </c>
      <c r="R1077">
        <f>(Grandview_Inventory[[#This Row],[ln_acres]]*Grandview_Inventory[[#This Row],[coeff]])+Grandview_Inventory[[#This Row],[const]]</f>
        <v>41651.273092551026</v>
      </c>
      <c r="S1077" t="s">
        <v>58</v>
      </c>
      <c r="T1077">
        <v>2</v>
      </c>
      <c r="U1077" t="s">
        <v>56</v>
      </c>
      <c r="V1077" t="s">
        <v>67</v>
      </c>
      <c r="W1077">
        <v>30700</v>
      </c>
      <c r="X1077">
        <v>0</v>
      </c>
      <c r="Y1077">
        <v>16</v>
      </c>
      <c r="Z1077">
        <v>16</v>
      </c>
      <c r="AA1077">
        <v>20</v>
      </c>
      <c r="AB1077">
        <v>3000</v>
      </c>
      <c r="AC1077">
        <v>2611</v>
      </c>
      <c r="AD1077">
        <v>1518</v>
      </c>
      <c r="AE1077">
        <v>1093</v>
      </c>
      <c r="AF1077">
        <v>0</v>
      </c>
      <c r="AG1077">
        <v>0</v>
      </c>
      <c r="AH1077">
        <v>0</v>
      </c>
      <c r="AI1077">
        <v>702</v>
      </c>
      <c r="AJ1077">
        <v>0</v>
      </c>
      <c r="AK1077">
        <v>0</v>
      </c>
      <c r="AL1077">
        <v>0</v>
      </c>
      <c r="AM1077">
        <v>224</v>
      </c>
      <c r="AN1077">
        <v>98</v>
      </c>
      <c r="AO1077">
        <v>214</v>
      </c>
      <c r="AP1077">
        <v>16</v>
      </c>
      <c r="AQ1077">
        <v>0</v>
      </c>
      <c r="AR1077">
        <v>0</v>
      </c>
      <c r="AS1077" t="s">
        <v>58</v>
      </c>
      <c r="AT1077">
        <v>1</v>
      </c>
      <c r="AU1077" t="s">
        <v>59</v>
      </c>
      <c r="AV1077" t="s">
        <v>60</v>
      </c>
      <c r="AW1077">
        <v>1</v>
      </c>
      <c r="AX1077">
        <v>4</v>
      </c>
      <c r="AY1077">
        <v>0</v>
      </c>
      <c r="AZ1077">
        <v>0</v>
      </c>
      <c r="BA1077">
        <v>100</v>
      </c>
      <c r="BB1077">
        <v>100</v>
      </c>
      <c r="BC1077">
        <v>100</v>
      </c>
      <c r="BD1077">
        <v>100</v>
      </c>
      <c r="BE1077">
        <v>1</v>
      </c>
      <c r="BF1077">
        <v>15000</v>
      </c>
      <c r="BG1077">
        <v>1000</v>
      </c>
      <c r="BH1077" s="6">
        <f>Grandview_Inventory[[#This Row],[land_extract]]*Lookups!$B$3</f>
        <v>48369.510983942157</v>
      </c>
      <c r="BI1077" s="6">
        <f>IF(Grandview_Inventory[[#This Row],[bldg_style]]="",0,Lookups!$B$2)</f>
        <v>155833.95000000001</v>
      </c>
      <c r="BJ1077" s="6">
        <f>_xlfn.IFNA(VLOOKUP(Grandview_Inventory[[#This Row],[quality]],Lookups!$H$2:$J$14,3,FALSE),0)</f>
        <v>56323</v>
      </c>
      <c r="BK1077" s="6">
        <f>_xlfn.IFNA(VLOOKUP(Grandview_Inventory[[#This Row],[condition]],Lookups!$H$17:$J$24,3,FALSE),0)</f>
        <v>22342</v>
      </c>
      <c r="BL1077" s="6">
        <f>Grandview_Inventory[[#This Row],[Eff_Age]]*Lookups!$B$14</f>
        <v>-3826.6655999999998</v>
      </c>
      <c r="BM1077" s="6">
        <f>Grandview_Inventory[[#This Row],[living_area]]*Lookups!$B$15</f>
        <v>162876.407183</v>
      </c>
      <c r="BN1077" s="6">
        <f>Grandview_Inventory[[#This Row],[Fin BSMT]]*Lookups!$B$16</f>
        <v>0</v>
      </c>
      <c r="BO1077" s="6">
        <f>(Grandview_Inventory[[#This Row],[att_gar]]+Grandview_Inventory[[#This Row],[bltin_gar]])*Lookups!$B$17</f>
        <v>61439.346773999998</v>
      </c>
      <c r="BP1077" s="6">
        <f>Grandview_Inventory[[#This Row],[Plumbing Fixtures]]*Lookups!$B$18</f>
        <v>32167.068800000001</v>
      </c>
      <c r="BQ1077" s="6">
        <f>Grandview_Inventory[[#This Row],[detatched_value]]*Lookups!$B$19</f>
        <v>0</v>
      </c>
      <c r="BR1077" s="6">
        <f>SUM(Grandview_Inventory[[#This Row],[Intercept]:[det_value]])*Grandview_Inventory[[#This Row],[res_pct]]</f>
        <v>487155.10715699999</v>
      </c>
      <c r="BS1077" s="6">
        <f>Grandview_Inventory[[#This Row],[land_value]]</f>
        <v>48369.510983942157</v>
      </c>
      <c r="BT1077" s="4">
        <f>_xlfn.IFNA(VLOOKUP(Grandview_Inventory[[#This Row],[quality]],Lookups!$A$26:$C$33,3,FALSE),1)</f>
        <v>0.76437650671582003</v>
      </c>
      <c r="BU1077" s="4">
        <f>_xlfn.IFNA(VLOOKUP(Grandview_Inventory[[#This Row],[condition]],Lookups!$A$37:$C$44,3,FALSE),1)</f>
        <v>0.97383723671140243</v>
      </c>
      <c r="BV1077" s="4">
        <f>IF(Grandview_Inventory[[#This Row],[bldg_style]]="",1,_xlfn.IFNA(VLOOKUP(Grandview_Inventory[[#This Row],[decade]],Lookups!$F$29:$H$43,3,FALSE),1))</f>
        <v>0.96737494181490646</v>
      </c>
      <c r="BW1077" s="4">
        <f>_xlfn.IFNA(VLOOKUP(Grandview_Inventory[[#This Row],[living_area_range]],Lookups!$F$47:$H$56,3,FALSE),1)</f>
        <v>0.94224801443562123</v>
      </c>
      <c r="BX1077" s="4">
        <f>AVERAGE(Grandview_Inventory[[#This Row],[qual_adj]:[size_adj]])</f>
        <v>0.91195917491943757</v>
      </c>
      <c r="BY1077" s="6">
        <f>IF(Grandview_Inventory[[#This Row],[pre_res]]&lt;0,0,Grandview_Inventory[[#This Row],[pre_res]]*Grandview_Inventory[[#This Row],[overall_adj]])</f>
        <v>444265.56958068791</v>
      </c>
      <c r="BZ1077" s="6">
        <f>(Grandview_Inventory[[#This Row],[sum_land]]-IF(Grandview_Inventory[[#This Row],[no_utilities]]=1,12000,0))/IF(Grandview_Inventory[[#This Row],[unbuildable]]=1,2,1)</f>
        <v>48369.510983942157</v>
      </c>
      <c r="CA107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77">
        <f>ROUND(Grandview_Inventory[[#This Row],[det_value]]*Lookups!$M$28,-2)</f>
        <v>0</v>
      </c>
      <c r="CC1077">
        <f>IF(ROUND(Grandview_Inventory[[#This Row],[adj_res]]*Lookups!$M$28,-2)&lt;Grandview_Inventory[[#This Row],[min_res]],Grandview_Inventory[[#This Row],[min_res]],ROUND(Grandview_Inventory[[#This Row],[adj_res]]*Lookups!$M$28,-2))</f>
        <v>422100</v>
      </c>
      <c r="CD1077">
        <f>Grandview_Inventory[[#This Row],[final_det]]+Grandview_Inventory[[#This Row],[final_res]]</f>
        <v>422100</v>
      </c>
      <c r="CE1077">
        <f>Grandview_Inventory[[#This Row],[final_land]]+Grandview_Inventory[[#This Row],[final_imp]]+Grandview_Inventory[[#This Row],[crop_value]]</f>
        <v>468100</v>
      </c>
      <c r="CG1077" t="str">
        <f t="shared" si="16"/>
        <v>update valuation set market_land =46000, market_bldg=422100, market_total =468100, market_mdno =401, market_date ='9/10/2023' where link_id = (select link_id from parcel where parcel_year = '2024' and parcel_id = '23092242465');</v>
      </c>
    </row>
    <row r="1078" spans="1:85" x14ac:dyDescent="0.25">
      <c r="A1078">
        <v>23092242466</v>
      </c>
      <c r="B1078">
        <v>0.19</v>
      </c>
      <c r="C1078">
        <v>8212</v>
      </c>
      <c r="D1078" t="s">
        <v>129</v>
      </c>
      <c r="E1078" t="s">
        <v>53</v>
      </c>
      <c r="F1078" t="s">
        <v>53</v>
      </c>
      <c r="G1078">
        <v>4</v>
      </c>
      <c r="H1078" t="s">
        <v>54</v>
      </c>
      <c r="I1078">
        <v>284000</v>
      </c>
      <c r="J1078">
        <v>39100</v>
      </c>
      <c r="K1078">
        <v>0.19</v>
      </c>
      <c r="L107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78">
        <v>0</v>
      </c>
      <c r="N1078">
        <v>0</v>
      </c>
      <c r="O1078">
        <v>0</v>
      </c>
      <c r="P1078">
        <v>13398.7528</v>
      </c>
      <c r="Q1078">
        <v>63903</v>
      </c>
      <c r="R1078">
        <f>(Grandview_Inventory[[#This Row],[ln_acres]]*Grandview_Inventory[[#This Row],[coeff]])+Grandview_Inventory[[#This Row],[const]]</f>
        <v>41651.273092551026</v>
      </c>
      <c r="S1078" t="s">
        <v>61</v>
      </c>
      <c r="T1078">
        <v>1</v>
      </c>
      <c r="U1078" t="s">
        <v>62</v>
      </c>
      <c r="V1078" t="s">
        <v>66</v>
      </c>
      <c r="W1078">
        <v>0</v>
      </c>
      <c r="X1078">
        <v>0</v>
      </c>
      <c r="Y1078">
        <v>14</v>
      </c>
      <c r="Z1078">
        <v>14</v>
      </c>
      <c r="AA1078">
        <v>20</v>
      </c>
      <c r="AB1078">
        <v>2000</v>
      </c>
      <c r="AC1078">
        <v>1849</v>
      </c>
      <c r="AD1078">
        <v>1849</v>
      </c>
      <c r="AE1078">
        <v>0</v>
      </c>
      <c r="AF1078">
        <v>0</v>
      </c>
      <c r="AG1078">
        <v>0</v>
      </c>
      <c r="AH1078">
        <v>0</v>
      </c>
      <c r="AI1078">
        <v>576</v>
      </c>
      <c r="AJ1078">
        <v>0</v>
      </c>
      <c r="AK1078">
        <v>0</v>
      </c>
      <c r="AL1078">
        <v>0</v>
      </c>
      <c r="AM1078">
        <v>319</v>
      </c>
      <c r="AN1078">
        <v>189</v>
      </c>
      <c r="AO1078">
        <v>0</v>
      </c>
      <c r="AP1078">
        <v>9</v>
      </c>
      <c r="AQ1078">
        <v>0</v>
      </c>
      <c r="AR1078">
        <v>0</v>
      </c>
      <c r="AS1078" t="s">
        <v>58</v>
      </c>
      <c r="AT1078">
        <v>1</v>
      </c>
      <c r="AU1078" t="s">
        <v>63</v>
      </c>
      <c r="AV1078" t="s">
        <v>60</v>
      </c>
      <c r="AW1078">
        <v>1</v>
      </c>
      <c r="AX1078">
        <v>3</v>
      </c>
      <c r="AY1078">
        <v>0</v>
      </c>
      <c r="AZ1078">
        <v>0</v>
      </c>
      <c r="BA1078">
        <v>100</v>
      </c>
      <c r="BB1078">
        <v>100</v>
      </c>
      <c r="BC1078">
        <v>100</v>
      </c>
      <c r="BD1078">
        <v>100</v>
      </c>
      <c r="BE1078">
        <v>1</v>
      </c>
      <c r="BF1078">
        <v>15000</v>
      </c>
      <c r="BG1078">
        <v>1000</v>
      </c>
      <c r="BH1078" s="6">
        <f>Grandview_Inventory[[#This Row],[land_extract]]*Lookups!$B$3</f>
        <v>48369.510983942157</v>
      </c>
      <c r="BI1078" s="6">
        <f>IF(Grandview_Inventory[[#This Row],[bldg_style]]="",0,Lookups!$B$2)</f>
        <v>155833.95000000001</v>
      </c>
      <c r="BJ1078" s="6">
        <f>_xlfn.IFNA(VLOOKUP(Grandview_Inventory[[#This Row],[quality]],Lookups!$H$2:$J$14,3,FALSE),0)</f>
        <v>9808</v>
      </c>
      <c r="BK1078" s="6">
        <f>_xlfn.IFNA(VLOOKUP(Grandview_Inventory[[#This Row],[condition]],Lookups!$H$17:$J$24,3,FALSE),0)</f>
        <v>25818</v>
      </c>
      <c r="BL1078" s="6">
        <f>Grandview_Inventory[[#This Row],[Eff_Age]]*Lookups!$B$14</f>
        <v>-3348.3323999999998</v>
      </c>
      <c r="BM1078" s="6">
        <f>Grandview_Inventory[[#This Row],[living_area]]*Lookups!$B$15</f>
        <v>115342.197197</v>
      </c>
      <c r="BN1078" s="6">
        <f>Grandview_Inventory[[#This Row],[Fin BSMT]]*Lookups!$B$16</f>
        <v>0</v>
      </c>
      <c r="BO1078" s="6">
        <f>(Grandview_Inventory[[#This Row],[att_gar]]+Grandview_Inventory[[#This Row],[bltin_gar]])*Lookups!$B$17</f>
        <v>50411.771712000002</v>
      </c>
      <c r="BP1078" s="6">
        <f>Grandview_Inventory[[#This Row],[Plumbing Fixtures]]*Lookups!$B$18</f>
        <v>18093.976200000001</v>
      </c>
      <c r="BQ1078" s="6">
        <f>Grandview_Inventory[[#This Row],[detatched_value]]*Lookups!$B$19</f>
        <v>0</v>
      </c>
      <c r="BR1078" s="6">
        <f>SUM(Grandview_Inventory[[#This Row],[Intercept]:[det_value]])*Grandview_Inventory[[#This Row],[res_pct]]</f>
        <v>371959.56270900002</v>
      </c>
      <c r="BS1078" s="6">
        <f>Grandview_Inventory[[#This Row],[land_value]]</f>
        <v>48369.510983942157</v>
      </c>
      <c r="BT1078" s="4">
        <f>_xlfn.IFNA(VLOOKUP(Grandview_Inventory[[#This Row],[quality]],Lookups!$A$26:$C$33,3,FALSE),1)</f>
        <v>0.94295468617355149</v>
      </c>
      <c r="BU1078" s="4">
        <f>_xlfn.IFNA(VLOOKUP(Grandview_Inventory[[#This Row],[condition]],Lookups!$A$37:$C$44,3,FALSE),1)</f>
        <v>0.96661476234146892</v>
      </c>
      <c r="BV1078" s="4">
        <f>IF(Grandview_Inventory[[#This Row],[bldg_style]]="",1,_xlfn.IFNA(VLOOKUP(Grandview_Inventory[[#This Row],[decade]],Lookups!$F$29:$H$43,3,FALSE),1))</f>
        <v>0.96737494181490646</v>
      </c>
      <c r="BW1078" s="4">
        <f>_xlfn.IFNA(VLOOKUP(Grandview_Inventory[[#This Row],[living_area_range]],Lookups!$F$47:$H$56,3,FALSE),1)</f>
        <v>0.96120133463014379</v>
      </c>
      <c r="BX1078" s="4">
        <f>AVERAGE(Grandview_Inventory[[#This Row],[qual_adj]:[size_adj]])</f>
        <v>0.95953643124001764</v>
      </c>
      <c r="BY1078" s="6">
        <f>IF(Grandview_Inventory[[#This Row],[pre_res]]&lt;0,0,Grandview_Inventory[[#This Row],[pre_res]]*Grandview_Inventory[[#This Row],[overall_adj]])</f>
        <v>356908.75136739144</v>
      </c>
      <c r="BZ1078" s="6">
        <f>(Grandview_Inventory[[#This Row],[sum_land]]-IF(Grandview_Inventory[[#This Row],[no_utilities]]=1,12000,0))/IF(Grandview_Inventory[[#This Row],[unbuildable]]=1,2,1)</f>
        <v>48369.510983942157</v>
      </c>
      <c r="CA107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78">
        <f>ROUND(Grandview_Inventory[[#This Row],[det_value]]*Lookups!$M$28,-2)</f>
        <v>0</v>
      </c>
      <c r="CC1078">
        <f>IF(ROUND(Grandview_Inventory[[#This Row],[adj_res]]*Lookups!$M$28,-2)&lt;Grandview_Inventory[[#This Row],[min_res]],Grandview_Inventory[[#This Row],[min_res]],ROUND(Grandview_Inventory[[#This Row],[adj_res]]*Lookups!$M$28,-2))</f>
        <v>339100</v>
      </c>
      <c r="CD1078">
        <f>Grandview_Inventory[[#This Row],[final_det]]+Grandview_Inventory[[#This Row],[final_res]]</f>
        <v>339100</v>
      </c>
      <c r="CE1078">
        <f>Grandview_Inventory[[#This Row],[final_land]]+Grandview_Inventory[[#This Row],[final_imp]]+Grandview_Inventory[[#This Row],[crop_value]]</f>
        <v>385100</v>
      </c>
      <c r="CG1078" t="str">
        <f t="shared" si="16"/>
        <v>update valuation set market_land =46000, market_bldg=339100, market_total =385100, market_mdno =401, market_date ='9/10/2023' where link_id = (select link_id from parcel where parcel_year = '2024' and parcel_id = '23092242466');</v>
      </c>
    </row>
    <row r="1079" spans="1:85" x14ac:dyDescent="0.25">
      <c r="A1079">
        <v>23092242467</v>
      </c>
      <c r="B1079">
        <v>0.19</v>
      </c>
      <c r="C1079">
        <v>8262</v>
      </c>
      <c r="D1079" t="s">
        <v>129</v>
      </c>
      <c r="E1079" t="s">
        <v>53</v>
      </c>
      <c r="F1079" t="s">
        <v>53</v>
      </c>
      <c r="G1079">
        <v>4</v>
      </c>
      <c r="H1079" t="s">
        <v>54</v>
      </c>
      <c r="I1079">
        <v>317200</v>
      </c>
      <c r="J1079">
        <v>39100</v>
      </c>
      <c r="K1079">
        <v>0.19</v>
      </c>
      <c r="L10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79">
        <v>0</v>
      </c>
      <c r="N1079">
        <v>0</v>
      </c>
      <c r="O1079">
        <v>0</v>
      </c>
      <c r="P1079">
        <v>13398.7528</v>
      </c>
      <c r="Q1079">
        <v>63903</v>
      </c>
      <c r="R1079">
        <f>(Grandview_Inventory[[#This Row],[ln_acres]]*Grandview_Inventory[[#This Row],[coeff]])+Grandview_Inventory[[#This Row],[const]]</f>
        <v>41651.273092551026</v>
      </c>
      <c r="S1079" t="s">
        <v>58</v>
      </c>
      <c r="T1079">
        <v>1</v>
      </c>
      <c r="U1079" t="s">
        <v>64</v>
      </c>
      <c r="V1079" t="s">
        <v>66</v>
      </c>
      <c r="W1079">
        <v>0</v>
      </c>
      <c r="X1079">
        <v>0</v>
      </c>
      <c r="Y1079">
        <v>16</v>
      </c>
      <c r="Z1079">
        <v>16</v>
      </c>
      <c r="AA1079">
        <v>20</v>
      </c>
      <c r="AB1079">
        <v>2500</v>
      </c>
      <c r="AC1079">
        <v>2178</v>
      </c>
      <c r="AD1079">
        <v>2178</v>
      </c>
      <c r="AE1079">
        <v>0</v>
      </c>
      <c r="AF1079">
        <v>0</v>
      </c>
      <c r="AG1079">
        <v>0</v>
      </c>
      <c r="AH1079">
        <v>0</v>
      </c>
      <c r="AI1079">
        <v>588</v>
      </c>
      <c r="AJ1079">
        <v>0</v>
      </c>
      <c r="AK1079">
        <v>0</v>
      </c>
      <c r="AL1079">
        <v>0</v>
      </c>
      <c r="AM1079">
        <v>308</v>
      </c>
      <c r="AN1079">
        <v>72</v>
      </c>
      <c r="AO1079">
        <v>308</v>
      </c>
      <c r="AP1079">
        <v>9</v>
      </c>
      <c r="AQ1079">
        <v>0</v>
      </c>
      <c r="AR1079">
        <v>0</v>
      </c>
      <c r="AS1079" t="s">
        <v>58</v>
      </c>
      <c r="AT1079">
        <v>1</v>
      </c>
      <c r="AU1079" t="s">
        <v>63</v>
      </c>
      <c r="AV1079" t="s">
        <v>64</v>
      </c>
      <c r="AW1079">
        <v>1</v>
      </c>
      <c r="AX1079">
        <v>3</v>
      </c>
      <c r="AY1079">
        <v>0</v>
      </c>
      <c r="AZ1079">
        <v>0</v>
      </c>
      <c r="BA1079">
        <v>100</v>
      </c>
      <c r="BB1079">
        <v>100</v>
      </c>
      <c r="BC1079">
        <v>100</v>
      </c>
      <c r="BD1079">
        <v>100</v>
      </c>
      <c r="BE1079">
        <v>1</v>
      </c>
      <c r="BF1079">
        <v>15000</v>
      </c>
      <c r="BG1079">
        <v>1000</v>
      </c>
      <c r="BH1079" s="6">
        <f>Grandview_Inventory[[#This Row],[land_extract]]*Lookups!$B$3</f>
        <v>48369.510983942157</v>
      </c>
      <c r="BI1079" s="6">
        <f>IF(Grandview_Inventory[[#This Row],[bldg_style]]="",0,Lookups!$B$2)</f>
        <v>155833.95000000001</v>
      </c>
      <c r="BJ1079" s="6">
        <f>_xlfn.IFNA(VLOOKUP(Grandview_Inventory[[#This Row],[quality]],Lookups!$H$2:$J$14,3,FALSE),0)</f>
        <v>20768</v>
      </c>
      <c r="BK1079" s="6">
        <f>_xlfn.IFNA(VLOOKUP(Grandview_Inventory[[#This Row],[condition]],Lookups!$H$17:$J$24,3,FALSE),0)</f>
        <v>25818</v>
      </c>
      <c r="BL1079" s="6">
        <f>Grandview_Inventory[[#This Row],[Eff_Age]]*Lookups!$B$14</f>
        <v>-3826.6655999999998</v>
      </c>
      <c r="BM1079" s="6">
        <f>Grandview_Inventory[[#This Row],[living_area]]*Lookups!$B$15</f>
        <v>135865.49783400001</v>
      </c>
      <c r="BN1079" s="6">
        <f>Grandview_Inventory[[#This Row],[Fin BSMT]]*Lookups!$B$16</f>
        <v>0</v>
      </c>
      <c r="BO1079" s="6">
        <f>(Grandview_Inventory[[#This Row],[att_gar]]+Grandview_Inventory[[#This Row],[bltin_gar]])*Lookups!$B$17</f>
        <v>51462.016955999999</v>
      </c>
      <c r="BP1079" s="6">
        <f>Grandview_Inventory[[#This Row],[Plumbing Fixtures]]*Lookups!$B$18</f>
        <v>18093.976200000001</v>
      </c>
      <c r="BQ1079" s="6">
        <f>Grandview_Inventory[[#This Row],[detatched_value]]*Lookups!$B$19</f>
        <v>0</v>
      </c>
      <c r="BR1079" s="6">
        <f>SUM(Grandview_Inventory[[#This Row],[Intercept]:[det_value]])*Grandview_Inventory[[#This Row],[res_pct]]</f>
        <v>404014.77539000002</v>
      </c>
      <c r="BS1079" s="6">
        <f>Grandview_Inventory[[#This Row],[land_value]]</f>
        <v>48369.510983942157</v>
      </c>
      <c r="BT1079" s="4">
        <f>_xlfn.IFNA(VLOOKUP(Grandview_Inventory[[#This Row],[quality]],Lookups!$A$26:$C$33,3,FALSE),1)</f>
        <v>0.94960540378902636</v>
      </c>
      <c r="BU1079" s="4">
        <f>_xlfn.IFNA(VLOOKUP(Grandview_Inventory[[#This Row],[condition]],Lookups!$A$37:$C$44,3,FALSE),1)</f>
        <v>0.96661476234146892</v>
      </c>
      <c r="BV1079" s="4">
        <f>IF(Grandview_Inventory[[#This Row],[bldg_style]]="",1,_xlfn.IFNA(VLOOKUP(Grandview_Inventory[[#This Row],[decade]],Lookups!$F$29:$H$43,3,FALSE),1))</f>
        <v>0.96737494181490646</v>
      </c>
      <c r="BW1079" s="4">
        <f>_xlfn.IFNA(VLOOKUP(Grandview_Inventory[[#This Row],[living_area_range]],Lookups!$F$47:$H$56,3,FALSE),1)</f>
        <v>0.95799442568048754</v>
      </c>
      <c r="BX1079" s="4">
        <f>AVERAGE(Grandview_Inventory[[#This Row],[qual_adj]:[size_adj]])</f>
        <v>0.96039738340647229</v>
      </c>
      <c r="BY1079" s="6">
        <f>IF(Grandview_Inventory[[#This Row],[pre_res]]&lt;0,0,Grandview_Inventory[[#This Row],[pre_res]]*Grandview_Inventory[[#This Row],[overall_adj]])</f>
        <v>388014.73314210965</v>
      </c>
      <c r="BZ1079" s="6">
        <f>(Grandview_Inventory[[#This Row],[sum_land]]-IF(Grandview_Inventory[[#This Row],[no_utilities]]=1,12000,0))/IF(Grandview_Inventory[[#This Row],[unbuildable]]=1,2,1)</f>
        <v>48369.510983942157</v>
      </c>
      <c r="CA10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79">
        <f>ROUND(Grandview_Inventory[[#This Row],[det_value]]*Lookups!$M$28,-2)</f>
        <v>0</v>
      </c>
      <c r="CC1079">
        <f>IF(ROUND(Grandview_Inventory[[#This Row],[adj_res]]*Lookups!$M$28,-2)&lt;Grandview_Inventory[[#This Row],[min_res]],Grandview_Inventory[[#This Row],[min_res]],ROUND(Grandview_Inventory[[#This Row],[adj_res]]*Lookups!$M$28,-2))</f>
        <v>368600</v>
      </c>
      <c r="CD1079">
        <f>Grandview_Inventory[[#This Row],[final_det]]+Grandview_Inventory[[#This Row],[final_res]]</f>
        <v>368600</v>
      </c>
      <c r="CE1079">
        <f>Grandview_Inventory[[#This Row],[final_land]]+Grandview_Inventory[[#This Row],[final_imp]]+Grandview_Inventory[[#This Row],[crop_value]]</f>
        <v>414600</v>
      </c>
      <c r="CG1079" t="str">
        <f t="shared" si="16"/>
        <v>update valuation set market_land =46000, market_bldg=368600, market_total =414600, market_mdno =401, market_date ='9/10/2023' where link_id = (select link_id from parcel where parcel_year = '2024' and parcel_id = '23092242467');</v>
      </c>
    </row>
    <row r="1080" spans="1:85" x14ac:dyDescent="0.25">
      <c r="A1080">
        <v>23092242468</v>
      </c>
      <c r="B1080">
        <v>0.19</v>
      </c>
      <c r="C1080">
        <v>8275</v>
      </c>
      <c r="D1080" t="s">
        <v>129</v>
      </c>
      <c r="E1080" t="s">
        <v>53</v>
      </c>
      <c r="F1080" t="s">
        <v>53</v>
      </c>
      <c r="G1080">
        <v>4</v>
      </c>
      <c r="H1080" t="s">
        <v>54</v>
      </c>
      <c r="I1080">
        <v>271200</v>
      </c>
      <c r="J1080">
        <v>39100</v>
      </c>
      <c r="K1080">
        <v>0.19</v>
      </c>
      <c r="L108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80">
        <v>0</v>
      </c>
      <c r="N1080">
        <v>0</v>
      </c>
      <c r="O1080">
        <v>0</v>
      </c>
      <c r="P1080">
        <v>13398.7528</v>
      </c>
      <c r="Q1080">
        <v>63903</v>
      </c>
      <c r="R1080">
        <f>(Grandview_Inventory[[#This Row],[ln_acres]]*Grandview_Inventory[[#This Row],[coeff]])+Grandview_Inventory[[#This Row],[const]]</f>
        <v>41651.273092551026</v>
      </c>
      <c r="S1080" t="s">
        <v>61</v>
      </c>
      <c r="T1080">
        <v>1</v>
      </c>
      <c r="U1080" t="s">
        <v>62</v>
      </c>
      <c r="V1080" t="s">
        <v>57</v>
      </c>
      <c r="W1080">
        <v>0</v>
      </c>
      <c r="X1080">
        <v>0</v>
      </c>
      <c r="Y1080">
        <v>14</v>
      </c>
      <c r="Z1080">
        <v>14</v>
      </c>
      <c r="AA1080">
        <v>20</v>
      </c>
      <c r="AB1080">
        <v>2000</v>
      </c>
      <c r="AC1080">
        <v>1735</v>
      </c>
      <c r="AD1080">
        <v>1735</v>
      </c>
      <c r="AE1080">
        <v>0</v>
      </c>
      <c r="AF1080">
        <v>0</v>
      </c>
      <c r="AG1080">
        <v>0</v>
      </c>
      <c r="AH1080">
        <v>0</v>
      </c>
      <c r="AI1080">
        <v>602</v>
      </c>
      <c r="AJ1080">
        <v>0</v>
      </c>
      <c r="AK1080">
        <v>0</v>
      </c>
      <c r="AL1080">
        <v>0</v>
      </c>
      <c r="AM1080">
        <v>0</v>
      </c>
      <c r="AN1080">
        <v>360</v>
      </c>
      <c r="AO1080">
        <v>0</v>
      </c>
      <c r="AP1080">
        <v>9</v>
      </c>
      <c r="AQ1080">
        <v>0</v>
      </c>
      <c r="AR1080">
        <v>0</v>
      </c>
      <c r="AS1080" t="s">
        <v>58</v>
      </c>
      <c r="AT1080">
        <v>1</v>
      </c>
      <c r="AU1080" t="s">
        <v>63</v>
      </c>
      <c r="AV1080" t="s">
        <v>64</v>
      </c>
      <c r="AW1080">
        <v>1</v>
      </c>
      <c r="AX1080">
        <v>3</v>
      </c>
      <c r="AY1080">
        <v>0</v>
      </c>
      <c r="AZ1080">
        <v>0</v>
      </c>
      <c r="BA1080">
        <v>100</v>
      </c>
      <c r="BB1080">
        <v>100</v>
      </c>
      <c r="BC1080">
        <v>100</v>
      </c>
      <c r="BD1080">
        <v>100</v>
      </c>
      <c r="BE1080">
        <v>1</v>
      </c>
      <c r="BF1080">
        <v>15000</v>
      </c>
      <c r="BG1080">
        <v>1000</v>
      </c>
      <c r="BH1080" s="6">
        <f>Grandview_Inventory[[#This Row],[land_extract]]*Lookups!$B$3</f>
        <v>48369.510983942157</v>
      </c>
      <c r="BI1080" s="6">
        <f>IF(Grandview_Inventory[[#This Row],[bldg_style]]="",0,Lookups!$B$2)</f>
        <v>155833.95000000001</v>
      </c>
      <c r="BJ1080" s="6">
        <f>_xlfn.IFNA(VLOOKUP(Grandview_Inventory[[#This Row],[quality]],Lookups!$H$2:$J$14,3,FALSE),0)</f>
        <v>9808</v>
      </c>
      <c r="BK1080" s="6">
        <f>_xlfn.IFNA(VLOOKUP(Grandview_Inventory[[#This Row],[condition]],Lookups!$H$17:$J$24,3,FALSE),0)</f>
        <v>25780</v>
      </c>
      <c r="BL1080" s="6">
        <f>Grandview_Inventory[[#This Row],[Eff_Age]]*Lookups!$B$14</f>
        <v>-3348.3323999999998</v>
      </c>
      <c r="BM1080" s="6">
        <f>Grandview_Inventory[[#This Row],[living_area]]*Lookups!$B$15</f>
        <v>108230.77995500001</v>
      </c>
      <c r="BN1080" s="6">
        <f>Grandview_Inventory[[#This Row],[Fin BSMT]]*Lookups!$B$16</f>
        <v>0</v>
      </c>
      <c r="BO1080" s="6">
        <f>(Grandview_Inventory[[#This Row],[att_gar]]+Grandview_Inventory[[#This Row],[bltin_gar]])*Lookups!$B$17</f>
        <v>52687.303074000003</v>
      </c>
      <c r="BP1080" s="6">
        <f>Grandview_Inventory[[#This Row],[Plumbing Fixtures]]*Lookups!$B$18</f>
        <v>18093.976200000001</v>
      </c>
      <c r="BQ1080" s="6">
        <f>Grandview_Inventory[[#This Row],[detatched_value]]*Lookups!$B$19</f>
        <v>0</v>
      </c>
      <c r="BR1080" s="6">
        <f>SUM(Grandview_Inventory[[#This Row],[Intercept]:[det_value]])*Grandview_Inventory[[#This Row],[res_pct]]</f>
        <v>367085.676829</v>
      </c>
      <c r="BS1080" s="6">
        <f>Grandview_Inventory[[#This Row],[land_value]]</f>
        <v>48369.510983942157</v>
      </c>
      <c r="BT1080" s="4">
        <f>_xlfn.IFNA(VLOOKUP(Grandview_Inventory[[#This Row],[quality]],Lookups!$A$26:$C$33,3,FALSE),1)</f>
        <v>0.94295468617355149</v>
      </c>
      <c r="BU1080" s="4">
        <f>_xlfn.IFNA(VLOOKUP(Grandview_Inventory[[#This Row],[condition]],Lookups!$A$37:$C$44,3,FALSE),1)</f>
        <v>0.94347925387812148</v>
      </c>
      <c r="BV1080" s="4">
        <f>IF(Grandview_Inventory[[#This Row],[bldg_style]]="",1,_xlfn.IFNA(VLOOKUP(Grandview_Inventory[[#This Row],[decade]],Lookups!$F$29:$H$43,3,FALSE),1))</f>
        <v>0.96737494181490646</v>
      </c>
      <c r="BW1080" s="4">
        <f>_xlfn.IFNA(VLOOKUP(Grandview_Inventory[[#This Row],[living_area_range]],Lookups!$F$47:$H$56,3,FALSE),1)</f>
        <v>0.96120133463014379</v>
      </c>
      <c r="BX1080" s="4">
        <f>AVERAGE(Grandview_Inventory[[#This Row],[qual_adj]:[size_adj]])</f>
        <v>0.95375255412418092</v>
      </c>
      <c r="BY1080" s="6">
        <f>IF(Grandview_Inventory[[#This Row],[pre_res]]&lt;0,0,Grandview_Inventory[[#This Row],[pre_res]]*Grandview_Inventory[[#This Row],[overall_adj]])</f>
        <v>350108.90185806243</v>
      </c>
      <c r="BZ1080" s="6">
        <f>(Grandview_Inventory[[#This Row],[sum_land]]-IF(Grandview_Inventory[[#This Row],[no_utilities]]=1,12000,0))/IF(Grandview_Inventory[[#This Row],[unbuildable]]=1,2,1)</f>
        <v>48369.510983942157</v>
      </c>
      <c r="CA108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80">
        <f>ROUND(Grandview_Inventory[[#This Row],[det_value]]*Lookups!$M$28,-2)</f>
        <v>0</v>
      </c>
      <c r="CC1080">
        <f>IF(ROUND(Grandview_Inventory[[#This Row],[adj_res]]*Lookups!$M$28,-2)&lt;Grandview_Inventory[[#This Row],[min_res]],Grandview_Inventory[[#This Row],[min_res]],ROUND(Grandview_Inventory[[#This Row],[adj_res]]*Lookups!$M$28,-2))</f>
        <v>332600</v>
      </c>
      <c r="CD1080">
        <f>Grandview_Inventory[[#This Row],[final_det]]+Grandview_Inventory[[#This Row],[final_res]]</f>
        <v>332600</v>
      </c>
      <c r="CE1080">
        <f>Grandview_Inventory[[#This Row],[final_land]]+Grandview_Inventory[[#This Row],[final_imp]]+Grandview_Inventory[[#This Row],[crop_value]]</f>
        <v>378600</v>
      </c>
      <c r="CG1080" t="str">
        <f t="shared" si="16"/>
        <v>update valuation set market_land =46000, market_bldg=332600, market_total =378600, market_mdno =401, market_date ='9/10/2023' where link_id = (select link_id from parcel where parcel_year = '2024' and parcel_id = '23092242468');</v>
      </c>
    </row>
    <row r="1081" spans="1:85" x14ac:dyDescent="0.25">
      <c r="A1081">
        <v>23092242470</v>
      </c>
      <c r="B1081">
        <v>0.24</v>
      </c>
      <c r="C1081">
        <v>10542</v>
      </c>
      <c r="D1081" t="s">
        <v>129</v>
      </c>
      <c r="E1081" t="s">
        <v>53</v>
      </c>
      <c r="F1081" t="s">
        <v>53</v>
      </c>
      <c r="G1081">
        <v>4</v>
      </c>
      <c r="H1081" t="s">
        <v>54</v>
      </c>
      <c r="I1081">
        <v>337400</v>
      </c>
      <c r="J1081">
        <v>44400</v>
      </c>
      <c r="K1081">
        <v>0.24</v>
      </c>
      <c r="L108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081">
        <v>0</v>
      </c>
      <c r="N1081">
        <v>0</v>
      </c>
      <c r="O1081">
        <v>0</v>
      </c>
      <c r="P1081">
        <v>13398.7528</v>
      </c>
      <c r="Q1081">
        <v>63903</v>
      </c>
      <c r="R1081">
        <f>(Grandview_Inventory[[#This Row],[ln_acres]]*Grandview_Inventory[[#This Row],[coeff]])+Grandview_Inventory[[#This Row],[const]]</f>
        <v>44781.420733940802</v>
      </c>
      <c r="S1081" t="s">
        <v>58</v>
      </c>
      <c r="T1081">
        <v>1</v>
      </c>
      <c r="U1081" t="s">
        <v>62</v>
      </c>
      <c r="V1081" t="s">
        <v>66</v>
      </c>
      <c r="W1081">
        <v>0</v>
      </c>
      <c r="X1081">
        <v>0</v>
      </c>
      <c r="Y1081">
        <v>15</v>
      </c>
      <c r="Z1081">
        <v>15</v>
      </c>
      <c r="AA1081">
        <v>20</v>
      </c>
      <c r="AB1081">
        <v>2500</v>
      </c>
      <c r="AC1081">
        <v>2001</v>
      </c>
      <c r="AD1081">
        <v>2001</v>
      </c>
      <c r="AE1081">
        <v>0</v>
      </c>
      <c r="AF1081">
        <v>0</v>
      </c>
      <c r="AG1081">
        <v>0</v>
      </c>
      <c r="AH1081">
        <v>0</v>
      </c>
      <c r="AI1081">
        <v>899</v>
      </c>
      <c r="AJ1081">
        <v>0</v>
      </c>
      <c r="AK1081">
        <v>0</v>
      </c>
      <c r="AL1081">
        <v>0</v>
      </c>
      <c r="AM1081">
        <v>320</v>
      </c>
      <c r="AN1081">
        <v>0</v>
      </c>
      <c r="AO1081">
        <v>114</v>
      </c>
      <c r="AP1081">
        <v>10</v>
      </c>
      <c r="AQ1081">
        <v>0</v>
      </c>
      <c r="AR1081">
        <v>0</v>
      </c>
      <c r="AS1081" t="s">
        <v>58</v>
      </c>
      <c r="AT1081">
        <v>1</v>
      </c>
      <c r="AU1081" t="s">
        <v>63</v>
      </c>
      <c r="AV1081" t="s">
        <v>64</v>
      </c>
      <c r="AW1081">
        <v>1</v>
      </c>
      <c r="AX1081">
        <v>3</v>
      </c>
      <c r="AY1081">
        <v>0</v>
      </c>
      <c r="AZ1081">
        <v>18400</v>
      </c>
      <c r="BA1081">
        <v>100</v>
      </c>
      <c r="BB1081">
        <v>100</v>
      </c>
      <c r="BC1081">
        <v>100</v>
      </c>
      <c r="BD1081">
        <v>100</v>
      </c>
      <c r="BE1081">
        <v>1</v>
      </c>
      <c r="BF1081">
        <v>15000</v>
      </c>
      <c r="BG1081">
        <v>1000</v>
      </c>
      <c r="BH1081" s="6">
        <f>Grandview_Inventory[[#This Row],[land_extract]]*Lookups!$B$3</f>
        <v>52004.542988489469</v>
      </c>
      <c r="BI1081" s="6">
        <f>IF(Grandview_Inventory[[#This Row],[bldg_style]]="",0,Lookups!$B$2)</f>
        <v>155833.95000000001</v>
      </c>
      <c r="BJ1081" s="6">
        <f>_xlfn.IFNA(VLOOKUP(Grandview_Inventory[[#This Row],[quality]],Lookups!$H$2:$J$14,3,FALSE),0)</f>
        <v>9808</v>
      </c>
      <c r="BK1081" s="6">
        <f>_xlfn.IFNA(VLOOKUP(Grandview_Inventory[[#This Row],[condition]],Lookups!$H$17:$J$24,3,FALSE),0)</f>
        <v>25818</v>
      </c>
      <c r="BL1081" s="6">
        <f>Grandview_Inventory[[#This Row],[Eff_Age]]*Lookups!$B$14</f>
        <v>-3587.4989999999998</v>
      </c>
      <c r="BM1081" s="6">
        <f>Grandview_Inventory[[#This Row],[living_area]]*Lookups!$B$15</f>
        <v>124824.086853</v>
      </c>
      <c r="BN1081" s="6">
        <f>Grandview_Inventory[[#This Row],[Fin BSMT]]*Lookups!$B$16</f>
        <v>0</v>
      </c>
      <c r="BO1081" s="6">
        <f>(Grandview_Inventory[[#This Row],[att_gar]]+Grandview_Inventory[[#This Row],[bltin_gar]])*Lookups!$B$17</f>
        <v>78680.872862999997</v>
      </c>
      <c r="BP1081" s="6">
        <f>Grandview_Inventory[[#This Row],[Plumbing Fixtures]]*Lookups!$B$18</f>
        <v>20104.418000000001</v>
      </c>
      <c r="BQ1081" s="6">
        <f>Grandview_Inventory[[#This Row],[detatched_value]]*Lookups!$B$19</f>
        <v>15581.21384</v>
      </c>
      <c r="BR1081" s="6">
        <f>SUM(Grandview_Inventory[[#This Row],[Intercept]:[det_value]])*Grandview_Inventory[[#This Row],[res_pct]]</f>
        <v>427063.042556</v>
      </c>
      <c r="BS1081" s="6">
        <f>Grandview_Inventory[[#This Row],[land_value]]</f>
        <v>52004.542988489469</v>
      </c>
      <c r="BT1081" s="4">
        <f>_xlfn.IFNA(VLOOKUP(Grandview_Inventory[[#This Row],[quality]],Lookups!$A$26:$C$33,3,FALSE),1)</f>
        <v>0.94295468617355149</v>
      </c>
      <c r="BU1081" s="4">
        <f>_xlfn.IFNA(VLOOKUP(Grandview_Inventory[[#This Row],[condition]],Lookups!$A$37:$C$44,3,FALSE),1)</f>
        <v>0.96661476234146892</v>
      </c>
      <c r="BV1081" s="4">
        <f>IF(Grandview_Inventory[[#This Row],[bldg_style]]="",1,_xlfn.IFNA(VLOOKUP(Grandview_Inventory[[#This Row],[decade]],Lookups!$F$29:$H$43,3,FALSE),1))</f>
        <v>0.96737494181490646</v>
      </c>
      <c r="BW1081" s="4">
        <f>_xlfn.IFNA(VLOOKUP(Grandview_Inventory[[#This Row],[living_area_range]],Lookups!$F$47:$H$56,3,FALSE),1)</f>
        <v>0.95799442568048754</v>
      </c>
      <c r="BX1081" s="4">
        <f>AVERAGE(Grandview_Inventory[[#This Row],[qual_adj]:[size_adj]])</f>
        <v>0.95873470400260363</v>
      </c>
      <c r="BY1081" s="6">
        <f>IF(Grandview_Inventory[[#This Row],[pre_res]]&lt;0,0,Grandview_Inventory[[#This Row],[pre_res]]*Grandview_Inventory[[#This Row],[overall_adj]])</f>
        <v>409440.15969537798</v>
      </c>
      <c r="BZ1081" s="6">
        <f>(Grandview_Inventory[[#This Row],[sum_land]]-IF(Grandview_Inventory[[#This Row],[no_utilities]]=1,12000,0))/IF(Grandview_Inventory[[#This Row],[unbuildable]]=1,2,1)</f>
        <v>52004.542988489469</v>
      </c>
      <c r="CA108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081">
        <f>ROUND(Grandview_Inventory[[#This Row],[det_value]]*Lookups!$M$28,-2)</f>
        <v>14800</v>
      </c>
      <c r="CC1081">
        <f>IF(ROUND(Grandview_Inventory[[#This Row],[adj_res]]*Lookups!$M$28,-2)&lt;Grandview_Inventory[[#This Row],[min_res]],Grandview_Inventory[[#This Row],[min_res]],ROUND(Grandview_Inventory[[#This Row],[adj_res]]*Lookups!$M$28,-2))</f>
        <v>389000</v>
      </c>
      <c r="CD1081">
        <f>Grandview_Inventory[[#This Row],[final_det]]+Grandview_Inventory[[#This Row],[final_res]]</f>
        <v>403800</v>
      </c>
      <c r="CE1081">
        <f>Grandview_Inventory[[#This Row],[final_land]]+Grandview_Inventory[[#This Row],[final_imp]]+Grandview_Inventory[[#This Row],[crop_value]]</f>
        <v>453200</v>
      </c>
      <c r="CG1081" t="str">
        <f t="shared" si="16"/>
        <v>update valuation set market_land =49400, market_bldg=403800, market_total =453200, market_mdno =401, market_date ='9/10/2023' where link_id = (select link_id from parcel where parcel_year = '2024' and parcel_id = '23092242470');</v>
      </c>
    </row>
    <row r="1082" spans="1:85" x14ac:dyDescent="0.25">
      <c r="A1082">
        <v>23092242471</v>
      </c>
      <c r="B1082">
        <v>0.2</v>
      </c>
      <c r="C1082">
        <v>8674</v>
      </c>
      <c r="D1082" t="s">
        <v>129</v>
      </c>
      <c r="E1082" t="s">
        <v>53</v>
      </c>
      <c r="F1082" t="s">
        <v>53</v>
      </c>
      <c r="G1082">
        <v>4</v>
      </c>
      <c r="H1082" t="s">
        <v>54</v>
      </c>
      <c r="I1082">
        <v>259300</v>
      </c>
      <c r="J1082">
        <v>43500</v>
      </c>
      <c r="K1082">
        <v>0.2</v>
      </c>
      <c r="L108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82">
        <v>0</v>
      </c>
      <c r="N1082">
        <v>0</v>
      </c>
      <c r="O1082">
        <v>0</v>
      </c>
      <c r="P1082">
        <v>13398.7528</v>
      </c>
      <c r="Q1082">
        <v>63903</v>
      </c>
      <c r="R1082">
        <f>(Grandview_Inventory[[#This Row],[ln_acres]]*Grandview_Inventory[[#This Row],[coeff]])+Grandview_Inventory[[#This Row],[const]]</f>
        <v>42338.539264347448</v>
      </c>
      <c r="S1082" t="s">
        <v>61</v>
      </c>
      <c r="T1082">
        <v>1</v>
      </c>
      <c r="U1082" t="s">
        <v>62</v>
      </c>
      <c r="V1082" t="s">
        <v>67</v>
      </c>
      <c r="W1082">
        <v>0</v>
      </c>
      <c r="X1082">
        <v>0</v>
      </c>
      <c r="Y1082">
        <v>16</v>
      </c>
      <c r="Z1082">
        <v>16</v>
      </c>
      <c r="AA1082">
        <v>20</v>
      </c>
      <c r="AB1082">
        <v>2000</v>
      </c>
      <c r="AC1082">
        <v>1782</v>
      </c>
      <c r="AD1082">
        <v>1782</v>
      </c>
      <c r="AE1082">
        <v>0</v>
      </c>
      <c r="AF1082">
        <v>0</v>
      </c>
      <c r="AG1082">
        <v>0</v>
      </c>
      <c r="AH1082">
        <v>0</v>
      </c>
      <c r="AI1082">
        <v>567</v>
      </c>
      <c r="AJ1082">
        <v>0</v>
      </c>
      <c r="AK1082">
        <v>0</v>
      </c>
      <c r="AL1082">
        <v>0</v>
      </c>
      <c r="AM1082">
        <v>0</v>
      </c>
      <c r="AN1082">
        <v>60</v>
      </c>
      <c r="AO1082">
        <v>0</v>
      </c>
      <c r="AP1082">
        <v>10</v>
      </c>
      <c r="AQ1082">
        <v>0</v>
      </c>
      <c r="AR1082">
        <v>0</v>
      </c>
      <c r="AS1082" t="s">
        <v>58</v>
      </c>
      <c r="AT1082">
        <v>1</v>
      </c>
      <c r="AU1082" t="s">
        <v>59</v>
      </c>
      <c r="AV1082" t="s">
        <v>60</v>
      </c>
      <c r="AW1082">
        <v>1</v>
      </c>
      <c r="AX1082">
        <v>3</v>
      </c>
      <c r="AY1082">
        <v>0</v>
      </c>
      <c r="AZ1082">
        <v>0</v>
      </c>
      <c r="BA1082">
        <v>100</v>
      </c>
      <c r="BB1082">
        <v>100</v>
      </c>
      <c r="BC1082">
        <v>100</v>
      </c>
      <c r="BD1082">
        <v>100</v>
      </c>
      <c r="BE1082">
        <v>1</v>
      </c>
      <c r="BF1082">
        <v>15000</v>
      </c>
      <c r="BG1082">
        <v>1000</v>
      </c>
      <c r="BH1082" s="6">
        <f>Grandview_Inventory[[#This Row],[land_extract]]*Lookups!$B$3</f>
        <v>49167.631333630678</v>
      </c>
      <c r="BI1082" s="6">
        <f>IF(Grandview_Inventory[[#This Row],[bldg_style]]="",0,Lookups!$B$2)</f>
        <v>155833.95000000001</v>
      </c>
      <c r="BJ1082" s="6">
        <f>_xlfn.IFNA(VLOOKUP(Grandview_Inventory[[#This Row],[quality]],Lookups!$H$2:$J$14,3,FALSE),0)</f>
        <v>9808</v>
      </c>
      <c r="BK1082" s="6">
        <f>_xlfn.IFNA(VLOOKUP(Grandview_Inventory[[#This Row],[condition]],Lookups!$H$17:$J$24,3,FALSE),0)</f>
        <v>22342</v>
      </c>
      <c r="BL1082" s="6">
        <f>Grandview_Inventory[[#This Row],[Eff_Age]]*Lookups!$B$14</f>
        <v>-3826.6655999999998</v>
      </c>
      <c r="BM1082" s="6">
        <f>Grandview_Inventory[[#This Row],[living_area]]*Lookups!$B$15</f>
        <v>111162.68004600001</v>
      </c>
      <c r="BN1082" s="6">
        <f>Grandview_Inventory[[#This Row],[Fin BSMT]]*Lookups!$B$16</f>
        <v>0</v>
      </c>
      <c r="BO1082" s="6">
        <f>(Grandview_Inventory[[#This Row],[att_gar]]+Grandview_Inventory[[#This Row],[bltin_gar]])*Lookups!$B$17</f>
        <v>49624.087779000001</v>
      </c>
      <c r="BP1082" s="6">
        <f>Grandview_Inventory[[#This Row],[Plumbing Fixtures]]*Lookups!$B$18</f>
        <v>20104.418000000001</v>
      </c>
      <c r="BQ1082" s="6">
        <f>Grandview_Inventory[[#This Row],[detatched_value]]*Lookups!$B$19</f>
        <v>0</v>
      </c>
      <c r="BR1082" s="6">
        <f>SUM(Grandview_Inventory[[#This Row],[Intercept]:[det_value]])*Grandview_Inventory[[#This Row],[res_pct]]</f>
        <v>365048.470225</v>
      </c>
      <c r="BS1082" s="6">
        <f>Grandview_Inventory[[#This Row],[land_value]]</f>
        <v>49167.631333630678</v>
      </c>
      <c r="BT1082" s="4">
        <f>_xlfn.IFNA(VLOOKUP(Grandview_Inventory[[#This Row],[quality]],Lookups!$A$26:$C$33,3,FALSE),1)</f>
        <v>0.94295468617355149</v>
      </c>
      <c r="BU1082" s="4">
        <f>_xlfn.IFNA(VLOOKUP(Grandview_Inventory[[#This Row],[condition]],Lookups!$A$37:$C$44,3,FALSE),1)</f>
        <v>0.97383723671140243</v>
      </c>
      <c r="BV1082" s="4">
        <f>IF(Grandview_Inventory[[#This Row],[bldg_style]]="",1,_xlfn.IFNA(VLOOKUP(Grandview_Inventory[[#This Row],[decade]],Lookups!$F$29:$H$43,3,FALSE),1))</f>
        <v>0.96737494181490646</v>
      </c>
      <c r="BW1082" s="4">
        <f>_xlfn.IFNA(VLOOKUP(Grandview_Inventory[[#This Row],[living_area_range]],Lookups!$F$47:$H$56,3,FALSE),1)</f>
        <v>0.96120133463014379</v>
      </c>
      <c r="BX1082" s="4">
        <f>AVERAGE(Grandview_Inventory[[#This Row],[qual_adj]:[size_adj]])</f>
        <v>0.96134204983250116</v>
      </c>
      <c r="BY1082" s="6">
        <f>IF(Grandview_Inventory[[#This Row],[pre_res]]&lt;0,0,Grandview_Inventory[[#This Row],[pre_res]]*Grandview_Inventory[[#This Row],[overall_adj]])</f>
        <v>350936.44465432025</v>
      </c>
      <c r="BZ1082" s="6">
        <f>(Grandview_Inventory[[#This Row],[sum_land]]-IF(Grandview_Inventory[[#This Row],[no_utilities]]=1,12000,0))/IF(Grandview_Inventory[[#This Row],[unbuildable]]=1,2,1)</f>
        <v>49167.631333630678</v>
      </c>
      <c r="CA108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82">
        <f>ROUND(Grandview_Inventory[[#This Row],[det_value]]*Lookups!$M$28,-2)</f>
        <v>0</v>
      </c>
      <c r="CC1082">
        <f>IF(ROUND(Grandview_Inventory[[#This Row],[adj_res]]*Lookups!$M$28,-2)&lt;Grandview_Inventory[[#This Row],[min_res]],Grandview_Inventory[[#This Row],[min_res]],ROUND(Grandview_Inventory[[#This Row],[adj_res]]*Lookups!$M$28,-2))</f>
        <v>333400</v>
      </c>
      <c r="CD1082">
        <f>Grandview_Inventory[[#This Row],[final_det]]+Grandview_Inventory[[#This Row],[final_res]]</f>
        <v>333400</v>
      </c>
      <c r="CE1082">
        <f>Grandview_Inventory[[#This Row],[final_land]]+Grandview_Inventory[[#This Row],[final_imp]]+Grandview_Inventory[[#This Row],[crop_value]]</f>
        <v>380100</v>
      </c>
      <c r="CG1082" t="str">
        <f t="shared" si="16"/>
        <v>update valuation set market_land =46700, market_bldg=333400, market_total =380100, market_mdno =401, market_date ='9/10/2023' where link_id = (select link_id from parcel where parcel_year = '2024' and parcel_id = '23092242471');</v>
      </c>
    </row>
    <row r="1083" spans="1:85" x14ac:dyDescent="0.25">
      <c r="A1083">
        <v>23092242472</v>
      </c>
      <c r="B1083">
        <v>0.19</v>
      </c>
      <c r="C1083">
        <v>8210</v>
      </c>
      <c r="D1083" t="s">
        <v>129</v>
      </c>
      <c r="E1083" t="s">
        <v>53</v>
      </c>
      <c r="F1083" t="s">
        <v>53</v>
      </c>
      <c r="G1083">
        <v>4</v>
      </c>
      <c r="H1083" t="s">
        <v>54</v>
      </c>
      <c r="I1083">
        <v>261500</v>
      </c>
      <c r="J1083">
        <v>39100</v>
      </c>
      <c r="K1083">
        <v>0.19</v>
      </c>
      <c r="L108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83">
        <v>0</v>
      </c>
      <c r="N1083">
        <v>0</v>
      </c>
      <c r="O1083">
        <v>0</v>
      </c>
      <c r="P1083">
        <v>13398.7528</v>
      </c>
      <c r="Q1083">
        <v>63903</v>
      </c>
      <c r="R1083">
        <f>(Grandview_Inventory[[#This Row],[ln_acres]]*Grandview_Inventory[[#This Row],[coeff]])+Grandview_Inventory[[#This Row],[const]]</f>
        <v>41651.273092551026</v>
      </c>
      <c r="S1083" t="s">
        <v>58</v>
      </c>
      <c r="T1083">
        <v>1</v>
      </c>
      <c r="U1083" t="s">
        <v>62</v>
      </c>
      <c r="V1083" t="s">
        <v>66</v>
      </c>
      <c r="W1083">
        <v>0</v>
      </c>
      <c r="X1083">
        <v>0</v>
      </c>
      <c r="Y1083">
        <v>15</v>
      </c>
      <c r="Z1083">
        <v>15</v>
      </c>
      <c r="AA1083">
        <v>20</v>
      </c>
      <c r="AB1083">
        <v>2000</v>
      </c>
      <c r="AC1083">
        <v>1668</v>
      </c>
      <c r="AD1083">
        <v>1668</v>
      </c>
      <c r="AE1083">
        <v>0</v>
      </c>
      <c r="AF1083">
        <v>0</v>
      </c>
      <c r="AG1083">
        <v>0</v>
      </c>
      <c r="AH1083">
        <v>0</v>
      </c>
      <c r="AI1083">
        <v>576</v>
      </c>
      <c r="AJ1083">
        <v>0</v>
      </c>
      <c r="AK1083">
        <v>0</v>
      </c>
      <c r="AL1083">
        <v>0</v>
      </c>
      <c r="AM1083">
        <v>192</v>
      </c>
      <c r="AN1083">
        <v>24</v>
      </c>
      <c r="AO1083">
        <v>128</v>
      </c>
      <c r="AP1083">
        <v>10</v>
      </c>
      <c r="AQ1083">
        <v>0</v>
      </c>
      <c r="AR1083">
        <v>0</v>
      </c>
      <c r="AS1083" t="s">
        <v>58</v>
      </c>
      <c r="AT1083">
        <v>1</v>
      </c>
      <c r="AU1083" t="s">
        <v>63</v>
      </c>
      <c r="AV1083" t="s">
        <v>64</v>
      </c>
      <c r="AW1083">
        <v>1</v>
      </c>
      <c r="AX1083">
        <v>3</v>
      </c>
      <c r="AY1083">
        <v>0</v>
      </c>
      <c r="AZ1083">
        <v>0</v>
      </c>
      <c r="BA1083">
        <v>100</v>
      </c>
      <c r="BB1083">
        <v>100</v>
      </c>
      <c r="BC1083">
        <v>100</v>
      </c>
      <c r="BD1083">
        <v>100</v>
      </c>
      <c r="BE1083">
        <v>1</v>
      </c>
      <c r="BF1083">
        <v>15000</v>
      </c>
      <c r="BG1083">
        <v>1000</v>
      </c>
      <c r="BH1083" s="6">
        <f>Grandview_Inventory[[#This Row],[land_extract]]*Lookups!$B$3</f>
        <v>48369.510983942157</v>
      </c>
      <c r="BI1083" s="6">
        <f>IF(Grandview_Inventory[[#This Row],[bldg_style]]="",0,Lookups!$B$2)</f>
        <v>155833.95000000001</v>
      </c>
      <c r="BJ1083" s="6">
        <f>_xlfn.IFNA(VLOOKUP(Grandview_Inventory[[#This Row],[quality]],Lookups!$H$2:$J$14,3,FALSE),0)</f>
        <v>9808</v>
      </c>
      <c r="BK1083" s="6">
        <f>_xlfn.IFNA(VLOOKUP(Grandview_Inventory[[#This Row],[condition]],Lookups!$H$17:$J$24,3,FALSE),0)</f>
        <v>25818</v>
      </c>
      <c r="BL1083" s="6">
        <f>Grandview_Inventory[[#This Row],[Eff_Age]]*Lookups!$B$14</f>
        <v>-3587.4989999999998</v>
      </c>
      <c r="BM1083" s="6">
        <f>Grandview_Inventory[[#This Row],[living_area]]*Lookups!$B$15</f>
        <v>104051.262804</v>
      </c>
      <c r="BN1083" s="6">
        <f>Grandview_Inventory[[#This Row],[Fin BSMT]]*Lookups!$B$16</f>
        <v>0</v>
      </c>
      <c r="BO1083" s="6">
        <f>(Grandview_Inventory[[#This Row],[att_gar]]+Grandview_Inventory[[#This Row],[bltin_gar]])*Lookups!$B$17</f>
        <v>50411.771712000002</v>
      </c>
      <c r="BP1083" s="6">
        <f>Grandview_Inventory[[#This Row],[Plumbing Fixtures]]*Lookups!$B$18</f>
        <v>20104.418000000001</v>
      </c>
      <c r="BQ1083" s="6">
        <f>Grandview_Inventory[[#This Row],[detatched_value]]*Lookups!$B$19</f>
        <v>0</v>
      </c>
      <c r="BR1083" s="6">
        <f>SUM(Grandview_Inventory[[#This Row],[Intercept]:[det_value]])*Grandview_Inventory[[#This Row],[res_pct]]</f>
        <v>362439.90351600002</v>
      </c>
      <c r="BS1083" s="6">
        <f>Grandview_Inventory[[#This Row],[land_value]]</f>
        <v>48369.510983942157</v>
      </c>
      <c r="BT1083" s="4">
        <f>_xlfn.IFNA(VLOOKUP(Grandview_Inventory[[#This Row],[quality]],Lookups!$A$26:$C$33,3,FALSE),1)</f>
        <v>0.94295468617355149</v>
      </c>
      <c r="BU1083" s="4">
        <f>_xlfn.IFNA(VLOOKUP(Grandview_Inventory[[#This Row],[condition]],Lookups!$A$37:$C$44,3,FALSE),1)</f>
        <v>0.96661476234146892</v>
      </c>
      <c r="BV1083" s="4">
        <f>IF(Grandview_Inventory[[#This Row],[bldg_style]]="",1,_xlfn.IFNA(VLOOKUP(Grandview_Inventory[[#This Row],[decade]],Lookups!$F$29:$H$43,3,FALSE),1))</f>
        <v>0.96737494181490646</v>
      </c>
      <c r="BW1083" s="4">
        <f>_xlfn.IFNA(VLOOKUP(Grandview_Inventory[[#This Row],[living_area_range]],Lookups!$F$47:$H$56,3,FALSE),1)</f>
        <v>0.96120133463014379</v>
      </c>
      <c r="BX1083" s="4">
        <f>AVERAGE(Grandview_Inventory[[#This Row],[qual_adj]:[size_adj]])</f>
        <v>0.95953643124001764</v>
      </c>
      <c r="BY1083" s="6">
        <f>IF(Grandview_Inventory[[#This Row],[pre_res]]&lt;0,0,Grandview_Inventory[[#This Row],[pre_res]]*Grandview_Inventory[[#This Row],[overall_adj]])</f>
        <v>347774.29155871901</v>
      </c>
      <c r="BZ1083" s="6">
        <f>(Grandview_Inventory[[#This Row],[sum_land]]-IF(Grandview_Inventory[[#This Row],[no_utilities]]=1,12000,0))/IF(Grandview_Inventory[[#This Row],[unbuildable]]=1,2,1)</f>
        <v>48369.510983942157</v>
      </c>
      <c r="CA108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83">
        <f>ROUND(Grandview_Inventory[[#This Row],[det_value]]*Lookups!$M$28,-2)</f>
        <v>0</v>
      </c>
      <c r="CC1083">
        <f>IF(ROUND(Grandview_Inventory[[#This Row],[adj_res]]*Lookups!$M$28,-2)&lt;Grandview_Inventory[[#This Row],[min_res]],Grandview_Inventory[[#This Row],[min_res]],ROUND(Grandview_Inventory[[#This Row],[adj_res]]*Lookups!$M$28,-2))</f>
        <v>330400</v>
      </c>
      <c r="CD1083">
        <f>Grandview_Inventory[[#This Row],[final_det]]+Grandview_Inventory[[#This Row],[final_res]]</f>
        <v>330400</v>
      </c>
      <c r="CE1083">
        <f>Grandview_Inventory[[#This Row],[final_land]]+Grandview_Inventory[[#This Row],[final_imp]]+Grandview_Inventory[[#This Row],[crop_value]]</f>
        <v>376400</v>
      </c>
      <c r="CG1083" t="str">
        <f t="shared" si="16"/>
        <v>update valuation set market_land =46000, market_bldg=330400, market_total =376400, market_mdno =401, market_date ='9/10/2023' where link_id = (select link_id from parcel where parcel_year = '2024' and parcel_id = '23092242472');</v>
      </c>
    </row>
    <row r="1084" spans="1:85" x14ac:dyDescent="0.25">
      <c r="A1084">
        <v>23092242473</v>
      </c>
      <c r="B1084">
        <v>0.19</v>
      </c>
      <c r="C1084">
        <v>8311</v>
      </c>
      <c r="D1084" t="s">
        <v>129</v>
      </c>
      <c r="E1084" t="s">
        <v>53</v>
      </c>
      <c r="F1084" t="s">
        <v>53</v>
      </c>
      <c r="G1084">
        <v>4</v>
      </c>
      <c r="H1084" t="s">
        <v>54</v>
      </c>
      <c r="I1084">
        <v>287200</v>
      </c>
      <c r="J1084">
        <v>43500</v>
      </c>
      <c r="K1084">
        <v>0.19</v>
      </c>
      <c r="L108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84">
        <v>0</v>
      </c>
      <c r="N1084">
        <v>0</v>
      </c>
      <c r="O1084">
        <v>0</v>
      </c>
      <c r="P1084">
        <v>13398.7528</v>
      </c>
      <c r="Q1084">
        <v>63903</v>
      </c>
      <c r="R1084">
        <f>(Grandview_Inventory[[#This Row],[ln_acres]]*Grandview_Inventory[[#This Row],[coeff]])+Grandview_Inventory[[#This Row],[const]]</f>
        <v>41651.273092551026</v>
      </c>
      <c r="S1084" t="s">
        <v>58</v>
      </c>
      <c r="T1084">
        <v>1</v>
      </c>
      <c r="U1084" t="s">
        <v>64</v>
      </c>
      <c r="V1084" t="s">
        <v>66</v>
      </c>
      <c r="W1084">
        <v>0</v>
      </c>
      <c r="X1084">
        <v>0</v>
      </c>
      <c r="Y1084">
        <v>16</v>
      </c>
      <c r="Z1084">
        <v>16</v>
      </c>
      <c r="AA1084">
        <v>20</v>
      </c>
      <c r="AB1084">
        <v>2000</v>
      </c>
      <c r="AC1084">
        <v>1798</v>
      </c>
      <c r="AD1084">
        <v>1798</v>
      </c>
      <c r="AE1084">
        <v>0</v>
      </c>
      <c r="AF1084">
        <v>0</v>
      </c>
      <c r="AG1084">
        <v>0</v>
      </c>
      <c r="AH1084">
        <v>0</v>
      </c>
      <c r="AI1084">
        <v>621</v>
      </c>
      <c r="AJ1084">
        <v>0</v>
      </c>
      <c r="AK1084">
        <v>0</v>
      </c>
      <c r="AL1084">
        <v>0</v>
      </c>
      <c r="AM1084">
        <v>0</v>
      </c>
      <c r="AN1084">
        <v>275</v>
      </c>
      <c r="AO1084">
        <v>0</v>
      </c>
      <c r="AP1084">
        <v>10</v>
      </c>
      <c r="AQ1084">
        <v>0</v>
      </c>
      <c r="AR1084">
        <v>0</v>
      </c>
      <c r="AS1084" t="s">
        <v>58</v>
      </c>
      <c r="AT1084">
        <v>1</v>
      </c>
      <c r="AU1084" t="s">
        <v>59</v>
      </c>
      <c r="AV1084" t="s">
        <v>60</v>
      </c>
      <c r="AW1084">
        <v>1</v>
      </c>
      <c r="AX1084">
        <v>3</v>
      </c>
      <c r="AY1084">
        <v>0</v>
      </c>
      <c r="AZ1084">
        <v>0</v>
      </c>
      <c r="BA1084">
        <v>100</v>
      </c>
      <c r="BB1084">
        <v>100</v>
      </c>
      <c r="BC1084">
        <v>100</v>
      </c>
      <c r="BD1084">
        <v>100</v>
      </c>
      <c r="BE1084">
        <v>1</v>
      </c>
      <c r="BF1084">
        <v>15000</v>
      </c>
      <c r="BG1084">
        <v>1000</v>
      </c>
      <c r="BH1084" s="6">
        <f>Grandview_Inventory[[#This Row],[land_extract]]*Lookups!$B$3</f>
        <v>48369.510983942157</v>
      </c>
      <c r="BI1084" s="6">
        <f>IF(Grandview_Inventory[[#This Row],[bldg_style]]="",0,Lookups!$B$2)</f>
        <v>155833.95000000001</v>
      </c>
      <c r="BJ1084" s="6">
        <f>_xlfn.IFNA(VLOOKUP(Grandview_Inventory[[#This Row],[quality]],Lookups!$H$2:$J$14,3,FALSE),0)</f>
        <v>20768</v>
      </c>
      <c r="BK1084" s="6">
        <f>_xlfn.IFNA(VLOOKUP(Grandview_Inventory[[#This Row],[condition]],Lookups!$H$17:$J$24,3,FALSE),0)</f>
        <v>25818</v>
      </c>
      <c r="BL1084" s="6">
        <f>Grandview_Inventory[[#This Row],[Eff_Age]]*Lookups!$B$14</f>
        <v>-3826.6655999999998</v>
      </c>
      <c r="BM1084" s="6">
        <f>Grandview_Inventory[[#This Row],[living_area]]*Lookups!$B$15</f>
        <v>112160.773694</v>
      </c>
      <c r="BN1084" s="6">
        <f>Grandview_Inventory[[#This Row],[Fin BSMT]]*Lookups!$B$16</f>
        <v>0</v>
      </c>
      <c r="BO1084" s="6">
        <f>(Grandview_Inventory[[#This Row],[att_gar]]+Grandview_Inventory[[#This Row],[bltin_gar]])*Lookups!$B$17</f>
        <v>54350.191377000003</v>
      </c>
      <c r="BP1084" s="6">
        <f>Grandview_Inventory[[#This Row],[Plumbing Fixtures]]*Lookups!$B$18</f>
        <v>20104.418000000001</v>
      </c>
      <c r="BQ1084" s="6">
        <f>Grandview_Inventory[[#This Row],[detatched_value]]*Lookups!$B$19</f>
        <v>0</v>
      </c>
      <c r="BR1084" s="6">
        <f>SUM(Grandview_Inventory[[#This Row],[Intercept]:[det_value]])*Grandview_Inventory[[#This Row],[res_pct]]</f>
        <v>385208.66747099999</v>
      </c>
      <c r="BS1084" s="6">
        <f>Grandview_Inventory[[#This Row],[land_value]]</f>
        <v>48369.510983942157</v>
      </c>
      <c r="BT1084" s="4">
        <f>_xlfn.IFNA(VLOOKUP(Grandview_Inventory[[#This Row],[quality]],Lookups!$A$26:$C$33,3,FALSE),1)</f>
        <v>0.94960540378902636</v>
      </c>
      <c r="BU1084" s="4">
        <f>_xlfn.IFNA(VLOOKUP(Grandview_Inventory[[#This Row],[condition]],Lookups!$A$37:$C$44,3,FALSE),1)</f>
        <v>0.96661476234146892</v>
      </c>
      <c r="BV1084" s="4">
        <f>IF(Grandview_Inventory[[#This Row],[bldg_style]]="",1,_xlfn.IFNA(VLOOKUP(Grandview_Inventory[[#This Row],[decade]],Lookups!$F$29:$H$43,3,FALSE),1))</f>
        <v>0.96737494181490646</v>
      </c>
      <c r="BW1084" s="4">
        <f>_xlfn.IFNA(VLOOKUP(Grandview_Inventory[[#This Row],[living_area_range]],Lookups!$F$47:$H$56,3,FALSE),1)</f>
        <v>0.96120133463014379</v>
      </c>
      <c r="BX1084" s="4">
        <f>AVERAGE(Grandview_Inventory[[#This Row],[qual_adj]:[size_adj]])</f>
        <v>0.96119911064388641</v>
      </c>
      <c r="BY1084" s="6">
        <f>IF(Grandview_Inventory[[#This Row],[pre_res]]&lt;0,0,Grandview_Inventory[[#This Row],[pre_res]]*Grandview_Inventory[[#This Row],[overall_adj]])</f>
        <v>370262.22858544177</v>
      </c>
      <c r="BZ1084" s="6">
        <f>(Grandview_Inventory[[#This Row],[sum_land]]-IF(Grandview_Inventory[[#This Row],[no_utilities]]=1,12000,0))/IF(Grandview_Inventory[[#This Row],[unbuildable]]=1,2,1)</f>
        <v>48369.510983942157</v>
      </c>
      <c r="CA108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84">
        <f>ROUND(Grandview_Inventory[[#This Row],[det_value]]*Lookups!$M$28,-2)</f>
        <v>0</v>
      </c>
      <c r="CC1084">
        <f>IF(ROUND(Grandview_Inventory[[#This Row],[adj_res]]*Lookups!$M$28,-2)&lt;Grandview_Inventory[[#This Row],[min_res]],Grandview_Inventory[[#This Row],[min_res]],ROUND(Grandview_Inventory[[#This Row],[adj_res]]*Lookups!$M$28,-2))</f>
        <v>351700</v>
      </c>
      <c r="CD1084">
        <f>Grandview_Inventory[[#This Row],[final_det]]+Grandview_Inventory[[#This Row],[final_res]]</f>
        <v>351700</v>
      </c>
      <c r="CE1084">
        <f>Grandview_Inventory[[#This Row],[final_land]]+Grandview_Inventory[[#This Row],[final_imp]]+Grandview_Inventory[[#This Row],[crop_value]]</f>
        <v>397700</v>
      </c>
      <c r="CG1084" t="str">
        <f t="shared" si="16"/>
        <v>update valuation set market_land =46000, market_bldg=351700, market_total =397700, market_mdno =401, market_date ='9/10/2023' where link_id = (select link_id from parcel where parcel_year = '2024' and parcel_id = '23092242473');</v>
      </c>
    </row>
    <row r="1085" spans="1:85" x14ac:dyDescent="0.25">
      <c r="A1085">
        <v>23092242474</v>
      </c>
      <c r="B1085">
        <v>0.21</v>
      </c>
      <c r="C1085">
        <v>9123</v>
      </c>
      <c r="D1085" t="s">
        <v>129</v>
      </c>
      <c r="E1085" t="s">
        <v>53</v>
      </c>
      <c r="F1085" t="s">
        <v>53</v>
      </c>
      <c r="G1085">
        <v>4</v>
      </c>
      <c r="H1085" t="s">
        <v>54</v>
      </c>
      <c r="I1085">
        <v>300500</v>
      </c>
      <c r="J1085">
        <v>43700</v>
      </c>
      <c r="K1085">
        <v>0.21</v>
      </c>
      <c r="L108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85">
        <v>0</v>
      </c>
      <c r="N1085">
        <v>0</v>
      </c>
      <c r="O1085">
        <v>0</v>
      </c>
      <c r="P1085">
        <v>13398.7528</v>
      </c>
      <c r="Q1085">
        <v>63903</v>
      </c>
      <c r="R1085">
        <f>(Grandview_Inventory[[#This Row],[ln_acres]]*Grandview_Inventory[[#This Row],[coeff]])+Grandview_Inventory[[#This Row],[const]]</f>
        <v>42992.266613125081</v>
      </c>
      <c r="S1085" t="s">
        <v>58</v>
      </c>
      <c r="T1085">
        <v>1</v>
      </c>
      <c r="U1085" t="s">
        <v>64</v>
      </c>
      <c r="V1085" t="s">
        <v>66</v>
      </c>
      <c r="W1085">
        <v>0</v>
      </c>
      <c r="X1085">
        <v>0</v>
      </c>
      <c r="Y1085">
        <v>16</v>
      </c>
      <c r="Z1085">
        <v>16</v>
      </c>
      <c r="AA1085">
        <v>20</v>
      </c>
      <c r="AB1085">
        <v>2500</v>
      </c>
      <c r="AC1085">
        <v>2081</v>
      </c>
      <c r="AD1085">
        <v>2081</v>
      </c>
      <c r="AE1085">
        <v>0</v>
      </c>
      <c r="AF1085">
        <v>0</v>
      </c>
      <c r="AG1085">
        <v>0</v>
      </c>
      <c r="AH1085">
        <v>0</v>
      </c>
      <c r="AI1085">
        <v>600</v>
      </c>
      <c r="AJ1085">
        <v>0</v>
      </c>
      <c r="AK1085">
        <v>0</v>
      </c>
      <c r="AL1085">
        <v>0</v>
      </c>
      <c r="AM1085">
        <v>288</v>
      </c>
      <c r="AN1085">
        <v>24</v>
      </c>
      <c r="AO1085">
        <v>144</v>
      </c>
      <c r="AP1085">
        <v>12</v>
      </c>
      <c r="AQ1085">
        <v>0</v>
      </c>
      <c r="AR1085">
        <v>0</v>
      </c>
      <c r="AS1085" t="s">
        <v>58</v>
      </c>
      <c r="AT1085">
        <v>1</v>
      </c>
      <c r="AU1085" t="s">
        <v>63</v>
      </c>
      <c r="AV1085" t="s">
        <v>64</v>
      </c>
      <c r="AW1085">
        <v>1</v>
      </c>
      <c r="AX1085">
        <v>3</v>
      </c>
      <c r="AY1085">
        <v>0</v>
      </c>
      <c r="AZ1085">
        <v>0</v>
      </c>
      <c r="BA1085">
        <v>100</v>
      </c>
      <c r="BB1085">
        <v>100</v>
      </c>
      <c r="BC1085">
        <v>100</v>
      </c>
      <c r="BD1085">
        <v>100</v>
      </c>
      <c r="BE1085">
        <v>1</v>
      </c>
      <c r="BF1085">
        <v>15000</v>
      </c>
      <c r="BG1085">
        <v>1000</v>
      </c>
      <c r="BH1085" s="6">
        <f>Grandview_Inventory[[#This Row],[land_extract]]*Lookups!$B$3</f>
        <v>49926.8031387023</v>
      </c>
      <c r="BI1085" s="6">
        <f>IF(Grandview_Inventory[[#This Row],[bldg_style]]="",0,Lookups!$B$2)</f>
        <v>155833.95000000001</v>
      </c>
      <c r="BJ1085" s="6">
        <f>_xlfn.IFNA(VLOOKUP(Grandview_Inventory[[#This Row],[quality]],Lookups!$H$2:$J$14,3,FALSE),0)</f>
        <v>20768</v>
      </c>
      <c r="BK1085" s="6">
        <f>_xlfn.IFNA(VLOOKUP(Grandview_Inventory[[#This Row],[condition]],Lookups!$H$17:$J$24,3,FALSE),0)</f>
        <v>25818</v>
      </c>
      <c r="BL1085" s="6">
        <f>Grandview_Inventory[[#This Row],[Eff_Age]]*Lookups!$B$14</f>
        <v>-3826.6655999999998</v>
      </c>
      <c r="BM1085" s="6">
        <f>Grandview_Inventory[[#This Row],[living_area]]*Lookups!$B$15</f>
        <v>129814.555093</v>
      </c>
      <c r="BN1085" s="6">
        <f>Grandview_Inventory[[#This Row],[Fin BSMT]]*Lookups!$B$16</f>
        <v>0</v>
      </c>
      <c r="BO1085" s="6">
        <f>(Grandview_Inventory[[#This Row],[att_gar]]+Grandview_Inventory[[#This Row],[bltin_gar]])*Lookups!$B$17</f>
        <v>52512.262199999997</v>
      </c>
      <c r="BP1085" s="6">
        <f>Grandview_Inventory[[#This Row],[Plumbing Fixtures]]*Lookups!$B$18</f>
        <v>24125.301599999999</v>
      </c>
      <c r="BQ1085" s="6">
        <f>Grandview_Inventory[[#This Row],[detatched_value]]*Lookups!$B$19</f>
        <v>0</v>
      </c>
      <c r="BR1085" s="6">
        <f>SUM(Grandview_Inventory[[#This Row],[Intercept]:[det_value]])*Grandview_Inventory[[#This Row],[res_pct]]</f>
        <v>405045.40329300001</v>
      </c>
      <c r="BS1085" s="6">
        <f>Grandview_Inventory[[#This Row],[land_value]]</f>
        <v>49926.8031387023</v>
      </c>
      <c r="BT1085" s="4">
        <f>_xlfn.IFNA(VLOOKUP(Grandview_Inventory[[#This Row],[quality]],Lookups!$A$26:$C$33,3,FALSE),1)</f>
        <v>0.94960540378902636</v>
      </c>
      <c r="BU1085" s="4">
        <f>_xlfn.IFNA(VLOOKUP(Grandview_Inventory[[#This Row],[condition]],Lookups!$A$37:$C$44,3,FALSE),1)</f>
        <v>0.96661476234146892</v>
      </c>
      <c r="BV1085" s="4">
        <f>IF(Grandview_Inventory[[#This Row],[bldg_style]]="",1,_xlfn.IFNA(VLOOKUP(Grandview_Inventory[[#This Row],[decade]],Lookups!$F$29:$H$43,3,FALSE),1))</f>
        <v>0.96737494181490646</v>
      </c>
      <c r="BW1085" s="4">
        <f>_xlfn.IFNA(VLOOKUP(Grandview_Inventory[[#This Row],[living_area_range]],Lookups!$F$47:$H$56,3,FALSE),1)</f>
        <v>0.95799442568048754</v>
      </c>
      <c r="BX1085" s="4">
        <f>AVERAGE(Grandview_Inventory[[#This Row],[qual_adj]:[size_adj]])</f>
        <v>0.96039738340647229</v>
      </c>
      <c r="BY1085" s="6">
        <f>IF(Grandview_Inventory[[#This Row],[pre_res]]&lt;0,0,Grandview_Inventory[[#This Row],[pre_res]]*Grandview_Inventory[[#This Row],[overall_adj]])</f>
        <v>389004.54548341653</v>
      </c>
      <c r="BZ1085" s="6">
        <f>(Grandview_Inventory[[#This Row],[sum_land]]-IF(Grandview_Inventory[[#This Row],[no_utilities]]=1,12000,0))/IF(Grandview_Inventory[[#This Row],[unbuildable]]=1,2,1)</f>
        <v>49926.8031387023</v>
      </c>
      <c r="CA108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85">
        <f>ROUND(Grandview_Inventory[[#This Row],[det_value]]*Lookups!$M$28,-2)</f>
        <v>0</v>
      </c>
      <c r="CC1085">
        <f>IF(ROUND(Grandview_Inventory[[#This Row],[adj_res]]*Lookups!$M$28,-2)&lt;Grandview_Inventory[[#This Row],[min_res]],Grandview_Inventory[[#This Row],[min_res]],ROUND(Grandview_Inventory[[#This Row],[adj_res]]*Lookups!$M$28,-2))</f>
        <v>369600</v>
      </c>
      <c r="CD1085">
        <f>Grandview_Inventory[[#This Row],[final_det]]+Grandview_Inventory[[#This Row],[final_res]]</f>
        <v>369600</v>
      </c>
      <c r="CE1085">
        <f>Grandview_Inventory[[#This Row],[final_land]]+Grandview_Inventory[[#This Row],[final_imp]]+Grandview_Inventory[[#This Row],[crop_value]]</f>
        <v>417000</v>
      </c>
      <c r="CG1085" t="str">
        <f t="shared" si="16"/>
        <v>update valuation set market_land =47400, market_bldg=369600, market_total =417000, market_mdno =401, market_date ='9/10/2023' where link_id = (select link_id from parcel where parcel_year = '2024' and parcel_id = '23092242474');</v>
      </c>
    </row>
    <row r="1086" spans="1:85" x14ac:dyDescent="0.25">
      <c r="A1086">
        <v>23092242475</v>
      </c>
      <c r="B1086">
        <v>0.21</v>
      </c>
      <c r="C1086">
        <v>9045</v>
      </c>
      <c r="D1086" t="s">
        <v>129</v>
      </c>
      <c r="E1086" t="s">
        <v>53</v>
      </c>
      <c r="F1086" t="s">
        <v>53</v>
      </c>
      <c r="G1086">
        <v>4</v>
      </c>
      <c r="H1086" t="s">
        <v>54</v>
      </c>
      <c r="I1086">
        <v>262000</v>
      </c>
      <c r="J1086">
        <v>43500</v>
      </c>
      <c r="K1086">
        <v>0.21</v>
      </c>
      <c r="L108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86">
        <v>0</v>
      </c>
      <c r="N1086">
        <v>0</v>
      </c>
      <c r="O1086">
        <v>0</v>
      </c>
      <c r="P1086">
        <v>13398.7528</v>
      </c>
      <c r="Q1086">
        <v>63903</v>
      </c>
      <c r="R1086">
        <f>(Grandview_Inventory[[#This Row],[ln_acres]]*Grandview_Inventory[[#This Row],[coeff]])+Grandview_Inventory[[#This Row],[const]]</f>
        <v>42992.266613125081</v>
      </c>
      <c r="S1086" t="s">
        <v>58</v>
      </c>
      <c r="T1086">
        <v>1</v>
      </c>
      <c r="U1086" t="s">
        <v>62</v>
      </c>
      <c r="V1086" t="s">
        <v>66</v>
      </c>
      <c r="W1086">
        <v>0</v>
      </c>
      <c r="X1086">
        <v>0</v>
      </c>
      <c r="Y1086">
        <v>16</v>
      </c>
      <c r="Z1086">
        <v>16</v>
      </c>
      <c r="AA1086">
        <v>20</v>
      </c>
      <c r="AB1086">
        <v>2000</v>
      </c>
      <c r="AC1086">
        <v>1712</v>
      </c>
      <c r="AD1086">
        <v>1712</v>
      </c>
      <c r="AE1086">
        <v>0</v>
      </c>
      <c r="AF1086">
        <v>0</v>
      </c>
      <c r="AG1086">
        <v>0</v>
      </c>
      <c r="AH1086">
        <v>0</v>
      </c>
      <c r="AI1086">
        <v>552</v>
      </c>
      <c r="AJ1086">
        <v>0</v>
      </c>
      <c r="AK1086">
        <v>0</v>
      </c>
      <c r="AL1086">
        <v>0</v>
      </c>
      <c r="AM1086">
        <v>0</v>
      </c>
      <c r="AN1086">
        <v>210</v>
      </c>
      <c r="AO1086">
        <v>0</v>
      </c>
      <c r="AP1086">
        <v>10</v>
      </c>
      <c r="AQ1086">
        <v>0</v>
      </c>
      <c r="AR1086">
        <v>0</v>
      </c>
      <c r="AS1086" t="s">
        <v>58</v>
      </c>
      <c r="AT1086">
        <v>1</v>
      </c>
      <c r="AU1086" t="s">
        <v>63</v>
      </c>
      <c r="AV1086" t="s">
        <v>64</v>
      </c>
      <c r="AW1086">
        <v>1</v>
      </c>
      <c r="AX1086">
        <v>3</v>
      </c>
      <c r="AY1086">
        <v>0</v>
      </c>
      <c r="AZ1086">
        <v>0</v>
      </c>
      <c r="BA1086">
        <v>100</v>
      </c>
      <c r="BB1086">
        <v>100</v>
      </c>
      <c r="BC1086">
        <v>100</v>
      </c>
      <c r="BD1086">
        <v>100</v>
      </c>
      <c r="BE1086">
        <v>1</v>
      </c>
      <c r="BF1086">
        <v>15000</v>
      </c>
      <c r="BG1086">
        <v>1000</v>
      </c>
      <c r="BH1086" s="6">
        <f>Grandview_Inventory[[#This Row],[land_extract]]*Lookups!$B$3</f>
        <v>49926.8031387023</v>
      </c>
      <c r="BI1086" s="6">
        <f>IF(Grandview_Inventory[[#This Row],[bldg_style]]="",0,Lookups!$B$2)</f>
        <v>155833.95000000001</v>
      </c>
      <c r="BJ1086" s="6">
        <f>_xlfn.IFNA(VLOOKUP(Grandview_Inventory[[#This Row],[quality]],Lookups!$H$2:$J$14,3,FALSE),0)</f>
        <v>9808</v>
      </c>
      <c r="BK1086" s="6">
        <f>_xlfn.IFNA(VLOOKUP(Grandview_Inventory[[#This Row],[condition]],Lookups!$H$17:$J$24,3,FALSE),0)</f>
        <v>25818</v>
      </c>
      <c r="BL1086" s="6">
        <f>Grandview_Inventory[[#This Row],[Eff_Age]]*Lookups!$B$14</f>
        <v>-3826.6655999999998</v>
      </c>
      <c r="BM1086" s="6">
        <f>Grandview_Inventory[[#This Row],[living_area]]*Lookups!$B$15</f>
        <v>106796.020336</v>
      </c>
      <c r="BN1086" s="6">
        <f>Grandview_Inventory[[#This Row],[Fin BSMT]]*Lookups!$B$16</f>
        <v>0</v>
      </c>
      <c r="BO1086" s="6">
        <f>(Grandview_Inventory[[#This Row],[att_gar]]+Grandview_Inventory[[#This Row],[bltin_gar]])*Lookups!$B$17</f>
        <v>48311.281223999998</v>
      </c>
      <c r="BP1086" s="6">
        <f>Grandview_Inventory[[#This Row],[Plumbing Fixtures]]*Lookups!$B$18</f>
        <v>20104.418000000001</v>
      </c>
      <c r="BQ1086" s="6">
        <f>Grandview_Inventory[[#This Row],[detatched_value]]*Lookups!$B$19</f>
        <v>0</v>
      </c>
      <c r="BR1086" s="6">
        <f>SUM(Grandview_Inventory[[#This Row],[Intercept]:[det_value]])*Grandview_Inventory[[#This Row],[res_pct]]</f>
        <v>362845.00396</v>
      </c>
      <c r="BS1086" s="6">
        <f>Grandview_Inventory[[#This Row],[land_value]]</f>
        <v>49926.8031387023</v>
      </c>
      <c r="BT1086" s="4">
        <f>_xlfn.IFNA(VLOOKUP(Grandview_Inventory[[#This Row],[quality]],Lookups!$A$26:$C$33,3,FALSE),1)</f>
        <v>0.94295468617355149</v>
      </c>
      <c r="BU1086" s="4">
        <f>_xlfn.IFNA(VLOOKUP(Grandview_Inventory[[#This Row],[condition]],Lookups!$A$37:$C$44,3,FALSE),1)</f>
        <v>0.96661476234146892</v>
      </c>
      <c r="BV1086" s="4">
        <f>IF(Grandview_Inventory[[#This Row],[bldg_style]]="",1,_xlfn.IFNA(VLOOKUP(Grandview_Inventory[[#This Row],[decade]],Lookups!$F$29:$H$43,3,FALSE),1))</f>
        <v>0.96737494181490646</v>
      </c>
      <c r="BW1086" s="4">
        <f>_xlfn.IFNA(VLOOKUP(Grandview_Inventory[[#This Row],[living_area_range]],Lookups!$F$47:$H$56,3,FALSE),1)</f>
        <v>0.96120133463014379</v>
      </c>
      <c r="BX1086" s="4">
        <f>AVERAGE(Grandview_Inventory[[#This Row],[qual_adj]:[size_adj]])</f>
        <v>0.95953643124001764</v>
      </c>
      <c r="BY1086" s="6">
        <f>IF(Grandview_Inventory[[#This Row],[pre_res]]&lt;0,0,Grandview_Inventory[[#This Row],[pre_res]]*Grandview_Inventory[[#This Row],[overall_adj]])</f>
        <v>348163.00019304844</v>
      </c>
      <c r="BZ1086" s="6">
        <f>(Grandview_Inventory[[#This Row],[sum_land]]-IF(Grandview_Inventory[[#This Row],[no_utilities]]=1,12000,0))/IF(Grandview_Inventory[[#This Row],[unbuildable]]=1,2,1)</f>
        <v>49926.8031387023</v>
      </c>
      <c r="CA108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86">
        <f>ROUND(Grandview_Inventory[[#This Row],[det_value]]*Lookups!$M$28,-2)</f>
        <v>0</v>
      </c>
      <c r="CC1086">
        <f>IF(ROUND(Grandview_Inventory[[#This Row],[adj_res]]*Lookups!$M$28,-2)&lt;Grandview_Inventory[[#This Row],[min_res]],Grandview_Inventory[[#This Row],[min_res]],ROUND(Grandview_Inventory[[#This Row],[adj_res]]*Lookups!$M$28,-2))</f>
        <v>330800</v>
      </c>
      <c r="CD1086">
        <f>Grandview_Inventory[[#This Row],[final_det]]+Grandview_Inventory[[#This Row],[final_res]]</f>
        <v>330800</v>
      </c>
      <c r="CE1086">
        <f>Grandview_Inventory[[#This Row],[final_land]]+Grandview_Inventory[[#This Row],[final_imp]]+Grandview_Inventory[[#This Row],[crop_value]]</f>
        <v>378200</v>
      </c>
      <c r="CG1086" t="str">
        <f t="shared" si="16"/>
        <v>update valuation set market_land =47400, market_bldg=330800, market_total =378200, market_mdno =401, market_date ='9/10/2023' where link_id = (select link_id from parcel where parcel_year = '2024' and parcel_id = '23092242475');</v>
      </c>
    </row>
    <row r="1087" spans="1:85" x14ac:dyDescent="0.25">
      <c r="A1087">
        <v>23092242476</v>
      </c>
      <c r="B1087">
        <v>0.22</v>
      </c>
      <c r="C1087">
        <v>9534</v>
      </c>
      <c r="D1087" t="s">
        <v>129</v>
      </c>
      <c r="E1087" t="s">
        <v>53</v>
      </c>
      <c r="F1087" t="s">
        <v>53</v>
      </c>
      <c r="G1087">
        <v>4</v>
      </c>
      <c r="H1087" t="s">
        <v>54</v>
      </c>
      <c r="I1087">
        <v>304100</v>
      </c>
      <c r="J1087">
        <v>39500</v>
      </c>
      <c r="K1087">
        <v>0.22</v>
      </c>
      <c r="L108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087">
        <v>0</v>
      </c>
      <c r="N1087">
        <v>0</v>
      </c>
      <c r="O1087">
        <v>0</v>
      </c>
      <c r="P1087">
        <v>13398.7528</v>
      </c>
      <c r="Q1087">
        <v>63903</v>
      </c>
      <c r="R1087">
        <f>(Grandview_Inventory[[#This Row],[ln_acres]]*Grandview_Inventory[[#This Row],[coeff]])+Grandview_Inventory[[#This Row],[const]]</f>
        <v>43615.576802869145</v>
      </c>
      <c r="S1087" t="s">
        <v>58</v>
      </c>
      <c r="T1087">
        <v>1</v>
      </c>
      <c r="U1087" t="s">
        <v>64</v>
      </c>
      <c r="V1087" t="s">
        <v>66</v>
      </c>
      <c r="W1087">
        <v>0</v>
      </c>
      <c r="X1087">
        <v>0</v>
      </c>
      <c r="Y1087">
        <v>16</v>
      </c>
      <c r="Z1087">
        <v>16</v>
      </c>
      <c r="AA1087">
        <v>20</v>
      </c>
      <c r="AB1087">
        <v>2000</v>
      </c>
      <c r="AC1087">
        <v>1922</v>
      </c>
      <c r="AD1087">
        <v>1922</v>
      </c>
      <c r="AE1087">
        <v>0</v>
      </c>
      <c r="AF1087">
        <v>0</v>
      </c>
      <c r="AG1087">
        <v>0</v>
      </c>
      <c r="AH1087">
        <v>0</v>
      </c>
      <c r="AI1087">
        <v>600</v>
      </c>
      <c r="AJ1087">
        <v>0</v>
      </c>
      <c r="AK1087">
        <v>0</v>
      </c>
      <c r="AL1087">
        <v>0</v>
      </c>
      <c r="AM1087">
        <v>816</v>
      </c>
      <c r="AN1087">
        <v>175</v>
      </c>
      <c r="AO1087">
        <v>0</v>
      </c>
      <c r="AP1087">
        <v>9</v>
      </c>
      <c r="AQ1087">
        <v>0</v>
      </c>
      <c r="AR1087">
        <v>0</v>
      </c>
      <c r="AS1087" t="s">
        <v>58</v>
      </c>
      <c r="AT1087">
        <v>1</v>
      </c>
      <c r="AU1087" t="s">
        <v>63</v>
      </c>
      <c r="AV1087" t="s">
        <v>64</v>
      </c>
      <c r="AW1087">
        <v>1</v>
      </c>
      <c r="AX1087">
        <v>3</v>
      </c>
      <c r="AY1087">
        <v>0</v>
      </c>
      <c r="AZ1087">
        <v>0</v>
      </c>
      <c r="BA1087">
        <v>100</v>
      </c>
      <c r="BB1087">
        <v>100</v>
      </c>
      <c r="BC1087">
        <v>100</v>
      </c>
      <c r="BD1087">
        <v>100</v>
      </c>
      <c r="BE1087">
        <v>1</v>
      </c>
      <c r="BF1087">
        <v>15000</v>
      </c>
      <c r="BG1087">
        <v>1000</v>
      </c>
      <c r="BH1087" s="6">
        <f>Grandview_Inventory[[#This Row],[land_extract]]*Lookups!$B$3</f>
        <v>50650.651579114572</v>
      </c>
      <c r="BI1087" s="6">
        <f>IF(Grandview_Inventory[[#This Row],[bldg_style]]="",0,Lookups!$B$2)</f>
        <v>155833.95000000001</v>
      </c>
      <c r="BJ1087" s="6">
        <f>_xlfn.IFNA(VLOOKUP(Grandview_Inventory[[#This Row],[quality]],Lookups!$H$2:$J$14,3,FALSE),0)</f>
        <v>20768</v>
      </c>
      <c r="BK1087" s="6">
        <f>_xlfn.IFNA(VLOOKUP(Grandview_Inventory[[#This Row],[condition]],Lookups!$H$17:$J$24,3,FALSE),0)</f>
        <v>25818</v>
      </c>
      <c r="BL1087" s="6">
        <f>Grandview_Inventory[[#This Row],[Eff_Age]]*Lookups!$B$14</f>
        <v>-3826.6655999999998</v>
      </c>
      <c r="BM1087" s="6">
        <f>Grandview_Inventory[[#This Row],[living_area]]*Lookups!$B$15</f>
        <v>119895.99946600001</v>
      </c>
      <c r="BN1087" s="6">
        <f>Grandview_Inventory[[#This Row],[Fin BSMT]]*Lookups!$B$16</f>
        <v>0</v>
      </c>
      <c r="BO1087" s="6">
        <f>(Grandview_Inventory[[#This Row],[att_gar]]+Grandview_Inventory[[#This Row],[bltin_gar]])*Lookups!$B$17</f>
        <v>52512.262199999997</v>
      </c>
      <c r="BP1087" s="6">
        <f>Grandview_Inventory[[#This Row],[Plumbing Fixtures]]*Lookups!$B$18</f>
        <v>18093.976200000001</v>
      </c>
      <c r="BQ1087" s="6">
        <f>Grandview_Inventory[[#This Row],[detatched_value]]*Lookups!$B$19</f>
        <v>0</v>
      </c>
      <c r="BR1087" s="6">
        <f>SUM(Grandview_Inventory[[#This Row],[Intercept]:[det_value]])*Grandview_Inventory[[#This Row],[res_pct]]</f>
        <v>389095.52226599999</v>
      </c>
      <c r="BS1087" s="6">
        <f>Grandview_Inventory[[#This Row],[land_value]]</f>
        <v>50650.651579114572</v>
      </c>
      <c r="BT1087" s="4">
        <f>_xlfn.IFNA(VLOOKUP(Grandview_Inventory[[#This Row],[quality]],Lookups!$A$26:$C$33,3,FALSE),1)</f>
        <v>0.94960540378902636</v>
      </c>
      <c r="BU1087" s="4">
        <f>_xlfn.IFNA(VLOOKUP(Grandview_Inventory[[#This Row],[condition]],Lookups!$A$37:$C$44,3,FALSE),1)</f>
        <v>0.96661476234146892</v>
      </c>
      <c r="BV1087" s="4">
        <f>IF(Grandview_Inventory[[#This Row],[bldg_style]]="",1,_xlfn.IFNA(VLOOKUP(Grandview_Inventory[[#This Row],[decade]],Lookups!$F$29:$H$43,3,FALSE),1))</f>
        <v>0.96737494181490646</v>
      </c>
      <c r="BW1087" s="4">
        <f>_xlfn.IFNA(VLOOKUP(Grandview_Inventory[[#This Row],[living_area_range]],Lookups!$F$47:$H$56,3,FALSE),1)</f>
        <v>0.96120133463014379</v>
      </c>
      <c r="BX1087" s="4">
        <f>AVERAGE(Grandview_Inventory[[#This Row],[qual_adj]:[size_adj]])</f>
        <v>0.96119911064388641</v>
      </c>
      <c r="BY1087" s="6">
        <f>IF(Grandview_Inventory[[#This Row],[pre_res]]&lt;0,0,Grandview_Inventory[[#This Row],[pre_res]]*Grandview_Inventory[[#This Row],[overall_adj]])</f>
        <v>373998.26995759772</v>
      </c>
      <c r="BZ1087" s="6">
        <f>(Grandview_Inventory[[#This Row],[sum_land]]-IF(Grandview_Inventory[[#This Row],[no_utilities]]=1,12000,0))/IF(Grandview_Inventory[[#This Row],[unbuildable]]=1,2,1)</f>
        <v>50650.651579114572</v>
      </c>
      <c r="CA108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087">
        <f>ROUND(Grandview_Inventory[[#This Row],[det_value]]*Lookups!$M$28,-2)</f>
        <v>0</v>
      </c>
      <c r="CC1087">
        <f>IF(ROUND(Grandview_Inventory[[#This Row],[adj_res]]*Lookups!$M$28,-2)&lt;Grandview_Inventory[[#This Row],[min_res]],Grandview_Inventory[[#This Row],[min_res]],ROUND(Grandview_Inventory[[#This Row],[adj_res]]*Lookups!$M$28,-2))</f>
        <v>355300</v>
      </c>
      <c r="CD1087">
        <f>Grandview_Inventory[[#This Row],[final_det]]+Grandview_Inventory[[#This Row],[final_res]]</f>
        <v>355300</v>
      </c>
      <c r="CE1087">
        <f>Grandview_Inventory[[#This Row],[final_land]]+Grandview_Inventory[[#This Row],[final_imp]]+Grandview_Inventory[[#This Row],[crop_value]]</f>
        <v>403400</v>
      </c>
      <c r="CG1087" t="str">
        <f t="shared" si="16"/>
        <v>update valuation set market_land =48100, market_bldg=355300, market_total =403400, market_mdno =401, market_date ='9/10/2023' where link_id = (select link_id from parcel where parcel_year = '2024' and parcel_id = '23092242476');</v>
      </c>
    </row>
    <row r="1088" spans="1:85" x14ac:dyDescent="0.25">
      <c r="A1088">
        <v>23092242477</v>
      </c>
      <c r="B1088">
        <v>0.18</v>
      </c>
      <c r="C1088">
        <v>8009</v>
      </c>
      <c r="D1088" t="s">
        <v>129</v>
      </c>
      <c r="E1088" t="s">
        <v>53</v>
      </c>
      <c r="F1088" t="s">
        <v>53</v>
      </c>
      <c r="G1088">
        <v>4</v>
      </c>
      <c r="H1088" t="s">
        <v>54</v>
      </c>
      <c r="I1088">
        <v>244200</v>
      </c>
      <c r="J1088">
        <v>43300</v>
      </c>
      <c r="K1088">
        <v>0.18</v>
      </c>
      <c r="L108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088">
        <v>0</v>
      </c>
      <c r="N1088">
        <v>0</v>
      </c>
      <c r="O1088">
        <v>0</v>
      </c>
      <c r="P1088">
        <v>13398.7528</v>
      </c>
      <c r="Q1088">
        <v>63903</v>
      </c>
      <c r="R1088">
        <f>(Grandview_Inventory[[#This Row],[ln_acres]]*Grandview_Inventory[[#This Row],[coeff]])+Grandview_Inventory[[#This Row],[const]]</f>
        <v>40926.839760167699</v>
      </c>
      <c r="S1088" t="s">
        <v>61</v>
      </c>
      <c r="T1088">
        <v>1</v>
      </c>
      <c r="U1088" t="s">
        <v>62</v>
      </c>
      <c r="V1088" t="s">
        <v>66</v>
      </c>
      <c r="W1088">
        <v>0</v>
      </c>
      <c r="X1088">
        <v>0</v>
      </c>
      <c r="Y1088">
        <v>17</v>
      </c>
      <c r="Z1088">
        <v>17</v>
      </c>
      <c r="AA1088">
        <v>20</v>
      </c>
      <c r="AB1088">
        <v>2000</v>
      </c>
      <c r="AC1088">
        <v>1710</v>
      </c>
      <c r="AD1088">
        <v>1710</v>
      </c>
      <c r="AE1088">
        <v>0</v>
      </c>
      <c r="AF1088">
        <v>0</v>
      </c>
      <c r="AG1088">
        <v>0</v>
      </c>
      <c r="AH1088">
        <v>0</v>
      </c>
      <c r="AI1088">
        <v>466</v>
      </c>
      <c r="AJ1088">
        <v>0</v>
      </c>
      <c r="AK1088">
        <v>0</v>
      </c>
      <c r="AL1088">
        <v>0</v>
      </c>
      <c r="AM1088">
        <v>0</v>
      </c>
      <c r="AN1088">
        <v>168</v>
      </c>
      <c r="AO1088">
        <v>0</v>
      </c>
      <c r="AP1088">
        <v>9</v>
      </c>
      <c r="AQ1088">
        <v>0</v>
      </c>
      <c r="AR1088">
        <v>0</v>
      </c>
      <c r="AS1088" t="s">
        <v>58</v>
      </c>
      <c r="AT1088">
        <v>1</v>
      </c>
      <c r="AU1088" t="s">
        <v>63</v>
      </c>
      <c r="AV1088" t="s">
        <v>64</v>
      </c>
      <c r="AW1088">
        <v>1</v>
      </c>
      <c r="AX1088">
        <v>3</v>
      </c>
      <c r="AY1088">
        <v>0</v>
      </c>
      <c r="AZ1088">
        <v>0</v>
      </c>
      <c r="BA1088">
        <v>100</v>
      </c>
      <c r="BB1088">
        <v>100</v>
      </c>
      <c r="BC1088">
        <v>100</v>
      </c>
      <c r="BD1088">
        <v>100</v>
      </c>
      <c r="BE1088">
        <v>1</v>
      </c>
      <c r="BF1088">
        <v>15000</v>
      </c>
      <c r="BG1088">
        <v>1000</v>
      </c>
      <c r="BH1088" s="6">
        <f>Grandview_Inventory[[#This Row],[land_extract]]*Lookups!$B$3</f>
        <v>47528.228511015397</v>
      </c>
      <c r="BI1088" s="6">
        <f>IF(Grandview_Inventory[[#This Row],[bldg_style]]="",0,Lookups!$B$2)</f>
        <v>155833.95000000001</v>
      </c>
      <c r="BJ1088" s="6">
        <f>_xlfn.IFNA(VLOOKUP(Grandview_Inventory[[#This Row],[quality]],Lookups!$H$2:$J$14,3,FALSE),0)</f>
        <v>9808</v>
      </c>
      <c r="BK1088" s="6">
        <f>_xlfn.IFNA(VLOOKUP(Grandview_Inventory[[#This Row],[condition]],Lookups!$H$17:$J$24,3,FALSE),0)</f>
        <v>25818</v>
      </c>
      <c r="BL1088" s="6">
        <f>Grandview_Inventory[[#This Row],[Eff_Age]]*Lookups!$B$14</f>
        <v>-4065.8321999999998</v>
      </c>
      <c r="BM1088" s="6">
        <f>Grandview_Inventory[[#This Row],[living_area]]*Lookups!$B$15</f>
        <v>106671.25863</v>
      </c>
      <c r="BN1088" s="6">
        <f>Grandview_Inventory[[#This Row],[Fin BSMT]]*Lookups!$B$16</f>
        <v>0</v>
      </c>
      <c r="BO1088" s="6">
        <f>(Grandview_Inventory[[#This Row],[att_gar]]+Grandview_Inventory[[#This Row],[bltin_gar]])*Lookups!$B$17</f>
        <v>40784.523642</v>
      </c>
      <c r="BP1088" s="6">
        <f>Grandview_Inventory[[#This Row],[Plumbing Fixtures]]*Lookups!$B$18</f>
        <v>18093.976200000001</v>
      </c>
      <c r="BQ1088" s="6">
        <f>Grandview_Inventory[[#This Row],[detatched_value]]*Lookups!$B$19</f>
        <v>0</v>
      </c>
      <c r="BR1088" s="6">
        <f>SUM(Grandview_Inventory[[#This Row],[Intercept]:[det_value]])*Grandview_Inventory[[#This Row],[res_pct]]</f>
        <v>352943.87627199996</v>
      </c>
      <c r="BS1088" s="6">
        <f>Grandview_Inventory[[#This Row],[land_value]]</f>
        <v>47528.228511015397</v>
      </c>
      <c r="BT1088" s="4">
        <f>_xlfn.IFNA(VLOOKUP(Grandview_Inventory[[#This Row],[quality]],Lookups!$A$26:$C$33,3,FALSE),1)</f>
        <v>0.94295468617355149</v>
      </c>
      <c r="BU1088" s="4">
        <f>_xlfn.IFNA(VLOOKUP(Grandview_Inventory[[#This Row],[condition]],Lookups!$A$37:$C$44,3,FALSE),1)</f>
        <v>0.96661476234146892</v>
      </c>
      <c r="BV1088" s="4">
        <f>IF(Grandview_Inventory[[#This Row],[bldg_style]]="",1,_xlfn.IFNA(VLOOKUP(Grandview_Inventory[[#This Row],[decade]],Lookups!$F$29:$H$43,3,FALSE),1))</f>
        <v>0.96737494181490646</v>
      </c>
      <c r="BW1088" s="4">
        <f>_xlfn.IFNA(VLOOKUP(Grandview_Inventory[[#This Row],[living_area_range]],Lookups!$F$47:$H$56,3,FALSE),1)</f>
        <v>0.96120133463014379</v>
      </c>
      <c r="BX1088" s="4">
        <f>AVERAGE(Grandview_Inventory[[#This Row],[qual_adj]:[size_adj]])</f>
        <v>0.95953643124001764</v>
      </c>
      <c r="BY1088" s="6">
        <f>IF(Grandview_Inventory[[#This Row],[pre_res]]&lt;0,0,Grandview_Inventory[[#This Row],[pre_res]]*Grandview_Inventory[[#This Row],[overall_adj]])</f>
        <v>338662.50746605318</v>
      </c>
      <c r="BZ1088" s="6">
        <f>(Grandview_Inventory[[#This Row],[sum_land]]-IF(Grandview_Inventory[[#This Row],[no_utilities]]=1,12000,0))/IF(Grandview_Inventory[[#This Row],[unbuildable]]=1,2,1)</f>
        <v>47528.228511015397</v>
      </c>
      <c r="CA108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088">
        <f>ROUND(Grandview_Inventory[[#This Row],[det_value]]*Lookups!$M$28,-2)</f>
        <v>0</v>
      </c>
      <c r="CC1088">
        <f>IF(ROUND(Grandview_Inventory[[#This Row],[adj_res]]*Lookups!$M$28,-2)&lt;Grandview_Inventory[[#This Row],[min_res]],Grandview_Inventory[[#This Row],[min_res]],ROUND(Grandview_Inventory[[#This Row],[adj_res]]*Lookups!$M$28,-2))</f>
        <v>321700</v>
      </c>
      <c r="CD1088">
        <f>Grandview_Inventory[[#This Row],[final_det]]+Grandview_Inventory[[#This Row],[final_res]]</f>
        <v>321700</v>
      </c>
      <c r="CE1088">
        <f>Grandview_Inventory[[#This Row],[final_land]]+Grandview_Inventory[[#This Row],[final_imp]]+Grandview_Inventory[[#This Row],[crop_value]]</f>
        <v>366900</v>
      </c>
      <c r="CG1088" t="str">
        <f t="shared" si="16"/>
        <v>update valuation set market_land =45200, market_bldg=321700, market_total =366900, market_mdno =401, market_date ='9/10/2023' where link_id = (select link_id from parcel where parcel_year = '2024' and parcel_id = '23092242477');</v>
      </c>
    </row>
    <row r="1089" spans="1:85" x14ac:dyDescent="0.25">
      <c r="A1089">
        <v>23092242478</v>
      </c>
      <c r="B1089">
        <v>0.21</v>
      </c>
      <c r="C1089">
        <v>9196</v>
      </c>
      <c r="D1089" t="s">
        <v>129</v>
      </c>
      <c r="E1089" t="s">
        <v>53</v>
      </c>
      <c r="F1089" t="s">
        <v>53</v>
      </c>
      <c r="G1089">
        <v>4</v>
      </c>
      <c r="H1089" t="s">
        <v>54</v>
      </c>
      <c r="I1089">
        <v>264000</v>
      </c>
      <c r="J1089">
        <v>43700</v>
      </c>
      <c r="K1089">
        <v>0.21</v>
      </c>
      <c r="L108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089">
        <v>0</v>
      </c>
      <c r="N1089">
        <v>0</v>
      </c>
      <c r="O1089">
        <v>0</v>
      </c>
      <c r="P1089">
        <v>13398.7528</v>
      </c>
      <c r="Q1089">
        <v>63903</v>
      </c>
      <c r="R1089">
        <f>(Grandview_Inventory[[#This Row],[ln_acres]]*Grandview_Inventory[[#This Row],[coeff]])+Grandview_Inventory[[#This Row],[const]]</f>
        <v>42992.266613125081</v>
      </c>
      <c r="S1089" t="s">
        <v>61</v>
      </c>
      <c r="T1089">
        <v>1</v>
      </c>
      <c r="U1089" t="s">
        <v>62</v>
      </c>
      <c r="V1089" t="s">
        <v>66</v>
      </c>
      <c r="W1089">
        <v>0</v>
      </c>
      <c r="X1089">
        <v>0</v>
      </c>
      <c r="Y1089">
        <v>16</v>
      </c>
      <c r="Z1089">
        <v>16</v>
      </c>
      <c r="AA1089">
        <v>20</v>
      </c>
      <c r="AB1089">
        <v>2000</v>
      </c>
      <c r="AC1089">
        <v>1847</v>
      </c>
      <c r="AD1089">
        <v>1847</v>
      </c>
      <c r="AE1089">
        <v>0</v>
      </c>
      <c r="AF1089">
        <v>0</v>
      </c>
      <c r="AG1089">
        <v>0</v>
      </c>
      <c r="AH1089">
        <v>0</v>
      </c>
      <c r="AI1089">
        <v>575</v>
      </c>
      <c r="AJ1089">
        <v>0</v>
      </c>
      <c r="AK1089">
        <v>0</v>
      </c>
      <c r="AL1089">
        <v>0</v>
      </c>
      <c r="AM1089">
        <v>0</v>
      </c>
      <c r="AN1089">
        <v>272</v>
      </c>
      <c r="AO1089">
        <v>0</v>
      </c>
      <c r="AP1089">
        <v>10</v>
      </c>
      <c r="AQ1089">
        <v>0</v>
      </c>
      <c r="AR1089">
        <v>0</v>
      </c>
      <c r="AS1089" t="s">
        <v>58</v>
      </c>
      <c r="AT1089">
        <v>1</v>
      </c>
      <c r="AU1089" t="s">
        <v>59</v>
      </c>
      <c r="AV1089" t="s">
        <v>60</v>
      </c>
      <c r="AW1089">
        <v>1</v>
      </c>
      <c r="AX1089">
        <v>3</v>
      </c>
      <c r="AY1089">
        <v>0</v>
      </c>
      <c r="AZ1089">
        <v>0</v>
      </c>
      <c r="BA1089">
        <v>100</v>
      </c>
      <c r="BB1089">
        <v>100</v>
      </c>
      <c r="BC1089">
        <v>100</v>
      </c>
      <c r="BD1089">
        <v>100</v>
      </c>
      <c r="BE1089">
        <v>1</v>
      </c>
      <c r="BF1089">
        <v>15000</v>
      </c>
      <c r="BG1089">
        <v>1000</v>
      </c>
      <c r="BH1089" s="6">
        <f>Grandview_Inventory[[#This Row],[land_extract]]*Lookups!$B$3</f>
        <v>49926.8031387023</v>
      </c>
      <c r="BI1089" s="6">
        <f>IF(Grandview_Inventory[[#This Row],[bldg_style]]="",0,Lookups!$B$2)</f>
        <v>155833.95000000001</v>
      </c>
      <c r="BJ1089" s="6">
        <f>_xlfn.IFNA(VLOOKUP(Grandview_Inventory[[#This Row],[quality]],Lookups!$H$2:$J$14,3,FALSE),0)</f>
        <v>9808</v>
      </c>
      <c r="BK1089" s="6">
        <f>_xlfn.IFNA(VLOOKUP(Grandview_Inventory[[#This Row],[condition]],Lookups!$H$17:$J$24,3,FALSE),0)</f>
        <v>25818</v>
      </c>
      <c r="BL1089" s="6">
        <f>Grandview_Inventory[[#This Row],[Eff_Age]]*Lookups!$B$14</f>
        <v>-3826.6655999999998</v>
      </c>
      <c r="BM1089" s="6">
        <f>Grandview_Inventory[[#This Row],[living_area]]*Lookups!$B$15</f>
        <v>115217.435491</v>
      </c>
      <c r="BN1089" s="6">
        <f>Grandview_Inventory[[#This Row],[Fin BSMT]]*Lookups!$B$16</f>
        <v>0</v>
      </c>
      <c r="BO1089" s="6">
        <f>(Grandview_Inventory[[#This Row],[att_gar]]+Grandview_Inventory[[#This Row],[bltin_gar]])*Lookups!$B$17</f>
        <v>50324.251275000002</v>
      </c>
      <c r="BP1089" s="6">
        <f>Grandview_Inventory[[#This Row],[Plumbing Fixtures]]*Lookups!$B$18</f>
        <v>20104.418000000001</v>
      </c>
      <c r="BQ1089" s="6">
        <f>Grandview_Inventory[[#This Row],[detatched_value]]*Lookups!$B$19</f>
        <v>0</v>
      </c>
      <c r="BR1089" s="6">
        <f>SUM(Grandview_Inventory[[#This Row],[Intercept]:[det_value]])*Grandview_Inventory[[#This Row],[res_pct]]</f>
        <v>373279.38916600001</v>
      </c>
      <c r="BS1089" s="6">
        <f>Grandview_Inventory[[#This Row],[land_value]]</f>
        <v>49926.8031387023</v>
      </c>
      <c r="BT1089" s="4">
        <f>_xlfn.IFNA(VLOOKUP(Grandview_Inventory[[#This Row],[quality]],Lookups!$A$26:$C$33,3,FALSE),1)</f>
        <v>0.94295468617355149</v>
      </c>
      <c r="BU1089" s="4">
        <f>_xlfn.IFNA(VLOOKUP(Grandview_Inventory[[#This Row],[condition]],Lookups!$A$37:$C$44,3,FALSE),1)</f>
        <v>0.96661476234146892</v>
      </c>
      <c r="BV1089" s="4">
        <f>IF(Grandview_Inventory[[#This Row],[bldg_style]]="",1,_xlfn.IFNA(VLOOKUP(Grandview_Inventory[[#This Row],[decade]],Lookups!$F$29:$H$43,3,FALSE),1))</f>
        <v>0.96737494181490646</v>
      </c>
      <c r="BW1089" s="4">
        <f>_xlfn.IFNA(VLOOKUP(Grandview_Inventory[[#This Row],[living_area_range]],Lookups!$F$47:$H$56,3,FALSE),1)</f>
        <v>0.96120133463014379</v>
      </c>
      <c r="BX1089" s="4">
        <f>AVERAGE(Grandview_Inventory[[#This Row],[qual_adj]:[size_adj]])</f>
        <v>0.95953643124001764</v>
      </c>
      <c r="BY1089" s="6">
        <f>IF(Grandview_Inventory[[#This Row],[pre_res]]&lt;0,0,Grandview_Inventory[[#This Row],[pre_res]]*Grandview_Inventory[[#This Row],[overall_adj]])</f>
        <v>358175.17293579737</v>
      </c>
      <c r="BZ1089" s="6">
        <f>(Grandview_Inventory[[#This Row],[sum_land]]-IF(Grandview_Inventory[[#This Row],[no_utilities]]=1,12000,0))/IF(Grandview_Inventory[[#This Row],[unbuildable]]=1,2,1)</f>
        <v>49926.8031387023</v>
      </c>
      <c r="CA108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089">
        <f>ROUND(Grandview_Inventory[[#This Row],[det_value]]*Lookups!$M$28,-2)</f>
        <v>0</v>
      </c>
      <c r="CC1089">
        <f>IF(ROUND(Grandview_Inventory[[#This Row],[adj_res]]*Lookups!$M$28,-2)&lt;Grandview_Inventory[[#This Row],[min_res]],Grandview_Inventory[[#This Row],[min_res]],ROUND(Grandview_Inventory[[#This Row],[adj_res]]*Lookups!$M$28,-2))</f>
        <v>340300</v>
      </c>
      <c r="CD1089">
        <f>Grandview_Inventory[[#This Row],[final_det]]+Grandview_Inventory[[#This Row],[final_res]]</f>
        <v>340300</v>
      </c>
      <c r="CE1089">
        <f>Grandview_Inventory[[#This Row],[final_land]]+Grandview_Inventory[[#This Row],[final_imp]]+Grandview_Inventory[[#This Row],[crop_value]]</f>
        <v>387700</v>
      </c>
      <c r="CG1089" t="str">
        <f t="shared" si="16"/>
        <v>update valuation set market_land =47400, market_bldg=340300, market_total =387700, market_mdno =401, market_date ='9/10/2023' where link_id = (select link_id from parcel where parcel_year = '2024' and parcel_id = '23092242478');</v>
      </c>
    </row>
    <row r="1090" spans="1:85" x14ac:dyDescent="0.25">
      <c r="A1090">
        <v>23092242479</v>
      </c>
      <c r="B1090">
        <v>0.23</v>
      </c>
      <c r="C1090">
        <v>9877</v>
      </c>
      <c r="D1090" t="s">
        <v>129</v>
      </c>
      <c r="E1090" t="s">
        <v>53</v>
      </c>
      <c r="F1090" t="s">
        <v>53</v>
      </c>
      <c r="G1090">
        <v>4</v>
      </c>
      <c r="H1090" t="s">
        <v>54</v>
      </c>
      <c r="I1090">
        <v>255600</v>
      </c>
      <c r="J1090">
        <v>43800</v>
      </c>
      <c r="K1090">
        <v>0.23</v>
      </c>
      <c r="L109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090">
        <v>0</v>
      </c>
      <c r="N1090">
        <v>0</v>
      </c>
      <c r="O1090">
        <v>0</v>
      </c>
      <c r="P1090">
        <v>13398.7528</v>
      </c>
      <c r="Q1090">
        <v>63903</v>
      </c>
      <c r="R1090">
        <f>(Grandview_Inventory[[#This Row],[ln_acres]]*Grandview_Inventory[[#This Row],[coeff]])+Grandview_Inventory[[#This Row],[const]]</f>
        <v>44211.174981080039</v>
      </c>
      <c r="S1090" t="s">
        <v>61</v>
      </c>
      <c r="T1090">
        <v>1</v>
      </c>
      <c r="U1090" t="s">
        <v>62</v>
      </c>
      <c r="V1090" t="s">
        <v>66</v>
      </c>
      <c r="W1090">
        <v>0</v>
      </c>
      <c r="X1090">
        <v>0</v>
      </c>
      <c r="Y1090">
        <v>17</v>
      </c>
      <c r="Z1090">
        <v>17</v>
      </c>
      <c r="AA1090">
        <v>20</v>
      </c>
      <c r="AB1090">
        <v>2000</v>
      </c>
      <c r="AC1090">
        <v>1847</v>
      </c>
      <c r="AD1090">
        <v>1847</v>
      </c>
      <c r="AE1090">
        <v>0</v>
      </c>
      <c r="AF1090">
        <v>0</v>
      </c>
      <c r="AG1090">
        <v>0</v>
      </c>
      <c r="AH1090">
        <v>0</v>
      </c>
      <c r="AI1090">
        <v>575</v>
      </c>
      <c r="AJ1090">
        <v>0</v>
      </c>
      <c r="AK1090">
        <v>0</v>
      </c>
      <c r="AL1090">
        <v>0</v>
      </c>
      <c r="AM1090">
        <v>0</v>
      </c>
      <c r="AN1090">
        <v>278</v>
      </c>
      <c r="AO1090">
        <v>0</v>
      </c>
      <c r="AP1090">
        <v>10</v>
      </c>
      <c r="AQ1090">
        <v>0</v>
      </c>
      <c r="AR1090">
        <v>0</v>
      </c>
      <c r="AS1090" t="s">
        <v>58</v>
      </c>
      <c r="AT1090">
        <v>1</v>
      </c>
      <c r="AU1090" t="s">
        <v>59</v>
      </c>
      <c r="AV1090" t="s">
        <v>64</v>
      </c>
      <c r="AW1090">
        <v>1</v>
      </c>
      <c r="AX1090">
        <v>3</v>
      </c>
      <c r="AY1090">
        <v>0</v>
      </c>
      <c r="AZ1090">
        <v>0</v>
      </c>
      <c r="BA1090">
        <v>100</v>
      </c>
      <c r="BB1090">
        <v>100</v>
      </c>
      <c r="BC1090">
        <v>100</v>
      </c>
      <c r="BD1090">
        <v>100</v>
      </c>
      <c r="BE1090">
        <v>1</v>
      </c>
      <c r="BF1090">
        <v>15000</v>
      </c>
      <c r="BG1090">
        <v>1000</v>
      </c>
      <c r="BH1090" s="6">
        <f>Grandview_Inventory[[#This Row],[land_extract]]*Lookups!$B$3</f>
        <v>51342.318135355803</v>
      </c>
      <c r="BI1090" s="6">
        <f>IF(Grandview_Inventory[[#This Row],[bldg_style]]="",0,Lookups!$B$2)</f>
        <v>155833.95000000001</v>
      </c>
      <c r="BJ1090" s="6">
        <f>_xlfn.IFNA(VLOOKUP(Grandview_Inventory[[#This Row],[quality]],Lookups!$H$2:$J$14,3,FALSE),0)</f>
        <v>9808</v>
      </c>
      <c r="BK1090" s="6">
        <f>_xlfn.IFNA(VLOOKUP(Grandview_Inventory[[#This Row],[condition]],Lookups!$H$17:$J$24,3,FALSE),0)</f>
        <v>25818</v>
      </c>
      <c r="BL1090" s="6">
        <f>Grandview_Inventory[[#This Row],[Eff_Age]]*Lookups!$B$14</f>
        <v>-4065.8321999999998</v>
      </c>
      <c r="BM1090" s="6">
        <f>Grandview_Inventory[[#This Row],[living_area]]*Lookups!$B$15</f>
        <v>115217.435491</v>
      </c>
      <c r="BN1090" s="6">
        <f>Grandview_Inventory[[#This Row],[Fin BSMT]]*Lookups!$B$16</f>
        <v>0</v>
      </c>
      <c r="BO1090" s="6">
        <f>(Grandview_Inventory[[#This Row],[att_gar]]+Grandview_Inventory[[#This Row],[bltin_gar]])*Lookups!$B$17</f>
        <v>50324.251275000002</v>
      </c>
      <c r="BP1090" s="6">
        <f>Grandview_Inventory[[#This Row],[Plumbing Fixtures]]*Lookups!$B$18</f>
        <v>20104.418000000001</v>
      </c>
      <c r="BQ1090" s="6">
        <f>Grandview_Inventory[[#This Row],[detatched_value]]*Lookups!$B$19</f>
        <v>0</v>
      </c>
      <c r="BR1090" s="6">
        <f>SUM(Grandview_Inventory[[#This Row],[Intercept]:[det_value]])*Grandview_Inventory[[#This Row],[res_pct]]</f>
        <v>373040.22256600001</v>
      </c>
      <c r="BS1090" s="6">
        <f>Grandview_Inventory[[#This Row],[land_value]]</f>
        <v>51342.318135355803</v>
      </c>
      <c r="BT1090" s="4">
        <f>_xlfn.IFNA(VLOOKUP(Grandview_Inventory[[#This Row],[quality]],Lookups!$A$26:$C$33,3,FALSE),1)</f>
        <v>0.94295468617355149</v>
      </c>
      <c r="BU1090" s="4">
        <f>_xlfn.IFNA(VLOOKUP(Grandview_Inventory[[#This Row],[condition]],Lookups!$A$37:$C$44,3,FALSE),1)</f>
        <v>0.96661476234146892</v>
      </c>
      <c r="BV1090" s="4">
        <f>IF(Grandview_Inventory[[#This Row],[bldg_style]]="",1,_xlfn.IFNA(VLOOKUP(Grandview_Inventory[[#This Row],[decade]],Lookups!$F$29:$H$43,3,FALSE),1))</f>
        <v>0.96737494181490646</v>
      </c>
      <c r="BW1090" s="4">
        <f>_xlfn.IFNA(VLOOKUP(Grandview_Inventory[[#This Row],[living_area_range]],Lookups!$F$47:$H$56,3,FALSE),1)</f>
        <v>0.96120133463014379</v>
      </c>
      <c r="BX1090" s="4">
        <f>AVERAGE(Grandview_Inventory[[#This Row],[qual_adj]:[size_adj]])</f>
        <v>0.95953643124001764</v>
      </c>
      <c r="BY1090" s="6">
        <f>IF(Grandview_Inventory[[#This Row],[pre_res]]&lt;0,0,Grandview_Inventory[[#This Row],[pre_res]]*Grandview_Inventory[[#This Row],[overall_adj]])</f>
        <v>357945.68386996153</v>
      </c>
      <c r="BZ1090" s="6">
        <f>(Grandview_Inventory[[#This Row],[sum_land]]-IF(Grandview_Inventory[[#This Row],[no_utilities]]=1,12000,0))/IF(Grandview_Inventory[[#This Row],[unbuildable]]=1,2,1)</f>
        <v>51342.318135355803</v>
      </c>
      <c r="CA109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090">
        <f>ROUND(Grandview_Inventory[[#This Row],[det_value]]*Lookups!$M$28,-2)</f>
        <v>0</v>
      </c>
      <c r="CC1090">
        <f>IF(ROUND(Grandview_Inventory[[#This Row],[adj_res]]*Lookups!$M$28,-2)&lt;Grandview_Inventory[[#This Row],[min_res]],Grandview_Inventory[[#This Row],[min_res]],ROUND(Grandview_Inventory[[#This Row],[adj_res]]*Lookups!$M$28,-2))</f>
        <v>340000</v>
      </c>
      <c r="CD1090">
        <f>Grandview_Inventory[[#This Row],[final_det]]+Grandview_Inventory[[#This Row],[final_res]]</f>
        <v>340000</v>
      </c>
      <c r="CE1090">
        <f>Grandview_Inventory[[#This Row],[final_land]]+Grandview_Inventory[[#This Row],[final_imp]]+Grandview_Inventory[[#This Row],[crop_value]]</f>
        <v>388800</v>
      </c>
      <c r="CG1090" t="str">
        <f t="shared" si="16"/>
        <v>update valuation set market_land =48800, market_bldg=340000, market_total =388800, market_mdno =401, market_date ='9/10/2023' where link_id = (select link_id from parcel where parcel_year = '2024' and parcel_id = '23092242479');</v>
      </c>
    </row>
    <row r="1091" spans="1:85" x14ac:dyDescent="0.25">
      <c r="A1091">
        <v>23092242480</v>
      </c>
      <c r="B1091">
        <v>0.2</v>
      </c>
      <c r="C1091">
        <v>8602</v>
      </c>
      <c r="D1091" t="s">
        <v>129</v>
      </c>
      <c r="E1091" t="s">
        <v>53</v>
      </c>
      <c r="F1091" t="s">
        <v>53</v>
      </c>
      <c r="G1091">
        <v>4</v>
      </c>
      <c r="H1091" t="s">
        <v>54</v>
      </c>
      <c r="I1091">
        <v>231600</v>
      </c>
      <c r="J1091">
        <v>43500</v>
      </c>
      <c r="K1091">
        <v>0.2</v>
      </c>
      <c r="L109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91">
        <v>0</v>
      </c>
      <c r="N1091">
        <v>0</v>
      </c>
      <c r="O1091">
        <v>0</v>
      </c>
      <c r="P1091">
        <v>13398.7528</v>
      </c>
      <c r="Q1091">
        <v>63903</v>
      </c>
      <c r="R1091">
        <f>(Grandview_Inventory[[#This Row],[ln_acres]]*Grandview_Inventory[[#This Row],[coeff]])+Grandview_Inventory[[#This Row],[const]]</f>
        <v>42338.539264347448</v>
      </c>
      <c r="S1091" t="s">
        <v>61</v>
      </c>
      <c r="T1091">
        <v>1</v>
      </c>
      <c r="U1091" t="s">
        <v>62</v>
      </c>
      <c r="V1091" t="s">
        <v>66</v>
      </c>
      <c r="W1091">
        <v>0</v>
      </c>
      <c r="X1091">
        <v>0</v>
      </c>
      <c r="Y1091">
        <v>17</v>
      </c>
      <c r="Z1091">
        <v>17</v>
      </c>
      <c r="AA1091">
        <v>20</v>
      </c>
      <c r="AB1091">
        <v>1500</v>
      </c>
      <c r="AC1091">
        <v>1469</v>
      </c>
      <c r="AD1091">
        <v>1469</v>
      </c>
      <c r="AE1091">
        <v>0</v>
      </c>
      <c r="AF1091">
        <v>0</v>
      </c>
      <c r="AG1091">
        <v>0</v>
      </c>
      <c r="AH1091">
        <v>0</v>
      </c>
      <c r="AI1091">
        <v>440</v>
      </c>
      <c r="AJ1091">
        <v>0</v>
      </c>
      <c r="AK1091">
        <v>0</v>
      </c>
      <c r="AL1091">
        <v>0</v>
      </c>
      <c r="AM1091">
        <v>105</v>
      </c>
      <c r="AN1091">
        <v>117</v>
      </c>
      <c r="AO1091">
        <v>0</v>
      </c>
      <c r="AP1091">
        <v>10</v>
      </c>
      <c r="AQ1091">
        <v>0</v>
      </c>
      <c r="AR1091">
        <v>0</v>
      </c>
      <c r="AS1091" t="s">
        <v>58</v>
      </c>
      <c r="AT1091">
        <v>1</v>
      </c>
      <c r="AU1091" t="s">
        <v>63</v>
      </c>
      <c r="AV1091" t="s">
        <v>64</v>
      </c>
      <c r="AW1091">
        <v>1</v>
      </c>
      <c r="AX1091">
        <v>3</v>
      </c>
      <c r="AY1091">
        <v>0</v>
      </c>
      <c r="AZ1091">
        <v>0</v>
      </c>
      <c r="BA1091">
        <v>100</v>
      </c>
      <c r="BB1091">
        <v>100</v>
      </c>
      <c r="BC1091">
        <v>100</v>
      </c>
      <c r="BD1091">
        <v>100</v>
      </c>
      <c r="BE1091">
        <v>1</v>
      </c>
      <c r="BF1091">
        <v>15000</v>
      </c>
      <c r="BG1091">
        <v>1000</v>
      </c>
      <c r="BH1091" s="6">
        <f>Grandview_Inventory[[#This Row],[land_extract]]*Lookups!$B$3</f>
        <v>49167.631333630678</v>
      </c>
      <c r="BI1091" s="6">
        <f>IF(Grandview_Inventory[[#This Row],[bldg_style]]="",0,Lookups!$B$2)</f>
        <v>155833.95000000001</v>
      </c>
      <c r="BJ1091" s="6">
        <f>_xlfn.IFNA(VLOOKUP(Grandview_Inventory[[#This Row],[quality]],Lookups!$H$2:$J$14,3,FALSE),0)</f>
        <v>9808</v>
      </c>
      <c r="BK1091" s="6">
        <f>_xlfn.IFNA(VLOOKUP(Grandview_Inventory[[#This Row],[condition]],Lookups!$H$17:$J$24,3,FALSE),0)</f>
        <v>25818</v>
      </c>
      <c r="BL1091" s="6">
        <f>Grandview_Inventory[[#This Row],[Eff_Age]]*Lookups!$B$14</f>
        <v>-4065.8321999999998</v>
      </c>
      <c r="BM1091" s="6">
        <f>Grandview_Inventory[[#This Row],[living_area]]*Lookups!$B$15</f>
        <v>91637.473056999996</v>
      </c>
      <c r="BN1091" s="6">
        <f>Grandview_Inventory[[#This Row],[Fin BSMT]]*Lookups!$B$16</f>
        <v>0</v>
      </c>
      <c r="BO1091" s="6">
        <f>(Grandview_Inventory[[#This Row],[att_gar]]+Grandview_Inventory[[#This Row],[bltin_gar]])*Lookups!$B$17</f>
        <v>38508.992279999999</v>
      </c>
      <c r="BP1091" s="6">
        <f>Grandview_Inventory[[#This Row],[Plumbing Fixtures]]*Lookups!$B$18</f>
        <v>20104.418000000001</v>
      </c>
      <c r="BQ1091" s="6">
        <f>Grandview_Inventory[[#This Row],[detatched_value]]*Lookups!$B$19</f>
        <v>0</v>
      </c>
      <c r="BR1091" s="6">
        <f>SUM(Grandview_Inventory[[#This Row],[Intercept]:[det_value]])*Grandview_Inventory[[#This Row],[res_pct]]</f>
        <v>337645.00113699998</v>
      </c>
      <c r="BS1091" s="6">
        <f>Grandview_Inventory[[#This Row],[land_value]]</f>
        <v>49167.631333630678</v>
      </c>
      <c r="BT1091" s="4">
        <f>_xlfn.IFNA(VLOOKUP(Grandview_Inventory[[#This Row],[quality]],Lookups!$A$26:$C$33,3,FALSE),1)</f>
        <v>0.94295468617355149</v>
      </c>
      <c r="BU1091" s="4">
        <f>_xlfn.IFNA(VLOOKUP(Grandview_Inventory[[#This Row],[condition]],Lookups!$A$37:$C$44,3,FALSE),1)</f>
        <v>0.96661476234146892</v>
      </c>
      <c r="BV1091" s="4">
        <f>IF(Grandview_Inventory[[#This Row],[bldg_style]]="",1,_xlfn.IFNA(VLOOKUP(Grandview_Inventory[[#This Row],[decade]],Lookups!$F$29:$H$43,3,FALSE),1))</f>
        <v>0.96737494181490646</v>
      </c>
      <c r="BW1091" s="4">
        <f>_xlfn.IFNA(VLOOKUP(Grandview_Inventory[[#This Row],[living_area_range]],Lookups!$F$47:$H$56,3,FALSE),1)</f>
        <v>0.96135087979789358</v>
      </c>
      <c r="BX1091" s="4">
        <f>AVERAGE(Grandview_Inventory[[#This Row],[qual_adj]:[size_adj]])</f>
        <v>0.95957381753195514</v>
      </c>
      <c r="BY1091" s="6">
        <f>IF(Grandview_Inventory[[#This Row],[pre_res]]&lt;0,0,Grandview_Inventory[[#This Row],[pre_res]]*Grandview_Inventory[[#This Row],[overall_adj]])</f>
        <v>323995.30271161243</v>
      </c>
      <c r="BZ1091" s="6">
        <f>(Grandview_Inventory[[#This Row],[sum_land]]-IF(Grandview_Inventory[[#This Row],[no_utilities]]=1,12000,0))/IF(Grandview_Inventory[[#This Row],[unbuildable]]=1,2,1)</f>
        <v>49167.631333630678</v>
      </c>
      <c r="CA109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91">
        <f>ROUND(Grandview_Inventory[[#This Row],[det_value]]*Lookups!$M$28,-2)</f>
        <v>0</v>
      </c>
      <c r="CC1091">
        <f>IF(ROUND(Grandview_Inventory[[#This Row],[adj_res]]*Lookups!$M$28,-2)&lt;Grandview_Inventory[[#This Row],[min_res]],Grandview_Inventory[[#This Row],[min_res]],ROUND(Grandview_Inventory[[#This Row],[adj_res]]*Lookups!$M$28,-2))</f>
        <v>307800</v>
      </c>
      <c r="CD1091">
        <f>Grandview_Inventory[[#This Row],[final_det]]+Grandview_Inventory[[#This Row],[final_res]]</f>
        <v>307800</v>
      </c>
      <c r="CE1091">
        <f>Grandview_Inventory[[#This Row],[final_land]]+Grandview_Inventory[[#This Row],[final_imp]]+Grandview_Inventory[[#This Row],[crop_value]]</f>
        <v>354500</v>
      </c>
      <c r="CG1091" t="str">
        <f t="shared" ref="CG1091:CG1154" si="17">"update valuation set market_land ="&amp;CA1091&amp;", market_bldg="&amp;CD1091&amp;", market_total ="&amp;CE1091&amp;", market_mdno ="&amp;$CG$1&amp;", market_date ='"&amp;TEXT($CH$1,"m/d/yyyy")&amp;"' where link_id = (select link_id from parcel where parcel_year = '2024' and parcel_id = '"&amp;A1091&amp;"');"</f>
        <v>update valuation set market_land =46700, market_bldg=307800, market_total =354500, market_mdno =401, market_date ='9/10/2023' where link_id = (select link_id from parcel where parcel_year = '2024' and parcel_id = '23092242480');</v>
      </c>
    </row>
    <row r="1092" spans="1:85" x14ac:dyDescent="0.25">
      <c r="A1092">
        <v>23092242481</v>
      </c>
      <c r="B1092">
        <v>0.2</v>
      </c>
      <c r="C1092">
        <v>8501</v>
      </c>
      <c r="D1092" t="s">
        <v>129</v>
      </c>
      <c r="E1092" t="s">
        <v>53</v>
      </c>
      <c r="F1092" t="s">
        <v>53</v>
      </c>
      <c r="G1092">
        <v>4</v>
      </c>
      <c r="H1092" t="s">
        <v>54</v>
      </c>
      <c r="I1092">
        <v>272800</v>
      </c>
      <c r="J1092">
        <v>43500</v>
      </c>
      <c r="K1092">
        <v>0.2</v>
      </c>
      <c r="L109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92">
        <v>0</v>
      </c>
      <c r="N1092">
        <v>0</v>
      </c>
      <c r="O1092">
        <v>0</v>
      </c>
      <c r="P1092">
        <v>13398.7528</v>
      </c>
      <c r="Q1092">
        <v>63903</v>
      </c>
      <c r="R1092">
        <f>(Grandview_Inventory[[#This Row],[ln_acres]]*Grandview_Inventory[[#This Row],[coeff]])+Grandview_Inventory[[#This Row],[const]]</f>
        <v>42338.539264347448</v>
      </c>
      <c r="S1092" t="s">
        <v>58</v>
      </c>
      <c r="T1092">
        <v>1</v>
      </c>
      <c r="U1092" t="s">
        <v>64</v>
      </c>
      <c r="V1092" t="s">
        <v>67</v>
      </c>
      <c r="W1092">
        <v>0</v>
      </c>
      <c r="X1092">
        <v>0</v>
      </c>
      <c r="Y1092">
        <v>17</v>
      </c>
      <c r="Z1092">
        <v>17</v>
      </c>
      <c r="AA1092">
        <v>20</v>
      </c>
      <c r="AB1092">
        <v>2000</v>
      </c>
      <c r="AC1092">
        <v>1821</v>
      </c>
      <c r="AD1092">
        <v>1821</v>
      </c>
      <c r="AE1092">
        <v>0</v>
      </c>
      <c r="AF1092">
        <v>0</v>
      </c>
      <c r="AG1092">
        <v>0</v>
      </c>
      <c r="AH1092">
        <v>0</v>
      </c>
      <c r="AI1092">
        <v>520</v>
      </c>
      <c r="AJ1092">
        <v>0</v>
      </c>
      <c r="AK1092">
        <v>0</v>
      </c>
      <c r="AL1092">
        <v>0</v>
      </c>
      <c r="AM1092">
        <v>0</v>
      </c>
      <c r="AN1092">
        <v>160</v>
      </c>
      <c r="AO1092">
        <v>0</v>
      </c>
      <c r="AP1092">
        <v>10</v>
      </c>
      <c r="AQ1092">
        <v>0</v>
      </c>
      <c r="AR1092">
        <v>0</v>
      </c>
      <c r="AS1092" t="s">
        <v>58</v>
      </c>
      <c r="AT1092">
        <v>1</v>
      </c>
      <c r="AU1092" t="s">
        <v>59</v>
      </c>
      <c r="AV1092" t="s">
        <v>64</v>
      </c>
      <c r="AW1092">
        <v>1</v>
      </c>
      <c r="AX1092">
        <v>3</v>
      </c>
      <c r="AY1092">
        <v>0</v>
      </c>
      <c r="AZ1092">
        <v>0</v>
      </c>
      <c r="BA1092">
        <v>100</v>
      </c>
      <c r="BB1092">
        <v>100</v>
      </c>
      <c r="BC1092">
        <v>100</v>
      </c>
      <c r="BD1092">
        <v>100</v>
      </c>
      <c r="BE1092">
        <v>1</v>
      </c>
      <c r="BF1092">
        <v>15000</v>
      </c>
      <c r="BG1092">
        <v>1000</v>
      </c>
      <c r="BH1092" s="6">
        <f>Grandview_Inventory[[#This Row],[land_extract]]*Lookups!$B$3</f>
        <v>49167.631333630678</v>
      </c>
      <c r="BI1092" s="6">
        <f>IF(Grandview_Inventory[[#This Row],[bldg_style]]="",0,Lookups!$B$2)</f>
        <v>155833.95000000001</v>
      </c>
      <c r="BJ1092" s="6">
        <f>_xlfn.IFNA(VLOOKUP(Grandview_Inventory[[#This Row],[quality]],Lookups!$H$2:$J$14,3,FALSE),0)</f>
        <v>20768</v>
      </c>
      <c r="BK1092" s="6">
        <f>_xlfn.IFNA(VLOOKUP(Grandview_Inventory[[#This Row],[condition]],Lookups!$H$17:$J$24,3,FALSE),0)</f>
        <v>22342</v>
      </c>
      <c r="BL1092" s="6">
        <f>Grandview_Inventory[[#This Row],[Eff_Age]]*Lookups!$B$14</f>
        <v>-4065.8321999999998</v>
      </c>
      <c r="BM1092" s="6">
        <f>Grandview_Inventory[[#This Row],[living_area]]*Lookups!$B$15</f>
        <v>113595.53331300001</v>
      </c>
      <c r="BN1092" s="6">
        <f>Grandview_Inventory[[#This Row],[Fin BSMT]]*Lookups!$B$16</f>
        <v>0</v>
      </c>
      <c r="BO1092" s="6">
        <f>(Grandview_Inventory[[#This Row],[att_gar]]+Grandview_Inventory[[#This Row],[bltin_gar]])*Lookups!$B$17</f>
        <v>45510.627240000002</v>
      </c>
      <c r="BP1092" s="6">
        <f>Grandview_Inventory[[#This Row],[Plumbing Fixtures]]*Lookups!$B$18</f>
        <v>20104.418000000001</v>
      </c>
      <c r="BQ1092" s="6">
        <f>Grandview_Inventory[[#This Row],[detatched_value]]*Lookups!$B$19</f>
        <v>0</v>
      </c>
      <c r="BR1092" s="6">
        <f>SUM(Grandview_Inventory[[#This Row],[Intercept]:[det_value]])*Grandview_Inventory[[#This Row],[res_pct]]</f>
        <v>374088.69635300001</v>
      </c>
      <c r="BS1092" s="6">
        <f>Grandview_Inventory[[#This Row],[land_value]]</f>
        <v>49167.631333630678</v>
      </c>
      <c r="BT1092" s="4">
        <f>_xlfn.IFNA(VLOOKUP(Grandview_Inventory[[#This Row],[quality]],Lookups!$A$26:$C$33,3,FALSE),1)</f>
        <v>0.94960540378902636</v>
      </c>
      <c r="BU1092" s="4">
        <f>_xlfn.IFNA(VLOOKUP(Grandview_Inventory[[#This Row],[condition]],Lookups!$A$37:$C$44,3,FALSE),1)</f>
        <v>0.97383723671140243</v>
      </c>
      <c r="BV1092" s="4">
        <f>IF(Grandview_Inventory[[#This Row],[bldg_style]]="",1,_xlfn.IFNA(VLOOKUP(Grandview_Inventory[[#This Row],[decade]],Lookups!$F$29:$H$43,3,FALSE),1))</f>
        <v>0.96737494181490646</v>
      </c>
      <c r="BW1092" s="4">
        <f>_xlfn.IFNA(VLOOKUP(Grandview_Inventory[[#This Row],[living_area_range]],Lookups!$F$47:$H$56,3,FALSE),1)</f>
        <v>0.96120133463014379</v>
      </c>
      <c r="BX1092" s="4">
        <f>AVERAGE(Grandview_Inventory[[#This Row],[qual_adj]:[size_adj]])</f>
        <v>0.96300472923636971</v>
      </c>
      <c r="BY1092" s="6">
        <f>IF(Grandview_Inventory[[#This Row],[pre_res]]&lt;0,0,Grandview_Inventory[[#This Row],[pre_res]]*Grandview_Inventory[[#This Row],[overall_adj]])</f>
        <v>360249.1837418073</v>
      </c>
      <c r="BZ1092" s="6">
        <f>(Grandview_Inventory[[#This Row],[sum_land]]-IF(Grandview_Inventory[[#This Row],[no_utilities]]=1,12000,0))/IF(Grandview_Inventory[[#This Row],[unbuildable]]=1,2,1)</f>
        <v>49167.631333630678</v>
      </c>
      <c r="CA109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92">
        <f>ROUND(Grandview_Inventory[[#This Row],[det_value]]*Lookups!$M$28,-2)</f>
        <v>0</v>
      </c>
      <c r="CC1092">
        <f>IF(ROUND(Grandview_Inventory[[#This Row],[adj_res]]*Lookups!$M$28,-2)&lt;Grandview_Inventory[[#This Row],[min_res]],Grandview_Inventory[[#This Row],[min_res]],ROUND(Grandview_Inventory[[#This Row],[adj_res]]*Lookups!$M$28,-2))</f>
        <v>342200</v>
      </c>
      <c r="CD1092">
        <f>Grandview_Inventory[[#This Row],[final_det]]+Grandview_Inventory[[#This Row],[final_res]]</f>
        <v>342200</v>
      </c>
      <c r="CE1092">
        <f>Grandview_Inventory[[#This Row],[final_land]]+Grandview_Inventory[[#This Row],[final_imp]]+Grandview_Inventory[[#This Row],[crop_value]]</f>
        <v>388900</v>
      </c>
      <c r="CG1092" t="str">
        <f t="shared" si="17"/>
        <v>update valuation set market_land =46700, market_bldg=342200, market_total =388900, market_mdno =401, market_date ='9/10/2023' where link_id = (select link_id from parcel where parcel_year = '2024' and parcel_id = '23092242481');</v>
      </c>
    </row>
    <row r="1093" spans="1:85" x14ac:dyDescent="0.25">
      <c r="A1093">
        <v>23092242482</v>
      </c>
      <c r="B1093">
        <v>0.2</v>
      </c>
      <c r="C1093">
        <v>8604</v>
      </c>
      <c r="D1093" t="s">
        <v>129</v>
      </c>
      <c r="E1093" t="s">
        <v>53</v>
      </c>
      <c r="F1093" t="s">
        <v>53</v>
      </c>
      <c r="G1093">
        <v>4</v>
      </c>
      <c r="H1093" t="s">
        <v>54</v>
      </c>
      <c r="I1093">
        <v>261500</v>
      </c>
      <c r="J1093">
        <v>43500</v>
      </c>
      <c r="K1093">
        <v>0.2</v>
      </c>
      <c r="L109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93">
        <v>0</v>
      </c>
      <c r="N1093">
        <v>0</v>
      </c>
      <c r="O1093">
        <v>0</v>
      </c>
      <c r="P1093">
        <v>13398.7528</v>
      </c>
      <c r="Q1093">
        <v>63903</v>
      </c>
      <c r="R1093">
        <f>(Grandview_Inventory[[#This Row],[ln_acres]]*Grandview_Inventory[[#This Row],[coeff]])+Grandview_Inventory[[#This Row],[const]]</f>
        <v>42338.539264347448</v>
      </c>
      <c r="S1093" t="s">
        <v>61</v>
      </c>
      <c r="T1093">
        <v>1</v>
      </c>
      <c r="U1093" t="s">
        <v>62</v>
      </c>
      <c r="V1093" t="s">
        <v>66</v>
      </c>
      <c r="W1093">
        <v>0</v>
      </c>
      <c r="X1093">
        <v>0</v>
      </c>
      <c r="Y1093">
        <v>17</v>
      </c>
      <c r="Z1093">
        <v>17</v>
      </c>
      <c r="AA1093">
        <v>20</v>
      </c>
      <c r="AB1093">
        <v>2000</v>
      </c>
      <c r="AC1093">
        <v>1781</v>
      </c>
      <c r="AD1093">
        <v>1781</v>
      </c>
      <c r="AE1093">
        <v>0</v>
      </c>
      <c r="AF1093">
        <v>0</v>
      </c>
      <c r="AG1093">
        <v>0</v>
      </c>
      <c r="AH1093">
        <v>0</v>
      </c>
      <c r="AI1093">
        <v>720</v>
      </c>
      <c r="AJ1093">
        <v>0</v>
      </c>
      <c r="AK1093">
        <v>0</v>
      </c>
      <c r="AL1093">
        <v>0</v>
      </c>
      <c r="AM1093">
        <v>0</v>
      </c>
      <c r="AN1093">
        <v>120</v>
      </c>
      <c r="AO1093">
        <v>0</v>
      </c>
      <c r="AP1093">
        <v>10</v>
      </c>
      <c r="AQ1093">
        <v>0</v>
      </c>
      <c r="AR1093">
        <v>0</v>
      </c>
      <c r="AS1093" t="s">
        <v>58</v>
      </c>
      <c r="AT1093">
        <v>1</v>
      </c>
      <c r="AU1093" t="s">
        <v>59</v>
      </c>
      <c r="AV1093" t="s">
        <v>64</v>
      </c>
      <c r="AW1093">
        <v>1</v>
      </c>
      <c r="AX1093">
        <v>3</v>
      </c>
      <c r="AY1093">
        <v>0</v>
      </c>
      <c r="AZ1093">
        <v>0</v>
      </c>
      <c r="BA1093">
        <v>100</v>
      </c>
      <c r="BB1093">
        <v>100</v>
      </c>
      <c r="BC1093">
        <v>100</v>
      </c>
      <c r="BD1093">
        <v>100</v>
      </c>
      <c r="BE1093">
        <v>1</v>
      </c>
      <c r="BF1093">
        <v>15000</v>
      </c>
      <c r="BG1093">
        <v>1000</v>
      </c>
      <c r="BH1093" s="6">
        <f>Grandview_Inventory[[#This Row],[land_extract]]*Lookups!$B$3</f>
        <v>49167.631333630678</v>
      </c>
      <c r="BI1093" s="6">
        <f>IF(Grandview_Inventory[[#This Row],[bldg_style]]="",0,Lookups!$B$2)</f>
        <v>155833.95000000001</v>
      </c>
      <c r="BJ1093" s="6">
        <f>_xlfn.IFNA(VLOOKUP(Grandview_Inventory[[#This Row],[quality]],Lookups!$H$2:$J$14,3,FALSE),0)</f>
        <v>9808</v>
      </c>
      <c r="BK1093" s="6">
        <f>_xlfn.IFNA(VLOOKUP(Grandview_Inventory[[#This Row],[condition]],Lookups!$H$17:$J$24,3,FALSE),0)</f>
        <v>25818</v>
      </c>
      <c r="BL1093" s="6">
        <f>Grandview_Inventory[[#This Row],[Eff_Age]]*Lookups!$B$14</f>
        <v>-4065.8321999999998</v>
      </c>
      <c r="BM1093" s="6">
        <f>Grandview_Inventory[[#This Row],[living_area]]*Lookups!$B$15</f>
        <v>111100.299193</v>
      </c>
      <c r="BN1093" s="6">
        <f>Grandview_Inventory[[#This Row],[Fin BSMT]]*Lookups!$B$16</f>
        <v>0</v>
      </c>
      <c r="BO1093" s="6">
        <f>(Grandview_Inventory[[#This Row],[att_gar]]+Grandview_Inventory[[#This Row],[bltin_gar]])*Lookups!$B$17</f>
        <v>63014.714639999998</v>
      </c>
      <c r="BP1093" s="6">
        <f>Grandview_Inventory[[#This Row],[Plumbing Fixtures]]*Lookups!$B$18</f>
        <v>20104.418000000001</v>
      </c>
      <c r="BQ1093" s="6">
        <f>Grandview_Inventory[[#This Row],[detatched_value]]*Lookups!$B$19</f>
        <v>0</v>
      </c>
      <c r="BR1093" s="6">
        <f>SUM(Grandview_Inventory[[#This Row],[Intercept]:[det_value]])*Grandview_Inventory[[#This Row],[res_pct]]</f>
        <v>381613.54963300005</v>
      </c>
      <c r="BS1093" s="6">
        <f>Grandview_Inventory[[#This Row],[land_value]]</f>
        <v>49167.631333630678</v>
      </c>
      <c r="BT1093" s="4">
        <f>_xlfn.IFNA(VLOOKUP(Grandview_Inventory[[#This Row],[quality]],Lookups!$A$26:$C$33,3,FALSE),1)</f>
        <v>0.94295468617355149</v>
      </c>
      <c r="BU1093" s="4">
        <f>_xlfn.IFNA(VLOOKUP(Grandview_Inventory[[#This Row],[condition]],Lookups!$A$37:$C$44,3,FALSE),1)</f>
        <v>0.96661476234146892</v>
      </c>
      <c r="BV1093" s="4">
        <f>IF(Grandview_Inventory[[#This Row],[bldg_style]]="",1,_xlfn.IFNA(VLOOKUP(Grandview_Inventory[[#This Row],[decade]],Lookups!$F$29:$H$43,3,FALSE),1))</f>
        <v>0.96737494181490646</v>
      </c>
      <c r="BW1093" s="4">
        <f>_xlfn.IFNA(VLOOKUP(Grandview_Inventory[[#This Row],[living_area_range]],Lookups!$F$47:$H$56,3,FALSE),1)</f>
        <v>0.96120133463014379</v>
      </c>
      <c r="BX1093" s="4">
        <f>AVERAGE(Grandview_Inventory[[#This Row],[qual_adj]:[size_adj]])</f>
        <v>0.95953643124001764</v>
      </c>
      <c r="BY1093" s="6">
        <f>IF(Grandview_Inventory[[#This Row],[pre_res]]&lt;0,0,Grandview_Inventory[[#This Row],[pre_res]]*Grandview_Inventory[[#This Row],[overall_adj]])</f>
        <v>366172.10352768423</v>
      </c>
      <c r="BZ1093" s="6">
        <f>(Grandview_Inventory[[#This Row],[sum_land]]-IF(Grandview_Inventory[[#This Row],[no_utilities]]=1,12000,0))/IF(Grandview_Inventory[[#This Row],[unbuildable]]=1,2,1)</f>
        <v>49167.631333630678</v>
      </c>
      <c r="CA109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93">
        <f>ROUND(Grandview_Inventory[[#This Row],[det_value]]*Lookups!$M$28,-2)</f>
        <v>0</v>
      </c>
      <c r="CC1093">
        <f>IF(ROUND(Grandview_Inventory[[#This Row],[adj_res]]*Lookups!$M$28,-2)&lt;Grandview_Inventory[[#This Row],[min_res]],Grandview_Inventory[[#This Row],[min_res]],ROUND(Grandview_Inventory[[#This Row],[adj_res]]*Lookups!$M$28,-2))</f>
        <v>347900</v>
      </c>
      <c r="CD1093">
        <f>Grandview_Inventory[[#This Row],[final_det]]+Grandview_Inventory[[#This Row],[final_res]]</f>
        <v>347900</v>
      </c>
      <c r="CE1093">
        <f>Grandview_Inventory[[#This Row],[final_land]]+Grandview_Inventory[[#This Row],[final_imp]]+Grandview_Inventory[[#This Row],[crop_value]]</f>
        <v>394600</v>
      </c>
      <c r="CG1093" t="str">
        <f t="shared" si="17"/>
        <v>update valuation set market_land =46700, market_bldg=347900, market_total =394600, market_mdno =401, market_date ='9/10/2023' where link_id = (select link_id from parcel where parcel_year = '2024' and parcel_id = '23092242482');</v>
      </c>
    </row>
    <row r="1094" spans="1:85" x14ac:dyDescent="0.25">
      <c r="A1094">
        <v>23092242483</v>
      </c>
      <c r="B1094">
        <v>0.19</v>
      </c>
      <c r="C1094">
        <v>8412</v>
      </c>
      <c r="D1094" t="s">
        <v>129</v>
      </c>
      <c r="E1094" t="s">
        <v>53</v>
      </c>
      <c r="F1094" t="s">
        <v>53</v>
      </c>
      <c r="G1094">
        <v>4</v>
      </c>
      <c r="H1094" t="s">
        <v>54</v>
      </c>
      <c r="I1094">
        <v>251600</v>
      </c>
      <c r="J1094">
        <v>43500</v>
      </c>
      <c r="K1094">
        <v>0.19</v>
      </c>
      <c r="L109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94">
        <v>0</v>
      </c>
      <c r="N1094">
        <v>0</v>
      </c>
      <c r="O1094">
        <v>0</v>
      </c>
      <c r="P1094">
        <v>13398.7528</v>
      </c>
      <c r="Q1094">
        <v>63903</v>
      </c>
      <c r="R1094">
        <f>(Grandview_Inventory[[#This Row],[ln_acres]]*Grandview_Inventory[[#This Row],[coeff]])+Grandview_Inventory[[#This Row],[const]]</f>
        <v>41651.273092551026</v>
      </c>
      <c r="S1094" t="s">
        <v>61</v>
      </c>
      <c r="T1094">
        <v>1</v>
      </c>
      <c r="U1094" t="s">
        <v>64</v>
      </c>
      <c r="V1094" t="s">
        <v>66</v>
      </c>
      <c r="W1094">
        <v>0</v>
      </c>
      <c r="X1094">
        <v>0</v>
      </c>
      <c r="Y1094">
        <v>17</v>
      </c>
      <c r="Z1094">
        <v>17</v>
      </c>
      <c r="AA1094">
        <v>20</v>
      </c>
      <c r="AB1094">
        <v>2000</v>
      </c>
      <c r="AC1094">
        <v>1631</v>
      </c>
      <c r="AD1094">
        <v>1631</v>
      </c>
      <c r="AE1094">
        <v>0</v>
      </c>
      <c r="AF1094">
        <v>0</v>
      </c>
      <c r="AG1094">
        <v>0</v>
      </c>
      <c r="AH1094">
        <v>0</v>
      </c>
      <c r="AI1094">
        <v>552</v>
      </c>
      <c r="AJ1094">
        <v>0</v>
      </c>
      <c r="AK1094">
        <v>0</v>
      </c>
      <c r="AL1094">
        <v>0</v>
      </c>
      <c r="AM1094">
        <v>0</v>
      </c>
      <c r="AN1094">
        <v>81</v>
      </c>
      <c r="AO1094">
        <v>0</v>
      </c>
      <c r="AP1094">
        <v>8</v>
      </c>
      <c r="AQ1094">
        <v>0</v>
      </c>
      <c r="AR1094">
        <v>0</v>
      </c>
      <c r="AS1094" t="s">
        <v>58</v>
      </c>
      <c r="AT1094">
        <v>1</v>
      </c>
      <c r="AU1094" t="s">
        <v>59</v>
      </c>
      <c r="AV1094" t="s">
        <v>64</v>
      </c>
      <c r="AW1094">
        <v>1</v>
      </c>
      <c r="AX1094">
        <v>3</v>
      </c>
      <c r="AY1094">
        <v>0</v>
      </c>
      <c r="AZ1094">
        <v>0</v>
      </c>
      <c r="BA1094">
        <v>100</v>
      </c>
      <c r="BB1094">
        <v>100</v>
      </c>
      <c r="BC1094">
        <v>100</v>
      </c>
      <c r="BD1094">
        <v>100</v>
      </c>
      <c r="BE1094">
        <v>1</v>
      </c>
      <c r="BF1094">
        <v>15000</v>
      </c>
      <c r="BG1094">
        <v>1000</v>
      </c>
      <c r="BH1094" s="6">
        <f>Grandview_Inventory[[#This Row],[land_extract]]*Lookups!$B$3</f>
        <v>48369.510983942157</v>
      </c>
      <c r="BI1094" s="6">
        <f>IF(Grandview_Inventory[[#This Row],[bldg_style]]="",0,Lookups!$B$2)</f>
        <v>155833.95000000001</v>
      </c>
      <c r="BJ1094" s="6">
        <f>_xlfn.IFNA(VLOOKUP(Grandview_Inventory[[#This Row],[quality]],Lookups!$H$2:$J$14,3,FALSE),0)</f>
        <v>20768</v>
      </c>
      <c r="BK1094" s="6">
        <f>_xlfn.IFNA(VLOOKUP(Grandview_Inventory[[#This Row],[condition]],Lookups!$H$17:$J$24,3,FALSE),0)</f>
        <v>25818</v>
      </c>
      <c r="BL1094" s="6">
        <f>Grandview_Inventory[[#This Row],[Eff_Age]]*Lookups!$B$14</f>
        <v>-4065.8321999999998</v>
      </c>
      <c r="BM1094" s="6">
        <f>Grandview_Inventory[[#This Row],[living_area]]*Lookups!$B$15</f>
        <v>101743.171243</v>
      </c>
      <c r="BN1094" s="6">
        <f>Grandview_Inventory[[#This Row],[Fin BSMT]]*Lookups!$B$16</f>
        <v>0</v>
      </c>
      <c r="BO1094" s="6">
        <f>(Grandview_Inventory[[#This Row],[att_gar]]+Grandview_Inventory[[#This Row],[bltin_gar]])*Lookups!$B$17</f>
        <v>48311.281223999998</v>
      </c>
      <c r="BP1094" s="6">
        <f>Grandview_Inventory[[#This Row],[Plumbing Fixtures]]*Lookups!$B$18</f>
        <v>16083.5344</v>
      </c>
      <c r="BQ1094" s="6">
        <f>Grandview_Inventory[[#This Row],[detatched_value]]*Lookups!$B$19</f>
        <v>0</v>
      </c>
      <c r="BR1094" s="6">
        <f>SUM(Grandview_Inventory[[#This Row],[Intercept]:[det_value]])*Grandview_Inventory[[#This Row],[res_pct]]</f>
        <v>364492.10466700001</v>
      </c>
      <c r="BS1094" s="6">
        <f>Grandview_Inventory[[#This Row],[land_value]]</f>
        <v>48369.510983942157</v>
      </c>
      <c r="BT1094" s="4">
        <f>_xlfn.IFNA(VLOOKUP(Grandview_Inventory[[#This Row],[quality]],Lookups!$A$26:$C$33,3,FALSE),1)</f>
        <v>0.94960540378902636</v>
      </c>
      <c r="BU1094" s="4">
        <f>_xlfn.IFNA(VLOOKUP(Grandview_Inventory[[#This Row],[condition]],Lookups!$A$37:$C$44,3,FALSE),1)</f>
        <v>0.96661476234146892</v>
      </c>
      <c r="BV1094" s="4">
        <f>IF(Grandview_Inventory[[#This Row],[bldg_style]]="",1,_xlfn.IFNA(VLOOKUP(Grandview_Inventory[[#This Row],[decade]],Lookups!$F$29:$H$43,3,FALSE),1))</f>
        <v>0.96737494181490646</v>
      </c>
      <c r="BW1094" s="4">
        <f>_xlfn.IFNA(VLOOKUP(Grandview_Inventory[[#This Row],[living_area_range]],Lookups!$F$47:$H$56,3,FALSE),1)</f>
        <v>0.96120133463014379</v>
      </c>
      <c r="BX1094" s="4">
        <f>AVERAGE(Grandview_Inventory[[#This Row],[qual_adj]:[size_adj]])</f>
        <v>0.96119911064388641</v>
      </c>
      <c r="BY1094" s="6">
        <f>IF(Grandview_Inventory[[#This Row],[pre_res]]&lt;0,0,Grandview_Inventory[[#This Row],[pre_res]]*Grandview_Inventory[[#This Row],[overall_adj]])</f>
        <v>350349.48684263875</v>
      </c>
      <c r="BZ1094" s="6">
        <f>(Grandview_Inventory[[#This Row],[sum_land]]-IF(Grandview_Inventory[[#This Row],[no_utilities]]=1,12000,0))/IF(Grandview_Inventory[[#This Row],[unbuildable]]=1,2,1)</f>
        <v>48369.510983942157</v>
      </c>
      <c r="CA109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94">
        <f>ROUND(Grandview_Inventory[[#This Row],[det_value]]*Lookups!$M$28,-2)</f>
        <v>0</v>
      </c>
      <c r="CC1094">
        <f>IF(ROUND(Grandview_Inventory[[#This Row],[adj_res]]*Lookups!$M$28,-2)&lt;Grandview_Inventory[[#This Row],[min_res]],Grandview_Inventory[[#This Row],[min_res]],ROUND(Grandview_Inventory[[#This Row],[adj_res]]*Lookups!$M$28,-2))</f>
        <v>332800</v>
      </c>
      <c r="CD1094">
        <f>Grandview_Inventory[[#This Row],[final_det]]+Grandview_Inventory[[#This Row],[final_res]]</f>
        <v>332800</v>
      </c>
      <c r="CE1094">
        <f>Grandview_Inventory[[#This Row],[final_land]]+Grandview_Inventory[[#This Row],[final_imp]]+Grandview_Inventory[[#This Row],[crop_value]]</f>
        <v>378800</v>
      </c>
      <c r="CG1094" t="str">
        <f t="shared" si="17"/>
        <v>update valuation set market_land =46000, market_bldg=332800, market_total =378800, market_mdno =401, market_date ='9/10/2023' where link_id = (select link_id from parcel where parcel_year = '2024' and parcel_id = '23092242483');</v>
      </c>
    </row>
    <row r="1095" spans="1:85" x14ac:dyDescent="0.25">
      <c r="A1095">
        <v>23092242484</v>
      </c>
      <c r="B1095">
        <v>0.19</v>
      </c>
      <c r="C1095">
        <v>8200</v>
      </c>
      <c r="D1095" t="s">
        <v>129</v>
      </c>
      <c r="E1095" t="s">
        <v>53</v>
      </c>
      <c r="F1095" t="s">
        <v>53</v>
      </c>
      <c r="G1095">
        <v>4</v>
      </c>
      <c r="H1095" t="s">
        <v>54</v>
      </c>
      <c r="I1095">
        <v>230400</v>
      </c>
      <c r="J1095">
        <v>43300</v>
      </c>
      <c r="K1095">
        <v>0.19</v>
      </c>
      <c r="L109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95">
        <v>0</v>
      </c>
      <c r="N1095">
        <v>0</v>
      </c>
      <c r="O1095">
        <v>0</v>
      </c>
      <c r="P1095">
        <v>13398.7528</v>
      </c>
      <c r="Q1095">
        <v>63903</v>
      </c>
      <c r="R1095">
        <f>(Grandview_Inventory[[#This Row],[ln_acres]]*Grandview_Inventory[[#This Row],[coeff]])+Grandview_Inventory[[#This Row],[const]]</f>
        <v>41651.273092551026</v>
      </c>
      <c r="S1095" t="s">
        <v>61</v>
      </c>
      <c r="T1095">
        <v>1</v>
      </c>
      <c r="U1095" t="s">
        <v>62</v>
      </c>
      <c r="V1095" t="s">
        <v>66</v>
      </c>
      <c r="W1095">
        <v>0</v>
      </c>
      <c r="X1095">
        <v>0</v>
      </c>
      <c r="Y1095">
        <v>17</v>
      </c>
      <c r="Z1095">
        <v>17</v>
      </c>
      <c r="AA1095">
        <v>20</v>
      </c>
      <c r="AB1095">
        <v>2000</v>
      </c>
      <c r="AC1095">
        <v>1534</v>
      </c>
      <c r="AD1095">
        <v>1534</v>
      </c>
      <c r="AE1095">
        <v>0</v>
      </c>
      <c r="AF1095">
        <v>0</v>
      </c>
      <c r="AG1095">
        <v>0</v>
      </c>
      <c r="AH1095">
        <v>0</v>
      </c>
      <c r="AI1095">
        <v>420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8</v>
      </c>
      <c r="AQ1095">
        <v>0</v>
      </c>
      <c r="AR1095">
        <v>0</v>
      </c>
      <c r="AS1095" t="s">
        <v>58</v>
      </c>
      <c r="AT1095">
        <v>1</v>
      </c>
      <c r="AU1095" t="s">
        <v>63</v>
      </c>
      <c r="AV1095" t="s">
        <v>64</v>
      </c>
      <c r="AW1095">
        <v>1</v>
      </c>
      <c r="AX1095">
        <v>3</v>
      </c>
      <c r="AY1095">
        <v>0</v>
      </c>
      <c r="AZ1095">
        <v>0</v>
      </c>
      <c r="BA1095">
        <v>100</v>
      </c>
      <c r="BB1095">
        <v>100</v>
      </c>
      <c r="BC1095">
        <v>100</v>
      </c>
      <c r="BD1095">
        <v>100</v>
      </c>
      <c r="BE1095">
        <v>1</v>
      </c>
      <c r="BF1095">
        <v>15000</v>
      </c>
      <c r="BG1095">
        <v>1000</v>
      </c>
      <c r="BH1095" s="6">
        <f>Grandview_Inventory[[#This Row],[land_extract]]*Lookups!$B$3</f>
        <v>48369.510983942157</v>
      </c>
      <c r="BI1095" s="6">
        <f>IF(Grandview_Inventory[[#This Row],[bldg_style]]="",0,Lookups!$B$2)</f>
        <v>155833.95000000001</v>
      </c>
      <c r="BJ1095" s="6">
        <f>_xlfn.IFNA(VLOOKUP(Grandview_Inventory[[#This Row],[quality]],Lookups!$H$2:$J$14,3,FALSE),0)</f>
        <v>9808</v>
      </c>
      <c r="BK1095" s="6">
        <f>_xlfn.IFNA(VLOOKUP(Grandview_Inventory[[#This Row],[condition]],Lookups!$H$17:$J$24,3,FALSE),0)</f>
        <v>25818</v>
      </c>
      <c r="BL1095" s="6">
        <f>Grandview_Inventory[[#This Row],[Eff_Age]]*Lookups!$B$14</f>
        <v>-4065.8321999999998</v>
      </c>
      <c r="BM1095" s="6">
        <f>Grandview_Inventory[[#This Row],[living_area]]*Lookups!$B$15</f>
        <v>95692.228501999998</v>
      </c>
      <c r="BN1095" s="6">
        <f>Grandview_Inventory[[#This Row],[Fin BSMT]]*Lookups!$B$16</f>
        <v>0</v>
      </c>
      <c r="BO1095" s="6">
        <f>(Grandview_Inventory[[#This Row],[att_gar]]+Grandview_Inventory[[#This Row],[bltin_gar]])*Lookups!$B$17</f>
        <v>36758.58354</v>
      </c>
      <c r="BP1095" s="6">
        <f>Grandview_Inventory[[#This Row],[Plumbing Fixtures]]*Lookups!$B$18</f>
        <v>16083.5344</v>
      </c>
      <c r="BQ1095" s="6">
        <f>Grandview_Inventory[[#This Row],[detatched_value]]*Lookups!$B$19</f>
        <v>0</v>
      </c>
      <c r="BR1095" s="6">
        <f>SUM(Grandview_Inventory[[#This Row],[Intercept]:[det_value]])*Grandview_Inventory[[#This Row],[res_pct]]</f>
        <v>335928.46424200002</v>
      </c>
      <c r="BS1095" s="6">
        <f>Grandview_Inventory[[#This Row],[land_value]]</f>
        <v>48369.510983942157</v>
      </c>
      <c r="BT1095" s="4">
        <f>_xlfn.IFNA(VLOOKUP(Grandview_Inventory[[#This Row],[quality]],Lookups!$A$26:$C$33,3,FALSE),1)</f>
        <v>0.94295468617355149</v>
      </c>
      <c r="BU1095" s="4">
        <f>_xlfn.IFNA(VLOOKUP(Grandview_Inventory[[#This Row],[condition]],Lookups!$A$37:$C$44,3,FALSE),1)</f>
        <v>0.96661476234146892</v>
      </c>
      <c r="BV1095" s="4">
        <f>IF(Grandview_Inventory[[#This Row],[bldg_style]]="",1,_xlfn.IFNA(VLOOKUP(Grandview_Inventory[[#This Row],[decade]],Lookups!$F$29:$H$43,3,FALSE),1))</f>
        <v>0.96737494181490646</v>
      </c>
      <c r="BW1095" s="4">
        <f>_xlfn.IFNA(VLOOKUP(Grandview_Inventory[[#This Row],[living_area_range]],Lookups!$F$47:$H$56,3,FALSE),1)</f>
        <v>0.96120133463014379</v>
      </c>
      <c r="BX1095" s="4">
        <f>AVERAGE(Grandview_Inventory[[#This Row],[qual_adj]:[size_adj]])</f>
        <v>0.95953643124001764</v>
      </c>
      <c r="BY1095" s="6">
        <f>IF(Grandview_Inventory[[#This Row],[pre_res]]&lt;0,0,Grandview_Inventory[[#This Row],[pre_res]]*Grandview_Inventory[[#This Row],[overall_adj]])</f>
        <v>322335.59973070858</v>
      </c>
      <c r="BZ1095" s="6">
        <f>(Grandview_Inventory[[#This Row],[sum_land]]-IF(Grandview_Inventory[[#This Row],[no_utilities]]=1,12000,0))/IF(Grandview_Inventory[[#This Row],[unbuildable]]=1,2,1)</f>
        <v>48369.510983942157</v>
      </c>
      <c r="CA109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95">
        <f>ROUND(Grandview_Inventory[[#This Row],[det_value]]*Lookups!$M$28,-2)</f>
        <v>0</v>
      </c>
      <c r="CC1095">
        <f>IF(ROUND(Grandview_Inventory[[#This Row],[adj_res]]*Lookups!$M$28,-2)&lt;Grandview_Inventory[[#This Row],[min_res]],Grandview_Inventory[[#This Row],[min_res]],ROUND(Grandview_Inventory[[#This Row],[adj_res]]*Lookups!$M$28,-2))</f>
        <v>306200</v>
      </c>
      <c r="CD1095">
        <f>Grandview_Inventory[[#This Row],[final_det]]+Grandview_Inventory[[#This Row],[final_res]]</f>
        <v>306200</v>
      </c>
      <c r="CE1095">
        <f>Grandview_Inventory[[#This Row],[final_land]]+Grandview_Inventory[[#This Row],[final_imp]]+Grandview_Inventory[[#This Row],[crop_value]]</f>
        <v>352200</v>
      </c>
      <c r="CG1095" t="str">
        <f t="shared" si="17"/>
        <v>update valuation set market_land =46000, market_bldg=306200, market_total =352200, market_mdno =401, market_date ='9/10/2023' where link_id = (select link_id from parcel where parcel_year = '2024' and parcel_id = '23092242484');</v>
      </c>
    </row>
    <row r="1096" spans="1:85" x14ac:dyDescent="0.25">
      <c r="A1096">
        <v>23092242485</v>
      </c>
      <c r="B1096">
        <v>0.19</v>
      </c>
      <c r="C1096">
        <v>8294</v>
      </c>
      <c r="D1096" t="s">
        <v>129</v>
      </c>
      <c r="E1096" t="s">
        <v>53</v>
      </c>
      <c r="F1096" t="s">
        <v>53</v>
      </c>
      <c r="G1096">
        <v>4</v>
      </c>
      <c r="H1096" t="s">
        <v>54</v>
      </c>
      <c r="I1096">
        <v>268200</v>
      </c>
      <c r="J1096">
        <v>43300</v>
      </c>
      <c r="K1096">
        <v>0.19</v>
      </c>
      <c r="L109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96">
        <v>0</v>
      </c>
      <c r="N1096">
        <v>0</v>
      </c>
      <c r="O1096">
        <v>0</v>
      </c>
      <c r="P1096">
        <v>13398.7528</v>
      </c>
      <c r="Q1096">
        <v>63903</v>
      </c>
      <c r="R1096">
        <f>(Grandview_Inventory[[#This Row],[ln_acres]]*Grandview_Inventory[[#This Row],[coeff]])+Grandview_Inventory[[#This Row],[const]]</f>
        <v>41651.273092551026</v>
      </c>
      <c r="S1096" t="s">
        <v>58</v>
      </c>
      <c r="T1096">
        <v>1</v>
      </c>
      <c r="U1096" t="s">
        <v>64</v>
      </c>
      <c r="V1096" t="s">
        <v>66</v>
      </c>
      <c r="W1096">
        <v>0</v>
      </c>
      <c r="X1096">
        <v>0</v>
      </c>
      <c r="Y1096">
        <v>17</v>
      </c>
      <c r="Z1096">
        <v>17</v>
      </c>
      <c r="AA1096">
        <v>20</v>
      </c>
      <c r="AB1096">
        <v>2000</v>
      </c>
      <c r="AC1096">
        <v>1583</v>
      </c>
      <c r="AD1096">
        <v>1583</v>
      </c>
      <c r="AE1096">
        <v>0</v>
      </c>
      <c r="AF1096">
        <v>0</v>
      </c>
      <c r="AG1096">
        <v>0</v>
      </c>
      <c r="AH1096">
        <v>0</v>
      </c>
      <c r="AI1096">
        <v>565</v>
      </c>
      <c r="AJ1096">
        <v>0</v>
      </c>
      <c r="AK1096">
        <v>0</v>
      </c>
      <c r="AL1096">
        <v>0</v>
      </c>
      <c r="AM1096">
        <v>0</v>
      </c>
      <c r="AN1096">
        <v>120</v>
      </c>
      <c r="AO1096">
        <v>0</v>
      </c>
      <c r="AP1096">
        <v>10</v>
      </c>
      <c r="AQ1096">
        <v>0</v>
      </c>
      <c r="AR1096">
        <v>0</v>
      </c>
      <c r="AS1096" t="s">
        <v>58</v>
      </c>
      <c r="AT1096">
        <v>1</v>
      </c>
      <c r="AU1096" t="s">
        <v>63</v>
      </c>
      <c r="AV1096" t="s">
        <v>64</v>
      </c>
      <c r="AW1096">
        <v>1</v>
      </c>
      <c r="AX1096">
        <v>3</v>
      </c>
      <c r="AY1096">
        <v>0</v>
      </c>
      <c r="AZ1096">
        <v>0</v>
      </c>
      <c r="BA1096">
        <v>100</v>
      </c>
      <c r="BB1096">
        <v>100</v>
      </c>
      <c r="BC1096">
        <v>100</v>
      </c>
      <c r="BD1096">
        <v>100</v>
      </c>
      <c r="BE1096">
        <v>1</v>
      </c>
      <c r="BF1096">
        <v>15000</v>
      </c>
      <c r="BG1096">
        <v>1000</v>
      </c>
      <c r="BH1096" s="6">
        <f>Grandview_Inventory[[#This Row],[land_extract]]*Lookups!$B$3</f>
        <v>48369.510983942157</v>
      </c>
      <c r="BI1096" s="6">
        <f>IF(Grandview_Inventory[[#This Row],[bldg_style]]="",0,Lookups!$B$2)</f>
        <v>155833.95000000001</v>
      </c>
      <c r="BJ1096" s="6">
        <f>_xlfn.IFNA(VLOOKUP(Grandview_Inventory[[#This Row],[quality]],Lookups!$H$2:$J$14,3,FALSE),0)</f>
        <v>20768</v>
      </c>
      <c r="BK1096" s="6">
        <f>_xlfn.IFNA(VLOOKUP(Grandview_Inventory[[#This Row],[condition]],Lookups!$H$17:$J$24,3,FALSE),0)</f>
        <v>25818</v>
      </c>
      <c r="BL1096" s="6">
        <f>Grandview_Inventory[[#This Row],[Eff_Age]]*Lookups!$B$14</f>
        <v>-4065.8321999999998</v>
      </c>
      <c r="BM1096" s="6">
        <f>Grandview_Inventory[[#This Row],[living_area]]*Lookups!$B$15</f>
        <v>98748.890299000006</v>
      </c>
      <c r="BN1096" s="6">
        <f>Grandview_Inventory[[#This Row],[Fin BSMT]]*Lookups!$B$16</f>
        <v>0</v>
      </c>
      <c r="BO1096" s="6">
        <f>(Grandview_Inventory[[#This Row],[att_gar]]+Grandview_Inventory[[#This Row],[bltin_gar]])*Lookups!$B$17</f>
        <v>49449.046905000003</v>
      </c>
      <c r="BP1096" s="6">
        <f>Grandview_Inventory[[#This Row],[Plumbing Fixtures]]*Lookups!$B$18</f>
        <v>20104.418000000001</v>
      </c>
      <c r="BQ1096" s="6">
        <f>Grandview_Inventory[[#This Row],[detatched_value]]*Lookups!$B$19</f>
        <v>0</v>
      </c>
      <c r="BR1096" s="6">
        <f>SUM(Grandview_Inventory[[#This Row],[Intercept]:[det_value]])*Grandview_Inventory[[#This Row],[res_pct]]</f>
        <v>366656.47300400003</v>
      </c>
      <c r="BS1096" s="6">
        <f>Grandview_Inventory[[#This Row],[land_value]]</f>
        <v>48369.510983942157</v>
      </c>
      <c r="BT1096" s="4">
        <f>_xlfn.IFNA(VLOOKUP(Grandview_Inventory[[#This Row],[quality]],Lookups!$A$26:$C$33,3,FALSE),1)</f>
        <v>0.94960540378902636</v>
      </c>
      <c r="BU1096" s="4">
        <f>_xlfn.IFNA(VLOOKUP(Grandview_Inventory[[#This Row],[condition]],Lookups!$A$37:$C$44,3,FALSE),1)</f>
        <v>0.96661476234146892</v>
      </c>
      <c r="BV1096" s="4">
        <f>IF(Grandview_Inventory[[#This Row],[bldg_style]]="",1,_xlfn.IFNA(VLOOKUP(Grandview_Inventory[[#This Row],[decade]],Lookups!$F$29:$H$43,3,FALSE),1))</f>
        <v>0.96737494181490646</v>
      </c>
      <c r="BW1096" s="4">
        <f>_xlfn.IFNA(VLOOKUP(Grandview_Inventory[[#This Row],[living_area_range]],Lookups!$F$47:$H$56,3,FALSE),1)</f>
        <v>0.96120133463014379</v>
      </c>
      <c r="BX1096" s="4">
        <f>AVERAGE(Grandview_Inventory[[#This Row],[qual_adj]:[size_adj]])</f>
        <v>0.96119911064388641</v>
      </c>
      <c r="BY1096" s="6">
        <f>IF(Grandview_Inventory[[#This Row],[pre_res]]&lt;0,0,Grandview_Inventory[[#This Row],[pre_res]]*Grandview_Inventory[[#This Row],[overall_adj]])</f>
        <v>352429.87576326897</v>
      </c>
      <c r="BZ1096" s="6">
        <f>(Grandview_Inventory[[#This Row],[sum_land]]-IF(Grandview_Inventory[[#This Row],[no_utilities]]=1,12000,0))/IF(Grandview_Inventory[[#This Row],[unbuildable]]=1,2,1)</f>
        <v>48369.510983942157</v>
      </c>
      <c r="CA109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96">
        <f>ROUND(Grandview_Inventory[[#This Row],[det_value]]*Lookups!$M$28,-2)</f>
        <v>0</v>
      </c>
      <c r="CC1096">
        <f>IF(ROUND(Grandview_Inventory[[#This Row],[adj_res]]*Lookups!$M$28,-2)&lt;Grandview_Inventory[[#This Row],[min_res]],Grandview_Inventory[[#This Row],[min_res]],ROUND(Grandview_Inventory[[#This Row],[adj_res]]*Lookups!$M$28,-2))</f>
        <v>334800</v>
      </c>
      <c r="CD1096">
        <f>Grandview_Inventory[[#This Row],[final_det]]+Grandview_Inventory[[#This Row],[final_res]]</f>
        <v>334800</v>
      </c>
      <c r="CE1096">
        <f>Grandview_Inventory[[#This Row],[final_land]]+Grandview_Inventory[[#This Row],[final_imp]]+Grandview_Inventory[[#This Row],[crop_value]]</f>
        <v>380800</v>
      </c>
      <c r="CG1096" t="str">
        <f t="shared" si="17"/>
        <v>update valuation set market_land =46000, market_bldg=334800, market_total =380800, market_mdno =401, market_date ='9/10/2023' where link_id = (select link_id from parcel where parcel_year = '2024' and parcel_id = '23092242485');</v>
      </c>
    </row>
    <row r="1097" spans="1:85" x14ac:dyDescent="0.25">
      <c r="A1097">
        <v>23092242486</v>
      </c>
      <c r="B1097">
        <v>0.2</v>
      </c>
      <c r="C1097">
        <v>8602</v>
      </c>
      <c r="D1097" t="s">
        <v>129</v>
      </c>
      <c r="E1097" t="s">
        <v>53</v>
      </c>
      <c r="F1097" t="s">
        <v>53</v>
      </c>
      <c r="G1097">
        <v>4</v>
      </c>
      <c r="H1097" t="s">
        <v>54</v>
      </c>
      <c r="I1097">
        <v>270900</v>
      </c>
      <c r="J1097">
        <v>43500</v>
      </c>
      <c r="K1097">
        <v>0.2</v>
      </c>
      <c r="L109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097">
        <v>0</v>
      </c>
      <c r="N1097">
        <v>0</v>
      </c>
      <c r="O1097">
        <v>0</v>
      </c>
      <c r="P1097">
        <v>13398.7528</v>
      </c>
      <c r="Q1097">
        <v>63903</v>
      </c>
      <c r="R1097">
        <f>(Grandview_Inventory[[#This Row],[ln_acres]]*Grandview_Inventory[[#This Row],[coeff]])+Grandview_Inventory[[#This Row],[const]]</f>
        <v>42338.539264347448</v>
      </c>
      <c r="S1097" t="s">
        <v>58</v>
      </c>
      <c r="T1097">
        <v>1</v>
      </c>
      <c r="U1097" t="s">
        <v>64</v>
      </c>
      <c r="V1097" t="s">
        <v>67</v>
      </c>
      <c r="W1097">
        <v>0</v>
      </c>
      <c r="X1097">
        <v>0</v>
      </c>
      <c r="Y1097">
        <v>16</v>
      </c>
      <c r="Z1097">
        <v>16</v>
      </c>
      <c r="AA1097">
        <v>20</v>
      </c>
      <c r="AB1097">
        <v>2000</v>
      </c>
      <c r="AC1097">
        <v>1642</v>
      </c>
      <c r="AD1097">
        <v>1642</v>
      </c>
      <c r="AE1097">
        <v>0</v>
      </c>
      <c r="AF1097">
        <v>0</v>
      </c>
      <c r="AG1097">
        <v>0</v>
      </c>
      <c r="AH1097">
        <v>0</v>
      </c>
      <c r="AI1097">
        <v>506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10</v>
      </c>
      <c r="AQ1097">
        <v>0</v>
      </c>
      <c r="AR1097">
        <v>0</v>
      </c>
      <c r="AS1097" t="s">
        <v>58</v>
      </c>
      <c r="AT1097">
        <v>1</v>
      </c>
      <c r="AU1097" t="s">
        <v>59</v>
      </c>
      <c r="AV1097" t="s">
        <v>60</v>
      </c>
      <c r="AW1097">
        <v>1</v>
      </c>
      <c r="AX1097">
        <v>3</v>
      </c>
      <c r="AY1097">
        <v>0</v>
      </c>
      <c r="AZ1097">
        <v>0</v>
      </c>
      <c r="BA1097">
        <v>100</v>
      </c>
      <c r="BB1097">
        <v>100</v>
      </c>
      <c r="BC1097">
        <v>100</v>
      </c>
      <c r="BD1097">
        <v>100</v>
      </c>
      <c r="BE1097">
        <v>1</v>
      </c>
      <c r="BF1097">
        <v>15000</v>
      </c>
      <c r="BG1097">
        <v>1000</v>
      </c>
      <c r="BH1097" s="6">
        <f>Grandview_Inventory[[#This Row],[land_extract]]*Lookups!$B$3</f>
        <v>49167.631333630678</v>
      </c>
      <c r="BI1097" s="6">
        <f>IF(Grandview_Inventory[[#This Row],[bldg_style]]="",0,Lookups!$B$2)</f>
        <v>155833.95000000001</v>
      </c>
      <c r="BJ1097" s="6">
        <f>_xlfn.IFNA(VLOOKUP(Grandview_Inventory[[#This Row],[quality]],Lookups!$H$2:$J$14,3,FALSE),0)</f>
        <v>20768</v>
      </c>
      <c r="BK1097" s="6">
        <f>_xlfn.IFNA(VLOOKUP(Grandview_Inventory[[#This Row],[condition]],Lookups!$H$17:$J$24,3,FALSE),0)</f>
        <v>22342</v>
      </c>
      <c r="BL1097" s="6">
        <f>Grandview_Inventory[[#This Row],[Eff_Age]]*Lookups!$B$14</f>
        <v>-3826.6655999999998</v>
      </c>
      <c r="BM1097" s="6">
        <f>Grandview_Inventory[[#This Row],[living_area]]*Lookups!$B$15</f>
        <v>102429.36062600001</v>
      </c>
      <c r="BN1097" s="6">
        <f>Grandview_Inventory[[#This Row],[Fin BSMT]]*Lookups!$B$16</f>
        <v>0</v>
      </c>
      <c r="BO1097" s="6">
        <f>(Grandview_Inventory[[#This Row],[att_gar]]+Grandview_Inventory[[#This Row],[bltin_gar]])*Lookups!$B$17</f>
        <v>44285.341121999998</v>
      </c>
      <c r="BP1097" s="6">
        <f>Grandview_Inventory[[#This Row],[Plumbing Fixtures]]*Lookups!$B$18</f>
        <v>20104.418000000001</v>
      </c>
      <c r="BQ1097" s="6">
        <f>Grandview_Inventory[[#This Row],[detatched_value]]*Lookups!$B$19</f>
        <v>0</v>
      </c>
      <c r="BR1097" s="6">
        <f>SUM(Grandview_Inventory[[#This Row],[Intercept]:[det_value]])*Grandview_Inventory[[#This Row],[res_pct]]</f>
        <v>361936.404148</v>
      </c>
      <c r="BS1097" s="6">
        <f>Grandview_Inventory[[#This Row],[land_value]]</f>
        <v>49167.631333630678</v>
      </c>
      <c r="BT1097" s="4">
        <f>_xlfn.IFNA(VLOOKUP(Grandview_Inventory[[#This Row],[quality]],Lookups!$A$26:$C$33,3,FALSE),1)</f>
        <v>0.94960540378902636</v>
      </c>
      <c r="BU1097" s="4">
        <f>_xlfn.IFNA(VLOOKUP(Grandview_Inventory[[#This Row],[condition]],Lookups!$A$37:$C$44,3,FALSE),1)</f>
        <v>0.97383723671140243</v>
      </c>
      <c r="BV1097" s="4">
        <f>IF(Grandview_Inventory[[#This Row],[bldg_style]]="",1,_xlfn.IFNA(VLOOKUP(Grandview_Inventory[[#This Row],[decade]],Lookups!$F$29:$H$43,3,FALSE),1))</f>
        <v>0.96737494181490646</v>
      </c>
      <c r="BW1097" s="4">
        <f>_xlfn.IFNA(VLOOKUP(Grandview_Inventory[[#This Row],[living_area_range]],Lookups!$F$47:$H$56,3,FALSE),1)</f>
        <v>0.96120133463014379</v>
      </c>
      <c r="BX1097" s="4">
        <f>AVERAGE(Grandview_Inventory[[#This Row],[qual_adj]:[size_adj]])</f>
        <v>0.96300472923636971</v>
      </c>
      <c r="BY1097" s="6">
        <f>IF(Grandview_Inventory[[#This Row],[pre_res]]&lt;0,0,Grandview_Inventory[[#This Row],[pre_res]]*Grandview_Inventory[[#This Row],[overall_adj]])</f>
        <v>348546.46887733001</v>
      </c>
      <c r="BZ1097" s="6">
        <f>(Grandview_Inventory[[#This Row],[sum_land]]-IF(Grandview_Inventory[[#This Row],[no_utilities]]=1,12000,0))/IF(Grandview_Inventory[[#This Row],[unbuildable]]=1,2,1)</f>
        <v>49167.631333630678</v>
      </c>
      <c r="CA109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097">
        <f>ROUND(Grandview_Inventory[[#This Row],[det_value]]*Lookups!$M$28,-2)</f>
        <v>0</v>
      </c>
      <c r="CC1097">
        <f>IF(ROUND(Grandview_Inventory[[#This Row],[adj_res]]*Lookups!$M$28,-2)&lt;Grandview_Inventory[[#This Row],[min_res]],Grandview_Inventory[[#This Row],[min_res]],ROUND(Grandview_Inventory[[#This Row],[adj_res]]*Lookups!$M$28,-2))</f>
        <v>331100</v>
      </c>
      <c r="CD1097">
        <f>Grandview_Inventory[[#This Row],[final_det]]+Grandview_Inventory[[#This Row],[final_res]]</f>
        <v>331100</v>
      </c>
      <c r="CE1097">
        <f>Grandview_Inventory[[#This Row],[final_land]]+Grandview_Inventory[[#This Row],[final_imp]]+Grandview_Inventory[[#This Row],[crop_value]]</f>
        <v>377800</v>
      </c>
      <c r="CG1097" t="str">
        <f t="shared" si="17"/>
        <v>update valuation set market_land =46700, market_bldg=331100, market_total =377800, market_mdno =401, market_date ='9/10/2023' where link_id = (select link_id from parcel where parcel_year = '2024' and parcel_id = '23092242486');</v>
      </c>
    </row>
    <row r="1098" spans="1:85" x14ac:dyDescent="0.25">
      <c r="A1098">
        <v>23092242487</v>
      </c>
      <c r="B1098">
        <v>0.19</v>
      </c>
      <c r="C1098">
        <v>8341</v>
      </c>
      <c r="D1098" t="s">
        <v>129</v>
      </c>
      <c r="E1098" t="s">
        <v>53</v>
      </c>
      <c r="F1098" t="s">
        <v>53</v>
      </c>
      <c r="G1098">
        <v>4</v>
      </c>
      <c r="H1098" t="s">
        <v>54</v>
      </c>
      <c r="I1098">
        <v>263600</v>
      </c>
      <c r="J1098">
        <v>43500</v>
      </c>
      <c r="K1098">
        <v>0.19</v>
      </c>
      <c r="L109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98">
        <v>0</v>
      </c>
      <c r="N1098">
        <v>0</v>
      </c>
      <c r="O1098">
        <v>0</v>
      </c>
      <c r="P1098">
        <v>13398.7528</v>
      </c>
      <c r="Q1098">
        <v>63903</v>
      </c>
      <c r="R1098">
        <f>(Grandview_Inventory[[#This Row],[ln_acres]]*Grandview_Inventory[[#This Row],[coeff]])+Grandview_Inventory[[#This Row],[const]]</f>
        <v>41651.273092551026</v>
      </c>
      <c r="S1098" t="s">
        <v>58</v>
      </c>
      <c r="T1098">
        <v>1</v>
      </c>
      <c r="U1098" t="s">
        <v>62</v>
      </c>
      <c r="V1098" t="s">
        <v>66</v>
      </c>
      <c r="W1098">
        <v>0</v>
      </c>
      <c r="X1098">
        <v>0</v>
      </c>
      <c r="Y1098">
        <v>16</v>
      </c>
      <c r="Z1098">
        <v>16</v>
      </c>
      <c r="AA1098">
        <v>20</v>
      </c>
      <c r="AB1098">
        <v>2000</v>
      </c>
      <c r="AC1098">
        <v>1613</v>
      </c>
      <c r="AD1098">
        <v>1613</v>
      </c>
      <c r="AE1098">
        <v>0</v>
      </c>
      <c r="AF1098">
        <v>0</v>
      </c>
      <c r="AG1098">
        <v>0</v>
      </c>
      <c r="AH1098">
        <v>0</v>
      </c>
      <c r="AI1098">
        <v>652</v>
      </c>
      <c r="AJ1098">
        <v>0</v>
      </c>
      <c r="AK1098">
        <v>0</v>
      </c>
      <c r="AL1098">
        <v>0</v>
      </c>
      <c r="AM1098">
        <v>302</v>
      </c>
      <c r="AN1098">
        <v>28</v>
      </c>
      <c r="AO1098">
        <v>302</v>
      </c>
      <c r="AP1098">
        <v>8</v>
      </c>
      <c r="AQ1098">
        <v>0</v>
      </c>
      <c r="AR1098">
        <v>0</v>
      </c>
      <c r="AS1098" t="s">
        <v>58</v>
      </c>
      <c r="AT1098">
        <v>1</v>
      </c>
      <c r="AU1098" t="s">
        <v>59</v>
      </c>
      <c r="AV1098" t="s">
        <v>60</v>
      </c>
      <c r="AW1098">
        <v>1</v>
      </c>
      <c r="AX1098">
        <v>3</v>
      </c>
      <c r="AY1098">
        <v>0</v>
      </c>
      <c r="AZ1098">
        <v>0</v>
      </c>
      <c r="BA1098">
        <v>100</v>
      </c>
      <c r="BB1098">
        <v>100</v>
      </c>
      <c r="BC1098">
        <v>100</v>
      </c>
      <c r="BD1098">
        <v>100</v>
      </c>
      <c r="BE1098">
        <v>1</v>
      </c>
      <c r="BF1098">
        <v>15000</v>
      </c>
      <c r="BG1098">
        <v>1000</v>
      </c>
      <c r="BH1098" s="6">
        <f>Grandview_Inventory[[#This Row],[land_extract]]*Lookups!$B$3</f>
        <v>48369.510983942157</v>
      </c>
      <c r="BI1098" s="6">
        <f>IF(Grandview_Inventory[[#This Row],[bldg_style]]="",0,Lookups!$B$2)</f>
        <v>155833.95000000001</v>
      </c>
      <c r="BJ1098" s="6">
        <f>_xlfn.IFNA(VLOOKUP(Grandview_Inventory[[#This Row],[quality]],Lookups!$H$2:$J$14,3,FALSE),0)</f>
        <v>9808</v>
      </c>
      <c r="BK1098" s="6">
        <f>_xlfn.IFNA(VLOOKUP(Grandview_Inventory[[#This Row],[condition]],Lookups!$H$17:$J$24,3,FALSE),0)</f>
        <v>25818</v>
      </c>
      <c r="BL1098" s="6">
        <f>Grandview_Inventory[[#This Row],[Eff_Age]]*Lookups!$B$14</f>
        <v>-3826.6655999999998</v>
      </c>
      <c r="BM1098" s="6">
        <f>Grandview_Inventory[[#This Row],[living_area]]*Lookups!$B$15</f>
        <v>100620.315889</v>
      </c>
      <c r="BN1098" s="6">
        <f>Grandview_Inventory[[#This Row],[Fin BSMT]]*Lookups!$B$16</f>
        <v>0</v>
      </c>
      <c r="BO1098" s="6">
        <f>(Grandview_Inventory[[#This Row],[att_gar]]+Grandview_Inventory[[#This Row],[bltin_gar]])*Lookups!$B$17</f>
        <v>57063.324924</v>
      </c>
      <c r="BP1098" s="6">
        <f>Grandview_Inventory[[#This Row],[Plumbing Fixtures]]*Lookups!$B$18</f>
        <v>16083.5344</v>
      </c>
      <c r="BQ1098" s="6">
        <f>Grandview_Inventory[[#This Row],[detatched_value]]*Lookups!$B$19</f>
        <v>0</v>
      </c>
      <c r="BR1098" s="6">
        <f>SUM(Grandview_Inventory[[#This Row],[Intercept]:[det_value]])*Grandview_Inventory[[#This Row],[res_pct]]</f>
        <v>361400.45961300004</v>
      </c>
      <c r="BS1098" s="6">
        <f>Grandview_Inventory[[#This Row],[land_value]]</f>
        <v>48369.510983942157</v>
      </c>
      <c r="BT1098" s="4">
        <f>_xlfn.IFNA(VLOOKUP(Grandview_Inventory[[#This Row],[quality]],Lookups!$A$26:$C$33,3,FALSE),1)</f>
        <v>0.94295468617355149</v>
      </c>
      <c r="BU1098" s="4">
        <f>_xlfn.IFNA(VLOOKUP(Grandview_Inventory[[#This Row],[condition]],Lookups!$A$37:$C$44,3,FALSE),1)</f>
        <v>0.96661476234146892</v>
      </c>
      <c r="BV1098" s="4">
        <f>IF(Grandview_Inventory[[#This Row],[bldg_style]]="",1,_xlfn.IFNA(VLOOKUP(Grandview_Inventory[[#This Row],[decade]],Lookups!$F$29:$H$43,3,FALSE),1))</f>
        <v>0.96737494181490646</v>
      </c>
      <c r="BW1098" s="4">
        <f>_xlfn.IFNA(VLOOKUP(Grandview_Inventory[[#This Row],[living_area_range]],Lookups!$F$47:$H$56,3,FALSE),1)</f>
        <v>0.96120133463014379</v>
      </c>
      <c r="BX1098" s="4">
        <f>AVERAGE(Grandview_Inventory[[#This Row],[qual_adj]:[size_adj]])</f>
        <v>0.95953643124001764</v>
      </c>
      <c r="BY1098" s="6">
        <f>IF(Grandview_Inventory[[#This Row],[pre_res]]&lt;0,0,Grandview_Inventory[[#This Row],[pre_res]]*Grandview_Inventory[[#This Row],[overall_adj]])</f>
        <v>346776.90726556018</v>
      </c>
      <c r="BZ1098" s="6">
        <f>(Grandview_Inventory[[#This Row],[sum_land]]-IF(Grandview_Inventory[[#This Row],[no_utilities]]=1,12000,0))/IF(Grandview_Inventory[[#This Row],[unbuildable]]=1,2,1)</f>
        <v>48369.510983942157</v>
      </c>
      <c r="CA109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98">
        <f>ROUND(Grandview_Inventory[[#This Row],[det_value]]*Lookups!$M$28,-2)</f>
        <v>0</v>
      </c>
      <c r="CC1098">
        <f>IF(ROUND(Grandview_Inventory[[#This Row],[adj_res]]*Lookups!$M$28,-2)&lt;Grandview_Inventory[[#This Row],[min_res]],Grandview_Inventory[[#This Row],[min_res]],ROUND(Grandview_Inventory[[#This Row],[adj_res]]*Lookups!$M$28,-2))</f>
        <v>329400</v>
      </c>
      <c r="CD1098">
        <f>Grandview_Inventory[[#This Row],[final_det]]+Grandview_Inventory[[#This Row],[final_res]]</f>
        <v>329400</v>
      </c>
      <c r="CE1098">
        <f>Grandview_Inventory[[#This Row],[final_land]]+Grandview_Inventory[[#This Row],[final_imp]]+Grandview_Inventory[[#This Row],[crop_value]]</f>
        <v>375400</v>
      </c>
      <c r="CG1098" t="str">
        <f t="shared" si="17"/>
        <v>update valuation set market_land =46000, market_bldg=329400, market_total =375400, market_mdno =401, market_date ='9/10/2023' where link_id = (select link_id from parcel where parcel_year = '2024' and parcel_id = '23092242487');</v>
      </c>
    </row>
    <row r="1099" spans="1:85" x14ac:dyDescent="0.25">
      <c r="A1099">
        <v>23092242488</v>
      </c>
      <c r="B1099">
        <v>0.19</v>
      </c>
      <c r="C1099">
        <v>8317</v>
      </c>
      <c r="D1099" t="s">
        <v>129</v>
      </c>
      <c r="E1099" t="s">
        <v>53</v>
      </c>
      <c r="F1099" t="s">
        <v>53</v>
      </c>
      <c r="G1099">
        <v>4</v>
      </c>
      <c r="H1099" t="s">
        <v>54</v>
      </c>
      <c r="I1099">
        <v>250500</v>
      </c>
      <c r="J1099">
        <v>43500</v>
      </c>
      <c r="K1099">
        <v>0.19</v>
      </c>
      <c r="L109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099">
        <v>0</v>
      </c>
      <c r="N1099">
        <v>0</v>
      </c>
      <c r="O1099">
        <v>0</v>
      </c>
      <c r="P1099">
        <v>13398.7528</v>
      </c>
      <c r="Q1099">
        <v>63903</v>
      </c>
      <c r="R1099">
        <f>(Grandview_Inventory[[#This Row],[ln_acres]]*Grandview_Inventory[[#This Row],[coeff]])+Grandview_Inventory[[#This Row],[const]]</f>
        <v>41651.273092551026</v>
      </c>
      <c r="S1099" t="s">
        <v>58</v>
      </c>
      <c r="T1099">
        <v>1</v>
      </c>
      <c r="U1099" t="s">
        <v>62</v>
      </c>
      <c r="V1099" t="s">
        <v>66</v>
      </c>
      <c r="W1099">
        <v>0</v>
      </c>
      <c r="X1099">
        <v>0</v>
      </c>
      <c r="Y1099">
        <v>16</v>
      </c>
      <c r="Z1099">
        <v>16</v>
      </c>
      <c r="AA1099">
        <v>20</v>
      </c>
      <c r="AB1099">
        <v>2000</v>
      </c>
      <c r="AC1099">
        <v>1570</v>
      </c>
      <c r="AD1099">
        <v>1570</v>
      </c>
      <c r="AE1099">
        <v>0</v>
      </c>
      <c r="AF1099">
        <v>0</v>
      </c>
      <c r="AG1099">
        <v>0</v>
      </c>
      <c r="AH1099">
        <v>0</v>
      </c>
      <c r="AI1099">
        <v>484</v>
      </c>
      <c r="AJ1099">
        <v>0</v>
      </c>
      <c r="AK1099">
        <v>0</v>
      </c>
      <c r="AL1099">
        <v>0</v>
      </c>
      <c r="AM1099">
        <v>160</v>
      </c>
      <c r="AN1099">
        <v>98</v>
      </c>
      <c r="AO1099">
        <v>160</v>
      </c>
      <c r="AP1099">
        <v>8</v>
      </c>
      <c r="AQ1099">
        <v>0</v>
      </c>
      <c r="AR1099">
        <v>0</v>
      </c>
      <c r="AS1099" t="s">
        <v>58</v>
      </c>
      <c r="AT1099">
        <v>1</v>
      </c>
      <c r="AU1099" t="s">
        <v>59</v>
      </c>
      <c r="AV1099" t="s">
        <v>60</v>
      </c>
      <c r="AW1099">
        <v>1</v>
      </c>
      <c r="AX1099">
        <v>3</v>
      </c>
      <c r="AY1099">
        <v>0</v>
      </c>
      <c r="AZ1099">
        <v>0</v>
      </c>
      <c r="BA1099">
        <v>100</v>
      </c>
      <c r="BB1099">
        <v>100</v>
      </c>
      <c r="BC1099">
        <v>100</v>
      </c>
      <c r="BD1099">
        <v>100</v>
      </c>
      <c r="BE1099">
        <v>1</v>
      </c>
      <c r="BF1099">
        <v>15000</v>
      </c>
      <c r="BG1099">
        <v>1000</v>
      </c>
      <c r="BH1099" s="6">
        <f>Grandview_Inventory[[#This Row],[land_extract]]*Lookups!$B$3</f>
        <v>48369.510983942157</v>
      </c>
      <c r="BI1099" s="6">
        <f>IF(Grandview_Inventory[[#This Row],[bldg_style]]="",0,Lookups!$B$2)</f>
        <v>155833.95000000001</v>
      </c>
      <c r="BJ1099" s="6">
        <f>_xlfn.IFNA(VLOOKUP(Grandview_Inventory[[#This Row],[quality]],Lookups!$H$2:$J$14,3,FALSE),0)</f>
        <v>9808</v>
      </c>
      <c r="BK1099" s="6">
        <f>_xlfn.IFNA(VLOOKUP(Grandview_Inventory[[#This Row],[condition]],Lookups!$H$17:$J$24,3,FALSE),0)</f>
        <v>25818</v>
      </c>
      <c r="BL1099" s="6">
        <f>Grandview_Inventory[[#This Row],[Eff_Age]]*Lookups!$B$14</f>
        <v>-3826.6655999999998</v>
      </c>
      <c r="BM1099" s="6">
        <f>Grandview_Inventory[[#This Row],[living_area]]*Lookups!$B$15</f>
        <v>97937.939209999997</v>
      </c>
      <c r="BN1099" s="6">
        <f>Grandview_Inventory[[#This Row],[Fin BSMT]]*Lookups!$B$16</f>
        <v>0</v>
      </c>
      <c r="BO1099" s="6">
        <f>(Grandview_Inventory[[#This Row],[att_gar]]+Grandview_Inventory[[#This Row],[bltin_gar]])*Lookups!$B$17</f>
        <v>42359.891508000001</v>
      </c>
      <c r="BP1099" s="6">
        <f>Grandview_Inventory[[#This Row],[Plumbing Fixtures]]*Lookups!$B$18</f>
        <v>16083.5344</v>
      </c>
      <c r="BQ1099" s="6">
        <f>Grandview_Inventory[[#This Row],[detatched_value]]*Lookups!$B$19</f>
        <v>0</v>
      </c>
      <c r="BR1099" s="6">
        <f>SUM(Grandview_Inventory[[#This Row],[Intercept]:[det_value]])*Grandview_Inventory[[#This Row],[res_pct]]</f>
        <v>344014.64951799996</v>
      </c>
      <c r="BS1099" s="6">
        <f>Grandview_Inventory[[#This Row],[land_value]]</f>
        <v>48369.510983942157</v>
      </c>
      <c r="BT1099" s="4">
        <f>_xlfn.IFNA(VLOOKUP(Grandview_Inventory[[#This Row],[quality]],Lookups!$A$26:$C$33,3,FALSE),1)</f>
        <v>0.94295468617355149</v>
      </c>
      <c r="BU1099" s="4">
        <f>_xlfn.IFNA(VLOOKUP(Grandview_Inventory[[#This Row],[condition]],Lookups!$A$37:$C$44,3,FALSE),1)</f>
        <v>0.96661476234146892</v>
      </c>
      <c r="BV1099" s="4">
        <f>IF(Grandview_Inventory[[#This Row],[bldg_style]]="",1,_xlfn.IFNA(VLOOKUP(Grandview_Inventory[[#This Row],[decade]],Lookups!$F$29:$H$43,3,FALSE),1))</f>
        <v>0.96737494181490646</v>
      </c>
      <c r="BW1099" s="4">
        <f>_xlfn.IFNA(VLOOKUP(Grandview_Inventory[[#This Row],[living_area_range]],Lookups!$F$47:$H$56,3,FALSE),1)</f>
        <v>0.96120133463014379</v>
      </c>
      <c r="BX1099" s="4">
        <f>AVERAGE(Grandview_Inventory[[#This Row],[qual_adj]:[size_adj]])</f>
        <v>0.95953643124001764</v>
      </c>
      <c r="BY1099" s="6">
        <f>IF(Grandview_Inventory[[#This Row],[pre_res]]&lt;0,0,Grandview_Inventory[[#This Row],[pre_res]]*Grandview_Inventory[[#This Row],[overall_adj]])</f>
        <v>330094.58909278712</v>
      </c>
      <c r="BZ1099" s="6">
        <f>(Grandview_Inventory[[#This Row],[sum_land]]-IF(Grandview_Inventory[[#This Row],[no_utilities]]=1,12000,0))/IF(Grandview_Inventory[[#This Row],[unbuildable]]=1,2,1)</f>
        <v>48369.510983942157</v>
      </c>
      <c r="CA109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099">
        <f>ROUND(Grandview_Inventory[[#This Row],[det_value]]*Lookups!$M$28,-2)</f>
        <v>0</v>
      </c>
      <c r="CC1099">
        <f>IF(ROUND(Grandview_Inventory[[#This Row],[adj_res]]*Lookups!$M$28,-2)&lt;Grandview_Inventory[[#This Row],[min_res]],Grandview_Inventory[[#This Row],[min_res]],ROUND(Grandview_Inventory[[#This Row],[adj_res]]*Lookups!$M$28,-2))</f>
        <v>313600</v>
      </c>
      <c r="CD1099">
        <f>Grandview_Inventory[[#This Row],[final_det]]+Grandview_Inventory[[#This Row],[final_res]]</f>
        <v>313600</v>
      </c>
      <c r="CE1099">
        <f>Grandview_Inventory[[#This Row],[final_land]]+Grandview_Inventory[[#This Row],[final_imp]]+Grandview_Inventory[[#This Row],[crop_value]]</f>
        <v>359600</v>
      </c>
      <c r="CG1099" t="str">
        <f t="shared" si="17"/>
        <v>update valuation set market_land =46000, market_bldg=313600, market_total =359600, market_mdno =401, market_date ='9/10/2023' where link_id = (select link_id from parcel where parcel_year = '2024' and parcel_id = '23092242488');</v>
      </c>
    </row>
    <row r="1100" spans="1:85" x14ac:dyDescent="0.25">
      <c r="A1100">
        <v>23092242489</v>
      </c>
      <c r="B1100">
        <v>0.19</v>
      </c>
      <c r="C1100">
        <v>8319</v>
      </c>
      <c r="D1100" t="s">
        <v>129</v>
      </c>
      <c r="E1100" t="s">
        <v>53</v>
      </c>
      <c r="F1100" t="s">
        <v>53</v>
      </c>
      <c r="G1100">
        <v>4</v>
      </c>
      <c r="H1100" t="s">
        <v>54</v>
      </c>
      <c r="I1100">
        <v>243100</v>
      </c>
      <c r="J1100">
        <v>39100</v>
      </c>
      <c r="K1100">
        <v>0.19</v>
      </c>
      <c r="L11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100">
        <v>0</v>
      </c>
      <c r="N1100">
        <v>0</v>
      </c>
      <c r="O1100">
        <v>0</v>
      </c>
      <c r="P1100">
        <v>13398.7528</v>
      </c>
      <c r="Q1100">
        <v>63903</v>
      </c>
      <c r="R1100">
        <f>(Grandview_Inventory[[#This Row],[ln_acres]]*Grandview_Inventory[[#This Row],[coeff]])+Grandview_Inventory[[#This Row],[const]]</f>
        <v>41651.273092551026</v>
      </c>
      <c r="S1100" t="s">
        <v>61</v>
      </c>
      <c r="T1100">
        <v>1</v>
      </c>
      <c r="U1100" t="s">
        <v>62</v>
      </c>
      <c r="V1100" t="s">
        <v>66</v>
      </c>
      <c r="W1100">
        <v>0</v>
      </c>
      <c r="X1100">
        <v>0</v>
      </c>
      <c r="Y1100">
        <v>16</v>
      </c>
      <c r="Z1100">
        <v>16</v>
      </c>
      <c r="AA1100">
        <v>20</v>
      </c>
      <c r="AB1100">
        <v>2000</v>
      </c>
      <c r="AC1100">
        <v>1597</v>
      </c>
      <c r="AD1100">
        <v>1597</v>
      </c>
      <c r="AE1100">
        <v>0</v>
      </c>
      <c r="AF1100">
        <v>0</v>
      </c>
      <c r="AG1100">
        <v>0</v>
      </c>
      <c r="AH1100">
        <v>0</v>
      </c>
      <c r="AI1100">
        <v>480</v>
      </c>
      <c r="AJ1100">
        <v>0</v>
      </c>
      <c r="AK1100">
        <v>0</v>
      </c>
      <c r="AL1100">
        <v>0</v>
      </c>
      <c r="AM1100">
        <v>150</v>
      </c>
      <c r="AN1100">
        <v>49</v>
      </c>
      <c r="AO1100">
        <v>150</v>
      </c>
      <c r="AP1100">
        <v>9</v>
      </c>
      <c r="AQ1100">
        <v>0</v>
      </c>
      <c r="AR1100">
        <v>0</v>
      </c>
      <c r="AS1100" t="s">
        <v>58</v>
      </c>
      <c r="AT1100">
        <v>1</v>
      </c>
      <c r="AU1100" t="s">
        <v>59</v>
      </c>
      <c r="AV1100" t="s">
        <v>60</v>
      </c>
      <c r="AW1100">
        <v>1</v>
      </c>
      <c r="AX1100">
        <v>3</v>
      </c>
      <c r="AY1100">
        <v>0</v>
      </c>
      <c r="AZ1100">
        <v>0</v>
      </c>
      <c r="BA1100">
        <v>100</v>
      </c>
      <c r="BB1100">
        <v>100</v>
      </c>
      <c r="BC1100">
        <v>100</v>
      </c>
      <c r="BD1100">
        <v>100</v>
      </c>
      <c r="BE1100">
        <v>1</v>
      </c>
      <c r="BF1100">
        <v>15000</v>
      </c>
      <c r="BG1100">
        <v>1000</v>
      </c>
      <c r="BH1100" s="6">
        <f>Grandview_Inventory[[#This Row],[land_extract]]*Lookups!$B$3</f>
        <v>48369.510983942157</v>
      </c>
      <c r="BI1100" s="6">
        <f>IF(Grandview_Inventory[[#This Row],[bldg_style]]="",0,Lookups!$B$2)</f>
        <v>155833.95000000001</v>
      </c>
      <c r="BJ1100" s="6">
        <f>_xlfn.IFNA(VLOOKUP(Grandview_Inventory[[#This Row],[quality]],Lookups!$H$2:$J$14,3,FALSE),0)</f>
        <v>9808</v>
      </c>
      <c r="BK1100" s="6">
        <f>_xlfn.IFNA(VLOOKUP(Grandview_Inventory[[#This Row],[condition]],Lookups!$H$17:$J$24,3,FALSE),0)</f>
        <v>25818</v>
      </c>
      <c r="BL1100" s="6">
        <f>Grandview_Inventory[[#This Row],[Eff_Age]]*Lookups!$B$14</f>
        <v>-3826.6655999999998</v>
      </c>
      <c r="BM1100" s="6">
        <f>Grandview_Inventory[[#This Row],[living_area]]*Lookups!$B$15</f>
        <v>99622.222240999996</v>
      </c>
      <c r="BN1100" s="6">
        <f>Grandview_Inventory[[#This Row],[Fin BSMT]]*Lookups!$B$16</f>
        <v>0</v>
      </c>
      <c r="BO1100" s="6">
        <f>(Grandview_Inventory[[#This Row],[att_gar]]+Grandview_Inventory[[#This Row],[bltin_gar]])*Lookups!$B$17</f>
        <v>42009.809760000004</v>
      </c>
      <c r="BP1100" s="6">
        <f>Grandview_Inventory[[#This Row],[Plumbing Fixtures]]*Lookups!$B$18</f>
        <v>18093.976200000001</v>
      </c>
      <c r="BQ1100" s="6">
        <f>Grandview_Inventory[[#This Row],[detatched_value]]*Lookups!$B$19</f>
        <v>0</v>
      </c>
      <c r="BR1100" s="6">
        <f>SUM(Grandview_Inventory[[#This Row],[Intercept]:[det_value]])*Grandview_Inventory[[#This Row],[res_pct]]</f>
        <v>347359.29260099999</v>
      </c>
      <c r="BS1100" s="6">
        <f>Grandview_Inventory[[#This Row],[land_value]]</f>
        <v>48369.510983942157</v>
      </c>
      <c r="BT1100" s="4">
        <f>_xlfn.IFNA(VLOOKUP(Grandview_Inventory[[#This Row],[quality]],Lookups!$A$26:$C$33,3,FALSE),1)</f>
        <v>0.94295468617355149</v>
      </c>
      <c r="BU1100" s="4">
        <f>_xlfn.IFNA(VLOOKUP(Grandview_Inventory[[#This Row],[condition]],Lookups!$A$37:$C$44,3,FALSE),1)</f>
        <v>0.96661476234146892</v>
      </c>
      <c r="BV1100" s="4">
        <f>IF(Grandview_Inventory[[#This Row],[bldg_style]]="",1,_xlfn.IFNA(VLOOKUP(Grandview_Inventory[[#This Row],[decade]],Lookups!$F$29:$H$43,3,FALSE),1))</f>
        <v>0.96737494181490646</v>
      </c>
      <c r="BW1100" s="4">
        <f>_xlfn.IFNA(VLOOKUP(Grandview_Inventory[[#This Row],[living_area_range]],Lookups!$F$47:$H$56,3,FALSE),1)</f>
        <v>0.96120133463014379</v>
      </c>
      <c r="BX1100" s="4">
        <f>AVERAGE(Grandview_Inventory[[#This Row],[qual_adj]:[size_adj]])</f>
        <v>0.95953643124001764</v>
      </c>
      <c r="BY1100" s="6">
        <f>IF(Grandview_Inventory[[#This Row],[pre_res]]&lt;0,0,Grandview_Inventory[[#This Row],[pre_res]]*Grandview_Inventory[[#This Row],[overall_adj]])</f>
        <v>333303.89598042058</v>
      </c>
      <c r="BZ1100" s="6">
        <f>(Grandview_Inventory[[#This Row],[sum_land]]-IF(Grandview_Inventory[[#This Row],[no_utilities]]=1,12000,0))/IF(Grandview_Inventory[[#This Row],[unbuildable]]=1,2,1)</f>
        <v>48369.510983942157</v>
      </c>
      <c r="CA110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100">
        <f>ROUND(Grandview_Inventory[[#This Row],[det_value]]*Lookups!$M$28,-2)</f>
        <v>0</v>
      </c>
      <c r="CC1100">
        <f>IF(ROUND(Grandview_Inventory[[#This Row],[adj_res]]*Lookups!$M$28,-2)&lt;Grandview_Inventory[[#This Row],[min_res]],Grandview_Inventory[[#This Row],[min_res]],ROUND(Grandview_Inventory[[#This Row],[adj_res]]*Lookups!$M$28,-2))</f>
        <v>316600</v>
      </c>
      <c r="CD1100">
        <f>Grandview_Inventory[[#This Row],[final_det]]+Grandview_Inventory[[#This Row],[final_res]]</f>
        <v>316600</v>
      </c>
      <c r="CE1100">
        <f>Grandview_Inventory[[#This Row],[final_land]]+Grandview_Inventory[[#This Row],[final_imp]]+Grandview_Inventory[[#This Row],[crop_value]]</f>
        <v>362600</v>
      </c>
      <c r="CG1100" t="str">
        <f t="shared" si="17"/>
        <v>update valuation set market_land =46000, market_bldg=316600, market_total =362600, market_mdno =401, market_date ='9/10/2023' where link_id = (select link_id from parcel where parcel_year = '2024' and parcel_id = '23092242489');</v>
      </c>
    </row>
    <row r="1101" spans="1:85" x14ac:dyDescent="0.25">
      <c r="A1101">
        <v>23092242490</v>
      </c>
      <c r="B1101">
        <v>0.2</v>
      </c>
      <c r="C1101">
        <v>8767</v>
      </c>
      <c r="D1101" t="s">
        <v>129</v>
      </c>
      <c r="E1101" t="s">
        <v>53</v>
      </c>
      <c r="F1101" t="s">
        <v>53</v>
      </c>
      <c r="G1101">
        <v>4</v>
      </c>
      <c r="H1101" t="s">
        <v>54</v>
      </c>
      <c r="I1101">
        <v>255500</v>
      </c>
      <c r="J1101">
        <v>39300</v>
      </c>
      <c r="K1101">
        <v>0.2</v>
      </c>
      <c r="L110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101">
        <v>0</v>
      </c>
      <c r="N1101">
        <v>0</v>
      </c>
      <c r="O1101">
        <v>0</v>
      </c>
      <c r="P1101">
        <v>13398.7528</v>
      </c>
      <c r="Q1101">
        <v>63903</v>
      </c>
      <c r="R1101">
        <f>(Grandview_Inventory[[#This Row],[ln_acres]]*Grandview_Inventory[[#This Row],[coeff]])+Grandview_Inventory[[#This Row],[const]]</f>
        <v>42338.539264347448</v>
      </c>
      <c r="S1101" t="s">
        <v>58</v>
      </c>
      <c r="T1101">
        <v>1</v>
      </c>
      <c r="U1101" t="s">
        <v>62</v>
      </c>
      <c r="V1101" t="s">
        <v>66</v>
      </c>
      <c r="W1101">
        <v>0</v>
      </c>
      <c r="X1101">
        <v>0</v>
      </c>
      <c r="Y1101">
        <v>16</v>
      </c>
      <c r="Z1101">
        <v>16</v>
      </c>
      <c r="AA1101">
        <v>20</v>
      </c>
      <c r="AB1101">
        <v>2000</v>
      </c>
      <c r="AC1101">
        <v>1622</v>
      </c>
      <c r="AD1101">
        <v>1622</v>
      </c>
      <c r="AE1101">
        <v>0</v>
      </c>
      <c r="AF1101">
        <v>0</v>
      </c>
      <c r="AG1101">
        <v>0</v>
      </c>
      <c r="AH1101">
        <v>0</v>
      </c>
      <c r="AI1101">
        <v>525</v>
      </c>
      <c r="AJ1101">
        <v>0</v>
      </c>
      <c r="AK1101">
        <v>0</v>
      </c>
      <c r="AL1101">
        <v>0</v>
      </c>
      <c r="AM1101">
        <v>108</v>
      </c>
      <c r="AN1101">
        <v>192</v>
      </c>
      <c r="AO1101">
        <v>0</v>
      </c>
      <c r="AP1101">
        <v>10</v>
      </c>
      <c r="AQ1101">
        <v>0</v>
      </c>
      <c r="AR1101">
        <v>0</v>
      </c>
      <c r="AS1101" t="s">
        <v>58</v>
      </c>
      <c r="AT1101">
        <v>1</v>
      </c>
      <c r="AU1101" t="s">
        <v>63</v>
      </c>
      <c r="AV1101" t="s">
        <v>64</v>
      </c>
      <c r="AW1101">
        <v>1</v>
      </c>
      <c r="AX1101">
        <v>3</v>
      </c>
      <c r="AY1101">
        <v>0</v>
      </c>
      <c r="AZ1101">
        <v>0</v>
      </c>
      <c r="BA1101">
        <v>100</v>
      </c>
      <c r="BB1101">
        <v>100</v>
      </c>
      <c r="BC1101">
        <v>100</v>
      </c>
      <c r="BD1101">
        <v>100</v>
      </c>
      <c r="BE1101">
        <v>1</v>
      </c>
      <c r="BF1101">
        <v>15000</v>
      </c>
      <c r="BG1101">
        <v>1000</v>
      </c>
      <c r="BH1101" s="6">
        <f>Grandview_Inventory[[#This Row],[land_extract]]*Lookups!$B$3</f>
        <v>49167.631333630678</v>
      </c>
      <c r="BI1101" s="6">
        <f>IF(Grandview_Inventory[[#This Row],[bldg_style]]="",0,Lookups!$B$2)</f>
        <v>155833.95000000001</v>
      </c>
      <c r="BJ1101" s="6">
        <f>_xlfn.IFNA(VLOOKUP(Grandview_Inventory[[#This Row],[quality]],Lookups!$H$2:$J$14,3,FALSE),0)</f>
        <v>9808</v>
      </c>
      <c r="BK1101" s="6">
        <f>_xlfn.IFNA(VLOOKUP(Grandview_Inventory[[#This Row],[condition]],Lookups!$H$17:$J$24,3,FALSE),0)</f>
        <v>25818</v>
      </c>
      <c r="BL1101" s="6">
        <f>Grandview_Inventory[[#This Row],[Eff_Age]]*Lookups!$B$14</f>
        <v>-3826.6655999999998</v>
      </c>
      <c r="BM1101" s="6">
        <f>Grandview_Inventory[[#This Row],[living_area]]*Lookups!$B$15</f>
        <v>101181.743566</v>
      </c>
      <c r="BN1101" s="6">
        <f>Grandview_Inventory[[#This Row],[Fin BSMT]]*Lookups!$B$16</f>
        <v>0</v>
      </c>
      <c r="BO1101" s="6">
        <f>(Grandview_Inventory[[#This Row],[att_gar]]+Grandview_Inventory[[#This Row],[bltin_gar]])*Lookups!$B$17</f>
        <v>45948.229424999998</v>
      </c>
      <c r="BP1101" s="6">
        <f>Grandview_Inventory[[#This Row],[Plumbing Fixtures]]*Lookups!$B$18</f>
        <v>20104.418000000001</v>
      </c>
      <c r="BQ1101" s="6">
        <f>Grandview_Inventory[[#This Row],[detatched_value]]*Lookups!$B$19</f>
        <v>0</v>
      </c>
      <c r="BR1101" s="6">
        <f>SUM(Grandview_Inventory[[#This Row],[Intercept]:[det_value]])*Grandview_Inventory[[#This Row],[res_pct]]</f>
        <v>354867.67539100006</v>
      </c>
      <c r="BS1101" s="6">
        <f>Grandview_Inventory[[#This Row],[land_value]]</f>
        <v>49167.631333630678</v>
      </c>
      <c r="BT1101" s="4">
        <f>_xlfn.IFNA(VLOOKUP(Grandview_Inventory[[#This Row],[quality]],Lookups!$A$26:$C$33,3,FALSE),1)</f>
        <v>0.94295468617355149</v>
      </c>
      <c r="BU1101" s="4">
        <f>_xlfn.IFNA(VLOOKUP(Grandview_Inventory[[#This Row],[condition]],Lookups!$A$37:$C$44,3,FALSE),1)</f>
        <v>0.96661476234146892</v>
      </c>
      <c r="BV1101" s="4">
        <f>IF(Grandview_Inventory[[#This Row],[bldg_style]]="",1,_xlfn.IFNA(VLOOKUP(Grandview_Inventory[[#This Row],[decade]],Lookups!$F$29:$H$43,3,FALSE),1))</f>
        <v>0.96737494181490646</v>
      </c>
      <c r="BW1101" s="4">
        <f>_xlfn.IFNA(VLOOKUP(Grandview_Inventory[[#This Row],[living_area_range]],Lookups!$F$47:$H$56,3,FALSE),1)</f>
        <v>0.96120133463014379</v>
      </c>
      <c r="BX1101" s="4">
        <f>AVERAGE(Grandview_Inventory[[#This Row],[qual_adj]:[size_adj]])</f>
        <v>0.95953643124001764</v>
      </c>
      <c r="BY1101" s="6">
        <f>IF(Grandview_Inventory[[#This Row],[pre_res]]&lt;0,0,Grandview_Inventory[[#This Row],[pre_res]]*Grandview_Inventory[[#This Row],[overall_adj]])</f>
        <v>340508.46280712122</v>
      </c>
      <c r="BZ1101" s="6">
        <f>(Grandview_Inventory[[#This Row],[sum_land]]-IF(Grandview_Inventory[[#This Row],[no_utilities]]=1,12000,0))/IF(Grandview_Inventory[[#This Row],[unbuildable]]=1,2,1)</f>
        <v>49167.631333630678</v>
      </c>
      <c r="CA110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101">
        <f>ROUND(Grandview_Inventory[[#This Row],[det_value]]*Lookups!$M$28,-2)</f>
        <v>0</v>
      </c>
      <c r="CC1101">
        <f>IF(ROUND(Grandview_Inventory[[#This Row],[adj_res]]*Lookups!$M$28,-2)&lt;Grandview_Inventory[[#This Row],[min_res]],Grandview_Inventory[[#This Row],[min_res]],ROUND(Grandview_Inventory[[#This Row],[adj_res]]*Lookups!$M$28,-2))</f>
        <v>323500</v>
      </c>
      <c r="CD1101">
        <f>Grandview_Inventory[[#This Row],[final_det]]+Grandview_Inventory[[#This Row],[final_res]]</f>
        <v>323500</v>
      </c>
      <c r="CE1101">
        <f>Grandview_Inventory[[#This Row],[final_land]]+Grandview_Inventory[[#This Row],[final_imp]]+Grandview_Inventory[[#This Row],[crop_value]]</f>
        <v>370200</v>
      </c>
      <c r="CG1101" t="str">
        <f t="shared" si="17"/>
        <v>update valuation set market_land =46700, market_bldg=323500, market_total =370200, market_mdno =401, market_date ='9/10/2023' where link_id = (select link_id from parcel where parcel_year = '2024' and parcel_id = '23092242490');</v>
      </c>
    </row>
    <row r="1102" spans="1:85" x14ac:dyDescent="0.25">
      <c r="A1102">
        <v>23092242491</v>
      </c>
      <c r="B1102">
        <v>0.17</v>
      </c>
      <c r="C1102">
        <v>7503</v>
      </c>
      <c r="D1102" t="s">
        <v>129</v>
      </c>
      <c r="E1102" t="s">
        <v>53</v>
      </c>
      <c r="F1102" t="s">
        <v>53</v>
      </c>
      <c r="G1102">
        <v>4</v>
      </c>
      <c r="H1102" t="s">
        <v>54</v>
      </c>
      <c r="I1102">
        <v>242200</v>
      </c>
      <c r="J1102">
        <v>38800</v>
      </c>
      <c r="K1102">
        <v>0.17</v>
      </c>
      <c r="L110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02">
        <v>0</v>
      </c>
      <c r="N1102">
        <v>0</v>
      </c>
      <c r="O1102">
        <v>0</v>
      </c>
      <c r="P1102">
        <v>13398.7528</v>
      </c>
      <c r="Q1102">
        <v>63903</v>
      </c>
      <c r="R1102">
        <f>(Grandview_Inventory[[#This Row],[ln_acres]]*Grandview_Inventory[[#This Row],[coeff]])+Grandview_Inventory[[#This Row],[const]]</f>
        <v>40160.988302686128</v>
      </c>
      <c r="S1102" t="s">
        <v>61</v>
      </c>
      <c r="T1102">
        <v>1</v>
      </c>
      <c r="U1102" t="s">
        <v>62</v>
      </c>
      <c r="V1102" t="s">
        <v>67</v>
      </c>
      <c r="W1102">
        <v>0</v>
      </c>
      <c r="X1102">
        <v>0</v>
      </c>
      <c r="Y1102">
        <v>16</v>
      </c>
      <c r="Z1102">
        <v>16</v>
      </c>
      <c r="AA1102">
        <v>20</v>
      </c>
      <c r="AB1102">
        <v>2000</v>
      </c>
      <c r="AC1102">
        <v>1569</v>
      </c>
      <c r="AD1102">
        <v>1569</v>
      </c>
      <c r="AE1102">
        <v>0</v>
      </c>
      <c r="AF1102">
        <v>0</v>
      </c>
      <c r="AG1102">
        <v>0</v>
      </c>
      <c r="AH1102">
        <v>0</v>
      </c>
      <c r="AI1102">
        <v>484</v>
      </c>
      <c r="AJ1102">
        <v>0</v>
      </c>
      <c r="AK1102">
        <v>0</v>
      </c>
      <c r="AL1102">
        <v>0</v>
      </c>
      <c r="AM1102">
        <v>100</v>
      </c>
      <c r="AN1102">
        <v>180</v>
      </c>
      <c r="AO1102">
        <v>0</v>
      </c>
      <c r="AP1102">
        <v>10</v>
      </c>
      <c r="AQ1102">
        <v>0</v>
      </c>
      <c r="AR1102">
        <v>0</v>
      </c>
      <c r="AS1102" t="s">
        <v>58</v>
      </c>
      <c r="AT1102">
        <v>1</v>
      </c>
      <c r="AU1102" t="s">
        <v>59</v>
      </c>
      <c r="AV1102" t="s">
        <v>60</v>
      </c>
      <c r="AW1102">
        <v>1</v>
      </c>
      <c r="AX1102">
        <v>3</v>
      </c>
      <c r="AY1102">
        <v>0</v>
      </c>
      <c r="AZ1102">
        <v>0</v>
      </c>
      <c r="BA1102">
        <v>100</v>
      </c>
      <c r="BB1102">
        <v>100</v>
      </c>
      <c r="BC1102">
        <v>100</v>
      </c>
      <c r="BD1102">
        <v>100</v>
      </c>
      <c r="BE1102">
        <v>1</v>
      </c>
      <c r="BF1102">
        <v>15000</v>
      </c>
      <c r="BG1102">
        <v>1000</v>
      </c>
      <c r="BH1102" s="6">
        <f>Grandview_Inventory[[#This Row],[land_extract]]*Lookups!$B$3</f>
        <v>46638.847281240982</v>
      </c>
      <c r="BI1102" s="6">
        <f>IF(Grandview_Inventory[[#This Row],[bldg_style]]="",0,Lookups!$B$2)</f>
        <v>155833.95000000001</v>
      </c>
      <c r="BJ1102" s="6">
        <f>_xlfn.IFNA(VLOOKUP(Grandview_Inventory[[#This Row],[quality]],Lookups!$H$2:$J$14,3,FALSE),0)</f>
        <v>9808</v>
      </c>
      <c r="BK1102" s="6">
        <f>_xlfn.IFNA(VLOOKUP(Grandview_Inventory[[#This Row],[condition]],Lookups!$H$17:$J$24,3,FALSE),0)</f>
        <v>22342</v>
      </c>
      <c r="BL1102" s="6">
        <f>Grandview_Inventory[[#This Row],[Eff_Age]]*Lookups!$B$14</f>
        <v>-3826.6655999999998</v>
      </c>
      <c r="BM1102" s="6">
        <f>Grandview_Inventory[[#This Row],[living_area]]*Lookups!$B$15</f>
        <v>97875.558357000002</v>
      </c>
      <c r="BN1102" s="6">
        <f>Grandview_Inventory[[#This Row],[Fin BSMT]]*Lookups!$B$16</f>
        <v>0</v>
      </c>
      <c r="BO1102" s="6">
        <f>(Grandview_Inventory[[#This Row],[att_gar]]+Grandview_Inventory[[#This Row],[bltin_gar]])*Lookups!$B$17</f>
        <v>42359.891508000001</v>
      </c>
      <c r="BP1102" s="6">
        <f>Grandview_Inventory[[#This Row],[Plumbing Fixtures]]*Lookups!$B$18</f>
        <v>20104.418000000001</v>
      </c>
      <c r="BQ1102" s="6">
        <f>Grandview_Inventory[[#This Row],[detatched_value]]*Lookups!$B$19</f>
        <v>0</v>
      </c>
      <c r="BR1102" s="6">
        <f>SUM(Grandview_Inventory[[#This Row],[Intercept]:[det_value]])*Grandview_Inventory[[#This Row],[res_pct]]</f>
        <v>344497.15226499998</v>
      </c>
      <c r="BS1102" s="6">
        <f>Grandview_Inventory[[#This Row],[land_value]]</f>
        <v>46638.847281240982</v>
      </c>
      <c r="BT1102" s="4">
        <f>_xlfn.IFNA(VLOOKUP(Grandview_Inventory[[#This Row],[quality]],Lookups!$A$26:$C$33,3,FALSE),1)</f>
        <v>0.94295468617355149</v>
      </c>
      <c r="BU1102" s="4">
        <f>_xlfn.IFNA(VLOOKUP(Grandview_Inventory[[#This Row],[condition]],Lookups!$A$37:$C$44,3,FALSE),1)</f>
        <v>0.97383723671140243</v>
      </c>
      <c r="BV1102" s="4">
        <f>IF(Grandview_Inventory[[#This Row],[bldg_style]]="",1,_xlfn.IFNA(VLOOKUP(Grandview_Inventory[[#This Row],[decade]],Lookups!$F$29:$H$43,3,FALSE),1))</f>
        <v>0.96737494181490646</v>
      </c>
      <c r="BW1102" s="4">
        <f>_xlfn.IFNA(VLOOKUP(Grandview_Inventory[[#This Row],[living_area_range]],Lookups!$F$47:$H$56,3,FALSE),1)</f>
        <v>0.96120133463014379</v>
      </c>
      <c r="BX1102" s="4">
        <f>AVERAGE(Grandview_Inventory[[#This Row],[qual_adj]:[size_adj]])</f>
        <v>0.96134204983250116</v>
      </c>
      <c r="BY1102" s="6">
        <f>IF(Grandview_Inventory[[#This Row],[pre_res]]&lt;0,0,Grandview_Inventory[[#This Row],[pre_res]]*Grandview_Inventory[[#This Row],[overall_adj]])</f>
        <v>331179.59851989435</v>
      </c>
      <c r="BZ1102" s="6">
        <f>(Grandview_Inventory[[#This Row],[sum_land]]-IF(Grandview_Inventory[[#This Row],[no_utilities]]=1,12000,0))/IF(Grandview_Inventory[[#This Row],[unbuildable]]=1,2,1)</f>
        <v>46638.847281240982</v>
      </c>
      <c r="CA110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02">
        <f>ROUND(Grandview_Inventory[[#This Row],[det_value]]*Lookups!$M$28,-2)</f>
        <v>0</v>
      </c>
      <c r="CC1102">
        <f>IF(ROUND(Grandview_Inventory[[#This Row],[adj_res]]*Lookups!$M$28,-2)&lt;Grandview_Inventory[[#This Row],[min_res]],Grandview_Inventory[[#This Row],[min_res]],ROUND(Grandview_Inventory[[#This Row],[adj_res]]*Lookups!$M$28,-2))</f>
        <v>314600</v>
      </c>
      <c r="CD1102">
        <f>Grandview_Inventory[[#This Row],[final_det]]+Grandview_Inventory[[#This Row],[final_res]]</f>
        <v>314600</v>
      </c>
      <c r="CE1102">
        <f>Grandview_Inventory[[#This Row],[final_land]]+Grandview_Inventory[[#This Row],[final_imp]]+Grandview_Inventory[[#This Row],[crop_value]]</f>
        <v>358900</v>
      </c>
      <c r="CG1102" t="str">
        <f t="shared" si="17"/>
        <v>update valuation set market_land =44300, market_bldg=314600, market_total =358900, market_mdno =401, market_date ='9/10/2023' where link_id = (select link_id from parcel where parcel_year = '2024' and parcel_id = '23092242491');</v>
      </c>
    </row>
    <row r="1103" spans="1:85" x14ac:dyDescent="0.25">
      <c r="A1103">
        <v>23092242492</v>
      </c>
      <c r="B1103">
        <v>0.2</v>
      </c>
      <c r="C1103">
        <v>8860</v>
      </c>
      <c r="D1103" t="s">
        <v>129</v>
      </c>
      <c r="E1103" t="s">
        <v>53</v>
      </c>
      <c r="F1103" t="s">
        <v>53</v>
      </c>
      <c r="G1103">
        <v>4</v>
      </c>
      <c r="H1103" t="s">
        <v>54</v>
      </c>
      <c r="I1103">
        <v>251600</v>
      </c>
      <c r="J1103">
        <v>39300</v>
      </c>
      <c r="K1103">
        <v>0.2</v>
      </c>
      <c r="L110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103">
        <v>0</v>
      </c>
      <c r="N1103">
        <v>0</v>
      </c>
      <c r="O1103">
        <v>0</v>
      </c>
      <c r="P1103">
        <v>13398.7528</v>
      </c>
      <c r="Q1103">
        <v>63903</v>
      </c>
      <c r="R1103">
        <f>(Grandview_Inventory[[#This Row],[ln_acres]]*Grandview_Inventory[[#This Row],[coeff]])+Grandview_Inventory[[#This Row],[const]]</f>
        <v>42338.539264347448</v>
      </c>
      <c r="S1103" t="s">
        <v>58</v>
      </c>
      <c r="T1103">
        <v>1</v>
      </c>
      <c r="U1103" t="s">
        <v>62</v>
      </c>
      <c r="V1103" t="s">
        <v>66</v>
      </c>
      <c r="W1103">
        <v>0</v>
      </c>
      <c r="X1103">
        <v>0</v>
      </c>
      <c r="Y1103">
        <v>14</v>
      </c>
      <c r="Z1103">
        <v>14</v>
      </c>
      <c r="AA1103">
        <v>20</v>
      </c>
      <c r="AB1103">
        <v>2000</v>
      </c>
      <c r="AC1103">
        <v>1536</v>
      </c>
      <c r="AD1103">
        <v>1536</v>
      </c>
      <c r="AE1103">
        <v>0</v>
      </c>
      <c r="AF1103">
        <v>0</v>
      </c>
      <c r="AG1103">
        <v>0</v>
      </c>
      <c r="AH1103">
        <v>0</v>
      </c>
      <c r="AI1103">
        <v>400</v>
      </c>
      <c r="AJ1103">
        <v>0</v>
      </c>
      <c r="AK1103">
        <v>0</v>
      </c>
      <c r="AL1103">
        <v>0</v>
      </c>
      <c r="AM1103">
        <v>192</v>
      </c>
      <c r="AN1103">
        <v>20</v>
      </c>
      <c r="AO1103">
        <v>288</v>
      </c>
      <c r="AP1103">
        <v>10</v>
      </c>
      <c r="AQ1103">
        <v>0</v>
      </c>
      <c r="AR1103">
        <v>0</v>
      </c>
      <c r="AS1103" t="s">
        <v>58</v>
      </c>
      <c r="AT1103">
        <v>1</v>
      </c>
      <c r="AU1103" t="s">
        <v>63</v>
      </c>
      <c r="AV1103" t="s">
        <v>60</v>
      </c>
      <c r="AW1103">
        <v>1</v>
      </c>
      <c r="AX1103">
        <v>3</v>
      </c>
      <c r="AY1103">
        <v>0</v>
      </c>
      <c r="AZ1103">
        <v>0</v>
      </c>
      <c r="BA1103">
        <v>100</v>
      </c>
      <c r="BB1103">
        <v>100</v>
      </c>
      <c r="BC1103">
        <v>100</v>
      </c>
      <c r="BD1103">
        <v>100</v>
      </c>
      <c r="BE1103">
        <v>1</v>
      </c>
      <c r="BF1103">
        <v>15000</v>
      </c>
      <c r="BG1103">
        <v>1000</v>
      </c>
      <c r="BH1103" s="6">
        <f>Grandview_Inventory[[#This Row],[land_extract]]*Lookups!$B$3</f>
        <v>49167.631333630678</v>
      </c>
      <c r="BI1103" s="6">
        <f>IF(Grandview_Inventory[[#This Row],[bldg_style]]="",0,Lookups!$B$2)</f>
        <v>155833.95000000001</v>
      </c>
      <c r="BJ1103" s="6">
        <f>_xlfn.IFNA(VLOOKUP(Grandview_Inventory[[#This Row],[quality]],Lookups!$H$2:$J$14,3,FALSE),0)</f>
        <v>9808</v>
      </c>
      <c r="BK1103" s="6">
        <f>_xlfn.IFNA(VLOOKUP(Grandview_Inventory[[#This Row],[condition]],Lookups!$H$17:$J$24,3,FALSE),0)</f>
        <v>25818</v>
      </c>
      <c r="BL1103" s="6">
        <f>Grandview_Inventory[[#This Row],[Eff_Age]]*Lookups!$B$14</f>
        <v>-3348.3323999999998</v>
      </c>
      <c r="BM1103" s="6">
        <f>Grandview_Inventory[[#This Row],[living_area]]*Lookups!$B$15</f>
        <v>95816.990208000003</v>
      </c>
      <c r="BN1103" s="6">
        <f>Grandview_Inventory[[#This Row],[Fin BSMT]]*Lookups!$B$16</f>
        <v>0</v>
      </c>
      <c r="BO1103" s="6">
        <f>(Grandview_Inventory[[#This Row],[att_gar]]+Grandview_Inventory[[#This Row],[bltin_gar]])*Lookups!$B$17</f>
        <v>35008.174800000001</v>
      </c>
      <c r="BP1103" s="6">
        <f>Grandview_Inventory[[#This Row],[Plumbing Fixtures]]*Lookups!$B$18</f>
        <v>20104.418000000001</v>
      </c>
      <c r="BQ1103" s="6">
        <f>Grandview_Inventory[[#This Row],[detatched_value]]*Lookups!$B$19</f>
        <v>0</v>
      </c>
      <c r="BR1103" s="6">
        <f>SUM(Grandview_Inventory[[#This Row],[Intercept]:[det_value]])*Grandview_Inventory[[#This Row],[res_pct]]</f>
        <v>339041.20060799998</v>
      </c>
      <c r="BS1103" s="6">
        <f>Grandview_Inventory[[#This Row],[land_value]]</f>
        <v>49167.631333630678</v>
      </c>
      <c r="BT1103" s="4">
        <f>_xlfn.IFNA(VLOOKUP(Grandview_Inventory[[#This Row],[quality]],Lookups!$A$26:$C$33,3,FALSE),1)</f>
        <v>0.94295468617355149</v>
      </c>
      <c r="BU1103" s="4">
        <f>_xlfn.IFNA(VLOOKUP(Grandview_Inventory[[#This Row],[condition]],Lookups!$A$37:$C$44,3,FALSE),1)</f>
        <v>0.96661476234146892</v>
      </c>
      <c r="BV1103" s="4">
        <f>IF(Grandview_Inventory[[#This Row],[bldg_style]]="",1,_xlfn.IFNA(VLOOKUP(Grandview_Inventory[[#This Row],[decade]],Lookups!$F$29:$H$43,3,FALSE),1))</f>
        <v>0.96737494181490646</v>
      </c>
      <c r="BW1103" s="4">
        <f>_xlfn.IFNA(VLOOKUP(Grandview_Inventory[[#This Row],[living_area_range]],Lookups!$F$47:$H$56,3,FALSE),1)</f>
        <v>0.96120133463014379</v>
      </c>
      <c r="BX1103" s="4">
        <f>AVERAGE(Grandview_Inventory[[#This Row],[qual_adj]:[size_adj]])</f>
        <v>0.95953643124001764</v>
      </c>
      <c r="BY1103" s="6">
        <f>IF(Grandview_Inventory[[#This Row],[pre_res]]&lt;0,0,Grandview_Inventory[[#This Row],[pre_res]]*Grandview_Inventory[[#This Row],[overall_adj]])</f>
        <v>325322.38367473119</v>
      </c>
      <c r="BZ1103" s="6">
        <f>(Grandview_Inventory[[#This Row],[sum_land]]-IF(Grandview_Inventory[[#This Row],[no_utilities]]=1,12000,0))/IF(Grandview_Inventory[[#This Row],[unbuildable]]=1,2,1)</f>
        <v>49167.631333630678</v>
      </c>
      <c r="CA110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103">
        <f>ROUND(Grandview_Inventory[[#This Row],[det_value]]*Lookups!$M$28,-2)</f>
        <v>0</v>
      </c>
      <c r="CC1103">
        <f>IF(ROUND(Grandview_Inventory[[#This Row],[adj_res]]*Lookups!$M$28,-2)&lt;Grandview_Inventory[[#This Row],[min_res]],Grandview_Inventory[[#This Row],[min_res]],ROUND(Grandview_Inventory[[#This Row],[adj_res]]*Lookups!$M$28,-2))</f>
        <v>309100</v>
      </c>
      <c r="CD1103">
        <f>Grandview_Inventory[[#This Row],[final_det]]+Grandview_Inventory[[#This Row],[final_res]]</f>
        <v>309100</v>
      </c>
      <c r="CE1103">
        <f>Grandview_Inventory[[#This Row],[final_land]]+Grandview_Inventory[[#This Row],[final_imp]]+Grandview_Inventory[[#This Row],[crop_value]]</f>
        <v>355800</v>
      </c>
      <c r="CG1103" t="str">
        <f t="shared" si="17"/>
        <v>update valuation set market_land =46700, market_bldg=309100, market_total =355800, market_mdno =401, market_date ='9/10/2023' where link_id = (select link_id from parcel where parcel_year = '2024' and parcel_id = '23092242492');</v>
      </c>
    </row>
    <row r="1104" spans="1:85" x14ac:dyDescent="0.25">
      <c r="A1104">
        <v>23092242506</v>
      </c>
      <c r="B1104">
        <v>0.17</v>
      </c>
      <c r="C1104">
        <v>7381</v>
      </c>
      <c r="D1104" t="s">
        <v>129</v>
      </c>
      <c r="E1104" t="s">
        <v>53</v>
      </c>
      <c r="F1104" t="s">
        <v>53</v>
      </c>
      <c r="G1104">
        <v>4</v>
      </c>
      <c r="H1104" t="s">
        <v>54</v>
      </c>
      <c r="I1104">
        <v>230700</v>
      </c>
      <c r="J1104">
        <v>43000</v>
      </c>
      <c r="K1104">
        <v>0.17</v>
      </c>
      <c r="L110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04">
        <v>0</v>
      </c>
      <c r="N1104">
        <v>0</v>
      </c>
      <c r="O1104">
        <v>0</v>
      </c>
      <c r="P1104">
        <v>13398.7528</v>
      </c>
      <c r="Q1104">
        <v>63903</v>
      </c>
      <c r="R1104">
        <f>(Grandview_Inventory[[#This Row],[ln_acres]]*Grandview_Inventory[[#This Row],[coeff]])+Grandview_Inventory[[#This Row],[const]]</f>
        <v>40160.988302686128</v>
      </c>
      <c r="S1104" t="s">
        <v>61</v>
      </c>
      <c r="T1104">
        <v>1</v>
      </c>
      <c r="U1104" t="s">
        <v>62</v>
      </c>
      <c r="V1104" t="s">
        <v>66</v>
      </c>
      <c r="W1104">
        <v>0</v>
      </c>
      <c r="X1104">
        <v>0</v>
      </c>
      <c r="Y1104">
        <v>17</v>
      </c>
      <c r="Z1104">
        <v>17</v>
      </c>
      <c r="AA1104">
        <v>20</v>
      </c>
      <c r="AB1104">
        <v>1500</v>
      </c>
      <c r="AC1104">
        <v>1157</v>
      </c>
      <c r="AD1104">
        <v>1157</v>
      </c>
      <c r="AE1104">
        <v>0</v>
      </c>
      <c r="AF1104">
        <v>0</v>
      </c>
      <c r="AG1104">
        <v>0</v>
      </c>
      <c r="AH1104">
        <v>0</v>
      </c>
      <c r="AI1104">
        <v>440</v>
      </c>
      <c r="AJ1104">
        <v>0</v>
      </c>
      <c r="AK1104">
        <v>0</v>
      </c>
      <c r="AL1104">
        <v>0</v>
      </c>
      <c r="AM1104">
        <v>0</v>
      </c>
      <c r="AN1104">
        <v>48</v>
      </c>
      <c r="AO1104">
        <v>0</v>
      </c>
      <c r="AP1104">
        <v>9</v>
      </c>
      <c r="AQ1104">
        <v>0</v>
      </c>
      <c r="AR1104">
        <v>0</v>
      </c>
      <c r="AS1104" t="s">
        <v>58</v>
      </c>
      <c r="AT1104">
        <v>1</v>
      </c>
      <c r="AU1104" t="s">
        <v>63</v>
      </c>
      <c r="AV1104" t="s">
        <v>64</v>
      </c>
      <c r="AW1104">
        <v>1</v>
      </c>
      <c r="AX1104">
        <v>4</v>
      </c>
      <c r="AY1104">
        <v>0</v>
      </c>
      <c r="AZ1104">
        <v>0</v>
      </c>
      <c r="BA1104">
        <v>100</v>
      </c>
      <c r="BB1104">
        <v>100</v>
      </c>
      <c r="BC1104">
        <v>100</v>
      </c>
      <c r="BD1104">
        <v>100</v>
      </c>
      <c r="BE1104">
        <v>1</v>
      </c>
      <c r="BF1104">
        <v>15000</v>
      </c>
      <c r="BG1104">
        <v>1000</v>
      </c>
      <c r="BH1104" s="6">
        <f>Grandview_Inventory[[#This Row],[land_extract]]*Lookups!$B$3</f>
        <v>46638.847281240982</v>
      </c>
      <c r="BI1104" s="6">
        <f>IF(Grandview_Inventory[[#This Row],[bldg_style]]="",0,Lookups!$B$2)</f>
        <v>155833.95000000001</v>
      </c>
      <c r="BJ1104" s="6">
        <f>_xlfn.IFNA(VLOOKUP(Grandview_Inventory[[#This Row],[quality]],Lookups!$H$2:$J$14,3,FALSE),0)</f>
        <v>9808</v>
      </c>
      <c r="BK1104" s="6">
        <f>_xlfn.IFNA(VLOOKUP(Grandview_Inventory[[#This Row],[condition]],Lookups!$H$17:$J$24,3,FALSE),0)</f>
        <v>25818</v>
      </c>
      <c r="BL1104" s="6">
        <f>Grandview_Inventory[[#This Row],[Eff_Age]]*Lookups!$B$14</f>
        <v>-4065.8321999999998</v>
      </c>
      <c r="BM1104" s="6">
        <f>Grandview_Inventory[[#This Row],[living_area]]*Lookups!$B$15</f>
        <v>72174.646921000007</v>
      </c>
      <c r="BN1104" s="6">
        <f>Grandview_Inventory[[#This Row],[Fin BSMT]]*Lookups!$B$16</f>
        <v>0</v>
      </c>
      <c r="BO1104" s="6">
        <f>(Grandview_Inventory[[#This Row],[att_gar]]+Grandview_Inventory[[#This Row],[bltin_gar]])*Lookups!$B$17</f>
        <v>38508.992279999999</v>
      </c>
      <c r="BP1104" s="6">
        <f>Grandview_Inventory[[#This Row],[Plumbing Fixtures]]*Lookups!$B$18</f>
        <v>18093.976200000001</v>
      </c>
      <c r="BQ1104" s="6">
        <f>Grandview_Inventory[[#This Row],[detatched_value]]*Lookups!$B$19</f>
        <v>0</v>
      </c>
      <c r="BR1104" s="6">
        <f>SUM(Grandview_Inventory[[#This Row],[Intercept]:[det_value]])*Grandview_Inventory[[#This Row],[res_pct]]</f>
        <v>316171.73320099997</v>
      </c>
      <c r="BS1104" s="6">
        <f>Grandview_Inventory[[#This Row],[land_value]]</f>
        <v>46638.847281240982</v>
      </c>
      <c r="BT1104" s="4">
        <f>_xlfn.IFNA(VLOOKUP(Grandview_Inventory[[#This Row],[quality]],Lookups!$A$26:$C$33,3,FALSE),1)</f>
        <v>0.94295468617355149</v>
      </c>
      <c r="BU1104" s="4">
        <f>_xlfn.IFNA(VLOOKUP(Grandview_Inventory[[#This Row],[condition]],Lookups!$A$37:$C$44,3,FALSE),1)</f>
        <v>0.96661476234146892</v>
      </c>
      <c r="BV1104" s="4">
        <f>IF(Grandview_Inventory[[#This Row],[bldg_style]]="",1,_xlfn.IFNA(VLOOKUP(Grandview_Inventory[[#This Row],[decade]],Lookups!$F$29:$H$43,3,FALSE),1))</f>
        <v>0.96737494181490646</v>
      </c>
      <c r="BW1104" s="4">
        <f>_xlfn.IFNA(VLOOKUP(Grandview_Inventory[[#This Row],[living_area_range]],Lookups!$F$47:$H$56,3,FALSE),1)</f>
        <v>0.96135087979789358</v>
      </c>
      <c r="BX1104" s="4">
        <f>AVERAGE(Grandview_Inventory[[#This Row],[qual_adj]:[size_adj]])</f>
        <v>0.95957381753195514</v>
      </c>
      <c r="BY1104" s="6">
        <f>IF(Grandview_Inventory[[#This Row],[pre_res]]&lt;0,0,Grandview_Inventory[[#This Row],[pre_res]]*Grandview_Inventory[[#This Row],[overall_adj]])</f>
        <v>303390.11702337832</v>
      </c>
      <c r="BZ1104" s="6">
        <f>(Grandview_Inventory[[#This Row],[sum_land]]-IF(Grandview_Inventory[[#This Row],[no_utilities]]=1,12000,0))/IF(Grandview_Inventory[[#This Row],[unbuildable]]=1,2,1)</f>
        <v>46638.847281240982</v>
      </c>
      <c r="CA110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04">
        <f>ROUND(Grandview_Inventory[[#This Row],[det_value]]*Lookups!$M$28,-2)</f>
        <v>0</v>
      </c>
      <c r="CC1104">
        <f>IF(ROUND(Grandview_Inventory[[#This Row],[adj_res]]*Lookups!$M$28,-2)&lt;Grandview_Inventory[[#This Row],[min_res]],Grandview_Inventory[[#This Row],[min_res]],ROUND(Grandview_Inventory[[#This Row],[adj_res]]*Lookups!$M$28,-2))</f>
        <v>288200</v>
      </c>
      <c r="CD1104">
        <f>Grandview_Inventory[[#This Row],[final_det]]+Grandview_Inventory[[#This Row],[final_res]]</f>
        <v>288200</v>
      </c>
      <c r="CE1104">
        <f>Grandview_Inventory[[#This Row],[final_land]]+Grandview_Inventory[[#This Row],[final_imp]]+Grandview_Inventory[[#This Row],[crop_value]]</f>
        <v>332500</v>
      </c>
      <c r="CG1104" t="str">
        <f t="shared" si="17"/>
        <v>update valuation set market_land =44300, market_bldg=288200, market_total =332500, market_mdno =401, market_date ='9/10/2023' where link_id = (select link_id from parcel where parcel_year = '2024' and parcel_id = '23092242506');</v>
      </c>
    </row>
    <row r="1105" spans="1:85" x14ac:dyDescent="0.25">
      <c r="A1105">
        <v>23092242507</v>
      </c>
      <c r="B1105">
        <v>0.24</v>
      </c>
      <c r="C1105">
        <v>10559</v>
      </c>
      <c r="D1105" t="s">
        <v>129</v>
      </c>
      <c r="E1105" t="s">
        <v>53</v>
      </c>
      <c r="F1105" t="s">
        <v>53</v>
      </c>
      <c r="G1105">
        <v>4</v>
      </c>
      <c r="H1105" t="s">
        <v>54</v>
      </c>
      <c r="I1105">
        <v>176700</v>
      </c>
      <c r="J1105">
        <v>39800</v>
      </c>
      <c r="K1105">
        <v>0.24</v>
      </c>
      <c r="L110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105">
        <v>0</v>
      </c>
      <c r="N1105">
        <v>0</v>
      </c>
      <c r="O1105">
        <v>0</v>
      </c>
      <c r="P1105">
        <v>13398.7528</v>
      </c>
      <c r="Q1105">
        <v>63903</v>
      </c>
      <c r="R1105">
        <f>(Grandview_Inventory[[#This Row],[ln_acres]]*Grandview_Inventory[[#This Row],[coeff]])+Grandview_Inventory[[#This Row],[const]]</f>
        <v>44781.420733940802</v>
      </c>
      <c r="S1105" t="s">
        <v>61</v>
      </c>
      <c r="T1105">
        <v>1</v>
      </c>
      <c r="U1105" t="s">
        <v>62</v>
      </c>
      <c r="V1105" t="s">
        <v>69</v>
      </c>
      <c r="W1105">
        <v>0</v>
      </c>
      <c r="X1105">
        <v>0</v>
      </c>
      <c r="Y1105">
        <v>17</v>
      </c>
      <c r="Z1105">
        <v>17</v>
      </c>
      <c r="AA1105">
        <v>20</v>
      </c>
      <c r="AB1105">
        <v>1500</v>
      </c>
      <c r="AC1105">
        <v>1128</v>
      </c>
      <c r="AD1105">
        <v>1128</v>
      </c>
      <c r="AE1105">
        <v>0</v>
      </c>
      <c r="AF1105">
        <v>0</v>
      </c>
      <c r="AG1105">
        <v>0</v>
      </c>
      <c r="AH1105">
        <v>0</v>
      </c>
      <c r="AI1105">
        <v>520</v>
      </c>
      <c r="AJ1105">
        <v>0</v>
      </c>
      <c r="AK1105">
        <v>0</v>
      </c>
      <c r="AL1105">
        <v>0</v>
      </c>
      <c r="AM1105">
        <v>100</v>
      </c>
      <c r="AN1105">
        <v>36</v>
      </c>
      <c r="AO1105">
        <v>0</v>
      </c>
      <c r="AP1105">
        <v>9</v>
      </c>
      <c r="AQ1105">
        <v>0</v>
      </c>
      <c r="AR1105">
        <v>0</v>
      </c>
      <c r="AS1105" t="s">
        <v>58</v>
      </c>
      <c r="AT1105">
        <v>1</v>
      </c>
      <c r="AU1105" t="s">
        <v>63</v>
      </c>
      <c r="AV1105" t="s">
        <v>64</v>
      </c>
      <c r="AW1105">
        <v>1</v>
      </c>
      <c r="AX1105">
        <v>3</v>
      </c>
      <c r="AY1105">
        <v>0</v>
      </c>
      <c r="AZ1105">
        <v>0</v>
      </c>
      <c r="BA1105">
        <v>100</v>
      </c>
      <c r="BB1105">
        <v>100</v>
      </c>
      <c r="BC1105">
        <v>100</v>
      </c>
      <c r="BD1105">
        <v>100</v>
      </c>
      <c r="BE1105">
        <v>1</v>
      </c>
      <c r="BF1105">
        <v>15000</v>
      </c>
      <c r="BG1105">
        <v>1000</v>
      </c>
      <c r="BH1105" s="6">
        <f>Grandview_Inventory[[#This Row],[land_extract]]*Lookups!$B$3</f>
        <v>52004.542988489469</v>
      </c>
      <c r="BI1105" s="6">
        <f>IF(Grandview_Inventory[[#This Row],[bldg_style]]="",0,Lookups!$B$2)</f>
        <v>155833.95000000001</v>
      </c>
      <c r="BJ1105" s="6">
        <f>_xlfn.IFNA(VLOOKUP(Grandview_Inventory[[#This Row],[quality]],Lookups!$H$2:$J$14,3,FALSE),0)</f>
        <v>9808</v>
      </c>
      <c r="BK1105" s="6">
        <f>_xlfn.IFNA(VLOOKUP(Grandview_Inventory[[#This Row],[condition]],Lookups!$H$17:$J$24,3,FALSE),0)</f>
        <v>-4503</v>
      </c>
      <c r="BL1105" s="6">
        <f>Grandview_Inventory[[#This Row],[Eff_Age]]*Lookups!$B$14</f>
        <v>-4065.8321999999998</v>
      </c>
      <c r="BM1105" s="6">
        <f>Grandview_Inventory[[#This Row],[living_area]]*Lookups!$B$15</f>
        <v>70365.602184000003</v>
      </c>
      <c r="BN1105" s="6">
        <f>Grandview_Inventory[[#This Row],[Fin BSMT]]*Lookups!$B$16</f>
        <v>0</v>
      </c>
      <c r="BO1105" s="6">
        <f>(Grandview_Inventory[[#This Row],[att_gar]]+Grandview_Inventory[[#This Row],[bltin_gar]])*Lookups!$B$17</f>
        <v>45510.627240000002</v>
      </c>
      <c r="BP1105" s="6">
        <f>Grandview_Inventory[[#This Row],[Plumbing Fixtures]]*Lookups!$B$18</f>
        <v>18093.976200000001</v>
      </c>
      <c r="BQ1105" s="6">
        <f>Grandview_Inventory[[#This Row],[detatched_value]]*Lookups!$B$19</f>
        <v>0</v>
      </c>
      <c r="BR1105" s="6">
        <f>SUM(Grandview_Inventory[[#This Row],[Intercept]:[det_value]])*Grandview_Inventory[[#This Row],[res_pct]]</f>
        <v>291043.323424</v>
      </c>
      <c r="BS1105" s="6">
        <f>Grandview_Inventory[[#This Row],[land_value]]</f>
        <v>52004.542988489469</v>
      </c>
      <c r="BT1105" s="4">
        <f>_xlfn.IFNA(VLOOKUP(Grandview_Inventory[[#This Row],[quality]],Lookups!$A$26:$C$33,3,FALSE),1)</f>
        <v>0.94295468617355149</v>
      </c>
      <c r="BU1105" s="4">
        <f>_xlfn.IFNA(VLOOKUP(Grandview_Inventory[[#This Row],[condition]],Lookups!$A$37:$C$44,3,FALSE),1)</f>
        <v>0.96469275950863709</v>
      </c>
      <c r="BV1105" s="4">
        <f>IF(Grandview_Inventory[[#This Row],[bldg_style]]="",1,_xlfn.IFNA(VLOOKUP(Grandview_Inventory[[#This Row],[decade]],Lookups!$F$29:$H$43,3,FALSE),1))</f>
        <v>0.96737494181490646</v>
      </c>
      <c r="BW1105" s="4">
        <f>_xlfn.IFNA(VLOOKUP(Grandview_Inventory[[#This Row],[living_area_range]],Lookups!$F$47:$H$56,3,FALSE),1)</f>
        <v>0.96135087979789358</v>
      </c>
      <c r="BX1105" s="4">
        <f>AVERAGE(Grandview_Inventory[[#This Row],[qual_adj]:[size_adj]])</f>
        <v>0.95909331682374721</v>
      </c>
      <c r="BY1105" s="6">
        <f>IF(Grandview_Inventory[[#This Row],[pre_res]]&lt;0,0,Grandview_Inventory[[#This Row],[pre_res]]*Grandview_Inventory[[#This Row],[overall_adj]])</f>
        <v>279137.70640213077</v>
      </c>
      <c r="BZ1105" s="6">
        <f>(Grandview_Inventory[[#This Row],[sum_land]]-IF(Grandview_Inventory[[#This Row],[no_utilities]]=1,12000,0))/IF(Grandview_Inventory[[#This Row],[unbuildable]]=1,2,1)</f>
        <v>52004.542988489469</v>
      </c>
      <c r="CA110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105">
        <f>ROUND(Grandview_Inventory[[#This Row],[det_value]]*Lookups!$M$28,-2)</f>
        <v>0</v>
      </c>
      <c r="CC1105">
        <f>IF(ROUND(Grandview_Inventory[[#This Row],[adj_res]]*Lookups!$M$28,-2)&lt;Grandview_Inventory[[#This Row],[min_res]],Grandview_Inventory[[#This Row],[min_res]],ROUND(Grandview_Inventory[[#This Row],[adj_res]]*Lookups!$M$28,-2))</f>
        <v>265200</v>
      </c>
      <c r="CD1105">
        <f>Grandview_Inventory[[#This Row],[final_det]]+Grandview_Inventory[[#This Row],[final_res]]</f>
        <v>265200</v>
      </c>
      <c r="CE1105">
        <f>Grandview_Inventory[[#This Row],[final_land]]+Grandview_Inventory[[#This Row],[final_imp]]+Grandview_Inventory[[#This Row],[crop_value]]</f>
        <v>314600</v>
      </c>
      <c r="CG1105" t="str">
        <f t="shared" si="17"/>
        <v>update valuation set market_land =49400, market_bldg=265200, market_total =314600, market_mdno =401, market_date ='9/10/2023' where link_id = (select link_id from parcel where parcel_year = '2024' and parcel_id = '23092242507');</v>
      </c>
    </row>
    <row r="1106" spans="1:85" x14ac:dyDescent="0.25">
      <c r="A1106">
        <v>23092242508</v>
      </c>
      <c r="B1106">
        <v>0.19</v>
      </c>
      <c r="C1106">
        <v>8217</v>
      </c>
      <c r="D1106" t="s">
        <v>129</v>
      </c>
      <c r="E1106" t="s">
        <v>53</v>
      </c>
      <c r="F1106" t="s">
        <v>53</v>
      </c>
      <c r="G1106">
        <v>4</v>
      </c>
      <c r="H1106" t="s">
        <v>54</v>
      </c>
      <c r="I1106">
        <v>273900</v>
      </c>
      <c r="J1106">
        <v>39100</v>
      </c>
      <c r="K1106">
        <v>0.19</v>
      </c>
      <c r="L110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106">
        <v>0</v>
      </c>
      <c r="N1106">
        <v>0</v>
      </c>
      <c r="O1106">
        <v>0</v>
      </c>
      <c r="P1106">
        <v>13398.7528</v>
      </c>
      <c r="Q1106">
        <v>63903</v>
      </c>
      <c r="R1106">
        <f>(Grandview_Inventory[[#This Row],[ln_acres]]*Grandview_Inventory[[#This Row],[coeff]])+Grandview_Inventory[[#This Row],[const]]</f>
        <v>41651.273092551026</v>
      </c>
      <c r="S1106" t="s">
        <v>55</v>
      </c>
      <c r="T1106">
        <v>2</v>
      </c>
      <c r="U1106" t="s">
        <v>62</v>
      </c>
      <c r="V1106" t="s">
        <v>67</v>
      </c>
      <c r="W1106">
        <v>0</v>
      </c>
      <c r="X1106">
        <v>0</v>
      </c>
      <c r="Y1106">
        <v>17</v>
      </c>
      <c r="Z1106">
        <v>17</v>
      </c>
      <c r="AA1106">
        <v>20</v>
      </c>
      <c r="AB1106">
        <v>2500</v>
      </c>
      <c r="AC1106">
        <v>2219</v>
      </c>
      <c r="AD1106">
        <v>857</v>
      </c>
      <c r="AE1106">
        <v>1362</v>
      </c>
      <c r="AF1106">
        <v>0</v>
      </c>
      <c r="AG1106">
        <v>0</v>
      </c>
      <c r="AH1106">
        <v>0</v>
      </c>
      <c r="AI1106">
        <v>0</v>
      </c>
      <c r="AJ1106">
        <v>505</v>
      </c>
      <c r="AK1106">
        <v>0</v>
      </c>
      <c r="AL1106">
        <v>0</v>
      </c>
      <c r="AM1106">
        <v>400</v>
      </c>
      <c r="AN1106">
        <v>109</v>
      </c>
      <c r="AO1106">
        <v>0</v>
      </c>
      <c r="AP1106">
        <v>11</v>
      </c>
      <c r="AQ1106">
        <v>0</v>
      </c>
      <c r="AR1106">
        <v>0</v>
      </c>
      <c r="AS1106" t="s">
        <v>58</v>
      </c>
      <c r="AT1106">
        <v>1</v>
      </c>
      <c r="AU1106" t="s">
        <v>63</v>
      </c>
      <c r="AV1106" t="s">
        <v>64</v>
      </c>
      <c r="AW1106">
        <v>1</v>
      </c>
      <c r="AX1106">
        <v>3</v>
      </c>
      <c r="AY1106">
        <v>0</v>
      </c>
      <c r="AZ1106">
        <v>0</v>
      </c>
      <c r="BA1106">
        <v>100</v>
      </c>
      <c r="BB1106">
        <v>100</v>
      </c>
      <c r="BC1106">
        <v>100</v>
      </c>
      <c r="BD1106">
        <v>100</v>
      </c>
      <c r="BE1106">
        <v>1</v>
      </c>
      <c r="BF1106">
        <v>15000</v>
      </c>
      <c r="BG1106">
        <v>1000</v>
      </c>
      <c r="BH1106" s="6">
        <f>Grandview_Inventory[[#This Row],[land_extract]]*Lookups!$B$3</f>
        <v>48369.510983942157</v>
      </c>
      <c r="BI1106" s="6">
        <f>IF(Grandview_Inventory[[#This Row],[bldg_style]]="",0,Lookups!$B$2)</f>
        <v>155833.95000000001</v>
      </c>
      <c r="BJ1106" s="6">
        <f>_xlfn.IFNA(VLOOKUP(Grandview_Inventory[[#This Row],[quality]],Lookups!$H$2:$J$14,3,FALSE),0)</f>
        <v>9808</v>
      </c>
      <c r="BK1106" s="6">
        <f>_xlfn.IFNA(VLOOKUP(Grandview_Inventory[[#This Row],[condition]],Lookups!$H$17:$J$24,3,FALSE),0)</f>
        <v>22342</v>
      </c>
      <c r="BL1106" s="6">
        <f>Grandview_Inventory[[#This Row],[Eff_Age]]*Lookups!$B$14</f>
        <v>-4065.8321999999998</v>
      </c>
      <c r="BM1106" s="6">
        <f>Grandview_Inventory[[#This Row],[living_area]]*Lookups!$B$15</f>
        <v>138423.112807</v>
      </c>
      <c r="BN1106" s="6">
        <f>Grandview_Inventory[[#This Row],[Fin BSMT]]*Lookups!$B$16</f>
        <v>0</v>
      </c>
      <c r="BO1106" s="6">
        <f>(Grandview_Inventory[[#This Row],[att_gar]]+Grandview_Inventory[[#This Row],[bltin_gar]])*Lookups!$B$17</f>
        <v>44197.820684999999</v>
      </c>
      <c r="BP1106" s="6">
        <f>Grandview_Inventory[[#This Row],[Plumbing Fixtures]]*Lookups!$B$18</f>
        <v>22114.859800000002</v>
      </c>
      <c r="BQ1106" s="6">
        <f>Grandview_Inventory[[#This Row],[detatched_value]]*Lookups!$B$19</f>
        <v>0</v>
      </c>
      <c r="BR1106" s="6">
        <f>SUM(Grandview_Inventory[[#This Row],[Intercept]:[det_value]])*Grandview_Inventory[[#This Row],[res_pct]]</f>
        <v>388653.91109199997</v>
      </c>
      <c r="BS1106" s="6">
        <f>Grandview_Inventory[[#This Row],[land_value]]</f>
        <v>48369.510983942157</v>
      </c>
      <c r="BT1106" s="4">
        <f>_xlfn.IFNA(VLOOKUP(Grandview_Inventory[[#This Row],[quality]],Lookups!$A$26:$C$33,3,FALSE),1)</f>
        <v>0.94295468617355149</v>
      </c>
      <c r="BU1106" s="4">
        <f>_xlfn.IFNA(VLOOKUP(Grandview_Inventory[[#This Row],[condition]],Lookups!$A$37:$C$44,3,FALSE),1)</f>
        <v>0.97383723671140243</v>
      </c>
      <c r="BV1106" s="4">
        <f>IF(Grandview_Inventory[[#This Row],[bldg_style]]="",1,_xlfn.IFNA(VLOOKUP(Grandview_Inventory[[#This Row],[decade]],Lookups!$F$29:$H$43,3,FALSE),1))</f>
        <v>0.96737494181490646</v>
      </c>
      <c r="BW1106" s="4">
        <f>_xlfn.IFNA(VLOOKUP(Grandview_Inventory[[#This Row],[living_area_range]],Lookups!$F$47:$H$56,3,FALSE),1)</f>
        <v>0.95799442568048754</v>
      </c>
      <c r="BX1106" s="4">
        <f>AVERAGE(Grandview_Inventory[[#This Row],[qual_adj]:[size_adj]])</f>
        <v>0.96054032259508704</v>
      </c>
      <c r="BY1106" s="6">
        <f>IF(Grandview_Inventory[[#This Row],[pre_res]]&lt;0,0,Grandview_Inventory[[#This Row],[pre_res]]*Grandview_Inventory[[#This Row],[overall_adj]])</f>
        <v>373317.75313815195</v>
      </c>
      <c r="BZ1106" s="6">
        <f>(Grandview_Inventory[[#This Row],[sum_land]]-IF(Grandview_Inventory[[#This Row],[no_utilities]]=1,12000,0))/IF(Grandview_Inventory[[#This Row],[unbuildable]]=1,2,1)</f>
        <v>48369.510983942157</v>
      </c>
      <c r="CA110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106">
        <f>ROUND(Grandview_Inventory[[#This Row],[det_value]]*Lookups!$M$28,-2)</f>
        <v>0</v>
      </c>
      <c r="CC1106">
        <f>IF(ROUND(Grandview_Inventory[[#This Row],[adj_res]]*Lookups!$M$28,-2)&lt;Grandview_Inventory[[#This Row],[min_res]],Grandview_Inventory[[#This Row],[min_res]],ROUND(Grandview_Inventory[[#This Row],[adj_res]]*Lookups!$M$28,-2))</f>
        <v>354700</v>
      </c>
      <c r="CD1106">
        <f>Grandview_Inventory[[#This Row],[final_det]]+Grandview_Inventory[[#This Row],[final_res]]</f>
        <v>354700</v>
      </c>
      <c r="CE1106">
        <f>Grandview_Inventory[[#This Row],[final_land]]+Grandview_Inventory[[#This Row],[final_imp]]+Grandview_Inventory[[#This Row],[crop_value]]</f>
        <v>400700</v>
      </c>
      <c r="CG1106" t="str">
        <f t="shared" si="17"/>
        <v>update valuation set market_land =46000, market_bldg=354700, market_total =400700, market_mdno =401, market_date ='9/10/2023' where link_id = (select link_id from parcel where parcel_year = '2024' and parcel_id = '23092242508');</v>
      </c>
    </row>
    <row r="1107" spans="1:85" x14ac:dyDescent="0.25">
      <c r="A1107">
        <v>23092242509</v>
      </c>
      <c r="B1107">
        <v>0.22</v>
      </c>
      <c r="C1107">
        <v>9604</v>
      </c>
      <c r="D1107" t="s">
        <v>129</v>
      </c>
      <c r="E1107" t="s">
        <v>53</v>
      </c>
      <c r="F1107" t="s">
        <v>53</v>
      </c>
      <c r="G1107">
        <v>4</v>
      </c>
      <c r="H1107" t="s">
        <v>54</v>
      </c>
      <c r="I1107">
        <v>225400</v>
      </c>
      <c r="J1107">
        <v>39500</v>
      </c>
      <c r="K1107">
        <v>0.22</v>
      </c>
      <c r="L110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107">
        <v>0</v>
      </c>
      <c r="N1107">
        <v>0</v>
      </c>
      <c r="O1107">
        <v>0</v>
      </c>
      <c r="P1107">
        <v>13398.7528</v>
      </c>
      <c r="Q1107">
        <v>63903</v>
      </c>
      <c r="R1107">
        <f>(Grandview_Inventory[[#This Row],[ln_acres]]*Grandview_Inventory[[#This Row],[coeff]])+Grandview_Inventory[[#This Row],[const]]</f>
        <v>43615.576802869145</v>
      </c>
      <c r="S1107" t="s">
        <v>61</v>
      </c>
      <c r="T1107">
        <v>1</v>
      </c>
      <c r="U1107" t="s">
        <v>62</v>
      </c>
      <c r="V1107" t="s">
        <v>66</v>
      </c>
      <c r="W1107">
        <v>0</v>
      </c>
      <c r="X1107">
        <v>0</v>
      </c>
      <c r="Y1107">
        <v>17</v>
      </c>
      <c r="Z1107">
        <v>17</v>
      </c>
      <c r="AA1107">
        <v>20</v>
      </c>
      <c r="AB1107">
        <v>1500</v>
      </c>
      <c r="AC1107">
        <v>1284</v>
      </c>
      <c r="AD1107">
        <v>1284</v>
      </c>
      <c r="AE1107">
        <v>0</v>
      </c>
      <c r="AF1107">
        <v>0</v>
      </c>
      <c r="AG1107">
        <v>0</v>
      </c>
      <c r="AH1107">
        <v>0</v>
      </c>
      <c r="AI1107">
        <v>520</v>
      </c>
      <c r="AJ1107">
        <v>0</v>
      </c>
      <c r="AK1107">
        <v>0</v>
      </c>
      <c r="AL1107">
        <v>0</v>
      </c>
      <c r="AM1107">
        <v>240</v>
      </c>
      <c r="AN1107">
        <v>132</v>
      </c>
      <c r="AO1107">
        <v>0</v>
      </c>
      <c r="AP1107">
        <v>9</v>
      </c>
      <c r="AQ1107">
        <v>0</v>
      </c>
      <c r="AR1107">
        <v>0</v>
      </c>
      <c r="AS1107" t="s">
        <v>58</v>
      </c>
      <c r="AT1107">
        <v>1</v>
      </c>
      <c r="AU1107" t="s">
        <v>63</v>
      </c>
      <c r="AV1107" t="s">
        <v>64</v>
      </c>
      <c r="AW1107">
        <v>1</v>
      </c>
      <c r="AX1107">
        <v>3</v>
      </c>
      <c r="AY1107">
        <v>0</v>
      </c>
      <c r="AZ1107">
        <v>0</v>
      </c>
      <c r="BA1107">
        <v>100</v>
      </c>
      <c r="BB1107">
        <v>100</v>
      </c>
      <c r="BC1107">
        <v>100</v>
      </c>
      <c r="BD1107">
        <v>100</v>
      </c>
      <c r="BE1107">
        <v>1</v>
      </c>
      <c r="BF1107">
        <v>15000</v>
      </c>
      <c r="BG1107">
        <v>1000</v>
      </c>
      <c r="BH1107" s="6">
        <f>Grandview_Inventory[[#This Row],[land_extract]]*Lookups!$B$3</f>
        <v>50650.651579114572</v>
      </c>
      <c r="BI1107" s="6">
        <f>IF(Grandview_Inventory[[#This Row],[bldg_style]]="",0,Lookups!$B$2)</f>
        <v>155833.95000000001</v>
      </c>
      <c r="BJ1107" s="6">
        <f>_xlfn.IFNA(VLOOKUP(Grandview_Inventory[[#This Row],[quality]],Lookups!$H$2:$J$14,3,FALSE),0)</f>
        <v>9808</v>
      </c>
      <c r="BK1107" s="6">
        <f>_xlfn.IFNA(VLOOKUP(Grandview_Inventory[[#This Row],[condition]],Lookups!$H$17:$J$24,3,FALSE),0)</f>
        <v>25818</v>
      </c>
      <c r="BL1107" s="6">
        <f>Grandview_Inventory[[#This Row],[Eff_Age]]*Lookups!$B$14</f>
        <v>-4065.8321999999998</v>
      </c>
      <c r="BM1107" s="6">
        <f>Grandview_Inventory[[#This Row],[living_area]]*Lookups!$B$15</f>
        <v>80097.015251999997</v>
      </c>
      <c r="BN1107" s="6">
        <f>Grandview_Inventory[[#This Row],[Fin BSMT]]*Lookups!$B$16</f>
        <v>0</v>
      </c>
      <c r="BO1107" s="6">
        <f>(Grandview_Inventory[[#This Row],[att_gar]]+Grandview_Inventory[[#This Row],[bltin_gar]])*Lookups!$B$17</f>
        <v>45510.627240000002</v>
      </c>
      <c r="BP1107" s="6">
        <f>Grandview_Inventory[[#This Row],[Plumbing Fixtures]]*Lookups!$B$18</f>
        <v>18093.976200000001</v>
      </c>
      <c r="BQ1107" s="6">
        <f>Grandview_Inventory[[#This Row],[detatched_value]]*Lookups!$B$19</f>
        <v>0</v>
      </c>
      <c r="BR1107" s="6">
        <f>SUM(Grandview_Inventory[[#This Row],[Intercept]:[det_value]])*Grandview_Inventory[[#This Row],[res_pct]]</f>
        <v>331095.736492</v>
      </c>
      <c r="BS1107" s="6">
        <f>Grandview_Inventory[[#This Row],[land_value]]</f>
        <v>50650.651579114572</v>
      </c>
      <c r="BT1107" s="4">
        <f>_xlfn.IFNA(VLOOKUP(Grandview_Inventory[[#This Row],[quality]],Lookups!$A$26:$C$33,3,FALSE),1)</f>
        <v>0.94295468617355149</v>
      </c>
      <c r="BU1107" s="4">
        <f>_xlfn.IFNA(VLOOKUP(Grandview_Inventory[[#This Row],[condition]],Lookups!$A$37:$C$44,3,FALSE),1)</f>
        <v>0.96661476234146892</v>
      </c>
      <c r="BV1107" s="4">
        <f>IF(Grandview_Inventory[[#This Row],[bldg_style]]="",1,_xlfn.IFNA(VLOOKUP(Grandview_Inventory[[#This Row],[decade]],Lookups!$F$29:$H$43,3,FALSE),1))</f>
        <v>0.96737494181490646</v>
      </c>
      <c r="BW1107" s="4">
        <f>_xlfn.IFNA(VLOOKUP(Grandview_Inventory[[#This Row],[living_area_range]],Lookups!$F$47:$H$56,3,FALSE),1)</f>
        <v>0.96135087979789358</v>
      </c>
      <c r="BX1107" s="4">
        <f>AVERAGE(Grandview_Inventory[[#This Row],[qual_adj]:[size_adj]])</f>
        <v>0.95957381753195514</v>
      </c>
      <c r="BY1107" s="6">
        <f>IF(Grandview_Inventory[[#This Row],[pre_res]]&lt;0,0,Grandview_Inventory[[#This Row],[pre_res]]*Grandview_Inventory[[#This Row],[overall_adj]])</f>
        <v>317710.79983418272</v>
      </c>
      <c r="BZ1107" s="6">
        <f>(Grandview_Inventory[[#This Row],[sum_land]]-IF(Grandview_Inventory[[#This Row],[no_utilities]]=1,12000,0))/IF(Grandview_Inventory[[#This Row],[unbuildable]]=1,2,1)</f>
        <v>50650.651579114572</v>
      </c>
      <c r="CA110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107">
        <f>ROUND(Grandview_Inventory[[#This Row],[det_value]]*Lookups!$M$28,-2)</f>
        <v>0</v>
      </c>
      <c r="CC1107">
        <f>IF(ROUND(Grandview_Inventory[[#This Row],[adj_res]]*Lookups!$M$28,-2)&lt;Grandview_Inventory[[#This Row],[min_res]],Grandview_Inventory[[#This Row],[min_res]],ROUND(Grandview_Inventory[[#This Row],[adj_res]]*Lookups!$M$28,-2))</f>
        <v>301800</v>
      </c>
      <c r="CD1107">
        <f>Grandview_Inventory[[#This Row],[final_det]]+Grandview_Inventory[[#This Row],[final_res]]</f>
        <v>301800</v>
      </c>
      <c r="CE1107">
        <f>Grandview_Inventory[[#This Row],[final_land]]+Grandview_Inventory[[#This Row],[final_imp]]+Grandview_Inventory[[#This Row],[crop_value]]</f>
        <v>349900</v>
      </c>
      <c r="CG1107" t="str">
        <f t="shared" si="17"/>
        <v>update valuation set market_land =48100, market_bldg=301800, market_total =349900, market_mdno =401, market_date ='9/10/2023' where link_id = (select link_id from parcel where parcel_year = '2024' and parcel_id = '23092242509');</v>
      </c>
    </row>
    <row r="1108" spans="1:85" x14ac:dyDescent="0.25">
      <c r="A1108">
        <v>23092242510</v>
      </c>
      <c r="B1108">
        <v>0.24</v>
      </c>
      <c r="C1108">
        <v>10442</v>
      </c>
      <c r="D1108" t="s">
        <v>129</v>
      </c>
      <c r="E1108" t="s">
        <v>53</v>
      </c>
      <c r="F1108" t="s">
        <v>53</v>
      </c>
      <c r="G1108">
        <v>4</v>
      </c>
      <c r="H1108" t="s">
        <v>54</v>
      </c>
      <c r="I1108">
        <v>269600</v>
      </c>
      <c r="J1108">
        <v>44200</v>
      </c>
      <c r="K1108">
        <v>0.24</v>
      </c>
      <c r="L1108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108">
        <v>0</v>
      </c>
      <c r="N1108">
        <v>0</v>
      </c>
      <c r="O1108">
        <v>0</v>
      </c>
      <c r="P1108">
        <v>13398.7528</v>
      </c>
      <c r="Q1108">
        <v>63903</v>
      </c>
      <c r="R1108">
        <f>(Grandview_Inventory[[#This Row],[ln_acres]]*Grandview_Inventory[[#This Row],[coeff]])+Grandview_Inventory[[#This Row],[const]]</f>
        <v>44781.420733940802</v>
      </c>
      <c r="S1108" t="s">
        <v>58</v>
      </c>
      <c r="T1108">
        <v>2</v>
      </c>
      <c r="U1108" t="s">
        <v>62</v>
      </c>
      <c r="V1108" t="s">
        <v>66</v>
      </c>
      <c r="W1108">
        <v>0</v>
      </c>
      <c r="X1108">
        <v>0</v>
      </c>
      <c r="Y1108">
        <v>16</v>
      </c>
      <c r="Z1108">
        <v>16</v>
      </c>
      <c r="AA1108">
        <v>20</v>
      </c>
      <c r="AB1108">
        <v>2500</v>
      </c>
      <c r="AC1108">
        <v>2392</v>
      </c>
      <c r="AD1108">
        <v>1196</v>
      </c>
      <c r="AE1108">
        <v>1196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370</v>
      </c>
      <c r="AN1108">
        <v>70</v>
      </c>
      <c r="AO1108">
        <v>370</v>
      </c>
      <c r="AP1108">
        <v>10</v>
      </c>
      <c r="AQ1108">
        <v>0</v>
      </c>
      <c r="AR1108">
        <v>0</v>
      </c>
      <c r="AS1108" t="s">
        <v>58</v>
      </c>
      <c r="AT1108">
        <v>1</v>
      </c>
      <c r="AU1108" t="s">
        <v>59</v>
      </c>
      <c r="AV1108" t="s">
        <v>60</v>
      </c>
      <c r="AW1108">
        <v>1</v>
      </c>
      <c r="AX1108">
        <v>3</v>
      </c>
      <c r="AY1108">
        <v>0</v>
      </c>
      <c r="AZ1108">
        <v>0</v>
      </c>
      <c r="BA1108">
        <v>100</v>
      </c>
      <c r="BB1108">
        <v>100</v>
      </c>
      <c r="BC1108">
        <v>100</v>
      </c>
      <c r="BD1108">
        <v>100</v>
      </c>
      <c r="BE1108">
        <v>1</v>
      </c>
      <c r="BF1108">
        <v>15000</v>
      </c>
      <c r="BG1108">
        <v>1000</v>
      </c>
      <c r="BH1108" s="6">
        <f>Grandview_Inventory[[#This Row],[land_extract]]*Lookups!$B$3</f>
        <v>52004.542988489469</v>
      </c>
      <c r="BI1108" s="6">
        <f>IF(Grandview_Inventory[[#This Row],[bldg_style]]="",0,Lookups!$B$2)</f>
        <v>155833.95000000001</v>
      </c>
      <c r="BJ1108" s="6">
        <f>_xlfn.IFNA(VLOOKUP(Grandview_Inventory[[#This Row],[quality]],Lookups!$H$2:$J$14,3,FALSE),0)</f>
        <v>9808</v>
      </c>
      <c r="BK1108" s="6">
        <f>_xlfn.IFNA(VLOOKUP(Grandview_Inventory[[#This Row],[condition]],Lookups!$H$17:$J$24,3,FALSE),0)</f>
        <v>25818</v>
      </c>
      <c r="BL1108" s="6">
        <f>Grandview_Inventory[[#This Row],[Eff_Age]]*Lookups!$B$14</f>
        <v>-3826.6655999999998</v>
      </c>
      <c r="BM1108" s="6">
        <f>Grandview_Inventory[[#This Row],[living_area]]*Lookups!$B$15</f>
        <v>149215.00037600001</v>
      </c>
      <c r="BN1108" s="6">
        <f>Grandview_Inventory[[#This Row],[Fin BSMT]]*Lookups!$B$16</f>
        <v>0</v>
      </c>
      <c r="BO1108" s="6">
        <f>(Grandview_Inventory[[#This Row],[att_gar]]+Grandview_Inventory[[#This Row],[bltin_gar]])*Lookups!$B$17</f>
        <v>0</v>
      </c>
      <c r="BP1108" s="6">
        <f>Grandview_Inventory[[#This Row],[Plumbing Fixtures]]*Lookups!$B$18</f>
        <v>20104.418000000001</v>
      </c>
      <c r="BQ1108" s="6">
        <f>Grandview_Inventory[[#This Row],[detatched_value]]*Lookups!$B$19</f>
        <v>0</v>
      </c>
      <c r="BR1108" s="6">
        <f>SUM(Grandview_Inventory[[#This Row],[Intercept]:[det_value]])*Grandview_Inventory[[#This Row],[res_pct]]</f>
        <v>356952.70277600002</v>
      </c>
      <c r="BS1108" s="6">
        <f>Grandview_Inventory[[#This Row],[land_value]]</f>
        <v>52004.542988489469</v>
      </c>
      <c r="BT1108" s="4">
        <f>_xlfn.IFNA(VLOOKUP(Grandview_Inventory[[#This Row],[quality]],Lookups!$A$26:$C$33,3,FALSE),1)</f>
        <v>0.94295468617355149</v>
      </c>
      <c r="BU1108" s="4">
        <f>_xlfn.IFNA(VLOOKUP(Grandview_Inventory[[#This Row],[condition]],Lookups!$A$37:$C$44,3,FALSE),1)</f>
        <v>0.96661476234146892</v>
      </c>
      <c r="BV1108" s="4">
        <f>IF(Grandview_Inventory[[#This Row],[bldg_style]]="",1,_xlfn.IFNA(VLOOKUP(Grandview_Inventory[[#This Row],[decade]],Lookups!$F$29:$H$43,3,FALSE),1))</f>
        <v>0.96737494181490646</v>
      </c>
      <c r="BW1108" s="4">
        <f>_xlfn.IFNA(VLOOKUP(Grandview_Inventory[[#This Row],[living_area_range]],Lookups!$F$47:$H$56,3,FALSE),1)</f>
        <v>0.95799442568048754</v>
      </c>
      <c r="BX1108" s="4">
        <f>AVERAGE(Grandview_Inventory[[#This Row],[qual_adj]:[size_adj]])</f>
        <v>0.95873470400260363</v>
      </c>
      <c r="BY1108" s="6">
        <f>IF(Grandview_Inventory[[#This Row],[pre_res]]&lt;0,0,Grandview_Inventory[[#This Row],[pre_res]]*Grandview_Inventory[[#This Row],[overall_adj]])</f>
        <v>342222.94383887772</v>
      </c>
      <c r="BZ1108" s="6">
        <f>(Grandview_Inventory[[#This Row],[sum_land]]-IF(Grandview_Inventory[[#This Row],[no_utilities]]=1,12000,0))/IF(Grandview_Inventory[[#This Row],[unbuildable]]=1,2,1)</f>
        <v>52004.542988489469</v>
      </c>
      <c r="CA1108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108">
        <f>ROUND(Grandview_Inventory[[#This Row],[det_value]]*Lookups!$M$28,-2)</f>
        <v>0</v>
      </c>
      <c r="CC1108">
        <f>IF(ROUND(Grandview_Inventory[[#This Row],[adj_res]]*Lookups!$M$28,-2)&lt;Grandview_Inventory[[#This Row],[min_res]],Grandview_Inventory[[#This Row],[min_res]],ROUND(Grandview_Inventory[[#This Row],[adj_res]]*Lookups!$M$28,-2))</f>
        <v>325100</v>
      </c>
      <c r="CD1108">
        <f>Grandview_Inventory[[#This Row],[final_det]]+Grandview_Inventory[[#This Row],[final_res]]</f>
        <v>325100</v>
      </c>
      <c r="CE1108">
        <f>Grandview_Inventory[[#This Row],[final_land]]+Grandview_Inventory[[#This Row],[final_imp]]+Grandview_Inventory[[#This Row],[crop_value]]</f>
        <v>374500</v>
      </c>
      <c r="CG1108" t="str">
        <f t="shared" si="17"/>
        <v>update valuation set market_land =49400, market_bldg=325100, market_total =374500, market_mdno =401, market_date ='9/10/2023' where link_id = (select link_id from parcel where parcel_year = '2024' and parcel_id = '23092242510');</v>
      </c>
    </row>
    <row r="1109" spans="1:85" x14ac:dyDescent="0.25">
      <c r="A1109">
        <v>23092242511</v>
      </c>
      <c r="B1109">
        <v>0.16</v>
      </c>
      <c r="C1109">
        <v>7172</v>
      </c>
      <c r="D1109" t="s">
        <v>129</v>
      </c>
      <c r="E1109" t="s">
        <v>53</v>
      </c>
      <c r="F1109" t="s">
        <v>53</v>
      </c>
      <c r="G1109">
        <v>4</v>
      </c>
      <c r="H1109" t="s">
        <v>54</v>
      </c>
      <c r="I1109">
        <v>225900</v>
      </c>
      <c r="J1109">
        <v>43000</v>
      </c>
      <c r="K1109">
        <v>0.16</v>
      </c>
      <c r="L110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109">
        <v>0</v>
      </c>
      <c r="N1109">
        <v>0</v>
      </c>
      <c r="O1109">
        <v>0</v>
      </c>
      <c r="P1109">
        <v>13398.7528</v>
      </c>
      <c r="Q1109">
        <v>63903</v>
      </c>
      <c r="R1109">
        <f>(Grandview_Inventory[[#This Row],[ln_acres]]*Grandview_Inventory[[#This Row],[coeff]])+Grandview_Inventory[[#This Row],[const]]</f>
        <v>39348.693981374228</v>
      </c>
      <c r="S1109" t="s">
        <v>61</v>
      </c>
      <c r="T1109">
        <v>1</v>
      </c>
      <c r="U1109" t="s">
        <v>62</v>
      </c>
      <c r="V1109" t="s">
        <v>66</v>
      </c>
      <c r="W1109">
        <v>0</v>
      </c>
      <c r="X1109">
        <v>0</v>
      </c>
      <c r="Y1109">
        <v>16</v>
      </c>
      <c r="Z1109">
        <v>16</v>
      </c>
      <c r="AA1109">
        <v>20</v>
      </c>
      <c r="AB1109">
        <v>1500</v>
      </c>
      <c r="AC1109">
        <v>1238</v>
      </c>
      <c r="AD1109">
        <v>1238</v>
      </c>
      <c r="AE1109">
        <v>0</v>
      </c>
      <c r="AF1109">
        <v>0</v>
      </c>
      <c r="AG1109">
        <v>0</v>
      </c>
      <c r="AH1109">
        <v>0</v>
      </c>
      <c r="AI1109">
        <v>500</v>
      </c>
      <c r="AJ1109">
        <v>0</v>
      </c>
      <c r="AK1109">
        <v>0</v>
      </c>
      <c r="AL1109">
        <v>0</v>
      </c>
      <c r="AM1109">
        <v>120</v>
      </c>
      <c r="AN1109">
        <v>40</v>
      </c>
      <c r="AO1109">
        <v>120</v>
      </c>
      <c r="AP1109">
        <v>8</v>
      </c>
      <c r="AQ1109">
        <v>0</v>
      </c>
      <c r="AR1109">
        <v>0</v>
      </c>
      <c r="AS1109" t="s">
        <v>58</v>
      </c>
      <c r="AT1109">
        <v>1</v>
      </c>
      <c r="AU1109" t="s">
        <v>59</v>
      </c>
      <c r="AV1109" t="s">
        <v>60</v>
      </c>
      <c r="AW1109">
        <v>1</v>
      </c>
      <c r="AX1109">
        <v>4</v>
      </c>
      <c r="AY1109">
        <v>0</v>
      </c>
      <c r="AZ1109">
        <v>0</v>
      </c>
      <c r="BA1109">
        <v>100</v>
      </c>
      <c r="BB1109">
        <v>100</v>
      </c>
      <c r="BC1109">
        <v>100</v>
      </c>
      <c r="BD1109">
        <v>100</v>
      </c>
      <c r="BE1109">
        <v>1</v>
      </c>
      <c r="BF1109">
        <v>15000</v>
      </c>
      <c r="BG1109">
        <v>1000</v>
      </c>
      <c r="BH1109" s="6">
        <f>Grandview_Inventory[[#This Row],[land_extract]]*Lookups!$B$3</f>
        <v>45695.532079096141</v>
      </c>
      <c r="BI1109" s="6">
        <f>IF(Grandview_Inventory[[#This Row],[bldg_style]]="",0,Lookups!$B$2)</f>
        <v>155833.95000000001</v>
      </c>
      <c r="BJ1109" s="6">
        <f>_xlfn.IFNA(VLOOKUP(Grandview_Inventory[[#This Row],[quality]],Lookups!$H$2:$J$14,3,FALSE),0)</f>
        <v>9808</v>
      </c>
      <c r="BK1109" s="6">
        <f>_xlfn.IFNA(VLOOKUP(Grandview_Inventory[[#This Row],[condition]],Lookups!$H$17:$J$24,3,FALSE),0)</f>
        <v>25818</v>
      </c>
      <c r="BL1109" s="6">
        <f>Grandview_Inventory[[#This Row],[Eff_Age]]*Lookups!$B$14</f>
        <v>-3826.6655999999998</v>
      </c>
      <c r="BM1109" s="6">
        <f>Grandview_Inventory[[#This Row],[living_area]]*Lookups!$B$15</f>
        <v>77227.496014000004</v>
      </c>
      <c r="BN1109" s="6">
        <f>Grandview_Inventory[[#This Row],[Fin BSMT]]*Lookups!$B$16</f>
        <v>0</v>
      </c>
      <c r="BO1109" s="6">
        <f>(Grandview_Inventory[[#This Row],[att_gar]]+Grandview_Inventory[[#This Row],[bltin_gar]])*Lookups!$B$17</f>
        <v>43760.218500000003</v>
      </c>
      <c r="BP1109" s="6">
        <f>Grandview_Inventory[[#This Row],[Plumbing Fixtures]]*Lookups!$B$18</f>
        <v>16083.5344</v>
      </c>
      <c r="BQ1109" s="6">
        <f>Grandview_Inventory[[#This Row],[detatched_value]]*Lookups!$B$19</f>
        <v>0</v>
      </c>
      <c r="BR1109" s="6">
        <f>SUM(Grandview_Inventory[[#This Row],[Intercept]:[det_value]])*Grandview_Inventory[[#This Row],[res_pct]]</f>
        <v>324704.53331400006</v>
      </c>
      <c r="BS1109" s="6">
        <f>Grandview_Inventory[[#This Row],[land_value]]</f>
        <v>45695.532079096141</v>
      </c>
      <c r="BT1109" s="4">
        <f>_xlfn.IFNA(VLOOKUP(Grandview_Inventory[[#This Row],[quality]],Lookups!$A$26:$C$33,3,FALSE),1)</f>
        <v>0.94295468617355149</v>
      </c>
      <c r="BU1109" s="4">
        <f>_xlfn.IFNA(VLOOKUP(Grandview_Inventory[[#This Row],[condition]],Lookups!$A$37:$C$44,3,FALSE),1)</f>
        <v>0.96661476234146892</v>
      </c>
      <c r="BV1109" s="4">
        <f>IF(Grandview_Inventory[[#This Row],[bldg_style]]="",1,_xlfn.IFNA(VLOOKUP(Grandview_Inventory[[#This Row],[decade]],Lookups!$F$29:$H$43,3,FALSE),1))</f>
        <v>0.96737494181490646</v>
      </c>
      <c r="BW1109" s="4">
        <f>_xlfn.IFNA(VLOOKUP(Grandview_Inventory[[#This Row],[living_area_range]],Lookups!$F$47:$H$56,3,FALSE),1)</f>
        <v>0.96135087979789358</v>
      </c>
      <c r="BX1109" s="4">
        <f>AVERAGE(Grandview_Inventory[[#This Row],[qual_adj]:[size_adj]])</f>
        <v>0.95957381753195514</v>
      </c>
      <c r="BY1109" s="6">
        <f>IF(Grandview_Inventory[[#This Row],[pre_res]]&lt;0,0,Grandview_Inventory[[#This Row],[pre_res]]*Grandview_Inventory[[#This Row],[overall_adj]])</f>
        <v>311577.96860204695</v>
      </c>
      <c r="BZ1109" s="6">
        <f>(Grandview_Inventory[[#This Row],[sum_land]]-IF(Grandview_Inventory[[#This Row],[no_utilities]]=1,12000,0))/IF(Grandview_Inventory[[#This Row],[unbuildable]]=1,2,1)</f>
        <v>45695.532079096141</v>
      </c>
      <c r="CA110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109">
        <f>ROUND(Grandview_Inventory[[#This Row],[det_value]]*Lookups!$M$28,-2)</f>
        <v>0</v>
      </c>
      <c r="CC1109">
        <f>IF(ROUND(Grandview_Inventory[[#This Row],[adj_res]]*Lookups!$M$28,-2)&lt;Grandview_Inventory[[#This Row],[min_res]],Grandview_Inventory[[#This Row],[min_res]],ROUND(Grandview_Inventory[[#This Row],[adj_res]]*Lookups!$M$28,-2))</f>
        <v>296000</v>
      </c>
      <c r="CD1109">
        <f>Grandview_Inventory[[#This Row],[final_det]]+Grandview_Inventory[[#This Row],[final_res]]</f>
        <v>296000</v>
      </c>
      <c r="CE1109">
        <f>Grandview_Inventory[[#This Row],[final_land]]+Grandview_Inventory[[#This Row],[final_imp]]+Grandview_Inventory[[#This Row],[crop_value]]</f>
        <v>339400</v>
      </c>
      <c r="CG1109" t="str">
        <f t="shared" si="17"/>
        <v>update valuation set market_land =43400, market_bldg=296000, market_total =339400, market_mdno =401, market_date ='9/10/2023' where link_id = (select link_id from parcel where parcel_year = '2024' and parcel_id = '23092242511');</v>
      </c>
    </row>
    <row r="1110" spans="1:85" x14ac:dyDescent="0.25">
      <c r="A1110">
        <v>23092242512</v>
      </c>
      <c r="B1110">
        <v>0.17</v>
      </c>
      <c r="C1110">
        <v>7196</v>
      </c>
      <c r="D1110" t="s">
        <v>129</v>
      </c>
      <c r="E1110" t="s">
        <v>53</v>
      </c>
      <c r="F1110" t="s">
        <v>53</v>
      </c>
      <c r="G1110">
        <v>4</v>
      </c>
      <c r="H1110" t="s">
        <v>54</v>
      </c>
      <c r="I1110">
        <v>245400</v>
      </c>
      <c r="J1110">
        <v>38800</v>
      </c>
      <c r="K1110">
        <v>0.17</v>
      </c>
      <c r="L111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10">
        <v>0</v>
      </c>
      <c r="N1110">
        <v>0</v>
      </c>
      <c r="O1110">
        <v>0</v>
      </c>
      <c r="P1110">
        <v>13398.7528</v>
      </c>
      <c r="Q1110">
        <v>63903</v>
      </c>
      <c r="R1110">
        <f>(Grandview_Inventory[[#This Row],[ln_acres]]*Grandview_Inventory[[#This Row],[coeff]])+Grandview_Inventory[[#This Row],[const]]</f>
        <v>40160.988302686128</v>
      </c>
      <c r="S1110" t="s">
        <v>58</v>
      </c>
      <c r="T1110">
        <v>1</v>
      </c>
      <c r="U1110" t="s">
        <v>62</v>
      </c>
      <c r="V1110" t="s">
        <v>67</v>
      </c>
      <c r="W1110">
        <v>0</v>
      </c>
      <c r="X1110">
        <v>0</v>
      </c>
      <c r="Y1110">
        <v>16</v>
      </c>
      <c r="Z1110">
        <v>16</v>
      </c>
      <c r="AA1110">
        <v>20</v>
      </c>
      <c r="AB1110">
        <v>2000</v>
      </c>
      <c r="AC1110">
        <v>1728</v>
      </c>
      <c r="AD1110">
        <v>1296</v>
      </c>
      <c r="AE1110">
        <v>0</v>
      </c>
      <c r="AF1110">
        <v>432</v>
      </c>
      <c r="AG1110">
        <v>0</v>
      </c>
      <c r="AH1110">
        <v>0</v>
      </c>
      <c r="AI1110">
        <v>648</v>
      </c>
      <c r="AJ1110">
        <v>0</v>
      </c>
      <c r="AK1110">
        <v>0</v>
      </c>
      <c r="AL1110">
        <v>0</v>
      </c>
      <c r="AM1110">
        <v>90</v>
      </c>
      <c r="AN1110">
        <v>48</v>
      </c>
      <c r="AO1110">
        <v>0</v>
      </c>
      <c r="AP1110">
        <v>8</v>
      </c>
      <c r="AQ1110">
        <v>0</v>
      </c>
      <c r="AR1110">
        <v>0</v>
      </c>
      <c r="AS1110" t="s">
        <v>58</v>
      </c>
      <c r="AT1110">
        <v>1</v>
      </c>
      <c r="AU1110" t="s">
        <v>59</v>
      </c>
      <c r="AV1110" t="s">
        <v>60</v>
      </c>
      <c r="AW1110">
        <v>1</v>
      </c>
      <c r="AX1110">
        <v>3</v>
      </c>
      <c r="AY1110">
        <v>0</v>
      </c>
      <c r="AZ1110">
        <v>0</v>
      </c>
      <c r="BA1110">
        <v>100</v>
      </c>
      <c r="BB1110">
        <v>100</v>
      </c>
      <c r="BC1110">
        <v>100</v>
      </c>
      <c r="BD1110">
        <v>100</v>
      </c>
      <c r="BE1110">
        <v>1</v>
      </c>
      <c r="BF1110">
        <v>15000</v>
      </c>
      <c r="BG1110">
        <v>1000</v>
      </c>
      <c r="BH1110" s="6">
        <f>Grandview_Inventory[[#This Row],[land_extract]]*Lookups!$B$3</f>
        <v>46638.847281240982</v>
      </c>
      <c r="BI1110" s="6">
        <f>IF(Grandview_Inventory[[#This Row],[bldg_style]]="",0,Lookups!$B$2)</f>
        <v>155833.95000000001</v>
      </c>
      <c r="BJ1110" s="6">
        <f>_xlfn.IFNA(VLOOKUP(Grandview_Inventory[[#This Row],[quality]],Lookups!$H$2:$J$14,3,FALSE),0)</f>
        <v>9808</v>
      </c>
      <c r="BK1110" s="6">
        <f>_xlfn.IFNA(VLOOKUP(Grandview_Inventory[[#This Row],[condition]],Lookups!$H$17:$J$24,3,FALSE),0)</f>
        <v>22342</v>
      </c>
      <c r="BL1110" s="6">
        <f>Grandview_Inventory[[#This Row],[Eff_Age]]*Lookups!$B$14</f>
        <v>-3826.6655999999998</v>
      </c>
      <c r="BM1110" s="6">
        <f>Grandview_Inventory[[#This Row],[living_area]]*Lookups!$B$15</f>
        <v>107794.113984</v>
      </c>
      <c r="BN1110" s="6">
        <f>Grandview_Inventory[[#This Row],[Fin BSMT]]*Lookups!$B$16</f>
        <v>0</v>
      </c>
      <c r="BO1110" s="6">
        <f>(Grandview_Inventory[[#This Row],[att_gar]]+Grandview_Inventory[[#This Row],[bltin_gar]])*Lookups!$B$17</f>
        <v>56713.243176000004</v>
      </c>
      <c r="BP1110" s="6">
        <f>Grandview_Inventory[[#This Row],[Plumbing Fixtures]]*Lookups!$B$18</f>
        <v>16083.5344</v>
      </c>
      <c r="BQ1110" s="6">
        <f>Grandview_Inventory[[#This Row],[detatched_value]]*Lookups!$B$19</f>
        <v>0</v>
      </c>
      <c r="BR1110" s="6">
        <f>SUM(Grandview_Inventory[[#This Row],[Intercept]:[det_value]])*Grandview_Inventory[[#This Row],[res_pct]]</f>
        <v>364748.17596000002</v>
      </c>
      <c r="BS1110" s="6">
        <f>Grandview_Inventory[[#This Row],[land_value]]</f>
        <v>46638.847281240982</v>
      </c>
      <c r="BT1110" s="4">
        <f>_xlfn.IFNA(VLOOKUP(Grandview_Inventory[[#This Row],[quality]],Lookups!$A$26:$C$33,3,FALSE),1)</f>
        <v>0.94295468617355149</v>
      </c>
      <c r="BU1110" s="4">
        <f>_xlfn.IFNA(VLOOKUP(Grandview_Inventory[[#This Row],[condition]],Lookups!$A$37:$C$44,3,FALSE),1)</f>
        <v>0.97383723671140243</v>
      </c>
      <c r="BV1110" s="4">
        <f>IF(Grandview_Inventory[[#This Row],[bldg_style]]="",1,_xlfn.IFNA(VLOOKUP(Grandview_Inventory[[#This Row],[decade]],Lookups!$F$29:$H$43,3,FALSE),1))</f>
        <v>0.96737494181490646</v>
      </c>
      <c r="BW1110" s="4">
        <f>_xlfn.IFNA(VLOOKUP(Grandview_Inventory[[#This Row],[living_area_range]],Lookups!$F$47:$H$56,3,FALSE),1)</f>
        <v>0.96120133463014379</v>
      </c>
      <c r="BX1110" s="4">
        <f>AVERAGE(Grandview_Inventory[[#This Row],[qual_adj]:[size_adj]])</f>
        <v>0.96134204983250116</v>
      </c>
      <c r="BY1110" s="6">
        <f>IF(Grandview_Inventory[[#This Row],[pre_res]]&lt;0,0,Grandview_Inventory[[#This Row],[pre_res]]*Grandview_Inventory[[#This Row],[overall_adj]])</f>
        <v>350647.75915005227</v>
      </c>
      <c r="BZ1110" s="6">
        <f>(Grandview_Inventory[[#This Row],[sum_land]]-IF(Grandview_Inventory[[#This Row],[no_utilities]]=1,12000,0))/IF(Grandview_Inventory[[#This Row],[unbuildable]]=1,2,1)</f>
        <v>46638.847281240982</v>
      </c>
      <c r="CA111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10">
        <f>ROUND(Grandview_Inventory[[#This Row],[det_value]]*Lookups!$M$28,-2)</f>
        <v>0</v>
      </c>
      <c r="CC1110">
        <f>IF(ROUND(Grandview_Inventory[[#This Row],[adj_res]]*Lookups!$M$28,-2)&lt;Grandview_Inventory[[#This Row],[min_res]],Grandview_Inventory[[#This Row],[min_res]],ROUND(Grandview_Inventory[[#This Row],[adj_res]]*Lookups!$M$28,-2))</f>
        <v>333100</v>
      </c>
      <c r="CD1110">
        <f>Grandview_Inventory[[#This Row],[final_det]]+Grandview_Inventory[[#This Row],[final_res]]</f>
        <v>333100</v>
      </c>
      <c r="CE1110">
        <f>Grandview_Inventory[[#This Row],[final_land]]+Grandview_Inventory[[#This Row],[final_imp]]+Grandview_Inventory[[#This Row],[crop_value]]</f>
        <v>377400</v>
      </c>
      <c r="CG1110" t="str">
        <f t="shared" si="17"/>
        <v>update valuation set market_land =44300, market_bldg=333100, market_total =377400, market_mdno =401, market_date ='9/10/2023' where link_id = (select link_id from parcel where parcel_year = '2024' and parcel_id = '23092242512');</v>
      </c>
    </row>
    <row r="1111" spans="1:85" x14ac:dyDescent="0.25">
      <c r="A1111">
        <v>23092242513</v>
      </c>
      <c r="B1111">
        <v>0.17</v>
      </c>
      <c r="C1111">
        <v>7239</v>
      </c>
      <c r="D1111" t="s">
        <v>129</v>
      </c>
      <c r="E1111" t="s">
        <v>53</v>
      </c>
      <c r="F1111" t="s">
        <v>53</v>
      </c>
      <c r="G1111">
        <v>4</v>
      </c>
      <c r="H1111" t="s">
        <v>54</v>
      </c>
      <c r="I1111">
        <v>239400</v>
      </c>
      <c r="J1111">
        <v>43000</v>
      </c>
      <c r="K1111">
        <v>0.17</v>
      </c>
      <c r="L111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11">
        <v>0</v>
      </c>
      <c r="N1111">
        <v>0</v>
      </c>
      <c r="O1111">
        <v>0</v>
      </c>
      <c r="P1111">
        <v>13398.7528</v>
      </c>
      <c r="Q1111">
        <v>63903</v>
      </c>
      <c r="R1111">
        <f>(Grandview_Inventory[[#This Row],[ln_acres]]*Grandview_Inventory[[#This Row],[coeff]])+Grandview_Inventory[[#This Row],[const]]</f>
        <v>40160.988302686128</v>
      </c>
      <c r="S1111" t="s">
        <v>61</v>
      </c>
      <c r="T1111">
        <v>1</v>
      </c>
      <c r="U1111" t="s">
        <v>62</v>
      </c>
      <c r="V1111" t="s">
        <v>66</v>
      </c>
      <c r="W1111">
        <v>0</v>
      </c>
      <c r="X1111">
        <v>0</v>
      </c>
      <c r="Y1111">
        <v>16</v>
      </c>
      <c r="Z1111">
        <v>16</v>
      </c>
      <c r="AA1111">
        <v>20</v>
      </c>
      <c r="AB1111">
        <v>1500</v>
      </c>
      <c r="AC1111">
        <v>1238</v>
      </c>
      <c r="AD1111">
        <v>1238</v>
      </c>
      <c r="AE1111">
        <v>0</v>
      </c>
      <c r="AF1111">
        <v>0</v>
      </c>
      <c r="AG1111">
        <v>0</v>
      </c>
      <c r="AH1111">
        <v>0</v>
      </c>
      <c r="AI1111">
        <v>500</v>
      </c>
      <c r="AJ1111">
        <v>0</v>
      </c>
      <c r="AK1111">
        <v>0</v>
      </c>
      <c r="AL1111">
        <v>0</v>
      </c>
      <c r="AM1111">
        <v>99</v>
      </c>
      <c r="AN1111">
        <v>40</v>
      </c>
      <c r="AO1111">
        <v>0</v>
      </c>
      <c r="AP1111">
        <v>8</v>
      </c>
      <c r="AQ1111">
        <v>0</v>
      </c>
      <c r="AR1111">
        <v>0</v>
      </c>
      <c r="AS1111" t="s">
        <v>58</v>
      </c>
      <c r="AT1111">
        <v>1</v>
      </c>
      <c r="AU1111" t="s">
        <v>59</v>
      </c>
      <c r="AV1111" t="s">
        <v>60</v>
      </c>
      <c r="AW1111">
        <v>1</v>
      </c>
      <c r="AX1111">
        <v>3</v>
      </c>
      <c r="AY1111">
        <v>0</v>
      </c>
      <c r="AZ1111">
        <v>0</v>
      </c>
      <c r="BA1111">
        <v>100</v>
      </c>
      <c r="BB1111">
        <v>100</v>
      </c>
      <c r="BC1111">
        <v>100</v>
      </c>
      <c r="BD1111">
        <v>100</v>
      </c>
      <c r="BE1111">
        <v>1</v>
      </c>
      <c r="BF1111">
        <v>15000</v>
      </c>
      <c r="BG1111">
        <v>1000</v>
      </c>
      <c r="BH1111" s="6">
        <f>Grandview_Inventory[[#This Row],[land_extract]]*Lookups!$B$3</f>
        <v>46638.847281240982</v>
      </c>
      <c r="BI1111" s="6">
        <f>IF(Grandview_Inventory[[#This Row],[bldg_style]]="",0,Lookups!$B$2)</f>
        <v>155833.95000000001</v>
      </c>
      <c r="BJ1111" s="6">
        <f>_xlfn.IFNA(VLOOKUP(Grandview_Inventory[[#This Row],[quality]],Lookups!$H$2:$J$14,3,FALSE),0)</f>
        <v>9808</v>
      </c>
      <c r="BK1111" s="6">
        <f>_xlfn.IFNA(VLOOKUP(Grandview_Inventory[[#This Row],[condition]],Lookups!$H$17:$J$24,3,FALSE),0)</f>
        <v>25818</v>
      </c>
      <c r="BL1111" s="6">
        <f>Grandview_Inventory[[#This Row],[Eff_Age]]*Lookups!$B$14</f>
        <v>-3826.6655999999998</v>
      </c>
      <c r="BM1111" s="6">
        <f>Grandview_Inventory[[#This Row],[living_area]]*Lookups!$B$15</f>
        <v>77227.496014000004</v>
      </c>
      <c r="BN1111" s="6">
        <f>Grandview_Inventory[[#This Row],[Fin BSMT]]*Lookups!$B$16</f>
        <v>0</v>
      </c>
      <c r="BO1111" s="6">
        <f>(Grandview_Inventory[[#This Row],[att_gar]]+Grandview_Inventory[[#This Row],[bltin_gar]])*Lookups!$B$17</f>
        <v>43760.218500000003</v>
      </c>
      <c r="BP1111" s="6">
        <f>Grandview_Inventory[[#This Row],[Plumbing Fixtures]]*Lookups!$B$18</f>
        <v>16083.5344</v>
      </c>
      <c r="BQ1111" s="6">
        <f>Grandview_Inventory[[#This Row],[detatched_value]]*Lookups!$B$19</f>
        <v>0</v>
      </c>
      <c r="BR1111" s="6">
        <f>SUM(Grandview_Inventory[[#This Row],[Intercept]:[det_value]])*Grandview_Inventory[[#This Row],[res_pct]]</f>
        <v>324704.53331400006</v>
      </c>
      <c r="BS1111" s="6">
        <f>Grandview_Inventory[[#This Row],[land_value]]</f>
        <v>46638.847281240982</v>
      </c>
      <c r="BT1111" s="4">
        <f>_xlfn.IFNA(VLOOKUP(Grandview_Inventory[[#This Row],[quality]],Lookups!$A$26:$C$33,3,FALSE),1)</f>
        <v>0.94295468617355149</v>
      </c>
      <c r="BU1111" s="4">
        <f>_xlfn.IFNA(VLOOKUP(Grandview_Inventory[[#This Row],[condition]],Lookups!$A$37:$C$44,3,FALSE),1)</f>
        <v>0.96661476234146892</v>
      </c>
      <c r="BV1111" s="4">
        <f>IF(Grandview_Inventory[[#This Row],[bldg_style]]="",1,_xlfn.IFNA(VLOOKUP(Grandview_Inventory[[#This Row],[decade]],Lookups!$F$29:$H$43,3,FALSE),1))</f>
        <v>0.96737494181490646</v>
      </c>
      <c r="BW1111" s="4">
        <f>_xlfn.IFNA(VLOOKUP(Grandview_Inventory[[#This Row],[living_area_range]],Lookups!$F$47:$H$56,3,FALSE),1)</f>
        <v>0.96135087979789358</v>
      </c>
      <c r="BX1111" s="4">
        <f>AVERAGE(Grandview_Inventory[[#This Row],[qual_adj]:[size_adj]])</f>
        <v>0.95957381753195514</v>
      </c>
      <c r="BY1111" s="6">
        <f>IF(Grandview_Inventory[[#This Row],[pre_res]]&lt;0,0,Grandview_Inventory[[#This Row],[pre_res]]*Grandview_Inventory[[#This Row],[overall_adj]])</f>
        <v>311577.96860204695</v>
      </c>
      <c r="BZ1111" s="6">
        <f>(Grandview_Inventory[[#This Row],[sum_land]]-IF(Grandview_Inventory[[#This Row],[no_utilities]]=1,12000,0))/IF(Grandview_Inventory[[#This Row],[unbuildable]]=1,2,1)</f>
        <v>46638.847281240982</v>
      </c>
      <c r="CA111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11">
        <f>ROUND(Grandview_Inventory[[#This Row],[det_value]]*Lookups!$M$28,-2)</f>
        <v>0</v>
      </c>
      <c r="CC1111">
        <f>IF(ROUND(Grandview_Inventory[[#This Row],[adj_res]]*Lookups!$M$28,-2)&lt;Grandview_Inventory[[#This Row],[min_res]],Grandview_Inventory[[#This Row],[min_res]],ROUND(Grandview_Inventory[[#This Row],[adj_res]]*Lookups!$M$28,-2))</f>
        <v>296000</v>
      </c>
      <c r="CD1111">
        <f>Grandview_Inventory[[#This Row],[final_det]]+Grandview_Inventory[[#This Row],[final_res]]</f>
        <v>296000</v>
      </c>
      <c r="CE1111">
        <f>Grandview_Inventory[[#This Row],[final_land]]+Grandview_Inventory[[#This Row],[final_imp]]+Grandview_Inventory[[#This Row],[crop_value]]</f>
        <v>340300</v>
      </c>
      <c r="CG1111" t="str">
        <f t="shared" si="17"/>
        <v>update valuation set market_land =44300, market_bldg=296000, market_total =340300, market_mdno =401, market_date ='9/10/2023' where link_id = (select link_id from parcel where parcel_year = '2024' and parcel_id = '23092242513');</v>
      </c>
    </row>
    <row r="1112" spans="1:85" x14ac:dyDescent="0.25">
      <c r="A1112">
        <v>23092242514</v>
      </c>
      <c r="B1112">
        <v>0.16</v>
      </c>
      <c r="C1112">
        <v>7045</v>
      </c>
      <c r="D1112" t="s">
        <v>129</v>
      </c>
      <c r="E1112" t="s">
        <v>53</v>
      </c>
      <c r="F1112" t="s">
        <v>53</v>
      </c>
      <c r="G1112">
        <v>4</v>
      </c>
      <c r="H1112" t="s">
        <v>54</v>
      </c>
      <c r="I1112">
        <v>253400</v>
      </c>
      <c r="J1112">
        <v>38600</v>
      </c>
      <c r="K1112">
        <v>0.16</v>
      </c>
      <c r="L111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112">
        <v>0</v>
      </c>
      <c r="N1112">
        <v>0</v>
      </c>
      <c r="O1112">
        <v>0</v>
      </c>
      <c r="P1112">
        <v>13398.7528</v>
      </c>
      <c r="Q1112">
        <v>63903</v>
      </c>
      <c r="R1112">
        <f>(Grandview_Inventory[[#This Row],[ln_acres]]*Grandview_Inventory[[#This Row],[coeff]])+Grandview_Inventory[[#This Row],[const]]</f>
        <v>39348.693981374228</v>
      </c>
      <c r="S1112" t="s">
        <v>55</v>
      </c>
      <c r="T1112">
        <v>1</v>
      </c>
      <c r="U1112" t="s">
        <v>62</v>
      </c>
      <c r="V1112" t="s">
        <v>66</v>
      </c>
      <c r="W1112">
        <v>0</v>
      </c>
      <c r="X1112">
        <v>0</v>
      </c>
      <c r="Y1112">
        <v>16</v>
      </c>
      <c r="Z1112">
        <v>16</v>
      </c>
      <c r="AA1112">
        <v>20</v>
      </c>
      <c r="AB1112">
        <v>1500</v>
      </c>
      <c r="AC1112">
        <v>1238</v>
      </c>
      <c r="AD1112">
        <v>1238</v>
      </c>
      <c r="AE1112">
        <v>0</v>
      </c>
      <c r="AF1112">
        <v>0</v>
      </c>
      <c r="AG1112">
        <v>0</v>
      </c>
      <c r="AH1112">
        <v>0</v>
      </c>
      <c r="AI1112">
        <v>500</v>
      </c>
      <c r="AJ1112">
        <v>0</v>
      </c>
      <c r="AK1112">
        <v>0</v>
      </c>
      <c r="AL1112">
        <v>0</v>
      </c>
      <c r="AM1112">
        <v>99</v>
      </c>
      <c r="AN1112">
        <v>40</v>
      </c>
      <c r="AO1112">
        <v>0</v>
      </c>
      <c r="AP1112">
        <v>8</v>
      </c>
      <c r="AQ1112">
        <v>0</v>
      </c>
      <c r="AR1112">
        <v>0</v>
      </c>
      <c r="AS1112" t="s">
        <v>58</v>
      </c>
      <c r="AT1112">
        <v>1</v>
      </c>
      <c r="AU1112" t="s">
        <v>59</v>
      </c>
      <c r="AV1112" t="s">
        <v>60</v>
      </c>
      <c r="AW1112">
        <v>1</v>
      </c>
      <c r="AX1112">
        <v>4</v>
      </c>
      <c r="AY1112">
        <v>0</v>
      </c>
      <c r="AZ1112">
        <v>0</v>
      </c>
      <c r="BA1112">
        <v>100</v>
      </c>
      <c r="BB1112">
        <v>100</v>
      </c>
      <c r="BC1112">
        <v>100</v>
      </c>
      <c r="BD1112">
        <v>100</v>
      </c>
      <c r="BE1112">
        <v>1</v>
      </c>
      <c r="BF1112">
        <v>15000</v>
      </c>
      <c r="BG1112">
        <v>1000</v>
      </c>
      <c r="BH1112" s="6">
        <f>Grandview_Inventory[[#This Row],[land_extract]]*Lookups!$B$3</f>
        <v>45695.532079096141</v>
      </c>
      <c r="BI1112" s="6">
        <f>IF(Grandview_Inventory[[#This Row],[bldg_style]]="",0,Lookups!$B$2)</f>
        <v>155833.95000000001</v>
      </c>
      <c r="BJ1112" s="6">
        <f>_xlfn.IFNA(VLOOKUP(Grandview_Inventory[[#This Row],[quality]],Lookups!$H$2:$J$14,3,FALSE),0)</f>
        <v>9808</v>
      </c>
      <c r="BK1112" s="6">
        <f>_xlfn.IFNA(VLOOKUP(Grandview_Inventory[[#This Row],[condition]],Lookups!$H$17:$J$24,3,FALSE),0)</f>
        <v>25818</v>
      </c>
      <c r="BL1112" s="6">
        <f>Grandview_Inventory[[#This Row],[Eff_Age]]*Lookups!$B$14</f>
        <v>-3826.6655999999998</v>
      </c>
      <c r="BM1112" s="6">
        <f>Grandview_Inventory[[#This Row],[living_area]]*Lookups!$B$15</f>
        <v>77227.496014000004</v>
      </c>
      <c r="BN1112" s="6">
        <f>Grandview_Inventory[[#This Row],[Fin BSMT]]*Lookups!$B$16</f>
        <v>0</v>
      </c>
      <c r="BO1112" s="6">
        <f>(Grandview_Inventory[[#This Row],[att_gar]]+Grandview_Inventory[[#This Row],[bltin_gar]])*Lookups!$B$17</f>
        <v>43760.218500000003</v>
      </c>
      <c r="BP1112" s="6">
        <f>Grandview_Inventory[[#This Row],[Plumbing Fixtures]]*Lookups!$B$18</f>
        <v>16083.5344</v>
      </c>
      <c r="BQ1112" s="6">
        <f>Grandview_Inventory[[#This Row],[detatched_value]]*Lookups!$B$19</f>
        <v>0</v>
      </c>
      <c r="BR1112" s="6">
        <f>SUM(Grandview_Inventory[[#This Row],[Intercept]:[det_value]])*Grandview_Inventory[[#This Row],[res_pct]]</f>
        <v>324704.53331400006</v>
      </c>
      <c r="BS1112" s="6">
        <f>Grandview_Inventory[[#This Row],[land_value]]</f>
        <v>45695.532079096141</v>
      </c>
      <c r="BT1112" s="4">
        <f>_xlfn.IFNA(VLOOKUP(Grandview_Inventory[[#This Row],[quality]],Lookups!$A$26:$C$33,3,FALSE),1)</f>
        <v>0.94295468617355149</v>
      </c>
      <c r="BU1112" s="4">
        <f>_xlfn.IFNA(VLOOKUP(Grandview_Inventory[[#This Row],[condition]],Lookups!$A$37:$C$44,3,FALSE),1)</f>
        <v>0.96661476234146892</v>
      </c>
      <c r="BV1112" s="4">
        <f>IF(Grandview_Inventory[[#This Row],[bldg_style]]="",1,_xlfn.IFNA(VLOOKUP(Grandview_Inventory[[#This Row],[decade]],Lookups!$F$29:$H$43,3,FALSE),1))</f>
        <v>0.96737494181490646</v>
      </c>
      <c r="BW1112" s="4">
        <f>_xlfn.IFNA(VLOOKUP(Grandview_Inventory[[#This Row],[living_area_range]],Lookups!$F$47:$H$56,3,FALSE),1)</f>
        <v>0.96135087979789358</v>
      </c>
      <c r="BX1112" s="4">
        <f>AVERAGE(Grandview_Inventory[[#This Row],[qual_adj]:[size_adj]])</f>
        <v>0.95957381753195514</v>
      </c>
      <c r="BY1112" s="6">
        <f>IF(Grandview_Inventory[[#This Row],[pre_res]]&lt;0,0,Grandview_Inventory[[#This Row],[pre_res]]*Grandview_Inventory[[#This Row],[overall_adj]])</f>
        <v>311577.96860204695</v>
      </c>
      <c r="BZ1112" s="6">
        <f>(Grandview_Inventory[[#This Row],[sum_land]]-IF(Grandview_Inventory[[#This Row],[no_utilities]]=1,12000,0))/IF(Grandview_Inventory[[#This Row],[unbuildable]]=1,2,1)</f>
        <v>45695.532079096141</v>
      </c>
      <c r="CA111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112">
        <f>ROUND(Grandview_Inventory[[#This Row],[det_value]]*Lookups!$M$28,-2)</f>
        <v>0</v>
      </c>
      <c r="CC1112">
        <f>IF(ROUND(Grandview_Inventory[[#This Row],[adj_res]]*Lookups!$M$28,-2)&lt;Grandview_Inventory[[#This Row],[min_res]],Grandview_Inventory[[#This Row],[min_res]],ROUND(Grandview_Inventory[[#This Row],[adj_res]]*Lookups!$M$28,-2))</f>
        <v>296000</v>
      </c>
      <c r="CD1112">
        <f>Grandview_Inventory[[#This Row],[final_det]]+Grandview_Inventory[[#This Row],[final_res]]</f>
        <v>296000</v>
      </c>
      <c r="CE1112">
        <f>Grandview_Inventory[[#This Row],[final_land]]+Grandview_Inventory[[#This Row],[final_imp]]+Grandview_Inventory[[#This Row],[crop_value]]</f>
        <v>339400</v>
      </c>
      <c r="CG1112" t="str">
        <f t="shared" si="17"/>
        <v>update valuation set market_land =43400, market_bldg=296000, market_total =339400, market_mdno =401, market_date ='9/10/2023' where link_id = (select link_id from parcel where parcel_year = '2024' and parcel_id = '23092242514');</v>
      </c>
    </row>
    <row r="1113" spans="1:85" x14ac:dyDescent="0.25">
      <c r="A1113">
        <v>23092242515</v>
      </c>
      <c r="B1113">
        <v>0.16</v>
      </c>
      <c r="C1113">
        <v>7158</v>
      </c>
      <c r="D1113" t="s">
        <v>129</v>
      </c>
      <c r="E1113" t="s">
        <v>53</v>
      </c>
      <c r="F1113" t="s">
        <v>53</v>
      </c>
      <c r="G1113">
        <v>4</v>
      </c>
      <c r="H1113" t="s">
        <v>54</v>
      </c>
      <c r="I1113">
        <v>224000</v>
      </c>
      <c r="J1113">
        <v>38800</v>
      </c>
      <c r="K1113">
        <v>0.16</v>
      </c>
      <c r="L111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113">
        <v>0</v>
      </c>
      <c r="N1113">
        <v>0</v>
      </c>
      <c r="O1113">
        <v>0</v>
      </c>
      <c r="P1113">
        <v>13398.7528</v>
      </c>
      <c r="Q1113">
        <v>63903</v>
      </c>
      <c r="R1113">
        <f>(Grandview_Inventory[[#This Row],[ln_acres]]*Grandview_Inventory[[#This Row],[coeff]])+Grandview_Inventory[[#This Row],[const]]</f>
        <v>39348.693981374228</v>
      </c>
      <c r="S1113" t="s">
        <v>61</v>
      </c>
      <c r="T1113">
        <v>1</v>
      </c>
      <c r="U1113" t="s">
        <v>62</v>
      </c>
      <c r="V1113" t="s">
        <v>66</v>
      </c>
      <c r="W1113">
        <v>0</v>
      </c>
      <c r="X1113">
        <v>0</v>
      </c>
      <c r="Y1113">
        <v>16</v>
      </c>
      <c r="Z1113">
        <v>16</v>
      </c>
      <c r="AA1113">
        <v>20</v>
      </c>
      <c r="AB1113">
        <v>1500</v>
      </c>
      <c r="AC1113">
        <v>1238</v>
      </c>
      <c r="AD1113">
        <v>1238</v>
      </c>
      <c r="AE1113">
        <v>0</v>
      </c>
      <c r="AF1113">
        <v>0</v>
      </c>
      <c r="AG1113">
        <v>0</v>
      </c>
      <c r="AH1113">
        <v>0</v>
      </c>
      <c r="AI1113">
        <v>500</v>
      </c>
      <c r="AJ1113">
        <v>0</v>
      </c>
      <c r="AK1113">
        <v>0</v>
      </c>
      <c r="AL1113">
        <v>0</v>
      </c>
      <c r="AM1113">
        <v>99</v>
      </c>
      <c r="AN1113">
        <v>40</v>
      </c>
      <c r="AO1113">
        <v>0</v>
      </c>
      <c r="AP1113">
        <v>8</v>
      </c>
      <c r="AQ1113">
        <v>0</v>
      </c>
      <c r="AR1113">
        <v>0</v>
      </c>
      <c r="AS1113" t="s">
        <v>58</v>
      </c>
      <c r="AT1113">
        <v>1</v>
      </c>
      <c r="AU1113" t="s">
        <v>59</v>
      </c>
      <c r="AV1113" t="s">
        <v>60</v>
      </c>
      <c r="AW1113">
        <v>1</v>
      </c>
      <c r="AX1113">
        <v>3</v>
      </c>
      <c r="AY1113">
        <v>0</v>
      </c>
      <c r="AZ1113">
        <v>0</v>
      </c>
      <c r="BA1113">
        <v>100</v>
      </c>
      <c r="BB1113">
        <v>100</v>
      </c>
      <c r="BC1113">
        <v>100</v>
      </c>
      <c r="BD1113">
        <v>100</v>
      </c>
      <c r="BE1113">
        <v>1</v>
      </c>
      <c r="BF1113">
        <v>15000</v>
      </c>
      <c r="BG1113">
        <v>1000</v>
      </c>
      <c r="BH1113" s="6">
        <f>Grandview_Inventory[[#This Row],[land_extract]]*Lookups!$B$3</f>
        <v>45695.532079096141</v>
      </c>
      <c r="BI1113" s="6">
        <f>IF(Grandview_Inventory[[#This Row],[bldg_style]]="",0,Lookups!$B$2)</f>
        <v>155833.95000000001</v>
      </c>
      <c r="BJ1113" s="6">
        <f>_xlfn.IFNA(VLOOKUP(Grandview_Inventory[[#This Row],[quality]],Lookups!$H$2:$J$14,3,FALSE),0)</f>
        <v>9808</v>
      </c>
      <c r="BK1113" s="6">
        <f>_xlfn.IFNA(VLOOKUP(Grandview_Inventory[[#This Row],[condition]],Lookups!$H$17:$J$24,3,FALSE),0)</f>
        <v>25818</v>
      </c>
      <c r="BL1113" s="6">
        <f>Grandview_Inventory[[#This Row],[Eff_Age]]*Lookups!$B$14</f>
        <v>-3826.6655999999998</v>
      </c>
      <c r="BM1113" s="6">
        <f>Grandview_Inventory[[#This Row],[living_area]]*Lookups!$B$15</f>
        <v>77227.496014000004</v>
      </c>
      <c r="BN1113" s="6">
        <f>Grandview_Inventory[[#This Row],[Fin BSMT]]*Lookups!$B$16</f>
        <v>0</v>
      </c>
      <c r="BO1113" s="6">
        <f>(Grandview_Inventory[[#This Row],[att_gar]]+Grandview_Inventory[[#This Row],[bltin_gar]])*Lookups!$B$17</f>
        <v>43760.218500000003</v>
      </c>
      <c r="BP1113" s="6">
        <f>Grandview_Inventory[[#This Row],[Plumbing Fixtures]]*Lookups!$B$18</f>
        <v>16083.5344</v>
      </c>
      <c r="BQ1113" s="6">
        <f>Grandview_Inventory[[#This Row],[detatched_value]]*Lookups!$B$19</f>
        <v>0</v>
      </c>
      <c r="BR1113" s="6">
        <f>SUM(Grandview_Inventory[[#This Row],[Intercept]:[det_value]])*Grandview_Inventory[[#This Row],[res_pct]]</f>
        <v>324704.53331400006</v>
      </c>
      <c r="BS1113" s="6">
        <f>Grandview_Inventory[[#This Row],[land_value]]</f>
        <v>45695.532079096141</v>
      </c>
      <c r="BT1113" s="4">
        <f>_xlfn.IFNA(VLOOKUP(Grandview_Inventory[[#This Row],[quality]],Lookups!$A$26:$C$33,3,FALSE),1)</f>
        <v>0.94295468617355149</v>
      </c>
      <c r="BU1113" s="4">
        <f>_xlfn.IFNA(VLOOKUP(Grandview_Inventory[[#This Row],[condition]],Lookups!$A$37:$C$44,3,FALSE),1)</f>
        <v>0.96661476234146892</v>
      </c>
      <c r="BV1113" s="4">
        <f>IF(Grandview_Inventory[[#This Row],[bldg_style]]="",1,_xlfn.IFNA(VLOOKUP(Grandview_Inventory[[#This Row],[decade]],Lookups!$F$29:$H$43,3,FALSE),1))</f>
        <v>0.96737494181490646</v>
      </c>
      <c r="BW1113" s="4">
        <f>_xlfn.IFNA(VLOOKUP(Grandview_Inventory[[#This Row],[living_area_range]],Lookups!$F$47:$H$56,3,FALSE),1)</f>
        <v>0.96135087979789358</v>
      </c>
      <c r="BX1113" s="4">
        <f>AVERAGE(Grandview_Inventory[[#This Row],[qual_adj]:[size_adj]])</f>
        <v>0.95957381753195514</v>
      </c>
      <c r="BY1113" s="6">
        <f>IF(Grandview_Inventory[[#This Row],[pre_res]]&lt;0,0,Grandview_Inventory[[#This Row],[pre_res]]*Grandview_Inventory[[#This Row],[overall_adj]])</f>
        <v>311577.96860204695</v>
      </c>
      <c r="BZ1113" s="6">
        <f>(Grandview_Inventory[[#This Row],[sum_land]]-IF(Grandview_Inventory[[#This Row],[no_utilities]]=1,12000,0))/IF(Grandview_Inventory[[#This Row],[unbuildable]]=1,2,1)</f>
        <v>45695.532079096141</v>
      </c>
      <c r="CA111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113">
        <f>ROUND(Grandview_Inventory[[#This Row],[det_value]]*Lookups!$M$28,-2)</f>
        <v>0</v>
      </c>
      <c r="CC1113">
        <f>IF(ROUND(Grandview_Inventory[[#This Row],[adj_res]]*Lookups!$M$28,-2)&lt;Grandview_Inventory[[#This Row],[min_res]],Grandview_Inventory[[#This Row],[min_res]],ROUND(Grandview_Inventory[[#This Row],[adj_res]]*Lookups!$M$28,-2))</f>
        <v>296000</v>
      </c>
      <c r="CD1113">
        <f>Grandview_Inventory[[#This Row],[final_det]]+Grandview_Inventory[[#This Row],[final_res]]</f>
        <v>296000</v>
      </c>
      <c r="CE1113">
        <f>Grandview_Inventory[[#This Row],[final_land]]+Grandview_Inventory[[#This Row],[final_imp]]+Grandview_Inventory[[#This Row],[crop_value]]</f>
        <v>339400</v>
      </c>
      <c r="CG1113" t="str">
        <f t="shared" si="17"/>
        <v>update valuation set market_land =43400, market_bldg=296000, market_total =339400, market_mdno =401, market_date ='9/10/2023' where link_id = (select link_id from parcel where parcel_year = '2024' and parcel_id = '23092242515');</v>
      </c>
    </row>
    <row r="1114" spans="1:85" x14ac:dyDescent="0.25">
      <c r="A1114">
        <v>23092242516</v>
      </c>
      <c r="B1114">
        <v>0.16</v>
      </c>
      <c r="C1114">
        <v>7153</v>
      </c>
      <c r="D1114" t="s">
        <v>129</v>
      </c>
      <c r="E1114" t="s">
        <v>53</v>
      </c>
      <c r="F1114" t="s">
        <v>53</v>
      </c>
      <c r="G1114">
        <v>4</v>
      </c>
      <c r="H1114" t="s">
        <v>54</v>
      </c>
      <c r="I1114">
        <v>291300</v>
      </c>
      <c r="J1114">
        <v>38800</v>
      </c>
      <c r="K1114">
        <v>0.16</v>
      </c>
      <c r="L111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114">
        <v>0</v>
      </c>
      <c r="N1114">
        <v>0</v>
      </c>
      <c r="O1114">
        <v>0</v>
      </c>
      <c r="P1114">
        <v>13398.7528</v>
      </c>
      <c r="Q1114">
        <v>63903</v>
      </c>
      <c r="R1114">
        <f>(Grandview_Inventory[[#This Row],[ln_acres]]*Grandview_Inventory[[#This Row],[coeff]])+Grandview_Inventory[[#This Row],[const]]</f>
        <v>39348.693981374228</v>
      </c>
      <c r="S1114" t="s">
        <v>55</v>
      </c>
      <c r="T1114">
        <v>2</v>
      </c>
      <c r="U1114" t="s">
        <v>62</v>
      </c>
      <c r="V1114" t="s">
        <v>67</v>
      </c>
      <c r="W1114">
        <v>0</v>
      </c>
      <c r="X1114">
        <v>0</v>
      </c>
      <c r="Y1114">
        <v>16</v>
      </c>
      <c r="Z1114">
        <v>16</v>
      </c>
      <c r="AA1114">
        <v>20</v>
      </c>
      <c r="AB1114">
        <v>2500</v>
      </c>
      <c r="AC1114">
        <v>2184</v>
      </c>
      <c r="AD1114">
        <v>839</v>
      </c>
      <c r="AE1114">
        <v>1345</v>
      </c>
      <c r="AF1114">
        <v>0</v>
      </c>
      <c r="AG1114">
        <v>0</v>
      </c>
      <c r="AH1114">
        <v>0</v>
      </c>
      <c r="AI1114">
        <v>0</v>
      </c>
      <c r="AJ1114">
        <v>506</v>
      </c>
      <c r="AK1114">
        <v>0</v>
      </c>
      <c r="AL1114">
        <v>0</v>
      </c>
      <c r="AM1114">
        <v>100</v>
      </c>
      <c r="AN1114">
        <v>42</v>
      </c>
      <c r="AO1114">
        <v>55</v>
      </c>
      <c r="AP1114">
        <v>10</v>
      </c>
      <c r="AQ1114">
        <v>0</v>
      </c>
      <c r="AR1114">
        <v>0</v>
      </c>
      <c r="AS1114" t="s">
        <v>58</v>
      </c>
      <c r="AT1114">
        <v>1</v>
      </c>
      <c r="AU1114" t="s">
        <v>59</v>
      </c>
      <c r="AV1114" t="s">
        <v>60</v>
      </c>
      <c r="AW1114">
        <v>1</v>
      </c>
      <c r="AX1114">
        <v>3</v>
      </c>
      <c r="AY1114">
        <v>0</v>
      </c>
      <c r="AZ1114">
        <v>0</v>
      </c>
      <c r="BA1114">
        <v>100</v>
      </c>
      <c r="BB1114">
        <v>100</v>
      </c>
      <c r="BC1114">
        <v>100</v>
      </c>
      <c r="BD1114">
        <v>100</v>
      </c>
      <c r="BE1114">
        <v>1</v>
      </c>
      <c r="BF1114">
        <v>15000</v>
      </c>
      <c r="BG1114">
        <v>1000</v>
      </c>
      <c r="BH1114" s="6">
        <f>Grandview_Inventory[[#This Row],[land_extract]]*Lookups!$B$3</f>
        <v>45695.532079096141</v>
      </c>
      <c r="BI1114" s="6">
        <f>IF(Grandview_Inventory[[#This Row],[bldg_style]]="",0,Lookups!$B$2)</f>
        <v>155833.95000000001</v>
      </c>
      <c r="BJ1114" s="6">
        <f>_xlfn.IFNA(VLOOKUP(Grandview_Inventory[[#This Row],[quality]],Lookups!$H$2:$J$14,3,FALSE),0)</f>
        <v>9808</v>
      </c>
      <c r="BK1114" s="6">
        <f>_xlfn.IFNA(VLOOKUP(Grandview_Inventory[[#This Row],[condition]],Lookups!$H$17:$J$24,3,FALSE),0)</f>
        <v>22342</v>
      </c>
      <c r="BL1114" s="6">
        <f>Grandview_Inventory[[#This Row],[Eff_Age]]*Lookups!$B$14</f>
        <v>-3826.6655999999998</v>
      </c>
      <c r="BM1114" s="6">
        <f>Grandview_Inventory[[#This Row],[living_area]]*Lookups!$B$15</f>
        <v>136239.78295200001</v>
      </c>
      <c r="BN1114" s="6">
        <f>Grandview_Inventory[[#This Row],[Fin BSMT]]*Lookups!$B$16</f>
        <v>0</v>
      </c>
      <c r="BO1114" s="6">
        <f>(Grandview_Inventory[[#This Row],[att_gar]]+Grandview_Inventory[[#This Row],[bltin_gar]])*Lookups!$B$17</f>
        <v>44285.341121999998</v>
      </c>
      <c r="BP1114" s="6">
        <f>Grandview_Inventory[[#This Row],[Plumbing Fixtures]]*Lookups!$B$18</f>
        <v>20104.418000000001</v>
      </c>
      <c r="BQ1114" s="6">
        <f>Grandview_Inventory[[#This Row],[detatched_value]]*Lookups!$B$19</f>
        <v>0</v>
      </c>
      <c r="BR1114" s="6">
        <f>SUM(Grandview_Inventory[[#This Row],[Intercept]:[det_value]])*Grandview_Inventory[[#This Row],[res_pct]]</f>
        <v>384786.82647400006</v>
      </c>
      <c r="BS1114" s="6">
        <f>Grandview_Inventory[[#This Row],[land_value]]</f>
        <v>45695.532079096141</v>
      </c>
      <c r="BT1114" s="4">
        <f>_xlfn.IFNA(VLOOKUP(Grandview_Inventory[[#This Row],[quality]],Lookups!$A$26:$C$33,3,FALSE),1)</f>
        <v>0.94295468617355149</v>
      </c>
      <c r="BU1114" s="4">
        <f>_xlfn.IFNA(VLOOKUP(Grandview_Inventory[[#This Row],[condition]],Lookups!$A$37:$C$44,3,FALSE),1)</f>
        <v>0.97383723671140243</v>
      </c>
      <c r="BV1114" s="4">
        <f>IF(Grandview_Inventory[[#This Row],[bldg_style]]="",1,_xlfn.IFNA(VLOOKUP(Grandview_Inventory[[#This Row],[decade]],Lookups!$F$29:$H$43,3,FALSE),1))</f>
        <v>0.96737494181490646</v>
      </c>
      <c r="BW1114" s="4">
        <f>_xlfn.IFNA(VLOOKUP(Grandview_Inventory[[#This Row],[living_area_range]],Lookups!$F$47:$H$56,3,FALSE),1)</f>
        <v>0.95799442568048754</v>
      </c>
      <c r="BX1114" s="4">
        <f>AVERAGE(Grandview_Inventory[[#This Row],[qual_adj]:[size_adj]])</f>
        <v>0.96054032259508704</v>
      </c>
      <c r="BY1114" s="6">
        <f>IF(Grandview_Inventory[[#This Row],[pre_res]]&lt;0,0,Grandview_Inventory[[#This Row],[pre_res]]*Grandview_Inventory[[#This Row],[overall_adj]])</f>
        <v>369603.2624316758</v>
      </c>
      <c r="BZ1114" s="6">
        <f>(Grandview_Inventory[[#This Row],[sum_land]]-IF(Grandview_Inventory[[#This Row],[no_utilities]]=1,12000,0))/IF(Grandview_Inventory[[#This Row],[unbuildable]]=1,2,1)</f>
        <v>45695.532079096141</v>
      </c>
      <c r="CA111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114">
        <f>ROUND(Grandview_Inventory[[#This Row],[det_value]]*Lookups!$M$28,-2)</f>
        <v>0</v>
      </c>
      <c r="CC1114">
        <f>IF(ROUND(Grandview_Inventory[[#This Row],[adj_res]]*Lookups!$M$28,-2)&lt;Grandview_Inventory[[#This Row],[min_res]],Grandview_Inventory[[#This Row],[min_res]],ROUND(Grandview_Inventory[[#This Row],[adj_res]]*Lookups!$M$28,-2))</f>
        <v>351100</v>
      </c>
      <c r="CD1114">
        <f>Grandview_Inventory[[#This Row],[final_det]]+Grandview_Inventory[[#This Row],[final_res]]</f>
        <v>351100</v>
      </c>
      <c r="CE1114">
        <f>Grandview_Inventory[[#This Row],[final_land]]+Grandview_Inventory[[#This Row],[final_imp]]+Grandview_Inventory[[#This Row],[crop_value]]</f>
        <v>394500</v>
      </c>
      <c r="CG1114" t="str">
        <f t="shared" si="17"/>
        <v>update valuation set market_land =43400, market_bldg=351100, market_total =394500, market_mdno =401, market_date ='9/10/2023' where link_id = (select link_id from parcel where parcel_year = '2024' and parcel_id = '23092242516');</v>
      </c>
    </row>
    <row r="1115" spans="1:85" x14ac:dyDescent="0.25">
      <c r="A1115">
        <v>23092242517</v>
      </c>
      <c r="B1115">
        <v>0.18</v>
      </c>
      <c r="C1115">
        <v>7669</v>
      </c>
      <c r="D1115" t="s">
        <v>129</v>
      </c>
      <c r="E1115" t="s">
        <v>53</v>
      </c>
      <c r="F1115" t="s">
        <v>53</v>
      </c>
      <c r="G1115">
        <v>4</v>
      </c>
      <c r="H1115" t="s">
        <v>54</v>
      </c>
      <c r="I1115">
        <v>274900</v>
      </c>
      <c r="J1115">
        <v>38800</v>
      </c>
      <c r="K1115">
        <v>0.18</v>
      </c>
      <c r="L111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15">
        <v>0</v>
      </c>
      <c r="N1115">
        <v>0</v>
      </c>
      <c r="O1115">
        <v>0</v>
      </c>
      <c r="P1115">
        <v>13398.7528</v>
      </c>
      <c r="Q1115">
        <v>63903</v>
      </c>
      <c r="R1115">
        <f>(Grandview_Inventory[[#This Row],[ln_acres]]*Grandview_Inventory[[#This Row],[coeff]])+Grandview_Inventory[[#This Row],[const]]</f>
        <v>40926.839760167699</v>
      </c>
      <c r="S1115" t="s">
        <v>58</v>
      </c>
      <c r="T1115">
        <v>2</v>
      </c>
      <c r="U1115" t="s">
        <v>62</v>
      </c>
      <c r="V1115" t="s">
        <v>67</v>
      </c>
      <c r="W1115">
        <v>0</v>
      </c>
      <c r="X1115">
        <v>0</v>
      </c>
      <c r="Y1115">
        <v>16</v>
      </c>
      <c r="Z1115">
        <v>16</v>
      </c>
      <c r="AA1115">
        <v>20</v>
      </c>
      <c r="AB1115">
        <v>2000</v>
      </c>
      <c r="AC1115">
        <v>1877</v>
      </c>
      <c r="AD1115">
        <v>833</v>
      </c>
      <c r="AE1115">
        <v>1044</v>
      </c>
      <c r="AF1115">
        <v>0</v>
      </c>
      <c r="AG1115">
        <v>0</v>
      </c>
      <c r="AH1115">
        <v>0</v>
      </c>
      <c r="AI1115">
        <v>0</v>
      </c>
      <c r="AJ1115">
        <v>422</v>
      </c>
      <c r="AK1115">
        <v>0</v>
      </c>
      <c r="AL1115">
        <v>0</v>
      </c>
      <c r="AM1115">
        <v>72</v>
      </c>
      <c r="AN1115">
        <v>0</v>
      </c>
      <c r="AO1115">
        <v>0</v>
      </c>
      <c r="AP1115">
        <v>12</v>
      </c>
      <c r="AQ1115">
        <v>0</v>
      </c>
      <c r="AR1115">
        <v>0</v>
      </c>
      <c r="AS1115" t="s">
        <v>58</v>
      </c>
      <c r="AT1115">
        <v>1</v>
      </c>
      <c r="AU1115" t="s">
        <v>59</v>
      </c>
      <c r="AV1115" t="s">
        <v>60</v>
      </c>
      <c r="AW1115">
        <v>1</v>
      </c>
      <c r="AX1115">
        <v>3</v>
      </c>
      <c r="AY1115">
        <v>0</v>
      </c>
      <c r="AZ1115">
        <v>0</v>
      </c>
      <c r="BA1115">
        <v>100</v>
      </c>
      <c r="BB1115">
        <v>100</v>
      </c>
      <c r="BC1115">
        <v>100</v>
      </c>
      <c r="BD1115">
        <v>100</v>
      </c>
      <c r="BE1115">
        <v>1</v>
      </c>
      <c r="BF1115">
        <v>15000</v>
      </c>
      <c r="BG1115">
        <v>1000</v>
      </c>
      <c r="BH1115" s="6">
        <f>Grandview_Inventory[[#This Row],[land_extract]]*Lookups!$B$3</f>
        <v>47528.228511015397</v>
      </c>
      <c r="BI1115" s="6">
        <f>IF(Grandview_Inventory[[#This Row],[bldg_style]]="",0,Lookups!$B$2)</f>
        <v>155833.95000000001</v>
      </c>
      <c r="BJ1115" s="6">
        <f>_xlfn.IFNA(VLOOKUP(Grandview_Inventory[[#This Row],[quality]],Lookups!$H$2:$J$14,3,FALSE),0)</f>
        <v>9808</v>
      </c>
      <c r="BK1115" s="6">
        <f>_xlfn.IFNA(VLOOKUP(Grandview_Inventory[[#This Row],[condition]],Lookups!$H$17:$J$24,3,FALSE),0)</f>
        <v>22342</v>
      </c>
      <c r="BL1115" s="6">
        <f>Grandview_Inventory[[#This Row],[Eff_Age]]*Lookups!$B$14</f>
        <v>-3826.6655999999998</v>
      </c>
      <c r="BM1115" s="6">
        <f>Grandview_Inventory[[#This Row],[living_area]]*Lookups!$B$15</f>
        <v>117088.86108100001</v>
      </c>
      <c r="BN1115" s="6">
        <f>Grandview_Inventory[[#This Row],[Fin BSMT]]*Lookups!$B$16</f>
        <v>0</v>
      </c>
      <c r="BO1115" s="6">
        <f>(Grandview_Inventory[[#This Row],[att_gar]]+Grandview_Inventory[[#This Row],[bltin_gar]])*Lookups!$B$17</f>
        <v>36933.624413999998</v>
      </c>
      <c r="BP1115" s="6">
        <f>Grandview_Inventory[[#This Row],[Plumbing Fixtures]]*Lookups!$B$18</f>
        <v>24125.301599999999</v>
      </c>
      <c r="BQ1115" s="6">
        <f>Grandview_Inventory[[#This Row],[detatched_value]]*Lookups!$B$19</f>
        <v>0</v>
      </c>
      <c r="BR1115" s="6">
        <f>SUM(Grandview_Inventory[[#This Row],[Intercept]:[det_value]])*Grandview_Inventory[[#This Row],[res_pct]]</f>
        <v>362305.07149500004</v>
      </c>
      <c r="BS1115" s="6">
        <f>Grandview_Inventory[[#This Row],[land_value]]</f>
        <v>47528.228511015397</v>
      </c>
      <c r="BT1115" s="4">
        <f>_xlfn.IFNA(VLOOKUP(Grandview_Inventory[[#This Row],[quality]],Lookups!$A$26:$C$33,3,FALSE),1)</f>
        <v>0.94295468617355149</v>
      </c>
      <c r="BU1115" s="4">
        <f>_xlfn.IFNA(VLOOKUP(Grandview_Inventory[[#This Row],[condition]],Lookups!$A$37:$C$44,3,FALSE),1)</f>
        <v>0.97383723671140243</v>
      </c>
      <c r="BV1115" s="4">
        <f>IF(Grandview_Inventory[[#This Row],[bldg_style]]="",1,_xlfn.IFNA(VLOOKUP(Grandview_Inventory[[#This Row],[decade]],Lookups!$F$29:$H$43,3,FALSE),1))</f>
        <v>0.96737494181490646</v>
      </c>
      <c r="BW1115" s="4">
        <f>_xlfn.IFNA(VLOOKUP(Grandview_Inventory[[#This Row],[living_area_range]],Lookups!$F$47:$H$56,3,FALSE),1)</f>
        <v>0.96120133463014379</v>
      </c>
      <c r="BX1115" s="4">
        <f>AVERAGE(Grandview_Inventory[[#This Row],[qual_adj]:[size_adj]])</f>
        <v>0.96134204983250116</v>
      </c>
      <c r="BY1115" s="6">
        <f>IF(Grandview_Inventory[[#This Row],[pre_res]]&lt;0,0,Grandview_Inventory[[#This Row],[pre_res]]*Grandview_Inventory[[#This Row],[overall_adj]])</f>
        <v>348299.10009571421</v>
      </c>
      <c r="BZ1115" s="6">
        <f>(Grandview_Inventory[[#This Row],[sum_land]]-IF(Grandview_Inventory[[#This Row],[no_utilities]]=1,12000,0))/IF(Grandview_Inventory[[#This Row],[unbuildable]]=1,2,1)</f>
        <v>47528.228511015397</v>
      </c>
      <c r="CA111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15">
        <f>ROUND(Grandview_Inventory[[#This Row],[det_value]]*Lookups!$M$28,-2)</f>
        <v>0</v>
      </c>
      <c r="CC1115">
        <f>IF(ROUND(Grandview_Inventory[[#This Row],[adj_res]]*Lookups!$M$28,-2)&lt;Grandview_Inventory[[#This Row],[min_res]],Grandview_Inventory[[#This Row],[min_res]],ROUND(Grandview_Inventory[[#This Row],[adj_res]]*Lookups!$M$28,-2))</f>
        <v>330900</v>
      </c>
      <c r="CD1115">
        <f>Grandview_Inventory[[#This Row],[final_det]]+Grandview_Inventory[[#This Row],[final_res]]</f>
        <v>330900</v>
      </c>
      <c r="CE1115">
        <f>Grandview_Inventory[[#This Row],[final_land]]+Grandview_Inventory[[#This Row],[final_imp]]+Grandview_Inventory[[#This Row],[crop_value]]</f>
        <v>376100</v>
      </c>
      <c r="CG1115" t="str">
        <f t="shared" si="17"/>
        <v>update valuation set market_land =45200, market_bldg=330900, market_total =376100, market_mdno =401, market_date ='9/10/2023' where link_id = (select link_id from parcel where parcel_year = '2024' and parcel_id = '23092242517');</v>
      </c>
    </row>
    <row r="1116" spans="1:85" x14ac:dyDescent="0.25">
      <c r="A1116">
        <v>23092242518</v>
      </c>
      <c r="B1116">
        <v>0.17</v>
      </c>
      <c r="C1116">
        <v>7199</v>
      </c>
      <c r="D1116" t="s">
        <v>129</v>
      </c>
      <c r="E1116" t="s">
        <v>53</v>
      </c>
      <c r="F1116" t="s">
        <v>53</v>
      </c>
      <c r="G1116">
        <v>4</v>
      </c>
      <c r="H1116" t="s">
        <v>54</v>
      </c>
      <c r="I1116">
        <v>260300</v>
      </c>
      <c r="J1116">
        <v>43000</v>
      </c>
      <c r="K1116">
        <v>0.17</v>
      </c>
      <c r="L111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16">
        <v>0</v>
      </c>
      <c r="N1116">
        <v>0</v>
      </c>
      <c r="O1116">
        <v>0</v>
      </c>
      <c r="P1116">
        <v>13398.7528</v>
      </c>
      <c r="Q1116">
        <v>63903</v>
      </c>
      <c r="R1116">
        <f>(Grandview_Inventory[[#This Row],[ln_acres]]*Grandview_Inventory[[#This Row],[coeff]])+Grandview_Inventory[[#This Row],[const]]</f>
        <v>40160.988302686128</v>
      </c>
      <c r="S1116" t="s">
        <v>55</v>
      </c>
      <c r="T1116">
        <v>2</v>
      </c>
      <c r="U1116" t="s">
        <v>62</v>
      </c>
      <c r="V1116" t="s">
        <v>67</v>
      </c>
      <c r="W1116">
        <v>0</v>
      </c>
      <c r="X1116">
        <v>0</v>
      </c>
      <c r="Y1116">
        <v>16</v>
      </c>
      <c r="Z1116">
        <v>16</v>
      </c>
      <c r="AA1116">
        <v>20</v>
      </c>
      <c r="AB1116">
        <v>2000</v>
      </c>
      <c r="AC1116">
        <v>1886</v>
      </c>
      <c r="AD1116">
        <v>690</v>
      </c>
      <c r="AE1116">
        <v>1196</v>
      </c>
      <c r="AF1116">
        <v>0</v>
      </c>
      <c r="AG1116">
        <v>0</v>
      </c>
      <c r="AH1116">
        <v>0</v>
      </c>
      <c r="AI1116">
        <v>0</v>
      </c>
      <c r="AJ1116">
        <v>506</v>
      </c>
      <c r="AK1116">
        <v>0</v>
      </c>
      <c r="AL1116">
        <v>0</v>
      </c>
      <c r="AM1116">
        <v>100</v>
      </c>
      <c r="AN1116">
        <v>70</v>
      </c>
      <c r="AO1116">
        <v>0</v>
      </c>
      <c r="AP1116">
        <v>10</v>
      </c>
      <c r="AQ1116">
        <v>0</v>
      </c>
      <c r="AR1116">
        <v>0</v>
      </c>
      <c r="AS1116" t="s">
        <v>58</v>
      </c>
      <c r="AT1116">
        <v>1</v>
      </c>
      <c r="AU1116" t="s">
        <v>59</v>
      </c>
      <c r="AV1116" t="s">
        <v>60</v>
      </c>
      <c r="AW1116">
        <v>1</v>
      </c>
      <c r="AX1116">
        <v>3</v>
      </c>
      <c r="AY1116">
        <v>0</v>
      </c>
      <c r="AZ1116">
        <v>0</v>
      </c>
      <c r="BA1116">
        <v>100</v>
      </c>
      <c r="BB1116">
        <v>100</v>
      </c>
      <c r="BC1116">
        <v>100</v>
      </c>
      <c r="BD1116">
        <v>100</v>
      </c>
      <c r="BE1116">
        <v>1</v>
      </c>
      <c r="BF1116">
        <v>15000</v>
      </c>
      <c r="BG1116">
        <v>1000</v>
      </c>
      <c r="BH1116" s="6">
        <f>Grandview_Inventory[[#This Row],[land_extract]]*Lookups!$B$3</f>
        <v>46638.847281240982</v>
      </c>
      <c r="BI1116" s="6">
        <f>IF(Grandview_Inventory[[#This Row],[bldg_style]]="",0,Lookups!$B$2)</f>
        <v>155833.95000000001</v>
      </c>
      <c r="BJ1116" s="6">
        <f>_xlfn.IFNA(VLOOKUP(Grandview_Inventory[[#This Row],[quality]],Lookups!$H$2:$J$14,3,FALSE),0)</f>
        <v>9808</v>
      </c>
      <c r="BK1116" s="6">
        <f>_xlfn.IFNA(VLOOKUP(Grandview_Inventory[[#This Row],[condition]],Lookups!$H$17:$J$24,3,FALSE),0)</f>
        <v>22342</v>
      </c>
      <c r="BL1116" s="6">
        <f>Grandview_Inventory[[#This Row],[Eff_Age]]*Lookups!$B$14</f>
        <v>-3826.6655999999998</v>
      </c>
      <c r="BM1116" s="6">
        <f>Grandview_Inventory[[#This Row],[living_area]]*Lookups!$B$15</f>
        <v>117650.28875800001</v>
      </c>
      <c r="BN1116" s="6">
        <f>Grandview_Inventory[[#This Row],[Fin BSMT]]*Lookups!$B$16</f>
        <v>0</v>
      </c>
      <c r="BO1116" s="6">
        <f>(Grandview_Inventory[[#This Row],[att_gar]]+Grandview_Inventory[[#This Row],[bltin_gar]])*Lookups!$B$17</f>
        <v>44285.341121999998</v>
      </c>
      <c r="BP1116" s="6">
        <f>Grandview_Inventory[[#This Row],[Plumbing Fixtures]]*Lookups!$B$18</f>
        <v>20104.418000000001</v>
      </c>
      <c r="BQ1116" s="6">
        <f>Grandview_Inventory[[#This Row],[detatched_value]]*Lookups!$B$19</f>
        <v>0</v>
      </c>
      <c r="BR1116" s="6">
        <f>SUM(Grandview_Inventory[[#This Row],[Intercept]:[det_value]])*Grandview_Inventory[[#This Row],[res_pct]]</f>
        <v>366197.33228000003</v>
      </c>
      <c r="BS1116" s="6">
        <f>Grandview_Inventory[[#This Row],[land_value]]</f>
        <v>46638.847281240982</v>
      </c>
      <c r="BT1116" s="4">
        <f>_xlfn.IFNA(VLOOKUP(Grandview_Inventory[[#This Row],[quality]],Lookups!$A$26:$C$33,3,FALSE),1)</f>
        <v>0.94295468617355149</v>
      </c>
      <c r="BU1116" s="4">
        <f>_xlfn.IFNA(VLOOKUP(Grandview_Inventory[[#This Row],[condition]],Lookups!$A$37:$C$44,3,FALSE),1)</f>
        <v>0.97383723671140243</v>
      </c>
      <c r="BV1116" s="4">
        <f>IF(Grandview_Inventory[[#This Row],[bldg_style]]="",1,_xlfn.IFNA(VLOOKUP(Grandview_Inventory[[#This Row],[decade]],Lookups!$F$29:$H$43,3,FALSE),1))</f>
        <v>0.96737494181490646</v>
      </c>
      <c r="BW1116" s="4">
        <f>_xlfn.IFNA(VLOOKUP(Grandview_Inventory[[#This Row],[living_area_range]],Lookups!$F$47:$H$56,3,FALSE),1)</f>
        <v>0.96120133463014379</v>
      </c>
      <c r="BX1116" s="4">
        <f>AVERAGE(Grandview_Inventory[[#This Row],[qual_adj]:[size_adj]])</f>
        <v>0.96134204983250116</v>
      </c>
      <c r="BY1116" s="6">
        <f>IF(Grandview_Inventory[[#This Row],[pre_res]]&lt;0,0,Grandview_Inventory[[#This Row],[pre_res]]*Grandview_Inventory[[#This Row],[overall_adj]])</f>
        <v>352040.89405724878</v>
      </c>
      <c r="BZ1116" s="6">
        <f>(Grandview_Inventory[[#This Row],[sum_land]]-IF(Grandview_Inventory[[#This Row],[no_utilities]]=1,12000,0))/IF(Grandview_Inventory[[#This Row],[unbuildable]]=1,2,1)</f>
        <v>46638.847281240982</v>
      </c>
      <c r="CA111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16">
        <f>ROUND(Grandview_Inventory[[#This Row],[det_value]]*Lookups!$M$28,-2)</f>
        <v>0</v>
      </c>
      <c r="CC1116">
        <f>IF(ROUND(Grandview_Inventory[[#This Row],[adj_res]]*Lookups!$M$28,-2)&lt;Grandview_Inventory[[#This Row],[min_res]],Grandview_Inventory[[#This Row],[min_res]],ROUND(Grandview_Inventory[[#This Row],[adj_res]]*Lookups!$M$28,-2))</f>
        <v>334400</v>
      </c>
      <c r="CD1116">
        <f>Grandview_Inventory[[#This Row],[final_det]]+Grandview_Inventory[[#This Row],[final_res]]</f>
        <v>334400</v>
      </c>
      <c r="CE1116">
        <f>Grandview_Inventory[[#This Row],[final_land]]+Grandview_Inventory[[#This Row],[final_imp]]+Grandview_Inventory[[#This Row],[crop_value]]</f>
        <v>378700</v>
      </c>
      <c r="CG1116" t="str">
        <f t="shared" si="17"/>
        <v>update valuation set market_land =44300, market_bldg=334400, market_total =378700, market_mdno =401, market_date ='9/10/2023' where link_id = (select link_id from parcel where parcel_year = '2024' and parcel_id = '23092242518');</v>
      </c>
    </row>
    <row r="1117" spans="1:85" x14ac:dyDescent="0.25">
      <c r="A1117">
        <v>23092242519</v>
      </c>
      <c r="B1117">
        <v>0.17</v>
      </c>
      <c r="C1117">
        <v>7308</v>
      </c>
      <c r="D1117" t="s">
        <v>129</v>
      </c>
      <c r="E1117" t="s">
        <v>53</v>
      </c>
      <c r="F1117" t="s">
        <v>53</v>
      </c>
      <c r="G1117">
        <v>4</v>
      </c>
      <c r="H1117" t="s">
        <v>54</v>
      </c>
      <c r="I1117">
        <v>243400</v>
      </c>
      <c r="J1117">
        <v>38800</v>
      </c>
      <c r="K1117">
        <v>0.17</v>
      </c>
      <c r="L111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17">
        <v>0</v>
      </c>
      <c r="N1117">
        <v>0</v>
      </c>
      <c r="O1117">
        <v>0</v>
      </c>
      <c r="P1117">
        <v>13398.7528</v>
      </c>
      <c r="Q1117">
        <v>63903</v>
      </c>
      <c r="R1117">
        <f>(Grandview_Inventory[[#This Row],[ln_acres]]*Grandview_Inventory[[#This Row],[coeff]])+Grandview_Inventory[[#This Row],[const]]</f>
        <v>40160.988302686128</v>
      </c>
      <c r="S1117" t="s">
        <v>61</v>
      </c>
      <c r="T1117">
        <v>1</v>
      </c>
      <c r="U1117" t="s">
        <v>62</v>
      </c>
      <c r="V1117" t="s">
        <v>66</v>
      </c>
      <c r="W1117">
        <v>0</v>
      </c>
      <c r="X1117">
        <v>0</v>
      </c>
      <c r="Y1117">
        <v>16</v>
      </c>
      <c r="Z1117">
        <v>16</v>
      </c>
      <c r="AA1117">
        <v>20</v>
      </c>
      <c r="AB1117">
        <v>1500</v>
      </c>
      <c r="AC1117">
        <v>1288</v>
      </c>
      <c r="AD1117">
        <v>1288</v>
      </c>
      <c r="AE1117">
        <v>0</v>
      </c>
      <c r="AF1117">
        <v>0</v>
      </c>
      <c r="AG1117">
        <v>0</v>
      </c>
      <c r="AH1117">
        <v>0</v>
      </c>
      <c r="AI1117">
        <v>520</v>
      </c>
      <c r="AJ1117">
        <v>0</v>
      </c>
      <c r="AK1117">
        <v>0</v>
      </c>
      <c r="AL1117">
        <v>0</v>
      </c>
      <c r="AM1117">
        <v>100</v>
      </c>
      <c r="AN1117">
        <v>92</v>
      </c>
      <c r="AO1117">
        <v>0</v>
      </c>
      <c r="AP1117">
        <v>8</v>
      </c>
      <c r="AQ1117">
        <v>0</v>
      </c>
      <c r="AR1117">
        <v>0</v>
      </c>
      <c r="AS1117" t="s">
        <v>58</v>
      </c>
      <c r="AT1117">
        <v>1</v>
      </c>
      <c r="AU1117" t="s">
        <v>59</v>
      </c>
      <c r="AV1117" t="s">
        <v>60</v>
      </c>
      <c r="AW1117">
        <v>1</v>
      </c>
      <c r="AX1117">
        <v>3</v>
      </c>
      <c r="AY1117">
        <v>0</v>
      </c>
      <c r="AZ1117">
        <v>0</v>
      </c>
      <c r="BA1117">
        <v>100</v>
      </c>
      <c r="BB1117">
        <v>100</v>
      </c>
      <c r="BC1117">
        <v>100</v>
      </c>
      <c r="BD1117">
        <v>100</v>
      </c>
      <c r="BE1117">
        <v>1</v>
      </c>
      <c r="BF1117">
        <v>15000</v>
      </c>
      <c r="BG1117">
        <v>1000</v>
      </c>
      <c r="BH1117" s="6">
        <f>Grandview_Inventory[[#This Row],[land_extract]]*Lookups!$B$3</f>
        <v>46638.847281240982</v>
      </c>
      <c r="BI1117" s="6">
        <f>IF(Grandview_Inventory[[#This Row],[bldg_style]]="",0,Lookups!$B$2)</f>
        <v>155833.95000000001</v>
      </c>
      <c r="BJ1117" s="6">
        <f>_xlfn.IFNA(VLOOKUP(Grandview_Inventory[[#This Row],[quality]],Lookups!$H$2:$J$14,3,FALSE),0)</f>
        <v>9808</v>
      </c>
      <c r="BK1117" s="6">
        <f>_xlfn.IFNA(VLOOKUP(Grandview_Inventory[[#This Row],[condition]],Lookups!$H$17:$J$24,3,FALSE),0)</f>
        <v>25818</v>
      </c>
      <c r="BL1117" s="6">
        <f>Grandview_Inventory[[#This Row],[Eff_Age]]*Lookups!$B$14</f>
        <v>-3826.6655999999998</v>
      </c>
      <c r="BM1117" s="6">
        <f>Grandview_Inventory[[#This Row],[living_area]]*Lookups!$B$15</f>
        <v>80346.538664000007</v>
      </c>
      <c r="BN1117" s="6">
        <f>Grandview_Inventory[[#This Row],[Fin BSMT]]*Lookups!$B$16</f>
        <v>0</v>
      </c>
      <c r="BO1117" s="6">
        <f>(Grandview_Inventory[[#This Row],[att_gar]]+Grandview_Inventory[[#This Row],[bltin_gar]])*Lookups!$B$17</f>
        <v>45510.627240000002</v>
      </c>
      <c r="BP1117" s="6">
        <f>Grandview_Inventory[[#This Row],[Plumbing Fixtures]]*Lookups!$B$18</f>
        <v>16083.5344</v>
      </c>
      <c r="BQ1117" s="6">
        <f>Grandview_Inventory[[#This Row],[detatched_value]]*Lookups!$B$19</f>
        <v>0</v>
      </c>
      <c r="BR1117" s="6">
        <f>SUM(Grandview_Inventory[[#This Row],[Intercept]:[det_value]])*Grandview_Inventory[[#This Row],[res_pct]]</f>
        <v>329573.984704</v>
      </c>
      <c r="BS1117" s="6">
        <f>Grandview_Inventory[[#This Row],[land_value]]</f>
        <v>46638.847281240982</v>
      </c>
      <c r="BT1117" s="4">
        <f>_xlfn.IFNA(VLOOKUP(Grandview_Inventory[[#This Row],[quality]],Lookups!$A$26:$C$33,3,FALSE),1)</f>
        <v>0.94295468617355149</v>
      </c>
      <c r="BU1117" s="4">
        <f>_xlfn.IFNA(VLOOKUP(Grandview_Inventory[[#This Row],[condition]],Lookups!$A$37:$C$44,3,FALSE),1)</f>
        <v>0.96661476234146892</v>
      </c>
      <c r="BV1117" s="4">
        <f>IF(Grandview_Inventory[[#This Row],[bldg_style]]="",1,_xlfn.IFNA(VLOOKUP(Grandview_Inventory[[#This Row],[decade]],Lookups!$F$29:$H$43,3,FALSE),1))</f>
        <v>0.96737494181490646</v>
      </c>
      <c r="BW1117" s="4">
        <f>_xlfn.IFNA(VLOOKUP(Grandview_Inventory[[#This Row],[living_area_range]],Lookups!$F$47:$H$56,3,FALSE),1)</f>
        <v>0.96135087979789358</v>
      </c>
      <c r="BX1117" s="4">
        <f>AVERAGE(Grandview_Inventory[[#This Row],[qual_adj]:[size_adj]])</f>
        <v>0.95957381753195514</v>
      </c>
      <c r="BY1117" s="6">
        <f>IF(Grandview_Inventory[[#This Row],[pre_res]]&lt;0,0,Grandview_Inventory[[#This Row],[pre_res]]*Grandview_Inventory[[#This Row],[overall_adj]])</f>
        <v>316250.56666163547</v>
      </c>
      <c r="BZ1117" s="6">
        <f>(Grandview_Inventory[[#This Row],[sum_land]]-IF(Grandview_Inventory[[#This Row],[no_utilities]]=1,12000,0))/IF(Grandview_Inventory[[#This Row],[unbuildable]]=1,2,1)</f>
        <v>46638.847281240982</v>
      </c>
      <c r="CA111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17">
        <f>ROUND(Grandview_Inventory[[#This Row],[det_value]]*Lookups!$M$28,-2)</f>
        <v>0</v>
      </c>
      <c r="CC1117">
        <f>IF(ROUND(Grandview_Inventory[[#This Row],[adj_res]]*Lookups!$M$28,-2)&lt;Grandview_Inventory[[#This Row],[min_res]],Grandview_Inventory[[#This Row],[min_res]],ROUND(Grandview_Inventory[[#This Row],[adj_res]]*Lookups!$M$28,-2))</f>
        <v>300400</v>
      </c>
      <c r="CD1117">
        <f>Grandview_Inventory[[#This Row],[final_det]]+Grandview_Inventory[[#This Row],[final_res]]</f>
        <v>300400</v>
      </c>
      <c r="CE1117">
        <f>Grandview_Inventory[[#This Row],[final_land]]+Grandview_Inventory[[#This Row],[final_imp]]+Grandview_Inventory[[#This Row],[crop_value]]</f>
        <v>344700</v>
      </c>
      <c r="CG1117" t="str">
        <f t="shared" si="17"/>
        <v>update valuation set market_land =44300, market_bldg=300400, market_total =344700, market_mdno =401, market_date ='9/10/2023' where link_id = (select link_id from parcel where parcel_year = '2024' and parcel_id = '23092242519');</v>
      </c>
    </row>
    <row r="1118" spans="1:85" x14ac:dyDescent="0.25">
      <c r="A1118">
        <v>23092242520</v>
      </c>
      <c r="B1118">
        <v>0.17</v>
      </c>
      <c r="C1118">
        <v>7301</v>
      </c>
      <c r="D1118" t="s">
        <v>129</v>
      </c>
      <c r="E1118" t="s">
        <v>53</v>
      </c>
      <c r="F1118" t="s">
        <v>53</v>
      </c>
      <c r="G1118">
        <v>4</v>
      </c>
      <c r="H1118" t="s">
        <v>54</v>
      </c>
      <c r="I1118">
        <v>209600</v>
      </c>
      <c r="J1118">
        <v>38800</v>
      </c>
      <c r="K1118">
        <v>0.17</v>
      </c>
      <c r="L111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18">
        <v>0</v>
      </c>
      <c r="N1118">
        <v>0</v>
      </c>
      <c r="O1118">
        <v>0</v>
      </c>
      <c r="P1118">
        <v>13398.7528</v>
      </c>
      <c r="Q1118">
        <v>63903</v>
      </c>
      <c r="R1118">
        <f>(Grandview_Inventory[[#This Row],[ln_acres]]*Grandview_Inventory[[#This Row],[coeff]])+Grandview_Inventory[[#This Row],[const]]</f>
        <v>40160.988302686128</v>
      </c>
      <c r="S1118" t="s">
        <v>61</v>
      </c>
      <c r="T1118">
        <v>1</v>
      </c>
      <c r="U1118" t="s">
        <v>62</v>
      </c>
      <c r="V1118" t="s">
        <v>66</v>
      </c>
      <c r="W1118">
        <v>0</v>
      </c>
      <c r="X1118">
        <v>0</v>
      </c>
      <c r="Y1118">
        <v>16</v>
      </c>
      <c r="Z1118">
        <v>16</v>
      </c>
      <c r="AA1118">
        <v>20</v>
      </c>
      <c r="AB1118">
        <v>1500</v>
      </c>
      <c r="AC1118">
        <v>1009</v>
      </c>
      <c r="AD1118">
        <v>1009</v>
      </c>
      <c r="AE1118">
        <v>0</v>
      </c>
      <c r="AF1118">
        <v>0</v>
      </c>
      <c r="AG1118">
        <v>0</v>
      </c>
      <c r="AH1118">
        <v>0</v>
      </c>
      <c r="AI1118">
        <v>520</v>
      </c>
      <c r="AJ1118">
        <v>0</v>
      </c>
      <c r="AK1118">
        <v>0</v>
      </c>
      <c r="AL1118">
        <v>0</v>
      </c>
      <c r="AM1118">
        <v>100</v>
      </c>
      <c r="AN1118">
        <v>60</v>
      </c>
      <c r="AO1118">
        <v>0</v>
      </c>
      <c r="AP1118">
        <v>8</v>
      </c>
      <c r="AQ1118">
        <v>0</v>
      </c>
      <c r="AR1118">
        <v>0</v>
      </c>
      <c r="AS1118" t="s">
        <v>58</v>
      </c>
      <c r="AT1118">
        <v>1</v>
      </c>
      <c r="AU1118" t="s">
        <v>63</v>
      </c>
      <c r="AV1118" t="s">
        <v>64</v>
      </c>
      <c r="AW1118">
        <v>1</v>
      </c>
      <c r="AX1118">
        <v>3</v>
      </c>
      <c r="AY1118">
        <v>0</v>
      </c>
      <c r="AZ1118">
        <v>0</v>
      </c>
      <c r="BA1118">
        <v>100</v>
      </c>
      <c r="BB1118">
        <v>100</v>
      </c>
      <c r="BC1118">
        <v>100</v>
      </c>
      <c r="BD1118">
        <v>100</v>
      </c>
      <c r="BE1118">
        <v>1</v>
      </c>
      <c r="BF1118">
        <v>15000</v>
      </c>
      <c r="BG1118">
        <v>1000</v>
      </c>
      <c r="BH1118" s="6">
        <f>Grandview_Inventory[[#This Row],[land_extract]]*Lookups!$B$3</f>
        <v>46638.847281240982</v>
      </c>
      <c r="BI1118" s="6">
        <f>IF(Grandview_Inventory[[#This Row],[bldg_style]]="",0,Lookups!$B$2)</f>
        <v>155833.95000000001</v>
      </c>
      <c r="BJ1118" s="6">
        <f>_xlfn.IFNA(VLOOKUP(Grandview_Inventory[[#This Row],[quality]],Lookups!$H$2:$J$14,3,FALSE),0)</f>
        <v>9808</v>
      </c>
      <c r="BK1118" s="6">
        <f>_xlfn.IFNA(VLOOKUP(Grandview_Inventory[[#This Row],[condition]],Lookups!$H$17:$J$24,3,FALSE),0)</f>
        <v>25818</v>
      </c>
      <c r="BL1118" s="6">
        <f>Grandview_Inventory[[#This Row],[Eff_Age]]*Lookups!$B$14</f>
        <v>-3826.6655999999998</v>
      </c>
      <c r="BM1118" s="6">
        <f>Grandview_Inventory[[#This Row],[living_area]]*Lookups!$B$15</f>
        <v>62942.280677000002</v>
      </c>
      <c r="BN1118" s="6">
        <f>Grandview_Inventory[[#This Row],[Fin BSMT]]*Lookups!$B$16</f>
        <v>0</v>
      </c>
      <c r="BO1118" s="6">
        <f>(Grandview_Inventory[[#This Row],[att_gar]]+Grandview_Inventory[[#This Row],[bltin_gar]])*Lookups!$B$17</f>
        <v>45510.627240000002</v>
      </c>
      <c r="BP1118" s="6">
        <f>Grandview_Inventory[[#This Row],[Plumbing Fixtures]]*Lookups!$B$18</f>
        <v>16083.5344</v>
      </c>
      <c r="BQ1118" s="6">
        <f>Grandview_Inventory[[#This Row],[detatched_value]]*Lookups!$B$19</f>
        <v>0</v>
      </c>
      <c r="BR1118" s="6">
        <f>SUM(Grandview_Inventory[[#This Row],[Intercept]:[det_value]])*Grandview_Inventory[[#This Row],[res_pct]]</f>
        <v>312169.72671700001</v>
      </c>
      <c r="BS1118" s="6">
        <f>Grandview_Inventory[[#This Row],[land_value]]</f>
        <v>46638.847281240982</v>
      </c>
      <c r="BT1118" s="4">
        <f>_xlfn.IFNA(VLOOKUP(Grandview_Inventory[[#This Row],[quality]],Lookups!$A$26:$C$33,3,FALSE),1)</f>
        <v>0.94295468617355149</v>
      </c>
      <c r="BU1118" s="4">
        <f>_xlfn.IFNA(VLOOKUP(Grandview_Inventory[[#This Row],[condition]],Lookups!$A$37:$C$44,3,FALSE),1)</f>
        <v>0.96661476234146892</v>
      </c>
      <c r="BV1118" s="4">
        <f>IF(Grandview_Inventory[[#This Row],[bldg_style]]="",1,_xlfn.IFNA(VLOOKUP(Grandview_Inventory[[#This Row],[decade]],Lookups!$F$29:$H$43,3,FALSE),1))</f>
        <v>0.96737494181490646</v>
      </c>
      <c r="BW1118" s="4">
        <f>_xlfn.IFNA(VLOOKUP(Grandview_Inventory[[#This Row],[living_area_range]],Lookups!$F$47:$H$56,3,FALSE),1)</f>
        <v>0.96135087979789358</v>
      </c>
      <c r="BX1118" s="4">
        <f>AVERAGE(Grandview_Inventory[[#This Row],[qual_adj]:[size_adj]])</f>
        <v>0.95957381753195514</v>
      </c>
      <c r="BY1118" s="6">
        <f>IF(Grandview_Inventory[[#This Row],[pre_res]]&lt;0,0,Grandview_Inventory[[#This Row],[pre_res]]*Grandview_Inventory[[#This Row],[overall_adj]])</f>
        <v>299549.89638373884</v>
      </c>
      <c r="BZ1118" s="6">
        <f>(Grandview_Inventory[[#This Row],[sum_land]]-IF(Grandview_Inventory[[#This Row],[no_utilities]]=1,12000,0))/IF(Grandview_Inventory[[#This Row],[unbuildable]]=1,2,1)</f>
        <v>46638.847281240982</v>
      </c>
      <c r="CA111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18">
        <f>ROUND(Grandview_Inventory[[#This Row],[det_value]]*Lookups!$M$28,-2)</f>
        <v>0</v>
      </c>
      <c r="CC1118">
        <f>IF(ROUND(Grandview_Inventory[[#This Row],[adj_res]]*Lookups!$M$28,-2)&lt;Grandview_Inventory[[#This Row],[min_res]],Grandview_Inventory[[#This Row],[min_res]],ROUND(Grandview_Inventory[[#This Row],[adj_res]]*Lookups!$M$28,-2))</f>
        <v>284600</v>
      </c>
      <c r="CD1118">
        <f>Grandview_Inventory[[#This Row],[final_det]]+Grandview_Inventory[[#This Row],[final_res]]</f>
        <v>284600</v>
      </c>
      <c r="CE1118">
        <f>Grandview_Inventory[[#This Row],[final_land]]+Grandview_Inventory[[#This Row],[final_imp]]+Grandview_Inventory[[#This Row],[crop_value]]</f>
        <v>328900</v>
      </c>
      <c r="CG1118" t="str">
        <f t="shared" si="17"/>
        <v>update valuation set market_land =44300, market_bldg=284600, market_total =328900, market_mdno =401, market_date ='9/10/2023' where link_id = (select link_id from parcel where parcel_year = '2024' and parcel_id = '23092242520');</v>
      </c>
    </row>
    <row r="1119" spans="1:85" x14ac:dyDescent="0.25">
      <c r="A1119">
        <v>23092242521</v>
      </c>
      <c r="B1119">
        <v>0.17</v>
      </c>
      <c r="C1119">
        <v>7354</v>
      </c>
      <c r="D1119" t="s">
        <v>129</v>
      </c>
      <c r="E1119" t="s">
        <v>53</v>
      </c>
      <c r="F1119" t="s">
        <v>53</v>
      </c>
      <c r="G1119">
        <v>4</v>
      </c>
      <c r="H1119" t="s">
        <v>54</v>
      </c>
      <c r="I1119">
        <v>255000</v>
      </c>
      <c r="J1119">
        <v>38800</v>
      </c>
      <c r="K1119">
        <v>0.17</v>
      </c>
      <c r="L111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19">
        <v>0</v>
      </c>
      <c r="N1119">
        <v>0</v>
      </c>
      <c r="O1119">
        <v>0</v>
      </c>
      <c r="P1119">
        <v>13398.7528</v>
      </c>
      <c r="Q1119">
        <v>63903</v>
      </c>
      <c r="R1119">
        <f>(Grandview_Inventory[[#This Row],[ln_acres]]*Grandview_Inventory[[#This Row],[coeff]])+Grandview_Inventory[[#This Row],[const]]</f>
        <v>40160.988302686128</v>
      </c>
      <c r="S1119" t="s">
        <v>55</v>
      </c>
      <c r="T1119">
        <v>1</v>
      </c>
      <c r="U1119" t="s">
        <v>62</v>
      </c>
      <c r="V1119" t="s">
        <v>66</v>
      </c>
      <c r="W1119">
        <v>0</v>
      </c>
      <c r="X1119">
        <v>0</v>
      </c>
      <c r="Y1119">
        <v>16</v>
      </c>
      <c r="Z1119">
        <v>16</v>
      </c>
      <c r="AA1119">
        <v>20</v>
      </c>
      <c r="AB1119">
        <v>2000</v>
      </c>
      <c r="AC1119">
        <v>1696</v>
      </c>
      <c r="AD1119">
        <v>1282</v>
      </c>
      <c r="AE1119">
        <v>0</v>
      </c>
      <c r="AF1119">
        <v>414</v>
      </c>
      <c r="AG1119">
        <v>0</v>
      </c>
      <c r="AH1119">
        <v>0</v>
      </c>
      <c r="AI1119">
        <v>0</v>
      </c>
      <c r="AJ1119">
        <v>574</v>
      </c>
      <c r="AK1119">
        <v>0</v>
      </c>
      <c r="AL1119">
        <v>0</v>
      </c>
      <c r="AM1119">
        <v>100</v>
      </c>
      <c r="AN1119">
        <v>55</v>
      </c>
      <c r="AO1119">
        <v>0</v>
      </c>
      <c r="AP1119">
        <v>8</v>
      </c>
      <c r="AQ1119">
        <v>0</v>
      </c>
      <c r="AR1119">
        <v>0</v>
      </c>
      <c r="AS1119" t="s">
        <v>58</v>
      </c>
      <c r="AT1119">
        <v>1</v>
      </c>
      <c r="AU1119" t="s">
        <v>63</v>
      </c>
      <c r="AV1119" t="s">
        <v>64</v>
      </c>
      <c r="AW1119">
        <v>1</v>
      </c>
      <c r="AX1119">
        <v>3</v>
      </c>
      <c r="AY1119">
        <v>0</v>
      </c>
      <c r="AZ1119">
        <v>0</v>
      </c>
      <c r="BA1119">
        <v>100</v>
      </c>
      <c r="BB1119">
        <v>100</v>
      </c>
      <c r="BC1119">
        <v>100</v>
      </c>
      <c r="BD1119">
        <v>100</v>
      </c>
      <c r="BE1119">
        <v>1</v>
      </c>
      <c r="BF1119">
        <v>15000</v>
      </c>
      <c r="BG1119">
        <v>1000</v>
      </c>
      <c r="BH1119" s="6">
        <f>Grandview_Inventory[[#This Row],[land_extract]]*Lookups!$B$3</f>
        <v>46638.847281240982</v>
      </c>
      <c r="BI1119" s="6">
        <f>IF(Grandview_Inventory[[#This Row],[bldg_style]]="",0,Lookups!$B$2)</f>
        <v>155833.95000000001</v>
      </c>
      <c r="BJ1119" s="6">
        <f>_xlfn.IFNA(VLOOKUP(Grandview_Inventory[[#This Row],[quality]],Lookups!$H$2:$J$14,3,FALSE),0)</f>
        <v>9808</v>
      </c>
      <c r="BK1119" s="6">
        <f>_xlfn.IFNA(VLOOKUP(Grandview_Inventory[[#This Row],[condition]],Lookups!$H$17:$J$24,3,FALSE),0)</f>
        <v>25818</v>
      </c>
      <c r="BL1119" s="6">
        <f>Grandview_Inventory[[#This Row],[Eff_Age]]*Lookups!$B$14</f>
        <v>-3826.6655999999998</v>
      </c>
      <c r="BM1119" s="6">
        <f>Grandview_Inventory[[#This Row],[living_area]]*Lookups!$B$15</f>
        <v>105797.92668800001</v>
      </c>
      <c r="BN1119" s="6">
        <f>Grandview_Inventory[[#This Row],[Fin BSMT]]*Lookups!$B$16</f>
        <v>0</v>
      </c>
      <c r="BO1119" s="6">
        <f>(Grandview_Inventory[[#This Row],[att_gar]]+Grandview_Inventory[[#This Row],[bltin_gar]])*Lookups!$B$17</f>
        <v>50236.730838000003</v>
      </c>
      <c r="BP1119" s="6">
        <f>Grandview_Inventory[[#This Row],[Plumbing Fixtures]]*Lookups!$B$18</f>
        <v>16083.5344</v>
      </c>
      <c r="BQ1119" s="6">
        <f>Grandview_Inventory[[#This Row],[detatched_value]]*Lookups!$B$19</f>
        <v>0</v>
      </c>
      <c r="BR1119" s="6">
        <f>SUM(Grandview_Inventory[[#This Row],[Intercept]:[det_value]])*Grandview_Inventory[[#This Row],[res_pct]]</f>
        <v>359751.476326</v>
      </c>
      <c r="BS1119" s="6">
        <f>Grandview_Inventory[[#This Row],[land_value]]</f>
        <v>46638.847281240982</v>
      </c>
      <c r="BT1119" s="4">
        <f>_xlfn.IFNA(VLOOKUP(Grandview_Inventory[[#This Row],[quality]],Lookups!$A$26:$C$33,3,FALSE),1)</f>
        <v>0.94295468617355149</v>
      </c>
      <c r="BU1119" s="4">
        <f>_xlfn.IFNA(VLOOKUP(Grandview_Inventory[[#This Row],[condition]],Lookups!$A$37:$C$44,3,FALSE),1)</f>
        <v>0.96661476234146892</v>
      </c>
      <c r="BV1119" s="4">
        <f>IF(Grandview_Inventory[[#This Row],[bldg_style]]="",1,_xlfn.IFNA(VLOOKUP(Grandview_Inventory[[#This Row],[decade]],Lookups!$F$29:$H$43,3,FALSE),1))</f>
        <v>0.96737494181490646</v>
      </c>
      <c r="BW1119" s="4">
        <f>_xlfn.IFNA(VLOOKUP(Grandview_Inventory[[#This Row],[living_area_range]],Lookups!$F$47:$H$56,3,FALSE),1)</f>
        <v>0.96120133463014379</v>
      </c>
      <c r="BX1119" s="4">
        <f>AVERAGE(Grandview_Inventory[[#This Row],[qual_adj]:[size_adj]])</f>
        <v>0.95953643124001764</v>
      </c>
      <c r="BY1119" s="6">
        <f>IF(Grandview_Inventory[[#This Row],[pre_res]]&lt;0,0,Grandview_Inventory[[#This Row],[pre_res]]*Grandview_Inventory[[#This Row],[overall_adj]])</f>
        <v>345194.64772717771</v>
      </c>
      <c r="BZ1119" s="6">
        <f>(Grandview_Inventory[[#This Row],[sum_land]]-IF(Grandview_Inventory[[#This Row],[no_utilities]]=1,12000,0))/IF(Grandview_Inventory[[#This Row],[unbuildable]]=1,2,1)</f>
        <v>46638.847281240982</v>
      </c>
      <c r="CA111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19">
        <f>ROUND(Grandview_Inventory[[#This Row],[det_value]]*Lookups!$M$28,-2)</f>
        <v>0</v>
      </c>
      <c r="CC1119">
        <f>IF(ROUND(Grandview_Inventory[[#This Row],[adj_res]]*Lookups!$M$28,-2)&lt;Grandview_Inventory[[#This Row],[min_res]],Grandview_Inventory[[#This Row],[min_res]],ROUND(Grandview_Inventory[[#This Row],[adj_res]]*Lookups!$M$28,-2))</f>
        <v>327900</v>
      </c>
      <c r="CD1119">
        <f>Grandview_Inventory[[#This Row],[final_det]]+Grandview_Inventory[[#This Row],[final_res]]</f>
        <v>327900</v>
      </c>
      <c r="CE1119">
        <f>Grandview_Inventory[[#This Row],[final_land]]+Grandview_Inventory[[#This Row],[final_imp]]+Grandview_Inventory[[#This Row],[crop_value]]</f>
        <v>372200</v>
      </c>
      <c r="CG1119" t="str">
        <f t="shared" si="17"/>
        <v>update valuation set market_land =44300, market_bldg=327900, market_total =372200, market_mdno =401, market_date ='9/10/2023' where link_id = (select link_id from parcel where parcel_year = '2024' and parcel_id = '23092242521');</v>
      </c>
    </row>
    <row r="1120" spans="1:85" x14ac:dyDescent="0.25">
      <c r="A1120">
        <v>23092242522</v>
      </c>
      <c r="B1120">
        <v>0.17</v>
      </c>
      <c r="C1120">
        <v>7478</v>
      </c>
      <c r="D1120" t="s">
        <v>129</v>
      </c>
      <c r="E1120" t="s">
        <v>53</v>
      </c>
      <c r="F1120" t="s">
        <v>53</v>
      </c>
      <c r="G1120">
        <v>4</v>
      </c>
      <c r="H1120" t="s">
        <v>54</v>
      </c>
      <c r="I1120">
        <v>240400</v>
      </c>
      <c r="J1120">
        <v>38800</v>
      </c>
      <c r="K1120">
        <v>0.17</v>
      </c>
      <c r="L112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0">
        <v>0</v>
      </c>
      <c r="N1120">
        <v>0</v>
      </c>
      <c r="O1120">
        <v>0</v>
      </c>
      <c r="P1120">
        <v>13398.7528</v>
      </c>
      <c r="Q1120">
        <v>63903</v>
      </c>
      <c r="R1120">
        <f>(Grandview_Inventory[[#This Row],[ln_acres]]*Grandview_Inventory[[#This Row],[coeff]])+Grandview_Inventory[[#This Row],[const]]</f>
        <v>40160.988302686128</v>
      </c>
      <c r="S1120" t="s">
        <v>58</v>
      </c>
      <c r="T1120">
        <v>1</v>
      </c>
      <c r="U1120" t="s">
        <v>64</v>
      </c>
      <c r="V1120" t="s">
        <v>67</v>
      </c>
      <c r="W1120">
        <v>0</v>
      </c>
      <c r="X1120">
        <v>0</v>
      </c>
      <c r="Y1120">
        <v>16</v>
      </c>
      <c r="Z1120">
        <v>16</v>
      </c>
      <c r="AA1120">
        <v>20</v>
      </c>
      <c r="AB1120">
        <v>1500</v>
      </c>
      <c r="AC1120">
        <v>1370</v>
      </c>
      <c r="AD1120">
        <v>1370</v>
      </c>
      <c r="AE1120">
        <v>0</v>
      </c>
      <c r="AF1120">
        <v>0</v>
      </c>
      <c r="AG1120">
        <v>0</v>
      </c>
      <c r="AH1120">
        <v>0</v>
      </c>
      <c r="AI1120">
        <v>440</v>
      </c>
      <c r="AJ1120">
        <v>0</v>
      </c>
      <c r="AK1120">
        <v>0</v>
      </c>
      <c r="AL1120">
        <v>0</v>
      </c>
      <c r="AM1120">
        <v>0</v>
      </c>
      <c r="AN1120">
        <v>278</v>
      </c>
      <c r="AO1120">
        <v>0</v>
      </c>
      <c r="AP1120">
        <v>9</v>
      </c>
      <c r="AQ1120">
        <v>0</v>
      </c>
      <c r="AR1120">
        <v>0</v>
      </c>
      <c r="AS1120" t="s">
        <v>58</v>
      </c>
      <c r="AT1120">
        <v>1</v>
      </c>
      <c r="AU1120" t="s">
        <v>59</v>
      </c>
      <c r="AV1120" t="s">
        <v>60</v>
      </c>
      <c r="AW1120">
        <v>1</v>
      </c>
      <c r="AX1120">
        <v>3</v>
      </c>
      <c r="AY1120">
        <v>0</v>
      </c>
      <c r="AZ1120">
        <v>0</v>
      </c>
      <c r="BA1120">
        <v>100</v>
      </c>
      <c r="BB1120">
        <v>100</v>
      </c>
      <c r="BC1120">
        <v>100</v>
      </c>
      <c r="BD1120">
        <v>100</v>
      </c>
      <c r="BE1120">
        <v>1</v>
      </c>
      <c r="BF1120">
        <v>15000</v>
      </c>
      <c r="BG1120">
        <v>1000</v>
      </c>
      <c r="BH1120" s="6">
        <f>Grandview_Inventory[[#This Row],[land_extract]]*Lookups!$B$3</f>
        <v>46638.847281240982</v>
      </c>
      <c r="BI1120" s="6">
        <f>IF(Grandview_Inventory[[#This Row],[bldg_style]]="",0,Lookups!$B$2)</f>
        <v>155833.95000000001</v>
      </c>
      <c r="BJ1120" s="6">
        <f>_xlfn.IFNA(VLOOKUP(Grandview_Inventory[[#This Row],[quality]],Lookups!$H$2:$J$14,3,FALSE),0)</f>
        <v>20768</v>
      </c>
      <c r="BK1120" s="6">
        <f>_xlfn.IFNA(VLOOKUP(Grandview_Inventory[[#This Row],[condition]],Lookups!$H$17:$J$24,3,FALSE),0)</f>
        <v>22342</v>
      </c>
      <c r="BL1120" s="6">
        <f>Grandview_Inventory[[#This Row],[Eff_Age]]*Lookups!$B$14</f>
        <v>-3826.6655999999998</v>
      </c>
      <c r="BM1120" s="6">
        <f>Grandview_Inventory[[#This Row],[living_area]]*Lookups!$B$15</f>
        <v>85461.768609999999</v>
      </c>
      <c r="BN1120" s="6">
        <f>Grandview_Inventory[[#This Row],[Fin BSMT]]*Lookups!$B$16</f>
        <v>0</v>
      </c>
      <c r="BO1120" s="6">
        <f>(Grandview_Inventory[[#This Row],[att_gar]]+Grandview_Inventory[[#This Row],[bltin_gar]])*Lookups!$B$17</f>
        <v>38508.992279999999</v>
      </c>
      <c r="BP1120" s="6">
        <f>Grandview_Inventory[[#This Row],[Plumbing Fixtures]]*Lookups!$B$18</f>
        <v>18093.976200000001</v>
      </c>
      <c r="BQ1120" s="6">
        <f>Grandview_Inventory[[#This Row],[detatched_value]]*Lookups!$B$19</f>
        <v>0</v>
      </c>
      <c r="BR1120" s="6">
        <f>SUM(Grandview_Inventory[[#This Row],[Intercept]:[det_value]])*Grandview_Inventory[[#This Row],[res_pct]]</f>
        <v>337182.02149000001</v>
      </c>
      <c r="BS1120" s="6">
        <f>Grandview_Inventory[[#This Row],[land_value]]</f>
        <v>46638.847281240982</v>
      </c>
      <c r="BT1120" s="4">
        <f>_xlfn.IFNA(VLOOKUP(Grandview_Inventory[[#This Row],[quality]],Lookups!$A$26:$C$33,3,FALSE),1)</f>
        <v>0.94960540378902636</v>
      </c>
      <c r="BU1120" s="4">
        <f>_xlfn.IFNA(VLOOKUP(Grandview_Inventory[[#This Row],[condition]],Lookups!$A$37:$C$44,3,FALSE),1)</f>
        <v>0.97383723671140243</v>
      </c>
      <c r="BV1120" s="4">
        <f>IF(Grandview_Inventory[[#This Row],[bldg_style]]="",1,_xlfn.IFNA(VLOOKUP(Grandview_Inventory[[#This Row],[decade]],Lookups!$F$29:$H$43,3,FALSE),1))</f>
        <v>0.96737494181490646</v>
      </c>
      <c r="BW1120" s="4">
        <f>_xlfn.IFNA(VLOOKUP(Grandview_Inventory[[#This Row],[living_area_range]],Lookups!$F$47:$H$56,3,FALSE),1)</f>
        <v>0.96135087979789358</v>
      </c>
      <c r="BX1120" s="4">
        <f>AVERAGE(Grandview_Inventory[[#This Row],[qual_adj]:[size_adj]])</f>
        <v>0.96304211552830721</v>
      </c>
      <c r="BY1120" s="6">
        <f>IF(Grandview_Inventory[[#This Row],[pre_res]]&lt;0,0,Grandview_Inventory[[#This Row],[pre_res]]*Grandview_Inventory[[#This Row],[overall_adj]])</f>
        <v>324720.48729384074</v>
      </c>
      <c r="BZ1120" s="6">
        <f>(Grandview_Inventory[[#This Row],[sum_land]]-IF(Grandview_Inventory[[#This Row],[no_utilities]]=1,12000,0))/IF(Grandview_Inventory[[#This Row],[unbuildable]]=1,2,1)</f>
        <v>46638.847281240982</v>
      </c>
      <c r="CA112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0">
        <f>ROUND(Grandview_Inventory[[#This Row],[det_value]]*Lookups!$M$28,-2)</f>
        <v>0</v>
      </c>
      <c r="CC1120">
        <f>IF(ROUND(Grandview_Inventory[[#This Row],[adj_res]]*Lookups!$M$28,-2)&lt;Grandview_Inventory[[#This Row],[min_res]],Grandview_Inventory[[#This Row],[min_res]],ROUND(Grandview_Inventory[[#This Row],[adj_res]]*Lookups!$M$28,-2))</f>
        <v>308500</v>
      </c>
      <c r="CD1120">
        <f>Grandview_Inventory[[#This Row],[final_det]]+Grandview_Inventory[[#This Row],[final_res]]</f>
        <v>308500</v>
      </c>
      <c r="CE1120">
        <f>Grandview_Inventory[[#This Row],[final_land]]+Grandview_Inventory[[#This Row],[final_imp]]+Grandview_Inventory[[#This Row],[crop_value]]</f>
        <v>352800</v>
      </c>
      <c r="CG1120" t="str">
        <f t="shared" si="17"/>
        <v>update valuation set market_land =44300, market_bldg=308500, market_total =352800, market_mdno =401, market_date ='9/10/2023' where link_id = (select link_id from parcel where parcel_year = '2024' and parcel_id = '23092242522');</v>
      </c>
    </row>
    <row r="1121" spans="1:85" x14ac:dyDescent="0.25">
      <c r="A1121">
        <v>23092242524</v>
      </c>
      <c r="B1121">
        <v>0.18</v>
      </c>
      <c r="C1121">
        <v>7734</v>
      </c>
      <c r="D1121" t="s">
        <v>129</v>
      </c>
      <c r="E1121" t="s">
        <v>53</v>
      </c>
      <c r="F1121" t="s">
        <v>53</v>
      </c>
      <c r="G1121">
        <v>4</v>
      </c>
      <c r="H1121" t="s">
        <v>54</v>
      </c>
      <c r="I1121">
        <v>237000</v>
      </c>
      <c r="J1121">
        <v>38800</v>
      </c>
      <c r="K1121">
        <v>0.18</v>
      </c>
      <c r="L11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21">
        <v>0</v>
      </c>
      <c r="N1121">
        <v>0</v>
      </c>
      <c r="O1121">
        <v>0</v>
      </c>
      <c r="P1121">
        <v>13398.7528</v>
      </c>
      <c r="Q1121">
        <v>63903</v>
      </c>
      <c r="R1121">
        <f>(Grandview_Inventory[[#This Row],[ln_acres]]*Grandview_Inventory[[#This Row],[coeff]])+Grandview_Inventory[[#This Row],[const]]</f>
        <v>40926.839760167699</v>
      </c>
      <c r="S1121" t="s">
        <v>61</v>
      </c>
      <c r="T1121">
        <v>1</v>
      </c>
      <c r="U1121" t="s">
        <v>62</v>
      </c>
      <c r="V1121" t="s">
        <v>66</v>
      </c>
      <c r="W1121">
        <v>0</v>
      </c>
      <c r="X1121">
        <v>0</v>
      </c>
      <c r="Y1121">
        <v>11</v>
      </c>
      <c r="Z1121">
        <v>11</v>
      </c>
      <c r="AA1121">
        <v>20</v>
      </c>
      <c r="AB1121">
        <v>1500</v>
      </c>
      <c r="AC1121">
        <v>1241</v>
      </c>
      <c r="AD1121">
        <v>1241</v>
      </c>
      <c r="AE1121">
        <v>0</v>
      </c>
      <c r="AF1121">
        <v>0</v>
      </c>
      <c r="AG1121">
        <v>0</v>
      </c>
      <c r="AH1121">
        <v>0</v>
      </c>
      <c r="AI1121">
        <v>442</v>
      </c>
      <c r="AJ1121">
        <v>0</v>
      </c>
      <c r="AK1121">
        <v>0</v>
      </c>
      <c r="AL1121">
        <v>0</v>
      </c>
      <c r="AM1121">
        <v>72</v>
      </c>
      <c r="AN1121">
        <v>12</v>
      </c>
      <c r="AO1121">
        <v>0</v>
      </c>
      <c r="AP1121">
        <v>8</v>
      </c>
      <c r="AQ1121">
        <v>0</v>
      </c>
      <c r="AR1121">
        <v>0</v>
      </c>
      <c r="AS1121" t="s">
        <v>58</v>
      </c>
      <c r="AT1121">
        <v>1</v>
      </c>
      <c r="AU1121" t="s">
        <v>59</v>
      </c>
      <c r="AV1121" t="s">
        <v>60</v>
      </c>
      <c r="AW1121">
        <v>1</v>
      </c>
      <c r="AX1121">
        <v>3</v>
      </c>
      <c r="AY1121">
        <v>0</v>
      </c>
      <c r="AZ1121">
        <v>0</v>
      </c>
      <c r="BA1121">
        <v>100</v>
      </c>
      <c r="BB1121">
        <v>100</v>
      </c>
      <c r="BC1121">
        <v>100</v>
      </c>
      <c r="BD1121">
        <v>100</v>
      </c>
      <c r="BE1121">
        <v>1</v>
      </c>
      <c r="BF1121">
        <v>15000</v>
      </c>
      <c r="BG1121">
        <v>1000</v>
      </c>
      <c r="BH1121" s="6">
        <f>Grandview_Inventory[[#This Row],[land_extract]]*Lookups!$B$3</f>
        <v>47528.228511015397</v>
      </c>
      <c r="BI1121" s="6">
        <f>IF(Grandview_Inventory[[#This Row],[bldg_style]]="",0,Lookups!$B$2)</f>
        <v>155833.95000000001</v>
      </c>
      <c r="BJ1121" s="6">
        <f>_xlfn.IFNA(VLOOKUP(Grandview_Inventory[[#This Row],[quality]],Lookups!$H$2:$J$14,3,FALSE),0)</f>
        <v>9808</v>
      </c>
      <c r="BK1121" s="6">
        <f>_xlfn.IFNA(VLOOKUP(Grandview_Inventory[[#This Row],[condition]],Lookups!$H$17:$J$24,3,FALSE),0)</f>
        <v>25818</v>
      </c>
      <c r="BL1121" s="6">
        <f>Grandview_Inventory[[#This Row],[Eff_Age]]*Lookups!$B$14</f>
        <v>-2630.8325999999997</v>
      </c>
      <c r="BM1121" s="6">
        <f>Grandview_Inventory[[#This Row],[living_area]]*Lookups!$B$15</f>
        <v>77414.638573000004</v>
      </c>
      <c r="BN1121" s="6">
        <f>Grandview_Inventory[[#This Row],[Fin BSMT]]*Lookups!$B$16</f>
        <v>0</v>
      </c>
      <c r="BO1121" s="6">
        <f>(Grandview_Inventory[[#This Row],[att_gar]]+Grandview_Inventory[[#This Row],[bltin_gar]])*Lookups!$B$17</f>
        <v>38684.033153999997</v>
      </c>
      <c r="BP1121" s="6">
        <f>Grandview_Inventory[[#This Row],[Plumbing Fixtures]]*Lookups!$B$18</f>
        <v>16083.5344</v>
      </c>
      <c r="BQ1121" s="6">
        <f>Grandview_Inventory[[#This Row],[detatched_value]]*Lookups!$B$19</f>
        <v>0</v>
      </c>
      <c r="BR1121" s="6">
        <f>SUM(Grandview_Inventory[[#This Row],[Intercept]:[det_value]])*Grandview_Inventory[[#This Row],[res_pct]]</f>
        <v>321011.32352700003</v>
      </c>
      <c r="BS1121" s="6">
        <f>Grandview_Inventory[[#This Row],[land_value]]</f>
        <v>47528.228511015397</v>
      </c>
      <c r="BT1121" s="4">
        <f>_xlfn.IFNA(VLOOKUP(Grandview_Inventory[[#This Row],[quality]],Lookups!$A$26:$C$33,3,FALSE),1)</f>
        <v>0.94295468617355149</v>
      </c>
      <c r="BU1121" s="4">
        <f>_xlfn.IFNA(VLOOKUP(Grandview_Inventory[[#This Row],[condition]],Lookups!$A$37:$C$44,3,FALSE),1)</f>
        <v>0.96661476234146892</v>
      </c>
      <c r="BV1121" s="4">
        <f>IF(Grandview_Inventory[[#This Row],[bldg_style]]="",1,_xlfn.IFNA(VLOOKUP(Grandview_Inventory[[#This Row],[decade]],Lookups!$F$29:$H$43,3,FALSE),1))</f>
        <v>0.96737494181490646</v>
      </c>
      <c r="BW1121" s="4">
        <f>_xlfn.IFNA(VLOOKUP(Grandview_Inventory[[#This Row],[living_area_range]],Lookups!$F$47:$H$56,3,FALSE),1)</f>
        <v>0.96135087979789358</v>
      </c>
      <c r="BX1121" s="4">
        <f>AVERAGE(Grandview_Inventory[[#This Row],[qual_adj]:[size_adj]])</f>
        <v>0.95957381753195514</v>
      </c>
      <c r="BY1121" s="6">
        <f>IF(Grandview_Inventory[[#This Row],[pre_res]]&lt;0,0,Grandview_Inventory[[#This Row],[pre_res]]*Grandview_Inventory[[#This Row],[overall_adj]])</f>
        <v>308034.06118778896</v>
      </c>
      <c r="BZ1121" s="6">
        <f>(Grandview_Inventory[[#This Row],[sum_land]]-IF(Grandview_Inventory[[#This Row],[no_utilities]]=1,12000,0))/IF(Grandview_Inventory[[#This Row],[unbuildable]]=1,2,1)</f>
        <v>47528.228511015397</v>
      </c>
      <c r="CA11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21">
        <f>ROUND(Grandview_Inventory[[#This Row],[det_value]]*Lookups!$M$28,-2)</f>
        <v>0</v>
      </c>
      <c r="CC1121">
        <f>IF(ROUND(Grandview_Inventory[[#This Row],[adj_res]]*Lookups!$M$28,-2)&lt;Grandview_Inventory[[#This Row],[min_res]],Grandview_Inventory[[#This Row],[min_res]],ROUND(Grandview_Inventory[[#This Row],[adj_res]]*Lookups!$M$28,-2))</f>
        <v>292600</v>
      </c>
      <c r="CD1121">
        <f>Grandview_Inventory[[#This Row],[final_det]]+Grandview_Inventory[[#This Row],[final_res]]</f>
        <v>292600</v>
      </c>
      <c r="CE1121">
        <f>Grandview_Inventory[[#This Row],[final_land]]+Grandview_Inventory[[#This Row],[final_imp]]+Grandview_Inventory[[#This Row],[crop_value]]</f>
        <v>337800</v>
      </c>
      <c r="CG1121" t="str">
        <f t="shared" si="17"/>
        <v>update valuation set market_land =45200, market_bldg=292600, market_total =337800, market_mdno =401, market_date ='9/10/2023' where link_id = (select link_id from parcel where parcel_year = '2024' and parcel_id = '23092242524');</v>
      </c>
    </row>
    <row r="1122" spans="1:85" x14ac:dyDescent="0.25">
      <c r="A1122">
        <v>23092242525</v>
      </c>
      <c r="B1122">
        <v>0.17</v>
      </c>
      <c r="C1122">
        <v>7282</v>
      </c>
      <c r="D1122" t="s">
        <v>129</v>
      </c>
      <c r="E1122" t="s">
        <v>53</v>
      </c>
      <c r="F1122" t="s">
        <v>53</v>
      </c>
      <c r="G1122">
        <v>4</v>
      </c>
      <c r="H1122" t="s">
        <v>54</v>
      </c>
      <c r="I1122">
        <v>245300</v>
      </c>
      <c r="J1122">
        <v>38800</v>
      </c>
      <c r="K1122">
        <v>0.17</v>
      </c>
      <c r="L112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2">
        <v>0</v>
      </c>
      <c r="N1122">
        <v>0</v>
      </c>
      <c r="O1122">
        <v>0</v>
      </c>
      <c r="P1122">
        <v>13398.7528</v>
      </c>
      <c r="Q1122">
        <v>63903</v>
      </c>
      <c r="R1122">
        <f>(Grandview_Inventory[[#This Row],[ln_acres]]*Grandview_Inventory[[#This Row],[coeff]])+Grandview_Inventory[[#This Row],[const]]</f>
        <v>40160.988302686128</v>
      </c>
      <c r="S1122" t="s">
        <v>55</v>
      </c>
      <c r="T1122">
        <v>2</v>
      </c>
      <c r="U1122" t="s">
        <v>62</v>
      </c>
      <c r="V1122" t="s">
        <v>66</v>
      </c>
      <c r="W1122">
        <v>0</v>
      </c>
      <c r="X1122">
        <v>0</v>
      </c>
      <c r="Y1122">
        <v>12</v>
      </c>
      <c r="Z1122">
        <v>12</v>
      </c>
      <c r="AA1122">
        <v>20</v>
      </c>
      <c r="AB1122">
        <v>1500</v>
      </c>
      <c r="AC1122">
        <v>1276</v>
      </c>
      <c r="AD1122">
        <v>638</v>
      </c>
      <c r="AE1122">
        <v>638</v>
      </c>
      <c r="AF1122">
        <v>0</v>
      </c>
      <c r="AG1122">
        <v>0</v>
      </c>
      <c r="AH1122">
        <v>0</v>
      </c>
      <c r="AI1122">
        <v>460</v>
      </c>
      <c r="AJ1122">
        <v>0</v>
      </c>
      <c r="AK1122">
        <v>0</v>
      </c>
      <c r="AL1122">
        <v>0</v>
      </c>
      <c r="AM1122">
        <v>66</v>
      </c>
      <c r="AN1122">
        <v>0</v>
      </c>
      <c r="AO1122">
        <v>0</v>
      </c>
      <c r="AP1122">
        <v>8</v>
      </c>
      <c r="AQ1122">
        <v>0</v>
      </c>
      <c r="AR1122">
        <v>0</v>
      </c>
      <c r="AS1122" t="s">
        <v>58</v>
      </c>
      <c r="AT1122">
        <v>1</v>
      </c>
      <c r="AU1122" t="s">
        <v>59</v>
      </c>
      <c r="AV1122" t="s">
        <v>60</v>
      </c>
      <c r="AW1122">
        <v>1</v>
      </c>
      <c r="AX1122">
        <v>3</v>
      </c>
      <c r="AY1122">
        <v>0</v>
      </c>
      <c r="AZ1122">
        <v>0</v>
      </c>
      <c r="BA1122">
        <v>100</v>
      </c>
      <c r="BB1122">
        <v>100</v>
      </c>
      <c r="BC1122">
        <v>100</v>
      </c>
      <c r="BD1122">
        <v>100</v>
      </c>
      <c r="BE1122">
        <v>1</v>
      </c>
      <c r="BF1122">
        <v>15000</v>
      </c>
      <c r="BG1122">
        <v>1000</v>
      </c>
      <c r="BH1122" s="6">
        <f>Grandview_Inventory[[#This Row],[land_extract]]*Lookups!$B$3</f>
        <v>46638.847281240982</v>
      </c>
      <c r="BI1122" s="6">
        <f>IF(Grandview_Inventory[[#This Row],[bldg_style]]="",0,Lookups!$B$2)</f>
        <v>155833.95000000001</v>
      </c>
      <c r="BJ1122" s="6">
        <f>_xlfn.IFNA(VLOOKUP(Grandview_Inventory[[#This Row],[quality]],Lookups!$H$2:$J$14,3,FALSE),0)</f>
        <v>9808</v>
      </c>
      <c r="BK1122" s="6">
        <f>_xlfn.IFNA(VLOOKUP(Grandview_Inventory[[#This Row],[condition]],Lookups!$H$17:$J$24,3,FALSE),0)</f>
        <v>25818</v>
      </c>
      <c r="BL1122" s="6">
        <f>Grandview_Inventory[[#This Row],[Eff_Age]]*Lookups!$B$14</f>
        <v>-2869.9991999999997</v>
      </c>
      <c r="BM1122" s="6">
        <f>Grandview_Inventory[[#This Row],[living_area]]*Lookups!$B$15</f>
        <v>79597.968428000007</v>
      </c>
      <c r="BN1122" s="6">
        <f>Grandview_Inventory[[#This Row],[Fin BSMT]]*Lookups!$B$16</f>
        <v>0</v>
      </c>
      <c r="BO1122" s="6">
        <f>(Grandview_Inventory[[#This Row],[att_gar]]+Grandview_Inventory[[#This Row],[bltin_gar]])*Lookups!$B$17</f>
        <v>40259.401019999998</v>
      </c>
      <c r="BP1122" s="6">
        <f>Grandview_Inventory[[#This Row],[Plumbing Fixtures]]*Lookups!$B$18</f>
        <v>16083.5344</v>
      </c>
      <c r="BQ1122" s="6">
        <f>Grandview_Inventory[[#This Row],[detatched_value]]*Lookups!$B$19</f>
        <v>0</v>
      </c>
      <c r="BR1122" s="6">
        <f>SUM(Grandview_Inventory[[#This Row],[Intercept]:[det_value]])*Grandview_Inventory[[#This Row],[res_pct]]</f>
        <v>324530.85464800004</v>
      </c>
      <c r="BS1122" s="6">
        <f>Grandview_Inventory[[#This Row],[land_value]]</f>
        <v>46638.847281240982</v>
      </c>
      <c r="BT1122" s="4">
        <f>_xlfn.IFNA(VLOOKUP(Grandview_Inventory[[#This Row],[quality]],Lookups!$A$26:$C$33,3,FALSE),1)</f>
        <v>0.94295468617355149</v>
      </c>
      <c r="BU1122" s="4">
        <f>_xlfn.IFNA(VLOOKUP(Grandview_Inventory[[#This Row],[condition]],Lookups!$A$37:$C$44,3,FALSE),1)</f>
        <v>0.96661476234146892</v>
      </c>
      <c r="BV1122" s="4">
        <f>IF(Grandview_Inventory[[#This Row],[bldg_style]]="",1,_xlfn.IFNA(VLOOKUP(Grandview_Inventory[[#This Row],[decade]],Lookups!$F$29:$H$43,3,FALSE),1))</f>
        <v>0.96737494181490646</v>
      </c>
      <c r="BW1122" s="4">
        <f>_xlfn.IFNA(VLOOKUP(Grandview_Inventory[[#This Row],[living_area_range]],Lookups!$F$47:$H$56,3,FALSE),1)</f>
        <v>0.96135087979789358</v>
      </c>
      <c r="BX1122" s="4">
        <f>AVERAGE(Grandview_Inventory[[#This Row],[qual_adj]:[size_adj]])</f>
        <v>0.95957381753195514</v>
      </c>
      <c r="BY1122" s="6">
        <f>IF(Grandview_Inventory[[#This Row],[pre_res]]&lt;0,0,Grandview_Inventory[[#This Row],[pre_res]]*Grandview_Inventory[[#This Row],[overall_adj]])</f>
        <v>311411.31110148947</v>
      </c>
      <c r="BZ1122" s="6">
        <f>(Grandview_Inventory[[#This Row],[sum_land]]-IF(Grandview_Inventory[[#This Row],[no_utilities]]=1,12000,0))/IF(Grandview_Inventory[[#This Row],[unbuildable]]=1,2,1)</f>
        <v>46638.847281240982</v>
      </c>
      <c r="CA112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2">
        <f>ROUND(Grandview_Inventory[[#This Row],[det_value]]*Lookups!$M$28,-2)</f>
        <v>0</v>
      </c>
      <c r="CC1122">
        <f>IF(ROUND(Grandview_Inventory[[#This Row],[adj_res]]*Lookups!$M$28,-2)&lt;Grandview_Inventory[[#This Row],[min_res]],Grandview_Inventory[[#This Row],[min_res]],ROUND(Grandview_Inventory[[#This Row],[adj_res]]*Lookups!$M$28,-2))</f>
        <v>295800</v>
      </c>
      <c r="CD1122">
        <f>Grandview_Inventory[[#This Row],[final_det]]+Grandview_Inventory[[#This Row],[final_res]]</f>
        <v>295800</v>
      </c>
      <c r="CE1122">
        <f>Grandview_Inventory[[#This Row],[final_land]]+Grandview_Inventory[[#This Row],[final_imp]]+Grandview_Inventory[[#This Row],[crop_value]]</f>
        <v>340100</v>
      </c>
      <c r="CG1122" t="str">
        <f t="shared" si="17"/>
        <v>update valuation set market_land =44300, market_bldg=295800, market_total =340100, market_mdno =401, market_date ='9/10/2023' where link_id = (select link_id from parcel where parcel_year = '2024' and parcel_id = '23092242525');</v>
      </c>
    </row>
    <row r="1123" spans="1:85" x14ac:dyDescent="0.25">
      <c r="A1123">
        <v>23092242526</v>
      </c>
      <c r="B1123">
        <v>0.17</v>
      </c>
      <c r="C1123">
        <v>7278</v>
      </c>
      <c r="D1123" t="s">
        <v>129</v>
      </c>
      <c r="E1123" t="s">
        <v>53</v>
      </c>
      <c r="F1123" t="s">
        <v>53</v>
      </c>
      <c r="G1123">
        <v>4</v>
      </c>
      <c r="H1123" t="s">
        <v>54</v>
      </c>
      <c r="I1123">
        <v>234100</v>
      </c>
      <c r="J1123">
        <v>38800</v>
      </c>
      <c r="K1123">
        <v>0.17</v>
      </c>
      <c r="L112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3">
        <v>0</v>
      </c>
      <c r="N1123">
        <v>0</v>
      </c>
      <c r="O1123">
        <v>0</v>
      </c>
      <c r="P1123">
        <v>13398.7528</v>
      </c>
      <c r="Q1123">
        <v>63903</v>
      </c>
      <c r="R1123">
        <f>(Grandview_Inventory[[#This Row],[ln_acres]]*Grandview_Inventory[[#This Row],[coeff]])+Grandview_Inventory[[#This Row],[const]]</f>
        <v>40160.988302686128</v>
      </c>
      <c r="S1123" t="s">
        <v>61</v>
      </c>
      <c r="T1123">
        <v>1</v>
      </c>
      <c r="U1123" t="s">
        <v>62</v>
      </c>
      <c r="V1123" t="s">
        <v>66</v>
      </c>
      <c r="W1123">
        <v>0</v>
      </c>
      <c r="X1123">
        <v>0</v>
      </c>
      <c r="Y1123">
        <v>11</v>
      </c>
      <c r="Z1123">
        <v>11</v>
      </c>
      <c r="AA1123">
        <v>20</v>
      </c>
      <c r="AB1123">
        <v>1500</v>
      </c>
      <c r="AC1123">
        <v>1205</v>
      </c>
      <c r="AD1123">
        <v>1205</v>
      </c>
      <c r="AE1123">
        <v>0</v>
      </c>
      <c r="AF1123">
        <v>0</v>
      </c>
      <c r="AG1123">
        <v>0</v>
      </c>
      <c r="AH1123">
        <v>0</v>
      </c>
      <c r="AI1123">
        <v>427</v>
      </c>
      <c r="AJ1123">
        <v>0</v>
      </c>
      <c r="AK1123">
        <v>0</v>
      </c>
      <c r="AL1123">
        <v>0</v>
      </c>
      <c r="AM1123">
        <v>72</v>
      </c>
      <c r="AN1123">
        <v>0</v>
      </c>
      <c r="AO1123">
        <v>0</v>
      </c>
      <c r="AP1123">
        <v>8</v>
      </c>
      <c r="AQ1123">
        <v>0</v>
      </c>
      <c r="AR1123">
        <v>0</v>
      </c>
      <c r="AS1123" t="s">
        <v>58</v>
      </c>
      <c r="AT1123">
        <v>1</v>
      </c>
      <c r="AU1123" t="s">
        <v>59</v>
      </c>
      <c r="AV1123" t="s">
        <v>60</v>
      </c>
      <c r="AW1123">
        <v>1</v>
      </c>
      <c r="AX1123">
        <v>3</v>
      </c>
      <c r="AY1123">
        <v>0</v>
      </c>
      <c r="AZ1123">
        <v>0</v>
      </c>
      <c r="BA1123">
        <v>100</v>
      </c>
      <c r="BB1123">
        <v>100</v>
      </c>
      <c r="BC1123">
        <v>100</v>
      </c>
      <c r="BD1123">
        <v>100</v>
      </c>
      <c r="BE1123">
        <v>1</v>
      </c>
      <c r="BF1123">
        <v>15000</v>
      </c>
      <c r="BG1123">
        <v>1000</v>
      </c>
      <c r="BH1123" s="6">
        <f>Grandview_Inventory[[#This Row],[land_extract]]*Lookups!$B$3</f>
        <v>46638.847281240982</v>
      </c>
      <c r="BI1123" s="6">
        <f>IF(Grandview_Inventory[[#This Row],[bldg_style]]="",0,Lookups!$B$2)</f>
        <v>155833.95000000001</v>
      </c>
      <c r="BJ1123" s="6">
        <f>_xlfn.IFNA(VLOOKUP(Grandview_Inventory[[#This Row],[quality]],Lookups!$H$2:$J$14,3,FALSE),0)</f>
        <v>9808</v>
      </c>
      <c r="BK1123" s="6">
        <f>_xlfn.IFNA(VLOOKUP(Grandview_Inventory[[#This Row],[condition]],Lookups!$H$17:$J$24,3,FALSE),0)</f>
        <v>25818</v>
      </c>
      <c r="BL1123" s="6">
        <f>Grandview_Inventory[[#This Row],[Eff_Age]]*Lookups!$B$14</f>
        <v>-2630.8325999999997</v>
      </c>
      <c r="BM1123" s="6">
        <f>Grandview_Inventory[[#This Row],[living_area]]*Lookups!$B$15</f>
        <v>75168.927865000005</v>
      </c>
      <c r="BN1123" s="6">
        <f>Grandview_Inventory[[#This Row],[Fin BSMT]]*Lookups!$B$16</f>
        <v>0</v>
      </c>
      <c r="BO1123" s="6">
        <f>(Grandview_Inventory[[#This Row],[att_gar]]+Grandview_Inventory[[#This Row],[bltin_gar]])*Lookups!$B$17</f>
        <v>37371.226599000001</v>
      </c>
      <c r="BP1123" s="6">
        <f>Grandview_Inventory[[#This Row],[Plumbing Fixtures]]*Lookups!$B$18</f>
        <v>16083.5344</v>
      </c>
      <c r="BQ1123" s="6">
        <f>Grandview_Inventory[[#This Row],[detatched_value]]*Lookups!$B$19</f>
        <v>0</v>
      </c>
      <c r="BR1123" s="6">
        <f>SUM(Grandview_Inventory[[#This Row],[Intercept]:[det_value]])*Grandview_Inventory[[#This Row],[res_pct]]</f>
        <v>317452.80626400001</v>
      </c>
      <c r="BS1123" s="6">
        <f>Grandview_Inventory[[#This Row],[land_value]]</f>
        <v>46638.847281240982</v>
      </c>
      <c r="BT1123" s="4">
        <f>_xlfn.IFNA(VLOOKUP(Grandview_Inventory[[#This Row],[quality]],Lookups!$A$26:$C$33,3,FALSE),1)</f>
        <v>0.94295468617355149</v>
      </c>
      <c r="BU1123" s="4">
        <f>_xlfn.IFNA(VLOOKUP(Grandview_Inventory[[#This Row],[condition]],Lookups!$A$37:$C$44,3,FALSE),1)</f>
        <v>0.96661476234146892</v>
      </c>
      <c r="BV1123" s="4">
        <f>IF(Grandview_Inventory[[#This Row],[bldg_style]]="",1,_xlfn.IFNA(VLOOKUP(Grandview_Inventory[[#This Row],[decade]],Lookups!$F$29:$H$43,3,FALSE),1))</f>
        <v>0.96737494181490646</v>
      </c>
      <c r="BW1123" s="4">
        <f>_xlfn.IFNA(VLOOKUP(Grandview_Inventory[[#This Row],[living_area_range]],Lookups!$F$47:$H$56,3,FALSE),1)</f>
        <v>0.96135087979789358</v>
      </c>
      <c r="BX1123" s="4">
        <f>AVERAGE(Grandview_Inventory[[#This Row],[qual_adj]:[size_adj]])</f>
        <v>0.95957381753195514</v>
      </c>
      <c r="BY1123" s="6">
        <f>IF(Grandview_Inventory[[#This Row],[pre_res]]&lt;0,0,Grandview_Inventory[[#This Row],[pre_res]]*Grandview_Inventory[[#This Row],[overall_adj]])</f>
        <v>304619.40119297866</v>
      </c>
      <c r="BZ1123" s="6">
        <f>(Grandview_Inventory[[#This Row],[sum_land]]-IF(Grandview_Inventory[[#This Row],[no_utilities]]=1,12000,0))/IF(Grandview_Inventory[[#This Row],[unbuildable]]=1,2,1)</f>
        <v>46638.847281240982</v>
      </c>
      <c r="CA112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3">
        <f>ROUND(Grandview_Inventory[[#This Row],[det_value]]*Lookups!$M$28,-2)</f>
        <v>0</v>
      </c>
      <c r="CC1123">
        <f>IF(ROUND(Grandview_Inventory[[#This Row],[adj_res]]*Lookups!$M$28,-2)&lt;Grandview_Inventory[[#This Row],[min_res]],Grandview_Inventory[[#This Row],[min_res]],ROUND(Grandview_Inventory[[#This Row],[adj_res]]*Lookups!$M$28,-2))</f>
        <v>289400</v>
      </c>
      <c r="CD1123">
        <f>Grandview_Inventory[[#This Row],[final_det]]+Grandview_Inventory[[#This Row],[final_res]]</f>
        <v>289400</v>
      </c>
      <c r="CE1123">
        <f>Grandview_Inventory[[#This Row],[final_land]]+Grandview_Inventory[[#This Row],[final_imp]]+Grandview_Inventory[[#This Row],[crop_value]]</f>
        <v>333700</v>
      </c>
      <c r="CG1123" t="str">
        <f t="shared" si="17"/>
        <v>update valuation set market_land =44300, market_bldg=289400, market_total =333700, market_mdno =401, market_date ='9/10/2023' where link_id = (select link_id from parcel where parcel_year = '2024' and parcel_id = '23092242526');</v>
      </c>
    </row>
    <row r="1124" spans="1:85" x14ac:dyDescent="0.25">
      <c r="A1124">
        <v>23092242527</v>
      </c>
      <c r="B1124">
        <v>0.16</v>
      </c>
      <c r="C1124">
        <v>7032</v>
      </c>
      <c r="D1124" t="s">
        <v>129</v>
      </c>
      <c r="E1124" t="s">
        <v>53</v>
      </c>
      <c r="F1124" t="s">
        <v>53</v>
      </c>
      <c r="G1124">
        <v>4</v>
      </c>
      <c r="H1124" t="s">
        <v>54</v>
      </c>
      <c r="I1124">
        <v>234100</v>
      </c>
      <c r="J1124">
        <v>38600</v>
      </c>
      <c r="K1124">
        <v>0.16</v>
      </c>
      <c r="L112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124">
        <v>0</v>
      </c>
      <c r="N1124">
        <v>0</v>
      </c>
      <c r="O1124">
        <v>0</v>
      </c>
      <c r="P1124">
        <v>13398.7528</v>
      </c>
      <c r="Q1124">
        <v>63903</v>
      </c>
      <c r="R1124">
        <f>(Grandview_Inventory[[#This Row],[ln_acres]]*Grandview_Inventory[[#This Row],[coeff]])+Grandview_Inventory[[#This Row],[const]]</f>
        <v>39348.693981374228</v>
      </c>
      <c r="S1124" t="s">
        <v>61</v>
      </c>
      <c r="T1124">
        <v>1</v>
      </c>
      <c r="U1124" t="s">
        <v>62</v>
      </c>
      <c r="V1124" t="s">
        <v>66</v>
      </c>
      <c r="W1124">
        <v>0</v>
      </c>
      <c r="X1124">
        <v>0</v>
      </c>
      <c r="Y1124">
        <v>11</v>
      </c>
      <c r="Z1124">
        <v>11</v>
      </c>
      <c r="AA1124">
        <v>20</v>
      </c>
      <c r="AB1124">
        <v>1500</v>
      </c>
      <c r="AC1124">
        <v>1205</v>
      </c>
      <c r="AD1124">
        <v>1205</v>
      </c>
      <c r="AE1124">
        <v>0</v>
      </c>
      <c r="AF1124">
        <v>0</v>
      </c>
      <c r="AG1124">
        <v>0</v>
      </c>
      <c r="AH1124">
        <v>0</v>
      </c>
      <c r="AI1124">
        <v>427</v>
      </c>
      <c r="AJ1124">
        <v>0</v>
      </c>
      <c r="AK1124">
        <v>0</v>
      </c>
      <c r="AL1124">
        <v>0</v>
      </c>
      <c r="AM1124">
        <v>72</v>
      </c>
      <c r="AN1124">
        <v>12</v>
      </c>
      <c r="AO1124">
        <v>0</v>
      </c>
      <c r="AP1124">
        <v>8</v>
      </c>
      <c r="AQ1124">
        <v>0</v>
      </c>
      <c r="AR1124">
        <v>0</v>
      </c>
      <c r="AS1124" t="s">
        <v>58</v>
      </c>
      <c r="AT1124">
        <v>1</v>
      </c>
      <c r="AU1124" t="s">
        <v>59</v>
      </c>
      <c r="AV1124" t="s">
        <v>60</v>
      </c>
      <c r="AW1124">
        <v>1</v>
      </c>
      <c r="AX1124">
        <v>3</v>
      </c>
      <c r="AY1124">
        <v>0</v>
      </c>
      <c r="AZ1124">
        <v>0</v>
      </c>
      <c r="BA1124">
        <v>100</v>
      </c>
      <c r="BB1124">
        <v>100</v>
      </c>
      <c r="BC1124">
        <v>100</v>
      </c>
      <c r="BD1124">
        <v>100</v>
      </c>
      <c r="BE1124">
        <v>1</v>
      </c>
      <c r="BF1124">
        <v>15000</v>
      </c>
      <c r="BG1124">
        <v>1000</v>
      </c>
      <c r="BH1124" s="6">
        <f>Grandview_Inventory[[#This Row],[land_extract]]*Lookups!$B$3</f>
        <v>45695.532079096141</v>
      </c>
      <c r="BI1124" s="6">
        <f>IF(Grandview_Inventory[[#This Row],[bldg_style]]="",0,Lookups!$B$2)</f>
        <v>155833.95000000001</v>
      </c>
      <c r="BJ1124" s="6">
        <f>_xlfn.IFNA(VLOOKUP(Grandview_Inventory[[#This Row],[quality]],Lookups!$H$2:$J$14,3,FALSE),0)</f>
        <v>9808</v>
      </c>
      <c r="BK1124" s="6">
        <f>_xlfn.IFNA(VLOOKUP(Grandview_Inventory[[#This Row],[condition]],Lookups!$H$17:$J$24,3,FALSE),0)</f>
        <v>25818</v>
      </c>
      <c r="BL1124" s="6">
        <f>Grandview_Inventory[[#This Row],[Eff_Age]]*Lookups!$B$14</f>
        <v>-2630.8325999999997</v>
      </c>
      <c r="BM1124" s="6">
        <f>Grandview_Inventory[[#This Row],[living_area]]*Lookups!$B$15</f>
        <v>75168.927865000005</v>
      </c>
      <c r="BN1124" s="6">
        <f>Grandview_Inventory[[#This Row],[Fin BSMT]]*Lookups!$B$16</f>
        <v>0</v>
      </c>
      <c r="BO1124" s="6">
        <f>(Grandview_Inventory[[#This Row],[att_gar]]+Grandview_Inventory[[#This Row],[bltin_gar]])*Lookups!$B$17</f>
        <v>37371.226599000001</v>
      </c>
      <c r="BP1124" s="6">
        <f>Grandview_Inventory[[#This Row],[Plumbing Fixtures]]*Lookups!$B$18</f>
        <v>16083.5344</v>
      </c>
      <c r="BQ1124" s="6">
        <f>Grandview_Inventory[[#This Row],[detatched_value]]*Lookups!$B$19</f>
        <v>0</v>
      </c>
      <c r="BR1124" s="6">
        <f>SUM(Grandview_Inventory[[#This Row],[Intercept]:[det_value]])*Grandview_Inventory[[#This Row],[res_pct]]</f>
        <v>317452.80626400001</v>
      </c>
      <c r="BS1124" s="6">
        <f>Grandview_Inventory[[#This Row],[land_value]]</f>
        <v>45695.532079096141</v>
      </c>
      <c r="BT1124" s="4">
        <f>_xlfn.IFNA(VLOOKUP(Grandview_Inventory[[#This Row],[quality]],Lookups!$A$26:$C$33,3,FALSE),1)</f>
        <v>0.94295468617355149</v>
      </c>
      <c r="BU1124" s="4">
        <f>_xlfn.IFNA(VLOOKUP(Grandview_Inventory[[#This Row],[condition]],Lookups!$A$37:$C$44,3,FALSE),1)</f>
        <v>0.96661476234146892</v>
      </c>
      <c r="BV1124" s="4">
        <f>IF(Grandview_Inventory[[#This Row],[bldg_style]]="",1,_xlfn.IFNA(VLOOKUP(Grandview_Inventory[[#This Row],[decade]],Lookups!$F$29:$H$43,3,FALSE),1))</f>
        <v>0.96737494181490646</v>
      </c>
      <c r="BW1124" s="4">
        <f>_xlfn.IFNA(VLOOKUP(Grandview_Inventory[[#This Row],[living_area_range]],Lookups!$F$47:$H$56,3,FALSE),1)</f>
        <v>0.96135087979789358</v>
      </c>
      <c r="BX1124" s="4">
        <f>AVERAGE(Grandview_Inventory[[#This Row],[qual_adj]:[size_adj]])</f>
        <v>0.95957381753195514</v>
      </c>
      <c r="BY1124" s="6">
        <f>IF(Grandview_Inventory[[#This Row],[pre_res]]&lt;0,0,Grandview_Inventory[[#This Row],[pre_res]]*Grandview_Inventory[[#This Row],[overall_adj]])</f>
        <v>304619.40119297866</v>
      </c>
      <c r="BZ1124" s="6">
        <f>(Grandview_Inventory[[#This Row],[sum_land]]-IF(Grandview_Inventory[[#This Row],[no_utilities]]=1,12000,0))/IF(Grandview_Inventory[[#This Row],[unbuildable]]=1,2,1)</f>
        <v>45695.532079096141</v>
      </c>
      <c r="CA112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124">
        <f>ROUND(Grandview_Inventory[[#This Row],[det_value]]*Lookups!$M$28,-2)</f>
        <v>0</v>
      </c>
      <c r="CC1124">
        <f>IF(ROUND(Grandview_Inventory[[#This Row],[adj_res]]*Lookups!$M$28,-2)&lt;Grandview_Inventory[[#This Row],[min_res]],Grandview_Inventory[[#This Row],[min_res]],ROUND(Grandview_Inventory[[#This Row],[adj_res]]*Lookups!$M$28,-2))</f>
        <v>289400</v>
      </c>
      <c r="CD1124">
        <f>Grandview_Inventory[[#This Row],[final_det]]+Grandview_Inventory[[#This Row],[final_res]]</f>
        <v>289400</v>
      </c>
      <c r="CE1124">
        <f>Grandview_Inventory[[#This Row],[final_land]]+Grandview_Inventory[[#This Row],[final_imp]]+Grandview_Inventory[[#This Row],[crop_value]]</f>
        <v>332800</v>
      </c>
      <c r="CG1124" t="str">
        <f t="shared" si="17"/>
        <v>update valuation set market_land =43400, market_bldg=289400, market_total =332800, market_mdno =401, market_date ='9/10/2023' where link_id = (select link_id from parcel where parcel_year = '2024' and parcel_id = '23092242527');</v>
      </c>
    </row>
    <row r="1125" spans="1:85" x14ac:dyDescent="0.25">
      <c r="A1125">
        <v>23092242528</v>
      </c>
      <c r="B1125">
        <v>0.17</v>
      </c>
      <c r="C1125">
        <v>7479</v>
      </c>
      <c r="D1125" t="s">
        <v>129</v>
      </c>
      <c r="E1125" t="s">
        <v>53</v>
      </c>
      <c r="F1125" t="s">
        <v>53</v>
      </c>
      <c r="G1125">
        <v>4</v>
      </c>
      <c r="H1125" t="s">
        <v>54</v>
      </c>
      <c r="I1125">
        <v>247700</v>
      </c>
      <c r="J1125">
        <v>38800</v>
      </c>
      <c r="K1125">
        <v>0.17</v>
      </c>
      <c r="L112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5">
        <v>0</v>
      </c>
      <c r="N1125">
        <v>0</v>
      </c>
      <c r="O1125">
        <v>0</v>
      </c>
      <c r="P1125">
        <v>13398.7528</v>
      </c>
      <c r="Q1125">
        <v>63903</v>
      </c>
      <c r="R1125">
        <f>(Grandview_Inventory[[#This Row],[ln_acres]]*Grandview_Inventory[[#This Row],[coeff]])+Grandview_Inventory[[#This Row],[const]]</f>
        <v>40160.988302686128</v>
      </c>
      <c r="S1125" t="s">
        <v>61</v>
      </c>
      <c r="T1125">
        <v>1</v>
      </c>
      <c r="U1125" t="s">
        <v>62</v>
      </c>
      <c r="V1125" t="s">
        <v>66</v>
      </c>
      <c r="W1125">
        <v>0</v>
      </c>
      <c r="X1125">
        <v>0</v>
      </c>
      <c r="Y1125">
        <v>15</v>
      </c>
      <c r="Z1125">
        <v>15</v>
      </c>
      <c r="AA1125">
        <v>20</v>
      </c>
      <c r="AB1125">
        <v>2000</v>
      </c>
      <c r="AC1125">
        <v>1752</v>
      </c>
      <c r="AD1125">
        <v>1752</v>
      </c>
      <c r="AE1125">
        <v>0</v>
      </c>
      <c r="AF1125">
        <v>0</v>
      </c>
      <c r="AG1125">
        <v>0</v>
      </c>
      <c r="AH1125">
        <v>0</v>
      </c>
      <c r="AI1125">
        <v>400</v>
      </c>
      <c r="AJ1125">
        <v>0</v>
      </c>
      <c r="AK1125">
        <v>0</v>
      </c>
      <c r="AL1125">
        <v>0</v>
      </c>
      <c r="AM1125">
        <v>100</v>
      </c>
      <c r="AN1125">
        <v>0</v>
      </c>
      <c r="AO1125">
        <v>0</v>
      </c>
      <c r="AP1125">
        <v>12</v>
      </c>
      <c r="AQ1125">
        <v>0</v>
      </c>
      <c r="AR1125">
        <v>0</v>
      </c>
      <c r="AS1125" t="s">
        <v>58</v>
      </c>
      <c r="AT1125">
        <v>1</v>
      </c>
      <c r="AU1125" t="s">
        <v>63</v>
      </c>
      <c r="AV1125" t="s">
        <v>64</v>
      </c>
      <c r="AW1125">
        <v>1</v>
      </c>
      <c r="AX1125">
        <v>3</v>
      </c>
      <c r="AY1125">
        <v>0</v>
      </c>
      <c r="AZ1125">
        <v>0</v>
      </c>
      <c r="BA1125">
        <v>100</v>
      </c>
      <c r="BB1125">
        <v>100</v>
      </c>
      <c r="BC1125">
        <v>100</v>
      </c>
      <c r="BD1125">
        <v>100</v>
      </c>
      <c r="BE1125">
        <v>1</v>
      </c>
      <c r="BF1125">
        <v>15000</v>
      </c>
      <c r="BG1125">
        <v>1000</v>
      </c>
      <c r="BH1125" s="6">
        <f>Grandview_Inventory[[#This Row],[land_extract]]*Lookups!$B$3</f>
        <v>46638.847281240982</v>
      </c>
      <c r="BI1125" s="6">
        <f>IF(Grandview_Inventory[[#This Row],[bldg_style]]="",0,Lookups!$B$2)</f>
        <v>155833.95000000001</v>
      </c>
      <c r="BJ1125" s="6">
        <f>_xlfn.IFNA(VLOOKUP(Grandview_Inventory[[#This Row],[quality]],Lookups!$H$2:$J$14,3,FALSE),0)</f>
        <v>9808</v>
      </c>
      <c r="BK1125" s="6">
        <f>_xlfn.IFNA(VLOOKUP(Grandview_Inventory[[#This Row],[condition]],Lookups!$H$17:$J$24,3,FALSE),0)</f>
        <v>25818</v>
      </c>
      <c r="BL1125" s="6">
        <f>Grandview_Inventory[[#This Row],[Eff_Age]]*Lookups!$B$14</f>
        <v>-3587.4989999999998</v>
      </c>
      <c r="BM1125" s="6">
        <f>Grandview_Inventory[[#This Row],[living_area]]*Lookups!$B$15</f>
        <v>109291.25445600001</v>
      </c>
      <c r="BN1125" s="6">
        <f>Grandview_Inventory[[#This Row],[Fin BSMT]]*Lookups!$B$16</f>
        <v>0</v>
      </c>
      <c r="BO1125" s="6">
        <f>(Grandview_Inventory[[#This Row],[att_gar]]+Grandview_Inventory[[#This Row],[bltin_gar]])*Lookups!$B$17</f>
        <v>35008.174800000001</v>
      </c>
      <c r="BP1125" s="6">
        <f>Grandview_Inventory[[#This Row],[Plumbing Fixtures]]*Lookups!$B$18</f>
        <v>24125.301599999999</v>
      </c>
      <c r="BQ1125" s="6">
        <f>Grandview_Inventory[[#This Row],[detatched_value]]*Lookups!$B$19</f>
        <v>0</v>
      </c>
      <c r="BR1125" s="6">
        <f>SUM(Grandview_Inventory[[#This Row],[Intercept]:[det_value]])*Grandview_Inventory[[#This Row],[res_pct]]</f>
        <v>356297.18185599998</v>
      </c>
      <c r="BS1125" s="6">
        <f>Grandview_Inventory[[#This Row],[land_value]]</f>
        <v>46638.847281240982</v>
      </c>
      <c r="BT1125" s="4">
        <f>_xlfn.IFNA(VLOOKUP(Grandview_Inventory[[#This Row],[quality]],Lookups!$A$26:$C$33,3,FALSE),1)</f>
        <v>0.94295468617355149</v>
      </c>
      <c r="BU1125" s="4">
        <f>_xlfn.IFNA(VLOOKUP(Grandview_Inventory[[#This Row],[condition]],Lookups!$A$37:$C$44,3,FALSE),1)</f>
        <v>0.96661476234146892</v>
      </c>
      <c r="BV1125" s="4">
        <f>IF(Grandview_Inventory[[#This Row],[bldg_style]]="",1,_xlfn.IFNA(VLOOKUP(Grandview_Inventory[[#This Row],[decade]],Lookups!$F$29:$H$43,3,FALSE),1))</f>
        <v>0.96737494181490646</v>
      </c>
      <c r="BW1125" s="4">
        <f>_xlfn.IFNA(VLOOKUP(Grandview_Inventory[[#This Row],[living_area_range]],Lookups!$F$47:$H$56,3,FALSE),1)</f>
        <v>0.96120133463014379</v>
      </c>
      <c r="BX1125" s="4">
        <f>AVERAGE(Grandview_Inventory[[#This Row],[qual_adj]:[size_adj]])</f>
        <v>0.95953643124001764</v>
      </c>
      <c r="BY1125" s="6">
        <f>IF(Grandview_Inventory[[#This Row],[pre_res]]&lt;0,0,Grandview_Inventory[[#This Row],[pre_res]]*Grandview_Inventory[[#This Row],[overall_adj]])</f>
        <v>341880.12633898179</v>
      </c>
      <c r="BZ1125" s="6">
        <f>(Grandview_Inventory[[#This Row],[sum_land]]-IF(Grandview_Inventory[[#This Row],[no_utilities]]=1,12000,0))/IF(Grandview_Inventory[[#This Row],[unbuildable]]=1,2,1)</f>
        <v>46638.847281240982</v>
      </c>
      <c r="CA112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5">
        <f>ROUND(Grandview_Inventory[[#This Row],[det_value]]*Lookups!$M$28,-2)</f>
        <v>0</v>
      </c>
      <c r="CC1125">
        <f>IF(ROUND(Grandview_Inventory[[#This Row],[adj_res]]*Lookups!$M$28,-2)&lt;Grandview_Inventory[[#This Row],[min_res]],Grandview_Inventory[[#This Row],[min_res]],ROUND(Grandview_Inventory[[#This Row],[adj_res]]*Lookups!$M$28,-2))</f>
        <v>324800</v>
      </c>
      <c r="CD1125">
        <f>Grandview_Inventory[[#This Row],[final_det]]+Grandview_Inventory[[#This Row],[final_res]]</f>
        <v>324800</v>
      </c>
      <c r="CE1125">
        <f>Grandview_Inventory[[#This Row],[final_land]]+Grandview_Inventory[[#This Row],[final_imp]]+Grandview_Inventory[[#This Row],[crop_value]]</f>
        <v>369100</v>
      </c>
      <c r="CG1125" t="str">
        <f t="shared" si="17"/>
        <v>update valuation set market_land =44300, market_bldg=324800, market_total =369100, market_mdno =401, market_date ='9/10/2023' where link_id = (select link_id from parcel where parcel_year = '2024' and parcel_id = '23092242528');</v>
      </c>
    </row>
    <row r="1126" spans="1:85" x14ac:dyDescent="0.25">
      <c r="A1126">
        <v>23092242529</v>
      </c>
      <c r="B1126">
        <v>0.17</v>
      </c>
      <c r="C1126">
        <v>7479</v>
      </c>
      <c r="D1126" t="s">
        <v>129</v>
      </c>
      <c r="E1126" t="s">
        <v>53</v>
      </c>
      <c r="F1126" t="s">
        <v>53</v>
      </c>
      <c r="G1126">
        <v>4</v>
      </c>
      <c r="H1126" t="s">
        <v>54</v>
      </c>
      <c r="I1126">
        <v>246500</v>
      </c>
      <c r="J1126">
        <v>38800</v>
      </c>
      <c r="K1126">
        <v>0.17</v>
      </c>
      <c r="L112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6">
        <v>0</v>
      </c>
      <c r="N1126">
        <v>0</v>
      </c>
      <c r="O1126">
        <v>0</v>
      </c>
      <c r="P1126">
        <v>13398.7528</v>
      </c>
      <c r="Q1126">
        <v>63903</v>
      </c>
      <c r="R1126">
        <f>(Grandview_Inventory[[#This Row],[ln_acres]]*Grandview_Inventory[[#This Row],[coeff]])+Grandview_Inventory[[#This Row],[const]]</f>
        <v>40160.988302686128</v>
      </c>
      <c r="S1126" t="s">
        <v>61</v>
      </c>
      <c r="T1126">
        <v>1</v>
      </c>
      <c r="U1126" t="s">
        <v>62</v>
      </c>
      <c r="V1126" t="s">
        <v>66</v>
      </c>
      <c r="W1126">
        <v>0</v>
      </c>
      <c r="X1126">
        <v>0</v>
      </c>
      <c r="Y1126">
        <v>15</v>
      </c>
      <c r="Z1126">
        <v>15</v>
      </c>
      <c r="AA1126">
        <v>20</v>
      </c>
      <c r="AB1126">
        <v>2000</v>
      </c>
      <c r="AC1126">
        <v>1672</v>
      </c>
      <c r="AD1126">
        <v>1186</v>
      </c>
      <c r="AE1126">
        <v>0</v>
      </c>
      <c r="AF1126">
        <v>486</v>
      </c>
      <c r="AG1126">
        <v>0</v>
      </c>
      <c r="AH1126">
        <v>0</v>
      </c>
      <c r="AI1126">
        <v>648</v>
      </c>
      <c r="AJ1126">
        <v>0</v>
      </c>
      <c r="AK1126">
        <v>0</v>
      </c>
      <c r="AL1126">
        <v>0</v>
      </c>
      <c r="AM1126">
        <v>100</v>
      </c>
      <c r="AN1126">
        <v>40</v>
      </c>
      <c r="AO1126">
        <v>0</v>
      </c>
      <c r="AP1126">
        <v>9</v>
      </c>
      <c r="AQ1126">
        <v>0</v>
      </c>
      <c r="AR1126">
        <v>0</v>
      </c>
      <c r="AS1126" t="s">
        <v>58</v>
      </c>
      <c r="AT1126">
        <v>1</v>
      </c>
      <c r="AU1126" t="s">
        <v>63</v>
      </c>
      <c r="AV1126" t="s">
        <v>64</v>
      </c>
      <c r="AW1126">
        <v>1</v>
      </c>
      <c r="AX1126">
        <v>4</v>
      </c>
      <c r="AY1126">
        <v>0</v>
      </c>
      <c r="AZ1126">
        <v>0</v>
      </c>
      <c r="BA1126">
        <v>100</v>
      </c>
      <c r="BB1126">
        <v>100</v>
      </c>
      <c r="BC1126">
        <v>100</v>
      </c>
      <c r="BD1126">
        <v>100</v>
      </c>
      <c r="BE1126">
        <v>1</v>
      </c>
      <c r="BF1126">
        <v>15000</v>
      </c>
      <c r="BG1126">
        <v>1000</v>
      </c>
      <c r="BH1126" s="6">
        <f>Grandview_Inventory[[#This Row],[land_extract]]*Lookups!$B$3</f>
        <v>46638.847281240982</v>
      </c>
      <c r="BI1126" s="6">
        <f>IF(Grandview_Inventory[[#This Row],[bldg_style]]="",0,Lookups!$B$2)</f>
        <v>155833.95000000001</v>
      </c>
      <c r="BJ1126" s="6">
        <f>_xlfn.IFNA(VLOOKUP(Grandview_Inventory[[#This Row],[quality]],Lookups!$H$2:$J$14,3,FALSE),0)</f>
        <v>9808</v>
      </c>
      <c r="BK1126" s="6">
        <f>_xlfn.IFNA(VLOOKUP(Grandview_Inventory[[#This Row],[condition]],Lookups!$H$17:$J$24,3,FALSE),0)</f>
        <v>25818</v>
      </c>
      <c r="BL1126" s="6">
        <f>Grandview_Inventory[[#This Row],[Eff_Age]]*Lookups!$B$14</f>
        <v>-3587.4989999999998</v>
      </c>
      <c r="BM1126" s="6">
        <f>Grandview_Inventory[[#This Row],[living_area]]*Lookups!$B$15</f>
        <v>104300.78621600001</v>
      </c>
      <c r="BN1126" s="6">
        <f>Grandview_Inventory[[#This Row],[Fin BSMT]]*Lookups!$B$16</f>
        <v>0</v>
      </c>
      <c r="BO1126" s="6">
        <f>(Grandview_Inventory[[#This Row],[att_gar]]+Grandview_Inventory[[#This Row],[bltin_gar]])*Lookups!$B$17</f>
        <v>56713.243176000004</v>
      </c>
      <c r="BP1126" s="6">
        <f>Grandview_Inventory[[#This Row],[Plumbing Fixtures]]*Lookups!$B$18</f>
        <v>18093.976200000001</v>
      </c>
      <c r="BQ1126" s="6">
        <f>Grandview_Inventory[[#This Row],[detatched_value]]*Lookups!$B$19</f>
        <v>0</v>
      </c>
      <c r="BR1126" s="6">
        <f>SUM(Grandview_Inventory[[#This Row],[Intercept]:[det_value]])*Grandview_Inventory[[#This Row],[res_pct]]</f>
        <v>366980.45659199997</v>
      </c>
      <c r="BS1126" s="6">
        <f>Grandview_Inventory[[#This Row],[land_value]]</f>
        <v>46638.847281240982</v>
      </c>
      <c r="BT1126" s="4">
        <f>_xlfn.IFNA(VLOOKUP(Grandview_Inventory[[#This Row],[quality]],Lookups!$A$26:$C$33,3,FALSE),1)</f>
        <v>0.94295468617355149</v>
      </c>
      <c r="BU1126" s="4">
        <f>_xlfn.IFNA(VLOOKUP(Grandview_Inventory[[#This Row],[condition]],Lookups!$A$37:$C$44,3,FALSE),1)</f>
        <v>0.96661476234146892</v>
      </c>
      <c r="BV1126" s="4">
        <f>IF(Grandview_Inventory[[#This Row],[bldg_style]]="",1,_xlfn.IFNA(VLOOKUP(Grandview_Inventory[[#This Row],[decade]],Lookups!$F$29:$H$43,3,FALSE),1))</f>
        <v>0.96737494181490646</v>
      </c>
      <c r="BW1126" s="4">
        <f>_xlfn.IFNA(VLOOKUP(Grandview_Inventory[[#This Row],[living_area_range]],Lookups!$F$47:$H$56,3,FALSE),1)</f>
        <v>0.96120133463014379</v>
      </c>
      <c r="BX1126" s="4">
        <f>AVERAGE(Grandview_Inventory[[#This Row],[qual_adj]:[size_adj]])</f>
        <v>0.95953643124001764</v>
      </c>
      <c r="BY1126" s="6">
        <f>IF(Grandview_Inventory[[#This Row],[pre_res]]&lt;0,0,Grandview_Inventory[[#This Row],[pre_res]]*Grandview_Inventory[[#This Row],[overall_adj]])</f>
        <v>352131.11765311984</v>
      </c>
      <c r="BZ1126" s="6">
        <f>(Grandview_Inventory[[#This Row],[sum_land]]-IF(Grandview_Inventory[[#This Row],[no_utilities]]=1,12000,0))/IF(Grandview_Inventory[[#This Row],[unbuildable]]=1,2,1)</f>
        <v>46638.847281240982</v>
      </c>
      <c r="CA112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6">
        <f>ROUND(Grandview_Inventory[[#This Row],[det_value]]*Lookups!$M$28,-2)</f>
        <v>0</v>
      </c>
      <c r="CC1126">
        <f>IF(ROUND(Grandview_Inventory[[#This Row],[adj_res]]*Lookups!$M$28,-2)&lt;Grandview_Inventory[[#This Row],[min_res]],Grandview_Inventory[[#This Row],[min_res]],ROUND(Grandview_Inventory[[#This Row],[adj_res]]*Lookups!$M$28,-2))</f>
        <v>334500</v>
      </c>
      <c r="CD1126">
        <f>Grandview_Inventory[[#This Row],[final_det]]+Grandview_Inventory[[#This Row],[final_res]]</f>
        <v>334500</v>
      </c>
      <c r="CE1126">
        <f>Grandview_Inventory[[#This Row],[final_land]]+Grandview_Inventory[[#This Row],[final_imp]]+Grandview_Inventory[[#This Row],[crop_value]]</f>
        <v>378800</v>
      </c>
      <c r="CG1126" t="str">
        <f t="shared" si="17"/>
        <v>update valuation set market_land =44300, market_bldg=334500, market_total =378800, market_mdno =401, market_date ='9/10/2023' where link_id = (select link_id from parcel where parcel_year = '2024' and parcel_id = '23092242529');</v>
      </c>
    </row>
    <row r="1127" spans="1:85" x14ac:dyDescent="0.25">
      <c r="A1127">
        <v>23092242530</v>
      </c>
      <c r="B1127">
        <v>0.17</v>
      </c>
      <c r="C1127">
        <v>7479</v>
      </c>
      <c r="D1127" t="s">
        <v>129</v>
      </c>
      <c r="E1127" t="s">
        <v>53</v>
      </c>
      <c r="F1127" t="s">
        <v>53</v>
      </c>
      <c r="G1127">
        <v>4</v>
      </c>
      <c r="H1127" t="s">
        <v>54</v>
      </c>
      <c r="I1127">
        <v>227900</v>
      </c>
      <c r="J1127">
        <v>38800</v>
      </c>
      <c r="K1127">
        <v>0.17</v>
      </c>
      <c r="L112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7">
        <v>0</v>
      </c>
      <c r="N1127">
        <v>0</v>
      </c>
      <c r="O1127">
        <v>0</v>
      </c>
      <c r="P1127">
        <v>13398.7528</v>
      </c>
      <c r="Q1127">
        <v>63903</v>
      </c>
      <c r="R1127">
        <f>(Grandview_Inventory[[#This Row],[ln_acres]]*Grandview_Inventory[[#This Row],[coeff]])+Grandview_Inventory[[#This Row],[const]]</f>
        <v>40160.988302686128</v>
      </c>
      <c r="S1127" t="s">
        <v>61</v>
      </c>
      <c r="T1127">
        <v>1</v>
      </c>
      <c r="U1127" t="s">
        <v>62</v>
      </c>
      <c r="V1127" t="s">
        <v>67</v>
      </c>
      <c r="W1127">
        <v>0</v>
      </c>
      <c r="X1127">
        <v>0</v>
      </c>
      <c r="Y1127">
        <v>15</v>
      </c>
      <c r="Z1127">
        <v>15</v>
      </c>
      <c r="AA1127">
        <v>20</v>
      </c>
      <c r="AB1127">
        <v>1500</v>
      </c>
      <c r="AC1127">
        <v>1214</v>
      </c>
      <c r="AD1127">
        <v>1214</v>
      </c>
      <c r="AE1127">
        <v>0</v>
      </c>
      <c r="AF1127">
        <v>0</v>
      </c>
      <c r="AG1127">
        <v>0</v>
      </c>
      <c r="AH1127">
        <v>0</v>
      </c>
      <c r="AI1127">
        <v>520</v>
      </c>
      <c r="AJ1127">
        <v>0</v>
      </c>
      <c r="AK1127">
        <v>180</v>
      </c>
      <c r="AL1127">
        <v>130</v>
      </c>
      <c r="AM1127">
        <v>100</v>
      </c>
      <c r="AN1127">
        <v>40</v>
      </c>
      <c r="AO1127">
        <v>230</v>
      </c>
      <c r="AP1127">
        <v>8</v>
      </c>
      <c r="AQ1127">
        <v>0</v>
      </c>
      <c r="AR1127">
        <v>0</v>
      </c>
      <c r="AS1127" t="s">
        <v>58</v>
      </c>
      <c r="AT1127">
        <v>1</v>
      </c>
      <c r="AU1127" t="s">
        <v>59</v>
      </c>
      <c r="AV1127" t="s">
        <v>60</v>
      </c>
      <c r="AW1127">
        <v>1</v>
      </c>
      <c r="AX1127">
        <v>3</v>
      </c>
      <c r="AY1127">
        <v>0</v>
      </c>
      <c r="AZ1127">
        <v>0</v>
      </c>
      <c r="BA1127">
        <v>100</v>
      </c>
      <c r="BB1127">
        <v>100</v>
      </c>
      <c r="BC1127">
        <v>100</v>
      </c>
      <c r="BD1127">
        <v>100</v>
      </c>
      <c r="BE1127">
        <v>1</v>
      </c>
      <c r="BF1127">
        <v>15000</v>
      </c>
      <c r="BG1127">
        <v>1000</v>
      </c>
      <c r="BH1127" s="6">
        <f>Grandview_Inventory[[#This Row],[land_extract]]*Lookups!$B$3</f>
        <v>46638.847281240982</v>
      </c>
      <c r="BI1127" s="6">
        <f>IF(Grandview_Inventory[[#This Row],[bldg_style]]="",0,Lookups!$B$2)</f>
        <v>155833.95000000001</v>
      </c>
      <c r="BJ1127" s="6">
        <f>_xlfn.IFNA(VLOOKUP(Grandview_Inventory[[#This Row],[quality]],Lookups!$H$2:$J$14,3,FALSE),0)</f>
        <v>9808</v>
      </c>
      <c r="BK1127" s="6">
        <f>_xlfn.IFNA(VLOOKUP(Grandview_Inventory[[#This Row],[condition]],Lookups!$H$17:$J$24,3,FALSE),0)</f>
        <v>22342</v>
      </c>
      <c r="BL1127" s="6">
        <f>Grandview_Inventory[[#This Row],[Eff_Age]]*Lookups!$B$14</f>
        <v>-3587.4989999999998</v>
      </c>
      <c r="BM1127" s="6">
        <f>Grandview_Inventory[[#This Row],[living_area]]*Lookups!$B$15</f>
        <v>75730.355542000005</v>
      </c>
      <c r="BN1127" s="6">
        <f>Grandview_Inventory[[#This Row],[Fin BSMT]]*Lookups!$B$16</f>
        <v>0</v>
      </c>
      <c r="BO1127" s="6">
        <f>(Grandview_Inventory[[#This Row],[att_gar]]+Grandview_Inventory[[#This Row],[bltin_gar]])*Lookups!$B$17</f>
        <v>45510.627240000002</v>
      </c>
      <c r="BP1127" s="6">
        <f>Grandview_Inventory[[#This Row],[Plumbing Fixtures]]*Lookups!$B$18</f>
        <v>16083.5344</v>
      </c>
      <c r="BQ1127" s="6">
        <f>Grandview_Inventory[[#This Row],[detatched_value]]*Lookups!$B$19</f>
        <v>0</v>
      </c>
      <c r="BR1127" s="6">
        <f>SUM(Grandview_Inventory[[#This Row],[Intercept]:[det_value]])*Grandview_Inventory[[#This Row],[res_pct]]</f>
        <v>321720.96818199998</v>
      </c>
      <c r="BS1127" s="6">
        <f>Grandview_Inventory[[#This Row],[land_value]]</f>
        <v>46638.847281240982</v>
      </c>
      <c r="BT1127" s="4">
        <f>_xlfn.IFNA(VLOOKUP(Grandview_Inventory[[#This Row],[quality]],Lookups!$A$26:$C$33,3,FALSE),1)</f>
        <v>0.94295468617355149</v>
      </c>
      <c r="BU1127" s="4">
        <f>_xlfn.IFNA(VLOOKUP(Grandview_Inventory[[#This Row],[condition]],Lookups!$A$37:$C$44,3,FALSE),1)</f>
        <v>0.97383723671140243</v>
      </c>
      <c r="BV1127" s="4">
        <f>IF(Grandview_Inventory[[#This Row],[bldg_style]]="",1,_xlfn.IFNA(VLOOKUP(Grandview_Inventory[[#This Row],[decade]],Lookups!$F$29:$H$43,3,FALSE),1))</f>
        <v>0.96737494181490646</v>
      </c>
      <c r="BW1127" s="4">
        <f>_xlfn.IFNA(VLOOKUP(Grandview_Inventory[[#This Row],[living_area_range]],Lookups!$F$47:$H$56,3,FALSE),1)</f>
        <v>0.96135087979789358</v>
      </c>
      <c r="BX1127" s="4">
        <f>AVERAGE(Grandview_Inventory[[#This Row],[qual_adj]:[size_adj]])</f>
        <v>0.96137943612443855</v>
      </c>
      <c r="BY1127" s="6">
        <f>IF(Grandview_Inventory[[#This Row],[pre_res]]&lt;0,0,Grandview_Inventory[[#This Row],[pre_res]]*Grandview_Inventory[[#This Row],[overall_adj]])</f>
        <v>309295.92298021959</v>
      </c>
      <c r="BZ1127" s="6">
        <f>(Grandview_Inventory[[#This Row],[sum_land]]-IF(Grandview_Inventory[[#This Row],[no_utilities]]=1,12000,0))/IF(Grandview_Inventory[[#This Row],[unbuildable]]=1,2,1)</f>
        <v>46638.847281240982</v>
      </c>
      <c r="CA112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7">
        <f>ROUND(Grandview_Inventory[[#This Row],[det_value]]*Lookups!$M$28,-2)</f>
        <v>0</v>
      </c>
      <c r="CC1127">
        <f>IF(ROUND(Grandview_Inventory[[#This Row],[adj_res]]*Lookups!$M$28,-2)&lt;Grandview_Inventory[[#This Row],[min_res]],Grandview_Inventory[[#This Row],[min_res]],ROUND(Grandview_Inventory[[#This Row],[adj_res]]*Lookups!$M$28,-2))</f>
        <v>293800</v>
      </c>
      <c r="CD1127">
        <f>Grandview_Inventory[[#This Row],[final_det]]+Grandview_Inventory[[#This Row],[final_res]]</f>
        <v>293800</v>
      </c>
      <c r="CE1127">
        <f>Grandview_Inventory[[#This Row],[final_land]]+Grandview_Inventory[[#This Row],[final_imp]]+Grandview_Inventory[[#This Row],[crop_value]]</f>
        <v>338100</v>
      </c>
      <c r="CG1127" t="str">
        <f t="shared" si="17"/>
        <v>update valuation set market_land =44300, market_bldg=293800, market_total =338100, market_mdno =401, market_date ='9/10/2023' where link_id = (select link_id from parcel where parcel_year = '2024' and parcel_id = '23092242530');</v>
      </c>
    </row>
    <row r="1128" spans="1:85" x14ac:dyDescent="0.25">
      <c r="A1128">
        <v>23092242531</v>
      </c>
      <c r="B1128">
        <v>0.17</v>
      </c>
      <c r="C1128">
        <v>7479</v>
      </c>
      <c r="D1128" t="s">
        <v>129</v>
      </c>
      <c r="E1128" t="s">
        <v>53</v>
      </c>
      <c r="F1128" t="s">
        <v>53</v>
      </c>
      <c r="G1128">
        <v>4</v>
      </c>
      <c r="H1128" t="s">
        <v>54</v>
      </c>
      <c r="I1128">
        <v>241800</v>
      </c>
      <c r="J1128">
        <v>38800</v>
      </c>
      <c r="K1128">
        <v>0.17</v>
      </c>
      <c r="L112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8">
        <v>0</v>
      </c>
      <c r="N1128">
        <v>0</v>
      </c>
      <c r="O1128">
        <v>0</v>
      </c>
      <c r="P1128">
        <v>13398.7528</v>
      </c>
      <c r="Q1128">
        <v>63903</v>
      </c>
      <c r="R1128">
        <f>(Grandview_Inventory[[#This Row],[ln_acres]]*Grandview_Inventory[[#This Row],[coeff]])+Grandview_Inventory[[#This Row],[const]]</f>
        <v>40160.988302686128</v>
      </c>
      <c r="S1128" t="s">
        <v>61</v>
      </c>
      <c r="T1128">
        <v>1</v>
      </c>
      <c r="U1128" t="s">
        <v>62</v>
      </c>
      <c r="V1128" t="s">
        <v>66</v>
      </c>
      <c r="W1128">
        <v>0</v>
      </c>
      <c r="X1128">
        <v>0</v>
      </c>
      <c r="Y1128">
        <v>14</v>
      </c>
      <c r="Z1128">
        <v>14</v>
      </c>
      <c r="AA1128">
        <v>20</v>
      </c>
      <c r="AB1128">
        <v>1500</v>
      </c>
      <c r="AC1128">
        <v>1396</v>
      </c>
      <c r="AD1128">
        <v>1396</v>
      </c>
      <c r="AE1128">
        <v>0</v>
      </c>
      <c r="AF1128">
        <v>0</v>
      </c>
      <c r="AG1128">
        <v>0</v>
      </c>
      <c r="AH1128">
        <v>0</v>
      </c>
      <c r="AI1128">
        <v>400</v>
      </c>
      <c r="AJ1128">
        <v>0</v>
      </c>
      <c r="AK1128">
        <v>0</v>
      </c>
      <c r="AL1128">
        <v>0</v>
      </c>
      <c r="AM1128">
        <v>120</v>
      </c>
      <c r="AN1128">
        <v>0</v>
      </c>
      <c r="AO1128">
        <v>0</v>
      </c>
      <c r="AP1128">
        <v>8</v>
      </c>
      <c r="AQ1128">
        <v>0</v>
      </c>
      <c r="AR1128">
        <v>0</v>
      </c>
      <c r="AS1128" t="s">
        <v>58</v>
      </c>
      <c r="AT1128">
        <v>1</v>
      </c>
      <c r="AU1128" t="s">
        <v>59</v>
      </c>
      <c r="AV1128" t="s">
        <v>60</v>
      </c>
      <c r="AW1128">
        <v>1</v>
      </c>
      <c r="AX1128">
        <v>3</v>
      </c>
      <c r="AY1128">
        <v>0</v>
      </c>
      <c r="AZ1128">
        <v>0</v>
      </c>
      <c r="BA1128">
        <v>100</v>
      </c>
      <c r="BB1128">
        <v>100</v>
      </c>
      <c r="BC1128">
        <v>100</v>
      </c>
      <c r="BD1128">
        <v>100</v>
      </c>
      <c r="BE1128">
        <v>1</v>
      </c>
      <c r="BF1128">
        <v>15000</v>
      </c>
      <c r="BG1128">
        <v>1000</v>
      </c>
      <c r="BH1128" s="6">
        <f>Grandview_Inventory[[#This Row],[land_extract]]*Lookups!$B$3</f>
        <v>46638.847281240982</v>
      </c>
      <c r="BI1128" s="6">
        <f>IF(Grandview_Inventory[[#This Row],[bldg_style]]="",0,Lookups!$B$2)</f>
        <v>155833.95000000001</v>
      </c>
      <c r="BJ1128" s="6">
        <f>_xlfn.IFNA(VLOOKUP(Grandview_Inventory[[#This Row],[quality]],Lookups!$H$2:$J$14,3,FALSE),0)</f>
        <v>9808</v>
      </c>
      <c r="BK1128" s="6">
        <f>_xlfn.IFNA(VLOOKUP(Grandview_Inventory[[#This Row],[condition]],Lookups!$H$17:$J$24,3,FALSE),0)</f>
        <v>25818</v>
      </c>
      <c r="BL1128" s="6">
        <f>Grandview_Inventory[[#This Row],[Eff_Age]]*Lookups!$B$14</f>
        <v>-3348.3323999999998</v>
      </c>
      <c r="BM1128" s="6">
        <f>Grandview_Inventory[[#This Row],[living_area]]*Lookups!$B$15</f>
        <v>87083.670788000003</v>
      </c>
      <c r="BN1128" s="6">
        <f>Grandview_Inventory[[#This Row],[Fin BSMT]]*Lookups!$B$16</f>
        <v>0</v>
      </c>
      <c r="BO1128" s="6">
        <f>(Grandview_Inventory[[#This Row],[att_gar]]+Grandview_Inventory[[#This Row],[bltin_gar]])*Lookups!$B$17</f>
        <v>35008.174800000001</v>
      </c>
      <c r="BP1128" s="6">
        <f>Grandview_Inventory[[#This Row],[Plumbing Fixtures]]*Lookups!$B$18</f>
        <v>16083.5344</v>
      </c>
      <c r="BQ1128" s="6">
        <f>Grandview_Inventory[[#This Row],[detatched_value]]*Lookups!$B$19</f>
        <v>0</v>
      </c>
      <c r="BR1128" s="6">
        <f>SUM(Grandview_Inventory[[#This Row],[Intercept]:[det_value]])*Grandview_Inventory[[#This Row],[res_pct]]</f>
        <v>326286.99758799997</v>
      </c>
      <c r="BS1128" s="6">
        <f>Grandview_Inventory[[#This Row],[land_value]]</f>
        <v>46638.847281240982</v>
      </c>
      <c r="BT1128" s="4">
        <f>_xlfn.IFNA(VLOOKUP(Grandview_Inventory[[#This Row],[quality]],Lookups!$A$26:$C$33,3,FALSE),1)</f>
        <v>0.94295468617355149</v>
      </c>
      <c r="BU1128" s="4">
        <f>_xlfn.IFNA(VLOOKUP(Grandview_Inventory[[#This Row],[condition]],Lookups!$A$37:$C$44,3,FALSE),1)</f>
        <v>0.96661476234146892</v>
      </c>
      <c r="BV1128" s="4">
        <f>IF(Grandview_Inventory[[#This Row],[bldg_style]]="",1,_xlfn.IFNA(VLOOKUP(Grandview_Inventory[[#This Row],[decade]],Lookups!$F$29:$H$43,3,FALSE),1))</f>
        <v>0.96737494181490646</v>
      </c>
      <c r="BW1128" s="4">
        <f>_xlfn.IFNA(VLOOKUP(Grandview_Inventory[[#This Row],[living_area_range]],Lookups!$F$47:$H$56,3,FALSE),1)</f>
        <v>0.96135087979789358</v>
      </c>
      <c r="BX1128" s="4">
        <f>AVERAGE(Grandview_Inventory[[#This Row],[qual_adj]:[size_adj]])</f>
        <v>0.95957381753195514</v>
      </c>
      <c r="BY1128" s="6">
        <f>IF(Grandview_Inventory[[#This Row],[pre_res]]&lt;0,0,Grandview_Inventory[[#This Row],[pre_res]]*Grandview_Inventory[[#This Row],[overall_adj]])</f>
        <v>313096.45988655696</v>
      </c>
      <c r="BZ1128" s="6">
        <f>(Grandview_Inventory[[#This Row],[sum_land]]-IF(Grandview_Inventory[[#This Row],[no_utilities]]=1,12000,0))/IF(Grandview_Inventory[[#This Row],[unbuildable]]=1,2,1)</f>
        <v>46638.847281240982</v>
      </c>
      <c r="CA112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8">
        <f>ROUND(Grandview_Inventory[[#This Row],[det_value]]*Lookups!$M$28,-2)</f>
        <v>0</v>
      </c>
      <c r="CC1128">
        <f>IF(ROUND(Grandview_Inventory[[#This Row],[adj_res]]*Lookups!$M$28,-2)&lt;Grandview_Inventory[[#This Row],[min_res]],Grandview_Inventory[[#This Row],[min_res]],ROUND(Grandview_Inventory[[#This Row],[adj_res]]*Lookups!$M$28,-2))</f>
        <v>297400</v>
      </c>
      <c r="CD1128">
        <f>Grandview_Inventory[[#This Row],[final_det]]+Grandview_Inventory[[#This Row],[final_res]]</f>
        <v>297400</v>
      </c>
      <c r="CE1128">
        <f>Grandview_Inventory[[#This Row],[final_land]]+Grandview_Inventory[[#This Row],[final_imp]]+Grandview_Inventory[[#This Row],[crop_value]]</f>
        <v>341700</v>
      </c>
      <c r="CG1128" t="str">
        <f t="shared" si="17"/>
        <v>update valuation set market_land =44300, market_bldg=297400, market_total =341700, market_mdno =401, market_date ='9/10/2023' where link_id = (select link_id from parcel where parcel_year = '2024' and parcel_id = '23092242531');</v>
      </c>
    </row>
    <row r="1129" spans="1:85" x14ac:dyDescent="0.25">
      <c r="A1129">
        <v>23092242532</v>
      </c>
      <c r="B1129">
        <v>0.17</v>
      </c>
      <c r="C1129">
        <v>7479</v>
      </c>
      <c r="D1129" t="s">
        <v>129</v>
      </c>
      <c r="E1129" t="s">
        <v>53</v>
      </c>
      <c r="F1129" t="s">
        <v>53</v>
      </c>
      <c r="G1129">
        <v>4</v>
      </c>
      <c r="H1129" t="s">
        <v>54</v>
      </c>
      <c r="I1129">
        <v>243500</v>
      </c>
      <c r="J1129">
        <v>38800</v>
      </c>
      <c r="K1129">
        <v>0.17</v>
      </c>
      <c r="L112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29">
        <v>0</v>
      </c>
      <c r="N1129">
        <v>0</v>
      </c>
      <c r="O1129">
        <v>0</v>
      </c>
      <c r="P1129">
        <v>13398.7528</v>
      </c>
      <c r="Q1129">
        <v>63903</v>
      </c>
      <c r="R1129">
        <f>(Grandview_Inventory[[#This Row],[ln_acres]]*Grandview_Inventory[[#This Row],[coeff]])+Grandview_Inventory[[#This Row],[const]]</f>
        <v>40160.988302686128</v>
      </c>
      <c r="S1129" t="s">
        <v>61</v>
      </c>
      <c r="T1129">
        <v>1</v>
      </c>
      <c r="U1129" t="s">
        <v>62</v>
      </c>
      <c r="V1129" t="s">
        <v>66</v>
      </c>
      <c r="W1129">
        <v>0</v>
      </c>
      <c r="X1129">
        <v>0</v>
      </c>
      <c r="Y1129">
        <v>13</v>
      </c>
      <c r="Z1129">
        <v>13</v>
      </c>
      <c r="AA1129">
        <v>20</v>
      </c>
      <c r="AB1129">
        <v>1500</v>
      </c>
      <c r="AC1129">
        <v>1400</v>
      </c>
      <c r="AD1129">
        <v>1400</v>
      </c>
      <c r="AE1129">
        <v>0</v>
      </c>
      <c r="AF1129">
        <v>0</v>
      </c>
      <c r="AG1129">
        <v>0</v>
      </c>
      <c r="AH1129">
        <v>0</v>
      </c>
      <c r="AI1129">
        <v>420</v>
      </c>
      <c r="AJ1129">
        <v>0</v>
      </c>
      <c r="AK1129">
        <v>0</v>
      </c>
      <c r="AL1129">
        <v>0</v>
      </c>
      <c r="AM1129">
        <v>160</v>
      </c>
      <c r="AN1129">
        <v>30</v>
      </c>
      <c r="AO1129">
        <v>0</v>
      </c>
      <c r="AP1129">
        <v>8</v>
      </c>
      <c r="AQ1129">
        <v>0</v>
      </c>
      <c r="AR1129">
        <v>0</v>
      </c>
      <c r="AS1129" t="s">
        <v>58</v>
      </c>
      <c r="AT1129">
        <v>1</v>
      </c>
      <c r="AU1129" t="s">
        <v>59</v>
      </c>
      <c r="AV1129" t="s">
        <v>60</v>
      </c>
      <c r="AW1129">
        <v>1</v>
      </c>
      <c r="AX1129">
        <v>3</v>
      </c>
      <c r="AY1129">
        <v>0</v>
      </c>
      <c r="AZ1129">
        <v>0</v>
      </c>
      <c r="BA1129">
        <v>100</v>
      </c>
      <c r="BB1129">
        <v>100</v>
      </c>
      <c r="BC1129">
        <v>100</v>
      </c>
      <c r="BD1129">
        <v>100</v>
      </c>
      <c r="BE1129">
        <v>1</v>
      </c>
      <c r="BF1129">
        <v>15000</v>
      </c>
      <c r="BG1129">
        <v>1000</v>
      </c>
      <c r="BH1129" s="6">
        <f>Grandview_Inventory[[#This Row],[land_extract]]*Lookups!$B$3</f>
        <v>46638.847281240982</v>
      </c>
      <c r="BI1129" s="6">
        <f>IF(Grandview_Inventory[[#This Row],[bldg_style]]="",0,Lookups!$B$2)</f>
        <v>155833.95000000001</v>
      </c>
      <c r="BJ1129" s="6">
        <f>_xlfn.IFNA(VLOOKUP(Grandview_Inventory[[#This Row],[quality]],Lookups!$H$2:$J$14,3,FALSE),0)</f>
        <v>9808</v>
      </c>
      <c r="BK1129" s="6">
        <f>_xlfn.IFNA(VLOOKUP(Grandview_Inventory[[#This Row],[condition]],Lookups!$H$17:$J$24,3,FALSE),0)</f>
        <v>25818</v>
      </c>
      <c r="BL1129" s="6">
        <f>Grandview_Inventory[[#This Row],[Eff_Age]]*Lookups!$B$14</f>
        <v>-3109.1657999999998</v>
      </c>
      <c r="BM1129" s="6">
        <f>Grandview_Inventory[[#This Row],[living_area]]*Lookups!$B$15</f>
        <v>87333.194199999998</v>
      </c>
      <c r="BN1129" s="6">
        <f>Grandview_Inventory[[#This Row],[Fin BSMT]]*Lookups!$B$16</f>
        <v>0</v>
      </c>
      <c r="BO1129" s="6">
        <f>(Grandview_Inventory[[#This Row],[att_gar]]+Grandview_Inventory[[#This Row],[bltin_gar]])*Lookups!$B$17</f>
        <v>36758.58354</v>
      </c>
      <c r="BP1129" s="6">
        <f>Grandview_Inventory[[#This Row],[Plumbing Fixtures]]*Lookups!$B$18</f>
        <v>16083.5344</v>
      </c>
      <c r="BQ1129" s="6">
        <f>Grandview_Inventory[[#This Row],[detatched_value]]*Lookups!$B$19</f>
        <v>0</v>
      </c>
      <c r="BR1129" s="6">
        <f>SUM(Grandview_Inventory[[#This Row],[Intercept]:[det_value]])*Grandview_Inventory[[#This Row],[res_pct]]</f>
        <v>328526.09634000005</v>
      </c>
      <c r="BS1129" s="6">
        <f>Grandview_Inventory[[#This Row],[land_value]]</f>
        <v>46638.847281240982</v>
      </c>
      <c r="BT1129" s="4">
        <f>_xlfn.IFNA(VLOOKUP(Grandview_Inventory[[#This Row],[quality]],Lookups!$A$26:$C$33,3,FALSE),1)</f>
        <v>0.94295468617355149</v>
      </c>
      <c r="BU1129" s="4">
        <f>_xlfn.IFNA(VLOOKUP(Grandview_Inventory[[#This Row],[condition]],Lookups!$A$37:$C$44,3,FALSE),1)</f>
        <v>0.96661476234146892</v>
      </c>
      <c r="BV1129" s="4">
        <f>IF(Grandview_Inventory[[#This Row],[bldg_style]]="",1,_xlfn.IFNA(VLOOKUP(Grandview_Inventory[[#This Row],[decade]],Lookups!$F$29:$H$43,3,FALSE),1))</f>
        <v>0.96737494181490646</v>
      </c>
      <c r="BW1129" s="4">
        <f>_xlfn.IFNA(VLOOKUP(Grandview_Inventory[[#This Row],[living_area_range]],Lookups!$F$47:$H$56,3,FALSE),1)</f>
        <v>0.96135087979789358</v>
      </c>
      <c r="BX1129" s="4">
        <f>AVERAGE(Grandview_Inventory[[#This Row],[qual_adj]:[size_adj]])</f>
        <v>0.95957381753195514</v>
      </c>
      <c r="BY1129" s="6">
        <f>IF(Grandview_Inventory[[#This Row],[pre_res]]&lt;0,0,Grandview_Inventory[[#This Row],[pre_res]]*Grandview_Inventory[[#This Row],[overall_adj]])</f>
        <v>315245.04042384471</v>
      </c>
      <c r="BZ1129" s="6">
        <f>(Grandview_Inventory[[#This Row],[sum_land]]-IF(Grandview_Inventory[[#This Row],[no_utilities]]=1,12000,0))/IF(Grandview_Inventory[[#This Row],[unbuildable]]=1,2,1)</f>
        <v>46638.847281240982</v>
      </c>
      <c r="CA112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29">
        <f>ROUND(Grandview_Inventory[[#This Row],[det_value]]*Lookups!$M$28,-2)</f>
        <v>0</v>
      </c>
      <c r="CC1129">
        <f>IF(ROUND(Grandview_Inventory[[#This Row],[adj_res]]*Lookups!$M$28,-2)&lt;Grandview_Inventory[[#This Row],[min_res]],Grandview_Inventory[[#This Row],[min_res]],ROUND(Grandview_Inventory[[#This Row],[adj_res]]*Lookups!$M$28,-2))</f>
        <v>299500</v>
      </c>
      <c r="CD1129">
        <f>Grandview_Inventory[[#This Row],[final_det]]+Grandview_Inventory[[#This Row],[final_res]]</f>
        <v>299500</v>
      </c>
      <c r="CE1129">
        <f>Grandview_Inventory[[#This Row],[final_land]]+Grandview_Inventory[[#This Row],[final_imp]]+Grandview_Inventory[[#This Row],[crop_value]]</f>
        <v>343800</v>
      </c>
      <c r="CG1129" t="str">
        <f t="shared" si="17"/>
        <v>update valuation set market_land =44300, market_bldg=299500, market_total =343800, market_mdno =401, market_date ='9/10/2023' where link_id = (select link_id from parcel where parcel_year = '2024' and parcel_id = '23092242532');</v>
      </c>
    </row>
    <row r="1130" spans="1:85" x14ac:dyDescent="0.25">
      <c r="A1130">
        <v>23092242533</v>
      </c>
      <c r="B1130">
        <v>0.18</v>
      </c>
      <c r="C1130">
        <v>7718</v>
      </c>
      <c r="D1130" t="s">
        <v>129</v>
      </c>
      <c r="E1130" t="s">
        <v>53</v>
      </c>
      <c r="F1130" t="s">
        <v>53</v>
      </c>
      <c r="G1130">
        <v>4</v>
      </c>
      <c r="H1130" t="s">
        <v>54</v>
      </c>
      <c r="I1130">
        <v>243600</v>
      </c>
      <c r="J1130">
        <v>39000</v>
      </c>
      <c r="K1130">
        <v>0.18</v>
      </c>
      <c r="L113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30">
        <v>0</v>
      </c>
      <c r="N1130">
        <v>0</v>
      </c>
      <c r="O1130">
        <v>0</v>
      </c>
      <c r="P1130">
        <v>13398.7528</v>
      </c>
      <c r="Q1130">
        <v>63903</v>
      </c>
      <c r="R1130">
        <f>(Grandview_Inventory[[#This Row],[ln_acres]]*Grandview_Inventory[[#This Row],[coeff]])+Grandview_Inventory[[#This Row],[const]]</f>
        <v>40926.839760167699</v>
      </c>
      <c r="S1130" t="s">
        <v>61</v>
      </c>
      <c r="T1130">
        <v>1</v>
      </c>
      <c r="U1130" t="s">
        <v>62</v>
      </c>
      <c r="V1130" t="s">
        <v>66</v>
      </c>
      <c r="W1130">
        <v>0</v>
      </c>
      <c r="X1130">
        <v>0</v>
      </c>
      <c r="Y1130">
        <v>13</v>
      </c>
      <c r="Z1130">
        <v>13</v>
      </c>
      <c r="AA1130">
        <v>20</v>
      </c>
      <c r="AB1130">
        <v>1500</v>
      </c>
      <c r="AC1130">
        <v>1401</v>
      </c>
      <c r="AD1130">
        <v>1401</v>
      </c>
      <c r="AE1130">
        <v>0</v>
      </c>
      <c r="AF1130">
        <v>0</v>
      </c>
      <c r="AG1130">
        <v>0</v>
      </c>
      <c r="AH1130">
        <v>0</v>
      </c>
      <c r="AI1130">
        <v>420</v>
      </c>
      <c r="AJ1130">
        <v>0</v>
      </c>
      <c r="AK1130">
        <v>0</v>
      </c>
      <c r="AL1130">
        <v>0</v>
      </c>
      <c r="AM1130">
        <v>0</v>
      </c>
      <c r="AN1130">
        <v>196</v>
      </c>
      <c r="AO1130">
        <v>0</v>
      </c>
      <c r="AP1130">
        <v>8</v>
      </c>
      <c r="AQ1130">
        <v>0</v>
      </c>
      <c r="AR1130">
        <v>0</v>
      </c>
      <c r="AS1130" t="s">
        <v>58</v>
      </c>
      <c r="AT1130">
        <v>1</v>
      </c>
      <c r="AU1130" t="s">
        <v>59</v>
      </c>
      <c r="AV1130" t="s">
        <v>60</v>
      </c>
      <c r="AW1130">
        <v>1</v>
      </c>
      <c r="AX1130">
        <v>3</v>
      </c>
      <c r="AY1130">
        <v>0</v>
      </c>
      <c r="AZ1130">
        <v>0</v>
      </c>
      <c r="BA1130">
        <v>100</v>
      </c>
      <c r="BB1130">
        <v>100</v>
      </c>
      <c r="BC1130">
        <v>100</v>
      </c>
      <c r="BD1130">
        <v>100</v>
      </c>
      <c r="BE1130">
        <v>1</v>
      </c>
      <c r="BF1130">
        <v>15000</v>
      </c>
      <c r="BG1130">
        <v>1000</v>
      </c>
      <c r="BH1130" s="6">
        <f>Grandview_Inventory[[#This Row],[land_extract]]*Lookups!$B$3</f>
        <v>47528.228511015397</v>
      </c>
      <c r="BI1130" s="6">
        <f>IF(Grandview_Inventory[[#This Row],[bldg_style]]="",0,Lookups!$B$2)</f>
        <v>155833.95000000001</v>
      </c>
      <c r="BJ1130" s="6">
        <f>_xlfn.IFNA(VLOOKUP(Grandview_Inventory[[#This Row],[quality]],Lookups!$H$2:$J$14,3,FALSE),0)</f>
        <v>9808</v>
      </c>
      <c r="BK1130" s="6">
        <f>_xlfn.IFNA(VLOOKUP(Grandview_Inventory[[#This Row],[condition]],Lookups!$H$17:$J$24,3,FALSE),0)</f>
        <v>25818</v>
      </c>
      <c r="BL1130" s="6">
        <f>Grandview_Inventory[[#This Row],[Eff_Age]]*Lookups!$B$14</f>
        <v>-3109.1657999999998</v>
      </c>
      <c r="BM1130" s="6">
        <f>Grandview_Inventory[[#This Row],[living_area]]*Lookups!$B$15</f>
        <v>87395.575053000008</v>
      </c>
      <c r="BN1130" s="6">
        <f>Grandview_Inventory[[#This Row],[Fin BSMT]]*Lookups!$B$16</f>
        <v>0</v>
      </c>
      <c r="BO1130" s="6">
        <f>(Grandview_Inventory[[#This Row],[att_gar]]+Grandview_Inventory[[#This Row],[bltin_gar]])*Lookups!$B$17</f>
        <v>36758.58354</v>
      </c>
      <c r="BP1130" s="6">
        <f>Grandview_Inventory[[#This Row],[Plumbing Fixtures]]*Lookups!$B$18</f>
        <v>16083.5344</v>
      </c>
      <c r="BQ1130" s="6">
        <f>Grandview_Inventory[[#This Row],[detatched_value]]*Lookups!$B$19</f>
        <v>0</v>
      </c>
      <c r="BR1130" s="6">
        <f>SUM(Grandview_Inventory[[#This Row],[Intercept]:[det_value]])*Grandview_Inventory[[#This Row],[res_pct]]</f>
        <v>328588.47719300003</v>
      </c>
      <c r="BS1130" s="6">
        <f>Grandview_Inventory[[#This Row],[land_value]]</f>
        <v>47528.228511015397</v>
      </c>
      <c r="BT1130" s="4">
        <f>_xlfn.IFNA(VLOOKUP(Grandview_Inventory[[#This Row],[quality]],Lookups!$A$26:$C$33,3,FALSE),1)</f>
        <v>0.94295468617355149</v>
      </c>
      <c r="BU1130" s="4">
        <f>_xlfn.IFNA(VLOOKUP(Grandview_Inventory[[#This Row],[condition]],Lookups!$A$37:$C$44,3,FALSE),1)</f>
        <v>0.96661476234146892</v>
      </c>
      <c r="BV1130" s="4">
        <f>IF(Grandview_Inventory[[#This Row],[bldg_style]]="",1,_xlfn.IFNA(VLOOKUP(Grandview_Inventory[[#This Row],[decade]],Lookups!$F$29:$H$43,3,FALSE),1))</f>
        <v>0.96737494181490646</v>
      </c>
      <c r="BW1130" s="4">
        <f>_xlfn.IFNA(VLOOKUP(Grandview_Inventory[[#This Row],[living_area_range]],Lookups!$F$47:$H$56,3,FALSE),1)</f>
        <v>0.96135087979789358</v>
      </c>
      <c r="BX1130" s="4">
        <f>AVERAGE(Grandview_Inventory[[#This Row],[qual_adj]:[size_adj]])</f>
        <v>0.95957381753195514</v>
      </c>
      <c r="BY1130" s="6">
        <f>IF(Grandview_Inventory[[#This Row],[pre_res]]&lt;0,0,Grandview_Inventory[[#This Row],[pre_res]]*Grandview_Inventory[[#This Row],[overall_adj]])</f>
        <v>315304.8994570988</v>
      </c>
      <c r="BZ1130" s="6">
        <f>(Grandview_Inventory[[#This Row],[sum_land]]-IF(Grandview_Inventory[[#This Row],[no_utilities]]=1,12000,0))/IF(Grandview_Inventory[[#This Row],[unbuildable]]=1,2,1)</f>
        <v>47528.228511015397</v>
      </c>
      <c r="CA113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30">
        <f>ROUND(Grandview_Inventory[[#This Row],[det_value]]*Lookups!$M$28,-2)</f>
        <v>0</v>
      </c>
      <c r="CC1130">
        <f>IF(ROUND(Grandview_Inventory[[#This Row],[adj_res]]*Lookups!$M$28,-2)&lt;Grandview_Inventory[[#This Row],[min_res]],Grandview_Inventory[[#This Row],[min_res]],ROUND(Grandview_Inventory[[#This Row],[adj_res]]*Lookups!$M$28,-2))</f>
        <v>299500</v>
      </c>
      <c r="CD1130">
        <f>Grandview_Inventory[[#This Row],[final_det]]+Grandview_Inventory[[#This Row],[final_res]]</f>
        <v>299500</v>
      </c>
      <c r="CE1130">
        <f>Grandview_Inventory[[#This Row],[final_land]]+Grandview_Inventory[[#This Row],[final_imp]]+Grandview_Inventory[[#This Row],[crop_value]]</f>
        <v>344700</v>
      </c>
      <c r="CG1130" t="str">
        <f t="shared" si="17"/>
        <v>update valuation set market_land =45200, market_bldg=299500, market_total =344700, market_mdno =401, market_date ='9/10/2023' where link_id = (select link_id from parcel where parcel_year = '2024' and parcel_id = '23092242533');</v>
      </c>
    </row>
    <row r="1131" spans="1:85" x14ac:dyDescent="0.25">
      <c r="A1131">
        <v>23092242534</v>
      </c>
      <c r="B1131">
        <v>0.17</v>
      </c>
      <c r="C1131">
        <v>7346</v>
      </c>
      <c r="D1131" t="s">
        <v>129</v>
      </c>
      <c r="E1131" t="s">
        <v>53</v>
      </c>
      <c r="F1131" t="s">
        <v>53</v>
      </c>
      <c r="G1131">
        <v>4</v>
      </c>
      <c r="H1131" t="s">
        <v>54</v>
      </c>
      <c r="I1131">
        <v>240800</v>
      </c>
      <c r="J1131">
        <v>38800</v>
      </c>
      <c r="K1131">
        <v>0.17</v>
      </c>
      <c r="L113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31">
        <v>0</v>
      </c>
      <c r="N1131">
        <v>0</v>
      </c>
      <c r="O1131">
        <v>0</v>
      </c>
      <c r="P1131">
        <v>13398.7528</v>
      </c>
      <c r="Q1131">
        <v>63903</v>
      </c>
      <c r="R1131">
        <f>(Grandview_Inventory[[#This Row],[ln_acres]]*Grandview_Inventory[[#This Row],[coeff]])+Grandview_Inventory[[#This Row],[const]]</f>
        <v>40160.988302686128</v>
      </c>
      <c r="S1131" t="s">
        <v>61</v>
      </c>
      <c r="T1131">
        <v>1</v>
      </c>
      <c r="U1131" t="s">
        <v>62</v>
      </c>
      <c r="V1131" t="s">
        <v>66</v>
      </c>
      <c r="W1131">
        <v>0</v>
      </c>
      <c r="X1131">
        <v>0</v>
      </c>
      <c r="Y1131">
        <v>10</v>
      </c>
      <c r="Z1131">
        <v>10</v>
      </c>
      <c r="AA1131">
        <v>10</v>
      </c>
      <c r="AB1131">
        <v>1500</v>
      </c>
      <c r="AC1131">
        <v>1482</v>
      </c>
      <c r="AD1131">
        <v>1482</v>
      </c>
      <c r="AE1131">
        <v>0</v>
      </c>
      <c r="AF1131">
        <v>0</v>
      </c>
      <c r="AG1131">
        <v>0</v>
      </c>
      <c r="AH1131">
        <v>0</v>
      </c>
      <c r="AI1131">
        <v>442</v>
      </c>
      <c r="AJ1131">
        <v>0</v>
      </c>
      <c r="AK1131">
        <v>0</v>
      </c>
      <c r="AL1131">
        <v>0</v>
      </c>
      <c r="AM1131">
        <v>66</v>
      </c>
      <c r="AN1131">
        <v>0</v>
      </c>
      <c r="AO1131">
        <v>0</v>
      </c>
      <c r="AP1131">
        <v>8</v>
      </c>
      <c r="AQ1131">
        <v>0</v>
      </c>
      <c r="AR1131">
        <v>0</v>
      </c>
      <c r="AS1131" t="s">
        <v>58</v>
      </c>
      <c r="AT1131">
        <v>1</v>
      </c>
      <c r="AU1131" t="s">
        <v>63</v>
      </c>
      <c r="AV1131" t="s">
        <v>60</v>
      </c>
      <c r="AW1131">
        <v>1</v>
      </c>
      <c r="AX1131">
        <v>4</v>
      </c>
      <c r="AY1131">
        <v>0</v>
      </c>
      <c r="AZ1131">
        <v>0</v>
      </c>
      <c r="BA1131">
        <v>100</v>
      </c>
      <c r="BB1131">
        <v>100</v>
      </c>
      <c r="BC1131">
        <v>100</v>
      </c>
      <c r="BD1131">
        <v>100</v>
      </c>
      <c r="BE1131">
        <v>1</v>
      </c>
      <c r="BF1131">
        <v>15000</v>
      </c>
      <c r="BG1131">
        <v>1000</v>
      </c>
      <c r="BH1131" s="6">
        <f>Grandview_Inventory[[#This Row],[land_extract]]*Lookups!$B$3</f>
        <v>46638.847281240982</v>
      </c>
      <c r="BI1131" s="6">
        <f>IF(Grandview_Inventory[[#This Row],[bldg_style]]="",0,Lookups!$B$2)</f>
        <v>155833.95000000001</v>
      </c>
      <c r="BJ1131" s="6">
        <f>_xlfn.IFNA(VLOOKUP(Grandview_Inventory[[#This Row],[quality]],Lookups!$H$2:$J$14,3,FALSE),0)</f>
        <v>9808</v>
      </c>
      <c r="BK1131" s="6">
        <f>_xlfn.IFNA(VLOOKUP(Grandview_Inventory[[#This Row],[condition]],Lookups!$H$17:$J$24,3,FALSE),0)</f>
        <v>25818</v>
      </c>
      <c r="BL1131" s="6">
        <f>Grandview_Inventory[[#This Row],[Eff_Age]]*Lookups!$B$14</f>
        <v>-2391.6659999999997</v>
      </c>
      <c r="BM1131" s="6">
        <f>Grandview_Inventory[[#This Row],[living_area]]*Lookups!$B$15</f>
        <v>92448.424146000005</v>
      </c>
      <c r="BN1131" s="6">
        <f>Grandview_Inventory[[#This Row],[Fin BSMT]]*Lookups!$B$16</f>
        <v>0</v>
      </c>
      <c r="BO1131" s="6">
        <f>(Grandview_Inventory[[#This Row],[att_gar]]+Grandview_Inventory[[#This Row],[bltin_gar]])*Lookups!$B$17</f>
        <v>38684.033153999997</v>
      </c>
      <c r="BP1131" s="6">
        <f>Grandview_Inventory[[#This Row],[Plumbing Fixtures]]*Lookups!$B$18</f>
        <v>16083.5344</v>
      </c>
      <c r="BQ1131" s="6">
        <f>Grandview_Inventory[[#This Row],[detatched_value]]*Lookups!$B$19</f>
        <v>0</v>
      </c>
      <c r="BR1131" s="6">
        <f>SUM(Grandview_Inventory[[#This Row],[Intercept]:[det_value]])*Grandview_Inventory[[#This Row],[res_pct]]</f>
        <v>336284.27570000006</v>
      </c>
      <c r="BS1131" s="6">
        <f>Grandview_Inventory[[#This Row],[land_value]]</f>
        <v>46638.847281240982</v>
      </c>
      <c r="BT1131" s="4">
        <f>_xlfn.IFNA(VLOOKUP(Grandview_Inventory[[#This Row],[quality]],Lookups!$A$26:$C$33,3,FALSE),1)</f>
        <v>0.94295468617355149</v>
      </c>
      <c r="BU1131" s="4">
        <f>_xlfn.IFNA(VLOOKUP(Grandview_Inventory[[#This Row],[condition]],Lookups!$A$37:$C$44,3,FALSE),1)</f>
        <v>0.96661476234146892</v>
      </c>
      <c r="BV1131" s="4">
        <f>IF(Grandview_Inventory[[#This Row],[bldg_style]]="",1,_xlfn.IFNA(VLOOKUP(Grandview_Inventory[[#This Row],[decade]],Lookups!$F$29:$H$43,3,FALSE),1))</f>
        <v>0.94601966599150278</v>
      </c>
      <c r="BW1131" s="4">
        <f>_xlfn.IFNA(VLOOKUP(Grandview_Inventory[[#This Row],[living_area_range]],Lookups!$F$47:$H$56,3,FALSE),1)</f>
        <v>0.96135087979789358</v>
      </c>
      <c r="BX1131" s="4">
        <f>AVERAGE(Grandview_Inventory[[#This Row],[qual_adj]:[size_adj]])</f>
        <v>0.95423499857610428</v>
      </c>
      <c r="BY1131" s="6">
        <f>IF(Grandview_Inventory[[#This Row],[pre_res]]&lt;0,0,Grandview_Inventory[[#This Row],[pre_res]]*Grandview_Inventory[[#This Row],[overall_adj]])</f>
        <v>320894.2253437558</v>
      </c>
      <c r="BZ1131" s="6">
        <f>(Grandview_Inventory[[#This Row],[sum_land]]-IF(Grandview_Inventory[[#This Row],[no_utilities]]=1,12000,0))/IF(Grandview_Inventory[[#This Row],[unbuildable]]=1,2,1)</f>
        <v>46638.847281240982</v>
      </c>
      <c r="CA113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31">
        <f>ROUND(Grandview_Inventory[[#This Row],[det_value]]*Lookups!$M$28,-2)</f>
        <v>0</v>
      </c>
      <c r="CC1131">
        <f>IF(ROUND(Grandview_Inventory[[#This Row],[adj_res]]*Lookups!$M$28,-2)&lt;Grandview_Inventory[[#This Row],[min_res]],Grandview_Inventory[[#This Row],[min_res]],ROUND(Grandview_Inventory[[#This Row],[adj_res]]*Lookups!$M$28,-2))</f>
        <v>304800</v>
      </c>
      <c r="CD1131">
        <f>Grandview_Inventory[[#This Row],[final_det]]+Grandview_Inventory[[#This Row],[final_res]]</f>
        <v>304800</v>
      </c>
      <c r="CE1131">
        <f>Grandview_Inventory[[#This Row],[final_land]]+Grandview_Inventory[[#This Row],[final_imp]]+Grandview_Inventory[[#This Row],[crop_value]]</f>
        <v>349100</v>
      </c>
      <c r="CG1131" t="str">
        <f t="shared" si="17"/>
        <v>update valuation set market_land =44300, market_bldg=304800, market_total =349100, market_mdno =401, market_date ='9/10/2023' where link_id = (select link_id from parcel where parcel_year = '2024' and parcel_id = '23092242534');</v>
      </c>
    </row>
    <row r="1132" spans="1:85" x14ac:dyDescent="0.25">
      <c r="A1132">
        <v>23092242535</v>
      </c>
      <c r="B1132">
        <v>0.28999999999999998</v>
      </c>
      <c r="C1132">
        <v>12793</v>
      </c>
      <c r="D1132" t="s">
        <v>129</v>
      </c>
      <c r="E1132" t="s">
        <v>53</v>
      </c>
      <c r="F1132" t="s">
        <v>53</v>
      </c>
      <c r="G1132">
        <v>4</v>
      </c>
      <c r="H1132" t="s">
        <v>54</v>
      </c>
      <c r="I1132">
        <v>250300</v>
      </c>
      <c r="J1132">
        <v>40700</v>
      </c>
      <c r="K1132">
        <v>0.28999999999999998</v>
      </c>
      <c r="L1132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132">
        <v>0</v>
      </c>
      <c r="N1132">
        <v>0</v>
      </c>
      <c r="O1132">
        <v>0</v>
      </c>
      <c r="P1132">
        <v>13398.7528</v>
      </c>
      <c r="Q1132">
        <v>63903</v>
      </c>
      <c r="R1132">
        <f>(Grandview_Inventory[[#This Row],[ln_acres]]*Grandview_Inventory[[#This Row],[coeff]])+Grandview_Inventory[[#This Row],[const]]</f>
        <v>47317.027506475133</v>
      </c>
      <c r="S1132" t="s">
        <v>55</v>
      </c>
      <c r="T1132">
        <v>2</v>
      </c>
      <c r="U1132" t="s">
        <v>62</v>
      </c>
      <c r="V1132" t="s">
        <v>66</v>
      </c>
      <c r="W1132">
        <v>0</v>
      </c>
      <c r="X1132">
        <v>0</v>
      </c>
      <c r="Y1132">
        <v>10</v>
      </c>
      <c r="Z1132">
        <v>10</v>
      </c>
      <c r="AA1132">
        <v>10</v>
      </c>
      <c r="AB1132">
        <v>1500</v>
      </c>
      <c r="AC1132">
        <v>1276</v>
      </c>
      <c r="AD1132">
        <v>638</v>
      </c>
      <c r="AE1132">
        <v>638</v>
      </c>
      <c r="AF1132">
        <v>0</v>
      </c>
      <c r="AG1132">
        <v>0</v>
      </c>
      <c r="AH1132">
        <v>0</v>
      </c>
      <c r="AI1132">
        <v>460</v>
      </c>
      <c r="AJ1132">
        <v>0</v>
      </c>
      <c r="AK1132">
        <v>0</v>
      </c>
      <c r="AL1132">
        <v>0</v>
      </c>
      <c r="AM1132">
        <v>66</v>
      </c>
      <c r="AN1132">
        <v>32</v>
      </c>
      <c r="AO1132">
        <v>0</v>
      </c>
      <c r="AP1132">
        <v>8</v>
      </c>
      <c r="AQ1132">
        <v>0</v>
      </c>
      <c r="AR1132">
        <v>0</v>
      </c>
      <c r="AS1132" t="s">
        <v>58</v>
      </c>
      <c r="AT1132">
        <v>1</v>
      </c>
      <c r="AU1132" t="s">
        <v>63</v>
      </c>
      <c r="AV1132" t="s">
        <v>60</v>
      </c>
      <c r="AW1132">
        <v>1</v>
      </c>
      <c r="AX1132">
        <v>3</v>
      </c>
      <c r="AY1132">
        <v>0</v>
      </c>
      <c r="AZ1132">
        <v>0</v>
      </c>
      <c r="BA1132">
        <v>100</v>
      </c>
      <c r="BB1132">
        <v>100</v>
      </c>
      <c r="BC1132">
        <v>100</v>
      </c>
      <c r="BD1132">
        <v>100</v>
      </c>
      <c r="BE1132">
        <v>1</v>
      </c>
      <c r="BF1132">
        <v>15000</v>
      </c>
      <c r="BG1132">
        <v>1000</v>
      </c>
      <c r="BH1132" s="6">
        <f>Grandview_Inventory[[#This Row],[land_extract]]*Lookups!$B$3</f>
        <v>54949.136287295303</v>
      </c>
      <c r="BI1132" s="6">
        <f>IF(Grandview_Inventory[[#This Row],[bldg_style]]="",0,Lookups!$B$2)</f>
        <v>155833.95000000001</v>
      </c>
      <c r="BJ1132" s="6">
        <f>_xlfn.IFNA(VLOOKUP(Grandview_Inventory[[#This Row],[quality]],Lookups!$H$2:$J$14,3,FALSE),0)</f>
        <v>9808</v>
      </c>
      <c r="BK1132" s="6">
        <f>_xlfn.IFNA(VLOOKUP(Grandview_Inventory[[#This Row],[condition]],Lookups!$H$17:$J$24,3,FALSE),0)</f>
        <v>25818</v>
      </c>
      <c r="BL1132" s="6">
        <f>Grandview_Inventory[[#This Row],[Eff_Age]]*Lookups!$B$14</f>
        <v>-2391.6659999999997</v>
      </c>
      <c r="BM1132" s="6">
        <f>Grandview_Inventory[[#This Row],[living_area]]*Lookups!$B$15</f>
        <v>79597.968428000007</v>
      </c>
      <c r="BN1132" s="6">
        <f>Grandview_Inventory[[#This Row],[Fin BSMT]]*Lookups!$B$16</f>
        <v>0</v>
      </c>
      <c r="BO1132" s="6">
        <f>(Grandview_Inventory[[#This Row],[att_gar]]+Grandview_Inventory[[#This Row],[bltin_gar]])*Lookups!$B$17</f>
        <v>40259.401019999998</v>
      </c>
      <c r="BP1132" s="6">
        <f>Grandview_Inventory[[#This Row],[Plumbing Fixtures]]*Lookups!$B$18</f>
        <v>16083.5344</v>
      </c>
      <c r="BQ1132" s="6">
        <f>Grandview_Inventory[[#This Row],[detatched_value]]*Lookups!$B$19</f>
        <v>0</v>
      </c>
      <c r="BR1132" s="6">
        <f>SUM(Grandview_Inventory[[#This Row],[Intercept]:[det_value]])*Grandview_Inventory[[#This Row],[res_pct]]</f>
        <v>325009.18784800003</v>
      </c>
      <c r="BS1132" s="6">
        <f>Grandview_Inventory[[#This Row],[land_value]]</f>
        <v>54949.136287295303</v>
      </c>
      <c r="BT1132" s="4">
        <f>_xlfn.IFNA(VLOOKUP(Grandview_Inventory[[#This Row],[quality]],Lookups!$A$26:$C$33,3,FALSE),1)</f>
        <v>0.94295468617355149</v>
      </c>
      <c r="BU1132" s="4">
        <f>_xlfn.IFNA(VLOOKUP(Grandview_Inventory[[#This Row],[condition]],Lookups!$A$37:$C$44,3,FALSE),1)</f>
        <v>0.96661476234146892</v>
      </c>
      <c r="BV1132" s="4">
        <f>IF(Grandview_Inventory[[#This Row],[bldg_style]]="",1,_xlfn.IFNA(VLOOKUP(Grandview_Inventory[[#This Row],[decade]],Lookups!$F$29:$H$43,3,FALSE),1))</f>
        <v>0.94601966599150278</v>
      </c>
      <c r="BW1132" s="4">
        <f>_xlfn.IFNA(VLOOKUP(Grandview_Inventory[[#This Row],[living_area_range]],Lookups!$F$47:$H$56,3,FALSE),1)</f>
        <v>0.96135087979789358</v>
      </c>
      <c r="BX1132" s="4">
        <f>AVERAGE(Grandview_Inventory[[#This Row],[qual_adj]:[size_adj]])</f>
        <v>0.95423499857610428</v>
      </c>
      <c r="BY1132" s="6">
        <f>IF(Grandview_Inventory[[#This Row],[pre_res]]&lt;0,0,Grandview_Inventory[[#This Row],[pre_res]]*Grandview_Inventory[[#This Row],[overall_adj]])</f>
        <v>310135.14190335711</v>
      </c>
      <c r="BZ1132" s="6">
        <f>(Grandview_Inventory[[#This Row],[sum_land]]-IF(Grandview_Inventory[[#This Row],[no_utilities]]=1,12000,0))/IF(Grandview_Inventory[[#This Row],[unbuildable]]=1,2,1)</f>
        <v>54949.136287295303</v>
      </c>
      <c r="CA1132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132">
        <f>ROUND(Grandview_Inventory[[#This Row],[det_value]]*Lookups!$M$28,-2)</f>
        <v>0</v>
      </c>
      <c r="CC1132">
        <f>IF(ROUND(Grandview_Inventory[[#This Row],[adj_res]]*Lookups!$M$28,-2)&lt;Grandview_Inventory[[#This Row],[min_res]],Grandview_Inventory[[#This Row],[min_res]],ROUND(Grandview_Inventory[[#This Row],[adj_res]]*Lookups!$M$28,-2))</f>
        <v>294600</v>
      </c>
      <c r="CD1132">
        <f>Grandview_Inventory[[#This Row],[final_det]]+Grandview_Inventory[[#This Row],[final_res]]</f>
        <v>294600</v>
      </c>
      <c r="CE1132">
        <f>Grandview_Inventory[[#This Row],[final_land]]+Grandview_Inventory[[#This Row],[final_imp]]+Grandview_Inventory[[#This Row],[crop_value]]</f>
        <v>346800</v>
      </c>
      <c r="CG1132" t="str">
        <f t="shared" si="17"/>
        <v>update valuation set market_land =52200, market_bldg=294600, market_total =346800, market_mdno =401, market_date ='9/10/2023' where link_id = (select link_id from parcel where parcel_year = '2024' and parcel_id = '23092242535');</v>
      </c>
    </row>
    <row r="1133" spans="1:85" x14ac:dyDescent="0.25">
      <c r="A1133">
        <v>23092242536</v>
      </c>
      <c r="B1133">
        <v>0.19</v>
      </c>
      <c r="C1133">
        <v>8210</v>
      </c>
      <c r="D1133" t="s">
        <v>129</v>
      </c>
      <c r="E1133" t="s">
        <v>53</v>
      </c>
      <c r="F1133" t="s">
        <v>53</v>
      </c>
      <c r="G1133">
        <v>4</v>
      </c>
      <c r="H1133" t="s">
        <v>54</v>
      </c>
      <c r="I1133">
        <v>251700</v>
      </c>
      <c r="J1133">
        <v>39100</v>
      </c>
      <c r="K1133">
        <v>0.19</v>
      </c>
      <c r="L113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133">
        <v>0</v>
      </c>
      <c r="N1133">
        <v>0</v>
      </c>
      <c r="O1133">
        <v>0</v>
      </c>
      <c r="P1133">
        <v>13398.7528</v>
      </c>
      <c r="Q1133">
        <v>63903</v>
      </c>
      <c r="R1133">
        <f>(Grandview_Inventory[[#This Row],[ln_acres]]*Grandview_Inventory[[#This Row],[coeff]])+Grandview_Inventory[[#This Row],[const]]</f>
        <v>41651.273092551026</v>
      </c>
      <c r="S1133" t="s">
        <v>55</v>
      </c>
      <c r="T1133">
        <v>2</v>
      </c>
      <c r="U1133" t="s">
        <v>65</v>
      </c>
      <c r="V1133" t="s">
        <v>66</v>
      </c>
      <c r="W1133">
        <v>0</v>
      </c>
      <c r="X1133">
        <v>0</v>
      </c>
      <c r="Y1133">
        <v>10</v>
      </c>
      <c r="Z1133">
        <v>10</v>
      </c>
      <c r="AA1133">
        <v>10</v>
      </c>
      <c r="AB1133">
        <v>1500</v>
      </c>
      <c r="AC1133">
        <v>1276</v>
      </c>
      <c r="AD1133">
        <v>638</v>
      </c>
      <c r="AE1133">
        <v>638</v>
      </c>
      <c r="AF1133">
        <v>0</v>
      </c>
      <c r="AG1133">
        <v>0</v>
      </c>
      <c r="AH1133">
        <v>0</v>
      </c>
      <c r="AI1133">
        <v>460</v>
      </c>
      <c r="AJ1133">
        <v>0</v>
      </c>
      <c r="AK1133">
        <v>0</v>
      </c>
      <c r="AL1133">
        <v>0</v>
      </c>
      <c r="AM1133">
        <v>66</v>
      </c>
      <c r="AN1133">
        <v>32</v>
      </c>
      <c r="AO1133">
        <v>0</v>
      </c>
      <c r="AP1133">
        <v>8</v>
      </c>
      <c r="AQ1133">
        <v>0</v>
      </c>
      <c r="AR1133">
        <v>0</v>
      </c>
      <c r="AS1133" t="s">
        <v>58</v>
      </c>
      <c r="AT1133">
        <v>1</v>
      </c>
      <c r="AU1133" t="s">
        <v>63</v>
      </c>
      <c r="AV1133" t="s">
        <v>60</v>
      </c>
      <c r="AW1133">
        <v>1</v>
      </c>
      <c r="AX1133">
        <v>3</v>
      </c>
      <c r="AY1133">
        <v>0</v>
      </c>
      <c r="AZ1133">
        <v>0</v>
      </c>
      <c r="BA1133">
        <v>100</v>
      </c>
      <c r="BB1133">
        <v>100</v>
      </c>
      <c r="BC1133">
        <v>100</v>
      </c>
      <c r="BD1133">
        <v>100</v>
      </c>
      <c r="BE1133">
        <v>1</v>
      </c>
      <c r="BF1133">
        <v>15000</v>
      </c>
      <c r="BG1133">
        <v>1000</v>
      </c>
      <c r="BH1133" s="6">
        <f>Grandview_Inventory[[#This Row],[land_extract]]*Lookups!$B$3</f>
        <v>48369.510983942157</v>
      </c>
      <c r="BI1133" s="6">
        <f>IF(Grandview_Inventory[[#This Row],[bldg_style]]="",0,Lookups!$B$2)</f>
        <v>155833.95000000001</v>
      </c>
      <c r="BJ1133" s="6">
        <f>_xlfn.IFNA(VLOOKUP(Grandview_Inventory[[#This Row],[quality]],Lookups!$H$2:$J$14,3,FALSE),0)</f>
        <v>2251</v>
      </c>
      <c r="BK1133" s="6">
        <f>_xlfn.IFNA(VLOOKUP(Grandview_Inventory[[#This Row],[condition]],Lookups!$H$17:$J$24,3,FALSE),0)</f>
        <v>25818</v>
      </c>
      <c r="BL1133" s="6">
        <f>Grandview_Inventory[[#This Row],[Eff_Age]]*Lookups!$B$14</f>
        <v>-2391.6659999999997</v>
      </c>
      <c r="BM1133" s="6">
        <f>Grandview_Inventory[[#This Row],[living_area]]*Lookups!$B$15</f>
        <v>79597.968428000007</v>
      </c>
      <c r="BN1133" s="6">
        <f>Grandview_Inventory[[#This Row],[Fin BSMT]]*Lookups!$B$16</f>
        <v>0</v>
      </c>
      <c r="BO1133" s="6">
        <f>(Grandview_Inventory[[#This Row],[att_gar]]+Grandview_Inventory[[#This Row],[bltin_gar]])*Lookups!$B$17</f>
        <v>40259.401019999998</v>
      </c>
      <c r="BP1133" s="6">
        <f>Grandview_Inventory[[#This Row],[Plumbing Fixtures]]*Lookups!$B$18</f>
        <v>16083.5344</v>
      </c>
      <c r="BQ1133" s="6">
        <f>Grandview_Inventory[[#This Row],[detatched_value]]*Lookups!$B$19</f>
        <v>0</v>
      </c>
      <c r="BR1133" s="6">
        <f>SUM(Grandview_Inventory[[#This Row],[Intercept]:[det_value]])*Grandview_Inventory[[#This Row],[res_pct]]</f>
        <v>317452.18784800003</v>
      </c>
      <c r="BS1133" s="6">
        <f>Grandview_Inventory[[#This Row],[land_value]]</f>
        <v>48369.510983942157</v>
      </c>
      <c r="BT1133" s="4">
        <f>_xlfn.IFNA(VLOOKUP(Grandview_Inventory[[#This Row],[quality]],Lookups!$A$26:$C$33,3,FALSE),1)</f>
        <v>0.98763855981004833</v>
      </c>
      <c r="BU1133" s="4">
        <f>_xlfn.IFNA(VLOOKUP(Grandview_Inventory[[#This Row],[condition]],Lookups!$A$37:$C$44,3,FALSE),1)</f>
        <v>0.96661476234146892</v>
      </c>
      <c r="BV1133" s="4">
        <f>IF(Grandview_Inventory[[#This Row],[bldg_style]]="",1,_xlfn.IFNA(VLOOKUP(Grandview_Inventory[[#This Row],[decade]],Lookups!$F$29:$H$43,3,FALSE),1))</f>
        <v>0.94601966599150278</v>
      </c>
      <c r="BW1133" s="4">
        <f>_xlfn.IFNA(VLOOKUP(Grandview_Inventory[[#This Row],[living_area_range]],Lookups!$F$47:$H$56,3,FALSE),1)</f>
        <v>0.96135087979789358</v>
      </c>
      <c r="BX1133" s="4">
        <f>AVERAGE(Grandview_Inventory[[#This Row],[qual_adj]:[size_adj]])</f>
        <v>0.9654059669852284</v>
      </c>
      <c r="BY1133" s="6">
        <f>IF(Grandview_Inventory[[#This Row],[pre_res]]&lt;0,0,Grandview_Inventory[[#This Row],[pre_res]]*Grandview_Inventory[[#This Row],[overall_adj]])</f>
        <v>306470.23638097482</v>
      </c>
      <c r="BZ1133" s="6">
        <f>(Grandview_Inventory[[#This Row],[sum_land]]-IF(Grandview_Inventory[[#This Row],[no_utilities]]=1,12000,0))/IF(Grandview_Inventory[[#This Row],[unbuildable]]=1,2,1)</f>
        <v>48369.510983942157</v>
      </c>
      <c r="CA113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133">
        <f>ROUND(Grandview_Inventory[[#This Row],[det_value]]*Lookups!$M$28,-2)</f>
        <v>0</v>
      </c>
      <c r="CC1133">
        <f>IF(ROUND(Grandview_Inventory[[#This Row],[adj_res]]*Lookups!$M$28,-2)&lt;Grandview_Inventory[[#This Row],[min_res]],Grandview_Inventory[[#This Row],[min_res]],ROUND(Grandview_Inventory[[#This Row],[adj_res]]*Lookups!$M$28,-2))</f>
        <v>291100</v>
      </c>
      <c r="CD1133">
        <f>Grandview_Inventory[[#This Row],[final_det]]+Grandview_Inventory[[#This Row],[final_res]]</f>
        <v>291100</v>
      </c>
      <c r="CE1133">
        <f>Grandview_Inventory[[#This Row],[final_land]]+Grandview_Inventory[[#This Row],[final_imp]]+Grandview_Inventory[[#This Row],[crop_value]]</f>
        <v>337100</v>
      </c>
      <c r="CG1133" t="str">
        <f t="shared" si="17"/>
        <v>update valuation set market_land =46000, market_bldg=291100, market_total =337100, market_mdno =401, market_date ='9/10/2023' where link_id = (select link_id from parcel where parcel_year = '2024' and parcel_id = '23092242536');</v>
      </c>
    </row>
    <row r="1134" spans="1:85" x14ac:dyDescent="0.25">
      <c r="A1134">
        <v>23092242537</v>
      </c>
      <c r="B1134">
        <v>0.18</v>
      </c>
      <c r="C1134">
        <v>7709</v>
      </c>
      <c r="D1134" t="s">
        <v>129</v>
      </c>
      <c r="E1134" t="s">
        <v>53</v>
      </c>
      <c r="F1134" t="s">
        <v>53</v>
      </c>
      <c r="G1134">
        <v>4</v>
      </c>
      <c r="H1134" t="s">
        <v>54</v>
      </c>
      <c r="I1134">
        <v>245800</v>
      </c>
      <c r="J1134">
        <v>38800</v>
      </c>
      <c r="K1134">
        <v>0.18</v>
      </c>
      <c r="L113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34">
        <v>0</v>
      </c>
      <c r="N1134">
        <v>0</v>
      </c>
      <c r="O1134">
        <v>0</v>
      </c>
      <c r="P1134">
        <v>13398.7528</v>
      </c>
      <c r="Q1134">
        <v>63903</v>
      </c>
      <c r="R1134">
        <f>(Grandview_Inventory[[#This Row],[ln_acres]]*Grandview_Inventory[[#This Row],[coeff]])+Grandview_Inventory[[#This Row],[const]]</f>
        <v>40926.839760167699</v>
      </c>
      <c r="S1134" t="s">
        <v>55</v>
      </c>
      <c r="T1134">
        <v>2</v>
      </c>
      <c r="U1134" t="s">
        <v>62</v>
      </c>
      <c r="V1134" t="s">
        <v>66</v>
      </c>
      <c r="W1134">
        <v>0</v>
      </c>
      <c r="X1134">
        <v>0</v>
      </c>
      <c r="Y1134">
        <v>10</v>
      </c>
      <c r="Z1134">
        <v>10</v>
      </c>
      <c r="AA1134">
        <v>10</v>
      </c>
      <c r="AB1134">
        <v>1500</v>
      </c>
      <c r="AC1134">
        <v>1276</v>
      </c>
      <c r="AD1134">
        <v>638</v>
      </c>
      <c r="AE1134">
        <v>638</v>
      </c>
      <c r="AF1134">
        <v>0</v>
      </c>
      <c r="AG1134">
        <v>0</v>
      </c>
      <c r="AH1134">
        <v>0</v>
      </c>
      <c r="AI1134">
        <v>460</v>
      </c>
      <c r="AJ1134">
        <v>0</v>
      </c>
      <c r="AK1134">
        <v>0</v>
      </c>
      <c r="AL1134">
        <v>0</v>
      </c>
      <c r="AM1134">
        <v>66</v>
      </c>
      <c r="AN1134">
        <v>32</v>
      </c>
      <c r="AO1134">
        <v>0</v>
      </c>
      <c r="AP1134">
        <v>8</v>
      </c>
      <c r="AQ1134">
        <v>0</v>
      </c>
      <c r="AR1134">
        <v>0</v>
      </c>
      <c r="AS1134" t="s">
        <v>58</v>
      </c>
      <c r="AT1134">
        <v>1</v>
      </c>
      <c r="AU1134" t="s">
        <v>59</v>
      </c>
      <c r="AV1134" t="s">
        <v>60</v>
      </c>
      <c r="AW1134">
        <v>1</v>
      </c>
      <c r="AX1134">
        <v>3</v>
      </c>
      <c r="AY1134">
        <v>0</v>
      </c>
      <c r="AZ1134">
        <v>0</v>
      </c>
      <c r="BA1134">
        <v>100</v>
      </c>
      <c r="BB1134">
        <v>100</v>
      </c>
      <c r="BC1134">
        <v>100</v>
      </c>
      <c r="BD1134">
        <v>100</v>
      </c>
      <c r="BE1134">
        <v>1</v>
      </c>
      <c r="BF1134">
        <v>15000</v>
      </c>
      <c r="BG1134">
        <v>1000</v>
      </c>
      <c r="BH1134" s="6">
        <f>Grandview_Inventory[[#This Row],[land_extract]]*Lookups!$B$3</f>
        <v>47528.228511015397</v>
      </c>
      <c r="BI1134" s="6">
        <f>IF(Grandview_Inventory[[#This Row],[bldg_style]]="",0,Lookups!$B$2)</f>
        <v>155833.95000000001</v>
      </c>
      <c r="BJ1134" s="6">
        <f>_xlfn.IFNA(VLOOKUP(Grandview_Inventory[[#This Row],[quality]],Lookups!$H$2:$J$14,3,FALSE),0)</f>
        <v>9808</v>
      </c>
      <c r="BK1134" s="6">
        <f>_xlfn.IFNA(VLOOKUP(Grandview_Inventory[[#This Row],[condition]],Lookups!$H$17:$J$24,3,FALSE),0)</f>
        <v>25818</v>
      </c>
      <c r="BL1134" s="6">
        <f>Grandview_Inventory[[#This Row],[Eff_Age]]*Lookups!$B$14</f>
        <v>-2391.6659999999997</v>
      </c>
      <c r="BM1134" s="6">
        <f>Grandview_Inventory[[#This Row],[living_area]]*Lookups!$B$15</f>
        <v>79597.968428000007</v>
      </c>
      <c r="BN1134" s="6">
        <f>Grandview_Inventory[[#This Row],[Fin BSMT]]*Lookups!$B$16</f>
        <v>0</v>
      </c>
      <c r="BO1134" s="6">
        <f>(Grandview_Inventory[[#This Row],[att_gar]]+Grandview_Inventory[[#This Row],[bltin_gar]])*Lookups!$B$17</f>
        <v>40259.401019999998</v>
      </c>
      <c r="BP1134" s="6">
        <f>Grandview_Inventory[[#This Row],[Plumbing Fixtures]]*Lookups!$B$18</f>
        <v>16083.5344</v>
      </c>
      <c r="BQ1134" s="6">
        <f>Grandview_Inventory[[#This Row],[detatched_value]]*Lookups!$B$19</f>
        <v>0</v>
      </c>
      <c r="BR1134" s="6">
        <f>SUM(Grandview_Inventory[[#This Row],[Intercept]:[det_value]])*Grandview_Inventory[[#This Row],[res_pct]]</f>
        <v>325009.18784800003</v>
      </c>
      <c r="BS1134" s="6">
        <f>Grandview_Inventory[[#This Row],[land_value]]</f>
        <v>47528.228511015397</v>
      </c>
      <c r="BT1134" s="4">
        <f>_xlfn.IFNA(VLOOKUP(Grandview_Inventory[[#This Row],[quality]],Lookups!$A$26:$C$33,3,FALSE),1)</f>
        <v>0.94295468617355149</v>
      </c>
      <c r="BU1134" s="4">
        <f>_xlfn.IFNA(VLOOKUP(Grandview_Inventory[[#This Row],[condition]],Lookups!$A$37:$C$44,3,FALSE),1)</f>
        <v>0.96661476234146892</v>
      </c>
      <c r="BV1134" s="4">
        <f>IF(Grandview_Inventory[[#This Row],[bldg_style]]="",1,_xlfn.IFNA(VLOOKUP(Grandview_Inventory[[#This Row],[decade]],Lookups!$F$29:$H$43,3,FALSE),1))</f>
        <v>0.94601966599150278</v>
      </c>
      <c r="BW1134" s="4">
        <f>_xlfn.IFNA(VLOOKUP(Grandview_Inventory[[#This Row],[living_area_range]],Lookups!$F$47:$H$56,3,FALSE),1)</f>
        <v>0.96135087979789358</v>
      </c>
      <c r="BX1134" s="4">
        <f>AVERAGE(Grandview_Inventory[[#This Row],[qual_adj]:[size_adj]])</f>
        <v>0.95423499857610428</v>
      </c>
      <c r="BY1134" s="6">
        <f>IF(Grandview_Inventory[[#This Row],[pre_res]]&lt;0,0,Grandview_Inventory[[#This Row],[pre_res]]*Grandview_Inventory[[#This Row],[overall_adj]])</f>
        <v>310135.14190335711</v>
      </c>
      <c r="BZ1134" s="6">
        <f>(Grandview_Inventory[[#This Row],[sum_land]]-IF(Grandview_Inventory[[#This Row],[no_utilities]]=1,12000,0))/IF(Grandview_Inventory[[#This Row],[unbuildable]]=1,2,1)</f>
        <v>47528.228511015397</v>
      </c>
      <c r="CA113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34">
        <f>ROUND(Grandview_Inventory[[#This Row],[det_value]]*Lookups!$M$28,-2)</f>
        <v>0</v>
      </c>
      <c r="CC1134">
        <f>IF(ROUND(Grandview_Inventory[[#This Row],[adj_res]]*Lookups!$M$28,-2)&lt;Grandview_Inventory[[#This Row],[min_res]],Grandview_Inventory[[#This Row],[min_res]],ROUND(Grandview_Inventory[[#This Row],[adj_res]]*Lookups!$M$28,-2))</f>
        <v>294600</v>
      </c>
      <c r="CD1134">
        <f>Grandview_Inventory[[#This Row],[final_det]]+Grandview_Inventory[[#This Row],[final_res]]</f>
        <v>294600</v>
      </c>
      <c r="CE1134">
        <f>Grandview_Inventory[[#This Row],[final_land]]+Grandview_Inventory[[#This Row],[final_imp]]+Grandview_Inventory[[#This Row],[crop_value]]</f>
        <v>339800</v>
      </c>
      <c r="CG1134" t="str">
        <f t="shared" si="17"/>
        <v>update valuation set market_land =45200, market_bldg=294600, market_total =339800, market_mdno =401, market_date ='9/10/2023' where link_id = (select link_id from parcel where parcel_year = '2024' and parcel_id = '23092242537');</v>
      </c>
    </row>
    <row r="1135" spans="1:85" x14ac:dyDescent="0.25">
      <c r="A1135">
        <v>23092242538</v>
      </c>
      <c r="B1135">
        <v>0.21</v>
      </c>
      <c r="C1135">
        <v>9077</v>
      </c>
      <c r="D1135" t="s">
        <v>129</v>
      </c>
      <c r="E1135" t="s">
        <v>53</v>
      </c>
      <c r="F1135" t="s">
        <v>53</v>
      </c>
      <c r="G1135">
        <v>4</v>
      </c>
      <c r="H1135" t="s">
        <v>54</v>
      </c>
      <c r="I1135">
        <v>223700</v>
      </c>
      <c r="J1135">
        <v>39300</v>
      </c>
      <c r="K1135">
        <v>0.21</v>
      </c>
      <c r="L113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135">
        <v>0</v>
      </c>
      <c r="N1135">
        <v>0</v>
      </c>
      <c r="O1135">
        <v>0</v>
      </c>
      <c r="P1135">
        <v>13398.7528</v>
      </c>
      <c r="Q1135">
        <v>63903</v>
      </c>
      <c r="R1135">
        <f>(Grandview_Inventory[[#This Row],[ln_acres]]*Grandview_Inventory[[#This Row],[coeff]])+Grandview_Inventory[[#This Row],[const]]</f>
        <v>42992.266613125081</v>
      </c>
      <c r="S1135" t="s">
        <v>61</v>
      </c>
      <c r="T1135">
        <v>1</v>
      </c>
      <c r="U1135" t="s">
        <v>62</v>
      </c>
      <c r="V1135" t="s">
        <v>66</v>
      </c>
      <c r="W1135">
        <v>0</v>
      </c>
      <c r="X1135">
        <v>0</v>
      </c>
      <c r="Y1135">
        <v>12</v>
      </c>
      <c r="Z1135">
        <v>12</v>
      </c>
      <c r="AA1135">
        <v>20</v>
      </c>
      <c r="AB1135">
        <v>1500</v>
      </c>
      <c r="AC1135">
        <v>1178</v>
      </c>
      <c r="AD1135">
        <v>1178</v>
      </c>
      <c r="AE1135">
        <v>0</v>
      </c>
      <c r="AF1135">
        <v>0</v>
      </c>
      <c r="AG1135">
        <v>0</v>
      </c>
      <c r="AH1135">
        <v>0</v>
      </c>
      <c r="AI1135">
        <v>460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8</v>
      </c>
      <c r="AQ1135">
        <v>0</v>
      </c>
      <c r="AR1135">
        <v>0</v>
      </c>
      <c r="AS1135" t="s">
        <v>58</v>
      </c>
      <c r="AT1135">
        <v>1</v>
      </c>
      <c r="AU1135" t="s">
        <v>63</v>
      </c>
      <c r="AV1135" t="s">
        <v>60</v>
      </c>
      <c r="AW1135">
        <v>1</v>
      </c>
      <c r="AX1135">
        <v>3</v>
      </c>
      <c r="AY1135">
        <v>0</v>
      </c>
      <c r="AZ1135">
        <v>0</v>
      </c>
      <c r="BA1135">
        <v>100</v>
      </c>
      <c r="BB1135">
        <v>100</v>
      </c>
      <c r="BC1135">
        <v>100</v>
      </c>
      <c r="BD1135">
        <v>100</v>
      </c>
      <c r="BE1135">
        <v>1</v>
      </c>
      <c r="BF1135">
        <v>15000</v>
      </c>
      <c r="BG1135">
        <v>1000</v>
      </c>
      <c r="BH1135" s="6">
        <f>Grandview_Inventory[[#This Row],[land_extract]]*Lookups!$B$3</f>
        <v>49926.8031387023</v>
      </c>
      <c r="BI1135" s="6">
        <f>IF(Grandview_Inventory[[#This Row],[bldg_style]]="",0,Lookups!$B$2)</f>
        <v>155833.95000000001</v>
      </c>
      <c r="BJ1135" s="6">
        <f>_xlfn.IFNA(VLOOKUP(Grandview_Inventory[[#This Row],[quality]],Lookups!$H$2:$J$14,3,FALSE),0)</f>
        <v>9808</v>
      </c>
      <c r="BK1135" s="6">
        <f>_xlfn.IFNA(VLOOKUP(Grandview_Inventory[[#This Row],[condition]],Lookups!$H$17:$J$24,3,FALSE),0)</f>
        <v>25818</v>
      </c>
      <c r="BL1135" s="6">
        <f>Grandview_Inventory[[#This Row],[Eff_Age]]*Lookups!$B$14</f>
        <v>-2869.9991999999997</v>
      </c>
      <c r="BM1135" s="6">
        <f>Grandview_Inventory[[#This Row],[living_area]]*Lookups!$B$15</f>
        <v>73484.644834000006</v>
      </c>
      <c r="BN1135" s="6">
        <f>Grandview_Inventory[[#This Row],[Fin BSMT]]*Lookups!$B$16</f>
        <v>0</v>
      </c>
      <c r="BO1135" s="6">
        <f>(Grandview_Inventory[[#This Row],[att_gar]]+Grandview_Inventory[[#This Row],[bltin_gar]])*Lookups!$B$17</f>
        <v>40259.401019999998</v>
      </c>
      <c r="BP1135" s="6">
        <f>Grandview_Inventory[[#This Row],[Plumbing Fixtures]]*Lookups!$B$18</f>
        <v>16083.5344</v>
      </c>
      <c r="BQ1135" s="6">
        <f>Grandview_Inventory[[#This Row],[detatched_value]]*Lookups!$B$19</f>
        <v>0</v>
      </c>
      <c r="BR1135" s="6">
        <f>SUM(Grandview_Inventory[[#This Row],[Intercept]:[det_value]])*Grandview_Inventory[[#This Row],[res_pct]]</f>
        <v>318417.53105400002</v>
      </c>
      <c r="BS1135" s="6">
        <f>Grandview_Inventory[[#This Row],[land_value]]</f>
        <v>49926.8031387023</v>
      </c>
      <c r="BT1135" s="4">
        <f>_xlfn.IFNA(VLOOKUP(Grandview_Inventory[[#This Row],[quality]],Lookups!$A$26:$C$33,3,FALSE),1)</f>
        <v>0.94295468617355149</v>
      </c>
      <c r="BU1135" s="4">
        <f>_xlfn.IFNA(VLOOKUP(Grandview_Inventory[[#This Row],[condition]],Lookups!$A$37:$C$44,3,FALSE),1)</f>
        <v>0.96661476234146892</v>
      </c>
      <c r="BV1135" s="4">
        <f>IF(Grandview_Inventory[[#This Row],[bldg_style]]="",1,_xlfn.IFNA(VLOOKUP(Grandview_Inventory[[#This Row],[decade]],Lookups!$F$29:$H$43,3,FALSE),1))</f>
        <v>0.96737494181490646</v>
      </c>
      <c r="BW1135" s="4">
        <f>_xlfn.IFNA(VLOOKUP(Grandview_Inventory[[#This Row],[living_area_range]],Lookups!$F$47:$H$56,3,FALSE),1)</f>
        <v>0.96135087979789358</v>
      </c>
      <c r="BX1135" s="4">
        <f>AVERAGE(Grandview_Inventory[[#This Row],[qual_adj]:[size_adj]])</f>
        <v>0.95957381753195514</v>
      </c>
      <c r="BY1135" s="6">
        <f>IF(Grandview_Inventory[[#This Row],[pre_res]]&lt;0,0,Grandview_Inventory[[#This Row],[pre_res]]*Grandview_Inventory[[#This Row],[overall_adj]])</f>
        <v>305545.12584258668</v>
      </c>
      <c r="BZ1135" s="6">
        <f>(Grandview_Inventory[[#This Row],[sum_land]]-IF(Grandview_Inventory[[#This Row],[no_utilities]]=1,12000,0))/IF(Grandview_Inventory[[#This Row],[unbuildable]]=1,2,1)</f>
        <v>49926.8031387023</v>
      </c>
      <c r="CA113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135">
        <f>ROUND(Grandview_Inventory[[#This Row],[det_value]]*Lookups!$M$28,-2)</f>
        <v>0</v>
      </c>
      <c r="CC1135">
        <f>IF(ROUND(Grandview_Inventory[[#This Row],[adj_res]]*Lookups!$M$28,-2)&lt;Grandview_Inventory[[#This Row],[min_res]],Grandview_Inventory[[#This Row],[min_res]],ROUND(Grandview_Inventory[[#This Row],[adj_res]]*Lookups!$M$28,-2))</f>
        <v>290300</v>
      </c>
      <c r="CD1135">
        <f>Grandview_Inventory[[#This Row],[final_det]]+Grandview_Inventory[[#This Row],[final_res]]</f>
        <v>290300</v>
      </c>
      <c r="CE1135">
        <f>Grandview_Inventory[[#This Row],[final_land]]+Grandview_Inventory[[#This Row],[final_imp]]+Grandview_Inventory[[#This Row],[crop_value]]</f>
        <v>337700</v>
      </c>
      <c r="CG1135" t="str">
        <f t="shared" si="17"/>
        <v>update valuation set market_land =47400, market_bldg=290300, market_total =337700, market_mdno =401, market_date ='9/10/2023' where link_id = (select link_id from parcel where parcel_year = '2024' and parcel_id = '23092242538');</v>
      </c>
    </row>
    <row r="1136" spans="1:85" x14ac:dyDescent="0.25">
      <c r="A1136">
        <v>23092242539</v>
      </c>
      <c r="B1136">
        <v>0.18</v>
      </c>
      <c r="C1136">
        <v>7727</v>
      </c>
      <c r="D1136" t="s">
        <v>129</v>
      </c>
      <c r="E1136" t="s">
        <v>53</v>
      </c>
      <c r="F1136" t="s">
        <v>53</v>
      </c>
      <c r="G1136">
        <v>4</v>
      </c>
      <c r="H1136" t="s">
        <v>54</v>
      </c>
      <c r="I1136">
        <v>236700</v>
      </c>
      <c r="J1136">
        <v>38800</v>
      </c>
      <c r="K1136">
        <v>0.18</v>
      </c>
      <c r="L113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36">
        <v>0</v>
      </c>
      <c r="N1136">
        <v>0</v>
      </c>
      <c r="O1136">
        <v>0</v>
      </c>
      <c r="P1136">
        <v>13398.7528</v>
      </c>
      <c r="Q1136">
        <v>63903</v>
      </c>
      <c r="R1136">
        <f>(Grandview_Inventory[[#This Row],[ln_acres]]*Grandview_Inventory[[#This Row],[coeff]])+Grandview_Inventory[[#This Row],[const]]</f>
        <v>40926.839760167699</v>
      </c>
      <c r="S1136" t="s">
        <v>61</v>
      </c>
      <c r="T1136">
        <v>1</v>
      </c>
      <c r="U1136" t="s">
        <v>62</v>
      </c>
      <c r="V1136" t="s">
        <v>66</v>
      </c>
      <c r="W1136">
        <v>0</v>
      </c>
      <c r="X1136">
        <v>0</v>
      </c>
      <c r="Y1136">
        <v>12</v>
      </c>
      <c r="Z1136">
        <v>12</v>
      </c>
      <c r="AA1136">
        <v>20</v>
      </c>
      <c r="AB1136">
        <v>1500</v>
      </c>
      <c r="AC1136">
        <v>1241</v>
      </c>
      <c r="AD1136">
        <v>1241</v>
      </c>
      <c r="AE1136">
        <v>0</v>
      </c>
      <c r="AF1136">
        <v>0</v>
      </c>
      <c r="AG1136">
        <v>0</v>
      </c>
      <c r="AH1136">
        <v>0</v>
      </c>
      <c r="AI1136">
        <v>442</v>
      </c>
      <c r="AJ1136">
        <v>0</v>
      </c>
      <c r="AK1136">
        <v>0</v>
      </c>
      <c r="AL1136">
        <v>0</v>
      </c>
      <c r="AM1136">
        <v>72</v>
      </c>
      <c r="AN1136">
        <v>12</v>
      </c>
      <c r="AO1136">
        <v>0</v>
      </c>
      <c r="AP1136">
        <v>8</v>
      </c>
      <c r="AQ1136">
        <v>0</v>
      </c>
      <c r="AR1136">
        <v>0</v>
      </c>
      <c r="AS1136" t="s">
        <v>58</v>
      </c>
      <c r="AT1136">
        <v>1</v>
      </c>
      <c r="AU1136" t="s">
        <v>59</v>
      </c>
      <c r="AV1136" t="s">
        <v>60</v>
      </c>
      <c r="AW1136">
        <v>1</v>
      </c>
      <c r="AX1136">
        <v>3</v>
      </c>
      <c r="AY1136">
        <v>0</v>
      </c>
      <c r="AZ1136">
        <v>0</v>
      </c>
      <c r="BA1136">
        <v>100</v>
      </c>
      <c r="BB1136">
        <v>100</v>
      </c>
      <c r="BC1136">
        <v>100</v>
      </c>
      <c r="BD1136">
        <v>100</v>
      </c>
      <c r="BE1136">
        <v>1</v>
      </c>
      <c r="BF1136">
        <v>15000</v>
      </c>
      <c r="BG1136">
        <v>1000</v>
      </c>
      <c r="BH1136" s="6">
        <f>Grandview_Inventory[[#This Row],[land_extract]]*Lookups!$B$3</f>
        <v>47528.228511015397</v>
      </c>
      <c r="BI1136" s="6">
        <f>IF(Grandview_Inventory[[#This Row],[bldg_style]]="",0,Lookups!$B$2)</f>
        <v>155833.95000000001</v>
      </c>
      <c r="BJ1136" s="6">
        <f>_xlfn.IFNA(VLOOKUP(Grandview_Inventory[[#This Row],[quality]],Lookups!$H$2:$J$14,3,FALSE),0)</f>
        <v>9808</v>
      </c>
      <c r="BK1136" s="6">
        <f>_xlfn.IFNA(VLOOKUP(Grandview_Inventory[[#This Row],[condition]],Lookups!$H$17:$J$24,3,FALSE),0)</f>
        <v>25818</v>
      </c>
      <c r="BL1136" s="6">
        <f>Grandview_Inventory[[#This Row],[Eff_Age]]*Lookups!$B$14</f>
        <v>-2869.9991999999997</v>
      </c>
      <c r="BM1136" s="6">
        <f>Grandview_Inventory[[#This Row],[living_area]]*Lookups!$B$15</f>
        <v>77414.638573000004</v>
      </c>
      <c r="BN1136" s="6">
        <f>Grandview_Inventory[[#This Row],[Fin BSMT]]*Lookups!$B$16</f>
        <v>0</v>
      </c>
      <c r="BO1136" s="6">
        <f>(Grandview_Inventory[[#This Row],[att_gar]]+Grandview_Inventory[[#This Row],[bltin_gar]])*Lookups!$B$17</f>
        <v>38684.033153999997</v>
      </c>
      <c r="BP1136" s="6">
        <f>Grandview_Inventory[[#This Row],[Plumbing Fixtures]]*Lookups!$B$18</f>
        <v>16083.5344</v>
      </c>
      <c r="BQ1136" s="6">
        <f>Grandview_Inventory[[#This Row],[detatched_value]]*Lookups!$B$19</f>
        <v>0</v>
      </c>
      <c r="BR1136" s="6">
        <f>SUM(Grandview_Inventory[[#This Row],[Intercept]:[det_value]])*Grandview_Inventory[[#This Row],[res_pct]]</f>
        <v>320772.15692700003</v>
      </c>
      <c r="BS1136" s="6">
        <f>Grandview_Inventory[[#This Row],[land_value]]</f>
        <v>47528.228511015397</v>
      </c>
      <c r="BT1136" s="4">
        <f>_xlfn.IFNA(VLOOKUP(Grandview_Inventory[[#This Row],[quality]],Lookups!$A$26:$C$33,3,FALSE),1)</f>
        <v>0.94295468617355149</v>
      </c>
      <c r="BU1136" s="4">
        <f>_xlfn.IFNA(VLOOKUP(Grandview_Inventory[[#This Row],[condition]],Lookups!$A$37:$C$44,3,FALSE),1)</f>
        <v>0.96661476234146892</v>
      </c>
      <c r="BV1136" s="4">
        <f>IF(Grandview_Inventory[[#This Row],[bldg_style]]="",1,_xlfn.IFNA(VLOOKUP(Grandview_Inventory[[#This Row],[decade]],Lookups!$F$29:$H$43,3,FALSE),1))</f>
        <v>0.96737494181490646</v>
      </c>
      <c r="BW1136" s="4">
        <f>_xlfn.IFNA(VLOOKUP(Grandview_Inventory[[#This Row],[living_area_range]],Lookups!$F$47:$H$56,3,FALSE),1)</f>
        <v>0.96135087979789358</v>
      </c>
      <c r="BX1136" s="4">
        <f>AVERAGE(Grandview_Inventory[[#This Row],[qual_adj]:[size_adj]])</f>
        <v>0.95957381753195514</v>
      </c>
      <c r="BY1136" s="6">
        <f>IF(Grandview_Inventory[[#This Row],[pre_res]]&lt;0,0,Grandview_Inventory[[#This Row],[pre_res]]*Grandview_Inventory[[#This Row],[overall_adj]])</f>
        <v>307804.56318040082</v>
      </c>
      <c r="BZ1136" s="6">
        <f>(Grandview_Inventory[[#This Row],[sum_land]]-IF(Grandview_Inventory[[#This Row],[no_utilities]]=1,12000,0))/IF(Grandview_Inventory[[#This Row],[unbuildable]]=1,2,1)</f>
        <v>47528.228511015397</v>
      </c>
      <c r="CA113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36">
        <f>ROUND(Grandview_Inventory[[#This Row],[det_value]]*Lookups!$M$28,-2)</f>
        <v>0</v>
      </c>
      <c r="CC1136">
        <f>IF(ROUND(Grandview_Inventory[[#This Row],[adj_res]]*Lookups!$M$28,-2)&lt;Grandview_Inventory[[#This Row],[min_res]],Grandview_Inventory[[#This Row],[min_res]],ROUND(Grandview_Inventory[[#This Row],[adj_res]]*Lookups!$M$28,-2))</f>
        <v>292400</v>
      </c>
      <c r="CD1136">
        <f>Grandview_Inventory[[#This Row],[final_det]]+Grandview_Inventory[[#This Row],[final_res]]</f>
        <v>292400</v>
      </c>
      <c r="CE1136">
        <f>Grandview_Inventory[[#This Row],[final_land]]+Grandview_Inventory[[#This Row],[final_imp]]+Grandview_Inventory[[#This Row],[crop_value]]</f>
        <v>337600</v>
      </c>
      <c r="CG1136" t="str">
        <f t="shared" si="17"/>
        <v>update valuation set market_land =45200, market_bldg=292400, market_total =337600, market_mdno =401, market_date ='9/10/2023' where link_id = (select link_id from parcel where parcel_year = '2024' and parcel_id = '23092242539');</v>
      </c>
    </row>
    <row r="1137" spans="1:85" x14ac:dyDescent="0.25">
      <c r="A1137">
        <v>23092242540</v>
      </c>
      <c r="B1137">
        <v>0.18</v>
      </c>
      <c r="C1137">
        <v>7954</v>
      </c>
      <c r="D1137" t="s">
        <v>129</v>
      </c>
      <c r="E1137" t="s">
        <v>53</v>
      </c>
      <c r="F1137" t="s">
        <v>53</v>
      </c>
      <c r="G1137">
        <v>4</v>
      </c>
      <c r="H1137" t="s">
        <v>54</v>
      </c>
      <c r="I1137">
        <v>238400</v>
      </c>
      <c r="J1137">
        <v>39000</v>
      </c>
      <c r="K1137">
        <v>0.18</v>
      </c>
      <c r="L113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37">
        <v>0</v>
      </c>
      <c r="N1137">
        <v>0</v>
      </c>
      <c r="O1137">
        <v>0</v>
      </c>
      <c r="P1137">
        <v>13398.7528</v>
      </c>
      <c r="Q1137">
        <v>63903</v>
      </c>
      <c r="R1137">
        <f>(Grandview_Inventory[[#This Row],[ln_acres]]*Grandview_Inventory[[#This Row],[coeff]])+Grandview_Inventory[[#This Row],[const]]</f>
        <v>40926.839760167699</v>
      </c>
      <c r="S1137" t="s">
        <v>61</v>
      </c>
      <c r="T1137">
        <v>1</v>
      </c>
      <c r="U1137" t="s">
        <v>62</v>
      </c>
      <c r="V1137" t="s">
        <v>66</v>
      </c>
      <c r="W1137">
        <v>0</v>
      </c>
      <c r="X1137">
        <v>0</v>
      </c>
      <c r="Y1137">
        <v>12</v>
      </c>
      <c r="Z1137">
        <v>12</v>
      </c>
      <c r="AA1137">
        <v>20</v>
      </c>
      <c r="AB1137">
        <v>1500</v>
      </c>
      <c r="AC1137">
        <v>1205</v>
      </c>
      <c r="AD1137">
        <v>1205</v>
      </c>
      <c r="AE1137">
        <v>0</v>
      </c>
      <c r="AF1137">
        <v>0</v>
      </c>
      <c r="AG1137">
        <v>0</v>
      </c>
      <c r="AH1137">
        <v>0</v>
      </c>
      <c r="AI1137">
        <v>427</v>
      </c>
      <c r="AJ1137">
        <v>0</v>
      </c>
      <c r="AK1137">
        <v>0</v>
      </c>
      <c r="AL1137">
        <v>0</v>
      </c>
      <c r="AM1137">
        <v>0</v>
      </c>
      <c r="AN1137">
        <v>12</v>
      </c>
      <c r="AO1137">
        <v>0</v>
      </c>
      <c r="AP1137">
        <v>8</v>
      </c>
      <c r="AQ1137">
        <v>0</v>
      </c>
      <c r="AR1137">
        <v>0</v>
      </c>
      <c r="AS1137" t="s">
        <v>58</v>
      </c>
      <c r="AT1137">
        <v>1</v>
      </c>
      <c r="AU1137" t="s">
        <v>63</v>
      </c>
      <c r="AV1137" t="s">
        <v>60</v>
      </c>
      <c r="AW1137">
        <v>1</v>
      </c>
      <c r="AX1137">
        <v>3</v>
      </c>
      <c r="AY1137">
        <v>0</v>
      </c>
      <c r="AZ1137">
        <v>0</v>
      </c>
      <c r="BA1137">
        <v>100</v>
      </c>
      <c r="BB1137">
        <v>100</v>
      </c>
      <c r="BC1137">
        <v>100</v>
      </c>
      <c r="BD1137">
        <v>100</v>
      </c>
      <c r="BE1137">
        <v>1</v>
      </c>
      <c r="BF1137">
        <v>15000</v>
      </c>
      <c r="BG1137">
        <v>1000</v>
      </c>
      <c r="BH1137" s="6">
        <f>Grandview_Inventory[[#This Row],[land_extract]]*Lookups!$B$3</f>
        <v>47528.228511015397</v>
      </c>
      <c r="BI1137" s="6">
        <f>IF(Grandview_Inventory[[#This Row],[bldg_style]]="",0,Lookups!$B$2)</f>
        <v>155833.95000000001</v>
      </c>
      <c r="BJ1137" s="6">
        <f>_xlfn.IFNA(VLOOKUP(Grandview_Inventory[[#This Row],[quality]],Lookups!$H$2:$J$14,3,FALSE),0)</f>
        <v>9808</v>
      </c>
      <c r="BK1137" s="6">
        <f>_xlfn.IFNA(VLOOKUP(Grandview_Inventory[[#This Row],[condition]],Lookups!$H$17:$J$24,3,FALSE),0)</f>
        <v>25818</v>
      </c>
      <c r="BL1137" s="6">
        <f>Grandview_Inventory[[#This Row],[Eff_Age]]*Lookups!$B$14</f>
        <v>-2869.9991999999997</v>
      </c>
      <c r="BM1137" s="6">
        <f>Grandview_Inventory[[#This Row],[living_area]]*Lookups!$B$15</f>
        <v>75168.927865000005</v>
      </c>
      <c r="BN1137" s="6">
        <f>Grandview_Inventory[[#This Row],[Fin BSMT]]*Lookups!$B$16</f>
        <v>0</v>
      </c>
      <c r="BO1137" s="6">
        <f>(Grandview_Inventory[[#This Row],[att_gar]]+Grandview_Inventory[[#This Row],[bltin_gar]])*Lookups!$B$17</f>
        <v>37371.226599000001</v>
      </c>
      <c r="BP1137" s="6">
        <f>Grandview_Inventory[[#This Row],[Plumbing Fixtures]]*Lookups!$B$18</f>
        <v>16083.5344</v>
      </c>
      <c r="BQ1137" s="6">
        <f>Grandview_Inventory[[#This Row],[detatched_value]]*Lookups!$B$19</f>
        <v>0</v>
      </c>
      <c r="BR1137" s="6">
        <f>SUM(Grandview_Inventory[[#This Row],[Intercept]:[det_value]])*Grandview_Inventory[[#This Row],[res_pct]]</f>
        <v>317213.63966400002</v>
      </c>
      <c r="BS1137" s="6">
        <f>Grandview_Inventory[[#This Row],[land_value]]</f>
        <v>47528.228511015397</v>
      </c>
      <c r="BT1137" s="4">
        <f>_xlfn.IFNA(VLOOKUP(Grandview_Inventory[[#This Row],[quality]],Lookups!$A$26:$C$33,3,FALSE),1)</f>
        <v>0.94295468617355149</v>
      </c>
      <c r="BU1137" s="4">
        <f>_xlfn.IFNA(VLOOKUP(Grandview_Inventory[[#This Row],[condition]],Lookups!$A$37:$C$44,3,FALSE),1)</f>
        <v>0.96661476234146892</v>
      </c>
      <c r="BV1137" s="4">
        <f>IF(Grandview_Inventory[[#This Row],[bldg_style]]="",1,_xlfn.IFNA(VLOOKUP(Grandview_Inventory[[#This Row],[decade]],Lookups!$F$29:$H$43,3,FALSE),1))</f>
        <v>0.96737494181490646</v>
      </c>
      <c r="BW1137" s="4">
        <f>_xlfn.IFNA(VLOOKUP(Grandview_Inventory[[#This Row],[living_area_range]],Lookups!$F$47:$H$56,3,FALSE),1)</f>
        <v>0.96135087979789358</v>
      </c>
      <c r="BX1137" s="4">
        <f>AVERAGE(Grandview_Inventory[[#This Row],[qual_adj]:[size_adj]])</f>
        <v>0.95957381753195514</v>
      </c>
      <c r="BY1137" s="6">
        <f>IF(Grandview_Inventory[[#This Row],[pre_res]]&lt;0,0,Grandview_Inventory[[#This Row],[pre_res]]*Grandview_Inventory[[#This Row],[overall_adj]])</f>
        <v>304389.90318559052</v>
      </c>
      <c r="BZ1137" s="6">
        <f>(Grandview_Inventory[[#This Row],[sum_land]]-IF(Grandview_Inventory[[#This Row],[no_utilities]]=1,12000,0))/IF(Grandview_Inventory[[#This Row],[unbuildable]]=1,2,1)</f>
        <v>47528.228511015397</v>
      </c>
      <c r="CA113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37">
        <f>ROUND(Grandview_Inventory[[#This Row],[det_value]]*Lookups!$M$28,-2)</f>
        <v>0</v>
      </c>
      <c r="CC1137">
        <f>IF(ROUND(Grandview_Inventory[[#This Row],[adj_res]]*Lookups!$M$28,-2)&lt;Grandview_Inventory[[#This Row],[min_res]],Grandview_Inventory[[#This Row],[min_res]],ROUND(Grandview_Inventory[[#This Row],[adj_res]]*Lookups!$M$28,-2))</f>
        <v>289200</v>
      </c>
      <c r="CD1137">
        <f>Grandview_Inventory[[#This Row],[final_det]]+Grandview_Inventory[[#This Row],[final_res]]</f>
        <v>289200</v>
      </c>
      <c r="CE1137">
        <f>Grandview_Inventory[[#This Row],[final_land]]+Grandview_Inventory[[#This Row],[final_imp]]+Grandview_Inventory[[#This Row],[crop_value]]</f>
        <v>334400</v>
      </c>
      <c r="CG1137" t="str">
        <f t="shared" si="17"/>
        <v>update valuation set market_land =45200, market_bldg=289200, market_total =334400, market_mdno =401, market_date ='9/10/2023' where link_id = (select link_id from parcel where parcel_year = '2024' and parcel_id = '23092242540');</v>
      </c>
    </row>
    <row r="1138" spans="1:85" x14ac:dyDescent="0.25">
      <c r="A1138">
        <v>23092242541</v>
      </c>
      <c r="B1138">
        <v>0.18</v>
      </c>
      <c r="C1138">
        <v>7876</v>
      </c>
      <c r="D1138" t="s">
        <v>129</v>
      </c>
      <c r="E1138" t="s">
        <v>53</v>
      </c>
      <c r="F1138" t="s">
        <v>53</v>
      </c>
      <c r="G1138">
        <v>4</v>
      </c>
      <c r="H1138" t="s">
        <v>54</v>
      </c>
      <c r="I1138">
        <v>246100</v>
      </c>
      <c r="J1138">
        <v>39000</v>
      </c>
      <c r="K1138">
        <v>0.18</v>
      </c>
      <c r="L113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38">
        <v>0</v>
      </c>
      <c r="N1138">
        <v>0</v>
      </c>
      <c r="O1138">
        <v>0</v>
      </c>
      <c r="P1138">
        <v>13398.7528</v>
      </c>
      <c r="Q1138">
        <v>63903</v>
      </c>
      <c r="R1138">
        <f>(Grandview_Inventory[[#This Row],[ln_acres]]*Grandview_Inventory[[#This Row],[coeff]])+Grandview_Inventory[[#This Row],[const]]</f>
        <v>40926.839760167699</v>
      </c>
      <c r="S1138" t="s">
        <v>61</v>
      </c>
      <c r="T1138">
        <v>1</v>
      </c>
      <c r="U1138" t="s">
        <v>64</v>
      </c>
      <c r="V1138" t="s">
        <v>66</v>
      </c>
      <c r="W1138">
        <v>0</v>
      </c>
      <c r="X1138">
        <v>0</v>
      </c>
      <c r="Y1138">
        <v>12</v>
      </c>
      <c r="Z1138">
        <v>12</v>
      </c>
      <c r="AA1138">
        <v>20</v>
      </c>
      <c r="AB1138">
        <v>1500</v>
      </c>
      <c r="AC1138">
        <v>1205</v>
      </c>
      <c r="AD1138">
        <v>1205</v>
      </c>
      <c r="AE1138">
        <v>0</v>
      </c>
      <c r="AF1138">
        <v>0</v>
      </c>
      <c r="AG1138">
        <v>0</v>
      </c>
      <c r="AH1138">
        <v>0</v>
      </c>
      <c r="AI1138">
        <v>427</v>
      </c>
      <c r="AJ1138">
        <v>0</v>
      </c>
      <c r="AK1138">
        <v>0</v>
      </c>
      <c r="AL1138">
        <v>0</v>
      </c>
      <c r="AM1138">
        <v>72</v>
      </c>
      <c r="AN1138">
        <v>12</v>
      </c>
      <c r="AO1138">
        <v>0</v>
      </c>
      <c r="AP1138">
        <v>8</v>
      </c>
      <c r="AQ1138">
        <v>0</v>
      </c>
      <c r="AR1138">
        <v>0</v>
      </c>
      <c r="AS1138" t="s">
        <v>58</v>
      </c>
      <c r="AT1138">
        <v>1</v>
      </c>
      <c r="AU1138" t="s">
        <v>59</v>
      </c>
      <c r="AV1138" t="s">
        <v>60</v>
      </c>
      <c r="AW1138">
        <v>1</v>
      </c>
      <c r="AX1138">
        <v>3</v>
      </c>
      <c r="AY1138">
        <v>0</v>
      </c>
      <c r="AZ1138">
        <v>0</v>
      </c>
      <c r="BA1138">
        <v>100</v>
      </c>
      <c r="BB1138">
        <v>100</v>
      </c>
      <c r="BC1138">
        <v>100</v>
      </c>
      <c r="BD1138">
        <v>100</v>
      </c>
      <c r="BE1138">
        <v>1</v>
      </c>
      <c r="BF1138">
        <v>15000</v>
      </c>
      <c r="BG1138">
        <v>1000</v>
      </c>
      <c r="BH1138" s="6">
        <f>Grandview_Inventory[[#This Row],[land_extract]]*Lookups!$B$3</f>
        <v>47528.228511015397</v>
      </c>
      <c r="BI1138" s="6">
        <f>IF(Grandview_Inventory[[#This Row],[bldg_style]]="",0,Lookups!$B$2)</f>
        <v>155833.95000000001</v>
      </c>
      <c r="BJ1138" s="6">
        <f>_xlfn.IFNA(VLOOKUP(Grandview_Inventory[[#This Row],[quality]],Lookups!$H$2:$J$14,3,FALSE),0)</f>
        <v>20768</v>
      </c>
      <c r="BK1138" s="6">
        <f>_xlfn.IFNA(VLOOKUP(Grandview_Inventory[[#This Row],[condition]],Lookups!$H$17:$J$24,3,FALSE),0)</f>
        <v>25818</v>
      </c>
      <c r="BL1138" s="6">
        <f>Grandview_Inventory[[#This Row],[Eff_Age]]*Lookups!$B$14</f>
        <v>-2869.9991999999997</v>
      </c>
      <c r="BM1138" s="6">
        <f>Grandview_Inventory[[#This Row],[living_area]]*Lookups!$B$15</f>
        <v>75168.927865000005</v>
      </c>
      <c r="BN1138" s="6">
        <f>Grandview_Inventory[[#This Row],[Fin BSMT]]*Lookups!$B$16</f>
        <v>0</v>
      </c>
      <c r="BO1138" s="6">
        <f>(Grandview_Inventory[[#This Row],[att_gar]]+Grandview_Inventory[[#This Row],[bltin_gar]])*Lookups!$B$17</f>
        <v>37371.226599000001</v>
      </c>
      <c r="BP1138" s="6">
        <f>Grandview_Inventory[[#This Row],[Plumbing Fixtures]]*Lookups!$B$18</f>
        <v>16083.5344</v>
      </c>
      <c r="BQ1138" s="6">
        <f>Grandview_Inventory[[#This Row],[detatched_value]]*Lookups!$B$19</f>
        <v>0</v>
      </c>
      <c r="BR1138" s="6">
        <f>SUM(Grandview_Inventory[[#This Row],[Intercept]:[det_value]])*Grandview_Inventory[[#This Row],[res_pct]]</f>
        <v>328173.63966400002</v>
      </c>
      <c r="BS1138" s="6">
        <f>Grandview_Inventory[[#This Row],[land_value]]</f>
        <v>47528.228511015397</v>
      </c>
      <c r="BT1138" s="4">
        <f>_xlfn.IFNA(VLOOKUP(Grandview_Inventory[[#This Row],[quality]],Lookups!$A$26:$C$33,3,FALSE),1)</f>
        <v>0.94960540378902636</v>
      </c>
      <c r="BU1138" s="4">
        <f>_xlfn.IFNA(VLOOKUP(Grandview_Inventory[[#This Row],[condition]],Lookups!$A$37:$C$44,3,FALSE),1)</f>
        <v>0.96661476234146892</v>
      </c>
      <c r="BV1138" s="4">
        <f>IF(Grandview_Inventory[[#This Row],[bldg_style]]="",1,_xlfn.IFNA(VLOOKUP(Grandview_Inventory[[#This Row],[decade]],Lookups!$F$29:$H$43,3,FALSE),1))</f>
        <v>0.96737494181490646</v>
      </c>
      <c r="BW1138" s="4">
        <f>_xlfn.IFNA(VLOOKUP(Grandview_Inventory[[#This Row],[living_area_range]],Lookups!$F$47:$H$56,3,FALSE),1)</f>
        <v>0.96135087979789358</v>
      </c>
      <c r="BX1138" s="4">
        <f>AVERAGE(Grandview_Inventory[[#This Row],[qual_adj]:[size_adj]])</f>
        <v>0.9612364969358238</v>
      </c>
      <c r="BY1138" s="6">
        <f>IF(Grandview_Inventory[[#This Row],[pre_res]]&lt;0,0,Grandview_Inventory[[#This Row],[pre_res]]*Grandview_Inventory[[#This Row],[overall_adj]])</f>
        <v>315452.47977730271</v>
      </c>
      <c r="BZ1138" s="6">
        <f>(Grandview_Inventory[[#This Row],[sum_land]]-IF(Grandview_Inventory[[#This Row],[no_utilities]]=1,12000,0))/IF(Grandview_Inventory[[#This Row],[unbuildable]]=1,2,1)</f>
        <v>47528.228511015397</v>
      </c>
      <c r="CA113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38">
        <f>ROUND(Grandview_Inventory[[#This Row],[det_value]]*Lookups!$M$28,-2)</f>
        <v>0</v>
      </c>
      <c r="CC1138">
        <f>IF(ROUND(Grandview_Inventory[[#This Row],[adj_res]]*Lookups!$M$28,-2)&lt;Grandview_Inventory[[#This Row],[min_res]],Grandview_Inventory[[#This Row],[min_res]],ROUND(Grandview_Inventory[[#This Row],[adj_res]]*Lookups!$M$28,-2))</f>
        <v>299700</v>
      </c>
      <c r="CD1138">
        <f>Grandview_Inventory[[#This Row],[final_det]]+Grandview_Inventory[[#This Row],[final_res]]</f>
        <v>299700</v>
      </c>
      <c r="CE1138">
        <f>Grandview_Inventory[[#This Row],[final_land]]+Grandview_Inventory[[#This Row],[final_imp]]+Grandview_Inventory[[#This Row],[crop_value]]</f>
        <v>344900</v>
      </c>
      <c r="CG1138" t="str">
        <f t="shared" si="17"/>
        <v>update valuation set market_land =45200, market_bldg=299700, market_total =344900, market_mdno =401, market_date ='9/10/2023' where link_id = (select link_id from parcel where parcel_year = '2024' and parcel_id = '23092242541');</v>
      </c>
    </row>
    <row r="1139" spans="1:85" x14ac:dyDescent="0.25">
      <c r="A1139">
        <v>23092242542</v>
      </c>
      <c r="B1139">
        <v>0.18</v>
      </c>
      <c r="C1139">
        <v>7941</v>
      </c>
      <c r="D1139" t="s">
        <v>129</v>
      </c>
      <c r="E1139" t="s">
        <v>53</v>
      </c>
      <c r="F1139" t="s">
        <v>53</v>
      </c>
      <c r="G1139">
        <v>4</v>
      </c>
      <c r="H1139" t="s">
        <v>54</v>
      </c>
      <c r="I1139">
        <v>251400</v>
      </c>
      <c r="J1139">
        <v>39000</v>
      </c>
      <c r="K1139">
        <v>0.18</v>
      </c>
      <c r="L113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39">
        <v>0</v>
      </c>
      <c r="N1139">
        <v>0</v>
      </c>
      <c r="O1139">
        <v>0</v>
      </c>
      <c r="P1139">
        <v>13398.7528</v>
      </c>
      <c r="Q1139">
        <v>63903</v>
      </c>
      <c r="R1139">
        <f>(Grandview_Inventory[[#This Row],[ln_acres]]*Grandview_Inventory[[#This Row],[coeff]])+Grandview_Inventory[[#This Row],[const]]</f>
        <v>40926.839760167699</v>
      </c>
      <c r="S1139" t="s">
        <v>61</v>
      </c>
      <c r="T1139">
        <v>1</v>
      </c>
      <c r="U1139" t="s">
        <v>62</v>
      </c>
      <c r="V1139" t="s">
        <v>66</v>
      </c>
      <c r="W1139">
        <v>0</v>
      </c>
      <c r="X1139">
        <v>0</v>
      </c>
      <c r="Y1139">
        <v>12</v>
      </c>
      <c r="Z1139">
        <v>12</v>
      </c>
      <c r="AA1139">
        <v>20</v>
      </c>
      <c r="AB1139">
        <v>1500</v>
      </c>
      <c r="AC1139">
        <v>1497</v>
      </c>
      <c r="AD1139">
        <v>1497</v>
      </c>
      <c r="AE1139">
        <v>0</v>
      </c>
      <c r="AF1139">
        <v>0</v>
      </c>
      <c r="AG1139">
        <v>0</v>
      </c>
      <c r="AH1139">
        <v>0</v>
      </c>
      <c r="AI1139">
        <v>427</v>
      </c>
      <c r="AJ1139">
        <v>0</v>
      </c>
      <c r="AK1139">
        <v>0</v>
      </c>
      <c r="AL1139">
        <v>0</v>
      </c>
      <c r="AM1139">
        <v>72</v>
      </c>
      <c r="AN1139">
        <v>0</v>
      </c>
      <c r="AO1139">
        <v>0</v>
      </c>
      <c r="AP1139">
        <v>8</v>
      </c>
      <c r="AQ1139">
        <v>0</v>
      </c>
      <c r="AR1139">
        <v>0</v>
      </c>
      <c r="AS1139" t="s">
        <v>58</v>
      </c>
      <c r="AT1139">
        <v>1</v>
      </c>
      <c r="AU1139" t="s">
        <v>59</v>
      </c>
      <c r="AV1139" t="s">
        <v>60</v>
      </c>
      <c r="AW1139">
        <v>1</v>
      </c>
      <c r="AX1139">
        <v>4</v>
      </c>
      <c r="AY1139">
        <v>0</v>
      </c>
      <c r="AZ1139">
        <v>0</v>
      </c>
      <c r="BA1139">
        <v>100</v>
      </c>
      <c r="BB1139">
        <v>100</v>
      </c>
      <c r="BC1139">
        <v>100</v>
      </c>
      <c r="BD1139">
        <v>100</v>
      </c>
      <c r="BE1139">
        <v>1</v>
      </c>
      <c r="BF1139">
        <v>15000</v>
      </c>
      <c r="BG1139">
        <v>1000</v>
      </c>
      <c r="BH1139" s="6">
        <f>Grandview_Inventory[[#This Row],[land_extract]]*Lookups!$B$3</f>
        <v>47528.228511015397</v>
      </c>
      <c r="BI1139" s="6">
        <f>IF(Grandview_Inventory[[#This Row],[bldg_style]]="",0,Lookups!$B$2)</f>
        <v>155833.95000000001</v>
      </c>
      <c r="BJ1139" s="6">
        <f>_xlfn.IFNA(VLOOKUP(Grandview_Inventory[[#This Row],[quality]],Lookups!$H$2:$J$14,3,FALSE),0)</f>
        <v>9808</v>
      </c>
      <c r="BK1139" s="6">
        <f>_xlfn.IFNA(VLOOKUP(Grandview_Inventory[[#This Row],[condition]],Lookups!$H$17:$J$24,3,FALSE),0)</f>
        <v>25818</v>
      </c>
      <c r="BL1139" s="6">
        <f>Grandview_Inventory[[#This Row],[Eff_Age]]*Lookups!$B$14</f>
        <v>-2869.9991999999997</v>
      </c>
      <c r="BM1139" s="6">
        <f>Grandview_Inventory[[#This Row],[living_area]]*Lookups!$B$15</f>
        <v>93384.136941000004</v>
      </c>
      <c r="BN1139" s="6">
        <f>Grandview_Inventory[[#This Row],[Fin BSMT]]*Lookups!$B$16</f>
        <v>0</v>
      </c>
      <c r="BO1139" s="6">
        <f>(Grandview_Inventory[[#This Row],[att_gar]]+Grandview_Inventory[[#This Row],[bltin_gar]])*Lookups!$B$17</f>
        <v>37371.226599000001</v>
      </c>
      <c r="BP1139" s="6">
        <f>Grandview_Inventory[[#This Row],[Plumbing Fixtures]]*Lookups!$B$18</f>
        <v>16083.5344</v>
      </c>
      <c r="BQ1139" s="6">
        <f>Grandview_Inventory[[#This Row],[detatched_value]]*Lookups!$B$19</f>
        <v>0</v>
      </c>
      <c r="BR1139" s="6">
        <f>SUM(Grandview_Inventory[[#This Row],[Intercept]:[det_value]])*Grandview_Inventory[[#This Row],[res_pct]]</f>
        <v>335428.84873999999</v>
      </c>
      <c r="BS1139" s="6">
        <f>Grandview_Inventory[[#This Row],[land_value]]</f>
        <v>47528.228511015397</v>
      </c>
      <c r="BT1139" s="4">
        <f>_xlfn.IFNA(VLOOKUP(Grandview_Inventory[[#This Row],[quality]],Lookups!$A$26:$C$33,3,FALSE),1)</f>
        <v>0.94295468617355149</v>
      </c>
      <c r="BU1139" s="4">
        <f>_xlfn.IFNA(VLOOKUP(Grandview_Inventory[[#This Row],[condition]],Lookups!$A$37:$C$44,3,FALSE),1)</f>
        <v>0.96661476234146892</v>
      </c>
      <c r="BV1139" s="4">
        <f>IF(Grandview_Inventory[[#This Row],[bldg_style]]="",1,_xlfn.IFNA(VLOOKUP(Grandview_Inventory[[#This Row],[decade]],Lookups!$F$29:$H$43,3,FALSE),1))</f>
        <v>0.96737494181490646</v>
      </c>
      <c r="BW1139" s="4">
        <f>_xlfn.IFNA(VLOOKUP(Grandview_Inventory[[#This Row],[living_area_range]],Lookups!$F$47:$H$56,3,FALSE),1)</f>
        <v>0.96135087979789358</v>
      </c>
      <c r="BX1139" s="4">
        <f>AVERAGE(Grandview_Inventory[[#This Row],[qual_adj]:[size_adj]])</f>
        <v>0.95957381753195514</v>
      </c>
      <c r="BY1139" s="6">
        <f>IF(Grandview_Inventory[[#This Row],[pre_res]]&lt;0,0,Grandview_Inventory[[#This Row],[pre_res]]*Grandview_Inventory[[#This Row],[overall_adj]])</f>
        <v>321868.74089579051</v>
      </c>
      <c r="BZ1139" s="6">
        <f>(Grandview_Inventory[[#This Row],[sum_land]]-IF(Grandview_Inventory[[#This Row],[no_utilities]]=1,12000,0))/IF(Grandview_Inventory[[#This Row],[unbuildable]]=1,2,1)</f>
        <v>47528.228511015397</v>
      </c>
      <c r="CA113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39">
        <f>ROUND(Grandview_Inventory[[#This Row],[det_value]]*Lookups!$M$28,-2)</f>
        <v>0</v>
      </c>
      <c r="CC1139">
        <f>IF(ROUND(Grandview_Inventory[[#This Row],[adj_res]]*Lookups!$M$28,-2)&lt;Grandview_Inventory[[#This Row],[min_res]],Grandview_Inventory[[#This Row],[min_res]],ROUND(Grandview_Inventory[[#This Row],[adj_res]]*Lookups!$M$28,-2))</f>
        <v>305800</v>
      </c>
      <c r="CD1139">
        <f>Grandview_Inventory[[#This Row],[final_det]]+Grandview_Inventory[[#This Row],[final_res]]</f>
        <v>305800</v>
      </c>
      <c r="CE1139">
        <f>Grandview_Inventory[[#This Row],[final_land]]+Grandview_Inventory[[#This Row],[final_imp]]+Grandview_Inventory[[#This Row],[crop_value]]</f>
        <v>351000</v>
      </c>
      <c r="CG1139" t="str">
        <f t="shared" si="17"/>
        <v>update valuation set market_land =45200, market_bldg=305800, market_total =351000, market_mdno =401, market_date ='9/10/2023' where link_id = (select link_id from parcel where parcel_year = '2024' and parcel_id = '23092242542');</v>
      </c>
    </row>
    <row r="1140" spans="1:85" x14ac:dyDescent="0.25">
      <c r="A1140">
        <v>23092242543</v>
      </c>
      <c r="B1140">
        <v>0.18</v>
      </c>
      <c r="C1140">
        <v>8005</v>
      </c>
      <c r="D1140" t="s">
        <v>129</v>
      </c>
      <c r="E1140" t="s">
        <v>53</v>
      </c>
      <c r="F1140" t="s">
        <v>53</v>
      </c>
      <c r="G1140">
        <v>4</v>
      </c>
      <c r="H1140" t="s">
        <v>54</v>
      </c>
      <c r="I1140">
        <v>246700</v>
      </c>
      <c r="J1140">
        <v>39000</v>
      </c>
      <c r="K1140">
        <v>0.18</v>
      </c>
      <c r="L114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40">
        <v>0</v>
      </c>
      <c r="N1140">
        <v>0</v>
      </c>
      <c r="O1140">
        <v>0</v>
      </c>
      <c r="P1140">
        <v>13398.7528</v>
      </c>
      <c r="Q1140">
        <v>63903</v>
      </c>
      <c r="R1140">
        <f>(Grandview_Inventory[[#This Row],[ln_acres]]*Grandview_Inventory[[#This Row],[coeff]])+Grandview_Inventory[[#This Row],[const]]</f>
        <v>40926.839760167699</v>
      </c>
      <c r="S1140" t="s">
        <v>61</v>
      </c>
      <c r="T1140">
        <v>1</v>
      </c>
      <c r="U1140" t="s">
        <v>62</v>
      </c>
      <c r="V1140" t="s">
        <v>66</v>
      </c>
      <c r="W1140">
        <v>0</v>
      </c>
      <c r="X1140">
        <v>0</v>
      </c>
      <c r="Y1140">
        <v>12</v>
      </c>
      <c r="Z1140">
        <v>12</v>
      </c>
      <c r="AA1140">
        <v>20</v>
      </c>
      <c r="AB1140">
        <v>1500</v>
      </c>
      <c r="AC1140">
        <v>1319</v>
      </c>
      <c r="AD1140">
        <v>1319</v>
      </c>
      <c r="AE1140">
        <v>0</v>
      </c>
      <c r="AF1140">
        <v>0</v>
      </c>
      <c r="AG1140">
        <v>0</v>
      </c>
      <c r="AH1140">
        <v>0</v>
      </c>
      <c r="AI1140">
        <v>460</v>
      </c>
      <c r="AJ1140">
        <v>0</v>
      </c>
      <c r="AK1140">
        <v>0</v>
      </c>
      <c r="AL1140">
        <v>0</v>
      </c>
      <c r="AM1140">
        <v>72</v>
      </c>
      <c r="AN1140">
        <v>10</v>
      </c>
      <c r="AO1140">
        <v>0</v>
      </c>
      <c r="AP1140">
        <v>8</v>
      </c>
      <c r="AQ1140">
        <v>0</v>
      </c>
      <c r="AR1140">
        <v>0</v>
      </c>
      <c r="AS1140" t="s">
        <v>58</v>
      </c>
      <c r="AT1140">
        <v>1</v>
      </c>
      <c r="AU1140" t="s">
        <v>63</v>
      </c>
      <c r="AV1140" t="s">
        <v>60</v>
      </c>
      <c r="AW1140">
        <v>1</v>
      </c>
      <c r="AX1140">
        <v>3</v>
      </c>
      <c r="AY1140">
        <v>0</v>
      </c>
      <c r="AZ1140">
        <v>0</v>
      </c>
      <c r="BA1140">
        <v>100</v>
      </c>
      <c r="BB1140">
        <v>100</v>
      </c>
      <c r="BC1140">
        <v>100</v>
      </c>
      <c r="BD1140">
        <v>100</v>
      </c>
      <c r="BE1140">
        <v>1</v>
      </c>
      <c r="BF1140">
        <v>15000</v>
      </c>
      <c r="BG1140">
        <v>1000</v>
      </c>
      <c r="BH1140" s="6">
        <f>Grandview_Inventory[[#This Row],[land_extract]]*Lookups!$B$3</f>
        <v>47528.228511015397</v>
      </c>
      <c r="BI1140" s="6">
        <f>IF(Grandview_Inventory[[#This Row],[bldg_style]]="",0,Lookups!$B$2)</f>
        <v>155833.95000000001</v>
      </c>
      <c r="BJ1140" s="6">
        <f>_xlfn.IFNA(VLOOKUP(Grandview_Inventory[[#This Row],[quality]],Lookups!$H$2:$J$14,3,FALSE),0)</f>
        <v>9808</v>
      </c>
      <c r="BK1140" s="6">
        <f>_xlfn.IFNA(VLOOKUP(Grandview_Inventory[[#This Row],[condition]],Lookups!$H$17:$J$24,3,FALSE),0)</f>
        <v>25818</v>
      </c>
      <c r="BL1140" s="6">
        <f>Grandview_Inventory[[#This Row],[Eff_Age]]*Lookups!$B$14</f>
        <v>-2869.9991999999997</v>
      </c>
      <c r="BM1140" s="6">
        <f>Grandview_Inventory[[#This Row],[living_area]]*Lookups!$B$15</f>
        <v>82280.345107000001</v>
      </c>
      <c r="BN1140" s="6">
        <f>Grandview_Inventory[[#This Row],[Fin BSMT]]*Lookups!$B$16</f>
        <v>0</v>
      </c>
      <c r="BO1140" s="6">
        <f>(Grandview_Inventory[[#This Row],[att_gar]]+Grandview_Inventory[[#This Row],[bltin_gar]])*Lookups!$B$17</f>
        <v>40259.401019999998</v>
      </c>
      <c r="BP1140" s="6">
        <f>Grandview_Inventory[[#This Row],[Plumbing Fixtures]]*Lookups!$B$18</f>
        <v>16083.5344</v>
      </c>
      <c r="BQ1140" s="6">
        <f>Grandview_Inventory[[#This Row],[detatched_value]]*Lookups!$B$19</f>
        <v>0</v>
      </c>
      <c r="BR1140" s="6">
        <f>SUM(Grandview_Inventory[[#This Row],[Intercept]:[det_value]])*Grandview_Inventory[[#This Row],[res_pct]]</f>
        <v>327213.23132700002</v>
      </c>
      <c r="BS1140" s="6">
        <f>Grandview_Inventory[[#This Row],[land_value]]</f>
        <v>47528.228511015397</v>
      </c>
      <c r="BT1140" s="4">
        <f>_xlfn.IFNA(VLOOKUP(Grandview_Inventory[[#This Row],[quality]],Lookups!$A$26:$C$33,3,FALSE),1)</f>
        <v>0.94295468617355149</v>
      </c>
      <c r="BU1140" s="4">
        <f>_xlfn.IFNA(VLOOKUP(Grandview_Inventory[[#This Row],[condition]],Lookups!$A$37:$C$44,3,FALSE),1)</f>
        <v>0.96661476234146892</v>
      </c>
      <c r="BV1140" s="4">
        <f>IF(Grandview_Inventory[[#This Row],[bldg_style]]="",1,_xlfn.IFNA(VLOOKUP(Grandview_Inventory[[#This Row],[decade]],Lookups!$F$29:$H$43,3,FALSE),1))</f>
        <v>0.96737494181490646</v>
      </c>
      <c r="BW1140" s="4">
        <f>_xlfn.IFNA(VLOOKUP(Grandview_Inventory[[#This Row],[living_area_range]],Lookups!$F$47:$H$56,3,FALSE),1)</f>
        <v>0.96135087979789358</v>
      </c>
      <c r="BX1140" s="4">
        <f>AVERAGE(Grandview_Inventory[[#This Row],[qual_adj]:[size_adj]])</f>
        <v>0.95957381753195514</v>
      </c>
      <c r="BY1140" s="6">
        <f>IF(Grandview_Inventory[[#This Row],[pre_res]]&lt;0,0,Grandview_Inventory[[#This Row],[pre_res]]*Grandview_Inventory[[#This Row],[overall_adj]])</f>
        <v>313985.24953141616</v>
      </c>
      <c r="BZ1140" s="6">
        <f>(Grandview_Inventory[[#This Row],[sum_land]]-IF(Grandview_Inventory[[#This Row],[no_utilities]]=1,12000,0))/IF(Grandview_Inventory[[#This Row],[unbuildable]]=1,2,1)</f>
        <v>47528.228511015397</v>
      </c>
      <c r="CA114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40">
        <f>ROUND(Grandview_Inventory[[#This Row],[det_value]]*Lookups!$M$28,-2)</f>
        <v>0</v>
      </c>
      <c r="CC1140">
        <f>IF(ROUND(Grandview_Inventory[[#This Row],[adj_res]]*Lookups!$M$28,-2)&lt;Grandview_Inventory[[#This Row],[min_res]],Grandview_Inventory[[#This Row],[min_res]],ROUND(Grandview_Inventory[[#This Row],[adj_res]]*Lookups!$M$28,-2))</f>
        <v>298300</v>
      </c>
      <c r="CD1140">
        <f>Grandview_Inventory[[#This Row],[final_det]]+Grandview_Inventory[[#This Row],[final_res]]</f>
        <v>298300</v>
      </c>
      <c r="CE1140">
        <f>Grandview_Inventory[[#This Row],[final_land]]+Grandview_Inventory[[#This Row],[final_imp]]+Grandview_Inventory[[#This Row],[crop_value]]</f>
        <v>343500</v>
      </c>
      <c r="CG1140" t="str">
        <f t="shared" si="17"/>
        <v>update valuation set market_land =45200, market_bldg=298300, market_total =343500, market_mdno =401, market_date ='9/10/2023' where link_id = (select link_id from parcel where parcel_year = '2024' and parcel_id = '23092242543');</v>
      </c>
    </row>
    <row r="1141" spans="1:85" x14ac:dyDescent="0.25">
      <c r="A1141">
        <v>23092242544</v>
      </c>
      <c r="B1141">
        <v>0.18</v>
      </c>
      <c r="C1141">
        <v>7889</v>
      </c>
      <c r="D1141" t="s">
        <v>129</v>
      </c>
      <c r="E1141" t="s">
        <v>53</v>
      </c>
      <c r="F1141" t="s">
        <v>53</v>
      </c>
      <c r="G1141">
        <v>4</v>
      </c>
      <c r="H1141" t="s">
        <v>54</v>
      </c>
      <c r="I1141">
        <v>249800</v>
      </c>
      <c r="J1141">
        <v>39000</v>
      </c>
      <c r="K1141">
        <v>0.18</v>
      </c>
      <c r="L114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41">
        <v>0</v>
      </c>
      <c r="N1141">
        <v>0</v>
      </c>
      <c r="O1141">
        <v>0</v>
      </c>
      <c r="P1141">
        <v>13398.7528</v>
      </c>
      <c r="Q1141">
        <v>63903</v>
      </c>
      <c r="R1141">
        <f>(Grandview_Inventory[[#This Row],[ln_acres]]*Grandview_Inventory[[#This Row],[coeff]])+Grandview_Inventory[[#This Row],[const]]</f>
        <v>40926.839760167699</v>
      </c>
      <c r="S1141" t="s">
        <v>55</v>
      </c>
      <c r="T1141">
        <v>2</v>
      </c>
      <c r="U1141" t="s">
        <v>62</v>
      </c>
      <c r="V1141" t="s">
        <v>66</v>
      </c>
      <c r="W1141">
        <v>0</v>
      </c>
      <c r="X1141">
        <v>0</v>
      </c>
      <c r="Y1141">
        <v>12</v>
      </c>
      <c r="Z1141">
        <v>12</v>
      </c>
      <c r="AA1141">
        <v>20</v>
      </c>
      <c r="AB1141">
        <v>1500</v>
      </c>
      <c r="AC1141">
        <v>1276</v>
      </c>
      <c r="AD1141">
        <v>638</v>
      </c>
      <c r="AE1141">
        <v>638</v>
      </c>
      <c r="AF1141">
        <v>0</v>
      </c>
      <c r="AG1141">
        <v>0</v>
      </c>
      <c r="AH1141">
        <v>0</v>
      </c>
      <c r="AI1141">
        <v>460</v>
      </c>
      <c r="AJ1141">
        <v>0</v>
      </c>
      <c r="AK1141">
        <v>0</v>
      </c>
      <c r="AL1141">
        <v>0</v>
      </c>
      <c r="AM1141">
        <v>72</v>
      </c>
      <c r="AN1141">
        <v>24</v>
      </c>
      <c r="AO1141">
        <v>0</v>
      </c>
      <c r="AP1141">
        <v>8</v>
      </c>
      <c r="AQ1141">
        <v>0</v>
      </c>
      <c r="AR1141">
        <v>0</v>
      </c>
      <c r="AS1141" t="s">
        <v>58</v>
      </c>
      <c r="AT1141">
        <v>1</v>
      </c>
      <c r="AU1141" t="s">
        <v>63</v>
      </c>
      <c r="AV1141" t="s">
        <v>60</v>
      </c>
      <c r="AW1141">
        <v>1</v>
      </c>
      <c r="AX1141">
        <v>3</v>
      </c>
      <c r="AY1141">
        <v>0</v>
      </c>
      <c r="AZ1141">
        <v>0</v>
      </c>
      <c r="BA1141">
        <v>100</v>
      </c>
      <c r="BB1141">
        <v>100</v>
      </c>
      <c r="BC1141">
        <v>100</v>
      </c>
      <c r="BD1141">
        <v>100</v>
      </c>
      <c r="BE1141">
        <v>1</v>
      </c>
      <c r="BF1141">
        <v>15000</v>
      </c>
      <c r="BG1141">
        <v>1000</v>
      </c>
      <c r="BH1141" s="6">
        <f>Grandview_Inventory[[#This Row],[land_extract]]*Lookups!$B$3</f>
        <v>47528.228511015397</v>
      </c>
      <c r="BI1141" s="6">
        <f>IF(Grandview_Inventory[[#This Row],[bldg_style]]="",0,Lookups!$B$2)</f>
        <v>155833.95000000001</v>
      </c>
      <c r="BJ1141" s="6">
        <f>_xlfn.IFNA(VLOOKUP(Grandview_Inventory[[#This Row],[quality]],Lookups!$H$2:$J$14,3,FALSE),0)</f>
        <v>9808</v>
      </c>
      <c r="BK1141" s="6">
        <f>_xlfn.IFNA(VLOOKUP(Grandview_Inventory[[#This Row],[condition]],Lookups!$H$17:$J$24,3,FALSE),0)</f>
        <v>25818</v>
      </c>
      <c r="BL1141" s="6">
        <f>Grandview_Inventory[[#This Row],[Eff_Age]]*Lookups!$B$14</f>
        <v>-2869.9991999999997</v>
      </c>
      <c r="BM1141" s="6">
        <f>Grandview_Inventory[[#This Row],[living_area]]*Lookups!$B$15</f>
        <v>79597.968428000007</v>
      </c>
      <c r="BN1141" s="6">
        <f>Grandview_Inventory[[#This Row],[Fin BSMT]]*Lookups!$B$16</f>
        <v>0</v>
      </c>
      <c r="BO1141" s="6">
        <f>(Grandview_Inventory[[#This Row],[att_gar]]+Grandview_Inventory[[#This Row],[bltin_gar]])*Lookups!$B$17</f>
        <v>40259.401019999998</v>
      </c>
      <c r="BP1141" s="6">
        <f>Grandview_Inventory[[#This Row],[Plumbing Fixtures]]*Lookups!$B$18</f>
        <v>16083.5344</v>
      </c>
      <c r="BQ1141" s="6">
        <f>Grandview_Inventory[[#This Row],[detatched_value]]*Lookups!$B$19</f>
        <v>0</v>
      </c>
      <c r="BR1141" s="6">
        <f>SUM(Grandview_Inventory[[#This Row],[Intercept]:[det_value]])*Grandview_Inventory[[#This Row],[res_pct]]</f>
        <v>324530.85464800004</v>
      </c>
      <c r="BS1141" s="6">
        <f>Grandview_Inventory[[#This Row],[land_value]]</f>
        <v>47528.228511015397</v>
      </c>
      <c r="BT1141" s="4">
        <f>_xlfn.IFNA(VLOOKUP(Grandview_Inventory[[#This Row],[quality]],Lookups!$A$26:$C$33,3,FALSE),1)</f>
        <v>0.94295468617355149</v>
      </c>
      <c r="BU1141" s="4">
        <f>_xlfn.IFNA(VLOOKUP(Grandview_Inventory[[#This Row],[condition]],Lookups!$A$37:$C$44,3,FALSE),1)</f>
        <v>0.96661476234146892</v>
      </c>
      <c r="BV1141" s="4">
        <f>IF(Grandview_Inventory[[#This Row],[bldg_style]]="",1,_xlfn.IFNA(VLOOKUP(Grandview_Inventory[[#This Row],[decade]],Lookups!$F$29:$H$43,3,FALSE),1))</f>
        <v>0.96737494181490646</v>
      </c>
      <c r="BW1141" s="4">
        <f>_xlfn.IFNA(VLOOKUP(Grandview_Inventory[[#This Row],[living_area_range]],Lookups!$F$47:$H$56,3,FALSE),1)</f>
        <v>0.96135087979789358</v>
      </c>
      <c r="BX1141" s="4">
        <f>AVERAGE(Grandview_Inventory[[#This Row],[qual_adj]:[size_adj]])</f>
        <v>0.95957381753195514</v>
      </c>
      <c r="BY1141" s="6">
        <f>IF(Grandview_Inventory[[#This Row],[pre_res]]&lt;0,0,Grandview_Inventory[[#This Row],[pre_res]]*Grandview_Inventory[[#This Row],[overall_adj]])</f>
        <v>311411.31110148947</v>
      </c>
      <c r="BZ1141" s="6">
        <f>(Grandview_Inventory[[#This Row],[sum_land]]-IF(Grandview_Inventory[[#This Row],[no_utilities]]=1,12000,0))/IF(Grandview_Inventory[[#This Row],[unbuildable]]=1,2,1)</f>
        <v>47528.228511015397</v>
      </c>
      <c r="CA114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41">
        <f>ROUND(Grandview_Inventory[[#This Row],[det_value]]*Lookups!$M$28,-2)</f>
        <v>0</v>
      </c>
      <c r="CC1141">
        <f>IF(ROUND(Grandview_Inventory[[#This Row],[adj_res]]*Lookups!$M$28,-2)&lt;Grandview_Inventory[[#This Row],[min_res]],Grandview_Inventory[[#This Row],[min_res]],ROUND(Grandview_Inventory[[#This Row],[adj_res]]*Lookups!$M$28,-2))</f>
        <v>295800</v>
      </c>
      <c r="CD1141">
        <f>Grandview_Inventory[[#This Row],[final_det]]+Grandview_Inventory[[#This Row],[final_res]]</f>
        <v>295800</v>
      </c>
      <c r="CE1141">
        <f>Grandview_Inventory[[#This Row],[final_land]]+Grandview_Inventory[[#This Row],[final_imp]]+Grandview_Inventory[[#This Row],[crop_value]]</f>
        <v>341000</v>
      </c>
      <c r="CG1141" t="str">
        <f t="shared" si="17"/>
        <v>update valuation set market_land =45200, market_bldg=295800, market_total =341000, market_mdno =401, market_date ='9/10/2023' where link_id = (select link_id from parcel where parcel_year = '2024' and parcel_id = '23092242544');</v>
      </c>
    </row>
    <row r="1142" spans="1:85" x14ac:dyDescent="0.25">
      <c r="A1142">
        <v>23092242545</v>
      </c>
      <c r="B1142">
        <v>0.18</v>
      </c>
      <c r="C1142">
        <v>7643</v>
      </c>
      <c r="D1142" t="s">
        <v>129</v>
      </c>
      <c r="E1142" t="s">
        <v>53</v>
      </c>
      <c r="F1142" t="s">
        <v>53</v>
      </c>
      <c r="G1142">
        <v>4</v>
      </c>
      <c r="H1142" t="s">
        <v>54</v>
      </c>
      <c r="I1142">
        <v>251100</v>
      </c>
      <c r="J1142">
        <v>38800</v>
      </c>
      <c r="K1142">
        <v>0.18</v>
      </c>
      <c r="L114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42">
        <v>0</v>
      </c>
      <c r="N1142">
        <v>0</v>
      </c>
      <c r="O1142">
        <v>0</v>
      </c>
      <c r="P1142">
        <v>13398.7528</v>
      </c>
      <c r="Q1142">
        <v>63903</v>
      </c>
      <c r="R1142">
        <f>(Grandview_Inventory[[#This Row],[ln_acres]]*Grandview_Inventory[[#This Row],[coeff]])+Grandview_Inventory[[#This Row],[const]]</f>
        <v>40926.839760167699</v>
      </c>
      <c r="S1142" t="s">
        <v>55</v>
      </c>
      <c r="T1142">
        <v>2</v>
      </c>
      <c r="U1142" t="s">
        <v>62</v>
      </c>
      <c r="V1142" t="s">
        <v>66</v>
      </c>
      <c r="W1142">
        <v>0</v>
      </c>
      <c r="X1142">
        <v>0</v>
      </c>
      <c r="Y1142">
        <v>12</v>
      </c>
      <c r="Z1142">
        <v>12</v>
      </c>
      <c r="AA1142">
        <v>20</v>
      </c>
      <c r="AB1142">
        <v>2000</v>
      </c>
      <c r="AC1142">
        <v>1736</v>
      </c>
      <c r="AD1142">
        <v>1098</v>
      </c>
      <c r="AE1142">
        <v>638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66</v>
      </c>
      <c r="AN1142">
        <v>24</v>
      </c>
      <c r="AO1142">
        <v>0</v>
      </c>
      <c r="AP1142">
        <v>11</v>
      </c>
      <c r="AQ1142">
        <v>0</v>
      </c>
      <c r="AR1142">
        <v>0</v>
      </c>
      <c r="AS1142" t="s">
        <v>58</v>
      </c>
      <c r="AT1142">
        <v>1</v>
      </c>
      <c r="AU1142" t="s">
        <v>63</v>
      </c>
      <c r="AV1142" t="s">
        <v>60</v>
      </c>
      <c r="AW1142">
        <v>1</v>
      </c>
      <c r="AX1142">
        <v>4</v>
      </c>
      <c r="AY1142">
        <v>0</v>
      </c>
      <c r="AZ1142">
        <v>0</v>
      </c>
      <c r="BA1142">
        <v>100</v>
      </c>
      <c r="BB1142">
        <v>100</v>
      </c>
      <c r="BC1142">
        <v>100</v>
      </c>
      <c r="BD1142">
        <v>100</v>
      </c>
      <c r="BE1142">
        <v>1</v>
      </c>
      <c r="BF1142">
        <v>15000</v>
      </c>
      <c r="BG1142">
        <v>1000</v>
      </c>
      <c r="BH1142" s="6">
        <f>Grandview_Inventory[[#This Row],[land_extract]]*Lookups!$B$3</f>
        <v>47528.228511015397</v>
      </c>
      <c r="BI1142" s="6">
        <f>IF(Grandview_Inventory[[#This Row],[bldg_style]]="",0,Lookups!$B$2)</f>
        <v>155833.95000000001</v>
      </c>
      <c r="BJ1142" s="6">
        <f>_xlfn.IFNA(VLOOKUP(Grandview_Inventory[[#This Row],[quality]],Lookups!$H$2:$J$14,3,FALSE),0)</f>
        <v>9808</v>
      </c>
      <c r="BK1142" s="6">
        <f>_xlfn.IFNA(VLOOKUP(Grandview_Inventory[[#This Row],[condition]],Lookups!$H$17:$J$24,3,FALSE),0)</f>
        <v>25818</v>
      </c>
      <c r="BL1142" s="6">
        <f>Grandview_Inventory[[#This Row],[Eff_Age]]*Lookups!$B$14</f>
        <v>-2869.9991999999997</v>
      </c>
      <c r="BM1142" s="6">
        <f>Grandview_Inventory[[#This Row],[living_area]]*Lookups!$B$15</f>
        <v>108293.160808</v>
      </c>
      <c r="BN1142" s="6">
        <f>Grandview_Inventory[[#This Row],[Fin BSMT]]*Lookups!$B$16</f>
        <v>0</v>
      </c>
      <c r="BO1142" s="6">
        <f>(Grandview_Inventory[[#This Row],[att_gar]]+Grandview_Inventory[[#This Row],[bltin_gar]])*Lookups!$B$17</f>
        <v>0</v>
      </c>
      <c r="BP1142" s="6">
        <f>Grandview_Inventory[[#This Row],[Plumbing Fixtures]]*Lookups!$B$18</f>
        <v>22114.859800000002</v>
      </c>
      <c r="BQ1142" s="6">
        <f>Grandview_Inventory[[#This Row],[detatched_value]]*Lookups!$B$19</f>
        <v>0</v>
      </c>
      <c r="BR1142" s="6">
        <f>SUM(Grandview_Inventory[[#This Row],[Intercept]:[det_value]])*Grandview_Inventory[[#This Row],[res_pct]]</f>
        <v>318997.97140799998</v>
      </c>
      <c r="BS1142" s="6">
        <f>Grandview_Inventory[[#This Row],[land_value]]</f>
        <v>47528.228511015397</v>
      </c>
      <c r="BT1142" s="4">
        <f>_xlfn.IFNA(VLOOKUP(Grandview_Inventory[[#This Row],[quality]],Lookups!$A$26:$C$33,3,FALSE),1)</f>
        <v>0.94295468617355149</v>
      </c>
      <c r="BU1142" s="4">
        <f>_xlfn.IFNA(VLOOKUP(Grandview_Inventory[[#This Row],[condition]],Lookups!$A$37:$C$44,3,FALSE),1)</f>
        <v>0.96661476234146892</v>
      </c>
      <c r="BV1142" s="4">
        <f>IF(Grandview_Inventory[[#This Row],[bldg_style]]="",1,_xlfn.IFNA(VLOOKUP(Grandview_Inventory[[#This Row],[decade]],Lookups!$F$29:$H$43,3,FALSE),1))</f>
        <v>0.96737494181490646</v>
      </c>
      <c r="BW1142" s="4">
        <f>_xlfn.IFNA(VLOOKUP(Grandview_Inventory[[#This Row],[living_area_range]],Lookups!$F$47:$H$56,3,FALSE),1)</f>
        <v>0.96120133463014379</v>
      </c>
      <c r="BX1142" s="4">
        <f>AVERAGE(Grandview_Inventory[[#This Row],[qual_adj]:[size_adj]])</f>
        <v>0.95953643124001764</v>
      </c>
      <c r="BY1142" s="6">
        <f>IF(Grandview_Inventory[[#This Row],[pre_res]]&lt;0,0,Grandview_Inventory[[#This Row],[pre_res]]*Grandview_Inventory[[#This Row],[overall_adj]])</f>
        <v>306090.17505763751</v>
      </c>
      <c r="BZ1142" s="6">
        <f>(Grandview_Inventory[[#This Row],[sum_land]]-IF(Grandview_Inventory[[#This Row],[no_utilities]]=1,12000,0))/IF(Grandview_Inventory[[#This Row],[unbuildable]]=1,2,1)</f>
        <v>47528.228511015397</v>
      </c>
      <c r="CA114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42">
        <f>ROUND(Grandview_Inventory[[#This Row],[det_value]]*Lookups!$M$28,-2)</f>
        <v>0</v>
      </c>
      <c r="CC1142">
        <f>IF(ROUND(Grandview_Inventory[[#This Row],[adj_res]]*Lookups!$M$28,-2)&lt;Grandview_Inventory[[#This Row],[min_res]],Grandview_Inventory[[#This Row],[min_res]],ROUND(Grandview_Inventory[[#This Row],[adj_res]]*Lookups!$M$28,-2))</f>
        <v>290800</v>
      </c>
      <c r="CD1142">
        <f>Grandview_Inventory[[#This Row],[final_det]]+Grandview_Inventory[[#This Row],[final_res]]</f>
        <v>290800</v>
      </c>
      <c r="CE1142">
        <f>Grandview_Inventory[[#This Row],[final_land]]+Grandview_Inventory[[#This Row],[final_imp]]+Grandview_Inventory[[#This Row],[crop_value]]</f>
        <v>336000</v>
      </c>
      <c r="CG1142" t="str">
        <f t="shared" si="17"/>
        <v>update valuation set market_land =45200, market_bldg=290800, market_total =336000, market_mdno =401, market_date ='9/10/2023' where link_id = (select link_id from parcel where parcel_year = '2024' and parcel_id = '23092242545');</v>
      </c>
    </row>
    <row r="1143" spans="1:85" x14ac:dyDescent="0.25">
      <c r="A1143">
        <v>23092242546</v>
      </c>
      <c r="B1143">
        <v>0.18</v>
      </c>
      <c r="C1143">
        <v>7817</v>
      </c>
      <c r="D1143" t="s">
        <v>129</v>
      </c>
      <c r="E1143" t="s">
        <v>53</v>
      </c>
      <c r="F1143" t="s">
        <v>53</v>
      </c>
      <c r="G1143">
        <v>4</v>
      </c>
      <c r="H1143" t="s">
        <v>54</v>
      </c>
      <c r="I1143">
        <v>238800</v>
      </c>
      <c r="J1143">
        <v>39000</v>
      </c>
      <c r="K1143">
        <v>0.18</v>
      </c>
      <c r="L114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43">
        <v>0</v>
      </c>
      <c r="N1143">
        <v>0</v>
      </c>
      <c r="O1143">
        <v>0</v>
      </c>
      <c r="P1143">
        <v>13398.7528</v>
      </c>
      <c r="Q1143">
        <v>63903</v>
      </c>
      <c r="R1143">
        <f>(Grandview_Inventory[[#This Row],[ln_acres]]*Grandview_Inventory[[#This Row],[coeff]])+Grandview_Inventory[[#This Row],[const]]</f>
        <v>40926.839760167699</v>
      </c>
      <c r="S1143" t="s">
        <v>61</v>
      </c>
      <c r="T1143">
        <v>1</v>
      </c>
      <c r="U1143" t="s">
        <v>62</v>
      </c>
      <c r="V1143" t="s">
        <v>57</v>
      </c>
      <c r="W1143">
        <v>0</v>
      </c>
      <c r="X1143">
        <v>0</v>
      </c>
      <c r="Y1143">
        <v>12</v>
      </c>
      <c r="Z1143">
        <v>12</v>
      </c>
      <c r="AA1143">
        <v>20</v>
      </c>
      <c r="AB1143">
        <v>1500</v>
      </c>
      <c r="AC1143">
        <v>1172</v>
      </c>
      <c r="AD1143">
        <v>1172</v>
      </c>
      <c r="AE1143">
        <v>0</v>
      </c>
      <c r="AF1143">
        <v>0</v>
      </c>
      <c r="AG1143">
        <v>0</v>
      </c>
      <c r="AH1143">
        <v>0</v>
      </c>
      <c r="AI1143">
        <v>460</v>
      </c>
      <c r="AJ1143">
        <v>0</v>
      </c>
      <c r="AK1143">
        <v>0</v>
      </c>
      <c r="AL1143">
        <v>0</v>
      </c>
      <c r="AM1143">
        <v>72</v>
      </c>
      <c r="AN1143">
        <v>48</v>
      </c>
      <c r="AO1143">
        <v>0</v>
      </c>
      <c r="AP1143">
        <v>8</v>
      </c>
      <c r="AQ1143">
        <v>0</v>
      </c>
      <c r="AR1143">
        <v>0</v>
      </c>
      <c r="AS1143" t="s">
        <v>58</v>
      </c>
      <c r="AT1143">
        <v>1</v>
      </c>
      <c r="AU1143" t="s">
        <v>63</v>
      </c>
      <c r="AV1143" t="s">
        <v>60</v>
      </c>
      <c r="AW1143">
        <v>1</v>
      </c>
      <c r="AX1143">
        <v>3</v>
      </c>
      <c r="AY1143">
        <v>0</v>
      </c>
      <c r="AZ1143">
        <v>0</v>
      </c>
      <c r="BA1143">
        <v>100</v>
      </c>
      <c r="BB1143">
        <v>100</v>
      </c>
      <c r="BC1143">
        <v>100</v>
      </c>
      <c r="BD1143">
        <v>100</v>
      </c>
      <c r="BE1143">
        <v>1</v>
      </c>
      <c r="BF1143">
        <v>15000</v>
      </c>
      <c r="BG1143">
        <v>1000</v>
      </c>
      <c r="BH1143" s="6">
        <f>Grandview_Inventory[[#This Row],[land_extract]]*Lookups!$B$3</f>
        <v>47528.228511015397</v>
      </c>
      <c r="BI1143" s="6">
        <f>IF(Grandview_Inventory[[#This Row],[bldg_style]]="",0,Lookups!$B$2)</f>
        <v>155833.95000000001</v>
      </c>
      <c r="BJ1143" s="6">
        <f>_xlfn.IFNA(VLOOKUP(Grandview_Inventory[[#This Row],[quality]],Lookups!$H$2:$J$14,3,FALSE),0)</f>
        <v>9808</v>
      </c>
      <c r="BK1143" s="6">
        <f>_xlfn.IFNA(VLOOKUP(Grandview_Inventory[[#This Row],[condition]],Lookups!$H$17:$J$24,3,FALSE),0)</f>
        <v>25780</v>
      </c>
      <c r="BL1143" s="6">
        <f>Grandview_Inventory[[#This Row],[Eff_Age]]*Lookups!$B$14</f>
        <v>-2869.9991999999997</v>
      </c>
      <c r="BM1143" s="6">
        <f>Grandview_Inventory[[#This Row],[living_area]]*Lookups!$B$15</f>
        <v>73110.359716000006</v>
      </c>
      <c r="BN1143" s="6">
        <f>Grandview_Inventory[[#This Row],[Fin BSMT]]*Lookups!$B$16</f>
        <v>0</v>
      </c>
      <c r="BO1143" s="6">
        <f>(Grandview_Inventory[[#This Row],[att_gar]]+Grandview_Inventory[[#This Row],[bltin_gar]])*Lookups!$B$17</f>
        <v>40259.401019999998</v>
      </c>
      <c r="BP1143" s="6">
        <f>Grandview_Inventory[[#This Row],[Plumbing Fixtures]]*Lookups!$B$18</f>
        <v>16083.5344</v>
      </c>
      <c r="BQ1143" s="6">
        <f>Grandview_Inventory[[#This Row],[detatched_value]]*Lookups!$B$19</f>
        <v>0</v>
      </c>
      <c r="BR1143" s="6">
        <f>SUM(Grandview_Inventory[[#This Row],[Intercept]:[det_value]])*Grandview_Inventory[[#This Row],[res_pct]]</f>
        <v>318005.24593600002</v>
      </c>
      <c r="BS1143" s="6">
        <f>Grandview_Inventory[[#This Row],[land_value]]</f>
        <v>47528.228511015397</v>
      </c>
      <c r="BT1143" s="4">
        <f>_xlfn.IFNA(VLOOKUP(Grandview_Inventory[[#This Row],[quality]],Lookups!$A$26:$C$33,3,FALSE),1)</f>
        <v>0.94295468617355149</v>
      </c>
      <c r="BU1143" s="4">
        <f>_xlfn.IFNA(VLOOKUP(Grandview_Inventory[[#This Row],[condition]],Lookups!$A$37:$C$44,3,FALSE),1)</f>
        <v>0.94347925387812148</v>
      </c>
      <c r="BV1143" s="4">
        <f>IF(Grandview_Inventory[[#This Row],[bldg_style]]="",1,_xlfn.IFNA(VLOOKUP(Grandview_Inventory[[#This Row],[decade]],Lookups!$F$29:$H$43,3,FALSE),1))</f>
        <v>0.96737494181490646</v>
      </c>
      <c r="BW1143" s="4">
        <f>_xlfn.IFNA(VLOOKUP(Grandview_Inventory[[#This Row],[living_area_range]],Lookups!$F$47:$H$56,3,FALSE),1)</f>
        <v>0.96135087979789358</v>
      </c>
      <c r="BX1143" s="4">
        <f>AVERAGE(Grandview_Inventory[[#This Row],[qual_adj]:[size_adj]])</f>
        <v>0.95378994041611831</v>
      </c>
      <c r="BY1143" s="6">
        <f>IF(Grandview_Inventory[[#This Row],[pre_res]]&lt;0,0,Grandview_Inventory[[#This Row],[pre_res]]*Grandview_Inventory[[#This Row],[overall_adj]])</f>
        <v>303310.2045733105</v>
      </c>
      <c r="BZ1143" s="6">
        <f>(Grandview_Inventory[[#This Row],[sum_land]]-IF(Grandview_Inventory[[#This Row],[no_utilities]]=1,12000,0))/IF(Grandview_Inventory[[#This Row],[unbuildable]]=1,2,1)</f>
        <v>47528.228511015397</v>
      </c>
      <c r="CA114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43">
        <f>ROUND(Grandview_Inventory[[#This Row],[det_value]]*Lookups!$M$28,-2)</f>
        <v>0</v>
      </c>
      <c r="CC1143">
        <f>IF(ROUND(Grandview_Inventory[[#This Row],[adj_res]]*Lookups!$M$28,-2)&lt;Grandview_Inventory[[#This Row],[min_res]],Grandview_Inventory[[#This Row],[min_res]],ROUND(Grandview_Inventory[[#This Row],[adj_res]]*Lookups!$M$28,-2))</f>
        <v>288100</v>
      </c>
      <c r="CD1143">
        <f>Grandview_Inventory[[#This Row],[final_det]]+Grandview_Inventory[[#This Row],[final_res]]</f>
        <v>288100</v>
      </c>
      <c r="CE1143">
        <f>Grandview_Inventory[[#This Row],[final_land]]+Grandview_Inventory[[#This Row],[final_imp]]+Grandview_Inventory[[#This Row],[crop_value]]</f>
        <v>333300</v>
      </c>
      <c r="CG1143" t="str">
        <f t="shared" si="17"/>
        <v>update valuation set market_land =45200, market_bldg=288100, market_total =333300, market_mdno =401, market_date ='9/10/2023' where link_id = (select link_id from parcel where parcel_year = '2024' and parcel_id = '23092242546');</v>
      </c>
    </row>
    <row r="1144" spans="1:85" x14ac:dyDescent="0.25">
      <c r="A1144">
        <v>23092242547</v>
      </c>
      <c r="B1144">
        <v>0.17</v>
      </c>
      <c r="C1144">
        <v>7481</v>
      </c>
      <c r="D1144" t="s">
        <v>129</v>
      </c>
      <c r="E1144" t="s">
        <v>53</v>
      </c>
      <c r="F1144" t="s">
        <v>53</v>
      </c>
      <c r="G1144">
        <v>4</v>
      </c>
      <c r="H1144" t="s">
        <v>54</v>
      </c>
      <c r="I1144">
        <v>246800</v>
      </c>
      <c r="J1144">
        <v>38800</v>
      </c>
      <c r="K1144">
        <v>0.17</v>
      </c>
      <c r="L114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44">
        <v>0</v>
      </c>
      <c r="N1144">
        <v>0</v>
      </c>
      <c r="O1144">
        <v>0</v>
      </c>
      <c r="P1144">
        <v>13398.7528</v>
      </c>
      <c r="Q1144">
        <v>63903</v>
      </c>
      <c r="R1144">
        <f>(Grandview_Inventory[[#This Row],[ln_acres]]*Grandview_Inventory[[#This Row],[coeff]])+Grandview_Inventory[[#This Row],[const]]</f>
        <v>40160.988302686128</v>
      </c>
      <c r="S1144" t="s">
        <v>55</v>
      </c>
      <c r="T1144">
        <v>2</v>
      </c>
      <c r="U1144" t="s">
        <v>65</v>
      </c>
      <c r="V1144" t="s">
        <v>66</v>
      </c>
      <c r="W1144">
        <v>0</v>
      </c>
      <c r="X1144">
        <v>0</v>
      </c>
      <c r="Y1144">
        <v>12</v>
      </c>
      <c r="Z1144">
        <v>12</v>
      </c>
      <c r="AA1144">
        <v>20</v>
      </c>
      <c r="AB1144">
        <v>1500</v>
      </c>
      <c r="AC1144">
        <v>1276</v>
      </c>
      <c r="AD1144">
        <v>638</v>
      </c>
      <c r="AE1144">
        <v>638</v>
      </c>
      <c r="AF1144">
        <v>0</v>
      </c>
      <c r="AG1144">
        <v>0</v>
      </c>
      <c r="AH1144">
        <v>0</v>
      </c>
      <c r="AI1144">
        <v>460</v>
      </c>
      <c r="AJ1144">
        <v>0</v>
      </c>
      <c r="AK1144">
        <v>0</v>
      </c>
      <c r="AL1144">
        <v>0</v>
      </c>
      <c r="AM1144">
        <v>66</v>
      </c>
      <c r="AN1144">
        <v>0</v>
      </c>
      <c r="AO1144">
        <v>0</v>
      </c>
      <c r="AP1144">
        <v>8</v>
      </c>
      <c r="AQ1144">
        <v>0</v>
      </c>
      <c r="AR1144">
        <v>0</v>
      </c>
      <c r="AS1144" t="s">
        <v>58</v>
      </c>
      <c r="AT1144">
        <v>1</v>
      </c>
      <c r="AU1144" t="s">
        <v>59</v>
      </c>
      <c r="AV1144" t="s">
        <v>60</v>
      </c>
      <c r="AW1144">
        <v>1</v>
      </c>
      <c r="AX1144">
        <v>3</v>
      </c>
      <c r="AY1144">
        <v>0</v>
      </c>
      <c r="AZ1144">
        <v>0</v>
      </c>
      <c r="BA1144">
        <v>100</v>
      </c>
      <c r="BB1144">
        <v>100</v>
      </c>
      <c r="BC1144">
        <v>100</v>
      </c>
      <c r="BD1144">
        <v>100</v>
      </c>
      <c r="BE1144">
        <v>1</v>
      </c>
      <c r="BF1144">
        <v>15000</v>
      </c>
      <c r="BG1144">
        <v>1000</v>
      </c>
      <c r="BH1144" s="6">
        <f>Grandview_Inventory[[#This Row],[land_extract]]*Lookups!$B$3</f>
        <v>46638.847281240982</v>
      </c>
      <c r="BI1144" s="6">
        <f>IF(Grandview_Inventory[[#This Row],[bldg_style]]="",0,Lookups!$B$2)</f>
        <v>155833.95000000001</v>
      </c>
      <c r="BJ1144" s="6">
        <f>_xlfn.IFNA(VLOOKUP(Grandview_Inventory[[#This Row],[quality]],Lookups!$H$2:$J$14,3,FALSE),0)</f>
        <v>2251</v>
      </c>
      <c r="BK1144" s="6">
        <f>_xlfn.IFNA(VLOOKUP(Grandview_Inventory[[#This Row],[condition]],Lookups!$H$17:$J$24,3,FALSE),0)</f>
        <v>25818</v>
      </c>
      <c r="BL1144" s="6">
        <f>Grandview_Inventory[[#This Row],[Eff_Age]]*Lookups!$B$14</f>
        <v>-2869.9991999999997</v>
      </c>
      <c r="BM1144" s="6">
        <f>Grandview_Inventory[[#This Row],[living_area]]*Lookups!$B$15</f>
        <v>79597.968428000007</v>
      </c>
      <c r="BN1144" s="6">
        <f>Grandview_Inventory[[#This Row],[Fin BSMT]]*Lookups!$B$16</f>
        <v>0</v>
      </c>
      <c r="BO1144" s="6">
        <f>(Grandview_Inventory[[#This Row],[att_gar]]+Grandview_Inventory[[#This Row],[bltin_gar]])*Lookups!$B$17</f>
        <v>40259.401019999998</v>
      </c>
      <c r="BP1144" s="6">
        <f>Grandview_Inventory[[#This Row],[Plumbing Fixtures]]*Lookups!$B$18</f>
        <v>16083.5344</v>
      </c>
      <c r="BQ1144" s="6">
        <f>Grandview_Inventory[[#This Row],[detatched_value]]*Lookups!$B$19</f>
        <v>0</v>
      </c>
      <c r="BR1144" s="6">
        <f>SUM(Grandview_Inventory[[#This Row],[Intercept]:[det_value]])*Grandview_Inventory[[#This Row],[res_pct]]</f>
        <v>316973.85464800004</v>
      </c>
      <c r="BS1144" s="6">
        <f>Grandview_Inventory[[#This Row],[land_value]]</f>
        <v>46638.847281240982</v>
      </c>
      <c r="BT1144" s="4">
        <f>_xlfn.IFNA(VLOOKUP(Grandview_Inventory[[#This Row],[quality]],Lookups!$A$26:$C$33,3,FALSE),1)</f>
        <v>0.98763855981004833</v>
      </c>
      <c r="BU1144" s="4">
        <f>_xlfn.IFNA(VLOOKUP(Grandview_Inventory[[#This Row],[condition]],Lookups!$A$37:$C$44,3,FALSE),1)</f>
        <v>0.96661476234146892</v>
      </c>
      <c r="BV1144" s="4">
        <f>IF(Grandview_Inventory[[#This Row],[bldg_style]]="",1,_xlfn.IFNA(VLOOKUP(Grandview_Inventory[[#This Row],[decade]],Lookups!$F$29:$H$43,3,FALSE),1))</f>
        <v>0.96737494181490646</v>
      </c>
      <c r="BW1144" s="4">
        <f>_xlfn.IFNA(VLOOKUP(Grandview_Inventory[[#This Row],[living_area_range]],Lookups!$F$47:$H$56,3,FALSE),1)</f>
        <v>0.96135087979789358</v>
      </c>
      <c r="BX1144" s="4">
        <f>AVERAGE(Grandview_Inventory[[#This Row],[qual_adj]:[size_adj]])</f>
        <v>0.97074478594107938</v>
      </c>
      <c r="BY1144" s="6">
        <f>IF(Grandview_Inventory[[#This Row],[pre_res]]&lt;0,0,Grandview_Inventory[[#This Row],[pre_res]]*Grandview_Inventory[[#This Row],[overall_adj]])</f>
        <v>307700.71667919162</v>
      </c>
      <c r="BZ1144" s="6">
        <f>(Grandview_Inventory[[#This Row],[sum_land]]-IF(Grandview_Inventory[[#This Row],[no_utilities]]=1,12000,0))/IF(Grandview_Inventory[[#This Row],[unbuildable]]=1,2,1)</f>
        <v>46638.847281240982</v>
      </c>
      <c r="CA114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44">
        <f>ROUND(Grandview_Inventory[[#This Row],[det_value]]*Lookups!$M$28,-2)</f>
        <v>0</v>
      </c>
      <c r="CC1144">
        <f>IF(ROUND(Grandview_Inventory[[#This Row],[adj_res]]*Lookups!$M$28,-2)&lt;Grandview_Inventory[[#This Row],[min_res]],Grandview_Inventory[[#This Row],[min_res]],ROUND(Grandview_Inventory[[#This Row],[adj_res]]*Lookups!$M$28,-2))</f>
        <v>292300</v>
      </c>
      <c r="CD1144">
        <f>Grandview_Inventory[[#This Row],[final_det]]+Grandview_Inventory[[#This Row],[final_res]]</f>
        <v>292300</v>
      </c>
      <c r="CE1144">
        <f>Grandview_Inventory[[#This Row],[final_land]]+Grandview_Inventory[[#This Row],[final_imp]]+Grandview_Inventory[[#This Row],[crop_value]]</f>
        <v>336600</v>
      </c>
      <c r="CG1144" t="str">
        <f t="shared" si="17"/>
        <v>update valuation set market_land =44300, market_bldg=292300, market_total =336600, market_mdno =401, market_date ='9/10/2023' where link_id = (select link_id from parcel where parcel_year = '2024' and parcel_id = '23092242547');</v>
      </c>
    </row>
    <row r="1145" spans="1:85" x14ac:dyDescent="0.25">
      <c r="A1145">
        <v>23092242548</v>
      </c>
      <c r="B1145">
        <v>0.45</v>
      </c>
      <c r="C1145" t="s">
        <v>129</v>
      </c>
      <c r="D1145" t="s">
        <v>129</v>
      </c>
      <c r="E1145" t="s">
        <v>53</v>
      </c>
      <c r="F1145" t="s">
        <v>53</v>
      </c>
      <c r="G1145">
        <v>4</v>
      </c>
      <c r="H1145" t="s">
        <v>54</v>
      </c>
      <c r="I1145">
        <v>168900</v>
      </c>
      <c r="J1145">
        <v>46100</v>
      </c>
      <c r="K1145">
        <v>0.45</v>
      </c>
      <c r="L1145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1145">
        <v>0</v>
      </c>
      <c r="N1145">
        <v>0</v>
      </c>
      <c r="O1145">
        <v>0</v>
      </c>
      <c r="P1145">
        <v>13398.7528</v>
      </c>
      <c r="Q1145">
        <v>63903</v>
      </c>
      <c r="R1145">
        <f>(Grandview_Inventory[[#This Row],[ln_acres]]*Grandview_Inventory[[#This Row],[coeff]])+Grandview_Inventory[[#This Row],[const]]</f>
        <v>53203.992769480581</v>
      </c>
      <c r="S1145" t="s">
        <v>61</v>
      </c>
      <c r="T1145">
        <v>1</v>
      </c>
      <c r="U1145" t="s">
        <v>65</v>
      </c>
      <c r="V1145" t="s">
        <v>69</v>
      </c>
      <c r="W1145">
        <v>0</v>
      </c>
      <c r="X1145">
        <v>0</v>
      </c>
      <c r="Y1145">
        <v>49</v>
      </c>
      <c r="Z1145">
        <v>68</v>
      </c>
      <c r="AA1145">
        <v>70</v>
      </c>
      <c r="AB1145">
        <v>2000</v>
      </c>
      <c r="AC1145">
        <v>1769</v>
      </c>
      <c r="AD1145">
        <v>1529</v>
      </c>
      <c r="AE1145">
        <v>0</v>
      </c>
      <c r="AF1145">
        <v>0</v>
      </c>
      <c r="AG1145">
        <v>240</v>
      </c>
      <c r="AH1145">
        <v>0</v>
      </c>
      <c r="AI1145">
        <v>352</v>
      </c>
      <c r="AJ1145">
        <v>0</v>
      </c>
      <c r="AK1145">
        <v>0</v>
      </c>
      <c r="AL1145">
        <v>0</v>
      </c>
      <c r="AM1145">
        <v>276</v>
      </c>
      <c r="AN1145">
        <v>0</v>
      </c>
      <c r="AO1145">
        <v>276</v>
      </c>
      <c r="AP1145">
        <v>8</v>
      </c>
      <c r="AQ1145">
        <v>0</v>
      </c>
      <c r="AR1145">
        <v>0</v>
      </c>
      <c r="AS1145" t="s">
        <v>58</v>
      </c>
      <c r="AT1145">
        <v>1</v>
      </c>
      <c r="AU1145" t="s">
        <v>63</v>
      </c>
      <c r="AV1145" t="s">
        <v>64</v>
      </c>
      <c r="AW1145">
        <v>0</v>
      </c>
      <c r="AX1145">
        <v>3</v>
      </c>
      <c r="AY1145">
        <v>0</v>
      </c>
      <c r="AZ1145">
        <v>0</v>
      </c>
      <c r="BA1145">
        <v>100</v>
      </c>
      <c r="BB1145">
        <v>100</v>
      </c>
      <c r="BC1145">
        <v>100</v>
      </c>
      <c r="BD1145">
        <v>100</v>
      </c>
      <c r="BE1145">
        <v>1</v>
      </c>
      <c r="BF1145">
        <v>15000</v>
      </c>
      <c r="BG1145">
        <v>1000</v>
      </c>
      <c r="BH1145" s="6">
        <f>Grandview_Inventory[[#This Row],[land_extract]]*Lookups!$B$3</f>
        <v>61785.653152417319</v>
      </c>
      <c r="BI1145" s="6">
        <f>IF(Grandview_Inventory[[#This Row],[bldg_style]]="",0,Lookups!$B$2)</f>
        <v>155833.95000000001</v>
      </c>
      <c r="BJ1145" s="6">
        <f>_xlfn.IFNA(VLOOKUP(Grandview_Inventory[[#This Row],[quality]],Lookups!$H$2:$J$14,3,FALSE),0)</f>
        <v>2251</v>
      </c>
      <c r="BK1145" s="6">
        <f>_xlfn.IFNA(VLOOKUP(Grandview_Inventory[[#This Row],[condition]],Lookups!$H$17:$J$24,3,FALSE),0)</f>
        <v>-4503</v>
      </c>
      <c r="BL1145" s="6">
        <f>Grandview_Inventory[[#This Row],[Eff_Age]]*Lookups!$B$14</f>
        <v>-11719.163399999999</v>
      </c>
      <c r="BM1145" s="6">
        <f>Grandview_Inventory[[#This Row],[living_area]]*Lookups!$B$15</f>
        <v>110351.728957</v>
      </c>
      <c r="BN1145" s="6">
        <f>Grandview_Inventory[[#This Row],[Fin BSMT]]*Lookups!$B$16</f>
        <v>-6503.8176000000003</v>
      </c>
      <c r="BO1145" s="6">
        <f>(Grandview_Inventory[[#This Row],[att_gar]]+Grandview_Inventory[[#This Row],[bltin_gar]])*Lookups!$B$17</f>
        <v>30807.193824000002</v>
      </c>
      <c r="BP1145" s="6">
        <f>Grandview_Inventory[[#This Row],[Plumbing Fixtures]]*Lookups!$B$18</f>
        <v>16083.5344</v>
      </c>
      <c r="BQ1145" s="6">
        <f>Grandview_Inventory[[#This Row],[detatched_value]]*Lookups!$B$19</f>
        <v>0</v>
      </c>
      <c r="BR1145" s="6">
        <f>SUM(Grandview_Inventory[[#This Row],[Intercept]:[det_value]])*Grandview_Inventory[[#This Row],[res_pct]]</f>
        <v>292601.42618100002</v>
      </c>
      <c r="BS1145" s="6">
        <f>Grandview_Inventory[[#This Row],[land_value]]</f>
        <v>61785.653152417319</v>
      </c>
      <c r="BT1145" s="4">
        <f>_xlfn.IFNA(VLOOKUP(Grandview_Inventory[[#This Row],[quality]],Lookups!$A$26:$C$33,3,FALSE),1)</f>
        <v>0.98763855981004833</v>
      </c>
      <c r="BU1145" s="4">
        <f>_xlfn.IFNA(VLOOKUP(Grandview_Inventory[[#This Row],[condition]],Lookups!$A$37:$C$44,3,FALSE),1)</f>
        <v>0.96469275950863709</v>
      </c>
      <c r="BV1145" s="4">
        <f>IF(Grandview_Inventory[[#This Row],[bldg_style]]="",1,_xlfn.IFNA(VLOOKUP(Grandview_Inventory[[#This Row],[decade]],Lookups!$F$29:$H$43,3,FALSE),1))</f>
        <v>0.99472141305414818</v>
      </c>
      <c r="BW1145" s="4">
        <f>_xlfn.IFNA(VLOOKUP(Grandview_Inventory[[#This Row],[living_area_range]],Lookups!$F$47:$H$56,3,FALSE),1)</f>
        <v>0.96120133463014379</v>
      </c>
      <c r="BX1145" s="4">
        <f>AVERAGE(Grandview_Inventory[[#This Row],[qual_adj]:[size_adj]])</f>
        <v>0.97706351675074443</v>
      </c>
      <c r="BY1145" s="6">
        <f>IF(Grandview_Inventory[[#This Row],[pre_res]]&lt;0,0,Grandview_Inventory[[#This Row],[pre_res]]*Grandview_Inventory[[#This Row],[overall_adj]])</f>
        <v>285890.1784706912</v>
      </c>
      <c r="BZ1145" s="6">
        <f>(Grandview_Inventory[[#This Row],[sum_land]]-IF(Grandview_Inventory[[#This Row],[no_utilities]]=1,12000,0))/IF(Grandview_Inventory[[#This Row],[unbuildable]]=1,2,1)</f>
        <v>61785.653152417319</v>
      </c>
      <c r="CA1145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1145">
        <f>ROUND(Grandview_Inventory[[#This Row],[det_value]]*Lookups!$M$28,-2)</f>
        <v>0</v>
      </c>
      <c r="CC1145">
        <f>IF(ROUND(Grandview_Inventory[[#This Row],[adj_res]]*Lookups!$M$28,-2)&lt;Grandview_Inventory[[#This Row],[min_res]],Grandview_Inventory[[#This Row],[min_res]],ROUND(Grandview_Inventory[[#This Row],[adj_res]]*Lookups!$M$28,-2))</f>
        <v>271600</v>
      </c>
      <c r="CD1145">
        <f>Grandview_Inventory[[#This Row],[final_det]]+Grandview_Inventory[[#This Row],[final_res]]</f>
        <v>271600</v>
      </c>
      <c r="CE1145">
        <f>Grandview_Inventory[[#This Row],[final_land]]+Grandview_Inventory[[#This Row],[final_imp]]+Grandview_Inventory[[#This Row],[crop_value]]</f>
        <v>330300</v>
      </c>
      <c r="CG1145" t="str">
        <f t="shared" si="17"/>
        <v>update valuation set market_land =58700, market_bldg=271600, market_total =330300, market_mdno =401, market_date ='9/10/2023' where link_id = (select link_id from parcel where parcel_year = '2024' and parcel_id = '23092242548');</v>
      </c>
    </row>
    <row r="1146" spans="1:85" x14ac:dyDescent="0.25">
      <c r="A1146">
        <v>23092243401</v>
      </c>
      <c r="B1146">
        <v>0.11</v>
      </c>
      <c r="C1146">
        <v>4612</v>
      </c>
      <c r="D1146" t="s">
        <v>129</v>
      </c>
      <c r="E1146" t="s">
        <v>53</v>
      </c>
      <c r="F1146" t="s">
        <v>53</v>
      </c>
      <c r="G1146">
        <v>4</v>
      </c>
      <c r="H1146" t="s">
        <v>54</v>
      </c>
      <c r="I1146">
        <v>159600</v>
      </c>
      <c r="J1146">
        <v>41600</v>
      </c>
      <c r="K1146">
        <v>0.11</v>
      </c>
      <c r="L1146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146">
        <v>0</v>
      </c>
      <c r="N1146">
        <v>0</v>
      </c>
      <c r="O1146">
        <v>0</v>
      </c>
      <c r="P1146">
        <v>13398.7528</v>
      </c>
      <c r="Q1146">
        <v>63903</v>
      </c>
      <c r="R1146">
        <f>(Grandview_Inventory[[#This Row],[ln_acres]]*Grandview_Inventory[[#This Row],[coeff]])+Grandview_Inventory[[#This Row],[const]]</f>
        <v>34328.269076529468</v>
      </c>
      <c r="S1146" t="s">
        <v>68</v>
      </c>
      <c r="T1146">
        <v>1</v>
      </c>
      <c r="U1146" t="s">
        <v>70</v>
      </c>
      <c r="V1146" t="s">
        <v>69</v>
      </c>
      <c r="W1146">
        <v>0</v>
      </c>
      <c r="X1146">
        <v>0</v>
      </c>
      <c r="Y1146">
        <v>53</v>
      </c>
      <c r="Z1146">
        <v>93</v>
      </c>
      <c r="AA1146">
        <v>100</v>
      </c>
      <c r="AB1146">
        <v>1500</v>
      </c>
      <c r="AC1146">
        <v>1428</v>
      </c>
      <c r="AD1146">
        <v>1428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368</v>
      </c>
      <c r="AL1146">
        <v>0</v>
      </c>
      <c r="AM1146">
        <v>0</v>
      </c>
      <c r="AN1146">
        <v>0</v>
      </c>
      <c r="AO1146">
        <v>0</v>
      </c>
      <c r="AP1146">
        <v>5</v>
      </c>
      <c r="AQ1146">
        <v>0</v>
      </c>
      <c r="AR1146">
        <v>0</v>
      </c>
      <c r="AS1146" t="s">
        <v>58</v>
      </c>
      <c r="AT1146">
        <v>1</v>
      </c>
      <c r="AU1146" t="s">
        <v>79</v>
      </c>
      <c r="AV1146" t="s">
        <v>60</v>
      </c>
      <c r="AW1146">
        <v>0</v>
      </c>
      <c r="AX1146">
        <v>3</v>
      </c>
      <c r="AY1146">
        <v>0</v>
      </c>
      <c r="AZ1146">
        <v>0</v>
      </c>
      <c r="BA1146">
        <v>100</v>
      </c>
      <c r="BB1146">
        <v>100</v>
      </c>
      <c r="BC1146">
        <v>100</v>
      </c>
      <c r="BD1146">
        <v>100</v>
      </c>
      <c r="BE1146">
        <v>1</v>
      </c>
      <c r="BF1146">
        <v>15000</v>
      </c>
      <c r="BG1146">
        <v>1000</v>
      </c>
      <c r="BH1146" s="6">
        <f>Grandview_Inventory[[#This Row],[land_extract]]*Lookups!$B$3</f>
        <v>39865.326192247165</v>
      </c>
      <c r="BI1146" s="6">
        <f>IF(Grandview_Inventory[[#This Row],[bldg_style]]="",0,Lookups!$B$2)</f>
        <v>155833.95000000001</v>
      </c>
      <c r="BJ1146" s="6">
        <f>_xlfn.IFNA(VLOOKUP(Grandview_Inventory[[#This Row],[quality]],Lookups!$H$2:$J$14,3,FALSE),0)</f>
        <v>10733</v>
      </c>
      <c r="BK1146" s="6">
        <f>_xlfn.IFNA(VLOOKUP(Grandview_Inventory[[#This Row],[condition]],Lookups!$H$17:$J$24,3,FALSE),0)</f>
        <v>-4503</v>
      </c>
      <c r="BL1146" s="6">
        <f>Grandview_Inventory[[#This Row],[Eff_Age]]*Lookups!$B$14</f>
        <v>-12675.8298</v>
      </c>
      <c r="BM1146" s="6">
        <f>Grandview_Inventory[[#This Row],[living_area]]*Lookups!$B$15</f>
        <v>89079.858084000007</v>
      </c>
      <c r="BN1146" s="6">
        <f>Grandview_Inventory[[#This Row],[Fin BSMT]]*Lookups!$B$16</f>
        <v>0</v>
      </c>
      <c r="BO1146" s="6">
        <f>(Grandview_Inventory[[#This Row],[att_gar]]+Grandview_Inventory[[#This Row],[bltin_gar]])*Lookups!$B$17</f>
        <v>0</v>
      </c>
      <c r="BP1146" s="6">
        <f>Grandview_Inventory[[#This Row],[Plumbing Fixtures]]*Lookups!$B$18</f>
        <v>10052.209000000001</v>
      </c>
      <c r="BQ1146" s="6">
        <f>Grandview_Inventory[[#This Row],[detatched_value]]*Lookups!$B$19</f>
        <v>0</v>
      </c>
      <c r="BR1146" s="6">
        <f>SUM(Grandview_Inventory[[#This Row],[Intercept]:[det_value]])*Grandview_Inventory[[#This Row],[res_pct]]</f>
        <v>248520.18728400001</v>
      </c>
      <c r="BS1146" s="6">
        <f>Grandview_Inventory[[#This Row],[land_value]]</f>
        <v>39865.326192247165</v>
      </c>
      <c r="BT1146" s="4">
        <f>_xlfn.IFNA(VLOOKUP(Grandview_Inventory[[#This Row],[quality]],Lookups!$A$26:$C$33,3,FALSE),1)</f>
        <v>0.98079741117310582</v>
      </c>
      <c r="BU1146" s="4">
        <f>_xlfn.IFNA(VLOOKUP(Grandview_Inventory[[#This Row],[condition]],Lookups!$A$37:$C$44,3,FALSE),1)</f>
        <v>0.96469275950863709</v>
      </c>
      <c r="BV1146" s="4">
        <f>IF(Grandview_Inventory[[#This Row],[bldg_style]]="",1,_xlfn.IFNA(VLOOKUP(Grandview_Inventory[[#This Row],[decade]],Lookups!$F$29:$H$43,3,FALSE),1))</f>
        <v>0.95244691841736806</v>
      </c>
      <c r="BW1146" s="4">
        <f>_xlfn.IFNA(VLOOKUP(Grandview_Inventory[[#This Row],[living_area_range]],Lookups!$F$47:$H$56,3,FALSE),1)</f>
        <v>0.96135087979789358</v>
      </c>
      <c r="BX1146" s="4">
        <f>AVERAGE(Grandview_Inventory[[#This Row],[qual_adj]:[size_adj]])</f>
        <v>0.96482199222425113</v>
      </c>
      <c r="BY1146" s="6">
        <f>IF(Grandview_Inventory[[#This Row],[pre_res]]&lt;0,0,Grandview_Inventory[[#This Row],[pre_res]]*Grandview_Inventory[[#This Row],[overall_adj]])</f>
        <v>239777.7422032929</v>
      </c>
      <c r="BZ1146" s="6">
        <f>(Grandview_Inventory[[#This Row],[sum_land]]-IF(Grandview_Inventory[[#This Row],[no_utilities]]=1,12000,0))/IF(Grandview_Inventory[[#This Row],[unbuildable]]=1,2,1)</f>
        <v>39865.326192247165</v>
      </c>
      <c r="CA1146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146">
        <f>ROUND(Grandview_Inventory[[#This Row],[det_value]]*Lookups!$M$28,-2)</f>
        <v>0</v>
      </c>
      <c r="CC1146">
        <f>IF(ROUND(Grandview_Inventory[[#This Row],[adj_res]]*Lookups!$M$28,-2)&lt;Grandview_Inventory[[#This Row],[min_res]],Grandview_Inventory[[#This Row],[min_res]],ROUND(Grandview_Inventory[[#This Row],[adj_res]]*Lookups!$M$28,-2))</f>
        <v>227800</v>
      </c>
      <c r="CD1146">
        <f>Grandview_Inventory[[#This Row],[final_det]]+Grandview_Inventory[[#This Row],[final_res]]</f>
        <v>227800</v>
      </c>
      <c r="CE1146">
        <f>Grandview_Inventory[[#This Row],[final_land]]+Grandview_Inventory[[#This Row],[final_imp]]+Grandview_Inventory[[#This Row],[crop_value]]</f>
        <v>265700</v>
      </c>
      <c r="CG1146" t="str">
        <f t="shared" si="17"/>
        <v>update valuation set market_land =37900, market_bldg=227800, market_total =265700, market_mdno =401, market_date ='9/10/2023' where link_id = (select link_id from parcel where parcel_year = '2024' and parcel_id = '23092243401');</v>
      </c>
    </row>
    <row r="1147" spans="1:85" x14ac:dyDescent="0.25">
      <c r="A1147">
        <v>23092243403</v>
      </c>
      <c r="B1147">
        <v>0.18</v>
      </c>
      <c r="C1147">
        <v>7739</v>
      </c>
      <c r="D1147" t="s">
        <v>129</v>
      </c>
      <c r="E1147" t="s">
        <v>53</v>
      </c>
      <c r="F1147" t="s">
        <v>53</v>
      </c>
      <c r="G1147">
        <v>4</v>
      </c>
      <c r="H1147" t="s">
        <v>54</v>
      </c>
      <c r="I1147">
        <v>129900</v>
      </c>
      <c r="J1147">
        <v>43100</v>
      </c>
      <c r="K1147">
        <v>0.18</v>
      </c>
      <c r="L114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47">
        <v>0</v>
      </c>
      <c r="N1147">
        <v>0</v>
      </c>
      <c r="O1147">
        <v>0</v>
      </c>
      <c r="P1147">
        <v>13398.7528</v>
      </c>
      <c r="Q1147">
        <v>63903</v>
      </c>
      <c r="R1147">
        <f>(Grandview_Inventory[[#This Row],[ln_acres]]*Grandview_Inventory[[#This Row],[coeff]])+Grandview_Inventory[[#This Row],[const]]</f>
        <v>40926.839760167699</v>
      </c>
      <c r="S1147" t="s">
        <v>68</v>
      </c>
      <c r="T1147">
        <v>1</v>
      </c>
      <c r="U1147" t="s">
        <v>65</v>
      </c>
      <c r="V1147" t="s">
        <v>78</v>
      </c>
      <c r="W1147">
        <v>0</v>
      </c>
      <c r="X1147">
        <v>0</v>
      </c>
      <c r="Y1147">
        <v>49</v>
      </c>
      <c r="Z1147">
        <v>68</v>
      </c>
      <c r="AA1147">
        <v>70</v>
      </c>
      <c r="AB1147">
        <v>2500</v>
      </c>
      <c r="AC1147">
        <v>2240</v>
      </c>
      <c r="AD1147">
        <v>1382</v>
      </c>
      <c r="AE1147">
        <v>0</v>
      </c>
      <c r="AF1147">
        <v>0</v>
      </c>
      <c r="AG1147">
        <v>858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288</v>
      </c>
      <c r="AN1147">
        <v>0</v>
      </c>
      <c r="AO1147">
        <v>288</v>
      </c>
      <c r="AP1147">
        <v>9</v>
      </c>
      <c r="AQ1147">
        <v>1</v>
      </c>
      <c r="AR1147">
        <v>0</v>
      </c>
      <c r="AS1147" t="s">
        <v>58</v>
      </c>
      <c r="AT1147">
        <v>1</v>
      </c>
      <c r="AU1147" t="s">
        <v>63</v>
      </c>
      <c r="AV1147" t="s">
        <v>64</v>
      </c>
      <c r="AW1147">
        <v>0</v>
      </c>
      <c r="AX1147">
        <v>3</v>
      </c>
      <c r="AY1147">
        <v>0</v>
      </c>
      <c r="AZ1147">
        <v>0</v>
      </c>
      <c r="BA1147">
        <v>100</v>
      </c>
      <c r="BB1147">
        <v>100</v>
      </c>
      <c r="BC1147">
        <v>100</v>
      </c>
      <c r="BD1147">
        <v>100</v>
      </c>
      <c r="BE1147">
        <v>1</v>
      </c>
      <c r="BF1147">
        <v>15000</v>
      </c>
      <c r="BG1147">
        <v>1000</v>
      </c>
      <c r="BH1147" s="6">
        <f>Grandview_Inventory[[#This Row],[land_extract]]*Lookups!$B$3</f>
        <v>47528.228511015397</v>
      </c>
      <c r="BI1147" s="6">
        <f>IF(Grandview_Inventory[[#This Row],[bldg_style]]="",0,Lookups!$B$2)</f>
        <v>155833.95000000001</v>
      </c>
      <c r="BJ1147" s="6">
        <f>_xlfn.IFNA(VLOOKUP(Grandview_Inventory[[#This Row],[quality]],Lookups!$H$2:$J$14,3,FALSE),0)</f>
        <v>2251</v>
      </c>
      <c r="BK1147" s="6">
        <f>_xlfn.IFNA(VLOOKUP(Grandview_Inventory[[#This Row],[condition]],Lookups!$H$17:$J$24,3,FALSE),0)</f>
        <v>-45357</v>
      </c>
      <c r="BL1147" s="6">
        <f>Grandview_Inventory[[#This Row],[Eff_Age]]*Lookups!$B$14</f>
        <v>-11719.163399999999</v>
      </c>
      <c r="BM1147" s="6">
        <f>Grandview_Inventory[[#This Row],[living_area]]*Lookups!$B$15</f>
        <v>139733.11072</v>
      </c>
      <c r="BN1147" s="6">
        <f>Grandview_Inventory[[#This Row],[Fin BSMT]]*Lookups!$B$16</f>
        <v>-23251.147920000003</v>
      </c>
      <c r="BO1147" s="6">
        <f>(Grandview_Inventory[[#This Row],[att_gar]]+Grandview_Inventory[[#This Row],[bltin_gar]])*Lookups!$B$17</f>
        <v>0</v>
      </c>
      <c r="BP1147" s="6">
        <f>Grandview_Inventory[[#This Row],[Plumbing Fixtures]]*Lookups!$B$18</f>
        <v>18093.976200000001</v>
      </c>
      <c r="BQ1147" s="6">
        <f>Grandview_Inventory[[#This Row],[detatched_value]]*Lookups!$B$19</f>
        <v>0</v>
      </c>
      <c r="BR1147" s="6">
        <f>SUM(Grandview_Inventory[[#This Row],[Intercept]:[det_value]])*Grandview_Inventory[[#This Row],[res_pct]]</f>
        <v>235584.72559999998</v>
      </c>
      <c r="BS1147" s="6">
        <f>Grandview_Inventory[[#This Row],[land_value]]</f>
        <v>47528.228511015397</v>
      </c>
      <c r="BT1147" s="4">
        <f>_xlfn.IFNA(VLOOKUP(Grandview_Inventory[[#This Row],[quality]],Lookups!$A$26:$C$33,3,FALSE),1)</f>
        <v>0.98763855981004833</v>
      </c>
      <c r="BU1147" s="4">
        <f>_xlfn.IFNA(VLOOKUP(Grandview_Inventory[[#This Row],[condition]],Lookups!$A$37:$C$44,3,FALSE),1)</f>
        <v>0.97161819570155394</v>
      </c>
      <c r="BV1147" s="4">
        <f>IF(Grandview_Inventory[[#This Row],[bldg_style]]="",1,_xlfn.IFNA(VLOOKUP(Grandview_Inventory[[#This Row],[decade]],Lookups!$F$29:$H$43,3,FALSE),1))</f>
        <v>0.99472141305414818</v>
      </c>
      <c r="BW1147" s="4">
        <f>_xlfn.IFNA(VLOOKUP(Grandview_Inventory[[#This Row],[living_area_range]],Lookups!$F$47:$H$56,3,FALSE),1)</f>
        <v>0.95799442568048754</v>
      </c>
      <c r="BX1147" s="4">
        <f>AVERAGE(Grandview_Inventory[[#This Row],[qual_adj]:[size_adj]])</f>
        <v>0.9779931485615595</v>
      </c>
      <c r="BY1147" s="6">
        <f>IF(Grandview_Inventory[[#This Row],[pre_res]]&lt;0,0,Grandview_Inventory[[#This Row],[pre_res]]*Grandview_Inventory[[#This Row],[overall_adj]])</f>
        <v>230400.24754255501</v>
      </c>
      <c r="BZ1147" s="6">
        <f>(Grandview_Inventory[[#This Row],[sum_land]]-IF(Grandview_Inventory[[#This Row],[no_utilities]]=1,12000,0))/IF(Grandview_Inventory[[#This Row],[unbuildable]]=1,2,1)</f>
        <v>47528.228511015397</v>
      </c>
      <c r="CA114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47">
        <f>ROUND(Grandview_Inventory[[#This Row],[det_value]]*Lookups!$M$28,-2)</f>
        <v>0</v>
      </c>
      <c r="CC1147">
        <f>IF(ROUND(Grandview_Inventory[[#This Row],[adj_res]]*Lookups!$M$28,-2)&lt;Grandview_Inventory[[#This Row],[min_res]],Grandview_Inventory[[#This Row],[min_res]],ROUND(Grandview_Inventory[[#This Row],[adj_res]]*Lookups!$M$28,-2))</f>
        <v>218900</v>
      </c>
      <c r="CD1147">
        <f>Grandview_Inventory[[#This Row],[final_det]]+Grandview_Inventory[[#This Row],[final_res]]</f>
        <v>218900</v>
      </c>
      <c r="CE1147">
        <f>Grandview_Inventory[[#This Row],[final_land]]+Grandview_Inventory[[#This Row],[final_imp]]+Grandview_Inventory[[#This Row],[crop_value]]</f>
        <v>264100</v>
      </c>
      <c r="CG1147" t="str">
        <f t="shared" si="17"/>
        <v>update valuation set market_land =45200, market_bldg=218900, market_total =264100, market_mdno =401, market_date ='9/10/2023' where link_id = (select link_id from parcel where parcel_year = '2024' and parcel_id = '23092243403');</v>
      </c>
    </row>
    <row r="1148" spans="1:85" x14ac:dyDescent="0.25">
      <c r="A1148">
        <v>23092243404</v>
      </c>
      <c r="B1148">
        <v>0.19</v>
      </c>
      <c r="C1148">
        <v>8352</v>
      </c>
      <c r="D1148" t="s">
        <v>129</v>
      </c>
      <c r="E1148" t="s">
        <v>53</v>
      </c>
      <c r="F1148" t="s">
        <v>53</v>
      </c>
      <c r="G1148">
        <v>4</v>
      </c>
      <c r="H1148" t="s">
        <v>54</v>
      </c>
      <c r="I1148">
        <v>145300</v>
      </c>
      <c r="J1148">
        <v>43500</v>
      </c>
      <c r="K1148">
        <v>0.19</v>
      </c>
      <c r="L114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148">
        <v>0</v>
      </c>
      <c r="N1148">
        <v>0</v>
      </c>
      <c r="O1148">
        <v>0</v>
      </c>
      <c r="P1148">
        <v>13398.7528</v>
      </c>
      <c r="Q1148">
        <v>63903</v>
      </c>
      <c r="R1148">
        <f>(Grandview_Inventory[[#This Row],[ln_acres]]*Grandview_Inventory[[#This Row],[coeff]])+Grandview_Inventory[[#This Row],[const]]</f>
        <v>41651.273092551026</v>
      </c>
      <c r="S1148" t="s">
        <v>61</v>
      </c>
      <c r="T1148">
        <v>1</v>
      </c>
      <c r="U1148" t="s">
        <v>65</v>
      </c>
      <c r="V1148" t="s">
        <v>69</v>
      </c>
      <c r="W1148">
        <v>0</v>
      </c>
      <c r="X1148">
        <v>0</v>
      </c>
      <c r="Y1148">
        <v>50</v>
      </c>
      <c r="Z1148">
        <v>71</v>
      </c>
      <c r="AA1148">
        <v>80</v>
      </c>
      <c r="AB1148">
        <v>1500</v>
      </c>
      <c r="AC1148">
        <v>1352</v>
      </c>
      <c r="AD1148">
        <v>1352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180</v>
      </c>
      <c r="AN1148">
        <v>0</v>
      </c>
      <c r="AO1148">
        <v>180</v>
      </c>
      <c r="AP1148">
        <v>5</v>
      </c>
      <c r="AQ1148">
        <v>0</v>
      </c>
      <c r="AR1148">
        <v>0</v>
      </c>
      <c r="AS1148" t="s">
        <v>58</v>
      </c>
      <c r="AT1148">
        <v>1</v>
      </c>
      <c r="AU1148" t="s">
        <v>63</v>
      </c>
      <c r="AV1148" t="s">
        <v>64</v>
      </c>
      <c r="AW1148">
        <v>1</v>
      </c>
      <c r="AX1148">
        <v>4</v>
      </c>
      <c r="AY1148">
        <v>0</v>
      </c>
      <c r="AZ1148">
        <v>0</v>
      </c>
      <c r="BA1148">
        <v>100</v>
      </c>
      <c r="BB1148">
        <v>100</v>
      </c>
      <c r="BC1148">
        <v>100</v>
      </c>
      <c r="BD1148">
        <v>100</v>
      </c>
      <c r="BE1148">
        <v>1</v>
      </c>
      <c r="BF1148">
        <v>15000</v>
      </c>
      <c r="BG1148">
        <v>1000</v>
      </c>
      <c r="BH1148" s="6">
        <f>Grandview_Inventory[[#This Row],[land_extract]]*Lookups!$B$3</f>
        <v>48369.510983942157</v>
      </c>
      <c r="BI1148" s="6">
        <f>IF(Grandview_Inventory[[#This Row],[bldg_style]]="",0,Lookups!$B$2)</f>
        <v>155833.95000000001</v>
      </c>
      <c r="BJ1148" s="6">
        <f>_xlfn.IFNA(VLOOKUP(Grandview_Inventory[[#This Row],[quality]],Lookups!$H$2:$J$14,3,FALSE),0)</f>
        <v>2251</v>
      </c>
      <c r="BK1148" s="6">
        <f>_xlfn.IFNA(VLOOKUP(Grandview_Inventory[[#This Row],[condition]],Lookups!$H$17:$J$24,3,FALSE),0)</f>
        <v>-4503</v>
      </c>
      <c r="BL1148" s="6">
        <f>Grandview_Inventory[[#This Row],[Eff_Age]]*Lookups!$B$14</f>
        <v>-11958.33</v>
      </c>
      <c r="BM1148" s="6">
        <f>Grandview_Inventory[[#This Row],[living_area]]*Lookups!$B$15</f>
        <v>84338.913256</v>
      </c>
      <c r="BN1148" s="6">
        <f>Grandview_Inventory[[#This Row],[Fin BSMT]]*Lookups!$B$16</f>
        <v>0</v>
      </c>
      <c r="BO1148" s="6">
        <f>(Grandview_Inventory[[#This Row],[att_gar]]+Grandview_Inventory[[#This Row],[bltin_gar]])*Lookups!$B$17</f>
        <v>0</v>
      </c>
      <c r="BP1148" s="6">
        <f>Grandview_Inventory[[#This Row],[Plumbing Fixtures]]*Lookups!$B$18</f>
        <v>10052.209000000001</v>
      </c>
      <c r="BQ1148" s="6">
        <f>Grandview_Inventory[[#This Row],[detatched_value]]*Lookups!$B$19</f>
        <v>0</v>
      </c>
      <c r="BR1148" s="6">
        <f>SUM(Grandview_Inventory[[#This Row],[Intercept]:[det_value]])*Grandview_Inventory[[#This Row],[res_pct]]</f>
        <v>236014.74225600003</v>
      </c>
      <c r="BS1148" s="6">
        <f>Grandview_Inventory[[#This Row],[land_value]]</f>
        <v>48369.510983942157</v>
      </c>
      <c r="BT1148" s="4">
        <f>_xlfn.IFNA(VLOOKUP(Grandview_Inventory[[#This Row],[quality]],Lookups!$A$26:$C$33,3,FALSE),1)</f>
        <v>0.98763855981004833</v>
      </c>
      <c r="BU1148" s="4">
        <f>_xlfn.IFNA(VLOOKUP(Grandview_Inventory[[#This Row],[condition]],Lookups!$A$37:$C$44,3,FALSE),1)</f>
        <v>0.96469275950863709</v>
      </c>
      <c r="BV1148" s="4">
        <f>IF(Grandview_Inventory[[#This Row],[bldg_style]]="",1,_xlfn.IFNA(VLOOKUP(Grandview_Inventory[[#This Row],[decade]],Lookups!$F$29:$H$43,3,FALSE),1))</f>
        <v>0.98763256963907298</v>
      </c>
      <c r="BW1148" s="4">
        <f>_xlfn.IFNA(VLOOKUP(Grandview_Inventory[[#This Row],[living_area_range]],Lookups!$F$47:$H$56,3,FALSE),1)</f>
        <v>0.96135087979789358</v>
      </c>
      <c r="BX1148" s="4">
        <f>AVERAGE(Grandview_Inventory[[#This Row],[qual_adj]:[size_adj]])</f>
        <v>0.97532869218891294</v>
      </c>
      <c r="BY1148" s="6">
        <f>IF(Grandview_Inventory[[#This Row],[pre_res]]&lt;0,0,Grandview_Inventory[[#This Row],[pre_res]]*Grandview_Inventory[[#This Row],[overall_adj]])</f>
        <v>230191.94990184787</v>
      </c>
      <c r="BZ1148" s="6">
        <f>(Grandview_Inventory[[#This Row],[sum_land]]-IF(Grandview_Inventory[[#This Row],[no_utilities]]=1,12000,0))/IF(Grandview_Inventory[[#This Row],[unbuildable]]=1,2,1)</f>
        <v>48369.510983942157</v>
      </c>
      <c r="CA114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148">
        <f>ROUND(Grandview_Inventory[[#This Row],[det_value]]*Lookups!$M$28,-2)</f>
        <v>0</v>
      </c>
      <c r="CC1148">
        <f>IF(ROUND(Grandview_Inventory[[#This Row],[adj_res]]*Lookups!$M$28,-2)&lt;Grandview_Inventory[[#This Row],[min_res]],Grandview_Inventory[[#This Row],[min_res]],ROUND(Grandview_Inventory[[#This Row],[adj_res]]*Lookups!$M$28,-2))</f>
        <v>218700</v>
      </c>
      <c r="CD1148">
        <f>Grandview_Inventory[[#This Row],[final_det]]+Grandview_Inventory[[#This Row],[final_res]]</f>
        <v>218700</v>
      </c>
      <c r="CE1148">
        <f>Grandview_Inventory[[#This Row],[final_land]]+Grandview_Inventory[[#This Row],[final_imp]]+Grandview_Inventory[[#This Row],[crop_value]]</f>
        <v>264700</v>
      </c>
      <c r="CG1148" t="str">
        <f t="shared" si="17"/>
        <v>update valuation set market_land =46000, market_bldg=218700, market_total =264700, market_mdno =401, market_date ='9/10/2023' where link_id = (select link_id from parcel where parcel_year = '2024' and parcel_id = '23092243404');</v>
      </c>
    </row>
    <row r="1149" spans="1:85" x14ac:dyDescent="0.25">
      <c r="A1149">
        <v>23092243406</v>
      </c>
      <c r="B1149">
        <v>0.17</v>
      </c>
      <c r="C1149">
        <v>7481</v>
      </c>
      <c r="D1149" t="s">
        <v>129</v>
      </c>
      <c r="E1149" t="s">
        <v>53</v>
      </c>
      <c r="F1149" t="s">
        <v>53</v>
      </c>
      <c r="G1149">
        <v>4</v>
      </c>
      <c r="H1149" t="s">
        <v>54</v>
      </c>
      <c r="I1149">
        <v>105700</v>
      </c>
      <c r="J1149">
        <v>38800</v>
      </c>
      <c r="K1149">
        <v>0.17</v>
      </c>
      <c r="L114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149">
        <v>0</v>
      </c>
      <c r="N1149">
        <v>0</v>
      </c>
      <c r="O1149">
        <v>0</v>
      </c>
      <c r="P1149">
        <v>13398.7528</v>
      </c>
      <c r="Q1149">
        <v>63903</v>
      </c>
      <c r="R1149">
        <f>(Grandview_Inventory[[#This Row],[ln_acres]]*Grandview_Inventory[[#This Row],[coeff]])+Grandview_Inventory[[#This Row],[const]]</f>
        <v>40160.988302686128</v>
      </c>
      <c r="S1149" t="s">
        <v>68</v>
      </c>
      <c r="T1149">
        <v>1</v>
      </c>
      <c r="U1149" t="s">
        <v>80</v>
      </c>
      <c r="V1149" t="s">
        <v>69</v>
      </c>
      <c r="W1149">
        <v>0</v>
      </c>
      <c r="X1149">
        <v>0</v>
      </c>
      <c r="Y1149">
        <v>49</v>
      </c>
      <c r="Z1149">
        <v>68</v>
      </c>
      <c r="AA1149">
        <v>70</v>
      </c>
      <c r="AB1149">
        <v>1500</v>
      </c>
      <c r="AC1149">
        <v>1252</v>
      </c>
      <c r="AD1149">
        <v>720</v>
      </c>
      <c r="AE1149">
        <v>0</v>
      </c>
      <c r="AF1149">
        <v>0</v>
      </c>
      <c r="AG1149">
        <v>532</v>
      </c>
      <c r="AH1149">
        <v>8</v>
      </c>
      <c r="AI1149">
        <v>0</v>
      </c>
      <c r="AJ1149">
        <v>0</v>
      </c>
      <c r="AK1149">
        <v>0</v>
      </c>
      <c r="AL1149">
        <v>0</v>
      </c>
      <c r="AM1149">
        <v>237</v>
      </c>
      <c r="AN1149">
        <v>0</v>
      </c>
      <c r="AO1149">
        <v>231</v>
      </c>
      <c r="AP1149">
        <v>5</v>
      </c>
      <c r="AQ1149">
        <v>0</v>
      </c>
      <c r="AR1149">
        <v>0</v>
      </c>
      <c r="AS1149" t="s">
        <v>58</v>
      </c>
      <c r="AT1149">
        <v>1</v>
      </c>
      <c r="AU1149" t="s">
        <v>63</v>
      </c>
      <c r="AV1149" t="s">
        <v>60</v>
      </c>
      <c r="AW1149">
        <v>0</v>
      </c>
      <c r="AX1149">
        <v>2</v>
      </c>
      <c r="AY1149">
        <v>0</v>
      </c>
      <c r="AZ1149">
        <v>4700</v>
      </c>
      <c r="BA1149">
        <v>100</v>
      </c>
      <c r="BB1149">
        <v>100</v>
      </c>
      <c r="BC1149">
        <v>100</v>
      </c>
      <c r="BD1149">
        <v>100</v>
      </c>
      <c r="BE1149">
        <v>1</v>
      </c>
      <c r="BF1149">
        <v>15000</v>
      </c>
      <c r="BG1149">
        <v>1000</v>
      </c>
      <c r="BH1149" s="6">
        <f>Grandview_Inventory[[#This Row],[land_extract]]*Lookups!$B$3</f>
        <v>46638.847281240982</v>
      </c>
      <c r="BI1149" s="6">
        <f>IF(Grandview_Inventory[[#This Row],[bldg_style]]="",0,Lookups!$B$2)</f>
        <v>155833.95000000001</v>
      </c>
      <c r="BJ1149" s="6">
        <f>_xlfn.IFNA(VLOOKUP(Grandview_Inventory[[#This Row],[quality]],Lookups!$H$2:$J$14,3,FALSE),0)</f>
        <v>-28558</v>
      </c>
      <c r="BK1149" s="6">
        <f>_xlfn.IFNA(VLOOKUP(Grandview_Inventory[[#This Row],[condition]],Lookups!$H$17:$J$24,3,FALSE),0)</f>
        <v>-4503</v>
      </c>
      <c r="BL1149" s="6">
        <f>Grandview_Inventory[[#This Row],[Eff_Age]]*Lookups!$B$14</f>
        <v>-11719.163399999999</v>
      </c>
      <c r="BM1149" s="6">
        <f>Grandview_Inventory[[#This Row],[living_area]]*Lookups!$B$15</f>
        <v>78100.827956000008</v>
      </c>
      <c r="BN1149" s="6">
        <f>Grandview_Inventory[[#This Row],[Fin BSMT]]*Lookups!$B$16</f>
        <v>-14416.795680000001</v>
      </c>
      <c r="BO1149" s="6">
        <f>(Grandview_Inventory[[#This Row],[att_gar]]+Grandview_Inventory[[#This Row],[bltin_gar]])*Lookups!$B$17</f>
        <v>0</v>
      </c>
      <c r="BP1149" s="6">
        <f>Grandview_Inventory[[#This Row],[Plumbing Fixtures]]*Lookups!$B$18</f>
        <v>10052.209000000001</v>
      </c>
      <c r="BQ1149" s="6">
        <f>Grandview_Inventory[[#This Row],[detatched_value]]*Lookups!$B$19</f>
        <v>3979.9839699999998</v>
      </c>
      <c r="BR1149" s="6">
        <f>SUM(Grandview_Inventory[[#This Row],[Intercept]:[det_value]])*Grandview_Inventory[[#This Row],[res_pct]]</f>
        <v>188770.01184600001</v>
      </c>
      <c r="BS1149" s="6">
        <f>Grandview_Inventory[[#This Row],[land_value]]</f>
        <v>46638.847281240982</v>
      </c>
      <c r="BT1149" s="4">
        <f>_xlfn.IFNA(VLOOKUP(Grandview_Inventory[[#This Row],[quality]],Lookups!$A$26:$C$33,3,FALSE),1)</f>
        <v>0.9690360070159818</v>
      </c>
      <c r="BU1149" s="4">
        <f>_xlfn.IFNA(VLOOKUP(Grandview_Inventory[[#This Row],[condition]],Lookups!$A$37:$C$44,3,FALSE),1)</f>
        <v>0.96469275950863709</v>
      </c>
      <c r="BV1149" s="4">
        <f>IF(Grandview_Inventory[[#This Row],[bldg_style]]="",1,_xlfn.IFNA(VLOOKUP(Grandview_Inventory[[#This Row],[decade]],Lookups!$F$29:$H$43,3,FALSE),1))</f>
        <v>0.99472141305414818</v>
      </c>
      <c r="BW1149" s="4">
        <f>_xlfn.IFNA(VLOOKUP(Grandview_Inventory[[#This Row],[living_area_range]],Lookups!$F$47:$H$56,3,FALSE),1)</f>
        <v>0.96135087979789358</v>
      </c>
      <c r="BX1149" s="4">
        <f>AVERAGE(Grandview_Inventory[[#This Row],[qual_adj]:[size_adj]])</f>
        <v>0.97245026484416508</v>
      </c>
      <c r="BY1149" s="6">
        <f>IF(Grandview_Inventory[[#This Row],[pre_res]]&lt;0,0,Grandview_Inventory[[#This Row],[pre_res]]*Grandview_Inventory[[#This Row],[overall_adj]])</f>
        <v>183569.4480142789</v>
      </c>
      <c r="BZ1149" s="6">
        <f>(Grandview_Inventory[[#This Row],[sum_land]]-IF(Grandview_Inventory[[#This Row],[no_utilities]]=1,12000,0))/IF(Grandview_Inventory[[#This Row],[unbuildable]]=1,2,1)</f>
        <v>46638.847281240982</v>
      </c>
      <c r="CA114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149">
        <f>ROUND(Grandview_Inventory[[#This Row],[det_value]]*Lookups!$M$28,-2)</f>
        <v>3800</v>
      </c>
      <c r="CC1149">
        <f>IF(ROUND(Grandview_Inventory[[#This Row],[adj_res]]*Lookups!$M$28,-2)&lt;Grandview_Inventory[[#This Row],[min_res]],Grandview_Inventory[[#This Row],[min_res]],ROUND(Grandview_Inventory[[#This Row],[adj_res]]*Lookups!$M$28,-2))</f>
        <v>174400</v>
      </c>
      <c r="CD1149">
        <f>Grandview_Inventory[[#This Row],[final_det]]+Grandview_Inventory[[#This Row],[final_res]]</f>
        <v>178200</v>
      </c>
      <c r="CE1149">
        <f>Grandview_Inventory[[#This Row],[final_land]]+Grandview_Inventory[[#This Row],[final_imp]]+Grandview_Inventory[[#This Row],[crop_value]]</f>
        <v>222500</v>
      </c>
      <c r="CG1149" t="str">
        <f t="shared" si="17"/>
        <v>update valuation set market_land =44300, market_bldg=178200, market_total =222500, market_mdno =401, market_date ='9/10/2023' where link_id = (select link_id from parcel where parcel_year = '2024' and parcel_id = '23092243406');</v>
      </c>
    </row>
    <row r="1150" spans="1:85" x14ac:dyDescent="0.25">
      <c r="A1150">
        <v>23092243407</v>
      </c>
      <c r="B1150">
        <v>0.36</v>
      </c>
      <c r="C1150">
        <v>15477</v>
      </c>
      <c r="D1150" t="s">
        <v>129</v>
      </c>
      <c r="E1150" t="s">
        <v>53</v>
      </c>
      <c r="F1150" t="s">
        <v>53</v>
      </c>
      <c r="G1150">
        <v>4</v>
      </c>
      <c r="H1150" t="s">
        <v>54</v>
      </c>
      <c r="I1150">
        <v>212200</v>
      </c>
      <c r="J1150">
        <v>41100</v>
      </c>
      <c r="K1150">
        <v>0.36</v>
      </c>
      <c r="L1150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150">
        <v>0</v>
      </c>
      <c r="N1150">
        <v>0</v>
      </c>
      <c r="O1150">
        <v>0</v>
      </c>
      <c r="P1150">
        <v>13398.7528</v>
      </c>
      <c r="Q1150">
        <v>63903</v>
      </c>
      <c r="R1150">
        <f>(Grandview_Inventory[[#This Row],[ln_acres]]*Grandview_Inventory[[#This Row],[coeff]])+Grandview_Inventory[[#This Row],[const]]</f>
        <v>50214.147486507369</v>
      </c>
      <c r="S1150" t="s">
        <v>61</v>
      </c>
      <c r="T1150">
        <v>1</v>
      </c>
      <c r="U1150" t="s">
        <v>65</v>
      </c>
      <c r="V1150" t="s">
        <v>67</v>
      </c>
      <c r="W1150">
        <v>0</v>
      </c>
      <c r="X1150">
        <v>0</v>
      </c>
      <c r="Y1150">
        <v>49</v>
      </c>
      <c r="Z1150">
        <v>65</v>
      </c>
      <c r="AA1150">
        <v>70</v>
      </c>
      <c r="AB1150">
        <v>2000</v>
      </c>
      <c r="AC1150">
        <v>1890</v>
      </c>
      <c r="AD1150">
        <v>1270</v>
      </c>
      <c r="AE1150">
        <v>0</v>
      </c>
      <c r="AF1150">
        <v>0</v>
      </c>
      <c r="AG1150">
        <v>620</v>
      </c>
      <c r="AH1150">
        <v>0</v>
      </c>
      <c r="AI1150">
        <v>216</v>
      </c>
      <c r="AJ1150">
        <v>0</v>
      </c>
      <c r="AK1150">
        <v>0</v>
      </c>
      <c r="AL1150">
        <v>0</v>
      </c>
      <c r="AM1150">
        <v>212</v>
      </c>
      <c r="AN1150">
        <v>0</v>
      </c>
      <c r="AO1150">
        <v>0</v>
      </c>
      <c r="AP1150">
        <v>5</v>
      </c>
      <c r="AQ1150">
        <v>0</v>
      </c>
      <c r="AR1150">
        <v>0</v>
      </c>
      <c r="AS1150" t="s">
        <v>58</v>
      </c>
      <c r="AT1150">
        <v>1</v>
      </c>
      <c r="AU1150" t="s">
        <v>63</v>
      </c>
      <c r="AV1150" t="s">
        <v>60</v>
      </c>
      <c r="AW1150">
        <v>1</v>
      </c>
      <c r="AX1150">
        <v>3</v>
      </c>
      <c r="AY1150">
        <v>0</v>
      </c>
      <c r="AZ1150">
        <v>0</v>
      </c>
      <c r="BA1150">
        <v>100</v>
      </c>
      <c r="BB1150">
        <v>100</v>
      </c>
      <c r="BC1150">
        <v>100</v>
      </c>
      <c r="BD1150">
        <v>100</v>
      </c>
      <c r="BE1150">
        <v>1</v>
      </c>
      <c r="BF1150">
        <v>15000</v>
      </c>
      <c r="BG1150">
        <v>1000</v>
      </c>
      <c r="BH1150" s="6">
        <f>Grandview_Inventory[[#This Row],[land_extract]]*Lookups!$B$3</f>
        <v>58313.55389788279</v>
      </c>
      <c r="BI1150" s="6">
        <f>IF(Grandview_Inventory[[#This Row],[bldg_style]]="",0,Lookups!$B$2)</f>
        <v>155833.95000000001</v>
      </c>
      <c r="BJ1150" s="6">
        <f>_xlfn.IFNA(VLOOKUP(Grandview_Inventory[[#This Row],[quality]],Lookups!$H$2:$J$14,3,FALSE),0)</f>
        <v>2251</v>
      </c>
      <c r="BK1150" s="6">
        <f>_xlfn.IFNA(VLOOKUP(Grandview_Inventory[[#This Row],[condition]],Lookups!$H$17:$J$24,3,FALSE),0)</f>
        <v>22342</v>
      </c>
      <c r="BL1150" s="6">
        <f>Grandview_Inventory[[#This Row],[Eff_Age]]*Lookups!$B$14</f>
        <v>-11719.163399999999</v>
      </c>
      <c r="BM1150" s="6">
        <f>Grandview_Inventory[[#This Row],[living_area]]*Lookups!$B$15</f>
        <v>117899.81217</v>
      </c>
      <c r="BN1150" s="6">
        <f>Grandview_Inventory[[#This Row],[Fin BSMT]]*Lookups!$B$16</f>
        <v>-16801.5288</v>
      </c>
      <c r="BO1150" s="6">
        <f>(Grandview_Inventory[[#This Row],[att_gar]]+Grandview_Inventory[[#This Row],[bltin_gar]])*Lookups!$B$17</f>
        <v>18904.414391999999</v>
      </c>
      <c r="BP1150" s="6">
        <f>Grandview_Inventory[[#This Row],[Plumbing Fixtures]]*Lookups!$B$18</f>
        <v>10052.209000000001</v>
      </c>
      <c r="BQ1150" s="6">
        <f>Grandview_Inventory[[#This Row],[detatched_value]]*Lookups!$B$19</f>
        <v>0</v>
      </c>
      <c r="BR1150" s="6">
        <f>SUM(Grandview_Inventory[[#This Row],[Intercept]:[det_value]])*Grandview_Inventory[[#This Row],[res_pct]]</f>
        <v>298762.69336200005</v>
      </c>
      <c r="BS1150" s="6">
        <f>Grandview_Inventory[[#This Row],[land_value]]</f>
        <v>58313.55389788279</v>
      </c>
      <c r="BT1150" s="4">
        <f>_xlfn.IFNA(VLOOKUP(Grandview_Inventory[[#This Row],[quality]],Lookups!$A$26:$C$33,3,FALSE),1)</f>
        <v>0.98763855981004833</v>
      </c>
      <c r="BU1150" s="4">
        <f>_xlfn.IFNA(VLOOKUP(Grandview_Inventory[[#This Row],[condition]],Lookups!$A$37:$C$44,3,FALSE),1)</f>
        <v>0.97383723671140243</v>
      </c>
      <c r="BV1150" s="4">
        <f>IF(Grandview_Inventory[[#This Row],[bldg_style]]="",1,_xlfn.IFNA(VLOOKUP(Grandview_Inventory[[#This Row],[decade]],Lookups!$F$29:$H$43,3,FALSE),1))</f>
        <v>0.99472141305414818</v>
      </c>
      <c r="BW1150" s="4">
        <f>_xlfn.IFNA(VLOOKUP(Grandview_Inventory[[#This Row],[living_area_range]],Lookups!$F$47:$H$56,3,FALSE),1)</f>
        <v>0.96120133463014379</v>
      </c>
      <c r="BX1150" s="4">
        <f>AVERAGE(Grandview_Inventory[[#This Row],[qual_adj]:[size_adj]])</f>
        <v>0.97934963605143577</v>
      </c>
      <c r="BY1150" s="6">
        <f>IF(Grandview_Inventory[[#This Row],[pre_res]]&lt;0,0,Grandview_Inventory[[#This Row],[pre_res]]*Grandview_Inventory[[#This Row],[overall_adj]])</f>
        <v>292593.13500982145</v>
      </c>
      <c r="BZ1150" s="6">
        <f>(Grandview_Inventory[[#This Row],[sum_land]]-IF(Grandview_Inventory[[#This Row],[no_utilities]]=1,12000,0))/IF(Grandview_Inventory[[#This Row],[unbuildable]]=1,2,1)</f>
        <v>58313.55389788279</v>
      </c>
      <c r="CA1150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150">
        <f>ROUND(Grandview_Inventory[[#This Row],[det_value]]*Lookups!$M$28,-2)</f>
        <v>0</v>
      </c>
      <c r="CC1150">
        <f>IF(ROUND(Grandview_Inventory[[#This Row],[adj_res]]*Lookups!$M$28,-2)&lt;Grandview_Inventory[[#This Row],[min_res]],Grandview_Inventory[[#This Row],[min_res]],ROUND(Grandview_Inventory[[#This Row],[adj_res]]*Lookups!$M$28,-2))</f>
        <v>278000</v>
      </c>
      <c r="CD1150">
        <f>Grandview_Inventory[[#This Row],[final_det]]+Grandview_Inventory[[#This Row],[final_res]]</f>
        <v>278000</v>
      </c>
      <c r="CE1150">
        <f>Grandview_Inventory[[#This Row],[final_land]]+Grandview_Inventory[[#This Row],[final_imp]]+Grandview_Inventory[[#This Row],[crop_value]]</f>
        <v>333400</v>
      </c>
      <c r="CG1150" t="str">
        <f t="shared" si="17"/>
        <v>update valuation set market_land =55400, market_bldg=278000, market_total =333400, market_mdno =401, market_date ='9/10/2023' where link_id = (select link_id from parcel where parcel_year = '2024' and parcel_id = '23092243407');</v>
      </c>
    </row>
    <row r="1151" spans="1:85" x14ac:dyDescent="0.25">
      <c r="A1151">
        <v>23092243408</v>
      </c>
      <c r="B1151">
        <v>1.1200000000000001</v>
      </c>
      <c r="C1151">
        <v>48761</v>
      </c>
      <c r="D1151" t="s">
        <v>129</v>
      </c>
      <c r="E1151" t="s">
        <v>53</v>
      </c>
      <c r="F1151" t="s">
        <v>53</v>
      </c>
      <c r="G1151">
        <v>4</v>
      </c>
      <c r="H1151" t="s">
        <v>54</v>
      </c>
      <c r="I1151">
        <v>223600</v>
      </c>
      <c r="J1151">
        <v>48900</v>
      </c>
      <c r="K1151">
        <v>1.1200000000000001</v>
      </c>
      <c r="L1151">
        <f>IF(Grandview_Inventory[[#This Row],[parcel_acres]]-Grandview_Inventory[[#This Row],[non_valued_acres]] =0,0,LN(Grandview_Inventory[[#This Row],[parcel_acres]]-Grandview_Inventory[[#This Row],[non_valued_acres]]))</f>
        <v>0.11332868530700327</v>
      </c>
      <c r="M1151">
        <v>0</v>
      </c>
      <c r="N1151">
        <v>0</v>
      </c>
      <c r="O1151">
        <v>0</v>
      </c>
      <c r="P1151">
        <v>13398.7528</v>
      </c>
      <c r="Q1151">
        <v>63903</v>
      </c>
      <c r="R1151">
        <f>(Grandview_Inventory[[#This Row],[ln_acres]]*Grandview_Inventory[[#This Row],[coeff]])+Grandview_Inventory[[#This Row],[const]]</f>
        <v>65421.463039577531</v>
      </c>
      <c r="S1151" t="s">
        <v>68</v>
      </c>
      <c r="T1151">
        <v>1</v>
      </c>
      <c r="U1151" t="s">
        <v>64</v>
      </c>
      <c r="V1151" t="s">
        <v>69</v>
      </c>
      <c r="W1151">
        <v>0</v>
      </c>
      <c r="X1151">
        <v>0</v>
      </c>
      <c r="Y1151">
        <v>49</v>
      </c>
      <c r="Z1151">
        <v>68</v>
      </c>
      <c r="AA1151">
        <v>70</v>
      </c>
      <c r="AB1151">
        <v>2500</v>
      </c>
      <c r="AC1151">
        <v>2499</v>
      </c>
      <c r="AD1151">
        <v>1428</v>
      </c>
      <c r="AE1151">
        <v>0</v>
      </c>
      <c r="AF1151">
        <v>0</v>
      </c>
      <c r="AG1151">
        <v>1071</v>
      </c>
      <c r="AH1151">
        <v>357</v>
      </c>
      <c r="AI1151">
        <v>0</v>
      </c>
      <c r="AJ1151">
        <v>0</v>
      </c>
      <c r="AK1151">
        <v>0</v>
      </c>
      <c r="AL1151">
        <v>0</v>
      </c>
      <c r="AM1151">
        <v>400</v>
      </c>
      <c r="AN1151">
        <v>0</v>
      </c>
      <c r="AO1151">
        <v>400</v>
      </c>
      <c r="AP1151">
        <v>7</v>
      </c>
      <c r="AQ1151">
        <v>0</v>
      </c>
      <c r="AR1151">
        <v>0</v>
      </c>
      <c r="AS1151" t="s">
        <v>58</v>
      </c>
      <c r="AT1151">
        <v>1</v>
      </c>
      <c r="AU1151" t="s">
        <v>59</v>
      </c>
      <c r="AV1151" t="s">
        <v>60</v>
      </c>
      <c r="AW1151">
        <v>1</v>
      </c>
      <c r="AX1151">
        <v>2</v>
      </c>
      <c r="AY1151">
        <v>0</v>
      </c>
      <c r="AZ1151">
        <v>42800</v>
      </c>
      <c r="BA1151">
        <v>100</v>
      </c>
      <c r="BB1151">
        <v>100</v>
      </c>
      <c r="BC1151">
        <v>100</v>
      </c>
      <c r="BD1151">
        <v>100</v>
      </c>
      <c r="BE1151">
        <v>1</v>
      </c>
      <c r="BF1151">
        <v>15000</v>
      </c>
      <c r="BG1151">
        <v>1000</v>
      </c>
      <c r="BH1151" s="6">
        <f>Grandview_Inventory[[#This Row],[land_extract]]*Lookups!$B$3</f>
        <v>75973.768389911173</v>
      </c>
      <c r="BI1151" s="6">
        <f>IF(Grandview_Inventory[[#This Row],[bldg_style]]="",0,Lookups!$B$2)</f>
        <v>155833.95000000001</v>
      </c>
      <c r="BJ1151" s="6">
        <f>_xlfn.IFNA(VLOOKUP(Grandview_Inventory[[#This Row],[quality]],Lookups!$H$2:$J$14,3,FALSE),0)</f>
        <v>20768</v>
      </c>
      <c r="BK1151" s="6">
        <f>_xlfn.IFNA(VLOOKUP(Grandview_Inventory[[#This Row],[condition]],Lookups!$H$17:$J$24,3,FALSE),0)</f>
        <v>-4503</v>
      </c>
      <c r="BL1151" s="6">
        <f>Grandview_Inventory[[#This Row],[Eff_Age]]*Lookups!$B$14</f>
        <v>-11719.163399999999</v>
      </c>
      <c r="BM1151" s="6">
        <f>Grandview_Inventory[[#This Row],[living_area]]*Lookups!$B$15</f>
        <v>155889.751647</v>
      </c>
      <c r="BN1151" s="6">
        <f>Grandview_Inventory[[#This Row],[Fin BSMT]]*Lookups!$B$16</f>
        <v>-29023.286040000003</v>
      </c>
      <c r="BO1151" s="6">
        <f>(Grandview_Inventory[[#This Row],[att_gar]]+Grandview_Inventory[[#This Row],[bltin_gar]])*Lookups!$B$17</f>
        <v>0</v>
      </c>
      <c r="BP1151" s="6">
        <f>Grandview_Inventory[[#This Row],[Plumbing Fixtures]]*Lookups!$B$18</f>
        <v>14073.0926</v>
      </c>
      <c r="BQ1151" s="6">
        <f>Grandview_Inventory[[#This Row],[detatched_value]]*Lookups!$B$19</f>
        <v>36243.258280000002</v>
      </c>
      <c r="BR1151" s="6">
        <f>SUM(Grandview_Inventory[[#This Row],[Intercept]:[det_value]])*Grandview_Inventory[[#This Row],[res_pct]]</f>
        <v>337562.60308700002</v>
      </c>
      <c r="BS1151" s="6">
        <f>Grandview_Inventory[[#This Row],[land_value]]</f>
        <v>75973.768389911173</v>
      </c>
      <c r="BT1151" s="4">
        <f>_xlfn.IFNA(VLOOKUP(Grandview_Inventory[[#This Row],[quality]],Lookups!$A$26:$C$33,3,FALSE),1)</f>
        <v>0.94960540378902636</v>
      </c>
      <c r="BU1151" s="4">
        <f>_xlfn.IFNA(VLOOKUP(Grandview_Inventory[[#This Row],[condition]],Lookups!$A$37:$C$44,3,FALSE),1)</f>
        <v>0.96469275950863709</v>
      </c>
      <c r="BV1151" s="4">
        <f>IF(Grandview_Inventory[[#This Row],[bldg_style]]="",1,_xlfn.IFNA(VLOOKUP(Grandview_Inventory[[#This Row],[decade]],Lookups!$F$29:$H$43,3,FALSE),1))</f>
        <v>0.99472141305414818</v>
      </c>
      <c r="BW1151" s="4">
        <f>_xlfn.IFNA(VLOOKUP(Grandview_Inventory[[#This Row],[living_area_range]],Lookups!$F$47:$H$56,3,FALSE),1)</f>
        <v>0.95799442568048754</v>
      </c>
      <c r="BX1151" s="4">
        <f>AVERAGE(Grandview_Inventory[[#This Row],[qual_adj]:[size_adj]])</f>
        <v>0.96675350050807474</v>
      </c>
      <c r="BY1151" s="6">
        <f>IF(Grandview_Inventory[[#This Row],[pre_res]]&lt;0,0,Grandview_Inventory[[#This Row],[pre_res]]*Grandview_Inventory[[#This Row],[overall_adj]])</f>
        <v>326339.82817497512</v>
      </c>
      <c r="BZ1151" s="6">
        <f>(Grandview_Inventory[[#This Row],[sum_land]]-IF(Grandview_Inventory[[#This Row],[no_utilities]]=1,12000,0))/IF(Grandview_Inventory[[#This Row],[unbuildable]]=1,2,1)</f>
        <v>75973.768389911173</v>
      </c>
      <c r="CA1151">
        <f>IF(ROUND(Grandview_Inventory[[#This Row],[adj_land]]*Lookups!$M$28,-2)&lt;Grandview_Inventory[[#This Row],[min_land]],Grandview_Inventory[[#This Row],[min_land]],ROUND(Grandview_Inventory[[#This Row],[adj_land]]*Lookups!$M$28,-2))</f>
        <v>72200</v>
      </c>
      <c r="CB1151">
        <f>ROUND(Grandview_Inventory[[#This Row],[det_value]]*Lookups!$M$28,-2)</f>
        <v>34400</v>
      </c>
      <c r="CC1151">
        <f>IF(ROUND(Grandview_Inventory[[#This Row],[adj_res]]*Lookups!$M$28,-2)&lt;Grandview_Inventory[[#This Row],[min_res]],Grandview_Inventory[[#This Row],[min_res]],ROUND(Grandview_Inventory[[#This Row],[adj_res]]*Lookups!$M$28,-2))</f>
        <v>310000</v>
      </c>
      <c r="CD1151">
        <f>Grandview_Inventory[[#This Row],[final_det]]+Grandview_Inventory[[#This Row],[final_res]]</f>
        <v>344400</v>
      </c>
      <c r="CE1151">
        <f>Grandview_Inventory[[#This Row],[final_land]]+Grandview_Inventory[[#This Row],[final_imp]]+Grandview_Inventory[[#This Row],[crop_value]]</f>
        <v>416600</v>
      </c>
      <c r="CG1151" t="str">
        <f t="shared" si="17"/>
        <v>update valuation set market_land =72200, market_bldg=344400, market_total =416600, market_mdno =401, market_date ='9/10/2023' where link_id = (select link_id from parcel where parcel_year = '2024' and parcel_id = '23092243408');</v>
      </c>
    </row>
    <row r="1152" spans="1:85" x14ac:dyDescent="0.25">
      <c r="A1152">
        <v>23092243410</v>
      </c>
      <c r="B1152">
        <v>0.48</v>
      </c>
      <c r="C1152">
        <v>21000</v>
      </c>
      <c r="D1152" t="s">
        <v>129</v>
      </c>
      <c r="E1152" t="s">
        <v>53</v>
      </c>
      <c r="F1152" t="s">
        <v>53</v>
      </c>
      <c r="G1152">
        <v>4</v>
      </c>
      <c r="H1152" t="s">
        <v>54</v>
      </c>
      <c r="I1152">
        <v>203200</v>
      </c>
      <c r="J1152">
        <v>46300</v>
      </c>
      <c r="K1152">
        <v>0.48</v>
      </c>
      <c r="L1152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1152">
        <v>0</v>
      </c>
      <c r="N1152">
        <v>0</v>
      </c>
      <c r="O1152">
        <v>0</v>
      </c>
      <c r="P1152">
        <v>13398.7528</v>
      </c>
      <c r="Q1152">
        <v>63903</v>
      </c>
      <c r="R1152">
        <f>(Grandview_Inventory[[#This Row],[ln_acres]]*Grandview_Inventory[[#This Row],[coeff]])+Grandview_Inventory[[#This Row],[const]]</f>
        <v>54068.728460280472</v>
      </c>
      <c r="S1152" t="s">
        <v>61</v>
      </c>
      <c r="T1152">
        <v>1</v>
      </c>
      <c r="U1152" t="s">
        <v>70</v>
      </c>
      <c r="V1152" t="s">
        <v>67</v>
      </c>
      <c r="W1152">
        <v>0</v>
      </c>
      <c r="X1152">
        <v>0</v>
      </c>
      <c r="Y1152">
        <v>47</v>
      </c>
      <c r="Z1152">
        <v>58</v>
      </c>
      <c r="AA1152">
        <v>60</v>
      </c>
      <c r="AB1152">
        <v>2000</v>
      </c>
      <c r="AC1152">
        <v>1653</v>
      </c>
      <c r="AD1152">
        <v>1221</v>
      </c>
      <c r="AE1152">
        <v>0</v>
      </c>
      <c r="AF1152">
        <v>0</v>
      </c>
      <c r="AG1152">
        <v>432</v>
      </c>
      <c r="AH1152">
        <v>789</v>
      </c>
      <c r="AI1152">
        <v>0</v>
      </c>
      <c r="AJ1152">
        <v>0</v>
      </c>
      <c r="AK1152">
        <v>0</v>
      </c>
      <c r="AL1152">
        <v>0</v>
      </c>
      <c r="AM1152">
        <v>362</v>
      </c>
      <c r="AN1152">
        <v>0</v>
      </c>
      <c r="AO1152">
        <v>130</v>
      </c>
      <c r="AP1152">
        <v>5</v>
      </c>
      <c r="AQ1152">
        <v>0</v>
      </c>
      <c r="AR1152">
        <v>0</v>
      </c>
      <c r="AS1152" t="s">
        <v>71</v>
      </c>
      <c r="AT1152">
        <v>1</v>
      </c>
      <c r="AU1152" t="s">
        <v>63</v>
      </c>
      <c r="AV1152" t="s">
        <v>60</v>
      </c>
      <c r="AW1152">
        <v>0</v>
      </c>
      <c r="AX1152">
        <v>4</v>
      </c>
      <c r="AY1152">
        <v>0</v>
      </c>
      <c r="AZ1152">
        <v>8300</v>
      </c>
      <c r="BA1152">
        <v>100</v>
      </c>
      <c r="BB1152">
        <v>100</v>
      </c>
      <c r="BC1152">
        <v>100</v>
      </c>
      <c r="BD1152">
        <v>100</v>
      </c>
      <c r="BE1152">
        <v>1</v>
      </c>
      <c r="BF1152">
        <v>15000</v>
      </c>
      <c r="BG1152">
        <v>1000</v>
      </c>
      <c r="BH1152" s="6">
        <f>Grandview_Inventory[[#This Row],[land_extract]]*Lookups!$B$3</f>
        <v>62789.868375356869</v>
      </c>
      <c r="BI1152" s="6">
        <f>IF(Grandview_Inventory[[#This Row],[bldg_style]]="",0,Lookups!$B$2)</f>
        <v>155833.95000000001</v>
      </c>
      <c r="BJ1152" s="6">
        <f>_xlfn.IFNA(VLOOKUP(Grandview_Inventory[[#This Row],[quality]],Lookups!$H$2:$J$14,3,FALSE),0)</f>
        <v>10733</v>
      </c>
      <c r="BK1152" s="6">
        <f>_xlfn.IFNA(VLOOKUP(Grandview_Inventory[[#This Row],[condition]],Lookups!$H$17:$J$24,3,FALSE),0)</f>
        <v>22342</v>
      </c>
      <c r="BL1152" s="6">
        <f>Grandview_Inventory[[#This Row],[Eff_Age]]*Lookups!$B$14</f>
        <v>-11240.8302</v>
      </c>
      <c r="BM1152" s="6">
        <f>Grandview_Inventory[[#This Row],[living_area]]*Lookups!$B$15</f>
        <v>103115.550009</v>
      </c>
      <c r="BN1152" s="6">
        <f>Grandview_Inventory[[#This Row],[Fin BSMT]]*Lookups!$B$16</f>
        <v>-11706.87168</v>
      </c>
      <c r="BO1152" s="6">
        <f>(Grandview_Inventory[[#This Row],[att_gar]]+Grandview_Inventory[[#This Row],[bltin_gar]])*Lookups!$B$17</f>
        <v>0</v>
      </c>
      <c r="BP1152" s="6">
        <f>Grandview_Inventory[[#This Row],[Plumbing Fixtures]]*Lookups!$B$18</f>
        <v>10052.209000000001</v>
      </c>
      <c r="BQ1152" s="6">
        <f>Grandview_Inventory[[#This Row],[detatched_value]]*Lookups!$B$19</f>
        <v>7028.4823299999998</v>
      </c>
      <c r="BR1152" s="6">
        <f>SUM(Grandview_Inventory[[#This Row],[Intercept]:[det_value]])*Grandview_Inventory[[#This Row],[res_pct]]</f>
        <v>286157.489459</v>
      </c>
      <c r="BS1152" s="6">
        <f>Grandview_Inventory[[#This Row],[land_value]]</f>
        <v>62789.868375356869</v>
      </c>
      <c r="BT1152" s="4">
        <f>_xlfn.IFNA(VLOOKUP(Grandview_Inventory[[#This Row],[quality]],Lookups!$A$26:$C$33,3,FALSE),1)</f>
        <v>0.98079741117310582</v>
      </c>
      <c r="BU1152" s="4">
        <f>_xlfn.IFNA(VLOOKUP(Grandview_Inventory[[#This Row],[condition]],Lookups!$A$37:$C$44,3,FALSE),1)</f>
        <v>0.97383723671140243</v>
      </c>
      <c r="BV1152" s="4">
        <f>IF(Grandview_Inventory[[#This Row],[bldg_style]]="",1,_xlfn.IFNA(VLOOKUP(Grandview_Inventory[[#This Row],[decade]],Lookups!$F$29:$H$43,3,FALSE),1))</f>
        <v>0.95268620544463312</v>
      </c>
      <c r="BW1152" s="4">
        <f>_xlfn.IFNA(VLOOKUP(Grandview_Inventory[[#This Row],[living_area_range]],Lookups!$F$47:$H$56,3,FALSE),1)</f>
        <v>0.96120133463014379</v>
      </c>
      <c r="BX1152" s="4">
        <f>AVERAGE(Grandview_Inventory[[#This Row],[qual_adj]:[size_adj]])</f>
        <v>0.96713054698982126</v>
      </c>
      <c r="BY1152" s="6">
        <f>IF(Grandview_Inventory[[#This Row],[pre_res]]&lt;0,0,Grandview_Inventory[[#This Row],[pre_res]]*Grandview_Inventory[[#This Row],[overall_adj]])</f>
        <v>276751.64930571668</v>
      </c>
      <c r="BZ1152" s="6">
        <f>(Grandview_Inventory[[#This Row],[sum_land]]-IF(Grandview_Inventory[[#This Row],[no_utilities]]=1,12000,0))/IF(Grandview_Inventory[[#This Row],[unbuildable]]=1,2,1)</f>
        <v>62789.868375356869</v>
      </c>
      <c r="CA1152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1152">
        <f>ROUND(Grandview_Inventory[[#This Row],[det_value]]*Lookups!$M$28,-2)</f>
        <v>6700</v>
      </c>
      <c r="CC1152">
        <f>IF(ROUND(Grandview_Inventory[[#This Row],[adj_res]]*Lookups!$M$28,-2)&lt;Grandview_Inventory[[#This Row],[min_res]],Grandview_Inventory[[#This Row],[min_res]],ROUND(Grandview_Inventory[[#This Row],[adj_res]]*Lookups!$M$28,-2))</f>
        <v>262900</v>
      </c>
      <c r="CD1152">
        <f>Grandview_Inventory[[#This Row],[final_det]]+Grandview_Inventory[[#This Row],[final_res]]</f>
        <v>269600</v>
      </c>
      <c r="CE1152">
        <f>Grandview_Inventory[[#This Row],[final_land]]+Grandview_Inventory[[#This Row],[final_imp]]+Grandview_Inventory[[#This Row],[crop_value]]</f>
        <v>329300</v>
      </c>
      <c r="CG1152" t="str">
        <f t="shared" si="17"/>
        <v>update valuation set market_land =59700, market_bldg=269600, market_total =329300, market_mdno =401, market_date ='9/10/2023' where link_id = (select link_id from parcel where parcel_year = '2024' and parcel_id = '23092243410');</v>
      </c>
    </row>
    <row r="1153" spans="1:85" x14ac:dyDescent="0.25">
      <c r="A1153">
        <v>23092243411</v>
      </c>
      <c r="B1153">
        <v>0.48</v>
      </c>
      <c r="C1153">
        <v>21000</v>
      </c>
      <c r="D1153" t="s">
        <v>129</v>
      </c>
      <c r="E1153" t="s">
        <v>53</v>
      </c>
      <c r="F1153" t="s">
        <v>53</v>
      </c>
      <c r="G1153">
        <v>4</v>
      </c>
      <c r="H1153" t="s">
        <v>54</v>
      </c>
      <c r="I1153">
        <v>151800</v>
      </c>
      <c r="J1153">
        <v>46300</v>
      </c>
      <c r="K1153">
        <v>0.48</v>
      </c>
      <c r="L1153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1153">
        <v>0</v>
      </c>
      <c r="N1153">
        <v>0</v>
      </c>
      <c r="O1153">
        <v>0</v>
      </c>
      <c r="P1153">
        <v>13398.7528</v>
      </c>
      <c r="Q1153">
        <v>63903</v>
      </c>
      <c r="R1153">
        <f>(Grandview_Inventory[[#This Row],[ln_acres]]*Grandview_Inventory[[#This Row],[coeff]])+Grandview_Inventory[[#This Row],[const]]</f>
        <v>54068.728460280472</v>
      </c>
      <c r="S1153" t="s">
        <v>61</v>
      </c>
      <c r="T1153">
        <v>1</v>
      </c>
      <c r="U1153" t="s">
        <v>65</v>
      </c>
      <c r="V1153" t="s">
        <v>69</v>
      </c>
      <c r="W1153">
        <v>0</v>
      </c>
      <c r="X1153">
        <v>0</v>
      </c>
      <c r="Y1153">
        <v>49</v>
      </c>
      <c r="Z1153">
        <v>65</v>
      </c>
      <c r="AA1153">
        <v>70</v>
      </c>
      <c r="AB1153">
        <v>1500</v>
      </c>
      <c r="AC1153">
        <v>1141</v>
      </c>
      <c r="AD1153">
        <v>1141</v>
      </c>
      <c r="AE1153">
        <v>0</v>
      </c>
      <c r="AF1153">
        <v>0</v>
      </c>
      <c r="AG1153">
        <v>0</v>
      </c>
      <c r="AH1153">
        <v>0</v>
      </c>
      <c r="AI1153">
        <v>364</v>
      </c>
      <c r="AJ1153">
        <v>0</v>
      </c>
      <c r="AK1153">
        <v>0</v>
      </c>
      <c r="AL1153">
        <v>0</v>
      </c>
      <c r="AM1153">
        <v>128</v>
      </c>
      <c r="AN1153">
        <v>0</v>
      </c>
      <c r="AO1153">
        <v>128</v>
      </c>
      <c r="AP1153">
        <v>5</v>
      </c>
      <c r="AQ1153">
        <v>0</v>
      </c>
      <c r="AR1153">
        <v>0</v>
      </c>
      <c r="AS1153" t="s">
        <v>58</v>
      </c>
      <c r="AT1153">
        <v>1</v>
      </c>
      <c r="AU1153" t="s">
        <v>75</v>
      </c>
      <c r="AV1153" t="s">
        <v>60</v>
      </c>
      <c r="AW1153">
        <v>0</v>
      </c>
      <c r="AX1153">
        <v>3</v>
      </c>
      <c r="AY1153">
        <v>0</v>
      </c>
      <c r="AZ1153">
        <v>4400</v>
      </c>
      <c r="BA1153">
        <v>100</v>
      </c>
      <c r="BB1153">
        <v>100</v>
      </c>
      <c r="BC1153">
        <v>100</v>
      </c>
      <c r="BD1153">
        <v>100</v>
      </c>
      <c r="BE1153">
        <v>1</v>
      </c>
      <c r="BF1153">
        <v>15000</v>
      </c>
      <c r="BG1153">
        <v>1000</v>
      </c>
      <c r="BH1153" s="6">
        <f>Grandview_Inventory[[#This Row],[land_extract]]*Lookups!$B$3</f>
        <v>62789.868375356869</v>
      </c>
      <c r="BI1153" s="6">
        <f>IF(Grandview_Inventory[[#This Row],[bldg_style]]="",0,Lookups!$B$2)</f>
        <v>155833.95000000001</v>
      </c>
      <c r="BJ1153" s="6">
        <f>_xlfn.IFNA(VLOOKUP(Grandview_Inventory[[#This Row],[quality]],Lookups!$H$2:$J$14,3,FALSE),0)</f>
        <v>2251</v>
      </c>
      <c r="BK1153" s="6">
        <f>_xlfn.IFNA(VLOOKUP(Grandview_Inventory[[#This Row],[condition]],Lookups!$H$17:$J$24,3,FALSE),0)</f>
        <v>-4503</v>
      </c>
      <c r="BL1153" s="6">
        <f>Grandview_Inventory[[#This Row],[Eff_Age]]*Lookups!$B$14</f>
        <v>-11719.163399999999</v>
      </c>
      <c r="BM1153" s="6">
        <f>Grandview_Inventory[[#This Row],[living_area]]*Lookups!$B$15</f>
        <v>71176.553272999998</v>
      </c>
      <c r="BN1153" s="6">
        <f>Grandview_Inventory[[#This Row],[Fin BSMT]]*Lookups!$B$16</f>
        <v>0</v>
      </c>
      <c r="BO1153" s="6">
        <f>(Grandview_Inventory[[#This Row],[att_gar]]+Grandview_Inventory[[#This Row],[bltin_gar]])*Lookups!$B$17</f>
        <v>31857.439068</v>
      </c>
      <c r="BP1153" s="6">
        <f>Grandview_Inventory[[#This Row],[Plumbing Fixtures]]*Lookups!$B$18</f>
        <v>10052.209000000001</v>
      </c>
      <c r="BQ1153" s="6">
        <f>Grandview_Inventory[[#This Row],[detatched_value]]*Lookups!$B$19</f>
        <v>3725.9424399999998</v>
      </c>
      <c r="BR1153" s="6">
        <f>SUM(Grandview_Inventory[[#This Row],[Intercept]:[det_value]])*Grandview_Inventory[[#This Row],[res_pct]]</f>
        <v>258674.93038100004</v>
      </c>
      <c r="BS1153" s="6">
        <f>Grandview_Inventory[[#This Row],[land_value]]</f>
        <v>62789.868375356869</v>
      </c>
      <c r="BT1153" s="4">
        <f>_xlfn.IFNA(VLOOKUP(Grandview_Inventory[[#This Row],[quality]],Lookups!$A$26:$C$33,3,FALSE),1)</f>
        <v>0.98763855981004833</v>
      </c>
      <c r="BU1153" s="4">
        <f>_xlfn.IFNA(VLOOKUP(Grandview_Inventory[[#This Row],[condition]],Lookups!$A$37:$C$44,3,FALSE),1)</f>
        <v>0.96469275950863709</v>
      </c>
      <c r="BV1153" s="4">
        <f>IF(Grandview_Inventory[[#This Row],[bldg_style]]="",1,_xlfn.IFNA(VLOOKUP(Grandview_Inventory[[#This Row],[decade]],Lookups!$F$29:$H$43,3,FALSE),1))</f>
        <v>0.99472141305414818</v>
      </c>
      <c r="BW1153" s="4">
        <f>_xlfn.IFNA(VLOOKUP(Grandview_Inventory[[#This Row],[living_area_range]],Lookups!$F$47:$H$56,3,FALSE),1)</f>
        <v>0.96135087979789358</v>
      </c>
      <c r="BX1153" s="4">
        <f>AVERAGE(Grandview_Inventory[[#This Row],[qual_adj]:[size_adj]])</f>
        <v>0.97710090304268182</v>
      </c>
      <c r="BY1153" s="6">
        <f>IF(Grandview_Inventory[[#This Row],[pre_res]]&lt;0,0,Grandview_Inventory[[#This Row],[pre_res]]*Grandview_Inventory[[#This Row],[overall_adj]])</f>
        <v>252751.50806977801</v>
      </c>
      <c r="BZ1153" s="6">
        <f>(Grandview_Inventory[[#This Row],[sum_land]]-IF(Grandview_Inventory[[#This Row],[no_utilities]]=1,12000,0))/IF(Grandview_Inventory[[#This Row],[unbuildable]]=1,2,1)</f>
        <v>62789.868375356869</v>
      </c>
      <c r="CA1153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1153">
        <f>ROUND(Grandview_Inventory[[#This Row],[det_value]]*Lookups!$M$28,-2)</f>
        <v>3500</v>
      </c>
      <c r="CC1153">
        <f>IF(ROUND(Grandview_Inventory[[#This Row],[adj_res]]*Lookups!$M$28,-2)&lt;Grandview_Inventory[[#This Row],[min_res]],Grandview_Inventory[[#This Row],[min_res]],ROUND(Grandview_Inventory[[#This Row],[adj_res]]*Lookups!$M$28,-2))</f>
        <v>240100</v>
      </c>
      <c r="CD1153">
        <f>Grandview_Inventory[[#This Row],[final_det]]+Grandview_Inventory[[#This Row],[final_res]]</f>
        <v>243600</v>
      </c>
      <c r="CE1153">
        <f>Grandview_Inventory[[#This Row],[final_land]]+Grandview_Inventory[[#This Row],[final_imp]]+Grandview_Inventory[[#This Row],[crop_value]]</f>
        <v>303300</v>
      </c>
      <c r="CG1153" t="str">
        <f t="shared" si="17"/>
        <v>update valuation set market_land =59700, market_bldg=243600, market_total =303300, market_mdno =401, market_date ='9/10/2023' where link_id = (select link_id from parcel where parcel_year = '2024' and parcel_id = '23092243411');</v>
      </c>
    </row>
    <row r="1154" spans="1:85" x14ac:dyDescent="0.25">
      <c r="A1154">
        <v>23092243412</v>
      </c>
      <c r="B1154">
        <v>0.32</v>
      </c>
      <c r="C1154">
        <v>14000</v>
      </c>
      <c r="D1154" t="s">
        <v>129</v>
      </c>
      <c r="E1154" t="s">
        <v>53</v>
      </c>
      <c r="F1154" t="s">
        <v>53</v>
      </c>
      <c r="G1154">
        <v>4</v>
      </c>
      <c r="H1154" t="s">
        <v>54</v>
      </c>
      <c r="I1154">
        <v>142900</v>
      </c>
      <c r="J1154">
        <v>45800</v>
      </c>
      <c r="K1154">
        <v>0.32</v>
      </c>
      <c r="L1154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54">
        <v>0</v>
      </c>
      <c r="N1154">
        <v>0</v>
      </c>
      <c r="O1154">
        <v>0</v>
      </c>
      <c r="P1154">
        <v>13398.7528</v>
      </c>
      <c r="Q1154">
        <v>63903</v>
      </c>
      <c r="R1154">
        <f>(Grandview_Inventory[[#This Row],[ln_acres]]*Grandview_Inventory[[#This Row],[coeff]])+Grandview_Inventory[[#This Row],[const]]</f>
        <v>48636.001707713905</v>
      </c>
      <c r="S1154" t="s">
        <v>61</v>
      </c>
      <c r="T1154">
        <v>1</v>
      </c>
      <c r="U1154" t="s">
        <v>70</v>
      </c>
      <c r="V1154" t="s">
        <v>78</v>
      </c>
      <c r="W1154">
        <v>0</v>
      </c>
      <c r="X1154">
        <v>0</v>
      </c>
      <c r="Y1154">
        <v>49</v>
      </c>
      <c r="Z1154">
        <v>68</v>
      </c>
      <c r="AA1154">
        <v>70</v>
      </c>
      <c r="AB1154">
        <v>1500</v>
      </c>
      <c r="AC1154">
        <v>1145</v>
      </c>
      <c r="AD1154">
        <v>1145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187</v>
      </c>
      <c r="AL1154">
        <v>0</v>
      </c>
      <c r="AM1154">
        <v>224</v>
      </c>
      <c r="AN1154">
        <v>0</v>
      </c>
      <c r="AO1154">
        <v>224</v>
      </c>
      <c r="AP1154">
        <v>5</v>
      </c>
      <c r="AQ1154">
        <v>0</v>
      </c>
      <c r="AR1154">
        <v>0</v>
      </c>
      <c r="AS1154" t="s">
        <v>58</v>
      </c>
      <c r="AT1154">
        <v>1</v>
      </c>
      <c r="AU1154" t="s">
        <v>75</v>
      </c>
      <c r="AV1154" t="s">
        <v>60</v>
      </c>
      <c r="AW1154">
        <v>0</v>
      </c>
      <c r="AX1154">
        <v>2</v>
      </c>
      <c r="AY1154">
        <v>0</v>
      </c>
      <c r="AZ1154">
        <v>3200</v>
      </c>
      <c r="BA1154">
        <v>100</v>
      </c>
      <c r="BB1154">
        <v>100</v>
      </c>
      <c r="BC1154">
        <v>100</v>
      </c>
      <c r="BD1154">
        <v>100</v>
      </c>
      <c r="BE1154">
        <v>1</v>
      </c>
      <c r="BF1154">
        <v>15000</v>
      </c>
      <c r="BG1154">
        <v>1000</v>
      </c>
      <c r="BH1154" s="6">
        <f>Grandview_Inventory[[#This Row],[land_extract]]*Lookups!$B$3</f>
        <v>56480.857465963549</v>
      </c>
      <c r="BI1154" s="6">
        <f>IF(Grandview_Inventory[[#This Row],[bldg_style]]="",0,Lookups!$B$2)</f>
        <v>155833.95000000001</v>
      </c>
      <c r="BJ1154" s="6">
        <f>_xlfn.IFNA(VLOOKUP(Grandview_Inventory[[#This Row],[quality]],Lookups!$H$2:$J$14,3,FALSE),0)</f>
        <v>10733</v>
      </c>
      <c r="BK1154" s="6">
        <f>_xlfn.IFNA(VLOOKUP(Grandview_Inventory[[#This Row],[condition]],Lookups!$H$17:$J$24,3,FALSE),0)</f>
        <v>-45357</v>
      </c>
      <c r="BL1154" s="6">
        <f>Grandview_Inventory[[#This Row],[Eff_Age]]*Lookups!$B$14</f>
        <v>-11719.163399999999</v>
      </c>
      <c r="BM1154" s="6">
        <f>Grandview_Inventory[[#This Row],[living_area]]*Lookups!$B$15</f>
        <v>71426.076685000007</v>
      </c>
      <c r="BN1154" s="6">
        <f>Grandview_Inventory[[#This Row],[Fin BSMT]]*Lookups!$B$16</f>
        <v>0</v>
      </c>
      <c r="BO1154" s="6">
        <f>(Grandview_Inventory[[#This Row],[att_gar]]+Grandview_Inventory[[#This Row],[bltin_gar]])*Lookups!$B$17</f>
        <v>0</v>
      </c>
      <c r="BP1154" s="6">
        <f>Grandview_Inventory[[#This Row],[Plumbing Fixtures]]*Lookups!$B$18</f>
        <v>10052.209000000001</v>
      </c>
      <c r="BQ1154" s="6">
        <f>Grandview_Inventory[[#This Row],[detatched_value]]*Lookups!$B$19</f>
        <v>2709.7763199999999</v>
      </c>
      <c r="BR1154" s="6">
        <f>SUM(Grandview_Inventory[[#This Row],[Intercept]:[det_value]])*Grandview_Inventory[[#This Row],[res_pct]]</f>
        <v>193678.84860500004</v>
      </c>
      <c r="BS1154" s="6">
        <f>Grandview_Inventory[[#This Row],[land_value]]</f>
        <v>56480.857465963549</v>
      </c>
      <c r="BT1154" s="4">
        <f>_xlfn.IFNA(VLOOKUP(Grandview_Inventory[[#This Row],[quality]],Lookups!$A$26:$C$33,3,FALSE),1)</f>
        <v>0.98079741117310582</v>
      </c>
      <c r="BU1154" s="4">
        <f>_xlfn.IFNA(VLOOKUP(Grandview_Inventory[[#This Row],[condition]],Lookups!$A$37:$C$44,3,FALSE),1)</f>
        <v>0.97161819570155394</v>
      </c>
      <c r="BV1154" s="4">
        <f>IF(Grandview_Inventory[[#This Row],[bldg_style]]="",1,_xlfn.IFNA(VLOOKUP(Grandview_Inventory[[#This Row],[decade]],Lookups!$F$29:$H$43,3,FALSE),1))</f>
        <v>0.99472141305414818</v>
      </c>
      <c r="BW1154" s="4">
        <f>_xlfn.IFNA(VLOOKUP(Grandview_Inventory[[#This Row],[living_area_range]],Lookups!$F$47:$H$56,3,FALSE),1)</f>
        <v>0.96135087979789358</v>
      </c>
      <c r="BX1154" s="4">
        <f>AVERAGE(Grandview_Inventory[[#This Row],[qual_adj]:[size_adj]])</f>
        <v>0.9771219749316753</v>
      </c>
      <c r="BY1154" s="6">
        <f>IF(Grandview_Inventory[[#This Row],[pre_res]]&lt;0,0,Grandview_Inventory[[#This Row],[pre_res]]*Grandview_Inventory[[#This Row],[overall_adj]])</f>
        <v>189247.85905141057</v>
      </c>
      <c r="BZ1154" s="6">
        <f>(Grandview_Inventory[[#This Row],[sum_land]]-IF(Grandview_Inventory[[#This Row],[no_utilities]]=1,12000,0))/IF(Grandview_Inventory[[#This Row],[unbuildable]]=1,2,1)</f>
        <v>56480.857465963549</v>
      </c>
      <c r="CA1154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54">
        <f>ROUND(Grandview_Inventory[[#This Row],[det_value]]*Lookups!$M$28,-2)</f>
        <v>2600</v>
      </c>
      <c r="CC1154">
        <f>IF(ROUND(Grandview_Inventory[[#This Row],[adj_res]]*Lookups!$M$28,-2)&lt;Grandview_Inventory[[#This Row],[min_res]],Grandview_Inventory[[#This Row],[min_res]],ROUND(Grandview_Inventory[[#This Row],[adj_res]]*Lookups!$M$28,-2))</f>
        <v>179800</v>
      </c>
      <c r="CD1154">
        <f>Grandview_Inventory[[#This Row],[final_det]]+Grandview_Inventory[[#This Row],[final_res]]</f>
        <v>182400</v>
      </c>
      <c r="CE1154">
        <f>Grandview_Inventory[[#This Row],[final_land]]+Grandview_Inventory[[#This Row],[final_imp]]+Grandview_Inventory[[#This Row],[crop_value]]</f>
        <v>236100</v>
      </c>
      <c r="CG1154" t="str">
        <f t="shared" si="17"/>
        <v>update valuation set market_land =53700, market_bldg=182400, market_total =236100, market_mdno =401, market_date ='9/10/2023' where link_id = (select link_id from parcel where parcel_year = '2024' and parcel_id = '23092243412');</v>
      </c>
    </row>
    <row r="1155" spans="1:85" x14ac:dyDescent="0.25">
      <c r="A1155">
        <v>23092243413</v>
      </c>
      <c r="B1155">
        <v>0.32</v>
      </c>
      <c r="C1155">
        <v>14000</v>
      </c>
      <c r="D1155" t="s">
        <v>129</v>
      </c>
      <c r="E1155" t="s">
        <v>53</v>
      </c>
      <c r="F1155" t="s">
        <v>53</v>
      </c>
      <c r="G1155">
        <v>4</v>
      </c>
      <c r="H1155" t="s">
        <v>54</v>
      </c>
      <c r="I1155">
        <v>121600</v>
      </c>
      <c r="J1155">
        <v>45800</v>
      </c>
      <c r="K1155">
        <v>0.32</v>
      </c>
      <c r="L1155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55">
        <v>0</v>
      </c>
      <c r="N1155">
        <v>0</v>
      </c>
      <c r="O1155">
        <v>0</v>
      </c>
      <c r="P1155">
        <v>13398.7528</v>
      </c>
      <c r="Q1155">
        <v>63903</v>
      </c>
      <c r="R1155">
        <f>(Grandview_Inventory[[#This Row],[ln_acres]]*Grandview_Inventory[[#This Row],[coeff]])+Grandview_Inventory[[#This Row],[const]]</f>
        <v>48636.001707713905</v>
      </c>
      <c r="S1155" t="s">
        <v>68</v>
      </c>
      <c r="T1155">
        <v>1</v>
      </c>
      <c r="U1155" t="s">
        <v>65</v>
      </c>
      <c r="V1155" t="s">
        <v>69</v>
      </c>
      <c r="W1155">
        <v>0</v>
      </c>
      <c r="X1155">
        <v>0</v>
      </c>
      <c r="Y1155">
        <v>49</v>
      </c>
      <c r="Z1155">
        <v>68</v>
      </c>
      <c r="AA1155">
        <v>70</v>
      </c>
      <c r="AB1155">
        <v>1500</v>
      </c>
      <c r="AC1155">
        <v>1029</v>
      </c>
      <c r="AD1155">
        <v>1029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288</v>
      </c>
      <c r="AN1155">
        <v>0</v>
      </c>
      <c r="AO1155">
        <v>144</v>
      </c>
      <c r="AP1155">
        <v>5</v>
      </c>
      <c r="AQ1155">
        <v>0</v>
      </c>
      <c r="AR1155">
        <v>0</v>
      </c>
      <c r="AS1155" t="s">
        <v>58</v>
      </c>
      <c r="AT1155">
        <v>1</v>
      </c>
      <c r="AU1155" t="s">
        <v>63</v>
      </c>
      <c r="AV1155" t="s">
        <v>60</v>
      </c>
      <c r="AW1155">
        <v>0</v>
      </c>
      <c r="AX1155">
        <v>3</v>
      </c>
      <c r="AY1155">
        <v>0</v>
      </c>
      <c r="AZ1155">
        <v>7100</v>
      </c>
      <c r="BA1155">
        <v>100</v>
      </c>
      <c r="BB1155">
        <v>100</v>
      </c>
      <c r="BC1155">
        <v>100</v>
      </c>
      <c r="BD1155">
        <v>100</v>
      </c>
      <c r="BE1155">
        <v>1</v>
      </c>
      <c r="BF1155">
        <v>15000</v>
      </c>
      <c r="BG1155">
        <v>1000</v>
      </c>
      <c r="BH1155" s="6">
        <f>Grandview_Inventory[[#This Row],[land_extract]]*Lookups!$B$3</f>
        <v>56480.857465963549</v>
      </c>
      <c r="BI1155" s="6">
        <f>IF(Grandview_Inventory[[#This Row],[bldg_style]]="",0,Lookups!$B$2)</f>
        <v>155833.95000000001</v>
      </c>
      <c r="BJ1155" s="6">
        <f>_xlfn.IFNA(VLOOKUP(Grandview_Inventory[[#This Row],[quality]],Lookups!$H$2:$J$14,3,FALSE),0)</f>
        <v>2251</v>
      </c>
      <c r="BK1155" s="6">
        <f>_xlfn.IFNA(VLOOKUP(Grandview_Inventory[[#This Row],[condition]],Lookups!$H$17:$J$24,3,FALSE),0)</f>
        <v>-4503</v>
      </c>
      <c r="BL1155" s="6">
        <f>Grandview_Inventory[[#This Row],[Eff_Age]]*Lookups!$B$14</f>
        <v>-11719.163399999999</v>
      </c>
      <c r="BM1155" s="6">
        <f>Grandview_Inventory[[#This Row],[living_area]]*Lookups!$B$15</f>
        <v>64189.897736999999</v>
      </c>
      <c r="BN1155" s="6">
        <f>Grandview_Inventory[[#This Row],[Fin BSMT]]*Lookups!$B$16</f>
        <v>0</v>
      </c>
      <c r="BO1155" s="6">
        <f>(Grandview_Inventory[[#This Row],[att_gar]]+Grandview_Inventory[[#This Row],[bltin_gar]])*Lookups!$B$17</f>
        <v>0</v>
      </c>
      <c r="BP1155" s="6">
        <f>Grandview_Inventory[[#This Row],[Plumbing Fixtures]]*Lookups!$B$18</f>
        <v>10052.209000000001</v>
      </c>
      <c r="BQ1155" s="6">
        <f>Grandview_Inventory[[#This Row],[detatched_value]]*Lookups!$B$19</f>
        <v>6012.31621</v>
      </c>
      <c r="BR1155" s="6">
        <f>SUM(Grandview_Inventory[[#This Row],[Intercept]:[det_value]])*Grandview_Inventory[[#This Row],[res_pct]]</f>
        <v>222117.20954700001</v>
      </c>
      <c r="BS1155" s="6">
        <f>Grandview_Inventory[[#This Row],[land_value]]</f>
        <v>56480.857465963549</v>
      </c>
      <c r="BT1155" s="4">
        <f>_xlfn.IFNA(VLOOKUP(Grandview_Inventory[[#This Row],[quality]],Lookups!$A$26:$C$33,3,FALSE),1)</f>
        <v>0.98763855981004833</v>
      </c>
      <c r="BU1155" s="4">
        <f>_xlfn.IFNA(VLOOKUP(Grandview_Inventory[[#This Row],[condition]],Lookups!$A$37:$C$44,3,FALSE),1)</f>
        <v>0.96469275950863709</v>
      </c>
      <c r="BV1155" s="4">
        <f>IF(Grandview_Inventory[[#This Row],[bldg_style]]="",1,_xlfn.IFNA(VLOOKUP(Grandview_Inventory[[#This Row],[decade]],Lookups!$F$29:$H$43,3,FALSE),1))</f>
        <v>0.99472141305414818</v>
      </c>
      <c r="BW1155" s="4">
        <f>_xlfn.IFNA(VLOOKUP(Grandview_Inventory[[#This Row],[living_area_range]],Lookups!$F$47:$H$56,3,FALSE),1)</f>
        <v>0.96135087979789358</v>
      </c>
      <c r="BX1155" s="4">
        <f>AVERAGE(Grandview_Inventory[[#This Row],[qual_adj]:[size_adj]])</f>
        <v>0.97710090304268182</v>
      </c>
      <c r="BY1155" s="6">
        <f>IF(Grandview_Inventory[[#This Row],[pre_res]]&lt;0,0,Grandview_Inventory[[#This Row],[pre_res]]*Grandview_Inventory[[#This Row],[overall_adj]])</f>
        <v>217030.9260296943</v>
      </c>
      <c r="BZ1155" s="6">
        <f>(Grandview_Inventory[[#This Row],[sum_land]]-IF(Grandview_Inventory[[#This Row],[no_utilities]]=1,12000,0))/IF(Grandview_Inventory[[#This Row],[unbuildable]]=1,2,1)</f>
        <v>56480.857465963549</v>
      </c>
      <c r="CA1155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55">
        <f>ROUND(Grandview_Inventory[[#This Row],[det_value]]*Lookups!$M$28,-2)</f>
        <v>5700</v>
      </c>
      <c r="CC1155">
        <f>IF(ROUND(Grandview_Inventory[[#This Row],[adj_res]]*Lookups!$M$28,-2)&lt;Grandview_Inventory[[#This Row],[min_res]],Grandview_Inventory[[#This Row],[min_res]],ROUND(Grandview_Inventory[[#This Row],[adj_res]]*Lookups!$M$28,-2))</f>
        <v>206200</v>
      </c>
      <c r="CD1155">
        <f>Grandview_Inventory[[#This Row],[final_det]]+Grandview_Inventory[[#This Row],[final_res]]</f>
        <v>211900</v>
      </c>
      <c r="CE1155">
        <f>Grandview_Inventory[[#This Row],[final_land]]+Grandview_Inventory[[#This Row],[final_imp]]+Grandview_Inventory[[#This Row],[crop_value]]</f>
        <v>265600</v>
      </c>
      <c r="CG1155" t="str">
        <f t="shared" ref="CG1155:CG1218" si="18">"update valuation set market_land ="&amp;CA1155&amp;", market_bldg="&amp;CD1155&amp;", market_total ="&amp;CE1155&amp;", market_mdno ="&amp;$CG$1&amp;", market_date ='"&amp;TEXT($CH$1,"m/d/yyyy")&amp;"' where link_id = (select link_id from parcel where parcel_year = '2024' and parcel_id = '"&amp;A1155&amp;"');"</f>
        <v>update valuation set market_land =53700, market_bldg=211900, market_total =265600, market_mdno =401, market_date ='9/10/2023' where link_id = (select link_id from parcel where parcel_year = '2024' and parcel_id = '23092243413');</v>
      </c>
    </row>
    <row r="1156" spans="1:85" x14ac:dyDescent="0.25">
      <c r="A1156">
        <v>23092243414</v>
      </c>
      <c r="B1156">
        <v>0.32</v>
      </c>
      <c r="C1156">
        <v>14000</v>
      </c>
      <c r="D1156" t="s">
        <v>129</v>
      </c>
      <c r="E1156" t="s">
        <v>53</v>
      </c>
      <c r="F1156" t="s">
        <v>53</v>
      </c>
      <c r="G1156">
        <v>4</v>
      </c>
      <c r="H1156" t="s">
        <v>54</v>
      </c>
      <c r="I1156">
        <v>155200</v>
      </c>
      <c r="J1156">
        <v>45800</v>
      </c>
      <c r="K1156">
        <v>0.32</v>
      </c>
      <c r="L1156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56">
        <v>0</v>
      </c>
      <c r="N1156">
        <v>0</v>
      </c>
      <c r="O1156">
        <v>0</v>
      </c>
      <c r="P1156">
        <v>13398.7528</v>
      </c>
      <c r="Q1156">
        <v>63903</v>
      </c>
      <c r="R1156">
        <f>(Grandview_Inventory[[#This Row],[ln_acres]]*Grandview_Inventory[[#This Row],[coeff]])+Grandview_Inventory[[#This Row],[const]]</f>
        <v>48636.001707713905</v>
      </c>
      <c r="S1156" t="s">
        <v>68</v>
      </c>
      <c r="T1156">
        <v>1</v>
      </c>
      <c r="U1156" t="s">
        <v>65</v>
      </c>
      <c r="V1156" t="s">
        <v>69</v>
      </c>
      <c r="W1156">
        <v>0</v>
      </c>
      <c r="X1156">
        <v>0</v>
      </c>
      <c r="Y1156">
        <v>49</v>
      </c>
      <c r="Z1156">
        <v>68</v>
      </c>
      <c r="AA1156">
        <v>70</v>
      </c>
      <c r="AB1156">
        <v>2000</v>
      </c>
      <c r="AC1156">
        <v>1514</v>
      </c>
      <c r="AD1156">
        <v>1514</v>
      </c>
      <c r="AE1156">
        <v>0</v>
      </c>
      <c r="AF1156">
        <v>0</v>
      </c>
      <c r="AG1156">
        <v>0</v>
      </c>
      <c r="AH1156">
        <v>0</v>
      </c>
      <c r="AI1156">
        <v>240</v>
      </c>
      <c r="AJ1156">
        <v>0</v>
      </c>
      <c r="AK1156">
        <v>0</v>
      </c>
      <c r="AL1156">
        <v>0</v>
      </c>
      <c r="AM1156">
        <v>202</v>
      </c>
      <c r="AN1156">
        <v>0</v>
      </c>
      <c r="AO1156">
        <v>0</v>
      </c>
      <c r="AP1156">
        <v>8</v>
      </c>
      <c r="AQ1156">
        <v>0</v>
      </c>
      <c r="AR1156">
        <v>0</v>
      </c>
      <c r="AS1156" t="s">
        <v>58</v>
      </c>
      <c r="AT1156">
        <v>1</v>
      </c>
      <c r="AU1156" t="s">
        <v>63</v>
      </c>
      <c r="AV1156" t="s">
        <v>60</v>
      </c>
      <c r="AW1156">
        <v>0</v>
      </c>
      <c r="AX1156">
        <v>3</v>
      </c>
      <c r="AY1156">
        <v>0</v>
      </c>
      <c r="AZ1156">
        <v>0</v>
      </c>
      <c r="BA1156">
        <v>100</v>
      </c>
      <c r="BB1156">
        <v>100</v>
      </c>
      <c r="BC1156">
        <v>100</v>
      </c>
      <c r="BD1156">
        <v>100</v>
      </c>
      <c r="BE1156">
        <v>1</v>
      </c>
      <c r="BF1156">
        <v>15000</v>
      </c>
      <c r="BG1156">
        <v>1000</v>
      </c>
      <c r="BH1156" s="6">
        <f>Grandview_Inventory[[#This Row],[land_extract]]*Lookups!$B$3</f>
        <v>56480.857465963549</v>
      </c>
      <c r="BI1156" s="6">
        <f>IF(Grandview_Inventory[[#This Row],[bldg_style]]="",0,Lookups!$B$2)</f>
        <v>155833.95000000001</v>
      </c>
      <c r="BJ1156" s="6">
        <f>_xlfn.IFNA(VLOOKUP(Grandview_Inventory[[#This Row],[quality]],Lookups!$H$2:$J$14,3,FALSE),0)</f>
        <v>2251</v>
      </c>
      <c r="BK1156" s="6">
        <f>_xlfn.IFNA(VLOOKUP(Grandview_Inventory[[#This Row],[condition]],Lookups!$H$17:$J$24,3,FALSE),0)</f>
        <v>-4503</v>
      </c>
      <c r="BL1156" s="6">
        <f>Grandview_Inventory[[#This Row],[Eff_Age]]*Lookups!$B$14</f>
        <v>-11719.163399999999</v>
      </c>
      <c r="BM1156" s="6">
        <f>Grandview_Inventory[[#This Row],[living_area]]*Lookups!$B$15</f>
        <v>94444.611442000009</v>
      </c>
      <c r="BN1156" s="6">
        <f>Grandview_Inventory[[#This Row],[Fin BSMT]]*Lookups!$B$16</f>
        <v>0</v>
      </c>
      <c r="BO1156" s="6">
        <f>(Grandview_Inventory[[#This Row],[att_gar]]+Grandview_Inventory[[#This Row],[bltin_gar]])*Lookups!$B$17</f>
        <v>21004.904880000002</v>
      </c>
      <c r="BP1156" s="6">
        <f>Grandview_Inventory[[#This Row],[Plumbing Fixtures]]*Lookups!$B$18</f>
        <v>16083.5344</v>
      </c>
      <c r="BQ1156" s="6">
        <f>Grandview_Inventory[[#This Row],[detatched_value]]*Lookups!$B$19</f>
        <v>0</v>
      </c>
      <c r="BR1156" s="6">
        <f>SUM(Grandview_Inventory[[#This Row],[Intercept]:[det_value]])*Grandview_Inventory[[#This Row],[res_pct]]</f>
        <v>273395.83732200001</v>
      </c>
      <c r="BS1156" s="6">
        <f>Grandview_Inventory[[#This Row],[land_value]]</f>
        <v>56480.857465963549</v>
      </c>
      <c r="BT1156" s="4">
        <f>_xlfn.IFNA(VLOOKUP(Grandview_Inventory[[#This Row],[quality]],Lookups!$A$26:$C$33,3,FALSE),1)</f>
        <v>0.98763855981004833</v>
      </c>
      <c r="BU1156" s="4">
        <f>_xlfn.IFNA(VLOOKUP(Grandview_Inventory[[#This Row],[condition]],Lookups!$A$37:$C$44,3,FALSE),1)</f>
        <v>0.96469275950863709</v>
      </c>
      <c r="BV1156" s="4">
        <f>IF(Grandview_Inventory[[#This Row],[bldg_style]]="",1,_xlfn.IFNA(VLOOKUP(Grandview_Inventory[[#This Row],[decade]],Lookups!$F$29:$H$43,3,FALSE),1))</f>
        <v>0.99472141305414818</v>
      </c>
      <c r="BW1156" s="4">
        <f>_xlfn.IFNA(VLOOKUP(Grandview_Inventory[[#This Row],[living_area_range]],Lookups!$F$47:$H$56,3,FALSE),1)</f>
        <v>0.96120133463014379</v>
      </c>
      <c r="BX1156" s="4">
        <f>AVERAGE(Grandview_Inventory[[#This Row],[qual_adj]:[size_adj]])</f>
        <v>0.97706351675074443</v>
      </c>
      <c r="BY1156" s="6">
        <f>IF(Grandview_Inventory[[#This Row],[pre_res]]&lt;0,0,Grandview_Inventory[[#This Row],[pre_res]]*Grandview_Inventory[[#This Row],[overall_adj]])</f>
        <v>267125.09827884776</v>
      </c>
      <c r="BZ1156" s="6">
        <f>(Grandview_Inventory[[#This Row],[sum_land]]-IF(Grandview_Inventory[[#This Row],[no_utilities]]=1,12000,0))/IF(Grandview_Inventory[[#This Row],[unbuildable]]=1,2,1)</f>
        <v>56480.857465963549</v>
      </c>
      <c r="CA1156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56">
        <f>ROUND(Grandview_Inventory[[#This Row],[det_value]]*Lookups!$M$28,-2)</f>
        <v>0</v>
      </c>
      <c r="CC1156">
        <f>IF(ROUND(Grandview_Inventory[[#This Row],[adj_res]]*Lookups!$M$28,-2)&lt;Grandview_Inventory[[#This Row],[min_res]],Grandview_Inventory[[#This Row],[min_res]],ROUND(Grandview_Inventory[[#This Row],[adj_res]]*Lookups!$M$28,-2))</f>
        <v>253800</v>
      </c>
      <c r="CD1156">
        <f>Grandview_Inventory[[#This Row],[final_det]]+Grandview_Inventory[[#This Row],[final_res]]</f>
        <v>253800</v>
      </c>
      <c r="CE1156">
        <f>Grandview_Inventory[[#This Row],[final_land]]+Grandview_Inventory[[#This Row],[final_imp]]+Grandview_Inventory[[#This Row],[crop_value]]</f>
        <v>307500</v>
      </c>
      <c r="CG1156" t="str">
        <f t="shared" si="18"/>
        <v>update valuation set market_land =53700, market_bldg=253800, market_total =307500, market_mdno =401, market_date ='9/10/2023' where link_id = (select link_id from parcel where parcel_year = '2024' and parcel_id = '23092243414');</v>
      </c>
    </row>
    <row r="1157" spans="1:85" x14ac:dyDescent="0.25">
      <c r="A1157">
        <v>23092243418</v>
      </c>
      <c r="B1157">
        <v>0.32</v>
      </c>
      <c r="C1157">
        <v>14000</v>
      </c>
      <c r="D1157" t="s">
        <v>129</v>
      </c>
      <c r="E1157" t="s">
        <v>53</v>
      </c>
      <c r="F1157" t="s">
        <v>53</v>
      </c>
      <c r="G1157">
        <v>4</v>
      </c>
      <c r="H1157" t="s">
        <v>54</v>
      </c>
      <c r="I1157">
        <v>157200</v>
      </c>
      <c r="J1157">
        <v>41200</v>
      </c>
      <c r="K1157">
        <v>0.32</v>
      </c>
      <c r="L1157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57">
        <v>0</v>
      </c>
      <c r="N1157">
        <v>0</v>
      </c>
      <c r="O1157">
        <v>0</v>
      </c>
      <c r="P1157">
        <v>13398.7528</v>
      </c>
      <c r="Q1157">
        <v>63903</v>
      </c>
      <c r="R1157">
        <f>(Grandview_Inventory[[#This Row],[ln_acres]]*Grandview_Inventory[[#This Row],[coeff]])+Grandview_Inventory[[#This Row],[const]]</f>
        <v>48636.001707713905</v>
      </c>
      <c r="S1157" t="s">
        <v>68</v>
      </c>
      <c r="T1157">
        <v>1</v>
      </c>
      <c r="U1157" t="s">
        <v>62</v>
      </c>
      <c r="V1157" t="s">
        <v>69</v>
      </c>
      <c r="W1157">
        <v>0</v>
      </c>
      <c r="X1157">
        <v>0</v>
      </c>
      <c r="Y1157">
        <v>50</v>
      </c>
      <c r="Z1157">
        <v>73</v>
      </c>
      <c r="AA1157">
        <v>80</v>
      </c>
      <c r="AB1157">
        <v>2000</v>
      </c>
      <c r="AC1157">
        <v>1504</v>
      </c>
      <c r="AD1157">
        <v>1504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154</v>
      </c>
      <c r="AN1157">
        <v>0</v>
      </c>
      <c r="AO1157">
        <v>77</v>
      </c>
      <c r="AP1157">
        <v>7</v>
      </c>
      <c r="AQ1157">
        <v>0</v>
      </c>
      <c r="AR1157">
        <v>0</v>
      </c>
      <c r="AS1157" t="s">
        <v>58</v>
      </c>
      <c r="AT1157">
        <v>1</v>
      </c>
      <c r="AU1157" t="s">
        <v>59</v>
      </c>
      <c r="AV1157" t="s">
        <v>60</v>
      </c>
      <c r="AW1157">
        <v>1</v>
      </c>
      <c r="AX1157">
        <v>3</v>
      </c>
      <c r="AY1157">
        <v>0</v>
      </c>
      <c r="AZ1157">
        <v>6900</v>
      </c>
      <c r="BA1157">
        <v>100</v>
      </c>
      <c r="BB1157">
        <v>100</v>
      </c>
      <c r="BC1157">
        <v>100</v>
      </c>
      <c r="BD1157">
        <v>100</v>
      </c>
      <c r="BE1157">
        <v>1</v>
      </c>
      <c r="BF1157">
        <v>15000</v>
      </c>
      <c r="BG1157">
        <v>1000</v>
      </c>
      <c r="BH1157" s="6">
        <f>Grandview_Inventory[[#This Row],[land_extract]]*Lookups!$B$3</f>
        <v>56480.857465963549</v>
      </c>
      <c r="BI1157" s="6">
        <f>IF(Grandview_Inventory[[#This Row],[bldg_style]]="",0,Lookups!$B$2)</f>
        <v>155833.95000000001</v>
      </c>
      <c r="BJ1157" s="6">
        <f>_xlfn.IFNA(VLOOKUP(Grandview_Inventory[[#This Row],[quality]],Lookups!$H$2:$J$14,3,FALSE),0)</f>
        <v>9808</v>
      </c>
      <c r="BK1157" s="6">
        <f>_xlfn.IFNA(VLOOKUP(Grandview_Inventory[[#This Row],[condition]],Lookups!$H$17:$J$24,3,FALSE),0)</f>
        <v>-4503</v>
      </c>
      <c r="BL1157" s="6">
        <f>Grandview_Inventory[[#This Row],[Eff_Age]]*Lookups!$B$14</f>
        <v>-11958.33</v>
      </c>
      <c r="BM1157" s="6">
        <f>Grandview_Inventory[[#This Row],[living_area]]*Lookups!$B$15</f>
        <v>93820.802911999999</v>
      </c>
      <c r="BN1157" s="6">
        <f>Grandview_Inventory[[#This Row],[Fin BSMT]]*Lookups!$B$16</f>
        <v>0</v>
      </c>
      <c r="BO1157" s="6">
        <f>(Grandview_Inventory[[#This Row],[att_gar]]+Grandview_Inventory[[#This Row],[bltin_gar]])*Lookups!$B$17</f>
        <v>0</v>
      </c>
      <c r="BP1157" s="6">
        <f>Grandview_Inventory[[#This Row],[Plumbing Fixtures]]*Lookups!$B$18</f>
        <v>14073.0926</v>
      </c>
      <c r="BQ1157" s="6">
        <f>Grandview_Inventory[[#This Row],[detatched_value]]*Lookups!$B$19</f>
        <v>5842.9551899999997</v>
      </c>
      <c r="BR1157" s="6">
        <f>SUM(Grandview_Inventory[[#This Row],[Intercept]:[det_value]])*Grandview_Inventory[[#This Row],[res_pct]]</f>
        <v>262917.47070200002</v>
      </c>
      <c r="BS1157" s="6">
        <f>Grandview_Inventory[[#This Row],[land_value]]</f>
        <v>56480.857465963549</v>
      </c>
      <c r="BT1157" s="4">
        <f>_xlfn.IFNA(VLOOKUP(Grandview_Inventory[[#This Row],[quality]],Lookups!$A$26:$C$33,3,FALSE),1)</f>
        <v>0.94295468617355149</v>
      </c>
      <c r="BU1157" s="4">
        <f>_xlfn.IFNA(VLOOKUP(Grandview_Inventory[[#This Row],[condition]],Lookups!$A$37:$C$44,3,FALSE),1)</f>
        <v>0.96469275950863709</v>
      </c>
      <c r="BV1157" s="4">
        <f>IF(Grandview_Inventory[[#This Row],[bldg_style]]="",1,_xlfn.IFNA(VLOOKUP(Grandview_Inventory[[#This Row],[decade]],Lookups!$F$29:$H$43,3,FALSE),1))</f>
        <v>0.98763256963907298</v>
      </c>
      <c r="BW1157" s="4">
        <f>_xlfn.IFNA(VLOOKUP(Grandview_Inventory[[#This Row],[living_area_range]],Lookups!$F$47:$H$56,3,FALSE),1)</f>
        <v>0.96120133463014379</v>
      </c>
      <c r="BX1157" s="4">
        <f>AVERAGE(Grandview_Inventory[[#This Row],[qual_adj]:[size_adj]])</f>
        <v>0.96412033748785131</v>
      </c>
      <c r="BY1157" s="6">
        <f>IF(Grandview_Inventory[[#This Row],[pre_res]]&lt;0,0,Grandview_Inventory[[#This Row],[pre_res]]*Grandview_Inventory[[#This Row],[overall_adj]])</f>
        <v>253484.08058466451</v>
      </c>
      <c r="BZ1157" s="6">
        <f>(Grandview_Inventory[[#This Row],[sum_land]]-IF(Grandview_Inventory[[#This Row],[no_utilities]]=1,12000,0))/IF(Grandview_Inventory[[#This Row],[unbuildable]]=1,2,1)</f>
        <v>56480.857465963549</v>
      </c>
      <c r="CA1157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57">
        <f>ROUND(Grandview_Inventory[[#This Row],[det_value]]*Lookups!$M$28,-2)</f>
        <v>5600</v>
      </c>
      <c r="CC1157">
        <f>IF(ROUND(Grandview_Inventory[[#This Row],[adj_res]]*Lookups!$M$28,-2)&lt;Grandview_Inventory[[#This Row],[min_res]],Grandview_Inventory[[#This Row],[min_res]],ROUND(Grandview_Inventory[[#This Row],[adj_res]]*Lookups!$M$28,-2))</f>
        <v>240800</v>
      </c>
      <c r="CD1157">
        <f>Grandview_Inventory[[#This Row],[final_det]]+Grandview_Inventory[[#This Row],[final_res]]</f>
        <v>246400</v>
      </c>
      <c r="CE1157">
        <f>Grandview_Inventory[[#This Row],[final_land]]+Grandview_Inventory[[#This Row],[final_imp]]+Grandview_Inventory[[#This Row],[crop_value]]</f>
        <v>300100</v>
      </c>
      <c r="CG1157" t="str">
        <f t="shared" si="18"/>
        <v>update valuation set market_land =53700, market_bldg=246400, market_total =300100, market_mdno =401, market_date ='9/10/2023' where link_id = (select link_id from parcel where parcel_year = '2024' and parcel_id = '23092243418');</v>
      </c>
    </row>
    <row r="1158" spans="1:85" x14ac:dyDescent="0.25">
      <c r="A1158">
        <v>23092243419</v>
      </c>
      <c r="B1158">
        <v>0.32</v>
      </c>
      <c r="C1158">
        <v>14000</v>
      </c>
      <c r="D1158" t="s">
        <v>129</v>
      </c>
      <c r="E1158" t="s">
        <v>53</v>
      </c>
      <c r="F1158" t="s">
        <v>53</v>
      </c>
      <c r="G1158">
        <v>4</v>
      </c>
      <c r="H1158" t="s">
        <v>54</v>
      </c>
      <c r="I1158">
        <v>183900</v>
      </c>
      <c r="J1158">
        <v>41200</v>
      </c>
      <c r="K1158">
        <v>0.32</v>
      </c>
      <c r="L1158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58">
        <v>0</v>
      </c>
      <c r="N1158">
        <v>0</v>
      </c>
      <c r="O1158">
        <v>0</v>
      </c>
      <c r="P1158">
        <v>13398.7528</v>
      </c>
      <c r="Q1158">
        <v>63903</v>
      </c>
      <c r="R1158">
        <f>(Grandview_Inventory[[#This Row],[ln_acres]]*Grandview_Inventory[[#This Row],[coeff]])+Grandview_Inventory[[#This Row],[const]]</f>
        <v>48636.001707713905</v>
      </c>
      <c r="S1158" t="s">
        <v>61</v>
      </c>
      <c r="T1158">
        <v>1</v>
      </c>
      <c r="U1158" t="s">
        <v>65</v>
      </c>
      <c r="V1158" t="s">
        <v>69</v>
      </c>
      <c r="W1158">
        <v>0</v>
      </c>
      <c r="X1158">
        <v>0</v>
      </c>
      <c r="Y1158">
        <v>49</v>
      </c>
      <c r="Z1158">
        <v>68</v>
      </c>
      <c r="AA1158">
        <v>70</v>
      </c>
      <c r="AB1158">
        <v>2000</v>
      </c>
      <c r="AC1158">
        <v>1575</v>
      </c>
      <c r="AD1158">
        <v>1575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390</v>
      </c>
      <c r="AO1158">
        <v>0</v>
      </c>
      <c r="AP1158">
        <v>8</v>
      </c>
      <c r="AQ1158">
        <v>0</v>
      </c>
      <c r="AR1158">
        <v>0</v>
      </c>
      <c r="AS1158" t="s">
        <v>58</v>
      </c>
      <c r="AT1158">
        <v>1</v>
      </c>
      <c r="AU1158" t="s">
        <v>63</v>
      </c>
      <c r="AV1158" t="s">
        <v>60</v>
      </c>
      <c r="AW1158">
        <v>1</v>
      </c>
      <c r="AX1158">
        <v>3</v>
      </c>
      <c r="AY1158">
        <v>0</v>
      </c>
      <c r="AZ1158">
        <v>13100</v>
      </c>
      <c r="BA1158">
        <v>100</v>
      </c>
      <c r="BB1158">
        <v>100</v>
      </c>
      <c r="BC1158">
        <v>100</v>
      </c>
      <c r="BD1158">
        <v>100</v>
      </c>
      <c r="BE1158">
        <v>1</v>
      </c>
      <c r="BF1158">
        <v>15000</v>
      </c>
      <c r="BG1158">
        <v>1000</v>
      </c>
      <c r="BH1158" s="6">
        <f>Grandview_Inventory[[#This Row],[land_extract]]*Lookups!$B$3</f>
        <v>56480.857465963549</v>
      </c>
      <c r="BI1158" s="6">
        <f>IF(Grandview_Inventory[[#This Row],[bldg_style]]="",0,Lookups!$B$2)</f>
        <v>155833.95000000001</v>
      </c>
      <c r="BJ1158" s="6">
        <f>_xlfn.IFNA(VLOOKUP(Grandview_Inventory[[#This Row],[quality]],Lookups!$H$2:$J$14,3,FALSE),0)</f>
        <v>2251</v>
      </c>
      <c r="BK1158" s="6">
        <f>_xlfn.IFNA(VLOOKUP(Grandview_Inventory[[#This Row],[condition]],Lookups!$H$17:$J$24,3,FALSE),0)</f>
        <v>-4503</v>
      </c>
      <c r="BL1158" s="6">
        <f>Grandview_Inventory[[#This Row],[Eff_Age]]*Lookups!$B$14</f>
        <v>-11719.163399999999</v>
      </c>
      <c r="BM1158" s="6">
        <f>Grandview_Inventory[[#This Row],[living_area]]*Lookups!$B$15</f>
        <v>98249.843475000001</v>
      </c>
      <c r="BN1158" s="6">
        <f>Grandview_Inventory[[#This Row],[Fin BSMT]]*Lookups!$B$16</f>
        <v>0</v>
      </c>
      <c r="BO1158" s="6">
        <f>(Grandview_Inventory[[#This Row],[att_gar]]+Grandview_Inventory[[#This Row],[bltin_gar]])*Lookups!$B$17</f>
        <v>0</v>
      </c>
      <c r="BP1158" s="6">
        <f>Grandview_Inventory[[#This Row],[Plumbing Fixtures]]*Lookups!$B$18</f>
        <v>16083.5344</v>
      </c>
      <c r="BQ1158" s="6">
        <f>Grandview_Inventory[[#This Row],[detatched_value]]*Lookups!$B$19</f>
        <v>11093.14681</v>
      </c>
      <c r="BR1158" s="6">
        <f>SUM(Grandview_Inventory[[#This Row],[Intercept]:[det_value]])*Grandview_Inventory[[#This Row],[res_pct]]</f>
        <v>267289.311285</v>
      </c>
      <c r="BS1158" s="6">
        <f>Grandview_Inventory[[#This Row],[land_value]]</f>
        <v>56480.857465963549</v>
      </c>
      <c r="BT1158" s="4">
        <f>_xlfn.IFNA(VLOOKUP(Grandview_Inventory[[#This Row],[quality]],Lookups!$A$26:$C$33,3,FALSE),1)</f>
        <v>0.98763855981004833</v>
      </c>
      <c r="BU1158" s="4">
        <f>_xlfn.IFNA(VLOOKUP(Grandview_Inventory[[#This Row],[condition]],Lookups!$A$37:$C$44,3,FALSE),1)</f>
        <v>0.96469275950863709</v>
      </c>
      <c r="BV1158" s="4">
        <f>IF(Grandview_Inventory[[#This Row],[bldg_style]]="",1,_xlfn.IFNA(VLOOKUP(Grandview_Inventory[[#This Row],[decade]],Lookups!$F$29:$H$43,3,FALSE),1))</f>
        <v>0.99472141305414818</v>
      </c>
      <c r="BW1158" s="4">
        <f>_xlfn.IFNA(VLOOKUP(Grandview_Inventory[[#This Row],[living_area_range]],Lookups!$F$47:$H$56,3,FALSE),1)</f>
        <v>0.96120133463014379</v>
      </c>
      <c r="BX1158" s="4">
        <f>AVERAGE(Grandview_Inventory[[#This Row],[qual_adj]:[size_adj]])</f>
        <v>0.97706351675074443</v>
      </c>
      <c r="BY1158" s="6">
        <f>IF(Grandview_Inventory[[#This Row],[pre_res]]&lt;0,0,Grandview_Inventory[[#This Row],[pre_res]]*Grandview_Inventory[[#This Row],[overall_adj]])</f>
        <v>261158.63447400654</v>
      </c>
      <c r="BZ1158" s="6">
        <f>(Grandview_Inventory[[#This Row],[sum_land]]-IF(Grandview_Inventory[[#This Row],[no_utilities]]=1,12000,0))/IF(Grandview_Inventory[[#This Row],[unbuildable]]=1,2,1)</f>
        <v>56480.857465963549</v>
      </c>
      <c r="CA1158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58">
        <f>ROUND(Grandview_Inventory[[#This Row],[det_value]]*Lookups!$M$28,-2)</f>
        <v>10500</v>
      </c>
      <c r="CC1158">
        <f>IF(ROUND(Grandview_Inventory[[#This Row],[adj_res]]*Lookups!$M$28,-2)&lt;Grandview_Inventory[[#This Row],[min_res]],Grandview_Inventory[[#This Row],[min_res]],ROUND(Grandview_Inventory[[#This Row],[adj_res]]*Lookups!$M$28,-2))</f>
        <v>248100</v>
      </c>
      <c r="CD1158">
        <f>Grandview_Inventory[[#This Row],[final_det]]+Grandview_Inventory[[#This Row],[final_res]]</f>
        <v>258600</v>
      </c>
      <c r="CE1158">
        <f>Grandview_Inventory[[#This Row],[final_land]]+Grandview_Inventory[[#This Row],[final_imp]]+Grandview_Inventory[[#This Row],[crop_value]]</f>
        <v>312300</v>
      </c>
      <c r="CG1158" t="str">
        <f t="shared" si="18"/>
        <v>update valuation set market_land =53700, market_bldg=258600, market_total =312300, market_mdno =401, market_date ='9/10/2023' where link_id = (select link_id from parcel where parcel_year = '2024' and parcel_id = '23092243419');</v>
      </c>
    </row>
    <row r="1159" spans="1:85" x14ac:dyDescent="0.25">
      <c r="A1159">
        <v>23092243420</v>
      </c>
      <c r="B1159">
        <v>0.32</v>
      </c>
      <c r="C1159">
        <v>14000</v>
      </c>
      <c r="D1159" t="s">
        <v>129</v>
      </c>
      <c r="E1159" t="s">
        <v>53</v>
      </c>
      <c r="F1159" t="s">
        <v>53</v>
      </c>
      <c r="G1159">
        <v>4</v>
      </c>
      <c r="H1159" t="s">
        <v>54</v>
      </c>
      <c r="I1159">
        <v>276300</v>
      </c>
      <c r="J1159">
        <v>41200</v>
      </c>
      <c r="K1159">
        <v>0.32</v>
      </c>
      <c r="L1159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59">
        <v>0</v>
      </c>
      <c r="N1159">
        <v>0</v>
      </c>
      <c r="O1159">
        <v>0</v>
      </c>
      <c r="P1159">
        <v>13398.7528</v>
      </c>
      <c r="Q1159">
        <v>63903</v>
      </c>
      <c r="R1159">
        <f>(Grandview_Inventory[[#This Row],[ln_acres]]*Grandview_Inventory[[#This Row],[coeff]])+Grandview_Inventory[[#This Row],[const]]</f>
        <v>48636.001707713905</v>
      </c>
      <c r="S1159" t="s">
        <v>68</v>
      </c>
      <c r="T1159">
        <v>1</v>
      </c>
      <c r="U1159" t="s">
        <v>65</v>
      </c>
      <c r="V1159" t="s">
        <v>69</v>
      </c>
      <c r="W1159">
        <v>0</v>
      </c>
      <c r="X1159">
        <v>0</v>
      </c>
      <c r="Y1159">
        <v>49</v>
      </c>
      <c r="Z1159">
        <v>68</v>
      </c>
      <c r="AA1159">
        <v>70</v>
      </c>
      <c r="AB1159">
        <v>1500</v>
      </c>
      <c r="AC1159">
        <v>1376</v>
      </c>
      <c r="AD1159">
        <v>1376</v>
      </c>
      <c r="AE1159">
        <v>0</v>
      </c>
      <c r="AF1159">
        <v>0</v>
      </c>
      <c r="AG1159">
        <v>0</v>
      </c>
      <c r="AH1159">
        <v>0</v>
      </c>
      <c r="AI1159">
        <v>252</v>
      </c>
      <c r="AJ1159">
        <v>0</v>
      </c>
      <c r="AK1159">
        <v>0</v>
      </c>
      <c r="AL1159">
        <v>192</v>
      </c>
      <c r="AM1159">
        <v>0</v>
      </c>
      <c r="AN1159">
        <v>0</v>
      </c>
      <c r="AO1159">
        <v>0</v>
      </c>
      <c r="AP1159">
        <v>8</v>
      </c>
      <c r="AQ1159">
        <v>1</v>
      </c>
      <c r="AR1159">
        <v>0</v>
      </c>
      <c r="AS1159" t="s">
        <v>58</v>
      </c>
      <c r="AT1159">
        <v>1</v>
      </c>
      <c r="AU1159" t="s">
        <v>63</v>
      </c>
      <c r="AV1159" t="s">
        <v>60</v>
      </c>
      <c r="AW1159">
        <v>0</v>
      </c>
      <c r="AX1159">
        <v>2</v>
      </c>
      <c r="AY1159">
        <v>0</v>
      </c>
      <c r="AZ1159">
        <v>79500</v>
      </c>
      <c r="BA1159">
        <v>100</v>
      </c>
      <c r="BB1159">
        <v>100</v>
      </c>
      <c r="BC1159">
        <v>100</v>
      </c>
      <c r="BD1159">
        <v>100</v>
      </c>
      <c r="BE1159">
        <v>1</v>
      </c>
      <c r="BF1159">
        <v>15000</v>
      </c>
      <c r="BG1159">
        <v>1000</v>
      </c>
      <c r="BH1159" s="6">
        <f>Grandview_Inventory[[#This Row],[land_extract]]*Lookups!$B$3</f>
        <v>56480.857465963549</v>
      </c>
      <c r="BI1159" s="6">
        <f>IF(Grandview_Inventory[[#This Row],[bldg_style]]="",0,Lookups!$B$2)</f>
        <v>155833.95000000001</v>
      </c>
      <c r="BJ1159" s="6">
        <f>_xlfn.IFNA(VLOOKUP(Grandview_Inventory[[#This Row],[quality]],Lookups!$H$2:$J$14,3,FALSE),0)</f>
        <v>2251</v>
      </c>
      <c r="BK1159" s="6">
        <f>_xlfn.IFNA(VLOOKUP(Grandview_Inventory[[#This Row],[condition]],Lookups!$H$17:$J$24,3,FALSE),0)</f>
        <v>-4503</v>
      </c>
      <c r="BL1159" s="6">
        <f>Grandview_Inventory[[#This Row],[Eff_Age]]*Lookups!$B$14</f>
        <v>-11719.163399999999</v>
      </c>
      <c r="BM1159" s="6">
        <f>Grandview_Inventory[[#This Row],[living_area]]*Lookups!$B$15</f>
        <v>85836.053727999999</v>
      </c>
      <c r="BN1159" s="6">
        <f>Grandview_Inventory[[#This Row],[Fin BSMT]]*Lookups!$B$16</f>
        <v>0</v>
      </c>
      <c r="BO1159" s="6">
        <f>(Grandview_Inventory[[#This Row],[att_gar]]+Grandview_Inventory[[#This Row],[bltin_gar]])*Lookups!$B$17</f>
        <v>22055.150124</v>
      </c>
      <c r="BP1159" s="6">
        <f>Grandview_Inventory[[#This Row],[Plumbing Fixtures]]*Lookups!$B$18</f>
        <v>16083.5344</v>
      </c>
      <c r="BQ1159" s="6">
        <f>Grandview_Inventory[[#This Row],[detatched_value]]*Lookups!$B$19</f>
        <v>67321.005449999997</v>
      </c>
      <c r="BR1159" s="6">
        <f>SUM(Grandview_Inventory[[#This Row],[Intercept]:[det_value]])*Grandview_Inventory[[#This Row],[res_pct]]</f>
        <v>333158.530302</v>
      </c>
      <c r="BS1159" s="6">
        <f>Grandview_Inventory[[#This Row],[land_value]]</f>
        <v>56480.857465963549</v>
      </c>
      <c r="BT1159" s="4">
        <f>_xlfn.IFNA(VLOOKUP(Grandview_Inventory[[#This Row],[quality]],Lookups!$A$26:$C$33,3,FALSE),1)</f>
        <v>0.98763855981004833</v>
      </c>
      <c r="BU1159" s="4">
        <f>_xlfn.IFNA(VLOOKUP(Grandview_Inventory[[#This Row],[condition]],Lookups!$A$37:$C$44,3,FALSE),1)</f>
        <v>0.96469275950863709</v>
      </c>
      <c r="BV1159" s="4">
        <f>IF(Grandview_Inventory[[#This Row],[bldg_style]]="",1,_xlfn.IFNA(VLOOKUP(Grandview_Inventory[[#This Row],[decade]],Lookups!$F$29:$H$43,3,FALSE),1))</f>
        <v>0.99472141305414818</v>
      </c>
      <c r="BW1159" s="4">
        <f>_xlfn.IFNA(VLOOKUP(Grandview_Inventory[[#This Row],[living_area_range]],Lookups!$F$47:$H$56,3,FALSE),1)</f>
        <v>0.96135087979789358</v>
      </c>
      <c r="BX1159" s="4">
        <f>AVERAGE(Grandview_Inventory[[#This Row],[qual_adj]:[size_adj]])</f>
        <v>0.97710090304268182</v>
      </c>
      <c r="BY1159" s="6">
        <f>IF(Grandview_Inventory[[#This Row],[pre_res]]&lt;0,0,Grandview_Inventory[[#This Row],[pre_res]]*Grandview_Inventory[[#This Row],[overall_adj]])</f>
        <v>325529.5008144569</v>
      </c>
      <c r="BZ1159" s="6">
        <f>(Grandview_Inventory[[#This Row],[sum_land]]-IF(Grandview_Inventory[[#This Row],[no_utilities]]=1,12000,0))/IF(Grandview_Inventory[[#This Row],[unbuildable]]=1,2,1)</f>
        <v>56480.857465963549</v>
      </c>
      <c r="CA1159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59">
        <f>ROUND(Grandview_Inventory[[#This Row],[det_value]]*Lookups!$M$28,-2)</f>
        <v>64000</v>
      </c>
      <c r="CC1159">
        <f>IF(ROUND(Grandview_Inventory[[#This Row],[adj_res]]*Lookups!$M$28,-2)&lt;Grandview_Inventory[[#This Row],[min_res]],Grandview_Inventory[[#This Row],[min_res]],ROUND(Grandview_Inventory[[#This Row],[adj_res]]*Lookups!$M$28,-2))</f>
        <v>309300</v>
      </c>
      <c r="CD1159">
        <f>Grandview_Inventory[[#This Row],[final_det]]+Grandview_Inventory[[#This Row],[final_res]]</f>
        <v>373300</v>
      </c>
      <c r="CE1159">
        <f>Grandview_Inventory[[#This Row],[final_land]]+Grandview_Inventory[[#This Row],[final_imp]]+Grandview_Inventory[[#This Row],[crop_value]]</f>
        <v>427000</v>
      </c>
      <c r="CG1159" t="str">
        <f t="shared" si="18"/>
        <v>update valuation set market_land =53700, market_bldg=373300, market_total =427000, market_mdno =401, market_date ='9/10/2023' where link_id = (select link_id from parcel where parcel_year = '2024' and parcel_id = '23092243420');</v>
      </c>
    </row>
    <row r="1160" spans="1:85" x14ac:dyDescent="0.25">
      <c r="A1160">
        <v>23092243421</v>
      </c>
      <c r="B1160">
        <v>0.32</v>
      </c>
      <c r="C1160">
        <v>14000</v>
      </c>
      <c r="D1160" t="s">
        <v>129</v>
      </c>
      <c r="E1160" t="s">
        <v>53</v>
      </c>
      <c r="F1160" t="s">
        <v>53</v>
      </c>
      <c r="G1160">
        <v>4</v>
      </c>
      <c r="H1160" t="s">
        <v>54</v>
      </c>
      <c r="I1160">
        <v>207700</v>
      </c>
      <c r="J1160">
        <v>41200</v>
      </c>
      <c r="K1160">
        <v>0.32</v>
      </c>
      <c r="L1160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60">
        <v>0</v>
      </c>
      <c r="N1160">
        <v>0</v>
      </c>
      <c r="O1160">
        <v>0</v>
      </c>
      <c r="P1160">
        <v>13398.7528</v>
      </c>
      <c r="Q1160">
        <v>63903</v>
      </c>
      <c r="R1160">
        <f>(Grandview_Inventory[[#This Row],[ln_acres]]*Grandview_Inventory[[#This Row],[coeff]])+Grandview_Inventory[[#This Row],[const]]</f>
        <v>48636.001707713905</v>
      </c>
      <c r="S1160" t="s">
        <v>61</v>
      </c>
      <c r="T1160">
        <v>1</v>
      </c>
      <c r="U1160" t="s">
        <v>65</v>
      </c>
      <c r="V1160" t="s">
        <v>67</v>
      </c>
      <c r="W1160">
        <v>0</v>
      </c>
      <c r="X1160">
        <v>0</v>
      </c>
      <c r="Y1160">
        <v>49</v>
      </c>
      <c r="Z1160">
        <v>68</v>
      </c>
      <c r="AA1160">
        <v>70</v>
      </c>
      <c r="AB1160">
        <v>2000</v>
      </c>
      <c r="AC1160">
        <v>1636</v>
      </c>
      <c r="AD1160">
        <v>1636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318</v>
      </c>
      <c r="AN1160">
        <v>0</v>
      </c>
      <c r="AO1160">
        <v>318</v>
      </c>
      <c r="AP1160">
        <v>9</v>
      </c>
      <c r="AQ1160">
        <v>0</v>
      </c>
      <c r="AR1160">
        <v>0</v>
      </c>
      <c r="AS1160" t="s">
        <v>58</v>
      </c>
      <c r="AT1160">
        <v>1</v>
      </c>
      <c r="AU1160" t="s">
        <v>59</v>
      </c>
      <c r="AV1160" t="s">
        <v>60</v>
      </c>
      <c r="AW1160">
        <v>1</v>
      </c>
      <c r="AX1160">
        <v>4</v>
      </c>
      <c r="AY1160">
        <v>0</v>
      </c>
      <c r="AZ1160">
        <v>0</v>
      </c>
      <c r="BA1160">
        <v>100</v>
      </c>
      <c r="BB1160">
        <v>100</v>
      </c>
      <c r="BC1160">
        <v>100</v>
      </c>
      <c r="BD1160">
        <v>100</v>
      </c>
      <c r="BE1160">
        <v>1</v>
      </c>
      <c r="BF1160">
        <v>15000</v>
      </c>
      <c r="BG1160">
        <v>1000</v>
      </c>
      <c r="BH1160" s="6">
        <f>Grandview_Inventory[[#This Row],[land_extract]]*Lookups!$B$3</f>
        <v>56480.857465963549</v>
      </c>
      <c r="BI1160" s="6">
        <f>IF(Grandview_Inventory[[#This Row],[bldg_style]]="",0,Lookups!$B$2)</f>
        <v>155833.95000000001</v>
      </c>
      <c r="BJ1160" s="6">
        <f>_xlfn.IFNA(VLOOKUP(Grandview_Inventory[[#This Row],[quality]],Lookups!$H$2:$J$14,3,FALSE),0)</f>
        <v>2251</v>
      </c>
      <c r="BK1160" s="6">
        <f>_xlfn.IFNA(VLOOKUP(Grandview_Inventory[[#This Row],[condition]],Lookups!$H$17:$J$24,3,FALSE),0)</f>
        <v>22342</v>
      </c>
      <c r="BL1160" s="6">
        <f>Grandview_Inventory[[#This Row],[Eff_Age]]*Lookups!$B$14</f>
        <v>-11719.163399999999</v>
      </c>
      <c r="BM1160" s="6">
        <f>Grandview_Inventory[[#This Row],[living_area]]*Lookups!$B$15</f>
        <v>102055.07550800001</v>
      </c>
      <c r="BN1160" s="6">
        <f>Grandview_Inventory[[#This Row],[Fin BSMT]]*Lookups!$B$16</f>
        <v>0</v>
      </c>
      <c r="BO1160" s="6">
        <f>(Grandview_Inventory[[#This Row],[att_gar]]+Grandview_Inventory[[#This Row],[bltin_gar]])*Lookups!$B$17</f>
        <v>0</v>
      </c>
      <c r="BP1160" s="6">
        <f>Grandview_Inventory[[#This Row],[Plumbing Fixtures]]*Lookups!$B$18</f>
        <v>18093.976200000001</v>
      </c>
      <c r="BQ1160" s="6">
        <f>Grandview_Inventory[[#This Row],[detatched_value]]*Lookups!$B$19</f>
        <v>0</v>
      </c>
      <c r="BR1160" s="6">
        <f>SUM(Grandview_Inventory[[#This Row],[Intercept]:[det_value]])*Grandview_Inventory[[#This Row],[res_pct]]</f>
        <v>288856.83830800001</v>
      </c>
      <c r="BS1160" s="6">
        <f>Grandview_Inventory[[#This Row],[land_value]]</f>
        <v>56480.857465963549</v>
      </c>
      <c r="BT1160" s="4">
        <f>_xlfn.IFNA(VLOOKUP(Grandview_Inventory[[#This Row],[quality]],Lookups!$A$26:$C$33,3,FALSE),1)</f>
        <v>0.98763855981004833</v>
      </c>
      <c r="BU1160" s="4">
        <f>_xlfn.IFNA(VLOOKUP(Grandview_Inventory[[#This Row],[condition]],Lookups!$A$37:$C$44,3,FALSE),1)</f>
        <v>0.97383723671140243</v>
      </c>
      <c r="BV1160" s="4">
        <f>IF(Grandview_Inventory[[#This Row],[bldg_style]]="",1,_xlfn.IFNA(VLOOKUP(Grandview_Inventory[[#This Row],[decade]],Lookups!$F$29:$H$43,3,FALSE),1))</f>
        <v>0.99472141305414818</v>
      </c>
      <c r="BW1160" s="4">
        <f>_xlfn.IFNA(VLOOKUP(Grandview_Inventory[[#This Row],[living_area_range]],Lookups!$F$47:$H$56,3,FALSE),1)</f>
        <v>0.96120133463014379</v>
      </c>
      <c r="BX1160" s="4">
        <f>AVERAGE(Grandview_Inventory[[#This Row],[qual_adj]:[size_adj]])</f>
        <v>0.97934963605143577</v>
      </c>
      <c r="BY1160" s="6">
        <f>IF(Grandview_Inventory[[#This Row],[pre_res]]&lt;0,0,Grandview_Inventory[[#This Row],[pre_res]]*Grandview_Inventory[[#This Row],[overall_adj]])</f>
        <v>282891.83946790826</v>
      </c>
      <c r="BZ1160" s="6">
        <f>(Grandview_Inventory[[#This Row],[sum_land]]-IF(Grandview_Inventory[[#This Row],[no_utilities]]=1,12000,0))/IF(Grandview_Inventory[[#This Row],[unbuildable]]=1,2,1)</f>
        <v>56480.857465963549</v>
      </c>
      <c r="CA1160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60">
        <f>ROUND(Grandview_Inventory[[#This Row],[det_value]]*Lookups!$M$28,-2)</f>
        <v>0</v>
      </c>
      <c r="CC1160">
        <f>IF(ROUND(Grandview_Inventory[[#This Row],[adj_res]]*Lookups!$M$28,-2)&lt;Grandview_Inventory[[#This Row],[min_res]],Grandview_Inventory[[#This Row],[min_res]],ROUND(Grandview_Inventory[[#This Row],[adj_res]]*Lookups!$M$28,-2))</f>
        <v>268700</v>
      </c>
      <c r="CD1160">
        <f>Grandview_Inventory[[#This Row],[final_det]]+Grandview_Inventory[[#This Row],[final_res]]</f>
        <v>268700</v>
      </c>
      <c r="CE1160">
        <f>Grandview_Inventory[[#This Row],[final_land]]+Grandview_Inventory[[#This Row],[final_imp]]+Grandview_Inventory[[#This Row],[crop_value]]</f>
        <v>322400</v>
      </c>
      <c r="CG1160" t="str">
        <f t="shared" si="18"/>
        <v>update valuation set market_land =53700, market_bldg=268700, market_total =322400, market_mdno =401, market_date ='9/10/2023' where link_id = (select link_id from parcel where parcel_year = '2024' and parcel_id = '23092243421');</v>
      </c>
    </row>
    <row r="1161" spans="1:85" x14ac:dyDescent="0.25">
      <c r="A1161">
        <v>23092243422</v>
      </c>
      <c r="B1161">
        <v>0.32</v>
      </c>
      <c r="C1161">
        <v>14000</v>
      </c>
      <c r="D1161" t="s">
        <v>129</v>
      </c>
      <c r="E1161" t="s">
        <v>53</v>
      </c>
      <c r="F1161" t="s">
        <v>53</v>
      </c>
      <c r="G1161">
        <v>4</v>
      </c>
      <c r="H1161" t="s">
        <v>54</v>
      </c>
      <c r="I1161">
        <v>179400</v>
      </c>
      <c r="J1161">
        <v>41200</v>
      </c>
      <c r="K1161">
        <v>0.32</v>
      </c>
      <c r="L1161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61">
        <v>0</v>
      </c>
      <c r="N1161">
        <v>0</v>
      </c>
      <c r="O1161">
        <v>0</v>
      </c>
      <c r="P1161">
        <v>13398.7528</v>
      </c>
      <c r="Q1161">
        <v>63903</v>
      </c>
      <c r="R1161">
        <f>(Grandview_Inventory[[#This Row],[ln_acres]]*Grandview_Inventory[[#This Row],[coeff]])+Grandview_Inventory[[#This Row],[const]]</f>
        <v>48636.001707713905</v>
      </c>
      <c r="S1161" t="s">
        <v>61</v>
      </c>
      <c r="T1161">
        <v>1</v>
      </c>
      <c r="U1161" t="s">
        <v>65</v>
      </c>
      <c r="V1161" t="s">
        <v>69</v>
      </c>
      <c r="W1161">
        <v>0</v>
      </c>
      <c r="X1161">
        <v>0</v>
      </c>
      <c r="Y1161">
        <v>48</v>
      </c>
      <c r="Z1161">
        <v>63</v>
      </c>
      <c r="AA1161">
        <v>70</v>
      </c>
      <c r="AB1161">
        <v>2000</v>
      </c>
      <c r="AC1161">
        <v>1704</v>
      </c>
      <c r="AD1161">
        <v>1704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421</v>
      </c>
      <c r="AN1161">
        <v>148</v>
      </c>
      <c r="AO1161">
        <v>0</v>
      </c>
      <c r="AP1161">
        <v>5</v>
      </c>
      <c r="AQ1161">
        <v>1</v>
      </c>
      <c r="AR1161">
        <v>0</v>
      </c>
      <c r="AS1161" t="s">
        <v>58</v>
      </c>
      <c r="AT1161">
        <v>1</v>
      </c>
      <c r="AU1161" t="s">
        <v>63</v>
      </c>
      <c r="AV1161" t="s">
        <v>64</v>
      </c>
      <c r="AW1161">
        <v>0</v>
      </c>
      <c r="AX1161">
        <v>4</v>
      </c>
      <c r="AY1161">
        <v>0</v>
      </c>
      <c r="AZ1161">
        <v>15500</v>
      </c>
      <c r="BA1161">
        <v>100</v>
      </c>
      <c r="BB1161">
        <v>100</v>
      </c>
      <c r="BC1161">
        <v>100</v>
      </c>
      <c r="BD1161">
        <v>100</v>
      </c>
      <c r="BE1161">
        <v>1</v>
      </c>
      <c r="BF1161">
        <v>15000</v>
      </c>
      <c r="BG1161">
        <v>1000</v>
      </c>
      <c r="BH1161" s="6">
        <f>Grandview_Inventory[[#This Row],[land_extract]]*Lookups!$B$3</f>
        <v>56480.857465963549</v>
      </c>
      <c r="BI1161" s="6">
        <f>IF(Grandview_Inventory[[#This Row],[bldg_style]]="",0,Lookups!$B$2)</f>
        <v>155833.95000000001</v>
      </c>
      <c r="BJ1161" s="6">
        <f>_xlfn.IFNA(VLOOKUP(Grandview_Inventory[[#This Row],[quality]],Lookups!$H$2:$J$14,3,FALSE),0)</f>
        <v>2251</v>
      </c>
      <c r="BK1161" s="6">
        <f>_xlfn.IFNA(VLOOKUP(Grandview_Inventory[[#This Row],[condition]],Lookups!$H$17:$J$24,3,FALSE),0)</f>
        <v>-4503</v>
      </c>
      <c r="BL1161" s="6">
        <f>Grandview_Inventory[[#This Row],[Eff_Age]]*Lookups!$B$14</f>
        <v>-11479.996799999999</v>
      </c>
      <c r="BM1161" s="6">
        <f>Grandview_Inventory[[#This Row],[living_area]]*Lookups!$B$15</f>
        <v>106296.973512</v>
      </c>
      <c r="BN1161" s="6">
        <f>Grandview_Inventory[[#This Row],[Fin BSMT]]*Lookups!$B$16</f>
        <v>0</v>
      </c>
      <c r="BO1161" s="6">
        <f>(Grandview_Inventory[[#This Row],[att_gar]]+Grandview_Inventory[[#This Row],[bltin_gar]])*Lookups!$B$17</f>
        <v>0</v>
      </c>
      <c r="BP1161" s="6">
        <f>Grandview_Inventory[[#This Row],[Plumbing Fixtures]]*Lookups!$B$18</f>
        <v>10052.209000000001</v>
      </c>
      <c r="BQ1161" s="6">
        <f>Grandview_Inventory[[#This Row],[detatched_value]]*Lookups!$B$19</f>
        <v>13125.47905</v>
      </c>
      <c r="BR1161" s="6">
        <f>SUM(Grandview_Inventory[[#This Row],[Intercept]:[det_value]])*Grandview_Inventory[[#This Row],[res_pct]]</f>
        <v>271576.61476200004</v>
      </c>
      <c r="BS1161" s="6">
        <f>Grandview_Inventory[[#This Row],[land_value]]</f>
        <v>56480.857465963549</v>
      </c>
      <c r="BT1161" s="4">
        <f>_xlfn.IFNA(VLOOKUP(Grandview_Inventory[[#This Row],[quality]],Lookups!$A$26:$C$33,3,FALSE),1)</f>
        <v>0.98763855981004833</v>
      </c>
      <c r="BU1161" s="4">
        <f>_xlfn.IFNA(VLOOKUP(Grandview_Inventory[[#This Row],[condition]],Lookups!$A$37:$C$44,3,FALSE),1)</f>
        <v>0.96469275950863709</v>
      </c>
      <c r="BV1161" s="4">
        <f>IF(Grandview_Inventory[[#This Row],[bldg_style]]="",1,_xlfn.IFNA(VLOOKUP(Grandview_Inventory[[#This Row],[decade]],Lookups!$F$29:$H$43,3,FALSE),1))</f>
        <v>0.99472141305414818</v>
      </c>
      <c r="BW1161" s="4">
        <f>_xlfn.IFNA(VLOOKUP(Grandview_Inventory[[#This Row],[living_area_range]],Lookups!$F$47:$H$56,3,FALSE),1)</f>
        <v>0.96120133463014379</v>
      </c>
      <c r="BX1161" s="4">
        <f>AVERAGE(Grandview_Inventory[[#This Row],[qual_adj]:[size_adj]])</f>
        <v>0.97706351675074443</v>
      </c>
      <c r="BY1161" s="6">
        <f>IF(Grandview_Inventory[[#This Row],[pre_res]]&lt;0,0,Grandview_Inventory[[#This Row],[pre_res]]*Grandview_Inventory[[#This Row],[overall_adj]])</f>
        <v>265347.60228662187</v>
      </c>
      <c r="BZ1161" s="6">
        <f>(Grandview_Inventory[[#This Row],[sum_land]]-IF(Grandview_Inventory[[#This Row],[no_utilities]]=1,12000,0))/IF(Grandview_Inventory[[#This Row],[unbuildable]]=1,2,1)</f>
        <v>56480.857465963549</v>
      </c>
      <c r="CA1161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61">
        <f>ROUND(Grandview_Inventory[[#This Row],[det_value]]*Lookups!$M$28,-2)</f>
        <v>12500</v>
      </c>
      <c r="CC1161">
        <f>IF(ROUND(Grandview_Inventory[[#This Row],[adj_res]]*Lookups!$M$28,-2)&lt;Grandview_Inventory[[#This Row],[min_res]],Grandview_Inventory[[#This Row],[min_res]],ROUND(Grandview_Inventory[[#This Row],[adj_res]]*Lookups!$M$28,-2))</f>
        <v>252100</v>
      </c>
      <c r="CD1161">
        <f>Grandview_Inventory[[#This Row],[final_det]]+Grandview_Inventory[[#This Row],[final_res]]</f>
        <v>264600</v>
      </c>
      <c r="CE1161">
        <f>Grandview_Inventory[[#This Row],[final_land]]+Grandview_Inventory[[#This Row],[final_imp]]+Grandview_Inventory[[#This Row],[crop_value]]</f>
        <v>318300</v>
      </c>
      <c r="CG1161" t="str">
        <f t="shared" si="18"/>
        <v>update valuation set market_land =53700, market_bldg=264600, market_total =318300, market_mdno =401, market_date ='9/10/2023' where link_id = (select link_id from parcel where parcel_year = '2024' and parcel_id = '23092243422');</v>
      </c>
    </row>
    <row r="1162" spans="1:85" x14ac:dyDescent="0.25">
      <c r="A1162">
        <v>23092243423</v>
      </c>
      <c r="B1162">
        <v>0.46</v>
      </c>
      <c r="C1162">
        <v>20000</v>
      </c>
      <c r="D1162" t="s">
        <v>129</v>
      </c>
      <c r="E1162" t="s">
        <v>53</v>
      </c>
      <c r="F1162" t="s">
        <v>53</v>
      </c>
      <c r="G1162">
        <v>4</v>
      </c>
      <c r="H1162" t="s">
        <v>54</v>
      </c>
      <c r="I1162">
        <v>157700</v>
      </c>
      <c r="J1162">
        <v>46100</v>
      </c>
      <c r="K1162">
        <v>0.46</v>
      </c>
      <c r="L1162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1162">
        <v>0</v>
      </c>
      <c r="N1162">
        <v>0</v>
      </c>
      <c r="O1162">
        <v>0</v>
      </c>
      <c r="P1162">
        <v>13398.7528</v>
      </c>
      <c r="Q1162">
        <v>63903</v>
      </c>
      <c r="R1162">
        <f>(Grandview_Inventory[[#This Row],[ln_acres]]*Grandview_Inventory[[#This Row],[coeff]])+Grandview_Inventory[[#This Row],[const]]</f>
        <v>53498.482707419709</v>
      </c>
      <c r="S1162" t="s">
        <v>68</v>
      </c>
      <c r="T1162">
        <v>1</v>
      </c>
      <c r="U1162" t="s">
        <v>65</v>
      </c>
      <c r="V1162" t="s">
        <v>78</v>
      </c>
      <c r="W1162">
        <v>0</v>
      </c>
      <c r="X1162">
        <v>0</v>
      </c>
      <c r="Y1162">
        <v>49</v>
      </c>
      <c r="Z1162">
        <v>67</v>
      </c>
      <c r="AA1162">
        <v>70</v>
      </c>
      <c r="AB1162">
        <v>2000</v>
      </c>
      <c r="AC1162">
        <v>1938</v>
      </c>
      <c r="AD1162">
        <v>1938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264</v>
      </c>
      <c r="AL1162">
        <v>0</v>
      </c>
      <c r="AM1162">
        <v>714</v>
      </c>
      <c r="AN1162">
        <v>0</v>
      </c>
      <c r="AO1162">
        <v>0</v>
      </c>
      <c r="AP1162">
        <v>8</v>
      </c>
      <c r="AQ1162">
        <v>0</v>
      </c>
      <c r="AR1162">
        <v>1</v>
      </c>
      <c r="AS1162" t="s">
        <v>58</v>
      </c>
      <c r="AT1162">
        <v>1</v>
      </c>
      <c r="AU1162" t="s">
        <v>63</v>
      </c>
      <c r="AV1162" t="s">
        <v>60</v>
      </c>
      <c r="AW1162">
        <v>0</v>
      </c>
      <c r="AX1162">
        <v>5</v>
      </c>
      <c r="AY1162">
        <v>0</v>
      </c>
      <c r="AZ1162">
        <v>4400</v>
      </c>
      <c r="BA1162">
        <v>100</v>
      </c>
      <c r="BB1162">
        <v>100</v>
      </c>
      <c r="BC1162">
        <v>100</v>
      </c>
      <c r="BD1162">
        <v>100</v>
      </c>
      <c r="BE1162">
        <v>1</v>
      </c>
      <c r="BF1162">
        <v>15000</v>
      </c>
      <c r="BG1162">
        <v>1000</v>
      </c>
      <c r="BH1162" s="6">
        <f>Grandview_Inventory[[#This Row],[land_extract]]*Lookups!$B$3</f>
        <v>62127.643522223196</v>
      </c>
      <c r="BI1162" s="6">
        <f>IF(Grandview_Inventory[[#This Row],[bldg_style]]="",0,Lookups!$B$2)</f>
        <v>155833.95000000001</v>
      </c>
      <c r="BJ1162" s="6">
        <f>_xlfn.IFNA(VLOOKUP(Grandview_Inventory[[#This Row],[quality]],Lookups!$H$2:$J$14,3,FALSE),0)</f>
        <v>2251</v>
      </c>
      <c r="BK1162" s="6">
        <f>_xlfn.IFNA(VLOOKUP(Grandview_Inventory[[#This Row],[condition]],Lookups!$H$17:$J$24,3,FALSE),0)</f>
        <v>-45357</v>
      </c>
      <c r="BL1162" s="6">
        <f>Grandview_Inventory[[#This Row],[Eff_Age]]*Lookups!$B$14</f>
        <v>-11719.163399999999</v>
      </c>
      <c r="BM1162" s="6">
        <f>Grandview_Inventory[[#This Row],[living_area]]*Lookups!$B$15</f>
        <v>120894.093114</v>
      </c>
      <c r="BN1162" s="6">
        <f>Grandview_Inventory[[#This Row],[Fin BSMT]]*Lookups!$B$16</f>
        <v>0</v>
      </c>
      <c r="BO1162" s="6">
        <f>(Grandview_Inventory[[#This Row],[att_gar]]+Grandview_Inventory[[#This Row],[bltin_gar]])*Lookups!$B$17</f>
        <v>0</v>
      </c>
      <c r="BP1162" s="6">
        <f>Grandview_Inventory[[#This Row],[Plumbing Fixtures]]*Lookups!$B$18</f>
        <v>16083.5344</v>
      </c>
      <c r="BQ1162" s="6">
        <f>Grandview_Inventory[[#This Row],[detatched_value]]*Lookups!$B$19</f>
        <v>3725.9424399999998</v>
      </c>
      <c r="BR1162" s="6">
        <f>SUM(Grandview_Inventory[[#This Row],[Intercept]:[det_value]])*Grandview_Inventory[[#This Row],[res_pct]]</f>
        <v>241712.35655400003</v>
      </c>
      <c r="BS1162" s="6">
        <f>Grandview_Inventory[[#This Row],[land_value]]</f>
        <v>62127.643522223196</v>
      </c>
      <c r="BT1162" s="4">
        <f>_xlfn.IFNA(VLOOKUP(Grandview_Inventory[[#This Row],[quality]],Lookups!$A$26:$C$33,3,FALSE),1)</f>
        <v>0.98763855981004833</v>
      </c>
      <c r="BU1162" s="4">
        <f>_xlfn.IFNA(VLOOKUP(Grandview_Inventory[[#This Row],[condition]],Lookups!$A$37:$C$44,3,FALSE),1)</f>
        <v>0.97161819570155394</v>
      </c>
      <c r="BV1162" s="4">
        <f>IF(Grandview_Inventory[[#This Row],[bldg_style]]="",1,_xlfn.IFNA(VLOOKUP(Grandview_Inventory[[#This Row],[decade]],Lookups!$F$29:$H$43,3,FALSE),1))</f>
        <v>0.99472141305414818</v>
      </c>
      <c r="BW1162" s="4">
        <f>_xlfn.IFNA(VLOOKUP(Grandview_Inventory[[#This Row],[living_area_range]],Lookups!$F$47:$H$56,3,FALSE),1)</f>
        <v>0.96120133463014379</v>
      </c>
      <c r="BX1162" s="4">
        <f>AVERAGE(Grandview_Inventory[[#This Row],[qual_adj]:[size_adj]])</f>
        <v>0.97879487579897351</v>
      </c>
      <c r="BY1162" s="6">
        <f>IF(Grandview_Inventory[[#This Row],[pre_res]]&lt;0,0,Grandview_Inventory[[#This Row],[pre_res]]*Grandview_Inventory[[#This Row],[overall_adj]])</f>
        <v>236586.81601234965</v>
      </c>
      <c r="BZ1162" s="6">
        <f>(Grandview_Inventory[[#This Row],[sum_land]]-IF(Grandview_Inventory[[#This Row],[no_utilities]]=1,12000,0))/IF(Grandview_Inventory[[#This Row],[unbuildable]]=1,2,1)</f>
        <v>62127.643522223196</v>
      </c>
      <c r="CA1162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1162">
        <f>ROUND(Grandview_Inventory[[#This Row],[det_value]]*Lookups!$M$28,-2)</f>
        <v>3500</v>
      </c>
      <c r="CC1162">
        <f>IF(ROUND(Grandview_Inventory[[#This Row],[adj_res]]*Lookups!$M$28,-2)&lt;Grandview_Inventory[[#This Row],[min_res]],Grandview_Inventory[[#This Row],[min_res]],ROUND(Grandview_Inventory[[#This Row],[adj_res]]*Lookups!$M$28,-2))</f>
        <v>224800</v>
      </c>
      <c r="CD1162">
        <f>Grandview_Inventory[[#This Row],[final_det]]+Grandview_Inventory[[#This Row],[final_res]]</f>
        <v>228300</v>
      </c>
      <c r="CE1162">
        <f>Grandview_Inventory[[#This Row],[final_land]]+Grandview_Inventory[[#This Row],[final_imp]]+Grandview_Inventory[[#This Row],[crop_value]]</f>
        <v>287300</v>
      </c>
      <c r="CG1162" t="str">
        <f t="shared" si="18"/>
        <v>update valuation set market_land =59000, market_bldg=228300, market_total =287300, market_mdno =401, market_date ='9/10/2023' where link_id = (select link_id from parcel where parcel_year = '2024' and parcel_id = '23092243423');</v>
      </c>
    </row>
    <row r="1163" spans="1:85" x14ac:dyDescent="0.25">
      <c r="A1163">
        <v>23092243426</v>
      </c>
      <c r="B1163">
        <v>0.5</v>
      </c>
      <c r="C1163">
        <v>21677</v>
      </c>
      <c r="D1163" t="s">
        <v>129</v>
      </c>
      <c r="E1163" t="s">
        <v>53</v>
      </c>
      <c r="F1163" t="s">
        <v>53</v>
      </c>
      <c r="G1163">
        <v>4</v>
      </c>
      <c r="H1163" t="s">
        <v>54</v>
      </c>
      <c r="I1163">
        <v>125000</v>
      </c>
      <c r="J1163">
        <v>41900</v>
      </c>
      <c r="K1163">
        <v>0.5</v>
      </c>
      <c r="L1163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1163">
        <v>0</v>
      </c>
      <c r="N1163">
        <v>0</v>
      </c>
      <c r="O1163">
        <v>0</v>
      </c>
      <c r="P1163">
        <v>13398.7528</v>
      </c>
      <c r="Q1163">
        <v>63903</v>
      </c>
      <c r="R1163">
        <f>(Grandview_Inventory[[#This Row],[ln_acres]]*Grandview_Inventory[[#This Row],[coeff]])+Grandview_Inventory[[#This Row],[const]]</f>
        <v>54615.69227366033</v>
      </c>
      <c r="S1163" t="s">
        <v>68</v>
      </c>
      <c r="T1163">
        <v>1</v>
      </c>
      <c r="U1163" t="s">
        <v>65</v>
      </c>
      <c r="V1163" t="s">
        <v>69</v>
      </c>
      <c r="W1163">
        <v>0</v>
      </c>
      <c r="X1163">
        <v>0</v>
      </c>
      <c r="Y1163">
        <v>53</v>
      </c>
      <c r="Z1163">
        <v>93</v>
      </c>
      <c r="AA1163">
        <v>100</v>
      </c>
      <c r="AB1163">
        <v>1500</v>
      </c>
      <c r="AC1163">
        <v>1088</v>
      </c>
      <c r="AD1163">
        <v>1088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112</v>
      </c>
      <c r="AO1163">
        <v>0</v>
      </c>
      <c r="AP1163">
        <v>5</v>
      </c>
      <c r="AQ1163">
        <v>0</v>
      </c>
      <c r="AR1163">
        <v>0</v>
      </c>
      <c r="AS1163" t="s">
        <v>58</v>
      </c>
      <c r="AT1163">
        <v>1</v>
      </c>
      <c r="AU1163" t="s">
        <v>63</v>
      </c>
      <c r="AV1163" t="s">
        <v>64</v>
      </c>
      <c r="AW1163">
        <v>0</v>
      </c>
      <c r="AX1163">
        <v>3</v>
      </c>
      <c r="AY1163">
        <v>0</v>
      </c>
      <c r="AZ1163">
        <v>15100</v>
      </c>
      <c r="BA1163">
        <v>100</v>
      </c>
      <c r="BB1163">
        <v>100</v>
      </c>
      <c r="BC1163">
        <v>100</v>
      </c>
      <c r="BD1163">
        <v>100</v>
      </c>
      <c r="BE1163">
        <v>1</v>
      </c>
      <c r="BF1163">
        <v>15000</v>
      </c>
      <c r="BG1163">
        <v>1000</v>
      </c>
      <c r="BH1163" s="6">
        <f>Grandview_Inventory[[#This Row],[land_extract]]*Lookups!$B$3</f>
        <v>63425.055975032599</v>
      </c>
      <c r="BI1163" s="6">
        <f>IF(Grandview_Inventory[[#This Row],[bldg_style]]="",0,Lookups!$B$2)</f>
        <v>155833.95000000001</v>
      </c>
      <c r="BJ1163" s="6">
        <f>_xlfn.IFNA(VLOOKUP(Grandview_Inventory[[#This Row],[quality]],Lookups!$H$2:$J$14,3,FALSE),0)</f>
        <v>2251</v>
      </c>
      <c r="BK1163" s="6">
        <f>_xlfn.IFNA(VLOOKUP(Grandview_Inventory[[#This Row],[condition]],Lookups!$H$17:$J$24,3,FALSE),0)</f>
        <v>-4503</v>
      </c>
      <c r="BL1163" s="6">
        <f>Grandview_Inventory[[#This Row],[Eff_Age]]*Lookups!$B$14</f>
        <v>-12675.8298</v>
      </c>
      <c r="BM1163" s="6">
        <f>Grandview_Inventory[[#This Row],[living_area]]*Lookups!$B$15</f>
        <v>67870.368064000009</v>
      </c>
      <c r="BN1163" s="6">
        <f>Grandview_Inventory[[#This Row],[Fin BSMT]]*Lookups!$B$16</f>
        <v>0</v>
      </c>
      <c r="BO1163" s="6">
        <f>(Grandview_Inventory[[#This Row],[att_gar]]+Grandview_Inventory[[#This Row],[bltin_gar]])*Lookups!$B$17</f>
        <v>0</v>
      </c>
      <c r="BP1163" s="6">
        <f>Grandview_Inventory[[#This Row],[Plumbing Fixtures]]*Lookups!$B$18</f>
        <v>10052.209000000001</v>
      </c>
      <c r="BQ1163" s="6">
        <f>Grandview_Inventory[[#This Row],[detatched_value]]*Lookups!$B$19</f>
        <v>12786.757009999999</v>
      </c>
      <c r="BR1163" s="6">
        <f>SUM(Grandview_Inventory[[#This Row],[Intercept]:[det_value]])*Grandview_Inventory[[#This Row],[res_pct]]</f>
        <v>231615.45427400002</v>
      </c>
      <c r="BS1163" s="6">
        <f>Grandview_Inventory[[#This Row],[land_value]]</f>
        <v>63425.055975032599</v>
      </c>
      <c r="BT1163" s="4">
        <f>_xlfn.IFNA(VLOOKUP(Grandview_Inventory[[#This Row],[quality]],Lookups!$A$26:$C$33,3,FALSE),1)</f>
        <v>0.98763855981004833</v>
      </c>
      <c r="BU1163" s="4">
        <f>_xlfn.IFNA(VLOOKUP(Grandview_Inventory[[#This Row],[condition]],Lookups!$A$37:$C$44,3,FALSE),1)</f>
        <v>0.96469275950863709</v>
      </c>
      <c r="BV1163" s="4">
        <f>IF(Grandview_Inventory[[#This Row],[bldg_style]]="",1,_xlfn.IFNA(VLOOKUP(Grandview_Inventory[[#This Row],[decade]],Lookups!$F$29:$H$43,3,FALSE),1))</f>
        <v>0.95244691841736806</v>
      </c>
      <c r="BW1163" s="4">
        <f>_xlfn.IFNA(VLOOKUP(Grandview_Inventory[[#This Row],[living_area_range]],Lookups!$F$47:$H$56,3,FALSE),1)</f>
        <v>0.96135087979789358</v>
      </c>
      <c r="BX1163" s="4">
        <f>AVERAGE(Grandview_Inventory[[#This Row],[qual_adj]:[size_adj]])</f>
        <v>0.96653227938348674</v>
      </c>
      <c r="BY1163" s="6">
        <f>IF(Grandview_Inventory[[#This Row],[pre_res]]&lt;0,0,Grandview_Inventory[[#This Row],[pre_res]]*Grandview_Inventory[[#This Row],[overall_adj]])</f>
        <v>223863.81295989099</v>
      </c>
      <c r="BZ1163" s="6">
        <f>(Grandview_Inventory[[#This Row],[sum_land]]-IF(Grandview_Inventory[[#This Row],[no_utilities]]=1,12000,0))/IF(Grandview_Inventory[[#This Row],[unbuildable]]=1,2,1)</f>
        <v>63425.055975032599</v>
      </c>
      <c r="CA1163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1163">
        <f>ROUND(Grandview_Inventory[[#This Row],[det_value]]*Lookups!$M$28,-2)</f>
        <v>12100</v>
      </c>
      <c r="CC1163">
        <f>IF(ROUND(Grandview_Inventory[[#This Row],[adj_res]]*Lookups!$M$28,-2)&lt;Grandview_Inventory[[#This Row],[min_res]],Grandview_Inventory[[#This Row],[min_res]],ROUND(Grandview_Inventory[[#This Row],[adj_res]]*Lookups!$M$28,-2))</f>
        <v>212700</v>
      </c>
      <c r="CD1163">
        <f>Grandview_Inventory[[#This Row],[final_det]]+Grandview_Inventory[[#This Row],[final_res]]</f>
        <v>224800</v>
      </c>
      <c r="CE1163">
        <f>Grandview_Inventory[[#This Row],[final_land]]+Grandview_Inventory[[#This Row],[final_imp]]+Grandview_Inventory[[#This Row],[crop_value]]</f>
        <v>285100</v>
      </c>
      <c r="CG1163" t="str">
        <f t="shared" si="18"/>
        <v>update valuation set market_land =60300, market_bldg=224800, market_total =285100, market_mdno =401, market_date ='9/10/2023' where link_id = (select link_id from parcel where parcel_year = '2024' and parcel_id = '23092243426');</v>
      </c>
    </row>
    <row r="1164" spans="1:85" x14ac:dyDescent="0.25">
      <c r="A1164">
        <v>23092243443</v>
      </c>
      <c r="B1164">
        <v>0.18</v>
      </c>
      <c r="C1164">
        <v>7650</v>
      </c>
      <c r="D1164" t="s">
        <v>129</v>
      </c>
      <c r="E1164" t="s">
        <v>53</v>
      </c>
      <c r="F1164" t="s">
        <v>53</v>
      </c>
      <c r="G1164">
        <v>4</v>
      </c>
      <c r="H1164" t="s">
        <v>54</v>
      </c>
      <c r="I1164">
        <v>146700</v>
      </c>
      <c r="J1164">
        <v>39000</v>
      </c>
      <c r="K1164">
        <v>0.18</v>
      </c>
      <c r="L116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64">
        <v>0</v>
      </c>
      <c r="N1164">
        <v>0</v>
      </c>
      <c r="O1164">
        <v>0</v>
      </c>
      <c r="P1164">
        <v>13398.7528</v>
      </c>
      <c r="Q1164">
        <v>63903</v>
      </c>
      <c r="R1164">
        <f>(Grandview_Inventory[[#This Row],[ln_acres]]*Grandview_Inventory[[#This Row],[coeff]])+Grandview_Inventory[[#This Row],[const]]</f>
        <v>40926.839760167699</v>
      </c>
      <c r="S1164" t="s">
        <v>61</v>
      </c>
      <c r="T1164">
        <v>1</v>
      </c>
      <c r="U1164" t="s">
        <v>70</v>
      </c>
      <c r="V1164" t="s">
        <v>69</v>
      </c>
      <c r="W1164">
        <v>0</v>
      </c>
      <c r="X1164">
        <v>0</v>
      </c>
      <c r="Y1164">
        <v>43</v>
      </c>
      <c r="Z1164">
        <v>44</v>
      </c>
      <c r="AA1164">
        <v>50</v>
      </c>
      <c r="AB1164">
        <v>1500</v>
      </c>
      <c r="AC1164">
        <v>1320</v>
      </c>
      <c r="AD1164">
        <v>1320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5</v>
      </c>
      <c r="AQ1164">
        <v>0</v>
      </c>
      <c r="AR1164">
        <v>0</v>
      </c>
      <c r="AS1164" t="s">
        <v>58</v>
      </c>
      <c r="AT1164">
        <v>1</v>
      </c>
      <c r="AU1164" t="s">
        <v>63</v>
      </c>
      <c r="AV1164" t="s">
        <v>60</v>
      </c>
      <c r="AW1164">
        <v>0</v>
      </c>
      <c r="AX1164">
        <v>3</v>
      </c>
      <c r="AY1164">
        <v>0</v>
      </c>
      <c r="AZ1164">
        <v>0</v>
      </c>
      <c r="BA1164">
        <v>100</v>
      </c>
      <c r="BB1164">
        <v>100</v>
      </c>
      <c r="BC1164">
        <v>100</v>
      </c>
      <c r="BD1164">
        <v>100</v>
      </c>
      <c r="BE1164">
        <v>1</v>
      </c>
      <c r="BF1164">
        <v>15000</v>
      </c>
      <c r="BG1164">
        <v>1000</v>
      </c>
      <c r="BH1164" s="6">
        <f>Grandview_Inventory[[#This Row],[land_extract]]*Lookups!$B$3</f>
        <v>47528.228511015397</v>
      </c>
      <c r="BI1164" s="6">
        <f>IF(Grandview_Inventory[[#This Row],[bldg_style]]="",0,Lookups!$B$2)</f>
        <v>155833.95000000001</v>
      </c>
      <c r="BJ1164" s="6">
        <f>_xlfn.IFNA(VLOOKUP(Grandview_Inventory[[#This Row],[quality]],Lookups!$H$2:$J$14,3,FALSE),0)</f>
        <v>10733</v>
      </c>
      <c r="BK1164" s="6">
        <f>_xlfn.IFNA(VLOOKUP(Grandview_Inventory[[#This Row],[condition]],Lookups!$H$17:$J$24,3,FALSE),0)</f>
        <v>-4503</v>
      </c>
      <c r="BL1164" s="6">
        <f>Grandview_Inventory[[#This Row],[Eff_Age]]*Lookups!$B$14</f>
        <v>-10284.1638</v>
      </c>
      <c r="BM1164" s="6">
        <f>Grandview_Inventory[[#This Row],[living_area]]*Lookups!$B$15</f>
        <v>82342.725959999996</v>
      </c>
      <c r="BN1164" s="6">
        <f>Grandview_Inventory[[#This Row],[Fin BSMT]]*Lookups!$B$16</f>
        <v>0</v>
      </c>
      <c r="BO1164" s="6">
        <f>(Grandview_Inventory[[#This Row],[att_gar]]+Grandview_Inventory[[#This Row],[bltin_gar]])*Lookups!$B$17</f>
        <v>0</v>
      </c>
      <c r="BP1164" s="6">
        <f>Grandview_Inventory[[#This Row],[Plumbing Fixtures]]*Lookups!$B$18</f>
        <v>10052.209000000001</v>
      </c>
      <c r="BQ1164" s="6">
        <f>Grandview_Inventory[[#This Row],[detatched_value]]*Lookups!$B$19</f>
        <v>0</v>
      </c>
      <c r="BR1164" s="6">
        <f>SUM(Grandview_Inventory[[#This Row],[Intercept]:[det_value]])*Grandview_Inventory[[#This Row],[res_pct]]</f>
        <v>244174.72115999999</v>
      </c>
      <c r="BS1164" s="6">
        <f>Grandview_Inventory[[#This Row],[land_value]]</f>
        <v>47528.228511015397</v>
      </c>
      <c r="BT1164" s="4">
        <f>_xlfn.IFNA(VLOOKUP(Grandview_Inventory[[#This Row],[quality]],Lookups!$A$26:$C$33,3,FALSE),1)</f>
        <v>0.98079741117310582</v>
      </c>
      <c r="BU1164" s="4">
        <f>_xlfn.IFNA(VLOOKUP(Grandview_Inventory[[#This Row],[condition]],Lookups!$A$37:$C$44,3,FALSE),1)</f>
        <v>0.96469275950863709</v>
      </c>
      <c r="BV1164" s="4">
        <f>IF(Grandview_Inventory[[#This Row],[bldg_style]]="",1,_xlfn.IFNA(VLOOKUP(Grandview_Inventory[[#This Row],[decade]],Lookups!$F$29:$H$43,3,FALSE),1))</f>
        <v>0.9871940091910919</v>
      </c>
      <c r="BW1164" s="4">
        <f>_xlfn.IFNA(VLOOKUP(Grandview_Inventory[[#This Row],[living_area_range]],Lookups!$F$47:$H$56,3,FALSE),1)</f>
        <v>0.96135087979789358</v>
      </c>
      <c r="BX1164" s="4">
        <f>AVERAGE(Grandview_Inventory[[#This Row],[qual_adj]:[size_adj]])</f>
        <v>0.97350876491768212</v>
      </c>
      <c r="BY1164" s="6">
        <f>IF(Grandview_Inventory[[#This Row],[pre_res]]&lt;0,0,Grandview_Inventory[[#This Row],[pre_res]]*Grandview_Inventory[[#This Row],[overall_adj]])</f>
        <v>237706.231220591</v>
      </c>
      <c r="BZ1164" s="6">
        <f>(Grandview_Inventory[[#This Row],[sum_land]]-IF(Grandview_Inventory[[#This Row],[no_utilities]]=1,12000,0))/IF(Grandview_Inventory[[#This Row],[unbuildable]]=1,2,1)</f>
        <v>47528.228511015397</v>
      </c>
      <c r="CA116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64">
        <f>ROUND(Grandview_Inventory[[#This Row],[det_value]]*Lookups!$M$28,-2)</f>
        <v>0</v>
      </c>
      <c r="CC1164">
        <f>IF(ROUND(Grandview_Inventory[[#This Row],[adj_res]]*Lookups!$M$28,-2)&lt;Grandview_Inventory[[#This Row],[min_res]],Grandview_Inventory[[#This Row],[min_res]],ROUND(Grandview_Inventory[[#This Row],[adj_res]]*Lookups!$M$28,-2))</f>
        <v>225800</v>
      </c>
      <c r="CD1164">
        <f>Grandview_Inventory[[#This Row],[final_det]]+Grandview_Inventory[[#This Row],[final_res]]</f>
        <v>225800</v>
      </c>
      <c r="CE1164">
        <f>Grandview_Inventory[[#This Row],[final_land]]+Grandview_Inventory[[#This Row],[final_imp]]+Grandview_Inventory[[#This Row],[crop_value]]</f>
        <v>271000</v>
      </c>
      <c r="CG1164" t="str">
        <f t="shared" si="18"/>
        <v>update valuation set market_land =45200, market_bldg=225800, market_total =271000, market_mdno =401, market_date ='9/10/2023' where link_id = (select link_id from parcel where parcel_year = '2024' and parcel_id = '23092243443');</v>
      </c>
    </row>
    <row r="1165" spans="1:85" x14ac:dyDescent="0.25">
      <c r="A1165">
        <v>23092243444</v>
      </c>
      <c r="B1165">
        <v>0.18</v>
      </c>
      <c r="C1165">
        <v>7650</v>
      </c>
      <c r="D1165" t="s">
        <v>129</v>
      </c>
      <c r="E1165" t="s">
        <v>53</v>
      </c>
      <c r="F1165" t="s">
        <v>53</v>
      </c>
      <c r="G1165">
        <v>4</v>
      </c>
      <c r="H1165" t="s">
        <v>54</v>
      </c>
      <c r="I1165">
        <v>158100</v>
      </c>
      <c r="J1165">
        <v>39000</v>
      </c>
      <c r="K1165">
        <v>0.18</v>
      </c>
      <c r="L116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65">
        <v>0</v>
      </c>
      <c r="N1165">
        <v>0</v>
      </c>
      <c r="O1165">
        <v>0</v>
      </c>
      <c r="P1165">
        <v>13398.7528</v>
      </c>
      <c r="Q1165">
        <v>63903</v>
      </c>
      <c r="R1165">
        <f>(Grandview_Inventory[[#This Row],[ln_acres]]*Grandview_Inventory[[#This Row],[coeff]])+Grandview_Inventory[[#This Row],[const]]</f>
        <v>40926.839760167699</v>
      </c>
      <c r="S1165" t="s">
        <v>61</v>
      </c>
      <c r="T1165">
        <v>1</v>
      </c>
      <c r="U1165" t="s">
        <v>70</v>
      </c>
      <c r="V1165" t="s">
        <v>69</v>
      </c>
      <c r="W1165">
        <v>0</v>
      </c>
      <c r="X1165">
        <v>0</v>
      </c>
      <c r="Y1165">
        <v>43</v>
      </c>
      <c r="Z1165">
        <v>45</v>
      </c>
      <c r="AA1165">
        <v>50</v>
      </c>
      <c r="AB1165">
        <v>1500</v>
      </c>
      <c r="AC1165">
        <v>1404</v>
      </c>
      <c r="AD1165">
        <v>1404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10</v>
      </c>
      <c r="AQ1165">
        <v>0</v>
      </c>
      <c r="AR1165">
        <v>0</v>
      </c>
      <c r="AS1165" t="s">
        <v>58</v>
      </c>
      <c r="AT1165">
        <v>1</v>
      </c>
      <c r="AU1165" t="s">
        <v>75</v>
      </c>
      <c r="AV1165" t="s">
        <v>60</v>
      </c>
      <c r="AW1165">
        <v>0</v>
      </c>
      <c r="AX1165">
        <v>3</v>
      </c>
      <c r="AY1165">
        <v>0</v>
      </c>
      <c r="AZ1165">
        <v>0</v>
      </c>
      <c r="BA1165">
        <v>100</v>
      </c>
      <c r="BB1165">
        <v>100</v>
      </c>
      <c r="BC1165">
        <v>100</v>
      </c>
      <c r="BD1165">
        <v>100</v>
      </c>
      <c r="BE1165">
        <v>1</v>
      </c>
      <c r="BF1165">
        <v>15000</v>
      </c>
      <c r="BG1165">
        <v>1000</v>
      </c>
      <c r="BH1165" s="6">
        <f>Grandview_Inventory[[#This Row],[land_extract]]*Lookups!$B$3</f>
        <v>47528.228511015397</v>
      </c>
      <c r="BI1165" s="6">
        <f>IF(Grandview_Inventory[[#This Row],[bldg_style]]="",0,Lookups!$B$2)</f>
        <v>155833.95000000001</v>
      </c>
      <c r="BJ1165" s="6">
        <f>_xlfn.IFNA(VLOOKUP(Grandview_Inventory[[#This Row],[quality]],Lookups!$H$2:$J$14,3,FALSE),0)</f>
        <v>10733</v>
      </c>
      <c r="BK1165" s="6">
        <f>_xlfn.IFNA(VLOOKUP(Grandview_Inventory[[#This Row],[condition]],Lookups!$H$17:$J$24,3,FALSE),0)</f>
        <v>-4503</v>
      </c>
      <c r="BL1165" s="6">
        <f>Grandview_Inventory[[#This Row],[Eff_Age]]*Lookups!$B$14</f>
        <v>-10284.1638</v>
      </c>
      <c r="BM1165" s="6">
        <f>Grandview_Inventory[[#This Row],[living_area]]*Lookups!$B$15</f>
        <v>87582.717612000008</v>
      </c>
      <c r="BN1165" s="6">
        <f>Grandview_Inventory[[#This Row],[Fin BSMT]]*Lookups!$B$16</f>
        <v>0</v>
      </c>
      <c r="BO1165" s="6">
        <f>(Grandview_Inventory[[#This Row],[att_gar]]+Grandview_Inventory[[#This Row],[bltin_gar]])*Lookups!$B$17</f>
        <v>0</v>
      </c>
      <c r="BP1165" s="6">
        <f>Grandview_Inventory[[#This Row],[Plumbing Fixtures]]*Lookups!$B$18</f>
        <v>20104.418000000001</v>
      </c>
      <c r="BQ1165" s="6">
        <f>Grandview_Inventory[[#This Row],[detatched_value]]*Lookups!$B$19</f>
        <v>0</v>
      </c>
      <c r="BR1165" s="6">
        <f>SUM(Grandview_Inventory[[#This Row],[Intercept]:[det_value]])*Grandview_Inventory[[#This Row],[res_pct]]</f>
        <v>259466.92181200002</v>
      </c>
      <c r="BS1165" s="6">
        <f>Grandview_Inventory[[#This Row],[land_value]]</f>
        <v>47528.228511015397</v>
      </c>
      <c r="BT1165" s="4">
        <f>_xlfn.IFNA(VLOOKUP(Grandview_Inventory[[#This Row],[quality]],Lookups!$A$26:$C$33,3,FALSE),1)</f>
        <v>0.98079741117310582</v>
      </c>
      <c r="BU1165" s="4">
        <f>_xlfn.IFNA(VLOOKUP(Grandview_Inventory[[#This Row],[condition]],Lookups!$A$37:$C$44,3,FALSE),1)</f>
        <v>0.96469275950863709</v>
      </c>
      <c r="BV1165" s="4">
        <f>IF(Grandview_Inventory[[#This Row],[bldg_style]]="",1,_xlfn.IFNA(VLOOKUP(Grandview_Inventory[[#This Row],[decade]],Lookups!$F$29:$H$43,3,FALSE),1))</f>
        <v>0.9871940091910919</v>
      </c>
      <c r="BW1165" s="4">
        <f>_xlfn.IFNA(VLOOKUP(Grandview_Inventory[[#This Row],[living_area_range]],Lookups!$F$47:$H$56,3,FALSE),1)</f>
        <v>0.96135087979789358</v>
      </c>
      <c r="BX1165" s="4">
        <f>AVERAGE(Grandview_Inventory[[#This Row],[qual_adj]:[size_adj]])</f>
        <v>0.97350876491768212</v>
      </c>
      <c r="BY1165" s="6">
        <f>IF(Grandview_Inventory[[#This Row],[pre_res]]&lt;0,0,Grandview_Inventory[[#This Row],[pre_res]]*Grandview_Inventory[[#This Row],[overall_adj]])</f>
        <v>252593.32259019293</v>
      </c>
      <c r="BZ1165" s="6">
        <f>(Grandview_Inventory[[#This Row],[sum_land]]-IF(Grandview_Inventory[[#This Row],[no_utilities]]=1,12000,0))/IF(Grandview_Inventory[[#This Row],[unbuildable]]=1,2,1)</f>
        <v>47528.228511015397</v>
      </c>
      <c r="CA116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65">
        <f>ROUND(Grandview_Inventory[[#This Row],[det_value]]*Lookups!$M$28,-2)</f>
        <v>0</v>
      </c>
      <c r="CC1165">
        <f>IF(ROUND(Grandview_Inventory[[#This Row],[adj_res]]*Lookups!$M$28,-2)&lt;Grandview_Inventory[[#This Row],[min_res]],Grandview_Inventory[[#This Row],[min_res]],ROUND(Grandview_Inventory[[#This Row],[adj_res]]*Lookups!$M$28,-2))</f>
        <v>240000</v>
      </c>
      <c r="CD1165">
        <f>Grandview_Inventory[[#This Row],[final_det]]+Grandview_Inventory[[#This Row],[final_res]]</f>
        <v>240000</v>
      </c>
      <c r="CE1165">
        <f>Grandview_Inventory[[#This Row],[final_land]]+Grandview_Inventory[[#This Row],[final_imp]]+Grandview_Inventory[[#This Row],[crop_value]]</f>
        <v>285200</v>
      </c>
      <c r="CG1165" t="str">
        <f t="shared" si="18"/>
        <v>update valuation set market_land =45200, market_bldg=240000, market_total =285200, market_mdno =401, market_date ='9/10/2023' where link_id = (select link_id from parcel where parcel_year = '2024' and parcel_id = '23092243444');</v>
      </c>
    </row>
    <row r="1166" spans="1:85" x14ac:dyDescent="0.25">
      <c r="A1166">
        <v>23092243445</v>
      </c>
      <c r="B1166">
        <v>0.25</v>
      </c>
      <c r="C1166">
        <v>11060</v>
      </c>
      <c r="D1166" t="s">
        <v>129</v>
      </c>
      <c r="E1166" t="s">
        <v>53</v>
      </c>
      <c r="F1166" t="s">
        <v>53</v>
      </c>
      <c r="G1166">
        <v>4</v>
      </c>
      <c r="H1166" t="s">
        <v>54</v>
      </c>
      <c r="I1166">
        <v>165300</v>
      </c>
      <c r="J1166">
        <v>44500</v>
      </c>
      <c r="K1166">
        <v>0.25</v>
      </c>
      <c r="L116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166">
        <v>0</v>
      </c>
      <c r="N1166">
        <v>0</v>
      </c>
      <c r="O1166">
        <v>0</v>
      </c>
      <c r="P1166">
        <v>13398.7528</v>
      </c>
      <c r="Q1166">
        <v>63903</v>
      </c>
      <c r="R1166">
        <f>(Grandview_Inventory[[#This Row],[ln_acres]]*Grandview_Inventory[[#This Row],[coeff]])+Grandview_Inventory[[#This Row],[const]]</f>
        <v>45328.38454732066</v>
      </c>
      <c r="S1166" t="s">
        <v>61</v>
      </c>
      <c r="T1166">
        <v>1</v>
      </c>
      <c r="U1166" t="s">
        <v>65</v>
      </c>
      <c r="V1166" t="s">
        <v>69</v>
      </c>
      <c r="W1166">
        <v>0</v>
      </c>
      <c r="X1166">
        <v>0</v>
      </c>
      <c r="Y1166">
        <v>43</v>
      </c>
      <c r="Z1166">
        <v>45</v>
      </c>
      <c r="AA1166">
        <v>50</v>
      </c>
      <c r="AB1166">
        <v>1500</v>
      </c>
      <c r="AC1166">
        <v>1166</v>
      </c>
      <c r="AD1166">
        <v>1166</v>
      </c>
      <c r="AE1166">
        <v>0</v>
      </c>
      <c r="AF1166">
        <v>0</v>
      </c>
      <c r="AG1166">
        <v>0</v>
      </c>
      <c r="AH1166">
        <v>0</v>
      </c>
      <c r="AI1166">
        <v>294</v>
      </c>
      <c r="AJ1166">
        <v>0</v>
      </c>
      <c r="AK1166">
        <v>0</v>
      </c>
      <c r="AL1166">
        <v>0</v>
      </c>
      <c r="AM1166">
        <v>432</v>
      </c>
      <c r="AN1166">
        <v>0</v>
      </c>
      <c r="AO1166">
        <v>432</v>
      </c>
      <c r="AP1166">
        <v>7</v>
      </c>
      <c r="AQ1166">
        <v>0</v>
      </c>
      <c r="AR1166">
        <v>0</v>
      </c>
      <c r="AS1166" t="s">
        <v>58</v>
      </c>
      <c r="AT1166">
        <v>1</v>
      </c>
      <c r="AU1166" t="s">
        <v>63</v>
      </c>
      <c r="AV1166" t="s">
        <v>60</v>
      </c>
      <c r="AW1166">
        <v>1</v>
      </c>
      <c r="AX1166">
        <v>3</v>
      </c>
      <c r="AY1166">
        <v>0</v>
      </c>
      <c r="AZ1166">
        <v>0</v>
      </c>
      <c r="BA1166">
        <v>100</v>
      </c>
      <c r="BB1166">
        <v>100</v>
      </c>
      <c r="BC1166">
        <v>100</v>
      </c>
      <c r="BD1166">
        <v>100</v>
      </c>
      <c r="BE1166">
        <v>1</v>
      </c>
      <c r="BF1166">
        <v>15000</v>
      </c>
      <c r="BG1166">
        <v>1000</v>
      </c>
      <c r="BH1166" s="6">
        <f>Grandview_Inventory[[#This Row],[land_extract]]*Lookups!$B$3</f>
        <v>52639.730588165206</v>
      </c>
      <c r="BI1166" s="6">
        <f>IF(Grandview_Inventory[[#This Row],[bldg_style]]="",0,Lookups!$B$2)</f>
        <v>155833.95000000001</v>
      </c>
      <c r="BJ1166" s="6">
        <f>_xlfn.IFNA(VLOOKUP(Grandview_Inventory[[#This Row],[quality]],Lookups!$H$2:$J$14,3,FALSE),0)</f>
        <v>2251</v>
      </c>
      <c r="BK1166" s="6">
        <f>_xlfn.IFNA(VLOOKUP(Grandview_Inventory[[#This Row],[condition]],Lookups!$H$17:$J$24,3,FALSE),0)</f>
        <v>-4503</v>
      </c>
      <c r="BL1166" s="6">
        <f>Grandview_Inventory[[#This Row],[Eff_Age]]*Lookups!$B$14</f>
        <v>-10284.1638</v>
      </c>
      <c r="BM1166" s="6">
        <f>Grandview_Inventory[[#This Row],[living_area]]*Lookups!$B$15</f>
        <v>72736.074598000007</v>
      </c>
      <c r="BN1166" s="6">
        <f>Grandview_Inventory[[#This Row],[Fin BSMT]]*Lookups!$B$16</f>
        <v>0</v>
      </c>
      <c r="BO1166" s="6">
        <f>(Grandview_Inventory[[#This Row],[att_gar]]+Grandview_Inventory[[#This Row],[bltin_gar]])*Lookups!$B$17</f>
        <v>25731.008478</v>
      </c>
      <c r="BP1166" s="6">
        <f>Grandview_Inventory[[#This Row],[Plumbing Fixtures]]*Lookups!$B$18</f>
        <v>14073.0926</v>
      </c>
      <c r="BQ1166" s="6">
        <f>Grandview_Inventory[[#This Row],[detatched_value]]*Lookups!$B$19</f>
        <v>0</v>
      </c>
      <c r="BR1166" s="6">
        <f>SUM(Grandview_Inventory[[#This Row],[Intercept]:[det_value]])*Grandview_Inventory[[#This Row],[res_pct]]</f>
        <v>255837.96187600002</v>
      </c>
      <c r="BS1166" s="6">
        <f>Grandview_Inventory[[#This Row],[land_value]]</f>
        <v>52639.730588165206</v>
      </c>
      <c r="BT1166" s="4">
        <f>_xlfn.IFNA(VLOOKUP(Grandview_Inventory[[#This Row],[quality]],Lookups!$A$26:$C$33,3,FALSE),1)</f>
        <v>0.98763855981004833</v>
      </c>
      <c r="BU1166" s="4">
        <f>_xlfn.IFNA(VLOOKUP(Grandview_Inventory[[#This Row],[condition]],Lookups!$A$37:$C$44,3,FALSE),1)</f>
        <v>0.96469275950863709</v>
      </c>
      <c r="BV1166" s="4">
        <f>IF(Grandview_Inventory[[#This Row],[bldg_style]]="",1,_xlfn.IFNA(VLOOKUP(Grandview_Inventory[[#This Row],[decade]],Lookups!$F$29:$H$43,3,FALSE),1))</f>
        <v>0.9871940091910919</v>
      </c>
      <c r="BW1166" s="4">
        <f>_xlfn.IFNA(VLOOKUP(Grandview_Inventory[[#This Row],[living_area_range]],Lookups!$F$47:$H$56,3,FALSE),1)</f>
        <v>0.96135087979789358</v>
      </c>
      <c r="BX1166" s="4">
        <f>AVERAGE(Grandview_Inventory[[#This Row],[qual_adj]:[size_adj]])</f>
        <v>0.97521905207691773</v>
      </c>
      <c r="BY1166" s="6">
        <f>IF(Grandview_Inventory[[#This Row],[pre_res]]&lt;0,0,Grandview_Inventory[[#This Row],[pre_res]]*Grandview_Inventory[[#This Row],[overall_adj]])</f>
        <v>249498.05466600336</v>
      </c>
      <c r="BZ1166" s="6">
        <f>(Grandview_Inventory[[#This Row],[sum_land]]-IF(Grandview_Inventory[[#This Row],[no_utilities]]=1,12000,0))/IF(Grandview_Inventory[[#This Row],[unbuildable]]=1,2,1)</f>
        <v>52639.730588165206</v>
      </c>
      <c r="CA116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166">
        <f>ROUND(Grandview_Inventory[[#This Row],[det_value]]*Lookups!$M$28,-2)</f>
        <v>0</v>
      </c>
      <c r="CC1166">
        <f>IF(ROUND(Grandview_Inventory[[#This Row],[adj_res]]*Lookups!$M$28,-2)&lt;Grandview_Inventory[[#This Row],[min_res]],Grandview_Inventory[[#This Row],[min_res]],ROUND(Grandview_Inventory[[#This Row],[adj_res]]*Lookups!$M$28,-2))</f>
        <v>237000</v>
      </c>
      <c r="CD1166">
        <f>Grandview_Inventory[[#This Row],[final_det]]+Grandview_Inventory[[#This Row],[final_res]]</f>
        <v>237000</v>
      </c>
      <c r="CE1166">
        <f>Grandview_Inventory[[#This Row],[final_land]]+Grandview_Inventory[[#This Row],[final_imp]]+Grandview_Inventory[[#This Row],[crop_value]]</f>
        <v>287000</v>
      </c>
      <c r="CG1166" t="str">
        <f t="shared" si="18"/>
        <v>update valuation set market_land =50000, market_bldg=237000, market_total =287000, market_mdno =401, market_date ='9/10/2023' where link_id = (select link_id from parcel where parcel_year = '2024' and parcel_id = '23092243445');</v>
      </c>
    </row>
    <row r="1167" spans="1:85" x14ac:dyDescent="0.25">
      <c r="A1167">
        <v>23092243446</v>
      </c>
      <c r="B1167">
        <v>0.2</v>
      </c>
      <c r="C1167">
        <v>8561</v>
      </c>
      <c r="D1167" t="s">
        <v>129</v>
      </c>
      <c r="E1167" t="s">
        <v>53</v>
      </c>
      <c r="F1167" t="s">
        <v>53</v>
      </c>
      <c r="G1167">
        <v>4</v>
      </c>
      <c r="H1167" t="s">
        <v>54</v>
      </c>
      <c r="I1167">
        <v>193700</v>
      </c>
      <c r="J1167">
        <v>43500</v>
      </c>
      <c r="K1167">
        <v>0.2</v>
      </c>
      <c r="L116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167">
        <v>0</v>
      </c>
      <c r="N1167">
        <v>0</v>
      </c>
      <c r="O1167">
        <v>0</v>
      </c>
      <c r="P1167">
        <v>13398.7528</v>
      </c>
      <c r="Q1167">
        <v>63903</v>
      </c>
      <c r="R1167">
        <f>(Grandview_Inventory[[#This Row],[ln_acres]]*Grandview_Inventory[[#This Row],[coeff]])+Grandview_Inventory[[#This Row],[const]]</f>
        <v>42338.539264347448</v>
      </c>
      <c r="S1167" t="s">
        <v>61</v>
      </c>
      <c r="T1167">
        <v>1</v>
      </c>
      <c r="U1167" t="s">
        <v>70</v>
      </c>
      <c r="V1167" t="s">
        <v>67</v>
      </c>
      <c r="W1167">
        <v>0</v>
      </c>
      <c r="X1167">
        <v>0</v>
      </c>
      <c r="Y1167">
        <v>43</v>
      </c>
      <c r="Z1167">
        <v>45</v>
      </c>
      <c r="AA1167">
        <v>50</v>
      </c>
      <c r="AB1167">
        <v>1500</v>
      </c>
      <c r="AC1167">
        <v>1040</v>
      </c>
      <c r="AD1167">
        <v>1040</v>
      </c>
      <c r="AE1167">
        <v>0</v>
      </c>
      <c r="AF1167">
        <v>0</v>
      </c>
      <c r="AG1167">
        <v>0</v>
      </c>
      <c r="AH1167">
        <v>0</v>
      </c>
      <c r="AI1167">
        <v>364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7</v>
      </c>
      <c r="AQ1167">
        <v>0</v>
      </c>
      <c r="AR1167">
        <v>0</v>
      </c>
      <c r="AS1167" t="s">
        <v>58</v>
      </c>
      <c r="AT1167">
        <v>1</v>
      </c>
      <c r="AU1167" t="s">
        <v>75</v>
      </c>
      <c r="AV1167" t="s">
        <v>60</v>
      </c>
      <c r="AW1167">
        <v>0</v>
      </c>
      <c r="AX1167">
        <v>3</v>
      </c>
      <c r="AY1167">
        <v>0</v>
      </c>
      <c r="AZ1167">
        <v>0</v>
      </c>
      <c r="BA1167">
        <v>100</v>
      </c>
      <c r="BB1167">
        <v>100</v>
      </c>
      <c r="BC1167">
        <v>100</v>
      </c>
      <c r="BD1167">
        <v>100</v>
      </c>
      <c r="BE1167">
        <v>1</v>
      </c>
      <c r="BF1167">
        <v>15000</v>
      </c>
      <c r="BG1167">
        <v>1000</v>
      </c>
      <c r="BH1167" s="6">
        <f>Grandview_Inventory[[#This Row],[land_extract]]*Lookups!$B$3</f>
        <v>49167.631333630678</v>
      </c>
      <c r="BI1167" s="6">
        <f>IF(Grandview_Inventory[[#This Row],[bldg_style]]="",0,Lookups!$B$2)</f>
        <v>155833.95000000001</v>
      </c>
      <c r="BJ1167" s="6">
        <f>_xlfn.IFNA(VLOOKUP(Grandview_Inventory[[#This Row],[quality]],Lookups!$H$2:$J$14,3,FALSE),0)</f>
        <v>10733</v>
      </c>
      <c r="BK1167" s="6">
        <f>_xlfn.IFNA(VLOOKUP(Grandview_Inventory[[#This Row],[condition]],Lookups!$H$17:$J$24,3,FALSE),0)</f>
        <v>22342</v>
      </c>
      <c r="BL1167" s="6">
        <f>Grandview_Inventory[[#This Row],[Eff_Age]]*Lookups!$B$14</f>
        <v>-10284.1638</v>
      </c>
      <c r="BM1167" s="6">
        <f>Grandview_Inventory[[#This Row],[living_area]]*Lookups!$B$15</f>
        <v>64876.087120000004</v>
      </c>
      <c r="BN1167" s="6">
        <f>Grandview_Inventory[[#This Row],[Fin BSMT]]*Lookups!$B$16</f>
        <v>0</v>
      </c>
      <c r="BO1167" s="6">
        <f>(Grandview_Inventory[[#This Row],[att_gar]]+Grandview_Inventory[[#This Row],[bltin_gar]])*Lookups!$B$17</f>
        <v>31857.439068</v>
      </c>
      <c r="BP1167" s="6">
        <f>Grandview_Inventory[[#This Row],[Plumbing Fixtures]]*Lookups!$B$18</f>
        <v>14073.0926</v>
      </c>
      <c r="BQ1167" s="6">
        <f>Grandview_Inventory[[#This Row],[detatched_value]]*Lookups!$B$19</f>
        <v>0</v>
      </c>
      <c r="BR1167" s="6">
        <f>SUM(Grandview_Inventory[[#This Row],[Intercept]:[det_value]])*Grandview_Inventory[[#This Row],[res_pct]]</f>
        <v>289431.40498799999</v>
      </c>
      <c r="BS1167" s="6">
        <f>Grandview_Inventory[[#This Row],[land_value]]</f>
        <v>49167.631333630678</v>
      </c>
      <c r="BT1167" s="4">
        <f>_xlfn.IFNA(VLOOKUP(Grandview_Inventory[[#This Row],[quality]],Lookups!$A$26:$C$33,3,FALSE),1)</f>
        <v>0.98079741117310582</v>
      </c>
      <c r="BU1167" s="4">
        <f>_xlfn.IFNA(VLOOKUP(Grandview_Inventory[[#This Row],[condition]],Lookups!$A$37:$C$44,3,FALSE),1)</f>
        <v>0.97383723671140243</v>
      </c>
      <c r="BV1167" s="4">
        <f>IF(Grandview_Inventory[[#This Row],[bldg_style]]="",1,_xlfn.IFNA(VLOOKUP(Grandview_Inventory[[#This Row],[decade]],Lookups!$F$29:$H$43,3,FALSE),1))</f>
        <v>0.9871940091910919</v>
      </c>
      <c r="BW1167" s="4">
        <f>_xlfn.IFNA(VLOOKUP(Grandview_Inventory[[#This Row],[living_area_range]],Lookups!$F$47:$H$56,3,FALSE),1)</f>
        <v>0.96135087979789358</v>
      </c>
      <c r="BX1167" s="4">
        <f>AVERAGE(Grandview_Inventory[[#This Row],[qual_adj]:[size_adj]])</f>
        <v>0.97579488421837346</v>
      </c>
      <c r="BY1167" s="6">
        <f>IF(Grandview_Inventory[[#This Row],[pre_res]]&lt;0,0,Grandview_Inventory[[#This Row],[pre_res]]*Grandview_Inventory[[#This Row],[overall_adj]])</f>
        <v>282425.6843194266</v>
      </c>
      <c r="BZ1167" s="6">
        <f>(Grandview_Inventory[[#This Row],[sum_land]]-IF(Grandview_Inventory[[#This Row],[no_utilities]]=1,12000,0))/IF(Grandview_Inventory[[#This Row],[unbuildable]]=1,2,1)</f>
        <v>49167.631333630678</v>
      </c>
      <c r="CA116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167">
        <f>ROUND(Grandview_Inventory[[#This Row],[det_value]]*Lookups!$M$28,-2)</f>
        <v>0</v>
      </c>
      <c r="CC1167">
        <f>IF(ROUND(Grandview_Inventory[[#This Row],[adj_res]]*Lookups!$M$28,-2)&lt;Grandview_Inventory[[#This Row],[min_res]],Grandview_Inventory[[#This Row],[min_res]],ROUND(Grandview_Inventory[[#This Row],[adj_res]]*Lookups!$M$28,-2))</f>
        <v>268300</v>
      </c>
      <c r="CD1167">
        <f>Grandview_Inventory[[#This Row],[final_det]]+Grandview_Inventory[[#This Row],[final_res]]</f>
        <v>268300</v>
      </c>
      <c r="CE1167">
        <f>Grandview_Inventory[[#This Row],[final_land]]+Grandview_Inventory[[#This Row],[final_imp]]+Grandview_Inventory[[#This Row],[crop_value]]</f>
        <v>315000</v>
      </c>
      <c r="CG1167" t="str">
        <f t="shared" si="18"/>
        <v>update valuation set market_land =46700, market_bldg=268300, market_total =315000, market_mdno =401, market_date ='9/10/2023' where link_id = (select link_id from parcel where parcel_year = '2024' and parcel_id = '23092243446');</v>
      </c>
    </row>
    <row r="1168" spans="1:85" x14ac:dyDescent="0.25">
      <c r="A1168">
        <v>23092243447</v>
      </c>
      <c r="B1168">
        <v>0.18</v>
      </c>
      <c r="C1168">
        <v>7650</v>
      </c>
      <c r="D1168" t="s">
        <v>129</v>
      </c>
      <c r="E1168" t="s">
        <v>53</v>
      </c>
      <c r="F1168" t="s">
        <v>53</v>
      </c>
      <c r="G1168">
        <v>4</v>
      </c>
      <c r="H1168" t="s">
        <v>54</v>
      </c>
      <c r="I1168">
        <v>162600</v>
      </c>
      <c r="J1168">
        <v>39000</v>
      </c>
      <c r="K1168">
        <v>0.18</v>
      </c>
      <c r="L116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68">
        <v>0</v>
      </c>
      <c r="N1168">
        <v>0</v>
      </c>
      <c r="O1168">
        <v>0</v>
      </c>
      <c r="P1168">
        <v>13398.7528</v>
      </c>
      <c r="Q1168">
        <v>63903</v>
      </c>
      <c r="R1168">
        <f>(Grandview_Inventory[[#This Row],[ln_acres]]*Grandview_Inventory[[#This Row],[coeff]])+Grandview_Inventory[[#This Row],[const]]</f>
        <v>40926.839760167699</v>
      </c>
      <c r="S1168" t="s">
        <v>61</v>
      </c>
      <c r="T1168">
        <v>1</v>
      </c>
      <c r="U1168" t="s">
        <v>65</v>
      </c>
      <c r="V1168" t="s">
        <v>67</v>
      </c>
      <c r="W1168">
        <v>0</v>
      </c>
      <c r="X1168">
        <v>0</v>
      </c>
      <c r="Y1168">
        <v>43</v>
      </c>
      <c r="Z1168">
        <v>45</v>
      </c>
      <c r="AA1168">
        <v>50</v>
      </c>
      <c r="AB1168">
        <v>1500</v>
      </c>
      <c r="AC1168">
        <v>1166</v>
      </c>
      <c r="AD1168">
        <v>1166</v>
      </c>
      <c r="AE1168">
        <v>0</v>
      </c>
      <c r="AF1168">
        <v>0</v>
      </c>
      <c r="AG1168">
        <v>0</v>
      </c>
      <c r="AH1168">
        <v>0</v>
      </c>
      <c r="AI1168">
        <v>294</v>
      </c>
      <c r="AJ1168">
        <v>0</v>
      </c>
      <c r="AK1168">
        <v>0</v>
      </c>
      <c r="AL1168">
        <v>280</v>
      </c>
      <c r="AM1168">
        <v>0</v>
      </c>
      <c r="AN1168">
        <v>0</v>
      </c>
      <c r="AO1168">
        <v>280</v>
      </c>
      <c r="AP1168">
        <v>8</v>
      </c>
      <c r="AQ1168">
        <v>0</v>
      </c>
      <c r="AR1168">
        <v>0</v>
      </c>
      <c r="AS1168" t="s">
        <v>58</v>
      </c>
      <c r="AT1168">
        <v>1</v>
      </c>
      <c r="AU1168" t="s">
        <v>59</v>
      </c>
      <c r="AV1168" t="s">
        <v>60</v>
      </c>
      <c r="AW1168">
        <v>1</v>
      </c>
      <c r="AX1168">
        <v>3</v>
      </c>
      <c r="AY1168">
        <v>0</v>
      </c>
      <c r="AZ1168">
        <v>0</v>
      </c>
      <c r="BA1168">
        <v>100</v>
      </c>
      <c r="BB1168">
        <v>100</v>
      </c>
      <c r="BC1168">
        <v>100</v>
      </c>
      <c r="BD1168">
        <v>100</v>
      </c>
      <c r="BE1168">
        <v>1</v>
      </c>
      <c r="BF1168">
        <v>15000</v>
      </c>
      <c r="BG1168">
        <v>1000</v>
      </c>
      <c r="BH1168" s="6">
        <f>Grandview_Inventory[[#This Row],[land_extract]]*Lookups!$B$3</f>
        <v>47528.228511015397</v>
      </c>
      <c r="BI1168" s="6">
        <f>IF(Grandview_Inventory[[#This Row],[bldg_style]]="",0,Lookups!$B$2)</f>
        <v>155833.95000000001</v>
      </c>
      <c r="BJ1168" s="6">
        <f>_xlfn.IFNA(VLOOKUP(Grandview_Inventory[[#This Row],[quality]],Lookups!$H$2:$J$14,3,FALSE),0)</f>
        <v>2251</v>
      </c>
      <c r="BK1168" s="6">
        <f>_xlfn.IFNA(VLOOKUP(Grandview_Inventory[[#This Row],[condition]],Lookups!$H$17:$J$24,3,FALSE),0)</f>
        <v>22342</v>
      </c>
      <c r="BL1168" s="6">
        <f>Grandview_Inventory[[#This Row],[Eff_Age]]*Lookups!$B$14</f>
        <v>-10284.1638</v>
      </c>
      <c r="BM1168" s="6">
        <f>Grandview_Inventory[[#This Row],[living_area]]*Lookups!$B$15</f>
        <v>72736.074598000007</v>
      </c>
      <c r="BN1168" s="6">
        <f>Grandview_Inventory[[#This Row],[Fin BSMT]]*Lookups!$B$16</f>
        <v>0</v>
      </c>
      <c r="BO1168" s="6">
        <f>(Grandview_Inventory[[#This Row],[att_gar]]+Grandview_Inventory[[#This Row],[bltin_gar]])*Lookups!$B$17</f>
        <v>25731.008478</v>
      </c>
      <c r="BP1168" s="6">
        <f>Grandview_Inventory[[#This Row],[Plumbing Fixtures]]*Lookups!$B$18</f>
        <v>16083.5344</v>
      </c>
      <c r="BQ1168" s="6">
        <f>Grandview_Inventory[[#This Row],[detatched_value]]*Lookups!$B$19</f>
        <v>0</v>
      </c>
      <c r="BR1168" s="6">
        <f>SUM(Grandview_Inventory[[#This Row],[Intercept]:[det_value]])*Grandview_Inventory[[#This Row],[res_pct]]</f>
        <v>284693.40367600002</v>
      </c>
      <c r="BS1168" s="6">
        <f>Grandview_Inventory[[#This Row],[land_value]]</f>
        <v>47528.228511015397</v>
      </c>
      <c r="BT1168" s="4">
        <f>_xlfn.IFNA(VLOOKUP(Grandview_Inventory[[#This Row],[quality]],Lookups!$A$26:$C$33,3,FALSE),1)</f>
        <v>0.98763855981004833</v>
      </c>
      <c r="BU1168" s="4">
        <f>_xlfn.IFNA(VLOOKUP(Grandview_Inventory[[#This Row],[condition]],Lookups!$A$37:$C$44,3,FALSE),1)</f>
        <v>0.97383723671140243</v>
      </c>
      <c r="BV1168" s="4">
        <f>IF(Grandview_Inventory[[#This Row],[bldg_style]]="",1,_xlfn.IFNA(VLOOKUP(Grandview_Inventory[[#This Row],[decade]],Lookups!$F$29:$H$43,3,FALSE),1))</f>
        <v>0.9871940091910919</v>
      </c>
      <c r="BW1168" s="4">
        <f>_xlfn.IFNA(VLOOKUP(Grandview_Inventory[[#This Row],[living_area_range]],Lookups!$F$47:$H$56,3,FALSE),1)</f>
        <v>0.96135087979789358</v>
      </c>
      <c r="BX1168" s="4">
        <f>AVERAGE(Grandview_Inventory[[#This Row],[qual_adj]:[size_adj]])</f>
        <v>0.97750517137760906</v>
      </c>
      <c r="BY1168" s="6">
        <f>IF(Grandview_Inventory[[#This Row],[pre_res]]&lt;0,0,Grandview_Inventory[[#This Row],[pre_res]]*Grandview_Inventory[[#This Row],[overall_adj]])</f>
        <v>278289.27435038326</v>
      </c>
      <c r="BZ1168" s="6">
        <f>(Grandview_Inventory[[#This Row],[sum_land]]-IF(Grandview_Inventory[[#This Row],[no_utilities]]=1,12000,0))/IF(Grandview_Inventory[[#This Row],[unbuildable]]=1,2,1)</f>
        <v>47528.228511015397</v>
      </c>
      <c r="CA116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68">
        <f>ROUND(Grandview_Inventory[[#This Row],[det_value]]*Lookups!$M$28,-2)</f>
        <v>0</v>
      </c>
      <c r="CC1168">
        <f>IF(ROUND(Grandview_Inventory[[#This Row],[adj_res]]*Lookups!$M$28,-2)&lt;Grandview_Inventory[[#This Row],[min_res]],Grandview_Inventory[[#This Row],[min_res]],ROUND(Grandview_Inventory[[#This Row],[adj_res]]*Lookups!$M$28,-2))</f>
        <v>264400</v>
      </c>
      <c r="CD1168">
        <f>Grandview_Inventory[[#This Row],[final_det]]+Grandview_Inventory[[#This Row],[final_res]]</f>
        <v>264400</v>
      </c>
      <c r="CE1168">
        <f>Grandview_Inventory[[#This Row],[final_land]]+Grandview_Inventory[[#This Row],[final_imp]]+Grandview_Inventory[[#This Row],[crop_value]]</f>
        <v>309600</v>
      </c>
      <c r="CG1168" t="str">
        <f t="shared" si="18"/>
        <v>update valuation set market_land =45200, market_bldg=264400, market_total =309600, market_mdno =401, market_date ='9/10/2023' where link_id = (select link_id from parcel where parcel_year = '2024' and parcel_id = '23092243447');</v>
      </c>
    </row>
    <row r="1169" spans="1:85" x14ac:dyDescent="0.25">
      <c r="A1169">
        <v>23092243448</v>
      </c>
      <c r="B1169">
        <v>0.18</v>
      </c>
      <c r="C1169">
        <v>7650</v>
      </c>
      <c r="D1169" t="s">
        <v>129</v>
      </c>
      <c r="E1169" t="s">
        <v>53</v>
      </c>
      <c r="F1169" t="s">
        <v>53</v>
      </c>
      <c r="G1169">
        <v>4</v>
      </c>
      <c r="H1169" t="s">
        <v>54</v>
      </c>
      <c r="I1169">
        <v>153200</v>
      </c>
      <c r="J1169">
        <v>39000</v>
      </c>
      <c r="K1169">
        <v>0.18</v>
      </c>
      <c r="L116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169">
        <v>0</v>
      </c>
      <c r="N1169">
        <v>0</v>
      </c>
      <c r="O1169">
        <v>0</v>
      </c>
      <c r="P1169">
        <v>13398.7528</v>
      </c>
      <c r="Q1169">
        <v>63903</v>
      </c>
      <c r="R1169">
        <f>(Grandview_Inventory[[#This Row],[ln_acres]]*Grandview_Inventory[[#This Row],[coeff]])+Grandview_Inventory[[#This Row],[const]]</f>
        <v>40926.839760167699</v>
      </c>
      <c r="S1169" t="s">
        <v>61</v>
      </c>
      <c r="T1169">
        <v>1</v>
      </c>
      <c r="U1169" t="s">
        <v>70</v>
      </c>
      <c r="V1169" t="s">
        <v>69</v>
      </c>
      <c r="W1169">
        <v>0</v>
      </c>
      <c r="X1169">
        <v>0</v>
      </c>
      <c r="Y1169">
        <v>43</v>
      </c>
      <c r="Z1169">
        <v>44</v>
      </c>
      <c r="AA1169">
        <v>50</v>
      </c>
      <c r="AB1169">
        <v>1500</v>
      </c>
      <c r="AC1169">
        <v>1320</v>
      </c>
      <c r="AD1169">
        <v>1320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8</v>
      </c>
      <c r="AQ1169">
        <v>0</v>
      </c>
      <c r="AR1169">
        <v>0</v>
      </c>
      <c r="AS1169" t="s">
        <v>58</v>
      </c>
      <c r="AT1169">
        <v>1</v>
      </c>
      <c r="AU1169" t="s">
        <v>63</v>
      </c>
      <c r="AV1169" t="s">
        <v>60</v>
      </c>
      <c r="AW1169">
        <v>0</v>
      </c>
      <c r="AX1169">
        <v>4</v>
      </c>
      <c r="AY1169">
        <v>0</v>
      </c>
      <c r="AZ1169">
        <v>0</v>
      </c>
      <c r="BA1169">
        <v>100</v>
      </c>
      <c r="BB1169">
        <v>100</v>
      </c>
      <c r="BC1169">
        <v>100</v>
      </c>
      <c r="BD1169">
        <v>100</v>
      </c>
      <c r="BE1169">
        <v>1</v>
      </c>
      <c r="BF1169">
        <v>15000</v>
      </c>
      <c r="BG1169">
        <v>1000</v>
      </c>
      <c r="BH1169" s="6">
        <f>Grandview_Inventory[[#This Row],[land_extract]]*Lookups!$B$3</f>
        <v>47528.228511015397</v>
      </c>
      <c r="BI1169" s="6">
        <f>IF(Grandview_Inventory[[#This Row],[bldg_style]]="",0,Lookups!$B$2)</f>
        <v>155833.95000000001</v>
      </c>
      <c r="BJ1169" s="6">
        <f>_xlfn.IFNA(VLOOKUP(Grandview_Inventory[[#This Row],[quality]],Lookups!$H$2:$J$14,3,FALSE),0)</f>
        <v>10733</v>
      </c>
      <c r="BK1169" s="6">
        <f>_xlfn.IFNA(VLOOKUP(Grandview_Inventory[[#This Row],[condition]],Lookups!$H$17:$J$24,3,FALSE),0)</f>
        <v>-4503</v>
      </c>
      <c r="BL1169" s="6">
        <f>Grandview_Inventory[[#This Row],[Eff_Age]]*Lookups!$B$14</f>
        <v>-10284.1638</v>
      </c>
      <c r="BM1169" s="6">
        <f>Grandview_Inventory[[#This Row],[living_area]]*Lookups!$B$15</f>
        <v>82342.725959999996</v>
      </c>
      <c r="BN1169" s="6">
        <f>Grandview_Inventory[[#This Row],[Fin BSMT]]*Lookups!$B$16</f>
        <v>0</v>
      </c>
      <c r="BO1169" s="6">
        <f>(Grandview_Inventory[[#This Row],[att_gar]]+Grandview_Inventory[[#This Row],[bltin_gar]])*Lookups!$B$17</f>
        <v>0</v>
      </c>
      <c r="BP1169" s="6">
        <f>Grandview_Inventory[[#This Row],[Plumbing Fixtures]]*Lookups!$B$18</f>
        <v>16083.5344</v>
      </c>
      <c r="BQ1169" s="6">
        <f>Grandview_Inventory[[#This Row],[detatched_value]]*Lookups!$B$19</f>
        <v>0</v>
      </c>
      <c r="BR1169" s="6">
        <f>SUM(Grandview_Inventory[[#This Row],[Intercept]:[det_value]])*Grandview_Inventory[[#This Row],[res_pct]]</f>
        <v>250206.04655999999</v>
      </c>
      <c r="BS1169" s="6">
        <f>Grandview_Inventory[[#This Row],[land_value]]</f>
        <v>47528.228511015397</v>
      </c>
      <c r="BT1169" s="4">
        <f>_xlfn.IFNA(VLOOKUP(Grandview_Inventory[[#This Row],[quality]],Lookups!$A$26:$C$33,3,FALSE),1)</f>
        <v>0.98079741117310582</v>
      </c>
      <c r="BU1169" s="4">
        <f>_xlfn.IFNA(VLOOKUP(Grandview_Inventory[[#This Row],[condition]],Lookups!$A$37:$C$44,3,FALSE),1)</f>
        <v>0.96469275950863709</v>
      </c>
      <c r="BV1169" s="4">
        <f>IF(Grandview_Inventory[[#This Row],[bldg_style]]="",1,_xlfn.IFNA(VLOOKUP(Grandview_Inventory[[#This Row],[decade]],Lookups!$F$29:$H$43,3,FALSE),1))</f>
        <v>0.9871940091910919</v>
      </c>
      <c r="BW1169" s="4">
        <f>_xlfn.IFNA(VLOOKUP(Grandview_Inventory[[#This Row],[living_area_range]],Lookups!$F$47:$H$56,3,FALSE),1)</f>
        <v>0.96135087979789358</v>
      </c>
      <c r="BX1169" s="4">
        <f>AVERAGE(Grandview_Inventory[[#This Row],[qual_adj]:[size_adj]])</f>
        <v>0.97350876491768212</v>
      </c>
      <c r="BY1169" s="6">
        <f>IF(Grandview_Inventory[[#This Row],[pre_res]]&lt;0,0,Grandview_Inventory[[#This Row],[pre_res]]*Grandview_Inventory[[#This Row],[overall_adj]])</f>
        <v>243577.77936156167</v>
      </c>
      <c r="BZ1169" s="6">
        <f>(Grandview_Inventory[[#This Row],[sum_land]]-IF(Grandview_Inventory[[#This Row],[no_utilities]]=1,12000,0))/IF(Grandview_Inventory[[#This Row],[unbuildable]]=1,2,1)</f>
        <v>47528.228511015397</v>
      </c>
      <c r="CA116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169">
        <f>ROUND(Grandview_Inventory[[#This Row],[det_value]]*Lookups!$M$28,-2)</f>
        <v>0</v>
      </c>
      <c r="CC1169">
        <f>IF(ROUND(Grandview_Inventory[[#This Row],[adj_res]]*Lookups!$M$28,-2)&lt;Grandview_Inventory[[#This Row],[min_res]],Grandview_Inventory[[#This Row],[min_res]],ROUND(Grandview_Inventory[[#This Row],[adj_res]]*Lookups!$M$28,-2))</f>
        <v>231400</v>
      </c>
      <c r="CD1169">
        <f>Grandview_Inventory[[#This Row],[final_det]]+Grandview_Inventory[[#This Row],[final_res]]</f>
        <v>231400</v>
      </c>
      <c r="CE1169">
        <f>Grandview_Inventory[[#This Row],[final_land]]+Grandview_Inventory[[#This Row],[final_imp]]+Grandview_Inventory[[#This Row],[crop_value]]</f>
        <v>276600</v>
      </c>
      <c r="CG1169" t="str">
        <f t="shared" si="18"/>
        <v>update valuation set market_land =45200, market_bldg=231400, market_total =276600, market_mdno =401, market_date ='9/10/2023' where link_id = (select link_id from parcel where parcel_year = '2024' and parcel_id = '23092243448');</v>
      </c>
    </row>
    <row r="1170" spans="1:85" x14ac:dyDescent="0.25">
      <c r="A1170">
        <v>23092243449</v>
      </c>
      <c r="B1170">
        <v>0.24</v>
      </c>
      <c r="C1170">
        <v>10542</v>
      </c>
      <c r="D1170" t="s">
        <v>129</v>
      </c>
      <c r="E1170" t="s">
        <v>53</v>
      </c>
      <c r="F1170" t="s">
        <v>53</v>
      </c>
      <c r="G1170">
        <v>4</v>
      </c>
      <c r="H1170" t="s">
        <v>54</v>
      </c>
      <c r="I1170">
        <v>176400</v>
      </c>
      <c r="J1170">
        <v>44400</v>
      </c>
      <c r="K1170">
        <v>0.24</v>
      </c>
      <c r="L117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170">
        <v>0</v>
      </c>
      <c r="N1170">
        <v>0</v>
      </c>
      <c r="O1170">
        <v>0</v>
      </c>
      <c r="P1170">
        <v>13398.7528</v>
      </c>
      <c r="Q1170">
        <v>63903</v>
      </c>
      <c r="R1170">
        <f>(Grandview_Inventory[[#This Row],[ln_acres]]*Grandview_Inventory[[#This Row],[coeff]])+Grandview_Inventory[[#This Row],[const]]</f>
        <v>44781.420733940802</v>
      </c>
      <c r="S1170" t="s">
        <v>55</v>
      </c>
      <c r="T1170">
        <v>1</v>
      </c>
      <c r="U1170" t="s">
        <v>65</v>
      </c>
      <c r="V1170" t="s">
        <v>69</v>
      </c>
      <c r="W1170">
        <v>0</v>
      </c>
      <c r="X1170">
        <v>0</v>
      </c>
      <c r="Y1170">
        <v>43</v>
      </c>
      <c r="Z1170">
        <v>44</v>
      </c>
      <c r="AA1170">
        <v>50</v>
      </c>
      <c r="AB1170">
        <v>1500</v>
      </c>
      <c r="AC1170">
        <v>1300</v>
      </c>
      <c r="AD1170">
        <v>1300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577</v>
      </c>
      <c r="AN1170">
        <v>0</v>
      </c>
      <c r="AO1170">
        <v>577</v>
      </c>
      <c r="AP1170">
        <v>5</v>
      </c>
      <c r="AQ1170">
        <v>1</v>
      </c>
      <c r="AR1170">
        <v>0</v>
      </c>
      <c r="AS1170" t="s">
        <v>58</v>
      </c>
      <c r="AT1170">
        <v>1</v>
      </c>
      <c r="AU1170" t="s">
        <v>63</v>
      </c>
      <c r="AV1170" t="s">
        <v>60</v>
      </c>
      <c r="AW1170">
        <v>1</v>
      </c>
      <c r="AX1170">
        <v>3</v>
      </c>
      <c r="AY1170">
        <v>0</v>
      </c>
      <c r="AZ1170">
        <v>0</v>
      </c>
      <c r="BA1170">
        <v>100</v>
      </c>
      <c r="BB1170">
        <v>100</v>
      </c>
      <c r="BC1170">
        <v>100</v>
      </c>
      <c r="BD1170">
        <v>100</v>
      </c>
      <c r="BE1170">
        <v>1</v>
      </c>
      <c r="BF1170">
        <v>15000</v>
      </c>
      <c r="BG1170">
        <v>1000</v>
      </c>
      <c r="BH1170" s="6">
        <f>Grandview_Inventory[[#This Row],[land_extract]]*Lookups!$B$3</f>
        <v>52004.542988489469</v>
      </c>
      <c r="BI1170" s="6">
        <f>IF(Grandview_Inventory[[#This Row],[bldg_style]]="",0,Lookups!$B$2)</f>
        <v>155833.95000000001</v>
      </c>
      <c r="BJ1170" s="6">
        <f>_xlfn.IFNA(VLOOKUP(Grandview_Inventory[[#This Row],[quality]],Lookups!$H$2:$J$14,3,FALSE),0)</f>
        <v>2251</v>
      </c>
      <c r="BK1170" s="6">
        <f>_xlfn.IFNA(VLOOKUP(Grandview_Inventory[[#This Row],[condition]],Lookups!$H$17:$J$24,3,FALSE),0)</f>
        <v>-4503</v>
      </c>
      <c r="BL1170" s="6">
        <f>Grandview_Inventory[[#This Row],[Eff_Age]]*Lookups!$B$14</f>
        <v>-10284.1638</v>
      </c>
      <c r="BM1170" s="6">
        <f>Grandview_Inventory[[#This Row],[living_area]]*Lookups!$B$15</f>
        <v>81095.108900000007</v>
      </c>
      <c r="BN1170" s="6">
        <f>Grandview_Inventory[[#This Row],[Fin BSMT]]*Lookups!$B$16</f>
        <v>0</v>
      </c>
      <c r="BO1170" s="6">
        <f>(Grandview_Inventory[[#This Row],[att_gar]]+Grandview_Inventory[[#This Row],[bltin_gar]])*Lookups!$B$17</f>
        <v>0</v>
      </c>
      <c r="BP1170" s="6">
        <f>Grandview_Inventory[[#This Row],[Plumbing Fixtures]]*Lookups!$B$18</f>
        <v>10052.209000000001</v>
      </c>
      <c r="BQ1170" s="6">
        <f>Grandview_Inventory[[#This Row],[detatched_value]]*Lookups!$B$19</f>
        <v>0</v>
      </c>
      <c r="BR1170" s="6">
        <f>SUM(Grandview_Inventory[[#This Row],[Intercept]:[det_value]])*Grandview_Inventory[[#This Row],[res_pct]]</f>
        <v>234445.10410000003</v>
      </c>
      <c r="BS1170" s="6">
        <f>Grandview_Inventory[[#This Row],[land_value]]</f>
        <v>52004.542988489469</v>
      </c>
      <c r="BT1170" s="4">
        <f>_xlfn.IFNA(VLOOKUP(Grandview_Inventory[[#This Row],[quality]],Lookups!$A$26:$C$33,3,FALSE),1)</f>
        <v>0.98763855981004833</v>
      </c>
      <c r="BU1170" s="4">
        <f>_xlfn.IFNA(VLOOKUP(Grandview_Inventory[[#This Row],[condition]],Lookups!$A$37:$C$44,3,FALSE),1)</f>
        <v>0.96469275950863709</v>
      </c>
      <c r="BV1170" s="4">
        <f>IF(Grandview_Inventory[[#This Row],[bldg_style]]="",1,_xlfn.IFNA(VLOOKUP(Grandview_Inventory[[#This Row],[decade]],Lookups!$F$29:$H$43,3,FALSE),1))</f>
        <v>0.9871940091910919</v>
      </c>
      <c r="BW1170" s="4">
        <f>_xlfn.IFNA(VLOOKUP(Grandview_Inventory[[#This Row],[living_area_range]],Lookups!$F$47:$H$56,3,FALSE),1)</f>
        <v>0.96135087979789358</v>
      </c>
      <c r="BX1170" s="4">
        <f>AVERAGE(Grandview_Inventory[[#This Row],[qual_adj]:[size_adj]])</f>
        <v>0.97521905207691773</v>
      </c>
      <c r="BY1170" s="6">
        <f>IF(Grandview_Inventory[[#This Row],[pre_res]]&lt;0,0,Grandview_Inventory[[#This Row],[pre_res]]*Grandview_Inventory[[#This Row],[overall_adj]])</f>
        <v>228635.33218447631</v>
      </c>
      <c r="BZ1170" s="6">
        <f>(Grandview_Inventory[[#This Row],[sum_land]]-IF(Grandview_Inventory[[#This Row],[no_utilities]]=1,12000,0))/IF(Grandview_Inventory[[#This Row],[unbuildable]]=1,2,1)</f>
        <v>52004.542988489469</v>
      </c>
      <c r="CA117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170">
        <f>ROUND(Grandview_Inventory[[#This Row],[det_value]]*Lookups!$M$28,-2)</f>
        <v>0</v>
      </c>
      <c r="CC1170">
        <f>IF(ROUND(Grandview_Inventory[[#This Row],[adj_res]]*Lookups!$M$28,-2)&lt;Grandview_Inventory[[#This Row],[min_res]],Grandview_Inventory[[#This Row],[min_res]],ROUND(Grandview_Inventory[[#This Row],[adj_res]]*Lookups!$M$28,-2))</f>
        <v>217200</v>
      </c>
      <c r="CD1170">
        <f>Grandview_Inventory[[#This Row],[final_det]]+Grandview_Inventory[[#This Row],[final_res]]</f>
        <v>217200</v>
      </c>
      <c r="CE1170">
        <f>Grandview_Inventory[[#This Row],[final_land]]+Grandview_Inventory[[#This Row],[final_imp]]+Grandview_Inventory[[#This Row],[crop_value]]</f>
        <v>266600</v>
      </c>
      <c r="CG1170" t="str">
        <f t="shared" si="18"/>
        <v>update valuation set market_land =49400, market_bldg=217200, market_total =266600, market_mdno =401, market_date ='9/10/2023' where link_id = (select link_id from parcel where parcel_year = '2024' and parcel_id = '23092243449');</v>
      </c>
    </row>
    <row r="1171" spans="1:85" x14ac:dyDescent="0.25">
      <c r="A1171">
        <v>23092243451</v>
      </c>
      <c r="B1171">
        <v>10.46</v>
      </c>
      <c r="C1171" t="s">
        <v>129</v>
      </c>
      <c r="D1171" t="s">
        <v>129</v>
      </c>
      <c r="E1171" t="s">
        <v>53</v>
      </c>
      <c r="F1171" t="s">
        <v>53</v>
      </c>
      <c r="G1171">
        <v>4</v>
      </c>
      <c r="H1171" t="s">
        <v>54</v>
      </c>
      <c r="I1171">
        <v>431000</v>
      </c>
      <c r="J1171">
        <v>77400</v>
      </c>
      <c r="K1171">
        <v>10.46</v>
      </c>
      <c r="L1171">
        <f>IF(Grandview_Inventory[[#This Row],[parcel_acres]]-Grandview_Inventory[[#This Row],[non_valued_acres]] =0,0,LN(Grandview_Inventory[[#This Row],[parcel_acres]]-Grandview_Inventory[[#This Row],[non_valued_acres]]))</f>
        <v>2.3475584586367768</v>
      </c>
      <c r="M1171">
        <v>0</v>
      </c>
      <c r="N1171">
        <v>0</v>
      </c>
      <c r="O1171">
        <v>0</v>
      </c>
      <c r="P1171">
        <v>13398.7528</v>
      </c>
      <c r="Q1171">
        <v>63903</v>
      </c>
      <c r="R1171">
        <f>(Grandview_Inventory[[#This Row],[ln_acres]]*Grandview_Inventory[[#This Row],[coeff]])+Grandview_Inventory[[#This Row],[const]]</f>
        <v>95357.355470823197</v>
      </c>
      <c r="S1171" t="s">
        <v>86</v>
      </c>
      <c r="T1171">
        <v>2</v>
      </c>
      <c r="U1171" t="s">
        <v>65</v>
      </c>
      <c r="V1171" t="s">
        <v>69</v>
      </c>
      <c r="W1171">
        <v>0</v>
      </c>
      <c r="X1171">
        <v>0</v>
      </c>
      <c r="Y1171">
        <v>55</v>
      </c>
      <c r="Z1171">
        <v>99</v>
      </c>
      <c r="AA1171">
        <v>100</v>
      </c>
      <c r="AB1171">
        <v>3000</v>
      </c>
      <c r="AC1171">
        <v>2920</v>
      </c>
      <c r="AD1171">
        <v>1720</v>
      </c>
      <c r="AE1171">
        <v>1200</v>
      </c>
      <c r="AF1171">
        <v>0</v>
      </c>
      <c r="AG1171">
        <v>0</v>
      </c>
      <c r="AH1171">
        <v>1200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380</v>
      </c>
      <c r="AO1171">
        <v>0</v>
      </c>
      <c r="AP1171">
        <v>7</v>
      </c>
      <c r="AQ1171">
        <v>1</v>
      </c>
      <c r="AR1171">
        <v>1</v>
      </c>
      <c r="AS1171" t="s">
        <v>58</v>
      </c>
      <c r="AT1171">
        <v>1</v>
      </c>
      <c r="AU1171" t="s">
        <v>63</v>
      </c>
      <c r="AV1171" t="s">
        <v>81</v>
      </c>
      <c r="AW1171">
        <v>0</v>
      </c>
      <c r="AX1171">
        <v>4</v>
      </c>
      <c r="AY1171">
        <v>22100</v>
      </c>
      <c r="AZ1171">
        <v>192400</v>
      </c>
      <c r="BA1171">
        <v>100</v>
      </c>
      <c r="BB1171">
        <v>100</v>
      </c>
      <c r="BC1171">
        <v>100</v>
      </c>
      <c r="BD1171">
        <v>100</v>
      </c>
      <c r="BE1171">
        <v>1</v>
      </c>
      <c r="BF1171">
        <v>15000</v>
      </c>
      <c r="BG1171">
        <v>1000</v>
      </c>
      <c r="BH1171" s="6">
        <f>Grandview_Inventory[[#This Row],[land_extract]]*Lookups!$B$3</f>
        <v>110738.2394434072</v>
      </c>
      <c r="BI1171" s="6">
        <f>IF(Grandview_Inventory[[#This Row],[bldg_style]]="",0,Lookups!$B$2)</f>
        <v>155833.95000000001</v>
      </c>
      <c r="BJ1171" s="6">
        <f>_xlfn.IFNA(VLOOKUP(Grandview_Inventory[[#This Row],[quality]],Lookups!$H$2:$J$14,3,FALSE),0)</f>
        <v>2251</v>
      </c>
      <c r="BK1171" s="6">
        <f>_xlfn.IFNA(VLOOKUP(Grandview_Inventory[[#This Row],[condition]],Lookups!$H$17:$J$24,3,FALSE),0)</f>
        <v>-4503</v>
      </c>
      <c r="BL1171" s="6">
        <f>Grandview_Inventory[[#This Row],[Eff_Age]]*Lookups!$B$14</f>
        <v>-13154.162999999999</v>
      </c>
      <c r="BM1171" s="6">
        <f>Grandview_Inventory[[#This Row],[living_area]]*Lookups!$B$15</f>
        <v>182152.09075999999</v>
      </c>
      <c r="BN1171" s="6">
        <f>Grandview_Inventory[[#This Row],[Fin BSMT]]*Lookups!$B$16</f>
        <v>0</v>
      </c>
      <c r="BO1171" s="6">
        <f>(Grandview_Inventory[[#This Row],[att_gar]]+Grandview_Inventory[[#This Row],[bltin_gar]])*Lookups!$B$17</f>
        <v>0</v>
      </c>
      <c r="BP1171" s="6">
        <f>Grandview_Inventory[[#This Row],[Plumbing Fixtures]]*Lookups!$B$18</f>
        <v>14073.0926</v>
      </c>
      <c r="BQ1171" s="6">
        <f>Grandview_Inventory[[#This Row],[detatched_value]]*Lookups!$B$19</f>
        <v>162925.30124</v>
      </c>
      <c r="BR1171" s="6">
        <f>SUM(Grandview_Inventory[[#This Row],[Intercept]:[det_value]])*Grandview_Inventory[[#This Row],[res_pct]]</f>
        <v>499578.27159999998</v>
      </c>
      <c r="BS1171" s="6">
        <f>Grandview_Inventory[[#This Row],[land_value]]</f>
        <v>110738.2394434072</v>
      </c>
      <c r="BT1171" s="4">
        <f>_xlfn.IFNA(VLOOKUP(Grandview_Inventory[[#This Row],[quality]],Lookups!$A$26:$C$33,3,FALSE),1)</f>
        <v>0.98763855981004833</v>
      </c>
      <c r="BU1171" s="4">
        <f>_xlfn.IFNA(VLOOKUP(Grandview_Inventory[[#This Row],[condition]],Lookups!$A$37:$C$44,3,FALSE),1)</f>
        <v>0.96469275950863709</v>
      </c>
      <c r="BV1171" s="4">
        <f>IF(Grandview_Inventory[[#This Row],[bldg_style]]="",1,_xlfn.IFNA(VLOOKUP(Grandview_Inventory[[#This Row],[decade]],Lookups!$F$29:$H$43,3,FALSE),1))</f>
        <v>0.95244691841736806</v>
      </c>
      <c r="BW1171" s="4">
        <f>_xlfn.IFNA(VLOOKUP(Grandview_Inventory[[#This Row],[living_area_range]],Lookups!$F$47:$H$56,3,FALSE),1)</f>
        <v>0.94224801443562123</v>
      </c>
      <c r="BX1171" s="4">
        <f>AVERAGE(Grandview_Inventory[[#This Row],[qual_adj]:[size_adj]])</f>
        <v>0.96175656304291868</v>
      </c>
      <c r="BY1171" s="6">
        <f>IF(Grandview_Inventory[[#This Row],[pre_res]]&lt;0,0,Grandview_Inventory[[#This Row],[pre_res]]*Grandview_Inventory[[#This Row],[overall_adj]])</f>
        <v>480472.68146493775</v>
      </c>
      <c r="BZ1171" s="6">
        <f>(Grandview_Inventory[[#This Row],[sum_land]]-IF(Grandview_Inventory[[#This Row],[no_utilities]]=1,12000,0))/IF(Grandview_Inventory[[#This Row],[unbuildable]]=1,2,1)</f>
        <v>110738.2394434072</v>
      </c>
      <c r="CA1171">
        <f>IF(ROUND(Grandview_Inventory[[#This Row],[adj_land]]*Lookups!$M$28,-2)&lt;Grandview_Inventory[[#This Row],[min_land]],Grandview_Inventory[[#This Row],[min_land]],ROUND(Grandview_Inventory[[#This Row],[adj_land]]*Lookups!$M$28,-2))</f>
        <v>105200</v>
      </c>
      <c r="CB1171">
        <f>ROUND(Grandview_Inventory[[#This Row],[det_value]]*Lookups!$M$28,-2)</f>
        <v>154800</v>
      </c>
      <c r="CC1171">
        <f>IF(ROUND(Grandview_Inventory[[#This Row],[adj_res]]*Lookups!$M$28,-2)&lt;Grandview_Inventory[[#This Row],[min_res]],Grandview_Inventory[[#This Row],[min_res]],ROUND(Grandview_Inventory[[#This Row],[adj_res]]*Lookups!$M$28,-2))</f>
        <v>456400</v>
      </c>
      <c r="CD1171">
        <f>Grandview_Inventory[[#This Row],[final_det]]+Grandview_Inventory[[#This Row],[final_res]]</f>
        <v>611200</v>
      </c>
      <c r="CE1171">
        <f>Grandview_Inventory[[#This Row],[final_land]]+Grandview_Inventory[[#This Row],[final_imp]]+Grandview_Inventory[[#This Row],[crop_value]]</f>
        <v>738500</v>
      </c>
      <c r="CG1171" t="str">
        <f t="shared" si="18"/>
        <v>update valuation set market_land =105200, market_bldg=611200, market_total =738500, market_mdno =401, market_date ='9/10/2023' where link_id = (select link_id from parcel where parcel_year = '2024' and parcel_id = '23092243451');</v>
      </c>
    </row>
    <row r="1172" spans="1:85" x14ac:dyDescent="0.25">
      <c r="A1172">
        <v>23092243471</v>
      </c>
      <c r="B1172">
        <v>6.14</v>
      </c>
      <c r="C1172">
        <v>267321</v>
      </c>
      <c r="D1172" t="s">
        <v>129</v>
      </c>
      <c r="E1172" t="s">
        <v>53</v>
      </c>
      <c r="F1172" t="s">
        <v>53</v>
      </c>
      <c r="G1172">
        <v>4</v>
      </c>
      <c r="H1172" t="s">
        <v>54</v>
      </c>
      <c r="I1172">
        <v>392600</v>
      </c>
      <c r="J1172">
        <v>55000</v>
      </c>
      <c r="K1172">
        <v>6.14</v>
      </c>
      <c r="L1172">
        <f>IF(Grandview_Inventory[[#This Row],[parcel_acres]]-Grandview_Inventory[[#This Row],[non_valued_acres]] =0,0,LN(Grandview_Inventory[[#This Row],[parcel_acres]]-Grandview_Inventory[[#This Row],[non_valued_acres]]))</f>
        <v>1.8148247421590511</v>
      </c>
      <c r="M1172">
        <v>0</v>
      </c>
      <c r="N1172">
        <v>0</v>
      </c>
      <c r="O1172">
        <v>0</v>
      </c>
      <c r="P1172">
        <v>13398.7528</v>
      </c>
      <c r="Q1172">
        <v>63903</v>
      </c>
      <c r="R1172">
        <f>(Grandview_Inventory[[#This Row],[ln_acres]]*Grandview_Inventory[[#This Row],[coeff]])+Grandview_Inventory[[#This Row],[const]]</f>
        <v>88219.38809551287</v>
      </c>
      <c r="S1172" t="s">
        <v>84</v>
      </c>
      <c r="T1172">
        <v>2</v>
      </c>
      <c r="U1172" t="s">
        <v>64</v>
      </c>
      <c r="V1172" t="s">
        <v>67</v>
      </c>
      <c r="W1172">
        <v>0</v>
      </c>
      <c r="X1172">
        <v>0</v>
      </c>
      <c r="Y1172">
        <v>53</v>
      </c>
      <c r="Z1172">
        <v>93</v>
      </c>
      <c r="AA1172">
        <v>100</v>
      </c>
      <c r="AB1172">
        <v>3000</v>
      </c>
      <c r="AC1172">
        <v>2976</v>
      </c>
      <c r="AD1172">
        <v>1104</v>
      </c>
      <c r="AE1172">
        <v>936</v>
      </c>
      <c r="AF1172">
        <v>0</v>
      </c>
      <c r="AG1172">
        <v>936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264</v>
      </c>
      <c r="AN1172">
        <v>0</v>
      </c>
      <c r="AO1172">
        <v>264</v>
      </c>
      <c r="AP1172">
        <v>9</v>
      </c>
      <c r="AQ1172">
        <v>0</v>
      </c>
      <c r="AR1172">
        <v>1</v>
      </c>
      <c r="AS1172" t="s">
        <v>58</v>
      </c>
      <c r="AT1172">
        <v>1</v>
      </c>
      <c r="AU1172" t="s">
        <v>63</v>
      </c>
      <c r="AV1172" t="s">
        <v>60</v>
      </c>
      <c r="AW1172">
        <v>1</v>
      </c>
      <c r="AX1172">
        <v>4</v>
      </c>
      <c r="AY1172">
        <v>0</v>
      </c>
      <c r="AZ1172">
        <v>12200</v>
      </c>
      <c r="BA1172">
        <v>100</v>
      </c>
      <c r="BB1172">
        <v>100</v>
      </c>
      <c r="BC1172">
        <v>100</v>
      </c>
      <c r="BD1172">
        <v>100</v>
      </c>
      <c r="BE1172">
        <v>1</v>
      </c>
      <c r="BF1172">
        <v>15000</v>
      </c>
      <c r="BG1172">
        <v>1000</v>
      </c>
      <c r="BH1172" s="6">
        <f>Grandview_Inventory[[#This Row],[land_extract]]*Lookups!$B$3</f>
        <v>102448.93720297124</v>
      </c>
      <c r="BI1172" s="6">
        <f>IF(Grandview_Inventory[[#This Row],[bldg_style]]="",0,Lookups!$B$2)</f>
        <v>155833.95000000001</v>
      </c>
      <c r="BJ1172" s="6">
        <f>_xlfn.IFNA(VLOOKUP(Grandview_Inventory[[#This Row],[quality]],Lookups!$H$2:$J$14,3,FALSE),0)</f>
        <v>20768</v>
      </c>
      <c r="BK1172" s="6">
        <f>_xlfn.IFNA(VLOOKUP(Grandview_Inventory[[#This Row],[condition]],Lookups!$H$17:$J$24,3,FALSE),0)</f>
        <v>22342</v>
      </c>
      <c r="BL1172" s="6">
        <f>Grandview_Inventory[[#This Row],[Eff_Age]]*Lookups!$B$14</f>
        <v>-12675.8298</v>
      </c>
      <c r="BM1172" s="6">
        <f>Grandview_Inventory[[#This Row],[living_area]]*Lookups!$B$15</f>
        <v>185645.41852800001</v>
      </c>
      <c r="BN1172" s="6">
        <f>Grandview_Inventory[[#This Row],[Fin BSMT]]*Lookups!$B$16</f>
        <v>-25364.888640000001</v>
      </c>
      <c r="BO1172" s="6">
        <f>(Grandview_Inventory[[#This Row],[att_gar]]+Grandview_Inventory[[#This Row],[bltin_gar]])*Lookups!$B$17</f>
        <v>0</v>
      </c>
      <c r="BP1172" s="6">
        <f>Grandview_Inventory[[#This Row],[Plumbing Fixtures]]*Lookups!$B$18</f>
        <v>18093.976200000001</v>
      </c>
      <c r="BQ1172" s="6">
        <f>Grandview_Inventory[[#This Row],[detatched_value]]*Lookups!$B$19</f>
        <v>10331.022219999999</v>
      </c>
      <c r="BR1172" s="6">
        <f>SUM(Grandview_Inventory[[#This Row],[Intercept]:[det_value]])*Grandview_Inventory[[#This Row],[res_pct]]</f>
        <v>374973.64850799995</v>
      </c>
      <c r="BS1172" s="6">
        <f>Grandview_Inventory[[#This Row],[land_value]]</f>
        <v>102448.93720297124</v>
      </c>
      <c r="BT1172" s="4">
        <f>_xlfn.IFNA(VLOOKUP(Grandview_Inventory[[#This Row],[quality]],Lookups!$A$26:$C$33,3,FALSE),1)</f>
        <v>0.94960540378902636</v>
      </c>
      <c r="BU1172" s="4">
        <f>_xlfn.IFNA(VLOOKUP(Grandview_Inventory[[#This Row],[condition]],Lookups!$A$37:$C$44,3,FALSE),1)</f>
        <v>0.97383723671140243</v>
      </c>
      <c r="BV1172" s="4">
        <f>IF(Grandview_Inventory[[#This Row],[bldg_style]]="",1,_xlfn.IFNA(VLOOKUP(Grandview_Inventory[[#This Row],[decade]],Lookups!$F$29:$H$43,3,FALSE),1))</f>
        <v>0.95244691841736806</v>
      </c>
      <c r="BW1172" s="4">
        <f>_xlfn.IFNA(VLOOKUP(Grandview_Inventory[[#This Row],[living_area_range]],Lookups!$F$47:$H$56,3,FALSE),1)</f>
        <v>0.94224801443562123</v>
      </c>
      <c r="BX1172" s="4">
        <f>AVERAGE(Grandview_Inventory[[#This Row],[qual_adj]:[size_adj]])</f>
        <v>0.95453439333835455</v>
      </c>
      <c r="BY1172" s="6">
        <f>IF(Grandview_Inventory[[#This Row],[pre_res]]&lt;0,0,Grandview_Inventory[[#This Row],[pre_res]]*Grandview_Inventory[[#This Row],[overall_adj]])</f>
        <v>357925.24409645313</v>
      </c>
      <c r="BZ1172" s="6">
        <f>(Grandview_Inventory[[#This Row],[sum_land]]-IF(Grandview_Inventory[[#This Row],[no_utilities]]=1,12000,0))/IF(Grandview_Inventory[[#This Row],[unbuildable]]=1,2,1)</f>
        <v>102448.93720297124</v>
      </c>
      <c r="CA1172">
        <f>IF(ROUND(Grandview_Inventory[[#This Row],[adj_land]]*Lookups!$M$28,-2)&lt;Grandview_Inventory[[#This Row],[min_land]],Grandview_Inventory[[#This Row],[min_land]],ROUND(Grandview_Inventory[[#This Row],[adj_land]]*Lookups!$M$28,-2))</f>
        <v>97300</v>
      </c>
      <c r="CB1172">
        <f>ROUND(Grandview_Inventory[[#This Row],[det_value]]*Lookups!$M$28,-2)</f>
        <v>9800</v>
      </c>
      <c r="CC1172">
        <f>IF(ROUND(Grandview_Inventory[[#This Row],[adj_res]]*Lookups!$M$28,-2)&lt;Grandview_Inventory[[#This Row],[min_res]],Grandview_Inventory[[#This Row],[min_res]],ROUND(Grandview_Inventory[[#This Row],[adj_res]]*Lookups!$M$28,-2))</f>
        <v>340000</v>
      </c>
      <c r="CD1172">
        <f>Grandview_Inventory[[#This Row],[final_det]]+Grandview_Inventory[[#This Row],[final_res]]</f>
        <v>349800</v>
      </c>
      <c r="CE1172">
        <f>Grandview_Inventory[[#This Row],[final_land]]+Grandview_Inventory[[#This Row],[final_imp]]+Grandview_Inventory[[#This Row],[crop_value]]</f>
        <v>447100</v>
      </c>
      <c r="CG1172" t="str">
        <f t="shared" si="18"/>
        <v>update valuation set market_land =97300, market_bldg=349800, market_total =447100, market_mdno =401, market_date ='9/10/2023' where link_id = (select link_id from parcel where parcel_year = '2024' and parcel_id = '23092243471');</v>
      </c>
    </row>
    <row r="1173" spans="1:85" x14ac:dyDescent="0.25">
      <c r="A1173">
        <v>23092244001</v>
      </c>
      <c r="B1173">
        <v>0.13</v>
      </c>
      <c r="C1173">
        <v>5793</v>
      </c>
      <c r="D1173" t="s">
        <v>129</v>
      </c>
      <c r="E1173" t="s">
        <v>53</v>
      </c>
      <c r="F1173" t="s">
        <v>53</v>
      </c>
      <c r="G1173">
        <v>4</v>
      </c>
      <c r="H1173" t="s">
        <v>54</v>
      </c>
      <c r="I1173">
        <v>169500</v>
      </c>
      <c r="J1173">
        <v>42800</v>
      </c>
      <c r="K1173">
        <v>0.13</v>
      </c>
      <c r="L1173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173">
        <v>0</v>
      </c>
      <c r="N1173">
        <v>0</v>
      </c>
      <c r="O1173">
        <v>0</v>
      </c>
      <c r="P1173">
        <v>13398.7528</v>
      </c>
      <c r="Q1173">
        <v>63903</v>
      </c>
      <c r="R1173">
        <f>(Grandview_Inventory[[#This Row],[ln_acres]]*Grandview_Inventory[[#This Row],[coeff]])+Grandview_Inventory[[#This Row],[const]]</f>
        <v>36566.585461161507</v>
      </c>
      <c r="S1173" t="s">
        <v>61</v>
      </c>
      <c r="T1173">
        <v>1</v>
      </c>
      <c r="U1173" t="s">
        <v>65</v>
      </c>
      <c r="V1173" t="s">
        <v>69</v>
      </c>
      <c r="W1173">
        <v>0</v>
      </c>
      <c r="X1173">
        <v>0</v>
      </c>
      <c r="Y1173">
        <v>47</v>
      </c>
      <c r="Z1173">
        <v>58</v>
      </c>
      <c r="AA1173">
        <v>60</v>
      </c>
      <c r="AB1173">
        <v>2500</v>
      </c>
      <c r="AC1173">
        <v>2141</v>
      </c>
      <c r="AD1173">
        <v>1186</v>
      </c>
      <c r="AE1173">
        <v>0</v>
      </c>
      <c r="AF1173">
        <v>0</v>
      </c>
      <c r="AG1173">
        <v>955</v>
      </c>
      <c r="AH1173">
        <v>0</v>
      </c>
      <c r="AI1173">
        <v>0</v>
      </c>
      <c r="AJ1173">
        <v>231</v>
      </c>
      <c r="AK1173">
        <v>0</v>
      </c>
      <c r="AL1173">
        <v>194</v>
      </c>
      <c r="AM1173">
        <v>536</v>
      </c>
      <c r="AN1173">
        <v>0</v>
      </c>
      <c r="AO1173">
        <v>534</v>
      </c>
      <c r="AP1173">
        <v>8</v>
      </c>
      <c r="AQ1173">
        <v>0</v>
      </c>
      <c r="AR1173">
        <v>0</v>
      </c>
      <c r="AS1173" t="s">
        <v>58</v>
      </c>
      <c r="AT1173">
        <v>1</v>
      </c>
      <c r="AU1173" t="s">
        <v>63</v>
      </c>
      <c r="AV1173" t="s">
        <v>60</v>
      </c>
      <c r="AW1173">
        <v>0</v>
      </c>
      <c r="AX1173">
        <v>4</v>
      </c>
      <c r="AY1173">
        <v>0</v>
      </c>
      <c r="AZ1173">
        <v>0</v>
      </c>
      <c r="BA1173">
        <v>100</v>
      </c>
      <c r="BB1173">
        <v>100</v>
      </c>
      <c r="BC1173">
        <v>100</v>
      </c>
      <c r="BD1173">
        <v>100</v>
      </c>
      <c r="BE1173">
        <v>1</v>
      </c>
      <c r="BF1173">
        <v>15000</v>
      </c>
      <c r="BG1173">
        <v>1000</v>
      </c>
      <c r="BH1173" s="6">
        <f>Grandview_Inventory[[#This Row],[land_extract]]*Lookups!$B$3</f>
        <v>42464.67696626611</v>
      </c>
      <c r="BI1173" s="6">
        <f>IF(Grandview_Inventory[[#This Row],[bldg_style]]="",0,Lookups!$B$2)</f>
        <v>155833.95000000001</v>
      </c>
      <c r="BJ1173" s="6">
        <f>_xlfn.IFNA(VLOOKUP(Grandview_Inventory[[#This Row],[quality]],Lookups!$H$2:$J$14,3,FALSE),0)</f>
        <v>2251</v>
      </c>
      <c r="BK1173" s="6">
        <f>_xlfn.IFNA(VLOOKUP(Grandview_Inventory[[#This Row],[condition]],Lookups!$H$17:$J$24,3,FALSE),0)</f>
        <v>-4503</v>
      </c>
      <c r="BL1173" s="6">
        <f>Grandview_Inventory[[#This Row],[Eff_Age]]*Lookups!$B$14</f>
        <v>-11240.8302</v>
      </c>
      <c r="BM1173" s="6">
        <f>Grandview_Inventory[[#This Row],[living_area]]*Lookups!$B$15</f>
        <v>133557.406273</v>
      </c>
      <c r="BN1173" s="6">
        <f>Grandview_Inventory[[#This Row],[Fin BSMT]]*Lookups!$B$16</f>
        <v>-25879.774200000003</v>
      </c>
      <c r="BO1173" s="6">
        <f>(Grandview_Inventory[[#This Row],[att_gar]]+Grandview_Inventory[[#This Row],[bltin_gar]])*Lookups!$B$17</f>
        <v>20217.220947000002</v>
      </c>
      <c r="BP1173" s="6">
        <f>Grandview_Inventory[[#This Row],[Plumbing Fixtures]]*Lookups!$B$18</f>
        <v>16083.5344</v>
      </c>
      <c r="BQ1173" s="6">
        <f>Grandview_Inventory[[#This Row],[detatched_value]]*Lookups!$B$19</f>
        <v>0</v>
      </c>
      <c r="BR1173" s="6">
        <f>SUM(Grandview_Inventory[[#This Row],[Intercept]:[det_value]])*Grandview_Inventory[[#This Row],[res_pct]]</f>
        <v>286319.50722000003</v>
      </c>
      <c r="BS1173" s="6">
        <f>Grandview_Inventory[[#This Row],[land_value]]</f>
        <v>42464.67696626611</v>
      </c>
      <c r="BT1173" s="4">
        <f>_xlfn.IFNA(VLOOKUP(Grandview_Inventory[[#This Row],[quality]],Lookups!$A$26:$C$33,3,FALSE),1)</f>
        <v>0.98763855981004833</v>
      </c>
      <c r="BU1173" s="4">
        <f>_xlfn.IFNA(VLOOKUP(Grandview_Inventory[[#This Row],[condition]],Lookups!$A$37:$C$44,3,FALSE),1)</f>
        <v>0.96469275950863709</v>
      </c>
      <c r="BV1173" s="4">
        <f>IF(Grandview_Inventory[[#This Row],[bldg_style]]="",1,_xlfn.IFNA(VLOOKUP(Grandview_Inventory[[#This Row],[decade]],Lookups!$F$29:$H$43,3,FALSE),1))</f>
        <v>0.95268620544463312</v>
      </c>
      <c r="BW1173" s="4">
        <f>_xlfn.IFNA(VLOOKUP(Grandview_Inventory[[#This Row],[living_area_range]],Lookups!$F$47:$H$56,3,FALSE),1)</f>
        <v>0.95799442568048754</v>
      </c>
      <c r="BX1173" s="4">
        <f>AVERAGE(Grandview_Inventory[[#This Row],[qual_adj]:[size_adj]])</f>
        <v>0.96575298761095152</v>
      </c>
      <c r="BY1173" s="6">
        <f>IF(Grandview_Inventory[[#This Row],[pre_res]]&lt;0,0,Grandview_Inventory[[#This Row],[pre_res]]*Grandview_Inventory[[#This Row],[overall_adj]])</f>
        <v>276513.91950901045</v>
      </c>
      <c r="BZ1173" s="6">
        <f>(Grandview_Inventory[[#This Row],[sum_land]]-IF(Grandview_Inventory[[#This Row],[no_utilities]]=1,12000,0))/IF(Grandview_Inventory[[#This Row],[unbuildable]]=1,2,1)</f>
        <v>42464.67696626611</v>
      </c>
      <c r="CA1173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173">
        <f>ROUND(Grandview_Inventory[[#This Row],[det_value]]*Lookups!$M$28,-2)</f>
        <v>0</v>
      </c>
      <c r="CC1173">
        <f>IF(ROUND(Grandview_Inventory[[#This Row],[adj_res]]*Lookups!$M$28,-2)&lt;Grandview_Inventory[[#This Row],[min_res]],Grandview_Inventory[[#This Row],[min_res]],ROUND(Grandview_Inventory[[#This Row],[adj_res]]*Lookups!$M$28,-2))</f>
        <v>262700</v>
      </c>
      <c r="CD1173">
        <f>Grandview_Inventory[[#This Row],[final_det]]+Grandview_Inventory[[#This Row],[final_res]]</f>
        <v>262700</v>
      </c>
      <c r="CE1173">
        <f>Grandview_Inventory[[#This Row],[final_land]]+Grandview_Inventory[[#This Row],[final_imp]]+Grandview_Inventory[[#This Row],[crop_value]]</f>
        <v>303000</v>
      </c>
      <c r="CG1173" t="str">
        <f t="shared" si="18"/>
        <v>update valuation set market_land =40300, market_bldg=262700, market_total =303000, market_mdno =401, market_date ='9/10/2023' where link_id = (select link_id from parcel where parcel_year = '2024' and parcel_id = '23092244001');</v>
      </c>
    </row>
    <row r="1174" spans="1:85" x14ac:dyDescent="0.25">
      <c r="A1174">
        <v>23092244006</v>
      </c>
      <c r="B1174">
        <v>0.27</v>
      </c>
      <c r="C1174">
        <v>11941</v>
      </c>
      <c r="D1174" t="s">
        <v>129</v>
      </c>
      <c r="E1174" t="s">
        <v>53</v>
      </c>
      <c r="F1174" t="s">
        <v>53</v>
      </c>
      <c r="G1174">
        <v>4</v>
      </c>
      <c r="H1174" t="s">
        <v>54</v>
      </c>
      <c r="I1174">
        <v>143400</v>
      </c>
      <c r="J1174">
        <v>40500</v>
      </c>
      <c r="K1174">
        <v>0.27</v>
      </c>
      <c r="L117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174">
        <v>0</v>
      </c>
      <c r="N1174">
        <v>0</v>
      </c>
      <c r="O1174">
        <v>0</v>
      </c>
      <c r="P1174">
        <v>13398.7528</v>
      </c>
      <c r="Q1174">
        <v>63903</v>
      </c>
      <c r="R1174">
        <f>(Grandview_Inventory[[#This Row],[ln_acres]]*Grandview_Inventory[[#This Row],[coeff]])+Grandview_Inventory[[#This Row],[const]]</f>
        <v>46359.566512734265</v>
      </c>
      <c r="S1174" t="s">
        <v>68</v>
      </c>
      <c r="T1174">
        <v>1</v>
      </c>
      <c r="U1174" t="s">
        <v>65</v>
      </c>
      <c r="V1174" t="s">
        <v>69</v>
      </c>
      <c r="W1174">
        <v>0</v>
      </c>
      <c r="X1174">
        <v>0</v>
      </c>
      <c r="Y1174">
        <v>50</v>
      </c>
      <c r="Z1174">
        <v>73</v>
      </c>
      <c r="AA1174">
        <v>80</v>
      </c>
      <c r="AB1174">
        <v>1500</v>
      </c>
      <c r="AC1174">
        <v>1300</v>
      </c>
      <c r="AD1174">
        <v>1300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1418</v>
      </c>
      <c r="AN1174">
        <v>0</v>
      </c>
      <c r="AO1174">
        <v>148</v>
      </c>
      <c r="AP1174">
        <v>7</v>
      </c>
      <c r="AQ1174">
        <v>0</v>
      </c>
      <c r="AR1174">
        <v>0</v>
      </c>
      <c r="AS1174" t="s">
        <v>71</v>
      </c>
      <c r="AT1174">
        <v>1</v>
      </c>
      <c r="AU1174" t="s">
        <v>63</v>
      </c>
      <c r="AV1174" t="s">
        <v>60</v>
      </c>
      <c r="AW1174">
        <v>0</v>
      </c>
      <c r="AX1174">
        <v>3</v>
      </c>
      <c r="AY1174">
        <v>0</v>
      </c>
      <c r="AZ1174">
        <v>7100</v>
      </c>
      <c r="BA1174">
        <v>100</v>
      </c>
      <c r="BB1174">
        <v>100</v>
      </c>
      <c r="BC1174">
        <v>100</v>
      </c>
      <c r="BD1174">
        <v>100</v>
      </c>
      <c r="BE1174">
        <v>1</v>
      </c>
      <c r="BF1174">
        <v>15000</v>
      </c>
      <c r="BG1174">
        <v>1000</v>
      </c>
      <c r="BH1174" s="6">
        <f>Grandview_Inventory[[#This Row],[land_extract]]*Lookups!$B$3</f>
        <v>53837.239420408718</v>
      </c>
      <c r="BI1174" s="6">
        <f>IF(Grandview_Inventory[[#This Row],[bldg_style]]="",0,Lookups!$B$2)</f>
        <v>155833.95000000001</v>
      </c>
      <c r="BJ1174" s="6">
        <f>_xlfn.IFNA(VLOOKUP(Grandview_Inventory[[#This Row],[quality]],Lookups!$H$2:$J$14,3,FALSE),0)</f>
        <v>2251</v>
      </c>
      <c r="BK1174" s="6">
        <f>_xlfn.IFNA(VLOOKUP(Grandview_Inventory[[#This Row],[condition]],Lookups!$H$17:$J$24,3,FALSE),0)</f>
        <v>-4503</v>
      </c>
      <c r="BL1174" s="6">
        <f>Grandview_Inventory[[#This Row],[Eff_Age]]*Lookups!$B$14</f>
        <v>-11958.33</v>
      </c>
      <c r="BM1174" s="6">
        <f>Grandview_Inventory[[#This Row],[living_area]]*Lookups!$B$15</f>
        <v>81095.108900000007</v>
      </c>
      <c r="BN1174" s="6">
        <f>Grandview_Inventory[[#This Row],[Fin BSMT]]*Lookups!$B$16</f>
        <v>0</v>
      </c>
      <c r="BO1174" s="6">
        <f>(Grandview_Inventory[[#This Row],[att_gar]]+Grandview_Inventory[[#This Row],[bltin_gar]])*Lookups!$B$17</f>
        <v>0</v>
      </c>
      <c r="BP1174" s="6">
        <f>Grandview_Inventory[[#This Row],[Plumbing Fixtures]]*Lookups!$B$18</f>
        <v>14073.0926</v>
      </c>
      <c r="BQ1174" s="6">
        <f>Grandview_Inventory[[#This Row],[detatched_value]]*Lookups!$B$19</f>
        <v>6012.31621</v>
      </c>
      <c r="BR1174" s="6">
        <f>SUM(Grandview_Inventory[[#This Row],[Intercept]:[det_value]])*Grandview_Inventory[[#This Row],[res_pct]]</f>
        <v>242804.13771000004</v>
      </c>
      <c r="BS1174" s="6">
        <f>Grandview_Inventory[[#This Row],[land_value]]</f>
        <v>53837.239420408718</v>
      </c>
      <c r="BT1174" s="4">
        <f>_xlfn.IFNA(VLOOKUP(Grandview_Inventory[[#This Row],[quality]],Lookups!$A$26:$C$33,3,FALSE),1)</f>
        <v>0.98763855981004833</v>
      </c>
      <c r="BU1174" s="4">
        <f>_xlfn.IFNA(VLOOKUP(Grandview_Inventory[[#This Row],[condition]],Lookups!$A$37:$C$44,3,FALSE),1)</f>
        <v>0.96469275950863709</v>
      </c>
      <c r="BV1174" s="4">
        <f>IF(Grandview_Inventory[[#This Row],[bldg_style]]="",1,_xlfn.IFNA(VLOOKUP(Grandview_Inventory[[#This Row],[decade]],Lookups!$F$29:$H$43,3,FALSE),1))</f>
        <v>0.98763256963907298</v>
      </c>
      <c r="BW1174" s="4">
        <f>_xlfn.IFNA(VLOOKUP(Grandview_Inventory[[#This Row],[living_area_range]],Lookups!$F$47:$H$56,3,FALSE),1)</f>
        <v>0.96135087979789358</v>
      </c>
      <c r="BX1174" s="4">
        <f>AVERAGE(Grandview_Inventory[[#This Row],[qual_adj]:[size_adj]])</f>
        <v>0.97532869218891294</v>
      </c>
      <c r="BY1174" s="6">
        <f>IF(Grandview_Inventory[[#This Row],[pre_res]]&lt;0,0,Grandview_Inventory[[#This Row],[pre_res]]*Grandview_Inventory[[#This Row],[overall_adj]])</f>
        <v>236813.84209075104</v>
      </c>
      <c r="BZ1174" s="6">
        <f>(Grandview_Inventory[[#This Row],[sum_land]]-IF(Grandview_Inventory[[#This Row],[no_utilities]]=1,12000,0))/IF(Grandview_Inventory[[#This Row],[unbuildable]]=1,2,1)</f>
        <v>53837.239420408718</v>
      </c>
      <c r="CA117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174">
        <f>ROUND(Grandview_Inventory[[#This Row],[det_value]]*Lookups!$M$28,-2)</f>
        <v>5700</v>
      </c>
      <c r="CC1174">
        <f>IF(ROUND(Grandview_Inventory[[#This Row],[adj_res]]*Lookups!$M$28,-2)&lt;Grandview_Inventory[[#This Row],[min_res]],Grandview_Inventory[[#This Row],[min_res]],ROUND(Grandview_Inventory[[#This Row],[adj_res]]*Lookups!$M$28,-2))</f>
        <v>225000</v>
      </c>
      <c r="CD1174">
        <f>Grandview_Inventory[[#This Row],[final_det]]+Grandview_Inventory[[#This Row],[final_res]]</f>
        <v>230700</v>
      </c>
      <c r="CE1174">
        <f>Grandview_Inventory[[#This Row],[final_land]]+Grandview_Inventory[[#This Row],[final_imp]]+Grandview_Inventory[[#This Row],[crop_value]]</f>
        <v>281800</v>
      </c>
      <c r="CG1174" t="str">
        <f t="shared" si="18"/>
        <v>update valuation set market_land =51100, market_bldg=230700, market_total =281800, market_mdno =401, market_date ='9/10/2023' where link_id = (select link_id from parcel where parcel_year = '2024' and parcel_id = '23092244006');</v>
      </c>
    </row>
    <row r="1175" spans="1:85" x14ac:dyDescent="0.25">
      <c r="A1175">
        <v>23092244012</v>
      </c>
      <c r="B1175">
        <v>0.53</v>
      </c>
      <c r="C1175">
        <v>23207</v>
      </c>
      <c r="D1175" t="s">
        <v>129</v>
      </c>
      <c r="E1175" t="s">
        <v>53</v>
      </c>
      <c r="F1175" t="s">
        <v>53</v>
      </c>
      <c r="G1175">
        <v>4</v>
      </c>
      <c r="H1175" t="s">
        <v>54</v>
      </c>
      <c r="I1175">
        <v>177300</v>
      </c>
      <c r="J1175">
        <v>42400</v>
      </c>
      <c r="K1175">
        <v>0.53</v>
      </c>
      <c r="L1175">
        <f>IF(Grandview_Inventory[[#This Row],[parcel_acres]]-Grandview_Inventory[[#This Row],[non_valued_acres]] =0,0,LN(Grandview_Inventory[[#This Row],[parcel_acres]]-Grandview_Inventory[[#This Row],[non_valued_acres]]))</f>
        <v>-0.6348782724359695</v>
      </c>
      <c r="M1175">
        <v>0</v>
      </c>
      <c r="N1175">
        <v>0</v>
      </c>
      <c r="O1175">
        <v>0</v>
      </c>
      <c r="P1175">
        <v>13398.7528</v>
      </c>
      <c r="Q1175">
        <v>63903</v>
      </c>
      <c r="R1175">
        <f>(Grandview_Inventory[[#This Row],[ln_acres]]*Grandview_Inventory[[#This Row],[coeff]])+Grandview_Inventory[[#This Row],[const]]</f>
        <v>55396.422969539388</v>
      </c>
      <c r="S1175" t="s">
        <v>61</v>
      </c>
      <c r="T1175">
        <v>1</v>
      </c>
      <c r="U1175" t="s">
        <v>80</v>
      </c>
      <c r="V1175" t="s">
        <v>67</v>
      </c>
      <c r="W1175">
        <v>0</v>
      </c>
      <c r="X1175">
        <v>0</v>
      </c>
      <c r="Y1175">
        <v>48</v>
      </c>
      <c r="Z1175">
        <v>63</v>
      </c>
      <c r="AA1175">
        <v>70</v>
      </c>
      <c r="AB1175">
        <v>1500</v>
      </c>
      <c r="AC1175">
        <v>1332</v>
      </c>
      <c r="AD1175">
        <v>1332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426</v>
      </c>
      <c r="AM1175">
        <v>0</v>
      </c>
      <c r="AN1175">
        <v>112</v>
      </c>
      <c r="AO1175">
        <v>0</v>
      </c>
      <c r="AP1175">
        <v>5</v>
      </c>
      <c r="AQ1175">
        <v>1</v>
      </c>
      <c r="AR1175">
        <v>0</v>
      </c>
      <c r="AS1175" t="s">
        <v>71</v>
      </c>
      <c r="AT1175">
        <v>1</v>
      </c>
      <c r="AU1175" t="s">
        <v>63</v>
      </c>
      <c r="AV1175" t="s">
        <v>60</v>
      </c>
      <c r="AW1175">
        <v>0</v>
      </c>
      <c r="AX1175">
        <v>3</v>
      </c>
      <c r="AY1175">
        <v>0</v>
      </c>
      <c r="AZ1175">
        <v>0</v>
      </c>
      <c r="BA1175">
        <v>100</v>
      </c>
      <c r="BB1175">
        <v>100</v>
      </c>
      <c r="BC1175">
        <v>100</v>
      </c>
      <c r="BD1175">
        <v>100</v>
      </c>
      <c r="BE1175">
        <v>1</v>
      </c>
      <c r="BF1175">
        <v>15000</v>
      </c>
      <c r="BG1175">
        <v>1000</v>
      </c>
      <c r="BH1175" s="6">
        <f>Grandview_Inventory[[#This Row],[land_extract]]*Lookups!$B$3</f>
        <v>64331.716424184073</v>
      </c>
      <c r="BI1175" s="6">
        <f>IF(Grandview_Inventory[[#This Row],[bldg_style]]="",0,Lookups!$B$2)</f>
        <v>155833.95000000001</v>
      </c>
      <c r="BJ1175" s="6">
        <f>_xlfn.IFNA(VLOOKUP(Grandview_Inventory[[#This Row],[quality]],Lookups!$H$2:$J$14,3,FALSE),0)</f>
        <v>-28558</v>
      </c>
      <c r="BK1175" s="6">
        <f>_xlfn.IFNA(VLOOKUP(Grandview_Inventory[[#This Row],[condition]],Lookups!$H$17:$J$24,3,FALSE),0)</f>
        <v>22342</v>
      </c>
      <c r="BL1175" s="6">
        <f>Grandview_Inventory[[#This Row],[Eff_Age]]*Lookups!$B$14</f>
        <v>-11479.996799999999</v>
      </c>
      <c r="BM1175" s="6">
        <f>Grandview_Inventory[[#This Row],[living_area]]*Lookups!$B$15</f>
        <v>83091.296195999996</v>
      </c>
      <c r="BN1175" s="6">
        <f>Grandview_Inventory[[#This Row],[Fin BSMT]]*Lookups!$B$16</f>
        <v>0</v>
      </c>
      <c r="BO1175" s="6">
        <f>(Grandview_Inventory[[#This Row],[att_gar]]+Grandview_Inventory[[#This Row],[bltin_gar]])*Lookups!$B$17</f>
        <v>0</v>
      </c>
      <c r="BP1175" s="6">
        <f>Grandview_Inventory[[#This Row],[Plumbing Fixtures]]*Lookups!$B$18</f>
        <v>10052.209000000001</v>
      </c>
      <c r="BQ1175" s="6">
        <f>Grandview_Inventory[[#This Row],[detatched_value]]*Lookups!$B$19</f>
        <v>0</v>
      </c>
      <c r="BR1175" s="6">
        <f>SUM(Grandview_Inventory[[#This Row],[Intercept]:[det_value]])*Grandview_Inventory[[#This Row],[res_pct]]</f>
        <v>231281.458396</v>
      </c>
      <c r="BS1175" s="6">
        <f>Grandview_Inventory[[#This Row],[land_value]]</f>
        <v>64331.716424184073</v>
      </c>
      <c r="BT1175" s="4">
        <f>_xlfn.IFNA(VLOOKUP(Grandview_Inventory[[#This Row],[quality]],Lookups!$A$26:$C$33,3,FALSE),1)</f>
        <v>0.9690360070159818</v>
      </c>
      <c r="BU1175" s="4">
        <f>_xlfn.IFNA(VLOOKUP(Grandview_Inventory[[#This Row],[condition]],Lookups!$A$37:$C$44,3,FALSE),1)</f>
        <v>0.97383723671140243</v>
      </c>
      <c r="BV1175" s="4">
        <f>IF(Grandview_Inventory[[#This Row],[bldg_style]]="",1,_xlfn.IFNA(VLOOKUP(Grandview_Inventory[[#This Row],[decade]],Lookups!$F$29:$H$43,3,FALSE),1))</f>
        <v>0.99472141305414818</v>
      </c>
      <c r="BW1175" s="4">
        <f>_xlfn.IFNA(VLOOKUP(Grandview_Inventory[[#This Row],[living_area_range]],Lookups!$F$47:$H$56,3,FALSE),1)</f>
        <v>0.96135087979789358</v>
      </c>
      <c r="BX1175" s="4">
        <f>AVERAGE(Grandview_Inventory[[#This Row],[qual_adj]:[size_adj]])</f>
        <v>0.97473638414485642</v>
      </c>
      <c r="BY1175" s="6">
        <f>IF(Grandview_Inventory[[#This Row],[pre_res]]&lt;0,0,Grandview_Inventory[[#This Row],[pre_res]]*Grandview_Inventory[[#This Row],[overall_adj]])</f>
        <v>225438.45247666608</v>
      </c>
      <c r="BZ1175" s="6">
        <f>(Grandview_Inventory[[#This Row],[sum_land]]-IF(Grandview_Inventory[[#This Row],[no_utilities]]=1,12000,0))/IF(Grandview_Inventory[[#This Row],[unbuildable]]=1,2,1)</f>
        <v>64331.716424184073</v>
      </c>
      <c r="CA1175">
        <f>IF(ROUND(Grandview_Inventory[[#This Row],[adj_land]]*Lookups!$M$28,-2)&lt;Grandview_Inventory[[#This Row],[min_land]],Grandview_Inventory[[#This Row],[min_land]],ROUND(Grandview_Inventory[[#This Row],[adj_land]]*Lookups!$M$28,-2))</f>
        <v>61100</v>
      </c>
      <c r="CB1175">
        <f>ROUND(Grandview_Inventory[[#This Row],[det_value]]*Lookups!$M$28,-2)</f>
        <v>0</v>
      </c>
      <c r="CC1175">
        <f>IF(ROUND(Grandview_Inventory[[#This Row],[adj_res]]*Lookups!$M$28,-2)&lt;Grandview_Inventory[[#This Row],[min_res]],Grandview_Inventory[[#This Row],[min_res]],ROUND(Grandview_Inventory[[#This Row],[adj_res]]*Lookups!$M$28,-2))</f>
        <v>214200</v>
      </c>
      <c r="CD1175">
        <f>Grandview_Inventory[[#This Row],[final_det]]+Grandview_Inventory[[#This Row],[final_res]]</f>
        <v>214200</v>
      </c>
      <c r="CE1175">
        <f>Grandview_Inventory[[#This Row],[final_land]]+Grandview_Inventory[[#This Row],[final_imp]]+Grandview_Inventory[[#This Row],[crop_value]]</f>
        <v>275300</v>
      </c>
      <c r="CG1175" t="str">
        <f t="shared" si="18"/>
        <v>update valuation set market_land =61100, market_bldg=214200, market_total =275300, market_mdno =401, market_date ='9/10/2023' where link_id = (select link_id from parcel where parcel_year = '2024' and parcel_id = '23092244012');</v>
      </c>
    </row>
    <row r="1176" spans="1:85" x14ac:dyDescent="0.25">
      <c r="A1176">
        <v>23092244024</v>
      </c>
      <c r="B1176">
        <v>0.22</v>
      </c>
      <c r="C1176">
        <v>9744</v>
      </c>
      <c r="D1176" t="s">
        <v>129</v>
      </c>
      <c r="E1176" t="s">
        <v>53</v>
      </c>
      <c r="F1176" t="s">
        <v>53</v>
      </c>
      <c r="G1176">
        <v>4</v>
      </c>
      <c r="H1176" t="s">
        <v>54</v>
      </c>
      <c r="I1176">
        <v>160400</v>
      </c>
      <c r="J1176">
        <v>44400</v>
      </c>
      <c r="K1176">
        <v>0.22</v>
      </c>
      <c r="L117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176">
        <v>0</v>
      </c>
      <c r="N1176">
        <v>0</v>
      </c>
      <c r="O1176">
        <v>0</v>
      </c>
      <c r="P1176">
        <v>13398.7528</v>
      </c>
      <c r="Q1176">
        <v>63903</v>
      </c>
      <c r="R1176">
        <f>(Grandview_Inventory[[#This Row],[ln_acres]]*Grandview_Inventory[[#This Row],[coeff]])+Grandview_Inventory[[#This Row],[const]]</f>
        <v>43615.576802869145</v>
      </c>
      <c r="S1176" t="s">
        <v>68</v>
      </c>
      <c r="T1176">
        <v>1</v>
      </c>
      <c r="U1176" t="s">
        <v>65</v>
      </c>
      <c r="V1176" t="s">
        <v>69</v>
      </c>
      <c r="W1176">
        <v>0</v>
      </c>
      <c r="X1176">
        <v>0</v>
      </c>
      <c r="Y1176">
        <v>50</v>
      </c>
      <c r="Z1176">
        <v>73</v>
      </c>
      <c r="AA1176">
        <v>80</v>
      </c>
      <c r="AB1176">
        <v>2500</v>
      </c>
      <c r="AC1176">
        <v>2196</v>
      </c>
      <c r="AD1176">
        <v>1224</v>
      </c>
      <c r="AE1176">
        <v>0</v>
      </c>
      <c r="AF1176">
        <v>0</v>
      </c>
      <c r="AG1176">
        <v>972</v>
      </c>
      <c r="AH1176">
        <v>35</v>
      </c>
      <c r="AI1176">
        <v>0</v>
      </c>
      <c r="AJ1176">
        <v>0</v>
      </c>
      <c r="AK1176">
        <v>0</v>
      </c>
      <c r="AL1176">
        <v>0</v>
      </c>
      <c r="AM1176">
        <v>536</v>
      </c>
      <c r="AN1176">
        <v>0</v>
      </c>
      <c r="AO1176">
        <v>536</v>
      </c>
      <c r="AP1176">
        <v>6</v>
      </c>
      <c r="AQ1176">
        <v>1</v>
      </c>
      <c r="AR1176">
        <v>0</v>
      </c>
      <c r="AS1176" t="s">
        <v>58</v>
      </c>
      <c r="AT1176">
        <v>1</v>
      </c>
      <c r="AU1176" t="s">
        <v>63</v>
      </c>
      <c r="AV1176" t="s">
        <v>60</v>
      </c>
      <c r="AW1176">
        <v>0</v>
      </c>
      <c r="AX1176">
        <v>2</v>
      </c>
      <c r="AY1176">
        <v>0</v>
      </c>
      <c r="AZ1176">
        <v>5700</v>
      </c>
      <c r="BA1176">
        <v>100</v>
      </c>
      <c r="BB1176">
        <v>100</v>
      </c>
      <c r="BC1176">
        <v>100</v>
      </c>
      <c r="BD1176">
        <v>100</v>
      </c>
      <c r="BE1176">
        <v>1</v>
      </c>
      <c r="BF1176">
        <v>15000</v>
      </c>
      <c r="BG1176">
        <v>1000</v>
      </c>
      <c r="BH1176" s="6">
        <f>Grandview_Inventory[[#This Row],[land_extract]]*Lookups!$B$3</f>
        <v>50650.651579114572</v>
      </c>
      <c r="BI1176" s="6">
        <f>IF(Grandview_Inventory[[#This Row],[bldg_style]]="",0,Lookups!$B$2)</f>
        <v>155833.95000000001</v>
      </c>
      <c r="BJ1176" s="6">
        <f>_xlfn.IFNA(VLOOKUP(Grandview_Inventory[[#This Row],[quality]],Lookups!$H$2:$J$14,3,FALSE),0)</f>
        <v>2251</v>
      </c>
      <c r="BK1176" s="6">
        <f>_xlfn.IFNA(VLOOKUP(Grandview_Inventory[[#This Row],[condition]],Lookups!$H$17:$J$24,3,FALSE),0)</f>
        <v>-4503</v>
      </c>
      <c r="BL1176" s="6">
        <f>Grandview_Inventory[[#This Row],[Eff_Age]]*Lookups!$B$14</f>
        <v>-11958.33</v>
      </c>
      <c r="BM1176" s="6">
        <f>Grandview_Inventory[[#This Row],[living_area]]*Lookups!$B$15</f>
        <v>136988.35318800001</v>
      </c>
      <c r="BN1176" s="6">
        <f>Grandview_Inventory[[#This Row],[Fin BSMT]]*Lookups!$B$16</f>
        <v>-26340.461280000003</v>
      </c>
      <c r="BO1176" s="6">
        <f>(Grandview_Inventory[[#This Row],[att_gar]]+Grandview_Inventory[[#This Row],[bltin_gar]])*Lookups!$B$17</f>
        <v>0</v>
      </c>
      <c r="BP1176" s="6">
        <f>Grandview_Inventory[[#This Row],[Plumbing Fixtures]]*Lookups!$B$18</f>
        <v>12062.650799999999</v>
      </c>
      <c r="BQ1176" s="6">
        <f>Grandview_Inventory[[#This Row],[detatched_value]]*Lookups!$B$19</f>
        <v>4826.7890699999998</v>
      </c>
      <c r="BR1176" s="6">
        <f>SUM(Grandview_Inventory[[#This Row],[Intercept]:[det_value]])*Grandview_Inventory[[#This Row],[res_pct]]</f>
        <v>269160.95177800005</v>
      </c>
      <c r="BS1176" s="6">
        <f>Grandview_Inventory[[#This Row],[land_value]]</f>
        <v>50650.651579114572</v>
      </c>
      <c r="BT1176" s="4">
        <f>_xlfn.IFNA(VLOOKUP(Grandview_Inventory[[#This Row],[quality]],Lookups!$A$26:$C$33,3,FALSE),1)</f>
        <v>0.98763855981004833</v>
      </c>
      <c r="BU1176" s="4">
        <f>_xlfn.IFNA(VLOOKUP(Grandview_Inventory[[#This Row],[condition]],Lookups!$A$37:$C$44,3,FALSE),1)</f>
        <v>0.96469275950863709</v>
      </c>
      <c r="BV1176" s="4">
        <f>IF(Grandview_Inventory[[#This Row],[bldg_style]]="",1,_xlfn.IFNA(VLOOKUP(Grandview_Inventory[[#This Row],[decade]],Lookups!$F$29:$H$43,3,FALSE),1))</f>
        <v>0.98763256963907298</v>
      </c>
      <c r="BW1176" s="4">
        <f>_xlfn.IFNA(VLOOKUP(Grandview_Inventory[[#This Row],[living_area_range]],Lookups!$F$47:$H$56,3,FALSE),1)</f>
        <v>0.95799442568048754</v>
      </c>
      <c r="BX1176" s="4">
        <f>AVERAGE(Grandview_Inventory[[#This Row],[qual_adj]:[size_adj]])</f>
        <v>0.97448957865956143</v>
      </c>
      <c r="BY1176" s="6">
        <f>IF(Grandview_Inventory[[#This Row],[pre_res]]&lt;0,0,Grandview_Inventory[[#This Row],[pre_res]]*Grandview_Inventory[[#This Row],[overall_adj]])</f>
        <v>262294.54248974979</v>
      </c>
      <c r="BZ1176" s="6">
        <f>(Grandview_Inventory[[#This Row],[sum_land]]-IF(Grandview_Inventory[[#This Row],[no_utilities]]=1,12000,0))/IF(Grandview_Inventory[[#This Row],[unbuildable]]=1,2,1)</f>
        <v>50650.651579114572</v>
      </c>
      <c r="CA117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176">
        <f>ROUND(Grandview_Inventory[[#This Row],[det_value]]*Lookups!$M$28,-2)</f>
        <v>4600</v>
      </c>
      <c r="CC1176">
        <f>IF(ROUND(Grandview_Inventory[[#This Row],[adj_res]]*Lookups!$M$28,-2)&lt;Grandview_Inventory[[#This Row],[min_res]],Grandview_Inventory[[#This Row],[min_res]],ROUND(Grandview_Inventory[[#This Row],[adj_res]]*Lookups!$M$28,-2))</f>
        <v>249200</v>
      </c>
      <c r="CD1176">
        <f>Grandview_Inventory[[#This Row],[final_det]]+Grandview_Inventory[[#This Row],[final_res]]</f>
        <v>253800</v>
      </c>
      <c r="CE1176">
        <f>Grandview_Inventory[[#This Row],[final_land]]+Grandview_Inventory[[#This Row],[final_imp]]+Grandview_Inventory[[#This Row],[crop_value]]</f>
        <v>301900</v>
      </c>
      <c r="CG1176" t="str">
        <f t="shared" si="18"/>
        <v>update valuation set market_land =48100, market_bldg=253800, market_total =301900, market_mdno =401, market_date ='9/10/2023' where link_id = (select link_id from parcel where parcel_year = '2024' and parcel_id = '23092244024');</v>
      </c>
    </row>
    <row r="1177" spans="1:85" x14ac:dyDescent="0.25">
      <c r="A1177">
        <v>23092244032</v>
      </c>
      <c r="B1177">
        <v>0.46</v>
      </c>
      <c r="C1177">
        <v>19847</v>
      </c>
      <c r="D1177" t="s">
        <v>129</v>
      </c>
      <c r="E1177" t="s">
        <v>53</v>
      </c>
      <c r="F1177" t="s">
        <v>53</v>
      </c>
      <c r="G1177">
        <v>4</v>
      </c>
      <c r="H1177" t="s">
        <v>54</v>
      </c>
      <c r="I1177">
        <v>332900</v>
      </c>
      <c r="J1177">
        <v>41900</v>
      </c>
      <c r="K1177">
        <v>0.46</v>
      </c>
      <c r="L1177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1177">
        <v>0</v>
      </c>
      <c r="N1177">
        <v>0</v>
      </c>
      <c r="O1177">
        <v>0</v>
      </c>
      <c r="P1177">
        <v>13398.7528</v>
      </c>
      <c r="Q1177">
        <v>63903</v>
      </c>
      <c r="R1177">
        <f>(Grandview_Inventory[[#This Row],[ln_acres]]*Grandview_Inventory[[#This Row],[coeff]])+Grandview_Inventory[[#This Row],[const]]</f>
        <v>53498.482707419709</v>
      </c>
      <c r="S1177" t="s">
        <v>61</v>
      </c>
      <c r="T1177">
        <v>1</v>
      </c>
      <c r="U1177" t="s">
        <v>80</v>
      </c>
      <c r="V1177" t="s">
        <v>78</v>
      </c>
      <c r="W1177">
        <v>0</v>
      </c>
      <c r="X1177">
        <v>0</v>
      </c>
      <c r="Y1177">
        <v>46</v>
      </c>
      <c r="Z1177">
        <v>53</v>
      </c>
      <c r="AA1177">
        <v>60</v>
      </c>
      <c r="AB1177">
        <v>4000</v>
      </c>
      <c r="AC1177">
        <v>3514</v>
      </c>
      <c r="AD1177">
        <v>1774</v>
      </c>
      <c r="AE1177">
        <v>0</v>
      </c>
      <c r="AF1177">
        <v>0</v>
      </c>
      <c r="AG1177">
        <v>1740</v>
      </c>
      <c r="AH1177">
        <v>0</v>
      </c>
      <c r="AI1177">
        <v>484</v>
      </c>
      <c r="AJ1177">
        <v>0</v>
      </c>
      <c r="AK1177">
        <v>0</v>
      </c>
      <c r="AL1177">
        <v>0</v>
      </c>
      <c r="AM1177">
        <v>152</v>
      </c>
      <c r="AN1177">
        <v>156</v>
      </c>
      <c r="AO1177">
        <v>0</v>
      </c>
      <c r="AP1177">
        <v>7</v>
      </c>
      <c r="AQ1177">
        <v>0</v>
      </c>
      <c r="AR1177">
        <v>0</v>
      </c>
      <c r="AS1177" t="s">
        <v>58</v>
      </c>
      <c r="AT1177">
        <v>1</v>
      </c>
      <c r="AU1177" t="s">
        <v>63</v>
      </c>
      <c r="AV1177" t="s">
        <v>60</v>
      </c>
      <c r="AW1177">
        <v>0</v>
      </c>
      <c r="AX1177">
        <v>4</v>
      </c>
      <c r="AY1177">
        <v>0</v>
      </c>
      <c r="AZ1177">
        <v>103100</v>
      </c>
      <c r="BA1177">
        <v>100</v>
      </c>
      <c r="BB1177">
        <v>100</v>
      </c>
      <c r="BC1177">
        <v>100</v>
      </c>
      <c r="BD1177">
        <v>100</v>
      </c>
      <c r="BE1177">
        <v>1</v>
      </c>
      <c r="BF1177">
        <v>15000</v>
      </c>
      <c r="BG1177">
        <v>1000</v>
      </c>
      <c r="BH1177" s="6">
        <f>Grandview_Inventory[[#This Row],[land_extract]]*Lookups!$B$3</f>
        <v>62127.643522223196</v>
      </c>
      <c r="BI1177" s="6">
        <f>IF(Grandview_Inventory[[#This Row],[bldg_style]]="",0,Lookups!$B$2)</f>
        <v>155833.95000000001</v>
      </c>
      <c r="BJ1177" s="6">
        <f>_xlfn.IFNA(VLOOKUP(Grandview_Inventory[[#This Row],[quality]],Lookups!$H$2:$J$14,3,FALSE),0)</f>
        <v>-28558</v>
      </c>
      <c r="BK1177" s="6">
        <f>_xlfn.IFNA(VLOOKUP(Grandview_Inventory[[#This Row],[condition]],Lookups!$H$17:$J$24,3,FALSE),0)</f>
        <v>-45357</v>
      </c>
      <c r="BL1177" s="6">
        <f>Grandview_Inventory[[#This Row],[Eff_Age]]*Lookups!$B$14</f>
        <v>-11001.6636</v>
      </c>
      <c r="BM1177" s="6">
        <f>Grandview_Inventory[[#This Row],[living_area]]*Lookups!$B$15</f>
        <v>219206.317442</v>
      </c>
      <c r="BN1177" s="6">
        <f>Grandview_Inventory[[#This Row],[Fin BSMT]]*Lookups!$B$16</f>
        <v>-47152.677600000003</v>
      </c>
      <c r="BO1177" s="6">
        <f>(Grandview_Inventory[[#This Row],[att_gar]]+Grandview_Inventory[[#This Row],[bltin_gar]])*Lookups!$B$17</f>
        <v>42359.891508000001</v>
      </c>
      <c r="BP1177" s="6">
        <f>Grandview_Inventory[[#This Row],[Plumbing Fixtures]]*Lookups!$B$18</f>
        <v>14073.0926</v>
      </c>
      <c r="BQ1177" s="6">
        <f>Grandview_Inventory[[#This Row],[detatched_value]]*Lookups!$B$19</f>
        <v>87305.605809999994</v>
      </c>
      <c r="BR1177" s="6">
        <f>SUM(Grandview_Inventory[[#This Row],[Intercept]:[det_value]])*Grandview_Inventory[[#This Row],[res_pct]]</f>
        <v>386709.51616</v>
      </c>
      <c r="BS1177" s="6">
        <f>Grandview_Inventory[[#This Row],[land_value]]</f>
        <v>62127.643522223196</v>
      </c>
      <c r="BT1177" s="4">
        <f>_xlfn.IFNA(VLOOKUP(Grandview_Inventory[[#This Row],[quality]],Lookups!$A$26:$C$33,3,FALSE),1)</f>
        <v>0.9690360070159818</v>
      </c>
      <c r="BU1177" s="4">
        <f>_xlfn.IFNA(VLOOKUP(Grandview_Inventory[[#This Row],[condition]],Lookups!$A$37:$C$44,3,FALSE),1)</f>
        <v>0.97161819570155394</v>
      </c>
      <c r="BV1177" s="4">
        <f>IF(Grandview_Inventory[[#This Row],[bldg_style]]="",1,_xlfn.IFNA(VLOOKUP(Grandview_Inventory[[#This Row],[decade]],Lookups!$F$29:$H$43,3,FALSE),1))</f>
        <v>0.95268620544463312</v>
      </c>
      <c r="BW1177" s="4">
        <f>_xlfn.IFNA(VLOOKUP(Grandview_Inventory[[#This Row],[living_area_range]],Lookups!$F$47:$H$56,3,FALSE),1)</f>
        <v>0.90089875105039252</v>
      </c>
      <c r="BX1177" s="4">
        <f>AVERAGE(Grandview_Inventory[[#This Row],[qual_adj]:[size_adj]])</f>
        <v>0.94855978980314037</v>
      </c>
      <c r="BY1177" s="6">
        <f>IF(Grandview_Inventory[[#This Row],[pre_res]]&lt;0,0,Grandview_Inventory[[#This Row],[pre_res]]*Grandview_Inventory[[#This Row],[overall_adj]])</f>
        <v>366817.09736360371</v>
      </c>
      <c r="BZ1177" s="6">
        <f>(Grandview_Inventory[[#This Row],[sum_land]]-IF(Grandview_Inventory[[#This Row],[no_utilities]]=1,12000,0))/IF(Grandview_Inventory[[#This Row],[unbuildable]]=1,2,1)</f>
        <v>62127.643522223196</v>
      </c>
      <c r="CA1177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1177">
        <f>ROUND(Grandview_Inventory[[#This Row],[det_value]]*Lookups!$M$28,-2)</f>
        <v>82900</v>
      </c>
      <c r="CC1177">
        <f>IF(ROUND(Grandview_Inventory[[#This Row],[adj_res]]*Lookups!$M$28,-2)&lt;Grandview_Inventory[[#This Row],[min_res]],Grandview_Inventory[[#This Row],[min_res]],ROUND(Grandview_Inventory[[#This Row],[adj_res]]*Lookups!$M$28,-2))</f>
        <v>348500</v>
      </c>
      <c r="CD1177">
        <f>Grandview_Inventory[[#This Row],[final_det]]+Grandview_Inventory[[#This Row],[final_res]]</f>
        <v>431400</v>
      </c>
      <c r="CE1177">
        <f>Grandview_Inventory[[#This Row],[final_land]]+Grandview_Inventory[[#This Row],[final_imp]]+Grandview_Inventory[[#This Row],[crop_value]]</f>
        <v>490400</v>
      </c>
      <c r="CG1177" t="str">
        <f t="shared" si="18"/>
        <v>update valuation set market_land =59000, market_bldg=431400, market_total =490400, market_mdno =401, market_date ='9/10/2023' where link_id = (select link_id from parcel where parcel_year = '2024' and parcel_id = '23092244032');</v>
      </c>
    </row>
    <row r="1178" spans="1:85" x14ac:dyDescent="0.25">
      <c r="A1178">
        <v>23092244400</v>
      </c>
      <c r="B1178">
        <v>0.27</v>
      </c>
      <c r="C1178">
        <v>11676</v>
      </c>
      <c r="D1178" t="s">
        <v>129</v>
      </c>
      <c r="E1178" t="s">
        <v>53</v>
      </c>
      <c r="F1178" t="s">
        <v>53</v>
      </c>
      <c r="G1178">
        <v>4</v>
      </c>
      <c r="H1178" t="s">
        <v>54</v>
      </c>
      <c r="I1178">
        <v>166100</v>
      </c>
      <c r="J1178">
        <v>45100</v>
      </c>
      <c r="K1178">
        <v>0.27</v>
      </c>
      <c r="L117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178">
        <v>0</v>
      </c>
      <c r="N1178">
        <v>0</v>
      </c>
      <c r="O1178">
        <v>0</v>
      </c>
      <c r="P1178">
        <v>13398.7528</v>
      </c>
      <c r="Q1178">
        <v>63903</v>
      </c>
      <c r="R1178">
        <f>(Grandview_Inventory[[#This Row],[ln_acres]]*Grandview_Inventory[[#This Row],[coeff]])+Grandview_Inventory[[#This Row],[const]]</f>
        <v>46359.566512734265</v>
      </c>
      <c r="S1178" t="s">
        <v>61</v>
      </c>
      <c r="T1178">
        <v>1</v>
      </c>
      <c r="U1178" t="s">
        <v>70</v>
      </c>
      <c r="V1178" t="s">
        <v>69</v>
      </c>
      <c r="W1178">
        <v>0</v>
      </c>
      <c r="X1178">
        <v>0</v>
      </c>
      <c r="Y1178">
        <v>46</v>
      </c>
      <c r="Z1178">
        <v>55</v>
      </c>
      <c r="AA1178">
        <v>60</v>
      </c>
      <c r="AB1178">
        <v>1500</v>
      </c>
      <c r="AC1178">
        <v>1246</v>
      </c>
      <c r="AD1178">
        <v>1246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288</v>
      </c>
      <c r="AL1178">
        <v>0</v>
      </c>
      <c r="AM1178">
        <v>32</v>
      </c>
      <c r="AN1178">
        <v>0</v>
      </c>
      <c r="AO1178">
        <v>0</v>
      </c>
      <c r="AP1178">
        <v>7</v>
      </c>
      <c r="AQ1178">
        <v>0</v>
      </c>
      <c r="AR1178">
        <v>0</v>
      </c>
      <c r="AS1178" t="s">
        <v>58</v>
      </c>
      <c r="AT1178">
        <v>1</v>
      </c>
      <c r="AU1178" t="s">
        <v>75</v>
      </c>
      <c r="AV1178" t="s">
        <v>60</v>
      </c>
      <c r="AW1178">
        <v>0</v>
      </c>
      <c r="AX1178">
        <v>3</v>
      </c>
      <c r="AY1178">
        <v>0</v>
      </c>
      <c r="AZ1178">
        <v>0</v>
      </c>
      <c r="BA1178">
        <v>100</v>
      </c>
      <c r="BB1178">
        <v>100</v>
      </c>
      <c r="BC1178">
        <v>100</v>
      </c>
      <c r="BD1178">
        <v>100</v>
      </c>
      <c r="BE1178">
        <v>1</v>
      </c>
      <c r="BF1178">
        <v>15000</v>
      </c>
      <c r="BG1178">
        <v>1000</v>
      </c>
      <c r="BH1178" s="6">
        <f>Grandview_Inventory[[#This Row],[land_extract]]*Lookups!$B$3</f>
        <v>53837.239420408718</v>
      </c>
      <c r="BI1178" s="6">
        <f>IF(Grandview_Inventory[[#This Row],[bldg_style]]="",0,Lookups!$B$2)</f>
        <v>155833.95000000001</v>
      </c>
      <c r="BJ1178" s="6">
        <f>_xlfn.IFNA(VLOOKUP(Grandview_Inventory[[#This Row],[quality]],Lookups!$H$2:$J$14,3,FALSE),0)</f>
        <v>10733</v>
      </c>
      <c r="BK1178" s="6">
        <f>_xlfn.IFNA(VLOOKUP(Grandview_Inventory[[#This Row],[condition]],Lookups!$H$17:$J$24,3,FALSE),0)</f>
        <v>-4503</v>
      </c>
      <c r="BL1178" s="6">
        <f>Grandview_Inventory[[#This Row],[Eff_Age]]*Lookups!$B$14</f>
        <v>-11001.6636</v>
      </c>
      <c r="BM1178" s="6">
        <f>Grandview_Inventory[[#This Row],[living_area]]*Lookups!$B$15</f>
        <v>77726.542838000008</v>
      </c>
      <c r="BN1178" s="6">
        <f>Grandview_Inventory[[#This Row],[Fin BSMT]]*Lookups!$B$16</f>
        <v>0</v>
      </c>
      <c r="BO1178" s="6">
        <f>(Grandview_Inventory[[#This Row],[att_gar]]+Grandview_Inventory[[#This Row],[bltin_gar]])*Lookups!$B$17</f>
        <v>0</v>
      </c>
      <c r="BP1178" s="6">
        <f>Grandview_Inventory[[#This Row],[Plumbing Fixtures]]*Lookups!$B$18</f>
        <v>14073.0926</v>
      </c>
      <c r="BQ1178" s="6">
        <f>Grandview_Inventory[[#This Row],[detatched_value]]*Lookups!$B$19</f>
        <v>0</v>
      </c>
      <c r="BR1178" s="6">
        <f>SUM(Grandview_Inventory[[#This Row],[Intercept]:[det_value]])*Grandview_Inventory[[#This Row],[res_pct]]</f>
        <v>242861.92183800004</v>
      </c>
      <c r="BS1178" s="6">
        <f>Grandview_Inventory[[#This Row],[land_value]]</f>
        <v>53837.239420408718</v>
      </c>
      <c r="BT1178" s="4">
        <f>_xlfn.IFNA(VLOOKUP(Grandview_Inventory[[#This Row],[quality]],Lookups!$A$26:$C$33,3,FALSE),1)</f>
        <v>0.98079741117310582</v>
      </c>
      <c r="BU1178" s="4">
        <f>_xlfn.IFNA(VLOOKUP(Grandview_Inventory[[#This Row],[condition]],Lookups!$A$37:$C$44,3,FALSE),1)</f>
        <v>0.96469275950863709</v>
      </c>
      <c r="BV1178" s="4">
        <f>IF(Grandview_Inventory[[#This Row],[bldg_style]]="",1,_xlfn.IFNA(VLOOKUP(Grandview_Inventory[[#This Row],[decade]],Lookups!$F$29:$H$43,3,FALSE),1))</f>
        <v>0.95268620544463312</v>
      </c>
      <c r="BW1178" s="4">
        <f>_xlfn.IFNA(VLOOKUP(Grandview_Inventory[[#This Row],[living_area_range]],Lookups!$F$47:$H$56,3,FALSE),1)</f>
        <v>0.96135087979789358</v>
      </c>
      <c r="BX1178" s="4">
        <f>AVERAGE(Grandview_Inventory[[#This Row],[qual_adj]:[size_adj]])</f>
        <v>0.96488181398106743</v>
      </c>
      <c r="BY1178" s="6">
        <f>IF(Grandview_Inventory[[#This Row],[pre_res]]&lt;0,0,Grandview_Inventory[[#This Row],[pre_res]]*Grandview_Inventory[[#This Row],[overall_adj]])</f>
        <v>234333.0516899777</v>
      </c>
      <c r="BZ1178" s="6">
        <f>(Grandview_Inventory[[#This Row],[sum_land]]-IF(Grandview_Inventory[[#This Row],[no_utilities]]=1,12000,0))/IF(Grandview_Inventory[[#This Row],[unbuildable]]=1,2,1)</f>
        <v>53837.239420408718</v>
      </c>
      <c r="CA117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178">
        <f>ROUND(Grandview_Inventory[[#This Row],[det_value]]*Lookups!$M$28,-2)</f>
        <v>0</v>
      </c>
      <c r="CC1178">
        <f>IF(ROUND(Grandview_Inventory[[#This Row],[adj_res]]*Lookups!$M$28,-2)&lt;Grandview_Inventory[[#This Row],[min_res]],Grandview_Inventory[[#This Row],[min_res]],ROUND(Grandview_Inventory[[#This Row],[adj_res]]*Lookups!$M$28,-2))</f>
        <v>222600</v>
      </c>
      <c r="CD1178">
        <f>Grandview_Inventory[[#This Row],[final_det]]+Grandview_Inventory[[#This Row],[final_res]]</f>
        <v>222600</v>
      </c>
      <c r="CE1178">
        <f>Grandview_Inventory[[#This Row],[final_land]]+Grandview_Inventory[[#This Row],[final_imp]]+Grandview_Inventory[[#This Row],[crop_value]]</f>
        <v>273700</v>
      </c>
      <c r="CG1178" t="str">
        <f t="shared" si="18"/>
        <v>update valuation set market_land =51100, market_bldg=222600, market_total =273700, market_mdno =401, market_date ='9/10/2023' where link_id = (select link_id from parcel where parcel_year = '2024' and parcel_id = '23092244400');</v>
      </c>
    </row>
    <row r="1179" spans="1:85" x14ac:dyDescent="0.25">
      <c r="A1179">
        <v>23092244401</v>
      </c>
      <c r="B1179">
        <v>0.31</v>
      </c>
      <c r="C1179">
        <v>13566</v>
      </c>
      <c r="D1179" t="s">
        <v>129</v>
      </c>
      <c r="E1179" t="s">
        <v>53</v>
      </c>
      <c r="F1179" t="s">
        <v>53</v>
      </c>
      <c r="G1179">
        <v>4</v>
      </c>
      <c r="H1179" t="s">
        <v>54</v>
      </c>
      <c r="I1179">
        <v>103900</v>
      </c>
      <c r="J1179">
        <v>41600</v>
      </c>
      <c r="K1179">
        <v>0.31</v>
      </c>
      <c r="L1179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179">
        <v>0</v>
      </c>
      <c r="N1179">
        <v>0</v>
      </c>
      <c r="O1179">
        <v>0</v>
      </c>
      <c r="P1179">
        <v>13398.7528</v>
      </c>
      <c r="Q1179">
        <v>63903</v>
      </c>
      <c r="R1179">
        <f>(Grandview_Inventory[[#This Row],[ln_acres]]*Grandview_Inventory[[#This Row],[coeff]])+Grandview_Inventory[[#This Row],[const]]</f>
        <v>48210.608747275066</v>
      </c>
      <c r="S1179" t="s">
        <v>68</v>
      </c>
      <c r="T1179">
        <v>1</v>
      </c>
      <c r="U1179" t="s">
        <v>65</v>
      </c>
      <c r="V1179" t="s">
        <v>78</v>
      </c>
      <c r="W1179">
        <v>0</v>
      </c>
      <c r="X1179">
        <v>0</v>
      </c>
      <c r="Y1179">
        <v>50</v>
      </c>
      <c r="Z1179">
        <v>73</v>
      </c>
      <c r="AA1179">
        <v>80</v>
      </c>
      <c r="AB1179">
        <v>1000</v>
      </c>
      <c r="AC1179">
        <v>996</v>
      </c>
      <c r="AD1179">
        <v>996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787</v>
      </c>
      <c r="AL1179">
        <v>0</v>
      </c>
      <c r="AM1179">
        <v>0</v>
      </c>
      <c r="AN1179">
        <v>0</v>
      </c>
      <c r="AO1179">
        <v>0</v>
      </c>
      <c r="AP1179">
        <v>5</v>
      </c>
      <c r="AQ1179">
        <v>0</v>
      </c>
      <c r="AR1179">
        <v>0</v>
      </c>
      <c r="AS1179" t="s">
        <v>58</v>
      </c>
      <c r="AT1179">
        <v>0</v>
      </c>
      <c r="AU1179" t="s">
        <v>82</v>
      </c>
      <c r="AV1179" t="s">
        <v>60</v>
      </c>
      <c r="AW1179">
        <v>0</v>
      </c>
      <c r="AX1179">
        <v>3</v>
      </c>
      <c r="AY1179">
        <v>0</v>
      </c>
      <c r="AZ1179">
        <v>0</v>
      </c>
      <c r="BA1179">
        <v>100</v>
      </c>
      <c r="BB1179">
        <v>100</v>
      </c>
      <c r="BC1179">
        <v>100</v>
      </c>
      <c r="BD1179">
        <v>100</v>
      </c>
      <c r="BE1179">
        <v>1</v>
      </c>
      <c r="BF1179">
        <v>15000</v>
      </c>
      <c r="BG1179">
        <v>1000</v>
      </c>
      <c r="BH1179" s="6">
        <f>Grandview_Inventory[[#This Row],[land_extract]]*Lookups!$B$3</f>
        <v>55986.849769566914</v>
      </c>
      <c r="BI1179" s="6">
        <f>IF(Grandview_Inventory[[#This Row],[bldg_style]]="",0,Lookups!$B$2)</f>
        <v>155833.95000000001</v>
      </c>
      <c r="BJ1179" s="6">
        <f>_xlfn.IFNA(VLOOKUP(Grandview_Inventory[[#This Row],[quality]],Lookups!$H$2:$J$14,3,FALSE),0)</f>
        <v>2251</v>
      </c>
      <c r="BK1179" s="6">
        <f>_xlfn.IFNA(VLOOKUP(Grandview_Inventory[[#This Row],[condition]],Lookups!$H$17:$J$24,3,FALSE),0)</f>
        <v>-45357</v>
      </c>
      <c r="BL1179" s="6">
        <f>Grandview_Inventory[[#This Row],[Eff_Age]]*Lookups!$B$14</f>
        <v>-11958.33</v>
      </c>
      <c r="BM1179" s="6">
        <f>Grandview_Inventory[[#This Row],[living_area]]*Lookups!$B$15</f>
        <v>62131.329588000001</v>
      </c>
      <c r="BN1179" s="6">
        <f>Grandview_Inventory[[#This Row],[Fin BSMT]]*Lookups!$B$16</f>
        <v>0</v>
      </c>
      <c r="BO1179" s="6">
        <f>(Grandview_Inventory[[#This Row],[att_gar]]+Grandview_Inventory[[#This Row],[bltin_gar]])*Lookups!$B$17</f>
        <v>0</v>
      </c>
      <c r="BP1179" s="6">
        <f>Grandview_Inventory[[#This Row],[Plumbing Fixtures]]*Lookups!$B$18</f>
        <v>10052.209000000001</v>
      </c>
      <c r="BQ1179" s="6">
        <f>Grandview_Inventory[[#This Row],[detatched_value]]*Lookups!$B$19</f>
        <v>0</v>
      </c>
      <c r="BR1179" s="6">
        <f>SUM(Grandview_Inventory[[#This Row],[Intercept]:[det_value]])*Grandview_Inventory[[#This Row],[res_pct]]</f>
        <v>172953.15858800002</v>
      </c>
      <c r="BS1179" s="6">
        <f>Grandview_Inventory[[#This Row],[land_value]]</f>
        <v>55986.849769566914</v>
      </c>
      <c r="BT1179" s="4">
        <f>_xlfn.IFNA(VLOOKUP(Grandview_Inventory[[#This Row],[quality]],Lookups!$A$26:$C$33,3,FALSE),1)</f>
        <v>0.98763855981004833</v>
      </c>
      <c r="BU1179" s="4">
        <f>_xlfn.IFNA(VLOOKUP(Grandview_Inventory[[#This Row],[condition]],Lookups!$A$37:$C$44,3,FALSE),1)</f>
        <v>0.97161819570155394</v>
      </c>
      <c r="BV1179" s="4">
        <f>IF(Grandview_Inventory[[#This Row],[bldg_style]]="",1,_xlfn.IFNA(VLOOKUP(Grandview_Inventory[[#This Row],[decade]],Lookups!$F$29:$H$43,3,FALSE),1))</f>
        <v>0.98763256963907298</v>
      </c>
      <c r="BW1179" s="4">
        <f>_xlfn.IFNA(VLOOKUP(Grandview_Inventory[[#This Row],[living_area_range]],Lookups!$F$47:$H$56,3,FALSE),1)</f>
        <v>0.94306777142782894</v>
      </c>
      <c r="BX1179" s="4">
        <f>AVERAGE(Grandview_Inventory[[#This Row],[qual_adj]:[size_adj]])</f>
        <v>0.97248927414462605</v>
      </c>
      <c r="BY1179" s="6">
        <f>IF(Grandview_Inventory[[#This Row],[pre_res]]&lt;0,0,Grandview_Inventory[[#This Row],[pre_res]]*Grandview_Inventory[[#This Row],[overall_adj]])</f>
        <v>168195.09165626453</v>
      </c>
      <c r="BZ1179" s="6">
        <f>(Grandview_Inventory[[#This Row],[sum_land]]-IF(Grandview_Inventory[[#This Row],[no_utilities]]=1,12000,0))/IF(Grandview_Inventory[[#This Row],[unbuildable]]=1,2,1)</f>
        <v>55986.849769566914</v>
      </c>
      <c r="CA1179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179">
        <f>ROUND(Grandview_Inventory[[#This Row],[det_value]]*Lookups!$M$28,-2)</f>
        <v>0</v>
      </c>
      <c r="CC1179">
        <f>IF(ROUND(Grandview_Inventory[[#This Row],[adj_res]]*Lookups!$M$28,-2)&lt;Grandview_Inventory[[#This Row],[min_res]],Grandview_Inventory[[#This Row],[min_res]],ROUND(Grandview_Inventory[[#This Row],[adj_res]]*Lookups!$M$28,-2))</f>
        <v>159800</v>
      </c>
      <c r="CD1179">
        <f>Grandview_Inventory[[#This Row],[final_det]]+Grandview_Inventory[[#This Row],[final_res]]</f>
        <v>159800</v>
      </c>
      <c r="CE1179">
        <f>Grandview_Inventory[[#This Row],[final_land]]+Grandview_Inventory[[#This Row],[final_imp]]+Grandview_Inventory[[#This Row],[crop_value]]</f>
        <v>213000</v>
      </c>
      <c r="CG1179" t="str">
        <f t="shared" si="18"/>
        <v>update valuation set market_land =53200, market_bldg=159800, market_total =213000, market_mdno =401, market_date ='9/10/2023' where link_id = (select link_id from parcel where parcel_year = '2024' and parcel_id = '23092244401');</v>
      </c>
    </row>
    <row r="1180" spans="1:85" x14ac:dyDescent="0.25">
      <c r="A1180">
        <v>23092244402</v>
      </c>
      <c r="B1180">
        <v>0.2</v>
      </c>
      <c r="C1180">
        <v>8799</v>
      </c>
      <c r="D1180" t="s">
        <v>129</v>
      </c>
      <c r="E1180" t="s">
        <v>53</v>
      </c>
      <c r="F1180" t="s">
        <v>53</v>
      </c>
      <c r="G1180">
        <v>4</v>
      </c>
      <c r="H1180" t="s">
        <v>54</v>
      </c>
      <c r="I1180">
        <v>195000</v>
      </c>
      <c r="J1180">
        <v>44200</v>
      </c>
      <c r="K1180">
        <v>0.2</v>
      </c>
      <c r="L118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180">
        <v>0</v>
      </c>
      <c r="N1180">
        <v>0</v>
      </c>
      <c r="O1180">
        <v>0</v>
      </c>
      <c r="P1180">
        <v>13398.7528</v>
      </c>
      <c r="Q1180">
        <v>63903</v>
      </c>
      <c r="R1180">
        <f>(Grandview_Inventory[[#This Row],[ln_acres]]*Grandview_Inventory[[#This Row],[coeff]])+Grandview_Inventory[[#This Row],[const]]</f>
        <v>42338.539264347448</v>
      </c>
      <c r="S1180" t="s">
        <v>61</v>
      </c>
      <c r="T1180">
        <v>1</v>
      </c>
      <c r="U1180" t="s">
        <v>65</v>
      </c>
      <c r="V1180" t="s">
        <v>69</v>
      </c>
      <c r="W1180">
        <v>0</v>
      </c>
      <c r="X1180">
        <v>0</v>
      </c>
      <c r="Y1180">
        <v>48</v>
      </c>
      <c r="Z1180">
        <v>63</v>
      </c>
      <c r="AA1180">
        <v>70</v>
      </c>
      <c r="AB1180">
        <v>2000</v>
      </c>
      <c r="AC1180">
        <v>1980</v>
      </c>
      <c r="AD1180">
        <v>1368</v>
      </c>
      <c r="AE1180">
        <v>0</v>
      </c>
      <c r="AF1180">
        <v>0</v>
      </c>
      <c r="AG1180">
        <v>612</v>
      </c>
      <c r="AH1180">
        <v>0</v>
      </c>
      <c r="AI1180">
        <v>264</v>
      </c>
      <c r="AJ1180">
        <v>0</v>
      </c>
      <c r="AK1180">
        <v>0</v>
      </c>
      <c r="AL1180">
        <v>632</v>
      </c>
      <c r="AM1180">
        <v>288</v>
      </c>
      <c r="AN1180">
        <v>96</v>
      </c>
      <c r="AO1180">
        <v>288</v>
      </c>
      <c r="AP1180">
        <v>10</v>
      </c>
      <c r="AQ1180">
        <v>0</v>
      </c>
      <c r="AR1180">
        <v>1</v>
      </c>
      <c r="AS1180" t="s">
        <v>58</v>
      </c>
      <c r="AT1180">
        <v>1</v>
      </c>
      <c r="AU1180" t="s">
        <v>63</v>
      </c>
      <c r="AV1180" t="s">
        <v>64</v>
      </c>
      <c r="AW1180">
        <v>1</v>
      </c>
      <c r="AX1180">
        <v>3</v>
      </c>
      <c r="AY1180">
        <v>0</v>
      </c>
      <c r="AZ1180">
        <v>0</v>
      </c>
      <c r="BA1180">
        <v>100</v>
      </c>
      <c r="BB1180">
        <v>100</v>
      </c>
      <c r="BC1180">
        <v>100</v>
      </c>
      <c r="BD1180">
        <v>100</v>
      </c>
      <c r="BE1180">
        <v>1</v>
      </c>
      <c r="BF1180">
        <v>15000</v>
      </c>
      <c r="BG1180">
        <v>1000</v>
      </c>
      <c r="BH1180" s="6">
        <f>Grandview_Inventory[[#This Row],[land_extract]]*Lookups!$B$3</f>
        <v>49167.631333630678</v>
      </c>
      <c r="BI1180" s="6">
        <f>IF(Grandview_Inventory[[#This Row],[bldg_style]]="",0,Lookups!$B$2)</f>
        <v>155833.95000000001</v>
      </c>
      <c r="BJ1180" s="6">
        <f>_xlfn.IFNA(VLOOKUP(Grandview_Inventory[[#This Row],[quality]],Lookups!$H$2:$J$14,3,FALSE),0)</f>
        <v>2251</v>
      </c>
      <c r="BK1180" s="6">
        <f>_xlfn.IFNA(VLOOKUP(Grandview_Inventory[[#This Row],[condition]],Lookups!$H$17:$J$24,3,FALSE),0)</f>
        <v>-4503</v>
      </c>
      <c r="BL1180" s="6">
        <f>Grandview_Inventory[[#This Row],[Eff_Age]]*Lookups!$B$14</f>
        <v>-11479.996799999999</v>
      </c>
      <c r="BM1180" s="6">
        <f>Grandview_Inventory[[#This Row],[living_area]]*Lookups!$B$15</f>
        <v>123514.08894</v>
      </c>
      <c r="BN1180" s="6">
        <f>Grandview_Inventory[[#This Row],[Fin BSMT]]*Lookups!$B$16</f>
        <v>-16584.73488</v>
      </c>
      <c r="BO1180" s="6">
        <f>(Grandview_Inventory[[#This Row],[att_gar]]+Grandview_Inventory[[#This Row],[bltin_gar]])*Lookups!$B$17</f>
        <v>23105.395368000001</v>
      </c>
      <c r="BP1180" s="6">
        <f>Grandview_Inventory[[#This Row],[Plumbing Fixtures]]*Lookups!$B$18</f>
        <v>20104.418000000001</v>
      </c>
      <c r="BQ1180" s="6">
        <f>Grandview_Inventory[[#This Row],[detatched_value]]*Lookups!$B$19</f>
        <v>0</v>
      </c>
      <c r="BR1180" s="6">
        <f>SUM(Grandview_Inventory[[#This Row],[Intercept]:[det_value]])*Grandview_Inventory[[#This Row],[res_pct]]</f>
        <v>292241.12062800006</v>
      </c>
      <c r="BS1180" s="6">
        <f>Grandview_Inventory[[#This Row],[land_value]]</f>
        <v>49167.631333630678</v>
      </c>
      <c r="BT1180" s="4">
        <f>_xlfn.IFNA(VLOOKUP(Grandview_Inventory[[#This Row],[quality]],Lookups!$A$26:$C$33,3,FALSE),1)</f>
        <v>0.98763855981004833</v>
      </c>
      <c r="BU1180" s="4">
        <f>_xlfn.IFNA(VLOOKUP(Grandview_Inventory[[#This Row],[condition]],Lookups!$A$37:$C$44,3,FALSE),1)</f>
        <v>0.96469275950863709</v>
      </c>
      <c r="BV1180" s="4">
        <f>IF(Grandview_Inventory[[#This Row],[bldg_style]]="",1,_xlfn.IFNA(VLOOKUP(Grandview_Inventory[[#This Row],[decade]],Lookups!$F$29:$H$43,3,FALSE),1))</f>
        <v>0.99472141305414818</v>
      </c>
      <c r="BW1180" s="4">
        <f>_xlfn.IFNA(VLOOKUP(Grandview_Inventory[[#This Row],[living_area_range]],Lookups!$F$47:$H$56,3,FALSE),1)</f>
        <v>0.96120133463014379</v>
      </c>
      <c r="BX1180" s="4">
        <f>AVERAGE(Grandview_Inventory[[#This Row],[qual_adj]:[size_adj]])</f>
        <v>0.97706351675074443</v>
      </c>
      <c r="BY1180" s="6">
        <f>IF(Grandview_Inventory[[#This Row],[pre_res]]&lt;0,0,Grandview_Inventory[[#This Row],[pre_res]]*Grandview_Inventory[[#This Row],[overall_adj]])</f>
        <v>285538.13705997227</v>
      </c>
      <c r="BZ1180" s="6">
        <f>(Grandview_Inventory[[#This Row],[sum_land]]-IF(Grandview_Inventory[[#This Row],[no_utilities]]=1,12000,0))/IF(Grandview_Inventory[[#This Row],[unbuildable]]=1,2,1)</f>
        <v>49167.631333630678</v>
      </c>
      <c r="CA118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180">
        <f>ROUND(Grandview_Inventory[[#This Row],[det_value]]*Lookups!$M$28,-2)</f>
        <v>0</v>
      </c>
      <c r="CC1180">
        <f>IF(ROUND(Grandview_Inventory[[#This Row],[adj_res]]*Lookups!$M$28,-2)&lt;Grandview_Inventory[[#This Row],[min_res]],Grandview_Inventory[[#This Row],[min_res]],ROUND(Grandview_Inventory[[#This Row],[adj_res]]*Lookups!$M$28,-2))</f>
        <v>271300</v>
      </c>
      <c r="CD1180">
        <f>Grandview_Inventory[[#This Row],[final_det]]+Grandview_Inventory[[#This Row],[final_res]]</f>
        <v>271300</v>
      </c>
      <c r="CE1180">
        <f>Grandview_Inventory[[#This Row],[final_land]]+Grandview_Inventory[[#This Row],[final_imp]]+Grandview_Inventory[[#This Row],[crop_value]]</f>
        <v>318000</v>
      </c>
      <c r="CG1180" t="str">
        <f t="shared" si="18"/>
        <v>update valuation set market_land =46700, market_bldg=271300, market_total =318000, market_mdno =401, market_date ='9/10/2023' where link_id = (select link_id from parcel where parcel_year = '2024' and parcel_id = '23092244402');</v>
      </c>
    </row>
    <row r="1181" spans="1:85" x14ac:dyDescent="0.25">
      <c r="A1181">
        <v>23092244403</v>
      </c>
      <c r="B1181">
        <v>0.25</v>
      </c>
      <c r="C1181">
        <v>10861</v>
      </c>
      <c r="D1181" t="s">
        <v>129</v>
      </c>
      <c r="E1181" t="s">
        <v>53</v>
      </c>
      <c r="F1181" t="s">
        <v>53</v>
      </c>
      <c r="G1181">
        <v>4</v>
      </c>
      <c r="H1181" t="s">
        <v>54</v>
      </c>
      <c r="I1181">
        <v>221300</v>
      </c>
      <c r="J1181">
        <v>44900</v>
      </c>
      <c r="K1181">
        <v>0.25</v>
      </c>
      <c r="L118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181">
        <v>0</v>
      </c>
      <c r="N1181">
        <v>0</v>
      </c>
      <c r="O1181">
        <v>0</v>
      </c>
      <c r="P1181">
        <v>13398.7528</v>
      </c>
      <c r="Q1181">
        <v>63903</v>
      </c>
      <c r="R1181">
        <f>(Grandview_Inventory[[#This Row],[ln_acres]]*Grandview_Inventory[[#This Row],[coeff]])+Grandview_Inventory[[#This Row],[const]]</f>
        <v>45328.38454732066</v>
      </c>
      <c r="S1181" t="s">
        <v>61</v>
      </c>
      <c r="T1181">
        <v>1</v>
      </c>
      <c r="U1181" t="s">
        <v>65</v>
      </c>
      <c r="V1181" t="s">
        <v>69</v>
      </c>
      <c r="W1181">
        <v>0</v>
      </c>
      <c r="X1181">
        <v>0</v>
      </c>
      <c r="Y1181">
        <v>48</v>
      </c>
      <c r="Z1181">
        <v>63</v>
      </c>
      <c r="AA1181">
        <v>70</v>
      </c>
      <c r="AB1181">
        <v>3000</v>
      </c>
      <c r="AC1181">
        <v>2640</v>
      </c>
      <c r="AD1181">
        <v>1320</v>
      </c>
      <c r="AE1181">
        <v>0</v>
      </c>
      <c r="AF1181">
        <v>0</v>
      </c>
      <c r="AG1181">
        <v>1320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131</v>
      </c>
      <c r="AN1181">
        <v>0</v>
      </c>
      <c r="AO1181">
        <v>0</v>
      </c>
      <c r="AP1181">
        <v>9</v>
      </c>
      <c r="AQ1181">
        <v>0</v>
      </c>
      <c r="AR1181">
        <v>0</v>
      </c>
      <c r="AS1181" t="s">
        <v>73</v>
      </c>
      <c r="AT1181">
        <v>1</v>
      </c>
      <c r="AU1181" t="s">
        <v>63</v>
      </c>
      <c r="AV1181" t="s">
        <v>64</v>
      </c>
      <c r="AW1181">
        <v>0</v>
      </c>
      <c r="AX1181">
        <v>4</v>
      </c>
      <c r="AY1181">
        <v>0</v>
      </c>
      <c r="AZ1181">
        <v>10800</v>
      </c>
      <c r="BA1181">
        <v>100</v>
      </c>
      <c r="BB1181">
        <v>100</v>
      </c>
      <c r="BC1181">
        <v>100</v>
      </c>
      <c r="BD1181">
        <v>100</v>
      </c>
      <c r="BE1181">
        <v>1</v>
      </c>
      <c r="BF1181">
        <v>15000</v>
      </c>
      <c r="BG1181">
        <v>1000</v>
      </c>
      <c r="BH1181" s="6">
        <f>Grandview_Inventory[[#This Row],[land_extract]]*Lookups!$B$3</f>
        <v>52639.730588165206</v>
      </c>
      <c r="BI1181" s="6">
        <f>IF(Grandview_Inventory[[#This Row],[bldg_style]]="",0,Lookups!$B$2)</f>
        <v>155833.95000000001</v>
      </c>
      <c r="BJ1181" s="6">
        <f>_xlfn.IFNA(VLOOKUP(Grandview_Inventory[[#This Row],[quality]],Lookups!$H$2:$J$14,3,FALSE),0)</f>
        <v>2251</v>
      </c>
      <c r="BK1181" s="6">
        <f>_xlfn.IFNA(VLOOKUP(Grandview_Inventory[[#This Row],[condition]],Lookups!$H$17:$J$24,3,FALSE),0)</f>
        <v>-4503</v>
      </c>
      <c r="BL1181" s="6">
        <f>Grandview_Inventory[[#This Row],[Eff_Age]]*Lookups!$B$14</f>
        <v>-11479.996799999999</v>
      </c>
      <c r="BM1181" s="6">
        <f>Grandview_Inventory[[#This Row],[living_area]]*Lookups!$B$15</f>
        <v>164685.45191999999</v>
      </c>
      <c r="BN1181" s="6">
        <f>Grandview_Inventory[[#This Row],[Fin BSMT]]*Lookups!$B$16</f>
        <v>-35770.996800000001</v>
      </c>
      <c r="BO1181" s="6">
        <f>(Grandview_Inventory[[#This Row],[att_gar]]+Grandview_Inventory[[#This Row],[bltin_gar]])*Lookups!$B$17</f>
        <v>0</v>
      </c>
      <c r="BP1181" s="6">
        <f>Grandview_Inventory[[#This Row],[Plumbing Fixtures]]*Lookups!$B$18</f>
        <v>18093.976200000001</v>
      </c>
      <c r="BQ1181" s="6">
        <f>Grandview_Inventory[[#This Row],[detatched_value]]*Lookups!$B$19</f>
        <v>9145.4950800000006</v>
      </c>
      <c r="BR1181" s="6">
        <f>SUM(Grandview_Inventory[[#This Row],[Intercept]:[det_value]])*Grandview_Inventory[[#This Row],[res_pct]]</f>
        <v>298255.87959999999</v>
      </c>
      <c r="BS1181" s="6">
        <f>Grandview_Inventory[[#This Row],[land_value]]</f>
        <v>52639.730588165206</v>
      </c>
      <c r="BT1181" s="4">
        <f>_xlfn.IFNA(VLOOKUP(Grandview_Inventory[[#This Row],[quality]],Lookups!$A$26:$C$33,3,FALSE),1)</f>
        <v>0.98763855981004833</v>
      </c>
      <c r="BU1181" s="4">
        <f>_xlfn.IFNA(VLOOKUP(Grandview_Inventory[[#This Row],[condition]],Lookups!$A$37:$C$44,3,FALSE),1)</f>
        <v>0.96469275950863709</v>
      </c>
      <c r="BV1181" s="4">
        <f>IF(Grandview_Inventory[[#This Row],[bldg_style]]="",1,_xlfn.IFNA(VLOOKUP(Grandview_Inventory[[#This Row],[decade]],Lookups!$F$29:$H$43,3,FALSE),1))</f>
        <v>0.99472141305414818</v>
      </c>
      <c r="BW1181" s="4">
        <f>_xlfn.IFNA(VLOOKUP(Grandview_Inventory[[#This Row],[living_area_range]],Lookups!$F$47:$H$56,3,FALSE),1)</f>
        <v>0.94224801443562123</v>
      </c>
      <c r="BX1181" s="4">
        <f>AVERAGE(Grandview_Inventory[[#This Row],[qual_adj]:[size_adj]])</f>
        <v>0.97232518670211376</v>
      </c>
      <c r="BY1181" s="6">
        <f>IF(Grandview_Inventory[[#This Row],[pre_res]]&lt;0,0,Grandview_Inventory[[#This Row],[pre_res]]*Grandview_Inventory[[#This Row],[overall_adj]])</f>
        <v>290001.70381707314</v>
      </c>
      <c r="BZ1181" s="6">
        <f>(Grandview_Inventory[[#This Row],[sum_land]]-IF(Grandview_Inventory[[#This Row],[no_utilities]]=1,12000,0))/IF(Grandview_Inventory[[#This Row],[unbuildable]]=1,2,1)</f>
        <v>52639.730588165206</v>
      </c>
      <c r="CA118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181">
        <f>ROUND(Grandview_Inventory[[#This Row],[det_value]]*Lookups!$M$28,-2)</f>
        <v>8700</v>
      </c>
      <c r="CC1181">
        <f>IF(ROUND(Grandview_Inventory[[#This Row],[adj_res]]*Lookups!$M$28,-2)&lt;Grandview_Inventory[[#This Row],[min_res]],Grandview_Inventory[[#This Row],[min_res]],ROUND(Grandview_Inventory[[#This Row],[adj_res]]*Lookups!$M$28,-2))</f>
        <v>275500</v>
      </c>
      <c r="CD1181">
        <f>Grandview_Inventory[[#This Row],[final_det]]+Grandview_Inventory[[#This Row],[final_res]]</f>
        <v>284200</v>
      </c>
      <c r="CE1181">
        <f>Grandview_Inventory[[#This Row],[final_land]]+Grandview_Inventory[[#This Row],[final_imp]]+Grandview_Inventory[[#This Row],[crop_value]]</f>
        <v>334200</v>
      </c>
      <c r="CG1181" t="str">
        <f t="shared" si="18"/>
        <v>update valuation set market_land =50000, market_bldg=284200, market_total =334200, market_mdno =401, market_date ='9/10/2023' where link_id = (select link_id from parcel where parcel_year = '2024' and parcel_id = '23092244403');</v>
      </c>
    </row>
    <row r="1182" spans="1:85" x14ac:dyDescent="0.25">
      <c r="A1182">
        <v>23092244404</v>
      </c>
      <c r="B1182">
        <v>0.23</v>
      </c>
      <c r="C1182">
        <v>10182</v>
      </c>
      <c r="D1182" t="s">
        <v>129</v>
      </c>
      <c r="E1182" t="s">
        <v>53</v>
      </c>
      <c r="F1182" t="s">
        <v>53</v>
      </c>
      <c r="G1182">
        <v>4</v>
      </c>
      <c r="H1182" t="s">
        <v>54</v>
      </c>
      <c r="I1182">
        <v>251400</v>
      </c>
      <c r="J1182">
        <v>44500</v>
      </c>
      <c r="K1182">
        <v>0.23</v>
      </c>
      <c r="L118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182">
        <v>0</v>
      </c>
      <c r="N1182">
        <v>0</v>
      </c>
      <c r="O1182">
        <v>0</v>
      </c>
      <c r="P1182">
        <v>13398.7528</v>
      </c>
      <c r="Q1182">
        <v>63903</v>
      </c>
      <c r="R1182">
        <f>(Grandview_Inventory[[#This Row],[ln_acres]]*Grandview_Inventory[[#This Row],[coeff]])+Grandview_Inventory[[#This Row],[const]]</f>
        <v>44211.174981080039</v>
      </c>
      <c r="S1182" t="s">
        <v>61</v>
      </c>
      <c r="T1182">
        <v>1</v>
      </c>
      <c r="U1182" t="s">
        <v>62</v>
      </c>
      <c r="V1182" t="s">
        <v>69</v>
      </c>
      <c r="W1182">
        <v>0</v>
      </c>
      <c r="X1182">
        <v>0</v>
      </c>
      <c r="Y1182">
        <v>48</v>
      </c>
      <c r="Z1182">
        <v>60</v>
      </c>
      <c r="AA1182">
        <v>60</v>
      </c>
      <c r="AB1182">
        <v>3000</v>
      </c>
      <c r="AC1182">
        <v>2564</v>
      </c>
      <c r="AD1182">
        <v>1664</v>
      </c>
      <c r="AE1182">
        <v>0</v>
      </c>
      <c r="AF1182">
        <v>0</v>
      </c>
      <c r="AG1182">
        <v>900</v>
      </c>
      <c r="AH1182">
        <v>764</v>
      </c>
      <c r="AI1182">
        <v>0</v>
      </c>
      <c r="AJ1182">
        <v>0</v>
      </c>
      <c r="AK1182">
        <v>632</v>
      </c>
      <c r="AL1182">
        <v>280</v>
      </c>
      <c r="AM1182">
        <v>0</v>
      </c>
      <c r="AN1182">
        <v>84</v>
      </c>
      <c r="AO1182">
        <v>280</v>
      </c>
      <c r="AP1182">
        <v>10</v>
      </c>
      <c r="AQ1182">
        <v>0</v>
      </c>
      <c r="AR1182">
        <v>0</v>
      </c>
      <c r="AS1182" t="s">
        <v>73</v>
      </c>
      <c r="AT1182">
        <v>1</v>
      </c>
      <c r="AU1182" t="s">
        <v>63</v>
      </c>
      <c r="AV1182" t="s">
        <v>64</v>
      </c>
      <c r="AW1182">
        <v>1</v>
      </c>
      <c r="AX1182">
        <v>3</v>
      </c>
      <c r="AY1182">
        <v>0</v>
      </c>
      <c r="AZ1182">
        <v>0</v>
      </c>
      <c r="BA1182">
        <v>100</v>
      </c>
      <c r="BB1182">
        <v>100</v>
      </c>
      <c r="BC1182">
        <v>100</v>
      </c>
      <c r="BD1182">
        <v>100</v>
      </c>
      <c r="BE1182">
        <v>1</v>
      </c>
      <c r="BF1182">
        <v>15000</v>
      </c>
      <c r="BG1182">
        <v>1000</v>
      </c>
      <c r="BH1182" s="6">
        <f>Grandview_Inventory[[#This Row],[land_extract]]*Lookups!$B$3</f>
        <v>51342.318135355803</v>
      </c>
      <c r="BI1182" s="6">
        <f>IF(Grandview_Inventory[[#This Row],[bldg_style]]="",0,Lookups!$B$2)</f>
        <v>155833.95000000001</v>
      </c>
      <c r="BJ1182" s="6">
        <f>_xlfn.IFNA(VLOOKUP(Grandview_Inventory[[#This Row],[quality]],Lookups!$H$2:$J$14,3,FALSE),0)</f>
        <v>9808</v>
      </c>
      <c r="BK1182" s="6">
        <f>_xlfn.IFNA(VLOOKUP(Grandview_Inventory[[#This Row],[condition]],Lookups!$H$17:$J$24,3,FALSE),0)</f>
        <v>-4503</v>
      </c>
      <c r="BL1182" s="6">
        <f>Grandview_Inventory[[#This Row],[Eff_Age]]*Lookups!$B$14</f>
        <v>-11479.996799999999</v>
      </c>
      <c r="BM1182" s="6">
        <f>Grandview_Inventory[[#This Row],[living_area]]*Lookups!$B$15</f>
        <v>159944.50709200001</v>
      </c>
      <c r="BN1182" s="6">
        <f>Grandview_Inventory[[#This Row],[Fin BSMT]]*Lookups!$B$16</f>
        <v>-24389.316000000003</v>
      </c>
      <c r="BO1182" s="6">
        <f>(Grandview_Inventory[[#This Row],[att_gar]]+Grandview_Inventory[[#This Row],[bltin_gar]])*Lookups!$B$17</f>
        <v>0</v>
      </c>
      <c r="BP1182" s="6">
        <f>Grandview_Inventory[[#This Row],[Plumbing Fixtures]]*Lookups!$B$18</f>
        <v>20104.418000000001</v>
      </c>
      <c r="BQ1182" s="6">
        <f>Grandview_Inventory[[#This Row],[detatched_value]]*Lookups!$B$19</f>
        <v>0</v>
      </c>
      <c r="BR1182" s="6">
        <f>SUM(Grandview_Inventory[[#This Row],[Intercept]:[det_value]])*Grandview_Inventory[[#This Row],[res_pct]]</f>
        <v>305318.56229200005</v>
      </c>
      <c r="BS1182" s="6">
        <f>Grandview_Inventory[[#This Row],[land_value]]</f>
        <v>51342.318135355803</v>
      </c>
      <c r="BT1182" s="4">
        <f>_xlfn.IFNA(VLOOKUP(Grandview_Inventory[[#This Row],[quality]],Lookups!$A$26:$C$33,3,FALSE),1)</f>
        <v>0.94295468617355149</v>
      </c>
      <c r="BU1182" s="4">
        <f>_xlfn.IFNA(VLOOKUP(Grandview_Inventory[[#This Row],[condition]],Lookups!$A$37:$C$44,3,FALSE),1)</f>
        <v>0.96469275950863709</v>
      </c>
      <c r="BV1182" s="4">
        <f>IF(Grandview_Inventory[[#This Row],[bldg_style]]="",1,_xlfn.IFNA(VLOOKUP(Grandview_Inventory[[#This Row],[decade]],Lookups!$F$29:$H$43,3,FALSE),1))</f>
        <v>0.95268620544463312</v>
      </c>
      <c r="BW1182" s="4">
        <f>_xlfn.IFNA(VLOOKUP(Grandview_Inventory[[#This Row],[living_area_range]],Lookups!$F$47:$H$56,3,FALSE),1)</f>
        <v>0.94224801443562123</v>
      </c>
      <c r="BX1182" s="4">
        <f>AVERAGE(Grandview_Inventory[[#This Row],[qual_adj]:[size_adj]])</f>
        <v>0.95064541639061073</v>
      </c>
      <c r="BY1182" s="6">
        <f>IF(Grandview_Inventory[[#This Row],[pre_res]]&lt;0,0,Grandview_Inventory[[#This Row],[pre_res]]*Grandview_Inventory[[#This Row],[overall_adj]])</f>
        <v>290249.69178186101</v>
      </c>
      <c r="BZ1182" s="6">
        <f>(Grandview_Inventory[[#This Row],[sum_land]]-IF(Grandview_Inventory[[#This Row],[no_utilities]]=1,12000,0))/IF(Grandview_Inventory[[#This Row],[unbuildable]]=1,2,1)</f>
        <v>51342.318135355803</v>
      </c>
      <c r="CA118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182">
        <f>ROUND(Grandview_Inventory[[#This Row],[det_value]]*Lookups!$M$28,-2)</f>
        <v>0</v>
      </c>
      <c r="CC1182">
        <f>IF(ROUND(Grandview_Inventory[[#This Row],[adj_res]]*Lookups!$M$28,-2)&lt;Grandview_Inventory[[#This Row],[min_res]],Grandview_Inventory[[#This Row],[min_res]],ROUND(Grandview_Inventory[[#This Row],[adj_res]]*Lookups!$M$28,-2))</f>
        <v>275700</v>
      </c>
      <c r="CD1182">
        <f>Grandview_Inventory[[#This Row],[final_det]]+Grandview_Inventory[[#This Row],[final_res]]</f>
        <v>275700</v>
      </c>
      <c r="CE1182">
        <f>Grandview_Inventory[[#This Row],[final_land]]+Grandview_Inventory[[#This Row],[final_imp]]+Grandview_Inventory[[#This Row],[crop_value]]</f>
        <v>324500</v>
      </c>
      <c r="CG1182" t="str">
        <f t="shared" si="18"/>
        <v>update valuation set market_land =48800, market_bldg=275700, market_total =324500, market_mdno =401, market_date ='9/10/2023' where link_id = (select link_id from parcel where parcel_year = '2024' and parcel_id = '23092244404');</v>
      </c>
    </row>
    <row r="1183" spans="1:85" x14ac:dyDescent="0.25">
      <c r="A1183">
        <v>23092244406</v>
      </c>
      <c r="B1183">
        <v>0.32</v>
      </c>
      <c r="C1183">
        <v>13857</v>
      </c>
      <c r="D1183" t="s">
        <v>129</v>
      </c>
      <c r="E1183" t="s">
        <v>53</v>
      </c>
      <c r="F1183" t="s">
        <v>53</v>
      </c>
      <c r="G1183">
        <v>4</v>
      </c>
      <c r="H1183" t="s">
        <v>54</v>
      </c>
      <c r="I1183">
        <v>215800</v>
      </c>
      <c r="J1183">
        <v>46300</v>
      </c>
      <c r="K1183">
        <v>0.32</v>
      </c>
      <c r="L1183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183">
        <v>0</v>
      </c>
      <c r="N1183">
        <v>0</v>
      </c>
      <c r="O1183">
        <v>0</v>
      </c>
      <c r="P1183">
        <v>13398.7528</v>
      </c>
      <c r="Q1183">
        <v>63903</v>
      </c>
      <c r="R1183">
        <f>(Grandview_Inventory[[#This Row],[ln_acres]]*Grandview_Inventory[[#This Row],[coeff]])+Grandview_Inventory[[#This Row],[const]]</f>
        <v>48636.001707713905</v>
      </c>
      <c r="S1183" t="s">
        <v>61</v>
      </c>
      <c r="T1183">
        <v>1</v>
      </c>
      <c r="U1183" t="s">
        <v>62</v>
      </c>
      <c r="V1183" t="s">
        <v>69</v>
      </c>
      <c r="W1183">
        <v>0</v>
      </c>
      <c r="X1183">
        <v>0</v>
      </c>
      <c r="Y1183">
        <v>48</v>
      </c>
      <c r="Z1183">
        <v>62</v>
      </c>
      <c r="AA1183">
        <v>70</v>
      </c>
      <c r="AB1183">
        <v>2500</v>
      </c>
      <c r="AC1183">
        <v>2240</v>
      </c>
      <c r="AD1183">
        <v>1428</v>
      </c>
      <c r="AE1183">
        <v>0</v>
      </c>
      <c r="AF1183">
        <v>0</v>
      </c>
      <c r="AG1183">
        <v>812</v>
      </c>
      <c r="AH1183">
        <v>0</v>
      </c>
      <c r="AI1183">
        <v>0</v>
      </c>
      <c r="AJ1183">
        <v>616</v>
      </c>
      <c r="AK1183">
        <v>0</v>
      </c>
      <c r="AL1183">
        <v>147</v>
      </c>
      <c r="AM1183">
        <v>418</v>
      </c>
      <c r="AN1183">
        <v>0</v>
      </c>
      <c r="AO1183">
        <v>147</v>
      </c>
      <c r="AP1183">
        <v>10</v>
      </c>
      <c r="AQ1183">
        <v>0</v>
      </c>
      <c r="AR1183">
        <v>0</v>
      </c>
      <c r="AS1183" t="s">
        <v>58</v>
      </c>
      <c r="AT1183">
        <v>1</v>
      </c>
      <c r="AU1183" t="s">
        <v>59</v>
      </c>
      <c r="AV1183" t="s">
        <v>60</v>
      </c>
      <c r="AW1183">
        <v>1</v>
      </c>
      <c r="AX1183">
        <v>4</v>
      </c>
      <c r="AY1183">
        <v>0</v>
      </c>
      <c r="AZ1183">
        <v>0</v>
      </c>
      <c r="BA1183">
        <v>100</v>
      </c>
      <c r="BB1183">
        <v>100</v>
      </c>
      <c r="BC1183">
        <v>100</v>
      </c>
      <c r="BD1183">
        <v>100</v>
      </c>
      <c r="BE1183">
        <v>1</v>
      </c>
      <c r="BF1183">
        <v>15000</v>
      </c>
      <c r="BG1183">
        <v>1000</v>
      </c>
      <c r="BH1183" s="6">
        <f>Grandview_Inventory[[#This Row],[land_extract]]*Lookups!$B$3</f>
        <v>56480.857465963549</v>
      </c>
      <c r="BI1183" s="6">
        <f>IF(Grandview_Inventory[[#This Row],[bldg_style]]="",0,Lookups!$B$2)</f>
        <v>155833.95000000001</v>
      </c>
      <c r="BJ1183" s="6">
        <f>_xlfn.IFNA(VLOOKUP(Grandview_Inventory[[#This Row],[quality]],Lookups!$H$2:$J$14,3,FALSE),0)</f>
        <v>9808</v>
      </c>
      <c r="BK1183" s="6">
        <f>_xlfn.IFNA(VLOOKUP(Grandview_Inventory[[#This Row],[condition]],Lookups!$H$17:$J$24,3,FALSE),0)</f>
        <v>-4503</v>
      </c>
      <c r="BL1183" s="6">
        <f>Grandview_Inventory[[#This Row],[Eff_Age]]*Lookups!$B$14</f>
        <v>-11479.996799999999</v>
      </c>
      <c r="BM1183" s="6">
        <f>Grandview_Inventory[[#This Row],[living_area]]*Lookups!$B$15</f>
        <v>139733.11072</v>
      </c>
      <c r="BN1183" s="6">
        <f>Grandview_Inventory[[#This Row],[Fin BSMT]]*Lookups!$B$16</f>
        <v>-22004.582880000002</v>
      </c>
      <c r="BO1183" s="6">
        <f>(Grandview_Inventory[[#This Row],[att_gar]]+Grandview_Inventory[[#This Row],[bltin_gar]])*Lookups!$B$17</f>
        <v>53912.589191999999</v>
      </c>
      <c r="BP1183" s="6">
        <f>Grandview_Inventory[[#This Row],[Plumbing Fixtures]]*Lookups!$B$18</f>
        <v>20104.418000000001</v>
      </c>
      <c r="BQ1183" s="6">
        <f>Grandview_Inventory[[#This Row],[detatched_value]]*Lookups!$B$19</f>
        <v>0</v>
      </c>
      <c r="BR1183" s="6">
        <f>SUM(Grandview_Inventory[[#This Row],[Intercept]:[det_value]])*Grandview_Inventory[[#This Row],[res_pct]]</f>
        <v>341404.48823199997</v>
      </c>
      <c r="BS1183" s="6">
        <f>Grandview_Inventory[[#This Row],[land_value]]</f>
        <v>56480.857465963549</v>
      </c>
      <c r="BT1183" s="4">
        <f>_xlfn.IFNA(VLOOKUP(Grandview_Inventory[[#This Row],[quality]],Lookups!$A$26:$C$33,3,FALSE),1)</f>
        <v>0.94295468617355149</v>
      </c>
      <c r="BU1183" s="4">
        <f>_xlfn.IFNA(VLOOKUP(Grandview_Inventory[[#This Row],[condition]],Lookups!$A$37:$C$44,3,FALSE),1)</f>
        <v>0.96469275950863709</v>
      </c>
      <c r="BV1183" s="4">
        <f>IF(Grandview_Inventory[[#This Row],[bldg_style]]="",1,_xlfn.IFNA(VLOOKUP(Grandview_Inventory[[#This Row],[decade]],Lookups!$F$29:$H$43,3,FALSE),1))</f>
        <v>0.99472141305414818</v>
      </c>
      <c r="BW1183" s="4">
        <f>_xlfn.IFNA(VLOOKUP(Grandview_Inventory[[#This Row],[living_area_range]],Lookups!$F$47:$H$56,3,FALSE),1)</f>
        <v>0.95799442568048754</v>
      </c>
      <c r="BX1183" s="4">
        <f>AVERAGE(Grandview_Inventory[[#This Row],[qual_adj]:[size_adj]])</f>
        <v>0.96509082110420608</v>
      </c>
      <c r="BY1183" s="6">
        <f>IF(Grandview_Inventory[[#This Row],[pre_res]]&lt;0,0,Grandview_Inventory[[#This Row],[pre_res]]*Grandview_Inventory[[#This Row],[overall_adj]])</f>
        <v>329486.33787648211</v>
      </c>
      <c r="BZ1183" s="6">
        <f>(Grandview_Inventory[[#This Row],[sum_land]]-IF(Grandview_Inventory[[#This Row],[no_utilities]]=1,12000,0))/IF(Grandview_Inventory[[#This Row],[unbuildable]]=1,2,1)</f>
        <v>56480.857465963549</v>
      </c>
      <c r="CA1183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183">
        <f>ROUND(Grandview_Inventory[[#This Row],[det_value]]*Lookups!$M$28,-2)</f>
        <v>0</v>
      </c>
      <c r="CC1183">
        <f>IF(ROUND(Grandview_Inventory[[#This Row],[adj_res]]*Lookups!$M$28,-2)&lt;Grandview_Inventory[[#This Row],[min_res]],Grandview_Inventory[[#This Row],[min_res]],ROUND(Grandview_Inventory[[#This Row],[adj_res]]*Lookups!$M$28,-2))</f>
        <v>313000</v>
      </c>
      <c r="CD1183">
        <f>Grandview_Inventory[[#This Row],[final_det]]+Grandview_Inventory[[#This Row],[final_res]]</f>
        <v>313000</v>
      </c>
      <c r="CE1183">
        <f>Grandview_Inventory[[#This Row],[final_land]]+Grandview_Inventory[[#This Row],[final_imp]]+Grandview_Inventory[[#This Row],[crop_value]]</f>
        <v>366700</v>
      </c>
      <c r="CG1183" t="str">
        <f t="shared" si="18"/>
        <v>update valuation set market_land =53700, market_bldg=313000, market_total =366700, market_mdno =401, market_date ='9/10/2023' where link_id = (select link_id from parcel where parcel_year = '2024' and parcel_id = '23092244406');</v>
      </c>
    </row>
    <row r="1184" spans="1:85" x14ac:dyDescent="0.25">
      <c r="A1184">
        <v>23092244407</v>
      </c>
      <c r="B1184">
        <v>0.23</v>
      </c>
      <c r="C1184">
        <v>9993</v>
      </c>
      <c r="D1184" t="s">
        <v>129</v>
      </c>
      <c r="E1184" t="s">
        <v>53</v>
      </c>
      <c r="F1184" t="s">
        <v>53</v>
      </c>
      <c r="G1184">
        <v>4</v>
      </c>
      <c r="H1184" t="s">
        <v>54</v>
      </c>
      <c r="I1184">
        <v>124700</v>
      </c>
      <c r="J1184">
        <v>40000</v>
      </c>
      <c r="K1184">
        <v>0.23</v>
      </c>
      <c r="L118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184">
        <v>0</v>
      </c>
      <c r="N1184">
        <v>0</v>
      </c>
      <c r="O1184">
        <v>0</v>
      </c>
      <c r="P1184">
        <v>13398.7528</v>
      </c>
      <c r="Q1184">
        <v>63903</v>
      </c>
      <c r="R1184">
        <f>(Grandview_Inventory[[#This Row],[ln_acres]]*Grandview_Inventory[[#This Row],[coeff]])+Grandview_Inventory[[#This Row],[const]]</f>
        <v>44211.174981080039</v>
      </c>
      <c r="S1184" t="s">
        <v>61</v>
      </c>
      <c r="T1184">
        <v>1</v>
      </c>
      <c r="U1184" t="s">
        <v>65</v>
      </c>
      <c r="V1184" t="s">
        <v>78</v>
      </c>
      <c r="W1184">
        <v>0</v>
      </c>
      <c r="X1184">
        <v>0</v>
      </c>
      <c r="Y1184">
        <v>48</v>
      </c>
      <c r="Z1184">
        <v>62</v>
      </c>
      <c r="AA1184">
        <v>70</v>
      </c>
      <c r="AB1184">
        <v>1500</v>
      </c>
      <c r="AC1184">
        <v>1222</v>
      </c>
      <c r="AD1184">
        <v>1222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208</v>
      </c>
      <c r="AN1184">
        <v>0</v>
      </c>
      <c r="AO1184">
        <v>0</v>
      </c>
      <c r="AP1184">
        <v>5</v>
      </c>
      <c r="AQ1184">
        <v>0</v>
      </c>
      <c r="AR1184">
        <v>1</v>
      </c>
      <c r="AS1184" t="s">
        <v>76</v>
      </c>
      <c r="AT1184">
        <v>1</v>
      </c>
      <c r="AU1184" t="s">
        <v>63</v>
      </c>
      <c r="AV1184" t="s">
        <v>60</v>
      </c>
      <c r="AW1184">
        <v>0</v>
      </c>
      <c r="AX1184">
        <v>3</v>
      </c>
      <c r="AY1184">
        <v>0</v>
      </c>
      <c r="AZ1184">
        <v>0</v>
      </c>
      <c r="BA1184">
        <v>100</v>
      </c>
      <c r="BB1184">
        <v>100</v>
      </c>
      <c r="BC1184">
        <v>100</v>
      </c>
      <c r="BD1184">
        <v>100</v>
      </c>
      <c r="BE1184">
        <v>1</v>
      </c>
      <c r="BF1184">
        <v>15000</v>
      </c>
      <c r="BG1184">
        <v>1000</v>
      </c>
      <c r="BH1184" s="6">
        <f>Grandview_Inventory[[#This Row],[land_extract]]*Lookups!$B$3</f>
        <v>51342.318135355803</v>
      </c>
      <c r="BI1184" s="6">
        <f>IF(Grandview_Inventory[[#This Row],[bldg_style]]="",0,Lookups!$B$2)</f>
        <v>155833.95000000001</v>
      </c>
      <c r="BJ1184" s="6">
        <f>_xlfn.IFNA(VLOOKUP(Grandview_Inventory[[#This Row],[quality]],Lookups!$H$2:$J$14,3,FALSE),0)</f>
        <v>2251</v>
      </c>
      <c r="BK1184" s="6">
        <f>_xlfn.IFNA(VLOOKUP(Grandview_Inventory[[#This Row],[condition]],Lookups!$H$17:$J$24,3,FALSE),0)</f>
        <v>-45357</v>
      </c>
      <c r="BL1184" s="6">
        <f>Grandview_Inventory[[#This Row],[Eff_Age]]*Lookups!$B$14</f>
        <v>-11479.996799999999</v>
      </c>
      <c r="BM1184" s="6">
        <f>Grandview_Inventory[[#This Row],[living_area]]*Lookups!$B$15</f>
        <v>76229.402366000009</v>
      </c>
      <c r="BN1184" s="6">
        <f>Grandview_Inventory[[#This Row],[Fin BSMT]]*Lookups!$B$16</f>
        <v>0</v>
      </c>
      <c r="BO1184" s="6">
        <f>(Grandview_Inventory[[#This Row],[att_gar]]+Grandview_Inventory[[#This Row],[bltin_gar]])*Lookups!$B$17</f>
        <v>0</v>
      </c>
      <c r="BP1184" s="6">
        <f>Grandview_Inventory[[#This Row],[Plumbing Fixtures]]*Lookups!$B$18</f>
        <v>10052.209000000001</v>
      </c>
      <c r="BQ1184" s="6">
        <f>Grandview_Inventory[[#This Row],[detatched_value]]*Lookups!$B$19</f>
        <v>0</v>
      </c>
      <c r="BR1184" s="6">
        <f>SUM(Grandview_Inventory[[#This Row],[Intercept]:[det_value]])*Grandview_Inventory[[#This Row],[res_pct]]</f>
        <v>187529.56456600004</v>
      </c>
      <c r="BS1184" s="6">
        <f>Grandview_Inventory[[#This Row],[land_value]]</f>
        <v>51342.318135355803</v>
      </c>
      <c r="BT1184" s="4">
        <f>_xlfn.IFNA(VLOOKUP(Grandview_Inventory[[#This Row],[quality]],Lookups!$A$26:$C$33,3,FALSE),1)</f>
        <v>0.98763855981004833</v>
      </c>
      <c r="BU1184" s="4">
        <f>_xlfn.IFNA(VLOOKUP(Grandview_Inventory[[#This Row],[condition]],Lookups!$A$37:$C$44,3,FALSE),1)</f>
        <v>0.97161819570155394</v>
      </c>
      <c r="BV1184" s="4">
        <f>IF(Grandview_Inventory[[#This Row],[bldg_style]]="",1,_xlfn.IFNA(VLOOKUP(Grandview_Inventory[[#This Row],[decade]],Lookups!$F$29:$H$43,3,FALSE),1))</f>
        <v>0.99472141305414818</v>
      </c>
      <c r="BW1184" s="4">
        <f>_xlfn.IFNA(VLOOKUP(Grandview_Inventory[[#This Row],[living_area_range]],Lookups!$F$47:$H$56,3,FALSE),1)</f>
        <v>0.96135087979789358</v>
      </c>
      <c r="BX1184" s="4">
        <f>AVERAGE(Grandview_Inventory[[#This Row],[qual_adj]:[size_adj]])</f>
        <v>0.97883226209091101</v>
      </c>
      <c r="BY1184" s="6">
        <f>IF(Grandview_Inventory[[#This Row],[pre_res]]&lt;0,0,Grandview_Inventory[[#This Row],[pre_res]]*Grandview_Inventory[[#This Row],[overall_adj]])</f>
        <v>183559.98789306136</v>
      </c>
      <c r="BZ1184" s="6">
        <f>(Grandview_Inventory[[#This Row],[sum_land]]-IF(Grandview_Inventory[[#This Row],[no_utilities]]=1,12000,0))/IF(Grandview_Inventory[[#This Row],[unbuildable]]=1,2,1)</f>
        <v>51342.318135355803</v>
      </c>
      <c r="CA118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184">
        <f>ROUND(Grandview_Inventory[[#This Row],[det_value]]*Lookups!$M$28,-2)</f>
        <v>0</v>
      </c>
      <c r="CC1184">
        <f>IF(ROUND(Grandview_Inventory[[#This Row],[adj_res]]*Lookups!$M$28,-2)&lt;Grandview_Inventory[[#This Row],[min_res]],Grandview_Inventory[[#This Row],[min_res]],ROUND(Grandview_Inventory[[#This Row],[adj_res]]*Lookups!$M$28,-2))</f>
        <v>174400</v>
      </c>
      <c r="CD1184">
        <f>Grandview_Inventory[[#This Row],[final_det]]+Grandview_Inventory[[#This Row],[final_res]]</f>
        <v>174400</v>
      </c>
      <c r="CE1184">
        <f>Grandview_Inventory[[#This Row],[final_land]]+Grandview_Inventory[[#This Row],[final_imp]]+Grandview_Inventory[[#This Row],[crop_value]]</f>
        <v>223200</v>
      </c>
      <c r="CG1184" t="str">
        <f t="shared" si="18"/>
        <v>update valuation set market_land =48800, market_bldg=174400, market_total =223200, market_mdno =401, market_date ='9/10/2023' where link_id = (select link_id from parcel where parcel_year = '2024' and parcel_id = '23092244407');</v>
      </c>
    </row>
    <row r="1185" spans="1:85" x14ac:dyDescent="0.25">
      <c r="A1185">
        <v>23092244409</v>
      </c>
      <c r="B1185">
        <v>0.23</v>
      </c>
      <c r="C1185">
        <v>9895</v>
      </c>
      <c r="D1185" t="s">
        <v>129</v>
      </c>
      <c r="E1185" t="s">
        <v>53</v>
      </c>
      <c r="F1185" t="s">
        <v>53</v>
      </c>
      <c r="G1185">
        <v>4</v>
      </c>
      <c r="H1185" t="s">
        <v>54</v>
      </c>
      <c r="I1185">
        <v>156700</v>
      </c>
      <c r="J1185">
        <v>40000</v>
      </c>
      <c r="K1185">
        <v>0.23</v>
      </c>
      <c r="L118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185">
        <v>0</v>
      </c>
      <c r="N1185">
        <v>0</v>
      </c>
      <c r="O1185">
        <v>0</v>
      </c>
      <c r="P1185">
        <v>13398.7528</v>
      </c>
      <c r="Q1185">
        <v>63903</v>
      </c>
      <c r="R1185">
        <f>(Grandview_Inventory[[#This Row],[ln_acres]]*Grandview_Inventory[[#This Row],[coeff]])+Grandview_Inventory[[#This Row],[const]]</f>
        <v>44211.174981080039</v>
      </c>
      <c r="S1185" t="s">
        <v>61</v>
      </c>
      <c r="T1185">
        <v>1</v>
      </c>
      <c r="U1185" t="s">
        <v>65</v>
      </c>
      <c r="V1185" t="s">
        <v>69</v>
      </c>
      <c r="W1185">
        <v>0</v>
      </c>
      <c r="X1185">
        <v>0</v>
      </c>
      <c r="Y1185">
        <v>48</v>
      </c>
      <c r="Z1185">
        <v>59</v>
      </c>
      <c r="AA1185">
        <v>60</v>
      </c>
      <c r="AB1185">
        <v>1500</v>
      </c>
      <c r="AC1185">
        <v>1362</v>
      </c>
      <c r="AD1185">
        <v>1362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392</v>
      </c>
      <c r="AL1185">
        <v>0</v>
      </c>
      <c r="AM1185">
        <v>0</v>
      </c>
      <c r="AN1185">
        <v>20</v>
      </c>
      <c r="AO1185">
        <v>0</v>
      </c>
      <c r="AP1185">
        <v>7</v>
      </c>
      <c r="AQ1185">
        <v>0</v>
      </c>
      <c r="AR1185">
        <v>0</v>
      </c>
      <c r="AS1185" t="s">
        <v>76</v>
      </c>
      <c r="AT1185">
        <v>1</v>
      </c>
      <c r="AU1185" t="s">
        <v>63</v>
      </c>
      <c r="AV1185" t="s">
        <v>64</v>
      </c>
      <c r="AW1185">
        <v>0</v>
      </c>
      <c r="AX1185">
        <v>3</v>
      </c>
      <c r="AY1185">
        <v>0</v>
      </c>
      <c r="AZ1185">
        <v>0</v>
      </c>
      <c r="BA1185">
        <v>100</v>
      </c>
      <c r="BB1185">
        <v>100</v>
      </c>
      <c r="BC1185">
        <v>100</v>
      </c>
      <c r="BD1185">
        <v>100</v>
      </c>
      <c r="BE1185">
        <v>1</v>
      </c>
      <c r="BF1185">
        <v>15000</v>
      </c>
      <c r="BG1185">
        <v>1000</v>
      </c>
      <c r="BH1185" s="6">
        <f>Grandview_Inventory[[#This Row],[land_extract]]*Lookups!$B$3</f>
        <v>51342.318135355803</v>
      </c>
      <c r="BI1185" s="6">
        <f>IF(Grandview_Inventory[[#This Row],[bldg_style]]="",0,Lookups!$B$2)</f>
        <v>155833.95000000001</v>
      </c>
      <c r="BJ1185" s="6">
        <f>_xlfn.IFNA(VLOOKUP(Grandview_Inventory[[#This Row],[quality]],Lookups!$H$2:$J$14,3,FALSE),0)</f>
        <v>2251</v>
      </c>
      <c r="BK1185" s="6">
        <f>_xlfn.IFNA(VLOOKUP(Grandview_Inventory[[#This Row],[condition]],Lookups!$H$17:$J$24,3,FALSE),0)</f>
        <v>-4503</v>
      </c>
      <c r="BL1185" s="6">
        <f>Grandview_Inventory[[#This Row],[Eff_Age]]*Lookups!$B$14</f>
        <v>-11479.996799999999</v>
      </c>
      <c r="BM1185" s="6">
        <f>Grandview_Inventory[[#This Row],[living_area]]*Lookups!$B$15</f>
        <v>84962.721786000009</v>
      </c>
      <c r="BN1185" s="6">
        <f>Grandview_Inventory[[#This Row],[Fin BSMT]]*Lookups!$B$16</f>
        <v>0</v>
      </c>
      <c r="BO1185" s="6">
        <f>(Grandview_Inventory[[#This Row],[att_gar]]+Grandview_Inventory[[#This Row],[bltin_gar]])*Lookups!$B$17</f>
        <v>0</v>
      </c>
      <c r="BP1185" s="6">
        <f>Grandview_Inventory[[#This Row],[Plumbing Fixtures]]*Lookups!$B$18</f>
        <v>14073.0926</v>
      </c>
      <c r="BQ1185" s="6">
        <f>Grandview_Inventory[[#This Row],[detatched_value]]*Lookups!$B$19</f>
        <v>0</v>
      </c>
      <c r="BR1185" s="6">
        <f>SUM(Grandview_Inventory[[#This Row],[Intercept]:[det_value]])*Grandview_Inventory[[#This Row],[res_pct]]</f>
        <v>241137.76758600003</v>
      </c>
      <c r="BS1185" s="6">
        <f>Grandview_Inventory[[#This Row],[land_value]]</f>
        <v>51342.318135355803</v>
      </c>
      <c r="BT1185" s="4">
        <f>_xlfn.IFNA(VLOOKUP(Grandview_Inventory[[#This Row],[quality]],Lookups!$A$26:$C$33,3,FALSE),1)</f>
        <v>0.98763855981004833</v>
      </c>
      <c r="BU1185" s="4">
        <f>_xlfn.IFNA(VLOOKUP(Grandview_Inventory[[#This Row],[condition]],Lookups!$A$37:$C$44,3,FALSE),1)</f>
        <v>0.96469275950863709</v>
      </c>
      <c r="BV1185" s="4">
        <f>IF(Grandview_Inventory[[#This Row],[bldg_style]]="",1,_xlfn.IFNA(VLOOKUP(Grandview_Inventory[[#This Row],[decade]],Lookups!$F$29:$H$43,3,FALSE),1))</f>
        <v>0.95268620544463312</v>
      </c>
      <c r="BW1185" s="4">
        <f>_xlfn.IFNA(VLOOKUP(Grandview_Inventory[[#This Row],[living_area_range]],Lookups!$F$47:$H$56,3,FALSE),1)</f>
        <v>0.96135087979789358</v>
      </c>
      <c r="BX1185" s="4">
        <f>AVERAGE(Grandview_Inventory[[#This Row],[qual_adj]:[size_adj]])</f>
        <v>0.96659210114030303</v>
      </c>
      <c r="BY1185" s="6">
        <f>IF(Grandview_Inventory[[#This Row],[pre_res]]&lt;0,0,Grandview_Inventory[[#This Row],[pre_res]]*Grandview_Inventory[[#This Row],[overall_adj]])</f>
        <v>233081.86143523382</v>
      </c>
      <c r="BZ1185" s="6">
        <f>(Grandview_Inventory[[#This Row],[sum_land]]-IF(Grandview_Inventory[[#This Row],[no_utilities]]=1,12000,0))/IF(Grandview_Inventory[[#This Row],[unbuildable]]=1,2,1)</f>
        <v>51342.318135355803</v>
      </c>
      <c r="CA118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185">
        <f>ROUND(Grandview_Inventory[[#This Row],[det_value]]*Lookups!$M$28,-2)</f>
        <v>0</v>
      </c>
      <c r="CC1185">
        <f>IF(ROUND(Grandview_Inventory[[#This Row],[adj_res]]*Lookups!$M$28,-2)&lt;Grandview_Inventory[[#This Row],[min_res]],Grandview_Inventory[[#This Row],[min_res]],ROUND(Grandview_Inventory[[#This Row],[adj_res]]*Lookups!$M$28,-2))</f>
        <v>221400</v>
      </c>
      <c r="CD1185">
        <f>Grandview_Inventory[[#This Row],[final_det]]+Grandview_Inventory[[#This Row],[final_res]]</f>
        <v>221400</v>
      </c>
      <c r="CE1185">
        <f>Grandview_Inventory[[#This Row],[final_land]]+Grandview_Inventory[[#This Row],[final_imp]]+Grandview_Inventory[[#This Row],[crop_value]]</f>
        <v>270200</v>
      </c>
      <c r="CG1185" t="str">
        <f t="shared" si="18"/>
        <v>update valuation set market_land =48800, market_bldg=221400, market_total =270200, market_mdno =401, market_date ='9/10/2023' where link_id = (select link_id from parcel where parcel_year = '2024' and parcel_id = '23092244409');</v>
      </c>
    </row>
    <row r="1186" spans="1:85" x14ac:dyDescent="0.25">
      <c r="A1186">
        <v>23092244410</v>
      </c>
      <c r="B1186">
        <v>0.23</v>
      </c>
      <c r="C1186">
        <v>9897</v>
      </c>
      <c r="D1186" t="s">
        <v>129</v>
      </c>
      <c r="E1186" t="s">
        <v>53</v>
      </c>
      <c r="F1186" t="s">
        <v>53</v>
      </c>
      <c r="G1186">
        <v>4</v>
      </c>
      <c r="H1186" t="s">
        <v>54</v>
      </c>
      <c r="I1186">
        <v>210300</v>
      </c>
      <c r="J1186">
        <v>44400</v>
      </c>
      <c r="K1186">
        <v>0.23</v>
      </c>
      <c r="L118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186">
        <v>0</v>
      </c>
      <c r="N1186">
        <v>0</v>
      </c>
      <c r="O1186">
        <v>0</v>
      </c>
      <c r="P1186">
        <v>13398.7528</v>
      </c>
      <c r="Q1186">
        <v>63903</v>
      </c>
      <c r="R1186">
        <f>(Grandview_Inventory[[#This Row],[ln_acres]]*Grandview_Inventory[[#This Row],[coeff]])+Grandview_Inventory[[#This Row],[const]]</f>
        <v>44211.174981080039</v>
      </c>
      <c r="S1186" t="s">
        <v>74</v>
      </c>
      <c r="T1186">
        <v>1</v>
      </c>
      <c r="U1186" t="s">
        <v>65</v>
      </c>
      <c r="V1186" t="s">
        <v>69</v>
      </c>
      <c r="W1186">
        <v>0</v>
      </c>
      <c r="X1186">
        <v>0</v>
      </c>
      <c r="Y1186">
        <v>48</v>
      </c>
      <c r="Z1186">
        <v>59</v>
      </c>
      <c r="AA1186">
        <v>60</v>
      </c>
      <c r="AB1186">
        <v>2500</v>
      </c>
      <c r="AC1186">
        <v>2137</v>
      </c>
      <c r="AD1186">
        <v>1381</v>
      </c>
      <c r="AE1186">
        <v>0</v>
      </c>
      <c r="AF1186">
        <v>0</v>
      </c>
      <c r="AG1186">
        <v>756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350</v>
      </c>
      <c r="AN1186">
        <v>0</v>
      </c>
      <c r="AO1186">
        <v>350</v>
      </c>
      <c r="AP1186">
        <v>8</v>
      </c>
      <c r="AQ1186">
        <v>0</v>
      </c>
      <c r="AR1186">
        <v>0</v>
      </c>
      <c r="AS1186" t="s">
        <v>58</v>
      </c>
      <c r="AT1186">
        <v>1</v>
      </c>
      <c r="AU1186" t="s">
        <v>63</v>
      </c>
      <c r="AV1186" t="s">
        <v>64</v>
      </c>
      <c r="AW1186">
        <v>0</v>
      </c>
      <c r="AX1186">
        <v>4</v>
      </c>
      <c r="AY1186">
        <v>0</v>
      </c>
      <c r="AZ1186">
        <v>18900</v>
      </c>
      <c r="BA1186">
        <v>100</v>
      </c>
      <c r="BB1186">
        <v>100</v>
      </c>
      <c r="BC1186">
        <v>100</v>
      </c>
      <c r="BD1186">
        <v>100</v>
      </c>
      <c r="BE1186">
        <v>1</v>
      </c>
      <c r="BF1186">
        <v>15000</v>
      </c>
      <c r="BG1186">
        <v>1000</v>
      </c>
      <c r="BH1186" s="6">
        <f>Grandview_Inventory[[#This Row],[land_extract]]*Lookups!$B$3</f>
        <v>51342.318135355803</v>
      </c>
      <c r="BI1186" s="6">
        <f>IF(Grandview_Inventory[[#This Row],[bldg_style]]="",0,Lookups!$B$2)</f>
        <v>155833.95000000001</v>
      </c>
      <c r="BJ1186" s="6">
        <f>_xlfn.IFNA(VLOOKUP(Grandview_Inventory[[#This Row],[quality]],Lookups!$H$2:$J$14,3,FALSE),0)</f>
        <v>2251</v>
      </c>
      <c r="BK1186" s="6">
        <f>_xlfn.IFNA(VLOOKUP(Grandview_Inventory[[#This Row],[condition]],Lookups!$H$17:$J$24,3,FALSE),0)</f>
        <v>-4503</v>
      </c>
      <c r="BL1186" s="6">
        <f>Grandview_Inventory[[#This Row],[Eff_Age]]*Lookups!$B$14</f>
        <v>-11479.996799999999</v>
      </c>
      <c r="BM1186" s="6">
        <f>Grandview_Inventory[[#This Row],[living_area]]*Lookups!$B$15</f>
        <v>133307.88286099999</v>
      </c>
      <c r="BN1186" s="6">
        <f>Grandview_Inventory[[#This Row],[Fin BSMT]]*Lookups!$B$16</f>
        <v>-20487.025440000001</v>
      </c>
      <c r="BO1186" s="6">
        <f>(Grandview_Inventory[[#This Row],[att_gar]]+Grandview_Inventory[[#This Row],[bltin_gar]])*Lookups!$B$17</f>
        <v>0</v>
      </c>
      <c r="BP1186" s="6">
        <f>Grandview_Inventory[[#This Row],[Plumbing Fixtures]]*Lookups!$B$18</f>
        <v>16083.5344</v>
      </c>
      <c r="BQ1186" s="6">
        <f>Grandview_Inventory[[#This Row],[detatched_value]]*Lookups!$B$19</f>
        <v>16004.616389999999</v>
      </c>
      <c r="BR1186" s="6">
        <f>SUM(Grandview_Inventory[[#This Row],[Intercept]:[det_value]])*Grandview_Inventory[[#This Row],[res_pct]]</f>
        <v>287010.961411</v>
      </c>
      <c r="BS1186" s="6">
        <f>Grandview_Inventory[[#This Row],[land_value]]</f>
        <v>51342.318135355803</v>
      </c>
      <c r="BT1186" s="4">
        <f>_xlfn.IFNA(VLOOKUP(Grandview_Inventory[[#This Row],[quality]],Lookups!$A$26:$C$33,3,FALSE),1)</f>
        <v>0.98763855981004833</v>
      </c>
      <c r="BU1186" s="4">
        <f>_xlfn.IFNA(VLOOKUP(Grandview_Inventory[[#This Row],[condition]],Lookups!$A$37:$C$44,3,FALSE),1)</f>
        <v>0.96469275950863709</v>
      </c>
      <c r="BV1186" s="4">
        <f>IF(Grandview_Inventory[[#This Row],[bldg_style]]="",1,_xlfn.IFNA(VLOOKUP(Grandview_Inventory[[#This Row],[decade]],Lookups!$F$29:$H$43,3,FALSE),1))</f>
        <v>0.95268620544463312</v>
      </c>
      <c r="BW1186" s="4">
        <f>_xlfn.IFNA(VLOOKUP(Grandview_Inventory[[#This Row],[living_area_range]],Lookups!$F$47:$H$56,3,FALSE),1)</f>
        <v>0.95799442568048754</v>
      </c>
      <c r="BX1186" s="4">
        <f>AVERAGE(Grandview_Inventory[[#This Row],[qual_adj]:[size_adj]])</f>
        <v>0.96575298761095152</v>
      </c>
      <c r="BY1186" s="6">
        <f>IF(Grandview_Inventory[[#This Row],[pre_res]]&lt;0,0,Grandview_Inventory[[#This Row],[pre_res]]*Grandview_Inventory[[#This Row],[overall_adj]])</f>
        <v>277181.69345976476</v>
      </c>
      <c r="BZ1186" s="6">
        <f>(Grandview_Inventory[[#This Row],[sum_land]]-IF(Grandview_Inventory[[#This Row],[no_utilities]]=1,12000,0))/IF(Grandview_Inventory[[#This Row],[unbuildable]]=1,2,1)</f>
        <v>51342.318135355803</v>
      </c>
      <c r="CA118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186">
        <f>ROUND(Grandview_Inventory[[#This Row],[det_value]]*Lookups!$M$28,-2)</f>
        <v>15200</v>
      </c>
      <c r="CC1186">
        <f>IF(ROUND(Grandview_Inventory[[#This Row],[adj_res]]*Lookups!$M$28,-2)&lt;Grandview_Inventory[[#This Row],[min_res]],Grandview_Inventory[[#This Row],[min_res]],ROUND(Grandview_Inventory[[#This Row],[adj_res]]*Lookups!$M$28,-2))</f>
        <v>263300</v>
      </c>
      <c r="CD1186">
        <f>Grandview_Inventory[[#This Row],[final_det]]+Grandview_Inventory[[#This Row],[final_res]]</f>
        <v>278500</v>
      </c>
      <c r="CE1186">
        <f>Grandview_Inventory[[#This Row],[final_land]]+Grandview_Inventory[[#This Row],[final_imp]]+Grandview_Inventory[[#This Row],[crop_value]]</f>
        <v>327300</v>
      </c>
      <c r="CG1186" t="str">
        <f t="shared" si="18"/>
        <v>update valuation set market_land =48800, market_bldg=278500, market_total =327300, market_mdno =401, market_date ='9/10/2023' where link_id = (select link_id from parcel where parcel_year = '2024' and parcel_id = '23092244410');</v>
      </c>
    </row>
    <row r="1187" spans="1:85" x14ac:dyDescent="0.25">
      <c r="A1187">
        <v>23092244411</v>
      </c>
      <c r="B1187">
        <v>0.23</v>
      </c>
      <c r="C1187">
        <v>9897</v>
      </c>
      <c r="D1187" t="s">
        <v>129</v>
      </c>
      <c r="E1187" t="s">
        <v>53</v>
      </c>
      <c r="F1187" t="s">
        <v>53</v>
      </c>
      <c r="G1187">
        <v>4</v>
      </c>
      <c r="H1187" t="s">
        <v>54</v>
      </c>
      <c r="I1187">
        <v>224400</v>
      </c>
      <c r="J1187">
        <v>44400</v>
      </c>
      <c r="K1187">
        <v>0.23</v>
      </c>
      <c r="L118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187">
        <v>0</v>
      </c>
      <c r="N1187">
        <v>0</v>
      </c>
      <c r="O1187">
        <v>0</v>
      </c>
      <c r="P1187">
        <v>13398.7528</v>
      </c>
      <c r="Q1187">
        <v>63903</v>
      </c>
      <c r="R1187">
        <f>(Grandview_Inventory[[#This Row],[ln_acres]]*Grandview_Inventory[[#This Row],[coeff]])+Grandview_Inventory[[#This Row],[const]]</f>
        <v>44211.174981080039</v>
      </c>
      <c r="S1187" t="s">
        <v>74</v>
      </c>
      <c r="T1187">
        <v>1</v>
      </c>
      <c r="U1187" t="s">
        <v>62</v>
      </c>
      <c r="V1187" t="s">
        <v>69</v>
      </c>
      <c r="W1187">
        <v>0</v>
      </c>
      <c r="X1187">
        <v>0</v>
      </c>
      <c r="Y1187">
        <v>48</v>
      </c>
      <c r="Z1187">
        <v>59</v>
      </c>
      <c r="AA1187">
        <v>60</v>
      </c>
      <c r="AB1187">
        <v>2500</v>
      </c>
      <c r="AC1187">
        <v>2022</v>
      </c>
      <c r="AD1187">
        <v>1424</v>
      </c>
      <c r="AE1187">
        <v>0</v>
      </c>
      <c r="AF1187">
        <v>0</v>
      </c>
      <c r="AG1187">
        <v>598</v>
      </c>
      <c r="AH1187">
        <v>0</v>
      </c>
      <c r="AI1187">
        <v>0</v>
      </c>
      <c r="AJ1187">
        <v>0</v>
      </c>
      <c r="AK1187">
        <v>312</v>
      </c>
      <c r="AL1187">
        <v>0</v>
      </c>
      <c r="AM1187">
        <v>253</v>
      </c>
      <c r="AN1187">
        <v>120</v>
      </c>
      <c r="AO1187">
        <v>253</v>
      </c>
      <c r="AP1187">
        <v>10</v>
      </c>
      <c r="AQ1187">
        <v>0</v>
      </c>
      <c r="AR1187">
        <v>1</v>
      </c>
      <c r="AS1187" t="s">
        <v>76</v>
      </c>
      <c r="AT1187">
        <v>1</v>
      </c>
      <c r="AU1187" t="s">
        <v>63</v>
      </c>
      <c r="AV1187" t="s">
        <v>64</v>
      </c>
      <c r="AW1187">
        <v>0</v>
      </c>
      <c r="AX1187">
        <v>4</v>
      </c>
      <c r="AY1187">
        <v>0</v>
      </c>
      <c r="AZ1187">
        <v>0</v>
      </c>
      <c r="BA1187">
        <v>100</v>
      </c>
      <c r="BB1187">
        <v>100</v>
      </c>
      <c r="BC1187">
        <v>100</v>
      </c>
      <c r="BD1187">
        <v>100</v>
      </c>
      <c r="BE1187">
        <v>1</v>
      </c>
      <c r="BF1187">
        <v>15000</v>
      </c>
      <c r="BG1187">
        <v>1000</v>
      </c>
      <c r="BH1187" s="6">
        <f>Grandview_Inventory[[#This Row],[land_extract]]*Lookups!$B$3</f>
        <v>51342.318135355803</v>
      </c>
      <c r="BI1187" s="6">
        <f>IF(Grandview_Inventory[[#This Row],[bldg_style]]="",0,Lookups!$B$2)</f>
        <v>155833.95000000001</v>
      </c>
      <c r="BJ1187" s="6">
        <f>_xlfn.IFNA(VLOOKUP(Grandview_Inventory[[#This Row],[quality]],Lookups!$H$2:$J$14,3,FALSE),0)</f>
        <v>9808</v>
      </c>
      <c r="BK1187" s="6">
        <f>_xlfn.IFNA(VLOOKUP(Grandview_Inventory[[#This Row],[condition]],Lookups!$H$17:$J$24,3,FALSE),0)</f>
        <v>-4503</v>
      </c>
      <c r="BL1187" s="6">
        <f>Grandview_Inventory[[#This Row],[Eff_Age]]*Lookups!$B$14</f>
        <v>-11479.996799999999</v>
      </c>
      <c r="BM1187" s="6">
        <f>Grandview_Inventory[[#This Row],[living_area]]*Lookups!$B$15</f>
        <v>126134.084766</v>
      </c>
      <c r="BN1187" s="6">
        <f>Grandview_Inventory[[#This Row],[Fin BSMT]]*Lookups!$B$16</f>
        <v>-16205.345520000001</v>
      </c>
      <c r="BO1187" s="6">
        <f>(Grandview_Inventory[[#This Row],[att_gar]]+Grandview_Inventory[[#This Row],[bltin_gar]])*Lookups!$B$17</f>
        <v>0</v>
      </c>
      <c r="BP1187" s="6">
        <f>Grandview_Inventory[[#This Row],[Plumbing Fixtures]]*Lookups!$B$18</f>
        <v>20104.418000000001</v>
      </c>
      <c r="BQ1187" s="6">
        <f>Grandview_Inventory[[#This Row],[detatched_value]]*Lookups!$B$19</f>
        <v>0</v>
      </c>
      <c r="BR1187" s="6">
        <f>SUM(Grandview_Inventory[[#This Row],[Intercept]:[det_value]])*Grandview_Inventory[[#This Row],[res_pct]]</f>
        <v>279692.11044600001</v>
      </c>
      <c r="BS1187" s="6">
        <f>Grandview_Inventory[[#This Row],[land_value]]</f>
        <v>51342.318135355803</v>
      </c>
      <c r="BT1187" s="4">
        <f>_xlfn.IFNA(VLOOKUP(Grandview_Inventory[[#This Row],[quality]],Lookups!$A$26:$C$33,3,FALSE),1)</f>
        <v>0.94295468617355149</v>
      </c>
      <c r="BU1187" s="4">
        <f>_xlfn.IFNA(VLOOKUP(Grandview_Inventory[[#This Row],[condition]],Lookups!$A$37:$C$44,3,FALSE),1)</f>
        <v>0.96469275950863709</v>
      </c>
      <c r="BV1187" s="4">
        <f>IF(Grandview_Inventory[[#This Row],[bldg_style]]="",1,_xlfn.IFNA(VLOOKUP(Grandview_Inventory[[#This Row],[decade]],Lookups!$F$29:$H$43,3,FALSE),1))</f>
        <v>0.95268620544463312</v>
      </c>
      <c r="BW1187" s="4">
        <f>_xlfn.IFNA(VLOOKUP(Grandview_Inventory[[#This Row],[living_area_range]],Lookups!$F$47:$H$56,3,FALSE),1)</f>
        <v>0.95799442568048754</v>
      </c>
      <c r="BX1187" s="4">
        <f>AVERAGE(Grandview_Inventory[[#This Row],[qual_adj]:[size_adj]])</f>
        <v>0.95458201920182728</v>
      </c>
      <c r="BY1187" s="6">
        <f>IF(Grandview_Inventory[[#This Row],[pre_res]]&lt;0,0,Grandview_Inventory[[#This Row],[pre_res]]*Grandview_Inventory[[#This Row],[overall_adj]])</f>
        <v>266989.05954436318</v>
      </c>
      <c r="BZ1187" s="6">
        <f>(Grandview_Inventory[[#This Row],[sum_land]]-IF(Grandview_Inventory[[#This Row],[no_utilities]]=1,12000,0))/IF(Grandview_Inventory[[#This Row],[unbuildable]]=1,2,1)</f>
        <v>51342.318135355803</v>
      </c>
      <c r="CA118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187">
        <f>ROUND(Grandview_Inventory[[#This Row],[det_value]]*Lookups!$M$28,-2)</f>
        <v>0</v>
      </c>
      <c r="CC1187">
        <f>IF(ROUND(Grandview_Inventory[[#This Row],[adj_res]]*Lookups!$M$28,-2)&lt;Grandview_Inventory[[#This Row],[min_res]],Grandview_Inventory[[#This Row],[min_res]],ROUND(Grandview_Inventory[[#This Row],[adj_res]]*Lookups!$M$28,-2))</f>
        <v>253600</v>
      </c>
      <c r="CD1187">
        <f>Grandview_Inventory[[#This Row],[final_det]]+Grandview_Inventory[[#This Row],[final_res]]</f>
        <v>253600</v>
      </c>
      <c r="CE1187">
        <f>Grandview_Inventory[[#This Row],[final_land]]+Grandview_Inventory[[#This Row],[final_imp]]+Grandview_Inventory[[#This Row],[crop_value]]</f>
        <v>302400</v>
      </c>
      <c r="CG1187" t="str">
        <f t="shared" si="18"/>
        <v>update valuation set market_land =48800, market_bldg=253600, market_total =302400, market_mdno =401, market_date ='9/10/2023' where link_id = (select link_id from parcel where parcel_year = '2024' and parcel_id = '23092244411');</v>
      </c>
    </row>
    <row r="1188" spans="1:85" x14ac:dyDescent="0.25">
      <c r="A1188">
        <v>23092244412</v>
      </c>
      <c r="B1188">
        <v>0.21</v>
      </c>
      <c r="C1188">
        <v>9128</v>
      </c>
      <c r="D1188" t="s">
        <v>129</v>
      </c>
      <c r="E1188" t="s">
        <v>53</v>
      </c>
      <c r="F1188" t="s">
        <v>53</v>
      </c>
      <c r="G1188">
        <v>4</v>
      </c>
      <c r="H1188" t="s">
        <v>54</v>
      </c>
      <c r="I1188">
        <v>231200</v>
      </c>
      <c r="J1188">
        <v>39800</v>
      </c>
      <c r="K1188">
        <v>0.21</v>
      </c>
      <c r="L118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188">
        <v>0</v>
      </c>
      <c r="N1188">
        <v>0</v>
      </c>
      <c r="O1188">
        <v>0</v>
      </c>
      <c r="P1188">
        <v>13398.7528</v>
      </c>
      <c r="Q1188">
        <v>63903</v>
      </c>
      <c r="R1188">
        <f>(Grandview_Inventory[[#This Row],[ln_acres]]*Grandview_Inventory[[#This Row],[coeff]])+Grandview_Inventory[[#This Row],[const]]</f>
        <v>42992.266613125081</v>
      </c>
      <c r="S1188" t="s">
        <v>74</v>
      </c>
      <c r="T1188">
        <v>1</v>
      </c>
      <c r="U1188" t="s">
        <v>62</v>
      </c>
      <c r="V1188" t="s">
        <v>69</v>
      </c>
      <c r="W1188">
        <v>0</v>
      </c>
      <c r="X1188">
        <v>0</v>
      </c>
      <c r="Y1188">
        <v>48</v>
      </c>
      <c r="Z1188">
        <v>59</v>
      </c>
      <c r="AA1188">
        <v>60</v>
      </c>
      <c r="AB1188">
        <v>2500</v>
      </c>
      <c r="AC1188">
        <v>2230</v>
      </c>
      <c r="AD1188">
        <v>1424</v>
      </c>
      <c r="AE1188">
        <v>0</v>
      </c>
      <c r="AF1188">
        <v>0</v>
      </c>
      <c r="AG1188">
        <v>806</v>
      </c>
      <c r="AH1188">
        <v>0</v>
      </c>
      <c r="AI1188">
        <v>252</v>
      </c>
      <c r="AJ1188">
        <v>0</v>
      </c>
      <c r="AK1188">
        <v>0</v>
      </c>
      <c r="AL1188">
        <v>0</v>
      </c>
      <c r="AM1188">
        <v>240</v>
      </c>
      <c r="AN1188">
        <v>90</v>
      </c>
      <c r="AO1188">
        <v>240</v>
      </c>
      <c r="AP1188">
        <v>7</v>
      </c>
      <c r="AQ1188">
        <v>0</v>
      </c>
      <c r="AR1188">
        <v>1</v>
      </c>
      <c r="AS1188" t="s">
        <v>58</v>
      </c>
      <c r="AT1188">
        <v>1</v>
      </c>
      <c r="AU1188" t="s">
        <v>63</v>
      </c>
      <c r="AV1188" t="s">
        <v>64</v>
      </c>
      <c r="AW1188">
        <v>1</v>
      </c>
      <c r="AX1188">
        <v>3</v>
      </c>
      <c r="AY1188">
        <v>0</v>
      </c>
      <c r="AZ1188">
        <v>0</v>
      </c>
      <c r="BA1188">
        <v>100</v>
      </c>
      <c r="BB1188">
        <v>100</v>
      </c>
      <c r="BC1188">
        <v>100</v>
      </c>
      <c r="BD1188">
        <v>100</v>
      </c>
      <c r="BE1188">
        <v>1</v>
      </c>
      <c r="BF1188">
        <v>15000</v>
      </c>
      <c r="BG1188">
        <v>1000</v>
      </c>
      <c r="BH1188" s="6">
        <f>Grandview_Inventory[[#This Row],[land_extract]]*Lookups!$B$3</f>
        <v>49926.8031387023</v>
      </c>
      <c r="BI1188" s="6">
        <f>IF(Grandview_Inventory[[#This Row],[bldg_style]]="",0,Lookups!$B$2)</f>
        <v>155833.95000000001</v>
      </c>
      <c r="BJ1188" s="6">
        <f>_xlfn.IFNA(VLOOKUP(Grandview_Inventory[[#This Row],[quality]],Lookups!$H$2:$J$14,3,FALSE),0)</f>
        <v>9808</v>
      </c>
      <c r="BK1188" s="6">
        <f>_xlfn.IFNA(VLOOKUP(Grandview_Inventory[[#This Row],[condition]],Lookups!$H$17:$J$24,3,FALSE),0)</f>
        <v>-4503</v>
      </c>
      <c r="BL1188" s="6">
        <f>Grandview_Inventory[[#This Row],[Eff_Age]]*Lookups!$B$14</f>
        <v>-11479.996799999999</v>
      </c>
      <c r="BM1188" s="6">
        <f>Grandview_Inventory[[#This Row],[living_area]]*Lookups!$B$15</f>
        <v>139109.30219000002</v>
      </c>
      <c r="BN1188" s="6">
        <f>Grandview_Inventory[[#This Row],[Fin BSMT]]*Lookups!$B$16</f>
        <v>-21841.987440000001</v>
      </c>
      <c r="BO1188" s="6">
        <f>(Grandview_Inventory[[#This Row],[att_gar]]+Grandview_Inventory[[#This Row],[bltin_gar]])*Lookups!$B$17</f>
        <v>22055.150124</v>
      </c>
      <c r="BP1188" s="6">
        <f>Grandview_Inventory[[#This Row],[Plumbing Fixtures]]*Lookups!$B$18</f>
        <v>14073.0926</v>
      </c>
      <c r="BQ1188" s="6">
        <f>Grandview_Inventory[[#This Row],[detatched_value]]*Lookups!$B$19</f>
        <v>0</v>
      </c>
      <c r="BR1188" s="6">
        <f>SUM(Grandview_Inventory[[#This Row],[Intercept]:[det_value]])*Grandview_Inventory[[#This Row],[res_pct]]</f>
        <v>303054.51067400002</v>
      </c>
      <c r="BS1188" s="6">
        <f>Grandview_Inventory[[#This Row],[land_value]]</f>
        <v>49926.8031387023</v>
      </c>
      <c r="BT1188" s="4">
        <f>_xlfn.IFNA(VLOOKUP(Grandview_Inventory[[#This Row],[quality]],Lookups!$A$26:$C$33,3,FALSE),1)</f>
        <v>0.94295468617355149</v>
      </c>
      <c r="BU1188" s="4">
        <f>_xlfn.IFNA(VLOOKUP(Grandview_Inventory[[#This Row],[condition]],Lookups!$A$37:$C$44,3,FALSE),1)</f>
        <v>0.96469275950863709</v>
      </c>
      <c r="BV1188" s="4">
        <f>IF(Grandview_Inventory[[#This Row],[bldg_style]]="",1,_xlfn.IFNA(VLOOKUP(Grandview_Inventory[[#This Row],[decade]],Lookups!$F$29:$H$43,3,FALSE),1))</f>
        <v>0.95268620544463312</v>
      </c>
      <c r="BW1188" s="4">
        <f>_xlfn.IFNA(VLOOKUP(Grandview_Inventory[[#This Row],[living_area_range]],Lookups!$F$47:$H$56,3,FALSE),1)</f>
        <v>0.95799442568048754</v>
      </c>
      <c r="BX1188" s="4">
        <f>AVERAGE(Grandview_Inventory[[#This Row],[qual_adj]:[size_adj]])</f>
        <v>0.95458201920182728</v>
      </c>
      <c r="BY1188" s="6">
        <f>IF(Grandview_Inventory[[#This Row],[pre_res]]&lt;0,0,Grandview_Inventory[[#This Row],[pre_res]]*Grandview_Inventory[[#This Row],[overall_adj]])</f>
        <v>289290.38672740868</v>
      </c>
      <c r="BZ1188" s="6">
        <f>(Grandview_Inventory[[#This Row],[sum_land]]-IF(Grandview_Inventory[[#This Row],[no_utilities]]=1,12000,0))/IF(Grandview_Inventory[[#This Row],[unbuildable]]=1,2,1)</f>
        <v>49926.8031387023</v>
      </c>
      <c r="CA118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188">
        <f>ROUND(Grandview_Inventory[[#This Row],[det_value]]*Lookups!$M$28,-2)</f>
        <v>0</v>
      </c>
      <c r="CC1188">
        <f>IF(ROUND(Grandview_Inventory[[#This Row],[adj_res]]*Lookups!$M$28,-2)&lt;Grandview_Inventory[[#This Row],[min_res]],Grandview_Inventory[[#This Row],[min_res]],ROUND(Grandview_Inventory[[#This Row],[adj_res]]*Lookups!$M$28,-2))</f>
        <v>274800</v>
      </c>
      <c r="CD1188">
        <f>Grandview_Inventory[[#This Row],[final_det]]+Grandview_Inventory[[#This Row],[final_res]]</f>
        <v>274800</v>
      </c>
      <c r="CE1188">
        <f>Grandview_Inventory[[#This Row],[final_land]]+Grandview_Inventory[[#This Row],[final_imp]]+Grandview_Inventory[[#This Row],[crop_value]]</f>
        <v>322200</v>
      </c>
      <c r="CG1188" t="str">
        <f t="shared" si="18"/>
        <v>update valuation set market_land =47400, market_bldg=274800, market_total =322200, market_mdno =401, market_date ='9/10/2023' where link_id = (select link_id from parcel where parcel_year = '2024' and parcel_id = '23092244412');</v>
      </c>
    </row>
    <row r="1189" spans="1:85" x14ac:dyDescent="0.25">
      <c r="A1189">
        <v>23092244413</v>
      </c>
      <c r="B1189">
        <v>0.43</v>
      </c>
      <c r="C1189">
        <v>18578</v>
      </c>
      <c r="D1189" t="s">
        <v>129</v>
      </c>
      <c r="E1189" t="s">
        <v>53</v>
      </c>
      <c r="F1189" t="s">
        <v>53</v>
      </c>
      <c r="G1189">
        <v>4</v>
      </c>
      <c r="H1189" t="s">
        <v>54</v>
      </c>
      <c r="I1189">
        <v>243500</v>
      </c>
      <c r="J1189">
        <v>46500</v>
      </c>
      <c r="K1189">
        <v>0.43</v>
      </c>
      <c r="L1189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1189">
        <v>0</v>
      </c>
      <c r="N1189">
        <v>0</v>
      </c>
      <c r="O1189">
        <v>0</v>
      </c>
      <c r="P1189">
        <v>13398.7528</v>
      </c>
      <c r="Q1189">
        <v>63903</v>
      </c>
      <c r="R1189">
        <f>(Grandview_Inventory[[#This Row],[ln_acres]]*Grandview_Inventory[[#This Row],[coeff]])+Grandview_Inventory[[#This Row],[const]]</f>
        <v>52594.853657524982</v>
      </c>
      <c r="S1189" t="s">
        <v>61</v>
      </c>
      <c r="T1189">
        <v>1</v>
      </c>
      <c r="U1189" t="s">
        <v>65</v>
      </c>
      <c r="V1189" t="s">
        <v>67</v>
      </c>
      <c r="W1189">
        <v>0</v>
      </c>
      <c r="X1189">
        <v>0</v>
      </c>
      <c r="Y1189">
        <v>48</v>
      </c>
      <c r="Z1189">
        <v>63</v>
      </c>
      <c r="AA1189">
        <v>70</v>
      </c>
      <c r="AB1189">
        <v>3000</v>
      </c>
      <c r="AC1189">
        <v>2607</v>
      </c>
      <c r="AD1189">
        <v>1627</v>
      </c>
      <c r="AE1189">
        <v>0</v>
      </c>
      <c r="AF1189">
        <v>0</v>
      </c>
      <c r="AG1189">
        <v>980</v>
      </c>
      <c r="AH1189">
        <v>647</v>
      </c>
      <c r="AI1189">
        <v>0</v>
      </c>
      <c r="AJ1189">
        <v>0</v>
      </c>
      <c r="AK1189">
        <v>460</v>
      </c>
      <c r="AL1189">
        <v>0</v>
      </c>
      <c r="AM1189">
        <v>150</v>
      </c>
      <c r="AN1189">
        <v>30</v>
      </c>
      <c r="AO1189">
        <v>270</v>
      </c>
      <c r="AP1189">
        <v>10</v>
      </c>
      <c r="AQ1189">
        <v>0</v>
      </c>
      <c r="AR1189">
        <v>0</v>
      </c>
      <c r="AS1189" t="s">
        <v>58</v>
      </c>
      <c r="AT1189">
        <v>1</v>
      </c>
      <c r="AU1189" t="s">
        <v>59</v>
      </c>
      <c r="AV1189" t="s">
        <v>60</v>
      </c>
      <c r="AW1189">
        <v>1</v>
      </c>
      <c r="AX1189">
        <v>3</v>
      </c>
      <c r="AY1189">
        <v>0</v>
      </c>
      <c r="AZ1189">
        <v>0</v>
      </c>
      <c r="BA1189">
        <v>100</v>
      </c>
      <c r="BB1189">
        <v>100</v>
      </c>
      <c r="BC1189">
        <v>100</v>
      </c>
      <c r="BD1189">
        <v>100</v>
      </c>
      <c r="BE1189">
        <v>1</v>
      </c>
      <c r="BF1189">
        <v>15000</v>
      </c>
      <c r="BG1189">
        <v>1000</v>
      </c>
      <c r="BH1189" s="6">
        <f>Grandview_Inventory[[#This Row],[land_extract]]*Lookups!$B$3</f>
        <v>61078.261546378882</v>
      </c>
      <c r="BI1189" s="6">
        <f>IF(Grandview_Inventory[[#This Row],[bldg_style]]="",0,Lookups!$B$2)</f>
        <v>155833.95000000001</v>
      </c>
      <c r="BJ1189" s="6">
        <f>_xlfn.IFNA(VLOOKUP(Grandview_Inventory[[#This Row],[quality]],Lookups!$H$2:$J$14,3,FALSE),0)</f>
        <v>2251</v>
      </c>
      <c r="BK1189" s="6">
        <f>_xlfn.IFNA(VLOOKUP(Grandview_Inventory[[#This Row],[condition]],Lookups!$H$17:$J$24,3,FALSE),0)</f>
        <v>22342</v>
      </c>
      <c r="BL1189" s="6">
        <f>Grandview_Inventory[[#This Row],[Eff_Age]]*Lookups!$B$14</f>
        <v>-11479.996799999999</v>
      </c>
      <c r="BM1189" s="6">
        <f>Grandview_Inventory[[#This Row],[living_area]]*Lookups!$B$15</f>
        <v>162626.88377099999</v>
      </c>
      <c r="BN1189" s="6">
        <f>Grandview_Inventory[[#This Row],[Fin BSMT]]*Lookups!$B$16</f>
        <v>-26557.255200000003</v>
      </c>
      <c r="BO1189" s="6">
        <f>(Grandview_Inventory[[#This Row],[att_gar]]+Grandview_Inventory[[#This Row],[bltin_gar]])*Lookups!$B$17</f>
        <v>0</v>
      </c>
      <c r="BP1189" s="6">
        <f>Grandview_Inventory[[#This Row],[Plumbing Fixtures]]*Lookups!$B$18</f>
        <v>20104.418000000001</v>
      </c>
      <c r="BQ1189" s="6">
        <f>Grandview_Inventory[[#This Row],[detatched_value]]*Lookups!$B$19</f>
        <v>0</v>
      </c>
      <c r="BR1189" s="6">
        <f>SUM(Grandview_Inventory[[#This Row],[Intercept]:[det_value]])*Grandview_Inventory[[#This Row],[res_pct]]</f>
        <v>325120.999771</v>
      </c>
      <c r="BS1189" s="6">
        <f>Grandview_Inventory[[#This Row],[land_value]]</f>
        <v>61078.261546378882</v>
      </c>
      <c r="BT1189" s="4">
        <f>_xlfn.IFNA(VLOOKUP(Grandview_Inventory[[#This Row],[quality]],Lookups!$A$26:$C$33,3,FALSE),1)</f>
        <v>0.98763855981004833</v>
      </c>
      <c r="BU1189" s="4">
        <f>_xlfn.IFNA(VLOOKUP(Grandview_Inventory[[#This Row],[condition]],Lookups!$A$37:$C$44,3,FALSE),1)</f>
        <v>0.97383723671140243</v>
      </c>
      <c r="BV1189" s="4">
        <f>IF(Grandview_Inventory[[#This Row],[bldg_style]]="",1,_xlfn.IFNA(VLOOKUP(Grandview_Inventory[[#This Row],[decade]],Lookups!$F$29:$H$43,3,FALSE),1))</f>
        <v>0.99472141305414818</v>
      </c>
      <c r="BW1189" s="4">
        <f>_xlfn.IFNA(VLOOKUP(Grandview_Inventory[[#This Row],[living_area_range]],Lookups!$F$47:$H$56,3,FALSE),1)</f>
        <v>0.94224801443562123</v>
      </c>
      <c r="BX1189" s="4">
        <f>AVERAGE(Grandview_Inventory[[#This Row],[qual_adj]:[size_adj]])</f>
        <v>0.9746113060028051</v>
      </c>
      <c r="BY1189" s="6">
        <f>IF(Grandview_Inventory[[#This Row],[pre_res]]&lt;0,0,Grandview_Inventory[[#This Row],[pre_res]]*Grandview_Inventory[[#This Row],[overall_adj]])</f>
        <v>316866.60219575203</v>
      </c>
      <c r="BZ1189" s="6">
        <f>(Grandview_Inventory[[#This Row],[sum_land]]-IF(Grandview_Inventory[[#This Row],[no_utilities]]=1,12000,0))/IF(Grandview_Inventory[[#This Row],[unbuildable]]=1,2,1)</f>
        <v>61078.261546378882</v>
      </c>
      <c r="CA1189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1189">
        <f>ROUND(Grandview_Inventory[[#This Row],[det_value]]*Lookups!$M$28,-2)</f>
        <v>0</v>
      </c>
      <c r="CC1189">
        <f>IF(ROUND(Grandview_Inventory[[#This Row],[adj_res]]*Lookups!$M$28,-2)&lt;Grandview_Inventory[[#This Row],[min_res]],Grandview_Inventory[[#This Row],[min_res]],ROUND(Grandview_Inventory[[#This Row],[adj_res]]*Lookups!$M$28,-2))</f>
        <v>301000</v>
      </c>
      <c r="CD1189">
        <f>Grandview_Inventory[[#This Row],[final_det]]+Grandview_Inventory[[#This Row],[final_res]]</f>
        <v>301000</v>
      </c>
      <c r="CE1189">
        <f>Grandview_Inventory[[#This Row],[final_land]]+Grandview_Inventory[[#This Row],[final_imp]]+Grandview_Inventory[[#This Row],[crop_value]]</f>
        <v>359000</v>
      </c>
      <c r="CG1189" t="str">
        <f t="shared" si="18"/>
        <v>update valuation set market_land =58000, market_bldg=301000, market_total =359000, market_mdno =401, market_date ='9/10/2023' where link_id = (select link_id from parcel where parcel_year = '2024' and parcel_id = '23092244413');</v>
      </c>
    </row>
    <row r="1190" spans="1:85" x14ac:dyDescent="0.25">
      <c r="A1190">
        <v>23092244414</v>
      </c>
      <c r="B1190">
        <v>0.4</v>
      </c>
      <c r="C1190">
        <v>17568</v>
      </c>
      <c r="D1190" t="s">
        <v>129</v>
      </c>
      <c r="E1190" t="s">
        <v>53</v>
      </c>
      <c r="F1190" t="s">
        <v>53</v>
      </c>
      <c r="G1190">
        <v>4</v>
      </c>
      <c r="H1190" t="s">
        <v>54</v>
      </c>
      <c r="I1190">
        <v>238900</v>
      </c>
      <c r="J1190">
        <v>46300</v>
      </c>
      <c r="K1190">
        <v>0.4</v>
      </c>
      <c r="L1190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1190">
        <v>0</v>
      </c>
      <c r="N1190">
        <v>0</v>
      </c>
      <c r="O1190">
        <v>0</v>
      </c>
      <c r="P1190">
        <v>13398.7528</v>
      </c>
      <c r="Q1190">
        <v>63903</v>
      </c>
      <c r="R1190">
        <f>(Grandview_Inventory[[#This Row],[ln_acres]]*Grandview_Inventory[[#This Row],[coeff]])+Grandview_Inventory[[#This Row],[const]]</f>
        <v>51625.846990687118</v>
      </c>
      <c r="S1190" t="s">
        <v>61</v>
      </c>
      <c r="T1190">
        <v>1</v>
      </c>
      <c r="U1190" t="s">
        <v>64</v>
      </c>
      <c r="V1190" t="s">
        <v>69</v>
      </c>
      <c r="W1190">
        <v>0</v>
      </c>
      <c r="X1190">
        <v>0</v>
      </c>
      <c r="Y1190">
        <v>48</v>
      </c>
      <c r="Z1190">
        <v>60</v>
      </c>
      <c r="AA1190">
        <v>60</v>
      </c>
      <c r="AB1190">
        <v>3000</v>
      </c>
      <c r="AC1190">
        <v>2865</v>
      </c>
      <c r="AD1190">
        <v>1639</v>
      </c>
      <c r="AE1190">
        <v>0</v>
      </c>
      <c r="AF1190">
        <v>0</v>
      </c>
      <c r="AG1190">
        <v>1226</v>
      </c>
      <c r="AH1190">
        <v>413</v>
      </c>
      <c r="AI1190">
        <v>480</v>
      </c>
      <c r="AJ1190">
        <v>0</v>
      </c>
      <c r="AK1190">
        <v>0</v>
      </c>
      <c r="AL1190">
        <v>0</v>
      </c>
      <c r="AM1190">
        <v>456</v>
      </c>
      <c r="AN1190">
        <v>0</v>
      </c>
      <c r="AO1190">
        <v>456</v>
      </c>
      <c r="AP1190">
        <v>11</v>
      </c>
      <c r="AQ1190">
        <v>0</v>
      </c>
      <c r="AR1190">
        <v>0</v>
      </c>
      <c r="AS1190" t="s">
        <v>58</v>
      </c>
      <c r="AT1190">
        <v>1</v>
      </c>
      <c r="AU1190" t="s">
        <v>63</v>
      </c>
      <c r="AV1190" t="s">
        <v>64</v>
      </c>
      <c r="AW1190">
        <v>1</v>
      </c>
      <c r="AX1190">
        <v>5</v>
      </c>
      <c r="AY1190">
        <v>0</v>
      </c>
      <c r="AZ1190">
        <v>0</v>
      </c>
      <c r="BA1190">
        <v>100</v>
      </c>
      <c r="BB1190">
        <v>100</v>
      </c>
      <c r="BC1190">
        <v>100</v>
      </c>
      <c r="BD1190">
        <v>100</v>
      </c>
      <c r="BE1190">
        <v>1</v>
      </c>
      <c r="BF1190">
        <v>15000</v>
      </c>
      <c r="BG1190">
        <v>1000</v>
      </c>
      <c r="BH1190" s="6">
        <f>Grandview_Inventory[[#This Row],[land_extract]]*Lookups!$B$3</f>
        <v>59952.95672049807</v>
      </c>
      <c r="BI1190" s="6">
        <f>IF(Grandview_Inventory[[#This Row],[bldg_style]]="",0,Lookups!$B$2)</f>
        <v>155833.95000000001</v>
      </c>
      <c r="BJ1190" s="6">
        <f>_xlfn.IFNA(VLOOKUP(Grandview_Inventory[[#This Row],[quality]],Lookups!$H$2:$J$14,3,FALSE),0)</f>
        <v>20768</v>
      </c>
      <c r="BK1190" s="6">
        <f>_xlfn.IFNA(VLOOKUP(Grandview_Inventory[[#This Row],[condition]],Lookups!$H$17:$J$24,3,FALSE),0)</f>
        <v>-4503</v>
      </c>
      <c r="BL1190" s="6">
        <f>Grandview_Inventory[[#This Row],[Eff_Age]]*Lookups!$B$14</f>
        <v>-11479.996799999999</v>
      </c>
      <c r="BM1190" s="6">
        <f>Grandview_Inventory[[#This Row],[living_area]]*Lookups!$B$15</f>
        <v>178721.14384500001</v>
      </c>
      <c r="BN1190" s="6">
        <f>Grandview_Inventory[[#This Row],[Fin BSMT]]*Lookups!$B$16</f>
        <v>-33223.668239999999</v>
      </c>
      <c r="BO1190" s="6">
        <f>(Grandview_Inventory[[#This Row],[att_gar]]+Grandview_Inventory[[#This Row],[bltin_gar]])*Lookups!$B$17</f>
        <v>42009.809760000004</v>
      </c>
      <c r="BP1190" s="6">
        <f>Grandview_Inventory[[#This Row],[Plumbing Fixtures]]*Lookups!$B$18</f>
        <v>22114.859800000002</v>
      </c>
      <c r="BQ1190" s="6">
        <f>Grandview_Inventory[[#This Row],[detatched_value]]*Lookups!$B$19</f>
        <v>0</v>
      </c>
      <c r="BR1190" s="6">
        <f>SUM(Grandview_Inventory[[#This Row],[Intercept]:[det_value]])*Grandview_Inventory[[#This Row],[res_pct]]</f>
        <v>370241.09836499998</v>
      </c>
      <c r="BS1190" s="6">
        <f>Grandview_Inventory[[#This Row],[land_value]]</f>
        <v>59952.95672049807</v>
      </c>
      <c r="BT1190" s="4">
        <f>_xlfn.IFNA(VLOOKUP(Grandview_Inventory[[#This Row],[quality]],Lookups!$A$26:$C$33,3,FALSE),1)</f>
        <v>0.94960540378902636</v>
      </c>
      <c r="BU1190" s="4">
        <f>_xlfn.IFNA(VLOOKUP(Grandview_Inventory[[#This Row],[condition]],Lookups!$A$37:$C$44,3,FALSE),1)</f>
        <v>0.96469275950863709</v>
      </c>
      <c r="BV1190" s="4">
        <f>IF(Grandview_Inventory[[#This Row],[bldg_style]]="",1,_xlfn.IFNA(VLOOKUP(Grandview_Inventory[[#This Row],[decade]],Lookups!$F$29:$H$43,3,FALSE),1))</f>
        <v>0.95268620544463312</v>
      </c>
      <c r="BW1190" s="4">
        <f>_xlfn.IFNA(VLOOKUP(Grandview_Inventory[[#This Row],[living_area_range]],Lookups!$F$47:$H$56,3,FALSE),1)</f>
        <v>0.94224801443562123</v>
      </c>
      <c r="BX1190" s="4">
        <f>AVERAGE(Grandview_Inventory[[#This Row],[qual_adj]:[size_adj]])</f>
        <v>0.9523080957944795</v>
      </c>
      <c r="BY1190" s="6">
        <f>IF(Grandview_Inventory[[#This Row],[pre_res]]&lt;0,0,Grandview_Inventory[[#This Row],[pre_res]]*Grandview_Inventory[[#This Row],[overall_adj]])</f>
        <v>352583.59536882973</v>
      </c>
      <c r="BZ1190" s="6">
        <f>(Grandview_Inventory[[#This Row],[sum_land]]-IF(Grandview_Inventory[[#This Row],[no_utilities]]=1,12000,0))/IF(Grandview_Inventory[[#This Row],[unbuildable]]=1,2,1)</f>
        <v>59952.95672049807</v>
      </c>
      <c r="CA1190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1190">
        <f>ROUND(Grandview_Inventory[[#This Row],[det_value]]*Lookups!$M$28,-2)</f>
        <v>0</v>
      </c>
      <c r="CC1190">
        <f>IF(ROUND(Grandview_Inventory[[#This Row],[adj_res]]*Lookups!$M$28,-2)&lt;Grandview_Inventory[[#This Row],[min_res]],Grandview_Inventory[[#This Row],[min_res]],ROUND(Grandview_Inventory[[#This Row],[adj_res]]*Lookups!$M$28,-2))</f>
        <v>335000</v>
      </c>
      <c r="CD1190">
        <f>Grandview_Inventory[[#This Row],[final_det]]+Grandview_Inventory[[#This Row],[final_res]]</f>
        <v>335000</v>
      </c>
      <c r="CE1190">
        <f>Grandview_Inventory[[#This Row],[final_land]]+Grandview_Inventory[[#This Row],[final_imp]]+Grandview_Inventory[[#This Row],[crop_value]]</f>
        <v>392000</v>
      </c>
      <c r="CG1190" t="str">
        <f t="shared" si="18"/>
        <v>update valuation set market_land =57000, market_bldg=335000, market_total =392000, market_mdno =401, market_date ='9/10/2023' where link_id = (select link_id from parcel where parcel_year = '2024' and parcel_id = '23092244414');</v>
      </c>
    </row>
    <row r="1191" spans="1:85" x14ac:dyDescent="0.25">
      <c r="A1191">
        <v>23092244415</v>
      </c>
      <c r="B1191">
        <v>0.55000000000000004</v>
      </c>
      <c r="C1191">
        <v>23811</v>
      </c>
      <c r="D1191" t="s">
        <v>129</v>
      </c>
      <c r="E1191" t="s">
        <v>53</v>
      </c>
      <c r="F1191" t="s">
        <v>53</v>
      </c>
      <c r="G1191">
        <v>4</v>
      </c>
      <c r="H1191" t="s">
        <v>54</v>
      </c>
      <c r="I1191">
        <v>256400</v>
      </c>
      <c r="J1191">
        <v>47200</v>
      </c>
      <c r="K1191">
        <v>0.55000000000000004</v>
      </c>
      <c r="L1191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1191">
        <v>0</v>
      </c>
      <c r="N1191">
        <v>0</v>
      </c>
      <c r="O1191">
        <v>0</v>
      </c>
      <c r="P1191">
        <v>13398.7528</v>
      </c>
      <c r="Q1191">
        <v>63903</v>
      </c>
      <c r="R1191">
        <f>(Grandview_Inventory[[#This Row],[ln_acres]]*Grandview_Inventory[[#This Row],[coeff]])+Grandview_Inventory[[#This Row],[const]]</f>
        <v>55892.729812182028</v>
      </c>
      <c r="S1191" t="s">
        <v>61</v>
      </c>
      <c r="T1191">
        <v>1</v>
      </c>
      <c r="U1191" t="s">
        <v>65</v>
      </c>
      <c r="V1191" t="s">
        <v>69</v>
      </c>
      <c r="W1191">
        <v>0</v>
      </c>
      <c r="X1191">
        <v>0</v>
      </c>
      <c r="Y1191">
        <v>49</v>
      </c>
      <c r="Z1191">
        <v>68</v>
      </c>
      <c r="AA1191">
        <v>70</v>
      </c>
      <c r="AB1191">
        <v>3000</v>
      </c>
      <c r="AC1191">
        <v>2964</v>
      </c>
      <c r="AD1191">
        <v>1976</v>
      </c>
      <c r="AE1191">
        <v>0</v>
      </c>
      <c r="AF1191">
        <v>0</v>
      </c>
      <c r="AG1191">
        <v>988</v>
      </c>
      <c r="AH1191">
        <v>988</v>
      </c>
      <c r="AI1191">
        <v>624</v>
      </c>
      <c r="AJ1191">
        <v>0</v>
      </c>
      <c r="AK1191">
        <v>0</v>
      </c>
      <c r="AL1191">
        <v>0</v>
      </c>
      <c r="AM1191">
        <v>342</v>
      </c>
      <c r="AN1191">
        <v>0</v>
      </c>
      <c r="AO1191">
        <v>174</v>
      </c>
      <c r="AP1191">
        <v>8</v>
      </c>
      <c r="AQ1191">
        <v>0</v>
      </c>
      <c r="AR1191">
        <v>0</v>
      </c>
      <c r="AS1191" t="s">
        <v>76</v>
      </c>
      <c r="AT1191">
        <v>1</v>
      </c>
      <c r="AU1191" t="s">
        <v>63</v>
      </c>
      <c r="AV1191" t="s">
        <v>64</v>
      </c>
      <c r="AW1191">
        <v>1</v>
      </c>
      <c r="AX1191">
        <v>4</v>
      </c>
      <c r="AY1191">
        <v>0</v>
      </c>
      <c r="AZ1191">
        <v>0</v>
      </c>
      <c r="BA1191">
        <v>100</v>
      </c>
      <c r="BB1191">
        <v>100</v>
      </c>
      <c r="BC1191">
        <v>100</v>
      </c>
      <c r="BD1191">
        <v>100</v>
      </c>
      <c r="BE1191">
        <v>1</v>
      </c>
      <c r="BF1191">
        <v>15000</v>
      </c>
      <c r="BG1191">
        <v>1000</v>
      </c>
      <c r="BH1191" s="6">
        <f>Grandview_Inventory[[#This Row],[land_extract]]*Lookups!$B$3</f>
        <v>64908.076220516494</v>
      </c>
      <c r="BI1191" s="6">
        <f>IF(Grandview_Inventory[[#This Row],[bldg_style]]="",0,Lookups!$B$2)</f>
        <v>155833.95000000001</v>
      </c>
      <c r="BJ1191" s="6">
        <f>_xlfn.IFNA(VLOOKUP(Grandview_Inventory[[#This Row],[quality]],Lookups!$H$2:$J$14,3,FALSE),0)</f>
        <v>2251</v>
      </c>
      <c r="BK1191" s="6">
        <f>_xlfn.IFNA(VLOOKUP(Grandview_Inventory[[#This Row],[condition]],Lookups!$H$17:$J$24,3,FALSE),0)</f>
        <v>-4503</v>
      </c>
      <c r="BL1191" s="6">
        <f>Grandview_Inventory[[#This Row],[Eff_Age]]*Lookups!$B$14</f>
        <v>-11719.163399999999</v>
      </c>
      <c r="BM1191" s="6">
        <f>Grandview_Inventory[[#This Row],[living_area]]*Lookups!$B$15</f>
        <v>184896.84829200001</v>
      </c>
      <c r="BN1191" s="6">
        <f>Grandview_Inventory[[#This Row],[Fin BSMT]]*Lookups!$B$16</f>
        <v>-26774.049120000003</v>
      </c>
      <c r="BO1191" s="6">
        <f>(Grandview_Inventory[[#This Row],[att_gar]]+Grandview_Inventory[[#This Row],[bltin_gar]])*Lookups!$B$17</f>
        <v>54612.752688</v>
      </c>
      <c r="BP1191" s="6">
        <f>Grandview_Inventory[[#This Row],[Plumbing Fixtures]]*Lookups!$B$18</f>
        <v>16083.5344</v>
      </c>
      <c r="BQ1191" s="6">
        <f>Grandview_Inventory[[#This Row],[detatched_value]]*Lookups!$B$19</f>
        <v>0</v>
      </c>
      <c r="BR1191" s="6">
        <f>SUM(Grandview_Inventory[[#This Row],[Intercept]:[det_value]])*Grandview_Inventory[[#This Row],[res_pct]]</f>
        <v>370681.87286</v>
      </c>
      <c r="BS1191" s="6">
        <f>Grandview_Inventory[[#This Row],[land_value]]</f>
        <v>64908.076220516494</v>
      </c>
      <c r="BT1191" s="4">
        <f>_xlfn.IFNA(VLOOKUP(Grandview_Inventory[[#This Row],[quality]],Lookups!$A$26:$C$33,3,FALSE),1)</f>
        <v>0.98763855981004833</v>
      </c>
      <c r="BU1191" s="4">
        <f>_xlfn.IFNA(VLOOKUP(Grandview_Inventory[[#This Row],[condition]],Lookups!$A$37:$C$44,3,FALSE),1)</f>
        <v>0.96469275950863709</v>
      </c>
      <c r="BV1191" s="4">
        <f>IF(Grandview_Inventory[[#This Row],[bldg_style]]="",1,_xlfn.IFNA(VLOOKUP(Grandview_Inventory[[#This Row],[decade]],Lookups!$F$29:$H$43,3,FALSE),1))</f>
        <v>0.99472141305414818</v>
      </c>
      <c r="BW1191" s="4">
        <f>_xlfn.IFNA(VLOOKUP(Grandview_Inventory[[#This Row],[living_area_range]],Lookups!$F$47:$H$56,3,FALSE),1)</f>
        <v>0.94224801443562123</v>
      </c>
      <c r="BX1191" s="4">
        <f>AVERAGE(Grandview_Inventory[[#This Row],[qual_adj]:[size_adj]])</f>
        <v>0.97232518670211376</v>
      </c>
      <c r="BY1191" s="6">
        <f>IF(Grandview_Inventory[[#This Row],[pre_res]]&lt;0,0,Grandview_Inventory[[#This Row],[pre_res]]*Grandview_Inventory[[#This Row],[overall_adj]])</f>
        <v>360423.32123568869</v>
      </c>
      <c r="BZ1191" s="6">
        <f>(Grandview_Inventory[[#This Row],[sum_land]]-IF(Grandview_Inventory[[#This Row],[no_utilities]]=1,12000,0))/IF(Grandview_Inventory[[#This Row],[unbuildable]]=1,2,1)</f>
        <v>64908.076220516494</v>
      </c>
      <c r="CA1191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1191">
        <f>ROUND(Grandview_Inventory[[#This Row],[det_value]]*Lookups!$M$28,-2)</f>
        <v>0</v>
      </c>
      <c r="CC1191">
        <f>IF(ROUND(Grandview_Inventory[[#This Row],[adj_res]]*Lookups!$M$28,-2)&lt;Grandview_Inventory[[#This Row],[min_res]],Grandview_Inventory[[#This Row],[min_res]],ROUND(Grandview_Inventory[[#This Row],[adj_res]]*Lookups!$M$28,-2))</f>
        <v>342400</v>
      </c>
      <c r="CD1191">
        <f>Grandview_Inventory[[#This Row],[final_det]]+Grandview_Inventory[[#This Row],[final_res]]</f>
        <v>342400</v>
      </c>
      <c r="CE1191">
        <f>Grandview_Inventory[[#This Row],[final_land]]+Grandview_Inventory[[#This Row],[final_imp]]+Grandview_Inventory[[#This Row],[crop_value]]</f>
        <v>404100</v>
      </c>
      <c r="CG1191" t="str">
        <f t="shared" si="18"/>
        <v>update valuation set market_land =61700, market_bldg=342400, market_total =404100, market_mdno =401, market_date ='9/10/2023' where link_id = (select link_id from parcel where parcel_year = '2024' and parcel_id = '23092244415');</v>
      </c>
    </row>
    <row r="1192" spans="1:85" x14ac:dyDescent="0.25">
      <c r="A1192">
        <v>23092244416</v>
      </c>
      <c r="B1192">
        <v>0.34</v>
      </c>
      <c r="C1192">
        <v>14948</v>
      </c>
      <c r="D1192" t="s">
        <v>129</v>
      </c>
      <c r="E1192" t="s">
        <v>53</v>
      </c>
      <c r="F1192" t="s">
        <v>53</v>
      </c>
      <c r="G1192">
        <v>4</v>
      </c>
      <c r="H1192" t="s">
        <v>54</v>
      </c>
      <c r="I1192">
        <v>262700</v>
      </c>
      <c r="J1192">
        <v>48200</v>
      </c>
      <c r="K1192">
        <v>0.34</v>
      </c>
      <c r="L1192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192">
        <v>0</v>
      </c>
      <c r="N1192">
        <v>0</v>
      </c>
      <c r="O1192">
        <v>0</v>
      </c>
      <c r="P1192">
        <v>13398.7528</v>
      </c>
      <c r="Q1192">
        <v>63903</v>
      </c>
      <c r="R1192">
        <f>(Grandview_Inventory[[#This Row],[ln_acres]]*Grandview_Inventory[[#This Row],[coeff]])+Grandview_Inventory[[#This Row],[const]]</f>
        <v>49448.296029025805</v>
      </c>
      <c r="S1192" t="s">
        <v>55</v>
      </c>
      <c r="T1192">
        <v>1</v>
      </c>
      <c r="U1192" t="s">
        <v>64</v>
      </c>
      <c r="V1192" t="s">
        <v>69</v>
      </c>
      <c r="W1192">
        <v>0</v>
      </c>
      <c r="X1192">
        <v>0</v>
      </c>
      <c r="Y1192">
        <v>48</v>
      </c>
      <c r="Z1192">
        <v>59</v>
      </c>
      <c r="AA1192">
        <v>60</v>
      </c>
      <c r="AB1192">
        <v>3500</v>
      </c>
      <c r="AC1192">
        <v>3156</v>
      </c>
      <c r="AD1192">
        <v>1842</v>
      </c>
      <c r="AE1192">
        <v>0</v>
      </c>
      <c r="AF1192">
        <v>0</v>
      </c>
      <c r="AG1192">
        <v>1314</v>
      </c>
      <c r="AH1192">
        <v>0</v>
      </c>
      <c r="AI1192">
        <v>0</v>
      </c>
      <c r="AJ1192">
        <v>504</v>
      </c>
      <c r="AK1192">
        <v>0</v>
      </c>
      <c r="AL1192">
        <v>476</v>
      </c>
      <c r="AM1192">
        <v>144</v>
      </c>
      <c r="AN1192">
        <v>0</v>
      </c>
      <c r="AO1192">
        <v>144</v>
      </c>
      <c r="AP1192">
        <v>11</v>
      </c>
      <c r="AQ1192">
        <v>0</v>
      </c>
      <c r="AR1192">
        <v>0</v>
      </c>
      <c r="AS1192" t="s">
        <v>58</v>
      </c>
      <c r="AT1192">
        <v>1</v>
      </c>
      <c r="AU1192" t="s">
        <v>63</v>
      </c>
      <c r="AV1192" t="s">
        <v>64</v>
      </c>
      <c r="AW1192">
        <v>1</v>
      </c>
      <c r="AX1192">
        <v>4</v>
      </c>
      <c r="AY1192">
        <v>0</v>
      </c>
      <c r="AZ1192">
        <v>0</v>
      </c>
      <c r="BA1192">
        <v>100</v>
      </c>
      <c r="BB1192">
        <v>100</v>
      </c>
      <c r="BC1192">
        <v>100</v>
      </c>
      <c r="BD1192">
        <v>100</v>
      </c>
      <c r="BE1192">
        <v>1</v>
      </c>
      <c r="BF1192">
        <v>15000</v>
      </c>
      <c r="BG1192">
        <v>1000</v>
      </c>
      <c r="BH1192" s="6">
        <f>Grandview_Inventory[[#This Row],[land_extract]]*Lookups!$B$3</f>
        <v>57424.172668108389</v>
      </c>
      <c r="BI1192" s="6">
        <f>IF(Grandview_Inventory[[#This Row],[bldg_style]]="",0,Lookups!$B$2)</f>
        <v>155833.95000000001</v>
      </c>
      <c r="BJ1192" s="6">
        <f>_xlfn.IFNA(VLOOKUP(Grandview_Inventory[[#This Row],[quality]],Lookups!$H$2:$J$14,3,FALSE),0)</f>
        <v>20768</v>
      </c>
      <c r="BK1192" s="6">
        <f>_xlfn.IFNA(VLOOKUP(Grandview_Inventory[[#This Row],[condition]],Lookups!$H$17:$J$24,3,FALSE),0)</f>
        <v>-4503</v>
      </c>
      <c r="BL1192" s="6">
        <f>Grandview_Inventory[[#This Row],[Eff_Age]]*Lookups!$B$14</f>
        <v>-11479.996799999999</v>
      </c>
      <c r="BM1192" s="6">
        <f>Grandview_Inventory[[#This Row],[living_area]]*Lookups!$B$15</f>
        <v>196873.972068</v>
      </c>
      <c r="BN1192" s="6">
        <f>Grandview_Inventory[[#This Row],[Fin BSMT]]*Lookups!$B$16</f>
        <v>-35608.401360000003</v>
      </c>
      <c r="BO1192" s="6">
        <f>(Grandview_Inventory[[#This Row],[att_gar]]+Grandview_Inventory[[#This Row],[bltin_gar]])*Lookups!$B$17</f>
        <v>44110.300248</v>
      </c>
      <c r="BP1192" s="6">
        <f>Grandview_Inventory[[#This Row],[Plumbing Fixtures]]*Lookups!$B$18</f>
        <v>22114.859800000002</v>
      </c>
      <c r="BQ1192" s="6">
        <f>Grandview_Inventory[[#This Row],[detatched_value]]*Lookups!$B$19</f>
        <v>0</v>
      </c>
      <c r="BR1192" s="6">
        <f>SUM(Grandview_Inventory[[#This Row],[Intercept]:[det_value]])*Grandview_Inventory[[#This Row],[res_pct]]</f>
        <v>388109.68395599996</v>
      </c>
      <c r="BS1192" s="6">
        <f>Grandview_Inventory[[#This Row],[land_value]]</f>
        <v>57424.172668108389</v>
      </c>
      <c r="BT1192" s="4">
        <f>_xlfn.IFNA(VLOOKUP(Grandview_Inventory[[#This Row],[quality]],Lookups!$A$26:$C$33,3,FALSE),1)</f>
        <v>0.94960540378902636</v>
      </c>
      <c r="BU1192" s="4">
        <f>_xlfn.IFNA(VLOOKUP(Grandview_Inventory[[#This Row],[condition]],Lookups!$A$37:$C$44,3,FALSE),1)</f>
        <v>0.96469275950863709</v>
      </c>
      <c r="BV1192" s="4">
        <f>IF(Grandview_Inventory[[#This Row],[bldg_style]]="",1,_xlfn.IFNA(VLOOKUP(Grandview_Inventory[[#This Row],[decade]],Lookups!$F$29:$H$43,3,FALSE),1))</f>
        <v>0.95268620544463312</v>
      </c>
      <c r="BW1192" s="4">
        <f>_xlfn.IFNA(VLOOKUP(Grandview_Inventory[[#This Row],[living_area_range]],Lookups!$F$47:$H$56,3,FALSE),1)</f>
        <v>1.0170112215140563</v>
      </c>
      <c r="BX1192" s="4">
        <f>AVERAGE(Grandview_Inventory[[#This Row],[qual_adj]:[size_adj]])</f>
        <v>0.97099889756408819</v>
      </c>
      <c r="BY1192" s="6">
        <f>IF(Grandview_Inventory[[#This Row],[pre_res]]&lt;0,0,Grandview_Inventory[[#This Row],[pre_res]]*Grandview_Inventory[[#This Row],[overall_adj]])</f>
        <v>376854.07525522268</v>
      </c>
      <c r="BZ1192" s="6">
        <f>(Grandview_Inventory[[#This Row],[sum_land]]-IF(Grandview_Inventory[[#This Row],[no_utilities]]=1,12000,0))/IF(Grandview_Inventory[[#This Row],[unbuildable]]=1,2,1)</f>
        <v>57424.172668108389</v>
      </c>
      <c r="CA1192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192">
        <f>ROUND(Grandview_Inventory[[#This Row],[det_value]]*Lookups!$M$28,-2)</f>
        <v>0</v>
      </c>
      <c r="CC1192">
        <f>IF(ROUND(Grandview_Inventory[[#This Row],[adj_res]]*Lookups!$M$28,-2)&lt;Grandview_Inventory[[#This Row],[min_res]],Grandview_Inventory[[#This Row],[min_res]],ROUND(Grandview_Inventory[[#This Row],[adj_res]]*Lookups!$M$28,-2))</f>
        <v>358000</v>
      </c>
      <c r="CD1192">
        <f>Grandview_Inventory[[#This Row],[final_det]]+Grandview_Inventory[[#This Row],[final_res]]</f>
        <v>358000</v>
      </c>
      <c r="CE1192">
        <f>Grandview_Inventory[[#This Row],[final_land]]+Grandview_Inventory[[#This Row],[final_imp]]+Grandview_Inventory[[#This Row],[crop_value]]</f>
        <v>412600</v>
      </c>
      <c r="CG1192" t="str">
        <f t="shared" si="18"/>
        <v>update valuation set market_land =54600, market_bldg=358000, market_total =412600, market_mdno =401, market_date ='9/10/2023' where link_id = (select link_id from parcel where parcel_year = '2024' and parcel_id = '23092244416');</v>
      </c>
    </row>
    <row r="1193" spans="1:85" x14ac:dyDescent="0.25">
      <c r="A1193">
        <v>23092244417</v>
      </c>
      <c r="B1193">
        <v>0.55000000000000004</v>
      </c>
      <c r="C1193">
        <v>23816</v>
      </c>
      <c r="D1193" t="s">
        <v>129</v>
      </c>
      <c r="E1193" t="s">
        <v>53</v>
      </c>
      <c r="F1193" t="s">
        <v>53</v>
      </c>
      <c r="G1193">
        <v>4</v>
      </c>
      <c r="H1193" t="s">
        <v>54</v>
      </c>
      <c r="I1193">
        <v>152600</v>
      </c>
      <c r="J1193">
        <v>47200</v>
      </c>
      <c r="K1193">
        <v>0.55000000000000004</v>
      </c>
      <c r="L1193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1193">
        <v>0</v>
      </c>
      <c r="N1193">
        <v>0</v>
      </c>
      <c r="O1193">
        <v>0</v>
      </c>
      <c r="P1193">
        <v>13398.7528</v>
      </c>
      <c r="Q1193">
        <v>63903</v>
      </c>
      <c r="R1193">
        <f>(Grandview_Inventory[[#This Row],[ln_acres]]*Grandview_Inventory[[#This Row],[coeff]])+Grandview_Inventory[[#This Row],[const]]</f>
        <v>55892.729812182028</v>
      </c>
      <c r="S1193" t="s">
        <v>68</v>
      </c>
      <c r="T1193">
        <v>1</v>
      </c>
      <c r="U1193" t="s">
        <v>65</v>
      </c>
      <c r="V1193" t="s">
        <v>69</v>
      </c>
      <c r="W1193">
        <v>0</v>
      </c>
      <c r="X1193">
        <v>0</v>
      </c>
      <c r="Y1193">
        <v>49</v>
      </c>
      <c r="Z1193">
        <v>68</v>
      </c>
      <c r="AA1193">
        <v>70</v>
      </c>
      <c r="AB1193">
        <v>1500</v>
      </c>
      <c r="AC1193">
        <v>1440</v>
      </c>
      <c r="AD1193">
        <v>1440</v>
      </c>
      <c r="AE1193">
        <v>0</v>
      </c>
      <c r="AF1193">
        <v>0</v>
      </c>
      <c r="AG1193">
        <v>0</v>
      </c>
      <c r="AH1193">
        <v>192</v>
      </c>
      <c r="AI1193">
        <v>0</v>
      </c>
      <c r="AJ1193">
        <v>0</v>
      </c>
      <c r="AK1193">
        <v>0</v>
      </c>
      <c r="AL1193">
        <v>256</v>
      </c>
      <c r="AM1193">
        <v>0</v>
      </c>
      <c r="AN1193">
        <v>260</v>
      </c>
      <c r="AO1193">
        <v>256</v>
      </c>
      <c r="AP1193">
        <v>8</v>
      </c>
      <c r="AQ1193">
        <v>0</v>
      </c>
      <c r="AR1193">
        <v>0</v>
      </c>
      <c r="AS1193" t="s">
        <v>58</v>
      </c>
      <c r="AT1193">
        <v>1</v>
      </c>
      <c r="AU1193" t="s">
        <v>63</v>
      </c>
      <c r="AV1193" t="s">
        <v>81</v>
      </c>
      <c r="AW1193">
        <v>1</v>
      </c>
      <c r="AX1193">
        <v>3</v>
      </c>
      <c r="AY1193">
        <v>0</v>
      </c>
      <c r="AZ1193">
        <v>9000</v>
      </c>
      <c r="BA1193">
        <v>100</v>
      </c>
      <c r="BB1193">
        <v>100</v>
      </c>
      <c r="BC1193">
        <v>100</v>
      </c>
      <c r="BD1193">
        <v>100</v>
      </c>
      <c r="BE1193">
        <v>1</v>
      </c>
      <c r="BF1193">
        <v>15000</v>
      </c>
      <c r="BG1193">
        <v>1000</v>
      </c>
      <c r="BH1193" s="6">
        <f>Grandview_Inventory[[#This Row],[land_extract]]*Lookups!$B$3</f>
        <v>64908.076220516494</v>
      </c>
      <c r="BI1193" s="6">
        <f>IF(Grandview_Inventory[[#This Row],[bldg_style]]="",0,Lookups!$B$2)</f>
        <v>155833.95000000001</v>
      </c>
      <c r="BJ1193" s="6">
        <f>_xlfn.IFNA(VLOOKUP(Grandview_Inventory[[#This Row],[quality]],Lookups!$H$2:$J$14,3,FALSE),0)</f>
        <v>2251</v>
      </c>
      <c r="BK1193" s="6">
        <f>_xlfn.IFNA(VLOOKUP(Grandview_Inventory[[#This Row],[condition]],Lookups!$H$17:$J$24,3,FALSE),0)</f>
        <v>-4503</v>
      </c>
      <c r="BL1193" s="6">
        <f>Grandview_Inventory[[#This Row],[Eff_Age]]*Lookups!$B$14</f>
        <v>-11719.163399999999</v>
      </c>
      <c r="BM1193" s="6">
        <f>Grandview_Inventory[[#This Row],[living_area]]*Lookups!$B$15</f>
        <v>89828.428320000006</v>
      </c>
      <c r="BN1193" s="6">
        <f>Grandview_Inventory[[#This Row],[Fin BSMT]]*Lookups!$B$16</f>
        <v>0</v>
      </c>
      <c r="BO1193" s="6">
        <f>(Grandview_Inventory[[#This Row],[att_gar]]+Grandview_Inventory[[#This Row],[bltin_gar]])*Lookups!$B$17</f>
        <v>0</v>
      </c>
      <c r="BP1193" s="6">
        <f>Grandview_Inventory[[#This Row],[Plumbing Fixtures]]*Lookups!$B$18</f>
        <v>16083.5344</v>
      </c>
      <c r="BQ1193" s="6">
        <f>Grandview_Inventory[[#This Row],[detatched_value]]*Lookups!$B$19</f>
        <v>7621.2458999999999</v>
      </c>
      <c r="BR1193" s="6">
        <f>SUM(Grandview_Inventory[[#This Row],[Intercept]:[det_value]])*Grandview_Inventory[[#This Row],[res_pct]]</f>
        <v>255395.99522000004</v>
      </c>
      <c r="BS1193" s="6">
        <f>Grandview_Inventory[[#This Row],[land_value]]</f>
        <v>64908.076220516494</v>
      </c>
      <c r="BT1193" s="4">
        <f>_xlfn.IFNA(VLOOKUP(Grandview_Inventory[[#This Row],[quality]],Lookups!$A$26:$C$33,3,FALSE),1)</f>
        <v>0.98763855981004833</v>
      </c>
      <c r="BU1193" s="4">
        <f>_xlfn.IFNA(VLOOKUP(Grandview_Inventory[[#This Row],[condition]],Lookups!$A$37:$C$44,3,FALSE),1)</f>
        <v>0.96469275950863709</v>
      </c>
      <c r="BV1193" s="4">
        <f>IF(Grandview_Inventory[[#This Row],[bldg_style]]="",1,_xlfn.IFNA(VLOOKUP(Grandview_Inventory[[#This Row],[decade]],Lookups!$F$29:$H$43,3,FALSE),1))</f>
        <v>0.99472141305414818</v>
      </c>
      <c r="BW1193" s="4">
        <f>_xlfn.IFNA(VLOOKUP(Grandview_Inventory[[#This Row],[living_area_range]],Lookups!$F$47:$H$56,3,FALSE),1)</f>
        <v>0.96135087979789358</v>
      </c>
      <c r="BX1193" s="4">
        <f>AVERAGE(Grandview_Inventory[[#This Row],[qual_adj]:[size_adj]])</f>
        <v>0.97710090304268182</v>
      </c>
      <c r="BY1193" s="6">
        <f>IF(Grandview_Inventory[[#This Row],[pre_res]]&lt;0,0,Grandview_Inventory[[#This Row],[pre_res]]*Grandview_Inventory[[#This Row],[overall_adj]])</f>
        <v>249547.65756294649</v>
      </c>
      <c r="BZ1193" s="6">
        <f>(Grandview_Inventory[[#This Row],[sum_land]]-IF(Grandview_Inventory[[#This Row],[no_utilities]]=1,12000,0))/IF(Grandview_Inventory[[#This Row],[unbuildable]]=1,2,1)</f>
        <v>64908.076220516494</v>
      </c>
      <c r="CA1193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1193">
        <f>ROUND(Grandview_Inventory[[#This Row],[det_value]]*Lookups!$M$28,-2)</f>
        <v>7200</v>
      </c>
      <c r="CC1193">
        <f>IF(ROUND(Grandview_Inventory[[#This Row],[adj_res]]*Lookups!$M$28,-2)&lt;Grandview_Inventory[[#This Row],[min_res]],Grandview_Inventory[[#This Row],[min_res]],ROUND(Grandview_Inventory[[#This Row],[adj_res]]*Lookups!$M$28,-2))</f>
        <v>237100</v>
      </c>
      <c r="CD1193">
        <f>Grandview_Inventory[[#This Row],[final_det]]+Grandview_Inventory[[#This Row],[final_res]]</f>
        <v>244300</v>
      </c>
      <c r="CE1193">
        <f>Grandview_Inventory[[#This Row],[final_land]]+Grandview_Inventory[[#This Row],[final_imp]]+Grandview_Inventory[[#This Row],[crop_value]]</f>
        <v>306000</v>
      </c>
      <c r="CG1193" t="str">
        <f t="shared" si="18"/>
        <v>update valuation set market_land =61700, market_bldg=244300, market_total =306000, market_mdno =401, market_date ='9/10/2023' where link_id = (select link_id from parcel where parcel_year = '2024' and parcel_id = '23092244417');</v>
      </c>
    </row>
    <row r="1194" spans="1:85" x14ac:dyDescent="0.25">
      <c r="A1194">
        <v>23092244418</v>
      </c>
      <c r="B1194">
        <v>0.23</v>
      </c>
      <c r="C1194">
        <v>10088</v>
      </c>
      <c r="D1194" t="s">
        <v>129</v>
      </c>
      <c r="E1194" t="s">
        <v>53</v>
      </c>
      <c r="F1194" t="s">
        <v>53</v>
      </c>
      <c r="G1194">
        <v>4</v>
      </c>
      <c r="H1194" t="s">
        <v>54</v>
      </c>
      <c r="I1194">
        <v>124100</v>
      </c>
      <c r="J1194">
        <v>44400</v>
      </c>
      <c r="K1194">
        <v>0.23</v>
      </c>
      <c r="L119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194">
        <v>0</v>
      </c>
      <c r="N1194">
        <v>0</v>
      </c>
      <c r="O1194">
        <v>0</v>
      </c>
      <c r="P1194">
        <v>13398.7528</v>
      </c>
      <c r="Q1194">
        <v>63903</v>
      </c>
      <c r="R1194">
        <f>(Grandview_Inventory[[#This Row],[ln_acres]]*Grandview_Inventory[[#This Row],[coeff]])+Grandview_Inventory[[#This Row],[const]]</f>
        <v>44211.174981080039</v>
      </c>
      <c r="S1194" t="s">
        <v>68</v>
      </c>
      <c r="T1194">
        <v>1</v>
      </c>
      <c r="U1194" t="s">
        <v>65</v>
      </c>
      <c r="V1194" t="s">
        <v>69</v>
      </c>
      <c r="W1194">
        <v>0</v>
      </c>
      <c r="X1194">
        <v>0</v>
      </c>
      <c r="Y1194">
        <v>49</v>
      </c>
      <c r="Z1194">
        <v>68</v>
      </c>
      <c r="AA1194">
        <v>70</v>
      </c>
      <c r="AB1194">
        <v>1500</v>
      </c>
      <c r="AC1194">
        <v>1400</v>
      </c>
      <c r="AD1194">
        <v>1400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136</v>
      </c>
      <c r="AN1194">
        <v>0</v>
      </c>
      <c r="AO1194">
        <v>0</v>
      </c>
      <c r="AP1194">
        <v>5</v>
      </c>
      <c r="AQ1194">
        <v>0</v>
      </c>
      <c r="AR1194">
        <v>0</v>
      </c>
      <c r="AS1194" t="s">
        <v>58</v>
      </c>
      <c r="AT1194">
        <v>1</v>
      </c>
      <c r="AU1194" t="s">
        <v>63</v>
      </c>
      <c r="AV1194" t="s">
        <v>64</v>
      </c>
      <c r="AW1194">
        <v>0</v>
      </c>
      <c r="AX1194">
        <v>3</v>
      </c>
      <c r="AY1194">
        <v>0</v>
      </c>
      <c r="AZ1194">
        <v>0</v>
      </c>
      <c r="BA1194">
        <v>100</v>
      </c>
      <c r="BB1194">
        <v>100</v>
      </c>
      <c r="BC1194">
        <v>100</v>
      </c>
      <c r="BD1194">
        <v>100</v>
      </c>
      <c r="BE1194">
        <v>1</v>
      </c>
      <c r="BF1194">
        <v>15000</v>
      </c>
      <c r="BG1194">
        <v>1000</v>
      </c>
      <c r="BH1194" s="6">
        <f>Grandview_Inventory[[#This Row],[land_extract]]*Lookups!$B$3</f>
        <v>51342.318135355803</v>
      </c>
      <c r="BI1194" s="6">
        <f>IF(Grandview_Inventory[[#This Row],[bldg_style]]="",0,Lookups!$B$2)</f>
        <v>155833.95000000001</v>
      </c>
      <c r="BJ1194" s="6">
        <f>_xlfn.IFNA(VLOOKUP(Grandview_Inventory[[#This Row],[quality]],Lookups!$H$2:$J$14,3,FALSE),0)</f>
        <v>2251</v>
      </c>
      <c r="BK1194" s="6">
        <f>_xlfn.IFNA(VLOOKUP(Grandview_Inventory[[#This Row],[condition]],Lookups!$H$17:$J$24,3,FALSE),0)</f>
        <v>-4503</v>
      </c>
      <c r="BL1194" s="6">
        <f>Grandview_Inventory[[#This Row],[Eff_Age]]*Lookups!$B$14</f>
        <v>-11719.163399999999</v>
      </c>
      <c r="BM1194" s="6">
        <f>Grandview_Inventory[[#This Row],[living_area]]*Lookups!$B$15</f>
        <v>87333.194199999998</v>
      </c>
      <c r="BN1194" s="6">
        <f>Grandview_Inventory[[#This Row],[Fin BSMT]]*Lookups!$B$16</f>
        <v>0</v>
      </c>
      <c r="BO1194" s="6">
        <f>(Grandview_Inventory[[#This Row],[att_gar]]+Grandview_Inventory[[#This Row],[bltin_gar]])*Lookups!$B$17</f>
        <v>0</v>
      </c>
      <c r="BP1194" s="6">
        <f>Grandview_Inventory[[#This Row],[Plumbing Fixtures]]*Lookups!$B$18</f>
        <v>10052.209000000001</v>
      </c>
      <c r="BQ1194" s="6">
        <f>Grandview_Inventory[[#This Row],[detatched_value]]*Lookups!$B$19</f>
        <v>0</v>
      </c>
      <c r="BR1194" s="6">
        <f>SUM(Grandview_Inventory[[#This Row],[Intercept]:[det_value]])*Grandview_Inventory[[#This Row],[res_pct]]</f>
        <v>239248.18980000002</v>
      </c>
      <c r="BS1194" s="6">
        <f>Grandview_Inventory[[#This Row],[land_value]]</f>
        <v>51342.318135355803</v>
      </c>
      <c r="BT1194" s="4">
        <f>_xlfn.IFNA(VLOOKUP(Grandview_Inventory[[#This Row],[quality]],Lookups!$A$26:$C$33,3,FALSE),1)</f>
        <v>0.98763855981004833</v>
      </c>
      <c r="BU1194" s="4">
        <f>_xlfn.IFNA(VLOOKUP(Grandview_Inventory[[#This Row],[condition]],Lookups!$A$37:$C$44,3,FALSE),1)</f>
        <v>0.96469275950863709</v>
      </c>
      <c r="BV1194" s="4">
        <f>IF(Grandview_Inventory[[#This Row],[bldg_style]]="",1,_xlfn.IFNA(VLOOKUP(Grandview_Inventory[[#This Row],[decade]],Lookups!$F$29:$H$43,3,FALSE),1))</f>
        <v>0.99472141305414818</v>
      </c>
      <c r="BW1194" s="4">
        <f>_xlfn.IFNA(VLOOKUP(Grandview_Inventory[[#This Row],[living_area_range]],Lookups!$F$47:$H$56,3,FALSE),1)</f>
        <v>0.96135087979789358</v>
      </c>
      <c r="BX1194" s="4">
        <f>AVERAGE(Grandview_Inventory[[#This Row],[qual_adj]:[size_adj]])</f>
        <v>0.97710090304268182</v>
      </c>
      <c r="BY1194" s="6">
        <f>IF(Grandview_Inventory[[#This Row],[pre_res]]&lt;0,0,Grandview_Inventory[[#This Row],[pre_res]]*Grandview_Inventory[[#This Row],[overall_adj]])</f>
        <v>233769.62230490695</v>
      </c>
      <c r="BZ1194" s="6">
        <f>(Grandview_Inventory[[#This Row],[sum_land]]-IF(Grandview_Inventory[[#This Row],[no_utilities]]=1,12000,0))/IF(Grandview_Inventory[[#This Row],[unbuildable]]=1,2,1)</f>
        <v>51342.318135355803</v>
      </c>
      <c r="CA119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194">
        <f>ROUND(Grandview_Inventory[[#This Row],[det_value]]*Lookups!$M$28,-2)</f>
        <v>0</v>
      </c>
      <c r="CC1194">
        <f>IF(ROUND(Grandview_Inventory[[#This Row],[adj_res]]*Lookups!$M$28,-2)&lt;Grandview_Inventory[[#This Row],[min_res]],Grandview_Inventory[[#This Row],[min_res]],ROUND(Grandview_Inventory[[#This Row],[adj_res]]*Lookups!$M$28,-2))</f>
        <v>222100</v>
      </c>
      <c r="CD1194">
        <f>Grandview_Inventory[[#This Row],[final_det]]+Grandview_Inventory[[#This Row],[final_res]]</f>
        <v>222100</v>
      </c>
      <c r="CE1194">
        <f>Grandview_Inventory[[#This Row],[final_land]]+Grandview_Inventory[[#This Row],[final_imp]]+Grandview_Inventory[[#This Row],[crop_value]]</f>
        <v>270900</v>
      </c>
      <c r="CG1194" t="str">
        <f t="shared" si="18"/>
        <v>update valuation set market_land =48800, market_bldg=222100, market_total =270900, market_mdno =401, market_date ='9/10/2023' where link_id = (select link_id from parcel where parcel_year = '2024' and parcel_id = '23092244418');</v>
      </c>
    </row>
    <row r="1195" spans="1:85" x14ac:dyDescent="0.25">
      <c r="A1195">
        <v>23092244419</v>
      </c>
      <c r="B1195">
        <v>0.19</v>
      </c>
      <c r="C1195">
        <v>8450</v>
      </c>
      <c r="D1195" t="s">
        <v>129</v>
      </c>
      <c r="E1195" t="s">
        <v>53</v>
      </c>
      <c r="F1195" t="s">
        <v>53</v>
      </c>
      <c r="G1195">
        <v>4</v>
      </c>
      <c r="H1195" t="s">
        <v>54</v>
      </c>
      <c r="I1195">
        <v>53600</v>
      </c>
      <c r="J1195">
        <v>39700</v>
      </c>
      <c r="K1195">
        <v>0.19</v>
      </c>
      <c r="L119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195">
        <v>0</v>
      </c>
      <c r="N1195">
        <v>0</v>
      </c>
      <c r="O1195">
        <v>0</v>
      </c>
      <c r="P1195">
        <v>13398.7528</v>
      </c>
      <c r="Q1195">
        <v>63903</v>
      </c>
      <c r="R1195">
        <f>(Grandview_Inventory[[#This Row],[ln_acres]]*Grandview_Inventory[[#This Row],[coeff]])+Grandview_Inventory[[#This Row],[const]]</f>
        <v>41651.273092551026</v>
      </c>
      <c r="S1195" t="s">
        <v>68</v>
      </c>
      <c r="T1195">
        <v>1</v>
      </c>
      <c r="U1195" t="s">
        <v>65</v>
      </c>
      <c r="V1195" t="s">
        <v>94</v>
      </c>
      <c r="W1195">
        <v>0</v>
      </c>
      <c r="X1195">
        <v>0</v>
      </c>
      <c r="Y1195">
        <v>49</v>
      </c>
      <c r="Z1195">
        <v>68</v>
      </c>
      <c r="AA1195">
        <v>70</v>
      </c>
      <c r="AB1195">
        <v>1500</v>
      </c>
      <c r="AC1195">
        <v>1232</v>
      </c>
      <c r="AD1195">
        <v>1232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8</v>
      </c>
      <c r="AQ1195">
        <v>0</v>
      </c>
      <c r="AR1195">
        <v>0</v>
      </c>
      <c r="AS1195" t="s">
        <v>58</v>
      </c>
      <c r="AT1195">
        <v>1</v>
      </c>
      <c r="AU1195" t="s">
        <v>63</v>
      </c>
      <c r="AV1195" t="s">
        <v>64</v>
      </c>
      <c r="AW1195">
        <v>0</v>
      </c>
      <c r="AX1195">
        <v>4</v>
      </c>
      <c r="AY1195">
        <v>0</v>
      </c>
      <c r="AZ1195">
        <v>0</v>
      </c>
      <c r="BA1195">
        <v>100</v>
      </c>
      <c r="BB1195">
        <v>100</v>
      </c>
      <c r="BC1195">
        <v>100</v>
      </c>
      <c r="BD1195">
        <v>100</v>
      </c>
      <c r="BE1195">
        <v>1</v>
      </c>
      <c r="BF1195">
        <v>15000</v>
      </c>
      <c r="BG1195">
        <v>1000</v>
      </c>
      <c r="BH1195" s="6">
        <f>Grandview_Inventory[[#This Row],[land_extract]]*Lookups!$B$3</f>
        <v>48369.510983942157</v>
      </c>
      <c r="BI1195" s="6">
        <f>IF(Grandview_Inventory[[#This Row],[bldg_style]]="",0,Lookups!$B$2)</f>
        <v>155833.95000000001</v>
      </c>
      <c r="BJ1195" s="6">
        <f>_xlfn.IFNA(VLOOKUP(Grandview_Inventory[[#This Row],[quality]],Lookups!$H$2:$J$14,3,FALSE),0)</f>
        <v>2251</v>
      </c>
      <c r="BK1195" s="6">
        <f>_xlfn.IFNA(VLOOKUP(Grandview_Inventory[[#This Row],[condition]],Lookups!$H$17:$J$24,3,FALSE),0)</f>
        <v>-77566.475205170951</v>
      </c>
      <c r="BL1195" s="6">
        <f>Grandview_Inventory[[#This Row],[Eff_Age]]*Lookups!$B$14</f>
        <v>-11719.163399999999</v>
      </c>
      <c r="BM1195" s="6">
        <f>Grandview_Inventory[[#This Row],[living_area]]*Lookups!$B$15</f>
        <v>76853.210896000004</v>
      </c>
      <c r="BN1195" s="6">
        <f>Grandview_Inventory[[#This Row],[Fin BSMT]]*Lookups!$B$16</f>
        <v>0</v>
      </c>
      <c r="BO1195" s="6">
        <f>(Grandview_Inventory[[#This Row],[att_gar]]+Grandview_Inventory[[#This Row],[bltin_gar]])*Lookups!$B$17</f>
        <v>0</v>
      </c>
      <c r="BP1195" s="6">
        <f>Grandview_Inventory[[#This Row],[Plumbing Fixtures]]*Lookups!$B$18</f>
        <v>16083.5344</v>
      </c>
      <c r="BQ1195" s="6">
        <f>Grandview_Inventory[[#This Row],[detatched_value]]*Lookups!$B$19</f>
        <v>0</v>
      </c>
      <c r="BR1195" s="6">
        <f>SUM(Grandview_Inventory[[#This Row],[Intercept]:[det_value]])*Grandview_Inventory[[#This Row],[res_pct]]</f>
        <v>161736.05669082905</v>
      </c>
      <c r="BS1195" s="6">
        <f>Grandview_Inventory[[#This Row],[land_value]]</f>
        <v>48369.510983942157</v>
      </c>
      <c r="BT1195" s="4">
        <f>_xlfn.IFNA(VLOOKUP(Grandview_Inventory[[#This Row],[quality]],Lookups!$A$26:$C$33,3,FALSE),1)</f>
        <v>0.98763855981004833</v>
      </c>
      <c r="BU1195" s="4">
        <f>_xlfn.IFNA(VLOOKUP(Grandview_Inventory[[#This Row],[condition]],Lookups!$A$37:$C$44,3,FALSE),1)</f>
        <v>0.97161819570155394</v>
      </c>
      <c r="BV1195" s="4">
        <f>IF(Grandview_Inventory[[#This Row],[bldg_style]]="",1,_xlfn.IFNA(VLOOKUP(Grandview_Inventory[[#This Row],[decade]],Lookups!$F$29:$H$43,3,FALSE),1))</f>
        <v>0.99472141305414818</v>
      </c>
      <c r="BW1195" s="4">
        <f>_xlfn.IFNA(VLOOKUP(Grandview_Inventory[[#This Row],[living_area_range]],Lookups!$F$47:$H$56,3,FALSE),1)</f>
        <v>0.96135087979789358</v>
      </c>
      <c r="BX1195" s="4">
        <f>AVERAGE(Grandview_Inventory[[#This Row],[qual_adj]:[size_adj]])</f>
        <v>0.97883226209091101</v>
      </c>
      <c r="BY1195" s="6">
        <f>IF(Grandview_Inventory[[#This Row],[pre_res]]&lt;0,0,Grandview_Inventory[[#This Row],[pre_res]]*Grandview_Inventory[[#This Row],[overall_adj]])</f>
        <v>158312.47023234802</v>
      </c>
      <c r="BZ1195" s="6">
        <f>(Grandview_Inventory[[#This Row],[sum_land]]-IF(Grandview_Inventory[[#This Row],[no_utilities]]=1,12000,0))/IF(Grandview_Inventory[[#This Row],[unbuildable]]=1,2,1)</f>
        <v>48369.510983942157</v>
      </c>
      <c r="CA119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195">
        <f>ROUND(Grandview_Inventory[[#This Row],[det_value]]*Lookups!$M$28,-2)</f>
        <v>0</v>
      </c>
      <c r="CC1195">
        <f>IF(ROUND(Grandview_Inventory[[#This Row],[adj_res]]*Lookups!$M$28,-2)&lt;Grandview_Inventory[[#This Row],[min_res]],Grandview_Inventory[[#This Row],[min_res]],ROUND(Grandview_Inventory[[#This Row],[adj_res]]*Lookups!$M$28,-2))</f>
        <v>150400</v>
      </c>
      <c r="CD1195">
        <f>Grandview_Inventory[[#This Row],[final_det]]+Grandview_Inventory[[#This Row],[final_res]]</f>
        <v>150400</v>
      </c>
      <c r="CE1195">
        <f>Grandview_Inventory[[#This Row],[final_land]]+Grandview_Inventory[[#This Row],[final_imp]]+Grandview_Inventory[[#This Row],[crop_value]]</f>
        <v>196400</v>
      </c>
      <c r="CG1195" t="str">
        <f t="shared" si="18"/>
        <v>update valuation set market_land =46000, market_bldg=150400, market_total =196400, market_mdno =401, market_date ='9/10/2023' where link_id = (select link_id from parcel where parcel_year = '2024' and parcel_id = '23092244419');</v>
      </c>
    </row>
    <row r="1196" spans="1:85" x14ac:dyDescent="0.25">
      <c r="A1196">
        <v>23092244420</v>
      </c>
      <c r="B1196">
        <v>0.19</v>
      </c>
      <c r="C1196">
        <v>8450</v>
      </c>
      <c r="D1196" t="s">
        <v>129</v>
      </c>
      <c r="E1196" t="s">
        <v>53</v>
      </c>
      <c r="F1196" t="s">
        <v>53</v>
      </c>
      <c r="G1196">
        <v>4</v>
      </c>
      <c r="H1196" t="s">
        <v>54</v>
      </c>
      <c r="I1196">
        <v>97400</v>
      </c>
      <c r="J1196">
        <v>39700</v>
      </c>
      <c r="K1196">
        <v>0.19</v>
      </c>
      <c r="L119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196">
        <v>0</v>
      </c>
      <c r="N1196">
        <v>0</v>
      </c>
      <c r="O1196">
        <v>0</v>
      </c>
      <c r="P1196">
        <v>13398.7528</v>
      </c>
      <c r="Q1196">
        <v>63903</v>
      </c>
      <c r="R1196">
        <f>(Grandview_Inventory[[#This Row],[ln_acres]]*Grandview_Inventory[[#This Row],[coeff]])+Grandview_Inventory[[#This Row],[const]]</f>
        <v>41651.273092551026</v>
      </c>
      <c r="S1196" t="s">
        <v>68</v>
      </c>
      <c r="T1196">
        <v>1</v>
      </c>
      <c r="U1196" t="s">
        <v>65</v>
      </c>
      <c r="V1196" t="s">
        <v>78</v>
      </c>
      <c r="W1196">
        <v>0</v>
      </c>
      <c r="X1196">
        <v>0</v>
      </c>
      <c r="Y1196">
        <v>49</v>
      </c>
      <c r="Z1196">
        <v>68</v>
      </c>
      <c r="AA1196">
        <v>70</v>
      </c>
      <c r="AB1196">
        <v>1500</v>
      </c>
      <c r="AC1196">
        <v>1035</v>
      </c>
      <c r="AD1196">
        <v>864</v>
      </c>
      <c r="AE1196">
        <v>0</v>
      </c>
      <c r="AF1196">
        <v>0</v>
      </c>
      <c r="AG1196">
        <v>171</v>
      </c>
      <c r="AH1196">
        <v>693</v>
      </c>
      <c r="AI1196">
        <v>268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5</v>
      </c>
      <c r="AQ1196">
        <v>0</v>
      </c>
      <c r="AR1196">
        <v>0</v>
      </c>
      <c r="AS1196" t="s">
        <v>58</v>
      </c>
      <c r="AT1196">
        <v>0</v>
      </c>
      <c r="AU1196" t="s">
        <v>82</v>
      </c>
      <c r="AV1196" t="s">
        <v>60</v>
      </c>
      <c r="AW1196">
        <v>0</v>
      </c>
      <c r="AX1196">
        <v>4</v>
      </c>
      <c r="AY1196">
        <v>0</v>
      </c>
      <c r="AZ1196">
        <v>0</v>
      </c>
      <c r="BA1196">
        <v>100</v>
      </c>
      <c r="BB1196">
        <v>100</v>
      </c>
      <c r="BC1196">
        <v>100</v>
      </c>
      <c r="BD1196">
        <v>100</v>
      </c>
      <c r="BE1196">
        <v>1</v>
      </c>
      <c r="BF1196">
        <v>15000</v>
      </c>
      <c r="BG1196">
        <v>1000</v>
      </c>
      <c r="BH1196" s="6">
        <f>Grandview_Inventory[[#This Row],[land_extract]]*Lookups!$B$3</f>
        <v>48369.510983942157</v>
      </c>
      <c r="BI1196" s="6">
        <f>IF(Grandview_Inventory[[#This Row],[bldg_style]]="",0,Lookups!$B$2)</f>
        <v>155833.95000000001</v>
      </c>
      <c r="BJ1196" s="6">
        <f>_xlfn.IFNA(VLOOKUP(Grandview_Inventory[[#This Row],[quality]],Lookups!$H$2:$J$14,3,FALSE),0)</f>
        <v>2251</v>
      </c>
      <c r="BK1196" s="6">
        <f>_xlfn.IFNA(VLOOKUP(Grandview_Inventory[[#This Row],[condition]],Lookups!$H$17:$J$24,3,FALSE),0)</f>
        <v>-45357</v>
      </c>
      <c r="BL1196" s="6">
        <f>Grandview_Inventory[[#This Row],[Eff_Age]]*Lookups!$B$14</f>
        <v>-11719.163399999999</v>
      </c>
      <c r="BM1196" s="6">
        <f>Grandview_Inventory[[#This Row],[living_area]]*Lookups!$B$15</f>
        <v>64564.182854999999</v>
      </c>
      <c r="BN1196" s="6">
        <f>Grandview_Inventory[[#This Row],[Fin BSMT]]*Lookups!$B$16</f>
        <v>-4633.9700400000002</v>
      </c>
      <c r="BO1196" s="6">
        <f>(Grandview_Inventory[[#This Row],[att_gar]]+Grandview_Inventory[[#This Row],[bltin_gar]])*Lookups!$B$17</f>
        <v>23455.477116000002</v>
      </c>
      <c r="BP1196" s="6">
        <f>Grandview_Inventory[[#This Row],[Plumbing Fixtures]]*Lookups!$B$18</f>
        <v>10052.209000000001</v>
      </c>
      <c r="BQ1196" s="6">
        <f>Grandview_Inventory[[#This Row],[detatched_value]]*Lookups!$B$19</f>
        <v>0</v>
      </c>
      <c r="BR1196" s="6">
        <f>SUM(Grandview_Inventory[[#This Row],[Intercept]:[det_value]])*Grandview_Inventory[[#This Row],[res_pct]]</f>
        <v>194446.68553100002</v>
      </c>
      <c r="BS1196" s="6">
        <f>Grandview_Inventory[[#This Row],[land_value]]</f>
        <v>48369.510983942157</v>
      </c>
      <c r="BT1196" s="4">
        <f>_xlfn.IFNA(VLOOKUP(Grandview_Inventory[[#This Row],[quality]],Lookups!$A$26:$C$33,3,FALSE),1)</f>
        <v>0.98763855981004833</v>
      </c>
      <c r="BU1196" s="4">
        <f>_xlfn.IFNA(VLOOKUP(Grandview_Inventory[[#This Row],[condition]],Lookups!$A$37:$C$44,3,FALSE),1)</f>
        <v>0.97161819570155394</v>
      </c>
      <c r="BV1196" s="4">
        <f>IF(Grandview_Inventory[[#This Row],[bldg_style]]="",1,_xlfn.IFNA(VLOOKUP(Grandview_Inventory[[#This Row],[decade]],Lookups!$F$29:$H$43,3,FALSE),1))</f>
        <v>0.99472141305414818</v>
      </c>
      <c r="BW1196" s="4">
        <f>_xlfn.IFNA(VLOOKUP(Grandview_Inventory[[#This Row],[living_area_range]],Lookups!$F$47:$H$56,3,FALSE),1)</f>
        <v>0.96135087979789358</v>
      </c>
      <c r="BX1196" s="4">
        <f>AVERAGE(Grandview_Inventory[[#This Row],[qual_adj]:[size_adj]])</f>
        <v>0.97883226209091101</v>
      </c>
      <c r="BY1196" s="6">
        <f>IF(Grandview_Inventory[[#This Row],[pre_res]]&lt;0,0,Grandview_Inventory[[#This Row],[pre_res]]*Grandview_Inventory[[#This Row],[overall_adj]])</f>
        <v>190330.68905438876</v>
      </c>
      <c r="BZ1196" s="6">
        <f>(Grandview_Inventory[[#This Row],[sum_land]]-IF(Grandview_Inventory[[#This Row],[no_utilities]]=1,12000,0))/IF(Grandview_Inventory[[#This Row],[unbuildable]]=1,2,1)</f>
        <v>48369.510983942157</v>
      </c>
      <c r="CA119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196">
        <f>ROUND(Grandview_Inventory[[#This Row],[det_value]]*Lookups!$M$28,-2)</f>
        <v>0</v>
      </c>
      <c r="CC1196">
        <f>IF(ROUND(Grandview_Inventory[[#This Row],[adj_res]]*Lookups!$M$28,-2)&lt;Grandview_Inventory[[#This Row],[min_res]],Grandview_Inventory[[#This Row],[min_res]],ROUND(Grandview_Inventory[[#This Row],[adj_res]]*Lookups!$M$28,-2))</f>
        <v>180800</v>
      </c>
      <c r="CD1196">
        <f>Grandview_Inventory[[#This Row],[final_det]]+Grandview_Inventory[[#This Row],[final_res]]</f>
        <v>180800</v>
      </c>
      <c r="CE1196">
        <f>Grandview_Inventory[[#This Row],[final_land]]+Grandview_Inventory[[#This Row],[final_imp]]+Grandview_Inventory[[#This Row],[crop_value]]</f>
        <v>226800</v>
      </c>
      <c r="CG1196" t="str">
        <f t="shared" si="18"/>
        <v>update valuation set market_land =46000, market_bldg=180800, market_total =226800, market_mdno =401, market_date ='9/10/2023' where link_id = (select link_id from parcel where parcel_year = '2024' and parcel_id = '23092244420');</v>
      </c>
    </row>
    <row r="1197" spans="1:85" x14ac:dyDescent="0.25">
      <c r="A1197">
        <v>23092244421</v>
      </c>
      <c r="B1197">
        <v>0.4</v>
      </c>
      <c r="C1197">
        <v>17550</v>
      </c>
      <c r="D1197" t="s">
        <v>129</v>
      </c>
      <c r="E1197" t="s">
        <v>53</v>
      </c>
      <c r="F1197" t="s">
        <v>53</v>
      </c>
      <c r="G1197">
        <v>4</v>
      </c>
      <c r="H1197" t="s">
        <v>54</v>
      </c>
      <c r="I1197">
        <v>200400</v>
      </c>
      <c r="J1197">
        <v>41600</v>
      </c>
      <c r="K1197">
        <v>0.4</v>
      </c>
      <c r="L1197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1197">
        <v>0</v>
      </c>
      <c r="N1197">
        <v>0</v>
      </c>
      <c r="O1197">
        <v>0</v>
      </c>
      <c r="P1197">
        <v>13398.7528</v>
      </c>
      <c r="Q1197">
        <v>63903</v>
      </c>
      <c r="R1197">
        <f>(Grandview_Inventory[[#This Row],[ln_acres]]*Grandview_Inventory[[#This Row],[coeff]])+Grandview_Inventory[[#This Row],[const]]</f>
        <v>51625.846990687118</v>
      </c>
      <c r="S1197" t="s">
        <v>68</v>
      </c>
      <c r="T1197">
        <v>1</v>
      </c>
      <c r="U1197" t="s">
        <v>65</v>
      </c>
      <c r="V1197" t="s">
        <v>69</v>
      </c>
      <c r="W1197">
        <v>0</v>
      </c>
      <c r="X1197">
        <v>0</v>
      </c>
      <c r="Y1197">
        <v>49</v>
      </c>
      <c r="Z1197">
        <v>68</v>
      </c>
      <c r="AA1197">
        <v>70</v>
      </c>
      <c r="AB1197">
        <v>3000</v>
      </c>
      <c r="AC1197">
        <v>2680</v>
      </c>
      <c r="AD1197">
        <v>1340</v>
      </c>
      <c r="AE1197">
        <v>0</v>
      </c>
      <c r="AF1197">
        <v>0</v>
      </c>
      <c r="AG1197">
        <v>1340</v>
      </c>
      <c r="AH1197">
        <v>0</v>
      </c>
      <c r="AI1197">
        <v>548</v>
      </c>
      <c r="AJ1197">
        <v>0</v>
      </c>
      <c r="AK1197">
        <v>0</v>
      </c>
      <c r="AL1197">
        <v>0</v>
      </c>
      <c r="AM1197">
        <v>192</v>
      </c>
      <c r="AN1197">
        <v>0</v>
      </c>
      <c r="AO1197">
        <v>192</v>
      </c>
      <c r="AP1197">
        <v>8</v>
      </c>
      <c r="AQ1197">
        <v>0</v>
      </c>
      <c r="AR1197">
        <v>0</v>
      </c>
      <c r="AS1197" t="s">
        <v>58</v>
      </c>
      <c r="AT1197">
        <v>1</v>
      </c>
      <c r="AU1197" t="s">
        <v>63</v>
      </c>
      <c r="AV1197" t="s">
        <v>64</v>
      </c>
      <c r="AW1197">
        <v>1</v>
      </c>
      <c r="AX1197">
        <v>4</v>
      </c>
      <c r="AY1197">
        <v>0</v>
      </c>
      <c r="AZ1197">
        <v>0</v>
      </c>
      <c r="BA1197">
        <v>100</v>
      </c>
      <c r="BB1197">
        <v>100</v>
      </c>
      <c r="BC1197">
        <v>100</v>
      </c>
      <c r="BD1197">
        <v>100</v>
      </c>
      <c r="BE1197">
        <v>1</v>
      </c>
      <c r="BF1197">
        <v>15000</v>
      </c>
      <c r="BG1197">
        <v>1000</v>
      </c>
      <c r="BH1197" s="6">
        <f>Grandview_Inventory[[#This Row],[land_extract]]*Lookups!$B$3</f>
        <v>59952.95672049807</v>
      </c>
      <c r="BI1197" s="6">
        <f>IF(Grandview_Inventory[[#This Row],[bldg_style]]="",0,Lookups!$B$2)</f>
        <v>155833.95000000001</v>
      </c>
      <c r="BJ1197" s="6">
        <f>_xlfn.IFNA(VLOOKUP(Grandview_Inventory[[#This Row],[quality]],Lookups!$H$2:$J$14,3,FALSE),0)</f>
        <v>2251</v>
      </c>
      <c r="BK1197" s="6">
        <f>_xlfn.IFNA(VLOOKUP(Grandview_Inventory[[#This Row],[condition]],Lookups!$H$17:$J$24,3,FALSE),0)</f>
        <v>-4503</v>
      </c>
      <c r="BL1197" s="6">
        <f>Grandview_Inventory[[#This Row],[Eff_Age]]*Lookups!$B$14</f>
        <v>-11719.163399999999</v>
      </c>
      <c r="BM1197" s="6">
        <f>Grandview_Inventory[[#This Row],[living_area]]*Lookups!$B$15</f>
        <v>167180.68604</v>
      </c>
      <c r="BN1197" s="6">
        <f>Grandview_Inventory[[#This Row],[Fin BSMT]]*Lookups!$B$16</f>
        <v>-36312.981599999999</v>
      </c>
      <c r="BO1197" s="6">
        <f>(Grandview_Inventory[[#This Row],[att_gar]]+Grandview_Inventory[[#This Row],[bltin_gar]])*Lookups!$B$17</f>
        <v>47961.199476000002</v>
      </c>
      <c r="BP1197" s="6">
        <f>Grandview_Inventory[[#This Row],[Plumbing Fixtures]]*Lookups!$B$18</f>
        <v>16083.5344</v>
      </c>
      <c r="BQ1197" s="6">
        <f>Grandview_Inventory[[#This Row],[detatched_value]]*Lookups!$B$19</f>
        <v>0</v>
      </c>
      <c r="BR1197" s="6">
        <f>SUM(Grandview_Inventory[[#This Row],[Intercept]:[det_value]])*Grandview_Inventory[[#This Row],[res_pct]]</f>
        <v>336775.22491600004</v>
      </c>
      <c r="BS1197" s="6">
        <f>Grandview_Inventory[[#This Row],[land_value]]</f>
        <v>59952.95672049807</v>
      </c>
      <c r="BT1197" s="4">
        <f>_xlfn.IFNA(VLOOKUP(Grandview_Inventory[[#This Row],[quality]],Lookups!$A$26:$C$33,3,FALSE),1)</f>
        <v>0.98763855981004833</v>
      </c>
      <c r="BU1197" s="4">
        <f>_xlfn.IFNA(VLOOKUP(Grandview_Inventory[[#This Row],[condition]],Lookups!$A$37:$C$44,3,FALSE),1)</f>
        <v>0.96469275950863709</v>
      </c>
      <c r="BV1197" s="4">
        <f>IF(Grandview_Inventory[[#This Row],[bldg_style]]="",1,_xlfn.IFNA(VLOOKUP(Grandview_Inventory[[#This Row],[decade]],Lookups!$F$29:$H$43,3,FALSE),1))</f>
        <v>0.99472141305414818</v>
      </c>
      <c r="BW1197" s="4">
        <f>_xlfn.IFNA(VLOOKUP(Grandview_Inventory[[#This Row],[living_area_range]],Lookups!$F$47:$H$56,3,FALSE),1)</f>
        <v>0.94224801443562123</v>
      </c>
      <c r="BX1197" s="4">
        <f>AVERAGE(Grandview_Inventory[[#This Row],[qual_adj]:[size_adj]])</f>
        <v>0.97232518670211376</v>
      </c>
      <c r="BY1197" s="6">
        <f>IF(Grandview_Inventory[[#This Row],[pre_res]]&lt;0,0,Grandview_Inventory[[#This Row],[pre_res]]*Grandview_Inventory[[#This Row],[overall_adj]])</f>
        <v>327455.03344309609</v>
      </c>
      <c r="BZ1197" s="6">
        <f>(Grandview_Inventory[[#This Row],[sum_land]]-IF(Grandview_Inventory[[#This Row],[no_utilities]]=1,12000,0))/IF(Grandview_Inventory[[#This Row],[unbuildable]]=1,2,1)</f>
        <v>59952.95672049807</v>
      </c>
      <c r="CA1197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1197">
        <f>ROUND(Grandview_Inventory[[#This Row],[det_value]]*Lookups!$M$28,-2)</f>
        <v>0</v>
      </c>
      <c r="CC1197">
        <f>IF(ROUND(Grandview_Inventory[[#This Row],[adj_res]]*Lookups!$M$28,-2)&lt;Grandview_Inventory[[#This Row],[min_res]],Grandview_Inventory[[#This Row],[min_res]],ROUND(Grandview_Inventory[[#This Row],[adj_res]]*Lookups!$M$28,-2))</f>
        <v>311100</v>
      </c>
      <c r="CD1197">
        <f>Grandview_Inventory[[#This Row],[final_det]]+Grandview_Inventory[[#This Row],[final_res]]</f>
        <v>311100</v>
      </c>
      <c r="CE1197">
        <f>Grandview_Inventory[[#This Row],[final_land]]+Grandview_Inventory[[#This Row],[final_imp]]+Grandview_Inventory[[#This Row],[crop_value]]</f>
        <v>368100</v>
      </c>
      <c r="CG1197" t="str">
        <f t="shared" si="18"/>
        <v>update valuation set market_land =57000, market_bldg=311100, market_total =368100, market_mdno =401, market_date ='9/10/2023' where link_id = (select link_id from parcel where parcel_year = '2024' and parcel_id = '23092244421');</v>
      </c>
    </row>
    <row r="1198" spans="1:85" x14ac:dyDescent="0.25">
      <c r="A1198">
        <v>23092244422</v>
      </c>
      <c r="B1198">
        <v>0.25</v>
      </c>
      <c r="C1198">
        <v>10761</v>
      </c>
      <c r="D1198" t="s">
        <v>129</v>
      </c>
      <c r="E1198" t="s">
        <v>53</v>
      </c>
      <c r="F1198" t="s">
        <v>53</v>
      </c>
      <c r="G1198">
        <v>4</v>
      </c>
      <c r="H1198" t="s">
        <v>54</v>
      </c>
      <c r="I1198">
        <v>193900</v>
      </c>
      <c r="J1198">
        <v>40500</v>
      </c>
      <c r="K1198">
        <v>0.25</v>
      </c>
      <c r="L119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198">
        <v>0</v>
      </c>
      <c r="N1198">
        <v>0</v>
      </c>
      <c r="O1198">
        <v>0</v>
      </c>
      <c r="P1198">
        <v>13398.7528</v>
      </c>
      <c r="Q1198">
        <v>63903</v>
      </c>
      <c r="R1198">
        <f>(Grandview_Inventory[[#This Row],[ln_acres]]*Grandview_Inventory[[#This Row],[coeff]])+Grandview_Inventory[[#This Row],[const]]</f>
        <v>45328.38454732066</v>
      </c>
      <c r="S1198" t="s">
        <v>68</v>
      </c>
      <c r="T1198">
        <v>1</v>
      </c>
      <c r="U1198" t="s">
        <v>65</v>
      </c>
      <c r="V1198" t="s">
        <v>69</v>
      </c>
      <c r="W1198">
        <v>0</v>
      </c>
      <c r="X1198">
        <v>0</v>
      </c>
      <c r="Y1198">
        <v>49</v>
      </c>
      <c r="Z1198">
        <v>65</v>
      </c>
      <c r="AA1198">
        <v>70</v>
      </c>
      <c r="AB1198">
        <v>2500</v>
      </c>
      <c r="AC1198">
        <v>2222</v>
      </c>
      <c r="AD1198">
        <v>2222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10</v>
      </c>
      <c r="AQ1198">
        <v>0</v>
      </c>
      <c r="AR1198">
        <v>0</v>
      </c>
      <c r="AS1198" t="s">
        <v>58</v>
      </c>
      <c r="AT1198">
        <v>1</v>
      </c>
      <c r="AU1198" t="s">
        <v>63</v>
      </c>
      <c r="AV1198" t="s">
        <v>64</v>
      </c>
      <c r="AW1198">
        <v>1</v>
      </c>
      <c r="AX1198">
        <v>3</v>
      </c>
      <c r="AY1198">
        <v>0</v>
      </c>
      <c r="AZ1198">
        <v>8100</v>
      </c>
      <c r="BA1198">
        <v>100</v>
      </c>
      <c r="BB1198">
        <v>100</v>
      </c>
      <c r="BC1198">
        <v>100</v>
      </c>
      <c r="BD1198">
        <v>100</v>
      </c>
      <c r="BE1198">
        <v>1</v>
      </c>
      <c r="BF1198">
        <v>15000</v>
      </c>
      <c r="BG1198">
        <v>1000</v>
      </c>
      <c r="BH1198" s="6">
        <f>Grandview_Inventory[[#This Row],[land_extract]]*Lookups!$B$3</f>
        <v>52639.730588165206</v>
      </c>
      <c r="BI1198" s="6">
        <f>IF(Grandview_Inventory[[#This Row],[bldg_style]]="",0,Lookups!$B$2)</f>
        <v>155833.95000000001</v>
      </c>
      <c r="BJ1198" s="6">
        <f>_xlfn.IFNA(VLOOKUP(Grandview_Inventory[[#This Row],[quality]],Lookups!$H$2:$J$14,3,FALSE),0)</f>
        <v>2251</v>
      </c>
      <c r="BK1198" s="6">
        <f>_xlfn.IFNA(VLOOKUP(Grandview_Inventory[[#This Row],[condition]],Lookups!$H$17:$J$24,3,FALSE),0)</f>
        <v>-4503</v>
      </c>
      <c r="BL1198" s="6">
        <f>Grandview_Inventory[[#This Row],[Eff_Age]]*Lookups!$B$14</f>
        <v>-11719.163399999999</v>
      </c>
      <c r="BM1198" s="6">
        <f>Grandview_Inventory[[#This Row],[living_area]]*Lookups!$B$15</f>
        <v>138610.255366</v>
      </c>
      <c r="BN1198" s="6">
        <f>Grandview_Inventory[[#This Row],[Fin BSMT]]*Lookups!$B$16</f>
        <v>0</v>
      </c>
      <c r="BO1198" s="6">
        <f>(Grandview_Inventory[[#This Row],[att_gar]]+Grandview_Inventory[[#This Row],[bltin_gar]])*Lookups!$B$17</f>
        <v>0</v>
      </c>
      <c r="BP1198" s="6">
        <f>Grandview_Inventory[[#This Row],[Plumbing Fixtures]]*Lookups!$B$18</f>
        <v>20104.418000000001</v>
      </c>
      <c r="BQ1198" s="6">
        <f>Grandview_Inventory[[#This Row],[detatched_value]]*Lookups!$B$19</f>
        <v>6859.1213099999995</v>
      </c>
      <c r="BR1198" s="6">
        <f>SUM(Grandview_Inventory[[#This Row],[Intercept]:[det_value]])*Grandview_Inventory[[#This Row],[res_pct]]</f>
        <v>307436.58127600001</v>
      </c>
      <c r="BS1198" s="6">
        <f>Grandview_Inventory[[#This Row],[land_value]]</f>
        <v>52639.730588165206</v>
      </c>
      <c r="BT1198" s="4">
        <f>_xlfn.IFNA(VLOOKUP(Grandview_Inventory[[#This Row],[quality]],Lookups!$A$26:$C$33,3,FALSE),1)</f>
        <v>0.98763855981004833</v>
      </c>
      <c r="BU1198" s="4">
        <f>_xlfn.IFNA(VLOOKUP(Grandview_Inventory[[#This Row],[condition]],Lookups!$A$37:$C$44,3,FALSE),1)</f>
        <v>0.96469275950863709</v>
      </c>
      <c r="BV1198" s="4">
        <f>IF(Grandview_Inventory[[#This Row],[bldg_style]]="",1,_xlfn.IFNA(VLOOKUP(Grandview_Inventory[[#This Row],[decade]],Lookups!$F$29:$H$43,3,FALSE),1))</f>
        <v>0.99472141305414818</v>
      </c>
      <c r="BW1198" s="4">
        <f>_xlfn.IFNA(VLOOKUP(Grandview_Inventory[[#This Row],[living_area_range]],Lookups!$F$47:$H$56,3,FALSE),1)</f>
        <v>0.95799442568048754</v>
      </c>
      <c r="BX1198" s="4">
        <f>AVERAGE(Grandview_Inventory[[#This Row],[qual_adj]:[size_adj]])</f>
        <v>0.97626178951333031</v>
      </c>
      <c r="BY1198" s="6">
        <f>IF(Grandview_Inventory[[#This Row],[pre_res]]&lt;0,0,Grandview_Inventory[[#This Row],[pre_res]]*Grandview_Inventory[[#This Row],[overall_adj]])</f>
        <v>300138.58699836821</v>
      </c>
      <c r="BZ1198" s="6">
        <f>(Grandview_Inventory[[#This Row],[sum_land]]-IF(Grandview_Inventory[[#This Row],[no_utilities]]=1,12000,0))/IF(Grandview_Inventory[[#This Row],[unbuildable]]=1,2,1)</f>
        <v>52639.730588165206</v>
      </c>
      <c r="CA119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198">
        <f>ROUND(Grandview_Inventory[[#This Row],[det_value]]*Lookups!$M$28,-2)</f>
        <v>6500</v>
      </c>
      <c r="CC1198">
        <f>IF(ROUND(Grandview_Inventory[[#This Row],[adj_res]]*Lookups!$M$28,-2)&lt;Grandview_Inventory[[#This Row],[min_res]],Grandview_Inventory[[#This Row],[min_res]],ROUND(Grandview_Inventory[[#This Row],[adj_res]]*Lookups!$M$28,-2))</f>
        <v>285100</v>
      </c>
      <c r="CD1198">
        <f>Grandview_Inventory[[#This Row],[final_det]]+Grandview_Inventory[[#This Row],[final_res]]</f>
        <v>291600</v>
      </c>
      <c r="CE1198">
        <f>Grandview_Inventory[[#This Row],[final_land]]+Grandview_Inventory[[#This Row],[final_imp]]+Grandview_Inventory[[#This Row],[crop_value]]</f>
        <v>341600</v>
      </c>
      <c r="CG1198" t="str">
        <f t="shared" si="18"/>
        <v>update valuation set market_land =50000, market_bldg=291600, market_total =341600, market_mdno =401, market_date ='9/10/2023' where link_id = (select link_id from parcel where parcel_year = '2024' and parcel_id = '23092244422');</v>
      </c>
    </row>
    <row r="1199" spans="1:85" x14ac:dyDescent="0.25">
      <c r="A1199">
        <v>23092244461</v>
      </c>
      <c r="B1199">
        <v>0.4</v>
      </c>
      <c r="C1199">
        <v>17566</v>
      </c>
      <c r="D1199" t="s">
        <v>129</v>
      </c>
      <c r="E1199" t="s">
        <v>53</v>
      </c>
      <c r="F1199" t="s">
        <v>53</v>
      </c>
      <c r="G1199">
        <v>4</v>
      </c>
      <c r="H1199" t="s">
        <v>54</v>
      </c>
      <c r="I1199">
        <v>162200</v>
      </c>
      <c r="J1199">
        <v>46300</v>
      </c>
      <c r="K1199">
        <v>0.4</v>
      </c>
      <c r="L1199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1199">
        <v>0</v>
      </c>
      <c r="N1199">
        <v>0</v>
      </c>
      <c r="O1199">
        <v>0</v>
      </c>
      <c r="P1199">
        <v>13398.7528</v>
      </c>
      <c r="Q1199">
        <v>63903</v>
      </c>
      <c r="R1199">
        <f>(Grandview_Inventory[[#This Row],[ln_acres]]*Grandview_Inventory[[#This Row],[coeff]])+Grandview_Inventory[[#This Row],[const]]</f>
        <v>51625.846990687118</v>
      </c>
      <c r="S1199" t="s">
        <v>68</v>
      </c>
      <c r="T1199">
        <v>1</v>
      </c>
      <c r="U1199" t="s">
        <v>65</v>
      </c>
      <c r="V1199" t="s">
        <v>69</v>
      </c>
      <c r="W1199">
        <v>0</v>
      </c>
      <c r="X1199">
        <v>0</v>
      </c>
      <c r="Y1199">
        <v>51</v>
      </c>
      <c r="Z1199">
        <v>78</v>
      </c>
      <c r="AA1199">
        <v>80</v>
      </c>
      <c r="AB1199">
        <v>2000</v>
      </c>
      <c r="AC1199">
        <v>1981</v>
      </c>
      <c r="AD1199">
        <v>1344</v>
      </c>
      <c r="AE1199">
        <v>0</v>
      </c>
      <c r="AF1199">
        <v>0</v>
      </c>
      <c r="AG1199">
        <v>637</v>
      </c>
      <c r="AH1199">
        <v>0</v>
      </c>
      <c r="AI1199">
        <v>0</v>
      </c>
      <c r="AJ1199">
        <v>0</v>
      </c>
      <c r="AK1199">
        <v>0</v>
      </c>
      <c r="AL1199">
        <v>408</v>
      </c>
      <c r="AM1199">
        <v>398</v>
      </c>
      <c r="AN1199">
        <v>0</v>
      </c>
      <c r="AO1199">
        <v>0</v>
      </c>
      <c r="AP1199">
        <v>8</v>
      </c>
      <c r="AQ1199">
        <v>0</v>
      </c>
      <c r="AR1199">
        <v>0</v>
      </c>
      <c r="AS1199" t="s">
        <v>58</v>
      </c>
      <c r="AT1199">
        <v>1</v>
      </c>
      <c r="AU1199" t="s">
        <v>63</v>
      </c>
      <c r="AV1199" t="s">
        <v>64</v>
      </c>
      <c r="AW1199">
        <v>1</v>
      </c>
      <c r="AX1199">
        <v>3</v>
      </c>
      <c r="AY1199">
        <v>0</v>
      </c>
      <c r="AZ1199">
        <v>8600</v>
      </c>
      <c r="BA1199">
        <v>100</v>
      </c>
      <c r="BB1199">
        <v>100</v>
      </c>
      <c r="BC1199">
        <v>100</v>
      </c>
      <c r="BD1199">
        <v>100</v>
      </c>
      <c r="BE1199">
        <v>1</v>
      </c>
      <c r="BF1199">
        <v>15000</v>
      </c>
      <c r="BG1199">
        <v>1000</v>
      </c>
      <c r="BH1199" s="6">
        <f>Grandview_Inventory[[#This Row],[land_extract]]*Lookups!$B$3</f>
        <v>59952.95672049807</v>
      </c>
      <c r="BI1199" s="6">
        <f>IF(Grandview_Inventory[[#This Row],[bldg_style]]="",0,Lookups!$B$2)</f>
        <v>155833.95000000001</v>
      </c>
      <c r="BJ1199" s="6">
        <f>_xlfn.IFNA(VLOOKUP(Grandview_Inventory[[#This Row],[quality]],Lookups!$H$2:$J$14,3,FALSE),0)</f>
        <v>2251</v>
      </c>
      <c r="BK1199" s="6">
        <f>_xlfn.IFNA(VLOOKUP(Grandview_Inventory[[#This Row],[condition]],Lookups!$H$17:$J$24,3,FALSE),0)</f>
        <v>-4503</v>
      </c>
      <c r="BL1199" s="6">
        <f>Grandview_Inventory[[#This Row],[Eff_Age]]*Lookups!$B$14</f>
        <v>-12197.496599999999</v>
      </c>
      <c r="BM1199" s="6">
        <f>Grandview_Inventory[[#This Row],[living_area]]*Lookups!$B$15</f>
        <v>123576.469793</v>
      </c>
      <c r="BN1199" s="6">
        <f>Grandview_Inventory[[#This Row],[Fin BSMT]]*Lookups!$B$16</f>
        <v>-17262.21588</v>
      </c>
      <c r="BO1199" s="6">
        <f>(Grandview_Inventory[[#This Row],[att_gar]]+Grandview_Inventory[[#This Row],[bltin_gar]])*Lookups!$B$17</f>
        <v>0</v>
      </c>
      <c r="BP1199" s="6">
        <f>Grandview_Inventory[[#This Row],[Plumbing Fixtures]]*Lookups!$B$18</f>
        <v>16083.5344</v>
      </c>
      <c r="BQ1199" s="6">
        <f>Grandview_Inventory[[#This Row],[detatched_value]]*Lookups!$B$19</f>
        <v>7282.5238600000002</v>
      </c>
      <c r="BR1199" s="6">
        <f>SUM(Grandview_Inventory[[#This Row],[Intercept]:[det_value]])*Grandview_Inventory[[#This Row],[res_pct]]</f>
        <v>271064.76557300001</v>
      </c>
      <c r="BS1199" s="6">
        <f>Grandview_Inventory[[#This Row],[land_value]]</f>
        <v>59952.95672049807</v>
      </c>
      <c r="BT1199" s="4">
        <f>_xlfn.IFNA(VLOOKUP(Grandview_Inventory[[#This Row],[quality]],Lookups!$A$26:$C$33,3,FALSE),1)</f>
        <v>0.98763855981004833</v>
      </c>
      <c r="BU1199" s="4">
        <f>_xlfn.IFNA(VLOOKUP(Grandview_Inventory[[#This Row],[condition]],Lookups!$A$37:$C$44,3,FALSE),1)</f>
        <v>0.96469275950863709</v>
      </c>
      <c r="BV1199" s="4">
        <f>IF(Grandview_Inventory[[#This Row],[bldg_style]]="",1,_xlfn.IFNA(VLOOKUP(Grandview_Inventory[[#This Row],[decade]],Lookups!$F$29:$H$43,3,FALSE),1))</f>
        <v>0.98763256963907298</v>
      </c>
      <c r="BW1199" s="4">
        <f>_xlfn.IFNA(VLOOKUP(Grandview_Inventory[[#This Row],[living_area_range]],Lookups!$F$47:$H$56,3,FALSE),1)</f>
        <v>0.96120133463014379</v>
      </c>
      <c r="BX1199" s="4">
        <f>AVERAGE(Grandview_Inventory[[#This Row],[qual_adj]:[size_adj]])</f>
        <v>0.97529130589697544</v>
      </c>
      <c r="BY1199" s="6">
        <f>IF(Grandview_Inventory[[#This Row],[pre_res]]&lt;0,0,Grandview_Inventory[[#This Row],[pre_res]]*Grandview_Inventory[[#This Row],[overall_adj]])</f>
        <v>264367.10919834871</v>
      </c>
      <c r="BZ1199" s="6">
        <f>(Grandview_Inventory[[#This Row],[sum_land]]-IF(Grandview_Inventory[[#This Row],[no_utilities]]=1,12000,0))/IF(Grandview_Inventory[[#This Row],[unbuildable]]=1,2,1)</f>
        <v>59952.95672049807</v>
      </c>
      <c r="CA1199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1199">
        <f>ROUND(Grandview_Inventory[[#This Row],[det_value]]*Lookups!$M$28,-2)</f>
        <v>6900</v>
      </c>
      <c r="CC1199">
        <f>IF(ROUND(Grandview_Inventory[[#This Row],[adj_res]]*Lookups!$M$28,-2)&lt;Grandview_Inventory[[#This Row],[min_res]],Grandview_Inventory[[#This Row],[min_res]],ROUND(Grandview_Inventory[[#This Row],[adj_res]]*Lookups!$M$28,-2))</f>
        <v>251100</v>
      </c>
      <c r="CD1199">
        <f>Grandview_Inventory[[#This Row],[final_det]]+Grandview_Inventory[[#This Row],[final_res]]</f>
        <v>258000</v>
      </c>
      <c r="CE1199">
        <f>Grandview_Inventory[[#This Row],[final_land]]+Grandview_Inventory[[#This Row],[final_imp]]+Grandview_Inventory[[#This Row],[crop_value]]</f>
        <v>315000</v>
      </c>
      <c r="CG1199" t="str">
        <f t="shared" si="18"/>
        <v>update valuation set market_land =57000, market_bldg=258000, market_total =315000, market_mdno =401, market_date ='9/10/2023' where link_id = (select link_id from parcel where parcel_year = '2024' and parcel_id = '23092244461');</v>
      </c>
    </row>
    <row r="1200" spans="1:85" x14ac:dyDescent="0.25">
      <c r="A1200">
        <v>23092244466</v>
      </c>
      <c r="B1200">
        <v>0.16</v>
      </c>
      <c r="C1200">
        <v>6994</v>
      </c>
      <c r="D1200" t="s">
        <v>129</v>
      </c>
      <c r="E1200" t="s">
        <v>53</v>
      </c>
      <c r="F1200" t="s">
        <v>53</v>
      </c>
      <c r="G1200">
        <v>4</v>
      </c>
      <c r="H1200" t="s">
        <v>54</v>
      </c>
      <c r="I1200">
        <v>31700</v>
      </c>
      <c r="J1200">
        <v>39100</v>
      </c>
      <c r="K1200">
        <v>0.16</v>
      </c>
      <c r="L120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00">
        <v>0</v>
      </c>
      <c r="N1200">
        <v>0</v>
      </c>
      <c r="O1200">
        <v>0</v>
      </c>
      <c r="P1200">
        <v>13398.7528</v>
      </c>
      <c r="Q1200">
        <v>63903</v>
      </c>
      <c r="R1200">
        <f>(Grandview_Inventory[[#This Row],[ln_acres]]*Grandview_Inventory[[#This Row],[coeff]])+Grandview_Inventory[[#This Row],[const]]</f>
        <v>39348.693981374228</v>
      </c>
      <c r="S1200" t="s">
        <v>68</v>
      </c>
      <c r="T1200">
        <v>1</v>
      </c>
      <c r="U1200" t="s">
        <v>65</v>
      </c>
      <c r="V1200" t="s">
        <v>94</v>
      </c>
      <c r="W1200">
        <v>0</v>
      </c>
      <c r="X1200">
        <v>0</v>
      </c>
      <c r="Y1200">
        <v>52</v>
      </c>
      <c r="Z1200">
        <v>88</v>
      </c>
      <c r="AA1200">
        <v>90</v>
      </c>
      <c r="AB1200">
        <v>1000</v>
      </c>
      <c r="AC1200">
        <v>912</v>
      </c>
      <c r="AD1200">
        <v>912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5</v>
      </c>
      <c r="AQ1200">
        <v>0</v>
      </c>
      <c r="AR1200">
        <v>0</v>
      </c>
      <c r="AS1200" t="s">
        <v>58</v>
      </c>
      <c r="AT1200">
        <v>1</v>
      </c>
      <c r="AU1200" t="s">
        <v>63</v>
      </c>
      <c r="AV1200" t="s">
        <v>64</v>
      </c>
      <c r="AW1200">
        <v>0</v>
      </c>
      <c r="AX1200">
        <v>2</v>
      </c>
      <c r="AY1200">
        <v>0</v>
      </c>
      <c r="AZ1200">
        <v>0</v>
      </c>
      <c r="BA1200">
        <v>100</v>
      </c>
      <c r="BB1200">
        <v>100</v>
      </c>
      <c r="BC1200">
        <v>100</v>
      </c>
      <c r="BD1200">
        <v>100</v>
      </c>
      <c r="BE1200">
        <v>1</v>
      </c>
      <c r="BF1200">
        <v>15000</v>
      </c>
      <c r="BG1200">
        <v>1000</v>
      </c>
      <c r="BH1200" s="6">
        <f>Grandview_Inventory[[#This Row],[land_extract]]*Lookups!$B$3</f>
        <v>45695.532079096141</v>
      </c>
      <c r="BI1200" s="6">
        <f>IF(Grandview_Inventory[[#This Row],[bldg_style]]="",0,Lookups!$B$2)</f>
        <v>155833.95000000001</v>
      </c>
      <c r="BJ1200" s="6">
        <f>_xlfn.IFNA(VLOOKUP(Grandview_Inventory[[#This Row],[quality]],Lookups!$H$2:$J$14,3,FALSE),0)</f>
        <v>2251</v>
      </c>
      <c r="BK1200" s="6">
        <f>_xlfn.IFNA(VLOOKUP(Grandview_Inventory[[#This Row],[condition]],Lookups!$H$17:$J$24,3,FALSE),0)</f>
        <v>-77566.475205170951</v>
      </c>
      <c r="BL1200" s="6">
        <f>Grandview_Inventory[[#This Row],[Eff_Age]]*Lookups!$B$14</f>
        <v>-12436.663199999999</v>
      </c>
      <c r="BM1200" s="6">
        <f>Grandview_Inventory[[#This Row],[living_area]]*Lookups!$B$15</f>
        <v>56891.337936000004</v>
      </c>
      <c r="BN1200" s="6">
        <f>Grandview_Inventory[[#This Row],[Fin BSMT]]*Lookups!$B$16</f>
        <v>0</v>
      </c>
      <c r="BO1200" s="6">
        <f>(Grandview_Inventory[[#This Row],[att_gar]]+Grandview_Inventory[[#This Row],[bltin_gar]])*Lookups!$B$17</f>
        <v>0</v>
      </c>
      <c r="BP1200" s="6">
        <f>Grandview_Inventory[[#This Row],[Plumbing Fixtures]]*Lookups!$B$18</f>
        <v>10052.209000000001</v>
      </c>
      <c r="BQ1200" s="6">
        <f>Grandview_Inventory[[#This Row],[detatched_value]]*Lookups!$B$19</f>
        <v>0</v>
      </c>
      <c r="BR1200" s="6">
        <f>SUM(Grandview_Inventory[[#This Row],[Intercept]:[det_value]])*Grandview_Inventory[[#This Row],[res_pct]]</f>
        <v>135025.35853082908</v>
      </c>
      <c r="BS1200" s="6">
        <f>Grandview_Inventory[[#This Row],[land_value]]</f>
        <v>45695.532079096141</v>
      </c>
      <c r="BT1200" s="4">
        <f>_xlfn.IFNA(VLOOKUP(Grandview_Inventory[[#This Row],[quality]],Lookups!$A$26:$C$33,3,FALSE),1)</f>
        <v>0.98763855981004833</v>
      </c>
      <c r="BU1200" s="4">
        <f>_xlfn.IFNA(VLOOKUP(Grandview_Inventory[[#This Row],[condition]],Lookups!$A$37:$C$44,3,FALSE),1)</f>
        <v>0.97161819570155394</v>
      </c>
      <c r="BV1200" s="4">
        <f>IF(Grandview_Inventory[[#This Row],[bldg_style]]="",1,_xlfn.IFNA(VLOOKUP(Grandview_Inventory[[#This Row],[decade]],Lookups!$F$29:$H$43,3,FALSE),1))</f>
        <v>0.94161750052457416</v>
      </c>
      <c r="BW1200" s="4">
        <f>_xlfn.IFNA(VLOOKUP(Grandview_Inventory[[#This Row],[living_area_range]],Lookups!$F$47:$H$56,3,FALSE),1)</f>
        <v>0.94306777142782894</v>
      </c>
      <c r="BX1200" s="4">
        <f>AVERAGE(Grandview_Inventory[[#This Row],[qual_adj]:[size_adj]])</f>
        <v>0.96098550686600126</v>
      </c>
      <c r="BY1200" s="6">
        <f>IF(Grandview_Inventory[[#This Row],[pre_res]]&lt;0,0,Grandview_Inventory[[#This Row],[pre_res]]*Grandview_Inventory[[#This Row],[overall_adj]])</f>
        <v>129757.41260751233</v>
      </c>
      <c r="BZ1200" s="6">
        <f>(Grandview_Inventory[[#This Row],[sum_land]]-IF(Grandview_Inventory[[#This Row],[no_utilities]]=1,12000,0))/IF(Grandview_Inventory[[#This Row],[unbuildable]]=1,2,1)</f>
        <v>45695.532079096141</v>
      </c>
      <c r="CA120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00">
        <f>ROUND(Grandview_Inventory[[#This Row],[det_value]]*Lookups!$M$28,-2)</f>
        <v>0</v>
      </c>
      <c r="CC1200">
        <f>IF(ROUND(Grandview_Inventory[[#This Row],[adj_res]]*Lookups!$M$28,-2)&lt;Grandview_Inventory[[#This Row],[min_res]],Grandview_Inventory[[#This Row],[min_res]],ROUND(Grandview_Inventory[[#This Row],[adj_res]]*Lookups!$M$28,-2))</f>
        <v>123300</v>
      </c>
      <c r="CD1200">
        <f>Grandview_Inventory[[#This Row],[final_det]]+Grandview_Inventory[[#This Row],[final_res]]</f>
        <v>123300</v>
      </c>
      <c r="CE1200">
        <f>Grandview_Inventory[[#This Row],[final_land]]+Grandview_Inventory[[#This Row],[final_imp]]+Grandview_Inventory[[#This Row],[crop_value]]</f>
        <v>166700</v>
      </c>
      <c r="CG1200" t="str">
        <f t="shared" si="18"/>
        <v>update valuation set market_land =43400, market_bldg=123300, market_total =166700, market_mdno =401, market_date ='9/10/2023' where link_id = (select link_id from parcel where parcel_year = '2024' and parcel_id = '23092244466');</v>
      </c>
    </row>
    <row r="1201" spans="1:85" x14ac:dyDescent="0.25">
      <c r="A1201">
        <v>23092244468</v>
      </c>
      <c r="B1201">
        <v>0.17</v>
      </c>
      <c r="C1201">
        <v>7458</v>
      </c>
      <c r="D1201" t="s">
        <v>129</v>
      </c>
      <c r="E1201" t="s">
        <v>53</v>
      </c>
      <c r="F1201" t="s">
        <v>53</v>
      </c>
      <c r="G1201">
        <v>4</v>
      </c>
      <c r="H1201" t="s">
        <v>54</v>
      </c>
      <c r="I1201">
        <v>164900</v>
      </c>
      <c r="J1201">
        <v>43500</v>
      </c>
      <c r="K1201">
        <v>0.17</v>
      </c>
      <c r="L120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01">
        <v>0</v>
      </c>
      <c r="N1201">
        <v>0</v>
      </c>
      <c r="O1201">
        <v>0</v>
      </c>
      <c r="P1201">
        <v>13398.7528</v>
      </c>
      <c r="Q1201">
        <v>63903</v>
      </c>
      <c r="R1201">
        <f>(Grandview_Inventory[[#This Row],[ln_acres]]*Grandview_Inventory[[#This Row],[coeff]])+Grandview_Inventory[[#This Row],[const]]</f>
        <v>40160.988302686128</v>
      </c>
      <c r="S1201" t="s">
        <v>61</v>
      </c>
      <c r="T1201">
        <v>1</v>
      </c>
      <c r="U1201" t="s">
        <v>65</v>
      </c>
      <c r="V1201" t="s">
        <v>69</v>
      </c>
      <c r="W1201">
        <v>0</v>
      </c>
      <c r="X1201">
        <v>0</v>
      </c>
      <c r="Y1201">
        <v>25</v>
      </c>
      <c r="Z1201">
        <v>25</v>
      </c>
      <c r="AA1201">
        <v>30</v>
      </c>
      <c r="AB1201">
        <v>1500</v>
      </c>
      <c r="AC1201">
        <v>1368</v>
      </c>
      <c r="AD1201">
        <v>1368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240</v>
      </c>
      <c r="AM1201">
        <v>0</v>
      </c>
      <c r="AN1201">
        <v>176</v>
      </c>
      <c r="AO1201">
        <v>0</v>
      </c>
      <c r="AP1201">
        <v>8</v>
      </c>
      <c r="AQ1201">
        <v>0</v>
      </c>
      <c r="AR1201">
        <v>0</v>
      </c>
      <c r="AS1201" t="s">
        <v>58</v>
      </c>
      <c r="AT1201">
        <v>1</v>
      </c>
      <c r="AU1201" t="s">
        <v>63</v>
      </c>
      <c r="AV1201" t="s">
        <v>60</v>
      </c>
      <c r="AW1201">
        <v>1</v>
      </c>
      <c r="AX1201">
        <v>4</v>
      </c>
      <c r="AY1201">
        <v>0</v>
      </c>
      <c r="AZ1201">
        <v>0</v>
      </c>
      <c r="BA1201">
        <v>100</v>
      </c>
      <c r="BB1201">
        <v>100</v>
      </c>
      <c r="BC1201">
        <v>100</v>
      </c>
      <c r="BD1201">
        <v>100</v>
      </c>
      <c r="BE1201">
        <v>1</v>
      </c>
      <c r="BF1201">
        <v>15000</v>
      </c>
      <c r="BG1201">
        <v>1000</v>
      </c>
      <c r="BH1201" s="6">
        <f>Grandview_Inventory[[#This Row],[land_extract]]*Lookups!$B$3</f>
        <v>46638.847281240982</v>
      </c>
      <c r="BI1201" s="6">
        <f>IF(Grandview_Inventory[[#This Row],[bldg_style]]="",0,Lookups!$B$2)</f>
        <v>155833.95000000001</v>
      </c>
      <c r="BJ1201" s="6">
        <f>_xlfn.IFNA(VLOOKUP(Grandview_Inventory[[#This Row],[quality]],Lookups!$H$2:$J$14,3,FALSE),0)</f>
        <v>2251</v>
      </c>
      <c r="BK1201" s="6">
        <f>_xlfn.IFNA(VLOOKUP(Grandview_Inventory[[#This Row],[condition]],Lookups!$H$17:$J$24,3,FALSE),0)</f>
        <v>-4503</v>
      </c>
      <c r="BL1201" s="6">
        <f>Grandview_Inventory[[#This Row],[Eff_Age]]*Lookups!$B$14</f>
        <v>-5979.165</v>
      </c>
      <c r="BM1201" s="6">
        <f>Grandview_Inventory[[#This Row],[living_area]]*Lookups!$B$15</f>
        <v>85337.006904000009</v>
      </c>
      <c r="BN1201" s="6">
        <f>Grandview_Inventory[[#This Row],[Fin BSMT]]*Lookups!$B$16</f>
        <v>0</v>
      </c>
      <c r="BO1201" s="6">
        <f>(Grandview_Inventory[[#This Row],[att_gar]]+Grandview_Inventory[[#This Row],[bltin_gar]])*Lookups!$B$17</f>
        <v>0</v>
      </c>
      <c r="BP1201" s="6">
        <f>Grandview_Inventory[[#This Row],[Plumbing Fixtures]]*Lookups!$B$18</f>
        <v>16083.5344</v>
      </c>
      <c r="BQ1201" s="6">
        <f>Grandview_Inventory[[#This Row],[detatched_value]]*Lookups!$B$19</f>
        <v>0</v>
      </c>
      <c r="BR1201" s="6">
        <f>SUM(Grandview_Inventory[[#This Row],[Intercept]:[det_value]])*Grandview_Inventory[[#This Row],[res_pct]]</f>
        <v>249023.32630400002</v>
      </c>
      <c r="BS1201" s="6">
        <f>Grandview_Inventory[[#This Row],[land_value]]</f>
        <v>46638.847281240982</v>
      </c>
      <c r="BT1201" s="4">
        <f>_xlfn.IFNA(VLOOKUP(Grandview_Inventory[[#This Row],[quality]],Lookups!$A$26:$C$33,3,FALSE),1)</f>
        <v>0.98763855981004833</v>
      </c>
      <c r="BU1201" s="4">
        <f>_xlfn.IFNA(VLOOKUP(Grandview_Inventory[[#This Row],[condition]],Lookups!$A$37:$C$44,3,FALSE),1)</f>
        <v>0.96469275950863709</v>
      </c>
      <c r="BV1201" s="4">
        <f>IF(Grandview_Inventory[[#This Row],[bldg_style]]="",1,_xlfn.IFNA(VLOOKUP(Grandview_Inventory[[#This Row],[decade]],Lookups!$F$29:$H$43,3,FALSE),1))</f>
        <v>0.98397821291089549</v>
      </c>
      <c r="BW1201" s="4">
        <f>_xlfn.IFNA(VLOOKUP(Grandview_Inventory[[#This Row],[living_area_range]],Lookups!$F$47:$H$56,3,FALSE),1)</f>
        <v>0.96135087979789358</v>
      </c>
      <c r="BX1201" s="4">
        <f>AVERAGE(Grandview_Inventory[[#This Row],[qual_adj]:[size_adj]])</f>
        <v>0.97441510300686862</v>
      </c>
      <c r="BY1201" s="6">
        <f>IF(Grandview_Inventory[[#This Row],[pre_res]]&lt;0,0,Grandview_Inventory[[#This Row],[pre_res]]*Grandview_Inventory[[#This Row],[overall_adj]])</f>
        <v>242652.09015162522</v>
      </c>
      <c r="BZ1201" s="6">
        <f>(Grandview_Inventory[[#This Row],[sum_land]]-IF(Grandview_Inventory[[#This Row],[no_utilities]]=1,12000,0))/IF(Grandview_Inventory[[#This Row],[unbuildable]]=1,2,1)</f>
        <v>46638.847281240982</v>
      </c>
      <c r="CA120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01">
        <f>ROUND(Grandview_Inventory[[#This Row],[det_value]]*Lookups!$M$28,-2)</f>
        <v>0</v>
      </c>
      <c r="CC1201">
        <f>IF(ROUND(Grandview_Inventory[[#This Row],[adj_res]]*Lookups!$M$28,-2)&lt;Grandview_Inventory[[#This Row],[min_res]],Grandview_Inventory[[#This Row],[min_res]],ROUND(Grandview_Inventory[[#This Row],[adj_res]]*Lookups!$M$28,-2))</f>
        <v>230500</v>
      </c>
      <c r="CD1201">
        <f>Grandview_Inventory[[#This Row],[final_det]]+Grandview_Inventory[[#This Row],[final_res]]</f>
        <v>230500</v>
      </c>
      <c r="CE1201">
        <f>Grandview_Inventory[[#This Row],[final_land]]+Grandview_Inventory[[#This Row],[final_imp]]+Grandview_Inventory[[#This Row],[crop_value]]</f>
        <v>274800</v>
      </c>
      <c r="CG1201" t="str">
        <f t="shared" si="18"/>
        <v>update valuation set market_land =44300, market_bldg=230500, market_total =274800, market_mdno =401, market_date ='9/10/2023' where link_id = (select link_id from parcel where parcel_year = '2024' and parcel_id = '23092244468');</v>
      </c>
    </row>
    <row r="1202" spans="1:85" x14ac:dyDescent="0.25">
      <c r="A1202">
        <v>23092244469</v>
      </c>
      <c r="B1202">
        <v>0.22</v>
      </c>
      <c r="C1202">
        <v>9488</v>
      </c>
      <c r="D1202" t="s">
        <v>129</v>
      </c>
      <c r="E1202" t="s">
        <v>53</v>
      </c>
      <c r="F1202" t="s">
        <v>53</v>
      </c>
      <c r="G1202">
        <v>4</v>
      </c>
      <c r="H1202" t="s">
        <v>54</v>
      </c>
      <c r="I1202">
        <v>186000</v>
      </c>
      <c r="J1202">
        <v>44400</v>
      </c>
      <c r="K1202">
        <v>0.22</v>
      </c>
      <c r="L120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202">
        <v>0</v>
      </c>
      <c r="N1202">
        <v>0</v>
      </c>
      <c r="O1202">
        <v>0</v>
      </c>
      <c r="P1202">
        <v>13398.7528</v>
      </c>
      <c r="Q1202">
        <v>63903</v>
      </c>
      <c r="R1202">
        <f>(Grandview_Inventory[[#This Row],[ln_acres]]*Grandview_Inventory[[#This Row],[coeff]])+Grandview_Inventory[[#This Row],[const]]</f>
        <v>43615.576802869145</v>
      </c>
      <c r="S1202" t="s">
        <v>68</v>
      </c>
      <c r="T1202">
        <v>1</v>
      </c>
      <c r="U1202" t="s">
        <v>65</v>
      </c>
      <c r="V1202" t="s">
        <v>67</v>
      </c>
      <c r="W1202">
        <v>0</v>
      </c>
      <c r="X1202">
        <v>0</v>
      </c>
      <c r="Y1202">
        <v>49</v>
      </c>
      <c r="Z1202">
        <v>68</v>
      </c>
      <c r="AA1202">
        <v>70</v>
      </c>
      <c r="AB1202">
        <v>1500</v>
      </c>
      <c r="AC1202">
        <v>1386</v>
      </c>
      <c r="AD1202">
        <v>1386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120</v>
      </c>
      <c r="AN1202">
        <v>0</v>
      </c>
      <c r="AO1202">
        <v>40</v>
      </c>
      <c r="AP1202">
        <v>8</v>
      </c>
      <c r="AQ1202">
        <v>0</v>
      </c>
      <c r="AR1202">
        <v>0</v>
      </c>
      <c r="AS1202" t="s">
        <v>58</v>
      </c>
      <c r="AT1202">
        <v>1</v>
      </c>
      <c r="AU1202" t="s">
        <v>63</v>
      </c>
      <c r="AV1202" t="s">
        <v>60</v>
      </c>
      <c r="AW1202">
        <v>1</v>
      </c>
      <c r="AX1202">
        <v>4</v>
      </c>
      <c r="AY1202">
        <v>0</v>
      </c>
      <c r="AZ1202">
        <v>0</v>
      </c>
      <c r="BA1202">
        <v>100</v>
      </c>
      <c r="BB1202">
        <v>100</v>
      </c>
      <c r="BC1202">
        <v>100</v>
      </c>
      <c r="BD1202">
        <v>100</v>
      </c>
      <c r="BE1202">
        <v>1</v>
      </c>
      <c r="BF1202">
        <v>15000</v>
      </c>
      <c r="BG1202">
        <v>1000</v>
      </c>
      <c r="BH1202" s="6">
        <f>Grandview_Inventory[[#This Row],[land_extract]]*Lookups!$B$3</f>
        <v>50650.651579114572</v>
      </c>
      <c r="BI1202" s="6">
        <f>IF(Grandview_Inventory[[#This Row],[bldg_style]]="",0,Lookups!$B$2)</f>
        <v>155833.95000000001</v>
      </c>
      <c r="BJ1202" s="6">
        <f>_xlfn.IFNA(VLOOKUP(Grandview_Inventory[[#This Row],[quality]],Lookups!$H$2:$J$14,3,FALSE),0)</f>
        <v>2251</v>
      </c>
      <c r="BK1202" s="6">
        <f>_xlfn.IFNA(VLOOKUP(Grandview_Inventory[[#This Row],[condition]],Lookups!$H$17:$J$24,3,FALSE),0)</f>
        <v>22342</v>
      </c>
      <c r="BL1202" s="6">
        <f>Grandview_Inventory[[#This Row],[Eff_Age]]*Lookups!$B$14</f>
        <v>-11719.163399999999</v>
      </c>
      <c r="BM1202" s="6">
        <f>Grandview_Inventory[[#This Row],[living_area]]*Lookups!$B$15</f>
        <v>86459.862258000008</v>
      </c>
      <c r="BN1202" s="6">
        <f>Grandview_Inventory[[#This Row],[Fin BSMT]]*Lookups!$B$16</f>
        <v>0</v>
      </c>
      <c r="BO1202" s="6">
        <f>(Grandview_Inventory[[#This Row],[att_gar]]+Grandview_Inventory[[#This Row],[bltin_gar]])*Lookups!$B$17</f>
        <v>0</v>
      </c>
      <c r="BP1202" s="6">
        <f>Grandview_Inventory[[#This Row],[Plumbing Fixtures]]*Lookups!$B$18</f>
        <v>16083.5344</v>
      </c>
      <c r="BQ1202" s="6">
        <f>Grandview_Inventory[[#This Row],[detatched_value]]*Lookups!$B$19</f>
        <v>0</v>
      </c>
      <c r="BR1202" s="6">
        <f>SUM(Grandview_Inventory[[#This Row],[Intercept]:[det_value]])*Grandview_Inventory[[#This Row],[res_pct]]</f>
        <v>271251.183258</v>
      </c>
      <c r="BS1202" s="6">
        <f>Grandview_Inventory[[#This Row],[land_value]]</f>
        <v>50650.651579114572</v>
      </c>
      <c r="BT1202" s="4">
        <f>_xlfn.IFNA(VLOOKUP(Grandview_Inventory[[#This Row],[quality]],Lookups!$A$26:$C$33,3,FALSE),1)</f>
        <v>0.98763855981004833</v>
      </c>
      <c r="BU1202" s="4">
        <f>_xlfn.IFNA(VLOOKUP(Grandview_Inventory[[#This Row],[condition]],Lookups!$A$37:$C$44,3,FALSE),1)</f>
        <v>0.97383723671140243</v>
      </c>
      <c r="BV1202" s="4">
        <f>IF(Grandview_Inventory[[#This Row],[bldg_style]]="",1,_xlfn.IFNA(VLOOKUP(Grandview_Inventory[[#This Row],[decade]],Lookups!$F$29:$H$43,3,FALSE),1))</f>
        <v>0.99472141305414818</v>
      </c>
      <c r="BW1202" s="4">
        <f>_xlfn.IFNA(VLOOKUP(Grandview_Inventory[[#This Row],[living_area_range]],Lookups!$F$47:$H$56,3,FALSE),1)</f>
        <v>0.96135087979789358</v>
      </c>
      <c r="BX1202" s="4">
        <f>AVERAGE(Grandview_Inventory[[#This Row],[qual_adj]:[size_adj]])</f>
        <v>0.97938702234337316</v>
      </c>
      <c r="BY1202" s="6">
        <f>IF(Grandview_Inventory[[#This Row],[pre_res]]&lt;0,0,Grandview_Inventory[[#This Row],[pre_res]]*Grandview_Inventory[[#This Row],[overall_adj]])</f>
        <v>265659.88867816929</v>
      </c>
      <c r="BZ1202" s="6">
        <f>(Grandview_Inventory[[#This Row],[sum_land]]-IF(Grandview_Inventory[[#This Row],[no_utilities]]=1,12000,0))/IF(Grandview_Inventory[[#This Row],[unbuildable]]=1,2,1)</f>
        <v>50650.651579114572</v>
      </c>
      <c r="CA120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202">
        <f>ROUND(Grandview_Inventory[[#This Row],[det_value]]*Lookups!$M$28,-2)</f>
        <v>0</v>
      </c>
      <c r="CC1202">
        <f>IF(ROUND(Grandview_Inventory[[#This Row],[adj_res]]*Lookups!$M$28,-2)&lt;Grandview_Inventory[[#This Row],[min_res]],Grandview_Inventory[[#This Row],[min_res]],ROUND(Grandview_Inventory[[#This Row],[adj_res]]*Lookups!$M$28,-2))</f>
        <v>252400</v>
      </c>
      <c r="CD1202">
        <f>Grandview_Inventory[[#This Row],[final_det]]+Grandview_Inventory[[#This Row],[final_res]]</f>
        <v>252400</v>
      </c>
      <c r="CE1202">
        <f>Grandview_Inventory[[#This Row],[final_land]]+Grandview_Inventory[[#This Row],[final_imp]]+Grandview_Inventory[[#This Row],[crop_value]]</f>
        <v>300500</v>
      </c>
      <c r="CG1202" t="str">
        <f t="shared" si="18"/>
        <v>update valuation set market_land =48100, market_bldg=252400, market_total =300500, market_mdno =401, market_date ='9/10/2023' where link_id = (select link_id from parcel where parcel_year = '2024' and parcel_id = '23092244469');</v>
      </c>
    </row>
    <row r="1203" spans="1:85" x14ac:dyDescent="0.25">
      <c r="A1203">
        <v>23092311411</v>
      </c>
      <c r="B1203">
        <v>0.13</v>
      </c>
      <c r="C1203">
        <v>5750</v>
      </c>
      <c r="D1203" t="s">
        <v>129</v>
      </c>
      <c r="E1203" t="s">
        <v>53</v>
      </c>
      <c r="F1203" t="s">
        <v>53</v>
      </c>
      <c r="G1203">
        <v>4</v>
      </c>
      <c r="H1203" t="s">
        <v>54</v>
      </c>
      <c r="I1203">
        <v>109900</v>
      </c>
      <c r="J1203">
        <v>38600</v>
      </c>
      <c r="K1203">
        <v>0.13</v>
      </c>
      <c r="L1203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203">
        <v>0</v>
      </c>
      <c r="N1203">
        <v>0</v>
      </c>
      <c r="O1203">
        <v>0</v>
      </c>
      <c r="P1203">
        <v>13398.7528</v>
      </c>
      <c r="Q1203">
        <v>63903</v>
      </c>
      <c r="R1203">
        <f>(Grandview_Inventory[[#This Row],[ln_acres]]*Grandview_Inventory[[#This Row],[coeff]])+Grandview_Inventory[[#This Row],[const]]</f>
        <v>36566.585461161507</v>
      </c>
      <c r="S1203" t="s">
        <v>68</v>
      </c>
      <c r="T1203">
        <v>1</v>
      </c>
      <c r="U1203" t="s">
        <v>70</v>
      </c>
      <c r="V1203" t="s">
        <v>67</v>
      </c>
      <c r="W1203">
        <v>0</v>
      </c>
      <c r="X1203">
        <v>0</v>
      </c>
      <c r="Y1203">
        <v>55</v>
      </c>
      <c r="Z1203">
        <v>98</v>
      </c>
      <c r="AA1203">
        <v>100</v>
      </c>
      <c r="AB1203">
        <v>1000</v>
      </c>
      <c r="AC1203">
        <v>672</v>
      </c>
      <c r="AD1203">
        <v>672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336</v>
      </c>
      <c r="AP1203">
        <v>5</v>
      </c>
      <c r="AQ1203">
        <v>0</v>
      </c>
      <c r="AR1203">
        <v>0</v>
      </c>
      <c r="AS1203" t="s">
        <v>58</v>
      </c>
      <c r="AT1203">
        <v>1</v>
      </c>
      <c r="AU1203" t="s">
        <v>63</v>
      </c>
      <c r="AV1203" t="s">
        <v>64</v>
      </c>
      <c r="AW1203">
        <v>0</v>
      </c>
      <c r="AX1203">
        <v>2</v>
      </c>
      <c r="AY1203">
        <v>0</v>
      </c>
      <c r="AZ1203">
        <v>0</v>
      </c>
      <c r="BA1203">
        <v>100</v>
      </c>
      <c r="BB1203">
        <v>100</v>
      </c>
      <c r="BC1203">
        <v>100</v>
      </c>
      <c r="BD1203">
        <v>100</v>
      </c>
      <c r="BE1203">
        <v>1</v>
      </c>
      <c r="BF1203">
        <v>15000</v>
      </c>
      <c r="BG1203">
        <v>1000</v>
      </c>
      <c r="BH1203" s="6">
        <f>Grandview_Inventory[[#This Row],[land_extract]]*Lookups!$B$3</f>
        <v>42464.67696626611</v>
      </c>
      <c r="BI1203" s="6">
        <f>IF(Grandview_Inventory[[#This Row],[bldg_style]]="",0,Lookups!$B$2)</f>
        <v>155833.95000000001</v>
      </c>
      <c r="BJ1203" s="6">
        <f>_xlfn.IFNA(VLOOKUP(Grandview_Inventory[[#This Row],[quality]],Lookups!$H$2:$J$14,3,FALSE),0)</f>
        <v>10733</v>
      </c>
      <c r="BK1203" s="6">
        <f>_xlfn.IFNA(VLOOKUP(Grandview_Inventory[[#This Row],[condition]],Lookups!$H$17:$J$24,3,FALSE),0)</f>
        <v>22342</v>
      </c>
      <c r="BL1203" s="6">
        <f>Grandview_Inventory[[#This Row],[Eff_Age]]*Lookups!$B$14</f>
        <v>-13154.162999999999</v>
      </c>
      <c r="BM1203" s="6">
        <f>Grandview_Inventory[[#This Row],[living_area]]*Lookups!$B$15</f>
        <v>41919.933216000005</v>
      </c>
      <c r="BN1203" s="6">
        <f>Grandview_Inventory[[#This Row],[Fin BSMT]]*Lookups!$B$16</f>
        <v>0</v>
      </c>
      <c r="BO1203" s="6">
        <f>(Grandview_Inventory[[#This Row],[att_gar]]+Grandview_Inventory[[#This Row],[bltin_gar]])*Lookups!$B$17</f>
        <v>0</v>
      </c>
      <c r="BP1203" s="6">
        <f>Grandview_Inventory[[#This Row],[Plumbing Fixtures]]*Lookups!$B$18</f>
        <v>10052.209000000001</v>
      </c>
      <c r="BQ1203" s="6">
        <f>Grandview_Inventory[[#This Row],[detatched_value]]*Lookups!$B$19</f>
        <v>0</v>
      </c>
      <c r="BR1203" s="6">
        <f>SUM(Grandview_Inventory[[#This Row],[Intercept]:[det_value]])*Grandview_Inventory[[#This Row],[res_pct]]</f>
        <v>227726.92921600002</v>
      </c>
      <c r="BS1203" s="6">
        <f>Grandview_Inventory[[#This Row],[land_value]]</f>
        <v>42464.67696626611</v>
      </c>
      <c r="BT1203" s="4">
        <f>_xlfn.IFNA(VLOOKUP(Grandview_Inventory[[#This Row],[quality]],Lookups!$A$26:$C$33,3,FALSE),1)</f>
        <v>0.98079741117310582</v>
      </c>
      <c r="BU1203" s="4">
        <f>_xlfn.IFNA(VLOOKUP(Grandview_Inventory[[#This Row],[condition]],Lookups!$A$37:$C$44,3,FALSE),1)</f>
        <v>0.97383723671140243</v>
      </c>
      <c r="BV1203" s="4">
        <f>IF(Grandview_Inventory[[#This Row],[bldg_style]]="",1,_xlfn.IFNA(VLOOKUP(Grandview_Inventory[[#This Row],[decade]],Lookups!$F$29:$H$43,3,FALSE),1))</f>
        <v>0.95244691841736806</v>
      </c>
      <c r="BW1203" s="4">
        <f>_xlfn.IFNA(VLOOKUP(Grandview_Inventory[[#This Row],[living_area_range]],Lookups!$F$47:$H$56,3,FALSE),1)</f>
        <v>0.94306777142782894</v>
      </c>
      <c r="BX1203" s="4">
        <f>AVERAGE(Grandview_Inventory[[#This Row],[qual_adj]:[size_adj]])</f>
        <v>0.96253733443242628</v>
      </c>
      <c r="BY1203" s="6">
        <f>IF(Grandview_Inventory[[#This Row],[pre_res]]&lt;0,0,Grandview_Inventory[[#This Row],[pre_res]]*Grandview_Inventory[[#This Row],[overall_adj]])</f>
        <v>219195.67142605048</v>
      </c>
      <c r="BZ1203" s="6">
        <f>(Grandview_Inventory[[#This Row],[sum_land]]-IF(Grandview_Inventory[[#This Row],[no_utilities]]=1,12000,0))/IF(Grandview_Inventory[[#This Row],[unbuildable]]=1,2,1)</f>
        <v>42464.67696626611</v>
      </c>
      <c r="CA1203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203">
        <f>ROUND(Grandview_Inventory[[#This Row],[det_value]]*Lookups!$M$28,-2)</f>
        <v>0</v>
      </c>
      <c r="CC1203">
        <f>IF(ROUND(Grandview_Inventory[[#This Row],[adj_res]]*Lookups!$M$28,-2)&lt;Grandview_Inventory[[#This Row],[min_res]],Grandview_Inventory[[#This Row],[min_res]],ROUND(Grandview_Inventory[[#This Row],[adj_res]]*Lookups!$M$28,-2))</f>
        <v>208200</v>
      </c>
      <c r="CD1203">
        <f>Grandview_Inventory[[#This Row],[final_det]]+Grandview_Inventory[[#This Row],[final_res]]</f>
        <v>208200</v>
      </c>
      <c r="CE1203">
        <f>Grandview_Inventory[[#This Row],[final_land]]+Grandview_Inventory[[#This Row],[final_imp]]+Grandview_Inventory[[#This Row],[crop_value]]</f>
        <v>248500</v>
      </c>
      <c r="CG1203" t="str">
        <f t="shared" si="18"/>
        <v>update valuation set market_land =40300, market_bldg=208200, market_total =248500, market_mdno =401, market_date ='9/10/2023' where link_id = (select link_id from parcel where parcel_year = '2024' and parcel_id = '23092311411');</v>
      </c>
    </row>
    <row r="1204" spans="1:85" x14ac:dyDescent="0.25">
      <c r="A1204">
        <v>23092311412</v>
      </c>
      <c r="B1204">
        <v>0.2</v>
      </c>
      <c r="C1204">
        <v>8625</v>
      </c>
      <c r="D1204" t="s">
        <v>129</v>
      </c>
      <c r="E1204" t="s">
        <v>53</v>
      </c>
      <c r="F1204" t="s">
        <v>53</v>
      </c>
      <c r="G1204">
        <v>4</v>
      </c>
      <c r="H1204" t="s">
        <v>54</v>
      </c>
      <c r="I1204">
        <v>150100</v>
      </c>
      <c r="J1204">
        <v>39700</v>
      </c>
      <c r="K1204">
        <v>0.2</v>
      </c>
      <c r="L120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204">
        <v>0</v>
      </c>
      <c r="N1204">
        <v>0</v>
      </c>
      <c r="O1204">
        <v>0</v>
      </c>
      <c r="P1204">
        <v>13398.7528</v>
      </c>
      <c r="Q1204">
        <v>63903</v>
      </c>
      <c r="R1204">
        <f>(Grandview_Inventory[[#This Row],[ln_acres]]*Grandview_Inventory[[#This Row],[coeff]])+Grandview_Inventory[[#This Row],[const]]</f>
        <v>42338.539264347448</v>
      </c>
      <c r="S1204" t="s">
        <v>68</v>
      </c>
      <c r="T1204">
        <v>1</v>
      </c>
      <c r="U1204" t="s">
        <v>70</v>
      </c>
      <c r="V1204" t="s">
        <v>67</v>
      </c>
      <c r="W1204">
        <v>0</v>
      </c>
      <c r="X1204">
        <v>0</v>
      </c>
      <c r="Y1204">
        <v>52</v>
      </c>
      <c r="Z1204">
        <v>88</v>
      </c>
      <c r="AA1204">
        <v>90</v>
      </c>
      <c r="AB1204">
        <v>1000</v>
      </c>
      <c r="AC1204">
        <v>912</v>
      </c>
      <c r="AD1204">
        <v>912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168</v>
      </c>
      <c r="AP1204">
        <v>5</v>
      </c>
      <c r="AQ1204">
        <v>0</v>
      </c>
      <c r="AR1204">
        <v>0</v>
      </c>
      <c r="AS1204" t="s">
        <v>58</v>
      </c>
      <c r="AT1204">
        <v>1</v>
      </c>
      <c r="AU1204" t="s">
        <v>75</v>
      </c>
      <c r="AV1204" t="s">
        <v>60</v>
      </c>
      <c r="AW1204">
        <v>0</v>
      </c>
      <c r="AX1204">
        <v>3</v>
      </c>
      <c r="AY1204">
        <v>0</v>
      </c>
      <c r="AZ1204">
        <v>0</v>
      </c>
      <c r="BA1204">
        <v>100</v>
      </c>
      <c r="BB1204">
        <v>100</v>
      </c>
      <c r="BC1204">
        <v>100</v>
      </c>
      <c r="BD1204">
        <v>100</v>
      </c>
      <c r="BE1204">
        <v>1</v>
      </c>
      <c r="BF1204">
        <v>15000</v>
      </c>
      <c r="BG1204">
        <v>1000</v>
      </c>
      <c r="BH1204" s="6">
        <f>Grandview_Inventory[[#This Row],[land_extract]]*Lookups!$B$3</f>
        <v>49167.631333630678</v>
      </c>
      <c r="BI1204" s="6">
        <f>IF(Grandview_Inventory[[#This Row],[bldg_style]]="",0,Lookups!$B$2)</f>
        <v>155833.95000000001</v>
      </c>
      <c r="BJ1204" s="6">
        <f>_xlfn.IFNA(VLOOKUP(Grandview_Inventory[[#This Row],[quality]],Lookups!$H$2:$J$14,3,FALSE),0)</f>
        <v>10733</v>
      </c>
      <c r="BK1204" s="6">
        <f>_xlfn.IFNA(VLOOKUP(Grandview_Inventory[[#This Row],[condition]],Lookups!$H$17:$J$24,3,FALSE),0)</f>
        <v>22342</v>
      </c>
      <c r="BL1204" s="6">
        <f>Grandview_Inventory[[#This Row],[Eff_Age]]*Lookups!$B$14</f>
        <v>-12436.663199999999</v>
      </c>
      <c r="BM1204" s="6">
        <f>Grandview_Inventory[[#This Row],[living_area]]*Lookups!$B$15</f>
        <v>56891.337936000004</v>
      </c>
      <c r="BN1204" s="6">
        <f>Grandview_Inventory[[#This Row],[Fin BSMT]]*Lookups!$B$16</f>
        <v>0</v>
      </c>
      <c r="BO1204" s="6">
        <f>(Grandview_Inventory[[#This Row],[att_gar]]+Grandview_Inventory[[#This Row],[bltin_gar]])*Lookups!$B$17</f>
        <v>0</v>
      </c>
      <c r="BP1204" s="6">
        <f>Grandview_Inventory[[#This Row],[Plumbing Fixtures]]*Lookups!$B$18</f>
        <v>10052.209000000001</v>
      </c>
      <c r="BQ1204" s="6">
        <f>Grandview_Inventory[[#This Row],[detatched_value]]*Lookups!$B$19</f>
        <v>0</v>
      </c>
      <c r="BR1204" s="6">
        <f>SUM(Grandview_Inventory[[#This Row],[Intercept]:[det_value]])*Grandview_Inventory[[#This Row],[res_pct]]</f>
        <v>243415.833736</v>
      </c>
      <c r="BS1204" s="6">
        <f>Grandview_Inventory[[#This Row],[land_value]]</f>
        <v>49167.631333630678</v>
      </c>
      <c r="BT1204" s="4">
        <f>_xlfn.IFNA(VLOOKUP(Grandview_Inventory[[#This Row],[quality]],Lookups!$A$26:$C$33,3,FALSE),1)</f>
        <v>0.98079741117310582</v>
      </c>
      <c r="BU1204" s="4">
        <f>_xlfn.IFNA(VLOOKUP(Grandview_Inventory[[#This Row],[condition]],Lookups!$A$37:$C$44,3,FALSE),1)</f>
        <v>0.97383723671140243</v>
      </c>
      <c r="BV1204" s="4">
        <f>IF(Grandview_Inventory[[#This Row],[bldg_style]]="",1,_xlfn.IFNA(VLOOKUP(Grandview_Inventory[[#This Row],[decade]],Lookups!$F$29:$H$43,3,FALSE),1))</f>
        <v>0.94161750052457416</v>
      </c>
      <c r="BW1204" s="4">
        <f>_xlfn.IFNA(VLOOKUP(Grandview_Inventory[[#This Row],[living_area_range]],Lookups!$F$47:$H$56,3,FALSE),1)</f>
        <v>0.94306777142782894</v>
      </c>
      <c r="BX1204" s="4">
        <f>AVERAGE(Grandview_Inventory[[#This Row],[qual_adj]:[size_adj]])</f>
        <v>0.95982997995922781</v>
      </c>
      <c r="BY1204" s="6">
        <f>IF(Grandview_Inventory[[#This Row],[pre_res]]&lt;0,0,Grandview_Inventory[[#This Row],[pre_res]]*Grandview_Inventory[[#This Row],[overall_adj]])</f>
        <v>233637.81481658362</v>
      </c>
      <c r="BZ1204" s="6">
        <f>(Grandview_Inventory[[#This Row],[sum_land]]-IF(Grandview_Inventory[[#This Row],[no_utilities]]=1,12000,0))/IF(Grandview_Inventory[[#This Row],[unbuildable]]=1,2,1)</f>
        <v>49167.631333630678</v>
      </c>
      <c r="CA120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204">
        <f>ROUND(Grandview_Inventory[[#This Row],[det_value]]*Lookups!$M$28,-2)</f>
        <v>0</v>
      </c>
      <c r="CC1204">
        <f>IF(ROUND(Grandview_Inventory[[#This Row],[adj_res]]*Lookups!$M$28,-2)&lt;Grandview_Inventory[[#This Row],[min_res]],Grandview_Inventory[[#This Row],[min_res]],ROUND(Grandview_Inventory[[#This Row],[adj_res]]*Lookups!$M$28,-2))</f>
        <v>222000</v>
      </c>
      <c r="CD1204">
        <f>Grandview_Inventory[[#This Row],[final_det]]+Grandview_Inventory[[#This Row],[final_res]]</f>
        <v>222000</v>
      </c>
      <c r="CE1204">
        <f>Grandview_Inventory[[#This Row],[final_land]]+Grandview_Inventory[[#This Row],[final_imp]]+Grandview_Inventory[[#This Row],[crop_value]]</f>
        <v>268700</v>
      </c>
      <c r="CG1204" t="str">
        <f t="shared" si="18"/>
        <v>update valuation set market_land =46700, market_bldg=222000, market_total =268700, market_mdno =401, market_date ='9/10/2023' where link_id = (select link_id from parcel where parcel_year = '2024' and parcel_id = '23092311412');</v>
      </c>
    </row>
    <row r="1205" spans="1:85" x14ac:dyDescent="0.25">
      <c r="A1205">
        <v>23092311413</v>
      </c>
      <c r="B1205">
        <v>0.22</v>
      </c>
      <c r="C1205">
        <v>9545</v>
      </c>
      <c r="D1205" t="s">
        <v>129</v>
      </c>
      <c r="E1205" t="s">
        <v>53</v>
      </c>
      <c r="F1205" t="s">
        <v>53</v>
      </c>
      <c r="G1205">
        <v>4</v>
      </c>
      <c r="H1205" t="s">
        <v>54</v>
      </c>
      <c r="I1205">
        <v>111500</v>
      </c>
      <c r="J1205">
        <v>40000</v>
      </c>
      <c r="K1205">
        <v>0.22</v>
      </c>
      <c r="L120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205">
        <v>0</v>
      </c>
      <c r="N1205">
        <v>0</v>
      </c>
      <c r="O1205">
        <v>0</v>
      </c>
      <c r="P1205">
        <v>13398.7528</v>
      </c>
      <c r="Q1205">
        <v>63903</v>
      </c>
      <c r="R1205">
        <f>(Grandview_Inventory[[#This Row],[ln_acres]]*Grandview_Inventory[[#This Row],[coeff]])+Grandview_Inventory[[#This Row],[const]]</f>
        <v>43615.576802869145</v>
      </c>
      <c r="S1205" t="s">
        <v>68</v>
      </c>
      <c r="T1205">
        <v>1</v>
      </c>
      <c r="U1205" t="s">
        <v>70</v>
      </c>
      <c r="V1205" t="s">
        <v>69</v>
      </c>
      <c r="W1205">
        <v>0</v>
      </c>
      <c r="X1205">
        <v>0</v>
      </c>
      <c r="Y1205">
        <v>57</v>
      </c>
      <c r="Z1205">
        <v>103</v>
      </c>
      <c r="AA1205">
        <v>110</v>
      </c>
      <c r="AB1205">
        <v>1000</v>
      </c>
      <c r="AC1205">
        <v>970</v>
      </c>
      <c r="AD1205">
        <v>970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5</v>
      </c>
      <c r="AQ1205">
        <v>0</v>
      </c>
      <c r="AR1205">
        <v>0</v>
      </c>
      <c r="AS1205" t="s">
        <v>58</v>
      </c>
      <c r="AT1205">
        <v>1</v>
      </c>
      <c r="AU1205" t="s">
        <v>63</v>
      </c>
      <c r="AV1205" t="s">
        <v>64</v>
      </c>
      <c r="AW1205">
        <v>0</v>
      </c>
      <c r="AX1205">
        <v>2</v>
      </c>
      <c r="AY1205">
        <v>0</v>
      </c>
      <c r="AZ1205">
        <v>0</v>
      </c>
      <c r="BA1205">
        <v>100</v>
      </c>
      <c r="BB1205">
        <v>100</v>
      </c>
      <c r="BC1205">
        <v>100</v>
      </c>
      <c r="BD1205">
        <v>100</v>
      </c>
      <c r="BE1205">
        <v>1</v>
      </c>
      <c r="BF1205">
        <v>15000</v>
      </c>
      <c r="BG1205">
        <v>1000</v>
      </c>
      <c r="BH1205" s="6">
        <f>Grandview_Inventory[[#This Row],[land_extract]]*Lookups!$B$3</f>
        <v>50650.651579114572</v>
      </c>
      <c r="BI1205" s="6">
        <f>IF(Grandview_Inventory[[#This Row],[bldg_style]]="",0,Lookups!$B$2)</f>
        <v>155833.95000000001</v>
      </c>
      <c r="BJ1205" s="6">
        <f>_xlfn.IFNA(VLOOKUP(Grandview_Inventory[[#This Row],[quality]],Lookups!$H$2:$J$14,3,FALSE),0)</f>
        <v>10733</v>
      </c>
      <c r="BK1205" s="6">
        <f>_xlfn.IFNA(VLOOKUP(Grandview_Inventory[[#This Row],[condition]],Lookups!$H$17:$J$24,3,FALSE),0)</f>
        <v>-4503</v>
      </c>
      <c r="BL1205" s="6">
        <f>Grandview_Inventory[[#This Row],[Eff_Age]]*Lookups!$B$14</f>
        <v>-13632.4962</v>
      </c>
      <c r="BM1205" s="6">
        <f>Grandview_Inventory[[#This Row],[living_area]]*Lookups!$B$15</f>
        <v>60509.427410000004</v>
      </c>
      <c r="BN1205" s="6">
        <f>Grandview_Inventory[[#This Row],[Fin BSMT]]*Lookups!$B$16</f>
        <v>0</v>
      </c>
      <c r="BO1205" s="6">
        <f>(Grandview_Inventory[[#This Row],[att_gar]]+Grandview_Inventory[[#This Row],[bltin_gar]])*Lookups!$B$17</f>
        <v>0</v>
      </c>
      <c r="BP1205" s="6">
        <f>Grandview_Inventory[[#This Row],[Plumbing Fixtures]]*Lookups!$B$18</f>
        <v>10052.209000000001</v>
      </c>
      <c r="BQ1205" s="6">
        <f>Grandview_Inventory[[#This Row],[detatched_value]]*Lookups!$B$19</f>
        <v>0</v>
      </c>
      <c r="BR1205" s="6">
        <f>SUM(Grandview_Inventory[[#This Row],[Intercept]:[det_value]])*Grandview_Inventory[[#This Row],[res_pct]]</f>
        <v>218993.09021000002</v>
      </c>
      <c r="BS1205" s="6">
        <f>Grandview_Inventory[[#This Row],[land_value]]</f>
        <v>50650.651579114572</v>
      </c>
      <c r="BT1205" s="4">
        <f>_xlfn.IFNA(VLOOKUP(Grandview_Inventory[[#This Row],[quality]],Lookups!$A$26:$C$33,3,FALSE),1)</f>
        <v>0.98079741117310582</v>
      </c>
      <c r="BU1205" s="4">
        <f>_xlfn.IFNA(VLOOKUP(Grandview_Inventory[[#This Row],[condition]],Lookups!$A$37:$C$44,3,FALSE),1)</f>
        <v>0.96469275950863709</v>
      </c>
      <c r="BV1205" s="4">
        <f>IF(Grandview_Inventory[[#This Row],[bldg_style]]="",1,_xlfn.IFNA(VLOOKUP(Grandview_Inventory[[#This Row],[decade]],Lookups!$F$29:$H$43,3,FALSE),1))</f>
        <v>0.92255236374249616</v>
      </c>
      <c r="BW1205" s="4">
        <f>_xlfn.IFNA(VLOOKUP(Grandview_Inventory[[#This Row],[living_area_range]],Lookups!$F$47:$H$56,3,FALSE),1)</f>
        <v>0.94306777142782894</v>
      </c>
      <c r="BX1205" s="4">
        <f>AVERAGE(Grandview_Inventory[[#This Row],[qual_adj]:[size_adj]])</f>
        <v>0.95277757646301697</v>
      </c>
      <c r="BY1205" s="6">
        <f>IF(Grandview_Inventory[[#This Row],[pre_res]]&lt;0,0,Grandview_Inventory[[#This Row],[pre_res]]*Grandview_Inventory[[#This Row],[overall_adj]])</f>
        <v>208651.70575243066</v>
      </c>
      <c r="BZ1205" s="6">
        <f>(Grandview_Inventory[[#This Row],[sum_land]]-IF(Grandview_Inventory[[#This Row],[no_utilities]]=1,12000,0))/IF(Grandview_Inventory[[#This Row],[unbuildable]]=1,2,1)</f>
        <v>50650.651579114572</v>
      </c>
      <c r="CA120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205">
        <f>ROUND(Grandview_Inventory[[#This Row],[det_value]]*Lookups!$M$28,-2)</f>
        <v>0</v>
      </c>
      <c r="CC1205">
        <f>IF(ROUND(Grandview_Inventory[[#This Row],[adj_res]]*Lookups!$M$28,-2)&lt;Grandview_Inventory[[#This Row],[min_res]],Grandview_Inventory[[#This Row],[min_res]],ROUND(Grandview_Inventory[[#This Row],[adj_res]]*Lookups!$M$28,-2))</f>
        <v>198200</v>
      </c>
      <c r="CD1205">
        <f>Grandview_Inventory[[#This Row],[final_det]]+Grandview_Inventory[[#This Row],[final_res]]</f>
        <v>198200</v>
      </c>
      <c r="CE1205">
        <f>Grandview_Inventory[[#This Row],[final_land]]+Grandview_Inventory[[#This Row],[final_imp]]+Grandview_Inventory[[#This Row],[crop_value]]</f>
        <v>246300</v>
      </c>
      <c r="CG1205" t="str">
        <f t="shared" si="18"/>
        <v>update valuation set market_land =48100, market_bldg=198200, market_total =246300, market_mdno =401, market_date ='9/10/2023' where link_id = (select link_id from parcel where parcel_year = '2024' and parcel_id = '23092311413');</v>
      </c>
    </row>
    <row r="1206" spans="1:85" x14ac:dyDescent="0.25">
      <c r="A1206">
        <v>23092311414</v>
      </c>
      <c r="B1206">
        <v>0.13</v>
      </c>
      <c r="C1206">
        <v>5750</v>
      </c>
      <c r="D1206" t="s">
        <v>129</v>
      </c>
      <c r="E1206" t="s">
        <v>53</v>
      </c>
      <c r="F1206" t="s">
        <v>53</v>
      </c>
      <c r="G1206">
        <v>4</v>
      </c>
      <c r="H1206" t="s">
        <v>54</v>
      </c>
      <c r="I1206">
        <v>169400</v>
      </c>
      <c r="J1206">
        <v>38600</v>
      </c>
      <c r="K1206">
        <v>0.13</v>
      </c>
      <c r="L1206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206">
        <v>0</v>
      </c>
      <c r="N1206">
        <v>0</v>
      </c>
      <c r="O1206">
        <v>0</v>
      </c>
      <c r="P1206">
        <v>13398.7528</v>
      </c>
      <c r="Q1206">
        <v>63903</v>
      </c>
      <c r="R1206">
        <f>(Grandview_Inventory[[#This Row],[ln_acres]]*Grandview_Inventory[[#This Row],[coeff]])+Grandview_Inventory[[#This Row],[const]]</f>
        <v>36566.585461161507</v>
      </c>
      <c r="S1206" t="s">
        <v>68</v>
      </c>
      <c r="T1206">
        <v>1</v>
      </c>
      <c r="U1206" t="s">
        <v>70</v>
      </c>
      <c r="V1206" t="s">
        <v>67</v>
      </c>
      <c r="W1206">
        <v>0</v>
      </c>
      <c r="X1206">
        <v>0</v>
      </c>
      <c r="Y1206">
        <v>52</v>
      </c>
      <c r="Z1206">
        <v>88</v>
      </c>
      <c r="AA1206">
        <v>90</v>
      </c>
      <c r="AB1206">
        <v>1500</v>
      </c>
      <c r="AC1206">
        <v>1064</v>
      </c>
      <c r="AD1206">
        <v>1064</v>
      </c>
      <c r="AE1206">
        <v>0</v>
      </c>
      <c r="AF1206">
        <v>0</v>
      </c>
      <c r="AG1206">
        <v>0</v>
      </c>
      <c r="AH1206">
        <v>0</v>
      </c>
      <c r="AI1206">
        <v>320</v>
      </c>
      <c r="AJ1206">
        <v>0</v>
      </c>
      <c r="AK1206">
        <v>0</v>
      </c>
      <c r="AL1206">
        <v>0</v>
      </c>
      <c r="AM1206">
        <v>224</v>
      </c>
      <c r="AN1206">
        <v>0</v>
      </c>
      <c r="AO1206">
        <v>224</v>
      </c>
      <c r="AP1206">
        <v>5</v>
      </c>
      <c r="AQ1206">
        <v>0</v>
      </c>
      <c r="AR1206">
        <v>0</v>
      </c>
      <c r="AS1206" t="s">
        <v>58</v>
      </c>
      <c r="AT1206">
        <v>1</v>
      </c>
      <c r="AU1206" t="s">
        <v>63</v>
      </c>
      <c r="AV1206" t="s">
        <v>64</v>
      </c>
      <c r="AW1206">
        <v>0</v>
      </c>
      <c r="AX1206">
        <v>3</v>
      </c>
      <c r="AY1206">
        <v>0</v>
      </c>
      <c r="AZ1206">
        <v>0</v>
      </c>
      <c r="BA1206">
        <v>100</v>
      </c>
      <c r="BB1206">
        <v>100</v>
      </c>
      <c r="BC1206">
        <v>100</v>
      </c>
      <c r="BD1206">
        <v>100</v>
      </c>
      <c r="BE1206">
        <v>1</v>
      </c>
      <c r="BF1206">
        <v>15000</v>
      </c>
      <c r="BG1206">
        <v>1000</v>
      </c>
      <c r="BH1206" s="6">
        <f>Grandview_Inventory[[#This Row],[land_extract]]*Lookups!$B$3</f>
        <v>42464.67696626611</v>
      </c>
      <c r="BI1206" s="6">
        <f>IF(Grandview_Inventory[[#This Row],[bldg_style]]="",0,Lookups!$B$2)</f>
        <v>155833.95000000001</v>
      </c>
      <c r="BJ1206" s="6">
        <f>_xlfn.IFNA(VLOOKUP(Grandview_Inventory[[#This Row],[quality]],Lookups!$H$2:$J$14,3,FALSE),0)</f>
        <v>10733</v>
      </c>
      <c r="BK1206" s="6">
        <f>_xlfn.IFNA(VLOOKUP(Grandview_Inventory[[#This Row],[condition]],Lookups!$H$17:$J$24,3,FALSE),0)</f>
        <v>22342</v>
      </c>
      <c r="BL1206" s="6">
        <f>Grandview_Inventory[[#This Row],[Eff_Age]]*Lookups!$B$14</f>
        <v>-12436.663199999999</v>
      </c>
      <c r="BM1206" s="6">
        <f>Grandview_Inventory[[#This Row],[living_area]]*Lookups!$B$15</f>
        <v>66373.227591999996</v>
      </c>
      <c r="BN1206" s="6">
        <f>Grandview_Inventory[[#This Row],[Fin BSMT]]*Lookups!$B$16</f>
        <v>0</v>
      </c>
      <c r="BO1206" s="6">
        <f>(Grandview_Inventory[[#This Row],[att_gar]]+Grandview_Inventory[[#This Row],[bltin_gar]])*Lookups!$B$17</f>
        <v>28006.539840000001</v>
      </c>
      <c r="BP1206" s="6">
        <f>Grandview_Inventory[[#This Row],[Plumbing Fixtures]]*Lookups!$B$18</f>
        <v>10052.209000000001</v>
      </c>
      <c r="BQ1206" s="6">
        <f>Grandview_Inventory[[#This Row],[detatched_value]]*Lookups!$B$19</f>
        <v>0</v>
      </c>
      <c r="BR1206" s="6">
        <f>SUM(Grandview_Inventory[[#This Row],[Intercept]:[det_value]])*Grandview_Inventory[[#This Row],[res_pct]]</f>
        <v>280904.26323199994</v>
      </c>
      <c r="BS1206" s="6">
        <f>Grandview_Inventory[[#This Row],[land_value]]</f>
        <v>42464.67696626611</v>
      </c>
      <c r="BT1206" s="4">
        <f>_xlfn.IFNA(VLOOKUP(Grandview_Inventory[[#This Row],[quality]],Lookups!$A$26:$C$33,3,FALSE),1)</f>
        <v>0.98079741117310582</v>
      </c>
      <c r="BU1206" s="4">
        <f>_xlfn.IFNA(VLOOKUP(Grandview_Inventory[[#This Row],[condition]],Lookups!$A$37:$C$44,3,FALSE),1)</f>
        <v>0.97383723671140243</v>
      </c>
      <c r="BV1206" s="4">
        <f>IF(Grandview_Inventory[[#This Row],[bldg_style]]="",1,_xlfn.IFNA(VLOOKUP(Grandview_Inventory[[#This Row],[decade]],Lookups!$F$29:$H$43,3,FALSE),1))</f>
        <v>0.94161750052457416</v>
      </c>
      <c r="BW1206" s="4">
        <f>_xlfn.IFNA(VLOOKUP(Grandview_Inventory[[#This Row],[living_area_range]],Lookups!$F$47:$H$56,3,FALSE),1)</f>
        <v>0.96135087979789358</v>
      </c>
      <c r="BX1206" s="4">
        <f>AVERAGE(Grandview_Inventory[[#This Row],[qual_adj]:[size_adj]])</f>
        <v>0.964400757051744</v>
      </c>
      <c r="BY1206" s="6">
        <f>IF(Grandview_Inventory[[#This Row],[pre_res]]&lt;0,0,Grandview_Inventory[[#This Row],[pre_res]]*Grandview_Inventory[[#This Row],[overall_adj]])</f>
        <v>270904.28412000311</v>
      </c>
      <c r="BZ1206" s="6">
        <f>(Grandview_Inventory[[#This Row],[sum_land]]-IF(Grandview_Inventory[[#This Row],[no_utilities]]=1,12000,0))/IF(Grandview_Inventory[[#This Row],[unbuildable]]=1,2,1)</f>
        <v>42464.67696626611</v>
      </c>
      <c r="CA1206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206">
        <f>ROUND(Grandview_Inventory[[#This Row],[det_value]]*Lookups!$M$28,-2)</f>
        <v>0</v>
      </c>
      <c r="CC1206">
        <f>IF(ROUND(Grandview_Inventory[[#This Row],[adj_res]]*Lookups!$M$28,-2)&lt;Grandview_Inventory[[#This Row],[min_res]],Grandview_Inventory[[#This Row],[min_res]],ROUND(Grandview_Inventory[[#This Row],[adj_res]]*Lookups!$M$28,-2))</f>
        <v>257400</v>
      </c>
      <c r="CD1206">
        <f>Grandview_Inventory[[#This Row],[final_det]]+Grandview_Inventory[[#This Row],[final_res]]</f>
        <v>257400</v>
      </c>
      <c r="CE1206">
        <f>Grandview_Inventory[[#This Row],[final_land]]+Grandview_Inventory[[#This Row],[final_imp]]+Grandview_Inventory[[#This Row],[crop_value]]</f>
        <v>297700</v>
      </c>
      <c r="CG1206" t="str">
        <f t="shared" si="18"/>
        <v>update valuation set market_land =40300, market_bldg=257400, market_total =297700, market_mdno =401, market_date ='9/10/2023' where link_id = (select link_id from parcel where parcel_year = '2024' and parcel_id = '23092311414');</v>
      </c>
    </row>
    <row r="1207" spans="1:85" x14ac:dyDescent="0.25">
      <c r="A1207">
        <v>23092311418</v>
      </c>
      <c r="B1207">
        <v>0.16</v>
      </c>
      <c r="C1207">
        <v>7137</v>
      </c>
      <c r="D1207" t="s">
        <v>129</v>
      </c>
      <c r="E1207" t="s">
        <v>53</v>
      </c>
      <c r="F1207" t="s">
        <v>53</v>
      </c>
      <c r="G1207">
        <v>4</v>
      </c>
      <c r="H1207" t="s">
        <v>54</v>
      </c>
      <c r="I1207">
        <v>83500</v>
      </c>
      <c r="J1207">
        <v>39100</v>
      </c>
      <c r="K1207">
        <v>0.16</v>
      </c>
      <c r="L120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07">
        <v>0</v>
      </c>
      <c r="N1207">
        <v>0</v>
      </c>
      <c r="O1207">
        <v>0</v>
      </c>
      <c r="P1207">
        <v>13398.7528</v>
      </c>
      <c r="Q1207">
        <v>63903</v>
      </c>
      <c r="R1207">
        <f>(Grandview_Inventory[[#This Row],[ln_acres]]*Grandview_Inventory[[#This Row],[coeff]])+Grandview_Inventory[[#This Row],[const]]</f>
        <v>39348.693981374228</v>
      </c>
      <c r="S1207" t="s">
        <v>68</v>
      </c>
      <c r="T1207">
        <v>1</v>
      </c>
      <c r="U1207" t="s">
        <v>80</v>
      </c>
      <c r="V1207" t="s">
        <v>69</v>
      </c>
      <c r="W1207">
        <v>0</v>
      </c>
      <c r="X1207">
        <v>0</v>
      </c>
      <c r="Y1207">
        <v>55</v>
      </c>
      <c r="Z1207">
        <v>98</v>
      </c>
      <c r="AA1207">
        <v>100</v>
      </c>
      <c r="AB1207">
        <v>1000</v>
      </c>
      <c r="AC1207">
        <v>783</v>
      </c>
      <c r="AD1207">
        <v>783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5</v>
      </c>
      <c r="AQ1207">
        <v>0</v>
      </c>
      <c r="AR1207">
        <v>0</v>
      </c>
      <c r="AS1207" t="s">
        <v>58</v>
      </c>
      <c r="AT1207">
        <v>1</v>
      </c>
      <c r="AU1207" t="s">
        <v>63</v>
      </c>
      <c r="AV1207" t="s">
        <v>81</v>
      </c>
      <c r="AW1207">
        <v>0</v>
      </c>
      <c r="AX1207">
        <v>2</v>
      </c>
      <c r="AY1207">
        <v>0</v>
      </c>
      <c r="AZ1207">
        <v>0</v>
      </c>
      <c r="BA1207">
        <v>100</v>
      </c>
      <c r="BB1207">
        <v>100</v>
      </c>
      <c r="BC1207">
        <v>100</v>
      </c>
      <c r="BD1207">
        <v>100</v>
      </c>
      <c r="BE1207">
        <v>1</v>
      </c>
      <c r="BF1207">
        <v>15000</v>
      </c>
      <c r="BG1207">
        <v>1000</v>
      </c>
      <c r="BH1207" s="6">
        <f>Grandview_Inventory[[#This Row],[land_extract]]*Lookups!$B$3</f>
        <v>45695.532079096141</v>
      </c>
      <c r="BI1207" s="6">
        <f>IF(Grandview_Inventory[[#This Row],[bldg_style]]="",0,Lookups!$B$2)</f>
        <v>155833.95000000001</v>
      </c>
      <c r="BJ1207" s="6">
        <f>_xlfn.IFNA(VLOOKUP(Grandview_Inventory[[#This Row],[quality]],Lookups!$H$2:$J$14,3,FALSE),0)</f>
        <v>-28558</v>
      </c>
      <c r="BK1207" s="6">
        <f>_xlfn.IFNA(VLOOKUP(Grandview_Inventory[[#This Row],[condition]],Lookups!$H$17:$J$24,3,FALSE),0)</f>
        <v>-4503</v>
      </c>
      <c r="BL1207" s="6">
        <f>Grandview_Inventory[[#This Row],[Eff_Age]]*Lookups!$B$14</f>
        <v>-13154.162999999999</v>
      </c>
      <c r="BM1207" s="6">
        <f>Grandview_Inventory[[#This Row],[living_area]]*Lookups!$B$15</f>
        <v>48844.207899000001</v>
      </c>
      <c r="BN1207" s="6">
        <f>Grandview_Inventory[[#This Row],[Fin BSMT]]*Lookups!$B$16</f>
        <v>0</v>
      </c>
      <c r="BO1207" s="6">
        <f>(Grandview_Inventory[[#This Row],[att_gar]]+Grandview_Inventory[[#This Row],[bltin_gar]])*Lookups!$B$17</f>
        <v>0</v>
      </c>
      <c r="BP1207" s="6">
        <f>Grandview_Inventory[[#This Row],[Plumbing Fixtures]]*Lookups!$B$18</f>
        <v>10052.209000000001</v>
      </c>
      <c r="BQ1207" s="6">
        <f>Grandview_Inventory[[#This Row],[detatched_value]]*Lookups!$B$19</f>
        <v>0</v>
      </c>
      <c r="BR1207" s="6">
        <f>SUM(Grandview_Inventory[[#This Row],[Intercept]:[det_value]])*Grandview_Inventory[[#This Row],[res_pct]]</f>
        <v>168515.20389900001</v>
      </c>
      <c r="BS1207" s="6">
        <f>Grandview_Inventory[[#This Row],[land_value]]</f>
        <v>45695.532079096141</v>
      </c>
      <c r="BT1207" s="4">
        <f>_xlfn.IFNA(VLOOKUP(Grandview_Inventory[[#This Row],[quality]],Lookups!$A$26:$C$33,3,FALSE),1)</f>
        <v>0.9690360070159818</v>
      </c>
      <c r="BU1207" s="4">
        <f>_xlfn.IFNA(VLOOKUP(Grandview_Inventory[[#This Row],[condition]],Lookups!$A$37:$C$44,3,FALSE),1)</f>
        <v>0.96469275950863709</v>
      </c>
      <c r="BV1207" s="4">
        <f>IF(Grandview_Inventory[[#This Row],[bldg_style]]="",1,_xlfn.IFNA(VLOOKUP(Grandview_Inventory[[#This Row],[decade]],Lookups!$F$29:$H$43,3,FALSE),1))</f>
        <v>0.95244691841736806</v>
      </c>
      <c r="BW1207" s="4">
        <f>_xlfn.IFNA(VLOOKUP(Grandview_Inventory[[#This Row],[living_area_range]],Lookups!$F$47:$H$56,3,FALSE),1)</f>
        <v>0.94306777142782894</v>
      </c>
      <c r="BX1207" s="4">
        <f>AVERAGE(Grandview_Inventory[[#This Row],[qual_adj]:[size_adj]])</f>
        <v>0.95731086409245392</v>
      </c>
      <c r="BY1207" s="6">
        <f>IF(Grandview_Inventory[[#This Row],[pre_res]]&lt;0,0,Grandview_Inventory[[#This Row],[pre_res]]*Grandview_Inventory[[#This Row],[overall_adj]])</f>
        <v>161321.43545726777</v>
      </c>
      <c r="BZ1207" s="6">
        <f>(Grandview_Inventory[[#This Row],[sum_land]]-IF(Grandview_Inventory[[#This Row],[no_utilities]]=1,12000,0))/IF(Grandview_Inventory[[#This Row],[unbuildable]]=1,2,1)</f>
        <v>45695.532079096141</v>
      </c>
      <c r="CA120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07">
        <f>ROUND(Grandview_Inventory[[#This Row],[det_value]]*Lookups!$M$28,-2)</f>
        <v>0</v>
      </c>
      <c r="CC1207">
        <f>IF(ROUND(Grandview_Inventory[[#This Row],[adj_res]]*Lookups!$M$28,-2)&lt;Grandview_Inventory[[#This Row],[min_res]],Grandview_Inventory[[#This Row],[min_res]],ROUND(Grandview_Inventory[[#This Row],[adj_res]]*Lookups!$M$28,-2))</f>
        <v>153300</v>
      </c>
      <c r="CD1207">
        <f>Grandview_Inventory[[#This Row],[final_det]]+Grandview_Inventory[[#This Row],[final_res]]</f>
        <v>153300</v>
      </c>
      <c r="CE1207">
        <f>Grandview_Inventory[[#This Row],[final_land]]+Grandview_Inventory[[#This Row],[final_imp]]+Grandview_Inventory[[#This Row],[crop_value]]</f>
        <v>196700</v>
      </c>
      <c r="CG1207" t="str">
        <f t="shared" si="18"/>
        <v>update valuation set market_land =43400, market_bldg=153300, market_total =196700, market_mdno =401, market_date ='9/10/2023' where link_id = (select link_id from parcel where parcel_year = '2024' and parcel_id = '23092311418');</v>
      </c>
    </row>
    <row r="1208" spans="1:85" x14ac:dyDescent="0.25">
      <c r="A1208">
        <v>23092311426</v>
      </c>
      <c r="B1208">
        <v>0.18</v>
      </c>
      <c r="C1208">
        <v>7708</v>
      </c>
      <c r="D1208" t="s">
        <v>129</v>
      </c>
      <c r="E1208" t="s">
        <v>53</v>
      </c>
      <c r="F1208" t="s">
        <v>53</v>
      </c>
      <c r="G1208">
        <v>4</v>
      </c>
      <c r="H1208" t="s">
        <v>54</v>
      </c>
      <c r="I1208">
        <v>134700</v>
      </c>
      <c r="J1208">
        <v>39300</v>
      </c>
      <c r="K1208">
        <v>0.18</v>
      </c>
      <c r="L120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08">
        <v>0</v>
      </c>
      <c r="N1208">
        <v>0</v>
      </c>
      <c r="O1208">
        <v>0</v>
      </c>
      <c r="P1208">
        <v>13398.7528</v>
      </c>
      <c r="Q1208">
        <v>63903</v>
      </c>
      <c r="R1208">
        <f>(Grandview_Inventory[[#This Row],[ln_acres]]*Grandview_Inventory[[#This Row],[coeff]])+Grandview_Inventory[[#This Row],[const]]</f>
        <v>40926.839760167699</v>
      </c>
      <c r="S1208" t="s">
        <v>85</v>
      </c>
      <c r="T1208">
        <v>1</v>
      </c>
      <c r="U1208" t="s">
        <v>65</v>
      </c>
      <c r="V1208" t="s">
        <v>69</v>
      </c>
      <c r="W1208">
        <v>0</v>
      </c>
      <c r="X1208">
        <v>0</v>
      </c>
      <c r="Y1208">
        <v>42</v>
      </c>
      <c r="Z1208">
        <v>103</v>
      </c>
      <c r="AA1208">
        <v>110</v>
      </c>
      <c r="AB1208">
        <v>1500</v>
      </c>
      <c r="AC1208">
        <v>1456</v>
      </c>
      <c r="AD1208">
        <v>775</v>
      </c>
      <c r="AE1208">
        <v>0</v>
      </c>
      <c r="AF1208">
        <v>0</v>
      </c>
      <c r="AG1208">
        <v>681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30</v>
      </c>
      <c r="AN1208">
        <v>192</v>
      </c>
      <c r="AO1208">
        <v>0</v>
      </c>
      <c r="AP1208">
        <v>5</v>
      </c>
      <c r="AQ1208">
        <v>0</v>
      </c>
      <c r="AR1208">
        <v>1</v>
      </c>
      <c r="AS1208" t="s">
        <v>58</v>
      </c>
      <c r="AT1208">
        <v>1</v>
      </c>
      <c r="AU1208" t="s">
        <v>63</v>
      </c>
      <c r="AV1208" t="s">
        <v>64</v>
      </c>
      <c r="AW1208">
        <v>1</v>
      </c>
      <c r="AX1208">
        <v>2</v>
      </c>
      <c r="AY1208">
        <v>0</v>
      </c>
      <c r="AZ1208">
        <v>0</v>
      </c>
      <c r="BA1208">
        <v>100</v>
      </c>
      <c r="BB1208">
        <v>100</v>
      </c>
      <c r="BC1208">
        <v>100</v>
      </c>
      <c r="BD1208">
        <v>100</v>
      </c>
      <c r="BE1208">
        <v>1</v>
      </c>
      <c r="BF1208">
        <v>15000</v>
      </c>
      <c r="BG1208">
        <v>1000</v>
      </c>
      <c r="BH1208" s="6">
        <f>Grandview_Inventory[[#This Row],[land_extract]]*Lookups!$B$3</f>
        <v>47528.228511015397</v>
      </c>
      <c r="BI1208" s="6">
        <f>IF(Grandview_Inventory[[#This Row],[bldg_style]]="",0,Lookups!$B$2)</f>
        <v>155833.95000000001</v>
      </c>
      <c r="BJ1208" s="6">
        <f>_xlfn.IFNA(VLOOKUP(Grandview_Inventory[[#This Row],[quality]],Lookups!$H$2:$J$14,3,FALSE),0)</f>
        <v>2251</v>
      </c>
      <c r="BK1208" s="6">
        <f>_xlfn.IFNA(VLOOKUP(Grandview_Inventory[[#This Row],[condition]],Lookups!$H$17:$J$24,3,FALSE),0)</f>
        <v>-4503</v>
      </c>
      <c r="BL1208" s="6">
        <f>Grandview_Inventory[[#This Row],[Eff_Age]]*Lookups!$B$14</f>
        <v>-10044.9972</v>
      </c>
      <c r="BM1208" s="6">
        <f>Grandview_Inventory[[#This Row],[living_area]]*Lookups!$B$15</f>
        <v>90826.521968000001</v>
      </c>
      <c r="BN1208" s="6">
        <f>Grandview_Inventory[[#This Row],[Fin BSMT]]*Lookups!$B$16</f>
        <v>-18454.582440000002</v>
      </c>
      <c r="BO1208" s="6">
        <f>(Grandview_Inventory[[#This Row],[att_gar]]+Grandview_Inventory[[#This Row],[bltin_gar]])*Lookups!$B$17</f>
        <v>0</v>
      </c>
      <c r="BP1208" s="6">
        <f>Grandview_Inventory[[#This Row],[Plumbing Fixtures]]*Lookups!$B$18</f>
        <v>10052.209000000001</v>
      </c>
      <c r="BQ1208" s="6">
        <f>Grandview_Inventory[[#This Row],[detatched_value]]*Lookups!$B$19</f>
        <v>0</v>
      </c>
      <c r="BR1208" s="6">
        <f>SUM(Grandview_Inventory[[#This Row],[Intercept]:[det_value]])*Grandview_Inventory[[#This Row],[res_pct]]</f>
        <v>225961.10132800002</v>
      </c>
      <c r="BS1208" s="6">
        <f>Grandview_Inventory[[#This Row],[land_value]]</f>
        <v>47528.228511015397</v>
      </c>
      <c r="BT1208" s="4">
        <f>_xlfn.IFNA(VLOOKUP(Grandview_Inventory[[#This Row],[quality]],Lookups!$A$26:$C$33,3,FALSE),1)</f>
        <v>0.98763855981004833</v>
      </c>
      <c r="BU1208" s="4">
        <f>_xlfn.IFNA(VLOOKUP(Grandview_Inventory[[#This Row],[condition]],Lookups!$A$37:$C$44,3,FALSE),1)</f>
        <v>0.96469275950863709</v>
      </c>
      <c r="BV1208" s="4">
        <f>IF(Grandview_Inventory[[#This Row],[bldg_style]]="",1,_xlfn.IFNA(VLOOKUP(Grandview_Inventory[[#This Row],[decade]],Lookups!$F$29:$H$43,3,FALSE),1))</f>
        <v>0.92255236374249616</v>
      </c>
      <c r="BW1208" s="4">
        <f>_xlfn.IFNA(VLOOKUP(Grandview_Inventory[[#This Row],[living_area_range]],Lookups!$F$47:$H$56,3,FALSE),1)</f>
        <v>0.96135087979789358</v>
      </c>
      <c r="BX1208" s="4">
        <f>AVERAGE(Grandview_Inventory[[#This Row],[qual_adj]:[size_adj]])</f>
        <v>0.95905864071476876</v>
      </c>
      <c r="BY1208" s="6">
        <f>IF(Grandview_Inventory[[#This Row],[pre_res]]&lt;0,0,Grandview_Inventory[[#This Row],[pre_res]]*Grandview_Inventory[[#This Row],[overall_adj]])</f>
        <v>216709.94669404381</v>
      </c>
      <c r="BZ1208" s="6">
        <f>(Grandview_Inventory[[#This Row],[sum_land]]-IF(Grandview_Inventory[[#This Row],[no_utilities]]=1,12000,0))/IF(Grandview_Inventory[[#This Row],[unbuildable]]=1,2,1)</f>
        <v>47528.228511015397</v>
      </c>
      <c r="CA120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08">
        <f>ROUND(Grandview_Inventory[[#This Row],[det_value]]*Lookups!$M$28,-2)</f>
        <v>0</v>
      </c>
      <c r="CC1208">
        <f>IF(ROUND(Grandview_Inventory[[#This Row],[adj_res]]*Lookups!$M$28,-2)&lt;Grandview_Inventory[[#This Row],[min_res]],Grandview_Inventory[[#This Row],[min_res]],ROUND(Grandview_Inventory[[#This Row],[adj_res]]*Lookups!$M$28,-2))</f>
        <v>205900</v>
      </c>
      <c r="CD1208">
        <f>Grandview_Inventory[[#This Row],[final_det]]+Grandview_Inventory[[#This Row],[final_res]]</f>
        <v>205900</v>
      </c>
      <c r="CE1208">
        <f>Grandview_Inventory[[#This Row],[final_land]]+Grandview_Inventory[[#This Row],[final_imp]]+Grandview_Inventory[[#This Row],[crop_value]]</f>
        <v>251100</v>
      </c>
      <c r="CG1208" t="str">
        <f t="shared" si="18"/>
        <v>update valuation set market_land =45200, market_bldg=205900, market_total =251100, market_mdno =401, market_date ='9/10/2023' where link_id = (select link_id from parcel where parcel_year = '2024' and parcel_id = '23092311426');</v>
      </c>
    </row>
    <row r="1209" spans="1:85" x14ac:dyDescent="0.25">
      <c r="A1209">
        <v>23092311427</v>
      </c>
      <c r="B1209">
        <v>0.17</v>
      </c>
      <c r="C1209">
        <v>7294</v>
      </c>
      <c r="D1209" t="s">
        <v>129</v>
      </c>
      <c r="E1209" t="s">
        <v>53</v>
      </c>
      <c r="F1209" t="s">
        <v>53</v>
      </c>
      <c r="G1209">
        <v>4</v>
      </c>
      <c r="H1209" t="s">
        <v>54</v>
      </c>
      <c r="I1209">
        <v>175400</v>
      </c>
      <c r="J1209">
        <v>39100</v>
      </c>
      <c r="K1209">
        <v>0.17</v>
      </c>
      <c r="L120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09">
        <v>0</v>
      </c>
      <c r="N1209">
        <v>0</v>
      </c>
      <c r="O1209">
        <v>0</v>
      </c>
      <c r="P1209">
        <v>13398.7528</v>
      </c>
      <c r="Q1209">
        <v>63903</v>
      </c>
      <c r="R1209">
        <f>(Grandview_Inventory[[#This Row],[ln_acres]]*Grandview_Inventory[[#This Row],[coeff]])+Grandview_Inventory[[#This Row],[const]]</f>
        <v>40160.988302686128</v>
      </c>
      <c r="S1209" t="s">
        <v>85</v>
      </c>
      <c r="T1209">
        <v>1</v>
      </c>
      <c r="U1209" t="s">
        <v>65</v>
      </c>
      <c r="V1209" t="s">
        <v>69</v>
      </c>
      <c r="W1209">
        <v>0</v>
      </c>
      <c r="X1209">
        <v>0</v>
      </c>
      <c r="Y1209">
        <v>53</v>
      </c>
      <c r="Z1209">
        <v>93</v>
      </c>
      <c r="AA1209">
        <v>100</v>
      </c>
      <c r="AB1209">
        <v>2000</v>
      </c>
      <c r="AC1209">
        <v>1710</v>
      </c>
      <c r="AD1209">
        <v>1368</v>
      </c>
      <c r="AE1209">
        <v>0</v>
      </c>
      <c r="AF1209">
        <v>0</v>
      </c>
      <c r="AG1209">
        <v>342</v>
      </c>
      <c r="AH1209">
        <v>1026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112</v>
      </c>
      <c r="AO1209">
        <v>0</v>
      </c>
      <c r="AP1209">
        <v>8</v>
      </c>
      <c r="AQ1209">
        <v>1</v>
      </c>
      <c r="AR1209">
        <v>1</v>
      </c>
      <c r="AS1209" t="s">
        <v>58</v>
      </c>
      <c r="AT1209">
        <v>1</v>
      </c>
      <c r="AU1209" t="s">
        <v>63</v>
      </c>
      <c r="AV1209" t="s">
        <v>60</v>
      </c>
      <c r="AW1209">
        <v>0</v>
      </c>
      <c r="AX1209">
        <v>2</v>
      </c>
      <c r="AY1209">
        <v>0</v>
      </c>
      <c r="AZ1209">
        <v>9700</v>
      </c>
      <c r="BA1209">
        <v>100</v>
      </c>
      <c r="BB1209">
        <v>100</v>
      </c>
      <c r="BC1209">
        <v>100</v>
      </c>
      <c r="BD1209">
        <v>100</v>
      </c>
      <c r="BE1209">
        <v>1</v>
      </c>
      <c r="BF1209">
        <v>15000</v>
      </c>
      <c r="BG1209">
        <v>1000</v>
      </c>
      <c r="BH1209" s="6">
        <f>Grandview_Inventory[[#This Row],[land_extract]]*Lookups!$B$3</f>
        <v>46638.847281240982</v>
      </c>
      <c r="BI1209" s="6">
        <f>IF(Grandview_Inventory[[#This Row],[bldg_style]]="",0,Lookups!$B$2)</f>
        <v>155833.95000000001</v>
      </c>
      <c r="BJ1209" s="6">
        <f>_xlfn.IFNA(VLOOKUP(Grandview_Inventory[[#This Row],[quality]],Lookups!$H$2:$J$14,3,FALSE),0)</f>
        <v>2251</v>
      </c>
      <c r="BK1209" s="6">
        <f>_xlfn.IFNA(VLOOKUP(Grandview_Inventory[[#This Row],[condition]],Lookups!$H$17:$J$24,3,FALSE),0)</f>
        <v>-4503</v>
      </c>
      <c r="BL1209" s="6">
        <f>Grandview_Inventory[[#This Row],[Eff_Age]]*Lookups!$B$14</f>
        <v>-12675.8298</v>
      </c>
      <c r="BM1209" s="6">
        <f>Grandview_Inventory[[#This Row],[living_area]]*Lookups!$B$15</f>
        <v>106671.25863</v>
      </c>
      <c r="BN1209" s="6">
        <f>Grandview_Inventory[[#This Row],[Fin BSMT]]*Lookups!$B$16</f>
        <v>-9267.9400800000003</v>
      </c>
      <c r="BO1209" s="6">
        <f>(Grandview_Inventory[[#This Row],[att_gar]]+Grandview_Inventory[[#This Row],[bltin_gar]])*Lookups!$B$17</f>
        <v>0</v>
      </c>
      <c r="BP1209" s="6">
        <f>Grandview_Inventory[[#This Row],[Plumbing Fixtures]]*Lookups!$B$18</f>
        <v>16083.5344</v>
      </c>
      <c r="BQ1209" s="6">
        <f>Grandview_Inventory[[#This Row],[detatched_value]]*Lookups!$B$19</f>
        <v>8214.0094699999991</v>
      </c>
      <c r="BR1209" s="6">
        <f>SUM(Grandview_Inventory[[#This Row],[Intercept]:[det_value]])*Grandview_Inventory[[#This Row],[res_pct]]</f>
        <v>262606.98262000002</v>
      </c>
      <c r="BS1209" s="6">
        <f>Grandview_Inventory[[#This Row],[land_value]]</f>
        <v>46638.847281240982</v>
      </c>
      <c r="BT1209" s="4">
        <f>_xlfn.IFNA(VLOOKUP(Grandview_Inventory[[#This Row],[quality]],Lookups!$A$26:$C$33,3,FALSE),1)</f>
        <v>0.98763855981004833</v>
      </c>
      <c r="BU1209" s="4">
        <f>_xlfn.IFNA(VLOOKUP(Grandview_Inventory[[#This Row],[condition]],Lookups!$A$37:$C$44,3,FALSE),1)</f>
        <v>0.96469275950863709</v>
      </c>
      <c r="BV1209" s="4">
        <f>IF(Grandview_Inventory[[#This Row],[bldg_style]]="",1,_xlfn.IFNA(VLOOKUP(Grandview_Inventory[[#This Row],[decade]],Lookups!$F$29:$H$43,3,FALSE),1))</f>
        <v>0.95244691841736806</v>
      </c>
      <c r="BW1209" s="4">
        <f>_xlfn.IFNA(VLOOKUP(Grandview_Inventory[[#This Row],[living_area_range]],Lookups!$F$47:$H$56,3,FALSE),1)</f>
        <v>0.96120133463014379</v>
      </c>
      <c r="BX1209" s="4">
        <f>AVERAGE(Grandview_Inventory[[#This Row],[qual_adj]:[size_adj]])</f>
        <v>0.96649489309154935</v>
      </c>
      <c r="BY1209" s="6">
        <f>IF(Grandview_Inventory[[#This Row],[pre_res]]&lt;0,0,Grandview_Inventory[[#This Row],[pre_res]]*Grandview_Inventory[[#This Row],[overall_adj]])</f>
        <v>253808.30759241129</v>
      </c>
      <c r="BZ1209" s="6">
        <f>(Grandview_Inventory[[#This Row],[sum_land]]-IF(Grandview_Inventory[[#This Row],[no_utilities]]=1,12000,0))/IF(Grandview_Inventory[[#This Row],[unbuildable]]=1,2,1)</f>
        <v>46638.847281240982</v>
      </c>
      <c r="CA120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09">
        <f>ROUND(Grandview_Inventory[[#This Row],[det_value]]*Lookups!$M$28,-2)</f>
        <v>7800</v>
      </c>
      <c r="CC1209">
        <f>IF(ROUND(Grandview_Inventory[[#This Row],[adj_res]]*Lookups!$M$28,-2)&lt;Grandview_Inventory[[#This Row],[min_res]],Grandview_Inventory[[#This Row],[min_res]],ROUND(Grandview_Inventory[[#This Row],[adj_res]]*Lookups!$M$28,-2))</f>
        <v>241100</v>
      </c>
      <c r="CD1209">
        <f>Grandview_Inventory[[#This Row],[final_det]]+Grandview_Inventory[[#This Row],[final_res]]</f>
        <v>248900</v>
      </c>
      <c r="CE1209">
        <f>Grandview_Inventory[[#This Row],[final_land]]+Grandview_Inventory[[#This Row],[final_imp]]+Grandview_Inventory[[#This Row],[crop_value]]</f>
        <v>293200</v>
      </c>
      <c r="CG1209" t="str">
        <f t="shared" si="18"/>
        <v>update valuation set market_land =44300, market_bldg=248900, market_total =293200, market_mdno =401, market_date ='9/10/2023' where link_id = (select link_id from parcel where parcel_year = '2024' and parcel_id = '23092311427');</v>
      </c>
    </row>
    <row r="1210" spans="1:85" x14ac:dyDescent="0.25">
      <c r="A1210">
        <v>23092311428</v>
      </c>
      <c r="B1210">
        <v>0.17</v>
      </c>
      <c r="C1210">
        <v>7337</v>
      </c>
      <c r="D1210" t="s">
        <v>129</v>
      </c>
      <c r="E1210" t="s">
        <v>53</v>
      </c>
      <c r="F1210" t="s">
        <v>53</v>
      </c>
      <c r="G1210">
        <v>4</v>
      </c>
      <c r="H1210" t="s">
        <v>54</v>
      </c>
      <c r="I1210">
        <v>182000</v>
      </c>
      <c r="J1210">
        <v>39100</v>
      </c>
      <c r="K1210">
        <v>0.17</v>
      </c>
      <c r="L121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10">
        <v>0</v>
      </c>
      <c r="N1210">
        <v>0</v>
      </c>
      <c r="O1210">
        <v>0</v>
      </c>
      <c r="P1210">
        <v>13398.7528</v>
      </c>
      <c r="Q1210">
        <v>63903</v>
      </c>
      <c r="R1210">
        <f>(Grandview_Inventory[[#This Row],[ln_acres]]*Grandview_Inventory[[#This Row],[coeff]])+Grandview_Inventory[[#This Row],[const]]</f>
        <v>40160.988302686128</v>
      </c>
      <c r="S1210" t="s">
        <v>68</v>
      </c>
      <c r="T1210">
        <v>1</v>
      </c>
      <c r="U1210" t="s">
        <v>70</v>
      </c>
      <c r="V1210" t="s">
        <v>69</v>
      </c>
      <c r="W1210">
        <v>0</v>
      </c>
      <c r="X1210">
        <v>0</v>
      </c>
      <c r="Y1210">
        <v>57</v>
      </c>
      <c r="Z1210">
        <v>103</v>
      </c>
      <c r="AA1210">
        <v>110</v>
      </c>
      <c r="AB1210">
        <v>1500</v>
      </c>
      <c r="AC1210">
        <v>1476</v>
      </c>
      <c r="AD1210">
        <v>1476</v>
      </c>
      <c r="AE1210">
        <v>0</v>
      </c>
      <c r="AF1210">
        <v>0</v>
      </c>
      <c r="AG1210">
        <v>0</v>
      </c>
      <c r="AH1210">
        <v>369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98</v>
      </c>
      <c r="AO1210">
        <v>0</v>
      </c>
      <c r="AP1210">
        <v>5</v>
      </c>
      <c r="AQ1210">
        <v>0</v>
      </c>
      <c r="AR1210">
        <v>1</v>
      </c>
      <c r="AS1210" t="s">
        <v>58</v>
      </c>
      <c r="AT1210">
        <v>1</v>
      </c>
      <c r="AU1210" t="s">
        <v>63</v>
      </c>
      <c r="AV1210" t="s">
        <v>60</v>
      </c>
      <c r="AW1210">
        <v>0</v>
      </c>
      <c r="AX1210">
        <v>3</v>
      </c>
      <c r="AY1210">
        <v>0</v>
      </c>
      <c r="AZ1210">
        <v>25200</v>
      </c>
      <c r="BA1210">
        <v>100</v>
      </c>
      <c r="BB1210">
        <v>100</v>
      </c>
      <c r="BC1210">
        <v>100</v>
      </c>
      <c r="BD1210">
        <v>100</v>
      </c>
      <c r="BE1210">
        <v>1</v>
      </c>
      <c r="BF1210">
        <v>15000</v>
      </c>
      <c r="BG1210">
        <v>1000</v>
      </c>
      <c r="BH1210" s="6">
        <f>Grandview_Inventory[[#This Row],[land_extract]]*Lookups!$B$3</f>
        <v>46638.847281240982</v>
      </c>
      <c r="BI1210" s="6">
        <f>IF(Grandview_Inventory[[#This Row],[bldg_style]]="",0,Lookups!$B$2)</f>
        <v>155833.95000000001</v>
      </c>
      <c r="BJ1210" s="6">
        <f>_xlfn.IFNA(VLOOKUP(Grandview_Inventory[[#This Row],[quality]],Lookups!$H$2:$J$14,3,FALSE),0)</f>
        <v>10733</v>
      </c>
      <c r="BK1210" s="6">
        <f>_xlfn.IFNA(VLOOKUP(Grandview_Inventory[[#This Row],[condition]],Lookups!$H$17:$J$24,3,FALSE),0)</f>
        <v>-4503</v>
      </c>
      <c r="BL1210" s="6">
        <f>Grandview_Inventory[[#This Row],[Eff_Age]]*Lookups!$B$14</f>
        <v>-13632.4962</v>
      </c>
      <c r="BM1210" s="6">
        <f>Grandview_Inventory[[#This Row],[living_area]]*Lookups!$B$15</f>
        <v>92074.139028000005</v>
      </c>
      <c r="BN1210" s="6">
        <f>Grandview_Inventory[[#This Row],[Fin BSMT]]*Lookups!$B$16</f>
        <v>0</v>
      </c>
      <c r="BO1210" s="6">
        <f>(Grandview_Inventory[[#This Row],[att_gar]]+Grandview_Inventory[[#This Row],[bltin_gar]])*Lookups!$B$17</f>
        <v>0</v>
      </c>
      <c r="BP1210" s="6">
        <f>Grandview_Inventory[[#This Row],[Plumbing Fixtures]]*Lookups!$B$18</f>
        <v>10052.209000000001</v>
      </c>
      <c r="BQ1210" s="6">
        <f>Grandview_Inventory[[#This Row],[detatched_value]]*Lookups!$B$19</f>
        <v>21339.488519999999</v>
      </c>
      <c r="BR1210" s="6">
        <f>SUM(Grandview_Inventory[[#This Row],[Intercept]:[det_value]])*Grandview_Inventory[[#This Row],[res_pct]]</f>
        <v>271897.29034800001</v>
      </c>
      <c r="BS1210" s="6">
        <f>Grandview_Inventory[[#This Row],[land_value]]</f>
        <v>46638.847281240982</v>
      </c>
      <c r="BT1210" s="4">
        <f>_xlfn.IFNA(VLOOKUP(Grandview_Inventory[[#This Row],[quality]],Lookups!$A$26:$C$33,3,FALSE),1)</f>
        <v>0.98079741117310582</v>
      </c>
      <c r="BU1210" s="4">
        <f>_xlfn.IFNA(VLOOKUP(Grandview_Inventory[[#This Row],[condition]],Lookups!$A$37:$C$44,3,FALSE),1)</f>
        <v>0.96469275950863709</v>
      </c>
      <c r="BV1210" s="4">
        <f>IF(Grandview_Inventory[[#This Row],[bldg_style]]="",1,_xlfn.IFNA(VLOOKUP(Grandview_Inventory[[#This Row],[decade]],Lookups!$F$29:$H$43,3,FALSE),1))</f>
        <v>0.92255236374249616</v>
      </c>
      <c r="BW1210" s="4">
        <f>_xlfn.IFNA(VLOOKUP(Grandview_Inventory[[#This Row],[living_area_range]],Lookups!$F$47:$H$56,3,FALSE),1)</f>
        <v>0.96135087979789358</v>
      </c>
      <c r="BX1210" s="4">
        <f>AVERAGE(Grandview_Inventory[[#This Row],[qual_adj]:[size_adj]])</f>
        <v>0.95734835355553316</v>
      </c>
      <c r="BY1210" s="6">
        <f>IF(Grandview_Inventory[[#This Row],[pre_res]]&lt;0,0,Grandview_Inventory[[#This Row],[pre_res]]*Grandview_Inventory[[#This Row],[overall_adj]])</f>
        <v>260300.42325086857</v>
      </c>
      <c r="BZ1210" s="6">
        <f>(Grandview_Inventory[[#This Row],[sum_land]]-IF(Grandview_Inventory[[#This Row],[no_utilities]]=1,12000,0))/IF(Grandview_Inventory[[#This Row],[unbuildable]]=1,2,1)</f>
        <v>46638.847281240982</v>
      </c>
      <c r="CA121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10">
        <f>ROUND(Grandview_Inventory[[#This Row],[det_value]]*Lookups!$M$28,-2)</f>
        <v>20300</v>
      </c>
      <c r="CC1210">
        <f>IF(ROUND(Grandview_Inventory[[#This Row],[adj_res]]*Lookups!$M$28,-2)&lt;Grandview_Inventory[[#This Row],[min_res]],Grandview_Inventory[[#This Row],[min_res]],ROUND(Grandview_Inventory[[#This Row],[adj_res]]*Lookups!$M$28,-2))</f>
        <v>247300</v>
      </c>
      <c r="CD1210">
        <f>Grandview_Inventory[[#This Row],[final_det]]+Grandview_Inventory[[#This Row],[final_res]]</f>
        <v>267600</v>
      </c>
      <c r="CE1210">
        <f>Grandview_Inventory[[#This Row],[final_land]]+Grandview_Inventory[[#This Row],[final_imp]]+Grandview_Inventory[[#This Row],[crop_value]]</f>
        <v>311900</v>
      </c>
      <c r="CG1210" t="str">
        <f t="shared" si="18"/>
        <v>update valuation set market_land =44300, market_bldg=267600, market_total =311900, market_mdno =401, market_date ='9/10/2023' where link_id = (select link_id from parcel where parcel_year = '2024' and parcel_id = '23092311428');</v>
      </c>
    </row>
    <row r="1211" spans="1:85" x14ac:dyDescent="0.25">
      <c r="A1211">
        <v>23092311429</v>
      </c>
      <c r="B1211">
        <v>0.19</v>
      </c>
      <c r="C1211">
        <v>8229</v>
      </c>
      <c r="D1211" t="s">
        <v>129</v>
      </c>
      <c r="E1211" t="s">
        <v>53</v>
      </c>
      <c r="F1211" t="s">
        <v>53</v>
      </c>
      <c r="G1211">
        <v>4</v>
      </c>
      <c r="H1211" t="s">
        <v>54</v>
      </c>
      <c r="I1211">
        <v>161000</v>
      </c>
      <c r="J1211">
        <v>39500</v>
      </c>
      <c r="K1211">
        <v>0.19</v>
      </c>
      <c r="L121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211">
        <v>0</v>
      </c>
      <c r="N1211">
        <v>0</v>
      </c>
      <c r="O1211">
        <v>0</v>
      </c>
      <c r="P1211">
        <v>13398.7528</v>
      </c>
      <c r="Q1211">
        <v>63903</v>
      </c>
      <c r="R1211">
        <f>(Grandview_Inventory[[#This Row],[ln_acres]]*Grandview_Inventory[[#This Row],[coeff]])+Grandview_Inventory[[#This Row],[const]]</f>
        <v>41651.273092551026</v>
      </c>
      <c r="S1211" t="s">
        <v>85</v>
      </c>
      <c r="T1211">
        <v>1</v>
      </c>
      <c r="U1211" t="s">
        <v>65</v>
      </c>
      <c r="V1211" t="s">
        <v>69</v>
      </c>
      <c r="W1211">
        <v>0</v>
      </c>
      <c r="X1211">
        <v>0</v>
      </c>
      <c r="Y1211">
        <v>55</v>
      </c>
      <c r="Z1211">
        <v>98</v>
      </c>
      <c r="AA1211">
        <v>100</v>
      </c>
      <c r="AB1211">
        <v>1500</v>
      </c>
      <c r="AC1211">
        <v>1449</v>
      </c>
      <c r="AD1211">
        <v>1449</v>
      </c>
      <c r="AE1211">
        <v>0</v>
      </c>
      <c r="AF1211">
        <v>0</v>
      </c>
      <c r="AG1211">
        <v>0</v>
      </c>
      <c r="AH1211">
        <v>1449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96</v>
      </c>
      <c r="AO1211">
        <v>0</v>
      </c>
      <c r="AP1211">
        <v>5</v>
      </c>
      <c r="AQ1211">
        <v>0</v>
      </c>
      <c r="AR1211">
        <v>0</v>
      </c>
      <c r="AS1211" t="s">
        <v>58</v>
      </c>
      <c r="AT1211">
        <v>1</v>
      </c>
      <c r="AU1211" t="s">
        <v>63</v>
      </c>
      <c r="AV1211" t="s">
        <v>60</v>
      </c>
      <c r="AW1211">
        <v>1</v>
      </c>
      <c r="AX1211">
        <v>3</v>
      </c>
      <c r="AY1211">
        <v>0</v>
      </c>
      <c r="AZ1211">
        <v>11200</v>
      </c>
      <c r="BA1211">
        <v>100</v>
      </c>
      <c r="BB1211">
        <v>100</v>
      </c>
      <c r="BC1211">
        <v>100</v>
      </c>
      <c r="BD1211">
        <v>100</v>
      </c>
      <c r="BE1211">
        <v>1</v>
      </c>
      <c r="BF1211">
        <v>15000</v>
      </c>
      <c r="BG1211">
        <v>1000</v>
      </c>
      <c r="BH1211" s="6">
        <f>Grandview_Inventory[[#This Row],[land_extract]]*Lookups!$B$3</f>
        <v>48369.510983942157</v>
      </c>
      <c r="BI1211" s="6">
        <f>IF(Grandview_Inventory[[#This Row],[bldg_style]]="",0,Lookups!$B$2)</f>
        <v>155833.95000000001</v>
      </c>
      <c r="BJ1211" s="6">
        <f>_xlfn.IFNA(VLOOKUP(Grandview_Inventory[[#This Row],[quality]],Lookups!$H$2:$J$14,3,FALSE),0)</f>
        <v>2251</v>
      </c>
      <c r="BK1211" s="6">
        <f>_xlfn.IFNA(VLOOKUP(Grandview_Inventory[[#This Row],[condition]],Lookups!$H$17:$J$24,3,FALSE),0)</f>
        <v>-4503</v>
      </c>
      <c r="BL1211" s="6">
        <f>Grandview_Inventory[[#This Row],[Eff_Age]]*Lookups!$B$14</f>
        <v>-13154.162999999999</v>
      </c>
      <c r="BM1211" s="6">
        <f>Grandview_Inventory[[#This Row],[living_area]]*Lookups!$B$15</f>
        <v>90389.855997000006</v>
      </c>
      <c r="BN1211" s="6">
        <f>Grandview_Inventory[[#This Row],[Fin BSMT]]*Lookups!$B$16</f>
        <v>0</v>
      </c>
      <c r="BO1211" s="6">
        <f>(Grandview_Inventory[[#This Row],[att_gar]]+Grandview_Inventory[[#This Row],[bltin_gar]])*Lookups!$B$17</f>
        <v>0</v>
      </c>
      <c r="BP1211" s="6">
        <f>Grandview_Inventory[[#This Row],[Plumbing Fixtures]]*Lookups!$B$18</f>
        <v>10052.209000000001</v>
      </c>
      <c r="BQ1211" s="6">
        <f>Grandview_Inventory[[#This Row],[detatched_value]]*Lookups!$B$19</f>
        <v>9484.2171199999993</v>
      </c>
      <c r="BR1211" s="6">
        <f>SUM(Grandview_Inventory[[#This Row],[Intercept]:[det_value]])*Grandview_Inventory[[#This Row],[res_pct]]</f>
        <v>250354.06911700001</v>
      </c>
      <c r="BS1211" s="6">
        <f>Grandview_Inventory[[#This Row],[land_value]]</f>
        <v>48369.510983942157</v>
      </c>
      <c r="BT1211" s="4">
        <f>_xlfn.IFNA(VLOOKUP(Grandview_Inventory[[#This Row],[quality]],Lookups!$A$26:$C$33,3,FALSE),1)</f>
        <v>0.98763855981004833</v>
      </c>
      <c r="BU1211" s="4">
        <f>_xlfn.IFNA(VLOOKUP(Grandview_Inventory[[#This Row],[condition]],Lookups!$A$37:$C$44,3,FALSE),1)</f>
        <v>0.96469275950863709</v>
      </c>
      <c r="BV1211" s="4">
        <f>IF(Grandview_Inventory[[#This Row],[bldg_style]]="",1,_xlfn.IFNA(VLOOKUP(Grandview_Inventory[[#This Row],[decade]],Lookups!$F$29:$H$43,3,FALSE),1))</f>
        <v>0.95244691841736806</v>
      </c>
      <c r="BW1211" s="4">
        <f>_xlfn.IFNA(VLOOKUP(Grandview_Inventory[[#This Row],[living_area_range]],Lookups!$F$47:$H$56,3,FALSE),1)</f>
        <v>0.96135087979789358</v>
      </c>
      <c r="BX1211" s="4">
        <f>AVERAGE(Grandview_Inventory[[#This Row],[qual_adj]:[size_adj]])</f>
        <v>0.96653227938348674</v>
      </c>
      <c r="BY1211" s="6">
        <f>IF(Grandview_Inventory[[#This Row],[pre_res]]&lt;0,0,Grandview_Inventory[[#This Row],[pre_res]]*Grandview_Inventory[[#This Row],[overall_adj]])</f>
        <v>241975.289076585</v>
      </c>
      <c r="BZ1211" s="6">
        <f>(Grandview_Inventory[[#This Row],[sum_land]]-IF(Grandview_Inventory[[#This Row],[no_utilities]]=1,12000,0))/IF(Grandview_Inventory[[#This Row],[unbuildable]]=1,2,1)</f>
        <v>48369.510983942157</v>
      </c>
      <c r="CA121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211">
        <f>ROUND(Grandview_Inventory[[#This Row],[det_value]]*Lookups!$M$28,-2)</f>
        <v>9000</v>
      </c>
      <c r="CC1211">
        <f>IF(ROUND(Grandview_Inventory[[#This Row],[adj_res]]*Lookups!$M$28,-2)&lt;Grandview_Inventory[[#This Row],[min_res]],Grandview_Inventory[[#This Row],[min_res]],ROUND(Grandview_Inventory[[#This Row],[adj_res]]*Lookups!$M$28,-2))</f>
        <v>229900</v>
      </c>
      <c r="CD1211">
        <f>Grandview_Inventory[[#This Row],[final_det]]+Grandview_Inventory[[#This Row],[final_res]]</f>
        <v>238900</v>
      </c>
      <c r="CE1211">
        <f>Grandview_Inventory[[#This Row],[final_land]]+Grandview_Inventory[[#This Row],[final_imp]]+Grandview_Inventory[[#This Row],[crop_value]]</f>
        <v>284900</v>
      </c>
      <c r="CG1211" t="str">
        <f t="shared" si="18"/>
        <v>update valuation set market_land =46000, market_bldg=238900, market_total =284900, market_mdno =401, market_date ='9/10/2023' where link_id = (select link_id from parcel where parcel_year = '2024' and parcel_id = '23092311429');</v>
      </c>
    </row>
    <row r="1212" spans="1:85" x14ac:dyDescent="0.25">
      <c r="A1212">
        <v>23092311430</v>
      </c>
      <c r="B1212">
        <v>0.14000000000000001</v>
      </c>
      <c r="C1212">
        <v>5963</v>
      </c>
      <c r="D1212" t="s">
        <v>129</v>
      </c>
      <c r="E1212" t="s">
        <v>53</v>
      </c>
      <c r="F1212" t="s">
        <v>53</v>
      </c>
      <c r="G1212">
        <v>4</v>
      </c>
      <c r="H1212" t="s">
        <v>54</v>
      </c>
      <c r="I1212">
        <v>107600</v>
      </c>
      <c r="J1212">
        <v>38600</v>
      </c>
      <c r="K1212">
        <v>0.14000000000000001</v>
      </c>
      <c r="L1212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212">
        <v>0</v>
      </c>
      <c r="N1212">
        <v>0</v>
      </c>
      <c r="O1212">
        <v>0</v>
      </c>
      <c r="P1212">
        <v>13398.7528</v>
      </c>
      <c r="Q1212">
        <v>63903</v>
      </c>
      <c r="R1212">
        <f>(Grandview_Inventory[[#This Row],[ln_acres]]*Grandview_Inventory[[#This Row],[coeff]])+Grandview_Inventory[[#This Row],[const]]</f>
        <v>37559.539860558507</v>
      </c>
      <c r="S1212" t="s">
        <v>68</v>
      </c>
      <c r="T1212">
        <v>1</v>
      </c>
      <c r="U1212" t="s">
        <v>65</v>
      </c>
      <c r="V1212" t="s">
        <v>69</v>
      </c>
      <c r="W1212">
        <v>0</v>
      </c>
      <c r="X1212">
        <v>0</v>
      </c>
      <c r="Y1212">
        <v>51</v>
      </c>
      <c r="Z1212">
        <v>78</v>
      </c>
      <c r="AA1212">
        <v>80</v>
      </c>
      <c r="AB1212">
        <v>1000</v>
      </c>
      <c r="AC1212">
        <v>970</v>
      </c>
      <c r="AD1212">
        <v>970</v>
      </c>
      <c r="AE1212">
        <v>0</v>
      </c>
      <c r="AF1212">
        <v>0</v>
      </c>
      <c r="AG1212">
        <v>0</v>
      </c>
      <c r="AH1212">
        <v>970</v>
      </c>
      <c r="AI1212">
        <v>0</v>
      </c>
      <c r="AJ1212">
        <v>0</v>
      </c>
      <c r="AK1212">
        <v>0</v>
      </c>
      <c r="AL1212">
        <v>0</v>
      </c>
      <c r="AM1212">
        <v>110</v>
      </c>
      <c r="AN1212">
        <v>108</v>
      </c>
      <c r="AO1212">
        <v>0</v>
      </c>
      <c r="AP1212">
        <v>5</v>
      </c>
      <c r="AQ1212">
        <v>0</v>
      </c>
      <c r="AR1212">
        <v>0</v>
      </c>
      <c r="AS1212" t="s">
        <v>58</v>
      </c>
      <c r="AT1212">
        <v>1</v>
      </c>
      <c r="AU1212" t="s">
        <v>63</v>
      </c>
      <c r="AV1212" t="s">
        <v>81</v>
      </c>
      <c r="AW1212">
        <v>0</v>
      </c>
      <c r="AX1212">
        <v>3</v>
      </c>
      <c r="AY1212">
        <v>0</v>
      </c>
      <c r="AZ1212">
        <v>6200</v>
      </c>
      <c r="BA1212">
        <v>100</v>
      </c>
      <c r="BB1212">
        <v>100</v>
      </c>
      <c r="BC1212">
        <v>100</v>
      </c>
      <c r="BD1212">
        <v>100</v>
      </c>
      <c r="BE1212">
        <v>1</v>
      </c>
      <c r="BF1212">
        <v>15000</v>
      </c>
      <c r="BG1212">
        <v>1000</v>
      </c>
      <c r="BH1212" s="6">
        <f>Grandview_Inventory[[#This Row],[land_extract]]*Lookups!$B$3</f>
        <v>43617.792229308972</v>
      </c>
      <c r="BI1212" s="6">
        <f>IF(Grandview_Inventory[[#This Row],[bldg_style]]="",0,Lookups!$B$2)</f>
        <v>155833.95000000001</v>
      </c>
      <c r="BJ1212" s="6">
        <f>_xlfn.IFNA(VLOOKUP(Grandview_Inventory[[#This Row],[quality]],Lookups!$H$2:$J$14,3,FALSE),0)</f>
        <v>2251</v>
      </c>
      <c r="BK1212" s="6">
        <f>_xlfn.IFNA(VLOOKUP(Grandview_Inventory[[#This Row],[condition]],Lookups!$H$17:$J$24,3,FALSE),0)</f>
        <v>-4503</v>
      </c>
      <c r="BL1212" s="6">
        <f>Grandview_Inventory[[#This Row],[Eff_Age]]*Lookups!$B$14</f>
        <v>-12197.496599999999</v>
      </c>
      <c r="BM1212" s="6">
        <f>Grandview_Inventory[[#This Row],[living_area]]*Lookups!$B$15</f>
        <v>60509.427410000004</v>
      </c>
      <c r="BN1212" s="6">
        <f>Grandview_Inventory[[#This Row],[Fin BSMT]]*Lookups!$B$16</f>
        <v>0</v>
      </c>
      <c r="BO1212" s="6">
        <f>(Grandview_Inventory[[#This Row],[att_gar]]+Grandview_Inventory[[#This Row],[bltin_gar]])*Lookups!$B$17</f>
        <v>0</v>
      </c>
      <c r="BP1212" s="6">
        <f>Grandview_Inventory[[#This Row],[Plumbing Fixtures]]*Lookups!$B$18</f>
        <v>10052.209000000001</v>
      </c>
      <c r="BQ1212" s="6">
        <f>Grandview_Inventory[[#This Row],[detatched_value]]*Lookups!$B$19</f>
        <v>5250.1916199999996</v>
      </c>
      <c r="BR1212" s="6">
        <f>SUM(Grandview_Inventory[[#This Row],[Intercept]:[det_value]])*Grandview_Inventory[[#This Row],[res_pct]]</f>
        <v>217196.28143</v>
      </c>
      <c r="BS1212" s="6">
        <f>Grandview_Inventory[[#This Row],[land_value]]</f>
        <v>43617.792229308972</v>
      </c>
      <c r="BT1212" s="4">
        <f>_xlfn.IFNA(VLOOKUP(Grandview_Inventory[[#This Row],[quality]],Lookups!$A$26:$C$33,3,FALSE),1)</f>
        <v>0.98763855981004833</v>
      </c>
      <c r="BU1212" s="4">
        <f>_xlfn.IFNA(VLOOKUP(Grandview_Inventory[[#This Row],[condition]],Lookups!$A$37:$C$44,3,FALSE),1)</f>
        <v>0.96469275950863709</v>
      </c>
      <c r="BV1212" s="4">
        <f>IF(Grandview_Inventory[[#This Row],[bldg_style]]="",1,_xlfn.IFNA(VLOOKUP(Grandview_Inventory[[#This Row],[decade]],Lookups!$F$29:$H$43,3,FALSE),1))</f>
        <v>0.98763256963907298</v>
      </c>
      <c r="BW1212" s="4">
        <f>_xlfn.IFNA(VLOOKUP(Grandview_Inventory[[#This Row],[living_area_range]],Lookups!$F$47:$H$56,3,FALSE),1)</f>
        <v>0.94306777142782894</v>
      </c>
      <c r="BX1212" s="4">
        <f>AVERAGE(Grandview_Inventory[[#This Row],[qual_adj]:[size_adj]])</f>
        <v>0.97075791509639675</v>
      </c>
      <c r="BY1212" s="6">
        <f>IF(Grandview_Inventory[[#This Row],[pre_res]]&lt;0,0,Grandview_Inventory[[#This Row],[pre_res]]*Grandview_Inventory[[#This Row],[overall_adj]])</f>
        <v>210845.00932767705</v>
      </c>
      <c r="BZ1212" s="6">
        <f>(Grandview_Inventory[[#This Row],[sum_land]]-IF(Grandview_Inventory[[#This Row],[no_utilities]]=1,12000,0))/IF(Grandview_Inventory[[#This Row],[unbuildable]]=1,2,1)</f>
        <v>43617.792229308972</v>
      </c>
      <c r="CA1212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212">
        <f>ROUND(Grandview_Inventory[[#This Row],[det_value]]*Lookups!$M$28,-2)</f>
        <v>5000</v>
      </c>
      <c r="CC1212">
        <f>IF(ROUND(Grandview_Inventory[[#This Row],[adj_res]]*Lookups!$M$28,-2)&lt;Grandview_Inventory[[#This Row],[min_res]],Grandview_Inventory[[#This Row],[min_res]],ROUND(Grandview_Inventory[[#This Row],[adj_res]]*Lookups!$M$28,-2))</f>
        <v>200300</v>
      </c>
      <c r="CD1212">
        <f>Grandview_Inventory[[#This Row],[final_det]]+Grandview_Inventory[[#This Row],[final_res]]</f>
        <v>205300</v>
      </c>
      <c r="CE1212">
        <f>Grandview_Inventory[[#This Row],[final_land]]+Grandview_Inventory[[#This Row],[final_imp]]+Grandview_Inventory[[#This Row],[crop_value]]</f>
        <v>246700</v>
      </c>
      <c r="CG1212" t="str">
        <f t="shared" si="18"/>
        <v>update valuation set market_land =41400, market_bldg=205300, market_total =246700, market_mdno =401, market_date ='9/10/2023' where link_id = (select link_id from parcel where parcel_year = '2024' and parcel_id = '23092311430');</v>
      </c>
    </row>
    <row r="1213" spans="1:85" x14ac:dyDescent="0.25">
      <c r="A1213">
        <v>23092311435</v>
      </c>
      <c r="B1213">
        <v>0.17</v>
      </c>
      <c r="C1213">
        <v>7268</v>
      </c>
      <c r="D1213" t="s">
        <v>129</v>
      </c>
      <c r="E1213" t="s">
        <v>53</v>
      </c>
      <c r="F1213" t="s">
        <v>53</v>
      </c>
      <c r="G1213">
        <v>4</v>
      </c>
      <c r="H1213" t="s">
        <v>54</v>
      </c>
      <c r="I1213">
        <v>227600</v>
      </c>
      <c r="J1213">
        <v>39100</v>
      </c>
      <c r="K1213">
        <v>0.17</v>
      </c>
      <c r="L121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13">
        <v>0</v>
      </c>
      <c r="N1213">
        <v>0</v>
      </c>
      <c r="O1213">
        <v>0</v>
      </c>
      <c r="P1213">
        <v>13398.7528</v>
      </c>
      <c r="Q1213">
        <v>63903</v>
      </c>
      <c r="R1213">
        <f>(Grandview_Inventory[[#This Row],[ln_acres]]*Grandview_Inventory[[#This Row],[coeff]])+Grandview_Inventory[[#This Row],[const]]</f>
        <v>40160.988302686128</v>
      </c>
      <c r="S1213" t="s">
        <v>68</v>
      </c>
      <c r="T1213">
        <v>1</v>
      </c>
      <c r="U1213" t="s">
        <v>70</v>
      </c>
      <c r="V1213" t="s">
        <v>69</v>
      </c>
      <c r="W1213">
        <v>0</v>
      </c>
      <c r="X1213">
        <v>0</v>
      </c>
      <c r="Y1213">
        <v>51</v>
      </c>
      <c r="Z1213">
        <v>78</v>
      </c>
      <c r="AA1213">
        <v>80</v>
      </c>
      <c r="AB1213">
        <v>1500</v>
      </c>
      <c r="AC1213">
        <v>1165</v>
      </c>
      <c r="AD1213">
        <v>1165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192</v>
      </c>
      <c r="AL1213">
        <v>0</v>
      </c>
      <c r="AM1213">
        <v>176</v>
      </c>
      <c r="AN1213">
        <v>24</v>
      </c>
      <c r="AO1213">
        <v>176</v>
      </c>
      <c r="AP1213">
        <v>5</v>
      </c>
      <c r="AQ1213">
        <v>0</v>
      </c>
      <c r="AR1213">
        <v>0</v>
      </c>
      <c r="AS1213" t="s">
        <v>58</v>
      </c>
      <c r="AT1213">
        <v>1</v>
      </c>
      <c r="AU1213" t="s">
        <v>75</v>
      </c>
      <c r="AV1213" t="s">
        <v>60</v>
      </c>
      <c r="AW1213">
        <v>0</v>
      </c>
      <c r="AX1213">
        <v>2</v>
      </c>
      <c r="AY1213">
        <v>0</v>
      </c>
      <c r="AZ1213">
        <v>27900</v>
      </c>
      <c r="BA1213">
        <v>100</v>
      </c>
      <c r="BB1213">
        <v>100</v>
      </c>
      <c r="BC1213">
        <v>100</v>
      </c>
      <c r="BD1213">
        <v>100</v>
      </c>
      <c r="BE1213">
        <v>1</v>
      </c>
      <c r="BF1213">
        <v>15000</v>
      </c>
      <c r="BG1213">
        <v>1000</v>
      </c>
      <c r="BH1213" s="6">
        <f>Grandview_Inventory[[#This Row],[land_extract]]*Lookups!$B$3</f>
        <v>46638.847281240982</v>
      </c>
      <c r="BI1213" s="6">
        <f>IF(Grandview_Inventory[[#This Row],[bldg_style]]="",0,Lookups!$B$2)</f>
        <v>155833.95000000001</v>
      </c>
      <c r="BJ1213" s="6">
        <f>_xlfn.IFNA(VLOOKUP(Grandview_Inventory[[#This Row],[quality]],Lookups!$H$2:$J$14,3,FALSE),0)</f>
        <v>10733</v>
      </c>
      <c r="BK1213" s="6">
        <f>_xlfn.IFNA(VLOOKUP(Grandview_Inventory[[#This Row],[condition]],Lookups!$H$17:$J$24,3,FALSE),0)</f>
        <v>-4503</v>
      </c>
      <c r="BL1213" s="6">
        <f>Grandview_Inventory[[#This Row],[Eff_Age]]*Lookups!$B$14</f>
        <v>-12197.496599999999</v>
      </c>
      <c r="BM1213" s="6">
        <f>Grandview_Inventory[[#This Row],[living_area]]*Lookups!$B$15</f>
        <v>72673.693744999997</v>
      </c>
      <c r="BN1213" s="6">
        <f>Grandview_Inventory[[#This Row],[Fin BSMT]]*Lookups!$B$16</f>
        <v>0</v>
      </c>
      <c r="BO1213" s="6">
        <f>(Grandview_Inventory[[#This Row],[att_gar]]+Grandview_Inventory[[#This Row],[bltin_gar]])*Lookups!$B$17</f>
        <v>0</v>
      </c>
      <c r="BP1213" s="6">
        <f>Grandview_Inventory[[#This Row],[Plumbing Fixtures]]*Lookups!$B$18</f>
        <v>10052.209000000001</v>
      </c>
      <c r="BQ1213" s="6">
        <f>Grandview_Inventory[[#This Row],[detatched_value]]*Lookups!$B$19</f>
        <v>23625.862290000001</v>
      </c>
      <c r="BR1213" s="6">
        <f>SUM(Grandview_Inventory[[#This Row],[Intercept]:[det_value]])*Grandview_Inventory[[#This Row],[res_pct]]</f>
        <v>256218.21843499999</v>
      </c>
      <c r="BS1213" s="6">
        <f>Grandview_Inventory[[#This Row],[land_value]]</f>
        <v>46638.847281240982</v>
      </c>
      <c r="BT1213" s="4">
        <f>_xlfn.IFNA(VLOOKUP(Grandview_Inventory[[#This Row],[quality]],Lookups!$A$26:$C$33,3,FALSE),1)</f>
        <v>0.98079741117310582</v>
      </c>
      <c r="BU1213" s="4">
        <f>_xlfn.IFNA(VLOOKUP(Grandview_Inventory[[#This Row],[condition]],Lookups!$A$37:$C$44,3,FALSE),1)</f>
        <v>0.96469275950863709</v>
      </c>
      <c r="BV1213" s="4">
        <f>IF(Grandview_Inventory[[#This Row],[bldg_style]]="",1,_xlfn.IFNA(VLOOKUP(Grandview_Inventory[[#This Row],[decade]],Lookups!$F$29:$H$43,3,FALSE),1))</f>
        <v>0.98763256963907298</v>
      </c>
      <c r="BW1213" s="4">
        <f>_xlfn.IFNA(VLOOKUP(Grandview_Inventory[[#This Row],[living_area_range]],Lookups!$F$47:$H$56,3,FALSE),1)</f>
        <v>0.96135087979789358</v>
      </c>
      <c r="BX1213" s="4">
        <f>AVERAGE(Grandview_Inventory[[#This Row],[qual_adj]:[size_adj]])</f>
        <v>0.97361840502967734</v>
      </c>
      <c r="BY1213" s="6">
        <f>IF(Grandview_Inventory[[#This Row],[pre_res]]&lt;0,0,Grandview_Inventory[[#This Row],[pre_res]]*Grandview_Inventory[[#This Row],[overall_adj]])</f>
        <v>249458.77317223017</v>
      </c>
      <c r="BZ1213" s="6">
        <f>(Grandview_Inventory[[#This Row],[sum_land]]-IF(Grandview_Inventory[[#This Row],[no_utilities]]=1,12000,0))/IF(Grandview_Inventory[[#This Row],[unbuildable]]=1,2,1)</f>
        <v>46638.847281240982</v>
      </c>
      <c r="CA121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13">
        <f>ROUND(Grandview_Inventory[[#This Row],[det_value]]*Lookups!$M$28,-2)</f>
        <v>22400</v>
      </c>
      <c r="CC1213">
        <f>IF(ROUND(Grandview_Inventory[[#This Row],[adj_res]]*Lookups!$M$28,-2)&lt;Grandview_Inventory[[#This Row],[min_res]],Grandview_Inventory[[#This Row],[min_res]],ROUND(Grandview_Inventory[[#This Row],[adj_res]]*Lookups!$M$28,-2))</f>
        <v>237000</v>
      </c>
      <c r="CD1213">
        <f>Grandview_Inventory[[#This Row],[final_det]]+Grandview_Inventory[[#This Row],[final_res]]</f>
        <v>259400</v>
      </c>
      <c r="CE1213">
        <f>Grandview_Inventory[[#This Row],[final_land]]+Grandview_Inventory[[#This Row],[final_imp]]+Grandview_Inventory[[#This Row],[crop_value]]</f>
        <v>303700</v>
      </c>
      <c r="CG1213" t="str">
        <f t="shared" si="18"/>
        <v>update valuation set market_land =44300, market_bldg=259400, market_total =303700, market_mdno =401, market_date ='9/10/2023' where link_id = (select link_id from parcel where parcel_year = '2024' and parcel_id = '23092311435');</v>
      </c>
    </row>
    <row r="1214" spans="1:85" x14ac:dyDescent="0.25">
      <c r="A1214">
        <v>23092311436</v>
      </c>
      <c r="B1214">
        <v>0.18</v>
      </c>
      <c r="C1214">
        <v>7884</v>
      </c>
      <c r="D1214" t="s">
        <v>129</v>
      </c>
      <c r="E1214" t="s">
        <v>53</v>
      </c>
      <c r="F1214" t="s">
        <v>53</v>
      </c>
      <c r="G1214">
        <v>4</v>
      </c>
      <c r="H1214" t="s">
        <v>54</v>
      </c>
      <c r="I1214">
        <v>143700</v>
      </c>
      <c r="J1214">
        <v>39300</v>
      </c>
      <c r="K1214">
        <v>0.18</v>
      </c>
      <c r="L121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14">
        <v>0</v>
      </c>
      <c r="N1214">
        <v>0</v>
      </c>
      <c r="O1214">
        <v>0</v>
      </c>
      <c r="P1214">
        <v>13398.7528</v>
      </c>
      <c r="Q1214">
        <v>63903</v>
      </c>
      <c r="R1214">
        <f>(Grandview_Inventory[[#This Row],[ln_acres]]*Grandview_Inventory[[#This Row],[coeff]])+Grandview_Inventory[[#This Row],[const]]</f>
        <v>40926.839760167699</v>
      </c>
      <c r="S1214" t="s">
        <v>68</v>
      </c>
      <c r="T1214">
        <v>1</v>
      </c>
      <c r="U1214" t="s">
        <v>70</v>
      </c>
      <c r="V1214" t="s">
        <v>69</v>
      </c>
      <c r="W1214">
        <v>0</v>
      </c>
      <c r="X1214">
        <v>0</v>
      </c>
      <c r="Y1214">
        <v>51</v>
      </c>
      <c r="Z1214">
        <v>78</v>
      </c>
      <c r="AA1214">
        <v>80</v>
      </c>
      <c r="AB1214">
        <v>1500</v>
      </c>
      <c r="AC1214">
        <v>1147</v>
      </c>
      <c r="AD1214">
        <v>1147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312</v>
      </c>
      <c r="AL1214">
        <v>0</v>
      </c>
      <c r="AM1214">
        <v>0</v>
      </c>
      <c r="AN1214">
        <v>18</v>
      </c>
      <c r="AO1214">
        <v>0</v>
      </c>
      <c r="AP1214">
        <v>5</v>
      </c>
      <c r="AQ1214">
        <v>0</v>
      </c>
      <c r="AR1214">
        <v>0</v>
      </c>
      <c r="AS1214" t="s">
        <v>58</v>
      </c>
      <c r="AT1214">
        <v>1</v>
      </c>
      <c r="AU1214" t="s">
        <v>63</v>
      </c>
      <c r="AV1214" t="s">
        <v>60</v>
      </c>
      <c r="AW1214">
        <v>0</v>
      </c>
      <c r="AX1214">
        <v>2</v>
      </c>
      <c r="AY1214">
        <v>0</v>
      </c>
      <c r="AZ1214">
        <v>7000</v>
      </c>
      <c r="BA1214">
        <v>100</v>
      </c>
      <c r="BB1214">
        <v>100</v>
      </c>
      <c r="BC1214">
        <v>100</v>
      </c>
      <c r="BD1214">
        <v>100</v>
      </c>
      <c r="BE1214">
        <v>1</v>
      </c>
      <c r="BF1214">
        <v>15000</v>
      </c>
      <c r="BG1214">
        <v>1000</v>
      </c>
      <c r="BH1214" s="6">
        <f>Grandview_Inventory[[#This Row],[land_extract]]*Lookups!$B$3</f>
        <v>47528.228511015397</v>
      </c>
      <c r="BI1214" s="6">
        <f>IF(Grandview_Inventory[[#This Row],[bldg_style]]="",0,Lookups!$B$2)</f>
        <v>155833.95000000001</v>
      </c>
      <c r="BJ1214" s="6">
        <f>_xlfn.IFNA(VLOOKUP(Grandview_Inventory[[#This Row],[quality]],Lookups!$H$2:$J$14,3,FALSE),0)</f>
        <v>10733</v>
      </c>
      <c r="BK1214" s="6">
        <f>_xlfn.IFNA(VLOOKUP(Grandview_Inventory[[#This Row],[condition]],Lookups!$H$17:$J$24,3,FALSE),0)</f>
        <v>-4503</v>
      </c>
      <c r="BL1214" s="6">
        <f>Grandview_Inventory[[#This Row],[Eff_Age]]*Lookups!$B$14</f>
        <v>-12197.496599999999</v>
      </c>
      <c r="BM1214" s="6">
        <f>Grandview_Inventory[[#This Row],[living_area]]*Lookups!$B$15</f>
        <v>71550.838390999998</v>
      </c>
      <c r="BN1214" s="6">
        <f>Grandview_Inventory[[#This Row],[Fin BSMT]]*Lookups!$B$16</f>
        <v>0</v>
      </c>
      <c r="BO1214" s="6">
        <f>(Grandview_Inventory[[#This Row],[att_gar]]+Grandview_Inventory[[#This Row],[bltin_gar]])*Lookups!$B$17</f>
        <v>0</v>
      </c>
      <c r="BP1214" s="6">
        <f>Grandview_Inventory[[#This Row],[Plumbing Fixtures]]*Lookups!$B$18</f>
        <v>10052.209000000001</v>
      </c>
      <c r="BQ1214" s="6">
        <f>Grandview_Inventory[[#This Row],[detatched_value]]*Lookups!$B$19</f>
        <v>5927.6356999999998</v>
      </c>
      <c r="BR1214" s="6">
        <f>SUM(Grandview_Inventory[[#This Row],[Intercept]:[det_value]])*Grandview_Inventory[[#This Row],[res_pct]]</f>
        <v>237397.13649100001</v>
      </c>
      <c r="BS1214" s="6">
        <f>Grandview_Inventory[[#This Row],[land_value]]</f>
        <v>47528.228511015397</v>
      </c>
      <c r="BT1214" s="4">
        <f>_xlfn.IFNA(VLOOKUP(Grandview_Inventory[[#This Row],[quality]],Lookups!$A$26:$C$33,3,FALSE),1)</f>
        <v>0.98079741117310582</v>
      </c>
      <c r="BU1214" s="4">
        <f>_xlfn.IFNA(VLOOKUP(Grandview_Inventory[[#This Row],[condition]],Lookups!$A$37:$C$44,3,FALSE),1)</f>
        <v>0.96469275950863709</v>
      </c>
      <c r="BV1214" s="4">
        <f>IF(Grandview_Inventory[[#This Row],[bldg_style]]="",1,_xlfn.IFNA(VLOOKUP(Grandview_Inventory[[#This Row],[decade]],Lookups!$F$29:$H$43,3,FALSE),1))</f>
        <v>0.98763256963907298</v>
      </c>
      <c r="BW1214" s="4">
        <f>_xlfn.IFNA(VLOOKUP(Grandview_Inventory[[#This Row],[living_area_range]],Lookups!$F$47:$H$56,3,FALSE),1)</f>
        <v>0.96135087979789358</v>
      </c>
      <c r="BX1214" s="4">
        <f>AVERAGE(Grandview_Inventory[[#This Row],[qual_adj]:[size_adj]])</f>
        <v>0.97361840502967734</v>
      </c>
      <c r="BY1214" s="6">
        <f>IF(Grandview_Inventory[[#This Row],[pre_res]]&lt;0,0,Grandview_Inventory[[#This Row],[pre_res]]*Grandview_Inventory[[#This Row],[overall_adj]])</f>
        <v>231134.22138898005</v>
      </c>
      <c r="BZ1214" s="6">
        <f>(Grandview_Inventory[[#This Row],[sum_land]]-IF(Grandview_Inventory[[#This Row],[no_utilities]]=1,12000,0))/IF(Grandview_Inventory[[#This Row],[unbuildable]]=1,2,1)</f>
        <v>47528.228511015397</v>
      </c>
      <c r="CA121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14">
        <f>ROUND(Grandview_Inventory[[#This Row],[det_value]]*Lookups!$M$28,-2)</f>
        <v>5600</v>
      </c>
      <c r="CC1214">
        <f>IF(ROUND(Grandview_Inventory[[#This Row],[adj_res]]*Lookups!$M$28,-2)&lt;Grandview_Inventory[[#This Row],[min_res]],Grandview_Inventory[[#This Row],[min_res]],ROUND(Grandview_Inventory[[#This Row],[adj_res]]*Lookups!$M$28,-2))</f>
        <v>219600</v>
      </c>
      <c r="CD1214">
        <f>Grandview_Inventory[[#This Row],[final_det]]+Grandview_Inventory[[#This Row],[final_res]]</f>
        <v>225200</v>
      </c>
      <c r="CE1214">
        <f>Grandview_Inventory[[#This Row],[final_land]]+Grandview_Inventory[[#This Row],[final_imp]]+Grandview_Inventory[[#This Row],[crop_value]]</f>
        <v>270400</v>
      </c>
      <c r="CG1214" t="str">
        <f t="shared" si="18"/>
        <v>update valuation set market_land =45200, market_bldg=225200, market_total =270400, market_mdno =401, market_date ='9/10/2023' where link_id = (select link_id from parcel where parcel_year = '2024' and parcel_id = '23092311436');</v>
      </c>
    </row>
    <row r="1215" spans="1:85" x14ac:dyDescent="0.25">
      <c r="A1215">
        <v>23092311440</v>
      </c>
      <c r="B1215">
        <v>0.26</v>
      </c>
      <c r="C1215">
        <v>11359</v>
      </c>
      <c r="D1215" t="s">
        <v>129</v>
      </c>
      <c r="E1215" t="s">
        <v>53</v>
      </c>
      <c r="F1215" t="s">
        <v>53</v>
      </c>
      <c r="G1215">
        <v>4</v>
      </c>
      <c r="H1215" t="s">
        <v>54</v>
      </c>
      <c r="I1215">
        <v>112400</v>
      </c>
      <c r="J1215">
        <v>40500</v>
      </c>
      <c r="K1215">
        <v>0.26</v>
      </c>
      <c r="L1215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215">
        <v>0</v>
      </c>
      <c r="N1215">
        <v>0</v>
      </c>
      <c r="O1215">
        <v>0</v>
      </c>
      <c r="P1215">
        <v>13398.7528</v>
      </c>
      <c r="Q1215">
        <v>63903</v>
      </c>
      <c r="R1215">
        <f>(Grandview_Inventory[[#This Row],[ln_acres]]*Grandview_Inventory[[#This Row],[coeff]])+Grandview_Inventory[[#This Row],[const]]</f>
        <v>45853.893187501177</v>
      </c>
      <c r="S1215" t="s">
        <v>68</v>
      </c>
      <c r="T1215">
        <v>1</v>
      </c>
      <c r="U1215" t="s">
        <v>80</v>
      </c>
      <c r="V1215" t="s">
        <v>69</v>
      </c>
      <c r="W1215">
        <v>0</v>
      </c>
      <c r="X1215">
        <v>0</v>
      </c>
      <c r="Y1215">
        <v>38</v>
      </c>
      <c r="Z1215">
        <v>103</v>
      </c>
      <c r="AA1215">
        <v>110</v>
      </c>
      <c r="AB1215">
        <v>1500</v>
      </c>
      <c r="AC1215">
        <v>1084</v>
      </c>
      <c r="AD1215">
        <v>928</v>
      </c>
      <c r="AE1215">
        <v>0</v>
      </c>
      <c r="AF1215">
        <v>0</v>
      </c>
      <c r="AG1215">
        <v>156</v>
      </c>
      <c r="AH1215">
        <v>312</v>
      </c>
      <c r="AI1215">
        <v>0</v>
      </c>
      <c r="AJ1215">
        <v>0</v>
      </c>
      <c r="AK1215">
        <v>0</v>
      </c>
      <c r="AL1215">
        <v>0</v>
      </c>
      <c r="AM1215">
        <v>200</v>
      </c>
      <c r="AN1215">
        <v>126</v>
      </c>
      <c r="AO1215">
        <v>0</v>
      </c>
      <c r="AP1215">
        <v>5</v>
      </c>
      <c r="AQ1215">
        <v>0</v>
      </c>
      <c r="AR1215">
        <v>0</v>
      </c>
      <c r="AS1215" t="s">
        <v>58</v>
      </c>
      <c r="AT1215">
        <v>1</v>
      </c>
      <c r="AU1215" t="s">
        <v>63</v>
      </c>
      <c r="AV1215" t="s">
        <v>64</v>
      </c>
      <c r="AW1215">
        <v>0</v>
      </c>
      <c r="AX1215">
        <v>2</v>
      </c>
      <c r="AY1215">
        <v>0</v>
      </c>
      <c r="AZ1215">
        <v>13200</v>
      </c>
      <c r="BA1215">
        <v>100</v>
      </c>
      <c r="BB1215">
        <v>100</v>
      </c>
      <c r="BC1215">
        <v>100</v>
      </c>
      <c r="BD1215">
        <v>100</v>
      </c>
      <c r="BE1215">
        <v>1</v>
      </c>
      <c r="BF1215">
        <v>15000</v>
      </c>
      <c r="BG1215">
        <v>1000</v>
      </c>
      <c r="BH1215" s="6">
        <f>Grandview_Inventory[[#This Row],[land_extract]]*Lookups!$B$3</f>
        <v>53250.00235313351</v>
      </c>
      <c r="BI1215" s="6">
        <f>IF(Grandview_Inventory[[#This Row],[bldg_style]]="",0,Lookups!$B$2)</f>
        <v>155833.95000000001</v>
      </c>
      <c r="BJ1215" s="6">
        <f>_xlfn.IFNA(VLOOKUP(Grandview_Inventory[[#This Row],[quality]],Lookups!$H$2:$J$14,3,FALSE),0)</f>
        <v>-28558</v>
      </c>
      <c r="BK1215" s="6">
        <f>_xlfn.IFNA(VLOOKUP(Grandview_Inventory[[#This Row],[condition]],Lookups!$H$17:$J$24,3,FALSE),0)</f>
        <v>-4503</v>
      </c>
      <c r="BL1215" s="6">
        <f>Grandview_Inventory[[#This Row],[Eff_Age]]*Lookups!$B$14</f>
        <v>-9088.3307999999997</v>
      </c>
      <c r="BM1215" s="6">
        <f>Grandview_Inventory[[#This Row],[living_area]]*Lookups!$B$15</f>
        <v>67620.844652</v>
      </c>
      <c r="BN1215" s="6">
        <f>Grandview_Inventory[[#This Row],[Fin BSMT]]*Lookups!$B$16</f>
        <v>-4227.4814400000005</v>
      </c>
      <c r="BO1215" s="6">
        <f>(Grandview_Inventory[[#This Row],[att_gar]]+Grandview_Inventory[[#This Row],[bltin_gar]])*Lookups!$B$17</f>
        <v>0</v>
      </c>
      <c r="BP1215" s="6">
        <f>Grandview_Inventory[[#This Row],[Plumbing Fixtures]]*Lookups!$B$18</f>
        <v>10052.209000000001</v>
      </c>
      <c r="BQ1215" s="6">
        <f>Grandview_Inventory[[#This Row],[detatched_value]]*Lookups!$B$19</f>
        <v>11177.82732</v>
      </c>
      <c r="BR1215" s="6">
        <f>SUM(Grandview_Inventory[[#This Row],[Intercept]:[det_value]])*Grandview_Inventory[[#This Row],[res_pct]]</f>
        <v>198308.01873200003</v>
      </c>
      <c r="BS1215" s="6">
        <f>Grandview_Inventory[[#This Row],[land_value]]</f>
        <v>53250.00235313351</v>
      </c>
      <c r="BT1215" s="4">
        <f>_xlfn.IFNA(VLOOKUP(Grandview_Inventory[[#This Row],[quality]],Lookups!$A$26:$C$33,3,FALSE),1)</f>
        <v>0.9690360070159818</v>
      </c>
      <c r="BU1215" s="4">
        <f>_xlfn.IFNA(VLOOKUP(Grandview_Inventory[[#This Row],[condition]],Lookups!$A$37:$C$44,3,FALSE),1)</f>
        <v>0.96469275950863709</v>
      </c>
      <c r="BV1215" s="4">
        <f>IF(Grandview_Inventory[[#This Row],[bldg_style]]="",1,_xlfn.IFNA(VLOOKUP(Grandview_Inventory[[#This Row],[decade]],Lookups!$F$29:$H$43,3,FALSE),1))</f>
        <v>0.92255236374249616</v>
      </c>
      <c r="BW1215" s="4">
        <f>_xlfn.IFNA(VLOOKUP(Grandview_Inventory[[#This Row],[living_area_range]],Lookups!$F$47:$H$56,3,FALSE),1)</f>
        <v>0.96135087979789358</v>
      </c>
      <c r="BX1215" s="4">
        <f>AVERAGE(Grandview_Inventory[[#This Row],[qual_adj]:[size_adj]])</f>
        <v>0.95440800251625213</v>
      </c>
      <c r="BY1215" s="6">
        <f>IF(Grandview_Inventory[[#This Row],[pre_res]]&lt;0,0,Grandview_Inventory[[#This Row],[pre_res]]*Grandview_Inventory[[#This Row],[overall_adj]])</f>
        <v>189266.76004096365</v>
      </c>
      <c r="BZ1215" s="6">
        <f>(Grandview_Inventory[[#This Row],[sum_land]]-IF(Grandview_Inventory[[#This Row],[no_utilities]]=1,12000,0))/IF(Grandview_Inventory[[#This Row],[unbuildable]]=1,2,1)</f>
        <v>53250.00235313351</v>
      </c>
      <c r="CA1215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215">
        <f>ROUND(Grandview_Inventory[[#This Row],[det_value]]*Lookups!$M$28,-2)</f>
        <v>10600</v>
      </c>
      <c r="CC1215">
        <f>IF(ROUND(Grandview_Inventory[[#This Row],[adj_res]]*Lookups!$M$28,-2)&lt;Grandview_Inventory[[#This Row],[min_res]],Grandview_Inventory[[#This Row],[min_res]],ROUND(Grandview_Inventory[[#This Row],[adj_res]]*Lookups!$M$28,-2))</f>
        <v>179800</v>
      </c>
      <c r="CD1215">
        <f>Grandview_Inventory[[#This Row],[final_det]]+Grandview_Inventory[[#This Row],[final_res]]</f>
        <v>190400</v>
      </c>
      <c r="CE1215">
        <f>Grandview_Inventory[[#This Row],[final_land]]+Grandview_Inventory[[#This Row],[final_imp]]+Grandview_Inventory[[#This Row],[crop_value]]</f>
        <v>241000</v>
      </c>
      <c r="CG1215" t="str">
        <f t="shared" si="18"/>
        <v>update valuation set market_land =50600, market_bldg=190400, market_total =241000, market_mdno =401, market_date ='9/10/2023' where link_id = (select link_id from parcel where parcel_year = '2024' and parcel_id = '23092311440');</v>
      </c>
    </row>
    <row r="1216" spans="1:85" x14ac:dyDescent="0.25">
      <c r="A1216">
        <v>23092311441</v>
      </c>
      <c r="B1216">
        <v>0.23</v>
      </c>
      <c r="C1216">
        <v>10147</v>
      </c>
      <c r="D1216" t="s">
        <v>129</v>
      </c>
      <c r="E1216" t="s">
        <v>53</v>
      </c>
      <c r="F1216" t="s">
        <v>53</v>
      </c>
      <c r="G1216">
        <v>4</v>
      </c>
      <c r="H1216" t="s">
        <v>54</v>
      </c>
      <c r="I1216">
        <v>116500</v>
      </c>
      <c r="J1216">
        <v>40200</v>
      </c>
      <c r="K1216">
        <v>0.23</v>
      </c>
      <c r="L121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216">
        <v>0</v>
      </c>
      <c r="N1216">
        <v>0</v>
      </c>
      <c r="O1216">
        <v>0</v>
      </c>
      <c r="P1216">
        <v>13398.7528</v>
      </c>
      <c r="Q1216">
        <v>63903</v>
      </c>
      <c r="R1216">
        <f>(Grandview_Inventory[[#This Row],[ln_acres]]*Grandview_Inventory[[#This Row],[coeff]])+Grandview_Inventory[[#This Row],[const]]</f>
        <v>44211.174981080039</v>
      </c>
      <c r="S1216" t="s">
        <v>85</v>
      </c>
      <c r="T1216">
        <v>1</v>
      </c>
      <c r="U1216" t="s">
        <v>65</v>
      </c>
      <c r="V1216" t="s">
        <v>69</v>
      </c>
      <c r="W1216">
        <v>0</v>
      </c>
      <c r="X1216">
        <v>0</v>
      </c>
      <c r="Y1216">
        <v>57</v>
      </c>
      <c r="Z1216">
        <v>103</v>
      </c>
      <c r="AA1216">
        <v>110</v>
      </c>
      <c r="AB1216">
        <v>1500</v>
      </c>
      <c r="AC1216">
        <v>1010</v>
      </c>
      <c r="AD1216">
        <v>1010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171</v>
      </c>
      <c r="AO1216">
        <v>0</v>
      </c>
      <c r="AP1216">
        <v>5</v>
      </c>
      <c r="AQ1216">
        <v>0</v>
      </c>
      <c r="AR1216">
        <v>0</v>
      </c>
      <c r="AS1216" t="s">
        <v>58</v>
      </c>
      <c r="AT1216">
        <v>1</v>
      </c>
      <c r="AU1216" t="s">
        <v>75</v>
      </c>
      <c r="AV1216" t="s">
        <v>60</v>
      </c>
      <c r="AW1216">
        <v>0</v>
      </c>
      <c r="AX1216">
        <v>2</v>
      </c>
      <c r="AY1216">
        <v>0</v>
      </c>
      <c r="AZ1216">
        <v>8300</v>
      </c>
      <c r="BA1216">
        <v>100</v>
      </c>
      <c r="BB1216">
        <v>100</v>
      </c>
      <c r="BC1216">
        <v>100</v>
      </c>
      <c r="BD1216">
        <v>100</v>
      </c>
      <c r="BE1216">
        <v>1</v>
      </c>
      <c r="BF1216">
        <v>15000</v>
      </c>
      <c r="BG1216">
        <v>1000</v>
      </c>
      <c r="BH1216" s="6">
        <f>Grandview_Inventory[[#This Row],[land_extract]]*Lookups!$B$3</f>
        <v>51342.318135355803</v>
      </c>
      <c r="BI1216" s="6">
        <f>IF(Grandview_Inventory[[#This Row],[bldg_style]]="",0,Lookups!$B$2)</f>
        <v>155833.95000000001</v>
      </c>
      <c r="BJ1216" s="6">
        <f>_xlfn.IFNA(VLOOKUP(Grandview_Inventory[[#This Row],[quality]],Lookups!$H$2:$J$14,3,FALSE),0)</f>
        <v>2251</v>
      </c>
      <c r="BK1216" s="6">
        <f>_xlfn.IFNA(VLOOKUP(Grandview_Inventory[[#This Row],[condition]],Lookups!$H$17:$J$24,3,FALSE),0)</f>
        <v>-4503</v>
      </c>
      <c r="BL1216" s="6">
        <f>Grandview_Inventory[[#This Row],[Eff_Age]]*Lookups!$B$14</f>
        <v>-13632.4962</v>
      </c>
      <c r="BM1216" s="6">
        <f>Grandview_Inventory[[#This Row],[living_area]]*Lookups!$B$15</f>
        <v>63004.661530000005</v>
      </c>
      <c r="BN1216" s="6">
        <f>Grandview_Inventory[[#This Row],[Fin BSMT]]*Lookups!$B$16</f>
        <v>0</v>
      </c>
      <c r="BO1216" s="6">
        <f>(Grandview_Inventory[[#This Row],[att_gar]]+Grandview_Inventory[[#This Row],[bltin_gar]])*Lookups!$B$17</f>
        <v>0</v>
      </c>
      <c r="BP1216" s="6">
        <f>Grandview_Inventory[[#This Row],[Plumbing Fixtures]]*Lookups!$B$18</f>
        <v>10052.209000000001</v>
      </c>
      <c r="BQ1216" s="6">
        <f>Grandview_Inventory[[#This Row],[detatched_value]]*Lookups!$B$19</f>
        <v>7028.4823299999998</v>
      </c>
      <c r="BR1216" s="6">
        <f>SUM(Grandview_Inventory[[#This Row],[Intercept]:[det_value]])*Grandview_Inventory[[#This Row],[res_pct]]</f>
        <v>220034.80666000003</v>
      </c>
      <c r="BS1216" s="6">
        <f>Grandview_Inventory[[#This Row],[land_value]]</f>
        <v>51342.318135355803</v>
      </c>
      <c r="BT1216" s="4">
        <f>_xlfn.IFNA(VLOOKUP(Grandview_Inventory[[#This Row],[quality]],Lookups!$A$26:$C$33,3,FALSE),1)</f>
        <v>0.98763855981004833</v>
      </c>
      <c r="BU1216" s="4">
        <f>_xlfn.IFNA(VLOOKUP(Grandview_Inventory[[#This Row],[condition]],Lookups!$A$37:$C$44,3,FALSE),1)</f>
        <v>0.96469275950863709</v>
      </c>
      <c r="BV1216" s="4">
        <f>IF(Grandview_Inventory[[#This Row],[bldg_style]]="",1,_xlfn.IFNA(VLOOKUP(Grandview_Inventory[[#This Row],[decade]],Lookups!$F$29:$H$43,3,FALSE),1))</f>
        <v>0.92255236374249616</v>
      </c>
      <c r="BW1216" s="4">
        <f>_xlfn.IFNA(VLOOKUP(Grandview_Inventory[[#This Row],[living_area_range]],Lookups!$F$47:$H$56,3,FALSE),1)</f>
        <v>0.96135087979789358</v>
      </c>
      <c r="BX1216" s="4">
        <f>AVERAGE(Grandview_Inventory[[#This Row],[qual_adj]:[size_adj]])</f>
        <v>0.95905864071476876</v>
      </c>
      <c r="BY1216" s="6">
        <f>IF(Grandview_Inventory[[#This Row],[pre_res]]&lt;0,0,Grandview_Inventory[[#This Row],[pre_res]]*Grandview_Inventory[[#This Row],[overall_adj]])</f>
        <v>211026.28258527658</v>
      </c>
      <c r="BZ1216" s="6">
        <f>(Grandview_Inventory[[#This Row],[sum_land]]-IF(Grandview_Inventory[[#This Row],[no_utilities]]=1,12000,0))/IF(Grandview_Inventory[[#This Row],[unbuildable]]=1,2,1)</f>
        <v>51342.318135355803</v>
      </c>
      <c r="CA121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216">
        <f>ROUND(Grandview_Inventory[[#This Row],[det_value]]*Lookups!$M$28,-2)</f>
        <v>6700</v>
      </c>
      <c r="CC1216">
        <f>IF(ROUND(Grandview_Inventory[[#This Row],[adj_res]]*Lookups!$M$28,-2)&lt;Grandview_Inventory[[#This Row],[min_res]],Grandview_Inventory[[#This Row],[min_res]],ROUND(Grandview_Inventory[[#This Row],[adj_res]]*Lookups!$M$28,-2))</f>
        <v>200500</v>
      </c>
      <c r="CD1216">
        <f>Grandview_Inventory[[#This Row],[final_det]]+Grandview_Inventory[[#This Row],[final_res]]</f>
        <v>207200</v>
      </c>
      <c r="CE1216">
        <f>Grandview_Inventory[[#This Row],[final_land]]+Grandview_Inventory[[#This Row],[final_imp]]+Grandview_Inventory[[#This Row],[crop_value]]</f>
        <v>256000</v>
      </c>
      <c r="CG1216" t="str">
        <f t="shared" si="18"/>
        <v>update valuation set market_land =48800, market_bldg=207200, market_total =256000, market_mdno =401, market_date ='9/10/2023' where link_id = (select link_id from parcel where parcel_year = '2024' and parcel_id = '23092311441');</v>
      </c>
    </row>
    <row r="1217" spans="1:85" x14ac:dyDescent="0.25">
      <c r="A1217">
        <v>23092311442</v>
      </c>
      <c r="B1217">
        <v>0.11</v>
      </c>
      <c r="C1217">
        <v>4940</v>
      </c>
      <c r="D1217" t="s">
        <v>129</v>
      </c>
      <c r="E1217" t="s">
        <v>53</v>
      </c>
      <c r="F1217" t="s">
        <v>53</v>
      </c>
      <c r="G1217">
        <v>4</v>
      </c>
      <c r="H1217" t="s">
        <v>54</v>
      </c>
      <c r="I1217">
        <v>136000</v>
      </c>
      <c r="J1217">
        <v>38300</v>
      </c>
      <c r="K1217">
        <v>0.11</v>
      </c>
      <c r="L1217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217">
        <v>0</v>
      </c>
      <c r="N1217">
        <v>0</v>
      </c>
      <c r="O1217">
        <v>0</v>
      </c>
      <c r="P1217">
        <v>13398.7528</v>
      </c>
      <c r="Q1217">
        <v>63903</v>
      </c>
      <c r="R1217">
        <f>(Grandview_Inventory[[#This Row],[ln_acres]]*Grandview_Inventory[[#This Row],[coeff]])+Grandview_Inventory[[#This Row],[const]]</f>
        <v>34328.269076529468</v>
      </c>
      <c r="S1217" t="s">
        <v>68</v>
      </c>
      <c r="T1217">
        <v>1</v>
      </c>
      <c r="U1217" t="s">
        <v>70</v>
      </c>
      <c r="V1217" t="s">
        <v>69</v>
      </c>
      <c r="W1217">
        <v>0</v>
      </c>
      <c r="X1217">
        <v>0</v>
      </c>
      <c r="Y1217">
        <v>60</v>
      </c>
      <c r="Z1217">
        <v>108</v>
      </c>
      <c r="AA1217">
        <v>110</v>
      </c>
      <c r="AB1217">
        <v>1500</v>
      </c>
      <c r="AC1217">
        <v>1380</v>
      </c>
      <c r="AD1217">
        <v>1380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20</v>
      </c>
      <c r="AO1217">
        <v>0</v>
      </c>
      <c r="AP1217">
        <v>5</v>
      </c>
      <c r="AQ1217">
        <v>0</v>
      </c>
      <c r="AR1217">
        <v>0</v>
      </c>
      <c r="AS1217" t="s">
        <v>58</v>
      </c>
      <c r="AT1217">
        <v>1</v>
      </c>
      <c r="AU1217" t="s">
        <v>75</v>
      </c>
      <c r="AV1217" t="s">
        <v>60</v>
      </c>
      <c r="AW1217">
        <v>0</v>
      </c>
      <c r="AX1217">
        <v>2</v>
      </c>
      <c r="AY1217">
        <v>0</v>
      </c>
      <c r="AZ1217">
        <v>0</v>
      </c>
      <c r="BA1217">
        <v>100</v>
      </c>
      <c r="BB1217">
        <v>100</v>
      </c>
      <c r="BC1217">
        <v>100</v>
      </c>
      <c r="BD1217">
        <v>100</v>
      </c>
      <c r="BE1217">
        <v>1</v>
      </c>
      <c r="BF1217">
        <v>15000</v>
      </c>
      <c r="BG1217">
        <v>1000</v>
      </c>
      <c r="BH1217" s="6">
        <f>Grandview_Inventory[[#This Row],[land_extract]]*Lookups!$B$3</f>
        <v>39865.326192247165</v>
      </c>
      <c r="BI1217" s="6">
        <f>IF(Grandview_Inventory[[#This Row],[bldg_style]]="",0,Lookups!$B$2)</f>
        <v>155833.95000000001</v>
      </c>
      <c r="BJ1217" s="6">
        <f>_xlfn.IFNA(VLOOKUP(Grandview_Inventory[[#This Row],[quality]],Lookups!$H$2:$J$14,3,FALSE),0)</f>
        <v>10733</v>
      </c>
      <c r="BK1217" s="6">
        <f>_xlfn.IFNA(VLOOKUP(Grandview_Inventory[[#This Row],[condition]],Lookups!$H$17:$J$24,3,FALSE),0)</f>
        <v>-4503</v>
      </c>
      <c r="BL1217" s="6">
        <f>Grandview_Inventory[[#This Row],[Eff_Age]]*Lookups!$B$14</f>
        <v>-14349.995999999999</v>
      </c>
      <c r="BM1217" s="6">
        <f>Grandview_Inventory[[#This Row],[living_area]]*Lookups!$B$15</f>
        <v>86085.577140000009</v>
      </c>
      <c r="BN1217" s="6">
        <f>Grandview_Inventory[[#This Row],[Fin BSMT]]*Lookups!$B$16</f>
        <v>0</v>
      </c>
      <c r="BO1217" s="6">
        <f>(Grandview_Inventory[[#This Row],[att_gar]]+Grandview_Inventory[[#This Row],[bltin_gar]])*Lookups!$B$17</f>
        <v>0</v>
      </c>
      <c r="BP1217" s="6">
        <f>Grandview_Inventory[[#This Row],[Plumbing Fixtures]]*Lookups!$B$18</f>
        <v>10052.209000000001</v>
      </c>
      <c r="BQ1217" s="6">
        <f>Grandview_Inventory[[#This Row],[detatched_value]]*Lookups!$B$19</f>
        <v>0</v>
      </c>
      <c r="BR1217" s="6">
        <f>SUM(Grandview_Inventory[[#This Row],[Intercept]:[det_value]])*Grandview_Inventory[[#This Row],[res_pct]]</f>
        <v>243851.74014000004</v>
      </c>
      <c r="BS1217" s="6">
        <f>Grandview_Inventory[[#This Row],[land_value]]</f>
        <v>39865.326192247165</v>
      </c>
      <c r="BT1217" s="4">
        <f>_xlfn.IFNA(VLOOKUP(Grandview_Inventory[[#This Row],[quality]],Lookups!$A$26:$C$33,3,FALSE),1)</f>
        <v>0.98079741117310582</v>
      </c>
      <c r="BU1217" s="4">
        <f>_xlfn.IFNA(VLOOKUP(Grandview_Inventory[[#This Row],[condition]],Lookups!$A$37:$C$44,3,FALSE),1)</f>
        <v>0.96469275950863709</v>
      </c>
      <c r="BV1217" s="4">
        <f>IF(Grandview_Inventory[[#This Row],[bldg_style]]="",1,_xlfn.IFNA(VLOOKUP(Grandview_Inventory[[#This Row],[decade]],Lookups!$F$29:$H$43,3,FALSE),1))</f>
        <v>0.92255236374249616</v>
      </c>
      <c r="BW1217" s="4">
        <f>_xlfn.IFNA(VLOOKUP(Grandview_Inventory[[#This Row],[living_area_range]],Lookups!$F$47:$H$56,3,FALSE),1)</f>
        <v>0.96135087979789358</v>
      </c>
      <c r="BX1217" s="4">
        <f>AVERAGE(Grandview_Inventory[[#This Row],[qual_adj]:[size_adj]])</f>
        <v>0.95734835355553316</v>
      </c>
      <c r="BY1217" s="6">
        <f>IF(Grandview_Inventory[[#This Row],[pre_res]]&lt;0,0,Grandview_Inventory[[#This Row],[pre_res]]*Grandview_Inventory[[#This Row],[overall_adj]])</f>
        <v>233451.06193468077</v>
      </c>
      <c r="BZ1217" s="6">
        <f>(Grandview_Inventory[[#This Row],[sum_land]]-IF(Grandview_Inventory[[#This Row],[no_utilities]]=1,12000,0))/IF(Grandview_Inventory[[#This Row],[unbuildable]]=1,2,1)</f>
        <v>39865.326192247165</v>
      </c>
      <c r="CA1217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217">
        <f>ROUND(Grandview_Inventory[[#This Row],[det_value]]*Lookups!$M$28,-2)</f>
        <v>0</v>
      </c>
      <c r="CC1217">
        <f>IF(ROUND(Grandview_Inventory[[#This Row],[adj_res]]*Lookups!$M$28,-2)&lt;Grandview_Inventory[[#This Row],[min_res]],Grandview_Inventory[[#This Row],[min_res]],ROUND(Grandview_Inventory[[#This Row],[adj_res]]*Lookups!$M$28,-2))</f>
        <v>221800</v>
      </c>
      <c r="CD1217">
        <f>Grandview_Inventory[[#This Row],[final_det]]+Grandview_Inventory[[#This Row],[final_res]]</f>
        <v>221800</v>
      </c>
      <c r="CE1217">
        <f>Grandview_Inventory[[#This Row],[final_land]]+Grandview_Inventory[[#This Row],[final_imp]]+Grandview_Inventory[[#This Row],[crop_value]]</f>
        <v>259700</v>
      </c>
      <c r="CG1217" t="str">
        <f t="shared" si="18"/>
        <v>update valuation set market_land =37900, market_bldg=221800, market_total =259700, market_mdno =401, market_date ='9/10/2023' where link_id = (select link_id from parcel where parcel_year = '2024' and parcel_id = '23092311442');</v>
      </c>
    </row>
    <row r="1218" spans="1:85" x14ac:dyDescent="0.25">
      <c r="A1218">
        <v>23092311443</v>
      </c>
      <c r="B1218">
        <v>0.1</v>
      </c>
      <c r="C1218">
        <v>4450</v>
      </c>
      <c r="D1218" t="s">
        <v>129</v>
      </c>
      <c r="E1218" t="s">
        <v>53</v>
      </c>
      <c r="F1218" t="s">
        <v>53</v>
      </c>
      <c r="G1218">
        <v>4</v>
      </c>
      <c r="H1218" t="s">
        <v>54</v>
      </c>
      <c r="I1218">
        <v>115300</v>
      </c>
      <c r="J1218">
        <v>37900</v>
      </c>
      <c r="K1218">
        <v>0.1</v>
      </c>
      <c r="L1218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1218">
        <v>0</v>
      </c>
      <c r="N1218">
        <v>0</v>
      </c>
      <c r="O1218">
        <v>0</v>
      </c>
      <c r="P1218">
        <v>13398.7528</v>
      </c>
      <c r="Q1218">
        <v>63903</v>
      </c>
      <c r="R1218">
        <f>(Grandview_Inventory[[#This Row],[ln_acres]]*Grandview_Inventory[[#This Row],[coeff]])+Grandview_Inventory[[#This Row],[const]]</f>
        <v>33051.231538007778</v>
      </c>
      <c r="S1218" t="s">
        <v>55</v>
      </c>
      <c r="T1218">
        <v>2</v>
      </c>
      <c r="U1218" t="s">
        <v>70</v>
      </c>
      <c r="V1218" t="s">
        <v>78</v>
      </c>
      <c r="W1218">
        <v>0</v>
      </c>
      <c r="X1218">
        <v>0</v>
      </c>
      <c r="Y1218">
        <v>57</v>
      </c>
      <c r="Z1218">
        <v>103</v>
      </c>
      <c r="AA1218">
        <v>110</v>
      </c>
      <c r="AB1218">
        <v>1500</v>
      </c>
      <c r="AC1218">
        <v>1196</v>
      </c>
      <c r="AD1218">
        <v>860</v>
      </c>
      <c r="AE1218">
        <v>336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300</v>
      </c>
      <c r="AN1218">
        <v>0</v>
      </c>
      <c r="AO1218">
        <v>420</v>
      </c>
      <c r="AP1218">
        <v>5</v>
      </c>
      <c r="AQ1218">
        <v>0</v>
      </c>
      <c r="AR1218">
        <v>0</v>
      </c>
      <c r="AS1218" t="s">
        <v>58</v>
      </c>
      <c r="AT1218">
        <v>1</v>
      </c>
      <c r="AU1218" t="s">
        <v>75</v>
      </c>
      <c r="AV1218" t="s">
        <v>60</v>
      </c>
      <c r="AW1218">
        <v>0</v>
      </c>
      <c r="AX1218">
        <v>2</v>
      </c>
      <c r="AY1218">
        <v>0</v>
      </c>
      <c r="AZ1218">
        <v>0</v>
      </c>
      <c r="BA1218">
        <v>100</v>
      </c>
      <c r="BB1218">
        <v>100</v>
      </c>
      <c r="BC1218">
        <v>100</v>
      </c>
      <c r="BD1218">
        <v>100</v>
      </c>
      <c r="BE1218">
        <v>1</v>
      </c>
      <c r="BF1218">
        <v>15000</v>
      </c>
      <c r="BG1218">
        <v>1000</v>
      </c>
      <c r="BH1218" s="6">
        <f>Grandview_Inventory[[#This Row],[land_extract]]*Lookups!$B$3</f>
        <v>38382.305946763277</v>
      </c>
      <c r="BI1218" s="6">
        <f>IF(Grandview_Inventory[[#This Row],[bldg_style]]="",0,Lookups!$B$2)</f>
        <v>155833.95000000001</v>
      </c>
      <c r="BJ1218" s="6">
        <f>_xlfn.IFNA(VLOOKUP(Grandview_Inventory[[#This Row],[quality]],Lookups!$H$2:$J$14,3,FALSE),0)</f>
        <v>10733</v>
      </c>
      <c r="BK1218" s="6">
        <f>_xlfn.IFNA(VLOOKUP(Grandview_Inventory[[#This Row],[condition]],Lookups!$H$17:$J$24,3,FALSE),0)</f>
        <v>-45357</v>
      </c>
      <c r="BL1218" s="6">
        <f>Grandview_Inventory[[#This Row],[Eff_Age]]*Lookups!$B$14</f>
        <v>-13632.4962</v>
      </c>
      <c r="BM1218" s="6">
        <f>Grandview_Inventory[[#This Row],[living_area]]*Lookups!$B$15</f>
        <v>74607.500188000005</v>
      </c>
      <c r="BN1218" s="6">
        <f>Grandview_Inventory[[#This Row],[Fin BSMT]]*Lookups!$B$16</f>
        <v>0</v>
      </c>
      <c r="BO1218" s="6">
        <f>(Grandview_Inventory[[#This Row],[att_gar]]+Grandview_Inventory[[#This Row],[bltin_gar]])*Lookups!$B$17</f>
        <v>0</v>
      </c>
      <c r="BP1218" s="6">
        <f>Grandview_Inventory[[#This Row],[Plumbing Fixtures]]*Lookups!$B$18</f>
        <v>10052.209000000001</v>
      </c>
      <c r="BQ1218" s="6">
        <f>Grandview_Inventory[[#This Row],[detatched_value]]*Lookups!$B$19</f>
        <v>0</v>
      </c>
      <c r="BR1218" s="6">
        <f>SUM(Grandview_Inventory[[#This Row],[Intercept]:[det_value]])*Grandview_Inventory[[#This Row],[res_pct]]</f>
        <v>192237.16298800003</v>
      </c>
      <c r="BS1218" s="6">
        <f>Grandview_Inventory[[#This Row],[land_value]]</f>
        <v>38382.305946763277</v>
      </c>
      <c r="BT1218" s="4">
        <f>_xlfn.IFNA(VLOOKUP(Grandview_Inventory[[#This Row],[quality]],Lookups!$A$26:$C$33,3,FALSE),1)</f>
        <v>0.98079741117310582</v>
      </c>
      <c r="BU1218" s="4">
        <f>_xlfn.IFNA(VLOOKUP(Grandview_Inventory[[#This Row],[condition]],Lookups!$A$37:$C$44,3,FALSE),1)</f>
        <v>0.97161819570155394</v>
      </c>
      <c r="BV1218" s="4">
        <f>IF(Grandview_Inventory[[#This Row],[bldg_style]]="",1,_xlfn.IFNA(VLOOKUP(Grandview_Inventory[[#This Row],[decade]],Lookups!$F$29:$H$43,3,FALSE),1))</f>
        <v>0.92255236374249616</v>
      </c>
      <c r="BW1218" s="4">
        <f>_xlfn.IFNA(VLOOKUP(Grandview_Inventory[[#This Row],[living_area_range]],Lookups!$F$47:$H$56,3,FALSE),1)</f>
        <v>0.96135087979789358</v>
      </c>
      <c r="BX1218" s="4">
        <f>AVERAGE(Grandview_Inventory[[#This Row],[qual_adj]:[size_adj]])</f>
        <v>0.95907971260376235</v>
      </c>
      <c r="BY1218" s="6">
        <f>IF(Grandview_Inventory[[#This Row],[pre_res]]&lt;0,0,Grandview_Inventory[[#This Row],[pre_res]]*Grandview_Inventory[[#This Row],[overall_adj]])</f>
        <v>184370.76303029369</v>
      </c>
      <c r="BZ1218" s="6">
        <f>(Grandview_Inventory[[#This Row],[sum_land]]-IF(Grandview_Inventory[[#This Row],[no_utilities]]=1,12000,0))/IF(Grandview_Inventory[[#This Row],[unbuildable]]=1,2,1)</f>
        <v>38382.305946763277</v>
      </c>
      <c r="CA1218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1218">
        <f>ROUND(Grandview_Inventory[[#This Row],[det_value]]*Lookups!$M$28,-2)</f>
        <v>0</v>
      </c>
      <c r="CC1218">
        <f>IF(ROUND(Grandview_Inventory[[#This Row],[adj_res]]*Lookups!$M$28,-2)&lt;Grandview_Inventory[[#This Row],[min_res]],Grandview_Inventory[[#This Row],[min_res]],ROUND(Grandview_Inventory[[#This Row],[adj_res]]*Lookups!$M$28,-2))</f>
        <v>175200</v>
      </c>
      <c r="CD1218">
        <f>Grandview_Inventory[[#This Row],[final_det]]+Grandview_Inventory[[#This Row],[final_res]]</f>
        <v>175200</v>
      </c>
      <c r="CE1218">
        <f>Grandview_Inventory[[#This Row],[final_land]]+Grandview_Inventory[[#This Row],[final_imp]]+Grandview_Inventory[[#This Row],[crop_value]]</f>
        <v>211700</v>
      </c>
      <c r="CG1218" t="str">
        <f t="shared" si="18"/>
        <v>update valuation set market_land =36500, market_bldg=175200, market_total =211700, market_mdno =401, market_date ='9/10/2023' where link_id = (select link_id from parcel where parcel_year = '2024' and parcel_id = '23092311443');</v>
      </c>
    </row>
    <row r="1219" spans="1:85" x14ac:dyDescent="0.25">
      <c r="A1219">
        <v>23092311444</v>
      </c>
      <c r="B1219">
        <v>0.19</v>
      </c>
      <c r="C1219">
        <v>8425</v>
      </c>
      <c r="D1219" t="s">
        <v>129</v>
      </c>
      <c r="E1219" t="s">
        <v>53</v>
      </c>
      <c r="F1219" t="s">
        <v>53</v>
      </c>
      <c r="G1219">
        <v>4</v>
      </c>
      <c r="H1219" t="s">
        <v>54</v>
      </c>
      <c r="I1219">
        <v>110800</v>
      </c>
      <c r="J1219">
        <v>39700</v>
      </c>
      <c r="K1219">
        <v>0.19</v>
      </c>
      <c r="L121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219">
        <v>0</v>
      </c>
      <c r="N1219">
        <v>0</v>
      </c>
      <c r="O1219">
        <v>0</v>
      </c>
      <c r="P1219">
        <v>13398.7528</v>
      </c>
      <c r="Q1219">
        <v>63903</v>
      </c>
      <c r="R1219">
        <f>(Grandview_Inventory[[#This Row],[ln_acres]]*Grandview_Inventory[[#This Row],[coeff]])+Grandview_Inventory[[#This Row],[const]]</f>
        <v>41651.273092551026</v>
      </c>
      <c r="S1219" t="s">
        <v>85</v>
      </c>
      <c r="T1219">
        <v>1</v>
      </c>
      <c r="U1219" t="s">
        <v>70</v>
      </c>
      <c r="V1219" t="s">
        <v>69</v>
      </c>
      <c r="W1219">
        <v>0</v>
      </c>
      <c r="X1219">
        <v>0</v>
      </c>
      <c r="Y1219">
        <v>52</v>
      </c>
      <c r="Z1219">
        <v>88</v>
      </c>
      <c r="AA1219">
        <v>90</v>
      </c>
      <c r="AB1219">
        <v>1000</v>
      </c>
      <c r="AC1219">
        <v>780</v>
      </c>
      <c r="AD1219">
        <v>780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84</v>
      </c>
      <c r="AO1219">
        <v>0</v>
      </c>
      <c r="AP1219">
        <v>5</v>
      </c>
      <c r="AQ1219">
        <v>0</v>
      </c>
      <c r="AR1219">
        <v>0</v>
      </c>
      <c r="AS1219" t="s">
        <v>58</v>
      </c>
      <c r="AT1219">
        <v>1</v>
      </c>
      <c r="AU1219" t="s">
        <v>75</v>
      </c>
      <c r="AV1219" t="s">
        <v>60</v>
      </c>
      <c r="AW1219">
        <v>0</v>
      </c>
      <c r="AX1219">
        <v>2</v>
      </c>
      <c r="AY1219">
        <v>0</v>
      </c>
      <c r="AZ1219">
        <v>12300</v>
      </c>
      <c r="BA1219">
        <v>100</v>
      </c>
      <c r="BB1219">
        <v>100</v>
      </c>
      <c r="BC1219">
        <v>100</v>
      </c>
      <c r="BD1219">
        <v>100</v>
      </c>
      <c r="BE1219">
        <v>1</v>
      </c>
      <c r="BF1219">
        <v>15000</v>
      </c>
      <c r="BG1219">
        <v>1000</v>
      </c>
      <c r="BH1219" s="6">
        <f>Grandview_Inventory[[#This Row],[land_extract]]*Lookups!$B$3</f>
        <v>48369.510983942157</v>
      </c>
      <c r="BI1219" s="6">
        <f>IF(Grandview_Inventory[[#This Row],[bldg_style]]="",0,Lookups!$B$2)</f>
        <v>155833.95000000001</v>
      </c>
      <c r="BJ1219" s="6">
        <f>_xlfn.IFNA(VLOOKUP(Grandview_Inventory[[#This Row],[quality]],Lookups!$H$2:$J$14,3,FALSE),0)</f>
        <v>10733</v>
      </c>
      <c r="BK1219" s="6">
        <f>_xlfn.IFNA(VLOOKUP(Grandview_Inventory[[#This Row],[condition]],Lookups!$H$17:$J$24,3,FALSE),0)</f>
        <v>-4503</v>
      </c>
      <c r="BL1219" s="6">
        <f>Grandview_Inventory[[#This Row],[Eff_Age]]*Lookups!$B$14</f>
        <v>-12436.663199999999</v>
      </c>
      <c r="BM1219" s="6">
        <f>Grandview_Inventory[[#This Row],[living_area]]*Lookups!$B$15</f>
        <v>48657.065340000001</v>
      </c>
      <c r="BN1219" s="6">
        <f>Grandview_Inventory[[#This Row],[Fin BSMT]]*Lookups!$B$16</f>
        <v>0</v>
      </c>
      <c r="BO1219" s="6">
        <f>(Grandview_Inventory[[#This Row],[att_gar]]+Grandview_Inventory[[#This Row],[bltin_gar]])*Lookups!$B$17</f>
        <v>0</v>
      </c>
      <c r="BP1219" s="6">
        <f>Grandview_Inventory[[#This Row],[Plumbing Fixtures]]*Lookups!$B$18</f>
        <v>10052.209000000001</v>
      </c>
      <c r="BQ1219" s="6">
        <f>Grandview_Inventory[[#This Row],[detatched_value]]*Lookups!$B$19</f>
        <v>10415.702729999999</v>
      </c>
      <c r="BR1219" s="6">
        <f>SUM(Grandview_Inventory[[#This Row],[Intercept]:[det_value]])*Grandview_Inventory[[#This Row],[res_pct]]</f>
        <v>218752.26387</v>
      </c>
      <c r="BS1219" s="6">
        <f>Grandview_Inventory[[#This Row],[land_value]]</f>
        <v>48369.510983942157</v>
      </c>
      <c r="BT1219" s="4">
        <f>_xlfn.IFNA(VLOOKUP(Grandview_Inventory[[#This Row],[quality]],Lookups!$A$26:$C$33,3,FALSE),1)</f>
        <v>0.98079741117310582</v>
      </c>
      <c r="BU1219" s="4">
        <f>_xlfn.IFNA(VLOOKUP(Grandview_Inventory[[#This Row],[condition]],Lookups!$A$37:$C$44,3,FALSE),1)</f>
        <v>0.96469275950863709</v>
      </c>
      <c r="BV1219" s="4">
        <f>IF(Grandview_Inventory[[#This Row],[bldg_style]]="",1,_xlfn.IFNA(VLOOKUP(Grandview_Inventory[[#This Row],[decade]],Lookups!$F$29:$H$43,3,FALSE),1))</f>
        <v>0.94161750052457416</v>
      </c>
      <c r="BW1219" s="4">
        <f>_xlfn.IFNA(VLOOKUP(Grandview_Inventory[[#This Row],[living_area_range]],Lookups!$F$47:$H$56,3,FALSE),1)</f>
        <v>0.94306777142782894</v>
      </c>
      <c r="BX1219" s="4">
        <f>AVERAGE(Grandview_Inventory[[#This Row],[qual_adj]:[size_adj]])</f>
        <v>0.95754386065853647</v>
      </c>
      <c r="BY1219" s="6">
        <f>IF(Grandview_Inventory[[#This Row],[pre_res]]&lt;0,0,Grandview_Inventory[[#This Row],[pre_res]]*Grandview_Inventory[[#This Row],[overall_adj]])</f>
        <v>209464.88727387469</v>
      </c>
      <c r="BZ1219" s="6">
        <f>(Grandview_Inventory[[#This Row],[sum_land]]-IF(Grandview_Inventory[[#This Row],[no_utilities]]=1,12000,0))/IF(Grandview_Inventory[[#This Row],[unbuildable]]=1,2,1)</f>
        <v>48369.510983942157</v>
      </c>
      <c r="CA121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219">
        <f>ROUND(Grandview_Inventory[[#This Row],[det_value]]*Lookups!$M$28,-2)</f>
        <v>9900</v>
      </c>
      <c r="CC1219">
        <f>IF(ROUND(Grandview_Inventory[[#This Row],[adj_res]]*Lookups!$M$28,-2)&lt;Grandview_Inventory[[#This Row],[min_res]],Grandview_Inventory[[#This Row],[min_res]],ROUND(Grandview_Inventory[[#This Row],[adj_res]]*Lookups!$M$28,-2))</f>
        <v>199000</v>
      </c>
      <c r="CD1219">
        <f>Grandview_Inventory[[#This Row],[final_det]]+Grandview_Inventory[[#This Row],[final_res]]</f>
        <v>208900</v>
      </c>
      <c r="CE1219">
        <f>Grandview_Inventory[[#This Row],[final_land]]+Grandview_Inventory[[#This Row],[final_imp]]+Grandview_Inventory[[#This Row],[crop_value]]</f>
        <v>254900</v>
      </c>
      <c r="CG1219" t="str">
        <f t="shared" ref="CG1219:CG1282" si="19">"update valuation set market_land ="&amp;CA1219&amp;", market_bldg="&amp;CD1219&amp;", market_total ="&amp;CE1219&amp;", market_mdno ="&amp;$CG$1&amp;", market_date ='"&amp;TEXT($CH$1,"m/d/yyyy")&amp;"' where link_id = (select link_id from parcel where parcel_year = '2024' and parcel_id = '"&amp;A1219&amp;"');"</f>
        <v>update valuation set market_land =46000, market_bldg=208900, market_total =254900, market_mdno =401, market_date ='9/10/2023' where link_id = (select link_id from parcel where parcel_year = '2024' and parcel_id = '23092311444');</v>
      </c>
    </row>
    <row r="1220" spans="1:85" x14ac:dyDescent="0.25">
      <c r="A1220">
        <v>23092311445</v>
      </c>
      <c r="B1220">
        <v>0.19</v>
      </c>
      <c r="C1220">
        <v>8420</v>
      </c>
      <c r="D1220" t="s">
        <v>129</v>
      </c>
      <c r="E1220" t="s">
        <v>53</v>
      </c>
      <c r="F1220" t="s">
        <v>53</v>
      </c>
      <c r="G1220">
        <v>4</v>
      </c>
      <c r="H1220" t="s">
        <v>54</v>
      </c>
      <c r="I1220">
        <v>148600</v>
      </c>
      <c r="J1220">
        <v>39700</v>
      </c>
      <c r="K1220">
        <v>0.19</v>
      </c>
      <c r="L122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220">
        <v>0</v>
      </c>
      <c r="N1220">
        <v>0</v>
      </c>
      <c r="O1220">
        <v>0</v>
      </c>
      <c r="P1220">
        <v>13398.7528</v>
      </c>
      <c r="Q1220">
        <v>63903</v>
      </c>
      <c r="R1220">
        <f>(Grandview_Inventory[[#This Row],[ln_acres]]*Grandview_Inventory[[#This Row],[coeff]])+Grandview_Inventory[[#This Row],[const]]</f>
        <v>41651.273092551026</v>
      </c>
      <c r="S1220" t="s">
        <v>68</v>
      </c>
      <c r="T1220">
        <v>1</v>
      </c>
      <c r="U1220" t="s">
        <v>70</v>
      </c>
      <c r="V1220" t="s">
        <v>69</v>
      </c>
      <c r="W1220">
        <v>0</v>
      </c>
      <c r="X1220">
        <v>0</v>
      </c>
      <c r="Y1220">
        <v>54</v>
      </c>
      <c r="Z1220">
        <v>95</v>
      </c>
      <c r="AA1220">
        <v>100</v>
      </c>
      <c r="AB1220">
        <v>1500</v>
      </c>
      <c r="AC1220">
        <v>1372</v>
      </c>
      <c r="AD1220">
        <v>1372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380</v>
      </c>
      <c r="AL1220">
        <v>0</v>
      </c>
      <c r="AM1220">
        <v>0</v>
      </c>
      <c r="AN1220">
        <v>12</v>
      </c>
      <c r="AO1220">
        <v>0</v>
      </c>
      <c r="AP1220">
        <v>5</v>
      </c>
      <c r="AQ1220">
        <v>0</v>
      </c>
      <c r="AR1220">
        <v>0</v>
      </c>
      <c r="AS1220" t="s">
        <v>58</v>
      </c>
      <c r="AT1220">
        <v>1</v>
      </c>
      <c r="AU1220" t="s">
        <v>75</v>
      </c>
      <c r="AV1220" t="s">
        <v>60</v>
      </c>
      <c r="AW1220">
        <v>0</v>
      </c>
      <c r="AX1220">
        <v>3</v>
      </c>
      <c r="AY1220">
        <v>0</v>
      </c>
      <c r="AZ1220">
        <v>0</v>
      </c>
      <c r="BA1220">
        <v>100</v>
      </c>
      <c r="BB1220">
        <v>100</v>
      </c>
      <c r="BC1220">
        <v>100</v>
      </c>
      <c r="BD1220">
        <v>100</v>
      </c>
      <c r="BE1220">
        <v>1</v>
      </c>
      <c r="BF1220">
        <v>15000</v>
      </c>
      <c r="BG1220">
        <v>1000</v>
      </c>
      <c r="BH1220" s="6">
        <f>Grandview_Inventory[[#This Row],[land_extract]]*Lookups!$B$3</f>
        <v>48369.510983942157</v>
      </c>
      <c r="BI1220" s="6">
        <f>IF(Grandview_Inventory[[#This Row],[bldg_style]]="",0,Lookups!$B$2)</f>
        <v>155833.95000000001</v>
      </c>
      <c r="BJ1220" s="6">
        <f>_xlfn.IFNA(VLOOKUP(Grandview_Inventory[[#This Row],[quality]],Lookups!$H$2:$J$14,3,FALSE),0)</f>
        <v>10733</v>
      </c>
      <c r="BK1220" s="6">
        <f>_xlfn.IFNA(VLOOKUP(Grandview_Inventory[[#This Row],[condition]],Lookups!$H$17:$J$24,3,FALSE),0)</f>
        <v>-4503</v>
      </c>
      <c r="BL1220" s="6">
        <f>Grandview_Inventory[[#This Row],[Eff_Age]]*Lookups!$B$14</f>
        <v>-12914.9964</v>
      </c>
      <c r="BM1220" s="6">
        <f>Grandview_Inventory[[#This Row],[living_area]]*Lookups!$B$15</f>
        <v>85586.530316000004</v>
      </c>
      <c r="BN1220" s="6">
        <f>Grandview_Inventory[[#This Row],[Fin BSMT]]*Lookups!$B$16</f>
        <v>0</v>
      </c>
      <c r="BO1220" s="6">
        <f>(Grandview_Inventory[[#This Row],[att_gar]]+Grandview_Inventory[[#This Row],[bltin_gar]])*Lookups!$B$17</f>
        <v>0</v>
      </c>
      <c r="BP1220" s="6">
        <f>Grandview_Inventory[[#This Row],[Plumbing Fixtures]]*Lookups!$B$18</f>
        <v>10052.209000000001</v>
      </c>
      <c r="BQ1220" s="6">
        <f>Grandview_Inventory[[#This Row],[detatched_value]]*Lookups!$B$19</f>
        <v>0</v>
      </c>
      <c r="BR1220" s="6">
        <f>SUM(Grandview_Inventory[[#This Row],[Intercept]:[det_value]])*Grandview_Inventory[[#This Row],[res_pct]]</f>
        <v>244787.692916</v>
      </c>
      <c r="BS1220" s="6">
        <f>Grandview_Inventory[[#This Row],[land_value]]</f>
        <v>48369.510983942157</v>
      </c>
      <c r="BT1220" s="4">
        <f>_xlfn.IFNA(VLOOKUP(Grandview_Inventory[[#This Row],[quality]],Lookups!$A$26:$C$33,3,FALSE),1)</f>
        <v>0.98079741117310582</v>
      </c>
      <c r="BU1220" s="4">
        <f>_xlfn.IFNA(VLOOKUP(Grandview_Inventory[[#This Row],[condition]],Lookups!$A$37:$C$44,3,FALSE),1)</f>
        <v>0.96469275950863709</v>
      </c>
      <c r="BV1220" s="4">
        <f>IF(Grandview_Inventory[[#This Row],[bldg_style]]="",1,_xlfn.IFNA(VLOOKUP(Grandview_Inventory[[#This Row],[decade]],Lookups!$F$29:$H$43,3,FALSE),1))</f>
        <v>0.95244691841736806</v>
      </c>
      <c r="BW1220" s="4">
        <f>_xlfn.IFNA(VLOOKUP(Grandview_Inventory[[#This Row],[living_area_range]],Lookups!$F$47:$H$56,3,FALSE),1)</f>
        <v>0.96135087979789358</v>
      </c>
      <c r="BX1220" s="4">
        <f>AVERAGE(Grandview_Inventory[[#This Row],[qual_adj]:[size_adj]])</f>
        <v>0.96482199222425113</v>
      </c>
      <c r="BY1220" s="6">
        <f>IF(Grandview_Inventory[[#This Row],[pre_res]]&lt;0,0,Grandview_Inventory[[#This Row],[pre_res]]*Grandview_Inventory[[#This Row],[overall_adj]])</f>
        <v>236176.54955119334</v>
      </c>
      <c r="BZ1220" s="6">
        <f>(Grandview_Inventory[[#This Row],[sum_land]]-IF(Grandview_Inventory[[#This Row],[no_utilities]]=1,12000,0))/IF(Grandview_Inventory[[#This Row],[unbuildable]]=1,2,1)</f>
        <v>48369.510983942157</v>
      </c>
      <c r="CA122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220">
        <f>ROUND(Grandview_Inventory[[#This Row],[det_value]]*Lookups!$M$28,-2)</f>
        <v>0</v>
      </c>
      <c r="CC1220">
        <f>IF(ROUND(Grandview_Inventory[[#This Row],[adj_res]]*Lookups!$M$28,-2)&lt;Grandview_Inventory[[#This Row],[min_res]],Grandview_Inventory[[#This Row],[min_res]],ROUND(Grandview_Inventory[[#This Row],[adj_res]]*Lookups!$M$28,-2))</f>
        <v>224400</v>
      </c>
      <c r="CD1220">
        <f>Grandview_Inventory[[#This Row],[final_det]]+Grandview_Inventory[[#This Row],[final_res]]</f>
        <v>224400</v>
      </c>
      <c r="CE1220">
        <f>Grandview_Inventory[[#This Row],[final_land]]+Grandview_Inventory[[#This Row],[final_imp]]+Grandview_Inventory[[#This Row],[crop_value]]</f>
        <v>270400</v>
      </c>
      <c r="CG1220" t="str">
        <f t="shared" si="19"/>
        <v>update valuation set market_land =46000, market_bldg=224400, market_total =270400, market_mdno =401, market_date ='9/10/2023' where link_id = (select link_id from parcel where parcel_year = '2024' and parcel_id = '23092311445');</v>
      </c>
    </row>
    <row r="1221" spans="1:85" x14ac:dyDescent="0.25">
      <c r="A1221">
        <v>23092311446</v>
      </c>
      <c r="B1221">
        <v>0.18</v>
      </c>
      <c r="C1221">
        <v>7987</v>
      </c>
      <c r="D1221" t="s">
        <v>129</v>
      </c>
      <c r="E1221" t="s">
        <v>53</v>
      </c>
      <c r="F1221" t="s">
        <v>53</v>
      </c>
      <c r="G1221">
        <v>4</v>
      </c>
      <c r="H1221" t="s">
        <v>54</v>
      </c>
      <c r="I1221">
        <v>155300</v>
      </c>
      <c r="J1221">
        <v>39300</v>
      </c>
      <c r="K1221">
        <v>0.18</v>
      </c>
      <c r="L12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21">
        <v>0</v>
      </c>
      <c r="N1221">
        <v>0</v>
      </c>
      <c r="O1221">
        <v>0</v>
      </c>
      <c r="P1221">
        <v>13398.7528</v>
      </c>
      <c r="Q1221">
        <v>63903</v>
      </c>
      <c r="R1221">
        <f>(Grandview_Inventory[[#This Row],[ln_acres]]*Grandview_Inventory[[#This Row],[coeff]])+Grandview_Inventory[[#This Row],[const]]</f>
        <v>40926.839760167699</v>
      </c>
      <c r="S1221" t="s">
        <v>85</v>
      </c>
      <c r="T1221">
        <v>1</v>
      </c>
      <c r="U1221" t="s">
        <v>70</v>
      </c>
      <c r="V1221" t="s">
        <v>69</v>
      </c>
      <c r="W1221">
        <v>0</v>
      </c>
      <c r="X1221">
        <v>0</v>
      </c>
      <c r="Y1221">
        <v>54</v>
      </c>
      <c r="Z1221">
        <v>95</v>
      </c>
      <c r="AA1221">
        <v>100</v>
      </c>
      <c r="AB1221">
        <v>1500</v>
      </c>
      <c r="AC1221">
        <v>1080</v>
      </c>
      <c r="AD1221">
        <v>1080</v>
      </c>
      <c r="AE1221">
        <v>0</v>
      </c>
      <c r="AF1221">
        <v>0</v>
      </c>
      <c r="AG1221">
        <v>0</v>
      </c>
      <c r="AH1221">
        <v>810</v>
      </c>
      <c r="AI1221">
        <v>0</v>
      </c>
      <c r="AJ1221">
        <v>0</v>
      </c>
      <c r="AK1221">
        <v>0</v>
      </c>
      <c r="AL1221">
        <v>0</v>
      </c>
      <c r="AM1221">
        <v>198</v>
      </c>
      <c r="AN1221">
        <v>115</v>
      </c>
      <c r="AO1221">
        <v>198</v>
      </c>
      <c r="AP1221">
        <v>5</v>
      </c>
      <c r="AQ1221">
        <v>0</v>
      </c>
      <c r="AR1221">
        <v>1</v>
      </c>
      <c r="AS1221" t="s">
        <v>58</v>
      </c>
      <c r="AT1221">
        <v>1</v>
      </c>
      <c r="AU1221" t="s">
        <v>59</v>
      </c>
      <c r="AV1221" t="s">
        <v>60</v>
      </c>
      <c r="AW1221">
        <v>1</v>
      </c>
      <c r="AX1221">
        <v>3</v>
      </c>
      <c r="AY1221">
        <v>0</v>
      </c>
      <c r="AZ1221">
        <v>5600</v>
      </c>
      <c r="BA1221">
        <v>100</v>
      </c>
      <c r="BB1221">
        <v>100</v>
      </c>
      <c r="BC1221">
        <v>100</v>
      </c>
      <c r="BD1221">
        <v>100</v>
      </c>
      <c r="BE1221">
        <v>1</v>
      </c>
      <c r="BF1221">
        <v>15000</v>
      </c>
      <c r="BG1221">
        <v>1000</v>
      </c>
      <c r="BH1221" s="6">
        <f>Grandview_Inventory[[#This Row],[land_extract]]*Lookups!$B$3</f>
        <v>47528.228511015397</v>
      </c>
      <c r="BI1221" s="6">
        <f>IF(Grandview_Inventory[[#This Row],[bldg_style]]="",0,Lookups!$B$2)</f>
        <v>155833.95000000001</v>
      </c>
      <c r="BJ1221" s="6">
        <f>_xlfn.IFNA(VLOOKUP(Grandview_Inventory[[#This Row],[quality]],Lookups!$H$2:$J$14,3,FALSE),0)</f>
        <v>10733</v>
      </c>
      <c r="BK1221" s="6">
        <f>_xlfn.IFNA(VLOOKUP(Grandview_Inventory[[#This Row],[condition]],Lookups!$H$17:$J$24,3,FALSE),0)</f>
        <v>-4503</v>
      </c>
      <c r="BL1221" s="6">
        <f>Grandview_Inventory[[#This Row],[Eff_Age]]*Lookups!$B$14</f>
        <v>-12914.9964</v>
      </c>
      <c r="BM1221" s="6">
        <f>Grandview_Inventory[[#This Row],[living_area]]*Lookups!$B$15</f>
        <v>67371.321240000005</v>
      </c>
      <c r="BN1221" s="6">
        <f>Grandview_Inventory[[#This Row],[Fin BSMT]]*Lookups!$B$16</f>
        <v>0</v>
      </c>
      <c r="BO1221" s="6">
        <f>(Grandview_Inventory[[#This Row],[att_gar]]+Grandview_Inventory[[#This Row],[bltin_gar]])*Lookups!$B$17</f>
        <v>0</v>
      </c>
      <c r="BP1221" s="6">
        <f>Grandview_Inventory[[#This Row],[Plumbing Fixtures]]*Lookups!$B$18</f>
        <v>10052.209000000001</v>
      </c>
      <c r="BQ1221" s="6">
        <f>Grandview_Inventory[[#This Row],[detatched_value]]*Lookups!$B$19</f>
        <v>4742.1085599999997</v>
      </c>
      <c r="BR1221" s="6">
        <f>SUM(Grandview_Inventory[[#This Row],[Intercept]:[det_value]])*Grandview_Inventory[[#This Row],[res_pct]]</f>
        <v>231314.59240000002</v>
      </c>
      <c r="BS1221" s="6">
        <f>Grandview_Inventory[[#This Row],[land_value]]</f>
        <v>47528.228511015397</v>
      </c>
      <c r="BT1221" s="4">
        <f>_xlfn.IFNA(VLOOKUP(Grandview_Inventory[[#This Row],[quality]],Lookups!$A$26:$C$33,3,FALSE),1)</f>
        <v>0.98079741117310582</v>
      </c>
      <c r="BU1221" s="4">
        <f>_xlfn.IFNA(VLOOKUP(Grandview_Inventory[[#This Row],[condition]],Lookups!$A$37:$C$44,3,FALSE),1)</f>
        <v>0.96469275950863709</v>
      </c>
      <c r="BV1221" s="4">
        <f>IF(Grandview_Inventory[[#This Row],[bldg_style]]="",1,_xlfn.IFNA(VLOOKUP(Grandview_Inventory[[#This Row],[decade]],Lookups!$F$29:$H$43,3,FALSE),1))</f>
        <v>0.95244691841736806</v>
      </c>
      <c r="BW1221" s="4">
        <f>_xlfn.IFNA(VLOOKUP(Grandview_Inventory[[#This Row],[living_area_range]],Lookups!$F$47:$H$56,3,FALSE),1)</f>
        <v>0.96135087979789358</v>
      </c>
      <c r="BX1221" s="4">
        <f>AVERAGE(Grandview_Inventory[[#This Row],[qual_adj]:[size_adj]])</f>
        <v>0.96482199222425113</v>
      </c>
      <c r="BY1221" s="6">
        <f>IF(Grandview_Inventory[[#This Row],[pre_res]]&lt;0,0,Grandview_Inventory[[#This Row],[pre_res]]*Grandview_Inventory[[#This Row],[overall_adj]])</f>
        <v>223177.40586990863</v>
      </c>
      <c r="BZ1221" s="6">
        <f>(Grandview_Inventory[[#This Row],[sum_land]]-IF(Grandview_Inventory[[#This Row],[no_utilities]]=1,12000,0))/IF(Grandview_Inventory[[#This Row],[unbuildable]]=1,2,1)</f>
        <v>47528.228511015397</v>
      </c>
      <c r="CA12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21">
        <f>ROUND(Grandview_Inventory[[#This Row],[det_value]]*Lookups!$M$28,-2)</f>
        <v>4500</v>
      </c>
      <c r="CC1221">
        <f>IF(ROUND(Grandview_Inventory[[#This Row],[adj_res]]*Lookups!$M$28,-2)&lt;Grandview_Inventory[[#This Row],[min_res]],Grandview_Inventory[[#This Row],[min_res]],ROUND(Grandview_Inventory[[#This Row],[adj_res]]*Lookups!$M$28,-2))</f>
        <v>212000</v>
      </c>
      <c r="CD1221">
        <f>Grandview_Inventory[[#This Row],[final_det]]+Grandview_Inventory[[#This Row],[final_res]]</f>
        <v>216500</v>
      </c>
      <c r="CE1221">
        <f>Grandview_Inventory[[#This Row],[final_land]]+Grandview_Inventory[[#This Row],[final_imp]]+Grandview_Inventory[[#This Row],[crop_value]]</f>
        <v>261700</v>
      </c>
      <c r="CG1221" t="str">
        <f t="shared" si="19"/>
        <v>update valuation set market_land =45200, market_bldg=216500, market_total =261700, market_mdno =401, market_date ='9/10/2023' where link_id = (select link_id from parcel where parcel_year = '2024' and parcel_id = '23092311446');</v>
      </c>
    </row>
    <row r="1222" spans="1:85" x14ac:dyDescent="0.25">
      <c r="A1222">
        <v>23092311447</v>
      </c>
      <c r="B1222">
        <v>0.17</v>
      </c>
      <c r="C1222">
        <v>7543</v>
      </c>
      <c r="D1222" t="s">
        <v>129</v>
      </c>
      <c r="E1222" t="s">
        <v>53</v>
      </c>
      <c r="F1222" t="s">
        <v>53</v>
      </c>
      <c r="G1222">
        <v>4</v>
      </c>
      <c r="H1222" t="s">
        <v>54</v>
      </c>
      <c r="I1222">
        <v>130300</v>
      </c>
      <c r="J1222">
        <v>39300</v>
      </c>
      <c r="K1222">
        <v>0.17</v>
      </c>
      <c r="L122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22">
        <v>0</v>
      </c>
      <c r="N1222">
        <v>0</v>
      </c>
      <c r="O1222">
        <v>0</v>
      </c>
      <c r="P1222">
        <v>13398.7528</v>
      </c>
      <c r="Q1222">
        <v>63903</v>
      </c>
      <c r="R1222">
        <f>(Grandview_Inventory[[#This Row],[ln_acres]]*Grandview_Inventory[[#This Row],[coeff]])+Grandview_Inventory[[#This Row],[const]]</f>
        <v>40160.988302686128</v>
      </c>
      <c r="S1222" t="s">
        <v>68</v>
      </c>
      <c r="T1222">
        <v>1</v>
      </c>
      <c r="U1222" t="s">
        <v>83</v>
      </c>
      <c r="V1222" t="s">
        <v>67</v>
      </c>
      <c r="W1222">
        <v>0</v>
      </c>
      <c r="X1222">
        <v>0</v>
      </c>
      <c r="Y1222">
        <v>51</v>
      </c>
      <c r="Z1222">
        <v>78</v>
      </c>
      <c r="AA1222">
        <v>80</v>
      </c>
      <c r="AB1222">
        <v>1000</v>
      </c>
      <c r="AC1222">
        <v>594</v>
      </c>
      <c r="AD1222">
        <v>594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210</v>
      </c>
      <c r="AL1222">
        <v>0</v>
      </c>
      <c r="AM1222">
        <v>0</v>
      </c>
      <c r="AN1222">
        <v>60</v>
      </c>
      <c r="AO1222">
        <v>0</v>
      </c>
      <c r="AP1222">
        <v>5</v>
      </c>
      <c r="AQ1222">
        <v>0</v>
      </c>
      <c r="AR1222">
        <v>0</v>
      </c>
      <c r="AS1222" t="s">
        <v>58</v>
      </c>
      <c r="AT1222">
        <v>0</v>
      </c>
      <c r="AU1222" t="s">
        <v>82</v>
      </c>
      <c r="AV1222" t="s">
        <v>81</v>
      </c>
      <c r="AW1222">
        <v>0</v>
      </c>
      <c r="AX1222">
        <v>1</v>
      </c>
      <c r="AY1222">
        <v>0</v>
      </c>
      <c r="AZ1222">
        <v>4400</v>
      </c>
      <c r="BA1222">
        <v>100</v>
      </c>
      <c r="BB1222">
        <v>100</v>
      </c>
      <c r="BC1222">
        <v>100</v>
      </c>
      <c r="BD1222">
        <v>100</v>
      </c>
      <c r="BE1222">
        <v>1</v>
      </c>
      <c r="BF1222">
        <v>15000</v>
      </c>
      <c r="BG1222">
        <v>1000</v>
      </c>
      <c r="BH1222" s="6">
        <f>Grandview_Inventory[[#This Row],[land_extract]]*Lookups!$B$3</f>
        <v>46638.847281240982</v>
      </c>
      <c r="BI1222" s="6">
        <f>IF(Grandview_Inventory[[#This Row],[bldg_style]]="",0,Lookups!$B$2)</f>
        <v>155833.95000000001</v>
      </c>
      <c r="BJ1222" s="6">
        <f>_xlfn.IFNA(VLOOKUP(Grandview_Inventory[[#This Row],[quality]],Lookups!$H$2:$J$14,3,FALSE),0)</f>
        <v>-28558</v>
      </c>
      <c r="BK1222" s="6">
        <f>_xlfn.IFNA(VLOOKUP(Grandview_Inventory[[#This Row],[condition]],Lookups!$H$17:$J$24,3,FALSE),0)</f>
        <v>22342</v>
      </c>
      <c r="BL1222" s="6">
        <f>Grandview_Inventory[[#This Row],[Eff_Age]]*Lookups!$B$14</f>
        <v>-12197.496599999999</v>
      </c>
      <c r="BM1222" s="6">
        <f>Grandview_Inventory[[#This Row],[living_area]]*Lookups!$B$15</f>
        <v>37054.226682</v>
      </c>
      <c r="BN1222" s="6">
        <f>Grandview_Inventory[[#This Row],[Fin BSMT]]*Lookups!$B$16</f>
        <v>0</v>
      </c>
      <c r="BO1222" s="6">
        <f>(Grandview_Inventory[[#This Row],[att_gar]]+Grandview_Inventory[[#This Row],[bltin_gar]])*Lookups!$B$17</f>
        <v>0</v>
      </c>
      <c r="BP1222" s="6">
        <f>Grandview_Inventory[[#This Row],[Plumbing Fixtures]]*Lookups!$B$18</f>
        <v>10052.209000000001</v>
      </c>
      <c r="BQ1222" s="6">
        <f>Grandview_Inventory[[#This Row],[detatched_value]]*Lookups!$B$19</f>
        <v>3725.9424399999998</v>
      </c>
      <c r="BR1222" s="6">
        <f>SUM(Grandview_Inventory[[#This Row],[Intercept]:[det_value]])*Grandview_Inventory[[#This Row],[res_pct]]</f>
        <v>188252.83152200002</v>
      </c>
      <c r="BS1222" s="6">
        <f>Grandview_Inventory[[#This Row],[land_value]]</f>
        <v>46638.847281240982</v>
      </c>
      <c r="BT1222" s="4">
        <f>_xlfn.IFNA(VLOOKUP(Grandview_Inventory[[#This Row],[quality]],Lookups!$A$26:$C$33,3,FALSE),1)</f>
        <v>0.96329552998502799</v>
      </c>
      <c r="BU1222" s="4">
        <f>_xlfn.IFNA(VLOOKUP(Grandview_Inventory[[#This Row],[condition]],Lookups!$A$37:$C$44,3,FALSE),1)</f>
        <v>0.97383723671140243</v>
      </c>
      <c r="BV1222" s="4">
        <f>IF(Grandview_Inventory[[#This Row],[bldg_style]]="",1,_xlfn.IFNA(VLOOKUP(Grandview_Inventory[[#This Row],[decade]],Lookups!$F$29:$H$43,3,FALSE),1))</f>
        <v>0.98763256963907298</v>
      </c>
      <c r="BW1222" s="4">
        <f>_xlfn.IFNA(VLOOKUP(Grandview_Inventory[[#This Row],[living_area_range]],Lookups!$F$47:$H$56,3,FALSE),1)</f>
        <v>0.94306777142782894</v>
      </c>
      <c r="BX1222" s="4">
        <f>AVERAGE(Grandview_Inventory[[#This Row],[qual_adj]:[size_adj]])</f>
        <v>0.96695827694083303</v>
      </c>
      <c r="BY1222" s="6">
        <f>IF(Grandview_Inventory[[#This Row],[pre_res]]&lt;0,0,Grandview_Inventory[[#This Row],[pre_res]]*Grandview_Inventory[[#This Row],[overall_adj]])</f>
        <v>182032.63359774608</v>
      </c>
      <c r="BZ1222" s="6">
        <f>(Grandview_Inventory[[#This Row],[sum_land]]-IF(Grandview_Inventory[[#This Row],[no_utilities]]=1,12000,0))/IF(Grandview_Inventory[[#This Row],[unbuildable]]=1,2,1)</f>
        <v>46638.847281240982</v>
      </c>
      <c r="CA122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22">
        <f>ROUND(Grandview_Inventory[[#This Row],[det_value]]*Lookups!$M$28,-2)</f>
        <v>3500</v>
      </c>
      <c r="CC1222">
        <f>IF(ROUND(Grandview_Inventory[[#This Row],[adj_res]]*Lookups!$M$28,-2)&lt;Grandview_Inventory[[#This Row],[min_res]],Grandview_Inventory[[#This Row],[min_res]],ROUND(Grandview_Inventory[[#This Row],[adj_res]]*Lookups!$M$28,-2))</f>
        <v>172900</v>
      </c>
      <c r="CD1222">
        <f>Grandview_Inventory[[#This Row],[final_det]]+Grandview_Inventory[[#This Row],[final_res]]</f>
        <v>176400</v>
      </c>
      <c r="CE1222">
        <f>Grandview_Inventory[[#This Row],[final_land]]+Grandview_Inventory[[#This Row],[final_imp]]+Grandview_Inventory[[#This Row],[crop_value]]</f>
        <v>220700</v>
      </c>
      <c r="CG1222" t="str">
        <f t="shared" si="19"/>
        <v>update valuation set market_land =44300, market_bldg=176400, market_total =220700, market_mdno =401, market_date ='9/10/2023' where link_id = (select link_id from parcel where parcel_year = '2024' and parcel_id = '23092311447');</v>
      </c>
    </row>
    <row r="1223" spans="1:85" x14ac:dyDescent="0.25">
      <c r="A1223">
        <v>23092311449</v>
      </c>
      <c r="B1223">
        <v>0.25</v>
      </c>
      <c r="C1223">
        <v>10906</v>
      </c>
      <c r="D1223" t="s">
        <v>129</v>
      </c>
      <c r="E1223" t="s">
        <v>53</v>
      </c>
      <c r="F1223" t="s">
        <v>53</v>
      </c>
      <c r="G1223">
        <v>4</v>
      </c>
      <c r="H1223" t="s">
        <v>54</v>
      </c>
      <c r="I1223">
        <v>54600</v>
      </c>
      <c r="J1223">
        <v>40500</v>
      </c>
      <c r="K1223">
        <v>0.25</v>
      </c>
      <c r="L1223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223">
        <v>0</v>
      </c>
      <c r="N1223">
        <v>0</v>
      </c>
      <c r="O1223">
        <v>0</v>
      </c>
      <c r="P1223">
        <v>13398.7528</v>
      </c>
      <c r="Q1223">
        <v>63903</v>
      </c>
      <c r="R1223">
        <f>(Grandview_Inventory[[#This Row],[ln_acres]]*Grandview_Inventory[[#This Row],[coeff]])+Grandview_Inventory[[#This Row],[const]]</f>
        <v>45328.38454732066</v>
      </c>
      <c r="S1223" t="s">
        <v>85</v>
      </c>
      <c r="T1223">
        <v>1</v>
      </c>
      <c r="U1223" t="s">
        <v>65</v>
      </c>
      <c r="V1223" t="s">
        <v>94</v>
      </c>
      <c r="W1223">
        <v>0</v>
      </c>
      <c r="X1223">
        <v>0</v>
      </c>
      <c r="Y1223">
        <v>65</v>
      </c>
      <c r="Z1223">
        <v>113</v>
      </c>
      <c r="AA1223">
        <v>120</v>
      </c>
      <c r="AB1223">
        <v>1500</v>
      </c>
      <c r="AC1223">
        <v>1336</v>
      </c>
      <c r="AD1223">
        <v>1336</v>
      </c>
      <c r="AE1223">
        <v>0</v>
      </c>
      <c r="AF1223">
        <v>0</v>
      </c>
      <c r="AG1223">
        <v>0</v>
      </c>
      <c r="AH1223">
        <v>352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176</v>
      </c>
      <c r="AO1223">
        <v>0</v>
      </c>
      <c r="AP1223">
        <v>5</v>
      </c>
      <c r="AQ1223">
        <v>0</v>
      </c>
      <c r="AR1223">
        <v>0</v>
      </c>
      <c r="AS1223" t="s">
        <v>76</v>
      </c>
      <c r="AT1223">
        <v>1</v>
      </c>
      <c r="AU1223" t="s">
        <v>63</v>
      </c>
      <c r="AV1223" t="s">
        <v>64</v>
      </c>
      <c r="AW1223">
        <v>0</v>
      </c>
      <c r="AX1223">
        <v>2</v>
      </c>
      <c r="AY1223">
        <v>0</v>
      </c>
      <c r="AZ1223">
        <v>0</v>
      </c>
      <c r="BA1223">
        <v>100</v>
      </c>
      <c r="BB1223">
        <v>100</v>
      </c>
      <c r="BC1223">
        <v>100</v>
      </c>
      <c r="BD1223">
        <v>100</v>
      </c>
      <c r="BE1223">
        <v>1</v>
      </c>
      <c r="BF1223">
        <v>15000</v>
      </c>
      <c r="BG1223">
        <v>1000</v>
      </c>
      <c r="BH1223" s="6">
        <f>Grandview_Inventory[[#This Row],[land_extract]]*Lookups!$B$3</f>
        <v>52639.730588165206</v>
      </c>
      <c r="BI1223" s="6">
        <f>IF(Grandview_Inventory[[#This Row],[bldg_style]]="",0,Lookups!$B$2)</f>
        <v>155833.95000000001</v>
      </c>
      <c r="BJ1223" s="6">
        <f>_xlfn.IFNA(VLOOKUP(Grandview_Inventory[[#This Row],[quality]],Lookups!$H$2:$J$14,3,FALSE),0)</f>
        <v>2251</v>
      </c>
      <c r="BK1223" s="6">
        <f>_xlfn.IFNA(VLOOKUP(Grandview_Inventory[[#This Row],[condition]],Lookups!$H$17:$J$24,3,FALSE),0)</f>
        <v>-77566.475205170951</v>
      </c>
      <c r="BL1223" s="6">
        <f>Grandview_Inventory[[#This Row],[Eff_Age]]*Lookups!$B$14</f>
        <v>-15545.829</v>
      </c>
      <c r="BM1223" s="6">
        <f>Grandview_Inventory[[#This Row],[living_area]]*Lookups!$B$15</f>
        <v>83340.819608000005</v>
      </c>
      <c r="BN1223" s="6">
        <f>Grandview_Inventory[[#This Row],[Fin BSMT]]*Lookups!$B$16</f>
        <v>0</v>
      </c>
      <c r="BO1223" s="6">
        <f>(Grandview_Inventory[[#This Row],[att_gar]]+Grandview_Inventory[[#This Row],[bltin_gar]])*Lookups!$B$17</f>
        <v>0</v>
      </c>
      <c r="BP1223" s="6">
        <f>Grandview_Inventory[[#This Row],[Plumbing Fixtures]]*Lookups!$B$18</f>
        <v>10052.209000000001</v>
      </c>
      <c r="BQ1223" s="6">
        <f>Grandview_Inventory[[#This Row],[detatched_value]]*Lookups!$B$19</f>
        <v>0</v>
      </c>
      <c r="BR1223" s="6">
        <f>SUM(Grandview_Inventory[[#This Row],[Intercept]:[det_value]])*Grandview_Inventory[[#This Row],[res_pct]]</f>
        <v>158365.67440282906</v>
      </c>
      <c r="BS1223" s="6">
        <f>Grandview_Inventory[[#This Row],[land_value]]</f>
        <v>52639.730588165206</v>
      </c>
      <c r="BT1223" s="4">
        <f>_xlfn.IFNA(VLOOKUP(Grandview_Inventory[[#This Row],[quality]],Lookups!$A$26:$C$33,3,FALSE),1)</f>
        <v>0.98763855981004833</v>
      </c>
      <c r="BU1223" s="4">
        <f>_xlfn.IFNA(VLOOKUP(Grandview_Inventory[[#This Row],[condition]],Lookups!$A$37:$C$44,3,FALSE),1)</f>
        <v>0.97161819570155394</v>
      </c>
      <c r="BV1223" s="4">
        <f>IF(Grandview_Inventory[[#This Row],[bldg_style]]="",1,_xlfn.IFNA(VLOOKUP(Grandview_Inventory[[#This Row],[decade]],Lookups!$F$29:$H$43,3,FALSE),1))</f>
        <v>0.9251738460551937</v>
      </c>
      <c r="BW1223" s="4">
        <f>_xlfn.IFNA(VLOOKUP(Grandview_Inventory[[#This Row],[living_area_range]],Lookups!$F$47:$H$56,3,FALSE),1)</f>
        <v>0.96135087979789358</v>
      </c>
      <c r="BX1223" s="4">
        <f>AVERAGE(Grandview_Inventory[[#This Row],[qual_adj]:[size_adj]])</f>
        <v>0.96144537034117239</v>
      </c>
      <c r="BY1223" s="6">
        <f>IF(Grandview_Inventory[[#This Row],[pre_res]]&lt;0,0,Grandview_Inventory[[#This Row],[pre_res]]*Grandview_Inventory[[#This Row],[overall_adj]])</f>
        <v>152259.94447555751</v>
      </c>
      <c r="BZ1223" s="6">
        <f>(Grandview_Inventory[[#This Row],[sum_land]]-IF(Grandview_Inventory[[#This Row],[no_utilities]]=1,12000,0))/IF(Grandview_Inventory[[#This Row],[unbuildable]]=1,2,1)</f>
        <v>52639.730588165206</v>
      </c>
      <c r="CA1223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223">
        <f>ROUND(Grandview_Inventory[[#This Row],[det_value]]*Lookups!$M$28,-2)</f>
        <v>0</v>
      </c>
      <c r="CC1223">
        <f>IF(ROUND(Grandview_Inventory[[#This Row],[adj_res]]*Lookups!$M$28,-2)&lt;Grandview_Inventory[[#This Row],[min_res]],Grandview_Inventory[[#This Row],[min_res]],ROUND(Grandview_Inventory[[#This Row],[adj_res]]*Lookups!$M$28,-2))</f>
        <v>144600</v>
      </c>
      <c r="CD1223">
        <f>Grandview_Inventory[[#This Row],[final_det]]+Grandview_Inventory[[#This Row],[final_res]]</f>
        <v>144600</v>
      </c>
      <c r="CE1223">
        <f>Grandview_Inventory[[#This Row],[final_land]]+Grandview_Inventory[[#This Row],[final_imp]]+Grandview_Inventory[[#This Row],[crop_value]]</f>
        <v>194600</v>
      </c>
      <c r="CG1223" t="str">
        <f t="shared" si="19"/>
        <v>update valuation set market_land =50000, market_bldg=144600, market_total =194600, market_mdno =401, market_date ='9/10/2023' where link_id = (select link_id from parcel where parcel_year = '2024' and parcel_id = '23092311449');</v>
      </c>
    </row>
    <row r="1224" spans="1:85" x14ac:dyDescent="0.25">
      <c r="A1224">
        <v>23092311450</v>
      </c>
      <c r="B1224">
        <v>0.23</v>
      </c>
      <c r="C1224">
        <v>9884</v>
      </c>
      <c r="D1224" t="s">
        <v>129</v>
      </c>
      <c r="E1224" t="s">
        <v>53</v>
      </c>
      <c r="F1224" t="s">
        <v>53</v>
      </c>
      <c r="G1224">
        <v>4</v>
      </c>
      <c r="H1224" t="s">
        <v>54</v>
      </c>
      <c r="I1224">
        <v>192700</v>
      </c>
      <c r="J1224">
        <v>40000</v>
      </c>
      <c r="K1224">
        <v>0.23</v>
      </c>
      <c r="L122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224">
        <v>0</v>
      </c>
      <c r="N1224">
        <v>0</v>
      </c>
      <c r="O1224">
        <v>0</v>
      </c>
      <c r="P1224">
        <v>13398.7528</v>
      </c>
      <c r="Q1224">
        <v>63903</v>
      </c>
      <c r="R1224">
        <f>(Grandview_Inventory[[#This Row],[ln_acres]]*Grandview_Inventory[[#This Row],[coeff]])+Grandview_Inventory[[#This Row],[const]]</f>
        <v>44211.174981080039</v>
      </c>
      <c r="S1224" t="s">
        <v>68</v>
      </c>
      <c r="T1224">
        <v>1</v>
      </c>
      <c r="U1224" t="s">
        <v>65</v>
      </c>
      <c r="V1224" t="s">
        <v>67</v>
      </c>
      <c r="W1224">
        <v>0</v>
      </c>
      <c r="X1224">
        <v>0</v>
      </c>
      <c r="Y1224">
        <v>52</v>
      </c>
      <c r="Z1224">
        <v>88</v>
      </c>
      <c r="AA1224">
        <v>90</v>
      </c>
      <c r="AB1224">
        <v>1500</v>
      </c>
      <c r="AC1224">
        <v>1451</v>
      </c>
      <c r="AD1224">
        <v>1451</v>
      </c>
      <c r="AE1224">
        <v>0</v>
      </c>
      <c r="AF1224">
        <v>0</v>
      </c>
      <c r="AG1224">
        <v>0</v>
      </c>
      <c r="AH1224">
        <v>687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36</v>
      </c>
      <c r="AO1224">
        <v>0</v>
      </c>
      <c r="AP1224">
        <v>8</v>
      </c>
      <c r="AQ1224">
        <v>0</v>
      </c>
      <c r="AR1224">
        <v>0</v>
      </c>
      <c r="AS1224" t="s">
        <v>58</v>
      </c>
      <c r="AT1224">
        <v>1</v>
      </c>
      <c r="AU1224" t="s">
        <v>63</v>
      </c>
      <c r="AV1224" t="s">
        <v>64</v>
      </c>
      <c r="AW1224">
        <v>1</v>
      </c>
      <c r="AX1224">
        <v>2</v>
      </c>
      <c r="AY1224">
        <v>0</v>
      </c>
      <c r="AZ1224">
        <v>14100</v>
      </c>
      <c r="BA1224">
        <v>100</v>
      </c>
      <c r="BB1224">
        <v>100</v>
      </c>
      <c r="BC1224">
        <v>100</v>
      </c>
      <c r="BD1224">
        <v>100</v>
      </c>
      <c r="BE1224">
        <v>1</v>
      </c>
      <c r="BF1224">
        <v>15000</v>
      </c>
      <c r="BG1224">
        <v>1000</v>
      </c>
      <c r="BH1224" s="6">
        <f>Grandview_Inventory[[#This Row],[land_extract]]*Lookups!$B$3</f>
        <v>51342.318135355803</v>
      </c>
      <c r="BI1224" s="6">
        <f>IF(Grandview_Inventory[[#This Row],[bldg_style]]="",0,Lookups!$B$2)</f>
        <v>155833.95000000001</v>
      </c>
      <c r="BJ1224" s="6">
        <f>_xlfn.IFNA(VLOOKUP(Grandview_Inventory[[#This Row],[quality]],Lookups!$H$2:$J$14,3,FALSE),0)</f>
        <v>2251</v>
      </c>
      <c r="BK1224" s="6">
        <f>_xlfn.IFNA(VLOOKUP(Grandview_Inventory[[#This Row],[condition]],Lookups!$H$17:$J$24,3,FALSE),0)</f>
        <v>22342</v>
      </c>
      <c r="BL1224" s="6">
        <f>Grandview_Inventory[[#This Row],[Eff_Age]]*Lookups!$B$14</f>
        <v>-12436.663199999999</v>
      </c>
      <c r="BM1224" s="6">
        <f>Grandview_Inventory[[#This Row],[living_area]]*Lookups!$B$15</f>
        <v>90514.617702999996</v>
      </c>
      <c r="BN1224" s="6">
        <f>Grandview_Inventory[[#This Row],[Fin BSMT]]*Lookups!$B$16</f>
        <v>0</v>
      </c>
      <c r="BO1224" s="6">
        <f>(Grandview_Inventory[[#This Row],[att_gar]]+Grandview_Inventory[[#This Row],[bltin_gar]])*Lookups!$B$17</f>
        <v>0</v>
      </c>
      <c r="BP1224" s="6">
        <f>Grandview_Inventory[[#This Row],[Plumbing Fixtures]]*Lookups!$B$18</f>
        <v>16083.5344</v>
      </c>
      <c r="BQ1224" s="6">
        <f>Grandview_Inventory[[#This Row],[detatched_value]]*Lookups!$B$19</f>
        <v>11939.95191</v>
      </c>
      <c r="BR1224" s="6">
        <f>SUM(Grandview_Inventory[[#This Row],[Intercept]:[det_value]])*Grandview_Inventory[[#This Row],[res_pct]]</f>
        <v>286528.39081299998</v>
      </c>
      <c r="BS1224" s="6">
        <f>Grandview_Inventory[[#This Row],[land_value]]</f>
        <v>51342.318135355803</v>
      </c>
      <c r="BT1224" s="4">
        <f>_xlfn.IFNA(VLOOKUP(Grandview_Inventory[[#This Row],[quality]],Lookups!$A$26:$C$33,3,FALSE),1)</f>
        <v>0.98763855981004833</v>
      </c>
      <c r="BU1224" s="4">
        <f>_xlfn.IFNA(VLOOKUP(Grandview_Inventory[[#This Row],[condition]],Lookups!$A$37:$C$44,3,FALSE),1)</f>
        <v>0.97383723671140243</v>
      </c>
      <c r="BV1224" s="4">
        <f>IF(Grandview_Inventory[[#This Row],[bldg_style]]="",1,_xlfn.IFNA(VLOOKUP(Grandview_Inventory[[#This Row],[decade]],Lookups!$F$29:$H$43,3,FALSE),1))</f>
        <v>0.94161750052457416</v>
      </c>
      <c r="BW1224" s="4">
        <f>_xlfn.IFNA(VLOOKUP(Grandview_Inventory[[#This Row],[living_area_range]],Lookups!$F$47:$H$56,3,FALSE),1)</f>
        <v>0.96135087979789358</v>
      </c>
      <c r="BX1224" s="4">
        <f>AVERAGE(Grandview_Inventory[[#This Row],[qual_adj]:[size_adj]])</f>
        <v>0.9661110442109796</v>
      </c>
      <c r="BY1224" s="6">
        <f>IF(Grandview_Inventory[[#This Row],[pre_res]]&lt;0,0,Grandview_Inventory[[#This Row],[pre_res]]*Grandview_Inventory[[#This Row],[overall_adj]])</f>
        <v>276818.24284443905</v>
      </c>
      <c r="BZ1224" s="6">
        <f>(Grandview_Inventory[[#This Row],[sum_land]]-IF(Grandview_Inventory[[#This Row],[no_utilities]]=1,12000,0))/IF(Grandview_Inventory[[#This Row],[unbuildable]]=1,2,1)</f>
        <v>51342.318135355803</v>
      </c>
      <c r="CA122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224">
        <f>ROUND(Grandview_Inventory[[#This Row],[det_value]]*Lookups!$M$28,-2)</f>
        <v>11300</v>
      </c>
      <c r="CC1224">
        <f>IF(ROUND(Grandview_Inventory[[#This Row],[adj_res]]*Lookups!$M$28,-2)&lt;Grandview_Inventory[[#This Row],[min_res]],Grandview_Inventory[[#This Row],[min_res]],ROUND(Grandview_Inventory[[#This Row],[adj_res]]*Lookups!$M$28,-2))</f>
        <v>263000</v>
      </c>
      <c r="CD1224">
        <f>Grandview_Inventory[[#This Row],[final_det]]+Grandview_Inventory[[#This Row],[final_res]]</f>
        <v>274300</v>
      </c>
      <c r="CE1224">
        <f>Grandview_Inventory[[#This Row],[final_land]]+Grandview_Inventory[[#This Row],[final_imp]]+Grandview_Inventory[[#This Row],[crop_value]]</f>
        <v>323100</v>
      </c>
      <c r="CG1224" t="str">
        <f t="shared" si="19"/>
        <v>update valuation set market_land =48800, market_bldg=274300, market_total =323100, market_mdno =401, market_date ='9/10/2023' where link_id = (select link_id from parcel where parcel_year = '2024' and parcel_id = '23092311450');</v>
      </c>
    </row>
    <row r="1225" spans="1:85" x14ac:dyDescent="0.25">
      <c r="A1225">
        <v>23092311451</v>
      </c>
      <c r="B1225">
        <v>0.23</v>
      </c>
      <c r="C1225">
        <v>10125</v>
      </c>
      <c r="D1225" t="s">
        <v>129</v>
      </c>
      <c r="E1225" t="s">
        <v>53</v>
      </c>
      <c r="F1225" t="s">
        <v>53</v>
      </c>
      <c r="G1225">
        <v>4</v>
      </c>
      <c r="H1225" t="s">
        <v>54</v>
      </c>
      <c r="I1225">
        <v>150400</v>
      </c>
      <c r="J1225">
        <v>40200</v>
      </c>
      <c r="K1225">
        <v>0.23</v>
      </c>
      <c r="L122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225">
        <v>0</v>
      </c>
      <c r="N1225">
        <v>0</v>
      </c>
      <c r="O1225">
        <v>0</v>
      </c>
      <c r="P1225">
        <v>13398.7528</v>
      </c>
      <c r="Q1225">
        <v>63903</v>
      </c>
      <c r="R1225">
        <f>(Grandview_Inventory[[#This Row],[ln_acres]]*Grandview_Inventory[[#This Row],[coeff]])+Grandview_Inventory[[#This Row],[const]]</f>
        <v>44211.174981080039</v>
      </c>
      <c r="S1225" t="s">
        <v>85</v>
      </c>
      <c r="T1225">
        <v>1</v>
      </c>
      <c r="U1225" t="s">
        <v>65</v>
      </c>
      <c r="V1225" t="s">
        <v>69</v>
      </c>
      <c r="W1225">
        <v>0</v>
      </c>
      <c r="X1225">
        <v>0</v>
      </c>
      <c r="Y1225">
        <v>57</v>
      </c>
      <c r="Z1225">
        <v>103</v>
      </c>
      <c r="AA1225">
        <v>110</v>
      </c>
      <c r="AB1225">
        <v>1500</v>
      </c>
      <c r="AC1225">
        <v>1292</v>
      </c>
      <c r="AD1225">
        <v>1292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32</v>
      </c>
      <c r="AO1225">
        <v>378</v>
      </c>
      <c r="AP1225">
        <v>5</v>
      </c>
      <c r="AQ1225">
        <v>0</v>
      </c>
      <c r="AR1225">
        <v>1</v>
      </c>
      <c r="AS1225" t="s">
        <v>58</v>
      </c>
      <c r="AT1225">
        <v>1</v>
      </c>
      <c r="AU1225" t="s">
        <v>59</v>
      </c>
      <c r="AV1225" t="s">
        <v>64</v>
      </c>
      <c r="AW1225">
        <v>1</v>
      </c>
      <c r="AX1225">
        <v>2</v>
      </c>
      <c r="AY1225">
        <v>0</v>
      </c>
      <c r="AZ1225">
        <v>11100</v>
      </c>
      <c r="BA1225">
        <v>100</v>
      </c>
      <c r="BB1225">
        <v>100</v>
      </c>
      <c r="BC1225">
        <v>100</v>
      </c>
      <c r="BD1225">
        <v>100</v>
      </c>
      <c r="BE1225">
        <v>1</v>
      </c>
      <c r="BF1225">
        <v>15000</v>
      </c>
      <c r="BG1225">
        <v>1000</v>
      </c>
      <c r="BH1225" s="6">
        <f>Grandview_Inventory[[#This Row],[land_extract]]*Lookups!$B$3</f>
        <v>51342.318135355803</v>
      </c>
      <c r="BI1225" s="6">
        <f>IF(Grandview_Inventory[[#This Row],[bldg_style]]="",0,Lookups!$B$2)</f>
        <v>155833.95000000001</v>
      </c>
      <c r="BJ1225" s="6">
        <f>_xlfn.IFNA(VLOOKUP(Grandview_Inventory[[#This Row],[quality]],Lookups!$H$2:$J$14,3,FALSE),0)</f>
        <v>2251</v>
      </c>
      <c r="BK1225" s="6">
        <f>_xlfn.IFNA(VLOOKUP(Grandview_Inventory[[#This Row],[condition]],Lookups!$H$17:$J$24,3,FALSE),0)</f>
        <v>-4503</v>
      </c>
      <c r="BL1225" s="6">
        <f>Grandview_Inventory[[#This Row],[Eff_Age]]*Lookups!$B$14</f>
        <v>-13632.4962</v>
      </c>
      <c r="BM1225" s="6">
        <f>Grandview_Inventory[[#This Row],[living_area]]*Lookups!$B$15</f>
        <v>80596.062076000002</v>
      </c>
      <c r="BN1225" s="6">
        <f>Grandview_Inventory[[#This Row],[Fin BSMT]]*Lookups!$B$16</f>
        <v>0</v>
      </c>
      <c r="BO1225" s="6">
        <f>(Grandview_Inventory[[#This Row],[att_gar]]+Grandview_Inventory[[#This Row],[bltin_gar]])*Lookups!$B$17</f>
        <v>0</v>
      </c>
      <c r="BP1225" s="6">
        <f>Grandview_Inventory[[#This Row],[Plumbing Fixtures]]*Lookups!$B$18</f>
        <v>10052.209000000001</v>
      </c>
      <c r="BQ1225" s="6">
        <f>Grandview_Inventory[[#This Row],[detatched_value]]*Lookups!$B$19</f>
        <v>9399.5366099999992</v>
      </c>
      <c r="BR1225" s="6">
        <f>SUM(Grandview_Inventory[[#This Row],[Intercept]:[det_value]])*Grandview_Inventory[[#This Row],[res_pct]]</f>
        <v>239997.26148600003</v>
      </c>
      <c r="BS1225" s="6">
        <f>Grandview_Inventory[[#This Row],[land_value]]</f>
        <v>51342.318135355803</v>
      </c>
      <c r="BT1225" s="4">
        <f>_xlfn.IFNA(VLOOKUP(Grandview_Inventory[[#This Row],[quality]],Lookups!$A$26:$C$33,3,FALSE),1)</f>
        <v>0.98763855981004833</v>
      </c>
      <c r="BU1225" s="4">
        <f>_xlfn.IFNA(VLOOKUP(Grandview_Inventory[[#This Row],[condition]],Lookups!$A$37:$C$44,3,FALSE),1)</f>
        <v>0.96469275950863709</v>
      </c>
      <c r="BV1225" s="4">
        <f>IF(Grandview_Inventory[[#This Row],[bldg_style]]="",1,_xlfn.IFNA(VLOOKUP(Grandview_Inventory[[#This Row],[decade]],Lookups!$F$29:$H$43,3,FALSE),1))</f>
        <v>0.92255236374249616</v>
      </c>
      <c r="BW1225" s="4">
        <f>_xlfn.IFNA(VLOOKUP(Grandview_Inventory[[#This Row],[living_area_range]],Lookups!$F$47:$H$56,3,FALSE),1)</f>
        <v>0.96135087979789358</v>
      </c>
      <c r="BX1225" s="4">
        <f>AVERAGE(Grandview_Inventory[[#This Row],[qual_adj]:[size_adj]])</f>
        <v>0.95905864071476876</v>
      </c>
      <c r="BY1225" s="6">
        <f>IF(Grandview_Inventory[[#This Row],[pre_res]]&lt;0,0,Grandview_Inventory[[#This Row],[pre_res]]*Grandview_Inventory[[#This Row],[overall_adj]])</f>
        <v>230171.44737603012</v>
      </c>
      <c r="BZ1225" s="6">
        <f>(Grandview_Inventory[[#This Row],[sum_land]]-IF(Grandview_Inventory[[#This Row],[no_utilities]]=1,12000,0))/IF(Grandview_Inventory[[#This Row],[unbuildable]]=1,2,1)</f>
        <v>51342.318135355803</v>
      </c>
      <c r="CA122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225">
        <f>ROUND(Grandview_Inventory[[#This Row],[det_value]]*Lookups!$M$28,-2)</f>
        <v>8900</v>
      </c>
      <c r="CC1225">
        <f>IF(ROUND(Grandview_Inventory[[#This Row],[adj_res]]*Lookups!$M$28,-2)&lt;Grandview_Inventory[[#This Row],[min_res]],Grandview_Inventory[[#This Row],[min_res]],ROUND(Grandview_Inventory[[#This Row],[adj_res]]*Lookups!$M$28,-2))</f>
        <v>218700</v>
      </c>
      <c r="CD1225">
        <f>Grandview_Inventory[[#This Row],[final_det]]+Grandview_Inventory[[#This Row],[final_res]]</f>
        <v>227600</v>
      </c>
      <c r="CE1225">
        <f>Grandview_Inventory[[#This Row],[final_land]]+Grandview_Inventory[[#This Row],[final_imp]]+Grandview_Inventory[[#This Row],[crop_value]]</f>
        <v>276400</v>
      </c>
      <c r="CG1225" t="str">
        <f t="shared" si="19"/>
        <v>update valuation set market_land =48800, market_bldg=227600, market_total =276400, market_mdno =401, market_date ='9/10/2023' where link_id = (select link_id from parcel where parcel_year = '2024' and parcel_id = '23092311451');</v>
      </c>
    </row>
    <row r="1226" spans="1:85" x14ac:dyDescent="0.25">
      <c r="A1226">
        <v>23092311452</v>
      </c>
      <c r="B1226">
        <v>0.24</v>
      </c>
      <c r="C1226">
        <v>10559</v>
      </c>
      <c r="D1226" t="s">
        <v>129</v>
      </c>
      <c r="E1226" t="s">
        <v>53</v>
      </c>
      <c r="F1226" t="s">
        <v>53</v>
      </c>
      <c r="G1226">
        <v>4</v>
      </c>
      <c r="H1226" t="s">
        <v>54</v>
      </c>
      <c r="I1226">
        <v>77400</v>
      </c>
      <c r="J1226">
        <v>40400</v>
      </c>
      <c r="K1226">
        <v>0.24</v>
      </c>
      <c r="L1226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226">
        <v>0</v>
      </c>
      <c r="N1226">
        <v>0</v>
      </c>
      <c r="O1226">
        <v>0</v>
      </c>
      <c r="P1226">
        <v>13398.7528</v>
      </c>
      <c r="Q1226">
        <v>63903</v>
      </c>
      <c r="R1226">
        <f>(Grandview_Inventory[[#This Row],[ln_acres]]*Grandview_Inventory[[#This Row],[coeff]])+Grandview_Inventory[[#This Row],[const]]</f>
        <v>44781.420733940802</v>
      </c>
      <c r="S1226" t="s">
        <v>68</v>
      </c>
      <c r="T1226">
        <v>1</v>
      </c>
      <c r="U1226" t="s">
        <v>80</v>
      </c>
      <c r="V1226" t="s">
        <v>78</v>
      </c>
      <c r="W1226">
        <v>0</v>
      </c>
      <c r="X1226">
        <v>0</v>
      </c>
      <c r="Y1226">
        <v>55</v>
      </c>
      <c r="Z1226">
        <v>98</v>
      </c>
      <c r="AA1226">
        <v>100</v>
      </c>
      <c r="AB1226">
        <v>1500</v>
      </c>
      <c r="AC1226">
        <v>1032</v>
      </c>
      <c r="AD1226">
        <v>1032</v>
      </c>
      <c r="AE1226">
        <v>0</v>
      </c>
      <c r="AF1226">
        <v>0</v>
      </c>
      <c r="AG1226">
        <v>0</v>
      </c>
      <c r="AH1226">
        <v>140</v>
      </c>
      <c r="AI1226">
        <v>0</v>
      </c>
      <c r="AJ1226">
        <v>0</v>
      </c>
      <c r="AK1226">
        <v>0</v>
      </c>
      <c r="AL1226">
        <v>0</v>
      </c>
      <c r="AM1226">
        <v>80</v>
      </c>
      <c r="AN1226">
        <v>0</v>
      </c>
      <c r="AO1226">
        <v>0</v>
      </c>
      <c r="AP1226">
        <v>5</v>
      </c>
      <c r="AQ1226">
        <v>0</v>
      </c>
      <c r="AR1226">
        <v>0</v>
      </c>
      <c r="AS1226" t="s">
        <v>58</v>
      </c>
      <c r="AT1226">
        <v>1</v>
      </c>
      <c r="AU1226" t="s">
        <v>63</v>
      </c>
      <c r="AV1226" t="s">
        <v>64</v>
      </c>
      <c r="AW1226">
        <v>0</v>
      </c>
      <c r="AX1226">
        <v>2</v>
      </c>
      <c r="AY1226">
        <v>0</v>
      </c>
      <c r="AZ1226">
        <v>4400</v>
      </c>
      <c r="BA1226">
        <v>100</v>
      </c>
      <c r="BB1226">
        <v>100</v>
      </c>
      <c r="BC1226">
        <v>100</v>
      </c>
      <c r="BD1226">
        <v>100</v>
      </c>
      <c r="BE1226">
        <v>1</v>
      </c>
      <c r="BF1226">
        <v>15000</v>
      </c>
      <c r="BG1226">
        <v>1000</v>
      </c>
      <c r="BH1226" s="6">
        <f>Grandview_Inventory[[#This Row],[land_extract]]*Lookups!$B$3</f>
        <v>52004.542988489469</v>
      </c>
      <c r="BI1226" s="6">
        <f>IF(Grandview_Inventory[[#This Row],[bldg_style]]="",0,Lookups!$B$2)</f>
        <v>155833.95000000001</v>
      </c>
      <c r="BJ1226" s="6">
        <f>_xlfn.IFNA(VLOOKUP(Grandview_Inventory[[#This Row],[quality]],Lookups!$H$2:$J$14,3,FALSE),0)</f>
        <v>-28558</v>
      </c>
      <c r="BK1226" s="6">
        <f>_xlfn.IFNA(VLOOKUP(Grandview_Inventory[[#This Row],[condition]],Lookups!$H$17:$J$24,3,FALSE),0)</f>
        <v>-45357</v>
      </c>
      <c r="BL1226" s="6">
        <f>Grandview_Inventory[[#This Row],[Eff_Age]]*Lookups!$B$14</f>
        <v>-13154.162999999999</v>
      </c>
      <c r="BM1226" s="6">
        <f>Grandview_Inventory[[#This Row],[living_area]]*Lookups!$B$15</f>
        <v>64377.040295999999</v>
      </c>
      <c r="BN1226" s="6">
        <f>Grandview_Inventory[[#This Row],[Fin BSMT]]*Lookups!$B$16</f>
        <v>0</v>
      </c>
      <c r="BO1226" s="6">
        <f>(Grandview_Inventory[[#This Row],[att_gar]]+Grandview_Inventory[[#This Row],[bltin_gar]])*Lookups!$B$17</f>
        <v>0</v>
      </c>
      <c r="BP1226" s="6">
        <f>Grandview_Inventory[[#This Row],[Plumbing Fixtures]]*Lookups!$B$18</f>
        <v>10052.209000000001</v>
      </c>
      <c r="BQ1226" s="6">
        <f>Grandview_Inventory[[#This Row],[detatched_value]]*Lookups!$B$19</f>
        <v>3725.9424399999998</v>
      </c>
      <c r="BR1226" s="6">
        <f>SUM(Grandview_Inventory[[#This Row],[Intercept]:[det_value]])*Grandview_Inventory[[#This Row],[res_pct]]</f>
        <v>146919.97873600002</v>
      </c>
      <c r="BS1226" s="6">
        <f>Grandview_Inventory[[#This Row],[land_value]]</f>
        <v>52004.542988489469</v>
      </c>
      <c r="BT1226" s="4">
        <f>_xlfn.IFNA(VLOOKUP(Grandview_Inventory[[#This Row],[quality]],Lookups!$A$26:$C$33,3,FALSE),1)</f>
        <v>0.9690360070159818</v>
      </c>
      <c r="BU1226" s="4">
        <f>_xlfn.IFNA(VLOOKUP(Grandview_Inventory[[#This Row],[condition]],Lookups!$A$37:$C$44,3,FALSE),1)</f>
        <v>0.97161819570155394</v>
      </c>
      <c r="BV1226" s="4">
        <f>IF(Grandview_Inventory[[#This Row],[bldg_style]]="",1,_xlfn.IFNA(VLOOKUP(Grandview_Inventory[[#This Row],[decade]],Lookups!$F$29:$H$43,3,FALSE),1))</f>
        <v>0.95244691841736806</v>
      </c>
      <c r="BW1226" s="4">
        <f>_xlfn.IFNA(VLOOKUP(Grandview_Inventory[[#This Row],[living_area_range]],Lookups!$F$47:$H$56,3,FALSE),1)</f>
        <v>0.96135087979789358</v>
      </c>
      <c r="BX1226" s="4">
        <f>AVERAGE(Grandview_Inventory[[#This Row],[qual_adj]:[size_adj]])</f>
        <v>0.96361300023319929</v>
      </c>
      <c r="BY1226" s="6">
        <f>IF(Grandview_Inventory[[#This Row],[pre_res]]&lt;0,0,Grandview_Inventory[[#This Row],[pre_res]]*Grandview_Inventory[[#This Row],[overall_adj]])</f>
        <v>141574.00150399483</v>
      </c>
      <c r="BZ1226" s="6">
        <f>(Grandview_Inventory[[#This Row],[sum_land]]-IF(Grandview_Inventory[[#This Row],[no_utilities]]=1,12000,0))/IF(Grandview_Inventory[[#This Row],[unbuildable]]=1,2,1)</f>
        <v>52004.542988489469</v>
      </c>
      <c r="CA1226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226">
        <f>ROUND(Grandview_Inventory[[#This Row],[det_value]]*Lookups!$M$28,-2)</f>
        <v>3500</v>
      </c>
      <c r="CC1226">
        <f>IF(ROUND(Grandview_Inventory[[#This Row],[adj_res]]*Lookups!$M$28,-2)&lt;Grandview_Inventory[[#This Row],[min_res]],Grandview_Inventory[[#This Row],[min_res]],ROUND(Grandview_Inventory[[#This Row],[adj_res]]*Lookups!$M$28,-2))</f>
        <v>134500</v>
      </c>
      <c r="CD1226">
        <f>Grandview_Inventory[[#This Row],[final_det]]+Grandview_Inventory[[#This Row],[final_res]]</f>
        <v>138000</v>
      </c>
      <c r="CE1226">
        <f>Grandview_Inventory[[#This Row],[final_land]]+Grandview_Inventory[[#This Row],[final_imp]]+Grandview_Inventory[[#This Row],[crop_value]]</f>
        <v>187400</v>
      </c>
      <c r="CG1226" t="str">
        <f t="shared" si="19"/>
        <v>update valuation set market_land =49400, market_bldg=138000, market_total =187400, market_mdno =401, market_date ='9/10/2023' where link_id = (select link_id from parcel where parcel_year = '2024' and parcel_id = '23092311452');</v>
      </c>
    </row>
    <row r="1227" spans="1:85" x14ac:dyDescent="0.25">
      <c r="A1227">
        <v>23092311460</v>
      </c>
      <c r="B1227">
        <v>0.33</v>
      </c>
      <c r="C1227">
        <v>14534</v>
      </c>
      <c r="D1227" t="s">
        <v>129</v>
      </c>
      <c r="E1227" t="s">
        <v>53</v>
      </c>
      <c r="F1227" t="s">
        <v>53</v>
      </c>
      <c r="G1227">
        <v>4</v>
      </c>
      <c r="H1227" t="s">
        <v>54</v>
      </c>
      <c r="I1227">
        <v>182900</v>
      </c>
      <c r="J1227">
        <v>46300</v>
      </c>
      <c r="K1227">
        <v>0.33</v>
      </c>
      <c r="L1227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227">
        <v>0</v>
      </c>
      <c r="N1227">
        <v>0</v>
      </c>
      <c r="O1227">
        <v>0</v>
      </c>
      <c r="P1227">
        <v>13398.7528</v>
      </c>
      <c r="Q1227">
        <v>63903</v>
      </c>
      <c r="R1227">
        <f>(Grandview_Inventory[[#This Row],[ln_acres]]*Grandview_Inventory[[#This Row],[coeff]])+Grandview_Inventory[[#This Row],[const]]</f>
        <v>49048.303555435712</v>
      </c>
      <c r="S1227" t="s">
        <v>68</v>
      </c>
      <c r="T1227">
        <v>1</v>
      </c>
      <c r="U1227" t="s">
        <v>70</v>
      </c>
      <c r="V1227" t="s">
        <v>69</v>
      </c>
      <c r="W1227">
        <v>0</v>
      </c>
      <c r="X1227">
        <v>0</v>
      </c>
      <c r="Y1227">
        <v>50</v>
      </c>
      <c r="Z1227">
        <v>75</v>
      </c>
      <c r="AA1227">
        <v>80</v>
      </c>
      <c r="AB1227">
        <v>2000</v>
      </c>
      <c r="AC1227">
        <v>1644</v>
      </c>
      <c r="AD1227">
        <v>1096</v>
      </c>
      <c r="AE1227">
        <v>0</v>
      </c>
      <c r="AF1227">
        <v>0</v>
      </c>
      <c r="AG1227">
        <v>548</v>
      </c>
      <c r="AH1227">
        <v>548</v>
      </c>
      <c r="AI1227">
        <v>0</v>
      </c>
      <c r="AJ1227">
        <v>0</v>
      </c>
      <c r="AK1227">
        <v>560</v>
      </c>
      <c r="AL1227">
        <v>0</v>
      </c>
      <c r="AM1227">
        <v>280</v>
      </c>
      <c r="AN1227">
        <v>72</v>
      </c>
      <c r="AO1227">
        <v>504</v>
      </c>
      <c r="AP1227">
        <v>5</v>
      </c>
      <c r="AQ1227">
        <v>0</v>
      </c>
      <c r="AR1227">
        <v>1</v>
      </c>
      <c r="AS1227" t="s">
        <v>58</v>
      </c>
      <c r="AT1227">
        <v>1</v>
      </c>
      <c r="AU1227" t="s">
        <v>63</v>
      </c>
      <c r="AV1227" t="s">
        <v>64</v>
      </c>
      <c r="AW1227">
        <v>1</v>
      </c>
      <c r="AX1227">
        <v>2</v>
      </c>
      <c r="AY1227">
        <v>0</v>
      </c>
      <c r="AZ1227">
        <v>12400</v>
      </c>
      <c r="BA1227">
        <v>100</v>
      </c>
      <c r="BB1227">
        <v>100</v>
      </c>
      <c r="BC1227">
        <v>100</v>
      </c>
      <c r="BD1227">
        <v>100</v>
      </c>
      <c r="BE1227">
        <v>1</v>
      </c>
      <c r="BF1227">
        <v>15000</v>
      </c>
      <c r="BG1227">
        <v>1000</v>
      </c>
      <c r="BH1227" s="6">
        <f>Grandview_Inventory[[#This Row],[land_extract]]*Lookups!$B$3</f>
        <v>56959.662488507893</v>
      </c>
      <c r="BI1227" s="6">
        <f>IF(Grandview_Inventory[[#This Row],[bldg_style]]="",0,Lookups!$B$2)</f>
        <v>155833.95000000001</v>
      </c>
      <c r="BJ1227" s="6">
        <f>_xlfn.IFNA(VLOOKUP(Grandview_Inventory[[#This Row],[quality]],Lookups!$H$2:$J$14,3,FALSE),0)</f>
        <v>10733</v>
      </c>
      <c r="BK1227" s="6">
        <f>_xlfn.IFNA(VLOOKUP(Grandview_Inventory[[#This Row],[condition]],Lookups!$H$17:$J$24,3,FALSE),0)</f>
        <v>-4503</v>
      </c>
      <c r="BL1227" s="6">
        <f>Grandview_Inventory[[#This Row],[Eff_Age]]*Lookups!$B$14</f>
        <v>-11958.33</v>
      </c>
      <c r="BM1227" s="6">
        <f>Grandview_Inventory[[#This Row],[living_area]]*Lookups!$B$15</f>
        <v>102554.122332</v>
      </c>
      <c r="BN1227" s="6">
        <f>Grandview_Inventory[[#This Row],[Fin BSMT]]*Lookups!$B$16</f>
        <v>-14850.383520000001</v>
      </c>
      <c r="BO1227" s="6">
        <f>(Grandview_Inventory[[#This Row],[att_gar]]+Grandview_Inventory[[#This Row],[bltin_gar]])*Lookups!$B$17</f>
        <v>0</v>
      </c>
      <c r="BP1227" s="6">
        <f>Grandview_Inventory[[#This Row],[Plumbing Fixtures]]*Lookups!$B$18</f>
        <v>10052.209000000001</v>
      </c>
      <c r="BQ1227" s="6">
        <f>Grandview_Inventory[[#This Row],[detatched_value]]*Lookups!$B$19</f>
        <v>10500.383239999999</v>
      </c>
      <c r="BR1227" s="6">
        <f>SUM(Grandview_Inventory[[#This Row],[Intercept]:[det_value]])*Grandview_Inventory[[#This Row],[res_pct]]</f>
        <v>258361.95105200002</v>
      </c>
      <c r="BS1227" s="6">
        <f>Grandview_Inventory[[#This Row],[land_value]]</f>
        <v>56959.662488507893</v>
      </c>
      <c r="BT1227" s="4">
        <f>_xlfn.IFNA(VLOOKUP(Grandview_Inventory[[#This Row],[quality]],Lookups!$A$26:$C$33,3,FALSE),1)</f>
        <v>0.98079741117310582</v>
      </c>
      <c r="BU1227" s="4">
        <f>_xlfn.IFNA(VLOOKUP(Grandview_Inventory[[#This Row],[condition]],Lookups!$A$37:$C$44,3,FALSE),1)</f>
        <v>0.96469275950863709</v>
      </c>
      <c r="BV1227" s="4">
        <f>IF(Grandview_Inventory[[#This Row],[bldg_style]]="",1,_xlfn.IFNA(VLOOKUP(Grandview_Inventory[[#This Row],[decade]],Lookups!$F$29:$H$43,3,FALSE),1))</f>
        <v>0.98763256963907298</v>
      </c>
      <c r="BW1227" s="4">
        <f>_xlfn.IFNA(VLOOKUP(Grandview_Inventory[[#This Row],[living_area_range]],Lookups!$F$47:$H$56,3,FALSE),1)</f>
        <v>0.96120133463014379</v>
      </c>
      <c r="BX1227" s="4">
        <f>AVERAGE(Grandview_Inventory[[#This Row],[qual_adj]:[size_adj]])</f>
        <v>0.97358101873773983</v>
      </c>
      <c r="BY1227" s="6">
        <f>IF(Grandview_Inventory[[#This Row],[pre_res]]&lt;0,0,Grandview_Inventory[[#This Row],[pre_res]]*Grandview_Inventory[[#This Row],[overall_adj]])</f>
        <v>251536.29150827625</v>
      </c>
      <c r="BZ1227" s="6">
        <f>(Grandview_Inventory[[#This Row],[sum_land]]-IF(Grandview_Inventory[[#This Row],[no_utilities]]=1,12000,0))/IF(Grandview_Inventory[[#This Row],[unbuildable]]=1,2,1)</f>
        <v>56959.662488507893</v>
      </c>
      <c r="CA1227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227">
        <f>ROUND(Grandview_Inventory[[#This Row],[det_value]]*Lookups!$M$28,-2)</f>
        <v>10000</v>
      </c>
      <c r="CC1227">
        <f>IF(ROUND(Grandview_Inventory[[#This Row],[adj_res]]*Lookups!$M$28,-2)&lt;Grandview_Inventory[[#This Row],[min_res]],Grandview_Inventory[[#This Row],[min_res]],ROUND(Grandview_Inventory[[#This Row],[adj_res]]*Lookups!$M$28,-2))</f>
        <v>239000</v>
      </c>
      <c r="CD1227">
        <f>Grandview_Inventory[[#This Row],[final_det]]+Grandview_Inventory[[#This Row],[final_res]]</f>
        <v>249000</v>
      </c>
      <c r="CE1227">
        <f>Grandview_Inventory[[#This Row],[final_land]]+Grandview_Inventory[[#This Row],[final_imp]]+Grandview_Inventory[[#This Row],[crop_value]]</f>
        <v>303100</v>
      </c>
      <c r="CG1227" t="str">
        <f t="shared" si="19"/>
        <v>update valuation set market_land =54100, market_bldg=249000, market_total =303100, market_mdno =401, market_date ='9/10/2023' where link_id = (select link_id from parcel where parcel_year = '2024' and parcel_id = '23092311460');</v>
      </c>
    </row>
    <row r="1228" spans="1:85" x14ac:dyDescent="0.25">
      <c r="A1228">
        <v>23092311461</v>
      </c>
      <c r="B1228">
        <v>0.27</v>
      </c>
      <c r="C1228">
        <v>11603</v>
      </c>
      <c r="D1228" t="s">
        <v>129</v>
      </c>
      <c r="E1228" t="s">
        <v>53</v>
      </c>
      <c r="F1228" t="s">
        <v>53</v>
      </c>
      <c r="G1228">
        <v>4</v>
      </c>
      <c r="H1228" t="s">
        <v>54</v>
      </c>
      <c r="I1228">
        <v>199700</v>
      </c>
      <c r="J1228">
        <v>40500</v>
      </c>
      <c r="K1228">
        <v>0.27</v>
      </c>
      <c r="L122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228">
        <v>0</v>
      </c>
      <c r="N1228">
        <v>0</v>
      </c>
      <c r="O1228">
        <v>0</v>
      </c>
      <c r="P1228">
        <v>13398.7528</v>
      </c>
      <c r="Q1228">
        <v>63903</v>
      </c>
      <c r="R1228">
        <f>(Grandview_Inventory[[#This Row],[ln_acres]]*Grandview_Inventory[[#This Row],[coeff]])+Grandview_Inventory[[#This Row],[const]]</f>
        <v>46359.566512734265</v>
      </c>
      <c r="S1228" t="s">
        <v>68</v>
      </c>
      <c r="T1228">
        <v>1</v>
      </c>
      <c r="U1228" t="s">
        <v>70</v>
      </c>
      <c r="V1228" t="s">
        <v>67</v>
      </c>
      <c r="W1228">
        <v>0</v>
      </c>
      <c r="X1228">
        <v>0</v>
      </c>
      <c r="Y1228">
        <v>43</v>
      </c>
      <c r="Z1228">
        <v>93</v>
      </c>
      <c r="AA1228">
        <v>100</v>
      </c>
      <c r="AB1228">
        <v>1500</v>
      </c>
      <c r="AC1228">
        <v>1488</v>
      </c>
      <c r="AD1228">
        <v>1488</v>
      </c>
      <c r="AE1228">
        <v>0</v>
      </c>
      <c r="AF1228">
        <v>0</v>
      </c>
      <c r="AG1228">
        <v>0</v>
      </c>
      <c r="AH1228">
        <v>120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8</v>
      </c>
      <c r="AQ1228">
        <v>0</v>
      </c>
      <c r="AR1228">
        <v>0</v>
      </c>
      <c r="AS1228" t="s">
        <v>58</v>
      </c>
      <c r="AT1228">
        <v>1</v>
      </c>
      <c r="AU1228" t="s">
        <v>59</v>
      </c>
      <c r="AV1228" t="s">
        <v>60</v>
      </c>
      <c r="AW1228">
        <v>1</v>
      </c>
      <c r="AX1228">
        <v>4</v>
      </c>
      <c r="AY1228">
        <v>0</v>
      </c>
      <c r="AZ1228">
        <v>2100</v>
      </c>
      <c r="BA1228">
        <v>100</v>
      </c>
      <c r="BB1228">
        <v>100</v>
      </c>
      <c r="BC1228">
        <v>100</v>
      </c>
      <c r="BD1228">
        <v>100</v>
      </c>
      <c r="BE1228">
        <v>1</v>
      </c>
      <c r="BF1228">
        <v>15000</v>
      </c>
      <c r="BG1228">
        <v>1000</v>
      </c>
      <c r="BH1228" s="6">
        <f>Grandview_Inventory[[#This Row],[land_extract]]*Lookups!$B$3</f>
        <v>53837.239420408718</v>
      </c>
      <c r="BI1228" s="6">
        <f>IF(Grandview_Inventory[[#This Row],[bldg_style]]="",0,Lookups!$B$2)</f>
        <v>155833.95000000001</v>
      </c>
      <c r="BJ1228" s="6">
        <f>_xlfn.IFNA(VLOOKUP(Grandview_Inventory[[#This Row],[quality]],Lookups!$H$2:$J$14,3,FALSE),0)</f>
        <v>10733</v>
      </c>
      <c r="BK1228" s="6">
        <f>_xlfn.IFNA(VLOOKUP(Grandview_Inventory[[#This Row],[condition]],Lookups!$H$17:$J$24,3,FALSE),0)</f>
        <v>22342</v>
      </c>
      <c r="BL1228" s="6">
        <f>Grandview_Inventory[[#This Row],[Eff_Age]]*Lookups!$B$14</f>
        <v>-10284.1638</v>
      </c>
      <c r="BM1228" s="6">
        <f>Grandview_Inventory[[#This Row],[living_area]]*Lookups!$B$15</f>
        <v>92822.709264000005</v>
      </c>
      <c r="BN1228" s="6">
        <f>Grandview_Inventory[[#This Row],[Fin BSMT]]*Lookups!$B$16</f>
        <v>0</v>
      </c>
      <c r="BO1228" s="6">
        <f>(Grandview_Inventory[[#This Row],[att_gar]]+Grandview_Inventory[[#This Row],[bltin_gar]])*Lookups!$B$17</f>
        <v>0</v>
      </c>
      <c r="BP1228" s="6">
        <f>Grandview_Inventory[[#This Row],[Plumbing Fixtures]]*Lookups!$B$18</f>
        <v>16083.5344</v>
      </c>
      <c r="BQ1228" s="6">
        <f>Grandview_Inventory[[#This Row],[detatched_value]]*Lookups!$B$19</f>
        <v>1778.29071</v>
      </c>
      <c r="BR1228" s="6">
        <f>SUM(Grandview_Inventory[[#This Row],[Intercept]:[det_value]])*Grandview_Inventory[[#This Row],[res_pct]]</f>
        <v>289309.32057400001</v>
      </c>
      <c r="BS1228" s="6">
        <f>Grandview_Inventory[[#This Row],[land_value]]</f>
        <v>53837.239420408718</v>
      </c>
      <c r="BT1228" s="4">
        <f>_xlfn.IFNA(VLOOKUP(Grandview_Inventory[[#This Row],[quality]],Lookups!$A$26:$C$33,3,FALSE),1)</f>
        <v>0.98079741117310582</v>
      </c>
      <c r="BU1228" s="4">
        <f>_xlfn.IFNA(VLOOKUP(Grandview_Inventory[[#This Row],[condition]],Lookups!$A$37:$C$44,3,FALSE),1)</f>
        <v>0.97383723671140243</v>
      </c>
      <c r="BV1228" s="4">
        <f>IF(Grandview_Inventory[[#This Row],[bldg_style]]="",1,_xlfn.IFNA(VLOOKUP(Grandview_Inventory[[#This Row],[decade]],Lookups!$F$29:$H$43,3,FALSE),1))</f>
        <v>0.95244691841736806</v>
      </c>
      <c r="BW1228" s="4">
        <f>_xlfn.IFNA(VLOOKUP(Grandview_Inventory[[#This Row],[living_area_range]],Lookups!$F$47:$H$56,3,FALSE),1)</f>
        <v>0.96135087979789358</v>
      </c>
      <c r="BX1228" s="4">
        <f>AVERAGE(Grandview_Inventory[[#This Row],[qual_adj]:[size_adj]])</f>
        <v>0.96710811152494247</v>
      </c>
      <c r="BY1228" s="6">
        <f>IF(Grandview_Inventory[[#This Row],[pre_res]]&lt;0,0,Grandview_Inventory[[#This Row],[pre_res]]*Grandview_Inventory[[#This Row],[overall_adj]])</f>
        <v>279793.39066688536</v>
      </c>
      <c r="BZ1228" s="6">
        <f>(Grandview_Inventory[[#This Row],[sum_land]]-IF(Grandview_Inventory[[#This Row],[no_utilities]]=1,12000,0))/IF(Grandview_Inventory[[#This Row],[unbuildable]]=1,2,1)</f>
        <v>53837.239420408718</v>
      </c>
      <c r="CA122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228">
        <f>ROUND(Grandview_Inventory[[#This Row],[det_value]]*Lookups!$M$28,-2)</f>
        <v>1700</v>
      </c>
      <c r="CC1228">
        <f>IF(ROUND(Grandview_Inventory[[#This Row],[adj_res]]*Lookups!$M$28,-2)&lt;Grandview_Inventory[[#This Row],[min_res]],Grandview_Inventory[[#This Row],[min_res]],ROUND(Grandview_Inventory[[#This Row],[adj_res]]*Lookups!$M$28,-2))</f>
        <v>265800</v>
      </c>
      <c r="CD1228">
        <f>Grandview_Inventory[[#This Row],[final_det]]+Grandview_Inventory[[#This Row],[final_res]]</f>
        <v>267500</v>
      </c>
      <c r="CE1228">
        <f>Grandview_Inventory[[#This Row],[final_land]]+Grandview_Inventory[[#This Row],[final_imp]]+Grandview_Inventory[[#This Row],[crop_value]]</f>
        <v>318600</v>
      </c>
      <c r="CG1228" t="str">
        <f t="shared" si="19"/>
        <v>update valuation set market_land =51100, market_bldg=267500, market_total =318600, market_mdno =401, market_date ='9/10/2023' where link_id = (select link_id from parcel where parcel_year = '2024' and parcel_id = '23092311461');</v>
      </c>
    </row>
    <row r="1229" spans="1:85" x14ac:dyDescent="0.25">
      <c r="A1229">
        <v>23092311462</v>
      </c>
      <c r="B1229">
        <v>0.21</v>
      </c>
      <c r="C1229">
        <v>9064</v>
      </c>
      <c r="D1229" t="s">
        <v>129</v>
      </c>
      <c r="E1229" t="s">
        <v>53</v>
      </c>
      <c r="F1229" t="s">
        <v>53</v>
      </c>
      <c r="G1229">
        <v>4</v>
      </c>
      <c r="H1229" t="s">
        <v>54</v>
      </c>
      <c r="I1229">
        <v>120700</v>
      </c>
      <c r="J1229">
        <v>39800</v>
      </c>
      <c r="K1229">
        <v>0.21</v>
      </c>
      <c r="L122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229">
        <v>0</v>
      </c>
      <c r="N1229">
        <v>0</v>
      </c>
      <c r="O1229">
        <v>0</v>
      </c>
      <c r="P1229">
        <v>13398.7528</v>
      </c>
      <c r="Q1229">
        <v>63903</v>
      </c>
      <c r="R1229">
        <f>(Grandview_Inventory[[#This Row],[ln_acres]]*Grandview_Inventory[[#This Row],[coeff]])+Grandview_Inventory[[#This Row],[const]]</f>
        <v>42992.266613125081</v>
      </c>
      <c r="S1229" t="s">
        <v>68</v>
      </c>
      <c r="T1229">
        <v>1</v>
      </c>
      <c r="U1229" t="s">
        <v>70</v>
      </c>
      <c r="V1229" t="s">
        <v>69</v>
      </c>
      <c r="W1229">
        <v>0</v>
      </c>
      <c r="X1229">
        <v>0</v>
      </c>
      <c r="Y1229">
        <v>45</v>
      </c>
      <c r="Z1229">
        <v>93</v>
      </c>
      <c r="AA1229">
        <v>100</v>
      </c>
      <c r="AB1229">
        <v>1000</v>
      </c>
      <c r="AC1229">
        <v>976</v>
      </c>
      <c r="AD1229">
        <v>976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80</v>
      </c>
      <c r="AO1229">
        <v>0</v>
      </c>
      <c r="AP1229">
        <v>5</v>
      </c>
      <c r="AQ1229">
        <v>0</v>
      </c>
      <c r="AR1229">
        <v>0</v>
      </c>
      <c r="AS1229" t="s">
        <v>58</v>
      </c>
      <c r="AT1229">
        <v>1</v>
      </c>
      <c r="AU1229" t="s">
        <v>75</v>
      </c>
      <c r="AV1229" t="s">
        <v>60</v>
      </c>
      <c r="AW1229">
        <v>0</v>
      </c>
      <c r="AX1229">
        <v>2</v>
      </c>
      <c r="AY1229">
        <v>0</v>
      </c>
      <c r="AZ1229">
        <v>0</v>
      </c>
      <c r="BA1229">
        <v>100</v>
      </c>
      <c r="BB1229">
        <v>100</v>
      </c>
      <c r="BC1229">
        <v>100</v>
      </c>
      <c r="BD1229">
        <v>100</v>
      </c>
      <c r="BE1229">
        <v>1</v>
      </c>
      <c r="BF1229">
        <v>15000</v>
      </c>
      <c r="BG1229">
        <v>1000</v>
      </c>
      <c r="BH1229" s="6">
        <f>Grandview_Inventory[[#This Row],[land_extract]]*Lookups!$B$3</f>
        <v>49926.8031387023</v>
      </c>
      <c r="BI1229" s="6">
        <f>IF(Grandview_Inventory[[#This Row],[bldg_style]]="",0,Lookups!$B$2)</f>
        <v>155833.95000000001</v>
      </c>
      <c r="BJ1229" s="6">
        <f>_xlfn.IFNA(VLOOKUP(Grandview_Inventory[[#This Row],[quality]],Lookups!$H$2:$J$14,3,FALSE),0)</f>
        <v>10733</v>
      </c>
      <c r="BK1229" s="6">
        <f>_xlfn.IFNA(VLOOKUP(Grandview_Inventory[[#This Row],[condition]],Lookups!$H$17:$J$24,3,FALSE),0)</f>
        <v>-4503</v>
      </c>
      <c r="BL1229" s="6">
        <f>Grandview_Inventory[[#This Row],[Eff_Age]]*Lookups!$B$14</f>
        <v>-10762.496999999999</v>
      </c>
      <c r="BM1229" s="6">
        <f>Grandview_Inventory[[#This Row],[living_area]]*Lookups!$B$15</f>
        <v>60883.712528000004</v>
      </c>
      <c r="BN1229" s="6">
        <f>Grandview_Inventory[[#This Row],[Fin BSMT]]*Lookups!$B$16</f>
        <v>0</v>
      </c>
      <c r="BO1229" s="6">
        <f>(Grandview_Inventory[[#This Row],[att_gar]]+Grandview_Inventory[[#This Row],[bltin_gar]])*Lookups!$B$17</f>
        <v>0</v>
      </c>
      <c r="BP1229" s="6">
        <f>Grandview_Inventory[[#This Row],[Plumbing Fixtures]]*Lookups!$B$18</f>
        <v>10052.209000000001</v>
      </c>
      <c r="BQ1229" s="6">
        <f>Grandview_Inventory[[#This Row],[detatched_value]]*Lookups!$B$19</f>
        <v>0</v>
      </c>
      <c r="BR1229" s="6">
        <f>SUM(Grandview_Inventory[[#This Row],[Intercept]:[det_value]])*Grandview_Inventory[[#This Row],[res_pct]]</f>
        <v>222237.37452800001</v>
      </c>
      <c r="BS1229" s="6">
        <f>Grandview_Inventory[[#This Row],[land_value]]</f>
        <v>49926.8031387023</v>
      </c>
      <c r="BT1229" s="4">
        <f>_xlfn.IFNA(VLOOKUP(Grandview_Inventory[[#This Row],[quality]],Lookups!$A$26:$C$33,3,FALSE),1)</f>
        <v>0.98079741117310582</v>
      </c>
      <c r="BU1229" s="4">
        <f>_xlfn.IFNA(VLOOKUP(Grandview_Inventory[[#This Row],[condition]],Lookups!$A$37:$C$44,3,FALSE),1)</f>
        <v>0.96469275950863709</v>
      </c>
      <c r="BV1229" s="4">
        <f>IF(Grandview_Inventory[[#This Row],[bldg_style]]="",1,_xlfn.IFNA(VLOOKUP(Grandview_Inventory[[#This Row],[decade]],Lookups!$F$29:$H$43,3,FALSE),1))</f>
        <v>0.95244691841736806</v>
      </c>
      <c r="BW1229" s="4">
        <f>_xlfn.IFNA(VLOOKUP(Grandview_Inventory[[#This Row],[living_area_range]],Lookups!$F$47:$H$56,3,FALSE),1)</f>
        <v>0.94306777142782894</v>
      </c>
      <c r="BX1229" s="4">
        <f>AVERAGE(Grandview_Inventory[[#This Row],[qual_adj]:[size_adj]])</f>
        <v>0.96025121513173495</v>
      </c>
      <c r="BY1229" s="6">
        <f>IF(Grandview_Inventory[[#This Row],[pre_res]]&lt;0,0,Grandview_Inventory[[#This Row],[pre_res]]*Grandview_Inventory[[#This Row],[overall_adj]])</f>
        <v>213403.70893819848</v>
      </c>
      <c r="BZ1229" s="6">
        <f>(Grandview_Inventory[[#This Row],[sum_land]]-IF(Grandview_Inventory[[#This Row],[no_utilities]]=1,12000,0))/IF(Grandview_Inventory[[#This Row],[unbuildable]]=1,2,1)</f>
        <v>49926.8031387023</v>
      </c>
      <c r="CA122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229">
        <f>ROUND(Grandview_Inventory[[#This Row],[det_value]]*Lookups!$M$28,-2)</f>
        <v>0</v>
      </c>
      <c r="CC1229">
        <f>IF(ROUND(Grandview_Inventory[[#This Row],[adj_res]]*Lookups!$M$28,-2)&lt;Grandview_Inventory[[#This Row],[min_res]],Grandview_Inventory[[#This Row],[min_res]],ROUND(Grandview_Inventory[[#This Row],[adj_res]]*Lookups!$M$28,-2))</f>
        <v>202700</v>
      </c>
      <c r="CD1229">
        <f>Grandview_Inventory[[#This Row],[final_det]]+Grandview_Inventory[[#This Row],[final_res]]</f>
        <v>202700</v>
      </c>
      <c r="CE1229">
        <f>Grandview_Inventory[[#This Row],[final_land]]+Grandview_Inventory[[#This Row],[final_imp]]+Grandview_Inventory[[#This Row],[crop_value]]</f>
        <v>250100</v>
      </c>
      <c r="CG1229" t="str">
        <f t="shared" si="19"/>
        <v>update valuation set market_land =47400, market_bldg=202700, market_total =250100, market_mdno =401, market_date ='9/10/2023' where link_id = (select link_id from parcel where parcel_year = '2024' and parcel_id = '23092311462');</v>
      </c>
    </row>
    <row r="1230" spans="1:85" x14ac:dyDescent="0.25">
      <c r="A1230">
        <v>23092311464</v>
      </c>
      <c r="B1230">
        <v>0.27</v>
      </c>
      <c r="C1230">
        <v>11692</v>
      </c>
      <c r="D1230" t="s">
        <v>129</v>
      </c>
      <c r="E1230" t="s">
        <v>53</v>
      </c>
      <c r="F1230" t="s">
        <v>53</v>
      </c>
      <c r="G1230">
        <v>4</v>
      </c>
      <c r="H1230" t="s">
        <v>54</v>
      </c>
      <c r="I1230">
        <v>165200</v>
      </c>
      <c r="J1230">
        <v>40500</v>
      </c>
      <c r="K1230">
        <v>0.27</v>
      </c>
      <c r="L1230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230">
        <v>0</v>
      </c>
      <c r="N1230">
        <v>0</v>
      </c>
      <c r="O1230">
        <v>0</v>
      </c>
      <c r="P1230">
        <v>13398.7528</v>
      </c>
      <c r="Q1230">
        <v>63903</v>
      </c>
      <c r="R1230">
        <f>(Grandview_Inventory[[#This Row],[ln_acres]]*Grandview_Inventory[[#This Row],[coeff]])+Grandview_Inventory[[#This Row],[const]]</f>
        <v>46359.566512734265</v>
      </c>
      <c r="S1230" t="s">
        <v>61</v>
      </c>
      <c r="T1230">
        <v>1</v>
      </c>
      <c r="U1230" t="s">
        <v>65</v>
      </c>
      <c r="V1230" t="s">
        <v>69</v>
      </c>
      <c r="W1230">
        <v>0</v>
      </c>
      <c r="X1230">
        <v>0</v>
      </c>
      <c r="Y1230">
        <v>49</v>
      </c>
      <c r="Z1230">
        <v>65</v>
      </c>
      <c r="AA1230">
        <v>70</v>
      </c>
      <c r="AB1230">
        <v>1500</v>
      </c>
      <c r="AC1230">
        <v>1076</v>
      </c>
      <c r="AD1230">
        <v>1076</v>
      </c>
      <c r="AE1230">
        <v>0</v>
      </c>
      <c r="AF1230">
        <v>0</v>
      </c>
      <c r="AG1230">
        <v>0</v>
      </c>
      <c r="AH1230">
        <v>807</v>
      </c>
      <c r="AI1230">
        <v>384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5</v>
      </c>
      <c r="AQ1230">
        <v>0</v>
      </c>
      <c r="AR1230">
        <v>0</v>
      </c>
      <c r="AS1230" t="s">
        <v>58</v>
      </c>
      <c r="AT1230">
        <v>1</v>
      </c>
      <c r="AU1230" t="s">
        <v>63</v>
      </c>
      <c r="AV1230" t="s">
        <v>64</v>
      </c>
      <c r="AW1230">
        <v>1</v>
      </c>
      <c r="AX1230">
        <v>3</v>
      </c>
      <c r="AY1230">
        <v>0</v>
      </c>
      <c r="AZ1230">
        <v>10700</v>
      </c>
      <c r="BA1230">
        <v>100</v>
      </c>
      <c r="BB1230">
        <v>100</v>
      </c>
      <c r="BC1230">
        <v>100</v>
      </c>
      <c r="BD1230">
        <v>100</v>
      </c>
      <c r="BE1230">
        <v>1</v>
      </c>
      <c r="BF1230">
        <v>15000</v>
      </c>
      <c r="BG1230">
        <v>1000</v>
      </c>
      <c r="BH1230" s="6">
        <f>Grandview_Inventory[[#This Row],[land_extract]]*Lookups!$B$3</f>
        <v>53837.239420408718</v>
      </c>
      <c r="BI1230" s="6">
        <f>IF(Grandview_Inventory[[#This Row],[bldg_style]]="",0,Lookups!$B$2)</f>
        <v>155833.95000000001</v>
      </c>
      <c r="BJ1230" s="6">
        <f>_xlfn.IFNA(VLOOKUP(Grandview_Inventory[[#This Row],[quality]],Lookups!$H$2:$J$14,3,FALSE),0)</f>
        <v>2251</v>
      </c>
      <c r="BK1230" s="6">
        <f>_xlfn.IFNA(VLOOKUP(Grandview_Inventory[[#This Row],[condition]],Lookups!$H$17:$J$24,3,FALSE),0)</f>
        <v>-4503</v>
      </c>
      <c r="BL1230" s="6">
        <f>Grandview_Inventory[[#This Row],[Eff_Age]]*Lookups!$B$14</f>
        <v>-11719.163399999999</v>
      </c>
      <c r="BM1230" s="6">
        <f>Grandview_Inventory[[#This Row],[living_area]]*Lookups!$B$15</f>
        <v>67121.797827999995</v>
      </c>
      <c r="BN1230" s="6">
        <f>Grandview_Inventory[[#This Row],[Fin BSMT]]*Lookups!$B$16</f>
        <v>0</v>
      </c>
      <c r="BO1230" s="6">
        <f>(Grandview_Inventory[[#This Row],[att_gar]]+Grandview_Inventory[[#This Row],[bltin_gar]])*Lookups!$B$17</f>
        <v>33607.847807999999</v>
      </c>
      <c r="BP1230" s="6">
        <f>Grandview_Inventory[[#This Row],[Plumbing Fixtures]]*Lookups!$B$18</f>
        <v>10052.209000000001</v>
      </c>
      <c r="BQ1230" s="6">
        <f>Grandview_Inventory[[#This Row],[detatched_value]]*Lookups!$B$19</f>
        <v>9060.8145700000005</v>
      </c>
      <c r="BR1230" s="6">
        <f>SUM(Grandview_Inventory[[#This Row],[Intercept]:[det_value]])*Grandview_Inventory[[#This Row],[res_pct]]</f>
        <v>261705.45580600001</v>
      </c>
      <c r="BS1230" s="6">
        <f>Grandview_Inventory[[#This Row],[land_value]]</f>
        <v>53837.239420408718</v>
      </c>
      <c r="BT1230" s="4">
        <f>_xlfn.IFNA(VLOOKUP(Grandview_Inventory[[#This Row],[quality]],Lookups!$A$26:$C$33,3,FALSE),1)</f>
        <v>0.98763855981004833</v>
      </c>
      <c r="BU1230" s="4">
        <f>_xlfn.IFNA(VLOOKUP(Grandview_Inventory[[#This Row],[condition]],Lookups!$A$37:$C$44,3,FALSE),1)</f>
        <v>0.96469275950863709</v>
      </c>
      <c r="BV1230" s="4">
        <f>IF(Grandview_Inventory[[#This Row],[bldg_style]]="",1,_xlfn.IFNA(VLOOKUP(Grandview_Inventory[[#This Row],[decade]],Lookups!$F$29:$H$43,3,FALSE),1))</f>
        <v>0.99472141305414818</v>
      </c>
      <c r="BW1230" s="4">
        <f>_xlfn.IFNA(VLOOKUP(Grandview_Inventory[[#This Row],[living_area_range]],Lookups!$F$47:$H$56,3,FALSE),1)</f>
        <v>0.96135087979789358</v>
      </c>
      <c r="BX1230" s="4">
        <f>AVERAGE(Grandview_Inventory[[#This Row],[qual_adj]:[size_adj]])</f>
        <v>0.97710090304268182</v>
      </c>
      <c r="BY1230" s="6">
        <f>IF(Grandview_Inventory[[#This Row],[pre_res]]&lt;0,0,Grandview_Inventory[[#This Row],[pre_res]]*Grandview_Inventory[[#This Row],[overall_adj]])</f>
        <v>255712.63719923928</v>
      </c>
      <c r="BZ1230" s="6">
        <f>(Grandview_Inventory[[#This Row],[sum_land]]-IF(Grandview_Inventory[[#This Row],[no_utilities]]=1,12000,0))/IF(Grandview_Inventory[[#This Row],[unbuildable]]=1,2,1)</f>
        <v>53837.239420408718</v>
      </c>
      <c r="CA1230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230">
        <f>ROUND(Grandview_Inventory[[#This Row],[det_value]]*Lookups!$M$28,-2)</f>
        <v>8600</v>
      </c>
      <c r="CC1230">
        <f>IF(ROUND(Grandview_Inventory[[#This Row],[adj_res]]*Lookups!$M$28,-2)&lt;Grandview_Inventory[[#This Row],[min_res]],Grandview_Inventory[[#This Row],[min_res]],ROUND(Grandview_Inventory[[#This Row],[adj_res]]*Lookups!$M$28,-2))</f>
        <v>242900</v>
      </c>
      <c r="CD1230">
        <f>Grandview_Inventory[[#This Row],[final_det]]+Grandview_Inventory[[#This Row],[final_res]]</f>
        <v>251500</v>
      </c>
      <c r="CE1230">
        <f>Grandview_Inventory[[#This Row],[final_land]]+Grandview_Inventory[[#This Row],[final_imp]]+Grandview_Inventory[[#This Row],[crop_value]]</f>
        <v>302600</v>
      </c>
      <c r="CG1230" t="str">
        <f t="shared" si="19"/>
        <v>update valuation set market_land =51100, market_bldg=251500, market_total =302600, market_mdno =401, market_date ='9/10/2023' where link_id = (select link_id from parcel where parcel_year = '2024' and parcel_id = '23092311464');</v>
      </c>
    </row>
    <row r="1231" spans="1:85" x14ac:dyDescent="0.25">
      <c r="A1231">
        <v>23092311465</v>
      </c>
      <c r="B1231">
        <v>0.17</v>
      </c>
      <c r="C1231">
        <v>7509</v>
      </c>
      <c r="D1231" t="s">
        <v>129</v>
      </c>
      <c r="E1231" t="s">
        <v>53</v>
      </c>
      <c r="F1231" t="s">
        <v>53</v>
      </c>
      <c r="G1231">
        <v>4</v>
      </c>
      <c r="H1231" t="s">
        <v>54</v>
      </c>
      <c r="I1231">
        <v>152600</v>
      </c>
      <c r="J1231">
        <v>39300</v>
      </c>
      <c r="K1231">
        <v>0.17</v>
      </c>
      <c r="L123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31">
        <v>0</v>
      </c>
      <c r="N1231">
        <v>0</v>
      </c>
      <c r="O1231">
        <v>0</v>
      </c>
      <c r="P1231">
        <v>13398.7528</v>
      </c>
      <c r="Q1231">
        <v>63903</v>
      </c>
      <c r="R1231">
        <f>(Grandview_Inventory[[#This Row],[ln_acres]]*Grandview_Inventory[[#This Row],[coeff]])+Grandview_Inventory[[#This Row],[const]]</f>
        <v>40160.988302686128</v>
      </c>
      <c r="S1231" t="s">
        <v>68</v>
      </c>
      <c r="T1231">
        <v>1</v>
      </c>
      <c r="U1231" t="s">
        <v>65</v>
      </c>
      <c r="V1231" t="s">
        <v>67</v>
      </c>
      <c r="W1231">
        <v>0</v>
      </c>
      <c r="X1231">
        <v>0</v>
      </c>
      <c r="Y1231">
        <v>49</v>
      </c>
      <c r="Z1231">
        <v>65</v>
      </c>
      <c r="AA1231">
        <v>70</v>
      </c>
      <c r="AB1231">
        <v>1000</v>
      </c>
      <c r="AC1231">
        <v>811</v>
      </c>
      <c r="AD1231">
        <v>811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76</v>
      </c>
      <c r="AN1231">
        <v>0</v>
      </c>
      <c r="AO1231">
        <v>132</v>
      </c>
      <c r="AP1231">
        <v>5</v>
      </c>
      <c r="AQ1231">
        <v>0</v>
      </c>
      <c r="AR1231">
        <v>0</v>
      </c>
      <c r="AS1231" t="s">
        <v>58</v>
      </c>
      <c r="AT1231">
        <v>1</v>
      </c>
      <c r="AU1231" t="s">
        <v>59</v>
      </c>
      <c r="AV1231" t="s">
        <v>60</v>
      </c>
      <c r="AW1231">
        <v>1</v>
      </c>
      <c r="AX1231">
        <v>2</v>
      </c>
      <c r="AY1231">
        <v>0</v>
      </c>
      <c r="AZ1231">
        <v>6700</v>
      </c>
      <c r="BA1231">
        <v>100</v>
      </c>
      <c r="BB1231">
        <v>100</v>
      </c>
      <c r="BC1231">
        <v>100</v>
      </c>
      <c r="BD1231">
        <v>100</v>
      </c>
      <c r="BE1231">
        <v>1</v>
      </c>
      <c r="BF1231">
        <v>15000</v>
      </c>
      <c r="BG1231">
        <v>1000</v>
      </c>
      <c r="BH1231" s="6">
        <f>Grandview_Inventory[[#This Row],[land_extract]]*Lookups!$B$3</f>
        <v>46638.847281240982</v>
      </c>
      <c r="BI1231" s="6">
        <f>IF(Grandview_Inventory[[#This Row],[bldg_style]]="",0,Lookups!$B$2)</f>
        <v>155833.95000000001</v>
      </c>
      <c r="BJ1231" s="6">
        <f>_xlfn.IFNA(VLOOKUP(Grandview_Inventory[[#This Row],[quality]],Lookups!$H$2:$J$14,3,FALSE),0)</f>
        <v>2251</v>
      </c>
      <c r="BK1231" s="6">
        <f>_xlfn.IFNA(VLOOKUP(Grandview_Inventory[[#This Row],[condition]],Lookups!$H$17:$J$24,3,FALSE),0)</f>
        <v>22342</v>
      </c>
      <c r="BL1231" s="6">
        <f>Grandview_Inventory[[#This Row],[Eff_Age]]*Lookups!$B$14</f>
        <v>-11719.163399999999</v>
      </c>
      <c r="BM1231" s="6">
        <f>Grandview_Inventory[[#This Row],[living_area]]*Lookups!$B$15</f>
        <v>50590.871783000002</v>
      </c>
      <c r="BN1231" s="6">
        <f>Grandview_Inventory[[#This Row],[Fin BSMT]]*Lookups!$B$16</f>
        <v>0</v>
      </c>
      <c r="BO1231" s="6">
        <f>(Grandview_Inventory[[#This Row],[att_gar]]+Grandview_Inventory[[#This Row],[bltin_gar]])*Lookups!$B$17</f>
        <v>0</v>
      </c>
      <c r="BP1231" s="6">
        <f>Grandview_Inventory[[#This Row],[Plumbing Fixtures]]*Lookups!$B$18</f>
        <v>10052.209000000001</v>
      </c>
      <c r="BQ1231" s="6">
        <f>Grandview_Inventory[[#This Row],[detatched_value]]*Lookups!$B$19</f>
        <v>5673.5941699999994</v>
      </c>
      <c r="BR1231" s="6">
        <f>SUM(Grandview_Inventory[[#This Row],[Intercept]:[det_value]])*Grandview_Inventory[[#This Row],[res_pct]]</f>
        <v>235024.46155300003</v>
      </c>
      <c r="BS1231" s="6">
        <f>Grandview_Inventory[[#This Row],[land_value]]</f>
        <v>46638.847281240982</v>
      </c>
      <c r="BT1231" s="4">
        <f>_xlfn.IFNA(VLOOKUP(Grandview_Inventory[[#This Row],[quality]],Lookups!$A$26:$C$33,3,FALSE),1)</f>
        <v>0.98763855981004833</v>
      </c>
      <c r="BU1231" s="4">
        <f>_xlfn.IFNA(VLOOKUP(Grandview_Inventory[[#This Row],[condition]],Lookups!$A$37:$C$44,3,FALSE),1)</f>
        <v>0.97383723671140243</v>
      </c>
      <c r="BV1231" s="4">
        <f>IF(Grandview_Inventory[[#This Row],[bldg_style]]="",1,_xlfn.IFNA(VLOOKUP(Grandview_Inventory[[#This Row],[decade]],Lookups!$F$29:$H$43,3,FALSE),1))</f>
        <v>0.99472141305414818</v>
      </c>
      <c r="BW1231" s="4">
        <f>_xlfn.IFNA(VLOOKUP(Grandview_Inventory[[#This Row],[living_area_range]],Lookups!$F$47:$H$56,3,FALSE),1)</f>
        <v>0.94306777142782894</v>
      </c>
      <c r="BX1231" s="4">
        <f>AVERAGE(Grandview_Inventory[[#This Row],[qual_adj]:[size_adj]])</f>
        <v>0.97481624525085697</v>
      </c>
      <c r="BY1231" s="6">
        <f>IF(Grandview_Inventory[[#This Row],[pre_res]]&lt;0,0,Grandview_Inventory[[#This Row],[pre_res]]*Grandview_Inventory[[#This Row],[overall_adj]])</f>
        <v>229105.66315319989</v>
      </c>
      <c r="BZ1231" s="6">
        <f>(Grandview_Inventory[[#This Row],[sum_land]]-IF(Grandview_Inventory[[#This Row],[no_utilities]]=1,12000,0))/IF(Grandview_Inventory[[#This Row],[unbuildable]]=1,2,1)</f>
        <v>46638.847281240982</v>
      </c>
      <c r="CA123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31">
        <f>ROUND(Grandview_Inventory[[#This Row],[det_value]]*Lookups!$M$28,-2)</f>
        <v>5400</v>
      </c>
      <c r="CC1231">
        <f>IF(ROUND(Grandview_Inventory[[#This Row],[adj_res]]*Lookups!$M$28,-2)&lt;Grandview_Inventory[[#This Row],[min_res]],Grandview_Inventory[[#This Row],[min_res]],ROUND(Grandview_Inventory[[#This Row],[adj_res]]*Lookups!$M$28,-2))</f>
        <v>217700</v>
      </c>
      <c r="CD1231">
        <f>Grandview_Inventory[[#This Row],[final_det]]+Grandview_Inventory[[#This Row],[final_res]]</f>
        <v>223100</v>
      </c>
      <c r="CE1231">
        <f>Grandview_Inventory[[#This Row],[final_land]]+Grandview_Inventory[[#This Row],[final_imp]]+Grandview_Inventory[[#This Row],[crop_value]]</f>
        <v>267400</v>
      </c>
      <c r="CG1231" t="str">
        <f t="shared" si="19"/>
        <v>update valuation set market_land =44300, market_bldg=223100, market_total =267400, market_mdno =401, market_date ='9/10/2023' where link_id = (select link_id from parcel where parcel_year = '2024' and parcel_id = '23092311465');</v>
      </c>
    </row>
    <row r="1232" spans="1:85" x14ac:dyDescent="0.25">
      <c r="A1232">
        <v>23092311466</v>
      </c>
      <c r="B1232">
        <v>0.2</v>
      </c>
      <c r="C1232">
        <v>8745</v>
      </c>
      <c r="D1232" t="s">
        <v>129</v>
      </c>
      <c r="E1232" t="s">
        <v>53</v>
      </c>
      <c r="F1232" t="s">
        <v>53</v>
      </c>
      <c r="G1232">
        <v>4</v>
      </c>
      <c r="H1232" t="s">
        <v>54</v>
      </c>
      <c r="I1232">
        <v>113100</v>
      </c>
      <c r="J1232">
        <v>39700</v>
      </c>
      <c r="K1232">
        <v>0.2</v>
      </c>
      <c r="L123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232">
        <v>0</v>
      </c>
      <c r="N1232">
        <v>0</v>
      </c>
      <c r="O1232">
        <v>0</v>
      </c>
      <c r="P1232">
        <v>13398.7528</v>
      </c>
      <c r="Q1232">
        <v>63903</v>
      </c>
      <c r="R1232">
        <f>(Grandview_Inventory[[#This Row],[ln_acres]]*Grandview_Inventory[[#This Row],[coeff]])+Grandview_Inventory[[#This Row],[const]]</f>
        <v>42338.539264347448</v>
      </c>
      <c r="S1232" t="s">
        <v>68</v>
      </c>
      <c r="T1232">
        <v>1</v>
      </c>
      <c r="U1232" t="s">
        <v>70</v>
      </c>
      <c r="V1232" t="s">
        <v>69</v>
      </c>
      <c r="W1232">
        <v>0</v>
      </c>
      <c r="X1232">
        <v>0</v>
      </c>
      <c r="Y1232">
        <v>49</v>
      </c>
      <c r="Z1232">
        <v>65</v>
      </c>
      <c r="AA1232">
        <v>70</v>
      </c>
      <c r="AB1232">
        <v>1000</v>
      </c>
      <c r="AC1232">
        <v>812</v>
      </c>
      <c r="AD1232">
        <v>812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460</v>
      </c>
      <c r="AN1232">
        <v>48</v>
      </c>
      <c r="AO1232">
        <v>160</v>
      </c>
      <c r="AP1232">
        <v>5</v>
      </c>
      <c r="AQ1232">
        <v>0</v>
      </c>
      <c r="AR1232">
        <v>0</v>
      </c>
      <c r="AS1232" t="s">
        <v>58</v>
      </c>
      <c r="AT1232">
        <v>1</v>
      </c>
      <c r="AU1232" t="s">
        <v>63</v>
      </c>
      <c r="AV1232" t="s">
        <v>60</v>
      </c>
      <c r="AW1232">
        <v>0</v>
      </c>
      <c r="AX1232">
        <v>2</v>
      </c>
      <c r="AY1232">
        <v>0</v>
      </c>
      <c r="AZ1232">
        <v>0</v>
      </c>
      <c r="BA1232">
        <v>100</v>
      </c>
      <c r="BB1232">
        <v>100</v>
      </c>
      <c r="BC1232">
        <v>100</v>
      </c>
      <c r="BD1232">
        <v>100</v>
      </c>
      <c r="BE1232">
        <v>1</v>
      </c>
      <c r="BF1232">
        <v>15000</v>
      </c>
      <c r="BG1232">
        <v>1000</v>
      </c>
      <c r="BH1232" s="6">
        <f>Grandview_Inventory[[#This Row],[land_extract]]*Lookups!$B$3</f>
        <v>49167.631333630678</v>
      </c>
      <c r="BI1232" s="6">
        <f>IF(Grandview_Inventory[[#This Row],[bldg_style]]="",0,Lookups!$B$2)</f>
        <v>155833.95000000001</v>
      </c>
      <c r="BJ1232" s="6">
        <f>_xlfn.IFNA(VLOOKUP(Grandview_Inventory[[#This Row],[quality]],Lookups!$H$2:$J$14,3,FALSE),0)</f>
        <v>10733</v>
      </c>
      <c r="BK1232" s="6">
        <f>_xlfn.IFNA(VLOOKUP(Grandview_Inventory[[#This Row],[condition]],Lookups!$H$17:$J$24,3,FALSE),0)</f>
        <v>-4503</v>
      </c>
      <c r="BL1232" s="6">
        <f>Grandview_Inventory[[#This Row],[Eff_Age]]*Lookups!$B$14</f>
        <v>-11719.163399999999</v>
      </c>
      <c r="BM1232" s="6">
        <f>Grandview_Inventory[[#This Row],[living_area]]*Lookups!$B$15</f>
        <v>50653.252636000005</v>
      </c>
      <c r="BN1232" s="6">
        <f>Grandview_Inventory[[#This Row],[Fin BSMT]]*Lookups!$B$16</f>
        <v>0</v>
      </c>
      <c r="BO1232" s="6">
        <f>(Grandview_Inventory[[#This Row],[att_gar]]+Grandview_Inventory[[#This Row],[bltin_gar]])*Lookups!$B$17</f>
        <v>0</v>
      </c>
      <c r="BP1232" s="6">
        <f>Grandview_Inventory[[#This Row],[Plumbing Fixtures]]*Lookups!$B$18</f>
        <v>10052.209000000001</v>
      </c>
      <c r="BQ1232" s="6">
        <f>Grandview_Inventory[[#This Row],[detatched_value]]*Lookups!$B$19</f>
        <v>0</v>
      </c>
      <c r="BR1232" s="6">
        <f>SUM(Grandview_Inventory[[#This Row],[Intercept]:[det_value]])*Grandview_Inventory[[#This Row],[res_pct]]</f>
        <v>211050.24823600004</v>
      </c>
      <c r="BS1232" s="6">
        <f>Grandview_Inventory[[#This Row],[land_value]]</f>
        <v>49167.631333630678</v>
      </c>
      <c r="BT1232" s="4">
        <f>_xlfn.IFNA(VLOOKUP(Grandview_Inventory[[#This Row],[quality]],Lookups!$A$26:$C$33,3,FALSE),1)</f>
        <v>0.98079741117310582</v>
      </c>
      <c r="BU1232" s="4">
        <f>_xlfn.IFNA(VLOOKUP(Grandview_Inventory[[#This Row],[condition]],Lookups!$A$37:$C$44,3,FALSE),1)</f>
        <v>0.96469275950863709</v>
      </c>
      <c r="BV1232" s="4">
        <f>IF(Grandview_Inventory[[#This Row],[bldg_style]]="",1,_xlfn.IFNA(VLOOKUP(Grandview_Inventory[[#This Row],[decade]],Lookups!$F$29:$H$43,3,FALSE),1))</f>
        <v>0.99472141305414818</v>
      </c>
      <c r="BW1232" s="4">
        <f>_xlfn.IFNA(VLOOKUP(Grandview_Inventory[[#This Row],[living_area_range]],Lookups!$F$47:$H$56,3,FALSE),1)</f>
        <v>0.94306777142782894</v>
      </c>
      <c r="BX1232" s="4">
        <f>AVERAGE(Grandview_Inventory[[#This Row],[qual_adj]:[size_adj]])</f>
        <v>0.97081983879093003</v>
      </c>
      <c r="BY1232" s="6">
        <f>IF(Grandview_Inventory[[#This Row],[pre_res]]&lt;0,0,Grandview_Inventory[[#This Row],[pre_res]]*Grandview_Inventory[[#This Row],[overall_adj]])</f>
        <v>204891.76796925932</v>
      </c>
      <c r="BZ1232" s="6">
        <f>(Grandview_Inventory[[#This Row],[sum_land]]-IF(Grandview_Inventory[[#This Row],[no_utilities]]=1,12000,0))/IF(Grandview_Inventory[[#This Row],[unbuildable]]=1,2,1)</f>
        <v>49167.631333630678</v>
      </c>
      <c r="CA123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232">
        <f>ROUND(Grandview_Inventory[[#This Row],[det_value]]*Lookups!$M$28,-2)</f>
        <v>0</v>
      </c>
      <c r="CC1232">
        <f>IF(ROUND(Grandview_Inventory[[#This Row],[adj_res]]*Lookups!$M$28,-2)&lt;Grandview_Inventory[[#This Row],[min_res]],Grandview_Inventory[[#This Row],[min_res]],ROUND(Grandview_Inventory[[#This Row],[adj_res]]*Lookups!$M$28,-2))</f>
        <v>194600</v>
      </c>
      <c r="CD1232">
        <f>Grandview_Inventory[[#This Row],[final_det]]+Grandview_Inventory[[#This Row],[final_res]]</f>
        <v>194600</v>
      </c>
      <c r="CE1232">
        <f>Grandview_Inventory[[#This Row],[final_land]]+Grandview_Inventory[[#This Row],[final_imp]]+Grandview_Inventory[[#This Row],[crop_value]]</f>
        <v>241300</v>
      </c>
      <c r="CG1232" t="str">
        <f t="shared" si="19"/>
        <v>update valuation set market_land =46700, market_bldg=194600, market_total =241300, market_mdno =401, market_date ='9/10/2023' where link_id = (select link_id from parcel where parcel_year = '2024' and parcel_id = '23092311466');</v>
      </c>
    </row>
    <row r="1233" spans="1:85" x14ac:dyDescent="0.25">
      <c r="A1233">
        <v>23092311467</v>
      </c>
      <c r="B1233">
        <v>0.27</v>
      </c>
      <c r="C1233">
        <v>11561</v>
      </c>
      <c r="D1233" t="s">
        <v>129</v>
      </c>
      <c r="E1233" t="s">
        <v>53</v>
      </c>
      <c r="F1233" t="s">
        <v>53</v>
      </c>
      <c r="G1233">
        <v>4</v>
      </c>
      <c r="H1233" t="s">
        <v>54</v>
      </c>
      <c r="I1233">
        <v>153100</v>
      </c>
      <c r="J1233">
        <v>40700</v>
      </c>
      <c r="K1233">
        <v>0.27</v>
      </c>
      <c r="L1233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233">
        <v>0</v>
      </c>
      <c r="N1233">
        <v>0</v>
      </c>
      <c r="O1233">
        <v>0</v>
      </c>
      <c r="P1233">
        <v>13398.7528</v>
      </c>
      <c r="Q1233">
        <v>63903</v>
      </c>
      <c r="R1233">
        <f>(Grandview_Inventory[[#This Row],[ln_acres]]*Grandview_Inventory[[#This Row],[coeff]])+Grandview_Inventory[[#This Row],[const]]</f>
        <v>46359.566512734265</v>
      </c>
      <c r="S1233" t="s">
        <v>68</v>
      </c>
      <c r="T1233">
        <v>1</v>
      </c>
      <c r="U1233" t="s">
        <v>70</v>
      </c>
      <c r="V1233" t="s">
        <v>67</v>
      </c>
      <c r="W1233">
        <v>0</v>
      </c>
      <c r="X1233">
        <v>0</v>
      </c>
      <c r="Y1233">
        <v>49</v>
      </c>
      <c r="Z1233">
        <v>65</v>
      </c>
      <c r="AA1233">
        <v>70</v>
      </c>
      <c r="AB1233">
        <v>1000</v>
      </c>
      <c r="AC1233">
        <v>802</v>
      </c>
      <c r="AD1233">
        <v>802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220</v>
      </c>
      <c r="AN1233">
        <v>40</v>
      </c>
      <c r="AO1233">
        <v>108</v>
      </c>
      <c r="AP1233">
        <v>5</v>
      </c>
      <c r="AQ1233">
        <v>0</v>
      </c>
      <c r="AR1233">
        <v>0</v>
      </c>
      <c r="AS1233" t="s">
        <v>58</v>
      </c>
      <c r="AT1233">
        <v>1</v>
      </c>
      <c r="AU1233" t="s">
        <v>75</v>
      </c>
      <c r="AV1233" t="s">
        <v>60</v>
      </c>
      <c r="AW1233">
        <v>0</v>
      </c>
      <c r="AX1233">
        <v>2</v>
      </c>
      <c r="AY1233">
        <v>0</v>
      </c>
      <c r="AZ1233">
        <v>8600</v>
      </c>
      <c r="BA1233">
        <v>100</v>
      </c>
      <c r="BB1233">
        <v>100</v>
      </c>
      <c r="BC1233">
        <v>100</v>
      </c>
      <c r="BD1233">
        <v>100</v>
      </c>
      <c r="BE1233">
        <v>1</v>
      </c>
      <c r="BF1233">
        <v>15000</v>
      </c>
      <c r="BG1233">
        <v>1000</v>
      </c>
      <c r="BH1233" s="6">
        <f>Grandview_Inventory[[#This Row],[land_extract]]*Lookups!$B$3</f>
        <v>53837.239420408718</v>
      </c>
      <c r="BI1233" s="6">
        <f>IF(Grandview_Inventory[[#This Row],[bldg_style]]="",0,Lookups!$B$2)</f>
        <v>155833.95000000001</v>
      </c>
      <c r="BJ1233" s="6">
        <f>_xlfn.IFNA(VLOOKUP(Grandview_Inventory[[#This Row],[quality]],Lookups!$H$2:$J$14,3,FALSE),0)</f>
        <v>10733</v>
      </c>
      <c r="BK1233" s="6">
        <f>_xlfn.IFNA(VLOOKUP(Grandview_Inventory[[#This Row],[condition]],Lookups!$H$17:$J$24,3,FALSE),0)</f>
        <v>22342</v>
      </c>
      <c r="BL1233" s="6">
        <f>Grandview_Inventory[[#This Row],[Eff_Age]]*Lookups!$B$14</f>
        <v>-11719.163399999999</v>
      </c>
      <c r="BM1233" s="6">
        <f>Grandview_Inventory[[#This Row],[living_area]]*Lookups!$B$15</f>
        <v>50029.444106000003</v>
      </c>
      <c r="BN1233" s="6">
        <f>Grandview_Inventory[[#This Row],[Fin BSMT]]*Lookups!$B$16</f>
        <v>0</v>
      </c>
      <c r="BO1233" s="6">
        <f>(Grandview_Inventory[[#This Row],[att_gar]]+Grandview_Inventory[[#This Row],[bltin_gar]])*Lookups!$B$17</f>
        <v>0</v>
      </c>
      <c r="BP1233" s="6">
        <f>Grandview_Inventory[[#This Row],[Plumbing Fixtures]]*Lookups!$B$18</f>
        <v>10052.209000000001</v>
      </c>
      <c r="BQ1233" s="6">
        <f>Grandview_Inventory[[#This Row],[detatched_value]]*Lookups!$B$19</f>
        <v>7282.5238600000002</v>
      </c>
      <c r="BR1233" s="6">
        <f>SUM(Grandview_Inventory[[#This Row],[Intercept]:[det_value]])*Grandview_Inventory[[#This Row],[res_pct]]</f>
        <v>244553.96356600002</v>
      </c>
      <c r="BS1233" s="6">
        <f>Grandview_Inventory[[#This Row],[land_value]]</f>
        <v>53837.239420408718</v>
      </c>
      <c r="BT1233" s="4">
        <f>_xlfn.IFNA(VLOOKUP(Grandview_Inventory[[#This Row],[quality]],Lookups!$A$26:$C$33,3,FALSE),1)</f>
        <v>0.98079741117310582</v>
      </c>
      <c r="BU1233" s="4">
        <f>_xlfn.IFNA(VLOOKUP(Grandview_Inventory[[#This Row],[condition]],Lookups!$A$37:$C$44,3,FALSE),1)</f>
        <v>0.97383723671140243</v>
      </c>
      <c r="BV1233" s="4">
        <f>IF(Grandview_Inventory[[#This Row],[bldg_style]]="",1,_xlfn.IFNA(VLOOKUP(Grandview_Inventory[[#This Row],[decade]],Lookups!$F$29:$H$43,3,FALSE),1))</f>
        <v>0.99472141305414818</v>
      </c>
      <c r="BW1233" s="4">
        <f>_xlfn.IFNA(VLOOKUP(Grandview_Inventory[[#This Row],[living_area_range]],Lookups!$F$47:$H$56,3,FALSE),1)</f>
        <v>0.94306777142782894</v>
      </c>
      <c r="BX1233" s="4">
        <f>AVERAGE(Grandview_Inventory[[#This Row],[qual_adj]:[size_adj]])</f>
        <v>0.97310595809162137</v>
      </c>
      <c r="BY1233" s="6">
        <f>IF(Grandview_Inventory[[#This Row],[pre_res]]&lt;0,0,Grandview_Inventory[[#This Row],[pre_res]]*Grandview_Inventory[[#This Row],[overall_adj]])</f>
        <v>237976.91902099591</v>
      </c>
      <c r="BZ1233" s="6">
        <f>(Grandview_Inventory[[#This Row],[sum_land]]-IF(Grandview_Inventory[[#This Row],[no_utilities]]=1,12000,0))/IF(Grandview_Inventory[[#This Row],[unbuildable]]=1,2,1)</f>
        <v>53837.239420408718</v>
      </c>
      <c r="CA1233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233">
        <f>ROUND(Grandview_Inventory[[#This Row],[det_value]]*Lookups!$M$28,-2)</f>
        <v>6900</v>
      </c>
      <c r="CC1233">
        <f>IF(ROUND(Grandview_Inventory[[#This Row],[adj_res]]*Lookups!$M$28,-2)&lt;Grandview_Inventory[[#This Row],[min_res]],Grandview_Inventory[[#This Row],[min_res]],ROUND(Grandview_Inventory[[#This Row],[adj_res]]*Lookups!$M$28,-2))</f>
        <v>226100</v>
      </c>
      <c r="CD1233">
        <f>Grandview_Inventory[[#This Row],[final_det]]+Grandview_Inventory[[#This Row],[final_res]]</f>
        <v>233000</v>
      </c>
      <c r="CE1233">
        <f>Grandview_Inventory[[#This Row],[final_land]]+Grandview_Inventory[[#This Row],[final_imp]]+Grandview_Inventory[[#This Row],[crop_value]]</f>
        <v>284100</v>
      </c>
      <c r="CG1233" t="str">
        <f t="shared" si="19"/>
        <v>update valuation set market_land =51100, market_bldg=233000, market_total =284100, market_mdno =401, market_date ='9/10/2023' where link_id = (select link_id from parcel where parcel_year = '2024' and parcel_id = '23092311467');</v>
      </c>
    </row>
    <row r="1234" spans="1:85" x14ac:dyDescent="0.25">
      <c r="A1234">
        <v>23092311468</v>
      </c>
      <c r="B1234">
        <v>0.12</v>
      </c>
      <c r="C1234">
        <v>5274</v>
      </c>
      <c r="D1234" t="s">
        <v>129</v>
      </c>
      <c r="E1234" t="s">
        <v>53</v>
      </c>
      <c r="F1234" t="s">
        <v>53</v>
      </c>
      <c r="G1234">
        <v>4</v>
      </c>
      <c r="H1234" t="s">
        <v>54</v>
      </c>
      <c r="I1234">
        <v>185700</v>
      </c>
      <c r="J1234">
        <v>38400</v>
      </c>
      <c r="K1234">
        <v>0.12</v>
      </c>
      <c r="L123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34">
        <v>0</v>
      </c>
      <c r="N1234">
        <v>0</v>
      </c>
      <c r="O1234">
        <v>0</v>
      </c>
      <c r="P1234">
        <v>13398.7528</v>
      </c>
      <c r="Q1234">
        <v>63903</v>
      </c>
      <c r="R1234">
        <f>(Grandview_Inventory[[#This Row],[ln_acres]]*Grandview_Inventory[[#This Row],[coeff]])+Grandview_Inventory[[#This Row],[const]]</f>
        <v>35494.113007601132</v>
      </c>
      <c r="S1234" t="s">
        <v>68</v>
      </c>
      <c r="T1234">
        <v>1</v>
      </c>
      <c r="U1234" t="s">
        <v>70</v>
      </c>
      <c r="V1234" t="s">
        <v>67</v>
      </c>
      <c r="W1234">
        <v>0</v>
      </c>
      <c r="X1234">
        <v>0</v>
      </c>
      <c r="Y1234">
        <v>49</v>
      </c>
      <c r="Z1234">
        <v>68</v>
      </c>
      <c r="AA1234">
        <v>70</v>
      </c>
      <c r="AB1234">
        <v>1500</v>
      </c>
      <c r="AC1234">
        <v>1152</v>
      </c>
      <c r="AD1234">
        <v>1152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552</v>
      </c>
      <c r="AL1234">
        <v>320</v>
      </c>
      <c r="AM1234">
        <v>0</v>
      </c>
      <c r="AN1234">
        <v>0</v>
      </c>
      <c r="AO1234">
        <v>320</v>
      </c>
      <c r="AP1234">
        <v>5</v>
      </c>
      <c r="AQ1234">
        <v>0</v>
      </c>
      <c r="AR1234">
        <v>0</v>
      </c>
      <c r="AS1234" t="s">
        <v>58</v>
      </c>
      <c r="AT1234">
        <v>1</v>
      </c>
      <c r="AU1234" t="s">
        <v>63</v>
      </c>
      <c r="AV1234" t="s">
        <v>64</v>
      </c>
      <c r="AW1234">
        <v>1</v>
      </c>
      <c r="AX1234">
        <v>3</v>
      </c>
      <c r="AY1234">
        <v>0</v>
      </c>
      <c r="AZ1234">
        <v>0</v>
      </c>
      <c r="BA1234">
        <v>100</v>
      </c>
      <c r="BB1234">
        <v>100</v>
      </c>
      <c r="BC1234">
        <v>100</v>
      </c>
      <c r="BD1234">
        <v>100</v>
      </c>
      <c r="BE1234">
        <v>1</v>
      </c>
      <c r="BF1234">
        <v>15000</v>
      </c>
      <c r="BG1234">
        <v>1000</v>
      </c>
      <c r="BH1234" s="6">
        <f>Grandview_Inventory[[#This Row],[land_extract]]*Lookups!$B$3</f>
        <v>41219.217601622076</v>
      </c>
      <c r="BI1234" s="6">
        <f>IF(Grandview_Inventory[[#This Row],[bldg_style]]="",0,Lookups!$B$2)</f>
        <v>155833.95000000001</v>
      </c>
      <c r="BJ1234" s="6">
        <f>_xlfn.IFNA(VLOOKUP(Grandview_Inventory[[#This Row],[quality]],Lookups!$H$2:$J$14,3,FALSE),0)</f>
        <v>10733</v>
      </c>
      <c r="BK1234" s="6">
        <f>_xlfn.IFNA(VLOOKUP(Grandview_Inventory[[#This Row],[condition]],Lookups!$H$17:$J$24,3,FALSE),0)</f>
        <v>22342</v>
      </c>
      <c r="BL1234" s="6">
        <f>Grandview_Inventory[[#This Row],[Eff_Age]]*Lookups!$B$14</f>
        <v>-11719.163399999999</v>
      </c>
      <c r="BM1234" s="6">
        <f>Grandview_Inventory[[#This Row],[living_area]]*Lookups!$B$15</f>
        <v>71862.742656000002</v>
      </c>
      <c r="BN1234" s="6">
        <f>Grandview_Inventory[[#This Row],[Fin BSMT]]*Lookups!$B$16</f>
        <v>0</v>
      </c>
      <c r="BO1234" s="6">
        <f>(Grandview_Inventory[[#This Row],[att_gar]]+Grandview_Inventory[[#This Row],[bltin_gar]])*Lookups!$B$17</f>
        <v>0</v>
      </c>
      <c r="BP1234" s="6">
        <f>Grandview_Inventory[[#This Row],[Plumbing Fixtures]]*Lookups!$B$18</f>
        <v>10052.209000000001</v>
      </c>
      <c r="BQ1234" s="6">
        <f>Grandview_Inventory[[#This Row],[detatched_value]]*Lookups!$B$19</f>
        <v>0</v>
      </c>
      <c r="BR1234" s="6">
        <f>SUM(Grandview_Inventory[[#This Row],[Intercept]:[det_value]])*Grandview_Inventory[[#This Row],[res_pct]]</f>
        <v>259104.73825600001</v>
      </c>
      <c r="BS1234" s="6">
        <f>Grandview_Inventory[[#This Row],[land_value]]</f>
        <v>41219.217601622076</v>
      </c>
      <c r="BT1234" s="4">
        <f>_xlfn.IFNA(VLOOKUP(Grandview_Inventory[[#This Row],[quality]],Lookups!$A$26:$C$33,3,FALSE),1)</f>
        <v>0.98079741117310582</v>
      </c>
      <c r="BU1234" s="4">
        <f>_xlfn.IFNA(VLOOKUP(Grandview_Inventory[[#This Row],[condition]],Lookups!$A$37:$C$44,3,FALSE),1)</f>
        <v>0.97383723671140243</v>
      </c>
      <c r="BV1234" s="4">
        <f>IF(Grandview_Inventory[[#This Row],[bldg_style]]="",1,_xlfn.IFNA(VLOOKUP(Grandview_Inventory[[#This Row],[decade]],Lookups!$F$29:$H$43,3,FALSE),1))</f>
        <v>0.99472141305414818</v>
      </c>
      <c r="BW1234" s="4">
        <f>_xlfn.IFNA(VLOOKUP(Grandview_Inventory[[#This Row],[living_area_range]],Lookups!$F$47:$H$56,3,FALSE),1)</f>
        <v>0.96135087979789358</v>
      </c>
      <c r="BX1234" s="4">
        <f>AVERAGE(Grandview_Inventory[[#This Row],[qual_adj]:[size_adj]])</f>
        <v>0.97767673518413756</v>
      </c>
      <c r="BY1234" s="6">
        <f>IF(Grandview_Inventory[[#This Row],[pre_res]]&lt;0,0,Grandview_Inventory[[#This Row],[pre_res]]*Grandview_Inventory[[#This Row],[overall_adj]])</f>
        <v>253320.67456886661</v>
      </c>
      <c r="BZ1234" s="6">
        <f>(Grandview_Inventory[[#This Row],[sum_land]]-IF(Grandview_Inventory[[#This Row],[no_utilities]]=1,12000,0))/IF(Grandview_Inventory[[#This Row],[unbuildable]]=1,2,1)</f>
        <v>41219.217601622076</v>
      </c>
      <c r="CA123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34">
        <f>ROUND(Grandview_Inventory[[#This Row],[det_value]]*Lookups!$M$28,-2)</f>
        <v>0</v>
      </c>
      <c r="CC1234">
        <f>IF(ROUND(Grandview_Inventory[[#This Row],[adj_res]]*Lookups!$M$28,-2)&lt;Grandview_Inventory[[#This Row],[min_res]],Grandview_Inventory[[#This Row],[min_res]],ROUND(Grandview_Inventory[[#This Row],[adj_res]]*Lookups!$M$28,-2))</f>
        <v>240700</v>
      </c>
      <c r="CD1234">
        <f>Grandview_Inventory[[#This Row],[final_det]]+Grandview_Inventory[[#This Row],[final_res]]</f>
        <v>240700</v>
      </c>
      <c r="CE1234">
        <f>Grandview_Inventory[[#This Row],[final_land]]+Grandview_Inventory[[#This Row],[final_imp]]+Grandview_Inventory[[#This Row],[crop_value]]</f>
        <v>279900</v>
      </c>
      <c r="CG1234" t="str">
        <f t="shared" si="19"/>
        <v>update valuation set market_land =39200, market_bldg=240700, market_total =279900, market_mdno =401, market_date ='9/10/2023' where link_id = (select link_id from parcel where parcel_year = '2024' and parcel_id = '23092311468');</v>
      </c>
    </row>
    <row r="1235" spans="1:85" x14ac:dyDescent="0.25">
      <c r="A1235">
        <v>23092311469</v>
      </c>
      <c r="B1235">
        <v>0.12</v>
      </c>
      <c r="C1235">
        <v>5293</v>
      </c>
      <c r="D1235" t="s">
        <v>129</v>
      </c>
      <c r="E1235" t="s">
        <v>53</v>
      </c>
      <c r="F1235" t="s">
        <v>53</v>
      </c>
      <c r="G1235">
        <v>4</v>
      </c>
      <c r="H1235" t="s">
        <v>54</v>
      </c>
      <c r="I1235">
        <v>110400</v>
      </c>
      <c r="J1235">
        <v>38400</v>
      </c>
      <c r="K1235">
        <v>0.12</v>
      </c>
      <c r="L1235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35">
        <v>0</v>
      </c>
      <c r="N1235">
        <v>0</v>
      </c>
      <c r="O1235">
        <v>0</v>
      </c>
      <c r="P1235">
        <v>13398.7528</v>
      </c>
      <c r="Q1235">
        <v>63903</v>
      </c>
      <c r="R1235">
        <f>(Grandview_Inventory[[#This Row],[ln_acres]]*Grandview_Inventory[[#This Row],[coeff]])+Grandview_Inventory[[#This Row],[const]]</f>
        <v>35494.113007601132</v>
      </c>
      <c r="S1235" t="s">
        <v>68</v>
      </c>
      <c r="T1235">
        <v>1</v>
      </c>
      <c r="U1235" t="s">
        <v>70</v>
      </c>
      <c r="V1235" t="s">
        <v>69</v>
      </c>
      <c r="W1235">
        <v>0</v>
      </c>
      <c r="X1235">
        <v>0</v>
      </c>
      <c r="Y1235">
        <v>49</v>
      </c>
      <c r="Z1235">
        <v>65</v>
      </c>
      <c r="AA1235">
        <v>70</v>
      </c>
      <c r="AB1235">
        <v>1000</v>
      </c>
      <c r="AC1235">
        <v>924</v>
      </c>
      <c r="AD1235">
        <v>768</v>
      </c>
      <c r="AE1235">
        <v>0</v>
      </c>
      <c r="AF1235">
        <v>156</v>
      </c>
      <c r="AG1235">
        <v>0</v>
      </c>
      <c r="AH1235">
        <v>0</v>
      </c>
      <c r="AI1235">
        <v>0</v>
      </c>
      <c r="AJ1235">
        <v>0</v>
      </c>
      <c r="AK1235">
        <v>120</v>
      </c>
      <c r="AL1235">
        <v>0</v>
      </c>
      <c r="AM1235">
        <v>192</v>
      </c>
      <c r="AN1235">
        <v>24</v>
      </c>
      <c r="AO1235">
        <v>192</v>
      </c>
      <c r="AP1235">
        <v>5</v>
      </c>
      <c r="AQ1235">
        <v>0</v>
      </c>
      <c r="AR1235">
        <v>0</v>
      </c>
      <c r="AS1235" t="s">
        <v>58</v>
      </c>
      <c r="AT1235">
        <v>1</v>
      </c>
      <c r="AU1235" t="s">
        <v>63</v>
      </c>
      <c r="AV1235" t="s">
        <v>64</v>
      </c>
      <c r="AW1235">
        <v>0</v>
      </c>
      <c r="AX1235">
        <v>4</v>
      </c>
      <c r="AY1235">
        <v>0</v>
      </c>
      <c r="AZ1235">
        <v>0</v>
      </c>
      <c r="BA1235">
        <v>100</v>
      </c>
      <c r="BB1235">
        <v>100</v>
      </c>
      <c r="BC1235">
        <v>100</v>
      </c>
      <c r="BD1235">
        <v>100</v>
      </c>
      <c r="BE1235">
        <v>1</v>
      </c>
      <c r="BF1235">
        <v>15000</v>
      </c>
      <c r="BG1235">
        <v>1000</v>
      </c>
      <c r="BH1235" s="6">
        <f>Grandview_Inventory[[#This Row],[land_extract]]*Lookups!$B$3</f>
        <v>41219.217601622076</v>
      </c>
      <c r="BI1235" s="6">
        <f>IF(Grandview_Inventory[[#This Row],[bldg_style]]="",0,Lookups!$B$2)</f>
        <v>155833.95000000001</v>
      </c>
      <c r="BJ1235" s="6">
        <f>_xlfn.IFNA(VLOOKUP(Grandview_Inventory[[#This Row],[quality]],Lookups!$H$2:$J$14,3,FALSE),0)</f>
        <v>10733</v>
      </c>
      <c r="BK1235" s="6">
        <f>_xlfn.IFNA(VLOOKUP(Grandview_Inventory[[#This Row],[condition]],Lookups!$H$17:$J$24,3,FALSE),0)</f>
        <v>-4503</v>
      </c>
      <c r="BL1235" s="6">
        <f>Grandview_Inventory[[#This Row],[Eff_Age]]*Lookups!$B$14</f>
        <v>-11719.163399999999</v>
      </c>
      <c r="BM1235" s="6">
        <f>Grandview_Inventory[[#This Row],[living_area]]*Lookups!$B$15</f>
        <v>57639.908172000003</v>
      </c>
      <c r="BN1235" s="6">
        <f>Grandview_Inventory[[#This Row],[Fin BSMT]]*Lookups!$B$16</f>
        <v>0</v>
      </c>
      <c r="BO1235" s="6">
        <f>(Grandview_Inventory[[#This Row],[att_gar]]+Grandview_Inventory[[#This Row],[bltin_gar]])*Lookups!$B$17</f>
        <v>0</v>
      </c>
      <c r="BP1235" s="6">
        <f>Grandview_Inventory[[#This Row],[Plumbing Fixtures]]*Lookups!$B$18</f>
        <v>10052.209000000001</v>
      </c>
      <c r="BQ1235" s="6">
        <f>Grandview_Inventory[[#This Row],[detatched_value]]*Lookups!$B$19</f>
        <v>0</v>
      </c>
      <c r="BR1235" s="6">
        <f>SUM(Grandview_Inventory[[#This Row],[Intercept]:[det_value]])*Grandview_Inventory[[#This Row],[res_pct]]</f>
        <v>218036.90377200002</v>
      </c>
      <c r="BS1235" s="6">
        <f>Grandview_Inventory[[#This Row],[land_value]]</f>
        <v>41219.217601622076</v>
      </c>
      <c r="BT1235" s="4">
        <f>_xlfn.IFNA(VLOOKUP(Grandview_Inventory[[#This Row],[quality]],Lookups!$A$26:$C$33,3,FALSE),1)</f>
        <v>0.98079741117310582</v>
      </c>
      <c r="BU1235" s="4">
        <f>_xlfn.IFNA(VLOOKUP(Grandview_Inventory[[#This Row],[condition]],Lookups!$A$37:$C$44,3,FALSE),1)</f>
        <v>0.96469275950863709</v>
      </c>
      <c r="BV1235" s="4">
        <f>IF(Grandview_Inventory[[#This Row],[bldg_style]]="",1,_xlfn.IFNA(VLOOKUP(Grandview_Inventory[[#This Row],[decade]],Lookups!$F$29:$H$43,3,FALSE),1))</f>
        <v>0.99472141305414818</v>
      </c>
      <c r="BW1235" s="4">
        <f>_xlfn.IFNA(VLOOKUP(Grandview_Inventory[[#This Row],[living_area_range]],Lookups!$F$47:$H$56,3,FALSE),1)</f>
        <v>0.94306777142782894</v>
      </c>
      <c r="BX1235" s="4">
        <f>AVERAGE(Grandview_Inventory[[#This Row],[qual_adj]:[size_adj]])</f>
        <v>0.97081983879093003</v>
      </c>
      <c r="BY1235" s="6">
        <f>IF(Grandview_Inventory[[#This Row],[pre_res]]&lt;0,0,Grandview_Inventory[[#This Row],[pre_res]]*Grandview_Inventory[[#This Row],[overall_adj]])</f>
        <v>211674.55177040657</v>
      </c>
      <c r="BZ1235" s="6">
        <f>(Grandview_Inventory[[#This Row],[sum_land]]-IF(Grandview_Inventory[[#This Row],[no_utilities]]=1,12000,0))/IF(Grandview_Inventory[[#This Row],[unbuildable]]=1,2,1)</f>
        <v>41219.217601622076</v>
      </c>
      <c r="CA1235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35">
        <f>ROUND(Grandview_Inventory[[#This Row],[det_value]]*Lookups!$M$28,-2)</f>
        <v>0</v>
      </c>
      <c r="CC1235">
        <f>IF(ROUND(Grandview_Inventory[[#This Row],[adj_res]]*Lookups!$M$28,-2)&lt;Grandview_Inventory[[#This Row],[min_res]],Grandview_Inventory[[#This Row],[min_res]],ROUND(Grandview_Inventory[[#This Row],[adj_res]]*Lookups!$M$28,-2))</f>
        <v>201100</v>
      </c>
      <c r="CD1235">
        <f>Grandview_Inventory[[#This Row],[final_det]]+Grandview_Inventory[[#This Row],[final_res]]</f>
        <v>201100</v>
      </c>
      <c r="CE1235">
        <f>Grandview_Inventory[[#This Row],[final_land]]+Grandview_Inventory[[#This Row],[final_imp]]+Grandview_Inventory[[#This Row],[crop_value]]</f>
        <v>240300</v>
      </c>
      <c r="CG1235" t="str">
        <f t="shared" si="19"/>
        <v>update valuation set market_land =39200, market_bldg=201100, market_total =240300, market_mdno =401, market_date ='9/10/2023' where link_id = (select link_id from parcel where parcel_year = '2024' and parcel_id = '23092311469');</v>
      </c>
    </row>
    <row r="1236" spans="1:85" x14ac:dyDescent="0.25">
      <c r="A1236">
        <v>23092311470</v>
      </c>
      <c r="B1236">
        <v>0.12</v>
      </c>
      <c r="C1236">
        <v>5293</v>
      </c>
      <c r="D1236" t="s">
        <v>129</v>
      </c>
      <c r="E1236" t="s">
        <v>53</v>
      </c>
      <c r="F1236" t="s">
        <v>53</v>
      </c>
      <c r="G1236">
        <v>4</v>
      </c>
      <c r="H1236" t="s">
        <v>54</v>
      </c>
      <c r="I1236">
        <v>56600</v>
      </c>
      <c r="J1236">
        <v>38400</v>
      </c>
      <c r="K1236">
        <v>0.12</v>
      </c>
      <c r="L1236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36">
        <v>0</v>
      </c>
      <c r="N1236">
        <v>0</v>
      </c>
      <c r="O1236">
        <v>0</v>
      </c>
      <c r="P1236">
        <v>13398.7528</v>
      </c>
      <c r="Q1236">
        <v>63903</v>
      </c>
      <c r="R1236">
        <f>(Grandview_Inventory[[#This Row],[ln_acres]]*Grandview_Inventory[[#This Row],[coeff]])+Grandview_Inventory[[#This Row],[const]]</f>
        <v>35494.113007601132</v>
      </c>
      <c r="S1236" t="s">
        <v>68</v>
      </c>
      <c r="T1236">
        <v>1</v>
      </c>
      <c r="U1236" t="s">
        <v>80</v>
      </c>
      <c r="V1236" t="s">
        <v>78</v>
      </c>
      <c r="W1236">
        <v>0</v>
      </c>
      <c r="X1236">
        <v>0</v>
      </c>
      <c r="Y1236">
        <v>49</v>
      </c>
      <c r="Z1236">
        <v>65</v>
      </c>
      <c r="AA1236">
        <v>70</v>
      </c>
      <c r="AB1236">
        <v>1000</v>
      </c>
      <c r="AC1236">
        <v>660</v>
      </c>
      <c r="AD1236">
        <v>660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16</v>
      </c>
      <c r="AO1236">
        <v>0</v>
      </c>
      <c r="AP1236">
        <v>5</v>
      </c>
      <c r="AQ1236">
        <v>0</v>
      </c>
      <c r="AR1236">
        <v>0</v>
      </c>
      <c r="AS1236" t="s">
        <v>58</v>
      </c>
      <c r="AT1236">
        <v>1</v>
      </c>
      <c r="AU1236" t="s">
        <v>63</v>
      </c>
      <c r="AV1236" t="s">
        <v>81</v>
      </c>
      <c r="AW1236">
        <v>0</v>
      </c>
      <c r="AX1236">
        <v>2</v>
      </c>
      <c r="AY1236">
        <v>0</v>
      </c>
      <c r="AZ1236">
        <v>0</v>
      </c>
      <c r="BA1236">
        <v>100</v>
      </c>
      <c r="BB1236">
        <v>100</v>
      </c>
      <c r="BC1236">
        <v>100</v>
      </c>
      <c r="BD1236">
        <v>100</v>
      </c>
      <c r="BE1236">
        <v>1</v>
      </c>
      <c r="BF1236">
        <v>15000</v>
      </c>
      <c r="BG1236">
        <v>1000</v>
      </c>
      <c r="BH1236" s="6">
        <f>Grandview_Inventory[[#This Row],[land_extract]]*Lookups!$B$3</f>
        <v>41219.217601622076</v>
      </c>
      <c r="BI1236" s="6">
        <f>IF(Grandview_Inventory[[#This Row],[bldg_style]]="",0,Lookups!$B$2)</f>
        <v>155833.95000000001</v>
      </c>
      <c r="BJ1236" s="6">
        <f>_xlfn.IFNA(VLOOKUP(Grandview_Inventory[[#This Row],[quality]],Lookups!$H$2:$J$14,3,FALSE),0)</f>
        <v>-28558</v>
      </c>
      <c r="BK1236" s="6">
        <f>_xlfn.IFNA(VLOOKUP(Grandview_Inventory[[#This Row],[condition]],Lookups!$H$17:$J$24,3,FALSE),0)</f>
        <v>-45357</v>
      </c>
      <c r="BL1236" s="6">
        <f>Grandview_Inventory[[#This Row],[Eff_Age]]*Lookups!$B$14</f>
        <v>-11719.163399999999</v>
      </c>
      <c r="BM1236" s="6">
        <f>Grandview_Inventory[[#This Row],[living_area]]*Lookups!$B$15</f>
        <v>41171.362979999998</v>
      </c>
      <c r="BN1236" s="6">
        <f>Grandview_Inventory[[#This Row],[Fin BSMT]]*Lookups!$B$16</f>
        <v>0</v>
      </c>
      <c r="BO1236" s="6">
        <f>(Grandview_Inventory[[#This Row],[att_gar]]+Grandview_Inventory[[#This Row],[bltin_gar]])*Lookups!$B$17</f>
        <v>0</v>
      </c>
      <c r="BP1236" s="6">
        <f>Grandview_Inventory[[#This Row],[Plumbing Fixtures]]*Lookups!$B$18</f>
        <v>10052.209000000001</v>
      </c>
      <c r="BQ1236" s="6">
        <f>Grandview_Inventory[[#This Row],[detatched_value]]*Lookups!$B$19</f>
        <v>0</v>
      </c>
      <c r="BR1236" s="6">
        <f>SUM(Grandview_Inventory[[#This Row],[Intercept]:[det_value]])*Grandview_Inventory[[#This Row],[res_pct]]</f>
        <v>121423.35858</v>
      </c>
      <c r="BS1236" s="6">
        <f>Grandview_Inventory[[#This Row],[land_value]]</f>
        <v>41219.217601622076</v>
      </c>
      <c r="BT1236" s="4">
        <f>_xlfn.IFNA(VLOOKUP(Grandview_Inventory[[#This Row],[quality]],Lookups!$A$26:$C$33,3,FALSE),1)</f>
        <v>0.9690360070159818</v>
      </c>
      <c r="BU1236" s="4">
        <f>_xlfn.IFNA(VLOOKUP(Grandview_Inventory[[#This Row],[condition]],Lookups!$A$37:$C$44,3,FALSE),1)</f>
        <v>0.97161819570155394</v>
      </c>
      <c r="BV1236" s="4">
        <f>IF(Grandview_Inventory[[#This Row],[bldg_style]]="",1,_xlfn.IFNA(VLOOKUP(Grandview_Inventory[[#This Row],[decade]],Lookups!$F$29:$H$43,3,FALSE),1))</f>
        <v>0.99472141305414818</v>
      </c>
      <c r="BW1236" s="4">
        <f>_xlfn.IFNA(VLOOKUP(Grandview_Inventory[[#This Row],[living_area_range]],Lookups!$F$47:$H$56,3,FALSE),1)</f>
        <v>0.94306777142782894</v>
      </c>
      <c r="BX1236" s="4">
        <f>AVERAGE(Grandview_Inventory[[#This Row],[qual_adj]:[size_adj]])</f>
        <v>0.96961084679987819</v>
      </c>
      <c r="BY1236" s="6">
        <f>IF(Grandview_Inventory[[#This Row],[pre_res]]&lt;0,0,Grandview_Inventory[[#This Row],[pre_res]]*Grandview_Inventory[[#This Row],[overall_adj]])</f>
        <v>117733.40553403905</v>
      </c>
      <c r="BZ1236" s="6">
        <f>(Grandview_Inventory[[#This Row],[sum_land]]-IF(Grandview_Inventory[[#This Row],[no_utilities]]=1,12000,0))/IF(Grandview_Inventory[[#This Row],[unbuildable]]=1,2,1)</f>
        <v>41219.217601622076</v>
      </c>
      <c r="CA1236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36">
        <f>ROUND(Grandview_Inventory[[#This Row],[det_value]]*Lookups!$M$28,-2)</f>
        <v>0</v>
      </c>
      <c r="CC1236">
        <f>IF(ROUND(Grandview_Inventory[[#This Row],[adj_res]]*Lookups!$M$28,-2)&lt;Grandview_Inventory[[#This Row],[min_res]],Grandview_Inventory[[#This Row],[min_res]],ROUND(Grandview_Inventory[[#This Row],[adj_res]]*Lookups!$M$28,-2))</f>
        <v>111800</v>
      </c>
      <c r="CD1236">
        <f>Grandview_Inventory[[#This Row],[final_det]]+Grandview_Inventory[[#This Row],[final_res]]</f>
        <v>111800</v>
      </c>
      <c r="CE1236">
        <f>Grandview_Inventory[[#This Row],[final_land]]+Grandview_Inventory[[#This Row],[final_imp]]+Grandview_Inventory[[#This Row],[crop_value]]</f>
        <v>151000</v>
      </c>
      <c r="CG1236" t="str">
        <f t="shared" si="19"/>
        <v>update valuation set market_land =39200, market_bldg=111800, market_total =151000, market_mdno =401, market_date ='9/10/2023' where link_id = (select link_id from parcel where parcel_year = '2024' and parcel_id = '23092311470');</v>
      </c>
    </row>
    <row r="1237" spans="1:85" x14ac:dyDescent="0.25">
      <c r="A1237">
        <v>23092311471</v>
      </c>
      <c r="B1237">
        <v>0.12</v>
      </c>
      <c r="C1237">
        <v>5293</v>
      </c>
      <c r="D1237" t="s">
        <v>129</v>
      </c>
      <c r="E1237" t="s">
        <v>53</v>
      </c>
      <c r="F1237" t="s">
        <v>53</v>
      </c>
      <c r="G1237">
        <v>4</v>
      </c>
      <c r="H1237" t="s">
        <v>54</v>
      </c>
      <c r="I1237">
        <v>109700</v>
      </c>
      <c r="J1237">
        <v>38400</v>
      </c>
      <c r="K1237">
        <v>0.12</v>
      </c>
      <c r="L123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37">
        <v>0</v>
      </c>
      <c r="N1237">
        <v>0</v>
      </c>
      <c r="O1237">
        <v>0</v>
      </c>
      <c r="P1237">
        <v>13398.7528</v>
      </c>
      <c r="Q1237">
        <v>63903</v>
      </c>
      <c r="R1237">
        <f>(Grandview_Inventory[[#This Row],[ln_acres]]*Grandview_Inventory[[#This Row],[coeff]])+Grandview_Inventory[[#This Row],[const]]</f>
        <v>35494.113007601132</v>
      </c>
      <c r="S1237" t="s">
        <v>68</v>
      </c>
      <c r="T1237">
        <v>1</v>
      </c>
      <c r="U1237" t="s">
        <v>70</v>
      </c>
      <c r="V1237" t="s">
        <v>69</v>
      </c>
      <c r="W1237">
        <v>0</v>
      </c>
      <c r="X1237">
        <v>0</v>
      </c>
      <c r="Y1237">
        <v>49</v>
      </c>
      <c r="Z1237">
        <v>65</v>
      </c>
      <c r="AA1237">
        <v>70</v>
      </c>
      <c r="AB1237">
        <v>1000</v>
      </c>
      <c r="AC1237">
        <v>788</v>
      </c>
      <c r="AD1237">
        <v>788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24</v>
      </c>
      <c r="AO1237">
        <v>0</v>
      </c>
      <c r="AP1237">
        <v>5</v>
      </c>
      <c r="AQ1237">
        <v>0</v>
      </c>
      <c r="AR1237">
        <v>0</v>
      </c>
      <c r="AS1237" t="s">
        <v>58</v>
      </c>
      <c r="AT1237">
        <v>1</v>
      </c>
      <c r="AU1237" t="s">
        <v>63</v>
      </c>
      <c r="AV1237" t="s">
        <v>64</v>
      </c>
      <c r="AW1237">
        <v>0</v>
      </c>
      <c r="AX1237">
        <v>2</v>
      </c>
      <c r="AY1237">
        <v>0</v>
      </c>
      <c r="AZ1237">
        <v>4400</v>
      </c>
      <c r="BA1237">
        <v>100</v>
      </c>
      <c r="BB1237">
        <v>100</v>
      </c>
      <c r="BC1237">
        <v>100</v>
      </c>
      <c r="BD1237">
        <v>100</v>
      </c>
      <c r="BE1237">
        <v>1</v>
      </c>
      <c r="BF1237">
        <v>15000</v>
      </c>
      <c r="BG1237">
        <v>1000</v>
      </c>
      <c r="BH1237" s="6">
        <f>Grandview_Inventory[[#This Row],[land_extract]]*Lookups!$B$3</f>
        <v>41219.217601622076</v>
      </c>
      <c r="BI1237" s="6">
        <f>IF(Grandview_Inventory[[#This Row],[bldg_style]]="",0,Lookups!$B$2)</f>
        <v>155833.95000000001</v>
      </c>
      <c r="BJ1237" s="6">
        <f>_xlfn.IFNA(VLOOKUP(Grandview_Inventory[[#This Row],[quality]],Lookups!$H$2:$J$14,3,FALSE),0)</f>
        <v>10733</v>
      </c>
      <c r="BK1237" s="6">
        <f>_xlfn.IFNA(VLOOKUP(Grandview_Inventory[[#This Row],[condition]],Lookups!$H$17:$J$24,3,FALSE),0)</f>
        <v>-4503</v>
      </c>
      <c r="BL1237" s="6">
        <f>Grandview_Inventory[[#This Row],[Eff_Age]]*Lookups!$B$14</f>
        <v>-11719.163399999999</v>
      </c>
      <c r="BM1237" s="6">
        <f>Grandview_Inventory[[#This Row],[living_area]]*Lookups!$B$15</f>
        <v>49156.112163999998</v>
      </c>
      <c r="BN1237" s="6">
        <f>Grandview_Inventory[[#This Row],[Fin BSMT]]*Lookups!$B$16</f>
        <v>0</v>
      </c>
      <c r="BO1237" s="6">
        <f>(Grandview_Inventory[[#This Row],[att_gar]]+Grandview_Inventory[[#This Row],[bltin_gar]])*Lookups!$B$17</f>
        <v>0</v>
      </c>
      <c r="BP1237" s="6">
        <f>Grandview_Inventory[[#This Row],[Plumbing Fixtures]]*Lookups!$B$18</f>
        <v>10052.209000000001</v>
      </c>
      <c r="BQ1237" s="6">
        <f>Grandview_Inventory[[#This Row],[detatched_value]]*Lookups!$B$19</f>
        <v>3725.9424399999998</v>
      </c>
      <c r="BR1237" s="6">
        <f>SUM(Grandview_Inventory[[#This Row],[Intercept]:[det_value]])*Grandview_Inventory[[#This Row],[res_pct]]</f>
        <v>213279.05020400003</v>
      </c>
      <c r="BS1237" s="6">
        <f>Grandview_Inventory[[#This Row],[land_value]]</f>
        <v>41219.217601622076</v>
      </c>
      <c r="BT1237" s="4">
        <f>_xlfn.IFNA(VLOOKUP(Grandview_Inventory[[#This Row],[quality]],Lookups!$A$26:$C$33,3,FALSE),1)</f>
        <v>0.98079741117310582</v>
      </c>
      <c r="BU1237" s="4">
        <f>_xlfn.IFNA(VLOOKUP(Grandview_Inventory[[#This Row],[condition]],Lookups!$A$37:$C$44,3,FALSE),1)</f>
        <v>0.96469275950863709</v>
      </c>
      <c r="BV1237" s="4">
        <f>IF(Grandview_Inventory[[#This Row],[bldg_style]]="",1,_xlfn.IFNA(VLOOKUP(Grandview_Inventory[[#This Row],[decade]],Lookups!$F$29:$H$43,3,FALSE),1))</f>
        <v>0.99472141305414818</v>
      </c>
      <c r="BW1237" s="4">
        <f>_xlfn.IFNA(VLOOKUP(Grandview_Inventory[[#This Row],[living_area_range]],Lookups!$F$47:$H$56,3,FALSE),1)</f>
        <v>0.94306777142782894</v>
      </c>
      <c r="BX1237" s="4">
        <f>AVERAGE(Grandview_Inventory[[#This Row],[qual_adj]:[size_adj]])</f>
        <v>0.97081983879093003</v>
      </c>
      <c r="BY1237" s="6">
        <f>IF(Grandview_Inventory[[#This Row],[pre_res]]&lt;0,0,Grandview_Inventory[[#This Row],[pre_res]]*Grandview_Inventory[[#This Row],[overall_adj]])</f>
        <v>207055.53313652999</v>
      </c>
      <c r="BZ1237" s="6">
        <f>(Grandview_Inventory[[#This Row],[sum_land]]-IF(Grandview_Inventory[[#This Row],[no_utilities]]=1,12000,0))/IF(Grandview_Inventory[[#This Row],[unbuildable]]=1,2,1)</f>
        <v>41219.217601622076</v>
      </c>
      <c r="CA123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37">
        <f>ROUND(Grandview_Inventory[[#This Row],[det_value]]*Lookups!$M$28,-2)</f>
        <v>3500</v>
      </c>
      <c r="CC1237">
        <f>IF(ROUND(Grandview_Inventory[[#This Row],[adj_res]]*Lookups!$M$28,-2)&lt;Grandview_Inventory[[#This Row],[min_res]],Grandview_Inventory[[#This Row],[min_res]],ROUND(Grandview_Inventory[[#This Row],[adj_res]]*Lookups!$M$28,-2))</f>
        <v>196700</v>
      </c>
      <c r="CD1237">
        <f>Grandview_Inventory[[#This Row],[final_det]]+Grandview_Inventory[[#This Row],[final_res]]</f>
        <v>200200</v>
      </c>
      <c r="CE1237">
        <f>Grandview_Inventory[[#This Row],[final_land]]+Grandview_Inventory[[#This Row],[final_imp]]+Grandview_Inventory[[#This Row],[crop_value]]</f>
        <v>239400</v>
      </c>
      <c r="CG1237" t="str">
        <f t="shared" si="19"/>
        <v>update valuation set market_land =39200, market_bldg=200200, market_total =239400, market_mdno =401, market_date ='9/10/2023' where link_id = (select link_id from parcel where parcel_year = '2024' and parcel_id = '23092311471');</v>
      </c>
    </row>
    <row r="1238" spans="1:85" x14ac:dyDescent="0.25">
      <c r="A1238">
        <v>23092311472</v>
      </c>
      <c r="B1238">
        <v>0.12</v>
      </c>
      <c r="C1238">
        <v>5293</v>
      </c>
      <c r="D1238" t="s">
        <v>129</v>
      </c>
      <c r="E1238" t="s">
        <v>53</v>
      </c>
      <c r="F1238" t="s">
        <v>53</v>
      </c>
      <c r="G1238">
        <v>4</v>
      </c>
      <c r="H1238" t="s">
        <v>54</v>
      </c>
      <c r="I1238">
        <v>111200</v>
      </c>
      <c r="J1238">
        <v>38400</v>
      </c>
      <c r="K1238">
        <v>0.12</v>
      </c>
      <c r="L123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38">
        <v>0</v>
      </c>
      <c r="N1238">
        <v>0</v>
      </c>
      <c r="O1238">
        <v>0</v>
      </c>
      <c r="P1238">
        <v>13398.7528</v>
      </c>
      <c r="Q1238">
        <v>63903</v>
      </c>
      <c r="R1238">
        <f>(Grandview_Inventory[[#This Row],[ln_acres]]*Grandview_Inventory[[#This Row],[coeff]])+Grandview_Inventory[[#This Row],[const]]</f>
        <v>35494.113007601132</v>
      </c>
      <c r="S1238" t="s">
        <v>68</v>
      </c>
      <c r="T1238">
        <v>1</v>
      </c>
      <c r="U1238" t="s">
        <v>80</v>
      </c>
      <c r="V1238" t="s">
        <v>69</v>
      </c>
      <c r="W1238">
        <v>0</v>
      </c>
      <c r="X1238">
        <v>0</v>
      </c>
      <c r="Y1238">
        <v>49</v>
      </c>
      <c r="Z1238">
        <v>65</v>
      </c>
      <c r="AA1238">
        <v>70</v>
      </c>
      <c r="AB1238">
        <v>1000</v>
      </c>
      <c r="AC1238">
        <v>908</v>
      </c>
      <c r="AD1238">
        <v>908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24</v>
      </c>
      <c r="AO1238">
        <v>0</v>
      </c>
      <c r="AP1238">
        <v>5</v>
      </c>
      <c r="AQ1238">
        <v>1</v>
      </c>
      <c r="AR1238">
        <v>0</v>
      </c>
      <c r="AS1238" t="s">
        <v>58</v>
      </c>
      <c r="AT1238">
        <v>1</v>
      </c>
      <c r="AU1238" t="s">
        <v>75</v>
      </c>
      <c r="AV1238" t="s">
        <v>60</v>
      </c>
      <c r="AW1238">
        <v>0</v>
      </c>
      <c r="AX1238">
        <v>3</v>
      </c>
      <c r="AY1238">
        <v>0</v>
      </c>
      <c r="AZ1238">
        <v>0</v>
      </c>
      <c r="BA1238">
        <v>100</v>
      </c>
      <c r="BB1238">
        <v>100</v>
      </c>
      <c r="BC1238">
        <v>100</v>
      </c>
      <c r="BD1238">
        <v>100</v>
      </c>
      <c r="BE1238">
        <v>1</v>
      </c>
      <c r="BF1238">
        <v>15000</v>
      </c>
      <c r="BG1238">
        <v>1000</v>
      </c>
      <c r="BH1238" s="6">
        <f>Grandview_Inventory[[#This Row],[land_extract]]*Lookups!$B$3</f>
        <v>41219.217601622076</v>
      </c>
      <c r="BI1238" s="6">
        <f>IF(Grandview_Inventory[[#This Row],[bldg_style]]="",0,Lookups!$B$2)</f>
        <v>155833.95000000001</v>
      </c>
      <c r="BJ1238" s="6">
        <f>_xlfn.IFNA(VLOOKUP(Grandview_Inventory[[#This Row],[quality]],Lookups!$H$2:$J$14,3,FALSE),0)</f>
        <v>-28558</v>
      </c>
      <c r="BK1238" s="6">
        <f>_xlfn.IFNA(VLOOKUP(Grandview_Inventory[[#This Row],[condition]],Lookups!$H$17:$J$24,3,FALSE),0)</f>
        <v>-4503</v>
      </c>
      <c r="BL1238" s="6">
        <f>Grandview_Inventory[[#This Row],[Eff_Age]]*Lookups!$B$14</f>
        <v>-11719.163399999999</v>
      </c>
      <c r="BM1238" s="6">
        <f>Grandview_Inventory[[#This Row],[living_area]]*Lookups!$B$15</f>
        <v>56641.814524000001</v>
      </c>
      <c r="BN1238" s="6">
        <f>Grandview_Inventory[[#This Row],[Fin BSMT]]*Lookups!$B$16</f>
        <v>0</v>
      </c>
      <c r="BO1238" s="6">
        <f>(Grandview_Inventory[[#This Row],[att_gar]]+Grandview_Inventory[[#This Row],[bltin_gar]])*Lookups!$B$17</f>
        <v>0</v>
      </c>
      <c r="BP1238" s="6">
        <f>Grandview_Inventory[[#This Row],[Plumbing Fixtures]]*Lookups!$B$18</f>
        <v>10052.209000000001</v>
      </c>
      <c r="BQ1238" s="6">
        <f>Grandview_Inventory[[#This Row],[detatched_value]]*Lookups!$B$19</f>
        <v>0</v>
      </c>
      <c r="BR1238" s="6">
        <f>SUM(Grandview_Inventory[[#This Row],[Intercept]:[det_value]])*Grandview_Inventory[[#This Row],[res_pct]]</f>
        <v>177747.81012400001</v>
      </c>
      <c r="BS1238" s="6">
        <f>Grandview_Inventory[[#This Row],[land_value]]</f>
        <v>41219.217601622076</v>
      </c>
      <c r="BT1238" s="4">
        <f>_xlfn.IFNA(VLOOKUP(Grandview_Inventory[[#This Row],[quality]],Lookups!$A$26:$C$33,3,FALSE),1)</f>
        <v>0.9690360070159818</v>
      </c>
      <c r="BU1238" s="4">
        <f>_xlfn.IFNA(VLOOKUP(Grandview_Inventory[[#This Row],[condition]],Lookups!$A$37:$C$44,3,FALSE),1)</f>
        <v>0.96469275950863709</v>
      </c>
      <c r="BV1238" s="4">
        <f>IF(Grandview_Inventory[[#This Row],[bldg_style]]="",1,_xlfn.IFNA(VLOOKUP(Grandview_Inventory[[#This Row],[decade]],Lookups!$F$29:$H$43,3,FALSE),1))</f>
        <v>0.99472141305414818</v>
      </c>
      <c r="BW1238" s="4">
        <f>_xlfn.IFNA(VLOOKUP(Grandview_Inventory[[#This Row],[living_area_range]],Lookups!$F$47:$H$56,3,FALSE),1)</f>
        <v>0.94306777142782894</v>
      </c>
      <c r="BX1238" s="4">
        <f>AVERAGE(Grandview_Inventory[[#This Row],[qual_adj]:[size_adj]])</f>
        <v>0.96787948775164889</v>
      </c>
      <c r="BY1238" s="6">
        <f>IF(Grandview_Inventory[[#This Row],[pre_res]]&lt;0,0,Grandview_Inventory[[#This Row],[pre_res]]*Grandview_Inventory[[#This Row],[overall_adj]])</f>
        <v>172038.45941179449</v>
      </c>
      <c r="BZ1238" s="6">
        <f>(Grandview_Inventory[[#This Row],[sum_land]]-IF(Grandview_Inventory[[#This Row],[no_utilities]]=1,12000,0))/IF(Grandview_Inventory[[#This Row],[unbuildable]]=1,2,1)</f>
        <v>41219.217601622076</v>
      </c>
      <c r="CA123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38">
        <f>ROUND(Grandview_Inventory[[#This Row],[det_value]]*Lookups!$M$28,-2)</f>
        <v>0</v>
      </c>
      <c r="CC1238">
        <f>IF(ROUND(Grandview_Inventory[[#This Row],[adj_res]]*Lookups!$M$28,-2)&lt;Grandview_Inventory[[#This Row],[min_res]],Grandview_Inventory[[#This Row],[min_res]],ROUND(Grandview_Inventory[[#This Row],[adj_res]]*Lookups!$M$28,-2))</f>
        <v>163400</v>
      </c>
      <c r="CD1238">
        <f>Grandview_Inventory[[#This Row],[final_det]]+Grandview_Inventory[[#This Row],[final_res]]</f>
        <v>163400</v>
      </c>
      <c r="CE1238">
        <f>Grandview_Inventory[[#This Row],[final_land]]+Grandview_Inventory[[#This Row],[final_imp]]+Grandview_Inventory[[#This Row],[crop_value]]</f>
        <v>202600</v>
      </c>
      <c r="CG1238" t="str">
        <f t="shared" si="19"/>
        <v>update valuation set market_land =39200, market_bldg=163400, market_total =202600, market_mdno =401, market_date ='9/10/2023' where link_id = (select link_id from parcel where parcel_year = '2024' and parcel_id = '23092311472');</v>
      </c>
    </row>
    <row r="1239" spans="1:85" x14ac:dyDescent="0.25">
      <c r="A1239">
        <v>23092311473</v>
      </c>
      <c r="B1239">
        <v>0.12</v>
      </c>
      <c r="C1239">
        <v>5293</v>
      </c>
      <c r="D1239" t="s">
        <v>129</v>
      </c>
      <c r="E1239" t="s">
        <v>53</v>
      </c>
      <c r="F1239" t="s">
        <v>53</v>
      </c>
      <c r="G1239">
        <v>4</v>
      </c>
      <c r="H1239" t="s">
        <v>54</v>
      </c>
      <c r="I1239">
        <v>121900</v>
      </c>
      <c r="J1239">
        <v>38400</v>
      </c>
      <c r="K1239">
        <v>0.12</v>
      </c>
      <c r="L123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39">
        <v>0</v>
      </c>
      <c r="N1239">
        <v>0</v>
      </c>
      <c r="O1239">
        <v>0</v>
      </c>
      <c r="P1239">
        <v>13398.7528</v>
      </c>
      <c r="Q1239">
        <v>63903</v>
      </c>
      <c r="R1239">
        <f>(Grandview_Inventory[[#This Row],[ln_acres]]*Grandview_Inventory[[#This Row],[coeff]])+Grandview_Inventory[[#This Row],[const]]</f>
        <v>35494.113007601132</v>
      </c>
      <c r="S1239" t="s">
        <v>68</v>
      </c>
      <c r="T1239">
        <v>1</v>
      </c>
      <c r="U1239" t="s">
        <v>70</v>
      </c>
      <c r="V1239" t="s">
        <v>69</v>
      </c>
      <c r="W1239">
        <v>0</v>
      </c>
      <c r="X1239">
        <v>0</v>
      </c>
      <c r="Y1239">
        <v>49</v>
      </c>
      <c r="Z1239">
        <v>65</v>
      </c>
      <c r="AA1239">
        <v>70</v>
      </c>
      <c r="AB1239">
        <v>1000</v>
      </c>
      <c r="AC1239">
        <v>954</v>
      </c>
      <c r="AD1239">
        <v>954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192</v>
      </c>
      <c r="AL1239">
        <v>0</v>
      </c>
      <c r="AM1239">
        <v>0</v>
      </c>
      <c r="AN1239">
        <v>20</v>
      </c>
      <c r="AO1239">
        <v>50</v>
      </c>
      <c r="AP1239">
        <v>8</v>
      </c>
      <c r="AQ1239">
        <v>0</v>
      </c>
      <c r="AR1239">
        <v>0</v>
      </c>
      <c r="AS1239" t="s">
        <v>58</v>
      </c>
      <c r="AT1239">
        <v>1</v>
      </c>
      <c r="AU1239" t="s">
        <v>63</v>
      </c>
      <c r="AV1239" t="s">
        <v>64</v>
      </c>
      <c r="AW1239">
        <v>0</v>
      </c>
      <c r="AX1239">
        <v>2</v>
      </c>
      <c r="AY1239">
        <v>0</v>
      </c>
      <c r="AZ1239">
        <v>0</v>
      </c>
      <c r="BA1239">
        <v>100</v>
      </c>
      <c r="BB1239">
        <v>100</v>
      </c>
      <c r="BC1239">
        <v>100</v>
      </c>
      <c r="BD1239">
        <v>100</v>
      </c>
      <c r="BE1239">
        <v>1</v>
      </c>
      <c r="BF1239">
        <v>15000</v>
      </c>
      <c r="BG1239">
        <v>1000</v>
      </c>
      <c r="BH1239" s="6">
        <f>Grandview_Inventory[[#This Row],[land_extract]]*Lookups!$B$3</f>
        <v>41219.217601622076</v>
      </c>
      <c r="BI1239" s="6">
        <f>IF(Grandview_Inventory[[#This Row],[bldg_style]]="",0,Lookups!$B$2)</f>
        <v>155833.95000000001</v>
      </c>
      <c r="BJ1239" s="6">
        <f>_xlfn.IFNA(VLOOKUP(Grandview_Inventory[[#This Row],[quality]],Lookups!$H$2:$J$14,3,FALSE),0)</f>
        <v>10733</v>
      </c>
      <c r="BK1239" s="6">
        <f>_xlfn.IFNA(VLOOKUP(Grandview_Inventory[[#This Row],[condition]],Lookups!$H$17:$J$24,3,FALSE),0)</f>
        <v>-4503</v>
      </c>
      <c r="BL1239" s="6">
        <f>Grandview_Inventory[[#This Row],[Eff_Age]]*Lookups!$B$14</f>
        <v>-11719.163399999999</v>
      </c>
      <c r="BM1239" s="6">
        <f>Grandview_Inventory[[#This Row],[living_area]]*Lookups!$B$15</f>
        <v>59511.333762000002</v>
      </c>
      <c r="BN1239" s="6">
        <f>Grandview_Inventory[[#This Row],[Fin BSMT]]*Lookups!$B$16</f>
        <v>0</v>
      </c>
      <c r="BO1239" s="6">
        <f>(Grandview_Inventory[[#This Row],[att_gar]]+Grandview_Inventory[[#This Row],[bltin_gar]])*Lookups!$B$17</f>
        <v>0</v>
      </c>
      <c r="BP1239" s="6">
        <f>Grandview_Inventory[[#This Row],[Plumbing Fixtures]]*Lookups!$B$18</f>
        <v>16083.5344</v>
      </c>
      <c r="BQ1239" s="6">
        <f>Grandview_Inventory[[#This Row],[detatched_value]]*Lookups!$B$19</f>
        <v>0</v>
      </c>
      <c r="BR1239" s="6">
        <f>SUM(Grandview_Inventory[[#This Row],[Intercept]:[det_value]])*Grandview_Inventory[[#This Row],[res_pct]]</f>
        <v>225939.65476200002</v>
      </c>
      <c r="BS1239" s="6">
        <f>Grandview_Inventory[[#This Row],[land_value]]</f>
        <v>41219.217601622076</v>
      </c>
      <c r="BT1239" s="4">
        <f>_xlfn.IFNA(VLOOKUP(Grandview_Inventory[[#This Row],[quality]],Lookups!$A$26:$C$33,3,FALSE),1)</f>
        <v>0.98079741117310582</v>
      </c>
      <c r="BU1239" s="4">
        <f>_xlfn.IFNA(VLOOKUP(Grandview_Inventory[[#This Row],[condition]],Lookups!$A$37:$C$44,3,FALSE),1)</f>
        <v>0.96469275950863709</v>
      </c>
      <c r="BV1239" s="4">
        <f>IF(Grandview_Inventory[[#This Row],[bldg_style]]="",1,_xlfn.IFNA(VLOOKUP(Grandview_Inventory[[#This Row],[decade]],Lookups!$F$29:$H$43,3,FALSE),1))</f>
        <v>0.99472141305414818</v>
      </c>
      <c r="BW1239" s="4">
        <f>_xlfn.IFNA(VLOOKUP(Grandview_Inventory[[#This Row],[living_area_range]],Lookups!$F$47:$H$56,3,FALSE),1)</f>
        <v>0.94306777142782894</v>
      </c>
      <c r="BX1239" s="4">
        <f>AVERAGE(Grandview_Inventory[[#This Row],[qual_adj]:[size_adj]])</f>
        <v>0.97081983879093003</v>
      </c>
      <c r="BY1239" s="6">
        <f>IF(Grandview_Inventory[[#This Row],[pre_res]]&lt;0,0,Grandview_Inventory[[#This Row],[pre_res]]*Grandview_Inventory[[#This Row],[overall_adj]])</f>
        <v>219346.69921252324</v>
      </c>
      <c r="BZ1239" s="6">
        <f>(Grandview_Inventory[[#This Row],[sum_land]]-IF(Grandview_Inventory[[#This Row],[no_utilities]]=1,12000,0))/IF(Grandview_Inventory[[#This Row],[unbuildable]]=1,2,1)</f>
        <v>41219.217601622076</v>
      </c>
      <c r="CA123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39">
        <f>ROUND(Grandview_Inventory[[#This Row],[det_value]]*Lookups!$M$28,-2)</f>
        <v>0</v>
      </c>
      <c r="CC1239">
        <f>IF(ROUND(Grandview_Inventory[[#This Row],[adj_res]]*Lookups!$M$28,-2)&lt;Grandview_Inventory[[#This Row],[min_res]],Grandview_Inventory[[#This Row],[min_res]],ROUND(Grandview_Inventory[[#This Row],[adj_res]]*Lookups!$M$28,-2))</f>
        <v>208400</v>
      </c>
      <c r="CD1239">
        <f>Grandview_Inventory[[#This Row],[final_det]]+Grandview_Inventory[[#This Row],[final_res]]</f>
        <v>208400</v>
      </c>
      <c r="CE1239">
        <f>Grandview_Inventory[[#This Row],[final_land]]+Grandview_Inventory[[#This Row],[final_imp]]+Grandview_Inventory[[#This Row],[crop_value]]</f>
        <v>247600</v>
      </c>
      <c r="CG1239" t="str">
        <f t="shared" si="19"/>
        <v>update valuation set market_land =39200, market_bldg=208400, market_total =247600, market_mdno =401, market_date ='9/10/2023' where link_id = (select link_id from parcel where parcel_year = '2024' and parcel_id = '23092311473');</v>
      </c>
    </row>
    <row r="1240" spans="1:85" x14ac:dyDescent="0.25">
      <c r="A1240">
        <v>23092311474</v>
      </c>
      <c r="B1240">
        <v>0.17</v>
      </c>
      <c r="C1240">
        <v>7546</v>
      </c>
      <c r="D1240" t="s">
        <v>129</v>
      </c>
      <c r="E1240" t="s">
        <v>53</v>
      </c>
      <c r="F1240" t="s">
        <v>53</v>
      </c>
      <c r="G1240">
        <v>4</v>
      </c>
      <c r="H1240" t="s">
        <v>54</v>
      </c>
      <c r="I1240">
        <v>255300</v>
      </c>
      <c r="J1240">
        <v>39300</v>
      </c>
      <c r="K1240">
        <v>0.17</v>
      </c>
      <c r="L124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40">
        <v>0</v>
      </c>
      <c r="N1240">
        <v>0</v>
      </c>
      <c r="O1240">
        <v>0</v>
      </c>
      <c r="P1240">
        <v>13398.7528</v>
      </c>
      <c r="Q1240">
        <v>63903</v>
      </c>
      <c r="R1240">
        <f>(Grandview_Inventory[[#This Row],[ln_acres]]*Grandview_Inventory[[#This Row],[coeff]])+Grandview_Inventory[[#This Row],[const]]</f>
        <v>40160.988302686128</v>
      </c>
      <c r="S1240" t="s">
        <v>68</v>
      </c>
      <c r="T1240">
        <v>1</v>
      </c>
      <c r="U1240" t="s">
        <v>70</v>
      </c>
      <c r="V1240" t="s">
        <v>67</v>
      </c>
      <c r="W1240">
        <v>0</v>
      </c>
      <c r="X1240">
        <v>0</v>
      </c>
      <c r="Y1240">
        <v>33</v>
      </c>
      <c r="Z1240">
        <v>65</v>
      </c>
      <c r="AA1240">
        <v>70</v>
      </c>
      <c r="AB1240">
        <v>1500</v>
      </c>
      <c r="AC1240">
        <v>1184</v>
      </c>
      <c r="AD1240">
        <v>1184</v>
      </c>
      <c r="AE1240">
        <v>0</v>
      </c>
      <c r="AF1240">
        <v>0</v>
      </c>
      <c r="AG1240">
        <v>0</v>
      </c>
      <c r="AH1240">
        <v>395</v>
      </c>
      <c r="AI1240">
        <v>1392</v>
      </c>
      <c r="AJ1240">
        <v>0</v>
      </c>
      <c r="AK1240">
        <v>0</v>
      </c>
      <c r="AL1240">
        <v>96</v>
      </c>
      <c r="AM1240">
        <v>0</v>
      </c>
      <c r="AN1240">
        <v>24</v>
      </c>
      <c r="AO1240">
        <v>0</v>
      </c>
      <c r="AP1240">
        <v>5</v>
      </c>
      <c r="AQ1240">
        <v>0</v>
      </c>
      <c r="AR1240">
        <v>0</v>
      </c>
      <c r="AS1240" t="s">
        <v>71</v>
      </c>
      <c r="AT1240">
        <v>1</v>
      </c>
      <c r="AU1240" t="s">
        <v>75</v>
      </c>
      <c r="AV1240" t="s">
        <v>60</v>
      </c>
      <c r="AW1240">
        <v>0</v>
      </c>
      <c r="AX1240">
        <v>3</v>
      </c>
      <c r="AY1240">
        <v>0</v>
      </c>
      <c r="AZ1240">
        <v>0</v>
      </c>
      <c r="BA1240">
        <v>100</v>
      </c>
      <c r="BB1240">
        <v>100</v>
      </c>
      <c r="BC1240">
        <v>100</v>
      </c>
      <c r="BD1240">
        <v>100</v>
      </c>
      <c r="BE1240">
        <v>1</v>
      </c>
      <c r="BF1240">
        <v>15000</v>
      </c>
      <c r="BG1240">
        <v>1000</v>
      </c>
      <c r="BH1240" s="6">
        <f>Grandview_Inventory[[#This Row],[land_extract]]*Lookups!$B$3</f>
        <v>46638.847281240982</v>
      </c>
      <c r="BI1240" s="6">
        <f>IF(Grandview_Inventory[[#This Row],[bldg_style]]="",0,Lookups!$B$2)</f>
        <v>155833.95000000001</v>
      </c>
      <c r="BJ1240" s="6">
        <f>_xlfn.IFNA(VLOOKUP(Grandview_Inventory[[#This Row],[quality]],Lookups!$H$2:$J$14,3,FALSE),0)</f>
        <v>10733</v>
      </c>
      <c r="BK1240" s="6">
        <f>_xlfn.IFNA(VLOOKUP(Grandview_Inventory[[#This Row],[condition]],Lookups!$H$17:$J$24,3,FALSE),0)</f>
        <v>22342</v>
      </c>
      <c r="BL1240" s="6">
        <f>Grandview_Inventory[[#This Row],[Eff_Age]]*Lookups!$B$14</f>
        <v>-7892.4977999999992</v>
      </c>
      <c r="BM1240" s="6">
        <f>Grandview_Inventory[[#This Row],[living_area]]*Lookups!$B$15</f>
        <v>73858.929952000006</v>
      </c>
      <c r="BN1240" s="6">
        <f>Grandview_Inventory[[#This Row],[Fin BSMT]]*Lookups!$B$16</f>
        <v>0</v>
      </c>
      <c r="BO1240" s="6">
        <f>(Grandview_Inventory[[#This Row],[att_gar]]+Grandview_Inventory[[#This Row],[bltin_gar]])*Lookups!$B$17</f>
        <v>121828.44830400001</v>
      </c>
      <c r="BP1240" s="6">
        <f>Grandview_Inventory[[#This Row],[Plumbing Fixtures]]*Lookups!$B$18</f>
        <v>10052.209000000001</v>
      </c>
      <c r="BQ1240" s="6">
        <f>Grandview_Inventory[[#This Row],[detatched_value]]*Lookups!$B$19</f>
        <v>0</v>
      </c>
      <c r="BR1240" s="6">
        <f>SUM(Grandview_Inventory[[#This Row],[Intercept]:[det_value]])*Grandview_Inventory[[#This Row],[res_pct]]</f>
        <v>386756.03945599997</v>
      </c>
      <c r="BS1240" s="6">
        <f>Grandview_Inventory[[#This Row],[land_value]]</f>
        <v>46638.847281240982</v>
      </c>
      <c r="BT1240" s="4">
        <f>_xlfn.IFNA(VLOOKUP(Grandview_Inventory[[#This Row],[quality]],Lookups!$A$26:$C$33,3,FALSE),1)</f>
        <v>0.98079741117310582</v>
      </c>
      <c r="BU1240" s="4">
        <f>_xlfn.IFNA(VLOOKUP(Grandview_Inventory[[#This Row],[condition]],Lookups!$A$37:$C$44,3,FALSE),1)</f>
        <v>0.97383723671140243</v>
      </c>
      <c r="BV1240" s="4">
        <f>IF(Grandview_Inventory[[#This Row],[bldg_style]]="",1,_xlfn.IFNA(VLOOKUP(Grandview_Inventory[[#This Row],[decade]],Lookups!$F$29:$H$43,3,FALSE),1))</f>
        <v>0.99472141305414818</v>
      </c>
      <c r="BW1240" s="4">
        <f>_xlfn.IFNA(VLOOKUP(Grandview_Inventory[[#This Row],[living_area_range]],Lookups!$F$47:$H$56,3,FALSE),1)</f>
        <v>0.96135087979789358</v>
      </c>
      <c r="BX1240" s="4">
        <f>AVERAGE(Grandview_Inventory[[#This Row],[qual_adj]:[size_adj]])</f>
        <v>0.97767673518413756</v>
      </c>
      <c r="BY1240" s="6">
        <f>IF(Grandview_Inventory[[#This Row],[pre_res]]&lt;0,0,Grandview_Inventory[[#This Row],[pre_res]]*Grandview_Inventory[[#This Row],[overall_adj]])</f>
        <v>378122.38196808955</v>
      </c>
      <c r="BZ1240" s="6">
        <f>(Grandview_Inventory[[#This Row],[sum_land]]-IF(Grandview_Inventory[[#This Row],[no_utilities]]=1,12000,0))/IF(Grandview_Inventory[[#This Row],[unbuildable]]=1,2,1)</f>
        <v>46638.847281240982</v>
      </c>
      <c r="CA124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40">
        <f>ROUND(Grandview_Inventory[[#This Row],[det_value]]*Lookups!$M$28,-2)</f>
        <v>0</v>
      </c>
      <c r="CC1240">
        <f>IF(ROUND(Grandview_Inventory[[#This Row],[adj_res]]*Lookups!$M$28,-2)&lt;Grandview_Inventory[[#This Row],[min_res]],Grandview_Inventory[[#This Row],[min_res]],ROUND(Grandview_Inventory[[#This Row],[adj_res]]*Lookups!$M$28,-2))</f>
        <v>359200</v>
      </c>
      <c r="CD1240">
        <f>Grandview_Inventory[[#This Row],[final_det]]+Grandview_Inventory[[#This Row],[final_res]]</f>
        <v>359200</v>
      </c>
      <c r="CE1240">
        <f>Grandview_Inventory[[#This Row],[final_land]]+Grandview_Inventory[[#This Row],[final_imp]]+Grandview_Inventory[[#This Row],[crop_value]]</f>
        <v>403500</v>
      </c>
      <c r="CG1240" t="str">
        <f t="shared" si="19"/>
        <v>update valuation set market_land =44300, market_bldg=359200, market_total =403500, market_mdno =401, market_date ='9/10/2023' where link_id = (select link_id from parcel where parcel_year = '2024' and parcel_id = '23092311474');</v>
      </c>
    </row>
    <row r="1241" spans="1:85" x14ac:dyDescent="0.25">
      <c r="A1241">
        <v>23092311475</v>
      </c>
      <c r="B1241">
        <v>0.12</v>
      </c>
      <c r="C1241">
        <v>5295</v>
      </c>
      <c r="D1241" t="s">
        <v>129</v>
      </c>
      <c r="E1241" t="s">
        <v>53</v>
      </c>
      <c r="F1241" t="s">
        <v>53</v>
      </c>
      <c r="G1241">
        <v>4</v>
      </c>
      <c r="H1241" t="s">
        <v>54</v>
      </c>
      <c r="I1241">
        <v>111500</v>
      </c>
      <c r="J1241">
        <v>38400</v>
      </c>
      <c r="K1241">
        <v>0.12</v>
      </c>
      <c r="L1241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1">
        <v>0</v>
      </c>
      <c r="N1241">
        <v>0</v>
      </c>
      <c r="O1241">
        <v>0</v>
      </c>
      <c r="P1241">
        <v>13398.7528</v>
      </c>
      <c r="Q1241">
        <v>63903</v>
      </c>
      <c r="R1241">
        <f>(Grandview_Inventory[[#This Row],[ln_acres]]*Grandview_Inventory[[#This Row],[coeff]])+Grandview_Inventory[[#This Row],[const]]</f>
        <v>35494.113007601132</v>
      </c>
      <c r="S1241" t="s">
        <v>68</v>
      </c>
      <c r="T1241">
        <v>1</v>
      </c>
      <c r="U1241" t="s">
        <v>70</v>
      </c>
      <c r="V1241" t="s">
        <v>69</v>
      </c>
      <c r="W1241">
        <v>0</v>
      </c>
      <c r="X1241">
        <v>0</v>
      </c>
      <c r="Y1241">
        <v>49</v>
      </c>
      <c r="Z1241">
        <v>65</v>
      </c>
      <c r="AA1241">
        <v>70</v>
      </c>
      <c r="AB1241">
        <v>1500</v>
      </c>
      <c r="AC1241">
        <v>1255</v>
      </c>
      <c r="AD1241">
        <v>788</v>
      </c>
      <c r="AE1241">
        <v>0</v>
      </c>
      <c r="AF1241">
        <v>0</v>
      </c>
      <c r="AG1241">
        <v>467</v>
      </c>
      <c r="AH1241">
        <v>241</v>
      </c>
      <c r="AI1241">
        <v>0</v>
      </c>
      <c r="AJ1241">
        <v>0</v>
      </c>
      <c r="AK1241">
        <v>0</v>
      </c>
      <c r="AL1241">
        <v>0</v>
      </c>
      <c r="AM1241">
        <v>20</v>
      </c>
      <c r="AN1241">
        <v>0</v>
      </c>
      <c r="AO1241">
        <v>0</v>
      </c>
      <c r="AP1241">
        <v>5</v>
      </c>
      <c r="AQ1241">
        <v>0</v>
      </c>
      <c r="AR1241">
        <v>0</v>
      </c>
      <c r="AS1241" t="s">
        <v>58</v>
      </c>
      <c r="AT1241">
        <v>1</v>
      </c>
      <c r="AU1241" t="s">
        <v>63</v>
      </c>
      <c r="AV1241" t="s">
        <v>81</v>
      </c>
      <c r="AW1241">
        <v>0</v>
      </c>
      <c r="AX1241">
        <v>2</v>
      </c>
      <c r="AY1241">
        <v>0</v>
      </c>
      <c r="AZ1241">
        <v>0</v>
      </c>
      <c r="BA1241">
        <v>100</v>
      </c>
      <c r="BB1241">
        <v>100</v>
      </c>
      <c r="BC1241">
        <v>100</v>
      </c>
      <c r="BD1241">
        <v>100</v>
      </c>
      <c r="BE1241">
        <v>1</v>
      </c>
      <c r="BF1241">
        <v>15000</v>
      </c>
      <c r="BG1241">
        <v>1000</v>
      </c>
      <c r="BH1241" s="6">
        <f>Grandview_Inventory[[#This Row],[land_extract]]*Lookups!$B$3</f>
        <v>41219.217601622076</v>
      </c>
      <c r="BI1241" s="6">
        <f>IF(Grandview_Inventory[[#This Row],[bldg_style]]="",0,Lookups!$B$2)</f>
        <v>155833.95000000001</v>
      </c>
      <c r="BJ1241" s="6">
        <f>_xlfn.IFNA(VLOOKUP(Grandview_Inventory[[#This Row],[quality]],Lookups!$H$2:$J$14,3,FALSE),0)</f>
        <v>10733</v>
      </c>
      <c r="BK1241" s="6">
        <f>_xlfn.IFNA(VLOOKUP(Grandview_Inventory[[#This Row],[condition]],Lookups!$H$17:$J$24,3,FALSE),0)</f>
        <v>-4503</v>
      </c>
      <c r="BL1241" s="6">
        <f>Grandview_Inventory[[#This Row],[Eff_Age]]*Lookups!$B$14</f>
        <v>-11719.163399999999</v>
      </c>
      <c r="BM1241" s="6">
        <f>Grandview_Inventory[[#This Row],[living_area]]*Lookups!$B$15</f>
        <v>78287.970515000008</v>
      </c>
      <c r="BN1241" s="6">
        <f>Grandview_Inventory[[#This Row],[Fin BSMT]]*Lookups!$B$16</f>
        <v>-12655.345080000001</v>
      </c>
      <c r="BO1241" s="6">
        <f>(Grandview_Inventory[[#This Row],[att_gar]]+Grandview_Inventory[[#This Row],[bltin_gar]])*Lookups!$B$17</f>
        <v>0</v>
      </c>
      <c r="BP1241" s="6">
        <f>Grandview_Inventory[[#This Row],[Plumbing Fixtures]]*Lookups!$B$18</f>
        <v>10052.209000000001</v>
      </c>
      <c r="BQ1241" s="6">
        <f>Grandview_Inventory[[#This Row],[detatched_value]]*Lookups!$B$19</f>
        <v>0</v>
      </c>
      <c r="BR1241" s="6">
        <f>SUM(Grandview_Inventory[[#This Row],[Intercept]:[det_value]])*Grandview_Inventory[[#This Row],[res_pct]]</f>
        <v>226029.62103500005</v>
      </c>
      <c r="BS1241" s="6">
        <f>Grandview_Inventory[[#This Row],[land_value]]</f>
        <v>41219.217601622076</v>
      </c>
      <c r="BT1241" s="4">
        <f>_xlfn.IFNA(VLOOKUP(Grandview_Inventory[[#This Row],[quality]],Lookups!$A$26:$C$33,3,FALSE),1)</f>
        <v>0.98079741117310582</v>
      </c>
      <c r="BU1241" s="4">
        <f>_xlfn.IFNA(VLOOKUP(Grandview_Inventory[[#This Row],[condition]],Lookups!$A$37:$C$44,3,FALSE),1)</f>
        <v>0.96469275950863709</v>
      </c>
      <c r="BV1241" s="4">
        <f>IF(Grandview_Inventory[[#This Row],[bldg_style]]="",1,_xlfn.IFNA(VLOOKUP(Grandview_Inventory[[#This Row],[decade]],Lookups!$F$29:$H$43,3,FALSE),1))</f>
        <v>0.99472141305414818</v>
      </c>
      <c r="BW1241" s="4">
        <f>_xlfn.IFNA(VLOOKUP(Grandview_Inventory[[#This Row],[living_area_range]],Lookups!$F$47:$H$56,3,FALSE),1)</f>
        <v>0.96135087979789358</v>
      </c>
      <c r="BX1241" s="4">
        <f>AVERAGE(Grandview_Inventory[[#This Row],[qual_adj]:[size_adj]])</f>
        <v>0.97539061588344622</v>
      </c>
      <c r="BY1241" s="6">
        <f>IF(Grandview_Inventory[[#This Row],[pre_res]]&lt;0,0,Grandview_Inventory[[#This Row],[pre_res]]*Grandview_Inventory[[#This Row],[overall_adj]])</f>
        <v>220467.17126923066</v>
      </c>
      <c r="BZ1241" s="6">
        <f>(Grandview_Inventory[[#This Row],[sum_land]]-IF(Grandview_Inventory[[#This Row],[no_utilities]]=1,12000,0))/IF(Grandview_Inventory[[#This Row],[unbuildable]]=1,2,1)</f>
        <v>41219.217601622076</v>
      </c>
      <c r="CA1241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1">
        <f>ROUND(Grandview_Inventory[[#This Row],[det_value]]*Lookups!$M$28,-2)</f>
        <v>0</v>
      </c>
      <c r="CC1241">
        <f>IF(ROUND(Grandview_Inventory[[#This Row],[adj_res]]*Lookups!$M$28,-2)&lt;Grandview_Inventory[[#This Row],[min_res]],Grandview_Inventory[[#This Row],[min_res]],ROUND(Grandview_Inventory[[#This Row],[adj_res]]*Lookups!$M$28,-2))</f>
        <v>209400</v>
      </c>
      <c r="CD1241">
        <f>Grandview_Inventory[[#This Row],[final_det]]+Grandview_Inventory[[#This Row],[final_res]]</f>
        <v>209400</v>
      </c>
      <c r="CE1241">
        <f>Grandview_Inventory[[#This Row],[final_land]]+Grandview_Inventory[[#This Row],[final_imp]]+Grandview_Inventory[[#This Row],[crop_value]]</f>
        <v>248600</v>
      </c>
      <c r="CG1241" t="str">
        <f t="shared" si="19"/>
        <v>update valuation set market_land =39200, market_bldg=209400, market_total =248600, market_mdno =401, market_date ='9/10/2023' where link_id = (select link_id from parcel where parcel_year = '2024' and parcel_id = '23092311475');</v>
      </c>
    </row>
    <row r="1242" spans="1:85" x14ac:dyDescent="0.25">
      <c r="A1242">
        <v>23092311476</v>
      </c>
      <c r="B1242">
        <v>0.12</v>
      </c>
      <c r="C1242">
        <v>5293</v>
      </c>
      <c r="D1242" t="s">
        <v>129</v>
      </c>
      <c r="E1242" t="s">
        <v>53</v>
      </c>
      <c r="F1242" t="s">
        <v>53</v>
      </c>
      <c r="G1242">
        <v>4</v>
      </c>
      <c r="H1242" t="s">
        <v>54</v>
      </c>
      <c r="I1242">
        <v>105000</v>
      </c>
      <c r="J1242">
        <v>38400</v>
      </c>
      <c r="K1242">
        <v>0.12</v>
      </c>
      <c r="L124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2">
        <v>0</v>
      </c>
      <c r="N1242">
        <v>0</v>
      </c>
      <c r="O1242">
        <v>0</v>
      </c>
      <c r="P1242">
        <v>13398.7528</v>
      </c>
      <c r="Q1242">
        <v>63903</v>
      </c>
      <c r="R1242">
        <f>(Grandview_Inventory[[#This Row],[ln_acres]]*Grandview_Inventory[[#This Row],[coeff]])+Grandview_Inventory[[#This Row],[const]]</f>
        <v>35494.113007601132</v>
      </c>
      <c r="S1242" t="s">
        <v>68</v>
      </c>
      <c r="T1242">
        <v>1</v>
      </c>
      <c r="U1242" t="s">
        <v>70</v>
      </c>
      <c r="V1242" t="s">
        <v>78</v>
      </c>
      <c r="W1242">
        <v>0</v>
      </c>
      <c r="X1242">
        <v>0</v>
      </c>
      <c r="Y1242">
        <v>49</v>
      </c>
      <c r="Z1242">
        <v>65</v>
      </c>
      <c r="AA1242">
        <v>70</v>
      </c>
      <c r="AB1242">
        <v>1000</v>
      </c>
      <c r="AC1242">
        <v>908</v>
      </c>
      <c r="AD1242">
        <v>908</v>
      </c>
      <c r="AE1242">
        <v>0</v>
      </c>
      <c r="AF1242">
        <v>0</v>
      </c>
      <c r="AG1242">
        <v>0</v>
      </c>
      <c r="AH1242">
        <v>227</v>
      </c>
      <c r="AI1242">
        <v>0</v>
      </c>
      <c r="AJ1242">
        <v>0</v>
      </c>
      <c r="AK1242">
        <v>0</v>
      </c>
      <c r="AL1242">
        <v>50</v>
      </c>
      <c r="AM1242">
        <v>180</v>
      </c>
      <c r="AN1242">
        <v>0</v>
      </c>
      <c r="AO1242">
        <v>40</v>
      </c>
      <c r="AP1242">
        <v>5</v>
      </c>
      <c r="AQ1242">
        <v>0</v>
      </c>
      <c r="AR1242">
        <v>0</v>
      </c>
      <c r="AS1242" t="s">
        <v>58</v>
      </c>
      <c r="AT1242">
        <v>1</v>
      </c>
      <c r="AU1242" t="s">
        <v>63</v>
      </c>
      <c r="AV1242" t="s">
        <v>81</v>
      </c>
      <c r="AW1242">
        <v>1</v>
      </c>
      <c r="AX1242">
        <v>2</v>
      </c>
      <c r="AY1242">
        <v>0</v>
      </c>
      <c r="AZ1242">
        <v>8300</v>
      </c>
      <c r="BA1242">
        <v>100</v>
      </c>
      <c r="BB1242">
        <v>100</v>
      </c>
      <c r="BC1242">
        <v>100</v>
      </c>
      <c r="BD1242">
        <v>100</v>
      </c>
      <c r="BE1242">
        <v>1</v>
      </c>
      <c r="BF1242">
        <v>15000</v>
      </c>
      <c r="BG1242">
        <v>1000</v>
      </c>
      <c r="BH1242" s="6">
        <f>Grandview_Inventory[[#This Row],[land_extract]]*Lookups!$B$3</f>
        <v>41219.217601622076</v>
      </c>
      <c r="BI1242" s="6">
        <f>IF(Grandview_Inventory[[#This Row],[bldg_style]]="",0,Lookups!$B$2)</f>
        <v>155833.95000000001</v>
      </c>
      <c r="BJ1242" s="6">
        <f>_xlfn.IFNA(VLOOKUP(Grandview_Inventory[[#This Row],[quality]],Lookups!$H$2:$J$14,3,FALSE),0)</f>
        <v>10733</v>
      </c>
      <c r="BK1242" s="6">
        <f>_xlfn.IFNA(VLOOKUP(Grandview_Inventory[[#This Row],[condition]],Lookups!$H$17:$J$24,3,FALSE),0)</f>
        <v>-45357</v>
      </c>
      <c r="BL1242" s="6">
        <f>Grandview_Inventory[[#This Row],[Eff_Age]]*Lookups!$B$14</f>
        <v>-11719.163399999999</v>
      </c>
      <c r="BM1242" s="6">
        <f>Grandview_Inventory[[#This Row],[living_area]]*Lookups!$B$15</f>
        <v>56641.814524000001</v>
      </c>
      <c r="BN1242" s="6">
        <f>Grandview_Inventory[[#This Row],[Fin BSMT]]*Lookups!$B$16</f>
        <v>0</v>
      </c>
      <c r="BO1242" s="6">
        <f>(Grandview_Inventory[[#This Row],[att_gar]]+Grandview_Inventory[[#This Row],[bltin_gar]])*Lookups!$B$17</f>
        <v>0</v>
      </c>
      <c r="BP1242" s="6">
        <f>Grandview_Inventory[[#This Row],[Plumbing Fixtures]]*Lookups!$B$18</f>
        <v>10052.209000000001</v>
      </c>
      <c r="BQ1242" s="6">
        <f>Grandview_Inventory[[#This Row],[detatched_value]]*Lookups!$B$19</f>
        <v>7028.4823299999998</v>
      </c>
      <c r="BR1242" s="6">
        <f>SUM(Grandview_Inventory[[#This Row],[Intercept]:[det_value]])*Grandview_Inventory[[#This Row],[res_pct]]</f>
        <v>183213.29245400001</v>
      </c>
      <c r="BS1242" s="6">
        <f>Grandview_Inventory[[#This Row],[land_value]]</f>
        <v>41219.217601622076</v>
      </c>
      <c r="BT1242" s="4">
        <f>_xlfn.IFNA(VLOOKUP(Grandview_Inventory[[#This Row],[quality]],Lookups!$A$26:$C$33,3,FALSE),1)</f>
        <v>0.98079741117310582</v>
      </c>
      <c r="BU1242" s="4">
        <f>_xlfn.IFNA(VLOOKUP(Grandview_Inventory[[#This Row],[condition]],Lookups!$A$37:$C$44,3,FALSE),1)</f>
        <v>0.97161819570155394</v>
      </c>
      <c r="BV1242" s="4">
        <f>IF(Grandview_Inventory[[#This Row],[bldg_style]]="",1,_xlfn.IFNA(VLOOKUP(Grandview_Inventory[[#This Row],[decade]],Lookups!$F$29:$H$43,3,FALSE),1))</f>
        <v>0.99472141305414818</v>
      </c>
      <c r="BW1242" s="4">
        <f>_xlfn.IFNA(VLOOKUP(Grandview_Inventory[[#This Row],[living_area_range]],Lookups!$F$47:$H$56,3,FALSE),1)</f>
        <v>0.94306777142782894</v>
      </c>
      <c r="BX1242" s="4">
        <f>AVERAGE(Grandview_Inventory[[#This Row],[qual_adj]:[size_adj]])</f>
        <v>0.97255119783915911</v>
      </c>
      <c r="BY1242" s="6">
        <f>IF(Grandview_Inventory[[#This Row],[pre_res]]&lt;0,0,Grandview_Inventory[[#This Row],[pre_res]]*Grandview_Inventory[[#This Row],[overall_adj]])</f>
        <v>178184.30703619387</v>
      </c>
      <c r="BZ1242" s="6">
        <f>(Grandview_Inventory[[#This Row],[sum_land]]-IF(Grandview_Inventory[[#This Row],[no_utilities]]=1,12000,0))/IF(Grandview_Inventory[[#This Row],[unbuildable]]=1,2,1)</f>
        <v>41219.217601622076</v>
      </c>
      <c r="CA124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2">
        <f>ROUND(Grandview_Inventory[[#This Row],[det_value]]*Lookups!$M$28,-2)</f>
        <v>6700</v>
      </c>
      <c r="CC1242">
        <f>IF(ROUND(Grandview_Inventory[[#This Row],[adj_res]]*Lookups!$M$28,-2)&lt;Grandview_Inventory[[#This Row],[min_res]],Grandview_Inventory[[#This Row],[min_res]],ROUND(Grandview_Inventory[[#This Row],[adj_res]]*Lookups!$M$28,-2))</f>
        <v>169300</v>
      </c>
      <c r="CD1242">
        <f>Grandview_Inventory[[#This Row],[final_det]]+Grandview_Inventory[[#This Row],[final_res]]</f>
        <v>176000</v>
      </c>
      <c r="CE1242">
        <f>Grandview_Inventory[[#This Row],[final_land]]+Grandview_Inventory[[#This Row],[final_imp]]+Grandview_Inventory[[#This Row],[crop_value]]</f>
        <v>215200</v>
      </c>
      <c r="CG1242" t="str">
        <f t="shared" si="19"/>
        <v>update valuation set market_land =39200, market_bldg=176000, market_total =215200, market_mdno =401, market_date ='9/10/2023' where link_id = (select link_id from parcel where parcel_year = '2024' and parcel_id = '23092311476');</v>
      </c>
    </row>
    <row r="1243" spans="1:85" x14ac:dyDescent="0.25">
      <c r="A1243">
        <v>23092311477</v>
      </c>
      <c r="B1243">
        <v>0.12</v>
      </c>
      <c r="C1243">
        <v>5293</v>
      </c>
      <c r="D1243" t="s">
        <v>129</v>
      </c>
      <c r="E1243" t="s">
        <v>53</v>
      </c>
      <c r="F1243" t="s">
        <v>53</v>
      </c>
      <c r="G1243">
        <v>4</v>
      </c>
      <c r="H1243" t="s">
        <v>54</v>
      </c>
      <c r="I1243">
        <v>110200</v>
      </c>
      <c r="J1243">
        <v>38400</v>
      </c>
      <c r="K1243">
        <v>0.12</v>
      </c>
      <c r="L1243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3">
        <v>0</v>
      </c>
      <c r="N1243">
        <v>0</v>
      </c>
      <c r="O1243">
        <v>0</v>
      </c>
      <c r="P1243">
        <v>13398.7528</v>
      </c>
      <c r="Q1243">
        <v>63903</v>
      </c>
      <c r="R1243">
        <f>(Grandview_Inventory[[#This Row],[ln_acres]]*Grandview_Inventory[[#This Row],[coeff]])+Grandview_Inventory[[#This Row],[const]]</f>
        <v>35494.113007601132</v>
      </c>
      <c r="S1243" t="s">
        <v>68</v>
      </c>
      <c r="T1243">
        <v>1</v>
      </c>
      <c r="U1243" t="s">
        <v>70</v>
      </c>
      <c r="V1243" t="s">
        <v>69</v>
      </c>
      <c r="W1243">
        <v>0</v>
      </c>
      <c r="X1243">
        <v>0</v>
      </c>
      <c r="Y1243">
        <v>49</v>
      </c>
      <c r="Z1243">
        <v>65</v>
      </c>
      <c r="AA1243">
        <v>70</v>
      </c>
      <c r="AB1243">
        <v>1000</v>
      </c>
      <c r="AC1243">
        <v>880</v>
      </c>
      <c r="AD1243">
        <v>704</v>
      </c>
      <c r="AE1243">
        <v>0</v>
      </c>
      <c r="AF1243">
        <v>0</v>
      </c>
      <c r="AG1243">
        <v>176</v>
      </c>
      <c r="AH1243">
        <v>0</v>
      </c>
      <c r="AI1243">
        <v>0</v>
      </c>
      <c r="AJ1243">
        <v>0</v>
      </c>
      <c r="AK1243">
        <v>220</v>
      </c>
      <c r="AL1243">
        <v>0</v>
      </c>
      <c r="AM1243">
        <v>0</v>
      </c>
      <c r="AN1243">
        <v>24</v>
      </c>
      <c r="AO1243">
        <v>0</v>
      </c>
      <c r="AP1243">
        <v>5</v>
      </c>
      <c r="AQ1243">
        <v>0</v>
      </c>
      <c r="AR1243">
        <v>0</v>
      </c>
      <c r="AS1243" t="s">
        <v>58</v>
      </c>
      <c r="AT1243">
        <v>1</v>
      </c>
      <c r="AU1243" t="s">
        <v>63</v>
      </c>
      <c r="AV1243" t="s">
        <v>64</v>
      </c>
      <c r="AW1243">
        <v>0</v>
      </c>
      <c r="AX1243">
        <v>2</v>
      </c>
      <c r="AY1243">
        <v>0</v>
      </c>
      <c r="AZ1243">
        <v>0</v>
      </c>
      <c r="BA1243">
        <v>100</v>
      </c>
      <c r="BB1243">
        <v>100</v>
      </c>
      <c r="BC1243">
        <v>100</v>
      </c>
      <c r="BD1243">
        <v>100</v>
      </c>
      <c r="BE1243">
        <v>1</v>
      </c>
      <c r="BF1243">
        <v>15000</v>
      </c>
      <c r="BG1243">
        <v>1000</v>
      </c>
      <c r="BH1243" s="6">
        <f>Grandview_Inventory[[#This Row],[land_extract]]*Lookups!$B$3</f>
        <v>41219.217601622076</v>
      </c>
      <c r="BI1243" s="6">
        <f>IF(Grandview_Inventory[[#This Row],[bldg_style]]="",0,Lookups!$B$2)</f>
        <v>155833.95000000001</v>
      </c>
      <c r="BJ1243" s="6">
        <f>_xlfn.IFNA(VLOOKUP(Grandview_Inventory[[#This Row],[quality]],Lookups!$H$2:$J$14,3,FALSE),0)</f>
        <v>10733</v>
      </c>
      <c r="BK1243" s="6">
        <f>_xlfn.IFNA(VLOOKUP(Grandview_Inventory[[#This Row],[condition]],Lookups!$H$17:$J$24,3,FALSE),0)</f>
        <v>-4503</v>
      </c>
      <c r="BL1243" s="6">
        <f>Grandview_Inventory[[#This Row],[Eff_Age]]*Lookups!$B$14</f>
        <v>-11719.163399999999</v>
      </c>
      <c r="BM1243" s="6">
        <f>Grandview_Inventory[[#This Row],[living_area]]*Lookups!$B$15</f>
        <v>54895.15064</v>
      </c>
      <c r="BN1243" s="6">
        <f>Grandview_Inventory[[#This Row],[Fin BSMT]]*Lookups!$B$16</f>
        <v>-4769.4662400000007</v>
      </c>
      <c r="BO1243" s="6">
        <f>(Grandview_Inventory[[#This Row],[att_gar]]+Grandview_Inventory[[#This Row],[bltin_gar]])*Lookups!$B$17</f>
        <v>0</v>
      </c>
      <c r="BP1243" s="6">
        <f>Grandview_Inventory[[#This Row],[Plumbing Fixtures]]*Lookups!$B$18</f>
        <v>10052.209000000001</v>
      </c>
      <c r="BQ1243" s="6">
        <f>Grandview_Inventory[[#This Row],[detatched_value]]*Lookups!$B$19</f>
        <v>0</v>
      </c>
      <c r="BR1243" s="6">
        <f>SUM(Grandview_Inventory[[#This Row],[Intercept]:[det_value]])*Grandview_Inventory[[#This Row],[res_pct]]</f>
        <v>210522.68000000002</v>
      </c>
      <c r="BS1243" s="6">
        <f>Grandview_Inventory[[#This Row],[land_value]]</f>
        <v>41219.217601622076</v>
      </c>
      <c r="BT1243" s="4">
        <f>_xlfn.IFNA(VLOOKUP(Grandview_Inventory[[#This Row],[quality]],Lookups!$A$26:$C$33,3,FALSE),1)</f>
        <v>0.98079741117310582</v>
      </c>
      <c r="BU1243" s="4">
        <f>_xlfn.IFNA(VLOOKUP(Grandview_Inventory[[#This Row],[condition]],Lookups!$A$37:$C$44,3,FALSE),1)</f>
        <v>0.96469275950863709</v>
      </c>
      <c r="BV1243" s="4">
        <f>IF(Grandview_Inventory[[#This Row],[bldg_style]]="",1,_xlfn.IFNA(VLOOKUP(Grandview_Inventory[[#This Row],[decade]],Lookups!$F$29:$H$43,3,FALSE),1))</f>
        <v>0.99472141305414818</v>
      </c>
      <c r="BW1243" s="4">
        <f>_xlfn.IFNA(VLOOKUP(Grandview_Inventory[[#This Row],[living_area_range]],Lookups!$F$47:$H$56,3,FALSE),1)</f>
        <v>0.94306777142782894</v>
      </c>
      <c r="BX1243" s="4">
        <f>AVERAGE(Grandview_Inventory[[#This Row],[qual_adj]:[size_adj]])</f>
        <v>0.97081983879093003</v>
      </c>
      <c r="BY1243" s="6">
        <f>IF(Grandview_Inventory[[#This Row],[pre_res]]&lt;0,0,Grandview_Inventory[[#This Row],[pre_res]]*Grandview_Inventory[[#This Row],[overall_adj]])</f>
        <v>204379.59425943458</v>
      </c>
      <c r="BZ1243" s="6">
        <f>(Grandview_Inventory[[#This Row],[sum_land]]-IF(Grandview_Inventory[[#This Row],[no_utilities]]=1,12000,0))/IF(Grandview_Inventory[[#This Row],[unbuildable]]=1,2,1)</f>
        <v>41219.217601622076</v>
      </c>
      <c r="CA1243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3">
        <f>ROUND(Grandview_Inventory[[#This Row],[det_value]]*Lookups!$M$28,-2)</f>
        <v>0</v>
      </c>
      <c r="CC1243">
        <f>IF(ROUND(Grandview_Inventory[[#This Row],[adj_res]]*Lookups!$M$28,-2)&lt;Grandview_Inventory[[#This Row],[min_res]],Grandview_Inventory[[#This Row],[min_res]],ROUND(Grandview_Inventory[[#This Row],[adj_res]]*Lookups!$M$28,-2))</f>
        <v>194200</v>
      </c>
      <c r="CD1243">
        <f>Grandview_Inventory[[#This Row],[final_det]]+Grandview_Inventory[[#This Row],[final_res]]</f>
        <v>194200</v>
      </c>
      <c r="CE1243">
        <f>Grandview_Inventory[[#This Row],[final_land]]+Grandview_Inventory[[#This Row],[final_imp]]+Grandview_Inventory[[#This Row],[crop_value]]</f>
        <v>233400</v>
      </c>
      <c r="CG1243" t="str">
        <f t="shared" si="19"/>
        <v>update valuation set market_land =39200, market_bldg=194200, market_total =233400, market_mdno =401, market_date ='9/10/2023' where link_id = (select link_id from parcel where parcel_year = '2024' and parcel_id = '23092311477');</v>
      </c>
    </row>
    <row r="1244" spans="1:85" x14ac:dyDescent="0.25">
      <c r="A1244">
        <v>23092311478</v>
      </c>
      <c r="B1244">
        <v>0.12</v>
      </c>
      <c r="C1244">
        <v>5293</v>
      </c>
      <c r="D1244" t="s">
        <v>129</v>
      </c>
      <c r="E1244" t="s">
        <v>53</v>
      </c>
      <c r="F1244" t="s">
        <v>53</v>
      </c>
      <c r="G1244">
        <v>4</v>
      </c>
      <c r="H1244" t="s">
        <v>54</v>
      </c>
      <c r="I1244">
        <v>154300</v>
      </c>
      <c r="J1244">
        <v>38400</v>
      </c>
      <c r="K1244">
        <v>0.12</v>
      </c>
      <c r="L124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4">
        <v>0</v>
      </c>
      <c r="N1244">
        <v>0</v>
      </c>
      <c r="O1244">
        <v>0</v>
      </c>
      <c r="P1244">
        <v>13398.7528</v>
      </c>
      <c r="Q1244">
        <v>63903</v>
      </c>
      <c r="R1244">
        <f>(Grandview_Inventory[[#This Row],[ln_acres]]*Grandview_Inventory[[#This Row],[coeff]])+Grandview_Inventory[[#This Row],[const]]</f>
        <v>35494.113007601132</v>
      </c>
      <c r="S1244" t="s">
        <v>61</v>
      </c>
      <c r="T1244">
        <v>1</v>
      </c>
      <c r="U1244" t="s">
        <v>70</v>
      </c>
      <c r="V1244" t="s">
        <v>69</v>
      </c>
      <c r="W1244">
        <v>0</v>
      </c>
      <c r="X1244">
        <v>0</v>
      </c>
      <c r="Y1244">
        <v>49</v>
      </c>
      <c r="Z1244">
        <v>65</v>
      </c>
      <c r="AA1244">
        <v>70</v>
      </c>
      <c r="AB1244">
        <v>1500</v>
      </c>
      <c r="AC1244">
        <v>1084</v>
      </c>
      <c r="AD1244">
        <v>1084</v>
      </c>
      <c r="AE1244">
        <v>0</v>
      </c>
      <c r="AF1244">
        <v>0</v>
      </c>
      <c r="AG1244">
        <v>0</v>
      </c>
      <c r="AH1244">
        <v>0</v>
      </c>
      <c r="AI1244">
        <v>240</v>
      </c>
      <c r="AJ1244">
        <v>0</v>
      </c>
      <c r="AK1244">
        <v>0</v>
      </c>
      <c r="AL1244">
        <v>0</v>
      </c>
      <c r="AM1244">
        <v>96</v>
      </c>
      <c r="AN1244">
        <v>24</v>
      </c>
      <c r="AO1244">
        <v>0</v>
      </c>
      <c r="AP1244">
        <v>5</v>
      </c>
      <c r="AQ1244">
        <v>0</v>
      </c>
      <c r="AR1244">
        <v>0</v>
      </c>
      <c r="AS1244" t="s">
        <v>58</v>
      </c>
      <c r="AT1244">
        <v>1</v>
      </c>
      <c r="AU1244" t="s">
        <v>63</v>
      </c>
      <c r="AV1244" t="s">
        <v>64</v>
      </c>
      <c r="AW1244">
        <v>1</v>
      </c>
      <c r="AX1244">
        <v>2</v>
      </c>
      <c r="AY1244">
        <v>0</v>
      </c>
      <c r="AZ1244">
        <v>0</v>
      </c>
      <c r="BA1244">
        <v>100</v>
      </c>
      <c r="BB1244">
        <v>100</v>
      </c>
      <c r="BC1244">
        <v>100</v>
      </c>
      <c r="BD1244">
        <v>100</v>
      </c>
      <c r="BE1244">
        <v>1</v>
      </c>
      <c r="BF1244">
        <v>15000</v>
      </c>
      <c r="BG1244">
        <v>1000</v>
      </c>
      <c r="BH1244" s="6">
        <f>Grandview_Inventory[[#This Row],[land_extract]]*Lookups!$B$3</f>
        <v>41219.217601622076</v>
      </c>
      <c r="BI1244" s="6">
        <f>IF(Grandview_Inventory[[#This Row],[bldg_style]]="",0,Lookups!$B$2)</f>
        <v>155833.95000000001</v>
      </c>
      <c r="BJ1244" s="6">
        <f>_xlfn.IFNA(VLOOKUP(Grandview_Inventory[[#This Row],[quality]],Lookups!$H$2:$J$14,3,FALSE),0)</f>
        <v>10733</v>
      </c>
      <c r="BK1244" s="6">
        <f>_xlfn.IFNA(VLOOKUP(Grandview_Inventory[[#This Row],[condition]],Lookups!$H$17:$J$24,3,FALSE),0)</f>
        <v>-4503</v>
      </c>
      <c r="BL1244" s="6">
        <f>Grandview_Inventory[[#This Row],[Eff_Age]]*Lookups!$B$14</f>
        <v>-11719.163399999999</v>
      </c>
      <c r="BM1244" s="6">
        <f>Grandview_Inventory[[#This Row],[living_area]]*Lookups!$B$15</f>
        <v>67620.844652</v>
      </c>
      <c r="BN1244" s="6">
        <f>Grandview_Inventory[[#This Row],[Fin BSMT]]*Lookups!$B$16</f>
        <v>0</v>
      </c>
      <c r="BO1244" s="6">
        <f>(Grandview_Inventory[[#This Row],[att_gar]]+Grandview_Inventory[[#This Row],[bltin_gar]])*Lookups!$B$17</f>
        <v>21004.904880000002</v>
      </c>
      <c r="BP1244" s="6">
        <f>Grandview_Inventory[[#This Row],[Plumbing Fixtures]]*Lookups!$B$18</f>
        <v>10052.209000000001</v>
      </c>
      <c r="BQ1244" s="6">
        <f>Grandview_Inventory[[#This Row],[detatched_value]]*Lookups!$B$19</f>
        <v>0</v>
      </c>
      <c r="BR1244" s="6">
        <f>SUM(Grandview_Inventory[[#This Row],[Intercept]:[det_value]])*Grandview_Inventory[[#This Row],[res_pct]]</f>
        <v>249022.74513200004</v>
      </c>
      <c r="BS1244" s="6">
        <f>Grandview_Inventory[[#This Row],[land_value]]</f>
        <v>41219.217601622076</v>
      </c>
      <c r="BT1244" s="4">
        <f>_xlfn.IFNA(VLOOKUP(Grandview_Inventory[[#This Row],[quality]],Lookups!$A$26:$C$33,3,FALSE),1)</f>
        <v>0.98079741117310582</v>
      </c>
      <c r="BU1244" s="4">
        <f>_xlfn.IFNA(VLOOKUP(Grandview_Inventory[[#This Row],[condition]],Lookups!$A$37:$C$44,3,FALSE),1)</f>
        <v>0.96469275950863709</v>
      </c>
      <c r="BV1244" s="4">
        <f>IF(Grandview_Inventory[[#This Row],[bldg_style]]="",1,_xlfn.IFNA(VLOOKUP(Grandview_Inventory[[#This Row],[decade]],Lookups!$F$29:$H$43,3,FALSE),1))</f>
        <v>0.99472141305414818</v>
      </c>
      <c r="BW1244" s="4">
        <f>_xlfn.IFNA(VLOOKUP(Grandview_Inventory[[#This Row],[living_area_range]],Lookups!$F$47:$H$56,3,FALSE),1)</f>
        <v>0.96135087979789358</v>
      </c>
      <c r="BX1244" s="4">
        <f>AVERAGE(Grandview_Inventory[[#This Row],[qual_adj]:[size_adj]])</f>
        <v>0.97539061588344622</v>
      </c>
      <c r="BY1244" s="6">
        <f>IF(Grandview_Inventory[[#This Row],[pre_res]]&lt;0,0,Grandview_Inventory[[#This Row],[pre_res]]*Grandview_Inventory[[#This Row],[overall_adj]])</f>
        <v>242894.44874328797</v>
      </c>
      <c r="BZ1244" s="6">
        <f>(Grandview_Inventory[[#This Row],[sum_land]]-IF(Grandview_Inventory[[#This Row],[no_utilities]]=1,12000,0))/IF(Grandview_Inventory[[#This Row],[unbuildable]]=1,2,1)</f>
        <v>41219.217601622076</v>
      </c>
      <c r="CA124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4">
        <f>ROUND(Grandview_Inventory[[#This Row],[det_value]]*Lookups!$M$28,-2)</f>
        <v>0</v>
      </c>
      <c r="CC1244">
        <f>IF(ROUND(Grandview_Inventory[[#This Row],[adj_res]]*Lookups!$M$28,-2)&lt;Grandview_Inventory[[#This Row],[min_res]],Grandview_Inventory[[#This Row],[min_res]],ROUND(Grandview_Inventory[[#This Row],[adj_res]]*Lookups!$M$28,-2))</f>
        <v>230700</v>
      </c>
      <c r="CD1244">
        <f>Grandview_Inventory[[#This Row],[final_det]]+Grandview_Inventory[[#This Row],[final_res]]</f>
        <v>230700</v>
      </c>
      <c r="CE1244">
        <f>Grandview_Inventory[[#This Row],[final_land]]+Grandview_Inventory[[#This Row],[final_imp]]+Grandview_Inventory[[#This Row],[crop_value]]</f>
        <v>269900</v>
      </c>
      <c r="CG1244" t="str">
        <f t="shared" si="19"/>
        <v>update valuation set market_land =39200, market_bldg=230700, market_total =269900, market_mdno =401, market_date ='9/10/2023' where link_id = (select link_id from parcel where parcel_year = '2024' and parcel_id = '23092311478');</v>
      </c>
    </row>
    <row r="1245" spans="1:85" x14ac:dyDescent="0.25">
      <c r="A1245">
        <v>23092311479</v>
      </c>
      <c r="B1245">
        <v>0.12</v>
      </c>
      <c r="C1245">
        <v>5293</v>
      </c>
      <c r="D1245" t="s">
        <v>129</v>
      </c>
      <c r="E1245" t="s">
        <v>53</v>
      </c>
      <c r="F1245" t="s">
        <v>53</v>
      </c>
      <c r="G1245">
        <v>4</v>
      </c>
      <c r="H1245" t="s">
        <v>54</v>
      </c>
      <c r="I1245">
        <v>153000</v>
      </c>
      <c r="J1245">
        <v>38400</v>
      </c>
      <c r="K1245">
        <v>0.12</v>
      </c>
      <c r="L1245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5">
        <v>0</v>
      </c>
      <c r="N1245">
        <v>0</v>
      </c>
      <c r="O1245">
        <v>0</v>
      </c>
      <c r="P1245">
        <v>13398.7528</v>
      </c>
      <c r="Q1245">
        <v>63903</v>
      </c>
      <c r="R1245">
        <f>(Grandview_Inventory[[#This Row],[ln_acres]]*Grandview_Inventory[[#This Row],[coeff]])+Grandview_Inventory[[#This Row],[const]]</f>
        <v>35494.113007601132</v>
      </c>
      <c r="S1245" t="s">
        <v>68</v>
      </c>
      <c r="T1245">
        <v>1</v>
      </c>
      <c r="U1245" t="s">
        <v>70</v>
      </c>
      <c r="V1245" t="s">
        <v>67</v>
      </c>
      <c r="W1245">
        <v>0</v>
      </c>
      <c r="X1245">
        <v>0</v>
      </c>
      <c r="Y1245">
        <v>49</v>
      </c>
      <c r="Z1245">
        <v>68</v>
      </c>
      <c r="AA1245">
        <v>70</v>
      </c>
      <c r="AB1245">
        <v>1000</v>
      </c>
      <c r="AC1245">
        <v>776</v>
      </c>
      <c r="AD1245">
        <v>776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24</v>
      </c>
      <c r="AO1245">
        <v>0</v>
      </c>
      <c r="AP1245">
        <v>5</v>
      </c>
      <c r="AQ1245">
        <v>0</v>
      </c>
      <c r="AR1245">
        <v>0</v>
      </c>
      <c r="AS1245" t="s">
        <v>58</v>
      </c>
      <c r="AT1245">
        <v>1</v>
      </c>
      <c r="AU1245" t="s">
        <v>63</v>
      </c>
      <c r="AV1245" t="s">
        <v>64</v>
      </c>
      <c r="AW1245">
        <v>0</v>
      </c>
      <c r="AX1245">
        <v>2</v>
      </c>
      <c r="AY1245">
        <v>0</v>
      </c>
      <c r="AZ1245">
        <v>15700</v>
      </c>
      <c r="BA1245">
        <v>100</v>
      </c>
      <c r="BB1245">
        <v>100</v>
      </c>
      <c r="BC1245">
        <v>100</v>
      </c>
      <c r="BD1245">
        <v>100</v>
      </c>
      <c r="BE1245">
        <v>1</v>
      </c>
      <c r="BF1245">
        <v>15000</v>
      </c>
      <c r="BG1245">
        <v>1000</v>
      </c>
      <c r="BH1245" s="6">
        <f>Grandview_Inventory[[#This Row],[land_extract]]*Lookups!$B$3</f>
        <v>41219.217601622076</v>
      </c>
      <c r="BI1245" s="6">
        <f>IF(Grandview_Inventory[[#This Row],[bldg_style]]="",0,Lookups!$B$2)</f>
        <v>155833.95000000001</v>
      </c>
      <c r="BJ1245" s="6">
        <f>_xlfn.IFNA(VLOOKUP(Grandview_Inventory[[#This Row],[quality]],Lookups!$H$2:$J$14,3,FALSE),0)</f>
        <v>10733</v>
      </c>
      <c r="BK1245" s="6">
        <f>_xlfn.IFNA(VLOOKUP(Grandview_Inventory[[#This Row],[condition]],Lookups!$H$17:$J$24,3,FALSE),0)</f>
        <v>22342</v>
      </c>
      <c r="BL1245" s="6">
        <f>Grandview_Inventory[[#This Row],[Eff_Age]]*Lookups!$B$14</f>
        <v>-11719.163399999999</v>
      </c>
      <c r="BM1245" s="6">
        <f>Grandview_Inventory[[#This Row],[living_area]]*Lookups!$B$15</f>
        <v>48407.541927999999</v>
      </c>
      <c r="BN1245" s="6">
        <f>Grandview_Inventory[[#This Row],[Fin BSMT]]*Lookups!$B$16</f>
        <v>0</v>
      </c>
      <c r="BO1245" s="6">
        <f>(Grandview_Inventory[[#This Row],[att_gar]]+Grandview_Inventory[[#This Row],[bltin_gar]])*Lookups!$B$17</f>
        <v>0</v>
      </c>
      <c r="BP1245" s="6">
        <f>Grandview_Inventory[[#This Row],[Plumbing Fixtures]]*Lookups!$B$18</f>
        <v>10052.209000000001</v>
      </c>
      <c r="BQ1245" s="6">
        <f>Grandview_Inventory[[#This Row],[detatched_value]]*Lookups!$B$19</f>
        <v>13294.84007</v>
      </c>
      <c r="BR1245" s="6">
        <f>SUM(Grandview_Inventory[[#This Row],[Intercept]:[det_value]])*Grandview_Inventory[[#This Row],[res_pct]]</f>
        <v>248944.37759800002</v>
      </c>
      <c r="BS1245" s="6">
        <f>Grandview_Inventory[[#This Row],[land_value]]</f>
        <v>41219.217601622076</v>
      </c>
      <c r="BT1245" s="4">
        <f>_xlfn.IFNA(VLOOKUP(Grandview_Inventory[[#This Row],[quality]],Lookups!$A$26:$C$33,3,FALSE),1)</f>
        <v>0.98079741117310582</v>
      </c>
      <c r="BU1245" s="4">
        <f>_xlfn.IFNA(VLOOKUP(Grandview_Inventory[[#This Row],[condition]],Lookups!$A$37:$C$44,3,FALSE),1)</f>
        <v>0.97383723671140243</v>
      </c>
      <c r="BV1245" s="4">
        <f>IF(Grandview_Inventory[[#This Row],[bldg_style]]="",1,_xlfn.IFNA(VLOOKUP(Grandview_Inventory[[#This Row],[decade]],Lookups!$F$29:$H$43,3,FALSE),1))</f>
        <v>0.99472141305414818</v>
      </c>
      <c r="BW1245" s="4">
        <f>_xlfn.IFNA(VLOOKUP(Grandview_Inventory[[#This Row],[living_area_range]],Lookups!$F$47:$H$56,3,FALSE),1)</f>
        <v>0.94306777142782894</v>
      </c>
      <c r="BX1245" s="4">
        <f>AVERAGE(Grandview_Inventory[[#This Row],[qual_adj]:[size_adj]])</f>
        <v>0.97310595809162137</v>
      </c>
      <c r="BY1245" s="6">
        <f>IF(Grandview_Inventory[[#This Row],[pre_res]]&lt;0,0,Grandview_Inventory[[#This Row],[pre_res]]*Grandview_Inventory[[#This Row],[overall_adj]])</f>
        <v>242249.25707402418</v>
      </c>
      <c r="BZ1245" s="6">
        <f>(Grandview_Inventory[[#This Row],[sum_land]]-IF(Grandview_Inventory[[#This Row],[no_utilities]]=1,12000,0))/IF(Grandview_Inventory[[#This Row],[unbuildable]]=1,2,1)</f>
        <v>41219.217601622076</v>
      </c>
      <c r="CA1245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5">
        <f>ROUND(Grandview_Inventory[[#This Row],[det_value]]*Lookups!$M$28,-2)</f>
        <v>12600</v>
      </c>
      <c r="CC1245">
        <f>IF(ROUND(Grandview_Inventory[[#This Row],[adj_res]]*Lookups!$M$28,-2)&lt;Grandview_Inventory[[#This Row],[min_res]],Grandview_Inventory[[#This Row],[min_res]],ROUND(Grandview_Inventory[[#This Row],[adj_res]]*Lookups!$M$28,-2))</f>
        <v>230100</v>
      </c>
      <c r="CD1245">
        <f>Grandview_Inventory[[#This Row],[final_det]]+Grandview_Inventory[[#This Row],[final_res]]</f>
        <v>242700</v>
      </c>
      <c r="CE1245">
        <f>Grandview_Inventory[[#This Row],[final_land]]+Grandview_Inventory[[#This Row],[final_imp]]+Grandview_Inventory[[#This Row],[crop_value]]</f>
        <v>281900</v>
      </c>
      <c r="CG1245" t="str">
        <f t="shared" si="19"/>
        <v>update valuation set market_land =39200, market_bldg=242700, market_total =281900, market_mdno =401, market_date ='9/10/2023' where link_id = (select link_id from parcel where parcel_year = '2024' and parcel_id = '23092311479');</v>
      </c>
    </row>
    <row r="1246" spans="1:85" x14ac:dyDescent="0.25">
      <c r="A1246">
        <v>23092311480</v>
      </c>
      <c r="B1246">
        <v>0.12</v>
      </c>
      <c r="C1246">
        <v>5293</v>
      </c>
      <c r="D1246" t="s">
        <v>129</v>
      </c>
      <c r="E1246" t="s">
        <v>53</v>
      </c>
      <c r="F1246" t="s">
        <v>53</v>
      </c>
      <c r="G1246">
        <v>4</v>
      </c>
      <c r="H1246" t="s">
        <v>54</v>
      </c>
      <c r="I1246">
        <v>137500</v>
      </c>
      <c r="J1246">
        <v>38400</v>
      </c>
      <c r="K1246">
        <v>0.12</v>
      </c>
      <c r="L1246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6">
        <v>0</v>
      </c>
      <c r="N1246">
        <v>0</v>
      </c>
      <c r="O1246">
        <v>0</v>
      </c>
      <c r="P1246">
        <v>13398.7528</v>
      </c>
      <c r="Q1246">
        <v>63903</v>
      </c>
      <c r="R1246">
        <f>(Grandview_Inventory[[#This Row],[ln_acres]]*Grandview_Inventory[[#This Row],[coeff]])+Grandview_Inventory[[#This Row],[const]]</f>
        <v>35494.113007601132</v>
      </c>
      <c r="S1246" t="s">
        <v>68</v>
      </c>
      <c r="T1246">
        <v>1</v>
      </c>
      <c r="U1246" t="s">
        <v>70</v>
      </c>
      <c r="V1246" t="s">
        <v>67</v>
      </c>
      <c r="W1246">
        <v>0</v>
      </c>
      <c r="X1246">
        <v>0</v>
      </c>
      <c r="Y1246">
        <v>49</v>
      </c>
      <c r="Z1246">
        <v>65</v>
      </c>
      <c r="AA1246">
        <v>70</v>
      </c>
      <c r="AB1246">
        <v>1000</v>
      </c>
      <c r="AC1246">
        <v>704</v>
      </c>
      <c r="AD1246">
        <v>704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56</v>
      </c>
      <c r="AN1246">
        <v>24</v>
      </c>
      <c r="AO1246">
        <v>56</v>
      </c>
      <c r="AP1246">
        <v>5</v>
      </c>
      <c r="AQ1246">
        <v>0</v>
      </c>
      <c r="AR1246">
        <v>0</v>
      </c>
      <c r="AS1246" t="s">
        <v>58</v>
      </c>
      <c r="AT1246">
        <v>1</v>
      </c>
      <c r="AU1246" t="s">
        <v>63</v>
      </c>
      <c r="AV1246" t="s">
        <v>64</v>
      </c>
      <c r="AW1246">
        <v>0</v>
      </c>
      <c r="AX1246">
        <v>2</v>
      </c>
      <c r="AY1246">
        <v>0</v>
      </c>
      <c r="AZ1246">
        <v>4700</v>
      </c>
      <c r="BA1246">
        <v>100</v>
      </c>
      <c r="BB1246">
        <v>100</v>
      </c>
      <c r="BC1246">
        <v>100</v>
      </c>
      <c r="BD1246">
        <v>100</v>
      </c>
      <c r="BE1246">
        <v>1</v>
      </c>
      <c r="BF1246">
        <v>15000</v>
      </c>
      <c r="BG1246">
        <v>1000</v>
      </c>
      <c r="BH1246" s="6">
        <f>Grandview_Inventory[[#This Row],[land_extract]]*Lookups!$B$3</f>
        <v>41219.217601622076</v>
      </c>
      <c r="BI1246" s="6">
        <f>IF(Grandview_Inventory[[#This Row],[bldg_style]]="",0,Lookups!$B$2)</f>
        <v>155833.95000000001</v>
      </c>
      <c r="BJ1246" s="6">
        <f>_xlfn.IFNA(VLOOKUP(Grandview_Inventory[[#This Row],[quality]],Lookups!$H$2:$J$14,3,FALSE),0)</f>
        <v>10733</v>
      </c>
      <c r="BK1246" s="6">
        <f>_xlfn.IFNA(VLOOKUP(Grandview_Inventory[[#This Row],[condition]],Lookups!$H$17:$J$24,3,FALSE),0)</f>
        <v>22342</v>
      </c>
      <c r="BL1246" s="6">
        <f>Grandview_Inventory[[#This Row],[Eff_Age]]*Lookups!$B$14</f>
        <v>-11719.163399999999</v>
      </c>
      <c r="BM1246" s="6">
        <f>Grandview_Inventory[[#This Row],[living_area]]*Lookups!$B$15</f>
        <v>43916.120512000001</v>
      </c>
      <c r="BN1246" s="6">
        <f>Grandview_Inventory[[#This Row],[Fin BSMT]]*Lookups!$B$16</f>
        <v>0</v>
      </c>
      <c r="BO1246" s="6">
        <f>(Grandview_Inventory[[#This Row],[att_gar]]+Grandview_Inventory[[#This Row],[bltin_gar]])*Lookups!$B$17</f>
        <v>0</v>
      </c>
      <c r="BP1246" s="6">
        <f>Grandview_Inventory[[#This Row],[Plumbing Fixtures]]*Lookups!$B$18</f>
        <v>10052.209000000001</v>
      </c>
      <c r="BQ1246" s="6">
        <f>Grandview_Inventory[[#This Row],[detatched_value]]*Lookups!$B$19</f>
        <v>3979.9839699999998</v>
      </c>
      <c r="BR1246" s="6">
        <f>SUM(Grandview_Inventory[[#This Row],[Intercept]:[det_value]])*Grandview_Inventory[[#This Row],[res_pct]]</f>
        <v>235138.10008200002</v>
      </c>
      <c r="BS1246" s="6">
        <f>Grandview_Inventory[[#This Row],[land_value]]</f>
        <v>41219.217601622076</v>
      </c>
      <c r="BT1246" s="4">
        <f>_xlfn.IFNA(VLOOKUP(Grandview_Inventory[[#This Row],[quality]],Lookups!$A$26:$C$33,3,FALSE),1)</f>
        <v>0.98079741117310582</v>
      </c>
      <c r="BU1246" s="4">
        <f>_xlfn.IFNA(VLOOKUP(Grandview_Inventory[[#This Row],[condition]],Lookups!$A$37:$C$44,3,FALSE),1)</f>
        <v>0.97383723671140243</v>
      </c>
      <c r="BV1246" s="4">
        <f>IF(Grandview_Inventory[[#This Row],[bldg_style]]="",1,_xlfn.IFNA(VLOOKUP(Grandview_Inventory[[#This Row],[decade]],Lookups!$F$29:$H$43,3,FALSE),1))</f>
        <v>0.99472141305414818</v>
      </c>
      <c r="BW1246" s="4">
        <f>_xlfn.IFNA(VLOOKUP(Grandview_Inventory[[#This Row],[living_area_range]],Lookups!$F$47:$H$56,3,FALSE),1)</f>
        <v>0.94306777142782894</v>
      </c>
      <c r="BX1246" s="4">
        <f>AVERAGE(Grandview_Inventory[[#This Row],[qual_adj]:[size_adj]])</f>
        <v>0.97310595809162137</v>
      </c>
      <c r="BY1246" s="6">
        <f>IF(Grandview_Inventory[[#This Row],[pre_res]]&lt;0,0,Grandview_Inventory[[#This Row],[pre_res]]*Grandview_Inventory[[#This Row],[overall_adj]])</f>
        <v>228814.28616413818</v>
      </c>
      <c r="BZ1246" s="6">
        <f>(Grandview_Inventory[[#This Row],[sum_land]]-IF(Grandview_Inventory[[#This Row],[no_utilities]]=1,12000,0))/IF(Grandview_Inventory[[#This Row],[unbuildable]]=1,2,1)</f>
        <v>41219.217601622076</v>
      </c>
      <c r="CA1246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6">
        <f>ROUND(Grandview_Inventory[[#This Row],[det_value]]*Lookups!$M$28,-2)</f>
        <v>3800</v>
      </c>
      <c r="CC1246">
        <f>IF(ROUND(Grandview_Inventory[[#This Row],[adj_res]]*Lookups!$M$28,-2)&lt;Grandview_Inventory[[#This Row],[min_res]],Grandview_Inventory[[#This Row],[min_res]],ROUND(Grandview_Inventory[[#This Row],[adj_res]]*Lookups!$M$28,-2))</f>
        <v>217400</v>
      </c>
      <c r="CD1246">
        <f>Grandview_Inventory[[#This Row],[final_det]]+Grandview_Inventory[[#This Row],[final_res]]</f>
        <v>221200</v>
      </c>
      <c r="CE1246">
        <f>Grandview_Inventory[[#This Row],[final_land]]+Grandview_Inventory[[#This Row],[final_imp]]+Grandview_Inventory[[#This Row],[crop_value]]</f>
        <v>260400</v>
      </c>
      <c r="CG1246" t="str">
        <f t="shared" si="19"/>
        <v>update valuation set market_land =39200, market_bldg=221200, market_total =260400, market_mdno =401, market_date ='9/10/2023' where link_id = (select link_id from parcel where parcel_year = '2024' and parcel_id = '23092311480');</v>
      </c>
    </row>
    <row r="1247" spans="1:85" x14ac:dyDescent="0.25">
      <c r="A1247">
        <v>23092311481</v>
      </c>
      <c r="B1247">
        <v>0.12</v>
      </c>
      <c r="C1247">
        <v>5293</v>
      </c>
      <c r="D1247" t="s">
        <v>129</v>
      </c>
      <c r="E1247" t="s">
        <v>53</v>
      </c>
      <c r="F1247" t="s">
        <v>53</v>
      </c>
      <c r="G1247">
        <v>4</v>
      </c>
      <c r="H1247" t="s">
        <v>54</v>
      </c>
      <c r="I1247">
        <v>166600</v>
      </c>
      <c r="J1247">
        <v>42600</v>
      </c>
      <c r="K1247">
        <v>0.12</v>
      </c>
      <c r="L124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7">
        <v>0</v>
      </c>
      <c r="N1247">
        <v>0</v>
      </c>
      <c r="O1247">
        <v>0</v>
      </c>
      <c r="P1247">
        <v>13398.7528</v>
      </c>
      <c r="Q1247">
        <v>63903</v>
      </c>
      <c r="R1247">
        <f>(Grandview_Inventory[[#This Row],[ln_acres]]*Grandview_Inventory[[#This Row],[coeff]])+Grandview_Inventory[[#This Row],[const]]</f>
        <v>35494.113007601132</v>
      </c>
      <c r="S1247" t="s">
        <v>68</v>
      </c>
      <c r="T1247">
        <v>1</v>
      </c>
      <c r="U1247" t="s">
        <v>70</v>
      </c>
      <c r="V1247" t="s">
        <v>67</v>
      </c>
      <c r="W1247">
        <v>0</v>
      </c>
      <c r="X1247">
        <v>0</v>
      </c>
      <c r="Y1247">
        <v>49</v>
      </c>
      <c r="Z1247">
        <v>65</v>
      </c>
      <c r="AA1247">
        <v>70</v>
      </c>
      <c r="AB1247">
        <v>1000</v>
      </c>
      <c r="AC1247">
        <v>909</v>
      </c>
      <c r="AD1247">
        <v>909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690</v>
      </c>
      <c r="AM1247">
        <v>0</v>
      </c>
      <c r="AN1247">
        <v>354</v>
      </c>
      <c r="AO1247">
        <v>0</v>
      </c>
      <c r="AP1247">
        <v>5</v>
      </c>
      <c r="AQ1247">
        <v>0</v>
      </c>
      <c r="AR1247">
        <v>0</v>
      </c>
      <c r="AS1247" t="s">
        <v>58</v>
      </c>
      <c r="AT1247">
        <v>1</v>
      </c>
      <c r="AU1247" t="s">
        <v>59</v>
      </c>
      <c r="AV1247" t="s">
        <v>60</v>
      </c>
      <c r="AW1247">
        <v>1</v>
      </c>
      <c r="AX1247">
        <v>2</v>
      </c>
      <c r="AY1247">
        <v>0</v>
      </c>
      <c r="AZ1247">
        <v>5700</v>
      </c>
      <c r="BA1247">
        <v>100</v>
      </c>
      <c r="BB1247">
        <v>100</v>
      </c>
      <c r="BC1247">
        <v>100</v>
      </c>
      <c r="BD1247">
        <v>100</v>
      </c>
      <c r="BE1247">
        <v>1</v>
      </c>
      <c r="BF1247">
        <v>15000</v>
      </c>
      <c r="BG1247">
        <v>1000</v>
      </c>
      <c r="BH1247" s="6">
        <f>Grandview_Inventory[[#This Row],[land_extract]]*Lookups!$B$3</f>
        <v>41219.217601622076</v>
      </c>
      <c r="BI1247" s="6">
        <f>IF(Grandview_Inventory[[#This Row],[bldg_style]]="",0,Lookups!$B$2)</f>
        <v>155833.95000000001</v>
      </c>
      <c r="BJ1247" s="6">
        <f>_xlfn.IFNA(VLOOKUP(Grandview_Inventory[[#This Row],[quality]],Lookups!$H$2:$J$14,3,FALSE),0)</f>
        <v>10733</v>
      </c>
      <c r="BK1247" s="6">
        <f>_xlfn.IFNA(VLOOKUP(Grandview_Inventory[[#This Row],[condition]],Lookups!$H$17:$J$24,3,FALSE),0)</f>
        <v>22342</v>
      </c>
      <c r="BL1247" s="6">
        <f>Grandview_Inventory[[#This Row],[Eff_Age]]*Lookups!$B$14</f>
        <v>-11719.163399999999</v>
      </c>
      <c r="BM1247" s="6">
        <f>Grandview_Inventory[[#This Row],[living_area]]*Lookups!$B$15</f>
        <v>56704.195377000004</v>
      </c>
      <c r="BN1247" s="6">
        <f>Grandview_Inventory[[#This Row],[Fin BSMT]]*Lookups!$B$16</f>
        <v>0</v>
      </c>
      <c r="BO1247" s="6">
        <f>(Grandview_Inventory[[#This Row],[att_gar]]+Grandview_Inventory[[#This Row],[bltin_gar]])*Lookups!$B$17</f>
        <v>0</v>
      </c>
      <c r="BP1247" s="6">
        <f>Grandview_Inventory[[#This Row],[Plumbing Fixtures]]*Lookups!$B$18</f>
        <v>10052.209000000001</v>
      </c>
      <c r="BQ1247" s="6">
        <f>Grandview_Inventory[[#This Row],[detatched_value]]*Lookups!$B$19</f>
        <v>4826.7890699999998</v>
      </c>
      <c r="BR1247" s="6">
        <f>SUM(Grandview_Inventory[[#This Row],[Intercept]:[det_value]])*Grandview_Inventory[[#This Row],[res_pct]]</f>
        <v>248772.98004700002</v>
      </c>
      <c r="BS1247" s="6">
        <f>Grandview_Inventory[[#This Row],[land_value]]</f>
        <v>41219.217601622076</v>
      </c>
      <c r="BT1247" s="4">
        <f>_xlfn.IFNA(VLOOKUP(Grandview_Inventory[[#This Row],[quality]],Lookups!$A$26:$C$33,3,FALSE),1)</f>
        <v>0.98079741117310582</v>
      </c>
      <c r="BU1247" s="4">
        <f>_xlfn.IFNA(VLOOKUP(Grandview_Inventory[[#This Row],[condition]],Lookups!$A$37:$C$44,3,FALSE),1)</f>
        <v>0.97383723671140243</v>
      </c>
      <c r="BV1247" s="4">
        <f>IF(Grandview_Inventory[[#This Row],[bldg_style]]="",1,_xlfn.IFNA(VLOOKUP(Grandview_Inventory[[#This Row],[decade]],Lookups!$F$29:$H$43,3,FALSE),1))</f>
        <v>0.99472141305414818</v>
      </c>
      <c r="BW1247" s="4">
        <f>_xlfn.IFNA(VLOOKUP(Grandview_Inventory[[#This Row],[living_area_range]],Lookups!$F$47:$H$56,3,FALSE),1)</f>
        <v>0.94306777142782894</v>
      </c>
      <c r="BX1247" s="4">
        <f>AVERAGE(Grandview_Inventory[[#This Row],[qual_adj]:[size_adj]])</f>
        <v>0.97310595809162137</v>
      </c>
      <c r="BY1247" s="6">
        <f>IF(Grandview_Inventory[[#This Row],[pre_res]]&lt;0,0,Grandview_Inventory[[#This Row],[pre_res]]*Grandview_Inventory[[#This Row],[overall_adj]])</f>
        <v>242082.46909594376</v>
      </c>
      <c r="BZ1247" s="6">
        <f>(Grandview_Inventory[[#This Row],[sum_land]]-IF(Grandview_Inventory[[#This Row],[no_utilities]]=1,12000,0))/IF(Grandview_Inventory[[#This Row],[unbuildable]]=1,2,1)</f>
        <v>41219.217601622076</v>
      </c>
      <c r="CA124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7">
        <f>ROUND(Grandview_Inventory[[#This Row],[det_value]]*Lookups!$M$28,-2)</f>
        <v>4600</v>
      </c>
      <c r="CC1247">
        <f>IF(ROUND(Grandview_Inventory[[#This Row],[adj_res]]*Lookups!$M$28,-2)&lt;Grandview_Inventory[[#This Row],[min_res]],Grandview_Inventory[[#This Row],[min_res]],ROUND(Grandview_Inventory[[#This Row],[adj_res]]*Lookups!$M$28,-2))</f>
        <v>230000</v>
      </c>
      <c r="CD1247">
        <f>Grandview_Inventory[[#This Row],[final_det]]+Grandview_Inventory[[#This Row],[final_res]]</f>
        <v>234600</v>
      </c>
      <c r="CE1247">
        <f>Grandview_Inventory[[#This Row],[final_land]]+Grandview_Inventory[[#This Row],[final_imp]]+Grandview_Inventory[[#This Row],[crop_value]]</f>
        <v>273800</v>
      </c>
      <c r="CG1247" t="str">
        <f t="shared" si="19"/>
        <v>update valuation set market_land =39200, market_bldg=234600, market_total =273800, market_mdno =401, market_date ='9/10/2023' where link_id = (select link_id from parcel where parcel_year = '2024' and parcel_id = '23092311481');</v>
      </c>
    </row>
    <row r="1248" spans="1:85" x14ac:dyDescent="0.25">
      <c r="A1248">
        <v>23092311482</v>
      </c>
      <c r="B1248">
        <v>0.12</v>
      </c>
      <c r="C1248">
        <v>5293</v>
      </c>
      <c r="D1248" t="s">
        <v>129</v>
      </c>
      <c r="E1248" t="s">
        <v>53</v>
      </c>
      <c r="F1248" t="s">
        <v>53</v>
      </c>
      <c r="G1248">
        <v>4</v>
      </c>
      <c r="H1248" t="s">
        <v>54</v>
      </c>
      <c r="I1248">
        <v>145300</v>
      </c>
      <c r="J1248">
        <v>38400</v>
      </c>
      <c r="K1248">
        <v>0.12</v>
      </c>
      <c r="L124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8">
        <v>0</v>
      </c>
      <c r="N1248">
        <v>0</v>
      </c>
      <c r="O1248">
        <v>0</v>
      </c>
      <c r="P1248">
        <v>13398.7528</v>
      </c>
      <c r="Q1248">
        <v>63903</v>
      </c>
      <c r="R1248">
        <f>(Grandview_Inventory[[#This Row],[ln_acres]]*Grandview_Inventory[[#This Row],[coeff]])+Grandview_Inventory[[#This Row],[const]]</f>
        <v>35494.113007601132</v>
      </c>
      <c r="S1248" t="s">
        <v>68</v>
      </c>
      <c r="T1248">
        <v>1</v>
      </c>
      <c r="U1248" t="s">
        <v>70</v>
      </c>
      <c r="V1248" t="s">
        <v>67</v>
      </c>
      <c r="W1248">
        <v>0</v>
      </c>
      <c r="X1248">
        <v>0</v>
      </c>
      <c r="Y1248">
        <v>49</v>
      </c>
      <c r="Z1248">
        <v>65</v>
      </c>
      <c r="AA1248">
        <v>70</v>
      </c>
      <c r="AB1248">
        <v>1000</v>
      </c>
      <c r="AC1248">
        <v>939</v>
      </c>
      <c r="AD1248">
        <v>939</v>
      </c>
      <c r="AE1248">
        <v>0</v>
      </c>
      <c r="AF1248">
        <v>0</v>
      </c>
      <c r="AG1248">
        <v>0</v>
      </c>
      <c r="AH1248">
        <v>240</v>
      </c>
      <c r="AI1248">
        <v>0</v>
      </c>
      <c r="AJ1248">
        <v>0</v>
      </c>
      <c r="AK1248">
        <v>0</v>
      </c>
      <c r="AL1248">
        <v>66</v>
      </c>
      <c r="AM1248">
        <v>161</v>
      </c>
      <c r="AN1248">
        <v>16</v>
      </c>
      <c r="AO1248">
        <v>66</v>
      </c>
      <c r="AP1248">
        <v>5</v>
      </c>
      <c r="AQ1248">
        <v>0</v>
      </c>
      <c r="AR1248">
        <v>0</v>
      </c>
      <c r="AS1248" t="s">
        <v>58</v>
      </c>
      <c r="AT1248">
        <v>1</v>
      </c>
      <c r="AU1248" t="s">
        <v>63</v>
      </c>
      <c r="AV1248" t="s">
        <v>64</v>
      </c>
      <c r="AW1248">
        <v>0</v>
      </c>
      <c r="AX1248">
        <v>2</v>
      </c>
      <c r="AY1248">
        <v>0</v>
      </c>
      <c r="AZ1248">
        <v>1500</v>
      </c>
      <c r="BA1248">
        <v>100</v>
      </c>
      <c r="BB1248">
        <v>100</v>
      </c>
      <c r="BC1248">
        <v>100</v>
      </c>
      <c r="BD1248">
        <v>100</v>
      </c>
      <c r="BE1248">
        <v>1</v>
      </c>
      <c r="BF1248">
        <v>15000</v>
      </c>
      <c r="BG1248">
        <v>1000</v>
      </c>
      <c r="BH1248" s="6">
        <f>Grandview_Inventory[[#This Row],[land_extract]]*Lookups!$B$3</f>
        <v>41219.217601622076</v>
      </c>
      <c r="BI1248" s="6">
        <f>IF(Grandview_Inventory[[#This Row],[bldg_style]]="",0,Lookups!$B$2)</f>
        <v>155833.95000000001</v>
      </c>
      <c r="BJ1248" s="6">
        <f>_xlfn.IFNA(VLOOKUP(Grandview_Inventory[[#This Row],[quality]],Lookups!$H$2:$J$14,3,FALSE),0)</f>
        <v>10733</v>
      </c>
      <c r="BK1248" s="6">
        <f>_xlfn.IFNA(VLOOKUP(Grandview_Inventory[[#This Row],[condition]],Lookups!$H$17:$J$24,3,FALSE),0)</f>
        <v>22342</v>
      </c>
      <c r="BL1248" s="6">
        <f>Grandview_Inventory[[#This Row],[Eff_Age]]*Lookups!$B$14</f>
        <v>-11719.163399999999</v>
      </c>
      <c r="BM1248" s="6">
        <f>Grandview_Inventory[[#This Row],[living_area]]*Lookups!$B$15</f>
        <v>58575.620967000003</v>
      </c>
      <c r="BN1248" s="6">
        <f>Grandview_Inventory[[#This Row],[Fin BSMT]]*Lookups!$B$16</f>
        <v>0</v>
      </c>
      <c r="BO1248" s="6">
        <f>(Grandview_Inventory[[#This Row],[att_gar]]+Grandview_Inventory[[#This Row],[bltin_gar]])*Lookups!$B$17</f>
        <v>0</v>
      </c>
      <c r="BP1248" s="6">
        <f>Grandview_Inventory[[#This Row],[Plumbing Fixtures]]*Lookups!$B$18</f>
        <v>10052.209000000001</v>
      </c>
      <c r="BQ1248" s="6">
        <f>Grandview_Inventory[[#This Row],[detatched_value]]*Lookups!$B$19</f>
        <v>1270.2076500000001</v>
      </c>
      <c r="BR1248" s="6">
        <f>SUM(Grandview_Inventory[[#This Row],[Intercept]:[det_value]])*Grandview_Inventory[[#This Row],[res_pct]]</f>
        <v>247087.82421700002</v>
      </c>
      <c r="BS1248" s="6">
        <f>Grandview_Inventory[[#This Row],[land_value]]</f>
        <v>41219.217601622076</v>
      </c>
      <c r="BT1248" s="4">
        <f>_xlfn.IFNA(VLOOKUP(Grandview_Inventory[[#This Row],[quality]],Lookups!$A$26:$C$33,3,FALSE),1)</f>
        <v>0.98079741117310582</v>
      </c>
      <c r="BU1248" s="4">
        <f>_xlfn.IFNA(VLOOKUP(Grandview_Inventory[[#This Row],[condition]],Lookups!$A$37:$C$44,3,FALSE),1)</f>
        <v>0.97383723671140243</v>
      </c>
      <c r="BV1248" s="4">
        <f>IF(Grandview_Inventory[[#This Row],[bldg_style]]="",1,_xlfn.IFNA(VLOOKUP(Grandview_Inventory[[#This Row],[decade]],Lookups!$F$29:$H$43,3,FALSE),1))</f>
        <v>0.99472141305414818</v>
      </c>
      <c r="BW1248" s="4">
        <f>_xlfn.IFNA(VLOOKUP(Grandview_Inventory[[#This Row],[living_area_range]],Lookups!$F$47:$H$56,3,FALSE),1)</f>
        <v>0.94306777142782894</v>
      </c>
      <c r="BX1248" s="4">
        <f>AVERAGE(Grandview_Inventory[[#This Row],[qual_adj]:[size_adj]])</f>
        <v>0.97310595809162137</v>
      </c>
      <c r="BY1248" s="6">
        <f>IF(Grandview_Inventory[[#This Row],[pre_res]]&lt;0,0,Grandview_Inventory[[#This Row],[pre_res]]*Grandview_Inventory[[#This Row],[overall_adj]])</f>
        <v>240442.63391745792</v>
      </c>
      <c r="BZ1248" s="6">
        <f>(Grandview_Inventory[[#This Row],[sum_land]]-IF(Grandview_Inventory[[#This Row],[no_utilities]]=1,12000,0))/IF(Grandview_Inventory[[#This Row],[unbuildable]]=1,2,1)</f>
        <v>41219.217601622076</v>
      </c>
      <c r="CA124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8">
        <f>ROUND(Grandview_Inventory[[#This Row],[det_value]]*Lookups!$M$28,-2)</f>
        <v>1200</v>
      </c>
      <c r="CC1248">
        <f>IF(ROUND(Grandview_Inventory[[#This Row],[adj_res]]*Lookups!$M$28,-2)&lt;Grandview_Inventory[[#This Row],[min_res]],Grandview_Inventory[[#This Row],[min_res]],ROUND(Grandview_Inventory[[#This Row],[adj_res]]*Lookups!$M$28,-2))</f>
        <v>228400</v>
      </c>
      <c r="CD1248">
        <f>Grandview_Inventory[[#This Row],[final_det]]+Grandview_Inventory[[#This Row],[final_res]]</f>
        <v>229600</v>
      </c>
      <c r="CE1248">
        <f>Grandview_Inventory[[#This Row],[final_land]]+Grandview_Inventory[[#This Row],[final_imp]]+Grandview_Inventory[[#This Row],[crop_value]]</f>
        <v>268800</v>
      </c>
      <c r="CG1248" t="str">
        <f t="shared" si="19"/>
        <v>update valuation set market_land =39200, market_bldg=229600, market_total =268800, market_mdno =401, market_date ='9/10/2023' where link_id = (select link_id from parcel where parcel_year = '2024' and parcel_id = '23092311482');</v>
      </c>
    </row>
    <row r="1249" spans="1:85" x14ac:dyDescent="0.25">
      <c r="A1249">
        <v>23092311483</v>
      </c>
      <c r="B1249">
        <v>0.12</v>
      </c>
      <c r="C1249">
        <v>5293</v>
      </c>
      <c r="D1249" t="s">
        <v>129</v>
      </c>
      <c r="E1249" t="s">
        <v>53</v>
      </c>
      <c r="F1249" t="s">
        <v>53</v>
      </c>
      <c r="G1249">
        <v>4</v>
      </c>
      <c r="H1249" t="s">
        <v>54</v>
      </c>
      <c r="I1249">
        <v>155200</v>
      </c>
      <c r="J1249">
        <v>38400</v>
      </c>
      <c r="K1249">
        <v>0.12</v>
      </c>
      <c r="L124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49">
        <v>0</v>
      </c>
      <c r="N1249">
        <v>0</v>
      </c>
      <c r="O1249">
        <v>0</v>
      </c>
      <c r="P1249">
        <v>13398.7528</v>
      </c>
      <c r="Q1249">
        <v>63903</v>
      </c>
      <c r="R1249">
        <f>(Grandview_Inventory[[#This Row],[ln_acres]]*Grandview_Inventory[[#This Row],[coeff]])+Grandview_Inventory[[#This Row],[const]]</f>
        <v>35494.113007601132</v>
      </c>
      <c r="S1249" t="s">
        <v>68</v>
      </c>
      <c r="T1249">
        <v>1</v>
      </c>
      <c r="U1249" t="s">
        <v>70</v>
      </c>
      <c r="V1249" t="s">
        <v>67</v>
      </c>
      <c r="W1249">
        <v>0</v>
      </c>
      <c r="X1249">
        <v>0</v>
      </c>
      <c r="Y1249">
        <v>49</v>
      </c>
      <c r="Z1249">
        <v>65</v>
      </c>
      <c r="AA1249">
        <v>70</v>
      </c>
      <c r="AB1249">
        <v>1000</v>
      </c>
      <c r="AC1249">
        <v>704</v>
      </c>
      <c r="AD1249">
        <v>704</v>
      </c>
      <c r="AE1249">
        <v>0</v>
      </c>
      <c r="AF1249">
        <v>0</v>
      </c>
      <c r="AG1249">
        <v>0</v>
      </c>
      <c r="AH1249">
        <v>288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72</v>
      </c>
      <c r="AO1249">
        <v>0</v>
      </c>
      <c r="AP1249">
        <v>5</v>
      </c>
      <c r="AQ1249">
        <v>0</v>
      </c>
      <c r="AR1249">
        <v>0</v>
      </c>
      <c r="AS1249" t="s">
        <v>58</v>
      </c>
      <c r="AT1249">
        <v>1</v>
      </c>
      <c r="AU1249" t="s">
        <v>63</v>
      </c>
      <c r="AV1249" t="s">
        <v>64</v>
      </c>
      <c r="AW1249">
        <v>1</v>
      </c>
      <c r="AX1249">
        <v>2</v>
      </c>
      <c r="AY1249">
        <v>0</v>
      </c>
      <c r="AZ1249">
        <v>7200</v>
      </c>
      <c r="BA1249">
        <v>100</v>
      </c>
      <c r="BB1249">
        <v>100</v>
      </c>
      <c r="BC1249">
        <v>100</v>
      </c>
      <c r="BD1249">
        <v>100</v>
      </c>
      <c r="BE1249">
        <v>1</v>
      </c>
      <c r="BF1249">
        <v>15000</v>
      </c>
      <c r="BG1249">
        <v>1000</v>
      </c>
      <c r="BH1249" s="6">
        <f>Grandview_Inventory[[#This Row],[land_extract]]*Lookups!$B$3</f>
        <v>41219.217601622076</v>
      </c>
      <c r="BI1249" s="6">
        <f>IF(Grandview_Inventory[[#This Row],[bldg_style]]="",0,Lookups!$B$2)</f>
        <v>155833.95000000001</v>
      </c>
      <c r="BJ1249" s="6">
        <f>_xlfn.IFNA(VLOOKUP(Grandview_Inventory[[#This Row],[quality]],Lookups!$H$2:$J$14,3,FALSE),0)</f>
        <v>10733</v>
      </c>
      <c r="BK1249" s="6">
        <f>_xlfn.IFNA(VLOOKUP(Grandview_Inventory[[#This Row],[condition]],Lookups!$H$17:$J$24,3,FALSE),0)</f>
        <v>22342</v>
      </c>
      <c r="BL1249" s="6">
        <f>Grandview_Inventory[[#This Row],[Eff_Age]]*Lookups!$B$14</f>
        <v>-11719.163399999999</v>
      </c>
      <c r="BM1249" s="6">
        <f>Grandview_Inventory[[#This Row],[living_area]]*Lookups!$B$15</f>
        <v>43916.120512000001</v>
      </c>
      <c r="BN1249" s="6">
        <f>Grandview_Inventory[[#This Row],[Fin BSMT]]*Lookups!$B$16</f>
        <v>0</v>
      </c>
      <c r="BO1249" s="6">
        <f>(Grandview_Inventory[[#This Row],[att_gar]]+Grandview_Inventory[[#This Row],[bltin_gar]])*Lookups!$B$17</f>
        <v>0</v>
      </c>
      <c r="BP1249" s="6">
        <f>Grandview_Inventory[[#This Row],[Plumbing Fixtures]]*Lookups!$B$18</f>
        <v>10052.209000000001</v>
      </c>
      <c r="BQ1249" s="6">
        <f>Grandview_Inventory[[#This Row],[detatched_value]]*Lookups!$B$19</f>
        <v>6096.9967200000001</v>
      </c>
      <c r="BR1249" s="6">
        <f>SUM(Grandview_Inventory[[#This Row],[Intercept]:[det_value]])*Grandview_Inventory[[#This Row],[res_pct]]</f>
        <v>237255.11283200001</v>
      </c>
      <c r="BS1249" s="6">
        <f>Grandview_Inventory[[#This Row],[land_value]]</f>
        <v>41219.217601622076</v>
      </c>
      <c r="BT1249" s="4">
        <f>_xlfn.IFNA(VLOOKUP(Grandview_Inventory[[#This Row],[quality]],Lookups!$A$26:$C$33,3,FALSE),1)</f>
        <v>0.98079741117310582</v>
      </c>
      <c r="BU1249" s="4">
        <f>_xlfn.IFNA(VLOOKUP(Grandview_Inventory[[#This Row],[condition]],Lookups!$A$37:$C$44,3,FALSE),1)</f>
        <v>0.97383723671140243</v>
      </c>
      <c r="BV1249" s="4">
        <f>IF(Grandview_Inventory[[#This Row],[bldg_style]]="",1,_xlfn.IFNA(VLOOKUP(Grandview_Inventory[[#This Row],[decade]],Lookups!$F$29:$H$43,3,FALSE),1))</f>
        <v>0.99472141305414818</v>
      </c>
      <c r="BW1249" s="4">
        <f>_xlfn.IFNA(VLOOKUP(Grandview_Inventory[[#This Row],[living_area_range]],Lookups!$F$47:$H$56,3,FALSE),1)</f>
        <v>0.94306777142782894</v>
      </c>
      <c r="BX1249" s="4">
        <f>AVERAGE(Grandview_Inventory[[#This Row],[qual_adj]:[size_adj]])</f>
        <v>0.97310595809162137</v>
      </c>
      <c r="BY1249" s="6">
        <f>IF(Grandview_Inventory[[#This Row],[pre_res]]&lt;0,0,Grandview_Inventory[[#This Row],[pre_res]]*Grandview_Inventory[[#This Row],[overall_adj]])</f>
        <v>230874.36388451912</v>
      </c>
      <c r="BZ1249" s="6">
        <f>(Grandview_Inventory[[#This Row],[sum_land]]-IF(Grandview_Inventory[[#This Row],[no_utilities]]=1,12000,0))/IF(Grandview_Inventory[[#This Row],[unbuildable]]=1,2,1)</f>
        <v>41219.217601622076</v>
      </c>
      <c r="CA124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49">
        <f>ROUND(Grandview_Inventory[[#This Row],[det_value]]*Lookups!$M$28,-2)</f>
        <v>5800</v>
      </c>
      <c r="CC1249">
        <f>IF(ROUND(Grandview_Inventory[[#This Row],[adj_res]]*Lookups!$M$28,-2)&lt;Grandview_Inventory[[#This Row],[min_res]],Grandview_Inventory[[#This Row],[min_res]],ROUND(Grandview_Inventory[[#This Row],[adj_res]]*Lookups!$M$28,-2))</f>
        <v>219300</v>
      </c>
      <c r="CD1249">
        <f>Grandview_Inventory[[#This Row],[final_det]]+Grandview_Inventory[[#This Row],[final_res]]</f>
        <v>225100</v>
      </c>
      <c r="CE1249">
        <f>Grandview_Inventory[[#This Row],[final_land]]+Grandview_Inventory[[#This Row],[final_imp]]+Grandview_Inventory[[#This Row],[crop_value]]</f>
        <v>264300</v>
      </c>
      <c r="CG1249" t="str">
        <f t="shared" si="19"/>
        <v>update valuation set market_land =39200, market_bldg=225100, market_total =264300, market_mdno =401, market_date ='9/10/2023' where link_id = (select link_id from parcel where parcel_year = '2024' and parcel_id = '23092311483');</v>
      </c>
    </row>
    <row r="1250" spans="1:85" x14ac:dyDescent="0.25">
      <c r="A1250">
        <v>23092311484</v>
      </c>
      <c r="B1250">
        <v>0.12</v>
      </c>
      <c r="C1250">
        <v>5293</v>
      </c>
      <c r="D1250" t="s">
        <v>129</v>
      </c>
      <c r="E1250" t="s">
        <v>53</v>
      </c>
      <c r="F1250" t="s">
        <v>53</v>
      </c>
      <c r="G1250">
        <v>4</v>
      </c>
      <c r="H1250" t="s">
        <v>54</v>
      </c>
      <c r="I1250">
        <v>102500</v>
      </c>
      <c r="J1250">
        <v>38400</v>
      </c>
      <c r="K1250">
        <v>0.12</v>
      </c>
      <c r="L125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50">
        <v>0</v>
      </c>
      <c r="N1250">
        <v>0</v>
      </c>
      <c r="O1250">
        <v>0</v>
      </c>
      <c r="P1250">
        <v>13398.7528</v>
      </c>
      <c r="Q1250">
        <v>63903</v>
      </c>
      <c r="R1250">
        <f>(Grandview_Inventory[[#This Row],[ln_acres]]*Grandview_Inventory[[#This Row],[coeff]])+Grandview_Inventory[[#This Row],[const]]</f>
        <v>35494.113007601132</v>
      </c>
      <c r="S1250" t="s">
        <v>68</v>
      </c>
      <c r="T1250">
        <v>1</v>
      </c>
      <c r="U1250" t="s">
        <v>70</v>
      </c>
      <c r="V1250" t="s">
        <v>69</v>
      </c>
      <c r="W1250">
        <v>0</v>
      </c>
      <c r="X1250">
        <v>0</v>
      </c>
      <c r="Y1250">
        <v>49</v>
      </c>
      <c r="Z1250">
        <v>65</v>
      </c>
      <c r="AA1250">
        <v>70</v>
      </c>
      <c r="AB1250">
        <v>1000</v>
      </c>
      <c r="AC1250">
        <v>788</v>
      </c>
      <c r="AD1250">
        <v>788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96</v>
      </c>
      <c r="AN1250">
        <v>24</v>
      </c>
      <c r="AO1250">
        <v>96</v>
      </c>
      <c r="AP1250">
        <v>5</v>
      </c>
      <c r="AQ1250">
        <v>0</v>
      </c>
      <c r="AR1250">
        <v>0</v>
      </c>
      <c r="AS1250" t="s">
        <v>58</v>
      </c>
      <c r="AT1250">
        <v>1</v>
      </c>
      <c r="AU1250" t="s">
        <v>63</v>
      </c>
      <c r="AV1250" t="s">
        <v>81</v>
      </c>
      <c r="AW1250">
        <v>0</v>
      </c>
      <c r="AX1250">
        <v>2</v>
      </c>
      <c r="AY1250">
        <v>0</v>
      </c>
      <c r="AZ1250">
        <v>0</v>
      </c>
      <c r="BA1250">
        <v>100</v>
      </c>
      <c r="BB1250">
        <v>100</v>
      </c>
      <c r="BC1250">
        <v>100</v>
      </c>
      <c r="BD1250">
        <v>100</v>
      </c>
      <c r="BE1250">
        <v>1</v>
      </c>
      <c r="BF1250">
        <v>15000</v>
      </c>
      <c r="BG1250">
        <v>1000</v>
      </c>
      <c r="BH1250" s="6">
        <f>Grandview_Inventory[[#This Row],[land_extract]]*Lookups!$B$3</f>
        <v>41219.217601622076</v>
      </c>
      <c r="BI1250" s="6">
        <f>IF(Grandview_Inventory[[#This Row],[bldg_style]]="",0,Lookups!$B$2)</f>
        <v>155833.95000000001</v>
      </c>
      <c r="BJ1250" s="6">
        <f>_xlfn.IFNA(VLOOKUP(Grandview_Inventory[[#This Row],[quality]],Lookups!$H$2:$J$14,3,FALSE),0)</f>
        <v>10733</v>
      </c>
      <c r="BK1250" s="6">
        <f>_xlfn.IFNA(VLOOKUP(Grandview_Inventory[[#This Row],[condition]],Lookups!$H$17:$J$24,3,FALSE),0)</f>
        <v>-4503</v>
      </c>
      <c r="BL1250" s="6">
        <f>Grandview_Inventory[[#This Row],[Eff_Age]]*Lookups!$B$14</f>
        <v>-11719.163399999999</v>
      </c>
      <c r="BM1250" s="6">
        <f>Grandview_Inventory[[#This Row],[living_area]]*Lookups!$B$15</f>
        <v>49156.112163999998</v>
      </c>
      <c r="BN1250" s="6">
        <f>Grandview_Inventory[[#This Row],[Fin BSMT]]*Lookups!$B$16</f>
        <v>0</v>
      </c>
      <c r="BO1250" s="6">
        <f>(Grandview_Inventory[[#This Row],[att_gar]]+Grandview_Inventory[[#This Row],[bltin_gar]])*Lookups!$B$17</f>
        <v>0</v>
      </c>
      <c r="BP1250" s="6">
        <f>Grandview_Inventory[[#This Row],[Plumbing Fixtures]]*Lookups!$B$18</f>
        <v>10052.209000000001</v>
      </c>
      <c r="BQ1250" s="6">
        <f>Grandview_Inventory[[#This Row],[detatched_value]]*Lookups!$B$19</f>
        <v>0</v>
      </c>
      <c r="BR1250" s="6">
        <f>SUM(Grandview_Inventory[[#This Row],[Intercept]:[det_value]])*Grandview_Inventory[[#This Row],[res_pct]]</f>
        <v>209553.10776400001</v>
      </c>
      <c r="BS1250" s="6">
        <f>Grandview_Inventory[[#This Row],[land_value]]</f>
        <v>41219.217601622076</v>
      </c>
      <c r="BT1250" s="4">
        <f>_xlfn.IFNA(VLOOKUP(Grandview_Inventory[[#This Row],[quality]],Lookups!$A$26:$C$33,3,FALSE),1)</f>
        <v>0.98079741117310582</v>
      </c>
      <c r="BU1250" s="4">
        <f>_xlfn.IFNA(VLOOKUP(Grandview_Inventory[[#This Row],[condition]],Lookups!$A$37:$C$44,3,FALSE),1)</f>
        <v>0.96469275950863709</v>
      </c>
      <c r="BV1250" s="4">
        <f>IF(Grandview_Inventory[[#This Row],[bldg_style]]="",1,_xlfn.IFNA(VLOOKUP(Grandview_Inventory[[#This Row],[decade]],Lookups!$F$29:$H$43,3,FALSE),1))</f>
        <v>0.99472141305414818</v>
      </c>
      <c r="BW1250" s="4">
        <f>_xlfn.IFNA(VLOOKUP(Grandview_Inventory[[#This Row],[living_area_range]],Lookups!$F$47:$H$56,3,FALSE),1)</f>
        <v>0.94306777142782894</v>
      </c>
      <c r="BX1250" s="4">
        <f>AVERAGE(Grandview_Inventory[[#This Row],[qual_adj]:[size_adj]])</f>
        <v>0.97081983879093003</v>
      </c>
      <c r="BY1250" s="6">
        <f>IF(Grandview_Inventory[[#This Row],[pre_res]]&lt;0,0,Grandview_Inventory[[#This Row],[pre_res]]*Grandview_Inventory[[#This Row],[overall_adj]])</f>
        <v>203438.31429758488</v>
      </c>
      <c r="BZ1250" s="6">
        <f>(Grandview_Inventory[[#This Row],[sum_land]]-IF(Grandview_Inventory[[#This Row],[no_utilities]]=1,12000,0))/IF(Grandview_Inventory[[#This Row],[unbuildable]]=1,2,1)</f>
        <v>41219.217601622076</v>
      </c>
      <c r="CA125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50">
        <f>ROUND(Grandview_Inventory[[#This Row],[det_value]]*Lookups!$M$28,-2)</f>
        <v>0</v>
      </c>
      <c r="CC1250">
        <f>IF(ROUND(Grandview_Inventory[[#This Row],[adj_res]]*Lookups!$M$28,-2)&lt;Grandview_Inventory[[#This Row],[min_res]],Grandview_Inventory[[#This Row],[min_res]],ROUND(Grandview_Inventory[[#This Row],[adj_res]]*Lookups!$M$28,-2))</f>
        <v>193300</v>
      </c>
      <c r="CD1250">
        <f>Grandview_Inventory[[#This Row],[final_det]]+Grandview_Inventory[[#This Row],[final_res]]</f>
        <v>193300</v>
      </c>
      <c r="CE1250">
        <f>Grandview_Inventory[[#This Row],[final_land]]+Grandview_Inventory[[#This Row],[final_imp]]+Grandview_Inventory[[#This Row],[crop_value]]</f>
        <v>232500</v>
      </c>
      <c r="CG1250" t="str">
        <f t="shared" si="19"/>
        <v>update valuation set market_land =39200, market_bldg=193300, market_total =232500, market_mdno =401, market_date ='9/10/2023' where link_id = (select link_id from parcel where parcel_year = '2024' and parcel_id = '23092311484');</v>
      </c>
    </row>
    <row r="1251" spans="1:85" x14ac:dyDescent="0.25">
      <c r="A1251">
        <v>23092311485</v>
      </c>
      <c r="B1251">
        <v>0.12</v>
      </c>
      <c r="C1251">
        <v>5293</v>
      </c>
      <c r="D1251" t="s">
        <v>129</v>
      </c>
      <c r="E1251" t="s">
        <v>53</v>
      </c>
      <c r="F1251" t="s">
        <v>53</v>
      </c>
      <c r="G1251">
        <v>4</v>
      </c>
      <c r="H1251" t="s">
        <v>54</v>
      </c>
      <c r="I1251">
        <v>101000</v>
      </c>
      <c r="J1251">
        <v>38400</v>
      </c>
      <c r="K1251">
        <v>0.12</v>
      </c>
      <c r="L1251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51">
        <v>0</v>
      </c>
      <c r="N1251">
        <v>0</v>
      </c>
      <c r="O1251">
        <v>0</v>
      </c>
      <c r="P1251">
        <v>13398.7528</v>
      </c>
      <c r="Q1251">
        <v>63903</v>
      </c>
      <c r="R1251">
        <f>(Grandview_Inventory[[#This Row],[ln_acres]]*Grandview_Inventory[[#This Row],[coeff]])+Grandview_Inventory[[#This Row],[const]]</f>
        <v>35494.113007601132</v>
      </c>
      <c r="S1251" t="s">
        <v>68</v>
      </c>
      <c r="T1251">
        <v>1</v>
      </c>
      <c r="U1251" t="s">
        <v>70</v>
      </c>
      <c r="V1251" t="s">
        <v>69</v>
      </c>
      <c r="W1251">
        <v>0</v>
      </c>
      <c r="X1251">
        <v>0</v>
      </c>
      <c r="Y1251">
        <v>49</v>
      </c>
      <c r="Z1251">
        <v>65</v>
      </c>
      <c r="AA1251">
        <v>70</v>
      </c>
      <c r="AB1251">
        <v>1000</v>
      </c>
      <c r="AC1251">
        <v>704</v>
      </c>
      <c r="AD1251">
        <v>704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160</v>
      </c>
      <c r="AN1251">
        <v>0</v>
      </c>
      <c r="AO1251">
        <v>160</v>
      </c>
      <c r="AP1251">
        <v>5</v>
      </c>
      <c r="AQ1251">
        <v>0</v>
      </c>
      <c r="AR1251">
        <v>0</v>
      </c>
      <c r="AS1251" t="s">
        <v>58</v>
      </c>
      <c r="AT1251">
        <v>1</v>
      </c>
      <c r="AU1251" t="s">
        <v>63</v>
      </c>
      <c r="AV1251" t="s">
        <v>64</v>
      </c>
      <c r="AW1251">
        <v>0</v>
      </c>
      <c r="AX1251">
        <v>2</v>
      </c>
      <c r="AY1251">
        <v>0</v>
      </c>
      <c r="AZ1251">
        <v>0</v>
      </c>
      <c r="BA1251">
        <v>100</v>
      </c>
      <c r="BB1251">
        <v>100</v>
      </c>
      <c r="BC1251">
        <v>100</v>
      </c>
      <c r="BD1251">
        <v>100</v>
      </c>
      <c r="BE1251">
        <v>1</v>
      </c>
      <c r="BF1251">
        <v>15000</v>
      </c>
      <c r="BG1251">
        <v>1000</v>
      </c>
      <c r="BH1251" s="6">
        <f>Grandview_Inventory[[#This Row],[land_extract]]*Lookups!$B$3</f>
        <v>41219.217601622076</v>
      </c>
      <c r="BI1251" s="6">
        <f>IF(Grandview_Inventory[[#This Row],[bldg_style]]="",0,Lookups!$B$2)</f>
        <v>155833.95000000001</v>
      </c>
      <c r="BJ1251" s="6">
        <f>_xlfn.IFNA(VLOOKUP(Grandview_Inventory[[#This Row],[quality]],Lookups!$H$2:$J$14,3,FALSE),0)</f>
        <v>10733</v>
      </c>
      <c r="BK1251" s="6">
        <f>_xlfn.IFNA(VLOOKUP(Grandview_Inventory[[#This Row],[condition]],Lookups!$H$17:$J$24,3,FALSE),0)</f>
        <v>-4503</v>
      </c>
      <c r="BL1251" s="6">
        <f>Grandview_Inventory[[#This Row],[Eff_Age]]*Lookups!$B$14</f>
        <v>-11719.163399999999</v>
      </c>
      <c r="BM1251" s="6">
        <f>Grandview_Inventory[[#This Row],[living_area]]*Lookups!$B$15</f>
        <v>43916.120512000001</v>
      </c>
      <c r="BN1251" s="6">
        <f>Grandview_Inventory[[#This Row],[Fin BSMT]]*Lookups!$B$16</f>
        <v>0</v>
      </c>
      <c r="BO1251" s="6">
        <f>(Grandview_Inventory[[#This Row],[att_gar]]+Grandview_Inventory[[#This Row],[bltin_gar]])*Lookups!$B$17</f>
        <v>0</v>
      </c>
      <c r="BP1251" s="6">
        <f>Grandview_Inventory[[#This Row],[Plumbing Fixtures]]*Lookups!$B$18</f>
        <v>10052.209000000001</v>
      </c>
      <c r="BQ1251" s="6">
        <f>Grandview_Inventory[[#This Row],[detatched_value]]*Lookups!$B$19</f>
        <v>0</v>
      </c>
      <c r="BR1251" s="6">
        <f>SUM(Grandview_Inventory[[#This Row],[Intercept]:[det_value]])*Grandview_Inventory[[#This Row],[res_pct]]</f>
        <v>204313.11611200002</v>
      </c>
      <c r="BS1251" s="6">
        <f>Grandview_Inventory[[#This Row],[land_value]]</f>
        <v>41219.217601622076</v>
      </c>
      <c r="BT1251" s="4">
        <f>_xlfn.IFNA(VLOOKUP(Grandview_Inventory[[#This Row],[quality]],Lookups!$A$26:$C$33,3,FALSE),1)</f>
        <v>0.98079741117310582</v>
      </c>
      <c r="BU1251" s="4">
        <f>_xlfn.IFNA(VLOOKUP(Grandview_Inventory[[#This Row],[condition]],Lookups!$A$37:$C$44,3,FALSE),1)</f>
        <v>0.96469275950863709</v>
      </c>
      <c r="BV1251" s="4">
        <f>IF(Grandview_Inventory[[#This Row],[bldg_style]]="",1,_xlfn.IFNA(VLOOKUP(Grandview_Inventory[[#This Row],[decade]],Lookups!$F$29:$H$43,3,FALSE),1))</f>
        <v>0.99472141305414818</v>
      </c>
      <c r="BW1251" s="4">
        <f>_xlfn.IFNA(VLOOKUP(Grandview_Inventory[[#This Row],[living_area_range]],Lookups!$F$47:$H$56,3,FALSE),1)</f>
        <v>0.94306777142782894</v>
      </c>
      <c r="BX1251" s="4">
        <f>AVERAGE(Grandview_Inventory[[#This Row],[qual_adj]:[size_adj]])</f>
        <v>0.97081983879093003</v>
      </c>
      <c r="BY1251" s="6">
        <f>IF(Grandview_Inventory[[#This Row],[pre_res]]&lt;0,0,Grandview_Inventory[[#This Row],[pre_res]]*Grandview_Inventory[[#This Row],[overall_adj]])</f>
        <v>198351.22644672444</v>
      </c>
      <c r="BZ1251" s="6">
        <f>(Grandview_Inventory[[#This Row],[sum_land]]-IF(Grandview_Inventory[[#This Row],[no_utilities]]=1,12000,0))/IF(Grandview_Inventory[[#This Row],[unbuildable]]=1,2,1)</f>
        <v>41219.217601622076</v>
      </c>
      <c r="CA1251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51">
        <f>ROUND(Grandview_Inventory[[#This Row],[det_value]]*Lookups!$M$28,-2)</f>
        <v>0</v>
      </c>
      <c r="CC1251">
        <f>IF(ROUND(Grandview_Inventory[[#This Row],[adj_res]]*Lookups!$M$28,-2)&lt;Grandview_Inventory[[#This Row],[min_res]],Grandview_Inventory[[#This Row],[min_res]],ROUND(Grandview_Inventory[[#This Row],[adj_res]]*Lookups!$M$28,-2))</f>
        <v>188400</v>
      </c>
      <c r="CD1251">
        <f>Grandview_Inventory[[#This Row],[final_det]]+Grandview_Inventory[[#This Row],[final_res]]</f>
        <v>188400</v>
      </c>
      <c r="CE1251">
        <f>Grandview_Inventory[[#This Row],[final_land]]+Grandview_Inventory[[#This Row],[final_imp]]+Grandview_Inventory[[#This Row],[crop_value]]</f>
        <v>227600</v>
      </c>
      <c r="CG1251" t="str">
        <f t="shared" si="19"/>
        <v>update valuation set market_land =39200, market_bldg=188400, market_total =227600, market_mdno =401, market_date ='9/10/2023' where link_id = (select link_id from parcel where parcel_year = '2024' and parcel_id = '23092311485');</v>
      </c>
    </row>
    <row r="1252" spans="1:85" x14ac:dyDescent="0.25">
      <c r="A1252">
        <v>23092311486</v>
      </c>
      <c r="B1252">
        <v>0.12</v>
      </c>
      <c r="C1252">
        <v>5293</v>
      </c>
      <c r="D1252" t="s">
        <v>129</v>
      </c>
      <c r="E1252" t="s">
        <v>53</v>
      </c>
      <c r="F1252" t="s">
        <v>53</v>
      </c>
      <c r="G1252">
        <v>4</v>
      </c>
      <c r="H1252" t="s">
        <v>54</v>
      </c>
      <c r="I1252">
        <v>149300</v>
      </c>
      <c r="J1252">
        <v>38400</v>
      </c>
      <c r="K1252">
        <v>0.12</v>
      </c>
      <c r="L125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52">
        <v>0</v>
      </c>
      <c r="N1252">
        <v>0</v>
      </c>
      <c r="O1252">
        <v>0</v>
      </c>
      <c r="P1252">
        <v>13398.7528</v>
      </c>
      <c r="Q1252">
        <v>63903</v>
      </c>
      <c r="R1252">
        <f>(Grandview_Inventory[[#This Row],[ln_acres]]*Grandview_Inventory[[#This Row],[coeff]])+Grandview_Inventory[[#This Row],[const]]</f>
        <v>35494.113007601132</v>
      </c>
      <c r="S1252" t="s">
        <v>61</v>
      </c>
      <c r="T1252">
        <v>1</v>
      </c>
      <c r="U1252" t="s">
        <v>70</v>
      </c>
      <c r="V1252" t="s">
        <v>69</v>
      </c>
      <c r="W1252">
        <v>0</v>
      </c>
      <c r="X1252">
        <v>0</v>
      </c>
      <c r="Y1252">
        <v>49</v>
      </c>
      <c r="Z1252">
        <v>65</v>
      </c>
      <c r="AA1252">
        <v>70</v>
      </c>
      <c r="AB1252">
        <v>1500</v>
      </c>
      <c r="AC1252">
        <v>1194</v>
      </c>
      <c r="AD1252">
        <v>1194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224</v>
      </c>
      <c r="AL1252">
        <v>0</v>
      </c>
      <c r="AM1252">
        <v>220</v>
      </c>
      <c r="AN1252">
        <v>25</v>
      </c>
      <c r="AO1252">
        <v>220</v>
      </c>
      <c r="AP1252">
        <v>5</v>
      </c>
      <c r="AQ1252">
        <v>0</v>
      </c>
      <c r="AR1252">
        <v>0</v>
      </c>
      <c r="AS1252" t="s">
        <v>71</v>
      </c>
      <c r="AT1252">
        <v>1</v>
      </c>
      <c r="AU1252" t="s">
        <v>63</v>
      </c>
      <c r="AV1252" t="s">
        <v>64</v>
      </c>
      <c r="AW1252">
        <v>0</v>
      </c>
      <c r="AX1252">
        <v>2</v>
      </c>
      <c r="AY1252">
        <v>0</v>
      </c>
      <c r="AZ1252">
        <v>6400</v>
      </c>
      <c r="BA1252">
        <v>100</v>
      </c>
      <c r="BB1252">
        <v>100</v>
      </c>
      <c r="BC1252">
        <v>100</v>
      </c>
      <c r="BD1252">
        <v>100</v>
      </c>
      <c r="BE1252">
        <v>1</v>
      </c>
      <c r="BF1252">
        <v>15000</v>
      </c>
      <c r="BG1252">
        <v>1000</v>
      </c>
      <c r="BH1252" s="6">
        <f>Grandview_Inventory[[#This Row],[land_extract]]*Lookups!$B$3</f>
        <v>41219.217601622076</v>
      </c>
      <c r="BI1252" s="6">
        <f>IF(Grandview_Inventory[[#This Row],[bldg_style]]="",0,Lookups!$B$2)</f>
        <v>155833.95000000001</v>
      </c>
      <c r="BJ1252" s="6">
        <f>_xlfn.IFNA(VLOOKUP(Grandview_Inventory[[#This Row],[quality]],Lookups!$H$2:$J$14,3,FALSE),0)</f>
        <v>10733</v>
      </c>
      <c r="BK1252" s="6">
        <f>_xlfn.IFNA(VLOOKUP(Grandview_Inventory[[#This Row],[condition]],Lookups!$H$17:$J$24,3,FALSE),0)</f>
        <v>-4503</v>
      </c>
      <c r="BL1252" s="6">
        <f>Grandview_Inventory[[#This Row],[Eff_Age]]*Lookups!$B$14</f>
        <v>-11719.163399999999</v>
      </c>
      <c r="BM1252" s="6">
        <f>Grandview_Inventory[[#This Row],[living_area]]*Lookups!$B$15</f>
        <v>74482.738482000001</v>
      </c>
      <c r="BN1252" s="6">
        <f>Grandview_Inventory[[#This Row],[Fin BSMT]]*Lookups!$B$16</f>
        <v>0</v>
      </c>
      <c r="BO1252" s="6">
        <f>(Grandview_Inventory[[#This Row],[att_gar]]+Grandview_Inventory[[#This Row],[bltin_gar]])*Lookups!$B$17</f>
        <v>0</v>
      </c>
      <c r="BP1252" s="6">
        <f>Grandview_Inventory[[#This Row],[Plumbing Fixtures]]*Lookups!$B$18</f>
        <v>10052.209000000001</v>
      </c>
      <c r="BQ1252" s="6">
        <f>Grandview_Inventory[[#This Row],[detatched_value]]*Lookups!$B$19</f>
        <v>5419.5526399999999</v>
      </c>
      <c r="BR1252" s="6">
        <f>SUM(Grandview_Inventory[[#This Row],[Intercept]:[det_value]])*Grandview_Inventory[[#This Row],[res_pct]]</f>
        <v>240299.28672200002</v>
      </c>
      <c r="BS1252" s="6">
        <f>Grandview_Inventory[[#This Row],[land_value]]</f>
        <v>41219.217601622076</v>
      </c>
      <c r="BT1252" s="4">
        <f>_xlfn.IFNA(VLOOKUP(Grandview_Inventory[[#This Row],[quality]],Lookups!$A$26:$C$33,3,FALSE),1)</f>
        <v>0.98079741117310582</v>
      </c>
      <c r="BU1252" s="4">
        <f>_xlfn.IFNA(VLOOKUP(Grandview_Inventory[[#This Row],[condition]],Lookups!$A$37:$C$44,3,FALSE),1)</f>
        <v>0.96469275950863709</v>
      </c>
      <c r="BV1252" s="4">
        <f>IF(Grandview_Inventory[[#This Row],[bldg_style]]="",1,_xlfn.IFNA(VLOOKUP(Grandview_Inventory[[#This Row],[decade]],Lookups!$F$29:$H$43,3,FALSE),1))</f>
        <v>0.99472141305414818</v>
      </c>
      <c r="BW1252" s="4">
        <f>_xlfn.IFNA(VLOOKUP(Grandview_Inventory[[#This Row],[living_area_range]],Lookups!$F$47:$H$56,3,FALSE),1)</f>
        <v>0.96135087979789358</v>
      </c>
      <c r="BX1252" s="4">
        <f>AVERAGE(Grandview_Inventory[[#This Row],[qual_adj]:[size_adj]])</f>
        <v>0.97539061588344622</v>
      </c>
      <c r="BY1252" s="6">
        <f>IF(Grandview_Inventory[[#This Row],[pre_res]]&lt;0,0,Grandview_Inventory[[#This Row],[pre_res]]*Grandview_Inventory[[#This Row],[overall_adj]])</f>
        <v>234385.66927212442</v>
      </c>
      <c r="BZ1252" s="6">
        <f>(Grandview_Inventory[[#This Row],[sum_land]]-IF(Grandview_Inventory[[#This Row],[no_utilities]]=1,12000,0))/IF(Grandview_Inventory[[#This Row],[unbuildable]]=1,2,1)</f>
        <v>41219.217601622076</v>
      </c>
      <c r="CA125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52">
        <f>ROUND(Grandview_Inventory[[#This Row],[det_value]]*Lookups!$M$28,-2)</f>
        <v>5100</v>
      </c>
      <c r="CC1252">
        <f>IF(ROUND(Grandview_Inventory[[#This Row],[adj_res]]*Lookups!$M$28,-2)&lt;Grandview_Inventory[[#This Row],[min_res]],Grandview_Inventory[[#This Row],[min_res]],ROUND(Grandview_Inventory[[#This Row],[adj_res]]*Lookups!$M$28,-2))</f>
        <v>222700</v>
      </c>
      <c r="CD1252">
        <f>Grandview_Inventory[[#This Row],[final_det]]+Grandview_Inventory[[#This Row],[final_res]]</f>
        <v>227800</v>
      </c>
      <c r="CE1252">
        <f>Grandview_Inventory[[#This Row],[final_land]]+Grandview_Inventory[[#This Row],[final_imp]]+Grandview_Inventory[[#This Row],[crop_value]]</f>
        <v>267000</v>
      </c>
      <c r="CG1252" t="str">
        <f t="shared" si="19"/>
        <v>update valuation set market_land =39200, market_bldg=227800, market_total =267000, market_mdno =401, market_date ='9/10/2023' where link_id = (select link_id from parcel where parcel_year = '2024' and parcel_id = '23092311486');</v>
      </c>
    </row>
    <row r="1253" spans="1:85" x14ac:dyDescent="0.25">
      <c r="A1253">
        <v>23092311487</v>
      </c>
      <c r="B1253">
        <v>0.12</v>
      </c>
      <c r="C1253">
        <v>5293</v>
      </c>
      <c r="D1253" t="s">
        <v>129</v>
      </c>
      <c r="E1253" t="s">
        <v>53</v>
      </c>
      <c r="F1253" t="s">
        <v>53</v>
      </c>
      <c r="G1253">
        <v>4</v>
      </c>
      <c r="H1253" t="s">
        <v>54</v>
      </c>
      <c r="I1253">
        <v>118400</v>
      </c>
      <c r="J1253">
        <v>38400</v>
      </c>
      <c r="K1253">
        <v>0.12</v>
      </c>
      <c r="L1253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53">
        <v>0</v>
      </c>
      <c r="N1253">
        <v>0</v>
      </c>
      <c r="O1253">
        <v>0</v>
      </c>
      <c r="P1253">
        <v>13398.7528</v>
      </c>
      <c r="Q1253">
        <v>63903</v>
      </c>
      <c r="R1253">
        <f>(Grandview_Inventory[[#This Row],[ln_acres]]*Grandview_Inventory[[#This Row],[coeff]])+Grandview_Inventory[[#This Row],[const]]</f>
        <v>35494.113007601132</v>
      </c>
      <c r="S1253" t="s">
        <v>68</v>
      </c>
      <c r="T1253">
        <v>1</v>
      </c>
      <c r="U1253" t="s">
        <v>70</v>
      </c>
      <c r="V1253" t="s">
        <v>69</v>
      </c>
      <c r="W1253">
        <v>0</v>
      </c>
      <c r="X1253">
        <v>0</v>
      </c>
      <c r="Y1253">
        <v>49</v>
      </c>
      <c r="Z1253">
        <v>65</v>
      </c>
      <c r="AA1253">
        <v>70</v>
      </c>
      <c r="AB1253">
        <v>1000</v>
      </c>
      <c r="AC1253">
        <v>928</v>
      </c>
      <c r="AD1253">
        <v>928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216</v>
      </c>
      <c r="AL1253">
        <v>0</v>
      </c>
      <c r="AM1253">
        <v>84</v>
      </c>
      <c r="AN1253">
        <v>24</v>
      </c>
      <c r="AO1253">
        <v>84</v>
      </c>
      <c r="AP1253">
        <v>5</v>
      </c>
      <c r="AQ1253">
        <v>0</v>
      </c>
      <c r="AR1253">
        <v>0</v>
      </c>
      <c r="AS1253" t="s">
        <v>58</v>
      </c>
      <c r="AT1253">
        <v>1</v>
      </c>
      <c r="AU1253" t="s">
        <v>63</v>
      </c>
      <c r="AV1253" t="s">
        <v>64</v>
      </c>
      <c r="AW1253">
        <v>0</v>
      </c>
      <c r="AX1253">
        <v>2</v>
      </c>
      <c r="AY1253">
        <v>0</v>
      </c>
      <c r="AZ1253">
        <v>1300</v>
      </c>
      <c r="BA1253">
        <v>100</v>
      </c>
      <c r="BB1253">
        <v>100</v>
      </c>
      <c r="BC1253">
        <v>100</v>
      </c>
      <c r="BD1253">
        <v>100</v>
      </c>
      <c r="BE1253">
        <v>1</v>
      </c>
      <c r="BF1253">
        <v>15000</v>
      </c>
      <c r="BG1253">
        <v>1000</v>
      </c>
      <c r="BH1253" s="6">
        <f>Grandview_Inventory[[#This Row],[land_extract]]*Lookups!$B$3</f>
        <v>41219.217601622076</v>
      </c>
      <c r="BI1253" s="6">
        <f>IF(Grandview_Inventory[[#This Row],[bldg_style]]="",0,Lookups!$B$2)</f>
        <v>155833.95000000001</v>
      </c>
      <c r="BJ1253" s="6">
        <f>_xlfn.IFNA(VLOOKUP(Grandview_Inventory[[#This Row],[quality]],Lookups!$H$2:$J$14,3,FALSE),0)</f>
        <v>10733</v>
      </c>
      <c r="BK1253" s="6">
        <f>_xlfn.IFNA(VLOOKUP(Grandview_Inventory[[#This Row],[condition]],Lookups!$H$17:$J$24,3,FALSE),0)</f>
        <v>-4503</v>
      </c>
      <c r="BL1253" s="6">
        <f>Grandview_Inventory[[#This Row],[Eff_Age]]*Lookups!$B$14</f>
        <v>-11719.163399999999</v>
      </c>
      <c r="BM1253" s="6">
        <f>Grandview_Inventory[[#This Row],[living_area]]*Lookups!$B$15</f>
        <v>57889.431584000005</v>
      </c>
      <c r="BN1253" s="6">
        <f>Grandview_Inventory[[#This Row],[Fin BSMT]]*Lookups!$B$16</f>
        <v>0</v>
      </c>
      <c r="BO1253" s="6">
        <f>(Grandview_Inventory[[#This Row],[att_gar]]+Grandview_Inventory[[#This Row],[bltin_gar]])*Lookups!$B$17</f>
        <v>0</v>
      </c>
      <c r="BP1253" s="6">
        <f>Grandview_Inventory[[#This Row],[Plumbing Fixtures]]*Lookups!$B$18</f>
        <v>10052.209000000001</v>
      </c>
      <c r="BQ1253" s="6">
        <f>Grandview_Inventory[[#This Row],[detatched_value]]*Lookups!$B$19</f>
        <v>1100.84663</v>
      </c>
      <c r="BR1253" s="6">
        <f>SUM(Grandview_Inventory[[#This Row],[Intercept]:[det_value]])*Grandview_Inventory[[#This Row],[res_pct]]</f>
        <v>219387.27381400001</v>
      </c>
      <c r="BS1253" s="6">
        <f>Grandview_Inventory[[#This Row],[land_value]]</f>
        <v>41219.217601622076</v>
      </c>
      <c r="BT1253" s="4">
        <f>_xlfn.IFNA(VLOOKUP(Grandview_Inventory[[#This Row],[quality]],Lookups!$A$26:$C$33,3,FALSE),1)</f>
        <v>0.98079741117310582</v>
      </c>
      <c r="BU1253" s="4">
        <f>_xlfn.IFNA(VLOOKUP(Grandview_Inventory[[#This Row],[condition]],Lookups!$A$37:$C$44,3,FALSE),1)</f>
        <v>0.96469275950863709</v>
      </c>
      <c r="BV1253" s="4">
        <f>IF(Grandview_Inventory[[#This Row],[bldg_style]]="",1,_xlfn.IFNA(VLOOKUP(Grandview_Inventory[[#This Row],[decade]],Lookups!$F$29:$H$43,3,FALSE),1))</f>
        <v>0.99472141305414818</v>
      </c>
      <c r="BW1253" s="4">
        <f>_xlfn.IFNA(VLOOKUP(Grandview_Inventory[[#This Row],[living_area_range]],Lookups!$F$47:$H$56,3,FALSE),1)</f>
        <v>0.94306777142782894</v>
      </c>
      <c r="BX1253" s="4">
        <f>AVERAGE(Grandview_Inventory[[#This Row],[qual_adj]:[size_adj]])</f>
        <v>0.97081983879093003</v>
      </c>
      <c r="BY1253" s="6">
        <f>IF(Grandview_Inventory[[#This Row],[pre_res]]&lt;0,0,Grandview_Inventory[[#This Row],[pre_res]]*Grandview_Inventory[[#This Row],[overall_adj]])</f>
        <v>212985.51779688912</v>
      </c>
      <c r="BZ1253" s="6">
        <f>(Grandview_Inventory[[#This Row],[sum_land]]-IF(Grandview_Inventory[[#This Row],[no_utilities]]=1,12000,0))/IF(Grandview_Inventory[[#This Row],[unbuildable]]=1,2,1)</f>
        <v>41219.217601622076</v>
      </c>
      <c r="CA1253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53">
        <f>ROUND(Grandview_Inventory[[#This Row],[det_value]]*Lookups!$M$28,-2)</f>
        <v>1000</v>
      </c>
      <c r="CC1253">
        <f>IF(ROUND(Grandview_Inventory[[#This Row],[adj_res]]*Lookups!$M$28,-2)&lt;Grandview_Inventory[[#This Row],[min_res]],Grandview_Inventory[[#This Row],[min_res]],ROUND(Grandview_Inventory[[#This Row],[adj_res]]*Lookups!$M$28,-2))</f>
        <v>202300</v>
      </c>
      <c r="CD1253">
        <f>Grandview_Inventory[[#This Row],[final_det]]+Grandview_Inventory[[#This Row],[final_res]]</f>
        <v>203300</v>
      </c>
      <c r="CE1253">
        <f>Grandview_Inventory[[#This Row],[final_land]]+Grandview_Inventory[[#This Row],[final_imp]]+Grandview_Inventory[[#This Row],[crop_value]]</f>
        <v>242500</v>
      </c>
      <c r="CG1253" t="str">
        <f t="shared" si="19"/>
        <v>update valuation set market_land =39200, market_bldg=203300, market_total =242500, market_mdno =401, market_date ='9/10/2023' where link_id = (select link_id from parcel where parcel_year = '2024' and parcel_id = '23092311487');</v>
      </c>
    </row>
    <row r="1254" spans="1:85" x14ac:dyDescent="0.25">
      <c r="A1254">
        <v>23092311488</v>
      </c>
      <c r="B1254">
        <v>0.12</v>
      </c>
      <c r="C1254">
        <v>5295</v>
      </c>
      <c r="D1254" t="s">
        <v>129</v>
      </c>
      <c r="E1254" t="s">
        <v>53</v>
      </c>
      <c r="F1254" t="s">
        <v>53</v>
      </c>
      <c r="G1254">
        <v>4</v>
      </c>
      <c r="H1254" t="s">
        <v>54</v>
      </c>
      <c r="I1254">
        <v>139400</v>
      </c>
      <c r="J1254">
        <v>38400</v>
      </c>
      <c r="K1254">
        <v>0.12</v>
      </c>
      <c r="L125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54">
        <v>0</v>
      </c>
      <c r="N1254">
        <v>0</v>
      </c>
      <c r="O1254">
        <v>0</v>
      </c>
      <c r="P1254">
        <v>13398.7528</v>
      </c>
      <c r="Q1254">
        <v>63903</v>
      </c>
      <c r="R1254">
        <f>(Grandview_Inventory[[#This Row],[ln_acres]]*Grandview_Inventory[[#This Row],[coeff]])+Grandview_Inventory[[#This Row],[const]]</f>
        <v>35494.113007601132</v>
      </c>
      <c r="S1254" t="s">
        <v>68</v>
      </c>
      <c r="T1254">
        <v>1</v>
      </c>
      <c r="U1254" t="s">
        <v>70</v>
      </c>
      <c r="V1254" t="s">
        <v>78</v>
      </c>
      <c r="W1254">
        <v>0</v>
      </c>
      <c r="X1254">
        <v>0</v>
      </c>
      <c r="Y1254">
        <v>49</v>
      </c>
      <c r="Z1254">
        <v>65</v>
      </c>
      <c r="AA1254">
        <v>70</v>
      </c>
      <c r="AB1254">
        <v>1500</v>
      </c>
      <c r="AC1254">
        <v>1240</v>
      </c>
      <c r="AD1254">
        <v>1240</v>
      </c>
      <c r="AE1254">
        <v>0</v>
      </c>
      <c r="AF1254">
        <v>0</v>
      </c>
      <c r="AG1254">
        <v>0</v>
      </c>
      <c r="AH1254">
        <v>0</v>
      </c>
      <c r="AI1254">
        <v>629</v>
      </c>
      <c r="AJ1254">
        <v>0</v>
      </c>
      <c r="AK1254">
        <v>0</v>
      </c>
      <c r="AL1254">
        <v>0</v>
      </c>
      <c r="AM1254">
        <v>0</v>
      </c>
      <c r="AN1254">
        <v>24</v>
      </c>
      <c r="AO1254">
        <v>0</v>
      </c>
      <c r="AP1254">
        <v>5</v>
      </c>
      <c r="AQ1254">
        <v>0</v>
      </c>
      <c r="AR1254">
        <v>0</v>
      </c>
      <c r="AS1254" t="s">
        <v>58</v>
      </c>
      <c r="AT1254">
        <v>1</v>
      </c>
      <c r="AU1254" t="s">
        <v>63</v>
      </c>
      <c r="AV1254" t="s">
        <v>60</v>
      </c>
      <c r="AW1254">
        <v>0</v>
      </c>
      <c r="AX1254">
        <v>2</v>
      </c>
      <c r="AY1254">
        <v>0</v>
      </c>
      <c r="AZ1254">
        <v>0</v>
      </c>
      <c r="BA1254">
        <v>100</v>
      </c>
      <c r="BB1254">
        <v>100</v>
      </c>
      <c r="BC1254">
        <v>100</v>
      </c>
      <c r="BD1254">
        <v>100</v>
      </c>
      <c r="BE1254">
        <v>1</v>
      </c>
      <c r="BF1254">
        <v>15000</v>
      </c>
      <c r="BG1254">
        <v>1000</v>
      </c>
      <c r="BH1254" s="6">
        <f>Grandview_Inventory[[#This Row],[land_extract]]*Lookups!$B$3</f>
        <v>41219.217601622076</v>
      </c>
      <c r="BI1254" s="6">
        <f>IF(Grandview_Inventory[[#This Row],[bldg_style]]="",0,Lookups!$B$2)</f>
        <v>155833.95000000001</v>
      </c>
      <c r="BJ1254" s="6">
        <f>_xlfn.IFNA(VLOOKUP(Grandview_Inventory[[#This Row],[quality]],Lookups!$H$2:$J$14,3,FALSE),0)</f>
        <v>10733</v>
      </c>
      <c r="BK1254" s="6">
        <f>_xlfn.IFNA(VLOOKUP(Grandview_Inventory[[#This Row],[condition]],Lookups!$H$17:$J$24,3,FALSE),0)</f>
        <v>-45357</v>
      </c>
      <c r="BL1254" s="6">
        <f>Grandview_Inventory[[#This Row],[Eff_Age]]*Lookups!$B$14</f>
        <v>-11719.163399999999</v>
      </c>
      <c r="BM1254" s="6">
        <f>Grandview_Inventory[[#This Row],[living_area]]*Lookups!$B$15</f>
        <v>77352.257720000009</v>
      </c>
      <c r="BN1254" s="6">
        <f>Grandview_Inventory[[#This Row],[Fin BSMT]]*Lookups!$B$16</f>
        <v>0</v>
      </c>
      <c r="BO1254" s="6">
        <f>(Grandview_Inventory[[#This Row],[att_gar]]+Grandview_Inventory[[#This Row],[bltin_gar]])*Lookups!$B$17</f>
        <v>55050.354873000004</v>
      </c>
      <c r="BP1254" s="6">
        <f>Grandview_Inventory[[#This Row],[Plumbing Fixtures]]*Lookups!$B$18</f>
        <v>10052.209000000001</v>
      </c>
      <c r="BQ1254" s="6">
        <f>Grandview_Inventory[[#This Row],[detatched_value]]*Lookups!$B$19</f>
        <v>0</v>
      </c>
      <c r="BR1254" s="6">
        <f>SUM(Grandview_Inventory[[#This Row],[Intercept]:[det_value]])*Grandview_Inventory[[#This Row],[res_pct]]</f>
        <v>251945.60819300002</v>
      </c>
      <c r="BS1254" s="6">
        <f>Grandview_Inventory[[#This Row],[land_value]]</f>
        <v>41219.217601622076</v>
      </c>
      <c r="BT1254" s="4">
        <f>_xlfn.IFNA(VLOOKUP(Grandview_Inventory[[#This Row],[quality]],Lookups!$A$26:$C$33,3,FALSE),1)</f>
        <v>0.98079741117310582</v>
      </c>
      <c r="BU1254" s="4">
        <f>_xlfn.IFNA(VLOOKUP(Grandview_Inventory[[#This Row],[condition]],Lookups!$A$37:$C$44,3,FALSE),1)</f>
        <v>0.97161819570155394</v>
      </c>
      <c r="BV1254" s="4">
        <f>IF(Grandview_Inventory[[#This Row],[bldg_style]]="",1,_xlfn.IFNA(VLOOKUP(Grandview_Inventory[[#This Row],[decade]],Lookups!$F$29:$H$43,3,FALSE),1))</f>
        <v>0.99472141305414818</v>
      </c>
      <c r="BW1254" s="4">
        <f>_xlfn.IFNA(VLOOKUP(Grandview_Inventory[[#This Row],[living_area_range]],Lookups!$F$47:$H$56,3,FALSE),1)</f>
        <v>0.96135087979789358</v>
      </c>
      <c r="BX1254" s="4">
        <f>AVERAGE(Grandview_Inventory[[#This Row],[qual_adj]:[size_adj]])</f>
        <v>0.9771219749316753</v>
      </c>
      <c r="BY1254" s="6">
        <f>IF(Grandview_Inventory[[#This Row],[pre_res]]&lt;0,0,Grandview_Inventory[[#This Row],[pre_res]]*Grandview_Inventory[[#This Row],[overall_adj]])</f>
        <v>246181.59025290626</v>
      </c>
      <c r="BZ1254" s="6">
        <f>(Grandview_Inventory[[#This Row],[sum_land]]-IF(Grandview_Inventory[[#This Row],[no_utilities]]=1,12000,0))/IF(Grandview_Inventory[[#This Row],[unbuildable]]=1,2,1)</f>
        <v>41219.217601622076</v>
      </c>
      <c r="CA125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54">
        <f>ROUND(Grandview_Inventory[[#This Row],[det_value]]*Lookups!$M$28,-2)</f>
        <v>0</v>
      </c>
      <c r="CC1254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1254">
        <f>Grandview_Inventory[[#This Row],[final_det]]+Grandview_Inventory[[#This Row],[final_res]]</f>
        <v>233900</v>
      </c>
      <c r="CE1254">
        <f>Grandview_Inventory[[#This Row],[final_land]]+Grandview_Inventory[[#This Row],[final_imp]]+Grandview_Inventory[[#This Row],[crop_value]]</f>
        <v>273100</v>
      </c>
      <c r="CG1254" t="str">
        <f t="shared" si="19"/>
        <v>update valuation set market_land =39200, market_bldg=233900, market_total =273100, market_mdno =401, market_date ='9/10/2023' where link_id = (select link_id from parcel where parcel_year = '2024' and parcel_id = '23092311488');</v>
      </c>
    </row>
    <row r="1255" spans="1:85" x14ac:dyDescent="0.25">
      <c r="A1255">
        <v>23092311489</v>
      </c>
      <c r="B1255">
        <v>0.17</v>
      </c>
      <c r="C1255">
        <v>7446</v>
      </c>
      <c r="D1255" t="s">
        <v>129</v>
      </c>
      <c r="E1255" t="s">
        <v>53</v>
      </c>
      <c r="F1255" t="s">
        <v>53</v>
      </c>
      <c r="G1255">
        <v>4</v>
      </c>
      <c r="H1255" t="s">
        <v>54</v>
      </c>
      <c r="I1255">
        <v>83300</v>
      </c>
      <c r="J1255">
        <v>39100</v>
      </c>
      <c r="K1255">
        <v>0.17</v>
      </c>
      <c r="L125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55">
        <v>0</v>
      </c>
      <c r="N1255">
        <v>0</v>
      </c>
      <c r="O1255">
        <v>0</v>
      </c>
      <c r="P1255">
        <v>13398.7528</v>
      </c>
      <c r="Q1255">
        <v>63903</v>
      </c>
      <c r="R1255">
        <f>(Grandview_Inventory[[#This Row],[ln_acres]]*Grandview_Inventory[[#This Row],[coeff]])+Grandview_Inventory[[#This Row],[const]]</f>
        <v>40160.988302686128</v>
      </c>
      <c r="S1255" t="s">
        <v>68</v>
      </c>
      <c r="T1255">
        <v>1</v>
      </c>
      <c r="U1255" t="s">
        <v>70</v>
      </c>
      <c r="V1255" t="s">
        <v>78</v>
      </c>
      <c r="W1255">
        <v>0</v>
      </c>
      <c r="X1255">
        <v>0</v>
      </c>
      <c r="Y1255">
        <v>49</v>
      </c>
      <c r="Z1255">
        <v>65</v>
      </c>
      <c r="AA1255">
        <v>70</v>
      </c>
      <c r="AB1255">
        <v>1000</v>
      </c>
      <c r="AC1255">
        <v>704</v>
      </c>
      <c r="AD1255">
        <v>704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5</v>
      </c>
      <c r="AQ1255">
        <v>0</v>
      </c>
      <c r="AR1255">
        <v>0</v>
      </c>
      <c r="AS1255" t="s">
        <v>58</v>
      </c>
      <c r="AT1255">
        <v>1</v>
      </c>
      <c r="AU1255" t="s">
        <v>63</v>
      </c>
      <c r="AV1255" t="s">
        <v>64</v>
      </c>
      <c r="AW1255">
        <v>0</v>
      </c>
      <c r="AX1255">
        <v>2</v>
      </c>
      <c r="AY1255">
        <v>0</v>
      </c>
      <c r="AZ1255">
        <v>6900</v>
      </c>
      <c r="BA1255">
        <v>100</v>
      </c>
      <c r="BB1255">
        <v>100</v>
      </c>
      <c r="BC1255">
        <v>100</v>
      </c>
      <c r="BD1255">
        <v>100</v>
      </c>
      <c r="BE1255">
        <v>1</v>
      </c>
      <c r="BF1255">
        <v>15000</v>
      </c>
      <c r="BG1255">
        <v>1000</v>
      </c>
      <c r="BH1255" s="6">
        <f>Grandview_Inventory[[#This Row],[land_extract]]*Lookups!$B$3</f>
        <v>46638.847281240982</v>
      </c>
      <c r="BI1255" s="6">
        <f>IF(Grandview_Inventory[[#This Row],[bldg_style]]="",0,Lookups!$B$2)</f>
        <v>155833.95000000001</v>
      </c>
      <c r="BJ1255" s="6">
        <f>_xlfn.IFNA(VLOOKUP(Grandview_Inventory[[#This Row],[quality]],Lookups!$H$2:$J$14,3,FALSE),0)</f>
        <v>10733</v>
      </c>
      <c r="BK1255" s="6">
        <f>_xlfn.IFNA(VLOOKUP(Grandview_Inventory[[#This Row],[condition]],Lookups!$H$17:$J$24,3,FALSE),0)</f>
        <v>-45357</v>
      </c>
      <c r="BL1255" s="6">
        <f>Grandview_Inventory[[#This Row],[Eff_Age]]*Lookups!$B$14</f>
        <v>-11719.163399999999</v>
      </c>
      <c r="BM1255" s="6">
        <f>Grandview_Inventory[[#This Row],[living_area]]*Lookups!$B$15</f>
        <v>43916.120512000001</v>
      </c>
      <c r="BN1255" s="6">
        <f>Grandview_Inventory[[#This Row],[Fin BSMT]]*Lookups!$B$16</f>
        <v>0</v>
      </c>
      <c r="BO1255" s="6">
        <f>(Grandview_Inventory[[#This Row],[att_gar]]+Grandview_Inventory[[#This Row],[bltin_gar]])*Lookups!$B$17</f>
        <v>0</v>
      </c>
      <c r="BP1255" s="6">
        <f>Grandview_Inventory[[#This Row],[Plumbing Fixtures]]*Lookups!$B$18</f>
        <v>10052.209000000001</v>
      </c>
      <c r="BQ1255" s="6">
        <f>Grandview_Inventory[[#This Row],[detatched_value]]*Lookups!$B$19</f>
        <v>5842.9551899999997</v>
      </c>
      <c r="BR1255" s="6">
        <f>SUM(Grandview_Inventory[[#This Row],[Intercept]:[det_value]])*Grandview_Inventory[[#This Row],[res_pct]]</f>
        <v>169302.07130200003</v>
      </c>
      <c r="BS1255" s="6">
        <f>Grandview_Inventory[[#This Row],[land_value]]</f>
        <v>46638.847281240982</v>
      </c>
      <c r="BT1255" s="4">
        <f>_xlfn.IFNA(VLOOKUP(Grandview_Inventory[[#This Row],[quality]],Lookups!$A$26:$C$33,3,FALSE),1)</f>
        <v>0.98079741117310582</v>
      </c>
      <c r="BU1255" s="4">
        <f>_xlfn.IFNA(VLOOKUP(Grandview_Inventory[[#This Row],[condition]],Lookups!$A$37:$C$44,3,FALSE),1)</f>
        <v>0.97161819570155394</v>
      </c>
      <c r="BV1255" s="4">
        <f>IF(Grandview_Inventory[[#This Row],[bldg_style]]="",1,_xlfn.IFNA(VLOOKUP(Grandview_Inventory[[#This Row],[decade]],Lookups!$F$29:$H$43,3,FALSE),1))</f>
        <v>0.99472141305414818</v>
      </c>
      <c r="BW1255" s="4">
        <f>_xlfn.IFNA(VLOOKUP(Grandview_Inventory[[#This Row],[living_area_range]],Lookups!$F$47:$H$56,3,FALSE),1)</f>
        <v>0.94306777142782894</v>
      </c>
      <c r="BX1255" s="4">
        <f>AVERAGE(Grandview_Inventory[[#This Row],[qual_adj]:[size_adj]])</f>
        <v>0.97255119783915911</v>
      </c>
      <c r="BY1255" s="6">
        <f>IF(Grandview_Inventory[[#This Row],[pre_res]]&lt;0,0,Grandview_Inventory[[#This Row],[pre_res]]*Grandview_Inventory[[#This Row],[overall_adj]])</f>
        <v>164654.93224141086</v>
      </c>
      <c r="BZ1255" s="6">
        <f>(Grandview_Inventory[[#This Row],[sum_land]]-IF(Grandview_Inventory[[#This Row],[no_utilities]]=1,12000,0))/IF(Grandview_Inventory[[#This Row],[unbuildable]]=1,2,1)</f>
        <v>46638.847281240982</v>
      </c>
      <c r="CA125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55">
        <f>ROUND(Grandview_Inventory[[#This Row],[det_value]]*Lookups!$M$28,-2)</f>
        <v>5600</v>
      </c>
      <c r="CC1255">
        <f>IF(ROUND(Grandview_Inventory[[#This Row],[adj_res]]*Lookups!$M$28,-2)&lt;Grandview_Inventory[[#This Row],[min_res]],Grandview_Inventory[[#This Row],[min_res]],ROUND(Grandview_Inventory[[#This Row],[adj_res]]*Lookups!$M$28,-2))</f>
        <v>156400</v>
      </c>
      <c r="CD1255">
        <f>Grandview_Inventory[[#This Row],[final_det]]+Grandview_Inventory[[#This Row],[final_res]]</f>
        <v>162000</v>
      </c>
      <c r="CE1255">
        <f>Grandview_Inventory[[#This Row],[final_land]]+Grandview_Inventory[[#This Row],[final_imp]]+Grandview_Inventory[[#This Row],[crop_value]]</f>
        <v>206300</v>
      </c>
      <c r="CG1255" t="str">
        <f t="shared" si="19"/>
        <v>update valuation set market_land =44300, market_bldg=162000, market_total =206300, market_mdno =401, market_date ='9/10/2023' where link_id = (select link_id from parcel where parcel_year = '2024' and parcel_id = '23092311489');</v>
      </c>
    </row>
    <row r="1256" spans="1:85" x14ac:dyDescent="0.25">
      <c r="A1256">
        <v>23092311490</v>
      </c>
      <c r="B1256">
        <v>0.17</v>
      </c>
      <c r="C1256">
        <v>7444</v>
      </c>
      <c r="D1256" t="s">
        <v>129</v>
      </c>
      <c r="E1256" t="s">
        <v>53</v>
      </c>
      <c r="F1256" t="s">
        <v>53</v>
      </c>
      <c r="G1256">
        <v>4</v>
      </c>
      <c r="H1256" t="s">
        <v>54</v>
      </c>
      <c r="I1256">
        <v>182800</v>
      </c>
      <c r="J1256">
        <v>39300</v>
      </c>
      <c r="K1256">
        <v>0.17</v>
      </c>
      <c r="L125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56">
        <v>0</v>
      </c>
      <c r="N1256">
        <v>0</v>
      </c>
      <c r="O1256">
        <v>0</v>
      </c>
      <c r="P1256">
        <v>13398.7528</v>
      </c>
      <c r="Q1256">
        <v>63903</v>
      </c>
      <c r="R1256">
        <f>(Grandview_Inventory[[#This Row],[ln_acres]]*Grandview_Inventory[[#This Row],[coeff]])+Grandview_Inventory[[#This Row],[const]]</f>
        <v>40160.988302686128</v>
      </c>
      <c r="S1256" t="s">
        <v>61</v>
      </c>
      <c r="T1256">
        <v>1</v>
      </c>
      <c r="U1256" t="s">
        <v>70</v>
      </c>
      <c r="V1256" t="s">
        <v>67</v>
      </c>
      <c r="W1256">
        <v>0</v>
      </c>
      <c r="X1256">
        <v>0</v>
      </c>
      <c r="Y1256">
        <v>49</v>
      </c>
      <c r="Z1256">
        <v>65</v>
      </c>
      <c r="AA1256">
        <v>70</v>
      </c>
      <c r="AB1256">
        <v>1500</v>
      </c>
      <c r="AC1256">
        <v>1042</v>
      </c>
      <c r="AD1256">
        <v>1042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684</v>
      </c>
      <c r="AN1256">
        <v>24</v>
      </c>
      <c r="AO1256">
        <v>264</v>
      </c>
      <c r="AP1256">
        <v>5</v>
      </c>
      <c r="AQ1256">
        <v>0</v>
      </c>
      <c r="AR1256">
        <v>0</v>
      </c>
      <c r="AS1256" t="s">
        <v>58</v>
      </c>
      <c r="AT1256">
        <v>1</v>
      </c>
      <c r="AU1256" t="s">
        <v>63</v>
      </c>
      <c r="AV1256" t="s">
        <v>60</v>
      </c>
      <c r="AW1256">
        <v>1</v>
      </c>
      <c r="AX1256">
        <v>3</v>
      </c>
      <c r="AY1256">
        <v>0</v>
      </c>
      <c r="AZ1256">
        <v>0</v>
      </c>
      <c r="BA1256">
        <v>100</v>
      </c>
      <c r="BB1256">
        <v>100</v>
      </c>
      <c r="BC1256">
        <v>100</v>
      </c>
      <c r="BD1256">
        <v>100</v>
      </c>
      <c r="BE1256">
        <v>1</v>
      </c>
      <c r="BF1256">
        <v>15000</v>
      </c>
      <c r="BG1256">
        <v>1000</v>
      </c>
      <c r="BH1256" s="6">
        <f>Grandview_Inventory[[#This Row],[land_extract]]*Lookups!$B$3</f>
        <v>46638.847281240982</v>
      </c>
      <c r="BI1256" s="6">
        <f>IF(Grandview_Inventory[[#This Row],[bldg_style]]="",0,Lookups!$B$2)</f>
        <v>155833.95000000001</v>
      </c>
      <c r="BJ1256" s="6">
        <f>_xlfn.IFNA(VLOOKUP(Grandview_Inventory[[#This Row],[quality]],Lookups!$H$2:$J$14,3,FALSE),0)</f>
        <v>10733</v>
      </c>
      <c r="BK1256" s="6">
        <f>_xlfn.IFNA(VLOOKUP(Grandview_Inventory[[#This Row],[condition]],Lookups!$H$17:$J$24,3,FALSE),0)</f>
        <v>22342</v>
      </c>
      <c r="BL1256" s="6">
        <f>Grandview_Inventory[[#This Row],[Eff_Age]]*Lookups!$B$14</f>
        <v>-11719.163399999999</v>
      </c>
      <c r="BM1256" s="6">
        <f>Grandview_Inventory[[#This Row],[living_area]]*Lookups!$B$15</f>
        <v>65000.848826000001</v>
      </c>
      <c r="BN1256" s="6">
        <f>Grandview_Inventory[[#This Row],[Fin BSMT]]*Lookups!$B$16</f>
        <v>0</v>
      </c>
      <c r="BO1256" s="6">
        <f>(Grandview_Inventory[[#This Row],[att_gar]]+Grandview_Inventory[[#This Row],[bltin_gar]])*Lookups!$B$17</f>
        <v>0</v>
      </c>
      <c r="BP1256" s="6">
        <f>Grandview_Inventory[[#This Row],[Plumbing Fixtures]]*Lookups!$B$18</f>
        <v>10052.209000000001</v>
      </c>
      <c r="BQ1256" s="6">
        <f>Grandview_Inventory[[#This Row],[detatched_value]]*Lookups!$B$19</f>
        <v>0</v>
      </c>
      <c r="BR1256" s="6">
        <f>SUM(Grandview_Inventory[[#This Row],[Intercept]:[det_value]])*Grandview_Inventory[[#This Row],[res_pct]]</f>
        <v>252242.84442600003</v>
      </c>
      <c r="BS1256" s="6">
        <f>Grandview_Inventory[[#This Row],[land_value]]</f>
        <v>46638.847281240982</v>
      </c>
      <c r="BT1256" s="4">
        <f>_xlfn.IFNA(VLOOKUP(Grandview_Inventory[[#This Row],[quality]],Lookups!$A$26:$C$33,3,FALSE),1)</f>
        <v>0.98079741117310582</v>
      </c>
      <c r="BU1256" s="4">
        <f>_xlfn.IFNA(VLOOKUP(Grandview_Inventory[[#This Row],[condition]],Lookups!$A$37:$C$44,3,FALSE),1)</f>
        <v>0.97383723671140243</v>
      </c>
      <c r="BV1256" s="4">
        <f>IF(Grandview_Inventory[[#This Row],[bldg_style]]="",1,_xlfn.IFNA(VLOOKUP(Grandview_Inventory[[#This Row],[decade]],Lookups!$F$29:$H$43,3,FALSE),1))</f>
        <v>0.99472141305414818</v>
      </c>
      <c r="BW1256" s="4">
        <f>_xlfn.IFNA(VLOOKUP(Grandview_Inventory[[#This Row],[living_area_range]],Lookups!$F$47:$H$56,3,FALSE),1)</f>
        <v>0.96135087979789358</v>
      </c>
      <c r="BX1256" s="4">
        <f>AVERAGE(Grandview_Inventory[[#This Row],[qual_adj]:[size_adj]])</f>
        <v>0.97767673518413756</v>
      </c>
      <c r="BY1256" s="6">
        <f>IF(Grandview_Inventory[[#This Row],[pre_res]]&lt;0,0,Grandview_Inventory[[#This Row],[pre_res]]*Grandview_Inventory[[#This Row],[overall_adj]])</f>
        <v>246611.96061197203</v>
      </c>
      <c r="BZ1256" s="6">
        <f>(Grandview_Inventory[[#This Row],[sum_land]]-IF(Grandview_Inventory[[#This Row],[no_utilities]]=1,12000,0))/IF(Grandview_Inventory[[#This Row],[unbuildable]]=1,2,1)</f>
        <v>46638.847281240982</v>
      </c>
      <c r="CA125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56">
        <f>ROUND(Grandview_Inventory[[#This Row],[det_value]]*Lookups!$M$28,-2)</f>
        <v>0</v>
      </c>
      <c r="CC1256">
        <f>IF(ROUND(Grandview_Inventory[[#This Row],[adj_res]]*Lookups!$M$28,-2)&lt;Grandview_Inventory[[#This Row],[min_res]],Grandview_Inventory[[#This Row],[min_res]],ROUND(Grandview_Inventory[[#This Row],[adj_res]]*Lookups!$M$28,-2))</f>
        <v>234300</v>
      </c>
      <c r="CD1256">
        <f>Grandview_Inventory[[#This Row],[final_det]]+Grandview_Inventory[[#This Row],[final_res]]</f>
        <v>234300</v>
      </c>
      <c r="CE1256">
        <f>Grandview_Inventory[[#This Row],[final_land]]+Grandview_Inventory[[#This Row],[final_imp]]+Grandview_Inventory[[#This Row],[crop_value]]</f>
        <v>278600</v>
      </c>
      <c r="CG1256" t="str">
        <f t="shared" si="19"/>
        <v>update valuation set market_land =44300, market_bldg=234300, market_total =278600, market_mdno =401, market_date ='9/10/2023' where link_id = (select link_id from parcel where parcel_year = '2024' and parcel_id = '23092311490');</v>
      </c>
    </row>
    <row r="1257" spans="1:85" x14ac:dyDescent="0.25">
      <c r="A1257">
        <v>23092311491</v>
      </c>
      <c r="B1257">
        <v>0.17</v>
      </c>
      <c r="C1257">
        <v>7444</v>
      </c>
      <c r="D1257" t="s">
        <v>129</v>
      </c>
      <c r="E1257" t="s">
        <v>53</v>
      </c>
      <c r="F1257" t="s">
        <v>53</v>
      </c>
      <c r="G1257">
        <v>4</v>
      </c>
      <c r="H1257" t="s">
        <v>54</v>
      </c>
      <c r="I1257">
        <v>89500</v>
      </c>
      <c r="J1257">
        <v>39300</v>
      </c>
      <c r="K1257">
        <v>0.17</v>
      </c>
      <c r="L125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57">
        <v>0</v>
      </c>
      <c r="N1257">
        <v>0</v>
      </c>
      <c r="O1257">
        <v>0</v>
      </c>
      <c r="P1257">
        <v>13398.7528</v>
      </c>
      <c r="Q1257">
        <v>63903</v>
      </c>
      <c r="R1257">
        <f>(Grandview_Inventory[[#This Row],[ln_acres]]*Grandview_Inventory[[#This Row],[coeff]])+Grandview_Inventory[[#This Row],[const]]</f>
        <v>40160.988302686128</v>
      </c>
      <c r="S1257" t="s">
        <v>68</v>
      </c>
      <c r="T1257">
        <v>1</v>
      </c>
      <c r="U1257" t="s">
        <v>70</v>
      </c>
      <c r="V1257" t="s">
        <v>78</v>
      </c>
      <c r="W1257">
        <v>0</v>
      </c>
      <c r="X1257">
        <v>0</v>
      </c>
      <c r="Y1257">
        <v>49</v>
      </c>
      <c r="Z1257">
        <v>65</v>
      </c>
      <c r="AA1257">
        <v>70</v>
      </c>
      <c r="AB1257">
        <v>1000</v>
      </c>
      <c r="AC1257">
        <v>704</v>
      </c>
      <c r="AD1257">
        <v>704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5</v>
      </c>
      <c r="AQ1257">
        <v>0</v>
      </c>
      <c r="AR1257">
        <v>0</v>
      </c>
      <c r="AS1257" t="s">
        <v>58</v>
      </c>
      <c r="AT1257">
        <v>1</v>
      </c>
      <c r="AU1257" t="s">
        <v>63</v>
      </c>
      <c r="AV1257" t="s">
        <v>64</v>
      </c>
      <c r="AW1257">
        <v>1</v>
      </c>
      <c r="AX1257">
        <v>2</v>
      </c>
      <c r="AY1257">
        <v>0</v>
      </c>
      <c r="AZ1257">
        <v>0</v>
      </c>
      <c r="BA1257">
        <v>100</v>
      </c>
      <c r="BB1257">
        <v>100</v>
      </c>
      <c r="BC1257">
        <v>100</v>
      </c>
      <c r="BD1257">
        <v>100</v>
      </c>
      <c r="BE1257">
        <v>1</v>
      </c>
      <c r="BF1257">
        <v>15000</v>
      </c>
      <c r="BG1257">
        <v>1000</v>
      </c>
      <c r="BH1257" s="6">
        <f>Grandview_Inventory[[#This Row],[land_extract]]*Lookups!$B$3</f>
        <v>46638.847281240982</v>
      </c>
      <c r="BI1257" s="6">
        <f>IF(Grandview_Inventory[[#This Row],[bldg_style]]="",0,Lookups!$B$2)</f>
        <v>155833.95000000001</v>
      </c>
      <c r="BJ1257" s="6">
        <f>_xlfn.IFNA(VLOOKUP(Grandview_Inventory[[#This Row],[quality]],Lookups!$H$2:$J$14,3,FALSE),0)</f>
        <v>10733</v>
      </c>
      <c r="BK1257" s="6">
        <f>_xlfn.IFNA(VLOOKUP(Grandview_Inventory[[#This Row],[condition]],Lookups!$H$17:$J$24,3,FALSE),0)</f>
        <v>-45357</v>
      </c>
      <c r="BL1257" s="6">
        <f>Grandview_Inventory[[#This Row],[Eff_Age]]*Lookups!$B$14</f>
        <v>-11719.163399999999</v>
      </c>
      <c r="BM1257" s="6">
        <f>Grandview_Inventory[[#This Row],[living_area]]*Lookups!$B$15</f>
        <v>43916.120512000001</v>
      </c>
      <c r="BN1257" s="6">
        <f>Grandview_Inventory[[#This Row],[Fin BSMT]]*Lookups!$B$16</f>
        <v>0</v>
      </c>
      <c r="BO1257" s="6">
        <f>(Grandview_Inventory[[#This Row],[att_gar]]+Grandview_Inventory[[#This Row],[bltin_gar]])*Lookups!$B$17</f>
        <v>0</v>
      </c>
      <c r="BP1257" s="6">
        <f>Grandview_Inventory[[#This Row],[Plumbing Fixtures]]*Lookups!$B$18</f>
        <v>10052.209000000001</v>
      </c>
      <c r="BQ1257" s="6">
        <f>Grandview_Inventory[[#This Row],[detatched_value]]*Lookups!$B$19</f>
        <v>0</v>
      </c>
      <c r="BR1257" s="6">
        <f>SUM(Grandview_Inventory[[#This Row],[Intercept]:[det_value]])*Grandview_Inventory[[#This Row],[res_pct]]</f>
        <v>163459.11611200002</v>
      </c>
      <c r="BS1257" s="6">
        <f>Grandview_Inventory[[#This Row],[land_value]]</f>
        <v>46638.847281240982</v>
      </c>
      <c r="BT1257" s="4">
        <f>_xlfn.IFNA(VLOOKUP(Grandview_Inventory[[#This Row],[quality]],Lookups!$A$26:$C$33,3,FALSE),1)</f>
        <v>0.98079741117310582</v>
      </c>
      <c r="BU1257" s="4">
        <f>_xlfn.IFNA(VLOOKUP(Grandview_Inventory[[#This Row],[condition]],Lookups!$A$37:$C$44,3,FALSE),1)</f>
        <v>0.97161819570155394</v>
      </c>
      <c r="BV1257" s="4">
        <f>IF(Grandview_Inventory[[#This Row],[bldg_style]]="",1,_xlfn.IFNA(VLOOKUP(Grandview_Inventory[[#This Row],[decade]],Lookups!$F$29:$H$43,3,FALSE),1))</f>
        <v>0.99472141305414818</v>
      </c>
      <c r="BW1257" s="4">
        <f>_xlfn.IFNA(VLOOKUP(Grandview_Inventory[[#This Row],[living_area_range]],Lookups!$F$47:$H$56,3,FALSE),1)</f>
        <v>0.94306777142782894</v>
      </c>
      <c r="BX1257" s="4">
        <f>AVERAGE(Grandview_Inventory[[#This Row],[qual_adj]:[size_adj]])</f>
        <v>0.97255119783915911</v>
      </c>
      <c r="BY1257" s="6">
        <f>IF(Grandview_Inventory[[#This Row],[pre_res]]&lt;0,0,Grandview_Inventory[[#This Row],[pre_res]]*Grandview_Inventory[[#This Row],[overall_adj]])</f>
        <v>158972.35917245582</v>
      </c>
      <c r="BZ1257" s="6">
        <f>(Grandview_Inventory[[#This Row],[sum_land]]-IF(Grandview_Inventory[[#This Row],[no_utilities]]=1,12000,0))/IF(Grandview_Inventory[[#This Row],[unbuildable]]=1,2,1)</f>
        <v>46638.847281240982</v>
      </c>
      <c r="CA125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57">
        <f>ROUND(Grandview_Inventory[[#This Row],[det_value]]*Lookups!$M$28,-2)</f>
        <v>0</v>
      </c>
      <c r="CC1257">
        <f>IF(ROUND(Grandview_Inventory[[#This Row],[adj_res]]*Lookups!$M$28,-2)&lt;Grandview_Inventory[[#This Row],[min_res]],Grandview_Inventory[[#This Row],[min_res]],ROUND(Grandview_Inventory[[#This Row],[adj_res]]*Lookups!$M$28,-2))</f>
        <v>151000</v>
      </c>
      <c r="CD1257">
        <f>Grandview_Inventory[[#This Row],[final_det]]+Grandview_Inventory[[#This Row],[final_res]]</f>
        <v>151000</v>
      </c>
      <c r="CE1257">
        <f>Grandview_Inventory[[#This Row],[final_land]]+Grandview_Inventory[[#This Row],[final_imp]]+Grandview_Inventory[[#This Row],[crop_value]]</f>
        <v>195300</v>
      </c>
      <c r="CG1257" t="str">
        <f t="shared" si="19"/>
        <v>update valuation set market_land =44300, market_bldg=151000, market_total =195300, market_mdno =401, market_date ='9/10/2023' where link_id = (select link_id from parcel where parcel_year = '2024' and parcel_id = '23092311491');</v>
      </c>
    </row>
    <row r="1258" spans="1:85" x14ac:dyDescent="0.25">
      <c r="A1258">
        <v>23092311492</v>
      </c>
      <c r="B1258">
        <v>0.17</v>
      </c>
      <c r="C1258">
        <v>7444</v>
      </c>
      <c r="D1258" t="s">
        <v>129</v>
      </c>
      <c r="E1258" t="s">
        <v>53</v>
      </c>
      <c r="F1258" t="s">
        <v>53</v>
      </c>
      <c r="G1258">
        <v>4</v>
      </c>
      <c r="H1258" t="s">
        <v>54</v>
      </c>
      <c r="I1258">
        <v>126800</v>
      </c>
      <c r="J1258">
        <v>39300</v>
      </c>
      <c r="K1258">
        <v>0.17</v>
      </c>
      <c r="L125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58">
        <v>0</v>
      </c>
      <c r="N1258">
        <v>0</v>
      </c>
      <c r="O1258">
        <v>0</v>
      </c>
      <c r="P1258">
        <v>13398.7528</v>
      </c>
      <c r="Q1258">
        <v>63903</v>
      </c>
      <c r="R1258">
        <f>(Grandview_Inventory[[#This Row],[ln_acres]]*Grandview_Inventory[[#This Row],[coeff]])+Grandview_Inventory[[#This Row],[const]]</f>
        <v>40160.988302686128</v>
      </c>
      <c r="S1258" t="s">
        <v>61</v>
      </c>
      <c r="T1258">
        <v>1</v>
      </c>
      <c r="U1258" t="s">
        <v>70</v>
      </c>
      <c r="V1258" t="s">
        <v>69</v>
      </c>
      <c r="W1258">
        <v>0</v>
      </c>
      <c r="X1258">
        <v>0</v>
      </c>
      <c r="Y1258">
        <v>49</v>
      </c>
      <c r="Z1258">
        <v>65</v>
      </c>
      <c r="AA1258">
        <v>70</v>
      </c>
      <c r="AB1258">
        <v>1500</v>
      </c>
      <c r="AC1258">
        <v>1120</v>
      </c>
      <c r="AD1258">
        <v>1120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240</v>
      </c>
      <c r="AN1258">
        <v>144</v>
      </c>
      <c r="AO1258">
        <v>240</v>
      </c>
      <c r="AP1258">
        <v>5</v>
      </c>
      <c r="AQ1258">
        <v>0</v>
      </c>
      <c r="AR1258">
        <v>0</v>
      </c>
      <c r="AS1258" t="s">
        <v>58</v>
      </c>
      <c r="AT1258">
        <v>1</v>
      </c>
      <c r="AU1258" t="s">
        <v>63</v>
      </c>
      <c r="AV1258" t="s">
        <v>64</v>
      </c>
      <c r="AW1258">
        <v>0</v>
      </c>
      <c r="AX1258">
        <v>2</v>
      </c>
      <c r="AY1258">
        <v>0</v>
      </c>
      <c r="AZ1258">
        <v>900</v>
      </c>
      <c r="BA1258">
        <v>100</v>
      </c>
      <c r="BB1258">
        <v>100</v>
      </c>
      <c r="BC1258">
        <v>100</v>
      </c>
      <c r="BD1258">
        <v>100</v>
      </c>
      <c r="BE1258">
        <v>1</v>
      </c>
      <c r="BF1258">
        <v>15000</v>
      </c>
      <c r="BG1258">
        <v>1000</v>
      </c>
      <c r="BH1258" s="6">
        <f>Grandview_Inventory[[#This Row],[land_extract]]*Lookups!$B$3</f>
        <v>46638.847281240982</v>
      </c>
      <c r="BI1258" s="6">
        <f>IF(Grandview_Inventory[[#This Row],[bldg_style]]="",0,Lookups!$B$2)</f>
        <v>155833.95000000001</v>
      </c>
      <c r="BJ1258" s="6">
        <f>_xlfn.IFNA(VLOOKUP(Grandview_Inventory[[#This Row],[quality]],Lookups!$H$2:$J$14,3,FALSE),0)</f>
        <v>10733</v>
      </c>
      <c r="BK1258" s="6">
        <f>_xlfn.IFNA(VLOOKUP(Grandview_Inventory[[#This Row],[condition]],Lookups!$H$17:$J$24,3,FALSE),0)</f>
        <v>-4503</v>
      </c>
      <c r="BL1258" s="6">
        <f>Grandview_Inventory[[#This Row],[Eff_Age]]*Lookups!$B$14</f>
        <v>-11719.163399999999</v>
      </c>
      <c r="BM1258" s="6">
        <f>Grandview_Inventory[[#This Row],[living_area]]*Lookups!$B$15</f>
        <v>69866.555359999998</v>
      </c>
      <c r="BN1258" s="6">
        <f>Grandview_Inventory[[#This Row],[Fin BSMT]]*Lookups!$B$16</f>
        <v>0</v>
      </c>
      <c r="BO1258" s="6">
        <f>(Grandview_Inventory[[#This Row],[att_gar]]+Grandview_Inventory[[#This Row],[bltin_gar]])*Lookups!$B$17</f>
        <v>0</v>
      </c>
      <c r="BP1258" s="6">
        <f>Grandview_Inventory[[#This Row],[Plumbing Fixtures]]*Lookups!$B$18</f>
        <v>10052.209000000001</v>
      </c>
      <c r="BQ1258" s="6">
        <f>Grandview_Inventory[[#This Row],[detatched_value]]*Lookups!$B$19</f>
        <v>762.12459000000001</v>
      </c>
      <c r="BR1258" s="6">
        <f>SUM(Grandview_Inventory[[#This Row],[Intercept]:[det_value]])*Grandview_Inventory[[#This Row],[res_pct]]</f>
        <v>231025.67555000001</v>
      </c>
      <c r="BS1258" s="6">
        <f>Grandview_Inventory[[#This Row],[land_value]]</f>
        <v>46638.847281240982</v>
      </c>
      <c r="BT1258" s="4">
        <f>_xlfn.IFNA(VLOOKUP(Grandview_Inventory[[#This Row],[quality]],Lookups!$A$26:$C$33,3,FALSE),1)</f>
        <v>0.98079741117310582</v>
      </c>
      <c r="BU1258" s="4">
        <f>_xlfn.IFNA(VLOOKUP(Grandview_Inventory[[#This Row],[condition]],Lookups!$A$37:$C$44,3,FALSE),1)</f>
        <v>0.96469275950863709</v>
      </c>
      <c r="BV1258" s="4">
        <f>IF(Grandview_Inventory[[#This Row],[bldg_style]]="",1,_xlfn.IFNA(VLOOKUP(Grandview_Inventory[[#This Row],[decade]],Lookups!$F$29:$H$43,3,FALSE),1))</f>
        <v>0.99472141305414818</v>
      </c>
      <c r="BW1258" s="4">
        <f>_xlfn.IFNA(VLOOKUP(Grandview_Inventory[[#This Row],[living_area_range]],Lookups!$F$47:$H$56,3,FALSE),1)</f>
        <v>0.96135087979789358</v>
      </c>
      <c r="BX1258" s="4">
        <f>AVERAGE(Grandview_Inventory[[#This Row],[qual_adj]:[size_adj]])</f>
        <v>0.97539061588344622</v>
      </c>
      <c r="BY1258" s="6">
        <f>IF(Grandview_Inventory[[#This Row],[pre_res]]&lt;0,0,Grandview_Inventory[[#This Row],[pre_res]]*Grandview_Inventory[[#This Row],[overall_adj]])</f>
        <v>225340.27595960375</v>
      </c>
      <c r="BZ1258" s="6">
        <f>(Grandview_Inventory[[#This Row],[sum_land]]-IF(Grandview_Inventory[[#This Row],[no_utilities]]=1,12000,0))/IF(Grandview_Inventory[[#This Row],[unbuildable]]=1,2,1)</f>
        <v>46638.847281240982</v>
      </c>
      <c r="CA125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58">
        <f>ROUND(Grandview_Inventory[[#This Row],[det_value]]*Lookups!$M$28,-2)</f>
        <v>700</v>
      </c>
      <c r="CC1258">
        <f>IF(ROUND(Grandview_Inventory[[#This Row],[adj_res]]*Lookups!$M$28,-2)&lt;Grandview_Inventory[[#This Row],[min_res]],Grandview_Inventory[[#This Row],[min_res]],ROUND(Grandview_Inventory[[#This Row],[adj_res]]*Lookups!$M$28,-2))</f>
        <v>214100</v>
      </c>
      <c r="CD1258">
        <f>Grandview_Inventory[[#This Row],[final_det]]+Grandview_Inventory[[#This Row],[final_res]]</f>
        <v>214800</v>
      </c>
      <c r="CE1258">
        <f>Grandview_Inventory[[#This Row],[final_land]]+Grandview_Inventory[[#This Row],[final_imp]]+Grandview_Inventory[[#This Row],[crop_value]]</f>
        <v>259100</v>
      </c>
      <c r="CG1258" t="str">
        <f t="shared" si="19"/>
        <v>update valuation set market_land =44300, market_bldg=214800, market_total =259100, market_mdno =401, market_date ='9/10/2023' where link_id = (select link_id from parcel where parcel_year = '2024' and parcel_id = '23092311492');</v>
      </c>
    </row>
    <row r="1259" spans="1:85" x14ac:dyDescent="0.25">
      <c r="A1259">
        <v>23092311495</v>
      </c>
      <c r="B1259">
        <v>0.16</v>
      </c>
      <c r="C1259">
        <v>7070</v>
      </c>
      <c r="D1259" t="s">
        <v>129</v>
      </c>
      <c r="E1259" t="s">
        <v>53</v>
      </c>
      <c r="F1259" t="s">
        <v>53</v>
      </c>
      <c r="G1259">
        <v>4</v>
      </c>
      <c r="H1259" t="s">
        <v>54</v>
      </c>
      <c r="I1259">
        <v>103400</v>
      </c>
      <c r="J1259">
        <v>39100</v>
      </c>
      <c r="K1259">
        <v>0.16</v>
      </c>
      <c r="L125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59">
        <v>0</v>
      </c>
      <c r="N1259">
        <v>0</v>
      </c>
      <c r="O1259">
        <v>0</v>
      </c>
      <c r="P1259">
        <v>13398.7528</v>
      </c>
      <c r="Q1259">
        <v>63903</v>
      </c>
      <c r="R1259">
        <f>(Grandview_Inventory[[#This Row],[ln_acres]]*Grandview_Inventory[[#This Row],[coeff]])+Grandview_Inventory[[#This Row],[const]]</f>
        <v>39348.693981374228</v>
      </c>
      <c r="S1259" t="s">
        <v>68</v>
      </c>
      <c r="T1259">
        <v>1</v>
      </c>
      <c r="U1259" t="s">
        <v>70</v>
      </c>
      <c r="V1259" t="s">
        <v>69</v>
      </c>
      <c r="W1259">
        <v>0</v>
      </c>
      <c r="X1259">
        <v>0</v>
      </c>
      <c r="Y1259">
        <v>57</v>
      </c>
      <c r="Z1259">
        <v>103</v>
      </c>
      <c r="AA1259">
        <v>110</v>
      </c>
      <c r="AB1259">
        <v>1000</v>
      </c>
      <c r="AC1259">
        <v>792</v>
      </c>
      <c r="AD1259">
        <v>792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120</v>
      </c>
      <c r="AO1259">
        <v>0</v>
      </c>
      <c r="AP1259">
        <v>5</v>
      </c>
      <c r="AQ1259">
        <v>0</v>
      </c>
      <c r="AR1259">
        <v>0</v>
      </c>
      <c r="AS1259" t="s">
        <v>58</v>
      </c>
      <c r="AT1259">
        <v>1</v>
      </c>
      <c r="AU1259" t="s">
        <v>63</v>
      </c>
      <c r="AV1259" t="s">
        <v>64</v>
      </c>
      <c r="AW1259">
        <v>0</v>
      </c>
      <c r="AX1259">
        <v>2</v>
      </c>
      <c r="AY1259">
        <v>0</v>
      </c>
      <c r="AZ1259">
        <v>0</v>
      </c>
      <c r="BA1259">
        <v>100</v>
      </c>
      <c r="BB1259">
        <v>100</v>
      </c>
      <c r="BC1259">
        <v>100</v>
      </c>
      <c r="BD1259">
        <v>100</v>
      </c>
      <c r="BE1259">
        <v>1</v>
      </c>
      <c r="BF1259">
        <v>15000</v>
      </c>
      <c r="BG1259">
        <v>1000</v>
      </c>
      <c r="BH1259" s="6">
        <f>Grandview_Inventory[[#This Row],[land_extract]]*Lookups!$B$3</f>
        <v>45695.532079096141</v>
      </c>
      <c r="BI1259" s="6">
        <f>IF(Grandview_Inventory[[#This Row],[bldg_style]]="",0,Lookups!$B$2)</f>
        <v>155833.95000000001</v>
      </c>
      <c r="BJ1259" s="6">
        <f>_xlfn.IFNA(VLOOKUP(Grandview_Inventory[[#This Row],[quality]],Lookups!$H$2:$J$14,3,FALSE),0)</f>
        <v>10733</v>
      </c>
      <c r="BK1259" s="6">
        <f>_xlfn.IFNA(VLOOKUP(Grandview_Inventory[[#This Row],[condition]],Lookups!$H$17:$J$24,3,FALSE),0)</f>
        <v>-4503</v>
      </c>
      <c r="BL1259" s="6">
        <f>Grandview_Inventory[[#This Row],[Eff_Age]]*Lookups!$B$14</f>
        <v>-13632.4962</v>
      </c>
      <c r="BM1259" s="6">
        <f>Grandview_Inventory[[#This Row],[living_area]]*Lookups!$B$15</f>
        <v>49405.635576000001</v>
      </c>
      <c r="BN1259" s="6">
        <f>Grandview_Inventory[[#This Row],[Fin BSMT]]*Lookups!$B$16</f>
        <v>0</v>
      </c>
      <c r="BO1259" s="6">
        <f>(Grandview_Inventory[[#This Row],[att_gar]]+Grandview_Inventory[[#This Row],[bltin_gar]])*Lookups!$B$17</f>
        <v>0</v>
      </c>
      <c r="BP1259" s="6">
        <f>Grandview_Inventory[[#This Row],[Plumbing Fixtures]]*Lookups!$B$18</f>
        <v>10052.209000000001</v>
      </c>
      <c r="BQ1259" s="6">
        <f>Grandview_Inventory[[#This Row],[detatched_value]]*Lookups!$B$19</f>
        <v>0</v>
      </c>
      <c r="BR1259" s="6">
        <f>SUM(Grandview_Inventory[[#This Row],[Intercept]:[det_value]])*Grandview_Inventory[[#This Row],[res_pct]]</f>
        <v>207889.29837600002</v>
      </c>
      <c r="BS1259" s="6">
        <f>Grandview_Inventory[[#This Row],[land_value]]</f>
        <v>45695.532079096141</v>
      </c>
      <c r="BT1259" s="4">
        <f>_xlfn.IFNA(VLOOKUP(Grandview_Inventory[[#This Row],[quality]],Lookups!$A$26:$C$33,3,FALSE),1)</f>
        <v>0.98079741117310582</v>
      </c>
      <c r="BU1259" s="4">
        <f>_xlfn.IFNA(VLOOKUP(Grandview_Inventory[[#This Row],[condition]],Lookups!$A$37:$C$44,3,FALSE),1)</f>
        <v>0.96469275950863709</v>
      </c>
      <c r="BV1259" s="4">
        <f>IF(Grandview_Inventory[[#This Row],[bldg_style]]="",1,_xlfn.IFNA(VLOOKUP(Grandview_Inventory[[#This Row],[decade]],Lookups!$F$29:$H$43,3,FALSE),1))</f>
        <v>0.92255236374249616</v>
      </c>
      <c r="BW1259" s="4">
        <f>_xlfn.IFNA(VLOOKUP(Grandview_Inventory[[#This Row],[living_area_range]],Lookups!$F$47:$H$56,3,FALSE),1)</f>
        <v>0.94306777142782894</v>
      </c>
      <c r="BX1259" s="4">
        <f>AVERAGE(Grandview_Inventory[[#This Row],[qual_adj]:[size_adj]])</f>
        <v>0.95277757646301697</v>
      </c>
      <c r="BY1259" s="6">
        <f>IF(Grandview_Inventory[[#This Row],[pre_res]]&lt;0,0,Grandview_Inventory[[#This Row],[pre_res]]*Grandview_Inventory[[#This Row],[overall_adj]])</f>
        <v>198072.26187928231</v>
      </c>
      <c r="BZ1259" s="6">
        <f>(Grandview_Inventory[[#This Row],[sum_land]]-IF(Grandview_Inventory[[#This Row],[no_utilities]]=1,12000,0))/IF(Grandview_Inventory[[#This Row],[unbuildable]]=1,2,1)</f>
        <v>45695.532079096141</v>
      </c>
      <c r="CA125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59">
        <f>ROUND(Grandview_Inventory[[#This Row],[det_value]]*Lookups!$M$28,-2)</f>
        <v>0</v>
      </c>
      <c r="CC1259">
        <f>IF(ROUND(Grandview_Inventory[[#This Row],[adj_res]]*Lookups!$M$28,-2)&lt;Grandview_Inventory[[#This Row],[min_res]],Grandview_Inventory[[#This Row],[min_res]],ROUND(Grandview_Inventory[[#This Row],[adj_res]]*Lookups!$M$28,-2))</f>
        <v>188200</v>
      </c>
      <c r="CD1259">
        <f>Grandview_Inventory[[#This Row],[final_det]]+Grandview_Inventory[[#This Row],[final_res]]</f>
        <v>188200</v>
      </c>
      <c r="CE1259">
        <f>Grandview_Inventory[[#This Row],[final_land]]+Grandview_Inventory[[#This Row],[final_imp]]+Grandview_Inventory[[#This Row],[crop_value]]</f>
        <v>231600</v>
      </c>
      <c r="CG1259" t="str">
        <f t="shared" si="19"/>
        <v>update valuation set market_land =43400, market_bldg=188200, market_total =231600, market_mdno =401, market_date ='9/10/2023' where link_id = (select link_id from parcel where parcel_year = '2024' and parcel_id = '23092311495');</v>
      </c>
    </row>
    <row r="1260" spans="1:85" x14ac:dyDescent="0.25">
      <c r="A1260">
        <v>23092311497</v>
      </c>
      <c r="B1260">
        <v>0.41</v>
      </c>
      <c r="C1260">
        <v>17999</v>
      </c>
      <c r="D1260" t="s">
        <v>129</v>
      </c>
      <c r="E1260" t="s">
        <v>53</v>
      </c>
      <c r="F1260" t="s">
        <v>53</v>
      </c>
      <c r="G1260">
        <v>4</v>
      </c>
      <c r="H1260" t="s">
        <v>54</v>
      </c>
      <c r="I1260">
        <v>111800</v>
      </c>
      <c r="J1260">
        <v>46300</v>
      </c>
      <c r="K1260">
        <v>0.41</v>
      </c>
      <c r="L1260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1260">
        <v>0</v>
      </c>
      <c r="N1260">
        <v>0</v>
      </c>
      <c r="O1260">
        <v>0</v>
      </c>
      <c r="P1260">
        <v>13398.7528</v>
      </c>
      <c r="Q1260">
        <v>63903</v>
      </c>
      <c r="R1260">
        <f>(Grandview_Inventory[[#This Row],[ln_acres]]*Grandview_Inventory[[#This Row],[coeff]])+Grandview_Inventory[[#This Row],[const]]</f>
        <v>51956.697202771669</v>
      </c>
      <c r="S1260" t="s">
        <v>85</v>
      </c>
      <c r="T1260">
        <v>1</v>
      </c>
      <c r="U1260" t="s">
        <v>65</v>
      </c>
      <c r="V1260" t="s">
        <v>69</v>
      </c>
      <c r="W1260">
        <v>0</v>
      </c>
      <c r="X1260">
        <v>0</v>
      </c>
      <c r="Y1260">
        <v>74</v>
      </c>
      <c r="Z1260">
        <v>122</v>
      </c>
      <c r="AA1260">
        <v>130</v>
      </c>
      <c r="AB1260">
        <v>1500</v>
      </c>
      <c r="AC1260">
        <v>1038</v>
      </c>
      <c r="AD1260">
        <v>1038</v>
      </c>
      <c r="AE1260">
        <v>0</v>
      </c>
      <c r="AF1260">
        <v>0</v>
      </c>
      <c r="AG1260">
        <v>0</v>
      </c>
      <c r="AH1260">
        <v>519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5</v>
      </c>
      <c r="AQ1260">
        <v>0</v>
      </c>
      <c r="AR1260">
        <v>0</v>
      </c>
      <c r="AS1260" t="s">
        <v>71</v>
      </c>
      <c r="AT1260">
        <v>0</v>
      </c>
      <c r="AU1260" t="s">
        <v>82</v>
      </c>
      <c r="AV1260" t="s">
        <v>81</v>
      </c>
      <c r="AW1260">
        <v>0</v>
      </c>
      <c r="AX1260">
        <v>2</v>
      </c>
      <c r="AY1260">
        <v>0</v>
      </c>
      <c r="AZ1260">
        <v>11700</v>
      </c>
      <c r="BA1260">
        <v>100</v>
      </c>
      <c r="BB1260">
        <v>100</v>
      </c>
      <c r="BC1260">
        <v>100</v>
      </c>
      <c r="BD1260">
        <v>100</v>
      </c>
      <c r="BE1260">
        <v>1</v>
      </c>
      <c r="BF1260">
        <v>15000</v>
      </c>
      <c r="BG1260">
        <v>1000</v>
      </c>
      <c r="BH1260" s="6">
        <f>Grandview_Inventory[[#This Row],[land_extract]]*Lookups!$B$3</f>
        <v>60337.172178496294</v>
      </c>
      <c r="BI1260" s="6">
        <f>IF(Grandview_Inventory[[#This Row],[bldg_style]]="",0,Lookups!$B$2)</f>
        <v>155833.95000000001</v>
      </c>
      <c r="BJ1260" s="6">
        <f>_xlfn.IFNA(VLOOKUP(Grandview_Inventory[[#This Row],[quality]],Lookups!$H$2:$J$14,3,FALSE),0)</f>
        <v>2251</v>
      </c>
      <c r="BK1260" s="6">
        <f>_xlfn.IFNA(VLOOKUP(Grandview_Inventory[[#This Row],[condition]],Lookups!$H$17:$J$24,3,FALSE),0)</f>
        <v>-4503</v>
      </c>
      <c r="BL1260" s="6">
        <f>Grandview_Inventory[[#This Row],[Eff_Age]]*Lookups!$B$14</f>
        <v>-17698.328399999999</v>
      </c>
      <c r="BM1260" s="6">
        <f>Grandview_Inventory[[#This Row],[living_area]]*Lookups!$B$15</f>
        <v>64751.325413999999</v>
      </c>
      <c r="BN1260" s="6">
        <f>Grandview_Inventory[[#This Row],[Fin BSMT]]*Lookups!$B$16</f>
        <v>0</v>
      </c>
      <c r="BO1260" s="6">
        <f>(Grandview_Inventory[[#This Row],[att_gar]]+Grandview_Inventory[[#This Row],[bltin_gar]])*Lookups!$B$17</f>
        <v>0</v>
      </c>
      <c r="BP1260" s="6">
        <f>Grandview_Inventory[[#This Row],[Plumbing Fixtures]]*Lookups!$B$18</f>
        <v>10052.209000000001</v>
      </c>
      <c r="BQ1260" s="6">
        <f>Grandview_Inventory[[#This Row],[detatched_value]]*Lookups!$B$19</f>
        <v>9907.61967</v>
      </c>
      <c r="BR1260" s="6">
        <f>SUM(Grandview_Inventory[[#This Row],[Intercept]:[det_value]])*Grandview_Inventory[[#This Row],[res_pct]]</f>
        <v>220594.77568399999</v>
      </c>
      <c r="BS1260" s="6">
        <f>Grandview_Inventory[[#This Row],[land_value]]</f>
        <v>60337.172178496294</v>
      </c>
      <c r="BT1260" s="4">
        <f>_xlfn.IFNA(VLOOKUP(Grandview_Inventory[[#This Row],[quality]],Lookups!$A$26:$C$33,3,FALSE),1)</f>
        <v>0.98763855981004833</v>
      </c>
      <c r="BU1260" s="4">
        <f>_xlfn.IFNA(VLOOKUP(Grandview_Inventory[[#This Row],[condition]],Lookups!$A$37:$C$44,3,FALSE),1)</f>
        <v>0.96469275950863709</v>
      </c>
      <c r="BV1260" s="4">
        <f>IF(Grandview_Inventory[[#This Row],[bldg_style]]="",1,_xlfn.IFNA(VLOOKUP(Grandview_Inventory[[#This Row],[decade]],Lookups!$F$29:$H$43,3,FALSE),1))</f>
        <v>0.9251738460551937</v>
      </c>
      <c r="BW1260" s="4">
        <f>_xlfn.IFNA(VLOOKUP(Grandview_Inventory[[#This Row],[living_area_range]],Lookups!$F$47:$H$56,3,FALSE),1)</f>
        <v>0.96135087979789358</v>
      </c>
      <c r="BX1260" s="4">
        <f>AVERAGE(Grandview_Inventory[[#This Row],[qual_adj]:[size_adj]])</f>
        <v>0.9597140112929432</v>
      </c>
      <c r="BY1260" s="6">
        <f>IF(Grandview_Inventory[[#This Row],[pre_res]]&lt;0,0,Grandview_Inventory[[#This Row],[pre_res]]*Grandview_Inventory[[#This Row],[overall_adj]])</f>
        <v>211707.89704195864</v>
      </c>
      <c r="BZ1260" s="6">
        <f>(Grandview_Inventory[[#This Row],[sum_land]]-IF(Grandview_Inventory[[#This Row],[no_utilities]]=1,12000,0))/IF(Grandview_Inventory[[#This Row],[unbuildable]]=1,2,1)</f>
        <v>60337.172178496294</v>
      </c>
      <c r="CA1260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1260">
        <f>ROUND(Grandview_Inventory[[#This Row],[det_value]]*Lookups!$M$28,-2)</f>
        <v>9400</v>
      </c>
      <c r="CC1260">
        <f>IF(ROUND(Grandview_Inventory[[#This Row],[adj_res]]*Lookups!$M$28,-2)&lt;Grandview_Inventory[[#This Row],[min_res]],Grandview_Inventory[[#This Row],[min_res]],ROUND(Grandview_Inventory[[#This Row],[adj_res]]*Lookups!$M$28,-2))</f>
        <v>201100</v>
      </c>
      <c r="CD1260">
        <f>Grandview_Inventory[[#This Row],[final_det]]+Grandview_Inventory[[#This Row],[final_res]]</f>
        <v>210500</v>
      </c>
      <c r="CE1260">
        <f>Grandview_Inventory[[#This Row],[final_land]]+Grandview_Inventory[[#This Row],[final_imp]]+Grandview_Inventory[[#This Row],[crop_value]]</f>
        <v>267800</v>
      </c>
      <c r="CG1260" t="str">
        <f t="shared" si="19"/>
        <v>update valuation set market_land =57300, market_bldg=210500, market_total =267800, market_mdno =401, market_date ='9/10/2023' where link_id = (select link_id from parcel where parcel_year = '2024' and parcel_id = '23092311497');</v>
      </c>
    </row>
    <row r="1261" spans="1:85" x14ac:dyDescent="0.25">
      <c r="A1261">
        <v>23092311504</v>
      </c>
      <c r="B1261">
        <v>0.34</v>
      </c>
      <c r="C1261">
        <v>14978</v>
      </c>
      <c r="D1261" t="s">
        <v>129</v>
      </c>
      <c r="E1261" t="s">
        <v>53</v>
      </c>
      <c r="F1261" t="s">
        <v>53</v>
      </c>
      <c r="G1261">
        <v>4</v>
      </c>
      <c r="H1261" t="s">
        <v>54</v>
      </c>
      <c r="I1261">
        <v>176700</v>
      </c>
      <c r="J1261">
        <v>41800</v>
      </c>
      <c r="K1261">
        <v>0.34</v>
      </c>
      <c r="L1261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261">
        <v>0</v>
      </c>
      <c r="N1261">
        <v>0</v>
      </c>
      <c r="O1261">
        <v>0</v>
      </c>
      <c r="P1261">
        <v>13398.7528</v>
      </c>
      <c r="Q1261">
        <v>63903</v>
      </c>
      <c r="R1261">
        <f>(Grandview_Inventory[[#This Row],[ln_acres]]*Grandview_Inventory[[#This Row],[coeff]])+Grandview_Inventory[[#This Row],[const]]</f>
        <v>49448.296029025805</v>
      </c>
      <c r="S1261" t="s">
        <v>55</v>
      </c>
      <c r="T1261">
        <v>2</v>
      </c>
      <c r="U1261" t="s">
        <v>65</v>
      </c>
      <c r="V1261" t="s">
        <v>67</v>
      </c>
      <c r="W1261">
        <v>0</v>
      </c>
      <c r="X1261">
        <v>0</v>
      </c>
      <c r="Y1261">
        <v>8</v>
      </c>
      <c r="Z1261">
        <v>8</v>
      </c>
      <c r="AA1261">
        <v>10</v>
      </c>
      <c r="AB1261">
        <v>1500</v>
      </c>
      <c r="AC1261">
        <v>1106</v>
      </c>
      <c r="AD1261">
        <v>882</v>
      </c>
      <c r="AE1261">
        <v>224</v>
      </c>
      <c r="AF1261">
        <v>0</v>
      </c>
      <c r="AG1261">
        <v>0</v>
      </c>
      <c r="AH1261">
        <v>80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5</v>
      </c>
      <c r="AQ1261">
        <v>0</v>
      </c>
      <c r="AR1261">
        <v>0</v>
      </c>
      <c r="AS1261" t="s">
        <v>58</v>
      </c>
      <c r="AT1261">
        <v>0</v>
      </c>
      <c r="AU1261" t="s">
        <v>82</v>
      </c>
      <c r="AV1261" t="s">
        <v>60</v>
      </c>
      <c r="AW1261">
        <v>0</v>
      </c>
      <c r="AX1261">
        <v>3</v>
      </c>
      <c r="AY1261">
        <v>0</v>
      </c>
      <c r="AZ1261">
        <v>0</v>
      </c>
      <c r="BA1261">
        <v>100</v>
      </c>
      <c r="BB1261">
        <v>100</v>
      </c>
      <c r="BC1261">
        <v>100</v>
      </c>
      <c r="BD1261">
        <v>100</v>
      </c>
      <c r="BE1261">
        <v>1</v>
      </c>
      <c r="BF1261">
        <v>15000</v>
      </c>
      <c r="BG1261">
        <v>1000</v>
      </c>
      <c r="BH1261" s="6">
        <f>Grandview_Inventory[[#This Row],[land_extract]]*Lookups!$B$3</f>
        <v>57424.172668108389</v>
      </c>
      <c r="BI1261" s="6">
        <f>IF(Grandview_Inventory[[#This Row],[bldg_style]]="",0,Lookups!$B$2)</f>
        <v>155833.95000000001</v>
      </c>
      <c r="BJ1261" s="6">
        <f>_xlfn.IFNA(VLOOKUP(Grandview_Inventory[[#This Row],[quality]],Lookups!$H$2:$J$14,3,FALSE),0)</f>
        <v>2251</v>
      </c>
      <c r="BK1261" s="6">
        <f>_xlfn.IFNA(VLOOKUP(Grandview_Inventory[[#This Row],[condition]],Lookups!$H$17:$J$24,3,FALSE),0)</f>
        <v>22342</v>
      </c>
      <c r="BL1261" s="6">
        <f>Grandview_Inventory[[#This Row],[Eff_Age]]*Lookups!$B$14</f>
        <v>-1913.3327999999999</v>
      </c>
      <c r="BM1261" s="6">
        <f>Grandview_Inventory[[#This Row],[living_area]]*Lookups!$B$15</f>
        <v>68993.223418000009</v>
      </c>
      <c r="BN1261" s="6">
        <f>Grandview_Inventory[[#This Row],[Fin BSMT]]*Lookups!$B$16</f>
        <v>0</v>
      </c>
      <c r="BO1261" s="6">
        <f>(Grandview_Inventory[[#This Row],[att_gar]]+Grandview_Inventory[[#This Row],[bltin_gar]])*Lookups!$B$17</f>
        <v>0</v>
      </c>
      <c r="BP1261" s="6">
        <f>Grandview_Inventory[[#This Row],[Plumbing Fixtures]]*Lookups!$B$18</f>
        <v>10052.209000000001</v>
      </c>
      <c r="BQ1261" s="6">
        <f>Grandview_Inventory[[#This Row],[detatched_value]]*Lookups!$B$19</f>
        <v>0</v>
      </c>
      <c r="BR1261" s="6">
        <f>SUM(Grandview_Inventory[[#This Row],[Intercept]:[det_value]])*Grandview_Inventory[[#This Row],[res_pct]]</f>
        <v>257559.04961800002</v>
      </c>
      <c r="BS1261" s="6">
        <f>Grandview_Inventory[[#This Row],[land_value]]</f>
        <v>57424.172668108389</v>
      </c>
      <c r="BT1261" s="4">
        <f>_xlfn.IFNA(VLOOKUP(Grandview_Inventory[[#This Row],[quality]],Lookups!$A$26:$C$33,3,FALSE),1)</f>
        <v>0.98763855981004833</v>
      </c>
      <c r="BU1261" s="4">
        <f>_xlfn.IFNA(VLOOKUP(Grandview_Inventory[[#This Row],[condition]],Lookups!$A$37:$C$44,3,FALSE),1)</f>
        <v>0.97383723671140243</v>
      </c>
      <c r="BV1261" s="4">
        <f>IF(Grandview_Inventory[[#This Row],[bldg_style]]="",1,_xlfn.IFNA(VLOOKUP(Grandview_Inventory[[#This Row],[decade]],Lookups!$F$29:$H$43,3,FALSE),1))</f>
        <v>0.94601966599150278</v>
      </c>
      <c r="BW1261" s="4">
        <f>_xlfn.IFNA(VLOOKUP(Grandview_Inventory[[#This Row],[living_area_range]],Lookups!$F$47:$H$56,3,FALSE),1)</f>
        <v>0.96135087979789358</v>
      </c>
      <c r="BX1261" s="4">
        <f>AVERAGE(Grandview_Inventory[[#This Row],[qual_adj]:[size_adj]])</f>
        <v>0.9672115855777117</v>
      </c>
      <c r="BY1261" s="6">
        <f>IF(Grandview_Inventory[[#This Row],[pre_res]]&lt;0,0,Grandview_Inventory[[#This Row],[pre_res]]*Grandview_Inventory[[#This Row],[overall_adj]])</f>
        <v>249114.09676091431</v>
      </c>
      <c r="BZ1261" s="6">
        <f>(Grandview_Inventory[[#This Row],[sum_land]]-IF(Grandview_Inventory[[#This Row],[no_utilities]]=1,12000,0))/IF(Grandview_Inventory[[#This Row],[unbuildable]]=1,2,1)</f>
        <v>57424.172668108389</v>
      </c>
      <c r="CA1261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261">
        <f>ROUND(Grandview_Inventory[[#This Row],[det_value]]*Lookups!$M$28,-2)</f>
        <v>0</v>
      </c>
      <c r="CC1261">
        <f>IF(ROUND(Grandview_Inventory[[#This Row],[adj_res]]*Lookups!$M$28,-2)&lt;Grandview_Inventory[[#This Row],[min_res]],Grandview_Inventory[[#This Row],[min_res]],ROUND(Grandview_Inventory[[#This Row],[adj_res]]*Lookups!$M$28,-2))</f>
        <v>236700</v>
      </c>
      <c r="CD1261">
        <f>Grandview_Inventory[[#This Row],[final_det]]+Grandview_Inventory[[#This Row],[final_res]]</f>
        <v>236700</v>
      </c>
      <c r="CE1261">
        <f>Grandview_Inventory[[#This Row],[final_land]]+Grandview_Inventory[[#This Row],[final_imp]]+Grandview_Inventory[[#This Row],[crop_value]]</f>
        <v>291300</v>
      </c>
      <c r="CG1261" t="str">
        <f t="shared" si="19"/>
        <v>update valuation set market_land =54600, market_bldg=236700, market_total =291300, market_mdno =401, market_date ='9/10/2023' where link_id = (select link_id from parcel where parcel_year = '2024' and parcel_id = '23092311504');</v>
      </c>
    </row>
    <row r="1262" spans="1:85" x14ac:dyDescent="0.25">
      <c r="A1262">
        <v>23092311507</v>
      </c>
      <c r="B1262">
        <v>0.47</v>
      </c>
      <c r="C1262" t="s">
        <v>129</v>
      </c>
      <c r="D1262" t="s">
        <v>129</v>
      </c>
      <c r="E1262" t="s">
        <v>53</v>
      </c>
      <c r="F1262" t="s">
        <v>53</v>
      </c>
      <c r="G1262">
        <v>4</v>
      </c>
      <c r="H1262" t="s">
        <v>54</v>
      </c>
      <c r="I1262">
        <v>159700</v>
      </c>
      <c r="J1262">
        <v>42100</v>
      </c>
      <c r="K1262">
        <v>0.47</v>
      </c>
      <c r="L1262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1262">
        <v>0</v>
      </c>
      <c r="N1262">
        <v>0</v>
      </c>
      <c r="O1262">
        <v>0</v>
      </c>
      <c r="P1262">
        <v>13398.7528</v>
      </c>
      <c r="Q1262">
        <v>63903</v>
      </c>
      <c r="R1262">
        <f>(Grandview_Inventory[[#This Row],[ln_acres]]*Grandview_Inventory[[#This Row],[coeff]])+Grandview_Inventory[[#This Row],[const]]</f>
        <v>53786.639034841472</v>
      </c>
      <c r="S1262" t="s">
        <v>68</v>
      </c>
      <c r="T1262">
        <v>1</v>
      </c>
      <c r="U1262" t="s">
        <v>70</v>
      </c>
      <c r="V1262" t="s">
        <v>69</v>
      </c>
      <c r="W1262">
        <v>0</v>
      </c>
      <c r="X1262">
        <v>0</v>
      </c>
      <c r="Y1262">
        <v>55</v>
      </c>
      <c r="Z1262">
        <v>98</v>
      </c>
      <c r="AA1262">
        <v>100</v>
      </c>
      <c r="AB1262">
        <v>2000</v>
      </c>
      <c r="AC1262">
        <v>1668</v>
      </c>
      <c r="AD1262">
        <v>1668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10</v>
      </c>
      <c r="AQ1262">
        <v>0</v>
      </c>
      <c r="AR1262">
        <v>0</v>
      </c>
      <c r="AS1262" t="s">
        <v>58</v>
      </c>
      <c r="AT1262">
        <v>1</v>
      </c>
      <c r="AU1262" t="s">
        <v>63</v>
      </c>
      <c r="AV1262" t="s">
        <v>64</v>
      </c>
      <c r="AW1262">
        <v>0</v>
      </c>
      <c r="AX1262">
        <v>3</v>
      </c>
      <c r="AY1262">
        <v>0</v>
      </c>
      <c r="AZ1262">
        <v>6500</v>
      </c>
      <c r="BA1262">
        <v>100</v>
      </c>
      <c r="BB1262">
        <v>100</v>
      </c>
      <c r="BC1262">
        <v>100</v>
      </c>
      <c r="BD1262">
        <v>100</v>
      </c>
      <c r="BE1262">
        <v>1</v>
      </c>
      <c r="BF1262">
        <v>15000</v>
      </c>
      <c r="BG1262">
        <v>1000</v>
      </c>
      <c r="BH1262" s="6">
        <f>Grandview_Inventory[[#This Row],[land_extract]]*Lookups!$B$3</f>
        <v>62462.278687236008</v>
      </c>
      <c r="BI1262" s="6">
        <f>IF(Grandview_Inventory[[#This Row],[bldg_style]]="",0,Lookups!$B$2)</f>
        <v>155833.95000000001</v>
      </c>
      <c r="BJ1262" s="6">
        <f>_xlfn.IFNA(VLOOKUP(Grandview_Inventory[[#This Row],[quality]],Lookups!$H$2:$J$14,3,FALSE),0)</f>
        <v>10733</v>
      </c>
      <c r="BK1262" s="6">
        <f>_xlfn.IFNA(VLOOKUP(Grandview_Inventory[[#This Row],[condition]],Lookups!$H$17:$J$24,3,FALSE),0)</f>
        <v>-4503</v>
      </c>
      <c r="BL1262" s="6">
        <f>Grandview_Inventory[[#This Row],[Eff_Age]]*Lookups!$B$14</f>
        <v>-13154.162999999999</v>
      </c>
      <c r="BM1262" s="6">
        <f>Grandview_Inventory[[#This Row],[living_area]]*Lookups!$B$15</f>
        <v>104051.262804</v>
      </c>
      <c r="BN1262" s="6">
        <f>Grandview_Inventory[[#This Row],[Fin BSMT]]*Lookups!$B$16</f>
        <v>0</v>
      </c>
      <c r="BO1262" s="6">
        <f>(Grandview_Inventory[[#This Row],[att_gar]]+Grandview_Inventory[[#This Row],[bltin_gar]])*Lookups!$B$17</f>
        <v>0</v>
      </c>
      <c r="BP1262" s="6">
        <f>Grandview_Inventory[[#This Row],[Plumbing Fixtures]]*Lookups!$B$18</f>
        <v>20104.418000000001</v>
      </c>
      <c r="BQ1262" s="6">
        <f>Grandview_Inventory[[#This Row],[detatched_value]]*Lookups!$B$19</f>
        <v>5504.23315</v>
      </c>
      <c r="BR1262" s="6">
        <f>SUM(Grandview_Inventory[[#This Row],[Intercept]:[det_value]])*Grandview_Inventory[[#This Row],[res_pct]]</f>
        <v>278569.700954</v>
      </c>
      <c r="BS1262" s="6">
        <f>Grandview_Inventory[[#This Row],[land_value]]</f>
        <v>62462.278687236008</v>
      </c>
      <c r="BT1262" s="4">
        <f>_xlfn.IFNA(VLOOKUP(Grandview_Inventory[[#This Row],[quality]],Lookups!$A$26:$C$33,3,FALSE),1)</f>
        <v>0.98079741117310582</v>
      </c>
      <c r="BU1262" s="4">
        <f>_xlfn.IFNA(VLOOKUP(Grandview_Inventory[[#This Row],[condition]],Lookups!$A$37:$C$44,3,FALSE),1)</f>
        <v>0.96469275950863709</v>
      </c>
      <c r="BV1262" s="4">
        <f>IF(Grandview_Inventory[[#This Row],[bldg_style]]="",1,_xlfn.IFNA(VLOOKUP(Grandview_Inventory[[#This Row],[decade]],Lookups!$F$29:$H$43,3,FALSE),1))</f>
        <v>0.95244691841736806</v>
      </c>
      <c r="BW1262" s="4">
        <f>_xlfn.IFNA(VLOOKUP(Grandview_Inventory[[#This Row],[living_area_range]],Lookups!$F$47:$H$56,3,FALSE),1)</f>
        <v>0.96120133463014379</v>
      </c>
      <c r="BX1262" s="4">
        <f>AVERAGE(Grandview_Inventory[[#This Row],[qual_adj]:[size_adj]])</f>
        <v>0.96478460593231374</v>
      </c>
      <c r="BY1262" s="6">
        <f>IF(Grandview_Inventory[[#This Row],[pre_res]]&lt;0,0,Grandview_Inventory[[#This Row],[pre_res]]*Grandview_Inventory[[#This Row],[overall_adj]])</f>
        <v>268759.75915958738</v>
      </c>
      <c r="BZ1262" s="6">
        <f>(Grandview_Inventory[[#This Row],[sum_land]]-IF(Grandview_Inventory[[#This Row],[no_utilities]]=1,12000,0))/IF(Grandview_Inventory[[#This Row],[unbuildable]]=1,2,1)</f>
        <v>62462.278687236008</v>
      </c>
      <c r="CA1262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1262">
        <f>ROUND(Grandview_Inventory[[#This Row],[det_value]]*Lookups!$M$28,-2)</f>
        <v>5200</v>
      </c>
      <c r="CC1262">
        <f>IF(ROUND(Grandview_Inventory[[#This Row],[adj_res]]*Lookups!$M$28,-2)&lt;Grandview_Inventory[[#This Row],[min_res]],Grandview_Inventory[[#This Row],[min_res]],ROUND(Grandview_Inventory[[#This Row],[adj_res]]*Lookups!$M$28,-2))</f>
        <v>255300</v>
      </c>
      <c r="CD1262">
        <f>Grandview_Inventory[[#This Row],[final_det]]+Grandview_Inventory[[#This Row],[final_res]]</f>
        <v>260500</v>
      </c>
      <c r="CE1262">
        <f>Grandview_Inventory[[#This Row],[final_land]]+Grandview_Inventory[[#This Row],[final_imp]]+Grandview_Inventory[[#This Row],[crop_value]]</f>
        <v>319800</v>
      </c>
      <c r="CG1262" t="str">
        <f t="shared" si="19"/>
        <v>update valuation set market_land =59300, market_bldg=260500, market_total =319800, market_mdno =401, market_date ='9/10/2023' where link_id = (select link_id from parcel where parcel_year = '2024' and parcel_id = '23092311507');</v>
      </c>
    </row>
    <row r="1263" spans="1:85" x14ac:dyDescent="0.25">
      <c r="A1263">
        <v>23092312421</v>
      </c>
      <c r="B1263">
        <v>0.3</v>
      </c>
      <c r="C1263">
        <v>13009</v>
      </c>
      <c r="D1263" t="s">
        <v>129</v>
      </c>
      <c r="E1263" t="s">
        <v>53</v>
      </c>
      <c r="F1263" t="s">
        <v>53</v>
      </c>
      <c r="G1263">
        <v>4</v>
      </c>
      <c r="H1263" t="s">
        <v>54</v>
      </c>
      <c r="I1263">
        <v>154100</v>
      </c>
      <c r="J1263">
        <v>41200</v>
      </c>
      <c r="K1263">
        <v>0.3</v>
      </c>
      <c r="L1263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1263">
        <v>0</v>
      </c>
      <c r="N1263">
        <v>0</v>
      </c>
      <c r="O1263">
        <v>0</v>
      </c>
      <c r="P1263">
        <v>13398.7528</v>
      </c>
      <c r="Q1263">
        <v>63903</v>
      </c>
      <c r="R1263">
        <f>(Grandview_Inventory[[#This Row],[ln_acres]]*Grandview_Inventory[[#This Row],[coeff]])+Grandview_Inventory[[#This Row],[const]]</f>
        <v>47771.266016914014</v>
      </c>
      <c r="S1263" t="s">
        <v>86</v>
      </c>
      <c r="T1263">
        <v>2</v>
      </c>
      <c r="U1263" t="s">
        <v>65</v>
      </c>
      <c r="V1263" t="s">
        <v>69</v>
      </c>
      <c r="W1263">
        <v>0</v>
      </c>
      <c r="X1263">
        <v>0</v>
      </c>
      <c r="Y1263">
        <v>58</v>
      </c>
      <c r="Z1263">
        <v>104</v>
      </c>
      <c r="AA1263">
        <v>110</v>
      </c>
      <c r="AB1263">
        <v>2000</v>
      </c>
      <c r="AC1263">
        <v>1718</v>
      </c>
      <c r="AD1263">
        <v>822</v>
      </c>
      <c r="AE1263">
        <v>636</v>
      </c>
      <c r="AF1263">
        <v>0</v>
      </c>
      <c r="AG1263">
        <v>260</v>
      </c>
      <c r="AH1263">
        <v>520</v>
      </c>
      <c r="AI1263">
        <v>0</v>
      </c>
      <c r="AJ1263">
        <v>0</v>
      </c>
      <c r="AK1263">
        <v>0</v>
      </c>
      <c r="AL1263">
        <v>0</v>
      </c>
      <c r="AM1263">
        <v>603</v>
      </c>
      <c r="AN1263">
        <v>182</v>
      </c>
      <c r="AO1263">
        <v>288</v>
      </c>
      <c r="AP1263">
        <v>8</v>
      </c>
      <c r="AQ1263">
        <v>0</v>
      </c>
      <c r="AR1263">
        <v>0</v>
      </c>
      <c r="AS1263" t="s">
        <v>58</v>
      </c>
      <c r="AT1263">
        <v>1</v>
      </c>
      <c r="AU1263" t="s">
        <v>63</v>
      </c>
      <c r="AV1263" t="s">
        <v>64</v>
      </c>
      <c r="AW1263">
        <v>1</v>
      </c>
      <c r="AX1263">
        <v>3</v>
      </c>
      <c r="AY1263">
        <v>0</v>
      </c>
      <c r="AZ1263">
        <v>23300</v>
      </c>
      <c r="BA1263">
        <v>100</v>
      </c>
      <c r="BB1263">
        <v>100</v>
      </c>
      <c r="BC1263">
        <v>100</v>
      </c>
      <c r="BD1263">
        <v>100</v>
      </c>
      <c r="BE1263">
        <v>1</v>
      </c>
      <c r="BF1263">
        <v>15000</v>
      </c>
      <c r="BG1263">
        <v>1000</v>
      </c>
      <c r="BH1263" s="6">
        <f>Grandview_Inventory[[#This Row],[land_extract]]*Lookups!$B$3</f>
        <v>55476.642243023998</v>
      </c>
      <c r="BI1263" s="6">
        <f>IF(Grandview_Inventory[[#This Row],[bldg_style]]="",0,Lookups!$B$2)</f>
        <v>155833.95000000001</v>
      </c>
      <c r="BJ1263" s="6">
        <f>_xlfn.IFNA(VLOOKUP(Grandview_Inventory[[#This Row],[quality]],Lookups!$H$2:$J$14,3,FALSE),0)</f>
        <v>2251</v>
      </c>
      <c r="BK1263" s="6">
        <f>_xlfn.IFNA(VLOOKUP(Grandview_Inventory[[#This Row],[condition]],Lookups!$H$17:$J$24,3,FALSE),0)</f>
        <v>-4503</v>
      </c>
      <c r="BL1263" s="6">
        <f>Grandview_Inventory[[#This Row],[Eff_Age]]*Lookups!$B$14</f>
        <v>-13871.6628</v>
      </c>
      <c r="BM1263" s="6">
        <f>Grandview_Inventory[[#This Row],[living_area]]*Lookups!$B$15</f>
        <v>107170.305454</v>
      </c>
      <c r="BN1263" s="6">
        <f>Grandview_Inventory[[#This Row],[Fin BSMT]]*Lookups!$B$16</f>
        <v>-7045.8024000000005</v>
      </c>
      <c r="BO1263" s="6">
        <f>(Grandview_Inventory[[#This Row],[att_gar]]+Grandview_Inventory[[#This Row],[bltin_gar]])*Lookups!$B$17</f>
        <v>0</v>
      </c>
      <c r="BP1263" s="6">
        <f>Grandview_Inventory[[#This Row],[Plumbing Fixtures]]*Lookups!$B$18</f>
        <v>16083.5344</v>
      </c>
      <c r="BQ1263" s="6">
        <f>Grandview_Inventory[[#This Row],[detatched_value]]*Lookups!$B$19</f>
        <v>19730.558829999998</v>
      </c>
      <c r="BR1263" s="6">
        <f>SUM(Grandview_Inventory[[#This Row],[Intercept]:[det_value]])*Grandview_Inventory[[#This Row],[res_pct]]</f>
        <v>275648.88348400005</v>
      </c>
      <c r="BS1263" s="6">
        <f>Grandview_Inventory[[#This Row],[land_value]]</f>
        <v>55476.642243023998</v>
      </c>
      <c r="BT1263" s="4">
        <f>_xlfn.IFNA(VLOOKUP(Grandview_Inventory[[#This Row],[quality]],Lookups!$A$26:$C$33,3,FALSE),1)</f>
        <v>0.98763855981004833</v>
      </c>
      <c r="BU1263" s="4">
        <f>_xlfn.IFNA(VLOOKUP(Grandview_Inventory[[#This Row],[condition]],Lookups!$A$37:$C$44,3,FALSE),1)</f>
        <v>0.96469275950863709</v>
      </c>
      <c r="BV1263" s="4">
        <f>IF(Grandview_Inventory[[#This Row],[bldg_style]]="",1,_xlfn.IFNA(VLOOKUP(Grandview_Inventory[[#This Row],[decade]],Lookups!$F$29:$H$43,3,FALSE),1))</f>
        <v>0.92255236374249616</v>
      </c>
      <c r="BW1263" s="4">
        <f>_xlfn.IFNA(VLOOKUP(Grandview_Inventory[[#This Row],[living_area_range]],Lookups!$F$47:$H$56,3,FALSE),1)</f>
        <v>0.96120133463014379</v>
      </c>
      <c r="BX1263" s="4">
        <f>AVERAGE(Grandview_Inventory[[#This Row],[qual_adj]:[size_adj]])</f>
        <v>0.95902125442283137</v>
      </c>
      <c r="BY1263" s="6">
        <f>IF(Grandview_Inventory[[#This Row],[pre_res]]&lt;0,0,Grandview_Inventory[[#This Row],[pre_res]]*Grandview_Inventory[[#This Row],[overall_adj]])</f>
        <v>264353.13801907859</v>
      </c>
      <c r="BZ1263" s="6">
        <f>(Grandview_Inventory[[#This Row],[sum_land]]-IF(Grandview_Inventory[[#This Row],[no_utilities]]=1,12000,0))/IF(Grandview_Inventory[[#This Row],[unbuildable]]=1,2,1)</f>
        <v>55476.642243023998</v>
      </c>
      <c r="CA1263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1263">
        <f>ROUND(Grandview_Inventory[[#This Row],[det_value]]*Lookups!$M$28,-2)</f>
        <v>18700</v>
      </c>
      <c r="CC1263">
        <f>IF(ROUND(Grandview_Inventory[[#This Row],[adj_res]]*Lookups!$M$28,-2)&lt;Grandview_Inventory[[#This Row],[min_res]],Grandview_Inventory[[#This Row],[min_res]],ROUND(Grandview_Inventory[[#This Row],[adj_res]]*Lookups!$M$28,-2))</f>
        <v>251100</v>
      </c>
      <c r="CD1263">
        <f>Grandview_Inventory[[#This Row],[final_det]]+Grandview_Inventory[[#This Row],[final_res]]</f>
        <v>269800</v>
      </c>
      <c r="CE1263">
        <f>Grandview_Inventory[[#This Row],[final_land]]+Grandview_Inventory[[#This Row],[final_imp]]+Grandview_Inventory[[#This Row],[crop_value]]</f>
        <v>322500</v>
      </c>
      <c r="CG1263" t="str">
        <f t="shared" si="19"/>
        <v>update valuation set market_land =52700, market_bldg=269800, market_total =322500, market_mdno =401, market_date ='9/10/2023' where link_id = (select link_id from parcel where parcel_year = '2024' and parcel_id = '23092312421');</v>
      </c>
    </row>
    <row r="1264" spans="1:85" x14ac:dyDescent="0.25">
      <c r="A1264">
        <v>23092312504</v>
      </c>
      <c r="B1264">
        <v>0.12</v>
      </c>
      <c r="C1264">
        <v>5421</v>
      </c>
      <c r="D1264" t="s">
        <v>129</v>
      </c>
      <c r="E1264" t="s">
        <v>53</v>
      </c>
      <c r="F1264" t="s">
        <v>53</v>
      </c>
      <c r="G1264">
        <v>4</v>
      </c>
      <c r="H1264" t="s">
        <v>54</v>
      </c>
      <c r="I1264">
        <v>63000</v>
      </c>
      <c r="J1264">
        <v>38400</v>
      </c>
      <c r="K1264">
        <v>0.12</v>
      </c>
      <c r="L126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264">
        <v>0</v>
      </c>
      <c r="N1264">
        <v>0</v>
      </c>
      <c r="O1264">
        <v>0</v>
      </c>
      <c r="P1264">
        <v>13398.7528</v>
      </c>
      <c r="Q1264">
        <v>63903</v>
      </c>
      <c r="R1264">
        <f>(Grandview_Inventory[[#This Row],[ln_acres]]*Grandview_Inventory[[#This Row],[coeff]])+Grandview_Inventory[[#This Row],[const]]</f>
        <v>35494.113007601132</v>
      </c>
      <c r="S1264" t="s">
        <v>68</v>
      </c>
      <c r="T1264">
        <v>1</v>
      </c>
      <c r="U1264" t="s">
        <v>83</v>
      </c>
      <c r="V1264" t="s">
        <v>78</v>
      </c>
      <c r="W1264">
        <v>0</v>
      </c>
      <c r="X1264">
        <v>0</v>
      </c>
      <c r="Y1264">
        <v>53</v>
      </c>
      <c r="Z1264">
        <v>93</v>
      </c>
      <c r="AA1264">
        <v>100</v>
      </c>
      <c r="AB1264">
        <v>1000</v>
      </c>
      <c r="AC1264">
        <v>550</v>
      </c>
      <c r="AD1264">
        <v>550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50</v>
      </c>
      <c r="AO1264">
        <v>0</v>
      </c>
      <c r="AP1264">
        <v>5</v>
      </c>
      <c r="AQ1264">
        <v>0</v>
      </c>
      <c r="AR1264">
        <v>0</v>
      </c>
      <c r="AS1264" t="s">
        <v>58</v>
      </c>
      <c r="AT1264">
        <v>0</v>
      </c>
      <c r="AU1264" t="s">
        <v>82</v>
      </c>
      <c r="AV1264" t="s">
        <v>81</v>
      </c>
      <c r="AW1264">
        <v>0</v>
      </c>
      <c r="AX1264">
        <v>1</v>
      </c>
      <c r="AY1264">
        <v>0</v>
      </c>
      <c r="AZ1264">
        <v>0</v>
      </c>
      <c r="BA1264">
        <v>100</v>
      </c>
      <c r="BB1264">
        <v>100</v>
      </c>
      <c r="BC1264">
        <v>100</v>
      </c>
      <c r="BD1264">
        <v>100</v>
      </c>
      <c r="BE1264">
        <v>1</v>
      </c>
      <c r="BF1264">
        <v>15000</v>
      </c>
      <c r="BG1264">
        <v>1000</v>
      </c>
      <c r="BH1264" s="6">
        <f>Grandview_Inventory[[#This Row],[land_extract]]*Lookups!$B$3</f>
        <v>41219.217601622076</v>
      </c>
      <c r="BI1264" s="6">
        <f>IF(Grandview_Inventory[[#This Row],[bldg_style]]="",0,Lookups!$B$2)</f>
        <v>155833.95000000001</v>
      </c>
      <c r="BJ1264" s="6">
        <f>_xlfn.IFNA(VLOOKUP(Grandview_Inventory[[#This Row],[quality]],Lookups!$H$2:$J$14,3,FALSE),0)</f>
        <v>-28558</v>
      </c>
      <c r="BK1264" s="6">
        <f>_xlfn.IFNA(VLOOKUP(Grandview_Inventory[[#This Row],[condition]],Lookups!$H$17:$J$24,3,FALSE),0)</f>
        <v>-45357</v>
      </c>
      <c r="BL1264" s="6">
        <f>Grandview_Inventory[[#This Row],[Eff_Age]]*Lookups!$B$14</f>
        <v>-12675.8298</v>
      </c>
      <c r="BM1264" s="6">
        <f>Grandview_Inventory[[#This Row],[living_area]]*Lookups!$B$15</f>
        <v>34309.469150000004</v>
      </c>
      <c r="BN1264" s="6">
        <f>Grandview_Inventory[[#This Row],[Fin BSMT]]*Lookups!$B$16</f>
        <v>0</v>
      </c>
      <c r="BO1264" s="6">
        <f>(Grandview_Inventory[[#This Row],[att_gar]]+Grandview_Inventory[[#This Row],[bltin_gar]])*Lookups!$B$17</f>
        <v>0</v>
      </c>
      <c r="BP1264" s="6">
        <f>Grandview_Inventory[[#This Row],[Plumbing Fixtures]]*Lookups!$B$18</f>
        <v>10052.209000000001</v>
      </c>
      <c r="BQ1264" s="6">
        <f>Grandview_Inventory[[#This Row],[detatched_value]]*Lookups!$B$19</f>
        <v>0</v>
      </c>
      <c r="BR1264" s="6">
        <f>SUM(Grandview_Inventory[[#This Row],[Intercept]:[det_value]])*Grandview_Inventory[[#This Row],[res_pct]]</f>
        <v>113604.79835000001</v>
      </c>
      <c r="BS1264" s="6">
        <f>Grandview_Inventory[[#This Row],[land_value]]</f>
        <v>41219.217601622076</v>
      </c>
      <c r="BT1264" s="4">
        <f>_xlfn.IFNA(VLOOKUP(Grandview_Inventory[[#This Row],[quality]],Lookups!$A$26:$C$33,3,FALSE),1)</f>
        <v>0.96329552998502799</v>
      </c>
      <c r="BU1264" s="4">
        <f>_xlfn.IFNA(VLOOKUP(Grandview_Inventory[[#This Row],[condition]],Lookups!$A$37:$C$44,3,FALSE),1)</f>
        <v>0.97161819570155394</v>
      </c>
      <c r="BV1264" s="4">
        <f>IF(Grandview_Inventory[[#This Row],[bldg_style]]="",1,_xlfn.IFNA(VLOOKUP(Grandview_Inventory[[#This Row],[decade]],Lookups!$F$29:$H$43,3,FALSE),1))</f>
        <v>0.95244691841736806</v>
      </c>
      <c r="BW1264" s="4">
        <f>_xlfn.IFNA(VLOOKUP(Grandview_Inventory[[#This Row],[living_area_range]],Lookups!$F$47:$H$56,3,FALSE),1)</f>
        <v>0.94306777142782894</v>
      </c>
      <c r="BX1264" s="4">
        <f>AVERAGE(Grandview_Inventory[[#This Row],[qual_adj]:[size_adj]])</f>
        <v>0.95760710388294468</v>
      </c>
      <c r="BY1264" s="6">
        <f>IF(Grandview_Inventory[[#This Row],[pre_res]]&lt;0,0,Grandview_Inventory[[#This Row],[pre_res]]*Grandview_Inventory[[#This Row],[overall_adj]])</f>
        <v>108788.76193514945</v>
      </c>
      <c r="BZ1264" s="6">
        <f>(Grandview_Inventory[[#This Row],[sum_land]]-IF(Grandview_Inventory[[#This Row],[no_utilities]]=1,12000,0))/IF(Grandview_Inventory[[#This Row],[unbuildable]]=1,2,1)</f>
        <v>41219.217601622076</v>
      </c>
      <c r="CA126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264">
        <f>ROUND(Grandview_Inventory[[#This Row],[det_value]]*Lookups!$M$28,-2)</f>
        <v>0</v>
      </c>
      <c r="CC1264">
        <f>IF(ROUND(Grandview_Inventory[[#This Row],[adj_res]]*Lookups!$M$28,-2)&lt;Grandview_Inventory[[#This Row],[min_res]],Grandview_Inventory[[#This Row],[min_res]],ROUND(Grandview_Inventory[[#This Row],[adj_res]]*Lookups!$M$28,-2))</f>
        <v>103300</v>
      </c>
      <c r="CD1264">
        <f>Grandview_Inventory[[#This Row],[final_det]]+Grandview_Inventory[[#This Row],[final_res]]</f>
        <v>103300</v>
      </c>
      <c r="CE1264">
        <f>Grandview_Inventory[[#This Row],[final_land]]+Grandview_Inventory[[#This Row],[final_imp]]+Grandview_Inventory[[#This Row],[crop_value]]</f>
        <v>142500</v>
      </c>
      <c r="CG1264" t="str">
        <f t="shared" si="19"/>
        <v>update valuation set market_land =39200, market_bldg=103300, market_total =142500, market_mdno =401, market_date ='9/10/2023' where link_id = (select link_id from parcel where parcel_year = '2024' and parcel_id = '23092312504');</v>
      </c>
    </row>
    <row r="1265" spans="1:85" x14ac:dyDescent="0.25">
      <c r="A1265">
        <v>23092312511</v>
      </c>
      <c r="B1265">
        <v>0.18</v>
      </c>
      <c r="C1265">
        <v>7931</v>
      </c>
      <c r="D1265" t="s">
        <v>129</v>
      </c>
      <c r="E1265" t="s">
        <v>53</v>
      </c>
      <c r="F1265" t="s">
        <v>53</v>
      </c>
      <c r="G1265">
        <v>4</v>
      </c>
      <c r="H1265" t="s">
        <v>54</v>
      </c>
      <c r="I1265">
        <v>96800</v>
      </c>
      <c r="J1265">
        <v>39300</v>
      </c>
      <c r="K1265">
        <v>0.18</v>
      </c>
      <c r="L126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65">
        <v>0</v>
      </c>
      <c r="N1265">
        <v>0</v>
      </c>
      <c r="O1265">
        <v>0</v>
      </c>
      <c r="P1265">
        <v>13398.7528</v>
      </c>
      <c r="Q1265">
        <v>63903</v>
      </c>
      <c r="R1265">
        <f>(Grandview_Inventory[[#This Row],[ln_acres]]*Grandview_Inventory[[#This Row],[coeff]])+Grandview_Inventory[[#This Row],[const]]</f>
        <v>40926.839760167699</v>
      </c>
      <c r="S1265" t="s">
        <v>68</v>
      </c>
      <c r="T1265">
        <v>1</v>
      </c>
      <c r="U1265" t="s">
        <v>80</v>
      </c>
      <c r="V1265" t="s">
        <v>69</v>
      </c>
      <c r="W1265">
        <v>0</v>
      </c>
      <c r="X1265">
        <v>0</v>
      </c>
      <c r="Y1265">
        <v>51</v>
      </c>
      <c r="Z1265">
        <v>82</v>
      </c>
      <c r="AA1265">
        <v>90</v>
      </c>
      <c r="AB1265">
        <v>1000</v>
      </c>
      <c r="AC1265">
        <v>792</v>
      </c>
      <c r="AD1265">
        <v>720</v>
      </c>
      <c r="AE1265">
        <v>0</v>
      </c>
      <c r="AF1265">
        <v>0</v>
      </c>
      <c r="AG1265">
        <v>72</v>
      </c>
      <c r="AH1265">
        <v>648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30</v>
      </c>
      <c r="AO1265">
        <v>0</v>
      </c>
      <c r="AP1265">
        <v>5</v>
      </c>
      <c r="AQ1265">
        <v>0</v>
      </c>
      <c r="AR1265">
        <v>0</v>
      </c>
      <c r="AS1265" t="s">
        <v>58</v>
      </c>
      <c r="AT1265">
        <v>1</v>
      </c>
      <c r="AU1265" t="s">
        <v>75</v>
      </c>
      <c r="AV1265" t="s">
        <v>60</v>
      </c>
      <c r="AW1265">
        <v>0</v>
      </c>
      <c r="AX1265">
        <v>2</v>
      </c>
      <c r="AY1265">
        <v>0</v>
      </c>
      <c r="AZ1265">
        <v>5100</v>
      </c>
      <c r="BA1265">
        <v>100</v>
      </c>
      <c r="BB1265">
        <v>100</v>
      </c>
      <c r="BC1265">
        <v>100</v>
      </c>
      <c r="BD1265">
        <v>100</v>
      </c>
      <c r="BE1265">
        <v>1</v>
      </c>
      <c r="BF1265">
        <v>15000</v>
      </c>
      <c r="BG1265">
        <v>1000</v>
      </c>
      <c r="BH1265" s="6">
        <f>Grandview_Inventory[[#This Row],[land_extract]]*Lookups!$B$3</f>
        <v>47528.228511015397</v>
      </c>
      <c r="BI1265" s="6">
        <f>IF(Grandview_Inventory[[#This Row],[bldg_style]]="",0,Lookups!$B$2)</f>
        <v>155833.95000000001</v>
      </c>
      <c r="BJ1265" s="6">
        <f>_xlfn.IFNA(VLOOKUP(Grandview_Inventory[[#This Row],[quality]],Lookups!$H$2:$J$14,3,FALSE),0)</f>
        <v>-28558</v>
      </c>
      <c r="BK1265" s="6">
        <f>_xlfn.IFNA(VLOOKUP(Grandview_Inventory[[#This Row],[condition]],Lookups!$H$17:$J$24,3,FALSE),0)</f>
        <v>-4503</v>
      </c>
      <c r="BL1265" s="6">
        <f>Grandview_Inventory[[#This Row],[Eff_Age]]*Lookups!$B$14</f>
        <v>-12197.496599999999</v>
      </c>
      <c r="BM1265" s="6">
        <f>Grandview_Inventory[[#This Row],[living_area]]*Lookups!$B$15</f>
        <v>49405.635576000001</v>
      </c>
      <c r="BN1265" s="6">
        <f>Grandview_Inventory[[#This Row],[Fin BSMT]]*Lookups!$B$16</f>
        <v>-1951.1452800000002</v>
      </c>
      <c r="BO1265" s="6">
        <f>(Grandview_Inventory[[#This Row],[att_gar]]+Grandview_Inventory[[#This Row],[bltin_gar]])*Lookups!$B$17</f>
        <v>0</v>
      </c>
      <c r="BP1265" s="6">
        <f>Grandview_Inventory[[#This Row],[Plumbing Fixtures]]*Lookups!$B$18</f>
        <v>10052.209000000001</v>
      </c>
      <c r="BQ1265" s="6">
        <f>Grandview_Inventory[[#This Row],[detatched_value]]*Lookups!$B$19</f>
        <v>4318.7060099999999</v>
      </c>
      <c r="BR1265" s="6">
        <f>SUM(Grandview_Inventory[[#This Row],[Intercept]:[det_value]])*Grandview_Inventory[[#This Row],[res_pct]]</f>
        <v>172400.85870600003</v>
      </c>
      <c r="BS1265" s="6">
        <f>Grandview_Inventory[[#This Row],[land_value]]</f>
        <v>47528.228511015397</v>
      </c>
      <c r="BT1265" s="4">
        <f>_xlfn.IFNA(VLOOKUP(Grandview_Inventory[[#This Row],[quality]],Lookups!$A$26:$C$33,3,FALSE),1)</f>
        <v>0.9690360070159818</v>
      </c>
      <c r="BU1265" s="4">
        <f>_xlfn.IFNA(VLOOKUP(Grandview_Inventory[[#This Row],[condition]],Lookups!$A$37:$C$44,3,FALSE),1)</f>
        <v>0.96469275950863709</v>
      </c>
      <c r="BV1265" s="4">
        <f>IF(Grandview_Inventory[[#This Row],[bldg_style]]="",1,_xlfn.IFNA(VLOOKUP(Grandview_Inventory[[#This Row],[decade]],Lookups!$F$29:$H$43,3,FALSE),1))</f>
        <v>0.94161750052457416</v>
      </c>
      <c r="BW1265" s="4">
        <f>_xlfn.IFNA(VLOOKUP(Grandview_Inventory[[#This Row],[living_area_range]],Lookups!$F$47:$H$56,3,FALSE),1)</f>
        <v>0.94306777142782894</v>
      </c>
      <c r="BX1265" s="4">
        <f>AVERAGE(Grandview_Inventory[[#This Row],[qual_adj]:[size_adj]])</f>
        <v>0.95460350961925544</v>
      </c>
      <c r="BY1265" s="6">
        <f>IF(Grandview_Inventory[[#This Row],[pre_res]]&lt;0,0,Grandview_Inventory[[#This Row],[pre_res]]*Grandview_Inventory[[#This Row],[overall_adj]])</f>
        <v>164574.46478212101</v>
      </c>
      <c r="BZ1265" s="6">
        <f>(Grandview_Inventory[[#This Row],[sum_land]]-IF(Grandview_Inventory[[#This Row],[no_utilities]]=1,12000,0))/IF(Grandview_Inventory[[#This Row],[unbuildable]]=1,2,1)</f>
        <v>47528.228511015397</v>
      </c>
      <c r="CA126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65">
        <f>ROUND(Grandview_Inventory[[#This Row],[det_value]]*Lookups!$M$28,-2)</f>
        <v>4100</v>
      </c>
      <c r="CC1265">
        <f>IF(ROUND(Grandview_Inventory[[#This Row],[adj_res]]*Lookups!$M$28,-2)&lt;Grandview_Inventory[[#This Row],[min_res]],Grandview_Inventory[[#This Row],[min_res]],ROUND(Grandview_Inventory[[#This Row],[adj_res]]*Lookups!$M$28,-2))</f>
        <v>156300</v>
      </c>
      <c r="CD1265">
        <f>Grandview_Inventory[[#This Row],[final_det]]+Grandview_Inventory[[#This Row],[final_res]]</f>
        <v>160400</v>
      </c>
      <c r="CE1265">
        <f>Grandview_Inventory[[#This Row],[final_land]]+Grandview_Inventory[[#This Row],[final_imp]]+Grandview_Inventory[[#This Row],[crop_value]]</f>
        <v>205600</v>
      </c>
      <c r="CG1265" t="str">
        <f t="shared" si="19"/>
        <v>update valuation set market_land =45200, market_bldg=160400, market_total =205600, market_mdno =401, market_date ='9/10/2023' where link_id = (select link_id from parcel where parcel_year = '2024' and parcel_id = '23092312511');</v>
      </c>
    </row>
    <row r="1266" spans="1:85" x14ac:dyDescent="0.25">
      <c r="A1266">
        <v>23092312513</v>
      </c>
      <c r="B1266">
        <v>0.17</v>
      </c>
      <c r="C1266">
        <v>7313</v>
      </c>
      <c r="D1266" t="s">
        <v>129</v>
      </c>
      <c r="E1266" t="s">
        <v>53</v>
      </c>
      <c r="F1266" t="s">
        <v>53</v>
      </c>
      <c r="G1266">
        <v>4</v>
      </c>
      <c r="H1266" t="s">
        <v>54</v>
      </c>
      <c r="I1266">
        <v>83100</v>
      </c>
      <c r="J1266">
        <v>39100</v>
      </c>
      <c r="K1266">
        <v>0.17</v>
      </c>
      <c r="L126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66">
        <v>0</v>
      </c>
      <c r="N1266">
        <v>0</v>
      </c>
      <c r="O1266">
        <v>0</v>
      </c>
      <c r="P1266">
        <v>13398.7528</v>
      </c>
      <c r="Q1266">
        <v>63903</v>
      </c>
      <c r="R1266">
        <f>(Grandview_Inventory[[#This Row],[ln_acres]]*Grandview_Inventory[[#This Row],[coeff]])+Grandview_Inventory[[#This Row],[const]]</f>
        <v>40160.988302686128</v>
      </c>
      <c r="S1266" t="s">
        <v>68</v>
      </c>
      <c r="T1266">
        <v>1</v>
      </c>
      <c r="U1266" t="s">
        <v>80</v>
      </c>
      <c r="V1266" t="s">
        <v>69</v>
      </c>
      <c r="W1266">
        <v>0</v>
      </c>
      <c r="X1266">
        <v>0</v>
      </c>
      <c r="Y1266">
        <v>60</v>
      </c>
      <c r="Z1266">
        <v>108</v>
      </c>
      <c r="AA1266">
        <v>110</v>
      </c>
      <c r="AB1266">
        <v>1000</v>
      </c>
      <c r="AC1266">
        <v>784</v>
      </c>
      <c r="AD1266">
        <v>784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156</v>
      </c>
      <c r="AO1266">
        <v>0</v>
      </c>
      <c r="AP1266">
        <v>5</v>
      </c>
      <c r="AQ1266">
        <v>0</v>
      </c>
      <c r="AR1266">
        <v>0</v>
      </c>
      <c r="AS1266" t="s">
        <v>58</v>
      </c>
      <c r="AT1266">
        <v>1</v>
      </c>
      <c r="AU1266" t="s">
        <v>63</v>
      </c>
      <c r="AV1266" t="s">
        <v>81</v>
      </c>
      <c r="AW1266">
        <v>0</v>
      </c>
      <c r="AX1266">
        <v>2</v>
      </c>
      <c r="AY1266">
        <v>0</v>
      </c>
      <c r="AZ1266">
        <v>500</v>
      </c>
      <c r="BA1266">
        <v>100</v>
      </c>
      <c r="BB1266">
        <v>100</v>
      </c>
      <c r="BC1266">
        <v>100</v>
      </c>
      <c r="BD1266">
        <v>100</v>
      </c>
      <c r="BE1266">
        <v>1</v>
      </c>
      <c r="BF1266">
        <v>15000</v>
      </c>
      <c r="BG1266">
        <v>1000</v>
      </c>
      <c r="BH1266" s="6">
        <f>Grandview_Inventory[[#This Row],[land_extract]]*Lookups!$B$3</f>
        <v>46638.847281240982</v>
      </c>
      <c r="BI1266" s="6">
        <f>IF(Grandview_Inventory[[#This Row],[bldg_style]]="",0,Lookups!$B$2)</f>
        <v>155833.95000000001</v>
      </c>
      <c r="BJ1266" s="6">
        <f>_xlfn.IFNA(VLOOKUP(Grandview_Inventory[[#This Row],[quality]],Lookups!$H$2:$J$14,3,FALSE),0)</f>
        <v>-28558</v>
      </c>
      <c r="BK1266" s="6">
        <f>_xlfn.IFNA(VLOOKUP(Grandview_Inventory[[#This Row],[condition]],Lookups!$H$17:$J$24,3,FALSE),0)</f>
        <v>-4503</v>
      </c>
      <c r="BL1266" s="6">
        <f>Grandview_Inventory[[#This Row],[Eff_Age]]*Lookups!$B$14</f>
        <v>-14349.995999999999</v>
      </c>
      <c r="BM1266" s="6">
        <f>Grandview_Inventory[[#This Row],[living_area]]*Lookups!$B$15</f>
        <v>48906.588752000003</v>
      </c>
      <c r="BN1266" s="6">
        <f>Grandview_Inventory[[#This Row],[Fin BSMT]]*Lookups!$B$16</f>
        <v>0</v>
      </c>
      <c r="BO1266" s="6">
        <f>(Grandview_Inventory[[#This Row],[att_gar]]+Grandview_Inventory[[#This Row],[bltin_gar]])*Lookups!$B$17</f>
        <v>0</v>
      </c>
      <c r="BP1266" s="6">
        <f>Grandview_Inventory[[#This Row],[Plumbing Fixtures]]*Lookups!$B$18</f>
        <v>10052.209000000001</v>
      </c>
      <c r="BQ1266" s="6">
        <f>Grandview_Inventory[[#This Row],[detatched_value]]*Lookups!$B$19</f>
        <v>423.40254999999996</v>
      </c>
      <c r="BR1266" s="6">
        <f>SUM(Grandview_Inventory[[#This Row],[Intercept]:[det_value]])*Grandview_Inventory[[#This Row],[res_pct]]</f>
        <v>167805.15430200001</v>
      </c>
      <c r="BS1266" s="6">
        <f>Grandview_Inventory[[#This Row],[land_value]]</f>
        <v>46638.847281240982</v>
      </c>
      <c r="BT1266" s="4">
        <f>_xlfn.IFNA(VLOOKUP(Grandview_Inventory[[#This Row],[quality]],Lookups!$A$26:$C$33,3,FALSE),1)</f>
        <v>0.9690360070159818</v>
      </c>
      <c r="BU1266" s="4">
        <f>_xlfn.IFNA(VLOOKUP(Grandview_Inventory[[#This Row],[condition]],Lookups!$A$37:$C$44,3,FALSE),1)</f>
        <v>0.96469275950863709</v>
      </c>
      <c r="BV1266" s="4">
        <f>IF(Grandview_Inventory[[#This Row],[bldg_style]]="",1,_xlfn.IFNA(VLOOKUP(Grandview_Inventory[[#This Row],[decade]],Lookups!$F$29:$H$43,3,FALSE),1))</f>
        <v>0.92255236374249616</v>
      </c>
      <c r="BW1266" s="4">
        <f>_xlfn.IFNA(VLOOKUP(Grandview_Inventory[[#This Row],[living_area_range]],Lookups!$F$47:$H$56,3,FALSE),1)</f>
        <v>0.94306777142782894</v>
      </c>
      <c r="BX1266" s="4">
        <f>AVERAGE(Grandview_Inventory[[#This Row],[qual_adj]:[size_adj]])</f>
        <v>0.94983722542373594</v>
      </c>
      <c r="BY1266" s="6">
        <f>IF(Grandview_Inventory[[#This Row],[pre_res]]&lt;0,0,Grandview_Inventory[[#This Row],[pre_res]]*Grandview_Inventory[[#This Row],[overall_adj]])</f>
        <v>159387.58217401357</v>
      </c>
      <c r="BZ1266" s="6">
        <f>(Grandview_Inventory[[#This Row],[sum_land]]-IF(Grandview_Inventory[[#This Row],[no_utilities]]=1,12000,0))/IF(Grandview_Inventory[[#This Row],[unbuildable]]=1,2,1)</f>
        <v>46638.847281240982</v>
      </c>
      <c r="CA126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66">
        <f>ROUND(Grandview_Inventory[[#This Row],[det_value]]*Lookups!$M$28,-2)</f>
        <v>400</v>
      </c>
      <c r="CC1266">
        <f>IF(ROUND(Grandview_Inventory[[#This Row],[adj_res]]*Lookups!$M$28,-2)&lt;Grandview_Inventory[[#This Row],[min_res]],Grandview_Inventory[[#This Row],[min_res]],ROUND(Grandview_Inventory[[#This Row],[adj_res]]*Lookups!$M$28,-2))</f>
        <v>151400</v>
      </c>
      <c r="CD1266">
        <f>Grandview_Inventory[[#This Row],[final_det]]+Grandview_Inventory[[#This Row],[final_res]]</f>
        <v>151800</v>
      </c>
      <c r="CE1266">
        <f>Grandview_Inventory[[#This Row],[final_land]]+Grandview_Inventory[[#This Row],[final_imp]]+Grandview_Inventory[[#This Row],[crop_value]]</f>
        <v>196100</v>
      </c>
      <c r="CG1266" t="str">
        <f t="shared" si="19"/>
        <v>update valuation set market_land =44300, market_bldg=151800, market_total =196100, market_mdno =401, market_date ='9/10/2023' where link_id = (select link_id from parcel where parcel_year = '2024' and parcel_id = '23092312513');</v>
      </c>
    </row>
    <row r="1267" spans="1:85" x14ac:dyDescent="0.25">
      <c r="A1267">
        <v>23092312516</v>
      </c>
      <c r="B1267">
        <v>0.21</v>
      </c>
      <c r="C1267">
        <v>9026</v>
      </c>
      <c r="D1267" t="s">
        <v>129</v>
      </c>
      <c r="E1267" t="s">
        <v>53</v>
      </c>
      <c r="F1267" t="s">
        <v>53</v>
      </c>
      <c r="G1267">
        <v>4</v>
      </c>
      <c r="H1267" t="s">
        <v>54</v>
      </c>
      <c r="I1267">
        <v>138300</v>
      </c>
      <c r="J1267">
        <v>39700</v>
      </c>
      <c r="K1267">
        <v>0.21</v>
      </c>
      <c r="L126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267">
        <v>0</v>
      </c>
      <c r="N1267">
        <v>0</v>
      </c>
      <c r="O1267">
        <v>0</v>
      </c>
      <c r="P1267">
        <v>13398.7528</v>
      </c>
      <c r="Q1267">
        <v>63903</v>
      </c>
      <c r="R1267">
        <f>(Grandview_Inventory[[#This Row],[ln_acres]]*Grandview_Inventory[[#This Row],[coeff]])+Grandview_Inventory[[#This Row],[const]]</f>
        <v>42992.266613125081</v>
      </c>
      <c r="S1267" t="s">
        <v>61</v>
      </c>
      <c r="T1267">
        <v>1</v>
      </c>
      <c r="U1267" t="s">
        <v>65</v>
      </c>
      <c r="V1267" t="s">
        <v>69</v>
      </c>
      <c r="W1267">
        <v>0</v>
      </c>
      <c r="X1267">
        <v>0</v>
      </c>
      <c r="Y1267">
        <v>50</v>
      </c>
      <c r="Z1267">
        <v>72</v>
      </c>
      <c r="AA1267">
        <v>80</v>
      </c>
      <c r="AB1267">
        <v>1000</v>
      </c>
      <c r="AC1267">
        <v>980</v>
      </c>
      <c r="AD1267">
        <v>980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184</v>
      </c>
      <c r="AO1267">
        <v>0</v>
      </c>
      <c r="AP1267">
        <v>5</v>
      </c>
      <c r="AQ1267">
        <v>0</v>
      </c>
      <c r="AR1267">
        <v>0</v>
      </c>
      <c r="AS1267" t="s">
        <v>58</v>
      </c>
      <c r="AT1267">
        <v>1</v>
      </c>
      <c r="AU1267" t="s">
        <v>59</v>
      </c>
      <c r="AV1267" t="s">
        <v>60</v>
      </c>
      <c r="AW1267">
        <v>1</v>
      </c>
      <c r="AX1267">
        <v>2</v>
      </c>
      <c r="AY1267">
        <v>0</v>
      </c>
      <c r="AZ1267">
        <v>11200</v>
      </c>
      <c r="BA1267">
        <v>100</v>
      </c>
      <c r="BB1267">
        <v>100</v>
      </c>
      <c r="BC1267">
        <v>100</v>
      </c>
      <c r="BD1267">
        <v>100</v>
      </c>
      <c r="BE1267">
        <v>1</v>
      </c>
      <c r="BF1267">
        <v>15000</v>
      </c>
      <c r="BG1267">
        <v>1000</v>
      </c>
      <c r="BH1267" s="6">
        <f>Grandview_Inventory[[#This Row],[land_extract]]*Lookups!$B$3</f>
        <v>49926.8031387023</v>
      </c>
      <c r="BI1267" s="6">
        <f>IF(Grandview_Inventory[[#This Row],[bldg_style]]="",0,Lookups!$B$2)</f>
        <v>155833.95000000001</v>
      </c>
      <c r="BJ1267" s="6">
        <f>_xlfn.IFNA(VLOOKUP(Grandview_Inventory[[#This Row],[quality]],Lookups!$H$2:$J$14,3,FALSE),0)</f>
        <v>2251</v>
      </c>
      <c r="BK1267" s="6">
        <f>_xlfn.IFNA(VLOOKUP(Grandview_Inventory[[#This Row],[condition]],Lookups!$H$17:$J$24,3,FALSE),0)</f>
        <v>-4503</v>
      </c>
      <c r="BL1267" s="6">
        <f>Grandview_Inventory[[#This Row],[Eff_Age]]*Lookups!$B$14</f>
        <v>-11958.33</v>
      </c>
      <c r="BM1267" s="6">
        <f>Grandview_Inventory[[#This Row],[living_area]]*Lookups!$B$15</f>
        <v>61133.235939999999</v>
      </c>
      <c r="BN1267" s="6">
        <f>Grandview_Inventory[[#This Row],[Fin BSMT]]*Lookups!$B$16</f>
        <v>0</v>
      </c>
      <c r="BO1267" s="6">
        <f>(Grandview_Inventory[[#This Row],[att_gar]]+Grandview_Inventory[[#This Row],[bltin_gar]])*Lookups!$B$17</f>
        <v>0</v>
      </c>
      <c r="BP1267" s="6">
        <f>Grandview_Inventory[[#This Row],[Plumbing Fixtures]]*Lookups!$B$18</f>
        <v>10052.209000000001</v>
      </c>
      <c r="BQ1267" s="6">
        <f>Grandview_Inventory[[#This Row],[detatched_value]]*Lookups!$B$19</f>
        <v>9484.2171199999993</v>
      </c>
      <c r="BR1267" s="6">
        <f>SUM(Grandview_Inventory[[#This Row],[Intercept]:[det_value]])*Grandview_Inventory[[#This Row],[res_pct]]</f>
        <v>222293.28206000003</v>
      </c>
      <c r="BS1267" s="6">
        <f>Grandview_Inventory[[#This Row],[land_value]]</f>
        <v>49926.8031387023</v>
      </c>
      <c r="BT1267" s="4">
        <f>_xlfn.IFNA(VLOOKUP(Grandview_Inventory[[#This Row],[quality]],Lookups!$A$26:$C$33,3,FALSE),1)</f>
        <v>0.98763855981004833</v>
      </c>
      <c r="BU1267" s="4">
        <f>_xlfn.IFNA(VLOOKUP(Grandview_Inventory[[#This Row],[condition]],Lookups!$A$37:$C$44,3,FALSE),1)</f>
        <v>0.96469275950863709</v>
      </c>
      <c r="BV1267" s="4">
        <f>IF(Grandview_Inventory[[#This Row],[bldg_style]]="",1,_xlfn.IFNA(VLOOKUP(Grandview_Inventory[[#This Row],[decade]],Lookups!$F$29:$H$43,3,FALSE),1))</f>
        <v>0.98763256963907298</v>
      </c>
      <c r="BW1267" s="4">
        <f>_xlfn.IFNA(VLOOKUP(Grandview_Inventory[[#This Row],[living_area_range]],Lookups!$F$47:$H$56,3,FALSE),1)</f>
        <v>0.94306777142782894</v>
      </c>
      <c r="BX1267" s="4">
        <f>AVERAGE(Grandview_Inventory[[#This Row],[qual_adj]:[size_adj]])</f>
        <v>0.97075791509639675</v>
      </c>
      <c r="BY1267" s="6">
        <f>IF(Grandview_Inventory[[#This Row],[pre_res]]&lt;0,0,Grandview_Inventory[[#This Row],[pre_res]]*Grandview_Inventory[[#This Row],[overall_adj]])</f>
        <v>215792.96303250088</v>
      </c>
      <c r="BZ1267" s="6">
        <f>(Grandview_Inventory[[#This Row],[sum_land]]-IF(Grandview_Inventory[[#This Row],[no_utilities]]=1,12000,0))/IF(Grandview_Inventory[[#This Row],[unbuildable]]=1,2,1)</f>
        <v>49926.8031387023</v>
      </c>
      <c r="CA126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267">
        <f>ROUND(Grandview_Inventory[[#This Row],[det_value]]*Lookups!$M$28,-2)</f>
        <v>9000</v>
      </c>
      <c r="CC1267">
        <f>IF(ROUND(Grandview_Inventory[[#This Row],[adj_res]]*Lookups!$M$28,-2)&lt;Grandview_Inventory[[#This Row],[min_res]],Grandview_Inventory[[#This Row],[min_res]],ROUND(Grandview_Inventory[[#This Row],[adj_res]]*Lookups!$M$28,-2))</f>
        <v>205000</v>
      </c>
      <c r="CD1267">
        <f>Grandview_Inventory[[#This Row],[final_det]]+Grandview_Inventory[[#This Row],[final_res]]</f>
        <v>214000</v>
      </c>
      <c r="CE1267">
        <f>Grandview_Inventory[[#This Row],[final_land]]+Grandview_Inventory[[#This Row],[final_imp]]+Grandview_Inventory[[#This Row],[crop_value]]</f>
        <v>261400</v>
      </c>
      <c r="CG1267" t="str">
        <f t="shared" si="19"/>
        <v>update valuation set market_land =47400, market_bldg=214000, market_total =261400, market_mdno =401, market_date ='9/10/2023' where link_id = (select link_id from parcel where parcel_year = '2024' and parcel_id = '23092312516');</v>
      </c>
    </row>
    <row r="1268" spans="1:85" x14ac:dyDescent="0.25">
      <c r="A1268">
        <v>23092312517</v>
      </c>
      <c r="B1268">
        <v>0.34</v>
      </c>
      <c r="C1268">
        <v>14990</v>
      </c>
      <c r="D1268" t="s">
        <v>129</v>
      </c>
      <c r="E1268" t="s">
        <v>53</v>
      </c>
      <c r="F1268" t="s">
        <v>53</v>
      </c>
      <c r="G1268">
        <v>4</v>
      </c>
      <c r="H1268" t="s">
        <v>54</v>
      </c>
      <c r="I1268">
        <v>208500</v>
      </c>
      <c r="J1268">
        <v>46300</v>
      </c>
      <c r="K1268">
        <v>0.34</v>
      </c>
      <c r="L1268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268">
        <v>0</v>
      </c>
      <c r="N1268">
        <v>0</v>
      </c>
      <c r="O1268">
        <v>0</v>
      </c>
      <c r="P1268">
        <v>13398.7528</v>
      </c>
      <c r="Q1268">
        <v>63903</v>
      </c>
      <c r="R1268">
        <f>(Grandview_Inventory[[#This Row],[ln_acres]]*Grandview_Inventory[[#This Row],[coeff]])+Grandview_Inventory[[#This Row],[const]]</f>
        <v>49448.296029025805</v>
      </c>
      <c r="S1268" t="s">
        <v>61</v>
      </c>
      <c r="T1268">
        <v>1</v>
      </c>
      <c r="U1268" t="s">
        <v>65</v>
      </c>
      <c r="V1268" t="s">
        <v>69</v>
      </c>
      <c r="W1268">
        <v>0</v>
      </c>
      <c r="X1268">
        <v>0</v>
      </c>
      <c r="Y1268">
        <v>50</v>
      </c>
      <c r="Z1268">
        <v>73</v>
      </c>
      <c r="AA1268">
        <v>80</v>
      </c>
      <c r="AB1268">
        <v>2500</v>
      </c>
      <c r="AC1268">
        <v>2038</v>
      </c>
      <c r="AD1268">
        <v>2038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336</v>
      </c>
      <c r="AL1268">
        <v>0</v>
      </c>
      <c r="AM1268">
        <v>476</v>
      </c>
      <c r="AN1268">
        <v>24</v>
      </c>
      <c r="AO1268">
        <v>252</v>
      </c>
      <c r="AP1268">
        <v>5</v>
      </c>
      <c r="AQ1268">
        <v>0</v>
      </c>
      <c r="AR1268">
        <v>1</v>
      </c>
      <c r="AS1268" t="s">
        <v>58</v>
      </c>
      <c r="AT1268">
        <v>1</v>
      </c>
      <c r="AU1268" t="s">
        <v>63</v>
      </c>
      <c r="AV1268" t="s">
        <v>60</v>
      </c>
      <c r="AW1268">
        <v>0</v>
      </c>
      <c r="AX1268">
        <v>5</v>
      </c>
      <c r="AY1268">
        <v>0</v>
      </c>
      <c r="AZ1268">
        <v>11300</v>
      </c>
      <c r="BA1268">
        <v>100</v>
      </c>
      <c r="BB1268">
        <v>100</v>
      </c>
      <c r="BC1268">
        <v>100</v>
      </c>
      <c r="BD1268">
        <v>100</v>
      </c>
      <c r="BE1268">
        <v>1</v>
      </c>
      <c r="BF1268">
        <v>15000</v>
      </c>
      <c r="BG1268">
        <v>1000</v>
      </c>
      <c r="BH1268" s="6">
        <f>Grandview_Inventory[[#This Row],[land_extract]]*Lookups!$B$3</f>
        <v>57424.172668108389</v>
      </c>
      <c r="BI1268" s="6">
        <f>IF(Grandview_Inventory[[#This Row],[bldg_style]]="",0,Lookups!$B$2)</f>
        <v>155833.95000000001</v>
      </c>
      <c r="BJ1268" s="6">
        <f>_xlfn.IFNA(VLOOKUP(Grandview_Inventory[[#This Row],[quality]],Lookups!$H$2:$J$14,3,FALSE),0)</f>
        <v>2251</v>
      </c>
      <c r="BK1268" s="6">
        <f>_xlfn.IFNA(VLOOKUP(Grandview_Inventory[[#This Row],[condition]],Lookups!$H$17:$J$24,3,FALSE),0)</f>
        <v>-4503</v>
      </c>
      <c r="BL1268" s="6">
        <f>Grandview_Inventory[[#This Row],[Eff_Age]]*Lookups!$B$14</f>
        <v>-11958.33</v>
      </c>
      <c r="BM1268" s="6">
        <f>Grandview_Inventory[[#This Row],[living_area]]*Lookups!$B$15</f>
        <v>127132.17841400001</v>
      </c>
      <c r="BN1268" s="6">
        <f>Grandview_Inventory[[#This Row],[Fin BSMT]]*Lookups!$B$16</f>
        <v>0</v>
      </c>
      <c r="BO1268" s="6">
        <f>(Grandview_Inventory[[#This Row],[att_gar]]+Grandview_Inventory[[#This Row],[bltin_gar]])*Lookups!$B$17</f>
        <v>0</v>
      </c>
      <c r="BP1268" s="6">
        <f>Grandview_Inventory[[#This Row],[Plumbing Fixtures]]*Lookups!$B$18</f>
        <v>10052.209000000001</v>
      </c>
      <c r="BQ1268" s="6">
        <f>Grandview_Inventory[[#This Row],[detatched_value]]*Lookups!$B$19</f>
        <v>9568.8976299999995</v>
      </c>
      <c r="BR1268" s="6">
        <f>SUM(Grandview_Inventory[[#This Row],[Intercept]:[det_value]])*Grandview_Inventory[[#This Row],[res_pct]]</f>
        <v>288376.90504400001</v>
      </c>
      <c r="BS1268" s="6">
        <f>Grandview_Inventory[[#This Row],[land_value]]</f>
        <v>57424.172668108389</v>
      </c>
      <c r="BT1268" s="4">
        <f>_xlfn.IFNA(VLOOKUP(Grandview_Inventory[[#This Row],[quality]],Lookups!$A$26:$C$33,3,FALSE),1)</f>
        <v>0.98763855981004833</v>
      </c>
      <c r="BU1268" s="4">
        <f>_xlfn.IFNA(VLOOKUP(Grandview_Inventory[[#This Row],[condition]],Lookups!$A$37:$C$44,3,FALSE),1)</f>
        <v>0.96469275950863709</v>
      </c>
      <c r="BV1268" s="4">
        <f>IF(Grandview_Inventory[[#This Row],[bldg_style]]="",1,_xlfn.IFNA(VLOOKUP(Grandview_Inventory[[#This Row],[decade]],Lookups!$F$29:$H$43,3,FALSE),1))</f>
        <v>0.98763256963907298</v>
      </c>
      <c r="BW1268" s="4">
        <f>_xlfn.IFNA(VLOOKUP(Grandview_Inventory[[#This Row],[living_area_range]],Lookups!$F$47:$H$56,3,FALSE),1)</f>
        <v>0.95799442568048754</v>
      </c>
      <c r="BX1268" s="4">
        <f>AVERAGE(Grandview_Inventory[[#This Row],[qual_adj]:[size_adj]])</f>
        <v>0.97448957865956143</v>
      </c>
      <c r="BY1268" s="6">
        <f>IF(Grandview_Inventory[[#This Row],[pre_res]]&lt;0,0,Grandview_Inventory[[#This Row],[pre_res]]*Grandview_Inventory[[#This Row],[overall_adj]])</f>
        <v>281020.28869147593</v>
      </c>
      <c r="BZ1268" s="6">
        <f>(Grandview_Inventory[[#This Row],[sum_land]]-IF(Grandview_Inventory[[#This Row],[no_utilities]]=1,12000,0))/IF(Grandview_Inventory[[#This Row],[unbuildable]]=1,2,1)</f>
        <v>57424.172668108389</v>
      </c>
      <c r="CA1268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268">
        <f>ROUND(Grandview_Inventory[[#This Row],[det_value]]*Lookups!$M$28,-2)</f>
        <v>9100</v>
      </c>
      <c r="CC1268">
        <f>IF(ROUND(Grandview_Inventory[[#This Row],[adj_res]]*Lookups!$M$28,-2)&lt;Grandview_Inventory[[#This Row],[min_res]],Grandview_Inventory[[#This Row],[min_res]],ROUND(Grandview_Inventory[[#This Row],[adj_res]]*Lookups!$M$28,-2))</f>
        <v>267000</v>
      </c>
      <c r="CD1268">
        <f>Grandview_Inventory[[#This Row],[final_det]]+Grandview_Inventory[[#This Row],[final_res]]</f>
        <v>276100</v>
      </c>
      <c r="CE1268">
        <f>Grandview_Inventory[[#This Row],[final_land]]+Grandview_Inventory[[#This Row],[final_imp]]+Grandview_Inventory[[#This Row],[crop_value]]</f>
        <v>330700</v>
      </c>
      <c r="CG1268" t="str">
        <f t="shared" si="19"/>
        <v>update valuation set market_land =54600, market_bldg=276100, market_total =330700, market_mdno =401, market_date ='9/10/2023' where link_id = (select link_id from parcel where parcel_year = '2024' and parcel_id = '23092312517');</v>
      </c>
    </row>
    <row r="1269" spans="1:85" x14ac:dyDescent="0.25">
      <c r="A1269">
        <v>23092312518</v>
      </c>
      <c r="B1269">
        <v>0.42</v>
      </c>
      <c r="C1269">
        <v>18251</v>
      </c>
      <c r="D1269" t="s">
        <v>129</v>
      </c>
      <c r="E1269" t="s">
        <v>53</v>
      </c>
      <c r="F1269" t="s">
        <v>53</v>
      </c>
      <c r="G1269">
        <v>4</v>
      </c>
      <c r="H1269" t="s">
        <v>54</v>
      </c>
      <c r="I1269">
        <v>261000</v>
      </c>
      <c r="J1269">
        <v>41800</v>
      </c>
      <c r="K1269">
        <v>0.42</v>
      </c>
      <c r="L1269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1269">
        <v>0</v>
      </c>
      <c r="N1269">
        <v>0</v>
      </c>
      <c r="O1269">
        <v>0</v>
      </c>
      <c r="P1269">
        <v>13398.7528</v>
      </c>
      <c r="Q1269">
        <v>63903</v>
      </c>
      <c r="R1269">
        <f>(Grandview_Inventory[[#This Row],[ln_acres]]*Grandview_Inventory[[#This Row],[coeff]])+Grandview_Inventory[[#This Row],[const]]</f>
        <v>52279.574339464751</v>
      </c>
      <c r="S1269" t="s">
        <v>61</v>
      </c>
      <c r="T1269">
        <v>1</v>
      </c>
      <c r="U1269" t="s">
        <v>62</v>
      </c>
      <c r="V1269" t="s">
        <v>69</v>
      </c>
      <c r="W1269">
        <v>0</v>
      </c>
      <c r="X1269">
        <v>0</v>
      </c>
      <c r="Y1269">
        <v>48</v>
      </c>
      <c r="Z1269">
        <v>62</v>
      </c>
      <c r="AA1269">
        <v>70</v>
      </c>
      <c r="AB1269">
        <v>2500</v>
      </c>
      <c r="AC1269">
        <v>2189</v>
      </c>
      <c r="AD1269">
        <v>1967</v>
      </c>
      <c r="AE1269">
        <v>0</v>
      </c>
      <c r="AF1269">
        <v>0</v>
      </c>
      <c r="AG1269">
        <v>222</v>
      </c>
      <c r="AH1269">
        <v>938</v>
      </c>
      <c r="AI1269">
        <v>506</v>
      </c>
      <c r="AJ1269">
        <v>0</v>
      </c>
      <c r="AK1269">
        <v>0</v>
      </c>
      <c r="AL1269">
        <v>0</v>
      </c>
      <c r="AM1269">
        <v>1328</v>
      </c>
      <c r="AN1269">
        <v>60</v>
      </c>
      <c r="AO1269">
        <v>578</v>
      </c>
      <c r="AP1269">
        <v>8</v>
      </c>
      <c r="AQ1269">
        <v>0</v>
      </c>
      <c r="AR1269">
        <v>1</v>
      </c>
      <c r="AS1269" t="s">
        <v>58</v>
      </c>
      <c r="AT1269">
        <v>1</v>
      </c>
      <c r="AU1269" t="s">
        <v>59</v>
      </c>
      <c r="AV1269" t="s">
        <v>60</v>
      </c>
      <c r="AW1269">
        <v>1</v>
      </c>
      <c r="AX1269">
        <v>3</v>
      </c>
      <c r="AY1269">
        <v>0</v>
      </c>
      <c r="AZ1269">
        <v>27700</v>
      </c>
      <c r="BA1269">
        <v>100</v>
      </c>
      <c r="BB1269">
        <v>100</v>
      </c>
      <c r="BC1269">
        <v>100</v>
      </c>
      <c r="BD1269">
        <v>100</v>
      </c>
      <c r="BE1269">
        <v>1</v>
      </c>
      <c r="BF1269">
        <v>15000</v>
      </c>
      <c r="BG1269">
        <v>1000</v>
      </c>
      <c r="BH1269" s="6">
        <f>Grandview_Inventory[[#This Row],[land_extract]]*Lookups!$B$3</f>
        <v>60712.1285255697</v>
      </c>
      <c r="BI1269" s="6">
        <f>IF(Grandview_Inventory[[#This Row],[bldg_style]]="",0,Lookups!$B$2)</f>
        <v>155833.95000000001</v>
      </c>
      <c r="BJ1269" s="6">
        <f>_xlfn.IFNA(VLOOKUP(Grandview_Inventory[[#This Row],[quality]],Lookups!$H$2:$J$14,3,FALSE),0)</f>
        <v>9808</v>
      </c>
      <c r="BK1269" s="6">
        <f>_xlfn.IFNA(VLOOKUP(Grandview_Inventory[[#This Row],[condition]],Lookups!$H$17:$J$24,3,FALSE),0)</f>
        <v>-4503</v>
      </c>
      <c r="BL1269" s="6">
        <f>Grandview_Inventory[[#This Row],[Eff_Age]]*Lookups!$B$14</f>
        <v>-11479.996799999999</v>
      </c>
      <c r="BM1269" s="6">
        <f>Grandview_Inventory[[#This Row],[living_area]]*Lookups!$B$15</f>
        <v>136551.687217</v>
      </c>
      <c r="BN1269" s="6">
        <f>Grandview_Inventory[[#This Row],[Fin BSMT]]*Lookups!$B$16</f>
        <v>-6016.0312800000002</v>
      </c>
      <c r="BO1269" s="6">
        <f>(Grandview_Inventory[[#This Row],[att_gar]]+Grandview_Inventory[[#This Row],[bltin_gar]])*Lookups!$B$17</f>
        <v>44285.341121999998</v>
      </c>
      <c r="BP1269" s="6">
        <f>Grandview_Inventory[[#This Row],[Plumbing Fixtures]]*Lookups!$B$18</f>
        <v>16083.5344</v>
      </c>
      <c r="BQ1269" s="6">
        <f>Grandview_Inventory[[#This Row],[detatched_value]]*Lookups!$B$19</f>
        <v>23456.501270000001</v>
      </c>
      <c r="BR1269" s="6">
        <f>SUM(Grandview_Inventory[[#This Row],[Intercept]:[det_value]])*Grandview_Inventory[[#This Row],[res_pct]]</f>
        <v>364019.98592900007</v>
      </c>
      <c r="BS1269" s="6">
        <f>Grandview_Inventory[[#This Row],[land_value]]</f>
        <v>60712.1285255697</v>
      </c>
      <c r="BT1269" s="4">
        <f>_xlfn.IFNA(VLOOKUP(Grandview_Inventory[[#This Row],[quality]],Lookups!$A$26:$C$33,3,FALSE),1)</f>
        <v>0.94295468617355149</v>
      </c>
      <c r="BU1269" s="4">
        <f>_xlfn.IFNA(VLOOKUP(Grandview_Inventory[[#This Row],[condition]],Lookups!$A$37:$C$44,3,FALSE),1)</f>
        <v>0.96469275950863709</v>
      </c>
      <c r="BV1269" s="4">
        <f>IF(Grandview_Inventory[[#This Row],[bldg_style]]="",1,_xlfn.IFNA(VLOOKUP(Grandview_Inventory[[#This Row],[decade]],Lookups!$F$29:$H$43,3,FALSE),1))</f>
        <v>0.99472141305414818</v>
      </c>
      <c r="BW1269" s="4">
        <f>_xlfn.IFNA(VLOOKUP(Grandview_Inventory[[#This Row],[living_area_range]],Lookups!$F$47:$H$56,3,FALSE),1)</f>
        <v>0.95799442568048754</v>
      </c>
      <c r="BX1269" s="4">
        <f>AVERAGE(Grandview_Inventory[[#This Row],[qual_adj]:[size_adj]])</f>
        <v>0.96509082110420608</v>
      </c>
      <c r="BY1269" s="6">
        <f>IF(Grandview_Inventory[[#This Row],[pre_res]]&lt;0,0,Grandview_Inventory[[#This Row],[pre_res]]*Grandview_Inventory[[#This Row],[overall_adj]])</f>
        <v>351312.34711856022</v>
      </c>
      <c r="BZ1269" s="6">
        <f>(Grandview_Inventory[[#This Row],[sum_land]]-IF(Grandview_Inventory[[#This Row],[no_utilities]]=1,12000,0))/IF(Grandview_Inventory[[#This Row],[unbuildable]]=1,2,1)</f>
        <v>60712.1285255697</v>
      </c>
      <c r="CA1269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1269">
        <f>ROUND(Grandview_Inventory[[#This Row],[det_value]]*Lookups!$M$28,-2)</f>
        <v>22300</v>
      </c>
      <c r="CC1269">
        <f>IF(ROUND(Grandview_Inventory[[#This Row],[adj_res]]*Lookups!$M$28,-2)&lt;Grandview_Inventory[[#This Row],[min_res]],Grandview_Inventory[[#This Row],[min_res]],ROUND(Grandview_Inventory[[#This Row],[adj_res]]*Lookups!$M$28,-2))</f>
        <v>333700</v>
      </c>
      <c r="CD1269">
        <f>Grandview_Inventory[[#This Row],[final_det]]+Grandview_Inventory[[#This Row],[final_res]]</f>
        <v>356000</v>
      </c>
      <c r="CE1269">
        <f>Grandview_Inventory[[#This Row],[final_land]]+Grandview_Inventory[[#This Row],[final_imp]]+Grandview_Inventory[[#This Row],[crop_value]]</f>
        <v>413700</v>
      </c>
      <c r="CG1269" t="str">
        <f t="shared" si="19"/>
        <v>update valuation set market_land =57700, market_bldg=356000, market_total =413700, market_mdno =401, market_date ='9/10/2023' where link_id = (select link_id from parcel where parcel_year = '2024' and parcel_id = '23092312518');</v>
      </c>
    </row>
    <row r="1270" spans="1:85" x14ac:dyDescent="0.25">
      <c r="A1270">
        <v>23092312522</v>
      </c>
      <c r="B1270">
        <v>0.84</v>
      </c>
      <c r="C1270">
        <v>36739</v>
      </c>
      <c r="D1270" t="s">
        <v>129</v>
      </c>
      <c r="E1270" t="s">
        <v>53</v>
      </c>
      <c r="F1270" t="s">
        <v>53</v>
      </c>
      <c r="G1270">
        <v>4</v>
      </c>
      <c r="H1270" t="s">
        <v>54</v>
      </c>
      <c r="I1270">
        <v>111400</v>
      </c>
      <c r="J1270">
        <v>44000</v>
      </c>
      <c r="K1270">
        <v>0.84</v>
      </c>
      <c r="L1270">
        <f>IF(Grandview_Inventory[[#This Row],[parcel_acres]]-Grandview_Inventory[[#This Row],[non_valued_acres]] =0,0,LN(Grandview_Inventory[[#This Row],[parcel_acres]]-Grandview_Inventory[[#This Row],[non_valued_acres]]))</f>
        <v>-0.1743533871447778</v>
      </c>
      <c r="M1270">
        <v>0</v>
      </c>
      <c r="N1270">
        <v>0</v>
      </c>
      <c r="O1270">
        <v>0</v>
      </c>
      <c r="P1270">
        <v>13398.7528</v>
      </c>
      <c r="Q1270">
        <v>63903</v>
      </c>
      <c r="R1270">
        <f>(Grandview_Inventory[[#This Row],[ln_acres]]*Grandview_Inventory[[#This Row],[coeff]])+Grandview_Inventory[[#This Row],[const]]</f>
        <v>61566.882065804428</v>
      </c>
      <c r="S1270" t="s">
        <v>68</v>
      </c>
      <c r="T1270">
        <v>1</v>
      </c>
      <c r="U1270" t="s">
        <v>70</v>
      </c>
      <c r="V1270" t="s">
        <v>69</v>
      </c>
      <c r="W1270">
        <v>0</v>
      </c>
      <c r="X1270">
        <v>0</v>
      </c>
      <c r="Y1270">
        <v>58</v>
      </c>
      <c r="Z1270">
        <v>105</v>
      </c>
      <c r="AA1270">
        <v>110</v>
      </c>
      <c r="AB1270">
        <v>1000</v>
      </c>
      <c r="AC1270">
        <v>832</v>
      </c>
      <c r="AD1270">
        <v>832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5</v>
      </c>
      <c r="AQ1270">
        <v>0</v>
      </c>
      <c r="AR1270">
        <v>0</v>
      </c>
      <c r="AS1270" t="s">
        <v>58</v>
      </c>
      <c r="AT1270">
        <v>1</v>
      </c>
      <c r="AU1270" t="s">
        <v>75</v>
      </c>
      <c r="AV1270" t="s">
        <v>60</v>
      </c>
      <c r="AW1270">
        <v>0</v>
      </c>
      <c r="AX1270">
        <v>2</v>
      </c>
      <c r="AY1270">
        <v>0</v>
      </c>
      <c r="AZ1270">
        <v>0</v>
      </c>
      <c r="BA1270">
        <v>100</v>
      </c>
      <c r="BB1270">
        <v>100</v>
      </c>
      <c r="BC1270">
        <v>100</v>
      </c>
      <c r="BD1270">
        <v>100</v>
      </c>
      <c r="BE1270">
        <v>1</v>
      </c>
      <c r="BF1270">
        <v>15000</v>
      </c>
      <c r="BG1270">
        <v>1000</v>
      </c>
      <c r="BH1270" s="6">
        <f>Grandview_Inventory[[#This Row],[land_extract]]*Lookups!$B$3</f>
        <v>71497.453912437108</v>
      </c>
      <c r="BI1270" s="6">
        <f>IF(Grandview_Inventory[[#This Row],[bldg_style]]="",0,Lookups!$B$2)</f>
        <v>155833.95000000001</v>
      </c>
      <c r="BJ1270" s="6">
        <f>_xlfn.IFNA(VLOOKUP(Grandview_Inventory[[#This Row],[quality]],Lookups!$H$2:$J$14,3,FALSE),0)</f>
        <v>10733</v>
      </c>
      <c r="BK1270" s="6">
        <f>_xlfn.IFNA(VLOOKUP(Grandview_Inventory[[#This Row],[condition]],Lookups!$H$17:$J$24,3,FALSE),0)</f>
        <v>-4503</v>
      </c>
      <c r="BL1270" s="6">
        <f>Grandview_Inventory[[#This Row],[Eff_Age]]*Lookups!$B$14</f>
        <v>-13871.6628</v>
      </c>
      <c r="BM1270" s="6">
        <f>Grandview_Inventory[[#This Row],[living_area]]*Lookups!$B$15</f>
        <v>51900.869696000002</v>
      </c>
      <c r="BN1270" s="6">
        <f>Grandview_Inventory[[#This Row],[Fin BSMT]]*Lookups!$B$16</f>
        <v>0</v>
      </c>
      <c r="BO1270" s="6">
        <f>(Grandview_Inventory[[#This Row],[att_gar]]+Grandview_Inventory[[#This Row],[bltin_gar]])*Lookups!$B$17</f>
        <v>0</v>
      </c>
      <c r="BP1270" s="6">
        <f>Grandview_Inventory[[#This Row],[Plumbing Fixtures]]*Lookups!$B$18</f>
        <v>10052.209000000001</v>
      </c>
      <c r="BQ1270" s="6">
        <f>Grandview_Inventory[[#This Row],[detatched_value]]*Lookups!$B$19</f>
        <v>0</v>
      </c>
      <c r="BR1270" s="6">
        <f>SUM(Grandview_Inventory[[#This Row],[Intercept]:[det_value]])*Grandview_Inventory[[#This Row],[res_pct]]</f>
        <v>210145.36589600003</v>
      </c>
      <c r="BS1270" s="6">
        <f>Grandview_Inventory[[#This Row],[land_value]]</f>
        <v>71497.453912437108</v>
      </c>
      <c r="BT1270" s="4">
        <f>_xlfn.IFNA(VLOOKUP(Grandview_Inventory[[#This Row],[quality]],Lookups!$A$26:$C$33,3,FALSE),1)</f>
        <v>0.98079741117310582</v>
      </c>
      <c r="BU1270" s="4">
        <f>_xlfn.IFNA(VLOOKUP(Grandview_Inventory[[#This Row],[condition]],Lookups!$A$37:$C$44,3,FALSE),1)</f>
        <v>0.96469275950863709</v>
      </c>
      <c r="BV1270" s="4">
        <f>IF(Grandview_Inventory[[#This Row],[bldg_style]]="",1,_xlfn.IFNA(VLOOKUP(Grandview_Inventory[[#This Row],[decade]],Lookups!$F$29:$H$43,3,FALSE),1))</f>
        <v>0.92255236374249616</v>
      </c>
      <c r="BW1270" s="4">
        <f>_xlfn.IFNA(VLOOKUP(Grandview_Inventory[[#This Row],[living_area_range]],Lookups!$F$47:$H$56,3,FALSE),1)</f>
        <v>0.94306777142782894</v>
      </c>
      <c r="BX1270" s="4">
        <f>AVERAGE(Grandview_Inventory[[#This Row],[qual_adj]:[size_adj]])</f>
        <v>0.95277757646301697</v>
      </c>
      <c r="BY1270" s="6">
        <f>IF(Grandview_Inventory[[#This Row],[pre_res]]&lt;0,0,Grandview_Inventory[[#This Row],[pre_res]]*Grandview_Inventory[[#This Row],[overall_adj]])</f>
        <v>200221.79242332486</v>
      </c>
      <c r="BZ1270" s="6">
        <f>(Grandview_Inventory[[#This Row],[sum_land]]-IF(Grandview_Inventory[[#This Row],[no_utilities]]=1,12000,0))/IF(Grandview_Inventory[[#This Row],[unbuildable]]=1,2,1)</f>
        <v>71497.453912437108</v>
      </c>
      <c r="CA1270">
        <f>IF(ROUND(Grandview_Inventory[[#This Row],[adj_land]]*Lookups!$M$28,-2)&lt;Grandview_Inventory[[#This Row],[min_land]],Grandview_Inventory[[#This Row],[min_land]],ROUND(Grandview_Inventory[[#This Row],[adj_land]]*Lookups!$M$28,-2))</f>
        <v>67900</v>
      </c>
      <c r="CB1270">
        <f>ROUND(Grandview_Inventory[[#This Row],[det_value]]*Lookups!$M$28,-2)</f>
        <v>0</v>
      </c>
      <c r="CC1270">
        <f>IF(ROUND(Grandview_Inventory[[#This Row],[adj_res]]*Lookups!$M$28,-2)&lt;Grandview_Inventory[[#This Row],[min_res]],Grandview_Inventory[[#This Row],[min_res]],ROUND(Grandview_Inventory[[#This Row],[adj_res]]*Lookups!$M$28,-2))</f>
        <v>190200</v>
      </c>
      <c r="CD1270">
        <f>Grandview_Inventory[[#This Row],[final_det]]+Grandview_Inventory[[#This Row],[final_res]]</f>
        <v>190200</v>
      </c>
      <c r="CE1270">
        <f>Grandview_Inventory[[#This Row],[final_land]]+Grandview_Inventory[[#This Row],[final_imp]]+Grandview_Inventory[[#This Row],[crop_value]]</f>
        <v>258100</v>
      </c>
      <c r="CG1270" t="str">
        <f t="shared" si="19"/>
        <v>update valuation set market_land =67900, market_bldg=190200, market_total =258100, market_mdno =401, market_date ='9/10/2023' where link_id = (select link_id from parcel where parcel_year = '2024' and parcel_id = '23092312522');</v>
      </c>
    </row>
    <row r="1271" spans="1:85" x14ac:dyDescent="0.25">
      <c r="A1271">
        <v>23092312523</v>
      </c>
      <c r="B1271">
        <v>1.77</v>
      </c>
      <c r="C1271">
        <v>77162</v>
      </c>
      <c r="D1271" t="s">
        <v>129</v>
      </c>
      <c r="E1271" t="s">
        <v>53</v>
      </c>
      <c r="F1271" t="s">
        <v>53</v>
      </c>
      <c r="G1271">
        <v>4</v>
      </c>
      <c r="H1271" t="s">
        <v>54</v>
      </c>
      <c r="I1271">
        <v>149500</v>
      </c>
      <c r="J1271">
        <v>46100</v>
      </c>
      <c r="K1271">
        <v>1.77</v>
      </c>
      <c r="L1271">
        <f>IF(Grandview_Inventory[[#This Row],[parcel_acres]]-Grandview_Inventory[[#This Row],[non_valued_acres]] =0,0,LN(Grandview_Inventory[[#This Row],[parcel_acres]]-Grandview_Inventory[[#This Row],[non_valued_acres]]))</f>
        <v>0.5709795465857378</v>
      </c>
      <c r="M1271">
        <v>0</v>
      </c>
      <c r="N1271">
        <v>0</v>
      </c>
      <c r="O1271">
        <v>0</v>
      </c>
      <c r="P1271">
        <v>13398.7528</v>
      </c>
      <c r="Q1271">
        <v>63903</v>
      </c>
      <c r="R1271">
        <f>(Grandview_Inventory[[#This Row],[ln_acres]]*Grandview_Inventory[[#This Row],[coeff]])+Grandview_Inventory[[#This Row],[const]]</f>
        <v>71553.41379855838</v>
      </c>
      <c r="S1271" t="s">
        <v>68</v>
      </c>
      <c r="T1271">
        <v>1</v>
      </c>
      <c r="U1271" t="s">
        <v>70</v>
      </c>
      <c r="V1271" t="s">
        <v>69</v>
      </c>
      <c r="W1271">
        <v>0</v>
      </c>
      <c r="X1271">
        <v>0</v>
      </c>
      <c r="Y1271">
        <v>51</v>
      </c>
      <c r="Z1271">
        <v>78</v>
      </c>
      <c r="AA1271">
        <v>80</v>
      </c>
      <c r="AB1271">
        <v>1500</v>
      </c>
      <c r="AC1271">
        <v>1320</v>
      </c>
      <c r="AD1271">
        <v>960</v>
      </c>
      <c r="AE1271">
        <v>0</v>
      </c>
      <c r="AF1271">
        <v>0</v>
      </c>
      <c r="AG1271">
        <v>360</v>
      </c>
      <c r="AH1271">
        <v>360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25</v>
      </c>
      <c r="AO1271">
        <v>65</v>
      </c>
      <c r="AP1271">
        <v>5</v>
      </c>
      <c r="AQ1271">
        <v>0</v>
      </c>
      <c r="AR1271">
        <v>0</v>
      </c>
      <c r="AS1271" t="s">
        <v>58</v>
      </c>
      <c r="AT1271">
        <v>1</v>
      </c>
      <c r="AU1271" t="s">
        <v>63</v>
      </c>
      <c r="AV1271" t="s">
        <v>81</v>
      </c>
      <c r="AW1271">
        <v>0</v>
      </c>
      <c r="AX1271">
        <v>3</v>
      </c>
      <c r="AY1271">
        <v>0</v>
      </c>
      <c r="AZ1271">
        <v>27400</v>
      </c>
      <c r="BA1271">
        <v>100</v>
      </c>
      <c r="BB1271">
        <v>100</v>
      </c>
      <c r="BC1271">
        <v>100</v>
      </c>
      <c r="BD1271">
        <v>100</v>
      </c>
      <c r="BE1271">
        <v>1</v>
      </c>
      <c r="BF1271">
        <v>15000</v>
      </c>
      <c r="BG1271">
        <v>1000</v>
      </c>
      <c r="BH1271" s="6">
        <f>Grandview_Inventory[[#This Row],[land_extract]]*Lookups!$B$3</f>
        <v>83094.786250048594</v>
      </c>
      <c r="BI1271" s="6">
        <f>IF(Grandview_Inventory[[#This Row],[bldg_style]]="",0,Lookups!$B$2)</f>
        <v>155833.95000000001</v>
      </c>
      <c r="BJ1271" s="6">
        <f>_xlfn.IFNA(VLOOKUP(Grandview_Inventory[[#This Row],[quality]],Lookups!$H$2:$J$14,3,FALSE),0)</f>
        <v>10733</v>
      </c>
      <c r="BK1271" s="6">
        <f>_xlfn.IFNA(VLOOKUP(Grandview_Inventory[[#This Row],[condition]],Lookups!$H$17:$J$24,3,FALSE),0)</f>
        <v>-4503</v>
      </c>
      <c r="BL1271" s="6">
        <f>Grandview_Inventory[[#This Row],[Eff_Age]]*Lookups!$B$14</f>
        <v>-12197.496599999999</v>
      </c>
      <c r="BM1271" s="6">
        <f>Grandview_Inventory[[#This Row],[living_area]]*Lookups!$B$15</f>
        <v>82342.725959999996</v>
      </c>
      <c r="BN1271" s="6">
        <f>Grandview_Inventory[[#This Row],[Fin BSMT]]*Lookups!$B$16</f>
        <v>-9755.7264000000014</v>
      </c>
      <c r="BO1271" s="6">
        <f>(Grandview_Inventory[[#This Row],[att_gar]]+Grandview_Inventory[[#This Row],[bltin_gar]])*Lookups!$B$17</f>
        <v>0</v>
      </c>
      <c r="BP1271" s="6">
        <f>Grandview_Inventory[[#This Row],[Plumbing Fixtures]]*Lookups!$B$18</f>
        <v>10052.209000000001</v>
      </c>
      <c r="BQ1271" s="6">
        <f>Grandview_Inventory[[#This Row],[detatched_value]]*Lookups!$B$19</f>
        <v>23202.459739999998</v>
      </c>
      <c r="BR1271" s="6">
        <f>SUM(Grandview_Inventory[[#This Row],[Intercept]:[det_value]])*Grandview_Inventory[[#This Row],[res_pct]]</f>
        <v>255708.12169999999</v>
      </c>
      <c r="BS1271" s="6">
        <f>Grandview_Inventory[[#This Row],[land_value]]</f>
        <v>83094.786250048594</v>
      </c>
      <c r="BT1271" s="4">
        <f>_xlfn.IFNA(VLOOKUP(Grandview_Inventory[[#This Row],[quality]],Lookups!$A$26:$C$33,3,FALSE),1)</f>
        <v>0.98079741117310582</v>
      </c>
      <c r="BU1271" s="4">
        <f>_xlfn.IFNA(VLOOKUP(Grandview_Inventory[[#This Row],[condition]],Lookups!$A$37:$C$44,3,FALSE),1)</f>
        <v>0.96469275950863709</v>
      </c>
      <c r="BV1271" s="4">
        <f>IF(Grandview_Inventory[[#This Row],[bldg_style]]="",1,_xlfn.IFNA(VLOOKUP(Grandview_Inventory[[#This Row],[decade]],Lookups!$F$29:$H$43,3,FALSE),1))</f>
        <v>0.98763256963907298</v>
      </c>
      <c r="BW1271" s="4">
        <f>_xlfn.IFNA(VLOOKUP(Grandview_Inventory[[#This Row],[living_area_range]],Lookups!$F$47:$H$56,3,FALSE),1)</f>
        <v>0.96135087979789358</v>
      </c>
      <c r="BX1271" s="4">
        <f>AVERAGE(Grandview_Inventory[[#This Row],[qual_adj]:[size_adj]])</f>
        <v>0.97361840502967734</v>
      </c>
      <c r="BY1271" s="6">
        <f>IF(Grandview_Inventory[[#This Row],[pre_res]]&lt;0,0,Grandview_Inventory[[#This Row],[pre_res]]*Grandview_Inventory[[#This Row],[overall_adj]])</f>
        <v>248962.13360268861</v>
      </c>
      <c r="BZ1271" s="6">
        <f>(Grandview_Inventory[[#This Row],[sum_land]]-IF(Grandview_Inventory[[#This Row],[no_utilities]]=1,12000,0))/IF(Grandview_Inventory[[#This Row],[unbuildable]]=1,2,1)</f>
        <v>83094.786250048594</v>
      </c>
      <c r="CA1271">
        <f>IF(ROUND(Grandview_Inventory[[#This Row],[adj_land]]*Lookups!$M$28,-2)&lt;Grandview_Inventory[[#This Row],[min_land]],Grandview_Inventory[[#This Row],[min_land]],ROUND(Grandview_Inventory[[#This Row],[adj_land]]*Lookups!$M$28,-2))</f>
        <v>78900</v>
      </c>
      <c r="CB1271">
        <f>ROUND(Grandview_Inventory[[#This Row],[det_value]]*Lookups!$M$28,-2)</f>
        <v>22000</v>
      </c>
      <c r="CC1271">
        <f>IF(ROUND(Grandview_Inventory[[#This Row],[adj_res]]*Lookups!$M$28,-2)&lt;Grandview_Inventory[[#This Row],[min_res]],Grandview_Inventory[[#This Row],[min_res]],ROUND(Grandview_Inventory[[#This Row],[adj_res]]*Lookups!$M$28,-2))</f>
        <v>236500</v>
      </c>
      <c r="CD1271">
        <f>Grandview_Inventory[[#This Row],[final_det]]+Grandview_Inventory[[#This Row],[final_res]]</f>
        <v>258500</v>
      </c>
      <c r="CE1271">
        <f>Grandview_Inventory[[#This Row],[final_land]]+Grandview_Inventory[[#This Row],[final_imp]]+Grandview_Inventory[[#This Row],[crop_value]]</f>
        <v>337400</v>
      </c>
      <c r="CG1271" t="str">
        <f t="shared" si="19"/>
        <v>update valuation set market_land =78900, market_bldg=258500, market_total =337400, market_mdno =401, market_date ='9/10/2023' where link_id = (select link_id from parcel where parcel_year = '2024' and parcel_id = '23092312523');</v>
      </c>
    </row>
    <row r="1272" spans="1:85" x14ac:dyDescent="0.25">
      <c r="A1272">
        <v>23092312530</v>
      </c>
      <c r="B1272">
        <v>0.96</v>
      </c>
      <c r="C1272">
        <v>42019</v>
      </c>
      <c r="D1272" t="s">
        <v>129</v>
      </c>
      <c r="E1272" t="s">
        <v>53</v>
      </c>
      <c r="F1272" t="s">
        <v>53</v>
      </c>
      <c r="G1272">
        <v>4</v>
      </c>
      <c r="H1272" t="s">
        <v>54</v>
      </c>
      <c r="I1272">
        <v>169100</v>
      </c>
      <c r="J1272">
        <v>44200</v>
      </c>
      <c r="K1272">
        <v>0.96</v>
      </c>
      <c r="L1272">
        <f>IF(Grandview_Inventory[[#This Row],[parcel_acres]]-Grandview_Inventory[[#This Row],[non_valued_acres]] =0,0,LN(Grandview_Inventory[[#This Row],[parcel_acres]]-Grandview_Inventory[[#This Row],[non_valued_acres]]))</f>
        <v>-4.0821994520255166E-2</v>
      </c>
      <c r="M1272">
        <v>0</v>
      </c>
      <c r="N1272">
        <v>0</v>
      </c>
      <c r="O1272">
        <v>0</v>
      </c>
      <c r="P1272">
        <v>13398.7528</v>
      </c>
      <c r="Q1272">
        <v>63903</v>
      </c>
      <c r="R1272">
        <f>(Grandview_Inventory[[#This Row],[ln_acres]]*Grandview_Inventory[[#This Row],[coeff]])+Grandview_Inventory[[#This Row],[const]]</f>
        <v>63356.036186620149</v>
      </c>
      <c r="S1272" t="s">
        <v>61</v>
      </c>
      <c r="T1272">
        <v>1</v>
      </c>
      <c r="U1272" t="s">
        <v>65</v>
      </c>
      <c r="V1272" t="s">
        <v>69</v>
      </c>
      <c r="W1272">
        <v>0</v>
      </c>
      <c r="X1272">
        <v>0</v>
      </c>
      <c r="Y1272">
        <v>45</v>
      </c>
      <c r="Z1272">
        <v>51</v>
      </c>
      <c r="AA1272">
        <v>60</v>
      </c>
      <c r="AB1272">
        <v>1500</v>
      </c>
      <c r="AC1272">
        <v>1040</v>
      </c>
      <c r="AD1272">
        <v>1040</v>
      </c>
      <c r="AE1272">
        <v>0</v>
      </c>
      <c r="AF1272">
        <v>0</v>
      </c>
      <c r="AG1272">
        <v>0</v>
      </c>
      <c r="AH1272">
        <v>0</v>
      </c>
      <c r="AI1272">
        <v>312</v>
      </c>
      <c r="AJ1272">
        <v>0</v>
      </c>
      <c r="AK1272">
        <v>0</v>
      </c>
      <c r="AL1272">
        <v>0</v>
      </c>
      <c r="AM1272">
        <v>722</v>
      </c>
      <c r="AN1272">
        <v>0</v>
      </c>
      <c r="AO1272">
        <v>0</v>
      </c>
      <c r="AP1272">
        <v>5</v>
      </c>
      <c r="AQ1272">
        <v>0</v>
      </c>
      <c r="AR1272">
        <v>0</v>
      </c>
      <c r="AS1272" t="s">
        <v>58</v>
      </c>
      <c r="AT1272">
        <v>1</v>
      </c>
      <c r="AU1272" t="s">
        <v>59</v>
      </c>
      <c r="AV1272" t="s">
        <v>60</v>
      </c>
      <c r="AW1272">
        <v>1</v>
      </c>
      <c r="AX1272">
        <v>3</v>
      </c>
      <c r="AY1272">
        <v>0</v>
      </c>
      <c r="AZ1272">
        <v>15700</v>
      </c>
      <c r="BA1272">
        <v>100</v>
      </c>
      <c r="BB1272">
        <v>100</v>
      </c>
      <c r="BC1272">
        <v>100</v>
      </c>
      <c r="BD1272">
        <v>100</v>
      </c>
      <c r="BE1272">
        <v>1</v>
      </c>
      <c r="BF1272">
        <v>15000</v>
      </c>
      <c r="BG1272">
        <v>1000</v>
      </c>
      <c r="BH1272" s="6">
        <f>Grandview_Inventory[[#This Row],[land_extract]]*Lookups!$B$3</f>
        <v>73575.193762224269</v>
      </c>
      <c r="BI1272" s="6">
        <f>IF(Grandview_Inventory[[#This Row],[bldg_style]]="",0,Lookups!$B$2)</f>
        <v>155833.95000000001</v>
      </c>
      <c r="BJ1272" s="6">
        <f>_xlfn.IFNA(VLOOKUP(Grandview_Inventory[[#This Row],[quality]],Lookups!$H$2:$J$14,3,FALSE),0)</f>
        <v>2251</v>
      </c>
      <c r="BK1272" s="6">
        <f>_xlfn.IFNA(VLOOKUP(Grandview_Inventory[[#This Row],[condition]],Lookups!$H$17:$J$24,3,FALSE),0)</f>
        <v>-4503</v>
      </c>
      <c r="BL1272" s="6">
        <f>Grandview_Inventory[[#This Row],[Eff_Age]]*Lookups!$B$14</f>
        <v>-10762.496999999999</v>
      </c>
      <c r="BM1272" s="6">
        <f>Grandview_Inventory[[#This Row],[living_area]]*Lookups!$B$15</f>
        <v>64876.087120000004</v>
      </c>
      <c r="BN1272" s="6">
        <f>Grandview_Inventory[[#This Row],[Fin BSMT]]*Lookups!$B$16</f>
        <v>0</v>
      </c>
      <c r="BO1272" s="6">
        <f>(Grandview_Inventory[[#This Row],[att_gar]]+Grandview_Inventory[[#This Row],[bltin_gar]])*Lookups!$B$17</f>
        <v>27306.376344</v>
      </c>
      <c r="BP1272" s="6">
        <f>Grandview_Inventory[[#This Row],[Plumbing Fixtures]]*Lookups!$B$18</f>
        <v>10052.209000000001</v>
      </c>
      <c r="BQ1272" s="6">
        <f>Grandview_Inventory[[#This Row],[detatched_value]]*Lookups!$B$19</f>
        <v>13294.84007</v>
      </c>
      <c r="BR1272" s="6">
        <f>SUM(Grandview_Inventory[[#This Row],[Intercept]:[det_value]])*Grandview_Inventory[[#This Row],[res_pct]]</f>
        <v>258348.96553400002</v>
      </c>
      <c r="BS1272" s="6">
        <f>Grandview_Inventory[[#This Row],[land_value]]</f>
        <v>73575.193762224269</v>
      </c>
      <c r="BT1272" s="4">
        <f>_xlfn.IFNA(VLOOKUP(Grandview_Inventory[[#This Row],[quality]],Lookups!$A$26:$C$33,3,FALSE),1)</f>
        <v>0.98763855981004833</v>
      </c>
      <c r="BU1272" s="4">
        <f>_xlfn.IFNA(VLOOKUP(Grandview_Inventory[[#This Row],[condition]],Lookups!$A$37:$C$44,3,FALSE),1)</f>
        <v>0.96469275950863709</v>
      </c>
      <c r="BV1272" s="4">
        <f>IF(Grandview_Inventory[[#This Row],[bldg_style]]="",1,_xlfn.IFNA(VLOOKUP(Grandview_Inventory[[#This Row],[decade]],Lookups!$F$29:$H$43,3,FALSE),1))</f>
        <v>0.95268620544463312</v>
      </c>
      <c r="BW1272" s="4">
        <f>_xlfn.IFNA(VLOOKUP(Grandview_Inventory[[#This Row],[living_area_range]],Lookups!$F$47:$H$56,3,FALSE),1)</f>
        <v>0.96135087979789358</v>
      </c>
      <c r="BX1272" s="4">
        <f>AVERAGE(Grandview_Inventory[[#This Row],[qual_adj]:[size_adj]])</f>
        <v>0.96659210114030303</v>
      </c>
      <c r="BY1272" s="6">
        <f>IF(Grandview_Inventory[[#This Row],[pre_res]]&lt;0,0,Grandview_Inventory[[#This Row],[pre_res]]*Grandview_Inventory[[#This Row],[overall_adj]])</f>
        <v>249718.06942293281</v>
      </c>
      <c r="BZ1272" s="6">
        <f>(Grandview_Inventory[[#This Row],[sum_land]]-IF(Grandview_Inventory[[#This Row],[no_utilities]]=1,12000,0))/IF(Grandview_Inventory[[#This Row],[unbuildable]]=1,2,1)</f>
        <v>73575.193762224269</v>
      </c>
      <c r="CA1272">
        <f>IF(ROUND(Grandview_Inventory[[#This Row],[adj_land]]*Lookups!$M$28,-2)&lt;Grandview_Inventory[[#This Row],[min_land]],Grandview_Inventory[[#This Row],[min_land]],ROUND(Grandview_Inventory[[#This Row],[adj_land]]*Lookups!$M$28,-2))</f>
        <v>69900</v>
      </c>
      <c r="CB1272">
        <f>ROUND(Grandview_Inventory[[#This Row],[det_value]]*Lookups!$M$28,-2)</f>
        <v>12600</v>
      </c>
      <c r="CC1272">
        <f>IF(ROUND(Grandview_Inventory[[#This Row],[adj_res]]*Lookups!$M$28,-2)&lt;Grandview_Inventory[[#This Row],[min_res]],Grandview_Inventory[[#This Row],[min_res]],ROUND(Grandview_Inventory[[#This Row],[adj_res]]*Lookups!$M$28,-2))</f>
        <v>237200</v>
      </c>
      <c r="CD1272">
        <f>Grandview_Inventory[[#This Row],[final_det]]+Grandview_Inventory[[#This Row],[final_res]]</f>
        <v>249800</v>
      </c>
      <c r="CE1272">
        <f>Grandview_Inventory[[#This Row],[final_land]]+Grandview_Inventory[[#This Row],[final_imp]]+Grandview_Inventory[[#This Row],[crop_value]]</f>
        <v>319700</v>
      </c>
      <c r="CG1272" t="str">
        <f t="shared" si="19"/>
        <v>update valuation set market_land =69900, market_bldg=249800, market_total =319700, market_mdno =401, market_date ='9/10/2023' where link_id = (select link_id from parcel where parcel_year = '2024' and parcel_id = '23092312530');</v>
      </c>
    </row>
    <row r="1273" spans="1:85" x14ac:dyDescent="0.25">
      <c r="A1273">
        <v>23092312533</v>
      </c>
      <c r="B1273">
        <v>0.19</v>
      </c>
      <c r="C1273">
        <v>8208</v>
      </c>
      <c r="D1273" t="s">
        <v>129</v>
      </c>
      <c r="E1273" t="s">
        <v>53</v>
      </c>
      <c r="F1273" t="s">
        <v>53</v>
      </c>
      <c r="G1273">
        <v>4</v>
      </c>
      <c r="H1273" t="s">
        <v>54</v>
      </c>
      <c r="I1273">
        <v>186800</v>
      </c>
      <c r="J1273">
        <v>39500</v>
      </c>
      <c r="K1273">
        <v>0.19</v>
      </c>
      <c r="L127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273">
        <v>0</v>
      </c>
      <c r="N1273">
        <v>0</v>
      </c>
      <c r="O1273">
        <v>0</v>
      </c>
      <c r="P1273">
        <v>13398.7528</v>
      </c>
      <c r="Q1273">
        <v>63903</v>
      </c>
      <c r="R1273">
        <f>(Grandview_Inventory[[#This Row],[ln_acres]]*Grandview_Inventory[[#This Row],[coeff]])+Grandview_Inventory[[#This Row],[const]]</f>
        <v>41651.273092551026</v>
      </c>
      <c r="S1273" t="s">
        <v>85</v>
      </c>
      <c r="T1273">
        <v>1</v>
      </c>
      <c r="U1273" t="s">
        <v>65</v>
      </c>
      <c r="V1273" t="s">
        <v>69</v>
      </c>
      <c r="W1273">
        <v>0</v>
      </c>
      <c r="X1273">
        <v>0</v>
      </c>
      <c r="Y1273">
        <v>60</v>
      </c>
      <c r="Z1273">
        <v>108</v>
      </c>
      <c r="AA1273">
        <v>110</v>
      </c>
      <c r="AB1273">
        <v>2500</v>
      </c>
      <c r="AC1273">
        <v>2048</v>
      </c>
      <c r="AD1273">
        <v>1365</v>
      </c>
      <c r="AE1273">
        <v>0</v>
      </c>
      <c r="AF1273">
        <v>0</v>
      </c>
      <c r="AG1273">
        <v>683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210</v>
      </c>
      <c r="AO1273">
        <v>0</v>
      </c>
      <c r="AP1273">
        <v>8</v>
      </c>
      <c r="AQ1273">
        <v>0</v>
      </c>
      <c r="AR1273">
        <v>1</v>
      </c>
      <c r="AS1273" t="s">
        <v>58</v>
      </c>
      <c r="AT1273">
        <v>1</v>
      </c>
      <c r="AU1273" t="s">
        <v>59</v>
      </c>
      <c r="AV1273" t="s">
        <v>60</v>
      </c>
      <c r="AW1273">
        <v>1</v>
      </c>
      <c r="AX1273">
        <v>6</v>
      </c>
      <c r="AY1273">
        <v>0</v>
      </c>
      <c r="AZ1273">
        <v>10000</v>
      </c>
      <c r="BA1273">
        <v>100</v>
      </c>
      <c r="BB1273">
        <v>100</v>
      </c>
      <c r="BC1273">
        <v>100</v>
      </c>
      <c r="BD1273">
        <v>100</v>
      </c>
      <c r="BE1273">
        <v>1</v>
      </c>
      <c r="BF1273">
        <v>15000</v>
      </c>
      <c r="BG1273">
        <v>1000</v>
      </c>
      <c r="BH1273" s="6">
        <f>Grandview_Inventory[[#This Row],[land_extract]]*Lookups!$B$3</f>
        <v>48369.510983942157</v>
      </c>
      <c r="BI1273" s="6">
        <f>IF(Grandview_Inventory[[#This Row],[bldg_style]]="",0,Lookups!$B$2)</f>
        <v>155833.95000000001</v>
      </c>
      <c r="BJ1273" s="6">
        <f>_xlfn.IFNA(VLOOKUP(Grandview_Inventory[[#This Row],[quality]],Lookups!$H$2:$J$14,3,FALSE),0)</f>
        <v>2251</v>
      </c>
      <c r="BK1273" s="6">
        <f>_xlfn.IFNA(VLOOKUP(Grandview_Inventory[[#This Row],[condition]],Lookups!$H$17:$J$24,3,FALSE),0)</f>
        <v>-4503</v>
      </c>
      <c r="BL1273" s="6">
        <f>Grandview_Inventory[[#This Row],[Eff_Age]]*Lookups!$B$14</f>
        <v>-14349.995999999999</v>
      </c>
      <c r="BM1273" s="6">
        <f>Grandview_Inventory[[#This Row],[living_area]]*Lookups!$B$15</f>
        <v>127755.986944</v>
      </c>
      <c r="BN1273" s="6">
        <f>Grandview_Inventory[[#This Row],[Fin BSMT]]*Lookups!$B$16</f>
        <v>-18508.780920000001</v>
      </c>
      <c r="BO1273" s="6">
        <f>(Grandview_Inventory[[#This Row],[att_gar]]+Grandview_Inventory[[#This Row],[bltin_gar]])*Lookups!$B$17</f>
        <v>0</v>
      </c>
      <c r="BP1273" s="6">
        <f>Grandview_Inventory[[#This Row],[Plumbing Fixtures]]*Lookups!$B$18</f>
        <v>16083.5344</v>
      </c>
      <c r="BQ1273" s="6">
        <f>Grandview_Inventory[[#This Row],[detatched_value]]*Lookups!$B$19</f>
        <v>8468.0509999999995</v>
      </c>
      <c r="BR1273" s="6">
        <f>SUM(Grandview_Inventory[[#This Row],[Intercept]:[det_value]])*Grandview_Inventory[[#This Row],[res_pct]]</f>
        <v>273030.74542400002</v>
      </c>
      <c r="BS1273" s="6">
        <f>Grandview_Inventory[[#This Row],[land_value]]</f>
        <v>48369.510983942157</v>
      </c>
      <c r="BT1273" s="4">
        <f>_xlfn.IFNA(VLOOKUP(Grandview_Inventory[[#This Row],[quality]],Lookups!$A$26:$C$33,3,FALSE),1)</f>
        <v>0.98763855981004833</v>
      </c>
      <c r="BU1273" s="4">
        <f>_xlfn.IFNA(VLOOKUP(Grandview_Inventory[[#This Row],[condition]],Lookups!$A$37:$C$44,3,FALSE),1)</f>
        <v>0.96469275950863709</v>
      </c>
      <c r="BV1273" s="4">
        <f>IF(Grandview_Inventory[[#This Row],[bldg_style]]="",1,_xlfn.IFNA(VLOOKUP(Grandview_Inventory[[#This Row],[decade]],Lookups!$F$29:$H$43,3,FALSE),1))</f>
        <v>0.92255236374249616</v>
      </c>
      <c r="BW1273" s="4">
        <f>_xlfn.IFNA(VLOOKUP(Grandview_Inventory[[#This Row],[living_area_range]],Lookups!$F$47:$H$56,3,FALSE),1)</f>
        <v>0.95799442568048754</v>
      </c>
      <c r="BX1273" s="4">
        <f>AVERAGE(Grandview_Inventory[[#This Row],[qual_adj]:[size_adj]])</f>
        <v>0.95821952718541725</v>
      </c>
      <c r="BY1273" s="6">
        <f>IF(Grandview_Inventory[[#This Row],[pre_res]]&lt;0,0,Grandview_Inventory[[#This Row],[pre_res]]*Grandview_Inventory[[#This Row],[overall_adj]])</f>
        <v>261623.39178726732</v>
      </c>
      <c r="BZ1273" s="6">
        <f>(Grandview_Inventory[[#This Row],[sum_land]]-IF(Grandview_Inventory[[#This Row],[no_utilities]]=1,12000,0))/IF(Grandview_Inventory[[#This Row],[unbuildable]]=1,2,1)</f>
        <v>48369.510983942157</v>
      </c>
      <c r="CA127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273">
        <f>ROUND(Grandview_Inventory[[#This Row],[det_value]]*Lookups!$M$28,-2)</f>
        <v>8000</v>
      </c>
      <c r="CC1273">
        <f>IF(ROUND(Grandview_Inventory[[#This Row],[adj_res]]*Lookups!$M$28,-2)&lt;Grandview_Inventory[[#This Row],[min_res]],Grandview_Inventory[[#This Row],[min_res]],ROUND(Grandview_Inventory[[#This Row],[adj_res]]*Lookups!$M$28,-2))</f>
        <v>248500</v>
      </c>
      <c r="CD1273">
        <f>Grandview_Inventory[[#This Row],[final_det]]+Grandview_Inventory[[#This Row],[final_res]]</f>
        <v>256500</v>
      </c>
      <c r="CE1273">
        <f>Grandview_Inventory[[#This Row],[final_land]]+Grandview_Inventory[[#This Row],[final_imp]]+Grandview_Inventory[[#This Row],[crop_value]]</f>
        <v>302500</v>
      </c>
      <c r="CG1273" t="str">
        <f t="shared" si="19"/>
        <v>update valuation set market_land =46000, market_bldg=256500, market_total =302500, market_mdno =401, market_date ='9/10/2023' where link_id = (select link_id from parcel where parcel_year = '2024' and parcel_id = '23092312533');</v>
      </c>
    </row>
    <row r="1274" spans="1:85" x14ac:dyDescent="0.25">
      <c r="A1274">
        <v>23092312541</v>
      </c>
      <c r="B1274">
        <v>0.44</v>
      </c>
      <c r="C1274">
        <v>19061</v>
      </c>
      <c r="D1274" t="s">
        <v>129</v>
      </c>
      <c r="E1274" t="s">
        <v>53</v>
      </c>
      <c r="F1274" t="s">
        <v>53</v>
      </c>
      <c r="G1274">
        <v>4</v>
      </c>
      <c r="H1274" t="s">
        <v>54</v>
      </c>
      <c r="I1274">
        <v>283600</v>
      </c>
      <c r="J1274">
        <v>41900</v>
      </c>
      <c r="K1274">
        <v>0.44</v>
      </c>
      <c r="L1274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1274">
        <v>0</v>
      </c>
      <c r="N1274">
        <v>0</v>
      </c>
      <c r="O1274">
        <v>0</v>
      </c>
      <c r="P1274">
        <v>13398.7528</v>
      </c>
      <c r="Q1274">
        <v>63903</v>
      </c>
      <c r="R1274">
        <f>(Grandview_Inventory[[#This Row],[ln_acres]]*Grandview_Inventory[[#This Row],[coeff]])+Grandview_Inventory[[#This Row],[const]]</f>
        <v>52902.884529208815</v>
      </c>
      <c r="S1274" t="s">
        <v>58</v>
      </c>
      <c r="T1274">
        <v>1</v>
      </c>
      <c r="U1274" t="s">
        <v>62</v>
      </c>
      <c r="V1274" t="s">
        <v>57</v>
      </c>
      <c r="W1274">
        <v>0</v>
      </c>
      <c r="X1274">
        <v>0</v>
      </c>
      <c r="Y1274">
        <v>7</v>
      </c>
      <c r="Z1274">
        <v>7</v>
      </c>
      <c r="AA1274">
        <v>10</v>
      </c>
      <c r="AB1274">
        <v>2000</v>
      </c>
      <c r="AC1274">
        <v>1847</v>
      </c>
      <c r="AD1274">
        <v>1847</v>
      </c>
      <c r="AE1274">
        <v>0</v>
      </c>
      <c r="AF1274">
        <v>0</v>
      </c>
      <c r="AG1274">
        <v>0</v>
      </c>
      <c r="AH1274">
        <v>0</v>
      </c>
      <c r="AI1274">
        <v>400</v>
      </c>
      <c r="AJ1274">
        <v>0</v>
      </c>
      <c r="AK1274">
        <v>0</v>
      </c>
      <c r="AL1274">
        <v>0</v>
      </c>
      <c r="AM1274">
        <v>0</v>
      </c>
      <c r="AN1274">
        <v>681</v>
      </c>
      <c r="AO1274">
        <v>0</v>
      </c>
      <c r="AP1274">
        <v>10</v>
      </c>
      <c r="AQ1274">
        <v>0</v>
      </c>
      <c r="AR1274">
        <v>0</v>
      </c>
      <c r="AS1274" t="s">
        <v>58</v>
      </c>
      <c r="AT1274">
        <v>1</v>
      </c>
      <c r="AU1274" t="s">
        <v>59</v>
      </c>
      <c r="AV1274" t="s">
        <v>60</v>
      </c>
      <c r="AW1274">
        <v>1</v>
      </c>
      <c r="AX1274">
        <v>4</v>
      </c>
      <c r="AY1274">
        <v>0</v>
      </c>
      <c r="AZ1274">
        <v>0</v>
      </c>
      <c r="BA1274">
        <v>100</v>
      </c>
      <c r="BB1274">
        <v>100</v>
      </c>
      <c r="BC1274">
        <v>100</v>
      </c>
      <c r="BD1274">
        <v>100</v>
      </c>
      <c r="BE1274">
        <v>1</v>
      </c>
      <c r="BF1274">
        <v>15000</v>
      </c>
      <c r="BG1274">
        <v>1000</v>
      </c>
      <c r="BH1274" s="6">
        <f>Grandview_Inventory[[#This Row],[land_extract]]*Lookups!$B$3</f>
        <v>61435.976965981965</v>
      </c>
      <c r="BI1274" s="6">
        <f>IF(Grandview_Inventory[[#This Row],[bldg_style]]="",0,Lookups!$B$2)</f>
        <v>155833.95000000001</v>
      </c>
      <c r="BJ1274" s="6">
        <f>_xlfn.IFNA(VLOOKUP(Grandview_Inventory[[#This Row],[quality]],Lookups!$H$2:$J$14,3,FALSE),0)</f>
        <v>9808</v>
      </c>
      <c r="BK1274" s="6">
        <f>_xlfn.IFNA(VLOOKUP(Grandview_Inventory[[#This Row],[condition]],Lookups!$H$17:$J$24,3,FALSE),0)</f>
        <v>25780</v>
      </c>
      <c r="BL1274" s="6">
        <f>Grandview_Inventory[[#This Row],[Eff_Age]]*Lookups!$B$14</f>
        <v>-1674.1661999999999</v>
      </c>
      <c r="BM1274" s="6">
        <f>Grandview_Inventory[[#This Row],[living_area]]*Lookups!$B$15</f>
        <v>115217.435491</v>
      </c>
      <c r="BN1274" s="6">
        <f>Grandview_Inventory[[#This Row],[Fin BSMT]]*Lookups!$B$16</f>
        <v>0</v>
      </c>
      <c r="BO1274" s="6">
        <f>(Grandview_Inventory[[#This Row],[att_gar]]+Grandview_Inventory[[#This Row],[bltin_gar]])*Lookups!$B$17</f>
        <v>35008.174800000001</v>
      </c>
      <c r="BP1274" s="6">
        <f>Grandview_Inventory[[#This Row],[Plumbing Fixtures]]*Lookups!$B$18</f>
        <v>20104.418000000001</v>
      </c>
      <c r="BQ1274" s="6">
        <f>Grandview_Inventory[[#This Row],[detatched_value]]*Lookups!$B$19</f>
        <v>0</v>
      </c>
      <c r="BR1274" s="6">
        <f>SUM(Grandview_Inventory[[#This Row],[Intercept]:[det_value]])*Grandview_Inventory[[#This Row],[res_pct]]</f>
        <v>360077.81209099997</v>
      </c>
      <c r="BS1274" s="6">
        <f>Grandview_Inventory[[#This Row],[land_value]]</f>
        <v>61435.976965981965</v>
      </c>
      <c r="BT1274" s="4">
        <f>_xlfn.IFNA(VLOOKUP(Grandview_Inventory[[#This Row],[quality]],Lookups!$A$26:$C$33,3,FALSE),1)</f>
        <v>0.94295468617355149</v>
      </c>
      <c r="BU1274" s="4">
        <f>_xlfn.IFNA(VLOOKUP(Grandview_Inventory[[#This Row],[condition]],Lookups!$A$37:$C$44,3,FALSE),1)</f>
        <v>0.94347925387812148</v>
      </c>
      <c r="BV1274" s="4">
        <f>IF(Grandview_Inventory[[#This Row],[bldg_style]]="",1,_xlfn.IFNA(VLOOKUP(Grandview_Inventory[[#This Row],[decade]],Lookups!$F$29:$H$43,3,FALSE),1))</f>
        <v>0.94601966599150278</v>
      </c>
      <c r="BW1274" s="4">
        <f>_xlfn.IFNA(VLOOKUP(Grandview_Inventory[[#This Row],[living_area_range]],Lookups!$F$47:$H$56,3,FALSE),1)</f>
        <v>0.96120133463014379</v>
      </c>
      <c r="BX1274" s="4">
        <f>AVERAGE(Grandview_Inventory[[#This Row],[qual_adj]:[size_adj]])</f>
        <v>0.94841373516832994</v>
      </c>
      <c r="BY1274" s="6">
        <f>IF(Grandview_Inventory[[#This Row],[pre_res]]&lt;0,0,Grandview_Inventory[[#This Row],[pre_res]]*Grandview_Inventory[[#This Row],[overall_adj]])</f>
        <v>341502.74271646532</v>
      </c>
      <c r="BZ1274" s="6">
        <f>(Grandview_Inventory[[#This Row],[sum_land]]-IF(Grandview_Inventory[[#This Row],[no_utilities]]=1,12000,0))/IF(Grandview_Inventory[[#This Row],[unbuildable]]=1,2,1)</f>
        <v>61435.976965981965</v>
      </c>
      <c r="CA1274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1274">
        <f>ROUND(Grandview_Inventory[[#This Row],[det_value]]*Lookups!$M$28,-2)</f>
        <v>0</v>
      </c>
      <c r="CC1274">
        <f>IF(ROUND(Grandview_Inventory[[#This Row],[adj_res]]*Lookups!$M$28,-2)&lt;Grandview_Inventory[[#This Row],[min_res]],Grandview_Inventory[[#This Row],[min_res]],ROUND(Grandview_Inventory[[#This Row],[adj_res]]*Lookups!$M$28,-2))</f>
        <v>324400</v>
      </c>
      <c r="CD1274">
        <f>Grandview_Inventory[[#This Row],[final_det]]+Grandview_Inventory[[#This Row],[final_res]]</f>
        <v>324400</v>
      </c>
      <c r="CE1274">
        <f>Grandview_Inventory[[#This Row],[final_land]]+Grandview_Inventory[[#This Row],[final_imp]]+Grandview_Inventory[[#This Row],[crop_value]]</f>
        <v>382800</v>
      </c>
      <c r="CG1274" t="str">
        <f t="shared" si="19"/>
        <v>update valuation set market_land =58400, market_bldg=324400, market_total =382800, market_mdno =401, market_date ='9/10/2023' where link_id = (select link_id from parcel where parcel_year = '2024' and parcel_id = '23092312541');</v>
      </c>
    </row>
    <row r="1275" spans="1:85" x14ac:dyDescent="0.25">
      <c r="A1275">
        <v>23092312542</v>
      </c>
      <c r="B1275">
        <v>0.47</v>
      </c>
      <c r="C1275">
        <v>20568</v>
      </c>
      <c r="D1275" t="s">
        <v>129</v>
      </c>
      <c r="E1275" t="s">
        <v>53</v>
      </c>
      <c r="F1275" t="s">
        <v>53</v>
      </c>
      <c r="G1275">
        <v>4</v>
      </c>
      <c r="H1275" t="s">
        <v>54</v>
      </c>
      <c r="I1275">
        <v>162700</v>
      </c>
      <c r="J1275">
        <v>46800</v>
      </c>
      <c r="K1275">
        <v>0.47</v>
      </c>
      <c r="L1275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1275">
        <v>0</v>
      </c>
      <c r="N1275">
        <v>0</v>
      </c>
      <c r="O1275">
        <v>0</v>
      </c>
      <c r="P1275">
        <v>13398.7528</v>
      </c>
      <c r="Q1275">
        <v>63903</v>
      </c>
      <c r="R1275">
        <f>(Grandview_Inventory[[#This Row],[ln_acres]]*Grandview_Inventory[[#This Row],[coeff]])+Grandview_Inventory[[#This Row],[const]]</f>
        <v>53786.639034841472</v>
      </c>
      <c r="S1275" t="s">
        <v>68</v>
      </c>
      <c r="T1275">
        <v>1</v>
      </c>
      <c r="U1275" t="s">
        <v>70</v>
      </c>
      <c r="V1275" t="s">
        <v>69</v>
      </c>
      <c r="W1275">
        <v>0</v>
      </c>
      <c r="X1275">
        <v>0</v>
      </c>
      <c r="Y1275">
        <v>57</v>
      </c>
      <c r="Z1275">
        <v>103</v>
      </c>
      <c r="AA1275">
        <v>110</v>
      </c>
      <c r="AB1275">
        <v>2500</v>
      </c>
      <c r="AC1275">
        <v>2126</v>
      </c>
      <c r="AD1275">
        <v>1276</v>
      </c>
      <c r="AE1275">
        <v>0</v>
      </c>
      <c r="AF1275">
        <v>0</v>
      </c>
      <c r="AG1275">
        <v>850</v>
      </c>
      <c r="AH1275">
        <v>0</v>
      </c>
      <c r="AI1275">
        <v>0</v>
      </c>
      <c r="AJ1275">
        <v>0</v>
      </c>
      <c r="AK1275">
        <v>0</v>
      </c>
      <c r="AL1275">
        <v>135</v>
      </c>
      <c r="AM1275">
        <v>0</v>
      </c>
      <c r="AN1275">
        <v>0</v>
      </c>
      <c r="AO1275">
        <v>215</v>
      </c>
      <c r="AP1275">
        <v>8</v>
      </c>
      <c r="AQ1275">
        <v>0</v>
      </c>
      <c r="AR1275">
        <v>0</v>
      </c>
      <c r="AS1275" t="s">
        <v>58</v>
      </c>
      <c r="AT1275">
        <v>1</v>
      </c>
      <c r="AU1275" t="s">
        <v>75</v>
      </c>
      <c r="AV1275" t="s">
        <v>60</v>
      </c>
      <c r="AW1275">
        <v>0</v>
      </c>
      <c r="AX1275">
        <v>5</v>
      </c>
      <c r="AY1275">
        <v>0</v>
      </c>
      <c r="AZ1275">
        <v>4700</v>
      </c>
      <c r="BA1275">
        <v>100</v>
      </c>
      <c r="BB1275">
        <v>100</v>
      </c>
      <c r="BC1275">
        <v>100</v>
      </c>
      <c r="BD1275">
        <v>100</v>
      </c>
      <c r="BE1275">
        <v>1</v>
      </c>
      <c r="BF1275">
        <v>15000</v>
      </c>
      <c r="BG1275">
        <v>1000</v>
      </c>
      <c r="BH1275" s="6">
        <f>Grandview_Inventory[[#This Row],[land_extract]]*Lookups!$B$3</f>
        <v>62462.278687236008</v>
      </c>
      <c r="BI1275" s="6">
        <f>IF(Grandview_Inventory[[#This Row],[bldg_style]]="",0,Lookups!$B$2)</f>
        <v>155833.95000000001</v>
      </c>
      <c r="BJ1275" s="6">
        <f>_xlfn.IFNA(VLOOKUP(Grandview_Inventory[[#This Row],[quality]],Lookups!$H$2:$J$14,3,FALSE),0)</f>
        <v>10733</v>
      </c>
      <c r="BK1275" s="6">
        <f>_xlfn.IFNA(VLOOKUP(Grandview_Inventory[[#This Row],[condition]],Lookups!$H$17:$J$24,3,FALSE),0)</f>
        <v>-4503</v>
      </c>
      <c r="BL1275" s="6">
        <f>Grandview_Inventory[[#This Row],[Eff_Age]]*Lookups!$B$14</f>
        <v>-13632.4962</v>
      </c>
      <c r="BM1275" s="6">
        <f>Grandview_Inventory[[#This Row],[living_area]]*Lookups!$B$15</f>
        <v>132621.693478</v>
      </c>
      <c r="BN1275" s="6">
        <f>Grandview_Inventory[[#This Row],[Fin BSMT]]*Lookups!$B$16</f>
        <v>-23034.354000000003</v>
      </c>
      <c r="BO1275" s="6">
        <f>(Grandview_Inventory[[#This Row],[att_gar]]+Grandview_Inventory[[#This Row],[bltin_gar]])*Lookups!$B$17</f>
        <v>0</v>
      </c>
      <c r="BP1275" s="6">
        <f>Grandview_Inventory[[#This Row],[Plumbing Fixtures]]*Lookups!$B$18</f>
        <v>16083.5344</v>
      </c>
      <c r="BQ1275" s="6">
        <f>Grandview_Inventory[[#This Row],[detatched_value]]*Lookups!$B$19</f>
        <v>3979.9839699999998</v>
      </c>
      <c r="BR1275" s="6">
        <f>SUM(Grandview_Inventory[[#This Row],[Intercept]:[det_value]])*Grandview_Inventory[[#This Row],[res_pct]]</f>
        <v>278082.31164800003</v>
      </c>
      <c r="BS1275" s="6">
        <f>Grandview_Inventory[[#This Row],[land_value]]</f>
        <v>62462.278687236008</v>
      </c>
      <c r="BT1275" s="4">
        <f>_xlfn.IFNA(VLOOKUP(Grandview_Inventory[[#This Row],[quality]],Lookups!$A$26:$C$33,3,FALSE),1)</f>
        <v>0.98079741117310582</v>
      </c>
      <c r="BU1275" s="4">
        <f>_xlfn.IFNA(VLOOKUP(Grandview_Inventory[[#This Row],[condition]],Lookups!$A$37:$C$44,3,FALSE),1)</f>
        <v>0.96469275950863709</v>
      </c>
      <c r="BV1275" s="4">
        <f>IF(Grandview_Inventory[[#This Row],[bldg_style]]="",1,_xlfn.IFNA(VLOOKUP(Grandview_Inventory[[#This Row],[decade]],Lookups!$F$29:$H$43,3,FALSE),1))</f>
        <v>0.92255236374249616</v>
      </c>
      <c r="BW1275" s="4">
        <f>_xlfn.IFNA(VLOOKUP(Grandview_Inventory[[#This Row],[living_area_range]],Lookups!$F$47:$H$56,3,FALSE),1)</f>
        <v>0.95799442568048754</v>
      </c>
      <c r="BX1275" s="4">
        <f>AVERAGE(Grandview_Inventory[[#This Row],[qual_adj]:[size_adj]])</f>
        <v>0.95650924002618165</v>
      </c>
      <c r="BY1275" s="6">
        <f>IF(Grandview_Inventory[[#This Row],[pre_res]]&lt;0,0,Grandview_Inventory[[#This Row],[pre_res]]*Grandview_Inventory[[#This Row],[overall_adj]])</f>
        <v>265988.3005791523</v>
      </c>
      <c r="BZ1275" s="6">
        <f>(Grandview_Inventory[[#This Row],[sum_land]]-IF(Grandview_Inventory[[#This Row],[no_utilities]]=1,12000,0))/IF(Grandview_Inventory[[#This Row],[unbuildable]]=1,2,1)</f>
        <v>62462.278687236008</v>
      </c>
      <c r="CA1275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1275">
        <f>ROUND(Grandview_Inventory[[#This Row],[det_value]]*Lookups!$M$28,-2)</f>
        <v>3800</v>
      </c>
      <c r="CC1275">
        <f>IF(ROUND(Grandview_Inventory[[#This Row],[adj_res]]*Lookups!$M$28,-2)&lt;Grandview_Inventory[[#This Row],[min_res]],Grandview_Inventory[[#This Row],[min_res]],ROUND(Grandview_Inventory[[#This Row],[adj_res]]*Lookups!$M$28,-2))</f>
        <v>252700</v>
      </c>
      <c r="CD1275">
        <f>Grandview_Inventory[[#This Row],[final_det]]+Grandview_Inventory[[#This Row],[final_res]]</f>
        <v>256500</v>
      </c>
      <c r="CE1275">
        <f>Grandview_Inventory[[#This Row],[final_land]]+Grandview_Inventory[[#This Row],[final_imp]]+Grandview_Inventory[[#This Row],[crop_value]]</f>
        <v>315800</v>
      </c>
      <c r="CG1275" t="str">
        <f t="shared" si="19"/>
        <v>update valuation set market_land =59300, market_bldg=256500, market_total =315800, market_mdno =401, market_date ='9/10/2023' where link_id = (select link_id from parcel where parcel_year = '2024' and parcel_id = '23092312542');</v>
      </c>
    </row>
    <row r="1276" spans="1:85" x14ac:dyDescent="0.25">
      <c r="A1276">
        <v>23092313400</v>
      </c>
      <c r="B1276">
        <v>0.2</v>
      </c>
      <c r="C1276">
        <v>8612</v>
      </c>
      <c r="D1276" t="s">
        <v>129</v>
      </c>
      <c r="E1276" t="s">
        <v>53</v>
      </c>
      <c r="F1276" t="s">
        <v>53</v>
      </c>
      <c r="G1276">
        <v>4</v>
      </c>
      <c r="H1276" t="s">
        <v>54</v>
      </c>
      <c r="I1276">
        <v>173000</v>
      </c>
      <c r="J1276">
        <v>39700</v>
      </c>
      <c r="K1276">
        <v>0.2</v>
      </c>
      <c r="L127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276">
        <v>0</v>
      </c>
      <c r="N1276">
        <v>0</v>
      </c>
      <c r="O1276">
        <v>0</v>
      </c>
      <c r="P1276">
        <v>13398.7528</v>
      </c>
      <c r="Q1276">
        <v>63903</v>
      </c>
      <c r="R1276">
        <f>(Grandview_Inventory[[#This Row],[ln_acres]]*Grandview_Inventory[[#This Row],[coeff]])+Grandview_Inventory[[#This Row],[const]]</f>
        <v>42338.539264347448</v>
      </c>
      <c r="S1276" t="s">
        <v>68</v>
      </c>
      <c r="T1276">
        <v>1</v>
      </c>
      <c r="U1276" t="s">
        <v>70</v>
      </c>
      <c r="V1276" t="s">
        <v>67</v>
      </c>
      <c r="W1276">
        <v>0</v>
      </c>
      <c r="X1276">
        <v>0</v>
      </c>
      <c r="Y1276">
        <v>55</v>
      </c>
      <c r="Z1276">
        <v>98</v>
      </c>
      <c r="AA1276">
        <v>100</v>
      </c>
      <c r="AB1276">
        <v>1500</v>
      </c>
      <c r="AC1276">
        <v>1234</v>
      </c>
      <c r="AD1276">
        <v>1234</v>
      </c>
      <c r="AE1276">
        <v>0</v>
      </c>
      <c r="AF1276">
        <v>0</v>
      </c>
      <c r="AG1276">
        <v>0</v>
      </c>
      <c r="AH1276">
        <v>192</v>
      </c>
      <c r="AI1276">
        <v>0</v>
      </c>
      <c r="AJ1276">
        <v>0</v>
      </c>
      <c r="AK1276">
        <v>0</v>
      </c>
      <c r="AL1276">
        <v>0</v>
      </c>
      <c r="AM1276">
        <v>168</v>
      </c>
      <c r="AN1276">
        <v>182</v>
      </c>
      <c r="AO1276">
        <v>168</v>
      </c>
      <c r="AP1276">
        <v>5</v>
      </c>
      <c r="AQ1276">
        <v>0</v>
      </c>
      <c r="AR1276">
        <v>0</v>
      </c>
      <c r="AS1276" t="s">
        <v>58</v>
      </c>
      <c r="AT1276">
        <v>1</v>
      </c>
      <c r="AU1276" t="s">
        <v>75</v>
      </c>
      <c r="AV1276" t="s">
        <v>60</v>
      </c>
      <c r="AW1276">
        <v>0</v>
      </c>
      <c r="AX1276">
        <v>2</v>
      </c>
      <c r="AY1276">
        <v>0</v>
      </c>
      <c r="AZ1276">
        <v>9300</v>
      </c>
      <c r="BA1276">
        <v>100</v>
      </c>
      <c r="BB1276">
        <v>100</v>
      </c>
      <c r="BC1276">
        <v>100</v>
      </c>
      <c r="BD1276">
        <v>100</v>
      </c>
      <c r="BE1276">
        <v>1</v>
      </c>
      <c r="BF1276">
        <v>15000</v>
      </c>
      <c r="BG1276">
        <v>1000</v>
      </c>
      <c r="BH1276" s="6">
        <f>Grandview_Inventory[[#This Row],[land_extract]]*Lookups!$B$3</f>
        <v>49167.631333630678</v>
      </c>
      <c r="BI1276" s="6">
        <f>IF(Grandview_Inventory[[#This Row],[bldg_style]]="",0,Lookups!$B$2)</f>
        <v>155833.95000000001</v>
      </c>
      <c r="BJ1276" s="6">
        <f>_xlfn.IFNA(VLOOKUP(Grandview_Inventory[[#This Row],[quality]],Lookups!$H$2:$J$14,3,FALSE),0)</f>
        <v>10733</v>
      </c>
      <c r="BK1276" s="6">
        <f>_xlfn.IFNA(VLOOKUP(Grandview_Inventory[[#This Row],[condition]],Lookups!$H$17:$J$24,3,FALSE),0)</f>
        <v>22342</v>
      </c>
      <c r="BL1276" s="6">
        <f>Grandview_Inventory[[#This Row],[Eff_Age]]*Lookups!$B$14</f>
        <v>-13154.162999999999</v>
      </c>
      <c r="BM1276" s="6">
        <f>Grandview_Inventory[[#This Row],[living_area]]*Lookups!$B$15</f>
        <v>76977.972602000009</v>
      </c>
      <c r="BN1276" s="6">
        <f>Grandview_Inventory[[#This Row],[Fin BSMT]]*Lookups!$B$16</f>
        <v>0</v>
      </c>
      <c r="BO1276" s="6">
        <f>(Grandview_Inventory[[#This Row],[att_gar]]+Grandview_Inventory[[#This Row],[bltin_gar]])*Lookups!$B$17</f>
        <v>0</v>
      </c>
      <c r="BP1276" s="6">
        <f>Grandview_Inventory[[#This Row],[Plumbing Fixtures]]*Lookups!$B$18</f>
        <v>10052.209000000001</v>
      </c>
      <c r="BQ1276" s="6">
        <f>Grandview_Inventory[[#This Row],[detatched_value]]*Lookups!$B$19</f>
        <v>7875.2874299999994</v>
      </c>
      <c r="BR1276" s="6">
        <f>SUM(Grandview_Inventory[[#This Row],[Intercept]:[det_value]])*Grandview_Inventory[[#This Row],[res_pct]]</f>
        <v>270660.256032</v>
      </c>
      <c r="BS1276" s="6">
        <f>Grandview_Inventory[[#This Row],[land_value]]</f>
        <v>49167.631333630678</v>
      </c>
      <c r="BT1276" s="4">
        <f>_xlfn.IFNA(VLOOKUP(Grandview_Inventory[[#This Row],[quality]],Lookups!$A$26:$C$33,3,FALSE),1)</f>
        <v>0.98079741117310582</v>
      </c>
      <c r="BU1276" s="4">
        <f>_xlfn.IFNA(VLOOKUP(Grandview_Inventory[[#This Row],[condition]],Lookups!$A$37:$C$44,3,FALSE),1)</f>
        <v>0.97383723671140243</v>
      </c>
      <c r="BV1276" s="4">
        <f>IF(Grandview_Inventory[[#This Row],[bldg_style]]="",1,_xlfn.IFNA(VLOOKUP(Grandview_Inventory[[#This Row],[decade]],Lookups!$F$29:$H$43,3,FALSE),1))</f>
        <v>0.95244691841736806</v>
      </c>
      <c r="BW1276" s="4">
        <f>_xlfn.IFNA(VLOOKUP(Grandview_Inventory[[#This Row],[living_area_range]],Lookups!$F$47:$H$56,3,FALSE),1)</f>
        <v>0.96135087979789358</v>
      </c>
      <c r="BX1276" s="4">
        <f>AVERAGE(Grandview_Inventory[[#This Row],[qual_adj]:[size_adj]])</f>
        <v>0.96710811152494247</v>
      </c>
      <c r="BY1276" s="6">
        <f>IF(Grandview_Inventory[[#This Row],[pre_res]]&lt;0,0,Grandview_Inventory[[#This Row],[pre_res]]*Grandview_Inventory[[#This Row],[overall_adj]])</f>
        <v>261757.72907596495</v>
      </c>
      <c r="BZ1276" s="6">
        <f>(Grandview_Inventory[[#This Row],[sum_land]]-IF(Grandview_Inventory[[#This Row],[no_utilities]]=1,12000,0))/IF(Grandview_Inventory[[#This Row],[unbuildable]]=1,2,1)</f>
        <v>49167.631333630678</v>
      </c>
      <c r="CA127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276">
        <f>ROUND(Grandview_Inventory[[#This Row],[det_value]]*Lookups!$M$28,-2)</f>
        <v>7500</v>
      </c>
      <c r="CC1276">
        <f>IF(ROUND(Grandview_Inventory[[#This Row],[adj_res]]*Lookups!$M$28,-2)&lt;Grandview_Inventory[[#This Row],[min_res]],Grandview_Inventory[[#This Row],[min_res]],ROUND(Grandview_Inventory[[#This Row],[adj_res]]*Lookups!$M$28,-2))</f>
        <v>248700</v>
      </c>
      <c r="CD1276">
        <f>Grandview_Inventory[[#This Row],[final_det]]+Grandview_Inventory[[#This Row],[final_res]]</f>
        <v>256200</v>
      </c>
      <c r="CE1276">
        <f>Grandview_Inventory[[#This Row],[final_land]]+Grandview_Inventory[[#This Row],[final_imp]]+Grandview_Inventory[[#This Row],[crop_value]]</f>
        <v>302900</v>
      </c>
      <c r="CG1276" t="str">
        <f t="shared" si="19"/>
        <v>update valuation set market_land =46700, market_bldg=256200, market_total =302900, market_mdno =401, market_date ='9/10/2023' where link_id = (select link_id from parcel where parcel_year = '2024' and parcel_id = '23092313400');</v>
      </c>
    </row>
    <row r="1277" spans="1:85" x14ac:dyDescent="0.25">
      <c r="A1277">
        <v>23092313401</v>
      </c>
      <c r="B1277">
        <v>0.16</v>
      </c>
      <c r="C1277">
        <v>6895</v>
      </c>
      <c r="D1277" t="s">
        <v>129</v>
      </c>
      <c r="E1277" t="s">
        <v>53</v>
      </c>
      <c r="F1277" t="s">
        <v>53</v>
      </c>
      <c r="G1277">
        <v>4</v>
      </c>
      <c r="H1277" t="s">
        <v>54</v>
      </c>
      <c r="I1277">
        <v>121200</v>
      </c>
      <c r="J1277">
        <v>39100</v>
      </c>
      <c r="K1277">
        <v>0.16</v>
      </c>
      <c r="L127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77">
        <v>0</v>
      </c>
      <c r="N1277">
        <v>0</v>
      </c>
      <c r="O1277">
        <v>0</v>
      </c>
      <c r="P1277">
        <v>13398.7528</v>
      </c>
      <c r="Q1277">
        <v>63903</v>
      </c>
      <c r="R1277">
        <f>(Grandview_Inventory[[#This Row],[ln_acres]]*Grandview_Inventory[[#This Row],[coeff]])+Grandview_Inventory[[#This Row],[const]]</f>
        <v>39348.693981374228</v>
      </c>
      <c r="S1277" t="s">
        <v>55</v>
      </c>
      <c r="T1277">
        <v>2</v>
      </c>
      <c r="U1277" t="s">
        <v>80</v>
      </c>
      <c r="V1277" t="s">
        <v>69</v>
      </c>
      <c r="W1277">
        <v>0</v>
      </c>
      <c r="X1277">
        <v>0</v>
      </c>
      <c r="Y1277">
        <v>57</v>
      </c>
      <c r="Z1277">
        <v>103</v>
      </c>
      <c r="AA1277">
        <v>110</v>
      </c>
      <c r="AB1277">
        <v>1500</v>
      </c>
      <c r="AC1277">
        <v>1221</v>
      </c>
      <c r="AD1277">
        <v>780</v>
      </c>
      <c r="AE1277">
        <v>441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5</v>
      </c>
      <c r="AQ1277">
        <v>0</v>
      </c>
      <c r="AR1277">
        <v>0</v>
      </c>
      <c r="AS1277" t="s">
        <v>58</v>
      </c>
      <c r="AT1277">
        <v>1</v>
      </c>
      <c r="AU1277" t="s">
        <v>63</v>
      </c>
      <c r="AV1277" t="s">
        <v>81</v>
      </c>
      <c r="AW1277">
        <v>0</v>
      </c>
      <c r="AX1277">
        <v>3</v>
      </c>
      <c r="AY1277">
        <v>0</v>
      </c>
      <c r="AZ1277">
        <v>4600</v>
      </c>
      <c r="BA1277">
        <v>100</v>
      </c>
      <c r="BB1277">
        <v>100</v>
      </c>
      <c r="BC1277">
        <v>100</v>
      </c>
      <c r="BD1277">
        <v>100</v>
      </c>
      <c r="BE1277">
        <v>1</v>
      </c>
      <c r="BF1277">
        <v>15000</v>
      </c>
      <c r="BG1277">
        <v>1000</v>
      </c>
      <c r="BH1277" s="6">
        <f>Grandview_Inventory[[#This Row],[land_extract]]*Lookups!$B$3</f>
        <v>45695.532079096141</v>
      </c>
      <c r="BI1277" s="6">
        <f>IF(Grandview_Inventory[[#This Row],[bldg_style]]="",0,Lookups!$B$2)</f>
        <v>155833.95000000001</v>
      </c>
      <c r="BJ1277" s="6">
        <f>_xlfn.IFNA(VLOOKUP(Grandview_Inventory[[#This Row],[quality]],Lookups!$H$2:$J$14,3,FALSE),0)</f>
        <v>-28558</v>
      </c>
      <c r="BK1277" s="6">
        <f>_xlfn.IFNA(VLOOKUP(Grandview_Inventory[[#This Row],[condition]],Lookups!$H$17:$J$24,3,FALSE),0)</f>
        <v>-4503</v>
      </c>
      <c r="BL1277" s="6">
        <f>Grandview_Inventory[[#This Row],[Eff_Age]]*Lookups!$B$14</f>
        <v>-13632.4962</v>
      </c>
      <c r="BM1277" s="6">
        <f>Grandview_Inventory[[#This Row],[living_area]]*Lookups!$B$15</f>
        <v>76167.021513</v>
      </c>
      <c r="BN1277" s="6">
        <f>Grandview_Inventory[[#This Row],[Fin BSMT]]*Lookups!$B$16</f>
        <v>0</v>
      </c>
      <c r="BO1277" s="6">
        <f>(Grandview_Inventory[[#This Row],[att_gar]]+Grandview_Inventory[[#This Row],[bltin_gar]])*Lookups!$B$17</f>
        <v>0</v>
      </c>
      <c r="BP1277" s="6">
        <f>Grandview_Inventory[[#This Row],[Plumbing Fixtures]]*Lookups!$B$18</f>
        <v>10052.209000000001</v>
      </c>
      <c r="BQ1277" s="6">
        <f>Grandview_Inventory[[#This Row],[detatched_value]]*Lookups!$B$19</f>
        <v>3895.3034600000001</v>
      </c>
      <c r="BR1277" s="6">
        <f>SUM(Grandview_Inventory[[#This Row],[Intercept]:[det_value]])*Grandview_Inventory[[#This Row],[res_pct]]</f>
        <v>199254.98777300003</v>
      </c>
      <c r="BS1277" s="6">
        <f>Grandview_Inventory[[#This Row],[land_value]]</f>
        <v>45695.532079096141</v>
      </c>
      <c r="BT1277" s="4">
        <f>_xlfn.IFNA(VLOOKUP(Grandview_Inventory[[#This Row],[quality]],Lookups!$A$26:$C$33,3,FALSE),1)</f>
        <v>0.9690360070159818</v>
      </c>
      <c r="BU1277" s="4">
        <f>_xlfn.IFNA(VLOOKUP(Grandview_Inventory[[#This Row],[condition]],Lookups!$A$37:$C$44,3,FALSE),1)</f>
        <v>0.96469275950863709</v>
      </c>
      <c r="BV1277" s="4">
        <f>IF(Grandview_Inventory[[#This Row],[bldg_style]]="",1,_xlfn.IFNA(VLOOKUP(Grandview_Inventory[[#This Row],[decade]],Lookups!$F$29:$H$43,3,FALSE),1))</f>
        <v>0.92255236374249616</v>
      </c>
      <c r="BW1277" s="4">
        <f>_xlfn.IFNA(VLOOKUP(Grandview_Inventory[[#This Row],[living_area_range]],Lookups!$F$47:$H$56,3,FALSE),1)</f>
        <v>0.96135087979789358</v>
      </c>
      <c r="BX1277" s="4">
        <f>AVERAGE(Grandview_Inventory[[#This Row],[qual_adj]:[size_adj]])</f>
        <v>0.95440800251625213</v>
      </c>
      <c r="BY1277" s="6">
        <f>IF(Grandview_Inventory[[#This Row],[pre_res]]&lt;0,0,Grandview_Inventory[[#This Row],[pre_res]]*Grandview_Inventory[[#This Row],[overall_adj]])</f>
        <v>190170.5548718292</v>
      </c>
      <c r="BZ1277" s="6">
        <f>(Grandview_Inventory[[#This Row],[sum_land]]-IF(Grandview_Inventory[[#This Row],[no_utilities]]=1,12000,0))/IF(Grandview_Inventory[[#This Row],[unbuildable]]=1,2,1)</f>
        <v>45695.532079096141</v>
      </c>
      <c r="CA127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77">
        <f>ROUND(Grandview_Inventory[[#This Row],[det_value]]*Lookups!$M$28,-2)</f>
        <v>3700</v>
      </c>
      <c r="CC1277">
        <f>IF(ROUND(Grandview_Inventory[[#This Row],[adj_res]]*Lookups!$M$28,-2)&lt;Grandview_Inventory[[#This Row],[min_res]],Grandview_Inventory[[#This Row],[min_res]],ROUND(Grandview_Inventory[[#This Row],[adj_res]]*Lookups!$M$28,-2))</f>
        <v>180700</v>
      </c>
      <c r="CD1277">
        <f>Grandview_Inventory[[#This Row],[final_det]]+Grandview_Inventory[[#This Row],[final_res]]</f>
        <v>184400</v>
      </c>
      <c r="CE1277">
        <f>Grandview_Inventory[[#This Row],[final_land]]+Grandview_Inventory[[#This Row],[final_imp]]+Grandview_Inventory[[#This Row],[crop_value]]</f>
        <v>227800</v>
      </c>
      <c r="CG1277" t="str">
        <f t="shared" si="19"/>
        <v>update valuation set market_land =43400, market_bldg=184400, market_total =227800, market_mdno =401, market_date ='9/10/2023' where link_id = (select link_id from parcel where parcel_year = '2024' and parcel_id = '23092313401');</v>
      </c>
    </row>
    <row r="1278" spans="1:85" x14ac:dyDescent="0.25">
      <c r="A1278">
        <v>23092313405</v>
      </c>
      <c r="B1278">
        <v>0.16</v>
      </c>
      <c r="C1278">
        <v>7002</v>
      </c>
      <c r="D1278" t="s">
        <v>129</v>
      </c>
      <c r="E1278" t="s">
        <v>53</v>
      </c>
      <c r="F1278" t="s">
        <v>53</v>
      </c>
      <c r="G1278">
        <v>4</v>
      </c>
      <c r="H1278" t="s">
        <v>54</v>
      </c>
      <c r="I1278">
        <v>201600</v>
      </c>
      <c r="J1278">
        <v>39000</v>
      </c>
      <c r="K1278">
        <v>0.16</v>
      </c>
      <c r="L127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78">
        <v>0</v>
      </c>
      <c r="N1278">
        <v>0</v>
      </c>
      <c r="O1278">
        <v>0</v>
      </c>
      <c r="P1278">
        <v>13398.7528</v>
      </c>
      <c r="Q1278">
        <v>63903</v>
      </c>
      <c r="R1278">
        <f>(Grandview_Inventory[[#This Row],[ln_acres]]*Grandview_Inventory[[#This Row],[coeff]])+Grandview_Inventory[[#This Row],[const]]</f>
        <v>39348.693981374228</v>
      </c>
      <c r="S1278" t="s">
        <v>61</v>
      </c>
      <c r="T1278">
        <v>1</v>
      </c>
      <c r="U1278" t="s">
        <v>80</v>
      </c>
      <c r="V1278" t="s">
        <v>69</v>
      </c>
      <c r="W1278">
        <v>0</v>
      </c>
      <c r="X1278">
        <v>0</v>
      </c>
      <c r="Y1278">
        <v>47</v>
      </c>
      <c r="Z1278">
        <v>58</v>
      </c>
      <c r="AA1278">
        <v>60</v>
      </c>
      <c r="AB1278">
        <v>1500</v>
      </c>
      <c r="AC1278">
        <v>1066</v>
      </c>
      <c r="AD1278">
        <v>1066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5</v>
      </c>
      <c r="AQ1278">
        <v>0</v>
      </c>
      <c r="AR1278">
        <v>0</v>
      </c>
      <c r="AS1278" t="s">
        <v>58</v>
      </c>
      <c r="AT1278">
        <v>1</v>
      </c>
      <c r="AU1278" t="s">
        <v>75</v>
      </c>
      <c r="AV1278" t="s">
        <v>60</v>
      </c>
      <c r="AW1278">
        <v>0</v>
      </c>
      <c r="AX1278">
        <v>2</v>
      </c>
      <c r="AY1278">
        <v>0</v>
      </c>
      <c r="AZ1278">
        <v>71800</v>
      </c>
      <c r="BA1278">
        <v>100</v>
      </c>
      <c r="BB1278">
        <v>100</v>
      </c>
      <c r="BC1278">
        <v>100</v>
      </c>
      <c r="BD1278">
        <v>100</v>
      </c>
      <c r="BE1278">
        <v>1</v>
      </c>
      <c r="BF1278">
        <v>15000</v>
      </c>
      <c r="BG1278">
        <v>1000</v>
      </c>
      <c r="BH1278" s="6">
        <f>Grandview_Inventory[[#This Row],[land_extract]]*Lookups!$B$3</f>
        <v>45695.532079096141</v>
      </c>
      <c r="BI1278" s="6">
        <f>IF(Grandview_Inventory[[#This Row],[bldg_style]]="",0,Lookups!$B$2)</f>
        <v>155833.95000000001</v>
      </c>
      <c r="BJ1278" s="6">
        <f>_xlfn.IFNA(VLOOKUP(Grandview_Inventory[[#This Row],[quality]],Lookups!$H$2:$J$14,3,FALSE),0)</f>
        <v>-28558</v>
      </c>
      <c r="BK1278" s="6">
        <f>_xlfn.IFNA(VLOOKUP(Grandview_Inventory[[#This Row],[condition]],Lookups!$H$17:$J$24,3,FALSE),0)</f>
        <v>-4503</v>
      </c>
      <c r="BL1278" s="6">
        <f>Grandview_Inventory[[#This Row],[Eff_Age]]*Lookups!$B$14</f>
        <v>-11240.8302</v>
      </c>
      <c r="BM1278" s="6">
        <f>Grandview_Inventory[[#This Row],[living_area]]*Lookups!$B$15</f>
        <v>66497.989298</v>
      </c>
      <c r="BN1278" s="6">
        <f>Grandview_Inventory[[#This Row],[Fin BSMT]]*Lookups!$B$16</f>
        <v>0</v>
      </c>
      <c r="BO1278" s="6">
        <f>(Grandview_Inventory[[#This Row],[att_gar]]+Grandview_Inventory[[#This Row],[bltin_gar]])*Lookups!$B$17</f>
        <v>0</v>
      </c>
      <c r="BP1278" s="6">
        <f>Grandview_Inventory[[#This Row],[Plumbing Fixtures]]*Lookups!$B$18</f>
        <v>10052.209000000001</v>
      </c>
      <c r="BQ1278" s="6">
        <f>Grandview_Inventory[[#This Row],[detatched_value]]*Lookups!$B$19</f>
        <v>60800.606179999995</v>
      </c>
      <c r="BR1278" s="6">
        <f>SUM(Grandview_Inventory[[#This Row],[Intercept]:[det_value]])*Grandview_Inventory[[#This Row],[res_pct]]</f>
        <v>248882.92427800002</v>
      </c>
      <c r="BS1278" s="6">
        <f>Grandview_Inventory[[#This Row],[land_value]]</f>
        <v>45695.532079096141</v>
      </c>
      <c r="BT1278" s="4">
        <f>_xlfn.IFNA(VLOOKUP(Grandview_Inventory[[#This Row],[quality]],Lookups!$A$26:$C$33,3,FALSE),1)</f>
        <v>0.9690360070159818</v>
      </c>
      <c r="BU1278" s="4">
        <f>_xlfn.IFNA(VLOOKUP(Grandview_Inventory[[#This Row],[condition]],Lookups!$A$37:$C$44,3,FALSE),1)</f>
        <v>0.96469275950863709</v>
      </c>
      <c r="BV1278" s="4">
        <f>IF(Grandview_Inventory[[#This Row],[bldg_style]]="",1,_xlfn.IFNA(VLOOKUP(Grandview_Inventory[[#This Row],[decade]],Lookups!$F$29:$H$43,3,FALSE),1))</f>
        <v>0.95268620544463312</v>
      </c>
      <c r="BW1278" s="4">
        <f>_xlfn.IFNA(VLOOKUP(Grandview_Inventory[[#This Row],[living_area_range]],Lookups!$F$47:$H$56,3,FALSE),1)</f>
        <v>0.96135087979789358</v>
      </c>
      <c r="BX1278" s="4">
        <f>AVERAGE(Grandview_Inventory[[#This Row],[qual_adj]:[size_adj]])</f>
        <v>0.9619414629417864</v>
      </c>
      <c r="BY1278" s="6">
        <f>IF(Grandview_Inventory[[#This Row],[pre_res]]&lt;0,0,Grandview_Inventory[[#This Row],[pre_res]]*Grandview_Inventory[[#This Row],[overall_adj]])</f>
        <v>239410.80428120919</v>
      </c>
      <c r="BZ1278" s="6">
        <f>(Grandview_Inventory[[#This Row],[sum_land]]-IF(Grandview_Inventory[[#This Row],[no_utilities]]=1,12000,0))/IF(Grandview_Inventory[[#This Row],[unbuildable]]=1,2,1)</f>
        <v>45695.532079096141</v>
      </c>
      <c r="CA127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78">
        <f>ROUND(Grandview_Inventory[[#This Row],[det_value]]*Lookups!$M$28,-2)</f>
        <v>57800</v>
      </c>
      <c r="CC1278">
        <f>IF(ROUND(Grandview_Inventory[[#This Row],[adj_res]]*Lookups!$M$28,-2)&lt;Grandview_Inventory[[#This Row],[min_res]],Grandview_Inventory[[#This Row],[min_res]],ROUND(Grandview_Inventory[[#This Row],[adj_res]]*Lookups!$M$28,-2))</f>
        <v>227400</v>
      </c>
      <c r="CD1278">
        <f>Grandview_Inventory[[#This Row],[final_det]]+Grandview_Inventory[[#This Row],[final_res]]</f>
        <v>285200</v>
      </c>
      <c r="CE1278">
        <f>Grandview_Inventory[[#This Row],[final_land]]+Grandview_Inventory[[#This Row],[final_imp]]+Grandview_Inventory[[#This Row],[crop_value]]</f>
        <v>328600</v>
      </c>
      <c r="CG1278" t="str">
        <f t="shared" si="19"/>
        <v>update valuation set market_land =43400, market_bldg=285200, market_total =328600, market_mdno =401, market_date ='9/10/2023' where link_id = (select link_id from parcel where parcel_year = '2024' and parcel_id = '23092313405');</v>
      </c>
    </row>
    <row r="1279" spans="1:85" x14ac:dyDescent="0.25">
      <c r="A1279">
        <v>23092313410</v>
      </c>
      <c r="B1279">
        <v>0.17</v>
      </c>
      <c r="C1279">
        <v>7428</v>
      </c>
      <c r="D1279" t="s">
        <v>129</v>
      </c>
      <c r="E1279" t="s">
        <v>53</v>
      </c>
      <c r="F1279" t="s">
        <v>53</v>
      </c>
      <c r="G1279">
        <v>4</v>
      </c>
      <c r="H1279" t="s">
        <v>54</v>
      </c>
      <c r="I1279">
        <v>117700</v>
      </c>
      <c r="J1279">
        <v>39100</v>
      </c>
      <c r="K1279">
        <v>0.17</v>
      </c>
      <c r="L127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79">
        <v>0</v>
      </c>
      <c r="N1279">
        <v>0</v>
      </c>
      <c r="O1279">
        <v>0</v>
      </c>
      <c r="P1279">
        <v>13398.7528</v>
      </c>
      <c r="Q1279">
        <v>63903</v>
      </c>
      <c r="R1279">
        <f>(Grandview_Inventory[[#This Row],[ln_acres]]*Grandview_Inventory[[#This Row],[coeff]])+Grandview_Inventory[[#This Row],[const]]</f>
        <v>40160.988302686128</v>
      </c>
      <c r="S1279" t="s">
        <v>68</v>
      </c>
      <c r="T1279">
        <v>1</v>
      </c>
      <c r="U1279" t="s">
        <v>80</v>
      </c>
      <c r="V1279" t="s">
        <v>69</v>
      </c>
      <c r="W1279">
        <v>0</v>
      </c>
      <c r="X1279">
        <v>0</v>
      </c>
      <c r="Y1279">
        <v>65</v>
      </c>
      <c r="Z1279">
        <v>113</v>
      </c>
      <c r="AA1279">
        <v>120</v>
      </c>
      <c r="AB1279">
        <v>1500</v>
      </c>
      <c r="AC1279">
        <v>1222</v>
      </c>
      <c r="AD1279">
        <v>1222</v>
      </c>
      <c r="AE1279">
        <v>0</v>
      </c>
      <c r="AF1279">
        <v>0</v>
      </c>
      <c r="AG1279">
        <v>0</v>
      </c>
      <c r="AH1279">
        <v>309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224</v>
      </c>
      <c r="AP1279">
        <v>5</v>
      </c>
      <c r="AQ1279">
        <v>0</v>
      </c>
      <c r="AR1279">
        <v>0</v>
      </c>
      <c r="AS1279" t="s">
        <v>58</v>
      </c>
      <c r="AT1279">
        <v>1</v>
      </c>
      <c r="AU1279" t="s">
        <v>63</v>
      </c>
      <c r="AV1279" t="s">
        <v>64</v>
      </c>
      <c r="AW1279">
        <v>1</v>
      </c>
      <c r="AX1279">
        <v>3</v>
      </c>
      <c r="AY1279">
        <v>0</v>
      </c>
      <c r="AZ1279">
        <v>0</v>
      </c>
      <c r="BA1279">
        <v>100</v>
      </c>
      <c r="BB1279">
        <v>100</v>
      </c>
      <c r="BC1279">
        <v>100</v>
      </c>
      <c r="BD1279">
        <v>100</v>
      </c>
      <c r="BE1279">
        <v>1</v>
      </c>
      <c r="BF1279">
        <v>15000</v>
      </c>
      <c r="BG1279">
        <v>1000</v>
      </c>
      <c r="BH1279" s="6">
        <f>Grandview_Inventory[[#This Row],[land_extract]]*Lookups!$B$3</f>
        <v>46638.847281240982</v>
      </c>
      <c r="BI1279" s="6">
        <f>IF(Grandview_Inventory[[#This Row],[bldg_style]]="",0,Lookups!$B$2)</f>
        <v>155833.95000000001</v>
      </c>
      <c r="BJ1279" s="6">
        <f>_xlfn.IFNA(VLOOKUP(Grandview_Inventory[[#This Row],[quality]],Lookups!$H$2:$J$14,3,FALSE),0)</f>
        <v>-28558</v>
      </c>
      <c r="BK1279" s="6">
        <f>_xlfn.IFNA(VLOOKUP(Grandview_Inventory[[#This Row],[condition]],Lookups!$H$17:$J$24,3,FALSE),0)</f>
        <v>-4503</v>
      </c>
      <c r="BL1279" s="6">
        <f>Grandview_Inventory[[#This Row],[Eff_Age]]*Lookups!$B$14</f>
        <v>-15545.829</v>
      </c>
      <c r="BM1279" s="6">
        <f>Grandview_Inventory[[#This Row],[living_area]]*Lookups!$B$15</f>
        <v>76229.402366000009</v>
      </c>
      <c r="BN1279" s="6">
        <f>Grandview_Inventory[[#This Row],[Fin BSMT]]*Lookups!$B$16</f>
        <v>0</v>
      </c>
      <c r="BO1279" s="6">
        <f>(Grandview_Inventory[[#This Row],[att_gar]]+Grandview_Inventory[[#This Row],[bltin_gar]])*Lookups!$B$17</f>
        <v>0</v>
      </c>
      <c r="BP1279" s="6">
        <f>Grandview_Inventory[[#This Row],[Plumbing Fixtures]]*Lookups!$B$18</f>
        <v>10052.209000000001</v>
      </c>
      <c r="BQ1279" s="6">
        <f>Grandview_Inventory[[#This Row],[detatched_value]]*Lookups!$B$19</f>
        <v>0</v>
      </c>
      <c r="BR1279" s="6">
        <f>SUM(Grandview_Inventory[[#This Row],[Intercept]:[det_value]])*Grandview_Inventory[[#This Row],[res_pct]]</f>
        <v>193508.73236600004</v>
      </c>
      <c r="BS1279" s="6">
        <f>Grandview_Inventory[[#This Row],[land_value]]</f>
        <v>46638.847281240982</v>
      </c>
      <c r="BT1279" s="4">
        <f>_xlfn.IFNA(VLOOKUP(Grandview_Inventory[[#This Row],[quality]],Lookups!$A$26:$C$33,3,FALSE),1)</f>
        <v>0.9690360070159818</v>
      </c>
      <c r="BU1279" s="4">
        <f>_xlfn.IFNA(VLOOKUP(Grandview_Inventory[[#This Row],[condition]],Lookups!$A$37:$C$44,3,FALSE),1)</f>
        <v>0.96469275950863709</v>
      </c>
      <c r="BV1279" s="4">
        <f>IF(Grandview_Inventory[[#This Row],[bldg_style]]="",1,_xlfn.IFNA(VLOOKUP(Grandview_Inventory[[#This Row],[decade]],Lookups!$F$29:$H$43,3,FALSE),1))</f>
        <v>0.9251738460551937</v>
      </c>
      <c r="BW1279" s="4">
        <f>_xlfn.IFNA(VLOOKUP(Grandview_Inventory[[#This Row],[living_area_range]],Lookups!$F$47:$H$56,3,FALSE),1)</f>
        <v>0.96135087979789358</v>
      </c>
      <c r="BX1279" s="4">
        <f>AVERAGE(Grandview_Inventory[[#This Row],[qual_adj]:[size_adj]])</f>
        <v>0.95506337309442646</v>
      </c>
      <c r="BY1279" s="6">
        <f>IF(Grandview_Inventory[[#This Row],[pre_res]]&lt;0,0,Grandview_Inventory[[#This Row],[pre_res]]*Grandview_Inventory[[#This Row],[overall_adj]])</f>
        <v>184813.10265669861</v>
      </c>
      <c r="BZ1279" s="6">
        <f>(Grandview_Inventory[[#This Row],[sum_land]]-IF(Grandview_Inventory[[#This Row],[no_utilities]]=1,12000,0))/IF(Grandview_Inventory[[#This Row],[unbuildable]]=1,2,1)</f>
        <v>46638.847281240982</v>
      </c>
      <c r="CA127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79">
        <f>ROUND(Grandview_Inventory[[#This Row],[det_value]]*Lookups!$M$28,-2)</f>
        <v>0</v>
      </c>
      <c r="CC1279">
        <f>IF(ROUND(Grandview_Inventory[[#This Row],[adj_res]]*Lookups!$M$28,-2)&lt;Grandview_Inventory[[#This Row],[min_res]],Grandview_Inventory[[#This Row],[min_res]],ROUND(Grandview_Inventory[[#This Row],[adj_res]]*Lookups!$M$28,-2))</f>
        <v>175600</v>
      </c>
      <c r="CD1279">
        <f>Grandview_Inventory[[#This Row],[final_det]]+Grandview_Inventory[[#This Row],[final_res]]</f>
        <v>175600</v>
      </c>
      <c r="CE1279">
        <f>Grandview_Inventory[[#This Row],[final_land]]+Grandview_Inventory[[#This Row],[final_imp]]+Grandview_Inventory[[#This Row],[crop_value]]</f>
        <v>219900</v>
      </c>
      <c r="CG1279" t="str">
        <f t="shared" si="19"/>
        <v>update valuation set market_land =44300, market_bldg=175600, market_total =219900, market_mdno =401, market_date ='9/10/2023' where link_id = (select link_id from parcel where parcel_year = '2024' and parcel_id = '23092313410');</v>
      </c>
    </row>
    <row r="1280" spans="1:85" x14ac:dyDescent="0.25">
      <c r="A1280">
        <v>23092313411</v>
      </c>
      <c r="B1280">
        <v>0.16</v>
      </c>
      <c r="C1280">
        <v>6970</v>
      </c>
      <c r="D1280" t="s">
        <v>129</v>
      </c>
      <c r="E1280" t="s">
        <v>53</v>
      </c>
      <c r="F1280" t="s">
        <v>53</v>
      </c>
      <c r="G1280">
        <v>4</v>
      </c>
      <c r="H1280" t="s">
        <v>54</v>
      </c>
      <c r="I1280">
        <v>183600</v>
      </c>
      <c r="J1280">
        <v>39100</v>
      </c>
      <c r="K1280">
        <v>0.16</v>
      </c>
      <c r="L128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80">
        <v>0</v>
      </c>
      <c r="N1280">
        <v>0</v>
      </c>
      <c r="O1280">
        <v>0</v>
      </c>
      <c r="P1280">
        <v>13398.7528</v>
      </c>
      <c r="Q1280">
        <v>63903</v>
      </c>
      <c r="R1280">
        <f>(Grandview_Inventory[[#This Row],[ln_acres]]*Grandview_Inventory[[#This Row],[coeff]])+Grandview_Inventory[[#This Row],[const]]</f>
        <v>39348.693981374228</v>
      </c>
      <c r="S1280" t="s">
        <v>68</v>
      </c>
      <c r="T1280">
        <v>1</v>
      </c>
      <c r="U1280" t="s">
        <v>65</v>
      </c>
      <c r="V1280" t="s">
        <v>69</v>
      </c>
      <c r="W1280">
        <v>0</v>
      </c>
      <c r="X1280">
        <v>0</v>
      </c>
      <c r="Y1280">
        <v>51</v>
      </c>
      <c r="Z1280">
        <v>82</v>
      </c>
      <c r="AA1280">
        <v>90</v>
      </c>
      <c r="AB1280">
        <v>1500</v>
      </c>
      <c r="AC1280">
        <v>1302</v>
      </c>
      <c r="AD1280">
        <v>1302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28</v>
      </c>
      <c r="AO1280">
        <v>0</v>
      </c>
      <c r="AP1280">
        <v>5</v>
      </c>
      <c r="AQ1280">
        <v>0</v>
      </c>
      <c r="AR1280">
        <v>1</v>
      </c>
      <c r="AS1280" t="s">
        <v>58</v>
      </c>
      <c r="AT1280">
        <v>1</v>
      </c>
      <c r="AU1280" t="s">
        <v>63</v>
      </c>
      <c r="AV1280" t="s">
        <v>60</v>
      </c>
      <c r="AW1280">
        <v>1</v>
      </c>
      <c r="AX1280">
        <v>2</v>
      </c>
      <c r="AY1280">
        <v>0</v>
      </c>
      <c r="AZ1280">
        <v>30200</v>
      </c>
      <c r="BA1280">
        <v>100</v>
      </c>
      <c r="BB1280">
        <v>100</v>
      </c>
      <c r="BC1280">
        <v>100</v>
      </c>
      <c r="BD1280">
        <v>100</v>
      </c>
      <c r="BE1280">
        <v>1</v>
      </c>
      <c r="BF1280">
        <v>15000</v>
      </c>
      <c r="BG1280">
        <v>1000</v>
      </c>
      <c r="BH1280" s="6">
        <f>Grandview_Inventory[[#This Row],[land_extract]]*Lookups!$B$3</f>
        <v>45695.532079096141</v>
      </c>
      <c r="BI1280" s="6">
        <f>IF(Grandview_Inventory[[#This Row],[bldg_style]]="",0,Lookups!$B$2)</f>
        <v>155833.95000000001</v>
      </c>
      <c r="BJ1280" s="6">
        <f>_xlfn.IFNA(VLOOKUP(Grandview_Inventory[[#This Row],[quality]],Lookups!$H$2:$J$14,3,FALSE),0)</f>
        <v>2251</v>
      </c>
      <c r="BK1280" s="6">
        <f>_xlfn.IFNA(VLOOKUP(Grandview_Inventory[[#This Row],[condition]],Lookups!$H$17:$J$24,3,FALSE),0)</f>
        <v>-4503</v>
      </c>
      <c r="BL1280" s="6">
        <f>Grandview_Inventory[[#This Row],[Eff_Age]]*Lookups!$B$14</f>
        <v>-12197.496599999999</v>
      </c>
      <c r="BM1280" s="6">
        <f>Grandview_Inventory[[#This Row],[living_area]]*Lookups!$B$15</f>
        <v>81219.870605999997</v>
      </c>
      <c r="BN1280" s="6">
        <f>Grandview_Inventory[[#This Row],[Fin BSMT]]*Lookups!$B$16</f>
        <v>0</v>
      </c>
      <c r="BO1280" s="6">
        <f>(Grandview_Inventory[[#This Row],[att_gar]]+Grandview_Inventory[[#This Row],[bltin_gar]])*Lookups!$B$17</f>
        <v>0</v>
      </c>
      <c r="BP1280" s="6">
        <f>Grandview_Inventory[[#This Row],[Plumbing Fixtures]]*Lookups!$B$18</f>
        <v>10052.209000000001</v>
      </c>
      <c r="BQ1280" s="6">
        <f>Grandview_Inventory[[#This Row],[detatched_value]]*Lookups!$B$19</f>
        <v>25573.514019999999</v>
      </c>
      <c r="BR1280" s="6">
        <f>SUM(Grandview_Inventory[[#This Row],[Intercept]:[det_value]])*Grandview_Inventory[[#This Row],[res_pct]]</f>
        <v>258230.04702600001</v>
      </c>
      <c r="BS1280" s="6">
        <f>Grandview_Inventory[[#This Row],[land_value]]</f>
        <v>45695.532079096141</v>
      </c>
      <c r="BT1280" s="4">
        <f>_xlfn.IFNA(VLOOKUP(Grandview_Inventory[[#This Row],[quality]],Lookups!$A$26:$C$33,3,FALSE),1)</f>
        <v>0.98763855981004833</v>
      </c>
      <c r="BU1280" s="4">
        <f>_xlfn.IFNA(VLOOKUP(Grandview_Inventory[[#This Row],[condition]],Lookups!$A$37:$C$44,3,FALSE),1)</f>
        <v>0.96469275950863709</v>
      </c>
      <c r="BV1280" s="4">
        <f>IF(Grandview_Inventory[[#This Row],[bldg_style]]="",1,_xlfn.IFNA(VLOOKUP(Grandview_Inventory[[#This Row],[decade]],Lookups!$F$29:$H$43,3,FALSE),1))</f>
        <v>0.94161750052457416</v>
      </c>
      <c r="BW1280" s="4">
        <f>_xlfn.IFNA(VLOOKUP(Grandview_Inventory[[#This Row],[living_area_range]],Lookups!$F$47:$H$56,3,FALSE),1)</f>
        <v>0.96135087979789358</v>
      </c>
      <c r="BX1280" s="4">
        <f>AVERAGE(Grandview_Inventory[[#This Row],[qual_adj]:[size_adj]])</f>
        <v>0.96382492491028826</v>
      </c>
      <c r="BY1280" s="6">
        <f>IF(Grandview_Inventory[[#This Row],[pre_res]]&lt;0,0,Grandview_Inventory[[#This Row],[pre_res]]*Grandview_Inventory[[#This Row],[overall_adj]])</f>
        <v>248888.55568441466</v>
      </c>
      <c r="BZ1280" s="6">
        <f>(Grandview_Inventory[[#This Row],[sum_land]]-IF(Grandview_Inventory[[#This Row],[no_utilities]]=1,12000,0))/IF(Grandview_Inventory[[#This Row],[unbuildable]]=1,2,1)</f>
        <v>45695.532079096141</v>
      </c>
      <c r="CA128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80">
        <f>ROUND(Grandview_Inventory[[#This Row],[det_value]]*Lookups!$M$28,-2)</f>
        <v>24300</v>
      </c>
      <c r="CC1280">
        <f>IF(ROUND(Grandview_Inventory[[#This Row],[adj_res]]*Lookups!$M$28,-2)&lt;Grandview_Inventory[[#This Row],[min_res]],Grandview_Inventory[[#This Row],[min_res]],ROUND(Grandview_Inventory[[#This Row],[adj_res]]*Lookups!$M$28,-2))</f>
        <v>236400</v>
      </c>
      <c r="CD1280">
        <f>Grandview_Inventory[[#This Row],[final_det]]+Grandview_Inventory[[#This Row],[final_res]]</f>
        <v>260700</v>
      </c>
      <c r="CE1280">
        <f>Grandview_Inventory[[#This Row],[final_land]]+Grandview_Inventory[[#This Row],[final_imp]]+Grandview_Inventory[[#This Row],[crop_value]]</f>
        <v>304100</v>
      </c>
      <c r="CG1280" t="str">
        <f t="shared" si="19"/>
        <v>update valuation set market_land =43400, market_bldg=260700, market_total =304100, market_mdno =401, market_date ='9/10/2023' where link_id = (select link_id from parcel where parcel_year = '2024' and parcel_id = '23092313411');</v>
      </c>
    </row>
    <row r="1281" spans="1:85" x14ac:dyDescent="0.25">
      <c r="A1281">
        <v>23092313413</v>
      </c>
      <c r="B1281">
        <v>0.17</v>
      </c>
      <c r="C1281">
        <v>7451</v>
      </c>
      <c r="D1281" t="s">
        <v>129</v>
      </c>
      <c r="E1281" t="s">
        <v>53</v>
      </c>
      <c r="F1281" t="s">
        <v>53</v>
      </c>
      <c r="G1281">
        <v>4</v>
      </c>
      <c r="H1281" t="s">
        <v>54</v>
      </c>
      <c r="I1281">
        <v>132000</v>
      </c>
      <c r="J1281">
        <v>39100</v>
      </c>
      <c r="K1281">
        <v>0.17</v>
      </c>
      <c r="L128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81">
        <v>0</v>
      </c>
      <c r="N1281">
        <v>0</v>
      </c>
      <c r="O1281">
        <v>0</v>
      </c>
      <c r="P1281">
        <v>13398.7528</v>
      </c>
      <c r="Q1281">
        <v>63903</v>
      </c>
      <c r="R1281">
        <f>(Grandview_Inventory[[#This Row],[ln_acres]]*Grandview_Inventory[[#This Row],[coeff]])+Grandview_Inventory[[#This Row],[const]]</f>
        <v>40160.988302686128</v>
      </c>
      <c r="S1281" t="s">
        <v>68</v>
      </c>
      <c r="T1281">
        <v>1</v>
      </c>
      <c r="U1281" t="s">
        <v>70</v>
      </c>
      <c r="V1281" t="s">
        <v>67</v>
      </c>
      <c r="W1281">
        <v>0</v>
      </c>
      <c r="X1281">
        <v>0</v>
      </c>
      <c r="Y1281">
        <v>55</v>
      </c>
      <c r="Z1281">
        <v>98</v>
      </c>
      <c r="AA1281">
        <v>100</v>
      </c>
      <c r="AB1281">
        <v>1500</v>
      </c>
      <c r="AC1281">
        <v>1003</v>
      </c>
      <c r="AD1281">
        <v>1003</v>
      </c>
      <c r="AE1281">
        <v>0</v>
      </c>
      <c r="AF1281">
        <v>0</v>
      </c>
      <c r="AG1281">
        <v>0</v>
      </c>
      <c r="AH1281">
        <v>352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5</v>
      </c>
      <c r="AQ1281">
        <v>0</v>
      </c>
      <c r="AR1281">
        <v>0</v>
      </c>
      <c r="AS1281" t="s">
        <v>58</v>
      </c>
      <c r="AT1281">
        <v>0</v>
      </c>
      <c r="AU1281" t="s">
        <v>82</v>
      </c>
      <c r="AV1281" t="s">
        <v>64</v>
      </c>
      <c r="AW1281">
        <v>0</v>
      </c>
      <c r="AX1281">
        <v>2</v>
      </c>
      <c r="AY1281">
        <v>0</v>
      </c>
      <c r="AZ1281">
        <v>0</v>
      </c>
      <c r="BA1281">
        <v>100</v>
      </c>
      <c r="BB1281">
        <v>100</v>
      </c>
      <c r="BC1281">
        <v>100</v>
      </c>
      <c r="BD1281">
        <v>100</v>
      </c>
      <c r="BE1281">
        <v>1</v>
      </c>
      <c r="BF1281">
        <v>15000</v>
      </c>
      <c r="BG1281">
        <v>1000</v>
      </c>
      <c r="BH1281" s="6">
        <f>Grandview_Inventory[[#This Row],[land_extract]]*Lookups!$B$3</f>
        <v>46638.847281240982</v>
      </c>
      <c r="BI1281" s="6">
        <f>IF(Grandview_Inventory[[#This Row],[bldg_style]]="",0,Lookups!$B$2)</f>
        <v>155833.95000000001</v>
      </c>
      <c r="BJ1281" s="6">
        <f>_xlfn.IFNA(VLOOKUP(Grandview_Inventory[[#This Row],[quality]],Lookups!$H$2:$J$14,3,FALSE),0)</f>
        <v>10733</v>
      </c>
      <c r="BK1281" s="6">
        <f>_xlfn.IFNA(VLOOKUP(Grandview_Inventory[[#This Row],[condition]],Lookups!$H$17:$J$24,3,FALSE),0)</f>
        <v>22342</v>
      </c>
      <c r="BL1281" s="6">
        <f>Grandview_Inventory[[#This Row],[Eff_Age]]*Lookups!$B$14</f>
        <v>-13154.162999999999</v>
      </c>
      <c r="BM1281" s="6">
        <f>Grandview_Inventory[[#This Row],[living_area]]*Lookups!$B$15</f>
        <v>62567.995559000003</v>
      </c>
      <c r="BN1281" s="6">
        <f>Grandview_Inventory[[#This Row],[Fin BSMT]]*Lookups!$B$16</f>
        <v>0</v>
      </c>
      <c r="BO1281" s="6">
        <f>(Grandview_Inventory[[#This Row],[att_gar]]+Grandview_Inventory[[#This Row],[bltin_gar]])*Lookups!$B$17</f>
        <v>0</v>
      </c>
      <c r="BP1281" s="6">
        <f>Grandview_Inventory[[#This Row],[Plumbing Fixtures]]*Lookups!$B$18</f>
        <v>10052.209000000001</v>
      </c>
      <c r="BQ1281" s="6">
        <f>Grandview_Inventory[[#This Row],[detatched_value]]*Lookups!$B$19</f>
        <v>0</v>
      </c>
      <c r="BR1281" s="6">
        <f>SUM(Grandview_Inventory[[#This Row],[Intercept]:[det_value]])*Grandview_Inventory[[#This Row],[res_pct]]</f>
        <v>248374.99155900002</v>
      </c>
      <c r="BS1281" s="6">
        <f>Grandview_Inventory[[#This Row],[land_value]]</f>
        <v>46638.847281240982</v>
      </c>
      <c r="BT1281" s="4">
        <f>_xlfn.IFNA(VLOOKUP(Grandview_Inventory[[#This Row],[quality]],Lookups!$A$26:$C$33,3,FALSE),1)</f>
        <v>0.98079741117310582</v>
      </c>
      <c r="BU1281" s="4">
        <f>_xlfn.IFNA(VLOOKUP(Grandview_Inventory[[#This Row],[condition]],Lookups!$A$37:$C$44,3,FALSE),1)</f>
        <v>0.97383723671140243</v>
      </c>
      <c r="BV1281" s="4">
        <f>IF(Grandview_Inventory[[#This Row],[bldg_style]]="",1,_xlfn.IFNA(VLOOKUP(Grandview_Inventory[[#This Row],[decade]],Lookups!$F$29:$H$43,3,FALSE),1))</f>
        <v>0.95244691841736806</v>
      </c>
      <c r="BW1281" s="4">
        <f>_xlfn.IFNA(VLOOKUP(Grandview_Inventory[[#This Row],[living_area_range]],Lookups!$F$47:$H$56,3,FALSE),1)</f>
        <v>0.96135087979789358</v>
      </c>
      <c r="BX1281" s="4">
        <f>AVERAGE(Grandview_Inventory[[#This Row],[qual_adj]:[size_adj]])</f>
        <v>0.96710811152494247</v>
      </c>
      <c r="BY1281" s="6">
        <f>IF(Grandview_Inventory[[#This Row],[pre_res]]&lt;0,0,Grandview_Inventory[[#This Row],[pre_res]]*Grandview_Inventory[[#This Row],[overall_adj]])</f>
        <v>240205.46903664802</v>
      </c>
      <c r="BZ1281" s="6">
        <f>(Grandview_Inventory[[#This Row],[sum_land]]-IF(Grandview_Inventory[[#This Row],[no_utilities]]=1,12000,0))/IF(Grandview_Inventory[[#This Row],[unbuildable]]=1,2,1)</f>
        <v>46638.847281240982</v>
      </c>
      <c r="CA128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81">
        <f>ROUND(Grandview_Inventory[[#This Row],[det_value]]*Lookups!$M$28,-2)</f>
        <v>0</v>
      </c>
      <c r="CC1281">
        <f>IF(ROUND(Grandview_Inventory[[#This Row],[adj_res]]*Lookups!$M$28,-2)&lt;Grandview_Inventory[[#This Row],[min_res]],Grandview_Inventory[[#This Row],[min_res]],ROUND(Grandview_Inventory[[#This Row],[adj_res]]*Lookups!$M$28,-2))</f>
        <v>228200</v>
      </c>
      <c r="CD1281">
        <f>Grandview_Inventory[[#This Row],[final_det]]+Grandview_Inventory[[#This Row],[final_res]]</f>
        <v>228200</v>
      </c>
      <c r="CE1281">
        <f>Grandview_Inventory[[#This Row],[final_land]]+Grandview_Inventory[[#This Row],[final_imp]]+Grandview_Inventory[[#This Row],[crop_value]]</f>
        <v>272500</v>
      </c>
      <c r="CG1281" t="str">
        <f t="shared" si="19"/>
        <v>update valuation set market_land =44300, market_bldg=228200, market_total =272500, market_mdno =401, market_date ='9/10/2023' where link_id = (select link_id from parcel where parcel_year = '2024' and parcel_id = '23092313413');</v>
      </c>
    </row>
    <row r="1282" spans="1:85" x14ac:dyDescent="0.25">
      <c r="A1282">
        <v>23092313414</v>
      </c>
      <c r="B1282">
        <v>0.16</v>
      </c>
      <c r="C1282">
        <v>6963</v>
      </c>
      <c r="D1282" t="s">
        <v>129</v>
      </c>
      <c r="E1282" t="s">
        <v>53</v>
      </c>
      <c r="F1282" t="s">
        <v>53</v>
      </c>
      <c r="G1282">
        <v>4</v>
      </c>
      <c r="H1282" t="s">
        <v>54</v>
      </c>
      <c r="I1282">
        <v>142200</v>
      </c>
      <c r="J1282">
        <v>39100</v>
      </c>
      <c r="K1282">
        <v>0.16</v>
      </c>
      <c r="L128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82">
        <v>0</v>
      </c>
      <c r="N1282">
        <v>0</v>
      </c>
      <c r="O1282">
        <v>0</v>
      </c>
      <c r="P1282">
        <v>13398.7528</v>
      </c>
      <c r="Q1282">
        <v>63903</v>
      </c>
      <c r="R1282">
        <f>(Grandview_Inventory[[#This Row],[ln_acres]]*Grandview_Inventory[[#This Row],[coeff]])+Grandview_Inventory[[#This Row],[const]]</f>
        <v>39348.693981374228</v>
      </c>
      <c r="S1282" t="s">
        <v>68</v>
      </c>
      <c r="T1282">
        <v>1</v>
      </c>
      <c r="U1282" t="s">
        <v>70</v>
      </c>
      <c r="V1282" t="s">
        <v>69</v>
      </c>
      <c r="W1282">
        <v>0</v>
      </c>
      <c r="X1282">
        <v>0</v>
      </c>
      <c r="Y1282">
        <v>55</v>
      </c>
      <c r="Z1282">
        <v>98</v>
      </c>
      <c r="AA1282">
        <v>100</v>
      </c>
      <c r="AB1282">
        <v>1500</v>
      </c>
      <c r="AC1282">
        <v>1400</v>
      </c>
      <c r="AD1282">
        <v>1400</v>
      </c>
      <c r="AE1282">
        <v>0</v>
      </c>
      <c r="AF1282">
        <v>0</v>
      </c>
      <c r="AG1282">
        <v>0</v>
      </c>
      <c r="AH1282">
        <v>96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72</v>
      </c>
      <c r="AO1282">
        <v>0</v>
      </c>
      <c r="AP1282">
        <v>8</v>
      </c>
      <c r="AQ1282">
        <v>0</v>
      </c>
      <c r="AR1282">
        <v>0</v>
      </c>
      <c r="AS1282" t="s">
        <v>58</v>
      </c>
      <c r="AT1282">
        <v>1</v>
      </c>
      <c r="AU1282" t="s">
        <v>63</v>
      </c>
      <c r="AV1282" t="s">
        <v>81</v>
      </c>
      <c r="AW1282">
        <v>0</v>
      </c>
      <c r="AX1282">
        <v>4</v>
      </c>
      <c r="AY1282">
        <v>0</v>
      </c>
      <c r="AZ1282">
        <v>5000</v>
      </c>
      <c r="BA1282">
        <v>100</v>
      </c>
      <c r="BB1282">
        <v>100</v>
      </c>
      <c r="BC1282">
        <v>100</v>
      </c>
      <c r="BD1282">
        <v>100</v>
      </c>
      <c r="BE1282">
        <v>1</v>
      </c>
      <c r="BF1282">
        <v>15000</v>
      </c>
      <c r="BG1282">
        <v>1000</v>
      </c>
      <c r="BH1282" s="6">
        <f>Grandview_Inventory[[#This Row],[land_extract]]*Lookups!$B$3</f>
        <v>45695.532079096141</v>
      </c>
      <c r="BI1282" s="6">
        <f>IF(Grandview_Inventory[[#This Row],[bldg_style]]="",0,Lookups!$B$2)</f>
        <v>155833.95000000001</v>
      </c>
      <c r="BJ1282" s="6">
        <f>_xlfn.IFNA(VLOOKUP(Grandview_Inventory[[#This Row],[quality]],Lookups!$H$2:$J$14,3,FALSE),0)</f>
        <v>10733</v>
      </c>
      <c r="BK1282" s="6">
        <f>_xlfn.IFNA(VLOOKUP(Grandview_Inventory[[#This Row],[condition]],Lookups!$H$17:$J$24,3,FALSE),0)</f>
        <v>-4503</v>
      </c>
      <c r="BL1282" s="6">
        <f>Grandview_Inventory[[#This Row],[Eff_Age]]*Lookups!$B$14</f>
        <v>-13154.162999999999</v>
      </c>
      <c r="BM1282" s="6">
        <f>Grandview_Inventory[[#This Row],[living_area]]*Lookups!$B$15</f>
        <v>87333.194199999998</v>
      </c>
      <c r="BN1282" s="6">
        <f>Grandview_Inventory[[#This Row],[Fin BSMT]]*Lookups!$B$16</f>
        <v>0</v>
      </c>
      <c r="BO1282" s="6">
        <f>(Grandview_Inventory[[#This Row],[att_gar]]+Grandview_Inventory[[#This Row],[bltin_gar]])*Lookups!$B$17</f>
        <v>0</v>
      </c>
      <c r="BP1282" s="6">
        <f>Grandview_Inventory[[#This Row],[Plumbing Fixtures]]*Lookups!$B$18</f>
        <v>16083.5344</v>
      </c>
      <c r="BQ1282" s="6">
        <f>Grandview_Inventory[[#This Row],[detatched_value]]*Lookups!$B$19</f>
        <v>4234.0254999999997</v>
      </c>
      <c r="BR1282" s="6">
        <f>SUM(Grandview_Inventory[[#This Row],[Intercept]:[det_value]])*Grandview_Inventory[[#This Row],[res_pct]]</f>
        <v>256560.5411</v>
      </c>
      <c r="BS1282" s="6">
        <f>Grandview_Inventory[[#This Row],[land_value]]</f>
        <v>45695.532079096141</v>
      </c>
      <c r="BT1282" s="4">
        <f>_xlfn.IFNA(VLOOKUP(Grandview_Inventory[[#This Row],[quality]],Lookups!$A$26:$C$33,3,FALSE),1)</f>
        <v>0.98079741117310582</v>
      </c>
      <c r="BU1282" s="4">
        <f>_xlfn.IFNA(VLOOKUP(Grandview_Inventory[[#This Row],[condition]],Lookups!$A$37:$C$44,3,FALSE),1)</f>
        <v>0.96469275950863709</v>
      </c>
      <c r="BV1282" s="4">
        <f>IF(Grandview_Inventory[[#This Row],[bldg_style]]="",1,_xlfn.IFNA(VLOOKUP(Grandview_Inventory[[#This Row],[decade]],Lookups!$F$29:$H$43,3,FALSE),1))</f>
        <v>0.95244691841736806</v>
      </c>
      <c r="BW1282" s="4">
        <f>_xlfn.IFNA(VLOOKUP(Grandview_Inventory[[#This Row],[living_area_range]],Lookups!$F$47:$H$56,3,FALSE),1)</f>
        <v>0.96135087979789358</v>
      </c>
      <c r="BX1282" s="4">
        <f>AVERAGE(Grandview_Inventory[[#This Row],[qual_adj]:[size_adj]])</f>
        <v>0.96482199222425113</v>
      </c>
      <c r="BY1282" s="6">
        <f>IF(Grandview_Inventory[[#This Row],[pre_res]]&lt;0,0,Grandview_Inventory[[#This Row],[pre_res]]*Grandview_Inventory[[#This Row],[overall_adj]])</f>
        <v>247535.25239023386</v>
      </c>
      <c r="BZ1282" s="6">
        <f>(Grandview_Inventory[[#This Row],[sum_land]]-IF(Grandview_Inventory[[#This Row],[no_utilities]]=1,12000,0))/IF(Grandview_Inventory[[#This Row],[unbuildable]]=1,2,1)</f>
        <v>45695.532079096141</v>
      </c>
      <c r="CA128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82">
        <f>ROUND(Grandview_Inventory[[#This Row],[det_value]]*Lookups!$M$28,-2)</f>
        <v>4000</v>
      </c>
      <c r="CC1282">
        <f>IF(ROUND(Grandview_Inventory[[#This Row],[adj_res]]*Lookups!$M$28,-2)&lt;Grandview_Inventory[[#This Row],[min_res]],Grandview_Inventory[[#This Row],[min_res]],ROUND(Grandview_Inventory[[#This Row],[adj_res]]*Lookups!$M$28,-2))</f>
        <v>235200</v>
      </c>
      <c r="CD1282">
        <f>Grandview_Inventory[[#This Row],[final_det]]+Grandview_Inventory[[#This Row],[final_res]]</f>
        <v>239200</v>
      </c>
      <c r="CE1282">
        <f>Grandview_Inventory[[#This Row],[final_land]]+Grandview_Inventory[[#This Row],[final_imp]]+Grandview_Inventory[[#This Row],[crop_value]]</f>
        <v>282600</v>
      </c>
      <c r="CG1282" t="str">
        <f t="shared" si="19"/>
        <v>update valuation set market_land =43400, market_bldg=239200, market_total =282600, market_mdno =401, market_date ='9/10/2023' where link_id = (select link_id from parcel where parcel_year = '2024' and parcel_id = '23092313414');</v>
      </c>
    </row>
    <row r="1283" spans="1:85" x14ac:dyDescent="0.25">
      <c r="A1283">
        <v>23092313415</v>
      </c>
      <c r="B1283">
        <v>0.21</v>
      </c>
      <c r="C1283">
        <v>9074</v>
      </c>
      <c r="D1283" t="s">
        <v>129</v>
      </c>
      <c r="E1283" t="s">
        <v>53</v>
      </c>
      <c r="F1283" t="s">
        <v>53</v>
      </c>
      <c r="G1283">
        <v>4</v>
      </c>
      <c r="H1283" t="s">
        <v>54</v>
      </c>
      <c r="I1283">
        <v>127300</v>
      </c>
      <c r="J1283">
        <v>39800</v>
      </c>
      <c r="K1283">
        <v>0.21</v>
      </c>
      <c r="L128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283">
        <v>0</v>
      </c>
      <c r="N1283">
        <v>0</v>
      </c>
      <c r="O1283">
        <v>0</v>
      </c>
      <c r="P1283">
        <v>13398.7528</v>
      </c>
      <c r="Q1283">
        <v>63903</v>
      </c>
      <c r="R1283">
        <f>(Grandview_Inventory[[#This Row],[ln_acres]]*Grandview_Inventory[[#This Row],[coeff]])+Grandview_Inventory[[#This Row],[const]]</f>
        <v>42992.266613125081</v>
      </c>
      <c r="S1283" t="s">
        <v>68</v>
      </c>
      <c r="T1283">
        <v>1</v>
      </c>
      <c r="U1283" t="s">
        <v>80</v>
      </c>
      <c r="V1283" t="s">
        <v>67</v>
      </c>
      <c r="W1283">
        <v>0</v>
      </c>
      <c r="X1283">
        <v>0</v>
      </c>
      <c r="Y1283">
        <v>52</v>
      </c>
      <c r="Z1283">
        <v>86</v>
      </c>
      <c r="AA1283">
        <v>90</v>
      </c>
      <c r="AB1283">
        <v>1000</v>
      </c>
      <c r="AC1283">
        <v>762</v>
      </c>
      <c r="AD1283">
        <v>762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30</v>
      </c>
      <c r="AO1283">
        <v>0</v>
      </c>
      <c r="AP1283">
        <v>5</v>
      </c>
      <c r="AQ1283">
        <v>0</v>
      </c>
      <c r="AR1283">
        <v>0</v>
      </c>
      <c r="AS1283" t="s">
        <v>58</v>
      </c>
      <c r="AT1283">
        <v>1</v>
      </c>
      <c r="AU1283" t="s">
        <v>63</v>
      </c>
      <c r="AV1283" t="s">
        <v>60</v>
      </c>
      <c r="AW1283">
        <v>0</v>
      </c>
      <c r="AX1283">
        <v>2</v>
      </c>
      <c r="AY1283">
        <v>0</v>
      </c>
      <c r="AZ1283">
        <v>5400</v>
      </c>
      <c r="BA1283">
        <v>100</v>
      </c>
      <c r="BB1283">
        <v>100</v>
      </c>
      <c r="BC1283">
        <v>100</v>
      </c>
      <c r="BD1283">
        <v>100</v>
      </c>
      <c r="BE1283">
        <v>1</v>
      </c>
      <c r="BF1283">
        <v>15000</v>
      </c>
      <c r="BG1283">
        <v>1000</v>
      </c>
      <c r="BH1283" s="6">
        <f>Grandview_Inventory[[#This Row],[land_extract]]*Lookups!$B$3</f>
        <v>49926.8031387023</v>
      </c>
      <c r="BI1283" s="6">
        <f>IF(Grandview_Inventory[[#This Row],[bldg_style]]="",0,Lookups!$B$2)</f>
        <v>155833.95000000001</v>
      </c>
      <c r="BJ1283" s="6">
        <f>_xlfn.IFNA(VLOOKUP(Grandview_Inventory[[#This Row],[quality]],Lookups!$H$2:$J$14,3,FALSE),0)</f>
        <v>-28558</v>
      </c>
      <c r="BK1283" s="6">
        <f>_xlfn.IFNA(VLOOKUP(Grandview_Inventory[[#This Row],[condition]],Lookups!$H$17:$J$24,3,FALSE),0)</f>
        <v>22342</v>
      </c>
      <c r="BL1283" s="6">
        <f>Grandview_Inventory[[#This Row],[Eff_Age]]*Lookups!$B$14</f>
        <v>-12436.663199999999</v>
      </c>
      <c r="BM1283" s="6">
        <f>Grandview_Inventory[[#This Row],[living_area]]*Lookups!$B$15</f>
        <v>47534.209986000002</v>
      </c>
      <c r="BN1283" s="6">
        <f>Grandview_Inventory[[#This Row],[Fin BSMT]]*Lookups!$B$16</f>
        <v>0</v>
      </c>
      <c r="BO1283" s="6">
        <f>(Grandview_Inventory[[#This Row],[att_gar]]+Grandview_Inventory[[#This Row],[bltin_gar]])*Lookups!$B$17</f>
        <v>0</v>
      </c>
      <c r="BP1283" s="6">
        <f>Grandview_Inventory[[#This Row],[Plumbing Fixtures]]*Lookups!$B$18</f>
        <v>10052.209000000001</v>
      </c>
      <c r="BQ1283" s="6">
        <f>Grandview_Inventory[[#This Row],[detatched_value]]*Lookups!$B$19</f>
        <v>4572.7475400000003</v>
      </c>
      <c r="BR1283" s="6">
        <f>SUM(Grandview_Inventory[[#This Row],[Intercept]:[det_value]])*Grandview_Inventory[[#This Row],[res_pct]]</f>
        <v>199340.45332600002</v>
      </c>
      <c r="BS1283" s="6">
        <f>Grandview_Inventory[[#This Row],[land_value]]</f>
        <v>49926.8031387023</v>
      </c>
      <c r="BT1283" s="4">
        <f>_xlfn.IFNA(VLOOKUP(Grandview_Inventory[[#This Row],[quality]],Lookups!$A$26:$C$33,3,FALSE),1)</f>
        <v>0.9690360070159818</v>
      </c>
      <c r="BU1283" s="4">
        <f>_xlfn.IFNA(VLOOKUP(Grandview_Inventory[[#This Row],[condition]],Lookups!$A$37:$C$44,3,FALSE),1)</f>
        <v>0.97383723671140243</v>
      </c>
      <c r="BV1283" s="4">
        <f>IF(Grandview_Inventory[[#This Row],[bldg_style]]="",1,_xlfn.IFNA(VLOOKUP(Grandview_Inventory[[#This Row],[decade]],Lookups!$F$29:$H$43,3,FALSE),1))</f>
        <v>0.94161750052457416</v>
      </c>
      <c r="BW1283" s="4">
        <f>_xlfn.IFNA(VLOOKUP(Grandview_Inventory[[#This Row],[living_area_range]],Lookups!$F$47:$H$56,3,FALSE),1)</f>
        <v>0.94306777142782894</v>
      </c>
      <c r="BX1283" s="4">
        <f>AVERAGE(Grandview_Inventory[[#This Row],[qual_adj]:[size_adj]])</f>
        <v>0.95688962891994678</v>
      </c>
      <c r="BY1283" s="6">
        <f>IF(Grandview_Inventory[[#This Row],[pre_res]]&lt;0,0,Grandview_Inventory[[#This Row],[pre_res]]*Grandview_Inventory[[#This Row],[overall_adj]])</f>
        <v>190746.81241185011</v>
      </c>
      <c r="BZ1283" s="6">
        <f>(Grandview_Inventory[[#This Row],[sum_land]]-IF(Grandview_Inventory[[#This Row],[no_utilities]]=1,12000,0))/IF(Grandview_Inventory[[#This Row],[unbuildable]]=1,2,1)</f>
        <v>49926.8031387023</v>
      </c>
      <c r="CA128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283">
        <f>ROUND(Grandview_Inventory[[#This Row],[det_value]]*Lookups!$M$28,-2)</f>
        <v>4300</v>
      </c>
      <c r="CC1283">
        <f>IF(ROUND(Grandview_Inventory[[#This Row],[adj_res]]*Lookups!$M$28,-2)&lt;Grandview_Inventory[[#This Row],[min_res]],Grandview_Inventory[[#This Row],[min_res]],ROUND(Grandview_Inventory[[#This Row],[adj_res]]*Lookups!$M$28,-2))</f>
        <v>181200</v>
      </c>
      <c r="CD1283">
        <f>Grandview_Inventory[[#This Row],[final_det]]+Grandview_Inventory[[#This Row],[final_res]]</f>
        <v>185500</v>
      </c>
      <c r="CE1283">
        <f>Grandview_Inventory[[#This Row],[final_land]]+Grandview_Inventory[[#This Row],[final_imp]]+Grandview_Inventory[[#This Row],[crop_value]]</f>
        <v>232900</v>
      </c>
      <c r="CG1283" t="str">
        <f t="shared" ref="CG1283:CG1346" si="20">"update valuation set market_land ="&amp;CA1283&amp;", market_bldg="&amp;CD1283&amp;", market_total ="&amp;CE1283&amp;", market_mdno ="&amp;$CG$1&amp;", market_date ='"&amp;TEXT($CH$1,"m/d/yyyy")&amp;"' where link_id = (select link_id from parcel where parcel_year = '2024' and parcel_id = '"&amp;A1283&amp;"');"</f>
        <v>update valuation set market_land =47400, market_bldg=185500, market_total =232900, market_mdno =401, market_date ='9/10/2023' where link_id = (select link_id from parcel where parcel_year = '2024' and parcel_id = '23092313415');</v>
      </c>
    </row>
    <row r="1284" spans="1:85" x14ac:dyDescent="0.25">
      <c r="A1284">
        <v>23092313431</v>
      </c>
      <c r="B1284">
        <v>0.17</v>
      </c>
      <c r="C1284">
        <v>7549</v>
      </c>
      <c r="D1284" t="s">
        <v>129</v>
      </c>
      <c r="E1284" t="s">
        <v>53</v>
      </c>
      <c r="F1284" t="s">
        <v>53</v>
      </c>
      <c r="G1284">
        <v>4</v>
      </c>
      <c r="H1284" t="s">
        <v>54</v>
      </c>
      <c r="I1284">
        <v>154700</v>
      </c>
      <c r="J1284">
        <v>39300</v>
      </c>
      <c r="K1284">
        <v>0.17</v>
      </c>
      <c r="L128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84">
        <v>0</v>
      </c>
      <c r="N1284">
        <v>0</v>
      </c>
      <c r="O1284">
        <v>0</v>
      </c>
      <c r="P1284">
        <v>13398.7528</v>
      </c>
      <c r="Q1284">
        <v>63903</v>
      </c>
      <c r="R1284">
        <f>(Grandview_Inventory[[#This Row],[ln_acres]]*Grandview_Inventory[[#This Row],[coeff]])+Grandview_Inventory[[#This Row],[const]]</f>
        <v>40160.988302686128</v>
      </c>
      <c r="S1284" t="s">
        <v>68</v>
      </c>
      <c r="T1284">
        <v>1</v>
      </c>
      <c r="U1284" t="s">
        <v>80</v>
      </c>
      <c r="V1284" t="s">
        <v>69</v>
      </c>
      <c r="W1284">
        <v>0</v>
      </c>
      <c r="X1284">
        <v>0</v>
      </c>
      <c r="Y1284">
        <v>60</v>
      </c>
      <c r="Z1284">
        <v>108</v>
      </c>
      <c r="AA1284">
        <v>110</v>
      </c>
      <c r="AB1284">
        <v>1500</v>
      </c>
      <c r="AC1284">
        <v>1008</v>
      </c>
      <c r="AD1284">
        <v>1008</v>
      </c>
      <c r="AE1284">
        <v>0</v>
      </c>
      <c r="AF1284">
        <v>0</v>
      </c>
      <c r="AG1284">
        <v>0</v>
      </c>
      <c r="AH1284">
        <v>756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224</v>
      </c>
      <c r="AO1284">
        <v>0</v>
      </c>
      <c r="AP1284">
        <v>5</v>
      </c>
      <c r="AQ1284">
        <v>0</v>
      </c>
      <c r="AR1284">
        <v>0</v>
      </c>
      <c r="AS1284" t="s">
        <v>58</v>
      </c>
      <c r="AT1284">
        <v>1</v>
      </c>
      <c r="AU1284" t="s">
        <v>63</v>
      </c>
      <c r="AV1284" t="s">
        <v>81</v>
      </c>
      <c r="AW1284">
        <v>0</v>
      </c>
      <c r="AX1284">
        <v>2</v>
      </c>
      <c r="AY1284">
        <v>0</v>
      </c>
      <c r="AZ1284">
        <v>25700</v>
      </c>
      <c r="BA1284">
        <v>100</v>
      </c>
      <c r="BB1284">
        <v>100</v>
      </c>
      <c r="BC1284">
        <v>100</v>
      </c>
      <c r="BD1284">
        <v>100</v>
      </c>
      <c r="BE1284">
        <v>1</v>
      </c>
      <c r="BF1284">
        <v>15000</v>
      </c>
      <c r="BG1284">
        <v>1000</v>
      </c>
      <c r="BH1284" s="6">
        <f>Grandview_Inventory[[#This Row],[land_extract]]*Lookups!$B$3</f>
        <v>46638.847281240982</v>
      </c>
      <c r="BI1284" s="6">
        <f>IF(Grandview_Inventory[[#This Row],[bldg_style]]="",0,Lookups!$B$2)</f>
        <v>155833.95000000001</v>
      </c>
      <c r="BJ1284" s="6">
        <f>_xlfn.IFNA(VLOOKUP(Grandview_Inventory[[#This Row],[quality]],Lookups!$H$2:$J$14,3,FALSE),0)</f>
        <v>-28558</v>
      </c>
      <c r="BK1284" s="6">
        <f>_xlfn.IFNA(VLOOKUP(Grandview_Inventory[[#This Row],[condition]],Lookups!$H$17:$J$24,3,FALSE),0)</f>
        <v>-4503</v>
      </c>
      <c r="BL1284" s="6">
        <f>Grandview_Inventory[[#This Row],[Eff_Age]]*Lookups!$B$14</f>
        <v>-14349.995999999999</v>
      </c>
      <c r="BM1284" s="6">
        <f>Grandview_Inventory[[#This Row],[living_area]]*Lookups!$B$15</f>
        <v>62879.899824</v>
      </c>
      <c r="BN1284" s="6">
        <f>Grandview_Inventory[[#This Row],[Fin BSMT]]*Lookups!$B$16</f>
        <v>0</v>
      </c>
      <c r="BO1284" s="6">
        <f>(Grandview_Inventory[[#This Row],[att_gar]]+Grandview_Inventory[[#This Row],[bltin_gar]])*Lookups!$B$17</f>
        <v>0</v>
      </c>
      <c r="BP1284" s="6">
        <f>Grandview_Inventory[[#This Row],[Plumbing Fixtures]]*Lookups!$B$18</f>
        <v>10052.209000000001</v>
      </c>
      <c r="BQ1284" s="6">
        <f>Grandview_Inventory[[#This Row],[detatched_value]]*Lookups!$B$19</f>
        <v>21762.891069999998</v>
      </c>
      <c r="BR1284" s="6">
        <f>SUM(Grandview_Inventory[[#This Row],[Intercept]:[det_value]])*Grandview_Inventory[[#This Row],[res_pct]]</f>
        <v>203117.95389400003</v>
      </c>
      <c r="BS1284" s="6">
        <f>Grandview_Inventory[[#This Row],[land_value]]</f>
        <v>46638.847281240982</v>
      </c>
      <c r="BT1284" s="4">
        <f>_xlfn.IFNA(VLOOKUP(Grandview_Inventory[[#This Row],[quality]],Lookups!$A$26:$C$33,3,FALSE),1)</f>
        <v>0.9690360070159818</v>
      </c>
      <c r="BU1284" s="4">
        <f>_xlfn.IFNA(VLOOKUP(Grandview_Inventory[[#This Row],[condition]],Lookups!$A$37:$C$44,3,FALSE),1)</f>
        <v>0.96469275950863709</v>
      </c>
      <c r="BV1284" s="4">
        <f>IF(Grandview_Inventory[[#This Row],[bldg_style]]="",1,_xlfn.IFNA(VLOOKUP(Grandview_Inventory[[#This Row],[decade]],Lookups!$F$29:$H$43,3,FALSE),1))</f>
        <v>0.92255236374249616</v>
      </c>
      <c r="BW1284" s="4">
        <f>_xlfn.IFNA(VLOOKUP(Grandview_Inventory[[#This Row],[living_area_range]],Lookups!$F$47:$H$56,3,FALSE),1)</f>
        <v>0.96135087979789358</v>
      </c>
      <c r="BX1284" s="4">
        <f>AVERAGE(Grandview_Inventory[[#This Row],[qual_adj]:[size_adj]])</f>
        <v>0.95440800251625213</v>
      </c>
      <c r="BY1284" s="6">
        <f>IF(Grandview_Inventory[[#This Row],[pre_res]]&lt;0,0,Grandview_Inventory[[#This Row],[pre_res]]*Grandview_Inventory[[#This Row],[overall_adj]])</f>
        <v>193857.40065116077</v>
      </c>
      <c r="BZ1284" s="6">
        <f>(Grandview_Inventory[[#This Row],[sum_land]]-IF(Grandview_Inventory[[#This Row],[no_utilities]]=1,12000,0))/IF(Grandview_Inventory[[#This Row],[unbuildable]]=1,2,1)</f>
        <v>46638.847281240982</v>
      </c>
      <c r="CA128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84">
        <f>ROUND(Grandview_Inventory[[#This Row],[det_value]]*Lookups!$M$28,-2)</f>
        <v>20700</v>
      </c>
      <c r="CC1284">
        <f>IF(ROUND(Grandview_Inventory[[#This Row],[adj_res]]*Lookups!$M$28,-2)&lt;Grandview_Inventory[[#This Row],[min_res]],Grandview_Inventory[[#This Row],[min_res]],ROUND(Grandview_Inventory[[#This Row],[adj_res]]*Lookups!$M$28,-2))</f>
        <v>184200</v>
      </c>
      <c r="CD1284">
        <f>Grandview_Inventory[[#This Row],[final_det]]+Grandview_Inventory[[#This Row],[final_res]]</f>
        <v>204900</v>
      </c>
      <c r="CE1284">
        <f>Grandview_Inventory[[#This Row],[final_land]]+Grandview_Inventory[[#This Row],[final_imp]]+Grandview_Inventory[[#This Row],[crop_value]]</f>
        <v>249200</v>
      </c>
      <c r="CG1284" t="str">
        <f t="shared" si="20"/>
        <v>update valuation set market_land =44300, market_bldg=204900, market_total =249200, market_mdno =401, market_date ='9/10/2023' where link_id = (select link_id from parcel where parcel_year = '2024' and parcel_id = '23092313431');</v>
      </c>
    </row>
    <row r="1285" spans="1:85" x14ac:dyDescent="0.25">
      <c r="A1285">
        <v>23092313432</v>
      </c>
      <c r="B1285">
        <v>0.17</v>
      </c>
      <c r="C1285">
        <v>7455</v>
      </c>
      <c r="D1285" t="s">
        <v>129</v>
      </c>
      <c r="E1285" t="s">
        <v>53</v>
      </c>
      <c r="F1285" t="s">
        <v>53</v>
      </c>
      <c r="G1285">
        <v>4</v>
      </c>
      <c r="H1285" t="s">
        <v>54</v>
      </c>
      <c r="I1285">
        <v>171700</v>
      </c>
      <c r="J1285">
        <v>39300</v>
      </c>
      <c r="K1285">
        <v>0.17</v>
      </c>
      <c r="L128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85">
        <v>0</v>
      </c>
      <c r="N1285">
        <v>0</v>
      </c>
      <c r="O1285">
        <v>0</v>
      </c>
      <c r="P1285">
        <v>13398.7528</v>
      </c>
      <c r="Q1285">
        <v>63903</v>
      </c>
      <c r="R1285">
        <f>(Grandview_Inventory[[#This Row],[ln_acres]]*Grandview_Inventory[[#This Row],[coeff]])+Grandview_Inventory[[#This Row],[const]]</f>
        <v>40160.988302686128</v>
      </c>
      <c r="S1285" t="s">
        <v>86</v>
      </c>
      <c r="T1285">
        <v>2</v>
      </c>
      <c r="U1285" t="s">
        <v>65</v>
      </c>
      <c r="V1285" t="s">
        <v>69</v>
      </c>
      <c r="W1285">
        <v>0</v>
      </c>
      <c r="X1285">
        <v>0</v>
      </c>
      <c r="Y1285">
        <v>72</v>
      </c>
      <c r="Z1285">
        <v>120</v>
      </c>
      <c r="AA1285">
        <v>120</v>
      </c>
      <c r="AB1285">
        <v>3000</v>
      </c>
      <c r="AC1285">
        <v>2710</v>
      </c>
      <c r="AD1285">
        <v>1448</v>
      </c>
      <c r="AE1285">
        <v>780</v>
      </c>
      <c r="AF1285">
        <v>0</v>
      </c>
      <c r="AG1285">
        <v>482</v>
      </c>
      <c r="AH1285">
        <v>966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154</v>
      </c>
      <c r="AO1285">
        <v>0</v>
      </c>
      <c r="AP1285">
        <v>7</v>
      </c>
      <c r="AQ1285">
        <v>0</v>
      </c>
      <c r="AR1285">
        <v>1</v>
      </c>
      <c r="AS1285" t="s">
        <v>58</v>
      </c>
      <c r="AT1285">
        <v>1</v>
      </c>
      <c r="AU1285" t="s">
        <v>75</v>
      </c>
      <c r="AV1285" t="s">
        <v>60</v>
      </c>
      <c r="AW1285">
        <v>0</v>
      </c>
      <c r="AX1285">
        <v>4</v>
      </c>
      <c r="AY1285">
        <v>0</v>
      </c>
      <c r="AZ1285">
        <v>0</v>
      </c>
      <c r="BA1285">
        <v>100</v>
      </c>
      <c r="BB1285">
        <v>100</v>
      </c>
      <c r="BC1285">
        <v>100</v>
      </c>
      <c r="BD1285">
        <v>100</v>
      </c>
      <c r="BE1285">
        <v>1</v>
      </c>
      <c r="BF1285">
        <v>15000</v>
      </c>
      <c r="BG1285">
        <v>1000</v>
      </c>
      <c r="BH1285" s="6">
        <f>Grandview_Inventory[[#This Row],[land_extract]]*Lookups!$B$3</f>
        <v>46638.847281240982</v>
      </c>
      <c r="BI1285" s="6">
        <f>IF(Grandview_Inventory[[#This Row],[bldg_style]]="",0,Lookups!$B$2)</f>
        <v>155833.95000000001</v>
      </c>
      <c r="BJ1285" s="6">
        <f>_xlfn.IFNA(VLOOKUP(Grandview_Inventory[[#This Row],[quality]],Lookups!$H$2:$J$14,3,FALSE),0)</f>
        <v>2251</v>
      </c>
      <c r="BK1285" s="6">
        <f>_xlfn.IFNA(VLOOKUP(Grandview_Inventory[[#This Row],[condition]],Lookups!$H$17:$J$24,3,FALSE),0)</f>
        <v>-4503</v>
      </c>
      <c r="BL1285" s="6">
        <f>Grandview_Inventory[[#This Row],[Eff_Age]]*Lookups!$B$14</f>
        <v>-17219.995199999998</v>
      </c>
      <c r="BM1285" s="6">
        <f>Grandview_Inventory[[#This Row],[living_area]]*Lookups!$B$15</f>
        <v>169052.11163</v>
      </c>
      <c r="BN1285" s="6">
        <f>Grandview_Inventory[[#This Row],[Fin BSMT]]*Lookups!$B$16</f>
        <v>-13061.833680000002</v>
      </c>
      <c r="BO1285" s="6">
        <f>(Grandview_Inventory[[#This Row],[att_gar]]+Grandview_Inventory[[#This Row],[bltin_gar]])*Lookups!$B$17</f>
        <v>0</v>
      </c>
      <c r="BP1285" s="6">
        <f>Grandview_Inventory[[#This Row],[Plumbing Fixtures]]*Lookups!$B$18</f>
        <v>14073.0926</v>
      </c>
      <c r="BQ1285" s="6">
        <f>Grandview_Inventory[[#This Row],[detatched_value]]*Lookups!$B$19</f>
        <v>0</v>
      </c>
      <c r="BR1285" s="6">
        <f>SUM(Grandview_Inventory[[#This Row],[Intercept]:[det_value]])*Grandview_Inventory[[#This Row],[res_pct]]</f>
        <v>306425.32535</v>
      </c>
      <c r="BS1285" s="6">
        <f>Grandview_Inventory[[#This Row],[land_value]]</f>
        <v>46638.847281240982</v>
      </c>
      <c r="BT1285" s="4">
        <f>_xlfn.IFNA(VLOOKUP(Grandview_Inventory[[#This Row],[quality]],Lookups!$A$26:$C$33,3,FALSE),1)</f>
        <v>0.98763855981004833</v>
      </c>
      <c r="BU1285" s="4">
        <f>_xlfn.IFNA(VLOOKUP(Grandview_Inventory[[#This Row],[condition]],Lookups!$A$37:$C$44,3,FALSE),1)</f>
        <v>0.96469275950863709</v>
      </c>
      <c r="BV1285" s="4">
        <f>IF(Grandview_Inventory[[#This Row],[bldg_style]]="",1,_xlfn.IFNA(VLOOKUP(Grandview_Inventory[[#This Row],[decade]],Lookups!$F$29:$H$43,3,FALSE),1))</f>
        <v>0.9251738460551937</v>
      </c>
      <c r="BW1285" s="4">
        <f>_xlfn.IFNA(VLOOKUP(Grandview_Inventory[[#This Row],[living_area_range]],Lookups!$F$47:$H$56,3,FALSE),1)</f>
        <v>0.94224801443562123</v>
      </c>
      <c r="BX1285" s="4">
        <f>AVERAGE(Grandview_Inventory[[#This Row],[qual_adj]:[size_adj]])</f>
        <v>0.95493829495237514</v>
      </c>
      <c r="BY1285" s="6">
        <f>IF(Grandview_Inventory[[#This Row],[pre_res]]&lt;0,0,Grandview_Inventory[[#This Row],[pre_res]]*Grandview_Inventory[[#This Row],[overall_adj]])</f>
        <v>292617.27771995583</v>
      </c>
      <c r="BZ1285" s="6">
        <f>(Grandview_Inventory[[#This Row],[sum_land]]-IF(Grandview_Inventory[[#This Row],[no_utilities]]=1,12000,0))/IF(Grandview_Inventory[[#This Row],[unbuildable]]=1,2,1)</f>
        <v>46638.847281240982</v>
      </c>
      <c r="CA128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85">
        <f>ROUND(Grandview_Inventory[[#This Row],[det_value]]*Lookups!$M$28,-2)</f>
        <v>0</v>
      </c>
      <c r="CC1285">
        <f>IF(ROUND(Grandview_Inventory[[#This Row],[adj_res]]*Lookups!$M$28,-2)&lt;Grandview_Inventory[[#This Row],[min_res]],Grandview_Inventory[[#This Row],[min_res]],ROUND(Grandview_Inventory[[#This Row],[adj_res]]*Lookups!$M$28,-2))</f>
        <v>278000</v>
      </c>
      <c r="CD1285">
        <f>Grandview_Inventory[[#This Row],[final_det]]+Grandview_Inventory[[#This Row],[final_res]]</f>
        <v>278000</v>
      </c>
      <c r="CE1285">
        <f>Grandview_Inventory[[#This Row],[final_land]]+Grandview_Inventory[[#This Row],[final_imp]]+Grandview_Inventory[[#This Row],[crop_value]]</f>
        <v>322300</v>
      </c>
      <c r="CG1285" t="str">
        <f t="shared" si="20"/>
        <v>update valuation set market_land =44300, market_bldg=278000, market_total =322300, market_mdno =401, market_date ='9/10/2023' where link_id = (select link_id from parcel where parcel_year = '2024' and parcel_id = '23092313432');</v>
      </c>
    </row>
    <row r="1286" spans="1:85" x14ac:dyDescent="0.25">
      <c r="A1286">
        <v>23092313481</v>
      </c>
      <c r="B1286">
        <v>0.18</v>
      </c>
      <c r="C1286">
        <v>7747</v>
      </c>
      <c r="D1286" t="s">
        <v>129</v>
      </c>
      <c r="E1286" t="s">
        <v>53</v>
      </c>
      <c r="F1286" t="s">
        <v>53</v>
      </c>
      <c r="G1286">
        <v>4</v>
      </c>
      <c r="H1286" t="s">
        <v>54</v>
      </c>
      <c r="I1286">
        <v>181800</v>
      </c>
      <c r="J1286">
        <v>43700</v>
      </c>
      <c r="K1286">
        <v>0.18</v>
      </c>
      <c r="L128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86">
        <v>0</v>
      </c>
      <c r="N1286">
        <v>0</v>
      </c>
      <c r="O1286">
        <v>0</v>
      </c>
      <c r="P1286">
        <v>13398.7528</v>
      </c>
      <c r="Q1286">
        <v>63903</v>
      </c>
      <c r="R1286">
        <f>(Grandview_Inventory[[#This Row],[ln_acres]]*Grandview_Inventory[[#This Row],[coeff]])+Grandview_Inventory[[#This Row],[const]]</f>
        <v>40926.839760167699</v>
      </c>
      <c r="S1286" t="s">
        <v>85</v>
      </c>
      <c r="T1286">
        <v>1</v>
      </c>
      <c r="U1286" t="s">
        <v>65</v>
      </c>
      <c r="V1286" t="s">
        <v>67</v>
      </c>
      <c r="W1286">
        <v>0</v>
      </c>
      <c r="X1286">
        <v>0</v>
      </c>
      <c r="Y1286">
        <v>45</v>
      </c>
      <c r="Z1286">
        <v>98</v>
      </c>
      <c r="AA1286">
        <v>100</v>
      </c>
      <c r="AB1286">
        <v>1500</v>
      </c>
      <c r="AC1286">
        <v>1428</v>
      </c>
      <c r="AD1286">
        <v>1236</v>
      </c>
      <c r="AE1286">
        <v>0</v>
      </c>
      <c r="AF1286">
        <v>0</v>
      </c>
      <c r="AG1286">
        <v>192</v>
      </c>
      <c r="AH1286">
        <v>352</v>
      </c>
      <c r="AI1286">
        <v>0</v>
      </c>
      <c r="AJ1286">
        <v>0</v>
      </c>
      <c r="AK1286">
        <v>224</v>
      </c>
      <c r="AL1286">
        <v>0</v>
      </c>
      <c r="AM1286">
        <v>777</v>
      </c>
      <c r="AN1286">
        <v>40</v>
      </c>
      <c r="AO1286">
        <v>493</v>
      </c>
      <c r="AP1286">
        <v>6</v>
      </c>
      <c r="AQ1286">
        <v>0</v>
      </c>
      <c r="AR1286">
        <v>0</v>
      </c>
      <c r="AS1286" t="s">
        <v>131</v>
      </c>
      <c r="AT1286">
        <v>1</v>
      </c>
      <c r="AU1286" t="s">
        <v>63</v>
      </c>
      <c r="AV1286" t="s">
        <v>64</v>
      </c>
      <c r="AW1286">
        <v>0</v>
      </c>
      <c r="AX1286">
        <v>3</v>
      </c>
      <c r="AY1286">
        <v>0</v>
      </c>
      <c r="AZ1286">
        <v>3300</v>
      </c>
      <c r="BA1286">
        <v>100</v>
      </c>
      <c r="BB1286">
        <v>100</v>
      </c>
      <c r="BC1286">
        <v>100</v>
      </c>
      <c r="BD1286">
        <v>100</v>
      </c>
      <c r="BE1286">
        <v>1</v>
      </c>
      <c r="BF1286">
        <v>15000</v>
      </c>
      <c r="BG1286">
        <v>1000</v>
      </c>
      <c r="BH1286" s="6">
        <f>Grandview_Inventory[[#This Row],[land_extract]]*Lookups!$B$3</f>
        <v>47528.228511015397</v>
      </c>
      <c r="BI1286" s="6">
        <f>IF(Grandview_Inventory[[#This Row],[bldg_style]]="",0,Lookups!$B$2)</f>
        <v>155833.95000000001</v>
      </c>
      <c r="BJ1286" s="6">
        <f>_xlfn.IFNA(VLOOKUP(Grandview_Inventory[[#This Row],[quality]],Lookups!$H$2:$J$14,3,FALSE),0)</f>
        <v>2251</v>
      </c>
      <c r="BK1286" s="6">
        <f>_xlfn.IFNA(VLOOKUP(Grandview_Inventory[[#This Row],[condition]],Lookups!$H$17:$J$24,3,FALSE),0)</f>
        <v>22342</v>
      </c>
      <c r="BL1286" s="6">
        <f>Grandview_Inventory[[#This Row],[Eff_Age]]*Lookups!$B$14</f>
        <v>-10762.496999999999</v>
      </c>
      <c r="BM1286" s="6">
        <f>Grandview_Inventory[[#This Row],[living_area]]*Lookups!$B$15</f>
        <v>89079.858084000007</v>
      </c>
      <c r="BN1286" s="6">
        <f>Grandview_Inventory[[#This Row],[Fin BSMT]]*Lookups!$B$16</f>
        <v>-5203.0540799999999</v>
      </c>
      <c r="BO1286" s="6">
        <f>(Grandview_Inventory[[#This Row],[att_gar]]+Grandview_Inventory[[#This Row],[bltin_gar]])*Lookups!$B$17</f>
        <v>0</v>
      </c>
      <c r="BP1286" s="6">
        <f>Grandview_Inventory[[#This Row],[Plumbing Fixtures]]*Lookups!$B$18</f>
        <v>12062.650799999999</v>
      </c>
      <c r="BQ1286" s="6">
        <f>Grandview_Inventory[[#This Row],[detatched_value]]*Lookups!$B$19</f>
        <v>2794.4568300000001</v>
      </c>
      <c r="BR1286" s="6">
        <f>SUM(Grandview_Inventory[[#This Row],[Intercept]:[det_value]])*Grandview_Inventory[[#This Row],[res_pct]]</f>
        <v>268398.364634</v>
      </c>
      <c r="BS1286" s="6">
        <f>Grandview_Inventory[[#This Row],[land_value]]</f>
        <v>47528.228511015397</v>
      </c>
      <c r="BT1286" s="4">
        <f>_xlfn.IFNA(VLOOKUP(Grandview_Inventory[[#This Row],[quality]],Lookups!$A$26:$C$33,3,FALSE),1)</f>
        <v>0.98763855981004833</v>
      </c>
      <c r="BU1286" s="4">
        <f>_xlfn.IFNA(VLOOKUP(Grandview_Inventory[[#This Row],[condition]],Lookups!$A$37:$C$44,3,FALSE),1)</f>
        <v>0.97383723671140243</v>
      </c>
      <c r="BV1286" s="4">
        <f>IF(Grandview_Inventory[[#This Row],[bldg_style]]="",1,_xlfn.IFNA(VLOOKUP(Grandview_Inventory[[#This Row],[decade]],Lookups!$F$29:$H$43,3,FALSE),1))</f>
        <v>0.95244691841736806</v>
      </c>
      <c r="BW1286" s="4">
        <f>_xlfn.IFNA(VLOOKUP(Grandview_Inventory[[#This Row],[living_area_range]],Lookups!$F$47:$H$56,3,FALSE),1)</f>
        <v>0.96135087979789358</v>
      </c>
      <c r="BX1286" s="4">
        <f>AVERAGE(Grandview_Inventory[[#This Row],[qual_adj]:[size_adj]])</f>
        <v>0.96881839868417807</v>
      </c>
      <c r="BY1286" s="6">
        <f>IF(Grandview_Inventory[[#This Row],[pre_res]]&lt;0,0,Grandview_Inventory[[#This Row],[pre_res]]*Grandview_Inventory[[#This Row],[overall_adj]])</f>
        <v>260029.27383416402</v>
      </c>
      <c r="BZ1286" s="6">
        <f>(Grandview_Inventory[[#This Row],[sum_land]]-IF(Grandview_Inventory[[#This Row],[no_utilities]]=1,12000,0))/IF(Grandview_Inventory[[#This Row],[unbuildable]]=1,2,1)</f>
        <v>47528.228511015397</v>
      </c>
      <c r="CA128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86">
        <f>ROUND(Grandview_Inventory[[#This Row],[det_value]]*Lookups!$M$28,-2)</f>
        <v>2700</v>
      </c>
      <c r="CC1286">
        <f>IF(ROUND(Grandview_Inventory[[#This Row],[adj_res]]*Lookups!$M$28,-2)&lt;Grandview_Inventory[[#This Row],[min_res]],Grandview_Inventory[[#This Row],[min_res]],ROUND(Grandview_Inventory[[#This Row],[adj_res]]*Lookups!$M$28,-2))</f>
        <v>247000</v>
      </c>
      <c r="CD1286">
        <f>Grandview_Inventory[[#This Row],[final_det]]+Grandview_Inventory[[#This Row],[final_res]]</f>
        <v>249700</v>
      </c>
      <c r="CE1286">
        <f>Grandview_Inventory[[#This Row],[final_land]]+Grandview_Inventory[[#This Row],[final_imp]]+Grandview_Inventory[[#This Row],[crop_value]]</f>
        <v>294900</v>
      </c>
      <c r="CG1286" t="str">
        <f t="shared" si="20"/>
        <v>update valuation set market_land =45200, market_bldg=249700, market_total =294900, market_mdno =401, market_date ='9/10/2023' where link_id = (select link_id from parcel where parcel_year = '2024' and parcel_id = '23092313481');</v>
      </c>
    </row>
    <row r="1287" spans="1:85" x14ac:dyDescent="0.25">
      <c r="A1287">
        <v>23092313482</v>
      </c>
      <c r="B1287">
        <v>0.15</v>
      </c>
      <c r="C1287">
        <v>6544</v>
      </c>
      <c r="D1287" t="s">
        <v>129</v>
      </c>
      <c r="E1287" t="s">
        <v>53</v>
      </c>
      <c r="F1287" t="s">
        <v>53</v>
      </c>
      <c r="G1287">
        <v>4</v>
      </c>
      <c r="H1287" t="s">
        <v>54</v>
      </c>
      <c r="I1287">
        <v>141600</v>
      </c>
      <c r="J1287">
        <v>38800</v>
      </c>
      <c r="K1287">
        <v>0.15</v>
      </c>
      <c r="L128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287">
        <v>0</v>
      </c>
      <c r="N1287">
        <v>0</v>
      </c>
      <c r="O1287">
        <v>0</v>
      </c>
      <c r="P1287">
        <v>13398.7528</v>
      </c>
      <c r="Q1287">
        <v>63903</v>
      </c>
      <c r="R1287">
        <f>(Grandview_Inventory[[#This Row],[ln_acres]]*Grandview_Inventory[[#This Row],[coeff]])+Grandview_Inventory[[#This Row],[const]]</f>
        <v>38483.958290574345</v>
      </c>
      <c r="S1287" t="s">
        <v>68</v>
      </c>
      <c r="T1287">
        <v>1</v>
      </c>
      <c r="U1287" t="s">
        <v>70</v>
      </c>
      <c r="V1287" t="s">
        <v>69</v>
      </c>
      <c r="W1287">
        <v>0</v>
      </c>
      <c r="X1287">
        <v>0</v>
      </c>
      <c r="Y1287">
        <v>55</v>
      </c>
      <c r="Z1287">
        <v>98</v>
      </c>
      <c r="AA1287">
        <v>100</v>
      </c>
      <c r="AB1287">
        <v>1000</v>
      </c>
      <c r="AC1287">
        <v>816</v>
      </c>
      <c r="AD1287">
        <v>816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160</v>
      </c>
      <c r="AL1287">
        <v>0</v>
      </c>
      <c r="AM1287">
        <v>0</v>
      </c>
      <c r="AN1287">
        <v>64</v>
      </c>
      <c r="AO1287">
        <v>0</v>
      </c>
      <c r="AP1287">
        <v>5</v>
      </c>
      <c r="AQ1287">
        <v>0</v>
      </c>
      <c r="AR1287">
        <v>1</v>
      </c>
      <c r="AS1287" t="s">
        <v>58</v>
      </c>
      <c r="AT1287">
        <v>1</v>
      </c>
      <c r="AU1287" t="s">
        <v>63</v>
      </c>
      <c r="AV1287" t="s">
        <v>60</v>
      </c>
      <c r="AW1287">
        <v>1</v>
      </c>
      <c r="AX1287">
        <v>2</v>
      </c>
      <c r="AY1287">
        <v>0</v>
      </c>
      <c r="AZ1287">
        <v>0</v>
      </c>
      <c r="BA1287">
        <v>100</v>
      </c>
      <c r="BB1287">
        <v>100</v>
      </c>
      <c r="BC1287">
        <v>100</v>
      </c>
      <c r="BD1287">
        <v>100</v>
      </c>
      <c r="BE1287">
        <v>1</v>
      </c>
      <c r="BF1287">
        <v>15000</v>
      </c>
      <c r="BG1287">
        <v>1000</v>
      </c>
      <c r="BH1287" s="6">
        <f>Grandview_Inventory[[#This Row],[land_extract]]*Lookups!$B$3</f>
        <v>44691.316856156598</v>
      </c>
      <c r="BI1287" s="6">
        <f>IF(Grandview_Inventory[[#This Row],[bldg_style]]="",0,Lookups!$B$2)</f>
        <v>155833.95000000001</v>
      </c>
      <c r="BJ1287" s="6">
        <f>_xlfn.IFNA(VLOOKUP(Grandview_Inventory[[#This Row],[quality]],Lookups!$H$2:$J$14,3,FALSE),0)</f>
        <v>10733</v>
      </c>
      <c r="BK1287" s="6">
        <f>_xlfn.IFNA(VLOOKUP(Grandview_Inventory[[#This Row],[condition]],Lookups!$H$17:$J$24,3,FALSE),0)</f>
        <v>-4503</v>
      </c>
      <c r="BL1287" s="6">
        <f>Grandview_Inventory[[#This Row],[Eff_Age]]*Lookups!$B$14</f>
        <v>-13154.162999999999</v>
      </c>
      <c r="BM1287" s="6">
        <f>Grandview_Inventory[[#This Row],[living_area]]*Lookups!$B$15</f>
        <v>50902.776048</v>
      </c>
      <c r="BN1287" s="6">
        <f>Grandview_Inventory[[#This Row],[Fin BSMT]]*Lookups!$B$16</f>
        <v>0</v>
      </c>
      <c r="BO1287" s="6">
        <f>(Grandview_Inventory[[#This Row],[att_gar]]+Grandview_Inventory[[#This Row],[bltin_gar]])*Lookups!$B$17</f>
        <v>0</v>
      </c>
      <c r="BP1287" s="6">
        <f>Grandview_Inventory[[#This Row],[Plumbing Fixtures]]*Lookups!$B$18</f>
        <v>10052.209000000001</v>
      </c>
      <c r="BQ1287" s="6">
        <f>Grandview_Inventory[[#This Row],[detatched_value]]*Lookups!$B$19</f>
        <v>0</v>
      </c>
      <c r="BR1287" s="6">
        <f>SUM(Grandview_Inventory[[#This Row],[Intercept]:[det_value]])*Grandview_Inventory[[#This Row],[res_pct]]</f>
        <v>209864.77204800001</v>
      </c>
      <c r="BS1287" s="6">
        <f>Grandview_Inventory[[#This Row],[land_value]]</f>
        <v>44691.316856156598</v>
      </c>
      <c r="BT1287" s="4">
        <f>_xlfn.IFNA(VLOOKUP(Grandview_Inventory[[#This Row],[quality]],Lookups!$A$26:$C$33,3,FALSE),1)</f>
        <v>0.98079741117310582</v>
      </c>
      <c r="BU1287" s="4">
        <f>_xlfn.IFNA(VLOOKUP(Grandview_Inventory[[#This Row],[condition]],Lookups!$A$37:$C$44,3,FALSE),1)</f>
        <v>0.96469275950863709</v>
      </c>
      <c r="BV1287" s="4">
        <f>IF(Grandview_Inventory[[#This Row],[bldg_style]]="",1,_xlfn.IFNA(VLOOKUP(Grandview_Inventory[[#This Row],[decade]],Lookups!$F$29:$H$43,3,FALSE),1))</f>
        <v>0.95244691841736806</v>
      </c>
      <c r="BW1287" s="4">
        <f>_xlfn.IFNA(VLOOKUP(Grandview_Inventory[[#This Row],[living_area_range]],Lookups!$F$47:$H$56,3,FALSE),1)</f>
        <v>0.94306777142782894</v>
      </c>
      <c r="BX1287" s="4">
        <f>AVERAGE(Grandview_Inventory[[#This Row],[qual_adj]:[size_adj]])</f>
        <v>0.96025121513173495</v>
      </c>
      <c r="BY1287" s="6">
        <f>IF(Grandview_Inventory[[#This Row],[pre_res]]&lt;0,0,Grandview_Inventory[[#This Row],[pre_res]]*Grandview_Inventory[[#This Row],[overall_adj]])</f>
        <v>201522.90237243657</v>
      </c>
      <c r="BZ1287" s="6">
        <f>(Grandview_Inventory[[#This Row],[sum_land]]-IF(Grandview_Inventory[[#This Row],[no_utilities]]=1,12000,0))/IF(Grandview_Inventory[[#This Row],[unbuildable]]=1,2,1)</f>
        <v>44691.316856156598</v>
      </c>
      <c r="CA128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287">
        <f>ROUND(Grandview_Inventory[[#This Row],[det_value]]*Lookups!$M$28,-2)</f>
        <v>0</v>
      </c>
      <c r="CC1287">
        <f>IF(ROUND(Grandview_Inventory[[#This Row],[adj_res]]*Lookups!$M$28,-2)&lt;Grandview_Inventory[[#This Row],[min_res]],Grandview_Inventory[[#This Row],[min_res]],ROUND(Grandview_Inventory[[#This Row],[adj_res]]*Lookups!$M$28,-2))</f>
        <v>191400</v>
      </c>
      <c r="CD1287">
        <f>Grandview_Inventory[[#This Row],[final_det]]+Grandview_Inventory[[#This Row],[final_res]]</f>
        <v>191400</v>
      </c>
      <c r="CE1287">
        <f>Grandview_Inventory[[#This Row],[final_land]]+Grandview_Inventory[[#This Row],[final_imp]]+Grandview_Inventory[[#This Row],[crop_value]]</f>
        <v>233900</v>
      </c>
      <c r="CG1287" t="str">
        <f t="shared" si="20"/>
        <v>update valuation set market_land =42500, market_bldg=191400, market_total =233900, market_mdno =401, market_date ='9/10/2023' where link_id = (select link_id from parcel where parcel_year = '2024' and parcel_id = '23092313482');</v>
      </c>
    </row>
    <row r="1288" spans="1:85" x14ac:dyDescent="0.25">
      <c r="A1288">
        <v>23092313484</v>
      </c>
      <c r="B1288">
        <v>0.08</v>
      </c>
      <c r="C1288">
        <v>3696</v>
      </c>
      <c r="D1288" t="s">
        <v>129</v>
      </c>
      <c r="E1288" t="s">
        <v>53</v>
      </c>
      <c r="F1288" t="s">
        <v>53</v>
      </c>
      <c r="G1288">
        <v>4</v>
      </c>
      <c r="H1288" t="s">
        <v>54</v>
      </c>
      <c r="I1288">
        <v>125900</v>
      </c>
      <c r="J1288">
        <v>37600</v>
      </c>
      <c r="K1288">
        <v>0.08</v>
      </c>
      <c r="L1288">
        <f>IF(Grandview_Inventory[[#This Row],[parcel_acres]]-Grandview_Inventory[[#This Row],[non_valued_acres]] =0,0,LN(Grandview_Inventory[[#This Row],[parcel_acres]]-Grandview_Inventory[[#This Row],[non_valued_acres]]))</f>
        <v>-2.5257286443082556</v>
      </c>
      <c r="M1288">
        <v>0</v>
      </c>
      <c r="N1288">
        <v>0</v>
      </c>
      <c r="O1288">
        <v>0</v>
      </c>
      <c r="P1288">
        <v>13398.7528</v>
      </c>
      <c r="Q1288">
        <v>63903</v>
      </c>
      <c r="R1288">
        <f>(Grandview_Inventory[[#This Row],[ln_acres]]*Grandview_Inventory[[#This Row],[coeff]])+Grandview_Inventory[[#This Row],[const]]</f>
        <v>30061.386255034558</v>
      </c>
      <c r="S1288" t="s">
        <v>68</v>
      </c>
      <c r="T1288">
        <v>1</v>
      </c>
      <c r="U1288" t="s">
        <v>70</v>
      </c>
      <c r="V1288" t="s">
        <v>69</v>
      </c>
      <c r="W1288">
        <v>0</v>
      </c>
      <c r="X1288">
        <v>0</v>
      </c>
      <c r="Y1288">
        <v>51</v>
      </c>
      <c r="Z1288">
        <v>78</v>
      </c>
      <c r="AA1288">
        <v>80</v>
      </c>
      <c r="AB1288">
        <v>1000</v>
      </c>
      <c r="AC1288">
        <v>832</v>
      </c>
      <c r="AD1288">
        <v>832</v>
      </c>
      <c r="AE1288">
        <v>0</v>
      </c>
      <c r="AF1288">
        <v>0</v>
      </c>
      <c r="AG1288">
        <v>0</v>
      </c>
      <c r="AH1288">
        <v>416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120</v>
      </c>
      <c r="AO1288">
        <v>0</v>
      </c>
      <c r="AP1288">
        <v>5</v>
      </c>
      <c r="AQ1288">
        <v>0</v>
      </c>
      <c r="AR1288">
        <v>0</v>
      </c>
      <c r="AS1288" t="s">
        <v>58</v>
      </c>
      <c r="AT1288">
        <v>1</v>
      </c>
      <c r="AU1288" t="s">
        <v>59</v>
      </c>
      <c r="AV1288" t="s">
        <v>60</v>
      </c>
      <c r="AW1288">
        <v>1</v>
      </c>
      <c r="AX1288">
        <v>2</v>
      </c>
      <c r="AY1288">
        <v>0</v>
      </c>
      <c r="AZ1288">
        <v>1800</v>
      </c>
      <c r="BA1288">
        <v>100</v>
      </c>
      <c r="BB1288">
        <v>100</v>
      </c>
      <c r="BC1288">
        <v>100</v>
      </c>
      <c r="BD1288">
        <v>100</v>
      </c>
      <c r="BE1288">
        <v>1</v>
      </c>
      <c r="BF1288">
        <v>15000</v>
      </c>
      <c r="BG1288">
        <v>1000</v>
      </c>
      <c r="BH1288" s="6">
        <f>Grandview_Inventory[[#This Row],[land_extract]]*Lookups!$B$3</f>
        <v>34910.206692228741</v>
      </c>
      <c r="BI1288" s="6">
        <f>IF(Grandview_Inventory[[#This Row],[bldg_style]]="",0,Lookups!$B$2)</f>
        <v>155833.95000000001</v>
      </c>
      <c r="BJ1288" s="6">
        <f>_xlfn.IFNA(VLOOKUP(Grandview_Inventory[[#This Row],[quality]],Lookups!$H$2:$J$14,3,FALSE),0)</f>
        <v>10733</v>
      </c>
      <c r="BK1288" s="6">
        <f>_xlfn.IFNA(VLOOKUP(Grandview_Inventory[[#This Row],[condition]],Lookups!$H$17:$J$24,3,FALSE),0)</f>
        <v>-4503</v>
      </c>
      <c r="BL1288" s="6">
        <f>Grandview_Inventory[[#This Row],[Eff_Age]]*Lookups!$B$14</f>
        <v>-12197.496599999999</v>
      </c>
      <c r="BM1288" s="6">
        <f>Grandview_Inventory[[#This Row],[living_area]]*Lookups!$B$15</f>
        <v>51900.869696000002</v>
      </c>
      <c r="BN1288" s="6">
        <f>Grandview_Inventory[[#This Row],[Fin BSMT]]*Lookups!$B$16</f>
        <v>0</v>
      </c>
      <c r="BO1288" s="6">
        <f>(Grandview_Inventory[[#This Row],[att_gar]]+Grandview_Inventory[[#This Row],[bltin_gar]])*Lookups!$B$17</f>
        <v>0</v>
      </c>
      <c r="BP1288" s="6">
        <f>Grandview_Inventory[[#This Row],[Plumbing Fixtures]]*Lookups!$B$18</f>
        <v>10052.209000000001</v>
      </c>
      <c r="BQ1288" s="6">
        <f>Grandview_Inventory[[#This Row],[detatched_value]]*Lookups!$B$19</f>
        <v>1524.24918</v>
      </c>
      <c r="BR1288" s="6">
        <f>SUM(Grandview_Inventory[[#This Row],[Intercept]:[det_value]])*Grandview_Inventory[[#This Row],[res_pct]]</f>
        <v>213343.78127600002</v>
      </c>
      <c r="BS1288" s="6">
        <f>Grandview_Inventory[[#This Row],[land_value]]</f>
        <v>34910.206692228741</v>
      </c>
      <c r="BT1288" s="4">
        <f>_xlfn.IFNA(VLOOKUP(Grandview_Inventory[[#This Row],[quality]],Lookups!$A$26:$C$33,3,FALSE),1)</f>
        <v>0.98079741117310582</v>
      </c>
      <c r="BU1288" s="4">
        <f>_xlfn.IFNA(VLOOKUP(Grandview_Inventory[[#This Row],[condition]],Lookups!$A$37:$C$44,3,FALSE),1)</f>
        <v>0.96469275950863709</v>
      </c>
      <c r="BV1288" s="4">
        <f>IF(Grandview_Inventory[[#This Row],[bldg_style]]="",1,_xlfn.IFNA(VLOOKUP(Grandview_Inventory[[#This Row],[decade]],Lookups!$F$29:$H$43,3,FALSE),1))</f>
        <v>0.98763256963907298</v>
      </c>
      <c r="BW1288" s="4">
        <f>_xlfn.IFNA(VLOOKUP(Grandview_Inventory[[#This Row],[living_area_range]],Lookups!$F$47:$H$56,3,FALSE),1)</f>
        <v>0.94306777142782894</v>
      </c>
      <c r="BX1288" s="4">
        <f>AVERAGE(Grandview_Inventory[[#This Row],[qual_adj]:[size_adj]])</f>
        <v>0.96904762793716115</v>
      </c>
      <c r="BY1288" s="6">
        <f>IF(Grandview_Inventory[[#This Row],[pre_res]]&lt;0,0,Grandview_Inventory[[#This Row],[pre_res]]*Grandview_Inventory[[#This Row],[overall_adj]])</f>
        <v>206740.28518065237</v>
      </c>
      <c r="BZ1288" s="6">
        <f>(Grandview_Inventory[[#This Row],[sum_land]]-IF(Grandview_Inventory[[#This Row],[no_utilities]]=1,12000,0))/IF(Grandview_Inventory[[#This Row],[unbuildable]]=1,2,1)</f>
        <v>34910.206692228741</v>
      </c>
      <c r="CA1288">
        <f>IF(ROUND(Grandview_Inventory[[#This Row],[adj_land]]*Lookups!$M$28,-2)&lt;Grandview_Inventory[[#This Row],[min_land]],Grandview_Inventory[[#This Row],[min_land]],ROUND(Grandview_Inventory[[#This Row],[adj_land]]*Lookups!$M$28,-2))</f>
        <v>33200</v>
      </c>
      <c r="CB1288">
        <f>ROUND(Grandview_Inventory[[#This Row],[det_value]]*Lookups!$M$28,-2)</f>
        <v>1400</v>
      </c>
      <c r="CC1288">
        <f>IF(ROUND(Grandview_Inventory[[#This Row],[adj_res]]*Lookups!$M$28,-2)&lt;Grandview_Inventory[[#This Row],[min_res]],Grandview_Inventory[[#This Row],[min_res]],ROUND(Grandview_Inventory[[#This Row],[adj_res]]*Lookups!$M$28,-2))</f>
        <v>196400</v>
      </c>
      <c r="CD1288">
        <f>Grandview_Inventory[[#This Row],[final_det]]+Grandview_Inventory[[#This Row],[final_res]]</f>
        <v>197800</v>
      </c>
      <c r="CE1288">
        <f>Grandview_Inventory[[#This Row],[final_land]]+Grandview_Inventory[[#This Row],[final_imp]]+Grandview_Inventory[[#This Row],[crop_value]]</f>
        <v>231000</v>
      </c>
      <c r="CG1288" t="str">
        <f t="shared" si="20"/>
        <v>update valuation set market_land =33200, market_bldg=197800, market_total =231000, market_mdno =401, market_date ='9/10/2023' where link_id = (select link_id from parcel where parcel_year = '2024' and parcel_id = '23092313484');</v>
      </c>
    </row>
    <row r="1289" spans="1:85" x14ac:dyDescent="0.25">
      <c r="A1289">
        <v>23092313485</v>
      </c>
      <c r="B1289">
        <v>0.1</v>
      </c>
      <c r="C1289">
        <v>4558</v>
      </c>
      <c r="D1289" t="s">
        <v>129</v>
      </c>
      <c r="E1289" t="s">
        <v>53</v>
      </c>
      <c r="F1289" t="s">
        <v>53</v>
      </c>
      <c r="G1289">
        <v>4</v>
      </c>
      <c r="H1289" t="s">
        <v>54</v>
      </c>
      <c r="I1289">
        <v>96200</v>
      </c>
      <c r="J1289">
        <v>37900</v>
      </c>
      <c r="K1289">
        <v>0.1</v>
      </c>
      <c r="L1289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1289">
        <v>0</v>
      </c>
      <c r="N1289">
        <v>0</v>
      </c>
      <c r="O1289">
        <v>0</v>
      </c>
      <c r="P1289">
        <v>13398.7528</v>
      </c>
      <c r="Q1289">
        <v>63903</v>
      </c>
      <c r="R1289">
        <f>(Grandview_Inventory[[#This Row],[ln_acres]]*Grandview_Inventory[[#This Row],[coeff]])+Grandview_Inventory[[#This Row],[const]]</f>
        <v>33051.231538007778</v>
      </c>
      <c r="S1289" t="s">
        <v>68</v>
      </c>
      <c r="T1289">
        <v>1</v>
      </c>
      <c r="U1289" t="s">
        <v>80</v>
      </c>
      <c r="V1289" t="s">
        <v>69</v>
      </c>
      <c r="W1289">
        <v>0</v>
      </c>
      <c r="X1289">
        <v>0</v>
      </c>
      <c r="Y1289">
        <v>51</v>
      </c>
      <c r="Z1289">
        <v>78</v>
      </c>
      <c r="AA1289">
        <v>80</v>
      </c>
      <c r="AB1289">
        <v>1000</v>
      </c>
      <c r="AC1289">
        <v>792</v>
      </c>
      <c r="AD1289">
        <v>792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216</v>
      </c>
      <c r="AL1289">
        <v>0</v>
      </c>
      <c r="AM1289">
        <v>50</v>
      </c>
      <c r="AN1289">
        <v>0</v>
      </c>
      <c r="AO1289">
        <v>0</v>
      </c>
      <c r="AP1289">
        <v>5</v>
      </c>
      <c r="AQ1289">
        <v>0</v>
      </c>
      <c r="AR1289">
        <v>0</v>
      </c>
      <c r="AS1289" t="s">
        <v>58</v>
      </c>
      <c r="AT1289">
        <v>1</v>
      </c>
      <c r="AU1289" t="s">
        <v>63</v>
      </c>
      <c r="AV1289" t="s">
        <v>64</v>
      </c>
      <c r="AW1289">
        <v>0</v>
      </c>
      <c r="AX1289">
        <v>2</v>
      </c>
      <c r="AY1289">
        <v>0</v>
      </c>
      <c r="AZ1289">
        <v>3700</v>
      </c>
      <c r="BA1289">
        <v>100</v>
      </c>
      <c r="BB1289">
        <v>100</v>
      </c>
      <c r="BC1289">
        <v>100</v>
      </c>
      <c r="BD1289">
        <v>100</v>
      </c>
      <c r="BE1289">
        <v>1</v>
      </c>
      <c r="BF1289">
        <v>15000</v>
      </c>
      <c r="BG1289">
        <v>1000</v>
      </c>
      <c r="BH1289" s="6">
        <f>Grandview_Inventory[[#This Row],[land_extract]]*Lookups!$B$3</f>
        <v>38382.305946763277</v>
      </c>
      <c r="BI1289" s="6">
        <f>IF(Grandview_Inventory[[#This Row],[bldg_style]]="",0,Lookups!$B$2)</f>
        <v>155833.95000000001</v>
      </c>
      <c r="BJ1289" s="6">
        <f>_xlfn.IFNA(VLOOKUP(Grandview_Inventory[[#This Row],[quality]],Lookups!$H$2:$J$14,3,FALSE),0)</f>
        <v>-28558</v>
      </c>
      <c r="BK1289" s="6">
        <f>_xlfn.IFNA(VLOOKUP(Grandview_Inventory[[#This Row],[condition]],Lookups!$H$17:$J$24,3,FALSE),0)</f>
        <v>-4503</v>
      </c>
      <c r="BL1289" s="6">
        <f>Grandview_Inventory[[#This Row],[Eff_Age]]*Lookups!$B$14</f>
        <v>-12197.496599999999</v>
      </c>
      <c r="BM1289" s="6">
        <f>Grandview_Inventory[[#This Row],[living_area]]*Lookups!$B$15</f>
        <v>49405.635576000001</v>
      </c>
      <c r="BN1289" s="6">
        <f>Grandview_Inventory[[#This Row],[Fin BSMT]]*Lookups!$B$16</f>
        <v>0</v>
      </c>
      <c r="BO1289" s="6">
        <f>(Grandview_Inventory[[#This Row],[att_gar]]+Grandview_Inventory[[#This Row],[bltin_gar]])*Lookups!$B$17</f>
        <v>0</v>
      </c>
      <c r="BP1289" s="6">
        <f>Grandview_Inventory[[#This Row],[Plumbing Fixtures]]*Lookups!$B$18</f>
        <v>10052.209000000001</v>
      </c>
      <c r="BQ1289" s="6">
        <f>Grandview_Inventory[[#This Row],[detatched_value]]*Lookups!$B$19</f>
        <v>3133.1788699999997</v>
      </c>
      <c r="BR1289" s="6">
        <f>SUM(Grandview_Inventory[[#This Row],[Intercept]:[det_value]])*Grandview_Inventory[[#This Row],[res_pct]]</f>
        <v>173166.47684600003</v>
      </c>
      <c r="BS1289" s="6">
        <f>Grandview_Inventory[[#This Row],[land_value]]</f>
        <v>38382.305946763277</v>
      </c>
      <c r="BT1289" s="4">
        <f>_xlfn.IFNA(VLOOKUP(Grandview_Inventory[[#This Row],[quality]],Lookups!$A$26:$C$33,3,FALSE),1)</f>
        <v>0.9690360070159818</v>
      </c>
      <c r="BU1289" s="4">
        <f>_xlfn.IFNA(VLOOKUP(Grandview_Inventory[[#This Row],[condition]],Lookups!$A$37:$C$44,3,FALSE),1)</f>
        <v>0.96469275950863709</v>
      </c>
      <c r="BV1289" s="4">
        <f>IF(Grandview_Inventory[[#This Row],[bldg_style]]="",1,_xlfn.IFNA(VLOOKUP(Grandview_Inventory[[#This Row],[decade]],Lookups!$F$29:$H$43,3,FALSE),1))</f>
        <v>0.98763256963907298</v>
      </c>
      <c r="BW1289" s="4">
        <f>_xlfn.IFNA(VLOOKUP(Grandview_Inventory[[#This Row],[living_area_range]],Lookups!$F$47:$H$56,3,FALSE),1)</f>
        <v>0.94306777142782894</v>
      </c>
      <c r="BX1289" s="4">
        <f>AVERAGE(Grandview_Inventory[[#This Row],[qual_adj]:[size_adj]])</f>
        <v>0.96610727689788012</v>
      </c>
      <c r="BY1289" s="6">
        <f>IF(Grandview_Inventory[[#This Row],[pre_res]]&lt;0,0,Grandview_Inventory[[#This Row],[pre_res]]*Grandview_Inventory[[#This Row],[overall_adj]])</f>
        <v>167297.39339568891</v>
      </c>
      <c r="BZ1289" s="6">
        <f>(Grandview_Inventory[[#This Row],[sum_land]]-IF(Grandview_Inventory[[#This Row],[no_utilities]]=1,12000,0))/IF(Grandview_Inventory[[#This Row],[unbuildable]]=1,2,1)</f>
        <v>38382.305946763277</v>
      </c>
      <c r="CA1289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1289">
        <f>ROUND(Grandview_Inventory[[#This Row],[det_value]]*Lookups!$M$28,-2)</f>
        <v>3000</v>
      </c>
      <c r="CC1289">
        <f>IF(ROUND(Grandview_Inventory[[#This Row],[adj_res]]*Lookups!$M$28,-2)&lt;Grandview_Inventory[[#This Row],[min_res]],Grandview_Inventory[[#This Row],[min_res]],ROUND(Grandview_Inventory[[#This Row],[adj_res]]*Lookups!$M$28,-2))</f>
        <v>158900</v>
      </c>
      <c r="CD1289">
        <f>Grandview_Inventory[[#This Row],[final_det]]+Grandview_Inventory[[#This Row],[final_res]]</f>
        <v>161900</v>
      </c>
      <c r="CE1289">
        <f>Grandview_Inventory[[#This Row],[final_land]]+Grandview_Inventory[[#This Row],[final_imp]]+Grandview_Inventory[[#This Row],[crop_value]]</f>
        <v>198400</v>
      </c>
      <c r="CG1289" t="str">
        <f t="shared" si="20"/>
        <v>update valuation set market_land =36500, market_bldg=161900, market_total =198400, market_mdno =401, market_date ='9/10/2023' where link_id = (select link_id from parcel where parcel_year = '2024' and parcel_id = '23092313485');</v>
      </c>
    </row>
    <row r="1290" spans="1:85" x14ac:dyDescent="0.25">
      <c r="A1290">
        <v>23092313486</v>
      </c>
      <c r="B1290">
        <v>0.15</v>
      </c>
      <c r="C1290">
        <v>6450</v>
      </c>
      <c r="D1290" t="s">
        <v>129</v>
      </c>
      <c r="E1290" t="s">
        <v>53</v>
      </c>
      <c r="F1290" t="s">
        <v>53</v>
      </c>
      <c r="G1290">
        <v>4</v>
      </c>
      <c r="H1290" t="s">
        <v>54</v>
      </c>
      <c r="I1290">
        <v>37200</v>
      </c>
      <c r="J1290">
        <v>38800</v>
      </c>
      <c r="K1290">
        <v>0.15</v>
      </c>
      <c r="L1290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290">
        <v>0</v>
      </c>
      <c r="N1290">
        <v>0</v>
      </c>
      <c r="O1290">
        <v>0</v>
      </c>
      <c r="P1290">
        <v>13398.7528</v>
      </c>
      <c r="Q1290">
        <v>63903</v>
      </c>
      <c r="R1290">
        <f>(Grandview_Inventory[[#This Row],[ln_acres]]*Grandview_Inventory[[#This Row],[coeff]])+Grandview_Inventory[[#This Row],[const]]</f>
        <v>38483.958290574345</v>
      </c>
      <c r="S1290" t="s">
        <v>68</v>
      </c>
      <c r="T1290">
        <v>1</v>
      </c>
      <c r="U1290" t="s">
        <v>83</v>
      </c>
      <c r="V1290" t="s">
        <v>94</v>
      </c>
      <c r="W1290">
        <v>0</v>
      </c>
      <c r="X1290">
        <v>0</v>
      </c>
      <c r="Y1290">
        <v>55</v>
      </c>
      <c r="Z1290">
        <v>98</v>
      </c>
      <c r="AA1290">
        <v>100</v>
      </c>
      <c r="AB1290">
        <v>1000</v>
      </c>
      <c r="AC1290">
        <v>650</v>
      </c>
      <c r="AD1290">
        <v>650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78</v>
      </c>
      <c r="AO1290">
        <v>0</v>
      </c>
      <c r="AP1290">
        <v>5</v>
      </c>
      <c r="AQ1290">
        <v>0</v>
      </c>
      <c r="AR1290">
        <v>0</v>
      </c>
      <c r="AS1290" t="s">
        <v>58</v>
      </c>
      <c r="AT1290">
        <v>0</v>
      </c>
      <c r="AU1290" t="s">
        <v>82</v>
      </c>
      <c r="AV1290" t="s">
        <v>60</v>
      </c>
      <c r="AW1290">
        <v>0</v>
      </c>
      <c r="AX1290">
        <v>2</v>
      </c>
      <c r="AY1290">
        <v>0</v>
      </c>
      <c r="AZ1290">
        <v>0</v>
      </c>
      <c r="BA1290">
        <v>100</v>
      </c>
      <c r="BB1290">
        <v>100</v>
      </c>
      <c r="BC1290">
        <v>100</v>
      </c>
      <c r="BD1290">
        <v>100</v>
      </c>
      <c r="BE1290">
        <v>1</v>
      </c>
      <c r="BF1290">
        <v>15000</v>
      </c>
      <c r="BG1290">
        <v>1000</v>
      </c>
      <c r="BH1290" s="6">
        <f>Grandview_Inventory[[#This Row],[land_extract]]*Lookups!$B$3</f>
        <v>44691.316856156598</v>
      </c>
      <c r="BI1290" s="6">
        <f>IF(Grandview_Inventory[[#This Row],[bldg_style]]="",0,Lookups!$B$2)</f>
        <v>155833.95000000001</v>
      </c>
      <c r="BJ1290" s="6">
        <f>_xlfn.IFNA(VLOOKUP(Grandview_Inventory[[#This Row],[quality]],Lookups!$H$2:$J$14,3,FALSE),0)</f>
        <v>-28558</v>
      </c>
      <c r="BK1290" s="6">
        <f>_xlfn.IFNA(VLOOKUP(Grandview_Inventory[[#This Row],[condition]],Lookups!$H$17:$J$24,3,FALSE),0)</f>
        <v>-77566.475205170951</v>
      </c>
      <c r="BL1290" s="6">
        <f>Grandview_Inventory[[#This Row],[Eff_Age]]*Lookups!$B$14</f>
        <v>-13154.162999999999</v>
      </c>
      <c r="BM1290" s="6">
        <f>Grandview_Inventory[[#This Row],[living_area]]*Lookups!$B$15</f>
        <v>40547.554450000003</v>
      </c>
      <c r="BN1290" s="6">
        <f>Grandview_Inventory[[#This Row],[Fin BSMT]]*Lookups!$B$16</f>
        <v>0</v>
      </c>
      <c r="BO1290" s="6">
        <f>(Grandview_Inventory[[#This Row],[att_gar]]+Grandview_Inventory[[#This Row],[bltin_gar]])*Lookups!$B$17</f>
        <v>0</v>
      </c>
      <c r="BP1290" s="6">
        <f>Grandview_Inventory[[#This Row],[Plumbing Fixtures]]*Lookups!$B$18</f>
        <v>10052.209000000001</v>
      </c>
      <c r="BQ1290" s="6">
        <f>Grandview_Inventory[[#This Row],[detatched_value]]*Lookups!$B$19</f>
        <v>0</v>
      </c>
      <c r="BR1290" s="6">
        <f>SUM(Grandview_Inventory[[#This Row],[Intercept]:[det_value]])*Grandview_Inventory[[#This Row],[res_pct]]</f>
        <v>87155.075244829059</v>
      </c>
      <c r="BS1290" s="6">
        <f>Grandview_Inventory[[#This Row],[land_value]]</f>
        <v>44691.316856156598</v>
      </c>
      <c r="BT1290" s="4">
        <f>_xlfn.IFNA(VLOOKUP(Grandview_Inventory[[#This Row],[quality]],Lookups!$A$26:$C$33,3,FALSE),1)</f>
        <v>0.96329552998502799</v>
      </c>
      <c r="BU1290" s="4">
        <f>_xlfn.IFNA(VLOOKUP(Grandview_Inventory[[#This Row],[condition]],Lookups!$A$37:$C$44,3,FALSE),1)</f>
        <v>0.97161819570155394</v>
      </c>
      <c r="BV1290" s="4">
        <f>IF(Grandview_Inventory[[#This Row],[bldg_style]]="",1,_xlfn.IFNA(VLOOKUP(Grandview_Inventory[[#This Row],[decade]],Lookups!$F$29:$H$43,3,FALSE),1))</f>
        <v>0.95244691841736806</v>
      </c>
      <c r="BW1290" s="4">
        <f>_xlfn.IFNA(VLOOKUP(Grandview_Inventory[[#This Row],[living_area_range]],Lookups!$F$47:$H$56,3,FALSE),1)</f>
        <v>0.94306777142782894</v>
      </c>
      <c r="BX1290" s="4">
        <f>AVERAGE(Grandview_Inventory[[#This Row],[qual_adj]:[size_adj]])</f>
        <v>0.95760710388294468</v>
      </c>
      <c r="BY1290" s="6">
        <f>IF(Grandview_Inventory[[#This Row],[pre_res]]&lt;0,0,Grandview_Inventory[[#This Row],[pre_res]]*Grandview_Inventory[[#This Row],[overall_adj]])</f>
        <v>83460.319193900883</v>
      </c>
      <c r="BZ1290" s="6">
        <f>(Grandview_Inventory[[#This Row],[sum_land]]-IF(Grandview_Inventory[[#This Row],[no_utilities]]=1,12000,0))/IF(Grandview_Inventory[[#This Row],[unbuildable]]=1,2,1)</f>
        <v>44691.316856156598</v>
      </c>
      <c r="CA1290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290">
        <f>ROUND(Grandview_Inventory[[#This Row],[det_value]]*Lookups!$M$28,-2)</f>
        <v>0</v>
      </c>
      <c r="CC1290">
        <f>IF(ROUND(Grandview_Inventory[[#This Row],[adj_res]]*Lookups!$M$28,-2)&lt;Grandview_Inventory[[#This Row],[min_res]],Grandview_Inventory[[#This Row],[min_res]],ROUND(Grandview_Inventory[[#This Row],[adj_res]]*Lookups!$M$28,-2))</f>
        <v>79300</v>
      </c>
      <c r="CD1290">
        <f>Grandview_Inventory[[#This Row],[final_det]]+Grandview_Inventory[[#This Row],[final_res]]</f>
        <v>79300</v>
      </c>
      <c r="CE1290">
        <f>Grandview_Inventory[[#This Row],[final_land]]+Grandview_Inventory[[#This Row],[final_imp]]+Grandview_Inventory[[#This Row],[crop_value]]</f>
        <v>121800</v>
      </c>
      <c r="CG1290" t="str">
        <f t="shared" si="20"/>
        <v>update valuation set market_land =42500, market_bldg=79300, market_total =121800, market_mdno =401, market_date ='9/10/2023' where link_id = (select link_id from parcel where parcel_year = '2024' and parcel_id = '23092313486');</v>
      </c>
    </row>
    <row r="1291" spans="1:85" x14ac:dyDescent="0.25">
      <c r="A1291">
        <v>23092313487</v>
      </c>
      <c r="B1291">
        <v>0.17</v>
      </c>
      <c r="C1291">
        <v>7276</v>
      </c>
      <c r="D1291" t="s">
        <v>129</v>
      </c>
      <c r="E1291" t="s">
        <v>53</v>
      </c>
      <c r="F1291" t="s">
        <v>53</v>
      </c>
      <c r="G1291">
        <v>4</v>
      </c>
      <c r="H1291" t="s">
        <v>54</v>
      </c>
      <c r="I1291">
        <v>236400</v>
      </c>
      <c r="J1291">
        <v>39300</v>
      </c>
      <c r="K1291">
        <v>0.17</v>
      </c>
      <c r="L129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91">
        <v>0</v>
      </c>
      <c r="N1291">
        <v>0</v>
      </c>
      <c r="O1291">
        <v>0</v>
      </c>
      <c r="P1291">
        <v>13398.7528</v>
      </c>
      <c r="Q1291">
        <v>63903</v>
      </c>
      <c r="R1291">
        <f>(Grandview_Inventory[[#This Row],[ln_acres]]*Grandview_Inventory[[#This Row],[coeff]])+Grandview_Inventory[[#This Row],[const]]</f>
        <v>40160.988302686128</v>
      </c>
      <c r="S1291" t="s">
        <v>84</v>
      </c>
      <c r="T1291">
        <v>2</v>
      </c>
      <c r="U1291" t="s">
        <v>65</v>
      </c>
      <c r="V1291" t="s">
        <v>78</v>
      </c>
      <c r="W1291">
        <v>0</v>
      </c>
      <c r="X1291">
        <v>0</v>
      </c>
      <c r="Y1291">
        <v>57</v>
      </c>
      <c r="Z1291">
        <v>103</v>
      </c>
      <c r="AA1291">
        <v>110</v>
      </c>
      <c r="AB1291">
        <v>3000</v>
      </c>
      <c r="AC1291">
        <v>2916</v>
      </c>
      <c r="AD1291">
        <v>1296</v>
      </c>
      <c r="AE1291">
        <v>972</v>
      </c>
      <c r="AF1291">
        <v>0</v>
      </c>
      <c r="AG1291">
        <v>648</v>
      </c>
      <c r="AH1291">
        <v>648</v>
      </c>
      <c r="AI1291">
        <v>0</v>
      </c>
      <c r="AJ1291">
        <v>0</v>
      </c>
      <c r="AK1291">
        <v>0</v>
      </c>
      <c r="AL1291">
        <v>221</v>
      </c>
      <c r="AM1291">
        <v>0</v>
      </c>
      <c r="AN1291">
        <v>266</v>
      </c>
      <c r="AO1291">
        <v>580</v>
      </c>
      <c r="AP1291">
        <v>8</v>
      </c>
      <c r="AQ1291">
        <v>0</v>
      </c>
      <c r="AR1291">
        <v>1</v>
      </c>
      <c r="AS1291" t="s">
        <v>58</v>
      </c>
      <c r="AT1291">
        <v>1</v>
      </c>
      <c r="AU1291" t="s">
        <v>63</v>
      </c>
      <c r="AV1291" t="s">
        <v>64</v>
      </c>
      <c r="AW1291">
        <v>0</v>
      </c>
      <c r="AX1291">
        <v>4</v>
      </c>
      <c r="AY1291">
        <v>0</v>
      </c>
      <c r="AZ1291">
        <v>3000</v>
      </c>
      <c r="BA1291">
        <v>100</v>
      </c>
      <c r="BB1291">
        <v>100</v>
      </c>
      <c r="BC1291">
        <v>100</v>
      </c>
      <c r="BD1291">
        <v>100</v>
      </c>
      <c r="BE1291">
        <v>1</v>
      </c>
      <c r="BF1291">
        <v>15000</v>
      </c>
      <c r="BG1291">
        <v>1000</v>
      </c>
      <c r="BH1291" s="6">
        <f>Grandview_Inventory[[#This Row],[land_extract]]*Lookups!$B$3</f>
        <v>46638.847281240982</v>
      </c>
      <c r="BI1291" s="6">
        <f>IF(Grandview_Inventory[[#This Row],[bldg_style]]="",0,Lookups!$B$2)</f>
        <v>155833.95000000001</v>
      </c>
      <c r="BJ1291" s="6">
        <f>_xlfn.IFNA(VLOOKUP(Grandview_Inventory[[#This Row],[quality]],Lookups!$H$2:$J$14,3,FALSE),0)</f>
        <v>2251</v>
      </c>
      <c r="BK1291" s="6">
        <f>_xlfn.IFNA(VLOOKUP(Grandview_Inventory[[#This Row],[condition]],Lookups!$H$17:$J$24,3,FALSE),0)</f>
        <v>-45357</v>
      </c>
      <c r="BL1291" s="6">
        <f>Grandview_Inventory[[#This Row],[Eff_Age]]*Lookups!$B$14</f>
        <v>-13632.4962</v>
      </c>
      <c r="BM1291" s="6">
        <f>Grandview_Inventory[[#This Row],[living_area]]*Lookups!$B$15</f>
        <v>181902.56734800001</v>
      </c>
      <c r="BN1291" s="6">
        <f>Grandview_Inventory[[#This Row],[Fin BSMT]]*Lookups!$B$16</f>
        <v>-17560.307520000002</v>
      </c>
      <c r="BO1291" s="6">
        <f>(Grandview_Inventory[[#This Row],[att_gar]]+Grandview_Inventory[[#This Row],[bltin_gar]])*Lookups!$B$17</f>
        <v>0</v>
      </c>
      <c r="BP1291" s="6">
        <f>Grandview_Inventory[[#This Row],[Plumbing Fixtures]]*Lookups!$B$18</f>
        <v>16083.5344</v>
      </c>
      <c r="BQ1291" s="6">
        <f>Grandview_Inventory[[#This Row],[detatched_value]]*Lookups!$B$19</f>
        <v>2540.4153000000001</v>
      </c>
      <c r="BR1291" s="6">
        <f>SUM(Grandview_Inventory[[#This Row],[Intercept]:[det_value]])*Grandview_Inventory[[#This Row],[res_pct]]</f>
        <v>282061.663328</v>
      </c>
      <c r="BS1291" s="6">
        <f>Grandview_Inventory[[#This Row],[land_value]]</f>
        <v>46638.847281240982</v>
      </c>
      <c r="BT1291" s="4">
        <f>_xlfn.IFNA(VLOOKUP(Grandview_Inventory[[#This Row],[quality]],Lookups!$A$26:$C$33,3,FALSE),1)</f>
        <v>0.98763855981004833</v>
      </c>
      <c r="BU1291" s="4">
        <f>_xlfn.IFNA(VLOOKUP(Grandview_Inventory[[#This Row],[condition]],Lookups!$A$37:$C$44,3,FALSE),1)</f>
        <v>0.97161819570155394</v>
      </c>
      <c r="BV1291" s="4">
        <f>IF(Grandview_Inventory[[#This Row],[bldg_style]]="",1,_xlfn.IFNA(VLOOKUP(Grandview_Inventory[[#This Row],[decade]],Lookups!$F$29:$H$43,3,FALSE),1))</f>
        <v>0.92255236374249616</v>
      </c>
      <c r="BW1291" s="4">
        <f>_xlfn.IFNA(VLOOKUP(Grandview_Inventory[[#This Row],[living_area_range]],Lookups!$F$47:$H$56,3,FALSE),1)</f>
        <v>0.94224801443562123</v>
      </c>
      <c r="BX1291" s="4">
        <f>AVERAGE(Grandview_Inventory[[#This Row],[qual_adj]:[size_adj]])</f>
        <v>0.95601428342243</v>
      </c>
      <c r="BY1291" s="6">
        <f>IF(Grandview_Inventory[[#This Row],[pre_res]]&lt;0,0,Grandview_Inventory[[#This Row],[pre_res]]*Grandview_Inventory[[#This Row],[overall_adj]])</f>
        <v>269654.97894745664</v>
      </c>
      <c r="BZ1291" s="6">
        <f>(Grandview_Inventory[[#This Row],[sum_land]]-IF(Grandview_Inventory[[#This Row],[no_utilities]]=1,12000,0))/IF(Grandview_Inventory[[#This Row],[unbuildable]]=1,2,1)</f>
        <v>46638.847281240982</v>
      </c>
      <c r="CA129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91">
        <f>ROUND(Grandview_Inventory[[#This Row],[det_value]]*Lookups!$M$28,-2)</f>
        <v>2400</v>
      </c>
      <c r="CC1291">
        <f>IF(ROUND(Grandview_Inventory[[#This Row],[adj_res]]*Lookups!$M$28,-2)&lt;Grandview_Inventory[[#This Row],[min_res]],Grandview_Inventory[[#This Row],[min_res]],ROUND(Grandview_Inventory[[#This Row],[adj_res]]*Lookups!$M$28,-2))</f>
        <v>256200</v>
      </c>
      <c r="CD1291">
        <f>Grandview_Inventory[[#This Row],[final_det]]+Grandview_Inventory[[#This Row],[final_res]]</f>
        <v>258600</v>
      </c>
      <c r="CE1291">
        <f>Grandview_Inventory[[#This Row],[final_land]]+Grandview_Inventory[[#This Row],[final_imp]]+Grandview_Inventory[[#This Row],[crop_value]]</f>
        <v>302900</v>
      </c>
      <c r="CG1291" t="str">
        <f t="shared" si="20"/>
        <v>update valuation set market_land =44300, market_bldg=258600, market_total =302900, market_mdno =401, market_date ='9/10/2023' where link_id = (select link_id from parcel where parcel_year = '2024' and parcel_id = '23092313487');</v>
      </c>
    </row>
    <row r="1292" spans="1:85" x14ac:dyDescent="0.25">
      <c r="A1292">
        <v>23092313488</v>
      </c>
      <c r="B1292">
        <v>0.18</v>
      </c>
      <c r="C1292">
        <v>7688</v>
      </c>
      <c r="D1292" t="s">
        <v>129</v>
      </c>
      <c r="E1292" t="s">
        <v>53</v>
      </c>
      <c r="F1292" t="s">
        <v>53</v>
      </c>
      <c r="G1292">
        <v>4</v>
      </c>
      <c r="H1292" t="s">
        <v>54</v>
      </c>
      <c r="I1292">
        <v>173800</v>
      </c>
      <c r="J1292">
        <v>39300</v>
      </c>
      <c r="K1292">
        <v>0.18</v>
      </c>
      <c r="L129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92">
        <v>0</v>
      </c>
      <c r="N1292">
        <v>0</v>
      </c>
      <c r="O1292">
        <v>0</v>
      </c>
      <c r="P1292">
        <v>13398.7528</v>
      </c>
      <c r="Q1292">
        <v>63903</v>
      </c>
      <c r="R1292">
        <f>(Grandview_Inventory[[#This Row],[ln_acres]]*Grandview_Inventory[[#This Row],[coeff]])+Grandview_Inventory[[#This Row],[const]]</f>
        <v>40926.839760167699</v>
      </c>
      <c r="S1292" t="s">
        <v>68</v>
      </c>
      <c r="T1292">
        <v>1</v>
      </c>
      <c r="U1292" t="s">
        <v>70</v>
      </c>
      <c r="V1292" t="s">
        <v>69</v>
      </c>
      <c r="W1292">
        <v>0</v>
      </c>
      <c r="X1292">
        <v>0</v>
      </c>
      <c r="Y1292">
        <v>55</v>
      </c>
      <c r="Z1292">
        <v>98</v>
      </c>
      <c r="AA1292">
        <v>100</v>
      </c>
      <c r="AB1292">
        <v>2000</v>
      </c>
      <c r="AC1292">
        <v>1604</v>
      </c>
      <c r="AD1292">
        <v>1104</v>
      </c>
      <c r="AE1292">
        <v>0</v>
      </c>
      <c r="AF1292">
        <v>0</v>
      </c>
      <c r="AG1292">
        <v>500</v>
      </c>
      <c r="AH1292">
        <v>0</v>
      </c>
      <c r="AI1292">
        <v>0</v>
      </c>
      <c r="AJ1292">
        <v>0</v>
      </c>
      <c r="AK1292">
        <v>460</v>
      </c>
      <c r="AL1292">
        <v>0</v>
      </c>
      <c r="AM1292">
        <v>0</v>
      </c>
      <c r="AN1292">
        <v>84</v>
      </c>
      <c r="AO1292">
        <v>0</v>
      </c>
      <c r="AP1292">
        <v>8</v>
      </c>
      <c r="AQ1292">
        <v>0</v>
      </c>
      <c r="AR1292">
        <v>1</v>
      </c>
      <c r="AS1292" t="s">
        <v>58</v>
      </c>
      <c r="AT1292">
        <v>1</v>
      </c>
      <c r="AU1292" t="s">
        <v>75</v>
      </c>
      <c r="AV1292" t="s">
        <v>60</v>
      </c>
      <c r="AW1292">
        <v>0</v>
      </c>
      <c r="AX1292">
        <v>3</v>
      </c>
      <c r="AY1292">
        <v>0</v>
      </c>
      <c r="AZ1292">
        <v>9800</v>
      </c>
      <c r="BA1292">
        <v>100</v>
      </c>
      <c r="BB1292">
        <v>100</v>
      </c>
      <c r="BC1292">
        <v>100</v>
      </c>
      <c r="BD1292">
        <v>100</v>
      </c>
      <c r="BE1292">
        <v>1</v>
      </c>
      <c r="BF1292">
        <v>15000</v>
      </c>
      <c r="BG1292">
        <v>1000</v>
      </c>
      <c r="BH1292" s="6">
        <f>Grandview_Inventory[[#This Row],[land_extract]]*Lookups!$B$3</f>
        <v>47528.228511015397</v>
      </c>
      <c r="BI1292" s="6">
        <f>IF(Grandview_Inventory[[#This Row],[bldg_style]]="",0,Lookups!$B$2)</f>
        <v>155833.95000000001</v>
      </c>
      <c r="BJ1292" s="6">
        <f>_xlfn.IFNA(VLOOKUP(Grandview_Inventory[[#This Row],[quality]],Lookups!$H$2:$J$14,3,FALSE),0)</f>
        <v>10733</v>
      </c>
      <c r="BK1292" s="6">
        <f>_xlfn.IFNA(VLOOKUP(Grandview_Inventory[[#This Row],[condition]],Lookups!$H$17:$J$24,3,FALSE),0)</f>
        <v>-4503</v>
      </c>
      <c r="BL1292" s="6">
        <f>Grandview_Inventory[[#This Row],[Eff_Age]]*Lookups!$B$14</f>
        <v>-13154.162999999999</v>
      </c>
      <c r="BM1292" s="6">
        <f>Grandview_Inventory[[#This Row],[living_area]]*Lookups!$B$15</f>
        <v>100058.88821200001</v>
      </c>
      <c r="BN1292" s="6">
        <f>Grandview_Inventory[[#This Row],[Fin BSMT]]*Lookups!$B$16</f>
        <v>-13549.62</v>
      </c>
      <c r="BO1292" s="6">
        <f>(Grandview_Inventory[[#This Row],[att_gar]]+Grandview_Inventory[[#This Row],[bltin_gar]])*Lookups!$B$17</f>
        <v>0</v>
      </c>
      <c r="BP1292" s="6">
        <f>Grandview_Inventory[[#This Row],[Plumbing Fixtures]]*Lookups!$B$18</f>
        <v>16083.5344</v>
      </c>
      <c r="BQ1292" s="6">
        <f>Grandview_Inventory[[#This Row],[detatched_value]]*Lookups!$B$19</f>
        <v>8298.6899799999992</v>
      </c>
      <c r="BR1292" s="6">
        <f>SUM(Grandview_Inventory[[#This Row],[Intercept]:[det_value]])*Grandview_Inventory[[#This Row],[res_pct]]</f>
        <v>259801.27959200004</v>
      </c>
      <c r="BS1292" s="6">
        <f>Grandview_Inventory[[#This Row],[land_value]]</f>
        <v>47528.228511015397</v>
      </c>
      <c r="BT1292" s="4">
        <f>_xlfn.IFNA(VLOOKUP(Grandview_Inventory[[#This Row],[quality]],Lookups!$A$26:$C$33,3,FALSE),1)</f>
        <v>0.98079741117310582</v>
      </c>
      <c r="BU1292" s="4">
        <f>_xlfn.IFNA(VLOOKUP(Grandview_Inventory[[#This Row],[condition]],Lookups!$A$37:$C$44,3,FALSE),1)</f>
        <v>0.96469275950863709</v>
      </c>
      <c r="BV1292" s="4">
        <f>IF(Grandview_Inventory[[#This Row],[bldg_style]]="",1,_xlfn.IFNA(VLOOKUP(Grandview_Inventory[[#This Row],[decade]],Lookups!$F$29:$H$43,3,FALSE),1))</f>
        <v>0.95244691841736806</v>
      </c>
      <c r="BW1292" s="4">
        <f>_xlfn.IFNA(VLOOKUP(Grandview_Inventory[[#This Row],[living_area_range]],Lookups!$F$47:$H$56,3,FALSE),1)</f>
        <v>0.96120133463014379</v>
      </c>
      <c r="BX1292" s="4">
        <f>AVERAGE(Grandview_Inventory[[#This Row],[qual_adj]:[size_adj]])</f>
        <v>0.96478460593231374</v>
      </c>
      <c r="BY1292" s="6">
        <f>IF(Grandview_Inventory[[#This Row],[pre_res]]&lt;0,0,Grandview_Inventory[[#This Row],[pre_res]]*Grandview_Inventory[[#This Row],[overall_adj]])</f>
        <v>250652.27515187862</v>
      </c>
      <c r="BZ1292" s="6">
        <f>(Grandview_Inventory[[#This Row],[sum_land]]-IF(Grandview_Inventory[[#This Row],[no_utilities]]=1,12000,0))/IF(Grandview_Inventory[[#This Row],[unbuildable]]=1,2,1)</f>
        <v>47528.228511015397</v>
      </c>
      <c r="CA129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92">
        <f>ROUND(Grandview_Inventory[[#This Row],[det_value]]*Lookups!$M$28,-2)</f>
        <v>7900</v>
      </c>
      <c r="CC1292">
        <f>IF(ROUND(Grandview_Inventory[[#This Row],[adj_res]]*Lookups!$M$28,-2)&lt;Grandview_Inventory[[#This Row],[min_res]],Grandview_Inventory[[#This Row],[min_res]],ROUND(Grandview_Inventory[[#This Row],[adj_res]]*Lookups!$M$28,-2))</f>
        <v>238100</v>
      </c>
      <c r="CD1292">
        <f>Grandview_Inventory[[#This Row],[final_det]]+Grandview_Inventory[[#This Row],[final_res]]</f>
        <v>246000</v>
      </c>
      <c r="CE1292">
        <f>Grandview_Inventory[[#This Row],[final_land]]+Grandview_Inventory[[#This Row],[final_imp]]+Grandview_Inventory[[#This Row],[crop_value]]</f>
        <v>291200</v>
      </c>
      <c r="CG1292" t="str">
        <f t="shared" si="20"/>
        <v>update valuation set market_land =45200, market_bldg=246000, market_total =291200, market_mdno =401, market_date ='9/10/2023' where link_id = (select link_id from parcel where parcel_year = '2024' and parcel_id = '23092313488');</v>
      </c>
    </row>
    <row r="1293" spans="1:85" x14ac:dyDescent="0.25">
      <c r="A1293">
        <v>23092313489</v>
      </c>
      <c r="B1293">
        <v>0.14000000000000001</v>
      </c>
      <c r="C1293">
        <v>6310</v>
      </c>
      <c r="D1293" t="s">
        <v>129</v>
      </c>
      <c r="E1293" t="s">
        <v>53</v>
      </c>
      <c r="F1293" t="s">
        <v>53</v>
      </c>
      <c r="G1293">
        <v>4</v>
      </c>
      <c r="H1293" t="s">
        <v>54</v>
      </c>
      <c r="I1293">
        <v>118100</v>
      </c>
      <c r="J1293">
        <v>38800</v>
      </c>
      <c r="K1293">
        <v>0.14000000000000001</v>
      </c>
      <c r="L1293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293">
        <v>0</v>
      </c>
      <c r="N1293">
        <v>0</v>
      </c>
      <c r="O1293">
        <v>0</v>
      </c>
      <c r="P1293">
        <v>13398.7528</v>
      </c>
      <c r="Q1293">
        <v>63903</v>
      </c>
      <c r="R1293">
        <f>(Grandview_Inventory[[#This Row],[ln_acres]]*Grandview_Inventory[[#This Row],[coeff]])+Grandview_Inventory[[#This Row],[const]]</f>
        <v>37559.539860558507</v>
      </c>
      <c r="S1293" t="s">
        <v>68</v>
      </c>
      <c r="T1293">
        <v>1</v>
      </c>
      <c r="U1293" t="s">
        <v>70</v>
      </c>
      <c r="V1293" t="s">
        <v>69</v>
      </c>
      <c r="W1293">
        <v>0</v>
      </c>
      <c r="X1293">
        <v>0</v>
      </c>
      <c r="Y1293">
        <v>55</v>
      </c>
      <c r="Z1293">
        <v>98</v>
      </c>
      <c r="AA1293">
        <v>100</v>
      </c>
      <c r="AB1293">
        <v>1000</v>
      </c>
      <c r="AC1293">
        <v>958</v>
      </c>
      <c r="AD1293">
        <v>958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5</v>
      </c>
      <c r="AQ1293">
        <v>0</v>
      </c>
      <c r="AR1293">
        <v>0</v>
      </c>
      <c r="AS1293" t="s">
        <v>58</v>
      </c>
      <c r="AT1293">
        <v>1</v>
      </c>
      <c r="AU1293" t="s">
        <v>63</v>
      </c>
      <c r="AV1293" t="s">
        <v>64</v>
      </c>
      <c r="AW1293">
        <v>0</v>
      </c>
      <c r="AX1293">
        <v>2</v>
      </c>
      <c r="AY1293">
        <v>0</v>
      </c>
      <c r="AZ1293">
        <v>6200</v>
      </c>
      <c r="BA1293">
        <v>100</v>
      </c>
      <c r="BB1293">
        <v>100</v>
      </c>
      <c r="BC1293">
        <v>100</v>
      </c>
      <c r="BD1293">
        <v>100</v>
      </c>
      <c r="BE1293">
        <v>1</v>
      </c>
      <c r="BF1293">
        <v>15000</v>
      </c>
      <c r="BG1293">
        <v>1000</v>
      </c>
      <c r="BH1293" s="6">
        <f>Grandview_Inventory[[#This Row],[land_extract]]*Lookups!$B$3</f>
        <v>43617.792229308972</v>
      </c>
      <c r="BI1293" s="6">
        <f>IF(Grandview_Inventory[[#This Row],[bldg_style]]="",0,Lookups!$B$2)</f>
        <v>155833.95000000001</v>
      </c>
      <c r="BJ1293" s="6">
        <f>_xlfn.IFNA(VLOOKUP(Grandview_Inventory[[#This Row],[quality]],Lookups!$H$2:$J$14,3,FALSE),0)</f>
        <v>10733</v>
      </c>
      <c r="BK1293" s="6">
        <f>_xlfn.IFNA(VLOOKUP(Grandview_Inventory[[#This Row],[condition]],Lookups!$H$17:$J$24,3,FALSE),0)</f>
        <v>-4503</v>
      </c>
      <c r="BL1293" s="6">
        <f>Grandview_Inventory[[#This Row],[Eff_Age]]*Lookups!$B$14</f>
        <v>-13154.162999999999</v>
      </c>
      <c r="BM1293" s="6">
        <f>Grandview_Inventory[[#This Row],[living_area]]*Lookups!$B$15</f>
        <v>59760.857174000004</v>
      </c>
      <c r="BN1293" s="6">
        <f>Grandview_Inventory[[#This Row],[Fin BSMT]]*Lookups!$B$16</f>
        <v>0</v>
      </c>
      <c r="BO1293" s="6">
        <f>(Grandview_Inventory[[#This Row],[att_gar]]+Grandview_Inventory[[#This Row],[bltin_gar]])*Lookups!$B$17</f>
        <v>0</v>
      </c>
      <c r="BP1293" s="6">
        <f>Grandview_Inventory[[#This Row],[Plumbing Fixtures]]*Lookups!$B$18</f>
        <v>10052.209000000001</v>
      </c>
      <c r="BQ1293" s="6">
        <f>Grandview_Inventory[[#This Row],[detatched_value]]*Lookups!$B$19</f>
        <v>5250.1916199999996</v>
      </c>
      <c r="BR1293" s="6">
        <f>SUM(Grandview_Inventory[[#This Row],[Intercept]:[det_value]])*Grandview_Inventory[[#This Row],[res_pct]]</f>
        <v>223973.04479400002</v>
      </c>
      <c r="BS1293" s="6">
        <f>Grandview_Inventory[[#This Row],[land_value]]</f>
        <v>43617.792229308972</v>
      </c>
      <c r="BT1293" s="4">
        <f>_xlfn.IFNA(VLOOKUP(Grandview_Inventory[[#This Row],[quality]],Lookups!$A$26:$C$33,3,FALSE),1)</f>
        <v>0.98079741117310582</v>
      </c>
      <c r="BU1293" s="4">
        <f>_xlfn.IFNA(VLOOKUP(Grandview_Inventory[[#This Row],[condition]],Lookups!$A$37:$C$44,3,FALSE),1)</f>
        <v>0.96469275950863709</v>
      </c>
      <c r="BV1293" s="4">
        <f>IF(Grandview_Inventory[[#This Row],[bldg_style]]="",1,_xlfn.IFNA(VLOOKUP(Grandview_Inventory[[#This Row],[decade]],Lookups!$F$29:$H$43,3,FALSE),1))</f>
        <v>0.95244691841736806</v>
      </c>
      <c r="BW1293" s="4">
        <f>_xlfn.IFNA(VLOOKUP(Grandview_Inventory[[#This Row],[living_area_range]],Lookups!$F$47:$H$56,3,FALSE),1)</f>
        <v>0.94306777142782894</v>
      </c>
      <c r="BX1293" s="4">
        <f>AVERAGE(Grandview_Inventory[[#This Row],[qual_adj]:[size_adj]])</f>
        <v>0.96025121513173495</v>
      </c>
      <c r="BY1293" s="6">
        <f>IF(Grandview_Inventory[[#This Row],[pre_res]]&lt;0,0,Grandview_Inventory[[#This Row],[pre_res]]*Grandview_Inventory[[#This Row],[overall_adj]])</f>
        <v>215070.38842019302</v>
      </c>
      <c r="BZ1293" s="6">
        <f>(Grandview_Inventory[[#This Row],[sum_land]]-IF(Grandview_Inventory[[#This Row],[no_utilities]]=1,12000,0))/IF(Grandview_Inventory[[#This Row],[unbuildable]]=1,2,1)</f>
        <v>43617.792229308972</v>
      </c>
      <c r="CA1293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293">
        <f>ROUND(Grandview_Inventory[[#This Row],[det_value]]*Lookups!$M$28,-2)</f>
        <v>5000</v>
      </c>
      <c r="CC1293">
        <f>IF(ROUND(Grandview_Inventory[[#This Row],[adj_res]]*Lookups!$M$28,-2)&lt;Grandview_Inventory[[#This Row],[min_res]],Grandview_Inventory[[#This Row],[min_res]],ROUND(Grandview_Inventory[[#This Row],[adj_res]]*Lookups!$M$28,-2))</f>
        <v>204300</v>
      </c>
      <c r="CD1293">
        <f>Grandview_Inventory[[#This Row],[final_det]]+Grandview_Inventory[[#This Row],[final_res]]</f>
        <v>209300</v>
      </c>
      <c r="CE1293">
        <f>Grandview_Inventory[[#This Row],[final_land]]+Grandview_Inventory[[#This Row],[final_imp]]+Grandview_Inventory[[#This Row],[crop_value]]</f>
        <v>250700</v>
      </c>
      <c r="CG1293" t="str">
        <f t="shared" si="20"/>
        <v>update valuation set market_land =41400, market_bldg=209300, market_total =250700, market_mdno =401, market_date ='9/10/2023' where link_id = (select link_id from parcel where parcel_year = '2024' and parcel_id = '23092313489');</v>
      </c>
    </row>
    <row r="1294" spans="1:85" x14ac:dyDescent="0.25">
      <c r="A1294">
        <v>23092313490</v>
      </c>
      <c r="B1294">
        <v>0.18</v>
      </c>
      <c r="C1294">
        <v>7911</v>
      </c>
      <c r="D1294" t="s">
        <v>129</v>
      </c>
      <c r="E1294" t="s">
        <v>53</v>
      </c>
      <c r="F1294" t="s">
        <v>53</v>
      </c>
      <c r="G1294">
        <v>4</v>
      </c>
      <c r="H1294" t="s">
        <v>54</v>
      </c>
      <c r="I1294">
        <v>192000</v>
      </c>
      <c r="J1294">
        <v>39500</v>
      </c>
      <c r="K1294">
        <v>0.18</v>
      </c>
      <c r="L129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94">
        <v>0</v>
      </c>
      <c r="N1294">
        <v>0</v>
      </c>
      <c r="O1294">
        <v>0</v>
      </c>
      <c r="P1294">
        <v>13398.7528</v>
      </c>
      <c r="Q1294">
        <v>63903</v>
      </c>
      <c r="R1294">
        <f>(Grandview_Inventory[[#This Row],[ln_acres]]*Grandview_Inventory[[#This Row],[coeff]])+Grandview_Inventory[[#This Row],[const]]</f>
        <v>40926.839760167699</v>
      </c>
      <c r="S1294" t="s">
        <v>85</v>
      </c>
      <c r="T1294">
        <v>1</v>
      </c>
      <c r="U1294" t="s">
        <v>65</v>
      </c>
      <c r="V1294" t="s">
        <v>67</v>
      </c>
      <c r="W1294">
        <v>0</v>
      </c>
      <c r="X1294">
        <v>0</v>
      </c>
      <c r="Y1294">
        <v>55</v>
      </c>
      <c r="Z1294">
        <v>98</v>
      </c>
      <c r="AA1294">
        <v>100</v>
      </c>
      <c r="AB1294">
        <v>2000</v>
      </c>
      <c r="AC1294">
        <v>1809</v>
      </c>
      <c r="AD1294">
        <v>1060</v>
      </c>
      <c r="AE1294">
        <v>0</v>
      </c>
      <c r="AF1294">
        <v>0</v>
      </c>
      <c r="AG1294">
        <v>749</v>
      </c>
      <c r="AH1294">
        <v>187</v>
      </c>
      <c r="AI1294">
        <v>0</v>
      </c>
      <c r="AJ1294">
        <v>0</v>
      </c>
      <c r="AK1294">
        <v>0</v>
      </c>
      <c r="AL1294">
        <v>0</v>
      </c>
      <c r="AM1294">
        <v>224</v>
      </c>
      <c r="AN1294">
        <v>250</v>
      </c>
      <c r="AO1294">
        <v>224</v>
      </c>
      <c r="AP1294">
        <v>5</v>
      </c>
      <c r="AQ1294">
        <v>0</v>
      </c>
      <c r="AR1294">
        <v>1</v>
      </c>
      <c r="AS1294" t="s">
        <v>58</v>
      </c>
      <c r="AT1294">
        <v>1</v>
      </c>
      <c r="AU1294" t="s">
        <v>63</v>
      </c>
      <c r="AV1294" t="s">
        <v>64</v>
      </c>
      <c r="AW1294">
        <v>0</v>
      </c>
      <c r="AX1294">
        <v>3</v>
      </c>
      <c r="AY1294">
        <v>0</v>
      </c>
      <c r="AZ1294">
        <v>21000</v>
      </c>
      <c r="BA1294">
        <v>100</v>
      </c>
      <c r="BB1294">
        <v>100</v>
      </c>
      <c r="BC1294">
        <v>100</v>
      </c>
      <c r="BD1294">
        <v>100</v>
      </c>
      <c r="BE1294">
        <v>1</v>
      </c>
      <c r="BF1294">
        <v>15000</v>
      </c>
      <c r="BG1294">
        <v>1000</v>
      </c>
      <c r="BH1294" s="6">
        <f>Grandview_Inventory[[#This Row],[land_extract]]*Lookups!$B$3</f>
        <v>47528.228511015397</v>
      </c>
      <c r="BI1294" s="6">
        <f>IF(Grandview_Inventory[[#This Row],[bldg_style]]="",0,Lookups!$B$2)</f>
        <v>155833.95000000001</v>
      </c>
      <c r="BJ1294" s="6">
        <f>_xlfn.IFNA(VLOOKUP(Grandview_Inventory[[#This Row],[quality]],Lookups!$H$2:$J$14,3,FALSE),0)</f>
        <v>2251</v>
      </c>
      <c r="BK1294" s="6">
        <f>_xlfn.IFNA(VLOOKUP(Grandview_Inventory[[#This Row],[condition]],Lookups!$H$17:$J$24,3,FALSE),0)</f>
        <v>22342</v>
      </c>
      <c r="BL1294" s="6">
        <f>Grandview_Inventory[[#This Row],[Eff_Age]]*Lookups!$B$14</f>
        <v>-13154.162999999999</v>
      </c>
      <c r="BM1294" s="6">
        <f>Grandview_Inventory[[#This Row],[living_area]]*Lookups!$B$15</f>
        <v>112846.96307700001</v>
      </c>
      <c r="BN1294" s="6">
        <f>Grandview_Inventory[[#This Row],[Fin BSMT]]*Lookups!$B$16</f>
        <v>-20297.330760000001</v>
      </c>
      <c r="BO1294" s="6">
        <f>(Grandview_Inventory[[#This Row],[att_gar]]+Grandview_Inventory[[#This Row],[bltin_gar]])*Lookups!$B$17</f>
        <v>0</v>
      </c>
      <c r="BP1294" s="6">
        <f>Grandview_Inventory[[#This Row],[Plumbing Fixtures]]*Lookups!$B$18</f>
        <v>10052.209000000001</v>
      </c>
      <c r="BQ1294" s="6">
        <f>Grandview_Inventory[[#This Row],[detatched_value]]*Lookups!$B$19</f>
        <v>17782.9071</v>
      </c>
      <c r="BR1294" s="6">
        <f>SUM(Grandview_Inventory[[#This Row],[Intercept]:[det_value]])*Grandview_Inventory[[#This Row],[res_pct]]</f>
        <v>287657.53541700001</v>
      </c>
      <c r="BS1294" s="6">
        <f>Grandview_Inventory[[#This Row],[land_value]]</f>
        <v>47528.228511015397</v>
      </c>
      <c r="BT1294" s="4">
        <f>_xlfn.IFNA(VLOOKUP(Grandview_Inventory[[#This Row],[quality]],Lookups!$A$26:$C$33,3,FALSE),1)</f>
        <v>0.98763855981004833</v>
      </c>
      <c r="BU1294" s="4">
        <f>_xlfn.IFNA(VLOOKUP(Grandview_Inventory[[#This Row],[condition]],Lookups!$A$37:$C$44,3,FALSE),1)</f>
        <v>0.97383723671140243</v>
      </c>
      <c r="BV1294" s="4">
        <f>IF(Grandview_Inventory[[#This Row],[bldg_style]]="",1,_xlfn.IFNA(VLOOKUP(Grandview_Inventory[[#This Row],[decade]],Lookups!$F$29:$H$43,3,FALSE),1))</f>
        <v>0.95244691841736806</v>
      </c>
      <c r="BW1294" s="4">
        <f>_xlfn.IFNA(VLOOKUP(Grandview_Inventory[[#This Row],[living_area_range]],Lookups!$F$47:$H$56,3,FALSE),1)</f>
        <v>0.96120133463014379</v>
      </c>
      <c r="BX1294" s="4">
        <f>AVERAGE(Grandview_Inventory[[#This Row],[qual_adj]:[size_adj]])</f>
        <v>0.96878101239224068</v>
      </c>
      <c r="BY1294" s="6">
        <f>IF(Grandview_Inventory[[#This Row],[pre_res]]&lt;0,0,Grandview_Inventory[[#This Row],[pre_res]]*Grandview_Inventory[[#This Row],[overall_adj]])</f>
        <v>278677.15838353807</v>
      </c>
      <c r="BZ1294" s="6">
        <f>(Grandview_Inventory[[#This Row],[sum_land]]-IF(Grandview_Inventory[[#This Row],[no_utilities]]=1,12000,0))/IF(Grandview_Inventory[[#This Row],[unbuildable]]=1,2,1)</f>
        <v>47528.228511015397</v>
      </c>
      <c r="CA129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94">
        <f>ROUND(Grandview_Inventory[[#This Row],[det_value]]*Lookups!$M$28,-2)</f>
        <v>16900</v>
      </c>
      <c r="CC1294">
        <f>IF(ROUND(Grandview_Inventory[[#This Row],[adj_res]]*Lookups!$M$28,-2)&lt;Grandview_Inventory[[#This Row],[min_res]],Grandview_Inventory[[#This Row],[min_res]],ROUND(Grandview_Inventory[[#This Row],[adj_res]]*Lookups!$M$28,-2))</f>
        <v>264700</v>
      </c>
      <c r="CD1294">
        <f>Grandview_Inventory[[#This Row],[final_det]]+Grandview_Inventory[[#This Row],[final_res]]</f>
        <v>281600</v>
      </c>
      <c r="CE1294">
        <f>Grandview_Inventory[[#This Row],[final_land]]+Grandview_Inventory[[#This Row],[final_imp]]+Grandview_Inventory[[#This Row],[crop_value]]</f>
        <v>326800</v>
      </c>
      <c r="CG1294" t="str">
        <f t="shared" si="20"/>
        <v>update valuation set market_land =45200, market_bldg=281600, market_total =326800, market_mdno =401, market_date ='9/10/2023' where link_id = (select link_id from parcel where parcel_year = '2024' and parcel_id = '23092313490');</v>
      </c>
    </row>
    <row r="1295" spans="1:85" x14ac:dyDescent="0.25">
      <c r="A1295">
        <v>23092313491</v>
      </c>
      <c r="B1295">
        <v>0.17</v>
      </c>
      <c r="C1295">
        <v>7309</v>
      </c>
      <c r="D1295" t="s">
        <v>129</v>
      </c>
      <c r="E1295" t="s">
        <v>53</v>
      </c>
      <c r="F1295" t="s">
        <v>53</v>
      </c>
      <c r="G1295">
        <v>4</v>
      </c>
      <c r="H1295" t="s">
        <v>54</v>
      </c>
      <c r="I1295">
        <v>82200</v>
      </c>
      <c r="J1295">
        <v>39100</v>
      </c>
      <c r="K1295">
        <v>0.17</v>
      </c>
      <c r="L129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95">
        <v>0</v>
      </c>
      <c r="N1295">
        <v>0</v>
      </c>
      <c r="O1295">
        <v>0</v>
      </c>
      <c r="P1295">
        <v>13398.7528</v>
      </c>
      <c r="Q1295">
        <v>63903</v>
      </c>
      <c r="R1295">
        <f>(Grandview_Inventory[[#This Row],[ln_acres]]*Grandview_Inventory[[#This Row],[coeff]])+Grandview_Inventory[[#This Row],[const]]</f>
        <v>40160.988302686128</v>
      </c>
      <c r="S1295" t="s">
        <v>68</v>
      </c>
      <c r="T1295">
        <v>1</v>
      </c>
      <c r="U1295" t="s">
        <v>70</v>
      </c>
      <c r="V1295" t="s">
        <v>78</v>
      </c>
      <c r="W1295">
        <v>0</v>
      </c>
      <c r="X1295">
        <v>0</v>
      </c>
      <c r="Y1295">
        <v>55</v>
      </c>
      <c r="Z1295">
        <v>98</v>
      </c>
      <c r="AA1295">
        <v>100</v>
      </c>
      <c r="AB1295">
        <v>1000</v>
      </c>
      <c r="AC1295">
        <v>840</v>
      </c>
      <c r="AD1295">
        <v>840</v>
      </c>
      <c r="AE1295">
        <v>0</v>
      </c>
      <c r="AF1295">
        <v>0</v>
      </c>
      <c r="AG1295">
        <v>0</v>
      </c>
      <c r="AH1295">
        <v>420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5</v>
      </c>
      <c r="AQ1295">
        <v>0</v>
      </c>
      <c r="AR1295">
        <v>0</v>
      </c>
      <c r="AS1295" t="s">
        <v>58</v>
      </c>
      <c r="AT1295">
        <v>1</v>
      </c>
      <c r="AU1295" t="s">
        <v>63</v>
      </c>
      <c r="AV1295" t="s">
        <v>64</v>
      </c>
      <c r="AW1295">
        <v>0</v>
      </c>
      <c r="AX1295">
        <v>3</v>
      </c>
      <c r="AY1295">
        <v>0</v>
      </c>
      <c r="AZ1295">
        <v>0</v>
      </c>
      <c r="BA1295">
        <v>100</v>
      </c>
      <c r="BB1295">
        <v>100</v>
      </c>
      <c r="BC1295">
        <v>100</v>
      </c>
      <c r="BD1295">
        <v>100</v>
      </c>
      <c r="BE1295">
        <v>1</v>
      </c>
      <c r="BF1295">
        <v>15000</v>
      </c>
      <c r="BG1295">
        <v>1000</v>
      </c>
      <c r="BH1295" s="6">
        <f>Grandview_Inventory[[#This Row],[land_extract]]*Lookups!$B$3</f>
        <v>46638.847281240982</v>
      </c>
      <c r="BI1295" s="6">
        <f>IF(Grandview_Inventory[[#This Row],[bldg_style]]="",0,Lookups!$B$2)</f>
        <v>155833.95000000001</v>
      </c>
      <c r="BJ1295" s="6">
        <f>_xlfn.IFNA(VLOOKUP(Grandview_Inventory[[#This Row],[quality]],Lookups!$H$2:$J$14,3,FALSE),0)</f>
        <v>10733</v>
      </c>
      <c r="BK1295" s="6">
        <f>_xlfn.IFNA(VLOOKUP(Grandview_Inventory[[#This Row],[condition]],Lookups!$H$17:$J$24,3,FALSE),0)</f>
        <v>-45357</v>
      </c>
      <c r="BL1295" s="6">
        <f>Grandview_Inventory[[#This Row],[Eff_Age]]*Lookups!$B$14</f>
        <v>-13154.162999999999</v>
      </c>
      <c r="BM1295" s="6">
        <f>Grandview_Inventory[[#This Row],[living_area]]*Lookups!$B$15</f>
        <v>52399.916519999999</v>
      </c>
      <c r="BN1295" s="6">
        <f>Grandview_Inventory[[#This Row],[Fin BSMT]]*Lookups!$B$16</f>
        <v>0</v>
      </c>
      <c r="BO1295" s="6">
        <f>(Grandview_Inventory[[#This Row],[att_gar]]+Grandview_Inventory[[#This Row],[bltin_gar]])*Lookups!$B$17</f>
        <v>0</v>
      </c>
      <c r="BP1295" s="6">
        <f>Grandview_Inventory[[#This Row],[Plumbing Fixtures]]*Lookups!$B$18</f>
        <v>10052.209000000001</v>
      </c>
      <c r="BQ1295" s="6">
        <f>Grandview_Inventory[[#This Row],[detatched_value]]*Lookups!$B$19</f>
        <v>0</v>
      </c>
      <c r="BR1295" s="6">
        <f>SUM(Grandview_Inventory[[#This Row],[Intercept]:[det_value]])*Grandview_Inventory[[#This Row],[res_pct]]</f>
        <v>170507.91252000001</v>
      </c>
      <c r="BS1295" s="6">
        <f>Grandview_Inventory[[#This Row],[land_value]]</f>
        <v>46638.847281240982</v>
      </c>
      <c r="BT1295" s="4">
        <f>_xlfn.IFNA(VLOOKUP(Grandview_Inventory[[#This Row],[quality]],Lookups!$A$26:$C$33,3,FALSE),1)</f>
        <v>0.98079741117310582</v>
      </c>
      <c r="BU1295" s="4">
        <f>_xlfn.IFNA(VLOOKUP(Grandview_Inventory[[#This Row],[condition]],Lookups!$A$37:$C$44,3,FALSE),1)</f>
        <v>0.97161819570155394</v>
      </c>
      <c r="BV1295" s="4">
        <f>IF(Grandview_Inventory[[#This Row],[bldg_style]]="",1,_xlfn.IFNA(VLOOKUP(Grandview_Inventory[[#This Row],[decade]],Lookups!$F$29:$H$43,3,FALSE),1))</f>
        <v>0.95244691841736806</v>
      </c>
      <c r="BW1295" s="4">
        <f>_xlfn.IFNA(VLOOKUP(Grandview_Inventory[[#This Row],[living_area_range]],Lookups!$F$47:$H$56,3,FALSE),1)</f>
        <v>0.94306777142782894</v>
      </c>
      <c r="BX1295" s="4">
        <f>AVERAGE(Grandview_Inventory[[#This Row],[qual_adj]:[size_adj]])</f>
        <v>0.96198257417996413</v>
      </c>
      <c r="BY1295" s="6">
        <f>IF(Grandview_Inventory[[#This Row],[pre_res]]&lt;0,0,Grandview_Inventory[[#This Row],[pre_res]]*Grandview_Inventory[[#This Row],[overall_adj]])</f>
        <v>164025.64060404175</v>
      </c>
      <c r="BZ1295" s="6">
        <f>(Grandview_Inventory[[#This Row],[sum_land]]-IF(Grandview_Inventory[[#This Row],[no_utilities]]=1,12000,0))/IF(Grandview_Inventory[[#This Row],[unbuildable]]=1,2,1)</f>
        <v>46638.847281240982</v>
      </c>
      <c r="CA129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95">
        <f>ROUND(Grandview_Inventory[[#This Row],[det_value]]*Lookups!$M$28,-2)</f>
        <v>0</v>
      </c>
      <c r="CC1295">
        <f>IF(ROUND(Grandview_Inventory[[#This Row],[adj_res]]*Lookups!$M$28,-2)&lt;Grandview_Inventory[[#This Row],[min_res]],Grandview_Inventory[[#This Row],[min_res]],ROUND(Grandview_Inventory[[#This Row],[adj_res]]*Lookups!$M$28,-2))</f>
        <v>155800</v>
      </c>
      <c r="CD1295">
        <f>Grandview_Inventory[[#This Row],[final_det]]+Grandview_Inventory[[#This Row],[final_res]]</f>
        <v>155800</v>
      </c>
      <c r="CE1295">
        <f>Grandview_Inventory[[#This Row],[final_land]]+Grandview_Inventory[[#This Row],[final_imp]]+Grandview_Inventory[[#This Row],[crop_value]]</f>
        <v>200100</v>
      </c>
      <c r="CG1295" t="str">
        <f t="shared" si="20"/>
        <v>update valuation set market_land =44300, market_bldg=155800, market_total =200100, market_mdno =401, market_date ='9/10/2023' where link_id = (select link_id from parcel where parcel_year = '2024' and parcel_id = '23092313491');</v>
      </c>
    </row>
    <row r="1296" spans="1:85" x14ac:dyDescent="0.25">
      <c r="A1296">
        <v>23092313493</v>
      </c>
      <c r="B1296">
        <v>0.17</v>
      </c>
      <c r="C1296">
        <v>7507</v>
      </c>
      <c r="D1296" t="s">
        <v>129</v>
      </c>
      <c r="E1296" t="s">
        <v>53</v>
      </c>
      <c r="F1296" t="s">
        <v>53</v>
      </c>
      <c r="G1296">
        <v>4</v>
      </c>
      <c r="H1296" t="s">
        <v>54</v>
      </c>
      <c r="I1296">
        <v>206200</v>
      </c>
      <c r="J1296">
        <v>39300</v>
      </c>
      <c r="K1296">
        <v>0.17</v>
      </c>
      <c r="L129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296">
        <v>0</v>
      </c>
      <c r="N1296">
        <v>0</v>
      </c>
      <c r="O1296">
        <v>0</v>
      </c>
      <c r="P1296">
        <v>13398.7528</v>
      </c>
      <c r="Q1296">
        <v>63903</v>
      </c>
      <c r="R1296">
        <f>(Grandview_Inventory[[#This Row],[ln_acres]]*Grandview_Inventory[[#This Row],[coeff]])+Grandview_Inventory[[#This Row],[const]]</f>
        <v>40160.988302686128</v>
      </c>
      <c r="S1296" t="s">
        <v>68</v>
      </c>
      <c r="T1296">
        <v>1</v>
      </c>
      <c r="U1296" t="s">
        <v>65</v>
      </c>
      <c r="V1296" t="s">
        <v>67</v>
      </c>
      <c r="W1296">
        <v>0</v>
      </c>
      <c r="X1296">
        <v>0</v>
      </c>
      <c r="Y1296">
        <v>55</v>
      </c>
      <c r="Z1296">
        <v>98</v>
      </c>
      <c r="AA1296">
        <v>100</v>
      </c>
      <c r="AB1296">
        <v>2000</v>
      </c>
      <c r="AC1296">
        <v>1824</v>
      </c>
      <c r="AD1296">
        <v>1312</v>
      </c>
      <c r="AE1296">
        <v>0</v>
      </c>
      <c r="AF1296">
        <v>0</v>
      </c>
      <c r="AG1296">
        <v>512</v>
      </c>
      <c r="AH1296">
        <v>512</v>
      </c>
      <c r="AI1296">
        <v>0</v>
      </c>
      <c r="AJ1296">
        <v>0</v>
      </c>
      <c r="AK1296">
        <v>0</v>
      </c>
      <c r="AL1296">
        <v>0</v>
      </c>
      <c r="AM1296">
        <v>96</v>
      </c>
      <c r="AN1296">
        <v>0</v>
      </c>
      <c r="AO1296">
        <v>224</v>
      </c>
      <c r="AP1296">
        <v>8</v>
      </c>
      <c r="AQ1296">
        <v>1</v>
      </c>
      <c r="AR1296">
        <v>0</v>
      </c>
      <c r="AS1296" t="s">
        <v>58</v>
      </c>
      <c r="AT1296">
        <v>1</v>
      </c>
      <c r="AU1296" t="s">
        <v>63</v>
      </c>
      <c r="AV1296" t="s">
        <v>64</v>
      </c>
      <c r="AW1296">
        <v>1</v>
      </c>
      <c r="AX1296">
        <v>3</v>
      </c>
      <c r="AY1296">
        <v>0</v>
      </c>
      <c r="AZ1296">
        <v>10300</v>
      </c>
      <c r="BA1296">
        <v>100</v>
      </c>
      <c r="BB1296">
        <v>100</v>
      </c>
      <c r="BC1296">
        <v>100</v>
      </c>
      <c r="BD1296">
        <v>100</v>
      </c>
      <c r="BE1296">
        <v>1</v>
      </c>
      <c r="BF1296">
        <v>15000</v>
      </c>
      <c r="BG1296">
        <v>1000</v>
      </c>
      <c r="BH1296" s="6">
        <f>Grandview_Inventory[[#This Row],[land_extract]]*Lookups!$B$3</f>
        <v>46638.847281240982</v>
      </c>
      <c r="BI1296" s="6">
        <f>IF(Grandview_Inventory[[#This Row],[bldg_style]]="",0,Lookups!$B$2)</f>
        <v>155833.95000000001</v>
      </c>
      <c r="BJ1296" s="6">
        <f>_xlfn.IFNA(VLOOKUP(Grandview_Inventory[[#This Row],[quality]],Lookups!$H$2:$J$14,3,FALSE),0)</f>
        <v>2251</v>
      </c>
      <c r="BK1296" s="6">
        <f>_xlfn.IFNA(VLOOKUP(Grandview_Inventory[[#This Row],[condition]],Lookups!$H$17:$J$24,3,FALSE),0)</f>
        <v>22342</v>
      </c>
      <c r="BL1296" s="6">
        <f>Grandview_Inventory[[#This Row],[Eff_Age]]*Lookups!$B$14</f>
        <v>-13154.162999999999</v>
      </c>
      <c r="BM1296" s="6">
        <f>Grandview_Inventory[[#This Row],[living_area]]*Lookups!$B$15</f>
        <v>113782.67587200001</v>
      </c>
      <c r="BN1296" s="6">
        <f>Grandview_Inventory[[#This Row],[Fin BSMT]]*Lookups!$B$16</f>
        <v>-13874.810880000001</v>
      </c>
      <c r="BO1296" s="6">
        <f>(Grandview_Inventory[[#This Row],[att_gar]]+Grandview_Inventory[[#This Row],[bltin_gar]])*Lookups!$B$17</f>
        <v>0</v>
      </c>
      <c r="BP1296" s="6">
        <f>Grandview_Inventory[[#This Row],[Plumbing Fixtures]]*Lookups!$B$18</f>
        <v>16083.5344</v>
      </c>
      <c r="BQ1296" s="6">
        <f>Grandview_Inventory[[#This Row],[detatched_value]]*Lookups!$B$19</f>
        <v>8722.0925299999999</v>
      </c>
      <c r="BR1296" s="6">
        <f>SUM(Grandview_Inventory[[#This Row],[Intercept]:[det_value]])*Grandview_Inventory[[#This Row],[res_pct]]</f>
        <v>291986.27892200003</v>
      </c>
      <c r="BS1296" s="6">
        <f>Grandview_Inventory[[#This Row],[land_value]]</f>
        <v>46638.847281240982</v>
      </c>
      <c r="BT1296" s="4">
        <f>_xlfn.IFNA(VLOOKUP(Grandview_Inventory[[#This Row],[quality]],Lookups!$A$26:$C$33,3,FALSE),1)</f>
        <v>0.98763855981004833</v>
      </c>
      <c r="BU1296" s="4">
        <f>_xlfn.IFNA(VLOOKUP(Grandview_Inventory[[#This Row],[condition]],Lookups!$A$37:$C$44,3,FALSE),1)</f>
        <v>0.97383723671140243</v>
      </c>
      <c r="BV1296" s="4">
        <f>IF(Grandview_Inventory[[#This Row],[bldg_style]]="",1,_xlfn.IFNA(VLOOKUP(Grandview_Inventory[[#This Row],[decade]],Lookups!$F$29:$H$43,3,FALSE),1))</f>
        <v>0.95244691841736806</v>
      </c>
      <c r="BW1296" s="4">
        <f>_xlfn.IFNA(VLOOKUP(Grandview_Inventory[[#This Row],[living_area_range]],Lookups!$F$47:$H$56,3,FALSE),1)</f>
        <v>0.96120133463014379</v>
      </c>
      <c r="BX1296" s="4">
        <f>AVERAGE(Grandview_Inventory[[#This Row],[qual_adj]:[size_adj]])</f>
        <v>0.96878101239224068</v>
      </c>
      <c r="BY1296" s="6">
        <f>IF(Grandview_Inventory[[#This Row],[pre_res]]&lt;0,0,Grandview_Inventory[[#This Row],[pre_res]]*Grandview_Inventory[[#This Row],[overall_adj]])</f>
        <v>282870.76289869833</v>
      </c>
      <c r="BZ1296" s="6">
        <f>(Grandview_Inventory[[#This Row],[sum_land]]-IF(Grandview_Inventory[[#This Row],[no_utilities]]=1,12000,0))/IF(Grandview_Inventory[[#This Row],[unbuildable]]=1,2,1)</f>
        <v>46638.847281240982</v>
      </c>
      <c r="CA129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296">
        <f>ROUND(Grandview_Inventory[[#This Row],[det_value]]*Lookups!$M$28,-2)</f>
        <v>8300</v>
      </c>
      <c r="CC1296">
        <f>IF(ROUND(Grandview_Inventory[[#This Row],[adj_res]]*Lookups!$M$28,-2)&lt;Grandview_Inventory[[#This Row],[min_res]],Grandview_Inventory[[#This Row],[min_res]],ROUND(Grandview_Inventory[[#This Row],[adj_res]]*Lookups!$M$28,-2))</f>
        <v>268700</v>
      </c>
      <c r="CD1296">
        <f>Grandview_Inventory[[#This Row],[final_det]]+Grandview_Inventory[[#This Row],[final_res]]</f>
        <v>277000</v>
      </c>
      <c r="CE1296">
        <f>Grandview_Inventory[[#This Row],[final_land]]+Grandview_Inventory[[#This Row],[final_imp]]+Grandview_Inventory[[#This Row],[crop_value]]</f>
        <v>321300</v>
      </c>
      <c r="CG1296" t="str">
        <f t="shared" si="20"/>
        <v>update valuation set market_land =44300, market_bldg=277000, market_total =321300, market_mdno =401, market_date ='9/10/2023' where link_id = (select link_id from parcel where parcel_year = '2024' and parcel_id = '23092313493');</v>
      </c>
    </row>
    <row r="1297" spans="1:85" x14ac:dyDescent="0.25">
      <c r="A1297">
        <v>23092313494</v>
      </c>
      <c r="B1297">
        <v>0.16</v>
      </c>
      <c r="C1297">
        <v>7006</v>
      </c>
      <c r="D1297" t="s">
        <v>129</v>
      </c>
      <c r="E1297" t="s">
        <v>53</v>
      </c>
      <c r="F1297" t="s">
        <v>53</v>
      </c>
      <c r="G1297">
        <v>4</v>
      </c>
      <c r="H1297" t="s">
        <v>54</v>
      </c>
      <c r="I1297">
        <v>153900</v>
      </c>
      <c r="J1297">
        <v>39100</v>
      </c>
      <c r="K1297">
        <v>0.16</v>
      </c>
      <c r="L129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297">
        <v>0</v>
      </c>
      <c r="N1297">
        <v>0</v>
      </c>
      <c r="O1297">
        <v>0</v>
      </c>
      <c r="P1297">
        <v>13398.7528</v>
      </c>
      <c r="Q1297">
        <v>63903</v>
      </c>
      <c r="R1297">
        <f>(Grandview_Inventory[[#This Row],[ln_acres]]*Grandview_Inventory[[#This Row],[coeff]])+Grandview_Inventory[[#This Row],[const]]</f>
        <v>39348.693981374228</v>
      </c>
      <c r="S1297" t="s">
        <v>68</v>
      </c>
      <c r="T1297">
        <v>1</v>
      </c>
      <c r="U1297" t="s">
        <v>65</v>
      </c>
      <c r="V1297" t="s">
        <v>69</v>
      </c>
      <c r="W1297">
        <v>0</v>
      </c>
      <c r="X1297">
        <v>0</v>
      </c>
      <c r="Y1297">
        <v>55</v>
      </c>
      <c r="Z1297">
        <v>98</v>
      </c>
      <c r="AA1297">
        <v>100</v>
      </c>
      <c r="AB1297">
        <v>2000</v>
      </c>
      <c r="AC1297">
        <v>1585</v>
      </c>
      <c r="AD1297">
        <v>1268</v>
      </c>
      <c r="AE1297">
        <v>0</v>
      </c>
      <c r="AF1297">
        <v>0</v>
      </c>
      <c r="AG1297">
        <v>317</v>
      </c>
      <c r="AH1297">
        <v>634</v>
      </c>
      <c r="AI1297">
        <v>0</v>
      </c>
      <c r="AJ1297">
        <v>0</v>
      </c>
      <c r="AK1297">
        <v>0</v>
      </c>
      <c r="AL1297">
        <v>160</v>
      </c>
      <c r="AM1297">
        <v>120</v>
      </c>
      <c r="AN1297">
        <v>0</v>
      </c>
      <c r="AO1297">
        <v>280</v>
      </c>
      <c r="AP1297">
        <v>5</v>
      </c>
      <c r="AQ1297">
        <v>0</v>
      </c>
      <c r="AR1297">
        <v>1</v>
      </c>
      <c r="AS1297" t="s">
        <v>58</v>
      </c>
      <c r="AT1297">
        <v>1</v>
      </c>
      <c r="AU1297" t="s">
        <v>63</v>
      </c>
      <c r="AV1297" t="s">
        <v>64</v>
      </c>
      <c r="AW1297">
        <v>1</v>
      </c>
      <c r="AX1297">
        <v>2</v>
      </c>
      <c r="AY1297">
        <v>0</v>
      </c>
      <c r="AZ1297">
        <v>6700</v>
      </c>
      <c r="BA1297">
        <v>100</v>
      </c>
      <c r="BB1297">
        <v>100</v>
      </c>
      <c r="BC1297">
        <v>100</v>
      </c>
      <c r="BD1297">
        <v>100</v>
      </c>
      <c r="BE1297">
        <v>1</v>
      </c>
      <c r="BF1297">
        <v>15000</v>
      </c>
      <c r="BG1297">
        <v>1000</v>
      </c>
      <c r="BH1297" s="6">
        <f>Grandview_Inventory[[#This Row],[land_extract]]*Lookups!$B$3</f>
        <v>45695.532079096141</v>
      </c>
      <c r="BI1297" s="6">
        <f>IF(Grandview_Inventory[[#This Row],[bldg_style]]="",0,Lookups!$B$2)</f>
        <v>155833.95000000001</v>
      </c>
      <c r="BJ1297" s="6">
        <f>_xlfn.IFNA(VLOOKUP(Grandview_Inventory[[#This Row],[quality]],Lookups!$H$2:$J$14,3,FALSE),0)</f>
        <v>2251</v>
      </c>
      <c r="BK1297" s="6">
        <f>_xlfn.IFNA(VLOOKUP(Grandview_Inventory[[#This Row],[condition]],Lookups!$H$17:$J$24,3,FALSE),0)</f>
        <v>-4503</v>
      </c>
      <c r="BL1297" s="6">
        <f>Grandview_Inventory[[#This Row],[Eff_Age]]*Lookups!$B$14</f>
        <v>-13154.162999999999</v>
      </c>
      <c r="BM1297" s="6">
        <f>Grandview_Inventory[[#This Row],[living_area]]*Lookups!$B$15</f>
        <v>98873.652004999996</v>
      </c>
      <c r="BN1297" s="6">
        <f>Grandview_Inventory[[#This Row],[Fin BSMT]]*Lookups!$B$16</f>
        <v>-8590.4590800000005</v>
      </c>
      <c r="BO1297" s="6">
        <f>(Grandview_Inventory[[#This Row],[att_gar]]+Grandview_Inventory[[#This Row],[bltin_gar]])*Lookups!$B$17</f>
        <v>0</v>
      </c>
      <c r="BP1297" s="6">
        <f>Grandview_Inventory[[#This Row],[Plumbing Fixtures]]*Lookups!$B$18</f>
        <v>10052.209000000001</v>
      </c>
      <c r="BQ1297" s="6">
        <f>Grandview_Inventory[[#This Row],[detatched_value]]*Lookups!$B$19</f>
        <v>5673.5941699999994</v>
      </c>
      <c r="BR1297" s="6">
        <f>SUM(Grandview_Inventory[[#This Row],[Intercept]:[det_value]])*Grandview_Inventory[[#This Row],[res_pct]]</f>
        <v>246436.78309499999</v>
      </c>
      <c r="BS1297" s="6">
        <f>Grandview_Inventory[[#This Row],[land_value]]</f>
        <v>45695.532079096141</v>
      </c>
      <c r="BT1297" s="4">
        <f>_xlfn.IFNA(VLOOKUP(Grandview_Inventory[[#This Row],[quality]],Lookups!$A$26:$C$33,3,FALSE),1)</f>
        <v>0.98763855981004833</v>
      </c>
      <c r="BU1297" s="4">
        <f>_xlfn.IFNA(VLOOKUP(Grandview_Inventory[[#This Row],[condition]],Lookups!$A$37:$C$44,3,FALSE),1)</f>
        <v>0.96469275950863709</v>
      </c>
      <c r="BV1297" s="4">
        <f>IF(Grandview_Inventory[[#This Row],[bldg_style]]="",1,_xlfn.IFNA(VLOOKUP(Grandview_Inventory[[#This Row],[decade]],Lookups!$F$29:$H$43,3,FALSE),1))</f>
        <v>0.95244691841736806</v>
      </c>
      <c r="BW1297" s="4">
        <f>_xlfn.IFNA(VLOOKUP(Grandview_Inventory[[#This Row],[living_area_range]],Lookups!$F$47:$H$56,3,FALSE),1)</f>
        <v>0.96120133463014379</v>
      </c>
      <c r="BX1297" s="4">
        <f>AVERAGE(Grandview_Inventory[[#This Row],[qual_adj]:[size_adj]])</f>
        <v>0.96649489309154935</v>
      </c>
      <c r="BY1297" s="6">
        <f>IF(Grandview_Inventory[[#This Row],[pre_res]]&lt;0,0,Grandview_Inventory[[#This Row],[pre_res]]*Grandview_Inventory[[#This Row],[overall_adj]])</f>
        <v>238179.89233122734</v>
      </c>
      <c r="BZ1297" s="6">
        <f>(Grandview_Inventory[[#This Row],[sum_land]]-IF(Grandview_Inventory[[#This Row],[no_utilities]]=1,12000,0))/IF(Grandview_Inventory[[#This Row],[unbuildable]]=1,2,1)</f>
        <v>45695.532079096141</v>
      </c>
      <c r="CA129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297">
        <f>ROUND(Grandview_Inventory[[#This Row],[det_value]]*Lookups!$M$28,-2)</f>
        <v>5400</v>
      </c>
      <c r="CC1297">
        <f>IF(ROUND(Grandview_Inventory[[#This Row],[adj_res]]*Lookups!$M$28,-2)&lt;Grandview_Inventory[[#This Row],[min_res]],Grandview_Inventory[[#This Row],[min_res]],ROUND(Grandview_Inventory[[#This Row],[adj_res]]*Lookups!$M$28,-2))</f>
        <v>226300</v>
      </c>
      <c r="CD1297">
        <f>Grandview_Inventory[[#This Row],[final_det]]+Grandview_Inventory[[#This Row],[final_res]]</f>
        <v>231700</v>
      </c>
      <c r="CE1297">
        <f>Grandview_Inventory[[#This Row],[final_land]]+Grandview_Inventory[[#This Row],[final_imp]]+Grandview_Inventory[[#This Row],[crop_value]]</f>
        <v>275100</v>
      </c>
      <c r="CG1297" t="str">
        <f t="shared" si="20"/>
        <v>update valuation set market_land =43400, market_bldg=231700, market_total =275100, market_mdno =401, market_date ='9/10/2023' where link_id = (select link_id from parcel where parcel_year = '2024' and parcel_id = '23092313494');</v>
      </c>
    </row>
    <row r="1298" spans="1:85" x14ac:dyDescent="0.25">
      <c r="A1298">
        <v>23092313495</v>
      </c>
      <c r="B1298">
        <v>0.18</v>
      </c>
      <c r="C1298">
        <v>7829</v>
      </c>
      <c r="D1298" t="s">
        <v>129</v>
      </c>
      <c r="E1298" t="s">
        <v>53</v>
      </c>
      <c r="F1298" t="s">
        <v>53</v>
      </c>
      <c r="G1298">
        <v>4</v>
      </c>
      <c r="H1298" t="s">
        <v>54</v>
      </c>
      <c r="I1298">
        <v>147100</v>
      </c>
      <c r="J1298">
        <v>39300</v>
      </c>
      <c r="K1298">
        <v>0.18</v>
      </c>
      <c r="L129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298">
        <v>0</v>
      </c>
      <c r="N1298">
        <v>0</v>
      </c>
      <c r="O1298">
        <v>0</v>
      </c>
      <c r="P1298">
        <v>13398.7528</v>
      </c>
      <c r="Q1298">
        <v>63903</v>
      </c>
      <c r="R1298">
        <f>(Grandview_Inventory[[#This Row],[ln_acres]]*Grandview_Inventory[[#This Row],[coeff]])+Grandview_Inventory[[#This Row],[const]]</f>
        <v>40926.839760167699</v>
      </c>
      <c r="S1298" t="s">
        <v>61</v>
      </c>
      <c r="T1298">
        <v>1</v>
      </c>
      <c r="U1298" t="s">
        <v>65</v>
      </c>
      <c r="V1298" t="s">
        <v>78</v>
      </c>
      <c r="W1298">
        <v>0</v>
      </c>
      <c r="X1298">
        <v>0</v>
      </c>
      <c r="Y1298">
        <v>50</v>
      </c>
      <c r="Z1298">
        <v>73</v>
      </c>
      <c r="AA1298">
        <v>80</v>
      </c>
      <c r="AB1298">
        <v>2500</v>
      </c>
      <c r="AC1298">
        <v>2074</v>
      </c>
      <c r="AD1298">
        <v>1296</v>
      </c>
      <c r="AE1298">
        <v>0</v>
      </c>
      <c r="AF1298">
        <v>0</v>
      </c>
      <c r="AG1298">
        <v>778</v>
      </c>
      <c r="AH1298">
        <v>194</v>
      </c>
      <c r="AI1298">
        <v>0</v>
      </c>
      <c r="AJ1298">
        <v>0</v>
      </c>
      <c r="AK1298">
        <v>0</v>
      </c>
      <c r="AL1298">
        <v>0</v>
      </c>
      <c r="AM1298">
        <v>192</v>
      </c>
      <c r="AN1298">
        <v>48</v>
      </c>
      <c r="AO1298">
        <v>192</v>
      </c>
      <c r="AP1298">
        <v>8</v>
      </c>
      <c r="AQ1298">
        <v>0</v>
      </c>
      <c r="AR1298">
        <v>1</v>
      </c>
      <c r="AS1298" t="s">
        <v>58</v>
      </c>
      <c r="AT1298">
        <v>1</v>
      </c>
      <c r="AU1298" t="s">
        <v>63</v>
      </c>
      <c r="AV1298" t="s">
        <v>60</v>
      </c>
      <c r="AW1298">
        <v>0</v>
      </c>
      <c r="AX1298">
        <v>3</v>
      </c>
      <c r="AY1298">
        <v>0</v>
      </c>
      <c r="AZ1298">
        <v>10700</v>
      </c>
      <c r="BA1298">
        <v>100</v>
      </c>
      <c r="BB1298">
        <v>100</v>
      </c>
      <c r="BC1298">
        <v>100</v>
      </c>
      <c r="BD1298">
        <v>100</v>
      </c>
      <c r="BE1298">
        <v>1</v>
      </c>
      <c r="BF1298">
        <v>15000</v>
      </c>
      <c r="BG1298">
        <v>1000</v>
      </c>
      <c r="BH1298" s="6">
        <f>Grandview_Inventory[[#This Row],[land_extract]]*Lookups!$B$3</f>
        <v>47528.228511015397</v>
      </c>
      <c r="BI1298" s="6">
        <f>IF(Grandview_Inventory[[#This Row],[bldg_style]]="",0,Lookups!$B$2)</f>
        <v>155833.95000000001</v>
      </c>
      <c r="BJ1298" s="6">
        <f>_xlfn.IFNA(VLOOKUP(Grandview_Inventory[[#This Row],[quality]],Lookups!$H$2:$J$14,3,FALSE),0)</f>
        <v>2251</v>
      </c>
      <c r="BK1298" s="6">
        <f>_xlfn.IFNA(VLOOKUP(Grandview_Inventory[[#This Row],[condition]],Lookups!$H$17:$J$24,3,FALSE),0)</f>
        <v>-45357</v>
      </c>
      <c r="BL1298" s="6">
        <f>Grandview_Inventory[[#This Row],[Eff_Age]]*Lookups!$B$14</f>
        <v>-11958.33</v>
      </c>
      <c r="BM1298" s="6">
        <f>Grandview_Inventory[[#This Row],[living_area]]*Lookups!$B$15</f>
        <v>129377.88912200001</v>
      </c>
      <c r="BN1298" s="6">
        <f>Grandview_Inventory[[#This Row],[Fin BSMT]]*Lookups!$B$16</f>
        <v>-21083.208720000002</v>
      </c>
      <c r="BO1298" s="6">
        <f>(Grandview_Inventory[[#This Row],[att_gar]]+Grandview_Inventory[[#This Row],[bltin_gar]])*Lookups!$B$17</f>
        <v>0</v>
      </c>
      <c r="BP1298" s="6">
        <f>Grandview_Inventory[[#This Row],[Plumbing Fixtures]]*Lookups!$B$18</f>
        <v>16083.5344</v>
      </c>
      <c r="BQ1298" s="6">
        <f>Grandview_Inventory[[#This Row],[detatched_value]]*Lookups!$B$19</f>
        <v>9060.8145700000005</v>
      </c>
      <c r="BR1298" s="6">
        <f>SUM(Grandview_Inventory[[#This Row],[Intercept]:[det_value]])*Grandview_Inventory[[#This Row],[res_pct]]</f>
        <v>234208.64937200001</v>
      </c>
      <c r="BS1298" s="6">
        <f>Grandview_Inventory[[#This Row],[land_value]]</f>
        <v>47528.228511015397</v>
      </c>
      <c r="BT1298" s="4">
        <f>_xlfn.IFNA(VLOOKUP(Grandview_Inventory[[#This Row],[quality]],Lookups!$A$26:$C$33,3,FALSE),1)</f>
        <v>0.98763855981004833</v>
      </c>
      <c r="BU1298" s="4">
        <f>_xlfn.IFNA(VLOOKUP(Grandview_Inventory[[#This Row],[condition]],Lookups!$A$37:$C$44,3,FALSE),1)</f>
        <v>0.97161819570155394</v>
      </c>
      <c r="BV1298" s="4">
        <f>IF(Grandview_Inventory[[#This Row],[bldg_style]]="",1,_xlfn.IFNA(VLOOKUP(Grandview_Inventory[[#This Row],[decade]],Lookups!$F$29:$H$43,3,FALSE),1))</f>
        <v>0.98763256963907298</v>
      </c>
      <c r="BW1298" s="4">
        <f>_xlfn.IFNA(VLOOKUP(Grandview_Inventory[[#This Row],[living_area_range]],Lookups!$F$47:$H$56,3,FALSE),1)</f>
        <v>0.95799442568048754</v>
      </c>
      <c r="BX1298" s="4">
        <f>AVERAGE(Grandview_Inventory[[#This Row],[qual_adj]:[size_adj]])</f>
        <v>0.97622093770779073</v>
      </c>
      <c r="BY1298" s="6">
        <f>IF(Grandview_Inventory[[#This Row],[pre_res]]&lt;0,0,Grandview_Inventory[[#This Row],[pre_res]]*Grandview_Inventory[[#This Row],[overall_adj]])</f>
        <v>228639.38730920904</v>
      </c>
      <c r="BZ1298" s="6">
        <f>(Grandview_Inventory[[#This Row],[sum_land]]-IF(Grandview_Inventory[[#This Row],[no_utilities]]=1,12000,0))/IF(Grandview_Inventory[[#This Row],[unbuildable]]=1,2,1)</f>
        <v>47528.228511015397</v>
      </c>
      <c r="CA129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298">
        <f>ROUND(Grandview_Inventory[[#This Row],[det_value]]*Lookups!$M$28,-2)</f>
        <v>8600</v>
      </c>
      <c r="CC1298">
        <f>IF(ROUND(Grandview_Inventory[[#This Row],[adj_res]]*Lookups!$M$28,-2)&lt;Grandview_Inventory[[#This Row],[min_res]],Grandview_Inventory[[#This Row],[min_res]],ROUND(Grandview_Inventory[[#This Row],[adj_res]]*Lookups!$M$28,-2))</f>
        <v>217200</v>
      </c>
      <c r="CD1298">
        <f>Grandview_Inventory[[#This Row],[final_det]]+Grandview_Inventory[[#This Row],[final_res]]</f>
        <v>225800</v>
      </c>
      <c r="CE1298">
        <f>Grandview_Inventory[[#This Row],[final_land]]+Grandview_Inventory[[#This Row],[final_imp]]+Grandview_Inventory[[#This Row],[crop_value]]</f>
        <v>271000</v>
      </c>
      <c r="CG1298" t="str">
        <f t="shared" si="20"/>
        <v>update valuation set market_land =45200, market_bldg=225800, market_total =271000, market_mdno =401, market_date ='9/10/2023' where link_id = (select link_id from parcel where parcel_year = '2024' and parcel_id = '23092313495');</v>
      </c>
    </row>
    <row r="1299" spans="1:85" x14ac:dyDescent="0.25">
      <c r="A1299">
        <v>23092313496</v>
      </c>
      <c r="B1299">
        <v>0.15</v>
      </c>
      <c r="C1299">
        <v>6738</v>
      </c>
      <c r="D1299" t="s">
        <v>129</v>
      </c>
      <c r="E1299" t="s">
        <v>53</v>
      </c>
      <c r="F1299" t="s">
        <v>53</v>
      </c>
      <c r="G1299">
        <v>4</v>
      </c>
      <c r="H1299" t="s">
        <v>54</v>
      </c>
      <c r="I1299">
        <v>162200</v>
      </c>
      <c r="J1299">
        <v>39000</v>
      </c>
      <c r="K1299">
        <v>0.15</v>
      </c>
      <c r="L1299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299">
        <v>0</v>
      </c>
      <c r="N1299">
        <v>0</v>
      </c>
      <c r="O1299">
        <v>0</v>
      </c>
      <c r="P1299">
        <v>13398.7528</v>
      </c>
      <c r="Q1299">
        <v>63903</v>
      </c>
      <c r="R1299">
        <f>(Grandview_Inventory[[#This Row],[ln_acres]]*Grandview_Inventory[[#This Row],[coeff]])+Grandview_Inventory[[#This Row],[const]]</f>
        <v>38483.958290574345</v>
      </c>
      <c r="S1299" t="s">
        <v>68</v>
      </c>
      <c r="T1299">
        <v>1</v>
      </c>
      <c r="U1299" t="s">
        <v>70</v>
      </c>
      <c r="V1299" t="s">
        <v>69</v>
      </c>
      <c r="W1299">
        <v>0</v>
      </c>
      <c r="X1299">
        <v>0</v>
      </c>
      <c r="Y1299">
        <v>57</v>
      </c>
      <c r="Z1299">
        <v>103</v>
      </c>
      <c r="AA1299">
        <v>110</v>
      </c>
      <c r="AB1299">
        <v>1000</v>
      </c>
      <c r="AC1299">
        <v>864</v>
      </c>
      <c r="AD1299">
        <v>864</v>
      </c>
      <c r="AE1299">
        <v>0</v>
      </c>
      <c r="AF1299">
        <v>0</v>
      </c>
      <c r="AG1299">
        <v>0</v>
      </c>
      <c r="AH1299">
        <v>200</v>
      </c>
      <c r="AI1299">
        <v>576</v>
      </c>
      <c r="AJ1299">
        <v>0</v>
      </c>
      <c r="AK1299">
        <v>0</v>
      </c>
      <c r="AL1299">
        <v>48</v>
      </c>
      <c r="AM1299">
        <v>0</v>
      </c>
      <c r="AN1299">
        <v>24</v>
      </c>
      <c r="AO1299">
        <v>0</v>
      </c>
      <c r="AP1299">
        <v>5</v>
      </c>
      <c r="AQ1299">
        <v>0</v>
      </c>
      <c r="AR1299">
        <v>0</v>
      </c>
      <c r="AS1299" t="s">
        <v>58</v>
      </c>
      <c r="AT1299">
        <v>1</v>
      </c>
      <c r="AU1299" t="s">
        <v>63</v>
      </c>
      <c r="AV1299" t="s">
        <v>60</v>
      </c>
      <c r="AW1299">
        <v>1</v>
      </c>
      <c r="AX1299">
        <v>3</v>
      </c>
      <c r="AY1299">
        <v>0</v>
      </c>
      <c r="AZ1299">
        <v>0</v>
      </c>
      <c r="BA1299">
        <v>100</v>
      </c>
      <c r="BB1299">
        <v>100</v>
      </c>
      <c r="BC1299">
        <v>100</v>
      </c>
      <c r="BD1299">
        <v>100</v>
      </c>
      <c r="BE1299">
        <v>1</v>
      </c>
      <c r="BF1299">
        <v>15000</v>
      </c>
      <c r="BG1299">
        <v>1000</v>
      </c>
      <c r="BH1299" s="6">
        <f>Grandview_Inventory[[#This Row],[land_extract]]*Lookups!$B$3</f>
        <v>44691.316856156598</v>
      </c>
      <c r="BI1299" s="6">
        <f>IF(Grandview_Inventory[[#This Row],[bldg_style]]="",0,Lookups!$B$2)</f>
        <v>155833.95000000001</v>
      </c>
      <c r="BJ1299" s="6">
        <f>_xlfn.IFNA(VLOOKUP(Grandview_Inventory[[#This Row],[quality]],Lookups!$H$2:$J$14,3,FALSE),0)</f>
        <v>10733</v>
      </c>
      <c r="BK1299" s="6">
        <f>_xlfn.IFNA(VLOOKUP(Grandview_Inventory[[#This Row],[condition]],Lookups!$H$17:$J$24,3,FALSE),0)</f>
        <v>-4503</v>
      </c>
      <c r="BL1299" s="6">
        <f>Grandview_Inventory[[#This Row],[Eff_Age]]*Lookups!$B$14</f>
        <v>-13632.4962</v>
      </c>
      <c r="BM1299" s="6">
        <f>Grandview_Inventory[[#This Row],[living_area]]*Lookups!$B$15</f>
        <v>53897.056991999998</v>
      </c>
      <c r="BN1299" s="6">
        <f>Grandview_Inventory[[#This Row],[Fin BSMT]]*Lookups!$B$16</f>
        <v>0</v>
      </c>
      <c r="BO1299" s="6">
        <f>(Grandview_Inventory[[#This Row],[att_gar]]+Grandview_Inventory[[#This Row],[bltin_gar]])*Lookups!$B$17</f>
        <v>50411.771712000002</v>
      </c>
      <c r="BP1299" s="6">
        <f>Grandview_Inventory[[#This Row],[Plumbing Fixtures]]*Lookups!$B$18</f>
        <v>10052.209000000001</v>
      </c>
      <c r="BQ1299" s="6">
        <f>Grandview_Inventory[[#This Row],[detatched_value]]*Lookups!$B$19</f>
        <v>0</v>
      </c>
      <c r="BR1299" s="6">
        <f>SUM(Grandview_Inventory[[#This Row],[Intercept]:[det_value]])*Grandview_Inventory[[#This Row],[res_pct]]</f>
        <v>262792.49150399998</v>
      </c>
      <c r="BS1299" s="6">
        <f>Grandview_Inventory[[#This Row],[land_value]]</f>
        <v>44691.316856156598</v>
      </c>
      <c r="BT1299" s="4">
        <f>_xlfn.IFNA(VLOOKUP(Grandview_Inventory[[#This Row],[quality]],Lookups!$A$26:$C$33,3,FALSE),1)</f>
        <v>0.98079741117310582</v>
      </c>
      <c r="BU1299" s="4">
        <f>_xlfn.IFNA(VLOOKUP(Grandview_Inventory[[#This Row],[condition]],Lookups!$A$37:$C$44,3,FALSE),1)</f>
        <v>0.96469275950863709</v>
      </c>
      <c r="BV1299" s="4">
        <f>IF(Grandview_Inventory[[#This Row],[bldg_style]]="",1,_xlfn.IFNA(VLOOKUP(Grandview_Inventory[[#This Row],[decade]],Lookups!$F$29:$H$43,3,FALSE),1))</f>
        <v>0.92255236374249616</v>
      </c>
      <c r="BW1299" s="4">
        <f>_xlfn.IFNA(VLOOKUP(Grandview_Inventory[[#This Row],[living_area_range]],Lookups!$F$47:$H$56,3,FALSE),1)</f>
        <v>0.94306777142782894</v>
      </c>
      <c r="BX1299" s="4">
        <f>AVERAGE(Grandview_Inventory[[#This Row],[qual_adj]:[size_adj]])</f>
        <v>0.95277757646301697</v>
      </c>
      <c r="BY1299" s="6">
        <f>IF(Grandview_Inventory[[#This Row],[pre_res]]&lt;0,0,Grandview_Inventory[[#This Row],[pre_res]]*Grandview_Inventory[[#This Row],[overall_adj]])</f>
        <v>250382.79316785908</v>
      </c>
      <c r="BZ1299" s="6">
        <f>(Grandview_Inventory[[#This Row],[sum_land]]-IF(Grandview_Inventory[[#This Row],[no_utilities]]=1,12000,0))/IF(Grandview_Inventory[[#This Row],[unbuildable]]=1,2,1)</f>
        <v>44691.316856156598</v>
      </c>
      <c r="CA1299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299">
        <f>ROUND(Grandview_Inventory[[#This Row],[det_value]]*Lookups!$M$28,-2)</f>
        <v>0</v>
      </c>
      <c r="CC1299">
        <f>IF(ROUND(Grandview_Inventory[[#This Row],[adj_res]]*Lookups!$M$28,-2)&lt;Grandview_Inventory[[#This Row],[min_res]],Grandview_Inventory[[#This Row],[min_res]],ROUND(Grandview_Inventory[[#This Row],[adj_res]]*Lookups!$M$28,-2))</f>
        <v>237900</v>
      </c>
      <c r="CD1299">
        <f>Grandview_Inventory[[#This Row],[final_det]]+Grandview_Inventory[[#This Row],[final_res]]</f>
        <v>237900</v>
      </c>
      <c r="CE1299">
        <f>Grandview_Inventory[[#This Row],[final_land]]+Grandview_Inventory[[#This Row],[final_imp]]+Grandview_Inventory[[#This Row],[crop_value]]</f>
        <v>280400</v>
      </c>
      <c r="CG1299" t="str">
        <f t="shared" si="20"/>
        <v>update valuation set market_land =42500, market_bldg=237900, market_total =280400, market_mdno =401, market_date ='9/10/2023' where link_id = (select link_id from parcel where parcel_year = '2024' and parcel_id = '23092313496');</v>
      </c>
    </row>
    <row r="1300" spans="1:85" x14ac:dyDescent="0.25">
      <c r="A1300">
        <v>23092313497</v>
      </c>
      <c r="B1300">
        <v>0.17</v>
      </c>
      <c r="C1300">
        <v>7550</v>
      </c>
      <c r="D1300" t="s">
        <v>129</v>
      </c>
      <c r="E1300" t="s">
        <v>53</v>
      </c>
      <c r="F1300" t="s">
        <v>53</v>
      </c>
      <c r="G1300">
        <v>4</v>
      </c>
      <c r="H1300" t="s">
        <v>54</v>
      </c>
      <c r="I1300">
        <v>136700</v>
      </c>
      <c r="J1300">
        <v>39300</v>
      </c>
      <c r="K1300">
        <v>0.17</v>
      </c>
      <c r="L130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00">
        <v>0</v>
      </c>
      <c r="N1300">
        <v>0</v>
      </c>
      <c r="O1300">
        <v>0</v>
      </c>
      <c r="P1300">
        <v>13398.7528</v>
      </c>
      <c r="Q1300">
        <v>63903</v>
      </c>
      <c r="R1300">
        <f>(Grandview_Inventory[[#This Row],[ln_acres]]*Grandview_Inventory[[#This Row],[coeff]])+Grandview_Inventory[[#This Row],[const]]</f>
        <v>40160.988302686128</v>
      </c>
      <c r="S1300" t="s">
        <v>68</v>
      </c>
      <c r="T1300">
        <v>1</v>
      </c>
      <c r="U1300" t="s">
        <v>70</v>
      </c>
      <c r="V1300" t="s">
        <v>69</v>
      </c>
      <c r="W1300">
        <v>0</v>
      </c>
      <c r="X1300">
        <v>0</v>
      </c>
      <c r="Y1300">
        <v>55</v>
      </c>
      <c r="Z1300">
        <v>98</v>
      </c>
      <c r="AA1300">
        <v>100</v>
      </c>
      <c r="AB1300">
        <v>1500</v>
      </c>
      <c r="AC1300">
        <v>1100</v>
      </c>
      <c r="AD1300">
        <v>999</v>
      </c>
      <c r="AE1300">
        <v>0</v>
      </c>
      <c r="AF1300">
        <v>0</v>
      </c>
      <c r="AG1300">
        <v>101</v>
      </c>
      <c r="AH1300">
        <v>203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185</v>
      </c>
      <c r="AO1300">
        <v>0</v>
      </c>
      <c r="AP1300">
        <v>5</v>
      </c>
      <c r="AQ1300">
        <v>0</v>
      </c>
      <c r="AR1300">
        <v>0</v>
      </c>
      <c r="AS1300" t="s">
        <v>58</v>
      </c>
      <c r="AT1300">
        <v>1</v>
      </c>
      <c r="AU1300" t="s">
        <v>63</v>
      </c>
      <c r="AV1300" t="s">
        <v>64</v>
      </c>
      <c r="AW1300">
        <v>1</v>
      </c>
      <c r="AX1300">
        <v>2</v>
      </c>
      <c r="AY1300">
        <v>0</v>
      </c>
      <c r="AZ1300">
        <v>6700</v>
      </c>
      <c r="BA1300">
        <v>100</v>
      </c>
      <c r="BB1300">
        <v>100</v>
      </c>
      <c r="BC1300">
        <v>100</v>
      </c>
      <c r="BD1300">
        <v>100</v>
      </c>
      <c r="BE1300">
        <v>1</v>
      </c>
      <c r="BF1300">
        <v>15000</v>
      </c>
      <c r="BG1300">
        <v>1000</v>
      </c>
      <c r="BH1300" s="6">
        <f>Grandview_Inventory[[#This Row],[land_extract]]*Lookups!$B$3</f>
        <v>46638.847281240982</v>
      </c>
      <c r="BI1300" s="6">
        <f>IF(Grandview_Inventory[[#This Row],[bldg_style]]="",0,Lookups!$B$2)</f>
        <v>155833.95000000001</v>
      </c>
      <c r="BJ1300" s="6">
        <f>_xlfn.IFNA(VLOOKUP(Grandview_Inventory[[#This Row],[quality]],Lookups!$H$2:$J$14,3,FALSE),0)</f>
        <v>10733</v>
      </c>
      <c r="BK1300" s="6">
        <f>_xlfn.IFNA(VLOOKUP(Grandview_Inventory[[#This Row],[condition]],Lookups!$H$17:$J$24,3,FALSE),0)</f>
        <v>-4503</v>
      </c>
      <c r="BL1300" s="6">
        <f>Grandview_Inventory[[#This Row],[Eff_Age]]*Lookups!$B$14</f>
        <v>-13154.162999999999</v>
      </c>
      <c r="BM1300" s="6">
        <f>Grandview_Inventory[[#This Row],[living_area]]*Lookups!$B$15</f>
        <v>68618.938300000009</v>
      </c>
      <c r="BN1300" s="6">
        <f>Grandview_Inventory[[#This Row],[Fin BSMT]]*Lookups!$B$16</f>
        <v>-2737.02324</v>
      </c>
      <c r="BO1300" s="6">
        <f>(Grandview_Inventory[[#This Row],[att_gar]]+Grandview_Inventory[[#This Row],[bltin_gar]])*Lookups!$B$17</f>
        <v>0</v>
      </c>
      <c r="BP1300" s="6">
        <f>Grandview_Inventory[[#This Row],[Plumbing Fixtures]]*Lookups!$B$18</f>
        <v>10052.209000000001</v>
      </c>
      <c r="BQ1300" s="6">
        <f>Grandview_Inventory[[#This Row],[detatched_value]]*Lookups!$B$19</f>
        <v>5673.5941699999994</v>
      </c>
      <c r="BR1300" s="6">
        <f>SUM(Grandview_Inventory[[#This Row],[Intercept]:[det_value]])*Grandview_Inventory[[#This Row],[res_pct]]</f>
        <v>230517.50523000001</v>
      </c>
      <c r="BS1300" s="6">
        <f>Grandview_Inventory[[#This Row],[land_value]]</f>
        <v>46638.847281240982</v>
      </c>
      <c r="BT1300" s="4">
        <f>_xlfn.IFNA(VLOOKUP(Grandview_Inventory[[#This Row],[quality]],Lookups!$A$26:$C$33,3,FALSE),1)</f>
        <v>0.98079741117310582</v>
      </c>
      <c r="BU1300" s="4">
        <f>_xlfn.IFNA(VLOOKUP(Grandview_Inventory[[#This Row],[condition]],Lookups!$A$37:$C$44,3,FALSE),1)</f>
        <v>0.96469275950863709</v>
      </c>
      <c r="BV1300" s="4">
        <f>IF(Grandview_Inventory[[#This Row],[bldg_style]]="",1,_xlfn.IFNA(VLOOKUP(Grandview_Inventory[[#This Row],[decade]],Lookups!$F$29:$H$43,3,FALSE),1))</f>
        <v>0.95244691841736806</v>
      </c>
      <c r="BW1300" s="4">
        <f>_xlfn.IFNA(VLOOKUP(Grandview_Inventory[[#This Row],[living_area_range]],Lookups!$F$47:$H$56,3,FALSE),1)</f>
        <v>0.96135087979789358</v>
      </c>
      <c r="BX1300" s="4">
        <f>AVERAGE(Grandview_Inventory[[#This Row],[qual_adj]:[size_adj]])</f>
        <v>0.96482199222425113</v>
      </c>
      <c r="BY1300" s="6">
        <f>IF(Grandview_Inventory[[#This Row],[pre_res]]&lt;0,0,Grandview_Inventory[[#This Row],[pre_res]]*Grandview_Inventory[[#This Row],[overall_adj]])</f>
        <v>222408.35863857283</v>
      </c>
      <c r="BZ1300" s="6">
        <f>(Grandview_Inventory[[#This Row],[sum_land]]-IF(Grandview_Inventory[[#This Row],[no_utilities]]=1,12000,0))/IF(Grandview_Inventory[[#This Row],[unbuildable]]=1,2,1)</f>
        <v>46638.847281240982</v>
      </c>
      <c r="CA130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00">
        <f>ROUND(Grandview_Inventory[[#This Row],[det_value]]*Lookups!$M$28,-2)</f>
        <v>5400</v>
      </c>
      <c r="CC1300">
        <f>IF(ROUND(Grandview_Inventory[[#This Row],[adj_res]]*Lookups!$M$28,-2)&lt;Grandview_Inventory[[#This Row],[min_res]],Grandview_Inventory[[#This Row],[min_res]],ROUND(Grandview_Inventory[[#This Row],[adj_res]]*Lookups!$M$28,-2))</f>
        <v>211300</v>
      </c>
      <c r="CD1300">
        <f>Grandview_Inventory[[#This Row],[final_det]]+Grandview_Inventory[[#This Row],[final_res]]</f>
        <v>216700</v>
      </c>
      <c r="CE1300">
        <f>Grandview_Inventory[[#This Row],[final_land]]+Grandview_Inventory[[#This Row],[final_imp]]+Grandview_Inventory[[#This Row],[crop_value]]</f>
        <v>261000</v>
      </c>
      <c r="CG1300" t="str">
        <f t="shared" si="20"/>
        <v>update valuation set market_land =44300, market_bldg=216700, market_total =261000, market_mdno =401, market_date ='9/10/2023' where link_id = (select link_id from parcel where parcel_year = '2024' and parcel_id = '23092313497');</v>
      </c>
    </row>
    <row r="1301" spans="1:85" x14ac:dyDescent="0.25">
      <c r="A1301">
        <v>23092313498</v>
      </c>
      <c r="B1301">
        <v>0.23</v>
      </c>
      <c r="C1301">
        <v>10153</v>
      </c>
      <c r="D1301" t="s">
        <v>129</v>
      </c>
      <c r="E1301" t="s">
        <v>53</v>
      </c>
      <c r="F1301" t="s">
        <v>53</v>
      </c>
      <c r="G1301">
        <v>4</v>
      </c>
      <c r="H1301" t="s">
        <v>54</v>
      </c>
      <c r="I1301">
        <v>203100</v>
      </c>
      <c r="J1301">
        <v>40000</v>
      </c>
      <c r="K1301">
        <v>0.23</v>
      </c>
      <c r="L130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301">
        <v>0</v>
      </c>
      <c r="N1301">
        <v>0</v>
      </c>
      <c r="O1301">
        <v>0</v>
      </c>
      <c r="P1301">
        <v>13398.7528</v>
      </c>
      <c r="Q1301">
        <v>63903</v>
      </c>
      <c r="R1301">
        <f>(Grandview_Inventory[[#This Row],[ln_acres]]*Grandview_Inventory[[#This Row],[coeff]])+Grandview_Inventory[[#This Row],[const]]</f>
        <v>44211.174981080039</v>
      </c>
      <c r="S1301" t="s">
        <v>85</v>
      </c>
      <c r="T1301">
        <v>1</v>
      </c>
      <c r="U1301" t="s">
        <v>65</v>
      </c>
      <c r="V1301" t="s">
        <v>69</v>
      </c>
      <c r="W1301">
        <v>0</v>
      </c>
      <c r="X1301">
        <v>0</v>
      </c>
      <c r="Y1301">
        <v>55</v>
      </c>
      <c r="Z1301">
        <v>98</v>
      </c>
      <c r="AA1301">
        <v>100</v>
      </c>
      <c r="AB1301">
        <v>1500</v>
      </c>
      <c r="AC1301">
        <v>1326</v>
      </c>
      <c r="AD1301">
        <v>1326</v>
      </c>
      <c r="AE1301">
        <v>0</v>
      </c>
      <c r="AF1301">
        <v>0</v>
      </c>
      <c r="AG1301">
        <v>0</v>
      </c>
      <c r="AH1301">
        <v>442</v>
      </c>
      <c r="AI1301">
        <v>0</v>
      </c>
      <c r="AJ1301">
        <v>0</v>
      </c>
      <c r="AK1301">
        <v>0</v>
      </c>
      <c r="AL1301">
        <v>154</v>
      </c>
      <c r="AM1301">
        <v>0</v>
      </c>
      <c r="AN1301">
        <v>0</v>
      </c>
      <c r="AO1301">
        <v>154</v>
      </c>
      <c r="AP1301">
        <v>8</v>
      </c>
      <c r="AQ1301">
        <v>0</v>
      </c>
      <c r="AR1301">
        <v>1</v>
      </c>
      <c r="AS1301" t="s">
        <v>76</v>
      </c>
      <c r="AT1301">
        <v>1</v>
      </c>
      <c r="AU1301" t="s">
        <v>63</v>
      </c>
      <c r="AV1301" t="s">
        <v>64</v>
      </c>
      <c r="AW1301">
        <v>1</v>
      </c>
      <c r="AX1301">
        <v>3</v>
      </c>
      <c r="AY1301">
        <v>0</v>
      </c>
      <c r="AZ1301">
        <v>35400</v>
      </c>
      <c r="BA1301">
        <v>100</v>
      </c>
      <c r="BB1301">
        <v>100</v>
      </c>
      <c r="BC1301">
        <v>100</v>
      </c>
      <c r="BD1301">
        <v>100</v>
      </c>
      <c r="BE1301">
        <v>1</v>
      </c>
      <c r="BF1301">
        <v>15000</v>
      </c>
      <c r="BG1301">
        <v>1000</v>
      </c>
      <c r="BH1301" s="6">
        <f>Grandview_Inventory[[#This Row],[land_extract]]*Lookups!$B$3</f>
        <v>51342.318135355803</v>
      </c>
      <c r="BI1301" s="6">
        <f>IF(Grandview_Inventory[[#This Row],[bldg_style]]="",0,Lookups!$B$2)</f>
        <v>155833.95000000001</v>
      </c>
      <c r="BJ1301" s="6">
        <f>_xlfn.IFNA(VLOOKUP(Grandview_Inventory[[#This Row],[quality]],Lookups!$H$2:$J$14,3,FALSE),0)</f>
        <v>2251</v>
      </c>
      <c r="BK1301" s="6">
        <f>_xlfn.IFNA(VLOOKUP(Grandview_Inventory[[#This Row],[condition]],Lookups!$H$17:$J$24,3,FALSE),0)</f>
        <v>-4503</v>
      </c>
      <c r="BL1301" s="6">
        <f>Grandview_Inventory[[#This Row],[Eff_Age]]*Lookups!$B$14</f>
        <v>-13154.162999999999</v>
      </c>
      <c r="BM1301" s="6">
        <f>Grandview_Inventory[[#This Row],[living_area]]*Lookups!$B$15</f>
        <v>82717.011077999996</v>
      </c>
      <c r="BN1301" s="6">
        <f>Grandview_Inventory[[#This Row],[Fin BSMT]]*Lookups!$B$16</f>
        <v>0</v>
      </c>
      <c r="BO1301" s="6">
        <f>(Grandview_Inventory[[#This Row],[att_gar]]+Grandview_Inventory[[#This Row],[bltin_gar]])*Lookups!$B$17</f>
        <v>0</v>
      </c>
      <c r="BP1301" s="6">
        <f>Grandview_Inventory[[#This Row],[Plumbing Fixtures]]*Lookups!$B$18</f>
        <v>16083.5344</v>
      </c>
      <c r="BQ1301" s="6">
        <f>Grandview_Inventory[[#This Row],[detatched_value]]*Lookups!$B$19</f>
        <v>29976.900539999999</v>
      </c>
      <c r="BR1301" s="6">
        <f>SUM(Grandview_Inventory[[#This Row],[Intercept]:[det_value]])*Grandview_Inventory[[#This Row],[res_pct]]</f>
        <v>269205.23301800003</v>
      </c>
      <c r="BS1301" s="6">
        <f>Grandview_Inventory[[#This Row],[land_value]]</f>
        <v>51342.318135355803</v>
      </c>
      <c r="BT1301" s="4">
        <f>_xlfn.IFNA(VLOOKUP(Grandview_Inventory[[#This Row],[quality]],Lookups!$A$26:$C$33,3,FALSE),1)</f>
        <v>0.98763855981004833</v>
      </c>
      <c r="BU1301" s="4">
        <f>_xlfn.IFNA(VLOOKUP(Grandview_Inventory[[#This Row],[condition]],Lookups!$A$37:$C$44,3,FALSE),1)</f>
        <v>0.96469275950863709</v>
      </c>
      <c r="BV1301" s="4">
        <f>IF(Grandview_Inventory[[#This Row],[bldg_style]]="",1,_xlfn.IFNA(VLOOKUP(Grandview_Inventory[[#This Row],[decade]],Lookups!$F$29:$H$43,3,FALSE),1))</f>
        <v>0.95244691841736806</v>
      </c>
      <c r="BW1301" s="4">
        <f>_xlfn.IFNA(VLOOKUP(Grandview_Inventory[[#This Row],[living_area_range]],Lookups!$F$47:$H$56,3,FALSE),1)</f>
        <v>0.96135087979789358</v>
      </c>
      <c r="BX1301" s="4">
        <f>AVERAGE(Grandview_Inventory[[#This Row],[qual_adj]:[size_adj]])</f>
        <v>0.96653227938348674</v>
      </c>
      <c r="BY1301" s="6">
        <f>IF(Grandview_Inventory[[#This Row],[pre_res]]&lt;0,0,Grandview_Inventory[[#This Row],[pre_res]]*Grandview_Inventory[[#This Row],[overall_adj]])</f>
        <v>260195.54749085027</v>
      </c>
      <c r="BZ1301" s="6">
        <f>(Grandview_Inventory[[#This Row],[sum_land]]-IF(Grandview_Inventory[[#This Row],[no_utilities]]=1,12000,0))/IF(Grandview_Inventory[[#This Row],[unbuildable]]=1,2,1)</f>
        <v>51342.318135355803</v>
      </c>
      <c r="CA130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301">
        <f>ROUND(Grandview_Inventory[[#This Row],[det_value]]*Lookups!$M$28,-2)</f>
        <v>28500</v>
      </c>
      <c r="CC1301">
        <f>IF(ROUND(Grandview_Inventory[[#This Row],[adj_res]]*Lookups!$M$28,-2)&lt;Grandview_Inventory[[#This Row],[min_res]],Grandview_Inventory[[#This Row],[min_res]],ROUND(Grandview_Inventory[[#This Row],[adj_res]]*Lookups!$M$28,-2))</f>
        <v>247200</v>
      </c>
      <c r="CD1301">
        <f>Grandview_Inventory[[#This Row],[final_det]]+Grandview_Inventory[[#This Row],[final_res]]</f>
        <v>275700</v>
      </c>
      <c r="CE1301">
        <f>Grandview_Inventory[[#This Row],[final_land]]+Grandview_Inventory[[#This Row],[final_imp]]+Grandview_Inventory[[#This Row],[crop_value]]</f>
        <v>324500</v>
      </c>
      <c r="CG1301" t="str">
        <f t="shared" si="20"/>
        <v>update valuation set market_land =48800, market_bldg=275700, market_total =324500, market_mdno =401, market_date ='9/10/2023' where link_id = (select link_id from parcel where parcel_year = '2024' and parcel_id = '23092313498');</v>
      </c>
    </row>
    <row r="1302" spans="1:85" x14ac:dyDescent="0.25">
      <c r="A1302">
        <v>23092313499</v>
      </c>
      <c r="B1302">
        <v>0.26</v>
      </c>
      <c r="C1302">
        <v>11150</v>
      </c>
      <c r="D1302" t="s">
        <v>129</v>
      </c>
      <c r="E1302" t="s">
        <v>53</v>
      </c>
      <c r="F1302" t="s">
        <v>53</v>
      </c>
      <c r="G1302">
        <v>4</v>
      </c>
      <c r="H1302" t="s">
        <v>54</v>
      </c>
      <c r="I1302">
        <v>185100</v>
      </c>
      <c r="J1302">
        <v>45100</v>
      </c>
      <c r="K1302">
        <v>0.26</v>
      </c>
      <c r="L130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302">
        <v>0</v>
      </c>
      <c r="N1302">
        <v>0</v>
      </c>
      <c r="O1302">
        <v>0</v>
      </c>
      <c r="P1302">
        <v>13398.7528</v>
      </c>
      <c r="Q1302">
        <v>63903</v>
      </c>
      <c r="R1302">
        <f>(Grandview_Inventory[[#This Row],[ln_acres]]*Grandview_Inventory[[#This Row],[coeff]])+Grandview_Inventory[[#This Row],[const]]</f>
        <v>45853.893187501177</v>
      </c>
      <c r="S1302" t="s">
        <v>61</v>
      </c>
      <c r="T1302">
        <v>1</v>
      </c>
      <c r="U1302" t="s">
        <v>65</v>
      </c>
      <c r="V1302" t="s">
        <v>69</v>
      </c>
      <c r="W1302">
        <v>0</v>
      </c>
      <c r="X1302">
        <v>0</v>
      </c>
      <c r="Y1302">
        <v>49</v>
      </c>
      <c r="Z1302">
        <v>68</v>
      </c>
      <c r="AA1302">
        <v>70</v>
      </c>
      <c r="AB1302">
        <v>2000</v>
      </c>
      <c r="AC1302">
        <v>1521</v>
      </c>
      <c r="AD1302">
        <v>1521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30</v>
      </c>
      <c r="AO1302">
        <v>0</v>
      </c>
      <c r="AP1302">
        <v>5</v>
      </c>
      <c r="AQ1302">
        <v>0</v>
      </c>
      <c r="AR1302">
        <v>1</v>
      </c>
      <c r="AS1302" t="s">
        <v>58</v>
      </c>
      <c r="AT1302">
        <v>1</v>
      </c>
      <c r="AU1302" t="s">
        <v>63</v>
      </c>
      <c r="AV1302" t="s">
        <v>64</v>
      </c>
      <c r="AW1302">
        <v>1</v>
      </c>
      <c r="AX1302">
        <v>3</v>
      </c>
      <c r="AY1302">
        <v>0</v>
      </c>
      <c r="AZ1302">
        <v>19000</v>
      </c>
      <c r="BA1302">
        <v>100</v>
      </c>
      <c r="BB1302">
        <v>100</v>
      </c>
      <c r="BC1302">
        <v>100</v>
      </c>
      <c r="BD1302">
        <v>100</v>
      </c>
      <c r="BE1302">
        <v>1</v>
      </c>
      <c r="BF1302">
        <v>15000</v>
      </c>
      <c r="BG1302">
        <v>1000</v>
      </c>
      <c r="BH1302" s="6">
        <f>Grandview_Inventory[[#This Row],[land_extract]]*Lookups!$B$3</f>
        <v>53250.00235313351</v>
      </c>
      <c r="BI1302" s="6">
        <f>IF(Grandview_Inventory[[#This Row],[bldg_style]]="",0,Lookups!$B$2)</f>
        <v>155833.95000000001</v>
      </c>
      <c r="BJ1302" s="6">
        <f>_xlfn.IFNA(VLOOKUP(Grandview_Inventory[[#This Row],[quality]],Lookups!$H$2:$J$14,3,FALSE),0)</f>
        <v>2251</v>
      </c>
      <c r="BK1302" s="6">
        <f>_xlfn.IFNA(VLOOKUP(Grandview_Inventory[[#This Row],[condition]],Lookups!$H$17:$J$24,3,FALSE),0)</f>
        <v>-4503</v>
      </c>
      <c r="BL1302" s="6">
        <f>Grandview_Inventory[[#This Row],[Eff_Age]]*Lookups!$B$14</f>
        <v>-11719.163399999999</v>
      </c>
      <c r="BM1302" s="6">
        <f>Grandview_Inventory[[#This Row],[living_area]]*Lookups!$B$15</f>
        <v>94881.277413000003</v>
      </c>
      <c r="BN1302" s="6">
        <f>Grandview_Inventory[[#This Row],[Fin BSMT]]*Lookups!$B$16</f>
        <v>0</v>
      </c>
      <c r="BO1302" s="6">
        <f>(Grandview_Inventory[[#This Row],[att_gar]]+Grandview_Inventory[[#This Row],[bltin_gar]])*Lookups!$B$17</f>
        <v>0</v>
      </c>
      <c r="BP1302" s="6">
        <f>Grandview_Inventory[[#This Row],[Plumbing Fixtures]]*Lookups!$B$18</f>
        <v>10052.209000000001</v>
      </c>
      <c r="BQ1302" s="6">
        <f>Grandview_Inventory[[#This Row],[detatched_value]]*Lookups!$B$19</f>
        <v>16089.296899999999</v>
      </c>
      <c r="BR1302" s="6">
        <f>SUM(Grandview_Inventory[[#This Row],[Intercept]:[det_value]])*Grandview_Inventory[[#This Row],[res_pct]]</f>
        <v>262885.56991300004</v>
      </c>
      <c r="BS1302" s="6">
        <f>Grandview_Inventory[[#This Row],[land_value]]</f>
        <v>53250.00235313351</v>
      </c>
      <c r="BT1302" s="4">
        <f>_xlfn.IFNA(VLOOKUP(Grandview_Inventory[[#This Row],[quality]],Lookups!$A$26:$C$33,3,FALSE),1)</f>
        <v>0.98763855981004833</v>
      </c>
      <c r="BU1302" s="4">
        <f>_xlfn.IFNA(VLOOKUP(Grandview_Inventory[[#This Row],[condition]],Lookups!$A$37:$C$44,3,FALSE),1)</f>
        <v>0.96469275950863709</v>
      </c>
      <c r="BV1302" s="4">
        <f>IF(Grandview_Inventory[[#This Row],[bldg_style]]="",1,_xlfn.IFNA(VLOOKUP(Grandview_Inventory[[#This Row],[decade]],Lookups!$F$29:$H$43,3,FALSE),1))</f>
        <v>0.99472141305414818</v>
      </c>
      <c r="BW1302" s="4">
        <f>_xlfn.IFNA(VLOOKUP(Grandview_Inventory[[#This Row],[living_area_range]],Lookups!$F$47:$H$56,3,FALSE),1)</f>
        <v>0.96120133463014379</v>
      </c>
      <c r="BX1302" s="4">
        <f>AVERAGE(Grandview_Inventory[[#This Row],[qual_adj]:[size_adj]])</f>
        <v>0.97706351675074443</v>
      </c>
      <c r="BY1302" s="6">
        <f>IF(Grandview_Inventory[[#This Row],[pre_res]]&lt;0,0,Grandview_Inventory[[#This Row],[pre_res]]*Grandview_Inventory[[#This Row],[overall_adj]])</f>
        <v>256855.89944221952</v>
      </c>
      <c r="BZ1302" s="6">
        <f>(Grandview_Inventory[[#This Row],[sum_land]]-IF(Grandview_Inventory[[#This Row],[no_utilities]]=1,12000,0))/IF(Grandview_Inventory[[#This Row],[unbuildable]]=1,2,1)</f>
        <v>53250.00235313351</v>
      </c>
      <c r="CA130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302">
        <f>ROUND(Grandview_Inventory[[#This Row],[det_value]]*Lookups!$M$28,-2)</f>
        <v>15300</v>
      </c>
      <c r="CC1302">
        <f>IF(ROUND(Grandview_Inventory[[#This Row],[adj_res]]*Lookups!$M$28,-2)&lt;Grandview_Inventory[[#This Row],[min_res]],Grandview_Inventory[[#This Row],[min_res]],ROUND(Grandview_Inventory[[#This Row],[adj_res]]*Lookups!$M$28,-2))</f>
        <v>244000</v>
      </c>
      <c r="CD1302">
        <f>Grandview_Inventory[[#This Row],[final_det]]+Grandview_Inventory[[#This Row],[final_res]]</f>
        <v>259300</v>
      </c>
      <c r="CE1302">
        <f>Grandview_Inventory[[#This Row],[final_land]]+Grandview_Inventory[[#This Row],[final_imp]]+Grandview_Inventory[[#This Row],[crop_value]]</f>
        <v>309900</v>
      </c>
      <c r="CG1302" t="str">
        <f t="shared" si="20"/>
        <v>update valuation set market_land =50600, market_bldg=259300, market_total =309900, market_mdno =401, market_date ='9/10/2023' where link_id = (select link_id from parcel where parcel_year = '2024' and parcel_id = '23092313499');</v>
      </c>
    </row>
    <row r="1303" spans="1:85" x14ac:dyDescent="0.25">
      <c r="A1303">
        <v>23092313505</v>
      </c>
      <c r="B1303">
        <v>0.15</v>
      </c>
      <c r="C1303">
        <v>6576</v>
      </c>
      <c r="D1303" t="s">
        <v>129</v>
      </c>
      <c r="E1303" t="s">
        <v>53</v>
      </c>
      <c r="F1303" t="s">
        <v>53</v>
      </c>
      <c r="G1303">
        <v>4</v>
      </c>
      <c r="H1303" t="s">
        <v>54</v>
      </c>
      <c r="I1303">
        <v>243300</v>
      </c>
      <c r="J1303">
        <v>38800</v>
      </c>
      <c r="K1303">
        <v>0.15</v>
      </c>
      <c r="L1303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03">
        <v>0</v>
      </c>
      <c r="N1303">
        <v>0</v>
      </c>
      <c r="O1303">
        <v>0</v>
      </c>
      <c r="P1303">
        <v>13398.7528</v>
      </c>
      <c r="Q1303">
        <v>63903</v>
      </c>
      <c r="R1303">
        <f>(Grandview_Inventory[[#This Row],[ln_acres]]*Grandview_Inventory[[#This Row],[coeff]])+Grandview_Inventory[[#This Row],[const]]</f>
        <v>38483.958290574345</v>
      </c>
      <c r="S1303" t="s">
        <v>68</v>
      </c>
      <c r="T1303">
        <v>1</v>
      </c>
      <c r="U1303" t="s">
        <v>80</v>
      </c>
      <c r="V1303" t="s">
        <v>67</v>
      </c>
      <c r="W1303">
        <v>0</v>
      </c>
      <c r="X1303">
        <v>0</v>
      </c>
      <c r="Y1303">
        <v>50</v>
      </c>
      <c r="Z1303">
        <v>76</v>
      </c>
      <c r="AA1303">
        <v>80</v>
      </c>
      <c r="AB1303">
        <v>1000</v>
      </c>
      <c r="AC1303">
        <v>912</v>
      </c>
      <c r="AD1303">
        <v>912</v>
      </c>
      <c r="AE1303">
        <v>0</v>
      </c>
      <c r="AF1303">
        <v>0</v>
      </c>
      <c r="AG1303">
        <v>0</v>
      </c>
      <c r="AH1303">
        <v>456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24</v>
      </c>
      <c r="AO1303">
        <v>0</v>
      </c>
      <c r="AP1303">
        <v>5</v>
      </c>
      <c r="AQ1303">
        <v>0</v>
      </c>
      <c r="AR1303">
        <v>0</v>
      </c>
      <c r="AS1303" t="s">
        <v>58</v>
      </c>
      <c r="AT1303">
        <v>1</v>
      </c>
      <c r="AU1303" t="s">
        <v>63</v>
      </c>
      <c r="AV1303" t="s">
        <v>64</v>
      </c>
      <c r="AW1303">
        <v>0</v>
      </c>
      <c r="AX1303">
        <v>2</v>
      </c>
      <c r="AY1303">
        <v>0</v>
      </c>
      <c r="AZ1303">
        <v>88200</v>
      </c>
      <c r="BA1303">
        <v>100</v>
      </c>
      <c r="BB1303">
        <v>100</v>
      </c>
      <c r="BC1303">
        <v>100</v>
      </c>
      <c r="BD1303">
        <v>100</v>
      </c>
      <c r="BE1303">
        <v>1</v>
      </c>
      <c r="BF1303">
        <v>15000</v>
      </c>
      <c r="BG1303">
        <v>1000</v>
      </c>
      <c r="BH1303" s="6">
        <f>Grandview_Inventory[[#This Row],[land_extract]]*Lookups!$B$3</f>
        <v>44691.316856156598</v>
      </c>
      <c r="BI1303" s="6">
        <f>IF(Grandview_Inventory[[#This Row],[bldg_style]]="",0,Lookups!$B$2)</f>
        <v>155833.95000000001</v>
      </c>
      <c r="BJ1303" s="6">
        <f>_xlfn.IFNA(VLOOKUP(Grandview_Inventory[[#This Row],[quality]],Lookups!$H$2:$J$14,3,FALSE),0)</f>
        <v>-28558</v>
      </c>
      <c r="BK1303" s="6">
        <f>_xlfn.IFNA(VLOOKUP(Grandview_Inventory[[#This Row],[condition]],Lookups!$H$17:$J$24,3,FALSE),0)</f>
        <v>22342</v>
      </c>
      <c r="BL1303" s="6">
        <f>Grandview_Inventory[[#This Row],[Eff_Age]]*Lookups!$B$14</f>
        <v>-11958.33</v>
      </c>
      <c r="BM1303" s="6">
        <f>Grandview_Inventory[[#This Row],[living_area]]*Lookups!$B$15</f>
        <v>56891.337936000004</v>
      </c>
      <c r="BN1303" s="6">
        <f>Grandview_Inventory[[#This Row],[Fin BSMT]]*Lookups!$B$16</f>
        <v>0</v>
      </c>
      <c r="BO1303" s="6">
        <f>(Grandview_Inventory[[#This Row],[att_gar]]+Grandview_Inventory[[#This Row],[bltin_gar]])*Lookups!$B$17</f>
        <v>0</v>
      </c>
      <c r="BP1303" s="6">
        <f>Grandview_Inventory[[#This Row],[Plumbing Fixtures]]*Lookups!$B$18</f>
        <v>10052.209000000001</v>
      </c>
      <c r="BQ1303" s="6">
        <f>Grandview_Inventory[[#This Row],[detatched_value]]*Lookups!$B$19</f>
        <v>74688.209820000004</v>
      </c>
      <c r="BR1303" s="6">
        <f>SUM(Grandview_Inventory[[#This Row],[Intercept]:[det_value]])*Grandview_Inventory[[#This Row],[res_pct]]</f>
        <v>279291.37675600004</v>
      </c>
      <c r="BS1303" s="6">
        <f>Grandview_Inventory[[#This Row],[land_value]]</f>
        <v>44691.316856156598</v>
      </c>
      <c r="BT1303" s="4">
        <f>_xlfn.IFNA(VLOOKUP(Grandview_Inventory[[#This Row],[quality]],Lookups!$A$26:$C$33,3,FALSE),1)</f>
        <v>0.9690360070159818</v>
      </c>
      <c r="BU1303" s="4">
        <f>_xlfn.IFNA(VLOOKUP(Grandview_Inventory[[#This Row],[condition]],Lookups!$A$37:$C$44,3,FALSE),1)</f>
        <v>0.97383723671140243</v>
      </c>
      <c r="BV1303" s="4">
        <f>IF(Grandview_Inventory[[#This Row],[bldg_style]]="",1,_xlfn.IFNA(VLOOKUP(Grandview_Inventory[[#This Row],[decade]],Lookups!$F$29:$H$43,3,FALSE),1))</f>
        <v>0.98763256963907298</v>
      </c>
      <c r="BW1303" s="4">
        <f>_xlfn.IFNA(VLOOKUP(Grandview_Inventory[[#This Row],[living_area_range]],Lookups!$F$47:$H$56,3,FALSE),1)</f>
        <v>0.94306777142782894</v>
      </c>
      <c r="BX1303" s="4">
        <f>AVERAGE(Grandview_Inventory[[#This Row],[qual_adj]:[size_adj]])</f>
        <v>0.96839339619857145</v>
      </c>
      <c r="BY1303" s="6">
        <f>IF(Grandview_Inventory[[#This Row],[pre_res]]&lt;0,0,Grandview_Inventory[[#This Row],[pre_res]]*Grandview_Inventory[[#This Row],[overall_adj]])</f>
        <v>270463.92486571765</v>
      </c>
      <c r="BZ1303" s="6">
        <f>(Grandview_Inventory[[#This Row],[sum_land]]-IF(Grandview_Inventory[[#This Row],[no_utilities]]=1,12000,0))/IF(Grandview_Inventory[[#This Row],[unbuildable]]=1,2,1)</f>
        <v>44691.316856156598</v>
      </c>
      <c r="CA1303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03">
        <f>ROUND(Grandview_Inventory[[#This Row],[det_value]]*Lookups!$M$28,-2)</f>
        <v>71000</v>
      </c>
      <c r="CC1303">
        <f>IF(ROUND(Grandview_Inventory[[#This Row],[adj_res]]*Lookups!$M$28,-2)&lt;Grandview_Inventory[[#This Row],[min_res]],Grandview_Inventory[[#This Row],[min_res]],ROUND(Grandview_Inventory[[#This Row],[adj_res]]*Lookups!$M$28,-2))</f>
        <v>256900</v>
      </c>
      <c r="CD1303">
        <f>Grandview_Inventory[[#This Row],[final_det]]+Grandview_Inventory[[#This Row],[final_res]]</f>
        <v>327900</v>
      </c>
      <c r="CE1303">
        <f>Grandview_Inventory[[#This Row],[final_land]]+Grandview_Inventory[[#This Row],[final_imp]]+Grandview_Inventory[[#This Row],[crop_value]]</f>
        <v>370400</v>
      </c>
      <c r="CG1303" t="str">
        <f t="shared" si="20"/>
        <v>update valuation set market_land =42500, market_bldg=327900, market_total =370400, market_mdno =401, market_date ='9/10/2023' where link_id = (select link_id from parcel where parcel_year = '2024' and parcel_id = '23092313505');</v>
      </c>
    </row>
    <row r="1304" spans="1:85" x14ac:dyDescent="0.25">
      <c r="A1304">
        <v>23092313506</v>
      </c>
      <c r="B1304">
        <v>0.21</v>
      </c>
      <c r="C1304">
        <v>9113</v>
      </c>
      <c r="D1304" t="s">
        <v>129</v>
      </c>
      <c r="E1304" t="s">
        <v>53</v>
      </c>
      <c r="F1304" t="s">
        <v>53</v>
      </c>
      <c r="G1304">
        <v>4</v>
      </c>
      <c r="H1304" t="s">
        <v>54</v>
      </c>
      <c r="I1304">
        <v>131500</v>
      </c>
      <c r="J1304">
        <v>39800</v>
      </c>
      <c r="K1304">
        <v>0.21</v>
      </c>
      <c r="L130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04">
        <v>0</v>
      </c>
      <c r="N1304">
        <v>0</v>
      </c>
      <c r="O1304">
        <v>0</v>
      </c>
      <c r="P1304">
        <v>13398.7528</v>
      </c>
      <c r="Q1304">
        <v>63903</v>
      </c>
      <c r="R1304">
        <f>(Grandview_Inventory[[#This Row],[ln_acres]]*Grandview_Inventory[[#This Row],[coeff]])+Grandview_Inventory[[#This Row],[const]]</f>
        <v>42992.266613125081</v>
      </c>
      <c r="S1304" t="s">
        <v>55</v>
      </c>
      <c r="T1304">
        <v>2</v>
      </c>
      <c r="U1304" t="s">
        <v>80</v>
      </c>
      <c r="V1304" t="s">
        <v>69</v>
      </c>
      <c r="W1304">
        <v>0</v>
      </c>
      <c r="X1304">
        <v>0</v>
      </c>
      <c r="Y1304">
        <v>51</v>
      </c>
      <c r="Z1304">
        <v>83</v>
      </c>
      <c r="AA1304">
        <v>90</v>
      </c>
      <c r="AB1304">
        <v>1500</v>
      </c>
      <c r="AC1304">
        <v>1080</v>
      </c>
      <c r="AD1304">
        <v>720</v>
      </c>
      <c r="AE1304">
        <v>360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5</v>
      </c>
      <c r="AQ1304">
        <v>0</v>
      </c>
      <c r="AR1304">
        <v>0</v>
      </c>
      <c r="AS1304" t="s">
        <v>58</v>
      </c>
      <c r="AT1304">
        <v>1</v>
      </c>
      <c r="AU1304" t="s">
        <v>63</v>
      </c>
      <c r="AV1304" t="s">
        <v>64</v>
      </c>
      <c r="AW1304">
        <v>1</v>
      </c>
      <c r="AX1304">
        <v>2</v>
      </c>
      <c r="AY1304">
        <v>0</v>
      </c>
      <c r="AZ1304">
        <v>4200</v>
      </c>
      <c r="BA1304">
        <v>100</v>
      </c>
      <c r="BB1304">
        <v>100</v>
      </c>
      <c r="BC1304">
        <v>100</v>
      </c>
      <c r="BD1304">
        <v>100</v>
      </c>
      <c r="BE1304">
        <v>1</v>
      </c>
      <c r="BF1304">
        <v>15000</v>
      </c>
      <c r="BG1304">
        <v>1000</v>
      </c>
      <c r="BH1304" s="6">
        <f>Grandview_Inventory[[#This Row],[land_extract]]*Lookups!$B$3</f>
        <v>49926.8031387023</v>
      </c>
      <c r="BI1304" s="6">
        <f>IF(Grandview_Inventory[[#This Row],[bldg_style]]="",0,Lookups!$B$2)</f>
        <v>155833.95000000001</v>
      </c>
      <c r="BJ1304" s="6">
        <f>_xlfn.IFNA(VLOOKUP(Grandview_Inventory[[#This Row],[quality]],Lookups!$H$2:$J$14,3,FALSE),0)</f>
        <v>-28558</v>
      </c>
      <c r="BK1304" s="6">
        <f>_xlfn.IFNA(VLOOKUP(Grandview_Inventory[[#This Row],[condition]],Lookups!$H$17:$J$24,3,FALSE),0)</f>
        <v>-4503</v>
      </c>
      <c r="BL1304" s="6">
        <f>Grandview_Inventory[[#This Row],[Eff_Age]]*Lookups!$B$14</f>
        <v>-12197.496599999999</v>
      </c>
      <c r="BM1304" s="6">
        <f>Grandview_Inventory[[#This Row],[living_area]]*Lookups!$B$15</f>
        <v>67371.321240000005</v>
      </c>
      <c r="BN1304" s="6">
        <f>Grandview_Inventory[[#This Row],[Fin BSMT]]*Lookups!$B$16</f>
        <v>0</v>
      </c>
      <c r="BO1304" s="6">
        <f>(Grandview_Inventory[[#This Row],[att_gar]]+Grandview_Inventory[[#This Row],[bltin_gar]])*Lookups!$B$17</f>
        <v>0</v>
      </c>
      <c r="BP1304" s="6">
        <f>Grandview_Inventory[[#This Row],[Plumbing Fixtures]]*Lookups!$B$18</f>
        <v>10052.209000000001</v>
      </c>
      <c r="BQ1304" s="6">
        <f>Grandview_Inventory[[#This Row],[detatched_value]]*Lookups!$B$19</f>
        <v>3556.58142</v>
      </c>
      <c r="BR1304" s="6">
        <f>SUM(Grandview_Inventory[[#This Row],[Intercept]:[det_value]])*Grandview_Inventory[[#This Row],[res_pct]]</f>
        <v>191555.56506000002</v>
      </c>
      <c r="BS1304" s="6">
        <f>Grandview_Inventory[[#This Row],[land_value]]</f>
        <v>49926.8031387023</v>
      </c>
      <c r="BT1304" s="4">
        <f>_xlfn.IFNA(VLOOKUP(Grandview_Inventory[[#This Row],[quality]],Lookups!$A$26:$C$33,3,FALSE),1)</f>
        <v>0.9690360070159818</v>
      </c>
      <c r="BU1304" s="4">
        <f>_xlfn.IFNA(VLOOKUP(Grandview_Inventory[[#This Row],[condition]],Lookups!$A$37:$C$44,3,FALSE),1)</f>
        <v>0.96469275950863709</v>
      </c>
      <c r="BV1304" s="4">
        <f>IF(Grandview_Inventory[[#This Row],[bldg_style]]="",1,_xlfn.IFNA(VLOOKUP(Grandview_Inventory[[#This Row],[decade]],Lookups!$F$29:$H$43,3,FALSE),1))</f>
        <v>0.94161750052457416</v>
      </c>
      <c r="BW1304" s="4">
        <f>_xlfn.IFNA(VLOOKUP(Grandview_Inventory[[#This Row],[living_area_range]],Lookups!$F$47:$H$56,3,FALSE),1)</f>
        <v>0.96135087979789358</v>
      </c>
      <c r="BX1304" s="4">
        <f>AVERAGE(Grandview_Inventory[[#This Row],[qual_adj]:[size_adj]])</f>
        <v>0.95917428671177163</v>
      </c>
      <c r="BY1304" s="6">
        <f>IF(Grandview_Inventory[[#This Row],[pre_res]]&lt;0,0,Grandview_Inventory[[#This Row],[pre_res]]*Grandview_Inventory[[#This Row],[overall_adj]])</f>
        <v>183735.17248209589</v>
      </c>
      <c r="BZ1304" s="6">
        <f>(Grandview_Inventory[[#This Row],[sum_land]]-IF(Grandview_Inventory[[#This Row],[no_utilities]]=1,12000,0))/IF(Grandview_Inventory[[#This Row],[unbuildable]]=1,2,1)</f>
        <v>49926.8031387023</v>
      </c>
      <c r="CA130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04">
        <f>ROUND(Grandview_Inventory[[#This Row],[det_value]]*Lookups!$M$28,-2)</f>
        <v>3400</v>
      </c>
      <c r="CC1304">
        <f>IF(ROUND(Grandview_Inventory[[#This Row],[adj_res]]*Lookups!$M$28,-2)&lt;Grandview_Inventory[[#This Row],[min_res]],Grandview_Inventory[[#This Row],[min_res]],ROUND(Grandview_Inventory[[#This Row],[adj_res]]*Lookups!$M$28,-2))</f>
        <v>174500</v>
      </c>
      <c r="CD1304">
        <f>Grandview_Inventory[[#This Row],[final_det]]+Grandview_Inventory[[#This Row],[final_res]]</f>
        <v>177900</v>
      </c>
      <c r="CE1304">
        <f>Grandview_Inventory[[#This Row],[final_land]]+Grandview_Inventory[[#This Row],[final_imp]]+Grandview_Inventory[[#This Row],[crop_value]]</f>
        <v>225300</v>
      </c>
      <c r="CG1304" t="str">
        <f t="shared" si="20"/>
        <v>update valuation set market_land =47400, market_bldg=177900, market_total =225300, market_mdno =401, market_date ='9/10/2023' where link_id = (select link_id from parcel where parcel_year = '2024' and parcel_id = '23092313506');</v>
      </c>
    </row>
    <row r="1305" spans="1:85" x14ac:dyDescent="0.25">
      <c r="A1305">
        <v>23092313510</v>
      </c>
      <c r="B1305">
        <v>0.21</v>
      </c>
      <c r="C1305">
        <v>8961</v>
      </c>
      <c r="D1305" t="s">
        <v>129</v>
      </c>
      <c r="E1305" t="s">
        <v>53</v>
      </c>
      <c r="F1305" t="s">
        <v>53</v>
      </c>
      <c r="G1305">
        <v>4</v>
      </c>
      <c r="H1305" t="s">
        <v>54</v>
      </c>
      <c r="I1305">
        <v>0</v>
      </c>
      <c r="J1305">
        <v>39800</v>
      </c>
      <c r="K1305">
        <v>0.21</v>
      </c>
      <c r="L130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05">
        <v>0</v>
      </c>
      <c r="N1305">
        <v>0</v>
      </c>
      <c r="O1305">
        <v>0</v>
      </c>
      <c r="P1305">
        <v>13398.7528</v>
      </c>
      <c r="Q1305">
        <v>63903</v>
      </c>
      <c r="R1305">
        <f>(Grandview_Inventory[[#This Row],[ln_acres]]*Grandview_Inventory[[#This Row],[coeff]])+Grandview_Inventory[[#This Row],[const]]</f>
        <v>42992.266613125081</v>
      </c>
      <c r="S1305" t="s">
        <v>68</v>
      </c>
      <c r="T1305">
        <v>1</v>
      </c>
      <c r="U1305" t="s">
        <v>65</v>
      </c>
      <c r="V1305" t="s">
        <v>74</v>
      </c>
      <c r="W1305">
        <v>0</v>
      </c>
      <c r="X1305">
        <v>0</v>
      </c>
      <c r="Y1305">
        <v>60</v>
      </c>
      <c r="Z1305">
        <v>108</v>
      </c>
      <c r="AA1305">
        <v>110</v>
      </c>
      <c r="AB1305">
        <v>1500</v>
      </c>
      <c r="AC1305">
        <v>1078</v>
      </c>
      <c r="AD1305">
        <v>1078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50</v>
      </c>
      <c r="AO1305">
        <v>0</v>
      </c>
      <c r="AP1305">
        <v>5</v>
      </c>
      <c r="AQ1305">
        <v>0</v>
      </c>
      <c r="AR1305">
        <v>0</v>
      </c>
      <c r="AS1305" t="s">
        <v>76</v>
      </c>
      <c r="AT1305">
        <v>1</v>
      </c>
      <c r="AU1305" t="s">
        <v>63</v>
      </c>
      <c r="AV1305" t="s">
        <v>81</v>
      </c>
      <c r="AW1305">
        <v>0</v>
      </c>
      <c r="AX1305">
        <v>2</v>
      </c>
      <c r="AY1305">
        <v>0</v>
      </c>
      <c r="AZ1305">
        <v>0</v>
      </c>
      <c r="BA1305">
        <v>100</v>
      </c>
      <c r="BB1305">
        <v>100</v>
      </c>
      <c r="BC1305">
        <v>100</v>
      </c>
      <c r="BD1305">
        <v>100</v>
      </c>
      <c r="BE1305">
        <v>0</v>
      </c>
      <c r="BF1305">
        <v>15000</v>
      </c>
      <c r="BG1305">
        <v>0</v>
      </c>
      <c r="BH1305" s="6">
        <f>Grandview_Inventory[[#This Row],[land_extract]]*Lookups!$B$3</f>
        <v>49926.8031387023</v>
      </c>
      <c r="BI1305" s="6">
        <f>IF(Grandview_Inventory[[#This Row],[bldg_style]]="",0,Lookups!$B$2)</f>
        <v>155833.95000000001</v>
      </c>
      <c r="BJ1305" s="6">
        <f>_xlfn.IFNA(VLOOKUP(Grandview_Inventory[[#This Row],[quality]],Lookups!$H$2:$J$14,3,FALSE),0)</f>
        <v>2251</v>
      </c>
      <c r="BK1305" s="6">
        <f>_xlfn.IFNA(VLOOKUP(Grandview_Inventory[[#This Row],[condition]],Lookups!$H$17:$J$24,3,FALSE),0)</f>
        <v>-222502</v>
      </c>
      <c r="BL1305" s="6">
        <f>Grandview_Inventory[[#This Row],[Eff_Age]]*Lookups!$B$14</f>
        <v>-14349.995999999999</v>
      </c>
      <c r="BM1305" s="6">
        <f>Grandview_Inventory[[#This Row],[living_area]]*Lookups!$B$15</f>
        <v>67246.559534</v>
      </c>
      <c r="BN1305" s="6">
        <f>Grandview_Inventory[[#This Row],[Fin BSMT]]*Lookups!$B$16</f>
        <v>0</v>
      </c>
      <c r="BO1305" s="6">
        <f>(Grandview_Inventory[[#This Row],[att_gar]]+Grandview_Inventory[[#This Row],[bltin_gar]])*Lookups!$B$17</f>
        <v>0</v>
      </c>
      <c r="BP1305" s="6">
        <f>Grandview_Inventory[[#This Row],[Plumbing Fixtures]]*Lookups!$B$18</f>
        <v>10052.209000000001</v>
      </c>
      <c r="BQ1305" s="6">
        <f>Grandview_Inventory[[#This Row],[detatched_value]]*Lookups!$B$19</f>
        <v>0</v>
      </c>
      <c r="BR1305" s="6">
        <f>SUM(Grandview_Inventory[[#This Row],[Intercept]:[det_value]])*Grandview_Inventory[[#This Row],[res_pct]]</f>
        <v>0</v>
      </c>
      <c r="BS1305" s="6">
        <f>Grandview_Inventory[[#This Row],[land_value]]</f>
        <v>49926.8031387023</v>
      </c>
      <c r="BT1305" s="4">
        <f>_xlfn.IFNA(VLOOKUP(Grandview_Inventory[[#This Row],[quality]],Lookups!$A$26:$C$33,3,FALSE),1)</f>
        <v>0.98763855981004833</v>
      </c>
      <c r="BU1305" s="4">
        <f>_xlfn.IFNA(VLOOKUP(Grandview_Inventory[[#This Row],[condition]],Lookups!$A$37:$C$44,3,FALSE),1)</f>
        <v>0</v>
      </c>
      <c r="BV1305" s="4">
        <f>IF(Grandview_Inventory[[#This Row],[bldg_style]]="",1,_xlfn.IFNA(VLOOKUP(Grandview_Inventory[[#This Row],[decade]],Lookups!$F$29:$H$43,3,FALSE),1))</f>
        <v>0.92255236374249616</v>
      </c>
      <c r="BW1305" s="4">
        <f>_xlfn.IFNA(VLOOKUP(Grandview_Inventory[[#This Row],[living_area_range]],Lookups!$F$47:$H$56,3,FALSE),1)</f>
        <v>0.96135087979789358</v>
      </c>
      <c r="BX1305" s="4">
        <f>AVERAGE(Grandview_Inventory[[#This Row],[qual_adj]:[size_adj]])</f>
        <v>0.71788545083760957</v>
      </c>
      <c r="BY1305" s="6">
        <f>IF(Grandview_Inventory[[#This Row],[pre_res]]&lt;0,0,Grandview_Inventory[[#This Row],[pre_res]]*Grandview_Inventory[[#This Row],[overall_adj]])</f>
        <v>0</v>
      </c>
      <c r="BZ1305" s="6">
        <f>(Grandview_Inventory[[#This Row],[sum_land]]-IF(Grandview_Inventory[[#This Row],[no_utilities]]=1,12000,0))/IF(Grandview_Inventory[[#This Row],[unbuildable]]=1,2,1)</f>
        <v>49926.8031387023</v>
      </c>
      <c r="CA130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05">
        <f>ROUND(Grandview_Inventory[[#This Row],[det_value]]*Lookups!$M$28,-2)</f>
        <v>0</v>
      </c>
      <c r="CC130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305">
        <f>Grandview_Inventory[[#This Row],[final_det]]+Grandview_Inventory[[#This Row],[final_res]]</f>
        <v>0</v>
      </c>
      <c r="CE1305">
        <f>Grandview_Inventory[[#This Row],[final_land]]+Grandview_Inventory[[#This Row],[final_imp]]+Grandview_Inventory[[#This Row],[crop_value]]</f>
        <v>47400</v>
      </c>
      <c r="CG1305" t="str">
        <f t="shared" si="20"/>
        <v>update valuation set market_land =47400, market_bldg=0, market_total =47400, market_mdno =401, market_date ='9/10/2023' where link_id = (select link_id from parcel where parcel_year = '2024' and parcel_id = '23092313510');</v>
      </c>
    </row>
    <row r="1306" spans="1:85" x14ac:dyDescent="0.25">
      <c r="A1306">
        <v>23092314400</v>
      </c>
      <c r="B1306">
        <v>0.19</v>
      </c>
      <c r="C1306">
        <v>8108</v>
      </c>
      <c r="D1306" t="s">
        <v>129</v>
      </c>
      <c r="E1306" t="s">
        <v>53</v>
      </c>
      <c r="F1306" t="s">
        <v>53</v>
      </c>
      <c r="G1306">
        <v>4</v>
      </c>
      <c r="H1306" t="s">
        <v>54</v>
      </c>
      <c r="I1306">
        <v>188200</v>
      </c>
      <c r="J1306">
        <v>39500</v>
      </c>
      <c r="K1306">
        <v>0.19</v>
      </c>
      <c r="L130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306">
        <v>0</v>
      </c>
      <c r="N1306">
        <v>0</v>
      </c>
      <c r="O1306">
        <v>0</v>
      </c>
      <c r="P1306">
        <v>13398.7528</v>
      </c>
      <c r="Q1306">
        <v>63903</v>
      </c>
      <c r="R1306">
        <f>(Grandview_Inventory[[#This Row],[ln_acres]]*Grandview_Inventory[[#This Row],[coeff]])+Grandview_Inventory[[#This Row],[const]]</f>
        <v>41651.273092551026</v>
      </c>
      <c r="S1306" t="s">
        <v>61</v>
      </c>
      <c r="T1306">
        <v>1</v>
      </c>
      <c r="U1306" t="s">
        <v>65</v>
      </c>
      <c r="V1306" t="s">
        <v>57</v>
      </c>
      <c r="W1306">
        <v>0</v>
      </c>
      <c r="X1306">
        <v>0</v>
      </c>
      <c r="Y1306">
        <v>4</v>
      </c>
      <c r="Z1306">
        <v>4</v>
      </c>
      <c r="AA1306">
        <v>10</v>
      </c>
      <c r="AB1306">
        <v>1500</v>
      </c>
      <c r="AC1306">
        <v>1080</v>
      </c>
      <c r="AD1306">
        <v>1080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84</v>
      </c>
      <c r="AN1306">
        <v>96</v>
      </c>
      <c r="AO1306">
        <v>0</v>
      </c>
      <c r="AP1306">
        <v>8</v>
      </c>
      <c r="AQ1306">
        <v>0</v>
      </c>
      <c r="AR1306">
        <v>0</v>
      </c>
      <c r="AS1306" t="s">
        <v>58</v>
      </c>
      <c r="AT1306">
        <v>1</v>
      </c>
      <c r="AU1306" t="s">
        <v>132</v>
      </c>
      <c r="AV1306" t="s">
        <v>60</v>
      </c>
      <c r="AW1306">
        <v>1</v>
      </c>
      <c r="AX1306">
        <v>3</v>
      </c>
      <c r="AY1306">
        <v>0</v>
      </c>
      <c r="AZ1306">
        <v>0</v>
      </c>
      <c r="BA1306">
        <v>100</v>
      </c>
      <c r="BB1306">
        <v>100</v>
      </c>
      <c r="BC1306">
        <v>100</v>
      </c>
      <c r="BD1306">
        <v>100</v>
      </c>
      <c r="BE1306">
        <v>1</v>
      </c>
      <c r="BF1306">
        <v>15000</v>
      </c>
      <c r="BG1306">
        <v>1000</v>
      </c>
      <c r="BH1306" s="6">
        <f>Grandview_Inventory[[#This Row],[land_extract]]*Lookups!$B$3</f>
        <v>48369.510983942157</v>
      </c>
      <c r="BI1306" s="6">
        <f>IF(Grandview_Inventory[[#This Row],[bldg_style]]="",0,Lookups!$B$2)</f>
        <v>155833.95000000001</v>
      </c>
      <c r="BJ1306" s="6">
        <f>_xlfn.IFNA(VLOOKUP(Grandview_Inventory[[#This Row],[quality]],Lookups!$H$2:$J$14,3,FALSE),0)</f>
        <v>2251</v>
      </c>
      <c r="BK1306" s="6">
        <f>_xlfn.IFNA(VLOOKUP(Grandview_Inventory[[#This Row],[condition]],Lookups!$H$17:$J$24,3,FALSE),0)</f>
        <v>25780</v>
      </c>
      <c r="BL1306" s="6">
        <f>Grandview_Inventory[[#This Row],[Eff_Age]]*Lookups!$B$14</f>
        <v>-956.66639999999995</v>
      </c>
      <c r="BM1306" s="6">
        <f>Grandview_Inventory[[#This Row],[living_area]]*Lookups!$B$15</f>
        <v>67371.321240000005</v>
      </c>
      <c r="BN1306" s="6">
        <f>Grandview_Inventory[[#This Row],[Fin BSMT]]*Lookups!$B$16</f>
        <v>0</v>
      </c>
      <c r="BO1306" s="6">
        <f>(Grandview_Inventory[[#This Row],[att_gar]]+Grandview_Inventory[[#This Row],[bltin_gar]])*Lookups!$B$17</f>
        <v>0</v>
      </c>
      <c r="BP1306" s="6">
        <f>Grandview_Inventory[[#This Row],[Plumbing Fixtures]]*Lookups!$B$18</f>
        <v>16083.5344</v>
      </c>
      <c r="BQ1306" s="6">
        <f>Grandview_Inventory[[#This Row],[detatched_value]]*Lookups!$B$19</f>
        <v>0</v>
      </c>
      <c r="BR1306" s="6">
        <f>SUM(Grandview_Inventory[[#This Row],[Intercept]:[det_value]])*Grandview_Inventory[[#This Row],[res_pct]]</f>
        <v>266363.13924000005</v>
      </c>
      <c r="BS1306" s="6">
        <f>Grandview_Inventory[[#This Row],[land_value]]</f>
        <v>48369.510983942157</v>
      </c>
      <c r="BT1306" s="4">
        <f>_xlfn.IFNA(VLOOKUP(Grandview_Inventory[[#This Row],[quality]],Lookups!$A$26:$C$33,3,FALSE),1)</f>
        <v>0.98763855981004833</v>
      </c>
      <c r="BU1306" s="4">
        <f>_xlfn.IFNA(VLOOKUP(Grandview_Inventory[[#This Row],[condition]],Lookups!$A$37:$C$44,3,FALSE),1)</f>
        <v>0.94347925387812148</v>
      </c>
      <c r="BV1306" s="4">
        <f>IF(Grandview_Inventory[[#This Row],[bldg_style]]="",1,_xlfn.IFNA(VLOOKUP(Grandview_Inventory[[#This Row],[decade]],Lookups!$F$29:$H$43,3,FALSE),1))</f>
        <v>0.94601966599150278</v>
      </c>
      <c r="BW1306" s="4">
        <f>_xlfn.IFNA(VLOOKUP(Grandview_Inventory[[#This Row],[living_area_range]],Lookups!$F$47:$H$56,3,FALSE),1)</f>
        <v>0.96135087979789358</v>
      </c>
      <c r="BX1306" s="4">
        <f>AVERAGE(Grandview_Inventory[[#This Row],[qual_adj]:[size_adj]])</f>
        <v>0.95962208986939146</v>
      </c>
      <c r="BY1306" s="6">
        <f>IF(Grandview_Inventory[[#This Row],[pre_res]]&lt;0,0,Grandview_Inventory[[#This Row],[pre_res]]*Grandview_Inventory[[#This Row],[overall_adj]])</f>
        <v>255607.95234166057</v>
      </c>
      <c r="BZ1306" s="6">
        <f>(Grandview_Inventory[[#This Row],[sum_land]]-IF(Grandview_Inventory[[#This Row],[no_utilities]]=1,12000,0))/IF(Grandview_Inventory[[#This Row],[unbuildable]]=1,2,1)</f>
        <v>48369.510983942157</v>
      </c>
      <c r="CA130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306">
        <f>ROUND(Grandview_Inventory[[#This Row],[det_value]]*Lookups!$M$28,-2)</f>
        <v>0</v>
      </c>
      <c r="CC1306">
        <f>IF(ROUND(Grandview_Inventory[[#This Row],[adj_res]]*Lookups!$M$28,-2)&lt;Grandview_Inventory[[#This Row],[min_res]],Grandview_Inventory[[#This Row],[min_res]],ROUND(Grandview_Inventory[[#This Row],[adj_res]]*Lookups!$M$28,-2))</f>
        <v>242800</v>
      </c>
      <c r="CD1306">
        <f>Grandview_Inventory[[#This Row],[final_det]]+Grandview_Inventory[[#This Row],[final_res]]</f>
        <v>242800</v>
      </c>
      <c r="CE1306">
        <f>Grandview_Inventory[[#This Row],[final_land]]+Grandview_Inventory[[#This Row],[final_imp]]+Grandview_Inventory[[#This Row],[crop_value]]</f>
        <v>288800</v>
      </c>
      <c r="CG1306" t="str">
        <f t="shared" si="20"/>
        <v>update valuation set market_land =46000, market_bldg=242800, market_total =288800, market_mdno =401, market_date ='9/10/2023' where link_id = (select link_id from parcel where parcel_year = '2024' and parcel_id = '23092314400');</v>
      </c>
    </row>
    <row r="1307" spans="1:85" x14ac:dyDescent="0.25">
      <c r="A1307">
        <v>23092314406</v>
      </c>
      <c r="B1307">
        <v>0.15</v>
      </c>
      <c r="C1307">
        <v>6683</v>
      </c>
      <c r="D1307" t="s">
        <v>129</v>
      </c>
      <c r="E1307" t="s">
        <v>53</v>
      </c>
      <c r="F1307" t="s">
        <v>53</v>
      </c>
      <c r="G1307">
        <v>4</v>
      </c>
      <c r="H1307" t="s">
        <v>54</v>
      </c>
      <c r="I1307">
        <v>130500</v>
      </c>
      <c r="J1307">
        <v>39000</v>
      </c>
      <c r="K1307">
        <v>0.15</v>
      </c>
      <c r="L130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07">
        <v>0</v>
      </c>
      <c r="N1307">
        <v>0</v>
      </c>
      <c r="O1307">
        <v>0</v>
      </c>
      <c r="P1307">
        <v>13398.7528</v>
      </c>
      <c r="Q1307">
        <v>63903</v>
      </c>
      <c r="R1307">
        <f>(Grandview_Inventory[[#This Row],[ln_acres]]*Grandview_Inventory[[#This Row],[coeff]])+Grandview_Inventory[[#This Row],[const]]</f>
        <v>38483.958290574345</v>
      </c>
      <c r="S1307" t="s">
        <v>85</v>
      </c>
      <c r="T1307">
        <v>2</v>
      </c>
      <c r="U1307" t="s">
        <v>70</v>
      </c>
      <c r="V1307" t="s">
        <v>69</v>
      </c>
      <c r="W1307">
        <v>0</v>
      </c>
      <c r="X1307">
        <v>0</v>
      </c>
      <c r="Y1307">
        <v>55</v>
      </c>
      <c r="Z1307">
        <v>98</v>
      </c>
      <c r="AA1307">
        <v>100</v>
      </c>
      <c r="AB1307">
        <v>1500</v>
      </c>
      <c r="AC1307">
        <v>1192</v>
      </c>
      <c r="AD1307">
        <v>844</v>
      </c>
      <c r="AE1307">
        <v>348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72</v>
      </c>
      <c r="AO1307">
        <v>0</v>
      </c>
      <c r="AP1307">
        <v>7</v>
      </c>
      <c r="AQ1307">
        <v>0</v>
      </c>
      <c r="AR1307">
        <v>0</v>
      </c>
      <c r="AS1307" t="s">
        <v>58</v>
      </c>
      <c r="AT1307">
        <v>1</v>
      </c>
      <c r="AU1307" t="s">
        <v>75</v>
      </c>
      <c r="AV1307" t="s">
        <v>60</v>
      </c>
      <c r="AW1307">
        <v>0</v>
      </c>
      <c r="AX1307">
        <v>3</v>
      </c>
      <c r="AY1307">
        <v>0</v>
      </c>
      <c r="AZ1307">
        <v>0</v>
      </c>
      <c r="BA1307">
        <v>100</v>
      </c>
      <c r="BB1307">
        <v>100</v>
      </c>
      <c r="BC1307">
        <v>100</v>
      </c>
      <c r="BD1307">
        <v>100</v>
      </c>
      <c r="BE1307">
        <v>1</v>
      </c>
      <c r="BF1307">
        <v>15000</v>
      </c>
      <c r="BG1307">
        <v>1000</v>
      </c>
      <c r="BH1307" s="6">
        <f>Grandview_Inventory[[#This Row],[land_extract]]*Lookups!$B$3</f>
        <v>44691.316856156598</v>
      </c>
      <c r="BI1307" s="6">
        <f>IF(Grandview_Inventory[[#This Row],[bldg_style]]="",0,Lookups!$B$2)</f>
        <v>155833.95000000001</v>
      </c>
      <c r="BJ1307" s="6">
        <f>_xlfn.IFNA(VLOOKUP(Grandview_Inventory[[#This Row],[quality]],Lookups!$H$2:$J$14,3,FALSE),0)</f>
        <v>10733</v>
      </c>
      <c r="BK1307" s="6">
        <f>_xlfn.IFNA(VLOOKUP(Grandview_Inventory[[#This Row],[condition]],Lookups!$H$17:$J$24,3,FALSE),0)</f>
        <v>-4503</v>
      </c>
      <c r="BL1307" s="6">
        <f>Grandview_Inventory[[#This Row],[Eff_Age]]*Lookups!$B$14</f>
        <v>-13154.162999999999</v>
      </c>
      <c r="BM1307" s="6">
        <f>Grandview_Inventory[[#This Row],[living_area]]*Lookups!$B$15</f>
        <v>74357.976775999996</v>
      </c>
      <c r="BN1307" s="6">
        <f>Grandview_Inventory[[#This Row],[Fin BSMT]]*Lookups!$B$16</f>
        <v>0</v>
      </c>
      <c r="BO1307" s="6">
        <f>(Grandview_Inventory[[#This Row],[att_gar]]+Grandview_Inventory[[#This Row],[bltin_gar]])*Lookups!$B$17</f>
        <v>0</v>
      </c>
      <c r="BP1307" s="6">
        <f>Grandview_Inventory[[#This Row],[Plumbing Fixtures]]*Lookups!$B$18</f>
        <v>14073.0926</v>
      </c>
      <c r="BQ1307" s="6">
        <f>Grandview_Inventory[[#This Row],[detatched_value]]*Lookups!$B$19</f>
        <v>0</v>
      </c>
      <c r="BR1307" s="6">
        <f>SUM(Grandview_Inventory[[#This Row],[Intercept]:[det_value]])*Grandview_Inventory[[#This Row],[res_pct]]</f>
        <v>237340.85637600001</v>
      </c>
      <c r="BS1307" s="6">
        <f>Grandview_Inventory[[#This Row],[land_value]]</f>
        <v>44691.316856156598</v>
      </c>
      <c r="BT1307" s="4">
        <f>_xlfn.IFNA(VLOOKUP(Grandview_Inventory[[#This Row],[quality]],Lookups!$A$26:$C$33,3,FALSE),1)</f>
        <v>0.98079741117310582</v>
      </c>
      <c r="BU1307" s="4">
        <f>_xlfn.IFNA(VLOOKUP(Grandview_Inventory[[#This Row],[condition]],Lookups!$A$37:$C$44,3,FALSE),1)</f>
        <v>0.96469275950863709</v>
      </c>
      <c r="BV1307" s="4">
        <f>IF(Grandview_Inventory[[#This Row],[bldg_style]]="",1,_xlfn.IFNA(VLOOKUP(Grandview_Inventory[[#This Row],[decade]],Lookups!$F$29:$H$43,3,FALSE),1))</f>
        <v>0.95244691841736806</v>
      </c>
      <c r="BW1307" s="4">
        <f>_xlfn.IFNA(VLOOKUP(Grandview_Inventory[[#This Row],[living_area_range]],Lookups!$F$47:$H$56,3,FALSE),1)</f>
        <v>0.96135087979789358</v>
      </c>
      <c r="BX1307" s="4">
        <f>AVERAGE(Grandview_Inventory[[#This Row],[qual_adj]:[size_adj]])</f>
        <v>0.96482199222425113</v>
      </c>
      <c r="BY1307" s="6">
        <f>IF(Grandview_Inventory[[#This Row],[pre_res]]&lt;0,0,Grandview_Inventory[[#This Row],[pre_res]]*Grandview_Inventory[[#This Row],[overall_adj]])</f>
        <v>228991.67788490219</v>
      </c>
      <c r="BZ1307" s="6">
        <f>(Grandview_Inventory[[#This Row],[sum_land]]-IF(Grandview_Inventory[[#This Row],[no_utilities]]=1,12000,0))/IF(Grandview_Inventory[[#This Row],[unbuildable]]=1,2,1)</f>
        <v>44691.316856156598</v>
      </c>
      <c r="CA130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07">
        <f>ROUND(Grandview_Inventory[[#This Row],[det_value]]*Lookups!$M$28,-2)</f>
        <v>0</v>
      </c>
      <c r="CC1307">
        <f>IF(ROUND(Grandview_Inventory[[#This Row],[adj_res]]*Lookups!$M$28,-2)&lt;Grandview_Inventory[[#This Row],[min_res]],Grandview_Inventory[[#This Row],[min_res]],ROUND(Grandview_Inventory[[#This Row],[adj_res]]*Lookups!$M$28,-2))</f>
        <v>217500</v>
      </c>
      <c r="CD1307">
        <f>Grandview_Inventory[[#This Row],[final_det]]+Grandview_Inventory[[#This Row],[final_res]]</f>
        <v>217500</v>
      </c>
      <c r="CE1307">
        <f>Grandview_Inventory[[#This Row],[final_land]]+Grandview_Inventory[[#This Row],[final_imp]]+Grandview_Inventory[[#This Row],[crop_value]]</f>
        <v>260000</v>
      </c>
      <c r="CG1307" t="str">
        <f t="shared" si="20"/>
        <v>update valuation set market_land =42500, market_bldg=217500, market_total =260000, market_mdno =401, market_date ='9/10/2023' where link_id = (select link_id from parcel where parcel_year = '2024' and parcel_id = '23092314406');</v>
      </c>
    </row>
    <row r="1308" spans="1:85" x14ac:dyDescent="0.25">
      <c r="A1308">
        <v>23092314407</v>
      </c>
      <c r="B1308">
        <v>0.18</v>
      </c>
      <c r="C1308">
        <v>7880</v>
      </c>
      <c r="D1308" t="s">
        <v>129</v>
      </c>
      <c r="E1308" t="s">
        <v>53</v>
      </c>
      <c r="F1308" t="s">
        <v>53</v>
      </c>
      <c r="G1308">
        <v>4</v>
      </c>
      <c r="H1308" t="s">
        <v>54</v>
      </c>
      <c r="I1308">
        <v>88100</v>
      </c>
      <c r="J1308">
        <v>39300</v>
      </c>
      <c r="K1308">
        <v>0.18</v>
      </c>
      <c r="L130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08">
        <v>0</v>
      </c>
      <c r="N1308">
        <v>0</v>
      </c>
      <c r="O1308">
        <v>0</v>
      </c>
      <c r="P1308">
        <v>13398.7528</v>
      </c>
      <c r="Q1308">
        <v>63903</v>
      </c>
      <c r="R1308">
        <f>(Grandview_Inventory[[#This Row],[ln_acres]]*Grandview_Inventory[[#This Row],[coeff]])+Grandview_Inventory[[#This Row],[const]]</f>
        <v>40926.839760167699</v>
      </c>
      <c r="S1308" t="s">
        <v>85</v>
      </c>
      <c r="T1308">
        <v>1</v>
      </c>
      <c r="U1308" t="s">
        <v>70</v>
      </c>
      <c r="V1308" t="s">
        <v>78</v>
      </c>
      <c r="W1308">
        <v>0</v>
      </c>
      <c r="X1308">
        <v>0</v>
      </c>
      <c r="Y1308">
        <v>55</v>
      </c>
      <c r="Z1308">
        <v>98</v>
      </c>
      <c r="AA1308">
        <v>100</v>
      </c>
      <c r="AB1308">
        <v>1000</v>
      </c>
      <c r="AC1308">
        <v>882</v>
      </c>
      <c r="AD1308">
        <v>882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5</v>
      </c>
      <c r="AQ1308">
        <v>0</v>
      </c>
      <c r="AR1308">
        <v>0</v>
      </c>
      <c r="AS1308" t="s">
        <v>58</v>
      </c>
      <c r="AT1308">
        <v>1</v>
      </c>
      <c r="AU1308" t="s">
        <v>75</v>
      </c>
      <c r="AV1308" t="s">
        <v>60</v>
      </c>
      <c r="AW1308">
        <v>0</v>
      </c>
      <c r="AX1308">
        <v>3</v>
      </c>
      <c r="AY1308">
        <v>0</v>
      </c>
      <c r="AZ1308">
        <v>0</v>
      </c>
      <c r="BA1308">
        <v>100</v>
      </c>
      <c r="BB1308">
        <v>100</v>
      </c>
      <c r="BC1308">
        <v>100</v>
      </c>
      <c r="BD1308">
        <v>100</v>
      </c>
      <c r="BE1308">
        <v>1</v>
      </c>
      <c r="BF1308">
        <v>15000</v>
      </c>
      <c r="BG1308">
        <v>1000</v>
      </c>
      <c r="BH1308" s="6">
        <f>Grandview_Inventory[[#This Row],[land_extract]]*Lookups!$B$3</f>
        <v>47528.228511015397</v>
      </c>
      <c r="BI1308" s="6">
        <f>IF(Grandview_Inventory[[#This Row],[bldg_style]]="",0,Lookups!$B$2)</f>
        <v>155833.95000000001</v>
      </c>
      <c r="BJ1308" s="6">
        <f>_xlfn.IFNA(VLOOKUP(Grandview_Inventory[[#This Row],[quality]],Lookups!$H$2:$J$14,3,FALSE),0)</f>
        <v>10733</v>
      </c>
      <c r="BK1308" s="6">
        <f>_xlfn.IFNA(VLOOKUP(Grandview_Inventory[[#This Row],[condition]],Lookups!$H$17:$J$24,3,FALSE),0)</f>
        <v>-45357</v>
      </c>
      <c r="BL1308" s="6">
        <f>Grandview_Inventory[[#This Row],[Eff_Age]]*Lookups!$B$14</f>
        <v>-13154.162999999999</v>
      </c>
      <c r="BM1308" s="6">
        <f>Grandview_Inventory[[#This Row],[living_area]]*Lookups!$B$15</f>
        <v>55019.912346000005</v>
      </c>
      <c r="BN1308" s="6">
        <f>Grandview_Inventory[[#This Row],[Fin BSMT]]*Lookups!$B$16</f>
        <v>0</v>
      </c>
      <c r="BO1308" s="6">
        <f>(Grandview_Inventory[[#This Row],[att_gar]]+Grandview_Inventory[[#This Row],[bltin_gar]])*Lookups!$B$17</f>
        <v>0</v>
      </c>
      <c r="BP1308" s="6">
        <f>Grandview_Inventory[[#This Row],[Plumbing Fixtures]]*Lookups!$B$18</f>
        <v>10052.209000000001</v>
      </c>
      <c r="BQ1308" s="6">
        <f>Grandview_Inventory[[#This Row],[detatched_value]]*Lookups!$B$19</f>
        <v>0</v>
      </c>
      <c r="BR1308" s="6">
        <f>SUM(Grandview_Inventory[[#This Row],[Intercept]:[det_value]])*Grandview_Inventory[[#This Row],[res_pct]]</f>
        <v>173127.90834600001</v>
      </c>
      <c r="BS1308" s="6">
        <f>Grandview_Inventory[[#This Row],[land_value]]</f>
        <v>47528.228511015397</v>
      </c>
      <c r="BT1308" s="4">
        <f>_xlfn.IFNA(VLOOKUP(Grandview_Inventory[[#This Row],[quality]],Lookups!$A$26:$C$33,3,FALSE),1)</f>
        <v>0.98079741117310582</v>
      </c>
      <c r="BU1308" s="4">
        <f>_xlfn.IFNA(VLOOKUP(Grandview_Inventory[[#This Row],[condition]],Lookups!$A$37:$C$44,3,FALSE),1)</f>
        <v>0.97161819570155394</v>
      </c>
      <c r="BV1308" s="4">
        <f>IF(Grandview_Inventory[[#This Row],[bldg_style]]="",1,_xlfn.IFNA(VLOOKUP(Grandview_Inventory[[#This Row],[decade]],Lookups!$F$29:$H$43,3,FALSE),1))</f>
        <v>0.95244691841736806</v>
      </c>
      <c r="BW1308" s="4">
        <f>_xlfn.IFNA(VLOOKUP(Grandview_Inventory[[#This Row],[living_area_range]],Lookups!$F$47:$H$56,3,FALSE),1)</f>
        <v>0.94306777142782894</v>
      </c>
      <c r="BX1308" s="4">
        <f>AVERAGE(Grandview_Inventory[[#This Row],[qual_adj]:[size_adj]])</f>
        <v>0.96198257417996413</v>
      </c>
      <c r="BY1308" s="6">
        <f>IF(Grandview_Inventory[[#This Row],[pre_res]]&lt;0,0,Grandview_Inventory[[#This Row],[pre_res]]*Grandview_Inventory[[#This Row],[overall_adj]])</f>
        <v>166546.030933078</v>
      </c>
      <c r="BZ1308" s="6">
        <f>(Grandview_Inventory[[#This Row],[sum_land]]-IF(Grandview_Inventory[[#This Row],[no_utilities]]=1,12000,0))/IF(Grandview_Inventory[[#This Row],[unbuildable]]=1,2,1)</f>
        <v>47528.228511015397</v>
      </c>
      <c r="CA130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08">
        <f>ROUND(Grandview_Inventory[[#This Row],[det_value]]*Lookups!$M$28,-2)</f>
        <v>0</v>
      </c>
      <c r="CC1308">
        <f>IF(ROUND(Grandview_Inventory[[#This Row],[adj_res]]*Lookups!$M$28,-2)&lt;Grandview_Inventory[[#This Row],[min_res]],Grandview_Inventory[[#This Row],[min_res]],ROUND(Grandview_Inventory[[#This Row],[adj_res]]*Lookups!$M$28,-2))</f>
        <v>158200</v>
      </c>
      <c r="CD1308">
        <f>Grandview_Inventory[[#This Row],[final_det]]+Grandview_Inventory[[#This Row],[final_res]]</f>
        <v>158200</v>
      </c>
      <c r="CE1308">
        <f>Grandview_Inventory[[#This Row],[final_land]]+Grandview_Inventory[[#This Row],[final_imp]]+Grandview_Inventory[[#This Row],[crop_value]]</f>
        <v>203400</v>
      </c>
      <c r="CG1308" t="str">
        <f t="shared" si="20"/>
        <v>update valuation set market_land =45200, market_bldg=158200, market_total =203400, market_mdno =401, market_date ='9/10/2023' where link_id = (select link_id from parcel where parcel_year = '2024' and parcel_id = '23092314407');</v>
      </c>
    </row>
    <row r="1309" spans="1:85" x14ac:dyDescent="0.25">
      <c r="A1309">
        <v>23092314408</v>
      </c>
      <c r="B1309">
        <v>0.16</v>
      </c>
      <c r="C1309">
        <v>6931</v>
      </c>
      <c r="D1309" t="s">
        <v>129</v>
      </c>
      <c r="E1309" t="s">
        <v>53</v>
      </c>
      <c r="F1309" t="s">
        <v>53</v>
      </c>
      <c r="G1309">
        <v>4</v>
      </c>
      <c r="H1309" t="s">
        <v>54</v>
      </c>
      <c r="I1309">
        <v>203100</v>
      </c>
      <c r="J1309">
        <v>39000</v>
      </c>
      <c r="K1309">
        <v>0.16</v>
      </c>
      <c r="L130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09">
        <v>0</v>
      </c>
      <c r="N1309">
        <v>0</v>
      </c>
      <c r="O1309">
        <v>0</v>
      </c>
      <c r="P1309">
        <v>13398.7528</v>
      </c>
      <c r="Q1309">
        <v>63903</v>
      </c>
      <c r="R1309">
        <f>(Grandview_Inventory[[#This Row],[ln_acres]]*Grandview_Inventory[[#This Row],[coeff]])+Grandview_Inventory[[#This Row],[const]]</f>
        <v>39348.693981374228</v>
      </c>
      <c r="S1309" t="s">
        <v>55</v>
      </c>
      <c r="T1309">
        <v>2</v>
      </c>
      <c r="U1309" t="s">
        <v>80</v>
      </c>
      <c r="V1309" t="s">
        <v>67</v>
      </c>
      <c r="W1309">
        <v>0</v>
      </c>
      <c r="X1309">
        <v>0</v>
      </c>
      <c r="Y1309">
        <v>55</v>
      </c>
      <c r="Z1309">
        <v>98</v>
      </c>
      <c r="AA1309">
        <v>100</v>
      </c>
      <c r="AB1309">
        <v>2000</v>
      </c>
      <c r="AC1309">
        <v>1920</v>
      </c>
      <c r="AD1309">
        <v>1152</v>
      </c>
      <c r="AE1309">
        <v>768</v>
      </c>
      <c r="AF1309">
        <v>0</v>
      </c>
      <c r="AG1309">
        <v>0</v>
      </c>
      <c r="AH1309">
        <v>96</v>
      </c>
      <c r="AI1309">
        <v>0</v>
      </c>
      <c r="AJ1309">
        <v>0</v>
      </c>
      <c r="AK1309">
        <v>0</v>
      </c>
      <c r="AL1309">
        <v>100</v>
      </c>
      <c r="AM1309">
        <v>0</v>
      </c>
      <c r="AN1309">
        <v>40</v>
      </c>
      <c r="AO1309">
        <v>200</v>
      </c>
      <c r="AP1309">
        <v>7</v>
      </c>
      <c r="AQ1309">
        <v>0</v>
      </c>
      <c r="AR1309">
        <v>0</v>
      </c>
      <c r="AS1309" t="s">
        <v>58</v>
      </c>
      <c r="AT1309">
        <v>1</v>
      </c>
      <c r="AU1309" t="s">
        <v>63</v>
      </c>
      <c r="AV1309" t="s">
        <v>64</v>
      </c>
      <c r="AW1309">
        <v>1</v>
      </c>
      <c r="AX1309">
        <v>3</v>
      </c>
      <c r="AY1309">
        <v>0</v>
      </c>
      <c r="AZ1309">
        <v>2700</v>
      </c>
      <c r="BA1309">
        <v>100</v>
      </c>
      <c r="BB1309">
        <v>100</v>
      </c>
      <c r="BC1309">
        <v>100</v>
      </c>
      <c r="BD1309">
        <v>100</v>
      </c>
      <c r="BE1309">
        <v>1</v>
      </c>
      <c r="BF1309">
        <v>15000</v>
      </c>
      <c r="BG1309">
        <v>1000</v>
      </c>
      <c r="BH1309" s="6">
        <f>Grandview_Inventory[[#This Row],[land_extract]]*Lookups!$B$3</f>
        <v>45695.532079096141</v>
      </c>
      <c r="BI1309" s="6">
        <f>IF(Grandview_Inventory[[#This Row],[bldg_style]]="",0,Lookups!$B$2)</f>
        <v>155833.95000000001</v>
      </c>
      <c r="BJ1309" s="6">
        <f>_xlfn.IFNA(VLOOKUP(Grandview_Inventory[[#This Row],[quality]],Lookups!$H$2:$J$14,3,FALSE),0)</f>
        <v>-28558</v>
      </c>
      <c r="BK1309" s="6">
        <f>_xlfn.IFNA(VLOOKUP(Grandview_Inventory[[#This Row],[condition]],Lookups!$H$17:$J$24,3,FALSE),0)</f>
        <v>22342</v>
      </c>
      <c r="BL1309" s="6">
        <f>Grandview_Inventory[[#This Row],[Eff_Age]]*Lookups!$B$14</f>
        <v>-13154.162999999999</v>
      </c>
      <c r="BM1309" s="6">
        <f>Grandview_Inventory[[#This Row],[living_area]]*Lookups!$B$15</f>
        <v>119771.23776</v>
      </c>
      <c r="BN1309" s="6">
        <f>Grandview_Inventory[[#This Row],[Fin BSMT]]*Lookups!$B$16</f>
        <v>0</v>
      </c>
      <c r="BO1309" s="6">
        <f>(Grandview_Inventory[[#This Row],[att_gar]]+Grandview_Inventory[[#This Row],[bltin_gar]])*Lookups!$B$17</f>
        <v>0</v>
      </c>
      <c r="BP1309" s="6">
        <f>Grandview_Inventory[[#This Row],[Plumbing Fixtures]]*Lookups!$B$18</f>
        <v>14073.0926</v>
      </c>
      <c r="BQ1309" s="6">
        <f>Grandview_Inventory[[#This Row],[detatched_value]]*Lookups!$B$19</f>
        <v>2286.3737700000001</v>
      </c>
      <c r="BR1309" s="6">
        <f>SUM(Grandview_Inventory[[#This Row],[Intercept]:[det_value]])*Grandview_Inventory[[#This Row],[res_pct]]</f>
        <v>272594.49112999998</v>
      </c>
      <c r="BS1309" s="6">
        <f>Grandview_Inventory[[#This Row],[land_value]]</f>
        <v>45695.532079096141</v>
      </c>
      <c r="BT1309" s="4">
        <f>_xlfn.IFNA(VLOOKUP(Grandview_Inventory[[#This Row],[quality]],Lookups!$A$26:$C$33,3,FALSE),1)</f>
        <v>0.9690360070159818</v>
      </c>
      <c r="BU1309" s="4">
        <f>_xlfn.IFNA(VLOOKUP(Grandview_Inventory[[#This Row],[condition]],Lookups!$A$37:$C$44,3,FALSE),1)</f>
        <v>0.97383723671140243</v>
      </c>
      <c r="BV1309" s="4">
        <f>IF(Grandview_Inventory[[#This Row],[bldg_style]]="",1,_xlfn.IFNA(VLOOKUP(Grandview_Inventory[[#This Row],[decade]],Lookups!$F$29:$H$43,3,FALSE),1))</f>
        <v>0.95244691841736806</v>
      </c>
      <c r="BW1309" s="4">
        <f>_xlfn.IFNA(VLOOKUP(Grandview_Inventory[[#This Row],[living_area_range]],Lookups!$F$47:$H$56,3,FALSE),1)</f>
        <v>0.96120133463014379</v>
      </c>
      <c r="BX1309" s="4">
        <f>AVERAGE(Grandview_Inventory[[#This Row],[qual_adj]:[size_adj]])</f>
        <v>0.96413037419372394</v>
      </c>
      <c r="BY1309" s="6">
        <f>IF(Grandview_Inventory[[#This Row],[pre_res]]&lt;0,0,Grandview_Inventory[[#This Row],[pre_res]]*Grandview_Inventory[[#This Row],[overall_adj]])</f>
        <v>262816.62873631465</v>
      </c>
      <c r="BZ1309" s="6">
        <f>(Grandview_Inventory[[#This Row],[sum_land]]-IF(Grandview_Inventory[[#This Row],[no_utilities]]=1,12000,0))/IF(Grandview_Inventory[[#This Row],[unbuildable]]=1,2,1)</f>
        <v>45695.532079096141</v>
      </c>
      <c r="CA130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09">
        <f>ROUND(Grandview_Inventory[[#This Row],[det_value]]*Lookups!$M$28,-2)</f>
        <v>2200</v>
      </c>
      <c r="CC1309">
        <f>IF(ROUND(Grandview_Inventory[[#This Row],[adj_res]]*Lookups!$M$28,-2)&lt;Grandview_Inventory[[#This Row],[min_res]],Grandview_Inventory[[#This Row],[min_res]],ROUND(Grandview_Inventory[[#This Row],[adj_res]]*Lookups!$M$28,-2))</f>
        <v>249700</v>
      </c>
      <c r="CD1309">
        <f>Grandview_Inventory[[#This Row],[final_det]]+Grandview_Inventory[[#This Row],[final_res]]</f>
        <v>251900</v>
      </c>
      <c r="CE1309">
        <f>Grandview_Inventory[[#This Row],[final_land]]+Grandview_Inventory[[#This Row],[final_imp]]+Grandview_Inventory[[#This Row],[crop_value]]</f>
        <v>295300</v>
      </c>
      <c r="CG1309" t="str">
        <f t="shared" si="20"/>
        <v>update valuation set market_land =43400, market_bldg=251900, market_total =295300, market_mdno =401, market_date ='9/10/2023' where link_id = (select link_id from parcel where parcel_year = '2024' and parcel_id = '23092314408');</v>
      </c>
    </row>
    <row r="1310" spans="1:85" x14ac:dyDescent="0.25">
      <c r="A1310">
        <v>23092314409</v>
      </c>
      <c r="B1310">
        <v>0.18</v>
      </c>
      <c r="C1310">
        <v>7645</v>
      </c>
      <c r="D1310" t="s">
        <v>129</v>
      </c>
      <c r="E1310" t="s">
        <v>53</v>
      </c>
      <c r="F1310" t="s">
        <v>53</v>
      </c>
      <c r="G1310">
        <v>4</v>
      </c>
      <c r="H1310" t="s">
        <v>54</v>
      </c>
      <c r="I1310">
        <v>213300</v>
      </c>
      <c r="J1310">
        <v>39300</v>
      </c>
      <c r="K1310">
        <v>0.18</v>
      </c>
      <c r="L131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10">
        <v>0</v>
      </c>
      <c r="N1310">
        <v>0</v>
      </c>
      <c r="O1310">
        <v>0</v>
      </c>
      <c r="P1310">
        <v>13398.7528</v>
      </c>
      <c r="Q1310">
        <v>63903</v>
      </c>
      <c r="R1310">
        <f>(Grandview_Inventory[[#This Row],[ln_acres]]*Grandview_Inventory[[#This Row],[coeff]])+Grandview_Inventory[[#This Row],[const]]</f>
        <v>40926.839760167699</v>
      </c>
      <c r="S1310" t="s">
        <v>68</v>
      </c>
      <c r="T1310">
        <v>1</v>
      </c>
      <c r="U1310" t="s">
        <v>65</v>
      </c>
      <c r="V1310" t="s">
        <v>69</v>
      </c>
      <c r="W1310">
        <v>0</v>
      </c>
      <c r="X1310">
        <v>0</v>
      </c>
      <c r="Y1310">
        <v>50</v>
      </c>
      <c r="Z1310">
        <v>74</v>
      </c>
      <c r="AA1310">
        <v>80</v>
      </c>
      <c r="AB1310">
        <v>4000</v>
      </c>
      <c r="AC1310">
        <v>3948</v>
      </c>
      <c r="AD1310">
        <v>1974</v>
      </c>
      <c r="AE1310">
        <v>0</v>
      </c>
      <c r="AF1310">
        <v>0</v>
      </c>
      <c r="AG1310">
        <v>1974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170</v>
      </c>
      <c r="AN1310">
        <v>32</v>
      </c>
      <c r="AO1310">
        <v>48</v>
      </c>
      <c r="AP1310">
        <v>9</v>
      </c>
      <c r="AQ1310">
        <v>0</v>
      </c>
      <c r="AR1310">
        <v>1</v>
      </c>
      <c r="AS1310" t="s">
        <v>58</v>
      </c>
      <c r="AT1310">
        <v>1</v>
      </c>
      <c r="AU1310" t="s">
        <v>63</v>
      </c>
      <c r="AV1310" t="s">
        <v>64</v>
      </c>
      <c r="AW1310">
        <v>0</v>
      </c>
      <c r="AX1310">
        <v>2</v>
      </c>
      <c r="AY1310">
        <v>0</v>
      </c>
      <c r="AZ1310">
        <v>7200</v>
      </c>
      <c r="BA1310">
        <v>100</v>
      </c>
      <c r="BB1310">
        <v>100</v>
      </c>
      <c r="BC1310">
        <v>100</v>
      </c>
      <c r="BD1310">
        <v>100</v>
      </c>
      <c r="BE1310">
        <v>1</v>
      </c>
      <c r="BF1310">
        <v>15000</v>
      </c>
      <c r="BG1310">
        <v>1000</v>
      </c>
      <c r="BH1310" s="6">
        <f>Grandview_Inventory[[#This Row],[land_extract]]*Lookups!$B$3</f>
        <v>47528.228511015397</v>
      </c>
      <c r="BI1310" s="6">
        <f>IF(Grandview_Inventory[[#This Row],[bldg_style]]="",0,Lookups!$B$2)</f>
        <v>155833.95000000001</v>
      </c>
      <c r="BJ1310" s="6">
        <f>_xlfn.IFNA(VLOOKUP(Grandview_Inventory[[#This Row],[quality]],Lookups!$H$2:$J$14,3,FALSE),0)</f>
        <v>2251</v>
      </c>
      <c r="BK1310" s="6">
        <f>_xlfn.IFNA(VLOOKUP(Grandview_Inventory[[#This Row],[condition]],Lookups!$H$17:$J$24,3,FALSE),0)</f>
        <v>-4503</v>
      </c>
      <c r="BL1310" s="6">
        <f>Grandview_Inventory[[#This Row],[Eff_Age]]*Lookups!$B$14</f>
        <v>-11958.33</v>
      </c>
      <c r="BM1310" s="6">
        <f>Grandview_Inventory[[#This Row],[living_area]]*Lookups!$B$15</f>
        <v>246279.607644</v>
      </c>
      <c r="BN1310" s="6">
        <f>Grandview_Inventory[[#This Row],[Fin BSMT]]*Lookups!$B$16</f>
        <v>-53493.89976</v>
      </c>
      <c r="BO1310" s="6">
        <f>(Grandview_Inventory[[#This Row],[att_gar]]+Grandview_Inventory[[#This Row],[bltin_gar]])*Lookups!$B$17</f>
        <v>0</v>
      </c>
      <c r="BP1310" s="6">
        <f>Grandview_Inventory[[#This Row],[Plumbing Fixtures]]*Lookups!$B$18</f>
        <v>18093.976200000001</v>
      </c>
      <c r="BQ1310" s="6">
        <f>Grandview_Inventory[[#This Row],[detatched_value]]*Lookups!$B$19</f>
        <v>6096.9967200000001</v>
      </c>
      <c r="BR1310" s="6">
        <f>SUM(Grandview_Inventory[[#This Row],[Intercept]:[det_value]])*Grandview_Inventory[[#This Row],[res_pct]]</f>
        <v>358600.300804</v>
      </c>
      <c r="BS1310" s="6">
        <f>Grandview_Inventory[[#This Row],[land_value]]</f>
        <v>47528.228511015397</v>
      </c>
      <c r="BT1310" s="4">
        <f>_xlfn.IFNA(VLOOKUP(Grandview_Inventory[[#This Row],[quality]],Lookups!$A$26:$C$33,3,FALSE),1)</f>
        <v>0.98763855981004833</v>
      </c>
      <c r="BU1310" s="4">
        <f>_xlfn.IFNA(VLOOKUP(Grandview_Inventory[[#This Row],[condition]],Lookups!$A$37:$C$44,3,FALSE),1)</f>
        <v>0.96469275950863709</v>
      </c>
      <c r="BV1310" s="4">
        <f>IF(Grandview_Inventory[[#This Row],[bldg_style]]="",1,_xlfn.IFNA(VLOOKUP(Grandview_Inventory[[#This Row],[decade]],Lookups!$F$29:$H$43,3,FALSE),1))</f>
        <v>0.98763256963907298</v>
      </c>
      <c r="BW1310" s="4">
        <f>_xlfn.IFNA(VLOOKUP(Grandview_Inventory[[#This Row],[living_area_range]],Lookups!$F$47:$H$56,3,FALSE),1)</f>
        <v>0.90089875105039252</v>
      </c>
      <c r="BX1310" s="4">
        <f>AVERAGE(Grandview_Inventory[[#This Row],[qual_adj]:[size_adj]])</f>
        <v>0.96021566000203773</v>
      </c>
      <c r="BY1310" s="6">
        <f>IF(Grandview_Inventory[[#This Row],[pre_res]]&lt;0,0,Grandview_Inventory[[#This Row],[pre_res]]*Grandview_Inventory[[#This Row],[overall_adj]])</f>
        <v>344333.6245134421</v>
      </c>
      <c r="BZ1310" s="6">
        <f>(Grandview_Inventory[[#This Row],[sum_land]]-IF(Grandview_Inventory[[#This Row],[no_utilities]]=1,12000,0))/IF(Grandview_Inventory[[#This Row],[unbuildable]]=1,2,1)</f>
        <v>47528.228511015397</v>
      </c>
      <c r="CA131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10">
        <f>ROUND(Grandview_Inventory[[#This Row],[det_value]]*Lookups!$M$28,-2)</f>
        <v>5800</v>
      </c>
      <c r="CC1310">
        <f>IF(ROUND(Grandview_Inventory[[#This Row],[adj_res]]*Lookups!$M$28,-2)&lt;Grandview_Inventory[[#This Row],[min_res]],Grandview_Inventory[[#This Row],[min_res]],ROUND(Grandview_Inventory[[#This Row],[adj_res]]*Lookups!$M$28,-2))</f>
        <v>327100</v>
      </c>
      <c r="CD1310">
        <f>Grandview_Inventory[[#This Row],[final_det]]+Grandview_Inventory[[#This Row],[final_res]]</f>
        <v>332900</v>
      </c>
      <c r="CE1310">
        <f>Grandview_Inventory[[#This Row],[final_land]]+Grandview_Inventory[[#This Row],[final_imp]]+Grandview_Inventory[[#This Row],[crop_value]]</f>
        <v>378100</v>
      </c>
      <c r="CG1310" t="str">
        <f t="shared" si="20"/>
        <v>update valuation set market_land =45200, market_bldg=332900, market_total =378100, market_mdno =401, market_date ='9/10/2023' where link_id = (select link_id from parcel where parcel_year = '2024' and parcel_id = '23092314409');</v>
      </c>
    </row>
    <row r="1311" spans="1:85" x14ac:dyDescent="0.25">
      <c r="A1311">
        <v>23092314410</v>
      </c>
      <c r="B1311">
        <v>0.16</v>
      </c>
      <c r="C1311">
        <v>6982</v>
      </c>
      <c r="D1311" t="s">
        <v>129</v>
      </c>
      <c r="E1311" t="s">
        <v>53</v>
      </c>
      <c r="F1311" t="s">
        <v>53</v>
      </c>
      <c r="G1311">
        <v>4</v>
      </c>
      <c r="H1311" t="s">
        <v>54</v>
      </c>
      <c r="I1311">
        <v>238400</v>
      </c>
      <c r="J1311">
        <v>39100</v>
      </c>
      <c r="K1311">
        <v>0.16</v>
      </c>
      <c r="L131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11">
        <v>0</v>
      </c>
      <c r="N1311">
        <v>0</v>
      </c>
      <c r="O1311">
        <v>0</v>
      </c>
      <c r="P1311">
        <v>13398.7528</v>
      </c>
      <c r="Q1311">
        <v>63903</v>
      </c>
      <c r="R1311">
        <f>(Grandview_Inventory[[#This Row],[ln_acres]]*Grandview_Inventory[[#This Row],[coeff]])+Grandview_Inventory[[#This Row],[const]]</f>
        <v>39348.693981374228</v>
      </c>
      <c r="S1311" t="s">
        <v>55</v>
      </c>
      <c r="T1311">
        <v>2</v>
      </c>
      <c r="U1311" t="s">
        <v>65</v>
      </c>
      <c r="V1311" t="s">
        <v>69</v>
      </c>
      <c r="W1311">
        <v>0</v>
      </c>
      <c r="X1311">
        <v>0</v>
      </c>
      <c r="Y1311">
        <v>51</v>
      </c>
      <c r="Z1311">
        <v>78</v>
      </c>
      <c r="AA1311">
        <v>80</v>
      </c>
      <c r="AB1311">
        <v>2500</v>
      </c>
      <c r="AC1311">
        <v>2058</v>
      </c>
      <c r="AD1311">
        <v>1372</v>
      </c>
      <c r="AE1311">
        <v>686</v>
      </c>
      <c r="AF1311">
        <v>0</v>
      </c>
      <c r="AG1311">
        <v>0</v>
      </c>
      <c r="AH1311">
        <v>686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56</v>
      </c>
      <c r="AO1311">
        <v>0</v>
      </c>
      <c r="AP1311">
        <v>9</v>
      </c>
      <c r="AQ1311">
        <v>0</v>
      </c>
      <c r="AR1311">
        <v>0</v>
      </c>
      <c r="AS1311" t="s">
        <v>58</v>
      </c>
      <c r="AT1311">
        <v>1</v>
      </c>
      <c r="AU1311" t="s">
        <v>63</v>
      </c>
      <c r="AV1311" t="s">
        <v>64</v>
      </c>
      <c r="AW1311">
        <v>1</v>
      </c>
      <c r="AX1311">
        <v>3</v>
      </c>
      <c r="AY1311">
        <v>0</v>
      </c>
      <c r="AZ1311">
        <v>0</v>
      </c>
      <c r="BA1311">
        <v>100</v>
      </c>
      <c r="BB1311">
        <v>100</v>
      </c>
      <c r="BC1311">
        <v>100</v>
      </c>
      <c r="BD1311">
        <v>100</v>
      </c>
      <c r="BE1311">
        <v>1</v>
      </c>
      <c r="BF1311">
        <v>15000</v>
      </c>
      <c r="BG1311">
        <v>1000</v>
      </c>
      <c r="BH1311" s="6">
        <f>Grandview_Inventory[[#This Row],[land_extract]]*Lookups!$B$3</f>
        <v>45695.532079096141</v>
      </c>
      <c r="BI1311" s="6">
        <f>IF(Grandview_Inventory[[#This Row],[bldg_style]]="",0,Lookups!$B$2)</f>
        <v>155833.95000000001</v>
      </c>
      <c r="BJ1311" s="6">
        <f>_xlfn.IFNA(VLOOKUP(Grandview_Inventory[[#This Row],[quality]],Lookups!$H$2:$J$14,3,FALSE),0)</f>
        <v>2251</v>
      </c>
      <c r="BK1311" s="6">
        <f>_xlfn.IFNA(VLOOKUP(Grandview_Inventory[[#This Row],[condition]],Lookups!$H$17:$J$24,3,FALSE),0)</f>
        <v>-4503</v>
      </c>
      <c r="BL1311" s="6">
        <f>Grandview_Inventory[[#This Row],[Eff_Age]]*Lookups!$B$14</f>
        <v>-12197.496599999999</v>
      </c>
      <c r="BM1311" s="6">
        <f>Grandview_Inventory[[#This Row],[living_area]]*Lookups!$B$15</f>
        <v>128379.795474</v>
      </c>
      <c r="BN1311" s="6">
        <f>Grandview_Inventory[[#This Row],[Fin BSMT]]*Lookups!$B$16</f>
        <v>0</v>
      </c>
      <c r="BO1311" s="6">
        <f>(Grandview_Inventory[[#This Row],[att_gar]]+Grandview_Inventory[[#This Row],[bltin_gar]])*Lookups!$B$17</f>
        <v>0</v>
      </c>
      <c r="BP1311" s="6">
        <f>Grandview_Inventory[[#This Row],[Plumbing Fixtures]]*Lookups!$B$18</f>
        <v>18093.976200000001</v>
      </c>
      <c r="BQ1311" s="6">
        <f>Grandview_Inventory[[#This Row],[detatched_value]]*Lookups!$B$19</f>
        <v>0</v>
      </c>
      <c r="BR1311" s="6">
        <f>SUM(Grandview_Inventory[[#This Row],[Intercept]:[det_value]])*Grandview_Inventory[[#This Row],[res_pct]]</f>
        <v>287858.22507399996</v>
      </c>
      <c r="BS1311" s="6">
        <f>Grandview_Inventory[[#This Row],[land_value]]</f>
        <v>45695.532079096141</v>
      </c>
      <c r="BT1311" s="4">
        <f>_xlfn.IFNA(VLOOKUP(Grandview_Inventory[[#This Row],[quality]],Lookups!$A$26:$C$33,3,FALSE),1)</f>
        <v>0.98763855981004833</v>
      </c>
      <c r="BU1311" s="4">
        <f>_xlfn.IFNA(VLOOKUP(Grandview_Inventory[[#This Row],[condition]],Lookups!$A$37:$C$44,3,FALSE),1)</f>
        <v>0.96469275950863709</v>
      </c>
      <c r="BV1311" s="4">
        <f>IF(Grandview_Inventory[[#This Row],[bldg_style]]="",1,_xlfn.IFNA(VLOOKUP(Grandview_Inventory[[#This Row],[decade]],Lookups!$F$29:$H$43,3,FALSE),1))</f>
        <v>0.98763256963907298</v>
      </c>
      <c r="BW1311" s="4">
        <f>_xlfn.IFNA(VLOOKUP(Grandview_Inventory[[#This Row],[living_area_range]],Lookups!$F$47:$H$56,3,FALSE),1)</f>
        <v>0.95799442568048754</v>
      </c>
      <c r="BX1311" s="4">
        <f>AVERAGE(Grandview_Inventory[[#This Row],[qual_adj]:[size_adj]])</f>
        <v>0.97448957865956143</v>
      </c>
      <c r="BY1311" s="6">
        <f>IF(Grandview_Inventory[[#This Row],[pre_res]]&lt;0,0,Grandview_Inventory[[#This Row],[pre_res]]*Grandview_Inventory[[#This Row],[overall_adj]])</f>
        <v>280514.84046605142</v>
      </c>
      <c r="BZ1311" s="6">
        <f>(Grandview_Inventory[[#This Row],[sum_land]]-IF(Grandview_Inventory[[#This Row],[no_utilities]]=1,12000,0))/IF(Grandview_Inventory[[#This Row],[unbuildable]]=1,2,1)</f>
        <v>45695.532079096141</v>
      </c>
      <c r="CA131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11">
        <f>ROUND(Grandview_Inventory[[#This Row],[det_value]]*Lookups!$M$28,-2)</f>
        <v>0</v>
      </c>
      <c r="CC1311">
        <f>IF(ROUND(Grandview_Inventory[[#This Row],[adj_res]]*Lookups!$M$28,-2)&lt;Grandview_Inventory[[#This Row],[min_res]],Grandview_Inventory[[#This Row],[min_res]],ROUND(Grandview_Inventory[[#This Row],[adj_res]]*Lookups!$M$28,-2))</f>
        <v>266500</v>
      </c>
      <c r="CD1311">
        <f>Grandview_Inventory[[#This Row],[final_det]]+Grandview_Inventory[[#This Row],[final_res]]</f>
        <v>266500</v>
      </c>
      <c r="CE1311">
        <f>Grandview_Inventory[[#This Row],[final_land]]+Grandview_Inventory[[#This Row],[final_imp]]+Grandview_Inventory[[#This Row],[crop_value]]</f>
        <v>309900</v>
      </c>
      <c r="CG1311" t="str">
        <f t="shared" si="20"/>
        <v>update valuation set market_land =43400, market_bldg=266500, market_total =309900, market_mdno =401, market_date ='9/10/2023' where link_id = (select link_id from parcel where parcel_year = '2024' and parcel_id = '23092314410');</v>
      </c>
    </row>
    <row r="1312" spans="1:85" x14ac:dyDescent="0.25">
      <c r="A1312">
        <v>23092314411</v>
      </c>
      <c r="B1312">
        <v>0.18</v>
      </c>
      <c r="C1312">
        <v>7987</v>
      </c>
      <c r="D1312" t="s">
        <v>129</v>
      </c>
      <c r="E1312" t="s">
        <v>53</v>
      </c>
      <c r="F1312" t="s">
        <v>53</v>
      </c>
      <c r="G1312">
        <v>4</v>
      </c>
      <c r="H1312" t="s">
        <v>54</v>
      </c>
      <c r="I1312">
        <v>198000</v>
      </c>
      <c r="J1312">
        <v>39300</v>
      </c>
      <c r="K1312">
        <v>0.18</v>
      </c>
      <c r="L131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12">
        <v>0</v>
      </c>
      <c r="N1312">
        <v>0</v>
      </c>
      <c r="O1312">
        <v>0</v>
      </c>
      <c r="P1312">
        <v>13398.7528</v>
      </c>
      <c r="Q1312">
        <v>63903</v>
      </c>
      <c r="R1312">
        <f>(Grandview_Inventory[[#This Row],[ln_acres]]*Grandview_Inventory[[#This Row],[coeff]])+Grandview_Inventory[[#This Row],[const]]</f>
        <v>40926.839760167699</v>
      </c>
      <c r="S1312" t="s">
        <v>68</v>
      </c>
      <c r="T1312">
        <v>1</v>
      </c>
      <c r="U1312" t="s">
        <v>70</v>
      </c>
      <c r="V1312" t="s">
        <v>67</v>
      </c>
      <c r="W1312">
        <v>0</v>
      </c>
      <c r="X1312">
        <v>0</v>
      </c>
      <c r="Y1312">
        <v>42</v>
      </c>
      <c r="Z1312">
        <v>98</v>
      </c>
      <c r="AA1312">
        <v>100</v>
      </c>
      <c r="AB1312">
        <v>2000</v>
      </c>
      <c r="AC1312">
        <v>1620</v>
      </c>
      <c r="AD1312">
        <v>1320</v>
      </c>
      <c r="AE1312">
        <v>0</v>
      </c>
      <c r="AF1312">
        <v>0</v>
      </c>
      <c r="AG1312">
        <v>300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8</v>
      </c>
      <c r="AQ1312">
        <v>0</v>
      </c>
      <c r="AR1312">
        <v>0</v>
      </c>
      <c r="AS1312" t="s">
        <v>58</v>
      </c>
      <c r="AT1312">
        <v>1</v>
      </c>
      <c r="AU1312" t="s">
        <v>63</v>
      </c>
      <c r="AV1312" t="s">
        <v>60</v>
      </c>
      <c r="AW1312">
        <v>1</v>
      </c>
      <c r="AX1312">
        <v>3</v>
      </c>
      <c r="AY1312">
        <v>0</v>
      </c>
      <c r="AZ1312">
        <v>0</v>
      </c>
      <c r="BA1312">
        <v>100</v>
      </c>
      <c r="BB1312">
        <v>100</v>
      </c>
      <c r="BC1312">
        <v>100</v>
      </c>
      <c r="BD1312">
        <v>100</v>
      </c>
      <c r="BE1312">
        <v>1</v>
      </c>
      <c r="BF1312">
        <v>15000</v>
      </c>
      <c r="BG1312">
        <v>1000</v>
      </c>
      <c r="BH1312" s="6">
        <f>Grandview_Inventory[[#This Row],[land_extract]]*Lookups!$B$3</f>
        <v>47528.228511015397</v>
      </c>
      <c r="BI1312" s="6">
        <f>IF(Grandview_Inventory[[#This Row],[bldg_style]]="",0,Lookups!$B$2)</f>
        <v>155833.95000000001</v>
      </c>
      <c r="BJ1312" s="6">
        <f>_xlfn.IFNA(VLOOKUP(Grandview_Inventory[[#This Row],[quality]],Lookups!$H$2:$J$14,3,FALSE),0)</f>
        <v>10733</v>
      </c>
      <c r="BK1312" s="6">
        <f>_xlfn.IFNA(VLOOKUP(Grandview_Inventory[[#This Row],[condition]],Lookups!$H$17:$J$24,3,FALSE),0)</f>
        <v>22342</v>
      </c>
      <c r="BL1312" s="6">
        <f>Grandview_Inventory[[#This Row],[Eff_Age]]*Lookups!$B$14</f>
        <v>-10044.9972</v>
      </c>
      <c r="BM1312" s="6">
        <f>Grandview_Inventory[[#This Row],[living_area]]*Lookups!$B$15</f>
        <v>101056.98186</v>
      </c>
      <c r="BN1312" s="6">
        <f>Grandview_Inventory[[#This Row],[Fin BSMT]]*Lookups!$B$16</f>
        <v>-8129.7720000000008</v>
      </c>
      <c r="BO1312" s="6">
        <f>(Grandview_Inventory[[#This Row],[att_gar]]+Grandview_Inventory[[#This Row],[bltin_gar]])*Lookups!$B$17</f>
        <v>0</v>
      </c>
      <c r="BP1312" s="6">
        <f>Grandview_Inventory[[#This Row],[Plumbing Fixtures]]*Lookups!$B$18</f>
        <v>16083.5344</v>
      </c>
      <c r="BQ1312" s="6">
        <f>Grandview_Inventory[[#This Row],[detatched_value]]*Lookups!$B$19</f>
        <v>0</v>
      </c>
      <c r="BR1312" s="6">
        <f>SUM(Grandview_Inventory[[#This Row],[Intercept]:[det_value]])*Grandview_Inventory[[#This Row],[res_pct]]</f>
        <v>287874.69706000003</v>
      </c>
      <c r="BS1312" s="6">
        <f>Grandview_Inventory[[#This Row],[land_value]]</f>
        <v>47528.228511015397</v>
      </c>
      <c r="BT1312" s="4">
        <f>_xlfn.IFNA(VLOOKUP(Grandview_Inventory[[#This Row],[quality]],Lookups!$A$26:$C$33,3,FALSE),1)</f>
        <v>0.98079741117310582</v>
      </c>
      <c r="BU1312" s="4">
        <f>_xlfn.IFNA(VLOOKUP(Grandview_Inventory[[#This Row],[condition]],Lookups!$A$37:$C$44,3,FALSE),1)</f>
        <v>0.97383723671140243</v>
      </c>
      <c r="BV1312" s="4">
        <f>IF(Grandview_Inventory[[#This Row],[bldg_style]]="",1,_xlfn.IFNA(VLOOKUP(Grandview_Inventory[[#This Row],[decade]],Lookups!$F$29:$H$43,3,FALSE),1))</f>
        <v>0.95244691841736806</v>
      </c>
      <c r="BW1312" s="4">
        <f>_xlfn.IFNA(VLOOKUP(Grandview_Inventory[[#This Row],[living_area_range]],Lookups!$F$47:$H$56,3,FALSE),1)</f>
        <v>0.96120133463014379</v>
      </c>
      <c r="BX1312" s="4">
        <f>AVERAGE(Grandview_Inventory[[#This Row],[qual_adj]:[size_adj]])</f>
        <v>0.96707072523300508</v>
      </c>
      <c r="BY1312" s="6">
        <f>IF(Grandview_Inventory[[#This Row],[pre_res]]&lt;0,0,Grandview_Inventory[[#This Row],[pre_res]]*Grandview_Inventory[[#This Row],[overall_adj]])</f>
        <v>278395.19206204585</v>
      </c>
      <c r="BZ1312" s="6">
        <f>(Grandview_Inventory[[#This Row],[sum_land]]-IF(Grandview_Inventory[[#This Row],[no_utilities]]=1,12000,0))/IF(Grandview_Inventory[[#This Row],[unbuildable]]=1,2,1)</f>
        <v>47528.228511015397</v>
      </c>
      <c r="CA131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12">
        <f>ROUND(Grandview_Inventory[[#This Row],[det_value]]*Lookups!$M$28,-2)</f>
        <v>0</v>
      </c>
      <c r="CC1312">
        <f>IF(ROUND(Grandview_Inventory[[#This Row],[adj_res]]*Lookups!$M$28,-2)&lt;Grandview_Inventory[[#This Row],[min_res]],Grandview_Inventory[[#This Row],[min_res]],ROUND(Grandview_Inventory[[#This Row],[adj_res]]*Lookups!$M$28,-2))</f>
        <v>264500</v>
      </c>
      <c r="CD1312">
        <f>Grandview_Inventory[[#This Row],[final_det]]+Grandview_Inventory[[#This Row],[final_res]]</f>
        <v>264500</v>
      </c>
      <c r="CE1312">
        <f>Grandview_Inventory[[#This Row],[final_land]]+Grandview_Inventory[[#This Row],[final_imp]]+Grandview_Inventory[[#This Row],[crop_value]]</f>
        <v>309700</v>
      </c>
      <c r="CG1312" t="str">
        <f t="shared" si="20"/>
        <v>update valuation set market_land =45200, market_bldg=264500, market_total =309700, market_mdno =401, market_date ='9/10/2023' where link_id = (select link_id from parcel where parcel_year = '2024' and parcel_id = '23092314411');</v>
      </c>
    </row>
    <row r="1313" spans="1:85" x14ac:dyDescent="0.25">
      <c r="A1313">
        <v>23092314412</v>
      </c>
      <c r="B1313">
        <v>0.2</v>
      </c>
      <c r="C1313">
        <v>8505</v>
      </c>
      <c r="D1313" t="s">
        <v>129</v>
      </c>
      <c r="E1313" t="s">
        <v>53</v>
      </c>
      <c r="F1313" t="s">
        <v>53</v>
      </c>
      <c r="G1313">
        <v>4</v>
      </c>
      <c r="H1313" t="s">
        <v>54</v>
      </c>
      <c r="I1313">
        <v>113500</v>
      </c>
      <c r="J1313">
        <v>39700</v>
      </c>
      <c r="K1313">
        <v>0.2</v>
      </c>
      <c r="L131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13">
        <v>0</v>
      </c>
      <c r="N1313">
        <v>0</v>
      </c>
      <c r="O1313">
        <v>0</v>
      </c>
      <c r="P1313">
        <v>13398.7528</v>
      </c>
      <c r="Q1313">
        <v>63903</v>
      </c>
      <c r="R1313">
        <f>(Grandview_Inventory[[#This Row],[ln_acres]]*Grandview_Inventory[[#This Row],[coeff]])+Grandview_Inventory[[#This Row],[const]]</f>
        <v>42338.539264347448</v>
      </c>
      <c r="S1313" t="s">
        <v>85</v>
      </c>
      <c r="T1313">
        <v>1</v>
      </c>
      <c r="U1313" t="s">
        <v>65</v>
      </c>
      <c r="V1313" t="s">
        <v>69</v>
      </c>
      <c r="W1313">
        <v>0</v>
      </c>
      <c r="X1313">
        <v>0</v>
      </c>
      <c r="Y1313">
        <v>55</v>
      </c>
      <c r="Z1313">
        <v>98</v>
      </c>
      <c r="AA1313">
        <v>100</v>
      </c>
      <c r="AB1313">
        <v>1500</v>
      </c>
      <c r="AC1313">
        <v>1034</v>
      </c>
      <c r="AD1313">
        <v>1034</v>
      </c>
      <c r="AE1313">
        <v>0</v>
      </c>
      <c r="AF1313">
        <v>0</v>
      </c>
      <c r="AG1313">
        <v>0</v>
      </c>
      <c r="AH1313">
        <v>464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260</v>
      </c>
      <c r="AP1313">
        <v>5</v>
      </c>
      <c r="AQ1313">
        <v>0</v>
      </c>
      <c r="AR1313">
        <v>0</v>
      </c>
      <c r="AS1313" t="s">
        <v>58</v>
      </c>
      <c r="AT1313">
        <v>1</v>
      </c>
      <c r="AU1313" t="s">
        <v>63</v>
      </c>
      <c r="AV1313" t="s">
        <v>60</v>
      </c>
      <c r="AW1313">
        <v>0</v>
      </c>
      <c r="AX1313">
        <v>2</v>
      </c>
      <c r="AY1313">
        <v>0</v>
      </c>
      <c r="AZ1313">
        <v>3200</v>
      </c>
      <c r="BA1313">
        <v>100</v>
      </c>
      <c r="BB1313">
        <v>100</v>
      </c>
      <c r="BC1313">
        <v>100</v>
      </c>
      <c r="BD1313">
        <v>100</v>
      </c>
      <c r="BE1313">
        <v>1</v>
      </c>
      <c r="BF1313">
        <v>15000</v>
      </c>
      <c r="BG1313">
        <v>1000</v>
      </c>
      <c r="BH1313" s="6">
        <f>Grandview_Inventory[[#This Row],[land_extract]]*Lookups!$B$3</f>
        <v>49167.631333630678</v>
      </c>
      <c r="BI1313" s="6">
        <f>IF(Grandview_Inventory[[#This Row],[bldg_style]]="",0,Lookups!$B$2)</f>
        <v>155833.95000000001</v>
      </c>
      <c r="BJ1313" s="6">
        <f>_xlfn.IFNA(VLOOKUP(Grandview_Inventory[[#This Row],[quality]],Lookups!$H$2:$J$14,3,FALSE),0)</f>
        <v>2251</v>
      </c>
      <c r="BK1313" s="6">
        <f>_xlfn.IFNA(VLOOKUP(Grandview_Inventory[[#This Row],[condition]],Lookups!$H$17:$J$24,3,FALSE),0)</f>
        <v>-4503</v>
      </c>
      <c r="BL1313" s="6">
        <f>Grandview_Inventory[[#This Row],[Eff_Age]]*Lookups!$B$14</f>
        <v>-13154.162999999999</v>
      </c>
      <c r="BM1313" s="6">
        <f>Grandview_Inventory[[#This Row],[living_area]]*Lookups!$B$15</f>
        <v>64501.802002000004</v>
      </c>
      <c r="BN1313" s="6">
        <f>Grandview_Inventory[[#This Row],[Fin BSMT]]*Lookups!$B$16</f>
        <v>0</v>
      </c>
      <c r="BO1313" s="6">
        <f>(Grandview_Inventory[[#This Row],[att_gar]]+Grandview_Inventory[[#This Row],[bltin_gar]])*Lookups!$B$17</f>
        <v>0</v>
      </c>
      <c r="BP1313" s="6">
        <f>Grandview_Inventory[[#This Row],[Plumbing Fixtures]]*Lookups!$B$18</f>
        <v>10052.209000000001</v>
      </c>
      <c r="BQ1313" s="6">
        <f>Grandview_Inventory[[#This Row],[detatched_value]]*Lookups!$B$19</f>
        <v>2709.7763199999999</v>
      </c>
      <c r="BR1313" s="6">
        <f>SUM(Grandview_Inventory[[#This Row],[Intercept]:[det_value]])*Grandview_Inventory[[#This Row],[res_pct]]</f>
        <v>217691.57432200003</v>
      </c>
      <c r="BS1313" s="6">
        <f>Grandview_Inventory[[#This Row],[land_value]]</f>
        <v>49167.631333630678</v>
      </c>
      <c r="BT1313" s="4">
        <f>_xlfn.IFNA(VLOOKUP(Grandview_Inventory[[#This Row],[quality]],Lookups!$A$26:$C$33,3,FALSE),1)</f>
        <v>0.98763855981004833</v>
      </c>
      <c r="BU1313" s="4">
        <f>_xlfn.IFNA(VLOOKUP(Grandview_Inventory[[#This Row],[condition]],Lookups!$A$37:$C$44,3,FALSE),1)</f>
        <v>0.96469275950863709</v>
      </c>
      <c r="BV1313" s="4">
        <f>IF(Grandview_Inventory[[#This Row],[bldg_style]]="",1,_xlfn.IFNA(VLOOKUP(Grandview_Inventory[[#This Row],[decade]],Lookups!$F$29:$H$43,3,FALSE),1))</f>
        <v>0.95244691841736806</v>
      </c>
      <c r="BW1313" s="4">
        <f>_xlfn.IFNA(VLOOKUP(Grandview_Inventory[[#This Row],[living_area_range]],Lookups!$F$47:$H$56,3,FALSE),1)</f>
        <v>0.96135087979789358</v>
      </c>
      <c r="BX1313" s="4">
        <f>AVERAGE(Grandview_Inventory[[#This Row],[qual_adj]:[size_adj]])</f>
        <v>0.96653227938348674</v>
      </c>
      <c r="BY1313" s="6">
        <f>IF(Grandview_Inventory[[#This Row],[pre_res]]&lt;0,0,Grandview_Inventory[[#This Row],[pre_res]]*Grandview_Inventory[[#This Row],[overall_adj]])</f>
        <v>210405.93353202241</v>
      </c>
      <c r="BZ1313" s="6">
        <f>(Grandview_Inventory[[#This Row],[sum_land]]-IF(Grandview_Inventory[[#This Row],[no_utilities]]=1,12000,0))/IF(Grandview_Inventory[[#This Row],[unbuildable]]=1,2,1)</f>
        <v>49167.631333630678</v>
      </c>
      <c r="CA131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13">
        <f>ROUND(Grandview_Inventory[[#This Row],[det_value]]*Lookups!$M$28,-2)</f>
        <v>2600</v>
      </c>
      <c r="CC1313">
        <f>IF(ROUND(Grandview_Inventory[[#This Row],[adj_res]]*Lookups!$M$28,-2)&lt;Grandview_Inventory[[#This Row],[min_res]],Grandview_Inventory[[#This Row],[min_res]],ROUND(Grandview_Inventory[[#This Row],[adj_res]]*Lookups!$M$28,-2))</f>
        <v>199900</v>
      </c>
      <c r="CD1313">
        <f>Grandview_Inventory[[#This Row],[final_det]]+Grandview_Inventory[[#This Row],[final_res]]</f>
        <v>202500</v>
      </c>
      <c r="CE1313">
        <f>Grandview_Inventory[[#This Row],[final_land]]+Grandview_Inventory[[#This Row],[final_imp]]+Grandview_Inventory[[#This Row],[crop_value]]</f>
        <v>249200</v>
      </c>
      <c r="CG1313" t="str">
        <f t="shared" si="20"/>
        <v>update valuation set market_land =46700, market_bldg=202500, market_total =249200, market_mdno =401, market_date ='9/10/2023' where link_id = (select link_id from parcel where parcel_year = '2024' and parcel_id = '23092314412');</v>
      </c>
    </row>
    <row r="1314" spans="1:85" x14ac:dyDescent="0.25">
      <c r="A1314">
        <v>23092314413</v>
      </c>
      <c r="B1314">
        <v>0.19</v>
      </c>
      <c r="C1314">
        <v>8104</v>
      </c>
      <c r="D1314" t="s">
        <v>129</v>
      </c>
      <c r="E1314" t="s">
        <v>53</v>
      </c>
      <c r="F1314" t="s">
        <v>53</v>
      </c>
      <c r="G1314">
        <v>4</v>
      </c>
      <c r="H1314" t="s">
        <v>54</v>
      </c>
      <c r="I1314">
        <v>208100</v>
      </c>
      <c r="J1314">
        <v>43700</v>
      </c>
      <c r="K1314">
        <v>0.19</v>
      </c>
      <c r="L131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314">
        <v>0</v>
      </c>
      <c r="N1314">
        <v>0</v>
      </c>
      <c r="O1314">
        <v>0</v>
      </c>
      <c r="P1314">
        <v>13398.7528</v>
      </c>
      <c r="Q1314">
        <v>63903</v>
      </c>
      <c r="R1314">
        <f>(Grandview_Inventory[[#This Row],[ln_acres]]*Grandview_Inventory[[#This Row],[coeff]])+Grandview_Inventory[[#This Row],[const]]</f>
        <v>41651.273092551026</v>
      </c>
      <c r="S1314" t="s">
        <v>68</v>
      </c>
      <c r="T1314">
        <v>1</v>
      </c>
      <c r="U1314" t="s">
        <v>65</v>
      </c>
      <c r="V1314" t="s">
        <v>69</v>
      </c>
      <c r="W1314">
        <v>0</v>
      </c>
      <c r="X1314">
        <v>0</v>
      </c>
      <c r="Y1314">
        <v>57</v>
      </c>
      <c r="Z1314">
        <v>103</v>
      </c>
      <c r="AA1314">
        <v>110</v>
      </c>
      <c r="AB1314">
        <v>2500</v>
      </c>
      <c r="AC1314">
        <v>2389</v>
      </c>
      <c r="AD1314">
        <v>1364</v>
      </c>
      <c r="AE1314">
        <v>0</v>
      </c>
      <c r="AF1314">
        <v>0</v>
      </c>
      <c r="AG1314">
        <v>1025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30</v>
      </c>
      <c r="AP1314">
        <v>8</v>
      </c>
      <c r="AQ1314">
        <v>0</v>
      </c>
      <c r="AR1314">
        <v>1</v>
      </c>
      <c r="AS1314" t="s">
        <v>58</v>
      </c>
      <c r="AT1314">
        <v>1</v>
      </c>
      <c r="AU1314" t="s">
        <v>59</v>
      </c>
      <c r="AV1314" t="s">
        <v>60</v>
      </c>
      <c r="AW1314">
        <v>1</v>
      </c>
      <c r="AX1314">
        <v>4</v>
      </c>
      <c r="AY1314">
        <v>0</v>
      </c>
      <c r="AZ1314">
        <v>29000</v>
      </c>
      <c r="BA1314">
        <v>100</v>
      </c>
      <c r="BB1314">
        <v>100</v>
      </c>
      <c r="BC1314">
        <v>100</v>
      </c>
      <c r="BD1314">
        <v>100</v>
      </c>
      <c r="BE1314">
        <v>1</v>
      </c>
      <c r="BF1314">
        <v>15000</v>
      </c>
      <c r="BG1314">
        <v>1000</v>
      </c>
      <c r="BH1314" s="6">
        <f>Grandview_Inventory[[#This Row],[land_extract]]*Lookups!$B$3</f>
        <v>48369.510983942157</v>
      </c>
      <c r="BI1314" s="6">
        <f>IF(Grandview_Inventory[[#This Row],[bldg_style]]="",0,Lookups!$B$2)</f>
        <v>155833.95000000001</v>
      </c>
      <c r="BJ1314" s="6">
        <f>_xlfn.IFNA(VLOOKUP(Grandview_Inventory[[#This Row],[quality]],Lookups!$H$2:$J$14,3,FALSE),0)</f>
        <v>2251</v>
      </c>
      <c r="BK1314" s="6">
        <f>_xlfn.IFNA(VLOOKUP(Grandview_Inventory[[#This Row],[condition]],Lookups!$H$17:$J$24,3,FALSE),0)</f>
        <v>-4503</v>
      </c>
      <c r="BL1314" s="6">
        <f>Grandview_Inventory[[#This Row],[Eff_Age]]*Lookups!$B$14</f>
        <v>-13632.4962</v>
      </c>
      <c r="BM1314" s="6">
        <f>Grandview_Inventory[[#This Row],[living_area]]*Lookups!$B$15</f>
        <v>149027.85781700001</v>
      </c>
      <c r="BN1314" s="6">
        <f>Grandview_Inventory[[#This Row],[Fin BSMT]]*Lookups!$B$16</f>
        <v>-27776.721000000001</v>
      </c>
      <c r="BO1314" s="6">
        <f>(Grandview_Inventory[[#This Row],[att_gar]]+Grandview_Inventory[[#This Row],[bltin_gar]])*Lookups!$B$17</f>
        <v>0</v>
      </c>
      <c r="BP1314" s="6">
        <f>Grandview_Inventory[[#This Row],[Plumbing Fixtures]]*Lookups!$B$18</f>
        <v>16083.5344</v>
      </c>
      <c r="BQ1314" s="6">
        <f>Grandview_Inventory[[#This Row],[detatched_value]]*Lookups!$B$19</f>
        <v>24557.347900000001</v>
      </c>
      <c r="BR1314" s="6">
        <f>SUM(Grandview_Inventory[[#This Row],[Intercept]:[det_value]])*Grandview_Inventory[[#This Row],[res_pct]]</f>
        <v>301841.47291700001</v>
      </c>
      <c r="BS1314" s="6">
        <f>Grandview_Inventory[[#This Row],[land_value]]</f>
        <v>48369.510983942157</v>
      </c>
      <c r="BT1314" s="4">
        <f>_xlfn.IFNA(VLOOKUP(Grandview_Inventory[[#This Row],[quality]],Lookups!$A$26:$C$33,3,FALSE),1)</f>
        <v>0.98763855981004833</v>
      </c>
      <c r="BU1314" s="4">
        <f>_xlfn.IFNA(VLOOKUP(Grandview_Inventory[[#This Row],[condition]],Lookups!$A$37:$C$44,3,FALSE),1)</f>
        <v>0.96469275950863709</v>
      </c>
      <c r="BV1314" s="4">
        <f>IF(Grandview_Inventory[[#This Row],[bldg_style]]="",1,_xlfn.IFNA(VLOOKUP(Grandview_Inventory[[#This Row],[decade]],Lookups!$F$29:$H$43,3,FALSE),1))</f>
        <v>0.92255236374249616</v>
      </c>
      <c r="BW1314" s="4">
        <f>_xlfn.IFNA(VLOOKUP(Grandview_Inventory[[#This Row],[living_area_range]],Lookups!$F$47:$H$56,3,FALSE),1)</f>
        <v>0.95799442568048754</v>
      </c>
      <c r="BX1314" s="4">
        <f>AVERAGE(Grandview_Inventory[[#This Row],[qual_adj]:[size_adj]])</f>
        <v>0.95821952718541725</v>
      </c>
      <c r="BY1314" s="6">
        <f>IF(Grandview_Inventory[[#This Row],[pre_res]]&lt;0,0,Grandview_Inventory[[#This Row],[pre_res]]*Grandview_Inventory[[#This Row],[overall_adj]])</f>
        <v>289230.39346347767</v>
      </c>
      <c r="BZ1314" s="6">
        <f>(Grandview_Inventory[[#This Row],[sum_land]]-IF(Grandview_Inventory[[#This Row],[no_utilities]]=1,12000,0))/IF(Grandview_Inventory[[#This Row],[unbuildable]]=1,2,1)</f>
        <v>48369.510983942157</v>
      </c>
      <c r="CA131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314">
        <f>ROUND(Grandview_Inventory[[#This Row],[det_value]]*Lookups!$M$28,-2)</f>
        <v>23300</v>
      </c>
      <c r="CC1314">
        <f>IF(ROUND(Grandview_Inventory[[#This Row],[adj_res]]*Lookups!$M$28,-2)&lt;Grandview_Inventory[[#This Row],[min_res]],Grandview_Inventory[[#This Row],[min_res]],ROUND(Grandview_Inventory[[#This Row],[adj_res]]*Lookups!$M$28,-2))</f>
        <v>274800</v>
      </c>
      <c r="CD1314">
        <f>Grandview_Inventory[[#This Row],[final_det]]+Grandview_Inventory[[#This Row],[final_res]]</f>
        <v>298100</v>
      </c>
      <c r="CE1314">
        <f>Grandview_Inventory[[#This Row],[final_land]]+Grandview_Inventory[[#This Row],[final_imp]]+Grandview_Inventory[[#This Row],[crop_value]]</f>
        <v>344100</v>
      </c>
      <c r="CG1314" t="str">
        <f t="shared" si="20"/>
        <v>update valuation set market_land =46000, market_bldg=298100, market_total =344100, market_mdno =401, market_date ='9/10/2023' where link_id = (select link_id from parcel where parcel_year = '2024' and parcel_id = '23092314413');</v>
      </c>
    </row>
    <row r="1315" spans="1:85" x14ac:dyDescent="0.25">
      <c r="A1315">
        <v>23092314414</v>
      </c>
      <c r="B1315">
        <v>0.16</v>
      </c>
      <c r="C1315">
        <v>7016</v>
      </c>
      <c r="D1315" t="s">
        <v>129</v>
      </c>
      <c r="E1315" t="s">
        <v>53</v>
      </c>
      <c r="F1315" t="s">
        <v>53</v>
      </c>
      <c r="G1315">
        <v>4</v>
      </c>
      <c r="H1315" t="s">
        <v>54</v>
      </c>
      <c r="I1315">
        <v>156000</v>
      </c>
      <c r="J1315">
        <v>43500</v>
      </c>
      <c r="K1315">
        <v>0.16</v>
      </c>
      <c r="L131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15">
        <v>0</v>
      </c>
      <c r="N1315">
        <v>0</v>
      </c>
      <c r="O1315">
        <v>0</v>
      </c>
      <c r="P1315">
        <v>13398.7528</v>
      </c>
      <c r="Q1315">
        <v>63903</v>
      </c>
      <c r="R1315">
        <f>(Grandview_Inventory[[#This Row],[ln_acres]]*Grandview_Inventory[[#This Row],[coeff]])+Grandview_Inventory[[#This Row],[const]]</f>
        <v>39348.693981374228</v>
      </c>
      <c r="S1315" t="s">
        <v>85</v>
      </c>
      <c r="T1315">
        <v>1</v>
      </c>
      <c r="U1315" t="s">
        <v>65</v>
      </c>
      <c r="V1315" t="s">
        <v>67</v>
      </c>
      <c r="W1315">
        <v>0</v>
      </c>
      <c r="X1315">
        <v>0</v>
      </c>
      <c r="Y1315">
        <v>57</v>
      </c>
      <c r="Z1315">
        <v>103</v>
      </c>
      <c r="AA1315">
        <v>110</v>
      </c>
      <c r="AB1315">
        <v>1500</v>
      </c>
      <c r="AC1315">
        <v>1046</v>
      </c>
      <c r="AD1315">
        <v>1046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140</v>
      </c>
      <c r="AN1315">
        <v>132</v>
      </c>
      <c r="AO1315">
        <v>0</v>
      </c>
      <c r="AP1315">
        <v>5</v>
      </c>
      <c r="AQ1315">
        <v>0</v>
      </c>
      <c r="AR1315">
        <v>0</v>
      </c>
      <c r="AS1315" t="s">
        <v>58</v>
      </c>
      <c r="AT1315">
        <v>1</v>
      </c>
      <c r="AU1315" t="s">
        <v>63</v>
      </c>
      <c r="AV1315" t="s">
        <v>64</v>
      </c>
      <c r="AW1315">
        <v>1</v>
      </c>
      <c r="AX1315">
        <v>2</v>
      </c>
      <c r="AY1315">
        <v>0</v>
      </c>
      <c r="AZ1315">
        <v>2600</v>
      </c>
      <c r="BA1315">
        <v>100</v>
      </c>
      <c r="BB1315">
        <v>100</v>
      </c>
      <c r="BC1315">
        <v>100</v>
      </c>
      <c r="BD1315">
        <v>100</v>
      </c>
      <c r="BE1315">
        <v>1</v>
      </c>
      <c r="BF1315">
        <v>15000</v>
      </c>
      <c r="BG1315">
        <v>1000</v>
      </c>
      <c r="BH1315" s="6">
        <f>Grandview_Inventory[[#This Row],[land_extract]]*Lookups!$B$3</f>
        <v>45695.532079096141</v>
      </c>
      <c r="BI1315" s="6">
        <f>IF(Grandview_Inventory[[#This Row],[bldg_style]]="",0,Lookups!$B$2)</f>
        <v>155833.95000000001</v>
      </c>
      <c r="BJ1315" s="6">
        <f>_xlfn.IFNA(VLOOKUP(Grandview_Inventory[[#This Row],[quality]],Lookups!$H$2:$J$14,3,FALSE),0)</f>
        <v>2251</v>
      </c>
      <c r="BK1315" s="6">
        <f>_xlfn.IFNA(VLOOKUP(Grandview_Inventory[[#This Row],[condition]],Lookups!$H$17:$J$24,3,FALSE),0)</f>
        <v>22342</v>
      </c>
      <c r="BL1315" s="6">
        <f>Grandview_Inventory[[#This Row],[Eff_Age]]*Lookups!$B$14</f>
        <v>-13632.4962</v>
      </c>
      <c r="BM1315" s="6">
        <f>Grandview_Inventory[[#This Row],[living_area]]*Lookups!$B$15</f>
        <v>65250.372238000004</v>
      </c>
      <c r="BN1315" s="6">
        <f>Grandview_Inventory[[#This Row],[Fin BSMT]]*Lookups!$B$16</f>
        <v>0</v>
      </c>
      <c r="BO1315" s="6">
        <f>(Grandview_Inventory[[#This Row],[att_gar]]+Grandview_Inventory[[#This Row],[bltin_gar]])*Lookups!$B$17</f>
        <v>0</v>
      </c>
      <c r="BP1315" s="6">
        <f>Grandview_Inventory[[#This Row],[Plumbing Fixtures]]*Lookups!$B$18</f>
        <v>10052.209000000001</v>
      </c>
      <c r="BQ1315" s="6">
        <f>Grandview_Inventory[[#This Row],[detatched_value]]*Lookups!$B$19</f>
        <v>2201.69326</v>
      </c>
      <c r="BR1315" s="6">
        <f>SUM(Grandview_Inventory[[#This Row],[Intercept]:[det_value]])*Grandview_Inventory[[#This Row],[res_pct]]</f>
        <v>244298.72829800003</v>
      </c>
      <c r="BS1315" s="6">
        <f>Grandview_Inventory[[#This Row],[land_value]]</f>
        <v>45695.532079096141</v>
      </c>
      <c r="BT1315" s="4">
        <f>_xlfn.IFNA(VLOOKUP(Grandview_Inventory[[#This Row],[quality]],Lookups!$A$26:$C$33,3,FALSE),1)</f>
        <v>0.98763855981004833</v>
      </c>
      <c r="BU1315" s="4">
        <f>_xlfn.IFNA(VLOOKUP(Grandview_Inventory[[#This Row],[condition]],Lookups!$A$37:$C$44,3,FALSE),1)</f>
        <v>0.97383723671140243</v>
      </c>
      <c r="BV1315" s="4">
        <f>IF(Grandview_Inventory[[#This Row],[bldg_style]]="",1,_xlfn.IFNA(VLOOKUP(Grandview_Inventory[[#This Row],[decade]],Lookups!$F$29:$H$43,3,FALSE),1))</f>
        <v>0.92255236374249616</v>
      </c>
      <c r="BW1315" s="4">
        <f>_xlfn.IFNA(VLOOKUP(Grandview_Inventory[[#This Row],[living_area_range]],Lookups!$F$47:$H$56,3,FALSE),1)</f>
        <v>0.96135087979789358</v>
      </c>
      <c r="BX1315" s="4">
        <f>AVERAGE(Grandview_Inventory[[#This Row],[qual_adj]:[size_adj]])</f>
        <v>0.9613447600154601</v>
      </c>
      <c r="BY1315" s="6">
        <f>IF(Grandview_Inventory[[#This Row],[pre_res]]&lt;0,0,Grandview_Inventory[[#This Row],[pre_res]]*Grandview_Inventory[[#This Row],[overall_adj]])</f>
        <v>234855.30232772292</v>
      </c>
      <c r="BZ1315" s="6">
        <f>(Grandview_Inventory[[#This Row],[sum_land]]-IF(Grandview_Inventory[[#This Row],[no_utilities]]=1,12000,0))/IF(Grandview_Inventory[[#This Row],[unbuildable]]=1,2,1)</f>
        <v>45695.532079096141</v>
      </c>
      <c r="CA131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15">
        <f>ROUND(Grandview_Inventory[[#This Row],[det_value]]*Lookups!$M$28,-2)</f>
        <v>2100</v>
      </c>
      <c r="CC1315">
        <f>IF(ROUND(Grandview_Inventory[[#This Row],[adj_res]]*Lookups!$M$28,-2)&lt;Grandview_Inventory[[#This Row],[min_res]],Grandview_Inventory[[#This Row],[min_res]],ROUND(Grandview_Inventory[[#This Row],[adj_res]]*Lookups!$M$28,-2))</f>
        <v>223100</v>
      </c>
      <c r="CD1315">
        <f>Grandview_Inventory[[#This Row],[final_det]]+Grandview_Inventory[[#This Row],[final_res]]</f>
        <v>225200</v>
      </c>
      <c r="CE1315">
        <f>Grandview_Inventory[[#This Row],[final_land]]+Grandview_Inventory[[#This Row],[final_imp]]+Grandview_Inventory[[#This Row],[crop_value]]</f>
        <v>268600</v>
      </c>
      <c r="CG1315" t="str">
        <f t="shared" si="20"/>
        <v>update valuation set market_land =43400, market_bldg=225200, market_total =268600, market_mdno =401, market_date ='9/10/2023' where link_id = (select link_id from parcel where parcel_year = '2024' and parcel_id = '23092314414');</v>
      </c>
    </row>
    <row r="1316" spans="1:85" x14ac:dyDescent="0.25">
      <c r="A1316">
        <v>23092314415</v>
      </c>
      <c r="B1316">
        <v>0.16</v>
      </c>
      <c r="C1316">
        <v>7149</v>
      </c>
      <c r="D1316" t="s">
        <v>129</v>
      </c>
      <c r="E1316" t="s">
        <v>53</v>
      </c>
      <c r="F1316" t="s">
        <v>53</v>
      </c>
      <c r="G1316">
        <v>4</v>
      </c>
      <c r="H1316" t="s">
        <v>54</v>
      </c>
      <c r="I1316">
        <v>103400</v>
      </c>
      <c r="J1316">
        <v>39100</v>
      </c>
      <c r="K1316">
        <v>0.16</v>
      </c>
      <c r="L131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16">
        <v>0</v>
      </c>
      <c r="N1316">
        <v>0</v>
      </c>
      <c r="O1316">
        <v>0</v>
      </c>
      <c r="P1316">
        <v>13398.7528</v>
      </c>
      <c r="Q1316">
        <v>63903</v>
      </c>
      <c r="R1316">
        <f>(Grandview_Inventory[[#This Row],[ln_acres]]*Grandview_Inventory[[#This Row],[coeff]])+Grandview_Inventory[[#This Row],[const]]</f>
        <v>39348.693981374228</v>
      </c>
      <c r="S1316" t="s">
        <v>55</v>
      </c>
      <c r="T1316">
        <v>2</v>
      </c>
      <c r="U1316" t="s">
        <v>70</v>
      </c>
      <c r="V1316" t="s">
        <v>67</v>
      </c>
      <c r="W1316">
        <v>0</v>
      </c>
      <c r="X1316">
        <v>0</v>
      </c>
      <c r="Y1316">
        <v>64</v>
      </c>
      <c r="Z1316">
        <v>112</v>
      </c>
      <c r="AA1316">
        <v>120</v>
      </c>
      <c r="AB1316">
        <v>2000</v>
      </c>
      <c r="AC1316">
        <v>1557</v>
      </c>
      <c r="AD1316">
        <v>1179</v>
      </c>
      <c r="AE1316">
        <v>378</v>
      </c>
      <c r="AF1316">
        <v>0</v>
      </c>
      <c r="AG1316">
        <v>0</v>
      </c>
      <c r="AH1316">
        <v>298</v>
      </c>
      <c r="AI1316">
        <v>0</v>
      </c>
      <c r="AJ1316">
        <v>0</v>
      </c>
      <c r="AK1316">
        <v>0</v>
      </c>
      <c r="AL1316">
        <v>0</v>
      </c>
      <c r="AM1316">
        <v>274</v>
      </c>
      <c r="AN1316">
        <v>77</v>
      </c>
      <c r="AO1316">
        <v>274</v>
      </c>
      <c r="AP1316">
        <v>7</v>
      </c>
      <c r="AQ1316">
        <v>0</v>
      </c>
      <c r="AR1316">
        <v>0</v>
      </c>
      <c r="AS1316" t="s">
        <v>58</v>
      </c>
      <c r="AT1316">
        <v>1</v>
      </c>
      <c r="AU1316" t="s">
        <v>75</v>
      </c>
      <c r="AV1316" t="s">
        <v>60</v>
      </c>
      <c r="AW1316">
        <v>0</v>
      </c>
      <c r="AX1316">
        <v>2</v>
      </c>
      <c r="AY1316">
        <v>0</v>
      </c>
      <c r="AZ1316">
        <v>3400</v>
      </c>
      <c r="BA1316">
        <v>100</v>
      </c>
      <c r="BB1316">
        <v>100</v>
      </c>
      <c r="BC1316">
        <v>100</v>
      </c>
      <c r="BD1316">
        <v>100</v>
      </c>
      <c r="BE1316">
        <v>1</v>
      </c>
      <c r="BF1316">
        <v>15000</v>
      </c>
      <c r="BG1316">
        <v>1000</v>
      </c>
      <c r="BH1316" s="6">
        <f>Grandview_Inventory[[#This Row],[land_extract]]*Lookups!$B$3</f>
        <v>45695.532079096141</v>
      </c>
      <c r="BI1316" s="6">
        <f>IF(Grandview_Inventory[[#This Row],[bldg_style]]="",0,Lookups!$B$2)</f>
        <v>155833.95000000001</v>
      </c>
      <c r="BJ1316" s="6">
        <f>_xlfn.IFNA(VLOOKUP(Grandview_Inventory[[#This Row],[quality]],Lookups!$H$2:$J$14,3,FALSE),0)</f>
        <v>10733</v>
      </c>
      <c r="BK1316" s="6">
        <f>_xlfn.IFNA(VLOOKUP(Grandview_Inventory[[#This Row],[condition]],Lookups!$H$17:$J$24,3,FALSE),0)</f>
        <v>22342</v>
      </c>
      <c r="BL1316" s="6">
        <f>Grandview_Inventory[[#This Row],[Eff_Age]]*Lookups!$B$14</f>
        <v>-15306.662399999999</v>
      </c>
      <c r="BM1316" s="6">
        <f>Grandview_Inventory[[#This Row],[living_area]]*Lookups!$B$15</f>
        <v>97126.988121000002</v>
      </c>
      <c r="BN1316" s="6">
        <f>Grandview_Inventory[[#This Row],[Fin BSMT]]*Lookups!$B$16</f>
        <v>0</v>
      </c>
      <c r="BO1316" s="6">
        <f>(Grandview_Inventory[[#This Row],[att_gar]]+Grandview_Inventory[[#This Row],[bltin_gar]])*Lookups!$B$17</f>
        <v>0</v>
      </c>
      <c r="BP1316" s="6">
        <f>Grandview_Inventory[[#This Row],[Plumbing Fixtures]]*Lookups!$B$18</f>
        <v>14073.0926</v>
      </c>
      <c r="BQ1316" s="6">
        <f>Grandview_Inventory[[#This Row],[detatched_value]]*Lookups!$B$19</f>
        <v>2879.1373399999998</v>
      </c>
      <c r="BR1316" s="6">
        <f>SUM(Grandview_Inventory[[#This Row],[Intercept]:[det_value]])*Grandview_Inventory[[#This Row],[res_pct]]</f>
        <v>287681.50566100003</v>
      </c>
      <c r="BS1316" s="6">
        <f>Grandview_Inventory[[#This Row],[land_value]]</f>
        <v>45695.532079096141</v>
      </c>
      <c r="BT1316" s="4">
        <f>_xlfn.IFNA(VLOOKUP(Grandview_Inventory[[#This Row],[quality]],Lookups!$A$26:$C$33,3,FALSE),1)</f>
        <v>0.98079741117310582</v>
      </c>
      <c r="BU1316" s="4">
        <f>_xlfn.IFNA(VLOOKUP(Grandview_Inventory[[#This Row],[condition]],Lookups!$A$37:$C$44,3,FALSE),1)</f>
        <v>0.97383723671140243</v>
      </c>
      <c r="BV1316" s="4">
        <f>IF(Grandview_Inventory[[#This Row],[bldg_style]]="",1,_xlfn.IFNA(VLOOKUP(Grandview_Inventory[[#This Row],[decade]],Lookups!$F$29:$H$43,3,FALSE),1))</f>
        <v>0.9251738460551937</v>
      </c>
      <c r="BW1316" s="4">
        <f>_xlfn.IFNA(VLOOKUP(Grandview_Inventory[[#This Row],[living_area_range]],Lookups!$F$47:$H$56,3,FALSE),1)</f>
        <v>0.96120133463014379</v>
      </c>
      <c r="BX1316" s="4">
        <f>AVERAGE(Grandview_Inventory[[#This Row],[qual_adj]:[size_adj]])</f>
        <v>0.96025245714246155</v>
      </c>
      <c r="BY1316" s="6">
        <f>IF(Grandview_Inventory[[#This Row],[pre_res]]&lt;0,0,Grandview_Inventory[[#This Row],[pre_res]]*Grandview_Inventory[[#This Row],[overall_adj]])</f>
        <v>276246.87268541823</v>
      </c>
      <c r="BZ1316" s="6">
        <f>(Grandview_Inventory[[#This Row],[sum_land]]-IF(Grandview_Inventory[[#This Row],[no_utilities]]=1,12000,0))/IF(Grandview_Inventory[[#This Row],[unbuildable]]=1,2,1)</f>
        <v>45695.532079096141</v>
      </c>
      <c r="CA131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16">
        <f>ROUND(Grandview_Inventory[[#This Row],[det_value]]*Lookups!$M$28,-2)</f>
        <v>2700</v>
      </c>
      <c r="CC1316">
        <f>IF(ROUND(Grandview_Inventory[[#This Row],[adj_res]]*Lookups!$M$28,-2)&lt;Grandview_Inventory[[#This Row],[min_res]],Grandview_Inventory[[#This Row],[min_res]],ROUND(Grandview_Inventory[[#This Row],[adj_res]]*Lookups!$M$28,-2))</f>
        <v>262400</v>
      </c>
      <c r="CD1316">
        <f>Grandview_Inventory[[#This Row],[final_det]]+Grandview_Inventory[[#This Row],[final_res]]</f>
        <v>265100</v>
      </c>
      <c r="CE1316">
        <f>Grandview_Inventory[[#This Row],[final_land]]+Grandview_Inventory[[#This Row],[final_imp]]+Grandview_Inventory[[#This Row],[crop_value]]</f>
        <v>308500</v>
      </c>
      <c r="CG1316" t="str">
        <f t="shared" si="20"/>
        <v>update valuation set market_land =43400, market_bldg=265100, market_total =308500, market_mdno =401, market_date ='9/10/2023' where link_id = (select link_id from parcel where parcel_year = '2024' and parcel_id = '23092314415');</v>
      </c>
    </row>
    <row r="1317" spans="1:85" x14ac:dyDescent="0.25">
      <c r="A1317">
        <v>23092314416</v>
      </c>
      <c r="B1317">
        <v>0.15</v>
      </c>
      <c r="C1317">
        <v>6738</v>
      </c>
      <c r="D1317" t="s">
        <v>129</v>
      </c>
      <c r="E1317" t="s">
        <v>53</v>
      </c>
      <c r="F1317" t="s">
        <v>53</v>
      </c>
      <c r="G1317">
        <v>4</v>
      </c>
      <c r="H1317" t="s">
        <v>54</v>
      </c>
      <c r="I1317">
        <v>183100</v>
      </c>
      <c r="J1317">
        <v>39000</v>
      </c>
      <c r="K1317">
        <v>0.15</v>
      </c>
      <c r="L131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17">
        <v>0</v>
      </c>
      <c r="N1317">
        <v>0</v>
      </c>
      <c r="O1317">
        <v>0</v>
      </c>
      <c r="P1317">
        <v>13398.7528</v>
      </c>
      <c r="Q1317">
        <v>63903</v>
      </c>
      <c r="R1317">
        <f>(Grandview_Inventory[[#This Row],[ln_acres]]*Grandview_Inventory[[#This Row],[coeff]])+Grandview_Inventory[[#This Row],[const]]</f>
        <v>38483.958290574345</v>
      </c>
      <c r="S1317" t="s">
        <v>55</v>
      </c>
      <c r="T1317">
        <v>2</v>
      </c>
      <c r="U1317" t="s">
        <v>65</v>
      </c>
      <c r="V1317" t="s">
        <v>78</v>
      </c>
      <c r="W1317">
        <v>0</v>
      </c>
      <c r="X1317">
        <v>0</v>
      </c>
      <c r="Y1317">
        <v>64</v>
      </c>
      <c r="Z1317">
        <v>112</v>
      </c>
      <c r="AA1317">
        <v>120</v>
      </c>
      <c r="AB1317">
        <v>2500</v>
      </c>
      <c r="AC1317">
        <v>2344</v>
      </c>
      <c r="AD1317">
        <v>1632</v>
      </c>
      <c r="AE1317">
        <v>300</v>
      </c>
      <c r="AF1317">
        <v>0</v>
      </c>
      <c r="AG1317">
        <v>412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294</v>
      </c>
      <c r="AN1317">
        <v>32</v>
      </c>
      <c r="AO1317">
        <v>294</v>
      </c>
      <c r="AP1317">
        <v>8</v>
      </c>
      <c r="AQ1317">
        <v>0</v>
      </c>
      <c r="AR1317">
        <v>1</v>
      </c>
      <c r="AS1317" t="s">
        <v>58</v>
      </c>
      <c r="AT1317">
        <v>1</v>
      </c>
      <c r="AU1317" t="s">
        <v>59</v>
      </c>
      <c r="AV1317" t="s">
        <v>60</v>
      </c>
      <c r="AW1317">
        <v>1</v>
      </c>
      <c r="AX1317">
        <v>4</v>
      </c>
      <c r="AY1317">
        <v>0</v>
      </c>
      <c r="AZ1317">
        <v>5400</v>
      </c>
      <c r="BA1317">
        <v>100</v>
      </c>
      <c r="BB1317">
        <v>100</v>
      </c>
      <c r="BC1317">
        <v>100</v>
      </c>
      <c r="BD1317">
        <v>100</v>
      </c>
      <c r="BE1317">
        <v>1</v>
      </c>
      <c r="BF1317">
        <v>15000</v>
      </c>
      <c r="BG1317">
        <v>1000</v>
      </c>
      <c r="BH1317" s="6">
        <f>Grandview_Inventory[[#This Row],[land_extract]]*Lookups!$B$3</f>
        <v>44691.316856156598</v>
      </c>
      <c r="BI1317" s="6">
        <f>IF(Grandview_Inventory[[#This Row],[bldg_style]]="",0,Lookups!$B$2)</f>
        <v>155833.95000000001</v>
      </c>
      <c r="BJ1317" s="6">
        <f>_xlfn.IFNA(VLOOKUP(Grandview_Inventory[[#This Row],[quality]],Lookups!$H$2:$J$14,3,FALSE),0)</f>
        <v>2251</v>
      </c>
      <c r="BK1317" s="6">
        <f>_xlfn.IFNA(VLOOKUP(Grandview_Inventory[[#This Row],[condition]],Lookups!$H$17:$J$24,3,FALSE),0)</f>
        <v>-45357</v>
      </c>
      <c r="BL1317" s="6">
        <f>Grandview_Inventory[[#This Row],[Eff_Age]]*Lookups!$B$14</f>
        <v>-15306.662399999999</v>
      </c>
      <c r="BM1317" s="6">
        <f>Grandview_Inventory[[#This Row],[living_area]]*Lookups!$B$15</f>
        <v>146220.71943200001</v>
      </c>
      <c r="BN1317" s="6">
        <f>Grandview_Inventory[[#This Row],[Fin BSMT]]*Lookups!$B$16</f>
        <v>-11164.88688</v>
      </c>
      <c r="BO1317" s="6">
        <f>(Grandview_Inventory[[#This Row],[att_gar]]+Grandview_Inventory[[#This Row],[bltin_gar]])*Lookups!$B$17</f>
        <v>0</v>
      </c>
      <c r="BP1317" s="6">
        <f>Grandview_Inventory[[#This Row],[Plumbing Fixtures]]*Lookups!$B$18</f>
        <v>16083.5344</v>
      </c>
      <c r="BQ1317" s="6">
        <f>Grandview_Inventory[[#This Row],[detatched_value]]*Lookups!$B$19</f>
        <v>4572.7475400000003</v>
      </c>
      <c r="BR1317" s="6">
        <f>SUM(Grandview_Inventory[[#This Row],[Intercept]:[det_value]])*Grandview_Inventory[[#This Row],[res_pct]]</f>
        <v>253133.40209200003</v>
      </c>
      <c r="BS1317" s="6">
        <f>Grandview_Inventory[[#This Row],[land_value]]</f>
        <v>44691.316856156598</v>
      </c>
      <c r="BT1317" s="4">
        <f>_xlfn.IFNA(VLOOKUP(Grandview_Inventory[[#This Row],[quality]],Lookups!$A$26:$C$33,3,FALSE),1)</f>
        <v>0.98763855981004833</v>
      </c>
      <c r="BU1317" s="4">
        <f>_xlfn.IFNA(VLOOKUP(Grandview_Inventory[[#This Row],[condition]],Lookups!$A$37:$C$44,3,FALSE),1)</f>
        <v>0.97161819570155394</v>
      </c>
      <c r="BV1317" s="4">
        <f>IF(Grandview_Inventory[[#This Row],[bldg_style]]="",1,_xlfn.IFNA(VLOOKUP(Grandview_Inventory[[#This Row],[decade]],Lookups!$F$29:$H$43,3,FALSE),1))</f>
        <v>0.9251738460551937</v>
      </c>
      <c r="BW1317" s="4">
        <f>_xlfn.IFNA(VLOOKUP(Grandview_Inventory[[#This Row],[living_area_range]],Lookups!$F$47:$H$56,3,FALSE),1)</f>
        <v>0.95799442568048754</v>
      </c>
      <c r="BX1317" s="4">
        <f>AVERAGE(Grandview_Inventory[[#This Row],[qual_adj]:[size_adj]])</f>
        <v>0.96060625681182088</v>
      </c>
      <c r="BY1317" s="6">
        <f>IF(Grandview_Inventory[[#This Row],[pre_res]]&lt;0,0,Grandview_Inventory[[#This Row],[pre_res]]*Grandview_Inventory[[#This Row],[overall_adj]])</f>
        <v>243161.52985763771</v>
      </c>
      <c r="BZ1317" s="6">
        <f>(Grandview_Inventory[[#This Row],[sum_land]]-IF(Grandview_Inventory[[#This Row],[no_utilities]]=1,12000,0))/IF(Grandview_Inventory[[#This Row],[unbuildable]]=1,2,1)</f>
        <v>44691.316856156598</v>
      </c>
      <c r="CA131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17">
        <f>ROUND(Grandview_Inventory[[#This Row],[det_value]]*Lookups!$M$28,-2)</f>
        <v>4300</v>
      </c>
      <c r="CC1317">
        <f>IF(ROUND(Grandview_Inventory[[#This Row],[adj_res]]*Lookups!$M$28,-2)&lt;Grandview_Inventory[[#This Row],[min_res]],Grandview_Inventory[[#This Row],[min_res]],ROUND(Grandview_Inventory[[#This Row],[adj_res]]*Lookups!$M$28,-2))</f>
        <v>231000</v>
      </c>
      <c r="CD1317">
        <f>Grandview_Inventory[[#This Row],[final_det]]+Grandview_Inventory[[#This Row],[final_res]]</f>
        <v>235300</v>
      </c>
      <c r="CE1317">
        <f>Grandview_Inventory[[#This Row],[final_land]]+Grandview_Inventory[[#This Row],[final_imp]]+Grandview_Inventory[[#This Row],[crop_value]]</f>
        <v>277800</v>
      </c>
      <c r="CG1317" t="str">
        <f t="shared" si="20"/>
        <v>update valuation set market_land =42500, market_bldg=235300, market_total =277800, market_mdno =401, market_date ='9/10/2023' where link_id = (select link_id from parcel where parcel_year = '2024' and parcel_id = '23092314416');</v>
      </c>
    </row>
    <row r="1318" spans="1:85" x14ac:dyDescent="0.25">
      <c r="A1318">
        <v>23092314418</v>
      </c>
      <c r="B1318">
        <v>0.16</v>
      </c>
      <c r="C1318">
        <v>7044</v>
      </c>
      <c r="D1318" t="s">
        <v>129</v>
      </c>
      <c r="E1318" t="s">
        <v>53</v>
      </c>
      <c r="F1318" t="s">
        <v>53</v>
      </c>
      <c r="G1318">
        <v>4</v>
      </c>
      <c r="H1318" t="s">
        <v>54</v>
      </c>
      <c r="I1318">
        <v>112300</v>
      </c>
      <c r="J1318">
        <v>39100</v>
      </c>
      <c r="K1318">
        <v>0.16</v>
      </c>
      <c r="L131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18">
        <v>0</v>
      </c>
      <c r="N1318">
        <v>0</v>
      </c>
      <c r="O1318">
        <v>0</v>
      </c>
      <c r="P1318">
        <v>13398.7528</v>
      </c>
      <c r="Q1318">
        <v>63903</v>
      </c>
      <c r="R1318">
        <f>(Grandview_Inventory[[#This Row],[ln_acres]]*Grandview_Inventory[[#This Row],[coeff]])+Grandview_Inventory[[#This Row],[const]]</f>
        <v>39348.693981374228</v>
      </c>
      <c r="S1318" t="s">
        <v>68</v>
      </c>
      <c r="T1318">
        <v>1</v>
      </c>
      <c r="U1318" t="s">
        <v>70</v>
      </c>
      <c r="V1318" t="s">
        <v>78</v>
      </c>
      <c r="W1318">
        <v>0</v>
      </c>
      <c r="X1318">
        <v>0</v>
      </c>
      <c r="Y1318">
        <v>50</v>
      </c>
      <c r="Z1318">
        <v>76</v>
      </c>
      <c r="AA1318">
        <v>80</v>
      </c>
      <c r="AB1318">
        <v>1000</v>
      </c>
      <c r="AC1318">
        <v>936</v>
      </c>
      <c r="AD1318">
        <v>936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768</v>
      </c>
      <c r="AL1318">
        <v>0</v>
      </c>
      <c r="AM1318">
        <v>0</v>
      </c>
      <c r="AN1318">
        <v>0</v>
      </c>
      <c r="AO1318">
        <v>0</v>
      </c>
      <c r="AP1318">
        <v>5</v>
      </c>
      <c r="AQ1318">
        <v>0</v>
      </c>
      <c r="AR1318">
        <v>0</v>
      </c>
      <c r="AS1318" t="s">
        <v>58</v>
      </c>
      <c r="AT1318">
        <v>1</v>
      </c>
      <c r="AU1318" t="s">
        <v>63</v>
      </c>
      <c r="AV1318" t="s">
        <v>64</v>
      </c>
      <c r="AW1318">
        <v>0</v>
      </c>
      <c r="AX1318">
        <v>3</v>
      </c>
      <c r="AY1318">
        <v>0</v>
      </c>
      <c r="AZ1318">
        <v>5300</v>
      </c>
      <c r="BA1318">
        <v>100</v>
      </c>
      <c r="BB1318">
        <v>100</v>
      </c>
      <c r="BC1318">
        <v>100</v>
      </c>
      <c r="BD1318">
        <v>100</v>
      </c>
      <c r="BE1318">
        <v>1</v>
      </c>
      <c r="BF1318">
        <v>15000</v>
      </c>
      <c r="BG1318">
        <v>1000</v>
      </c>
      <c r="BH1318" s="6">
        <f>Grandview_Inventory[[#This Row],[land_extract]]*Lookups!$B$3</f>
        <v>45695.532079096141</v>
      </c>
      <c r="BI1318" s="6">
        <f>IF(Grandview_Inventory[[#This Row],[bldg_style]]="",0,Lookups!$B$2)</f>
        <v>155833.95000000001</v>
      </c>
      <c r="BJ1318" s="6">
        <f>_xlfn.IFNA(VLOOKUP(Grandview_Inventory[[#This Row],[quality]],Lookups!$H$2:$J$14,3,FALSE),0)</f>
        <v>10733</v>
      </c>
      <c r="BK1318" s="6">
        <f>_xlfn.IFNA(VLOOKUP(Grandview_Inventory[[#This Row],[condition]],Lookups!$H$17:$J$24,3,FALSE),0)</f>
        <v>-45357</v>
      </c>
      <c r="BL1318" s="6">
        <f>Grandview_Inventory[[#This Row],[Eff_Age]]*Lookups!$B$14</f>
        <v>-11958.33</v>
      </c>
      <c r="BM1318" s="6">
        <f>Grandview_Inventory[[#This Row],[living_area]]*Lookups!$B$15</f>
        <v>58388.478408000003</v>
      </c>
      <c r="BN1318" s="6">
        <f>Grandview_Inventory[[#This Row],[Fin BSMT]]*Lookups!$B$16</f>
        <v>0</v>
      </c>
      <c r="BO1318" s="6">
        <f>(Grandview_Inventory[[#This Row],[att_gar]]+Grandview_Inventory[[#This Row],[bltin_gar]])*Lookups!$B$17</f>
        <v>0</v>
      </c>
      <c r="BP1318" s="6">
        <f>Grandview_Inventory[[#This Row],[Plumbing Fixtures]]*Lookups!$B$18</f>
        <v>10052.209000000001</v>
      </c>
      <c r="BQ1318" s="6">
        <f>Grandview_Inventory[[#This Row],[detatched_value]]*Lookups!$B$19</f>
        <v>4488.0670300000002</v>
      </c>
      <c r="BR1318" s="6">
        <f>SUM(Grandview_Inventory[[#This Row],[Intercept]:[det_value]])*Grandview_Inventory[[#This Row],[res_pct]]</f>
        <v>182180.37443800003</v>
      </c>
      <c r="BS1318" s="6">
        <f>Grandview_Inventory[[#This Row],[land_value]]</f>
        <v>45695.532079096141</v>
      </c>
      <c r="BT1318" s="4">
        <f>_xlfn.IFNA(VLOOKUP(Grandview_Inventory[[#This Row],[quality]],Lookups!$A$26:$C$33,3,FALSE),1)</f>
        <v>0.98079741117310582</v>
      </c>
      <c r="BU1318" s="4">
        <f>_xlfn.IFNA(VLOOKUP(Grandview_Inventory[[#This Row],[condition]],Lookups!$A$37:$C$44,3,FALSE),1)</f>
        <v>0.97161819570155394</v>
      </c>
      <c r="BV1318" s="4">
        <f>IF(Grandview_Inventory[[#This Row],[bldg_style]]="",1,_xlfn.IFNA(VLOOKUP(Grandview_Inventory[[#This Row],[decade]],Lookups!$F$29:$H$43,3,FALSE),1))</f>
        <v>0.98763256963907298</v>
      </c>
      <c r="BW1318" s="4">
        <f>_xlfn.IFNA(VLOOKUP(Grandview_Inventory[[#This Row],[living_area_range]],Lookups!$F$47:$H$56,3,FALSE),1)</f>
        <v>0.94306777142782894</v>
      </c>
      <c r="BX1318" s="4">
        <f>AVERAGE(Grandview_Inventory[[#This Row],[qual_adj]:[size_adj]])</f>
        <v>0.97077898698539034</v>
      </c>
      <c r="BY1318" s="6">
        <f>IF(Grandview_Inventory[[#This Row],[pre_res]]&lt;0,0,Grandview_Inventory[[#This Row],[pre_res]]*Grandview_Inventory[[#This Row],[overall_adj]])</f>
        <v>176856.87934554077</v>
      </c>
      <c r="BZ1318" s="6">
        <f>(Grandview_Inventory[[#This Row],[sum_land]]-IF(Grandview_Inventory[[#This Row],[no_utilities]]=1,12000,0))/IF(Grandview_Inventory[[#This Row],[unbuildable]]=1,2,1)</f>
        <v>45695.532079096141</v>
      </c>
      <c r="CA131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18">
        <f>ROUND(Grandview_Inventory[[#This Row],[det_value]]*Lookups!$M$28,-2)</f>
        <v>4300</v>
      </c>
      <c r="CC1318">
        <f>IF(ROUND(Grandview_Inventory[[#This Row],[adj_res]]*Lookups!$M$28,-2)&lt;Grandview_Inventory[[#This Row],[min_res]],Grandview_Inventory[[#This Row],[min_res]],ROUND(Grandview_Inventory[[#This Row],[adj_res]]*Lookups!$M$28,-2))</f>
        <v>168000</v>
      </c>
      <c r="CD1318">
        <f>Grandview_Inventory[[#This Row],[final_det]]+Grandview_Inventory[[#This Row],[final_res]]</f>
        <v>172300</v>
      </c>
      <c r="CE1318">
        <f>Grandview_Inventory[[#This Row],[final_land]]+Grandview_Inventory[[#This Row],[final_imp]]+Grandview_Inventory[[#This Row],[crop_value]]</f>
        <v>215700</v>
      </c>
      <c r="CG1318" t="str">
        <f t="shared" si="20"/>
        <v>update valuation set market_land =43400, market_bldg=172300, market_total =215700, market_mdno =401, market_date ='9/10/2023' where link_id = (select link_id from parcel where parcel_year = '2024' and parcel_id = '23092314418');</v>
      </c>
    </row>
    <row r="1319" spans="1:85" x14ac:dyDescent="0.25">
      <c r="A1319">
        <v>23092314419</v>
      </c>
      <c r="B1319">
        <v>0.16</v>
      </c>
      <c r="C1319">
        <v>6766</v>
      </c>
      <c r="D1319" t="s">
        <v>129</v>
      </c>
      <c r="E1319" t="s">
        <v>53</v>
      </c>
      <c r="F1319" t="s">
        <v>53</v>
      </c>
      <c r="G1319">
        <v>4</v>
      </c>
      <c r="H1319" t="s">
        <v>54</v>
      </c>
      <c r="I1319">
        <v>126600</v>
      </c>
      <c r="J1319">
        <v>39000</v>
      </c>
      <c r="K1319">
        <v>0.16</v>
      </c>
      <c r="L131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19">
        <v>0</v>
      </c>
      <c r="N1319">
        <v>0</v>
      </c>
      <c r="O1319">
        <v>0</v>
      </c>
      <c r="P1319">
        <v>13398.7528</v>
      </c>
      <c r="Q1319">
        <v>63903</v>
      </c>
      <c r="R1319">
        <f>(Grandview_Inventory[[#This Row],[ln_acres]]*Grandview_Inventory[[#This Row],[coeff]])+Grandview_Inventory[[#This Row],[const]]</f>
        <v>39348.693981374228</v>
      </c>
      <c r="S1319" t="s">
        <v>68</v>
      </c>
      <c r="T1319">
        <v>1</v>
      </c>
      <c r="U1319" t="s">
        <v>80</v>
      </c>
      <c r="V1319" t="s">
        <v>69</v>
      </c>
      <c r="W1319">
        <v>0</v>
      </c>
      <c r="X1319">
        <v>0</v>
      </c>
      <c r="Y1319">
        <v>51</v>
      </c>
      <c r="Z1319">
        <v>78</v>
      </c>
      <c r="AA1319">
        <v>80</v>
      </c>
      <c r="AB1319">
        <v>1500</v>
      </c>
      <c r="AC1319">
        <v>1359</v>
      </c>
      <c r="AD1319">
        <v>1359</v>
      </c>
      <c r="AE1319">
        <v>0</v>
      </c>
      <c r="AF1319">
        <v>0</v>
      </c>
      <c r="AG1319">
        <v>0</v>
      </c>
      <c r="AH1319">
        <v>293</v>
      </c>
      <c r="AI1319">
        <v>288</v>
      </c>
      <c r="AJ1319">
        <v>0</v>
      </c>
      <c r="AK1319">
        <v>0</v>
      </c>
      <c r="AL1319">
        <v>0</v>
      </c>
      <c r="AM1319">
        <v>0</v>
      </c>
      <c r="AN1319">
        <v>48</v>
      </c>
      <c r="AO1319">
        <v>0</v>
      </c>
      <c r="AP1319">
        <v>5</v>
      </c>
      <c r="AQ1319">
        <v>0</v>
      </c>
      <c r="AR1319">
        <v>0</v>
      </c>
      <c r="AS1319" t="s">
        <v>58</v>
      </c>
      <c r="AT1319">
        <v>1</v>
      </c>
      <c r="AU1319" t="s">
        <v>63</v>
      </c>
      <c r="AV1319" t="s">
        <v>64</v>
      </c>
      <c r="AW1319">
        <v>0</v>
      </c>
      <c r="AX1319">
        <v>2</v>
      </c>
      <c r="AY1319">
        <v>0</v>
      </c>
      <c r="AZ1319">
        <v>0</v>
      </c>
      <c r="BA1319">
        <v>100</v>
      </c>
      <c r="BB1319">
        <v>100</v>
      </c>
      <c r="BC1319">
        <v>100</v>
      </c>
      <c r="BD1319">
        <v>100</v>
      </c>
      <c r="BE1319">
        <v>1</v>
      </c>
      <c r="BF1319">
        <v>15000</v>
      </c>
      <c r="BG1319">
        <v>1000</v>
      </c>
      <c r="BH1319" s="6">
        <f>Grandview_Inventory[[#This Row],[land_extract]]*Lookups!$B$3</f>
        <v>45695.532079096141</v>
      </c>
      <c r="BI1319" s="6">
        <f>IF(Grandview_Inventory[[#This Row],[bldg_style]]="",0,Lookups!$B$2)</f>
        <v>155833.95000000001</v>
      </c>
      <c r="BJ1319" s="6">
        <f>_xlfn.IFNA(VLOOKUP(Grandview_Inventory[[#This Row],[quality]],Lookups!$H$2:$J$14,3,FALSE),0)</f>
        <v>-28558</v>
      </c>
      <c r="BK1319" s="6">
        <f>_xlfn.IFNA(VLOOKUP(Grandview_Inventory[[#This Row],[condition]],Lookups!$H$17:$J$24,3,FALSE),0)</f>
        <v>-4503</v>
      </c>
      <c r="BL1319" s="6">
        <f>Grandview_Inventory[[#This Row],[Eff_Age]]*Lookups!$B$14</f>
        <v>-12197.496599999999</v>
      </c>
      <c r="BM1319" s="6">
        <f>Grandview_Inventory[[#This Row],[living_area]]*Lookups!$B$15</f>
        <v>84775.579227000009</v>
      </c>
      <c r="BN1319" s="6">
        <f>Grandview_Inventory[[#This Row],[Fin BSMT]]*Lookups!$B$16</f>
        <v>0</v>
      </c>
      <c r="BO1319" s="6">
        <f>(Grandview_Inventory[[#This Row],[att_gar]]+Grandview_Inventory[[#This Row],[bltin_gar]])*Lookups!$B$17</f>
        <v>25205.885856000001</v>
      </c>
      <c r="BP1319" s="6">
        <f>Grandview_Inventory[[#This Row],[Plumbing Fixtures]]*Lookups!$B$18</f>
        <v>10052.209000000001</v>
      </c>
      <c r="BQ1319" s="6">
        <f>Grandview_Inventory[[#This Row],[detatched_value]]*Lookups!$B$19</f>
        <v>0</v>
      </c>
      <c r="BR1319" s="6">
        <f>SUM(Grandview_Inventory[[#This Row],[Intercept]:[det_value]])*Grandview_Inventory[[#This Row],[res_pct]]</f>
        <v>230609.12748300002</v>
      </c>
      <c r="BS1319" s="6">
        <f>Grandview_Inventory[[#This Row],[land_value]]</f>
        <v>45695.532079096141</v>
      </c>
      <c r="BT1319" s="4">
        <f>_xlfn.IFNA(VLOOKUP(Grandview_Inventory[[#This Row],[quality]],Lookups!$A$26:$C$33,3,FALSE),1)</f>
        <v>0.9690360070159818</v>
      </c>
      <c r="BU1319" s="4">
        <f>_xlfn.IFNA(VLOOKUP(Grandview_Inventory[[#This Row],[condition]],Lookups!$A$37:$C$44,3,FALSE),1)</f>
        <v>0.96469275950863709</v>
      </c>
      <c r="BV1319" s="4">
        <f>IF(Grandview_Inventory[[#This Row],[bldg_style]]="",1,_xlfn.IFNA(VLOOKUP(Grandview_Inventory[[#This Row],[decade]],Lookups!$F$29:$H$43,3,FALSE),1))</f>
        <v>0.98763256963907298</v>
      </c>
      <c r="BW1319" s="4">
        <f>_xlfn.IFNA(VLOOKUP(Grandview_Inventory[[#This Row],[living_area_range]],Lookups!$F$47:$H$56,3,FALSE),1)</f>
        <v>0.96135087979789358</v>
      </c>
      <c r="BX1319" s="4">
        <f>AVERAGE(Grandview_Inventory[[#This Row],[qual_adj]:[size_adj]])</f>
        <v>0.97067805399039631</v>
      </c>
      <c r="BY1319" s="6">
        <f>IF(Grandview_Inventory[[#This Row],[pre_res]]&lt;0,0,Grandview_Inventory[[#This Row],[pre_res]]*Grandview_Inventory[[#This Row],[overall_adj]])</f>
        <v>223847.21909762168</v>
      </c>
      <c r="BZ1319" s="6">
        <f>(Grandview_Inventory[[#This Row],[sum_land]]-IF(Grandview_Inventory[[#This Row],[no_utilities]]=1,12000,0))/IF(Grandview_Inventory[[#This Row],[unbuildable]]=1,2,1)</f>
        <v>45695.532079096141</v>
      </c>
      <c r="CA131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19">
        <f>ROUND(Grandview_Inventory[[#This Row],[det_value]]*Lookups!$M$28,-2)</f>
        <v>0</v>
      </c>
      <c r="CC1319">
        <f>IF(ROUND(Grandview_Inventory[[#This Row],[adj_res]]*Lookups!$M$28,-2)&lt;Grandview_Inventory[[#This Row],[min_res]],Grandview_Inventory[[#This Row],[min_res]],ROUND(Grandview_Inventory[[#This Row],[adj_res]]*Lookups!$M$28,-2))</f>
        <v>212700</v>
      </c>
      <c r="CD1319">
        <f>Grandview_Inventory[[#This Row],[final_det]]+Grandview_Inventory[[#This Row],[final_res]]</f>
        <v>212700</v>
      </c>
      <c r="CE1319">
        <f>Grandview_Inventory[[#This Row],[final_land]]+Grandview_Inventory[[#This Row],[final_imp]]+Grandview_Inventory[[#This Row],[crop_value]]</f>
        <v>256100</v>
      </c>
      <c r="CG1319" t="str">
        <f t="shared" si="20"/>
        <v>update valuation set market_land =43400, market_bldg=212700, market_total =256100, market_mdno =401, market_date ='9/10/2023' where link_id = (select link_id from parcel where parcel_year = '2024' and parcel_id = '23092314419');</v>
      </c>
    </row>
    <row r="1320" spans="1:85" x14ac:dyDescent="0.25">
      <c r="A1320">
        <v>23092314420</v>
      </c>
      <c r="B1320">
        <v>0.18</v>
      </c>
      <c r="C1320">
        <v>7802</v>
      </c>
      <c r="D1320" t="s">
        <v>129</v>
      </c>
      <c r="E1320" t="s">
        <v>53</v>
      </c>
      <c r="F1320" t="s">
        <v>53</v>
      </c>
      <c r="G1320">
        <v>4</v>
      </c>
      <c r="H1320" t="s">
        <v>54</v>
      </c>
      <c r="I1320">
        <v>185300</v>
      </c>
      <c r="J1320">
        <v>39300</v>
      </c>
      <c r="K1320">
        <v>0.18</v>
      </c>
      <c r="L132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20">
        <v>0</v>
      </c>
      <c r="N1320">
        <v>0</v>
      </c>
      <c r="O1320">
        <v>0</v>
      </c>
      <c r="P1320">
        <v>13398.7528</v>
      </c>
      <c r="Q1320">
        <v>63903</v>
      </c>
      <c r="R1320">
        <f>(Grandview_Inventory[[#This Row],[ln_acres]]*Grandview_Inventory[[#This Row],[coeff]])+Grandview_Inventory[[#This Row],[const]]</f>
        <v>40926.839760167699</v>
      </c>
      <c r="S1320" t="s">
        <v>85</v>
      </c>
      <c r="T1320">
        <v>2</v>
      </c>
      <c r="U1320" t="s">
        <v>65</v>
      </c>
      <c r="V1320" t="s">
        <v>69</v>
      </c>
      <c r="W1320">
        <v>0</v>
      </c>
      <c r="X1320">
        <v>0</v>
      </c>
      <c r="Y1320">
        <v>57</v>
      </c>
      <c r="Z1320">
        <v>103</v>
      </c>
      <c r="AA1320">
        <v>110</v>
      </c>
      <c r="AB1320">
        <v>2000</v>
      </c>
      <c r="AC1320">
        <v>1748</v>
      </c>
      <c r="AD1320">
        <v>1568</v>
      </c>
      <c r="AE1320">
        <v>180</v>
      </c>
      <c r="AF1320">
        <v>0</v>
      </c>
      <c r="AG1320">
        <v>0</v>
      </c>
      <c r="AH1320">
        <v>784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60</v>
      </c>
      <c r="AO1320">
        <v>0</v>
      </c>
      <c r="AP1320">
        <v>10</v>
      </c>
      <c r="AQ1320">
        <v>0</v>
      </c>
      <c r="AR1320">
        <v>1</v>
      </c>
      <c r="AS1320" t="s">
        <v>58</v>
      </c>
      <c r="AT1320">
        <v>1</v>
      </c>
      <c r="AU1320" t="s">
        <v>59</v>
      </c>
      <c r="AV1320" t="s">
        <v>60</v>
      </c>
      <c r="AW1320">
        <v>1</v>
      </c>
      <c r="AX1320">
        <v>4</v>
      </c>
      <c r="AY1320">
        <v>0</v>
      </c>
      <c r="AZ1320">
        <v>5500</v>
      </c>
      <c r="BA1320">
        <v>100</v>
      </c>
      <c r="BB1320">
        <v>100</v>
      </c>
      <c r="BC1320">
        <v>100</v>
      </c>
      <c r="BD1320">
        <v>100</v>
      </c>
      <c r="BE1320">
        <v>1</v>
      </c>
      <c r="BF1320">
        <v>15000</v>
      </c>
      <c r="BG1320">
        <v>1000</v>
      </c>
      <c r="BH1320" s="6">
        <f>Grandview_Inventory[[#This Row],[land_extract]]*Lookups!$B$3</f>
        <v>47528.228511015397</v>
      </c>
      <c r="BI1320" s="6">
        <f>IF(Grandview_Inventory[[#This Row],[bldg_style]]="",0,Lookups!$B$2)</f>
        <v>155833.95000000001</v>
      </c>
      <c r="BJ1320" s="6">
        <f>_xlfn.IFNA(VLOOKUP(Grandview_Inventory[[#This Row],[quality]],Lookups!$H$2:$J$14,3,FALSE),0)</f>
        <v>2251</v>
      </c>
      <c r="BK1320" s="6">
        <f>_xlfn.IFNA(VLOOKUP(Grandview_Inventory[[#This Row],[condition]],Lookups!$H$17:$J$24,3,FALSE),0)</f>
        <v>-4503</v>
      </c>
      <c r="BL1320" s="6">
        <f>Grandview_Inventory[[#This Row],[Eff_Age]]*Lookups!$B$14</f>
        <v>-13632.4962</v>
      </c>
      <c r="BM1320" s="6">
        <f>Grandview_Inventory[[#This Row],[living_area]]*Lookups!$B$15</f>
        <v>109041.731044</v>
      </c>
      <c r="BN1320" s="6">
        <f>Grandview_Inventory[[#This Row],[Fin BSMT]]*Lookups!$B$16</f>
        <v>0</v>
      </c>
      <c r="BO1320" s="6">
        <f>(Grandview_Inventory[[#This Row],[att_gar]]+Grandview_Inventory[[#This Row],[bltin_gar]])*Lookups!$B$17</f>
        <v>0</v>
      </c>
      <c r="BP1320" s="6">
        <f>Grandview_Inventory[[#This Row],[Plumbing Fixtures]]*Lookups!$B$18</f>
        <v>20104.418000000001</v>
      </c>
      <c r="BQ1320" s="6">
        <f>Grandview_Inventory[[#This Row],[detatched_value]]*Lookups!$B$19</f>
        <v>4657.4280499999995</v>
      </c>
      <c r="BR1320" s="6">
        <f>SUM(Grandview_Inventory[[#This Row],[Intercept]:[det_value]])*Grandview_Inventory[[#This Row],[res_pct]]</f>
        <v>273753.03089400003</v>
      </c>
      <c r="BS1320" s="6">
        <f>Grandview_Inventory[[#This Row],[land_value]]</f>
        <v>47528.228511015397</v>
      </c>
      <c r="BT1320" s="4">
        <f>_xlfn.IFNA(VLOOKUP(Grandview_Inventory[[#This Row],[quality]],Lookups!$A$26:$C$33,3,FALSE),1)</f>
        <v>0.98763855981004833</v>
      </c>
      <c r="BU1320" s="4">
        <f>_xlfn.IFNA(VLOOKUP(Grandview_Inventory[[#This Row],[condition]],Lookups!$A$37:$C$44,3,FALSE),1)</f>
        <v>0.96469275950863709</v>
      </c>
      <c r="BV1320" s="4">
        <f>IF(Grandview_Inventory[[#This Row],[bldg_style]]="",1,_xlfn.IFNA(VLOOKUP(Grandview_Inventory[[#This Row],[decade]],Lookups!$F$29:$H$43,3,FALSE),1))</f>
        <v>0.92255236374249616</v>
      </c>
      <c r="BW1320" s="4">
        <f>_xlfn.IFNA(VLOOKUP(Grandview_Inventory[[#This Row],[living_area_range]],Lookups!$F$47:$H$56,3,FALSE),1)</f>
        <v>0.96120133463014379</v>
      </c>
      <c r="BX1320" s="4">
        <f>AVERAGE(Grandview_Inventory[[#This Row],[qual_adj]:[size_adj]])</f>
        <v>0.95902125442283137</v>
      </c>
      <c r="BY1320" s="6">
        <f>IF(Grandview_Inventory[[#This Row],[pre_res]]&lt;0,0,Grandview_Inventory[[#This Row],[pre_res]]*Grandview_Inventory[[#This Row],[overall_adj]])</f>
        <v>262534.97509001603</v>
      </c>
      <c r="BZ1320" s="6">
        <f>(Grandview_Inventory[[#This Row],[sum_land]]-IF(Grandview_Inventory[[#This Row],[no_utilities]]=1,12000,0))/IF(Grandview_Inventory[[#This Row],[unbuildable]]=1,2,1)</f>
        <v>47528.228511015397</v>
      </c>
      <c r="CA132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20">
        <f>ROUND(Grandview_Inventory[[#This Row],[det_value]]*Lookups!$M$28,-2)</f>
        <v>4400</v>
      </c>
      <c r="CC1320">
        <f>IF(ROUND(Grandview_Inventory[[#This Row],[adj_res]]*Lookups!$M$28,-2)&lt;Grandview_Inventory[[#This Row],[min_res]],Grandview_Inventory[[#This Row],[min_res]],ROUND(Grandview_Inventory[[#This Row],[adj_res]]*Lookups!$M$28,-2))</f>
        <v>249400</v>
      </c>
      <c r="CD1320">
        <f>Grandview_Inventory[[#This Row],[final_det]]+Grandview_Inventory[[#This Row],[final_res]]</f>
        <v>253800</v>
      </c>
      <c r="CE1320">
        <f>Grandview_Inventory[[#This Row],[final_land]]+Grandview_Inventory[[#This Row],[final_imp]]+Grandview_Inventory[[#This Row],[crop_value]]</f>
        <v>299000</v>
      </c>
      <c r="CG1320" t="str">
        <f t="shared" si="20"/>
        <v>update valuation set market_land =45200, market_bldg=253800, market_total =299000, market_mdno =401, market_date ='9/10/2023' where link_id = (select link_id from parcel where parcel_year = '2024' and parcel_id = '23092314420');</v>
      </c>
    </row>
    <row r="1321" spans="1:85" x14ac:dyDescent="0.25">
      <c r="A1321">
        <v>23092314421</v>
      </c>
      <c r="B1321">
        <v>0.19</v>
      </c>
      <c r="C1321">
        <v>8348</v>
      </c>
      <c r="D1321" t="s">
        <v>129</v>
      </c>
      <c r="E1321" t="s">
        <v>53</v>
      </c>
      <c r="F1321" t="s">
        <v>53</v>
      </c>
      <c r="G1321">
        <v>4</v>
      </c>
      <c r="H1321" t="s">
        <v>54</v>
      </c>
      <c r="I1321">
        <v>168400</v>
      </c>
      <c r="J1321">
        <v>39700</v>
      </c>
      <c r="K1321">
        <v>0.19</v>
      </c>
      <c r="L132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321">
        <v>0</v>
      </c>
      <c r="N1321">
        <v>0</v>
      </c>
      <c r="O1321">
        <v>0</v>
      </c>
      <c r="P1321">
        <v>13398.7528</v>
      </c>
      <c r="Q1321">
        <v>63903</v>
      </c>
      <c r="R1321">
        <f>(Grandview_Inventory[[#This Row],[ln_acres]]*Grandview_Inventory[[#This Row],[coeff]])+Grandview_Inventory[[#This Row],[const]]</f>
        <v>41651.273092551026</v>
      </c>
      <c r="S1321" t="s">
        <v>85</v>
      </c>
      <c r="T1321">
        <v>1</v>
      </c>
      <c r="U1321" t="s">
        <v>70</v>
      </c>
      <c r="V1321" t="s">
        <v>69</v>
      </c>
      <c r="W1321">
        <v>0</v>
      </c>
      <c r="X1321">
        <v>0</v>
      </c>
      <c r="Y1321">
        <v>60</v>
      </c>
      <c r="Z1321">
        <v>108</v>
      </c>
      <c r="AA1321">
        <v>110</v>
      </c>
      <c r="AB1321">
        <v>2000</v>
      </c>
      <c r="AC1321">
        <v>1557</v>
      </c>
      <c r="AD1321">
        <v>1557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181</v>
      </c>
      <c r="AO1321">
        <v>0</v>
      </c>
      <c r="AP1321">
        <v>8</v>
      </c>
      <c r="AQ1321">
        <v>0</v>
      </c>
      <c r="AR1321">
        <v>0</v>
      </c>
      <c r="AS1321" t="s">
        <v>58</v>
      </c>
      <c r="AT1321">
        <v>1</v>
      </c>
      <c r="AU1321" t="s">
        <v>63</v>
      </c>
      <c r="AV1321" t="s">
        <v>60</v>
      </c>
      <c r="AW1321">
        <v>1</v>
      </c>
      <c r="AX1321">
        <v>3</v>
      </c>
      <c r="AY1321">
        <v>0</v>
      </c>
      <c r="AZ1321">
        <v>0</v>
      </c>
      <c r="BA1321">
        <v>100</v>
      </c>
      <c r="BB1321">
        <v>100</v>
      </c>
      <c r="BC1321">
        <v>100</v>
      </c>
      <c r="BD1321">
        <v>100</v>
      </c>
      <c r="BE1321">
        <v>1</v>
      </c>
      <c r="BF1321">
        <v>15000</v>
      </c>
      <c r="BG1321">
        <v>1000</v>
      </c>
      <c r="BH1321" s="6">
        <f>Grandview_Inventory[[#This Row],[land_extract]]*Lookups!$B$3</f>
        <v>48369.510983942157</v>
      </c>
      <c r="BI1321" s="6">
        <f>IF(Grandview_Inventory[[#This Row],[bldg_style]]="",0,Lookups!$B$2)</f>
        <v>155833.95000000001</v>
      </c>
      <c r="BJ1321" s="6">
        <f>_xlfn.IFNA(VLOOKUP(Grandview_Inventory[[#This Row],[quality]],Lookups!$H$2:$J$14,3,FALSE),0)</f>
        <v>10733</v>
      </c>
      <c r="BK1321" s="6">
        <f>_xlfn.IFNA(VLOOKUP(Grandview_Inventory[[#This Row],[condition]],Lookups!$H$17:$J$24,3,FALSE),0)</f>
        <v>-4503</v>
      </c>
      <c r="BL1321" s="6">
        <f>Grandview_Inventory[[#This Row],[Eff_Age]]*Lookups!$B$14</f>
        <v>-14349.995999999999</v>
      </c>
      <c r="BM1321" s="6">
        <f>Grandview_Inventory[[#This Row],[living_area]]*Lookups!$B$15</f>
        <v>97126.988121000002</v>
      </c>
      <c r="BN1321" s="6">
        <f>Grandview_Inventory[[#This Row],[Fin BSMT]]*Lookups!$B$16</f>
        <v>0</v>
      </c>
      <c r="BO1321" s="6">
        <f>(Grandview_Inventory[[#This Row],[att_gar]]+Grandview_Inventory[[#This Row],[bltin_gar]])*Lookups!$B$17</f>
        <v>0</v>
      </c>
      <c r="BP1321" s="6">
        <f>Grandview_Inventory[[#This Row],[Plumbing Fixtures]]*Lookups!$B$18</f>
        <v>16083.5344</v>
      </c>
      <c r="BQ1321" s="6">
        <f>Grandview_Inventory[[#This Row],[detatched_value]]*Lookups!$B$19</f>
        <v>0</v>
      </c>
      <c r="BR1321" s="6">
        <f>SUM(Grandview_Inventory[[#This Row],[Intercept]:[det_value]])*Grandview_Inventory[[#This Row],[res_pct]]</f>
        <v>260924.47652100003</v>
      </c>
      <c r="BS1321" s="6">
        <f>Grandview_Inventory[[#This Row],[land_value]]</f>
        <v>48369.510983942157</v>
      </c>
      <c r="BT1321" s="4">
        <f>_xlfn.IFNA(VLOOKUP(Grandview_Inventory[[#This Row],[quality]],Lookups!$A$26:$C$33,3,FALSE),1)</f>
        <v>0.98079741117310582</v>
      </c>
      <c r="BU1321" s="4">
        <f>_xlfn.IFNA(VLOOKUP(Grandview_Inventory[[#This Row],[condition]],Lookups!$A$37:$C$44,3,FALSE),1)</f>
        <v>0.96469275950863709</v>
      </c>
      <c r="BV1321" s="4">
        <f>IF(Grandview_Inventory[[#This Row],[bldg_style]]="",1,_xlfn.IFNA(VLOOKUP(Grandview_Inventory[[#This Row],[decade]],Lookups!$F$29:$H$43,3,FALSE),1))</f>
        <v>0.92255236374249616</v>
      </c>
      <c r="BW1321" s="4">
        <f>_xlfn.IFNA(VLOOKUP(Grandview_Inventory[[#This Row],[living_area_range]],Lookups!$F$47:$H$56,3,FALSE),1)</f>
        <v>0.96120133463014379</v>
      </c>
      <c r="BX1321" s="4">
        <f>AVERAGE(Grandview_Inventory[[#This Row],[qual_adj]:[size_adj]])</f>
        <v>0.95731096726359577</v>
      </c>
      <c r="BY1321" s="6">
        <f>IF(Grandview_Inventory[[#This Row],[pre_res]]&lt;0,0,Grandview_Inventory[[#This Row],[pre_res]]*Grandview_Inventory[[#This Row],[overall_adj]])</f>
        <v>249785.86300106594</v>
      </c>
      <c r="BZ1321" s="6">
        <f>(Grandview_Inventory[[#This Row],[sum_land]]-IF(Grandview_Inventory[[#This Row],[no_utilities]]=1,12000,0))/IF(Grandview_Inventory[[#This Row],[unbuildable]]=1,2,1)</f>
        <v>48369.510983942157</v>
      </c>
      <c r="CA132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321">
        <f>ROUND(Grandview_Inventory[[#This Row],[det_value]]*Lookups!$M$28,-2)</f>
        <v>0</v>
      </c>
      <c r="CC1321">
        <f>IF(ROUND(Grandview_Inventory[[#This Row],[adj_res]]*Lookups!$M$28,-2)&lt;Grandview_Inventory[[#This Row],[min_res]],Grandview_Inventory[[#This Row],[min_res]],ROUND(Grandview_Inventory[[#This Row],[adj_res]]*Lookups!$M$28,-2))</f>
        <v>237300</v>
      </c>
      <c r="CD1321">
        <f>Grandview_Inventory[[#This Row],[final_det]]+Grandview_Inventory[[#This Row],[final_res]]</f>
        <v>237300</v>
      </c>
      <c r="CE1321">
        <f>Grandview_Inventory[[#This Row],[final_land]]+Grandview_Inventory[[#This Row],[final_imp]]+Grandview_Inventory[[#This Row],[crop_value]]</f>
        <v>283300</v>
      </c>
      <c r="CG1321" t="str">
        <f t="shared" si="20"/>
        <v>update valuation set market_land =46000, market_bldg=237300, market_total =283300, market_mdno =401, market_date ='9/10/2023' where link_id = (select link_id from parcel where parcel_year = '2024' and parcel_id = '23092314421');</v>
      </c>
    </row>
    <row r="1322" spans="1:85" x14ac:dyDescent="0.25">
      <c r="A1322">
        <v>23092314422</v>
      </c>
      <c r="B1322">
        <v>0.16</v>
      </c>
      <c r="C1322">
        <v>6850</v>
      </c>
      <c r="D1322" t="s">
        <v>129</v>
      </c>
      <c r="E1322" t="s">
        <v>53</v>
      </c>
      <c r="F1322" t="s">
        <v>53</v>
      </c>
      <c r="G1322">
        <v>4</v>
      </c>
      <c r="H1322" t="s">
        <v>54</v>
      </c>
      <c r="I1322">
        <v>106200</v>
      </c>
      <c r="J1322">
        <v>39100</v>
      </c>
      <c r="K1322">
        <v>0.16</v>
      </c>
      <c r="L132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22">
        <v>0</v>
      </c>
      <c r="N1322">
        <v>0</v>
      </c>
      <c r="O1322">
        <v>0</v>
      </c>
      <c r="P1322">
        <v>13398.7528</v>
      </c>
      <c r="Q1322">
        <v>63903</v>
      </c>
      <c r="R1322">
        <f>(Grandview_Inventory[[#This Row],[ln_acres]]*Grandview_Inventory[[#This Row],[coeff]])+Grandview_Inventory[[#This Row],[const]]</f>
        <v>39348.693981374228</v>
      </c>
      <c r="S1322" t="s">
        <v>85</v>
      </c>
      <c r="T1322">
        <v>1</v>
      </c>
      <c r="U1322" t="s">
        <v>65</v>
      </c>
      <c r="V1322" t="s">
        <v>69</v>
      </c>
      <c r="W1322">
        <v>0</v>
      </c>
      <c r="X1322">
        <v>0</v>
      </c>
      <c r="Y1322">
        <v>57</v>
      </c>
      <c r="Z1322">
        <v>103</v>
      </c>
      <c r="AA1322">
        <v>110</v>
      </c>
      <c r="AB1322">
        <v>1000</v>
      </c>
      <c r="AC1322">
        <v>957</v>
      </c>
      <c r="AD1322">
        <v>957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32</v>
      </c>
      <c r="AO1322">
        <v>0</v>
      </c>
      <c r="AP1322">
        <v>5</v>
      </c>
      <c r="AQ1322">
        <v>0</v>
      </c>
      <c r="AR1322">
        <v>0</v>
      </c>
      <c r="AS1322" t="s">
        <v>58</v>
      </c>
      <c r="AT1322">
        <v>1</v>
      </c>
      <c r="AU1322" t="s">
        <v>63</v>
      </c>
      <c r="AV1322" t="s">
        <v>64</v>
      </c>
      <c r="AW1322">
        <v>0</v>
      </c>
      <c r="AX1322">
        <v>2</v>
      </c>
      <c r="AY1322">
        <v>0</v>
      </c>
      <c r="AZ1322">
        <v>7700</v>
      </c>
      <c r="BA1322">
        <v>100</v>
      </c>
      <c r="BB1322">
        <v>100</v>
      </c>
      <c r="BC1322">
        <v>100</v>
      </c>
      <c r="BD1322">
        <v>100</v>
      </c>
      <c r="BE1322">
        <v>1</v>
      </c>
      <c r="BF1322">
        <v>15000</v>
      </c>
      <c r="BG1322">
        <v>1000</v>
      </c>
      <c r="BH1322" s="6">
        <f>Grandview_Inventory[[#This Row],[land_extract]]*Lookups!$B$3</f>
        <v>45695.532079096141</v>
      </c>
      <c r="BI1322" s="6">
        <f>IF(Grandview_Inventory[[#This Row],[bldg_style]]="",0,Lookups!$B$2)</f>
        <v>155833.95000000001</v>
      </c>
      <c r="BJ1322" s="6">
        <f>_xlfn.IFNA(VLOOKUP(Grandview_Inventory[[#This Row],[quality]],Lookups!$H$2:$J$14,3,FALSE),0)</f>
        <v>2251</v>
      </c>
      <c r="BK1322" s="6">
        <f>_xlfn.IFNA(VLOOKUP(Grandview_Inventory[[#This Row],[condition]],Lookups!$H$17:$J$24,3,FALSE),0)</f>
        <v>-4503</v>
      </c>
      <c r="BL1322" s="6">
        <f>Grandview_Inventory[[#This Row],[Eff_Age]]*Lookups!$B$14</f>
        <v>-13632.4962</v>
      </c>
      <c r="BM1322" s="6">
        <f>Grandview_Inventory[[#This Row],[living_area]]*Lookups!$B$15</f>
        <v>59698.476321000002</v>
      </c>
      <c r="BN1322" s="6">
        <f>Grandview_Inventory[[#This Row],[Fin BSMT]]*Lookups!$B$16</f>
        <v>0</v>
      </c>
      <c r="BO1322" s="6">
        <f>(Grandview_Inventory[[#This Row],[att_gar]]+Grandview_Inventory[[#This Row],[bltin_gar]])*Lookups!$B$17</f>
        <v>0</v>
      </c>
      <c r="BP1322" s="6">
        <f>Grandview_Inventory[[#This Row],[Plumbing Fixtures]]*Lookups!$B$18</f>
        <v>10052.209000000001</v>
      </c>
      <c r="BQ1322" s="6">
        <f>Grandview_Inventory[[#This Row],[detatched_value]]*Lookups!$B$19</f>
        <v>6520.3992699999999</v>
      </c>
      <c r="BR1322" s="6">
        <f>SUM(Grandview_Inventory[[#This Row],[Intercept]:[det_value]])*Grandview_Inventory[[#This Row],[res_pct]]</f>
        <v>216220.53839100001</v>
      </c>
      <c r="BS1322" s="6">
        <f>Grandview_Inventory[[#This Row],[land_value]]</f>
        <v>45695.532079096141</v>
      </c>
      <c r="BT1322" s="4">
        <f>_xlfn.IFNA(VLOOKUP(Grandview_Inventory[[#This Row],[quality]],Lookups!$A$26:$C$33,3,FALSE),1)</f>
        <v>0.98763855981004833</v>
      </c>
      <c r="BU1322" s="4">
        <f>_xlfn.IFNA(VLOOKUP(Grandview_Inventory[[#This Row],[condition]],Lookups!$A$37:$C$44,3,FALSE),1)</f>
        <v>0.96469275950863709</v>
      </c>
      <c r="BV1322" s="4">
        <f>IF(Grandview_Inventory[[#This Row],[bldg_style]]="",1,_xlfn.IFNA(VLOOKUP(Grandview_Inventory[[#This Row],[decade]],Lookups!$F$29:$H$43,3,FALSE),1))</f>
        <v>0.92255236374249616</v>
      </c>
      <c r="BW1322" s="4">
        <f>_xlfn.IFNA(VLOOKUP(Grandview_Inventory[[#This Row],[living_area_range]],Lookups!$F$47:$H$56,3,FALSE),1)</f>
        <v>0.94306777142782894</v>
      </c>
      <c r="BX1322" s="4">
        <f>AVERAGE(Grandview_Inventory[[#This Row],[qual_adj]:[size_adj]])</f>
        <v>0.95448786362225257</v>
      </c>
      <c r="BY1322" s="6">
        <f>IF(Grandview_Inventory[[#This Row],[pre_res]]&lt;0,0,Grandview_Inventory[[#This Row],[pre_res]]*Grandview_Inventory[[#This Row],[overall_adj]])</f>
        <v>206379.87976007885</v>
      </c>
      <c r="BZ1322" s="6">
        <f>(Grandview_Inventory[[#This Row],[sum_land]]-IF(Grandview_Inventory[[#This Row],[no_utilities]]=1,12000,0))/IF(Grandview_Inventory[[#This Row],[unbuildable]]=1,2,1)</f>
        <v>45695.532079096141</v>
      </c>
      <c r="CA132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22">
        <f>ROUND(Grandview_Inventory[[#This Row],[det_value]]*Lookups!$M$28,-2)</f>
        <v>6200</v>
      </c>
      <c r="CC1322">
        <f>IF(ROUND(Grandview_Inventory[[#This Row],[adj_res]]*Lookups!$M$28,-2)&lt;Grandview_Inventory[[#This Row],[min_res]],Grandview_Inventory[[#This Row],[min_res]],ROUND(Grandview_Inventory[[#This Row],[adj_res]]*Lookups!$M$28,-2))</f>
        <v>196100</v>
      </c>
      <c r="CD1322">
        <f>Grandview_Inventory[[#This Row],[final_det]]+Grandview_Inventory[[#This Row],[final_res]]</f>
        <v>202300</v>
      </c>
      <c r="CE1322">
        <f>Grandview_Inventory[[#This Row],[final_land]]+Grandview_Inventory[[#This Row],[final_imp]]+Grandview_Inventory[[#This Row],[crop_value]]</f>
        <v>245700</v>
      </c>
      <c r="CG1322" t="str">
        <f t="shared" si="20"/>
        <v>update valuation set market_land =43400, market_bldg=202300, market_total =245700, market_mdno =401, market_date ='9/10/2023' where link_id = (select link_id from parcel where parcel_year = '2024' and parcel_id = '23092314422');</v>
      </c>
    </row>
    <row r="1323" spans="1:85" x14ac:dyDescent="0.25">
      <c r="A1323">
        <v>23092314423</v>
      </c>
      <c r="B1323">
        <v>0.17</v>
      </c>
      <c r="C1323">
        <v>7455</v>
      </c>
      <c r="D1323" t="s">
        <v>129</v>
      </c>
      <c r="E1323" t="s">
        <v>53</v>
      </c>
      <c r="F1323" t="s">
        <v>53</v>
      </c>
      <c r="G1323">
        <v>4</v>
      </c>
      <c r="H1323" t="s">
        <v>54</v>
      </c>
      <c r="I1323">
        <v>166500</v>
      </c>
      <c r="J1323">
        <v>39300</v>
      </c>
      <c r="K1323">
        <v>0.17</v>
      </c>
      <c r="L132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23">
        <v>0</v>
      </c>
      <c r="N1323">
        <v>0</v>
      </c>
      <c r="O1323">
        <v>0</v>
      </c>
      <c r="P1323">
        <v>13398.7528</v>
      </c>
      <c r="Q1323">
        <v>63903</v>
      </c>
      <c r="R1323">
        <f>(Grandview_Inventory[[#This Row],[ln_acres]]*Grandview_Inventory[[#This Row],[coeff]])+Grandview_Inventory[[#This Row],[const]]</f>
        <v>40160.988302686128</v>
      </c>
      <c r="S1323" t="s">
        <v>85</v>
      </c>
      <c r="T1323">
        <v>2</v>
      </c>
      <c r="U1323" t="s">
        <v>65</v>
      </c>
      <c r="V1323" t="s">
        <v>69</v>
      </c>
      <c r="W1323">
        <v>0</v>
      </c>
      <c r="X1323">
        <v>0</v>
      </c>
      <c r="Y1323">
        <v>57</v>
      </c>
      <c r="Z1323">
        <v>103</v>
      </c>
      <c r="AA1323">
        <v>110</v>
      </c>
      <c r="AB1323">
        <v>2500</v>
      </c>
      <c r="AC1323">
        <v>2033</v>
      </c>
      <c r="AD1323">
        <v>1393</v>
      </c>
      <c r="AE1323">
        <v>640</v>
      </c>
      <c r="AF1323">
        <v>0</v>
      </c>
      <c r="AG1323">
        <v>0</v>
      </c>
      <c r="AH1323">
        <v>696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32</v>
      </c>
      <c r="AO1323">
        <v>0</v>
      </c>
      <c r="AP1323">
        <v>8</v>
      </c>
      <c r="AQ1323">
        <v>0</v>
      </c>
      <c r="AR1323">
        <v>1</v>
      </c>
      <c r="AS1323" t="s">
        <v>58</v>
      </c>
      <c r="AT1323">
        <v>1</v>
      </c>
      <c r="AU1323" t="s">
        <v>63</v>
      </c>
      <c r="AV1323" t="s">
        <v>64</v>
      </c>
      <c r="AW1323">
        <v>0</v>
      </c>
      <c r="AX1323">
        <v>4</v>
      </c>
      <c r="AY1323">
        <v>0</v>
      </c>
      <c r="AZ1323">
        <v>0</v>
      </c>
      <c r="BA1323">
        <v>100</v>
      </c>
      <c r="BB1323">
        <v>100</v>
      </c>
      <c r="BC1323">
        <v>100</v>
      </c>
      <c r="BD1323">
        <v>100</v>
      </c>
      <c r="BE1323">
        <v>1</v>
      </c>
      <c r="BF1323">
        <v>15000</v>
      </c>
      <c r="BG1323">
        <v>1000</v>
      </c>
      <c r="BH1323" s="6">
        <f>Grandview_Inventory[[#This Row],[land_extract]]*Lookups!$B$3</f>
        <v>46638.847281240982</v>
      </c>
      <c r="BI1323" s="6">
        <f>IF(Grandview_Inventory[[#This Row],[bldg_style]]="",0,Lookups!$B$2)</f>
        <v>155833.95000000001</v>
      </c>
      <c r="BJ1323" s="6">
        <f>_xlfn.IFNA(VLOOKUP(Grandview_Inventory[[#This Row],[quality]],Lookups!$H$2:$J$14,3,FALSE),0)</f>
        <v>2251</v>
      </c>
      <c r="BK1323" s="6">
        <f>_xlfn.IFNA(VLOOKUP(Grandview_Inventory[[#This Row],[condition]],Lookups!$H$17:$J$24,3,FALSE),0)</f>
        <v>-4503</v>
      </c>
      <c r="BL1323" s="6">
        <f>Grandview_Inventory[[#This Row],[Eff_Age]]*Lookups!$B$14</f>
        <v>-13632.4962</v>
      </c>
      <c r="BM1323" s="6">
        <f>Grandview_Inventory[[#This Row],[living_area]]*Lookups!$B$15</f>
        <v>126820.274149</v>
      </c>
      <c r="BN1323" s="6">
        <f>Grandview_Inventory[[#This Row],[Fin BSMT]]*Lookups!$B$16</f>
        <v>0</v>
      </c>
      <c r="BO1323" s="6">
        <f>(Grandview_Inventory[[#This Row],[att_gar]]+Grandview_Inventory[[#This Row],[bltin_gar]])*Lookups!$B$17</f>
        <v>0</v>
      </c>
      <c r="BP1323" s="6">
        <f>Grandview_Inventory[[#This Row],[Plumbing Fixtures]]*Lookups!$B$18</f>
        <v>16083.5344</v>
      </c>
      <c r="BQ1323" s="6">
        <f>Grandview_Inventory[[#This Row],[detatched_value]]*Lookups!$B$19</f>
        <v>0</v>
      </c>
      <c r="BR1323" s="6">
        <f>SUM(Grandview_Inventory[[#This Row],[Intercept]:[det_value]])*Grandview_Inventory[[#This Row],[res_pct]]</f>
        <v>282853.26234900003</v>
      </c>
      <c r="BS1323" s="6">
        <f>Grandview_Inventory[[#This Row],[land_value]]</f>
        <v>46638.847281240982</v>
      </c>
      <c r="BT1323" s="4">
        <f>_xlfn.IFNA(VLOOKUP(Grandview_Inventory[[#This Row],[quality]],Lookups!$A$26:$C$33,3,FALSE),1)</f>
        <v>0.98763855981004833</v>
      </c>
      <c r="BU1323" s="4">
        <f>_xlfn.IFNA(VLOOKUP(Grandview_Inventory[[#This Row],[condition]],Lookups!$A$37:$C$44,3,FALSE),1)</f>
        <v>0.96469275950863709</v>
      </c>
      <c r="BV1323" s="4">
        <f>IF(Grandview_Inventory[[#This Row],[bldg_style]]="",1,_xlfn.IFNA(VLOOKUP(Grandview_Inventory[[#This Row],[decade]],Lookups!$F$29:$H$43,3,FALSE),1))</f>
        <v>0.92255236374249616</v>
      </c>
      <c r="BW1323" s="4">
        <f>_xlfn.IFNA(VLOOKUP(Grandview_Inventory[[#This Row],[living_area_range]],Lookups!$F$47:$H$56,3,FALSE),1)</f>
        <v>0.95799442568048754</v>
      </c>
      <c r="BX1323" s="4">
        <f>AVERAGE(Grandview_Inventory[[#This Row],[qual_adj]:[size_adj]])</f>
        <v>0.95821952718541725</v>
      </c>
      <c r="BY1323" s="6">
        <f>IF(Grandview_Inventory[[#This Row],[pre_res]]&lt;0,0,Grandview_Inventory[[#This Row],[pre_res]]*Grandview_Inventory[[#This Row],[overall_adj]])</f>
        <v>271035.51931091159</v>
      </c>
      <c r="BZ1323" s="6">
        <f>(Grandview_Inventory[[#This Row],[sum_land]]-IF(Grandview_Inventory[[#This Row],[no_utilities]]=1,12000,0))/IF(Grandview_Inventory[[#This Row],[unbuildable]]=1,2,1)</f>
        <v>46638.847281240982</v>
      </c>
      <c r="CA132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23">
        <f>ROUND(Grandview_Inventory[[#This Row],[det_value]]*Lookups!$M$28,-2)</f>
        <v>0</v>
      </c>
      <c r="CC1323">
        <f>IF(ROUND(Grandview_Inventory[[#This Row],[adj_res]]*Lookups!$M$28,-2)&lt;Grandview_Inventory[[#This Row],[min_res]],Grandview_Inventory[[#This Row],[min_res]],ROUND(Grandview_Inventory[[#This Row],[adj_res]]*Lookups!$M$28,-2))</f>
        <v>257500</v>
      </c>
      <c r="CD1323">
        <f>Grandview_Inventory[[#This Row],[final_det]]+Grandview_Inventory[[#This Row],[final_res]]</f>
        <v>257500</v>
      </c>
      <c r="CE1323">
        <f>Grandview_Inventory[[#This Row],[final_land]]+Grandview_Inventory[[#This Row],[final_imp]]+Grandview_Inventory[[#This Row],[crop_value]]</f>
        <v>301800</v>
      </c>
      <c r="CG1323" t="str">
        <f t="shared" si="20"/>
        <v>update valuation set market_land =44300, market_bldg=257500, market_total =301800, market_mdno =401, market_date ='9/10/2023' where link_id = (select link_id from parcel where parcel_year = '2024' and parcel_id = '23092314423');</v>
      </c>
    </row>
    <row r="1324" spans="1:85" x14ac:dyDescent="0.25">
      <c r="A1324">
        <v>23092314424</v>
      </c>
      <c r="B1324">
        <v>0.17</v>
      </c>
      <c r="C1324">
        <v>7541</v>
      </c>
      <c r="D1324" t="s">
        <v>129</v>
      </c>
      <c r="E1324" t="s">
        <v>53</v>
      </c>
      <c r="F1324" t="s">
        <v>53</v>
      </c>
      <c r="G1324">
        <v>4</v>
      </c>
      <c r="H1324" t="s">
        <v>54</v>
      </c>
      <c r="I1324">
        <v>166500</v>
      </c>
      <c r="J1324">
        <v>39100</v>
      </c>
      <c r="K1324">
        <v>0.17</v>
      </c>
      <c r="L132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24">
        <v>0</v>
      </c>
      <c r="N1324">
        <v>0</v>
      </c>
      <c r="O1324">
        <v>0</v>
      </c>
      <c r="P1324">
        <v>13398.7528</v>
      </c>
      <c r="Q1324">
        <v>63903</v>
      </c>
      <c r="R1324">
        <f>(Grandview_Inventory[[#This Row],[ln_acres]]*Grandview_Inventory[[#This Row],[coeff]])+Grandview_Inventory[[#This Row],[const]]</f>
        <v>40160.988302686128</v>
      </c>
      <c r="S1324" t="s">
        <v>85</v>
      </c>
      <c r="T1324">
        <v>1</v>
      </c>
      <c r="U1324" t="s">
        <v>65</v>
      </c>
      <c r="V1324" t="s">
        <v>69</v>
      </c>
      <c r="W1324">
        <v>0</v>
      </c>
      <c r="X1324">
        <v>0</v>
      </c>
      <c r="Y1324">
        <v>57</v>
      </c>
      <c r="Z1324">
        <v>103</v>
      </c>
      <c r="AA1324">
        <v>110</v>
      </c>
      <c r="AB1324">
        <v>2500</v>
      </c>
      <c r="AC1324">
        <v>2052</v>
      </c>
      <c r="AD1324">
        <v>1370</v>
      </c>
      <c r="AE1324">
        <v>0</v>
      </c>
      <c r="AF1324">
        <v>0</v>
      </c>
      <c r="AG1324">
        <v>682</v>
      </c>
      <c r="AH1324">
        <v>0</v>
      </c>
      <c r="AI1324">
        <v>0</v>
      </c>
      <c r="AJ1324">
        <v>0</v>
      </c>
      <c r="AK1324">
        <v>0</v>
      </c>
      <c r="AL1324">
        <v>256</v>
      </c>
      <c r="AM1324">
        <v>0</v>
      </c>
      <c r="AN1324">
        <v>0</v>
      </c>
      <c r="AO1324">
        <v>85</v>
      </c>
      <c r="AP1324">
        <v>10</v>
      </c>
      <c r="AQ1324">
        <v>0</v>
      </c>
      <c r="AR1324">
        <v>1</v>
      </c>
      <c r="AS1324" t="s">
        <v>58</v>
      </c>
      <c r="AT1324">
        <v>1</v>
      </c>
      <c r="AU1324" t="s">
        <v>63</v>
      </c>
      <c r="AV1324" t="s">
        <v>64</v>
      </c>
      <c r="AW1324">
        <v>0</v>
      </c>
      <c r="AX1324">
        <v>2</v>
      </c>
      <c r="AY1324">
        <v>0</v>
      </c>
      <c r="AZ1324">
        <v>12000</v>
      </c>
      <c r="BA1324">
        <v>100</v>
      </c>
      <c r="BB1324">
        <v>100</v>
      </c>
      <c r="BC1324">
        <v>100</v>
      </c>
      <c r="BD1324">
        <v>100</v>
      </c>
      <c r="BE1324">
        <v>1</v>
      </c>
      <c r="BF1324">
        <v>15000</v>
      </c>
      <c r="BG1324">
        <v>1000</v>
      </c>
      <c r="BH1324" s="6">
        <f>Grandview_Inventory[[#This Row],[land_extract]]*Lookups!$B$3</f>
        <v>46638.847281240982</v>
      </c>
      <c r="BI1324" s="6">
        <f>IF(Grandview_Inventory[[#This Row],[bldg_style]]="",0,Lookups!$B$2)</f>
        <v>155833.95000000001</v>
      </c>
      <c r="BJ1324" s="6">
        <f>_xlfn.IFNA(VLOOKUP(Grandview_Inventory[[#This Row],[quality]],Lookups!$H$2:$J$14,3,FALSE),0)</f>
        <v>2251</v>
      </c>
      <c r="BK1324" s="6">
        <f>_xlfn.IFNA(VLOOKUP(Grandview_Inventory[[#This Row],[condition]],Lookups!$H$17:$J$24,3,FALSE),0)</f>
        <v>-4503</v>
      </c>
      <c r="BL1324" s="6">
        <f>Grandview_Inventory[[#This Row],[Eff_Age]]*Lookups!$B$14</f>
        <v>-13632.4962</v>
      </c>
      <c r="BM1324" s="6">
        <f>Grandview_Inventory[[#This Row],[living_area]]*Lookups!$B$15</f>
        <v>128005.510356</v>
      </c>
      <c r="BN1324" s="6">
        <f>Grandview_Inventory[[#This Row],[Fin BSMT]]*Lookups!$B$16</f>
        <v>-18481.681680000002</v>
      </c>
      <c r="BO1324" s="6">
        <f>(Grandview_Inventory[[#This Row],[att_gar]]+Grandview_Inventory[[#This Row],[bltin_gar]])*Lookups!$B$17</f>
        <v>0</v>
      </c>
      <c r="BP1324" s="6">
        <f>Grandview_Inventory[[#This Row],[Plumbing Fixtures]]*Lookups!$B$18</f>
        <v>20104.418000000001</v>
      </c>
      <c r="BQ1324" s="6">
        <f>Grandview_Inventory[[#This Row],[detatched_value]]*Lookups!$B$19</f>
        <v>10161.6612</v>
      </c>
      <c r="BR1324" s="6">
        <f>SUM(Grandview_Inventory[[#This Row],[Intercept]:[det_value]])*Grandview_Inventory[[#This Row],[res_pct]]</f>
        <v>279739.36167599994</v>
      </c>
      <c r="BS1324" s="6">
        <f>Grandview_Inventory[[#This Row],[land_value]]</f>
        <v>46638.847281240982</v>
      </c>
      <c r="BT1324" s="4">
        <f>_xlfn.IFNA(VLOOKUP(Grandview_Inventory[[#This Row],[quality]],Lookups!$A$26:$C$33,3,FALSE),1)</f>
        <v>0.98763855981004833</v>
      </c>
      <c r="BU1324" s="4">
        <f>_xlfn.IFNA(VLOOKUP(Grandview_Inventory[[#This Row],[condition]],Lookups!$A$37:$C$44,3,FALSE),1)</f>
        <v>0.96469275950863709</v>
      </c>
      <c r="BV1324" s="4">
        <f>IF(Grandview_Inventory[[#This Row],[bldg_style]]="",1,_xlfn.IFNA(VLOOKUP(Grandview_Inventory[[#This Row],[decade]],Lookups!$F$29:$H$43,3,FALSE),1))</f>
        <v>0.92255236374249616</v>
      </c>
      <c r="BW1324" s="4">
        <f>_xlfn.IFNA(VLOOKUP(Grandview_Inventory[[#This Row],[living_area_range]],Lookups!$F$47:$H$56,3,FALSE),1)</f>
        <v>0.95799442568048754</v>
      </c>
      <c r="BX1324" s="4">
        <f>AVERAGE(Grandview_Inventory[[#This Row],[qual_adj]:[size_adj]])</f>
        <v>0.95821952718541725</v>
      </c>
      <c r="BY1324" s="6">
        <f>IF(Grandview_Inventory[[#This Row],[pre_res]]&lt;0,0,Grandview_Inventory[[#This Row],[pre_res]]*Grandview_Inventory[[#This Row],[overall_adj]])</f>
        <v>268051.71888032707</v>
      </c>
      <c r="BZ1324" s="6">
        <f>(Grandview_Inventory[[#This Row],[sum_land]]-IF(Grandview_Inventory[[#This Row],[no_utilities]]=1,12000,0))/IF(Grandview_Inventory[[#This Row],[unbuildable]]=1,2,1)</f>
        <v>46638.847281240982</v>
      </c>
      <c r="CA132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24">
        <f>ROUND(Grandview_Inventory[[#This Row],[det_value]]*Lookups!$M$28,-2)</f>
        <v>9700</v>
      </c>
      <c r="CC1324">
        <f>IF(ROUND(Grandview_Inventory[[#This Row],[adj_res]]*Lookups!$M$28,-2)&lt;Grandview_Inventory[[#This Row],[min_res]],Grandview_Inventory[[#This Row],[min_res]],ROUND(Grandview_Inventory[[#This Row],[adj_res]]*Lookups!$M$28,-2))</f>
        <v>254600</v>
      </c>
      <c r="CD1324">
        <f>Grandview_Inventory[[#This Row],[final_det]]+Grandview_Inventory[[#This Row],[final_res]]</f>
        <v>264300</v>
      </c>
      <c r="CE1324">
        <f>Grandview_Inventory[[#This Row],[final_land]]+Grandview_Inventory[[#This Row],[final_imp]]+Grandview_Inventory[[#This Row],[crop_value]]</f>
        <v>308600</v>
      </c>
      <c r="CG1324" t="str">
        <f t="shared" si="20"/>
        <v>update valuation set market_land =44300, market_bldg=264300, market_total =308600, market_mdno =401, market_date ='9/10/2023' where link_id = (select link_id from parcel where parcel_year = '2024' and parcel_id = '23092314424');</v>
      </c>
    </row>
    <row r="1325" spans="1:85" x14ac:dyDescent="0.25">
      <c r="A1325">
        <v>23092314425</v>
      </c>
      <c r="B1325">
        <v>0.16</v>
      </c>
      <c r="C1325">
        <v>7070</v>
      </c>
      <c r="D1325" t="s">
        <v>129</v>
      </c>
      <c r="E1325" t="s">
        <v>53</v>
      </c>
      <c r="F1325" t="s">
        <v>53</v>
      </c>
      <c r="G1325">
        <v>4</v>
      </c>
      <c r="H1325" t="s">
        <v>54</v>
      </c>
      <c r="I1325">
        <v>121900</v>
      </c>
      <c r="J1325">
        <v>39100</v>
      </c>
      <c r="K1325">
        <v>0.16</v>
      </c>
      <c r="L132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25">
        <v>0</v>
      </c>
      <c r="N1325">
        <v>0</v>
      </c>
      <c r="O1325">
        <v>0</v>
      </c>
      <c r="P1325">
        <v>13398.7528</v>
      </c>
      <c r="Q1325">
        <v>63903</v>
      </c>
      <c r="R1325">
        <f>(Grandview_Inventory[[#This Row],[ln_acres]]*Grandview_Inventory[[#This Row],[coeff]])+Grandview_Inventory[[#This Row],[const]]</f>
        <v>39348.693981374228</v>
      </c>
      <c r="S1325" t="s">
        <v>85</v>
      </c>
      <c r="T1325">
        <v>2</v>
      </c>
      <c r="U1325" t="s">
        <v>65</v>
      </c>
      <c r="V1325" t="s">
        <v>78</v>
      </c>
      <c r="W1325">
        <v>0</v>
      </c>
      <c r="X1325">
        <v>0</v>
      </c>
      <c r="Y1325">
        <v>57</v>
      </c>
      <c r="Z1325">
        <v>103</v>
      </c>
      <c r="AA1325">
        <v>110</v>
      </c>
      <c r="AB1325">
        <v>1500</v>
      </c>
      <c r="AC1325">
        <v>1428</v>
      </c>
      <c r="AD1325">
        <v>1128</v>
      </c>
      <c r="AE1325">
        <v>300</v>
      </c>
      <c r="AF1325">
        <v>0</v>
      </c>
      <c r="AG1325">
        <v>0</v>
      </c>
      <c r="AH1325">
        <v>1128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142</v>
      </c>
      <c r="AO1325">
        <v>0</v>
      </c>
      <c r="AP1325">
        <v>5</v>
      </c>
      <c r="AQ1325">
        <v>0</v>
      </c>
      <c r="AR1325">
        <v>1</v>
      </c>
      <c r="AS1325" t="s">
        <v>76</v>
      </c>
      <c r="AT1325">
        <v>1</v>
      </c>
      <c r="AU1325" t="s">
        <v>63</v>
      </c>
      <c r="AV1325" t="s">
        <v>81</v>
      </c>
      <c r="AW1325">
        <v>0</v>
      </c>
      <c r="AX1325">
        <v>3</v>
      </c>
      <c r="AY1325">
        <v>0</v>
      </c>
      <c r="AZ1325">
        <v>7400</v>
      </c>
      <c r="BA1325">
        <v>100</v>
      </c>
      <c r="BB1325">
        <v>100</v>
      </c>
      <c r="BC1325">
        <v>100</v>
      </c>
      <c r="BD1325">
        <v>100</v>
      </c>
      <c r="BE1325">
        <v>1</v>
      </c>
      <c r="BF1325">
        <v>15000</v>
      </c>
      <c r="BG1325">
        <v>1000</v>
      </c>
      <c r="BH1325" s="6">
        <f>Grandview_Inventory[[#This Row],[land_extract]]*Lookups!$B$3</f>
        <v>45695.532079096141</v>
      </c>
      <c r="BI1325" s="6">
        <f>IF(Grandview_Inventory[[#This Row],[bldg_style]]="",0,Lookups!$B$2)</f>
        <v>155833.95000000001</v>
      </c>
      <c r="BJ1325" s="6">
        <f>_xlfn.IFNA(VLOOKUP(Grandview_Inventory[[#This Row],[quality]],Lookups!$H$2:$J$14,3,FALSE),0)</f>
        <v>2251</v>
      </c>
      <c r="BK1325" s="6">
        <f>_xlfn.IFNA(VLOOKUP(Grandview_Inventory[[#This Row],[condition]],Lookups!$H$17:$J$24,3,FALSE),0)</f>
        <v>-45357</v>
      </c>
      <c r="BL1325" s="6">
        <f>Grandview_Inventory[[#This Row],[Eff_Age]]*Lookups!$B$14</f>
        <v>-13632.4962</v>
      </c>
      <c r="BM1325" s="6">
        <f>Grandview_Inventory[[#This Row],[living_area]]*Lookups!$B$15</f>
        <v>89079.858084000007</v>
      </c>
      <c r="BN1325" s="6">
        <f>Grandview_Inventory[[#This Row],[Fin BSMT]]*Lookups!$B$16</f>
        <v>0</v>
      </c>
      <c r="BO1325" s="6">
        <f>(Grandview_Inventory[[#This Row],[att_gar]]+Grandview_Inventory[[#This Row],[bltin_gar]])*Lookups!$B$17</f>
        <v>0</v>
      </c>
      <c r="BP1325" s="6">
        <f>Grandview_Inventory[[#This Row],[Plumbing Fixtures]]*Lookups!$B$18</f>
        <v>10052.209000000001</v>
      </c>
      <c r="BQ1325" s="6">
        <f>Grandview_Inventory[[#This Row],[detatched_value]]*Lookups!$B$19</f>
        <v>6266.3577399999995</v>
      </c>
      <c r="BR1325" s="6">
        <f>SUM(Grandview_Inventory[[#This Row],[Intercept]:[det_value]])*Grandview_Inventory[[#This Row],[res_pct]]</f>
        <v>204493.87862400003</v>
      </c>
      <c r="BS1325" s="6">
        <f>Grandview_Inventory[[#This Row],[land_value]]</f>
        <v>45695.532079096141</v>
      </c>
      <c r="BT1325" s="4">
        <f>_xlfn.IFNA(VLOOKUP(Grandview_Inventory[[#This Row],[quality]],Lookups!$A$26:$C$33,3,FALSE),1)</f>
        <v>0.98763855981004833</v>
      </c>
      <c r="BU1325" s="4">
        <f>_xlfn.IFNA(VLOOKUP(Grandview_Inventory[[#This Row],[condition]],Lookups!$A$37:$C$44,3,FALSE),1)</f>
        <v>0.97161819570155394</v>
      </c>
      <c r="BV1325" s="4">
        <f>IF(Grandview_Inventory[[#This Row],[bldg_style]]="",1,_xlfn.IFNA(VLOOKUP(Grandview_Inventory[[#This Row],[decade]],Lookups!$F$29:$H$43,3,FALSE),1))</f>
        <v>0.92255236374249616</v>
      </c>
      <c r="BW1325" s="4">
        <f>_xlfn.IFNA(VLOOKUP(Grandview_Inventory[[#This Row],[living_area_range]],Lookups!$F$47:$H$56,3,FALSE),1)</f>
        <v>0.96135087979789358</v>
      </c>
      <c r="BX1325" s="4">
        <f>AVERAGE(Grandview_Inventory[[#This Row],[qual_adj]:[size_adj]])</f>
        <v>0.96078999976299806</v>
      </c>
      <c r="BY1325" s="6">
        <f>IF(Grandview_Inventory[[#This Row],[pre_res]]&lt;0,0,Grandview_Inventory[[#This Row],[pre_res]]*Grandview_Inventory[[#This Row],[overall_adj]])</f>
        <v>196475.67359468754</v>
      </c>
      <c r="BZ1325" s="6">
        <f>(Grandview_Inventory[[#This Row],[sum_land]]-IF(Grandview_Inventory[[#This Row],[no_utilities]]=1,12000,0))/IF(Grandview_Inventory[[#This Row],[unbuildable]]=1,2,1)</f>
        <v>45695.532079096141</v>
      </c>
      <c r="CA132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25">
        <f>ROUND(Grandview_Inventory[[#This Row],[det_value]]*Lookups!$M$28,-2)</f>
        <v>6000</v>
      </c>
      <c r="CC1325">
        <f>IF(ROUND(Grandview_Inventory[[#This Row],[adj_res]]*Lookups!$M$28,-2)&lt;Grandview_Inventory[[#This Row],[min_res]],Grandview_Inventory[[#This Row],[min_res]],ROUND(Grandview_Inventory[[#This Row],[adj_res]]*Lookups!$M$28,-2))</f>
        <v>186700</v>
      </c>
      <c r="CD1325">
        <f>Grandview_Inventory[[#This Row],[final_det]]+Grandview_Inventory[[#This Row],[final_res]]</f>
        <v>192700</v>
      </c>
      <c r="CE1325">
        <f>Grandview_Inventory[[#This Row],[final_land]]+Grandview_Inventory[[#This Row],[final_imp]]+Grandview_Inventory[[#This Row],[crop_value]]</f>
        <v>236100</v>
      </c>
      <c r="CG1325" t="str">
        <f t="shared" si="20"/>
        <v>update valuation set market_land =43400, market_bldg=192700, market_total =236100, market_mdno =401, market_date ='9/10/2023' where link_id = (select link_id from parcel where parcel_year = '2024' and parcel_id = '23092314425');</v>
      </c>
    </row>
    <row r="1326" spans="1:85" x14ac:dyDescent="0.25">
      <c r="A1326">
        <v>23092314426</v>
      </c>
      <c r="B1326">
        <v>0.16</v>
      </c>
      <c r="C1326">
        <v>7064</v>
      </c>
      <c r="D1326" t="s">
        <v>129</v>
      </c>
      <c r="E1326" t="s">
        <v>53</v>
      </c>
      <c r="F1326" t="s">
        <v>53</v>
      </c>
      <c r="G1326">
        <v>4</v>
      </c>
      <c r="H1326" t="s">
        <v>54</v>
      </c>
      <c r="I1326">
        <v>97800</v>
      </c>
      <c r="J1326">
        <v>39100</v>
      </c>
      <c r="K1326">
        <v>0.16</v>
      </c>
      <c r="L132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26">
        <v>0</v>
      </c>
      <c r="N1326">
        <v>0</v>
      </c>
      <c r="O1326">
        <v>0</v>
      </c>
      <c r="P1326">
        <v>13398.7528</v>
      </c>
      <c r="Q1326">
        <v>63903</v>
      </c>
      <c r="R1326">
        <f>(Grandview_Inventory[[#This Row],[ln_acres]]*Grandview_Inventory[[#This Row],[coeff]])+Grandview_Inventory[[#This Row],[const]]</f>
        <v>39348.693981374228</v>
      </c>
      <c r="S1326" t="s">
        <v>68</v>
      </c>
      <c r="T1326">
        <v>1</v>
      </c>
      <c r="U1326" t="s">
        <v>80</v>
      </c>
      <c r="V1326" t="s">
        <v>69</v>
      </c>
      <c r="W1326">
        <v>0</v>
      </c>
      <c r="X1326">
        <v>0</v>
      </c>
      <c r="Y1326">
        <v>57</v>
      </c>
      <c r="Z1326">
        <v>103</v>
      </c>
      <c r="AA1326">
        <v>110</v>
      </c>
      <c r="AB1326">
        <v>1000</v>
      </c>
      <c r="AC1326">
        <v>728</v>
      </c>
      <c r="AD1326">
        <v>728</v>
      </c>
      <c r="AE1326">
        <v>0</v>
      </c>
      <c r="AF1326">
        <v>0</v>
      </c>
      <c r="AG1326">
        <v>0</v>
      </c>
      <c r="AH1326">
        <v>100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108</v>
      </c>
      <c r="AO1326">
        <v>0</v>
      </c>
      <c r="AP1326">
        <v>5</v>
      </c>
      <c r="AQ1326">
        <v>0</v>
      </c>
      <c r="AR1326">
        <v>0</v>
      </c>
      <c r="AS1326" t="s">
        <v>58</v>
      </c>
      <c r="AT1326">
        <v>1</v>
      </c>
      <c r="AU1326" t="s">
        <v>75</v>
      </c>
      <c r="AV1326" t="s">
        <v>60</v>
      </c>
      <c r="AW1326">
        <v>0</v>
      </c>
      <c r="AX1326">
        <v>2</v>
      </c>
      <c r="AY1326">
        <v>0</v>
      </c>
      <c r="AZ1326">
        <v>8100</v>
      </c>
      <c r="BA1326">
        <v>100</v>
      </c>
      <c r="BB1326">
        <v>100</v>
      </c>
      <c r="BC1326">
        <v>100</v>
      </c>
      <c r="BD1326">
        <v>100</v>
      </c>
      <c r="BE1326">
        <v>1</v>
      </c>
      <c r="BF1326">
        <v>15000</v>
      </c>
      <c r="BG1326">
        <v>1000</v>
      </c>
      <c r="BH1326" s="6">
        <f>Grandview_Inventory[[#This Row],[land_extract]]*Lookups!$B$3</f>
        <v>45695.532079096141</v>
      </c>
      <c r="BI1326" s="6">
        <f>IF(Grandview_Inventory[[#This Row],[bldg_style]]="",0,Lookups!$B$2)</f>
        <v>155833.95000000001</v>
      </c>
      <c r="BJ1326" s="6">
        <f>_xlfn.IFNA(VLOOKUP(Grandview_Inventory[[#This Row],[quality]],Lookups!$H$2:$J$14,3,FALSE),0)</f>
        <v>-28558</v>
      </c>
      <c r="BK1326" s="6">
        <f>_xlfn.IFNA(VLOOKUP(Grandview_Inventory[[#This Row],[condition]],Lookups!$H$17:$J$24,3,FALSE),0)</f>
        <v>-4503</v>
      </c>
      <c r="BL1326" s="6">
        <f>Grandview_Inventory[[#This Row],[Eff_Age]]*Lookups!$B$14</f>
        <v>-13632.4962</v>
      </c>
      <c r="BM1326" s="6">
        <f>Grandview_Inventory[[#This Row],[living_area]]*Lookups!$B$15</f>
        <v>45413.260984</v>
      </c>
      <c r="BN1326" s="6">
        <f>Grandview_Inventory[[#This Row],[Fin BSMT]]*Lookups!$B$16</f>
        <v>0</v>
      </c>
      <c r="BO1326" s="6">
        <f>(Grandview_Inventory[[#This Row],[att_gar]]+Grandview_Inventory[[#This Row],[bltin_gar]])*Lookups!$B$17</f>
        <v>0</v>
      </c>
      <c r="BP1326" s="6">
        <f>Grandview_Inventory[[#This Row],[Plumbing Fixtures]]*Lookups!$B$18</f>
        <v>10052.209000000001</v>
      </c>
      <c r="BQ1326" s="6">
        <f>Grandview_Inventory[[#This Row],[detatched_value]]*Lookups!$B$19</f>
        <v>6859.1213099999995</v>
      </c>
      <c r="BR1326" s="6">
        <f>SUM(Grandview_Inventory[[#This Row],[Intercept]:[det_value]])*Grandview_Inventory[[#This Row],[res_pct]]</f>
        <v>171465.045094</v>
      </c>
      <c r="BS1326" s="6">
        <f>Grandview_Inventory[[#This Row],[land_value]]</f>
        <v>45695.532079096141</v>
      </c>
      <c r="BT1326" s="4">
        <f>_xlfn.IFNA(VLOOKUP(Grandview_Inventory[[#This Row],[quality]],Lookups!$A$26:$C$33,3,FALSE),1)</f>
        <v>0.9690360070159818</v>
      </c>
      <c r="BU1326" s="4">
        <f>_xlfn.IFNA(VLOOKUP(Grandview_Inventory[[#This Row],[condition]],Lookups!$A$37:$C$44,3,FALSE),1)</f>
        <v>0.96469275950863709</v>
      </c>
      <c r="BV1326" s="4">
        <f>IF(Grandview_Inventory[[#This Row],[bldg_style]]="",1,_xlfn.IFNA(VLOOKUP(Grandview_Inventory[[#This Row],[decade]],Lookups!$F$29:$H$43,3,FALSE),1))</f>
        <v>0.92255236374249616</v>
      </c>
      <c r="BW1326" s="4">
        <f>_xlfn.IFNA(VLOOKUP(Grandview_Inventory[[#This Row],[living_area_range]],Lookups!$F$47:$H$56,3,FALSE),1)</f>
        <v>0.94306777142782894</v>
      </c>
      <c r="BX1326" s="4">
        <f>AVERAGE(Grandview_Inventory[[#This Row],[qual_adj]:[size_adj]])</f>
        <v>0.94983722542373594</v>
      </c>
      <c r="BY1326" s="6">
        <f>IF(Grandview_Inventory[[#This Row],[pre_res]]&lt;0,0,Grandview_Inventory[[#This Row],[pre_res]]*Grandview_Inventory[[#This Row],[overall_adj]])</f>
        <v>162863.88268924074</v>
      </c>
      <c r="BZ1326" s="6">
        <f>(Grandview_Inventory[[#This Row],[sum_land]]-IF(Grandview_Inventory[[#This Row],[no_utilities]]=1,12000,0))/IF(Grandview_Inventory[[#This Row],[unbuildable]]=1,2,1)</f>
        <v>45695.532079096141</v>
      </c>
      <c r="CA132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26">
        <f>ROUND(Grandview_Inventory[[#This Row],[det_value]]*Lookups!$M$28,-2)</f>
        <v>6500</v>
      </c>
      <c r="CC1326">
        <f>IF(ROUND(Grandview_Inventory[[#This Row],[adj_res]]*Lookups!$M$28,-2)&lt;Grandview_Inventory[[#This Row],[min_res]],Grandview_Inventory[[#This Row],[min_res]],ROUND(Grandview_Inventory[[#This Row],[adj_res]]*Lookups!$M$28,-2))</f>
        <v>154700</v>
      </c>
      <c r="CD1326">
        <f>Grandview_Inventory[[#This Row],[final_det]]+Grandview_Inventory[[#This Row],[final_res]]</f>
        <v>161200</v>
      </c>
      <c r="CE1326">
        <f>Grandview_Inventory[[#This Row],[final_land]]+Grandview_Inventory[[#This Row],[final_imp]]+Grandview_Inventory[[#This Row],[crop_value]]</f>
        <v>204600</v>
      </c>
      <c r="CG1326" t="str">
        <f t="shared" si="20"/>
        <v>update valuation set market_land =43400, market_bldg=161200, market_total =204600, market_mdno =401, market_date ='9/10/2023' where link_id = (select link_id from parcel where parcel_year = '2024' and parcel_id = '23092314426');</v>
      </c>
    </row>
    <row r="1327" spans="1:85" x14ac:dyDescent="0.25">
      <c r="A1327">
        <v>23092314427</v>
      </c>
      <c r="B1327">
        <v>0.17</v>
      </c>
      <c r="C1327">
        <v>7387</v>
      </c>
      <c r="D1327" t="s">
        <v>129</v>
      </c>
      <c r="E1327" t="s">
        <v>53</v>
      </c>
      <c r="F1327" t="s">
        <v>53</v>
      </c>
      <c r="G1327">
        <v>4</v>
      </c>
      <c r="H1327" t="s">
        <v>54</v>
      </c>
      <c r="I1327">
        <v>153500</v>
      </c>
      <c r="J1327">
        <v>39300</v>
      </c>
      <c r="K1327">
        <v>0.17</v>
      </c>
      <c r="L132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27">
        <v>0</v>
      </c>
      <c r="N1327">
        <v>0</v>
      </c>
      <c r="O1327">
        <v>0</v>
      </c>
      <c r="P1327">
        <v>13398.7528</v>
      </c>
      <c r="Q1327">
        <v>63903</v>
      </c>
      <c r="R1327">
        <f>(Grandview_Inventory[[#This Row],[ln_acres]]*Grandview_Inventory[[#This Row],[coeff]])+Grandview_Inventory[[#This Row],[const]]</f>
        <v>40160.988302686128</v>
      </c>
      <c r="S1327" t="s">
        <v>85</v>
      </c>
      <c r="T1327">
        <v>2</v>
      </c>
      <c r="U1327" t="s">
        <v>80</v>
      </c>
      <c r="V1327" t="s">
        <v>67</v>
      </c>
      <c r="W1327">
        <v>0</v>
      </c>
      <c r="X1327">
        <v>0</v>
      </c>
      <c r="Y1327">
        <v>57</v>
      </c>
      <c r="Z1327">
        <v>103</v>
      </c>
      <c r="AA1327">
        <v>110</v>
      </c>
      <c r="AB1327">
        <v>1500</v>
      </c>
      <c r="AC1327">
        <v>1411</v>
      </c>
      <c r="AD1327">
        <v>1051</v>
      </c>
      <c r="AE1327">
        <v>360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40</v>
      </c>
      <c r="AO1327">
        <v>0</v>
      </c>
      <c r="AP1327">
        <v>7</v>
      </c>
      <c r="AQ1327">
        <v>0</v>
      </c>
      <c r="AR1327">
        <v>0</v>
      </c>
      <c r="AS1327" t="s">
        <v>58</v>
      </c>
      <c r="AT1327">
        <v>1</v>
      </c>
      <c r="AU1327" t="s">
        <v>63</v>
      </c>
      <c r="AV1327" t="s">
        <v>64</v>
      </c>
      <c r="AW1327">
        <v>0</v>
      </c>
      <c r="AX1327">
        <v>2</v>
      </c>
      <c r="AY1327">
        <v>0</v>
      </c>
      <c r="AZ1327">
        <v>8800</v>
      </c>
      <c r="BA1327">
        <v>100</v>
      </c>
      <c r="BB1327">
        <v>100</v>
      </c>
      <c r="BC1327">
        <v>100</v>
      </c>
      <c r="BD1327">
        <v>100</v>
      </c>
      <c r="BE1327">
        <v>1</v>
      </c>
      <c r="BF1327">
        <v>15000</v>
      </c>
      <c r="BG1327">
        <v>1000</v>
      </c>
      <c r="BH1327" s="6">
        <f>Grandview_Inventory[[#This Row],[land_extract]]*Lookups!$B$3</f>
        <v>46638.847281240982</v>
      </c>
      <c r="BI1327" s="6">
        <f>IF(Grandview_Inventory[[#This Row],[bldg_style]]="",0,Lookups!$B$2)</f>
        <v>155833.95000000001</v>
      </c>
      <c r="BJ1327" s="6">
        <f>_xlfn.IFNA(VLOOKUP(Grandview_Inventory[[#This Row],[quality]],Lookups!$H$2:$J$14,3,FALSE),0)</f>
        <v>-28558</v>
      </c>
      <c r="BK1327" s="6">
        <f>_xlfn.IFNA(VLOOKUP(Grandview_Inventory[[#This Row],[condition]],Lookups!$H$17:$J$24,3,FALSE),0)</f>
        <v>22342</v>
      </c>
      <c r="BL1327" s="6">
        <f>Grandview_Inventory[[#This Row],[Eff_Age]]*Lookups!$B$14</f>
        <v>-13632.4962</v>
      </c>
      <c r="BM1327" s="6">
        <f>Grandview_Inventory[[#This Row],[living_area]]*Lookups!$B$15</f>
        <v>88019.383583000003</v>
      </c>
      <c r="BN1327" s="6">
        <f>Grandview_Inventory[[#This Row],[Fin BSMT]]*Lookups!$B$16</f>
        <v>0</v>
      </c>
      <c r="BO1327" s="6">
        <f>(Grandview_Inventory[[#This Row],[att_gar]]+Grandview_Inventory[[#This Row],[bltin_gar]])*Lookups!$B$17</f>
        <v>0</v>
      </c>
      <c r="BP1327" s="6">
        <f>Grandview_Inventory[[#This Row],[Plumbing Fixtures]]*Lookups!$B$18</f>
        <v>14073.0926</v>
      </c>
      <c r="BQ1327" s="6">
        <f>Grandview_Inventory[[#This Row],[detatched_value]]*Lookups!$B$19</f>
        <v>7451.8848799999996</v>
      </c>
      <c r="BR1327" s="6">
        <f>SUM(Grandview_Inventory[[#This Row],[Intercept]:[det_value]])*Grandview_Inventory[[#This Row],[res_pct]]</f>
        <v>245529.81486300001</v>
      </c>
      <c r="BS1327" s="6">
        <f>Grandview_Inventory[[#This Row],[land_value]]</f>
        <v>46638.847281240982</v>
      </c>
      <c r="BT1327" s="4">
        <f>_xlfn.IFNA(VLOOKUP(Grandview_Inventory[[#This Row],[quality]],Lookups!$A$26:$C$33,3,FALSE),1)</f>
        <v>0.9690360070159818</v>
      </c>
      <c r="BU1327" s="4">
        <f>_xlfn.IFNA(VLOOKUP(Grandview_Inventory[[#This Row],[condition]],Lookups!$A$37:$C$44,3,FALSE),1)</f>
        <v>0.97383723671140243</v>
      </c>
      <c r="BV1327" s="4">
        <f>IF(Grandview_Inventory[[#This Row],[bldg_style]]="",1,_xlfn.IFNA(VLOOKUP(Grandview_Inventory[[#This Row],[decade]],Lookups!$F$29:$H$43,3,FALSE),1))</f>
        <v>0.92255236374249616</v>
      </c>
      <c r="BW1327" s="4">
        <f>_xlfn.IFNA(VLOOKUP(Grandview_Inventory[[#This Row],[living_area_range]],Lookups!$F$47:$H$56,3,FALSE),1)</f>
        <v>0.96135087979789358</v>
      </c>
      <c r="BX1327" s="4">
        <f>AVERAGE(Grandview_Inventory[[#This Row],[qual_adj]:[size_adj]])</f>
        <v>0.95669412181694347</v>
      </c>
      <c r="BY1327" s="6">
        <f>IF(Grandview_Inventory[[#This Row],[pre_res]]&lt;0,0,Grandview_Inventory[[#This Row],[pre_res]]*Grandview_Inventory[[#This Row],[overall_adj]])</f>
        <v>234896.9306102345</v>
      </c>
      <c r="BZ1327" s="6">
        <f>(Grandview_Inventory[[#This Row],[sum_land]]-IF(Grandview_Inventory[[#This Row],[no_utilities]]=1,12000,0))/IF(Grandview_Inventory[[#This Row],[unbuildable]]=1,2,1)</f>
        <v>46638.847281240982</v>
      </c>
      <c r="CA132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27">
        <f>ROUND(Grandview_Inventory[[#This Row],[det_value]]*Lookups!$M$28,-2)</f>
        <v>7100</v>
      </c>
      <c r="CC1327">
        <f>IF(ROUND(Grandview_Inventory[[#This Row],[adj_res]]*Lookups!$M$28,-2)&lt;Grandview_Inventory[[#This Row],[min_res]],Grandview_Inventory[[#This Row],[min_res]],ROUND(Grandview_Inventory[[#This Row],[adj_res]]*Lookups!$M$28,-2))</f>
        <v>223200</v>
      </c>
      <c r="CD1327">
        <f>Grandview_Inventory[[#This Row],[final_det]]+Grandview_Inventory[[#This Row],[final_res]]</f>
        <v>230300</v>
      </c>
      <c r="CE1327">
        <f>Grandview_Inventory[[#This Row],[final_land]]+Grandview_Inventory[[#This Row],[final_imp]]+Grandview_Inventory[[#This Row],[crop_value]]</f>
        <v>274600</v>
      </c>
      <c r="CG1327" t="str">
        <f t="shared" si="20"/>
        <v>update valuation set market_land =44300, market_bldg=230300, market_total =274600, market_mdno =401, market_date ='9/10/2023' where link_id = (select link_id from parcel where parcel_year = '2024' and parcel_id = '23092314427');</v>
      </c>
    </row>
    <row r="1328" spans="1:85" x14ac:dyDescent="0.25">
      <c r="A1328">
        <v>23092314428</v>
      </c>
      <c r="B1328">
        <v>0.2</v>
      </c>
      <c r="C1328">
        <v>8502</v>
      </c>
      <c r="D1328" t="s">
        <v>129</v>
      </c>
      <c r="E1328" t="s">
        <v>53</v>
      </c>
      <c r="F1328" t="s">
        <v>53</v>
      </c>
      <c r="G1328">
        <v>4</v>
      </c>
      <c r="H1328" t="s">
        <v>54</v>
      </c>
      <c r="I1328">
        <v>160400</v>
      </c>
      <c r="J1328">
        <v>39700</v>
      </c>
      <c r="K1328">
        <v>0.2</v>
      </c>
      <c r="L132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28">
        <v>0</v>
      </c>
      <c r="N1328">
        <v>0</v>
      </c>
      <c r="O1328">
        <v>0</v>
      </c>
      <c r="P1328">
        <v>13398.7528</v>
      </c>
      <c r="Q1328">
        <v>63903</v>
      </c>
      <c r="R1328">
        <f>(Grandview_Inventory[[#This Row],[ln_acres]]*Grandview_Inventory[[#This Row],[coeff]])+Grandview_Inventory[[#This Row],[const]]</f>
        <v>42338.539264347448</v>
      </c>
      <c r="S1328" t="s">
        <v>55</v>
      </c>
      <c r="T1328">
        <v>2</v>
      </c>
      <c r="U1328" t="s">
        <v>65</v>
      </c>
      <c r="V1328" t="s">
        <v>69</v>
      </c>
      <c r="W1328">
        <v>0</v>
      </c>
      <c r="X1328">
        <v>0</v>
      </c>
      <c r="Y1328">
        <v>57</v>
      </c>
      <c r="Z1328">
        <v>103</v>
      </c>
      <c r="AA1328">
        <v>110</v>
      </c>
      <c r="AB1328">
        <v>2000</v>
      </c>
      <c r="AC1328">
        <v>1610</v>
      </c>
      <c r="AD1328">
        <v>928</v>
      </c>
      <c r="AE1328">
        <v>682</v>
      </c>
      <c r="AF1328">
        <v>0</v>
      </c>
      <c r="AG1328">
        <v>0</v>
      </c>
      <c r="AH1328">
        <v>928</v>
      </c>
      <c r="AI1328">
        <v>0</v>
      </c>
      <c r="AJ1328">
        <v>0</v>
      </c>
      <c r="AK1328">
        <v>0</v>
      </c>
      <c r="AL1328">
        <v>88</v>
      </c>
      <c r="AM1328">
        <v>0</v>
      </c>
      <c r="AN1328">
        <v>0</v>
      </c>
      <c r="AO1328">
        <v>0</v>
      </c>
      <c r="AP1328">
        <v>7</v>
      </c>
      <c r="AQ1328">
        <v>0</v>
      </c>
      <c r="AR1328">
        <v>1</v>
      </c>
      <c r="AS1328" t="s">
        <v>58</v>
      </c>
      <c r="AT1328">
        <v>1</v>
      </c>
      <c r="AU1328" t="s">
        <v>63</v>
      </c>
      <c r="AV1328" t="s">
        <v>64</v>
      </c>
      <c r="AW1328">
        <v>0</v>
      </c>
      <c r="AX1328">
        <v>3</v>
      </c>
      <c r="AY1328">
        <v>0</v>
      </c>
      <c r="AZ1328">
        <v>0</v>
      </c>
      <c r="BA1328">
        <v>100</v>
      </c>
      <c r="BB1328">
        <v>100</v>
      </c>
      <c r="BC1328">
        <v>100</v>
      </c>
      <c r="BD1328">
        <v>100</v>
      </c>
      <c r="BE1328">
        <v>1</v>
      </c>
      <c r="BF1328">
        <v>15000</v>
      </c>
      <c r="BG1328">
        <v>1000</v>
      </c>
      <c r="BH1328" s="6">
        <f>Grandview_Inventory[[#This Row],[land_extract]]*Lookups!$B$3</f>
        <v>49167.631333630678</v>
      </c>
      <c r="BI1328" s="6">
        <f>IF(Grandview_Inventory[[#This Row],[bldg_style]]="",0,Lookups!$B$2)</f>
        <v>155833.95000000001</v>
      </c>
      <c r="BJ1328" s="6">
        <f>_xlfn.IFNA(VLOOKUP(Grandview_Inventory[[#This Row],[quality]],Lookups!$H$2:$J$14,3,FALSE),0)</f>
        <v>2251</v>
      </c>
      <c r="BK1328" s="6">
        <f>_xlfn.IFNA(VLOOKUP(Grandview_Inventory[[#This Row],[condition]],Lookups!$H$17:$J$24,3,FALSE),0)</f>
        <v>-4503</v>
      </c>
      <c r="BL1328" s="6">
        <f>Grandview_Inventory[[#This Row],[Eff_Age]]*Lookups!$B$14</f>
        <v>-13632.4962</v>
      </c>
      <c r="BM1328" s="6">
        <f>Grandview_Inventory[[#This Row],[living_area]]*Lookups!$B$15</f>
        <v>100433.17333000001</v>
      </c>
      <c r="BN1328" s="6">
        <f>Grandview_Inventory[[#This Row],[Fin BSMT]]*Lookups!$B$16</f>
        <v>0</v>
      </c>
      <c r="BO1328" s="6">
        <f>(Grandview_Inventory[[#This Row],[att_gar]]+Grandview_Inventory[[#This Row],[bltin_gar]])*Lookups!$B$17</f>
        <v>0</v>
      </c>
      <c r="BP1328" s="6">
        <f>Grandview_Inventory[[#This Row],[Plumbing Fixtures]]*Lookups!$B$18</f>
        <v>14073.0926</v>
      </c>
      <c r="BQ1328" s="6">
        <f>Grandview_Inventory[[#This Row],[detatched_value]]*Lookups!$B$19</f>
        <v>0</v>
      </c>
      <c r="BR1328" s="6">
        <f>SUM(Grandview_Inventory[[#This Row],[Intercept]:[det_value]])*Grandview_Inventory[[#This Row],[res_pct]]</f>
        <v>254455.71973000004</v>
      </c>
      <c r="BS1328" s="6">
        <f>Grandview_Inventory[[#This Row],[land_value]]</f>
        <v>49167.631333630678</v>
      </c>
      <c r="BT1328" s="4">
        <f>_xlfn.IFNA(VLOOKUP(Grandview_Inventory[[#This Row],[quality]],Lookups!$A$26:$C$33,3,FALSE),1)</f>
        <v>0.98763855981004833</v>
      </c>
      <c r="BU1328" s="4">
        <f>_xlfn.IFNA(VLOOKUP(Grandview_Inventory[[#This Row],[condition]],Lookups!$A$37:$C$44,3,FALSE),1)</f>
        <v>0.96469275950863709</v>
      </c>
      <c r="BV1328" s="4">
        <f>IF(Grandview_Inventory[[#This Row],[bldg_style]]="",1,_xlfn.IFNA(VLOOKUP(Grandview_Inventory[[#This Row],[decade]],Lookups!$F$29:$H$43,3,FALSE),1))</f>
        <v>0.92255236374249616</v>
      </c>
      <c r="BW1328" s="4">
        <f>_xlfn.IFNA(VLOOKUP(Grandview_Inventory[[#This Row],[living_area_range]],Lookups!$F$47:$H$56,3,FALSE),1)</f>
        <v>0.96120133463014379</v>
      </c>
      <c r="BX1328" s="4">
        <f>AVERAGE(Grandview_Inventory[[#This Row],[qual_adj]:[size_adj]])</f>
        <v>0.95902125442283137</v>
      </c>
      <c r="BY1328" s="6">
        <f>IF(Grandview_Inventory[[#This Row],[pre_res]]&lt;0,0,Grandview_Inventory[[#This Row],[pre_res]]*Grandview_Inventory[[#This Row],[overall_adj]])</f>
        <v>244028.44353052904</v>
      </c>
      <c r="BZ1328" s="6">
        <f>(Grandview_Inventory[[#This Row],[sum_land]]-IF(Grandview_Inventory[[#This Row],[no_utilities]]=1,12000,0))/IF(Grandview_Inventory[[#This Row],[unbuildable]]=1,2,1)</f>
        <v>49167.631333630678</v>
      </c>
      <c r="CA132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28">
        <f>ROUND(Grandview_Inventory[[#This Row],[det_value]]*Lookups!$M$28,-2)</f>
        <v>0</v>
      </c>
      <c r="CC1328">
        <f>IF(ROUND(Grandview_Inventory[[#This Row],[adj_res]]*Lookups!$M$28,-2)&lt;Grandview_Inventory[[#This Row],[min_res]],Grandview_Inventory[[#This Row],[min_res]],ROUND(Grandview_Inventory[[#This Row],[adj_res]]*Lookups!$M$28,-2))</f>
        <v>231800</v>
      </c>
      <c r="CD1328">
        <f>Grandview_Inventory[[#This Row],[final_det]]+Grandview_Inventory[[#This Row],[final_res]]</f>
        <v>231800</v>
      </c>
      <c r="CE1328">
        <f>Grandview_Inventory[[#This Row],[final_land]]+Grandview_Inventory[[#This Row],[final_imp]]+Grandview_Inventory[[#This Row],[crop_value]]</f>
        <v>278500</v>
      </c>
      <c r="CG1328" t="str">
        <f t="shared" si="20"/>
        <v>update valuation set market_land =46700, market_bldg=231800, market_total =278500, market_mdno =401, market_date ='9/10/2023' where link_id = (select link_id from parcel where parcel_year = '2024' and parcel_id = '23092314428');</v>
      </c>
    </row>
    <row r="1329" spans="1:85" x14ac:dyDescent="0.25">
      <c r="A1329">
        <v>23092314430</v>
      </c>
      <c r="B1329">
        <v>0.18</v>
      </c>
      <c r="C1329">
        <v>7692</v>
      </c>
      <c r="D1329" t="s">
        <v>129</v>
      </c>
      <c r="E1329" t="s">
        <v>53</v>
      </c>
      <c r="F1329" t="s">
        <v>53</v>
      </c>
      <c r="G1329">
        <v>4</v>
      </c>
      <c r="H1329" t="s">
        <v>54</v>
      </c>
      <c r="I1329">
        <v>159500</v>
      </c>
      <c r="J1329">
        <v>39300</v>
      </c>
      <c r="K1329">
        <v>0.18</v>
      </c>
      <c r="L132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29">
        <v>0</v>
      </c>
      <c r="N1329">
        <v>0</v>
      </c>
      <c r="O1329">
        <v>0</v>
      </c>
      <c r="P1329">
        <v>13398.7528</v>
      </c>
      <c r="Q1329">
        <v>63903</v>
      </c>
      <c r="R1329">
        <f>(Grandview_Inventory[[#This Row],[ln_acres]]*Grandview_Inventory[[#This Row],[coeff]])+Grandview_Inventory[[#This Row],[const]]</f>
        <v>40926.839760167699</v>
      </c>
      <c r="S1329" t="s">
        <v>68</v>
      </c>
      <c r="T1329">
        <v>1</v>
      </c>
      <c r="U1329" t="s">
        <v>65</v>
      </c>
      <c r="V1329" t="s">
        <v>69</v>
      </c>
      <c r="W1329">
        <v>0</v>
      </c>
      <c r="X1329">
        <v>0</v>
      </c>
      <c r="Y1329">
        <v>51</v>
      </c>
      <c r="Z1329">
        <v>83</v>
      </c>
      <c r="AA1329">
        <v>90</v>
      </c>
      <c r="AB1329">
        <v>2000</v>
      </c>
      <c r="AC1329">
        <v>1792</v>
      </c>
      <c r="AD1329">
        <v>896</v>
      </c>
      <c r="AE1329">
        <v>0</v>
      </c>
      <c r="AF1329">
        <v>0</v>
      </c>
      <c r="AG1329">
        <v>896</v>
      </c>
      <c r="AH1329">
        <v>0</v>
      </c>
      <c r="AI1329">
        <v>0</v>
      </c>
      <c r="AJ1329">
        <v>0</v>
      </c>
      <c r="AK1329">
        <v>420</v>
      </c>
      <c r="AL1329">
        <v>0</v>
      </c>
      <c r="AM1329">
        <v>392</v>
      </c>
      <c r="AN1329">
        <v>196</v>
      </c>
      <c r="AO1329">
        <v>392</v>
      </c>
      <c r="AP1329">
        <v>9</v>
      </c>
      <c r="AQ1329">
        <v>0</v>
      </c>
      <c r="AR1329">
        <v>1</v>
      </c>
      <c r="AS1329" t="s">
        <v>58</v>
      </c>
      <c r="AT1329">
        <v>1</v>
      </c>
      <c r="AU1329" t="s">
        <v>63</v>
      </c>
      <c r="AV1329" t="s">
        <v>64</v>
      </c>
      <c r="AW1329">
        <v>1</v>
      </c>
      <c r="AX1329">
        <v>2</v>
      </c>
      <c r="AY1329">
        <v>0</v>
      </c>
      <c r="AZ1329">
        <v>0</v>
      </c>
      <c r="BA1329">
        <v>100</v>
      </c>
      <c r="BB1329">
        <v>100</v>
      </c>
      <c r="BC1329">
        <v>100</v>
      </c>
      <c r="BD1329">
        <v>100</v>
      </c>
      <c r="BE1329">
        <v>1</v>
      </c>
      <c r="BF1329">
        <v>15000</v>
      </c>
      <c r="BG1329">
        <v>1000</v>
      </c>
      <c r="BH1329" s="6">
        <f>Grandview_Inventory[[#This Row],[land_extract]]*Lookups!$B$3</f>
        <v>47528.228511015397</v>
      </c>
      <c r="BI1329" s="6">
        <f>IF(Grandview_Inventory[[#This Row],[bldg_style]]="",0,Lookups!$B$2)</f>
        <v>155833.95000000001</v>
      </c>
      <c r="BJ1329" s="6">
        <f>_xlfn.IFNA(VLOOKUP(Grandview_Inventory[[#This Row],[quality]],Lookups!$H$2:$J$14,3,FALSE),0)</f>
        <v>2251</v>
      </c>
      <c r="BK1329" s="6">
        <f>_xlfn.IFNA(VLOOKUP(Grandview_Inventory[[#This Row],[condition]],Lookups!$H$17:$J$24,3,FALSE),0)</f>
        <v>-4503</v>
      </c>
      <c r="BL1329" s="6">
        <f>Grandview_Inventory[[#This Row],[Eff_Age]]*Lookups!$B$14</f>
        <v>-12197.496599999999</v>
      </c>
      <c r="BM1329" s="6">
        <f>Grandview_Inventory[[#This Row],[living_area]]*Lookups!$B$15</f>
        <v>111786.488576</v>
      </c>
      <c r="BN1329" s="6">
        <f>Grandview_Inventory[[#This Row],[Fin BSMT]]*Lookups!$B$16</f>
        <v>-24280.919040000001</v>
      </c>
      <c r="BO1329" s="6">
        <f>(Grandview_Inventory[[#This Row],[att_gar]]+Grandview_Inventory[[#This Row],[bltin_gar]])*Lookups!$B$17</f>
        <v>0</v>
      </c>
      <c r="BP1329" s="6">
        <f>Grandview_Inventory[[#This Row],[Plumbing Fixtures]]*Lookups!$B$18</f>
        <v>18093.976200000001</v>
      </c>
      <c r="BQ1329" s="6">
        <f>Grandview_Inventory[[#This Row],[detatched_value]]*Lookups!$B$19</f>
        <v>0</v>
      </c>
      <c r="BR1329" s="6">
        <f>SUM(Grandview_Inventory[[#This Row],[Intercept]:[det_value]])*Grandview_Inventory[[#This Row],[res_pct]]</f>
        <v>246983.999136</v>
      </c>
      <c r="BS1329" s="6">
        <f>Grandview_Inventory[[#This Row],[land_value]]</f>
        <v>47528.228511015397</v>
      </c>
      <c r="BT1329" s="4">
        <f>_xlfn.IFNA(VLOOKUP(Grandview_Inventory[[#This Row],[quality]],Lookups!$A$26:$C$33,3,FALSE),1)</f>
        <v>0.98763855981004833</v>
      </c>
      <c r="BU1329" s="4">
        <f>_xlfn.IFNA(VLOOKUP(Grandview_Inventory[[#This Row],[condition]],Lookups!$A$37:$C$44,3,FALSE),1)</f>
        <v>0.96469275950863709</v>
      </c>
      <c r="BV1329" s="4">
        <f>IF(Grandview_Inventory[[#This Row],[bldg_style]]="",1,_xlfn.IFNA(VLOOKUP(Grandview_Inventory[[#This Row],[decade]],Lookups!$F$29:$H$43,3,FALSE),1))</f>
        <v>0.94161750052457416</v>
      </c>
      <c r="BW1329" s="4">
        <f>_xlfn.IFNA(VLOOKUP(Grandview_Inventory[[#This Row],[living_area_range]],Lookups!$F$47:$H$56,3,FALSE),1)</f>
        <v>0.96120133463014379</v>
      </c>
      <c r="BX1329" s="4">
        <f>AVERAGE(Grandview_Inventory[[#This Row],[qual_adj]:[size_adj]])</f>
        <v>0.96378753861835076</v>
      </c>
      <c r="BY1329" s="6">
        <f>IF(Grandview_Inventory[[#This Row],[pre_res]]&lt;0,0,Grandview_Inventory[[#This Row],[pre_res]]*Grandview_Inventory[[#This Row],[overall_adj]])</f>
        <v>238040.10060540232</v>
      </c>
      <c r="BZ1329" s="6">
        <f>(Grandview_Inventory[[#This Row],[sum_land]]-IF(Grandview_Inventory[[#This Row],[no_utilities]]=1,12000,0))/IF(Grandview_Inventory[[#This Row],[unbuildable]]=1,2,1)</f>
        <v>47528.228511015397</v>
      </c>
      <c r="CA132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29">
        <f>ROUND(Grandview_Inventory[[#This Row],[det_value]]*Lookups!$M$28,-2)</f>
        <v>0</v>
      </c>
      <c r="CC1329">
        <f>IF(ROUND(Grandview_Inventory[[#This Row],[adj_res]]*Lookups!$M$28,-2)&lt;Grandview_Inventory[[#This Row],[min_res]],Grandview_Inventory[[#This Row],[min_res]],ROUND(Grandview_Inventory[[#This Row],[adj_res]]*Lookups!$M$28,-2))</f>
        <v>226100</v>
      </c>
      <c r="CD1329">
        <f>Grandview_Inventory[[#This Row],[final_det]]+Grandview_Inventory[[#This Row],[final_res]]</f>
        <v>226100</v>
      </c>
      <c r="CE1329">
        <f>Grandview_Inventory[[#This Row],[final_land]]+Grandview_Inventory[[#This Row],[final_imp]]+Grandview_Inventory[[#This Row],[crop_value]]</f>
        <v>271300</v>
      </c>
      <c r="CG1329" t="str">
        <f t="shared" si="20"/>
        <v>update valuation set market_land =45200, market_bldg=226100, market_total =271300, market_mdno =401, market_date ='9/10/2023' where link_id = (select link_id from parcel where parcel_year = '2024' and parcel_id = '23092314430');</v>
      </c>
    </row>
    <row r="1330" spans="1:85" x14ac:dyDescent="0.25">
      <c r="A1330">
        <v>23092314431</v>
      </c>
      <c r="B1330">
        <v>0.21</v>
      </c>
      <c r="C1330">
        <v>9335</v>
      </c>
      <c r="D1330" t="s">
        <v>129</v>
      </c>
      <c r="E1330" t="s">
        <v>53</v>
      </c>
      <c r="F1330" t="s">
        <v>53</v>
      </c>
      <c r="G1330">
        <v>4</v>
      </c>
      <c r="H1330" t="s">
        <v>54</v>
      </c>
      <c r="I1330">
        <v>130200</v>
      </c>
      <c r="J1330">
        <v>39800</v>
      </c>
      <c r="K1330">
        <v>0.21</v>
      </c>
      <c r="L133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30">
        <v>0</v>
      </c>
      <c r="N1330">
        <v>0</v>
      </c>
      <c r="O1330">
        <v>0</v>
      </c>
      <c r="P1330">
        <v>13398.7528</v>
      </c>
      <c r="Q1330">
        <v>63903</v>
      </c>
      <c r="R1330">
        <f>(Grandview_Inventory[[#This Row],[ln_acres]]*Grandview_Inventory[[#This Row],[coeff]])+Grandview_Inventory[[#This Row],[const]]</f>
        <v>42992.266613125081</v>
      </c>
      <c r="S1330" t="s">
        <v>68</v>
      </c>
      <c r="T1330">
        <v>1</v>
      </c>
      <c r="U1330" t="s">
        <v>80</v>
      </c>
      <c r="V1330" t="s">
        <v>69</v>
      </c>
      <c r="W1330">
        <v>0</v>
      </c>
      <c r="X1330">
        <v>0</v>
      </c>
      <c r="Y1330">
        <v>57</v>
      </c>
      <c r="Z1330">
        <v>103</v>
      </c>
      <c r="AA1330">
        <v>110</v>
      </c>
      <c r="AB1330">
        <v>2000</v>
      </c>
      <c r="AC1330">
        <v>1588</v>
      </c>
      <c r="AD1330">
        <v>1588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8</v>
      </c>
      <c r="AQ1330">
        <v>0</v>
      </c>
      <c r="AR1330">
        <v>0</v>
      </c>
      <c r="AS1330" t="s">
        <v>58</v>
      </c>
      <c r="AT1330">
        <v>1</v>
      </c>
      <c r="AU1330" t="s">
        <v>75</v>
      </c>
      <c r="AV1330" t="s">
        <v>60</v>
      </c>
      <c r="AW1330">
        <v>0</v>
      </c>
      <c r="AX1330">
        <v>2</v>
      </c>
      <c r="AY1330">
        <v>0</v>
      </c>
      <c r="AZ1330">
        <v>0</v>
      </c>
      <c r="BA1330">
        <v>100</v>
      </c>
      <c r="BB1330">
        <v>100</v>
      </c>
      <c r="BC1330">
        <v>100</v>
      </c>
      <c r="BD1330">
        <v>100</v>
      </c>
      <c r="BE1330">
        <v>1</v>
      </c>
      <c r="BF1330">
        <v>15000</v>
      </c>
      <c r="BG1330">
        <v>1000</v>
      </c>
      <c r="BH1330" s="6">
        <f>Grandview_Inventory[[#This Row],[land_extract]]*Lookups!$B$3</f>
        <v>49926.8031387023</v>
      </c>
      <c r="BI1330" s="6">
        <f>IF(Grandview_Inventory[[#This Row],[bldg_style]]="",0,Lookups!$B$2)</f>
        <v>155833.95000000001</v>
      </c>
      <c r="BJ1330" s="6">
        <f>_xlfn.IFNA(VLOOKUP(Grandview_Inventory[[#This Row],[quality]],Lookups!$H$2:$J$14,3,FALSE),0)</f>
        <v>-28558</v>
      </c>
      <c r="BK1330" s="6">
        <f>_xlfn.IFNA(VLOOKUP(Grandview_Inventory[[#This Row],[condition]],Lookups!$H$17:$J$24,3,FALSE),0)</f>
        <v>-4503</v>
      </c>
      <c r="BL1330" s="6">
        <f>Grandview_Inventory[[#This Row],[Eff_Age]]*Lookups!$B$14</f>
        <v>-13632.4962</v>
      </c>
      <c r="BM1330" s="6">
        <f>Grandview_Inventory[[#This Row],[living_area]]*Lookups!$B$15</f>
        <v>99060.794563999996</v>
      </c>
      <c r="BN1330" s="6">
        <f>Grandview_Inventory[[#This Row],[Fin BSMT]]*Lookups!$B$16</f>
        <v>0</v>
      </c>
      <c r="BO1330" s="6">
        <f>(Grandview_Inventory[[#This Row],[att_gar]]+Grandview_Inventory[[#This Row],[bltin_gar]])*Lookups!$B$17</f>
        <v>0</v>
      </c>
      <c r="BP1330" s="6">
        <f>Grandview_Inventory[[#This Row],[Plumbing Fixtures]]*Lookups!$B$18</f>
        <v>16083.5344</v>
      </c>
      <c r="BQ1330" s="6">
        <f>Grandview_Inventory[[#This Row],[detatched_value]]*Lookups!$B$19</f>
        <v>0</v>
      </c>
      <c r="BR1330" s="6">
        <f>SUM(Grandview_Inventory[[#This Row],[Intercept]:[det_value]])*Grandview_Inventory[[#This Row],[res_pct]]</f>
        <v>224284.782764</v>
      </c>
      <c r="BS1330" s="6">
        <f>Grandview_Inventory[[#This Row],[land_value]]</f>
        <v>49926.8031387023</v>
      </c>
      <c r="BT1330" s="4">
        <f>_xlfn.IFNA(VLOOKUP(Grandview_Inventory[[#This Row],[quality]],Lookups!$A$26:$C$33,3,FALSE),1)</f>
        <v>0.9690360070159818</v>
      </c>
      <c r="BU1330" s="4">
        <f>_xlfn.IFNA(VLOOKUP(Grandview_Inventory[[#This Row],[condition]],Lookups!$A$37:$C$44,3,FALSE),1)</f>
        <v>0.96469275950863709</v>
      </c>
      <c r="BV1330" s="4">
        <f>IF(Grandview_Inventory[[#This Row],[bldg_style]]="",1,_xlfn.IFNA(VLOOKUP(Grandview_Inventory[[#This Row],[decade]],Lookups!$F$29:$H$43,3,FALSE),1))</f>
        <v>0.92255236374249616</v>
      </c>
      <c r="BW1330" s="4">
        <f>_xlfn.IFNA(VLOOKUP(Grandview_Inventory[[#This Row],[living_area_range]],Lookups!$F$47:$H$56,3,FALSE),1)</f>
        <v>0.96120133463014379</v>
      </c>
      <c r="BX1330" s="4">
        <f>AVERAGE(Grandview_Inventory[[#This Row],[qual_adj]:[size_adj]])</f>
        <v>0.95437061622431463</v>
      </c>
      <c r="BY1330" s="6">
        <f>IF(Grandview_Inventory[[#This Row],[pre_res]]&lt;0,0,Grandview_Inventory[[#This Row],[pre_res]]*Grandview_Inventory[[#This Row],[overall_adj]])</f>
        <v>214050.80633621523</v>
      </c>
      <c r="BZ1330" s="6">
        <f>(Grandview_Inventory[[#This Row],[sum_land]]-IF(Grandview_Inventory[[#This Row],[no_utilities]]=1,12000,0))/IF(Grandview_Inventory[[#This Row],[unbuildable]]=1,2,1)</f>
        <v>49926.8031387023</v>
      </c>
      <c r="CA133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30">
        <f>ROUND(Grandview_Inventory[[#This Row],[det_value]]*Lookups!$M$28,-2)</f>
        <v>0</v>
      </c>
      <c r="CC1330">
        <f>IF(ROUND(Grandview_Inventory[[#This Row],[adj_res]]*Lookups!$M$28,-2)&lt;Grandview_Inventory[[#This Row],[min_res]],Grandview_Inventory[[#This Row],[min_res]],ROUND(Grandview_Inventory[[#This Row],[adj_res]]*Lookups!$M$28,-2))</f>
        <v>203300</v>
      </c>
      <c r="CD1330">
        <f>Grandview_Inventory[[#This Row],[final_det]]+Grandview_Inventory[[#This Row],[final_res]]</f>
        <v>203300</v>
      </c>
      <c r="CE1330">
        <f>Grandview_Inventory[[#This Row],[final_land]]+Grandview_Inventory[[#This Row],[final_imp]]+Grandview_Inventory[[#This Row],[crop_value]]</f>
        <v>250700</v>
      </c>
      <c r="CG1330" t="str">
        <f t="shared" si="20"/>
        <v>update valuation set market_land =47400, market_bldg=203300, market_total =250700, market_mdno =401, market_date ='9/10/2023' where link_id = (select link_id from parcel where parcel_year = '2024' and parcel_id = '23092314431');</v>
      </c>
    </row>
    <row r="1331" spans="1:85" x14ac:dyDescent="0.25">
      <c r="A1331">
        <v>23092314432</v>
      </c>
      <c r="B1331">
        <v>0.23</v>
      </c>
      <c r="C1331">
        <v>10000</v>
      </c>
      <c r="D1331" t="s">
        <v>129</v>
      </c>
      <c r="E1331" t="s">
        <v>53</v>
      </c>
      <c r="F1331" t="s">
        <v>53</v>
      </c>
      <c r="G1331">
        <v>4</v>
      </c>
      <c r="H1331" t="s">
        <v>54</v>
      </c>
      <c r="I1331">
        <v>201900</v>
      </c>
      <c r="J1331">
        <v>40000</v>
      </c>
      <c r="K1331">
        <v>0.23</v>
      </c>
      <c r="L133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331">
        <v>0</v>
      </c>
      <c r="N1331">
        <v>0</v>
      </c>
      <c r="O1331">
        <v>0</v>
      </c>
      <c r="P1331">
        <v>13398.7528</v>
      </c>
      <c r="Q1331">
        <v>63903</v>
      </c>
      <c r="R1331">
        <f>(Grandview_Inventory[[#This Row],[ln_acres]]*Grandview_Inventory[[#This Row],[coeff]])+Grandview_Inventory[[#This Row],[const]]</f>
        <v>44211.174981080039</v>
      </c>
      <c r="S1331" t="s">
        <v>68</v>
      </c>
      <c r="T1331">
        <v>1</v>
      </c>
      <c r="U1331" t="s">
        <v>70</v>
      </c>
      <c r="V1331" t="s">
        <v>67</v>
      </c>
      <c r="W1331">
        <v>0</v>
      </c>
      <c r="X1331">
        <v>0</v>
      </c>
      <c r="Y1331">
        <v>49</v>
      </c>
      <c r="Z1331">
        <v>68</v>
      </c>
      <c r="AA1331">
        <v>70</v>
      </c>
      <c r="AB1331">
        <v>1500</v>
      </c>
      <c r="AC1331">
        <v>1478</v>
      </c>
      <c r="AD1331">
        <v>1056</v>
      </c>
      <c r="AE1331">
        <v>0</v>
      </c>
      <c r="AF1331">
        <v>0</v>
      </c>
      <c r="AG1331">
        <v>422</v>
      </c>
      <c r="AH1331">
        <v>634</v>
      </c>
      <c r="AI1331">
        <v>468</v>
      </c>
      <c r="AJ1331">
        <v>0</v>
      </c>
      <c r="AK1331">
        <v>0</v>
      </c>
      <c r="AL1331">
        <v>0</v>
      </c>
      <c r="AM1331">
        <v>624</v>
      </c>
      <c r="AN1331">
        <v>132</v>
      </c>
      <c r="AO1331">
        <v>624</v>
      </c>
      <c r="AP1331">
        <v>5</v>
      </c>
      <c r="AQ1331">
        <v>0</v>
      </c>
      <c r="AR1331">
        <v>0</v>
      </c>
      <c r="AS1331" t="s">
        <v>58</v>
      </c>
      <c r="AT1331">
        <v>1</v>
      </c>
      <c r="AU1331" t="s">
        <v>63</v>
      </c>
      <c r="AV1331" t="s">
        <v>64</v>
      </c>
      <c r="AW1331">
        <v>1</v>
      </c>
      <c r="AX1331">
        <v>3</v>
      </c>
      <c r="AY1331">
        <v>0</v>
      </c>
      <c r="AZ1331">
        <v>0</v>
      </c>
      <c r="BA1331">
        <v>100</v>
      </c>
      <c r="BB1331">
        <v>100</v>
      </c>
      <c r="BC1331">
        <v>100</v>
      </c>
      <c r="BD1331">
        <v>100</v>
      </c>
      <c r="BE1331">
        <v>1</v>
      </c>
      <c r="BF1331">
        <v>15000</v>
      </c>
      <c r="BG1331">
        <v>1000</v>
      </c>
      <c r="BH1331" s="6">
        <f>Grandview_Inventory[[#This Row],[land_extract]]*Lookups!$B$3</f>
        <v>51342.318135355803</v>
      </c>
      <c r="BI1331" s="6">
        <f>IF(Grandview_Inventory[[#This Row],[bldg_style]]="",0,Lookups!$B$2)</f>
        <v>155833.95000000001</v>
      </c>
      <c r="BJ1331" s="6">
        <f>_xlfn.IFNA(VLOOKUP(Grandview_Inventory[[#This Row],[quality]],Lookups!$H$2:$J$14,3,FALSE),0)</f>
        <v>10733</v>
      </c>
      <c r="BK1331" s="6">
        <f>_xlfn.IFNA(VLOOKUP(Grandview_Inventory[[#This Row],[condition]],Lookups!$H$17:$J$24,3,FALSE),0)</f>
        <v>22342</v>
      </c>
      <c r="BL1331" s="6">
        <f>Grandview_Inventory[[#This Row],[Eff_Age]]*Lookups!$B$14</f>
        <v>-11719.163399999999</v>
      </c>
      <c r="BM1331" s="6">
        <f>Grandview_Inventory[[#This Row],[living_area]]*Lookups!$B$15</f>
        <v>92198.90073400001</v>
      </c>
      <c r="BN1331" s="6">
        <f>Grandview_Inventory[[#This Row],[Fin BSMT]]*Lookups!$B$16</f>
        <v>-11435.879280000001</v>
      </c>
      <c r="BO1331" s="6">
        <f>(Grandview_Inventory[[#This Row],[att_gar]]+Grandview_Inventory[[#This Row],[bltin_gar]])*Lookups!$B$17</f>
        <v>40959.564515999999</v>
      </c>
      <c r="BP1331" s="6">
        <f>Grandview_Inventory[[#This Row],[Plumbing Fixtures]]*Lookups!$B$18</f>
        <v>10052.209000000001</v>
      </c>
      <c r="BQ1331" s="6">
        <f>Grandview_Inventory[[#This Row],[detatched_value]]*Lookups!$B$19</f>
        <v>0</v>
      </c>
      <c r="BR1331" s="6">
        <f>SUM(Grandview_Inventory[[#This Row],[Intercept]:[det_value]])*Grandview_Inventory[[#This Row],[res_pct]]</f>
        <v>308964.58156999998</v>
      </c>
      <c r="BS1331" s="6">
        <f>Grandview_Inventory[[#This Row],[land_value]]</f>
        <v>51342.318135355803</v>
      </c>
      <c r="BT1331" s="4">
        <f>_xlfn.IFNA(VLOOKUP(Grandview_Inventory[[#This Row],[quality]],Lookups!$A$26:$C$33,3,FALSE),1)</f>
        <v>0.98079741117310582</v>
      </c>
      <c r="BU1331" s="4">
        <f>_xlfn.IFNA(VLOOKUP(Grandview_Inventory[[#This Row],[condition]],Lookups!$A$37:$C$44,3,FALSE),1)</f>
        <v>0.97383723671140243</v>
      </c>
      <c r="BV1331" s="4">
        <f>IF(Grandview_Inventory[[#This Row],[bldg_style]]="",1,_xlfn.IFNA(VLOOKUP(Grandview_Inventory[[#This Row],[decade]],Lookups!$F$29:$H$43,3,FALSE),1))</f>
        <v>0.99472141305414818</v>
      </c>
      <c r="BW1331" s="4">
        <f>_xlfn.IFNA(VLOOKUP(Grandview_Inventory[[#This Row],[living_area_range]],Lookups!$F$47:$H$56,3,FALSE),1)</f>
        <v>0.96135087979789358</v>
      </c>
      <c r="BX1331" s="4">
        <f>AVERAGE(Grandview_Inventory[[#This Row],[qual_adj]:[size_adj]])</f>
        <v>0.97767673518413756</v>
      </c>
      <c r="BY1331" s="6">
        <f>IF(Grandview_Inventory[[#This Row],[pre_res]]&lt;0,0,Grandview_Inventory[[#This Row],[pre_res]]*Grandview_Inventory[[#This Row],[overall_adj]])</f>
        <v>302067.48339689075</v>
      </c>
      <c r="BZ1331" s="6">
        <f>(Grandview_Inventory[[#This Row],[sum_land]]-IF(Grandview_Inventory[[#This Row],[no_utilities]]=1,12000,0))/IF(Grandview_Inventory[[#This Row],[unbuildable]]=1,2,1)</f>
        <v>51342.318135355803</v>
      </c>
      <c r="CA133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331">
        <f>ROUND(Grandview_Inventory[[#This Row],[det_value]]*Lookups!$M$28,-2)</f>
        <v>0</v>
      </c>
      <c r="CC1331">
        <f>IF(ROUND(Grandview_Inventory[[#This Row],[adj_res]]*Lookups!$M$28,-2)&lt;Grandview_Inventory[[#This Row],[min_res]],Grandview_Inventory[[#This Row],[min_res]],ROUND(Grandview_Inventory[[#This Row],[adj_res]]*Lookups!$M$28,-2))</f>
        <v>287000</v>
      </c>
      <c r="CD1331">
        <f>Grandview_Inventory[[#This Row],[final_det]]+Grandview_Inventory[[#This Row],[final_res]]</f>
        <v>287000</v>
      </c>
      <c r="CE1331">
        <f>Grandview_Inventory[[#This Row],[final_land]]+Grandview_Inventory[[#This Row],[final_imp]]+Grandview_Inventory[[#This Row],[crop_value]]</f>
        <v>335800</v>
      </c>
      <c r="CG1331" t="str">
        <f t="shared" si="20"/>
        <v>update valuation set market_land =48800, market_bldg=287000, market_total =335800, market_mdno =401, market_date ='9/10/2023' where link_id = (select link_id from parcel where parcel_year = '2024' and parcel_id = '23092314432');</v>
      </c>
    </row>
    <row r="1332" spans="1:85" x14ac:dyDescent="0.25">
      <c r="A1332">
        <v>23092314436</v>
      </c>
      <c r="B1332">
        <v>0.31</v>
      </c>
      <c r="C1332">
        <v>13563</v>
      </c>
      <c r="D1332" t="s">
        <v>129</v>
      </c>
      <c r="E1332" t="s">
        <v>53</v>
      </c>
      <c r="F1332" t="s">
        <v>53</v>
      </c>
      <c r="G1332">
        <v>4</v>
      </c>
      <c r="H1332" t="s">
        <v>54</v>
      </c>
      <c r="I1332">
        <v>80800</v>
      </c>
      <c r="J1332">
        <v>41600</v>
      </c>
      <c r="K1332">
        <v>0.31</v>
      </c>
      <c r="L1332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332">
        <v>0</v>
      </c>
      <c r="N1332">
        <v>0</v>
      </c>
      <c r="O1332">
        <v>0</v>
      </c>
      <c r="P1332">
        <v>13398.7528</v>
      </c>
      <c r="Q1332">
        <v>63903</v>
      </c>
      <c r="R1332">
        <f>(Grandview_Inventory[[#This Row],[ln_acres]]*Grandview_Inventory[[#This Row],[coeff]])+Grandview_Inventory[[#This Row],[const]]</f>
        <v>48210.608747275066</v>
      </c>
      <c r="S1332" t="s">
        <v>68</v>
      </c>
      <c r="T1332">
        <v>1</v>
      </c>
      <c r="U1332" t="s">
        <v>80</v>
      </c>
      <c r="V1332" t="s">
        <v>78</v>
      </c>
      <c r="W1332">
        <v>0</v>
      </c>
      <c r="X1332">
        <v>0</v>
      </c>
      <c r="Y1332">
        <v>55</v>
      </c>
      <c r="Z1332">
        <v>98</v>
      </c>
      <c r="AA1332">
        <v>100</v>
      </c>
      <c r="AB1332">
        <v>1500</v>
      </c>
      <c r="AC1332">
        <v>1142</v>
      </c>
      <c r="AD1332">
        <v>1142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88</v>
      </c>
      <c r="AO1332">
        <v>0</v>
      </c>
      <c r="AP1332">
        <v>5</v>
      </c>
      <c r="AQ1332">
        <v>0</v>
      </c>
      <c r="AR1332">
        <v>0</v>
      </c>
      <c r="AS1332" t="s">
        <v>58</v>
      </c>
      <c r="AT1332">
        <v>1</v>
      </c>
      <c r="AU1332" t="s">
        <v>63</v>
      </c>
      <c r="AV1332" t="s">
        <v>81</v>
      </c>
      <c r="AW1332">
        <v>0</v>
      </c>
      <c r="AX1332">
        <v>2</v>
      </c>
      <c r="AY1332">
        <v>0</v>
      </c>
      <c r="AZ1332">
        <v>5300</v>
      </c>
      <c r="BA1332">
        <v>100</v>
      </c>
      <c r="BB1332">
        <v>100</v>
      </c>
      <c r="BC1332">
        <v>100</v>
      </c>
      <c r="BD1332">
        <v>100</v>
      </c>
      <c r="BE1332">
        <v>1</v>
      </c>
      <c r="BF1332">
        <v>15000</v>
      </c>
      <c r="BG1332">
        <v>1000</v>
      </c>
      <c r="BH1332" s="6">
        <f>Grandview_Inventory[[#This Row],[land_extract]]*Lookups!$B$3</f>
        <v>55986.849769566914</v>
      </c>
      <c r="BI1332" s="6">
        <f>IF(Grandview_Inventory[[#This Row],[bldg_style]]="",0,Lookups!$B$2)</f>
        <v>155833.95000000001</v>
      </c>
      <c r="BJ1332" s="6">
        <f>_xlfn.IFNA(VLOOKUP(Grandview_Inventory[[#This Row],[quality]],Lookups!$H$2:$J$14,3,FALSE),0)</f>
        <v>-28558</v>
      </c>
      <c r="BK1332" s="6">
        <f>_xlfn.IFNA(VLOOKUP(Grandview_Inventory[[#This Row],[condition]],Lookups!$H$17:$J$24,3,FALSE),0)</f>
        <v>-45357</v>
      </c>
      <c r="BL1332" s="6">
        <f>Grandview_Inventory[[#This Row],[Eff_Age]]*Lookups!$B$14</f>
        <v>-13154.162999999999</v>
      </c>
      <c r="BM1332" s="6">
        <f>Grandview_Inventory[[#This Row],[living_area]]*Lookups!$B$15</f>
        <v>71238.934126000007</v>
      </c>
      <c r="BN1332" s="6">
        <f>Grandview_Inventory[[#This Row],[Fin BSMT]]*Lookups!$B$16</f>
        <v>0</v>
      </c>
      <c r="BO1332" s="6">
        <f>(Grandview_Inventory[[#This Row],[att_gar]]+Grandview_Inventory[[#This Row],[bltin_gar]])*Lookups!$B$17</f>
        <v>0</v>
      </c>
      <c r="BP1332" s="6">
        <f>Grandview_Inventory[[#This Row],[Plumbing Fixtures]]*Lookups!$B$18</f>
        <v>10052.209000000001</v>
      </c>
      <c r="BQ1332" s="6">
        <f>Grandview_Inventory[[#This Row],[detatched_value]]*Lookups!$B$19</f>
        <v>4488.0670300000002</v>
      </c>
      <c r="BR1332" s="6">
        <f>SUM(Grandview_Inventory[[#This Row],[Intercept]:[det_value]])*Grandview_Inventory[[#This Row],[res_pct]]</f>
        <v>154543.99715600003</v>
      </c>
      <c r="BS1332" s="6">
        <f>Grandview_Inventory[[#This Row],[land_value]]</f>
        <v>55986.849769566914</v>
      </c>
      <c r="BT1332" s="4">
        <f>_xlfn.IFNA(VLOOKUP(Grandview_Inventory[[#This Row],[quality]],Lookups!$A$26:$C$33,3,FALSE),1)</f>
        <v>0.9690360070159818</v>
      </c>
      <c r="BU1332" s="4">
        <f>_xlfn.IFNA(VLOOKUP(Grandview_Inventory[[#This Row],[condition]],Lookups!$A$37:$C$44,3,FALSE),1)</f>
        <v>0.97161819570155394</v>
      </c>
      <c r="BV1332" s="4">
        <f>IF(Grandview_Inventory[[#This Row],[bldg_style]]="",1,_xlfn.IFNA(VLOOKUP(Grandview_Inventory[[#This Row],[decade]],Lookups!$F$29:$H$43,3,FALSE),1))</f>
        <v>0.95244691841736806</v>
      </c>
      <c r="BW1332" s="4">
        <f>_xlfn.IFNA(VLOOKUP(Grandview_Inventory[[#This Row],[living_area_range]],Lookups!$F$47:$H$56,3,FALSE),1)</f>
        <v>0.96135087979789358</v>
      </c>
      <c r="BX1332" s="4">
        <f>AVERAGE(Grandview_Inventory[[#This Row],[qual_adj]:[size_adj]])</f>
        <v>0.96361300023319929</v>
      </c>
      <c r="BY1332" s="6">
        <f>IF(Grandview_Inventory[[#This Row],[pre_res]]&lt;0,0,Grandview_Inventory[[#This Row],[pre_res]]*Grandview_Inventory[[#This Row],[overall_adj]])</f>
        <v>148920.6047675242</v>
      </c>
      <c r="BZ1332" s="6">
        <f>(Grandview_Inventory[[#This Row],[sum_land]]-IF(Grandview_Inventory[[#This Row],[no_utilities]]=1,12000,0))/IF(Grandview_Inventory[[#This Row],[unbuildable]]=1,2,1)</f>
        <v>55986.849769566914</v>
      </c>
      <c r="CA1332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332">
        <f>ROUND(Grandview_Inventory[[#This Row],[det_value]]*Lookups!$M$28,-2)</f>
        <v>4300</v>
      </c>
      <c r="CC1332">
        <f>IF(ROUND(Grandview_Inventory[[#This Row],[adj_res]]*Lookups!$M$28,-2)&lt;Grandview_Inventory[[#This Row],[min_res]],Grandview_Inventory[[#This Row],[min_res]],ROUND(Grandview_Inventory[[#This Row],[adj_res]]*Lookups!$M$28,-2))</f>
        <v>141500</v>
      </c>
      <c r="CD1332">
        <f>Grandview_Inventory[[#This Row],[final_det]]+Grandview_Inventory[[#This Row],[final_res]]</f>
        <v>145800</v>
      </c>
      <c r="CE1332">
        <f>Grandview_Inventory[[#This Row],[final_land]]+Grandview_Inventory[[#This Row],[final_imp]]+Grandview_Inventory[[#This Row],[crop_value]]</f>
        <v>199000</v>
      </c>
      <c r="CG1332" t="str">
        <f t="shared" si="20"/>
        <v>update valuation set market_land =53200, market_bldg=145800, market_total =199000, market_mdno =401, market_date ='9/10/2023' where link_id = (select link_id from parcel where parcel_year = '2024' and parcel_id = '23092314436');</v>
      </c>
    </row>
    <row r="1333" spans="1:85" x14ac:dyDescent="0.25">
      <c r="A1333">
        <v>23092314437</v>
      </c>
      <c r="B1333">
        <v>0.18</v>
      </c>
      <c r="C1333">
        <v>7804</v>
      </c>
      <c r="D1333" t="s">
        <v>129</v>
      </c>
      <c r="E1333" t="s">
        <v>53</v>
      </c>
      <c r="F1333" t="s">
        <v>53</v>
      </c>
      <c r="G1333">
        <v>4</v>
      </c>
      <c r="H1333" t="s">
        <v>54</v>
      </c>
      <c r="I1333">
        <v>105100</v>
      </c>
      <c r="J1333">
        <v>39300</v>
      </c>
      <c r="K1333">
        <v>0.18</v>
      </c>
      <c r="L133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33">
        <v>0</v>
      </c>
      <c r="N1333">
        <v>0</v>
      </c>
      <c r="O1333">
        <v>0</v>
      </c>
      <c r="P1333">
        <v>13398.7528</v>
      </c>
      <c r="Q1333">
        <v>63903</v>
      </c>
      <c r="R1333">
        <f>(Grandview_Inventory[[#This Row],[ln_acres]]*Grandview_Inventory[[#This Row],[coeff]])+Grandview_Inventory[[#This Row],[const]]</f>
        <v>40926.839760167699</v>
      </c>
      <c r="S1333" t="s">
        <v>68</v>
      </c>
      <c r="T1333">
        <v>1</v>
      </c>
      <c r="U1333" t="s">
        <v>70</v>
      </c>
      <c r="V1333" t="s">
        <v>69</v>
      </c>
      <c r="W1333">
        <v>0</v>
      </c>
      <c r="X1333">
        <v>0</v>
      </c>
      <c r="Y1333">
        <v>51</v>
      </c>
      <c r="Z1333">
        <v>78</v>
      </c>
      <c r="AA1333">
        <v>80</v>
      </c>
      <c r="AB1333">
        <v>1000</v>
      </c>
      <c r="AC1333">
        <v>748</v>
      </c>
      <c r="AD1333">
        <v>748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28</v>
      </c>
      <c r="AO1333">
        <v>0</v>
      </c>
      <c r="AP1333">
        <v>5</v>
      </c>
      <c r="AQ1333">
        <v>0</v>
      </c>
      <c r="AR1333">
        <v>0</v>
      </c>
      <c r="AS1333" t="s">
        <v>58</v>
      </c>
      <c r="AT1333">
        <v>1</v>
      </c>
      <c r="AU1333" t="s">
        <v>63</v>
      </c>
      <c r="AV1333" t="s">
        <v>81</v>
      </c>
      <c r="AW1333">
        <v>0</v>
      </c>
      <c r="AX1333">
        <v>2</v>
      </c>
      <c r="AY1333">
        <v>0</v>
      </c>
      <c r="AZ1333">
        <v>4400</v>
      </c>
      <c r="BA1333">
        <v>100</v>
      </c>
      <c r="BB1333">
        <v>100</v>
      </c>
      <c r="BC1333">
        <v>100</v>
      </c>
      <c r="BD1333">
        <v>100</v>
      </c>
      <c r="BE1333">
        <v>1</v>
      </c>
      <c r="BF1333">
        <v>15000</v>
      </c>
      <c r="BG1333">
        <v>1000</v>
      </c>
      <c r="BH1333" s="6">
        <f>Grandview_Inventory[[#This Row],[land_extract]]*Lookups!$B$3</f>
        <v>47528.228511015397</v>
      </c>
      <c r="BI1333" s="6">
        <f>IF(Grandview_Inventory[[#This Row],[bldg_style]]="",0,Lookups!$B$2)</f>
        <v>155833.95000000001</v>
      </c>
      <c r="BJ1333" s="6">
        <f>_xlfn.IFNA(VLOOKUP(Grandview_Inventory[[#This Row],[quality]],Lookups!$H$2:$J$14,3,FALSE),0)</f>
        <v>10733</v>
      </c>
      <c r="BK1333" s="6">
        <f>_xlfn.IFNA(VLOOKUP(Grandview_Inventory[[#This Row],[condition]],Lookups!$H$17:$J$24,3,FALSE),0)</f>
        <v>-4503</v>
      </c>
      <c r="BL1333" s="6">
        <f>Grandview_Inventory[[#This Row],[Eff_Age]]*Lookups!$B$14</f>
        <v>-12197.496599999999</v>
      </c>
      <c r="BM1333" s="6">
        <f>Grandview_Inventory[[#This Row],[living_area]]*Lookups!$B$15</f>
        <v>46660.878044000005</v>
      </c>
      <c r="BN1333" s="6">
        <f>Grandview_Inventory[[#This Row],[Fin BSMT]]*Lookups!$B$16</f>
        <v>0</v>
      </c>
      <c r="BO1333" s="6">
        <f>(Grandview_Inventory[[#This Row],[att_gar]]+Grandview_Inventory[[#This Row],[bltin_gar]])*Lookups!$B$17</f>
        <v>0</v>
      </c>
      <c r="BP1333" s="6">
        <f>Grandview_Inventory[[#This Row],[Plumbing Fixtures]]*Lookups!$B$18</f>
        <v>10052.209000000001</v>
      </c>
      <c r="BQ1333" s="6">
        <f>Grandview_Inventory[[#This Row],[detatched_value]]*Lookups!$B$19</f>
        <v>3725.9424399999998</v>
      </c>
      <c r="BR1333" s="6">
        <f>SUM(Grandview_Inventory[[#This Row],[Intercept]:[det_value]])*Grandview_Inventory[[#This Row],[res_pct]]</f>
        <v>210305.48288400003</v>
      </c>
      <c r="BS1333" s="6">
        <f>Grandview_Inventory[[#This Row],[land_value]]</f>
        <v>47528.228511015397</v>
      </c>
      <c r="BT1333" s="4">
        <f>_xlfn.IFNA(VLOOKUP(Grandview_Inventory[[#This Row],[quality]],Lookups!$A$26:$C$33,3,FALSE),1)</f>
        <v>0.98079741117310582</v>
      </c>
      <c r="BU1333" s="4">
        <f>_xlfn.IFNA(VLOOKUP(Grandview_Inventory[[#This Row],[condition]],Lookups!$A$37:$C$44,3,FALSE),1)</f>
        <v>0.96469275950863709</v>
      </c>
      <c r="BV1333" s="4">
        <f>IF(Grandview_Inventory[[#This Row],[bldg_style]]="",1,_xlfn.IFNA(VLOOKUP(Grandview_Inventory[[#This Row],[decade]],Lookups!$F$29:$H$43,3,FALSE),1))</f>
        <v>0.98763256963907298</v>
      </c>
      <c r="BW1333" s="4">
        <f>_xlfn.IFNA(VLOOKUP(Grandview_Inventory[[#This Row],[living_area_range]],Lookups!$F$47:$H$56,3,FALSE),1)</f>
        <v>0.94306777142782894</v>
      </c>
      <c r="BX1333" s="4">
        <f>AVERAGE(Grandview_Inventory[[#This Row],[qual_adj]:[size_adj]])</f>
        <v>0.96904762793716115</v>
      </c>
      <c r="BY1333" s="6">
        <f>IF(Grandview_Inventory[[#This Row],[pre_res]]&lt;0,0,Grandview_Inventory[[#This Row],[pre_res]]*Grandview_Inventory[[#This Row],[overall_adj]])</f>
        <v>203796.02933091947</v>
      </c>
      <c r="BZ1333" s="6">
        <f>(Grandview_Inventory[[#This Row],[sum_land]]-IF(Grandview_Inventory[[#This Row],[no_utilities]]=1,12000,0))/IF(Grandview_Inventory[[#This Row],[unbuildable]]=1,2,1)</f>
        <v>47528.228511015397</v>
      </c>
      <c r="CA133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33">
        <f>ROUND(Grandview_Inventory[[#This Row],[det_value]]*Lookups!$M$28,-2)</f>
        <v>3500</v>
      </c>
      <c r="CC1333">
        <f>IF(ROUND(Grandview_Inventory[[#This Row],[adj_res]]*Lookups!$M$28,-2)&lt;Grandview_Inventory[[#This Row],[min_res]],Grandview_Inventory[[#This Row],[min_res]],ROUND(Grandview_Inventory[[#This Row],[adj_res]]*Lookups!$M$28,-2))</f>
        <v>193600</v>
      </c>
      <c r="CD1333">
        <f>Grandview_Inventory[[#This Row],[final_det]]+Grandview_Inventory[[#This Row],[final_res]]</f>
        <v>197100</v>
      </c>
      <c r="CE1333">
        <f>Grandview_Inventory[[#This Row],[final_land]]+Grandview_Inventory[[#This Row],[final_imp]]+Grandview_Inventory[[#This Row],[crop_value]]</f>
        <v>242300</v>
      </c>
      <c r="CG1333" t="str">
        <f t="shared" si="20"/>
        <v>update valuation set market_land =45200, market_bldg=197100, market_total =242300, market_mdno =401, market_date ='9/10/2023' where link_id = (select link_id from parcel where parcel_year = '2024' and parcel_id = '23092314437');</v>
      </c>
    </row>
    <row r="1334" spans="1:85" x14ac:dyDescent="0.25">
      <c r="A1334">
        <v>23092314438</v>
      </c>
      <c r="B1334">
        <v>0.2</v>
      </c>
      <c r="C1334">
        <v>8782</v>
      </c>
      <c r="D1334" t="s">
        <v>129</v>
      </c>
      <c r="E1334" t="s">
        <v>53</v>
      </c>
      <c r="F1334" t="s">
        <v>53</v>
      </c>
      <c r="G1334">
        <v>4</v>
      </c>
      <c r="H1334" t="s">
        <v>54</v>
      </c>
      <c r="I1334">
        <v>145600</v>
      </c>
      <c r="J1334">
        <v>39800</v>
      </c>
      <c r="K1334">
        <v>0.2</v>
      </c>
      <c r="L133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34">
        <v>0</v>
      </c>
      <c r="N1334">
        <v>0</v>
      </c>
      <c r="O1334">
        <v>0</v>
      </c>
      <c r="P1334">
        <v>13398.7528</v>
      </c>
      <c r="Q1334">
        <v>63903</v>
      </c>
      <c r="R1334">
        <f>(Grandview_Inventory[[#This Row],[ln_acres]]*Grandview_Inventory[[#This Row],[coeff]])+Grandview_Inventory[[#This Row],[const]]</f>
        <v>42338.539264347448</v>
      </c>
      <c r="S1334" t="s">
        <v>85</v>
      </c>
      <c r="T1334">
        <v>2</v>
      </c>
      <c r="U1334" t="s">
        <v>65</v>
      </c>
      <c r="V1334" t="s">
        <v>69</v>
      </c>
      <c r="W1334">
        <v>0</v>
      </c>
      <c r="X1334">
        <v>0</v>
      </c>
      <c r="Y1334">
        <v>60</v>
      </c>
      <c r="Z1334">
        <v>108</v>
      </c>
      <c r="AA1334">
        <v>110</v>
      </c>
      <c r="AB1334">
        <v>2000</v>
      </c>
      <c r="AC1334">
        <v>1712</v>
      </c>
      <c r="AD1334">
        <v>972</v>
      </c>
      <c r="AE1334">
        <v>740</v>
      </c>
      <c r="AF1334">
        <v>0</v>
      </c>
      <c r="AG1334">
        <v>0</v>
      </c>
      <c r="AH1334">
        <v>729</v>
      </c>
      <c r="AI1334">
        <v>0</v>
      </c>
      <c r="AJ1334">
        <v>0</v>
      </c>
      <c r="AK1334">
        <v>0</v>
      </c>
      <c r="AL1334">
        <v>0</v>
      </c>
      <c r="AM1334">
        <v>84</v>
      </c>
      <c r="AN1334">
        <v>196</v>
      </c>
      <c r="AO1334">
        <v>0</v>
      </c>
      <c r="AP1334">
        <v>5</v>
      </c>
      <c r="AQ1334">
        <v>0</v>
      </c>
      <c r="AR1334">
        <v>0</v>
      </c>
      <c r="AS1334" t="s">
        <v>58</v>
      </c>
      <c r="AT1334">
        <v>1</v>
      </c>
      <c r="AU1334" t="s">
        <v>63</v>
      </c>
      <c r="AV1334" t="s">
        <v>64</v>
      </c>
      <c r="AW1334">
        <v>1</v>
      </c>
      <c r="AX1334">
        <v>3</v>
      </c>
      <c r="AY1334">
        <v>0</v>
      </c>
      <c r="AZ1334">
        <v>0</v>
      </c>
      <c r="BA1334">
        <v>100</v>
      </c>
      <c r="BB1334">
        <v>100</v>
      </c>
      <c r="BC1334">
        <v>100</v>
      </c>
      <c r="BD1334">
        <v>100</v>
      </c>
      <c r="BE1334">
        <v>1</v>
      </c>
      <c r="BF1334">
        <v>15000</v>
      </c>
      <c r="BG1334">
        <v>1000</v>
      </c>
      <c r="BH1334" s="6">
        <f>Grandview_Inventory[[#This Row],[land_extract]]*Lookups!$B$3</f>
        <v>49167.631333630678</v>
      </c>
      <c r="BI1334" s="6">
        <f>IF(Grandview_Inventory[[#This Row],[bldg_style]]="",0,Lookups!$B$2)</f>
        <v>155833.95000000001</v>
      </c>
      <c r="BJ1334" s="6">
        <f>_xlfn.IFNA(VLOOKUP(Grandview_Inventory[[#This Row],[quality]],Lookups!$H$2:$J$14,3,FALSE),0)</f>
        <v>2251</v>
      </c>
      <c r="BK1334" s="6">
        <f>_xlfn.IFNA(VLOOKUP(Grandview_Inventory[[#This Row],[condition]],Lookups!$H$17:$J$24,3,FALSE),0)</f>
        <v>-4503</v>
      </c>
      <c r="BL1334" s="6">
        <f>Grandview_Inventory[[#This Row],[Eff_Age]]*Lookups!$B$14</f>
        <v>-14349.995999999999</v>
      </c>
      <c r="BM1334" s="6">
        <f>Grandview_Inventory[[#This Row],[living_area]]*Lookups!$B$15</f>
        <v>106796.020336</v>
      </c>
      <c r="BN1334" s="6">
        <f>Grandview_Inventory[[#This Row],[Fin BSMT]]*Lookups!$B$16</f>
        <v>0</v>
      </c>
      <c r="BO1334" s="6">
        <f>(Grandview_Inventory[[#This Row],[att_gar]]+Grandview_Inventory[[#This Row],[bltin_gar]])*Lookups!$B$17</f>
        <v>0</v>
      </c>
      <c r="BP1334" s="6">
        <f>Grandview_Inventory[[#This Row],[Plumbing Fixtures]]*Lookups!$B$18</f>
        <v>10052.209000000001</v>
      </c>
      <c r="BQ1334" s="6">
        <f>Grandview_Inventory[[#This Row],[detatched_value]]*Lookups!$B$19</f>
        <v>0</v>
      </c>
      <c r="BR1334" s="6">
        <f>SUM(Grandview_Inventory[[#This Row],[Intercept]:[det_value]])*Grandview_Inventory[[#This Row],[res_pct]]</f>
        <v>256080.18333600005</v>
      </c>
      <c r="BS1334" s="6">
        <f>Grandview_Inventory[[#This Row],[land_value]]</f>
        <v>49167.631333630678</v>
      </c>
      <c r="BT1334" s="4">
        <f>_xlfn.IFNA(VLOOKUP(Grandview_Inventory[[#This Row],[quality]],Lookups!$A$26:$C$33,3,FALSE),1)</f>
        <v>0.98763855981004833</v>
      </c>
      <c r="BU1334" s="4">
        <f>_xlfn.IFNA(VLOOKUP(Grandview_Inventory[[#This Row],[condition]],Lookups!$A$37:$C$44,3,FALSE),1)</f>
        <v>0.96469275950863709</v>
      </c>
      <c r="BV1334" s="4">
        <f>IF(Grandview_Inventory[[#This Row],[bldg_style]]="",1,_xlfn.IFNA(VLOOKUP(Grandview_Inventory[[#This Row],[decade]],Lookups!$F$29:$H$43,3,FALSE),1))</f>
        <v>0.92255236374249616</v>
      </c>
      <c r="BW1334" s="4">
        <f>_xlfn.IFNA(VLOOKUP(Grandview_Inventory[[#This Row],[living_area_range]],Lookups!$F$47:$H$56,3,FALSE),1)</f>
        <v>0.96120133463014379</v>
      </c>
      <c r="BX1334" s="4">
        <f>AVERAGE(Grandview_Inventory[[#This Row],[qual_adj]:[size_adj]])</f>
        <v>0.95902125442283137</v>
      </c>
      <c r="BY1334" s="6">
        <f>IF(Grandview_Inventory[[#This Row],[pre_res]]&lt;0,0,Grandview_Inventory[[#This Row],[pre_res]]*Grandview_Inventory[[#This Row],[overall_adj]])</f>
        <v>245586.33865571939</v>
      </c>
      <c r="BZ1334" s="6">
        <f>(Grandview_Inventory[[#This Row],[sum_land]]-IF(Grandview_Inventory[[#This Row],[no_utilities]]=1,12000,0))/IF(Grandview_Inventory[[#This Row],[unbuildable]]=1,2,1)</f>
        <v>49167.631333630678</v>
      </c>
      <c r="CA133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34">
        <f>ROUND(Grandview_Inventory[[#This Row],[det_value]]*Lookups!$M$28,-2)</f>
        <v>0</v>
      </c>
      <c r="CC1334">
        <f>IF(ROUND(Grandview_Inventory[[#This Row],[adj_res]]*Lookups!$M$28,-2)&lt;Grandview_Inventory[[#This Row],[min_res]],Grandview_Inventory[[#This Row],[min_res]],ROUND(Grandview_Inventory[[#This Row],[adj_res]]*Lookups!$M$28,-2))</f>
        <v>233300</v>
      </c>
      <c r="CD1334">
        <f>Grandview_Inventory[[#This Row],[final_det]]+Grandview_Inventory[[#This Row],[final_res]]</f>
        <v>233300</v>
      </c>
      <c r="CE1334">
        <f>Grandview_Inventory[[#This Row],[final_land]]+Grandview_Inventory[[#This Row],[final_imp]]+Grandview_Inventory[[#This Row],[crop_value]]</f>
        <v>280000</v>
      </c>
      <c r="CG1334" t="str">
        <f t="shared" si="20"/>
        <v>update valuation set market_land =46700, market_bldg=233300, market_total =280000, market_mdno =401, market_date ='9/10/2023' where link_id = (select link_id from parcel where parcel_year = '2024' and parcel_id = '23092314438');</v>
      </c>
    </row>
    <row r="1335" spans="1:85" x14ac:dyDescent="0.25">
      <c r="A1335">
        <v>23092314441</v>
      </c>
      <c r="B1335">
        <v>0.51</v>
      </c>
      <c r="C1335">
        <v>22392</v>
      </c>
      <c r="D1335" t="s">
        <v>129</v>
      </c>
      <c r="E1335" t="s">
        <v>53</v>
      </c>
      <c r="F1335" t="s">
        <v>53</v>
      </c>
      <c r="G1335">
        <v>4</v>
      </c>
      <c r="H1335" t="s">
        <v>54</v>
      </c>
      <c r="I1335">
        <v>148900</v>
      </c>
      <c r="J1335">
        <v>42400</v>
      </c>
      <c r="K1335">
        <v>0.51</v>
      </c>
      <c r="L1335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1335">
        <v>0</v>
      </c>
      <c r="N1335">
        <v>0</v>
      </c>
      <c r="O1335">
        <v>0</v>
      </c>
      <c r="P1335">
        <v>13398.7528</v>
      </c>
      <c r="Q1335">
        <v>63903</v>
      </c>
      <c r="R1335">
        <f>(Grandview_Inventory[[#This Row],[ln_acres]]*Grandview_Inventory[[#This Row],[coeff]])+Grandview_Inventory[[#This Row],[const]]</f>
        <v>54881.022781592372</v>
      </c>
      <c r="S1335" t="s">
        <v>68</v>
      </c>
      <c r="T1335">
        <v>1</v>
      </c>
      <c r="U1335" t="s">
        <v>80</v>
      </c>
      <c r="V1335" t="s">
        <v>67</v>
      </c>
      <c r="W1335">
        <v>0</v>
      </c>
      <c r="X1335">
        <v>0</v>
      </c>
      <c r="Y1335">
        <v>52</v>
      </c>
      <c r="Z1335">
        <v>88</v>
      </c>
      <c r="AA1335">
        <v>90</v>
      </c>
      <c r="AB1335">
        <v>1500</v>
      </c>
      <c r="AC1335">
        <v>1008</v>
      </c>
      <c r="AD1335">
        <v>1008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90</v>
      </c>
      <c r="AN1335">
        <v>20</v>
      </c>
      <c r="AO1335">
        <v>90</v>
      </c>
      <c r="AP1335">
        <v>5</v>
      </c>
      <c r="AQ1335">
        <v>0</v>
      </c>
      <c r="AR1335">
        <v>1</v>
      </c>
      <c r="AS1335" t="s">
        <v>58</v>
      </c>
      <c r="AT1335">
        <v>1</v>
      </c>
      <c r="AU1335" t="s">
        <v>63</v>
      </c>
      <c r="AV1335" t="s">
        <v>64</v>
      </c>
      <c r="AW1335">
        <v>0</v>
      </c>
      <c r="AX1335">
        <v>2</v>
      </c>
      <c r="AY1335">
        <v>0</v>
      </c>
      <c r="AZ1335">
        <v>11500</v>
      </c>
      <c r="BA1335">
        <v>100</v>
      </c>
      <c r="BB1335">
        <v>100</v>
      </c>
      <c r="BC1335">
        <v>100</v>
      </c>
      <c r="BD1335">
        <v>100</v>
      </c>
      <c r="BE1335">
        <v>1</v>
      </c>
      <c r="BF1335">
        <v>15000</v>
      </c>
      <c r="BG1335">
        <v>1000</v>
      </c>
      <c r="BH1335" s="6">
        <f>Grandview_Inventory[[#This Row],[land_extract]]*Lookups!$B$3</f>
        <v>63733.18357750171</v>
      </c>
      <c r="BI1335" s="6">
        <f>IF(Grandview_Inventory[[#This Row],[bldg_style]]="",0,Lookups!$B$2)</f>
        <v>155833.95000000001</v>
      </c>
      <c r="BJ1335" s="6">
        <f>_xlfn.IFNA(VLOOKUP(Grandview_Inventory[[#This Row],[quality]],Lookups!$H$2:$J$14,3,FALSE),0)</f>
        <v>-28558</v>
      </c>
      <c r="BK1335" s="6">
        <f>_xlfn.IFNA(VLOOKUP(Grandview_Inventory[[#This Row],[condition]],Lookups!$H$17:$J$24,3,FALSE),0)</f>
        <v>22342</v>
      </c>
      <c r="BL1335" s="6">
        <f>Grandview_Inventory[[#This Row],[Eff_Age]]*Lookups!$B$14</f>
        <v>-12436.663199999999</v>
      </c>
      <c r="BM1335" s="6">
        <f>Grandview_Inventory[[#This Row],[living_area]]*Lookups!$B$15</f>
        <v>62879.899824</v>
      </c>
      <c r="BN1335" s="6">
        <f>Grandview_Inventory[[#This Row],[Fin BSMT]]*Lookups!$B$16</f>
        <v>0</v>
      </c>
      <c r="BO1335" s="6">
        <f>(Grandview_Inventory[[#This Row],[att_gar]]+Grandview_Inventory[[#This Row],[bltin_gar]])*Lookups!$B$17</f>
        <v>0</v>
      </c>
      <c r="BP1335" s="6">
        <f>Grandview_Inventory[[#This Row],[Plumbing Fixtures]]*Lookups!$B$18</f>
        <v>10052.209000000001</v>
      </c>
      <c r="BQ1335" s="6">
        <f>Grandview_Inventory[[#This Row],[detatched_value]]*Lookups!$B$19</f>
        <v>9738.2586499999998</v>
      </c>
      <c r="BR1335" s="6">
        <f>SUM(Grandview_Inventory[[#This Row],[Intercept]:[det_value]])*Grandview_Inventory[[#This Row],[res_pct]]</f>
        <v>219851.654274</v>
      </c>
      <c r="BS1335" s="6">
        <f>Grandview_Inventory[[#This Row],[land_value]]</f>
        <v>63733.18357750171</v>
      </c>
      <c r="BT1335" s="4">
        <f>_xlfn.IFNA(VLOOKUP(Grandview_Inventory[[#This Row],[quality]],Lookups!$A$26:$C$33,3,FALSE),1)</f>
        <v>0.9690360070159818</v>
      </c>
      <c r="BU1335" s="4">
        <f>_xlfn.IFNA(VLOOKUP(Grandview_Inventory[[#This Row],[condition]],Lookups!$A$37:$C$44,3,FALSE),1)</f>
        <v>0.97383723671140243</v>
      </c>
      <c r="BV1335" s="4">
        <f>IF(Grandview_Inventory[[#This Row],[bldg_style]]="",1,_xlfn.IFNA(VLOOKUP(Grandview_Inventory[[#This Row],[decade]],Lookups!$F$29:$H$43,3,FALSE),1))</f>
        <v>0.94161750052457416</v>
      </c>
      <c r="BW1335" s="4">
        <f>_xlfn.IFNA(VLOOKUP(Grandview_Inventory[[#This Row],[living_area_range]],Lookups!$F$47:$H$56,3,FALSE),1)</f>
        <v>0.96135087979789358</v>
      </c>
      <c r="BX1335" s="4">
        <f>AVERAGE(Grandview_Inventory[[#This Row],[qual_adj]:[size_adj]])</f>
        <v>0.96146040601246296</v>
      </c>
      <c r="BY1335" s="6">
        <f>IF(Grandview_Inventory[[#This Row],[pre_res]]&lt;0,0,Grandview_Inventory[[#This Row],[pre_res]]*Grandview_Inventory[[#This Row],[overall_adj]])</f>
        <v>211378.66078079169</v>
      </c>
      <c r="BZ1335" s="6">
        <f>(Grandview_Inventory[[#This Row],[sum_land]]-IF(Grandview_Inventory[[#This Row],[no_utilities]]=1,12000,0))/IF(Grandview_Inventory[[#This Row],[unbuildable]]=1,2,1)</f>
        <v>63733.18357750171</v>
      </c>
      <c r="CA1335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1335">
        <f>ROUND(Grandview_Inventory[[#This Row],[det_value]]*Lookups!$M$28,-2)</f>
        <v>9300</v>
      </c>
      <c r="CC1335">
        <f>IF(ROUND(Grandview_Inventory[[#This Row],[adj_res]]*Lookups!$M$28,-2)&lt;Grandview_Inventory[[#This Row],[min_res]],Grandview_Inventory[[#This Row],[min_res]],ROUND(Grandview_Inventory[[#This Row],[adj_res]]*Lookups!$M$28,-2))</f>
        <v>200800</v>
      </c>
      <c r="CD1335">
        <f>Grandview_Inventory[[#This Row],[final_det]]+Grandview_Inventory[[#This Row],[final_res]]</f>
        <v>210100</v>
      </c>
      <c r="CE1335">
        <f>Grandview_Inventory[[#This Row],[final_land]]+Grandview_Inventory[[#This Row],[final_imp]]+Grandview_Inventory[[#This Row],[crop_value]]</f>
        <v>270600</v>
      </c>
      <c r="CG1335" t="str">
        <f t="shared" si="20"/>
        <v>update valuation set market_land =60500, market_bldg=210100, market_total =270600, market_mdno =401, market_date ='9/10/2023' where link_id = (select link_id from parcel where parcel_year = '2024' and parcel_id = '23092314441');</v>
      </c>
    </row>
    <row r="1336" spans="1:85" x14ac:dyDescent="0.25">
      <c r="A1336">
        <v>23092314442</v>
      </c>
      <c r="B1336">
        <v>0.24</v>
      </c>
      <c r="C1336">
        <v>10589</v>
      </c>
      <c r="D1336" t="s">
        <v>129</v>
      </c>
      <c r="E1336" t="s">
        <v>53</v>
      </c>
      <c r="F1336" t="s">
        <v>53</v>
      </c>
      <c r="G1336">
        <v>4</v>
      </c>
      <c r="H1336" t="s">
        <v>54</v>
      </c>
      <c r="I1336">
        <v>244100</v>
      </c>
      <c r="J1336">
        <v>40400</v>
      </c>
      <c r="K1336">
        <v>0.24</v>
      </c>
      <c r="L1336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336">
        <v>0</v>
      </c>
      <c r="N1336">
        <v>0</v>
      </c>
      <c r="O1336">
        <v>0</v>
      </c>
      <c r="P1336">
        <v>13398.7528</v>
      </c>
      <c r="Q1336">
        <v>63903</v>
      </c>
      <c r="R1336">
        <f>(Grandview_Inventory[[#This Row],[ln_acres]]*Grandview_Inventory[[#This Row],[coeff]])+Grandview_Inventory[[#This Row],[const]]</f>
        <v>44781.420733940802</v>
      </c>
      <c r="S1336" t="s">
        <v>55</v>
      </c>
      <c r="T1336">
        <v>2</v>
      </c>
      <c r="U1336" t="s">
        <v>62</v>
      </c>
      <c r="V1336" t="s">
        <v>69</v>
      </c>
      <c r="W1336">
        <v>0</v>
      </c>
      <c r="X1336">
        <v>0</v>
      </c>
      <c r="Y1336">
        <v>53</v>
      </c>
      <c r="Z1336">
        <v>93</v>
      </c>
      <c r="AA1336">
        <v>100</v>
      </c>
      <c r="AB1336">
        <v>3000</v>
      </c>
      <c r="AC1336">
        <v>2513</v>
      </c>
      <c r="AD1336">
        <v>1344</v>
      </c>
      <c r="AE1336">
        <v>820</v>
      </c>
      <c r="AF1336">
        <v>0</v>
      </c>
      <c r="AG1336">
        <v>349</v>
      </c>
      <c r="AH1336">
        <v>691</v>
      </c>
      <c r="AI1336">
        <v>528</v>
      </c>
      <c r="AJ1336">
        <v>0</v>
      </c>
      <c r="AK1336">
        <v>0</v>
      </c>
      <c r="AL1336">
        <v>0</v>
      </c>
      <c r="AM1336">
        <v>0</v>
      </c>
      <c r="AN1336">
        <v>135</v>
      </c>
      <c r="AO1336">
        <v>0</v>
      </c>
      <c r="AP1336">
        <v>8</v>
      </c>
      <c r="AQ1336">
        <v>0</v>
      </c>
      <c r="AR1336">
        <v>1</v>
      </c>
      <c r="AS1336" t="s">
        <v>58</v>
      </c>
      <c r="AT1336">
        <v>1</v>
      </c>
      <c r="AU1336" t="s">
        <v>63</v>
      </c>
      <c r="AV1336" t="s">
        <v>64</v>
      </c>
      <c r="AW1336">
        <v>1</v>
      </c>
      <c r="AX1336">
        <v>3</v>
      </c>
      <c r="AY1336">
        <v>0</v>
      </c>
      <c r="AZ1336">
        <v>0</v>
      </c>
      <c r="BA1336">
        <v>100</v>
      </c>
      <c r="BB1336">
        <v>100</v>
      </c>
      <c r="BC1336">
        <v>100</v>
      </c>
      <c r="BD1336">
        <v>100</v>
      </c>
      <c r="BE1336">
        <v>1</v>
      </c>
      <c r="BF1336">
        <v>15000</v>
      </c>
      <c r="BG1336">
        <v>1000</v>
      </c>
      <c r="BH1336" s="6">
        <f>Grandview_Inventory[[#This Row],[land_extract]]*Lookups!$B$3</f>
        <v>52004.542988489469</v>
      </c>
      <c r="BI1336" s="6">
        <f>IF(Grandview_Inventory[[#This Row],[bldg_style]]="",0,Lookups!$B$2)</f>
        <v>155833.95000000001</v>
      </c>
      <c r="BJ1336" s="6">
        <f>_xlfn.IFNA(VLOOKUP(Grandview_Inventory[[#This Row],[quality]],Lookups!$H$2:$J$14,3,FALSE),0)</f>
        <v>9808</v>
      </c>
      <c r="BK1336" s="6">
        <f>_xlfn.IFNA(VLOOKUP(Grandview_Inventory[[#This Row],[condition]],Lookups!$H$17:$J$24,3,FALSE),0)</f>
        <v>-4503</v>
      </c>
      <c r="BL1336" s="6">
        <f>Grandview_Inventory[[#This Row],[Eff_Age]]*Lookups!$B$14</f>
        <v>-12675.8298</v>
      </c>
      <c r="BM1336" s="6">
        <f>Grandview_Inventory[[#This Row],[living_area]]*Lookups!$B$15</f>
        <v>156763.08358900002</v>
      </c>
      <c r="BN1336" s="6">
        <f>Grandview_Inventory[[#This Row],[Fin BSMT]]*Lookups!$B$16</f>
        <v>-9457.6347600000008</v>
      </c>
      <c r="BO1336" s="6">
        <f>(Grandview_Inventory[[#This Row],[att_gar]]+Grandview_Inventory[[#This Row],[bltin_gar]])*Lookups!$B$17</f>
        <v>46210.790736000003</v>
      </c>
      <c r="BP1336" s="6">
        <f>Grandview_Inventory[[#This Row],[Plumbing Fixtures]]*Lookups!$B$18</f>
        <v>16083.5344</v>
      </c>
      <c r="BQ1336" s="6">
        <f>Grandview_Inventory[[#This Row],[detatched_value]]*Lookups!$B$19</f>
        <v>0</v>
      </c>
      <c r="BR1336" s="6">
        <f>SUM(Grandview_Inventory[[#This Row],[Intercept]:[det_value]])*Grandview_Inventory[[#This Row],[res_pct]]</f>
        <v>358062.89416500006</v>
      </c>
      <c r="BS1336" s="6">
        <f>Grandview_Inventory[[#This Row],[land_value]]</f>
        <v>52004.542988489469</v>
      </c>
      <c r="BT1336" s="4">
        <f>_xlfn.IFNA(VLOOKUP(Grandview_Inventory[[#This Row],[quality]],Lookups!$A$26:$C$33,3,FALSE),1)</f>
        <v>0.94295468617355149</v>
      </c>
      <c r="BU1336" s="4">
        <f>_xlfn.IFNA(VLOOKUP(Grandview_Inventory[[#This Row],[condition]],Lookups!$A$37:$C$44,3,FALSE),1)</f>
        <v>0.96469275950863709</v>
      </c>
      <c r="BV1336" s="4">
        <f>IF(Grandview_Inventory[[#This Row],[bldg_style]]="",1,_xlfn.IFNA(VLOOKUP(Grandview_Inventory[[#This Row],[decade]],Lookups!$F$29:$H$43,3,FALSE),1))</f>
        <v>0.95244691841736806</v>
      </c>
      <c r="BW1336" s="4">
        <f>_xlfn.IFNA(VLOOKUP(Grandview_Inventory[[#This Row],[living_area_range]],Lookups!$F$47:$H$56,3,FALSE),1)</f>
        <v>0.94224801443562123</v>
      </c>
      <c r="BX1336" s="4">
        <f>AVERAGE(Grandview_Inventory[[#This Row],[qual_adj]:[size_adj]])</f>
        <v>0.95058559463379455</v>
      </c>
      <c r="BY1336" s="6">
        <f>IF(Grandview_Inventory[[#This Row],[pre_res]]&lt;0,0,Grandview_Inventory[[#This Row],[pre_res]]*Grandview_Inventory[[#This Row],[overall_adj]])</f>
        <v>340369.42916613404</v>
      </c>
      <c r="BZ1336" s="6">
        <f>(Grandview_Inventory[[#This Row],[sum_land]]-IF(Grandview_Inventory[[#This Row],[no_utilities]]=1,12000,0))/IF(Grandview_Inventory[[#This Row],[unbuildable]]=1,2,1)</f>
        <v>52004.542988489469</v>
      </c>
      <c r="CA1336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336">
        <f>ROUND(Grandview_Inventory[[#This Row],[det_value]]*Lookups!$M$28,-2)</f>
        <v>0</v>
      </c>
      <c r="CC1336">
        <f>IF(ROUND(Grandview_Inventory[[#This Row],[adj_res]]*Lookups!$M$28,-2)&lt;Grandview_Inventory[[#This Row],[min_res]],Grandview_Inventory[[#This Row],[min_res]],ROUND(Grandview_Inventory[[#This Row],[adj_res]]*Lookups!$M$28,-2))</f>
        <v>323400</v>
      </c>
      <c r="CD1336">
        <f>Grandview_Inventory[[#This Row],[final_det]]+Grandview_Inventory[[#This Row],[final_res]]</f>
        <v>323400</v>
      </c>
      <c r="CE1336">
        <f>Grandview_Inventory[[#This Row],[final_land]]+Grandview_Inventory[[#This Row],[final_imp]]+Grandview_Inventory[[#This Row],[crop_value]]</f>
        <v>372800</v>
      </c>
      <c r="CG1336" t="str">
        <f t="shared" si="20"/>
        <v>update valuation set market_land =49400, market_bldg=323400, market_total =372800, market_mdno =401, market_date ='9/10/2023' where link_id = (select link_id from parcel where parcel_year = '2024' and parcel_id = '23092314442');</v>
      </c>
    </row>
    <row r="1337" spans="1:85" x14ac:dyDescent="0.25">
      <c r="A1337">
        <v>23092314443</v>
      </c>
      <c r="B1337">
        <v>0.1</v>
      </c>
      <c r="C1337">
        <v>4157</v>
      </c>
      <c r="D1337" t="s">
        <v>129</v>
      </c>
      <c r="E1337" t="s">
        <v>53</v>
      </c>
      <c r="F1337" t="s">
        <v>53</v>
      </c>
      <c r="G1337">
        <v>4</v>
      </c>
      <c r="H1337" t="s">
        <v>54</v>
      </c>
      <c r="I1337">
        <v>111900</v>
      </c>
      <c r="J1337">
        <v>37700</v>
      </c>
      <c r="K1337">
        <v>0.1</v>
      </c>
      <c r="L1337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1337">
        <v>0</v>
      </c>
      <c r="N1337">
        <v>0</v>
      </c>
      <c r="O1337">
        <v>0</v>
      </c>
      <c r="P1337">
        <v>13398.7528</v>
      </c>
      <c r="Q1337">
        <v>63903</v>
      </c>
      <c r="R1337">
        <f>(Grandview_Inventory[[#This Row],[ln_acres]]*Grandview_Inventory[[#This Row],[coeff]])+Grandview_Inventory[[#This Row],[const]]</f>
        <v>33051.231538007778</v>
      </c>
      <c r="S1337" t="s">
        <v>61</v>
      </c>
      <c r="T1337">
        <v>1</v>
      </c>
      <c r="U1337" t="s">
        <v>65</v>
      </c>
      <c r="V1337" t="s">
        <v>69</v>
      </c>
      <c r="W1337">
        <v>0</v>
      </c>
      <c r="X1337">
        <v>0</v>
      </c>
      <c r="Y1337">
        <v>51</v>
      </c>
      <c r="Z1337">
        <v>78</v>
      </c>
      <c r="AA1337">
        <v>80</v>
      </c>
      <c r="AB1337">
        <v>1500</v>
      </c>
      <c r="AC1337">
        <v>1088</v>
      </c>
      <c r="AD1337">
        <v>1088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52</v>
      </c>
      <c r="AO1337">
        <v>0</v>
      </c>
      <c r="AP1337">
        <v>5</v>
      </c>
      <c r="AQ1337">
        <v>0</v>
      </c>
      <c r="AR1337">
        <v>0</v>
      </c>
      <c r="AS1337" t="s">
        <v>58</v>
      </c>
      <c r="AT1337">
        <v>1</v>
      </c>
      <c r="AU1337" t="s">
        <v>63</v>
      </c>
      <c r="AV1337" t="s">
        <v>64</v>
      </c>
      <c r="AW1337">
        <v>0</v>
      </c>
      <c r="AX1337">
        <v>2</v>
      </c>
      <c r="AY1337">
        <v>0</v>
      </c>
      <c r="AZ1337">
        <v>0</v>
      </c>
      <c r="BA1337">
        <v>100</v>
      </c>
      <c r="BB1337">
        <v>100</v>
      </c>
      <c r="BC1337">
        <v>100</v>
      </c>
      <c r="BD1337">
        <v>100</v>
      </c>
      <c r="BE1337">
        <v>1</v>
      </c>
      <c r="BF1337">
        <v>15000</v>
      </c>
      <c r="BG1337">
        <v>1000</v>
      </c>
      <c r="BH1337" s="6">
        <f>Grandview_Inventory[[#This Row],[land_extract]]*Lookups!$B$3</f>
        <v>38382.305946763277</v>
      </c>
      <c r="BI1337" s="6">
        <f>IF(Grandview_Inventory[[#This Row],[bldg_style]]="",0,Lookups!$B$2)</f>
        <v>155833.95000000001</v>
      </c>
      <c r="BJ1337" s="6">
        <f>_xlfn.IFNA(VLOOKUP(Grandview_Inventory[[#This Row],[quality]],Lookups!$H$2:$J$14,3,FALSE),0)</f>
        <v>2251</v>
      </c>
      <c r="BK1337" s="6">
        <f>_xlfn.IFNA(VLOOKUP(Grandview_Inventory[[#This Row],[condition]],Lookups!$H$17:$J$24,3,FALSE),0)</f>
        <v>-4503</v>
      </c>
      <c r="BL1337" s="6">
        <f>Grandview_Inventory[[#This Row],[Eff_Age]]*Lookups!$B$14</f>
        <v>-12197.496599999999</v>
      </c>
      <c r="BM1337" s="6">
        <f>Grandview_Inventory[[#This Row],[living_area]]*Lookups!$B$15</f>
        <v>67870.368064000009</v>
      </c>
      <c r="BN1337" s="6">
        <f>Grandview_Inventory[[#This Row],[Fin BSMT]]*Lookups!$B$16</f>
        <v>0</v>
      </c>
      <c r="BO1337" s="6">
        <f>(Grandview_Inventory[[#This Row],[att_gar]]+Grandview_Inventory[[#This Row],[bltin_gar]])*Lookups!$B$17</f>
        <v>0</v>
      </c>
      <c r="BP1337" s="6">
        <f>Grandview_Inventory[[#This Row],[Plumbing Fixtures]]*Lookups!$B$18</f>
        <v>10052.209000000001</v>
      </c>
      <c r="BQ1337" s="6">
        <f>Grandview_Inventory[[#This Row],[detatched_value]]*Lookups!$B$19</f>
        <v>0</v>
      </c>
      <c r="BR1337" s="6">
        <f>SUM(Grandview_Inventory[[#This Row],[Intercept]:[det_value]])*Grandview_Inventory[[#This Row],[res_pct]]</f>
        <v>219307.03046400001</v>
      </c>
      <c r="BS1337" s="6">
        <f>Grandview_Inventory[[#This Row],[land_value]]</f>
        <v>38382.305946763277</v>
      </c>
      <c r="BT1337" s="4">
        <f>_xlfn.IFNA(VLOOKUP(Grandview_Inventory[[#This Row],[quality]],Lookups!$A$26:$C$33,3,FALSE),1)</f>
        <v>0.98763855981004833</v>
      </c>
      <c r="BU1337" s="4">
        <f>_xlfn.IFNA(VLOOKUP(Grandview_Inventory[[#This Row],[condition]],Lookups!$A$37:$C$44,3,FALSE),1)</f>
        <v>0.96469275950863709</v>
      </c>
      <c r="BV1337" s="4">
        <f>IF(Grandview_Inventory[[#This Row],[bldg_style]]="",1,_xlfn.IFNA(VLOOKUP(Grandview_Inventory[[#This Row],[decade]],Lookups!$F$29:$H$43,3,FALSE),1))</f>
        <v>0.98763256963907298</v>
      </c>
      <c r="BW1337" s="4">
        <f>_xlfn.IFNA(VLOOKUP(Grandview_Inventory[[#This Row],[living_area_range]],Lookups!$F$47:$H$56,3,FALSE),1)</f>
        <v>0.96135087979789358</v>
      </c>
      <c r="BX1337" s="4">
        <f>AVERAGE(Grandview_Inventory[[#This Row],[qual_adj]:[size_adj]])</f>
        <v>0.97532869218891294</v>
      </c>
      <c r="BY1337" s="6">
        <f>IF(Grandview_Inventory[[#This Row],[pre_res]]&lt;0,0,Grandview_Inventory[[#This Row],[pre_res]]*Grandview_Inventory[[#This Row],[overall_adj]])</f>
        <v>213896.43921028721</v>
      </c>
      <c r="BZ1337" s="6">
        <f>(Grandview_Inventory[[#This Row],[sum_land]]-IF(Grandview_Inventory[[#This Row],[no_utilities]]=1,12000,0))/IF(Grandview_Inventory[[#This Row],[unbuildable]]=1,2,1)</f>
        <v>38382.305946763277</v>
      </c>
      <c r="CA1337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1337">
        <f>ROUND(Grandview_Inventory[[#This Row],[det_value]]*Lookups!$M$28,-2)</f>
        <v>0</v>
      </c>
      <c r="CC1337">
        <f>IF(ROUND(Grandview_Inventory[[#This Row],[adj_res]]*Lookups!$M$28,-2)&lt;Grandview_Inventory[[#This Row],[min_res]],Grandview_Inventory[[#This Row],[min_res]],ROUND(Grandview_Inventory[[#This Row],[adj_res]]*Lookups!$M$28,-2))</f>
        <v>203200</v>
      </c>
      <c r="CD1337">
        <f>Grandview_Inventory[[#This Row],[final_det]]+Grandview_Inventory[[#This Row],[final_res]]</f>
        <v>203200</v>
      </c>
      <c r="CE1337">
        <f>Grandview_Inventory[[#This Row],[final_land]]+Grandview_Inventory[[#This Row],[final_imp]]+Grandview_Inventory[[#This Row],[crop_value]]</f>
        <v>239700</v>
      </c>
      <c r="CG1337" t="str">
        <f t="shared" si="20"/>
        <v>update valuation set market_land =36500, market_bldg=203200, market_total =239700, market_mdno =401, market_date ='9/10/2023' where link_id = (select link_id from parcel where parcel_year = '2024' and parcel_id = '23092314443');</v>
      </c>
    </row>
    <row r="1338" spans="1:85" x14ac:dyDescent="0.25">
      <c r="A1338">
        <v>23092314449</v>
      </c>
      <c r="B1338">
        <v>0.16</v>
      </c>
      <c r="C1338">
        <v>7079</v>
      </c>
      <c r="D1338" t="s">
        <v>129</v>
      </c>
      <c r="E1338" t="s">
        <v>53</v>
      </c>
      <c r="F1338" t="s">
        <v>53</v>
      </c>
      <c r="G1338">
        <v>4</v>
      </c>
      <c r="H1338" t="s">
        <v>54</v>
      </c>
      <c r="I1338">
        <v>151800</v>
      </c>
      <c r="J1338">
        <v>39100</v>
      </c>
      <c r="K1338">
        <v>0.16</v>
      </c>
      <c r="L133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38">
        <v>0</v>
      </c>
      <c r="N1338">
        <v>0</v>
      </c>
      <c r="O1338">
        <v>0</v>
      </c>
      <c r="P1338">
        <v>13398.7528</v>
      </c>
      <c r="Q1338">
        <v>63903</v>
      </c>
      <c r="R1338">
        <f>(Grandview_Inventory[[#This Row],[ln_acres]]*Grandview_Inventory[[#This Row],[coeff]])+Grandview_Inventory[[#This Row],[const]]</f>
        <v>39348.693981374228</v>
      </c>
      <c r="S1338" t="s">
        <v>68</v>
      </c>
      <c r="T1338">
        <v>1</v>
      </c>
      <c r="U1338" t="s">
        <v>65</v>
      </c>
      <c r="V1338" t="s">
        <v>69</v>
      </c>
      <c r="W1338">
        <v>0</v>
      </c>
      <c r="X1338">
        <v>0</v>
      </c>
      <c r="Y1338">
        <v>52</v>
      </c>
      <c r="Z1338">
        <v>88</v>
      </c>
      <c r="AA1338">
        <v>90</v>
      </c>
      <c r="AB1338">
        <v>2000</v>
      </c>
      <c r="AC1338">
        <v>1607</v>
      </c>
      <c r="AD1338">
        <v>1097</v>
      </c>
      <c r="AE1338">
        <v>0</v>
      </c>
      <c r="AF1338">
        <v>0</v>
      </c>
      <c r="AG1338">
        <v>510</v>
      </c>
      <c r="AH1338">
        <v>510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8</v>
      </c>
      <c r="AQ1338">
        <v>0</v>
      </c>
      <c r="AR1338">
        <v>0</v>
      </c>
      <c r="AS1338" t="s">
        <v>58</v>
      </c>
      <c r="AT1338">
        <v>1</v>
      </c>
      <c r="AU1338" t="s">
        <v>63</v>
      </c>
      <c r="AV1338" t="s">
        <v>60</v>
      </c>
      <c r="AW1338">
        <v>1</v>
      </c>
      <c r="AX1338">
        <v>2</v>
      </c>
      <c r="AY1338">
        <v>0</v>
      </c>
      <c r="AZ1338">
        <v>7100</v>
      </c>
      <c r="BA1338">
        <v>100</v>
      </c>
      <c r="BB1338">
        <v>100</v>
      </c>
      <c r="BC1338">
        <v>100</v>
      </c>
      <c r="BD1338">
        <v>100</v>
      </c>
      <c r="BE1338">
        <v>1</v>
      </c>
      <c r="BF1338">
        <v>15000</v>
      </c>
      <c r="BG1338">
        <v>1000</v>
      </c>
      <c r="BH1338" s="6">
        <f>Grandview_Inventory[[#This Row],[land_extract]]*Lookups!$B$3</f>
        <v>45695.532079096141</v>
      </c>
      <c r="BI1338" s="6">
        <f>IF(Grandview_Inventory[[#This Row],[bldg_style]]="",0,Lookups!$B$2)</f>
        <v>155833.95000000001</v>
      </c>
      <c r="BJ1338" s="6">
        <f>_xlfn.IFNA(VLOOKUP(Grandview_Inventory[[#This Row],[quality]],Lookups!$H$2:$J$14,3,FALSE),0)</f>
        <v>2251</v>
      </c>
      <c r="BK1338" s="6">
        <f>_xlfn.IFNA(VLOOKUP(Grandview_Inventory[[#This Row],[condition]],Lookups!$H$17:$J$24,3,FALSE),0)</f>
        <v>-4503</v>
      </c>
      <c r="BL1338" s="6">
        <f>Grandview_Inventory[[#This Row],[Eff_Age]]*Lookups!$B$14</f>
        <v>-12436.663199999999</v>
      </c>
      <c r="BM1338" s="6">
        <f>Grandview_Inventory[[#This Row],[living_area]]*Lookups!$B$15</f>
        <v>100246.03077100001</v>
      </c>
      <c r="BN1338" s="6">
        <f>Grandview_Inventory[[#This Row],[Fin BSMT]]*Lookups!$B$16</f>
        <v>-13820.612400000002</v>
      </c>
      <c r="BO1338" s="6">
        <f>(Grandview_Inventory[[#This Row],[att_gar]]+Grandview_Inventory[[#This Row],[bltin_gar]])*Lookups!$B$17</f>
        <v>0</v>
      </c>
      <c r="BP1338" s="6">
        <f>Grandview_Inventory[[#This Row],[Plumbing Fixtures]]*Lookups!$B$18</f>
        <v>16083.5344</v>
      </c>
      <c r="BQ1338" s="6">
        <f>Grandview_Inventory[[#This Row],[detatched_value]]*Lookups!$B$19</f>
        <v>6012.31621</v>
      </c>
      <c r="BR1338" s="6">
        <f>SUM(Grandview_Inventory[[#This Row],[Intercept]:[det_value]])*Grandview_Inventory[[#This Row],[res_pct]]</f>
        <v>249666.555781</v>
      </c>
      <c r="BS1338" s="6">
        <f>Grandview_Inventory[[#This Row],[land_value]]</f>
        <v>45695.532079096141</v>
      </c>
      <c r="BT1338" s="4">
        <f>_xlfn.IFNA(VLOOKUP(Grandview_Inventory[[#This Row],[quality]],Lookups!$A$26:$C$33,3,FALSE),1)</f>
        <v>0.98763855981004833</v>
      </c>
      <c r="BU1338" s="4">
        <f>_xlfn.IFNA(VLOOKUP(Grandview_Inventory[[#This Row],[condition]],Lookups!$A$37:$C$44,3,FALSE),1)</f>
        <v>0.96469275950863709</v>
      </c>
      <c r="BV1338" s="4">
        <f>IF(Grandview_Inventory[[#This Row],[bldg_style]]="",1,_xlfn.IFNA(VLOOKUP(Grandview_Inventory[[#This Row],[decade]],Lookups!$F$29:$H$43,3,FALSE),1))</f>
        <v>0.94161750052457416</v>
      </c>
      <c r="BW1338" s="4">
        <f>_xlfn.IFNA(VLOOKUP(Grandview_Inventory[[#This Row],[living_area_range]],Lookups!$F$47:$H$56,3,FALSE),1)</f>
        <v>0.96120133463014379</v>
      </c>
      <c r="BX1338" s="4">
        <f>AVERAGE(Grandview_Inventory[[#This Row],[qual_adj]:[size_adj]])</f>
        <v>0.96378753861835076</v>
      </c>
      <c r="BY1338" s="6">
        <f>IF(Grandview_Inventory[[#This Row],[pre_res]]&lt;0,0,Grandview_Inventory[[#This Row],[pre_res]]*Grandview_Inventory[[#This Row],[overall_adj]])</f>
        <v>240625.51527149117</v>
      </c>
      <c r="BZ1338" s="6">
        <f>(Grandview_Inventory[[#This Row],[sum_land]]-IF(Grandview_Inventory[[#This Row],[no_utilities]]=1,12000,0))/IF(Grandview_Inventory[[#This Row],[unbuildable]]=1,2,1)</f>
        <v>45695.532079096141</v>
      </c>
      <c r="CA133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38">
        <f>ROUND(Grandview_Inventory[[#This Row],[det_value]]*Lookups!$M$28,-2)</f>
        <v>5700</v>
      </c>
      <c r="CC1338">
        <f>IF(ROUND(Grandview_Inventory[[#This Row],[adj_res]]*Lookups!$M$28,-2)&lt;Grandview_Inventory[[#This Row],[min_res]],Grandview_Inventory[[#This Row],[min_res]],ROUND(Grandview_Inventory[[#This Row],[adj_res]]*Lookups!$M$28,-2))</f>
        <v>228600</v>
      </c>
      <c r="CD1338">
        <f>Grandview_Inventory[[#This Row],[final_det]]+Grandview_Inventory[[#This Row],[final_res]]</f>
        <v>234300</v>
      </c>
      <c r="CE1338">
        <f>Grandview_Inventory[[#This Row],[final_land]]+Grandview_Inventory[[#This Row],[final_imp]]+Grandview_Inventory[[#This Row],[crop_value]]</f>
        <v>277700</v>
      </c>
      <c r="CG1338" t="str">
        <f t="shared" si="20"/>
        <v>update valuation set market_land =43400, market_bldg=234300, market_total =277700, market_mdno =401, market_date ='9/10/2023' where link_id = (select link_id from parcel where parcel_year = '2024' and parcel_id = '23092314449');</v>
      </c>
    </row>
    <row r="1339" spans="1:85" x14ac:dyDescent="0.25">
      <c r="A1339">
        <v>23092314450</v>
      </c>
      <c r="B1339">
        <v>0.18</v>
      </c>
      <c r="C1339">
        <v>7666</v>
      </c>
      <c r="D1339" t="s">
        <v>129</v>
      </c>
      <c r="E1339" t="s">
        <v>53</v>
      </c>
      <c r="F1339" t="s">
        <v>53</v>
      </c>
      <c r="G1339">
        <v>4</v>
      </c>
      <c r="H1339" t="s">
        <v>54</v>
      </c>
      <c r="I1339">
        <v>76700</v>
      </c>
      <c r="J1339">
        <v>39300</v>
      </c>
      <c r="K1339">
        <v>0.18</v>
      </c>
      <c r="L133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39">
        <v>0</v>
      </c>
      <c r="N1339">
        <v>0</v>
      </c>
      <c r="O1339">
        <v>0</v>
      </c>
      <c r="P1339">
        <v>13398.7528</v>
      </c>
      <c r="Q1339">
        <v>63903</v>
      </c>
      <c r="R1339">
        <f>(Grandview_Inventory[[#This Row],[ln_acres]]*Grandview_Inventory[[#This Row],[coeff]])+Grandview_Inventory[[#This Row],[const]]</f>
        <v>40926.839760167699</v>
      </c>
      <c r="S1339" t="s">
        <v>68</v>
      </c>
      <c r="T1339">
        <v>1</v>
      </c>
      <c r="U1339" t="s">
        <v>70</v>
      </c>
      <c r="V1339" t="s">
        <v>78</v>
      </c>
      <c r="W1339">
        <v>0</v>
      </c>
      <c r="X1339">
        <v>0</v>
      </c>
      <c r="Y1339">
        <v>52</v>
      </c>
      <c r="Z1339">
        <v>88</v>
      </c>
      <c r="AA1339">
        <v>90</v>
      </c>
      <c r="AB1339">
        <v>1000</v>
      </c>
      <c r="AC1339">
        <v>756</v>
      </c>
      <c r="AD1339">
        <v>756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308</v>
      </c>
      <c r="AN1339">
        <v>32</v>
      </c>
      <c r="AO1339">
        <v>224</v>
      </c>
      <c r="AP1339">
        <v>5</v>
      </c>
      <c r="AQ1339">
        <v>0</v>
      </c>
      <c r="AR1339">
        <v>0</v>
      </c>
      <c r="AS1339" t="s">
        <v>58</v>
      </c>
      <c r="AT1339">
        <v>0</v>
      </c>
      <c r="AU1339" t="s">
        <v>82</v>
      </c>
      <c r="AV1339" t="s">
        <v>64</v>
      </c>
      <c r="AW1339">
        <v>0</v>
      </c>
      <c r="AX1339">
        <v>2</v>
      </c>
      <c r="AY1339">
        <v>0</v>
      </c>
      <c r="AZ1339">
        <v>1300</v>
      </c>
      <c r="BA1339">
        <v>100</v>
      </c>
      <c r="BB1339">
        <v>100</v>
      </c>
      <c r="BC1339">
        <v>100</v>
      </c>
      <c r="BD1339">
        <v>100</v>
      </c>
      <c r="BE1339">
        <v>1</v>
      </c>
      <c r="BF1339">
        <v>15000</v>
      </c>
      <c r="BG1339">
        <v>1000</v>
      </c>
      <c r="BH1339" s="6">
        <f>Grandview_Inventory[[#This Row],[land_extract]]*Lookups!$B$3</f>
        <v>47528.228511015397</v>
      </c>
      <c r="BI1339" s="6">
        <f>IF(Grandview_Inventory[[#This Row],[bldg_style]]="",0,Lookups!$B$2)</f>
        <v>155833.95000000001</v>
      </c>
      <c r="BJ1339" s="6">
        <f>_xlfn.IFNA(VLOOKUP(Grandview_Inventory[[#This Row],[quality]],Lookups!$H$2:$J$14,3,FALSE),0)</f>
        <v>10733</v>
      </c>
      <c r="BK1339" s="6">
        <f>_xlfn.IFNA(VLOOKUP(Grandview_Inventory[[#This Row],[condition]],Lookups!$H$17:$J$24,3,FALSE),0)</f>
        <v>-45357</v>
      </c>
      <c r="BL1339" s="6">
        <f>Grandview_Inventory[[#This Row],[Eff_Age]]*Lookups!$B$14</f>
        <v>-12436.663199999999</v>
      </c>
      <c r="BM1339" s="6">
        <f>Grandview_Inventory[[#This Row],[living_area]]*Lookups!$B$15</f>
        <v>47159.924868000002</v>
      </c>
      <c r="BN1339" s="6">
        <f>Grandview_Inventory[[#This Row],[Fin BSMT]]*Lookups!$B$16</f>
        <v>0</v>
      </c>
      <c r="BO1339" s="6">
        <f>(Grandview_Inventory[[#This Row],[att_gar]]+Grandview_Inventory[[#This Row],[bltin_gar]])*Lookups!$B$17</f>
        <v>0</v>
      </c>
      <c r="BP1339" s="6">
        <f>Grandview_Inventory[[#This Row],[Plumbing Fixtures]]*Lookups!$B$18</f>
        <v>10052.209000000001</v>
      </c>
      <c r="BQ1339" s="6">
        <f>Grandview_Inventory[[#This Row],[detatched_value]]*Lookups!$B$19</f>
        <v>1100.84663</v>
      </c>
      <c r="BR1339" s="6">
        <f>SUM(Grandview_Inventory[[#This Row],[Intercept]:[det_value]])*Grandview_Inventory[[#This Row],[res_pct]]</f>
        <v>167086.26729800005</v>
      </c>
      <c r="BS1339" s="6">
        <f>Grandview_Inventory[[#This Row],[land_value]]</f>
        <v>47528.228511015397</v>
      </c>
      <c r="BT1339" s="4">
        <f>_xlfn.IFNA(VLOOKUP(Grandview_Inventory[[#This Row],[quality]],Lookups!$A$26:$C$33,3,FALSE),1)</f>
        <v>0.98079741117310582</v>
      </c>
      <c r="BU1339" s="4">
        <f>_xlfn.IFNA(VLOOKUP(Grandview_Inventory[[#This Row],[condition]],Lookups!$A$37:$C$44,3,FALSE),1)</f>
        <v>0.97161819570155394</v>
      </c>
      <c r="BV1339" s="4">
        <f>IF(Grandview_Inventory[[#This Row],[bldg_style]]="",1,_xlfn.IFNA(VLOOKUP(Grandview_Inventory[[#This Row],[decade]],Lookups!$F$29:$H$43,3,FALSE),1))</f>
        <v>0.94161750052457416</v>
      </c>
      <c r="BW1339" s="4">
        <f>_xlfn.IFNA(VLOOKUP(Grandview_Inventory[[#This Row],[living_area_range]],Lookups!$F$47:$H$56,3,FALSE),1)</f>
        <v>0.94306777142782894</v>
      </c>
      <c r="BX1339" s="4">
        <f>AVERAGE(Grandview_Inventory[[#This Row],[qual_adj]:[size_adj]])</f>
        <v>0.95927521970676566</v>
      </c>
      <c r="BY1339" s="6">
        <f>IF(Grandview_Inventory[[#This Row],[pre_res]]&lt;0,0,Grandview_Inventory[[#This Row],[pre_res]]*Grandview_Inventory[[#This Row],[overall_adj]])</f>
        <v>160281.71577227238</v>
      </c>
      <c r="BZ1339" s="6">
        <f>(Grandview_Inventory[[#This Row],[sum_land]]-IF(Grandview_Inventory[[#This Row],[no_utilities]]=1,12000,0))/IF(Grandview_Inventory[[#This Row],[unbuildable]]=1,2,1)</f>
        <v>47528.228511015397</v>
      </c>
      <c r="CA133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39">
        <f>ROUND(Grandview_Inventory[[#This Row],[det_value]]*Lookups!$M$28,-2)</f>
        <v>1000</v>
      </c>
      <c r="CC1339">
        <f>IF(ROUND(Grandview_Inventory[[#This Row],[adj_res]]*Lookups!$M$28,-2)&lt;Grandview_Inventory[[#This Row],[min_res]],Grandview_Inventory[[#This Row],[min_res]],ROUND(Grandview_Inventory[[#This Row],[adj_res]]*Lookups!$M$28,-2))</f>
        <v>152300</v>
      </c>
      <c r="CD1339">
        <f>Grandview_Inventory[[#This Row],[final_det]]+Grandview_Inventory[[#This Row],[final_res]]</f>
        <v>153300</v>
      </c>
      <c r="CE1339">
        <f>Grandview_Inventory[[#This Row],[final_land]]+Grandview_Inventory[[#This Row],[final_imp]]+Grandview_Inventory[[#This Row],[crop_value]]</f>
        <v>198500</v>
      </c>
      <c r="CG1339" t="str">
        <f t="shared" si="20"/>
        <v>update valuation set market_land =45200, market_bldg=153300, market_total =198500, market_mdno =401, market_date ='9/10/2023' where link_id = (select link_id from parcel where parcel_year = '2024' and parcel_id = '23092314450');</v>
      </c>
    </row>
    <row r="1340" spans="1:85" x14ac:dyDescent="0.25">
      <c r="A1340">
        <v>23092314453</v>
      </c>
      <c r="B1340">
        <v>0.22</v>
      </c>
      <c r="C1340">
        <v>9384</v>
      </c>
      <c r="D1340" t="s">
        <v>129</v>
      </c>
      <c r="E1340" t="s">
        <v>53</v>
      </c>
      <c r="F1340" t="s">
        <v>53</v>
      </c>
      <c r="G1340">
        <v>4</v>
      </c>
      <c r="H1340" t="s">
        <v>54</v>
      </c>
      <c r="I1340">
        <v>209900</v>
      </c>
      <c r="J1340">
        <v>40000</v>
      </c>
      <c r="K1340">
        <v>0.22</v>
      </c>
      <c r="L134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340">
        <v>0</v>
      </c>
      <c r="N1340">
        <v>0</v>
      </c>
      <c r="O1340">
        <v>0</v>
      </c>
      <c r="P1340">
        <v>13398.7528</v>
      </c>
      <c r="Q1340">
        <v>63903</v>
      </c>
      <c r="R1340">
        <f>(Grandview_Inventory[[#This Row],[ln_acres]]*Grandview_Inventory[[#This Row],[coeff]])+Grandview_Inventory[[#This Row],[const]]</f>
        <v>43615.576802869145</v>
      </c>
      <c r="S1340" t="s">
        <v>61</v>
      </c>
      <c r="T1340">
        <v>1</v>
      </c>
      <c r="U1340" t="s">
        <v>65</v>
      </c>
      <c r="V1340" t="s">
        <v>69</v>
      </c>
      <c r="W1340">
        <v>0</v>
      </c>
      <c r="X1340">
        <v>0</v>
      </c>
      <c r="Y1340">
        <v>49</v>
      </c>
      <c r="Z1340">
        <v>64</v>
      </c>
      <c r="AA1340">
        <v>70</v>
      </c>
      <c r="AB1340">
        <v>3000</v>
      </c>
      <c r="AC1340">
        <v>2628</v>
      </c>
      <c r="AD1340">
        <v>1522</v>
      </c>
      <c r="AE1340">
        <v>0</v>
      </c>
      <c r="AF1340">
        <v>0</v>
      </c>
      <c r="AG1340">
        <v>1106</v>
      </c>
      <c r="AH1340">
        <v>416</v>
      </c>
      <c r="AI1340">
        <v>0</v>
      </c>
      <c r="AJ1340">
        <v>0</v>
      </c>
      <c r="AK1340">
        <v>0</v>
      </c>
      <c r="AL1340">
        <v>0</v>
      </c>
      <c r="AM1340">
        <v>361</v>
      </c>
      <c r="AN1340">
        <v>40</v>
      </c>
      <c r="AO1340">
        <v>48</v>
      </c>
      <c r="AP1340">
        <v>11</v>
      </c>
      <c r="AQ1340">
        <v>0</v>
      </c>
      <c r="AR1340">
        <v>1</v>
      </c>
      <c r="AS1340" t="s">
        <v>58</v>
      </c>
      <c r="AT1340">
        <v>1</v>
      </c>
      <c r="AU1340" t="s">
        <v>63</v>
      </c>
      <c r="AV1340" t="s">
        <v>60</v>
      </c>
      <c r="AW1340">
        <v>1</v>
      </c>
      <c r="AX1340">
        <v>5</v>
      </c>
      <c r="AY1340">
        <v>0</v>
      </c>
      <c r="AZ1340">
        <v>0</v>
      </c>
      <c r="BA1340">
        <v>100</v>
      </c>
      <c r="BB1340">
        <v>100</v>
      </c>
      <c r="BC1340">
        <v>100</v>
      </c>
      <c r="BD1340">
        <v>100</v>
      </c>
      <c r="BE1340">
        <v>1</v>
      </c>
      <c r="BF1340">
        <v>15000</v>
      </c>
      <c r="BG1340">
        <v>1000</v>
      </c>
      <c r="BH1340" s="6">
        <f>Grandview_Inventory[[#This Row],[land_extract]]*Lookups!$B$3</f>
        <v>50650.651579114572</v>
      </c>
      <c r="BI1340" s="6">
        <f>IF(Grandview_Inventory[[#This Row],[bldg_style]]="",0,Lookups!$B$2)</f>
        <v>155833.95000000001</v>
      </c>
      <c r="BJ1340" s="6">
        <f>_xlfn.IFNA(VLOOKUP(Grandview_Inventory[[#This Row],[quality]],Lookups!$H$2:$J$14,3,FALSE),0)</f>
        <v>2251</v>
      </c>
      <c r="BK1340" s="6">
        <f>_xlfn.IFNA(VLOOKUP(Grandview_Inventory[[#This Row],[condition]],Lookups!$H$17:$J$24,3,FALSE),0)</f>
        <v>-4503</v>
      </c>
      <c r="BL1340" s="6">
        <f>Grandview_Inventory[[#This Row],[Eff_Age]]*Lookups!$B$14</f>
        <v>-11719.163399999999</v>
      </c>
      <c r="BM1340" s="6">
        <f>Grandview_Inventory[[#This Row],[living_area]]*Lookups!$B$15</f>
        <v>163936.88168399999</v>
      </c>
      <c r="BN1340" s="6">
        <f>Grandview_Inventory[[#This Row],[Fin BSMT]]*Lookups!$B$16</f>
        <v>-29971.759440000002</v>
      </c>
      <c r="BO1340" s="6">
        <f>(Grandview_Inventory[[#This Row],[att_gar]]+Grandview_Inventory[[#This Row],[bltin_gar]])*Lookups!$B$17</f>
        <v>0</v>
      </c>
      <c r="BP1340" s="6">
        <f>Grandview_Inventory[[#This Row],[Plumbing Fixtures]]*Lookups!$B$18</f>
        <v>22114.859800000002</v>
      </c>
      <c r="BQ1340" s="6">
        <f>Grandview_Inventory[[#This Row],[detatched_value]]*Lookups!$B$19</f>
        <v>0</v>
      </c>
      <c r="BR1340" s="6">
        <f>SUM(Grandview_Inventory[[#This Row],[Intercept]:[det_value]])*Grandview_Inventory[[#This Row],[res_pct]]</f>
        <v>297942.768644</v>
      </c>
      <c r="BS1340" s="6">
        <f>Grandview_Inventory[[#This Row],[land_value]]</f>
        <v>50650.651579114572</v>
      </c>
      <c r="BT1340" s="4">
        <f>_xlfn.IFNA(VLOOKUP(Grandview_Inventory[[#This Row],[quality]],Lookups!$A$26:$C$33,3,FALSE),1)</f>
        <v>0.98763855981004833</v>
      </c>
      <c r="BU1340" s="4">
        <f>_xlfn.IFNA(VLOOKUP(Grandview_Inventory[[#This Row],[condition]],Lookups!$A$37:$C$44,3,FALSE),1)</f>
        <v>0.96469275950863709</v>
      </c>
      <c r="BV1340" s="4">
        <f>IF(Grandview_Inventory[[#This Row],[bldg_style]]="",1,_xlfn.IFNA(VLOOKUP(Grandview_Inventory[[#This Row],[decade]],Lookups!$F$29:$H$43,3,FALSE),1))</f>
        <v>0.99472141305414818</v>
      </c>
      <c r="BW1340" s="4">
        <f>_xlfn.IFNA(VLOOKUP(Grandview_Inventory[[#This Row],[living_area_range]],Lookups!$F$47:$H$56,3,FALSE),1)</f>
        <v>0.94224801443562123</v>
      </c>
      <c r="BX1340" s="4">
        <f>AVERAGE(Grandview_Inventory[[#This Row],[qual_adj]:[size_adj]])</f>
        <v>0.97232518670211376</v>
      </c>
      <c r="BY1340" s="6">
        <f>IF(Grandview_Inventory[[#This Row],[pre_res]]&lt;0,0,Grandview_Inventory[[#This Row],[pre_res]]*Grandview_Inventory[[#This Row],[overall_adj]])</f>
        <v>289697.258148322</v>
      </c>
      <c r="BZ1340" s="6">
        <f>(Grandview_Inventory[[#This Row],[sum_land]]-IF(Grandview_Inventory[[#This Row],[no_utilities]]=1,12000,0))/IF(Grandview_Inventory[[#This Row],[unbuildable]]=1,2,1)</f>
        <v>50650.651579114572</v>
      </c>
      <c r="CA134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340">
        <f>ROUND(Grandview_Inventory[[#This Row],[det_value]]*Lookups!$M$28,-2)</f>
        <v>0</v>
      </c>
      <c r="CC1340">
        <f>IF(ROUND(Grandview_Inventory[[#This Row],[adj_res]]*Lookups!$M$28,-2)&lt;Grandview_Inventory[[#This Row],[min_res]],Grandview_Inventory[[#This Row],[min_res]],ROUND(Grandview_Inventory[[#This Row],[adj_res]]*Lookups!$M$28,-2))</f>
        <v>275200</v>
      </c>
      <c r="CD1340">
        <f>Grandview_Inventory[[#This Row],[final_det]]+Grandview_Inventory[[#This Row],[final_res]]</f>
        <v>275200</v>
      </c>
      <c r="CE1340">
        <f>Grandview_Inventory[[#This Row],[final_land]]+Grandview_Inventory[[#This Row],[final_imp]]+Grandview_Inventory[[#This Row],[crop_value]]</f>
        <v>323300</v>
      </c>
      <c r="CG1340" t="str">
        <f t="shared" si="20"/>
        <v>update valuation set market_land =48100, market_bldg=275200, market_total =323300, market_mdno =401, market_date ='9/10/2023' where link_id = (select link_id from parcel where parcel_year = '2024' and parcel_id = '23092314453');</v>
      </c>
    </row>
    <row r="1341" spans="1:85" x14ac:dyDescent="0.25">
      <c r="A1341">
        <v>23092314454</v>
      </c>
      <c r="B1341">
        <v>0.2</v>
      </c>
      <c r="C1341">
        <v>8590</v>
      </c>
      <c r="D1341" t="s">
        <v>129</v>
      </c>
      <c r="E1341" t="s">
        <v>53</v>
      </c>
      <c r="F1341" t="s">
        <v>53</v>
      </c>
      <c r="G1341">
        <v>4</v>
      </c>
      <c r="H1341" t="s">
        <v>54</v>
      </c>
      <c r="I1341">
        <v>150200</v>
      </c>
      <c r="J1341">
        <v>39700</v>
      </c>
      <c r="K1341">
        <v>0.2</v>
      </c>
      <c r="L134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41">
        <v>0</v>
      </c>
      <c r="N1341">
        <v>0</v>
      </c>
      <c r="O1341">
        <v>0</v>
      </c>
      <c r="P1341">
        <v>13398.7528</v>
      </c>
      <c r="Q1341">
        <v>63903</v>
      </c>
      <c r="R1341">
        <f>(Grandview_Inventory[[#This Row],[ln_acres]]*Grandview_Inventory[[#This Row],[coeff]])+Grandview_Inventory[[#This Row],[const]]</f>
        <v>42338.539264347448</v>
      </c>
      <c r="S1341" t="s">
        <v>68</v>
      </c>
      <c r="T1341">
        <v>1</v>
      </c>
      <c r="U1341" t="s">
        <v>70</v>
      </c>
      <c r="V1341" t="s">
        <v>69</v>
      </c>
      <c r="W1341">
        <v>0</v>
      </c>
      <c r="X1341">
        <v>0</v>
      </c>
      <c r="Y1341">
        <v>57</v>
      </c>
      <c r="Z1341">
        <v>103</v>
      </c>
      <c r="AA1341">
        <v>110</v>
      </c>
      <c r="AB1341">
        <v>2000</v>
      </c>
      <c r="AC1341">
        <v>1508</v>
      </c>
      <c r="AD1341">
        <v>1066</v>
      </c>
      <c r="AE1341">
        <v>0</v>
      </c>
      <c r="AF1341">
        <v>0</v>
      </c>
      <c r="AG1341">
        <v>442</v>
      </c>
      <c r="AH1341">
        <v>442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5</v>
      </c>
      <c r="AQ1341">
        <v>1</v>
      </c>
      <c r="AR1341">
        <v>0</v>
      </c>
      <c r="AS1341" t="s">
        <v>58</v>
      </c>
      <c r="AT1341">
        <v>1</v>
      </c>
      <c r="AU1341" t="s">
        <v>63</v>
      </c>
      <c r="AV1341" t="s">
        <v>60</v>
      </c>
      <c r="AW1341">
        <v>0</v>
      </c>
      <c r="AX1341">
        <v>2</v>
      </c>
      <c r="AY1341">
        <v>0</v>
      </c>
      <c r="AZ1341">
        <v>6300</v>
      </c>
      <c r="BA1341">
        <v>100</v>
      </c>
      <c r="BB1341">
        <v>100</v>
      </c>
      <c r="BC1341">
        <v>100</v>
      </c>
      <c r="BD1341">
        <v>100</v>
      </c>
      <c r="BE1341">
        <v>1</v>
      </c>
      <c r="BF1341">
        <v>15000</v>
      </c>
      <c r="BG1341">
        <v>1000</v>
      </c>
      <c r="BH1341" s="6">
        <f>Grandview_Inventory[[#This Row],[land_extract]]*Lookups!$B$3</f>
        <v>49167.631333630678</v>
      </c>
      <c r="BI1341" s="6">
        <f>IF(Grandview_Inventory[[#This Row],[bldg_style]]="",0,Lookups!$B$2)</f>
        <v>155833.95000000001</v>
      </c>
      <c r="BJ1341" s="6">
        <f>_xlfn.IFNA(VLOOKUP(Grandview_Inventory[[#This Row],[quality]],Lookups!$H$2:$J$14,3,FALSE),0)</f>
        <v>10733</v>
      </c>
      <c r="BK1341" s="6">
        <f>_xlfn.IFNA(VLOOKUP(Grandview_Inventory[[#This Row],[condition]],Lookups!$H$17:$J$24,3,FALSE),0)</f>
        <v>-4503</v>
      </c>
      <c r="BL1341" s="6">
        <f>Grandview_Inventory[[#This Row],[Eff_Age]]*Lookups!$B$14</f>
        <v>-13632.4962</v>
      </c>
      <c r="BM1341" s="6">
        <f>Grandview_Inventory[[#This Row],[living_area]]*Lookups!$B$15</f>
        <v>94070.326324000009</v>
      </c>
      <c r="BN1341" s="6">
        <f>Grandview_Inventory[[#This Row],[Fin BSMT]]*Lookups!$B$16</f>
        <v>-11977.864080000001</v>
      </c>
      <c r="BO1341" s="6">
        <f>(Grandview_Inventory[[#This Row],[att_gar]]+Grandview_Inventory[[#This Row],[bltin_gar]])*Lookups!$B$17</f>
        <v>0</v>
      </c>
      <c r="BP1341" s="6">
        <f>Grandview_Inventory[[#This Row],[Plumbing Fixtures]]*Lookups!$B$18</f>
        <v>10052.209000000001</v>
      </c>
      <c r="BQ1341" s="6">
        <f>Grandview_Inventory[[#This Row],[detatched_value]]*Lookups!$B$19</f>
        <v>5334.8721299999997</v>
      </c>
      <c r="BR1341" s="6">
        <f>SUM(Grandview_Inventory[[#This Row],[Intercept]:[det_value]])*Grandview_Inventory[[#This Row],[res_pct]]</f>
        <v>245910.99717400005</v>
      </c>
      <c r="BS1341" s="6">
        <f>Grandview_Inventory[[#This Row],[land_value]]</f>
        <v>49167.631333630678</v>
      </c>
      <c r="BT1341" s="4">
        <f>_xlfn.IFNA(VLOOKUP(Grandview_Inventory[[#This Row],[quality]],Lookups!$A$26:$C$33,3,FALSE),1)</f>
        <v>0.98079741117310582</v>
      </c>
      <c r="BU1341" s="4">
        <f>_xlfn.IFNA(VLOOKUP(Grandview_Inventory[[#This Row],[condition]],Lookups!$A$37:$C$44,3,FALSE),1)</f>
        <v>0.96469275950863709</v>
      </c>
      <c r="BV1341" s="4">
        <f>IF(Grandview_Inventory[[#This Row],[bldg_style]]="",1,_xlfn.IFNA(VLOOKUP(Grandview_Inventory[[#This Row],[decade]],Lookups!$F$29:$H$43,3,FALSE),1))</f>
        <v>0.92255236374249616</v>
      </c>
      <c r="BW1341" s="4">
        <f>_xlfn.IFNA(VLOOKUP(Grandview_Inventory[[#This Row],[living_area_range]],Lookups!$F$47:$H$56,3,FALSE),1)</f>
        <v>0.96120133463014379</v>
      </c>
      <c r="BX1341" s="4">
        <f>AVERAGE(Grandview_Inventory[[#This Row],[qual_adj]:[size_adj]])</f>
        <v>0.95731096726359577</v>
      </c>
      <c r="BY1341" s="6">
        <f>IF(Grandview_Inventory[[#This Row],[pre_res]]&lt;0,0,Grandview_Inventory[[#This Row],[pre_res]]*Grandview_Inventory[[#This Row],[overall_adj]])</f>
        <v>235413.29456539734</v>
      </c>
      <c r="BZ1341" s="6">
        <f>(Grandview_Inventory[[#This Row],[sum_land]]-IF(Grandview_Inventory[[#This Row],[no_utilities]]=1,12000,0))/IF(Grandview_Inventory[[#This Row],[unbuildable]]=1,2,1)</f>
        <v>49167.631333630678</v>
      </c>
      <c r="CA134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41">
        <f>ROUND(Grandview_Inventory[[#This Row],[det_value]]*Lookups!$M$28,-2)</f>
        <v>5100</v>
      </c>
      <c r="CC1341">
        <f>IF(ROUND(Grandview_Inventory[[#This Row],[adj_res]]*Lookups!$M$28,-2)&lt;Grandview_Inventory[[#This Row],[min_res]],Grandview_Inventory[[#This Row],[min_res]],ROUND(Grandview_Inventory[[#This Row],[adj_res]]*Lookups!$M$28,-2))</f>
        <v>223600</v>
      </c>
      <c r="CD1341">
        <f>Grandview_Inventory[[#This Row],[final_det]]+Grandview_Inventory[[#This Row],[final_res]]</f>
        <v>228700</v>
      </c>
      <c r="CE1341">
        <f>Grandview_Inventory[[#This Row],[final_land]]+Grandview_Inventory[[#This Row],[final_imp]]+Grandview_Inventory[[#This Row],[crop_value]]</f>
        <v>275400</v>
      </c>
      <c r="CG1341" t="str">
        <f t="shared" si="20"/>
        <v>update valuation set market_land =46700, market_bldg=228700, market_total =275400, market_mdno =401, market_date ='9/10/2023' where link_id = (select link_id from parcel where parcel_year = '2024' and parcel_id = '23092314454');</v>
      </c>
    </row>
    <row r="1342" spans="1:85" x14ac:dyDescent="0.25">
      <c r="A1342">
        <v>23092314455</v>
      </c>
      <c r="B1342">
        <v>0.19</v>
      </c>
      <c r="C1342">
        <v>8315</v>
      </c>
      <c r="D1342" t="s">
        <v>129</v>
      </c>
      <c r="E1342" t="s">
        <v>53</v>
      </c>
      <c r="F1342" t="s">
        <v>53</v>
      </c>
      <c r="G1342">
        <v>4</v>
      </c>
      <c r="H1342" t="s">
        <v>54</v>
      </c>
      <c r="I1342">
        <v>149000</v>
      </c>
      <c r="J1342">
        <v>39700</v>
      </c>
      <c r="K1342">
        <v>0.19</v>
      </c>
      <c r="L134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342">
        <v>0</v>
      </c>
      <c r="N1342">
        <v>0</v>
      </c>
      <c r="O1342">
        <v>0</v>
      </c>
      <c r="P1342">
        <v>13398.7528</v>
      </c>
      <c r="Q1342">
        <v>63903</v>
      </c>
      <c r="R1342">
        <f>(Grandview_Inventory[[#This Row],[ln_acres]]*Grandview_Inventory[[#This Row],[coeff]])+Grandview_Inventory[[#This Row],[const]]</f>
        <v>41651.273092551026</v>
      </c>
      <c r="S1342" t="s">
        <v>55</v>
      </c>
      <c r="T1342">
        <v>2</v>
      </c>
      <c r="U1342" t="s">
        <v>65</v>
      </c>
      <c r="V1342" t="s">
        <v>78</v>
      </c>
      <c r="W1342">
        <v>0</v>
      </c>
      <c r="X1342">
        <v>0</v>
      </c>
      <c r="Y1342">
        <v>63</v>
      </c>
      <c r="Z1342">
        <v>111</v>
      </c>
      <c r="AA1342">
        <v>120</v>
      </c>
      <c r="AB1342">
        <v>2000</v>
      </c>
      <c r="AC1342">
        <v>1773</v>
      </c>
      <c r="AD1342">
        <v>1019</v>
      </c>
      <c r="AE1342">
        <v>754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72</v>
      </c>
      <c r="AO1342">
        <v>0</v>
      </c>
      <c r="AP1342">
        <v>8</v>
      </c>
      <c r="AQ1342">
        <v>0</v>
      </c>
      <c r="AR1342">
        <v>0</v>
      </c>
      <c r="AS1342" t="s">
        <v>58</v>
      </c>
      <c r="AT1342">
        <v>1</v>
      </c>
      <c r="AU1342" t="s">
        <v>63</v>
      </c>
      <c r="AV1342" t="s">
        <v>64</v>
      </c>
      <c r="AW1342">
        <v>1</v>
      </c>
      <c r="AX1342">
        <v>4</v>
      </c>
      <c r="AY1342">
        <v>0</v>
      </c>
      <c r="AZ1342">
        <v>5900</v>
      </c>
      <c r="BA1342">
        <v>100</v>
      </c>
      <c r="BB1342">
        <v>100</v>
      </c>
      <c r="BC1342">
        <v>100</v>
      </c>
      <c r="BD1342">
        <v>100</v>
      </c>
      <c r="BE1342">
        <v>1</v>
      </c>
      <c r="BF1342">
        <v>15000</v>
      </c>
      <c r="BG1342">
        <v>1000</v>
      </c>
      <c r="BH1342" s="6">
        <f>Grandview_Inventory[[#This Row],[land_extract]]*Lookups!$B$3</f>
        <v>48369.510983942157</v>
      </c>
      <c r="BI1342" s="6">
        <f>IF(Grandview_Inventory[[#This Row],[bldg_style]]="",0,Lookups!$B$2)</f>
        <v>155833.95000000001</v>
      </c>
      <c r="BJ1342" s="6">
        <f>_xlfn.IFNA(VLOOKUP(Grandview_Inventory[[#This Row],[quality]],Lookups!$H$2:$J$14,3,FALSE),0)</f>
        <v>2251</v>
      </c>
      <c r="BK1342" s="6">
        <f>_xlfn.IFNA(VLOOKUP(Grandview_Inventory[[#This Row],[condition]],Lookups!$H$17:$J$24,3,FALSE),0)</f>
        <v>-45357</v>
      </c>
      <c r="BL1342" s="6">
        <f>Grandview_Inventory[[#This Row],[Eff_Age]]*Lookups!$B$14</f>
        <v>-15067.495799999999</v>
      </c>
      <c r="BM1342" s="6">
        <f>Grandview_Inventory[[#This Row],[living_area]]*Lookups!$B$15</f>
        <v>110601.25236900001</v>
      </c>
      <c r="BN1342" s="6">
        <f>Grandview_Inventory[[#This Row],[Fin BSMT]]*Lookups!$B$16</f>
        <v>0</v>
      </c>
      <c r="BO1342" s="6">
        <f>(Grandview_Inventory[[#This Row],[att_gar]]+Grandview_Inventory[[#This Row],[bltin_gar]])*Lookups!$B$17</f>
        <v>0</v>
      </c>
      <c r="BP1342" s="6">
        <f>Grandview_Inventory[[#This Row],[Plumbing Fixtures]]*Lookups!$B$18</f>
        <v>16083.5344</v>
      </c>
      <c r="BQ1342" s="6">
        <f>Grandview_Inventory[[#This Row],[detatched_value]]*Lookups!$B$19</f>
        <v>4996.1500900000001</v>
      </c>
      <c r="BR1342" s="6">
        <f>SUM(Grandview_Inventory[[#This Row],[Intercept]:[det_value]])*Grandview_Inventory[[#This Row],[res_pct]]</f>
        <v>229341.39105900005</v>
      </c>
      <c r="BS1342" s="6">
        <f>Grandview_Inventory[[#This Row],[land_value]]</f>
        <v>48369.510983942157</v>
      </c>
      <c r="BT1342" s="4">
        <f>_xlfn.IFNA(VLOOKUP(Grandview_Inventory[[#This Row],[quality]],Lookups!$A$26:$C$33,3,FALSE),1)</f>
        <v>0.98763855981004833</v>
      </c>
      <c r="BU1342" s="4">
        <f>_xlfn.IFNA(VLOOKUP(Grandview_Inventory[[#This Row],[condition]],Lookups!$A$37:$C$44,3,FALSE),1)</f>
        <v>0.97161819570155394</v>
      </c>
      <c r="BV1342" s="4">
        <f>IF(Grandview_Inventory[[#This Row],[bldg_style]]="",1,_xlfn.IFNA(VLOOKUP(Grandview_Inventory[[#This Row],[decade]],Lookups!$F$29:$H$43,3,FALSE),1))</f>
        <v>0.9251738460551937</v>
      </c>
      <c r="BW1342" s="4">
        <f>_xlfn.IFNA(VLOOKUP(Grandview_Inventory[[#This Row],[living_area_range]],Lookups!$F$47:$H$56,3,FALSE),1)</f>
        <v>0.96120133463014379</v>
      </c>
      <c r="BX1342" s="4">
        <f>AVERAGE(Grandview_Inventory[[#This Row],[qual_adj]:[size_adj]])</f>
        <v>0.96140798404923489</v>
      </c>
      <c r="BY1342" s="6">
        <f>IF(Grandview_Inventory[[#This Row],[pre_res]]&lt;0,0,Grandview_Inventory[[#This Row],[pre_res]]*Grandview_Inventory[[#This Row],[overall_adj]])</f>
        <v>220490.64443708045</v>
      </c>
      <c r="BZ1342" s="6">
        <f>(Grandview_Inventory[[#This Row],[sum_land]]-IF(Grandview_Inventory[[#This Row],[no_utilities]]=1,12000,0))/IF(Grandview_Inventory[[#This Row],[unbuildable]]=1,2,1)</f>
        <v>48369.510983942157</v>
      </c>
      <c r="CA134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342">
        <f>ROUND(Grandview_Inventory[[#This Row],[det_value]]*Lookups!$M$28,-2)</f>
        <v>4700</v>
      </c>
      <c r="CC1342">
        <f>IF(ROUND(Grandview_Inventory[[#This Row],[adj_res]]*Lookups!$M$28,-2)&lt;Grandview_Inventory[[#This Row],[min_res]],Grandview_Inventory[[#This Row],[min_res]],ROUND(Grandview_Inventory[[#This Row],[adj_res]]*Lookups!$M$28,-2))</f>
        <v>209500</v>
      </c>
      <c r="CD1342">
        <f>Grandview_Inventory[[#This Row],[final_det]]+Grandview_Inventory[[#This Row],[final_res]]</f>
        <v>214200</v>
      </c>
      <c r="CE1342">
        <f>Grandview_Inventory[[#This Row],[final_land]]+Grandview_Inventory[[#This Row],[final_imp]]+Grandview_Inventory[[#This Row],[crop_value]]</f>
        <v>260200</v>
      </c>
      <c r="CG1342" t="str">
        <f t="shared" si="20"/>
        <v>update valuation set market_land =46000, market_bldg=214200, market_total =260200, market_mdno =401, market_date ='9/10/2023' where link_id = (select link_id from parcel where parcel_year = '2024' and parcel_id = '23092314455');</v>
      </c>
    </row>
    <row r="1343" spans="1:85" x14ac:dyDescent="0.25">
      <c r="A1343">
        <v>23092314456</v>
      </c>
      <c r="B1343">
        <v>0.21</v>
      </c>
      <c r="C1343">
        <v>9272</v>
      </c>
      <c r="D1343" t="s">
        <v>129</v>
      </c>
      <c r="E1343" t="s">
        <v>53</v>
      </c>
      <c r="F1343" t="s">
        <v>53</v>
      </c>
      <c r="G1343">
        <v>4</v>
      </c>
      <c r="H1343" t="s">
        <v>54</v>
      </c>
      <c r="I1343">
        <v>216400</v>
      </c>
      <c r="J1343">
        <v>39800</v>
      </c>
      <c r="K1343">
        <v>0.21</v>
      </c>
      <c r="L134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43">
        <v>0</v>
      </c>
      <c r="N1343">
        <v>0</v>
      </c>
      <c r="O1343">
        <v>0</v>
      </c>
      <c r="P1343">
        <v>13398.7528</v>
      </c>
      <c r="Q1343">
        <v>63903</v>
      </c>
      <c r="R1343">
        <f>(Grandview_Inventory[[#This Row],[ln_acres]]*Grandview_Inventory[[#This Row],[coeff]])+Grandview_Inventory[[#This Row],[const]]</f>
        <v>42992.266613125081</v>
      </c>
      <c r="S1343" t="s">
        <v>55</v>
      </c>
      <c r="T1343">
        <v>2</v>
      </c>
      <c r="U1343" t="s">
        <v>65</v>
      </c>
      <c r="V1343" t="s">
        <v>69</v>
      </c>
      <c r="W1343">
        <v>0</v>
      </c>
      <c r="X1343">
        <v>0</v>
      </c>
      <c r="Y1343">
        <v>51</v>
      </c>
      <c r="Z1343">
        <v>83</v>
      </c>
      <c r="AA1343">
        <v>90</v>
      </c>
      <c r="AB1343">
        <v>3000</v>
      </c>
      <c r="AC1343">
        <v>2676</v>
      </c>
      <c r="AD1343">
        <v>1320</v>
      </c>
      <c r="AE1343">
        <v>400</v>
      </c>
      <c r="AF1343">
        <v>0</v>
      </c>
      <c r="AG1343">
        <v>956</v>
      </c>
      <c r="AH1343">
        <v>0</v>
      </c>
      <c r="AI1343">
        <v>0</v>
      </c>
      <c r="AJ1343">
        <v>0</v>
      </c>
      <c r="AK1343">
        <v>0</v>
      </c>
      <c r="AL1343">
        <v>30</v>
      </c>
      <c r="AM1343">
        <v>220</v>
      </c>
      <c r="AN1343">
        <v>30</v>
      </c>
      <c r="AO1343">
        <v>250</v>
      </c>
      <c r="AP1343">
        <v>8</v>
      </c>
      <c r="AQ1343">
        <v>0</v>
      </c>
      <c r="AR1343">
        <v>1</v>
      </c>
      <c r="AS1343" t="s">
        <v>58</v>
      </c>
      <c r="AT1343">
        <v>1</v>
      </c>
      <c r="AU1343" t="s">
        <v>63</v>
      </c>
      <c r="AV1343" t="s">
        <v>64</v>
      </c>
      <c r="AW1343">
        <v>1</v>
      </c>
      <c r="AX1343">
        <v>2</v>
      </c>
      <c r="AY1343">
        <v>0</v>
      </c>
      <c r="AZ1343">
        <v>9700</v>
      </c>
      <c r="BA1343">
        <v>100</v>
      </c>
      <c r="BB1343">
        <v>100</v>
      </c>
      <c r="BC1343">
        <v>100</v>
      </c>
      <c r="BD1343">
        <v>100</v>
      </c>
      <c r="BE1343">
        <v>1</v>
      </c>
      <c r="BF1343">
        <v>15000</v>
      </c>
      <c r="BG1343">
        <v>1000</v>
      </c>
      <c r="BH1343" s="6">
        <f>Grandview_Inventory[[#This Row],[land_extract]]*Lookups!$B$3</f>
        <v>49926.8031387023</v>
      </c>
      <c r="BI1343" s="6">
        <f>IF(Grandview_Inventory[[#This Row],[bldg_style]]="",0,Lookups!$B$2)</f>
        <v>155833.95000000001</v>
      </c>
      <c r="BJ1343" s="6">
        <f>_xlfn.IFNA(VLOOKUP(Grandview_Inventory[[#This Row],[quality]],Lookups!$H$2:$J$14,3,FALSE),0)</f>
        <v>2251</v>
      </c>
      <c r="BK1343" s="6">
        <f>_xlfn.IFNA(VLOOKUP(Grandview_Inventory[[#This Row],[condition]],Lookups!$H$17:$J$24,3,FALSE),0)</f>
        <v>-4503</v>
      </c>
      <c r="BL1343" s="6">
        <f>Grandview_Inventory[[#This Row],[Eff_Age]]*Lookups!$B$14</f>
        <v>-12197.496599999999</v>
      </c>
      <c r="BM1343" s="6">
        <f>Grandview_Inventory[[#This Row],[living_area]]*Lookups!$B$15</f>
        <v>166931.16262799999</v>
      </c>
      <c r="BN1343" s="6">
        <f>Grandview_Inventory[[#This Row],[Fin BSMT]]*Lookups!$B$16</f>
        <v>-25906.873440000003</v>
      </c>
      <c r="BO1343" s="6">
        <f>(Grandview_Inventory[[#This Row],[att_gar]]+Grandview_Inventory[[#This Row],[bltin_gar]])*Lookups!$B$17</f>
        <v>0</v>
      </c>
      <c r="BP1343" s="6">
        <f>Grandview_Inventory[[#This Row],[Plumbing Fixtures]]*Lookups!$B$18</f>
        <v>16083.5344</v>
      </c>
      <c r="BQ1343" s="6">
        <f>Grandview_Inventory[[#This Row],[detatched_value]]*Lookups!$B$19</f>
        <v>8214.0094699999991</v>
      </c>
      <c r="BR1343" s="6">
        <f>SUM(Grandview_Inventory[[#This Row],[Intercept]:[det_value]])*Grandview_Inventory[[#This Row],[res_pct]]</f>
        <v>306706.28645800002</v>
      </c>
      <c r="BS1343" s="6">
        <f>Grandview_Inventory[[#This Row],[land_value]]</f>
        <v>49926.8031387023</v>
      </c>
      <c r="BT1343" s="4">
        <f>_xlfn.IFNA(VLOOKUP(Grandview_Inventory[[#This Row],[quality]],Lookups!$A$26:$C$33,3,FALSE),1)</f>
        <v>0.98763855981004833</v>
      </c>
      <c r="BU1343" s="4">
        <f>_xlfn.IFNA(VLOOKUP(Grandview_Inventory[[#This Row],[condition]],Lookups!$A$37:$C$44,3,FALSE),1)</f>
        <v>0.96469275950863709</v>
      </c>
      <c r="BV1343" s="4">
        <f>IF(Grandview_Inventory[[#This Row],[bldg_style]]="",1,_xlfn.IFNA(VLOOKUP(Grandview_Inventory[[#This Row],[decade]],Lookups!$F$29:$H$43,3,FALSE),1))</f>
        <v>0.94161750052457416</v>
      </c>
      <c r="BW1343" s="4">
        <f>_xlfn.IFNA(VLOOKUP(Grandview_Inventory[[#This Row],[living_area_range]],Lookups!$F$47:$H$56,3,FALSE),1)</f>
        <v>0.94224801443562123</v>
      </c>
      <c r="BX1343" s="4">
        <f>AVERAGE(Grandview_Inventory[[#This Row],[qual_adj]:[size_adj]])</f>
        <v>0.9590492085697202</v>
      </c>
      <c r="BY1343" s="6">
        <f>IF(Grandview_Inventory[[#This Row],[pre_res]]&lt;0,0,Grandview_Inventory[[#This Row],[pre_res]]*Grandview_Inventory[[#This Row],[overall_adj]])</f>
        <v>294146.42129090283</v>
      </c>
      <c r="BZ1343" s="6">
        <f>(Grandview_Inventory[[#This Row],[sum_land]]-IF(Grandview_Inventory[[#This Row],[no_utilities]]=1,12000,0))/IF(Grandview_Inventory[[#This Row],[unbuildable]]=1,2,1)</f>
        <v>49926.8031387023</v>
      </c>
      <c r="CA134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43">
        <f>ROUND(Grandview_Inventory[[#This Row],[det_value]]*Lookups!$M$28,-2)</f>
        <v>7800</v>
      </c>
      <c r="CC1343">
        <f>IF(ROUND(Grandview_Inventory[[#This Row],[adj_res]]*Lookups!$M$28,-2)&lt;Grandview_Inventory[[#This Row],[min_res]],Grandview_Inventory[[#This Row],[min_res]],ROUND(Grandview_Inventory[[#This Row],[adj_res]]*Lookups!$M$28,-2))</f>
        <v>279400</v>
      </c>
      <c r="CD1343">
        <f>Grandview_Inventory[[#This Row],[final_det]]+Grandview_Inventory[[#This Row],[final_res]]</f>
        <v>287200</v>
      </c>
      <c r="CE1343">
        <f>Grandview_Inventory[[#This Row],[final_land]]+Grandview_Inventory[[#This Row],[final_imp]]+Grandview_Inventory[[#This Row],[crop_value]]</f>
        <v>334600</v>
      </c>
      <c r="CG1343" t="str">
        <f t="shared" si="20"/>
        <v>update valuation set market_land =47400, market_bldg=287200, market_total =334600, market_mdno =401, market_date ='9/10/2023' where link_id = (select link_id from parcel where parcel_year = '2024' and parcel_id = '23092314456');</v>
      </c>
    </row>
    <row r="1344" spans="1:85" x14ac:dyDescent="0.25">
      <c r="A1344">
        <v>23092314457</v>
      </c>
      <c r="B1344">
        <v>0.24</v>
      </c>
      <c r="C1344">
        <v>10597</v>
      </c>
      <c r="D1344" t="s">
        <v>129</v>
      </c>
      <c r="E1344" t="s">
        <v>53</v>
      </c>
      <c r="F1344" t="s">
        <v>53</v>
      </c>
      <c r="G1344">
        <v>4</v>
      </c>
      <c r="H1344" t="s">
        <v>54</v>
      </c>
      <c r="I1344">
        <v>102100</v>
      </c>
      <c r="J1344">
        <v>40400</v>
      </c>
      <c r="K1344">
        <v>0.24</v>
      </c>
      <c r="L134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344">
        <v>0</v>
      </c>
      <c r="N1344">
        <v>0</v>
      </c>
      <c r="O1344">
        <v>0</v>
      </c>
      <c r="P1344">
        <v>13398.7528</v>
      </c>
      <c r="Q1344">
        <v>63903</v>
      </c>
      <c r="R1344">
        <f>(Grandview_Inventory[[#This Row],[ln_acres]]*Grandview_Inventory[[#This Row],[coeff]])+Grandview_Inventory[[#This Row],[const]]</f>
        <v>44781.420733940802</v>
      </c>
      <c r="S1344" t="s">
        <v>61</v>
      </c>
      <c r="T1344">
        <v>1</v>
      </c>
      <c r="U1344" t="s">
        <v>65</v>
      </c>
      <c r="V1344" t="s">
        <v>78</v>
      </c>
      <c r="W1344">
        <v>0</v>
      </c>
      <c r="X1344">
        <v>0</v>
      </c>
      <c r="Y1344">
        <v>50</v>
      </c>
      <c r="Z1344">
        <v>75</v>
      </c>
      <c r="AA1344">
        <v>80</v>
      </c>
      <c r="AB1344">
        <v>1500</v>
      </c>
      <c r="AC1344">
        <v>1122</v>
      </c>
      <c r="AD1344">
        <v>1122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200</v>
      </c>
      <c r="AN1344">
        <v>0</v>
      </c>
      <c r="AO1344">
        <v>320</v>
      </c>
      <c r="AP1344">
        <v>5</v>
      </c>
      <c r="AQ1344">
        <v>0</v>
      </c>
      <c r="AR1344">
        <v>0</v>
      </c>
      <c r="AS1344" t="s">
        <v>76</v>
      </c>
      <c r="AT1344">
        <v>1</v>
      </c>
      <c r="AU1344" t="s">
        <v>63</v>
      </c>
      <c r="AV1344" t="s">
        <v>81</v>
      </c>
      <c r="AW1344">
        <v>0</v>
      </c>
      <c r="AX1344">
        <v>2</v>
      </c>
      <c r="AY1344">
        <v>0</v>
      </c>
      <c r="AZ1344">
        <v>5600</v>
      </c>
      <c r="BA1344">
        <v>100</v>
      </c>
      <c r="BB1344">
        <v>100</v>
      </c>
      <c r="BC1344">
        <v>100</v>
      </c>
      <c r="BD1344">
        <v>100</v>
      </c>
      <c r="BE1344">
        <v>1</v>
      </c>
      <c r="BF1344">
        <v>15000</v>
      </c>
      <c r="BG1344">
        <v>1000</v>
      </c>
      <c r="BH1344" s="6">
        <f>Grandview_Inventory[[#This Row],[land_extract]]*Lookups!$B$3</f>
        <v>52004.542988489469</v>
      </c>
      <c r="BI1344" s="6">
        <f>IF(Grandview_Inventory[[#This Row],[bldg_style]]="",0,Lookups!$B$2)</f>
        <v>155833.95000000001</v>
      </c>
      <c r="BJ1344" s="6">
        <f>_xlfn.IFNA(VLOOKUP(Grandview_Inventory[[#This Row],[quality]],Lookups!$H$2:$J$14,3,FALSE),0)</f>
        <v>2251</v>
      </c>
      <c r="BK1344" s="6">
        <f>_xlfn.IFNA(VLOOKUP(Grandview_Inventory[[#This Row],[condition]],Lookups!$H$17:$J$24,3,FALSE),0)</f>
        <v>-45357</v>
      </c>
      <c r="BL1344" s="6">
        <f>Grandview_Inventory[[#This Row],[Eff_Age]]*Lookups!$B$14</f>
        <v>-11958.33</v>
      </c>
      <c r="BM1344" s="6">
        <f>Grandview_Inventory[[#This Row],[living_area]]*Lookups!$B$15</f>
        <v>69991.317066000003</v>
      </c>
      <c r="BN1344" s="6">
        <f>Grandview_Inventory[[#This Row],[Fin BSMT]]*Lookups!$B$16</f>
        <v>0</v>
      </c>
      <c r="BO1344" s="6">
        <f>(Grandview_Inventory[[#This Row],[att_gar]]+Grandview_Inventory[[#This Row],[bltin_gar]])*Lookups!$B$17</f>
        <v>0</v>
      </c>
      <c r="BP1344" s="6">
        <f>Grandview_Inventory[[#This Row],[Plumbing Fixtures]]*Lookups!$B$18</f>
        <v>10052.209000000001</v>
      </c>
      <c r="BQ1344" s="6">
        <f>Grandview_Inventory[[#This Row],[detatched_value]]*Lookups!$B$19</f>
        <v>4742.1085599999997</v>
      </c>
      <c r="BR1344" s="6">
        <f>SUM(Grandview_Inventory[[#This Row],[Intercept]:[det_value]])*Grandview_Inventory[[#This Row],[res_pct]]</f>
        <v>185555.25462600001</v>
      </c>
      <c r="BS1344" s="6">
        <f>Grandview_Inventory[[#This Row],[land_value]]</f>
        <v>52004.542988489469</v>
      </c>
      <c r="BT1344" s="4">
        <f>_xlfn.IFNA(VLOOKUP(Grandview_Inventory[[#This Row],[quality]],Lookups!$A$26:$C$33,3,FALSE),1)</f>
        <v>0.98763855981004833</v>
      </c>
      <c r="BU1344" s="4">
        <f>_xlfn.IFNA(VLOOKUP(Grandview_Inventory[[#This Row],[condition]],Lookups!$A$37:$C$44,3,FALSE),1)</f>
        <v>0.97161819570155394</v>
      </c>
      <c r="BV1344" s="4">
        <f>IF(Grandview_Inventory[[#This Row],[bldg_style]]="",1,_xlfn.IFNA(VLOOKUP(Grandview_Inventory[[#This Row],[decade]],Lookups!$F$29:$H$43,3,FALSE),1))</f>
        <v>0.98763256963907298</v>
      </c>
      <c r="BW1344" s="4">
        <f>_xlfn.IFNA(VLOOKUP(Grandview_Inventory[[#This Row],[living_area_range]],Lookups!$F$47:$H$56,3,FALSE),1)</f>
        <v>0.96135087979789358</v>
      </c>
      <c r="BX1344" s="4">
        <f>AVERAGE(Grandview_Inventory[[#This Row],[qual_adj]:[size_adj]])</f>
        <v>0.97706005123714224</v>
      </c>
      <c r="BY1344" s="6">
        <f>IF(Grandview_Inventory[[#This Row],[pre_res]]&lt;0,0,Grandview_Inventory[[#This Row],[pre_res]]*Grandview_Inventory[[#This Row],[overall_adj]])</f>
        <v>181298.62659220054</v>
      </c>
      <c r="BZ1344" s="6">
        <f>(Grandview_Inventory[[#This Row],[sum_land]]-IF(Grandview_Inventory[[#This Row],[no_utilities]]=1,12000,0))/IF(Grandview_Inventory[[#This Row],[unbuildable]]=1,2,1)</f>
        <v>52004.542988489469</v>
      </c>
      <c r="CA134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344">
        <f>ROUND(Grandview_Inventory[[#This Row],[det_value]]*Lookups!$M$28,-2)</f>
        <v>4500</v>
      </c>
      <c r="CC1344">
        <f>IF(ROUND(Grandview_Inventory[[#This Row],[adj_res]]*Lookups!$M$28,-2)&lt;Grandview_Inventory[[#This Row],[min_res]],Grandview_Inventory[[#This Row],[min_res]],ROUND(Grandview_Inventory[[#This Row],[adj_res]]*Lookups!$M$28,-2))</f>
        <v>172200</v>
      </c>
      <c r="CD1344">
        <f>Grandview_Inventory[[#This Row],[final_det]]+Grandview_Inventory[[#This Row],[final_res]]</f>
        <v>176700</v>
      </c>
      <c r="CE1344">
        <f>Grandview_Inventory[[#This Row],[final_land]]+Grandview_Inventory[[#This Row],[final_imp]]+Grandview_Inventory[[#This Row],[crop_value]]</f>
        <v>226100</v>
      </c>
      <c r="CG1344" t="str">
        <f t="shared" si="20"/>
        <v>update valuation set market_land =49400, market_bldg=176700, market_total =226100, market_mdno =401, market_date ='9/10/2023' where link_id = (select link_id from parcel where parcel_year = '2024' and parcel_id = '23092314457');</v>
      </c>
    </row>
    <row r="1345" spans="1:85" x14ac:dyDescent="0.25">
      <c r="A1345">
        <v>23092314458</v>
      </c>
      <c r="B1345">
        <v>0.22</v>
      </c>
      <c r="C1345">
        <v>9701</v>
      </c>
      <c r="D1345" t="s">
        <v>129</v>
      </c>
      <c r="E1345" t="s">
        <v>53</v>
      </c>
      <c r="F1345" t="s">
        <v>53</v>
      </c>
      <c r="G1345">
        <v>4</v>
      </c>
      <c r="H1345" t="s">
        <v>54</v>
      </c>
      <c r="I1345">
        <v>143800</v>
      </c>
      <c r="J1345">
        <v>40000</v>
      </c>
      <c r="K1345">
        <v>0.22</v>
      </c>
      <c r="L134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345">
        <v>0</v>
      </c>
      <c r="N1345">
        <v>0</v>
      </c>
      <c r="O1345">
        <v>0</v>
      </c>
      <c r="P1345">
        <v>13398.7528</v>
      </c>
      <c r="Q1345">
        <v>63903</v>
      </c>
      <c r="R1345">
        <f>(Grandview_Inventory[[#This Row],[ln_acres]]*Grandview_Inventory[[#This Row],[coeff]])+Grandview_Inventory[[#This Row],[const]]</f>
        <v>43615.576802869145</v>
      </c>
      <c r="S1345" t="s">
        <v>55</v>
      </c>
      <c r="T1345">
        <v>2</v>
      </c>
      <c r="U1345" t="s">
        <v>80</v>
      </c>
      <c r="V1345" t="s">
        <v>69</v>
      </c>
      <c r="W1345">
        <v>0</v>
      </c>
      <c r="X1345">
        <v>0</v>
      </c>
      <c r="Y1345">
        <v>55</v>
      </c>
      <c r="Z1345">
        <v>98</v>
      </c>
      <c r="AA1345">
        <v>100</v>
      </c>
      <c r="AB1345">
        <v>1500</v>
      </c>
      <c r="AC1345">
        <v>1289</v>
      </c>
      <c r="AD1345">
        <v>1065</v>
      </c>
      <c r="AE1345">
        <v>224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65</v>
      </c>
      <c r="AM1345">
        <v>0</v>
      </c>
      <c r="AN1345">
        <v>0</v>
      </c>
      <c r="AO1345">
        <v>0</v>
      </c>
      <c r="AP1345">
        <v>8</v>
      </c>
      <c r="AQ1345">
        <v>0</v>
      </c>
      <c r="AR1345">
        <v>0</v>
      </c>
      <c r="AS1345" t="s">
        <v>58</v>
      </c>
      <c r="AT1345">
        <v>1</v>
      </c>
      <c r="AU1345" t="s">
        <v>63</v>
      </c>
      <c r="AV1345" t="s">
        <v>60</v>
      </c>
      <c r="AW1345">
        <v>0</v>
      </c>
      <c r="AX1345">
        <v>4</v>
      </c>
      <c r="AY1345">
        <v>0</v>
      </c>
      <c r="AZ1345">
        <v>5900</v>
      </c>
      <c r="BA1345">
        <v>100</v>
      </c>
      <c r="BB1345">
        <v>100</v>
      </c>
      <c r="BC1345">
        <v>100</v>
      </c>
      <c r="BD1345">
        <v>100</v>
      </c>
      <c r="BE1345">
        <v>1</v>
      </c>
      <c r="BF1345">
        <v>15000</v>
      </c>
      <c r="BG1345">
        <v>1000</v>
      </c>
      <c r="BH1345" s="6">
        <f>Grandview_Inventory[[#This Row],[land_extract]]*Lookups!$B$3</f>
        <v>50650.651579114572</v>
      </c>
      <c r="BI1345" s="6">
        <f>IF(Grandview_Inventory[[#This Row],[bldg_style]]="",0,Lookups!$B$2)</f>
        <v>155833.95000000001</v>
      </c>
      <c r="BJ1345" s="6">
        <f>_xlfn.IFNA(VLOOKUP(Grandview_Inventory[[#This Row],[quality]],Lookups!$H$2:$J$14,3,FALSE),0)</f>
        <v>-28558</v>
      </c>
      <c r="BK1345" s="6">
        <f>_xlfn.IFNA(VLOOKUP(Grandview_Inventory[[#This Row],[condition]],Lookups!$H$17:$J$24,3,FALSE),0)</f>
        <v>-4503</v>
      </c>
      <c r="BL1345" s="6">
        <f>Grandview_Inventory[[#This Row],[Eff_Age]]*Lookups!$B$14</f>
        <v>-13154.162999999999</v>
      </c>
      <c r="BM1345" s="6">
        <f>Grandview_Inventory[[#This Row],[living_area]]*Lookups!$B$15</f>
        <v>80408.919517000002</v>
      </c>
      <c r="BN1345" s="6">
        <f>Grandview_Inventory[[#This Row],[Fin BSMT]]*Lookups!$B$16</f>
        <v>0</v>
      </c>
      <c r="BO1345" s="6">
        <f>(Grandview_Inventory[[#This Row],[att_gar]]+Grandview_Inventory[[#This Row],[bltin_gar]])*Lookups!$B$17</f>
        <v>0</v>
      </c>
      <c r="BP1345" s="6">
        <f>Grandview_Inventory[[#This Row],[Plumbing Fixtures]]*Lookups!$B$18</f>
        <v>16083.5344</v>
      </c>
      <c r="BQ1345" s="6">
        <f>Grandview_Inventory[[#This Row],[detatched_value]]*Lookups!$B$19</f>
        <v>4996.1500900000001</v>
      </c>
      <c r="BR1345" s="6">
        <f>SUM(Grandview_Inventory[[#This Row],[Intercept]:[det_value]])*Grandview_Inventory[[#This Row],[res_pct]]</f>
        <v>211107.39100700003</v>
      </c>
      <c r="BS1345" s="6">
        <f>Grandview_Inventory[[#This Row],[land_value]]</f>
        <v>50650.651579114572</v>
      </c>
      <c r="BT1345" s="4">
        <f>_xlfn.IFNA(VLOOKUP(Grandview_Inventory[[#This Row],[quality]],Lookups!$A$26:$C$33,3,FALSE),1)</f>
        <v>0.9690360070159818</v>
      </c>
      <c r="BU1345" s="4">
        <f>_xlfn.IFNA(VLOOKUP(Grandview_Inventory[[#This Row],[condition]],Lookups!$A$37:$C$44,3,FALSE),1)</f>
        <v>0.96469275950863709</v>
      </c>
      <c r="BV1345" s="4">
        <f>IF(Grandview_Inventory[[#This Row],[bldg_style]]="",1,_xlfn.IFNA(VLOOKUP(Grandview_Inventory[[#This Row],[decade]],Lookups!$F$29:$H$43,3,FALSE),1))</f>
        <v>0.95244691841736806</v>
      </c>
      <c r="BW1345" s="4">
        <f>_xlfn.IFNA(VLOOKUP(Grandview_Inventory[[#This Row],[living_area_range]],Lookups!$F$47:$H$56,3,FALSE),1)</f>
        <v>0.96135087979789358</v>
      </c>
      <c r="BX1345" s="4">
        <f>AVERAGE(Grandview_Inventory[[#This Row],[qual_adj]:[size_adj]])</f>
        <v>0.9618816411849701</v>
      </c>
      <c r="BY1345" s="6">
        <f>IF(Grandview_Inventory[[#This Row],[pre_res]]&lt;0,0,Grandview_Inventory[[#This Row],[pre_res]]*Grandview_Inventory[[#This Row],[overall_adj]])</f>
        <v>203060.32372809038</v>
      </c>
      <c r="BZ1345" s="6">
        <f>(Grandview_Inventory[[#This Row],[sum_land]]-IF(Grandview_Inventory[[#This Row],[no_utilities]]=1,12000,0))/IF(Grandview_Inventory[[#This Row],[unbuildable]]=1,2,1)</f>
        <v>50650.651579114572</v>
      </c>
      <c r="CA134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345">
        <f>ROUND(Grandview_Inventory[[#This Row],[det_value]]*Lookups!$M$28,-2)</f>
        <v>4700</v>
      </c>
      <c r="CC1345">
        <f>IF(ROUND(Grandview_Inventory[[#This Row],[adj_res]]*Lookups!$M$28,-2)&lt;Grandview_Inventory[[#This Row],[min_res]],Grandview_Inventory[[#This Row],[min_res]],ROUND(Grandview_Inventory[[#This Row],[adj_res]]*Lookups!$M$28,-2))</f>
        <v>192900</v>
      </c>
      <c r="CD1345">
        <f>Grandview_Inventory[[#This Row],[final_det]]+Grandview_Inventory[[#This Row],[final_res]]</f>
        <v>197600</v>
      </c>
      <c r="CE1345">
        <f>Grandview_Inventory[[#This Row],[final_land]]+Grandview_Inventory[[#This Row],[final_imp]]+Grandview_Inventory[[#This Row],[crop_value]]</f>
        <v>245700</v>
      </c>
      <c r="CG1345" t="str">
        <f t="shared" si="20"/>
        <v>update valuation set market_land =48100, market_bldg=197600, market_total =245700, market_mdno =401, market_date ='9/10/2023' where link_id = (select link_id from parcel where parcel_year = '2024' and parcel_id = '23092314458');</v>
      </c>
    </row>
    <row r="1346" spans="1:85" x14ac:dyDescent="0.25">
      <c r="A1346">
        <v>23092314459</v>
      </c>
      <c r="B1346">
        <v>0.18</v>
      </c>
      <c r="C1346">
        <v>7793</v>
      </c>
      <c r="D1346" t="s">
        <v>129</v>
      </c>
      <c r="E1346" t="s">
        <v>53</v>
      </c>
      <c r="F1346" t="s">
        <v>53</v>
      </c>
      <c r="G1346">
        <v>4</v>
      </c>
      <c r="H1346" t="s">
        <v>54</v>
      </c>
      <c r="I1346">
        <v>129800</v>
      </c>
      <c r="J1346">
        <v>39300</v>
      </c>
      <c r="K1346">
        <v>0.18</v>
      </c>
      <c r="L134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46">
        <v>0</v>
      </c>
      <c r="N1346">
        <v>0</v>
      </c>
      <c r="O1346">
        <v>0</v>
      </c>
      <c r="P1346">
        <v>13398.7528</v>
      </c>
      <c r="Q1346">
        <v>63903</v>
      </c>
      <c r="R1346">
        <f>(Grandview_Inventory[[#This Row],[ln_acres]]*Grandview_Inventory[[#This Row],[coeff]])+Grandview_Inventory[[#This Row],[const]]</f>
        <v>40926.839760167699</v>
      </c>
      <c r="S1346" t="s">
        <v>55</v>
      </c>
      <c r="T1346">
        <v>2</v>
      </c>
      <c r="U1346" t="s">
        <v>80</v>
      </c>
      <c r="V1346" t="s">
        <v>69</v>
      </c>
      <c r="W1346">
        <v>0</v>
      </c>
      <c r="X1346">
        <v>0</v>
      </c>
      <c r="Y1346">
        <v>57</v>
      </c>
      <c r="Z1346">
        <v>103</v>
      </c>
      <c r="AA1346">
        <v>110</v>
      </c>
      <c r="AB1346">
        <v>1500</v>
      </c>
      <c r="AC1346">
        <v>1008</v>
      </c>
      <c r="AD1346">
        <v>672</v>
      </c>
      <c r="AE1346">
        <v>336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290</v>
      </c>
      <c r="AL1346">
        <v>0</v>
      </c>
      <c r="AM1346">
        <v>0</v>
      </c>
      <c r="AN1346">
        <v>120</v>
      </c>
      <c r="AO1346">
        <v>0</v>
      </c>
      <c r="AP1346">
        <v>5</v>
      </c>
      <c r="AQ1346">
        <v>0</v>
      </c>
      <c r="AR1346">
        <v>0</v>
      </c>
      <c r="AS1346" t="s">
        <v>58</v>
      </c>
      <c r="AT1346">
        <v>1</v>
      </c>
      <c r="AU1346" t="s">
        <v>75</v>
      </c>
      <c r="AV1346" t="s">
        <v>60</v>
      </c>
      <c r="AW1346">
        <v>0</v>
      </c>
      <c r="AX1346">
        <v>3</v>
      </c>
      <c r="AY1346">
        <v>0</v>
      </c>
      <c r="AZ1346">
        <v>5300</v>
      </c>
      <c r="BA1346">
        <v>100</v>
      </c>
      <c r="BB1346">
        <v>100</v>
      </c>
      <c r="BC1346">
        <v>100</v>
      </c>
      <c r="BD1346">
        <v>100</v>
      </c>
      <c r="BE1346">
        <v>1</v>
      </c>
      <c r="BF1346">
        <v>15000</v>
      </c>
      <c r="BG1346">
        <v>1000</v>
      </c>
      <c r="BH1346" s="6">
        <f>Grandview_Inventory[[#This Row],[land_extract]]*Lookups!$B$3</f>
        <v>47528.228511015397</v>
      </c>
      <c r="BI1346" s="6">
        <f>IF(Grandview_Inventory[[#This Row],[bldg_style]]="",0,Lookups!$B$2)</f>
        <v>155833.95000000001</v>
      </c>
      <c r="BJ1346" s="6">
        <f>_xlfn.IFNA(VLOOKUP(Grandview_Inventory[[#This Row],[quality]],Lookups!$H$2:$J$14,3,FALSE),0)</f>
        <v>-28558</v>
      </c>
      <c r="BK1346" s="6">
        <f>_xlfn.IFNA(VLOOKUP(Grandview_Inventory[[#This Row],[condition]],Lookups!$H$17:$J$24,3,FALSE),0)</f>
        <v>-4503</v>
      </c>
      <c r="BL1346" s="6">
        <f>Grandview_Inventory[[#This Row],[Eff_Age]]*Lookups!$B$14</f>
        <v>-13632.4962</v>
      </c>
      <c r="BM1346" s="6">
        <f>Grandview_Inventory[[#This Row],[living_area]]*Lookups!$B$15</f>
        <v>62879.899824</v>
      </c>
      <c r="BN1346" s="6">
        <f>Grandview_Inventory[[#This Row],[Fin BSMT]]*Lookups!$B$16</f>
        <v>0</v>
      </c>
      <c r="BO1346" s="6">
        <f>(Grandview_Inventory[[#This Row],[att_gar]]+Grandview_Inventory[[#This Row],[bltin_gar]])*Lookups!$B$17</f>
        <v>0</v>
      </c>
      <c r="BP1346" s="6">
        <f>Grandview_Inventory[[#This Row],[Plumbing Fixtures]]*Lookups!$B$18</f>
        <v>10052.209000000001</v>
      </c>
      <c r="BQ1346" s="6">
        <f>Grandview_Inventory[[#This Row],[detatched_value]]*Lookups!$B$19</f>
        <v>4488.0670300000002</v>
      </c>
      <c r="BR1346" s="6">
        <f>SUM(Grandview_Inventory[[#This Row],[Intercept]:[det_value]])*Grandview_Inventory[[#This Row],[res_pct]]</f>
        <v>186560.62965400002</v>
      </c>
      <c r="BS1346" s="6">
        <f>Grandview_Inventory[[#This Row],[land_value]]</f>
        <v>47528.228511015397</v>
      </c>
      <c r="BT1346" s="4">
        <f>_xlfn.IFNA(VLOOKUP(Grandview_Inventory[[#This Row],[quality]],Lookups!$A$26:$C$33,3,FALSE),1)</f>
        <v>0.9690360070159818</v>
      </c>
      <c r="BU1346" s="4">
        <f>_xlfn.IFNA(VLOOKUP(Grandview_Inventory[[#This Row],[condition]],Lookups!$A$37:$C$44,3,FALSE),1)</f>
        <v>0.96469275950863709</v>
      </c>
      <c r="BV1346" s="4">
        <f>IF(Grandview_Inventory[[#This Row],[bldg_style]]="",1,_xlfn.IFNA(VLOOKUP(Grandview_Inventory[[#This Row],[decade]],Lookups!$F$29:$H$43,3,FALSE),1))</f>
        <v>0.92255236374249616</v>
      </c>
      <c r="BW1346" s="4">
        <f>_xlfn.IFNA(VLOOKUP(Grandview_Inventory[[#This Row],[living_area_range]],Lookups!$F$47:$H$56,3,FALSE),1)</f>
        <v>0.96135087979789358</v>
      </c>
      <c r="BX1346" s="4">
        <f>AVERAGE(Grandview_Inventory[[#This Row],[qual_adj]:[size_adj]])</f>
        <v>0.95440800251625213</v>
      </c>
      <c r="BY1346" s="6">
        <f>IF(Grandview_Inventory[[#This Row],[pre_res]]&lt;0,0,Grandview_Inventory[[#This Row],[pre_res]]*Grandview_Inventory[[#This Row],[overall_adj]])</f>
        <v>178054.95789624844</v>
      </c>
      <c r="BZ1346" s="6">
        <f>(Grandview_Inventory[[#This Row],[sum_land]]-IF(Grandview_Inventory[[#This Row],[no_utilities]]=1,12000,0))/IF(Grandview_Inventory[[#This Row],[unbuildable]]=1,2,1)</f>
        <v>47528.228511015397</v>
      </c>
      <c r="CA134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46">
        <f>ROUND(Grandview_Inventory[[#This Row],[det_value]]*Lookups!$M$28,-2)</f>
        <v>4300</v>
      </c>
      <c r="CC1346">
        <f>IF(ROUND(Grandview_Inventory[[#This Row],[adj_res]]*Lookups!$M$28,-2)&lt;Grandview_Inventory[[#This Row],[min_res]],Grandview_Inventory[[#This Row],[min_res]],ROUND(Grandview_Inventory[[#This Row],[adj_res]]*Lookups!$M$28,-2))</f>
        <v>169200</v>
      </c>
      <c r="CD1346">
        <f>Grandview_Inventory[[#This Row],[final_det]]+Grandview_Inventory[[#This Row],[final_res]]</f>
        <v>173500</v>
      </c>
      <c r="CE1346">
        <f>Grandview_Inventory[[#This Row],[final_land]]+Grandview_Inventory[[#This Row],[final_imp]]+Grandview_Inventory[[#This Row],[crop_value]]</f>
        <v>218700</v>
      </c>
      <c r="CG1346" t="str">
        <f t="shared" si="20"/>
        <v>update valuation set market_land =45200, market_bldg=173500, market_total =218700, market_mdno =401, market_date ='9/10/2023' where link_id = (select link_id from parcel where parcel_year = '2024' and parcel_id = '23092314459');</v>
      </c>
    </row>
    <row r="1347" spans="1:85" x14ac:dyDescent="0.25">
      <c r="A1347">
        <v>23092314460</v>
      </c>
      <c r="B1347">
        <v>0.16</v>
      </c>
      <c r="C1347">
        <v>6972</v>
      </c>
      <c r="D1347" t="s">
        <v>129</v>
      </c>
      <c r="E1347" t="s">
        <v>53</v>
      </c>
      <c r="F1347" t="s">
        <v>53</v>
      </c>
      <c r="G1347">
        <v>4</v>
      </c>
      <c r="H1347" t="s">
        <v>54</v>
      </c>
      <c r="I1347">
        <v>131400</v>
      </c>
      <c r="J1347">
        <v>39100</v>
      </c>
      <c r="K1347">
        <v>0.16</v>
      </c>
      <c r="L134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47">
        <v>0</v>
      </c>
      <c r="N1347">
        <v>0</v>
      </c>
      <c r="O1347">
        <v>0</v>
      </c>
      <c r="P1347">
        <v>13398.7528</v>
      </c>
      <c r="Q1347">
        <v>63903</v>
      </c>
      <c r="R1347">
        <f>(Grandview_Inventory[[#This Row],[ln_acres]]*Grandview_Inventory[[#This Row],[coeff]])+Grandview_Inventory[[#This Row],[const]]</f>
        <v>39348.693981374228</v>
      </c>
      <c r="S1347" t="s">
        <v>55</v>
      </c>
      <c r="T1347">
        <v>2</v>
      </c>
      <c r="U1347" t="s">
        <v>80</v>
      </c>
      <c r="V1347" t="s">
        <v>69</v>
      </c>
      <c r="W1347">
        <v>0</v>
      </c>
      <c r="X1347">
        <v>0</v>
      </c>
      <c r="Y1347">
        <v>55</v>
      </c>
      <c r="Z1347">
        <v>98</v>
      </c>
      <c r="AA1347">
        <v>100</v>
      </c>
      <c r="AB1347">
        <v>1500</v>
      </c>
      <c r="AC1347">
        <v>1292</v>
      </c>
      <c r="AD1347">
        <v>952</v>
      </c>
      <c r="AE1347">
        <v>340</v>
      </c>
      <c r="AF1347">
        <v>0</v>
      </c>
      <c r="AG1347">
        <v>0</v>
      </c>
      <c r="AH1347">
        <v>476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172</v>
      </c>
      <c r="AO1347">
        <v>0</v>
      </c>
      <c r="AP1347">
        <v>5</v>
      </c>
      <c r="AQ1347">
        <v>0</v>
      </c>
      <c r="AR1347">
        <v>0</v>
      </c>
      <c r="AS1347" t="s">
        <v>58</v>
      </c>
      <c r="AT1347">
        <v>1</v>
      </c>
      <c r="AU1347" t="s">
        <v>75</v>
      </c>
      <c r="AV1347" t="s">
        <v>60</v>
      </c>
      <c r="AW1347">
        <v>0</v>
      </c>
      <c r="AX1347">
        <v>4</v>
      </c>
      <c r="AY1347">
        <v>0</v>
      </c>
      <c r="AZ1347">
        <v>0</v>
      </c>
      <c r="BA1347">
        <v>100</v>
      </c>
      <c r="BB1347">
        <v>100</v>
      </c>
      <c r="BC1347">
        <v>100</v>
      </c>
      <c r="BD1347">
        <v>100</v>
      </c>
      <c r="BE1347">
        <v>1</v>
      </c>
      <c r="BF1347">
        <v>15000</v>
      </c>
      <c r="BG1347">
        <v>1000</v>
      </c>
      <c r="BH1347" s="6">
        <f>Grandview_Inventory[[#This Row],[land_extract]]*Lookups!$B$3</f>
        <v>45695.532079096141</v>
      </c>
      <c r="BI1347" s="6">
        <f>IF(Grandview_Inventory[[#This Row],[bldg_style]]="",0,Lookups!$B$2)</f>
        <v>155833.95000000001</v>
      </c>
      <c r="BJ1347" s="6">
        <f>_xlfn.IFNA(VLOOKUP(Grandview_Inventory[[#This Row],[quality]],Lookups!$H$2:$J$14,3,FALSE),0)</f>
        <v>-28558</v>
      </c>
      <c r="BK1347" s="6">
        <f>_xlfn.IFNA(VLOOKUP(Grandview_Inventory[[#This Row],[condition]],Lookups!$H$17:$J$24,3,FALSE),0)</f>
        <v>-4503</v>
      </c>
      <c r="BL1347" s="6">
        <f>Grandview_Inventory[[#This Row],[Eff_Age]]*Lookups!$B$14</f>
        <v>-13154.162999999999</v>
      </c>
      <c r="BM1347" s="6">
        <f>Grandview_Inventory[[#This Row],[living_area]]*Lookups!$B$15</f>
        <v>80596.062076000002</v>
      </c>
      <c r="BN1347" s="6">
        <f>Grandview_Inventory[[#This Row],[Fin BSMT]]*Lookups!$B$16</f>
        <v>0</v>
      </c>
      <c r="BO1347" s="6">
        <f>(Grandview_Inventory[[#This Row],[att_gar]]+Grandview_Inventory[[#This Row],[bltin_gar]])*Lookups!$B$17</f>
        <v>0</v>
      </c>
      <c r="BP1347" s="6">
        <f>Grandview_Inventory[[#This Row],[Plumbing Fixtures]]*Lookups!$B$18</f>
        <v>10052.209000000001</v>
      </c>
      <c r="BQ1347" s="6">
        <f>Grandview_Inventory[[#This Row],[detatched_value]]*Lookups!$B$19</f>
        <v>0</v>
      </c>
      <c r="BR1347" s="6">
        <f>SUM(Grandview_Inventory[[#This Row],[Intercept]:[det_value]])*Grandview_Inventory[[#This Row],[res_pct]]</f>
        <v>200267.05807600002</v>
      </c>
      <c r="BS1347" s="6">
        <f>Grandview_Inventory[[#This Row],[land_value]]</f>
        <v>45695.532079096141</v>
      </c>
      <c r="BT1347" s="4">
        <f>_xlfn.IFNA(VLOOKUP(Grandview_Inventory[[#This Row],[quality]],Lookups!$A$26:$C$33,3,FALSE),1)</f>
        <v>0.9690360070159818</v>
      </c>
      <c r="BU1347" s="4">
        <f>_xlfn.IFNA(VLOOKUP(Grandview_Inventory[[#This Row],[condition]],Lookups!$A$37:$C$44,3,FALSE),1)</f>
        <v>0.96469275950863709</v>
      </c>
      <c r="BV1347" s="4">
        <f>IF(Grandview_Inventory[[#This Row],[bldg_style]]="",1,_xlfn.IFNA(VLOOKUP(Grandview_Inventory[[#This Row],[decade]],Lookups!$F$29:$H$43,3,FALSE),1))</f>
        <v>0.95244691841736806</v>
      </c>
      <c r="BW1347" s="4">
        <f>_xlfn.IFNA(VLOOKUP(Grandview_Inventory[[#This Row],[living_area_range]],Lookups!$F$47:$H$56,3,FALSE),1)</f>
        <v>0.96135087979789358</v>
      </c>
      <c r="BX1347" s="4">
        <f>AVERAGE(Grandview_Inventory[[#This Row],[qual_adj]:[size_adj]])</f>
        <v>0.9618816411849701</v>
      </c>
      <c r="BY1347" s="6">
        <f>IF(Grandview_Inventory[[#This Row],[pre_res]]&lt;0,0,Grandview_Inventory[[#This Row],[pre_res]]*Grandview_Inventory[[#This Row],[overall_adj]])</f>
        <v>192633.20649742862</v>
      </c>
      <c r="BZ1347" s="6">
        <f>(Grandview_Inventory[[#This Row],[sum_land]]-IF(Grandview_Inventory[[#This Row],[no_utilities]]=1,12000,0))/IF(Grandview_Inventory[[#This Row],[unbuildable]]=1,2,1)</f>
        <v>45695.532079096141</v>
      </c>
      <c r="CA134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47">
        <f>ROUND(Grandview_Inventory[[#This Row],[det_value]]*Lookups!$M$28,-2)</f>
        <v>0</v>
      </c>
      <c r="CC1347">
        <f>IF(ROUND(Grandview_Inventory[[#This Row],[adj_res]]*Lookups!$M$28,-2)&lt;Grandview_Inventory[[#This Row],[min_res]],Grandview_Inventory[[#This Row],[min_res]],ROUND(Grandview_Inventory[[#This Row],[adj_res]]*Lookups!$M$28,-2))</f>
        <v>183000</v>
      </c>
      <c r="CD1347">
        <f>Grandview_Inventory[[#This Row],[final_det]]+Grandview_Inventory[[#This Row],[final_res]]</f>
        <v>183000</v>
      </c>
      <c r="CE1347">
        <f>Grandview_Inventory[[#This Row],[final_land]]+Grandview_Inventory[[#This Row],[final_imp]]+Grandview_Inventory[[#This Row],[crop_value]]</f>
        <v>226400</v>
      </c>
      <c r="CG1347" t="str">
        <f t="shared" ref="CG1347:CG1410" si="21">"update valuation set market_land ="&amp;CA1347&amp;", market_bldg="&amp;CD1347&amp;", market_total ="&amp;CE1347&amp;", market_mdno ="&amp;$CG$1&amp;", market_date ='"&amp;TEXT($CH$1,"m/d/yyyy")&amp;"' where link_id = (select link_id from parcel where parcel_year = '2024' and parcel_id = '"&amp;A1347&amp;"');"</f>
        <v>update valuation set market_land =43400, market_bldg=183000, market_total =226400, market_mdno =401, market_date ='9/10/2023' where link_id = (select link_id from parcel where parcel_year = '2024' and parcel_id = '23092314460');</v>
      </c>
    </row>
    <row r="1348" spans="1:85" x14ac:dyDescent="0.25">
      <c r="A1348">
        <v>23092314461</v>
      </c>
      <c r="B1348">
        <v>0.2</v>
      </c>
      <c r="C1348">
        <v>8863</v>
      </c>
      <c r="D1348" t="s">
        <v>129</v>
      </c>
      <c r="E1348" t="s">
        <v>53</v>
      </c>
      <c r="F1348" t="s">
        <v>53</v>
      </c>
      <c r="G1348">
        <v>4</v>
      </c>
      <c r="H1348" t="s">
        <v>54</v>
      </c>
      <c r="I1348">
        <v>122700</v>
      </c>
      <c r="J1348">
        <v>39700</v>
      </c>
      <c r="K1348">
        <v>0.2</v>
      </c>
      <c r="L134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48">
        <v>0</v>
      </c>
      <c r="N1348">
        <v>0</v>
      </c>
      <c r="O1348">
        <v>0</v>
      </c>
      <c r="P1348">
        <v>13398.7528</v>
      </c>
      <c r="Q1348">
        <v>63903</v>
      </c>
      <c r="R1348">
        <f>(Grandview_Inventory[[#This Row],[ln_acres]]*Grandview_Inventory[[#This Row],[coeff]])+Grandview_Inventory[[#This Row],[const]]</f>
        <v>42338.539264347448</v>
      </c>
      <c r="S1348" t="s">
        <v>68</v>
      </c>
      <c r="T1348">
        <v>1</v>
      </c>
      <c r="U1348" t="s">
        <v>80</v>
      </c>
      <c r="V1348" t="s">
        <v>67</v>
      </c>
      <c r="W1348">
        <v>0</v>
      </c>
      <c r="X1348">
        <v>0</v>
      </c>
      <c r="Y1348">
        <v>55</v>
      </c>
      <c r="Z1348">
        <v>98</v>
      </c>
      <c r="AA1348">
        <v>100</v>
      </c>
      <c r="AB1348">
        <v>1000</v>
      </c>
      <c r="AC1348">
        <v>724</v>
      </c>
      <c r="AD1348">
        <v>724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5</v>
      </c>
      <c r="AQ1348">
        <v>0</v>
      </c>
      <c r="AR1348">
        <v>0</v>
      </c>
      <c r="AS1348" t="s">
        <v>58</v>
      </c>
      <c r="AT1348">
        <v>1</v>
      </c>
      <c r="AU1348" t="s">
        <v>75</v>
      </c>
      <c r="AV1348" t="s">
        <v>60</v>
      </c>
      <c r="AW1348">
        <v>0</v>
      </c>
      <c r="AX1348">
        <v>2</v>
      </c>
      <c r="AY1348">
        <v>0</v>
      </c>
      <c r="AZ1348">
        <v>3900</v>
      </c>
      <c r="BA1348">
        <v>100</v>
      </c>
      <c r="BB1348">
        <v>100</v>
      </c>
      <c r="BC1348">
        <v>100</v>
      </c>
      <c r="BD1348">
        <v>100</v>
      </c>
      <c r="BE1348">
        <v>1</v>
      </c>
      <c r="BF1348">
        <v>15000</v>
      </c>
      <c r="BG1348">
        <v>1000</v>
      </c>
      <c r="BH1348" s="6">
        <f>Grandview_Inventory[[#This Row],[land_extract]]*Lookups!$B$3</f>
        <v>49167.631333630678</v>
      </c>
      <c r="BI1348" s="6">
        <f>IF(Grandview_Inventory[[#This Row],[bldg_style]]="",0,Lookups!$B$2)</f>
        <v>155833.95000000001</v>
      </c>
      <c r="BJ1348" s="6">
        <f>_xlfn.IFNA(VLOOKUP(Grandview_Inventory[[#This Row],[quality]],Lookups!$H$2:$J$14,3,FALSE),0)</f>
        <v>-28558</v>
      </c>
      <c r="BK1348" s="6">
        <f>_xlfn.IFNA(VLOOKUP(Grandview_Inventory[[#This Row],[condition]],Lookups!$H$17:$J$24,3,FALSE),0)</f>
        <v>22342</v>
      </c>
      <c r="BL1348" s="6">
        <f>Grandview_Inventory[[#This Row],[Eff_Age]]*Lookups!$B$14</f>
        <v>-13154.162999999999</v>
      </c>
      <c r="BM1348" s="6">
        <f>Grandview_Inventory[[#This Row],[living_area]]*Lookups!$B$15</f>
        <v>45163.737571999998</v>
      </c>
      <c r="BN1348" s="6">
        <f>Grandview_Inventory[[#This Row],[Fin BSMT]]*Lookups!$B$16</f>
        <v>0</v>
      </c>
      <c r="BO1348" s="6">
        <f>(Grandview_Inventory[[#This Row],[att_gar]]+Grandview_Inventory[[#This Row],[bltin_gar]])*Lookups!$B$17</f>
        <v>0</v>
      </c>
      <c r="BP1348" s="6">
        <f>Grandview_Inventory[[#This Row],[Plumbing Fixtures]]*Lookups!$B$18</f>
        <v>10052.209000000001</v>
      </c>
      <c r="BQ1348" s="6">
        <f>Grandview_Inventory[[#This Row],[detatched_value]]*Lookups!$B$19</f>
        <v>3302.53989</v>
      </c>
      <c r="BR1348" s="6">
        <f>SUM(Grandview_Inventory[[#This Row],[Intercept]:[det_value]])*Grandview_Inventory[[#This Row],[res_pct]]</f>
        <v>194982.27346200001</v>
      </c>
      <c r="BS1348" s="6">
        <f>Grandview_Inventory[[#This Row],[land_value]]</f>
        <v>49167.631333630678</v>
      </c>
      <c r="BT1348" s="4">
        <f>_xlfn.IFNA(VLOOKUP(Grandview_Inventory[[#This Row],[quality]],Lookups!$A$26:$C$33,3,FALSE),1)</f>
        <v>0.9690360070159818</v>
      </c>
      <c r="BU1348" s="4">
        <f>_xlfn.IFNA(VLOOKUP(Grandview_Inventory[[#This Row],[condition]],Lookups!$A$37:$C$44,3,FALSE),1)</f>
        <v>0.97383723671140243</v>
      </c>
      <c r="BV1348" s="4">
        <f>IF(Grandview_Inventory[[#This Row],[bldg_style]]="",1,_xlfn.IFNA(VLOOKUP(Grandview_Inventory[[#This Row],[decade]],Lookups!$F$29:$H$43,3,FALSE),1))</f>
        <v>0.95244691841736806</v>
      </c>
      <c r="BW1348" s="4">
        <f>_xlfn.IFNA(VLOOKUP(Grandview_Inventory[[#This Row],[living_area_range]],Lookups!$F$47:$H$56,3,FALSE),1)</f>
        <v>0.94306777142782894</v>
      </c>
      <c r="BX1348" s="4">
        <f>AVERAGE(Grandview_Inventory[[#This Row],[qual_adj]:[size_adj]])</f>
        <v>0.95959698339314525</v>
      </c>
      <c r="BY1348" s="6">
        <f>IF(Grandview_Inventory[[#This Row],[pre_res]]&lt;0,0,Grandview_Inventory[[#This Row],[pre_res]]*Grandview_Inventory[[#This Row],[overall_adj]])</f>
        <v>187104.40142927252</v>
      </c>
      <c r="BZ1348" s="6">
        <f>(Grandview_Inventory[[#This Row],[sum_land]]-IF(Grandview_Inventory[[#This Row],[no_utilities]]=1,12000,0))/IF(Grandview_Inventory[[#This Row],[unbuildable]]=1,2,1)</f>
        <v>49167.631333630678</v>
      </c>
      <c r="CA134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48">
        <f>ROUND(Grandview_Inventory[[#This Row],[det_value]]*Lookups!$M$28,-2)</f>
        <v>3100</v>
      </c>
      <c r="CC1348">
        <f>IF(ROUND(Grandview_Inventory[[#This Row],[adj_res]]*Lookups!$M$28,-2)&lt;Grandview_Inventory[[#This Row],[min_res]],Grandview_Inventory[[#This Row],[min_res]],ROUND(Grandview_Inventory[[#This Row],[adj_res]]*Lookups!$M$28,-2))</f>
        <v>177700</v>
      </c>
      <c r="CD1348">
        <f>Grandview_Inventory[[#This Row],[final_det]]+Grandview_Inventory[[#This Row],[final_res]]</f>
        <v>180800</v>
      </c>
      <c r="CE1348">
        <f>Grandview_Inventory[[#This Row],[final_land]]+Grandview_Inventory[[#This Row],[final_imp]]+Grandview_Inventory[[#This Row],[crop_value]]</f>
        <v>227500</v>
      </c>
      <c r="CG1348" t="str">
        <f t="shared" si="21"/>
        <v>update valuation set market_land =46700, market_bldg=180800, market_total =227500, market_mdno =401, market_date ='9/10/2023' where link_id = (select link_id from parcel where parcel_year = '2024' and parcel_id = '23092314461');</v>
      </c>
    </row>
    <row r="1349" spans="1:85" x14ac:dyDescent="0.25">
      <c r="A1349">
        <v>23092314462</v>
      </c>
      <c r="B1349">
        <v>0.16</v>
      </c>
      <c r="C1349">
        <v>7061</v>
      </c>
      <c r="D1349" t="s">
        <v>129</v>
      </c>
      <c r="E1349" t="s">
        <v>53</v>
      </c>
      <c r="F1349" t="s">
        <v>53</v>
      </c>
      <c r="G1349">
        <v>4</v>
      </c>
      <c r="H1349" t="s">
        <v>54</v>
      </c>
      <c r="I1349">
        <v>175200</v>
      </c>
      <c r="J1349">
        <v>39100</v>
      </c>
      <c r="K1349">
        <v>0.16</v>
      </c>
      <c r="L134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49">
        <v>0</v>
      </c>
      <c r="N1349">
        <v>0</v>
      </c>
      <c r="O1349">
        <v>0</v>
      </c>
      <c r="P1349">
        <v>13398.7528</v>
      </c>
      <c r="Q1349">
        <v>63903</v>
      </c>
      <c r="R1349">
        <f>(Grandview_Inventory[[#This Row],[ln_acres]]*Grandview_Inventory[[#This Row],[coeff]])+Grandview_Inventory[[#This Row],[const]]</f>
        <v>39348.693981374228</v>
      </c>
      <c r="S1349" t="s">
        <v>68</v>
      </c>
      <c r="T1349">
        <v>1</v>
      </c>
      <c r="U1349" t="s">
        <v>80</v>
      </c>
      <c r="V1349" t="s">
        <v>67</v>
      </c>
      <c r="W1349">
        <v>0</v>
      </c>
      <c r="X1349">
        <v>0</v>
      </c>
      <c r="Y1349">
        <v>50</v>
      </c>
      <c r="Z1349">
        <v>70</v>
      </c>
      <c r="AA1349">
        <v>70</v>
      </c>
      <c r="AB1349">
        <v>1000</v>
      </c>
      <c r="AC1349">
        <v>923</v>
      </c>
      <c r="AD1349">
        <v>923</v>
      </c>
      <c r="AE1349">
        <v>0</v>
      </c>
      <c r="AF1349">
        <v>0</v>
      </c>
      <c r="AG1349">
        <v>0</v>
      </c>
      <c r="AH1349">
        <v>128</v>
      </c>
      <c r="AI1349">
        <v>0</v>
      </c>
      <c r="AJ1349">
        <v>0</v>
      </c>
      <c r="AK1349">
        <v>0</v>
      </c>
      <c r="AL1349">
        <v>0</v>
      </c>
      <c r="AM1349">
        <v>151</v>
      </c>
      <c r="AN1349">
        <v>44</v>
      </c>
      <c r="AO1349">
        <v>0</v>
      </c>
      <c r="AP1349">
        <v>5</v>
      </c>
      <c r="AQ1349">
        <v>0</v>
      </c>
      <c r="AR1349">
        <v>0</v>
      </c>
      <c r="AS1349" t="s">
        <v>58</v>
      </c>
      <c r="AT1349">
        <v>1</v>
      </c>
      <c r="AU1349" t="s">
        <v>63</v>
      </c>
      <c r="AV1349" t="s">
        <v>60</v>
      </c>
      <c r="AW1349">
        <v>1</v>
      </c>
      <c r="AX1349">
        <v>2</v>
      </c>
      <c r="AY1349">
        <v>0</v>
      </c>
      <c r="AZ1349">
        <v>29600</v>
      </c>
      <c r="BA1349">
        <v>100</v>
      </c>
      <c r="BB1349">
        <v>100</v>
      </c>
      <c r="BC1349">
        <v>100</v>
      </c>
      <c r="BD1349">
        <v>100</v>
      </c>
      <c r="BE1349">
        <v>1</v>
      </c>
      <c r="BF1349">
        <v>15000</v>
      </c>
      <c r="BG1349">
        <v>1000</v>
      </c>
      <c r="BH1349" s="6">
        <f>Grandview_Inventory[[#This Row],[land_extract]]*Lookups!$B$3</f>
        <v>45695.532079096141</v>
      </c>
      <c r="BI1349" s="6">
        <f>IF(Grandview_Inventory[[#This Row],[bldg_style]]="",0,Lookups!$B$2)</f>
        <v>155833.95000000001</v>
      </c>
      <c r="BJ1349" s="6">
        <f>_xlfn.IFNA(VLOOKUP(Grandview_Inventory[[#This Row],[quality]],Lookups!$H$2:$J$14,3,FALSE),0)</f>
        <v>-28558</v>
      </c>
      <c r="BK1349" s="6">
        <f>_xlfn.IFNA(VLOOKUP(Grandview_Inventory[[#This Row],[condition]],Lookups!$H$17:$J$24,3,FALSE),0)</f>
        <v>22342</v>
      </c>
      <c r="BL1349" s="6">
        <f>Grandview_Inventory[[#This Row],[Eff_Age]]*Lookups!$B$14</f>
        <v>-11958.33</v>
      </c>
      <c r="BM1349" s="6">
        <f>Grandview_Inventory[[#This Row],[living_area]]*Lookups!$B$15</f>
        <v>57577.527319000001</v>
      </c>
      <c r="BN1349" s="6">
        <f>Grandview_Inventory[[#This Row],[Fin BSMT]]*Lookups!$B$16</f>
        <v>0</v>
      </c>
      <c r="BO1349" s="6">
        <f>(Grandview_Inventory[[#This Row],[att_gar]]+Grandview_Inventory[[#This Row],[bltin_gar]])*Lookups!$B$17</f>
        <v>0</v>
      </c>
      <c r="BP1349" s="6">
        <f>Grandview_Inventory[[#This Row],[Plumbing Fixtures]]*Lookups!$B$18</f>
        <v>10052.209000000001</v>
      </c>
      <c r="BQ1349" s="6">
        <f>Grandview_Inventory[[#This Row],[detatched_value]]*Lookups!$B$19</f>
        <v>25065.430959999998</v>
      </c>
      <c r="BR1349" s="6">
        <f>SUM(Grandview_Inventory[[#This Row],[Intercept]:[det_value]])*Grandview_Inventory[[#This Row],[res_pct]]</f>
        <v>230354.78727900004</v>
      </c>
      <c r="BS1349" s="6">
        <f>Grandview_Inventory[[#This Row],[land_value]]</f>
        <v>45695.532079096141</v>
      </c>
      <c r="BT1349" s="4">
        <f>_xlfn.IFNA(VLOOKUP(Grandview_Inventory[[#This Row],[quality]],Lookups!$A$26:$C$33,3,FALSE),1)</f>
        <v>0.9690360070159818</v>
      </c>
      <c r="BU1349" s="4">
        <f>_xlfn.IFNA(VLOOKUP(Grandview_Inventory[[#This Row],[condition]],Lookups!$A$37:$C$44,3,FALSE),1)</f>
        <v>0.97383723671140243</v>
      </c>
      <c r="BV1349" s="4">
        <f>IF(Grandview_Inventory[[#This Row],[bldg_style]]="",1,_xlfn.IFNA(VLOOKUP(Grandview_Inventory[[#This Row],[decade]],Lookups!$F$29:$H$43,3,FALSE),1))</f>
        <v>0.99472141305414818</v>
      </c>
      <c r="BW1349" s="4">
        <f>_xlfn.IFNA(VLOOKUP(Grandview_Inventory[[#This Row],[living_area_range]],Lookups!$F$47:$H$56,3,FALSE),1)</f>
        <v>0.94306777142782894</v>
      </c>
      <c r="BX1349" s="4">
        <f>AVERAGE(Grandview_Inventory[[#This Row],[qual_adj]:[size_adj]])</f>
        <v>0.97016560705234023</v>
      </c>
      <c r="BY1349" s="6">
        <f>IF(Grandview_Inventory[[#This Row],[pre_res]]&lt;0,0,Grandview_Inventory[[#This Row],[pre_res]]*Grandview_Inventory[[#This Row],[overall_adj]])</f>
        <v>223482.29203794379</v>
      </c>
      <c r="BZ1349" s="6">
        <f>(Grandview_Inventory[[#This Row],[sum_land]]-IF(Grandview_Inventory[[#This Row],[no_utilities]]=1,12000,0))/IF(Grandview_Inventory[[#This Row],[unbuildable]]=1,2,1)</f>
        <v>45695.532079096141</v>
      </c>
      <c r="CA134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49">
        <f>ROUND(Grandview_Inventory[[#This Row],[det_value]]*Lookups!$M$28,-2)</f>
        <v>23800</v>
      </c>
      <c r="CC1349">
        <f>IF(ROUND(Grandview_Inventory[[#This Row],[adj_res]]*Lookups!$M$28,-2)&lt;Grandview_Inventory[[#This Row],[min_res]],Grandview_Inventory[[#This Row],[min_res]],ROUND(Grandview_Inventory[[#This Row],[adj_res]]*Lookups!$M$28,-2))</f>
        <v>212300</v>
      </c>
      <c r="CD1349">
        <f>Grandview_Inventory[[#This Row],[final_det]]+Grandview_Inventory[[#This Row],[final_res]]</f>
        <v>236100</v>
      </c>
      <c r="CE1349">
        <f>Grandview_Inventory[[#This Row],[final_land]]+Grandview_Inventory[[#This Row],[final_imp]]+Grandview_Inventory[[#This Row],[crop_value]]</f>
        <v>279500</v>
      </c>
      <c r="CG1349" t="str">
        <f t="shared" si="21"/>
        <v>update valuation set market_land =43400, market_bldg=236100, market_total =279500, market_mdno =401, market_date ='9/10/2023' where link_id = (select link_id from parcel where parcel_year = '2024' and parcel_id = '23092314462');</v>
      </c>
    </row>
    <row r="1350" spans="1:85" x14ac:dyDescent="0.25">
      <c r="A1350">
        <v>23092314463</v>
      </c>
      <c r="B1350">
        <v>0.25</v>
      </c>
      <c r="C1350">
        <v>10878</v>
      </c>
      <c r="D1350" t="s">
        <v>129</v>
      </c>
      <c r="E1350" t="s">
        <v>53</v>
      </c>
      <c r="F1350" t="s">
        <v>53</v>
      </c>
      <c r="G1350">
        <v>4</v>
      </c>
      <c r="H1350" t="s">
        <v>54</v>
      </c>
      <c r="I1350">
        <v>176200</v>
      </c>
      <c r="J1350">
        <v>40500</v>
      </c>
      <c r="K1350">
        <v>0.25</v>
      </c>
      <c r="L1350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350">
        <v>0</v>
      </c>
      <c r="N1350">
        <v>0</v>
      </c>
      <c r="O1350">
        <v>0</v>
      </c>
      <c r="P1350">
        <v>13398.7528</v>
      </c>
      <c r="Q1350">
        <v>63903</v>
      </c>
      <c r="R1350">
        <f>(Grandview_Inventory[[#This Row],[ln_acres]]*Grandview_Inventory[[#This Row],[coeff]])+Grandview_Inventory[[#This Row],[const]]</f>
        <v>45328.38454732066</v>
      </c>
      <c r="S1350" t="s">
        <v>68</v>
      </c>
      <c r="T1350">
        <v>1</v>
      </c>
      <c r="U1350" t="s">
        <v>65</v>
      </c>
      <c r="V1350" t="s">
        <v>69</v>
      </c>
      <c r="W1350">
        <v>0</v>
      </c>
      <c r="X1350">
        <v>0</v>
      </c>
      <c r="Y1350">
        <v>51</v>
      </c>
      <c r="Z1350">
        <v>77</v>
      </c>
      <c r="AA1350">
        <v>80</v>
      </c>
      <c r="AB1350">
        <v>1500</v>
      </c>
      <c r="AC1350">
        <v>1458</v>
      </c>
      <c r="AD1350">
        <v>972</v>
      </c>
      <c r="AE1350">
        <v>0</v>
      </c>
      <c r="AF1350">
        <v>0</v>
      </c>
      <c r="AG1350">
        <v>486</v>
      </c>
      <c r="AH1350">
        <v>0</v>
      </c>
      <c r="AI1350">
        <v>0</v>
      </c>
      <c r="AJ1350">
        <v>0</v>
      </c>
      <c r="AK1350">
        <v>528</v>
      </c>
      <c r="AL1350">
        <v>0</v>
      </c>
      <c r="AM1350">
        <v>0</v>
      </c>
      <c r="AN1350">
        <v>0</v>
      </c>
      <c r="AO1350">
        <v>48</v>
      </c>
      <c r="AP1350">
        <v>7</v>
      </c>
      <c r="AQ1350">
        <v>0</v>
      </c>
      <c r="AR1350">
        <v>0</v>
      </c>
      <c r="AS1350" t="s">
        <v>58</v>
      </c>
      <c r="AT1350">
        <v>1</v>
      </c>
      <c r="AU1350" t="s">
        <v>63</v>
      </c>
      <c r="AV1350" t="s">
        <v>60</v>
      </c>
      <c r="AW1350">
        <v>1</v>
      </c>
      <c r="AX1350">
        <v>2</v>
      </c>
      <c r="AY1350">
        <v>0</v>
      </c>
      <c r="AZ1350">
        <v>23300</v>
      </c>
      <c r="BA1350">
        <v>100</v>
      </c>
      <c r="BB1350">
        <v>100</v>
      </c>
      <c r="BC1350">
        <v>100</v>
      </c>
      <c r="BD1350">
        <v>100</v>
      </c>
      <c r="BE1350">
        <v>1</v>
      </c>
      <c r="BF1350">
        <v>15000</v>
      </c>
      <c r="BG1350">
        <v>1000</v>
      </c>
      <c r="BH1350" s="6">
        <f>Grandview_Inventory[[#This Row],[land_extract]]*Lookups!$B$3</f>
        <v>52639.730588165206</v>
      </c>
      <c r="BI1350" s="6">
        <f>IF(Grandview_Inventory[[#This Row],[bldg_style]]="",0,Lookups!$B$2)</f>
        <v>155833.95000000001</v>
      </c>
      <c r="BJ1350" s="6">
        <f>_xlfn.IFNA(VLOOKUP(Grandview_Inventory[[#This Row],[quality]],Lookups!$H$2:$J$14,3,FALSE),0)</f>
        <v>2251</v>
      </c>
      <c r="BK1350" s="6">
        <f>_xlfn.IFNA(VLOOKUP(Grandview_Inventory[[#This Row],[condition]],Lookups!$H$17:$J$24,3,FALSE),0)</f>
        <v>-4503</v>
      </c>
      <c r="BL1350" s="6">
        <f>Grandview_Inventory[[#This Row],[Eff_Age]]*Lookups!$B$14</f>
        <v>-12197.496599999999</v>
      </c>
      <c r="BM1350" s="6">
        <f>Grandview_Inventory[[#This Row],[living_area]]*Lookups!$B$15</f>
        <v>90951.283674000006</v>
      </c>
      <c r="BN1350" s="6">
        <f>Grandview_Inventory[[#This Row],[Fin BSMT]]*Lookups!$B$16</f>
        <v>-13170.230640000002</v>
      </c>
      <c r="BO1350" s="6">
        <f>(Grandview_Inventory[[#This Row],[att_gar]]+Grandview_Inventory[[#This Row],[bltin_gar]])*Lookups!$B$17</f>
        <v>0</v>
      </c>
      <c r="BP1350" s="6">
        <f>Grandview_Inventory[[#This Row],[Plumbing Fixtures]]*Lookups!$B$18</f>
        <v>14073.0926</v>
      </c>
      <c r="BQ1350" s="6">
        <f>Grandview_Inventory[[#This Row],[detatched_value]]*Lookups!$B$19</f>
        <v>19730.558829999998</v>
      </c>
      <c r="BR1350" s="6">
        <f>SUM(Grandview_Inventory[[#This Row],[Intercept]:[det_value]])*Grandview_Inventory[[#This Row],[res_pct]]</f>
        <v>252969.15786400001</v>
      </c>
      <c r="BS1350" s="6">
        <f>Grandview_Inventory[[#This Row],[land_value]]</f>
        <v>52639.730588165206</v>
      </c>
      <c r="BT1350" s="4">
        <f>_xlfn.IFNA(VLOOKUP(Grandview_Inventory[[#This Row],[quality]],Lookups!$A$26:$C$33,3,FALSE),1)</f>
        <v>0.98763855981004833</v>
      </c>
      <c r="BU1350" s="4">
        <f>_xlfn.IFNA(VLOOKUP(Grandview_Inventory[[#This Row],[condition]],Lookups!$A$37:$C$44,3,FALSE),1)</f>
        <v>0.96469275950863709</v>
      </c>
      <c r="BV1350" s="4">
        <f>IF(Grandview_Inventory[[#This Row],[bldg_style]]="",1,_xlfn.IFNA(VLOOKUP(Grandview_Inventory[[#This Row],[decade]],Lookups!$F$29:$H$43,3,FALSE),1))</f>
        <v>0.98763256963907298</v>
      </c>
      <c r="BW1350" s="4">
        <f>_xlfn.IFNA(VLOOKUP(Grandview_Inventory[[#This Row],[living_area_range]],Lookups!$F$47:$H$56,3,FALSE),1)</f>
        <v>0.96135087979789358</v>
      </c>
      <c r="BX1350" s="4">
        <f>AVERAGE(Grandview_Inventory[[#This Row],[qual_adj]:[size_adj]])</f>
        <v>0.97532869218891294</v>
      </c>
      <c r="BY1350" s="6">
        <f>IF(Grandview_Inventory[[#This Row],[pre_res]]&lt;0,0,Grandview_Inventory[[#This Row],[pre_res]]*Grandview_Inventory[[#This Row],[overall_adj]])</f>
        <v>246728.07790362579</v>
      </c>
      <c r="BZ1350" s="6">
        <f>(Grandview_Inventory[[#This Row],[sum_land]]-IF(Grandview_Inventory[[#This Row],[no_utilities]]=1,12000,0))/IF(Grandview_Inventory[[#This Row],[unbuildable]]=1,2,1)</f>
        <v>52639.730588165206</v>
      </c>
      <c r="CA1350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350">
        <f>ROUND(Grandview_Inventory[[#This Row],[det_value]]*Lookups!$M$28,-2)</f>
        <v>18700</v>
      </c>
      <c r="CC1350">
        <f>IF(ROUND(Grandview_Inventory[[#This Row],[adj_res]]*Lookups!$M$28,-2)&lt;Grandview_Inventory[[#This Row],[min_res]],Grandview_Inventory[[#This Row],[min_res]],ROUND(Grandview_Inventory[[#This Row],[adj_res]]*Lookups!$M$28,-2))</f>
        <v>234400</v>
      </c>
      <c r="CD1350">
        <f>Grandview_Inventory[[#This Row],[final_det]]+Grandview_Inventory[[#This Row],[final_res]]</f>
        <v>253100</v>
      </c>
      <c r="CE1350">
        <f>Grandview_Inventory[[#This Row],[final_land]]+Grandview_Inventory[[#This Row],[final_imp]]+Grandview_Inventory[[#This Row],[crop_value]]</f>
        <v>303100</v>
      </c>
      <c r="CG1350" t="str">
        <f t="shared" si="21"/>
        <v>update valuation set market_land =50000, market_bldg=253100, market_total =303100, market_mdno =401, market_date ='9/10/2023' where link_id = (select link_id from parcel where parcel_year = '2024' and parcel_id = '23092314463');</v>
      </c>
    </row>
    <row r="1351" spans="1:85" x14ac:dyDescent="0.25">
      <c r="A1351">
        <v>23092314465</v>
      </c>
      <c r="B1351">
        <v>0.19</v>
      </c>
      <c r="C1351">
        <v>8406</v>
      </c>
      <c r="D1351" t="s">
        <v>129</v>
      </c>
      <c r="E1351" t="s">
        <v>53</v>
      </c>
      <c r="F1351" t="s">
        <v>53</v>
      </c>
      <c r="G1351">
        <v>4</v>
      </c>
      <c r="H1351" t="s">
        <v>54</v>
      </c>
      <c r="I1351">
        <v>116800</v>
      </c>
      <c r="J1351">
        <v>39700</v>
      </c>
      <c r="K1351">
        <v>0.19</v>
      </c>
      <c r="L135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351">
        <v>0</v>
      </c>
      <c r="N1351">
        <v>0</v>
      </c>
      <c r="O1351">
        <v>0</v>
      </c>
      <c r="P1351">
        <v>13398.7528</v>
      </c>
      <c r="Q1351">
        <v>63903</v>
      </c>
      <c r="R1351">
        <f>(Grandview_Inventory[[#This Row],[ln_acres]]*Grandview_Inventory[[#This Row],[coeff]])+Grandview_Inventory[[#This Row],[const]]</f>
        <v>41651.273092551026</v>
      </c>
      <c r="S1351" t="s">
        <v>68</v>
      </c>
      <c r="T1351">
        <v>1</v>
      </c>
      <c r="U1351" t="s">
        <v>70</v>
      </c>
      <c r="V1351" t="s">
        <v>69</v>
      </c>
      <c r="W1351">
        <v>0</v>
      </c>
      <c r="X1351">
        <v>0</v>
      </c>
      <c r="Y1351">
        <v>51</v>
      </c>
      <c r="Z1351">
        <v>78</v>
      </c>
      <c r="AA1351">
        <v>80</v>
      </c>
      <c r="AB1351">
        <v>1000</v>
      </c>
      <c r="AC1351">
        <v>981</v>
      </c>
      <c r="AD1351">
        <v>736</v>
      </c>
      <c r="AE1351">
        <v>0</v>
      </c>
      <c r="AF1351">
        <v>0</v>
      </c>
      <c r="AG1351">
        <v>245</v>
      </c>
      <c r="AH1351">
        <v>491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15</v>
      </c>
      <c r="AO1351">
        <v>0</v>
      </c>
      <c r="AP1351">
        <v>5</v>
      </c>
      <c r="AQ1351">
        <v>0</v>
      </c>
      <c r="AR1351">
        <v>0</v>
      </c>
      <c r="AS1351" t="s">
        <v>58</v>
      </c>
      <c r="AT1351">
        <v>1</v>
      </c>
      <c r="AU1351" t="s">
        <v>63</v>
      </c>
      <c r="AV1351" t="s">
        <v>64</v>
      </c>
      <c r="AW1351">
        <v>0</v>
      </c>
      <c r="AX1351">
        <v>2</v>
      </c>
      <c r="AY1351">
        <v>0</v>
      </c>
      <c r="AZ1351">
        <v>9400</v>
      </c>
      <c r="BA1351">
        <v>100</v>
      </c>
      <c r="BB1351">
        <v>100</v>
      </c>
      <c r="BC1351">
        <v>100</v>
      </c>
      <c r="BD1351">
        <v>100</v>
      </c>
      <c r="BE1351">
        <v>1</v>
      </c>
      <c r="BF1351">
        <v>15000</v>
      </c>
      <c r="BG1351">
        <v>1000</v>
      </c>
      <c r="BH1351" s="6">
        <f>Grandview_Inventory[[#This Row],[land_extract]]*Lookups!$B$3</f>
        <v>48369.510983942157</v>
      </c>
      <c r="BI1351" s="6">
        <f>IF(Grandview_Inventory[[#This Row],[bldg_style]]="",0,Lookups!$B$2)</f>
        <v>155833.95000000001</v>
      </c>
      <c r="BJ1351" s="6">
        <f>_xlfn.IFNA(VLOOKUP(Grandview_Inventory[[#This Row],[quality]],Lookups!$H$2:$J$14,3,FALSE),0)</f>
        <v>10733</v>
      </c>
      <c r="BK1351" s="6">
        <f>_xlfn.IFNA(VLOOKUP(Grandview_Inventory[[#This Row],[condition]],Lookups!$H$17:$J$24,3,FALSE),0)</f>
        <v>-4503</v>
      </c>
      <c r="BL1351" s="6">
        <f>Grandview_Inventory[[#This Row],[Eff_Age]]*Lookups!$B$14</f>
        <v>-12197.496599999999</v>
      </c>
      <c r="BM1351" s="6">
        <f>Grandview_Inventory[[#This Row],[living_area]]*Lookups!$B$15</f>
        <v>61195.616793000001</v>
      </c>
      <c r="BN1351" s="6">
        <f>Grandview_Inventory[[#This Row],[Fin BSMT]]*Lookups!$B$16</f>
        <v>-6639.3138000000008</v>
      </c>
      <c r="BO1351" s="6">
        <f>(Grandview_Inventory[[#This Row],[att_gar]]+Grandview_Inventory[[#This Row],[bltin_gar]])*Lookups!$B$17</f>
        <v>0</v>
      </c>
      <c r="BP1351" s="6">
        <f>Grandview_Inventory[[#This Row],[Plumbing Fixtures]]*Lookups!$B$18</f>
        <v>10052.209000000001</v>
      </c>
      <c r="BQ1351" s="6">
        <f>Grandview_Inventory[[#This Row],[detatched_value]]*Lookups!$B$19</f>
        <v>7959.9679399999995</v>
      </c>
      <c r="BR1351" s="6">
        <f>SUM(Grandview_Inventory[[#This Row],[Intercept]:[det_value]])*Grandview_Inventory[[#This Row],[res_pct]]</f>
        <v>222434.93333299999</v>
      </c>
      <c r="BS1351" s="6">
        <f>Grandview_Inventory[[#This Row],[land_value]]</f>
        <v>48369.510983942157</v>
      </c>
      <c r="BT1351" s="4">
        <f>_xlfn.IFNA(VLOOKUP(Grandview_Inventory[[#This Row],[quality]],Lookups!$A$26:$C$33,3,FALSE),1)</f>
        <v>0.98079741117310582</v>
      </c>
      <c r="BU1351" s="4">
        <f>_xlfn.IFNA(VLOOKUP(Grandview_Inventory[[#This Row],[condition]],Lookups!$A$37:$C$44,3,FALSE),1)</f>
        <v>0.96469275950863709</v>
      </c>
      <c r="BV1351" s="4">
        <f>IF(Grandview_Inventory[[#This Row],[bldg_style]]="",1,_xlfn.IFNA(VLOOKUP(Grandview_Inventory[[#This Row],[decade]],Lookups!$F$29:$H$43,3,FALSE),1))</f>
        <v>0.98763256963907298</v>
      </c>
      <c r="BW1351" s="4">
        <f>_xlfn.IFNA(VLOOKUP(Grandview_Inventory[[#This Row],[living_area_range]],Lookups!$F$47:$H$56,3,FALSE),1)</f>
        <v>0.94306777142782894</v>
      </c>
      <c r="BX1351" s="4">
        <f>AVERAGE(Grandview_Inventory[[#This Row],[qual_adj]:[size_adj]])</f>
        <v>0.96904762793716115</v>
      </c>
      <c r="BY1351" s="6">
        <f>IF(Grandview_Inventory[[#This Row],[pre_res]]&lt;0,0,Grandview_Inventory[[#This Row],[pre_res]]*Grandview_Inventory[[#This Row],[overall_adj]])</f>
        <v>215550.04451670422</v>
      </c>
      <c r="BZ1351" s="6">
        <f>(Grandview_Inventory[[#This Row],[sum_land]]-IF(Grandview_Inventory[[#This Row],[no_utilities]]=1,12000,0))/IF(Grandview_Inventory[[#This Row],[unbuildable]]=1,2,1)</f>
        <v>48369.510983942157</v>
      </c>
      <c r="CA135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351">
        <f>ROUND(Grandview_Inventory[[#This Row],[det_value]]*Lookups!$M$28,-2)</f>
        <v>7600</v>
      </c>
      <c r="CC1351">
        <f>IF(ROUND(Grandview_Inventory[[#This Row],[adj_res]]*Lookups!$M$28,-2)&lt;Grandview_Inventory[[#This Row],[min_res]],Grandview_Inventory[[#This Row],[min_res]],ROUND(Grandview_Inventory[[#This Row],[adj_res]]*Lookups!$M$28,-2))</f>
        <v>204800</v>
      </c>
      <c r="CD1351">
        <f>Grandview_Inventory[[#This Row],[final_det]]+Grandview_Inventory[[#This Row],[final_res]]</f>
        <v>212400</v>
      </c>
      <c r="CE1351">
        <f>Grandview_Inventory[[#This Row],[final_land]]+Grandview_Inventory[[#This Row],[final_imp]]+Grandview_Inventory[[#This Row],[crop_value]]</f>
        <v>258400</v>
      </c>
      <c r="CG1351" t="str">
        <f t="shared" si="21"/>
        <v>update valuation set market_land =46000, market_bldg=212400, market_total =258400, market_mdno =401, market_date ='9/10/2023' where link_id = (select link_id from parcel where parcel_year = '2024' and parcel_id = '23092314465');</v>
      </c>
    </row>
    <row r="1352" spans="1:85" x14ac:dyDescent="0.25">
      <c r="A1352">
        <v>23092314466</v>
      </c>
      <c r="B1352">
        <v>0.28000000000000003</v>
      </c>
      <c r="C1352">
        <v>12005</v>
      </c>
      <c r="D1352" t="s">
        <v>129</v>
      </c>
      <c r="E1352" t="s">
        <v>53</v>
      </c>
      <c r="F1352" t="s">
        <v>53</v>
      </c>
      <c r="G1352">
        <v>4</v>
      </c>
      <c r="H1352" t="s">
        <v>54</v>
      </c>
      <c r="I1352">
        <v>181700</v>
      </c>
      <c r="J1352">
        <v>40500</v>
      </c>
      <c r="K1352">
        <v>0.28000000000000003</v>
      </c>
      <c r="L1352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352">
        <v>0</v>
      </c>
      <c r="N1352">
        <v>0</v>
      </c>
      <c r="O1352">
        <v>0</v>
      </c>
      <c r="P1352">
        <v>13398.7528</v>
      </c>
      <c r="Q1352">
        <v>63903</v>
      </c>
      <c r="R1352">
        <f>(Grandview_Inventory[[#This Row],[ln_acres]]*Grandview_Inventory[[#This Row],[coeff]])+Grandview_Inventory[[#This Row],[const]]</f>
        <v>46846.847586898184</v>
      </c>
      <c r="S1352" t="s">
        <v>68</v>
      </c>
      <c r="T1352">
        <v>1</v>
      </c>
      <c r="U1352" t="s">
        <v>70</v>
      </c>
      <c r="V1352" t="s">
        <v>67</v>
      </c>
      <c r="W1352">
        <v>0</v>
      </c>
      <c r="X1352">
        <v>0</v>
      </c>
      <c r="Y1352">
        <v>51</v>
      </c>
      <c r="Z1352">
        <v>78</v>
      </c>
      <c r="AA1352">
        <v>80</v>
      </c>
      <c r="AB1352">
        <v>1500</v>
      </c>
      <c r="AC1352">
        <v>1270</v>
      </c>
      <c r="AD1352">
        <v>884</v>
      </c>
      <c r="AE1352">
        <v>0</v>
      </c>
      <c r="AF1352">
        <v>0</v>
      </c>
      <c r="AG1352">
        <v>386</v>
      </c>
      <c r="AH1352">
        <v>0</v>
      </c>
      <c r="AI1352">
        <v>0</v>
      </c>
      <c r="AJ1352">
        <v>0</v>
      </c>
      <c r="AK1352">
        <v>600</v>
      </c>
      <c r="AL1352">
        <v>0</v>
      </c>
      <c r="AM1352">
        <v>40</v>
      </c>
      <c r="AN1352">
        <v>36</v>
      </c>
      <c r="AO1352">
        <v>40</v>
      </c>
      <c r="AP1352">
        <v>5</v>
      </c>
      <c r="AQ1352">
        <v>0</v>
      </c>
      <c r="AR1352">
        <v>0</v>
      </c>
      <c r="AS1352" t="s">
        <v>58</v>
      </c>
      <c r="AT1352">
        <v>1</v>
      </c>
      <c r="AU1352" t="s">
        <v>63</v>
      </c>
      <c r="AV1352" t="s">
        <v>60</v>
      </c>
      <c r="AW1352">
        <v>0</v>
      </c>
      <c r="AX1352">
        <v>2</v>
      </c>
      <c r="AY1352">
        <v>0</v>
      </c>
      <c r="AZ1352">
        <v>8700</v>
      </c>
      <c r="BA1352">
        <v>100</v>
      </c>
      <c r="BB1352">
        <v>100</v>
      </c>
      <c r="BC1352">
        <v>100</v>
      </c>
      <c r="BD1352">
        <v>100</v>
      </c>
      <c r="BE1352">
        <v>1</v>
      </c>
      <c r="BF1352">
        <v>15000</v>
      </c>
      <c r="BG1352">
        <v>1000</v>
      </c>
      <c r="BH1352" s="6">
        <f>Grandview_Inventory[[#This Row],[land_extract]]*Lookups!$B$3</f>
        <v>54403.117616176372</v>
      </c>
      <c r="BI1352" s="6">
        <f>IF(Grandview_Inventory[[#This Row],[bldg_style]]="",0,Lookups!$B$2)</f>
        <v>155833.95000000001</v>
      </c>
      <c r="BJ1352" s="6">
        <f>_xlfn.IFNA(VLOOKUP(Grandview_Inventory[[#This Row],[quality]],Lookups!$H$2:$J$14,3,FALSE),0)</f>
        <v>10733</v>
      </c>
      <c r="BK1352" s="6">
        <f>_xlfn.IFNA(VLOOKUP(Grandview_Inventory[[#This Row],[condition]],Lookups!$H$17:$J$24,3,FALSE),0)</f>
        <v>22342</v>
      </c>
      <c r="BL1352" s="6">
        <f>Grandview_Inventory[[#This Row],[Eff_Age]]*Lookups!$B$14</f>
        <v>-12197.496599999999</v>
      </c>
      <c r="BM1352" s="6">
        <f>Grandview_Inventory[[#This Row],[living_area]]*Lookups!$B$15</f>
        <v>79223.683310000008</v>
      </c>
      <c r="BN1352" s="6">
        <f>Grandview_Inventory[[#This Row],[Fin BSMT]]*Lookups!$B$16</f>
        <v>-10460.306640000001</v>
      </c>
      <c r="BO1352" s="6">
        <f>(Grandview_Inventory[[#This Row],[att_gar]]+Grandview_Inventory[[#This Row],[bltin_gar]])*Lookups!$B$17</f>
        <v>0</v>
      </c>
      <c r="BP1352" s="6">
        <f>Grandview_Inventory[[#This Row],[Plumbing Fixtures]]*Lookups!$B$18</f>
        <v>10052.209000000001</v>
      </c>
      <c r="BQ1352" s="6">
        <f>Grandview_Inventory[[#This Row],[detatched_value]]*Lookups!$B$19</f>
        <v>7367.2043699999995</v>
      </c>
      <c r="BR1352" s="6">
        <f>SUM(Grandview_Inventory[[#This Row],[Intercept]:[det_value]])*Grandview_Inventory[[#This Row],[res_pct]]</f>
        <v>262894.24343999999</v>
      </c>
      <c r="BS1352" s="6">
        <f>Grandview_Inventory[[#This Row],[land_value]]</f>
        <v>54403.117616176372</v>
      </c>
      <c r="BT1352" s="4">
        <f>_xlfn.IFNA(VLOOKUP(Grandview_Inventory[[#This Row],[quality]],Lookups!$A$26:$C$33,3,FALSE),1)</f>
        <v>0.98079741117310582</v>
      </c>
      <c r="BU1352" s="4">
        <f>_xlfn.IFNA(VLOOKUP(Grandview_Inventory[[#This Row],[condition]],Lookups!$A$37:$C$44,3,FALSE),1)</f>
        <v>0.97383723671140243</v>
      </c>
      <c r="BV1352" s="4">
        <f>IF(Grandview_Inventory[[#This Row],[bldg_style]]="",1,_xlfn.IFNA(VLOOKUP(Grandview_Inventory[[#This Row],[decade]],Lookups!$F$29:$H$43,3,FALSE),1))</f>
        <v>0.98763256963907298</v>
      </c>
      <c r="BW1352" s="4">
        <f>_xlfn.IFNA(VLOOKUP(Grandview_Inventory[[#This Row],[living_area_range]],Lookups!$F$47:$H$56,3,FALSE),1)</f>
        <v>0.96135087979789358</v>
      </c>
      <c r="BX1352" s="4">
        <f>AVERAGE(Grandview_Inventory[[#This Row],[qual_adj]:[size_adj]])</f>
        <v>0.97590452433036867</v>
      </c>
      <c r="BY1352" s="6">
        <f>IF(Grandview_Inventory[[#This Row],[pre_res]]&lt;0,0,Grandview_Inventory[[#This Row],[pre_res]]*Grandview_Inventory[[#This Row],[overall_adj]])</f>
        <v>256559.68159350535</v>
      </c>
      <c r="BZ1352" s="6">
        <f>(Grandview_Inventory[[#This Row],[sum_land]]-IF(Grandview_Inventory[[#This Row],[no_utilities]]=1,12000,0))/IF(Grandview_Inventory[[#This Row],[unbuildable]]=1,2,1)</f>
        <v>54403.117616176372</v>
      </c>
      <c r="CA1352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352">
        <f>ROUND(Grandview_Inventory[[#This Row],[det_value]]*Lookups!$M$28,-2)</f>
        <v>7000</v>
      </c>
      <c r="CC1352">
        <f>IF(ROUND(Grandview_Inventory[[#This Row],[adj_res]]*Lookups!$M$28,-2)&lt;Grandview_Inventory[[#This Row],[min_res]],Grandview_Inventory[[#This Row],[min_res]],ROUND(Grandview_Inventory[[#This Row],[adj_res]]*Lookups!$M$28,-2))</f>
        <v>243700</v>
      </c>
      <c r="CD1352">
        <f>Grandview_Inventory[[#This Row],[final_det]]+Grandview_Inventory[[#This Row],[final_res]]</f>
        <v>250700</v>
      </c>
      <c r="CE1352">
        <f>Grandview_Inventory[[#This Row],[final_land]]+Grandview_Inventory[[#This Row],[final_imp]]+Grandview_Inventory[[#This Row],[crop_value]]</f>
        <v>302400</v>
      </c>
      <c r="CG1352" t="str">
        <f t="shared" si="21"/>
        <v>update valuation set market_land =51700, market_bldg=250700, market_total =302400, market_mdno =401, market_date ='9/10/2023' where link_id = (select link_id from parcel where parcel_year = '2024' and parcel_id = '23092314466');</v>
      </c>
    </row>
    <row r="1353" spans="1:85" x14ac:dyDescent="0.25">
      <c r="A1353">
        <v>23092314467</v>
      </c>
      <c r="B1353">
        <v>0.28000000000000003</v>
      </c>
      <c r="C1353">
        <v>12378</v>
      </c>
      <c r="D1353" t="s">
        <v>129</v>
      </c>
      <c r="E1353" t="s">
        <v>53</v>
      </c>
      <c r="F1353" t="s">
        <v>53</v>
      </c>
      <c r="G1353">
        <v>4</v>
      </c>
      <c r="H1353" t="s">
        <v>54</v>
      </c>
      <c r="I1353">
        <v>143500</v>
      </c>
      <c r="J1353">
        <v>40900</v>
      </c>
      <c r="K1353">
        <v>0.28000000000000003</v>
      </c>
      <c r="L1353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353">
        <v>0</v>
      </c>
      <c r="N1353">
        <v>0</v>
      </c>
      <c r="O1353">
        <v>0</v>
      </c>
      <c r="P1353">
        <v>13398.7528</v>
      </c>
      <c r="Q1353">
        <v>63903</v>
      </c>
      <c r="R1353">
        <f>(Grandview_Inventory[[#This Row],[ln_acres]]*Grandview_Inventory[[#This Row],[coeff]])+Grandview_Inventory[[#This Row],[const]]</f>
        <v>46846.847586898184</v>
      </c>
      <c r="S1353" t="s">
        <v>68</v>
      </c>
      <c r="T1353">
        <v>1</v>
      </c>
      <c r="U1353" t="s">
        <v>70</v>
      </c>
      <c r="V1353" t="s">
        <v>69</v>
      </c>
      <c r="W1353">
        <v>0</v>
      </c>
      <c r="X1353">
        <v>0</v>
      </c>
      <c r="Y1353">
        <v>51</v>
      </c>
      <c r="Z1353">
        <v>83</v>
      </c>
      <c r="AA1353">
        <v>90</v>
      </c>
      <c r="AB1353">
        <v>1500</v>
      </c>
      <c r="AC1353">
        <v>1332</v>
      </c>
      <c r="AD1353">
        <v>888</v>
      </c>
      <c r="AE1353">
        <v>0</v>
      </c>
      <c r="AF1353">
        <v>0</v>
      </c>
      <c r="AG1353">
        <v>444</v>
      </c>
      <c r="AH1353">
        <v>444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16</v>
      </c>
      <c r="AO1353">
        <v>0</v>
      </c>
      <c r="AP1353">
        <v>5</v>
      </c>
      <c r="AQ1353">
        <v>1</v>
      </c>
      <c r="AR1353">
        <v>0</v>
      </c>
      <c r="AS1353" t="s">
        <v>58</v>
      </c>
      <c r="AT1353">
        <v>1</v>
      </c>
      <c r="AU1353" t="s">
        <v>75</v>
      </c>
      <c r="AV1353" t="s">
        <v>60</v>
      </c>
      <c r="AW1353">
        <v>0</v>
      </c>
      <c r="AX1353">
        <v>2</v>
      </c>
      <c r="AY1353">
        <v>0</v>
      </c>
      <c r="AZ1353">
        <v>6900</v>
      </c>
      <c r="BA1353">
        <v>100</v>
      </c>
      <c r="BB1353">
        <v>100</v>
      </c>
      <c r="BC1353">
        <v>100</v>
      </c>
      <c r="BD1353">
        <v>100</v>
      </c>
      <c r="BE1353">
        <v>1</v>
      </c>
      <c r="BF1353">
        <v>15000</v>
      </c>
      <c r="BG1353">
        <v>1000</v>
      </c>
      <c r="BH1353" s="6">
        <f>Grandview_Inventory[[#This Row],[land_extract]]*Lookups!$B$3</f>
        <v>54403.117616176372</v>
      </c>
      <c r="BI1353" s="6">
        <f>IF(Grandview_Inventory[[#This Row],[bldg_style]]="",0,Lookups!$B$2)</f>
        <v>155833.95000000001</v>
      </c>
      <c r="BJ1353" s="6">
        <f>_xlfn.IFNA(VLOOKUP(Grandview_Inventory[[#This Row],[quality]],Lookups!$H$2:$J$14,3,FALSE),0)</f>
        <v>10733</v>
      </c>
      <c r="BK1353" s="6">
        <f>_xlfn.IFNA(VLOOKUP(Grandview_Inventory[[#This Row],[condition]],Lookups!$H$17:$J$24,3,FALSE),0)</f>
        <v>-4503</v>
      </c>
      <c r="BL1353" s="6">
        <f>Grandview_Inventory[[#This Row],[Eff_Age]]*Lookups!$B$14</f>
        <v>-12197.496599999999</v>
      </c>
      <c r="BM1353" s="6">
        <f>Grandview_Inventory[[#This Row],[living_area]]*Lookups!$B$15</f>
        <v>83091.296195999996</v>
      </c>
      <c r="BN1353" s="6">
        <f>Grandview_Inventory[[#This Row],[Fin BSMT]]*Lookups!$B$16</f>
        <v>-12032.06256</v>
      </c>
      <c r="BO1353" s="6">
        <f>(Grandview_Inventory[[#This Row],[att_gar]]+Grandview_Inventory[[#This Row],[bltin_gar]])*Lookups!$B$17</f>
        <v>0</v>
      </c>
      <c r="BP1353" s="6">
        <f>Grandview_Inventory[[#This Row],[Plumbing Fixtures]]*Lookups!$B$18</f>
        <v>10052.209000000001</v>
      </c>
      <c r="BQ1353" s="6">
        <f>Grandview_Inventory[[#This Row],[detatched_value]]*Lookups!$B$19</f>
        <v>5842.9551899999997</v>
      </c>
      <c r="BR1353" s="6">
        <f>SUM(Grandview_Inventory[[#This Row],[Intercept]:[det_value]])*Grandview_Inventory[[#This Row],[res_pct]]</f>
        <v>236820.85122600003</v>
      </c>
      <c r="BS1353" s="6">
        <f>Grandview_Inventory[[#This Row],[land_value]]</f>
        <v>54403.117616176372</v>
      </c>
      <c r="BT1353" s="4">
        <f>_xlfn.IFNA(VLOOKUP(Grandview_Inventory[[#This Row],[quality]],Lookups!$A$26:$C$33,3,FALSE),1)</f>
        <v>0.98079741117310582</v>
      </c>
      <c r="BU1353" s="4">
        <f>_xlfn.IFNA(VLOOKUP(Grandview_Inventory[[#This Row],[condition]],Lookups!$A$37:$C$44,3,FALSE),1)</f>
        <v>0.96469275950863709</v>
      </c>
      <c r="BV1353" s="4">
        <f>IF(Grandview_Inventory[[#This Row],[bldg_style]]="",1,_xlfn.IFNA(VLOOKUP(Grandview_Inventory[[#This Row],[decade]],Lookups!$F$29:$H$43,3,FALSE),1))</f>
        <v>0.94161750052457416</v>
      </c>
      <c r="BW1353" s="4">
        <f>_xlfn.IFNA(VLOOKUP(Grandview_Inventory[[#This Row],[living_area_range]],Lookups!$F$47:$H$56,3,FALSE),1)</f>
        <v>0.96135087979789358</v>
      </c>
      <c r="BX1353" s="4">
        <f>AVERAGE(Grandview_Inventory[[#This Row],[qual_adj]:[size_adj]])</f>
        <v>0.96211463775105266</v>
      </c>
      <c r="BY1353" s="6">
        <f>IF(Grandview_Inventory[[#This Row],[pre_res]]&lt;0,0,Grandview_Inventory[[#This Row],[pre_res]]*Grandview_Inventory[[#This Row],[overall_adj]])</f>
        <v>227848.80748919895</v>
      </c>
      <c r="BZ1353" s="6">
        <f>(Grandview_Inventory[[#This Row],[sum_land]]-IF(Grandview_Inventory[[#This Row],[no_utilities]]=1,12000,0))/IF(Grandview_Inventory[[#This Row],[unbuildable]]=1,2,1)</f>
        <v>54403.117616176372</v>
      </c>
      <c r="CA1353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353">
        <f>ROUND(Grandview_Inventory[[#This Row],[det_value]]*Lookups!$M$28,-2)</f>
        <v>5600</v>
      </c>
      <c r="CC1353">
        <f>IF(ROUND(Grandview_Inventory[[#This Row],[adj_res]]*Lookups!$M$28,-2)&lt;Grandview_Inventory[[#This Row],[min_res]],Grandview_Inventory[[#This Row],[min_res]],ROUND(Grandview_Inventory[[#This Row],[adj_res]]*Lookups!$M$28,-2))</f>
        <v>216500</v>
      </c>
      <c r="CD1353">
        <f>Grandview_Inventory[[#This Row],[final_det]]+Grandview_Inventory[[#This Row],[final_res]]</f>
        <v>222100</v>
      </c>
      <c r="CE1353">
        <f>Grandview_Inventory[[#This Row],[final_land]]+Grandview_Inventory[[#This Row],[final_imp]]+Grandview_Inventory[[#This Row],[crop_value]]</f>
        <v>273800</v>
      </c>
      <c r="CG1353" t="str">
        <f t="shared" si="21"/>
        <v>update valuation set market_land =51700, market_bldg=222100, market_total =273800, market_mdno =401, market_date ='9/10/2023' where link_id = (select link_id from parcel where parcel_year = '2024' and parcel_id = '23092314467');</v>
      </c>
    </row>
    <row r="1354" spans="1:85" x14ac:dyDescent="0.25">
      <c r="A1354">
        <v>23092314468</v>
      </c>
      <c r="B1354">
        <v>0.23</v>
      </c>
      <c r="C1354">
        <v>9871</v>
      </c>
      <c r="D1354" t="s">
        <v>129</v>
      </c>
      <c r="E1354" t="s">
        <v>53</v>
      </c>
      <c r="F1354" t="s">
        <v>53</v>
      </c>
      <c r="G1354">
        <v>4</v>
      </c>
      <c r="H1354" t="s">
        <v>54</v>
      </c>
      <c r="I1354">
        <v>164200</v>
      </c>
      <c r="J1354">
        <v>40000</v>
      </c>
      <c r="K1354">
        <v>0.23</v>
      </c>
      <c r="L135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354">
        <v>0</v>
      </c>
      <c r="N1354">
        <v>0</v>
      </c>
      <c r="O1354">
        <v>0</v>
      </c>
      <c r="P1354">
        <v>13398.7528</v>
      </c>
      <c r="Q1354">
        <v>63903</v>
      </c>
      <c r="R1354">
        <f>(Grandview_Inventory[[#This Row],[ln_acres]]*Grandview_Inventory[[#This Row],[coeff]])+Grandview_Inventory[[#This Row],[const]]</f>
        <v>44211.174981080039</v>
      </c>
      <c r="S1354" t="s">
        <v>61</v>
      </c>
      <c r="T1354">
        <v>1</v>
      </c>
      <c r="U1354" t="s">
        <v>65</v>
      </c>
      <c r="V1354" t="s">
        <v>78</v>
      </c>
      <c r="W1354">
        <v>0</v>
      </c>
      <c r="X1354">
        <v>0</v>
      </c>
      <c r="Y1354">
        <v>50</v>
      </c>
      <c r="Z1354">
        <v>73</v>
      </c>
      <c r="AA1354">
        <v>80</v>
      </c>
      <c r="AB1354">
        <v>2000</v>
      </c>
      <c r="AC1354">
        <v>1616</v>
      </c>
      <c r="AD1354">
        <v>1616</v>
      </c>
      <c r="AE1354">
        <v>0</v>
      </c>
      <c r="AF1354">
        <v>0</v>
      </c>
      <c r="AG1354">
        <v>0</v>
      </c>
      <c r="AH1354">
        <v>1218</v>
      </c>
      <c r="AI1354">
        <v>0</v>
      </c>
      <c r="AJ1354">
        <v>0</v>
      </c>
      <c r="AK1354">
        <v>0</v>
      </c>
      <c r="AL1354">
        <v>0</v>
      </c>
      <c r="AM1354">
        <v>216</v>
      </c>
      <c r="AN1354">
        <v>20</v>
      </c>
      <c r="AO1354">
        <v>216</v>
      </c>
      <c r="AP1354">
        <v>5</v>
      </c>
      <c r="AQ1354">
        <v>0</v>
      </c>
      <c r="AR1354">
        <v>1</v>
      </c>
      <c r="AS1354" t="s">
        <v>76</v>
      </c>
      <c r="AT1354">
        <v>1</v>
      </c>
      <c r="AU1354" t="s">
        <v>59</v>
      </c>
      <c r="AV1354" t="s">
        <v>60</v>
      </c>
      <c r="AW1354">
        <v>1</v>
      </c>
      <c r="AX1354">
        <v>3</v>
      </c>
      <c r="AY1354">
        <v>0</v>
      </c>
      <c r="AZ1354">
        <v>9300</v>
      </c>
      <c r="BA1354">
        <v>100</v>
      </c>
      <c r="BB1354">
        <v>100</v>
      </c>
      <c r="BC1354">
        <v>100</v>
      </c>
      <c r="BD1354">
        <v>100</v>
      </c>
      <c r="BE1354">
        <v>1</v>
      </c>
      <c r="BF1354">
        <v>15000</v>
      </c>
      <c r="BG1354">
        <v>1000</v>
      </c>
      <c r="BH1354" s="6">
        <f>Grandview_Inventory[[#This Row],[land_extract]]*Lookups!$B$3</f>
        <v>51342.318135355803</v>
      </c>
      <c r="BI1354" s="6">
        <f>IF(Grandview_Inventory[[#This Row],[bldg_style]]="",0,Lookups!$B$2)</f>
        <v>155833.95000000001</v>
      </c>
      <c r="BJ1354" s="6">
        <f>_xlfn.IFNA(VLOOKUP(Grandview_Inventory[[#This Row],[quality]],Lookups!$H$2:$J$14,3,FALSE),0)</f>
        <v>2251</v>
      </c>
      <c r="BK1354" s="6">
        <f>_xlfn.IFNA(VLOOKUP(Grandview_Inventory[[#This Row],[condition]],Lookups!$H$17:$J$24,3,FALSE),0)</f>
        <v>-45357</v>
      </c>
      <c r="BL1354" s="6">
        <f>Grandview_Inventory[[#This Row],[Eff_Age]]*Lookups!$B$14</f>
        <v>-11958.33</v>
      </c>
      <c r="BM1354" s="6">
        <f>Grandview_Inventory[[#This Row],[living_area]]*Lookups!$B$15</f>
        <v>100807.458448</v>
      </c>
      <c r="BN1354" s="6">
        <f>Grandview_Inventory[[#This Row],[Fin BSMT]]*Lookups!$B$16</f>
        <v>0</v>
      </c>
      <c r="BO1354" s="6">
        <f>(Grandview_Inventory[[#This Row],[att_gar]]+Grandview_Inventory[[#This Row],[bltin_gar]])*Lookups!$B$17</f>
        <v>0</v>
      </c>
      <c r="BP1354" s="6">
        <f>Grandview_Inventory[[#This Row],[Plumbing Fixtures]]*Lookups!$B$18</f>
        <v>10052.209000000001</v>
      </c>
      <c r="BQ1354" s="6">
        <f>Grandview_Inventory[[#This Row],[detatched_value]]*Lookups!$B$19</f>
        <v>7875.2874299999994</v>
      </c>
      <c r="BR1354" s="6">
        <f>SUM(Grandview_Inventory[[#This Row],[Intercept]:[det_value]])*Grandview_Inventory[[#This Row],[res_pct]]</f>
        <v>219504.57487800001</v>
      </c>
      <c r="BS1354" s="6">
        <f>Grandview_Inventory[[#This Row],[land_value]]</f>
        <v>51342.318135355803</v>
      </c>
      <c r="BT1354" s="4">
        <f>_xlfn.IFNA(VLOOKUP(Grandview_Inventory[[#This Row],[quality]],Lookups!$A$26:$C$33,3,FALSE),1)</f>
        <v>0.98763855981004833</v>
      </c>
      <c r="BU1354" s="4">
        <f>_xlfn.IFNA(VLOOKUP(Grandview_Inventory[[#This Row],[condition]],Lookups!$A$37:$C$44,3,FALSE),1)</f>
        <v>0.97161819570155394</v>
      </c>
      <c r="BV1354" s="4">
        <f>IF(Grandview_Inventory[[#This Row],[bldg_style]]="",1,_xlfn.IFNA(VLOOKUP(Grandview_Inventory[[#This Row],[decade]],Lookups!$F$29:$H$43,3,FALSE),1))</f>
        <v>0.98763256963907298</v>
      </c>
      <c r="BW1354" s="4">
        <f>_xlfn.IFNA(VLOOKUP(Grandview_Inventory[[#This Row],[living_area_range]],Lookups!$F$47:$H$56,3,FALSE),1)</f>
        <v>0.96120133463014379</v>
      </c>
      <c r="BX1354" s="4">
        <f>AVERAGE(Grandview_Inventory[[#This Row],[qual_adj]:[size_adj]])</f>
        <v>0.97702266494520473</v>
      </c>
      <c r="BY1354" s="6">
        <f>IF(Grandview_Inventory[[#This Row],[pre_res]]&lt;0,0,Grandview_Inventory[[#This Row],[pre_res]]*Grandview_Inventory[[#This Row],[overall_adj]])</f>
        <v>214460.9447149678</v>
      </c>
      <c r="BZ1354" s="6">
        <f>(Grandview_Inventory[[#This Row],[sum_land]]-IF(Grandview_Inventory[[#This Row],[no_utilities]]=1,12000,0))/IF(Grandview_Inventory[[#This Row],[unbuildable]]=1,2,1)</f>
        <v>51342.318135355803</v>
      </c>
      <c r="CA135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354">
        <f>ROUND(Grandview_Inventory[[#This Row],[det_value]]*Lookups!$M$28,-2)</f>
        <v>7500</v>
      </c>
      <c r="CC1354">
        <f>IF(ROUND(Grandview_Inventory[[#This Row],[adj_res]]*Lookups!$M$28,-2)&lt;Grandview_Inventory[[#This Row],[min_res]],Grandview_Inventory[[#This Row],[min_res]],ROUND(Grandview_Inventory[[#This Row],[adj_res]]*Lookups!$M$28,-2))</f>
        <v>203700</v>
      </c>
      <c r="CD1354">
        <f>Grandview_Inventory[[#This Row],[final_det]]+Grandview_Inventory[[#This Row],[final_res]]</f>
        <v>211200</v>
      </c>
      <c r="CE1354">
        <f>Grandview_Inventory[[#This Row],[final_land]]+Grandview_Inventory[[#This Row],[final_imp]]+Grandview_Inventory[[#This Row],[crop_value]]</f>
        <v>260000</v>
      </c>
      <c r="CG1354" t="str">
        <f t="shared" si="21"/>
        <v>update valuation set market_land =48800, market_bldg=211200, market_total =260000, market_mdno =401, market_date ='9/10/2023' where link_id = (select link_id from parcel where parcel_year = '2024' and parcel_id = '23092314468');</v>
      </c>
    </row>
    <row r="1355" spans="1:85" x14ac:dyDescent="0.25">
      <c r="A1355">
        <v>23092314469</v>
      </c>
      <c r="B1355">
        <v>0.26</v>
      </c>
      <c r="C1355">
        <v>11232</v>
      </c>
      <c r="D1355" t="s">
        <v>129</v>
      </c>
      <c r="E1355" t="s">
        <v>53</v>
      </c>
      <c r="F1355" t="s">
        <v>53</v>
      </c>
      <c r="G1355">
        <v>4</v>
      </c>
      <c r="H1355" t="s">
        <v>54</v>
      </c>
      <c r="I1355">
        <v>207800</v>
      </c>
      <c r="J1355">
        <v>45100</v>
      </c>
      <c r="K1355">
        <v>0.26</v>
      </c>
      <c r="L1355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355">
        <v>0</v>
      </c>
      <c r="N1355">
        <v>0</v>
      </c>
      <c r="O1355">
        <v>0</v>
      </c>
      <c r="P1355">
        <v>13398.7528</v>
      </c>
      <c r="Q1355">
        <v>63903</v>
      </c>
      <c r="R1355">
        <f>(Grandview_Inventory[[#This Row],[ln_acres]]*Grandview_Inventory[[#This Row],[coeff]])+Grandview_Inventory[[#This Row],[const]]</f>
        <v>45853.893187501177</v>
      </c>
      <c r="S1355" t="s">
        <v>68</v>
      </c>
      <c r="T1355">
        <v>1</v>
      </c>
      <c r="U1355" t="s">
        <v>70</v>
      </c>
      <c r="V1355" t="s">
        <v>69</v>
      </c>
      <c r="W1355">
        <v>0</v>
      </c>
      <c r="X1355">
        <v>0</v>
      </c>
      <c r="Y1355">
        <v>51</v>
      </c>
      <c r="Z1355">
        <v>78</v>
      </c>
      <c r="AA1355">
        <v>80</v>
      </c>
      <c r="AB1355">
        <v>2500</v>
      </c>
      <c r="AC1355">
        <v>2397</v>
      </c>
      <c r="AD1355">
        <v>1410</v>
      </c>
      <c r="AE1355">
        <v>0</v>
      </c>
      <c r="AF1355">
        <v>0</v>
      </c>
      <c r="AG1355">
        <v>987</v>
      </c>
      <c r="AH1355">
        <v>423</v>
      </c>
      <c r="AI1355">
        <v>0</v>
      </c>
      <c r="AJ1355">
        <v>0</v>
      </c>
      <c r="AK1355">
        <v>0</v>
      </c>
      <c r="AL1355">
        <v>0</v>
      </c>
      <c r="AM1355">
        <v>246</v>
      </c>
      <c r="AN1355">
        <v>0</v>
      </c>
      <c r="AO1355">
        <v>246</v>
      </c>
      <c r="AP1355">
        <v>8</v>
      </c>
      <c r="AQ1355">
        <v>0</v>
      </c>
      <c r="AR1355">
        <v>1</v>
      </c>
      <c r="AS1355" t="s">
        <v>58</v>
      </c>
      <c r="AT1355">
        <v>1</v>
      </c>
      <c r="AU1355" t="s">
        <v>63</v>
      </c>
      <c r="AV1355" t="s">
        <v>64</v>
      </c>
      <c r="AW1355">
        <v>1</v>
      </c>
      <c r="AX1355">
        <v>2</v>
      </c>
      <c r="AY1355">
        <v>0</v>
      </c>
      <c r="AZ1355">
        <v>23600</v>
      </c>
      <c r="BA1355">
        <v>100</v>
      </c>
      <c r="BB1355">
        <v>100</v>
      </c>
      <c r="BC1355">
        <v>100</v>
      </c>
      <c r="BD1355">
        <v>100</v>
      </c>
      <c r="BE1355">
        <v>1</v>
      </c>
      <c r="BF1355">
        <v>15000</v>
      </c>
      <c r="BG1355">
        <v>1000</v>
      </c>
      <c r="BH1355" s="6">
        <f>Grandview_Inventory[[#This Row],[land_extract]]*Lookups!$B$3</f>
        <v>53250.00235313351</v>
      </c>
      <c r="BI1355" s="6">
        <f>IF(Grandview_Inventory[[#This Row],[bldg_style]]="",0,Lookups!$B$2)</f>
        <v>155833.95000000001</v>
      </c>
      <c r="BJ1355" s="6">
        <f>_xlfn.IFNA(VLOOKUP(Grandview_Inventory[[#This Row],[quality]],Lookups!$H$2:$J$14,3,FALSE),0)</f>
        <v>10733</v>
      </c>
      <c r="BK1355" s="6">
        <f>_xlfn.IFNA(VLOOKUP(Grandview_Inventory[[#This Row],[condition]],Lookups!$H$17:$J$24,3,FALSE),0)</f>
        <v>-4503</v>
      </c>
      <c r="BL1355" s="6">
        <f>Grandview_Inventory[[#This Row],[Eff_Age]]*Lookups!$B$14</f>
        <v>-12197.496599999999</v>
      </c>
      <c r="BM1355" s="6">
        <f>Grandview_Inventory[[#This Row],[living_area]]*Lookups!$B$15</f>
        <v>149526.904641</v>
      </c>
      <c r="BN1355" s="6">
        <f>Grandview_Inventory[[#This Row],[Fin BSMT]]*Lookups!$B$16</f>
        <v>-26746.94988</v>
      </c>
      <c r="BO1355" s="6">
        <f>(Grandview_Inventory[[#This Row],[att_gar]]+Grandview_Inventory[[#This Row],[bltin_gar]])*Lookups!$B$17</f>
        <v>0</v>
      </c>
      <c r="BP1355" s="6">
        <f>Grandview_Inventory[[#This Row],[Plumbing Fixtures]]*Lookups!$B$18</f>
        <v>16083.5344</v>
      </c>
      <c r="BQ1355" s="6">
        <f>Grandview_Inventory[[#This Row],[detatched_value]]*Lookups!$B$19</f>
        <v>19984.60036</v>
      </c>
      <c r="BR1355" s="6">
        <f>SUM(Grandview_Inventory[[#This Row],[Intercept]:[det_value]])*Grandview_Inventory[[#This Row],[res_pct]]</f>
        <v>308714.54292099999</v>
      </c>
      <c r="BS1355" s="6">
        <f>Grandview_Inventory[[#This Row],[land_value]]</f>
        <v>53250.00235313351</v>
      </c>
      <c r="BT1355" s="4">
        <f>_xlfn.IFNA(VLOOKUP(Grandview_Inventory[[#This Row],[quality]],Lookups!$A$26:$C$33,3,FALSE),1)</f>
        <v>0.98079741117310582</v>
      </c>
      <c r="BU1355" s="4">
        <f>_xlfn.IFNA(VLOOKUP(Grandview_Inventory[[#This Row],[condition]],Lookups!$A$37:$C$44,3,FALSE),1)</f>
        <v>0.96469275950863709</v>
      </c>
      <c r="BV1355" s="4">
        <f>IF(Grandview_Inventory[[#This Row],[bldg_style]]="",1,_xlfn.IFNA(VLOOKUP(Grandview_Inventory[[#This Row],[decade]],Lookups!$F$29:$H$43,3,FALSE),1))</f>
        <v>0.98763256963907298</v>
      </c>
      <c r="BW1355" s="4">
        <f>_xlfn.IFNA(VLOOKUP(Grandview_Inventory[[#This Row],[living_area_range]],Lookups!$F$47:$H$56,3,FALSE),1)</f>
        <v>0.95799442568048754</v>
      </c>
      <c r="BX1355" s="4">
        <f>AVERAGE(Grandview_Inventory[[#This Row],[qual_adj]:[size_adj]])</f>
        <v>0.97277929150032583</v>
      </c>
      <c r="BY1355" s="6">
        <f>IF(Grandview_Inventory[[#This Row],[pre_res]]&lt;0,0,Grandview_Inventory[[#This Row],[pre_res]]*Grandview_Inventory[[#This Row],[overall_adj]])</f>
        <v>300311.11433853727</v>
      </c>
      <c r="BZ1355" s="6">
        <f>(Grandview_Inventory[[#This Row],[sum_land]]-IF(Grandview_Inventory[[#This Row],[no_utilities]]=1,12000,0))/IF(Grandview_Inventory[[#This Row],[unbuildable]]=1,2,1)</f>
        <v>53250.00235313351</v>
      </c>
      <c r="CA1355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355">
        <f>ROUND(Grandview_Inventory[[#This Row],[det_value]]*Lookups!$M$28,-2)</f>
        <v>19000</v>
      </c>
      <c r="CC1355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1355">
        <f>Grandview_Inventory[[#This Row],[final_det]]+Grandview_Inventory[[#This Row],[final_res]]</f>
        <v>304300</v>
      </c>
      <c r="CE1355">
        <f>Grandview_Inventory[[#This Row],[final_land]]+Grandview_Inventory[[#This Row],[final_imp]]+Grandview_Inventory[[#This Row],[crop_value]]</f>
        <v>354900</v>
      </c>
      <c r="CG1355" t="str">
        <f t="shared" si="21"/>
        <v>update valuation set market_land =50600, market_bldg=304300, market_total =354900, market_mdno =401, market_date ='9/10/2023' where link_id = (select link_id from parcel where parcel_year = '2024' and parcel_id = '23092314469');</v>
      </c>
    </row>
    <row r="1356" spans="1:85" x14ac:dyDescent="0.25">
      <c r="A1356">
        <v>23092314470</v>
      </c>
      <c r="B1356">
        <v>0.18</v>
      </c>
      <c r="C1356">
        <v>7957</v>
      </c>
      <c r="D1356" t="s">
        <v>129</v>
      </c>
      <c r="E1356" t="s">
        <v>53</v>
      </c>
      <c r="F1356" t="s">
        <v>53</v>
      </c>
      <c r="G1356">
        <v>4</v>
      </c>
      <c r="H1356" t="s">
        <v>54</v>
      </c>
      <c r="I1356">
        <v>140400</v>
      </c>
      <c r="J1356">
        <v>39500</v>
      </c>
      <c r="K1356">
        <v>0.18</v>
      </c>
      <c r="L135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56">
        <v>0</v>
      </c>
      <c r="N1356">
        <v>0</v>
      </c>
      <c r="O1356">
        <v>0</v>
      </c>
      <c r="P1356">
        <v>13398.7528</v>
      </c>
      <c r="Q1356">
        <v>63903</v>
      </c>
      <c r="R1356">
        <f>(Grandview_Inventory[[#This Row],[ln_acres]]*Grandview_Inventory[[#This Row],[coeff]])+Grandview_Inventory[[#This Row],[const]]</f>
        <v>40926.839760167699</v>
      </c>
      <c r="S1356" t="s">
        <v>68</v>
      </c>
      <c r="T1356">
        <v>1</v>
      </c>
      <c r="U1356" t="s">
        <v>70</v>
      </c>
      <c r="V1356" t="s">
        <v>69</v>
      </c>
      <c r="W1356">
        <v>0</v>
      </c>
      <c r="X1356">
        <v>0</v>
      </c>
      <c r="Y1356">
        <v>51</v>
      </c>
      <c r="Z1356">
        <v>78</v>
      </c>
      <c r="AA1356">
        <v>80</v>
      </c>
      <c r="AB1356">
        <v>1500</v>
      </c>
      <c r="AC1356">
        <v>1124</v>
      </c>
      <c r="AD1356">
        <v>992</v>
      </c>
      <c r="AE1356">
        <v>0</v>
      </c>
      <c r="AF1356">
        <v>0</v>
      </c>
      <c r="AG1356">
        <v>132</v>
      </c>
      <c r="AH1356">
        <v>529</v>
      </c>
      <c r="AI1356">
        <v>0</v>
      </c>
      <c r="AJ1356">
        <v>0</v>
      </c>
      <c r="AK1356">
        <v>0</v>
      </c>
      <c r="AL1356">
        <v>0</v>
      </c>
      <c r="AM1356">
        <v>234</v>
      </c>
      <c r="AN1356">
        <v>0</v>
      </c>
      <c r="AO1356">
        <v>254</v>
      </c>
      <c r="AP1356">
        <v>6</v>
      </c>
      <c r="AQ1356">
        <v>0</v>
      </c>
      <c r="AR1356">
        <v>0</v>
      </c>
      <c r="AS1356" t="s">
        <v>58</v>
      </c>
      <c r="AT1356">
        <v>1</v>
      </c>
      <c r="AU1356" t="s">
        <v>59</v>
      </c>
      <c r="AV1356" t="s">
        <v>60</v>
      </c>
      <c r="AW1356">
        <v>1</v>
      </c>
      <c r="AX1356">
        <v>2</v>
      </c>
      <c r="AY1356">
        <v>0</v>
      </c>
      <c r="AZ1356">
        <v>4700</v>
      </c>
      <c r="BA1356">
        <v>100</v>
      </c>
      <c r="BB1356">
        <v>100</v>
      </c>
      <c r="BC1356">
        <v>100</v>
      </c>
      <c r="BD1356">
        <v>100</v>
      </c>
      <c r="BE1356">
        <v>1</v>
      </c>
      <c r="BF1356">
        <v>15000</v>
      </c>
      <c r="BG1356">
        <v>1000</v>
      </c>
      <c r="BH1356" s="6">
        <f>Grandview_Inventory[[#This Row],[land_extract]]*Lookups!$B$3</f>
        <v>47528.228511015397</v>
      </c>
      <c r="BI1356" s="6">
        <f>IF(Grandview_Inventory[[#This Row],[bldg_style]]="",0,Lookups!$B$2)</f>
        <v>155833.95000000001</v>
      </c>
      <c r="BJ1356" s="6">
        <f>_xlfn.IFNA(VLOOKUP(Grandview_Inventory[[#This Row],[quality]],Lookups!$H$2:$J$14,3,FALSE),0)</f>
        <v>10733</v>
      </c>
      <c r="BK1356" s="6">
        <f>_xlfn.IFNA(VLOOKUP(Grandview_Inventory[[#This Row],[condition]],Lookups!$H$17:$J$24,3,FALSE),0)</f>
        <v>-4503</v>
      </c>
      <c r="BL1356" s="6">
        <f>Grandview_Inventory[[#This Row],[Eff_Age]]*Lookups!$B$14</f>
        <v>-12197.496599999999</v>
      </c>
      <c r="BM1356" s="6">
        <f>Grandview_Inventory[[#This Row],[living_area]]*Lookups!$B$15</f>
        <v>70116.078772000008</v>
      </c>
      <c r="BN1356" s="6">
        <f>Grandview_Inventory[[#This Row],[Fin BSMT]]*Lookups!$B$16</f>
        <v>-3577.0996800000003</v>
      </c>
      <c r="BO1356" s="6">
        <f>(Grandview_Inventory[[#This Row],[att_gar]]+Grandview_Inventory[[#This Row],[bltin_gar]])*Lookups!$B$17</f>
        <v>0</v>
      </c>
      <c r="BP1356" s="6">
        <f>Grandview_Inventory[[#This Row],[Plumbing Fixtures]]*Lookups!$B$18</f>
        <v>12062.650799999999</v>
      </c>
      <c r="BQ1356" s="6">
        <f>Grandview_Inventory[[#This Row],[detatched_value]]*Lookups!$B$19</f>
        <v>3979.9839699999998</v>
      </c>
      <c r="BR1356" s="6">
        <f>SUM(Grandview_Inventory[[#This Row],[Intercept]:[det_value]])*Grandview_Inventory[[#This Row],[res_pct]]</f>
        <v>232448.067262</v>
      </c>
      <c r="BS1356" s="6">
        <f>Grandview_Inventory[[#This Row],[land_value]]</f>
        <v>47528.228511015397</v>
      </c>
      <c r="BT1356" s="4">
        <f>_xlfn.IFNA(VLOOKUP(Grandview_Inventory[[#This Row],[quality]],Lookups!$A$26:$C$33,3,FALSE),1)</f>
        <v>0.98079741117310582</v>
      </c>
      <c r="BU1356" s="4">
        <f>_xlfn.IFNA(VLOOKUP(Grandview_Inventory[[#This Row],[condition]],Lookups!$A$37:$C$44,3,FALSE),1)</f>
        <v>0.96469275950863709</v>
      </c>
      <c r="BV1356" s="4">
        <f>IF(Grandview_Inventory[[#This Row],[bldg_style]]="",1,_xlfn.IFNA(VLOOKUP(Grandview_Inventory[[#This Row],[decade]],Lookups!$F$29:$H$43,3,FALSE),1))</f>
        <v>0.98763256963907298</v>
      </c>
      <c r="BW1356" s="4">
        <f>_xlfn.IFNA(VLOOKUP(Grandview_Inventory[[#This Row],[living_area_range]],Lookups!$F$47:$H$56,3,FALSE),1)</f>
        <v>0.96135087979789358</v>
      </c>
      <c r="BX1356" s="4">
        <f>AVERAGE(Grandview_Inventory[[#This Row],[qual_adj]:[size_adj]])</f>
        <v>0.97361840502967734</v>
      </c>
      <c r="BY1356" s="6">
        <f>IF(Grandview_Inventory[[#This Row],[pre_res]]&lt;0,0,Grandview_Inventory[[#This Row],[pre_res]]*Grandview_Inventory[[#This Row],[overall_adj]])</f>
        <v>226315.71649985958</v>
      </c>
      <c r="BZ1356" s="6">
        <f>(Grandview_Inventory[[#This Row],[sum_land]]-IF(Grandview_Inventory[[#This Row],[no_utilities]]=1,12000,0))/IF(Grandview_Inventory[[#This Row],[unbuildable]]=1,2,1)</f>
        <v>47528.228511015397</v>
      </c>
      <c r="CA135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56">
        <f>ROUND(Grandview_Inventory[[#This Row],[det_value]]*Lookups!$M$28,-2)</f>
        <v>3800</v>
      </c>
      <c r="CC1356">
        <f>IF(ROUND(Grandview_Inventory[[#This Row],[adj_res]]*Lookups!$M$28,-2)&lt;Grandview_Inventory[[#This Row],[min_res]],Grandview_Inventory[[#This Row],[min_res]],ROUND(Grandview_Inventory[[#This Row],[adj_res]]*Lookups!$M$28,-2))</f>
        <v>215000</v>
      </c>
      <c r="CD1356">
        <f>Grandview_Inventory[[#This Row],[final_det]]+Grandview_Inventory[[#This Row],[final_res]]</f>
        <v>218800</v>
      </c>
      <c r="CE1356">
        <f>Grandview_Inventory[[#This Row],[final_land]]+Grandview_Inventory[[#This Row],[final_imp]]+Grandview_Inventory[[#This Row],[crop_value]]</f>
        <v>264000</v>
      </c>
      <c r="CG1356" t="str">
        <f t="shared" si="21"/>
        <v>update valuation set market_land =45200, market_bldg=218800, market_total =264000, market_mdno =401, market_date ='9/10/2023' where link_id = (select link_id from parcel where parcel_year = '2024' and parcel_id = '23092314470');</v>
      </c>
    </row>
    <row r="1357" spans="1:85" x14ac:dyDescent="0.25">
      <c r="A1357">
        <v>23092314472</v>
      </c>
      <c r="B1357">
        <v>0.3</v>
      </c>
      <c r="C1357">
        <v>13176</v>
      </c>
      <c r="D1357" t="s">
        <v>129</v>
      </c>
      <c r="E1357" t="s">
        <v>53</v>
      </c>
      <c r="F1357" t="s">
        <v>53</v>
      </c>
      <c r="G1357">
        <v>4</v>
      </c>
      <c r="H1357" t="s">
        <v>54</v>
      </c>
      <c r="I1357">
        <v>137600</v>
      </c>
      <c r="J1357">
        <v>41400</v>
      </c>
      <c r="K1357">
        <v>0.3</v>
      </c>
      <c r="L1357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1357">
        <v>0</v>
      </c>
      <c r="N1357">
        <v>0</v>
      </c>
      <c r="O1357">
        <v>0</v>
      </c>
      <c r="P1357">
        <v>13398.7528</v>
      </c>
      <c r="Q1357">
        <v>63903</v>
      </c>
      <c r="R1357">
        <f>(Grandview_Inventory[[#This Row],[ln_acres]]*Grandview_Inventory[[#This Row],[coeff]])+Grandview_Inventory[[#This Row],[const]]</f>
        <v>47771.266016914014</v>
      </c>
      <c r="S1357" t="s">
        <v>68</v>
      </c>
      <c r="T1357">
        <v>1</v>
      </c>
      <c r="U1357" t="s">
        <v>70</v>
      </c>
      <c r="V1357" t="s">
        <v>69</v>
      </c>
      <c r="W1357">
        <v>0</v>
      </c>
      <c r="X1357">
        <v>0</v>
      </c>
      <c r="Y1357">
        <v>68</v>
      </c>
      <c r="Z1357">
        <v>116</v>
      </c>
      <c r="AA1357">
        <v>120</v>
      </c>
      <c r="AB1357">
        <v>1500</v>
      </c>
      <c r="AC1357">
        <v>1304</v>
      </c>
      <c r="AD1357">
        <v>1304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144</v>
      </c>
      <c r="AO1357">
        <v>0</v>
      </c>
      <c r="AP1357">
        <v>8</v>
      </c>
      <c r="AQ1357">
        <v>0</v>
      </c>
      <c r="AR1357">
        <v>0</v>
      </c>
      <c r="AS1357" t="s">
        <v>58</v>
      </c>
      <c r="AT1357">
        <v>1</v>
      </c>
      <c r="AU1357" t="s">
        <v>63</v>
      </c>
      <c r="AV1357" t="s">
        <v>60</v>
      </c>
      <c r="AW1357">
        <v>0</v>
      </c>
      <c r="AX1357">
        <v>3</v>
      </c>
      <c r="AY1357">
        <v>0</v>
      </c>
      <c r="AZ1357">
        <v>0</v>
      </c>
      <c r="BA1357">
        <v>100</v>
      </c>
      <c r="BB1357">
        <v>100</v>
      </c>
      <c r="BC1357">
        <v>100</v>
      </c>
      <c r="BD1357">
        <v>100</v>
      </c>
      <c r="BE1357">
        <v>1</v>
      </c>
      <c r="BF1357">
        <v>15000</v>
      </c>
      <c r="BG1357">
        <v>1000</v>
      </c>
      <c r="BH1357" s="6">
        <f>Grandview_Inventory[[#This Row],[land_extract]]*Lookups!$B$3</f>
        <v>55476.642243023998</v>
      </c>
      <c r="BI1357" s="6">
        <f>IF(Grandview_Inventory[[#This Row],[bldg_style]]="",0,Lookups!$B$2)</f>
        <v>155833.95000000001</v>
      </c>
      <c r="BJ1357" s="6">
        <f>_xlfn.IFNA(VLOOKUP(Grandview_Inventory[[#This Row],[quality]],Lookups!$H$2:$J$14,3,FALSE),0)</f>
        <v>10733</v>
      </c>
      <c r="BK1357" s="6">
        <f>_xlfn.IFNA(VLOOKUP(Grandview_Inventory[[#This Row],[condition]],Lookups!$H$17:$J$24,3,FALSE),0)</f>
        <v>-4503</v>
      </c>
      <c r="BL1357" s="6">
        <f>Grandview_Inventory[[#This Row],[Eff_Age]]*Lookups!$B$14</f>
        <v>-16263.328799999999</v>
      </c>
      <c r="BM1357" s="6">
        <f>Grandview_Inventory[[#This Row],[living_area]]*Lookups!$B$15</f>
        <v>81344.632312000002</v>
      </c>
      <c r="BN1357" s="6">
        <f>Grandview_Inventory[[#This Row],[Fin BSMT]]*Lookups!$B$16</f>
        <v>0</v>
      </c>
      <c r="BO1357" s="6">
        <f>(Grandview_Inventory[[#This Row],[att_gar]]+Grandview_Inventory[[#This Row],[bltin_gar]])*Lookups!$B$17</f>
        <v>0</v>
      </c>
      <c r="BP1357" s="6">
        <f>Grandview_Inventory[[#This Row],[Plumbing Fixtures]]*Lookups!$B$18</f>
        <v>16083.5344</v>
      </c>
      <c r="BQ1357" s="6">
        <f>Grandview_Inventory[[#This Row],[detatched_value]]*Lookups!$B$19</f>
        <v>0</v>
      </c>
      <c r="BR1357" s="6">
        <f>SUM(Grandview_Inventory[[#This Row],[Intercept]:[det_value]])*Grandview_Inventory[[#This Row],[res_pct]]</f>
        <v>243228.78791200003</v>
      </c>
      <c r="BS1357" s="6">
        <f>Grandview_Inventory[[#This Row],[land_value]]</f>
        <v>55476.642243023998</v>
      </c>
      <c r="BT1357" s="4">
        <f>_xlfn.IFNA(VLOOKUP(Grandview_Inventory[[#This Row],[quality]],Lookups!$A$26:$C$33,3,FALSE),1)</f>
        <v>0.98079741117310582</v>
      </c>
      <c r="BU1357" s="4">
        <f>_xlfn.IFNA(VLOOKUP(Grandview_Inventory[[#This Row],[condition]],Lookups!$A$37:$C$44,3,FALSE),1)</f>
        <v>0.96469275950863709</v>
      </c>
      <c r="BV1357" s="4">
        <f>IF(Grandview_Inventory[[#This Row],[bldg_style]]="",1,_xlfn.IFNA(VLOOKUP(Grandview_Inventory[[#This Row],[decade]],Lookups!$F$29:$H$43,3,FALSE),1))</f>
        <v>0.9251738460551937</v>
      </c>
      <c r="BW1357" s="4">
        <f>_xlfn.IFNA(VLOOKUP(Grandview_Inventory[[#This Row],[living_area_range]],Lookups!$F$47:$H$56,3,FALSE),1)</f>
        <v>0.96135087979789358</v>
      </c>
      <c r="BX1357" s="4">
        <f>AVERAGE(Grandview_Inventory[[#This Row],[qual_adj]:[size_adj]])</f>
        <v>0.9580037241337076</v>
      </c>
      <c r="BY1357" s="6">
        <f>IF(Grandview_Inventory[[#This Row],[pre_res]]&lt;0,0,Grandview_Inventory[[#This Row],[pre_res]]*Grandview_Inventory[[#This Row],[overall_adj]])</f>
        <v>233014.08463622374</v>
      </c>
      <c r="BZ1357" s="6">
        <f>(Grandview_Inventory[[#This Row],[sum_land]]-IF(Grandview_Inventory[[#This Row],[no_utilities]]=1,12000,0))/IF(Grandview_Inventory[[#This Row],[unbuildable]]=1,2,1)</f>
        <v>55476.642243023998</v>
      </c>
      <c r="CA1357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1357">
        <f>ROUND(Grandview_Inventory[[#This Row],[det_value]]*Lookups!$M$28,-2)</f>
        <v>0</v>
      </c>
      <c r="CC1357">
        <f>IF(ROUND(Grandview_Inventory[[#This Row],[adj_res]]*Lookups!$M$28,-2)&lt;Grandview_Inventory[[#This Row],[min_res]],Grandview_Inventory[[#This Row],[min_res]],ROUND(Grandview_Inventory[[#This Row],[adj_res]]*Lookups!$M$28,-2))</f>
        <v>221400</v>
      </c>
      <c r="CD1357">
        <f>Grandview_Inventory[[#This Row],[final_det]]+Grandview_Inventory[[#This Row],[final_res]]</f>
        <v>221400</v>
      </c>
      <c r="CE1357">
        <f>Grandview_Inventory[[#This Row],[final_land]]+Grandview_Inventory[[#This Row],[final_imp]]+Grandview_Inventory[[#This Row],[crop_value]]</f>
        <v>274100</v>
      </c>
      <c r="CG1357" t="str">
        <f t="shared" si="21"/>
        <v>update valuation set market_land =52700, market_bldg=221400, market_total =274100, market_mdno =401, market_date ='9/10/2023' where link_id = (select link_id from parcel where parcel_year = '2024' and parcel_id = '23092314472');</v>
      </c>
    </row>
    <row r="1358" spans="1:85" x14ac:dyDescent="0.25">
      <c r="A1358">
        <v>23092314473</v>
      </c>
      <c r="B1358">
        <v>0.28000000000000003</v>
      </c>
      <c r="C1358">
        <v>12306</v>
      </c>
      <c r="D1358" t="s">
        <v>129</v>
      </c>
      <c r="E1358" t="s">
        <v>53</v>
      </c>
      <c r="F1358" t="s">
        <v>53</v>
      </c>
      <c r="G1358">
        <v>4</v>
      </c>
      <c r="H1358" t="s">
        <v>54</v>
      </c>
      <c r="I1358">
        <v>178200</v>
      </c>
      <c r="J1358">
        <v>40700</v>
      </c>
      <c r="K1358">
        <v>0.28000000000000003</v>
      </c>
      <c r="L1358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358">
        <v>0</v>
      </c>
      <c r="N1358">
        <v>0</v>
      </c>
      <c r="O1358">
        <v>0</v>
      </c>
      <c r="P1358">
        <v>13398.7528</v>
      </c>
      <c r="Q1358">
        <v>63903</v>
      </c>
      <c r="R1358">
        <f>(Grandview_Inventory[[#This Row],[ln_acres]]*Grandview_Inventory[[#This Row],[coeff]])+Grandview_Inventory[[#This Row],[const]]</f>
        <v>46846.847586898184</v>
      </c>
      <c r="S1358" t="s">
        <v>68</v>
      </c>
      <c r="T1358">
        <v>1</v>
      </c>
      <c r="U1358" t="s">
        <v>65</v>
      </c>
      <c r="V1358" t="s">
        <v>67</v>
      </c>
      <c r="W1358">
        <v>0</v>
      </c>
      <c r="X1358">
        <v>0</v>
      </c>
      <c r="Y1358">
        <v>51</v>
      </c>
      <c r="Z1358">
        <v>78</v>
      </c>
      <c r="AA1358">
        <v>80</v>
      </c>
      <c r="AB1358">
        <v>2000</v>
      </c>
      <c r="AC1358">
        <v>1586</v>
      </c>
      <c r="AD1358">
        <v>1586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18</v>
      </c>
      <c r="AO1358">
        <v>0</v>
      </c>
      <c r="AP1358">
        <v>8</v>
      </c>
      <c r="AQ1358">
        <v>0</v>
      </c>
      <c r="AR1358">
        <v>0</v>
      </c>
      <c r="AS1358" t="s">
        <v>58</v>
      </c>
      <c r="AT1358">
        <v>1</v>
      </c>
      <c r="AU1358" t="s">
        <v>63</v>
      </c>
      <c r="AV1358" t="s">
        <v>60</v>
      </c>
      <c r="AW1358">
        <v>0</v>
      </c>
      <c r="AX1358">
        <v>3</v>
      </c>
      <c r="AY1358">
        <v>0</v>
      </c>
      <c r="AZ1358">
        <v>0</v>
      </c>
      <c r="BA1358">
        <v>100</v>
      </c>
      <c r="BB1358">
        <v>100</v>
      </c>
      <c r="BC1358">
        <v>100</v>
      </c>
      <c r="BD1358">
        <v>100</v>
      </c>
      <c r="BE1358">
        <v>1</v>
      </c>
      <c r="BF1358">
        <v>15000</v>
      </c>
      <c r="BG1358">
        <v>1000</v>
      </c>
      <c r="BH1358" s="6">
        <f>Grandview_Inventory[[#This Row],[land_extract]]*Lookups!$B$3</f>
        <v>54403.117616176372</v>
      </c>
      <c r="BI1358" s="6">
        <f>IF(Grandview_Inventory[[#This Row],[bldg_style]]="",0,Lookups!$B$2)</f>
        <v>155833.95000000001</v>
      </c>
      <c r="BJ1358" s="6">
        <f>_xlfn.IFNA(VLOOKUP(Grandview_Inventory[[#This Row],[quality]],Lookups!$H$2:$J$14,3,FALSE),0)</f>
        <v>2251</v>
      </c>
      <c r="BK1358" s="6">
        <f>_xlfn.IFNA(VLOOKUP(Grandview_Inventory[[#This Row],[condition]],Lookups!$H$17:$J$24,3,FALSE),0)</f>
        <v>22342</v>
      </c>
      <c r="BL1358" s="6">
        <f>Grandview_Inventory[[#This Row],[Eff_Age]]*Lookups!$B$14</f>
        <v>-12197.496599999999</v>
      </c>
      <c r="BM1358" s="6">
        <f>Grandview_Inventory[[#This Row],[living_area]]*Lookups!$B$15</f>
        <v>98936.032858000006</v>
      </c>
      <c r="BN1358" s="6">
        <f>Grandview_Inventory[[#This Row],[Fin BSMT]]*Lookups!$B$16</f>
        <v>0</v>
      </c>
      <c r="BO1358" s="6">
        <f>(Grandview_Inventory[[#This Row],[att_gar]]+Grandview_Inventory[[#This Row],[bltin_gar]])*Lookups!$B$17</f>
        <v>0</v>
      </c>
      <c r="BP1358" s="6">
        <f>Grandview_Inventory[[#This Row],[Plumbing Fixtures]]*Lookups!$B$18</f>
        <v>16083.5344</v>
      </c>
      <c r="BQ1358" s="6">
        <f>Grandview_Inventory[[#This Row],[detatched_value]]*Lookups!$B$19</f>
        <v>0</v>
      </c>
      <c r="BR1358" s="6">
        <f>SUM(Grandview_Inventory[[#This Row],[Intercept]:[det_value]])*Grandview_Inventory[[#This Row],[res_pct]]</f>
        <v>283249.02065800002</v>
      </c>
      <c r="BS1358" s="6">
        <f>Grandview_Inventory[[#This Row],[land_value]]</f>
        <v>54403.117616176372</v>
      </c>
      <c r="BT1358" s="4">
        <f>_xlfn.IFNA(VLOOKUP(Grandview_Inventory[[#This Row],[quality]],Lookups!$A$26:$C$33,3,FALSE),1)</f>
        <v>0.98763855981004833</v>
      </c>
      <c r="BU1358" s="4">
        <f>_xlfn.IFNA(VLOOKUP(Grandview_Inventory[[#This Row],[condition]],Lookups!$A$37:$C$44,3,FALSE),1)</f>
        <v>0.97383723671140243</v>
      </c>
      <c r="BV1358" s="4">
        <f>IF(Grandview_Inventory[[#This Row],[bldg_style]]="",1,_xlfn.IFNA(VLOOKUP(Grandview_Inventory[[#This Row],[decade]],Lookups!$F$29:$H$43,3,FALSE),1))</f>
        <v>0.98763256963907298</v>
      </c>
      <c r="BW1358" s="4">
        <f>_xlfn.IFNA(VLOOKUP(Grandview_Inventory[[#This Row],[living_area_range]],Lookups!$F$47:$H$56,3,FALSE),1)</f>
        <v>0.96120133463014379</v>
      </c>
      <c r="BX1358" s="4">
        <f>AVERAGE(Grandview_Inventory[[#This Row],[qual_adj]:[size_adj]])</f>
        <v>0.97757742519766677</v>
      </c>
      <c r="BY1358" s="6">
        <f>IF(Grandview_Inventory[[#This Row],[pre_res]]&lt;0,0,Grandview_Inventory[[#This Row],[pre_res]]*Grandview_Inventory[[#This Row],[overall_adj]])</f>
        <v>276897.84830460837</v>
      </c>
      <c r="BZ1358" s="6">
        <f>(Grandview_Inventory[[#This Row],[sum_land]]-IF(Grandview_Inventory[[#This Row],[no_utilities]]=1,12000,0))/IF(Grandview_Inventory[[#This Row],[unbuildable]]=1,2,1)</f>
        <v>54403.117616176372</v>
      </c>
      <c r="CA1358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358">
        <f>ROUND(Grandview_Inventory[[#This Row],[det_value]]*Lookups!$M$28,-2)</f>
        <v>0</v>
      </c>
      <c r="CC1358">
        <f>IF(ROUND(Grandview_Inventory[[#This Row],[adj_res]]*Lookups!$M$28,-2)&lt;Grandview_Inventory[[#This Row],[min_res]],Grandview_Inventory[[#This Row],[min_res]],ROUND(Grandview_Inventory[[#This Row],[adj_res]]*Lookups!$M$28,-2))</f>
        <v>263100</v>
      </c>
      <c r="CD1358">
        <f>Grandview_Inventory[[#This Row],[final_det]]+Grandview_Inventory[[#This Row],[final_res]]</f>
        <v>263100</v>
      </c>
      <c r="CE1358">
        <f>Grandview_Inventory[[#This Row],[final_land]]+Grandview_Inventory[[#This Row],[final_imp]]+Grandview_Inventory[[#This Row],[crop_value]]</f>
        <v>314800</v>
      </c>
      <c r="CG1358" t="str">
        <f t="shared" si="21"/>
        <v>update valuation set market_land =51700, market_bldg=263100, market_total =314800, market_mdno =401, market_date ='9/10/2023' where link_id = (select link_id from parcel where parcel_year = '2024' and parcel_id = '23092314473');</v>
      </c>
    </row>
    <row r="1359" spans="1:85" x14ac:dyDescent="0.25">
      <c r="A1359">
        <v>23092314474</v>
      </c>
      <c r="B1359">
        <v>0.25</v>
      </c>
      <c r="C1359">
        <v>10996</v>
      </c>
      <c r="D1359" t="s">
        <v>129</v>
      </c>
      <c r="E1359" t="s">
        <v>53</v>
      </c>
      <c r="F1359" t="s">
        <v>53</v>
      </c>
      <c r="G1359">
        <v>4</v>
      </c>
      <c r="H1359" t="s">
        <v>54</v>
      </c>
      <c r="I1359">
        <v>160100</v>
      </c>
      <c r="J1359">
        <v>40500</v>
      </c>
      <c r="K1359">
        <v>0.25</v>
      </c>
      <c r="L135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359">
        <v>0</v>
      </c>
      <c r="N1359">
        <v>0</v>
      </c>
      <c r="O1359">
        <v>0</v>
      </c>
      <c r="P1359">
        <v>13398.7528</v>
      </c>
      <c r="Q1359">
        <v>63903</v>
      </c>
      <c r="R1359">
        <f>(Grandview_Inventory[[#This Row],[ln_acres]]*Grandview_Inventory[[#This Row],[coeff]])+Grandview_Inventory[[#This Row],[const]]</f>
        <v>45328.38454732066</v>
      </c>
      <c r="S1359" t="s">
        <v>68</v>
      </c>
      <c r="T1359">
        <v>1</v>
      </c>
      <c r="U1359" t="s">
        <v>70</v>
      </c>
      <c r="V1359" t="s">
        <v>67</v>
      </c>
      <c r="W1359">
        <v>0</v>
      </c>
      <c r="X1359">
        <v>0</v>
      </c>
      <c r="Y1359">
        <v>51</v>
      </c>
      <c r="Z1359">
        <v>83</v>
      </c>
      <c r="AA1359">
        <v>90</v>
      </c>
      <c r="AB1359">
        <v>1500</v>
      </c>
      <c r="AC1359">
        <v>1006</v>
      </c>
      <c r="AD1359">
        <v>1006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100</v>
      </c>
      <c r="AM1359">
        <v>0</v>
      </c>
      <c r="AN1359">
        <v>0</v>
      </c>
      <c r="AO1359">
        <v>0</v>
      </c>
      <c r="AP1359">
        <v>5</v>
      </c>
      <c r="AQ1359">
        <v>0</v>
      </c>
      <c r="AR1359">
        <v>0</v>
      </c>
      <c r="AS1359" t="s">
        <v>58</v>
      </c>
      <c r="AT1359">
        <v>1</v>
      </c>
      <c r="AU1359" t="s">
        <v>75</v>
      </c>
      <c r="AV1359" t="s">
        <v>60</v>
      </c>
      <c r="AW1359">
        <v>0</v>
      </c>
      <c r="AX1359">
        <v>2</v>
      </c>
      <c r="AY1359">
        <v>0</v>
      </c>
      <c r="AZ1359">
        <v>6500</v>
      </c>
      <c r="BA1359">
        <v>100</v>
      </c>
      <c r="BB1359">
        <v>100</v>
      </c>
      <c r="BC1359">
        <v>100</v>
      </c>
      <c r="BD1359">
        <v>100</v>
      </c>
      <c r="BE1359">
        <v>1</v>
      </c>
      <c r="BF1359">
        <v>15000</v>
      </c>
      <c r="BG1359">
        <v>1000</v>
      </c>
      <c r="BH1359" s="6">
        <f>Grandview_Inventory[[#This Row],[land_extract]]*Lookups!$B$3</f>
        <v>52639.730588165206</v>
      </c>
      <c r="BI1359" s="6">
        <f>IF(Grandview_Inventory[[#This Row],[bldg_style]]="",0,Lookups!$B$2)</f>
        <v>155833.95000000001</v>
      </c>
      <c r="BJ1359" s="6">
        <f>_xlfn.IFNA(VLOOKUP(Grandview_Inventory[[#This Row],[quality]],Lookups!$H$2:$J$14,3,FALSE),0)</f>
        <v>10733</v>
      </c>
      <c r="BK1359" s="6">
        <f>_xlfn.IFNA(VLOOKUP(Grandview_Inventory[[#This Row],[condition]],Lookups!$H$17:$J$24,3,FALSE),0)</f>
        <v>22342</v>
      </c>
      <c r="BL1359" s="6">
        <f>Grandview_Inventory[[#This Row],[Eff_Age]]*Lookups!$B$14</f>
        <v>-12197.496599999999</v>
      </c>
      <c r="BM1359" s="6">
        <f>Grandview_Inventory[[#This Row],[living_area]]*Lookups!$B$15</f>
        <v>62755.138118000003</v>
      </c>
      <c r="BN1359" s="6">
        <f>Grandview_Inventory[[#This Row],[Fin BSMT]]*Lookups!$B$16</f>
        <v>0</v>
      </c>
      <c r="BO1359" s="6">
        <f>(Grandview_Inventory[[#This Row],[att_gar]]+Grandview_Inventory[[#This Row],[bltin_gar]])*Lookups!$B$17</f>
        <v>0</v>
      </c>
      <c r="BP1359" s="6">
        <f>Grandview_Inventory[[#This Row],[Plumbing Fixtures]]*Lookups!$B$18</f>
        <v>10052.209000000001</v>
      </c>
      <c r="BQ1359" s="6">
        <f>Grandview_Inventory[[#This Row],[detatched_value]]*Lookups!$B$19</f>
        <v>5504.23315</v>
      </c>
      <c r="BR1359" s="6">
        <f>SUM(Grandview_Inventory[[#This Row],[Intercept]:[det_value]])*Grandview_Inventory[[#This Row],[res_pct]]</f>
        <v>255023.03366800002</v>
      </c>
      <c r="BS1359" s="6">
        <f>Grandview_Inventory[[#This Row],[land_value]]</f>
        <v>52639.730588165206</v>
      </c>
      <c r="BT1359" s="4">
        <f>_xlfn.IFNA(VLOOKUP(Grandview_Inventory[[#This Row],[quality]],Lookups!$A$26:$C$33,3,FALSE),1)</f>
        <v>0.98079741117310582</v>
      </c>
      <c r="BU1359" s="4">
        <f>_xlfn.IFNA(VLOOKUP(Grandview_Inventory[[#This Row],[condition]],Lookups!$A$37:$C$44,3,FALSE),1)</f>
        <v>0.97383723671140243</v>
      </c>
      <c r="BV1359" s="4">
        <f>IF(Grandview_Inventory[[#This Row],[bldg_style]]="",1,_xlfn.IFNA(VLOOKUP(Grandview_Inventory[[#This Row],[decade]],Lookups!$F$29:$H$43,3,FALSE),1))</f>
        <v>0.94161750052457416</v>
      </c>
      <c r="BW1359" s="4">
        <f>_xlfn.IFNA(VLOOKUP(Grandview_Inventory[[#This Row],[living_area_range]],Lookups!$F$47:$H$56,3,FALSE),1)</f>
        <v>0.96135087979789358</v>
      </c>
      <c r="BX1359" s="4">
        <f>AVERAGE(Grandview_Inventory[[#This Row],[qual_adj]:[size_adj]])</f>
        <v>0.964400757051744</v>
      </c>
      <c r="BY1359" s="6">
        <f>IF(Grandview_Inventory[[#This Row],[pre_res]]&lt;0,0,Grandview_Inventory[[#This Row],[pre_res]]*Grandview_Inventory[[#This Row],[overall_adj]])</f>
        <v>245944.40673505163</v>
      </c>
      <c r="BZ1359" s="6">
        <f>(Grandview_Inventory[[#This Row],[sum_land]]-IF(Grandview_Inventory[[#This Row],[no_utilities]]=1,12000,0))/IF(Grandview_Inventory[[#This Row],[unbuildable]]=1,2,1)</f>
        <v>52639.730588165206</v>
      </c>
      <c r="CA135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359">
        <f>ROUND(Grandview_Inventory[[#This Row],[det_value]]*Lookups!$M$28,-2)</f>
        <v>5200</v>
      </c>
      <c r="CC1359">
        <f>IF(ROUND(Grandview_Inventory[[#This Row],[adj_res]]*Lookups!$M$28,-2)&lt;Grandview_Inventory[[#This Row],[min_res]],Grandview_Inventory[[#This Row],[min_res]],ROUND(Grandview_Inventory[[#This Row],[adj_res]]*Lookups!$M$28,-2))</f>
        <v>233600</v>
      </c>
      <c r="CD1359">
        <f>Grandview_Inventory[[#This Row],[final_det]]+Grandview_Inventory[[#This Row],[final_res]]</f>
        <v>238800</v>
      </c>
      <c r="CE1359">
        <f>Grandview_Inventory[[#This Row],[final_land]]+Grandview_Inventory[[#This Row],[final_imp]]+Grandview_Inventory[[#This Row],[crop_value]]</f>
        <v>288800</v>
      </c>
      <c r="CG1359" t="str">
        <f t="shared" si="21"/>
        <v>update valuation set market_land =50000, market_bldg=238800, market_total =288800, market_mdno =401, market_date ='9/10/2023' where link_id = (select link_id from parcel where parcel_year = '2024' and parcel_id = '23092314474');</v>
      </c>
    </row>
    <row r="1360" spans="1:85" x14ac:dyDescent="0.25">
      <c r="A1360">
        <v>23092314475</v>
      </c>
      <c r="B1360">
        <v>0.23</v>
      </c>
      <c r="C1360">
        <v>10000</v>
      </c>
      <c r="D1360" t="s">
        <v>129</v>
      </c>
      <c r="E1360" t="s">
        <v>53</v>
      </c>
      <c r="F1360" t="s">
        <v>53</v>
      </c>
      <c r="G1360">
        <v>4</v>
      </c>
      <c r="H1360" t="s">
        <v>54</v>
      </c>
      <c r="I1360">
        <v>135800</v>
      </c>
      <c r="J1360">
        <v>40000</v>
      </c>
      <c r="K1360">
        <v>0.23</v>
      </c>
      <c r="L136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360">
        <v>0</v>
      </c>
      <c r="N1360">
        <v>0</v>
      </c>
      <c r="O1360">
        <v>0</v>
      </c>
      <c r="P1360">
        <v>13398.7528</v>
      </c>
      <c r="Q1360">
        <v>63903</v>
      </c>
      <c r="R1360">
        <f>(Grandview_Inventory[[#This Row],[ln_acres]]*Grandview_Inventory[[#This Row],[coeff]])+Grandview_Inventory[[#This Row],[const]]</f>
        <v>44211.174981080039</v>
      </c>
      <c r="S1360" t="s">
        <v>68</v>
      </c>
      <c r="T1360">
        <v>1</v>
      </c>
      <c r="U1360" t="s">
        <v>70</v>
      </c>
      <c r="V1360" t="s">
        <v>69</v>
      </c>
      <c r="W1360">
        <v>0</v>
      </c>
      <c r="X1360">
        <v>0</v>
      </c>
      <c r="Y1360">
        <v>51</v>
      </c>
      <c r="Z1360">
        <v>78</v>
      </c>
      <c r="AA1360">
        <v>80</v>
      </c>
      <c r="AB1360">
        <v>1500</v>
      </c>
      <c r="AC1360">
        <v>1339</v>
      </c>
      <c r="AD1360">
        <v>1039</v>
      </c>
      <c r="AE1360">
        <v>0</v>
      </c>
      <c r="AF1360">
        <v>0</v>
      </c>
      <c r="AG1360">
        <v>300</v>
      </c>
      <c r="AH1360">
        <v>610</v>
      </c>
      <c r="AI1360">
        <v>0</v>
      </c>
      <c r="AJ1360">
        <v>0</v>
      </c>
      <c r="AK1360">
        <v>0</v>
      </c>
      <c r="AL1360">
        <v>0</v>
      </c>
      <c r="AM1360">
        <v>153</v>
      </c>
      <c r="AN1360">
        <v>16</v>
      </c>
      <c r="AO1360">
        <v>153</v>
      </c>
      <c r="AP1360">
        <v>5</v>
      </c>
      <c r="AQ1360">
        <v>0</v>
      </c>
      <c r="AR1360">
        <v>0</v>
      </c>
      <c r="AS1360" t="s">
        <v>58</v>
      </c>
      <c r="AT1360">
        <v>1</v>
      </c>
      <c r="AU1360" t="s">
        <v>63</v>
      </c>
      <c r="AV1360" t="s">
        <v>60</v>
      </c>
      <c r="AW1360">
        <v>0</v>
      </c>
      <c r="AX1360">
        <v>2</v>
      </c>
      <c r="AY1360">
        <v>0</v>
      </c>
      <c r="AZ1360">
        <v>6500</v>
      </c>
      <c r="BA1360">
        <v>100</v>
      </c>
      <c r="BB1360">
        <v>100</v>
      </c>
      <c r="BC1360">
        <v>100</v>
      </c>
      <c r="BD1360">
        <v>100</v>
      </c>
      <c r="BE1360">
        <v>1</v>
      </c>
      <c r="BF1360">
        <v>15000</v>
      </c>
      <c r="BG1360">
        <v>1000</v>
      </c>
      <c r="BH1360" s="6">
        <f>Grandview_Inventory[[#This Row],[land_extract]]*Lookups!$B$3</f>
        <v>51342.318135355803</v>
      </c>
      <c r="BI1360" s="6">
        <f>IF(Grandview_Inventory[[#This Row],[bldg_style]]="",0,Lookups!$B$2)</f>
        <v>155833.95000000001</v>
      </c>
      <c r="BJ1360" s="6">
        <f>_xlfn.IFNA(VLOOKUP(Grandview_Inventory[[#This Row],[quality]],Lookups!$H$2:$J$14,3,FALSE),0)</f>
        <v>10733</v>
      </c>
      <c r="BK1360" s="6">
        <f>_xlfn.IFNA(VLOOKUP(Grandview_Inventory[[#This Row],[condition]],Lookups!$H$17:$J$24,3,FALSE),0)</f>
        <v>-4503</v>
      </c>
      <c r="BL1360" s="6">
        <f>Grandview_Inventory[[#This Row],[Eff_Age]]*Lookups!$B$14</f>
        <v>-12197.496599999999</v>
      </c>
      <c r="BM1360" s="6">
        <f>Grandview_Inventory[[#This Row],[living_area]]*Lookups!$B$15</f>
        <v>83527.962167000005</v>
      </c>
      <c r="BN1360" s="6">
        <f>Grandview_Inventory[[#This Row],[Fin BSMT]]*Lookups!$B$16</f>
        <v>-8129.7720000000008</v>
      </c>
      <c r="BO1360" s="6">
        <f>(Grandview_Inventory[[#This Row],[att_gar]]+Grandview_Inventory[[#This Row],[bltin_gar]])*Lookups!$B$17</f>
        <v>0</v>
      </c>
      <c r="BP1360" s="6">
        <f>Grandview_Inventory[[#This Row],[Plumbing Fixtures]]*Lookups!$B$18</f>
        <v>10052.209000000001</v>
      </c>
      <c r="BQ1360" s="6">
        <f>Grandview_Inventory[[#This Row],[detatched_value]]*Lookups!$B$19</f>
        <v>5504.23315</v>
      </c>
      <c r="BR1360" s="6">
        <f>SUM(Grandview_Inventory[[#This Row],[Intercept]:[det_value]])*Grandview_Inventory[[#This Row],[res_pct]]</f>
        <v>240821.08571700001</v>
      </c>
      <c r="BS1360" s="6">
        <f>Grandview_Inventory[[#This Row],[land_value]]</f>
        <v>51342.318135355803</v>
      </c>
      <c r="BT1360" s="4">
        <f>_xlfn.IFNA(VLOOKUP(Grandview_Inventory[[#This Row],[quality]],Lookups!$A$26:$C$33,3,FALSE),1)</f>
        <v>0.98079741117310582</v>
      </c>
      <c r="BU1360" s="4">
        <f>_xlfn.IFNA(VLOOKUP(Grandview_Inventory[[#This Row],[condition]],Lookups!$A$37:$C$44,3,FALSE),1)</f>
        <v>0.96469275950863709</v>
      </c>
      <c r="BV1360" s="4">
        <f>IF(Grandview_Inventory[[#This Row],[bldg_style]]="",1,_xlfn.IFNA(VLOOKUP(Grandview_Inventory[[#This Row],[decade]],Lookups!$F$29:$H$43,3,FALSE),1))</f>
        <v>0.98763256963907298</v>
      </c>
      <c r="BW1360" s="4">
        <f>_xlfn.IFNA(VLOOKUP(Grandview_Inventory[[#This Row],[living_area_range]],Lookups!$F$47:$H$56,3,FALSE),1)</f>
        <v>0.96135087979789358</v>
      </c>
      <c r="BX1360" s="4">
        <f>AVERAGE(Grandview_Inventory[[#This Row],[qual_adj]:[size_adj]])</f>
        <v>0.97361840502967734</v>
      </c>
      <c r="BY1360" s="6">
        <f>IF(Grandview_Inventory[[#This Row],[pre_res]]&lt;0,0,Grandview_Inventory[[#This Row],[pre_res]]*Grandview_Inventory[[#This Row],[overall_adj]])</f>
        <v>234467.84137330076</v>
      </c>
      <c r="BZ1360" s="6">
        <f>(Grandview_Inventory[[#This Row],[sum_land]]-IF(Grandview_Inventory[[#This Row],[no_utilities]]=1,12000,0))/IF(Grandview_Inventory[[#This Row],[unbuildable]]=1,2,1)</f>
        <v>51342.318135355803</v>
      </c>
      <c r="CA136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360">
        <f>ROUND(Grandview_Inventory[[#This Row],[det_value]]*Lookups!$M$28,-2)</f>
        <v>5200</v>
      </c>
      <c r="CC1360">
        <f>IF(ROUND(Grandview_Inventory[[#This Row],[adj_res]]*Lookups!$M$28,-2)&lt;Grandview_Inventory[[#This Row],[min_res]],Grandview_Inventory[[#This Row],[min_res]],ROUND(Grandview_Inventory[[#This Row],[adj_res]]*Lookups!$M$28,-2))</f>
        <v>222700</v>
      </c>
      <c r="CD1360">
        <f>Grandview_Inventory[[#This Row],[final_det]]+Grandview_Inventory[[#This Row],[final_res]]</f>
        <v>227900</v>
      </c>
      <c r="CE1360">
        <f>Grandview_Inventory[[#This Row],[final_land]]+Grandview_Inventory[[#This Row],[final_imp]]+Grandview_Inventory[[#This Row],[crop_value]]</f>
        <v>276700</v>
      </c>
      <c r="CG1360" t="str">
        <f t="shared" si="21"/>
        <v>update valuation set market_land =48800, market_bldg=227900, market_total =276700, market_mdno =401, market_date ='9/10/2023' where link_id = (select link_id from parcel where parcel_year = '2024' and parcel_id = '23092314475');</v>
      </c>
    </row>
    <row r="1361" spans="1:85" x14ac:dyDescent="0.25">
      <c r="A1361">
        <v>23092314476</v>
      </c>
      <c r="B1361">
        <v>0.25</v>
      </c>
      <c r="C1361">
        <v>10761</v>
      </c>
      <c r="D1361" t="s">
        <v>129</v>
      </c>
      <c r="E1361" t="s">
        <v>53</v>
      </c>
      <c r="F1361" t="s">
        <v>53</v>
      </c>
      <c r="G1361">
        <v>4</v>
      </c>
      <c r="H1361" t="s">
        <v>54</v>
      </c>
      <c r="I1361">
        <v>147700</v>
      </c>
      <c r="J1361">
        <v>40500</v>
      </c>
      <c r="K1361">
        <v>0.25</v>
      </c>
      <c r="L136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361">
        <v>0</v>
      </c>
      <c r="N1361">
        <v>0</v>
      </c>
      <c r="O1361">
        <v>0</v>
      </c>
      <c r="P1361">
        <v>13398.7528</v>
      </c>
      <c r="Q1361">
        <v>63903</v>
      </c>
      <c r="R1361">
        <f>(Grandview_Inventory[[#This Row],[ln_acres]]*Grandview_Inventory[[#This Row],[coeff]])+Grandview_Inventory[[#This Row],[const]]</f>
        <v>45328.38454732066</v>
      </c>
      <c r="S1361" t="s">
        <v>68</v>
      </c>
      <c r="T1361">
        <v>1</v>
      </c>
      <c r="U1361" t="s">
        <v>80</v>
      </c>
      <c r="V1361" t="s">
        <v>69</v>
      </c>
      <c r="W1361">
        <v>0</v>
      </c>
      <c r="X1361">
        <v>0</v>
      </c>
      <c r="Y1361">
        <v>51</v>
      </c>
      <c r="Z1361">
        <v>78</v>
      </c>
      <c r="AA1361">
        <v>80</v>
      </c>
      <c r="AB1361">
        <v>1500</v>
      </c>
      <c r="AC1361">
        <v>1006</v>
      </c>
      <c r="AD1361">
        <v>1006</v>
      </c>
      <c r="AE1361">
        <v>0</v>
      </c>
      <c r="AF1361">
        <v>0</v>
      </c>
      <c r="AG1361">
        <v>0</v>
      </c>
      <c r="AH1361">
        <v>1006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45</v>
      </c>
      <c r="AO1361">
        <v>0</v>
      </c>
      <c r="AP1361">
        <v>5</v>
      </c>
      <c r="AQ1361">
        <v>1</v>
      </c>
      <c r="AR1361">
        <v>0</v>
      </c>
      <c r="AS1361" t="s">
        <v>58</v>
      </c>
      <c r="AT1361">
        <v>0</v>
      </c>
      <c r="AU1361" t="s">
        <v>134</v>
      </c>
      <c r="AV1361" t="s">
        <v>135</v>
      </c>
      <c r="AW1361">
        <v>0</v>
      </c>
      <c r="AX1361">
        <v>2</v>
      </c>
      <c r="AY1361">
        <v>0</v>
      </c>
      <c r="AZ1361">
        <v>23600</v>
      </c>
      <c r="BA1361">
        <v>100</v>
      </c>
      <c r="BB1361">
        <v>100</v>
      </c>
      <c r="BC1361">
        <v>100</v>
      </c>
      <c r="BD1361">
        <v>100</v>
      </c>
      <c r="BE1361">
        <v>1</v>
      </c>
      <c r="BF1361">
        <v>15000</v>
      </c>
      <c r="BG1361">
        <v>1000</v>
      </c>
      <c r="BH1361" s="6">
        <f>Grandview_Inventory[[#This Row],[land_extract]]*Lookups!$B$3</f>
        <v>52639.730588165206</v>
      </c>
      <c r="BI1361" s="6">
        <f>IF(Grandview_Inventory[[#This Row],[bldg_style]]="",0,Lookups!$B$2)</f>
        <v>155833.95000000001</v>
      </c>
      <c r="BJ1361" s="6">
        <f>_xlfn.IFNA(VLOOKUP(Grandview_Inventory[[#This Row],[quality]],Lookups!$H$2:$J$14,3,FALSE),0)</f>
        <v>-28558</v>
      </c>
      <c r="BK1361" s="6">
        <f>_xlfn.IFNA(VLOOKUP(Grandview_Inventory[[#This Row],[condition]],Lookups!$H$17:$J$24,3,FALSE),0)</f>
        <v>-4503</v>
      </c>
      <c r="BL1361" s="6">
        <f>Grandview_Inventory[[#This Row],[Eff_Age]]*Lookups!$B$14</f>
        <v>-12197.496599999999</v>
      </c>
      <c r="BM1361" s="6">
        <f>Grandview_Inventory[[#This Row],[living_area]]*Lookups!$B$15</f>
        <v>62755.138118000003</v>
      </c>
      <c r="BN1361" s="6">
        <f>Grandview_Inventory[[#This Row],[Fin BSMT]]*Lookups!$B$16</f>
        <v>0</v>
      </c>
      <c r="BO1361" s="6">
        <f>(Grandview_Inventory[[#This Row],[att_gar]]+Grandview_Inventory[[#This Row],[bltin_gar]])*Lookups!$B$17</f>
        <v>0</v>
      </c>
      <c r="BP1361" s="6">
        <f>Grandview_Inventory[[#This Row],[Plumbing Fixtures]]*Lookups!$B$18</f>
        <v>10052.209000000001</v>
      </c>
      <c r="BQ1361" s="6">
        <f>Grandview_Inventory[[#This Row],[detatched_value]]*Lookups!$B$19</f>
        <v>19984.60036</v>
      </c>
      <c r="BR1361" s="6">
        <f>SUM(Grandview_Inventory[[#This Row],[Intercept]:[det_value]])*Grandview_Inventory[[#This Row],[res_pct]]</f>
        <v>203367.40087800001</v>
      </c>
      <c r="BS1361" s="6">
        <f>Grandview_Inventory[[#This Row],[land_value]]</f>
        <v>52639.730588165206</v>
      </c>
      <c r="BT1361" s="4">
        <f>_xlfn.IFNA(VLOOKUP(Grandview_Inventory[[#This Row],[quality]],Lookups!$A$26:$C$33,3,FALSE),1)</f>
        <v>0.9690360070159818</v>
      </c>
      <c r="BU1361" s="4">
        <f>_xlfn.IFNA(VLOOKUP(Grandview_Inventory[[#This Row],[condition]],Lookups!$A$37:$C$44,3,FALSE),1)</f>
        <v>0.96469275950863709</v>
      </c>
      <c r="BV1361" s="4">
        <f>IF(Grandview_Inventory[[#This Row],[bldg_style]]="",1,_xlfn.IFNA(VLOOKUP(Grandview_Inventory[[#This Row],[decade]],Lookups!$F$29:$H$43,3,FALSE),1))</f>
        <v>0.98763256963907298</v>
      </c>
      <c r="BW1361" s="4">
        <f>_xlfn.IFNA(VLOOKUP(Grandview_Inventory[[#This Row],[living_area_range]],Lookups!$F$47:$H$56,3,FALSE),1)</f>
        <v>0.96135087979789358</v>
      </c>
      <c r="BX1361" s="4">
        <f>AVERAGE(Grandview_Inventory[[#This Row],[qual_adj]:[size_adj]])</f>
        <v>0.97067805399039631</v>
      </c>
      <c r="BY1361" s="6">
        <f>IF(Grandview_Inventory[[#This Row],[pre_res]]&lt;0,0,Grandview_Inventory[[#This Row],[pre_res]]*Grandview_Inventory[[#This Row],[overall_adj]])</f>
        <v>197404.27292934188</v>
      </c>
      <c r="BZ1361" s="6">
        <f>(Grandview_Inventory[[#This Row],[sum_land]]-IF(Grandview_Inventory[[#This Row],[no_utilities]]=1,12000,0))/IF(Grandview_Inventory[[#This Row],[unbuildable]]=1,2,1)</f>
        <v>52639.730588165206</v>
      </c>
      <c r="CA136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361">
        <f>ROUND(Grandview_Inventory[[#This Row],[det_value]]*Lookups!$M$28,-2)</f>
        <v>19000</v>
      </c>
      <c r="CC1361">
        <f>IF(ROUND(Grandview_Inventory[[#This Row],[adj_res]]*Lookups!$M$28,-2)&lt;Grandview_Inventory[[#This Row],[min_res]],Grandview_Inventory[[#This Row],[min_res]],ROUND(Grandview_Inventory[[#This Row],[adj_res]]*Lookups!$M$28,-2))</f>
        <v>187500</v>
      </c>
      <c r="CD1361">
        <f>Grandview_Inventory[[#This Row],[final_det]]+Grandview_Inventory[[#This Row],[final_res]]</f>
        <v>206500</v>
      </c>
      <c r="CE1361">
        <f>Grandview_Inventory[[#This Row],[final_land]]+Grandview_Inventory[[#This Row],[final_imp]]+Grandview_Inventory[[#This Row],[crop_value]]</f>
        <v>256500</v>
      </c>
      <c r="CG1361" t="str">
        <f t="shared" si="21"/>
        <v>update valuation set market_land =50000, market_bldg=206500, market_total =256500, market_mdno =401, market_date ='9/10/2023' where link_id = (select link_id from parcel where parcel_year = '2024' and parcel_id = '23092314476');</v>
      </c>
    </row>
    <row r="1362" spans="1:85" x14ac:dyDescent="0.25">
      <c r="A1362">
        <v>23092314480</v>
      </c>
      <c r="B1362">
        <v>0.16</v>
      </c>
      <c r="C1362">
        <v>7134</v>
      </c>
      <c r="D1362" t="s">
        <v>129</v>
      </c>
      <c r="E1362" t="s">
        <v>53</v>
      </c>
      <c r="F1362" t="s">
        <v>53</v>
      </c>
      <c r="G1362">
        <v>4</v>
      </c>
      <c r="H1362" t="s">
        <v>54</v>
      </c>
      <c r="I1362">
        <v>142400</v>
      </c>
      <c r="J1362">
        <v>39100</v>
      </c>
      <c r="K1362">
        <v>0.16</v>
      </c>
      <c r="L136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62">
        <v>0</v>
      </c>
      <c r="N1362">
        <v>0</v>
      </c>
      <c r="O1362">
        <v>0</v>
      </c>
      <c r="P1362">
        <v>13398.7528</v>
      </c>
      <c r="Q1362">
        <v>63903</v>
      </c>
      <c r="R1362">
        <f>(Grandview_Inventory[[#This Row],[ln_acres]]*Grandview_Inventory[[#This Row],[coeff]])+Grandview_Inventory[[#This Row],[const]]</f>
        <v>39348.693981374228</v>
      </c>
      <c r="S1362" t="s">
        <v>55</v>
      </c>
      <c r="T1362">
        <v>2</v>
      </c>
      <c r="U1362" t="s">
        <v>65</v>
      </c>
      <c r="V1362" t="s">
        <v>69</v>
      </c>
      <c r="W1362">
        <v>0</v>
      </c>
      <c r="X1362">
        <v>0</v>
      </c>
      <c r="Y1362">
        <v>57</v>
      </c>
      <c r="Z1362">
        <v>103</v>
      </c>
      <c r="AA1362">
        <v>110</v>
      </c>
      <c r="AB1362">
        <v>1500</v>
      </c>
      <c r="AC1362">
        <v>1400</v>
      </c>
      <c r="AD1362">
        <v>840</v>
      </c>
      <c r="AE1362">
        <v>560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168</v>
      </c>
      <c r="AO1362">
        <v>0</v>
      </c>
      <c r="AP1362">
        <v>8</v>
      </c>
      <c r="AQ1362">
        <v>0</v>
      </c>
      <c r="AR1362">
        <v>0</v>
      </c>
      <c r="AS1362" t="s">
        <v>58</v>
      </c>
      <c r="AT1362">
        <v>1</v>
      </c>
      <c r="AU1362" t="s">
        <v>63</v>
      </c>
      <c r="AV1362" t="s">
        <v>64</v>
      </c>
      <c r="AW1362">
        <v>0</v>
      </c>
      <c r="AX1362">
        <v>4</v>
      </c>
      <c r="AY1362">
        <v>0</v>
      </c>
      <c r="AZ1362">
        <v>0</v>
      </c>
      <c r="BA1362">
        <v>100</v>
      </c>
      <c r="BB1362">
        <v>100</v>
      </c>
      <c r="BC1362">
        <v>100</v>
      </c>
      <c r="BD1362">
        <v>100</v>
      </c>
      <c r="BE1362">
        <v>1</v>
      </c>
      <c r="BF1362">
        <v>15000</v>
      </c>
      <c r="BG1362">
        <v>1000</v>
      </c>
      <c r="BH1362" s="6">
        <f>Grandview_Inventory[[#This Row],[land_extract]]*Lookups!$B$3</f>
        <v>45695.532079096141</v>
      </c>
      <c r="BI1362" s="6">
        <f>IF(Grandview_Inventory[[#This Row],[bldg_style]]="",0,Lookups!$B$2)</f>
        <v>155833.95000000001</v>
      </c>
      <c r="BJ1362" s="6">
        <f>_xlfn.IFNA(VLOOKUP(Grandview_Inventory[[#This Row],[quality]],Lookups!$H$2:$J$14,3,FALSE),0)</f>
        <v>2251</v>
      </c>
      <c r="BK1362" s="6">
        <f>_xlfn.IFNA(VLOOKUP(Grandview_Inventory[[#This Row],[condition]],Lookups!$H$17:$J$24,3,FALSE),0)</f>
        <v>-4503</v>
      </c>
      <c r="BL1362" s="6">
        <f>Grandview_Inventory[[#This Row],[Eff_Age]]*Lookups!$B$14</f>
        <v>-13632.4962</v>
      </c>
      <c r="BM1362" s="6">
        <f>Grandview_Inventory[[#This Row],[living_area]]*Lookups!$B$15</f>
        <v>87333.194199999998</v>
      </c>
      <c r="BN1362" s="6">
        <f>Grandview_Inventory[[#This Row],[Fin BSMT]]*Lookups!$B$16</f>
        <v>0</v>
      </c>
      <c r="BO1362" s="6">
        <f>(Grandview_Inventory[[#This Row],[att_gar]]+Grandview_Inventory[[#This Row],[bltin_gar]])*Lookups!$B$17</f>
        <v>0</v>
      </c>
      <c r="BP1362" s="6">
        <f>Grandview_Inventory[[#This Row],[Plumbing Fixtures]]*Lookups!$B$18</f>
        <v>16083.5344</v>
      </c>
      <c r="BQ1362" s="6">
        <f>Grandview_Inventory[[#This Row],[detatched_value]]*Lookups!$B$19</f>
        <v>0</v>
      </c>
      <c r="BR1362" s="6">
        <f>SUM(Grandview_Inventory[[#This Row],[Intercept]:[det_value]])*Grandview_Inventory[[#This Row],[res_pct]]</f>
        <v>243366.18240000002</v>
      </c>
      <c r="BS1362" s="6">
        <f>Grandview_Inventory[[#This Row],[land_value]]</f>
        <v>45695.532079096141</v>
      </c>
      <c r="BT1362" s="4">
        <f>_xlfn.IFNA(VLOOKUP(Grandview_Inventory[[#This Row],[quality]],Lookups!$A$26:$C$33,3,FALSE),1)</f>
        <v>0.98763855981004833</v>
      </c>
      <c r="BU1362" s="4">
        <f>_xlfn.IFNA(VLOOKUP(Grandview_Inventory[[#This Row],[condition]],Lookups!$A$37:$C$44,3,FALSE),1)</f>
        <v>0.96469275950863709</v>
      </c>
      <c r="BV1362" s="4">
        <f>IF(Grandview_Inventory[[#This Row],[bldg_style]]="",1,_xlfn.IFNA(VLOOKUP(Grandview_Inventory[[#This Row],[decade]],Lookups!$F$29:$H$43,3,FALSE),1))</f>
        <v>0.92255236374249616</v>
      </c>
      <c r="BW1362" s="4">
        <f>_xlfn.IFNA(VLOOKUP(Grandview_Inventory[[#This Row],[living_area_range]],Lookups!$F$47:$H$56,3,FALSE),1)</f>
        <v>0.96135087979789358</v>
      </c>
      <c r="BX1362" s="4">
        <f>AVERAGE(Grandview_Inventory[[#This Row],[qual_adj]:[size_adj]])</f>
        <v>0.95905864071476876</v>
      </c>
      <c r="BY1362" s="6">
        <f>IF(Grandview_Inventory[[#This Row],[pre_res]]&lt;0,0,Grandview_Inventory[[#This Row],[pre_res]]*Grandview_Inventory[[#This Row],[overall_adj]])</f>
        <v>233402.4400884865</v>
      </c>
      <c r="BZ1362" s="6">
        <f>(Grandview_Inventory[[#This Row],[sum_land]]-IF(Grandview_Inventory[[#This Row],[no_utilities]]=1,12000,0))/IF(Grandview_Inventory[[#This Row],[unbuildable]]=1,2,1)</f>
        <v>45695.532079096141</v>
      </c>
      <c r="CA136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62">
        <f>ROUND(Grandview_Inventory[[#This Row],[det_value]]*Lookups!$M$28,-2)</f>
        <v>0</v>
      </c>
      <c r="CC1362">
        <f>IF(ROUND(Grandview_Inventory[[#This Row],[adj_res]]*Lookups!$M$28,-2)&lt;Grandview_Inventory[[#This Row],[min_res]],Grandview_Inventory[[#This Row],[min_res]],ROUND(Grandview_Inventory[[#This Row],[adj_res]]*Lookups!$M$28,-2))</f>
        <v>221700</v>
      </c>
      <c r="CD1362">
        <f>Grandview_Inventory[[#This Row],[final_det]]+Grandview_Inventory[[#This Row],[final_res]]</f>
        <v>221700</v>
      </c>
      <c r="CE1362">
        <f>Grandview_Inventory[[#This Row],[final_land]]+Grandview_Inventory[[#This Row],[final_imp]]+Grandview_Inventory[[#This Row],[crop_value]]</f>
        <v>265100</v>
      </c>
      <c r="CG1362" t="str">
        <f t="shared" si="21"/>
        <v>update valuation set market_land =43400, market_bldg=221700, market_total =265100, market_mdno =401, market_date ='9/10/2023' where link_id = (select link_id from parcel where parcel_year = '2024' and parcel_id = '23092314480');</v>
      </c>
    </row>
    <row r="1363" spans="1:85" x14ac:dyDescent="0.25">
      <c r="A1363">
        <v>23092314481</v>
      </c>
      <c r="B1363">
        <v>0.12</v>
      </c>
      <c r="C1363">
        <v>5124</v>
      </c>
      <c r="D1363" t="s">
        <v>129</v>
      </c>
      <c r="E1363" t="s">
        <v>53</v>
      </c>
      <c r="F1363" t="s">
        <v>53</v>
      </c>
      <c r="G1363">
        <v>4</v>
      </c>
      <c r="H1363" t="s">
        <v>54</v>
      </c>
      <c r="I1363">
        <v>133900</v>
      </c>
      <c r="J1363">
        <v>38300</v>
      </c>
      <c r="K1363">
        <v>0.12</v>
      </c>
      <c r="L1363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363">
        <v>0</v>
      </c>
      <c r="N1363">
        <v>0</v>
      </c>
      <c r="O1363">
        <v>0</v>
      </c>
      <c r="P1363">
        <v>13398.7528</v>
      </c>
      <c r="Q1363">
        <v>63903</v>
      </c>
      <c r="R1363">
        <f>(Grandview_Inventory[[#This Row],[ln_acres]]*Grandview_Inventory[[#This Row],[coeff]])+Grandview_Inventory[[#This Row],[const]]</f>
        <v>35494.113007601132</v>
      </c>
      <c r="S1363" t="s">
        <v>61</v>
      </c>
      <c r="T1363">
        <v>1</v>
      </c>
      <c r="U1363" t="s">
        <v>70</v>
      </c>
      <c r="V1363" t="s">
        <v>69</v>
      </c>
      <c r="W1363">
        <v>0</v>
      </c>
      <c r="X1363">
        <v>0</v>
      </c>
      <c r="Y1363">
        <v>46</v>
      </c>
      <c r="Z1363">
        <v>55</v>
      </c>
      <c r="AA1363">
        <v>60</v>
      </c>
      <c r="AB1363">
        <v>1500</v>
      </c>
      <c r="AC1363">
        <v>1128</v>
      </c>
      <c r="AD1363">
        <v>1128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24</v>
      </c>
      <c r="AO1363">
        <v>0</v>
      </c>
      <c r="AP1363">
        <v>5</v>
      </c>
      <c r="AQ1363">
        <v>0</v>
      </c>
      <c r="AR1363">
        <v>0</v>
      </c>
      <c r="AS1363" t="s">
        <v>58</v>
      </c>
      <c r="AT1363">
        <v>1</v>
      </c>
      <c r="AU1363" t="s">
        <v>75</v>
      </c>
      <c r="AV1363" t="s">
        <v>60</v>
      </c>
      <c r="AW1363">
        <v>0</v>
      </c>
      <c r="AX1363">
        <v>3</v>
      </c>
      <c r="AY1363">
        <v>0</v>
      </c>
      <c r="AZ1363">
        <v>0</v>
      </c>
      <c r="BA1363">
        <v>100</v>
      </c>
      <c r="BB1363">
        <v>100</v>
      </c>
      <c r="BC1363">
        <v>100</v>
      </c>
      <c r="BD1363">
        <v>100</v>
      </c>
      <c r="BE1363">
        <v>1</v>
      </c>
      <c r="BF1363">
        <v>15000</v>
      </c>
      <c r="BG1363">
        <v>1000</v>
      </c>
      <c r="BH1363" s="6">
        <f>Grandview_Inventory[[#This Row],[land_extract]]*Lookups!$B$3</f>
        <v>41219.217601622076</v>
      </c>
      <c r="BI1363" s="6">
        <f>IF(Grandview_Inventory[[#This Row],[bldg_style]]="",0,Lookups!$B$2)</f>
        <v>155833.95000000001</v>
      </c>
      <c r="BJ1363" s="6">
        <f>_xlfn.IFNA(VLOOKUP(Grandview_Inventory[[#This Row],[quality]],Lookups!$H$2:$J$14,3,FALSE),0)</f>
        <v>10733</v>
      </c>
      <c r="BK1363" s="6">
        <f>_xlfn.IFNA(VLOOKUP(Grandview_Inventory[[#This Row],[condition]],Lookups!$H$17:$J$24,3,FALSE),0)</f>
        <v>-4503</v>
      </c>
      <c r="BL1363" s="6">
        <f>Grandview_Inventory[[#This Row],[Eff_Age]]*Lookups!$B$14</f>
        <v>-11001.6636</v>
      </c>
      <c r="BM1363" s="6">
        <f>Grandview_Inventory[[#This Row],[living_area]]*Lookups!$B$15</f>
        <v>70365.602184000003</v>
      </c>
      <c r="BN1363" s="6">
        <f>Grandview_Inventory[[#This Row],[Fin BSMT]]*Lookups!$B$16</f>
        <v>0</v>
      </c>
      <c r="BO1363" s="6">
        <f>(Grandview_Inventory[[#This Row],[att_gar]]+Grandview_Inventory[[#This Row],[bltin_gar]])*Lookups!$B$17</f>
        <v>0</v>
      </c>
      <c r="BP1363" s="6">
        <f>Grandview_Inventory[[#This Row],[Plumbing Fixtures]]*Lookups!$B$18</f>
        <v>10052.209000000001</v>
      </c>
      <c r="BQ1363" s="6">
        <f>Grandview_Inventory[[#This Row],[detatched_value]]*Lookups!$B$19</f>
        <v>0</v>
      </c>
      <c r="BR1363" s="6">
        <f>SUM(Grandview_Inventory[[#This Row],[Intercept]:[det_value]])*Grandview_Inventory[[#This Row],[res_pct]]</f>
        <v>231480.097584</v>
      </c>
      <c r="BS1363" s="6">
        <f>Grandview_Inventory[[#This Row],[land_value]]</f>
        <v>41219.217601622076</v>
      </c>
      <c r="BT1363" s="4">
        <f>_xlfn.IFNA(VLOOKUP(Grandview_Inventory[[#This Row],[quality]],Lookups!$A$26:$C$33,3,FALSE),1)</f>
        <v>0.98079741117310582</v>
      </c>
      <c r="BU1363" s="4">
        <f>_xlfn.IFNA(VLOOKUP(Grandview_Inventory[[#This Row],[condition]],Lookups!$A$37:$C$44,3,FALSE),1)</f>
        <v>0.96469275950863709</v>
      </c>
      <c r="BV1363" s="4">
        <f>IF(Grandview_Inventory[[#This Row],[bldg_style]]="",1,_xlfn.IFNA(VLOOKUP(Grandview_Inventory[[#This Row],[decade]],Lookups!$F$29:$H$43,3,FALSE),1))</f>
        <v>0.95268620544463312</v>
      </c>
      <c r="BW1363" s="4">
        <f>_xlfn.IFNA(VLOOKUP(Grandview_Inventory[[#This Row],[living_area_range]],Lookups!$F$47:$H$56,3,FALSE),1)</f>
        <v>0.96135087979789358</v>
      </c>
      <c r="BX1363" s="4">
        <f>AVERAGE(Grandview_Inventory[[#This Row],[qual_adj]:[size_adj]])</f>
        <v>0.96488181398106743</v>
      </c>
      <c r="BY1363" s="6">
        <f>IF(Grandview_Inventory[[#This Row],[pre_res]]&lt;0,0,Grandview_Inventory[[#This Row],[pre_res]]*Grandview_Inventory[[#This Row],[overall_adj]])</f>
        <v>223350.93645736441</v>
      </c>
      <c r="BZ1363" s="6">
        <f>(Grandview_Inventory[[#This Row],[sum_land]]-IF(Grandview_Inventory[[#This Row],[no_utilities]]=1,12000,0))/IF(Grandview_Inventory[[#This Row],[unbuildable]]=1,2,1)</f>
        <v>41219.217601622076</v>
      </c>
      <c r="CA1363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363">
        <f>ROUND(Grandview_Inventory[[#This Row],[det_value]]*Lookups!$M$28,-2)</f>
        <v>0</v>
      </c>
      <c r="CC1363">
        <f>IF(ROUND(Grandview_Inventory[[#This Row],[adj_res]]*Lookups!$M$28,-2)&lt;Grandview_Inventory[[#This Row],[min_res]],Grandview_Inventory[[#This Row],[min_res]],ROUND(Grandview_Inventory[[#This Row],[adj_res]]*Lookups!$M$28,-2))</f>
        <v>212200</v>
      </c>
      <c r="CD1363">
        <f>Grandview_Inventory[[#This Row],[final_det]]+Grandview_Inventory[[#This Row],[final_res]]</f>
        <v>212200</v>
      </c>
      <c r="CE1363">
        <f>Grandview_Inventory[[#This Row],[final_land]]+Grandview_Inventory[[#This Row],[final_imp]]+Grandview_Inventory[[#This Row],[crop_value]]</f>
        <v>251400</v>
      </c>
      <c r="CG1363" t="str">
        <f t="shared" si="21"/>
        <v>update valuation set market_land =39200, market_bldg=212200, market_total =251400, market_mdno =401, market_date ='9/10/2023' where link_id = (select link_id from parcel where parcel_year = '2024' and parcel_id = '23092314481');</v>
      </c>
    </row>
    <row r="1364" spans="1:85" x14ac:dyDescent="0.25">
      <c r="A1364">
        <v>23092314483</v>
      </c>
      <c r="B1364">
        <v>0.37</v>
      </c>
      <c r="C1364">
        <v>15998</v>
      </c>
      <c r="D1364" t="s">
        <v>129</v>
      </c>
      <c r="E1364" t="s">
        <v>53</v>
      </c>
      <c r="F1364" t="s">
        <v>53</v>
      </c>
      <c r="G1364">
        <v>4</v>
      </c>
      <c r="H1364" t="s">
        <v>54</v>
      </c>
      <c r="I1364">
        <v>156900</v>
      </c>
      <c r="J1364">
        <v>41200</v>
      </c>
      <c r="K1364">
        <v>0.37</v>
      </c>
      <c r="L1364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1364">
        <v>0</v>
      </c>
      <c r="N1364">
        <v>0</v>
      </c>
      <c r="O1364">
        <v>0</v>
      </c>
      <c r="P1364">
        <v>13398.7528</v>
      </c>
      <c r="Q1364">
        <v>63903</v>
      </c>
      <c r="R1364">
        <f>(Grandview_Inventory[[#This Row],[ln_acres]]*Grandview_Inventory[[#This Row],[coeff]])+Grandview_Inventory[[#This Row],[const]]</f>
        <v>50581.259568627502</v>
      </c>
      <c r="S1364" t="s">
        <v>55</v>
      </c>
      <c r="T1364">
        <v>2</v>
      </c>
      <c r="U1364" t="s">
        <v>65</v>
      </c>
      <c r="V1364" t="s">
        <v>69</v>
      </c>
      <c r="W1364">
        <v>0</v>
      </c>
      <c r="X1364">
        <v>0</v>
      </c>
      <c r="Y1364">
        <v>65</v>
      </c>
      <c r="Z1364">
        <v>113</v>
      </c>
      <c r="AA1364">
        <v>120</v>
      </c>
      <c r="AB1364">
        <v>1500</v>
      </c>
      <c r="AC1364">
        <v>1388</v>
      </c>
      <c r="AD1364">
        <v>1088</v>
      </c>
      <c r="AE1364">
        <v>300</v>
      </c>
      <c r="AF1364">
        <v>0</v>
      </c>
      <c r="AG1364">
        <v>0</v>
      </c>
      <c r="AH1364">
        <v>816</v>
      </c>
      <c r="AI1364">
        <v>0</v>
      </c>
      <c r="AJ1364">
        <v>0</v>
      </c>
      <c r="AK1364">
        <v>0</v>
      </c>
      <c r="AL1364">
        <v>0</v>
      </c>
      <c r="AM1364">
        <v>196</v>
      </c>
      <c r="AN1364">
        <v>72</v>
      </c>
      <c r="AO1364">
        <v>196</v>
      </c>
      <c r="AP1364">
        <v>7</v>
      </c>
      <c r="AQ1364">
        <v>1</v>
      </c>
      <c r="AR1364">
        <v>0</v>
      </c>
      <c r="AS1364" t="s">
        <v>58</v>
      </c>
      <c r="AT1364">
        <v>1</v>
      </c>
      <c r="AU1364" t="s">
        <v>63</v>
      </c>
      <c r="AV1364" t="s">
        <v>64</v>
      </c>
      <c r="AW1364">
        <v>0</v>
      </c>
      <c r="AX1364">
        <v>3</v>
      </c>
      <c r="AY1364">
        <v>0</v>
      </c>
      <c r="AZ1364">
        <v>4300</v>
      </c>
      <c r="BA1364">
        <v>100</v>
      </c>
      <c r="BB1364">
        <v>100</v>
      </c>
      <c r="BC1364">
        <v>100</v>
      </c>
      <c r="BD1364">
        <v>100</v>
      </c>
      <c r="BE1364">
        <v>1</v>
      </c>
      <c r="BF1364">
        <v>15000</v>
      </c>
      <c r="BG1364">
        <v>1000</v>
      </c>
      <c r="BH1364" s="6">
        <f>Grandview_Inventory[[#This Row],[land_extract]]*Lookups!$B$3</f>
        <v>58739.880167646283</v>
      </c>
      <c r="BI1364" s="6">
        <f>IF(Grandview_Inventory[[#This Row],[bldg_style]]="",0,Lookups!$B$2)</f>
        <v>155833.95000000001</v>
      </c>
      <c r="BJ1364" s="6">
        <f>_xlfn.IFNA(VLOOKUP(Grandview_Inventory[[#This Row],[quality]],Lookups!$H$2:$J$14,3,FALSE),0)</f>
        <v>2251</v>
      </c>
      <c r="BK1364" s="6">
        <f>_xlfn.IFNA(VLOOKUP(Grandview_Inventory[[#This Row],[condition]],Lookups!$H$17:$J$24,3,FALSE),0)</f>
        <v>-4503</v>
      </c>
      <c r="BL1364" s="6">
        <f>Grandview_Inventory[[#This Row],[Eff_Age]]*Lookups!$B$14</f>
        <v>-15545.829</v>
      </c>
      <c r="BM1364" s="6">
        <f>Grandview_Inventory[[#This Row],[living_area]]*Lookups!$B$15</f>
        <v>86584.623963999999</v>
      </c>
      <c r="BN1364" s="6">
        <f>Grandview_Inventory[[#This Row],[Fin BSMT]]*Lookups!$B$16</f>
        <v>0</v>
      </c>
      <c r="BO1364" s="6">
        <f>(Grandview_Inventory[[#This Row],[att_gar]]+Grandview_Inventory[[#This Row],[bltin_gar]])*Lookups!$B$17</f>
        <v>0</v>
      </c>
      <c r="BP1364" s="6">
        <f>Grandview_Inventory[[#This Row],[Plumbing Fixtures]]*Lookups!$B$18</f>
        <v>14073.0926</v>
      </c>
      <c r="BQ1364" s="6">
        <f>Grandview_Inventory[[#This Row],[detatched_value]]*Lookups!$B$19</f>
        <v>3641.2619300000001</v>
      </c>
      <c r="BR1364" s="6">
        <f>SUM(Grandview_Inventory[[#This Row],[Intercept]:[det_value]])*Grandview_Inventory[[#This Row],[res_pct]]</f>
        <v>242335.09949400002</v>
      </c>
      <c r="BS1364" s="6">
        <f>Grandview_Inventory[[#This Row],[land_value]]</f>
        <v>58739.880167646283</v>
      </c>
      <c r="BT1364" s="4">
        <f>_xlfn.IFNA(VLOOKUP(Grandview_Inventory[[#This Row],[quality]],Lookups!$A$26:$C$33,3,FALSE),1)</f>
        <v>0.98763855981004833</v>
      </c>
      <c r="BU1364" s="4">
        <f>_xlfn.IFNA(VLOOKUP(Grandview_Inventory[[#This Row],[condition]],Lookups!$A$37:$C$44,3,FALSE),1)</f>
        <v>0.96469275950863709</v>
      </c>
      <c r="BV1364" s="4">
        <f>IF(Grandview_Inventory[[#This Row],[bldg_style]]="",1,_xlfn.IFNA(VLOOKUP(Grandview_Inventory[[#This Row],[decade]],Lookups!$F$29:$H$43,3,FALSE),1))</f>
        <v>0.9251738460551937</v>
      </c>
      <c r="BW1364" s="4">
        <f>_xlfn.IFNA(VLOOKUP(Grandview_Inventory[[#This Row],[living_area_range]],Lookups!$F$47:$H$56,3,FALSE),1)</f>
        <v>0.96135087979789358</v>
      </c>
      <c r="BX1364" s="4">
        <f>AVERAGE(Grandview_Inventory[[#This Row],[qual_adj]:[size_adj]])</f>
        <v>0.9597140112929432</v>
      </c>
      <c r="BY1364" s="6">
        <f>IF(Grandview_Inventory[[#This Row],[pre_res]]&lt;0,0,Grandview_Inventory[[#This Row],[pre_res]]*Grandview_Inventory[[#This Row],[overall_adj]])</f>
        <v>232572.39041246125</v>
      </c>
      <c r="BZ1364" s="6">
        <f>(Grandview_Inventory[[#This Row],[sum_land]]-IF(Grandview_Inventory[[#This Row],[no_utilities]]=1,12000,0))/IF(Grandview_Inventory[[#This Row],[unbuildable]]=1,2,1)</f>
        <v>58739.880167646283</v>
      </c>
      <c r="CA1364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1364">
        <f>ROUND(Grandview_Inventory[[#This Row],[det_value]]*Lookups!$M$28,-2)</f>
        <v>3500</v>
      </c>
      <c r="CC1364">
        <f>IF(ROUND(Grandview_Inventory[[#This Row],[adj_res]]*Lookups!$M$28,-2)&lt;Grandview_Inventory[[#This Row],[min_res]],Grandview_Inventory[[#This Row],[min_res]],ROUND(Grandview_Inventory[[#This Row],[adj_res]]*Lookups!$M$28,-2))</f>
        <v>220900</v>
      </c>
      <c r="CD1364">
        <f>Grandview_Inventory[[#This Row],[final_det]]+Grandview_Inventory[[#This Row],[final_res]]</f>
        <v>224400</v>
      </c>
      <c r="CE1364">
        <f>Grandview_Inventory[[#This Row],[final_land]]+Grandview_Inventory[[#This Row],[final_imp]]+Grandview_Inventory[[#This Row],[crop_value]]</f>
        <v>280200</v>
      </c>
      <c r="CG1364" t="str">
        <f t="shared" si="21"/>
        <v>update valuation set market_land =55800, market_bldg=224400, market_total =280200, market_mdno =401, market_date ='9/10/2023' where link_id = (select link_id from parcel where parcel_year = '2024' and parcel_id = '23092314483');</v>
      </c>
    </row>
    <row r="1365" spans="1:85" x14ac:dyDescent="0.25">
      <c r="A1365">
        <v>23092314484</v>
      </c>
      <c r="B1365">
        <v>0.22</v>
      </c>
      <c r="C1365">
        <v>9583</v>
      </c>
      <c r="D1365" t="s">
        <v>129</v>
      </c>
      <c r="E1365" t="s">
        <v>53</v>
      </c>
      <c r="F1365" t="s">
        <v>53</v>
      </c>
      <c r="G1365">
        <v>4</v>
      </c>
      <c r="H1365" t="s">
        <v>54</v>
      </c>
      <c r="I1365">
        <v>221100</v>
      </c>
      <c r="J1365">
        <v>40000</v>
      </c>
      <c r="K1365">
        <v>0.22</v>
      </c>
      <c r="L136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365">
        <v>0</v>
      </c>
      <c r="N1365">
        <v>0</v>
      </c>
      <c r="O1365">
        <v>0</v>
      </c>
      <c r="P1365">
        <v>13398.7528</v>
      </c>
      <c r="Q1365">
        <v>63903</v>
      </c>
      <c r="R1365">
        <f>(Grandview_Inventory[[#This Row],[ln_acres]]*Grandview_Inventory[[#This Row],[coeff]])+Grandview_Inventory[[#This Row],[const]]</f>
        <v>43615.576802869145</v>
      </c>
      <c r="S1365" t="s">
        <v>61</v>
      </c>
      <c r="T1365">
        <v>1</v>
      </c>
      <c r="U1365" t="s">
        <v>62</v>
      </c>
      <c r="V1365" t="s">
        <v>69</v>
      </c>
      <c r="W1365">
        <v>0</v>
      </c>
      <c r="X1365">
        <v>0</v>
      </c>
      <c r="Y1365">
        <v>49</v>
      </c>
      <c r="Z1365">
        <v>66</v>
      </c>
      <c r="AA1365">
        <v>70</v>
      </c>
      <c r="AB1365">
        <v>2500</v>
      </c>
      <c r="AC1365">
        <v>2102</v>
      </c>
      <c r="AD1365">
        <v>1410</v>
      </c>
      <c r="AE1365">
        <v>0</v>
      </c>
      <c r="AF1365">
        <v>0</v>
      </c>
      <c r="AG1365">
        <v>692</v>
      </c>
      <c r="AH1365">
        <v>0</v>
      </c>
      <c r="AI1365">
        <v>528</v>
      </c>
      <c r="AJ1365">
        <v>0</v>
      </c>
      <c r="AK1365">
        <v>0</v>
      </c>
      <c r="AL1365">
        <v>0</v>
      </c>
      <c r="AM1365">
        <v>208</v>
      </c>
      <c r="AN1365">
        <v>16</v>
      </c>
      <c r="AO1365">
        <v>112</v>
      </c>
      <c r="AP1365">
        <v>6</v>
      </c>
      <c r="AQ1365">
        <v>0</v>
      </c>
      <c r="AR1365">
        <v>2</v>
      </c>
      <c r="AS1365" t="s">
        <v>58</v>
      </c>
      <c r="AT1365">
        <v>1</v>
      </c>
      <c r="AU1365" t="s">
        <v>63</v>
      </c>
      <c r="AV1365" t="s">
        <v>64</v>
      </c>
      <c r="AW1365">
        <v>1</v>
      </c>
      <c r="AX1365">
        <v>4</v>
      </c>
      <c r="AY1365">
        <v>0</v>
      </c>
      <c r="AZ1365">
        <v>0</v>
      </c>
      <c r="BA1365">
        <v>100</v>
      </c>
      <c r="BB1365">
        <v>100</v>
      </c>
      <c r="BC1365">
        <v>100</v>
      </c>
      <c r="BD1365">
        <v>100</v>
      </c>
      <c r="BE1365">
        <v>1</v>
      </c>
      <c r="BF1365">
        <v>15000</v>
      </c>
      <c r="BG1365">
        <v>1000</v>
      </c>
      <c r="BH1365" s="6">
        <f>Grandview_Inventory[[#This Row],[land_extract]]*Lookups!$B$3</f>
        <v>50650.651579114572</v>
      </c>
      <c r="BI1365" s="6">
        <f>IF(Grandview_Inventory[[#This Row],[bldg_style]]="",0,Lookups!$B$2)</f>
        <v>155833.95000000001</v>
      </c>
      <c r="BJ1365" s="6">
        <f>_xlfn.IFNA(VLOOKUP(Grandview_Inventory[[#This Row],[quality]],Lookups!$H$2:$J$14,3,FALSE),0)</f>
        <v>9808</v>
      </c>
      <c r="BK1365" s="6">
        <f>_xlfn.IFNA(VLOOKUP(Grandview_Inventory[[#This Row],[condition]],Lookups!$H$17:$J$24,3,FALSE),0)</f>
        <v>-4503</v>
      </c>
      <c r="BL1365" s="6">
        <f>Grandview_Inventory[[#This Row],[Eff_Age]]*Lookups!$B$14</f>
        <v>-11719.163399999999</v>
      </c>
      <c r="BM1365" s="6">
        <f>Grandview_Inventory[[#This Row],[living_area]]*Lookups!$B$15</f>
        <v>131124.553006</v>
      </c>
      <c r="BN1365" s="6">
        <f>Grandview_Inventory[[#This Row],[Fin BSMT]]*Lookups!$B$16</f>
        <v>-18752.674080000001</v>
      </c>
      <c r="BO1365" s="6">
        <f>(Grandview_Inventory[[#This Row],[att_gar]]+Grandview_Inventory[[#This Row],[bltin_gar]])*Lookups!$B$17</f>
        <v>46210.790736000003</v>
      </c>
      <c r="BP1365" s="6">
        <f>Grandview_Inventory[[#This Row],[Plumbing Fixtures]]*Lookups!$B$18</f>
        <v>12062.650799999999</v>
      </c>
      <c r="BQ1365" s="6">
        <f>Grandview_Inventory[[#This Row],[detatched_value]]*Lookups!$B$19</f>
        <v>0</v>
      </c>
      <c r="BR1365" s="6">
        <f>SUM(Grandview_Inventory[[#This Row],[Intercept]:[det_value]])*Grandview_Inventory[[#This Row],[res_pct]]</f>
        <v>320065.10706200002</v>
      </c>
      <c r="BS1365" s="6">
        <f>Grandview_Inventory[[#This Row],[land_value]]</f>
        <v>50650.651579114572</v>
      </c>
      <c r="BT1365" s="4">
        <f>_xlfn.IFNA(VLOOKUP(Grandview_Inventory[[#This Row],[quality]],Lookups!$A$26:$C$33,3,FALSE),1)</f>
        <v>0.94295468617355149</v>
      </c>
      <c r="BU1365" s="4">
        <f>_xlfn.IFNA(VLOOKUP(Grandview_Inventory[[#This Row],[condition]],Lookups!$A$37:$C$44,3,FALSE),1)</f>
        <v>0.96469275950863709</v>
      </c>
      <c r="BV1365" s="4">
        <f>IF(Grandview_Inventory[[#This Row],[bldg_style]]="",1,_xlfn.IFNA(VLOOKUP(Grandview_Inventory[[#This Row],[decade]],Lookups!$F$29:$H$43,3,FALSE),1))</f>
        <v>0.99472141305414818</v>
      </c>
      <c r="BW1365" s="4">
        <f>_xlfn.IFNA(VLOOKUP(Grandview_Inventory[[#This Row],[living_area_range]],Lookups!$F$47:$H$56,3,FALSE),1)</f>
        <v>0.95799442568048754</v>
      </c>
      <c r="BX1365" s="4">
        <f>AVERAGE(Grandview_Inventory[[#This Row],[qual_adj]:[size_adj]])</f>
        <v>0.96509082110420608</v>
      </c>
      <c r="BY1365" s="6">
        <f>IF(Grandview_Inventory[[#This Row],[pre_res]]&lt;0,0,Grandview_Inventory[[#This Row],[pre_res]]*Grandview_Inventory[[#This Row],[overall_adj]])</f>
        <v>308891.89698127122</v>
      </c>
      <c r="BZ1365" s="6">
        <f>(Grandview_Inventory[[#This Row],[sum_land]]-IF(Grandview_Inventory[[#This Row],[no_utilities]]=1,12000,0))/IF(Grandview_Inventory[[#This Row],[unbuildable]]=1,2,1)</f>
        <v>50650.651579114572</v>
      </c>
      <c r="CA136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365">
        <f>ROUND(Grandview_Inventory[[#This Row],[det_value]]*Lookups!$M$28,-2)</f>
        <v>0</v>
      </c>
      <c r="CC1365">
        <f>IF(ROUND(Grandview_Inventory[[#This Row],[adj_res]]*Lookups!$M$28,-2)&lt;Grandview_Inventory[[#This Row],[min_res]],Grandview_Inventory[[#This Row],[min_res]],ROUND(Grandview_Inventory[[#This Row],[adj_res]]*Lookups!$M$28,-2))</f>
        <v>293400</v>
      </c>
      <c r="CD1365">
        <f>Grandview_Inventory[[#This Row],[final_det]]+Grandview_Inventory[[#This Row],[final_res]]</f>
        <v>293400</v>
      </c>
      <c r="CE1365">
        <f>Grandview_Inventory[[#This Row],[final_land]]+Grandview_Inventory[[#This Row],[final_imp]]+Grandview_Inventory[[#This Row],[crop_value]]</f>
        <v>341500</v>
      </c>
      <c r="CG1365" t="str">
        <f t="shared" si="21"/>
        <v>update valuation set market_land =48100, market_bldg=293400, market_total =341500, market_mdno =401, market_date ='9/10/2023' where link_id = (select link_id from parcel where parcel_year = '2024' and parcel_id = '23092314484');</v>
      </c>
    </row>
    <row r="1366" spans="1:85" x14ac:dyDescent="0.25">
      <c r="A1366">
        <v>23092314485</v>
      </c>
      <c r="B1366">
        <v>0.15</v>
      </c>
      <c r="C1366">
        <v>6647</v>
      </c>
      <c r="D1366" t="s">
        <v>129</v>
      </c>
      <c r="E1366" t="s">
        <v>53</v>
      </c>
      <c r="F1366" t="s">
        <v>53</v>
      </c>
      <c r="G1366">
        <v>4</v>
      </c>
      <c r="H1366" t="s">
        <v>54</v>
      </c>
      <c r="I1366">
        <v>154900</v>
      </c>
      <c r="J1366">
        <v>38800</v>
      </c>
      <c r="K1366">
        <v>0.15</v>
      </c>
      <c r="L136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66">
        <v>0</v>
      </c>
      <c r="N1366">
        <v>0</v>
      </c>
      <c r="O1366">
        <v>0</v>
      </c>
      <c r="P1366">
        <v>13398.7528</v>
      </c>
      <c r="Q1366">
        <v>63903</v>
      </c>
      <c r="R1366">
        <f>(Grandview_Inventory[[#This Row],[ln_acres]]*Grandview_Inventory[[#This Row],[coeff]])+Grandview_Inventory[[#This Row],[const]]</f>
        <v>38483.958290574345</v>
      </c>
      <c r="S1366" t="s">
        <v>61</v>
      </c>
      <c r="T1366">
        <v>1</v>
      </c>
      <c r="U1366" t="s">
        <v>65</v>
      </c>
      <c r="V1366" t="s">
        <v>69</v>
      </c>
      <c r="W1366">
        <v>0</v>
      </c>
      <c r="X1366">
        <v>0</v>
      </c>
      <c r="Y1366">
        <v>50</v>
      </c>
      <c r="Z1366">
        <v>73</v>
      </c>
      <c r="AA1366">
        <v>80</v>
      </c>
      <c r="AB1366">
        <v>1500</v>
      </c>
      <c r="AC1366">
        <v>1007</v>
      </c>
      <c r="AD1366">
        <v>1007</v>
      </c>
      <c r="AE1366">
        <v>0</v>
      </c>
      <c r="AF1366">
        <v>0</v>
      </c>
      <c r="AG1366">
        <v>0</v>
      </c>
      <c r="AH1366">
        <v>0</v>
      </c>
      <c r="AI1366">
        <v>364</v>
      </c>
      <c r="AJ1366">
        <v>0</v>
      </c>
      <c r="AK1366">
        <v>0</v>
      </c>
      <c r="AL1366">
        <v>0</v>
      </c>
      <c r="AM1366">
        <v>0</v>
      </c>
      <c r="AN1366">
        <v>154</v>
      </c>
      <c r="AO1366">
        <v>0</v>
      </c>
      <c r="AP1366">
        <v>5</v>
      </c>
      <c r="AQ1366">
        <v>0</v>
      </c>
      <c r="AR1366">
        <v>0</v>
      </c>
      <c r="AS1366" t="s">
        <v>58</v>
      </c>
      <c r="AT1366">
        <v>1</v>
      </c>
      <c r="AU1366" t="s">
        <v>63</v>
      </c>
      <c r="AV1366" t="s">
        <v>60</v>
      </c>
      <c r="AW1366">
        <v>1</v>
      </c>
      <c r="AX1366">
        <v>2</v>
      </c>
      <c r="AY1366">
        <v>0</v>
      </c>
      <c r="AZ1366">
        <v>0</v>
      </c>
      <c r="BA1366">
        <v>100</v>
      </c>
      <c r="BB1366">
        <v>100</v>
      </c>
      <c r="BC1366">
        <v>100</v>
      </c>
      <c r="BD1366">
        <v>100</v>
      </c>
      <c r="BE1366">
        <v>1</v>
      </c>
      <c r="BF1366">
        <v>15000</v>
      </c>
      <c r="BG1366">
        <v>1000</v>
      </c>
      <c r="BH1366" s="6">
        <f>Grandview_Inventory[[#This Row],[land_extract]]*Lookups!$B$3</f>
        <v>44691.316856156598</v>
      </c>
      <c r="BI1366" s="6">
        <f>IF(Grandview_Inventory[[#This Row],[bldg_style]]="",0,Lookups!$B$2)</f>
        <v>155833.95000000001</v>
      </c>
      <c r="BJ1366" s="6">
        <f>_xlfn.IFNA(VLOOKUP(Grandview_Inventory[[#This Row],[quality]],Lookups!$H$2:$J$14,3,FALSE),0)</f>
        <v>2251</v>
      </c>
      <c r="BK1366" s="6">
        <f>_xlfn.IFNA(VLOOKUP(Grandview_Inventory[[#This Row],[condition]],Lookups!$H$17:$J$24,3,FALSE),0)</f>
        <v>-4503</v>
      </c>
      <c r="BL1366" s="6">
        <f>Grandview_Inventory[[#This Row],[Eff_Age]]*Lookups!$B$14</f>
        <v>-11958.33</v>
      </c>
      <c r="BM1366" s="6">
        <f>Grandview_Inventory[[#This Row],[living_area]]*Lookups!$B$15</f>
        <v>62817.518971000005</v>
      </c>
      <c r="BN1366" s="6">
        <f>Grandview_Inventory[[#This Row],[Fin BSMT]]*Lookups!$B$16</f>
        <v>0</v>
      </c>
      <c r="BO1366" s="6">
        <f>(Grandview_Inventory[[#This Row],[att_gar]]+Grandview_Inventory[[#This Row],[bltin_gar]])*Lookups!$B$17</f>
        <v>31857.439068</v>
      </c>
      <c r="BP1366" s="6">
        <f>Grandview_Inventory[[#This Row],[Plumbing Fixtures]]*Lookups!$B$18</f>
        <v>10052.209000000001</v>
      </c>
      <c r="BQ1366" s="6">
        <f>Grandview_Inventory[[#This Row],[detatched_value]]*Lookups!$B$19</f>
        <v>0</v>
      </c>
      <c r="BR1366" s="6">
        <f>SUM(Grandview_Inventory[[#This Row],[Intercept]:[det_value]])*Grandview_Inventory[[#This Row],[res_pct]]</f>
        <v>246350.78703900005</v>
      </c>
      <c r="BS1366" s="6">
        <f>Grandview_Inventory[[#This Row],[land_value]]</f>
        <v>44691.316856156598</v>
      </c>
      <c r="BT1366" s="4">
        <f>_xlfn.IFNA(VLOOKUP(Grandview_Inventory[[#This Row],[quality]],Lookups!$A$26:$C$33,3,FALSE),1)</f>
        <v>0.98763855981004833</v>
      </c>
      <c r="BU1366" s="4">
        <f>_xlfn.IFNA(VLOOKUP(Grandview_Inventory[[#This Row],[condition]],Lookups!$A$37:$C$44,3,FALSE),1)</f>
        <v>0.96469275950863709</v>
      </c>
      <c r="BV1366" s="4">
        <f>IF(Grandview_Inventory[[#This Row],[bldg_style]]="",1,_xlfn.IFNA(VLOOKUP(Grandview_Inventory[[#This Row],[decade]],Lookups!$F$29:$H$43,3,FALSE),1))</f>
        <v>0.98763256963907298</v>
      </c>
      <c r="BW1366" s="4">
        <f>_xlfn.IFNA(VLOOKUP(Grandview_Inventory[[#This Row],[living_area_range]],Lookups!$F$47:$H$56,3,FALSE),1)</f>
        <v>0.96135087979789358</v>
      </c>
      <c r="BX1366" s="4">
        <f>AVERAGE(Grandview_Inventory[[#This Row],[qual_adj]:[size_adj]])</f>
        <v>0.97532869218891294</v>
      </c>
      <c r="BY1366" s="6">
        <f>IF(Grandview_Inventory[[#This Row],[pre_res]]&lt;0,0,Grandview_Inventory[[#This Row],[pre_res]]*Grandview_Inventory[[#This Row],[overall_adj]])</f>
        <v>240272.99094245731</v>
      </c>
      <c r="BZ1366" s="6">
        <f>(Grandview_Inventory[[#This Row],[sum_land]]-IF(Grandview_Inventory[[#This Row],[no_utilities]]=1,12000,0))/IF(Grandview_Inventory[[#This Row],[unbuildable]]=1,2,1)</f>
        <v>44691.316856156598</v>
      </c>
      <c r="CA136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66">
        <f>ROUND(Grandview_Inventory[[#This Row],[det_value]]*Lookups!$M$28,-2)</f>
        <v>0</v>
      </c>
      <c r="CC1366">
        <f>IF(ROUND(Grandview_Inventory[[#This Row],[adj_res]]*Lookups!$M$28,-2)&lt;Grandview_Inventory[[#This Row],[min_res]],Grandview_Inventory[[#This Row],[min_res]],ROUND(Grandview_Inventory[[#This Row],[adj_res]]*Lookups!$M$28,-2))</f>
        <v>228300</v>
      </c>
      <c r="CD1366">
        <f>Grandview_Inventory[[#This Row],[final_det]]+Grandview_Inventory[[#This Row],[final_res]]</f>
        <v>228300</v>
      </c>
      <c r="CE1366">
        <f>Grandview_Inventory[[#This Row],[final_land]]+Grandview_Inventory[[#This Row],[final_imp]]+Grandview_Inventory[[#This Row],[crop_value]]</f>
        <v>270800</v>
      </c>
      <c r="CG1366" t="str">
        <f t="shared" si="21"/>
        <v>update valuation set market_land =42500, market_bldg=228300, market_total =270800, market_mdno =401, market_date ='9/10/2023' where link_id = (select link_id from parcel where parcel_year = '2024' and parcel_id = '23092314485');</v>
      </c>
    </row>
    <row r="1367" spans="1:85" x14ac:dyDescent="0.25">
      <c r="A1367">
        <v>23092314487</v>
      </c>
      <c r="B1367">
        <v>0.27</v>
      </c>
      <c r="C1367">
        <v>11572</v>
      </c>
      <c r="D1367" t="s">
        <v>129</v>
      </c>
      <c r="E1367" t="s">
        <v>53</v>
      </c>
      <c r="F1367" t="s">
        <v>53</v>
      </c>
      <c r="G1367">
        <v>4</v>
      </c>
      <c r="H1367" t="s">
        <v>54</v>
      </c>
      <c r="I1367">
        <v>195700</v>
      </c>
      <c r="J1367">
        <v>40500</v>
      </c>
      <c r="K1367">
        <v>0.27</v>
      </c>
      <c r="L1367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367">
        <v>0</v>
      </c>
      <c r="N1367">
        <v>0</v>
      </c>
      <c r="O1367">
        <v>0</v>
      </c>
      <c r="P1367">
        <v>13398.7528</v>
      </c>
      <c r="Q1367">
        <v>63903</v>
      </c>
      <c r="R1367">
        <f>(Grandview_Inventory[[#This Row],[ln_acres]]*Grandview_Inventory[[#This Row],[coeff]])+Grandview_Inventory[[#This Row],[const]]</f>
        <v>46359.566512734265</v>
      </c>
      <c r="S1367" t="s">
        <v>61</v>
      </c>
      <c r="T1367">
        <v>1</v>
      </c>
      <c r="U1367" t="s">
        <v>70</v>
      </c>
      <c r="V1367" t="s">
        <v>67</v>
      </c>
      <c r="W1367">
        <v>0</v>
      </c>
      <c r="X1367">
        <v>0</v>
      </c>
      <c r="Y1367">
        <v>47</v>
      </c>
      <c r="Z1367">
        <v>56</v>
      </c>
      <c r="AA1367">
        <v>60</v>
      </c>
      <c r="AB1367">
        <v>1500</v>
      </c>
      <c r="AC1367">
        <v>1040</v>
      </c>
      <c r="AD1367">
        <v>1040</v>
      </c>
      <c r="AE1367">
        <v>0</v>
      </c>
      <c r="AF1367">
        <v>0</v>
      </c>
      <c r="AG1367">
        <v>0</v>
      </c>
      <c r="AH1367">
        <v>0</v>
      </c>
      <c r="AI1367">
        <v>312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5</v>
      </c>
      <c r="AQ1367">
        <v>0</v>
      </c>
      <c r="AR1367">
        <v>0</v>
      </c>
      <c r="AS1367" t="s">
        <v>58</v>
      </c>
      <c r="AT1367">
        <v>1</v>
      </c>
      <c r="AU1367" t="s">
        <v>79</v>
      </c>
      <c r="AV1367" t="s">
        <v>60</v>
      </c>
      <c r="AW1367">
        <v>0</v>
      </c>
      <c r="AX1367">
        <v>3</v>
      </c>
      <c r="AY1367">
        <v>0</v>
      </c>
      <c r="AZ1367">
        <v>0</v>
      </c>
      <c r="BA1367">
        <v>100</v>
      </c>
      <c r="BB1367">
        <v>100</v>
      </c>
      <c r="BC1367">
        <v>100</v>
      </c>
      <c r="BD1367">
        <v>100</v>
      </c>
      <c r="BE1367">
        <v>1</v>
      </c>
      <c r="BF1367">
        <v>15000</v>
      </c>
      <c r="BG1367">
        <v>1000</v>
      </c>
      <c r="BH1367" s="6">
        <f>Grandview_Inventory[[#This Row],[land_extract]]*Lookups!$B$3</f>
        <v>53837.239420408718</v>
      </c>
      <c r="BI1367" s="6">
        <f>IF(Grandview_Inventory[[#This Row],[bldg_style]]="",0,Lookups!$B$2)</f>
        <v>155833.95000000001</v>
      </c>
      <c r="BJ1367" s="6">
        <f>_xlfn.IFNA(VLOOKUP(Grandview_Inventory[[#This Row],[quality]],Lookups!$H$2:$J$14,3,FALSE),0)</f>
        <v>10733</v>
      </c>
      <c r="BK1367" s="6">
        <f>_xlfn.IFNA(VLOOKUP(Grandview_Inventory[[#This Row],[condition]],Lookups!$H$17:$J$24,3,FALSE),0)</f>
        <v>22342</v>
      </c>
      <c r="BL1367" s="6">
        <f>Grandview_Inventory[[#This Row],[Eff_Age]]*Lookups!$B$14</f>
        <v>-11240.8302</v>
      </c>
      <c r="BM1367" s="6">
        <f>Grandview_Inventory[[#This Row],[living_area]]*Lookups!$B$15</f>
        <v>64876.087120000004</v>
      </c>
      <c r="BN1367" s="6">
        <f>Grandview_Inventory[[#This Row],[Fin BSMT]]*Lookups!$B$16</f>
        <v>0</v>
      </c>
      <c r="BO1367" s="6">
        <f>(Grandview_Inventory[[#This Row],[att_gar]]+Grandview_Inventory[[#This Row],[bltin_gar]])*Lookups!$B$17</f>
        <v>27306.376344</v>
      </c>
      <c r="BP1367" s="6">
        <f>Grandview_Inventory[[#This Row],[Plumbing Fixtures]]*Lookups!$B$18</f>
        <v>10052.209000000001</v>
      </c>
      <c r="BQ1367" s="6">
        <f>Grandview_Inventory[[#This Row],[detatched_value]]*Lookups!$B$19</f>
        <v>0</v>
      </c>
      <c r="BR1367" s="6">
        <f>SUM(Grandview_Inventory[[#This Row],[Intercept]:[det_value]])*Grandview_Inventory[[#This Row],[res_pct]]</f>
        <v>279902.79226399999</v>
      </c>
      <c r="BS1367" s="6">
        <f>Grandview_Inventory[[#This Row],[land_value]]</f>
        <v>53837.239420408718</v>
      </c>
      <c r="BT1367" s="4">
        <f>_xlfn.IFNA(VLOOKUP(Grandview_Inventory[[#This Row],[quality]],Lookups!$A$26:$C$33,3,FALSE),1)</f>
        <v>0.98079741117310582</v>
      </c>
      <c r="BU1367" s="4">
        <f>_xlfn.IFNA(VLOOKUP(Grandview_Inventory[[#This Row],[condition]],Lookups!$A$37:$C$44,3,FALSE),1)</f>
        <v>0.97383723671140243</v>
      </c>
      <c r="BV1367" s="4">
        <f>IF(Grandview_Inventory[[#This Row],[bldg_style]]="",1,_xlfn.IFNA(VLOOKUP(Grandview_Inventory[[#This Row],[decade]],Lookups!$F$29:$H$43,3,FALSE),1))</f>
        <v>0.95268620544463312</v>
      </c>
      <c r="BW1367" s="4">
        <f>_xlfn.IFNA(VLOOKUP(Grandview_Inventory[[#This Row],[living_area_range]],Lookups!$F$47:$H$56,3,FALSE),1)</f>
        <v>0.96135087979789358</v>
      </c>
      <c r="BX1367" s="4">
        <f>AVERAGE(Grandview_Inventory[[#This Row],[qual_adj]:[size_adj]])</f>
        <v>0.96716793328175876</v>
      </c>
      <c r="BY1367" s="6">
        <f>IF(Grandview_Inventory[[#This Row],[pre_res]]&lt;0,0,Grandview_Inventory[[#This Row],[pre_res]]*Grandview_Inventory[[#This Row],[overall_adj]])</f>
        <v>270713.0051137663</v>
      </c>
      <c r="BZ1367" s="6">
        <f>(Grandview_Inventory[[#This Row],[sum_land]]-IF(Grandview_Inventory[[#This Row],[no_utilities]]=1,12000,0))/IF(Grandview_Inventory[[#This Row],[unbuildable]]=1,2,1)</f>
        <v>53837.239420408718</v>
      </c>
      <c r="CA1367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367">
        <f>ROUND(Grandview_Inventory[[#This Row],[det_value]]*Lookups!$M$28,-2)</f>
        <v>0</v>
      </c>
      <c r="CC1367">
        <f>IF(ROUND(Grandview_Inventory[[#This Row],[adj_res]]*Lookups!$M$28,-2)&lt;Grandview_Inventory[[#This Row],[min_res]],Grandview_Inventory[[#This Row],[min_res]],ROUND(Grandview_Inventory[[#This Row],[adj_res]]*Lookups!$M$28,-2))</f>
        <v>257200</v>
      </c>
      <c r="CD1367">
        <f>Grandview_Inventory[[#This Row],[final_det]]+Grandview_Inventory[[#This Row],[final_res]]</f>
        <v>257200</v>
      </c>
      <c r="CE1367">
        <f>Grandview_Inventory[[#This Row],[final_land]]+Grandview_Inventory[[#This Row],[final_imp]]+Grandview_Inventory[[#This Row],[crop_value]]</f>
        <v>308300</v>
      </c>
      <c r="CG1367" t="str">
        <f t="shared" si="21"/>
        <v>update valuation set market_land =51100, market_bldg=257200, market_total =308300, market_mdno =401, market_date ='9/10/2023' where link_id = (select link_id from parcel where parcel_year = '2024' and parcel_id = '23092314487');</v>
      </c>
    </row>
    <row r="1368" spans="1:85" x14ac:dyDescent="0.25">
      <c r="A1368">
        <v>23092314492</v>
      </c>
      <c r="B1368">
        <v>0.14000000000000001</v>
      </c>
      <c r="C1368">
        <v>6261</v>
      </c>
      <c r="D1368" t="s">
        <v>129</v>
      </c>
      <c r="E1368" t="s">
        <v>53</v>
      </c>
      <c r="F1368" t="s">
        <v>53</v>
      </c>
      <c r="G1368">
        <v>4</v>
      </c>
      <c r="H1368" t="s">
        <v>54</v>
      </c>
      <c r="I1368">
        <v>136200</v>
      </c>
      <c r="J1368">
        <v>38800</v>
      </c>
      <c r="K1368">
        <v>0.14000000000000001</v>
      </c>
      <c r="L1368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368">
        <v>0</v>
      </c>
      <c r="N1368">
        <v>0</v>
      </c>
      <c r="O1368">
        <v>0</v>
      </c>
      <c r="P1368">
        <v>13398.7528</v>
      </c>
      <c r="Q1368">
        <v>63903</v>
      </c>
      <c r="R1368">
        <f>(Grandview_Inventory[[#This Row],[ln_acres]]*Grandview_Inventory[[#This Row],[coeff]])+Grandview_Inventory[[#This Row],[const]]</f>
        <v>37559.539860558507</v>
      </c>
      <c r="S1368" t="s">
        <v>68</v>
      </c>
      <c r="T1368">
        <v>1</v>
      </c>
      <c r="U1368" t="s">
        <v>65</v>
      </c>
      <c r="V1368" t="s">
        <v>69</v>
      </c>
      <c r="W1368">
        <v>0</v>
      </c>
      <c r="X1368">
        <v>0</v>
      </c>
      <c r="Y1368">
        <v>51</v>
      </c>
      <c r="Z1368">
        <v>78</v>
      </c>
      <c r="AA1368">
        <v>80</v>
      </c>
      <c r="AB1368">
        <v>2000</v>
      </c>
      <c r="AC1368">
        <v>1812</v>
      </c>
      <c r="AD1368">
        <v>1114</v>
      </c>
      <c r="AE1368">
        <v>0</v>
      </c>
      <c r="AF1368">
        <v>0</v>
      </c>
      <c r="AG1368">
        <v>698</v>
      </c>
      <c r="AH1368">
        <v>148</v>
      </c>
      <c r="AI1368">
        <v>0</v>
      </c>
      <c r="AJ1368">
        <v>0</v>
      </c>
      <c r="AK1368">
        <v>240</v>
      </c>
      <c r="AL1368">
        <v>126</v>
      </c>
      <c r="AM1368">
        <v>0</v>
      </c>
      <c r="AN1368">
        <v>20</v>
      </c>
      <c r="AO1368">
        <v>126</v>
      </c>
      <c r="AP1368">
        <v>5</v>
      </c>
      <c r="AQ1368">
        <v>0</v>
      </c>
      <c r="AR1368">
        <v>0</v>
      </c>
      <c r="AS1368" t="s">
        <v>58</v>
      </c>
      <c r="AT1368">
        <v>1</v>
      </c>
      <c r="AU1368" t="s">
        <v>63</v>
      </c>
      <c r="AV1368" t="s">
        <v>60</v>
      </c>
      <c r="AW1368">
        <v>0</v>
      </c>
      <c r="AX1368">
        <v>2</v>
      </c>
      <c r="AY1368">
        <v>0</v>
      </c>
      <c r="AZ1368">
        <v>0</v>
      </c>
      <c r="BA1368">
        <v>100</v>
      </c>
      <c r="BB1368">
        <v>100</v>
      </c>
      <c r="BC1368">
        <v>100</v>
      </c>
      <c r="BD1368">
        <v>100</v>
      </c>
      <c r="BE1368">
        <v>1</v>
      </c>
      <c r="BF1368">
        <v>15000</v>
      </c>
      <c r="BG1368">
        <v>1000</v>
      </c>
      <c r="BH1368" s="6">
        <f>Grandview_Inventory[[#This Row],[land_extract]]*Lookups!$B$3</f>
        <v>43617.792229308972</v>
      </c>
      <c r="BI1368" s="6">
        <f>IF(Grandview_Inventory[[#This Row],[bldg_style]]="",0,Lookups!$B$2)</f>
        <v>155833.95000000001</v>
      </c>
      <c r="BJ1368" s="6">
        <f>_xlfn.IFNA(VLOOKUP(Grandview_Inventory[[#This Row],[quality]],Lookups!$H$2:$J$14,3,FALSE),0)</f>
        <v>2251</v>
      </c>
      <c r="BK1368" s="6">
        <f>_xlfn.IFNA(VLOOKUP(Grandview_Inventory[[#This Row],[condition]],Lookups!$H$17:$J$24,3,FALSE),0)</f>
        <v>-4503</v>
      </c>
      <c r="BL1368" s="6">
        <f>Grandview_Inventory[[#This Row],[Eff_Age]]*Lookups!$B$14</f>
        <v>-12197.496599999999</v>
      </c>
      <c r="BM1368" s="6">
        <f>Grandview_Inventory[[#This Row],[living_area]]*Lookups!$B$15</f>
        <v>113034.10563600001</v>
      </c>
      <c r="BN1368" s="6">
        <f>Grandview_Inventory[[#This Row],[Fin BSMT]]*Lookups!$B$16</f>
        <v>-18915.269520000002</v>
      </c>
      <c r="BO1368" s="6">
        <f>(Grandview_Inventory[[#This Row],[att_gar]]+Grandview_Inventory[[#This Row],[bltin_gar]])*Lookups!$B$17</f>
        <v>0</v>
      </c>
      <c r="BP1368" s="6">
        <f>Grandview_Inventory[[#This Row],[Plumbing Fixtures]]*Lookups!$B$18</f>
        <v>10052.209000000001</v>
      </c>
      <c r="BQ1368" s="6">
        <f>Grandview_Inventory[[#This Row],[detatched_value]]*Lookups!$B$19</f>
        <v>0</v>
      </c>
      <c r="BR1368" s="6">
        <f>SUM(Grandview_Inventory[[#This Row],[Intercept]:[det_value]])*Grandview_Inventory[[#This Row],[res_pct]]</f>
        <v>245555.49851599999</v>
      </c>
      <c r="BS1368" s="6">
        <f>Grandview_Inventory[[#This Row],[land_value]]</f>
        <v>43617.792229308972</v>
      </c>
      <c r="BT1368" s="4">
        <f>_xlfn.IFNA(VLOOKUP(Grandview_Inventory[[#This Row],[quality]],Lookups!$A$26:$C$33,3,FALSE),1)</f>
        <v>0.98763855981004833</v>
      </c>
      <c r="BU1368" s="4">
        <f>_xlfn.IFNA(VLOOKUP(Grandview_Inventory[[#This Row],[condition]],Lookups!$A$37:$C$44,3,FALSE),1)</f>
        <v>0.96469275950863709</v>
      </c>
      <c r="BV1368" s="4">
        <f>IF(Grandview_Inventory[[#This Row],[bldg_style]]="",1,_xlfn.IFNA(VLOOKUP(Grandview_Inventory[[#This Row],[decade]],Lookups!$F$29:$H$43,3,FALSE),1))</f>
        <v>0.98763256963907298</v>
      </c>
      <c r="BW1368" s="4">
        <f>_xlfn.IFNA(VLOOKUP(Grandview_Inventory[[#This Row],[living_area_range]],Lookups!$F$47:$H$56,3,FALSE),1)</f>
        <v>0.96120133463014379</v>
      </c>
      <c r="BX1368" s="4">
        <f>AVERAGE(Grandview_Inventory[[#This Row],[qual_adj]:[size_adj]])</f>
        <v>0.97529130589697544</v>
      </c>
      <c r="BY1368" s="6">
        <f>IF(Grandview_Inventory[[#This Row],[pre_res]]&lt;0,0,Grandview_Inventory[[#This Row],[pre_res]]*Grandview_Inventory[[#This Row],[overall_adj]])</f>
        <v>239488.14281785244</v>
      </c>
      <c r="BZ1368" s="6">
        <f>(Grandview_Inventory[[#This Row],[sum_land]]-IF(Grandview_Inventory[[#This Row],[no_utilities]]=1,12000,0))/IF(Grandview_Inventory[[#This Row],[unbuildable]]=1,2,1)</f>
        <v>43617.792229308972</v>
      </c>
      <c r="CA1368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368">
        <f>ROUND(Grandview_Inventory[[#This Row],[det_value]]*Lookups!$M$28,-2)</f>
        <v>0</v>
      </c>
      <c r="CC1368">
        <f>IF(ROUND(Grandview_Inventory[[#This Row],[adj_res]]*Lookups!$M$28,-2)&lt;Grandview_Inventory[[#This Row],[min_res]],Grandview_Inventory[[#This Row],[min_res]],ROUND(Grandview_Inventory[[#This Row],[adj_res]]*Lookups!$M$28,-2))</f>
        <v>227500</v>
      </c>
      <c r="CD1368">
        <f>Grandview_Inventory[[#This Row],[final_det]]+Grandview_Inventory[[#This Row],[final_res]]</f>
        <v>227500</v>
      </c>
      <c r="CE1368">
        <f>Grandview_Inventory[[#This Row],[final_land]]+Grandview_Inventory[[#This Row],[final_imp]]+Grandview_Inventory[[#This Row],[crop_value]]</f>
        <v>268900</v>
      </c>
      <c r="CG1368" t="str">
        <f t="shared" si="21"/>
        <v>update valuation set market_land =41400, market_bldg=227500, market_total =268900, market_mdno =401, market_date ='9/10/2023' where link_id = (select link_id from parcel where parcel_year = '2024' and parcel_id = '23092314492');</v>
      </c>
    </row>
    <row r="1369" spans="1:85" x14ac:dyDescent="0.25">
      <c r="A1369">
        <v>23092314493</v>
      </c>
      <c r="B1369">
        <v>0.21</v>
      </c>
      <c r="C1369">
        <v>9280</v>
      </c>
      <c r="D1369" t="s">
        <v>129</v>
      </c>
      <c r="E1369" t="s">
        <v>53</v>
      </c>
      <c r="F1369" t="s">
        <v>53</v>
      </c>
      <c r="G1369">
        <v>4</v>
      </c>
      <c r="H1369" t="s">
        <v>54</v>
      </c>
      <c r="I1369">
        <v>173200</v>
      </c>
      <c r="J1369">
        <v>39800</v>
      </c>
      <c r="K1369">
        <v>0.21</v>
      </c>
      <c r="L136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69">
        <v>0</v>
      </c>
      <c r="N1369">
        <v>0</v>
      </c>
      <c r="O1369">
        <v>0</v>
      </c>
      <c r="P1369">
        <v>13398.7528</v>
      </c>
      <c r="Q1369">
        <v>63903</v>
      </c>
      <c r="R1369">
        <f>(Grandview_Inventory[[#This Row],[ln_acres]]*Grandview_Inventory[[#This Row],[coeff]])+Grandview_Inventory[[#This Row],[const]]</f>
        <v>42992.266613125081</v>
      </c>
      <c r="S1369" t="s">
        <v>61</v>
      </c>
      <c r="T1369">
        <v>1</v>
      </c>
      <c r="U1369" t="s">
        <v>65</v>
      </c>
      <c r="V1369" t="s">
        <v>69</v>
      </c>
      <c r="W1369">
        <v>0</v>
      </c>
      <c r="X1369">
        <v>0</v>
      </c>
      <c r="Y1369">
        <v>48</v>
      </c>
      <c r="Z1369">
        <v>63</v>
      </c>
      <c r="AA1369">
        <v>70</v>
      </c>
      <c r="AB1369">
        <v>1500</v>
      </c>
      <c r="AC1369">
        <v>1500</v>
      </c>
      <c r="AD1369">
        <v>1500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945</v>
      </c>
      <c r="AL1369">
        <v>0</v>
      </c>
      <c r="AM1369">
        <v>0</v>
      </c>
      <c r="AN1369">
        <v>0</v>
      </c>
      <c r="AO1369">
        <v>0</v>
      </c>
      <c r="AP1369">
        <v>5</v>
      </c>
      <c r="AQ1369">
        <v>0</v>
      </c>
      <c r="AR1369">
        <v>0</v>
      </c>
      <c r="AS1369" t="s">
        <v>58</v>
      </c>
      <c r="AT1369">
        <v>1</v>
      </c>
      <c r="AU1369" t="s">
        <v>63</v>
      </c>
      <c r="AV1369" t="s">
        <v>60</v>
      </c>
      <c r="AW1369">
        <v>0</v>
      </c>
      <c r="AX1369">
        <v>4</v>
      </c>
      <c r="AY1369">
        <v>0</v>
      </c>
      <c r="AZ1369">
        <v>0</v>
      </c>
      <c r="BA1369">
        <v>100</v>
      </c>
      <c r="BB1369">
        <v>100</v>
      </c>
      <c r="BC1369">
        <v>100</v>
      </c>
      <c r="BD1369">
        <v>100</v>
      </c>
      <c r="BE1369">
        <v>1</v>
      </c>
      <c r="BF1369">
        <v>15000</v>
      </c>
      <c r="BG1369">
        <v>1000</v>
      </c>
      <c r="BH1369" s="6">
        <f>Grandview_Inventory[[#This Row],[land_extract]]*Lookups!$B$3</f>
        <v>49926.8031387023</v>
      </c>
      <c r="BI1369" s="6">
        <f>IF(Grandview_Inventory[[#This Row],[bldg_style]]="",0,Lookups!$B$2)</f>
        <v>155833.95000000001</v>
      </c>
      <c r="BJ1369" s="6">
        <f>_xlfn.IFNA(VLOOKUP(Grandview_Inventory[[#This Row],[quality]],Lookups!$H$2:$J$14,3,FALSE),0)</f>
        <v>2251</v>
      </c>
      <c r="BK1369" s="6">
        <f>_xlfn.IFNA(VLOOKUP(Grandview_Inventory[[#This Row],[condition]],Lookups!$H$17:$J$24,3,FALSE),0)</f>
        <v>-4503</v>
      </c>
      <c r="BL1369" s="6">
        <f>Grandview_Inventory[[#This Row],[Eff_Age]]*Lookups!$B$14</f>
        <v>-11479.996799999999</v>
      </c>
      <c r="BM1369" s="6">
        <f>Grandview_Inventory[[#This Row],[living_area]]*Lookups!$B$15</f>
        <v>93571.279500000004</v>
      </c>
      <c r="BN1369" s="6">
        <f>Grandview_Inventory[[#This Row],[Fin BSMT]]*Lookups!$B$16</f>
        <v>0</v>
      </c>
      <c r="BO1369" s="6">
        <f>(Grandview_Inventory[[#This Row],[att_gar]]+Grandview_Inventory[[#This Row],[bltin_gar]])*Lookups!$B$17</f>
        <v>0</v>
      </c>
      <c r="BP1369" s="6">
        <f>Grandview_Inventory[[#This Row],[Plumbing Fixtures]]*Lookups!$B$18</f>
        <v>10052.209000000001</v>
      </c>
      <c r="BQ1369" s="6">
        <f>Grandview_Inventory[[#This Row],[detatched_value]]*Lookups!$B$19</f>
        <v>0</v>
      </c>
      <c r="BR1369" s="6">
        <f>SUM(Grandview_Inventory[[#This Row],[Intercept]:[det_value]])*Grandview_Inventory[[#This Row],[res_pct]]</f>
        <v>245725.44170000002</v>
      </c>
      <c r="BS1369" s="6">
        <f>Grandview_Inventory[[#This Row],[land_value]]</f>
        <v>49926.8031387023</v>
      </c>
      <c r="BT1369" s="4">
        <f>_xlfn.IFNA(VLOOKUP(Grandview_Inventory[[#This Row],[quality]],Lookups!$A$26:$C$33,3,FALSE),1)</f>
        <v>0.98763855981004833</v>
      </c>
      <c r="BU1369" s="4">
        <f>_xlfn.IFNA(VLOOKUP(Grandview_Inventory[[#This Row],[condition]],Lookups!$A$37:$C$44,3,FALSE),1)</f>
        <v>0.96469275950863709</v>
      </c>
      <c r="BV1369" s="4">
        <f>IF(Grandview_Inventory[[#This Row],[bldg_style]]="",1,_xlfn.IFNA(VLOOKUP(Grandview_Inventory[[#This Row],[decade]],Lookups!$F$29:$H$43,3,FALSE),1))</f>
        <v>0.99472141305414818</v>
      </c>
      <c r="BW1369" s="4">
        <f>_xlfn.IFNA(VLOOKUP(Grandview_Inventory[[#This Row],[living_area_range]],Lookups!$F$47:$H$56,3,FALSE),1)</f>
        <v>0.96135087979789358</v>
      </c>
      <c r="BX1369" s="4">
        <f>AVERAGE(Grandview_Inventory[[#This Row],[qual_adj]:[size_adj]])</f>
        <v>0.97710090304268182</v>
      </c>
      <c r="BY1369" s="6">
        <f>IF(Grandview_Inventory[[#This Row],[pre_res]]&lt;0,0,Grandview_Inventory[[#This Row],[pre_res]]*Grandview_Inventory[[#This Row],[overall_adj]])</f>
        <v>240098.55098563188</v>
      </c>
      <c r="BZ1369" s="6">
        <f>(Grandview_Inventory[[#This Row],[sum_land]]-IF(Grandview_Inventory[[#This Row],[no_utilities]]=1,12000,0))/IF(Grandview_Inventory[[#This Row],[unbuildable]]=1,2,1)</f>
        <v>49926.8031387023</v>
      </c>
      <c r="CA136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69">
        <f>ROUND(Grandview_Inventory[[#This Row],[det_value]]*Lookups!$M$28,-2)</f>
        <v>0</v>
      </c>
      <c r="CC1369">
        <f>IF(ROUND(Grandview_Inventory[[#This Row],[adj_res]]*Lookups!$M$28,-2)&lt;Grandview_Inventory[[#This Row],[min_res]],Grandview_Inventory[[#This Row],[min_res]],ROUND(Grandview_Inventory[[#This Row],[adj_res]]*Lookups!$M$28,-2))</f>
        <v>228100</v>
      </c>
      <c r="CD1369">
        <f>Grandview_Inventory[[#This Row],[final_det]]+Grandview_Inventory[[#This Row],[final_res]]</f>
        <v>228100</v>
      </c>
      <c r="CE1369">
        <f>Grandview_Inventory[[#This Row],[final_land]]+Grandview_Inventory[[#This Row],[final_imp]]+Grandview_Inventory[[#This Row],[crop_value]]</f>
        <v>275500</v>
      </c>
      <c r="CG1369" t="str">
        <f t="shared" si="21"/>
        <v>update valuation set market_land =47400, market_bldg=228100, market_total =275500, market_mdno =401, market_date ='9/10/2023' where link_id = (select link_id from parcel where parcel_year = '2024' and parcel_id = '23092314493');</v>
      </c>
    </row>
    <row r="1370" spans="1:85" x14ac:dyDescent="0.25">
      <c r="A1370">
        <v>23092314494</v>
      </c>
      <c r="B1370">
        <v>0.17</v>
      </c>
      <c r="C1370">
        <v>7351</v>
      </c>
      <c r="D1370" t="s">
        <v>129</v>
      </c>
      <c r="E1370" t="s">
        <v>53</v>
      </c>
      <c r="F1370" t="s">
        <v>53</v>
      </c>
      <c r="G1370">
        <v>4</v>
      </c>
      <c r="H1370" t="s">
        <v>54</v>
      </c>
      <c r="I1370">
        <v>145000</v>
      </c>
      <c r="J1370">
        <v>39100</v>
      </c>
      <c r="K1370">
        <v>0.17</v>
      </c>
      <c r="L137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70">
        <v>0</v>
      </c>
      <c r="N1370">
        <v>0</v>
      </c>
      <c r="O1370">
        <v>0</v>
      </c>
      <c r="P1370">
        <v>13398.7528</v>
      </c>
      <c r="Q1370">
        <v>63903</v>
      </c>
      <c r="R1370">
        <f>(Grandview_Inventory[[#This Row],[ln_acres]]*Grandview_Inventory[[#This Row],[coeff]])+Grandview_Inventory[[#This Row],[const]]</f>
        <v>40160.988302686128</v>
      </c>
      <c r="S1370" t="s">
        <v>68</v>
      </c>
      <c r="T1370">
        <v>1</v>
      </c>
      <c r="U1370" t="s">
        <v>65</v>
      </c>
      <c r="V1370" t="s">
        <v>69</v>
      </c>
      <c r="W1370">
        <v>0</v>
      </c>
      <c r="X1370">
        <v>0</v>
      </c>
      <c r="Y1370">
        <v>51</v>
      </c>
      <c r="Z1370">
        <v>78</v>
      </c>
      <c r="AA1370">
        <v>80</v>
      </c>
      <c r="AB1370">
        <v>2500</v>
      </c>
      <c r="AC1370">
        <v>2054</v>
      </c>
      <c r="AD1370">
        <v>1554</v>
      </c>
      <c r="AE1370">
        <v>0</v>
      </c>
      <c r="AF1370">
        <v>0</v>
      </c>
      <c r="AG1370">
        <v>500</v>
      </c>
      <c r="AH1370">
        <v>556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24</v>
      </c>
      <c r="AO1370">
        <v>0</v>
      </c>
      <c r="AP1370">
        <v>8</v>
      </c>
      <c r="AQ1370">
        <v>0</v>
      </c>
      <c r="AR1370">
        <v>1</v>
      </c>
      <c r="AS1370" t="s">
        <v>58</v>
      </c>
      <c r="AT1370">
        <v>1</v>
      </c>
      <c r="AU1370" t="s">
        <v>63</v>
      </c>
      <c r="AV1370" t="s">
        <v>64</v>
      </c>
      <c r="AW1370">
        <v>1</v>
      </c>
      <c r="AX1370">
        <v>2</v>
      </c>
      <c r="AY1370">
        <v>0</v>
      </c>
      <c r="AZ1370">
        <v>0</v>
      </c>
      <c r="BA1370">
        <v>100</v>
      </c>
      <c r="BB1370">
        <v>100</v>
      </c>
      <c r="BC1370">
        <v>100</v>
      </c>
      <c r="BD1370">
        <v>100</v>
      </c>
      <c r="BE1370">
        <v>1</v>
      </c>
      <c r="BF1370">
        <v>15000</v>
      </c>
      <c r="BG1370">
        <v>1000</v>
      </c>
      <c r="BH1370" s="6">
        <f>Grandview_Inventory[[#This Row],[land_extract]]*Lookups!$B$3</f>
        <v>46638.847281240982</v>
      </c>
      <c r="BI1370" s="6">
        <f>IF(Grandview_Inventory[[#This Row],[bldg_style]]="",0,Lookups!$B$2)</f>
        <v>155833.95000000001</v>
      </c>
      <c r="BJ1370" s="6">
        <f>_xlfn.IFNA(VLOOKUP(Grandview_Inventory[[#This Row],[quality]],Lookups!$H$2:$J$14,3,FALSE),0)</f>
        <v>2251</v>
      </c>
      <c r="BK1370" s="6">
        <f>_xlfn.IFNA(VLOOKUP(Grandview_Inventory[[#This Row],[condition]],Lookups!$H$17:$J$24,3,FALSE),0)</f>
        <v>-4503</v>
      </c>
      <c r="BL1370" s="6">
        <f>Grandview_Inventory[[#This Row],[Eff_Age]]*Lookups!$B$14</f>
        <v>-12197.496599999999</v>
      </c>
      <c r="BM1370" s="6">
        <f>Grandview_Inventory[[#This Row],[living_area]]*Lookups!$B$15</f>
        <v>128130.272062</v>
      </c>
      <c r="BN1370" s="6">
        <f>Grandview_Inventory[[#This Row],[Fin BSMT]]*Lookups!$B$16</f>
        <v>-13549.62</v>
      </c>
      <c r="BO1370" s="6">
        <f>(Grandview_Inventory[[#This Row],[att_gar]]+Grandview_Inventory[[#This Row],[bltin_gar]])*Lookups!$B$17</f>
        <v>0</v>
      </c>
      <c r="BP1370" s="6">
        <f>Grandview_Inventory[[#This Row],[Plumbing Fixtures]]*Lookups!$B$18</f>
        <v>16083.5344</v>
      </c>
      <c r="BQ1370" s="6">
        <f>Grandview_Inventory[[#This Row],[detatched_value]]*Lookups!$B$19</f>
        <v>0</v>
      </c>
      <c r="BR1370" s="6">
        <f>SUM(Grandview_Inventory[[#This Row],[Intercept]:[det_value]])*Grandview_Inventory[[#This Row],[res_pct]]</f>
        <v>272048.63986200001</v>
      </c>
      <c r="BS1370" s="6">
        <f>Grandview_Inventory[[#This Row],[land_value]]</f>
        <v>46638.847281240982</v>
      </c>
      <c r="BT1370" s="4">
        <f>_xlfn.IFNA(VLOOKUP(Grandview_Inventory[[#This Row],[quality]],Lookups!$A$26:$C$33,3,FALSE),1)</f>
        <v>0.98763855981004833</v>
      </c>
      <c r="BU1370" s="4">
        <f>_xlfn.IFNA(VLOOKUP(Grandview_Inventory[[#This Row],[condition]],Lookups!$A$37:$C$44,3,FALSE),1)</f>
        <v>0.96469275950863709</v>
      </c>
      <c r="BV1370" s="4">
        <f>IF(Grandview_Inventory[[#This Row],[bldg_style]]="",1,_xlfn.IFNA(VLOOKUP(Grandview_Inventory[[#This Row],[decade]],Lookups!$F$29:$H$43,3,FALSE),1))</f>
        <v>0.98763256963907298</v>
      </c>
      <c r="BW1370" s="4">
        <f>_xlfn.IFNA(VLOOKUP(Grandview_Inventory[[#This Row],[living_area_range]],Lookups!$F$47:$H$56,3,FALSE),1)</f>
        <v>0.95799442568048754</v>
      </c>
      <c r="BX1370" s="4">
        <f>AVERAGE(Grandview_Inventory[[#This Row],[qual_adj]:[size_adj]])</f>
        <v>0.97448957865956143</v>
      </c>
      <c r="BY1370" s="6">
        <f>IF(Grandview_Inventory[[#This Row],[pre_res]]&lt;0,0,Grandview_Inventory[[#This Row],[pre_res]]*Grandview_Inventory[[#This Row],[overall_adj]])</f>
        <v>265108.56443402718</v>
      </c>
      <c r="BZ1370" s="6">
        <f>(Grandview_Inventory[[#This Row],[sum_land]]-IF(Grandview_Inventory[[#This Row],[no_utilities]]=1,12000,0))/IF(Grandview_Inventory[[#This Row],[unbuildable]]=1,2,1)</f>
        <v>46638.847281240982</v>
      </c>
      <c r="CA137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70">
        <f>ROUND(Grandview_Inventory[[#This Row],[det_value]]*Lookups!$M$28,-2)</f>
        <v>0</v>
      </c>
      <c r="CC1370">
        <f>IF(ROUND(Grandview_Inventory[[#This Row],[adj_res]]*Lookups!$M$28,-2)&lt;Grandview_Inventory[[#This Row],[min_res]],Grandview_Inventory[[#This Row],[min_res]],ROUND(Grandview_Inventory[[#This Row],[adj_res]]*Lookups!$M$28,-2))</f>
        <v>251900</v>
      </c>
      <c r="CD1370">
        <f>Grandview_Inventory[[#This Row],[final_det]]+Grandview_Inventory[[#This Row],[final_res]]</f>
        <v>251900</v>
      </c>
      <c r="CE1370">
        <f>Grandview_Inventory[[#This Row],[final_land]]+Grandview_Inventory[[#This Row],[final_imp]]+Grandview_Inventory[[#This Row],[crop_value]]</f>
        <v>296200</v>
      </c>
      <c r="CG1370" t="str">
        <f t="shared" si="21"/>
        <v>update valuation set market_land =44300, market_bldg=251900, market_total =296200, market_mdno =401, market_date ='9/10/2023' where link_id = (select link_id from parcel where parcel_year = '2024' and parcel_id = '23092314494');</v>
      </c>
    </row>
    <row r="1371" spans="1:85" x14ac:dyDescent="0.25">
      <c r="A1371">
        <v>23092314495</v>
      </c>
      <c r="B1371">
        <v>0.2</v>
      </c>
      <c r="C1371">
        <v>8690</v>
      </c>
      <c r="D1371" t="s">
        <v>129</v>
      </c>
      <c r="E1371" t="s">
        <v>53</v>
      </c>
      <c r="F1371" t="s">
        <v>53</v>
      </c>
      <c r="G1371">
        <v>4</v>
      </c>
      <c r="H1371" t="s">
        <v>54</v>
      </c>
      <c r="I1371">
        <v>129100</v>
      </c>
      <c r="J1371">
        <v>39800</v>
      </c>
      <c r="K1371">
        <v>0.2</v>
      </c>
      <c r="L137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71">
        <v>0</v>
      </c>
      <c r="N1371">
        <v>0</v>
      </c>
      <c r="O1371">
        <v>0</v>
      </c>
      <c r="P1371">
        <v>13398.7528</v>
      </c>
      <c r="Q1371">
        <v>63903</v>
      </c>
      <c r="R1371">
        <f>(Grandview_Inventory[[#This Row],[ln_acres]]*Grandview_Inventory[[#This Row],[coeff]])+Grandview_Inventory[[#This Row],[const]]</f>
        <v>42338.539264347448</v>
      </c>
      <c r="S1371" t="s">
        <v>68</v>
      </c>
      <c r="T1371">
        <v>1</v>
      </c>
      <c r="U1371" t="s">
        <v>70</v>
      </c>
      <c r="V1371" t="s">
        <v>69</v>
      </c>
      <c r="W1371">
        <v>0</v>
      </c>
      <c r="X1371">
        <v>0</v>
      </c>
      <c r="Y1371">
        <v>53</v>
      </c>
      <c r="Z1371">
        <v>93</v>
      </c>
      <c r="AA1371">
        <v>100</v>
      </c>
      <c r="AB1371">
        <v>1500</v>
      </c>
      <c r="AC1371">
        <v>1041</v>
      </c>
      <c r="AD1371">
        <v>1041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64</v>
      </c>
      <c r="AP1371">
        <v>5</v>
      </c>
      <c r="AQ1371">
        <v>0</v>
      </c>
      <c r="AR1371">
        <v>0</v>
      </c>
      <c r="AS1371" t="s">
        <v>58</v>
      </c>
      <c r="AT1371">
        <v>1</v>
      </c>
      <c r="AU1371" t="s">
        <v>63</v>
      </c>
      <c r="AV1371" t="s">
        <v>60</v>
      </c>
      <c r="AW1371">
        <v>0</v>
      </c>
      <c r="AX1371">
        <v>2</v>
      </c>
      <c r="AY1371">
        <v>0</v>
      </c>
      <c r="AZ1371">
        <v>5900</v>
      </c>
      <c r="BA1371">
        <v>100</v>
      </c>
      <c r="BB1371">
        <v>100</v>
      </c>
      <c r="BC1371">
        <v>100</v>
      </c>
      <c r="BD1371">
        <v>100</v>
      </c>
      <c r="BE1371">
        <v>1</v>
      </c>
      <c r="BF1371">
        <v>15000</v>
      </c>
      <c r="BG1371">
        <v>1000</v>
      </c>
      <c r="BH1371" s="6">
        <f>Grandview_Inventory[[#This Row],[land_extract]]*Lookups!$B$3</f>
        <v>49167.631333630678</v>
      </c>
      <c r="BI1371" s="6">
        <f>IF(Grandview_Inventory[[#This Row],[bldg_style]]="",0,Lookups!$B$2)</f>
        <v>155833.95000000001</v>
      </c>
      <c r="BJ1371" s="6">
        <f>_xlfn.IFNA(VLOOKUP(Grandview_Inventory[[#This Row],[quality]],Lookups!$H$2:$J$14,3,FALSE),0)</f>
        <v>10733</v>
      </c>
      <c r="BK1371" s="6">
        <f>_xlfn.IFNA(VLOOKUP(Grandview_Inventory[[#This Row],[condition]],Lookups!$H$17:$J$24,3,FALSE),0)</f>
        <v>-4503</v>
      </c>
      <c r="BL1371" s="6">
        <f>Grandview_Inventory[[#This Row],[Eff_Age]]*Lookups!$B$14</f>
        <v>-12675.8298</v>
      </c>
      <c r="BM1371" s="6">
        <f>Grandview_Inventory[[#This Row],[living_area]]*Lookups!$B$15</f>
        <v>64938.467972999999</v>
      </c>
      <c r="BN1371" s="6">
        <f>Grandview_Inventory[[#This Row],[Fin BSMT]]*Lookups!$B$16</f>
        <v>0</v>
      </c>
      <c r="BO1371" s="6">
        <f>(Grandview_Inventory[[#This Row],[att_gar]]+Grandview_Inventory[[#This Row],[bltin_gar]])*Lookups!$B$17</f>
        <v>0</v>
      </c>
      <c r="BP1371" s="6">
        <f>Grandview_Inventory[[#This Row],[Plumbing Fixtures]]*Lookups!$B$18</f>
        <v>10052.209000000001</v>
      </c>
      <c r="BQ1371" s="6">
        <f>Grandview_Inventory[[#This Row],[detatched_value]]*Lookups!$B$19</f>
        <v>4996.1500900000001</v>
      </c>
      <c r="BR1371" s="6">
        <f>SUM(Grandview_Inventory[[#This Row],[Intercept]:[det_value]])*Grandview_Inventory[[#This Row],[res_pct]]</f>
        <v>229374.94726300001</v>
      </c>
      <c r="BS1371" s="6">
        <f>Grandview_Inventory[[#This Row],[land_value]]</f>
        <v>49167.631333630678</v>
      </c>
      <c r="BT1371" s="4">
        <f>_xlfn.IFNA(VLOOKUP(Grandview_Inventory[[#This Row],[quality]],Lookups!$A$26:$C$33,3,FALSE),1)</f>
        <v>0.98079741117310582</v>
      </c>
      <c r="BU1371" s="4">
        <f>_xlfn.IFNA(VLOOKUP(Grandview_Inventory[[#This Row],[condition]],Lookups!$A$37:$C$44,3,FALSE),1)</f>
        <v>0.96469275950863709</v>
      </c>
      <c r="BV1371" s="4">
        <f>IF(Grandview_Inventory[[#This Row],[bldg_style]]="",1,_xlfn.IFNA(VLOOKUP(Grandview_Inventory[[#This Row],[decade]],Lookups!$F$29:$H$43,3,FALSE),1))</f>
        <v>0.95244691841736806</v>
      </c>
      <c r="BW1371" s="4">
        <f>_xlfn.IFNA(VLOOKUP(Grandview_Inventory[[#This Row],[living_area_range]],Lookups!$F$47:$H$56,3,FALSE),1)</f>
        <v>0.96135087979789358</v>
      </c>
      <c r="BX1371" s="4">
        <f>AVERAGE(Grandview_Inventory[[#This Row],[qual_adj]:[size_adj]])</f>
        <v>0.96482199222425113</v>
      </c>
      <c r="BY1371" s="6">
        <f>IF(Grandview_Inventory[[#This Row],[pre_res]]&lt;0,0,Grandview_Inventory[[#This Row],[pre_res]]*Grandview_Inventory[[#This Row],[overall_adj]])</f>
        <v>221305.99358462021</v>
      </c>
      <c r="BZ1371" s="6">
        <f>(Grandview_Inventory[[#This Row],[sum_land]]-IF(Grandview_Inventory[[#This Row],[no_utilities]]=1,12000,0))/IF(Grandview_Inventory[[#This Row],[unbuildable]]=1,2,1)</f>
        <v>49167.631333630678</v>
      </c>
      <c r="CA137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71">
        <f>ROUND(Grandview_Inventory[[#This Row],[det_value]]*Lookups!$M$28,-2)</f>
        <v>4700</v>
      </c>
      <c r="CC1371">
        <f>IF(ROUND(Grandview_Inventory[[#This Row],[adj_res]]*Lookups!$M$28,-2)&lt;Grandview_Inventory[[#This Row],[min_res]],Grandview_Inventory[[#This Row],[min_res]],ROUND(Grandview_Inventory[[#This Row],[adj_res]]*Lookups!$M$28,-2))</f>
        <v>210200</v>
      </c>
      <c r="CD1371">
        <f>Grandview_Inventory[[#This Row],[final_det]]+Grandview_Inventory[[#This Row],[final_res]]</f>
        <v>214900</v>
      </c>
      <c r="CE1371">
        <f>Grandview_Inventory[[#This Row],[final_land]]+Grandview_Inventory[[#This Row],[final_imp]]+Grandview_Inventory[[#This Row],[crop_value]]</f>
        <v>261600</v>
      </c>
      <c r="CG1371" t="str">
        <f t="shared" si="21"/>
        <v>update valuation set market_land =46700, market_bldg=214900, market_total =261600, market_mdno =401, market_date ='9/10/2023' where link_id = (select link_id from parcel where parcel_year = '2024' and parcel_id = '23092314495');</v>
      </c>
    </row>
    <row r="1372" spans="1:85" x14ac:dyDescent="0.25">
      <c r="A1372">
        <v>23092314496</v>
      </c>
      <c r="B1372">
        <v>0.28999999999999998</v>
      </c>
      <c r="C1372">
        <v>12778</v>
      </c>
      <c r="D1372" t="s">
        <v>129</v>
      </c>
      <c r="E1372" t="s">
        <v>53</v>
      </c>
      <c r="F1372" t="s">
        <v>53</v>
      </c>
      <c r="G1372">
        <v>4</v>
      </c>
      <c r="H1372" t="s">
        <v>54</v>
      </c>
      <c r="I1372">
        <v>262900</v>
      </c>
      <c r="J1372">
        <v>41200</v>
      </c>
      <c r="K1372">
        <v>0.28999999999999998</v>
      </c>
      <c r="L1372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372">
        <v>0</v>
      </c>
      <c r="N1372">
        <v>0</v>
      </c>
      <c r="O1372">
        <v>0</v>
      </c>
      <c r="P1372">
        <v>13398.7528</v>
      </c>
      <c r="Q1372">
        <v>63903</v>
      </c>
      <c r="R1372">
        <f>(Grandview_Inventory[[#This Row],[ln_acres]]*Grandview_Inventory[[#This Row],[coeff]])+Grandview_Inventory[[#This Row],[const]]</f>
        <v>47317.027506475133</v>
      </c>
      <c r="S1372" t="s">
        <v>84</v>
      </c>
      <c r="T1372">
        <v>2</v>
      </c>
      <c r="U1372" t="s">
        <v>65</v>
      </c>
      <c r="V1372" t="s">
        <v>67</v>
      </c>
      <c r="W1372">
        <v>0</v>
      </c>
      <c r="X1372">
        <v>0</v>
      </c>
      <c r="Y1372">
        <v>56</v>
      </c>
      <c r="Z1372">
        <v>100</v>
      </c>
      <c r="AA1372">
        <v>100</v>
      </c>
      <c r="AB1372">
        <v>1500</v>
      </c>
      <c r="AC1372">
        <v>1414</v>
      </c>
      <c r="AD1372">
        <v>954</v>
      </c>
      <c r="AE1372">
        <v>460</v>
      </c>
      <c r="AF1372">
        <v>0</v>
      </c>
      <c r="AG1372">
        <v>0</v>
      </c>
      <c r="AH1372">
        <v>686</v>
      </c>
      <c r="AI1372">
        <v>0</v>
      </c>
      <c r="AJ1372">
        <v>0</v>
      </c>
      <c r="AK1372">
        <v>0</v>
      </c>
      <c r="AL1372">
        <v>283</v>
      </c>
      <c r="AM1372">
        <v>0</v>
      </c>
      <c r="AN1372">
        <v>192</v>
      </c>
      <c r="AO1372">
        <v>0</v>
      </c>
      <c r="AP1372">
        <v>8</v>
      </c>
      <c r="AQ1372">
        <v>0</v>
      </c>
      <c r="AR1372">
        <v>1</v>
      </c>
      <c r="AS1372" t="s">
        <v>58</v>
      </c>
      <c r="AT1372">
        <v>1</v>
      </c>
      <c r="AU1372" t="s">
        <v>63</v>
      </c>
      <c r="AV1372" t="s">
        <v>64</v>
      </c>
      <c r="AW1372">
        <v>0</v>
      </c>
      <c r="AX1372">
        <v>3</v>
      </c>
      <c r="AY1372">
        <v>0</v>
      </c>
      <c r="AZ1372">
        <v>8000</v>
      </c>
      <c r="BA1372">
        <v>100</v>
      </c>
      <c r="BB1372">
        <v>100</v>
      </c>
      <c r="BC1372">
        <v>100</v>
      </c>
      <c r="BD1372">
        <v>100</v>
      </c>
      <c r="BE1372">
        <v>1</v>
      </c>
      <c r="BF1372">
        <v>15000</v>
      </c>
      <c r="BG1372">
        <v>1000</v>
      </c>
      <c r="BH1372" s="6">
        <f>Grandview_Inventory[[#This Row],[land_extract]]*Lookups!$B$3</f>
        <v>54949.136287295303</v>
      </c>
      <c r="BI1372" s="6">
        <f>IF(Grandview_Inventory[[#This Row],[bldg_style]]="",0,Lookups!$B$2)</f>
        <v>155833.95000000001</v>
      </c>
      <c r="BJ1372" s="6">
        <f>_xlfn.IFNA(VLOOKUP(Grandview_Inventory[[#This Row],[quality]],Lookups!$H$2:$J$14,3,FALSE),0)</f>
        <v>2251</v>
      </c>
      <c r="BK1372" s="6">
        <f>_xlfn.IFNA(VLOOKUP(Grandview_Inventory[[#This Row],[condition]],Lookups!$H$17:$J$24,3,FALSE),0)</f>
        <v>22342</v>
      </c>
      <c r="BL1372" s="6">
        <f>Grandview_Inventory[[#This Row],[Eff_Age]]*Lookups!$B$14</f>
        <v>-13393.329599999999</v>
      </c>
      <c r="BM1372" s="6">
        <f>Grandview_Inventory[[#This Row],[living_area]]*Lookups!$B$15</f>
        <v>88206.526142000002</v>
      </c>
      <c r="BN1372" s="6">
        <f>Grandview_Inventory[[#This Row],[Fin BSMT]]*Lookups!$B$16</f>
        <v>0</v>
      </c>
      <c r="BO1372" s="6">
        <f>(Grandview_Inventory[[#This Row],[att_gar]]+Grandview_Inventory[[#This Row],[bltin_gar]])*Lookups!$B$17</f>
        <v>0</v>
      </c>
      <c r="BP1372" s="6">
        <f>Grandview_Inventory[[#This Row],[Plumbing Fixtures]]*Lookups!$B$18</f>
        <v>16083.5344</v>
      </c>
      <c r="BQ1372" s="6">
        <f>Grandview_Inventory[[#This Row],[detatched_value]]*Lookups!$B$19</f>
        <v>6774.4407999999994</v>
      </c>
      <c r="BR1372" s="6">
        <f>SUM(Grandview_Inventory[[#This Row],[Intercept]:[det_value]])*Grandview_Inventory[[#This Row],[res_pct]]</f>
        <v>278098.12174199999</v>
      </c>
      <c r="BS1372" s="6">
        <f>Grandview_Inventory[[#This Row],[land_value]]</f>
        <v>54949.136287295303</v>
      </c>
      <c r="BT1372" s="4">
        <f>_xlfn.IFNA(VLOOKUP(Grandview_Inventory[[#This Row],[quality]],Lookups!$A$26:$C$33,3,FALSE),1)</f>
        <v>0.98763855981004833</v>
      </c>
      <c r="BU1372" s="4">
        <f>_xlfn.IFNA(VLOOKUP(Grandview_Inventory[[#This Row],[condition]],Lookups!$A$37:$C$44,3,FALSE),1)</f>
        <v>0.97383723671140243</v>
      </c>
      <c r="BV1372" s="4">
        <f>IF(Grandview_Inventory[[#This Row],[bldg_style]]="",1,_xlfn.IFNA(VLOOKUP(Grandview_Inventory[[#This Row],[decade]],Lookups!$F$29:$H$43,3,FALSE),1))</f>
        <v>0.95244691841736806</v>
      </c>
      <c r="BW1372" s="4">
        <f>_xlfn.IFNA(VLOOKUP(Grandview_Inventory[[#This Row],[living_area_range]],Lookups!$F$47:$H$56,3,FALSE),1)</f>
        <v>0.96135087979789358</v>
      </c>
      <c r="BX1372" s="4">
        <f>AVERAGE(Grandview_Inventory[[#This Row],[qual_adj]:[size_adj]])</f>
        <v>0.96881839868417807</v>
      </c>
      <c r="BY1372" s="6">
        <f>IF(Grandview_Inventory[[#This Row],[pre_res]]&lt;0,0,Grandview_Inventory[[#This Row],[pre_res]]*Grandview_Inventory[[#This Row],[overall_adj]])</f>
        <v>269426.57698316203</v>
      </c>
      <c r="BZ1372" s="6">
        <f>(Grandview_Inventory[[#This Row],[sum_land]]-IF(Grandview_Inventory[[#This Row],[no_utilities]]=1,12000,0))/IF(Grandview_Inventory[[#This Row],[unbuildable]]=1,2,1)</f>
        <v>54949.136287295303</v>
      </c>
      <c r="CA1372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372">
        <f>ROUND(Grandview_Inventory[[#This Row],[det_value]]*Lookups!$M$28,-2)</f>
        <v>6400</v>
      </c>
      <c r="CC1372">
        <f>IF(ROUND(Grandview_Inventory[[#This Row],[adj_res]]*Lookups!$M$28,-2)&lt;Grandview_Inventory[[#This Row],[min_res]],Grandview_Inventory[[#This Row],[min_res]],ROUND(Grandview_Inventory[[#This Row],[adj_res]]*Lookups!$M$28,-2))</f>
        <v>256000</v>
      </c>
      <c r="CD1372">
        <f>Grandview_Inventory[[#This Row],[final_det]]+Grandview_Inventory[[#This Row],[final_res]]</f>
        <v>262400</v>
      </c>
      <c r="CE1372">
        <f>Grandview_Inventory[[#This Row],[final_land]]+Grandview_Inventory[[#This Row],[final_imp]]+Grandview_Inventory[[#This Row],[crop_value]]</f>
        <v>314600</v>
      </c>
      <c r="CG1372" t="str">
        <f t="shared" si="21"/>
        <v>update valuation set market_land =52200, market_bldg=262400, market_total =314600, market_mdno =401, market_date ='9/10/2023' where link_id = (select link_id from parcel where parcel_year = '2024' and parcel_id = '23092314496');</v>
      </c>
    </row>
    <row r="1373" spans="1:85" x14ac:dyDescent="0.25">
      <c r="A1373">
        <v>23092314504</v>
      </c>
      <c r="B1373">
        <v>0.13</v>
      </c>
      <c r="C1373">
        <v>5475</v>
      </c>
      <c r="D1373" t="s">
        <v>129</v>
      </c>
      <c r="E1373" t="s">
        <v>53</v>
      </c>
      <c r="F1373" t="s">
        <v>53</v>
      </c>
      <c r="G1373">
        <v>4</v>
      </c>
      <c r="H1373" t="s">
        <v>54</v>
      </c>
      <c r="I1373">
        <v>174300</v>
      </c>
      <c r="J1373">
        <v>38400</v>
      </c>
      <c r="K1373">
        <v>0.13</v>
      </c>
      <c r="L1373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373">
        <v>0</v>
      </c>
      <c r="N1373">
        <v>0</v>
      </c>
      <c r="O1373">
        <v>0</v>
      </c>
      <c r="P1373">
        <v>13398.7528</v>
      </c>
      <c r="Q1373">
        <v>63903</v>
      </c>
      <c r="R1373">
        <f>(Grandview_Inventory[[#This Row],[ln_acres]]*Grandview_Inventory[[#This Row],[coeff]])+Grandview_Inventory[[#This Row],[const]]</f>
        <v>36566.585461161507</v>
      </c>
      <c r="S1373" t="s">
        <v>68</v>
      </c>
      <c r="T1373">
        <v>1</v>
      </c>
      <c r="U1373" t="s">
        <v>70</v>
      </c>
      <c r="V1373" t="s">
        <v>67</v>
      </c>
      <c r="W1373">
        <v>0</v>
      </c>
      <c r="X1373">
        <v>0</v>
      </c>
      <c r="Y1373">
        <v>51</v>
      </c>
      <c r="Z1373">
        <v>78</v>
      </c>
      <c r="AA1373">
        <v>80</v>
      </c>
      <c r="AB1373">
        <v>1500</v>
      </c>
      <c r="AC1373">
        <v>1006</v>
      </c>
      <c r="AD1373">
        <v>1006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200</v>
      </c>
      <c r="AL1373">
        <v>0</v>
      </c>
      <c r="AM1373">
        <v>0</v>
      </c>
      <c r="AN1373">
        <v>55</v>
      </c>
      <c r="AO1373">
        <v>0</v>
      </c>
      <c r="AP1373">
        <v>5</v>
      </c>
      <c r="AQ1373">
        <v>0</v>
      </c>
      <c r="AR1373">
        <v>0</v>
      </c>
      <c r="AS1373" t="s">
        <v>58</v>
      </c>
      <c r="AT1373">
        <v>1</v>
      </c>
      <c r="AU1373" t="s">
        <v>63</v>
      </c>
      <c r="AV1373" t="s">
        <v>60</v>
      </c>
      <c r="AW1373">
        <v>1</v>
      </c>
      <c r="AX1373">
        <v>2</v>
      </c>
      <c r="AY1373">
        <v>0</v>
      </c>
      <c r="AZ1373">
        <v>0</v>
      </c>
      <c r="BA1373">
        <v>100</v>
      </c>
      <c r="BB1373">
        <v>100</v>
      </c>
      <c r="BC1373">
        <v>100</v>
      </c>
      <c r="BD1373">
        <v>100</v>
      </c>
      <c r="BE1373">
        <v>1</v>
      </c>
      <c r="BF1373">
        <v>15000</v>
      </c>
      <c r="BG1373">
        <v>1000</v>
      </c>
      <c r="BH1373" s="6">
        <f>Grandview_Inventory[[#This Row],[land_extract]]*Lookups!$B$3</f>
        <v>42464.67696626611</v>
      </c>
      <c r="BI1373" s="6">
        <f>IF(Grandview_Inventory[[#This Row],[bldg_style]]="",0,Lookups!$B$2)</f>
        <v>155833.95000000001</v>
      </c>
      <c r="BJ1373" s="6">
        <f>_xlfn.IFNA(VLOOKUP(Grandview_Inventory[[#This Row],[quality]],Lookups!$H$2:$J$14,3,FALSE),0)</f>
        <v>10733</v>
      </c>
      <c r="BK1373" s="6">
        <f>_xlfn.IFNA(VLOOKUP(Grandview_Inventory[[#This Row],[condition]],Lookups!$H$17:$J$24,3,FALSE),0)</f>
        <v>22342</v>
      </c>
      <c r="BL1373" s="6">
        <f>Grandview_Inventory[[#This Row],[Eff_Age]]*Lookups!$B$14</f>
        <v>-12197.496599999999</v>
      </c>
      <c r="BM1373" s="6">
        <f>Grandview_Inventory[[#This Row],[living_area]]*Lookups!$B$15</f>
        <v>62755.138118000003</v>
      </c>
      <c r="BN1373" s="6">
        <f>Grandview_Inventory[[#This Row],[Fin BSMT]]*Lookups!$B$16</f>
        <v>0</v>
      </c>
      <c r="BO1373" s="6">
        <f>(Grandview_Inventory[[#This Row],[att_gar]]+Grandview_Inventory[[#This Row],[bltin_gar]])*Lookups!$B$17</f>
        <v>0</v>
      </c>
      <c r="BP1373" s="6">
        <f>Grandview_Inventory[[#This Row],[Plumbing Fixtures]]*Lookups!$B$18</f>
        <v>10052.209000000001</v>
      </c>
      <c r="BQ1373" s="6">
        <f>Grandview_Inventory[[#This Row],[detatched_value]]*Lookups!$B$19</f>
        <v>0</v>
      </c>
      <c r="BR1373" s="6">
        <f>SUM(Grandview_Inventory[[#This Row],[Intercept]:[det_value]])*Grandview_Inventory[[#This Row],[res_pct]]</f>
        <v>249518.800518</v>
      </c>
      <c r="BS1373" s="6">
        <f>Grandview_Inventory[[#This Row],[land_value]]</f>
        <v>42464.67696626611</v>
      </c>
      <c r="BT1373" s="4">
        <f>_xlfn.IFNA(VLOOKUP(Grandview_Inventory[[#This Row],[quality]],Lookups!$A$26:$C$33,3,FALSE),1)</f>
        <v>0.98079741117310582</v>
      </c>
      <c r="BU1373" s="4">
        <f>_xlfn.IFNA(VLOOKUP(Grandview_Inventory[[#This Row],[condition]],Lookups!$A$37:$C$44,3,FALSE),1)</f>
        <v>0.97383723671140243</v>
      </c>
      <c r="BV1373" s="4">
        <f>IF(Grandview_Inventory[[#This Row],[bldg_style]]="",1,_xlfn.IFNA(VLOOKUP(Grandview_Inventory[[#This Row],[decade]],Lookups!$F$29:$H$43,3,FALSE),1))</f>
        <v>0.98763256963907298</v>
      </c>
      <c r="BW1373" s="4">
        <f>_xlfn.IFNA(VLOOKUP(Grandview_Inventory[[#This Row],[living_area_range]],Lookups!$F$47:$H$56,3,FALSE),1)</f>
        <v>0.96135087979789358</v>
      </c>
      <c r="BX1373" s="4">
        <f>AVERAGE(Grandview_Inventory[[#This Row],[qual_adj]:[size_adj]])</f>
        <v>0.97590452433036867</v>
      </c>
      <c r="BY1373" s="6">
        <f>IF(Grandview_Inventory[[#This Row],[pre_res]]&lt;0,0,Grandview_Inventory[[#This Row],[pre_res]]*Grandview_Inventory[[#This Row],[overall_adj]])</f>
        <v>243506.52633100294</v>
      </c>
      <c r="BZ1373" s="6">
        <f>(Grandview_Inventory[[#This Row],[sum_land]]-IF(Grandview_Inventory[[#This Row],[no_utilities]]=1,12000,0))/IF(Grandview_Inventory[[#This Row],[unbuildable]]=1,2,1)</f>
        <v>42464.67696626611</v>
      </c>
      <c r="CA1373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373">
        <f>ROUND(Grandview_Inventory[[#This Row],[det_value]]*Lookups!$M$28,-2)</f>
        <v>0</v>
      </c>
      <c r="CC1373">
        <f>IF(ROUND(Grandview_Inventory[[#This Row],[adj_res]]*Lookups!$M$28,-2)&lt;Grandview_Inventory[[#This Row],[min_res]],Grandview_Inventory[[#This Row],[min_res]],ROUND(Grandview_Inventory[[#This Row],[adj_res]]*Lookups!$M$28,-2))</f>
        <v>231300</v>
      </c>
      <c r="CD1373">
        <f>Grandview_Inventory[[#This Row],[final_det]]+Grandview_Inventory[[#This Row],[final_res]]</f>
        <v>231300</v>
      </c>
      <c r="CE1373">
        <f>Grandview_Inventory[[#This Row],[final_land]]+Grandview_Inventory[[#This Row],[final_imp]]+Grandview_Inventory[[#This Row],[crop_value]]</f>
        <v>271600</v>
      </c>
      <c r="CG1373" t="str">
        <f t="shared" si="21"/>
        <v>update valuation set market_land =40300, market_bldg=231300, market_total =271600, market_mdno =401, market_date ='9/10/2023' where link_id = (select link_id from parcel where parcel_year = '2024' and parcel_id = '23092314504');</v>
      </c>
    </row>
    <row r="1374" spans="1:85" x14ac:dyDescent="0.25">
      <c r="A1374">
        <v>23092314505</v>
      </c>
      <c r="B1374">
        <v>0.13</v>
      </c>
      <c r="C1374">
        <v>5862</v>
      </c>
      <c r="D1374" t="s">
        <v>129</v>
      </c>
      <c r="E1374" t="s">
        <v>53</v>
      </c>
      <c r="F1374" t="s">
        <v>53</v>
      </c>
      <c r="G1374">
        <v>4</v>
      </c>
      <c r="H1374" t="s">
        <v>54</v>
      </c>
      <c r="I1374">
        <v>128600</v>
      </c>
      <c r="J1374">
        <v>38600</v>
      </c>
      <c r="K1374">
        <v>0.13</v>
      </c>
      <c r="L1374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374">
        <v>0</v>
      </c>
      <c r="N1374">
        <v>0</v>
      </c>
      <c r="O1374">
        <v>0</v>
      </c>
      <c r="P1374">
        <v>13398.7528</v>
      </c>
      <c r="Q1374">
        <v>63903</v>
      </c>
      <c r="R1374">
        <f>(Grandview_Inventory[[#This Row],[ln_acres]]*Grandview_Inventory[[#This Row],[coeff]])+Grandview_Inventory[[#This Row],[const]]</f>
        <v>36566.585461161507</v>
      </c>
      <c r="S1374" t="s">
        <v>68</v>
      </c>
      <c r="T1374">
        <v>2</v>
      </c>
      <c r="U1374" t="s">
        <v>70</v>
      </c>
      <c r="V1374" t="s">
        <v>78</v>
      </c>
      <c r="W1374">
        <v>0</v>
      </c>
      <c r="X1374">
        <v>0</v>
      </c>
      <c r="Y1374">
        <v>57</v>
      </c>
      <c r="Z1374">
        <v>103</v>
      </c>
      <c r="AA1374">
        <v>110</v>
      </c>
      <c r="AB1374">
        <v>2000</v>
      </c>
      <c r="AC1374">
        <v>1880</v>
      </c>
      <c r="AD1374">
        <v>1152</v>
      </c>
      <c r="AE1374">
        <v>340</v>
      </c>
      <c r="AF1374">
        <v>0</v>
      </c>
      <c r="AG1374">
        <v>388</v>
      </c>
      <c r="AH1374">
        <v>404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80</v>
      </c>
      <c r="AO1374">
        <v>0</v>
      </c>
      <c r="AP1374">
        <v>8</v>
      </c>
      <c r="AQ1374">
        <v>0</v>
      </c>
      <c r="AR1374">
        <v>0</v>
      </c>
      <c r="AS1374" t="s">
        <v>58</v>
      </c>
      <c r="AT1374">
        <v>1</v>
      </c>
      <c r="AU1374" t="s">
        <v>75</v>
      </c>
      <c r="AV1374" t="s">
        <v>60</v>
      </c>
      <c r="AW1374">
        <v>0</v>
      </c>
      <c r="AX1374">
        <v>2</v>
      </c>
      <c r="AY1374">
        <v>0</v>
      </c>
      <c r="AZ1374">
        <v>5400</v>
      </c>
      <c r="BA1374">
        <v>100</v>
      </c>
      <c r="BB1374">
        <v>100</v>
      </c>
      <c r="BC1374">
        <v>100</v>
      </c>
      <c r="BD1374">
        <v>100</v>
      </c>
      <c r="BE1374">
        <v>1</v>
      </c>
      <c r="BF1374">
        <v>15000</v>
      </c>
      <c r="BG1374">
        <v>1000</v>
      </c>
      <c r="BH1374" s="6">
        <f>Grandview_Inventory[[#This Row],[land_extract]]*Lookups!$B$3</f>
        <v>42464.67696626611</v>
      </c>
      <c r="BI1374" s="6">
        <f>IF(Grandview_Inventory[[#This Row],[bldg_style]]="",0,Lookups!$B$2)</f>
        <v>155833.95000000001</v>
      </c>
      <c r="BJ1374" s="6">
        <f>_xlfn.IFNA(VLOOKUP(Grandview_Inventory[[#This Row],[quality]],Lookups!$H$2:$J$14,3,FALSE),0)</f>
        <v>10733</v>
      </c>
      <c r="BK1374" s="6">
        <f>_xlfn.IFNA(VLOOKUP(Grandview_Inventory[[#This Row],[condition]],Lookups!$H$17:$J$24,3,FALSE),0)</f>
        <v>-45357</v>
      </c>
      <c r="BL1374" s="6">
        <f>Grandview_Inventory[[#This Row],[Eff_Age]]*Lookups!$B$14</f>
        <v>-13632.4962</v>
      </c>
      <c r="BM1374" s="6">
        <f>Grandview_Inventory[[#This Row],[living_area]]*Lookups!$B$15</f>
        <v>117276.00364000001</v>
      </c>
      <c r="BN1374" s="6">
        <f>Grandview_Inventory[[#This Row],[Fin BSMT]]*Lookups!$B$16</f>
        <v>-10514.50512</v>
      </c>
      <c r="BO1374" s="6">
        <f>(Grandview_Inventory[[#This Row],[att_gar]]+Grandview_Inventory[[#This Row],[bltin_gar]])*Lookups!$B$17</f>
        <v>0</v>
      </c>
      <c r="BP1374" s="6">
        <f>Grandview_Inventory[[#This Row],[Plumbing Fixtures]]*Lookups!$B$18</f>
        <v>16083.5344</v>
      </c>
      <c r="BQ1374" s="6">
        <f>Grandview_Inventory[[#This Row],[detatched_value]]*Lookups!$B$19</f>
        <v>4572.7475400000003</v>
      </c>
      <c r="BR1374" s="6">
        <f>SUM(Grandview_Inventory[[#This Row],[Intercept]:[det_value]])*Grandview_Inventory[[#This Row],[res_pct]]</f>
        <v>234995.23426000006</v>
      </c>
      <c r="BS1374" s="6">
        <f>Grandview_Inventory[[#This Row],[land_value]]</f>
        <v>42464.67696626611</v>
      </c>
      <c r="BT1374" s="4">
        <f>_xlfn.IFNA(VLOOKUP(Grandview_Inventory[[#This Row],[quality]],Lookups!$A$26:$C$33,3,FALSE),1)</f>
        <v>0.98079741117310582</v>
      </c>
      <c r="BU1374" s="4">
        <f>_xlfn.IFNA(VLOOKUP(Grandview_Inventory[[#This Row],[condition]],Lookups!$A$37:$C$44,3,FALSE),1)</f>
        <v>0.97161819570155394</v>
      </c>
      <c r="BV1374" s="4">
        <f>IF(Grandview_Inventory[[#This Row],[bldg_style]]="",1,_xlfn.IFNA(VLOOKUP(Grandview_Inventory[[#This Row],[decade]],Lookups!$F$29:$H$43,3,FALSE),1))</f>
        <v>0.92255236374249616</v>
      </c>
      <c r="BW1374" s="4">
        <f>_xlfn.IFNA(VLOOKUP(Grandview_Inventory[[#This Row],[living_area_range]],Lookups!$F$47:$H$56,3,FALSE),1)</f>
        <v>0.96120133463014379</v>
      </c>
      <c r="BX1374" s="4">
        <f>AVERAGE(Grandview_Inventory[[#This Row],[qual_adj]:[size_adj]])</f>
        <v>0.95904232631182484</v>
      </c>
      <c r="BY1374" s="6">
        <f>IF(Grandview_Inventory[[#This Row],[pre_res]]&lt;0,0,Grandview_Inventory[[#This Row],[pre_res]]*Grandview_Inventory[[#This Row],[overall_adj]])</f>
        <v>225370.37613690269</v>
      </c>
      <c r="BZ1374" s="6">
        <f>(Grandview_Inventory[[#This Row],[sum_land]]-IF(Grandview_Inventory[[#This Row],[no_utilities]]=1,12000,0))/IF(Grandview_Inventory[[#This Row],[unbuildable]]=1,2,1)</f>
        <v>42464.67696626611</v>
      </c>
      <c r="CA1374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374">
        <f>ROUND(Grandview_Inventory[[#This Row],[det_value]]*Lookups!$M$28,-2)</f>
        <v>4300</v>
      </c>
      <c r="CC1374">
        <f>IF(ROUND(Grandview_Inventory[[#This Row],[adj_res]]*Lookups!$M$28,-2)&lt;Grandview_Inventory[[#This Row],[min_res]],Grandview_Inventory[[#This Row],[min_res]],ROUND(Grandview_Inventory[[#This Row],[adj_res]]*Lookups!$M$28,-2))</f>
        <v>214100</v>
      </c>
      <c r="CD1374">
        <f>Grandview_Inventory[[#This Row],[final_det]]+Grandview_Inventory[[#This Row],[final_res]]</f>
        <v>218400</v>
      </c>
      <c r="CE1374">
        <f>Grandview_Inventory[[#This Row],[final_land]]+Grandview_Inventory[[#This Row],[final_imp]]+Grandview_Inventory[[#This Row],[crop_value]]</f>
        <v>258700</v>
      </c>
      <c r="CG1374" t="str">
        <f t="shared" si="21"/>
        <v>update valuation set market_land =40300, market_bldg=218400, market_total =258700, market_mdno =401, market_date ='9/10/2023' where link_id = (select link_id from parcel where parcel_year = '2024' and parcel_id = '23092314505');</v>
      </c>
    </row>
    <row r="1375" spans="1:85" x14ac:dyDescent="0.25">
      <c r="A1375">
        <v>23092314506</v>
      </c>
      <c r="B1375">
        <v>0.22</v>
      </c>
      <c r="C1375">
        <v>9691</v>
      </c>
      <c r="D1375" t="s">
        <v>129</v>
      </c>
      <c r="E1375" t="s">
        <v>53</v>
      </c>
      <c r="F1375" t="s">
        <v>53</v>
      </c>
      <c r="G1375">
        <v>4</v>
      </c>
      <c r="H1375" t="s">
        <v>54</v>
      </c>
      <c r="I1375">
        <v>201700</v>
      </c>
      <c r="J1375">
        <v>40000</v>
      </c>
      <c r="K1375">
        <v>0.22</v>
      </c>
      <c r="L137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375">
        <v>0</v>
      </c>
      <c r="N1375">
        <v>0</v>
      </c>
      <c r="O1375">
        <v>0</v>
      </c>
      <c r="P1375">
        <v>13398.7528</v>
      </c>
      <c r="Q1375">
        <v>63903</v>
      </c>
      <c r="R1375">
        <f>(Grandview_Inventory[[#This Row],[ln_acres]]*Grandview_Inventory[[#This Row],[coeff]])+Grandview_Inventory[[#This Row],[const]]</f>
        <v>43615.576802869145</v>
      </c>
      <c r="S1375" t="s">
        <v>85</v>
      </c>
      <c r="T1375">
        <v>1</v>
      </c>
      <c r="U1375" t="s">
        <v>65</v>
      </c>
      <c r="V1375" t="s">
        <v>67</v>
      </c>
      <c r="W1375">
        <v>0</v>
      </c>
      <c r="X1375">
        <v>0</v>
      </c>
      <c r="Y1375">
        <v>57</v>
      </c>
      <c r="Z1375">
        <v>103</v>
      </c>
      <c r="AA1375">
        <v>110</v>
      </c>
      <c r="AB1375">
        <v>2000</v>
      </c>
      <c r="AC1375">
        <v>1992</v>
      </c>
      <c r="AD1375">
        <v>1328</v>
      </c>
      <c r="AE1375">
        <v>0</v>
      </c>
      <c r="AF1375">
        <v>0</v>
      </c>
      <c r="AG1375">
        <v>664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88</v>
      </c>
      <c r="AO1375">
        <v>0</v>
      </c>
      <c r="AP1375">
        <v>5</v>
      </c>
      <c r="AQ1375">
        <v>0</v>
      </c>
      <c r="AR1375">
        <v>1</v>
      </c>
      <c r="AS1375" t="s">
        <v>58</v>
      </c>
      <c r="AT1375">
        <v>1</v>
      </c>
      <c r="AU1375" t="s">
        <v>63</v>
      </c>
      <c r="AV1375" t="s">
        <v>64</v>
      </c>
      <c r="AW1375">
        <v>1</v>
      </c>
      <c r="AX1375">
        <v>2</v>
      </c>
      <c r="AY1375">
        <v>0</v>
      </c>
      <c r="AZ1375">
        <v>5800</v>
      </c>
      <c r="BA1375">
        <v>100</v>
      </c>
      <c r="BB1375">
        <v>100</v>
      </c>
      <c r="BC1375">
        <v>100</v>
      </c>
      <c r="BD1375">
        <v>100</v>
      </c>
      <c r="BE1375">
        <v>1</v>
      </c>
      <c r="BF1375">
        <v>15000</v>
      </c>
      <c r="BG1375">
        <v>1000</v>
      </c>
      <c r="BH1375" s="6">
        <f>Grandview_Inventory[[#This Row],[land_extract]]*Lookups!$B$3</f>
        <v>50650.651579114572</v>
      </c>
      <c r="BI1375" s="6">
        <f>IF(Grandview_Inventory[[#This Row],[bldg_style]]="",0,Lookups!$B$2)</f>
        <v>155833.95000000001</v>
      </c>
      <c r="BJ1375" s="6">
        <f>_xlfn.IFNA(VLOOKUP(Grandview_Inventory[[#This Row],[quality]],Lookups!$H$2:$J$14,3,FALSE),0)</f>
        <v>2251</v>
      </c>
      <c r="BK1375" s="6">
        <f>_xlfn.IFNA(VLOOKUP(Grandview_Inventory[[#This Row],[condition]],Lookups!$H$17:$J$24,3,FALSE),0)</f>
        <v>22342</v>
      </c>
      <c r="BL1375" s="6">
        <f>Grandview_Inventory[[#This Row],[Eff_Age]]*Lookups!$B$14</f>
        <v>-13632.4962</v>
      </c>
      <c r="BM1375" s="6">
        <f>Grandview_Inventory[[#This Row],[living_area]]*Lookups!$B$15</f>
        <v>124262.659176</v>
      </c>
      <c r="BN1375" s="6">
        <f>Grandview_Inventory[[#This Row],[Fin BSMT]]*Lookups!$B$16</f>
        <v>-17993.895360000002</v>
      </c>
      <c r="BO1375" s="6">
        <f>(Grandview_Inventory[[#This Row],[att_gar]]+Grandview_Inventory[[#This Row],[bltin_gar]])*Lookups!$B$17</f>
        <v>0</v>
      </c>
      <c r="BP1375" s="6">
        <f>Grandview_Inventory[[#This Row],[Plumbing Fixtures]]*Lookups!$B$18</f>
        <v>10052.209000000001</v>
      </c>
      <c r="BQ1375" s="6">
        <f>Grandview_Inventory[[#This Row],[detatched_value]]*Lookups!$B$19</f>
        <v>4911.46958</v>
      </c>
      <c r="BR1375" s="6">
        <f>SUM(Grandview_Inventory[[#This Row],[Intercept]:[det_value]])*Grandview_Inventory[[#This Row],[res_pct]]</f>
        <v>288026.89619599993</v>
      </c>
      <c r="BS1375" s="6">
        <f>Grandview_Inventory[[#This Row],[land_value]]</f>
        <v>50650.651579114572</v>
      </c>
      <c r="BT1375" s="4">
        <f>_xlfn.IFNA(VLOOKUP(Grandview_Inventory[[#This Row],[quality]],Lookups!$A$26:$C$33,3,FALSE),1)</f>
        <v>0.98763855981004833</v>
      </c>
      <c r="BU1375" s="4">
        <f>_xlfn.IFNA(VLOOKUP(Grandview_Inventory[[#This Row],[condition]],Lookups!$A$37:$C$44,3,FALSE),1)</f>
        <v>0.97383723671140243</v>
      </c>
      <c r="BV1375" s="4">
        <f>IF(Grandview_Inventory[[#This Row],[bldg_style]]="",1,_xlfn.IFNA(VLOOKUP(Grandview_Inventory[[#This Row],[decade]],Lookups!$F$29:$H$43,3,FALSE),1))</f>
        <v>0.92255236374249616</v>
      </c>
      <c r="BW1375" s="4">
        <f>_xlfn.IFNA(VLOOKUP(Grandview_Inventory[[#This Row],[living_area_range]],Lookups!$F$47:$H$56,3,FALSE),1)</f>
        <v>0.96120133463014379</v>
      </c>
      <c r="BX1375" s="4">
        <f>AVERAGE(Grandview_Inventory[[#This Row],[qual_adj]:[size_adj]])</f>
        <v>0.96130737372352271</v>
      </c>
      <c r="BY1375" s="6">
        <f>IF(Grandview_Inventory[[#This Row],[pre_res]]&lt;0,0,Grandview_Inventory[[#This Row],[pre_res]]*Grandview_Inventory[[#This Row],[overall_adj]])</f>
        <v>276882.37914391438</v>
      </c>
      <c r="BZ1375" s="6">
        <f>(Grandview_Inventory[[#This Row],[sum_land]]-IF(Grandview_Inventory[[#This Row],[no_utilities]]=1,12000,0))/IF(Grandview_Inventory[[#This Row],[unbuildable]]=1,2,1)</f>
        <v>50650.651579114572</v>
      </c>
      <c r="CA137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375">
        <f>ROUND(Grandview_Inventory[[#This Row],[det_value]]*Lookups!$M$28,-2)</f>
        <v>4700</v>
      </c>
      <c r="CC1375">
        <f>IF(ROUND(Grandview_Inventory[[#This Row],[adj_res]]*Lookups!$M$28,-2)&lt;Grandview_Inventory[[#This Row],[min_res]],Grandview_Inventory[[#This Row],[min_res]],ROUND(Grandview_Inventory[[#This Row],[adj_res]]*Lookups!$M$28,-2))</f>
        <v>263000</v>
      </c>
      <c r="CD1375">
        <f>Grandview_Inventory[[#This Row],[final_det]]+Grandview_Inventory[[#This Row],[final_res]]</f>
        <v>267700</v>
      </c>
      <c r="CE1375">
        <f>Grandview_Inventory[[#This Row],[final_land]]+Grandview_Inventory[[#This Row],[final_imp]]+Grandview_Inventory[[#This Row],[crop_value]]</f>
        <v>315800</v>
      </c>
      <c r="CG1375" t="str">
        <f t="shared" si="21"/>
        <v>update valuation set market_land =48100, market_bldg=267700, market_total =315800, market_mdno =401, market_date ='9/10/2023' where link_id = (select link_id from parcel where parcel_year = '2024' and parcel_id = '23092314506');</v>
      </c>
    </row>
    <row r="1376" spans="1:85" x14ac:dyDescent="0.25">
      <c r="A1376">
        <v>23092314507</v>
      </c>
      <c r="B1376">
        <v>0.16</v>
      </c>
      <c r="C1376">
        <v>6753</v>
      </c>
      <c r="D1376" t="s">
        <v>129</v>
      </c>
      <c r="E1376" t="s">
        <v>53</v>
      </c>
      <c r="F1376" t="s">
        <v>53</v>
      </c>
      <c r="G1376">
        <v>4</v>
      </c>
      <c r="H1376" t="s">
        <v>54</v>
      </c>
      <c r="I1376">
        <v>148500</v>
      </c>
      <c r="J1376">
        <v>39000</v>
      </c>
      <c r="K1376">
        <v>0.16</v>
      </c>
      <c r="L137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76">
        <v>0</v>
      </c>
      <c r="N1376">
        <v>0</v>
      </c>
      <c r="O1376">
        <v>0</v>
      </c>
      <c r="P1376">
        <v>13398.7528</v>
      </c>
      <c r="Q1376">
        <v>63903</v>
      </c>
      <c r="R1376">
        <f>(Grandview_Inventory[[#This Row],[ln_acres]]*Grandview_Inventory[[#This Row],[coeff]])+Grandview_Inventory[[#This Row],[const]]</f>
        <v>39348.693981374228</v>
      </c>
      <c r="S1376" t="s">
        <v>85</v>
      </c>
      <c r="T1376">
        <v>1</v>
      </c>
      <c r="U1376" t="s">
        <v>70</v>
      </c>
      <c r="V1376" t="s">
        <v>69</v>
      </c>
      <c r="W1376">
        <v>0</v>
      </c>
      <c r="X1376">
        <v>0</v>
      </c>
      <c r="Y1376">
        <v>57</v>
      </c>
      <c r="Z1376">
        <v>103</v>
      </c>
      <c r="AA1376">
        <v>110</v>
      </c>
      <c r="AB1376">
        <v>1500</v>
      </c>
      <c r="AC1376">
        <v>1056</v>
      </c>
      <c r="AD1376">
        <v>1056</v>
      </c>
      <c r="AE1376">
        <v>0</v>
      </c>
      <c r="AF1376">
        <v>0</v>
      </c>
      <c r="AG1376">
        <v>0</v>
      </c>
      <c r="AH1376">
        <v>200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112</v>
      </c>
      <c r="AO1376">
        <v>0</v>
      </c>
      <c r="AP1376">
        <v>5</v>
      </c>
      <c r="AQ1376">
        <v>1</v>
      </c>
      <c r="AR1376">
        <v>0</v>
      </c>
      <c r="AS1376" t="s">
        <v>58</v>
      </c>
      <c r="AT1376">
        <v>1</v>
      </c>
      <c r="AU1376" t="s">
        <v>59</v>
      </c>
      <c r="AV1376" t="s">
        <v>60</v>
      </c>
      <c r="AW1376">
        <v>1</v>
      </c>
      <c r="AX1376">
        <v>3</v>
      </c>
      <c r="AY1376">
        <v>0</v>
      </c>
      <c r="AZ1376">
        <v>0</v>
      </c>
      <c r="BA1376">
        <v>100</v>
      </c>
      <c r="BB1376">
        <v>100</v>
      </c>
      <c r="BC1376">
        <v>100</v>
      </c>
      <c r="BD1376">
        <v>100</v>
      </c>
      <c r="BE1376">
        <v>1</v>
      </c>
      <c r="BF1376">
        <v>15000</v>
      </c>
      <c r="BG1376">
        <v>1000</v>
      </c>
      <c r="BH1376" s="6">
        <f>Grandview_Inventory[[#This Row],[land_extract]]*Lookups!$B$3</f>
        <v>45695.532079096141</v>
      </c>
      <c r="BI1376" s="6">
        <f>IF(Grandview_Inventory[[#This Row],[bldg_style]]="",0,Lookups!$B$2)</f>
        <v>155833.95000000001</v>
      </c>
      <c r="BJ1376" s="6">
        <f>_xlfn.IFNA(VLOOKUP(Grandview_Inventory[[#This Row],[quality]],Lookups!$H$2:$J$14,3,FALSE),0)</f>
        <v>10733</v>
      </c>
      <c r="BK1376" s="6">
        <f>_xlfn.IFNA(VLOOKUP(Grandview_Inventory[[#This Row],[condition]],Lookups!$H$17:$J$24,3,FALSE),0)</f>
        <v>-4503</v>
      </c>
      <c r="BL1376" s="6">
        <f>Grandview_Inventory[[#This Row],[Eff_Age]]*Lookups!$B$14</f>
        <v>-13632.4962</v>
      </c>
      <c r="BM1376" s="6">
        <f>Grandview_Inventory[[#This Row],[living_area]]*Lookups!$B$15</f>
        <v>65874.180768000006</v>
      </c>
      <c r="BN1376" s="6">
        <f>Grandview_Inventory[[#This Row],[Fin BSMT]]*Lookups!$B$16</f>
        <v>0</v>
      </c>
      <c r="BO1376" s="6">
        <f>(Grandview_Inventory[[#This Row],[att_gar]]+Grandview_Inventory[[#This Row],[bltin_gar]])*Lookups!$B$17</f>
        <v>0</v>
      </c>
      <c r="BP1376" s="6">
        <f>Grandview_Inventory[[#This Row],[Plumbing Fixtures]]*Lookups!$B$18</f>
        <v>10052.209000000001</v>
      </c>
      <c r="BQ1376" s="6">
        <f>Grandview_Inventory[[#This Row],[detatched_value]]*Lookups!$B$19</f>
        <v>0</v>
      </c>
      <c r="BR1376" s="6">
        <f>SUM(Grandview_Inventory[[#This Row],[Intercept]:[det_value]])*Grandview_Inventory[[#This Row],[res_pct]]</f>
        <v>224357.84356800004</v>
      </c>
      <c r="BS1376" s="6">
        <f>Grandview_Inventory[[#This Row],[land_value]]</f>
        <v>45695.532079096141</v>
      </c>
      <c r="BT1376" s="4">
        <f>_xlfn.IFNA(VLOOKUP(Grandview_Inventory[[#This Row],[quality]],Lookups!$A$26:$C$33,3,FALSE),1)</f>
        <v>0.98079741117310582</v>
      </c>
      <c r="BU1376" s="4">
        <f>_xlfn.IFNA(VLOOKUP(Grandview_Inventory[[#This Row],[condition]],Lookups!$A$37:$C$44,3,FALSE),1)</f>
        <v>0.96469275950863709</v>
      </c>
      <c r="BV1376" s="4">
        <f>IF(Grandview_Inventory[[#This Row],[bldg_style]]="",1,_xlfn.IFNA(VLOOKUP(Grandview_Inventory[[#This Row],[decade]],Lookups!$F$29:$H$43,3,FALSE),1))</f>
        <v>0.92255236374249616</v>
      </c>
      <c r="BW1376" s="4">
        <f>_xlfn.IFNA(VLOOKUP(Grandview_Inventory[[#This Row],[living_area_range]],Lookups!$F$47:$H$56,3,FALSE),1)</f>
        <v>0.96135087979789358</v>
      </c>
      <c r="BX1376" s="4">
        <f>AVERAGE(Grandview_Inventory[[#This Row],[qual_adj]:[size_adj]])</f>
        <v>0.95734835355553316</v>
      </c>
      <c r="BY1376" s="6">
        <f>IF(Grandview_Inventory[[#This Row],[pre_res]]&lt;0,0,Grandview_Inventory[[#This Row],[pre_res]]*Grandview_Inventory[[#This Row],[overall_adj]])</f>
        <v>214788.61214709471</v>
      </c>
      <c r="BZ1376" s="6">
        <f>(Grandview_Inventory[[#This Row],[sum_land]]-IF(Grandview_Inventory[[#This Row],[no_utilities]]=1,12000,0))/IF(Grandview_Inventory[[#This Row],[unbuildable]]=1,2,1)</f>
        <v>45695.532079096141</v>
      </c>
      <c r="CA137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76">
        <f>ROUND(Grandview_Inventory[[#This Row],[det_value]]*Lookups!$M$28,-2)</f>
        <v>0</v>
      </c>
      <c r="CC1376">
        <f>IF(ROUND(Grandview_Inventory[[#This Row],[adj_res]]*Lookups!$M$28,-2)&lt;Grandview_Inventory[[#This Row],[min_res]],Grandview_Inventory[[#This Row],[min_res]],ROUND(Grandview_Inventory[[#This Row],[adj_res]]*Lookups!$M$28,-2))</f>
        <v>204000</v>
      </c>
      <c r="CD1376">
        <f>Grandview_Inventory[[#This Row],[final_det]]+Grandview_Inventory[[#This Row],[final_res]]</f>
        <v>204000</v>
      </c>
      <c r="CE1376">
        <f>Grandview_Inventory[[#This Row],[final_land]]+Grandview_Inventory[[#This Row],[final_imp]]+Grandview_Inventory[[#This Row],[crop_value]]</f>
        <v>247400</v>
      </c>
      <c r="CG1376" t="str">
        <f t="shared" si="21"/>
        <v>update valuation set market_land =43400, market_bldg=204000, market_total =247400, market_mdno =401, market_date ='9/10/2023' where link_id = (select link_id from parcel where parcel_year = '2024' and parcel_id = '23092314507');</v>
      </c>
    </row>
    <row r="1377" spans="1:85" x14ac:dyDescent="0.25">
      <c r="A1377">
        <v>23092314508</v>
      </c>
      <c r="B1377">
        <v>0.16</v>
      </c>
      <c r="C1377">
        <v>7155</v>
      </c>
      <c r="D1377" t="s">
        <v>129</v>
      </c>
      <c r="E1377" t="s">
        <v>53</v>
      </c>
      <c r="F1377" t="s">
        <v>53</v>
      </c>
      <c r="G1377">
        <v>4</v>
      </c>
      <c r="H1377" t="s">
        <v>54</v>
      </c>
      <c r="I1377">
        <v>216200</v>
      </c>
      <c r="J1377">
        <v>39100</v>
      </c>
      <c r="K1377">
        <v>0.16</v>
      </c>
      <c r="L137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77">
        <v>0</v>
      </c>
      <c r="N1377">
        <v>0</v>
      </c>
      <c r="O1377">
        <v>0</v>
      </c>
      <c r="P1377">
        <v>13398.7528</v>
      </c>
      <c r="Q1377">
        <v>63903</v>
      </c>
      <c r="R1377">
        <f>(Grandview_Inventory[[#This Row],[ln_acres]]*Grandview_Inventory[[#This Row],[coeff]])+Grandview_Inventory[[#This Row],[const]]</f>
        <v>39348.693981374228</v>
      </c>
      <c r="S1377" t="s">
        <v>61</v>
      </c>
      <c r="T1377">
        <v>1</v>
      </c>
      <c r="U1377" t="s">
        <v>65</v>
      </c>
      <c r="V1377" t="s">
        <v>57</v>
      </c>
      <c r="W1377">
        <v>0</v>
      </c>
      <c r="X1377">
        <v>0</v>
      </c>
      <c r="Y1377">
        <v>11</v>
      </c>
      <c r="Z1377">
        <v>11</v>
      </c>
      <c r="AA1377">
        <v>20</v>
      </c>
      <c r="AB1377">
        <v>1500</v>
      </c>
      <c r="AC1377">
        <v>1360</v>
      </c>
      <c r="AD1377">
        <v>1360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168</v>
      </c>
      <c r="AN1377">
        <v>72</v>
      </c>
      <c r="AO1377">
        <v>0</v>
      </c>
      <c r="AP1377">
        <v>8</v>
      </c>
      <c r="AQ1377">
        <v>0</v>
      </c>
      <c r="AR1377">
        <v>0</v>
      </c>
      <c r="AS1377" t="s">
        <v>58</v>
      </c>
      <c r="AT1377">
        <v>1</v>
      </c>
      <c r="AU1377" t="s">
        <v>59</v>
      </c>
      <c r="AV1377" t="s">
        <v>60</v>
      </c>
      <c r="AW1377">
        <v>1</v>
      </c>
      <c r="AX1377">
        <v>3</v>
      </c>
      <c r="AY1377">
        <v>0</v>
      </c>
      <c r="AZ1377">
        <v>0</v>
      </c>
      <c r="BA1377">
        <v>100</v>
      </c>
      <c r="BB1377">
        <v>100</v>
      </c>
      <c r="BC1377">
        <v>100</v>
      </c>
      <c r="BD1377">
        <v>100</v>
      </c>
      <c r="BE1377">
        <v>1</v>
      </c>
      <c r="BF1377">
        <v>15000</v>
      </c>
      <c r="BG1377">
        <v>1000</v>
      </c>
      <c r="BH1377" s="6">
        <f>Grandview_Inventory[[#This Row],[land_extract]]*Lookups!$B$3</f>
        <v>45695.532079096141</v>
      </c>
      <c r="BI1377" s="6">
        <f>IF(Grandview_Inventory[[#This Row],[bldg_style]]="",0,Lookups!$B$2)</f>
        <v>155833.95000000001</v>
      </c>
      <c r="BJ1377" s="6">
        <f>_xlfn.IFNA(VLOOKUP(Grandview_Inventory[[#This Row],[quality]],Lookups!$H$2:$J$14,3,FALSE),0)</f>
        <v>2251</v>
      </c>
      <c r="BK1377" s="6">
        <f>_xlfn.IFNA(VLOOKUP(Grandview_Inventory[[#This Row],[condition]],Lookups!$H$17:$J$24,3,FALSE),0)</f>
        <v>25780</v>
      </c>
      <c r="BL1377" s="6">
        <f>Grandview_Inventory[[#This Row],[Eff_Age]]*Lookups!$B$14</f>
        <v>-2630.8325999999997</v>
      </c>
      <c r="BM1377" s="6">
        <f>Grandview_Inventory[[#This Row],[living_area]]*Lookups!$B$15</f>
        <v>84837.960080000004</v>
      </c>
      <c r="BN1377" s="6">
        <f>Grandview_Inventory[[#This Row],[Fin BSMT]]*Lookups!$B$16</f>
        <v>0</v>
      </c>
      <c r="BO1377" s="6">
        <f>(Grandview_Inventory[[#This Row],[att_gar]]+Grandview_Inventory[[#This Row],[bltin_gar]])*Lookups!$B$17</f>
        <v>0</v>
      </c>
      <c r="BP1377" s="6">
        <f>Grandview_Inventory[[#This Row],[Plumbing Fixtures]]*Lookups!$B$18</f>
        <v>16083.5344</v>
      </c>
      <c r="BQ1377" s="6">
        <f>Grandview_Inventory[[#This Row],[detatched_value]]*Lookups!$B$19</f>
        <v>0</v>
      </c>
      <c r="BR1377" s="6">
        <f>SUM(Grandview_Inventory[[#This Row],[Intercept]:[det_value]])*Grandview_Inventory[[#This Row],[res_pct]]</f>
        <v>282155.61188000004</v>
      </c>
      <c r="BS1377" s="6">
        <f>Grandview_Inventory[[#This Row],[land_value]]</f>
        <v>45695.532079096141</v>
      </c>
      <c r="BT1377" s="4">
        <f>_xlfn.IFNA(VLOOKUP(Grandview_Inventory[[#This Row],[quality]],Lookups!$A$26:$C$33,3,FALSE),1)</f>
        <v>0.98763855981004833</v>
      </c>
      <c r="BU1377" s="4">
        <f>_xlfn.IFNA(VLOOKUP(Grandview_Inventory[[#This Row],[condition]],Lookups!$A$37:$C$44,3,FALSE),1)</f>
        <v>0.94347925387812148</v>
      </c>
      <c r="BV1377" s="4">
        <f>IF(Grandview_Inventory[[#This Row],[bldg_style]]="",1,_xlfn.IFNA(VLOOKUP(Grandview_Inventory[[#This Row],[decade]],Lookups!$F$29:$H$43,3,FALSE),1))</f>
        <v>0.96737494181490646</v>
      </c>
      <c r="BW1377" s="4">
        <f>_xlfn.IFNA(VLOOKUP(Grandview_Inventory[[#This Row],[living_area_range]],Lookups!$F$47:$H$56,3,FALSE),1)</f>
        <v>0.96135087979789358</v>
      </c>
      <c r="BX1377" s="4">
        <f>AVERAGE(Grandview_Inventory[[#This Row],[qual_adj]:[size_adj]])</f>
        <v>0.96496090882524244</v>
      </c>
      <c r="BY1377" s="6">
        <f>IF(Grandview_Inventory[[#This Row],[pre_res]]&lt;0,0,Grandview_Inventory[[#This Row],[pre_res]]*Grandview_Inventory[[#This Row],[overall_adj]])</f>
        <v>272269.13566986722</v>
      </c>
      <c r="BZ1377" s="6">
        <f>(Grandview_Inventory[[#This Row],[sum_land]]-IF(Grandview_Inventory[[#This Row],[no_utilities]]=1,12000,0))/IF(Grandview_Inventory[[#This Row],[unbuildable]]=1,2,1)</f>
        <v>45695.532079096141</v>
      </c>
      <c r="CA137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77">
        <f>ROUND(Grandview_Inventory[[#This Row],[det_value]]*Lookups!$M$28,-2)</f>
        <v>0</v>
      </c>
      <c r="CC1377">
        <f>IF(ROUND(Grandview_Inventory[[#This Row],[adj_res]]*Lookups!$M$28,-2)&lt;Grandview_Inventory[[#This Row],[min_res]],Grandview_Inventory[[#This Row],[min_res]],ROUND(Grandview_Inventory[[#This Row],[adj_res]]*Lookups!$M$28,-2))</f>
        <v>258700</v>
      </c>
      <c r="CD1377">
        <f>Grandview_Inventory[[#This Row],[final_det]]+Grandview_Inventory[[#This Row],[final_res]]</f>
        <v>258700</v>
      </c>
      <c r="CE1377">
        <f>Grandview_Inventory[[#This Row],[final_land]]+Grandview_Inventory[[#This Row],[final_imp]]+Grandview_Inventory[[#This Row],[crop_value]]</f>
        <v>302100</v>
      </c>
      <c r="CG1377" t="str">
        <f t="shared" si="21"/>
        <v>update valuation set market_land =43400, market_bldg=258700, market_total =302100, market_mdno =401, market_date ='9/10/2023' where link_id = (select link_id from parcel where parcel_year = '2024' and parcel_id = '23092314508');</v>
      </c>
    </row>
    <row r="1378" spans="1:85" x14ac:dyDescent="0.25">
      <c r="A1378">
        <v>23092314509</v>
      </c>
      <c r="B1378">
        <v>0.16</v>
      </c>
      <c r="C1378">
        <v>6970</v>
      </c>
      <c r="D1378" t="s">
        <v>129</v>
      </c>
      <c r="E1378" t="s">
        <v>53</v>
      </c>
      <c r="F1378" t="s">
        <v>53</v>
      </c>
      <c r="G1378">
        <v>4</v>
      </c>
      <c r="H1378" t="s">
        <v>54</v>
      </c>
      <c r="I1378">
        <v>132000</v>
      </c>
      <c r="J1378">
        <v>39100</v>
      </c>
      <c r="K1378">
        <v>0.16</v>
      </c>
      <c r="L137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78">
        <v>0</v>
      </c>
      <c r="N1378">
        <v>0</v>
      </c>
      <c r="O1378">
        <v>0</v>
      </c>
      <c r="P1378">
        <v>13398.7528</v>
      </c>
      <c r="Q1378">
        <v>63903</v>
      </c>
      <c r="R1378">
        <f>(Grandview_Inventory[[#This Row],[ln_acres]]*Grandview_Inventory[[#This Row],[coeff]])+Grandview_Inventory[[#This Row],[const]]</f>
        <v>39348.693981374228</v>
      </c>
      <c r="S1378" t="s">
        <v>85</v>
      </c>
      <c r="T1378">
        <v>1</v>
      </c>
      <c r="U1378" t="s">
        <v>65</v>
      </c>
      <c r="V1378" t="s">
        <v>69</v>
      </c>
      <c r="W1378">
        <v>0</v>
      </c>
      <c r="X1378">
        <v>0</v>
      </c>
      <c r="Y1378">
        <v>65</v>
      </c>
      <c r="Z1378">
        <v>113</v>
      </c>
      <c r="AA1378">
        <v>120</v>
      </c>
      <c r="AB1378">
        <v>1500</v>
      </c>
      <c r="AC1378">
        <v>1110</v>
      </c>
      <c r="AD1378">
        <v>1110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232</v>
      </c>
      <c r="AO1378">
        <v>0</v>
      </c>
      <c r="AP1378">
        <v>5</v>
      </c>
      <c r="AQ1378">
        <v>0</v>
      </c>
      <c r="AR1378">
        <v>1</v>
      </c>
      <c r="AS1378" t="s">
        <v>58</v>
      </c>
      <c r="AT1378">
        <v>1</v>
      </c>
      <c r="AU1378" t="s">
        <v>75</v>
      </c>
      <c r="AV1378" t="s">
        <v>60</v>
      </c>
      <c r="AW1378">
        <v>0</v>
      </c>
      <c r="AX1378">
        <v>3</v>
      </c>
      <c r="AY1378">
        <v>0</v>
      </c>
      <c r="AZ1378">
        <v>6700</v>
      </c>
      <c r="BA1378">
        <v>100</v>
      </c>
      <c r="BB1378">
        <v>100</v>
      </c>
      <c r="BC1378">
        <v>100</v>
      </c>
      <c r="BD1378">
        <v>100</v>
      </c>
      <c r="BE1378">
        <v>1</v>
      </c>
      <c r="BF1378">
        <v>15000</v>
      </c>
      <c r="BG1378">
        <v>1000</v>
      </c>
      <c r="BH1378" s="6">
        <f>Grandview_Inventory[[#This Row],[land_extract]]*Lookups!$B$3</f>
        <v>45695.532079096141</v>
      </c>
      <c r="BI1378" s="6">
        <f>IF(Grandview_Inventory[[#This Row],[bldg_style]]="",0,Lookups!$B$2)</f>
        <v>155833.95000000001</v>
      </c>
      <c r="BJ1378" s="6">
        <f>_xlfn.IFNA(VLOOKUP(Grandview_Inventory[[#This Row],[quality]],Lookups!$H$2:$J$14,3,FALSE),0)</f>
        <v>2251</v>
      </c>
      <c r="BK1378" s="6">
        <f>_xlfn.IFNA(VLOOKUP(Grandview_Inventory[[#This Row],[condition]],Lookups!$H$17:$J$24,3,FALSE),0)</f>
        <v>-4503</v>
      </c>
      <c r="BL1378" s="6">
        <f>Grandview_Inventory[[#This Row],[Eff_Age]]*Lookups!$B$14</f>
        <v>-15545.829</v>
      </c>
      <c r="BM1378" s="6">
        <f>Grandview_Inventory[[#This Row],[living_area]]*Lookups!$B$15</f>
        <v>69242.746830000004</v>
      </c>
      <c r="BN1378" s="6">
        <f>Grandview_Inventory[[#This Row],[Fin BSMT]]*Lookups!$B$16</f>
        <v>0</v>
      </c>
      <c r="BO1378" s="6">
        <f>(Grandview_Inventory[[#This Row],[att_gar]]+Grandview_Inventory[[#This Row],[bltin_gar]])*Lookups!$B$17</f>
        <v>0</v>
      </c>
      <c r="BP1378" s="6">
        <f>Grandview_Inventory[[#This Row],[Plumbing Fixtures]]*Lookups!$B$18</f>
        <v>10052.209000000001</v>
      </c>
      <c r="BQ1378" s="6">
        <f>Grandview_Inventory[[#This Row],[detatched_value]]*Lookups!$B$19</f>
        <v>5673.5941699999994</v>
      </c>
      <c r="BR1378" s="6">
        <f>SUM(Grandview_Inventory[[#This Row],[Intercept]:[det_value]])*Grandview_Inventory[[#This Row],[res_pct]]</f>
        <v>223004.671</v>
      </c>
      <c r="BS1378" s="6">
        <f>Grandview_Inventory[[#This Row],[land_value]]</f>
        <v>45695.532079096141</v>
      </c>
      <c r="BT1378" s="4">
        <f>_xlfn.IFNA(VLOOKUP(Grandview_Inventory[[#This Row],[quality]],Lookups!$A$26:$C$33,3,FALSE),1)</f>
        <v>0.98763855981004833</v>
      </c>
      <c r="BU1378" s="4">
        <f>_xlfn.IFNA(VLOOKUP(Grandview_Inventory[[#This Row],[condition]],Lookups!$A$37:$C$44,3,FALSE),1)</f>
        <v>0.96469275950863709</v>
      </c>
      <c r="BV1378" s="4">
        <f>IF(Grandview_Inventory[[#This Row],[bldg_style]]="",1,_xlfn.IFNA(VLOOKUP(Grandview_Inventory[[#This Row],[decade]],Lookups!$F$29:$H$43,3,FALSE),1))</f>
        <v>0.9251738460551937</v>
      </c>
      <c r="BW1378" s="4">
        <f>_xlfn.IFNA(VLOOKUP(Grandview_Inventory[[#This Row],[living_area_range]],Lookups!$F$47:$H$56,3,FALSE),1)</f>
        <v>0.96135087979789358</v>
      </c>
      <c r="BX1378" s="4">
        <f>AVERAGE(Grandview_Inventory[[#This Row],[qual_adj]:[size_adj]])</f>
        <v>0.9597140112929432</v>
      </c>
      <c r="BY1378" s="6">
        <f>IF(Grandview_Inventory[[#This Row],[pre_res]]&lt;0,0,Grandview_Inventory[[#This Row],[pre_res]]*Grandview_Inventory[[#This Row],[overall_adj]])</f>
        <v>214020.70734247309</v>
      </c>
      <c r="BZ1378" s="6">
        <f>(Grandview_Inventory[[#This Row],[sum_land]]-IF(Grandview_Inventory[[#This Row],[no_utilities]]=1,12000,0))/IF(Grandview_Inventory[[#This Row],[unbuildable]]=1,2,1)</f>
        <v>45695.532079096141</v>
      </c>
      <c r="CA137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78">
        <f>ROUND(Grandview_Inventory[[#This Row],[det_value]]*Lookups!$M$28,-2)</f>
        <v>5400</v>
      </c>
      <c r="CC1378">
        <f>IF(ROUND(Grandview_Inventory[[#This Row],[adj_res]]*Lookups!$M$28,-2)&lt;Grandview_Inventory[[#This Row],[min_res]],Grandview_Inventory[[#This Row],[min_res]],ROUND(Grandview_Inventory[[#This Row],[adj_res]]*Lookups!$M$28,-2))</f>
        <v>203300</v>
      </c>
      <c r="CD1378">
        <f>Grandview_Inventory[[#This Row],[final_det]]+Grandview_Inventory[[#This Row],[final_res]]</f>
        <v>208700</v>
      </c>
      <c r="CE1378">
        <f>Grandview_Inventory[[#This Row],[final_land]]+Grandview_Inventory[[#This Row],[final_imp]]+Grandview_Inventory[[#This Row],[crop_value]]</f>
        <v>252100</v>
      </c>
      <c r="CG1378" t="str">
        <f t="shared" si="21"/>
        <v>update valuation set market_land =43400, market_bldg=208700, market_total =252100, market_mdno =401, market_date ='9/10/2023' where link_id = (select link_id from parcel where parcel_year = '2024' and parcel_id = '23092314509');</v>
      </c>
    </row>
    <row r="1379" spans="1:85" x14ac:dyDescent="0.25">
      <c r="A1379">
        <v>23092314510</v>
      </c>
      <c r="B1379">
        <v>0.17</v>
      </c>
      <c r="C1379">
        <v>7240</v>
      </c>
      <c r="D1379" t="s">
        <v>129</v>
      </c>
      <c r="E1379" t="s">
        <v>53</v>
      </c>
      <c r="F1379" t="s">
        <v>53</v>
      </c>
      <c r="G1379">
        <v>4</v>
      </c>
      <c r="H1379" t="s">
        <v>54</v>
      </c>
      <c r="I1379">
        <v>207300</v>
      </c>
      <c r="J1379">
        <v>39100</v>
      </c>
      <c r="K1379">
        <v>0.17</v>
      </c>
      <c r="L137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79">
        <v>0</v>
      </c>
      <c r="N1379">
        <v>0</v>
      </c>
      <c r="O1379">
        <v>0</v>
      </c>
      <c r="P1379">
        <v>13398.7528</v>
      </c>
      <c r="Q1379">
        <v>63903</v>
      </c>
      <c r="R1379">
        <f>(Grandview_Inventory[[#This Row],[ln_acres]]*Grandview_Inventory[[#This Row],[coeff]])+Grandview_Inventory[[#This Row],[const]]</f>
        <v>40160.988302686128</v>
      </c>
      <c r="S1379" t="s">
        <v>68</v>
      </c>
      <c r="T1379">
        <v>1</v>
      </c>
      <c r="U1379" t="s">
        <v>65</v>
      </c>
      <c r="V1379" t="s">
        <v>67</v>
      </c>
      <c r="W1379">
        <v>0</v>
      </c>
      <c r="X1379">
        <v>0</v>
      </c>
      <c r="Y1379">
        <v>57</v>
      </c>
      <c r="Z1379">
        <v>103</v>
      </c>
      <c r="AA1379">
        <v>110</v>
      </c>
      <c r="AB1379">
        <v>1500</v>
      </c>
      <c r="AC1379">
        <v>1350</v>
      </c>
      <c r="AD1379">
        <v>1350</v>
      </c>
      <c r="AE1379">
        <v>0</v>
      </c>
      <c r="AF1379">
        <v>0</v>
      </c>
      <c r="AG1379">
        <v>0</v>
      </c>
      <c r="AH1379">
        <v>200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8</v>
      </c>
      <c r="AQ1379">
        <v>1</v>
      </c>
      <c r="AR1379">
        <v>0</v>
      </c>
      <c r="AS1379" t="s">
        <v>71</v>
      </c>
      <c r="AT1379">
        <v>1</v>
      </c>
      <c r="AU1379" t="s">
        <v>59</v>
      </c>
      <c r="AV1379" t="s">
        <v>60</v>
      </c>
      <c r="AW1379">
        <v>1</v>
      </c>
      <c r="AX1379">
        <v>3</v>
      </c>
      <c r="AY1379">
        <v>0</v>
      </c>
      <c r="AZ1379">
        <v>10600</v>
      </c>
      <c r="BA1379">
        <v>100</v>
      </c>
      <c r="BB1379">
        <v>100</v>
      </c>
      <c r="BC1379">
        <v>100</v>
      </c>
      <c r="BD1379">
        <v>100</v>
      </c>
      <c r="BE1379">
        <v>1</v>
      </c>
      <c r="BF1379">
        <v>15000</v>
      </c>
      <c r="BG1379">
        <v>1000</v>
      </c>
      <c r="BH1379" s="6">
        <f>Grandview_Inventory[[#This Row],[land_extract]]*Lookups!$B$3</f>
        <v>46638.847281240982</v>
      </c>
      <c r="BI1379" s="6">
        <f>IF(Grandview_Inventory[[#This Row],[bldg_style]]="",0,Lookups!$B$2)</f>
        <v>155833.95000000001</v>
      </c>
      <c r="BJ1379" s="6">
        <f>_xlfn.IFNA(VLOOKUP(Grandview_Inventory[[#This Row],[quality]],Lookups!$H$2:$J$14,3,FALSE),0)</f>
        <v>2251</v>
      </c>
      <c r="BK1379" s="6">
        <f>_xlfn.IFNA(VLOOKUP(Grandview_Inventory[[#This Row],[condition]],Lookups!$H$17:$J$24,3,FALSE),0)</f>
        <v>22342</v>
      </c>
      <c r="BL1379" s="6">
        <f>Grandview_Inventory[[#This Row],[Eff_Age]]*Lookups!$B$14</f>
        <v>-13632.4962</v>
      </c>
      <c r="BM1379" s="6">
        <f>Grandview_Inventory[[#This Row],[living_area]]*Lookups!$B$15</f>
        <v>84214.15155000001</v>
      </c>
      <c r="BN1379" s="6">
        <f>Grandview_Inventory[[#This Row],[Fin BSMT]]*Lookups!$B$16</f>
        <v>0</v>
      </c>
      <c r="BO1379" s="6">
        <f>(Grandview_Inventory[[#This Row],[att_gar]]+Grandview_Inventory[[#This Row],[bltin_gar]])*Lookups!$B$17</f>
        <v>0</v>
      </c>
      <c r="BP1379" s="6">
        <f>Grandview_Inventory[[#This Row],[Plumbing Fixtures]]*Lookups!$B$18</f>
        <v>16083.5344</v>
      </c>
      <c r="BQ1379" s="6">
        <f>Grandview_Inventory[[#This Row],[detatched_value]]*Lookups!$B$19</f>
        <v>8976.1340600000003</v>
      </c>
      <c r="BR1379" s="6">
        <f>SUM(Grandview_Inventory[[#This Row],[Intercept]:[det_value]])*Grandview_Inventory[[#This Row],[res_pct]]</f>
        <v>276068.27381000004</v>
      </c>
      <c r="BS1379" s="6">
        <f>Grandview_Inventory[[#This Row],[land_value]]</f>
        <v>46638.847281240982</v>
      </c>
      <c r="BT1379" s="4">
        <f>_xlfn.IFNA(VLOOKUP(Grandview_Inventory[[#This Row],[quality]],Lookups!$A$26:$C$33,3,FALSE),1)</f>
        <v>0.98763855981004833</v>
      </c>
      <c r="BU1379" s="4">
        <f>_xlfn.IFNA(VLOOKUP(Grandview_Inventory[[#This Row],[condition]],Lookups!$A$37:$C$44,3,FALSE),1)</f>
        <v>0.97383723671140243</v>
      </c>
      <c r="BV1379" s="4">
        <f>IF(Grandview_Inventory[[#This Row],[bldg_style]]="",1,_xlfn.IFNA(VLOOKUP(Grandview_Inventory[[#This Row],[decade]],Lookups!$F$29:$H$43,3,FALSE),1))</f>
        <v>0.92255236374249616</v>
      </c>
      <c r="BW1379" s="4">
        <f>_xlfn.IFNA(VLOOKUP(Grandview_Inventory[[#This Row],[living_area_range]],Lookups!$F$47:$H$56,3,FALSE),1)</f>
        <v>0.96135087979789358</v>
      </c>
      <c r="BX1379" s="4">
        <f>AVERAGE(Grandview_Inventory[[#This Row],[qual_adj]:[size_adj]])</f>
        <v>0.9613447600154601</v>
      </c>
      <c r="BY1379" s="6">
        <f>IF(Grandview_Inventory[[#This Row],[pre_res]]&lt;0,0,Grandview_Inventory[[#This Row],[pre_res]]*Grandview_Inventory[[#This Row],[overall_adj]])</f>
        <v>265396.7884337568</v>
      </c>
      <c r="BZ1379" s="6">
        <f>(Grandview_Inventory[[#This Row],[sum_land]]-IF(Grandview_Inventory[[#This Row],[no_utilities]]=1,12000,0))/IF(Grandview_Inventory[[#This Row],[unbuildable]]=1,2,1)</f>
        <v>46638.847281240982</v>
      </c>
      <c r="CA137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79">
        <f>ROUND(Grandview_Inventory[[#This Row],[det_value]]*Lookups!$M$28,-2)</f>
        <v>8500</v>
      </c>
      <c r="CC1379">
        <f>IF(ROUND(Grandview_Inventory[[#This Row],[adj_res]]*Lookups!$M$28,-2)&lt;Grandview_Inventory[[#This Row],[min_res]],Grandview_Inventory[[#This Row],[min_res]],ROUND(Grandview_Inventory[[#This Row],[adj_res]]*Lookups!$M$28,-2))</f>
        <v>252100</v>
      </c>
      <c r="CD1379">
        <f>Grandview_Inventory[[#This Row],[final_det]]+Grandview_Inventory[[#This Row],[final_res]]</f>
        <v>260600</v>
      </c>
      <c r="CE1379">
        <f>Grandview_Inventory[[#This Row],[final_land]]+Grandview_Inventory[[#This Row],[final_imp]]+Grandview_Inventory[[#This Row],[crop_value]]</f>
        <v>304900</v>
      </c>
      <c r="CG1379" t="str">
        <f t="shared" si="21"/>
        <v>update valuation set market_land =44300, market_bldg=260600, market_total =304900, market_mdno =401, market_date ='9/10/2023' where link_id = (select link_id from parcel where parcel_year = '2024' and parcel_id = '23092314510');</v>
      </c>
    </row>
    <row r="1380" spans="1:85" x14ac:dyDescent="0.25">
      <c r="A1380">
        <v>23092314511</v>
      </c>
      <c r="B1380">
        <v>0.15</v>
      </c>
      <c r="C1380">
        <v>6318</v>
      </c>
      <c r="D1380" t="s">
        <v>129</v>
      </c>
      <c r="E1380" t="s">
        <v>53</v>
      </c>
      <c r="F1380" t="s">
        <v>53</v>
      </c>
      <c r="G1380">
        <v>4</v>
      </c>
      <c r="H1380" t="s">
        <v>54</v>
      </c>
      <c r="I1380">
        <v>141500</v>
      </c>
      <c r="J1380">
        <v>38800</v>
      </c>
      <c r="K1380">
        <v>0.15</v>
      </c>
      <c r="L1380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80">
        <v>0</v>
      </c>
      <c r="N1380">
        <v>0</v>
      </c>
      <c r="O1380">
        <v>0</v>
      </c>
      <c r="P1380">
        <v>13398.7528</v>
      </c>
      <c r="Q1380">
        <v>63903</v>
      </c>
      <c r="R1380">
        <f>(Grandview_Inventory[[#This Row],[ln_acres]]*Grandview_Inventory[[#This Row],[coeff]])+Grandview_Inventory[[#This Row],[const]]</f>
        <v>38483.958290574345</v>
      </c>
      <c r="S1380" t="s">
        <v>85</v>
      </c>
      <c r="T1380">
        <v>1</v>
      </c>
      <c r="U1380" t="s">
        <v>65</v>
      </c>
      <c r="V1380" t="s">
        <v>69</v>
      </c>
      <c r="W1380">
        <v>0</v>
      </c>
      <c r="X1380">
        <v>0</v>
      </c>
      <c r="Y1380">
        <v>55</v>
      </c>
      <c r="Z1380">
        <v>98</v>
      </c>
      <c r="AA1380">
        <v>100</v>
      </c>
      <c r="AB1380">
        <v>1500</v>
      </c>
      <c r="AC1380">
        <v>1066</v>
      </c>
      <c r="AD1380">
        <v>1066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144</v>
      </c>
      <c r="AO1380">
        <v>0</v>
      </c>
      <c r="AP1380">
        <v>5</v>
      </c>
      <c r="AQ1380">
        <v>0</v>
      </c>
      <c r="AR1380">
        <v>1</v>
      </c>
      <c r="AS1380" t="s">
        <v>58</v>
      </c>
      <c r="AT1380">
        <v>1</v>
      </c>
      <c r="AU1380" t="s">
        <v>63</v>
      </c>
      <c r="AV1380" t="s">
        <v>60</v>
      </c>
      <c r="AW1380">
        <v>1</v>
      </c>
      <c r="AX1380">
        <v>3</v>
      </c>
      <c r="AY1380">
        <v>0</v>
      </c>
      <c r="AZ1380">
        <v>0</v>
      </c>
      <c r="BA1380">
        <v>100</v>
      </c>
      <c r="BB1380">
        <v>100</v>
      </c>
      <c r="BC1380">
        <v>100</v>
      </c>
      <c r="BD1380">
        <v>100</v>
      </c>
      <c r="BE1380">
        <v>1</v>
      </c>
      <c r="BF1380">
        <v>15000</v>
      </c>
      <c r="BG1380">
        <v>1000</v>
      </c>
      <c r="BH1380" s="6">
        <f>Grandview_Inventory[[#This Row],[land_extract]]*Lookups!$B$3</f>
        <v>44691.316856156598</v>
      </c>
      <c r="BI1380" s="6">
        <f>IF(Grandview_Inventory[[#This Row],[bldg_style]]="",0,Lookups!$B$2)</f>
        <v>155833.95000000001</v>
      </c>
      <c r="BJ1380" s="6">
        <f>_xlfn.IFNA(VLOOKUP(Grandview_Inventory[[#This Row],[quality]],Lookups!$H$2:$J$14,3,FALSE),0)</f>
        <v>2251</v>
      </c>
      <c r="BK1380" s="6">
        <f>_xlfn.IFNA(VLOOKUP(Grandview_Inventory[[#This Row],[condition]],Lookups!$H$17:$J$24,3,FALSE),0)</f>
        <v>-4503</v>
      </c>
      <c r="BL1380" s="6">
        <f>Grandview_Inventory[[#This Row],[Eff_Age]]*Lookups!$B$14</f>
        <v>-13154.162999999999</v>
      </c>
      <c r="BM1380" s="6">
        <f>Grandview_Inventory[[#This Row],[living_area]]*Lookups!$B$15</f>
        <v>66497.989298</v>
      </c>
      <c r="BN1380" s="6">
        <f>Grandview_Inventory[[#This Row],[Fin BSMT]]*Lookups!$B$16</f>
        <v>0</v>
      </c>
      <c r="BO1380" s="6">
        <f>(Grandview_Inventory[[#This Row],[att_gar]]+Grandview_Inventory[[#This Row],[bltin_gar]])*Lookups!$B$17</f>
        <v>0</v>
      </c>
      <c r="BP1380" s="6">
        <f>Grandview_Inventory[[#This Row],[Plumbing Fixtures]]*Lookups!$B$18</f>
        <v>10052.209000000001</v>
      </c>
      <c r="BQ1380" s="6">
        <f>Grandview_Inventory[[#This Row],[detatched_value]]*Lookups!$B$19</f>
        <v>0</v>
      </c>
      <c r="BR1380" s="6">
        <f>SUM(Grandview_Inventory[[#This Row],[Intercept]:[det_value]])*Grandview_Inventory[[#This Row],[res_pct]]</f>
        <v>216977.98529800001</v>
      </c>
      <c r="BS1380" s="6">
        <f>Grandview_Inventory[[#This Row],[land_value]]</f>
        <v>44691.316856156598</v>
      </c>
      <c r="BT1380" s="4">
        <f>_xlfn.IFNA(VLOOKUP(Grandview_Inventory[[#This Row],[quality]],Lookups!$A$26:$C$33,3,FALSE),1)</f>
        <v>0.98763855981004833</v>
      </c>
      <c r="BU1380" s="4">
        <f>_xlfn.IFNA(VLOOKUP(Grandview_Inventory[[#This Row],[condition]],Lookups!$A$37:$C$44,3,FALSE),1)</f>
        <v>0.96469275950863709</v>
      </c>
      <c r="BV1380" s="4">
        <f>IF(Grandview_Inventory[[#This Row],[bldg_style]]="",1,_xlfn.IFNA(VLOOKUP(Grandview_Inventory[[#This Row],[decade]],Lookups!$F$29:$H$43,3,FALSE),1))</f>
        <v>0.95244691841736806</v>
      </c>
      <c r="BW1380" s="4">
        <f>_xlfn.IFNA(VLOOKUP(Grandview_Inventory[[#This Row],[living_area_range]],Lookups!$F$47:$H$56,3,FALSE),1)</f>
        <v>0.96135087979789358</v>
      </c>
      <c r="BX1380" s="4">
        <f>AVERAGE(Grandview_Inventory[[#This Row],[qual_adj]:[size_adj]])</f>
        <v>0.96653227938348674</v>
      </c>
      <c r="BY1380" s="6">
        <f>IF(Grandview_Inventory[[#This Row],[pre_res]]&lt;0,0,Grandview_Inventory[[#This Row],[pre_res]]*Grandview_Inventory[[#This Row],[overall_adj]])</f>
        <v>209716.22670611262</v>
      </c>
      <c r="BZ1380" s="6">
        <f>(Grandview_Inventory[[#This Row],[sum_land]]-IF(Grandview_Inventory[[#This Row],[no_utilities]]=1,12000,0))/IF(Grandview_Inventory[[#This Row],[unbuildable]]=1,2,1)</f>
        <v>44691.316856156598</v>
      </c>
      <c r="CA1380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80">
        <f>ROUND(Grandview_Inventory[[#This Row],[det_value]]*Lookups!$M$28,-2)</f>
        <v>0</v>
      </c>
      <c r="CC1380">
        <f>IF(ROUND(Grandview_Inventory[[#This Row],[adj_res]]*Lookups!$M$28,-2)&lt;Grandview_Inventory[[#This Row],[min_res]],Grandview_Inventory[[#This Row],[min_res]],ROUND(Grandview_Inventory[[#This Row],[adj_res]]*Lookups!$M$28,-2))</f>
        <v>199200</v>
      </c>
      <c r="CD1380">
        <f>Grandview_Inventory[[#This Row],[final_det]]+Grandview_Inventory[[#This Row],[final_res]]</f>
        <v>199200</v>
      </c>
      <c r="CE1380">
        <f>Grandview_Inventory[[#This Row],[final_land]]+Grandview_Inventory[[#This Row],[final_imp]]+Grandview_Inventory[[#This Row],[crop_value]]</f>
        <v>241700</v>
      </c>
      <c r="CG1380" t="str">
        <f t="shared" si="21"/>
        <v>update valuation set market_land =42500, market_bldg=199200, market_total =241700, market_mdno =401, market_date ='9/10/2023' where link_id = (select link_id from parcel where parcel_year = '2024' and parcel_id = '23092314511');</v>
      </c>
    </row>
    <row r="1381" spans="1:85" x14ac:dyDescent="0.25">
      <c r="A1381">
        <v>23092314512</v>
      </c>
      <c r="B1381">
        <v>0.13</v>
      </c>
      <c r="C1381">
        <v>5690</v>
      </c>
      <c r="D1381" t="s">
        <v>129</v>
      </c>
      <c r="E1381" t="s">
        <v>53</v>
      </c>
      <c r="F1381" t="s">
        <v>53</v>
      </c>
      <c r="G1381">
        <v>4</v>
      </c>
      <c r="H1381" t="s">
        <v>54</v>
      </c>
      <c r="I1381">
        <v>156100</v>
      </c>
      <c r="J1381">
        <v>38600</v>
      </c>
      <c r="K1381">
        <v>0.13</v>
      </c>
      <c r="L1381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381">
        <v>0</v>
      </c>
      <c r="N1381">
        <v>0</v>
      </c>
      <c r="O1381">
        <v>0</v>
      </c>
      <c r="P1381">
        <v>13398.7528</v>
      </c>
      <c r="Q1381">
        <v>63903</v>
      </c>
      <c r="R1381">
        <f>(Grandview_Inventory[[#This Row],[ln_acres]]*Grandview_Inventory[[#This Row],[coeff]])+Grandview_Inventory[[#This Row],[const]]</f>
        <v>36566.585461161507</v>
      </c>
      <c r="S1381" t="s">
        <v>55</v>
      </c>
      <c r="T1381">
        <v>2</v>
      </c>
      <c r="U1381" t="s">
        <v>65</v>
      </c>
      <c r="V1381" t="s">
        <v>69</v>
      </c>
      <c r="W1381">
        <v>0</v>
      </c>
      <c r="X1381">
        <v>0</v>
      </c>
      <c r="Y1381">
        <v>54</v>
      </c>
      <c r="Z1381">
        <v>95</v>
      </c>
      <c r="AA1381">
        <v>100</v>
      </c>
      <c r="AB1381">
        <v>2000</v>
      </c>
      <c r="AC1381">
        <v>1674</v>
      </c>
      <c r="AD1381">
        <v>864</v>
      </c>
      <c r="AE1381">
        <v>240</v>
      </c>
      <c r="AF1381">
        <v>0</v>
      </c>
      <c r="AG1381">
        <v>570</v>
      </c>
      <c r="AH1381">
        <v>294</v>
      </c>
      <c r="AI1381">
        <v>0</v>
      </c>
      <c r="AJ1381">
        <v>0</v>
      </c>
      <c r="AK1381">
        <v>0</v>
      </c>
      <c r="AL1381">
        <v>0</v>
      </c>
      <c r="AM1381">
        <v>132</v>
      </c>
      <c r="AN1381">
        <v>120</v>
      </c>
      <c r="AO1381">
        <v>84</v>
      </c>
      <c r="AP1381">
        <v>5</v>
      </c>
      <c r="AQ1381">
        <v>0</v>
      </c>
      <c r="AR1381">
        <v>0</v>
      </c>
      <c r="AS1381" t="s">
        <v>58</v>
      </c>
      <c r="AT1381">
        <v>1</v>
      </c>
      <c r="AU1381" t="s">
        <v>59</v>
      </c>
      <c r="AV1381" t="s">
        <v>60</v>
      </c>
      <c r="AW1381">
        <v>1</v>
      </c>
      <c r="AX1381">
        <v>3</v>
      </c>
      <c r="AY1381">
        <v>0</v>
      </c>
      <c r="AZ1381">
        <v>0</v>
      </c>
      <c r="BA1381">
        <v>100</v>
      </c>
      <c r="BB1381">
        <v>100</v>
      </c>
      <c r="BC1381">
        <v>100</v>
      </c>
      <c r="BD1381">
        <v>100</v>
      </c>
      <c r="BE1381">
        <v>1</v>
      </c>
      <c r="BF1381">
        <v>15000</v>
      </c>
      <c r="BG1381">
        <v>1000</v>
      </c>
      <c r="BH1381" s="6">
        <f>Grandview_Inventory[[#This Row],[land_extract]]*Lookups!$B$3</f>
        <v>42464.67696626611</v>
      </c>
      <c r="BI1381" s="6">
        <f>IF(Grandview_Inventory[[#This Row],[bldg_style]]="",0,Lookups!$B$2)</f>
        <v>155833.95000000001</v>
      </c>
      <c r="BJ1381" s="6">
        <f>_xlfn.IFNA(VLOOKUP(Grandview_Inventory[[#This Row],[quality]],Lookups!$H$2:$J$14,3,FALSE),0)</f>
        <v>2251</v>
      </c>
      <c r="BK1381" s="6">
        <f>_xlfn.IFNA(VLOOKUP(Grandview_Inventory[[#This Row],[condition]],Lookups!$H$17:$J$24,3,FALSE),0)</f>
        <v>-4503</v>
      </c>
      <c r="BL1381" s="6">
        <f>Grandview_Inventory[[#This Row],[Eff_Age]]*Lookups!$B$14</f>
        <v>-12914.9964</v>
      </c>
      <c r="BM1381" s="6">
        <f>Grandview_Inventory[[#This Row],[living_area]]*Lookups!$B$15</f>
        <v>104425.547922</v>
      </c>
      <c r="BN1381" s="6">
        <f>Grandview_Inventory[[#This Row],[Fin BSMT]]*Lookups!$B$16</f>
        <v>-15446.566800000001</v>
      </c>
      <c r="BO1381" s="6">
        <f>(Grandview_Inventory[[#This Row],[att_gar]]+Grandview_Inventory[[#This Row],[bltin_gar]])*Lookups!$B$17</f>
        <v>0</v>
      </c>
      <c r="BP1381" s="6">
        <f>Grandview_Inventory[[#This Row],[Plumbing Fixtures]]*Lookups!$B$18</f>
        <v>10052.209000000001</v>
      </c>
      <c r="BQ1381" s="6">
        <f>Grandview_Inventory[[#This Row],[detatched_value]]*Lookups!$B$19</f>
        <v>0</v>
      </c>
      <c r="BR1381" s="6">
        <f>SUM(Grandview_Inventory[[#This Row],[Intercept]:[det_value]])*Grandview_Inventory[[#This Row],[res_pct]]</f>
        <v>239698.14372200001</v>
      </c>
      <c r="BS1381" s="6">
        <f>Grandview_Inventory[[#This Row],[land_value]]</f>
        <v>42464.67696626611</v>
      </c>
      <c r="BT1381" s="4">
        <f>_xlfn.IFNA(VLOOKUP(Grandview_Inventory[[#This Row],[quality]],Lookups!$A$26:$C$33,3,FALSE),1)</f>
        <v>0.98763855981004833</v>
      </c>
      <c r="BU1381" s="4">
        <f>_xlfn.IFNA(VLOOKUP(Grandview_Inventory[[#This Row],[condition]],Lookups!$A$37:$C$44,3,FALSE),1)</f>
        <v>0.96469275950863709</v>
      </c>
      <c r="BV1381" s="4">
        <f>IF(Grandview_Inventory[[#This Row],[bldg_style]]="",1,_xlfn.IFNA(VLOOKUP(Grandview_Inventory[[#This Row],[decade]],Lookups!$F$29:$H$43,3,FALSE),1))</f>
        <v>0.95244691841736806</v>
      </c>
      <c r="BW1381" s="4">
        <f>_xlfn.IFNA(VLOOKUP(Grandview_Inventory[[#This Row],[living_area_range]],Lookups!$F$47:$H$56,3,FALSE),1)</f>
        <v>0.96120133463014379</v>
      </c>
      <c r="BX1381" s="4">
        <f>AVERAGE(Grandview_Inventory[[#This Row],[qual_adj]:[size_adj]])</f>
        <v>0.96649489309154935</v>
      </c>
      <c r="BY1381" s="6">
        <f>IF(Grandview_Inventory[[#This Row],[pre_res]]&lt;0,0,Grandview_Inventory[[#This Row],[pre_res]]*Grandview_Inventory[[#This Row],[overall_adj]])</f>
        <v>231667.03179083724</v>
      </c>
      <c r="BZ1381" s="6">
        <f>(Grandview_Inventory[[#This Row],[sum_land]]-IF(Grandview_Inventory[[#This Row],[no_utilities]]=1,12000,0))/IF(Grandview_Inventory[[#This Row],[unbuildable]]=1,2,1)</f>
        <v>42464.67696626611</v>
      </c>
      <c r="CA1381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381">
        <f>ROUND(Grandview_Inventory[[#This Row],[det_value]]*Lookups!$M$28,-2)</f>
        <v>0</v>
      </c>
      <c r="CC1381">
        <f>IF(ROUND(Grandview_Inventory[[#This Row],[adj_res]]*Lookups!$M$28,-2)&lt;Grandview_Inventory[[#This Row],[min_res]],Grandview_Inventory[[#This Row],[min_res]],ROUND(Grandview_Inventory[[#This Row],[adj_res]]*Lookups!$M$28,-2))</f>
        <v>220100</v>
      </c>
      <c r="CD1381">
        <f>Grandview_Inventory[[#This Row],[final_det]]+Grandview_Inventory[[#This Row],[final_res]]</f>
        <v>220100</v>
      </c>
      <c r="CE1381">
        <f>Grandview_Inventory[[#This Row],[final_land]]+Grandview_Inventory[[#This Row],[final_imp]]+Grandview_Inventory[[#This Row],[crop_value]]</f>
        <v>260400</v>
      </c>
      <c r="CG1381" t="str">
        <f t="shared" si="21"/>
        <v>update valuation set market_land =40300, market_bldg=220100, market_total =260400, market_mdno =401, market_date ='9/10/2023' where link_id = (select link_id from parcel where parcel_year = '2024' and parcel_id = '23092314512');</v>
      </c>
    </row>
    <row r="1382" spans="1:85" x14ac:dyDescent="0.25">
      <c r="A1382">
        <v>23092314513</v>
      </c>
      <c r="B1382">
        <v>0.08</v>
      </c>
      <c r="C1382">
        <v>3485</v>
      </c>
      <c r="D1382" t="s">
        <v>129</v>
      </c>
      <c r="E1382" t="s">
        <v>53</v>
      </c>
      <c r="F1382" t="s">
        <v>53</v>
      </c>
      <c r="G1382">
        <v>4</v>
      </c>
      <c r="H1382" t="s">
        <v>54</v>
      </c>
      <c r="I1382">
        <v>74100</v>
      </c>
      <c r="J1382">
        <v>37400</v>
      </c>
      <c r="K1382">
        <v>0.08</v>
      </c>
      <c r="L1382">
        <f>IF(Grandview_Inventory[[#This Row],[parcel_acres]]-Grandview_Inventory[[#This Row],[non_valued_acres]] =0,0,LN(Grandview_Inventory[[#This Row],[parcel_acres]]-Grandview_Inventory[[#This Row],[non_valued_acres]]))</f>
        <v>-2.5257286443082556</v>
      </c>
      <c r="M1382">
        <v>0</v>
      </c>
      <c r="N1382">
        <v>0</v>
      </c>
      <c r="O1382">
        <v>0</v>
      </c>
      <c r="P1382">
        <v>13398.7528</v>
      </c>
      <c r="Q1382">
        <v>63903</v>
      </c>
      <c r="R1382">
        <f>(Grandview_Inventory[[#This Row],[ln_acres]]*Grandview_Inventory[[#This Row],[coeff]])+Grandview_Inventory[[#This Row],[const]]</f>
        <v>30061.386255034558</v>
      </c>
      <c r="S1382" t="s">
        <v>55</v>
      </c>
      <c r="T1382">
        <v>1</v>
      </c>
      <c r="U1382" t="s">
        <v>65</v>
      </c>
      <c r="V1382" t="s">
        <v>57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1500</v>
      </c>
      <c r="AC1382">
        <v>1340</v>
      </c>
      <c r="AD1382">
        <v>404</v>
      </c>
      <c r="AE1382">
        <v>936</v>
      </c>
      <c r="AF1382">
        <v>0</v>
      </c>
      <c r="AG1382">
        <v>0</v>
      </c>
      <c r="AH1382">
        <v>0</v>
      </c>
      <c r="AI1382">
        <v>0</v>
      </c>
      <c r="AJ1382">
        <v>556</v>
      </c>
      <c r="AK1382">
        <v>0</v>
      </c>
      <c r="AL1382">
        <v>0</v>
      </c>
      <c r="AM1382">
        <v>0</v>
      </c>
      <c r="AN1382">
        <v>32</v>
      </c>
      <c r="AO1382">
        <v>24</v>
      </c>
      <c r="AP1382">
        <v>5</v>
      </c>
      <c r="AQ1382">
        <v>0</v>
      </c>
      <c r="AR1382">
        <v>0</v>
      </c>
      <c r="AS1382" t="s">
        <v>58</v>
      </c>
      <c r="AT1382">
        <v>1</v>
      </c>
      <c r="AU1382" t="s">
        <v>132</v>
      </c>
      <c r="AV1382" t="s">
        <v>60</v>
      </c>
      <c r="AW1382">
        <v>1</v>
      </c>
      <c r="AX1382">
        <v>3</v>
      </c>
      <c r="AY1382">
        <v>0</v>
      </c>
      <c r="AZ1382">
        <v>0</v>
      </c>
      <c r="BA1382">
        <v>100</v>
      </c>
      <c r="BB1382">
        <v>100</v>
      </c>
      <c r="BC1382">
        <v>100</v>
      </c>
      <c r="BD1382">
        <v>100</v>
      </c>
      <c r="BE1382">
        <v>1</v>
      </c>
      <c r="BF1382">
        <v>15000</v>
      </c>
      <c r="BG1382">
        <v>1000</v>
      </c>
      <c r="BH1382" s="6">
        <f>Grandview_Inventory[[#This Row],[land_extract]]*Lookups!$B$3</f>
        <v>34910.206692228741</v>
      </c>
      <c r="BI1382" s="6">
        <f>IF(Grandview_Inventory[[#This Row],[bldg_style]]="",0,Lookups!$B$2)</f>
        <v>155833.95000000001</v>
      </c>
      <c r="BJ1382" s="6">
        <f>_xlfn.IFNA(VLOOKUP(Grandview_Inventory[[#This Row],[quality]],Lookups!$H$2:$J$14,3,FALSE),0)</f>
        <v>2251</v>
      </c>
      <c r="BK1382" s="6">
        <f>_xlfn.IFNA(VLOOKUP(Grandview_Inventory[[#This Row],[condition]],Lookups!$H$17:$J$24,3,FALSE),0)</f>
        <v>25780</v>
      </c>
      <c r="BL1382" s="6">
        <f>Grandview_Inventory[[#This Row],[Eff_Age]]*Lookups!$B$14</f>
        <v>0</v>
      </c>
      <c r="BM1382" s="6">
        <f>Grandview_Inventory[[#This Row],[living_area]]*Lookups!$B$15</f>
        <v>83590.34302</v>
      </c>
      <c r="BN1382" s="6">
        <f>Grandview_Inventory[[#This Row],[Fin BSMT]]*Lookups!$B$16</f>
        <v>0</v>
      </c>
      <c r="BO1382" s="6">
        <f>(Grandview_Inventory[[#This Row],[att_gar]]+Grandview_Inventory[[#This Row],[bltin_gar]])*Lookups!$B$17</f>
        <v>48661.362972000003</v>
      </c>
      <c r="BP1382" s="6">
        <f>Grandview_Inventory[[#This Row],[Plumbing Fixtures]]*Lookups!$B$18</f>
        <v>10052.209000000001</v>
      </c>
      <c r="BQ1382" s="6">
        <f>Grandview_Inventory[[#This Row],[detatched_value]]*Lookups!$B$19</f>
        <v>0</v>
      </c>
      <c r="BR1382" s="6">
        <f>SUM(Grandview_Inventory[[#This Row],[Intercept]:[det_value]])*Grandview_Inventory[[#This Row],[res_pct]]</f>
        <v>326168.86499199999</v>
      </c>
      <c r="BS1382" s="6">
        <f>Grandview_Inventory[[#This Row],[land_value]]</f>
        <v>34910.206692228741</v>
      </c>
      <c r="BT1382" s="4">
        <f>_xlfn.IFNA(VLOOKUP(Grandview_Inventory[[#This Row],[quality]],Lookups!$A$26:$C$33,3,FALSE),1)</f>
        <v>0.98763855981004833</v>
      </c>
      <c r="BU1382" s="4">
        <f>_xlfn.IFNA(VLOOKUP(Grandview_Inventory[[#This Row],[condition]],Lookups!$A$37:$C$44,3,FALSE),1)</f>
        <v>0.94347925387812148</v>
      </c>
      <c r="BV1382" s="4">
        <f>IF(Grandview_Inventory[[#This Row],[bldg_style]]="",1,_xlfn.IFNA(VLOOKUP(Grandview_Inventory[[#This Row],[decade]],Lookups!$F$29:$H$43,3,FALSE),1))</f>
        <v>0.9413635517371044</v>
      </c>
      <c r="BW1382" s="4">
        <f>_xlfn.IFNA(VLOOKUP(Grandview_Inventory[[#This Row],[living_area_range]],Lookups!$F$47:$H$56,3,FALSE),1)</f>
        <v>0.96135087979789358</v>
      </c>
      <c r="BX1382" s="4">
        <f>AVERAGE(Grandview_Inventory[[#This Row],[qual_adj]:[size_adj]])</f>
        <v>0.95845806130579192</v>
      </c>
      <c r="BY1382" s="6">
        <f>IF(Grandview_Inventory[[#This Row],[pre_res]]&lt;0,0,Grandview_Inventory[[#This Row],[pre_res]]*Grandview_Inventory[[#This Row],[overall_adj]])</f>
        <v>312619.1779985429</v>
      </c>
      <c r="BZ1382" s="6">
        <f>(Grandview_Inventory[[#This Row],[sum_land]]-IF(Grandview_Inventory[[#This Row],[no_utilities]]=1,12000,0))/IF(Grandview_Inventory[[#This Row],[unbuildable]]=1,2,1)</f>
        <v>34910.206692228741</v>
      </c>
      <c r="CA1382">
        <f>IF(ROUND(Grandview_Inventory[[#This Row],[adj_land]]*Lookups!$M$28,-2)&lt;Grandview_Inventory[[#This Row],[min_land]],Grandview_Inventory[[#This Row],[min_land]],ROUND(Grandview_Inventory[[#This Row],[adj_land]]*Lookups!$M$28,-2))</f>
        <v>33200</v>
      </c>
      <c r="CB1382">
        <f>ROUND(Grandview_Inventory[[#This Row],[det_value]]*Lookups!$M$28,-2)</f>
        <v>0</v>
      </c>
      <c r="CC1382">
        <f>IF(ROUND(Grandview_Inventory[[#This Row],[adj_res]]*Lookups!$M$28,-2)&lt;Grandview_Inventory[[#This Row],[min_res]],Grandview_Inventory[[#This Row],[min_res]],ROUND(Grandview_Inventory[[#This Row],[adj_res]]*Lookups!$M$28,-2))</f>
        <v>297000</v>
      </c>
      <c r="CD1382">
        <f>Grandview_Inventory[[#This Row],[final_det]]+Grandview_Inventory[[#This Row],[final_res]]</f>
        <v>297000</v>
      </c>
      <c r="CE1382">
        <f>Grandview_Inventory[[#This Row],[final_land]]+Grandview_Inventory[[#This Row],[final_imp]]+Grandview_Inventory[[#This Row],[crop_value]]</f>
        <v>330200</v>
      </c>
      <c r="CG1382" t="str">
        <f t="shared" si="21"/>
        <v>update valuation set market_land =33200, market_bldg=297000, market_total =330200, market_mdno =401, market_date ='9/10/2023' where link_id = (select link_id from parcel where parcel_year = '2024' and parcel_id = '23092314513');</v>
      </c>
    </row>
    <row r="1383" spans="1:85" x14ac:dyDescent="0.25">
      <c r="A1383">
        <v>23092314514</v>
      </c>
      <c r="B1383">
        <v>0.22</v>
      </c>
      <c r="C1383">
        <v>9403</v>
      </c>
      <c r="D1383" t="s">
        <v>129</v>
      </c>
      <c r="E1383" t="s">
        <v>53</v>
      </c>
      <c r="F1383" t="s">
        <v>53</v>
      </c>
      <c r="G1383">
        <v>4</v>
      </c>
      <c r="H1383" t="s">
        <v>54</v>
      </c>
      <c r="I1383">
        <v>154400</v>
      </c>
      <c r="J1383">
        <v>39800</v>
      </c>
      <c r="K1383">
        <v>0.22</v>
      </c>
      <c r="L138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383">
        <v>0</v>
      </c>
      <c r="N1383">
        <v>0</v>
      </c>
      <c r="O1383">
        <v>0</v>
      </c>
      <c r="P1383">
        <v>13398.7528</v>
      </c>
      <c r="Q1383">
        <v>63903</v>
      </c>
      <c r="R1383">
        <f>(Grandview_Inventory[[#This Row],[ln_acres]]*Grandview_Inventory[[#This Row],[coeff]])+Grandview_Inventory[[#This Row],[const]]</f>
        <v>43615.576802869145</v>
      </c>
      <c r="S1383" t="s">
        <v>85</v>
      </c>
      <c r="T1383">
        <v>2</v>
      </c>
      <c r="U1383" t="s">
        <v>65</v>
      </c>
      <c r="V1383" t="s">
        <v>69</v>
      </c>
      <c r="W1383">
        <v>0</v>
      </c>
      <c r="X1383">
        <v>0</v>
      </c>
      <c r="Y1383">
        <v>55</v>
      </c>
      <c r="Z1383">
        <v>98</v>
      </c>
      <c r="AA1383">
        <v>100</v>
      </c>
      <c r="AB1383">
        <v>2000</v>
      </c>
      <c r="AC1383">
        <v>1701</v>
      </c>
      <c r="AD1383">
        <v>1135</v>
      </c>
      <c r="AE1383">
        <v>566</v>
      </c>
      <c r="AF1383">
        <v>0</v>
      </c>
      <c r="AG1383">
        <v>0</v>
      </c>
      <c r="AH1383">
        <v>550</v>
      </c>
      <c r="AI1383">
        <v>0</v>
      </c>
      <c r="AJ1383">
        <v>0</v>
      </c>
      <c r="AK1383">
        <v>234</v>
      </c>
      <c r="AL1383">
        <v>0</v>
      </c>
      <c r="AM1383">
        <v>0</v>
      </c>
      <c r="AN1383">
        <v>105</v>
      </c>
      <c r="AO1383">
        <v>0</v>
      </c>
      <c r="AP1383">
        <v>7</v>
      </c>
      <c r="AQ1383">
        <v>0</v>
      </c>
      <c r="AR1383">
        <v>1</v>
      </c>
      <c r="AS1383" t="s">
        <v>58</v>
      </c>
      <c r="AT1383">
        <v>1</v>
      </c>
      <c r="AU1383" t="s">
        <v>63</v>
      </c>
      <c r="AV1383" t="s">
        <v>64</v>
      </c>
      <c r="AW1383">
        <v>0</v>
      </c>
      <c r="AX1383">
        <v>3</v>
      </c>
      <c r="AY1383">
        <v>0</v>
      </c>
      <c r="AZ1383">
        <v>0</v>
      </c>
      <c r="BA1383">
        <v>100</v>
      </c>
      <c r="BB1383">
        <v>100</v>
      </c>
      <c r="BC1383">
        <v>100</v>
      </c>
      <c r="BD1383">
        <v>100</v>
      </c>
      <c r="BE1383">
        <v>1</v>
      </c>
      <c r="BF1383">
        <v>15000</v>
      </c>
      <c r="BG1383">
        <v>1000</v>
      </c>
      <c r="BH1383" s="6">
        <f>Grandview_Inventory[[#This Row],[land_extract]]*Lookups!$B$3</f>
        <v>50650.651579114572</v>
      </c>
      <c r="BI1383" s="6">
        <f>IF(Grandview_Inventory[[#This Row],[bldg_style]]="",0,Lookups!$B$2)</f>
        <v>155833.95000000001</v>
      </c>
      <c r="BJ1383" s="6">
        <f>_xlfn.IFNA(VLOOKUP(Grandview_Inventory[[#This Row],[quality]],Lookups!$H$2:$J$14,3,FALSE),0)</f>
        <v>2251</v>
      </c>
      <c r="BK1383" s="6">
        <f>_xlfn.IFNA(VLOOKUP(Grandview_Inventory[[#This Row],[condition]],Lookups!$H$17:$J$24,3,FALSE),0)</f>
        <v>-4503</v>
      </c>
      <c r="BL1383" s="6">
        <f>Grandview_Inventory[[#This Row],[Eff_Age]]*Lookups!$B$14</f>
        <v>-13154.162999999999</v>
      </c>
      <c r="BM1383" s="6">
        <f>Grandview_Inventory[[#This Row],[living_area]]*Lookups!$B$15</f>
        <v>106109.830953</v>
      </c>
      <c r="BN1383" s="6">
        <f>Grandview_Inventory[[#This Row],[Fin BSMT]]*Lookups!$B$16</f>
        <v>0</v>
      </c>
      <c r="BO1383" s="6">
        <f>(Grandview_Inventory[[#This Row],[att_gar]]+Grandview_Inventory[[#This Row],[bltin_gar]])*Lookups!$B$17</f>
        <v>0</v>
      </c>
      <c r="BP1383" s="6">
        <f>Grandview_Inventory[[#This Row],[Plumbing Fixtures]]*Lookups!$B$18</f>
        <v>14073.0926</v>
      </c>
      <c r="BQ1383" s="6">
        <f>Grandview_Inventory[[#This Row],[detatched_value]]*Lookups!$B$19</f>
        <v>0</v>
      </c>
      <c r="BR1383" s="6">
        <f>SUM(Grandview_Inventory[[#This Row],[Intercept]:[det_value]])*Grandview_Inventory[[#This Row],[res_pct]]</f>
        <v>260610.71055300001</v>
      </c>
      <c r="BS1383" s="6">
        <f>Grandview_Inventory[[#This Row],[land_value]]</f>
        <v>50650.651579114572</v>
      </c>
      <c r="BT1383" s="4">
        <f>_xlfn.IFNA(VLOOKUP(Grandview_Inventory[[#This Row],[quality]],Lookups!$A$26:$C$33,3,FALSE),1)</f>
        <v>0.98763855981004833</v>
      </c>
      <c r="BU1383" s="4">
        <f>_xlfn.IFNA(VLOOKUP(Grandview_Inventory[[#This Row],[condition]],Lookups!$A$37:$C$44,3,FALSE),1)</f>
        <v>0.96469275950863709</v>
      </c>
      <c r="BV1383" s="4">
        <f>IF(Grandview_Inventory[[#This Row],[bldg_style]]="",1,_xlfn.IFNA(VLOOKUP(Grandview_Inventory[[#This Row],[decade]],Lookups!$F$29:$H$43,3,FALSE),1))</f>
        <v>0.95244691841736806</v>
      </c>
      <c r="BW1383" s="4">
        <f>_xlfn.IFNA(VLOOKUP(Grandview_Inventory[[#This Row],[living_area_range]],Lookups!$F$47:$H$56,3,FALSE),1)</f>
        <v>0.96120133463014379</v>
      </c>
      <c r="BX1383" s="4">
        <f>AVERAGE(Grandview_Inventory[[#This Row],[qual_adj]:[size_adj]])</f>
        <v>0.96649489309154935</v>
      </c>
      <c r="BY1383" s="6">
        <f>IF(Grandview_Inventory[[#This Row],[pre_res]]&lt;0,0,Grandview_Inventory[[#This Row],[pre_res]]*Grandview_Inventory[[#This Row],[overall_adj]])</f>
        <v>251878.92083443445</v>
      </c>
      <c r="BZ1383" s="6">
        <f>(Grandview_Inventory[[#This Row],[sum_land]]-IF(Grandview_Inventory[[#This Row],[no_utilities]]=1,12000,0))/IF(Grandview_Inventory[[#This Row],[unbuildable]]=1,2,1)</f>
        <v>50650.651579114572</v>
      </c>
      <c r="CA138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383">
        <f>ROUND(Grandview_Inventory[[#This Row],[det_value]]*Lookups!$M$28,-2)</f>
        <v>0</v>
      </c>
      <c r="CC1383">
        <f>IF(ROUND(Grandview_Inventory[[#This Row],[adj_res]]*Lookups!$M$28,-2)&lt;Grandview_Inventory[[#This Row],[min_res]],Grandview_Inventory[[#This Row],[min_res]],ROUND(Grandview_Inventory[[#This Row],[adj_res]]*Lookups!$M$28,-2))</f>
        <v>239300</v>
      </c>
      <c r="CD1383">
        <f>Grandview_Inventory[[#This Row],[final_det]]+Grandview_Inventory[[#This Row],[final_res]]</f>
        <v>239300</v>
      </c>
      <c r="CE1383">
        <f>Grandview_Inventory[[#This Row],[final_land]]+Grandview_Inventory[[#This Row],[final_imp]]+Grandview_Inventory[[#This Row],[crop_value]]</f>
        <v>287400</v>
      </c>
      <c r="CG1383" t="str">
        <f t="shared" si="21"/>
        <v>update valuation set market_land =48100, market_bldg=239300, market_total =287400, market_mdno =401, market_date ='9/10/2023' where link_id = (select link_id from parcel where parcel_year = '2024' and parcel_id = '23092314514');</v>
      </c>
    </row>
    <row r="1384" spans="1:85" x14ac:dyDescent="0.25">
      <c r="A1384">
        <v>23092314515</v>
      </c>
      <c r="B1384">
        <v>0.14000000000000001</v>
      </c>
      <c r="C1384">
        <v>6208</v>
      </c>
      <c r="D1384" t="s">
        <v>129</v>
      </c>
      <c r="E1384" t="s">
        <v>53</v>
      </c>
      <c r="F1384" t="s">
        <v>53</v>
      </c>
      <c r="G1384">
        <v>4</v>
      </c>
      <c r="H1384" t="s">
        <v>54</v>
      </c>
      <c r="I1384">
        <v>225100</v>
      </c>
      <c r="J1384">
        <v>38800</v>
      </c>
      <c r="K1384">
        <v>0.14000000000000001</v>
      </c>
      <c r="L1384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384">
        <v>0</v>
      </c>
      <c r="N1384">
        <v>0</v>
      </c>
      <c r="O1384">
        <v>0</v>
      </c>
      <c r="P1384">
        <v>13398.7528</v>
      </c>
      <c r="Q1384">
        <v>63903</v>
      </c>
      <c r="R1384">
        <f>(Grandview_Inventory[[#This Row],[ln_acres]]*Grandview_Inventory[[#This Row],[coeff]])+Grandview_Inventory[[#This Row],[const]]</f>
        <v>37559.539860558507</v>
      </c>
      <c r="S1384" t="s">
        <v>55</v>
      </c>
      <c r="T1384">
        <v>2</v>
      </c>
      <c r="U1384" t="s">
        <v>65</v>
      </c>
      <c r="V1384" t="s">
        <v>67</v>
      </c>
      <c r="W1384">
        <v>0</v>
      </c>
      <c r="X1384">
        <v>0</v>
      </c>
      <c r="Y1384">
        <v>57</v>
      </c>
      <c r="Z1384">
        <v>103</v>
      </c>
      <c r="AA1384">
        <v>110</v>
      </c>
      <c r="AB1384">
        <v>2500</v>
      </c>
      <c r="AC1384">
        <v>2268</v>
      </c>
      <c r="AD1384">
        <v>1524</v>
      </c>
      <c r="AE1384">
        <v>744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72</v>
      </c>
      <c r="AO1384">
        <v>0</v>
      </c>
      <c r="AP1384">
        <v>8</v>
      </c>
      <c r="AQ1384">
        <v>0</v>
      </c>
      <c r="AR1384">
        <v>0</v>
      </c>
      <c r="AS1384" t="s">
        <v>58</v>
      </c>
      <c r="AT1384">
        <v>1</v>
      </c>
      <c r="AU1384" t="s">
        <v>63</v>
      </c>
      <c r="AV1384" t="s">
        <v>64</v>
      </c>
      <c r="AW1384">
        <v>0</v>
      </c>
      <c r="AX1384">
        <v>3</v>
      </c>
      <c r="AY1384">
        <v>0</v>
      </c>
      <c r="AZ1384">
        <v>4600</v>
      </c>
      <c r="BA1384">
        <v>100</v>
      </c>
      <c r="BB1384">
        <v>100</v>
      </c>
      <c r="BC1384">
        <v>100</v>
      </c>
      <c r="BD1384">
        <v>100</v>
      </c>
      <c r="BE1384">
        <v>1</v>
      </c>
      <c r="BF1384">
        <v>15000</v>
      </c>
      <c r="BG1384">
        <v>1000</v>
      </c>
      <c r="BH1384" s="6">
        <f>Grandview_Inventory[[#This Row],[land_extract]]*Lookups!$B$3</f>
        <v>43617.792229308972</v>
      </c>
      <c r="BI1384" s="6">
        <f>IF(Grandview_Inventory[[#This Row],[bldg_style]]="",0,Lookups!$B$2)</f>
        <v>155833.95000000001</v>
      </c>
      <c r="BJ1384" s="6">
        <f>_xlfn.IFNA(VLOOKUP(Grandview_Inventory[[#This Row],[quality]],Lookups!$H$2:$J$14,3,FALSE),0)</f>
        <v>2251</v>
      </c>
      <c r="BK1384" s="6">
        <f>_xlfn.IFNA(VLOOKUP(Grandview_Inventory[[#This Row],[condition]],Lookups!$H$17:$J$24,3,FALSE),0)</f>
        <v>22342</v>
      </c>
      <c r="BL1384" s="6">
        <f>Grandview_Inventory[[#This Row],[Eff_Age]]*Lookups!$B$14</f>
        <v>-13632.4962</v>
      </c>
      <c r="BM1384" s="6">
        <f>Grandview_Inventory[[#This Row],[living_area]]*Lookups!$B$15</f>
        <v>141479.77460400001</v>
      </c>
      <c r="BN1384" s="6">
        <f>Grandview_Inventory[[#This Row],[Fin BSMT]]*Lookups!$B$16</f>
        <v>0</v>
      </c>
      <c r="BO1384" s="6">
        <f>(Grandview_Inventory[[#This Row],[att_gar]]+Grandview_Inventory[[#This Row],[bltin_gar]])*Lookups!$B$17</f>
        <v>0</v>
      </c>
      <c r="BP1384" s="6">
        <f>Grandview_Inventory[[#This Row],[Plumbing Fixtures]]*Lookups!$B$18</f>
        <v>16083.5344</v>
      </c>
      <c r="BQ1384" s="6">
        <f>Grandview_Inventory[[#This Row],[detatched_value]]*Lookups!$B$19</f>
        <v>3895.3034600000001</v>
      </c>
      <c r="BR1384" s="6">
        <f>SUM(Grandview_Inventory[[#This Row],[Intercept]:[det_value]])*Grandview_Inventory[[#This Row],[res_pct]]</f>
        <v>328253.06626400008</v>
      </c>
      <c r="BS1384" s="6">
        <f>Grandview_Inventory[[#This Row],[land_value]]</f>
        <v>43617.792229308972</v>
      </c>
      <c r="BT1384" s="4">
        <f>_xlfn.IFNA(VLOOKUP(Grandview_Inventory[[#This Row],[quality]],Lookups!$A$26:$C$33,3,FALSE),1)</f>
        <v>0.98763855981004833</v>
      </c>
      <c r="BU1384" s="4">
        <f>_xlfn.IFNA(VLOOKUP(Grandview_Inventory[[#This Row],[condition]],Lookups!$A$37:$C$44,3,FALSE),1)</f>
        <v>0.97383723671140243</v>
      </c>
      <c r="BV1384" s="4">
        <f>IF(Grandview_Inventory[[#This Row],[bldg_style]]="",1,_xlfn.IFNA(VLOOKUP(Grandview_Inventory[[#This Row],[decade]],Lookups!$F$29:$H$43,3,FALSE),1))</f>
        <v>0.92255236374249616</v>
      </c>
      <c r="BW1384" s="4">
        <f>_xlfn.IFNA(VLOOKUP(Grandview_Inventory[[#This Row],[living_area_range]],Lookups!$F$47:$H$56,3,FALSE),1)</f>
        <v>0.95799442568048754</v>
      </c>
      <c r="BX1384" s="4">
        <f>AVERAGE(Grandview_Inventory[[#This Row],[qual_adj]:[size_adj]])</f>
        <v>0.96050564648610859</v>
      </c>
      <c r="BY1384" s="6">
        <f>IF(Grandview_Inventory[[#This Row],[pre_res]]&lt;0,0,Grandview_Inventory[[#This Row],[pre_res]]*Grandview_Inventory[[#This Row],[overall_adj]])</f>
        <v>315288.92362295085</v>
      </c>
      <c r="BZ1384" s="6">
        <f>(Grandview_Inventory[[#This Row],[sum_land]]-IF(Grandview_Inventory[[#This Row],[no_utilities]]=1,12000,0))/IF(Grandview_Inventory[[#This Row],[unbuildable]]=1,2,1)</f>
        <v>43617.792229308972</v>
      </c>
      <c r="CA1384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384">
        <f>ROUND(Grandview_Inventory[[#This Row],[det_value]]*Lookups!$M$28,-2)</f>
        <v>3700</v>
      </c>
      <c r="CC1384">
        <f>IF(ROUND(Grandview_Inventory[[#This Row],[adj_res]]*Lookups!$M$28,-2)&lt;Grandview_Inventory[[#This Row],[min_res]],Grandview_Inventory[[#This Row],[min_res]],ROUND(Grandview_Inventory[[#This Row],[adj_res]]*Lookups!$M$28,-2))</f>
        <v>299500</v>
      </c>
      <c r="CD1384">
        <f>Grandview_Inventory[[#This Row],[final_det]]+Grandview_Inventory[[#This Row],[final_res]]</f>
        <v>303200</v>
      </c>
      <c r="CE1384">
        <f>Grandview_Inventory[[#This Row],[final_land]]+Grandview_Inventory[[#This Row],[final_imp]]+Grandview_Inventory[[#This Row],[crop_value]]</f>
        <v>344600</v>
      </c>
      <c r="CG1384" t="str">
        <f t="shared" si="21"/>
        <v>update valuation set market_land =41400, market_bldg=303200, market_total =344600, market_mdno =401, market_date ='9/10/2023' where link_id = (select link_id from parcel where parcel_year = '2024' and parcel_id = '23092314515');</v>
      </c>
    </row>
    <row r="1385" spans="1:85" x14ac:dyDescent="0.25">
      <c r="A1385">
        <v>23092314516</v>
      </c>
      <c r="B1385">
        <v>0.17</v>
      </c>
      <c r="C1385">
        <v>7389</v>
      </c>
      <c r="D1385" t="s">
        <v>129</v>
      </c>
      <c r="E1385" t="s">
        <v>53</v>
      </c>
      <c r="F1385" t="s">
        <v>53</v>
      </c>
      <c r="G1385">
        <v>4</v>
      </c>
      <c r="H1385" t="s">
        <v>54</v>
      </c>
      <c r="I1385">
        <v>170500</v>
      </c>
      <c r="J1385">
        <v>39300</v>
      </c>
      <c r="K1385">
        <v>0.17</v>
      </c>
      <c r="L138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385">
        <v>0</v>
      </c>
      <c r="N1385">
        <v>0</v>
      </c>
      <c r="O1385">
        <v>0</v>
      </c>
      <c r="P1385">
        <v>13398.7528</v>
      </c>
      <c r="Q1385">
        <v>63903</v>
      </c>
      <c r="R1385">
        <f>(Grandview_Inventory[[#This Row],[ln_acres]]*Grandview_Inventory[[#This Row],[coeff]])+Grandview_Inventory[[#This Row],[const]]</f>
        <v>40160.988302686128</v>
      </c>
      <c r="S1385" t="s">
        <v>55</v>
      </c>
      <c r="T1385">
        <v>2</v>
      </c>
      <c r="U1385" t="s">
        <v>65</v>
      </c>
      <c r="V1385" t="s">
        <v>67</v>
      </c>
      <c r="W1385">
        <v>0</v>
      </c>
      <c r="X1385">
        <v>0</v>
      </c>
      <c r="Y1385">
        <v>57</v>
      </c>
      <c r="Z1385">
        <v>103</v>
      </c>
      <c r="AA1385">
        <v>110</v>
      </c>
      <c r="AB1385">
        <v>1500</v>
      </c>
      <c r="AC1385">
        <v>1234</v>
      </c>
      <c r="AD1385">
        <v>1032</v>
      </c>
      <c r="AE1385">
        <v>202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72</v>
      </c>
      <c r="AO1385">
        <v>0</v>
      </c>
      <c r="AP1385">
        <v>5</v>
      </c>
      <c r="AQ1385">
        <v>0</v>
      </c>
      <c r="AR1385">
        <v>0</v>
      </c>
      <c r="AS1385" t="s">
        <v>58</v>
      </c>
      <c r="AT1385">
        <v>1</v>
      </c>
      <c r="AU1385" t="s">
        <v>63</v>
      </c>
      <c r="AV1385" t="s">
        <v>64</v>
      </c>
      <c r="AW1385">
        <v>0</v>
      </c>
      <c r="AX1385">
        <v>3</v>
      </c>
      <c r="AY1385">
        <v>0</v>
      </c>
      <c r="AZ1385">
        <v>3900</v>
      </c>
      <c r="BA1385">
        <v>100</v>
      </c>
      <c r="BB1385">
        <v>100</v>
      </c>
      <c r="BC1385">
        <v>100</v>
      </c>
      <c r="BD1385">
        <v>100</v>
      </c>
      <c r="BE1385">
        <v>1</v>
      </c>
      <c r="BF1385">
        <v>15000</v>
      </c>
      <c r="BG1385">
        <v>1000</v>
      </c>
      <c r="BH1385" s="6">
        <f>Grandview_Inventory[[#This Row],[land_extract]]*Lookups!$B$3</f>
        <v>46638.847281240982</v>
      </c>
      <c r="BI1385" s="6">
        <f>IF(Grandview_Inventory[[#This Row],[bldg_style]]="",0,Lookups!$B$2)</f>
        <v>155833.95000000001</v>
      </c>
      <c r="BJ1385" s="6">
        <f>_xlfn.IFNA(VLOOKUP(Grandview_Inventory[[#This Row],[quality]],Lookups!$H$2:$J$14,3,FALSE),0)</f>
        <v>2251</v>
      </c>
      <c r="BK1385" s="6">
        <f>_xlfn.IFNA(VLOOKUP(Grandview_Inventory[[#This Row],[condition]],Lookups!$H$17:$J$24,3,FALSE),0)</f>
        <v>22342</v>
      </c>
      <c r="BL1385" s="6">
        <f>Grandview_Inventory[[#This Row],[Eff_Age]]*Lookups!$B$14</f>
        <v>-13632.4962</v>
      </c>
      <c r="BM1385" s="6">
        <f>Grandview_Inventory[[#This Row],[living_area]]*Lookups!$B$15</f>
        <v>76977.972602000009</v>
      </c>
      <c r="BN1385" s="6">
        <f>Grandview_Inventory[[#This Row],[Fin BSMT]]*Lookups!$B$16</f>
        <v>0</v>
      </c>
      <c r="BO1385" s="6">
        <f>(Grandview_Inventory[[#This Row],[att_gar]]+Grandview_Inventory[[#This Row],[bltin_gar]])*Lookups!$B$17</f>
        <v>0</v>
      </c>
      <c r="BP1385" s="6">
        <f>Grandview_Inventory[[#This Row],[Plumbing Fixtures]]*Lookups!$B$18</f>
        <v>10052.209000000001</v>
      </c>
      <c r="BQ1385" s="6">
        <f>Grandview_Inventory[[#This Row],[detatched_value]]*Lookups!$B$19</f>
        <v>3302.53989</v>
      </c>
      <c r="BR1385" s="6">
        <f>SUM(Grandview_Inventory[[#This Row],[Intercept]:[det_value]])*Grandview_Inventory[[#This Row],[res_pct]]</f>
        <v>257127.175292</v>
      </c>
      <c r="BS1385" s="6">
        <f>Grandview_Inventory[[#This Row],[land_value]]</f>
        <v>46638.847281240982</v>
      </c>
      <c r="BT1385" s="4">
        <f>_xlfn.IFNA(VLOOKUP(Grandview_Inventory[[#This Row],[quality]],Lookups!$A$26:$C$33,3,FALSE),1)</f>
        <v>0.98763855981004833</v>
      </c>
      <c r="BU1385" s="4">
        <f>_xlfn.IFNA(VLOOKUP(Grandview_Inventory[[#This Row],[condition]],Lookups!$A$37:$C$44,3,FALSE),1)</f>
        <v>0.97383723671140243</v>
      </c>
      <c r="BV1385" s="4">
        <f>IF(Grandview_Inventory[[#This Row],[bldg_style]]="",1,_xlfn.IFNA(VLOOKUP(Grandview_Inventory[[#This Row],[decade]],Lookups!$F$29:$H$43,3,FALSE),1))</f>
        <v>0.92255236374249616</v>
      </c>
      <c r="BW1385" s="4">
        <f>_xlfn.IFNA(VLOOKUP(Grandview_Inventory[[#This Row],[living_area_range]],Lookups!$F$47:$H$56,3,FALSE),1)</f>
        <v>0.96135087979789358</v>
      </c>
      <c r="BX1385" s="4">
        <f>AVERAGE(Grandview_Inventory[[#This Row],[qual_adj]:[size_adj]])</f>
        <v>0.9613447600154601</v>
      </c>
      <c r="BY1385" s="6">
        <f>IF(Grandview_Inventory[[#This Row],[pre_res]]&lt;0,0,Grandview_Inventory[[#This Row],[pre_res]]*Grandview_Inventory[[#This Row],[overall_adj]])</f>
        <v>247187.86262454087</v>
      </c>
      <c r="BZ1385" s="6">
        <f>(Grandview_Inventory[[#This Row],[sum_land]]-IF(Grandview_Inventory[[#This Row],[no_utilities]]=1,12000,0))/IF(Grandview_Inventory[[#This Row],[unbuildable]]=1,2,1)</f>
        <v>46638.847281240982</v>
      </c>
      <c r="CA138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385">
        <f>ROUND(Grandview_Inventory[[#This Row],[det_value]]*Lookups!$M$28,-2)</f>
        <v>3100</v>
      </c>
      <c r="CC1385">
        <f>IF(ROUND(Grandview_Inventory[[#This Row],[adj_res]]*Lookups!$M$28,-2)&lt;Grandview_Inventory[[#This Row],[min_res]],Grandview_Inventory[[#This Row],[min_res]],ROUND(Grandview_Inventory[[#This Row],[adj_res]]*Lookups!$M$28,-2))</f>
        <v>234800</v>
      </c>
      <c r="CD1385">
        <f>Grandview_Inventory[[#This Row],[final_det]]+Grandview_Inventory[[#This Row],[final_res]]</f>
        <v>237900</v>
      </c>
      <c r="CE1385">
        <f>Grandview_Inventory[[#This Row],[final_land]]+Grandview_Inventory[[#This Row],[final_imp]]+Grandview_Inventory[[#This Row],[crop_value]]</f>
        <v>282200</v>
      </c>
      <c r="CG1385" t="str">
        <f t="shared" si="21"/>
        <v>update valuation set market_land =44300, market_bldg=237900, market_total =282200, market_mdno =401, market_date ='9/10/2023' where link_id = (select link_id from parcel where parcel_year = '2024' and parcel_id = '23092314516');</v>
      </c>
    </row>
    <row r="1386" spans="1:85" x14ac:dyDescent="0.25">
      <c r="A1386">
        <v>23092314517</v>
      </c>
      <c r="B1386">
        <v>0.15</v>
      </c>
      <c r="C1386">
        <v>6648</v>
      </c>
      <c r="D1386" t="s">
        <v>129</v>
      </c>
      <c r="E1386" t="s">
        <v>53</v>
      </c>
      <c r="F1386" t="s">
        <v>53</v>
      </c>
      <c r="G1386">
        <v>4</v>
      </c>
      <c r="H1386" t="s">
        <v>54</v>
      </c>
      <c r="I1386">
        <v>179100</v>
      </c>
      <c r="J1386">
        <v>38800</v>
      </c>
      <c r="K1386">
        <v>0.15</v>
      </c>
      <c r="L138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86">
        <v>0</v>
      </c>
      <c r="N1386">
        <v>0</v>
      </c>
      <c r="O1386">
        <v>0</v>
      </c>
      <c r="P1386">
        <v>13398.7528</v>
      </c>
      <c r="Q1386">
        <v>63903</v>
      </c>
      <c r="R1386">
        <f>(Grandview_Inventory[[#This Row],[ln_acres]]*Grandview_Inventory[[#This Row],[coeff]])+Grandview_Inventory[[#This Row],[const]]</f>
        <v>38483.958290574345</v>
      </c>
      <c r="S1386" t="s">
        <v>68</v>
      </c>
      <c r="T1386">
        <v>1</v>
      </c>
      <c r="U1386" t="s">
        <v>62</v>
      </c>
      <c r="V1386" t="s">
        <v>69</v>
      </c>
      <c r="W1386">
        <v>0</v>
      </c>
      <c r="X1386">
        <v>0</v>
      </c>
      <c r="Y1386">
        <v>50</v>
      </c>
      <c r="Z1386">
        <v>73</v>
      </c>
      <c r="AA1386">
        <v>80</v>
      </c>
      <c r="AB1386">
        <v>2000</v>
      </c>
      <c r="AC1386">
        <v>1989</v>
      </c>
      <c r="AD1386">
        <v>1089</v>
      </c>
      <c r="AE1386">
        <v>0</v>
      </c>
      <c r="AF1386">
        <v>0</v>
      </c>
      <c r="AG1386">
        <v>900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8</v>
      </c>
      <c r="AQ1386">
        <v>0</v>
      </c>
      <c r="AR1386">
        <v>1</v>
      </c>
      <c r="AS1386" t="s">
        <v>76</v>
      </c>
      <c r="AT1386">
        <v>1</v>
      </c>
      <c r="AU1386" t="s">
        <v>59</v>
      </c>
      <c r="AV1386" t="s">
        <v>64</v>
      </c>
      <c r="AW1386">
        <v>1</v>
      </c>
      <c r="AX1386">
        <v>3</v>
      </c>
      <c r="AY1386">
        <v>0</v>
      </c>
      <c r="AZ1386">
        <v>20000</v>
      </c>
      <c r="BA1386">
        <v>100</v>
      </c>
      <c r="BB1386">
        <v>100</v>
      </c>
      <c r="BC1386">
        <v>100</v>
      </c>
      <c r="BD1386">
        <v>100</v>
      </c>
      <c r="BE1386">
        <v>1</v>
      </c>
      <c r="BF1386">
        <v>15000</v>
      </c>
      <c r="BG1386">
        <v>1000</v>
      </c>
      <c r="BH1386" s="6">
        <f>Grandview_Inventory[[#This Row],[land_extract]]*Lookups!$B$3</f>
        <v>44691.316856156598</v>
      </c>
      <c r="BI1386" s="6">
        <f>IF(Grandview_Inventory[[#This Row],[bldg_style]]="",0,Lookups!$B$2)</f>
        <v>155833.95000000001</v>
      </c>
      <c r="BJ1386" s="6">
        <f>_xlfn.IFNA(VLOOKUP(Grandview_Inventory[[#This Row],[quality]],Lookups!$H$2:$J$14,3,FALSE),0)</f>
        <v>9808</v>
      </c>
      <c r="BK1386" s="6">
        <f>_xlfn.IFNA(VLOOKUP(Grandview_Inventory[[#This Row],[condition]],Lookups!$H$17:$J$24,3,FALSE),0)</f>
        <v>-4503</v>
      </c>
      <c r="BL1386" s="6">
        <f>Grandview_Inventory[[#This Row],[Eff_Age]]*Lookups!$B$14</f>
        <v>-11958.33</v>
      </c>
      <c r="BM1386" s="6">
        <f>Grandview_Inventory[[#This Row],[living_area]]*Lookups!$B$15</f>
        <v>124075.516617</v>
      </c>
      <c r="BN1386" s="6">
        <f>Grandview_Inventory[[#This Row],[Fin BSMT]]*Lookups!$B$16</f>
        <v>-24389.316000000003</v>
      </c>
      <c r="BO1386" s="6">
        <f>(Grandview_Inventory[[#This Row],[att_gar]]+Grandview_Inventory[[#This Row],[bltin_gar]])*Lookups!$B$17</f>
        <v>0</v>
      </c>
      <c r="BP1386" s="6">
        <f>Grandview_Inventory[[#This Row],[Plumbing Fixtures]]*Lookups!$B$18</f>
        <v>16083.5344</v>
      </c>
      <c r="BQ1386" s="6">
        <f>Grandview_Inventory[[#This Row],[detatched_value]]*Lookups!$B$19</f>
        <v>16936.101999999999</v>
      </c>
      <c r="BR1386" s="6">
        <f>SUM(Grandview_Inventory[[#This Row],[Intercept]:[det_value]])*Grandview_Inventory[[#This Row],[res_pct]]</f>
        <v>281886.45701700007</v>
      </c>
      <c r="BS1386" s="6">
        <f>Grandview_Inventory[[#This Row],[land_value]]</f>
        <v>44691.316856156598</v>
      </c>
      <c r="BT1386" s="4">
        <f>_xlfn.IFNA(VLOOKUP(Grandview_Inventory[[#This Row],[quality]],Lookups!$A$26:$C$33,3,FALSE),1)</f>
        <v>0.94295468617355149</v>
      </c>
      <c r="BU1386" s="4">
        <f>_xlfn.IFNA(VLOOKUP(Grandview_Inventory[[#This Row],[condition]],Lookups!$A$37:$C$44,3,FALSE),1)</f>
        <v>0.96469275950863709</v>
      </c>
      <c r="BV1386" s="4">
        <f>IF(Grandview_Inventory[[#This Row],[bldg_style]]="",1,_xlfn.IFNA(VLOOKUP(Grandview_Inventory[[#This Row],[decade]],Lookups!$F$29:$H$43,3,FALSE),1))</f>
        <v>0.98763256963907298</v>
      </c>
      <c r="BW1386" s="4">
        <f>_xlfn.IFNA(VLOOKUP(Grandview_Inventory[[#This Row],[living_area_range]],Lookups!$F$47:$H$56,3,FALSE),1)</f>
        <v>0.96120133463014379</v>
      </c>
      <c r="BX1386" s="4">
        <f>AVERAGE(Grandview_Inventory[[#This Row],[qual_adj]:[size_adj]])</f>
        <v>0.96412033748785131</v>
      </c>
      <c r="BY1386" s="6">
        <f>IF(Grandview_Inventory[[#This Row],[pre_res]]&lt;0,0,Grandview_Inventory[[#This Row],[pre_res]]*Grandview_Inventory[[#This Row],[overall_adj]])</f>
        <v>271772.46607248479</v>
      </c>
      <c r="BZ1386" s="6">
        <f>(Grandview_Inventory[[#This Row],[sum_land]]-IF(Grandview_Inventory[[#This Row],[no_utilities]]=1,12000,0))/IF(Grandview_Inventory[[#This Row],[unbuildable]]=1,2,1)</f>
        <v>44691.316856156598</v>
      </c>
      <c r="CA138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86">
        <f>ROUND(Grandview_Inventory[[#This Row],[det_value]]*Lookups!$M$28,-2)</f>
        <v>16100</v>
      </c>
      <c r="CC1386">
        <f>IF(ROUND(Grandview_Inventory[[#This Row],[adj_res]]*Lookups!$M$28,-2)&lt;Grandview_Inventory[[#This Row],[min_res]],Grandview_Inventory[[#This Row],[min_res]],ROUND(Grandview_Inventory[[#This Row],[adj_res]]*Lookups!$M$28,-2))</f>
        <v>258200</v>
      </c>
      <c r="CD1386">
        <f>Grandview_Inventory[[#This Row],[final_det]]+Grandview_Inventory[[#This Row],[final_res]]</f>
        <v>274300</v>
      </c>
      <c r="CE1386">
        <f>Grandview_Inventory[[#This Row],[final_land]]+Grandview_Inventory[[#This Row],[final_imp]]+Grandview_Inventory[[#This Row],[crop_value]]</f>
        <v>316800</v>
      </c>
      <c r="CG1386" t="str">
        <f t="shared" si="21"/>
        <v>update valuation set market_land =42500, market_bldg=274300, market_total =316800, market_mdno =401, market_date ='9/10/2023' where link_id = (select link_id from parcel where parcel_year = '2024' and parcel_id = '23092314517');</v>
      </c>
    </row>
    <row r="1387" spans="1:85" x14ac:dyDescent="0.25">
      <c r="A1387">
        <v>23092314518</v>
      </c>
      <c r="B1387">
        <v>0.18</v>
      </c>
      <c r="C1387">
        <v>7696</v>
      </c>
      <c r="D1387" t="s">
        <v>129</v>
      </c>
      <c r="E1387" t="s">
        <v>53</v>
      </c>
      <c r="F1387" t="s">
        <v>53</v>
      </c>
      <c r="G1387">
        <v>4</v>
      </c>
      <c r="H1387" t="s">
        <v>54</v>
      </c>
      <c r="I1387">
        <v>156500</v>
      </c>
      <c r="J1387">
        <v>39300</v>
      </c>
      <c r="K1387">
        <v>0.18</v>
      </c>
      <c r="L138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87">
        <v>0</v>
      </c>
      <c r="N1387">
        <v>0</v>
      </c>
      <c r="O1387">
        <v>0</v>
      </c>
      <c r="P1387">
        <v>13398.7528</v>
      </c>
      <c r="Q1387">
        <v>63903</v>
      </c>
      <c r="R1387">
        <f>(Grandview_Inventory[[#This Row],[ln_acres]]*Grandview_Inventory[[#This Row],[coeff]])+Grandview_Inventory[[#This Row],[const]]</f>
        <v>40926.839760167699</v>
      </c>
      <c r="S1387" t="s">
        <v>61</v>
      </c>
      <c r="T1387">
        <v>1</v>
      </c>
      <c r="U1387" t="s">
        <v>65</v>
      </c>
      <c r="V1387" t="s">
        <v>69</v>
      </c>
      <c r="W1387">
        <v>0</v>
      </c>
      <c r="X1387">
        <v>0</v>
      </c>
      <c r="Y1387">
        <v>50</v>
      </c>
      <c r="Z1387">
        <v>70</v>
      </c>
      <c r="AA1387">
        <v>70</v>
      </c>
      <c r="AB1387">
        <v>1500</v>
      </c>
      <c r="AC1387">
        <v>1422</v>
      </c>
      <c r="AD1387">
        <v>1422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114</v>
      </c>
      <c r="AN1387">
        <v>45</v>
      </c>
      <c r="AO1387">
        <v>114</v>
      </c>
      <c r="AP1387">
        <v>7</v>
      </c>
      <c r="AQ1387">
        <v>0</v>
      </c>
      <c r="AR1387">
        <v>1</v>
      </c>
      <c r="AS1387" t="s">
        <v>58</v>
      </c>
      <c r="AT1387">
        <v>1</v>
      </c>
      <c r="AU1387" t="s">
        <v>63</v>
      </c>
      <c r="AV1387" t="s">
        <v>64</v>
      </c>
      <c r="AW1387">
        <v>0</v>
      </c>
      <c r="AX1387">
        <v>3</v>
      </c>
      <c r="AY1387">
        <v>0</v>
      </c>
      <c r="AZ1387">
        <v>9300</v>
      </c>
      <c r="BA1387">
        <v>100</v>
      </c>
      <c r="BB1387">
        <v>100</v>
      </c>
      <c r="BC1387">
        <v>100</v>
      </c>
      <c r="BD1387">
        <v>100</v>
      </c>
      <c r="BE1387">
        <v>1</v>
      </c>
      <c r="BF1387">
        <v>15000</v>
      </c>
      <c r="BG1387">
        <v>1000</v>
      </c>
      <c r="BH1387" s="6">
        <f>Grandview_Inventory[[#This Row],[land_extract]]*Lookups!$B$3</f>
        <v>47528.228511015397</v>
      </c>
      <c r="BI1387" s="6">
        <f>IF(Grandview_Inventory[[#This Row],[bldg_style]]="",0,Lookups!$B$2)</f>
        <v>155833.95000000001</v>
      </c>
      <c r="BJ1387" s="6">
        <f>_xlfn.IFNA(VLOOKUP(Grandview_Inventory[[#This Row],[quality]],Lookups!$H$2:$J$14,3,FALSE),0)</f>
        <v>2251</v>
      </c>
      <c r="BK1387" s="6">
        <f>_xlfn.IFNA(VLOOKUP(Grandview_Inventory[[#This Row],[condition]],Lookups!$H$17:$J$24,3,FALSE),0)</f>
        <v>-4503</v>
      </c>
      <c r="BL1387" s="6">
        <f>Grandview_Inventory[[#This Row],[Eff_Age]]*Lookups!$B$14</f>
        <v>-11958.33</v>
      </c>
      <c r="BM1387" s="6">
        <f>Grandview_Inventory[[#This Row],[living_area]]*Lookups!$B$15</f>
        <v>88705.572966000007</v>
      </c>
      <c r="BN1387" s="6">
        <f>Grandview_Inventory[[#This Row],[Fin BSMT]]*Lookups!$B$16</f>
        <v>0</v>
      </c>
      <c r="BO1387" s="6">
        <f>(Grandview_Inventory[[#This Row],[att_gar]]+Grandview_Inventory[[#This Row],[bltin_gar]])*Lookups!$B$17</f>
        <v>0</v>
      </c>
      <c r="BP1387" s="6">
        <f>Grandview_Inventory[[#This Row],[Plumbing Fixtures]]*Lookups!$B$18</f>
        <v>14073.0926</v>
      </c>
      <c r="BQ1387" s="6">
        <f>Grandview_Inventory[[#This Row],[detatched_value]]*Lookups!$B$19</f>
        <v>7875.2874299999994</v>
      </c>
      <c r="BR1387" s="6">
        <f>SUM(Grandview_Inventory[[#This Row],[Intercept]:[det_value]])*Grandview_Inventory[[#This Row],[res_pct]]</f>
        <v>252277.57299600003</v>
      </c>
      <c r="BS1387" s="6">
        <f>Grandview_Inventory[[#This Row],[land_value]]</f>
        <v>47528.228511015397</v>
      </c>
      <c r="BT1387" s="4">
        <f>_xlfn.IFNA(VLOOKUP(Grandview_Inventory[[#This Row],[quality]],Lookups!$A$26:$C$33,3,FALSE),1)</f>
        <v>0.98763855981004833</v>
      </c>
      <c r="BU1387" s="4">
        <f>_xlfn.IFNA(VLOOKUP(Grandview_Inventory[[#This Row],[condition]],Lookups!$A$37:$C$44,3,FALSE),1)</f>
        <v>0.96469275950863709</v>
      </c>
      <c r="BV1387" s="4">
        <f>IF(Grandview_Inventory[[#This Row],[bldg_style]]="",1,_xlfn.IFNA(VLOOKUP(Grandview_Inventory[[#This Row],[decade]],Lookups!$F$29:$H$43,3,FALSE),1))</f>
        <v>0.99472141305414818</v>
      </c>
      <c r="BW1387" s="4">
        <f>_xlfn.IFNA(VLOOKUP(Grandview_Inventory[[#This Row],[living_area_range]],Lookups!$F$47:$H$56,3,FALSE),1)</f>
        <v>0.96135087979789358</v>
      </c>
      <c r="BX1387" s="4">
        <f>AVERAGE(Grandview_Inventory[[#This Row],[qual_adj]:[size_adj]])</f>
        <v>0.97710090304268182</v>
      </c>
      <c r="BY1387" s="6">
        <f>IF(Grandview_Inventory[[#This Row],[pre_res]]&lt;0,0,Grandview_Inventory[[#This Row],[pre_res]]*Grandview_Inventory[[#This Row],[overall_adj]])</f>
        <v>246500.64439180773</v>
      </c>
      <c r="BZ1387" s="6">
        <f>(Grandview_Inventory[[#This Row],[sum_land]]-IF(Grandview_Inventory[[#This Row],[no_utilities]]=1,12000,0))/IF(Grandview_Inventory[[#This Row],[unbuildable]]=1,2,1)</f>
        <v>47528.228511015397</v>
      </c>
      <c r="CA138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87">
        <f>ROUND(Grandview_Inventory[[#This Row],[det_value]]*Lookups!$M$28,-2)</f>
        <v>7500</v>
      </c>
      <c r="CC1387">
        <f>IF(ROUND(Grandview_Inventory[[#This Row],[adj_res]]*Lookups!$M$28,-2)&lt;Grandview_Inventory[[#This Row],[min_res]],Grandview_Inventory[[#This Row],[min_res]],ROUND(Grandview_Inventory[[#This Row],[adj_res]]*Lookups!$M$28,-2))</f>
        <v>234200</v>
      </c>
      <c r="CD1387">
        <f>Grandview_Inventory[[#This Row],[final_det]]+Grandview_Inventory[[#This Row],[final_res]]</f>
        <v>241700</v>
      </c>
      <c r="CE1387">
        <f>Grandview_Inventory[[#This Row],[final_land]]+Grandview_Inventory[[#This Row],[final_imp]]+Grandview_Inventory[[#This Row],[crop_value]]</f>
        <v>286900</v>
      </c>
      <c r="CG1387" t="str">
        <f t="shared" si="21"/>
        <v>update valuation set market_land =45200, market_bldg=241700, market_total =286900, market_mdno =401, market_date ='9/10/2023' where link_id = (select link_id from parcel where parcel_year = '2024' and parcel_id = '23092314518');</v>
      </c>
    </row>
    <row r="1388" spans="1:85" x14ac:dyDescent="0.25">
      <c r="A1388">
        <v>23092314519</v>
      </c>
      <c r="B1388">
        <v>0.15</v>
      </c>
      <c r="C1388">
        <v>6682</v>
      </c>
      <c r="D1388" t="s">
        <v>129</v>
      </c>
      <c r="E1388" t="s">
        <v>53</v>
      </c>
      <c r="F1388" t="s">
        <v>53</v>
      </c>
      <c r="G1388">
        <v>4</v>
      </c>
      <c r="H1388" t="s">
        <v>54</v>
      </c>
      <c r="I1388">
        <v>139900</v>
      </c>
      <c r="J1388">
        <v>39000</v>
      </c>
      <c r="K1388">
        <v>0.15</v>
      </c>
      <c r="L1388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388">
        <v>0</v>
      </c>
      <c r="N1388">
        <v>0</v>
      </c>
      <c r="O1388">
        <v>0</v>
      </c>
      <c r="P1388">
        <v>13398.7528</v>
      </c>
      <c r="Q1388">
        <v>63903</v>
      </c>
      <c r="R1388">
        <f>(Grandview_Inventory[[#This Row],[ln_acres]]*Grandview_Inventory[[#This Row],[coeff]])+Grandview_Inventory[[#This Row],[const]]</f>
        <v>38483.958290574345</v>
      </c>
      <c r="S1388" t="s">
        <v>68</v>
      </c>
      <c r="T1388">
        <v>1</v>
      </c>
      <c r="U1388" t="s">
        <v>65</v>
      </c>
      <c r="V1388" t="s">
        <v>69</v>
      </c>
      <c r="W1388">
        <v>0</v>
      </c>
      <c r="X1388">
        <v>0</v>
      </c>
      <c r="Y1388">
        <v>57</v>
      </c>
      <c r="Z1388">
        <v>103</v>
      </c>
      <c r="AA1388">
        <v>110</v>
      </c>
      <c r="AB1388">
        <v>1500</v>
      </c>
      <c r="AC1388">
        <v>1224</v>
      </c>
      <c r="AD1388">
        <v>1224</v>
      </c>
      <c r="AE1388">
        <v>0</v>
      </c>
      <c r="AF1388">
        <v>0</v>
      </c>
      <c r="AG1388">
        <v>0</v>
      </c>
      <c r="AH1388">
        <v>612</v>
      </c>
      <c r="AI1388">
        <v>0</v>
      </c>
      <c r="AJ1388">
        <v>0</v>
      </c>
      <c r="AK1388">
        <v>0</v>
      </c>
      <c r="AL1388">
        <v>0</v>
      </c>
      <c r="AM1388">
        <v>112</v>
      </c>
      <c r="AN1388">
        <v>0</v>
      </c>
      <c r="AO1388">
        <v>112</v>
      </c>
      <c r="AP1388">
        <v>6</v>
      </c>
      <c r="AQ1388">
        <v>0</v>
      </c>
      <c r="AR1388">
        <v>1</v>
      </c>
      <c r="AS1388" t="s">
        <v>58</v>
      </c>
      <c r="AT1388">
        <v>1</v>
      </c>
      <c r="AU1388" t="s">
        <v>63</v>
      </c>
      <c r="AV1388" t="s">
        <v>64</v>
      </c>
      <c r="AW1388">
        <v>1</v>
      </c>
      <c r="AX1388">
        <v>2</v>
      </c>
      <c r="AY1388">
        <v>0</v>
      </c>
      <c r="AZ1388">
        <v>0</v>
      </c>
      <c r="BA1388">
        <v>100</v>
      </c>
      <c r="BB1388">
        <v>100</v>
      </c>
      <c r="BC1388">
        <v>100</v>
      </c>
      <c r="BD1388">
        <v>100</v>
      </c>
      <c r="BE1388">
        <v>1</v>
      </c>
      <c r="BF1388">
        <v>15000</v>
      </c>
      <c r="BG1388">
        <v>1000</v>
      </c>
      <c r="BH1388" s="6">
        <f>Grandview_Inventory[[#This Row],[land_extract]]*Lookups!$B$3</f>
        <v>44691.316856156598</v>
      </c>
      <c r="BI1388" s="6">
        <f>IF(Grandview_Inventory[[#This Row],[bldg_style]]="",0,Lookups!$B$2)</f>
        <v>155833.95000000001</v>
      </c>
      <c r="BJ1388" s="6">
        <f>_xlfn.IFNA(VLOOKUP(Grandview_Inventory[[#This Row],[quality]],Lookups!$H$2:$J$14,3,FALSE),0)</f>
        <v>2251</v>
      </c>
      <c r="BK1388" s="6">
        <f>_xlfn.IFNA(VLOOKUP(Grandview_Inventory[[#This Row],[condition]],Lookups!$H$17:$J$24,3,FALSE),0)</f>
        <v>-4503</v>
      </c>
      <c r="BL1388" s="6">
        <f>Grandview_Inventory[[#This Row],[Eff_Age]]*Lookups!$B$14</f>
        <v>-13632.4962</v>
      </c>
      <c r="BM1388" s="6">
        <f>Grandview_Inventory[[#This Row],[living_area]]*Lookups!$B$15</f>
        <v>76354.164072</v>
      </c>
      <c r="BN1388" s="6">
        <f>Grandview_Inventory[[#This Row],[Fin BSMT]]*Lookups!$B$16</f>
        <v>0</v>
      </c>
      <c r="BO1388" s="6">
        <f>(Grandview_Inventory[[#This Row],[att_gar]]+Grandview_Inventory[[#This Row],[bltin_gar]])*Lookups!$B$17</f>
        <v>0</v>
      </c>
      <c r="BP1388" s="6">
        <f>Grandview_Inventory[[#This Row],[Plumbing Fixtures]]*Lookups!$B$18</f>
        <v>12062.650799999999</v>
      </c>
      <c r="BQ1388" s="6">
        <f>Grandview_Inventory[[#This Row],[detatched_value]]*Lookups!$B$19</f>
        <v>0</v>
      </c>
      <c r="BR1388" s="6">
        <f>SUM(Grandview_Inventory[[#This Row],[Intercept]:[det_value]])*Grandview_Inventory[[#This Row],[res_pct]]</f>
        <v>228366.26867200003</v>
      </c>
      <c r="BS1388" s="6">
        <f>Grandview_Inventory[[#This Row],[land_value]]</f>
        <v>44691.316856156598</v>
      </c>
      <c r="BT1388" s="4">
        <f>_xlfn.IFNA(VLOOKUP(Grandview_Inventory[[#This Row],[quality]],Lookups!$A$26:$C$33,3,FALSE),1)</f>
        <v>0.98763855981004833</v>
      </c>
      <c r="BU1388" s="4">
        <f>_xlfn.IFNA(VLOOKUP(Grandview_Inventory[[#This Row],[condition]],Lookups!$A$37:$C$44,3,FALSE),1)</f>
        <v>0.96469275950863709</v>
      </c>
      <c r="BV1388" s="4">
        <f>IF(Grandview_Inventory[[#This Row],[bldg_style]]="",1,_xlfn.IFNA(VLOOKUP(Grandview_Inventory[[#This Row],[decade]],Lookups!$F$29:$H$43,3,FALSE),1))</f>
        <v>0.92255236374249616</v>
      </c>
      <c r="BW1388" s="4">
        <f>_xlfn.IFNA(VLOOKUP(Grandview_Inventory[[#This Row],[living_area_range]],Lookups!$F$47:$H$56,3,FALSE),1)</f>
        <v>0.96135087979789358</v>
      </c>
      <c r="BX1388" s="4">
        <f>AVERAGE(Grandview_Inventory[[#This Row],[qual_adj]:[size_adj]])</f>
        <v>0.95905864071476876</v>
      </c>
      <c r="BY1388" s="6">
        <f>IF(Grandview_Inventory[[#This Row],[pre_res]]&lt;0,0,Grandview_Inventory[[#This Row],[pre_res]]*Grandview_Inventory[[#This Row],[overall_adj]])</f>
        <v>219016.64321767204</v>
      </c>
      <c r="BZ1388" s="6">
        <f>(Grandview_Inventory[[#This Row],[sum_land]]-IF(Grandview_Inventory[[#This Row],[no_utilities]]=1,12000,0))/IF(Grandview_Inventory[[#This Row],[unbuildable]]=1,2,1)</f>
        <v>44691.316856156598</v>
      </c>
      <c r="CA1388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388">
        <f>ROUND(Grandview_Inventory[[#This Row],[det_value]]*Lookups!$M$28,-2)</f>
        <v>0</v>
      </c>
      <c r="CC1388">
        <f>IF(ROUND(Grandview_Inventory[[#This Row],[adj_res]]*Lookups!$M$28,-2)&lt;Grandview_Inventory[[#This Row],[min_res]],Grandview_Inventory[[#This Row],[min_res]],ROUND(Grandview_Inventory[[#This Row],[adj_res]]*Lookups!$M$28,-2))</f>
        <v>208100</v>
      </c>
      <c r="CD1388">
        <f>Grandview_Inventory[[#This Row],[final_det]]+Grandview_Inventory[[#This Row],[final_res]]</f>
        <v>208100</v>
      </c>
      <c r="CE1388">
        <f>Grandview_Inventory[[#This Row],[final_land]]+Grandview_Inventory[[#This Row],[final_imp]]+Grandview_Inventory[[#This Row],[crop_value]]</f>
        <v>250600</v>
      </c>
      <c r="CG1388" t="str">
        <f t="shared" si="21"/>
        <v>update valuation set market_land =42500, market_bldg=208100, market_total =250600, market_mdno =401, market_date ='9/10/2023' where link_id = (select link_id from parcel where parcel_year = '2024' and parcel_id = '23092314519');</v>
      </c>
    </row>
    <row r="1389" spans="1:85" x14ac:dyDescent="0.25">
      <c r="A1389">
        <v>23092314520</v>
      </c>
      <c r="B1389">
        <v>0.16</v>
      </c>
      <c r="C1389">
        <v>6777</v>
      </c>
      <c r="D1389" t="s">
        <v>129</v>
      </c>
      <c r="E1389" t="s">
        <v>53</v>
      </c>
      <c r="F1389" t="s">
        <v>53</v>
      </c>
      <c r="G1389">
        <v>4</v>
      </c>
      <c r="H1389" t="s">
        <v>54</v>
      </c>
      <c r="I1389">
        <v>171400</v>
      </c>
      <c r="J1389">
        <v>39000</v>
      </c>
      <c r="K1389">
        <v>0.16</v>
      </c>
      <c r="L138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89">
        <v>0</v>
      </c>
      <c r="N1389">
        <v>0</v>
      </c>
      <c r="O1389">
        <v>0</v>
      </c>
      <c r="P1389">
        <v>13398.7528</v>
      </c>
      <c r="Q1389">
        <v>63903</v>
      </c>
      <c r="R1389">
        <f>(Grandview_Inventory[[#This Row],[ln_acres]]*Grandview_Inventory[[#This Row],[coeff]])+Grandview_Inventory[[#This Row],[const]]</f>
        <v>39348.693981374228</v>
      </c>
      <c r="S1389" t="s">
        <v>85</v>
      </c>
      <c r="T1389">
        <v>1</v>
      </c>
      <c r="U1389" t="s">
        <v>65</v>
      </c>
      <c r="V1389" t="s">
        <v>69</v>
      </c>
      <c r="W1389">
        <v>0</v>
      </c>
      <c r="X1389">
        <v>0</v>
      </c>
      <c r="Y1389">
        <v>65</v>
      </c>
      <c r="Z1389">
        <v>113</v>
      </c>
      <c r="AA1389">
        <v>120</v>
      </c>
      <c r="AB1389">
        <v>1500</v>
      </c>
      <c r="AC1389">
        <v>1370</v>
      </c>
      <c r="AD1389">
        <v>1370</v>
      </c>
      <c r="AE1389">
        <v>0</v>
      </c>
      <c r="AF1389">
        <v>0</v>
      </c>
      <c r="AG1389">
        <v>0</v>
      </c>
      <c r="AH1389">
        <v>684</v>
      </c>
      <c r="AI1389">
        <v>288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7</v>
      </c>
      <c r="AQ1389">
        <v>0</v>
      </c>
      <c r="AR1389">
        <v>1</v>
      </c>
      <c r="AS1389" t="s">
        <v>58</v>
      </c>
      <c r="AT1389">
        <v>1</v>
      </c>
      <c r="AU1389" t="s">
        <v>59</v>
      </c>
      <c r="AV1389" t="s">
        <v>60</v>
      </c>
      <c r="AW1389">
        <v>1</v>
      </c>
      <c r="AX1389">
        <v>3</v>
      </c>
      <c r="AY1389">
        <v>0</v>
      </c>
      <c r="AZ1389">
        <v>0</v>
      </c>
      <c r="BA1389">
        <v>100</v>
      </c>
      <c r="BB1389">
        <v>100</v>
      </c>
      <c r="BC1389">
        <v>100</v>
      </c>
      <c r="BD1389">
        <v>100</v>
      </c>
      <c r="BE1389">
        <v>1</v>
      </c>
      <c r="BF1389">
        <v>15000</v>
      </c>
      <c r="BG1389">
        <v>1000</v>
      </c>
      <c r="BH1389" s="6">
        <f>Grandview_Inventory[[#This Row],[land_extract]]*Lookups!$B$3</f>
        <v>45695.532079096141</v>
      </c>
      <c r="BI1389" s="6">
        <f>IF(Grandview_Inventory[[#This Row],[bldg_style]]="",0,Lookups!$B$2)</f>
        <v>155833.95000000001</v>
      </c>
      <c r="BJ1389" s="6">
        <f>_xlfn.IFNA(VLOOKUP(Grandview_Inventory[[#This Row],[quality]],Lookups!$H$2:$J$14,3,FALSE),0)</f>
        <v>2251</v>
      </c>
      <c r="BK1389" s="6">
        <f>_xlfn.IFNA(VLOOKUP(Grandview_Inventory[[#This Row],[condition]],Lookups!$H$17:$J$24,3,FALSE),0)</f>
        <v>-4503</v>
      </c>
      <c r="BL1389" s="6">
        <f>Grandview_Inventory[[#This Row],[Eff_Age]]*Lookups!$B$14</f>
        <v>-15545.829</v>
      </c>
      <c r="BM1389" s="6">
        <f>Grandview_Inventory[[#This Row],[living_area]]*Lookups!$B$15</f>
        <v>85461.768609999999</v>
      </c>
      <c r="BN1389" s="6">
        <f>Grandview_Inventory[[#This Row],[Fin BSMT]]*Lookups!$B$16</f>
        <v>0</v>
      </c>
      <c r="BO1389" s="6">
        <f>(Grandview_Inventory[[#This Row],[att_gar]]+Grandview_Inventory[[#This Row],[bltin_gar]])*Lookups!$B$17</f>
        <v>25205.885856000001</v>
      </c>
      <c r="BP1389" s="6">
        <f>Grandview_Inventory[[#This Row],[Plumbing Fixtures]]*Lookups!$B$18</f>
        <v>14073.0926</v>
      </c>
      <c r="BQ1389" s="6">
        <f>Grandview_Inventory[[#This Row],[detatched_value]]*Lookups!$B$19</f>
        <v>0</v>
      </c>
      <c r="BR1389" s="6">
        <f>SUM(Grandview_Inventory[[#This Row],[Intercept]:[det_value]])*Grandview_Inventory[[#This Row],[res_pct]]</f>
        <v>262776.868066</v>
      </c>
      <c r="BS1389" s="6">
        <f>Grandview_Inventory[[#This Row],[land_value]]</f>
        <v>45695.532079096141</v>
      </c>
      <c r="BT1389" s="4">
        <f>_xlfn.IFNA(VLOOKUP(Grandview_Inventory[[#This Row],[quality]],Lookups!$A$26:$C$33,3,FALSE),1)</f>
        <v>0.98763855981004833</v>
      </c>
      <c r="BU1389" s="4">
        <f>_xlfn.IFNA(VLOOKUP(Grandview_Inventory[[#This Row],[condition]],Lookups!$A$37:$C$44,3,FALSE),1)</f>
        <v>0.96469275950863709</v>
      </c>
      <c r="BV1389" s="4">
        <f>IF(Grandview_Inventory[[#This Row],[bldg_style]]="",1,_xlfn.IFNA(VLOOKUP(Grandview_Inventory[[#This Row],[decade]],Lookups!$F$29:$H$43,3,FALSE),1))</f>
        <v>0.9251738460551937</v>
      </c>
      <c r="BW1389" s="4">
        <f>_xlfn.IFNA(VLOOKUP(Grandview_Inventory[[#This Row],[living_area_range]],Lookups!$F$47:$H$56,3,FALSE),1)</f>
        <v>0.96135087979789358</v>
      </c>
      <c r="BX1389" s="4">
        <f>AVERAGE(Grandview_Inventory[[#This Row],[qual_adj]:[size_adj]])</f>
        <v>0.9597140112929432</v>
      </c>
      <c r="BY1389" s="6">
        <f>IF(Grandview_Inventory[[#This Row],[pre_res]]&lt;0,0,Grandview_Inventory[[#This Row],[pre_res]]*Grandview_Inventory[[#This Row],[overall_adj]])</f>
        <v>252190.64212661737</v>
      </c>
      <c r="BZ1389" s="6">
        <f>(Grandview_Inventory[[#This Row],[sum_land]]-IF(Grandview_Inventory[[#This Row],[no_utilities]]=1,12000,0))/IF(Grandview_Inventory[[#This Row],[unbuildable]]=1,2,1)</f>
        <v>45695.532079096141</v>
      </c>
      <c r="CA138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89">
        <f>ROUND(Grandview_Inventory[[#This Row],[det_value]]*Lookups!$M$28,-2)</f>
        <v>0</v>
      </c>
      <c r="CC1389">
        <f>IF(ROUND(Grandview_Inventory[[#This Row],[adj_res]]*Lookups!$M$28,-2)&lt;Grandview_Inventory[[#This Row],[min_res]],Grandview_Inventory[[#This Row],[min_res]],ROUND(Grandview_Inventory[[#This Row],[adj_res]]*Lookups!$M$28,-2))</f>
        <v>239600</v>
      </c>
      <c r="CD1389">
        <f>Grandview_Inventory[[#This Row],[final_det]]+Grandview_Inventory[[#This Row],[final_res]]</f>
        <v>239600</v>
      </c>
      <c r="CE1389">
        <f>Grandview_Inventory[[#This Row],[final_land]]+Grandview_Inventory[[#This Row],[final_imp]]+Grandview_Inventory[[#This Row],[crop_value]]</f>
        <v>283000</v>
      </c>
      <c r="CG1389" t="str">
        <f t="shared" si="21"/>
        <v>update valuation set market_land =43400, market_bldg=239600, market_total =283000, market_mdno =401, market_date ='9/10/2023' where link_id = (select link_id from parcel where parcel_year = '2024' and parcel_id = '23092314520');</v>
      </c>
    </row>
    <row r="1390" spans="1:85" x14ac:dyDescent="0.25">
      <c r="A1390">
        <v>23092314521</v>
      </c>
      <c r="B1390">
        <v>0.21</v>
      </c>
      <c r="C1390">
        <v>8953</v>
      </c>
      <c r="D1390" t="s">
        <v>129</v>
      </c>
      <c r="E1390" t="s">
        <v>53</v>
      </c>
      <c r="F1390" t="s">
        <v>53</v>
      </c>
      <c r="G1390">
        <v>4</v>
      </c>
      <c r="H1390" t="s">
        <v>54</v>
      </c>
      <c r="I1390">
        <v>177800</v>
      </c>
      <c r="J1390">
        <v>39700</v>
      </c>
      <c r="K1390">
        <v>0.21</v>
      </c>
      <c r="L139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90">
        <v>0</v>
      </c>
      <c r="N1390">
        <v>0</v>
      </c>
      <c r="O1390">
        <v>0</v>
      </c>
      <c r="P1390">
        <v>13398.7528</v>
      </c>
      <c r="Q1390">
        <v>63903</v>
      </c>
      <c r="R1390">
        <f>(Grandview_Inventory[[#This Row],[ln_acres]]*Grandview_Inventory[[#This Row],[coeff]])+Grandview_Inventory[[#This Row],[const]]</f>
        <v>42992.266613125081</v>
      </c>
      <c r="S1390" t="s">
        <v>85</v>
      </c>
      <c r="T1390">
        <v>1</v>
      </c>
      <c r="U1390" t="s">
        <v>65</v>
      </c>
      <c r="V1390" t="s">
        <v>69</v>
      </c>
      <c r="W1390">
        <v>0</v>
      </c>
      <c r="X1390">
        <v>0</v>
      </c>
      <c r="Y1390">
        <v>60</v>
      </c>
      <c r="Z1390">
        <v>108</v>
      </c>
      <c r="AA1390">
        <v>110</v>
      </c>
      <c r="AB1390">
        <v>1500</v>
      </c>
      <c r="AC1390">
        <v>1352</v>
      </c>
      <c r="AD1390">
        <v>1352</v>
      </c>
      <c r="AE1390">
        <v>0</v>
      </c>
      <c r="AF1390">
        <v>0</v>
      </c>
      <c r="AG1390">
        <v>0</v>
      </c>
      <c r="AH1390">
        <v>96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192</v>
      </c>
      <c r="AO1390">
        <v>0</v>
      </c>
      <c r="AP1390">
        <v>5</v>
      </c>
      <c r="AQ1390">
        <v>1</v>
      </c>
      <c r="AR1390">
        <v>1</v>
      </c>
      <c r="AS1390" t="s">
        <v>58</v>
      </c>
      <c r="AT1390">
        <v>1</v>
      </c>
      <c r="AU1390" t="s">
        <v>63</v>
      </c>
      <c r="AV1390" t="s">
        <v>64</v>
      </c>
      <c r="AW1390">
        <v>0</v>
      </c>
      <c r="AX1390">
        <v>3</v>
      </c>
      <c r="AY1390">
        <v>0</v>
      </c>
      <c r="AZ1390">
        <v>30300</v>
      </c>
      <c r="BA1390">
        <v>100</v>
      </c>
      <c r="BB1390">
        <v>100</v>
      </c>
      <c r="BC1390">
        <v>100</v>
      </c>
      <c r="BD1390">
        <v>100</v>
      </c>
      <c r="BE1390">
        <v>1</v>
      </c>
      <c r="BF1390">
        <v>15000</v>
      </c>
      <c r="BG1390">
        <v>1000</v>
      </c>
      <c r="BH1390" s="6">
        <f>Grandview_Inventory[[#This Row],[land_extract]]*Lookups!$B$3</f>
        <v>49926.8031387023</v>
      </c>
      <c r="BI1390" s="6">
        <f>IF(Grandview_Inventory[[#This Row],[bldg_style]]="",0,Lookups!$B$2)</f>
        <v>155833.95000000001</v>
      </c>
      <c r="BJ1390" s="6">
        <f>_xlfn.IFNA(VLOOKUP(Grandview_Inventory[[#This Row],[quality]],Lookups!$H$2:$J$14,3,FALSE),0)</f>
        <v>2251</v>
      </c>
      <c r="BK1390" s="6">
        <f>_xlfn.IFNA(VLOOKUP(Grandview_Inventory[[#This Row],[condition]],Lookups!$H$17:$J$24,3,FALSE),0)</f>
        <v>-4503</v>
      </c>
      <c r="BL1390" s="6">
        <f>Grandview_Inventory[[#This Row],[Eff_Age]]*Lookups!$B$14</f>
        <v>-14349.995999999999</v>
      </c>
      <c r="BM1390" s="6">
        <f>Grandview_Inventory[[#This Row],[living_area]]*Lookups!$B$15</f>
        <v>84338.913256</v>
      </c>
      <c r="BN1390" s="6">
        <f>Grandview_Inventory[[#This Row],[Fin BSMT]]*Lookups!$B$16</f>
        <v>0</v>
      </c>
      <c r="BO1390" s="6">
        <f>(Grandview_Inventory[[#This Row],[att_gar]]+Grandview_Inventory[[#This Row],[bltin_gar]])*Lookups!$B$17</f>
        <v>0</v>
      </c>
      <c r="BP1390" s="6">
        <f>Grandview_Inventory[[#This Row],[Plumbing Fixtures]]*Lookups!$B$18</f>
        <v>10052.209000000001</v>
      </c>
      <c r="BQ1390" s="6">
        <f>Grandview_Inventory[[#This Row],[detatched_value]]*Lookups!$B$19</f>
        <v>25658.194530000001</v>
      </c>
      <c r="BR1390" s="6">
        <f>SUM(Grandview_Inventory[[#This Row],[Intercept]:[det_value]])*Grandview_Inventory[[#This Row],[res_pct]]</f>
        <v>259281.27078600004</v>
      </c>
      <c r="BS1390" s="6">
        <f>Grandview_Inventory[[#This Row],[land_value]]</f>
        <v>49926.8031387023</v>
      </c>
      <c r="BT1390" s="4">
        <f>_xlfn.IFNA(VLOOKUP(Grandview_Inventory[[#This Row],[quality]],Lookups!$A$26:$C$33,3,FALSE),1)</f>
        <v>0.98763855981004833</v>
      </c>
      <c r="BU1390" s="4">
        <f>_xlfn.IFNA(VLOOKUP(Grandview_Inventory[[#This Row],[condition]],Lookups!$A$37:$C$44,3,FALSE),1)</f>
        <v>0.96469275950863709</v>
      </c>
      <c r="BV1390" s="4">
        <f>IF(Grandview_Inventory[[#This Row],[bldg_style]]="",1,_xlfn.IFNA(VLOOKUP(Grandview_Inventory[[#This Row],[decade]],Lookups!$F$29:$H$43,3,FALSE),1))</f>
        <v>0.92255236374249616</v>
      </c>
      <c r="BW1390" s="4">
        <f>_xlfn.IFNA(VLOOKUP(Grandview_Inventory[[#This Row],[living_area_range]],Lookups!$F$47:$H$56,3,FALSE),1)</f>
        <v>0.96135087979789358</v>
      </c>
      <c r="BX1390" s="4">
        <f>AVERAGE(Grandview_Inventory[[#This Row],[qual_adj]:[size_adj]])</f>
        <v>0.95905864071476876</v>
      </c>
      <c r="BY1390" s="6">
        <f>IF(Grandview_Inventory[[#This Row],[pre_res]]&lt;0,0,Grandview_Inventory[[#This Row],[pre_res]]*Grandview_Inventory[[#This Row],[overall_adj]])</f>
        <v>248665.94312281907</v>
      </c>
      <c r="BZ1390" s="6">
        <f>(Grandview_Inventory[[#This Row],[sum_land]]-IF(Grandview_Inventory[[#This Row],[no_utilities]]=1,12000,0))/IF(Grandview_Inventory[[#This Row],[unbuildable]]=1,2,1)</f>
        <v>49926.8031387023</v>
      </c>
      <c r="CA139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90">
        <f>ROUND(Grandview_Inventory[[#This Row],[det_value]]*Lookups!$M$28,-2)</f>
        <v>24400</v>
      </c>
      <c r="CC1390">
        <f>IF(ROUND(Grandview_Inventory[[#This Row],[adj_res]]*Lookups!$M$28,-2)&lt;Grandview_Inventory[[#This Row],[min_res]],Grandview_Inventory[[#This Row],[min_res]],ROUND(Grandview_Inventory[[#This Row],[adj_res]]*Lookups!$M$28,-2))</f>
        <v>236200</v>
      </c>
      <c r="CD1390">
        <f>Grandview_Inventory[[#This Row],[final_det]]+Grandview_Inventory[[#This Row],[final_res]]</f>
        <v>260600</v>
      </c>
      <c r="CE1390">
        <f>Grandview_Inventory[[#This Row],[final_land]]+Grandview_Inventory[[#This Row],[final_imp]]+Grandview_Inventory[[#This Row],[crop_value]]</f>
        <v>308000</v>
      </c>
      <c r="CG1390" t="str">
        <f t="shared" si="21"/>
        <v>update valuation set market_land =47400, market_bldg=260600, market_total =308000, market_mdno =401, market_date ='9/10/2023' where link_id = (select link_id from parcel where parcel_year = '2024' and parcel_id = '23092314521');</v>
      </c>
    </row>
    <row r="1391" spans="1:85" x14ac:dyDescent="0.25">
      <c r="A1391">
        <v>23092314530</v>
      </c>
      <c r="B1391">
        <v>0.16</v>
      </c>
      <c r="C1391">
        <v>7058</v>
      </c>
      <c r="D1391" t="s">
        <v>129</v>
      </c>
      <c r="E1391" t="s">
        <v>53</v>
      </c>
      <c r="F1391" t="s">
        <v>53</v>
      </c>
      <c r="G1391">
        <v>4</v>
      </c>
      <c r="H1391" t="s">
        <v>54</v>
      </c>
      <c r="I1391">
        <v>124300</v>
      </c>
      <c r="J1391">
        <v>39100</v>
      </c>
      <c r="K1391">
        <v>0.16</v>
      </c>
      <c r="L139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391">
        <v>0</v>
      </c>
      <c r="N1391">
        <v>0</v>
      </c>
      <c r="O1391">
        <v>0</v>
      </c>
      <c r="P1391">
        <v>13398.7528</v>
      </c>
      <c r="Q1391">
        <v>63903</v>
      </c>
      <c r="R1391">
        <f>(Grandview_Inventory[[#This Row],[ln_acres]]*Grandview_Inventory[[#This Row],[coeff]])+Grandview_Inventory[[#This Row],[const]]</f>
        <v>39348.693981374228</v>
      </c>
      <c r="S1391" t="s">
        <v>68</v>
      </c>
      <c r="T1391">
        <v>1</v>
      </c>
      <c r="U1391" t="s">
        <v>65</v>
      </c>
      <c r="V1391" t="s">
        <v>69</v>
      </c>
      <c r="W1391">
        <v>0</v>
      </c>
      <c r="X1391">
        <v>0</v>
      </c>
      <c r="Y1391">
        <v>51</v>
      </c>
      <c r="Z1391">
        <v>78</v>
      </c>
      <c r="AA1391">
        <v>80</v>
      </c>
      <c r="AB1391">
        <v>1000</v>
      </c>
      <c r="AC1391">
        <v>960</v>
      </c>
      <c r="AD1391">
        <v>960</v>
      </c>
      <c r="AE1391">
        <v>0</v>
      </c>
      <c r="AF1391">
        <v>0</v>
      </c>
      <c r="AG1391">
        <v>0</v>
      </c>
      <c r="AH1391">
        <v>960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20</v>
      </c>
      <c r="AO1391">
        <v>32</v>
      </c>
      <c r="AP1391">
        <v>5</v>
      </c>
      <c r="AQ1391">
        <v>0</v>
      </c>
      <c r="AR1391">
        <v>0</v>
      </c>
      <c r="AS1391" t="s">
        <v>58</v>
      </c>
      <c r="AT1391">
        <v>1</v>
      </c>
      <c r="AU1391" t="s">
        <v>63</v>
      </c>
      <c r="AV1391" t="s">
        <v>64</v>
      </c>
      <c r="AW1391">
        <v>1</v>
      </c>
      <c r="AX1391">
        <v>2</v>
      </c>
      <c r="AY1391">
        <v>0</v>
      </c>
      <c r="AZ1391">
        <v>7600</v>
      </c>
      <c r="BA1391">
        <v>100</v>
      </c>
      <c r="BB1391">
        <v>100</v>
      </c>
      <c r="BC1391">
        <v>100</v>
      </c>
      <c r="BD1391">
        <v>100</v>
      </c>
      <c r="BE1391">
        <v>1</v>
      </c>
      <c r="BF1391">
        <v>15000</v>
      </c>
      <c r="BG1391">
        <v>1000</v>
      </c>
      <c r="BH1391" s="6">
        <f>Grandview_Inventory[[#This Row],[land_extract]]*Lookups!$B$3</f>
        <v>45695.532079096141</v>
      </c>
      <c r="BI1391" s="6">
        <f>IF(Grandview_Inventory[[#This Row],[bldg_style]]="",0,Lookups!$B$2)</f>
        <v>155833.95000000001</v>
      </c>
      <c r="BJ1391" s="6">
        <f>_xlfn.IFNA(VLOOKUP(Grandview_Inventory[[#This Row],[quality]],Lookups!$H$2:$J$14,3,FALSE),0)</f>
        <v>2251</v>
      </c>
      <c r="BK1391" s="6">
        <f>_xlfn.IFNA(VLOOKUP(Grandview_Inventory[[#This Row],[condition]],Lookups!$H$17:$J$24,3,FALSE),0)</f>
        <v>-4503</v>
      </c>
      <c r="BL1391" s="6">
        <f>Grandview_Inventory[[#This Row],[Eff_Age]]*Lookups!$B$14</f>
        <v>-12197.496599999999</v>
      </c>
      <c r="BM1391" s="6">
        <f>Grandview_Inventory[[#This Row],[living_area]]*Lookups!$B$15</f>
        <v>59885.618880000002</v>
      </c>
      <c r="BN1391" s="6">
        <f>Grandview_Inventory[[#This Row],[Fin BSMT]]*Lookups!$B$16</f>
        <v>0</v>
      </c>
      <c r="BO1391" s="6">
        <f>(Grandview_Inventory[[#This Row],[att_gar]]+Grandview_Inventory[[#This Row],[bltin_gar]])*Lookups!$B$17</f>
        <v>0</v>
      </c>
      <c r="BP1391" s="6">
        <f>Grandview_Inventory[[#This Row],[Plumbing Fixtures]]*Lookups!$B$18</f>
        <v>10052.209000000001</v>
      </c>
      <c r="BQ1391" s="6">
        <f>Grandview_Inventory[[#This Row],[detatched_value]]*Lookups!$B$19</f>
        <v>6435.7187599999997</v>
      </c>
      <c r="BR1391" s="6">
        <f>SUM(Grandview_Inventory[[#This Row],[Intercept]:[det_value]])*Grandview_Inventory[[#This Row],[res_pct]]</f>
        <v>217758.00003999998</v>
      </c>
      <c r="BS1391" s="6">
        <f>Grandview_Inventory[[#This Row],[land_value]]</f>
        <v>45695.532079096141</v>
      </c>
      <c r="BT1391" s="4">
        <f>_xlfn.IFNA(VLOOKUP(Grandview_Inventory[[#This Row],[quality]],Lookups!$A$26:$C$33,3,FALSE),1)</f>
        <v>0.98763855981004833</v>
      </c>
      <c r="BU1391" s="4">
        <f>_xlfn.IFNA(VLOOKUP(Grandview_Inventory[[#This Row],[condition]],Lookups!$A$37:$C$44,3,FALSE),1)</f>
        <v>0.96469275950863709</v>
      </c>
      <c r="BV1391" s="4">
        <f>IF(Grandview_Inventory[[#This Row],[bldg_style]]="",1,_xlfn.IFNA(VLOOKUP(Grandview_Inventory[[#This Row],[decade]],Lookups!$F$29:$H$43,3,FALSE),1))</f>
        <v>0.98763256963907298</v>
      </c>
      <c r="BW1391" s="4">
        <f>_xlfn.IFNA(VLOOKUP(Grandview_Inventory[[#This Row],[living_area_range]],Lookups!$F$47:$H$56,3,FALSE),1)</f>
        <v>0.94306777142782894</v>
      </c>
      <c r="BX1391" s="4">
        <f>AVERAGE(Grandview_Inventory[[#This Row],[qual_adj]:[size_adj]])</f>
        <v>0.97075791509639675</v>
      </c>
      <c r="BY1391" s="6">
        <f>IF(Grandview_Inventory[[#This Row],[pre_res]]&lt;0,0,Grandview_Inventory[[#This Row],[pre_res]]*Grandview_Inventory[[#This Row],[overall_adj]])</f>
        <v>211390.30211439147</v>
      </c>
      <c r="BZ1391" s="6">
        <f>(Grandview_Inventory[[#This Row],[sum_land]]-IF(Grandview_Inventory[[#This Row],[no_utilities]]=1,12000,0))/IF(Grandview_Inventory[[#This Row],[unbuildable]]=1,2,1)</f>
        <v>45695.532079096141</v>
      </c>
      <c r="CA139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391">
        <f>ROUND(Grandview_Inventory[[#This Row],[det_value]]*Lookups!$M$28,-2)</f>
        <v>6100</v>
      </c>
      <c r="CC1391">
        <f>IF(ROUND(Grandview_Inventory[[#This Row],[adj_res]]*Lookups!$M$28,-2)&lt;Grandview_Inventory[[#This Row],[min_res]],Grandview_Inventory[[#This Row],[min_res]],ROUND(Grandview_Inventory[[#This Row],[adj_res]]*Lookups!$M$28,-2))</f>
        <v>200800</v>
      </c>
      <c r="CD1391">
        <f>Grandview_Inventory[[#This Row],[final_det]]+Grandview_Inventory[[#This Row],[final_res]]</f>
        <v>206900</v>
      </c>
      <c r="CE1391">
        <f>Grandview_Inventory[[#This Row],[final_land]]+Grandview_Inventory[[#This Row],[final_imp]]+Grandview_Inventory[[#This Row],[crop_value]]</f>
        <v>250300</v>
      </c>
      <c r="CG1391" t="str">
        <f t="shared" si="21"/>
        <v>update valuation set market_land =43400, market_bldg=206900, market_total =250300, market_mdno =401, market_date ='9/10/2023' where link_id = (select link_id from parcel where parcel_year = '2024' and parcel_id = '23092314530');</v>
      </c>
    </row>
    <row r="1392" spans="1:85" x14ac:dyDescent="0.25">
      <c r="A1392">
        <v>23092314531</v>
      </c>
      <c r="B1392">
        <v>0.21</v>
      </c>
      <c r="C1392">
        <v>9115</v>
      </c>
      <c r="D1392" t="s">
        <v>129</v>
      </c>
      <c r="E1392" t="s">
        <v>53</v>
      </c>
      <c r="F1392" t="s">
        <v>53</v>
      </c>
      <c r="G1392">
        <v>4</v>
      </c>
      <c r="H1392" t="s">
        <v>54</v>
      </c>
      <c r="I1392">
        <v>161500</v>
      </c>
      <c r="J1392">
        <v>39800</v>
      </c>
      <c r="K1392">
        <v>0.21</v>
      </c>
      <c r="L139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392">
        <v>0</v>
      </c>
      <c r="N1392">
        <v>0</v>
      </c>
      <c r="O1392">
        <v>0</v>
      </c>
      <c r="P1392">
        <v>13398.7528</v>
      </c>
      <c r="Q1392">
        <v>63903</v>
      </c>
      <c r="R1392">
        <f>(Grandview_Inventory[[#This Row],[ln_acres]]*Grandview_Inventory[[#This Row],[coeff]])+Grandview_Inventory[[#This Row],[const]]</f>
        <v>42992.266613125081</v>
      </c>
      <c r="S1392" t="s">
        <v>68</v>
      </c>
      <c r="T1392">
        <v>2</v>
      </c>
      <c r="U1392" t="s">
        <v>70</v>
      </c>
      <c r="V1392" t="s">
        <v>78</v>
      </c>
      <c r="W1392">
        <v>0</v>
      </c>
      <c r="X1392">
        <v>0</v>
      </c>
      <c r="Y1392">
        <v>51</v>
      </c>
      <c r="Z1392">
        <v>78</v>
      </c>
      <c r="AA1392">
        <v>80</v>
      </c>
      <c r="AB1392">
        <v>2500</v>
      </c>
      <c r="AC1392">
        <v>2392</v>
      </c>
      <c r="AD1392">
        <v>1532</v>
      </c>
      <c r="AE1392">
        <v>572</v>
      </c>
      <c r="AF1392">
        <v>0</v>
      </c>
      <c r="AG1392">
        <v>288</v>
      </c>
      <c r="AH1392">
        <v>672</v>
      </c>
      <c r="AI1392">
        <v>0</v>
      </c>
      <c r="AJ1392">
        <v>0</v>
      </c>
      <c r="AK1392">
        <v>476</v>
      </c>
      <c r="AL1392">
        <v>126</v>
      </c>
      <c r="AM1392">
        <v>0</v>
      </c>
      <c r="AN1392">
        <v>20</v>
      </c>
      <c r="AO1392">
        <v>0</v>
      </c>
      <c r="AP1392">
        <v>9</v>
      </c>
      <c r="AQ1392">
        <v>0</v>
      </c>
      <c r="AR1392">
        <v>0</v>
      </c>
      <c r="AS1392" t="s">
        <v>58</v>
      </c>
      <c r="AT1392">
        <v>0</v>
      </c>
      <c r="AU1392" t="s">
        <v>82</v>
      </c>
      <c r="AV1392" t="s">
        <v>60</v>
      </c>
      <c r="AW1392">
        <v>0</v>
      </c>
      <c r="AX1392">
        <v>4</v>
      </c>
      <c r="AY1392">
        <v>0</v>
      </c>
      <c r="AZ1392">
        <v>0</v>
      </c>
      <c r="BA1392">
        <v>100</v>
      </c>
      <c r="BB1392">
        <v>100</v>
      </c>
      <c r="BC1392">
        <v>100</v>
      </c>
      <c r="BD1392">
        <v>100</v>
      </c>
      <c r="BE1392">
        <v>1</v>
      </c>
      <c r="BF1392">
        <v>15000</v>
      </c>
      <c r="BG1392">
        <v>1000</v>
      </c>
      <c r="BH1392" s="6">
        <f>Grandview_Inventory[[#This Row],[land_extract]]*Lookups!$B$3</f>
        <v>49926.8031387023</v>
      </c>
      <c r="BI1392" s="6">
        <f>IF(Grandview_Inventory[[#This Row],[bldg_style]]="",0,Lookups!$B$2)</f>
        <v>155833.95000000001</v>
      </c>
      <c r="BJ1392" s="6">
        <f>_xlfn.IFNA(VLOOKUP(Grandview_Inventory[[#This Row],[quality]],Lookups!$H$2:$J$14,3,FALSE),0)</f>
        <v>10733</v>
      </c>
      <c r="BK1392" s="6">
        <f>_xlfn.IFNA(VLOOKUP(Grandview_Inventory[[#This Row],[condition]],Lookups!$H$17:$J$24,3,FALSE),0)</f>
        <v>-45357</v>
      </c>
      <c r="BL1392" s="6">
        <f>Grandview_Inventory[[#This Row],[Eff_Age]]*Lookups!$B$14</f>
        <v>-12197.496599999999</v>
      </c>
      <c r="BM1392" s="6">
        <f>Grandview_Inventory[[#This Row],[living_area]]*Lookups!$B$15</f>
        <v>149215.00037600001</v>
      </c>
      <c r="BN1392" s="6">
        <f>Grandview_Inventory[[#This Row],[Fin BSMT]]*Lookups!$B$16</f>
        <v>-7804.5811200000007</v>
      </c>
      <c r="BO1392" s="6">
        <f>(Grandview_Inventory[[#This Row],[att_gar]]+Grandview_Inventory[[#This Row],[bltin_gar]])*Lookups!$B$17</f>
        <v>0</v>
      </c>
      <c r="BP1392" s="6">
        <f>Grandview_Inventory[[#This Row],[Plumbing Fixtures]]*Lookups!$B$18</f>
        <v>18093.976200000001</v>
      </c>
      <c r="BQ1392" s="6">
        <f>Grandview_Inventory[[#This Row],[detatched_value]]*Lookups!$B$19</f>
        <v>0</v>
      </c>
      <c r="BR1392" s="6">
        <f>SUM(Grandview_Inventory[[#This Row],[Intercept]:[det_value]])*Grandview_Inventory[[#This Row],[res_pct]]</f>
        <v>268516.848856</v>
      </c>
      <c r="BS1392" s="6">
        <f>Grandview_Inventory[[#This Row],[land_value]]</f>
        <v>49926.8031387023</v>
      </c>
      <c r="BT1392" s="4">
        <f>_xlfn.IFNA(VLOOKUP(Grandview_Inventory[[#This Row],[quality]],Lookups!$A$26:$C$33,3,FALSE),1)</f>
        <v>0.98079741117310582</v>
      </c>
      <c r="BU1392" s="4">
        <f>_xlfn.IFNA(VLOOKUP(Grandview_Inventory[[#This Row],[condition]],Lookups!$A$37:$C$44,3,FALSE),1)</f>
        <v>0.97161819570155394</v>
      </c>
      <c r="BV1392" s="4">
        <f>IF(Grandview_Inventory[[#This Row],[bldg_style]]="",1,_xlfn.IFNA(VLOOKUP(Grandview_Inventory[[#This Row],[decade]],Lookups!$F$29:$H$43,3,FALSE),1))</f>
        <v>0.98763256963907298</v>
      </c>
      <c r="BW1392" s="4">
        <f>_xlfn.IFNA(VLOOKUP(Grandview_Inventory[[#This Row],[living_area_range]],Lookups!$F$47:$H$56,3,FALSE),1)</f>
        <v>0.95799442568048754</v>
      </c>
      <c r="BX1392" s="4">
        <f>AVERAGE(Grandview_Inventory[[#This Row],[qual_adj]:[size_adj]])</f>
        <v>0.97451065054855501</v>
      </c>
      <c r="BY1392" s="6">
        <f>IF(Grandview_Inventory[[#This Row],[pre_res]]&lt;0,0,Grandview_Inventory[[#This Row],[pre_res]]*Grandview_Inventory[[#This Row],[overall_adj]])</f>
        <v>261672.52906190857</v>
      </c>
      <c r="BZ1392" s="6">
        <f>(Grandview_Inventory[[#This Row],[sum_land]]-IF(Grandview_Inventory[[#This Row],[no_utilities]]=1,12000,0))/IF(Grandview_Inventory[[#This Row],[unbuildable]]=1,2,1)</f>
        <v>49926.8031387023</v>
      </c>
      <c r="CA139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392">
        <f>ROUND(Grandview_Inventory[[#This Row],[det_value]]*Lookups!$M$28,-2)</f>
        <v>0</v>
      </c>
      <c r="CC1392">
        <f>IF(ROUND(Grandview_Inventory[[#This Row],[adj_res]]*Lookups!$M$28,-2)&lt;Grandview_Inventory[[#This Row],[min_res]],Grandview_Inventory[[#This Row],[min_res]],ROUND(Grandview_Inventory[[#This Row],[adj_res]]*Lookups!$M$28,-2))</f>
        <v>248600</v>
      </c>
      <c r="CD1392">
        <f>Grandview_Inventory[[#This Row],[final_det]]+Grandview_Inventory[[#This Row],[final_res]]</f>
        <v>248600</v>
      </c>
      <c r="CE1392">
        <f>Grandview_Inventory[[#This Row],[final_land]]+Grandview_Inventory[[#This Row],[final_imp]]+Grandview_Inventory[[#This Row],[crop_value]]</f>
        <v>296000</v>
      </c>
      <c r="CG1392" t="str">
        <f t="shared" si="21"/>
        <v>update valuation set market_land =47400, market_bldg=248600, market_total =296000, market_mdno =401, market_date ='9/10/2023' where link_id = (select link_id from parcel where parcel_year = '2024' and parcel_id = '23092314531');</v>
      </c>
    </row>
    <row r="1393" spans="1:85" x14ac:dyDescent="0.25">
      <c r="A1393">
        <v>23092314532</v>
      </c>
      <c r="B1393">
        <v>0.24</v>
      </c>
      <c r="C1393">
        <v>10560</v>
      </c>
      <c r="D1393" t="s">
        <v>129</v>
      </c>
      <c r="E1393" t="s">
        <v>53</v>
      </c>
      <c r="F1393" t="s">
        <v>53</v>
      </c>
      <c r="G1393">
        <v>4</v>
      </c>
      <c r="H1393" t="s">
        <v>54</v>
      </c>
      <c r="I1393">
        <v>194500</v>
      </c>
      <c r="J1393">
        <v>40400</v>
      </c>
      <c r="K1393">
        <v>0.24</v>
      </c>
      <c r="L139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393">
        <v>0</v>
      </c>
      <c r="N1393">
        <v>0</v>
      </c>
      <c r="O1393">
        <v>0</v>
      </c>
      <c r="P1393">
        <v>13398.7528</v>
      </c>
      <c r="Q1393">
        <v>63903</v>
      </c>
      <c r="R1393">
        <f>(Grandview_Inventory[[#This Row],[ln_acres]]*Grandview_Inventory[[#This Row],[coeff]])+Grandview_Inventory[[#This Row],[const]]</f>
        <v>44781.420733940802</v>
      </c>
      <c r="S1393" t="s">
        <v>68</v>
      </c>
      <c r="T1393">
        <v>1</v>
      </c>
      <c r="U1393" t="s">
        <v>70</v>
      </c>
      <c r="V1393" t="s">
        <v>69</v>
      </c>
      <c r="W1393">
        <v>0</v>
      </c>
      <c r="X1393">
        <v>0</v>
      </c>
      <c r="Y1393">
        <v>51</v>
      </c>
      <c r="Z1393">
        <v>78</v>
      </c>
      <c r="AA1393">
        <v>80</v>
      </c>
      <c r="AB1393">
        <v>2500</v>
      </c>
      <c r="AC1393">
        <v>2412</v>
      </c>
      <c r="AD1393">
        <v>1378</v>
      </c>
      <c r="AE1393">
        <v>0</v>
      </c>
      <c r="AF1393">
        <v>0</v>
      </c>
      <c r="AG1393">
        <v>1034</v>
      </c>
      <c r="AH1393">
        <v>0</v>
      </c>
      <c r="AI1393">
        <v>0</v>
      </c>
      <c r="AJ1393">
        <v>0</v>
      </c>
      <c r="AK1393">
        <v>0</v>
      </c>
      <c r="AL1393">
        <v>438</v>
      </c>
      <c r="AM1393">
        <v>300</v>
      </c>
      <c r="AN1393">
        <v>16</v>
      </c>
      <c r="AO1393">
        <v>0</v>
      </c>
      <c r="AP1393">
        <v>5</v>
      </c>
      <c r="AQ1393">
        <v>0</v>
      </c>
      <c r="AR1393">
        <v>1</v>
      </c>
      <c r="AS1393" t="s">
        <v>58</v>
      </c>
      <c r="AT1393">
        <v>1</v>
      </c>
      <c r="AU1393" t="s">
        <v>63</v>
      </c>
      <c r="AV1393" t="s">
        <v>64</v>
      </c>
      <c r="AW1393">
        <v>0</v>
      </c>
      <c r="AX1393">
        <v>3</v>
      </c>
      <c r="AY1393">
        <v>0</v>
      </c>
      <c r="AZ1393">
        <v>27900</v>
      </c>
      <c r="BA1393">
        <v>100</v>
      </c>
      <c r="BB1393">
        <v>100</v>
      </c>
      <c r="BC1393">
        <v>100</v>
      </c>
      <c r="BD1393">
        <v>100</v>
      </c>
      <c r="BE1393">
        <v>1</v>
      </c>
      <c r="BF1393">
        <v>15000</v>
      </c>
      <c r="BG1393">
        <v>1000</v>
      </c>
      <c r="BH1393" s="6">
        <f>Grandview_Inventory[[#This Row],[land_extract]]*Lookups!$B$3</f>
        <v>52004.542988489469</v>
      </c>
      <c r="BI1393" s="6">
        <f>IF(Grandview_Inventory[[#This Row],[bldg_style]]="",0,Lookups!$B$2)</f>
        <v>155833.95000000001</v>
      </c>
      <c r="BJ1393" s="6">
        <f>_xlfn.IFNA(VLOOKUP(Grandview_Inventory[[#This Row],[quality]],Lookups!$H$2:$J$14,3,FALSE),0)</f>
        <v>10733</v>
      </c>
      <c r="BK1393" s="6">
        <f>_xlfn.IFNA(VLOOKUP(Grandview_Inventory[[#This Row],[condition]],Lookups!$H$17:$J$24,3,FALSE),0)</f>
        <v>-4503</v>
      </c>
      <c r="BL1393" s="6">
        <f>Grandview_Inventory[[#This Row],[Eff_Age]]*Lookups!$B$14</f>
        <v>-12197.496599999999</v>
      </c>
      <c r="BM1393" s="6">
        <f>Grandview_Inventory[[#This Row],[living_area]]*Lookups!$B$15</f>
        <v>150462.617436</v>
      </c>
      <c r="BN1393" s="6">
        <f>Grandview_Inventory[[#This Row],[Fin BSMT]]*Lookups!$B$16</f>
        <v>-28020.614160000001</v>
      </c>
      <c r="BO1393" s="6">
        <f>(Grandview_Inventory[[#This Row],[att_gar]]+Grandview_Inventory[[#This Row],[bltin_gar]])*Lookups!$B$17</f>
        <v>0</v>
      </c>
      <c r="BP1393" s="6">
        <f>Grandview_Inventory[[#This Row],[Plumbing Fixtures]]*Lookups!$B$18</f>
        <v>10052.209000000001</v>
      </c>
      <c r="BQ1393" s="6">
        <f>Grandview_Inventory[[#This Row],[detatched_value]]*Lookups!$B$19</f>
        <v>23625.862290000001</v>
      </c>
      <c r="BR1393" s="6">
        <f>SUM(Grandview_Inventory[[#This Row],[Intercept]:[det_value]])*Grandview_Inventory[[#This Row],[res_pct]]</f>
        <v>305986.52796600002</v>
      </c>
      <c r="BS1393" s="6">
        <f>Grandview_Inventory[[#This Row],[land_value]]</f>
        <v>52004.542988489469</v>
      </c>
      <c r="BT1393" s="4">
        <f>_xlfn.IFNA(VLOOKUP(Grandview_Inventory[[#This Row],[quality]],Lookups!$A$26:$C$33,3,FALSE),1)</f>
        <v>0.98079741117310582</v>
      </c>
      <c r="BU1393" s="4">
        <f>_xlfn.IFNA(VLOOKUP(Grandview_Inventory[[#This Row],[condition]],Lookups!$A$37:$C$44,3,FALSE),1)</f>
        <v>0.96469275950863709</v>
      </c>
      <c r="BV1393" s="4">
        <f>IF(Grandview_Inventory[[#This Row],[bldg_style]]="",1,_xlfn.IFNA(VLOOKUP(Grandview_Inventory[[#This Row],[decade]],Lookups!$F$29:$H$43,3,FALSE),1))</f>
        <v>0.98763256963907298</v>
      </c>
      <c r="BW1393" s="4">
        <f>_xlfn.IFNA(VLOOKUP(Grandview_Inventory[[#This Row],[living_area_range]],Lookups!$F$47:$H$56,3,FALSE),1)</f>
        <v>0.95799442568048754</v>
      </c>
      <c r="BX1393" s="4">
        <f>AVERAGE(Grandview_Inventory[[#This Row],[qual_adj]:[size_adj]])</f>
        <v>0.97277929150032583</v>
      </c>
      <c r="BY1393" s="6">
        <f>IF(Grandview_Inventory[[#This Row],[pre_res]]&lt;0,0,Grandview_Inventory[[#This Row],[pre_res]]*Grandview_Inventory[[#This Row],[overall_adj]])</f>
        <v>297657.35788341012</v>
      </c>
      <c r="BZ1393" s="6">
        <f>(Grandview_Inventory[[#This Row],[sum_land]]-IF(Grandview_Inventory[[#This Row],[no_utilities]]=1,12000,0))/IF(Grandview_Inventory[[#This Row],[unbuildable]]=1,2,1)</f>
        <v>52004.542988489469</v>
      </c>
      <c r="CA139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393">
        <f>ROUND(Grandview_Inventory[[#This Row],[det_value]]*Lookups!$M$28,-2)</f>
        <v>22400</v>
      </c>
      <c r="CC1393">
        <f>IF(ROUND(Grandview_Inventory[[#This Row],[adj_res]]*Lookups!$M$28,-2)&lt;Grandview_Inventory[[#This Row],[min_res]],Grandview_Inventory[[#This Row],[min_res]],ROUND(Grandview_Inventory[[#This Row],[adj_res]]*Lookups!$M$28,-2))</f>
        <v>282800</v>
      </c>
      <c r="CD1393">
        <f>Grandview_Inventory[[#This Row],[final_det]]+Grandview_Inventory[[#This Row],[final_res]]</f>
        <v>305200</v>
      </c>
      <c r="CE1393">
        <f>Grandview_Inventory[[#This Row],[final_land]]+Grandview_Inventory[[#This Row],[final_imp]]+Grandview_Inventory[[#This Row],[crop_value]]</f>
        <v>354600</v>
      </c>
      <c r="CG1393" t="str">
        <f t="shared" si="21"/>
        <v>update valuation set market_land =49400, market_bldg=305200, market_total =354600, market_mdno =401, market_date ='9/10/2023' where link_id = (select link_id from parcel where parcel_year = '2024' and parcel_id = '23092314532');</v>
      </c>
    </row>
    <row r="1394" spans="1:85" x14ac:dyDescent="0.25">
      <c r="A1394">
        <v>23092314533</v>
      </c>
      <c r="B1394">
        <v>0.25</v>
      </c>
      <c r="C1394">
        <v>10830</v>
      </c>
      <c r="D1394" t="s">
        <v>129</v>
      </c>
      <c r="E1394" t="s">
        <v>53</v>
      </c>
      <c r="F1394" t="s">
        <v>53</v>
      </c>
      <c r="G1394">
        <v>4</v>
      </c>
      <c r="H1394" t="s">
        <v>54</v>
      </c>
      <c r="I1394">
        <v>255100</v>
      </c>
      <c r="J1394">
        <v>40500</v>
      </c>
      <c r="K1394">
        <v>0.25</v>
      </c>
      <c r="L139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394">
        <v>0</v>
      </c>
      <c r="N1394">
        <v>0</v>
      </c>
      <c r="O1394">
        <v>0</v>
      </c>
      <c r="P1394">
        <v>13398.7528</v>
      </c>
      <c r="Q1394">
        <v>63903</v>
      </c>
      <c r="R1394">
        <f>(Grandview_Inventory[[#This Row],[ln_acres]]*Grandview_Inventory[[#This Row],[coeff]])+Grandview_Inventory[[#This Row],[const]]</f>
        <v>45328.38454732066</v>
      </c>
      <c r="S1394" t="s">
        <v>55</v>
      </c>
      <c r="T1394">
        <v>2</v>
      </c>
      <c r="U1394" t="s">
        <v>70</v>
      </c>
      <c r="V1394" t="s">
        <v>67</v>
      </c>
      <c r="W1394">
        <v>0</v>
      </c>
      <c r="X1394">
        <v>0</v>
      </c>
      <c r="Y1394">
        <v>55</v>
      </c>
      <c r="Z1394">
        <v>98</v>
      </c>
      <c r="AA1394">
        <v>100</v>
      </c>
      <c r="AB1394">
        <v>3000</v>
      </c>
      <c r="AC1394">
        <v>2640</v>
      </c>
      <c r="AD1394">
        <v>1016</v>
      </c>
      <c r="AE1394">
        <v>608</v>
      </c>
      <c r="AF1394">
        <v>0</v>
      </c>
      <c r="AG1394">
        <v>1016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57</v>
      </c>
      <c r="AO1394">
        <v>0</v>
      </c>
      <c r="AP1394">
        <v>10</v>
      </c>
      <c r="AQ1394">
        <v>0</v>
      </c>
      <c r="AR1394">
        <v>0</v>
      </c>
      <c r="AS1394" t="s">
        <v>58</v>
      </c>
      <c r="AT1394">
        <v>1</v>
      </c>
      <c r="AU1394" t="s">
        <v>63</v>
      </c>
      <c r="AV1394" t="s">
        <v>64</v>
      </c>
      <c r="AW1394">
        <v>1</v>
      </c>
      <c r="AX1394">
        <v>6</v>
      </c>
      <c r="AY1394">
        <v>0</v>
      </c>
      <c r="AZ1394">
        <v>9300</v>
      </c>
      <c r="BA1394">
        <v>100</v>
      </c>
      <c r="BB1394">
        <v>100</v>
      </c>
      <c r="BC1394">
        <v>100</v>
      </c>
      <c r="BD1394">
        <v>100</v>
      </c>
      <c r="BE1394">
        <v>1</v>
      </c>
      <c r="BF1394">
        <v>15000</v>
      </c>
      <c r="BG1394">
        <v>1000</v>
      </c>
      <c r="BH1394" s="6">
        <f>Grandview_Inventory[[#This Row],[land_extract]]*Lookups!$B$3</f>
        <v>52639.730588165206</v>
      </c>
      <c r="BI1394" s="6">
        <f>IF(Grandview_Inventory[[#This Row],[bldg_style]]="",0,Lookups!$B$2)</f>
        <v>155833.95000000001</v>
      </c>
      <c r="BJ1394" s="6">
        <f>_xlfn.IFNA(VLOOKUP(Grandview_Inventory[[#This Row],[quality]],Lookups!$H$2:$J$14,3,FALSE),0)</f>
        <v>10733</v>
      </c>
      <c r="BK1394" s="6">
        <f>_xlfn.IFNA(VLOOKUP(Grandview_Inventory[[#This Row],[condition]],Lookups!$H$17:$J$24,3,FALSE),0)</f>
        <v>22342</v>
      </c>
      <c r="BL1394" s="6">
        <f>Grandview_Inventory[[#This Row],[Eff_Age]]*Lookups!$B$14</f>
        <v>-13154.162999999999</v>
      </c>
      <c r="BM1394" s="6">
        <f>Grandview_Inventory[[#This Row],[living_area]]*Lookups!$B$15</f>
        <v>164685.45191999999</v>
      </c>
      <c r="BN1394" s="6">
        <f>Grandview_Inventory[[#This Row],[Fin BSMT]]*Lookups!$B$16</f>
        <v>-27532.827840000002</v>
      </c>
      <c r="BO1394" s="6">
        <f>(Grandview_Inventory[[#This Row],[att_gar]]+Grandview_Inventory[[#This Row],[bltin_gar]])*Lookups!$B$17</f>
        <v>0</v>
      </c>
      <c r="BP1394" s="6">
        <f>Grandview_Inventory[[#This Row],[Plumbing Fixtures]]*Lookups!$B$18</f>
        <v>20104.418000000001</v>
      </c>
      <c r="BQ1394" s="6">
        <f>Grandview_Inventory[[#This Row],[detatched_value]]*Lookups!$B$19</f>
        <v>7875.2874299999994</v>
      </c>
      <c r="BR1394" s="6">
        <f>SUM(Grandview_Inventory[[#This Row],[Intercept]:[det_value]])*Grandview_Inventory[[#This Row],[res_pct]]</f>
        <v>340887.11651000008</v>
      </c>
      <c r="BS1394" s="6">
        <f>Grandview_Inventory[[#This Row],[land_value]]</f>
        <v>52639.730588165206</v>
      </c>
      <c r="BT1394" s="4">
        <f>_xlfn.IFNA(VLOOKUP(Grandview_Inventory[[#This Row],[quality]],Lookups!$A$26:$C$33,3,FALSE),1)</f>
        <v>0.98079741117310582</v>
      </c>
      <c r="BU1394" s="4">
        <f>_xlfn.IFNA(VLOOKUP(Grandview_Inventory[[#This Row],[condition]],Lookups!$A$37:$C$44,3,FALSE),1)</f>
        <v>0.97383723671140243</v>
      </c>
      <c r="BV1394" s="4">
        <f>IF(Grandview_Inventory[[#This Row],[bldg_style]]="",1,_xlfn.IFNA(VLOOKUP(Grandview_Inventory[[#This Row],[decade]],Lookups!$F$29:$H$43,3,FALSE),1))</f>
        <v>0.95244691841736806</v>
      </c>
      <c r="BW1394" s="4">
        <f>_xlfn.IFNA(VLOOKUP(Grandview_Inventory[[#This Row],[living_area_range]],Lookups!$F$47:$H$56,3,FALSE),1)</f>
        <v>0.94224801443562123</v>
      </c>
      <c r="BX1394" s="4">
        <f>AVERAGE(Grandview_Inventory[[#This Row],[qual_adj]:[size_adj]])</f>
        <v>0.96233239518437441</v>
      </c>
      <c r="BY1394" s="6">
        <f>IF(Grandview_Inventory[[#This Row],[pre_res]]&lt;0,0,Grandview_Inventory[[#This Row],[pre_res]]*Grandview_Inventory[[#This Row],[overall_adj]])</f>
        <v>328046.71531856328</v>
      </c>
      <c r="BZ1394" s="6">
        <f>(Grandview_Inventory[[#This Row],[sum_land]]-IF(Grandview_Inventory[[#This Row],[no_utilities]]=1,12000,0))/IF(Grandview_Inventory[[#This Row],[unbuildable]]=1,2,1)</f>
        <v>52639.730588165206</v>
      </c>
      <c r="CA139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394">
        <f>ROUND(Grandview_Inventory[[#This Row],[det_value]]*Lookups!$M$28,-2)</f>
        <v>7500</v>
      </c>
      <c r="CC1394">
        <f>IF(ROUND(Grandview_Inventory[[#This Row],[adj_res]]*Lookups!$M$28,-2)&lt;Grandview_Inventory[[#This Row],[min_res]],Grandview_Inventory[[#This Row],[min_res]],ROUND(Grandview_Inventory[[#This Row],[adj_res]]*Lookups!$M$28,-2))</f>
        <v>311600</v>
      </c>
      <c r="CD1394">
        <f>Grandview_Inventory[[#This Row],[final_det]]+Grandview_Inventory[[#This Row],[final_res]]</f>
        <v>319100</v>
      </c>
      <c r="CE1394">
        <f>Grandview_Inventory[[#This Row],[final_land]]+Grandview_Inventory[[#This Row],[final_imp]]+Grandview_Inventory[[#This Row],[crop_value]]</f>
        <v>369100</v>
      </c>
      <c r="CG1394" t="str">
        <f t="shared" si="21"/>
        <v>update valuation set market_land =50000, market_bldg=319100, market_total =369100, market_mdno =401, market_date ='9/10/2023' where link_id = (select link_id from parcel where parcel_year = '2024' and parcel_id = '23092314533');</v>
      </c>
    </row>
    <row r="1395" spans="1:85" x14ac:dyDescent="0.25">
      <c r="A1395">
        <v>23092314534</v>
      </c>
      <c r="B1395">
        <v>0.26</v>
      </c>
      <c r="C1395">
        <v>11393</v>
      </c>
      <c r="D1395" t="s">
        <v>129</v>
      </c>
      <c r="E1395" t="s">
        <v>53</v>
      </c>
      <c r="F1395" t="s">
        <v>53</v>
      </c>
      <c r="G1395">
        <v>4</v>
      </c>
      <c r="H1395" t="s">
        <v>54</v>
      </c>
      <c r="I1395">
        <v>207300</v>
      </c>
      <c r="J1395">
        <v>40700</v>
      </c>
      <c r="K1395">
        <v>0.26</v>
      </c>
      <c r="L1395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395">
        <v>0</v>
      </c>
      <c r="N1395">
        <v>0</v>
      </c>
      <c r="O1395">
        <v>0</v>
      </c>
      <c r="P1395">
        <v>13398.7528</v>
      </c>
      <c r="Q1395">
        <v>63903</v>
      </c>
      <c r="R1395">
        <f>(Grandview_Inventory[[#This Row],[ln_acres]]*Grandview_Inventory[[#This Row],[coeff]])+Grandview_Inventory[[#This Row],[const]]</f>
        <v>45853.893187501177</v>
      </c>
      <c r="S1395" t="s">
        <v>68</v>
      </c>
      <c r="T1395">
        <v>1</v>
      </c>
      <c r="U1395" t="s">
        <v>62</v>
      </c>
      <c r="V1395" t="s">
        <v>67</v>
      </c>
      <c r="W1395">
        <v>0</v>
      </c>
      <c r="X1395">
        <v>0</v>
      </c>
      <c r="Y1395">
        <v>50</v>
      </c>
      <c r="Z1395">
        <v>75</v>
      </c>
      <c r="AA1395">
        <v>80</v>
      </c>
      <c r="AB1395">
        <v>2000</v>
      </c>
      <c r="AC1395">
        <v>1608</v>
      </c>
      <c r="AD1395">
        <v>1072</v>
      </c>
      <c r="AE1395">
        <v>0</v>
      </c>
      <c r="AF1395">
        <v>0</v>
      </c>
      <c r="AG1395">
        <v>536</v>
      </c>
      <c r="AH1395">
        <v>536</v>
      </c>
      <c r="AI1395">
        <v>384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7</v>
      </c>
      <c r="AQ1395">
        <v>0</v>
      </c>
      <c r="AR1395">
        <v>1</v>
      </c>
      <c r="AS1395" t="s">
        <v>58</v>
      </c>
      <c r="AT1395">
        <v>1</v>
      </c>
      <c r="AU1395" t="s">
        <v>59</v>
      </c>
      <c r="AV1395" t="s">
        <v>64</v>
      </c>
      <c r="AW1395">
        <v>1</v>
      </c>
      <c r="AX1395">
        <v>3</v>
      </c>
      <c r="AY1395">
        <v>0</v>
      </c>
      <c r="AZ1395">
        <v>7300</v>
      </c>
      <c r="BA1395">
        <v>100</v>
      </c>
      <c r="BB1395">
        <v>100</v>
      </c>
      <c r="BC1395">
        <v>100</v>
      </c>
      <c r="BD1395">
        <v>100</v>
      </c>
      <c r="BE1395">
        <v>1</v>
      </c>
      <c r="BF1395">
        <v>15000</v>
      </c>
      <c r="BG1395">
        <v>1000</v>
      </c>
      <c r="BH1395" s="6">
        <f>Grandview_Inventory[[#This Row],[land_extract]]*Lookups!$B$3</f>
        <v>53250.00235313351</v>
      </c>
      <c r="BI1395" s="6">
        <f>IF(Grandview_Inventory[[#This Row],[bldg_style]]="",0,Lookups!$B$2)</f>
        <v>155833.95000000001</v>
      </c>
      <c r="BJ1395" s="6">
        <f>_xlfn.IFNA(VLOOKUP(Grandview_Inventory[[#This Row],[quality]],Lookups!$H$2:$J$14,3,FALSE),0)</f>
        <v>9808</v>
      </c>
      <c r="BK1395" s="6">
        <f>_xlfn.IFNA(VLOOKUP(Grandview_Inventory[[#This Row],[condition]],Lookups!$H$17:$J$24,3,FALSE),0)</f>
        <v>22342</v>
      </c>
      <c r="BL1395" s="6">
        <f>Grandview_Inventory[[#This Row],[Eff_Age]]*Lookups!$B$14</f>
        <v>-11958.33</v>
      </c>
      <c r="BM1395" s="6">
        <f>Grandview_Inventory[[#This Row],[living_area]]*Lookups!$B$15</f>
        <v>100308.411624</v>
      </c>
      <c r="BN1395" s="6">
        <f>Grandview_Inventory[[#This Row],[Fin BSMT]]*Lookups!$B$16</f>
        <v>-14525.192640000001</v>
      </c>
      <c r="BO1395" s="6">
        <f>(Grandview_Inventory[[#This Row],[att_gar]]+Grandview_Inventory[[#This Row],[bltin_gar]])*Lookups!$B$17</f>
        <v>33607.847807999999</v>
      </c>
      <c r="BP1395" s="6">
        <f>Grandview_Inventory[[#This Row],[Plumbing Fixtures]]*Lookups!$B$18</f>
        <v>14073.0926</v>
      </c>
      <c r="BQ1395" s="6">
        <f>Grandview_Inventory[[#This Row],[detatched_value]]*Lookups!$B$19</f>
        <v>6181.6772300000002</v>
      </c>
      <c r="BR1395" s="6">
        <f>SUM(Grandview_Inventory[[#This Row],[Intercept]:[det_value]])*Grandview_Inventory[[#This Row],[res_pct]]</f>
        <v>315671.45662200003</v>
      </c>
      <c r="BS1395" s="6">
        <f>Grandview_Inventory[[#This Row],[land_value]]</f>
        <v>53250.00235313351</v>
      </c>
      <c r="BT1395" s="4">
        <f>_xlfn.IFNA(VLOOKUP(Grandview_Inventory[[#This Row],[quality]],Lookups!$A$26:$C$33,3,FALSE),1)</f>
        <v>0.94295468617355149</v>
      </c>
      <c r="BU1395" s="4">
        <f>_xlfn.IFNA(VLOOKUP(Grandview_Inventory[[#This Row],[condition]],Lookups!$A$37:$C$44,3,FALSE),1)</f>
        <v>0.97383723671140243</v>
      </c>
      <c r="BV1395" s="4">
        <f>IF(Grandview_Inventory[[#This Row],[bldg_style]]="",1,_xlfn.IFNA(VLOOKUP(Grandview_Inventory[[#This Row],[decade]],Lookups!$F$29:$H$43,3,FALSE),1))</f>
        <v>0.98763256963907298</v>
      </c>
      <c r="BW1395" s="4">
        <f>_xlfn.IFNA(VLOOKUP(Grandview_Inventory[[#This Row],[living_area_range]],Lookups!$F$47:$H$56,3,FALSE),1)</f>
        <v>0.96120133463014379</v>
      </c>
      <c r="BX1395" s="4">
        <f>AVERAGE(Grandview_Inventory[[#This Row],[qual_adj]:[size_adj]])</f>
        <v>0.96640645678854264</v>
      </c>
      <c r="BY1395" s="6">
        <f>IF(Grandview_Inventory[[#This Row],[pre_res]]&lt;0,0,Grandview_Inventory[[#This Row],[pre_res]]*Grandview_Inventory[[#This Row],[overall_adj]])</f>
        <v>305066.9339033452</v>
      </c>
      <c r="BZ1395" s="6">
        <f>(Grandview_Inventory[[#This Row],[sum_land]]-IF(Grandview_Inventory[[#This Row],[no_utilities]]=1,12000,0))/IF(Grandview_Inventory[[#This Row],[unbuildable]]=1,2,1)</f>
        <v>53250.00235313351</v>
      </c>
      <c r="CA1395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395">
        <f>ROUND(Grandview_Inventory[[#This Row],[det_value]]*Lookups!$M$28,-2)</f>
        <v>5900</v>
      </c>
      <c r="CC1395">
        <f>IF(ROUND(Grandview_Inventory[[#This Row],[adj_res]]*Lookups!$M$28,-2)&lt;Grandview_Inventory[[#This Row],[min_res]],Grandview_Inventory[[#This Row],[min_res]],ROUND(Grandview_Inventory[[#This Row],[adj_res]]*Lookups!$M$28,-2))</f>
        <v>289800</v>
      </c>
      <c r="CD1395">
        <f>Grandview_Inventory[[#This Row],[final_det]]+Grandview_Inventory[[#This Row],[final_res]]</f>
        <v>295700</v>
      </c>
      <c r="CE1395">
        <f>Grandview_Inventory[[#This Row],[final_land]]+Grandview_Inventory[[#This Row],[final_imp]]+Grandview_Inventory[[#This Row],[crop_value]]</f>
        <v>346300</v>
      </c>
      <c r="CG1395" t="str">
        <f t="shared" si="21"/>
        <v>update valuation set market_land =50600, market_bldg=295700, market_total =346300, market_mdno =401, market_date ='9/10/2023' where link_id = (select link_id from parcel where parcel_year = '2024' and parcel_id = '23092314534');</v>
      </c>
    </row>
    <row r="1396" spans="1:85" x14ac:dyDescent="0.25">
      <c r="A1396">
        <v>23092314535</v>
      </c>
      <c r="B1396">
        <v>0.23</v>
      </c>
      <c r="C1396">
        <v>10120</v>
      </c>
      <c r="D1396" t="s">
        <v>129</v>
      </c>
      <c r="E1396" t="s">
        <v>53</v>
      </c>
      <c r="F1396" t="s">
        <v>53</v>
      </c>
      <c r="G1396">
        <v>4</v>
      </c>
      <c r="H1396" t="s">
        <v>54</v>
      </c>
      <c r="I1396">
        <v>151600</v>
      </c>
      <c r="J1396">
        <v>40200</v>
      </c>
      <c r="K1396">
        <v>0.23</v>
      </c>
      <c r="L139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396">
        <v>0</v>
      </c>
      <c r="N1396">
        <v>0</v>
      </c>
      <c r="O1396">
        <v>0</v>
      </c>
      <c r="P1396">
        <v>13398.7528</v>
      </c>
      <c r="Q1396">
        <v>63903</v>
      </c>
      <c r="R1396">
        <f>(Grandview_Inventory[[#This Row],[ln_acres]]*Grandview_Inventory[[#This Row],[coeff]])+Grandview_Inventory[[#This Row],[const]]</f>
        <v>44211.174981080039</v>
      </c>
      <c r="S1396" t="s">
        <v>61</v>
      </c>
      <c r="T1396">
        <v>1</v>
      </c>
      <c r="U1396" t="s">
        <v>70</v>
      </c>
      <c r="V1396" t="s">
        <v>69</v>
      </c>
      <c r="W1396">
        <v>0</v>
      </c>
      <c r="X1396">
        <v>0</v>
      </c>
      <c r="Y1396">
        <v>45</v>
      </c>
      <c r="Z1396">
        <v>52</v>
      </c>
      <c r="AA1396">
        <v>60</v>
      </c>
      <c r="AB1396">
        <v>1500</v>
      </c>
      <c r="AC1396">
        <v>1196</v>
      </c>
      <c r="AD1396">
        <v>1196</v>
      </c>
      <c r="AE1396">
        <v>0</v>
      </c>
      <c r="AF1396">
        <v>0</v>
      </c>
      <c r="AG1396">
        <v>0</v>
      </c>
      <c r="AH1396">
        <v>0</v>
      </c>
      <c r="AI1396">
        <v>286</v>
      </c>
      <c r="AJ1396">
        <v>0</v>
      </c>
      <c r="AK1396">
        <v>0</v>
      </c>
      <c r="AL1396">
        <v>0</v>
      </c>
      <c r="AM1396">
        <v>256</v>
      </c>
      <c r="AN1396">
        <v>0</v>
      </c>
      <c r="AO1396">
        <v>256</v>
      </c>
      <c r="AP1396">
        <v>5</v>
      </c>
      <c r="AQ1396">
        <v>0</v>
      </c>
      <c r="AR1396">
        <v>0</v>
      </c>
      <c r="AS1396" t="s">
        <v>58</v>
      </c>
      <c r="AT1396">
        <v>1</v>
      </c>
      <c r="AU1396" t="s">
        <v>63</v>
      </c>
      <c r="AV1396" t="s">
        <v>64</v>
      </c>
      <c r="AW1396">
        <v>0</v>
      </c>
      <c r="AX1396">
        <v>4</v>
      </c>
      <c r="AY1396">
        <v>0</v>
      </c>
      <c r="AZ1396">
        <v>0</v>
      </c>
      <c r="BA1396">
        <v>100</v>
      </c>
      <c r="BB1396">
        <v>100</v>
      </c>
      <c r="BC1396">
        <v>100</v>
      </c>
      <c r="BD1396">
        <v>100</v>
      </c>
      <c r="BE1396">
        <v>1</v>
      </c>
      <c r="BF1396">
        <v>15000</v>
      </c>
      <c r="BG1396">
        <v>1000</v>
      </c>
      <c r="BH1396" s="6">
        <f>Grandview_Inventory[[#This Row],[land_extract]]*Lookups!$B$3</f>
        <v>51342.318135355803</v>
      </c>
      <c r="BI1396" s="6">
        <f>IF(Grandview_Inventory[[#This Row],[bldg_style]]="",0,Lookups!$B$2)</f>
        <v>155833.95000000001</v>
      </c>
      <c r="BJ1396" s="6">
        <f>_xlfn.IFNA(VLOOKUP(Grandview_Inventory[[#This Row],[quality]],Lookups!$H$2:$J$14,3,FALSE),0)</f>
        <v>10733</v>
      </c>
      <c r="BK1396" s="6">
        <f>_xlfn.IFNA(VLOOKUP(Grandview_Inventory[[#This Row],[condition]],Lookups!$H$17:$J$24,3,FALSE),0)</f>
        <v>-4503</v>
      </c>
      <c r="BL1396" s="6">
        <f>Grandview_Inventory[[#This Row],[Eff_Age]]*Lookups!$B$14</f>
        <v>-10762.496999999999</v>
      </c>
      <c r="BM1396" s="6">
        <f>Grandview_Inventory[[#This Row],[living_area]]*Lookups!$B$15</f>
        <v>74607.500188000005</v>
      </c>
      <c r="BN1396" s="6">
        <f>Grandview_Inventory[[#This Row],[Fin BSMT]]*Lookups!$B$16</f>
        <v>0</v>
      </c>
      <c r="BO1396" s="6">
        <f>(Grandview_Inventory[[#This Row],[att_gar]]+Grandview_Inventory[[#This Row],[bltin_gar]])*Lookups!$B$17</f>
        <v>25030.844981999999</v>
      </c>
      <c r="BP1396" s="6">
        <f>Grandview_Inventory[[#This Row],[Plumbing Fixtures]]*Lookups!$B$18</f>
        <v>10052.209000000001</v>
      </c>
      <c r="BQ1396" s="6">
        <f>Grandview_Inventory[[#This Row],[detatched_value]]*Lookups!$B$19</f>
        <v>0</v>
      </c>
      <c r="BR1396" s="6">
        <f>SUM(Grandview_Inventory[[#This Row],[Intercept]:[det_value]])*Grandview_Inventory[[#This Row],[res_pct]]</f>
        <v>260992.00717000003</v>
      </c>
      <c r="BS1396" s="6">
        <f>Grandview_Inventory[[#This Row],[land_value]]</f>
        <v>51342.318135355803</v>
      </c>
      <c r="BT1396" s="4">
        <f>_xlfn.IFNA(VLOOKUP(Grandview_Inventory[[#This Row],[quality]],Lookups!$A$26:$C$33,3,FALSE),1)</f>
        <v>0.98079741117310582</v>
      </c>
      <c r="BU1396" s="4">
        <f>_xlfn.IFNA(VLOOKUP(Grandview_Inventory[[#This Row],[condition]],Lookups!$A$37:$C$44,3,FALSE),1)</f>
        <v>0.96469275950863709</v>
      </c>
      <c r="BV1396" s="4">
        <f>IF(Grandview_Inventory[[#This Row],[bldg_style]]="",1,_xlfn.IFNA(VLOOKUP(Grandview_Inventory[[#This Row],[decade]],Lookups!$F$29:$H$43,3,FALSE),1))</f>
        <v>0.95268620544463312</v>
      </c>
      <c r="BW1396" s="4">
        <f>_xlfn.IFNA(VLOOKUP(Grandview_Inventory[[#This Row],[living_area_range]],Lookups!$F$47:$H$56,3,FALSE),1)</f>
        <v>0.96135087979789358</v>
      </c>
      <c r="BX1396" s="4">
        <f>AVERAGE(Grandview_Inventory[[#This Row],[qual_adj]:[size_adj]])</f>
        <v>0.96488181398106743</v>
      </c>
      <c r="BY1396" s="6">
        <f>IF(Grandview_Inventory[[#This Row],[pre_res]]&lt;0,0,Grandview_Inventory[[#This Row],[pre_res]]*Grandview_Inventory[[#This Row],[overall_adj]])</f>
        <v>251826.44131274938</v>
      </c>
      <c r="BZ1396" s="6">
        <f>(Grandview_Inventory[[#This Row],[sum_land]]-IF(Grandview_Inventory[[#This Row],[no_utilities]]=1,12000,0))/IF(Grandview_Inventory[[#This Row],[unbuildable]]=1,2,1)</f>
        <v>51342.318135355803</v>
      </c>
      <c r="CA139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396">
        <f>ROUND(Grandview_Inventory[[#This Row],[det_value]]*Lookups!$M$28,-2)</f>
        <v>0</v>
      </c>
      <c r="CC1396">
        <f>IF(ROUND(Grandview_Inventory[[#This Row],[adj_res]]*Lookups!$M$28,-2)&lt;Grandview_Inventory[[#This Row],[min_res]],Grandview_Inventory[[#This Row],[min_res]],ROUND(Grandview_Inventory[[#This Row],[adj_res]]*Lookups!$M$28,-2))</f>
        <v>239200</v>
      </c>
      <c r="CD1396">
        <f>Grandview_Inventory[[#This Row],[final_det]]+Grandview_Inventory[[#This Row],[final_res]]</f>
        <v>239200</v>
      </c>
      <c r="CE1396">
        <f>Grandview_Inventory[[#This Row],[final_land]]+Grandview_Inventory[[#This Row],[final_imp]]+Grandview_Inventory[[#This Row],[crop_value]]</f>
        <v>288000</v>
      </c>
      <c r="CG1396" t="str">
        <f t="shared" si="21"/>
        <v>update valuation set market_land =48800, market_bldg=239200, market_total =288000, market_mdno =401, market_date ='9/10/2023' where link_id = (select link_id from parcel where parcel_year = '2024' and parcel_id = '23092314535');</v>
      </c>
    </row>
    <row r="1397" spans="1:85" x14ac:dyDescent="0.25">
      <c r="A1397">
        <v>23092314536</v>
      </c>
      <c r="B1397">
        <v>0.18</v>
      </c>
      <c r="C1397">
        <v>7909</v>
      </c>
      <c r="D1397" t="s">
        <v>129</v>
      </c>
      <c r="E1397" t="s">
        <v>53</v>
      </c>
      <c r="F1397" t="s">
        <v>53</v>
      </c>
      <c r="G1397">
        <v>4</v>
      </c>
      <c r="H1397" t="s">
        <v>54</v>
      </c>
      <c r="I1397">
        <v>130200</v>
      </c>
      <c r="J1397">
        <v>39500</v>
      </c>
      <c r="K1397">
        <v>0.18</v>
      </c>
      <c r="L139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397">
        <v>0</v>
      </c>
      <c r="N1397">
        <v>0</v>
      </c>
      <c r="O1397">
        <v>0</v>
      </c>
      <c r="P1397">
        <v>13398.7528</v>
      </c>
      <c r="Q1397">
        <v>63903</v>
      </c>
      <c r="R1397">
        <f>(Grandview_Inventory[[#This Row],[ln_acres]]*Grandview_Inventory[[#This Row],[coeff]])+Grandview_Inventory[[#This Row],[const]]</f>
        <v>40926.839760167699</v>
      </c>
      <c r="S1397" t="s">
        <v>61</v>
      </c>
      <c r="T1397">
        <v>1</v>
      </c>
      <c r="U1397" t="s">
        <v>65</v>
      </c>
      <c r="V1397" t="s">
        <v>69</v>
      </c>
      <c r="W1397">
        <v>0</v>
      </c>
      <c r="X1397">
        <v>0</v>
      </c>
      <c r="Y1397">
        <v>45</v>
      </c>
      <c r="Z1397">
        <v>52</v>
      </c>
      <c r="AA1397">
        <v>60</v>
      </c>
      <c r="AB1397">
        <v>1500</v>
      </c>
      <c r="AC1397">
        <v>1208</v>
      </c>
      <c r="AD1397">
        <v>1208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240</v>
      </c>
      <c r="AL1397">
        <v>0</v>
      </c>
      <c r="AM1397">
        <v>0</v>
      </c>
      <c r="AN1397">
        <v>24</v>
      </c>
      <c r="AO1397">
        <v>0</v>
      </c>
      <c r="AP1397">
        <v>5</v>
      </c>
      <c r="AQ1397">
        <v>0</v>
      </c>
      <c r="AR1397">
        <v>0</v>
      </c>
      <c r="AS1397" t="s">
        <v>58</v>
      </c>
      <c r="AT1397">
        <v>1</v>
      </c>
      <c r="AU1397" t="s">
        <v>63</v>
      </c>
      <c r="AV1397" t="s">
        <v>64</v>
      </c>
      <c r="AW1397">
        <v>0</v>
      </c>
      <c r="AX1397">
        <v>4</v>
      </c>
      <c r="AY1397">
        <v>0</v>
      </c>
      <c r="AZ1397">
        <v>0</v>
      </c>
      <c r="BA1397">
        <v>100</v>
      </c>
      <c r="BB1397">
        <v>100</v>
      </c>
      <c r="BC1397">
        <v>100</v>
      </c>
      <c r="BD1397">
        <v>100</v>
      </c>
      <c r="BE1397">
        <v>1</v>
      </c>
      <c r="BF1397">
        <v>15000</v>
      </c>
      <c r="BG1397">
        <v>1000</v>
      </c>
      <c r="BH1397" s="6">
        <f>Grandview_Inventory[[#This Row],[land_extract]]*Lookups!$B$3</f>
        <v>47528.228511015397</v>
      </c>
      <c r="BI1397" s="6">
        <f>IF(Grandview_Inventory[[#This Row],[bldg_style]]="",0,Lookups!$B$2)</f>
        <v>155833.95000000001</v>
      </c>
      <c r="BJ1397" s="6">
        <f>_xlfn.IFNA(VLOOKUP(Grandview_Inventory[[#This Row],[quality]],Lookups!$H$2:$J$14,3,FALSE),0)</f>
        <v>2251</v>
      </c>
      <c r="BK1397" s="6">
        <f>_xlfn.IFNA(VLOOKUP(Grandview_Inventory[[#This Row],[condition]],Lookups!$H$17:$J$24,3,FALSE),0)</f>
        <v>-4503</v>
      </c>
      <c r="BL1397" s="6">
        <f>Grandview_Inventory[[#This Row],[Eff_Age]]*Lookups!$B$14</f>
        <v>-10762.496999999999</v>
      </c>
      <c r="BM1397" s="6">
        <f>Grandview_Inventory[[#This Row],[living_area]]*Lookups!$B$15</f>
        <v>75356.070424000005</v>
      </c>
      <c r="BN1397" s="6">
        <f>Grandview_Inventory[[#This Row],[Fin BSMT]]*Lookups!$B$16</f>
        <v>0</v>
      </c>
      <c r="BO1397" s="6">
        <f>(Grandview_Inventory[[#This Row],[att_gar]]+Grandview_Inventory[[#This Row],[bltin_gar]])*Lookups!$B$17</f>
        <v>0</v>
      </c>
      <c r="BP1397" s="6">
        <f>Grandview_Inventory[[#This Row],[Plumbing Fixtures]]*Lookups!$B$18</f>
        <v>10052.209000000001</v>
      </c>
      <c r="BQ1397" s="6">
        <f>Grandview_Inventory[[#This Row],[detatched_value]]*Lookups!$B$19</f>
        <v>0</v>
      </c>
      <c r="BR1397" s="6">
        <f>SUM(Grandview_Inventory[[#This Row],[Intercept]:[det_value]])*Grandview_Inventory[[#This Row],[res_pct]]</f>
        <v>228227.73242400002</v>
      </c>
      <c r="BS1397" s="6">
        <f>Grandview_Inventory[[#This Row],[land_value]]</f>
        <v>47528.228511015397</v>
      </c>
      <c r="BT1397" s="4">
        <f>_xlfn.IFNA(VLOOKUP(Grandview_Inventory[[#This Row],[quality]],Lookups!$A$26:$C$33,3,FALSE),1)</f>
        <v>0.98763855981004833</v>
      </c>
      <c r="BU1397" s="4">
        <f>_xlfn.IFNA(VLOOKUP(Grandview_Inventory[[#This Row],[condition]],Lookups!$A$37:$C$44,3,FALSE),1)</f>
        <v>0.96469275950863709</v>
      </c>
      <c r="BV1397" s="4">
        <f>IF(Grandview_Inventory[[#This Row],[bldg_style]]="",1,_xlfn.IFNA(VLOOKUP(Grandview_Inventory[[#This Row],[decade]],Lookups!$F$29:$H$43,3,FALSE),1))</f>
        <v>0.95268620544463312</v>
      </c>
      <c r="BW1397" s="4">
        <f>_xlfn.IFNA(VLOOKUP(Grandview_Inventory[[#This Row],[living_area_range]],Lookups!$F$47:$H$56,3,FALSE),1)</f>
        <v>0.96135087979789358</v>
      </c>
      <c r="BX1397" s="4">
        <f>AVERAGE(Grandview_Inventory[[#This Row],[qual_adj]:[size_adj]])</f>
        <v>0.96659210114030303</v>
      </c>
      <c r="BY1397" s="6">
        <f>IF(Grandview_Inventory[[#This Row],[pre_res]]&lt;0,0,Grandview_Inventory[[#This Row],[pre_res]]*Grandview_Inventory[[#This Row],[overall_adj]])</f>
        <v>220603.12342220105</v>
      </c>
      <c r="BZ1397" s="6">
        <f>(Grandview_Inventory[[#This Row],[sum_land]]-IF(Grandview_Inventory[[#This Row],[no_utilities]]=1,12000,0))/IF(Grandview_Inventory[[#This Row],[unbuildable]]=1,2,1)</f>
        <v>47528.228511015397</v>
      </c>
      <c r="CA139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397">
        <f>ROUND(Grandview_Inventory[[#This Row],[det_value]]*Lookups!$M$28,-2)</f>
        <v>0</v>
      </c>
      <c r="CC1397">
        <f>IF(ROUND(Grandview_Inventory[[#This Row],[adj_res]]*Lookups!$M$28,-2)&lt;Grandview_Inventory[[#This Row],[min_res]],Grandview_Inventory[[#This Row],[min_res]],ROUND(Grandview_Inventory[[#This Row],[adj_res]]*Lookups!$M$28,-2))</f>
        <v>209600</v>
      </c>
      <c r="CD1397">
        <f>Grandview_Inventory[[#This Row],[final_det]]+Grandview_Inventory[[#This Row],[final_res]]</f>
        <v>209600</v>
      </c>
      <c r="CE1397">
        <f>Grandview_Inventory[[#This Row],[final_land]]+Grandview_Inventory[[#This Row],[final_imp]]+Grandview_Inventory[[#This Row],[crop_value]]</f>
        <v>254800</v>
      </c>
      <c r="CG1397" t="str">
        <f t="shared" si="21"/>
        <v>update valuation set market_land =45200, market_bldg=209600, market_total =254800, market_mdno =401, market_date ='9/10/2023' where link_id = (select link_id from parcel where parcel_year = '2024' and parcel_id = '23092314536');</v>
      </c>
    </row>
    <row r="1398" spans="1:85" x14ac:dyDescent="0.25">
      <c r="A1398">
        <v>23092314537</v>
      </c>
      <c r="B1398">
        <v>0.2</v>
      </c>
      <c r="C1398">
        <v>8850</v>
      </c>
      <c r="D1398" t="s">
        <v>129</v>
      </c>
      <c r="E1398" t="s">
        <v>53</v>
      </c>
      <c r="F1398" t="s">
        <v>53</v>
      </c>
      <c r="G1398">
        <v>4</v>
      </c>
      <c r="H1398" t="s">
        <v>54</v>
      </c>
      <c r="I1398">
        <v>130200</v>
      </c>
      <c r="J1398">
        <v>39800</v>
      </c>
      <c r="K1398">
        <v>0.2</v>
      </c>
      <c r="L139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398">
        <v>0</v>
      </c>
      <c r="N1398">
        <v>0</v>
      </c>
      <c r="O1398">
        <v>0</v>
      </c>
      <c r="P1398">
        <v>13398.7528</v>
      </c>
      <c r="Q1398">
        <v>63903</v>
      </c>
      <c r="R1398">
        <f>(Grandview_Inventory[[#This Row],[ln_acres]]*Grandview_Inventory[[#This Row],[coeff]])+Grandview_Inventory[[#This Row],[const]]</f>
        <v>42338.539264347448</v>
      </c>
      <c r="S1398" t="s">
        <v>61</v>
      </c>
      <c r="T1398">
        <v>1</v>
      </c>
      <c r="U1398" t="s">
        <v>65</v>
      </c>
      <c r="V1398" t="s">
        <v>69</v>
      </c>
      <c r="W1398">
        <v>0</v>
      </c>
      <c r="X1398">
        <v>0</v>
      </c>
      <c r="Y1398">
        <v>45</v>
      </c>
      <c r="Z1398">
        <v>52</v>
      </c>
      <c r="AA1398">
        <v>60</v>
      </c>
      <c r="AB1398">
        <v>1500</v>
      </c>
      <c r="AC1398">
        <v>1208</v>
      </c>
      <c r="AD1398">
        <v>1208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240</v>
      </c>
      <c r="AL1398">
        <v>0</v>
      </c>
      <c r="AM1398">
        <v>0</v>
      </c>
      <c r="AN1398">
        <v>24</v>
      </c>
      <c r="AO1398">
        <v>0</v>
      </c>
      <c r="AP1398">
        <v>5</v>
      </c>
      <c r="AQ1398">
        <v>0</v>
      </c>
      <c r="AR1398">
        <v>0</v>
      </c>
      <c r="AS1398" t="s">
        <v>58</v>
      </c>
      <c r="AT1398">
        <v>1</v>
      </c>
      <c r="AU1398" t="s">
        <v>63</v>
      </c>
      <c r="AV1398" t="s">
        <v>64</v>
      </c>
      <c r="AW1398">
        <v>0</v>
      </c>
      <c r="AX1398">
        <v>4</v>
      </c>
      <c r="AY1398">
        <v>0</v>
      </c>
      <c r="AZ1398">
        <v>0</v>
      </c>
      <c r="BA1398">
        <v>100</v>
      </c>
      <c r="BB1398">
        <v>100</v>
      </c>
      <c r="BC1398">
        <v>100</v>
      </c>
      <c r="BD1398">
        <v>100</v>
      </c>
      <c r="BE1398">
        <v>1</v>
      </c>
      <c r="BF1398">
        <v>15000</v>
      </c>
      <c r="BG1398">
        <v>1000</v>
      </c>
      <c r="BH1398" s="6">
        <f>Grandview_Inventory[[#This Row],[land_extract]]*Lookups!$B$3</f>
        <v>49167.631333630678</v>
      </c>
      <c r="BI1398" s="6">
        <f>IF(Grandview_Inventory[[#This Row],[bldg_style]]="",0,Lookups!$B$2)</f>
        <v>155833.95000000001</v>
      </c>
      <c r="BJ1398" s="6">
        <f>_xlfn.IFNA(VLOOKUP(Grandview_Inventory[[#This Row],[quality]],Lookups!$H$2:$J$14,3,FALSE),0)</f>
        <v>2251</v>
      </c>
      <c r="BK1398" s="6">
        <f>_xlfn.IFNA(VLOOKUP(Grandview_Inventory[[#This Row],[condition]],Lookups!$H$17:$J$24,3,FALSE),0)</f>
        <v>-4503</v>
      </c>
      <c r="BL1398" s="6">
        <f>Grandview_Inventory[[#This Row],[Eff_Age]]*Lookups!$B$14</f>
        <v>-10762.496999999999</v>
      </c>
      <c r="BM1398" s="6">
        <f>Grandview_Inventory[[#This Row],[living_area]]*Lookups!$B$15</f>
        <v>75356.070424000005</v>
      </c>
      <c r="BN1398" s="6">
        <f>Grandview_Inventory[[#This Row],[Fin BSMT]]*Lookups!$B$16</f>
        <v>0</v>
      </c>
      <c r="BO1398" s="6">
        <f>(Grandview_Inventory[[#This Row],[att_gar]]+Grandview_Inventory[[#This Row],[bltin_gar]])*Lookups!$B$17</f>
        <v>0</v>
      </c>
      <c r="BP1398" s="6">
        <f>Grandview_Inventory[[#This Row],[Plumbing Fixtures]]*Lookups!$B$18</f>
        <v>10052.209000000001</v>
      </c>
      <c r="BQ1398" s="6">
        <f>Grandview_Inventory[[#This Row],[detatched_value]]*Lookups!$B$19</f>
        <v>0</v>
      </c>
      <c r="BR1398" s="6">
        <f>SUM(Grandview_Inventory[[#This Row],[Intercept]:[det_value]])*Grandview_Inventory[[#This Row],[res_pct]]</f>
        <v>228227.73242400002</v>
      </c>
      <c r="BS1398" s="6">
        <f>Grandview_Inventory[[#This Row],[land_value]]</f>
        <v>49167.631333630678</v>
      </c>
      <c r="BT1398" s="4">
        <f>_xlfn.IFNA(VLOOKUP(Grandview_Inventory[[#This Row],[quality]],Lookups!$A$26:$C$33,3,FALSE),1)</f>
        <v>0.98763855981004833</v>
      </c>
      <c r="BU1398" s="4">
        <f>_xlfn.IFNA(VLOOKUP(Grandview_Inventory[[#This Row],[condition]],Lookups!$A$37:$C$44,3,FALSE),1)</f>
        <v>0.96469275950863709</v>
      </c>
      <c r="BV1398" s="4">
        <f>IF(Grandview_Inventory[[#This Row],[bldg_style]]="",1,_xlfn.IFNA(VLOOKUP(Grandview_Inventory[[#This Row],[decade]],Lookups!$F$29:$H$43,3,FALSE),1))</f>
        <v>0.95268620544463312</v>
      </c>
      <c r="BW1398" s="4">
        <f>_xlfn.IFNA(VLOOKUP(Grandview_Inventory[[#This Row],[living_area_range]],Lookups!$F$47:$H$56,3,FALSE),1)</f>
        <v>0.96135087979789358</v>
      </c>
      <c r="BX1398" s="4">
        <f>AVERAGE(Grandview_Inventory[[#This Row],[qual_adj]:[size_adj]])</f>
        <v>0.96659210114030303</v>
      </c>
      <c r="BY1398" s="6">
        <f>IF(Grandview_Inventory[[#This Row],[pre_res]]&lt;0,0,Grandview_Inventory[[#This Row],[pre_res]]*Grandview_Inventory[[#This Row],[overall_adj]])</f>
        <v>220603.12342220105</v>
      </c>
      <c r="BZ1398" s="6">
        <f>(Grandview_Inventory[[#This Row],[sum_land]]-IF(Grandview_Inventory[[#This Row],[no_utilities]]=1,12000,0))/IF(Grandview_Inventory[[#This Row],[unbuildable]]=1,2,1)</f>
        <v>49167.631333630678</v>
      </c>
      <c r="CA139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398">
        <f>ROUND(Grandview_Inventory[[#This Row],[det_value]]*Lookups!$M$28,-2)</f>
        <v>0</v>
      </c>
      <c r="CC1398">
        <f>IF(ROUND(Grandview_Inventory[[#This Row],[adj_res]]*Lookups!$M$28,-2)&lt;Grandview_Inventory[[#This Row],[min_res]],Grandview_Inventory[[#This Row],[min_res]],ROUND(Grandview_Inventory[[#This Row],[adj_res]]*Lookups!$M$28,-2))</f>
        <v>209600</v>
      </c>
      <c r="CD1398">
        <f>Grandview_Inventory[[#This Row],[final_det]]+Grandview_Inventory[[#This Row],[final_res]]</f>
        <v>209600</v>
      </c>
      <c r="CE1398">
        <f>Grandview_Inventory[[#This Row],[final_land]]+Grandview_Inventory[[#This Row],[final_imp]]+Grandview_Inventory[[#This Row],[crop_value]]</f>
        <v>256300</v>
      </c>
      <c r="CG1398" t="str">
        <f t="shared" si="21"/>
        <v>update valuation set market_land =46700, market_bldg=209600, market_total =256300, market_mdno =401, market_date ='9/10/2023' where link_id = (select link_id from parcel where parcel_year = '2024' and parcel_id = '23092314537');</v>
      </c>
    </row>
    <row r="1399" spans="1:85" x14ac:dyDescent="0.25">
      <c r="A1399">
        <v>23092314538</v>
      </c>
      <c r="B1399">
        <v>0.31</v>
      </c>
      <c r="C1399">
        <v>13685</v>
      </c>
      <c r="D1399" t="s">
        <v>129</v>
      </c>
      <c r="E1399" t="s">
        <v>53</v>
      </c>
      <c r="F1399" t="s">
        <v>53</v>
      </c>
      <c r="G1399">
        <v>4</v>
      </c>
      <c r="H1399" t="s">
        <v>54</v>
      </c>
      <c r="I1399">
        <v>146900</v>
      </c>
      <c r="J1399">
        <v>41600</v>
      </c>
      <c r="K1399">
        <v>0.31</v>
      </c>
      <c r="L1399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399">
        <v>0</v>
      </c>
      <c r="N1399">
        <v>0</v>
      </c>
      <c r="O1399">
        <v>0</v>
      </c>
      <c r="P1399">
        <v>13398.7528</v>
      </c>
      <c r="Q1399">
        <v>63903</v>
      </c>
      <c r="R1399">
        <f>(Grandview_Inventory[[#This Row],[ln_acres]]*Grandview_Inventory[[#This Row],[coeff]])+Grandview_Inventory[[#This Row],[const]]</f>
        <v>48210.608747275066</v>
      </c>
      <c r="S1399" t="s">
        <v>55</v>
      </c>
      <c r="T1399">
        <v>2</v>
      </c>
      <c r="U1399" t="s">
        <v>65</v>
      </c>
      <c r="V1399" t="s">
        <v>78</v>
      </c>
      <c r="W1399">
        <v>0</v>
      </c>
      <c r="X1399">
        <v>0</v>
      </c>
      <c r="Y1399">
        <v>57</v>
      </c>
      <c r="Z1399">
        <v>103</v>
      </c>
      <c r="AA1399">
        <v>110</v>
      </c>
      <c r="AB1399">
        <v>2000</v>
      </c>
      <c r="AC1399">
        <v>1815</v>
      </c>
      <c r="AD1399">
        <v>1164</v>
      </c>
      <c r="AE1399">
        <v>651</v>
      </c>
      <c r="AF1399">
        <v>0</v>
      </c>
      <c r="AG1399">
        <v>0</v>
      </c>
      <c r="AH1399">
        <v>291</v>
      </c>
      <c r="AI1399">
        <v>0</v>
      </c>
      <c r="AJ1399">
        <v>0</v>
      </c>
      <c r="AK1399">
        <v>276</v>
      </c>
      <c r="AL1399">
        <v>0</v>
      </c>
      <c r="AM1399">
        <v>105</v>
      </c>
      <c r="AN1399">
        <v>323</v>
      </c>
      <c r="AO1399">
        <v>0</v>
      </c>
      <c r="AP1399">
        <v>8</v>
      </c>
      <c r="AQ1399">
        <v>0</v>
      </c>
      <c r="AR1399">
        <v>1</v>
      </c>
      <c r="AS1399" t="s">
        <v>58</v>
      </c>
      <c r="AT1399">
        <v>1</v>
      </c>
      <c r="AU1399" t="s">
        <v>63</v>
      </c>
      <c r="AV1399" t="s">
        <v>81</v>
      </c>
      <c r="AW1399">
        <v>0</v>
      </c>
      <c r="AX1399">
        <v>3</v>
      </c>
      <c r="AY1399">
        <v>0</v>
      </c>
      <c r="AZ1399">
        <v>0</v>
      </c>
      <c r="BA1399">
        <v>100</v>
      </c>
      <c r="BB1399">
        <v>100</v>
      </c>
      <c r="BC1399">
        <v>100</v>
      </c>
      <c r="BD1399">
        <v>100</v>
      </c>
      <c r="BE1399">
        <v>1</v>
      </c>
      <c r="BF1399">
        <v>15000</v>
      </c>
      <c r="BG1399">
        <v>1000</v>
      </c>
      <c r="BH1399" s="6">
        <f>Grandview_Inventory[[#This Row],[land_extract]]*Lookups!$B$3</f>
        <v>55986.849769566914</v>
      </c>
      <c r="BI1399" s="6">
        <f>IF(Grandview_Inventory[[#This Row],[bldg_style]]="",0,Lookups!$B$2)</f>
        <v>155833.95000000001</v>
      </c>
      <c r="BJ1399" s="6">
        <f>_xlfn.IFNA(VLOOKUP(Grandview_Inventory[[#This Row],[quality]],Lookups!$H$2:$J$14,3,FALSE),0)</f>
        <v>2251</v>
      </c>
      <c r="BK1399" s="6">
        <f>_xlfn.IFNA(VLOOKUP(Grandview_Inventory[[#This Row],[condition]],Lookups!$H$17:$J$24,3,FALSE),0)</f>
        <v>-45357</v>
      </c>
      <c r="BL1399" s="6">
        <f>Grandview_Inventory[[#This Row],[Eff_Age]]*Lookups!$B$14</f>
        <v>-13632.4962</v>
      </c>
      <c r="BM1399" s="6">
        <f>Grandview_Inventory[[#This Row],[living_area]]*Lookups!$B$15</f>
        <v>113221.24819500001</v>
      </c>
      <c r="BN1399" s="6">
        <f>Grandview_Inventory[[#This Row],[Fin BSMT]]*Lookups!$B$16</f>
        <v>0</v>
      </c>
      <c r="BO1399" s="6">
        <f>(Grandview_Inventory[[#This Row],[att_gar]]+Grandview_Inventory[[#This Row],[bltin_gar]])*Lookups!$B$17</f>
        <v>0</v>
      </c>
      <c r="BP1399" s="6">
        <f>Grandview_Inventory[[#This Row],[Plumbing Fixtures]]*Lookups!$B$18</f>
        <v>16083.5344</v>
      </c>
      <c r="BQ1399" s="6">
        <f>Grandview_Inventory[[#This Row],[detatched_value]]*Lookups!$B$19</f>
        <v>0</v>
      </c>
      <c r="BR1399" s="6">
        <f>SUM(Grandview_Inventory[[#This Row],[Intercept]:[det_value]])*Grandview_Inventory[[#This Row],[res_pct]]</f>
        <v>228400.23639500001</v>
      </c>
      <c r="BS1399" s="6">
        <f>Grandview_Inventory[[#This Row],[land_value]]</f>
        <v>55986.849769566914</v>
      </c>
      <c r="BT1399" s="4">
        <f>_xlfn.IFNA(VLOOKUP(Grandview_Inventory[[#This Row],[quality]],Lookups!$A$26:$C$33,3,FALSE),1)</f>
        <v>0.98763855981004833</v>
      </c>
      <c r="BU1399" s="4">
        <f>_xlfn.IFNA(VLOOKUP(Grandview_Inventory[[#This Row],[condition]],Lookups!$A$37:$C$44,3,FALSE),1)</f>
        <v>0.97161819570155394</v>
      </c>
      <c r="BV1399" s="4">
        <f>IF(Grandview_Inventory[[#This Row],[bldg_style]]="",1,_xlfn.IFNA(VLOOKUP(Grandview_Inventory[[#This Row],[decade]],Lookups!$F$29:$H$43,3,FALSE),1))</f>
        <v>0.92255236374249616</v>
      </c>
      <c r="BW1399" s="4">
        <f>_xlfn.IFNA(VLOOKUP(Grandview_Inventory[[#This Row],[living_area_range]],Lookups!$F$47:$H$56,3,FALSE),1)</f>
        <v>0.96120133463014379</v>
      </c>
      <c r="BX1399" s="4">
        <f>AVERAGE(Grandview_Inventory[[#This Row],[qual_adj]:[size_adj]])</f>
        <v>0.96075261347106067</v>
      </c>
      <c r="BY1399" s="6">
        <f>IF(Grandview_Inventory[[#This Row],[pre_res]]&lt;0,0,Grandview_Inventory[[#This Row],[pre_res]]*Grandview_Inventory[[#This Row],[overall_adj]])</f>
        <v>219436.12403390434</v>
      </c>
      <c r="BZ1399" s="6">
        <f>(Grandview_Inventory[[#This Row],[sum_land]]-IF(Grandview_Inventory[[#This Row],[no_utilities]]=1,12000,0))/IF(Grandview_Inventory[[#This Row],[unbuildable]]=1,2,1)</f>
        <v>55986.849769566914</v>
      </c>
      <c r="CA1399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399">
        <f>ROUND(Grandview_Inventory[[#This Row],[det_value]]*Lookups!$M$28,-2)</f>
        <v>0</v>
      </c>
      <c r="CC1399">
        <f>IF(ROUND(Grandview_Inventory[[#This Row],[adj_res]]*Lookups!$M$28,-2)&lt;Grandview_Inventory[[#This Row],[min_res]],Grandview_Inventory[[#This Row],[min_res]],ROUND(Grandview_Inventory[[#This Row],[adj_res]]*Lookups!$M$28,-2))</f>
        <v>208500</v>
      </c>
      <c r="CD1399">
        <f>Grandview_Inventory[[#This Row],[final_det]]+Grandview_Inventory[[#This Row],[final_res]]</f>
        <v>208500</v>
      </c>
      <c r="CE1399">
        <f>Grandview_Inventory[[#This Row],[final_land]]+Grandview_Inventory[[#This Row],[final_imp]]+Grandview_Inventory[[#This Row],[crop_value]]</f>
        <v>261700</v>
      </c>
      <c r="CG1399" t="str">
        <f t="shared" si="21"/>
        <v>update valuation set market_land =53200, market_bldg=208500, market_total =261700, market_mdno =401, market_date ='9/10/2023' where link_id = (select link_id from parcel where parcel_year = '2024' and parcel_id = '23092314538');</v>
      </c>
    </row>
    <row r="1400" spans="1:85" x14ac:dyDescent="0.25">
      <c r="A1400">
        <v>23092314539</v>
      </c>
      <c r="B1400">
        <v>0.21</v>
      </c>
      <c r="C1400">
        <v>9318</v>
      </c>
      <c r="D1400" t="s">
        <v>129</v>
      </c>
      <c r="E1400" t="s">
        <v>53</v>
      </c>
      <c r="F1400" t="s">
        <v>53</v>
      </c>
      <c r="G1400">
        <v>4</v>
      </c>
      <c r="H1400" t="s">
        <v>54</v>
      </c>
      <c r="I1400">
        <v>142800</v>
      </c>
      <c r="J1400">
        <v>39800</v>
      </c>
      <c r="K1400">
        <v>0.21</v>
      </c>
      <c r="L140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400">
        <v>0</v>
      </c>
      <c r="N1400">
        <v>0</v>
      </c>
      <c r="O1400">
        <v>0</v>
      </c>
      <c r="P1400">
        <v>13398.7528</v>
      </c>
      <c r="Q1400">
        <v>63903</v>
      </c>
      <c r="R1400">
        <f>(Grandview_Inventory[[#This Row],[ln_acres]]*Grandview_Inventory[[#This Row],[coeff]])+Grandview_Inventory[[#This Row],[const]]</f>
        <v>42992.266613125081</v>
      </c>
      <c r="S1400" t="s">
        <v>68</v>
      </c>
      <c r="T1400">
        <v>1</v>
      </c>
      <c r="U1400" t="s">
        <v>65</v>
      </c>
      <c r="V1400" t="s">
        <v>69</v>
      </c>
      <c r="W1400">
        <v>0</v>
      </c>
      <c r="X1400">
        <v>0</v>
      </c>
      <c r="Y1400">
        <v>51</v>
      </c>
      <c r="Z1400">
        <v>78</v>
      </c>
      <c r="AA1400">
        <v>80</v>
      </c>
      <c r="AB1400">
        <v>1500</v>
      </c>
      <c r="AC1400">
        <v>1383</v>
      </c>
      <c r="AD1400">
        <v>922</v>
      </c>
      <c r="AE1400">
        <v>0</v>
      </c>
      <c r="AF1400">
        <v>0</v>
      </c>
      <c r="AG1400">
        <v>461</v>
      </c>
      <c r="AH1400">
        <v>461</v>
      </c>
      <c r="AI1400">
        <v>0</v>
      </c>
      <c r="AJ1400">
        <v>0</v>
      </c>
      <c r="AK1400">
        <v>540</v>
      </c>
      <c r="AL1400">
        <v>0</v>
      </c>
      <c r="AM1400">
        <v>0</v>
      </c>
      <c r="AN1400">
        <v>20</v>
      </c>
      <c r="AO1400">
        <v>0</v>
      </c>
      <c r="AP1400">
        <v>7</v>
      </c>
      <c r="AQ1400">
        <v>0</v>
      </c>
      <c r="AR1400">
        <v>1</v>
      </c>
      <c r="AS1400" t="s">
        <v>58</v>
      </c>
      <c r="AT1400">
        <v>1</v>
      </c>
      <c r="AU1400" t="s">
        <v>63</v>
      </c>
      <c r="AV1400" t="s">
        <v>81</v>
      </c>
      <c r="AW1400">
        <v>0</v>
      </c>
      <c r="AX1400">
        <v>2</v>
      </c>
      <c r="AY1400">
        <v>0</v>
      </c>
      <c r="AZ1400">
        <v>7100</v>
      </c>
      <c r="BA1400">
        <v>100</v>
      </c>
      <c r="BB1400">
        <v>100</v>
      </c>
      <c r="BC1400">
        <v>100</v>
      </c>
      <c r="BD1400">
        <v>100</v>
      </c>
      <c r="BE1400">
        <v>1</v>
      </c>
      <c r="BF1400">
        <v>15000</v>
      </c>
      <c r="BG1400">
        <v>1000</v>
      </c>
      <c r="BH1400" s="6">
        <f>Grandview_Inventory[[#This Row],[land_extract]]*Lookups!$B$3</f>
        <v>49926.8031387023</v>
      </c>
      <c r="BI1400" s="6">
        <f>IF(Grandview_Inventory[[#This Row],[bldg_style]]="",0,Lookups!$B$2)</f>
        <v>155833.95000000001</v>
      </c>
      <c r="BJ1400" s="6">
        <f>_xlfn.IFNA(VLOOKUP(Grandview_Inventory[[#This Row],[quality]],Lookups!$H$2:$J$14,3,FALSE),0)</f>
        <v>2251</v>
      </c>
      <c r="BK1400" s="6">
        <f>_xlfn.IFNA(VLOOKUP(Grandview_Inventory[[#This Row],[condition]],Lookups!$H$17:$J$24,3,FALSE),0)</f>
        <v>-4503</v>
      </c>
      <c r="BL1400" s="6">
        <f>Grandview_Inventory[[#This Row],[Eff_Age]]*Lookups!$B$14</f>
        <v>-12197.496599999999</v>
      </c>
      <c r="BM1400" s="6">
        <f>Grandview_Inventory[[#This Row],[living_area]]*Lookups!$B$15</f>
        <v>86272.719699000008</v>
      </c>
      <c r="BN1400" s="6">
        <f>Grandview_Inventory[[#This Row],[Fin BSMT]]*Lookups!$B$16</f>
        <v>-12492.74964</v>
      </c>
      <c r="BO1400" s="6">
        <f>(Grandview_Inventory[[#This Row],[att_gar]]+Grandview_Inventory[[#This Row],[bltin_gar]])*Lookups!$B$17</f>
        <v>0</v>
      </c>
      <c r="BP1400" s="6">
        <f>Grandview_Inventory[[#This Row],[Plumbing Fixtures]]*Lookups!$B$18</f>
        <v>14073.0926</v>
      </c>
      <c r="BQ1400" s="6">
        <f>Grandview_Inventory[[#This Row],[detatched_value]]*Lookups!$B$19</f>
        <v>6012.31621</v>
      </c>
      <c r="BR1400" s="6">
        <f>SUM(Grandview_Inventory[[#This Row],[Intercept]:[det_value]])*Grandview_Inventory[[#This Row],[res_pct]]</f>
        <v>235249.83226900001</v>
      </c>
      <c r="BS1400" s="6">
        <f>Grandview_Inventory[[#This Row],[land_value]]</f>
        <v>49926.8031387023</v>
      </c>
      <c r="BT1400" s="4">
        <f>_xlfn.IFNA(VLOOKUP(Grandview_Inventory[[#This Row],[quality]],Lookups!$A$26:$C$33,3,FALSE),1)</f>
        <v>0.98763855981004833</v>
      </c>
      <c r="BU1400" s="4">
        <f>_xlfn.IFNA(VLOOKUP(Grandview_Inventory[[#This Row],[condition]],Lookups!$A$37:$C$44,3,FALSE),1)</f>
        <v>0.96469275950863709</v>
      </c>
      <c r="BV1400" s="4">
        <f>IF(Grandview_Inventory[[#This Row],[bldg_style]]="",1,_xlfn.IFNA(VLOOKUP(Grandview_Inventory[[#This Row],[decade]],Lookups!$F$29:$H$43,3,FALSE),1))</f>
        <v>0.98763256963907298</v>
      </c>
      <c r="BW1400" s="4">
        <f>_xlfn.IFNA(VLOOKUP(Grandview_Inventory[[#This Row],[living_area_range]],Lookups!$F$47:$H$56,3,FALSE),1)</f>
        <v>0.96135087979789358</v>
      </c>
      <c r="BX1400" s="4">
        <f>AVERAGE(Grandview_Inventory[[#This Row],[qual_adj]:[size_adj]])</f>
        <v>0.97532869218891294</v>
      </c>
      <c r="BY1400" s="6">
        <f>IF(Grandview_Inventory[[#This Row],[pre_res]]&lt;0,0,Grandview_Inventory[[#This Row],[pre_res]]*Grandview_Inventory[[#This Row],[overall_adj]])</f>
        <v>229445.91124458492</v>
      </c>
      <c r="BZ1400" s="6">
        <f>(Grandview_Inventory[[#This Row],[sum_land]]-IF(Grandview_Inventory[[#This Row],[no_utilities]]=1,12000,0))/IF(Grandview_Inventory[[#This Row],[unbuildable]]=1,2,1)</f>
        <v>49926.8031387023</v>
      </c>
      <c r="CA140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400">
        <f>ROUND(Grandview_Inventory[[#This Row],[det_value]]*Lookups!$M$28,-2)</f>
        <v>5700</v>
      </c>
      <c r="CC1400">
        <f>IF(ROUND(Grandview_Inventory[[#This Row],[adj_res]]*Lookups!$M$28,-2)&lt;Grandview_Inventory[[#This Row],[min_res]],Grandview_Inventory[[#This Row],[min_res]],ROUND(Grandview_Inventory[[#This Row],[adj_res]]*Lookups!$M$28,-2))</f>
        <v>218000</v>
      </c>
      <c r="CD1400">
        <f>Grandview_Inventory[[#This Row],[final_det]]+Grandview_Inventory[[#This Row],[final_res]]</f>
        <v>223700</v>
      </c>
      <c r="CE1400">
        <f>Grandview_Inventory[[#This Row],[final_land]]+Grandview_Inventory[[#This Row],[final_imp]]+Grandview_Inventory[[#This Row],[crop_value]]</f>
        <v>271100</v>
      </c>
      <c r="CG1400" t="str">
        <f t="shared" si="21"/>
        <v>update valuation set market_land =47400, market_bldg=223700, market_total =271100, market_mdno =401, market_date ='9/10/2023' where link_id = (select link_id from parcel where parcel_year = '2024' and parcel_id = '23092314539');</v>
      </c>
    </row>
    <row r="1401" spans="1:85" x14ac:dyDescent="0.25">
      <c r="A1401">
        <v>23092314540</v>
      </c>
      <c r="B1401">
        <v>0.3</v>
      </c>
      <c r="C1401">
        <v>12993</v>
      </c>
      <c r="D1401" t="s">
        <v>129</v>
      </c>
      <c r="E1401" t="s">
        <v>53</v>
      </c>
      <c r="F1401" t="s">
        <v>53</v>
      </c>
      <c r="G1401">
        <v>4</v>
      </c>
      <c r="H1401" t="s">
        <v>54</v>
      </c>
      <c r="I1401">
        <v>158900</v>
      </c>
      <c r="J1401">
        <v>41200</v>
      </c>
      <c r="K1401">
        <v>0.3</v>
      </c>
      <c r="L1401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1401">
        <v>0</v>
      </c>
      <c r="N1401">
        <v>0</v>
      </c>
      <c r="O1401">
        <v>0</v>
      </c>
      <c r="P1401">
        <v>13398.7528</v>
      </c>
      <c r="Q1401">
        <v>63903</v>
      </c>
      <c r="R1401">
        <f>(Grandview_Inventory[[#This Row],[ln_acres]]*Grandview_Inventory[[#This Row],[coeff]])+Grandview_Inventory[[#This Row],[const]]</f>
        <v>47771.266016914014</v>
      </c>
      <c r="S1401" t="s">
        <v>85</v>
      </c>
      <c r="T1401">
        <v>1</v>
      </c>
      <c r="U1401" t="s">
        <v>65</v>
      </c>
      <c r="V1401" t="s">
        <v>69</v>
      </c>
      <c r="W1401">
        <v>0</v>
      </c>
      <c r="X1401">
        <v>0</v>
      </c>
      <c r="Y1401">
        <v>51</v>
      </c>
      <c r="Z1401">
        <v>78</v>
      </c>
      <c r="AA1401">
        <v>80</v>
      </c>
      <c r="AB1401">
        <v>2000</v>
      </c>
      <c r="AC1401">
        <v>1761</v>
      </c>
      <c r="AD1401">
        <v>1171</v>
      </c>
      <c r="AE1401">
        <v>0</v>
      </c>
      <c r="AF1401">
        <v>0</v>
      </c>
      <c r="AG1401">
        <v>590</v>
      </c>
      <c r="AH1401">
        <v>581</v>
      </c>
      <c r="AI1401">
        <v>0</v>
      </c>
      <c r="AJ1401">
        <v>0</v>
      </c>
      <c r="AK1401">
        <v>0</v>
      </c>
      <c r="AL1401">
        <v>0</v>
      </c>
      <c r="AM1401">
        <v>216</v>
      </c>
      <c r="AN1401">
        <v>0</v>
      </c>
      <c r="AO1401">
        <v>216</v>
      </c>
      <c r="AP1401">
        <v>9</v>
      </c>
      <c r="AQ1401">
        <v>0</v>
      </c>
      <c r="AR1401">
        <v>1</v>
      </c>
      <c r="AS1401" t="s">
        <v>58</v>
      </c>
      <c r="AT1401">
        <v>1</v>
      </c>
      <c r="AU1401" t="s">
        <v>63</v>
      </c>
      <c r="AV1401" t="s">
        <v>64</v>
      </c>
      <c r="AW1401">
        <v>1</v>
      </c>
      <c r="AX1401">
        <v>3</v>
      </c>
      <c r="AY1401">
        <v>0</v>
      </c>
      <c r="AZ1401">
        <v>0</v>
      </c>
      <c r="BA1401">
        <v>100</v>
      </c>
      <c r="BB1401">
        <v>100</v>
      </c>
      <c r="BC1401">
        <v>100</v>
      </c>
      <c r="BD1401">
        <v>100</v>
      </c>
      <c r="BE1401">
        <v>1</v>
      </c>
      <c r="BF1401">
        <v>15000</v>
      </c>
      <c r="BG1401">
        <v>1000</v>
      </c>
      <c r="BH1401" s="6">
        <f>Grandview_Inventory[[#This Row],[land_extract]]*Lookups!$B$3</f>
        <v>55476.642243023998</v>
      </c>
      <c r="BI1401" s="6">
        <f>IF(Grandview_Inventory[[#This Row],[bldg_style]]="",0,Lookups!$B$2)</f>
        <v>155833.95000000001</v>
      </c>
      <c r="BJ1401" s="6">
        <f>_xlfn.IFNA(VLOOKUP(Grandview_Inventory[[#This Row],[quality]],Lookups!$H$2:$J$14,3,FALSE),0)</f>
        <v>2251</v>
      </c>
      <c r="BK1401" s="6">
        <f>_xlfn.IFNA(VLOOKUP(Grandview_Inventory[[#This Row],[condition]],Lookups!$H$17:$J$24,3,FALSE),0)</f>
        <v>-4503</v>
      </c>
      <c r="BL1401" s="6">
        <f>Grandview_Inventory[[#This Row],[Eff_Age]]*Lookups!$B$14</f>
        <v>-12197.496599999999</v>
      </c>
      <c r="BM1401" s="6">
        <f>Grandview_Inventory[[#This Row],[living_area]]*Lookups!$B$15</f>
        <v>109852.68213300001</v>
      </c>
      <c r="BN1401" s="6">
        <f>Grandview_Inventory[[#This Row],[Fin BSMT]]*Lookups!$B$16</f>
        <v>-15988.551600000001</v>
      </c>
      <c r="BO1401" s="6">
        <f>(Grandview_Inventory[[#This Row],[att_gar]]+Grandview_Inventory[[#This Row],[bltin_gar]])*Lookups!$B$17</f>
        <v>0</v>
      </c>
      <c r="BP1401" s="6">
        <f>Grandview_Inventory[[#This Row],[Plumbing Fixtures]]*Lookups!$B$18</f>
        <v>18093.976200000001</v>
      </c>
      <c r="BQ1401" s="6">
        <f>Grandview_Inventory[[#This Row],[detatched_value]]*Lookups!$B$19</f>
        <v>0</v>
      </c>
      <c r="BR1401" s="6">
        <f>SUM(Grandview_Inventory[[#This Row],[Intercept]:[det_value]])*Grandview_Inventory[[#This Row],[res_pct]]</f>
        <v>253342.56013299999</v>
      </c>
      <c r="BS1401" s="6">
        <f>Grandview_Inventory[[#This Row],[land_value]]</f>
        <v>55476.642243023998</v>
      </c>
      <c r="BT1401" s="4">
        <f>_xlfn.IFNA(VLOOKUP(Grandview_Inventory[[#This Row],[quality]],Lookups!$A$26:$C$33,3,FALSE),1)</f>
        <v>0.98763855981004833</v>
      </c>
      <c r="BU1401" s="4">
        <f>_xlfn.IFNA(VLOOKUP(Grandview_Inventory[[#This Row],[condition]],Lookups!$A$37:$C$44,3,FALSE),1)</f>
        <v>0.96469275950863709</v>
      </c>
      <c r="BV1401" s="4">
        <f>IF(Grandview_Inventory[[#This Row],[bldg_style]]="",1,_xlfn.IFNA(VLOOKUP(Grandview_Inventory[[#This Row],[decade]],Lookups!$F$29:$H$43,3,FALSE),1))</f>
        <v>0.98763256963907298</v>
      </c>
      <c r="BW1401" s="4">
        <f>_xlfn.IFNA(VLOOKUP(Grandview_Inventory[[#This Row],[living_area_range]],Lookups!$F$47:$H$56,3,FALSE),1)</f>
        <v>0.96120133463014379</v>
      </c>
      <c r="BX1401" s="4">
        <f>AVERAGE(Grandview_Inventory[[#This Row],[qual_adj]:[size_adj]])</f>
        <v>0.97529130589697544</v>
      </c>
      <c r="BY1401" s="6">
        <f>IF(Grandview_Inventory[[#This Row],[pre_res]]&lt;0,0,Grandview_Inventory[[#This Row],[pre_res]]*Grandview_Inventory[[#This Row],[overall_adj]])</f>
        <v>247082.79631139658</v>
      </c>
      <c r="BZ1401" s="6">
        <f>(Grandview_Inventory[[#This Row],[sum_land]]-IF(Grandview_Inventory[[#This Row],[no_utilities]]=1,12000,0))/IF(Grandview_Inventory[[#This Row],[unbuildable]]=1,2,1)</f>
        <v>55476.642243023998</v>
      </c>
      <c r="CA1401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1401">
        <f>ROUND(Grandview_Inventory[[#This Row],[det_value]]*Lookups!$M$28,-2)</f>
        <v>0</v>
      </c>
      <c r="CC1401">
        <f>IF(ROUND(Grandview_Inventory[[#This Row],[adj_res]]*Lookups!$M$28,-2)&lt;Grandview_Inventory[[#This Row],[min_res]],Grandview_Inventory[[#This Row],[min_res]],ROUND(Grandview_Inventory[[#This Row],[adj_res]]*Lookups!$M$28,-2))</f>
        <v>234700</v>
      </c>
      <c r="CD1401">
        <f>Grandview_Inventory[[#This Row],[final_det]]+Grandview_Inventory[[#This Row],[final_res]]</f>
        <v>234700</v>
      </c>
      <c r="CE1401">
        <f>Grandview_Inventory[[#This Row],[final_land]]+Grandview_Inventory[[#This Row],[final_imp]]+Grandview_Inventory[[#This Row],[crop_value]]</f>
        <v>287400</v>
      </c>
      <c r="CG1401" t="str">
        <f t="shared" si="21"/>
        <v>update valuation set market_land =52700, market_bldg=234700, market_total =287400, market_mdno =401, market_date ='9/10/2023' where link_id = (select link_id from parcel where parcel_year = '2024' and parcel_id = '23092314540');</v>
      </c>
    </row>
    <row r="1402" spans="1:85" x14ac:dyDescent="0.25">
      <c r="A1402">
        <v>23092314541</v>
      </c>
      <c r="B1402">
        <v>0.23</v>
      </c>
      <c r="C1402">
        <v>9995</v>
      </c>
      <c r="D1402" t="s">
        <v>129</v>
      </c>
      <c r="E1402" t="s">
        <v>53</v>
      </c>
      <c r="F1402" t="s">
        <v>53</v>
      </c>
      <c r="G1402">
        <v>4</v>
      </c>
      <c r="H1402" t="s">
        <v>54</v>
      </c>
      <c r="I1402">
        <v>164000</v>
      </c>
      <c r="J1402">
        <v>40000</v>
      </c>
      <c r="K1402">
        <v>0.23</v>
      </c>
      <c r="L140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402">
        <v>0</v>
      </c>
      <c r="N1402">
        <v>0</v>
      </c>
      <c r="O1402">
        <v>0</v>
      </c>
      <c r="P1402">
        <v>13398.7528</v>
      </c>
      <c r="Q1402">
        <v>63903</v>
      </c>
      <c r="R1402">
        <f>(Grandview_Inventory[[#This Row],[ln_acres]]*Grandview_Inventory[[#This Row],[coeff]])+Grandview_Inventory[[#This Row],[const]]</f>
        <v>44211.174981080039</v>
      </c>
      <c r="S1402" t="s">
        <v>85</v>
      </c>
      <c r="T1402">
        <v>1</v>
      </c>
      <c r="U1402" t="s">
        <v>62</v>
      </c>
      <c r="V1402" t="s">
        <v>69</v>
      </c>
      <c r="W1402">
        <v>0</v>
      </c>
      <c r="X1402">
        <v>0</v>
      </c>
      <c r="Y1402">
        <v>65</v>
      </c>
      <c r="Z1402">
        <v>113</v>
      </c>
      <c r="AA1402">
        <v>120</v>
      </c>
      <c r="AB1402">
        <v>1500</v>
      </c>
      <c r="AC1402">
        <v>1476</v>
      </c>
      <c r="AD1402">
        <v>1476</v>
      </c>
      <c r="AE1402">
        <v>0</v>
      </c>
      <c r="AF1402">
        <v>0</v>
      </c>
      <c r="AG1402">
        <v>0</v>
      </c>
      <c r="AH1402">
        <v>909</v>
      </c>
      <c r="AI1402">
        <v>192</v>
      </c>
      <c r="AJ1402">
        <v>0</v>
      </c>
      <c r="AK1402">
        <v>0</v>
      </c>
      <c r="AL1402">
        <v>0</v>
      </c>
      <c r="AM1402">
        <v>0</v>
      </c>
      <c r="AN1402">
        <v>190</v>
      </c>
      <c r="AO1402">
        <v>0</v>
      </c>
      <c r="AP1402">
        <v>8</v>
      </c>
      <c r="AQ1402">
        <v>0</v>
      </c>
      <c r="AR1402">
        <v>1</v>
      </c>
      <c r="AS1402" t="s">
        <v>58</v>
      </c>
      <c r="AT1402">
        <v>1</v>
      </c>
      <c r="AU1402" t="s">
        <v>63</v>
      </c>
      <c r="AV1402" t="s">
        <v>60</v>
      </c>
      <c r="AW1402">
        <v>0</v>
      </c>
      <c r="AX1402">
        <v>2</v>
      </c>
      <c r="AY1402">
        <v>0</v>
      </c>
      <c r="AZ1402">
        <v>7100</v>
      </c>
      <c r="BA1402">
        <v>100</v>
      </c>
      <c r="BB1402">
        <v>100</v>
      </c>
      <c r="BC1402">
        <v>100</v>
      </c>
      <c r="BD1402">
        <v>100</v>
      </c>
      <c r="BE1402">
        <v>1</v>
      </c>
      <c r="BF1402">
        <v>15000</v>
      </c>
      <c r="BG1402">
        <v>1000</v>
      </c>
      <c r="BH1402" s="6">
        <f>Grandview_Inventory[[#This Row],[land_extract]]*Lookups!$B$3</f>
        <v>51342.318135355803</v>
      </c>
      <c r="BI1402" s="6">
        <f>IF(Grandview_Inventory[[#This Row],[bldg_style]]="",0,Lookups!$B$2)</f>
        <v>155833.95000000001</v>
      </c>
      <c r="BJ1402" s="6">
        <f>_xlfn.IFNA(VLOOKUP(Grandview_Inventory[[#This Row],[quality]],Lookups!$H$2:$J$14,3,FALSE),0)</f>
        <v>9808</v>
      </c>
      <c r="BK1402" s="6">
        <f>_xlfn.IFNA(VLOOKUP(Grandview_Inventory[[#This Row],[condition]],Lookups!$H$17:$J$24,3,FALSE),0)</f>
        <v>-4503</v>
      </c>
      <c r="BL1402" s="6">
        <f>Grandview_Inventory[[#This Row],[Eff_Age]]*Lookups!$B$14</f>
        <v>-15545.829</v>
      </c>
      <c r="BM1402" s="6">
        <f>Grandview_Inventory[[#This Row],[living_area]]*Lookups!$B$15</f>
        <v>92074.139028000005</v>
      </c>
      <c r="BN1402" s="6">
        <f>Grandview_Inventory[[#This Row],[Fin BSMT]]*Lookups!$B$16</f>
        <v>0</v>
      </c>
      <c r="BO1402" s="6">
        <f>(Grandview_Inventory[[#This Row],[att_gar]]+Grandview_Inventory[[#This Row],[bltin_gar]])*Lookups!$B$17</f>
        <v>16803.923903999999</v>
      </c>
      <c r="BP1402" s="6">
        <f>Grandview_Inventory[[#This Row],[Plumbing Fixtures]]*Lookups!$B$18</f>
        <v>16083.5344</v>
      </c>
      <c r="BQ1402" s="6">
        <f>Grandview_Inventory[[#This Row],[detatched_value]]*Lookups!$B$19</f>
        <v>6012.31621</v>
      </c>
      <c r="BR1402" s="6">
        <f>SUM(Grandview_Inventory[[#This Row],[Intercept]:[det_value]])*Grandview_Inventory[[#This Row],[res_pct]]</f>
        <v>276567.03454200004</v>
      </c>
      <c r="BS1402" s="6">
        <f>Grandview_Inventory[[#This Row],[land_value]]</f>
        <v>51342.318135355803</v>
      </c>
      <c r="BT1402" s="4">
        <f>_xlfn.IFNA(VLOOKUP(Grandview_Inventory[[#This Row],[quality]],Lookups!$A$26:$C$33,3,FALSE),1)</f>
        <v>0.94295468617355149</v>
      </c>
      <c r="BU1402" s="4">
        <f>_xlfn.IFNA(VLOOKUP(Grandview_Inventory[[#This Row],[condition]],Lookups!$A$37:$C$44,3,FALSE),1)</f>
        <v>0.96469275950863709</v>
      </c>
      <c r="BV1402" s="4">
        <f>IF(Grandview_Inventory[[#This Row],[bldg_style]]="",1,_xlfn.IFNA(VLOOKUP(Grandview_Inventory[[#This Row],[decade]],Lookups!$F$29:$H$43,3,FALSE),1))</f>
        <v>0.9251738460551937</v>
      </c>
      <c r="BW1402" s="4">
        <f>_xlfn.IFNA(VLOOKUP(Grandview_Inventory[[#This Row],[living_area_range]],Lookups!$F$47:$H$56,3,FALSE),1)</f>
        <v>0.96135087979789358</v>
      </c>
      <c r="BX1402" s="4">
        <f>AVERAGE(Grandview_Inventory[[#This Row],[qual_adj]:[size_adj]])</f>
        <v>0.94854304288381897</v>
      </c>
      <c r="BY1402" s="6">
        <f>IF(Grandview_Inventory[[#This Row],[pre_res]]&lt;0,0,Grandview_Inventory[[#This Row],[pre_res]]*Grandview_Inventory[[#This Row],[overall_adj]])</f>
        <v>262335.73650582298</v>
      </c>
      <c r="BZ1402" s="6">
        <f>(Grandview_Inventory[[#This Row],[sum_land]]-IF(Grandview_Inventory[[#This Row],[no_utilities]]=1,12000,0))/IF(Grandview_Inventory[[#This Row],[unbuildable]]=1,2,1)</f>
        <v>51342.318135355803</v>
      </c>
      <c r="CA140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402">
        <f>ROUND(Grandview_Inventory[[#This Row],[det_value]]*Lookups!$M$28,-2)</f>
        <v>5700</v>
      </c>
      <c r="CC1402">
        <f>IF(ROUND(Grandview_Inventory[[#This Row],[adj_res]]*Lookups!$M$28,-2)&lt;Grandview_Inventory[[#This Row],[min_res]],Grandview_Inventory[[#This Row],[min_res]],ROUND(Grandview_Inventory[[#This Row],[adj_res]]*Lookups!$M$28,-2))</f>
        <v>249200</v>
      </c>
      <c r="CD1402">
        <f>Grandview_Inventory[[#This Row],[final_det]]+Grandview_Inventory[[#This Row],[final_res]]</f>
        <v>254900</v>
      </c>
      <c r="CE1402">
        <f>Grandview_Inventory[[#This Row],[final_land]]+Grandview_Inventory[[#This Row],[final_imp]]+Grandview_Inventory[[#This Row],[crop_value]]</f>
        <v>303700</v>
      </c>
      <c r="CG1402" t="str">
        <f t="shared" si="21"/>
        <v>update valuation set market_land =48800, market_bldg=254900, market_total =303700, market_mdno =401, market_date ='9/10/2023' where link_id = (select link_id from parcel where parcel_year = '2024' and parcel_id = '23092314541');</v>
      </c>
    </row>
    <row r="1403" spans="1:85" x14ac:dyDescent="0.25">
      <c r="A1403">
        <v>23092314543</v>
      </c>
      <c r="B1403">
        <v>0.21</v>
      </c>
      <c r="C1403">
        <v>9260</v>
      </c>
      <c r="D1403" t="s">
        <v>129</v>
      </c>
      <c r="E1403" t="s">
        <v>53</v>
      </c>
      <c r="F1403" t="s">
        <v>53</v>
      </c>
      <c r="G1403">
        <v>4</v>
      </c>
      <c r="H1403" t="s">
        <v>54</v>
      </c>
      <c r="I1403">
        <v>173700</v>
      </c>
      <c r="J1403">
        <v>39800</v>
      </c>
      <c r="K1403">
        <v>0.21</v>
      </c>
      <c r="L140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403">
        <v>0</v>
      </c>
      <c r="N1403">
        <v>0</v>
      </c>
      <c r="O1403">
        <v>0</v>
      </c>
      <c r="P1403">
        <v>13398.7528</v>
      </c>
      <c r="Q1403">
        <v>63903</v>
      </c>
      <c r="R1403">
        <f>(Grandview_Inventory[[#This Row],[ln_acres]]*Grandview_Inventory[[#This Row],[coeff]])+Grandview_Inventory[[#This Row],[const]]</f>
        <v>42992.266613125081</v>
      </c>
      <c r="S1403" t="s">
        <v>85</v>
      </c>
      <c r="T1403">
        <v>1</v>
      </c>
      <c r="U1403" t="s">
        <v>65</v>
      </c>
      <c r="V1403" t="s">
        <v>69</v>
      </c>
      <c r="W1403">
        <v>0</v>
      </c>
      <c r="X1403">
        <v>0</v>
      </c>
      <c r="Y1403">
        <v>57</v>
      </c>
      <c r="Z1403">
        <v>102</v>
      </c>
      <c r="AA1403">
        <v>110</v>
      </c>
      <c r="AB1403">
        <v>2000</v>
      </c>
      <c r="AC1403">
        <v>1638</v>
      </c>
      <c r="AD1403">
        <v>1638</v>
      </c>
      <c r="AE1403">
        <v>0</v>
      </c>
      <c r="AF1403">
        <v>0</v>
      </c>
      <c r="AG1403">
        <v>0</v>
      </c>
      <c r="AH1403">
        <v>312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208</v>
      </c>
      <c r="AO1403">
        <v>0</v>
      </c>
      <c r="AP1403">
        <v>8</v>
      </c>
      <c r="AQ1403">
        <v>1</v>
      </c>
      <c r="AR1403">
        <v>1</v>
      </c>
      <c r="AS1403" t="s">
        <v>58</v>
      </c>
      <c r="AT1403">
        <v>1</v>
      </c>
      <c r="AU1403" t="s">
        <v>63</v>
      </c>
      <c r="AV1403" t="s">
        <v>60</v>
      </c>
      <c r="AW1403">
        <v>0</v>
      </c>
      <c r="AX1403">
        <v>3</v>
      </c>
      <c r="AY1403">
        <v>0</v>
      </c>
      <c r="AZ1403">
        <v>1300</v>
      </c>
      <c r="BA1403">
        <v>100</v>
      </c>
      <c r="BB1403">
        <v>100</v>
      </c>
      <c r="BC1403">
        <v>100</v>
      </c>
      <c r="BD1403">
        <v>100</v>
      </c>
      <c r="BE1403">
        <v>1</v>
      </c>
      <c r="BF1403">
        <v>15000</v>
      </c>
      <c r="BG1403">
        <v>1000</v>
      </c>
      <c r="BH1403" s="6">
        <f>Grandview_Inventory[[#This Row],[land_extract]]*Lookups!$B$3</f>
        <v>49926.8031387023</v>
      </c>
      <c r="BI1403" s="6">
        <f>IF(Grandview_Inventory[[#This Row],[bldg_style]]="",0,Lookups!$B$2)</f>
        <v>155833.95000000001</v>
      </c>
      <c r="BJ1403" s="6">
        <f>_xlfn.IFNA(VLOOKUP(Grandview_Inventory[[#This Row],[quality]],Lookups!$H$2:$J$14,3,FALSE),0)</f>
        <v>2251</v>
      </c>
      <c r="BK1403" s="6">
        <f>_xlfn.IFNA(VLOOKUP(Grandview_Inventory[[#This Row],[condition]],Lookups!$H$17:$J$24,3,FALSE),0)</f>
        <v>-4503</v>
      </c>
      <c r="BL1403" s="6">
        <f>Grandview_Inventory[[#This Row],[Eff_Age]]*Lookups!$B$14</f>
        <v>-13632.4962</v>
      </c>
      <c r="BM1403" s="6">
        <f>Grandview_Inventory[[#This Row],[living_area]]*Lookups!$B$15</f>
        <v>102179.837214</v>
      </c>
      <c r="BN1403" s="6">
        <f>Grandview_Inventory[[#This Row],[Fin BSMT]]*Lookups!$B$16</f>
        <v>0</v>
      </c>
      <c r="BO1403" s="6">
        <f>(Grandview_Inventory[[#This Row],[att_gar]]+Grandview_Inventory[[#This Row],[bltin_gar]])*Lookups!$B$17</f>
        <v>0</v>
      </c>
      <c r="BP1403" s="6">
        <f>Grandview_Inventory[[#This Row],[Plumbing Fixtures]]*Lookups!$B$18</f>
        <v>16083.5344</v>
      </c>
      <c r="BQ1403" s="6">
        <f>Grandview_Inventory[[#This Row],[detatched_value]]*Lookups!$B$19</f>
        <v>1100.84663</v>
      </c>
      <c r="BR1403" s="6">
        <f>SUM(Grandview_Inventory[[#This Row],[Intercept]:[det_value]])*Grandview_Inventory[[#This Row],[res_pct]]</f>
        <v>259313.67204400001</v>
      </c>
      <c r="BS1403" s="6">
        <f>Grandview_Inventory[[#This Row],[land_value]]</f>
        <v>49926.8031387023</v>
      </c>
      <c r="BT1403" s="4">
        <f>_xlfn.IFNA(VLOOKUP(Grandview_Inventory[[#This Row],[quality]],Lookups!$A$26:$C$33,3,FALSE),1)</f>
        <v>0.98763855981004833</v>
      </c>
      <c r="BU1403" s="4">
        <f>_xlfn.IFNA(VLOOKUP(Grandview_Inventory[[#This Row],[condition]],Lookups!$A$37:$C$44,3,FALSE),1)</f>
        <v>0.96469275950863709</v>
      </c>
      <c r="BV1403" s="4">
        <f>IF(Grandview_Inventory[[#This Row],[bldg_style]]="",1,_xlfn.IFNA(VLOOKUP(Grandview_Inventory[[#This Row],[decade]],Lookups!$F$29:$H$43,3,FALSE),1))</f>
        <v>0.92255236374249616</v>
      </c>
      <c r="BW1403" s="4">
        <f>_xlfn.IFNA(VLOOKUP(Grandview_Inventory[[#This Row],[living_area_range]],Lookups!$F$47:$H$56,3,FALSE),1)</f>
        <v>0.96120133463014379</v>
      </c>
      <c r="BX1403" s="4">
        <f>AVERAGE(Grandview_Inventory[[#This Row],[qual_adj]:[size_adj]])</f>
        <v>0.95902125442283137</v>
      </c>
      <c r="BY1403" s="6">
        <f>IF(Grandview_Inventory[[#This Row],[pre_res]]&lt;0,0,Grandview_Inventory[[#This Row],[pre_res]]*Grandview_Inventory[[#This Row],[overall_adj]])</f>
        <v>248687.32305262759</v>
      </c>
      <c r="BZ1403" s="6">
        <f>(Grandview_Inventory[[#This Row],[sum_land]]-IF(Grandview_Inventory[[#This Row],[no_utilities]]=1,12000,0))/IF(Grandview_Inventory[[#This Row],[unbuildable]]=1,2,1)</f>
        <v>49926.8031387023</v>
      </c>
      <c r="CA140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403">
        <f>ROUND(Grandview_Inventory[[#This Row],[det_value]]*Lookups!$M$28,-2)</f>
        <v>1000</v>
      </c>
      <c r="CC1403">
        <f>IF(ROUND(Grandview_Inventory[[#This Row],[adj_res]]*Lookups!$M$28,-2)&lt;Grandview_Inventory[[#This Row],[min_res]],Grandview_Inventory[[#This Row],[min_res]],ROUND(Grandview_Inventory[[#This Row],[adj_res]]*Lookups!$M$28,-2))</f>
        <v>236300</v>
      </c>
      <c r="CD1403">
        <f>Grandview_Inventory[[#This Row],[final_det]]+Grandview_Inventory[[#This Row],[final_res]]</f>
        <v>237300</v>
      </c>
      <c r="CE1403">
        <f>Grandview_Inventory[[#This Row],[final_land]]+Grandview_Inventory[[#This Row],[final_imp]]+Grandview_Inventory[[#This Row],[crop_value]]</f>
        <v>284700</v>
      </c>
      <c r="CG1403" t="str">
        <f t="shared" si="21"/>
        <v>update valuation set market_land =47400, market_bldg=237300, market_total =284700, market_mdno =401, market_date ='9/10/2023' where link_id = (select link_id from parcel where parcel_year = '2024' and parcel_id = '23092314543');</v>
      </c>
    </row>
    <row r="1404" spans="1:85" x14ac:dyDescent="0.25">
      <c r="A1404">
        <v>23092314546</v>
      </c>
      <c r="B1404">
        <v>0.19</v>
      </c>
      <c r="C1404">
        <v>8063</v>
      </c>
      <c r="D1404" t="s">
        <v>129</v>
      </c>
      <c r="E1404" t="s">
        <v>53</v>
      </c>
      <c r="F1404" t="s">
        <v>53</v>
      </c>
      <c r="G1404">
        <v>4</v>
      </c>
      <c r="H1404" t="s">
        <v>54</v>
      </c>
      <c r="I1404">
        <v>217900</v>
      </c>
      <c r="J1404">
        <v>39500</v>
      </c>
      <c r="K1404">
        <v>0.19</v>
      </c>
      <c r="L140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04">
        <v>0</v>
      </c>
      <c r="N1404">
        <v>0</v>
      </c>
      <c r="O1404">
        <v>0</v>
      </c>
      <c r="P1404">
        <v>13398.7528</v>
      </c>
      <c r="Q1404">
        <v>63903</v>
      </c>
      <c r="R1404">
        <f>(Grandview_Inventory[[#This Row],[ln_acres]]*Grandview_Inventory[[#This Row],[coeff]])+Grandview_Inventory[[#This Row],[const]]</f>
        <v>41651.273092551026</v>
      </c>
      <c r="S1404" t="s">
        <v>68</v>
      </c>
      <c r="T1404">
        <v>1</v>
      </c>
      <c r="U1404" t="s">
        <v>65</v>
      </c>
      <c r="V1404" t="s">
        <v>67</v>
      </c>
      <c r="W1404">
        <v>0</v>
      </c>
      <c r="X1404">
        <v>0</v>
      </c>
      <c r="Y1404">
        <v>51</v>
      </c>
      <c r="Z1404">
        <v>78</v>
      </c>
      <c r="AA1404">
        <v>80</v>
      </c>
      <c r="AB1404">
        <v>2500</v>
      </c>
      <c r="AC1404">
        <v>2496</v>
      </c>
      <c r="AD1404">
        <v>1248</v>
      </c>
      <c r="AE1404">
        <v>0</v>
      </c>
      <c r="AF1404">
        <v>0</v>
      </c>
      <c r="AG1404">
        <v>1248</v>
      </c>
      <c r="AH1404">
        <v>0</v>
      </c>
      <c r="AI1404">
        <v>0</v>
      </c>
      <c r="AJ1404">
        <v>0</v>
      </c>
      <c r="AK1404">
        <v>0</v>
      </c>
      <c r="AL1404">
        <v>294</v>
      </c>
      <c r="AM1404">
        <v>0</v>
      </c>
      <c r="AN1404">
        <v>77</v>
      </c>
      <c r="AO1404">
        <v>0</v>
      </c>
      <c r="AP1404">
        <v>8</v>
      </c>
      <c r="AQ1404">
        <v>0</v>
      </c>
      <c r="AR1404">
        <v>1</v>
      </c>
      <c r="AS1404" t="s">
        <v>58</v>
      </c>
      <c r="AT1404">
        <v>1</v>
      </c>
      <c r="AU1404" t="s">
        <v>63</v>
      </c>
      <c r="AV1404" t="s">
        <v>64</v>
      </c>
      <c r="AW1404">
        <v>1</v>
      </c>
      <c r="AX1404">
        <v>4</v>
      </c>
      <c r="AY1404">
        <v>0</v>
      </c>
      <c r="AZ1404">
        <v>8500</v>
      </c>
      <c r="BA1404">
        <v>100</v>
      </c>
      <c r="BB1404">
        <v>100</v>
      </c>
      <c r="BC1404">
        <v>100</v>
      </c>
      <c r="BD1404">
        <v>100</v>
      </c>
      <c r="BE1404">
        <v>1</v>
      </c>
      <c r="BF1404">
        <v>15000</v>
      </c>
      <c r="BG1404">
        <v>1000</v>
      </c>
      <c r="BH1404" s="6">
        <f>Grandview_Inventory[[#This Row],[land_extract]]*Lookups!$B$3</f>
        <v>48369.510983942157</v>
      </c>
      <c r="BI1404" s="6">
        <f>IF(Grandview_Inventory[[#This Row],[bldg_style]]="",0,Lookups!$B$2)</f>
        <v>155833.95000000001</v>
      </c>
      <c r="BJ1404" s="6">
        <f>_xlfn.IFNA(VLOOKUP(Grandview_Inventory[[#This Row],[quality]],Lookups!$H$2:$J$14,3,FALSE),0)</f>
        <v>2251</v>
      </c>
      <c r="BK1404" s="6">
        <f>_xlfn.IFNA(VLOOKUP(Grandview_Inventory[[#This Row],[condition]],Lookups!$H$17:$J$24,3,FALSE),0)</f>
        <v>22342</v>
      </c>
      <c r="BL1404" s="6">
        <f>Grandview_Inventory[[#This Row],[Eff_Age]]*Lookups!$B$14</f>
        <v>-12197.496599999999</v>
      </c>
      <c r="BM1404" s="6">
        <f>Grandview_Inventory[[#This Row],[living_area]]*Lookups!$B$15</f>
        <v>155702.609088</v>
      </c>
      <c r="BN1404" s="6">
        <f>Grandview_Inventory[[#This Row],[Fin BSMT]]*Lookups!$B$16</f>
        <v>-33819.851520000004</v>
      </c>
      <c r="BO1404" s="6">
        <f>(Grandview_Inventory[[#This Row],[att_gar]]+Grandview_Inventory[[#This Row],[bltin_gar]])*Lookups!$B$17</f>
        <v>0</v>
      </c>
      <c r="BP1404" s="6">
        <f>Grandview_Inventory[[#This Row],[Plumbing Fixtures]]*Lookups!$B$18</f>
        <v>16083.5344</v>
      </c>
      <c r="BQ1404" s="6">
        <f>Grandview_Inventory[[#This Row],[detatched_value]]*Lookups!$B$19</f>
        <v>7197.8433500000001</v>
      </c>
      <c r="BR1404" s="6">
        <f>SUM(Grandview_Inventory[[#This Row],[Intercept]:[det_value]])*Grandview_Inventory[[#This Row],[res_pct]]</f>
        <v>313393.58871799998</v>
      </c>
      <c r="BS1404" s="6">
        <f>Grandview_Inventory[[#This Row],[land_value]]</f>
        <v>48369.510983942157</v>
      </c>
      <c r="BT1404" s="4">
        <f>_xlfn.IFNA(VLOOKUP(Grandview_Inventory[[#This Row],[quality]],Lookups!$A$26:$C$33,3,FALSE),1)</f>
        <v>0.98763855981004833</v>
      </c>
      <c r="BU1404" s="4">
        <f>_xlfn.IFNA(VLOOKUP(Grandview_Inventory[[#This Row],[condition]],Lookups!$A$37:$C$44,3,FALSE),1)</f>
        <v>0.97383723671140243</v>
      </c>
      <c r="BV1404" s="4">
        <f>IF(Grandview_Inventory[[#This Row],[bldg_style]]="",1,_xlfn.IFNA(VLOOKUP(Grandview_Inventory[[#This Row],[decade]],Lookups!$F$29:$H$43,3,FALSE),1))</f>
        <v>0.98763256963907298</v>
      </c>
      <c r="BW1404" s="4">
        <f>_xlfn.IFNA(VLOOKUP(Grandview_Inventory[[#This Row],[living_area_range]],Lookups!$F$47:$H$56,3,FALSE),1)</f>
        <v>0.95799442568048754</v>
      </c>
      <c r="BX1404" s="4">
        <f>AVERAGE(Grandview_Inventory[[#This Row],[qual_adj]:[size_adj]])</f>
        <v>0.97677569796025276</v>
      </c>
      <c r="BY1404" s="6">
        <f>IF(Grandview_Inventory[[#This Row],[pre_res]]&lt;0,0,Grandview_Inventory[[#This Row],[pre_res]]*Grandview_Inventory[[#This Row],[overall_adj]])</f>
        <v>306115.24135629286</v>
      </c>
      <c r="BZ1404" s="6">
        <f>(Grandview_Inventory[[#This Row],[sum_land]]-IF(Grandview_Inventory[[#This Row],[no_utilities]]=1,12000,0))/IF(Grandview_Inventory[[#This Row],[unbuildable]]=1,2,1)</f>
        <v>48369.510983942157</v>
      </c>
      <c r="CA140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04">
        <f>ROUND(Grandview_Inventory[[#This Row],[det_value]]*Lookups!$M$28,-2)</f>
        <v>6800</v>
      </c>
      <c r="CC1404">
        <f>IF(ROUND(Grandview_Inventory[[#This Row],[adj_res]]*Lookups!$M$28,-2)&lt;Grandview_Inventory[[#This Row],[min_res]],Grandview_Inventory[[#This Row],[min_res]],ROUND(Grandview_Inventory[[#This Row],[adj_res]]*Lookups!$M$28,-2))</f>
        <v>290800</v>
      </c>
      <c r="CD1404">
        <f>Grandview_Inventory[[#This Row],[final_det]]+Grandview_Inventory[[#This Row],[final_res]]</f>
        <v>297600</v>
      </c>
      <c r="CE1404">
        <f>Grandview_Inventory[[#This Row],[final_land]]+Grandview_Inventory[[#This Row],[final_imp]]+Grandview_Inventory[[#This Row],[crop_value]]</f>
        <v>343600</v>
      </c>
      <c r="CG1404" t="str">
        <f t="shared" si="21"/>
        <v>update valuation set market_land =46000, market_bldg=297600, market_total =343600, market_mdno =401, market_date ='9/10/2023' where link_id = (select link_id from parcel where parcel_year = '2024' and parcel_id = '23092314546');</v>
      </c>
    </row>
    <row r="1405" spans="1:85" x14ac:dyDescent="0.25">
      <c r="A1405">
        <v>23092314549</v>
      </c>
      <c r="B1405">
        <v>0.19</v>
      </c>
      <c r="C1405">
        <v>8321</v>
      </c>
      <c r="D1405" t="s">
        <v>129</v>
      </c>
      <c r="E1405" t="s">
        <v>53</v>
      </c>
      <c r="F1405" t="s">
        <v>53</v>
      </c>
      <c r="G1405">
        <v>4</v>
      </c>
      <c r="H1405" t="s">
        <v>54</v>
      </c>
      <c r="I1405">
        <v>106900</v>
      </c>
      <c r="J1405">
        <v>39700</v>
      </c>
      <c r="K1405">
        <v>0.19</v>
      </c>
      <c r="L14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05">
        <v>0</v>
      </c>
      <c r="N1405">
        <v>0</v>
      </c>
      <c r="O1405">
        <v>0</v>
      </c>
      <c r="P1405">
        <v>13398.7528</v>
      </c>
      <c r="Q1405">
        <v>63903</v>
      </c>
      <c r="R1405">
        <f>(Grandview_Inventory[[#This Row],[ln_acres]]*Grandview_Inventory[[#This Row],[coeff]])+Grandview_Inventory[[#This Row],[const]]</f>
        <v>41651.273092551026</v>
      </c>
      <c r="S1405" t="s">
        <v>68</v>
      </c>
      <c r="T1405">
        <v>1</v>
      </c>
      <c r="U1405" t="s">
        <v>70</v>
      </c>
      <c r="V1405" t="s">
        <v>69</v>
      </c>
      <c r="W1405">
        <v>0</v>
      </c>
      <c r="X1405">
        <v>0</v>
      </c>
      <c r="Y1405">
        <v>51</v>
      </c>
      <c r="Z1405">
        <v>78</v>
      </c>
      <c r="AA1405">
        <v>80</v>
      </c>
      <c r="AB1405">
        <v>1000</v>
      </c>
      <c r="AC1405">
        <v>841</v>
      </c>
      <c r="AD1405">
        <v>841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24</v>
      </c>
      <c r="AO1405">
        <v>0</v>
      </c>
      <c r="AP1405">
        <v>5</v>
      </c>
      <c r="AQ1405">
        <v>0</v>
      </c>
      <c r="AR1405">
        <v>0</v>
      </c>
      <c r="AS1405" t="s">
        <v>58</v>
      </c>
      <c r="AT1405">
        <v>1</v>
      </c>
      <c r="AU1405" t="s">
        <v>63</v>
      </c>
      <c r="AV1405" t="s">
        <v>64</v>
      </c>
      <c r="AW1405">
        <v>0</v>
      </c>
      <c r="AX1405">
        <v>2</v>
      </c>
      <c r="AY1405">
        <v>0</v>
      </c>
      <c r="AZ1405">
        <v>0</v>
      </c>
      <c r="BA1405">
        <v>100</v>
      </c>
      <c r="BB1405">
        <v>100</v>
      </c>
      <c r="BC1405">
        <v>100</v>
      </c>
      <c r="BD1405">
        <v>100</v>
      </c>
      <c r="BE1405">
        <v>1</v>
      </c>
      <c r="BF1405">
        <v>15000</v>
      </c>
      <c r="BG1405">
        <v>1000</v>
      </c>
      <c r="BH1405" s="6">
        <f>Grandview_Inventory[[#This Row],[land_extract]]*Lookups!$B$3</f>
        <v>48369.510983942157</v>
      </c>
      <c r="BI1405" s="6">
        <f>IF(Grandview_Inventory[[#This Row],[bldg_style]]="",0,Lookups!$B$2)</f>
        <v>155833.95000000001</v>
      </c>
      <c r="BJ1405" s="6">
        <f>_xlfn.IFNA(VLOOKUP(Grandview_Inventory[[#This Row],[quality]],Lookups!$H$2:$J$14,3,FALSE),0)</f>
        <v>10733</v>
      </c>
      <c r="BK1405" s="6">
        <f>_xlfn.IFNA(VLOOKUP(Grandview_Inventory[[#This Row],[condition]],Lookups!$H$17:$J$24,3,FALSE),0)</f>
        <v>-4503</v>
      </c>
      <c r="BL1405" s="6">
        <f>Grandview_Inventory[[#This Row],[Eff_Age]]*Lookups!$B$14</f>
        <v>-12197.496599999999</v>
      </c>
      <c r="BM1405" s="6">
        <f>Grandview_Inventory[[#This Row],[living_area]]*Lookups!$B$15</f>
        <v>52462.297373000001</v>
      </c>
      <c r="BN1405" s="6">
        <f>Grandview_Inventory[[#This Row],[Fin BSMT]]*Lookups!$B$16</f>
        <v>0</v>
      </c>
      <c r="BO1405" s="6">
        <f>(Grandview_Inventory[[#This Row],[att_gar]]+Grandview_Inventory[[#This Row],[bltin_gar]])*Lookups!$B$17</f>
        <v>0</v>
      </c>
      <c r="BP1405" s="6">
        <f>Grandview_Inventory[[#This Row],[Plumbing Fixtures]]*Lookups!$B$18</f>
        <v>10052.209000000001</v>
      </c>
      <c r="BQ1405" s="6">
        <f>Grandview_Inventory[[#This Row],[detatched_value]]*Lookups!$B$19</f>
        <v>0</v>
      </c>
      <c r="BR1405" s="6">
        <f>SUM(Grandview_Inventory[[#This Row],[Intercept]:[det_value]])*Grandview_Inventory[[#This Row],[res_pct]]</f>
        <v>212380.95977300001</v>
      </c>
      <c r="BS1405" s="6">
        <f>Grandview_Inventory[[#This Row],[land_value]]</f>
        <v>48369.510983942157</v>
      </c>
      <c r="BT1405" s="4">
        <f>_xlfn.IFNA(VLOOKUP(Grandview_Inventory[[#This Row],[quality]],Lookups!$A$26:$C$33,3,FALSE),1)</f>
        <v>0.98079741117310582</v>
      </c>
      <c r="BU1405" s="4">
        <f>_xlfn.IFNA(VLOOKUP(Grandview_Inventory[[#This Row],[condition]],Lookups!$A$37:$C$44,3,FALSE),1)</f>
        <v>0.96469275950863709</v>
      </c>
      <c r="BV1405" s="4">
        <f>IF(Grandview_Inventory[[#This Row],[bldg_style]]="",1,_xlfn.IFNA(VLOOKUP(Grandview_Inventory[[#This Row],[decade]],Lookups!$F$29:$H$43,3,FALSE),1))</f>
        <v>0.98763256963907298</v>
      </c>
      <c r="BW1405" s="4">
        <f>_xlfn.IFNA(VLOOKUP(Grandview_Inventory[[#This Row],[living_area_range]],Lookups!$F$47:$H$56,3,FALSE),1)</f>
        <v>0.94306777142782894</v>
      </c>
      <c r="BX1405" s="4">
        <f>AVERAGE(Grandview_Inventory[[#This Row],[qual_adj]:[size_adj]])</f>
        <v>0.96904762793716115</v>
      </c>
      <c r="BY1405" s="6">
        <f>IF(Grandview_Inventory[[#This Row],[pre_res]]&lt;0,0,Grandview_Inventory[[#This Row],[pre_res]]*Grandview_Inventory[[#This Row],[overall_adj]])</f>
        <v>205807.26528704329</v>
      </c>
      <c r="BZ1405" s="6">
        <f>(Grandview_Inventory[[#This Row],[sum_land]]-IF(Grandview_Inventory[[#This Row],[no_utilities]]=1,12000,0))/IF(Grandview_Inventory[[#This Row],[unbuildable]]=1,2,1)</f>
        <v>48369.510983942157</v>
      </c>
      <c r="CA14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05">
        <f>ROUND(Grandview_Inventory[[#This Row],[det_value]]*Lookups!$M$28,-2)</f>
        <v>0</v>
      </c>
      <c r="CC1405">
        <f>IF(ROUND(Grandview_Inventory[[#This Row],[adj_res]]*Lookups!$M$28,-2)&lt;Grandview_Inventory[[#This Row],[min_res]],Grandview_Inventory[[#This Row],[min_res]],ROUND(Grandview_Inventory[[#This Row],[adj_res]]*Lookups!$M$28,-2))</f>
        <v>195500</v>
      </c>
      <c r="CD1405">
        <f>Grandview_Inventory[[#This Row],[final_det]]+Grandview_Inventory[[#This Row],[final_res]]</f>
        <v>195500</v>
      </c>
      <c r="CE1405">
        <f>Grandview_Inventory[[#This Row],[final_land]]+Grandview_Inventory[[#This Row],[final_imp]]+Grandview_Inventory[[#This Row],[crop_value]]</f>
        <v>241500</v>
      </c>
      <c r="CG1405" t="str">
        <f t="shared" si="21"/>
        <v>update valuation set market_land =46000, market_bldg=195500, market_total =241500, market_mdno =401, market_date ='9/10/2023' where link_id = (select link_id from parcel where parcel_year = '2024' and parcel_id = '23092314549');</v>
      </c>
    </row>
    <row r="1406" spans="1:85" x14ac:dyDescent="0.25">
      <c r="A1406">
        <v>23092314550</v>
      </c>
      <c r="B1406">
        <v>0.17</v>
      </c>
      <c r="C1406">
        <v>7385</v>
      </c>
      <c r="D1406" t="s">
        <v>129</v>
      </c>
      <c r="E1406" t="s">
        <v>53</v>
      </c>
      <c r="F1406" t="s">
        <v>53</v>
      </c>
      <c r="G1406">
        <v>4</v>
      </c>
      <c r="H1406" t="s">
        <v>54</v>
      </c>
      <c r="I1406">
        <v>195600</v>
      </c>
      <c r="J1406">
        <v>39300</v>
      </c>
      <c r="K1406">
        <v>0.17</v>
      </c>
      <c r="L140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06">
        <v>0</v>
      </c>
      <c r="N1406">
        <v>0</v>
      </c>
      <c r="O1406">
        <v>0</v>
      </c>
      <c r="P1406">
        <v>13398.7528</v>
      </c>
      <c r="Q1406">
        <v>63903</v>
      </c>
      <c r="R1406">
        <f>(Grandview_Inventory[[#This Row],[ln_acres]]*Grandview_Inventory[[#This Row],[coeff]])+Grandview_Inventory[[#This Row],[const]]</f>
        <v>40160.988302686128</v>
      </c>
      <c r="S1406" t="s">
        <v>55</v>
      </c>
      <c r="T1406">
        <v>2</v>
      </c>
      <c r="U1406" t="s">
        <v>65</v>
      </c>
      <c r="V1406" t="s">
        <v>69</v>
      </c>
      <c r="W1406">
        <v>0</v>
      </c>
      <c r="X1406">
        <v>0</v>
      </c>
      <c r="Y1406">
        <v>51</v>
      </c>
      <c r="Z1406">
        <v>78</v>
      </c>
      <c r="AA1406">
        <v>80</v>
      </c>
      <c r="AB1406">
        <v>2500</v>
      </c>
      <c r="AC1406">
        <v>2261</v>
      </c>
      <c r="AD1406">
        <v>1071</v>
      </c>
      <c r="AE1406">
        <v>1190</v>
      </c>
      <c r="AF1406">
        <v>0</v>
      </c>
      <c r="AG1406">
        <v>0</v>
      </c>
      <c r="AH1406">
        <v>0</v>
      </c>
      <c r="AI1406">
        <v>238</v>
      </c>
      <c r="AJ1406">
        <v>0</v>
      </c>
      <c r="AK1406">
        <v>0</v>
      </c>
      <c r="AL1406">
        <v>119</v>
      </c>
      <c r="AM1406">
        <v>0</v>
      </c>
      <c r="AN1406">
        <v>0</v>
      </c>
      <c r="AO1406">
        <v>0</v>
      </c>
      <c r="AP1406">
        <v>8</v>
      </c>
      <c r="AQ1406">
        <v>0</v>
      </c>
      <c r="AR1406">
        <v>0</v>
      </c>
      <c r="AS1406" t="s">
        <v>58</v>
      </c>
      <c r="AT1406">
        <v>1</v>
      </c>
      <c r="AU1406" t="s">
        <v>63</v>
      </c>
      <c r="AV1406" t="s">
        <v>64</v>
      </c>
      <c r="AW1406">
        <v>0</v>
      </c>
      <c r="AX1406">
        <v>4</v>
      </c>
      <c r="AY1406">
        <v>0</v>
      </c>
      <c r="AZ1406">
        <v>0</v>
      </c>
      <c r="BA1406">
        <v>100</v>
      </c>
      <c r="BB1406">
        <v>100</v>
      </c>
      <c r="BC1406">
        <v>100</v>
      </c>
      <c r="BD1406">
        <v>100</v>
      </c>
      <c r="BE1406">
        <v>1</v>
      </c>
      <c r="BF1406">
        <v>15000</v>
      </c>
      <c r="BG1406">
        <v>1000</v>
      </c>
      <c r="BH1406" s="6">
        <f>Grandview_Inventory[[#This Row],[land_extract]]*Lookups!$B$3</f>
        <v>46638.847281240982</v>
      </c>
      <c r="BI1406" s="6">
        <f>IF(Grandview_Inventory[[#This Row],[bldg_style]]="",0,Lookups!$B$2)</f>
        <v>155833.95000000001</v>
      </c>
      <c r="BJ1406" s="6">
        <f>_xlfn.IFNA(VLOOKUP(Grandview_Inventory[[#This Row],[quality]],Lookups!$H$2:$J$14,3,FALSE),0)</f>
        <v>2251</v>
      </c>
      <c r="BK1406" s="6">
        <f>_xlfn.IFNA(VLOOKUP(Grandview_Inventory[[#This Row],[condition]],Lookups!$H$17:$J$24,3,FALSE),0)</f>
        <v>-4503</v>
      </c>
      <c r="BL1406" s="6">
        <f>Grandview_Inventory[[#This Row],[Eff_Age]]*Lookups!$B$14</f>
        <v>-12197.496599999999</v>
      </c>
      <c r="BM1406" s="6">
        <f>Grandview_Inventory[[#This Row],[living_area]]*Lookups!$B$15</f>
        <v>141043.108633</v>
      </c>
      <c r="BN1406" s="6">
        <f>Grandview_Inventory[[#This Row],[Fin BSMT]]*Lookups!$B$16</f>
        <v>0</v>
      </c>
      <c r="BO1406" s="6">
        <f>(Grandview_Inventory[[#This Row],[att_gar]]+Grandview_Inventory[[#This Row],[bltin_gar]])*Lookups!$B$17</f>
        <v>20829.864006</v>
      </c>
      <c r="BP1406" s="6">
        <f>Grandview_Inventory[[#This Row],[Plumbing Fixtures]]*Lookups!$B$18</f>
        <v>16083.5344</v>
      </c>
      <c r="BQ1406" s="6">
        <f>Grandview_Inventory[[#This Row],[detatched_value]]*Lookups!$B$19</f>
        <v>0</v>
      </c>
      <c r="BR1406" s="6">
        <f>SUM(Grandview_Inventory[[#This Row],[Intercept]:[det_value]])*Grandview_Inventory[[#This Row],[res_pct]]</f>
        <v>319340.96043899999</v>
      </c>
      <c r="BS1406" s="6">
        <f>Grandview_Inventory[[#This Row],[land_value]]</f>
        <v>46638.847281240982</v>
      </c>
      <c r="BT1406" s="4">
        <f>_xlfn.IFNA(VLOOKUP(Grandview_Inventory[[#This Row],[quality]],Lookups!$A$26:$C$33,3,FALSE),1)</f>
        <v>0.98763855981004833</v>
      </c>
      <c r="BU1406" s="4">
        <f>_xlfn.IFNA(VLOOKUP(Grandview_Inventory[[#This Row],[condition]],Lookups!$A$37:$C$44,3,FALSE),1)</f>
        <v>0.96469275950863709</v>
      </c>
      <c r="BV1406" s="4">
        <f>IF(Grandview_Inventory[[#This Row],[bldg_style]]="",1,_xlfn.IFNA(VLOOKUP(Grandview_Inventory[[#This Row],[decade]],Lookups!$F$29:$H$43,3,FALSE),1))</f>
        <v>0.98763256963907298</v>
      </c>
      <c r="BW1406" s="4">
        <f>_xlfn.IFNA(VLOOKUP(Grandview_Inventory[[#This Row],[living_area_range]],Lookups!$F$47:$H$56,3,FALSE),1)</f>
        <v>0.95799442568048754</v>
      </c>
      <c r="BX1406" s="4">
        <f>AVERAGE(Grandview_Inventory[[#This Row],[qual_adj]:[size_adj]])</f>
        <v>0.97448957865956143</v>
      </c>
      <c r="BY1406" s="6">
        <f>IF(Grandview_Inventory[[#This Row],[pre_res]]&lt;0,0,Grandview_Inventory[[#This Row],[pre_res]]*Grandview_Inventory[[#This Row],[overall_adj]])</f>
        <v>311194.43798694079</v>
      </c>
      <c r="BZ1406" s="6">
        <f>(Grandview_Inventory[[#This Row],[sum_land]]-IF(Grandview_Inventory[[#This Row],[no_utilities]]=1,12000,0))/IF(Grandview_Inventory[[#This Row],[unbuildable]]=1,2,1)</f>
        <v>46638.847281240982</v>
      </c>
      <c r="CA140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06">
        <f>ROUND(Grandview_Inventory[[#This Row],[det_value]]*Lookups!$M$28,-2)</f>
        <v>0</v>
      </c>
      <c r="CC1406">
        <f>IF(ROUND(Grandview_Inventory[[#This Row],[adj_res]]*Lookups!$M$28,-2)&lt;Grandview_Inventory[[#This Row],[min_res]],Grandview_Inventory[[#This Row],[min_res]],ROUND(Grandview_Inventory[[#This Row],[adj_res]]*Lookups!$M$28,-2))</f>
        <v>295600</v>
      </c>
      <c r="CD1406">
        <f>Grandview_Inventory[[#This Row],[final_det]]+Grandview_Inventory[[#This Row],[final_res]]</f>
        <v>295600</v>
      </c>
      <c r="CE1406">
        <f>Grandview_Inventory[[#This Row],[final_land]]+Grandview_Inventory[[#This Row],[final_imp]]+Grandview_Inventory[[#This Row],[crop_value]]</f>
        <v>339900</v>
      </c>
      <c r="CG1406" t="str">
        <f t="shared" si="21"/>
        <v>update valuation set market_land =44300, market_bldg=295600, market_total =339900, market_mdno =401, market_date ='9/10/2023' where link_id = (select link_id from parcel where parcel_year = '2024' and parcel_id = '23092314550');</v>
      </c>
    </row>
    <row r="1407" spans="1:85" x14ac:dyDescent="0.25">
      <c r="A1407">
        <v>23092314551</v>
      </c>
      <c r="B1407">
        <v>0.16</v>
      </c>
      <c r="C1407">
        <v>7081</v>
      </c>
      <c r="D1407" t="s">
        <v>129</v>
      </c>
      <c r="E1407" t="s">
        <v>53</v>
      </c>
      <c r="F1407" t="s">
        <v>53</v>
      </c>
      <c r="G1407">
        <v>4</v>
      </c>
      <c r="H1407" t="s">
        <v>54</v>
      </c>
      <c r="I1407">
        <v>117700</v>
      </c>
      <c r="J1407">
        <v>39100</v>
      </c>
      <c r="K1407">
        <v>0.16</v>
      </c>
      <c r="L140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07">
        <v>0</v>
      </c>
      <c r="N1407">
        <v>0</v>
      </c>
      <c r="O1407">
        <v>0</v>
      </c>
      <c r="P1407">
        <v>13398.7528</v>
      </c>
      <c r="Q1407">
        <v>63903</v>
      </c>
      <c r="R1407">
        <f>(Grandview_Inventory[[#This Row],[ln_acres]]*Grandview_Inventory[[#This Row],[coeff]])+Grandview_Inventory[[#This Row],[const]]</f>
        <v>39348.693981374228</v>
      </c>
      <c r="S1407" t="s">
        <v>85</v>
      </c>
      <c r="T1407">
        <v>1</v>
      </c>
      <c r="U1407" t="s">
        <v>65</v>
      </c>
      <c r="V1407" t="s">
        <v>69</v>
      </c>
      <c r="W1407">
        <v>0</v>
      </c>
      <c r="X1407">
        <v>0</v>
      </c>
      <c r="Y1407">
        <v>55</v>
      </c>
      <c r="Z1407">
        <v>98</v>
      </c>
      <c r="AA1407">
        <v>100</v>
      </c>
      <c r="AB1407">
        <v>1500</v>
      </c>
      <c r="AC1407">
        <v>1004</v>
      </c>
      <c r="AD1407">
        <v>1004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288</v>
      </c>
      <c r="AM1407">
        <v>0</v>
      </c>
      <c r="AN1407">
        <v>224</v>
      </c>
      <c r="AO1407">
        <v>0</v>
      </c>
      <c r="AP1407">
        <v>5</v>
      </c>
      <c r="AQ1407">
        <v>0</v>
      </c>
      <c r="AR1407">
        <v>0</v>
      </c>
      <c r="AS1407" t="s">
        <v>58</v>
      </c>
      <c r="AT1407">
        <v>0</v>
      </c>
      <c r="AU1407" t="s">
        <v>134</v>
      </c>
      <c r="AV1407" t="s">
        <v>138</v>
      </c>
      <c r="AW1407">
        <v>0</v>
      </c>
      <c r="AX1407">
        <v>2</v>
      </c>
      <c r="AY1407">
        <v>0</v>
      </c>
      <c r="AZ1407">
        <v>0</v>
      </c>
      <c r="BA1407">
        <v>100</v>
      </c>
      <c r="BB1407">
        <v>100</v>
      </c>
      <c r="BC1407">
        <v>100</v>
      </c>
      <c r="BD1407">
        <v>100</v>
      </c>
      <c r="BE1407">
        <v>1</v>
      </c>
      <c r="BF1407">
        <v>15000</v>
      </c>
      <c r="BG1407">
        <v>1000</v>
      </c>
      <c r="BH1407" s="6">
        <f>Grandview_Inventory[[#This Row],[land_extract]]*Lookups!$B$3</f>
        <v>45695.532079096141</v>
      </c>
      <c r="BI1407" s="6">
        <f>IF(Grandview_Inventory[[#This Row],[bldg_style]]="",0,Lookups!$B$2)</f>
        <v>155833.95000000001</v>
      </c>
      <c r="BJ1407" s="6">
        <f>_xlfn.IFNA(VLOOKUP(Grandview_Inventory[[#This Row],[quality]],Lookups!$H$2:$J$14,3,FALSE),0)</f>
        <v>2251</v>
      </c>
      <c r="BK1407" s="6">
        <f>_xlfn.IFNA(VLOOKUP(Grandview_Inventory[[#This Row],[condition]],Lookups!$H$17:$J$24,3,FALSE),0)</f>
        <v>-4503</v>
      </c>
      <c r="BL1407" s="6">
        <f>Grandview_Inventory[[#This Row],[Eff_Age]]*Lookups!$B$14</f>
        <v>-13154.162999999999</v>
      </c>
      <c r="BM1407" s="6">
        <f>Grandview_Inventory[[#This Row],[living_area]]*Lookups!$B$15</f>
        <v>62630.376412000005</v>
      </c>
      <c r="BN1407" s="6">
        <f>Grandview_Inventory[[#This Row],[Fin BSMT]]*Lookups!$B$16</f>
        <v>0</v>
      </c>
      <c r="BO1407" s="6">
        <f>(Grandview_Inventory[[#This Row],[att_gar]]+Grandview_Inventory[[#This Row],[bltin_gar]])*Lookups!$B$17</f>
        <v>0</v>
      </c>
      <c r="BP1407" s="6">
        <f>Grandview_Inventory[[#This Row],[Plumbing Fixtures]]*Lookups!$B$18</f>
        <v>10052.209000000001</v>
      </c>
      <c r="BQ1407" s="6">
        <f>Grandview_Inventory[[#This Row],[detatched_value]]*Lookups!$B$19</f>
        <v>0</v>
      </c>
      <c r="BR1407" s="6">
        <f>SUM(Grandview_Inventory[[#This Row],[Intercept]:[det_value]])*Grandview_Inventory[[#This Row],[res_pct]]</f>
        <v>213110.37241200003</v>
      </c>
      <c r="BS1407" s="6">
        <f>Grandview_Inventory[[#This Row],[land_value]]</f>
        <v>45695.532079096141</v>
      </c>
      <c r="BT1407" s="4">
        <f>_xlfn.IFNA(VLOOKUP(Grandview_Inventory[[#This Row],[quality]],Lookups!$A$26:$C$33,3,FALSE),1)</f>
        <v>0.98763855981004833</v>
      </c>
      <c r="BU1407" s="4">
        <f>_xlfn.IFNA(VLOOKUP(Grandview_Inventory[[#This Row],[condition]],Lookups!$A$37:$C$44,3,FALSE),1)</f>
        <v>0.96469275950863709</v>
      </c>
      <c r="BV1407" s="4">
        <f>IF(Grandview_Inventory[[#This Row],[bldg_style]]="",1,_xlfn.IFNA(VLOOKUP(Grandview_Inventory[[#This Row],[decade]],Lookups!$F$29:$H$43,3,FALSE),1))</f>
        <v>0.95244691841736806</v>
      </c>
      <c r="BW1407" s="4">
        <f>_xlfn.IFNA(VLOOKUP(Grandview_Inventory[[#This Row],[living_area_range]],Lookups!$F$47:$H$56,3,FALSE),1)</f>
        <v>0.96135087979789358</v>
      </c>
      <c r="BX1407" s="4">
        <f>AVERAGE(Grandview_Inventory[[#This Row],[qual_adj]:[size_adj]])</f>
        <v>0.96653227938348674</v>
      </c>
      <c r="BY1407" s="6">
        <f>IF(Grandview_Inventory[[#This Row],[pre_res]]&lt;0,0,Grandview_Inventory[[#This Row],[pre_res]]*Grandview_Inventory[[#This Row],[overall_adj]])</f>
        <v>205978.05400763411</v>
      </c>
      <c r="BZ1407" s="6">
        <f>(Grandview_Inventory[[#This Row],[sum_land]]-IF(Grandview_Inventory[[#This Row],[no_utilities]]=1,12000,0))/IF(Grandview_Inventory[[#This Row],[unbuildable]]=1,2,1)</f>
        <v>45695.532079096141</v>
      </c>
      <c r="CA140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07">
        <f>ROUND(Grandview_Inventory[[#This Row],[det_value]]*Lookups!$M$28,-2)</f>
        <v>0</v>
      </c>
      <c r="CC1407">
        <f>IF(ROUND(Grandview_Inventory[[#This Row],[adj_res]]*Lookups!$M$28,-2)&lt;Grandview_Inventory[[#This Row],[min_res]],Grandview_Inventory[[#This Row],[min_res]],ROUND(Grandview_Inventory[[#This Row],[adj_res]]*Lookups!$M$28,-2))</f>
        <v>195700</v>
      </c>
      <c r="CD1407">
        <f>Grandview_Inventory[[#This Row],[final_det]]+Grandview_Inventory[[#This Row],[final_res]]</f>
        <v>195700</v>
      </c>
      <c r="CE1407">
        <f>Grandview_Inventory[[#This Row],[final_land]]+Grandview_Inventory[[#This Row],[final_imp]]+Grandview_Inventory[[#This Row],[crop_value]]</f>
        <v>239100</v>
      </c>
      <c r="CG1407" t="str">
        <f t="shared" si="21"/>
        <v>update valuation set market_land =43400, market_bldg=195700, market_total =239100, market_mdno =401, market_date ='9/10/2023' where link_id = (select link_id from parcel where parcel_year = '2024' and parcel_id = '23092314551');</v>
      </c>
    </row>
    <row r="1408" spans="1:85" x14ac:dyDescent="0.25">
      <c r="A1408">
        <v>23092314555</v>
      </c>
      <c r="B1408">
        <v>0.35</v>
      </c>
      <c r="C1408" t="s">
        <v>129</v>
      </c>
      <c r="D1408" t="s">
        <v>129</v>
      </c>
      <c r="E1408" t="s">
        <v>53</v>
      </c>
      <c r="F1408" t="s">
        <v>53</v>
      </c>
      <c r="G1408">
        <v>4</v>
      </c>
      <c r="H1408" t="s">
        <v>54</v>
      </c>
      <c r="I1408">
        <v>293300</v>
      </c>
      <c r="J1408">
        <v>46300</v>
      </c>
      <c r="K1408">
        <v>0.35</v>
      </c>
      <c r="L1408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408">
        <v>0</v>
      </c>
      <c r="N1408">
        <v>0</v>
      </c>
      <c r="O1408">
        <v>0</v>
      </c>
      <c r="P1408">
        <v>13398.7528</v>
      </c>
      <c r="Q1408">
        <v>63903</v>
      </c>
      <c r="R1408">
        <f>(Grandview_Inventory[[#This Row],[ln_acres]]*Grandview_Inventory[[#This Row],[coeff]])+Grandview_Inventory[[#This Row],[const]]</f>
        <v>49836.692869871389</v>
      </c>
      <c r="S1408" t="s">
        <v>55</v>
      </c>
      <c r="T1408">
        <v>2</v>
      </c>
      <c r="U1408" t="s">
        <v>62</v>
      </c>
      <c r="V1408" t="s">
        <v>67</v>
      </c>
      <c r="W1408">
        <v>0</v>
      </c>
      <c r="X1408">
        <v>0</v>
      </c>
      <c r="Y1408">
        <v>60</v>
      </c>
      <c r="Z1408">
        <v>108</v>
      </c>
      <c r="AA1408">
        <v>110</v>
      </c>
      <c r="AB1408">
        <v>3000</v>
      </c>
      <c r="AC1408">
        <v>2688</v>
      </c>
      <c r="AD1408">
        <v>1798</v>
      </c>
      <c r="AE1408">
        <v>890</v>
      </c>
      <c r="AF1408">
        <v>0</v>
      </c>
      <c r="AG1408">
        <v>0</v>
      </c>
      <c r="AH1408">
        <v>306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434</v>
      </c>
      <c r="AO1408">
        <v>0</v>
      </c>
      <c r="AP1408">
        <v>10</v>
      </c>
      <c r="AQ1408">
        <v>0</v>
      </c>
      <c r="AR1408">
        <v>1</v>
      </c>
      <c r="AS1408" t="s">
        <v>58</v>
      </c>
      <c r="AT1408">
        <v>1</v>
      </c>
      <c r="AU1408" t="s">
        <v>63</v>
      </c>
      <c r="AV1408" t="s">
        <v>64</v>
      </c>
      <c r="AW1408">
        <v>1</v>
      </c>
      <c r="AX1408">
        <v>3</v>
      </c>
      <c r="AY1408">
        <v>0</v>
      </c>
      <c r="AZ1408">
        <v>20500</v>
      </c>
      <c r="BA1408">
        <v>100</v>
      </c>
      <c r="BB1408">
        <v>100</v>
      </c>
      <c r="BC1408">
        <v>100</v>
      </c>
      <c r="BD1408">
        <v>100</v>
      </c>
      <c r="BE1408">
        <v>1</v>
      </c>
      <c r="BF1408">
        <v>15000</v>
      </c>
      <c r="BG1408">
        <v>1000</v>
      </c>
      <c r="BH1408" s="6">
        <f>Grandview_Inventory[[#This Row],[land_extract]]*Lookups!$B$3</f>
        <v>57875.216870710894</v>
      </c>
      <c r="BI1408" s="6">
        <f>IF(Grandview_Inventory[[#This Row],[bldg_style]]="",0,Lookups!$B$2)</f>
        <v>155833.95000000001</v>
      </c>
      <c r="BJ1408" s="6">
        <f>_xlfn.IFNA(VLOOKUP(Grandview_Inventory[[#This Row],[quality]],Lookups!$H$2:$J$14,3,FALSE),0)</f>
        <v>9808</v>
      </c>
      <c r="BK1408" s="6">
        <f>_xlfn.IFNA(VLOOKUP(Grandview_Inventory[[#This Row],[condition]],Lookups!$H$17:$J$24,3,FALSE),0)</f>
        <v>22342</v>
      </c>
      <c r="BL1408" s="6">
        <f>Grandview_Inventory[[#This Row],[Eff_Age]]*Lookups!$B$14</f>
        <v>-14349.995999999999</v>
      </c>
      <c r="BM1408" s="6">
        <f>Grandview_Inventory[[#This Row],[living_area]]*Lookups!$B$15</f>
        <v>167679.73286400002</v>
      </c>
      <c r="BN1408" s="6">
        <f>Grandview_Inventory[[#This Row],[Fin BSMT]]*Lookups!$B$16</f>
        <v>0</v>
      </c>
      <c r="BO1408" s="6">
        <f>(Grandview_Inventory[[#This Row],[att_gar]]+Grandview_Inventory[[#This Row],[bltin_gar]])*Lookups!$B$17</f>
        <v>0</v>
      </c>
      <c r="BP1408" s="6">
        <f>Grandview_Inventory[[#This Row],[Plumbing Fixtures]]*Lookups!$B$18</f>
        <v>20104.418000000001</v>
      </c>
      <c r="BQ1408" s="6">
        <f>Grandview_Inventory[[#This Row],[detatched_value]]*Lookups!$B$19</f>
        <v>17359.504549999998</v>
      </c>
      <c r="BR1408" s="6">
        <f>SUM(Grandview_Inventory[[#This Row],[Intercept]:[det_value]])*Grandview_Inventory[[#This Row],[res_pct]]</f>
        <v>378777.60941400006</v>
      </c>
      <c r="BS1408" s="6">
        <f>Grandview_Inventory[[#This Row],[land_value]]</f>
        <v>57875.216870710894</v>
      </c>
      <c r="BT1408" s="4">
        <f>_xlfn.IFNA(VLOOKUP(Grandview_Inventory[[#This Row],[quality]],Lookups!$A$26:$C$33,3,FALSE),1)</f>
        <v>0.94295468617355149</v>
      </c>
      <c r="BU1408" s="4">
        <f>_xlfn.IFNA(VLOOKUP(Grandview_Inventory[[#This Row],[condition]],Lookups!$A$37:$C$44,3,FALSE),1)</f>
        <v>0.97383723671140243</v>
      </c>
      <c r="BV1408" s="4">
        <f>IF(Grandview_Inventory[[#This Row],[bldg_style]]="",1,_xlfn.IFNA(VLOOKUP(Grandview_Inventory[[#This Row],[decade]],Lookups!$F$29:$H$43,3,FALSE),1))</f>
        <v>0.92255236374249616</v>
      </c>
      <c r="BW1408" s="4">
        <f>_xlfn.IFNA(VLOOKUP(Grandview_Inventory[[#This Row],[living_area_range]],Lookups!$F$47:$H$56,3,FALSE),1)</f>
        <v>0.94224801443562123</v>
      </c>
      <c r="BX1408" s="4">
        <f>AVERAGE(Grandview_Inventory[[#This Row],[qual_adj]:[size_adj]])</f>
        <v>0.94539807526576791</v>
      </c>
      <c r="BY1408" s="6">
        <f>IF(Grandview_Inventory[[#This Row],[pre_res]]&lt;0,0,Grandview_Inventory[[#This Row],[pre_res]]*Grandview_Inventory[[#This Row],[overall_adj]])</f>
        <v>358095.62289376446</v>
      </c>
      <c r="BZ1408" s="6">
        <f>(Grandview_Inventory[[#This Row],[sum_land]]-IF(Grandview_Inventory[[#This Row],[no_utilities]]=1,12000,0))/IF(Grandview_Inventory[[#This Row],[unbuildable]]=1,2,1)</f>
        <v>57875.216870710894</v>
      </c>
      <c r="CA1408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408">
        <f>ROUND(Grandview_Inventory[[#This Row],[det_value]]*Lookups!$M$28,-2)</f>
        <v>16500</v>
      </c>
      <c r="CC1408">
        <f>IF(ROUND(Grandview_Inventory[[#This Row],[adj_res]]*Lookups!$M$28,-2)&lt;Grandview_Inventory[[#This Row],[min_res]],Grandview_Inventory[[#This Row],[min_res]],ROUND(Grandview_Inventory[[#This Row],[adj_res]]*Lookups!$M$28,-2))</f>
        <v>340200</v>
      </c>
      <c r="CD1408">
        <f>Grandview_Inventory[[#This Row],[final_det]]+Grandview_Inventory[[#This Row],[final_res]]</f>
        <v>356700</v>
      </c>
      <c r="CE1408">
        <f>Grandview_Inventory[[#This Row],[final_land]]+Grandview_Inventory[[#This Row],[final_imp]]+Grandview_Inventory[[#This Row],[crop_value]]</f>
        <v>411700</v>
      </c>
      <c r="CG1408" t="str">
        <f t="shared" si="21"/>
        <v>update valuation set market_land =55000, market_bldg=356700, market_total =411700, market_mdno =401, market_date ='9/10/2023' where link_id = (select link_id from parcel where parcel_year = '2024' and parcel_id = '23092314555');</v>
      </c>
    </row>
    <row r="1409" spans="1:85" x14ac:dyDescent="0.25">
      <c r="A1409">
        <v>23092314599</v>
      </c>
      <c r="B1409">
        <v>0.25</v>
      </c>
      <c r="C1409" t="s">
        <v>129</v>
      </c>
      <c r="D1409" t="s">
        <v>129</v>
      </c>
      <c r="E1409" t="s">
        <v>53</v>
      </c>
      <c r="F1409" t="s">
        <v>53</v>
      </c>
      <c r="G1409">
        <v>4</v>
      </c>
      <c r="H1409" t="s">
        <v>54</v>
      </c>
      <c r="I1409">
        <v>111200</v>
      </c>
      <c r="J1409">
        <v>40500</v>
      </c>
      <c r="K1409">
        <v>0.25</v>
      </c>
      <c r="L140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409">
        <v>0</v>
      </c>
      <c r="N1409">
        <v>0</v>
      </c>
      <c r="O1409">
        <v>0</v>
      </c>
      <c r="P1409">
        <v>13398.7528</v>
      </c>
      <c r="Q1409">
        <v>63903</v>
      </c>
      <c r="R1409">
        <f>(Grandview_Inventory[[#This Row],[ln_acres]]*Grandview_Inventory[[#This Row],[coeff]])+Grandview_Inventory[[#This Row],[const]]</f>
        <v>45328.38454732066</v>
      </c>
      <c r="S1409" t="s">
        <v>68</v>
      </c>
      <c r="T1409">
        <v>1</v>
      </c>
      <c r="U1409" t="s">
        <v>80</v>
      </c>
      <c r="V1409" t="s">
        <v>69</v>
      </c>
      <c r="W1409">
        <v>0</v>
      </c>
      <c r="X1409">
        <v>0</v>
      </c>
      <c r="Y1409">
        <v>57</v>
      </c>
      <c r="Z1409">
        <v>103</v>
      </c>
      <c r="AA1409">
        <v>110</v>
      </c>
      <c r="AB1409">
        <v>1000</v>
      </c>
      <c r="AC1409">
        <v>908</v>
      </c>
      <c r="AD1409">
        <v>908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112</v>
      </c>
      <c r="AM1409">
        <v>0</v>
      </c>
      <c r="AN1409">
        <v>96</v>
      </c>
      <c r="AO1409">
        <v>0</v>
      </c>
      <c r="AP1409">
        <v>5</v>
      </c>
      <c r="AQ1409">
        <v>0</v>
      </c>
      <c r="AR1409">
        <v>0</v>
      </c>
      <c r="AS1409" t="s">
        <v>58</v>
      </c>
      <c r="AT1409">
        <v>0</v>
      </c>
      <c r="AU1409" t="s">
        <v>82</v>
      </c>
      <c r="AV1409" t="s">
        <v>64</v>
      </c>
      <c r="AW1409">
        <v>0</v>
      </c>
      <c r="AX1409">
        <v>2</v>
      </c>
      <c r="AY1409">
        <v>0</v>
      </c>
      <c r="AZ1409">
        <v>4500</v>
      </c>
      <c r="BA1409">
        <v>100</v>
      </c>
      <c r="BB1409">
        <v>100</v>
      </c>
      <c r="BC1409">
        <v>100</v>
      </c>
      <c r="BD1409">
        <v>100</v>
      </c>
      <c r="BE1409">
        <v>1</v>
      </c>
      <c r="BF1409">
        <v>15000</v>
      </c>
      <c r="BG1409">
        <v>1000</v>
      </c>
      <c r="BH1409" s="6">
        <f>Grandview_Inventory[[#This Row],[land_extract]]*Lookups!$B$3</f>
        <v>52639.730588165206</v>
      </c>
      <c r="BI1409" s="6">
        <f>IF(Grandview_Inventory[[#This Row],[bldg_style]]="",0,Lookups!$B$2)</f>
        <v>155833.95000000001</v>
      </c>
      <c r="BJ1409" s="6">
        <f>_xlfn.IFNA(VLOOKUP(Grandview_Inventory[[#This Row],[quality]],Lookups!$H$2:$J$14,3,FALSE),0)</f>
        <v>-28558</v>
      </c>
      <c r="BK1409" s="6">
        <f>_xlfn.IFNA(VLOOKUP(Grandview_Inventory[[#This Row],[condition]],Lookups!$H$17:$J$24,3,FALSE),0)</f>
        <v>-4503</v>
      </c>
      <c r="BL1409" s="6">
        <f>Grandview_Inventory[[#This Row],[Eff_Age]]*Lookups!$B$14</f>
        <v>-13632.4962</v>
      </c>
      <c r="BM1409" s="6">
        <f>Grandview_Inventory[[#This Row],[living_area]]*Lookups!$B$15</f>
        <v>56641.814524000001</v>
      </c>
      <c r="BN1409" s="6">
        <f>Grandview_Inventory[[#This Row],[Fin BSMT]]*Lookups!$B$16</f>
        <v>0</v>
      </c>
      <c r="BO1409" s="6">
        <f>(Grandview_Inventory[[#This Row],[att_gar]]+Grandview_Inventory[[#This Row],[bltin_gar]])*Lookups!$B$17</f>
        <v>0</v>
      </c>
      <c r="BP1409" s="6">
        <f>Grandview_Inventory[[#This Row],[Plumbing Fixtures]]*Lookups!$B$18</f>
        <v>10052.209000000001</v>
      </c>
      <c r="BQ1409" s="6">
        <f>Grandview_Inventory[[#This Row],[detatched_value]]*Lookups!$B$19</f>
        <v>3810.6229499999999</v>
      </c>
      <c r="BR1409" s="6">
        <f>SUM(Grandview_Inventory[[#This Row],[Intercept]:[det_value]])*Grandview_Inventory[[#This Row],[res_pct]]</f>
        <v>179645.100274</v>
      </c>
      <c r="BS1409" s="6">
        <f>Grandview_Inventory[[#This Row],[land_value]]</f>
        <v>52639.730588165206</v>
      </c>
      <c r="BT1409" s="4">
        <f>_xlfn.IFNA(VLOOKUP(Grandview_Inventory[[#This Row],[quality]],Lookups!$A$26:$C$33,3,FALSE),1)</f>
        <v>0.9690360070159818</v>
      </c>
      <c r="BU1409" s="4">
        <f>_xlfn.IFNA(VLOOKUP(Grandview_Inventory[[#This Row],[condition]],Lookups!$A$37:$C$44,3,FALSE),1)</f>
        <v>0.96469275950863709</v>
      </c>
      <c r="BV1409" s="4">
        <f>IF(Grandview_Inventory[[#This Row],[bldg_style]]="",1,_xlfn.IFNA(VLOOKUP(Grandview_Inventory[[#This Row],[decade]],Lookups!$F$29:$H$43,3,FALSE),1))</f>
        <v>0.92255236374249616</v>
      </c>
      <c r="BW1409" s="4">
        <f>_xlfn.IFNA(VLOOKUP(Grandview_Inventory[[#This Row],[living_area_range]],Lookups!$F$47:$H$56,3,FALSE),1)</f>
        <v>0.94306777142782894</v>
      </c>
      <c r="BX1409" s="4">
        <f>AVERAGE(Grandview_Inventory[[#This Row],[qual_adj]:[size_adj]])</f>
        <v>0.94983722542373594</v>
      </c>
      <c r="BY1409" s="6">
        <f>IF(Grandview_Inventory[[#This Row],[pre_res]]&lt;0,0,Grandview_Inventory[[#This Row],[pre_res]]*Grandview_Inventory[[#This Row],[overall_adj]])</f>
        <v>170633.60360522498</v>
      </c>
      <c r="BZ1409" s="6">
        <f>(Grandview_Inventory[[#This Row],[sum_land]]-IF(Grandview_Inventory[[#This Row],[no_utilities]]=1,12000,0))/IF(Grandview_Inventory[[#This Row],[unbuildable]]=1,2,1)</f>
        <v>52639.730588165206</v>
      </c>
      <c r="CA140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409">
        <f>ROUND(Grandview_Inventory[[#This Row],[det_value]]*Lookups!$M$28,-2)</f>
        <v>3600</v>
      </c>
      <c r="CC1409">
        <f>IF(ROUND(Grandview_Inventory[[#This Row],[adj_res]]*Lookups!$M$28,-2)&lt;Grandview_Inventory[[#This Row],[min_res]],Grandview_Inventory[[#This Row],[min_res]],ROUND(Grandview_Inventory[[#This Row],[adj_res]]*Lookups!$M$28,-2))</f>
        <v>162100</v>
      </c>
      <c r="CD1409">
        <f>Grandview_Inventory[[#This Row],[final_det]]+Grandview_Inventory[[#This Row],[final_res]]</f>
        <v>165700</v>
      </c>
      <c r="CE1409">
        <f>Grandview_Inventory[[#This Row],[final_land]]+Grandview_Inventory[[#This Row],[final_imp]]+Grandview_Inventory[[#This Row],[crop_value]]</f>
        <v>215700</v>
      </c>
      <c r="CG1409" t="str">
        <f t="shared" si="21"/>
        <v>update valuation set market_land =50000, market_bldg=165700, market_total =215700, market_mdno =401, market_date ='9/10/2023' where link_id = (select link_id from parcel where parcel_year = '2024' and parcel_id = '23092314599');</v>
      </c>
    </row>
    <row r="1410" spans="1:85" x14ac:dyDescent="0.25">
      <c r="A1410">
        <v>23092321419</v>
      </c>
      <c r="B1410">
        <v>0.28999999999999998</v>
      </c>
      <c r="C1410">
        <v>12480</v>
      </c>
      <c r="D1410" t="s">
        <v>129</v>
      </c>
      <c r="E1410" t="s">
        <v>53</v>
      </c>
      <c r="F1410" t="s">
        <v>53</v>
      </c>
      <c r="G1410">
        <v>4</v>
      </c>
      <c r="H1410" t="s">
        <v>54</v>
      </c>
      <c r="I1410">
        <v>152000</v>
      </c>
      <c r="J1410">
        <v>40500</v>
      </c>
      <c r="K1410">
        <v>0.28999999999999998</v>
      </c>
      <c r="L1410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410">
        <v>0</v>
      </c>
      <c r="N1410">
        <v>0</v>
      </c>
      <c r="O1410">
        <v>0</v>
      </c>
      <c r="P1410">
        <v>13398.7528</v>
      </c>
      <c r="Q1410">
        <v>63903</v>
      </c>
      <c r="R1410">
        <f>(Grandview_Inventory[[#This Row],[ln_acres]]*Grandview_Inventory[[#This Row],[coeff]])+Grandview_Inventory[[#This Row],[const]]</f>
        <v>47317.027506475133</v>
      </c>
      <c r="S1410" t="s">
        <v>61</v>
      </c>
      <c r="T1410">
        <v>1</v>
      </c>
      <c r="U1410" t="s">
        <v>65</v>
      </c>
      <c r="V1410" t="s">
        <v>69</v>
      </c>
      <c r="W1410">
        <v>0</v>
      </c>
      <c r="X1410">
        <v>0</v>
      </c>
      <c r="Y1410">
        <v>50</v>
      </c>
      <c r="Z1410">
        <v>73</v>
      </c>
      <c r="AA1410">
        <v>80</v>
      </c>
      <c r="AB1410">
        <v>1500</v>
      </c>
      <c r="AC1410">
        <v>1456</v>
      </c>
      <c r="AD1410">
        <v>1456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280</v>
      </c>
      <c r="AN1410">
        <v>0</v>
      </c>
      <c r="AO1410">
        <v>280</v>
      </c>
      <c r="AP1410">
        <v>7</v>
      </c>
      <c r="AQ1410">
        <v>0</v>
      </c>
      <c r="AR1410">
        <v>0</v>
      </c>
      <c r="AS1410" t="s">
        <v>58</v>
      </c>
      <c r="AT1410">
        <v>1</v>
      </c>
      <c r="AU1410" t="s">
        <v>63</v>
      </c>
      <c r="AV1410" t="s">
        <v>64</v>
      </c>
      <c r="AW1410">
        <v>1</v>
      </c>
      <c r="AX1410">
        <v>3</v>
      </c>
      <c r="AY1410">
        <v>0</v>
      </c>
      <c r="AZ1410">
        <v>0</v>
      </c>
      <c r="BA1410">
        <v>100</v>
      </c>
      <c r="BB1410">
        <v>100</v>
      </c>
      <c r="BC1410">
        <v>100</v>
      </c>
      <c r="BD1410">
        <v>100</v>
      </c>
      <c r="BE1410">
        <v>1</v>
      </c>
      <c r="BF1410">
        <v>15000</v>
      </c>
      <c r="BG1410">
        <v>1000</v>
      </c>
      <c r="BH1410" s="6">
        <f>Grandview_Inventory[[#This Row],[land_extract]]*Lookups!$B$3</f>
        <v>54949.136287295303</v>
      </c>
      <c r="BI1410" s="6">
        <f>IF(Grandview_Inventory[[#This Row],[bldg_style]]="",0,Lookups!$B$2)</f>
        <v>155833.95000000001</v>
      </c>
      <c r="BJ1410" s="6">
        <f>_xlfn.IFNA(VLOOKUP(Grandview_Inventory[[#This Row],[quality]],Lookups!$H$2:$J$14,3,FALSE),0)</f>
        <v>2251</v>
      </c>
      <c r="BK1410" s="6">
        <f>_xlfn.IFNA(VLOOKUP(Grandview_Inventory[[#This Row],[condition]],Lookups!$H$17:$J$24,3,FALSE),0)</f>
        <v>-4503</v>
      </c>
      <c r="BL1410" s="6">
        <f>Grandview_Inventory[[#This Row],[Eff_Age]]*Lookups!$B$14</f>
        <v>-11958.33</v>
      </c>
      <c r="BM1410" s="6">
        <f>Grandview_Inventory[[#This Row],[living_area]]*Lookups!$B$15</f>
        <v>90826.521968000001</v>
      </c>
      <c r="BN1410" s="6">
        <f>Grandview_Inventory[[#This Row],[Fin BSMT]]*Lookups!$B$16</f>
        <v>0</v>
      </c>
      <c r="BO1410" s="6">
        <f>(Grandview_Inventory[[#This Row],[att_gar]]+Grandview_Inventory[[#This Row],[bltin_gar]])*Lookups!$B$17</f>
        <v>0</v>
      </c>
      <c r="BP1410" s="6">
        <f>Grandview_Inventory[[#This Row],[Plumbing Fixtures]]*Lookups!$B$18</f>
        <v>14073.0926</v>
      </c>
      <c r="BQ1410" s="6">
        <f>Grandview_Inventory[[#This Row],[detatched_value]]*Lookups!$B$19</f>
        <v>0</v>
      </c>
      <c r="BR1410" s="6">
        <f>SUM(Grandview_Inventory[[#This Row],[Intercept]:[det_value]])*Grandview_Inventory[[#This Row],[res_pct]]</f>
        <v>246523.23456800004</v>
      </c>
      <c r="BS1410" s="6">
        <f>Grandview_Inventory[[#This Row],[land_value]]</f>
        <v>54949.136287295303</v>
      </c>
      <c r="BT1410" s="4">
        <f>_xlfn.IFNA(VLOOKUP(Grandview_Inventory[[#This Row],[quality]],Lookups!$A$26:$C$33,3,FALSE),1)</f>
        <v>0.98763855981004833</v>
      </c>
      <c r="BU1410" s="4">
        <f>_xlfn.IFNA(VLOOKUP(Grandview_Inventory[[#This Row],[condition]],Lookups!$A$37:$C$44,3,FALSE),1)</f>
        <v>0.96469275950863709</v>
      </c>
      <c r="BV1410" s="4">
        <f>IF(Grandview_Inventory[[#This Row],[bldg_style]]="",1,_xlfn.IFNA(VLOOKUP(Grandview_Inventory[[#This Row],[decade]],Lookups!$F$29:$H$43,3,FALSE),1))</f>
        <v>0.98763256963907298</v>
      </c>
      <c r="BW1410" s="4">
        <f>_xlfn.IFNA(VLOOKUP(Grandview_Inventory[[#This Row],[living_area_range]],Lookups!$F$47:$H$56,3,FALSE),1)</f>
        <v>0.96135087979789358</v>
      </c>
      <c r="BX1410" s="4">
        <f>AVERAGE(Grandview_Inventory[[#This Row],[qual_adj]:[size_adj]])</f>
        <v>0.97532869218891294</v>
      </c>
      <c r="BY1410" s="6">
        <f>IF(Grandview_Inventory[[#This Row],[pre_res]]&lt;0,0,Grandview_Inventory[[#This Row],[pre_res]]*Grandview_Inventory[[#This Row],[overall_adj]])</f>
        <v>240441.1839653881</v>
      </c>
      <c r="BZ1410" s="6">
        <f>(Grandview_Inventory[[#This Row],[sum_land]]-IF(Grandview_Inventory[[#This Row],[no_utilities]]=1,12000,0))/IF(Grandview_Inventory[[#This Row],[unbuildable]]=1,2,1)</f>
        <v>54949.136287295303</v>
      </c>
      <c r="CA1410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410">
        <f>ROUND(Grandview_Inventory[[#This Row],[det_value]]*Lookups!$M$28,-2)</f>
        <v>0</v>
      </c>
      <c r="CC1410">
        <f>IF(ROUND(Grandview_Inventory[[#This Row],[adj_res]]*Lookups!$M$28,-2)&lt;Grandview_Inventory[[#This Row],[min_res]],Grandview_Inventory[[#This Row],[min_res]],ROUND(Grandview_Inventory[[#This Row],[adj_res]]*Lookups!$M$28,-2))</f>
        <v>228400</v>
      </c>
      <c r="CD1410">
        <f>Grandview_Inventory[[#This Row],[final_det]]+Grandview_Inventory[[#This Row],[final_res]]</f>
        <v>228400</v>
      </c>
      <c r="CE1410">
        <f>Grandview_Inventory[[#This Row],[final_land]]+Grandview_Inventory[[#This Row],[final_imp]]+Grandview_Inventory[[#This Row],[crop_value]]</f>
        <v>280600</v>
      </c>
      <c r="CG1410" t="str">
        <f t="shared" si="21"/>
        <v>update valuation set market_land =52200, market_bldg=228400, market_total =280600, market_mdno =401, market_date ='9/10/2023' where link_id = (select link_id from parcel where parcel_year = '2024' and parcel_id = '23092321419');</v>
      </c>
    </row>
    <row r="1411" spans="1:85" x14ac:dyDescent="0.25">
      <c r="A1411">
        <v>23092321421</v>
      </c>
      <c r="B1411">
        <v>0.28999999999999998</v>
      </c>
      <c r="C1411">
        <v>12480</v>
      </c>
      <c r="D1411" t="s">
        <v>129</v>
      </c>
      <c r="E1411" t="s">
        <v>53</v>
      </c>
      <c r="F1411" t="s">
        <v>53</v>
      </c>
      <c r="G1411">
        <v>4</v>
      </c>
      <c r="H1411" t="s">
        <v>54</v>
      </c>
      <c r="I1411">
        <v>143000</v>
      </c>
      <c r="J1411">
        <v>40500</v>
      </c>
      <c r="K1411">
        <v>0.28999999999999998</v>
      </c>
      <c r="L141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411">
        <v>0</v>
      </c>
      <c r="N1411">
        <v>0</v>
      </c>
      <c r="O1411">
        <v>0</v>
      </c>
      <c r="P1411">
        <v>13398.7528</v>
      </c>
      <c r="Q1411">
        <v>63903</v>
      </c>
      <c r="R1411">
        <f>(Grandview_Inventory[[#This Row],[ln_acres]]*Grandview_Inventory[[#This Row],[coeff]])+Grandview_Inventory[[#This Row],[const]]</f>
        <v>47317.027506475133</v>
      </c>
      <c r="S1411" t="s">
        <v>68</v>
      </c>
      <c r="T1411">
        <v>1</v>
      </c>
      <c r="U1411" t="s">
        <v>70</v>
      </c>
      <c r="V1411" t="s">
        <v>69</v>
      </c>
      <c r="W1411">
        <v>0</v>
      </c>
      <c r="X1411">
        <v>0</v>
      </c>
      <c r="Y1411">
        <v>51</v>
      </c>
      <c r="Z1411">
        <v>83</v>
      </c>
      <c r="AA1411">
        <v>90</v>
      </c>
      <c r="AB1411">
        <v>1500</v>
      </c>
      <c r="AC1411">
        <v>1411</v>
      </c>
      <c r="AD1411">
        <v>1008</v>
      </c>
      <c r="AE1411">
        <v>0</v>
      </c>
      <c r="AF1411">
        <v>0</v>
      </c>
      <c r="AG1411">
        <v>403</v>
      </c>
      <c r="AH1411">
        <v>605</v>
      </c>
      <c r="AI1411">
        <v>368</v>
      </c>
      <c r="AJ1411">
        <v>0</v>
      </c>
      <c r="AK1411">
        <v>0</v>
      </c>
      <c r="AL1411">
        <v>0</v>
      </c>
      <c r="AM1411">
        <v>100</v>
      </c>
      <c r="AN1411">
        <v>0</v>
      </c>
      <c r="AO1411">
        <v>100</v>
      </c>
      <c r="AP1411">
        <v>5</v>
      </c>
      <c r="AQ1411">
        <v>0</v>
      </c>
      <c r="AR1411">
        <v>0</v>
      </c>
      <c r="AS1411" t="s">
        <v>58</v>
      </c>
      <c r="AT1411">
        <v>1</v>
      </c>
      <c r="AU1411" t="s">
        <v>63</v>
      </c>
      <c r="AV1411" t="s">
        <v>64</v>
      </c>
      <c r="AW1411">
        <v>0</v>
      </c>
      <c r="AX1411">
        <v>2</v>
      </c>
      <c r="AY1411">
        <v>0</v>
      </c>
      <c r="AZ1411">
        <v>0</v>
      </c>
      <c r="BA1411">
        <v>100</v>
      </c>
      <c r="BB1411">
        <v>100</v>
      </c>
      <c r="BC1411">
        <v>100</v>
      </c>
      <c r="BD1411">
        <v>100</v>
      </c>
      <c r="BE1411">
        <v>1</v>
      </c>
      <c r="BF1411">
        <v>15000</v>
      </c>
      <c r="BG1411">
        <v>1000</v>
      </c>
      <c r="BH1411" s="6">
        <f>Grandview_Inventory[[#This Row],[land_extract]]*Lookups!$B$3</f>
        <v>54949.136287295303</v>
      </c>
      <c r="BI1411" s="6">
        <f>IF(Grandview_Inventory[[#This Row],[bldg_style]]="",0,Lookups!$B$2)</f>
        <v>155833.95000000001</v>
      </c>
      <c r="BJ1411" s="6">
        <f>_xlfn.IFNA(VLOOKUP(Grandview_Inventory[[#This Row],[quality]],Lookups!$H$2:$J$14,3,FALSE),0)</f>
        <v>10733</v>
      </c>
      <c r="BK1411" s="6">
        <f>_xlfn.IFNA(VLOOKUP(Grandview_Inventory[[#This Row],[condition]],Lookups!$H$17:$J$24,3,FALSE),0)</f>
        <v>-4503</v>
      </c>
      <c r="BL1411" s="6">
        <f>Grandview_Inventory[[#This Row],[Eff_Age]]*Lookups!$B$14</f>
        <v>-12197.496599999999</v>
      </c>
      <c r="BM1411" s="6">
        <f>Grandview_Inventory[[#This Row],[living_area]]*Lookups!$B$15</f>
        <v>88019.383583000003</v>
      </c>
      <c r="BN1411" s="6">
        <f>Grandview_Inventory[[#This Row],[Fin BSMT]]*Lookups!$B$16</f>
        <v>-10920.99372</v>
      </c>
      <c r="BO1411" s="6">
        <f>(Grandview_Inventory[[#This Row],[att_gar]]+Grandview_Inventory[[#This Row],[bltin_gar]])*Lookups!$B$17</f>
        <v>32207.520816</v>
      </c>
      <c r="BP1411" s="6">
        <f>Grandview_Inventory[[#This Row],[Plumbing Fixtures]]*Lookups!$B$18</f>
        <v>10052.209000000001</v>
      </c>
      <c r="BQ1411" s="6">
        <f>Grandview_Inventory[[#This Row],[detatched_value]]*Lookups!$B$19</f>
        <v>0</v>
      </c>
      <c r="BR1411" s="6">
        <f>SUM(Grandview_Inventory[[#This Row],[Intercept]:[det_value]])*Grandview_Inventory[[#This Row],[res_pct]]</f>
        <v>269224.57307899999</v>
      </c>
      <c r="BS1411" s="6">
        <f>Grandview_Inventory[[#This Row],[land_value]]</f>
        <v>54949.136287295303</v>
      </c>
      <c r="BT1411" s="4">
        <f>_xlfn.IFNA(VLOOKUP(Grandview_Inventory[[#This Row],[quality]],Lookups!$A$26:$C$33,3,FALSE),1)</f>
        <v>0.98079741117310582</v>
      </c>
      <c r="BU1411" s="4">
        <f>_xlfn.IFNA(VLOOKUP(Grandview_Inventory[[#This Row],[condition]],Lookups!$A$37:$C$44,3,FALSE),1)</f>
        <v>0.96469275950863709</v>
      </c>
      <c r="BV1411" s="4">
        <f>IF(Grandview_Inventory[[#This Row],[bldg_style]]="",1,_xlfn.IFNA(VLOOKUP(Grandview_Inventory[[#This Row],[decade]],Lookups!$F$29:$H$43,3,FALSE),1))</f>
        <v>0.94161750052457416</v>
      </c>
      <c r="BW1411" s="4">
        <f>_xlfn.IFNA(VLOOKUP(Grandview_Inventory[[#This Row],[living_area_range]],Lookups!$F$47:$H$56,3,FALSE),1)</f>
        <v>0.96135087979789358</v>
      </c>
      <c r="BX1411" s="4">
        <f>AVERAGE(Grandview_Inventory[[#This Row],[qual_adj]:[size_adj]])</f>
        <v>0.96211463775105266</v>
      </c>
      <c r="BY1411" s="6">
        <f>IF(Grandview_Inventory[[#This Row],[pre_res]]&lt;0,0,Grandview_Inventory[[#This Row],[pre_res]]*Grandview_Inventory[[#This Row],[overall_adj]])</f>
        <v>259024.90260158389</v>
      </c>
      <c r="BZ1411" s="6">
        <f>(Grandview_Inventory[[#This Row],[sum_land]]-IF(Grandview_Inventory[[#This Row],[no_utilities]]=1,12000,0))/IF(Grandview_Inventory[[#This Row],[unbuildable]]=1,2,1)</f>
        <v>54949.136287295303</v>
      </c>
      <c r="CA141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411">
        <f>ROUND(Grandview_Inventory[[#This Row],[det_value]]*Lookups!$M$28,-2)</f>
        <v>0</v>
      </c>
      <c r="CC1411">
        <f>IF(ROUND(Grandview_Inventory[[#This Row],[adj_res]]*Lookups!$M$28,-2)&lt;Grandview_Inventory[[#This Row],[min_res]],Grandview_Inventory[[#This Row],[min_res]],ROUND(Grandview_Inventory[[#This Row],[adj_res]]*Lookups!$M$28,-2))</f>
        <v>246100</v>
      </c>
      <c r="CD1411">
        <f>Grandview_Inventory[[#This Row],[final_det]]+Grandview_Inventory[[#This Row],[final_res]]</f>
        <v>246100</v>
      </c>
      <c r="CE1411">
        <f>Grandview_Inventory[[#This Row],[final_land]]+Grandview_Inventory[[#This Row],[final_imp]]+Grandview_Inventory[[#This Row],[crop_value]]</f>
        <v>298300</v>
      </c>
      <c r="CG1411" t="str">
        <f t="shared" ref="CG1411:CG1474" si="22">"update valuation set market_land ="&amp;CA1411&amp;", market_bldg="&amp;CD1411&amp;", market_total ="&amp;CE1411&amp;", market_mdno ="&amp;$CG$1&amp;", market_date ='"&amp;TEXT($CH$1,"m/d/yyyy")&amp;"' where link_id = (select link_id from parcel where parcel_year = '2024' and parcel_id = '"&amp;A1411&amp;"');"</f>
        <v>update valuation set market_land =52200, market_bldg=246100, market_total =298300, market_mdno =401, market_date ='9/10/2023' where link_id = (select link_id from parcel where parcel_year = '2024' and parcel_id = '23092321421');</v>
      </c>
    </row>
    <row r="1412" spans="1:85" x14ac:dyDescent="0.25">
      <c r="A1412">
        <v>23092321422</v>
      </c>
      <c r="B1412">
        <v>0.28999999999999998</v>
      </c>
      <c r="C1412">
        <v>12480</v>
      </c>
      <c r="D1412" t="s">
        <v>129</v>
      </c>
      <c r="E1412" t="s">
        <v>53</v>
      </c>
      <c r="F1412" t="s">
        <v>53</v>
      </c>
      <c r="G1412">
        <v>4</v>
      </c>
      <c r="H1412" t="s">
        <v>54</v>
      </c>
      <c r="I1412">
        <v>128400</v>
      </c>
      <c r="J1412">
        <v>40500</v>
      </c>
      <c r="K1412">
        <v>0.28999999999999998</v>
      </c>
      <c r="L1412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412">
        <v>0</v>
      </c>
      <c r="N1412">
        <v>0</v>
      </c>
      <c r="O1412">
        <v>0</v>
      </c>
      <c r="P1412">
        <v>13398.7528</v>
      </c>
      <c r="Q1412">
        <v>63903</v>
      </c>
      <c r="R1412">
        <f>(Grandview_Inventory[[#This Row],[ln_acres]]*Grandview_Inventory[[#This Row],[coeff]])+Grandview_Inventory[[#This Row],[const]]</f>
        <v>47317.027506475133</v>
      </c>
      <c r="S1412" t="s">
        <v>61</v>
      </c>
      <c r="T1412">
        <v>1</v>
      </c>
      <c r="U1412" t="s">
        <v>70</v>
      </c>
      <c r="V1412" t="s">
        <v>78</v>
      </c>
      <c r="W1412">
        <v>0</v>
      </c>
      <c r="X1412">
        <v>0</v>
      </c>
      <c r="Y1412">
        <v>50</v>
      </c>
      <c r="Z1412">
        <v>73</v>
      </c>
      <c r="AA1412">
        <v>80</v>
      </c>
      <c r="AB1412">
        <v>1500</v>
      </c>
      <c r="AC1412">
        <v>1176</v>
      </c>
      <c r="AD1412">
        <v>1176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5</v>
      </c>
      <c r="AQ1412">
        <v>1</v>
      </c>
      <c r="AR1412">
        <v>0</v>
      </c>
      <c r="AS1412" t="s">
        <v>58</v>
      </c>
      <c r="AT1412">
        <v>1</v>
      </c>
      <c r="AU1412" t="s">
        <v>75</v>
      </c>
      <c r="AV1412" t="s">
        <v>60</v>
      </c>
      <c r="AW1412">
        <v>0</v>
      </c>
      <c r="AX1412">
        <v>3</v>
      </c>
      <c r="AY1412">
        <v>0</v>
      </c>
      <c r="AZ1412">
        <v>7100</v>
      </c>
      <c r="BA1412">
        <v>100</v>
      </c>
      <c r="BB1412">
        <v>100</v>
      </c>
      <c r="BC1412">
        <v>100</v>
      </c>
      <c r="BD1412">
        <v>100</v>
      </c>
      <c r="BE1412">
        <v>1</v>
      </c>
      <c r="BF1412">
        <v>15000</v>
      </c>
      <c r="BG1412">
        <v>1000</v>
      </c>
      <c r="BH1412" s="6">
        <f>Grandview_Inventory[[#This Row],[land_extract]]*Lookups!$B$3</f>
        <v>54949.136287295303</v>
      </c>
      <c r="BI1412" s="6">
        <f>IF(Grandview_Inventory[[#This Row],[bldg_style]]="",0,Lookups!$B$2)</f>
        <v>155833.95000000001</v>
      </c>
      <c r="BJ1412" s="6">
        <f>_xlfn.IFNA(VLOOKUP(Grandview_Inventory[[#This Row],[quality]],Lookups!$H$2:$J$14,3,FALSE),0)</f>
        <v>10733</v>
      </c>
      <c r="BK1412" s="6">
        <f>_xlfn.IFNA(VLOOKUP(Grandview_Inventory[[#This Row],[condition]],Lookups!$H$17:$J$24,3,FALSE),0)</f>
        <v>-45357</v>
      </c>
      <c r="BL1412" s="6">
        <f>Grandview_Inventory[[#This Row],[Eff_Age]]*Lookups!$B$14</f>
        <v>-11958.33</v>
      </c>
      <c r="BM1412" s="6">
        <f>Grandview_Inventory[[#This Row],[living_area]]*Lookups!$B$15</f>
        <v>73359.883128000001</v>
      </c>
      <c r="BN1412" s="6">
        <f>Grandview_Inventory[[#This Row],[Fin BSMT]]*Lookups!$B$16</f>
        <v>0</v>
      </c>
      <c r="BO1412" s="6">
        <f>(Grandview_Inventory[[#This Row],[att_gar]]+Grandview_Inventory[[#This Row],[bltin_gar]])*Lookups!$B$17</f>
        <v>0</v>
      </c>
      <c r="BP1412" s="6">
        <f>Grandview_Inventory[[#This Row],[Plumbing Fixtures]]*Lookups!$B$18</f>
        <v>10052.209000000001</v>
      </c>
      <c r="BQ1412" s="6">
        <f>Grandview_Inventory[[#This Row],[detatched_value]]*Lookups!$B$19</f>
        <v>6012.31621</v>
      </c>
      <c r="BR1412" s="6">
        <f>SUM(Grandview_Inventory[[#This Row],[Intercept]:[det_value]])*Grandview_Inventory[[#This Row],[res_pct]]</f>
        <v>198676.028338</v>
      </c>
      <c r="BS1412" s="6">
        <f>Grandview_Inventory[[#This Row],[land_value]]</f>
        <v>54949.136287295303</v>
      </c>
      <c r="BT1412" s="4">
        <f>_xlfn.IFNA(VLOOKUP(Grandview_Inventory[[#This Row],[quality]],Lookups!$A$26:$C$33,3,FALSE),1)</f>
        <v>0.98079741117310582</v>
      </c>
      <c r="BU1412" s="4">
        <f>_xlfn.IFNA(VLOOKUP(Grandview_Inventory[[#This Row],[condition]],Lookups!$A$37:$C$44,3,FALSE),1)</f>
        <v>0.97161819570155394</v>
      </c>
      <c r="BV1412" s="4">
        <f>IF(Grandview_Inventory[[#This Row],[bldg_style]]="",1,_xlfn.IFNA(VLOOKUP(Grandview_Inventory[[#This Row],[decade]],Lookups!$F$29:$H$43,3,FALSE),1))</f>
        <v>0.98763256963907298</v>
      </c>
      <c r="BW1412" s="4">
        <f>_xlfn.IFNA(VLOOKUP(Grandview_Inventory[[#This Row],[living_area_range]],Lookups!$F$47:$H$56,3,FALSE),1)</f>
        <v>0.96135087979789358</v>
      </c>
      <c r="BX1412" s="4">
        <f>AVERAGE(Grandview_Inventory[[#This Row],[qual_adj]:[size_adj]])</f>
        <v>0.97534976407790652</v>
      </c>
      <c r="BY1412" s="6">
        <f>IF(Grandview_Inventory[[#This Row],[pre_res]]&lt;0,0,Grandview_Inventory[[#This Row],[pre_res]]*Grandview_Inventory[[#This Row],[overall_adj]])</f>
        <v>193778.61736740379</v>
      </c>
      <c r="BZ1412" s="6">
        <f>(Grandview_Inventory[[#This Row],[sum_land]]-IF(Grandview_Inventory[[#This Row],[no_utilities]]=1,12000,0))/IF(Grandview_Inventory[[#This Row],[unbuildable]]=1,2,1)</f>
        <v>54949.136287295303</v>
      </c>
      <c r="CA1412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412">
        <f>ROUND(Grandview_Inventory[[#This Row],[det_value]]*Lookups!$M$28,-2)</f>
        <v>5700</v>
      </c>
      <c r="CC1412">
        <f>IF(ROUND(Grandview_Inventory[[#This Row],[adj_res]]*Lookups!$M$28,-2)&lt;Grandview_Inventory[[#This Row],[min_res]],Grandview_Inventory[[#This Row],[min_res]],ROUND(Grandview_Inventory[[#This Row],[adj_res]]*Lookups!$M$28,-2))</f>
        <v>184100</v>
      </c>
      <c r="CD1412">
        <f>Grandview_Inventory[[#This Row],[final_det]]+Grandview_Inventory[[#This Row],[final_res]]</f>
        <v>189800</v>
      </c>
      <c r="CE1412">
        <f>Grandview_Inventory[[#This Row],[final_land]]+Grandview_Inventory[[#This Row],[final_imp]]+Grandview_Inventory[[#This Row],[crop_value]]</f>
        <v>242000</v>
      </c>
      <c r="CG1412" t="str">
        <f t="shared" si="22"/>
        <v>update valuation set market_land =52200, market_bldg=189800, market_total =242000, market_mdno =401, market_date ='9/10/2023' where link_id = (select link_id from parcel where parcel_year = '2024' and parcel_id = '23092321422');</v>
      </c>
    </row>
    <row r="1413" spans="1:85" x14ac:dyDescent="0.25">
      <c r="A1413">
        <v>23092321425</v>
      </c>
      <c r="B1413">
        <v>0.31</v>
      </c>
      <c r="C1413">
        <v>13493</v>
      </c>
      <c r="D1413" t="s">
        <v>129</v>
      </c>
      <c r="E1413" t="s">
        <v>53</v>
      </c>
      <c r="F1413" t="s">
        <v>53</v>
      </c>
      <c r="G1413">
        <v>4</v>
      </c>
      <c r="H1413" t="s">
        <v>54</v>
      </c>
      <c r="I1413">
        <v>181600</v>
      </c>
      <c r="J1413">
        <v>41600</v>
      </c>
      <c r="K1413">
        <v>0.31</v>
      </c>
      <c r="L1413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413">
        <v>0</v>
      </c>
      <c r="N1413">
        <v>0</v>
      </c>
      <c r="O1413">
        <v>0</v>
      </c>
      <c r="P1413">
        <v>13398.7528</v>
      </c>
      <c r="Q1413">
        <v>63903</v>
      </c>
      <c r="R1413">
        <f>(Grandview_Inventory[[#This Row],[ln_acres]]*Grandview_Inventory[[#This Row],[coeff]])+Grandview_Inventory[[#This Row],[const]]</f>
        <v>48210.608747275066</v>
      </c>
      <c r="S1413" t="s">
        <v>61</v>
      </c>
      <c r="T1413">
        <v>1</v>
      </c>
      <c r="U1413" t="s">
        <v>65</v>
      </c>
      <c r="V1413" t="s">
        <v>69</v>
      </c>
      <c r="W1413">
        <v>0</v>
      </c>
      <c r="X1413">
        <v>0</v>
      </c>
      <c r="Y1413">
        <v>50</v>
      </c>
      <c r="Z1413">
        <v>76</v>
      </c>
      <c r="AA1413">
        <v>80</v>
      </c>
      <c r="AB1413">
        <v>1500</v>
      </c>
      <c r="AC1413">
        <v>1500</v>
      </c>
      <c r="AD1413">
        <v>1324</v>
      </c>
      <c r="AE1413">
        <v>0</v>
      </c>
      <c r="AF1413">
        <v>0</v>
      </c>
      <c r="AG1413">
        <v>176</v>
      </c>
      <c r="AH1413">
        <v>703</v>
      </c>
      <c r="AI1413">
        <v>520</v>
      </c>
      <c r="AJ1413">
        <v>0</v>
      </c>
      <c r="AK1413">
        <v>0</v>
      </c>
      <c r="AL1413">
        <v>0</v>
      </c>
      <c r="AM1413">
        <v>120</v>
      </c>
      <c r="AN1413">
        <v>60</v>
      </c>
      <c r="AO1413">
        <v>0</v>
      </c>
      <c r="AP1413">
        <v>8</v>
      </c>
      <c r="AQ1413">
        <v>0</v>
      </c>
      <c r="AR1413">
        <v>0</v>
      </c>
      <c r="AS1413" t="s">
        <v>58</v>
      </c>
      <c r="AT1413">
        <v>1</v>
      </c>
      <c r="AU1413" t="s">
        <v>63</v>
      </c>
      <c r="AV1413" t="s">
        <v>64</v>
      </c>
      <c r="AW1413">
        <v>1</v>
      </c>
      <c r="AX1413">
        <v>2</v>
      </c>
      <c r="AY1413">
        <v>0</v>
      </c>
      <c r="AZ1413">
        <v>0</v>
      </c>
      <c r="BA1413">
        <v>100</v>
      </c>
      <c r="BB1413">
        <v>100</v>
      </c>
      <c r="BC1413">
        <v>100</v>
      </c>
      <c r="BD1413">
        <v>100</v>
      </c>
      <c r="BE1413">
        <v>1</v>
      </c>
      <c r="BF1413">
        <v>15000</v>
      </c>
      <c r="BG1413">
        <v>1000</v>
      </c>
      <c r="BH1413" s="6">
        <f>Grandview_Inventory[[#This Row],[land_extract]]*Lookups!$B$3</f>
        <v>55986.849769566914</v>
      </c>
      <c r="BI1413" s="6">
        <f>IF(Grandview_Inventory[[#This Row],[bldg_style]]="",0,Lookups!$B$2)</f>
        <v>155833.95000000001</v>
      </c>
      <c r="BJ1413" s="6">
        <f>_xlfn.IFNA(VLOOKUP(Grandview_Inventory[[#This Row],[quality]],Lookups!$H$2:$J$14,3,FALSE),0)</f>
        <v>2251</v>
      </c>
      <c r="BK1413" s="6">
        <f>_xlfn.IFNA(VLOOKUP(Grandview_Inventory[[#This Row],[condition]],Lookups!$H$17:$J$24,3,FALSE),0)</f>
        <v>-4503</v>
      </c>
      <c r="BL1413" s="6">
        <f>Grandview_Inventory[[#This Row],[Eff_Age]]*Lookups!$B$14</f>
        <v>-11958.33</v>
      </c>
      <c r="BM1413" s="6">
        <f>Grandview_Inventory[[#This Row],[living_area]]*Lookups!$B$15</f>
        <v>93571.279500000004</v>
      </c>
      <c r="BN1413" s="6">
        <f>Grandview_Inventory[[#This Row],[Fin BSMT]]*Lookups!$B$16</f>
        <v>-4769.4662400000007</v>
      </c>
      <c r="BO1413" s="6">
        <f>(Grandview_Inventory[[#This Row],[att_gar]]+Grandview_Inventory[[#This Row],[bltin_gar]])*Lookups!$B$17</f>
        <v>45510.627240000002</v>
      </c>
      <c r="BP1413" s="6">
        <f>Grandview_Inventory[[#This Row],[Plumbing Fixtures]]*Lookups!$B$18</f>
        <v>16083.5344</v>
      </c>
      <c r="BQ1413" s="6">
        <f>Grandview_Inventory[[#This Row],[detatched_value]]*Lookups!$B$19</f>
        <v>0</v>
      </c>
      <c r="BR1413" s="6">
        <f>SUM(Grandview_Inventory[[#This Row],[Intercept]:[det_value]])*Grandview_Inventory[[#This Row],[res_pct]]</f>
        <v>292019.59490000003</v>
      </c>
      <c r="BS1413" s="6">
        <f>Grandview_Inventory[[#This Row],[land_value]]</f>
        <v>55986.849769566914</v>
      </c>
      <c r="BT1413" s="4">
        <f>_xlfn.IFNA(VLOOKUP(Grandview_Inventory[[#This Row],[quality]],Lookups!$A$26:$C$33,3,FALSE),1)</f>
        <v>0.98763855981004833</v>
      </c>
      <c r="BU1413" s="4">
        <f>_xlfn.IFNA(VLOOKUP(Grandview_Inventory[[#This Row],[condition]],Lookups!$A$37:$C$44,3,FALSE),1)</f>
        <v>0.96469275950863709</v>
      </c>
      <c r="BV1413" s="4">
        <f>IF(Grandview_Inventory[[#This Row],[bldg_style]]="",1,_xlfn.IFNA(VLOOKUP(Grandview_Inventory[[#This Row],[decade]],Lookups!$F$29:$H$43,3,FALSE),1))</f>
        <v>0.98763256963907298</v>
      </c>
      <c r="BW1413" s="4">
        <f>_xlfn.IFNA(VLOOKUP(Grandview_Inventory[[#This Row],[living_area_range]],Lookups!$F$47:$H$56,3,FALSE),1)</f>
        <v>0.96135087979789358</v>
      </c>
      <c r="BX1413" s="4">
        <f>AVERAGE(Grandview_Inventory[[#This Row],[qual_adj]:[size_adj]])</f>
        <v>0.97532869218891294</v>
      </c>
      <c r="BY1413" s="6">
        <f>IF(Grandview_Inventory[[#This Row],[pre_res]]&lt;0,0,Grandview_Inventory[[#This Row],[pre_res]]*Grandview_Inventory[[#This Row],[overall_adj]])</f>
        <v>284815.08958735317</v>
      </c>
      <c r="BZ1413" s="6">
        <f>(Grandview_Inventory[[#This Row],[sum_land]]-IF(Grandview_Inventory[[#This Row],[no_utilities]]=1,12000,0))/IF(Grandview_Inventory[[#This Row],[unbuildable]]=1,2,1)</f>
        <v>55986.849769566914</v>
      </c>
      <c r="CA1413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413">
        <f>ROUND(Grandview_Inventory[[#This Row],[det_value]]*Lookups!$M$28,-2)</f>
        <v>0</v>
      </c>
      <c r="CC1413">
        <f>IF(ROUND(Grandview_Inventory[[#This Row],[adj_res]]*Lookups!$M$28,-2)&lt;Grandview_Inventory[[#This Row],[min_res]],Grandview_Inventory[[#This Row],[min_res]],ROUND(Grandview_Inventory[[#This Row],[adj_res]]*Lookups!$M$28,-2))</f>
        <v>270600</v>
      </c>
      <c r="CD1413">
        <f>Grandview_Inventory[[#This Row],[final_det]]+Grandview_Inventory[[#This Row],[final_res]]</f>
        <v>270600</v>
      </c>
      <c r="CE1413">
        <f>Grandview_Inventory[[#This Row],[final_land]]+Grandview_Inventory[[#This Row],[final_imp]]+Grandview_Inventory[[#This Row],[crop_value]]</f>
        <v>323800</v>
      </c>
      <c r="CG1413" t="str">
        <f t="shared" si="22"/>
        <v>update valuation set market_land =53200, market_bldg=270600, market_total =323800, market_mdno =401, market_date ='9/10/2023' where link_id = (select link_id from parcel where parcel_year = '2024' and parcel_id = '23092321425');</v>
      </c>
    </row>
    <row r="1414" spans="1:85" x14ac:dyDescent="0.25">
      <c r="A1414">
        <v>23092321426</v>
      </c>
      <c r="B1414">
        <v>0.16</v>
      </c>
      <c r="C1414">
        <v>6990</v>
      </c>
      <c r="D1414" t="s">
        <v>129</v>
      </c>
      <c r="E1414" t="s">
        <v>53</v>
      </c>
      <c r="F1414" t="s">
        <v>53</v>
      </c>
      <c r="G1414">
        <v>4</v>
      </c>
      <c r="H1414" t="s">
        <v>54</v>
      </c>
      <c r="I1414">
        <v>113700</v>
      </c>
      <c r="J1414">
        <v>39100</v>
      </c>
      <c r="K1414">
        <v>0.16</v>
      </c>
      <c r="L141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14">
        <v>0</v>
      </c>
      <c r="N1414">
        <v>0</v>
      </c>
      <c r="O1414">
        <v>0</v>
      </c>
      <c r="P1414">
        <v>13398.7528</v>
      </c>
      <c r="Q1414">
        <v>63903</v>
      </c>
      <c r="R1414">
        <f>(Grandview_Inventory[[#This Row],[ln_acres]]*Grandview_Inventory[[#This Row],[coeff]])+Grandview_Inventory[[#This Row],[const]]</f>
        <v>39348.693981374228</v>
      </c>
      <c r="S1414" t="s">
        <v>68</v>
      </c>
      <c r="T1414">
        <v>1</v>
      </c>
      <c r="U1414" t="s">
        <v>70</v>
      </c>
      <c r="V1414" t="s">
        <v>69</v>
      </c>
      <c r="W1414">
        <v>0</v>
      </c>
      <c r="X1414">
        <v>0</v>
      </c>
      <c r="Y1414">
        <v>51</v>
      </c>
      <c r="Z1414">
        <v>78</v>
      </c>
      <c r="AA1414">
        <v>80</v>
      </c>
      <c r="AB1414">
        <v>1000</v>
      </c>
      <c r="AC1414">
        <v>834</v>
      </c>
      <c r="AD1414">
        <v>834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83</v>
      </c>
      <c r="AO1414">
        <v>0</v>
      </c>
      <c r="AP1414">
        <v>5</v>
      </c>
      <c r="AQ1414">
        <v>0</v>
      </c>
      <c r="AR1414">
        <v>0</v>
      </c>
      <c r="AS1414" t="s">
        <v>58</v>
      </c>
      <c r="AT1414">
        <v>1</v>
      </c>
      <c r="AU1414" t="s">
        <v>63</v>
      </c>
      <c r="AV1414" t="s">
        <v>60</v>
      </c>
      <c r="AW1414">
        <v>0</v>
      </c>
      <c r="AX1414">
        <v>2</v>
      </c>
      <c r="AY1414">
        <v>0</v>
      </c>
      <c r="AZ1414">
        <v>0</v>
      </c>
      <c r="BA1414">
        <v>100</v>
      </c>
      <c r="BB1414">
        <v>100</v>
      </c>
      <c r="BC1414">
        <v>100</v>
      </c>
      <c r="BD1414">
        <v>100</v>
      </c>
      <c r="BE1414">
        <v>1</v>
      </c>
      <c r="BF1414">
        <v>15000</v>
      </c>
      <c r="BG1414">
        <v>1000</v>
      </c>
      <c r="BH1414" s="6">
        <f>Grandview_Inventory[[#This Row],[land_extract]]*Lookups!$B$3</f>
        <v>45695.532079096141</v>
      </c>
      <c r="BI1414" s="6">
        <f>IF(Grandview_Inventory[[#This Row],[bldg_style]]="",0,Lookups!$B$2)</f>
        <v>155833.95000000001</v>
      </c>
      <c r="BJ1414" s="6">
        <f>_xlfn.IFNA(VLOOKUP(Grandview_Inventory[[#This Row],[quality]],Lookups!$H$2:$J$14,3,FALSE),0)</f>
        <v>10733</v>
      </c>
      <c r="BK1414" s="6">
        <f>_xlfn.IFNA(VLOOKUP(Grandview_Inventory[[#This Row],[condition]],Lookups!$H$17:$J$24,3,FALSE),0)</f>
        <v>-4503</v>
      </c>
      <c r="BL1414" s="6">
        <f>Grandview_Inventory[[#This Row],[Eff_Age]]*Lookups!$B$14</f>
        <v>-12197.496599999999</v>
      </c>
      <c r="BM1414" s="6">
        <f>Grandview_Inventory[[#This Row],[living_area]]*Lookups!$B$15</f>
        <v>52025.631401999999</v>
      </c>
      <c r="BN1414" s="6">
        <f>Grandview_Inventory[[#This Row],[Fin BSMT]]*Lookups!$B$16</f>
        <v>0</v>
      </c>
      <c r="BO1414" s="6">
        <f>(Grandview_Inventory[[#This Row],[att_gar]]+Grandview_Inventory[[#This Row],[bltin_gar]])*Lookups!$B$17</f>
        <v>0</v>
      </c>
      <c r="BP1414" s="6">
        <f>Grandview_Inventory[[#This Row],[Plumbing Fixtures]]*Lookups!$B$18</f>
        <v>10052.209000000001</v>
      </c>
      <c r="BQ1414" s="6">
        <f>Grandview_Inventory[[#This Row],[detatched_value]]*Lookups!$B$19</f>
        <v>0</v>
      </c>
      <c r="BR1414" s="6">
        <f>SUM(Grandview_Inventory[[#This Row],[Intercept]:[det_value]])*Grandview_Inventory[[#This Row],[res_pct]]</f>
        <v>211944.293802</v>
      </c>
      <c r="BS1414" s="6">
        <f>Grandview_Inventory[[#This Row],[land_value]]</f>
        <v>45695.532079096141</v>
      </c>
      <c r="BT1414" s="4">
        <f>_xlfn.IFNA(VLOOKUP(Grandview_Inventory[[#This Row],[quality]],Lookups!$A$26:$C$33,3,FALSE),1)</f>
        <v>0.98079741117310582</v>
      </c>
      <c r="BU1414" s="4">
        <f>_xlfn.IFNA(VLOOKUP(Grandview_Inventory[[#This Row],[condition]],Lookups!$A$37:$C$44,3,FALSE),1)</f>
        <v>0.96469275950863709</v>
      </c>
      <c r="BV1414" s="4">
        <f>IF(Grandview_Inventory[[#This Row],[bldg_style]]="",1,_xlfn.IFNA(VLOOKUP(Grandview_Inventory[[#This Row],[decade]],Lookups!$F$29:$H$43,3,FALSE),1))</f>
        <v>0.98763256963907298</v>
      </c>
      <c r="BW1414" s="4">
        <f>_xlfn.IFNA(VLOOKUP(Grandview_Inventory[[#This Row],[living_area_range]],Lookups!$F$47:$H$56,3,FALSE),1)</f>
        <v>0.94306777142782894</v>
      </c>
      <c r="BX1414" s="4">
        <f>AVERAGE(Grandview_Inventory[[#This Row],[qual_adj]:[size_adj]])</f>
        <v>0.96904762793716115</v>
      </c>
      <c r="BY1414" s="6">
        <f>IF(Grandview_Inventory[[#This Row],[pre_res]]&lt;0,0,Grandview_Inventory[[#This Row],[pre_res]]*Grandview_Inventory[[#This Row],[overall_adj]])</f>
        <v>205384.11516364486</v>
      </c>
      <c r="BZ1414" s="6">
        <f>(Grandview_Inventory[[#This Row],[sum_land]]-IF(Grandview_Inventory[[#This Row],[no_utilities]]=1,12000,0))/IF(Grandview_Inventory[[#This Row],[unbuildable]]=1,2,1)</f>
        <v>45695.532079096141</v>
      </c>
      <c r="CA141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14">
        <f>ROUND(Grandview_Inventory[[#This Row],[det_value]]*Lookups!$M$28,-2)</f>
        <v>0</v>
      </c>
      <c r="CC1414">
        <f>IF(ROUND(Grandview_Inventory[[#This Row],[adj_res]]*Lookups!$M$28,-2)&lt;Grandview_Inventory[[#This Row],[min_res]],Grandview_Inventory[[#This Row],[min_res]],ROUND(Grandview_Inventory[[#This Row],[adj_res]]*Lookups!$M$28,-2))</f>
        <v>195100</v>
      </c>
      <c r="CD1414">
        <f>Grandview_Inventory[[#This Row],[final_det]]+Grandview_Inventory[[#This Row],[final_res]]</f>
        <v>195100</v>
      </c>
      <c r="CE1414">
        <f>Grandview_Inventory[[#This Row],[final_land]]+Grandview_Inventory[[#This Row],[final_imp]]+Grandview_Inventory[[#This Row],[crop_value]]</f>
        <v>238500</v>
      </c>
      <c r="CG1414" t="str">
        <f t="shared" si="22"/>
        <v>update valuation set market_land =43400, market_bldg=195100, market_total =238500, market_mdno =401, market_date ='9/10/2023' where link_id = (select link_id from parcel where parcel_year = '2024' and parcel_id = '23092321426');</v>
      </c>
    </row>
    <row r="1415" spans="1:85" x14ac:dyDescent="0.25">
      <c r="A1415">
        <v>23092321430</v>
      </c>
      <c r="B1415">
        <v>0.16</v>
      </c>
      <c r="C1415" t="s">
        <v>129</v>
      </c>
      <c r="D1415" t="s">
        <v>129</v>
      </c>
      <c r="E1415" t="s">
        <v>53</v>
      </c>
      <c r="F1415" t="s">
        <v>53</v>
      </c>
      <c r="G1415">
        <v>4</v>
      </c>
      <c r="H1415" t="s">
        <v>54</v>
      </c>
      <c r="I1415">
        <v>151800</v>
      </c>
      <c r="J1415">
        <v>39100</v>
      </c>
      <c r="K1415">
        <v>0.16</v>
      </c>
      <c r="L141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15">
        <v>0</v>
      </c>
      <c r="N1415">
        <v>0</v>
      </c>
      <c r="O1415">
        <v>0</v>
      </c>
      <c r="P1415">
        <v>13398.7528</v>
      </c>
      <c r="Q1415">
        <v>63903</v>
      </c>
      <c r="R1415">
        <f>(Grandview_Inventory[[#This Row],[ln_acres]]*Grandview_Inventory[[#This Row],[coeff]])+Grandview_Inventory[[#This Row],[const]]</f>
        <v>39348.693981374228</v>
      </c>
      <c r="S1415" t="s">
        <v>68</v>
      </c>
      <c r="T1415">
        <v>1</v>
      </c>
      <c r="U1415" t="s">
        <v>80</v>
      </c>
      <c r="V1415" t="s">
        <v>67</v>
      </c>
      <c r="W1415">
        <v>0</v>
      </c>
      <c r="X1415">
        <v>0</v>
      </c>
      <c r="Y1415">
        <v>51</v>
      </c>
      <c r="Z1415">
        <v>78</v>
      </c>
      <c r="AA1415">
        <v>80</v>
      </c>
      <c r="AB1415">
        <v>1500</v>
      </c>
      <c r="AC1415">
        <v>1202</v>
      </c>
      <c r="AD1415">
        <v>1202</v>
      </c>
      <c r="AE1415">
        <v>0</v>
      </c>
      <c r="AF1415">
        <v>0</v>
      </c>
      <c r="AG1415">
        <v>0</v>
      </c>
      <c r="AH1415">
        <v>251</v>
      </c>
      <c r="AI1415">
        <v>0</v>
      </c>
      <c r="AJ1415">
        <v>0</v>
      </c>
      <c r="AK1415">
        <v>0</v>
      </c>
      <c r="AL1415">
        <v>0</v>
      </c>
      <c r="AM1415">
        <v>510</v>
      </c>
      <c r="AN1415">
        <v>0</v>
      </c>
      <c r="AO1415">
        <v>510</v>
      </c>
      <c r="AP1415">
        <v>5</v>
      </c>
      <c r="AQ1415">
        <v>0</v>
      </c>
      <c r="AR1415">
        <v>0</v>
      </c>
      <c r="AS1415" t="s">
        <v>58</v>
      </c>
      <c r="AT1415">
        <v>1</v>
      </c>
      <c r="AU1415" t="s">
        <v>59</v>
      </c>
      <c r="AV1415" t="s">
        <v>60</v>
      </c>
      <c r="AW1415">
        <v>1</v>
      </c>
      <c r="AX1415">
        <v>2</v>
      </c>
      <c r="AY1415">
        <v>0</v>
      </c>
      <c r="AZ1415">
        <v>0</v>
      </c>
      <c r="BA1415">
        <v>100</v>
      </c>
      <c r="BB1415">
        <v>100</v>
      </c>
      <c r="BC1415">
        <v>100</v>
      </c>
      <c r="BD1415">
        <v>100</v>
      </c>
      <c r="BE1415">
        <v>1</v>
      </c>
      <c r="BF1415">
        <v>15000</v>
      </c>
      <c r="BG1415">
        <v>1000</v>
      </c>
      <c r="BH1415" s="6">
        <f>Grandview_Inventory[[#This Row],[land_extract]]*Lookups!$B$3</f>
        <v>45695.532079096141</v>
      </c>
      <c r="BI1415" s="6">
        <f>IF(Grandview_Inventory[[#This Row],[bldg_style]]="",0,Lookups!$B$2)</f>
        <v>155833.95000000001</v>
      </c>
      <c r="BJ1415" s="6">
        <f>_xlfn.IFNA(VLOOKUP(Grandview_Inventory[[#This Row],[quality]],Lookups!$H$2:$J$14,3,FALSE),0)</f>
        <v>-28558</v>
      </c>
      <c r="BK1415" s="6">
        <f>_xlfn.IFNA(VLOOKUP(Grandview_Inventory[[#This Row],[condition]],Lookups!$H$17:$J$24,3,FALSE),0)</f>
        <v>22342</v>
      </c>
      <c r="BL1415" s="6">
        <f>Grandview_Inventory[[#This Row],[Eff_Age]]*Lookups!$B$14</f>
        <v>-12197.496599999999</v>
      </c>
      <c r="BM1415" s="6">
        <f>Grandview_Inventory[[#This Row],[living_area]]*Lookups!$B$15</f>
        <v>74981.785306000005</v>
      </c>
      <c r="BN1415" s="6">
        <f>Grandview_Inventory[[#This Row],[Fin BSMT]]*Lookups!$B$16</f>
        <v>0</v>
      </c>
      <c r="BO1415" s="6">
        <f>(Grandview_Inventory[[#This Row],[att_gar]]+Grandview_Inventory[[#This Row],[bltin_gar]])*Lookups!$B$17</f>
        <v>0</v>
      </c>
      <c r="BP1415" s="6">
        <f>Grandview_Inventory[[#This Row],[Plumbing Fixtures]]*Lookups!$B$18</f>
        <v>10052.209000000001</v>
      </c>
      <c r="BQ1415" s="6">
        <f>Grandview_Inventory[[#This Row],[detatched_value]]*Lookups!$B$19</f>
        <v>0</v>
      </c>
      <c r="BR1415" s="6">
        <f>SUM(Grandview_Inventory[[#This Row],[Intercept]:[det_value]])*Grandview_Inventory[[#This Row],[res_pct]]</f>
        <v>222454.44770600001</v>
      </c>
      <c r="BS1415" s="6">
        <f>Grandview_Inventory[[#This Row],[land_value]]</f>
        <v>45695.532079096141</v>
      </c>
      <c r="BT1415" s="4">
        <f>_xlfn.IFNA(VLOOKUP(Grandview_Inventory[[#This Row],[quality]],Lookups!$A$26:$C$33,3,FALSE),1)</f>
        <v>0.9690360070159818</v>
      </c>
      <c r="BU1415" s="4">
        <f>_xlfn.IFNA(VLOOKUP(Grandview_Inventory[[#This Row],[condition]],Lookups!$A$37:$C$44,3,FALSE),1)</f>
        <v>0.97383723671140243</v>
      </c>
      <c r="BV1415" s="4">
        <f>IF(Grandview_Inventory[[#This Row],[bldg_style]]="",1,_xlfn.IFNA(VLOOKUP(Grandview_Inventory[[#This Row],[decade]],Lookups!$F$29:$H$43,3,FALSE),1))</f>
        <v>0.98763256963907298</v>
      </c>
      <c r="BW1415" s="4">
        <f>_xlfn.IFNA(VLOOKUP(Grandview_Inventory[[#This Row],[living_area_range]],Lookups!$F$47:$H$56,3,FALSE),1)</f>
        <v>0.96135087979789358</v>
      </c>
      <c r="BX1415" s="4">
        <f>AVERAGE(Grandview_Inventory[[#This Row],[qual_adj]:[size_adj]])</f>
        <v>0.97296417329108764</v>
      </c>
      <c r="BY1415" s="6">
        <f>IF(Grandview_Inventory[[#This Row],[pre_res]]&lt;0,0,Grandview_Inventory[[#This Row],[pre_res]]*Grandview_Inventory[[#This Row],[overall_adj]])</f>
        <v>216440.20780719377</v>
      </c>
      <c r="BZ1415" s="6">
        <f>(Grandview_Inventory[[#This Row],[sum_land]]-IF(Grandview_Inventory[[#This Row],[no_utilities]]=1,12000,0))/IF(Grandview_Inventory[[#This Row],[unbuildable]]=1,2,1)</f>
        <v>45695.532079096141</v>
      </c>
      <c r="CA141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15">
        <f>ROUND(Grandview_Inventory[[#This Row],[det_value]]*Lookups!$M$28,-2)</f>
        <v>0</v>
      </c>
      <c r="CC1415">
        <f>IF(ROUND(Grandview_Inventory[[#This Row],[adj_res]]*Lookups!$M$28,-2)&lt;Grandview_Inventory[[#This Row],[min_res]],Grandview_Inventory[[#This Row],[min_res]],ROUND(Grandview_Inventory[[#This Row],[adj_res]]*Lookups!$M$28,-2))</f>
        <v>205600</v>
      </c>
      <c r="CD1415">
        <f>Grandview_Inventory[[#This Row],[final_det]]+Grandview_Inventory[[#This Row],[final_res]]</f>
        <v>205600</v>
      </c>
      <c r="CE1415">
        <f>Grandview_Inventory[[#This Row],[final_land]]+Grandview_Inventory[[#This Row],[final_imp]]+Grandview_Inventory[[#This Row],[crop_value]]</f>
        <v>249000</v>
      </c>
      <c r="CG1415" t="str">
        <f t="shared" si="22"/>
        <v>update valuation set market_land =43400, market_bldg=205600, market_total =249000, market_mdno =401, market_date ='9/10/2023' where link_id = (select link_id from parcel where parcel_year = '2024' and parcel_id = '23092321430');</v>
      </c>
    </row>
    <row r="1416" spans="1:85" x14ac:dyDescent="0.25">
      <c r="A1416">
        <v>23092321432</v>
      </c>
      <c r="B1416">
        <v>0.16</v>
      </c>
      <c r="C1416">
        <v>6990</v>
      </c>
      <c r="D1416" t="s">
        <v>129</v>
      </c>
      <c r="E1416" t="s">
        <v>53</v>
      </c>
      <c r="F1416" t="s">
        <v>53</v>
      </c>
      <c r="G1416">
        <v>4</v>
      </c>
      <c r="H1416" t="s">
        <v>54</v>
      </c>
      <c r="I1416">
        <v>149800</v>
      </c>
      <c r="J1416">
        <v>43500</v>
      </c>
      <c r="K1416">
        <v>0.16</v>
      </c>
      <c r="L141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16">
        <v>0</v>
      </c>
      <c r="N1416">
        <v>0</v>
      </c>
      <c r="O1416">
        <v>0</v>
      </c>
      <c r="P1416">
        <v>13398.7528</v>
      </c>
      <c r="Q1416">
        <v>63903</v>
      </c>
      <c r="R1416">
        <f>(Grandview_Inventory[[#This Row],[ln_acres]]*Grandview_Inventory[[#This Row],[coeff]])+Grandview_Inventory[[#This Row],[const]]</f>
        <v>39348.693981374228</v>
      </c>
      <c r="S1416" t="s">
        <v>61</v>
      </c>
      <c r="T1416">
        <v>1</v>
      </c>
      <c r="U1416" t="s">
        <v>65</v>
      </c>
      <c r="V1416" t="s">
        <v>69</v>
      </c>
      <c r="W1416">
        <v>0</v>
      </c>
      <c r="X1416">
        <v>0</v>
      </c>
      <c r="Y1416">
        <v>42</v>
      </c>
      <c r="Z1416">
        <v>103</v>
      </c>
      <c r="AA1416">
        <v>110</v>
      </c>
      <c r="AB1416">
        <v>1500</v>
      </c>
      <c r="AC1416">
        <v>1476</v>
      </c>
      <c r="AD1416">
        <v>1476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336</v>
      </c>
      <c r="AN1416">
        <v>328</v>
      </c>
      <c r="AO1416">
        <v>336</v>
      </c>
      <c r="AP1416">
        <v>5</v>
      </c>
      <c r="AQ1416">
        <v>0</v>
      </c>
      <c r="AR1416">
        <v>0</v>
      </c>
      <c r="AS1416" t="s">
        <v>58</v>
      </c>
      <c r="AT1416">
        <v>1</v>
      </c>
      <c r="AU1416" t="s">
        <v>63</v>
      </c>
      <c r="AV1416" t="s">
        <v>64</v>
      </c>
      <c r="AW1416">
        <v>1</v>
      </c>
      <c r="AX1416">
        <v>2</v>
      </c>
      <c r="AY1416">
        <v>0</v>
      </c>
      <c r="AZ1416">
        <v>0</v>
      </c>
      <c r="BA1416">
        <v>100</v>
      </c>
      <c r="BB1416">
        <v>100</v>
      </c>
      <c r="BC1416">
        <v>100</v>
      </c>
      <c r="BD1416">
        <v>100</v>
      </c>
      <c r="BE1416">
        <v>1</v>
      </c>
      <c r="BF1416">
        <v>15000</v>
      </c>
      <c r="BG1416">
        <v>1000</v>
      </c>
      <c r="BH1416" s="6">
        <f>Grandview_Inventory[[#This Row],[land_extract]]*Lookups!$B$3</f>
        <v>45695.532079096141</v>
      </c>
      <c r="BI1416" s="6">
        <f>IF(Grandview_Inventory[[#This Row],[bldg_style]]="",0,Lookups!$B$2)</f>
        <v>155833.95000000001</v>
      </c>
      <c r="BJ1416" s="6">
        <f>_xlfn.IFNA(VLOOKUP(Grandview_Inventory[[#This Row],[quality]],Lookups!$H$2:$J$14,3,FALSE),0)</f>
        <v>2251</v>
      </c>
      <c r="BK1416" s="6">
        <f>_xlfn.IFNA(VLOOKUP(Grandview_Inventory[[#This Row],[condition]],Lookups!$H$17:$J$24,3,FALSE),0)</f>
        <v>-4503</v>
      </c>
      <c r="BL1416" s="6">
        <f>Grandview_Inventory[[#This Row],[Eff_Age]]*Lookups!$B$14</f>
        <v>-10044.9972</v>
      </c>
      <c r="BM1416" s="6">
        <f>Grandview_Inventory[[#This Row],[living_area]]*Lookups!$B$15</f>
        <v>92074.139028000005</v>
      </c>
      <c r="BN1416" s="6">
        <f>Grandview_Inventory[[#This Row],[Fin BSMT]]*Lookups!$B$16</f>
        <v>0</v>
      </c>
      <c r="BO1416" s="6">
        <f>(Grandview_Inventory[[#This Row],[att_gar]]+Grandview_Inventory[[#This Row],[bltin_gar]])*Lookups!$B$17</f>
        <v>0</v>
      </c>
      <c r="BP1416" s="6">
        <f>Grandview_Inventory[[#This Row],[Plumbing Fixtures]]*Lookups!$B$18</f>
        <v>10052.209000000001</v>
      </c>
      <c r="BQ1416" s="6">
        <f>Grandview_Inventory[[#This Row],[detatched_value]]*Lookups!$B$19</f>
        <v>0</v>
      </c>
      <c r="BR1416" s="6">
        <f>SUM(Grandview_Inventory[[#This Row],[Intercept]:[det_value]])*Grandview_Inventory[[#This Row],[res_pct]]</f>
        <v>245663.30082800001</v>
      </c>
      <c r="BS1416" s="6">
        <f>Grandview_Inventory[[#This Row],[land_value]]</f>
        <v>45695.532079096141</v>
      </c>
      <c r="BT1416" s="4">
        <f>_xlfn.IFNA(VLOOKUP(Grandview_Inventory[[#This Row],[quality]],Lookups!$A$26:$C$33,3,FALSE),1)</f>
        <v>0.98763855981004833</v>
      </c>
      <c r="BU1416" s="4">
        <f>_xlfn.IFNA(VLOOKUP(Grandview_Inventory[[#This Row],[condition]],Lookups!$A$37:$C$44,3,FALSE),1)</f>
        <v>0.96469275950863709</v>
      </c>
      <c r="BV1416" s="4">
        <f>IF(Grandview_Inventory[[#This Row],[bldg_style]]="",1,_xlfn.IFNA(VLOOKUP(Grandview_Inventory[[#This Row],[decade]],Lookups!$F$29:$H$43,3,FALSE),1))</f>
        <v>0.92255236374249616</v>
      </c>
      <c r="BW1416" s="4">
        <f>_xlfn.IFNA(VLOOKUP(Grandview_Inventory[[#This Row],[living_area_range]],Lookups!$F$47:$H$56,3,FALSE),1)</f>
        <v>0.96135087979789358</v>
      </c>
      <c r="BX1416" s="4">
        <f>AVERAGE(Grandview_Inventory[[#This Row],[qual_adj]:[size_adj]])</f>
        <v>0.95905864071476876</v>
      </c>
      <c r="BY1416" s="6">
        <f>IF(Grandview_Inventory[[#This Row],[pre_res]]&lt;0,0,Grandview_Inventory[[#This Row],[pre_res]]*Grandview_Inventory[[#This Row],[overall_adj]])</f>
        <v>235605.51136560502</v>
      </c>
      <c r="BZ1416" s="6">
        <f>(Grandview_Inventory[[#This Row],[sum_land]]-IF(Grandview_Inventory[[#This Row],[no_utilities]]=1,12000,0))/IF(Grandview_Inventory[[#This Row],[unbuildable]]=1,2,1)</f>
        <v>45695.532079096141</v>
      </c>
      <c r="CA141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16">
        <f>ROUND(Grandview_Inventory[[#This Row],[det_value]]*Lookups!$M$28,-2)</f>
        <v>0</v>
      </c>
      <c r="CC1416">
        <f>IF(ROUND(Grandview_Inventory[[#This Row],[adj_res]]*Lookups!$M$28,-2)&lt;Grandview_Inventory[[#This Row],[min_res]],Grandview_Inventory[[#This Row],[min_res]],ROUND(Grandview_Inventory[[#This Row],[adj_res]]*Lookups!$M$28,-2))</f>
        <v>223800</v>
      </c>
      <c r="CD1416">
        <f>Grandview_Inventory[[#This Row],[final_det]]+Grandview_Inventory[[#This Row],[final_res]]</f>
        <v>223800</v>
      </c>
      <c r="CE1416">
        <f>Grandview_Inventory[[#This Row],[final_land]]+Grandview_Inventory[[#This Row],[final_imp]]+Grandview_Inventory[[#This Row],[crop_value]]</f>
        <v>267200</v>
      </c>
      <c r="CG1416" t="str">
        <f t="shared" si="22"/>
        <v>update valuation set market_land =43400, market_bldg=223800, market_total =267200, market_mdno =401, market_date ='9/10/2023' where link_id = (select link_id from parcel where parcel_year = '2024' and parcel_id = '23092321432');</v>
      </c>
    </row>
    <row r="1417" spans="1:85" x14ac:dyDescent="0.25">
      <c r="A1417">
        <v>23092321440</v>
      </c>
      <c r="B1417">
        <v>0.32</v>
      </c>
      <c r="C1417" t="s">
        <v>129</v>
      </c>
      <c r="D1417" t="s">
        <v>129</v>
      </c>
      <c r="E1417" t="s">
        <v>53</v>
      </c>
      <c r="F1417" t="s">
        <v>53</v>
      </c>
      <c r="G1417">
        <v>4</v>
      </c>
      <c r="H1417" t="s">
        <v>54</v>
      </c>
      <c r="I1417">
        <v>134800</v>
      </c>
      <c r="J1417">
        <v>41600</v>
      </c>
      <c r="K1417">
        <v>0.32</v>
      </c>
      <c r="L1417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417">
        <v>0</v>
      </c>
      <c r="N1417">
        <v>0</v>
      </c>
      <c r="O1417">
        <v>0</v>
      </c>
      <c r="P1417">
        <v>13398.7528</v>
      </c>
      <c r="Q1417">
        <v>63903</v>
      </c>
      <c r="R1417">
        <f>(Grandview_Inventory[[#This Row],[ln_acres]]*Grandview_Inventory[[#This Row],[coeff]])+Grandview_Inventory[[#This Row],[const]]</f>
        <v>48636.001707713905</v>
      </c>
      <c r="S1417" t="s">
        <v>68</v>
      </c>
      <c r="T1417">
        <v>1</v>
      </c>
      <c r="U1417" t="s">
        <v>70</v>
      </c>
      <c r="V1417" t="s">
        <v>69</v>
      </c>
      <c r="W1417">
        <v>0</v>
      </c>
      <c r="X1417">
        <v>0</v>
      </c>
      <c r="Y1417">
        <v>51</v>
      </c>
      <c r="Z1417">
        <v>77</v>
      </c>
      <c r="AA1417">
        <v>80</v>
      </c>
      <c r="AB1417">
        <v>1000</v>
      </c>
      <c r="AC1417">
        <v>872</v>
      </c>
      <c r="AD1417">
        <v>872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48</v>
      </c>
      <c r="AO1417">
        <v>0</v>
      </c>
      <c r="AP1417">
        <v>5</v>
      </c>
      <c r="AQ1417">
        <v>1</v>
      </c>
      <c r="AR1417">
        <v>0</v>
      </c>
      <c r="AS1417" t="s">
        <v>58</v>
      </c>
      <c r="AT1417">
        <v>1</v>
      </c>
      <c r="AU1417" t="s">
        <v>63</v>
      </c>
      <c r="AV1417" t="s">
        <v>60</v>
      </c>
      <c r="AW1417">
        <v>0</v>
      </c>
      <c r="AX1417">
        <v>2</v>
      </c>
      <c r="AY1417">
        <v>0</v>
      </c>
      <c r="AZ1417">
        <v>6900</v>
      </c>
      <c r="BA1417">
        <v>100</v>
      </c>
      <c r="BB1417">
        <v>100</v>
      </c>
      <c r="BC1417">
        <v>100</v>
      </c>
      <c r="BD1417">
        <v>100</v>
      </c>
      <c r="BE1417">
        <v>1</v>
      </c>
      <c r="BF1417">
        <v>15000</v>
      </c>
      <c r="BG1417">
        <v>1000</v>
      </c>
      <c r="BH1417" s="6">
        <f>Grandview_Inventory[[#This Row],[land_extract]]*Lookups!$B$3</f>
        <v>56480.857465963549</v>
      </c>
      <c r="BI1417" s="6">
        <f>IF(Grandview_Inventory[[#This Row],[bldg_style]]="",0,Lookups!$B$2)</f>
        <v>155833.95000000001</v>
      </c>
      <c r="BJ1417" s="6">
        <f>_xlfn.IFNA(VLOOKUP(Grandview_Inventory[[#This Row],[quality]],Lookups!$H$2:$J$14,3,FALSE),0)</f>
        <v>10733</v>
      </c>
      <c r="BK1417" s="6">
        <f>_xlfn.IFNA(VLOOKUP(Grandview_Inventory[[#This Row],[condition]],Lookups!$H$17:$J$24,3,FALSE),0)</f>
        <v>-4503</v>
      </c>
      <c r="BL1417" s="6">
        <f>Grandview_Inventory[[#This Row],[Eff_Age]]*Lookups!$B$14</f>
        <v>-12197.496599999999</v>
      </c>
      <c r="BM1417" s="6">
        <f>Grandview_Inventory[[#This Row],[living_area]]*Lookups!$B$15</f>
        <v>54396.103816000003</v>
      </c>
      <c r="BN1417" s="6">
        <f>Grandview_Inventory[[#This Row],[Fin BSMT]]*Lookups!$B$16</f>
        <v>0</v>
      </c>
      <c r="BO1417" s="6">
        <f>(Grandview_Inventory[[#This Row],[att_gar]]+Grandview_Inventory[[#This Row],[bltin_gar]])*Lookups!$B$17</f>
        <v>0</v>
      </c>
      <c r="BP1417" s="6">
        <f>Grandview_Inventory[[#This Row],[Plumbing Fixtures]]*Lookups!$B$18</f>
        <v>10052.209000000001</v>
      </c>
      <c r="BQ1417" s="6">
        <f>Grandview_Inventory[[#This Row],[detatched_value]]*Lookups!$B$19</f>
        <v>5842.9551899999997</v>
      </c>
      <c r="BR1417" s="6">
        <f>SUM(Grandview_Inventory[[#This Row],[Intercept]:[det_value]])*Grandview_Inventory[[#This Row],[res_pct]]</f>
        <v>220157.721406</v>
      </c>
      <c r="BS1417" s="6">
        <f>Grandview_Inventory[[#This Row],[land_value]]</f>
        <v>56480.857465963549</v>
      </c>
      <c r="BT1417" s="4">
        <f>_xlfn.IFNA(VLOOKUP(Grandview_Inventory[[#This Row],[quality]],Lookups!$A$26:$C$33,3,FALSE),1)</f>
        <v>0.98079741117310582</v>
      </c>
      <c r="BU1417" s="4">
        <f>_xlfn.IFNA(VLOOKUP(Grandview_Inventory[[#This Row],[condition]],Lookups!$A$37:$C$44,3,FALSE),1)</f>
        <v>0.96469275950863709</v>
      </c>
      <c r="BV1417" s="4">
        <f>IF(Grandview_Inventory[[#This Row],[bldg_style]]="",1,_xlfn.IFNA(VLOOKUP(Grandview_Inventory[[#This Row],[decade]],Lookups!$F$29:$H$43,3,FALSE),1))</f>
        <v>0.98763256963907298</v>
      </c>
      <c r="BW1417" s="4">
        <f>_xlfn.IFNA(VLOOKUP(Grandview_Inventory[[#This Row],[living_area_range]],Lookups!$F$47:$H$56,3,FALSE),1)</f>
        <v>0.94306777142782894</v>
      </c>
      <c r="BX1417" s="4">
        <f>AVERAGE(Grandview_Inventory[[#This Row],[qual_adj]:[size_adj]])</f>
        <v>0.96904762793716115</v>
      </c>
      <c r="BY1417" s="6">
        <f>IF(Grandview_Inventory[[#This Row],[pre_res]]&lt;0,0,Grandview_Inventory[[#This Row],[pre_res]]*Grandview_Inventory[[#This Row],[overall_adj]])</f>
        <v>213343.31770053465</v>
      </c>
      <c r="BZ1417" s="6">
        <f>(Grandview_Inventory[[#This Row],[sum_land]]-IF(Grandview_Inventory[[#This Row],[no_utilities]]=1,12000,0))/IF(Grandview_Inventory[[#This Row],[unbuildable]]=1,2,1)</f>
        <v>56480.857465963549</v>
      </c>
      <c r="CA1417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417">
        <f>ROUND(Grandview_Inventory[[#This Row],[det_value]]*Lookups!$M$28,-2)</f>
        <v>5600</v>
      </c>
      <c r="CC1417">
        <f>IF(ROUND(Grandview_Inventory[[#This Row],[adj_res]]*Lookups!$M$28,-2)&lt;Grandview_Inventory[[#This Row],[min_res]],Grandview_Inventory[[#This Row],[min_res]],ROUND(Grandview_Inventory[[#This Row],[adj_res]]*Lookups!$M$28,-2))</f>
        <v>202700</v>
      </c>
      <c r="CD1417">
        <f>Grandview_Inventory[[#This Row],[final_det]]+Grandview_Inventory[[#This Row],[final_res]]</f>
        <v>208300</v>
      </c>
      <c r="CE1417">
        <f>Grandview_Inventory[[#This Row],[final_land]]+Grandview_Inventory[[#This Row],[final_imp]]+Grandview_Inventory[[#This Row],[crop_value]]</f>
        <v>262000</v>
      </c>
      <c r="CG1417" t="str">
        <f t="shared" si="22"/>
        <v>update valuation set market_land =53700, market_bldg=208300, market_total =262000, market_mdno =401, market_date ='9/10/2023' where link_id = (select link_id from parcel where parcel_year = '2024' and parcel_id = '23092321440');</v>
      </c>
    </row>
    <row r="1418" spans="1:85" x14ac:dyDescent="0.25">
      <c r="A1418">
        <v>23092323400</v>
      </c>
      <c r="B1418">
        <v>0.24</v>
      </c>
      <c r="C1418">
        <v>10321</v>
      </c>
      <c r="D1418" t="s">
        <v>129</v>
      </c>
      <c r="E1418" t="s">
        <v>53</v>
      </c>
      <c r="F1418" t="s">
        <v>53</v>
      </c>
      <c r="G1418">
        <v>4</v>
      </c>
      <c r="H1418" t="s">
        <v>54</v>
      </c>
      <c r="I1418">
        <v>71300</v>
      </c>
      <c r="J1418">
        <v>40200</v>
      </c>
      <c r="K1418">
        <v>0.24</v>
      </c>
      <c r="L1418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18">
        <v>0</v>
      </c>
      <c r="N1418">
        <v>0</v>
      </c>
      <c r="O1418">
        <v>0</v>
      </c>
      <c r="P1418">
        <v>13398.7528</v>
      </c>
      <c r="Q1418">
        <v>63903</v>
      </c>
      <c r="R1418">
        <f>(Grandview_Inventory[[#This Row],[ln_acres]]*Grandview_Inventory[[#This Row],[coeff]])+Grandview_Inventory[[#This Row],[const]]</f>
        <v>44781.420733940802</v>
      </c>
      <c r="S1418" t="s">
        <v>68</v>
      </c>
      <c r="T1418">
        <v>1</v>
      </c>
      <c r="U1418" t="s">
        <v>80</v>
      </c>
      <c r="V1418" t="s">
        <v>69</v>
      </c>
      <c r="W1418">
        <v>0</v>
      </c>
      <c r="X1418">
        <v>0</v>
      </c>
      <c r="Y1418">
        <v>50</v>
      </c>
      <c r="Z1418">
        <v>73</v>
      </c>
      <c r="AA1418">
        <v>80</v>
      </c>
      <c r="AB1418">
        <v>1000</v>
      </c>
      <c r="AC1418">
        <v>512</v>
      </c>
      <c r="AD1418">
        <v>512</v>
      </c>
      <c r="AE1418">
        <v>0</v>
      </c>
      <c r="AF1418">
        <v>0</v>
      </c>
      <c r="AG1418">
        <v>0</v>
      </c>
      <c r="AH1418">
        <v>512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5</v>
      </c>
      <c r="AQ1418">
        <v>0</v>
      </c>
      <c r="AR1418">
        <v>0</v>
      </c>
      <c r="AS1418" t="s">
        <v>58</v>
      </c>
      <c r="AT1418">
        <v>1</v>
      </c>
      <c r="AU1418" t="s">
        <v>63</v>
      </c>
      <c r="AV1418" t="s">
        <v>81</v>
      </c>
      <c r="AW1418">
        <v>0</v>
      </c>
      <c r="AX1418">
        <v>1</v>
      </c>
      <c r="AY1418">
        <v>0</v>
      </c>
      <c r="AZ1418">
        <v>0</v>
      </c>
      <c r="BA1418">
        <v>100</v>
      </c>
      <c r="BB1418">
        <v>100</v>
      </c>
      <c r="BC1418">
        <v>100</v>
      </c>
      <c r="BD1418">
        <v>100</v>
      </c>
      <c r="BE1418">
        <v>1</v>
      </c>
      <c r="BF1418">
        <v>15000</v>
      </c>
      <c r="BG1418">
        <v>1000</v>
      </c>
      <c r="BH1418" s="6">
        <f>Grandview_Inventory[[#This Row],[land_extract]]*Lookups!$B$3</f>
        <v>52004.542988489469</v>
      </c>
      <c r="BI1418" s="6">
        <f>IF(Grandview_Inventory[[#This Row],[bldg_style]]="",0,Lookups!$B$2)</f>
        <v>155833.95000000001</v>
      </c>
      <c r="BJ1418" s="6">
        <f>_xlfn.IFNA(VLOOKUP(Grandview_Inventory[[#This Row],[quality]],Lookups!$H$2:$J$14,3,FALSE),0)</f>
        <v>-28558</v>
      </c>
      <c r="BK1418" s="6">
        <f>_xlfn.IFNA(VLOOKUP(Grandview_Inventory[[#This Row],[condition]],Lookups!$H$17:$J$24,3,FALSE),0)</f>
        <v>-4503</v>
      </c>
      <c r="BL1418" s="6">
        <f>Grandview_Inventory[[#This Row],[Eff_Age]]*Lookups!$B$14</f>
        <v>-11958.33</v>
      </c>
      <c r="BM1418" s="6">
        <f>Grandview_Inventory[[#This Row],[living_area]]*Lookups!$B$15</f>
        <v>31938.996736000001</v>
      </c>
      <c r="BN1418" s="6">
        <f>Grandview_Inventory[[#This Row],[Fin BSMT]]*Lookups!$B$16</f>
        <v>0</v>
      </c>
      <c r="BO1418" s="6">
        <f>(Grandview_Inventory[[#This Row],[att_gar]]+Grandview_Inventory[[#This Row],[bltin_gar]])*Lookups!$B$17</f>
        <v>0</v>
      </c>
      <c r="BP1418" s="6">
        <f>Grandview_Inventory[[#This Row],[Plumbing Fixtures]]*Lookups!$B$18</f>
        <v>10052.209000000001</v>
      </c>
      <c r="BQ1418" s="6">
        <f>Grandview_Inventory[[#This Row],[detatched_value]]*Lookups!$B$19</f>
        <v>0</v>
      </c>
      <c r="BR1418" s="6">
        <f>SUM(Grandview_Inventory[[#This Row],[Intercept]:[det_value]])*Grandview_Inventory[[#This Row],[res_pct]]</f>
        <v>152805.825736</v>
      </c>
      <c r="BS1418" s="6">
        <f>Grandview_Inventory[[#This Row],[land_value]]</f>
        <v>52004.542988489469</v>
      </c>
      <c r="BT1418" s="4">
        <f>_xlfn.IFNA(VLOOKUP(Grandview_Inventory[[#This Row],[quality]],Lookups!$A$26:$C$33,3,FALSE),1)</f>
        <v>0.9690360070159818</v>
      </c>
      <c r="BU1418" s="4">
        <f>_xlfn.IFNA(VLOOKUP(Grandview_Inventory[[#This Row],[condition]],Lookups!$A$37:$C$44,3,FALSE),1)</f>
        <v>0.96469275950863709</v>
      </c>
      <c r="BV1418" s="4">
        <f>IF(Grandview_Inventory[[#This Row],[bldg_style]]="",1,_xlfn.IFNA(VLOOKUP(Grandview_Inventory[[#This Row],[decade]],Lookups!$F$29:$H$43,3,FALSE),1))</f>
        <v>0.98763256963907298</v>
      </c>
      <c r="BW1418" s="4">
        <f>_xlfn.IFNA(VLOOKUP(Grandview_Inventory[[#This Row],[living_area_range]],Lookups!$F$47:$H$56,3,FALSE),1)</f>
        <v>0.94306777142782894</v>
      </c>
      <c r="BX1418" s="4">
        <f>AVERAGE(Grandview_Inventory[[#This Row],[qual_adj]:[size_adj]])</f>
        <v>0.96610727689788012</v>
      </c>
      <c r="BY1418" s="6">
        <f>IF(Grandview_Inventory[[#This Row],[pre_res]]&lt;0,0,Grandview_Inventory[[#This Row],[pre_res]]*Grandview_Inventory[[#This Row],[overall_adj]])</f>
        <v>147626.82019593896</v>
      </c>
      <c r="BZ1418" s="6">
        <f>(Grandview_Inventory[[#This Row],[sum_land]]-IF(Grandview_Inventory[[#This Row],[no_utilities]]=1,12000,0))/IF(Grandview_Inventory[[#This Row],[unbuildable]]=1,2,1)</f>
        <v>52004.542988489469</v>
      </c>
      <c r="CA1418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18">
        <f>ROUND(Grandview_Inventory[[#This Row],[det_value]]*Lookups!$M$28,-2)</f>
        <v>0</v>
      </c>
      <c r="CC1418">
        <f>IF(ROUND(Grandview_Inventory[[#This Row],[adj_res]]*Lookups!$M$28,-2)&lt;Grandview_Inventory[[#This Row],[min_res]],Grandview_Inventory[[#This Row],[min_res]],ROUND(Grandview_Inventory[[#This Row],[adj_res]]*Lookups!$M$28,-2))</f>
        <v>140200</v>
      </c>
      <c r="CD1418">
        <f>Grandview_Inventory[[#This Row],[final_det]]+Grandview_Inventory[[#This Row],[final_res]]</f>
        <v>140200</v>
      </c>
      <c r="CE1418">
        <f>Grandview_Inventory[[#This Row],[final_land]]+Grandview_Inventory[[#This Row],[final_imp]]+Grandview_Inventory[[#This Row],[crop_value]]</f>
        <v>189600</v>
      </c>
      <c r="CG1418" t="str">
        <f t="shared" si="22"/>
        <v>update valuation set market_land =49400, market_bldg=140200, market_total =189600, market_mdno =401, market_date ='9/10/2023' where link_id = (select link_id from parcel where parcel_year = '2024' and parcel_id = '23092323400');</v>
      </c>
    </row>
    <row r="1419" spans="1:85" x14ac:dyDescent="0.25">
      <c r="A1419">
        <v>23092323402</v>
      </c>
      <c r="B1419">
        <v>0.34</v>
      </c>
      <c r="C1419">
        <v>15028</v>
      </c>
      <c r="D1419" t="s">
        <v>129</v>
      </c>
      <c r="E1419" t="s">
        <v>53</v>
      </c>
      <c r="F1419" t="s">
        <v>53</v>
      </c>
      <c r="G1419">
        <v>4</v>
      </c>
      <c r="H1419" t="s">
        <v>54</v>
      </c>
      <c r="I1419">
        <v>220300</v>
      </c>
      <c r="J1419">
        <v>41800</v>
      </c>
      <c r="K1419">
        <v>0.34</v>
      </c>
      <c r="L1419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419">
        <v>0</v>
      </c>
      <c r="N1419">
        <v>0</v>
      </c>
      <c r="O1419">
        <v>0</v>
      </c>
      <c r="P1419">
        <v>13398.7528</v>
      </c>
      <c r="Q1419">
        <v>63903</v>
      </c>
      <c r="R1419">
        <f>(Grandview_Inventory[[#This Row],[ln_acres]]*Grandview_Inventory[[#This Row],[coeff]])+Grandview_Inventory[[#This Row],[const]]</f>
        <v>49448.296029025805</v>
      </c>
      <c r="S1419" t="s">
        <v>68</v>
      </c>
      <c r="T1419">
        <v>1</v>
      </c>
      <c r="U1419" t="s">
        <v>70</v>
      </c>
      <c r="V1419" t="s">
        <v>67</v>
      </c>
      <c r="W1419">
        <v>0</v>
      </c>
      <c r="X1419">
        <v>0</v>
      </c>
      <c r="Y1419">
        <v>53</v>
      </c>
      <c r="Z1419">
        <v>93</v>
      </c>
      <c r="AA1419">
        <v>100</v>
      </c>
      <c r="AB1419">
        <v>1500</v>
      </c>
      <c r="AC1419">
        <v>1348</v>
      </c>
      <c r="AD1419">
        <v>1348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84</v>
      </c>
      <c r="AO1419">
        <v>0</v>
      </c>
      <c r="AP1419">
        <v>8</v>
      </c>
      <c r="AQ1419">
        <v>0</v>
      </c>
      <c r="AR1419">
        <v>0</v>
      </c>
      <c r="AS1419" t="s">
        <v>58</v>
      </c>
      <c r="AT1419">
        <v>1</v>
      </c>
      <c r="AU1419" t="s">
        <v>75</v>
      </c>
      <c r="AV1419" t="s">
        <v>60</v>
      </c>
      <c r="AW1419">
        <v>0</v>
      </c>
      <c r="AX1419">
        <v>3</v>
      </c>
      <c r="AY1419">
        <v>0</v>
      </c>
      <c r="AZ1419">
        <v>41300</v>
      </c>
      <c r="BA1419">
        <v>100</v>
      </c>
      <c r="BB1419">
        <v>100</v>
      </c>
      <c r="BC1419">
        <v>100</v>
      </c>
      <c r="BD1419">
        <v>100</v>
      </c>
      <c r="BE1419">
        <v>1</v>
      </c>
      <c r="BF1419">
        <v>15000</v>
      </c>
      <c r="BG1419">
        <v>1000</v>
      </c>
      <c r="BH1419" s="6">
        <f>Grandview_Inventory[[#This Row],[land_extract]]*Lookups!$B$3</f>
        <v>57424.172668108389</v>
      </c>
      <c r="BI1419" s="6">
        <f>IF(Grandview_Inventory[[#This Row],[bldg_style]]="",0,Lookups!$B$2)</f>
        <v>155833.95000000001</v>
      </c>
      <c r="BJ1419" s="6">
        <f>_xlfn.IFNA(VLOOKUP(Grandview_Inventory[[#This Row],[quality]],Lookups!$H$2:$J$14,3,FALSE),0)</f>
        <v>10733</v>
      </c>
      <c r="BK1419" s="6">
        <f>_xlfn.IFNA(VLOOKUP(Grandview_Inventory[[#This Row],[condition]],Lookups!$H$17:$J$24,3,FALSE),0)</f>
        <v>22342</v>
      </c>
      <c r="BL1419" s="6">
        <f>Grandview_Inventory[[#This Row],[Eff_Age]]*Lookups!$B$14</f>
        <v>-12675.8298</v>
      </c>
      <c r="BM1419" s="6">
        <f>Grandview_Inventory[[#This Row],[living_area]]*Lookups!$B$15</f>
        <v>84089.389844000005</v>
      </c>
      <c r="BN1419" s="6">
        <f>Grandview_Inventory[[#This Row],[Fin BSMT]]*Lookups!$B$16</f>
        <v>0</v>
      </c>
      <c r="BO1419" s="6">
        <f>(Grandview_Inventory[[#This Row],[att_gar]]+Grandview_Inventory[[#This Row],[bltin_gar]])*Lookups!$B$17</f>
        <v>0</v>
      </c>
      <c r="BP1419" s="6">
        <f>Grandview_Inventory[[#This Row],[Plumbing Fixtures]]*Lookups!$B$18</f>
        <v>16083.5344</v>
      </c>
      <c r="BQ1419" s="6">
        <f>Grandview_Inventory[[#This Row],[detatched_value]]*Lookups!$B$19</f>
        <v>34973.050629999998</v>
      </c>
      <c r="BR1419" s="6">
        <f>SUM(Grandview_Inventory[[#This Row],[Intercept]:[det_value]])*Grandview_Inventory[[#This Row],[res_pct]]</f>
        <v>311379.09507400001</v>
      </c>
      <c r="BS1419" s="6">
        <f>Grandview_Inventory[[#This Row],[land_value]]</f>
        <v>57424.172668108389</v>
      </c>
      <c r="BT1419" s="4">
        <f>_xlfn.IFNA(VLOOKUP(Grandview_Inventory[[#This Row],[quality]],Lookups!$A$26:$C$33,3,FALSE),1)</f>
        <v>0.98079741117310582</v>
      </c>
      <c r="BU1419" s="4">
        <f>_xlfn.IFNA(VLOOKUP(Grandview_Inventory[[#This Row],[condition]],Lookups!$A$37:$C$44,3,FALSE),1)</f>
        <v>0.97383723671140243</v>
      </c>
      <c r="BV1419" s="4">
        <f>IF(Grandview_Inventory[[#This Row],[bldg_style]]="",1,_xlfn.IFNA(VLOOKUP(Grandview_Inventory[[#This Row],[decade]],Lookups!$F$29:$H$43,3,FALSE),1))</f>
        <v>0.95244691841736806</v>
      </c>
      <c r="BW1419" s="4">
        <f>_xlfn.IFNA(VLOOKUP(Grandview_Inventory[[#This Row],[living_area_range]],Lookups!$F$47:$H$56,3,FALSE),1)</f>
        <v>0.96135087979789358</v>
      </c>
      <c r="BX1419" s="4">
        <f>AVERAGE(Grandview_Inventory[[#This Row],[qual_adj]:[size_adj]])</f>
        <v>0.96710811152494247</v>
      </c>
      <c r="BY1419" s="6">
        <f>IF(Grandview_Inventory[[#This Row],[pre_res]]&lt;0,0,Grandview_Inventory[[#This Row],[pre_res]]*Grandview_Inventory[[#This Row],[overall_adj]])</f>
        <v>301137.24860536167</v>
      </c>
      <c r="BZ1419" s="6">
        <f>(Grandview_Inventory[[#This Row],[sum_land]]-IF(Grandview_Inventory[[#This Row],[no_utilities]]=1,12000,0))/IF(Grandview_Inventory[[#This Row],[unbuildable]]=1,2,1)</f>
        <v>57424.172668108389</v>
      </c>
      <c r="CA1419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419">
        <f>ROUND(Grandview_Inventory[[#This Row],[det_value]]*Lookups!$M$28,-2)</f>
        <v>33200</v>
      </c>
      <c r="CC1419">
        <f>IF(ROUND(Grandview_Inventory[[#This Row],[adj_res]]*Lookups!$M$28,-2)&lt;Grandview_Inventory[[#This Row],[min_res]],Grandview_Inventory[[#This Row],[min_res]],ROUND(Grandview_Inventory[[#This Row],[adj_res]]*Lookups!$M$28,-2))</f>
        <v>286100</v>
      </c>
      <c r="CD1419">
        <f>Grandview_Inventory[[#This Row],[final_det]]+Grandview_Inventory[[#This Row],[final_res]]</f>
        <v>319300</v>
      </c>
      <c r="CE1419">
        <f>Grandview_Inventory[[#This Row],[final_land]]+Grandview_Inventory[[#This Row],[final_imp]]+Grandview_Inventory[[#This Row],[crop_value]]</f>
        <v>373900</v>
      </c>
      <c r="CG1419" t="str">
        <f t="shared" si="22"/>
        <v>update valuation set market_land =54600, market_bldg=319300, market_total =373900, market_mdno =401, market_date ='9/10/2023' where link_id = (select link_id from parcel where parcel_year = '2024' and parcel_id = '23092323402');</v>
      </c>
    </row>
    <row r="1420" spans="1:85" x14ac:dyDescent="0.25">
      <c r="A1420">
        <v>23092323403</v>
      </c>
      <c r="B1420">
        <v>0.1</v>
      </c>
      <c r="C1420">
        <v>4351</v>
      </c>
      <c r="D1420" t="s">
        <v>129</v>
      </c>
      <c r="E1420" t="s">
        <v>53</v>
      </c>
      <c r="F1420" t="s">
        <v>53</v>
      </c>
      <c r="G1420">
        <v>4</v>
      </c>
      <c r="H1420" t="s">
        <v>54</v>
      </c>
      <c r="I1420">
        <v>131700</v>
      </c>
      <c r="J1420">
        <v>37700</v>
      </c>
      <c r="K1420">
        <v>0.1</v>
      </c>
      <c r="L1420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1420">
        <v>0</v>
      </c>
      <c r="N1420">
        <v>0</v>
      </c>
      <c r="O1420">
        <v>0</v>
      </c>
      <c r="P1420">
        <v>13398.7528</v>
      </c>
      <c r="Q1420">
        <v>63903</v>
      </c>
      <c r="R1420">
        <f>(Grandview_Inventory[[#This Row],[ln_acres]]*Grandview_Inventory[[#This Row],[coeff]])+Grandview_Inventory[[#This Row],[const]]</f>
        <v>33051.231538007778</v>
      </c>
      <c r="S1420" t="s">
        <v>68</v>
      </c>
      <c r="T1420">
        <v>1</v>
      </c>
      <c r="U1420" t="s">
        <v>83</v>
      </c>
      <c r="V1420" t="s">
        <v>69</v>
      </c>
      <c r="W1420">
        <v>0</v>
      </c>
      <c r="X1420">
        <v>0</v>
      </c>
      <c r="Y1420">
        <v>51</v>
      </c>
      <c r="Z1420">
        <v>78</v>
      </c>
      <c r="AA1420">
        <v>80</v>
      </c>
      <c r="AB1420">
        <v>1000</v>
      </c>
      <c r="AC1420">
        <v>875</v>
      </c>
      <c r="AD1420">
        <v>875</v>
      </c>
      <c r="AE1420">
        <v>0</v>
      </c>
      <c r="AF1420">
        <v>0</v>
      </c>
      <c r="AG1420">
        <v>0</v>
      </c>
      <c r="AH1420">
        <v>800</v>
      </c>
      <c r="AI1420">
        <v>0</v>
      </c>
      <c r="AJ1420">
        <v>0</v>
      </c>
      <c r="AK1420">
        <v>652</v>
      </c>
      <c r="AL1420">
        <v>336</v>
      </c>
      <c r="AM1420">
        <v>0</v>
      </c>
      <c r="AN1420">
        <v>0</v>
      </c>
      <c r="AO1420">
        <v>0</v>
      </c>
      <c r="AP1420">
        <v>5</v>
      </c>
      <c r="AQ1420">
        <v>0</v>
      </c>
      <c r="AR1420">
        <v>0</v>
      </c>
      <c r="AS1420" t="s">
        <v>58</v>
      </c>
      <c r="AT1420">
        <v>1</v>
      </c>
      <c r="AU1420" t="s">
        <v>75</v>
      </c>
      <c r="AV1420" t="s">
        <v>60</v>
      </c>
      <c r="AW1420">
        <v>0</v>
      </c>
      <c r="AX1420">
        <v>2</v>
      </c>
      <c r="AY1420">
        <v>0</v>
      </c>
      <c r="AZ1420">
        <v>0</v>
      </c>
      <c r="BA1420">
        <v>100</v>
      </c>
      <c r="BB1420">
        <v>100</v>
      </c>
      <c r="BC1420">
        <v>100</v>
      </c>
      <c r="BD1420">
        <v>100</v>
      </c>
      <c r="BE1420">
        <v>1</v>
      </c>
      <c r="BF1420">
        <v>15000</v>
      </c>
      <c r="BG1420">
        <v>1000</v>
      </c>
      <c r="BH1420" s="6">
        <f>Grandview_Inventory[[#This Row],[land_extract]]*Lookups!$B$3</f>
        <v>38382.305946763277</v>
      </c>
      <c r="BI1420" s="6">
        <f>IF(Grandview_Inventory[[#This Row],[bldg_style]]="",0,Lookups!$B$2)</f>
        <v>155833.95000000001</v>
      </c>
      <c r="BJ1420" s="6">
        <f>_xlfn.IFNA(VLOOKUP(Grandview_Inventory[[#This Row],[quality]],Lookups!$H$2:$J$14,3,FALSE),0)</f>
        <v>-28558</v>
      </c>
      <c r="BK1420" s="6">
        <f>_xlfn.IFNA(VLOOKUP(Grandview_Inventory[[#This Row],[condition]],Lookups!$H$17:$J$24,3,FALSE),0)</f>
        <v>-4503</v>
      </c>
      <c r="BL1420" s="6">
        <f>Grandview_Inventory[[#This Row],[Eff_Age]]*Lookups!$B$14</f>
        <v>-12197.496599999999</v>
      </c>
      <c r="BM1420" s="6">
        <f>Grandview_Inventory[[#This Row],[living_area]]*Lookups!$B$15</f>
        <v>54583.246375000002</v>
      </c>
      <c r="BN1420" s="6">
        <f>Grandview_Inventory[[#This Row],[Fin BSMT]]*Lookups!$B$16</f>
        <v>0</v>
      </c>
      <c r="BO1420" s="6">
        <f>(Grandview_Inventory[[#This Row],[att_gar]]+Grandview_Inventory[[#This Row],[bltin_gar]])*Lookups!$B$17</f>
        <v>0</v>
      </c>
      <c r="BP1420" s="6">
        <f>Grandview_Inventory[[#This Row],[Plumbing Fixtures]]*Lookups!$B$18</f>
        <v>10052.209000000001</v>
      </c>
      <c r="BQ1420" s="6">
        <f>Grandview_Inventory[[#This Row],[detatched_value]]*Lookups!$B$19</f>
        <v>0</v>
      </c>
      <c r="BR1420" s="6">
        <f>SUM(Grandview_Inventory[[#This Row],[Intercept]:[det_value]])*Grandview_Inventory[[#This Row],[res_pct]]</f>
        <v>175210.90877500002</v>
      </c>
      <c r="BS1420" s="6">
        <f>Grandview_Inventory[[#This Row],[land_value]]</f>
        <v>38382.305946763277</v>
      </c>
      <c r="BT1420" s="4">
        <f>_xlfn.IFNA(VLOOKUP(Grandview_Inventory[[#This Row],[quality]],Lookups!$A$26:$C$33,3,FALSE),1)</f>
        <v>0.96329552998502799</v>
      </c>
      <c r="BU1420" s="4">
        <f>_xlfn.IFNA(VLOOKUP(Grandview_Inventory[[#This Row],[condition]],Lookups!$A$37:$C$44,3,FALSE),1)</f>
        <v>0.96469275950863709</v>
      </c>
      <c r="BV1420" s="4">
        <f>IF(Grandview_Inventory[[#This Row],[bldg_style]]="",1,_xlfn.IFNA(VLOOKUP(Grandview_Inventory[[#This Row],[decade]],Lookups!$F$29:$H$43,3,FALSE),1))</f>
        <v>0.98763256963907298</v>
      </c>
      <c r="BW1420" s="4">
        <f>_xlfn.IFNA(VLOOKUP(Grandview_Inventory[[#This Row],[living_area_range]],Lookups!$F$47:$H$56,3,FALSE),1)</f>
        <v>0.94306777142782894</v>
      </c>
      <c r="BX1420" s="4">
        <f>AVERAGE(Grandview_Inventory[[#This Row],[qual_adj]:[size_adj]])</f>
        <v>0.96467215764014169</v>
      </c>
      <c r="BY1420" s="6">
        <f>IF(Grandview_Inventory[[#This Row],[pre_res]]&lt;0,0,Grandview_Inventory[[#This Row],[pre_res]]*Grandview_Inventory[[#This Row],[overall_adj]])</f>
        <v>169021.0854100693</v>
      </c>
      <c r="BZ1420" s="6">
        <f>(Grandview_Inventory[[#This Row],[sum_land]]-IF(Grandview_Inventory[[#This Row],[no_utilities]]=1,12000,0))/IF(Grandview_Inventory[[#This Row],[unbuildable]]=1,2,1)</f>
        <v>38382.305946763277</v>
      </c>
      <c r="CA1420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1420">
        <f>ROUND(Grandview_Inventory[[#This Row],[det_value]]*Lookups!$M$28,-2)</f>
        <v>0</v>
      </c>
      <c r="CC1420">
        <f>IF(ROUND(Grandview_Inventory[[#This Row],[adj_res]]*Lookups!$M$28,-2)&lt;Grandview_Inventory[[#This Row],[min_res]],Grandview_Inventory[[#This Row],[min_res]],ROUND(Grandview_Inventory[[#This Row],[adj_res]]*Lookups!$M$28,-2))</f>
        <v>160600</v>
      </c>
      <c r="CD1420">
        <f>Grandview_Inventory[[#This Row],[final_det]]+Grandview_Inventory[[#This Row],[final_res]]</f>
        <v>160600</v>
      </c>
      <c r="CE1420">
        <f>Grandview_Inventory[[#This Row],[final_land]]+Grandview_Inventory[[#This Row],[final_imp]]+Grandview_Inventory[[#This Row],[crop_value]]</f>
        <v>197100</v>
      </c>
      <c r="CG1420" t="str">
        <f t="shared" si="22"/>
        <v>update valuation set market_land =36500, market_bldg=160600, market_total =197100, market_mdno =401, market_date ='9/10/2023' where link_id = (select link_id from parcel where parcel_year = '2024' and parcel_id = '23092323403');</v>
      </c>
    </row>
    <row r="1421" spans="1:85" x14ac:dyDescent="0.25">
      <c r="A1421">
        <v>23092323408</v>
      </c>
      <c r="B1421">
        <v>0.25</v>
      </c>
      <c r="C1421">
        <v>10733</v>
      </c>
      <c r="D1421" t="s">
        <v>129</v>
      </c>
      <c r="E1421" t="s">
        <v>53</v>
      </c>
      <c r="F1421" t="s">
        <v>53</v>
      </c>
      <c r="G1421">
        <v>4</v>
      </c>
      <c r="H1421" t="s">
        <v>54</v>
      </c>
      <c r="I1421">
        <v>151600</v>
      </c>
      <c r="J1421">
        <v>40500</v>
      </c>
      <c r="K1421">
        <v>0.25</v>
      </c>
      <c r="L1421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421">
        <v>0</v>
      </c>
      <c r="N1421">
        <v>0</v>
      </c>
      <c r="O1421">
        <v>0</v>
      </c>
      <c r="P1421">
        <v>13398.7528</v>
      </c>
      <c r="Q1421">
        <v>63903</v>
      </c>
      <c r="R1421">
        <f>(Grandview_Inventory[[#This Row],[ln_acres]]*Grandview_Inventory[[#This Row],[coeff]])+Grandview_Inventory[[#This Row],[const]]</f>
        <v>45328.38454732066</v>
      </c>
      <c r="S1421" t="s">
        <v>68</v>
      </c>
      <c r="T1421">
        <v>1</v>
      </c>
      <c r="U1421" t="s">
        <v>65</v>
      </c>
      <c r="V1421" t="s">
        <v>69</v>
      </c>
      <c r="W1421">
        <v>0</v>
      </c>
      <c r="X1421">
        <v>0</v>
      </c>
      <c r="Y1421">
        <v>38</v>
      </c>
      <c r="Z1421">
        <v>39</v>
      </c>
      <c r="AA1421">
        <v>40</v>
      </c>
      <c r="AB1421">
        <v>2000</v>
      </c>
      <c r="AC1421">
        <v>1555</v>
      </c>
      <c r="AD1421">
        <v>1555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8</v>
      </c>
      <c r="AQ1421">
        <v>0</v>
      </c>
      <c r="AR1421">
        <v>0</v>
      </c>
      <c r="AS1421" t="s">
        <v>71</v>
      </c>
      <c r="AT1421">
        <v>1</v>
      </c>
      <c r="AU1421" t="s">
        <v>63</v>
      </c>
      <c r="AV1421" t="s">
        <v>60</v>
      </c>
      <c r="AW1421">
        <v>0</v>
      </c>
      <c r="AX1421">
        <v>3</v>
      </c>
      <c r="AY1421">
        <v>0</v>
      </c>
      <c r="AZ1421">
        <v>0</v>
      </c>
      <c r="BA1421">
        <v>100</v>
      </c>
      <c r="BB1421">
        <v>100</v>
      </c>
      <c r="BC1421">
        <v>100</v>
      </c>
      <c r="BD1421">
        <v>100</v>
      </c>
      <c r="BE1421">
        <v>1</v>
      </c>
      <c r="BF1421">
        <v>15000</v>
      </c>
      <c r="BG1421">
        <v>1000</v>
      </c>
      <c r="BH1421" s="6">
        <f>Grandview_Inventory[[#This Row],[land_extract]]*Lookups!$B$3</f>
        <v>52639.730588165206</v>
      </c>
      <c r="BI1421" s="6">
        <f>IF(Grandview_Inventory[[#This Row],[bldg_style]]="",0,Lookups!$B$2)</f>
        <v>155833.95000000001</v>
      </c>
      <c r="BJ1421" s="6">
        <f>_xlfn.IFNA(VLOOKUP(Grandview_Inventory[[#This Row],[quality]],Lookups!$H$2:$J$14,3,FALSE),0)</f>
        <v>2251</v>
      </c>
      <c r="BK1421" s="6">
        <f>_xlfn.IFNA(VLOOKUP(Grandview_Inventory[[#This Row],[condition]],Lookups!$H$17:$J$24,3,FALSE),0)</f>
        <v>-4503</v>
      </c>
      <c r="BL1421" s="6">
        <f>Grandview_Inventory[[#This Row],[Eff_Age]]*Lookups!$B$14</f>
        <v>-9088.3307999999997</v>
      </c>
      <c r="BM1421" s="6">
        <f>Grandview_Inventory[[#This Row],[living_area]]*Lookups!$B$15</f>
        <v>97002.226414999997</v>
      </c>
      <c r="BN1421" s="6">
        <f>Grandview_Inventory[[#This Row],[Fin BSMT]]*Lookups!$B$16</f>
        <v>0</v>
      </c>
      <c r="BO1421" s="6">
        <f>(Grandview_Inventory[[#This Row],[att_gar]]+Grandview_Inventory[[#This Row],[bltin_gar]])*Lookups!$B$17</f>
        <v>0</v>
      </c>
      <c r="BP1421" s="6">
        <f>Grandview_Inventory[[#This Row],[Plumbing Fixtures]]*Lookups!$B$18</f>
        <v>16083.5344</v>
      </c>
      <c r="BQ1421" s="6">
        <f>Grandview_Inventory[[#This Row],[detatched_value]]*Lookups!$B$19</f>
        <v>0</v>
      </c>
      <c r="BR1421" s="6">
        <f>SUM(Grandview_Inventory[[#This Row],[Intercept]:[det_value]])*Grandview_Inventory[[#This Row],[res_pct]]</f>
        <v>257579.380015</v>
      </c>
      <c r="BS1421" s="6">
        <f>Grandview_Inventory[[#This Row],[land_value]]</f>
        <v>52639.730588165206</v>
      </c>
      <c r="BT1421" s="4">
        <f>_xlfn.IFNA(VLOOKUP(Grandview_Inventory[[#This Row],[quality]],Lookups!$A$26:$C$33,3,FALSE),1)</f>
        <v>0.98763855981004833</v>
      </c>
      <c r="BU1421" s="4">
        <f>_xlfn.IFNA(VLOOKUP(Grandview_Inventory[[#This Row],[condition]],Lookups!$A$37:$C$44,3,FALSE),1)</f>
        <v>0.96469275950863709</v>
      </c>
      <c r="BV1421" s="4">
        <f>IF(Grandview_Inventory[[#This Row],[bldg_style]]="",1,_xlfn.IFNA(VLOOKUP(Grandview_Inventory[[#This Row],[decade]],Lookups!$F$29:$H$43,3,FALSE),1))</f>
        <v>0.98031878267063854</v>
      </c>
      <c r="BW1421" s="4">
        <f>_xlfn.IFNA(VLOOKUP(Grandview_Inventory[[#This Row],[living_area_range]],Lookups!$F$47:$H$56,3,FALSE),1)</f>
        <v>0.96120133463014379</v>
      </c>
      <c r="BX1421" s="4">
        <f>AVERAGE(Grandview_Inventory[[#This Row],[qual_adj]:[size_adj]])</f>
        <v>0.97346285915486686</v>
      </c>
      <c r="BY1421" s="6">
        <f>IF(Grandview_Inventory[[#This Row],[pre_res]]&lt;0,0,Grandview_Inventory[[#This Row],[pre_res]]*Grandview_Inventory[[#This Row],[overall_adj]])</f>
        <v>250743.95972873986</v>
      </c>
      <c r="BZ1421" s="6">
        <f>(Grandview_Inventory[[#This Row],[sum_land]]-IF(Grandview_Inventory[[#This Row],[no_utilities]]=1,12000,0))/IF(Grandview_Inventory[[#This Row],[unbuildable]]=1,2,1)</f>
        <v>52639.730588165206</v>
      </c>
      <c r="CA1421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421">
        <f>ROUND(Grandview_Inventory[[#This Row],[det_value]]*Lookups!$M$28,-2)</f>
        <v>0</v>
      </c>
      <c r="CC1421">
        <f>IF(ROUND(Grandview_Inventory[[#This Row],[adj_res]]*Lookups!$M$28,-2)&lt;Grandview_Inventory[[#This Row],[min_res]],Grandview_Inventory[[#This Row],[min_res]],ROUND(Grandview_Inventory[[#This Row],[adj_res]]*Lookups!$M$28,-2))</f>
        <v>238200</v>
      </c>
      <c r="CD1421">
        <f>Grandview_Inventory[[#This Row],[final_det]]+Grandview_Inventory[[#This Row],[final_res]]</f>
        <v>238200</v>
      </c>
      <c r="CE1421">
        <f>Grandview_Inventory[[#This Row],[final_land]]+Grandview_Inventory[[#This Row],[final_imp]]+Grandview_Inventory[[#This Row],[crop_value]]</f>
        <v>288200</v>
      </c>
      <c r="CG1421" t="str">
        <f t="shared" si="22"/>
        <v>update valuation set market_land =50000, market_bldg=238200, market_total =288200, market_mdno =401, market_date ='9/10/2023' where link_id = (select link_id from parcel where parcel_year = '2024' and parcel_id = '23092323408');</v>
      </c>
    </row>
    <row r="1422" spans="1:85" x14ac:dyDescent="0.25">
      <c r="A1422">
        <v>23092323410</v>
      </c>
      <c r="B1422">
        <v>0.17</v>
      </c>
      <c r="C1422">
        <v>7256</v>
      </c>
      <c r="D1422" t="s">
        <v>129</v>
      </c>
      <c r="E1422" t="s">
        <v>53</v>
      </c>
      <c r="F1422" t="s">
        <v>53</v>
      </c>
      <c r="G1422">
        <v>4</v>
      </c>
      <c r="H1422" t="s">
        <v>54</v>
      </c>
      <c r="I1422">
        <v>107700</v>
      </c>
      <c r="J1422">
        <v>39300</v>
      </c>
      <c r="K1422">
        <v>0.17</v>
      </c>
      <c r="L142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22">
        <v>0</v>
      </c>
      <c r="N1422">
        <v>0</v>
      </c>
      <c r="O1422">
        <v>0</v>
      </c>
      <c r="P1422">
        <v>13398.7528</v>
      </c>
      <c r="Q1422">
        <v>63903</v>
      </c>
      <c r="R1422">
        <f>(Grandview_Inventory[[#This Row],[ln_acres]]*Grandview_Inventory[[#This Row],[coeff]])+Grandview_Inventory[[#This Row],[const]]</f>
        <v>40160.988302686128</v>
      </c>
      <c r="S1422" t="s">
        <v>68</v>
      </c>
      <c r="T1422">
        <v>1</v>
      </c>
      <c r="U1422" t="s">
        <v>80</v>
      </c>
      <c r="V1422" t="s">
        <v>69</v>
      </c>
      <c r="W1422">
        <v>0</v>
      </c>
      <c r="X1422">
        <v>0</v>
      </c>
      <c r="Y1422">
        <v>52</v>
      </c>
      <c r="Z1422">
        <v>88</v>
      </c>
      <c r="AA1422">
        <v>90</v>
      </c>
      <c r="AB1422">
        <v>1500</v>
      </c>
      <c r="AC1422">
        <v>1456</v>
      </c>
      <c r="AD1422">
        <v>1456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54</v>
      </c>
      <c r="AN1422">
        <v>0</v>
      </c>
      <c r="AO1422">
        <v>0</v>
      </c>
      <c r="AP1422">
        <v>5</v>
      </c>
      <c r="AQ1422">
        <v>0</v>
      </c>
      <c r="AR1422">
        <v>0</v>
      </c>
      <c r="AS1422" t="s">
        <v>58</v>
      </c>
      <c r="AT1422">
        <v>0</v>
      </c>
      <c r="AU1422" t="s">
        <v>82</v>
      </c>
      <c r="AV1422" t="s">
        <v>64</v>
      </c>
      <c r="AW1422">
        <v>0</v>
      </c>
      <c r="AX1422">
        <v>3</v>
      </c>
      <c r="AY1422">
        <v>0</v>
      </c>
      <c r="AZ1422">
        <v>0</v>
      </c>
      <c r="BA1422">
        <v>100</v>
      </c>
      <c r="BB1422">
        <v>100</v>
      </c>
      <c r="BC1422">
        <v>100</v>
      </c>
      <c r="BD1422">
        <v>94</v>
      </c>
      <c r="BE1422">
        <v>0.94</v>
      </c>
      <c r="BF1422">
        <v>15000</v>
      </c>
      <c r="BG1422">
        <v>1000</v>
      </c>
      <c r="BH1422" s="6">
        <f>Grandview_Inventory[[#This Row],[land_extract]]*Lookups!$B$3</f>
        <v>46638.847281240982</v>
      </c>
      <c r="BI1422" s="6">
        <f>IF(Grandview_Inventory[[#This Row],[bldg_style]]="",0,Lookups!$B$2)</f>
        <v>155833.95000000001</v>
      </c>
      <c r="BJ1422" s="6">
        <f>_xlfn.IFNA(VLOOKUP(Grandview_Inventory[[#This Row],[quality]],Lookups!$H$2:$J$14,3,FALSE),0)</f>
        <v>-28558</v>
      </c>
      <c r="BK1422" s="6">
        <f>_xlfn.IFNA(VLOOKUP(Grandview_Inventory[[#This Row],[condition]],Lookups!$H$17:$J$24,3,FALSE),0)</f>
        <v>-4503</v>
      </c>
      <c r="BL1422" s="6">
        <f>Grandview_Inventory[[#This Row],[Eff_Age]]*Lookups!$B$14</f>
        <v>-12436.663199999999</v>
      </c>
      <c r="BM1422" s="6">
        <f>Grandview_Inventory[[#This Row],[living_area]]*Lookups!$B$15</f>
        <v>90826.521968000001</v>
      </c>
      <c r="BN1422" s="6">
        <f>Grandview_Inventory[[#This Row],[Fin BSMT]]*Lookups!$B$16</f>
        <v>0</v>
      </c>
      <c r="BO1422" s="6">
        <f>(Grandview_Inventory[[#This Row],[att_gar]]+Grandview_Inventory[[#This Row],[bltin_gar]])*Lookups!$B$17</f>
        <v>0</v>
      </c>
      <c r="BP1422" s="6">
        <f>Grandview_Inventory[[#This Row],[Plumbing Fixtures]]*Lookups!$B$18</f>
        <v>10052.209000000001</v>
      </c>
      <c r="BQ1422" s="6">
        <f>Grandview_Inventory[[#This Row],[detatched_value]]*Lookups!$B$19</f>
        <v>0</v>
      </c>
      <c r="BR1422" s="6">
        <f>SUM(Grandview_Inventory[[#This Row],[Intercept]:[det_value]])*Grandview_Inventory[[#This Row],[res_pct]]</f>
        <v>198542.11670191999</v>
      </c>
      <c r="BS1422" s="6">
        <f>Grandview_Inventory[[#This Row],[land_value]]</f>
        <v>46638.847281240982</v>
      </c>
      <c r="BT1422" s="4">
        <f>_xlfn.IFNA(VLOOKUP(Grandview_Inventory[[#This Row],[quality]],Lookups!$A$26:$C$33,3,FALSE),1)</f>
        <v>0.9690360070159818</v>
      </c>
      <c r="BU1422" s="4">
        <f>_xlfn.IFNA(VLOOKUP(Grandview_Inventory[[#This Row],[condition]],Lookups!$A$37:$C$44,3,FALSE),1)</f>
        <v>0.96469275950863709</v>
      </c>
      <c r="BV1422" s="4">
        <f>IF(Grandview_Inventory[[#This Row],[bldg_style]]="",1,_xlfn.IFNA(VLOOKUP(Grandview_Inventory[[#This Row],[decade]],Lookups!$F$29:$H$43,3,FALSE),1))</f>
        <v>0.94161750052457416</v>
      </c>
      <c r="BW1422" s="4">
        <f>_xlfn.IFNA(VLOOKUP(Grandview_Inventory[[#This Row],[living_area_range]],Lookups!$F$47:$H$56,3,FALSE),1)</f>
        <v>0.96135087979789358</v>
      </c>
      <c r="BX1422" s="4">
        <f>AVERAGE(Grandview_Inventory[[#This Row],[qual_adj]:[size_adj]])</f>
        <v>0.95917428671177163</v>
      </c>
      <c r="BY1422" s="6">
        <f>IF(Grandview_Inventory[[#This Row],[pre_res]]&lt;0,0,Grandview_Inventory[[#This Row],[pre_res]]*Grandview_Inventory[[#This Row],[overall_adj]])</f>
        <v>190436.49316980943</v>
      </c>
      <c r="BZ1422" s="6">
        <f>(Grandview_Inventory[[#This Row],[sum_land]]-IF(Grandview_Inventory[[#This Row],[no_utilities]]=1,12000,0))/IF(Grandview_Inventory[[#This Row],[unbuildable]]=1,2,1)</f>
        <v>46638.847281240982</v>
      </c>
      <c r="CA142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22">
        <f>ROUND(Grandview_Inventory[[#This Row],[det_value]]*Lookups!$M$28,-2)</f>
        <v>0</v>
      </c>
      <c r="CC1422">
        <f>IF(ROUND(Grandview_Inventory[[#This Row],[adj_res]]*Lookups!$M$28,-2)&lt;Grandview_Inventory[[#This Row],[min_res]],Grandview_Inventory[[#This Row],[min_res]],ROUND(Grandview_Inventory[[#This Row],[adj_res]]*Lookups!$M$28,-2))</f>
        <v>180900</v>
      </c>
      <c r="CD1422">
        <f>Grandview_Inventory[[#This Row],[final_det]]+Grandview_Inventory[[#This Row],[final_res]]</f>
        <v>180900</v>
      </c>
      <c r="CE1422">
        <f>Grandview_Inventory[[#This Row],[final_land]]+Grandview_Inventory[[#This Row],[final_imp]]+Grandview_Inventory[[#This Row],[crop_value]]</f>
        <v>225200</v>
      </c>
      <c r="CG1422" t="str">
        <f t="shared" si="22"/>
        <v>update valuation set market_land =44300, market_bldg=180900, market_total =225200, market_mdno =401, market_date ='9/10/2023' where link_id = (select link_id from parcel where parcel_year = '2024' and parcel_id = '23092323410');</v>
      </c>
    </row>
    <row r="1423" spans="1:85" x14ac:dyDescent="0.25">
      <c r="A1423">
        <v>23092323411</v>
      </c>
      <c r="B1423">
        <v>0.18</v>
      </c>
      <c r="C1423">
        <v>7701</v>
      </c>
      <c r="D1423" t="s">
        <v>129</v>
      </c>
      <c r="E1423" t="s">
        <v>53</v>
      </c>
      <c r="F1423" t="s">
        <v>53</v>
      </c>
      <c r="G1423">
        <v>4</v>
      </c>
      <c r="H1423" t="s">
        <v>54</v>
      </c>
      <c r="I1423">
        <v>199600</v>
      </c>
      <c r="J1423">
        <v>39300</v>
      </c>
      <c r="K1423">
        <v>0.18</v>
      </c>
      <c r="L142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23">
        <v>0</v>
      </c>
      <c r="N1423">
        <v>0</v>
      </c>
      <c r="O1423">
        <v>0</v>
      </c>
      <c r="P1423">
        <v>13398.7528</v>
      </c>
      <c r="Q1423">
        <v>63903</v>
      </c>
      <c r="R1423">
        <f>(Grandview_Inventory[[#This Row],[ln_acres]]*Grandview_Inventory[[#This Row],[coeff]])+Grandview_Inventory[[#This Row],[const]]</f>
        <v>40926.839760167699</v>
      </c>
      <c r="S1423" t="s">
        <v>61</v>
      </c>
      <c r="T1423">
        <v>1</v>
      </c>
      <c r="U1423" t="s">
        <v>65</v>
      </c>
      <c r="V1423" t="s">
        <v>67</v>
      </c>
      <c r="W1423">
        <v>0</v>
      </c>
      <c r="X1423">
        <v>0</v>
      </c>
      <c r="Y1423">
        <v>21</v>
      </c>
      <c r="Z1423">
        <v>21</v>
      </c>
      <c r="AA1423">
        <v>30</v>
      </c>
      <c r="AB1423">
        <v>1500</v>
      </c>
      <c r="AC1423">
        <v>1336</v>
      </c>
      <c r="AD1423">
        <v>1336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180</v>
      </c>
      <c r="AN1423">
        <v>120</v>
      </c>
      <c r="AO1423">
        <v>0</v>
      </c>
      <c r="AP1423">
        <v>8</v>
      </c>
      <c r="AQ1423">
        <v>0</v>
      </c>
      <c r="AR1423">
        <v>0</v>
      </c>
      <c r="AS1423" t="s">
        <v>58</v>
      </c>
      <c r="AT1423">
        <v>1</v>
      </c>
      <c r="AU1423" t="s">
        <v>63</v>
      </c>
      <c r="AV1423" t="s">
        <v>60</v>
      </c>
      <c r="AW1423">
        <v>1</v>
      </c>
      <c r="AX1423">
        <v>3</v>
      </c>
      <c r="AY1423">
        <v>0</v>
      </c>
      <c r="AZ1423">
        <v>0</v>
      </c>
      <c r="BA1423">
        <v>100</v>
      </c>
      <c r="BB1423">
        <v>100</v>
      </c>
      <c r="BC1423">
        <v>100</v>
      </c>
      <c r="BD1423">
        <v>100</v>
      </c>
      <c r="BE1423">
        <v>1</v>
      </c>
      <c r="BF1423">
        <v>15000</v>
      </c>
      <c r="BG1423">
        <v>1000</v>
      </c>
      <c r="BH1423" s="6">
        <f>Grandview_Inventory[[#This Row],[land_extract]]*Lookups!$B$3</f>
        <v>47528.228511015397</v>
      </c>
      <c r="BI1423" s="6">
        <f>IF(Grandview_Inventory[[#This Row],[bldg_style]]="",0,Lookups!$B$2)</f>
        <v>155833.95000000001</v>
      </c>
      <c r="BJ1423" s="6">
        <f>_xlfn.IFNA(VLOOKUP(Grandview_Inventory[[#This Row],[quality]],Lookups!$H$2:$J$14,3,FALSE),0)</f>
        <v>2251</v>
      </c>
      <c r="BK1423" s="6">
        <f>_xlfn.IFNA(VLOOKUP(Grandview_Inventory[[#This Row],[condition]],Lookups!$H$17:$J$24,3,FALSE),0)</f>
        <v>22342</v>
      </c>
      <c r="BL1423" s="6">
        <f>Grandview_Inventory[[#This Row],[Eff_Age]]*Lookups!$B$14</f>
        <v>-5022.4985999999999</v>
      </c>
      <c r="BM1423" s="6">
        <f>Grandview_Inventory[[#This Row],[living_area]]*Lookups!$B$15</f>
        <v>83340.819608000005</v>
      </c>
      <c r="BN1423" s="6">
        <f>Grandview_Inventory[[#This Row],[Fin BSMT]]*Lookups!$B$16</f>
        <v>0</v>
      </c>
      <c r="BO1423" s="6">
        <f>(Grandview_Inventory[[#This Row],[att_gar]]+Grandview_Inventory[[#This Row],[bltin_gar]])*Lookups!$B$17</f>
        <v>0</v>
      </c>
      <c r="BP1423" s="6">
        <f>Grandview_Inventory[[#This Row],[Plumbing Fixtures]]*Lookups!$B$18</f>
        <v>16083.5344</v>
      </c>
      <c r="BQ1423" s="6">
        <f>Grandview_Inventory[[#This Row],[detatched_value]]*Lookups!$B$19</f>
        <v>0</v>
      </c>
      <c r="BR1423" s="6">
        <f>SUM(Grandview_Inventory[[#This Row],[Intercept]:[det_value]])*Grandview_Inventory[[#This Row],[res_pct]]</f>
        <v>274828.80540800001</v>
      </c>
      <c r="BS1423" s="6">
        <f>Grandview_Inventory[[#This Row],[land_value]]</f>
        <v>47528.228511015397</v>
      </c>
      <c r="BT1423" s="4">
        <f>_xlfn.IFNA(VLOOKUP(Grandview_Inventory[[#This Row],[quality]],Lookups!$A$26:$C$33,3,FALSE),1)</f>
        <v>0.98763855981004833</v>
      </c>
      <c r="BU1423" s="4">
        <f>_xlfn.IFNA(VLOOKUP(Grandview_Inventory[[#This Row],[condition]],Lookups!$A$37:$C$44,3,FALSE),1)</f>
        <v>0.97383723671140243</v>
      </c>
      <c r="BV1423" s="4">
        <f>IF(Grandview_Inventory[[#This Row],[bldg_style]]="",1,_xlfn.IFNA(VLOOKUP(Grandview_Inventory[[#This Row],[decade]],Lookups!$F$29:$H$43,3,FALSE),1))</f>
        <v>0.98397821291089549</v>
      </c>
      <c r="BW1423" s="4">
        <f>_xlfn.IFNA(VLOOKUP(Grandview_Inventory[[#This Row],[living_area_range]],Lookups!$F$47:$H$56,3,FALSE),1)</f>
        <v>0.96135087979789358</v>
      </c>
      <c r="BX1423" s="4">
        <f>AVERAGE(Grandview_Inventory[[#This Row],[qual_adj]:[size_adj]])</f>
        <v>0.97670122230755996</v>
      </c>
      <c r="BY1423" s="6">
        <f>IF(Grandview_Inventory[[#This Row],[pre_res]]&lt;0,0,Grandview_Inventory[[#This Row],[pre_res]]*Grandview_Inventory[[#This Row],[overall_adj]])</f>
        <v>268425.63016732014</v>
      </c>
      <c r="BZ1423" s="6">
        <f>(Grandview_Inventory[[#This Row],[sum_land]]-IF(Grandview_Inventory[[#This Row],[no_utilities]]=1,12000,0))/IF(Grandview_Inventory[[#This Row],[unbuildable]]=1,2,1)</f>
        <v>47528.228511015397</v>
      </c>
      <c r="CA142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23">
        <f>ROUND(Grandview_Inventory[[#This Row],[det_value]]*Lookups!$M$28,-2)</f>
        <v>0</v>
      </c>
      <c r="CC1423">
        <f>IF(ROUND(Grandview_Inventory[[#This Row],[adj_res]]*Lookups!$M$28,-2)&lt;Grandview_Inventory[[#This Row],[min_res]],Grandview_Inventory[[#This Row],[min_res]],ROUND(Grandview_Inventory[[#This Row],[adj_res]]*Lookups!$M$28,-2))</f>
        <v>255000</v>
      </c>
      <c r="CD1423">
        <f>Grandview_Inventory[[#This Row],[final_det]]+Grandview_Inventory[[#This Row],[final_res]]</f>
        <v>255000</v>
      </c>
      <c r="CE1423">
        <f>Grandview_Inventory[[#This Row],[final_land]]+Grandview_Inventory[[#This Row],[final_imp]]+Grandview_Inventory[[#This Row],[crop_value]]</f>
        <v>300200</v>
      </c>
      <c r="CG1423" t="str">
        <f t="shared" si="22"/>
        <v>update valuation set market_land =45200, market_bldg=255000, market_total =300200, market_mdno =401, market_date ='9/10/2023' where link_id = (select link_id from parcel where parcel_year = '2024' and parcel_id = '23092323411');</v>
      </c>
    </row>
    <row r="1424" spans="1:85" x14ac:dyDescent="0.25">
      <c r="A1424">
        <v>23092323412</v>
      </c>
      <c r="B1424">
        <v>0.19</v>
      </c>
      <c r="C1424">
        <v>8460</v>
      </c>
      <c r="D1424" t="s">
        <v>129</v>
      </c>
      <c r="E1424" t="s">
        <v>53</v>
      </c>
      <c r="F1424" t="s">
        <v>53</v>
      </c>
      <c r="G1424">
        <v>4</v>
      </c>
      <c r="H1424" t="s">
        <v>54</v>
      </c>
      <c r="I1424">
        <v>178300</v>
      </c>
      <c r="J1424">
        <v>39700</v>
      </c>
      <c r="K1424">
        <v>0.19</v>
      </c>
      <c r="L142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24">
        <v>0</v>
      </c>
      <c r="N1424">
        <v>0</v>
      </c>
      <c r="O1424">
        <v>0</v>
      </c>
      <c r="P1424">
        <v>13398.7528</v>
      </c>
      <c r="Q1424">
        <v>63903</v>
      </c>
      <c r="R1424">
        <f>(Grandview_Inventory[[#This Row],[ln_acres]]*Grandview_Inventory[[#This Row],[coeff]])+Grandview_Inventory[[#This Row],[const]]</f>
        <v>41651.273092551026</v>
      </c>
      <c r="S1424" t="s">
        <v>61</v>
      </c>
      <c r="T1424">
        <v>1</v>
      </c>
      <c r="U1424" t="s">
        <v>70</v>
      </c>
      <c r="V1424" t="s">
        <v>69</v>
      </c>
      <c r="W1424">
        <v>0</v>
      </c>
      <c r="X1424">
        <v>0</v>
      </c>
      <c r="Y1424">
        <v>20</v>
      </c>
      <c r="Z1424">
        <v>20</v>
      </c>
      <c r="AA1424">
        <v>20</v>
      </c>
      <c r="AB1424">
        <v>1500</v>
      </c>
      <c r="AC1424">
        <v>1230</v>
      </c>
      <c r="AD1424">
        <v>1230</v>
      </c>
      <c r="AE1424">
        <v>0</v>
      </c>
      <c r="AF1424">
        <v>0</v>
      </c>
      <c r="AG1424">
        <v>0</v>
      </c>
      <c r="AH1424">
        <v>0</v>
      </c>
      <c r="AI1424">
        <v>240</v>
      </c>
      <c r="AJ1424">
        <v>0</v>
      </c>
      <c r="AK1424">
        <v>0</v>
      </c>
      <c r="AL1424">
        <v>0</v>
      </c>
      <c r="AM1424">
        <v>204</v>
      </c>
      <c r="AN1424">
        <v>0</v>
      </c>
      <c r="AO1424">
        <v>0</v>
      </c>
      <c r="AP1424">
        <v>8</v>
      </c>
      <c r="AQ1424">
        <v>0</v>
      </c>
      <c r="AR1424">
        <v>0</v>
      </c>
      <c r="AS1424" t="s">
        <v>58</v>
      </c>
      <c r="AT1424">
        <v>1</v>
      </c>
      <c r="AU1424" t="s">
        <v>59</v>
      </c>
      <c r="AV1424" t="s">
        <v>60</v>
      </c>
      <c r="AW1424">
        <v>1</v>
      </c>
      <c r="AX1424">
        <v>3</v>
      </c>
      <c r="AY1424">
        <v>0</v>
      </c>
      <c r="AZ1424">
        <v>0</v>
      </c>
      <c r="BA1424">
        <v>100</v>
      </c>
      <c r="BB1424">
        <v>100</v>
      </c>
      <c r="BC1424">
        <v>100</v>
      </c>
      <c r="BD1424">
        <v>100</v>
      </c>
      <c r="BE1424">
        <v>1</v>
      </c>
      <c r="BF1424">
        <v>15000</v>
      </c>
      <c r="BG1424">
        <v>1000</v>
      </c>
      <c r="BH1424" s="6">
        <f>Grandview_Inventory[[#This Row],[land_extract]]*Lookups!$B$3</f>
        <v>48369.510983942157</v>
      </c>
      <c r="BI1424" s="6">
        <f>IF(Grandview_Inventory[[#This Row],[bldg_style]]="",0,Lookups!$B$2)</f>
        <v>155833.95000000001</v>
      </c>
      <c r="BJ1424" s="6">
        <f>_xlfn.IFNA(VLOOKUP(Grandview_Inventory[[#This Row],[quality]],Lookups!$H$2:$J$14,3,FALSE),0)</f>
        <v>10733</v>
      </c>
      <c r="BK1424" s="6">
        <f>_xlfn.IFNA(VLOOKUP(Grandview_Inventory[[#This Row],[condition]],Lookups!$H$17:$J$24,3,FALSE),0)</f>
        <v>-4503</v>
      </c>
      <c r="BL1424" s="6">
        <f>Grandview_Inventory[[#This Row],[Eff_Age]]*Lookups!$B$14</f>
        <v>-4783.3319999999994</v>
      </c>
      <c r="BM1424" s="6">
        <f>Grandview_Inventory[[#This Row],[living_area]]*Lookups!$B$15</f>
        <v>76728.449189999999</v>
      </c>
      <c r="BN1424" s="6">
        <f>Grandview_Inventory[[#This Row],[Fin BSMT]]*Lookups!$B$16</f>
        <v>0</v>
      </c>
      <c r="BO1424" s="6">
        <f>(Grandview_Inventory[[#This Row],[att_gar]]+Grandview_Inventory[[#This Row],[bltin_gar]])*Lookups!$B$17</f>
        <v>21004.904880000002</v>
      </c>
      <c r="BP1424" s="6">
        <f>Grandview_Inventory[[#This Row],[Plumbing Fixtures]]*Lookups!$B$18</f>
        <v>16083.5344</v>
      </c>
      <c r="BQ1424" s="6">
        <f>Grandview_Inventory[[#This Row],[detatched_value]]*Lookups!$B$19</f>
        <v>0</v>
      </c>
      <c r="BR1424" s="6">
        <f>SUM(Grandview_Inventory[[#This Row],[Intercept]:[det_value]])*Grandview_Inventory[[#This Row],[res_pct]]</f>
        <v>271097.50647000002</v>
      </c>
      <c r="BS1424" s="6">
        <f>Grandview_Inventory[[#This Row],[land_value]]</f>
        <v>48369.510983942157</v>
      </c>
      <c r="BT1424" s="4">
        <f>_xlfn.IFNA(VLOOKUP(Grandview_Inventory[[#This Row],[quality]],Lookups!$A$26:$C$33,3,FALSE),1)</f>
        <v>0.98079741117310582</v>
      </c>
      <c r="BU1424" s="4">
        <f>_xlfn.IFNA(VLOOKUP(Grandview_Inventory[[#This Row],[condition]],Lookups!$A$37:$C$44,3,FALSE),1)</f>
        <v>0.96469275950863709</v>
      </c>
      <c r="BV1424" s="4">
        <f>IF(Grandview_Inventory[[#This Row],[bldg_style]]="",1,_xlfn.IFNA(VLOOKUP(Grandview_Inventory[[#This Row],[decade]],Lookups!$F$29:$H$43,3,FALSE),1))</f>
        <v>0.96737494181490646</v>
      </c>
      <c r="BW1424" s="4">
        <f>_xlfn.IFNA(VLOOKUP(Grandview_Inventory[[#This Row],[living_area_range]],Lookups!$F$47:$H$56,3,FALSE),1)</f>
        <v>0.96135087979789358</v>
      </c>
      <c r="BX1424" s="4">
        <f>AVERAGE(Grandview_Inventory[[#This Row],[qual_adj]:[size_adj]])</f>
        <v>0.96855399807363574</v>
      </c>
      <c r="BY1424" s="6">
        <f>IF(Grandview_Inventory[[#This Row],[pre_res]]&lt;0,0,Grandview_Inventory[[#This Row],[pre_res]]*Grandview_Inventory[[#This Row],[overall_adj]])</f>
        <v>262572.57375931187</v>
      </c>
      <c r="BZ1424" s="6">
        <f>(Grandview_Inventory[[#This Row],[sum_land]]-IF(Grandview_Inventory[[#This Row],[no_utilities]]=1,12000,0))/IF(Grandview_Inventory[[#This Row],[unbuildable]]=1,2,1)</f>
        <v>48369.510983942157</v>
      </c>
      <c r="CA142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24">
        <f>ROUND(Grandview_Inventory[[#This Row],[det_value]]*Lookups!$M$28,-2)</f>
        <v>0</v>
      </c>
      <c r="CC1424">
        <f>IF(ROUND(Grandview_Inventory[[#This Row],[adj_res]]*Lookups!$M$28,-2)&lt;Grandview_Inventory[[#This Row],[min_res]],Grandview_Inventory[[#This Row],[min_res]],ROUND(Grandview_Inventory[[#This Row],[adj_res]]*Lookups!$M$28,-2))</f>
        <v>249400</v>
      </c>
      <c r="CD1424">
        <f>Grandview_Inventory[[#This Row],[final_det]]+Grandview_Inventory[[#This Row],[final_res]]</f>
        <v>249400</v>
      </c>
      <c r="CE1424">
        <f>Grandview_Inventory[[#This Row],[final_land]]+Grandview_Inventory[[#This Row],[final_imp]]+Grandview_Inventory[[#This Row],[crop_value]]</f>
        <v>295400</v>
      </c>
      <c r="CG1424" t="str">
        <f t="shared" si="22"/>
        <v>update valuation set market_land =46000, market_bldg=249400, market_total =295400, market_mdno =401, market_date ='9/10/2023' where link_id = (select link_id from parcel where parcel_year = '2024' and parcel_id = '23092323412');</v>
      </c>
    </row>
    <row r="1425" spans="1:85" x14ac:dyDescent="0.25">
      <c r="A1425">
        <v>23092323413</v>
      </c>
      <c r="B1425">
        <v>0.19</v>
      </c>
      <c r="C1425">
        <v>8424</v>
      </c>
      <c r="D1425" t="s">
        <v>129</v>
      </c>
      <c r="E1425" t="s">
        <v>53</v>
      </c>
      <c r="F1425" t="s">
        <v>53</v>
      </c>
      <c r="G1425">
        <v>4</v>
      </c>
      <c r="H1425" t="s">
        <v>54</v>
      </c>
      <c r="I1425">
        <v>189200</v>
      </c>
      <c r="J1425">
        <v>39700</v>
      </c>
      <c r="K1425">
        <v>0.19</v>
      </c>
      <c r="L142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25">
        <v>0</v>
      </c>
      <c r="N1425">
        <v>0</v>
      </c>
      <c r="O1425">
        <v>0</v>
      </c>
      <c r="P1425">
        <v>13398.7528</v>
      </c>
      <c r="Q1425">
        <v>63903</v>
      </c>
      <c r="R1425">
        <f>(Grandview_Inventory[[#This Row],[ln_acres]]*Grandview_Inventory[[#This Row],[coeff]])+Grandview_Inventory[[#This Row],[const]]</f>
        <v>41651.273092551026</v>
      </c>
      <c r="S1425" t="s">
        <v>61</v>
      </c>
      <c r="T1425">
        <v>1</v>
      </c>
      <c r="U1425" t="s">
        <v>70</v>
      </c>
      <c r="V1425" t="s">
        <v>67</v>
      </c>
      <c r="W1425">
        <v>0</v>
      </c>
      <c r="X1425">
        <v>0</v>
      </c>
      <c r="Y1425">
        <v>49</v>
      </c>
      <c r="Z1425">
        <v>67</v>
      </c>
      <c r="AA1425">
        <v>70</v>
      </c>
      <c r="AB1425">
        <v>1500</v>
      </c>
      <c r="AC1425">
        <v>1249</v>
      </c>
      <c r="AD1425">
        <v>1025</v>
      </c>
      <c r="AE1425">
        <v>0</v>
      </c>
      <c r="AF1425">
        <v>224</v>
      </c>
      <c r="AG1425">
        <v>0</v>
      </c>
      <c r="AH1425">
        <v>0</v>
      </c>
      <c r="AI1425">
        <v>0</v>
      </c>
      <c r="AJ1425">
        <v>0</v>
      </c>
      <c r="AK1425">
        <v>240</v>
      </c>
      <c r="AL1425">
        <v>0</v>
      </c>
      <c r="AM1425">
        <v>224</v>
      </c>
      <c r="AN1425">
        <v>0</v>
      </c>
      <c r="AO1425">
        <v>224</v>
      </c>
      <c r="AP1425">
        <v>5</v>
      </c>
      <c r="AQ1425">
        <v>0</v>
      </c>
      <c r="AR1425">
        <v>0</v>
      </c>
      <c r="AS1425" t="s">
        <v>58</v>
      </c>
      <c r="AT1425">
        <v>1</v>
      </c>
      <c r="AU1425" t="s">
        <v>63</v>
      </c>
      <c r="AV1425" t="s">
        <v>60</v>
      </c>
      <c r="AW1425">
        <v>1</v>
      </c>
      <c r="AX1425">
        <v>3</v>
      </c>
      <c r="AY1425">
        <v>0</v>
      </c>
      <c r="AZ1425">
        <v>0</v>
      </c>
      <c r="BA1425">
        <v>100</v>
      </c>
      <c r="BB1425">
        <v>100</v>
      </c>
      <c r="BC1425">
        <v>100</v>
      </c>
      <c r="BD1425">
        <v>100</v>
      </c>
      <c r="BE1425">
        <v>1</v>
      </c>
      <c r="BF1425">
        <v>15000</v>
      </c>
      <c r="BG1425">
        <v>1000</v>
      </c>
      <c r="BH1425" s="6">
        <f>Grandview_Inventory[[#This Row],[land_extract]]*Lookups!$B$3</f>
        <v>48369.510983942157</v>
      </c>
      <c r="BI1425" s="6">
        <f>IF(Grandview_Inventory[[#This Row],[bldg_style]]="",0,Lookups!$B$2)</f>
        <v>155833.95000000001</v>
      </c>
      <c r="BJ1425" s="6">
        <f>_xlfn.IFNA(VLOOKUP(Grandview_Inventory[[#This Row],[quality]],Lookups!$H$2:$J$14,3,FALSE),0)</f>
        <v>10733</v>
      </c>
      <c r="BK1425" s="6">
        <f>_xlfn.IFNA(VLOOKUP(Grandview_Inventory[[#This Row],[condition]],Lookups!$H$17:$J$24,3,FALSE),0)</f>
        <v>22342</v>
      </c>
      <c r="BL1425" s="6">
        <f>Grandview_Inventory[[#This Row],[Eff_Age]]*Lookups!$B$14</f>
        <v>-11719.163399999999</v>
      </c>
      <c r="BM1425" s="6">
        <f>Grandview_Inventory[[#This Row],[living_area]]*Lookups!$B$15</f>
        <v>77913.685397000008</v>
      </c>
      <c r="BN1425" s="6">
        <f>Grandview_Inventory[[#This Row],[Fin BSMT]]*Lookups!$B$16</f>
        <v>0</v>
      </c>
      <c r="BO1425" s="6">
        <f>(Grandview_Inventory[[#This Row],[att_gar]]+Grandview_Inventory[[#This Row],[bltin_gar]])*Lookups!$B$17</f>
        <v>0</v>
      </c>
      <c r="BP1425" s="6">
        <f>Grandview_Inventory[[#This Row],[Plumbing Fixtures]]*Lookups!$B$18</f>
        <v>10052.209000000001</v>
      </c>
      <c r="BQ1425" s="6">
        <f>Grandview_Inventory[[#This Row],[detatched_value]]*Lookups!$B$19</f>
        <v>0</v>
      </c>
      <c r="BR1425" s="6">
        <f>SUM(Grandview_Inventory[[#This Row],[Intercept]:[det_value]])*Grandview_Inventory[[#This Row],[res_pct]]</f>
        <v>265155.68099700002</v>
      </c>
      <c r="BS1425" s="6">
        <f>Grandview_Inventory[[#This Row],[land_value]]</f>
        <v>48369.510983942157</v>
      </c>
      <c r="BT1425" s="4">
        <f>_xlfn.IFNA(VLOOKUP(Grandview_Inventory[[#This Row],[quality]],Lookups!$A$26:$C$33,3,FALSE),1)</f>
        <v>0.98079741117310582</v>
      </c>
      <c r="BU1425" s="4">
        <f>_xlfn.IFNA(VLOOKUP(Grandview_Inventory[[#This Row],[condition]],Lookups!$A$37:$C$44,3,FALSE),1)</f>
        <v>0.97383723671140243</v>
      </c>
      <c r="BV1425" s="4">
        <f>IF(Grandview_Inventory[[#This Row],[bldg_style]]="",1,_xlfn.IFNA(VLOOKUP(Grandview_Inventory[[#This Row],[decade]],Lookups!$F$29:$H$43,3,FALSE),1))</f>
        <v>0.99472141305414818</v>
      </c>
      <c r="BW1425" s="4">
        <f>_xlfn.IFNA(VLOOKUP(Grandview_Inventory[[#This Row],[living_area_range]],Lookups!$F$47:$H$56,3,FALSE),1)</f>
        <v>0.96135087979789358</v>
      </c>
      <c r="BX1425" s="4">
        <f>AVERAGE(Grandview_Inventory[[#This Row],[qual_adj]:[size_adj]])</f>
        <v>0.97767673518413756</v>
      </c>
      <c r="BY1425" s="6">
        <f>IF(Grandview_Inventory[[#This Row],[pre_res]]&lt;0,0,Grandview_Inventory[[#This Row],[pre_res]]*Grandview_Inventory[[#This Row],[overall_adj]])</f>
        <v>259236.54051267364</v>
      </c>
      <c r="BZ1425" s="6">
        <f>(Grandview_Inventory[[#This Row],[sum_land]]-IF(Grandview_Inventory[[#This Row],[no_utilities]]=1,12000,0))/IF(Grandview_Inventory[[#This Row],[unbuildable]]=1,2,1)</f>
        <v>48369.510983942157</v>
      </c>
      <c r="CA142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25">
        <f>ROUND(Grandview_Inventory[[#This Row],[det_value]]*Lookups!$M$28,-2)</f>
        <v>0</v>
      </c>
      <c r="CC1425">
        <f>IF(ROUND(Grandview_Inventory[[#This Row],[adj_res]]*Lookups!$M$28,-2)&lt;Grandview_Inventory[[#This Row],[min_res]],Grandview_Inventory[[#This Row],[min_res]],ROUND(Grandview_Inventory[[#This Row],[adj_res]]*Lookups!$M$28,-2))</f>
        <v>246300</v>
      </c>
      <c r="CD1425">
        <f>Grandview_Inventory[[#This Row],[final_det]]+Grandview_Inventory[[#This Row],[final_res]]</f>
        <v>246300</v>
      </c>
      <c r="CE1425">
        <f>Grandview_Inventory[[#This Row],[final_land]]+Grandview_Inventory[[#This Row],[final_imp]]+Grandview_Inventory[[#This Row],[crop_value]]</f>
        <v>292300</v>
      </c>
      <c r="CG1425" t="str">
        <f t="shared" si="22"/>
        <v>update valuation set market_land =46000, market_bldg=246300, market_total =292300, market_mdno =401, market_date ='9/10/2023' where link_id = (select link_id from parcel where parcel_year = '2024' and parcel_id = '23092323413');</v>
      </c>
    </row>
    <row r="1426" spans="1:85" x14ac:dyDescent="0.25">
      <c r="A1426">
        <v>23092323414</v>
      </c>
      <c r="B1426">
        <v>0.19</v>
      </c>
      <c r="C1426">
        <v>8411</v>
      </c>
      <c r="D1426" t="s">
        <v>129</v>
      </c>
      <c r="E1426" t="s">
        <v>53</v>
      </c>
      <c r="F1426" t="s">
        <v>53</v>
      </c>
      <c r="G1426">
        <v>4</v>
      </c>
      <c r="H1426" t="s">
        <v>54</v>
      </c>
      <c r="I1426">
        <v>173500</v>
      </c>
      <c r="J1426">
        <v>39700</v>
      </c>
      <c r="K1426">
        <v>0.19</v>
      </c>
      <c r="L142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26">
        <v>0</v>
      </c>
      <c r="N1426">
        <v>0</v>
      </c>
      <c r="O1426">
        <v>0</v>
      </c>
      <c r="P1426">
        <v>13398.7528</v>
      </c>
      <c r="Q1426">
        <v>63903</v>
      </c>
      <c r="R1426">
        <f>(Grandview_Inventory[[#This Row],[ln_acres]]*Grandview_Inventory[[#This Row],[coeff]])+Grandview_Inventory[[#This Row],[const]]</f>
        <v>41651.273092551026</v>
      </c>
      <c r="S1426" t="s">
        <v>68</v>
      </c>
      <c r="T1426">
        <v>1</v>
      </c>
      <c r="U1426" t="s">
        <v>70</v>
      </c>
      <c r="V1426" t="s">
        <v>67</v>
      </c>
      <c r="W1426">
        <v>0</v>
      </c>
      <c r="X1426">
        <v>0</v>
      </c>
      <c r="Y1426">
        <v>55</v>
      </c>
      <c r="Z1426">
        <v>99</v>
      </c>
      <c r="AA1426">
        <v>100</v>
      </c>
      <c r="AB1426">
        <v>1500</v>
      </c>
      <c r="AC1426">
        <v>1265</v>
      </c>
      <c r="AD1426">
        <v>1265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8</v>
      </c>
      <c r="AQ1426">
        <v>0</v>
      </c>
      <c r="AR1426">
        <v>0</v>
      </c>
      <c r="AS1426" t="s">
        <v>58</v>
      </c>
      <c r="AT1426">
        <v>1</v>
      </c>
      <c r="AU1426" t="s">
        <v>75</v>
      </c>
      <c r="AV1426" t="s">
        <v>60</v>
      </c>
      <c r="AW1426">
        <v>0</v>
      </c>
      <c r="AX1426">
        <v>4</v>
      </c>
      <c r="AY1426">
        <v>0</v>
      </c>
      <c r="AZ1426">
        <v>900</v>
      </c>
      <c r="BA1426">
        <v>100</v>
      </c>
      <c r="BB1426">
        <v>100</v>
      </c>
      <c r="BC1426">
        <v>100</v>
      </c>
      <c r="BD1426">
        <v>100</v>
      </c>
      <c r="BE1426">
        <v>1</v>
      </c>
      <c r="BF1426">
        <v>15000</v>
      </c>
      <c r="BG1426">
        <v>1000</v>
      </c>
      <c r="BH1426" s="6">
        <f>Grandview_Inventory[[#This Row],[land_extract]]*Lookups!$B$3</f>
        <v>48369.510983942157</v>
      </c>
      <c r="BI1426" s="6">
        <f>IF(Grandview_Inventory[[#This Row],[bldg_style]]="",0,Lookups!$B$2)</f>
        <v>155833.95000000001</v>
      </c>
      <c r="BJ1426" s="6">
        <f>_xlfn.IFNA(VLOOKUP(Grandview_Inventory[[#This Row],[quality]],Lookups!$H$2:$J$14,3,FALSE),0)</f>
        <v>10733</v>
      </c>
      <c r="BK1426" s="6">
        <f>_xlfn.IFNA(VLOOKUP(Grandview_Inventory[[#This Row],[condition]],Lookups!$H$17:$J$24,3,FALSE),0)</f>
        <v>22342</v>
      </c>
      <c r="BL1426" s="6">
        <f>Grandview_Inventory[[#This Row],[Eff_Age]]*Lookups!$B$14</f>
        <v>-13154.162999999999</v>
      </c>
      <c r="BM1426" s="6">
        <f>Grandview_Inventory[[#This Row],[living_area]]*Lookups!$B$15</f>
        <v>78911.779045000003</v>
      </c>
      <c r="BN1426" s="6">
        <f>Grandview_Inventory[[#This Row],[Fin BSMT]]*Lookups!$B$16</f>
        <v>0</v>
      </c>
      <c r="BO1426" s="6">
        <f>(Grandview_Inventory[[#This Row],[att_gar]]+Grandview_Inventory[[#This Row],[bltin_gar]])*Lookups!$B$17</f>
        <v>0</v>
      </c>
      <c r="BP1426" s="6">
        <f>Grandview_Inventory[[#This Row],[Plumbing Fixtures]]*Lookups!$B$18</f>
        <v>16083.5344</v>
      </c>
      <c r="BQ1426" s="6">
        <f>Grandview_Inventory[[#This Row],[detatched_value]]*Lookups!$B$19</f>
        <v>762.12459000000001</v>
      </c>
      <c r="BR1426" s="6">
        <f>SUM(Grandview_Inventory[[#This Row],[Intercept]:[det_value]])*Grandview_Inventory[[#This Row],[res_pct]]</f>
        <v>271512.22503500001</v>
      </c>
      <c r="BS1426" s="6">
        <f>Grandview_Inventory[[#This Row],[land_value]]</f>
        <v>48369.510983942157</v>
      </c>
      <c r="BT1426" s="4">
        <f>_xlfn.IFNA(VLOOKUP(Grandview_Inventory[[#This Row],[quality]],Lookups!$A$26:$C$33,3,FALSE),1)</f>
        <v>0.98079741117310582</v>
      </c>
      <c r="BU1426" s="4">
        <f>_xlfn.IFNA(VLOOKUP(Grandview_Inventory[[#This Row],[condition]],Lookups!$A$37:$C$44,3,FALSE),1)</f>
        <v>0.97383723671140243</v>
      </c>
      <c r="BV1426" s="4">
        <f>IF(Grandview_Inventory[[#This Row],[bldg_style]]="",1,_xlfn.IFNA(VLOOKUP(Grandview_Inventory[[#This Row],[decade]],Lookups!$F$29:$H$43,3,FALSE),1))</f>
        <v>0.95244691841736806</v>
      </c>
      <c r="BW1426" s="4">
        <f>_xlfn.IFNA(VLOOKUP(Grandview_Inventory[[#This Row],[living_area_range]],Lookups!$F$47:$H$56,3,FALSE),1)</f>
        <v>0.96135087979789358</v>
      </c>
      <c r="BX1426" s="4">
        <f>AVERAGE(Grandview_Inventory[[#This Row],[qual_adj]:[size_adj]])</f>
        <v>0.96710811152494247</v>
      </c>
      <c r="BY1426" s="6">
        <f>IF(Grandview_Inventory[[#This Row],[pre_res]]&lt;0,0,Grandview_Inventory[[#This Row],[pre_res]]*Grandview_Inventory[[#This Row],[overall_adj]])</f>
        <v>262581.67520953406</v>
      </c>
      <c r="BZ1426" s="6">
        <f>(Grandview_Inventory[[#This Row],[sum_land]]-IF(Grandview_Inventory[[#This Row],[no_utilities]]=1,12000,0))/IF(Grandview_Inventory[[#This Row],[unbuildable]]=1,2,1)</f>
        <v>48369.510983942157</v>
      </c>
      <c r="CA142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26">
        <f>ROUND(Grandview_Inventory[[#This Row],[det_value]]*Lookups!$M$28,-2)</f>
        <v>700</v>
      </c>
      <c r="CC1426">
        <f>IF(ROUND(Grandview_Inventory[[#This Row],[adj_res]]*Lookups!$M$28,-2)&lt;Grandview_Inventory[[#This Row],[min_res]],Grandview_Inventory[[#This Row],[min_res]],ROUND(Grandview_Inventory[[#This Row],[adj_res]]*Lookups!$M$28,-2))</f>
        <v>249500</v>
      </c>
      <c r="CD1426">
        <f>Grandview_Inventory[[#This Row],[final_det]]+Grandview_Inventory[[#This Row],[final_res]]</f>
        <v>250200</v>
      </c>
      <c r="CE1426">
        <f>Grandview_Inventory[[#This Row],[final_land]]+Grandview_Inventory[[#This Row],[final_imp]]+Grandview_Inventory[[#This Row],[crop_value]]</f>
        <v>296200</v>
      </c>
      <c r="CG1426" t="str">
        <f t="shared" si="22"/>
        <v>update valuation set market_land =46000, market_bldg=250200, market_total =296200, market_mdno =401, market_date ='9/10/2023' where link_id = (select link_id from parcel where parcel_year = '2024' and parcel_id = '23092323414');</v>
      </c>
    </row>
    <row r="1427" spans="1:85" x14ac:dyDescent="0.25">
      <c r="A1427">
        <v>23092323415</v>
      </c>
      <c r="B1427">
        <v>0.16</v>
      </c>
      <c r="C1427">
        <v>7182</v>
      </c>
      <c r="D1427" t="s">
        <v>129</v>
      </c>
      <c r="E1427" t="s">
        <v>53</v>
      </c>
      <c r="F1427" t="s">
        <v>53</v>
      </c>
      <c r="G1427">
        <v>4</v>
      </c>
      <c r="H1427" t="s">
        <v>54</v>
      </c>
      <c r="I1427">
        <v>136700</v>
      </c>
      <c r="J1427">
        <v>39100</v>
      </c>
      <c r="K1427">
        <v>0.16</v>
      </c>
      <c r="L142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27">
        <v>0</v>
      </c>
      <c r="N1427">
        <v>0</v>
      </c>
      <c r="O1427">
        <v>0</v>
      </c>
      <c r="P1427">
        <v>13398.7528</v>
      </c>
      <c r="Q1427">
        <v>63903</v>
      </c>
      <c r="R1427">
        <f>(Grandview_Inventory[[#This Row],[ln_acres]]*Grandview_Inventory[[#This Row],[coeff]])+Grandview_Inventory[[#This Row],[const]]</f>
        <v>39348.693981374228</v>
      </c>
      <c r="S1427" t="s">
        <v>68</v>
      </c>
      <c r="T1427">
        <v>1</v>
      </c>
      <c r="U1427" t="s">
        <v>65</v>
      </c>
      <c r="V1427" t="s">
        <v>69</v>
      </c>
      <c r="W1427">
        <v>0</v>
      </c>
      <c r="X1427">
        <v>0</v>
      </c>
      <c r="Y1427">
        <v>49</v>
      </c>
      <c r="Z1427">
        <v>68</v>
      </c>
      <c r="AA1427">
        <v>70</v>
      </c>
      <c r="AB1427">
        <v>1500</v>
      </c>
      <c r="AC1427">
        <v>1464</v>
      </c>
      <c r="AD1427">
        <v>1464</v>
      </c>
      <c r="AE1427">
        <v>0</v>
      </c>
      <c r="AF1427">
        <v>0</v>
      </c>
      <c r="AG1427">
        <v>0</v>
      </c>
      <c r="AH1427">
        <v>280</v>
      </c>
      <c r="AI1427">
        <v>0</v>
      </c>
      <c r="AJ1427">
        <v>0</v>
      </c>
      <c r="AK1427">
        <v>0</v>
      </c>
      <c r="AL1427">
        <v>0</v>
      </c>
      <c r="AM1427">
        <v>528</v>
      </c>
      <c r="AN1427">
        <v>32</v>
      </c>
      <c r="AO1427">
        <v>288</v>
      </c>
      <c r="AP1427">
        <v>5</v>
      </c>
      <c r="AQ1427">
        <v>0</v>
      </c>
      <c r="AR1427">
        <v>1</v>
      </c>
      <c r="AS1427" t="s">
        <v>58</v>
      </c>
      <c r="AT1427">
        <v>1</v>
      </c>
      <c r="AU1427" t="s">
        <v>63</v>
      </c>
      <c r="AV1427" t="s">
        <v>64</v>
      </c>
      <c r="AW1427">
        <v>0</v>
      </c>
      <c r="AX1427">
        <v>2</v>
      </c>
      <c r="AY1427">
        <v>0</v>
      </c>
      <c r="AZ1427">
        <v>0</v>
      </c>
      <c r="BA1427">
        <v>100</v>
      </c>
      <c r="BB1427">
        <v>100</v>
      </c>
      <c r="BC1427">
        <v>100</v>
      </c>
      <c r="BD1427">
        <v>100</v>
      </c>
      <c r="BE1427">
        <v>1</v>
      </c>
      <c r="BF1427">
        <v>15000</v>
      </c>
      <c r="BG1427">
        <v>1000</v>
      </c>
      <c r="BH1427" s="6">
        <f>Grandview_Inventory[[#This Row],[land_extract]]*Lookups!$B$3</f>
        <v>45695.532079096141</v>
      </c>
      <c r="BI1427" s="6">
        <f>IF(Grandview_Inventory[[#This Row],[bldg_style]]="",0,Lookups!$B$2)</f>
        <v>155833.95000000001</v>
      </c>
      <c r="BJ1427" s="6">
        <f>_xlfn.IFNA(VLOOKUP(Grandview_Inventory[[#This Row],[quality]],Lookups!$H$2:$J$14,3,FALSE),0)</f>
        <v>2251</v>
      </c>
      <c r="BK1427" s="6">
        <f>_xlfn.IFNA(VLOOKUP(Grandview_Inventory[[#This Row],[condition]],Lookups!$H$17:$J$24,3,FALSE),0)</f>
        <v>-4503</v>
      </c>
      <c r="BL1427" s="6">
        <f>Grandview_Inventory[[#This Row],[Eff_Age]]*Lookups!$B$14</f>
        <v>-11719.163399999999</v>
      </c>
      <c r="BM1427" s="6">
        <f>Grandview_Inventory[[#This Row],[living_area]]*Lookups!$B$15</f>
        <v>91325.568792000005</v>
      </c>
      <c r="BN1427" s="6">
        <f>Grandview_Inventory[[#This Row],[Fin BSMT]]*Lookups!$B$16</f>
        <v>0</v>
      </c>
      <c r="BO1427" s="6">
        <f>(Grandview_Inventory[[#This Row],[att_gar]]+Grandview_Inventory[[#This Row],[bltin_gar]])*Lookups!$B$17</f>
        <v>0</v>
      </c>
      <c r="BP1427" s="6">
        <f>Grandview_Inventory[[#This Row],[Plumbing Fixtures]]*Lookups!$B$18</f>
        <v>10052.209000000001</v>
      </c>
      <c r="BQ1427" s="6">
        <f>Grandview_Inventory[[#This Row],[detatched_value]]*Lookups!$B$19</f>
        <v>0</v>
      </c>
      <c r="BR1427" s="6">
        <f>SUM(Grandview_Inventory[[#This Row],[Intercept]:[det_value]])*Grandview_Inventory[[#This Row],[res_pct]]</f>
        <v>243240.56439200003</v>
      </c>
      <c r="BS1427" s="6">
        <f>Grandview_Inventory[[#This Row],[land_value]]</f>
        <v>45695.532079096141</v>
      </c>
      <c r="BT1427" s="4">
        <f>_xlfn.IFNA(VLOOKUP(Grandview_Inventory[[#This Row],[quality]],Lookups!$A$26:$C$33,3,FALSE),1)</f>
        <v>0.98763855981004833</v>
      </c>
      <c r="BU1427" s="4">
        <f>_xlfn.IFNA(VLOOKUP(Grandview_Inventory[[#This Row],[condition]],Lookups!$A$37:$C$44,3,FALSE),1)</f>
        <v>0.96469275950863709</v>
      </c>
      <c r="BV1427" s="4">
        <f>IF(Grandview_Inventory[[#This Row],[bldg_style]]="",1,_xlfn.IFNA(VLOOKUP(Grandview_Inventory[[#This Row],[decade]],Lookups!$F$29:$H$43,3,FALSE),1))</f>
        <v>0.99472141305414818</v>
      </c>
      <c r="BW1427" s="4">
        <f>_xlfn.IFNA(VLOOKUP(Grandview_Inventory[[#This Row],[living_area_range]],Lookups!$F$47:$H$56,3,FALSE),1)</f>
        <v>0.96135087979789358</v>
      </c>
      <c r="BX1427" s="4">
        <f>AVERAGE(Grandview_Inventory[[#This Row],[qual_adj]:[size_adj]])</f>
        <v>0.97710090304268182</v>
      </c>
      <c r="BY1427" s="6">
        <f>IF(Grandview_Inventory[[#This Row],[pre_res]]&lt;0,0,Grandview_Inventory[[#This Row],[pre_res]]*Grandview_Inventory[[#This Row],[overall_adj]])</f>
        <v>237670.57512403483</v>
      </c>
      <c r="BZ1427" s="6">
        <f>(Grandview_Inventory[[#This Row],[sum_land]]-IF(Grandview_Inventory[[#This Row],[no_utilities]]=1,12000,0))/IF(Grandview_Inventory[[#This Row],[unbuildable]]=1,2,1)</f>
        <v>45695.532079096141</v>
      </c>
      <c r="CA142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27">
        <f>ROUND(Grandview_Inventory[[#This Row],[det_value]]*Lookups!$M$28,-2)</f>
        <v>0</v>
      </c>
      <c r="CC1427">
        <f>IF(ROUND(Grandview_Inventory[[#This Row],[adj_res]]*Lookups!$M$28,-2)&lt;Grandview_Inventory[[#This Row],[min_res]],Grandview_Inventory[[#This Row],[min_res]],ROUND(Grandview_Inventory[[#This Row],[adj_res]]*Lookups!$M$28,-2))</f>
        <v>225800</v>
      </c>
      <c r="CD1427">
        <f>Grandview_Inventory[[#This Row],[final_det]]+Grandview_Inventory[[#This Row],[final_res]]</f>
        <v>225800</v>
      </c>
      <c r="CE1427">
        <f>Grandview_Inventory[[#This Row],[final_land]]+Grandview_Inventory[[#This Row],[final_imp]]+Grandview_Inventory[[#This Row],[crop_value]]</f>
        <v>269200</v>
      </c>
      <c r="CG1427" t="str">
        <f t="shared" si="22"/>
        <v>update valuation set market_land =43400, market_bldg=225800, market_total =269200, market_mdno =401, market_date ='9/10/2023' where link_id = (select link_id from parcel where parcel_year = '2024' and parcel_id = '23092323415');</v>
      </c>
    </row>
    <row r="1428" spans="1:85" x14ac:dyDescent="0.25">
      <c r="A1428">
        <v>23092323416</v>
      </c>
      <c r="B1428">
        <v>0.16</v>
      </c>
      <c r="C1428">
        <v>7160</v>
      </c>
      <c r="D1428" t="s">
        <v>129</v>
      </c>
      <c r="E1428" t="s">
        <v>53</v>
      </c>
      <c r="F1428" t="s">
        <v>53</v>
      </c>
      <c r="G1428">
        <v>4</v>
      </c>
      <c r="H1428" t="s">
        <v>54</v>
      </c>
      <c r="I1428">
        <v>118800</v>
      </c>
      <c r="J1428">
        <v>39100</v>
      </c>
      <c r="K1428">
        <v>0.16</v>
      </c>
      <c r="L142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28">
        <v>0</v>
      </c>
      <c r="N1428">
        <v>0</v>
      </c>
      <c r="O1428">
        <v>0</v>
      </c>
      <c r="P1428">
        <v>13398.7528</v>
      </c>
      <c r="Q1428">
        <v>63903</v>
      </c>
      <c r="R1428">
        <f>(Grandview_Inventory[[#This Row],[ln_acres]]*Grandview_Inventory[[#This Row],[coeff]])+Grandview_Inventory[[#This Row],[const]]</f>
        <v>39348.693981374228</v>
      </c>
      <c r="S1428" t="s">
        <v>85</v>
      </c>
      <c r="T1428">
        <v>1</v>
      </c>
      <c r="U1428" t="s">
        <v>70</v>
      </c>
      <c r="V1428" t="s">
        <v>69</v>
      </c>
      <c r="W1428">
        <v>0</v>
      </c>
      <c r="X1428">
        <v>0</v>
      </c>
      <c r="Y1428">
        <v>65</v>
      </c>
      <c r="Z1428">
        <v>113</v>
      </c>
      <c r="AA1428">
        <v>120</v>
      </c>
      <c r="AB1428">
        <v>1000</v>
      </c>
      <c r="AC1428">
        <v>872</v>
      </c>
      <c r="AD1428">
        <v>872</v>
      </c>
      <c r="AE1428">
        <v>0</v>
      </c>
      <c r="AF1428">
        <v>0</v>
      </c>
      <c r="AG1428">
        <v>0</v>
      </c>
      <c r="AH1428">
        <v>696</v>
      </c>
      <c r="AI1428">
        <v>0</v>
      </c>
      <c r="AJ1428">
        <v>0</v>
      </c>
      <c r="AK1428">
        <v>0</v>
      </c>
      <c r="AL1428">
        <v>0</v>
      </c>
      <c r="AM1428">
        <v>264</v>
      </c>
      <c r="AN1428">
        <v>96</v>
      </c>
      <c r="AO1428">
        <v>264</v>
      </c>
      <c r="AP1428">
        <v>5</v>
      </c>
      <c r="AQ1428">
        <v>0</v>
      </c>
      <c r="AR1428">
        <v>0</v>
      </c>
      <c r="AS1428" t="s">
        <v>58</v>
      </c>
      <c r="AT1428">
        <v>1</v>
      </c>
      <c r="AU1428" t="s">
        <v>75</v>
      </c>
      <c r="AV1428" t="s">
        <v>60</v>
      </c>
      <c r="AW1428">
        <v>0</v>
      </c>
      <c r="AX1428">
        <v>2</v>
      </c>
      <c r="AY1428">
        <v>0</v>
      </c>
      <c r="AZ1428">
        <v>7400</v>
      </c>
      <c r="BA1428">
        <v>100</v>
      </c>
      <c r="BB1428">
        <v>100</v>
      </c>
      <c r="BC1428">
        <v>100</v>
      </c>
      <c r="BD1428">
        <v>100</v>
      </c>
      <c r="BE1428">
        <v>1</v>
      </c>
      <c r="BF1428">
        <v>15000</v>
      </c>
      <c r="BG1428">
        <v>1000</v>
      </c>
      <c r="BH1428" s="6">
        <f>Grandview_Inventory[[#This Row],[land_extract]]*Lookups!$B$3</f>
        <v>45695.532079096141</v>
      </c>
      <c r="BI1428" s="6">
        <f>IF(Grandview_Inventory[[#This Row],[bldg_style]]="",0,Lookups!$B$2)</f>
        <v>155833.95000000001</v>
      </c>
      <c r="BJ1428" s="6">
        <f>_xlfn.IFNA(VLOOKUP(Grandview_Inventory[[#This Row],[quality]],Lookups!$H$2:$J$14,3,FALSE),0)</f>
        <v>10733</v>
      </c>
      <c r="BK1428" s="6">
        <f>_xlfn.IFNA(VLOOKUP(Grandview_Inventory[[#This Row],[condition]],Lookups!$H$17:$J$24,3,FALSE),0)</f>
        <v>-4503</v>
      </c>
      <c r="BL1428" s="6">
        <f>Grandview_Inventory[[#This Row],[Eff_Age]]*Lookups!$B$14</f>
        <v>-15545.829</v>
      </c>
      <c r="BM1428" s="6">
        <f>Grandview_Inventory[[#This Row],[living_area]]*Lookups!$B$15</f>
        <v>54396.103816000003</v>
      </c>
      <c r="BN1428" s="6">
        <f>Grandview_Inventory[[#This Row],[Fin BSMT]]*Lookups!$B$16</f>
        <v>0</v>
      </c>
      <c r="BO1428" s="6">
        <f>(Grandview_Inventory[[#This Row],[att_gar]]+Grandview_Inventory[[#This Row],[bltin_gar]])*Lookups!$B$17</f>
        <v>0</v>
      </c>
      <c r="BP1428" s="6">
        <f>Grandview_Inventory[[#This Row],[Plumbing Fixtures]]*Lookups!$B$18</f>
        <v>10052.209000000001</v>
      </c>
      <c r="BQ1428" s="6">
        <f>Grandview_Inventory[[#This Row],[detatched_value]]*Lookups!$B$19</f>
        <v>6266.3577399999995</v>
      </c>
      <c r="BR1428" s="6">
        <f>SUM(Grandview_Inventory[[#This Row],[Intercept]:[det_value]])*Grandview_Inventory[[#This Row],[res_pct]]</f>
        <v>217232.79155600004</v>
      </c>
      <c r="BS1428" s="6">
        <f>Grandview_Inventory[[#This Row],[land_value]]</f>
        <v>45695.532079096141</v>
      </c>
      <c r="BT1428" s="4">
        <f>_xlfn.IFNA(VLOOKUP(Grandview_Inventory[[#This Row],[quality]],Lookups!$A$26:$C$33,3,FALSE),1)</f>
        <v>0.98079741117310582</v>
      </c>
      <c r="BU1428" s="4">
        <f>_xlfn.IFNA(VLOOKUP(Grandview_Inventory[[#This Row],[condition]],Lookups!$A$37:$C$44,3,FALSE),1)</f>
        <v>0.96469275950863709</v>
      </c>
      <c r="BV1428" s="4">
        <f>IF(Grandview_Inventory[[#This Row],[bldg_style]]="",1,_xlfn.IFNA(VLOOKUP(Grandview_Inventory[[#This Row],[decade]],Lookups!$F$29:$H$43,3,FALSE),1))</f>
        <v>0.9251738460551937</v>
      </c>
      <c r="BW1428" s="4">
        <f>_xlfn.IFNA(VLOOKUP(Grandview_Inventory[[#This Row],[living_area_range]],Lookups!$F$47:$H$56,3,FALSE),1)</f>
        <v>0.94306777142782894</v>
      </c>
      <c r="BX1428" s="4">
        <f>AVERAGE(Grandview_Inventory[[#This Row],[qual_adj]:[size_adj]])</f>
        <v>0.95343294704119141</v>
      </c>
      <c r="BY1428" s="6">
        <f>IF(Grandview_Inventory[[#This Row],[pre_res]]&lt;0,0,Grandview_Inventory[[#This Row],[pre_res]]*Grandview_Inventory[[#This Row],[overall_adj]])</f>
        <v>207116.90064722195</v>
      </c>
      <c r="BZ1428" s="6">
        <f>(Grandview_Inventory[[#This Row],[sum_land]]-IF(Grandview_Inventory[[#This Row],[no_utilities]]=1,12000,0))/IF(Grandview_Inventory[[#This Row],[unbuildable]]=1,2,1)</f>
        <v>45695.532079096141</v>
      </c>
      <c r="CA142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28">
        <f>ROUND(Grandview_Inventory[[#This Row],[det_value]]*Lookups!$M$28,-2)</f>
        <v>6000</v>
      </c>
      <c r="CC1428">
        <f>IF(ROUND(Grandview_Inventory[[#This Row],[adj_res]]*Lookups!$M$28,-2)&lt;Grandview_Inventory[[#This Row],[min_res]],Grandview_Inventory[[#This Row],[min_res]],ROUND(Grandview_Inventory[[#This Row],[adj_res]]*Lookups!$M$28,-2))</f>
        <v>196800</v>
      </c>
      <c r="CD1428">
        <f>Grandview_Inventory[[#This Row],[final_det]]+Grandview_Inventory[[#This Row],[final_res]]</f>
        <v>202800</v>
      </c>
      <c r="CE1428">
        <f>Grandview_Inventory[[#This Row],[final_land]]+Grandview_Inventory[[#This Row],[final_imp]]+Grandview_Inventory[[#This Row],[crop_value]]</f>
        <v>246200</v>
      </c>
      <c r="CG1428" t="str">
        <f t="shared" si="22"/>
        <v>update valuation set market_land =43400, market_bldg=202800, market_total =246200, market_mdno =401, market_date ='9/10/2023' where link_id = (select link_id from parcel where parcel_year = '2024' and parcel_id = '23092323416');</v>
      </c>
    </row>
    <row r="1429" spans="1:85" x14ac:dyDescent="0.25">
      <c r="A1429">
        <v>23092323417</v>
      </c>
      <c r="B1429">
        <v>0.17</v>
      </c>
      <c r="C1429">
        <v>7477</v>
      </c>
      <c r="D1429" t="s">
        <v>129</v>
      </c>
      <c r="E1429" t="s">
        <v>53</v>
      </c>
      <c r="F1429" t="s">
        <v>53</v>
      </c>
      <c r="G1429">
        <v>4</v>
      </c>
      <c r="H1429" t="s">
        <v>54</v>
      </c>
      <c r="I1429">
        <v>55200</v>
      </c>
      <c r="J1429">
        <v>39100</v>
      </c>
      <c r="K1429">
        <v>0.17</v>
      </c>
      <c r="L142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29">
        <v>0</v>
      </c>
      <c r="N1429">
        <v>0</v>
      </c>
      <c r="O1429">
        <v>0</v>
      </c>
      <c r="P1429">
        <v>13398.7528</v>
      </c>
      <c r="Q1429">
        <v>63903</v>
      </c>
      <c r="R1429">
        <f>(Grandview_Inventory[[#This Row],[ln_acres]]*Grandview_Inventory[[#This Row],[coeff]])+Grandview_Inventory[[#This Row],[const]]</f>
        <v>40160.988302686128</v>
      </c>
      <c r="S1429" t="s">
        <v>68</v>
      </c>
      <c r="T1429">
        <v>1</v>
      </c>
      <c r="U1429" t="s">
        <v>80</v>
      </c>
      <c r="V1429" t="s">
        <v>78</v>
      </c>
      <c r="W1429">
        <v>0</v>
      </c>
      <c r="X1429">
        <v>0</v>
      </c>
      <c r="Y1429">
        <v>51</v>
      </c>
      <c r="Z1429">
        <v>78</v>
      </c>
      <c r="AA1429">
        <v>80</v>
      </c>
      <c r="AB1429">
        <v>500</v>
      </c>
      <c r="AC1429">
        <v>478</v>
      </c>
      <c r="AD1429">
        <v>478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36</v>
      </c>
      <c r="AP1429">
        <v>5</v>
      </c>
      <c r="AQ1429">
        <v>0</v>
      </c>
      <c r="AR1429">
        <v>0</v>
      </c>
      <c r="AS1429" t="s">
        <v>58</v>
      </c>
      <c r="AT1429">
        <v>1</v>
      </c>
      <c r="AU1429" t="s">
        <v>75</v>
      </c>
      <c r="AV1429" t="s">
        <v>60</v>
      </c>
      <c r="AW1429">
        <v>0</v>
      </c>
      <c r="AX1429">
        <v>1</v>
      </c>
      <c r="AY1429">
        <v>0</v>
      </c>
      <c r="AZ1429">
        <v>0</v>
      </c>
      <c r="BA1429">
        <v>100</v>
      </c>
      <c r="BB1429">
        <v>100</v>
      </c>
      <c r="BC1429">
        <v>100</v>
      </c>
      <c r="BD1429">
        <v>100</v>
      </c>
      <c r="BE1429">
        <v>1</v>
      </c>
      <c r="BF1429">
        <v>15000</v>
      </c>
      <c r="BG1429">
        <v>1000</v>
      </c>
      <c r="BH1429" s="6">
        <f>Grandview_Inventory[[#This Row],[land_extract]]*Lookups!$B$3</f>
        <v>46638.847281240982</v>
      </c>
      <c r="BI1429" s="6">
        <f>IF(Grandview_Inventory[[#This Row],[bldg_style]]="",0,Lookups!$B$2)</f>
        <v>155833.95000000001</v>
      </c>
      <c r="BJ1429" s="6">
        <f>_xlfn.IFNA(VLOOKUP(Grandview_Inventory[[#This Row],[quality]],Lookups!$H$2:$J$14,3,FALSE),0)</f>
        <v>-28558</v>
      </c>
      <c r="BK1429" s="6">
        <f>_xlfn.IFNA(VLOOKUP(Grandview_Inventory[[#This Row],[condition]],Lookups!$H$17:$J$24,3,FALSE),0)</f>
        <v>-45357</v>
      </c>
      <c r="BL1429" s="6">
        <f>Grandview_Inventory[[#This Row],[Eff_Age]]*Lookups!$B$14</f>
        <v>-12197.496599999999</v>
      </c>
      <c r="BM1429" s="6">
        <f>Grandview_Inventory[[#This Row],[living_area]]*Lookups!$B$15</f>
        <v>29818.047734</v>
      </c>
      <c r="BN1429" s="6">
        <f>Grandview_Inventory[[#This Row],[Fin BSMT]]*Lookups!$B$16</f>
        <v>0</v>
      </c>
      <c r="BO1429" s="6">
        <f>(Grandview_Inventory[[#This Row],[att_gar]]+Grandview_Inventory[[#This Row],[bltin_gar]])*Lookups!$B$17</f>
        <v>0</v>
      </c>
      <c r="BP1429" s="6">
        <f>Grandview_Inventory[[#This Row],[Plumbing Fixtures]]*Lookups!$B$18</f>
        <v>10052.209000000001</v>
      </c>
      <c r="BQ1429" s="6">
        <f>Grandview_Inventory[[#This Row],[detatched_value]]*Lookups!$B$19</f>
        <v>0</v>
      </c>
      <c r="BR1429" s="6">
        <f>SUM(Grandview_Inventory[[#This Row],[Intercept]:[det_value]])*Grandview_Inventory[[#This Row],[res_pct]]</f>
        <v>109591.71013400002</v>
      </c>
      <c r="BS1429" s="6">
        <f>Grandview_Inventory[[#This Row],[land_value]]</f>
        <v>46638.847281240982</v>
      </c>
      <c r="BT1429" s="4">
        <f>_xlfn.IFNA(VLOOKUP(Grandview_Inventory[[#This Row],[quality]],Lookups!$A$26:$C$33,3,FALSE),1)</f>
        <v>0.9690360070159818</v>
      </c>
      <c r="BU1429" s="4">
        <f>_xlfn.IFNA(VLOOKUP(Grandview_Inventory[[#This Row],[condition]],Lookups!$A$37:$C$44,3,FALSE),1)</f>
        <v>0.97161819570155394</v>
      </c>
      <c r="BV1429" s="4">
        <f>IF(Grandview_Inventory[[#This Row],[bldg_style]]="",1,_xlfn.IFNA(VLOOKUP(Grandview_Inventory[[#This Row],[decade]],Lookups!$F$29:$H$43,3,FALSE),1))</f>
        <v>0.98763256963907298</v>
      </c>
      <c r="BW1429" s="4">
        <f>_xlfn.IFNA(VLOOKUP(Grandview_Inventory[[#This Row],[living_area_range]],Lookups!$F$47:$H$56,3,FALSE),1)</f>
        <v>0.94306777142782894</v>
      </c>
      <c r="BX1429" s="4">
        <f>AVERAGE(Grandview_Inventory[[#This Row],[qual_adj]:[size_adj]])</f>
        <v>0.96783863594610942</v>
      </c>
      <c r="BY1429" s="6">
        <f>IF(Grandview_Inventory[[#This Row],[pre_res]]&lt;0,0,Grandview_Inventory[[#This Row],[pre_res]]*Grandview_Inventory[[#This Row],[overall_adj]])</f>
        <v>106067.091247092</v>
      </c>
      <c r="BZ1429" s="6">
        <f>(Grandview_Inventory[[#This Row],[sum_land]]-IF(Grandview_Inventory[[#This Row],[no_utilities]]=1,12000,0))/IF(Grandview_Inventory[[#This Row],[unbuildable]]=1,2,1)</f>
        <v>46638.847281240982</v>
      </c>
      <c r="CA142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29">
        <f>ROUND(Grandview_Inventory[[#This Row],[det_value]]*Lookups!$M$28,-2)</f>
        <v>0</v>
      </c>
      <c r="CC1429">
        <f>IF(ROUND(Grandview_Inventory[[#This Row],[adj_res]]*Lookups!$M$28,-2)&lt;Grandview_Inventory[[#This Row],[min_res]],Grandview_Inventory[[#This Row],[min_res]],ROUND(Grandview_Inventory[[#This Row],[adj_res]]*Lookups!$M$28,-2))</f>
        <v>100800</v>
      </c>
      <c r="CD1429">
        <f>Grandview_Inventory[[#This Row],[final_det]]+Grandview_Inventory[[#This Row],[final_res]]</f>
        <v>100800</v>
      </c>
      <c r="CE1429">
        <f>Grandview_Inventory[[#This Row],[final_land]]+Grandview_Inventory[[#This Row],[final_imp]]+Grandview_Inventory[[#This Row],[crop_value]]</f>
        <v>145100</v>
      </c>
      <c r="CG1429" t="str">
        <f t="shared" si="22"/>
        <v>update valuation set market_land =44300, market_bldg=100800, market_total =145100, market_mdno =401, market_date ='9/10/2023' where link_id = (select link_id from parcel where parcel_year = '2024' and parcel_id = '23092323417');</v>
      </c>
    </row>
    <row r="1430" spans="1:85" x14ac:dyDescent="0.25">
      <c r="A1430">
        <v>23092323418</v>
      </c>
      <c r="B1430">
        <v>0.18</v>
      </c>
      <c r="C1430">
        <v>7733</v>
      </c>
      <c r="D1430" t="s">
        <v>129</v>
      </c>
      <c r="E1430" t="s">
        <v>53</v>
      </c>
      <c r="F1430" t="s">
        <v>53</v>
      </c>
      <c r="G1430">
        <v>4</v>
      </c>
      <c r="H1430" t="s">
        <v>54</v>
      </c>
      <c r="I1430">
        <v>215500</v>
      </c>
      <c r="J1430">
        <v>39300</v>
      </c>
      <c r="K1430">
        <v>0.18</v>
      </c>
      <c r="L143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30">
        <v>0</v>
      </c>
      <c r="N1430">
        <v>0</v>
      </c>
      <c r="O1430">
        <v>0</v>
      </c>
      <c r="P1430">
        <v>13398.7528</v>
      </c>
      <c r="Q1430">
        <v>63903</v>
      </c>
      <c r="R1430">
        <f>(Grandview_Inventory[[#This Row],[ln_acres]]*Grandview_Inventory[[#This Row],[coeff]])+Grandview_Inventory[[#This Row],[const]]</f>
        <v>40926.839760167699</v>
      </c>
      <c r="S1430" t="s">
        <v>61</v>
      </c>
      <c r="T1430">
        <v>1</v>
      </c>
      <c r="U1430" t="s">
        <v>70</v>
      </c>
      <c r="V1430" t="s">
        <v>57</v>
      </c>
      <c r="W1430">
        <v>0</v>
      </c>
      <c r="X1430">
        <v>0</v>
      </c>
      <c r="Y1430">
        <v>12</v>
      </c>
      <c r="Z1430">
        <v>12</v>
      </c>
      <c r="AA1430">
        <v>20</v>
      </c>
      <c r="AB1430">
        <v>1500</v>
      </c>
      <c r="AC1430">
        <v>1080</v>
      </c>
      <c r="AD1430">
        <v>1080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8</v>
      </c>
      <c r="AQ1430">
        <v>0</v>
      </c>
      <c r="AR1430">
        <v>0</v>
      </c>
      <c r="AS1430" t="s">
        <v>58</v>
      </c>
      <c r="AT1430">
        <v>1</v>
      </c>
      <c r="AU1430" t="s">
        <v>63</v>
      </c>
      <c r="AV1430" t="s">
        <v>60</v>
      </c>
      <c r="AW1430">
        <v>1</v>
      </c>
      <c r="AX1430">
        <v>3</v>
      </c>
      <c r="AY1430">
        <v>0</v>
      </c>
      <c r="AZ1430">
        <v>0</v>
      </c>
      <c r="BA1430">
        <v>100</v>
      </c>
      <c r="BB1430">
        <v>100</v>
      </c>
      <c r="BC1430">
        <v>100</v>
      </c>
      <c r="BD1430">
        <v>100</v>
      </c>
      <c r="BE1430">
        <v>1</v>
      </c>
      <c r="BF1430">
        <v>15000</v>
      </c>
      <c r="BG1430">
        <v>1000</v>
      </c>
      <c r="BH1430" s="6">
        <f>Grandview_Inventory[[#This Row],[land_extract]]*Lookups!$B$3</f>
        <v>47528.228511015397</v>
      </c>
      <c r="BI1430" s="6">
        <f>IF(Grandview_Inventory[[#This Row],[bldg_style]]="",0,Lookups!$B$2)</f>
        <v>155833.95000000001</v>
      </c>
      <c r="BJ1430" s="6">
        <f>_xlfn.IFNA(VLOOKUP(Grandview_Inventory[[#This Row],[quality]],Lookups!$H$2:$J$14,3,FALSE),0)</f>
        <v>10733</v>
      </c>
      <c r="BK1430" s="6">
        <f>_xlfn.IFNA(VLOOKUP(Grandview_Inventory[[#This Row],[condition]],Lookups!$H$17:$J$24,3,FALSE),0)</f>
        <v>25780</v>
      </c>
      <c r="BL1430" s="6">
        <f>Grandview_Inventory[[#This Row],[Eff_Age]]*Lookups!$B$14</f>
        <v>-2869.9991999999997</v>
      </c>
      <c r="BM1430" s="6">
        <f>Grandview_Inventory[[#This Row],[living_area]]*Lookups!$B$15</f>
        <v>67371.321240000005</v>
      </c>
      <c r="BN1430" s="6">
        <f>Grandview_Inventory[[#This Row],[Fin BSMT]]*Lookups!$B$16</f>
        <v>0</v>
      </c>
      <c r="BO1430" s="6">
        <f>(Grandview_Inventory[[#This Row],[att_gar]]+Grandview_Inventory[[#This Row],[bltin_gar]])*Lookups!$B$17</f>
        <v>0</v>
      </c>
      <c r="BP1430" s="6">
        <f>Grandview_Inventory[[#This Row],[Plumbing Fixtures]]*Lookups!$B$18</f>
        <v>16083.5344</v>
      </c>
      <c r="BQ1430" s="6">
        <f>Grandview_Inventory[[#This Row],[detatched_value]]*Lookups!$B$19</f>
        <v>0</v>
      </c>
      <c r="BR1430" s="6">
        <f>SUM(Grandview_Inventory[[#This Row],[Intercept]:[det_value]])*Grandview_Inventory[[#This Row],[res_pct]]</f>
        <v>272931.80644000001</v>
      </c>
      <c r="BS1430" s="6">
        <f>Grandview_Inventory[[#This Row],[land_value]]</f>
        <v>47528.228511015397</v>
      </c>
      <c r="BT1430" s="4">
        <f>_xlfn.IFNA(VLOOKUP(Grandview_Inventory[[#This Row],[quality]],Lookups!$A$26:$C$33,3,FALSE),1)</f>
        <v>0.98079741117310582</v>
      </c>
      <c r="BU1430" s="4">
        <f>_xlfn.IFNA(VLOOKUP(Grandview_Inventory[[#This Row],[condition]],Lookups!$A$37:$C$44,3,FALSE),1)</f>
        <v>0.94347925387812148</v>
      </c>
      <c r="BV1430" s="4">
        <f>IF(Grandview_Inventory[[#This Row],[bldg_style]]="",1,_xlfn.IFNA(VLOOKUP(Grandview_Inventory[[#This Row],[decade]],Lookups!$F$29:$H$43,3,FALSE),1))</f>
        <v>0.96737494181490646</v>
      </c>
      <c r="BW1430" s="4">
        <f>_xlfn.IFNA(VLOOKUP(Grandview_Inventory[[#This Row],[living_area_range]],Lookups!$F$47:$H$56,3,FALSE),1)</f>
        <v>0.96135087979789358</v>
      </c>
      <c r="BX1430" s="4">
        <f>AVERAGE(Grandview_Inventory[[#This Row],[qual_adj]:[size_adj]])</f>
        <v>0.96325062166600683</v>
      </c>
      <c r="BY1430" s="6">
        <f>IF(Grandview_Inventory[[#This Row],[pre_res]]&lt;0,0,Grandview_Inventory[[#This Row],[pre_res]]*Grandview_Inventory[[#This Row],[overall_adj]])</f>
        <v>262901.73222575628</v>
      </c>
      <c r="BZ1430" s="6">
        <f>(Grandview_Inventory[[#This Row],[sum_land]]-IF(Grandview_Inventory[[#This Row],[no_utilities]]=1,12000,0))/IF(Grandview_Inventory[[#This Row],[unbuildable]]=1,2,1)</f>
        <v>47528.228511015397</v>
      </c>
      <c r="CA143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30">
        <f>ROUND(Grandview_Inventory[[#This Row],[det_value]]*Lookups!$M$28,-2)</f>
        <v>0</v>
      </c>
      <c r="CC1430">
        <f>IF(ROUND(Grandview_Inventory[[#This Row],[adj_res]]*Lookups!$M$28,-2)&lt;Grandview_Inventory[[#This Row],[min_res]],Grandview_Inventory[[#This Row],[min_res]],ROUND(Grandview_Inventory[[#This Row],[adj_res]]*Lookups!$M$28,-2))</f>
        <v>249800</v>
      </c>
      <c r="CD1430">
        <f>Grandview_Inventory[[#This Row],[final_det]]+Grandview_Inventory[[#This Row],[final_res]]</f>
        <v>249800</v>
      </c>
      <c r="CE1430">
        <f>Grandview_Inventory[[#This Row],[final_land]]+Grandview_Inventory[[#This Row],[final_imp]]+Grandview_Inventory[[#This Row],[crop_value]]</f>
        <v>295000</v>
      </c>
      <c r="CG1430" t="str">
        <f t="shared" si="22"/>
        <v>update valuation set market_land =45200, market_bldg=249800, market_total =295000, market_mdno =401, market_date ='9/10/2023' where link_id = (select link_id from parcel where parcel_year = '2024' and parcel_id = '23092323418');</v>
      </c>
    </row>
    <row r="1431" spans="1:85" x14ac:dyDescent="0.25">
      <c r="A1431">
        <v>23092323419</v>
      </c>
      <c r="B1431">
        <v>0.17</v>
      </c>
      <c r="C1431">
        <v>7205</v>
      </c>
      <c r="D1431" t="s">
        <v>129</v>
      </c>
      <c r="E1431" t="s">
        <v>53</v>
      </c>
      <c r="F1431" t="s">
        <v>53</v>
      </c>
      <c r="G1431">
        <v>4</v>
      </c>
      <c r="H1431" t="s">
        <v>54</v>
      </c>
      <c r="I1431">
        <v>128400</v>
      </c>
      <c r="J1431">
        <v>39100</v>
      </c>
      <c r="K1431">
        <v>0.17</v>
      </c>
      <c r="L143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31">
        <v>0</v>
      </c>
      <c r="N1431">
        <v>0</v>
      </c>
      <c r="O1431">
        <v>0</v>
      </c>
      <c r="P1431">
        <v>13398.7528</v>
      </c>
      <c r="Q1431">
        <v>63903</v>
      </c>
      <c r="R1431">
        <f>(Grandview_Inventory[[#This Row],[ln_acres]]*Grandview_Inventory[[#This Row],[coeff]])+Grandview_Inventory[[#This Row],[const]]</f>
        <v>40160.988302686128</v>
      </c>
      <c r="S1431" t="s">
        <v>68</v>
      </c>
      <c r="T1431">
        <v>1</v>
      </c>
      <c r="U1431" t="s">
        <v>70</v>
      </c>
      <c r="V1431" t="s">
        <v>69</v>
      </c>
      <c r="W1431">
        <v>0</v>
      </c>
      <c r="X1431">
        <v>0</v>
      </c>
      <c r="Y1431">
        <v>52</v>
      </c>
      <c r="Z1431">
        <v>88</v>
      </c>
      <c r="AA1431">
        <v>90</v>
      </c>
      <c r="AB1431">
        <v>1000</v>
      </c>
      <c r="AC1431">
        <v>990</v>
      </c>
      <c r="AD1431">
        <v>990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140</v>
      </c>
      <c r="AN1431">
        <v>77</v>
      </c>
      <c r="AO1431">
        <v>0</v>
      </c>
      <c r="AP1431">
        <v>5</v>
      </c>
      <c r="AQ1431">
        <v>0</v>
      </c>
      <c r="AR1431">
        <v>0</v>
      </c>
      <c r="AS1431" t="s">
        <v>58</v>
      </c>
      <c r="AT1431">
        <v>1</v>
      </c>
      <c r="AU1431" t="s">
        <v>63</v>
      </c>
      <c r="AV1431" t="s">
        <v>60</v>
      </c>
      <c r="AW1431">
        <v>0</v>
      </c>
      <c r="AX1431">
        <v>3</v>
      </c>
      <c r="AY1431">
        <v>0</v>
      </c>
      <c r="AZ1431">
        <v>5800</v>
      </c>
      <c r="BA1431">
        <v>100</v>
      </c>
      <c r="BB1431">
        <v>100</v>
      </c>
      <c r="BC1431">
        <v>100</v>
      </c>
      <c r="BD1431">
        <v>100</v>
      </c>
      <c r="BE1431">
        <v>1</v>
      </c>
      <c r="BF1431">
        <v>15000</v>
      </c>
      <c r="BG1431">
        <v>1000</v>
      </c>
      <c r="BH1431" s="6">
        <f>Grandview_Inventory[[#This Row],[land_extract]]*Lookups!$B$3</f>
        <v>46638.847281240982</v>
      </c>
      <c r="BI1431" s="6">
        <f>IF(Grandview_Inventory[[#This Row],[bldg_style]]="",0,Lookups!$B$2)</f>
        <v>155833.95000000001</v>
      </c>
      <c r="BJ1431" s="6">
        <f>_xlfn.IFNA(VLOOKUP(Grandview_Inventory[[#This Row],[quality]],Lookups!$H$2:$J$14,3,FALSE),0)</f>
        <v>10733</v>
      </c>
      <c r="BK1431" s="6">
        <f>_xlfn.IFNA(VLOOKUP(Grandview_Inventory[[#This Row],[condition]],Lookups!$H$17:$J$24,3,FALSE),0)</f>
        <v>-4503</v>
      </c>
      <c r="BL1431" s="6">
        <f>Grandview_Inventory[[#This Row],[Eff_Age]]*Lookups!$B$14</f>
        <v>-12436.663199999999</v>
      </c>
      <c r="BM1431" s="6">
        <f>Grandview_Inventory[[#This Row],[living_area]]*Lookups!$B$15</f>
        <v>61757.044470000001</v>
      </c>
      <c r="BN1431" s="6">
        <f>Grandview_Inventory[[#This Row],[Fin BSMT]]*Lookups!$B$16</f>
        <v>0</v>
      </c>
      <c r="BO1431" s="6">
        <f>(Grandview_Inventory[[#This Row],[att_gar]]+Grandview_Inventory[[#This Row],[bltin_gar]])*Lookups!$B$17</f>
        <v>0</v>
      </c>
      <c r="BP1431" s="6">
        <f>Grandview_Inventory[[#This Row],[Plumbing Fixtures]]*Lookups!$B$18</f>
        <v>10052.209000000001</v>
      </c>
      <c r="BQ1431" s="6">
        <f>Grandview_Inventory[[#This Row],[detatched_value]]*Lookups!$B$19</f>
        <v>4911.46958</v>
      </c>
      <c r="BR1431" s="6">
        <f>SUM(Grandview_Inventory[[#This Row],[Intercept]:[det_value]])*Grandview_Inventory[[#This Row],[res_pct]]</f>
        <v>226348.00985</v>
      </c>
      <c r="BS1431" s="6">
        <f>Grandview_Inventory[[#This Row],[land_value]]</f>
        <v>46638.847281240982</v>
      </c>
      <c r="BT1431" s="4">
        <f>_xlfn.IFNA(VLOOKUP(Grandview_Inventory[[#This Row],[quality]],Lookups!$A$26:$C$33,3,FALSE),1)</f>
        <v>0.98079741117310582</v>
      </c>
      <c r="BU1431" s="4">
        <f>_xlfn.IFNA(VLOOKUP(Grandview_Inventory[[#This Row],[condition]],Lookups!$A$37:$C$44,3,FALSE),1)</f>
        <v>0.96469275950863709</v>
      </c>
      <c r="BV1431" s="4">
        <f>IF(Grandview_Inventory[[#This Row],[bldg_style]]="",1,_xlfn.IFNA(VLOOKUP(Grandview_Inventory[[#This Row],[decade]],Lookups!$F$29:$H$43,3,FALSE),1))</f>
        <v>0.94161750052457416</v>
      </c>
      <c r="BW1431" s="4">
        <f>_xlfn.IFNA(VLOOKUP(Grandview_Inventory[[#This Row],[living_area_range]],Lookups!$F$47:$H$56,3,FALSE),1)</f>
        <v>0.94306777142782894</v>
      </c>
      <c r="BX1431" s="4">
        <f>AVERAGE(Grandview_Inventory[[#This Row],[qual_adj]:[size_adj]])</f>
        <v>0.95754386065853647</v>
      </c>
      <c r="BY1431" s="6">
        <f>IF(Grandview_Inventory[[#This Row],[pre_res]]&lt;0,0,Grandview_Inventory[[#This Row],[pre_res]]*Grandview_Inventory[[#This Row],[overall_adj]])</f>
        <v>216738.14720414544</v>
      </c>
      <c r="BZ1431" s="6">
        <f>(Grandview_Inventory[[#This Row],[sum_land]]-IF(Grandview_Inventory[[#This Row],[no_utilities]]=1,12000,0))/IF(Grandview_Inventory[[#This Row],[unbuildable]]=1,2,1)</f>
        <v>46638.847281240982</v>
      </c>
      <c r="CA143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31">
        <f>ROUND(Grandview_Inventory[[#This Row],[det_value]]*Lookups!$M$28,-2)</f>
        <v>4700</v>
      </c>
      <c r="CC1431">
        <f>IF(ROUND(Grandview_Inventory[[#This Row],[adj_res]]*Lookups!$M$28,-2)&lt;Grandview_Inventory[[#This Row],[min_res]],Grandview_Inventory[[#This Row],[min_res]],ROUND(Grandview_Inventory[[#This Row],[adj_res]]*Lookups!$M$28,-2))</f>
        <v>205900</v>
      </c>
      <c r="CD1431">
        <f>Grandview_Inventory[[#This Row],[final_det]]+Grandview_Inventory[[#This Row],[final_res]]</f>
        <v>210600</v>
      </c>
      <c r="CE1431">
        <f>Grandview_Inventory[[#This Row],[final_land]]+Grandview_Inventory[[#This Row],[final_imp]]+Grandview_Inventory[[#This Row],[crop_value]]</f>
        <v>254900</v>
      </c>
      <c r="CG1431" t="str">
        <f t="shared" si="22"/>
        <v>update valuation set market_land =44300, market_bldg=210600, market_total =254900, market_mdno =401, market_date ='9/10/2023' where link_id = (select link_id from parcel where parcel_year = '2024' and parcel_id = '23092323419');</v>
      </c>
    </row>
    <row r="1432" spans="1:85" x14ac:dyDescent="0.25">
      <c r="A1432">
        <v>23092323420</v>
      </c>
      <c r="B1432">
        <v>0.09</v>
      </c>
      <c r="C1432">
        <v>3882</v>
      </c>
      <c r="D1432" t="s">
        <v>129</v>
      </c>
      <c r="E1432" t="s">
        <v>53</v>
      </c>
      <c r="F1432" t="s">
        <v>53</v>
      </c>
      <c r="G1432">
        <v>4</v>
      </c>
      <c r="H1432" t="s">
        <v>54</v>
      </c>
      <c r="I1432">
        <v>63600</v>
      </c>
      <c r="J1432">
        <v>37600</v>
      </c>
      <c r="K1432">
        <v>0.09</v>
      </c>
      <c r="L1432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1432">
        <v>0</v>
      </c>
      <c r="N1432">
        <v>0</v>
      </c>
      <c r="O1432">
        <v>0</v>
      </c>
      <c r="P1432">
        <v>13398.7528</v>
      </c>
      <c r="Q1432">
        <v>63903</v>
      </c>
      <c r="R1432">
        <f>(Grandview_Inventory[[#This Row],[ln_acres]]*Grandview_Inventory[[#This Row],[coeff]])+Grandview_Inventory[[#This Row],[const]]</f>
        <v>31639.532033828022</v>
      </c>
      <c r="S1432" t="s">
        <v>68</v>
      </c>
      <c r="T1432">
        <v>1</v>
      </c>
      <c r="U1432" t="s">
        <v>80</v>
      </c>
      <c r="V1432" t="s">
        <v>78</v>
      </c>
      <c r="W1432">
        <v>0</v>
      </c>
      <c r="X1432">
        <v>0</v>
      </c>
      <c r="Y1432">
        <v>51</v>
      </c>
      <c r="Z1432">
        <v>83</v>
      </c>
      <c r="AA1432">
        <v>90</v>
      </c>
      <c r="AB1432">
        <v>1000</v>
      </c>
      <c r="AC1432">
        <v>687</v>
      </c>
      <c r="AD1432">
        <v>687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35</v>
      </c>
      <c r="AO1432">
        <v>16</v>
      </c>
      <c r="AP1432">
        <v>5</v>
      </c>
      <c r="AQ1432">
        <v>0</v>
      </c>
      <c r="AR1432">
        <v>0</v>
      </c>
      <c r="AS1432" t="s">
        <v>58</v>
      </c>
      <c r="AT1432">
        <v>0</v>
      </c>
      <c r="AU1432" t="s">
        <v>82</v>
      </c>
      <c r="AV1432" t="s">
        <v>60</v>
      </c>
      <c r="AW1432">
        <v>0</v>
      </c>
      <c r="AX1432">
        <v>2</v>
      </c>
      <c r="AY1432">
        <v>0</v>
      </c>
      <c r="AZ1432">
        <v>0</v>
      </c>
      <c r="BA1432">
        <v>100</v>
      </c>
      <c r="BB1432">
        <v>100</v>
      </c>
      <c r="BC1432">
        <v>100</v>
      </c>
      <c r="BD1432">
        <v>100</v>
      </c>
      <c r="BE1432">
        <v>1</v>
      </c>
      <c r="BF1432">
        <v>15000</v>
      </c>
      <c r="BG1432">
        <v>1000</v>
      </c>
      <c r="BH1432" s="6">
        <f>Grandview_Inventory[[#This Row],[land_extract]]*Lookups!$B$3</f>
        <v>36742.90312414799</v>
      </c>
      <c r="BI1432" s="6">
        <f>IF(Grandview_Inventory[[#This Row],[bldg_style]]="",0,Lookups!$B$2)</f>
        <v>155833.95000000001</v>
      </c>
      <c r="BJ1432" s="6">
        <f>_xlfn.IFNA(VLOOKUP(Grandview_Inventory[[#This Row],[quality]],Lookups!$H$2:$J$14,3,FALSE),0)</f>
        <v>-28558</v>
      </c>
      <c r="BK1432" s="6">
        <f>_xlfn.IFNA(VLOOKUP(Grandview_Inventory[[#This Row],[condition]],Lookups!$H$17:$J$24,3,FALSE),0)</f>
        <v>-45357</v>
      </c>
      <c r="BL1432" s="6">
        <f>Grandview_Inventory[[#This Row],[Eff_Age]]*Lookups!$B$14</f>
        <v>-12197.496599999999</v>
      </c>
      <c r="BM1432" s="6">
        <f>Grandview_Inventory[[#This Row],[living_area]]*Lookups!$B$15</f>
        <v>42855.646011000004</v>
      </c>
      <c r="BN1432" s="6">
        <f>Grandview_Inventory[[#This Row],[Fin BSMT]]*Lookups!$B$16</f>
        <v>0</v>
      </c>
      <c r="BO1432" s="6">
        <f>(Grandview_Inventory[[#This Row],[att_gar]]+Grandview_Inventory[[#This Row],[bltin_gar]])*Lookups!$B$17</f>
        <v>0</v>
      </c>
      <c r="BP1432" s="6">
        <f>Grandview_Inventory[[#This Row],[Plumbing Fixtures]]*Lookups!$B$18</f>
        <v>10052.209000000001</v>
      </c>
      <c r="BQ1432" s="6">
        <f>Grandview_Inventory[[#This Row],[detatched_value]]*Lookups!$B$19</f>
        <v>0</v>
      </c>
      <c r="BR1432" s="6">
        <f>SUM(Grandview_Inventory[[#This Row],[Intercept]:[det_value]])*Grandview_Inventory[[#This Row],[res_pct]]</f>
        <v>122629.30841100002</v>
      </c>
      <c r="BS1432" s="6">
        <f>Grandview_Inventory[[#This Row],[land_value]]</f>
        <v>36742.90312414799</v>
      </c>
      <c r="BT1432" s="4">
        <f>_xlfn.IFNA(VLOOKUP(Grandview_Inventory[[#This Row],[quality]],Lookups!$A$26:$C$33,3,FALSE),1)</f>
        <v>0.9690360070159818</v>
      </c>
      <c r="BU1432" s="4">
        <f>_xlfn.IFNA(VLOOKUP(Grandview_Inventory[[#This Row],[condition]],Lookups!$A$37:$C$44,3,FALSE),1)</f>
        <v>0.97161819570155394</v>
      </c>
      <c r="BV1432" s="4">
        <f>IF(Grandview_Inventory[[#This Row],[bldg_style]]="",1,_xlfn.IFNA(VLOOKUP(Grandview_Inventory[[#This Row],[decade]],Lookups!$F$29:$H$43,3,FALSE),1))</f>
        <v>0.94161750052457416</v>
      </c>
      <c r="BW1432" s="4">
        <f>_xlfn.IFNA(VLOOKUP(Grandview_Inventory[[#This Row],[living_area_range]],Lookups!$F$47:$H$56,3,FALSE),1)</f>
        <v>0.94306777142782894</v>
      </c>
      <c r="BX1432" s="4">
        <f>AVERAGE(Grandview_Inventory[[#This Row],[qual_adj]:[size_adj]])</f>
        <v>0.95633486866748474</v>
      </c>
      <c r="BY1432" s="6">
        <f>IF(Grandview_Inventory[[#This Row],[pre_res]]&lt;0,0,Grandview_Inventory[[#This Row],[pre_res]]*Grandview_Inventory[[#This Row],[overall_adj]])</f>
        <v>117274.68355401819</v>
      </c>
      <c r="BZ1432" s="6">
        <f>(Grandview_Inventory[[#This Row],[sum_land]]-IF(Grandview_Inventory[[#This Row],[no_utilities]]=1,12000,0))/IF(Grandview_Inventory[[#This Row],[unbuildable]]=1,2,1)</f>
        <v>36742.90312414799</v>
      </c>
      <c r="CA1432">
        <f>IF(ROUND(Grandview_Inventory[[#This Row],[adj_land]]*Lookups!$M$28,-2)&lt;Grandview_Inventory[[#This Row],[min_land]],Grandview_Inventory[[#This Row],[min_land]],ROUND(Grandview_Inventory[[#This Row],[adj_land]]*Lookups!$M$28,-2))</f>
        <v>34900</v>
      </c>
      <c r="CB1432">
        <f>ROUND(Grandview_Inventory[[#This Row],[det_value]]*Lookups!$M$28,-2)</f>
        <v>0</v>
      </c>
      <c r="CC1432">
        <f>IF(ROUND(Grandview_Inventory[[#This Row],[adj_res]]*Lookups!$M$28,-2)&lt;Grandview_Inventory[[#This Row],[min_res]],Grandview_Inventory[[#This Row],[min_res]],ROUND(Grandview_Inventory[[#This Row],[adj_res]]*Lookups!$M$28,-2))</f>
        <v>111400</v>
      </c>
      <c r="CD1432">
        <f>Grandview_Inventory[[#This Row],[final_det]]+Grandview_Inventory[[#This Row],[final_res]]</f>
        <v>111400</v>
      </c>
      <c r="CE1432">
        <f>Grandview_Inventory[[#This Row],[final_land]]+Grandview_Inventory[[#This Row],[final_imp]]+Grandview_Inventory[[#This Row],[crop_value]]</f>
        <v>146300</v>
      </c>
      <c r="CG1432" t="str">
        <f t="shared" si="22"/>
        <v>update valuation set market_land =34900, market_bldg=111400, market_total =146300, market_mdno =401, market_date ='9/10/2023' where link_id = (select link_id from parcel where parcel_year = '2024' and parcel_id = '23092323420');</v>
      </c>
    </row>
    <row r="1433" spans="1:85" x14ac:dyDescent="0.25">
      <c r="A1433">
        <v>23092323425</v>
      </c>
      <c r="B1433">
        <v>0.16</v>
      </c>
      <c r="C1433">
        <v>7152</v>
      </c>
      <c r="D1433" t="s">
        <v>129</v>
      </c>
      <c r="E1433" t="s">
        <v>53</v>
      </c>
      <c r="F1433" t="s">
        <v>53</v>
      </c>
      <c r="G1433">
        <v>4</v>
      </c>
      <c r="H1433" t="s">
        <v>54</v>
      </c>
      <c r="I1433">
        <v>135700</v>
      </c>
      <c r="J1433">
        <v>39100</v>
      </c>
      <c r="K1433">
        <v>0.16</v>
      </c>
      <c r="L143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33">
        <v>0</v>
      </c>
      <c r="N1433">
        <v>0</v>
      </c>
      <c r="O1433">
        <v>0</v>
      </c>
      <c r="P1433">
        <v>13398.7528</v>
      </c>
      <c r="Q1433">
        <v>63903</v>
      </c>
      <c r="R1433">
        <f>(Grandview_Inventory[[#This Row],[ln_acres]]*Grandview_Inventory[[#This Row],[coeff]])+Grandview_Inventory[[#This Row],[const]]</f>
        <v>39348.693981374228</v>
      </c>
      <c r="S1433" t="s">
        <v>68</v>
      </c>
      <c r="T1433">
        <v>1</v>
      </c>
      <c r="U1433" t="s">
        <v>70</v>
      </c>
      <c r="V1433" t="s">
        <v>69</v>
      </c>
      <c r="W1433">
        <v>0</v>
      </c>
      <c r="X1433">
        <v>0</v>
      </c>
      <c r="Y1433">
        <v>53</v>
      </c>
      <c r="Z1433">
        <v>93</v>
      </c>
      <c r="AA1433">
        <v>100</v>
      </c>
      <c r="AB1433">
        <v>1500</v>
      </c>
      <c r="AC1433">
        <v>1104</v>
      </c>
      <c r="AD1433">
        <v>1104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360</v>
      </c>
      <c r="AN1433">
        <v>20</v>
      </c>
      <c r="AO1433">
        <v>360</v>
      </c>
      <c r="AP1433">
        <v>5</v>
      </c>
      <c r="AQ1433">
        <v>0</v>
      </c>
      <c r="AR1433">
        <v>0</v>
      </c>
      <c r="AS1433" t="s">
        <v>58</v>
      </c>
      <c r="AT1433">
        <v>1</v>
      </c>
      <c r="AU1433" t="s">
        <v>63</v>
      </c>
      <c r="AV1433" t="s">
        <v>60</v>
      </c>
      <c r="AW1433">
        <v>0</v>
      </c>
      <c r="AX1433">
        <v>3</v>
      </c>
      <c r="AY1433">
        <v>0</v>
      </c>
      <c r="AZ1433">
        <v>7900</v>
      </c>
      <c r="BA1433">
        <v>100</v>
      </c>
      <c r="BB1433">
        <v>100</v>
      </c>
      <c r="BC1433">
        <v>100</v>
      </c>
      <c r="BD1433">
        <v>100</v>
      </c>
      <c r="BE1433">
        <v>1</v>
      </c>
      <c r="BF1433">
        <v>15000</v>
      </c>
      <c r="BG1433">
        <v>1000</v>
      </c>
      <c r="BH1433" s="6">
        <f>Grandview_Inventory[[#This Row],[land_extract]]*Lookups!$B$3</f>
        <v>45695.532079096141</v>
      </c>
      <c r="BI1433" s="6">
        <f>IF(Grandview_Inventory[[#This Row],[bldg_style]]="",0,Lookups!$B$2)</f>
        <v>155833.95000000001</v>
      </c>
      <c r="BJ1433" s="6">
        <f>_xlfn.IFNA(VLOOKUP(Grandview_Inventory[[#This Row],[quality]],Lookups!$H$2:$J$14,3,FALSE),0)</f>
        <v>10733</v>
      </c>
      <c r="BK1433" s="6">
        <f>_xlfn.IFNA(VLOOKUP(Grandview_Inventory[[#This Row],[condition]],Lookups!$H$17:$J$24,3,FALSE),0)</f>
        <v>-4503</v>
      </c>
      <c r="BL1433" s="6">
        <f>Grandview_Inventory[[#This Row],[Eff_Age]]*Lookups!$B$14</f>
        <v>-12675.8298</v>
      </c>
      <c r="BM1433" s="6">
        <f>Grandview_Inventory[[#This Row],[living_area]]*Lookups!$B$15</f>
        <v>68868.461712000004</v>
      </c>
      <c r="BN1433" s="6">
        <f>Grandview_Inventory[[#This Row],[Fin BSMT]]*Lookups!$B$16</f>
        <v>0</v>
      </c>
      <c r="BO1433" s="6">
        <f>(Grandview_Inventory[[#This Row],[att_gar]]+Grandview_Inventory[[#This Row],[bltin_gar]])*Lookups!$B$17</f>
        <v>0</v>
      </c>
      <c r="BP1433" s="6">
        <f>Grandview_Inventory[[#This Row],[Plumbing Fixtures]]*Lookups!$B$18</f>
        <v>10052.209000000001</v>
      </c>
      <c r="BQ1433" s="6">
        <f>Grandview_Inventory[[#This Row],[detatched_value]]*Lookups!$B$19</f>
        <v>6689.7602900000002</v>
      </c>
      <c r="BR1433" s="6">
        <f>SUM(Grandview_Inventory[[#This Row],[Intercept]:[det_value]])*Grandview_Inventory[[#This Row],[res_pct]]</f>
        <v>234998.55120200003</v>
      </c>
      <c r="BS1433" s="6">
        <f>Grandview_Inventory[[#This Row],[land_value]]</f>
        <v>45695.532079096141</v>
      </c>
      <c r="BT1433" s="4">
        <f>_xlfn.IFNA(VLOOKUP(Grandview_Inventory[[#This Row],[quality]],Lookups!$A$26:$C$33,3,FALSE),1)</f>
        <v>0.98079741117310582</v>
      </c>
      <c r="BU1433" s="4">
        <f>_xlfn.IFNA(VLOOKUP(Grandview_Inventory[[#This Row],[condition]],Lookups!$A$37:$C$44,3,FALSE),1)</f>
        <v>0.96469275950863709</v>
      </c>
      <c r="BV1433" s="4">
        <f>IF(Grandview_Inventory[[#This Row],[bldg_style]]="",1,_xlfn.IFNA(VLOOKUP(Grandview_Inventory[[#This Row],[decade]],Lookups!$F$29:$H$43,3,FALSE),1))</f>
        <v>0.95244691841736806</v>
      </c>
      <c r="BW1433" s="4">
        <f>_xlfn.IFNA(VLOOKUP(Grandview_Inventory[[#This Row],[living_area_range]],Lookups!$F$47:$H$56,3,FALSE),1)</f>
        <v>0.96135087979789358</v>
      </c>
      <c r="BX1433" s="4">
        <f>AVERAGE(Grandview_Inventory[[#This Row],[qual_adj]:[size_adj]])</f>
        <v>0.96482199222425113</v>
      </c>
      <c r="BY1433" s="6">
        <f>IF(Grandview_Inventory[[#This Row],[pre_res]]&lt;0,0,Grandview_Inventory[[#This Row],[pre_res]]*Grandview_Inventory[[#This Row],[overall_adj]])</f>
        <v>226731.77034052636</v>
      </c>
      <c r="BZ1433" s="6">
        <f>(Grandview_Inventory[[#This Row],[sum_land]]-IF(Grandview_Inventory[[#This Row],[no_utilities]]=1,12000,0))/IF(Grandview_Inventory[[#This Row],[unbuildable]]=1,2,1)</f>
        <v>45695.532079096141</v>
      </c>
      <c r="CA143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33">
        <f>ROUND(Grandview_Inventory[[#This Row],[det_value]]*Lookups!$M$28,-2)</f>
        <v>6400</v>
      </c>
      <c r="CC1433">
        <f>IF(ROUND(Grandview_Inventory[[#This Row],[adj_res]]*Lookups!$M$28,-2)&lt;Grandview_Inventory[[#This Row],[min_res]],Grandview_Inventory[[#This Row],[min_res]],ROUND(Grandview_Inventory[[#This Row],[adj_res]]*Lookups!$M$28,-2))</f>
        <v>215400</v>
      </c>
      <c r="CD1433">
        <f>Grandview_Inventory[[#This Row],[final_det]]+Grandview_Inventory[[#This Row],[final_res]]</f>
        <v>221800</v>
      </c>
      <c r="CE1433">
        <f>Grandview_Inventory[[#This Row],[final_land]]+Grandview_Inventory[[#This Row],[final_imp]]+Grandview_Inventory[[#This Row],[crop_value]]</f>
        <v>265200</v>
      </c>
      <c r="CG1433" t="str">
        <f t="shared" si="22"/>
        <v>update valuation set market_land =43400, market_bldg=221800, market_total =265200, market_mdno =401, market_date ='9/10/2023' where link_id = (select link_id from parcel where parcel_year = '2024' and parcel_id = '23092323425');</v>
      </c>
    </row>
    <row r="1434" spans="1:85" x14ac:dyDescent="0.25">
      <c r="A1434">
        <v>23092323426</v>
      </c>
      <c r="B1434">
        <v>0.17</v>
      </c>
      <c r="C1434">
        <v>7455</v>
      </c>
      <c r="D1434" t="s">
        <v>129</v>
      </c>
      <c r="E1434" t="s">
        <v>53</v>
      </c>
      <c r="F1434" t="s">
        <v>53</v>
      </c>
      <c r="G1434">
        <v>4</v>
      </c>
      <c r="H1434" t="s">
        <v>54</v>
      </c>
      <c r="I1434">
        <v>147300</v>
      </c>
      <c r="J1434">
        <v>39500</v>
      </c>
      <c r="K1434">
        <v>0.17</v>
      </c>
      <c r="L143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34">
        <v>0</v>
      </c>
      <c r="N1434">
        <v>0</v>
      </c>
      <c r="O1434">
        <v>0</v>
      </c>
      <c r="P1434">
        <v>13398.7528</v>
      </c>
      <c r="Q1434">
        <v>63903</v>
      </c>
      <c r="R1434">
        <f>(Grandview_Inventory[[#This Row],[ln_acres]]*Grandview_Inventory[[#This Row],[coeff]])+Grandview_Inventory[[#This Row],[const]]</f>
        <v>40160.988302686128</v>
      </c>
      <c r="S1434" t="s">
        <v>68</v>
      </c>
      <c r="T1434">
        <v>1</v>
      </c>
      <c r="U1434" t="s">
        <v>65</v>
      </c>
      <c r="V1434" t="s">
        <v>69</v>
      </c>
      <c r="W1434">
        <v>0</v>
      </c>
      <c r="X1434">
        <v>0</v>
      </c>
      <c r="Y1434">
        <v>50</v>
      </c>
      <c r="Z1434">
        <v>72</v>
      </c>
      <c r="AA1434">
        <v>80</v>
      </c>
      <c r="AB1434">
        <v>1500</v>
      </c>
      <c r="AC1434">
        <v>1386</v>
      </c>
      <c r="AD1434">
        <v>1386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200</v>
      </c>
      <c r="AL1434">
        <v>0</v>
      </c>
      <c r="AM1434">
        <v>140</v>
      </c>
      <c r="AN1434">
        <v>0</v>
      </c>
      <c r="AO1434">
        <v>0</v>
      </c>
      <c r="AP1434">
        <v>5</v>
      </c>
      <c r="AQ1434">
        <v>0</v>
      </c>
      <c r="AR1434">
        <v>1</v>
      </c>
      <c r="AS1434" t="s">
        <v>58</v>
      </c>
      <c r="AT1434">
        <v>1</v>
      </c>
      <c r="AU1434" t="s">
        <v>63</v>
      </c>
      <c r="AV1434" t="s">
        <v>60</v>
      </c>
      <c r="AW1434">
        <v>0</v>
      </c>
      <c r="AX1434">
        <v>2</v>
      </c>
      <c r="AY1434">
        <v>0</v>
      </c>
      <c r="AZ1434">
        <v>1500</v>
      </c>
      <c r="BA1434">
        <v>100</v>
      </c>
      <c r="BB1434">
        <v>100</v>
      </c>
      <c r="BC1434">
        <v>100</v>
      </c>
      <c r="BD1434">
        <v>100</v>
      </c>
      <c r="BE1434">
        <v>1</v>
      </c>
      <c r="BF1434">
        <v>15000</v>
      </c>
      <c r="BG1434">
        <v>1000</v>
      </c>
      <c r="BH1434" s="6">
        <f>Grandview_Inventory[[#This Row],[land_extract]]*Lookups!$B$3</f>
        <v>46638.847281240982</v>
      </c>
      <c r="BI1434" s="6">
        <f>IF(Grandview_Inventory[[#This Row],[bldg_style]]="",0,Lookups!$B$2)</f>
        <v>155833.95000000001</v>
      </c>
      <c r="BJ1434" s="6">
        <f>_xlfn.IFNA(VLOOKUP(Grandview_Inventory[[#This Row],[quality]],Lookups!$H$2:$J$14,3,FALSE),0)</f>
        <v>2251</v>
      </c>
      <c r="BK1434" s="6">
        <f>_xlfn.IFNA(VLOOKUP(Grandview_Inventory[[#This Row],[condition]],Lookups!$H$17:$J$24,3,FALSE),0)</f>
        <v>-4503</v>
      </c>
      <c r="BL1434" s="6">
        <f>Grandview_Inventory[[#This Row],[Eff_Age]]*Lookups!$B$14</f>
        <v>-11958.33</v>
      </c>
      <c r="BM1434" s="6">
        <f>Grandview_Inventory[[#This Row],[living_area]]*Lookups!$B$15</f>
        <v>86459.862258000008</v>
      </c>
      <c r="BN1434" s="6">
        <f>Grandview_Inventory[[#This Row],[Fin BSMT]]*Lookups!$B$16</f>
        <v>0</v>
      </c>
      <c r="BO1434" s="6">
        <f>(Grandview_Inventory[[#This Row],[att_gar]]+Grandview_Inventory[[#This Row],[bltin_gar]])*Lookups!$B$17</f>
        <v>0</v>
      </c>
      <c r="BP1434" s="6">
        <f>Grandview_Inventory[[#This Row],[Plumbing Fixtures]]*Lookups!$B$18</f>
        <v>10052.209000000001</v>
      </c>
      <c r="BQ1434" s="6">
        <f>Grandview_Inventory[[#This Row],[detatched_value]]*Lookups!$B$19</f>
        <v>1270.2076500000001</v>
      </c>
      <c r="BR1434" s="6">
        <f>SUM(Grandview_Inventory[[#This Row],[Intercept]:[det_value]])*Grandview_Inventory[[#This Row],[res_pct]]</f>
        <v>239405.89890800003</v>
      </c>
      <c r="BS1434" s="6">
        <f>Grandview_Inventory[[#This Row],[land_value]]</f>
        <v>46638.847281240982</v>
      </c>
      <c r="BT1434" s="4">
        <f>_xlfn.IFNA(VLOOKUP(Grandview_Inventory[[#This Row],[quality]],Lookups!$A$26:$C$33,3,FALSE),1)</f>
        <v>0.98763855981004833</v>
      </c>
      <c r="BU1434" s="4">
        <f>_xlfn.IFNA(VLOOKUP(Grandview_Inventory[[#This Row],[condition]],Lookups!$A$37:$C$44,3,FALSE),1)</f>
        <v>0.96469275950863709</v>
      </c>
      <c r="BV1434" s="4">
        <f>IF(Grandview_Inventory[[#This Row],[bldg_style]]="",1,_xlfn.IFNA(VLOOKUP(Grandview_Inventory[[#This Row],[decade]],Lookups!$F$29:$H$43,3,FALSE),1))</f>
        <v>0.98763256963907298</v>
      </c>
      <c r="BW1434" s="4">
        <f>_xlfn.IFNA(VLOOKUP(Grandview_Inventory[[#This Row],[living_area_range]],Lookups!$F$47:$H$56,3,FALSE),1)</f>
        <v>0.96135087979789358</v>
      </c>
      <c r="BX1434" s="4">
        <f>AVERAGE(Grandview_Inventory[[#This Row],[qual_adj]:[size_adj]])</f>
        <v>0.97532869218891294</v>
      </c>
      <c r="BY1434" s="6">
        <f>IF(Grandview_Inventory[[#This Row],[pre_res]]&lt;0,0,Grandview_Inventory[[#This Row],[pre_res]]*Grandview_Inventory[[#This Row],[overall_adj]])</f>
        <v>233499.44228425078</v>
      </c>
      <c r="BZ1434" s="6">
        <f>(Grandview_Inventory[[#This Row],[sum_land]]-IF(Grandview_Inventory[[#This Row],[no_utilities]]=1,12000,0))/IF(Grandview_Inventory[[#This Row],[unbuildable]]=1,2,1)</f>
        <v>46638.847281240982</v>
      </c>
      <c r="CA143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34">
        <f>ROUND(Grandview_Inventory[[#This Row],[det_value]]*Lookups!$M$28,-2)</f>
        <v>1200</v>
      </c>
      <c r="CC1434">
        <f>IF(ROUND(Grandview_Inventory[[#This Row],[adj_res]]*Lookups!$M$28,-2)&lt;Grandview_Inventory[[#This Row],[min_res]],Grandview_Inventory[[#This Row],[min_res]],ROUND(Grandview_Inventory[[#This Row],[adj_res]]*Lookups!$M$28,-2))</f>
        <v>221800</v>
      </c>
      <c r="CD1434">
        <f>Grandview_Inventory[[#This Row],[final_det]]+Grandview_Inventory[[#This Row],[final_res]]</f>
        <v>223000</v>
      </c>
      <c r="CE1434">
        <f>Grandview_Inventory[[#This Row],[final_land]]+Grandview_Inventory[[#This Row],[final_imp]]+Grandview_Inventory[[#This Row],[crop_value]]</f>
        <v>267300</v>
      </c>
      <c r="CG1434" t="str">
        <f t="shared" si="22"/>
        <v>update valuation set market_land =44300, market_bldg=223000, market_total =267300, market_mdno =401, market_date ='9/10/2023' where link_id = (select link_id from parcel where parcel_year = '2024' and parcel_id = '23092323426');</v>
      </c>
    </row>
    <row r="1435" spans="1:85" x14ac:dyDescent="0.25">
      <c r="A1435">
        <v>23092323427</v>
      </c>
      <c r="B1435">
        <v>0.17</v>
      </c>
      <c r="C1435">
        <v>7249</v>
      </c>
      <c r="D1435" t="s">
        <v>129</v>
      </c>
      <c r="E1435" t="s">
        <v>53</v>
      </c>
      <c r="F1435" t="s">
        <v>53</v>
      </c>
      <c r="G1435">
        <v>4</v>
      </c>
      <c r="H1435" t="s">
        <v>54</v>
      </c>
      <c r="I1435">
        <v>98000</v>
      </c>
      <c r="J1435">
        <v>39300</v>
      </c>
      <c r="K1435">
        <v>0.17</v>
      </c>
      <c r="L143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35">
        <v>0</v>
      </c>
      <c r="N1435">
        <v>0</v>
      </c>
      <c r="O1435">
        <v>0</v>
      </c>
      <c r="P1435">
        <v>13398.7528</v>
      </c>
      <c r="Q1435">
        <v>63903</v>
      </c>
      <c r="R1435">
        <f>(Grandview_Inventory[[#This Row],[ln_acres]]*Grandview_Inventory[[#This Row],[coeff]])+Grandview_Inventory[[#This Row],[const]]</f>
        <v>40160.988302686128</v>
      </c>
      <c r="S1435" t="s">
        <v>68</v>
      </c>
      <c r="T1435">
        <v>1</v>
      </c>
      <c r="U1435" t="s">
        <v>80</v>
      </c>
      <c r="V1435" t="s">
        <v>78</v>
      </c>
      <c r="W1435">
        <v>0</v>
      </c>
      <c r="X1435">
        <v>0</v>
      </c>
      <c r="Y1435">
        <v>52</v>
      </c>
      <c r="Z1435">
        <v>88</v>
      </c>
      <c r="AA1435">
        <v>90</v>
      </c>
      <c r="AB1435">
        <v>1500</v>
      </c>
      <c r="AC1435">
        <v>1170</v>
      </c>
      <c r="AD1435">
        <v>1170</v>
      </c>
      <c r="AE1435">
        <v>0</v>
      </c>
      <c r="AF1435">
        <v>0</v>
      </c>
      <c r="AG1435">
        <v>0</v>
      </c>
      <c r="AH1435">
        <v>200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36</v>
      </c>
      <c r="AO1435">
        <v>0</v>
      </c>
      <c r="AP1435">
        <v>5</v>
      </c>
      <c r="AQ1435">
        <v>0</v>
      </c>
      <c r="AR1435">
        <v>0</v>
      </c>
      <c r="AS1435" t="s">
        <v>58</v>
      </c>
      <c r="AT1435">
        <v>1</v>
      </c>
      <c r="AU1435" t="s">
        <v>63</v>
      </c>
      <c r="AV1435" t="s">
        <v>64</v>
      </c>
      <c r="AW1435">
        <v>1</v>
      </c>
      <c r="AX1435">
        <v>3</v>
      </c>
      <c r="AY1435">
        <v>0</v>
      </c>
      <c r="AZ1435">
        <v>4400</v>
      </c>
      <c r="BA1435">
        <v>100</v>
      </c>
      <c r="BB1435">
        <v>100</v>
      </c>
      <c r="BC1435">
        <v>100</v>
      </c>
      <c r="BD1435">
        <v>100</v>
      </c>
      <c r="BE1435">
        <v>1</v>
      </c>
      <c r="BF1435">
        <v>15000</v>
      </c>
      <c r="BG1435">
        <v>1000</v>
      </c>
      <c r="BH1435" s="6">
        <f>Grandview_Inventory[[#This Row],[land_extract]]*Lookups!$B$3</f>
        <v>46638.847281240982</v>
      </c>
      <c r="BI1435" s="6">
        <f>IF(Grandview_Inventory[[#This Row],[bldg_style]]="",0,Lookups!$B$2)</f>
        <v>155833.95000000001</v>
      </c>
      <c r="BJ1435" s="6">
        <f>_xlfn.IFNA(VLOOKUP(Grandview_Inventory[[#This Row],[quality]],Lookups!$H$2:$J$14,3,FALSE),0)</f>
        <v>-28558</v>
      </c>
      <c r="BK1435" s="6">
        <f>_xlfn.IFNA(VLOOKUP(Grandview_Inventory[[#This Row],[condition]],Lookups!$H$17:$J$24,3,FALSE),0)</f>
        <v>-45357</v>
      </c>
      <c r="BL1435" s="6">
        <f>Grandview_Inventory[[#This Row],[Eff_Age]]*Lookups!$B$14</f>
        <v>-12436.663199999999</v>
      </c>
      <c r="BM1435" s="6">
        <f>Grandview_Inventory[[#This Row],[living_area]]*Lookups!$B$15</f>
        <v>72985.598010000002</v>
      </c>
      <c r="BN1435" s="6">
        <f>Grandview_Inventory[[#This Row],[Fin BSMT]]*Lookups!$B$16</f>
        <v>0</v>
      </c>
      <c r="BO1435" s="6">
        <f>(Grandview_Inventory[[#This Row],[att_gar]]+Grandview_Inventory[[#This Row],[bltin_gar]])*Lookups!$B$17</f>
        <v>0</v>
      </c>
      <c r="BP1435" s="6">
        <f>Grandview_Inventory[[#This Row],[Plumbing Fixtures]]*Lookups!$B$18</f>
        <v>10052.209000000001</v>
      </c>
      <c r="BQ1435" s="6">
        <f>Grandview_Inventory[[#This Row],[detatched_value]]*Lookups!$B$19</f>
        <v>3725.9424399999998</v>
      </c>
      <c r="BR1435" s="6">
        <f>SUM(Grandview_Inventory[[#This Row],[Intercept]:[det_value]])*Grandview_Inventory[[#This Row],[res_pct]]</f>
        <v>156246.03625000003</v>
      </c>
      <c r="BS1435" s="6">
        <f>Grandview_Inventory[[#This Row],[land_value]]</f>
        <v>46638.847281240982</v>
      </c>
      <c r="BT1435" s="4">
        <f>_xlfn.IFNA(VLOOKUP(Grandview_Inventory[[#This Row],[quality]],Lookups!$A$26:$C$33,3,FALSE),1)</f>
        <v>0.9690360070159818</v>
      </c>
      <c r="BU1435" s="4">
        <f>_xlfn.IFNA(VLOOKUP(Grandview_Inventory[[#This Row],[condition]],Lookups!$A$37:$C$44,3,FALSE),1)</f>
        <v>0.97161819570155394</v>
      </c>
      <c r="BV1435" s="4">
        <f>IF(Grandview_Inventory[[#This Row],[bldg_style]]="",1,_xlfn.IFNA(VLOOKUP(Grandview_Inventory[[#This Row],[decade]],Lookups!$F$29:$H$43,3,FALSE),1))</f>
        <v>0.94161750052457416</v>
      </c>
      <c r="BW1435" s="4">
        <f>_xlfn.IFNA(VLOOKUP(Grandview_Inventory[[#This Row],[living_area_range]],Lookups!$F$47:$H$56,3,FALSE),1)</f>
        <v>0.96135087979789358</v>
      </c>
      <c r="BX1435" s="4">
        <f>AVERAGE(Grandview_Inventory[[#This Row],[qual_adj]:[size_adj]])</f>
        <v>0.96090564576000093</v>
      </c>
      <c r="BY1435" s="6">
        <f>IF(Grandview_Inventory[[#This Row],[pre_res]]&lt;0,0,Grandview_Inventory[[#This Row],[pre_res]]*Grandview_Inventory[[#This Row],[overall_adj]])</f>
        <v>150137.69836024681</v>
      </c>
      <c r="BZ1435" s="6">
        <f>(Grandview_Inventory[[#This Row],[sum_land]]-IF(Grandview_Inventory[[#This Row],[no_utilities]]=1,12000,0))/IF(Grandview_Inventory[[#This Row],[unbuildable]]=1,2,1)</f>
        <v>46638.847281240982</v>
      </c>
      <c r="CA143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35">
        <f>ROUND(Grandview_Inventory[[#This Row],[det_value]]*Lookups!$M$28,-2)</f>
        <v>3500</v>
      </c>
      <c r="CC1435">
        <f>IF(ROUND(Grandview_Inventory[[#This Row],[adj_res]]*Lookups!$M$28,-2)&lt;Grandview_Inventory[[#This Row],[min_res]],Grandview_Inventory[[#This Row],[min_res]],ROUND(Grandview_Inventory[[#This Row],[adj_res]]*Lookups!$M$28,-2))</f>
        <v>142600</v>
      </c>
      <c r="CD1435">
        <f>Grandview_Inventory[[#This Row],[final_det]]+Grandview_Inventory[[#This Row],[final_res]]</f>
        <v>146100</v>
      </c>
      <c r="CE1435">
        <f>Grandview_Inventory[[#This Row],[final_land]]+Grandview_Inventory[[#This Row],[final_imp]]+Grandview_Inventory[[#This Row],[crop_value]]</f>
        <v>190400</v>
      </c>
      <c r="CG1435" t="str">
        <f t="shared" si="22"/>
        <v>update valuation set market_land =44300, market_bldg=146100, market_total =190400, market_mdno =401, market_date ='9/10/2023' where link_id = (select link_id from parcel where parcel_year = '2024' and parcel_id = '23092323427');</v>
      </c>
    </row>
    <row r="1436" spans="1:85" x14ac:dyDescent="0.25">
      <c r="A1436">
        <v>23092323428</v>
      </c>
      <c r="B1436">
        <v>0.15</v>
      </c>
      <c r="C1436">
        <v>6702</v>
      </c>
      <c r="D1436" t="s">
        <v>129</v>
      </c>
      <c r="E1436" t="s">
        <v>53</v>
      </c>
      <c r="F1436" t="s">
        <v>53</v>
      </c>
      <c r="G1436">
        <v>4</v>
      </c>
      <c r="H1436" t="s">
        <v>54</v>
      </c>
      <c r="I1436">
        <v>112200</v>
      </c>
      <c r="J1436">
        <v>39000</v>
      </c>
      <c r="K1436">
        <v>0.15</v>
      </c>
      <c r="L143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436">
        <v>0</v>
      </c>
      <c r="N1436">
        <v>0</v>
      </c>
      <c r="O1436">
        <v>0</v>
      </c>
      <c r="P1436">
        <v>13398.7528</v>
      </c>
      <c r="Q1436">
        <v>63903</v>
      </c>
      <c r="R1436">
        <f>(Grandview_Inventory[[#This Row],[ln_acres]]*Grandview_Inventory[[#This Row],[coeff]])+Grandview_Inventory[[#This Row],[const]]</f>
        <v>38483.958290574345</v>
      </c>
      <c r="S1436" t="s">
        <v>68</v>
      </c>
      <c r="T1436">
        <v>2</v>
      </c>
      <c r="U1436" t="s">
        <v>70</v>
      </c>
      <c r="V1436" t="s">
        <v>78</v>
      </c>
      <c r="W1436">
        <v>0</v>
      </c>
      <c r="X1436">
        <v>0</v>
      </c>
      <c r="Y1436">
        <v>51</v>
      </c>
      <c r="Z1436">
        <v>78</v>
      </c>
      <c r="AA1436">
        <v>80</v>
      </c>
      <c r="AB1436">
        <v>1500</v>
      </c>
      <c r="AC1436">
        <v>1404</v>
      </c>
      <c r="AD1436">
        <v>1404</v>
      </c>
      <c r="AE1436">
        <v>0</v>
      </c>
      <c r="AF1436">
        <v>0</v>
      </c>
      <c r="AG1436">
        <v>0</v>
      </c>
      <c r="AH1436">
        <v>512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64</v>
      </c>
      <c r="AO1436">
        <v>0</v>
      </c>
      <c r="AP1436">
        <v>5</v>
      </c>
      <c r="AQ1436">
        <v>0</v>
      </c>
      <c r="AR1436">
        <v>0</v>
      </c>
      <c r="AS1436" t="s">
        <v>58</v>
      </c>
      <c r="AT1436">
        <v>1</v>
      </c>
      <c r="AU1436" t="s">
        <v>63</v>
      </c>
      <c r="AV1436" t="s">
        <v>64</v>
      </c>
      <c r="AW1436">
        <v>0</v>
      </c>
      <c r="AX1436">
        <v>2</v>
      </c>
      <c r="AY1436">
        <v>0</v>
      </c>
      <c r="AZ1436">
        <v>5800</v>
      </c>
      <c r="BA1436">
        <v>100</v>
      </c>
      <c r="BB1436">
        <v>100</v>
      </c>
      <c r="BC1436">
        <v>100</v>
      </c>
      <c r="BD1436">
        <v>100</v>
      </c>
      <c r="BE1436">
        <v>1</v>
      </c>
      <c r="BF1436">
        <v>15000</v>
      </c>
      <c r="BG1436">
        <v>1000</v>
      </c>
      <c r="BH1436" s="6">
        <f>Grandview_Inventory[[#This Row],[land_extract]]*Lookups!$B$3</f>
        <v>44691.316856156598</v>
      </c>
      <c r="BI1436" s="6">
        <f>IF(Grandview_Inventory[[#This Row],[bldg_style]]="",0,Lookups!$B$2)</f>
        <v>155833.95000000001</v>
      </c>
      <c r="BJ1436" s="6">
        <f>_xlfn.IFNA(VLOOKUP(Grandview_Inventory[[#This Row],[quality]],Lookups!$H$2:$J$14,3,FALSE),0)</f>
        <v>10733</v>
      </c>
      <c r="BK1436" s="6">
        <f>_xlfn.IFNA(VLOOKUP(Grandview_Inventory[[#This Row],[condition]],Lookups!$H$17:$J$24,3,FALSE),0)</f>
        <v>-45357</v>
      </c>
      <c r="BL1436" s="6">
        <f>Grandview_Inventory[[#This Row],[Eff_Age]]*Lookups!$B$14</f>
        <v>-12197.496599999999</v>
      </c>
      <c r="BM1436" s="6">
        <f>Grandview_Inventory[[#This Row],[living_area]]*Lookups!$B$15</f>
        <v>87582.717612000008</v>
      </c>
      <c r="BN1436" s="6">
        <f>Grandview_Inventory[[#This Row],[Fin BSMT]]*Lookups!$B$16</f>
        <v>0</v>
      </c>
      <c r="BO1436" s="6">
        <f>(Grandview_Inventory[[#This Row],[att_gar]]+Grandview_Inventory[[#This Row],[bltin_gar]])*Lookups!$B$17</f>
        <v>0</v>
      </c>
      <c r="BP1436" s="6">
        <f>Grandview_Inventory[[#This Row],[Plumbing Fixtures]]*Lookups!$B$18</f>
        <v>10052.209000000001</v>
      </c>
      <c r="BQ1436" s="6">
        <f>Grandview_Inventory[[#This Row],[detatched_value]]*Lookups!$B$19</f>
        <v>4911.46958</v>
      </c>
      <c r="BR1436" s="6">
        <f>SUM(Grandview_Inventory[[#This Row],[Intercept]:[det_value]])*Grandview_Inventory[[#This Row],[res_pct]]</f>
        <v>211558.84959200001</v>
      </c>
      <c r="BS1436" s="6">
        <f>Grandview_Inventory[[#This Row],[land_value]]</f>
        <v>44691.316856156598</v>
      </c>
      <c r="BT1436" s="4">
        <f>_xlfn.IFNA(VLOOKUP(Grandview_Inventory[[#This Row],[quality]],Lookups!$A$26:$C$33,3,FALSE),1)</f>
        <v>0.98079741117310582</v>
      </c>
      <c r="BU1436" s="4">
        <f>_xlfn.IFNA(VLOOKUP(Grandview_Inventory[[#This Row],[condition]],Lookups!$A$37:$C$44,3,FALSE),1)</f>
        <v>0.97161819570155394</v>
      </c>
      <c r="BV1436" s="4">
        <f>IF(Grandview_Inventory[[#This Row],[bldg_style]]="",1,_xlfn.IFNA(VLOOKUP(Grandview_Inventory[[#This Row],[decade]],Lookups!$F$29:$H$43,3,FALSE),1))</f>
        <v>0.98763256963907298</v>
      </c>
      <c r="BW1436" s="4">
        <f>_xlfn.IFNA(VLOOKUP(Grandview_Inventory[[#This Row],[living_area_range]],Lookups!$F$47:$H$56,3,FALSE),1)</f>
        <v>0.96135087979789358</v>
      </c>
      <c r="BX1436" s="4">
        <f>AVERAGE(Grandview_Inventory[[#This Row],[qual_adj]:[size_adj]])</f>
        <v>0.97534976407790652</v>
      </c>
      <c r="BY1436" s="6">
        <f>IF(Grandview_Inventory[[#This Row],[pre_res]]&lt;0,0,Grandview_Inventory[[#This Row],[pre_res]]*Grandview_Inventory[[#This Row],[overall_adj]])</f>
        <v>206343.87403815053</v>
      </c>
      <c r="BZ1436" s="6">
        <f>(Grandview_Inventory[[#This Row],[sum_land]]-IF(Grandview_Inventory[[#This Row],[no_utilities]]=1,12000,0))/IF(Grandview_Inventory[[#This Row],[unbuildable]]=1,2,1)</f>
        <v>44691.316856156598</v>
      </c>
      <c r="CA143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436">
        <f>ROUND(Grandview_Inventory[[#This Row],[det_value]]*Lookups!$M$28,-2)</f>
        <v>4700</v>
      </c>
      <c r="CC1436">
        <f>IF(ROUND(Grandview_Inventory[[#This Row],[adj_res]]*Lookups!$M$28,-2)&lt;Grandview_Inventory[[#This Row],[min_res]],Grandview_Inventory[[#This Row],[min_res]],ROUND(Grandview_Inventory[[#This Row],[adj_res]]*Lookups!$M$28,-2))</f>
        <v>196000</v>
      </c>
      <c r="CD1436">
        <f>Grandview_Inventory[[#This Row],[final_det]]+Grandview_Inventory[[#This Row],[final_res]]</f>
        <v>200700</v>
      </c>
      <c r="CE1436">
        <f>Grandview_Inventory[[#This Row],[final_land]]+Grandview_Inventory[[#This Row],[final_imp]]+Grandview_Inventory[[#This Row],[crop_value]]</f>
        <v>243200</v>
      </c>
      <c r="CG1436" t="str">
        <f t="shared" si="22"/>
        <v>update valuation set market_land =42500, market_bldg=200700, market_total =243200, market_mdno =401, market_date ='9/10/2023' where link_id = (select link_id from parcel where parcel_year = '2024' and parcel_id = '23092323428');</v>
      </c>
    </row>
    <row r="1437" spans="1:85" x14ac:dyDescent="0.25">
      <c r="A1437">
        <v>23092323429</v>
      </c>
      <c r="B1437">
        <v>0.17</v>
      </c>
      <c r="C1437">
        <v>7501</v>
      </c>
      <c r="D1437" t="s">
        <v>129</v>
      </c>
      <c r="E1437" t="s">
        <v>53</v>
      </c>
      <c r="F1437" t="s">
        <v>53</v>
      </c>
      <c r="G1437">
        <v>4</v>
      </c>
      <c r="H1437" t="s">
        <v>54</v>
      </c>
      <c r="I1437">
        <v>117400</v>
      </c>
      <c r="J1437">
        <v>39100</v>
      </c>
      <c r="K1437">
        <v>0.17</v>
      </c>
      <c r="L143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37">
        <v>0</v>
      </c>
      <c r="N1437">
        <v>0</v>
      </c>
      <c r="O1437">
        <v>0</v>
      </c>
      <c r="P1437">
        <v>13398.7528</v>
      </c>
      <c r="Q1437">
        <v>63903</v>
      </c>
      <c r="R1437">
        <f>(Grandview_Inventory[[#This Row],[ln_acres]]*Grandview_Inventory[[#This Row],[coeff]])+Grandview_Inventory[[#This Row],[const]]</f>
        <v>40160.988302686128</v>
      </c>
      <c r="S1437" t="s">
        <v>68</v>
      </c>
      <c r="T1437">
        <v>1</v>
      </c>
      <c r="U1437" t="s">
        <v>70</v>
      </c>
      <c r="V1437" t="s">
        <v>69</v>
      </c>
      <c r="W1437">
        <v>0</v>
      </c>
      <c r="X1437">
        <v>0</v>
      </c>
      <c r="Y1437">
        <v>53</v>
      </c>
      <c r="Z1437">
        <v>93</v>
      </c>
      <c r="AA1437">
        <v>100</v>
      </c>
      <c r="AB1437">
        <v>1000</v>
      </c>
      <c r="AC1437">
        <v>836</v>
      </c>
      <c r="AD1437">
        <v>836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200</v>
      </c>
      <c r="AN1437">
        <v>0</v>
      </c>
      <c r="AO1437">
        <v>200</v>
      </c>
      <c r="AP1437">
        <v>5</v>
      </c>
      <c r="AQ1437">
        <v>0</v>
      </c>
      <c r="AR1437">
        <v>0</v>
      </c>
      <c r="AS1437" t="s">
        <v>58</v>
      </c>
      <c r="AT1437">
        <v>1</v>
      </c>
      <c r="AU1437" t="s">
        <v>75</v>
      </c>
      <c r="AV1437" t="s">
        <v>60</v>
      </c>
      <c r="AW1437">
        <v>0</v>
      </c>
      <c r="AX1437">
        <v>2</v>
      </c>
      <c r="AY1437">
        <v>0</v>
      </c>
      <c r="AZ1437">
        <v>4500</v>
      </c>
      <c r="BA1437">
        <v>100</v>
      </c>
      <c r="BB1437">
        <v>100</v>
      </c>
      <c r="BC1437">
        <v>100</v>
      </c>
      <c r="BD1437">
        <v>100</v>
      </c>
      <c r="BE1437">
        <v>1</v>
      </c>
      <c r="BF1437">
        <v>15000</v>
      </c>
      <c r="BG1437">
        <v>1000</v>
      </c>
      <c r="BH1437" s="6">
        <f>Grandview_Inventory[[#This Row],[land_extract]]*Lookups!$B$3</f>
        <v>46638.847281240982</v>
      </c>
      <c r="BI1437" s="6">
        <f>IF(Grandview_Inventory[[#This Row],[bldg_style]]="",0,Lookups!$B$2)</f>
        <v>155833.95000000001</v>
      </c>
      <c r="BJ1437" s="6">
        <f>_xlfn.IFNA(VLOOKUP(Grandview_Inventory[[#This Row],[quality]],Lookups!$H$2:$J$14,3,FALSE),0)</f>
        <v>10733</v>
      </c>
      <c r="BK1437" s="6">
        <f>_xlfn.IFNA(VLOOKUP(Grandview_Inventory[[#This Row],[condition]],Lookups!$H$17:$J$24,3,FALSE),0)</f>
        <v>-4503</v>
      </c>
      <c r="BL1437" s="6">
        <f>Grandview_Inventory[[#This Row],[Eff_Age]]*Lookups!$B$14</f>
        <v>-12675.8298</v>
      </c>
      <c r="BM1437" s="6">
        <f>Grandview_Inventory[[#This Row],[living_area]]*Lookups!$B$15</f>
        <v>52150.393108000004</v>
      </c>
      <c r="BN1437" s="6">
        <f>Grandview_Inventory[[#This Row],[Fin BSMT]]*Lookups!$B$16</f>
        <v>0</v>
      </c>
      <c r="BO1437" s="6">
        <f>(Grandview_Inventory[[#This Row],[att_gar]]+Grandview_Inventory[[#This Row],[bltin_gar]])*Lookups!$B$17</f>
        <v>0</v>
      </c>
      <c r="BP1437" s="6">
        <f>Grandview_Inventory[[#This Row],[Plumbing Fixtures]]*Lookups!$B$18</f>
        <v>10052.209000000001</v>
      </c>
      <c r="BQ1437" s="6">
        <f>Grandview_Inventory[[#This Row],[detatched_value]]*Lookups!$B$19</f>
        <v>3810.6229499999999</v>
      </c>
      <c r="BR1437" s="6">
        <f>SUM(Grandview_Inventory[[#This Row],[Intercept]:[det_value]])*Grandview_Inventory[[#This Row],[res_pct]]</f>
        <v>215401.34525799999</v>
      </c>
      <c r="BS1437" s="6">
        <f>Grandview_Inventory[[#This Row],[land_value]]</f>
        <v>46638.847281240982</v>
      </c>
      <c r="BT1437" s="4">
        <f>_xlfn.IFNA(VLOOKUP(Grandview_Inventory[[#This Row],[quality]],Lookups!$A$26:$C$33,3,FALSE),1)</f>
        <v>0.98079741117310582</v>
      </c>
      <c r="BU1437" s="4">
        <f>_xlfn.IFNA(VLOOKUP(Grandview_Inventory[[#This Row],[condition]],Lookups!$A$37:$C$44,3,FALSE),1)</f>
        <v>0.96469275950863709</v>
      </c>
      <c r="BV1437" s="4">
        <f>IF(Grandview_Inventory[[#This Row],[bldg_style]]="",1,_xlfn.IFNA(VLOOKUP(Grandview_Inventory[[#This Row],[decade]],Lookups!$F$29:$H$43,3,FALSE),1))</f>
        <v>0.95244691841736806</v>
      </c>
      <c r="BW1437" s="4">
        <f>_xlfn.IFNA(VLOOKUP(Grandview_Inventory[[#This Row],[living_area_range]],Lookups!$F$47:$H$56,3,FALSE),1)</f>
        <v>0.94306777142782894</v>
      </c>
      <c r="BX1437" s="4">
        <f>AVERAGE(Grandview_Inventory[[#This Row],[qual_adj]:[size_adj]])</f>
        <v>0.96025121513173495</v>
      </c>
      <c r="BY1437" s="6">
        <f>IF(Grandview_Inventory[[#This Row],[pre_res]]&lt;0,0,Grandview_Inventory[[#This Row],[pre_res]]*Grandview_Inventory[[#This Row],[overall_adj]])</f>
        <v>206839.40352500486</v>
      </c>
      <c r="BZ1437" s="6">
        <f>(Grandview_Inventory[[#This Row],[sum_land]]-IF(Grandview_Inventory[[#This Row],[no_utilities]]=1,12000,0))/IF(Grandview_Inventory[[#This Row],[unbuildable]]=1,2,1)</f>
        <v>46638.847281240982</v>
      </c>
      <c r="CA143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37">
        <f>ROUND(Grandview_Inventory[[#This Row],[det_value]]*Lookups!$M$28,-2)</f>
        <v>3600</v>
      </c>
      <c r="CC1437">
        <f>IF(ROUND(Grandview_Inventory[[#This Row],[adj_res]]*Lookups!$M$28,-2)&lt;Grandview_Inventory[[#This Row],[min_res]],Grandview_Inventory[[#This Row],[min_res]],ROUND(Grandview_Inventory[[#This Row],[adj_res]]*Lookups!$M$28,-2))</f>
        <v>196500</v>
      </c>
      <c r="CD1437">
        <f>Grandview_Inventory[[#This Row],[final_det]]+Grandview_Inventory[[#This Row],[final_res]]</f>
        <v>200100</v>
      </c>
      <c r="CE1437">
        <f>Grandview_Inventory[[#This Row],[final_land]]+Grandview_Inventory[[#This Row],[final_imp]]+Grandview_Inventory[[#This Row],[crop_value]]</f>
        <v>244400</v>
      </c>
      <c r="CG1437" t="str">
        <f t="shared" si="22"/>
        <v>update valuation set market_land =44300, market_bldg=200100, market_total =244400, market_mdno =401, market_date ='9/10/2023' where link_id = (select link_id from parcel where parcel_year = '2024' and parcel_id = '23092323429');</v>
      </c>
    </row>
    <row r="1438" spans="1:85" x14ac:dyDescent="0.25">
      <c r="A1438">
        <v>23092323430</v>
      </c>
      <c r="B1438">
        <v>0.16</v>
      </c>
      <c r="C1438">
        <v>7100</v>
      </c>
      <c r="D1438" t="s">
        <v>129</v>
      </c>
      <c r="E1438" t="s">
        <v>53</v>
      </c>
      <c r="F1438" t="s">
        <v>53</v>
      </c>
      <c r="G1438">
        <v>4</v>
      </c>
      <c r="H1438" t="s">
        <v>54</v>
      </c>
      <c r="I1438">
        <v>109300</v>
      </c>
      <c r="J1438">
        <v>39100</v>
      </c>
      <c r="K1438">
        <v>0.16</v>
      </c>
      <c r="L143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38">
        <v>0</v>
      </c>
      <c r="N1438">
        <v>0</v>
      </c>
      <c r="O1438">
        <v>0</v>
      </c>
      <c r="P1438">
        <v>13398.7528</v>
      </c>
      <c r="Q1438">
        <v>63903</v>
      </c>
      <c r="R1438">
        <f>(Grandview_Inventory[[#This Row],[ln_acres]]*Grandview_Inventory[[#This Row],[coeff]])+Grandview_Inventory[[#This Row],[const]]</f>
        <v>39348.693981374228</v>
      </c>
      <c r="S1438" t="s">
        <v>85</v>
      </c>
      <c r="T1438">
        <v>1</v>
      </c>
      <c r="U1438" t="s">
        <v>70</v>
      </c>
      <c r="V1438" t="s">
        <v>69</v>
      </c>
      <c r="W1438">
        <v>0</v>
      </c>
      <c r="X1438">
        <v>0</v>
      </c>
      <c r="Y1438">
        <v>53</v>
      </c>
      <c r="Z1438">
        <v>93</v>
      </c>
      <c r="AA1438">
        <v>100</v>
      </c>
      <c r="AB1438">
        <v>1000</v>
      </c>
      <c r="AC1438">
        <v>768</v>
      </c>
      <c r="AD1438">
        <v>768</v>
      </c>
      <c r="AE1438">
        <v>0</v>
      </c>
      <c r="AF1438">
        <v>0</v>
      </c>
      <c r="AG1438">
        <v>0</v>
      </c>
      <c r="AH1438">
        <v>192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180</v>
      </c>
      <c r="AO1438">
        <v>0</v>
      </c>
      <c r="AP1438">
        <v>5</v>
      </c>
      <c r="AQ1438">
        <v>0</v>
      </c>
      <c r="AR1438">
        <v>0</v>
      </c>
      <c r="AS1438" t="s">
        <v>58</v>
      </c>
      <c r="AT1438">
        <v>1</v>
      </c>
      <c r="AU1438" t="s">
        <v>63</v>
      </c>
      <c r="AV1438" t="s">
        <v>60</v>
      </c>
      <c r="AW1438">
        <v>0</v>
      </c>
      <c r="AX1438">
        <v>2</v>
      </c>
      <c r="AY1438">
        <v>0</v>
      </c>
      <c r="AZ1438">
        <v>0</v>
      </c>
      <c r="BA1438">
        <v>100</v>
      </c>
      <c r="BB1438">
        <v>100</v>
      </c>
      <c r="BC1438">
        <v>100</v>
      </c>
      <c r="BD1438">
        <v>100</v>
      </c>
      <c r="BE1438">
        <v>1</v>
      </c>
      <c r="BF1438">
        <v>15000</v>
      </c>
      <c r="BG1438">
        <v>1000</v>
      </c>
      <c r="BH1438" s="6">
        <f>Grandview_Inventory[[#This Row],[land_extract]]*Lookups!$B$3</f>
        <v>45695.532079096141</v>
      </c>
      <c r="BI1438" s="6">
        <f>IF(Grandview_Inventory[[#This Row],[bldg_style]]="",0,Lookups!$B$2)</f>
        <v>155833.95000000001</v>
      </c>
      <c r="BJ1438" s="6">
        <f>_xlfn.IFNA(VLOOKUP(Grandview_Inventory[[#This Row],[quality]],Lookups!$H$2:$J$14,3,FALSE),0)</f>
        <v>10733</v>
      </c>
      <c r="BK1438" s="6">
        <f>_xlfn.IFNA(VLOOKUP(Grandview_Inventory[[#This Row],[condition]],Lookups!$H$17:$J$24,3,FALSE),0)</f>
        <v>-4503</v>
      </c>
      <c r="BL1438" s="6">
        <f>Grandview_Inventory[[#This Row],[Eff_Age]]*Lookups!$B$14</f>
        <v>-12675.8298</v>
      </c>
      <c r="BM1438" s="6">
        <f>Grandview_Inventory[[#This Row],[living_area]]*Lookups!$B$15</f>
        <v>47908.495104000001</v>
      </c>
      <c r="BN1438" s="6">
        <f>Grandview_Inventory[[#This Row],[Fin BSMT]]*Lookups!$B$16</f>
        <v>0</v>
      </c>
      <c r="BO1438" s="6">
        <f>(Grandview_Inventory[[#This Row],[att_gar]]+Grandview_Inventory[[#This Row],[bltin_gar]])*Lookups!$B$17</f>
        <v>0</v>
      </c>
      <c r="BP1438" s="6">
        <f>Grandview_Inventory[[#This Row],[Plumbing Fixtures]]*Lookups!$B$18</f>
        <v>10052.209000000001</v>
      </c>
      <c r="BQ1438" s="6">
        <f>Grandview_Inventory[[#This Row],[detatched_value]]*Lookups!$B$19</f>
        <v>0</v>
      </c>
      <c r="BR1438" s="6">
        <f>SUM(Grandview_Inventory[[#This Row],[Intercept]:[det_value]])*Grandview_Inventory[[#This Row],[res_pct]]</f>
        <v>207348.82430400001</v>
      </c>
      <c r="BS1438" s="6">
        <f>Grandview_Inventory[[#This Row],[land_value]]</f>
        <v>45695.532079096141</v>
      </c>
      <c r="BT1438" s="4">
        <f>_xlfn.IFNA(VLOOKUP(Grandview_Inventory[[#This Row],[quality]],Lookups!$A$26:$C$33,3,FALSE),1)</f>
        <v>0.98079741117310582</v>
      </c>
      <c r="BU1438" s="4">
        <f>_xlfn.IFNA(VLOOKUP(Grandview_Inventory[[#This Row],[condition]],Lookups!$A$37:$C$44,3,FALSE),1)</f>
        <v>0.96469275950863709</v>
      </c>
      <c r="BV1438" s="4">
        <f>IF(Grandview_Inventory[[#This Row],[bldg_style]]="",1,_xlfn.IFNA(VLOOKUP(Grandview_Inventory[[#This Row],[decade]],Lookups!$F$29:$H$43,3,FALSE),1))</f>
        <v>0.95244691841736806</v>
      </c>
      <c r="BW1438" s="4">
        <f>_xlfn.IFNA(VLOOKUP(Grandview_Inventory[[#This Row],[living_area_range]],Lookups!$F$47:$H$56,3,FALSE),1)</f>
        <v>0.94306777142782894</v>
      </c>
      <c r="BX1438" s="4">
        <f>AVERAGE(Grandview_Inventory[[#This Row],[qual_adj]:[size_adj]])</f>
        <v>0.96025121513173495</v>
      </c>
      <c r="BY1438" s="6">
        <f>IF(Grandview_Inventory[[#This Row],[pre_res]]&lt;0,0,Grandview_Inventory[[#This Row],[pre_res]]*Grandview_Inventory[[#This Row],[overall_adj]])</f>
        <v>199106.96049405262</v>
      </c>
      <c r="BZ1438" s="6">
        <f>(Grandview_Inventory[[#This Row],[sum_land]]-IF(Grandview_Inventory[[#This Row],[no_utilities]]=1,12000,0))/IF(Grandview_Inventory[[#This Row],[unbuildable]]=1,2,1)</f>
        <v>45695.532079096141</v>
      </c>
      <c r="CA143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38">
        <f>ROUND(Grandview_Inventory[[#This Row],[det_value]]*Lookups!$M$28,-2)</f>
        <v>0</v>
      </c>
      <c r="CC1438">
        <f>IF(ROUND(Grandview_Inventory[[#This Row],[adj_res]]*Lookups!$M$28,-2)&lt;Grandview_Inventory[[#This Row],[min_res]],Grandview_Inventory[[#This Row],[min_res]],ROUND(Grandview_Inventory[[#This Row],[adj_res]]*Lookups!$M$28,-2))</f>
        <v>189200</v>
      </c>
      <c r="CD1438">
        <f>Grandview_Inventory[[#This Row],[final_det]]+Grandview_Inventory[[#This Row],[final_res]]</f>
        <v>189200</v>
      </c>
      <c r="CE1438">
        <f>Grandview_Inventory[[#This Row],[final_land]]+Grandview_Inventory[[#This Row],[final_imp]]+Grandview_Inventory[[#This Row],[crop_value]]</f>
        <v>232600</v>
      </c>
      <c r="CG1438" t="str">
        <f t="shared" si="22"/>
        <v>update valuation set market_land =43400, market_bldg=189200, market_total =232600, market_mdno =401, market_date ='9/10/2023' where link_id = (select link_id from parcel where parcel_year = '2024' and parcel_id = '23092323430');</v>
      </c>
    </row>
    <row r="1439" spans="1:85" x14ac:dyDescent="0.25">
      <c r="A1439">
        <v>23092323431</v>
      </c>
      <c r="B1439">
        <v>0.15</v>
      </c>
      <c r="C1439">
        <v>6700</v>
      </c>
      <c r="D1439" t="s">
        <v>129</v>
      </c>
      <c r="E1439" t="s">
        <v>53</v>
      </c>
      <c r="F1439" t="s">
        <v>53</v>
      </c>
      <c r="G1439">
        <v>4</v>
      </c>
      <c r="H1439" t="s">
        <v>54</v>
      </c>
      <c r="I1439">
        <v>119400</v>
      </c>
      <c r="J1439">
        <v>39000</v>
      </c>
      <c r="K1439">
        <v>0.15</v>
      </c>
      <c r="L1439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439">
        <v>0</v>
      </c>
      <c r="N1439">
        <v>0</v>
      </c>
      <c r="O1439">
        <v>0</v>
      </c>
      <c r="P1439">
        <v>13398.7528</v>
      </c>
      <c r="Q1439">
        <v>63903</v>
      </c>
      <c r="R1439">
        <f>(Grandview_Inventory[[#This Row],[ln_acres]]*Grandview_Inventory[[#This Row],[coeff]])+Grandview_Inventory[[#This Row],[const]]</f>
        <v>38483.958290574345</v>
      </c>
      <c r="S1439" t="s">
        <v>68</v>
      </c>
      <c r="T1439">
        <v>1</v>
      </c>
      <c r="U1439" t="s">
        <v>70</v>
      </c>
      <c r="V1439" t="s">
        <v>69</v>
      </c>
      <c r="W1439">
        <v>0</v>
      </c>
      <c r="X1439">
        <v>0</v>
      </c>
      <c r="Y1439">
        <v>50</v>
      </c>
      <c r="Z1439">
        <v>76</v>
      </c>
      <c r="AA1439">
        <v>80</v>
      </c>
      <c r="AB1439">
        <v>1500</v>
      </c>
      <c r="AC1439">
        <v>1140</v>
      </c>
      <c r="AD1439">
        <v>760</v>
      </c>
      <c r="AE1439">
        <v>0</v>
      </c>
      <c r="AF1439">
        <v>0</v>
      </c>
      <c r="AG1439">
        <v>380</v>
      </c>
      <c r="AH1439">
        <v>0</v>
      </c>
      <c r="AI1439">
        <v>0</v>
      </c>
      <c r="AJ1439">
        <v>0</v>
      </c>
      <c r="AK1439">
        <v>0</v>
      </c>
      <c r="AL1439">
        <v>308</v>
      </c>
      <c r="AM1439">
        <v>0</v>
      </c>
      <c r="AN1439">
        <v>50</v>
      </c>
      <c r="AO1439">
        <v>308</v>
      </c>
      <c r="AP1439">
        <v>5</v>
      </c>
      <c r="AQ1439">
        <v>0</v>
      </c>
      <c r="AR1439">
        <v>0</v>
      </c>
      <c r="AS1439" t="s">
        <v>58</v>
      </c>
      <c r="AT1439">
        <v>1</v>
      </c>
      <c r="AU1439" t="s">
        <v>63</v>
      </c>
      <c r="AV1439" t="s">
        <v>60</v>
      </c>
      <c r="AW1439">
        <v>0</v>
      </c>
      <c r="AX1439">
        <v>3</v>
      </c>
      <c r="AY1439">
        <v>0</v>
      </c>
      <c r="AZ1439">
        <v>0</v>
      </c>
      <c r="BA1439">
        <v>100</v>
      </c>
      <c r="BB1439">
        <v>100</v>
      </c>
      <c r="BC1439">
        <v>100</v>
      </c>
      <c r="BD1439">
        <v>100</v>
      </c>
      <c r="BE1439">
        <v>1</v>
      </c>
      <c r="BF1439">
        <v>15000</v>
      </c>
      <c r="BG1439">
        <v>1000</v>
      </c>
      <c r="BH1439" s="6">
        <f>Grandview_Inventory[[#This Row],[land_extract]]*Lookups!$B$3</f>
        <v>44691.316856156598</v>
      </c>
      <c r="BI1439" s="6">
        <f>IF(Grandview_Inventory[[#This Row],[bldg_style]]="",0,Lookups!$B$2)</f>
        <v>155833.95000000001</v>
      </c>
      <c r="BJ1439" s="6">
        <f>_xlfn.IFNA(VLOOKUP(Grandview_Inventory[[#This Row],[quality]],Lookups!$H$2:$J$14,3,FALSE),0)</f>
        <v>10733</v>
      </c>
      <c r="BK1439" s="6">
        <f>_xlfn.IFNA(VLOOKUP(Grandview_Inventory[[#This Row],[condition]],Lookups!$H$17:$J$24,3,FALSE),0)</f>
        <v>-4503</v>
      </c>
      <c r="BL1439" s="6">
        <f>Grandview_Inventory[[#This Row],[Eff_Age]]*Lookups!$B$14</f>
        <v>-11958.33</v>
      </c>
      <c r="BM1439" s="6">
        <f>Grandview_Inventory[[#This Row],[living_area]]*Lookups!$B$15</f>
        <v>71114.172420000003</v>
      </c>
      <c r="BN1439" s="6">
        <f>Grandview_Inventory[[#This Row],[Fin BSMT]]*Lookups!$B$16</f>
        <v>-10297.711200000002</v>
      </c>
      <c r="BO1439" s="6">
        <f>(Grandview_Inventory[[#This Row],[att_gar]]+Grandview_Inventory[[#This Row],[bltin_gar]])*Lookups!$B$17</f>
        <v>0</v>
      </c>
      <c r="BP1439" s="6">
        <f>Grandview_Inventory[[#This Row],[Plumbing Fixtures]]*Lookups!$B$18</f>
        <v>10052.209000000001</v>
      </c>
      <c r="BQ1439" s="6">
        <f>Grandview_Inventory[[#This Row],[detatched_value]]*Lookups!$B$19</f>
        <v>0</v>
      </c>
      <c r="BR1439" s="6">
        <f>SUM(Grandview_Inventory[[#This Row],[Intercept]:[det_value]])*Grandview_Inventory[[#This Row],[res_pct]]</f>
        <v>220974.29022000002</v>
      </c>
      <c r="BS1439" s="6">
        <f>Grandview_Inventory[[#This Row],[land_value]]</f>
        <v>44691.316856156598</v>
      </c>
      <c r="BT1439" s="4">
        <f>_xlfn.IFNA(VLOOKUP(Grandview_Inventory[[#This Row],[quality]],Lookups!$A$26:$C$33,3,FALSE),1)</f>
        <v>0.98079741117310582</v>
      </c>
      <c r="BU1439" s="4">
        <f>_xlfn.IFNA(VLOOKUP(Grandview_Inventory[[#This Row],[condition]],Lookups!$A$37:$C$44,3,FALSE),1)</f>
        <v>0.96469275950863709</v>
      </c>
      <c r="BV1439" s="4">
        <f>IF(Grandview_Inventory[[#This Row],[bldg_style]]="",1,_xlfn.IFNA(VLOOKUP(Grandview_Inventory[[#This Row],[decade]],Lookups!$F$29:$H$43,3,FALSE),1))</f>
        <v>0.98763256963907298</v>
      </c>
      <c r="BW1439" s="4">
        <f>_xlfn.IFNA(VLOOKUP(Grandview_Inventory[[#This Row],[living_area_range]],Lookups!$F$47:$H$56,3,FALSE),1)</f>
        <v>0.96135087979789358</v>
      </c>
      <c r="BX1439" s="4">
        <f>AVERAGE(Grandview_Inventory[[#This Row],[qual_adj]:[size_adj]])</f>
        <v>0.97361840502967734</v>
      </c>
      <c r="BY1439" s="6">
        <f>IF(Grandview_Inventory[[#This Row],[pre_res]]&lt;0,0,Grandview_Inventory[[#This Row],[pre_res]]*Grandview_Inventory[[#This Row],[overall_adj]])</f>
        <v>215144.63599656144</v>
      </c>
      <c r="BZ1439" s="6">
        <f>(Grandview_Inventory[[#This Row],[sum_land]]-IF(Grandview_Inventory[[#This Row],[no_utilities]]=1,12000,0))/IF(Grandview_Inventory[[#This Row],[unbuildable]]=1,2,1)</f>
        <v>44691.316856156598</v>
      </c>
      <c r="CA1439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439">
        <f>ROUND(Grandview_Inventory[[#This Row],[det_value]]*Lookups!$M$28,-2)</f>
        <v>0</v>
      </c>
      <c r="CC1439">
        <f>IF(ROUND(Grandview_Inventory[[#This Row],[adj_res]]*Lookups!$M$28,-2)&lt;Grandview_Inventory[[#This Row],[min_res]],Grandview_Inventory[[#This Row],[min_res]],ROUND(Grandview_Inventory[[#This Row],[adj_res]]*Lookups!$M$28,-2))</f>
        <v>204400</v>
      </c>
      <c r="CD1439">
        <f>Grandview_Inventory[[#This Row],[final_det]]+Grandview_Inventory[[#This Row],[final_res]]</f>
        <v>204400</v>
      </c>
      <c r="CE1439">
        <f>Grandview_Inventory[[#This Row],[final_land]]+Grandview_Inventory[[#This Row],[final_imp]]+Grandview_Inventory[[#This Row],[crop_value]]</f>
        <v>246900</v>
      </c>
      <c r="CG1439" t="str">
        <f t="shared" si="22"/>
        <v>update valuation set market_land =42500, market_bldg=204400, market_total =246900, market_mdno =401, market_date ='9/10/2023' where link_id = (select link_id from parcel where parcel_year = '2024' and parcel_id = '23092323431');</v>
      </c>
    </row>
    <row r="1440" spans="1:85" x14ac:dyDescent="0.25">
      <c r="A1440">
        <v>23092323432</v>
      </c>
      <c r="B1440">
        <v>0.17</v>
      </c>
      <c r="C1440">
        <v>7394</v>
      </c>
      <c r="D1440" t="s">
        <v>129</v>
      </c>
      <c r="E1440" t="s">
        <v>53</v>
      </c>
      <c r="F1440" t="s">
        <v>53</v>
      </c>
      <c r="G1440">
        <v>4</v>
      </c>
      <c r="H1440" t="s">
        <v>54</v>
      </c>
      <c r="I1440">
        <v>105800</v>
      </c>
      <c r="J1440">
        <v>39300</v>
      </c>
      <c r="K1440">
        <v>0.17</v>
      </c>
      <c r="L144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40">
        <v>0</v>
      </c>
      <c r="N1440">
        <v>0</v>
      </c>
      <c r="O1440">
        <v>0</v>
      </c>
      <c r="P1440">
        <v>13398.7528</v>
      </c>
      <c r="Q1440">
        <v>63903</v>
      </c>
      <c r="R1440">
        <f>(Grandview_Inventory[[#This Row],[ln_acres]]*Grandview_Inventory[[#This Row],[coeff]])+Grandview_Inventory[[#This Row],[const]]</f>
        <v>40160.988302686128</v>
      </c>
      <c r="S1440" t="s">
        <v>68</v>
      </c>
      <c r="T1440">
        <v>1</v>
      </c>
      <c r="U1440" t="s">
        <v>70</v>
      </c>
      <c r="V1440" t="s">
        <v>69</v>
      </c>
      <c r="W1440">
        <v>0</v>
      </c>
      <c r="X1440">
        <v>0</v>
      </c>
      <c r="Y1440">
        <v>51</v>
      </c>
      <c r="Z1440">
        <v>78</v>
      </c>
      <c r="AA1440">
        <v>80</v>
      </c>
      <c r="AB1440">
        <v>1000</v>
      </c>
      <c r="AC1440">
        <v>874</v>
      </c>
      <c r="AD1440">
        <v>672</v>
      </c>
      <c r="AE1440">
        <v>0</v>
      </c>
      <c r="AF1440">
        <v>0</v>
      </c>
      <c r="AG1440">
        <v>202</v>
      </c>
      <c r="AH1440">
        <v>470</v>
      </c>
      <c r="AI1440">
        <v>0</v>
      </c>
      <c r="AJ1440">
        <v>0</v>
      </c>
      <c r="AK1440">
        <v>0</v>
      </c>
      <c r="AL1440">
        <v>168</v>
      </c>
      <c r="AM1440">
        <v>288</v>
      </c>
      <c r="AN1440">
        <v>0</v>
      </c>
      <c r="AO1440">
        <v>456</v>
      </c>
      <c r="AP1440">
        <v>8</v>
      </c>
      <c r="AQ1440">
        <v>0</v>
      </c>
      <c r="AR1440">
        <v>0</v>
      </c>
      <c r="AS1440" t="s">
        <v>58</v>
      </c>
      <c r="AT1440">
        <v>1</v>
      </c>
      <c r="AU1440" t="s">
        <v>63</v>
      </c>
      <c r="AV1440" t="s">
        <v>64</v>
      </c>
      <c r="AW1440">
        <v>0</v>
      </c>
      <c r="AX1440">
        <v>1</v>
      </c>
      <c r="AY1440">
        <v>0</v>
      </c>
      <c r="AZ1440">
        <v>0</v>
      </c>
      <c r="BA1440">
        <v>100</v>
      </c>
      <c r="BB1440">
        <v>100</v>
      </c>
      <c r="BC1440">
        <v>100</v>
      </c>
      <c r="BD1440">
        <v>100</v>
      </c>
      <c r="BE1440">
        <v>1</v>
      </c>
      <c r="BF1440">
        <v>15000</v>
      </c>
      <c r="BG1440">
        <v>1000</v>
      </c>
      <c r="BH1440" s="6">
        <f>Grandview_Inventory[[#This Row],[land_extract]]*Lookups!$B$3</f>
        <v>46638.847281240982</v>
      </c>
      <c r="BI1440" s="6">
        <f>IF(Grandview_Inventory[[#This Row],[bldg_style]]="",0,Lookups!$B$2)</f>
        <v>155833.95000000001</v>
      </c>
      <c r="BJ1440" s="6">
        <f>_xlfn.IFNA(VLOOKUP(Grandview_Inventory[[#This Row],[quality]],Lookups!$H$2:$J$14,3,FALSE),0)</f>
        <v>10733</v>
      </c>
      <c r="BK1440" s="6">
        <f>_xlfn.IFNA(VLOOKUP(Grandview_Inventory[[#This Row],[condition]],Lookups!$H$17:$J$24,3,FALSE),0)</f>
        <v>-4503</v>
      </c>
      <c r="BL1440" s="6">
        <f>Grandview_Inventory[[#This Row],[Eff_Age]]*Lookups!$B$14</f>
        <v>-12197.496599999999</v>
      </c>
      <c r="BM1440" s="6">
        <f>Grandview_Inventory[[#This Row],[living_area]]*Lookups!$B$15</f>
        <v>54520.865522</v>
      </c>
      <c r="BN1440" s="6">
        <f>Grandview_Inventory[[#This Row],[Fin BSMT]]*Lookups!$B$16</f>
        <v>-5474.04648</v>
      </c>
      <c r="BO1440" s="6">
        <f>(Grandview_Inventory[[#This Row],[att_gar]]+Grandview_Inventory[[#This Row],[bltin_gar]])*Lookups!$B$17</f>
        <v>0</v>
      </c>
      <c r="BP1440" s="6">
        <f>Grandview_Inventory[[#This Row],[Plumbing Fixtures]]*Lookups!$B$18</f>
        <v>16083.5344</v>
      </c>
      <c r="BQ1440" s="6">
        <f>Grandview_Inventory[[#This Row],[detatched_value]]*Lookups!$B$19</f>
        <v>0</v>
      </c>
      <c r="BR1440" s="6">
        <f>SUM(Grandview_Inventory[[#This Row],[Intercept]:[det_value]])*Grandview_Inventory[[#This Row],[res_pct]]</f>
        <v>214996.80684200002</v>
      </c>
      <c r="BS1440" s="6">
        <f>Grandview_Inventory[[#This Row],[land_value]]</f>
        <v>46638.847281240982</v>
      </c>
      <c r="BT1440" s="4">
        <f>_xlfn.IFNA(VLOOKUP(Grandview_Inventory[[#This Row],[quality]],Lookups!$A$26:$C$33,3,FALSE),1)</f>
        <v>0.98079741117310582</v>
      </c>
      <c r="BU1440" s="4">
        <f>_xlfn.IFNA(VLOOKUP(Grandview_Inventory[[#This Row],[condition]],Lookups!$A$37:$C$44,3,FALSE),1)</f>
        <v>0.96469275950863709</v>
      </c>
      <c r="BV1440" s="4">
        <f>IF(Grandview_Inventory[[#This Row],[bldg_style]]="",1,_xlfn.IFNA(VLOOKUP(Grandview_Inventory[[#This Row],[decade]],Lookups!$F$29:$H$43,3,FALSE),1))</f>
        <v>0.98763256963907298</v>
      </c>
      <c r="BW1440" s="4">
        <f>_xlfn.IFNA(VLOOKUP(Grandview_Inventory[[#This Row],[living_area_range]],Lookups!$F$47:$H$56,3,FALSE),1)</f>
        <v>0.94306777142782894</v>
      </c>
      <c r="BX1440" s="4">
        <f>AVERAGE(Grandview_Inventory[[#This Row],[qual_adj]:[size_adj]])</f>
        <v>0.96904762793716115</v>
      </c>
      <c r="BY1440" s="6">
        <f>IF(Grandview_Inventory[[#This Row],[pre_res]]&lt;0,0,Grandview_Inventory[[#This Row],[pre_res]]*Grandview_Inventory[[#This Row],[overall_adj]])</f>
        <v>208342.14568430412</v>
      </c>
      <c r="BZ1440" s="6">
        <f>(Grandview_Inventory[[#This Row],[sum_land]]-IF(Grandview_Inventory[[#This Row],[no_utilities]]=1,12000,0))/IF(Grandview_Inventory[[#This Row],[unbuildable]]=1,2,1)</f>
        <v>46638.847281240982</v>
      </c>
      <c r="CA144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40">
        <f>ROUND(Grandview_Inventory[[#This Row],[det_value]]*Lookups!$M$28,-2)</f>
        <v>0</v>
      </c>
      <c r="CC1440">
        <f>IF(ROUND(Grandview_Inventory[[#This Row],[adj_res]]*Lookups!$M$28,-2)&lt;Grandview_Inventory[[#This Row],[min_res]],Grandview_Inventory[[#This Row],[min_res]],ROUND(Grandview_Inventory[[#This Row],[adj_res]]*Lookups!$M$28,-2))</f>
        <v>197900</v>
      </c>
      <c r="CD1440">
        <f>Grandview_Inventory[[#This Row],[final_det]]+Grandview_Inventory[[#This Row],[final_res]]</f>
        <v>197900</v>
      </c>
      <c r="CE1440">
        <f>Grandview_Inventory[[#This Row],[final_land]]+Grandview_Inventory[[#This Row],[final_imp]]+Grandview_Inventory[[#This Row],[crop_value]]</f>
        <v>242200</v>
      </c>
      <c r="CG1440" t="str">
        <f t="shared" si="22"/>
        <v>update valuation set market_land =44300, market_bldg=197900, market_total =242200, market_mdno =401, market_date ='9/10/2023' where link_id = (select link_id from parcel where parcel_year = '2024' and parcel_id = '23092323432');</v>
      </c>
    </row>
    <row r="1441" spans="1:85" x14ac:dyDescent="0.25">
      <c r="A1441">
        <v>23092323436</v>
      </c>
      <c r="B1441">
        <v>0.18</v>
      </c>
      <c r="C1441">
        <v>7847</v>
      </c>
      <c r="D1441" t="s">
        <v>129</v>
      </c>
      <c r="E1441" t="s">
        <v>53</v>
      </c>
      <c r="F1441" t="s">
        <v>53</v>
      </c>
      <c r="G1441">
        <v>4</v>
      </c>
      <c r="H1441" t="s">
        <v>54</v>
      </c>
      <c r="I1441">
        <v>119200</v>
      </c>
      <c r="J1441">
        <v>39300</v>
      </c>
      <c r="K1441">
        <v>0.18</v>
      </c>
      <c r="L144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41">
        <v>0</v>
      </c>
      <c r="N1441">
        <v>0</v>
      </c>
      <c r="O1441">
        <v>0</v>
      </c>
      <c r="P1441">
        <v>13398.7528</v>
      </c>
      <c r="Q1441">
        <v>63903</v>
      </c>
      <c r="R1441">
        <f>(Grandview_Inventory[[#This Row],[ln_acres]]*Grandview_Inventory[[#This Row],[coeff]])+Grandview_Inventory[[#This Row],[const]]</f>
        <v>40926.839760167699</v>
      </c>
      <c r="S1441" t="s">
        <v>85</v>
      </c>
      <c r="T1441">
        <v>1</v>
      </c>
      <c r="U1441" t="s">
        <v>70</v>
      </c>
      <c r="V1441" t="s">
        <v>69</v>
      </c>
      <c r="W1441">
        <v>0</v>
      </c>
      <c r="X1441">
        <v>0</v>
      </c>
      <c r="Y1441">
        <v>65</v>
      </c>
      <c r="Z1441">
        <v>113</v>
      </c>
      <c r="AA1441">
        <v>120</v>
      </c>
      <c r="AB1441">
        <v>1000</v>
      </c>
      <c r="AC1441">
        <v>896</v>
      </c>
      <c r="AD1441">
        <v>896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5</v>
      </c>
      <c r="AQ1441">
        <v>0</v>
      </c>
      <c r="AR1441">
        <v>0</v>
      </c>
      <c r="AS1441" t="s">
        <v>58</v>
      </c>
      <c r="AT1441">
        <v>1</v>
      </c>
      <c r="AU1441" t="s">
        <v>63</v>
      </c>
      <c r="AV1441" t="s">
        <v>60</v>
      </c>
      <c r="AW1441">
        <v>0</v>
      </c>
      <c r="AX1441">
        <v>2</v>
      </c>
      <c r="AY1441">
        <v>0</v>
      </c>
      <c r="AZ1441">
        <v>5800</v>
      </c>
      <c r="BA1441">
        <v>100</v>
      </c>
      <c r="BB1441">
        <v>100</v>
      </c>
      <c r="BC1441">
        <v>100</v>
      </c>
      <c r="BD1441">
        <v>100</v>
      </c>
      <c r="BE1441">
        <v>1</v>
      </c>
      <c r="BF1441">
        <v>15000</v>
      </c>
      <c r="BG1441">
        <v>1000</v>
      </c>
      <c r="BH1441" s="6">
        <f>Grandview_Inventory[[#This Row],[land_extract]]*Lookups!$B$3</f>
        <v>47528.228511015397</v>
      </c>
      <c r="BI1441" s="6">
        <f>IF(Grandview_Inventory[[#This Row],[bldg_style]]="",0,Lookups!$B$2)</f>
        <v>155833.95000000001</v>
      </c>
      <c r="BJ1441" s="6">
        <f>_xlfn.IFNA(VLOOKUP(Grandview_Inventory[[#This Row],[quality]],Lookups!$H$2:$J$14,3,FALSE),0)</f>
        <v>10733</v>
      </c>
      <c r="BK1441" s="6">
        <f>_xlfn.IFNA(VLOOKUP(Grandview_Inventory[[#This Row],[condition]],Lookups!$H$17:$J$24,3,FALSE),0)</f>
        <v>-4503</v>
      </c>
      <c r="BL1441" s="6">
        <f>Grandview_Inventory[[#This Row],[Eff_Age]]*Lookups!$B$14</f>
        <v>-15545.829</v>
      </c>
      <c r="BM1441" s="6">
        <f>Grandview_Inventory[[#This Row],[living_area]]*Lookups!$B$15</f>
        <v>55893.244288000002</v>
      </c>
      <c r="BN1441" s="6">
        <f>Grandview_Inventory[[#This Row],[Fin BSMT]]*Lookups!$B$16</f>
        <v>0</v>
      </c>
      <c r="BO1441" s="6">
        <f>(Grandview_Inventory[[#This Row],[att_gar]]+Grandview_Inventory[[#This Row],[bltin_gar]])*Lookups!$B$17</f>
        <v>0</v>
      </c>
      <c r="BP1441" s="6">
        <f>Grandview_Inventory[[#This Row],[Plumbing Fixtures]]*Lookups!$B$18</f>
        <v>10052.209000000001</v>
      </c>
      <c r="BQ1441" s="6">
        <f>Grandview_Inventory[[#This Row],[detatched_value]]*Lookups!$B$19</f>
        <v>4911.46958</v>
      </c>
      <c r="BR1441" s="6">
        <f>SUM(Grandview_Inventory[[#This Row],[Intercept]:[det_value]])*Grandview_Inventory[[#This Row],[res_pct]]</f>
        <v>217375.04386800004</v>
      </c>
      <c r="BS1441" s="6">
        <f>Grandview_Inventory[[#This Row],[land_value]]</f>
        <v>47528.228511015397</v>
      </c>
      <c r="BT1441" s="4">
        <f>_xlfn.IFNA(VLOOKUP(Grandview_Inventory[[#This Row],[quality]],Lookups!$A$26:$C$33,3,FALSE),1)</f>
        <v>0.98079741117310582</v>
      </c>
      <c r="BU1441" s="4">
        <f>_xlfn.IFNA(VLOOKUP(Grandview_Inventory[[#This Row],[condition]],Lookups!$A$37:$C$44,3,FALSE),1)</f>
        <v>0.96469275950863709</v>
      </c>
      <c r="BV1441" s="4">
        <f>IF(Grandview_Inventory[[#This Row],[bldg_style]]="",1,_xlfn.IFNA(VLOOKUP(Grandview_Inventory[[#This Row],[decade]],Lookups!$F$29:$H$43,3,FALSE),1))</f>
        <v>0.9251738460551937</v>
      </c>
      <c r="BW1441" s="4">
        <f>_xlfn.IFNA(VLOOKUP(Grandview_Inventory[[#This Row],[living_area_range]],Lookups!$F$47:$H$56,3,FALSE),1)</f>
        <v>0.94306777142782894</v>
      </c>
      <c r="BX1441" s="4">
        <f>AVERAGE(Grandview_Inventory[[#This Row],[qual_adj]:[size_adj]])</f>
        <v>0.95343294704119141</v>
      </c>
      <c r="BY1441" s="6">
        <f>IF(Grandview_Inventory[[#This Row],[pre_res]]&lt;0,0,Grandview_Inventory[[#This Row],[pre_res]]*Grandview_Inventory[[#This Row],[overall_adj]])</f>
        <v>207252.52868827555</v>
      </c>
      <c r="BZ1441" s="6">
        <f>(Grandview_Inventory[[#This Row],[sum_land]]-IF(Grandview_Inventory[[#This Row],[no_utilities]]=1,12000,0))/IF(Grandview_Inventory[[#This Row],[unbuildable]]=1,2,1)</f>
        <v>47528.228511015397</v>
      </c>
      <c r="CA144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41">
        <f>ROUND(Grandview_Inventory[[#This Row],[det_value]]*Lookups!$M$28,-2)</f>
        <v>4700</v>
      </c>
      <c r="CC1441">
        <f>IF(ROUND(Grandview_Inventory[[#This Row],[adj_res]]*Lookups!$M$28,-2)&lt;Grandview_Inventory[[#This Row],[min_res]],Grandview_Inventory[[#This Row],[min_res]],ROUND(Grandview_Inventory[[#This Row],[adj_res]]*Lookups!$M$28,-2))</f>
        <v>196900</v>
      </c>
      <c r="CD1441">
        <f>Grandview_Inventory[[#This Row],[final_det]]+Grandview_Inventory[[#This Row],[final_res]]</f>
        <v>201600</v>
      </c>
      <c r="CE1441">
        <f>Grandview_Inventory[[#This Row],[final_land]]+Grandview_Inventory[[#This Row],[final_imp]]+Grandview_Inventory[[#This Row],[crop_value]]</f>
        <v>246800</v>
      </c>
      <c r="CG1441" t="str">
        <f t="shared" si="22"/>
        <v>update valuation set market_land =45200, market_bldg=201600, market_total =246800, market_mdno =401, market_date ='9/10/2023' where link_id = (select link_id from parcel where parcel_year = '2024' and parcel_id = '23092323436');</v>
      </c>
    </row>
    <row r="1442" spans="1:85" x14ac:dyDescent="0.25">
      <c r="A1442">
        <v>23092323437</v>
      </c>
      <c r="B1442">
        <v>0.16</v>
      </c>
      <c r="C1442">
        <v>6864</v>
      </c>
      <c r="D1442" t="s">
        <v>129</v>
      </c>
      <c r="E1442" t="s">
        <v>53</v>
      </c>
      <c r="F1442" t="s">
        <v>53</v>
      </c>
      <c r="G1442">
        <v>4</v>
      </c>
      <c r="H1442" t="s">
        <v>54</v>
      </c>
      <c r="I1442">
        <v>148900</v>
      </c>
      <c r="J1442">
        <v>39000</v>
      </c>
      <c r="K1442">
        <v>0.16</v>
      </c>
      <c r="L144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42">
        <v>0</v>
      </c>
      <c r="N1442">
        <v>0</v>
      </c>
      <c r="O1442">
        <v>0</v>
      </c>
      <c r="P1442">
        <v>13398.7528</v>
      </c>
      <c r="Q1442">
        <v>63903</v>
      </c>
      <c r="R1442">
        <f>(Grandview_Inventory[[#This Row],[ln_acres]]*Grandview_Inventory[[#This Row],[coeff]])+Grandview_Inventory[[#This Row],[const]]</f>
        <v>39348.693981374228</v>
      </c>
      <c r="S1442" t="s">
        <v>68</v>
      </c>
      <c r="T1442">
        <v>1</v>
      </c>
      <c r="U1442" t="s">
        <v>70</v>
      </c>
      <c r="V1442" t="s">
        <v>67</v>
      </c>
      <c r="W1442">
        <v>0</v>
      </c>
      <c r="X1442">
        <v>0</v>
      </c>
      <c r="Y1442">
        <v>53</v>
      </c>
      <c r="Z1442">
        <v>93</v>
      </c>
      <c r="AA1442">
        <v>100</v>
      </c>
      <c r="AB1442">
        <v>1000</v>
      </c>
      <c r="AC1442">
        <v>912</v>
      </c>
      <c r="AD1442">
        <v>912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60</v>
      </c>
      <c r="AO1442">
        <v>0</v>
      </c>
      <c r="AP1442">
        <v>5</v>
      </c>
      <c r="AQ1442">
        <v>0</v>
      </c>
      <c r="AR1442">
        <v>0</v>
      </c>
      <c r="AS1442" t="s">
        <v>58</v>
      </c>
      <c r="AT1442">
        <v>1</v>
      </c>
      <c r="AU1442" t="s">
        <v>63</v>
      </c>
      <c r="AV1442" t="s">
        <v>60</v>
      </c>
      <c r="AW1442">
        <v>0</v>
      </c>
      <c r="AX1442">
        <v>2</v>
      </c>
      <c r="AY1442">
        <v>0</v>
      </c>
      <c r="AZ1442">
        <v>0</v>
      </c>
      <c r="BA1442">
        <v>100</v>
      </c>
      <c r="BB1442">
        <v>100</v>
      </c>
      <c r="BC1442">
        <v>100</v>
      </c>
      <c r="BD1442">
        <v>100</v>
      </c>
      <c r="BE1442">
        <v>1</v>
      </c>
      <c r="BF1442">
        <v>15000</v>
      </c>
      <c r="BG1442">
        <v>1000</v>
      </c>
      <c r="BH1442" s="6">
        <f>Grandview_Inventory[[#This Row],[land_extract]]*Lookups!$B$3</f>
        <v>45695.532079096141</v>
      </c>
      <c r="BI1442" s="6">
        <f>IF(Grandview_Inventory[[#This Row],[bldg_style]]="",0,Lookups!$B$2)</f>
        <v>155833.95000000001</v>
      </c>
      <c r="BJ1442" s="6">
        <f>_xlfn.IFNA(VLOOKUP(Grandview_Inventory[[#This Row],[quality]],Lookups!$H$2:$J$14,3,FALSE),0)</f>
        <v>10733</v>
      </c>
      <c r="BK1442" s="6">
        <f>_xlfn.IFNA(VLOOKUP(Grandview_Inventory[[#This Row],[condition]],Lookups!$H$17:$J$24,3,FALSE),0)</f>
        <v>22342</v>
      </c>
      <c r="BL1442" s="6">
        <f>Grandview_Inventory[[#This Row],[Eff_Age]]*Lookups!$B$14</f>
        <v>-12675.8298</v>
      </c>
      <c r="BM1442" s="6">
        <f>Grandview_Inventory[[#This Row],[living_area]]*Lookups!$B$15</f>
        <v>56891.337936000004</v>
      </c>
      <c r="BN1442" s="6">
        <f>Grandview_Inventory[[#This Row],[Fin BSMT]]*Lookups!$B$16</f>
        <v>0</v>
      </c>
      <c r="BO1442" s="6">
        <f>(Grandview_Inventory[[#This Row],[att_gar]]+Grandview_Inventory[[#This Row],[bltin_gar]])*Lookups!$B$17</f>
        <v>0</v>
      </c>
      <c r="BP1442" s="6">
        <f>Grandview_Inventory[[#This Row],[Plumbing Fixtures]]*Lookups!$B$18</f>
        <v>10052.209000000001</v>
      </c>
      <c r="BQ1442" s="6">
        <f>Grandview_Inventory[[#This Row],[detatched_value]]*Lookups!$B$19</f>
        <v>0</v>
      </c>
      <c r="BR1442" s="6">
        <f>SUM(Grandview_Inventory[[#This Row],[Intercept]:[det_value]])*Grandview_Inventory[[#This Row],[res_pct]]</f>
        <v>243176.667136</v>
      </c>
      <c r="BS1442" s="6">
        <f>Grandview_Inventory[[#This Row],[land_value]]</f>
        <v>45695.532079096141</v>
      </c>
      <c r="BT1442" s="4">
        <f>_xlfn.IFNA(VLOOKUP(Grandview_Inventory[[#This Row],[quality]],Lookups!$A$26:$C$33,3,FALSE),1)</f>
        <v>0.98079741117310582</v>
      </c>
      <c r="BU1442" s="4">
        <f>_xlfn.IFNA(VLOOKUP(Grandview_Inventory[[#This Row],[condition]],Lookups!$A$37:$C$44,3,FALSE),1)</f>
        <v>0.97383723671140243</v>
      </c>
      <c r="BV1442" s="4">
        <f>IF(Grandview_Inventory[[#This Row],[bldg_style]]="",1,_xlfn.IFNA(VLOOKUP(Grandview_Inventory[[#This Row],[decade]],Lookups!$F$29:$H$43,3,FALSE),1))</f>
        <v>0.95244691841736806</v>
      </c>
      <c r="BW1442" s="4">
        <f>_xlfn.IFNA(VLOOKUP(Grandview_Inventory[[#This Row],[living_area_range]],Lookups!$F$47:$H$56,3,FALSE),1)</f>
        <v>0.94306777142782894</v>
      </c>
      <c r="BX1442" s="4">
        <f>AVERAGE(Grandview_Inventory[[#This Row],[qual_adj]:[size_adj]])</f>
        <v>0.96253733443242628</v>
      </c>
      <c r="BY1442" s="6">
        <f>IF(Grandview_Inventory[[#This Row],[pre_res]]&lt;0,0,Grandview_Inventory[[#This Row],[pre_res]]*Grandview_Inventory[[#This Row],[overall_adj]])</f>
        <v>234066.62098124684</v>
      </c>
      <c r="BZ1442" s="6">
        <f>(Grandview_Inventory[[#This Row],[sum_land]]-IF(Grandview_Inventory[[#This Row],[no_utilities]]=1,12000,0))/IF(Grandview_Inventory[[#This Row],[unbuildable]]=1,2,1)</f>
        <v>45695.532079096141</v>
      </c>
      <c r="CA144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42">
        <f>ROUND(Grandview_Inventory[[#This Row],[det_value]]*Lookups!$M$28,-2)</f>
        <v>0</v>
      </c>
      <c r="CC1442">
        <f>IF(ROUND(Grandview_Inventory[[#This Row],[adj_res]]*Lookups!$M$28,-2)&lt;Grandview_Inventory[[#This Row],[min_res]],Grandview_Inventory[[#This Row],[min_res]],ROUND(Grandview_Inventory[[#This Row],[adj_res]]*Lookups!$M$28,-2))</f>
        <v>222400</v>
      </c>
      <c r="CD1442">
        <f>Grandview_Inventory[[#This Row],[final_det]]+Grandview_Inventory[[#This Row],[final_res]]</f>
        <v>222400</v>
      </c>
      <c r="CE1442">
        <f>Grandview_Inventory[[#This Row],[final_land]]+Grandview_Inventory[[#This Row],[final_imp]]+Grandview_Inventory[[#This Row],[crop_value]]</f>
        <v>265800</v>
      </c>
      <c r="CG1442" t="str">
        <f t="shared" si="22"/>
        <v>update valuation set market_land =43400, market_bldg=222400, market_total =265800, market_mdno =401, market_date ='9/10/2023' where link_id = (select link_id from parcel where parcel_year = '2024' and parcel_id = '23092323437');</v>
      </c>
    </row>
    <row r="1443" spans="1:85" x14ac:dyDescent="0.25">
      <c r="A1443">
        <v>23092323438</v>
      </c>
      <c r="B1443">
        <v>0.2</v>
      </c>
      <c r="C1443">
        <v>8826</v>
      </c>
      <c r="D1443" t="s">
        <v>129</v>
      </c>
      <c r="E1443" t="s">
        <v>53</v>
      </c>
      <c r="F1443" t="s">
        <v>53</v>
      </c>
      <c r="G1443">
        <v>4</v>
      </c>
      <c r="H1443" t="s">
        <v>54</v>
      </c>
      <c r="I1443">
        <v>210800</v>
      </c>
      <c r="J1443">
        <v>39800</v>
      </c>
      <c r="K1443">
        <v>0.2</v>
      </c>
      <c r="L144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443">
        <v>0</v>
      </c>
      <c r="N1443">
        <v>0</v>
      </c>
      <c r="O1443">
        <v>0</v>
      </c>
      <c r="P1443">
        <v>13398.7528</v>
      </c>
      <c r="Q1443">
        <v>63903</v>
      </c>
      <c r="R1443">
        <f>(Grandview_Inventory[[#This Row],[ln_acres]]*Grandview_Inventory[[#This Row],[coeff]])+Grandview_Inventory[[#This Row],[const]]</f>
        <v>42338.539264347448</v>
      </c>
      <c r="S1443" t="s">
        <v>61</v>
      </c>
      <c r="T1443">
        <v>1</v>
      </c>
      <c r="U1443" t="s">
        <v>65</v>
      </c>
      <c r="V1443" t="s">
        <v>67</v>
      </c>
      <c r="W1443">
        <v>0</v>
      </c>
      <c r="X1443">
        <v>0</v>
      </c>
      <c r="Y1443">
        <v>29</v>
      </c>
      <c r="Z1443">
        <v>29</v>
      </c>
      <c r="AA1443">
        <v>30</v>
      </c>
      <c r="AB1443">
        <v>1500</v>
      </c>
      <c r="AC1443">
        <v>1140</v>
      </c>
      <c r="AD1443">
        <v>1140</v>
      </c>
      <c r="AE1443">
        <v>0</v>
      </c>
      <c r="AF1443">
        <v>0</v>
      </c>
      <c r="AG1443">
        <v>0</v>
      </c>
      <c r="AH1443">
        <v>0</v>
      </c>
      <c r="AI1443">
        <v>360</v>
      </c>
      <c r="AJ1443">
        <v>0</v>
      </c>
      <c r="AK1443">
        <v>0</v>
      </c>
      <c r="AL1443">
        <v>0</v>
      </c>
      <c r="AM1443">
        <v>0</v>
      </c>
      <c r="AN1443">
        <v>84</v>
      </c>
      <c r="AO1443">
        <v>0</v>
      </c>
      <c r="AP1443">
        <v>8</v>
      </c>
      <c r="AQ1443">
        <v>0</v>
      </c>
      <c r="AR1443">
        <v>0</v>
      </c>
      <c r="AS1443" t="s">
        <v>58</v>
      </c>
      <c r="AT1443">
        <v>1</v>
      </c>
      <c r="AU1443" t="s">
        <v>63</v>
      </c>
      <c r="AV1443" t="s">
        <v>60</v>
      </c>
      <c r="AW1443">
        <v>1</v>
      </c>
      <c r="AX1443">
        <v>3</v>
      </c>
      <c r="AY1443">
        <v>0</v>
      </c>
      <c r="AZ1443">
        <v>0</v>
      </c>
      <c r="BA1443">
        <v>100</v>
      </c>
      <c r="BB1443">
        <v>100</v>
      </c>
      <c r="BC1443">
        <v>100</v>
      </c>
      <c r="BD1443">
        <v>100</v>
      </c>
      <c r="BE1443">
        <v>1</v>
      </c>
      <c r="BF1443">
        <v>15000</v>
      </c>
      <c r="BG1443">
        <v>1000</v>
      </c>
      <c r="BH1443" s="6">
        <f>Grandview_Inventory[[#This Row],[land_extract]]*Lookups!$B$3</f>
        <v>49167.631333630678</v>
      </c>
      <c r="BI1443" s="6">
        <f>IF(Grandview_Inventory[[#This Row],[bldg_style]]="",0,Lookups!$B$2)</f>
        <v>155833.95000000001</v>
      </c>
      <c r="BJ1443" s="6">
        <f>_xlfn.IFNA(VLOOKUP(Grandview_Inventory[[#This Row],[quality]],Lookups!$H$2:$J$14,3,FALSE),0)</f>
        <v>2251</v>
      </c>
      <c r="BK1443" s="6">
        <f>_xlfn.IFNA(VLOOKUP(Grandview_Inventory[[#This Row],[condition]],Lookups!$H$17:$J$24,3,FALSE),0)</f>
        <v>22342</v>
      </c>
      <c r="BL1443" s="6">
        <f>Grandview_Inventory[[#This Row],[Eff_Age]]*Lookups!$B$14</f>
        <v>-6935.8314</v>
      </c>
      <c r="BM1443" s="6">
        <f>Grandview_Inventory[[#This Row],[living_area]]*Lookups!$B$15</f>
        <v>71114.172420000003</v>
      </c>
      <c r="BN1443" s="6">
        <f>Grandview_Inventory[[#This Row],[Fin BSMT]]*Lookups!$B$16</f>
        <v>0</v>
      </c>
      <c r="BO1443" s="6">
        <f>(Grandview_Inventory[[#This Row],[att_gar]]+Grandview_Inventory[[#This Row],[bltin_gar]])*Lookups!$B$17</f>
        <v>31507.357319999999</v>
      </c>
      <c r="BP1443" s="6">
        <f>Grandview_Inventory[[#This Row],[Plumbing Fixtures]]*Lookups!$B$18</f>
        <v>16083.5344</v>
      </c>
      <c r="BQ1443" s="6">
        <f>Grandview_Inventory[[#This Row],[detatched_value]]*Lookups!$B$19</f>
        <v>0</v>
      </c>
      <c r="BR1443" s="6">
        <f>SUM(Grandview_Inventory[[#This Row],[Intercept]:[det_value]])*Grandview_Inventory[[#This Row],[res_pct]]</f>
        <v>292196.18274000002</v>
      </c>
      <c r="BS1443" s="6">
        <f>Grandview_Inventory[[#This Row],[land_value]]</f>
        <v>49167.631333630678</v>
      </c>
      <c r="BT1443" s="4">
        <f>_xlfn.IFNA(VLOOKUP(Grandview_Inventory[[#This Row],[quality]],Lookups!$A$26:$C$33,3,FALSE),1)</f>
        <v>0.98763855981004833</v>
      </c>
      <c r="BU1443" s="4">
        <f>_xlfn.IFNA(VLOOKUP(Grandview_Inventory[[#This Row],[condition]],Lookups!$A$37:$C$44,3,FALSE),1)</f>
        <v>0.97383723671140243</v>
      </c>
      <c r="BV1443" s="4">
        <f>IF(Grandview_Inventory[[#This Row],[bldg_style]]="",1,_xlfn.IFNA(VLOOKUP(Grandview_Inventory[[#This Row],[decade]],Lookups!$F$29:$H$43,3,FALSE),1))</f>
        <v>0.98397821291089549</v>
      </c>
      <c r="BW1443" s="4">
        <f>_xlfn.IFNA(VLOOKUP(Grandview_Inventory[[#This Row],[living_area_range]],Lookups!$F$47:$H$56,3,FALSE),1)</f>
        <v>0.96135087979789358</v>
      </c>
      <c r="BX1443" s="4">
        <f>AVERAGE(Grandview_Inventory[[#This Row],[qual_adj]:[size_adj]])</f>
        <v>0.97670122230755996</v>
      </c>
      <c r="BY1443" s="6">
        <f>IF(Grandview_Inventory[[#This Row],[pre_res]]&lt;0,0,Grandview_Inventory[[#This Row],[pre_res]]*Grandview_Inventory[[#This Row],[overall_adj]])</f>
        <v>285388.36883576115</v>
      </c>
      <c r="BZ1443" s="6">
        <f>(Grandview_Inventory[[#This Row],[sum_land]]-IF(Grandview_Inventory[[#This Row],[no_utilities]]=1,12000,0))/IF(Grandview_Inventory[[#This Row],[unbuildable]]=1,2,1)</f>
        <v>49167.631333630678</v>
      </c>
      <c r="CA144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443">
        <f>ROUND(Grandview_Inventory[[#This Row],[det_value]]*Lookups!$M$28,-2)</f>
        <v>0</v>
      </c>
      <c r="CC1443">
        <f>IF(ROUND(Grandview_Inventory[[#This Row],[adj_res]]*Lookups!$M$28,-2)&lt;Grandview_Inventory[[#This Row],[min_res]],Grandview_Inventory[[#This Row],[min_res]],ROUND(Grandview_Inventory[[#This Row],[adj_res]]*Lookups!$M$28,-2))</f>
        <v>271100</v>
      </c>
      <c r="CD1443">
        <f>Grandview_Inventory[[#This Row],[final_det]]+Grandview_Inventory[[#This Row],[final_res]]</f>
        <v>271100</v>
      </c>
      <c r="CE1443">
        <f>Grandview_Inventory[[#This Row],[final_land]]+Grandview_Inventory[[#This Row],[final_imp]]+Grandview_Inventory[[#This Row],[crop_value]]</f>
        <v>317800</v>
      </c>
      <c r="CG1443" t="str">
        <f t="shared" si="22"/>
        <v>update valuation set market_land =46700, market_bldg=271100, market_total =317800, market_mdno =401, market_date ='9/10/2023' where link_id = (select link_id from parcel where parcel_year = '2024' and parcel_id = '23092323438');</v>
      </c>
    </row>
    <row r="1444" spans="1:85" x14ac:dyDescent="0.25">
      <c r="A1444">
        <v>23092323439</v>
      </c>
      <c r="B1444">
        <v>0.17</v>
      </c>
      <c r="C1444">
        <v>7358</v>
      </c>
      <c r="D1444" t="s">
        <v>129</v>
      </c>
      <c r="E1444" t="s">
        <v>53</v>
      </c>
      <c r="F1444" t="s">
        <v>53</v>
      </c>
      <c r="G1444">
        <v>4</v>
      </c>
      <c r="H1444" t="s">
        <v>54</v>
      </c>
      <c r="I1444">
        <v>142400</v>
      </c>
      <c r="J1444">
        <v>39100</v>
      </c>
      <c r="K1444">
        <v>0.17</v>
      </c>
      <c r="L144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44">
        <v>0</v>
      </c>
      <c r="N1444">
        <v>0</v>
      </c>
      <c r="O1444">
        <v>0</v>
      </c>
      <c r="P1444">
        <v>13398.7528</v>
      </c>
      <c r="Q1444">
        <v>63903</v>
      </c>
      <c r="R1444">
        <f>(Grandview_Inventory[[#This Row],[ln_acres]]*Grandview_Inventory[[#This Row],[coeff]])+Grandview_Inventory[[#This Row],[const]]</f>
        <v>40160.988302686128</v>
      </c>
      <c r="S1444" t="s">
        <v>85</v>
      </c>
      <c r="T1444">
        <v>1</v>
      </c>
      <c r="U1444" t="s">
        <v>65</v>
      </c>
      <c r="V1444" t="s">
        <v>69</v>
      </c>
      <c r="W1444">
        <v>0</v>
      </c>
      <c r="X1444">
        <v>0</v>
      </c>
      <c r="Y1444">
        <v>60</v>
      </c>
      <c r="Z1444">
        <v>108</v>
      </c>
      <c r="AA1444">
        <v>110</v>
      </c>
      <c r="AB1444">
        <v>2000</v>
      </c>
      <c r="AC1444">
        <v>1625</v>
      </c>
      <c r="AD1444">
        <v>1625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5</v>
      </c>
      <c r="AQ1444">
        <v>0</v>
      </c>
      <c r="AR1444">
        <v>0</v>
      </c>
      <c r="AS1444" t="s">
        <v>58</v>
      </c>
      <c r="AT1444">
        <v>1</v>
      </c>
      <c r="AU1444" t="s">
        <v>63</v>
      </c>
      <c r="AV1444" t="s">
        <v>64</v>
      </c>
      <c r="AW1444">
        <v>0</v>
      </c>
      <c r="AX1444">
        <v>3</v>
      </c>
      <c r="AY1444">
        <v>0</v>
      </c>
      <c r="AZ1444">
        <v>9000</v>
      </c>
      <c r="BA1444">
        <v>100</v>
      </c>
      <c r="BB1444">
        <v>100</v>
      </c>
      <c r="BC1444">
        <v>100</v>
      </c>
      <c r="BD1444">
        <v>100</v>
      </c>
      <c r="BE1444">
        <v>1</v>
      </c>
      <c r="BF1444">
        <v>15000</v>
      </c>
      <c r="BG1444">
        <v>1000</v>
      </c>
      <c r="BH1444" s="6">
        <f>Grandview_Inventory[[#This Row],[land_extract]]*Lookups!$B$3</f>
        <v>46638.847281240982</v>
      </c>
      <c r="BI1444" s="6">
        <f>IF(Grandview_Inventory[[#This Row],[bldg_style]]="",0,Lookups!$B$2)</f>
        <v>155833.95000000001</v>
      </c>
      <c r="BJ1444" s="6">
        <f>_xlfn.IFNA(VLOOKUP(Grandview_Inventory[[#This Row],[quality]],Lookups!$H$2:$J$14,3,FALSE),0)</f>
        <v>2251</v>
      </c>
      <c r="BK1444" s="6">
        <f>_xlfn.IFNA(VLOOKUP(Grandview_Inventory[[#This Row],[condition]],Lookups!$H$17:$J$24,3,FALSE),0)</f>
        <v>-4503</v>
      </c>
      <c r="BL1444" s="6">
        <f>Grandview_Inventory[[#This Row],[Eff_Age]]*Lookups!$B$14</f>
        <v>-14349.995999999999</v>
      </c>
      <c r="BM1444" s="6">
        <f>Grandview_Inventory[[#This Row],[living_area]]*Lookups!$B$15</f>
        <v>101368.886125</v>
      </c>
      <c r="BN1444" s="6">
        <f>Grandview_Inventory[[#This Row],[Fin BSMT]]*Lookups!$B$16</f>
        <v>0</v>
      </c>
      <c r="BO1444" s="6">
        <f>(Grandview_Inventory[[#This Row],[att_gar]]+Grandview_Inventory[[#This Row],[bltin_gar]])*Lookups!$B$17</f>
        <v>0</v>
      </c>
      <c r="BP1444" s="6">
        <f>Grandview_Inventory[[#This Row],[Plumbing Fixtures]]*Lookups!$B$18</f>
        <v>10052.209000000001</v>
      </c>
      <c r="BQ1444" s="6">
        <f>Grandview_Inventory[[#This Row],[detatched_value]]*Lookups!$B$19</f>
        <v>7621.2458999999999</v>
      </c>
      <c r="BR1444" s="6">
        <f>SUM(Grandview_Inventory[[#This Row],[Intercept]:[det_value]])*Grandview_Inventory[[#This Row],[res_pct]]</f>
        <v>258274.29502500006</v>
      </c>
      <c r="BS1444" s="6">
        <f>Grandview_Inventory[[#This Row],[land_value]]</f>
        <v>46638.847281240982</v>
      </c>
      <c r="BT1444" s="4">
        <f>_xlfn.IFNA(VLOOKUP(Grandview_Inventory[[#This Row],[quality]],Lookups!$A$26:$C$33,3,FALSE),1)</f>
        <v>0.98763855981004833</v>
      </c>
      <c r="BU1444" s="4">
        <f>_xlfn.IFNA(VLOOKUP(Grandview_Inventory[[#This Row],[condition]],Lookups!$A$37:$C$44,3,FALSE),1)</f>
        <v>0.96469275950863709</v>
      </c>
      <c r="BV1444" s="4">
        <f>IF(Grandview_Inventory[[#This Row],[bldg_style]]="",1,_xlfn.IFNA(VLOOKUP(Grandview_Inventory[[#This Row],[decade]],Lookups!$F$29:$H$43,3,FALSE),1))</f>
        <v>0.92255236374249616</v>
      </c>
      <c r="BW1444" s="4">
        <f>_xlfn.IFNA(VLOOKUP(Grandview_Inventory[[#This Row],[living_area_range]],Lookups!$F$47:$H$56,3,FALSE),1)</f>
        <v>0.96120133463014379</v>
      </c>
      <c r="BX1444" s="4">
        <f>AVERAGE(Grandview_Inventory[[#This Row],[qual_adj]:[size_adj]])</f>
        <v>0.95902125442283137</v>
      </c>
      <c r="BY1444" s="6">
        <f>IF(Grandview_Inventory[[#This Row],[pre_res]]&lt;0,0,Grandview_Inventory[[#This Row],[pre_res]]*Grandview_Inventory[[#This Row],[overall_adj]])</f>
        <v>247690.53840004798</v>
      </c>
      <c r="BZ1444" s="6">
        <f>(Grandview_Inventory[[#This Row],[sum_land]]-IF(Grandview_Inventory[[#This Row],[no_utilities]]=1,12000,0))/IF(Grandview_Inventory[[#This Row],[unbuildable]]=1,2,1)</f>
        <v>46638.847281240982</v>
      </c>
      <c r="CA144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44">
        <f>ROUND(Grandview_Inventory[[#This Row],[det_value]]*Lookups!$M$28,-2)</f>
        <v>7200</v>
      </c>
      <c r="CC1444">
        <f>IF(ROUND(Grandview_Inventory[[#This Row],[adj_res]]*Lookups!$M$28,-2)&lt;Grandview_Inventory[[#This Row],[min_res]],Grandview_Inventory[[#This Row],[min_res]],ROUND(Grandview_Inventory[[#This Row],[adj_res]]*Lookups!$M$28,-2))</f>
        <v>235300</v>
      </c>
      <c r="CD1444">
        <f>Grandview_Inventory[[#This Row],[final_det]]+Grandview_Inventory[[#This Row],[final_res]]</f>
        <v>242500</v>
      </c>
      <c r="CE1444">
        <f>Grandview_Inventory[[#This Row],[final_land]]+Grandview_Inventory[[#This Row],[final_imp]]+Grandview_Inventory[[#This Row],[crop_value]]</f>
        <v>286800</v>
      </c>
      <c r="CG1444" t="str">
        <f t="shared" si="22"/>
        <v>update valuation set market_land =44300, market_bldg=242500, market_total =286800, market_mdno =401, market_date ='9/10/2023' where link_id = (select link_id from parcel where parcel_year = '2024' and parcel_id = '23092323439');</v>
      </c>
    </row>
    <row r="1445" spans="1:85" x14ac:dyDescent="0.25">
      <c r="A1445">
        <v>23092323440</v>
      </c>
      <c r="B1445">
        <v>0.28000000000000003</v>
      </c>
      <c r="C1445">
        <v>12160</v>
      </c>
      <c r="D1445" t="s">
        <v>129</v>
      </c>
      <c r="E1445" t="s">
        <v>53</v>
      </c>
      <c r="F1445" t="s">
        <v>53</v>
      </c>
      <c r="G1445">
        <v>4</v>
      </c>
      <c r="H1445" t="s">
        <v>54</v>
      </c>
      <c r="I1445">
        <v>188800</v>
      </c>
      <c r="J1445">
        <v>40700</v>
      </c>
      <c r="K1445">
        <v>0.28000000000000003</v>
      </c>
      <c r="L1445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445">
        <v>0</v>
      </c>
      <c r="N1445">
        <v>0</v>
      </c>
      <c r="O1445">
        <v>0</v>
      </c>
      <c r="P1445">
        <v>13398.7528</v>
      </c>
      <c r="Q1445">
        <v>63903</v>
      </c>
      <c r="R1445">
        <f>(Grandview_Inventory[[#This Row],[ln_acres]]*Grandview_Inventory[[#This Row],[coeff]])+Grandview_Inventory[[#This Row],[const]]</f>
        <v>46846.847586898184</v>
      </c>
      <c r="S1445" t="s">
        <v>85</v>
      </c>
      <c r="T1445">
        <v>2</v>
      </c>
      <c r="U1445" t="s">
        <v>65</v>
      </c>
      <c r="V1445" t="s">
        <v>69</v>
      </c>
      <c r="W1445">
        <v>0</v>
      </c>
      <c r="X1445">
        <v>0</v>
      </c>
      <c r="Y1445">
        <v>53</v>
      </c>
      <c r="Z1445">
        <v>93</v>
      </c>
      <c r="AA1445">
        <v>100</v>
      </c>
      <c r="AB1445">
        <v>2000</v>
      </c>
      <c r="AC1445">
        <v>1876</v>
      </c>
      <c r="AD1445">
        <v>1120</v>
      </c>
      <c r="AE1445">
        <v>756</v>
      </c>
      <c r="AF1445">
        <v>0</v>
      </c>
      <c r="AG1445">
        <v>0</v>
      </c>
      <c r="AH1445">
        <v>373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144</v>
      </c>
      <c r="AO1445">
        <v>0</v>
      </c>
      <c r="AP1445">
        <v>7</v>
      </c>
      <c r="AQ1445">
        <v>0</v>
      </c>
      <c r="AR1445">
        <v>0</v>
      </c>
      <c r="AS1445" t="s">
        <v>58</v>
      </c>
      <c r="AT1445">
        <v>1</v>
      </c>
      <c r="AU1445" t="s">
        <v>63</v>
      </c>
      <c r="AV1445" t="s">
        <v>64</v>
      </c>
      <c r="AW1445">
        <v>0</v>
      </c>
      <c r="AX1445">
        <v>3</v>
      </c>
      <c r="AY1445">
        <v>0</v>
      </c>
      <c r="AZ1445">
        <v>42300</v>
      </c>
      <c r="BA1445">
        <v>100</v>
      </c>
      <c r="BB1445">
        <v>100</v>
      </c>
      <c r="BC1445">
        <v>100</v>
      </c>
      <c r="BD1445">
        <v>100</v>
      </c>
      <c r="BE1445">
        <v>1</v>
      </c>
      <c r="BF1445">
        <v>15000</v>
      </c>
      <c r="BG1445">
        <v>1000</v>
      </c>
      <c r="BH1445" s="6">
        <f>Grandview_Inventory[[#This Row],[land_extract]]*Lookups!$B$3</f>
        <v>54403.117616176372</v>
      </c>
      <c r="BI1445" s="6">
        <f>IF(Grandview_Inventory[[#This Row],[bldg_style]]="",0,Lookups!$B$2)</f>
        <v>155833.95000000001</v>
      </c>
      <c r="BJ1445" s="6">
        <f>_xlfn.IFNA(VLOOKUP(Grandview_Inventory[[#This Row],[quality]],Lookups!$H$2:$J$14,3,FALSE),0)</f>
        <v>2251</v>
      </c>
      <c r="BK1445" s="6">
        <f>_xlfn.IFNA(VLOOKUP(Grandview_Inventory[[#This Row],[condition]],Lookups!$H$17:$J$24,3,FALSE),0)</f>
        <v>-4503</v>
      </c>
      <c r="BL1445" s="6">
        <f>Grandview_Inventory[[#This Row],[Eff_Age]]*Lookups!$B$14</f>
        <v>-12675.8298</v>
      </c>
      <c r="BM1445" s="6">
        <f>Grandview_Inventory[[#This Row],[living_area]]*Lookups!$B$15</f>
        <v>117026.480228</v>
      </c>
      <c r="BN1445" s="6">
        <f>Grandview_Inventory[[#This Row],[Fin BSMT]]*Lookups!$B$16</f>
        <v>0</v>
      </c>
      <c r="BO1445" s="6">
        <f>(Grandview_Inventory[[#This Row],[att_gar]]+Grandview_Inventory[[#This Row],[bltin_gar]])*Lookups!$B$17</f>
        <v>0</v>
      </c>
      <c r="BP1445" s="6">
        <f>Grandview_Inventory[[#This Row],[Plumbing Fixtures]]*Lookups!$B$18</f>
        <v>14073.0926</v>
      </c>
      <c r="BQ1445" s="6">
        <f>Grandview_Inventory[[#This Row],[detatched_value]]*Lookups!$B$19</f>
        <v>35819.855729999996</v>
      </c>
      <c r="BR1445" s="6">
        <f>SUM(Grandview_Inventory[[#This Row],[Intercept]:[det_value]])*Grandview_Inventory[[#This Row],[res_pct]]</f>
        <v>307825.54875800002</v>
      </c>
      <c r="BS1445" s="6">
        <f>Grandview_Inventory[[#This Row],[land_value]]</f>
        <v>54403.117616176372</v>
      </c>
      <c r="BT1445" s="4">
        <f>_xlfn.IFNA(VLOOKUP(Grandview_Inventory[[#This Row],[quality]],Lookups!$A$26:$C$33,3,FALSE),1)</f>
        <v>0.98763855981004833</v>
      </c>
      <c r="BU1445" s="4">
        <f>_xlfn.IFNA(VLOOKUP(Grandview_Inventory[[#This Row],[condition]],Lookups!$A$37:$C$44,3,FALSE),1)</f>
        <v>0.96469275950863709</v>
      </c>
      <c r="BV1445" s="4">
        <f>IF(Grandview_Inventory[[#This Row],[bldg_style]]="",1,_xlfn.IFNA(VLOOKUP(Grandview_Inventory[[#This Row],[decade]],Lookups!$F$29:$H$43,3,FALSE),1))</f>
        <v>0.95244691841736806</v>
      </c>
      <c r="BW1445" s="4">
        <f>_xlfn.IFNA(VLOOKUP(Grandview_Inventory[[#This Row],[living_area_range]],Lookups!$F$47:$H$56,3,FALSE),1)</f>
        <v>0.96120133463014379</v>
      </c>
      <c r="BX1445" s="4">
        <f>AVERAGE(Grandview_Inventory[[#This Row],[qual_adj]:[size_adj]])</f>
        <v>0.96649489309154935</v>
      </c>
      <c r="BY1445" s="6">
        <f>IF(Grandview_Inventory[[#This Row],[pre_res]]&lt;0,0,Grandview_Inventory[[#This Row],[pre_res]]*Grandview_Inventory[[#This Row],[overall_adj]])</f>
        <v>297511.82083771075</v>
      </c>
      <c r="BZ1445" s="6">
        <f>(Grandview_Inventory[[#This Row],[sum_land]]-IF(Grandview_Inventory[[#This Row],[no_utilities]]=1,12000,0))/IF(Grandview_Inventory[[#This Row],[unbuildable]]=1,2,1)</f>
        <v>54403.117616176372</v>
      </c>
      <c r="CA1445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445">
        <f>ROUND(Grandview_Inventory[[#This Row],[det_value]]*Lookups!$M$28,-2)</f>
        <v>34000</v>
      </c>
      <c r="CC1445">
        <f>IF(ROUND(Grandview_Inventory[[#This Row],[adj_res]]*Lookups!$M$28,-2)&lt;Grandview_Inventory[[#This Row],[min_res]],Grandview_Inventory[[#This Row],[min_res]],ROUND(Grandview_Inventory[[#This Row],[adj_res]]*Lookups!$M$28,-2))</f>
        <v>282600</v>
      </c>
      <c r="CD1445">
        <f>Grandview_Inventory[[#This Row],[final_det]]+Grandview_Inventory[[#This Row],[final_res]]</f>
        <v>316600</v>
      </c>
      <c r="CE1445">
        <f>Grandview_Inventory[[#This Row],[final_land]]+Grandview_Inventory[[#This Row],[final_imp]]+Grandview_Inventory[[#This Row],[crop_value]]</f>
        <v>368300</v>
      </c>
      <c r="CG1445" t="str">
        <f t="shared" si="22"/>
        <v>update valuation set market_land =51700, market_bldg=316600, market_total =368300, market_mdno =401, market_date ='9/10/2023' where link_id = (select link_id from parcel where parcel_year = '2024' and parcel_id = '23092323440');</v>
      </c>
    </row>
    <row r="1446" spans="1:85" x14ac:dyDescent="0.25">
      <c r="A1446">
        <v>23092323442</v>
      </c>
      <c r="B1446">
        <v>0.17</v>
      </c>
      <c r="C1446">
        <v>7436</v>
      </c>
      <c r="D1446" t="s">
        <v>129</v>
      </c>
      <c r="E1446" t="s">
        <v>53</v>
      </c>
      <c r="F1446" t="s">
        <v>53</v>
      </c>
      <c r="G1446">
        <v>4</v>
      </c>
      <c r="H1446" t="s">
        <v>54</v>
      </c>
      <c r="I1446">
        <v>65700</v>
      </c>
      <c r="J1446">
        <v>39300</v>
      </c>
      <c r="K1446">
        <v>0.17</v>
      </c>
      <c r="L144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46">
        <v>0</v>
      </c>
      <c r="N1446">
        <v>0</v>
      </c>
      <c r="O1446">
        <v>0</v>
      </c>
      <c r="P1446">
        <v>13398.7528</v>
      </c>
      <c r="Q1446">
        <v>63903</v>
      </c>
      <c r="R1446">
        <f>(Grandview_Inventory[[#This Row],[ln_acres]]*Grandview_Inventory[[#This Row],[coeff]])+Grandview_Inventory[[#This Row],[const]]</f>
        <v>40160.988302686128</v>
      </c>
      <c r="S1446" t="s">
        <v>61</v>
      </c>
      <c r="T1446">
        <v>1</v>
      </c>
      <c r="U1446" t="s">
        <v>80</v>
      </c>
      <c r="V1446" t="s">
        <v>94</v>
      </c>
      <c r="W1446">
        <v>0</v>
      </c>
      <c r="X1446">
        <v>0</v>
      </c>
      <c r="Y1446">
        <v>44</v>
      </c>
      <c r="Z1446">
        <v>48</v>
      </c>
      <c r="AA1446">
        <v>50</v>
      </c>
      <c r="AB1446">
        <v>1000</v>
      </c>
      <c r="AC1446">
        <v>984</v>
      </c>
      <c r="AD1446">
        <v>984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345</v>
      </c>
      <c r="AL1446">
        <v>0</v>
      </c>
      <c r="AM1446">
        <v>224</v>
      </c>
      <c r="AN1446">
        <v>0</v>
      </c>
      <c r="AO1446">
        <v>380</v>
      </c>
      <c r="AP1446">
        <v>5</v>
      </c>
      <c r="AQ1446">
        <v>0</v>
      </c>
      <c r="AR1446">
        <v>0</v>
      </c>
      <c r="AS1446" t="s">
        <v>137</v>
      </c>
      <c r="AT1446">
        <v>1</v>
      </c>
      <c r="AU1446" t="s">
        <v>63</v>
      </c>
      <c r="AV1446" t="s">
        <v>64</v>
      </c>
      <c r="AW1446">
        <v>1</v>
      </c>
      <c r="AX1446">
        <v>1</v>
      </c>
      <c r="AY1446">
        <v>0</v>
      </c>
      <c r="AZ1446">
        <v>0</v>
      </c>
      <c r="BA1446">
        <v>100</v>
      </c>
      <c r="BB1446">
        <v>100</v>
      </c>
      <c r="BC1446">
        <v>100</v>
      </c>
      <c r="BD1446">
        <v>100</v>
      </c>
      <c r="BE1446">
        <v>1</v>
      </c>
      <c r="BF1446">
        <v>15000</v>
      </c>
      <c r="BG1446">
        <v>1000</v>
      </c>
      <c r="BH1446" s="6">
        <f>Grandview_Inventory[[#This Row],[land_extract]]*Lookups!$B$3</f>
        <v>46638.847281240982</v>
      </c>
      <c r="BI1446" s="6">
        <f>IF(Grandview_Inventory[[#This Row],[bldg_style]]="",0,Lookups!$B$2)</f>
        <v>155833.95000000001</v>
      </c>
      <c r="BJ1446" s="6">
        <f>_xlfn.IFNA(VLOOKUP(Grandview_Inventory[[#This Row],[quality]],Lookups!$H$2:$J$14,3,FALSE),0)</f>
        <v>-28558</v>
      </c>
      <c r="BK1446" s="6">
        <f>_xlfn.IFNA(VLOOKUP(Grandview_Inventory[[#This Row],[condition]],Lookups!$H$17:$J$24,3,FALSE),0)</f>
        <v>-77566.475205170951</v>
      </c>
      <c r="BL1446" s="6">
        <f>Grandview_Inventory[[#This Row],[Eff_Age]]*Lookups!$B$14</f>
        <v>-10523.330399999999</v>
      </c>
      <c r="BM1446" s="6">
        <f>Grandview_Inventory[[#This Row],[living_area]]*Lookups!$B$15</f>
        <v>61382.759352000001</v>
      </c>
      <c r="BN1446" s="6">
        <f>Grandview_Inventory[[#This Row],[Fin BSMT]]*Lookups!$B$16</f>
        <v>0</v>
      </c>
      <c r="BO1446" s="6">
        <f>(Grandview_Inventory[[#This Row],[att_gar]]+Grandview_Inventory[[#This Row],[bltin_gar]])*Lookups!$B$17</f>
        <v>0</v>
      </c>
      <c r="BP1446" s="6">
        <f>Grandview_Inventory[[#This Row],[Plumbing Fixtures]]*Lookups!$B$18</f>
        <v>10052.209000000001</v>
      </c>
      <c r="BQ1446" s="6">
        <f>Grandview_Inventory[[#This Row],[detatched_value]]*Lookups!$B$19</f>
        <v>0</v>
      </c>
      <c r="BR1446" s="6">
        <f>SUM(Grandview_Inventory[[#This Row],[Intercept]:[det_value]])*Grandview_Inventory[[#This Row],[res_pct]]</f>
        <v>110621.11274682907</v>
      </c>
      <c r="BS1446" s="6">
        <f>Grandview_Inventory[[#This Row],[land_value]]</f>
        <v>46638.847281240982</v>
      </c>
      <c r="BT1446" s="4">
        <f>_xlfn.IFNA(VLOOKUP(Grandview_Inventory[[#This Row],[quality]],Lookups!$A$26:$C$33,3,FALSE),1)</f>
        <v>0.9690360070159818</v>
      </c>
      <c r="BU1446" s="4">
        <f>_xlfn.IFNA(VLOOKUP(Grandview_Inventory[[#This Row],[condition]],Lookups!$A$37:$C$44,3,FALSE),1)</f>
        <v>0.97161819570155394</v>
      </c>
      <c r="BV1446" s="4">
        <f>IF(Grandview_Inventory[[#This Row],[bldg_style]]="",1,_xlfn.IFNA(VLOOKUP(Grandview_Inventory[[#This Row],[decade]],Lookups!$F$29:$H$43,3,FALSE),1))</f>
        <v>0.9871940091910919</v>
      </c>
      <c r="BW1446" s="4">
        <f>_xlfn.IFNA(VLOOKUP(Grandview_Inventory[[#This Row],[living_area_range]],Lookups!$F$47:$H$56,3,FALSE),1)</f>
        <v>0.94306777142782894</v>
      </c>
      <c r="BX1446" s="4">
        <f>AVERAGE(Grandview_Inventory[[#This Row],[qual_adj]:[size_adj]])</f>
        <v>0.96772899583411409</v>
      </c>
      <c r="BY1446" s="6">
        <f>IF(Grandview_Inventory[[#This Row],[pre_res]]&lt;0,0,Grandview_Inventory[[#This Row],[pre_res]]*Grandview_Inventory[[#This Row],[overall_adj]])</f>
        <v>107051.25835654121</v>
      </c>
      <c r="BZ1446" s="6">
        <f>(Grandview_Inventory[[#This Row],[sum_land]]-IF(Grandview_Inventory[[#This Row],[no_utilities]]=1,12000,0))/IF(Grandview_Inventory[[#This Row],[unbuildable]]=1,2,1)</f>
        <v>46638.847281240982</v>
      </c>
      <c r="CA144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46">
        <f>ROUND(Grandview_Inventory[[#This Row],[det_value]]*Lookups!$M$28,-2)</f>
        <v>0</v>
      </c>
      <c r="CC1446">
        <f>IF(ROUND(Grandview_Inventory[[#This Row],[adj_res]]*Lookups!$M$28,-2)&lt;Grandview_Inventory[[#This Row],[min_res]],Grandview_Inventory[[#This Row],[min_res]],ROUND(Grandview_Inventory[[#This Row],[adj_res]]*Lookups!$M$28,-2))</f>
        <v>101700</v>
      </c>
      <c r="CD1446">
        <f>Grandview_Inventory[[#This Row],[final_det]]+Grandview_Inventory[[#This Row],[final_res]]</f>
        <v>101700</v>
      </c>
      <c r="CE1446">
        <f>Grandview_Inventory[[#This Row],[final_land]]+Grandview_Inventory[[#This Row],[final_imp]]+Grandview_Inventory[[#This Row],[crop_value]]</f>
        <v>146000</v>
      </c>
      <c r="CG1446" t="str">
        <f t="shared" si="22"/>
        <v>update valuation set market_land =44300, market_bldg=101700, market_total =146000, market_mdno =401, market_date ='9/10/2023' where link_id = (select link_id from parcel where parcel_year = '2024' and parcel_id = '23092323442');</v>
      </c>
    </row>
    <row r="1447" spans="1:85" x14ac:dyDescent="0.25">
      <c r="A1447">
        <v>23092323443</v>
      </c>
      <c r="B1447">
        <v>0.19</v>
      </c>
      <c r="C1447">
        <v>8345</v>
      </c>
      <c r="D1447" t="s">
        <v>129</v>
      </c>
      <c r="E1447" t="s">
        <v>53</v>
      </c>
      <c r="F1447" t="s">
        <v>53</v>
      </c>
      <c r="G1447">
        <v>4</v>
      </c>
      <c r="H1447" t="s">
        <v>54</v>
      </c>
      <c r="I1447">
        <v>134100</v>
      </c>
      <c r="J1447">
        <v>39700</v>
      </c>
      <c r="K1447">
        <v>0.19</v>
      </c>
      <c r="L144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47">
        <v>0</v>
      </c>
      <c r="N1447">
        <v>0</v>
      </c>
      <c r="O1447">
        <v>0</v>
      </c>
      <c r="P1447">
        <v>13398.7528</v>
      </c>
      <c r="Q1447">
        <v>63903</v>
      </c>
      <c r="R1447">
        <f>(Grandview_Inventory[[#This Row],[ln_acres]]*Grandview_Inventory[[#This Row],[coeff]])+Grandview_Inventory[[#This Row],[const]]</f>
        <v>41651.273092551026</v>
      </c>
      <c r="S1447" t="s">
        <v>68</v>
      </c>
      <c r="T1447">
        <v>1</v>
      </c>
      <c r="U1447" t="s">
        <v>70</v>
      </c>
      <c r="V1447" t="s">
        <v>69</v>
      </c>
      <c r="W1447">
        <v>0</v>
      </c>
      <c r="X1447">
        <v>0</v>
      </c>
      <c r="Y1447">
        <v>49</v>
      </c>
      <c r="Z1447">
        <v>69</v>
      </c>
      <c r="AA1447">
        <v>70</v>
      </c>
      <c r="AB1447">
        <v>1500</v>
      </c>
      <c r="AC1447">
        <v>1310</v>
      </c>
      <c r="AD1447">
        <v>1008</v>
      </c>
      <c r="AE1447">
        <v>0</v>
      </c>
      <c r="AF1447">
        <v>0</v>
      </c>
      <c r="AG1447">
        <v>302</v>
      </c>
      <c r="AH1447">
        <v>706</v>
      </c>
      <c r="AI1447">
        <v>0</v>
      </c>
      <c r="AJ1447">
        <v>0</v>
      </c>
      <c r="AK1447">
        <v>0</v>
      </c>
      <c r="AL1447">
        <v>72</v>
      </c>
      <c r="AM1447">
        <v>0</v>
      </c>
      <c r="AN1447">
        <v>64</v>
      </c>
      <c r="AO1447">
        <v>0</v>
      </c>
      <c r="AP1447">
        <v>5</v>
      </c>
      <c r="AQ1447">
        <v>0</v>
      </c>
      <c r="AR1447">
        <v>0</v>
      </c>
      <c r="AS1447" t="s">
        <v>58</v>
      </c>
      <c r="AT1447">
        <v>1</v>
      </c>
      <c r="AU1447" t="s">
        <v>75</v>
      </c>
      <c r="AV1447" t="s">
        <v>60</v>
      </c>
      <c r="AW1447">
        <v>0</v>
      </c>
      <c r="AX1447">
        <v>2</v>
      </c>
      <c r="AY1447">
        <v>0</v>
      </c>
      <c r="AZ1447">
        <v>6400</v>
      </c>
      <c r="BA1447">
        <v>100</v>
      </c>
      <c r="BB1447">
        <v>100</v>
      </c>
      <c r="BC1447">
        <v>100</v>
      </c>
      <c r="BD1447">
        <v>100</v>
      </c>
      <c r="BE1447">
        <v>1</v>
      </c>
      <c r="BF1447">
        <v>15000</v>
      </c>
      <c r="BG1447">
        <v>1000</v>
      </c>
      <c r="BH1447" s="6">
        <f>Grandview_Inventory[[#This Row],[land_extract]]*Lookups!$B$3</f>
        <v>48369.510983942157</v>
      </c>
      <c r="BI1447" s="6">
        <f>IF(Grandview_Inventory[[#This Row],[bldg_style]]="",0,Lookups!$B$2)</f>
        <v>155833.95000000001</v>
      </c>
      <c r="BJ1447" s="6">
        <f>_xlfn.IFNA(VLOOKUP(Grandview_Inventory[[#This Row],[quality]],Lookups!$H$2:$J$14,3,FALSE),0)</f>
        <v>10733</v>
      </c>
      <c r="BK1447" s="6">
        <f>_xlfn.IFNA(VLOOKUP(Grandview_Inventory[[#This Row],[condition]],Lookups!$H$17:$J$24,3,FALSE),0)</f>
        <v>-4503</v>
      </c>
      <c r="BL1447" s="6">
        <f>Grandview_Inventory[[#This Row],[Eff_Age]]*Lookups!$B$14</f>
        <v>-11719.163399999999</v>
      </c>
      <c r="BM1447" s="6">
        <f>Grandview_Inventory[[#This Row],[living_area]]*Lookups!$B$15</f>
        <v>81718.917430000001</v>
      </c>
      <c r="BN1447" s="6">
        <f>Grandview_Inventory[[#This Row],[Fin BSMT]]*Lookups!$B$16</f>
        <v>-8183.9704800000009</v>
      </c>
      <c r="BO1447" s="6">
        <f>(Grandview_Inventory[[#This Row],[att_gar]]+Grandview_Inventory[[#This Row],[bltin_gar]])*Lookups!$B$17</f>
        <v>0</v>
      </c>
      <c r="BP1447" s="6">
        <f>Grandview_Inventory[[#This Row],[Plumbing Fixtures]]*Lookups!$B$18</f>
        <v>10052.209000000001</v>
      </c>
      <c r="BQ1447" s="6">
        <f>Grandview_Inventory[[#This Row],[detatched_value]]*Lookups!$B$19</f>
        <v>5419.5526399999999</v>
      </c>
      <c r="BR1447" s="6">
        <f>SUM(Grandview_Inventory[[#This Row],[Intercept]:[det_value]])*Grandview_Inventory[[#This Row],[res_pct]]</f>
        <v>239351.49519000005</v>
      </c>
      <c r="BS1447" s="6">
        <f>Grandview_Inventory[[#This Row],[land_value]]</f>
        <v>48369.510983942157</v>
      </c>
      <c r="BT1447" s="4">
        <f>_xlfn.IFNA(VLOOKUP(Grandview_Inventory[[#This Row],[quality]],Lookups!$A$26:$C$33,3,FALSE),1)</f>
        <v>0.98079741117310582</v>
      </c>
      <c r="BU1447" s="4">
        <f>_xlfn.IFNA(VLOOKUP(Grandview_Inventory[[#This Row],[condition]],Lookups!$A$37:$C$44,3,FALSE),1)</f>
        <v>0.96469275950863709</v>
      </c>
      <c r="BV1447" s="4">
        <f>IF(Grandview_Inventory[[#This Row],[bldg_style]]="",1,_xlfn.IFNA(VLOOKUP(Grandview_Inventory[[#This Row],[decade]],Lookups!$F$29:$H$43,3,FALSE),1))</f>
        <v>0.99472141305414818</v>
      </c>
      <c r="BW1447" s="4">
        <f>_xlfn.IFNA(VLOOKUP(Grandview_Inventory[[#This Row],[living_area_range]],Lookups!$F$47:$H$56,3,FALSE),1)</f>
        <v>0.96135087979789358</v>
      </c>
      <c r="BX1447" s="4">
        <f>AVERAGE(Grandview_Inventory[[#This Row],[qual_adj]:[size_adj]])</f>
        <v>0.97539061588344622</v>
      </c>
      <c r="BY1447" s="6">
        <f>IF(Grandview_Inventory[[#This Row],[pre_res]]&lt;0,0,Grandview_Inventory[[#This Row],[pre_res]]*Grandview_Inventory[[#This Row],[overall_adj]])</f>
        <v>233461.20230599787</v>
      </c>
      <c r="BZ1447" s="6">
        <f>(Grandview_Inventory[[#This Row],[sum_land]]-IF(Grandview_Inventory[[#This Row],[no_utilities]]=1,12000,0))/IF(Grandview_Inventory[[#This Row],[unbuildable]]=1,2,1)</f>
        <v>48369.510983942157</v>
      </c>
      <c r="CA144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47">
        <f>ROUND(Grandview_Inventory[[#This Row],[det_value]]*Lookups!$M$28,-2)</f>
        <v>5100</v>
      </c>
      <c r="CC1447">
        <f>IF(ROUND(Grandview_Inventory[[#This Row],[adj_res]]*Lookups!$M$28,-2)&lt;Grandview_Inventory[[#This Row],[min_res]],Grandview_Inventory[[#This Row],[min_res]],ROUND(Grandview_Inventory[[#This Row],[adj_res]]*Lookups!$M$28,-2))</f>
        <v>221800</v>
      </c>
      <c r="CD1447">
        <f>Grandview_Inventory[[#This Row],[final_det]]+Grandview_Inventory[[#This Row],[final_res]]</f>
        <v>226900</v>
      </c>
      <c r="CE1447">
        <f>Grandview_Inventory[[#This Row],[final_land]]+Grandview_Inventory[[#This Row],[final_imp]]+Grandview_Inventory[[#This Row],[crop_value]]</f>
        <v>272900</v>
      </c>
      <c r="CG1447" t="str">
        <f t="shared" si="22"/>
        <v>update valuation set market_land =46000, market_bldg=226900, market_total =272900, market_mdno =401, market_date ='9/10/2023' where link_id = (select link_id from parcel where parcel_year = '2024' and parcel_id = '23092323443');</v>
      </c>
    </row>
    <row r="1448" spans="1:85" x14ac:dyDescent="0.25">
      <c r="A1448">
        <v>23092323444</v>
      </c>
      <c r="B1448">
        <v>0.17</v>
      </c>
      <c r="C1448">
        <v>7196</v>
      </c>
      <c r="D1448" t="s">
        <v>129</v>
      </c>
      <c r="E1448" t="s">
        <v>53</v>
      </c>
      <c r="F1448" t="s">
        <v>53</v>
      </c>
      <c r="G1448">
        <v>4</v>
      </c>
      <c r="H1448" t="s">
        <v>54</v>
      </c>
      <c r="I1448">
        <v>108500</v>
      </c>
      <c r="J1448">
        <v>39100</v>
      </c>
      <c r="K1448">
        <v>0.17</v>
      </c>
      <c r="L144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48">
        <v>0</v>
      </c>
      <c r="N1448">
        <v>0</v>
      </c>
      <c r="O1448">
        <v>0</v>
      </c>
      <c r="P1448">
        <v>13398.7528</v>
      </c>
      <c r="Q1448">
        <v>63903</v>
      </c>
      <c r="R1448">
        <f>(Grandview_Inventory[[#This Row],[ln_acres]]*Grandview_Inventory[[#This Row],[coeff]])+Grandview_Inventory[[#This Row],[const]]</f>
        <v>40160.988302686128</v>
      </c>
      <c r="S1448" t="s">
        <v>68</v>
      </c>
      <c r="T1448">
        <v>1</v>
      </c>
      <c r="U1448" t="s">
        <v>80</v>
      </c>
      <c r="V1448" t="s">
        <v>69</v>
      </c>
      <c r="W1448">
        <v>0</v>
      </c>
      <c r="X1448">
        <v>0</v>
      </c>
      <c r="Y1448">
        <v>52</v>
      </c>
      <c r="Z1448">
        <v>88</v>
      </c>
      <c r="AA1448">
        <v>90</v>
      </c>
      <c r="AB1448">
        <v>1000</v>
      </c>
      <c r="AC1448">
        <v>992</v>
      </c>
      <c r="AD1448">
        <v>992</v>
      </c>
      <c r="AE1448">
        <v>0</v>
      </c>
      <c r="AF1448">
        <v>0</v>
      </c>
      <c r="AG1448">
        <v>0</v>
      </c>
      <c r="AH1448">
        <v>295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50</v>
      </c>
      <c r="AO1448">
        <v>0</v>
      </c>
      <c r="AP1448">
        <v>5</v>
      </c>
      <c r="AQ1448">
        <v>0</v>
      </c>
      <c r="AR1448">
        <v>0</v>
      </c>
      <c r="AS1448" t="s">
        <v>58</v>
      </c>
      <c r="AT1448">
        <v>1</v>
      </c>
      <c r="AU1448" t="s">
        <v>63</v>
      </c>
      <c r="AV1448" t="s">
        <v>60</v>
      </c>
      <c r="AW1448">
        <v>0</v>
      </c>
      <c r="AX1448">
        <v>2</v>
      </c>
      <c r="AY1448">
        <v>0</v>
      </c>
      <c r="AZ1448">
        <v>6000</v>
      </c>
      <c r="BA1448">
        <v>100</v>
      </c>
      <c r="BB1448">
        <v>100</v>
      </c>
      <c r="BC1448">
        <v>100</v>
      </c>
      <c r="BD1448">
        <v>100</v>
      </c>
      <c r="BE1448">
        <v>1</v>
      </c>
      <c r="BF1448">
        <v>15000</v>
      </c>
      <c r="BG1448">
        <v>1000</v>
      </c>
      <c r="BH1448" s="6">
        <f>Grandview_Inventory[[#This Row],[land_extract]]*Lookups!$B$3</f>
        <v>46638.847281240982</v>
      </c>
      <c r="BI1448" s="6">
        <f>IF(Grandview_Inventory[[#This Row],[bldg_style]]="",0,Lookups!$B$2)</f>
        <v>155833.95000000001</v>
      </c>
      <c r="BJ1448" s="6">
        <f>_xlfn.IFNA(VLOOKUP(Grandview_Inventory[[#This Row],[quality]],Lookups!$H$2:$J$14,3,FALSE),0)</f>
        <v>-28558</v>
      </c>
      <c r="BK1448" s="6">
        <f>_xlfn.IFNA(VLOOKUP(Grandview_Inventory[[#This Row],[condition]],Lookups!$H$17:$J$24,3,FALSE),0)</f>
        <v>-4503</v>
      </c>
      <c r="BL1448" s="6">
        <f>Grandview_Inventory[[#This Row],[Eff_Age]]*Lookups!$B$14</f>
        <v>-12436.663199999999</v>
      </c>
      <c r="BM1448" s="6">
        <f>Grandview_Inventory[[#This Row],[living_area]]*Lookups!$B$15</f>
        <v>61881.806175999998</v>
      </c>
      <c r="BN1448" s="6">
        <f>Grandview_Inventory[[#This Row],[Fin BSMT]]*Lookups!$B$16</f>
        <v>0</v>
      </c>
      <c r="BO1448" s="6">
        <f>(Grandview_Inventory[[#This Row],[att_gar]]+Grandview_Inventory[[#This Row],[bltin_gar]])*Lookups!$B$17</f>
        <v>0</v>
      </c>
      <c r="BP1448" s="6">
        <f>Grandview_Inventory[[#This Row],[Plumbing Fixtures]]*Lookups!$B$18</f>
        <v>10052.209000000001</v>
      </c>
      <c r="BQ1448" s="6">
        <f>Grandview_Inventory[[#This Row],[detatched_value]]*Lookups!$B$19</f>
        <v>5080.8306000000002</v>
      </c>
      <c r="BR1448" s="6">
        <f>SUM(Grandview_Inventory[[#This Row],[Intercept]:[det_value]])*Grandview_Inventory[[#This Row],[res_pct]]</f>
        <v>187351.132576</v>
      </c>
      <c r="BS1448" s="6">
        <f>Grandview_Inventory[[#This Row],[land_value]]</f>
        <v>46638.847281240982</v>
      </c>
      <c r="BT1448" s="4">
        <f>_xlfn.IFNA(VLOOKUP(Grandview_Inventory[[#This Row],[quality]],Lookups!$A$26:$C$33,3,FALSE),1)</f>
        <v>0.9690360070159818</v>
      </c>
      <c r="BU1448" s="4">
        <f>_xlfn.IFNA(VLOOKUP(Grandview_Inventory[[#This Row],[condition]],Lookups!$A$37:$C$44,3,FALSE),1)</f>
        <v>0.96469275950863709</v>
      </c>
      <c r="BV1448" s="4">
        <f>IF(Grandview_Inventory[[#This Row],[bldg_style]]="",1,_xlfn.IFNA(VLOOKUP(Grandview_Inventory[[#This Row],[decade]],Lookups!$F$29:$H$43,3,FALSE),1))</f>
        <v>0.94161750052457416</v>
      </c>
      <c r="BW1448" s="4">
        <f>_xlfn.IFNA(VLOOKUP(Grandview_Inventory[[#This Row],[living_area_range]],Lookups!$F$47:$H$56,3,FALSE),1)</f>
        <v>0.94306777142782894</v>
      </c>
      <c r="BX1448" s="4">
        <f>AVERAGE(Grandview_Inventory[[#This Row],[qual_adj]:[size_adj]])</f>
        <v>0.95460350961925544</v>
      </c>
      <c r="BY1448" s="6">
        <f>IF(Grandview_Inventory[[#This Row],[pre_res]]&lt;0,0,Grandview_Inventory[[#This Row],[pre_res]]*Grandview_Inventory[[#This Row],[overall_adj]])</f>
        <v>178846.04868819201</v>
      </c>
      <c r="BZ1448" s="6">
        <f>(Grandview_Inventory[[#This Row],[sum_land]]-IF(Grandview_Inventory[[#This Row],[no_utilities]]=1,12000,0))/IF(Grandview_Inventory[[#This Row],[unbuildable]]=1,2,1)</f>
        <v>46638.847281240982</v>
      </c>
      <c r="CA144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48">
        <f>ROUND(Grandview_Inventory[[#This Row],[det_value]]*Lookups!$M$28,-2)</f>
        <v>4800</v>
      </c>
      <c r="CC1448">
        <f>IF(ROUND(Grandview_Inventory[[#This Row],[adj_res]]*Lookups!$M$28,-2)&lt;Grandview_Inventory[[#This Row],[min_res]],Grandview_Inventory[[#This Row],[min_res]],ROUND(Grandview_Inventory[[#This Row],[adj_res]]*Lookups!$M$28,-2))</f>
        <v>169900</v>
      </c>
      <c r="CD1448">
        <f>Grandview_Inventory[[#This Row],[final_det]]+Grandview_Inventory[[#This Row],[final_res]]</f>
        <v>174700</v>
      </c>
      <c r="CE1448">
        <f>Grandview_Inventory[[#This Row],[final_land]]+Grandview_Inventory[[#This Row],[final_imp]]+Grandview_Inventory[[#This Row],[crop_value]]</f>
        <v>219000</v>
      </c>
      <c r="CG1448" t="str">
        <f t="shared" si="22"/>
        <v>update valuation set market_land =44300, market_bldg=174700, market_total =219000, market_mdno =401, market_date ='9/10/2023' where link_id = (select link_id from parcel where parcel_year = '2024' and parcel_id = '23092323444');</v>
      </c>
    </row>
    <row r="1449" spans="1:85" x14ac:dyDescent="0.25">
      <c r="A1449">
        <v>23092323446</v>
      </c>
      <c r="B1449">
        <v>0.2</v>
      </c>
      <c r="C1449">
        <v>8666</v>
      </c>
      <c r="D1449" t="s">
        <v>129</v>
      </c>
      <c r="E1449" t="s">
        <v>53</v>
      </c>
      <c r="F1449" t="s">
        <v>53</v>
      </c>
      <c r="G1449">
        <v>4</v>
      </c>
      <c r="H1449" t="s">
        <v>54</v>
      </c>
      <c r="I1449">
        <v>124600</v>
      </c>
      <c r="J1449">
        <v>39800</v>
      </c>
      <c r="K1449">
        <v>0.2</v>
      </c>
      <c r="L144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449">
        <v>0</v>
      </c>
      <c r="N1449">
        <v>0</v>
      </c>
      <c r="O1449">
        <v>0</v>
      </c>
      <c r="P1449">
        <v>13398.7528</v>
      </c>
      <c r="Q1449">
        <v>63903</v>
      </c>
      <c r="R1449">
        <f>(Grandview_Inventory[[#This Row],[ln_acres]]*Grandview_Inventory[[#This Row],[coeff]])+Grandview_Inventory[[#This Row],[const]]</f>
        <v>42338.539264347448</v>
      </c>
      <c r="S1449" t="s">
        <v>68</v>
      </c>
      <c r="T1449">
        <v>1</v>
      </c>
      <c r="U1449" t="s">
        <v>80</v>
      </c>
      <c r="V1449" t="s">
        <v>69</v>
      </c>
      <c r="W1449">
        <v>0</v>
      </c>
      <c r="X1449">
        <v>0</v>
      </c>
      <c r="Y1449">
        <v>51</v>
      </c>
      <c r="Z1449">
        <v>83</v>
      </c>
      <c r="AA1449">
        <v>90</v>
      </c>
      <c r="AB1449">
        <v>1500</v>
      </c>
      <c r="AC1449">
        <v>1318</v>
      </c>
      <c r="AD1449">
        <v>1318</v>
      </c>
      <c r="AE1449">
        <v>0</v>
      </c>
      <c r="AF1449">
        <v>0</v>
      </c>
      <c r="AG1449">
        <v>0</v>
      </c>
      <c r="AH1449">
        <v>480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32</v>
      </c>
      <c r="AO1449">
        <v>0</v>
      </c>
      <c r="AP1449">
        <v>5</v>
      </c>
      <c r="AQ1449">
        <v>0</v>
      </c>
      <c r="AR1449">
        <v>0</v>
      </c>
      <c r="AS1449" t="s">
        <v>58</v>
      </c>
      <c r="AT1449">
        <v>1</v>
      </c>
      <c r="AU1449" t="s">
        <v>63</v>
      </c>
      <c r="AV1449" t="s">
        <v>64</v>
      </c>
      <c r="AW1449">
        <v>1</v>
      </c>
      <c r="AX1449">
        <v>3</v>
      </c>
      <c r="AY1449">
        <v>0</v>
      </c>
      <c r="AZ1449">
        <v>0</v>
      </c>
      <c r="BA1449">
        <v>100</v>
      </c>
      <c r="BB1449">
        <v>100</v>
      </c>
      <c r="BC1449">
        <v>100</v>
      </c>
      <c r="BD1449">
        <v>100</v>
      </c>
      <c r="BE1449">
        <v>1</v>
      </c>
      <c r="BF1449">
        <v>15000</v>
      </c>
      <c r="BG1449">
        <v>1000</v>
      </c>
      <c r="BH1449" s="6">
        <f>Grandview_Inventory[[#This Row],[land_extract]]*Lookups!$B$3</f>
        <v>49167.631333630678</v>
      </c>
      <c r="BI1449" s="6">
        <f>IF(Grandview_Inventory[[#This Row],[bldg_style]]="",0,Lookups!$B$2)</f>
        <v>155833.95000000001</v>
      </c>
      <c r="BJ1449" s="6">
        <f>_xlfn.IFNA(VLOOKUP(Grandview_Inventory[[#This Row],[quality]],Lookups!$H$2:$J$14,3,FALSE),0)</f>
        <v>-28558</v>
      </c>
      <c r="BK1449" s="6">
        <f>_xlfn.IFNA(VLOOKUP(Grandview_Inventory[[#This Row],[condition]],Lookups!$H$17:$J$24,3,FALSE),0)</f>
        <v>-4503</v>
      </c>
      <c r="BL1449" s="6">
        <f>Grandview_Inventory[[#This Row],[Eff_Age]]*Lookups!$B$14</f>
        <v>-12197.496599999999</v>
      </c>
      <c r="BM1449" s="6">
        <f>Grandview_Inventory[[#This Row],[living_area]]*Lookups!$B$15</f>
        <v>82217.964254000006</v>
      </c>
      <c r="BN1449" s="6">
        <f>Grandview_Inventory[[#This Row],[Fin BSMT]]*Lookups!$B$16</f>
        <v>0</v>
      </c>
      <c r="BO1449" s="6">
        <f>(Grandview_Inventory[[#This Row],[att_gar]]+Grandview_Inventory[[#This Row],[bltin_gar]])*Lookups!$B$17</f>
        <v>0</v>
      </c>
      <c r="BP1449" s="6">
        <f>Grandview_Inventory[[#This Row],[Plumbing Fixtures]]*Lookups!$B$18</f>
        <v>10052.209000000001</v>
      </c>
      <c r="BQ1449" s="6">
        <f>Grandview_Inventory[[#This Row],[detatched_value]]*Lookups!$B$19</f>
        <v>0</v>
      </c>
      <c r="BR1449" s="6">
        <f>SUM(Grandview_Inventory[[#This Row],[Intercept]:[det_value]])*Grandview_Inventory[[#This Row],[res_pct]]</f>
        <v>202845.62665400002</v>
      </c>
      <c r="BS1449" s="6">
        <f>Grandview_Inventory[[#This Row],[land_value]]</f>
        <v>49167.631333630678</v>
      </c>
      <c r="BT1449" s="4">
        <f>_xlfn.IFNA(VLOOKUP(Grandview_Inventory[[#This Row],[quality]],Lookups!$A$26:$C$33,3,FALSE),1)</f>
        <v>0.9690360070159818</v>
      </c>
      <c r="BU1449" s="4">
        <f>_xlfn.IFNA(VLOOKUP(Grandview_Inventory[[#This Row],[condition]],Lookups!$A$37:$C$44,3,FALSE),1)</f>
        <v>0.96469275950863709</v>
      </c>
      <c r="BV1449" s="4">
        <f>IF(Grandview_Inventory[[#This Row],[bldg_style]]="",1,_xlfn.IFNA(VLOOKUP(Grandview_Inventory[[#This Row],[decade]],Lookups!$F$29:$H$43,3,FALSE),1))</f>
        <v>0.94161750052457416</v>
      </c>
      <c r="BW1449" s="4">
        <f>_xlfn.IFNA(VLOOKUP(Grandview_Inventory[[#This Row],[living_area_range]],Lookups!$F$47:$H$56,3,FALSE),1)</f>
        <v>0.96135087979789358</v>
      </c>
      <c r="BX1449" s="4">
        <f>AVERAGE(Grandview_Inventory[[#This Row],[qual_adj]:[size_adj]])</f>
        <v>0.95917428671177163</v>
      </c>
      <c r="BY1449" s="6">
        <f>IF(Grandview_Inventory[[#This Row],[pre_res]]&lt;0,0,Grandview_Inventory[[#This Row],[pre_res]]*Grandview_Inventory[[#This Row],[overall_adj]])</f>
        <v>194564.30925845279</v>
      </c>
      <c r="BZ1449" s="6">
        <f>(Grandview_Inventory[[#This Row],[sum_land]]-IF(Grandview_Inventory[[#This Row],[no_utilities]]=1,12000,0))/IF(Grandview_Inventory[[#This Row],[unbuildable]]=1,2,1)</f>
        <v>49167.631333630678</v>
      </c>
      <c r="CA144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449">
        <f>ROUND(Grandview_Inventory[[#This Row],[det_value]]*Lookups!$M$28,-2)</f>
        <v>0</v>
      </c>
      <c r="CC1449">
        <f>IF(ROUND(Grandview_Inventory[[#This Row],[adj_res]]*Lookups!$M$28,-2)&lt;Grandview_Inventory[[#This Row],[min_res]],Grandview_Inventory[[#This Row],[min_res]],ROUND(Grandview_Inventory[[#This Row],[adj_res]]*Lookups!$M$28,-2))</f>
        <v>184800</v>
      </c>
      <c r="CD1449">
        <f>Grandview_Inventory[[#This Row],[final_det]]+Grandview_Inventory[[#This Row],[final_res]]</f>
        <v>184800</v>
      </c>
      <c r="CE1449">
        <f>Grandview_Inventory[[#This Row],[final_land]]+Grandview_Inventory[[#This Row],[final_imp]]+Grandview_Inventory[[#This Row],[crop_value]]</f>
        <v>231500</v>
      </c>
      <c r="CG1449" t="str">
        <f t="shared" si="22"/>
        <v>update valuation set market_land =46700, market_bldg=184800, market_total =231500, market_mdno =401, market_date ='9/10/2023' where link_id = (select link_id from parcel where parcel_year = '2024' and parcel_id = '23092323446');</v>
      </c>
    </row>
    <row r="1450" spans="1:85" x14ac:dyDescent="0.25">
      <c r="A1450">
        <v>23092323447</v>
      </c>
      <c r="B1450">
        <v>0.17</v>
      </c>
      <c r="C1450">
        <v>7553</v>
      </c>
      <c r="D1450" t="s">
        <v>129</v>
      </c>
      <c r="E1450" t="s">
        <v>53</v>
      </c>
      <c r="F1450" t="s">
        <v>53</v>
      </c>
      <c r="G1450">
        <v>4</v>
      </c>
      <c r="H1450" t="s">
        <v>54</v>
      </c>
      <c r="I1450">
        <v>90900</v>
      </c>
      <c r="J1450">
        <v>39300</v>
      </c>
      <c r="K1450">
        <v>0.17</v>
      </c>
      <c r="L145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50">
        <v>0</v>
      </c>
      <c r="N1450">
        <v>0</v>
      </c>
      <c r="O1450">
        <v>0</v>
      </c>
      <c r="P1450">
        <v>13398.7528</v>
      </c>
      <c r="Q1450">
        <v>63903</v>
      </c>
      <c r="R1450">
        <f>(Grandview_Inventory[[#This Row],[ln_acres]]*Grandview_Inventory[[#This Row],[coeff]])+Grandview_Inventory[[#This Row],[const]]</f>
        <v>40160.988302686128</v>
      </c>
      <c r="S1450" t="s">
        <v>68</v>
      </c>
      <c r="T1450">
        <v>1</v>
      </c>
      <c r="U1450" t="s">
        <v>80</v>
      </c>
      <c r="V1450" t="s">
        <v>69</v>
      </c>
      <c r="W1450">
        <v>0</v>
      </c>
      <c r="X1450">
        <v>0</v>
      </c>
      <c r="Y1450">
        <v>51</v>
      </c>
      <c r="Z1450">
        <v>78</v>
      </c>
      <c r="AA1450">
        <v>80</v>
      </c>
      <c r="AB1450">
        <v>1000</v>
      </c>
      <c r="AC1450">
        <v>672</v>
      </c>
      <c r="AD1450">
        <v>672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20</v>
      </c>
      <c r="AO1450">
        <v>0</v>
      </c>
      <c r="AP1450">
        <v>5</v>
      </c>
      <c r="AQ1450">
        <v>0</v>
      </c>
      <c r="AR1450">
        <v>0</v>
      </c>
      <c r="AS1450" t="s">
        <v>76</v>
      </c>
      <c r="AT1450">
        <v>1</v>
      </c>
      <c r="AU1450" t="s">
        <v>63</v>
      </c>
      <c r="AV1450" t="s">
        <v>81</v>
      </c>
      <c r="AW1450">
        <v>0</v>
      </c>
      <c r="AX1450">
        <v>2</v>
      </c>
      <c r="AY1450">
        <v>0</v>
      </c>
      <c r="AZ1450">
        <v>0</v>
      </c>
      <c r="BA1450">
        <v>100</v>
      </c>
      <c r="BB1450">
        <v>100</v>
      </c>
      <c r="BC1450">
        <v>100</v>
      </c>
      <c r="BD1450">
        <v>100</v>
      </c>
      <c r="BE1450">
        <v>1</v>
      </c>
      <c r="BF1450">
        <v>15000</v>
      </c>
      <c r="BG1450">
        <v>1000</v>
      </c>
      <c r="BH1450" s="6">
        <f>Grandview_Inventory[[#This Row],[land_extract]]*Lookups!$B$3</f>
        <v>46638.847281240982</v>
      </c>
      <c r="BI1450" s="6">
        <f>IF(Grandview_Inventory[[#This Row],[bldg_style]]="",0,Lookups!$B$2)</f>
        <v>155833.95000000001</v>
      </c>
      <c r="BJ1450" s="6">
        <f>_xlfn.IFNA(VLOOKUP(Grandview_Inventory[[#This Row],[quality]],Lookups!$H$2:$J$14,3,FALSE),0)</f>
        <v>-28558</v>
      </c>
      <c r="BK1450" s="6">
        <f>_xlfn.IFNA(VLOOKUP(Grandview_Inventory[[#This Row],[condition]],Lookups!$H$17:$J$24,3,FALSE),0)</f>
        <v>-4503</v>
      </c>
      <c r="BL1450" s="6">
        <f>Grandview_Inventory[[#This Row],[Eff_Age]]*Lookups!$B$14</f>
        <v>-12197.496599999999</v>
      </c>
      <c r="BM1450" s="6">
        <f>Grandview_Inventory[[#This Row],[living_area]]*Lookups!$B$15</f>
        <v>41919.933216000005</v>
      </c>
      <c r="BN1450" s="6">
        <f>Grandview_Inventory[[#This Row],[Fin BSMT]]*Lookups!$B$16</f>
        <v>0</v>
      </c>
      <c r="BO1450" s="6">
        <f>(Grandview_Inventory[[#This Row],[att_gar]]+Grandview_Inventory[[#This Row],[bltin_gar]])*Lookups!$B$17</f>
        <v>0</v>
      </c>
      <c r="BP1450" s="6">
        <f>Grandview_Inventory[[#This Row],[Plumbing Fixtures]]*Lookups!$B$18</f>
        <v>10052.209000000001</v>
      </c>
      <c r="BQ1450" s="6">
        <f>Grandview_Inventory[[#This Row],[detatched_value]]*Lookups!$B$19</f>
        <v>0</v>
      </c>
      <c r="BR1450" s="6">
        <f>SUM(Grandview_Inventory[[#This Row],[Intercept]:[det_value]])*Grandview_Inventory[[#This Row],[res_pct]]</f>
        <v>162547.59561600004</v>
      </c>
      <c r="BS1450" s="6">
        <f>Grandview_Inventory[[#This Row],[land_value]]</f>
        <v>46638.847281240982</v>
      </c>
      <c r="BT1450" s="4">
        <f>_xlfn.IFNA(VLOOKUP(Grandview_Inventory[[#This Row],[quality]],Lookups!$A$26:$C$33,3,FALSE),1)</f>
        <v>0.9690360070159818</v>
      </c>
      <c r="BU1450" s="4">
        <f>_xlfn.IFNA(VLOOKUP(Grandview_Inventory[[#This Row],[condition]],Lookups!$A$37:$C$44,3,FALSE),1)</f>
        <v>0.96469275950863709</v>
      </c>
      <c r="BV1450" s="4">
        <f>IF(Grandview_Inventory[[#This Row],[bldg_style]]="",1,_xlfn.IFNA(VLOOKUP(Grandview_Inventory[[#This Row],[decade]],Lookups!$F$29:$H$43,3,FALSE),1))</f>
        <v>0.98763256963907298</v>
      </c>
      <c r="BW1450" s="4">
        <f>_xlfn.IFNA(VLOOKUP(Grandview_Inventory[[#This Row],[living_area_range]],Lookups!$F$47:$H$56,3,FALSE),1)</f>
        <v>0.94306777142782894</v>
      </c>
      <c r="BX1450" s="4">
        <f>AVERAGE(Grandview_Inventory[[#This Row],[qual_adj]:[size_adj]])</f>
        <v>0.96610727689788012</v>
      </c>
      <c r="BY1450" s="6">
        <f>IF(Grandview_Inventory[[#This Row],[pre_res]]&lt;0,0,Grandview_Inventory[[#This Row],[pre_res]]*Grandview_Inventory[[#This Row],[overall_adj]])</f>
        <v>157038.41496687158</v>
      </c>
      <c r="BZ1450" s="6">
        <f>(Grandview_Inventory[[#This Row],[sum_land]]-IF(Grandview_Inventory[[#This Row],[no_utilities]]=1,12000,0))/IF(Grandview_Inventory[[#This Row],[unbuildable]]=1,2,1)</f>
        <v>46638.847281240982</v>
      </c>
      <c r="CA145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50">
        <f>ROUND(Grandview_Inventory[[#This Row],[det_value]]*Lookups!$M$28,-2)</f>
        <v>0</v>
      </c>
      <c r="CC1450">
        <f>IF(ROUND(Grandview_Inventory[[#This Row],[adj_res]]*Lookups!$M$28,-2)&lt;Grandview_Inventory[[#This Row],[min_res]],Grandview_Inventory[[#This Row],[min_res]],ROUND(Grandview_Inventory[[#This Row],[adj_res]]*Lookups!$M$28,-2))</f>
        <v>149200</v>
      </c>
      <c r="CD1450">
        <f>Grandview_Inventory[[#This Row],[final_det]]+Grandview_Inventory[[#This Row],[final_res]]</f>
        <v>149200</v>
      </c>
      <c r="CE1450">
        <f>Grandview_Inventory[[#This Row],[final_land]]+Grandview_Inventory[[#This Row],[final_imp]]+Grandview_Inventory[[#This Row],[crop_value]]</f>
        <v>193500</v>
      </c>
      <c r="CG1450" t="str">
        <f t="shared" si="22"/>
        <v>update valuation set market_land =44300, market_bldg=149200, market_total =193500, market_mdno =401, market_date ='9/10/2023' where link_id = (select link_id from parcel where parcel_year = '2024' and parcel_id = '23092323447');</v>
      </c>
    </row>
    <row r="1451" spans="1:85" x14ac:dyDescent="0.25">
      <c r="A1451">
        <v>23092323448</v>
      </c>
      <c r="B1451">
        <v>0.12</v>
      </c>
      <c r="C1451">
        <v>5391</v>
      </c>
      <c r="D1451" t="s">
        <v>129</v>
      </c>
      <c r="E1451" t="s">
        <v>53</v>
      </c>
      <c r="F1451" t="s">
        <v>53</v>
      </c>
      <c r="G1451">
        <v>4</v>
      </c>
      <c r="H1451" t="s">
        <v>54</v>
      </c>
      <c r="I1451">
        <v>121300</v>
      </c>
      <c r="J1451">
        <v>38400</v>
      </c>
      <c r="K1451">
        <v>0.12</v>
      </c>
      <c r="L1451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451">
        <v>0</v>
      </c>
      <c r="N1451">
        <v>0</v>
      </c>
      <c r="O1451">
        <v>0</v>
      </c>
      <c r="P1451">
        <v>13398.7528</v>
      </c>
      <c r="Q1451">
        <v>63903</v>
      </c>
      <c r="R1451">
        <f>(Grandview_Inventory[[#This Row],[ln_acres]]*Grandview_Inventory[[#This Row],[coeff]])+Grandview_Inventory[[#This Row],[const]]</f>
        <v>35494.113007601132</v>
      </c>
      <c r="S1451" t="s">
        <v>68</v>
      </c>
      <c r="T1451">
        <v>1</v>
      </c>
      <c r="U1451" t="s">
        <v>80</v>
      </c>
      <c r="V1451" t="s">
        <v>67</v>
      </c>
      <c r="W1451">
        <v>0</v>
      </c>
      <c r="X1451">
        <v>0</v>
      </c>
      <c r="Y1451">
        <v>51</v>
      </c>
      <c r="Z1451">
        <v>77</v>
      </c>
      <c r="AA1451">
        <v>80</v>
      </c>
      <c r="AB1451">
        <v>1000</v>
      </c>
      <c r="AC1451">
        <v>640</v>
      </c>
      <c r="AD1451">
        <v>640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220</v>
      </c>
      <c r="AL1451">
        <v>0</v>
      </c>
      <c r="AM1451">
        <v>0</v>
      </c>
      <c r="AN1451">
        <v>20</v>
      </c>
      <c r="AO1451">
        <v>0</v>
      </c>
      <c r="AP1451">
        <v>5</v>
      </c>
      <c r="AQ1451">
        <v>0</v>
      </c>
      <c r="AR1451">
        <v>0</v>
      </c>
      <c r="AS1451" t="s">
        <v>58</v>
      </c>
      <c r="AT1451">
        <v>1</v>
      </c>
      <c r="AU1451" t="s">
        <v>75</v>
      </c>
      <c r="AV1451" t="s">
        <v>60</v>
      </c>
      <c r="AW1451">
        <v>0</v>
      </c>
      <c r="AX1451">
        <v>2</v>
      </c>
      <c r="AY1451">
        <v>0</v>
      </c>
      <c r="AZ1451">
        <v>0</v>
      </c>
      <c r="BA1451">
        <v>100</v>
      </c>
      <c r="BB1451">
        <v>100</v>
      </c>
      <c r="BC1451">
        <v>100</v>
      </c>
      <c r="BD1451">
        <v>100</v>
      </c>
      <c r="BE1451">
        <v>1</v>
      </c>
      <c r="BF1451">
        <v>15000</v>
      </c>
      <c r="BG1451">
        <v>1000</v>
      </c>
      <c r="BH1451" s="6">
        <f>Grandview_Inventory[[#This Row],[land_extract]]*Lookups!$B$3</f>
        <v>41219.217601622076</v>
      </c>
      <c r="BI1451" s="6">
        <f>IF(Grandview_Inventory[[#This Row],[bldg_style]]="",0,Lookups!$B$2)</f>
        <v>155833.95000000001</v>
      </c>
      <c r="BJ1451" s="6">
        <f>_xlfn.IFNA(VLOOKUP(Grandview_Inventory[[#This Row],[quality]],Lookups!$H$2:$J$14,3,FALSE),0)</f>
        <v>-28558</v>
      </c>
      <c r="BK1451" s="6">
        <f>_xlfn.IFNA(VLOOKUP(Grandview_Inventory[[#This Row],[condition]],Lookups!$H$17:$J$24,3,FALSE),0)</f>
        <v>22342</v>
      </c>
      <c r="BL1451" s="6">
        <f>Grandview_Inventory[[#This Row],[Eff_Age]]*Lookups!$B$14</f>
        <v>-12197.496599999999</v>
      </c>
      <c r="BM1451" s="6">
        <f>Grandview_Inventory[[#This Row],[living_area]]*Lookups!$B$15</f>
        <v>39923.745920000001</v>
      </c>
      <c r="BN1451" s="6">
        <f>Grandview_Inventory[[#This Row],[Fin BSMT]]*Lookups!$B$16</f>
        <v>0</v>
      </c>
      <c r="BO1451" s="6">
        <f>(Grandview_Inventory[[#This Row],[att_gar]]+Grandview_Inventory[[#This Row],[bltin_gar]])*Lookups!$B$17</f>
        <v>0</v>
      </c>
      <c r="BP1451" s="6">
        <f>Grandview_Inventory[[#This Row],[Plumbing Fixtures]]*Lookups!$B$18</f>
        <v>10052.209000000001</v>
      </c>
      <c r="BQ1451" s="6">
        <f>Grandview_Inventory[[#This Row],[detatched_value]]*Lookups!$B$19</f>
        <v>0</v>
      </c>
      <c r="BR1451" s="6">
        <f>SUM(Grandview_Inventory[[#This Row],[Intercept]:[det_value]])*Grandview_Inventory[[#This Row],[res_pct]]</f>
        <v>187396.40832000002</v>
      </c>
      <c r="BS1451" s="6">
        <f>Grandview_Inventory[[#This Row],[land_value]]</f>
        <v>41219.217601622076</v>
      </c>
      <c r="BT1451" s="4">
        <f>_xlfn.IFNA(VLOOKUP(Grandview_Inventory[[#This Row],[quality]],Lookups!$A$26:$C$33,3,FALSE),1)</f>
        <v>0.9690360070159818</v>
      </c>
      <c r="BU1451" s="4">
        <f>_xlfn.IFNA(VLOOKUP(Grandview_Inventory[[#This Row],[condition]],Lookups!$A$37:$C$44,3,FALSE),1)</f>
        <v>0.97383723671140243</v>
      </c>
      <c r="BV1451" s="4">
        <f>IF(Grandview_Inventory[[#This Row],[bldg_style]]="",1,_xlfn.IFNA(VLOOKUP(Grandview_Inventory[[#This Row],[decade]],Lookups!$F$29:$H$43,3,FALSE),1))</f>
        <v>0.98763256963907298</v>
      </c>
      <c r="BW1451" s="4">
        <f>_xlfn.IFNA(VLOOKUP(Grandview_Inventory[[#This Row],[living_area_range]],Lookups!$F$47:$H$56,3,FALSE),1)</f>
        <v>0.94306777142782894</v>
      </c>
      <c r="BX1451" s="4">
        <f>AVERAGE(Grandview_Inventory[[#This Row],[qual_adj]:[size_adj]])</f>
        <v>0.96839339619857145</v>
      </c>
      <c r="BY1451" s="6">
        <f>IF(Grandview_Inventory[[#This Row],[pre_res]]&lt;0,0,Grandview_Inventory[[#This Row],[pre_res]]*Grandview_Inventory[[#This Row],[overall_adj]])</f>
        <v>181473.44428841904</v>
      </c>
      <c r="BZ1451" s="6">
        <f>(Grandview_Inventory[[#This Row],[sum_land]]-IF(Grandview_Inventory[[#This Row],[no_utilities]]=1,12000,0))/IF(Grandview_Inventory[[#This Row],[unbuildable]]=1,2,1)</f>
        <v>41219.217601622076</v>
      </c>
      <c r="CA1451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451">
        <f>ROUND(Grandview_Inventory[[#This Row],[det_value]]*Lookups!$M$28,-2)</f>
        <v>0</v>
      </c>
      <c r="CC1451">
        <f>IF(ROUND(Grandview_Inventory[[#This Row],[adj_res]]*Lookups!$M$28,-2)&lt;Grandview_Inventory[[#This Row],[min_res]],Grandview_Inventory[[#This Row],[min_res]],ROUND(Grandview_Inventory[[#This Row],[adj_res]]*Lookups!$M$28,-2))</f>
        <v>172400</v>
      </c>
      <c r="CD1451">
        <f>Grandview_Inventory[[#This Row],[final_det]]+Grandview_Inventory[[#This Row],[final_res]]</f>
        <v>172400</v>
      </c>
      <c r="CE1451">
        <f>Grandview_Inventory[[#This Row],[final_land]]+Grandview_Inventory[[#This Row],[final_imp]]+Grandview_Inventory[[#This Row],[crop_value]]</f>
        <v>211600</v>
      </c>
      <c r="CG1451" t="str">
        <f t="shared" si="22"/>
        <v>update valuation set market_land =39200, market_bldg=172400, market_total =211600, market_mdno =401, market_date ='9/10/2023' where link_id = (select link_id from parcel where parcel_year = '2024' and parcel_id = '23092323448');</v>
      </c>
    </row>
    <row r="1452" spans="1:85" x14ac:dyDescent="0.25">
      <c r="A1452">
        <v>23092323449</v>
      </c>
      <c r="B1452">
        <v>0.13</v>
      </c>
      <c r="C1452">
        <v>5683</v>
      </c>
      <c r="D1452" t="s">
        <v>129</v>
      </c>
      <c r="E1452" t="s">
        <v>53</v>
      </c>
      <c r="F1452" t="s">
        <v>53</v>
      </c>
      <c r="G1452">
        <v>4</v>
      </c>
      <c r="H1452" t="s">
        <v>54</v>
      </c>
      <c r="I1452">
        <v>151700</v>
      </c>
      <c r="J1452">
        <v>38400</v>
      </c>
      <c r="K1452">
        <v>0.13</v>
      </c>
      <c r="L1452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452">
        <v>0</v>
      </c>
      <c r="N1452">
        <v>0</v>
      </c>
      <c r="O1452">
        <v>0</v>
      </c>
      <c r="P1452">
        <v>13398.7528</v>
      </c>
      <c r="Q1452">
        <v>63903</v>
      </c>
      <c r="R1452">
        <f>(Grandview_Inventory[[#This Row],[ln_acres]]*Grandview_Inventory[[#This Row],[coeff]])+Grandview_Inventory[[#This Row],[const]]</f>
        <v>36566.585461161507</v>
      </c>
      <c r="S1452" t="s">
        <v>61</v>
      </c>
      <c r="T1452">
        <v>1</v>
      </c>
      <c r="U1452" t="s">
        <v>80</v>
      </c>
      <c r="V1452" t="s">
        <v>69</v>
      </c>
      <c r="W1452">
        <v>0</v>
      </c>
      <c r="X1452">
        <v>0</v>
      </c>
      <c r="Y1452">
        <v>20</v>
      </c>
      <c r="Z1452">
        <v>63</v>
      </c>
      <c r="AA1452">
        <v>70</v>
      </c>
      <c r="AB1452">
        <v>1500</v>
      </c>
      <c r="AC1452">
        <v>1336</v>
      </c>
      <c r="AD1452">
        <v>1336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96</v>
      </c>
      <c r="AM1452">
        <v>0</v>
      </c>
      <c r="AN1452">
        <v>16</v>
      </c>
      <c r="AO1452">
        <v>48</v>
      </c>
      <c r="AP1452">
        <v>8</v>
      </c>
      <c r="AQ1452">
        <v>0</v>
      </c>
      <c r="AR1452">
        <v>0</v>
      </c>
      <c r="AS1452" t="s">
        <v>58</v>
      </c>
      <c r="AT1452">
        <v>1</v>
      </c>
      <c r="AU1452" t="s">
        <v>63</v>
      </c>
      <c r="AV1452" t="s">
        <v>60</v>
      </c>
      <c r="AW1452">
        <v>1</v>
      </c>
      <c r="AX1452">
        <v>3</v>
      </c>
      <c r="AY1452">
        <v>0</v>
      </c>
      <c r="AZ1452">
        <v>1200</v>
      </c>
      <c r="BA1452">
        <v>100</v>
      </c>
      <c r="BB1452">
        <v>100</v>
      </c>
      <c r="BC1452">
        <v>100</v>
      </c>
      <c r="BD1452">
        <v>100</v>
      </c>
      <c r="BE1452">
        <v>1</v>
      </c>
      <c r="BF1452">
        <v>15000</v>
      </c>
      <c r="BG1452">
        <v>1000</v>
      </c>
      <c r="BH1452" s="6">
        <f>Grandview_Inventory[[#This Row],[land_extract]]*Lookups!$B$3</f>
        <v>42464.67696626611</v>
      </c>
      <c r="BI1452" s="6">
        <f>IF(Grandview_Inventory[[#This Row],[bldg_style]]="",0,Lookups!$B$2)</f>
        <v>155833.95000000001</v>
      </c>
      <c r="BJ1452" s="6">
        <f>_xlfn.IFNA(VLOOKUP(Grandview_Inventory[[#This Row],[quality]],Lookups!$H$2:$J$14,3,FALSE),0)</f>
        <v>-28558</v>
      </c>
      <c r="BK1452" s="6">
        <f>_xlfn.IFNA(VLOOKUP(Grandview_Inventory[[#This Row],[condition]],Lookups!$H$17:$J$24,3,FALSE),0)</f>
        <v>-4503</v>
      </c>
      <c r="BL1452" s="6">
        <f>Grandview_Inventory[[#This Row],[Eff_Age]]*Lookups!$B$14</f>
        <v>-4783.3319999999994</v>
      </c>
      <c r="BM1452" s="6">
        <f>Grandview_Inventory[[#This Row],[living_area]]*Lookups!$B$15</f>
        <v>83340.819608000005</v>
      </c>
      <c r="BN1452" s="6">
        <f>Grandview_Inventory[[#This Row],[Fin BSMT]]*Lookups!$B$16</f>
        <v>0</v>
      </c>
      <c r="BO1452" s="6">
        <f>(Grandview_Inventory[[#This Row],[att_gar]]+Grandview_Inventory[[#This Row],[bltin_gar]])*Lookups!$B$17</f>
        <v>0</v>
      </c>
      <c r="BP1452" s="6">
        <f>Grandview_Inventory[[#This Row],[Plumbing Fixtures]]*Lookups!$B$18</f>
        <v>16083.5344</v>
      </c>
      <c r="BQ1452" s="6">
        <f>Grandview_Inventory[[#This Row],[detatched_value]]*Lookups!$B$19</f>
        <v>1016.16612</v>
      </c>
      <c r="BR1452" s="6">
        <f>SUM(Grandview_Inventory[[#This Row],[Intercept]:[det_value]])*Grandview_Inventory[[#This Row],[res_pct]]</f>
        <v>218430.13812800002</v>
      </c>
      <c r="BS1452" s="6">
        <f>Grandview_Inventory[[#This Row],[land_value]]</f>
        <v>42464.67696626611</v>
      </c>
      <c r="BT1452" s="4">
        <f>_xlfn.IFNA(VLOOKUP(Grandview_Inventory[[#This Row],[quality]],Lookups!$A$26:$C$33,3,FALSE),1)</f>
        <v>0.9690360070159818</v>
      </c>
      <c r="BU1452" s="4">
        <f>_xlfn.IFNA(VLOOKUP(Grandview_Inventory[[#This Row],[condition]],Lookups!$A$37:$C$44,3,FALSE),1)</f>
        <v>0.96469275950863709</v>
      </c>
      <c r="BV1452" s="4">
        <f>IF(Grandview_Inventory[[#This Row],[bldg_style]]="",1,_xlfn.IFNA(VLOOKUP(Grandview_Inventory[[#This Row],[decade]],Lookups!$F$29:$H$43,3,FALSE),1))</f>
        <v>0.99472141305414818</v>
      </c>
      <c r="BW1452" s="4">
        <f>_xlfn.IFNA(VLOOKUP(Grandview_Inventory[[#This Row],[living_area_range]],Lookups!$F$47:$H$56,3,FALSE),1)</f>
        <v>0.96135087979789358</v>
      </c>
      <c r="BX1452" s="4">
        <f>AVERAGE(Grandview_Inventory[[#This Row],[qual_adj]:[size_adj]])</f>
        <v>0.97245026484416508</v>
      </c>
      <c r="BY1452" s="6">
        <f>IF(Grandview_Inventory[[#This Row],[pre_res]]&lt;0,0,Grandview_Inventory[[#This Row],[pre_res]]*Grandview_Inventory[[#This Row],[overall_adj]])</f>
        <v>212412.44567252119</v>
      </c>
      <c r="BZ1452" s="6">
        <f>(Grandview_Inventory[[#This Row],[sum_land]]-IF(Grandview_Inventory[[#This Row],[no_utilities]]=1,12000,0))/IF(Grandview_Inventory[[#This Row],[unbuildable]]=1,2,1)</f>
        <v>42464.67696626611</v>
      </c>
      <c r="CA1452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452">
        <f>ROUND(Grandview_Inventory[[#This Row],[det_value]]*Lookups!$M$28,-2)</f>
        <v>1000</v>
      </c>
      <c r="CC1452">
        <f>IF(ROUND(Grandview_Inventory[[#This Row],[adj_res]]*Lookups!$M$28,-2)&lt;Grandview_Inventory[[#This Row],[min_res]],Grandview_Inventory[[#This Row],[min_res]],ROUND(Grandview_Inventory[[#This Row],[adj_res]]*Lookups!$M$28,-2))</f>
        <v>201800</v>
      </c>
      <c r="CD1452">
        <f>Grandview_Inventory[[#This Row],[final_det]]+Grandview_Inventory[[#This Row],[final_res]]</f>
        <v>202800</v>
      </c>
      <c r="CE1452">
        <f>Grandview_Inventory[[#This Row],[final_land]]+Grandview_Inventory[[#This Row],[final_imp]]+Grandview_Inventory[[#This Row],[crop_value]]</f>
        <v>243100</v>
      </c>
      <c r="CG1452" t="str">
        <f t="shared" si="22"/>
        <v>update valuation set market_land =40300, market_bldg=202800, market_total =243100, market_mdno =401, market_date ='9/10/2023' where link_id = (select link_id from parcel where parcel_year = '2024' and parcel_id = '23092323449');</v>
      </c>
    </row>
    <row r="1453" spans="1:85" x14ac:dyDescent="0.25">
      <c r="A1453">
        <v>23092323452</v>
      </c>
      <c r="B1453">
        <v>0.16</v>
      </c>
      <c r="C1453">
        <v>6768</v>
      </c>
      <c r="D1453" t="s">
        <v>129</v>
      </c>
      <c r="E1453" t="s">
        <v>53</v>
      </c>
      <c r="F1453" t="s">
        <v>53</v>
      </c>
      <c r="G1453">
        <v>4</v>
      </c>
      <c r="H1453" t="s">
        <v>54</v>
      </c>
      <c r="I1453">
        <v>129800</v>
      </c>
      <c r="J1453">
        <v>39000</v>
      </c>
      <c r="K1453">
        <v>0.16</v>
      </c>
      <c r="L145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53">
        <v>0</v>
      </c>
      <c r="N1453">
        <v>0</v>
      </c>
      <c r="O1453">
        <v>0</v>
      </c>
      <c r="P1453">
        <v>13398.7528</v>
      </c>
      <c r="Q1453">
        <v>63903</v>
      </c>
      <c r="R1453">
        <f>(Grandview_Inventory[[#This Row],[ln_acres]]*Grandview_Inventory[[#This Row],[coeff]])+Grandview_Inventory[[#This Row],[const]]</f>
        <v>39348.693981374228</v>
      </c>
      <c r="S1453" t="s">
        <v>68</v>
      </c>
      <c r="T1453">
        <v>1</v>
      </c>
      <c r="U1453" t="s">
        <v>70</v>
      </c>
      <c r="V1453" t="s">
        <v>69</v>
      </c>
      <c r="W1453">
        <v>0</v>
      </c>
      <c r="X1453">
        <v>0</v>
      </c>
      <c r="Y1453">
        <v>50</v>
      </c>
      <c r="Z1453">
        <v>73</v>
      </c>
      <c r="AA1453">
        <v>80</v>
      </c>
      <c r="AB1453">
        <v>1500</v>
      </c>
      <c r="AC1453">
        <v>1067</v>
      </c>
      <c r="AD1453">
        <v>1067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408</v>
      </c>
      <c r="AL1453">
        <v>0</v>
      </c>
      <c r="AM1453">
        <v>276</v>
      </c>
      <c r="AN1453">
        <v>42</v>
      </c>
      <c r="AO1453">
        <v>276</v>
      </c>
      <c r="AP1453">
        <v>5</v>
      </c>
      <c r="AQ1453">
        <v>0</v>
      </c>
      <c r="AR1453">
        <v>0</v>
      </c>
      <c r="AS1453" t="s">
        <v>58</v>
      </c>
      <c r="AT1453">
        <v>1</v>
      </c>
      <c r="AU1453" t="s">
        <v>63</v>
      </c>
      <c r="AV1453" t="s">
        <v>64</v>
      </c>
      <c r="AW1453">
        <v>0</v>
      </c>
      <c r="AX1453">
        <v>3</v>
      </c>
      <c r="AY1453">
        <v>0</v>
      </c>
      <c r="AZ1453">
        <v>0</v>
      </c>
      <c r="BA1453">
        <v>100</v>
      </c>
      <c r="BB1453">
        <v>100</v>
      </c>
      <c r="BC1453">
        <v>100</v>
      </c>
      <c r="BD1453">
        <v>100</v>
      </c>
      <c r="BE1453">
        <v>1</v>
      </c>
      <c r="BF1453">
        <v>15000</v>
      </c>
      <c r="BG1453">
        <v>1000</v>
      </c>
      <c r="BH1453" s="6">
        <f>Grandview_Inventory[[#This Row],[land_extract]]*Lookups!$B$3</f>
        <v>45695.532079096141</v>
      </c>
      <c r="BI1453" s="6">
        <f>IF(Grandview_Inventory[[#This Row],[bldg_style]]="",0,Lookups!$B$2)</f>
        <v>155833.95000000001</v>
      </c>
      <c r="BJ1453" s="6">
        <f>_xlfn.IFNA(VLOOKUP(Grandview_Inventory[[#This Row],[quality]],Lookups!$H$2:$J$14,3,FALSE),0)</f>
        <v>10733</v>
      </c>
      <c r="BK1453" s="6">
        <f>_xlfn.IFNA(VLOOKUP(Grandview_Inventory[[#This Row],[condition]],Lookups!$H$17:$J$24,3,FALSE),0)</f>
        <v>-4503</v>
      </c>
      <c r="BL1453" s="6">
        <f>Grandview_Inventory[[#This Row],[Eff_Age]]*Lookups!$B$14</f>
        <v>-11958.33</v>
      </c>
      <c r="BM1453" s="6">
        <f>Grandview_Inventory[[#This Row],[living_area]]*Lookups!$B$15</f>
        <v>66560.370150999996</v>
      </c>
      <c r="BN1453" s="6">
        <f>Grandview_Inventory[[#This Row],[Fin BSMT]]*Lookups!$B$16</f>
        <v>0</v>
      </c>
      <c r="BO1453" s="6">
        <f>(Grandview_Inventory[[#This Row],[att_gar]]+Grandview_Inventory[[#This Row],[bltin_gar]])*Lookups!$B$17</f>
        <v>0</v>
      </c>
      <c r="BP1453" s="6">
        <f>Grandview_Inventory[[#This Row],[Plumbing Fixtures]]*Lookups!$B$18</f>
        <v>10052.209000000001</v>
      </c>
      <c r="BQ1453" s="6">
        <f>Grandview_Inventory[[#This Row],[detatched_value]]*Lookups!$B$19</f>
        <v>0</v>
      </c>
      <c r="BR1453" s="6">
        <f>SUM(Grandview_Inventory[[#This Row],[Intercept]:[det_value]])*Grandview_Inventory[[#This Row],[res_pct]]</f>
        <v>226718.19915100004</v>
      </c>
      <c r="BS1453" s="6">
        <f>Grandview_Inventory[[#This Row],[land_value]]</f>
        <v>45695.532079096141</v>
      </c>
      <c r="BT1453" s="4">
        <f>_xlfn.IFNA(VLOOKUP(Grandview_Inventory[[#This Row],[quality]],Lookups!$A$26:$C$33,3,FALSE),1)</f>
        <v>0.98079741117310582</v>
      </c>
      <c r="BU1453" s="4">
        <f>_xlfn.IFNA(VLOOKUP(Grandview_Inventory[[#This Row],[condition]],Lookups!$A$37:$C$44,3,FALSE),1)</f>
        <v>0.96469275950863709</v>
      </c>
      <c r="BV1453" s="4">
        <f>IF(Grandview_Inventory[[#This Row],[bldg_style]]="",1,_xlfn.IFNA(VLOOKUP(Grandview_Inventory[[#This Row],[decade]],Lookups!$F$29:$H$43,3,FALSE),1))</f>
        <v>0.98763256963907298</v>
      </c>
      <c r="BW1453" s="4">
        <f>_xlfn.IFNA(VLOOKUP(Grandview_Inventory[[#This Row],[living_area_range]],Lookups!$F$47:$H$56,3,FALSE),1)</f>
        <v>0.96135087979789358</v>
      </c>
      <c r="BX1453" s="4">
        <f>AVERAGE(Grandview_Inventory[[#This Row],[qual_adj]:[size_adj]])</f>
        <v>0.97361840502967734</v>
      </c>
      <c r="BY1453" s="6">
        <f>IF(Grandview_Inventory[[#This Row],[pre_res]]&lt;0,0,Grandview_Inventory[[#This Row],[pre_res]]*Grandview_Inventory[[#This Row],[overall_adj]])</f>
        <v>220737.01144859739</v>
      </c>
      <c r="BZ1453" s="6">
        <f>(Grandview_Inventory[[#This Row],[sum_land]]-IF(Grandview_Inventory[[#This Row],[no_utilities]]=1,12000,0))/IF(Grandview_Inventory[[#This Row],[unbuildable]]=1,2,1)</f>
        <v>45695.532079096141</v>
      </c>
      <c r="CA145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53">
        <f>ROUND(Grandview_Inventory[[#This Row],[det_value]]*Lookups!$M$28,-2)</f>
        <v>0</v>
      </c>
      <c r="CC1453">
        <f>IF(ROUND(Grandview_Inventory[[#This Row],[adj_res]]*Lookups!$M$28,-2)&lt;Grandview_Inventory[[#This Row],[min_res]],Grandview_Inventory[[#This Row],[min_res]],ROUND(Grandview_Inventory[[#This Row],[adj_res]]*Lookups!$M$28,-2))</f>
        <v>209700</v>
      </c>
      <c r="CD1453">
        <f>Grandview_Inventory[[#This Row],[final_det]]+Grandview_Inventory[[#This Row],[final_res]]</f>
        <v>209700</v>
      </c>
      <c r="CE1453">
        <f>Grandview_Inventory[[#This Row],[final_land]]+Grandview_Inventory[[#This Row],[final_imp]]+Grandview_Inventory[[#This Row],[crop_value]]</f>
        <v>253100</v>
      </c>
      <c r="CG1453" t="str">
        <f t="shared" si="22"/>
        <v>update valuation set market_land =43400, market_bldg=209700, market_total =253100, market_mdno =401, market_date ='9/10/2023' where link_id = (select link_id from parcel where parcel_year = '2024' and parcel_id = '23092323452');</v>
      </c>
    </row>
    <row r="1454" spans="1:85" x14ac:dyDescent="0.25">
      <c r="A1454">
        <v>23092323455</v>
      </c>
      <c r="B1454">
        <v>0.17</v>
      </c>
      <c r="C1454">
        <v>7250</v>
      </c>
      <c r="D1454" t="s">
        <v>129</v>
      </c>
      <c r="E1454" t="s">
        <v>53</v>
      </c>
      <c r="F1454" t="s">
        <v>53</v>
      </c>
      <c r="G1454">
        <v>4</v>
      </c>
      <c r="H1454" t="s">
        <v>54</v>
      </c>
      <c r="I1454">
        <v>151300</v>
      </c>
      <c r="J1454">
        <v>39300</v>
      </c>
      <c r="K1454">
        <v>0.17</v>
      </c>
      <c r="L145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54">
        <v>0</v>
      </c>
      <c r="N1454">
        <v>0</v>
      </c>
      <c r="O1454">
        <v>0</v>
      </c>
      <c r="P1454">
        <v>13398.7528</v>
      </c>
      <c r="Q1454">
        <v>63903</v>
      </c>
      <c r="R1454">
        <f>(Grandview_Inventory[[#This Row],[ln_acres]]*Grandview_Inventory[[#This Row],[coeff]])+Grandview_Inventory[[#This Row],[const]]</f>
        <v>40160.988302686128</v>
      </c>
      <c r="S1454" t="s">
        <v>61</v>
      </c>
      <c r="T1454">
        <v>1</v>
      </c>
      <c r="U1454" t="s">
        <v>70</v>
      </c>
      <c r="V1454" t="s">
        <v>69</v>
      </c>
      <c r="W1454">
        <v>0</v>
      </c>
      <c r="X1454">
        <v>0</v>
      </c>
      <c r="Y1454">
        <v>50</v>
      </c>
      <c r="Z1454">
        <v>73</v>
      </c>
      <c r="AA1454">
        <v>80</v>
      </c>
      <c r="AB1454">
        <v>1500</v>
      </c>
      <c r="AC1454">
        <v>1263</v>
      </c>
      <c r="AD1454">
        <v>1084</v>
      </c>
      <c r="AE1454">
        <v>0</v>
      </c>
      <c r="AF1454">
        <v>0</v>
      </c>
      <c r="AG1454">
        <v>179</v>
      </c>
      <c r="AH1454">
        <v>363</v>
      </c>
      <c r="AI1454">
        <v>0</v>
      </c>
      <c r="AJ1454">
        <v>0</v>
      </c>
      <c r="AK1454">
        <v>360</v>
      </c>
      <c r="AL1454">
        <v>0</v>
      </c>
      <c r="AM1454">
        <v>0</v>
      </c>
      <c r="AN1454">
        <v>0</v>
      </c>
      <c r="AO1454">
        <v>0</v>
      </c>
      <c r="AP1454">
        <v>5</v>
      </c>
      <c r="AQ1454">
        <v>0</v>
      </c>
      <c r="AR1454">
        <v>0</v>
      </c>
      <c r="AS1454" t="s">
        <v>71</v>
      </c>
      <c r="AT1454">
        <v>1</v>
      </c>
      <c r="AU1454" t="s">
        <v>75</v>
      </c>
      <c r="AV1454" t="s">
        <v>60</v>
      </c>
      <c r="AW1454">
        <v>0</v>
      </c>
      <c r="AX1454">
        <v>2</v>
      </c>
      <c r="AY1454">
        <v>0</v>
      </c>
      <c r="AZ1454">
        <v>0</v>
      </c>
      <c r="BA1454">
        <v>100</v>
      </c>
      <c r="BB1454">
        <v>100</v>
      </c>
      <c r="BC1454">
        <v>100</v>
      </c>
      <c r="BD1454">
        <v>100</v>
      </c>
      <c r="BE1454">
        <v>1</v>
      </c>
      <c r="BF1454">
        <v>15000</v>
      </c>
      <c r="BG1454">
        <v>1000</v>
      </c>
      <c r="BH1454" s="6">
        <f>Grandview_Inventory[[#This Row],[land_extract]]*Lookups!$B$3</f>
        <v>46638.847281240982</v>
      </c>
      <c r="BI1454" s="6">
        <f>IF(Grandview_Inventory[[#This Row],[bldg_style]]="",0,Lookups!$B$2)</f>
        <v>155833.95000000001</v>
      </c>
      <c r="BJ1454" s="6">
        <f>_xlfn.IFNA(VLOOKUP(Grandview_Inventory[[#This Row],[quality]],Lookups!$H$2:$J$14,3,FALSE),0)</f>
        <v>10733</v>
      </c>
      <c r="BK1454" s="6">
        <f>_xlfn.IFNA(VLOOKUP(Grandview_Inventory[[#This Row],[condition]],Lookups!$H$17:$J$24,3,FALSE),0)</f>
        <v>-4503</v>
      </c>
      <c r="BL1454" s="6">
        <f>Grandview_Inventory[[#This Row],[Eff_Age]]*Lookups!$B$14</f>
        <v>-11958.33</v>
      </c>
      <c r="BM1454" s="6">
        <f>Grandview_Inventory[[#This Row],[living_area]]*Lookups!$B$15</f>
        <v>78787.017338999998</v>
      </c>
      <c r="BN1454" s="6">
        <f>Grandview_Inventory[[#This Row],[Fin BSMT]]*Lookups!$B$16</f>
        <v>-4850.7639600000002</v>
      </c>
      <c r="BO1454" s="6">
        <f>(Grandview_Inventory[[#This Row],[att_gar]]+Grandview_Inventory[[#This Row],[bltin_gar]])*Lookups!$B$17</f>
        <v>0</v>
      </c>
      <c r="BP1454" s="6">
        <f>Grandview_Inventory[[#This Row],[Plumbing Fixtures]]*Lookups!$B$18</f>
        <v>10052.209000000001</v>
      </c>
      <c r="BQ1454" s="6">
        <f>Grandview_Inventory[[#This Row],[detatched_value]]*Lookups!$B$19</f>
        <v>0</v>
      </c>
      <c r="BR1454" s="6">
        <f>SUM(Grandview_Inventory[[#This Row],[Intercept]:[det_value]])*Grandview_Inventory[[#This Row],[res_pct]]</f>
        <v>234094.082379</v>
      </c>
      <c r="BS1454" s="6">
        <f>Grandview_Inventory[[#This Row],[land_value]]</f>
        <v>46638.847281240982</v>
      </c>
      <c r="BT1454" s="4">
        <f>_xlfn.IFNA(VLOOKUP(Grandview_Inventory[[#This Row],[quality]],Lookups!$A$26:$C$33,3,FALSE),1)</f>
        <v>0.98079741117310582</v>
      </c>
      <c r="BU1454" s="4">
        <f>_xlfn.IFNA(VLOOKUP(Grandview_Inventory[[#This Row],[condition]],Lookups!$A$37:$C$44,3,FALSE),1)</f>
        <v>0.96469275950863709</v>
      </c>
      <c r="BV1454" s="4">
        <f>IF(Grandview_Inventory[[#This Row],[bldg_style]]="",1,_xlfn.IFNA(VLOOKUP(Grandview_Inventory[[#This Row],[decade]],Lookups!$F$29:$H$43,3,FALSE),1))</f>
        <v>0.98763256963907298</v>
      </c>
      <c r="BW1454" s="4">
        <f>_xlfn.IFNA(VLOOKUP(Grandview_Inventory[[#This Row],[living_area_range]],Lookups!$F$47:$H$56,3,FALSE),1)</f>
        <v>0.96135087979789358</v>
      </c>
      <c r="BX1454" s="4">
        <f>AVERAGE(Grandview_Inventory[[#This Row],[qual_adj]:[size_adj]])</f>
        <v>0.97361840502967734</v>
      </c>
      <c r="BY1454" s="6">
        <f>IF(Grandview_Inventory[[#This Row],[pre_res]]&lt;0,0,Grandview_Inventory[[#This Row],[pre_res]]*Grandview_Inventory[[#This Row],[overall_adj]])</f>
        <v>227918.30711272787</v>
      </c>
      <c r="BZ1454" s="6">
        <f>(Grandview_Inventory[[#This Row],[sum_land]]-IF(Grandview_Inventory[[#This Row],[no_utilities]]=1,12000,0))/IF(Grandview_Inventory[[#This Row],[unbuildable]]=1,2,1)</f>
        <v>46638.847281240982</v>
      </c>
      <c r="CA145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54">
        <f>ROUND(Grandview_Inventory[[#This Row],[det_value]]*Lookups!$M$28,-2)</f>
        <v>0</v>
      </c>
      <c r="CC1454">
        <f>IF(ROUND(Grandview_Inventory[[#This Row],[adj_res]]*Lookups!$M$28,-2)&lt;Grandview_Inventory[[#This Row],[min_res]],Grandview_Inventory[[#This Row],[min_res]],ROUND(Grandview_Inventory[[#This Row],[adj_res]]*Lookups!$M$28,-2))</f>
        <v>216500</v>
      </c>
      <c r="CD1454">
        <f>Grandview_Inventory[[#This Row],[final_det]]+Grandview_Inventory[[#This Row],[final_res]]</f>
        <v>216500</v>
      </c>
      <c r="CE1454">
        <f>Grandview_Inventory[[#This Row],[final_land]]+Grandview_Inventory[[#This Row],[final_imp]]+Grandview_Inventory[[#This Row],[crop_value]]</f>
        <v>260800</v>
      </c>
      <c r="CG1454" t="str">
        <f t="shared" si="22"/>
        <v>update valuation set market_land =44300, market_bldg=216500, market_total =260800, market_mdno =401, market_date ='9/10/2023' where link_id = (select link_id from parcel where parcel_year = '2024' and parcel_id = '23092323455');</v>
      </c>
    </row>
    <row r="1455" spans="1:85" x14ac:dyDescent="0.25">
      <c r="A1455">
        <v>23092323456</v>
      </c>
      <c r="B1455">
        <v>0.24</v>
      </c>
      <c r="C1455">
        <v>10526</v>
      </c>
      <c r="D1455" t="s">
        <v>129</v>
      </c>
      <c r="E1455" t="s">
        <v>53</v>
      </c>
      <c r="F1455" t="s">
        <v>53</v>
      </c>
      <c r="G1455">
        <v>4</v>
      </c>
      <c r="H1455" t="s">
        <v>54</v>
      </c>
      <c r="I1455">
        <v>115100</v>
      </c>
      <c r="J1455">
        <v>40400</v>
      </c>
      <c r="K1455">
        <v>0.24</v>
      </c>
      <c r="L145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55">
        <v>0</v>
      </c>
      <c r="N1455">
        <v>0</v>
      </c>
      <c r="O1455">
        <v>0</v>
      </c>
      <c r="P1455">
        <v>13398.7528</v>
      </c>
      <c r="Q1455">
        <v>63903</v>
      </c>
      <c r="R1455">
        <f>(Grandview_Inventory[[#This Row],[ln_acres]]*Grandview_Inventory[[#This Row],[coeff]])+Grandview_Inventory[[#This Row],[const]]</f>
        <v>44781.420733940802</v>
      </c>
      <c r="S1455" t="s">
        <v>68</v>
      </c>
      <c r="T1455">
        <v>1</v>
      </c>
      <c r="U1455" t="s">
        <v>70</v>
      </c>
      <c r="V1455" t="s">
        <v>69</v>
      </c>
      <c r="W1455">
        <v>0</v>
      </c>
      <c r="X1455">
        <v>0</v>
      </c>
      <c r="Y1455">
        <v>44</v>
      </c>
      <c r="Z1455">
        <v>48</v>
      </c>
      <c r="AA1455">
        <v>50</v>
      </c>
      <c r="AB1455">
        <v>1000</v>
      </c>
      <c r="AC1455">
        <v>849</v>
      </c>
      <c r="AD1455">
        <v>849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5</v>
      </c>
      <c r="AQ1455">
        <v>0</v>
      </c>
      <c r="AR1455">
        <v>0</v>
      </c>
      <c r="AS1455" t="s">
        <v>58</v>
      </c>
      <c r="AT1455">
        <v>1</v>
      </c>
      <c r="AU1455" t="s">
        <v>75</v>
      </c>
      <c r="AV1455" t="s">
        <v>60</v>
      </c>
      <c r="AW1455">
        <v>0</v>
      </c>
      <c r="AX1455">
        <v>2</v>
      </c>
      <c r="AY1455">
        <v>0</v>
      </c>
      <c r="AZ1455">
        <v>0</v>
      </c>
      <c r="BA1455">
        <v>100</v>
      </c>
      <c r="BB1455">
        <v>100</v>
      </c>
      <c r="BC1455">
        <v>100</v>
      </c>
      <c r="BD1455">
        <v>100</v>
      </c>
      <c r="BE1455">
        <v>1</v>
      </c>
      <c r="BF1455">
        <v>15000</v>
      </c>
      <c r="BG1455">
        <v>1000</v>
      </c>
      <c r="BH1455" s="6">
        <f>Grandview_Inventory[[#This Row],[land_extract]]*Lookups!$B$3</f>
        <v>52004.542988489469</v>
      </c>
      <c r="BI1455" s="6">
        <f>IF(Grandview_Inventory[[#This Row],[bldg_style]]="",0,Lookups!$B$2)</f>
        <v>155833.95000000001</v>
      </c>
      <c r="BJ1455" s="6">
        <f>_xlfn.IFNA(VLOOKUP(Grandview_Inventory[[#This Row],[quality]],Lookups!$H$2:$J$14,3,FALSE),0)</f>
        <v>10733</v>
      </c>
      <c r="BK1455" s="6">
        <f>_xlfn.IFNA(VLOOKUP(Grandview_Inventory[[#This Row],[condition]],Lookups!$H$17:$J$24,3,FALSE),0)</f>
        <v>-4503</v>
      </c>
      <c r="BL1455" s="6">
        <f>Grandview_Inventory[[#This Row],[Eff_Age]]*Lookups!$B$14</f>
        <v>-10523.330399999999</v>
      </c>
      <c r="BM1455" s="6">
        <f>Grandview_Inventory[[#This Row],[living_area]]*Lookups!$B$15</f>
        <v>52961.344196999999</v>
      </c>
      <c r="BN1455" s="6">
        <f>Grandview_Inventory[[#This Row],[Fin BSMT]]*Lookups!$B$16</f>
        <v>0</v>
      </c>
      <c r="BO1455" s="6">
        <f>(Grandview_Inventory[[#This Row],[att_gar]]+Grandview_Inventory[[#This Row],[bltin_gar]])*Lookups!$B$17</f>
        <v>0</v>
      </c>
      <c r="BP1455" s="6">
        <f>Grandview_Inventory[[#This Row],[Plumbing Fixtures]]*Lookups!$B$18</f>
        <v>10052.209000000001</v>
      </c>
      <c r="BQ1455" s="6">
        <f>Grandview_Inventory[[#This Row],[detatched_value]]*Lookups!$B$19</f>
        <v>0</v>
      </c>
      <c r="BR1455" s="6">
        <f>SUM(Grandview_Inventory[[#This Row],[Intercept]:[det_value]])*Grandview_Inventory[[#This Row],[res_pct]]</f>
        <v>214554.17279700001</v>
      </c>
      <c r="BS1455" s="6">
        <f>Grandview_Inventory[[#This Row],[land_value]]</f>
        <v>52004.542988489469</v>
      </c>
      <c r="BT1455" s="4">
        <f>_xlfn.IFNA(VLOOKUP(Grandview_Inventory[[#This Row],[quality]],Lookups!$A$26:$C$33,3,FALSE),1)</f>
        <v>0.98079741117310582</v>
      </c>
      <c r="BU1455" s="4">
        <f>_xlfn.IFNA(VLOOKUP(Grandview_Inventory[[#This Row],[condition]],Lookups!$A$37:$C$44,3,FALSE),1)</f>
        <v>0.96469275950863709</v>
      </c>
      <c r="BV1455" s="4">
        <f>IF(Grandview_Inventory[[#This Row],[bldg_style]]="",1,_xlfn.IFNA(VLOOKUP(Grandview_Inventory[[#This Row],[decade]],Lookups!$F$29:$H$43,3,FALSE),1))</f>
        <v>0.9871940091910919</v>
      </c>
      <c r="BW1455" s="4">
        <f>_xlfn.IFNA(VLOOKUP(Grandview_Inventory[[#This Row],[living_area_range]],Lookups!$F$47:$H$56,3,FALSE),1)</f>
        <v>0.94306777142782894</v>
      </c>
      <c r="BX1455" s="4">
        <f>AVERAGE(Grandview_Inventory[[#This Row],[qual_adj]:[size_adj]])</f>
        <v>0.96893798782516594</v>
      </c>
      <c r="BY1455" s="6">
        <f>IF(Grandview_Inventory[[#This Row],[pre_res]]&lt;0,0,Grandview_Inventory[[#This Row],[pre_res]]*Grandview_Inventory[[#This Row],[overall_adj]])</f>
        <v>207889.68846941815</v>
      </c>
      <c r="BZ1455" s="6">
        <f>(Grandview_Inventory[[#This Row],[sum_land]]-IF(Grandview_Inventory[[#This Row],[no_utilities]]=1,12000,0))/IF(Grandview_Inventory[[#This Row],[unbuildable]]=1,2,1)</f>
        <v>52004.542988489469</v>
      </c>
      <c r="CA145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55">
        <f>ROUND(Grandview_Inventory[[#This Row],[det_value]]*Lookups!$M$28,-2)</f>
        <v>0</v>
      </c>
      <c r="CC1455">
        <f>IF(ROUND(Grandview_Inventory[[#This Row],[adj_res]]*Lookups!$M$28,-2)&lt;Grandview_Inventory[[#This Row],[min_res]],Grandview_Inventory[[#This Row],[min_res]],ROUND(Grandview_Inventory[[#This Row],[adj_res]]*Lookups!$M$28,-2))</f>
        <v>197500</v>
      </c>
      <c r="CD1455">
        <f>Grandview_Inventory[[#This Row],[final_det]]+Grandview_Inventory[[#This Row],[final_res]]</f>
        <v>197500</v>
      </c>
      <c r="CE1455">
        <f>Grandview_Inventory[[#This Row],[final_land]]+Grandview_Inventory[[#This Row],[final_imp]]+Grandview_Inventory[[#This Row],[crop_value]]</f>
        <v>246900</v>
      </c>
      <c r="CG1455" t="str">
        <f t="shared" si="22"/>
        <v>update valuation set market_land =49400, market_bldg=197500, market_total =246900, market_mdno =401, market_date ='9/10/2023' where link_id = (select link_id from parcel where parcel_year = '2024' and parcel_id = '23092323456');</v>
      </c>
    </row>
    <row r="1456" spans="1:85" x14ac:dyDescent="0.25">
      <c r="A1456">
        <v>23092323457</v>
      </c>
      <c r="B1456">
        <v>0.21</v>
      </c>
      <c r="C1456">
        <v>9113</v>
      </c>
      <c r="D1456" t="s">
        <v>129</v>
      </c>
      <c r="E1456" t="s">
        <v>53</v>
      </c>
      <c r="F1456" t="s">
        <v>53</v>
      </c>
      <c r="G1456">
        <v>4</v>
      </c>
      <c r="H1456" t="s">
        <v>54</v>
      </c>
      <c r="I1456">
        <v>135900</v>
      </c>
      <c r="J1456">
        <v>39800</v>
      </c>
      <c r="K1456">
        <v>0.21</v>
      </c>
      <c r="L145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456">
        <v>0</v>
      </c>
      <c r="N1456">
        <v>0</v>
      </c>
      <c r="O1456">
        <v>0</v>
      </c>
      <c r="P1456">
        <v>13398.7528</v>
      </c>
      <c r="Q1456">
        <v>63903</v>
      </c>
      <c r="R1456">
        <f>(Grandview_Inventory[[#This Row],[ln_acres]]*Grandview_Inventory[[#This Row],[coeff]])+Grandview_Inventory[[#This Row],[const]]</f>
        <v>42992.266613125081</v>
      </c>
      <c r="S1456" t="s">
        <v>68</v>
      </c>
      <c r="T1456">
        <v>1</v>
      </c>
      <c r="U1456" t="s">
        <v>65</v>
      </c>
      <c r="V1456" t="s">
        <v>69</v>
      </c>
      <c r="W1456">
        <v>0</v>
      </c>
      <c r="X1456">
        <v>0</v>
      </c>
      <c r="Y1456">
        <v>41</v>
      </c>
      <c r="Z1456">
        <v>78</v>
      </c>
      <c r="AA1456">
        <v>80</v>
      </c>
      <c r="AB1456">
        <v>2000</v>
      </c>
      <c r="AC1456">
        <v>1628</v>
      </c>
      <c r="AD1456">
        <v>1428</v>
      </c>
      <c r="AE1456">
        <v>0</v>
      </c>
      <c r="AF1456">
        <v>0</v>
      </c>
      <c r="AG1456">
        <v>200</v>
      </c>
      <c r="AH1456">
        <v>200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5</v>
      </c>
      <c r="AQ1456">
        <v>0</v>
      </c>
      <c r="AR1456">
        <v>0</v>
      </c>
      <c r="AS1456" t="s">
        <v>58</v>
      </c>
      <c r="AT1456">
        <v>0</v>
      </c>
      <c r="AU1456" t="s">
        <v>82</v>
      </c>
      <c r="AV1456" t="s">
        <v>60</v>
      </c>
      <c r="AW1456">
        <v>0</v>
      </c>
      <c r="AX1456">
        <v>3</v>
      </c>
      <c r="AY1456">
        <v>0</v>
      </c>
      <c r="AZ1456">
        <v>0</v>
      </c>
      <c r="BA1456">
        <v>100</v>
      </c>
      <c r="BB1456">
        <v>100</v>
      </c>
      <c r="BC1456">
        <v>100</v>
      </c>
      <c r="BD1456">
        <v>100</v>
      </c>
      <c r="BE1456">
        <v>1</v>
      </c>
      <c r="BF1456">
        <v>15000</v>
      </c>
      <c r="BG1456">
        <v>1000</v>
      </c>
      <c r="BH1456" s="6">
        <f>Grandview_Inventory[[#This Row],[land_extract]]*Lookups!$B$3</f>
        <v>49926.8031387023</v>
      </c>
      <c r="BI1456" s="6">
        <f>IF(Grandview_Inventory[[#This Row],[bldg_style]]="",0,Lookups!$B$2)</f>
        <v>155833.95000000001</v>
      </c>
      <c r="BJ1456" s="6">
        <f>_xlfn.IFNA(VLOOKUP(Grandview_Inventory[[#This Row],[quality]],Lookups!$H$2:$J$14,3,FALSE),0)</f>
        <v>2251</v>
      </c>
      <c r="BK1456" s="6">
        <f>_xlfn.IFNA(VLOOKUP(Grandview_Inventory[[#This Row],[condition]],Lookups!$H$17:$J$24,3,FALSE),0)</f>
        <v>-4503</v>
      </c>
      <c r="BL1456" s="6">
        <f>Grandview_Inventory[[#This Row],[Eff_Age]]*Lookups!$B$14</f>
        <v>-9805.8305999999993</v>
      </c>
      <c r="BM1456" s="6">
        <f>Grandview_Inventory[[#This Row],[living_area]]*Lookups!$B$15</f>
        <v>101556.028684</v>
      </c>
      <c r="BN1456" s="6">
        <f>Grandview_Inventory[[#This Row],[Fin BSMT]]*Lookups!$B$16</f>
        <v>-5419.848</v>
      </c>
      <c r="BO1456" s="6">
        <f>(Grandview_Inventory[[#This Row],[att_gar]]+Grandview_Inventory[[#This Row],[bltin_gar]])*Lookups!$B$17</f>
        <v>0</v>
      </c>
      <c r="BP1456" s="6">
        <f>Grandview_Inventory[[#This Row],[Plumbing Fixtures]]*Lookups!$B$18</f>
        <v>10052.209000000001</v>
      </c>
      <c r="BQ1456" s="6">
        <f>Grandview_Inventory[[#This Row],[detatched_value]]*Lookups!$B$19</f>
        <v>0</v>
      </c>
      <c r="BR1456" s="6">
        <f>SUM(Grandview_Inventory[[#This Row],[Intercept]:[det_value]])*Grandview_Inventory[[#This Row],[res_pct]]</f>
        <v>249964.50908400005</v>
      </c>
      <c r="BS1456" s="6">
        <f>Grandview_Inventory[[#This Row],[land_value]]</f>
        <v>49926.8031387023</v>
      </c>
      <c r="BT1456" s="4">
        <f>_xlfn.IFNA(VLOOKUP(Grandview_Inventory[[#This Row],[quality]],Lookups!$A$26:$C$33,3,FALSE),1)</f>
        <v>0.98763855981004833</v>
      </c>
      <c r="BU1456" s="4">
        <f>_xlfn.IFNA(VLOOKUP(Grandview_Inventory[[#This Row],[condition]],Lookups!$A$37:$C$44,3,FALSE),1)</f>
        <v>0.96469275950863709</v>
      </c>
      <c r="BV1456" s="4">
        <f>IF(Grandview_Inventory[[#This Row],[bldg_style]]="",1,_xlfn.IFNA(VLOOKUP(Grandview_Inventory[[#This Row],[decade]],Lookups!$F$29:$H$43,3,FALSE),1))</f>
        <v>0.98763256963907298</v>
      </c>
      <c r="BW1456" s="4">
        <f>_xlfn.IFNA(VLOOKUP(Grandview_Inventory[[#This Row],[living_area_range]],Lookups!$F$47:$H$56,3,FALSE),1)</f>
        <v>0.96120133463014379</v>
      </c>
      <c r="BX1456" s="4">
        <f>AVERAGE(Grandview_Inventory[[#This Row],[qual_adj]:[size_adj]])</f>
        <v>0.97529130589697544</v>
      </c>
      <c r="BY1456" s="6">
        <f>IF(Grandview_Inventory[[#This Row],[pre_res]]&lt;0,0,Grandview_Inventory[[#This Row],[pre_res]]*Grandview_Inventory[[#This Row],[overall_adj]])</f>
        <v>243788.21249243079</v>
      </c>
      <c r="BZ1456" s="6">
        <f>(Grandview_Inventory[[#This Row],[sum_land]]-IF(Grandview_Inventory[[#This Row],[no_utilities]]=1,12000,0))/IF(Grandview_Inventory[[#This Row],[unbuildable]]=1,2,1)</f>
        <v>49926.8031387023</v>
      </c>
      <c r="CA145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456">
        <f>ROUND(Grandview_Inventory[[#This Row],[det_value]]*Lookups!$M$28,-2)</f>
        <v>0</v>
      </c>
      <c r="CC1456">
        <f>IF(ROUND(Grandview_Inventory[[#This Row],[adj_res]]*Lookups!$M$28,-2)&lt;Grandview_Inventory[[#This Row],[min_res]],Grandview_Inventory[[#This Row],[min_res]],ROUND(Grandview_Inventory[[#This Row],[adj_res]]*Lookups!$M$28,-2))</f>
        <v>231600</v>
      </c>
      <c r="CD1456">
        <f>Grandview_Inventory[[#This Row],[final_det]]+Grandview_Inventory[[#This Row],[final_res]]</f>
        <v>231600</v>
      </c>
      <c r="CE1456">
        <f>Grandview_Inventory[[#This Row],[final_land]]+Grandview_Inventory[[#This Row],[final_imp]]+Grandview_Inventory[[#This Row],[crop_value]]</f>
        <v>279000</v>
      </c>
      <c r="CG1456" t="str">
        <f t="shared" si="22"/>
        <v>update valuation set market_land =47400, market_bldg=231600, market_total =279000, market_mdno =401, market_date ='9/10/2023' where link_id = (select link_id from parcel where parcel_year = '2024' and parcel_id = '23092323457');</v>
      </c>
    </row>
    <row r="1457" spans="1:85" x14ac:dyDescent="0.25">
      <c r="A1457">
        <v>23092323461</v>
      </c>
      <c r="B1457">
        <v>0.25</v>
      </c>
      <c r="C1457">
        <v>11044</v>
      </c>
      <c r="D1457" t="s">
        <v>129</v>
      </c>
      <c r="E1457" t="s">
        <v>53</v>
      </c>
      <c r="F1457" t="s">
        <v>53</v>
      </c>
      <c r="G1457">
        <v>4</v>
      </c>
      <c r="H1457" t="s">
        <v>54</v>
      </c>
      <c r="I1457">
        <v>113200</v>
      </c>
      <c r="J1457">
        <v>40500</v>
      </c>
      <c r="K1457">
        <v>0.25</v>
      </c>
      <c r="L145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457">
        <v>0</v>
      </c>
      <c r="N1457">
        <v>0</v>
      </c>
      <c r="O1457">
        <v>0</v>
      </c>
      <c r="P1457">
        <v>13398.7528</v>
      </c>
      <c r="Q1457">
        <v>63903</v>
      </c>
      <c r="R1457">
        <f>(Grandview_Inventory[[#This Row],[ln_acres]]*Grandview_Inventory[[#This Row],[coeff]])+Grandview_Inventory[[#This Row],[const]]</f>
        <v>45328.38454732066</v>
      </c>
      <c r="S1457" t="s">
        <v>68</v>
      </c>
      <c r="T1457">
        <v>1</v>
      </c>
      <c r="U1457" t="s">
        <v>80</v>
      </c>
      <c r="V1457" t="s">
        <v>69</v>
      </c>
      <c r="W1457">
        <v>0</v>
      </c>
      <c r="X1457">
        <v>0</v>
      </c>
      <c r="Y1457">
        <v>57</v>
      </c>
      <c r="Z1457">
        <v>103</v>
      </c>
      <c r="AA1457">
        <v>110</v>
      </c>
      <c r="AB1457">
        <v>1500</v>
      </c>
      <c r="AC1457">
        <v>1059</v>
      </c>
      <c r="AD1457">
        <v>1059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200</v>
      </c>
      <c r="AL1457">
        <v>0</v>
      </c>
      <c r="AM1457">
        <v>0</v>
      </c>
      <c r="AN1457">
        <v>85</v>
      </c>
      <c r="AO1457">
        <v>0</v>
      </c>
      <c r="AP1457">
        <v>5</v>
      </c>
      <c r="AQ1457">
        <v>0</v>
      </c>
      <c r="AR1457">
        <v>0</v>
      </c>
      <c r="AS1457" t="s">
        <v>58</v>
      </c>
      <c r="AT1457">
        <v>0</v>
      </c>
      <c r="AU1457" t="s">
        <v>82</v>
      </c>
      <c r="AV1457" t="s">
        <v>64</v>
      </c>
      <c r="AW1457">
        <v>0</v>
      </c>
      <c r="AX1457">
        <v>3</v>
      </c>
      <c r="AY1457">
        <v>0</v>
      </c>
      <c r="AZ1457">
        <v>11000</v>
      </c>
      <c r="BA1457">
        <v>100</v>
      </c>
      <c r="BB1457">
        <v>100</v>
      </c>
      <c r="BC1457">
        <v>100</v>
      </c>
      <c r="BD1457">
        <v>100</v>
      </c>
      <c r="BE1457">
        <v>1</v>
      </c>
      <c r="BF1457">
        <v>15000</v>
      </c>
      <c r="BG1457">
        <v>1000</v>
      </c>
      <c r="BH1457" s="6">
        <f>Grandview_Inventory[[#This Row],[land_extract]]*Lookups!$B$3</f>
        <v>52639.730588165206</v>
      </c>
      <c r="BI1457" s="6">
        <f>IF(Grandview_Inventory[[#This Row],[bldg_style]]="",0,Lookups!$B$2)</f>
        <v>155833.95000000001</v>
      </c>
      <c r="BJ1457" s="6">
        <f>_xlfn.IFNA(VLOOKUP(Grandview_Inventory[[#This Row],[quality]],Lookups!$H$2:$J$14,3,FALSE),0)</f>
        <v>-28558</v>
      </c>
      <c r="BK1457" s="6">
        <f>_xlfn.IFNA(VLOOKUP(Grandview_Inventory[[#This Row],[condition]],Lookups!$H$17:$J$24,3,FALSE),0)</f>
        <v>-4503</v>
      </c>
      <c r="BL1457" s="6">
        <f>Grandview_Inventory[[#This Row],[Eff_Age]]*Lookups!$B$14</f>
        <v>-13632.4962</v>
      </c>
      <c r="BM1457" s="6">
        <f>Grandview_Inventory[[#This Row],[living_area]]*Lookups!$B$15</f>
        <v>66061.323327000006</v>
      </c>
      <c r="BN1457" s="6">
        <f>Grandview_Inventory[[#This Row],[Fin BSMT]]*Lookups!$B$16</f>
        <v>0</v>
      </c>
      <c r="BO1457" s="6">
        <f>(Grandview_Inventory[[#This Row],[att_gar]]+Grandview_Inventory[[#This Row],[bltin_gar]])*Lookups!$B$17</f>
        <v>0</v>
      </c>
      <c r="BP1457" s="6">
        <f>Grandview_Inventory[[#This Row],[Plumbing Fixtures]]*Lookups!$B$18</f>
        <v>10052.209000000001</v>
      </c>
      <c r="BQ1457" s="6">
        <f>Grandview_Inventory[[#This Row],[detatched_value]]*Lookups!$B$19</f>
        <v>9314.8560999999991</v>
      </c>
      <c r="BR1457" s="6">
        <f>SUM(Grandview_Inventory[[#This Row],[Intercept]:[det_value]])*Grandview_Inventory[[#This Row],[res_pct]]</f>
        <v>194568.84222700004</v>
      </c>
      <c r="BS1457" s="6">
        <f>Grandview_Inventory[[#This Row],[land_value]]</f>
        <v>52639.730588165206</v>
      </c>
      <c r="BT1457" s="4">
        <f>_xlfn.IFNA(VLOOKUP(Grandview_Inventory[[#This Row],[quality]],Lookups!$A$26:$C$33,3,FALSE),1)</f>
        <v>0.9690360070159818</v>
      </c>
      <c r="BU1457" s="4">
        <f>_xlfn.IFNA(VLOOKUP(Grandview_Inventory[[#This Row],[condition]],Lookups!$A$37:$C$44,3,FALSE),1)</f>
        <v>0.96469275950863709</v>
      </c>
      <c r="BV1457" s="4">
        <f>IF(Grandview_Inventory[[#This Row],[bldg_style]]="",1,_xlfn.IFNA(VLOOKUP(Grandview_Inventory[[#This Row],[decade]],Lookups!$F$29:$H$43,3,FALSE),1))</f>
        <v>0.92255236374249616</v>
      </c>
      <c r="BW1457" s="4">
        <f>_xlfn.IFNA(VLOOKUP(Grandview_Inventory[[#This Row],[living_area_range]],Lookups!$F$47:$H$56,3,FALSE),1)</f>
        <v>0.96135087979789358</v>
      </c>
      <c r="BX1457" s="4">
        <f>AVERAGE(Grandview_Inventory[[#This Row],[qual_adj]:[size_adj]])</f>
        <v>0.95440800251625213</v>
      </c>
      <c r="BY1457" s="6">
        <f>IF(Grandview_Inventory[[#This Row],[pre_res]]&lt;0,0,Grandview_Inventory[[#This Row],[pre_res]]*Grandview_Inventory[[#This Row],[overall_adj]])</f>
        <v>185698.06006177093</v>
      </c>
      <c r="BZ1457" s="6">
        <f>(Grandview_Inventory[[#This Row],[sum_land]]-IF(Grandview_Inventory[[#This Row],[no_utilities]]=1,12000,0))/IF(Grandview_Inventory[[#This Row],[unbuildable]]=1,2,1)</f>
        <v>52639.730588165206</v>
      </c>
      <c r="CA145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457">
        <f>ROUND(Grandview_Inventory[[#This Row],[det_value]]*Lookups!$M$28,-2)</f>
        <v>8800</v>
      </c>
      <c r="CC1457">
        <f>IF(ROUND(Grandview_Inventory[[#This Row],[adj_res]]*Lookups!$M$28,-2)&lt;Grandview_Inventory[[#This Row],[min_res]],Grandview_Inventory[[#This Row],[min_res]],ROUND(Grandview_Inventory[[#This Row],[adj_res]]*Lookups!$M$28,-2))</f>
        <v>176400</v>
      </c>
      <c r="CD1457">
        <f>Grandview_Inventory[[#This Row],[final_det]]+Grandview_Inventory[[#This Row],[final_res]]</f>
        <v>185200</v>
      </c>
      <c r="CE1457">
        <f>Grandview_Inventory[[#This Row],[final_land]]+Grandview_Inventory[[#This Row],[final_imp]]+Grandview_Inventory[[#This Row],[crop_value]]</f>
        <v>235200</v>
      </c>
      <c r="CG1457" t="str">
        <f t="shared" si="22"/>
        <v>update valuation set market_land =50000, market_bldg=185200, market_total =235200, market_mdno =401, market_date ='9/10/2023' where link_id = (select link_id from parcel where parcel_year = '2024' and parcel_id = '23092323461');</v>
      </c>
    </row>
    <row r="1458" spans="1:85" x14ac:dyDescent="0.25">
      <c r="A1458">
        <v>23092323462</v>
      </c>
      <c r="B1458">
        <v>0.25</v>
      </c>
      <c r="C1458">
        <v>11070</v>
      </c>
      <c r="D1458" t="s">
        <v>129</v>
      </c>
      <c r="E1458" t="s">
        <v>53</v>
      </c>
      <c r="F1458" t="s">
        <v>53</v>
      </c>
      <c r="G1458">
        <v>4</v>
      </c>
      <c r="H1458" t="s">
        <v>54</v>
      </c>
      <c r="I1458">
        <v>131800</v>
      </c>
      <c r="J1458">
        <v>40500</v>
      </c>
      <c r="K1458">
        <v>0.25</v>
      </c>
      <c r="L145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458">
        <v>0</v>
      </c>
      <c r="N1458">
        <v>0</v>
      </c>
      <c r="O1458">
        <v>0</v>
      </c>
      <c r="P1458">
        <v>13398.7528</v>
      </c>
      <c r="Q1458">
        <v>63903</v>
      </c>
      <c r="R1458">
        <f>(Grandview_Inventory[[#This Row],[ln_acres]]*Grandview_Inventory[[#This Row],[coeff]])+Grandview_Inventory[[#This Row],[const]]</f>
        <v>45328.38454732066</v>
      </c>
      <c r="S1458" t="s">
        <v>61</v>
      </c>
      <c r="T1458">
        <v>1</v>
      </c>
      <c r="U1458" t="s">
        <v>80</v>
      </c>
      <c r="V1458" t="s">
        <v>69</v>
      </c>
      <c r="W1458">
        <v>0</v>
      </c>
      <c r="X1458">
        <v>0</v>
      </c>
      <c r="Y1458">
        <v>51</v>
      </c>
      <c r="Z1458">
        <v>83</v>
      </c>
      <c r="AA1458">
        <v>90</v>
      </c>
      <c r="AB1458">
        <v>1500</v>
      </c>
      <c r="AC1458">
        <v>1296</v>
      </c>
      <c r="AD1458">
        <v>1296</v>
      </c>
      <c r="AE1458">
        <v>0</v>
      </c>
      <c r="AF1458">
        <v>0</v>
      </c>
      <c r="AG1458">
        <v>0</v>
      </c>
      <c r="AH1458">
        <v>0</v>
      </c>
      <c r="AI1458">
        <v>200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5</v>
      </c>
      <c r="AQ1458">
        <v>0</v>
      </c>
      <c r="AR1458">
        <v>0</v>
      </c>
      <c r="AS1458" t="s">
        <v>58</v>
      </c>
      <c r="AT1458">
        <v>1</v>
      </c>
      <c r="AU1458" t="s">
        <v>75</v>
      </c>
      <c r="AV1458" t="s">
        <v>60</v>
      </c>
      <c r="AW1458">
        <v>0</v>
      </c>
      <c r="AX1458">
        <v>2</v>
      </c>
      <c r="AY1458">
        <v>0</v>
      </c>
      <c r="AZ1458">
        <v>0</v>
      </c>
      <c r="BA1458">
        <v>100</v>
      </c>
      <c r="BB1458">
        <v>100</v>
      </c>
      <c r="BC1458">
        <v>100</v>
      </c>
      <c r="BD1458">
        <v>100</v>
      </c>
      <c r="BE1458">
        <v>1</v>
      </c>
      <c r="BF1458">
        <v>15000</v>
      </c>
      <c r="BG1458">
        <v>1000</v>
      </c>
      <c r="BH1458" s="6">
        <f>Grandview_Inventory[[#This Row],[land_extract]]*Lookups!$B$3</f>
        <v>52639.730588165206</v>
      </c>
      <c r="BI1458" s="6">
        <f>IF(Grandview_Inventory[[#This Row],[bldg_style]]="",0,Lookups!$B$2)</f>
        <v>155833.95000000001</v>
      </c>
      <c r="BJ1458" s="6">
        <f>_xlfn.IFNA(VLOOKUP(Grandview_Inventory[[#This Row],[quality]],Lookups!$H$2:$J$14,3,FALSE),0)</f>
        <v>-28558</v>
      </c>
      <c r="BK1458" s="6">
        <f>_xlfn.IFNA(VLOOKUP(Grandview_Inventory[[#This Row],[condition]],Lookups!$H$17:$J$24,3,FALSE),0)</f>
        <v>-4503</v>
      </c>
      <c r="BL1458" s="6">
        <f>Grandview_Inventory[[#This Row],[Eff_Age]]*Lookups!$B$14</f>
        <v>-12197.496599999999</v>
      </c>
      <c r="BM1458" s="6">
        <f>Grandview_Inventory[[#This Row],[living_area]]*Lookups!$B$15</f>
        <v>80845.585487999997</v>
      </c>
      <c r="BN1458" s="6">
        <f>Grandview_Inventory[[#This Row],[Fin BSMT]]*Lookups!$B$16</f>
        <v>0</v>
      </c>
      <c r="BO1458" s="6">
        <f>(Grandview_Inventory[[#This Row],[att_gar]]+Grandview_Inventory[[#This Row],[bltin_gar]])*Lookups!$B$17</f>
        <v>17504.0874</v>
      </c>
      <c r="BP1458" s="6">
        <f>Grandview_Inventory[[#This Row],[Plumbing Fixtures]]*Lookups!$B$18</f>
        <v>10052.209000000001</v>
      </c>
      <c r="BQ1458" s="6">
        <f>Grandview_Inventory[[#This Row],[detatched_value]]*Lookups!$B$19</f>
        <v>0</v>
      </c>
      <c r="BR1458" s="6">
        <f>SUM(Grandview_Inventory[[#This Row],[Intercept]:[det_value]])*Grandview_Inventory[[#This Row],[res_pct]]</f>
        <v>218977.335288</v>
      </c>
      <c r="BS1458" s="6">
        <f>Grandview_Inventory[[#This Row],[land_value]]</f>
        <v>52639.730588165206</v>
      </c>
      <c r="BT1458" s="4">
        <f>_xlfn.IFNA(VLOOKUP(Grandview_Inventory[[#This Row],[quality]],Lookups!$A$26:$C$33,3,FALSE),1)</f>
        <v>0.9690360070159818</v>
      </c>
      <c r="BU1458" s="4">
        <f>_xlfn.IFNA(VLOOKUP(Grandview_Inventory[[#This Row],[condition]],Lookups!$A$37:$C$44,3,FALSE),1)</f>
        <v>0.96469275950863709</v>
      </c>
      <c r="BV1458" s="4">
        <f>IF(Grandview_Inventory[[#This Row],[bldg_style]]="",1,_xlfn.IFNA(VLOOKUP(Grandview_Inventory[[#This Row],[decade]],Lookups!$F$29:$H$43,3,FALSE),1))</f>
        <v>0.94161750052457416</v>
      </c>
      <c r="BW1458" s="4">
        <f>_xlfn.IFNA(VLOOKUP(Grandview_Inventory[[#This Row],[living_area_range]],Lookups!$F$47:$H$56,3,FALSE),1)</f>
        <v>0.96135087979789358</v>
      </c>
      <c r="BX1458" s="4">
        <f>AVERAGE(Grandview_Inventory[[#This Row],[qual_adj]:[size_adj]])</f>
        <v>0.95917428671177163</v>
      </c>
      <c r="BY1458" s="6">
        <f>IF(Grandview_Inventory[[#This Row],[pre_res]]&lt;0,0,Grandview_Inventory[[#This Row],[pre_res]]*Grandview_Inventory[[#This Row],[overall_adj]])</f>
        <v>210037.42938091187</v>
      </c>
      <c r="BZ1458" s="6">
        <f>(Grandview_Inventory[[#This Row],[sum_land]]-IF(Grandview_Inventory[[#This Row],[no_utilities]]=1,12000,0))/IF(Grandview_Inventory[[#This Row],[unbuildable]]=1,2,1)</f>
        <v>52639.730588165206</v>
      </c>
      <c r="CA145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458">
        <f>ROUND(Grandview_Inventory[[#This Row],[det_value]]*Lookups!$M$28,-2)</f>
        <v>0</v>
      </c>
      <c r="CC1458">
        <f>IF(ROUND(Grandview_Inventory[[#This Row],[adj_res]]*Lookups!$M$28,-2)&lt;Grandview_Inventory[[#This Row],[min_res]],Grandview_Inventory[[#This Row],[min_res]],ROUND(Grandview_Inventory[[#This Row],[adj_res]]*Lookups!$M$28,-2))</f>
        <v>199500</v>
      </c>
      <c r="CD1458">
        <f>Grandview_Inventory[[#This Row],[final_det]]+Grandview_Inventory[[#This Row],[final_res]]</f>
        <v>199500</v>
      </c>
      <c r="CE1458">
        <f>Grandview_Inventory[[#This Row],[final_land]]+Grandview_Inventory[[#This Row],[final_imp]]+Grandview_Inventory[[#This Row],[crop_value]]</f>
        <v>249500</v>
      </c>
      <c r="CG1458" t="str">
        <f t="shared" si="22"/>
        <v>update valuation set market_land =50000, market_bldg=199500, market_total =249500, market_mdno =401, market_date ='9/10/2023' where link_id = (select link_id from parcel where parcel_year = '2024' and parcel_id = '23092323462');</v>
      </c>
    </row>
    <row r="1459" spans="1:85" x14ac:dyDescent="0.25">
      <c r="A1459">
        <v>23092323463</v>
      </c>
      <c r="B1459">
        <v>0.24</v>
      </c>
      <c r="C1459">
        <v>10594</v>
      </c>
      <c r="D1459" t="s">
        <v>129</v>
      </c>
      <c r="E1459" t="s">
        <v>53</v>
      </c>
      <c r="F1459" t="s">
        <v>53</v>
      </c>
      <c r="G1459">
        <v>4</v>
      </c>
      <c r="H1459" t="s">
        <v>54</v>
      </c>
      <c r="I1459">
        <v>132500</v>
      </c>
      <c r="J1459">
        <v>40400</v>
      </c>
      <c r="K1459">
        <v>0.24</v>
      </c>
      <c r="L145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59">
        <v>0</v>
      </c>
      <c r="N1459">
        <v>0</v>
      </c>
      <c r="O1459">
        <v>0</v>
      </c>
      <c r="P1459">
        <v>13398.7528</v>
      </c>
      <c r="Q1459">
        <v>63903</v>
      </c>
      <c r="R1459">
        <f>(Grandview_Inventory[[#This Row],[ln_acres]]*Grandview_Inventory[[#This Row],[coeff]])+Grandview_Inventory[[#This Row],[const]]</f>
        <v>44781.420733940802</v>
      </c>
      <c r="S1459" t="s">
        <v>68</v>
      </c>
      <c r="T1459">
        <v>1</v>
      </c>
      <c r="U1459" t="s">
        <v>70</v>
      </c>
      <c r="V1459" t="s">
        <v>69</v>
      </c>
      <c r="W1459">
        <v>0</v>
      </c>
      <c r="X1459">
        <v>0</v>
      </c>
      <c r="Y1459">
        <v>52</v>
      </c>
      <c r="Z1459">
        <v>88</v>
      </c>
      <c r="AA1459">
        <v>90</v>
      </c>
      <c r="AB1459">
        <v>1000</v>
      </c>
      <c r="AC1459">
        <v>1000</v>
      </c>
      <c r="AD1459">
        <v>1000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336</v>
      </c>
      <c r="AL1459">
        <v>0</v>
      </c>
      <c r="AM1459">
        <v>349</v>
      </c>
      <c r="AN1459">
        <v>24</v>
      </c>
      <c r="AO1459">
        <v>0</v>
      </c>
      <c r="AP1459">
        <v>5</v>
      </c>
      <c r="AQ1459">
        <v>0</v>
      </c>
      <c r="AR1459">
        <v>0</v>
      </c>
      <c r="AS1459" t="s">
        <v>71</v>
      </c>
      <c r="AT1459">
        <v>0</v>
      </c>
      <c r="AU1459" t="s">
        <v>82</v>
      </c>
      <c r="AV1459" t="s">
        <v>81</v>
      </c>
      <c r="AW1459">
        <v>0</v>
      </c>
      <c r="AX1459">
        <v>2</v>
      </c>
      <c r="AY1459">
        <v>0</v>
      </c>
      <c r="AZ1459">
        <v>8000</v>
      </c>
      <c r="BA1459">
        <v>100</v>
      </c>
      <c r="BB1459">
        <v>100</v>
      </c>
      <c r="BC1459">
        <v>100</v>
      </c>
      <c r="BD1459">
        <v>100</v>
      </c>
      <c r="BE1459">
        <v>1</v>
      </c>
      <c r="BF1459">
        <v>15000</v>
      </c>
      <c r="BG1459">
        <v>1000</v>
      </c>
      <c r="BH1459" s="6">
        <f>Grandview_Inventory[[#This Row],[land_extract]]*Lookups!$B$3</f>
        <v>52004.542988489469</v>
      </c>
      <c r="BI1459" s="6">
        <f>IF(Grandview_Inventory[[#This Row],[bldg_style]]="",0,Lookups!$B$2)</f>
        <v>155833.95000000001</v>
      </c>
      <c r="BJ1459" s="6">
        <f>_xlfn.IFNA(VLOOKUP(Grandview_Inventory[[#This Row],[quality]],Lookups!$H$2:$J$14,3,FALSE),0)</f>
        <v>10733</v>
      </c>
      <c r="BK1459" s="6">
        <f>_xlfn.IFNA(VLOOKUP(Grandview_Inventory[[#This Row],[condition]],Lookups!$H$17:$J$24,3,FALSE),0)</f>
        <v>-4503</v>
      </c>
      <c r="BL1459" s="6">
        <f>Grandview_Inventory[[#This Row],[Eff_Age]]*Lookups!$B$14</f>
        <v>-12436.663199999999</v>
      </c>
      <c r="BM1459" s="6">
        <f>Grandview_Inventory[[#This Row],[living_area]]*Lookups!$B$15</f>
        <v>62380.853000000003</v>
      </c>
      <c r="BN1459" s="6">
        <f>Grandview_Inventory[[#This Row],[Fin BSMT]]*Lookups!$B$16</f>
        <v>0</v>
      </c>
      <c r="BO1459" s="6">
        <f>(Grandview_Inventory[[#This Row],[att_gar]]+Grandview_Inventory[[#This Row],[bltin_gar]])*Lookups!$B$17</f>
        <v>0</v>
      </c>
      <c r="BP1459" s="6">
        <f>Grandview_Inventory[[#This Row],[Plumbing Fixtures]]*Lookups!$B$18</f>
        <v>10052.209000000001</v>
      </c>
      <c r="BQ1459" s="6">
        <f>Grandview_Inventory[[#This Row],[detatched_value]]*Lookups!$B$19</f>
        <v>6774.4407999999994</v>
      </c>
      <c r="BR1459" s="6">
        <f>SUM(Grandview_Inventory[[#This Row],[Intercept]:[det_value]])*Grandview_Inventory[[#This Row],[res_pct]]</f>
        <v>228834.78960000002</v>
      </c>
      <c r="BS1459" s="6">
        <f>Grandview_Inventory[[#This Row],[land_value]]</f>
        <v>52004.542988489469</v>
      </c>
      <c r="BT1459" s="4">
        <f>_xlfn.IFNA(VLOOKUP(Grandview_Inventory[[#This Row],[quality]],Lookups!$A$26:$C$33,3,FALSE),1)</f>
        <v>0.98079741117310582</v>
      </c>
      <c r="BU1459" s="4">
        <f>_xlfn.IFNA(VLOOKUP(Grandview_Inventory[[#This Row],[condition]],Lookups!$A$37:$C$44,3,FALSE),1)</f>
        <v>0.96469275950863709</v>
      </c>
      <c r="BV1459" s="4">
        <f>IF(Grandview_Inventory[[#This Row],[bldg_style]]="",1,_xlfn.IFNA(VLOOKUP(Grandview_Inventory[[#This Row],[decade]],Lookups!$F$29:$H$43,3,FALSE),1))</f>
        <v>0.94161750052457416</v>
      </c>
      <c r="BW1459" s="4">
        <f>_xlfn.IFNA(VLOOKUP(Grandview_Inventory[[#This Row],[living_area_range]],Lookups!$F$47:$H$56,3,FALSE),1)</f>
        <v>0.94306777142782894</v>
      </c>
      <c r="BX1459" s="4">
        <f>AVERAGE(Grandview_Inventory[[#This Row],[qual_adj]:[size_adj]])</f>
        <v>0.95754386065853647</v>
      </c>
      <c r="BY1459" s="6">
        <f>IF(Grandview_Inventory[[#This Row],[pre_res]]&lt;0,0,Grandview_Inventory[[#This Row],[pre_res]]*Grandview_Inventory[[#This Row],[overall_adj]])</f>
        <v>219119.34788656794</v>
      </c>
      <c r="BZ1459" s="6">
        <f>(Grandview_Inventory[[#This Row],[sum_land]]-IF(Grandview_Inventory[[#This Row],[no_utilities]]=1,12000,0))/IF(Grandview_Inventory[[#This Row],[unbuildable]]=1,2,1)</f>
        <v>52004.542988489469</v>
      </c>
      <c r="CA145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59">
        <f>ROUND(Grandview_Inventory[[#This Row],[det_value]]*Lookups!$M$28,-2)</f>
        <v>6400</v>
      </c>
      <c r="CC1459">
        <f>IF(ROUND(Grandview_Inventory[[#This Row],[adj_res]]*Lookups!$M$28,-2)&lt;Grandview_Inventory[[#This Row],[min_res]],Grandview_Inventory[[#This Row],[min_res]],ROUND(Grandview_Inventory[[#This Row],[adj_res]]*Lookups!$M$28,-2))</f>
        <v>208200</v>
      </c>
      <c r="CD1459">
        <f>Grandview_Inventory[[#This Row],[final_det]]+Grandview_Inventory[[#This Row],[final_res]]</f>
        <v>214600</v>
      </c>
      <c r="CE1459">
        <f>Grandview_Inventory[[#This Row],[final_land]]+Grandview_Inventory[[#This Row],[final_imp]]+Grandview_Inventory[[#This Row],[crop_value]]</f>
        <v>264000</v>
      </c>
      <c r="CG1459" t="str">
        <f t="shared" si="22"/>
        <v>update valuation set market_land =49400, market_bldg=214600, market_total =264000, market_mdno =401, market_date ='9/10/2023' where link_id = (select link_id from parcel where parcel_year = '2024' and parcel_id = '23092323463');</v>
      </c>
    </row>
    <row r="1460" spans="1:85" x14ac:dyDescent="0.25">
      <c r="A1460">
        <v>23092323464</v>
      </c>
      <c r="B1460">
        <v>0.26</v>
      </c>
      <c r="C1460">
        <v>11256</v>
      </c>
      <c r="D1460" t="s">
        <v>129</v>
      </c>
      <c r="E1460" t="s">
        <v>53</v>
      </c>
      <c r="F1460" t="s">
        <v>53</v>
      </c>
      <c r="G1460">
        <v>4</v>
      </c>
      <c r="H1460" t="s">
        <v>54</v>
      </c>
      <c r="I1460">
        <v>98000</v>
      </c>
      <c r="J1460">
        <v>40500</v>
      </c>
      <c r="K1460">
        <v>0.26</v>
      </c>
      <c r="L1460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460">
        <v>0</v>
      </c>
      <c r="N1460">
        <v>0</v>
      </c>
      <c r="O1460">
        <v>0</v>
      </c>
      <c r="P1460">
        <v>13398.7528</v>
      </c>
      <c r="Q1460">
        <v>63903</v>
      </c>
      <c r="R1460">
        <f>(Grandview_Inventory[[#This Row],[ln_acres]]*Grandview_Inventory[[#This Row],[coeff]])+Grandview_Inventory[[#This Row],[const]]</f>
        <v>45853.893187501177</v>
      </c>
      <c r="S1460" t="s">
        <v>68</v>
      </c>
      <c r="T1460">
        <v>1</v>
      </c>
      <c r="U1460" t="s">
        <v>80</v>
      </c>
      <c r="V1460" t="s">
        <v>67</v>
      </c>
      <c r="W1460">
        <v>0</v>
      </c>
      <c r="X1460">
        <v>0</v>
      </c>
      <c r="Y1460">
        <v>51</v>
      </c>
      <c r="Z1460">
        <v>78</v>
      </c>
      <c r="AA1460">
        <v>80</v>
      </c>
      <c r="AB1460">
        <v>1000</v>
      </c>
      <c r="AC1460">
        <v>910</v>
      </c>
      <c r="AD1460">
        <v>910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12</v>
      </c>
      <c r="AO1460">
        <v>0</v>
      </c>
      <c r="AP1460">
        <v>5</v>
      </c>
      <c r="AQ1460">
        <v>0</v>
      </c>
      <c r="AR1460">
        <v>0</v>
      </c>
      <c r="AS1460" t="s">
        <v>58</v>
      </c>
      <c r="AT1460">
        <v>1</v>
      </c>
      <c r="AU1460" t="s">
        <v>75</v>
      </c>
      <c r="AV1460" t="s">
        <v>60</v>
      </c>
      <c r="AW1460">
        <v>0</v>
      </c>
      <c r="AX1460">
        <v>2</v>
      </c>
      <c r="AY1460">
        <v>0</v>
      </c>
      <c r="AZ1460">
        <v>0</v>
      </c>
      <c r="BA1460">
        <v>100</v>
      </c>
      <c r="BB1460">
        <v>100</v>
      </c>
      <c r="BC1460">
        <v>100</v>
      </c>
      <c r="BD1460">
        <v>100</v>
      </c>
      <c r="BE1460">
        <v>1</v>
      </c>
      <c r="BF1460">
        <v>15000</v>
      </c>
      <c r="BG1460">
        <v>1000</v>
      </c>
      <c r="BH1460" s="6">
        <f>Grandview_Inventory[[#This Row],[land_extract]]*Lookups!$B$3</f>
        <v>53250.00235313351</v>
      </c>
      <c r="BI1460" s="6">
        <f>IF(Grandview_Inventory[[#This Row],[bldg_style]]="",0,Lookups!$B$2)</f>
        <v>155833.95000000001</v>
      </c>
      <c r="BJ1460" s="6">
        <f>_xlfn.IFNA(VLOOKUP(Grandview_Inventory[[#This Row],[quality]],Lookups!$H$2:$J$14,3,FALSE),0)</f>
        <v>-28558</v>
      </c>
      <c r="BK1460" s="6">
        <f>_xlfn.IFNA(VLOOKUP(Grandview_Inventory[[#This Row],[condition]],Lookups!$H$17:$J$24,3,FALSE),0)</f>
        <v>22342</v>
      </c>
      <c r="BL1460" s="6">
        <f>Grandview_Inventory[[#This Row],[Eff_Age]]*Lookups!$B$14</f>
        <v>-12197.496599999999</v>
      </c>
      <c r="BM1460" s="6">
        <f>Grandview_Inventory[[#This Row],[living_area]]*Lookups!$B$15</f>
        <v>56766.576229999999</v>
      </c>
      <c r="BN1460" s="6">
        <f>Grandview_Inventory[[#This Row],[Fin BSMT]]*Lookups!$B$16</f>
        <v>0</v>
      </c>
      <c r="BO1460" s="6">
        <f>(Grandview_Inventory[[#This Row],[att_gar]]+Grandview_Inventory[[#This Row],[bltin_gar]])*Lookups!$B$17</f>
        <v>0</v>
      </c>
      <c r="BP1460" s="6">
        <f>Grandview_Inventory[[#This Row],[Plumbing Fixtures]]*Lookups!$B$18</f>
        <v>10052.209000000001</v>
      </c>
      <c r="BQ1460" s="6">
        <f>Grandview_Inventory[[#This Row],[detatched_value]]*Lookups!$B$19</f>
        <v>0</v>
      </c>
      <c r="BR1460" s="6">
        <f>SUM(Grandview_Inventory[[#This Row],[Intercept]:[det_value]])*Grandview_Inventory[[#This Row],[res_pct]]</f>
        <v>204239.23863000001</v>
      </c>
      <c r="BS1460" s="6">
        <f>Grandview_Inventory[[#This Row],[land_value]]</f>
        <v>53250.00235313351</v>
      </c>
      <c r="BT1460" s="4">
        <f>_xlfn.IFNA(VLOOKUP(Grandview_Inventory[[#This Row],[quality]],Lookups!$A$26:$C$33,3,FALSE),1)</f>
        <v>0.9690360070159818</v>
      </c>
      <c r="BU1460" s="4">
        <f>_xlfn.IFNA(VLOOKUP(Grandview_Inventory[[#This Row],[condition]],Lookups!$A$37:$C$44,3,FALSE),1)</f>
        <v>0.97383723671140243</v>
      </c>
      <c r="BV1460" s="4">
        <f>IF(Grandview_Inventory[[#This Row],[bldg_style]]="",1,_xlfn.IFNA(VLOOKUP(Grandview_Inventory[[#This Row],[decade]],Lookups!$F$29:$H$43,3,FALSE),1))</f>
        <v>0.98763256963907298</v>
      </c>
      <c r="BW1460" s="4">
        <f>_xlfn.IFNA(VLOOKUP(Grandview_Inventory[[#This Row],[living_area_range]],Lookups!$F$47:$H$56,3,FALSE),1)</f>
        <v>0.94306777142782894</v>
      </c>
      <c r="BX1460" s="4">
        <f>AVERAGE(Grandview_Inventory[[#This Row],[qual_adj]:[size_adj]])</f>
        <v>0.96839339619857145</v>
      </c>
      <c r="BY1460" s="6">
        <f>IF(Grandview_Inventory[[#This Row],[pre_res]]&lt;0,0,Grandview_Inventory[[#This Row],[pre_res]]*Grandview_Inventory[[#This Row],[overall_adj]])</f>
        <v>197783.92993391617</v>
      </c>
      <c r="BZ1460" s="6">
        <f>(Grandview_Inventory[[#This Row],[sum_land]]-IF(Grandview_Inventory[[#This Row],[no_utilities]]=1,12000,0))/IF(Grandview_Inventory[[#This Row],[unbuildable]]=1,2,1)</f>
        <v>53250.00235313351</v>
      </c>
      <c r="CA1460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460">
        <f>ROUND(Grandview_Inventory[[#This Row],[det_value]]*Lookups!$M$28,-2)</f>
        <v>0</v>
      </c>
      <c r="CC1460">
        <f>IF(ROUND(Grandview_Inventory[[#This Row],[adj_res]]*Lookups!$M$28,-2)&lt;Grandview_Inventory[[#This Row],[min_res]],Grandview_Inventory[[#This Row],[min_res]],ROUND(Grandview_Inventory[[#This Row],[adj_res]]*Lookups!$M$28,-2))</f>
        <v>187900</v>
      </c>
      <c r="CD1460">
        <f>Grandview_Inventory[[#This Row],[final_det]]+Grandview_Inventory[[#This Row],[final_res]]</f>
        <v>187900</v>
      </c>
      <c r="CE1460">
        <f>Grandview_Inventory[[#This Row],[final_land]]+Grandview_Inventory[[#This Row],[final_imp]]+Grandview_Inventory[[#This Row],[crop_value]]</f>
        <v>238500</v>
      </c>
      <c r="CG1460" t="str">
        <f t="shared" si="22"/>
        <v>update valuation set market_land =50600, market_bldg=187900, market_total =238500, market_mdno =401, market_date ='9/10/2023' where link_id = (select link_id from parcel where parcel_year = '2024' and parcel_id = '23092323464');</v>
      </c>
    </row>
    <row r="1461" spans="1:85" x14ac:dyDescent="0.25">
      <c r="A1461">
        <v>23092323465</v>
      </c>
      <c r="B1461">
        <v>0.35</v>
      </c>
      <c r="C1461">
        <v>15181</v>
      </c>
      <c r="D1461" t="s">
        <v>129</v>
      </c>
      <c r="E1461" t="s">
        <v>53</v>
      </c>
      <c r="F1461" t="s">
        <v>53</v>
      </c>
      <c r="G1461">
        <v>4</v>
      </c>
      <c r="H1461" t="s">
        <v>54</v>
      </c>
      <c r="I1461">
        <v>125800</v>
      </c>
      <c r="J1461">
        <v>46300</v>
      </c>
      <c r="K1461">
        <v>0.35</v>
      </c>
      <c r="L1461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461">
        <v>0</v>
      </c>
      <c r="N1461">
        <v>0</v>
      </c>
      <c r="O1461">
        <v>0</v>
      </c>
      <c r="P1461">
        <v>13398.7528</v>
      </c>
      <c r="Q1461">
        <v>63903</v>
      </c>
      <c r="R1461">
        <f>(Grandview_Inventory[[#This Row],[ln_acres]]*Grandview_Inventory[[#This Row],[coeff]])+Grandview_Inventory[[#This Row],[const]]</f>
        <v>49836.692869871389</v>
      </c>
      <c r="S1461" t="s">
        <v>68</v>
      </c>
      <c r="T1461">
        <v>1</v>
      </c>
      <c r="U1461" t="s">
        <v>70</v>
      </c>
      <c r="V1461" t="s">
        <v>69</v>
      </c>
      <c r="W1461">
        <v>0</v>
      </c>
      <c r="X1461">
        <v>0</v>
      </c>
      <c r="Y1461">
        <v>55</v>
      </c>
      <c r="Z1461">
        <v>98</v>
      </c>
      <c r="AA1461">
        <v>100</v>
      </c>
      <c r="AB1461">
        <v>1500</v>
      </c>
      <c r="AC1461">
        <v>1440</v>
      </c>
      <c r="AD1461">
        <v>960</v>
      </c>
      <c r="AE1461">
        <v>0</v>
      </c>
      <c r="AF1461">
        <v>0</v>
      </c>
      <c r="AG1461">
        <v>480</v>
      </c>
      <c r="AH1461">
        <v>240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20</v>
      </c>
      <c r="AO1461">
        <v>0</v>
      </c>
      <c r="AP1461">
        <v>5</v>
      </c>
      <c r="AQ1461">
        <v>0</v>
      </c>
      <c r="AR1461">
        <v>0</v>
      </c>
      <c r="AS1461" t="s">
        <v>71</v>
      </c>
      <c r="AT1461">
        <v>1</v>
      </c>
      <c r="AU1461" t="s">
        <v>63</v>
      </c>
      <c r="AV1461" t="s">
        <v>81</v>
      </c>
      <c r="AW1461">
        <v>0</v>
      </c>
      <c r="AX1461">
        <v>2</v>
      </c>
      <c r="AY1461">
        <v>0</v>
      </c>
      <c r="AZ1461">
        <v>1400</v>
      </c>
      <c r="BA1461">
        <v>100</v>
      </c>
      <c r="BB1461">
        <v>100</v>
      </c>
      <c r="BC1461">
        <v>100</v>
      </c>
      <c r="BD1461">
        <v>100</v>
      </c>
      <c r="BE1461">
        <v>1</v>
      </c>
      <c r="BF1461">
        <v>15000</v>
      </c>
      <c r="BG1461">
        <v>1000</v>
      </c>
      <c r="BH1461" s="6">
        <f>Grandview_Inventory[[#This Row],[land_extract]]*Lookups!$B$3</f>
        <v>57875.216870710894</v>
      </c>
      <c r="BI1461" s="6">
        <f>IF(Grandview_Inventory[[#This Row],[bldg_style]]="",0,Lookups!$B$2)</f>
        <v>155833.95000000001</v>
      </c>
      <c r="BJ1461" s="6">
        <f>_xlfn.IFNA(VLOOKUP(Grandview_Inventory[[#This Row],[quality]],Lookups!$H$2:$J$14,3,FALSE),0)</f>
        <v>10733</v>
      </c>
      <c r="BK1461" s="6">
        <f>_xlfn.IFNA(VLOOKUP(Grandview_Inventory[[#This Row],[condition]],Lookups!$H$17:$J$24,3,FALSE),0)</f>
        <v>-4503</v>
      </c>
      <c r="BL1461" s="6">
        <f>Grandview_Inventory[[#This Row],[Eff_Age]]*Lookups!$B$14</f>
        <v>-13154.162999999999</v>
      </c>
      <c r="BM1461" s="6">
        <f>Grandview_Inventory[[#This Row],[living_area]]*Lookups!$B$15</f>
        <v>89828.428320000006</v>
      </c>
      <c r="BN1461" s="6">
        <f>Grandview_Inventory[[#This Row],[Fin BSMT]]*Lookups!$B$16</f>
        <v>-13007.635200000001</v>
      </c>
      <c r="BO1461" s="6">
        <f>(Grandview_Inventory[[#This Row],[att_gar]]+Grandview_Inventory[[#This Row],[bltin_gar]])*Lookups!$B$17</f>
        <v>0</v>
      </c>
      <c r="BP1461" s="6">
        <f>Grandview_Inventory[[#This Row],[Plumbing Fixtures]]*Lookups!$B$18</f>
        <v>10052.209000000001</v>
      </c>
      <c r="BQ1461" s="6">
        <f>Grandview_Inventory[[#This Row],[detatched_value]]*Lookups!$B$19</f>
        <v>1185.5271399999999</v>
      </c>
      <c r="BR1461" s="6">
        <f>SUM(Grandview_Inventory[[#This Row],[Intercept]:[det_value]])*Grandview_Inventory[[#This Row],[res_pct]]</f>
        <v>236968.31626000002</v>
      </c>
      <c r="BS1461" s="6">
        <f>Grandview_Inventory[[#This Row],[land_value]]</f>
        <v>57875.216870710894</v>
      </c>
      <c r="BT1461" s="4">
        <f>_xlfn.IFNA(VLOOKUP(Grandview_Inventory[[#This Row],[quality]],Lookups!$A$26:$C$33,3,FALSE),1)</f>
        <v>0.98079741117310582</v>
      </c>
      <c r="BU1461" s="4">
        <f>_xlfn.IFNA(VLOOKUP(Grandview_Inventory[[#This Row],[condition]],Lookups!$A$37:$C$44,3,FALSE),1)</f>
        <v>0.96469275950863709</v>
      </c>
      <c r="BV1461" s="4">
        <f>IF(Grandview_Inventory[[#This Row],[bldg_style]]="",1,_xlfn.IFNA(VLOOKUP(Grandview_Inventory[[#This Row],[decade]],Lookups!$F$29:$H$43,3,FALSE),1))</f>
        <v>0.95244691841736806</v>
      </c>
      <c r="BW1461" s="4">
        <f>_xlfn.IFNA(VLOOKUP(Grandview_Inventory[[#This Row],[living_area_range]],Lookups!$F$47:$H$56,3,FALSE),1)</f>
        <v>0.96135087979789358</v>
      </c>
      <c r="BX1461" s="4">
        <f>AVERAGE(Grandview_Inventory[[#This Row],[qual_adj]:[size_adj]])</f>
        <v>0.96482199222425113</v>
      </c>
      <c r="BY1461" s="6">
        <f>IF(Grandview_Inventory[[#This Row],[pre_res]]&lt;0,0,Grandview_Inventory[[#This Row],[pre_res]]*Grandview_Inventory[[#This Row],[overall_adj]])</f>
        <v>228632.24298799963</v>
      </c>
      <c r="BZ1461" s="6">
        <f>(Grandview_Inventory[[#This Row],[sum_land]]-IF(Grandview_Inventory[[#This Row],[no_utilities]]=1,12000,0))/IF(Grandview_Inventory[[#This Row],[unbuildable]]=1,2,1)</f>
        <v>57875.216870710894</v>
      </c>
      <c r="CA1461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461">
        <f>ROUND(Grandview_Inventory[[#This Row],[det_value]]*Lookups!$M$28,-2)</f>
        <v>1100</v>
      </c>
      <c r="CC1461">
        <f>IF(ROUND(Grandview_Inventory[[#This Row],[adj_res]]*Lookups!$M$28,-2)&lt;Grandview_Inventory[[#This Row],[min_res]],Grandview_Inventory[[#This Row],[min_res]],ROUND(Grandview_Inventory[[#This Row],[adj_res]]*Lookups!$M$28,-2))</f>
        <v>217200</v>
      </c>
      <c r="CD1461">
        <f>Grandview_Inventory[[#This Row],[final_det]]+Grandview_Inventory[[#This Row],[final_res]]</f>
        <v>218300</v>
      </c>
      <c r="CE1461">
        <f>Grandview_Inventory[[#This Row],[final_land]]+Grandview_Inventory[[#This Row],[final_imp]]+Grandview_Inventory[[#This Row],[crop_value]]</f>
        <v>273300</v>
      </c>
      <c r="CG1461" t="str">
        <f t="shared" si="22"/>
        <v>update valuation set market_land =55000, market_bldg=218300, market_total =273300, market_mdno =401, market_date ='9/10/2023' where link_id = (select link_id from parcel where parcel_year = '2024' and parcel_id = '23092323465');</v>
      </c>
    </row>
    <row r="1462" spans="1:85" x14ac:dyDescent="0.25">
      <c r="A1462">
        <v>23092323466</v>
      </c>
      <c r="B1462">
        <v>0.18</v>
      </c>
      <c r="C1462">
        <v>7777</v>
      </c>
      <c r="D1462" t="s">
        <v>129</v>
      </c>
      <c r="E1462" t="s">
        <v>53</v>
      </c>
      <c r="F1462" t="s">
        <v>53</v>
      </c>
      <c r="G1462">
        <v>4</v>
      </c>
      <c r="H1462" t="s">
        <v>54</v>
      </c>
      <c r="I1462">
        <v>150800</v>
      </c>
      <c r="J1462">
        <v>39300</v>
      </c>
      <c r="K1462">
        <v>0.18</v>
      </c>
      <c r="L146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62">
        <v>0</v>
      </c>
      <c r="N1462">
        <v>0</v>
      </c>
      <c r="O1462">
        <v>0</v>
      </c>
      <c r="P1462">
        <v>13398.7528</v>
      </c>
      <c r="Q1462">
        <v>63903</v>
      </c>
      <c r="R1462">
        <f>(Grandview_Inventory[[#This Row],[ln_acres]]*Grandview_Inventory[[#This Row],[coeff]])+Grandview_Inventory[[#This Row],[const]]</f>
        <v>40926.839760167699</v>
      </c>
      <c r="S1462" t="s">
        <v>68</v>
      </c>
      <c r="T1462">
        <v>1</v>
      </c>
      <c r="U1462" t="s">
        <v>65</v>
      </c>
      <c r="V1462" t="s">
        <v>69</v>
      </c>
      <c r="W1462">
        <v>0</v>
      </c>
      <c r="X1462">
        <v>0</v>
      </c>
      <c r="Y1462">
        <v>50</v>
      </c>
      <c r="Z1462">
        <v>76</v>
      </c>
      <c r="AA1462">
        <v>80</v>
      </c>
      <c r="AB1462">
        <v>2500</v>
      </c>
      <c r="AC1462">
        <v>2088</v>
      </c>
      <c r="AD1462">
        <v>1044</v>
      </c>
      <c r="AE1462">
        <v>0</v>
      </c>
      <c r="AF1462">
        <v>0</v>
      </c>
      <c r="AG1462">
        <v>1044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12</v>
      </c>
      <c r="AO1462">
        <v>0</v>
      </c>
      <c r="AP1462">
        <v>5</v>
      </c>
      <c r="AQ1462">
        <v>0</v>
      </c>
      <c r="AR1462">
        <v>1</v>
      </c>
      <c r="AS1462" t="s">
        <v>58</v>
      </c>
      <c r="AT1462">
        <v>1</v>
      </c>
      <c r="AU1462" t="s">
        <v>63</v>
      </c>
      <c r="AV1462" t="s">
        <v>60</v>
      </c>
      <c r="AW1462">
        <v>0</v>
      </c>
      <c r="AX1462">
        <v>3</v>
      </c>
      <c r="AY1462">
        <v>0</v>
      </c>
      <c r="AZ1462">
        <v>4100</v>
      </c>
      <c r="BA1462">
        <v>100</v>
      </c>
      <c r="BB1462">
        <v>100</v>
      </c>
      <c r="BC1462">
        <v>100</v>
      </c>
      <c r="BD1462">
        <v>100</v>
      </c>
      <c r="BE1462">
        <v>1</v>
      </c>
      <c r="BF1462">
        <v>15000</v>
      </c>
      <c r="BG1462">
        <v>1000</v>
      </c>
      <c r="BH1462" s="6">
        <f>Grandview_Inventory[[#This Row],[land_extract]]*Lookups!$B$3</f>
        <v>47528.228511015397</v>
      </c>
      <c r="BI1462" s="6">
        <f>IF(Grandview_Inventory[[#This Row],[bldg_style]]="",0,Lookups!$B$2)</f>
        <v>155833.95000000001</v>
      </c>
      <c r="BJ1462" s="6">
        <f>_xlfn.IFNA(VLOOKUP(Grandview_Inventory[[#This Row],[quality]],Lookups!$H$2:$J$14,3,FALSE),0)</f>
        <v>2251</v>
      </c>
      <c r="BK1462" s="6">
        <f>_xlfn.IFNA(VLOOKUP(Grandview_Inventory[[#This Row],[condition]],Lookups!$H$17:$J$24,3,FALSE),0)</f>
        <v>-4503</v>
      </c>
      <c r="BL1462" s="6">
        <f>Grandview_Inventory[[#This Row],[Eff_Age]]*Lookups!$B$14</f>
        <v>-11958.33</v>
      </c>
      <c r="BM1462" s="6">
        <f>Grandview_Inventory[[#This Row],[living_area]]*Lookups!$B$15</f>
        <v>130251.221064</v>
      </c>
      <c r="BN1462" s="6">
        <f>Grandview_Inventory[[#This Row],[Fin BSMT]]*Lookups!$B$16</f>
        <v>-28291.60656</v>
      </c>
      <c r="BO1462" s="6">
        <f>(Grandview_Inventory[[#This Row],[att_gar]]+Grandview_Inventory[[#This Row],[bltin_gar]])*Lookups!$B$17</f>
        <v>0</v>
      </c>
      <c r="BP1462" s="6">
        <f>Grandview_Inventory[[#This Row],[Plumbing Fixtures]]*Lookups!$B$18</f>
        <v>10052.209000000001</v>
      </c>
      <c r="BQ1462" s="6">
        <f>Grandview_Inventory[[#This Row],[detatched_value]]*Lookups!$B$19</f>
        <v>3471.9009099999998</v>
      </c>
      <c r="BR1462" s="6">
        <f>SUM(Grandview_Inventory[[#This Row],[Intercept]:[det_value]])*Grandview_Inventory[[#This Row],[res_pct]]</f>
        <v>257107.34441400005</v>
      </c>
      <c r="BS1462" s="6">
        <f>Grandview_Inventory[[#This Row],[land_value]]</f>
        <v>47528.228511015397</v>
      </c>
      <c r="BT1462" s="4">
        <f>_xlfn.IFNA(VLOOKUP(Grandview_Inventory[[#This Row],[quality]],Lookups!$A$26:$C$33,3,FALSE),1)</f>
        <v>0.98763855981004833</v>
      </c>
      <c r="BU1462" s="4">
        <f>_xlfn.IFNA(VLOOKUP(Grandview_Inventory[[#This Row],[condition]],Lookups!$A$37:$C$44,3,FALSE),1)</f>
        <v>0.96469275950863709</v>
      </c>
      <c r="BV1462" s="4">
        <f>IF(Grandview_Inventory[[#This Row],[bldg_style]]="",1,_xlfn.IFNA(VLOOKUP(Grandview_Inventory[[#This Row],[decade]],Lookups!$F$29:$H$43,3,FALSE),1))</f>
        <v>0.98763256963907298</v>
      </c>
      <c r="BW1462" s="4">
        <f>_xlfn.IFNA(VLOOKUP(Grandview_Inventory[[#This Row],[living_area_range]],Lookups!$F$47:$H$56,3,FALSE),1)</f>
        <v>0.95799442568048754</v>
      </c>
      <c r="BX1462" s="4">
        <f>AVERAGE(Grandview_Inventory[[#This Row],[qual_adj]:[size_adj]])</f>
        <v>0.97448957865956143</v>
      </c>
      <c r="BY1462" s="6">
        <f>IF(Grandview_Inventory[[#This Row],[pre_res]]&lt;0,0,Grandview_Inventory[[#This Row],[pre_res]]*Grandview_Inventory[[#This Row],[overall_adj]])</f>
        <v>250548.42772827766</v>
      </c>
      <c r="BZ1462" s="6">
        <f>(Grandview_Inventory[[#This Row],[sum_land]]-IF(Grandview_Inventory[[#This Row],[no_utilities]]=1,12000,0))/IF(Grandview_Inventory[[#This Row],[unbuildable]]=1,2,1)</f>
        <v>47528.228511015397</v>
      </c>
      <c r="CA146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62">
        <f>ROUND(Grandview_Inventory[[#This Row],[det_value]]*Lookups!$M$28,-2)</f>
        <v>3300</v>
      </c>
      <c r="CC1462">
        <f>IF(ROUND(Grandview_Inventory[[#This Row],[adj_res]]*Lookups!$M$28,-2)&lt;Grandview_Inventory[[#This Row],[min_res]],Grandview_Inventory[[#This Row],[min_res]],ROUND(Grandview_Inventory[[#This Row],[adj_res]]*Lookups!$M$28,-2))</f>
        <v>238000</v>
      </c>
      <c r="CD1462">
        <f>Grandview_Inventory[[#This Row],[final_det]]+Grandview_Inventory[[#This Row],[final_res]]</f>
        <v>241300</v>
      </c>
      <c r="CE1462">
        <f>Grandview_Inventory[[#This Row],[final_land]]+Grandview_Inventory[[#This Row],[final_imp]]+Grandview_Inventory[[#This Row],[crop_value]]</f>
        <v>286500</v>
      </c>
      <c r="CG1462" t="str">
        <f t="shared" si="22"/>
        <v>update valuation set market_land =45200, market_bldg=241300, market_total =286500, market_mdno =401, market_date ='9/10/2023' where link_id = (select link_id from parcel where parcel_year = '2024' and parcel_id = '23092323466');</v>
      </c>
    </row>
    <row r="1463" spans="1:85" x14ac:dyDescent="0.25">
      <c r="A1463">
        <v>23092323468</v>
      </c>
      <c r="B1463">
        <v>0.57999999999999996</v>
      </c>
      <c r="C1463">
        <v>25072</v>
      </c>
      <c r="D1463" t="s">
        <v>129</v>
      </c>
      <c r="E1463" t="s">
        <v>53</v>
      </c>
      <c r="F1463" t="s">
        <v>53</v>
      </c>
      <c r="G1463">
        <v>4</v>
      </c>
      <c r="H1463" t="s">
        <v>54</v>
      </c>
      <c r="I1463">
        <v>190100</v>
      </c>
      <c r="J1463">
        <v>42800</v>
      </c>
      <c r="K1463">
        <v>0.57999999999999996</v>
      </c>
      <c r="L1463">
        <f>IF(Grandview_Inventory[[#This Row],[parcel_acres]]-Grandview_Inventory[[#This Row],[non_valued_acres]] =0,0,LN(Grandview_Inventory[[#This Row],[parcel_acres]]-Grandview_Inventory[[#This Row],[non_valued_acres]]))</f>
        <v>-0.54472717544167215</v>
      </c>
      <c r="M1463">
        <v>0</v>
      </c>
      <c r="N1463">
        <v>0</v>
      </c>
      <c r="O1463">
        <v>0</v>
      </c>
      <c r="P1463">
        <v>13398.7528</v>
      </c>
      <c r="Q1463">
        <v>63903</v>
      </c>
      <c r="R1463">
        <f>(Grandview_Inventory[[#This Row],[ln_acres]]*Grandview_Inventory[[#This Row],[coeff]])+Grandview_Inventory[[#This Row],[const]]</f>
        <v>56604.335232814803</v>
      </c>
      <c r="S1463" t="s">
        <v>55</v>
      </c>
      <c r="T1463">
        <v>2</v>
      </c>
      <c r="U1463" t="s">
        <v>65</v>
      </c>
      <c r="V1463" t="s">
        <v>69</v>
      </c>
      <c r="W1463">
        <v>0</v>
      </c>
      <c r="X1463">
        <v>0</v>
      </c>
      <c r="Y1463">
        <v>50</v>
      </c>
      <c r="Z1463">
        <v>73</v>
      </c>
      <c r="AA1463">
        <v>80</v>
      </c>
      <c r="AB1463">
        <v>2000</v>
      </c>
      <c r="AC1463">
        <v>1620</v>
      </c>
      <c r="AD1463">
        <v>1152</v>
      </c>
      <c r="AE1463">
        <v>468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285</v>
      </c>
      <c r="AL1463">
        <v>0</v>
      </c>
      <c r="AM1463">
        <v>0</v>
      </c>
      <c r="AN1463">
        <v>0</v>
      </c>
      <c r="AO1463">
        <v>0</v>
      </c>
      <c r="AP1463">
        <v>9</v>
      </c>
      <c r="AQ1463">
        <v>0</v>
      </c>
      <c r="AR1463">
        <v>0</v>
      </c>
      <c r="AS1463" t="s">
        <v>71</v>
      </c>
      <c r="AT1463">
        <v>1</v>
      </c>
      <c r="AU1463" t="s">
        <v>63</v>
      </c>
      <c r="AV1463" t="s">
        <v>64</v>
      </c>
      <c r="AW1463">
        <v>0</v>
      </c>
      <c r="AX1463">
        <v>5</v>
      </c>
      <c r="AY1463">
        <v>0</v>
      </c>
      <c r="AZ1463">
        <v>14700</v>
      </c>
      <c r="BA1463">
        <v>100</v>
      </c>
      <c r="BB1463">
        <v>100</v>
      </c>
      <c r="BC1463">
        <v>100</v>
      </c>
      <c r="BD1463">
        <v>100</v>
      </c>
      <c r="BE1463">
        <v>1</v>
      </c>
      <c r="BF1463">
        <v>15000</v>
      </c>
      <c r="BG1463">
        <v>1000</v>
      </c>
      <c r="BH1463" s="6">
        <f>Grandview_Inventory[[#This Row],[land_extract]]*Lookups!$B$3</f>
        <v>65734.461674162696</v>
      </c>
      <c r="BI1463" s="6">
        <f>IF(Grandview_Inventory[[#This Row],[bldg_style]]="",0,Lookups!$B$2)</f>
        <v>155833.95000000001</v>
      </c>
      <c r="BJ1463" s="6">
        <f>_xlfn.IFNA(VLOOKUP(Grandview_Inventory[[#This Row],[quality]],Lookups!$H$2:$J$14,3,FALSE),0)</f>
        <v>2251</v>
      </c>
      <c r="BK1463" s="6">
        <f>_xlfn.IFNA(VLOOKUP(Grandview_Inventory[[#This Row],[condition]],Lookups!$H$17:$J$24,3,FALSE),0)</f>
        <v>-4503</v>
      </c>
      <c r="BL1463" s="6">
        <f>Grandview_Inventory[[#This Row],[Eff_Age]]*Lookups!$B$14</f>
        <v>-11958.33</v>
      </c>
      <c r="BM1463" s="6">
        <f>Grandview_Inventory[[#This Row],[living_area]]*Lookups!$B$15</f>
        <v>101056.98186</v>
      </c>
      <c r="BN1463" s="6">
        <f>Grandview_Inventory[[#This Row],[Fin BSMT]]*Lookups!$B$16</f>
        <v>0</v>
      </c>
      <c r="BO1463" s="6">
        <f>(Grandview_Inventory[[#This Row],[att_gar]]+Grandview_Inventory[[#This Row],[bltin_gar]])*Lookups!$B$17</f>
        <v>0</v>
      </c>
      <c r="BP1463" s="6">
        <f>Grandview_Inventory[[#This Row],[Plumbing Fixtures]]*Lookups!$B$18</f>
        <v>18093.976200000001</v>
      </c>
      <c r="BQ1463" s="6">
        <f>Grandview_Inventory[[#This Row],[detatched_value]]*Lookups!$B$19</f>
        <v>12448.034969999999</v>
      </c>
      <c r="BR1463" s="6">
        <f>SUM(Grandview_Inventory[[#This Row],[Intercept]:[det_value]])*Grandview_Inventory[[#This Row],[res_pct]]</f>
        <v>273222.61303000001</v>
      </c>
      <c r="BS1463" s="6">
        <f>Grandview_Inventory[[#This Row],[land_value]]</f>
        <v>65734.461674162696</v>
      </c>
      <c r="BT1463" s="4">
        <f>_xlfn.IFNA(VLOOKUP(Grandview_Inventory[[#This Row],[quality]],Lookups!$A$26:$C$33,3,FALSE),1)</f>
        <v>0.98763855981004833</v>
      </c>
      <c r="BU1463" s="4">
        <f>_xlfn.IFNA(VLOOKUP(Grandview_Inventory[[#This Row],[condition]],Lookups!$A$37:$C$44,3,FALSE),1)</f>
        <v>0.96469275950863709</v>
      </c>
      <c r="BV1463" s="4">
        <f>IF(Grandview_Inventory[[#This Row],[bldg_style]]="",1,_xlfn.IFNA(VLOOKUP(Grandview_Inventory[[#This Row],[decade]],Lookups!$F$29:$H$43,3,FALSE),1))</f>
        <v>0.98763256963907298</v>
      </c>
      <c r="BW1463" s="4">
        <f>_xlfn.IFNA(VLOOKUP(Grandview_Inventory[[#This Row],[living_area_range]],Lookups!$F$47:$H$56,3,FALSE),1)</f>
        <v>0.96120133463014379</v>
      </c>
      <c r="BX1463" s="4">
        <f>AVERAGE(Grandview_Inventory[[#This Row],[qual_adj]:[size_adj]])</f>
        <v>0.97529130589697544</v>
      </c>
      <c r="BY1463" s="6">
        <f>IF(Grandview_Inventory[[#This Row],[pre_res]]&lt;0,0,Grandview_Inventory[[#This Row],[pre_res]]*Grandview_Inventory[[#This Row],[overall_adj]])</f>
        <v>266471.63906261267</v>
      </c>
      <c r="BZ1463" s="6">
        <f>(Grandview_Inventory[[#This Row],[sum_land]]-IF(Grandview_Inventory[[#This Row],[no_utilities]]=1,12000,0))/IF(Grandview_Inventory[[#This Row],[unbuildable]]=1,2,1)</f>
        <v>65734.461674162696</v>
      </c>
      <c r="CA1463">
        <f>IF(ROUND(Grandview_Inventory[[#This Row],[adj_land]]*Lookups!$M$28,-2)&lt;Grandview_Inventory[[#This Row],[min_land]],Grandview_Inventory[[#This Row],[min_land]],ROUND(Grandview_Inventory[[#This Row],[adj_land]]*Lookups!$M$28,-2))</f>
        <v>62400</v>
      </c>
      <c r="CB1463">
        <f>ROUND(Grandview_Inventory[[#This Row],[det_value]]*Lookups!$M$28,-2)</f>
        <v>11800</v>
      </c>
      <c r="CC1463">
        <f>IF(ROUND(Grandview_Inventory[[#This Row],[adj_res]]*Lookups!$M$28,-2)&lt;Grandview_Inventory[[#This Row],[min_res]],Grandview_Inventory[[#This Row],[min_res]],ROUND(Grandview_Inventory[[#This Row],[adj_res]]*Lookups!$M$28,-2))</f>
        <v>253100</v>
      </c>
      <c r="CD1463">
        <f>Grandview_Inventory[[#This Row],[final_det]]+Grandview_Inventory[[#This Row],[final_res]]</f>
        <v>264900</v>
      </c>
      <c r="CE1463">
        <f>Grandview_Inventory[[#This Row],[final_land]]+Grandview_Inventory[[#This Row],[final_imp]]+Grandview_Inventory[[#This Row],[crop_value]]</f>
        <v>327300</v>
      </c>
      <c r="CG1463" t="str">
        <f t="shared" si="22"/>
        <v>update valuation set market_land =62400, market_bldg=264900, market_total =327300, market_mdno =401, market_date ='9/10/2023' where link_id = (select link_id from parcel where parcel_year = '2024' and parcel_id = '23092323468');</v>
      </c>
    </row>
    <row r="1464" spans="1:85" x14ac:dyDescent="0.25">
      <c r="A1464">
        <v>23092323469</v>
      </c>
      <c r="B1464">
        <v>0.27</v>
      </c>
      <c r="C1464">
        <v>11924</v>
      </c>
      <c r="D1464" t="s">
        <v>129</v>
      </c>
      <c r="E1464" t="s">
        <v>53</v>
      </c>
      <c r="F1464" t="s">
        <v>53</v>
      </c>
      <c r="G1464">
        <v>4</v>
      </c>
      <c r="H1464" t="s">
        <v>54</v>
      </c>
      <c r="I1464">
        <v>146200</v>
      </c>
      <c r="J1464">
        <v>44900</v>
      </c>
      <c r="K1464">
        <v>0.27</v>
      </c>
      <c r="L146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464">
        <v>0</v>
      </c>
      <c r="N1464">
        <v>0</v>
      </c>
      <c r="O1464">
        <v>0</v>
      </c>
      <c r="P1464">
        <v>13398.7528</v>
      </c>
      <c r="Q1464">
        <v>63903</v>
      </c>
      <c r="R1464">
        <f>(Grandview_Inventory[[#This Row],[ln_acres]]*Grandview_Inventory[[#This Row],[coeff]])+Grandview_Inventory[[#This Row],[const]]</f>
        <v>46359.566512734265</v>
      </c>
      <c r="S1464" t="s">
        <v>68</v>
      </c>
      <c r="T1464">
        <v>1</v>
      </c>
      <c r="U1464" t="s">
        <v>70</v>
      </c>
      <c r="V1464" t="s">
        <v>67</v>
      </c>
      <c r="W1464">
        <v>0</v>
      </c>
      <c r="X1464">
        <v>0</v>
      </c>
      <c r="Y1464">
        <v>52</v>
      </c>
      <c r="Z1464">
        <v>88</v>
      </c>
      <c r="AA1464">
        <v>90</v>
      </c>
      <c r="AB1464">
        <v>1500</v>
      </c>
      <c r="AC1464">
        <v>1008</v>
      </c>
      <c r="AD1464">
        <v>1008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5</v>
      </c>
      <c r="AQ1464">
        <v>0</v>
      </c>
      <c r="AR1464">
        <v>0</v>
      </c>
      <c r="AS1464" t="s">
        <v>58</v>
      </c>
      <c r="AT1464">
        <v>1</v>
      </c>
      <c r="AU1464" t="s">
        <v>63</v>
      </c>
      <c r="AV1464" t="s">
        <v>64</v>
      </c>
      <c r="AW1464">
        <v>0</v>
      </c>
      <c r="AX1464">
        <v>2</v>
      </c>
      <c r="AY1464">
        <v>0</v>
      </c>
      <c r="AZ1464">
        <v>0</v>
      </c>
      <c r="BA1464">
        <v>100</v>
      </c>
      <c r="BB1464">
        <v>100</v>
      </c>
      <c r="BC1464">
        <v>100</v>
      </c>
      <c r="BD1464">
        <v>100</v>
      </c>
      <c r="BE1464">
        <v>1</v>
      </c>
      <c r="BF1464">
        <v>15000</v>
      </c>
      <c r="BG1464">
        <v>1000</v>
      </c>
      <c r="BH1464" s="6">
        <f>Grandview_Inventory[[#This Row],[land_extract]]*Lookups!$B$3</f>
        <v>53837.239420408718</v>
      </c>
      <c r="BI1464" s="6">
        <f>IF(Grandview_Inventory[[#This Row],[bldg_style]]="",0,Lookups!$B$2)</f>
        <v>155833.95000000001</v>
      </c>
      <c r="BJ1464" s="6">
        <f>_xlfn.IFNA(VLOOKUP(Grandview_Inventory[[#This Row],[quality]],Lookups!$H$2:$J$14,3,FALSE),0)</f>
        <v>10733</v>
      </c>
      <c r="BK1464" s="6">
        <f>_xlfn.IFNA(VLOOKUP(Grandview_Inventory[[#This Row],[condition]],Lookups!$H$17:$J$24,3,FALSE),0)</f>
        <v>22342</v>
      </c>
      <c r="BL1464" s="6">
        <f>Grandview_Inventory[[#This Row],[Eff_Age]]*Lookups!$B$14</f>
        <v>-12436.663199999999</v>
      </c>
      <c r="BM1464" s="6">
        <f>Grandview_Inventory[[#This Row],[living_area]]*Lookups!$B$15</f>
        <v>62879.899824</v>
      </c>
      <c r="BN1464" s="6">
        <f>Grandview_Inventory[[#This Row],[Fin BSMT]]*Lookups!$B$16</f>
        <v>0</v>
      </c>
      <c r="BO1464" s="6">
        <f>(Grandview_Inventory[[#This Row],[att_gar]]+Grandview_Inventory[[#This Row],[bltin_gar]])*Lookups!$B$17</f>
        <v>0</v>
      </c>
      <c r="BP1464" s="6">
        <f>Grandview_Inventory[[#This Row],[Plumbing Fixtures]]*Lookups!$B$18</f>
        <v>10052.209000000001</v>
      </c>
      <c r="BQ1464" s="6">
        <f>Grandview_Inventory[[#This Row],[detatched_value]]*Lookups!$B$19</f>
        <v>0</v>
      </c>
      <c r="BR1464" s="6">
        <f>SUM(Grandview_Inventory[[#This Row],[Intercept]:[det_value]])*Grandview_Inventory[[#This Row],[res_pct]]</f>
        <v>249404.395624</v>
      </c>
      <c r="BS1464" s="6">
        <f>Grandview_Inventory[[#This Row],[land_value]]</f>
        <v>53837.239420408718</v>
      </c>
      <c r="BT1464" s="4">
        <f>_xlfn.IFNA(VLOOKUP(Grandview_Inventory[[#This Row],[quality]],Lookups!$A$26:$C$33,3,FALSE),1)</f>
        <v>0.98079741117310582</v>
      </c>
      <c r="BU1464" s="4">
        <f>_xlfn.IFNA(VLOOKUP(Grandview_Inventory[[#This Row],[condition]],Lookups!$A$37:$C$44,3,FALSE),1)</f>
        <v>0.97383723671140243</v>
      </c>
      <c r="BV1464" s="4">
        <f>IF(Grandview_Inventory[[#This Row],[bldg_style]]="",1,_xlfn.IFNA(VLOOKUP(Grandview_Inventory[[#This Row],[decade]],Lookups!$F$29:$H$43,3,FALSE),1))</f>
        <v>0.94161750052457416</v>
      </c>
      <c r="BW1464" s="4">
        <f>_xlfn.IFNA(VLOOKUP(Grandview_Inventory[[#This Row],[living_area_range]],Lookups!$F$47:$H$56,3,FALSE),1)</f>
        <v>0.96135087979789358</v>
      </c>
      <c r="BX1464" s="4">
        <f>AVERAGE(Grandview_Inventory[[#This Row],[qual_adj]:[size_adj]])</f>
        <v>0.964400757051744</v>
      </c>
      <c r="BY1464" s="6">
        <f>IF(Grandview_Inventory[[#This Row],[pre_res]]&lt;0,0,Grandview_Inventory[[#This Row],[pre_res]]*Grandview_Inventory[[#This Row],[overall_adj]])</f>
        <v>240525.78795181826</v>
      </c>
      <c r="BZ1464" s="6">
        <f>(Grandview_Inventory[[#This Row],[sum_land]]-IF(Grandview_Inventory[[#This Row],[no_utilities]]=1,12000,0))/IF(Grandview_Inventory[[#This Row],[unbuildable]]=1,2,1)</f>
        <v>53837.239420408718</v>
      </c>
      <c r="CA146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464">
        <f>ROUND(Grandview_Inventory[[#This Row],[det_value]]*Lookups!$M$28,-2)</f>
        <v>0</v>
      </c>
      <c r="CC1464">
        <f>IF(ROUND(Grandview_Inventory[[#This Row],[adj_res]]*Lookups!$M$28,-2)&lt;Grandview_Inventory[[#This Row],[min_res]],Grandview_Inventory[[#This Row],[min_res]],ROUND(Grandview_Inventory[[#This Row],[adj_res]]*Lookups!$M$28,-2))</f>
        <v>228500</v>
      </c>
      <c r="CD1464">
        <f>Grandview_Inventory[[#This Row],[final_det]]+Grandview_Inventory[[#This Row],[final_res]]</f>
        <v>228500</v>
      </c>
      <c r="CE1464">
        <f>Grandview_Inventory[[#This Row],[final_land]]+Grandview_Inventory[[#This Row],[final_imp]]+Grandview_Inventory[[#This Row],[crop_value]]</f>
        <v>279600</v>
      </c>
      <c r="CG1464" t="str">
        <f t="shared" si="22"/>
        <v>update valuation set market_land =51100, market_bldg=228500, market_total =279600, market_mdno =401, market_date ='9/10/2023' where link_id = (select link_id from parcel where parcel_year = '2024' and parcel_id = '23092323469');</v>
      </c>
    </row>
    <row r="1465" spans="1:85" x14ac:dyDescent="0.25">
      <c r="A1465">
        <v>23092323470</v>
      </c>
      <c r="B1465">
        <v>0.22</v>
      </c>
      <c r="C1465">
        <v>9504</v>
      </c>
      <c r="D1465" t="s">
        <v>129</v>
      </c>
      <c r="E1465" t="s">
        <v>53</v>
      </c>
      <c r="F1465" t="s">
        <v>53</v>
      </c>
      <c r="G1465">
        <v>4</v>
      </c>
      <c r="H1465" t="s">
        <v>54</v>
      </c>
      <c r="I1465">
        <v>175500</v>
      </c>
      <c r="J1465">
        <v>40000</v>
      </c>
      <c r="K1465">
        <v>0.22</v>
      </c>
      <c r="L146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465">
        <v>0</v>
      </c>
      <c r="N1465">
        <v>0</v>
      </c>
      <c r="O1465">
        <v>0</v>
      </c>
      <c r="P1465">
        <v>13398.7528</v>
      </c>
      <c r="Q1465">
        <v>63903</v>
      </c>
      <c r="R1465">
        <f>(Grandview_Inventory[[#This Row],[ln_acres]]*Grandview_Inventory[[#This Row],[coeff]])+Grandview_Inventory[[#This Row],[const]]</f>
        <v>43615.576802869145</v>
      </c>
      <c r="S1465" t="s">
        <v>61</v>
      </c>
      <c r="T1465">
        <v>1</v>
      </c>
      <c r="U1465" t="s">
        <v>70</v>
      </c>
      <c r="V1465" t="s">
        <v>69</v>
      </c>
      <c r="W1465">
        <v>0</v>
      </c>
      <c r="X1465">
        <v>0</v>
      </c>
      <c r="Y1465">
        <v>43</v>
      </c>
      <c r="Z1465">
        <v>43</v>
      </c>
      <c r="AA1465">
        <v>50</v>
      </c>
      <c r="AB1465">
        <v>1500</v>
      </c>
      <c r="AC1465">
        <v>1080</v>
      </c>
      <c r="AD1465">
        <v>1080</v>
      </c>
      <c r="AE1465">
        <v>0</v>
      </c>
      <c r="AF1465">
        <v>0</v>
      </c>
      <c r="AG1465">
        <v>0</v>
      </c>
      <c r="AH1465">
        <v>0</v>
      </c>
      <c r="AI1465">
        <v>288</v>
      </c>
      <c r="AJ1465">
        <v>0</v>
      </c>
      <c r="AK1465">
        <v>0</v>
      </c>
      <c r="AL1465">
        <v>0</v>
      </c>
      <c r="AM1465">
        <v>272</v>
      </c>
      <c r="AN1465">
        <v>120</v>
      </c>
      <c r="AO1465">
        <v>312</v>
      </c>
      <c r="AP1465">
        <v>5</v>
      </c>
      <c r="AQ1465">
        <v>0</v>
      </c>
      <c r="AR1465">
        <v>0</v>
      </c>
      <c r="AS1465" t="s">
        <v>58</v>
      </c>
      <c r="AT1465">
        <v>1</v>
      </c>
      <c r="AU1465" t="s">
        <v>63</v>
      </c>
      <c r="AV1465" t="s">
        <v>60</v>
      </c>
      <c r="AW1465">
        <v>1</v>
      </c>
      <c r="AX1465">
        <v>3</v>
      </c>
      <c r="AY1465">
        <v>0</v>
      </c>
      <c r="AZ1465">
        <v>6300</v>
      </c>
      <c r="BA1465">
        <v>100</v>
      </c>
      <c r="BB1465">
        <v>100</v>
      </c>
      <c r="BC1465">
        <v>100</v>
      </c>
      <c r="BD1465">
        <v>100</v>
      </c>
      <c r="BE1465">
        <v>1</v>
      </c>
      <c r="BF1465">
        <v>15000</v>
      </c>
      <c r="BG1465">
        <v>1000</v>
      </c>
      <c r="BH1465" s="6">
        <f>Grandview_Inventory[[#This Row],[land_extract]]*Lookups!$B$3</f>
        <v>50650.651579114572</v>
      </c>
      <c r="BI1465" s="6">
        <f>IF(Grandview_Inventory[[#This Row],[bldg_style]]="",0,Lookups!$B$2)</f>
        <v>155833.95000000001</v>
      </c>
      <c r="BJ1465" s="6">
        <f>_xlfn.IFNA(VLOOKUP(Grandview_Inventory[[#This Row],[quality]],Lookups!$H$2:$J$14,3,FALSE),0)</f>
        <v>10733</v>
      </c>
      <c r="BK1465" s="6">
        <f>_xlfn.IFNA(VLOOKUP(Grandview_Inventory[[#This Row],[condition]],Lookups!$H$17:$J$24,3,FALSE),0)</f>
        <v>-4503</v>
      </c>
      <c r="BL1465" s="6">
        <f>Grandview_Inventory[[#This Row],[Eff_Age]]*Lookups!$B$14</f>
        <v>-10284.1638</v>
      </c>
      <c r="BM1465" s="6">
        <f>Grandview_Inventory[[#This Row],[living_area]]*Lookups!$B$15</f>
        <v>67371.321240000005</v>
      </c>
      <c r="BN1465" s="6">
        <f>Grandview_Inventory[[#This Row],[Fin BSMT]]*Lookups!$B$16</f>
        <v>0</v>
      </c>
      <c r="BO1465" s="6">
        <f>(Grandview_Inventory[[#This Row],[att_gar]]+Grandview_Inventory[[#This Row],[bltin_gar]])*Lookups!$B$17</f>
        <v>25205.885856000001</v>
      </c>
      <c r="BP1465" s="6">
        <f>Grandview_Inventory[[#This Row],[Plumbing Fixtures]]*Lookups!$B$18</f>
        <v>10052.209000000001</v>
      </c>
      <c r="BQ1465" s="6">
        <f>Grandview_Inventory[[#This Row],[detatched_value]]*Lookups!$B$19</f>
        <v>5334.8721299999997</v>
      </c>
      <c r="BR1465" s="6">
        <f>SUM(Grandview_Inventory[[#This Row],[Intercept]:[det_value]])*Grandview_Inventory[[#This Row],[res_pct]]</f>
        <v>259744.07442600001</v>
      </c>
      <c r="BS1465" s="6">
        <f>Grandview_Inventory[[#This Row],[land_value]]</f>
        <v>50650.651579114572</v>
      </c>
      <c r="BT1465" s="4">
        <f>_xlfn.IFNA(VLOOKUP(Grandview_Inventory[[#This Row],[quality]],Lookups!$A$26:$C$33,3,FALSE),1)</f>
        <v>0.98079741117310582</v>
      </c>
      <c r="BU1465" s="4">
        <f>_xlfn.IFNA(VLOOKUP(Grandview_Inventory[[#This Row],[condition]],Lookups!$A$37:$C$44,3,FALSE),1)</f>
        <v>0.96469275950863709</v>
      </c>
      <c r="BV1465" s="4">
        <f>IF(Grandview_Inventory[[#This Row],[bldg_style]]="",1,_xlfn.IFNA(VLOOKUP(Grandview_Inventory[[#This Row],[decade]],Lookups!$F$29:$H$43,3,FALSE),1))</f>
        <v>0.9871940091910919</v>
      </c>
      <c r="BW1465" s="4">
        <f>_xlfn.IFNA(VLOOKUP(Grandview_Inventory[[#This Row],[living_area_range]],Lookups!$F$47:$H$56,3,FALSE),1)</f>
        <v>0.96135087979789358</v>
      </c>
      <c r="BX1465" s="4">
        <f>AVERAGE(Grandview_Inventory[[#This Row],[qual_adj]:[size_adj]])</f>
        <v>0.97350876491768212</v>
      </c>
      <c r="BY1465" s="6">
        <f>IF(Grandview_Inventory[[#This Row],[pre_res]]&lt;0,0,Grandview_Inventory[[#This Row],[pre_res]]*Grandview_Inventory[[#This Row],[overall_adj]])</f>
        <v>252863.13308914177</v>
      </c>
      <c r="BZ1465" s="6">
        <f>(Grandview_Inventory[[#This Row],[sum_land]]-IF(Grandview_Inventory[[#This Row],[no_utilities]]=1,12000,0))/IF(Grandview_Inventory[[#This Row],[unbuildable]]=1,2,1)</f>
        <v>50650.651579114572</v>
      </c>
      <c r="CA146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465">
        <f>ROUND(Grandview_Inventory[[#This Row],[det_value]]*Lookups!$M$28,-2)</f>
        <v>5100</v>
      </c>
      <c r="CC1465">
        <f>IF(ROUND(Grandview_Inventory[[#This Row],[adj_res]]*Lookups!$M$28,-2)&lt;Grandview_Inventory[[#This Row],[min_res]],Grandview_Inventory[[#This Row],[min_res]],ROUND(Grandview_Inventory[[#This Row],[adj_res]]*Lookups!$M$28,-2))</f>
        <v>240200</v>
      </c>
      <c r="CD1465">
        <f>Grandview_Inventory[[#This Row],[final_det]]+Grandview_Inventory[[#This Row],[final_res]]</f>
        <v>245300</v>
      </c>
      <c r="CE1465">
        <f>Grandview_Inventory[[#This Row],[final_land]]+Grandview_Inventory[[#This Row],[final_imp]]+Grandview_Inventory[[#This Row],[crop_value]]</f>
        <v>293400</v>
      </c>
      <c r="CG1465" t="str">
        <f t="shared" si="22"/>
        <v>update valuation set market_land =48100, market_bldg=245300, market_total =293400, market_mdno =401, market_date ='9/10/2023' where link_id = (select link_id from parcel where parcel_year = '2024' and parcel_id = '23092323470');</v>
      </c>
    </row>
    <row r="1466" spans="1:85" x14ac:dyDescent="0.25">
      <c r="A1466">
        <v>23092323471</v>
      </c>
      <c r="B1466">
        <v>0.26</v>
      </c>
      <c r="C1466">
        <v>11421</v>
      </c>
      <c r="D1466" t="s">
        <v>129</v>
      </c>
      <c r="E1466" t="s">
        <v>53</v>
      </c>
      <c r="F1466" t="s">
        <v>53</v>
      </c>
      <c r="G1466">
        <v>4</v>
      </c>
      <c r="H1466" t="s">
        <v>54</v>
      </c>
      <c r="I1466">
        <v>273400</v>
      </c>
      <c r="J1466">
        <v>40500</v>
      </c>
      <c r="K1466">
        <v>0.26</v>
      </c>
      <c r="L146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466">
        <v>0</v>
      </c>
      <c r="N1466">
        <v>0</v>
      </c>
      <c r="O1466">
        <v>0</v>
      </c>
      <c r="P1466">
        <v>13398.7528</v>
      </c>
      <c r="Q1466">
        <v>63903</v>
      </c>
      <c r="R1466">
        <f>(Grandview_Inventory[[#This Row],[ln_acres]]*Grandview_Inventory[[#This Row],[coeff]])+Grandview_Inventory[[#This Row],[const]]</f>
        <v>45853.893187501177</v>
      </c>
      <c r="S1466" t="s">
        <v>55</v>
      </c>
      <c r="T1466">
        <v>2</v>
      </c>
      <c r="U1466" t="s">
        <v>70</v>
      </c>
      <c r="V1466" t="s">
        <v>67</v>
      </c>
      <c r="W1466">
        <v>0</v>
      </c>
      <c r="X1466">
        <v>0</v>
      </c>
      <c r="Y1466">
        <v>53</v>
      </c>
      <c r="Z1466">
        <v>93</v>
      </c>
      <c r="AA1466">
        <v>100</v>
      </c>
      <c r="AB1466">
        <v>2000</v>
      </c>
      <c r="AC1466">
        <v>2000</v>
      </c>
      <c r="AD1466">
        <v>1400</v>
      </c>
      <c r="AE1466">
        <v>600</v>
      </c>
      <c r="AF1466">
        <v>0</v>
      </c>
      <c r="AG1466">
        <v>0</v>
      </c>
      <c r="AH1466">
        <v>0</v>
      </c>
      <c r="AI1466">
        <v>400</v>
      </c>
      <c r="AJ1466">
        <v>0</v>
      </c>
      <c r="AK1466">
        <v>0</v>
      </c>
      <c r="AL1466">
        <v>0</v>
      </c>
      <c r="AM1466">
        <v>0</v>
      </c>
      <c r="AN1466">
        <v>160</v>
      </c>
      <c r="AO1466">
        <v>0</v>
      </c>
      <c r="AP1466">
        <v>9</v>
      </c>
      <c r="AQ1466">
        <v>0</v>
      </c>
      <c r="AR1466">
        <v>1</v>
      </c>
      <c r="AS1466" t="s">
        <v>58</v>
      </c>
      <c r="AT1466">
        <v>1</v>
      </c>
      <c r="AU1466" t="s">
        <v>63</v>
      </c>
      <c r="AV1466" t="s">
        <v>64</v>
      </c>
      <c r="AW1466">
        <v>1</v>
      </c>
      <c r="AX1466">
        <v>3</v>
      </c>
      <c r="AY1466">
        <v>0</v>
      </c>
      <c r="AZ1466">
        <v>0</v>
      </c>
      <c r="BA1466">
        <v>100</v>
      </c>
      <c r="BB1466">
        <v>100</v>
      </c>
      <c r="BC1466">
        <v>100</v>
      </c>
      <c r="BD1466">
        <v>100</v>
      </c>
      <c r="BE1466">
        <v>1</v>
      </c>
      <c r="BF1466">
        <v>15000</v>
      </c>
      <c r="BG1466">
        <v>1000</v>
      </c>
      <c r="BH1466" s="6">
        <f>Grandview_Inventory[[#This Row],[land_extract]]*Lookups!$B$3</f>
        <v>53250.00235313351</v>
      </c>
      <c r="BI1466" s="6">
        <f>IF(Grandview_Inventory[[#This Row],[bldg_style]]="",0,Lookups!$B$2)</f>
        <v>155833.95000000001</v>
      </c>
      <c r="BJ1466" s="6">
        <f>_xlfn.IFNA(VLOOKUP(Grandview_Inventory[[#This Row],[quality]],Lookups!$H$2:$J$14,3,FALSE),0)</f>
        <v>10733</v>
      </c>
      <c r="BK1466" s="6">
        <f>_xlfn.IFNA(VLOOKUP(Grandview_Inventory[[#This Row],[condition]],Lookups!$H$17:$J$24,3,FALSE),0)</f>
        <v>22342</v>
      </c>
      <c r="BL1466" s="6">
        <f>Grandview_Inventory[[#This Row],[Eff_Age]]*Lookups!$B$14</f>
        <v>-12675.8298</v>
      </c>
      <c r="BM1466" s="6">
        <f>Grandview_Inventory[[#This Row],[living_area]]*Lookups!$B$15</f>
        <v>124761.70600000001</v>
      </c>
      <c r="BN1466" s="6">
        <f>Grandview_Inventory[[#This Row],[Fin BSMT]]*Lookups!$B$16</f>
        <v>0</v>
      </c>
      <c r="BO1466" s="6">
        <f>(Grandview_Inventory[[#This Row],[att_gar]]+Grandview_Inventory[[#This Row],[bltin_gar]])*Lookups!$B$17</f>
        <v>35008.174800000001</v>
      </c>
      <c r="BP1466" s="6">
        <f>Grandview_Inventory[[#This Row],[Plumbing Fixtures]]*Lookups!$B$18</f>
        <v>18093.976200000001</v>
      </c>
      <c r="BQ1466" s="6">
        <f>Grandview_Inventory[[#This Row],[detatched_value]]*Lookups!$B$19</f>
        <v>0</v>
      </c>
      <c r="BR1466" s="6">
        <f>SUM(Grandview_Inventory[[#This Row],[Intercept]:[det_value]])*Grandview_Inventory[[#This Row],[res_pct]]</f>
        <v>354096.97719999996</v>
      </c>
      <c r="BS1466" s="6">
        <f>Grandview_Inventory[[#This Row],[land_value]]</f>
        <v>53250.00235313351</v>
      </c>
      <c r="BT1466" s="4">
        <f>_xlfn.IFNA(VLOOKUP(Grandview_Inventory[[#This Row],[quality]],Lookups!$A$26:$C$33,3,FALSE),1)</f>
        <v>0.98079741117310582</v>
      </c>
      <c r="BU1466" s="4">
        <f>_xlfn.IFNA(VLOOKUP(Grandview_Inventory[[#This Row],[condition]],Lookups!$A$37:$C$44,3,FALSE),1)</f>
        <v>0.97383723671140243</v>
      </c>
      <c r="BV1466" s="4">
        <f>IF(Grandview_Inventory[[#This Row],[bldg_style]]="",1,_xlfn.IFNA(VLOOKUP(Grandview_Inventory[[#This Row],[decade]],Lookups!$F$29:$H$43,3,FALSE),1))</f>
        <v>0.95244691841736806</v>
      </c>
      <c r="BW1466" s="4">
        <f>_xlfn.IFNA(VLOOKUP(Grandview_Inventory[[#This Row],[living_area_range]],Lookups!$F$47:$H$56,3,FALSE),1)</f>
        <v>0.96120133463014379</v>
      </c>
      <c r="BX1466" s="4">
        <f>AVERAGE(Grandview_Inventory[[#This Row],[qual_adj]:[size_adj]])</f>
        <v>0.96707072523300508</v>
      </c>
      <c r="BY1466" s="6">
        <f>IF(Grandview_Inventory[[#This Row],[pre_res]]&lt;0,0,Grandview_Inventory[[#This Row],[pre_res]]*Grandview_Inventory[[#This Row],[overall_adj]])</f>
        <v>342436.82054361881</v>
      </c>
      <c r="BZ1466" s="6">
        <f>(Grandview_Inventory[[#This Row],[sum_land]]-IF(Grandview_Inventory[[#This Row],[no_utilities]]=1,12000,0))/IF(Grandview_Inventory[[#This Row],[unbuildable]]=1,2,1)</f>
        <v>53250.00235313351</v>
      </c>
      <c r="CA146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466">
        <f>ROUND(Grandview_Inventory[[#This Row],[det_value]]*Lookups!$M$28,-2)</f>
        <v>0</v>
      </c>
      <c r="CC1466">
        <f>IF(ROUND(Grandview_Inventory[[#This Row],[adj_res]]*Lookups!$M$28,-2)&lt;Grandview_Inventory[[#This Row],[min_res]],Grandview_Inventory[[#This Row],[min_res]],ROUND(Grandview_Inventory[[#This Row],[adj_res]]*Lookups!$M$28,-2))</f>
        <v>325300</v>
      </c>
      <c r="CD1466">
        <f>Grandview_Inventory[[#This Row],[final_det]]+Grandview_Inventory[[#This Row],[final_res]]</f>
        <v>325300</v>
      </c>
      <c r="CE1466">
        <f>Grandview_Inventory[[#This Row],[final_land]]+Grandview_Inventory[[#This Row],[final_imp]]+Grandview_Inventory[[#This Row],[crop_value]]</f>
        <v>375900</v>
      </c>
      <c r="CG1466" t="str">
        <f t="shared" si="22"/>
        <v>update valuation set market_land =50600, market_bldg=325300, market_total =375900, market_mdno =401, market_date ='9/10/2023' where link_id = (select link_id from parcel where parcel_year = '2024' and parcel_id = '23092323471');</v>
      </c>
    </row>
    <row r="1467" spans="1:85" x14ac:dyDescent="0.25">
      <c r="A1467">
        <v>23092323472</v>
      </c>
      <c r="B1467">
        <v>0.23</v>
      </c>
      <c r="C1467">
        <v>10091</v>
      </c>
      <c r="D1467" t="s">
        <v>129</v>
      </c>
      <c r="E1467" t="s">
        <v>53</v>
      </c>
      <c r="F1467" t="s">
        <v>53</v>
      </c>
      <c r="G1467">
        <v>4</v>
      </c>
      <c r="H1467" t="s">
        <v>54</v>
      </c>
      <c r="I1467">
        <v>189800</v>
      </c>
      <c r="J1467">
        <v>44500</v>
      </c>
      <c r="K1467">
        <v>0.23</v>
      </c>
      <c r="L146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467">
        <v>0</v>
      </c>
      <c r="N1467">
        <v>0</v>
      </c>
      <c r="O1467">
        <v>0</v>
      </c>
      <c r="P1467">
        <v>13398.7528</v>
      </c>
      <c r="Q1467">
        <v>63903</v>
      </c>
      <c r="R1467">
        <f>(Grandview_Inventory[[#This Row],[ln_acres]]*Grandview_Inventory[[#This Row],[coeff]])+Grandview_Inventory[[#This Row],[const]]</f>
        <v>44211.174981080039</v>
      </c>
      <c r="S1467" t="s">
        <v>61</v>
      </c>
      <c r="T1467">
        <v>1</v>
      </c>
      <c r="U1467" t="s">
        <v>65</v>
      </c>
      <c r="V1467" t="s">
        <v>67</v>
      </c>
      <c r="W1467">
        <v>0</v>
      </c>
      <c r="X1467">
        <v>0</v>
      </c>
      <c r="Y1467">
        <v>49</v>
      </c>
      <c r="Z1467">
        <v>68</v>
      </c>
      <c r="AA1467">
        <v>70</v>
      </c>
      <c r="AB1467">
        <v>1500</v>
      </c>
      <c r="AC1467">
        <v>1375</v>
      </c>
      <c r="AD1467">
        <v>1375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159</v>
      </c>
      <c r="AO1467">
        <v>0</v>
      </c>
      <c r="AP1467">
        <v>5</v>
      </c>
      <c r="AQ1467">
        <v>0</v>
      </c>
      <c r="AR1467">
        <v>0</v>
      </c>
      <c r="AS1467" t="s">
        <v>58</v>
      </c>
      <c r="AT1467">
        <v>1</v>
      </c>
      <c r="AU1467" t="s">
        <v>63</v>
      </c>
      <c r="AV1467" t="s">
        <v>64</v>
      </c>
      <c r="AW1467">
        <v>1</v>
      </c>
      <c r="AX1467">
        <v>3</v>
      </c>
      <c r="AY1467">
        <v>0</v>
      </c>
      <c r="AZ1467">
        <v>7900</v>
      </c>
      <c r="BA1467">
        <v>100</v>
      </c>
      <c r="BB1467">
        <v>100</v>
      </c>
      <c r="BC1467">
        <v>100</v>
      </c>
      <c r="BD1467">
        <v>100</v>
      </c>
      <c r="BE1467">
        <v>1</v>
      </c>
      <c r="BF1467">
        <v>15000</v>
      </c>
      <c r="BG1467">
        <v>1000</v>
      </c>
      <c r="BH1467" s="6">
        <f>Grandview_Inventory[[#This Row],[land_extract]]*Lookups!$B$3</f>
        <v>51342.318135355803</v>
      </c>
      <c r="BI1467" s="6">
        <f>IF(Grandview_Inventory[[#This Row],[bldg_style]]="",0,Lookups!$B$2)</f>
        <v>155833.95000000001</v>
      </c>
      <c r="BJ1467" s="6">
        <f>_xlfn.IFNA(VLOOKUP(Grandview_Inventory[[#This Row],[quality]],Lookups!$H$2:$J$14,3,FALSE),0)</f>
        <v>2251</v>
      </c>
      <c r="BK1467" s="6">
        <f>_xlfn.IFNA(VLOOKUP(Grandview_Inventory[[#This Row],[condition]],Lookups!$H$17:$J$24,3,FALSE),0)</f>
        <v>22342</v>
      </c>
      <c r="BL1467" s="6">
        <f>Grandview_Inventory[[#This Row],[Eff_Age]]*Lookups!$B$14</f>
        <v>-11719.163399999999</v>
      </c>
      <c r="BM1467" s="6">
        <f>Grandview_Inventory[[#This Row],[living_area]]*Lookups!$B$15</f>
        <v>85773.672875000004</v>
      </c>
      <c r="BN1467" s="6">
        <f>Grandview_Inventory[[#This Row],[Fin BSMT]]*Lookups!$B$16</f>
        <v>0</v>
      </c>
      <c r="BO1467" s="6">
        <f>(Grandview_Inventory[[#This Row],[att_gar]]+Grandview_Inventory[[#This Row],[bltin_gar]])*Lookups!$B$17</f>
        <v>0</v>
      </c>
      <c r="BP1467" s="6">
        <f>Grandview_Inventory[[#This Row],[Plumbing Fixtures]]*Lookups!$B$18</f>
        <v>10052.209000000001</v>
      </c>
      <c r="BQ1467" s="6">
        <f>Grandview_Inventory[[#This Row],[detatched_value]]*Lookups!$B$19</f>
        <v>6689.7602900000002</v>
      </c>
      <c r="BR1467" s="6">
        <f>SUM(Grandview_Inventory[[#This Row],[Intercept]:[det_value]])*Grandview_Inventory[[#This Row],[res_pct]]</f>
        <v>271223.42876500002</v>
      </c>
      <c r="BS1467" s="6">
        <f>Grandview_Inventory[[#This Row],[land_value]]</f>
        <v>51342.318135355803</v>
      </c>
      <c r="BT1467" s="4">
        <f>_xlfn.IFNA(VLOOKUP(Grandview_Inventory[[#This Row],[quality]],Lookups!$A$26:$C$33,3,FALSE),1)</f>
        <v>0.98763855981004833</v>
      </c>
      <c r="BU1467" s="4">
        <f>_xlfn.IFNA(VLOOKUP(Grandview_Inventory[[#This Row],[condition]],Lookups!$A$37:$C$44,3,FALSE),1)</f>
        <v>0.97383723671140243</v>
      </c>
      <c r="BV1467" s="4">
        <f>IF(Grandview_Inventory[[#This Row],[bldg_style]]="",1,_xlfn.IFNA(VLOOKUP(Grandview_Inventory[[#This Row],[decade]],Lookups!$F$29:$H$43,3,FALSE),1))</f>
        <v>0.99472141305414818</v>
      </c>
      <c r="BW1467" s="4">
        <f>_xlfn.IFNA(VLOOKUP(Grandview_Inventory[[#This Row],[living_area_range]],Lookups!$F$47:$H$56,3,FALSE),1)</f>
        <v>0.96135087979789358</v>
      </c>
      <c r="BX1467" s="4">
        <f>AVERAGE(Grandview_Inventory[[#This Row],[qual_adj]:[size_adj]])</f>
        <v>0.97938702234337316</v>
      </c>
      <c r="BY1467" s="6">
        <f>IF(Grandview_Inventory[[#This Row],[pre_res]]&lt;0,0,Grandview_Inventory[[#This Row],[pre_res]]*Grandview_Inventory[[#This Row],[overall_adj]])</f>
        <v>265632.70628791337</v>
      </c>
      <c r="BZ1467" s="6">
        <f>(Grandview_Inventory[[#This Row],[sum_land]]-IF(Grandview_Inventory[[#This Row],[no_utilities]]=1,12000,0))/IF(Grandview_Inventory[[#This Row],[unbuildable]]=1,2,1)</f>
        <v>51342.318135355803</v>
      </c>
      <c r="CA146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467">
        <f>ROUND(Grandview_Inventory[[#This Row],[det_value]]*Lookups!$M$28,-2)</f>
        <v>6400</v>
      </c>
      <c r="CC1467">
        <f>IF(ROUND(Grandview_Inventory[[#This Row],[adj_res]]*Lookups!$M$28,-2)&lt;Grandview_Inventory[[#This Row],[min_res]],Grandview_Inventory[[#This Row],[min_res]],ROUND(Grandview_Inventory[[#This Row],[adj_res]]*Lookups!$M$28,-2))</f>
        <v>252400</v>
      </c>
      <c r="CD1467">
        <f>Grandview_Inventory[[#This Row],[final_det]]+Grandview_Inventory[[#This Row],[final_res]]</f>
        <v>258800</v>
      </c>
      <c r="CE1467">
        <f>Grandview_Inventory[[#This Row],[final_land]]+Grandview_Inventory[[#This Row],[final_imp]]+Grandview_Inventory[[#This Row],[crop_value]]</f>
        <v>307600</v>
      </c>
      <c r="CG1467" t="str">
        <f t="shared" si="22"/>
        <v>update valuation set market_land =48800, market_bldg=258800, market_total =307600, market_mdno =401, market_date ='9/10/2023' where link_id = (select link_id from parcel where parcel_year = '2024' and parcel_id = '23092323472');</v>
      </c>
    </row>
    <row r="1468" spans="1:85" x14ac:dyDescent="0.25">
      <c r="A1468">
        <v>23092323473</v>
      </c>
      <c r="B1468">
        <v>0.23</v>
      </c>
      <c r="C1468">
        <v>10169</v>
      </c>
      <c r="D1468" t="s">
        <v>129</v>
      </c>
      <c r="E1468" t="s">
        <v>53</v>
      </c>
      <c r="F1468" t="s">
        <v>53</v>
      </c>
      <c r="G1468">
        <v>4</v>
      </c>
      <c r="H1468" t="s">
        <v>54</v>
      </c>
      <c r="I1468">
        <v>126800</v>
      </c>
      <c r="J1468">
        <v>40200</v>
      </c>
      <c r="K1468">
        <v>0.23</v>
      </c>
      <c r="L146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468">
        <v>0</v>
      </c>
      <c r="N1468">
        <v>0</v>
      </c>
      <c r="O1468">
        <v>0</v>
      </c>
      <c r="P1468">
        <v>13398.7528</v>
      </c>
      <c r="Q1468">
        <v>63903</v>
      </c>
      <c r="R1468">
        <f>(Grandview_Inventory[[#This Row],[ln_acres]]*Grandview_Inventory[[#This Row],[coeff]])+Grandview_Inventory[[#This Row],[const]]</f>
        <v>44211.174981080039</v>
      </c>
      <c r="S1468" t="s">
        <v>68</v>
      </c>
      <c r="T1468">
        <v>1</v>
      </c>
      <c r="U1468" t="s">
        <v>65</v>
      </c>
      <c r="V1468" t="s">
        <v>69</v>
      </c>
      <c r="W1468">
        <v>0</v>
      </c>
      <c r="X1468">
        <v>0</v>
      </c>
      <c r="Y1468">
        <v>53</v>
      </c>
      <c r="Z1468">
        <v>93</v>
      </c>
      <c r="AA1468">
        <v>100</v>
      </c>
      <c r="AB1468">
        <v>1500</v>
      </c>
      <c r="AC1468">
        <v>1169</v>
      </c>
      <c r="AD1468">
        <v>1169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200</v>
      </c>
      <c r="AL1468">
        <v>0</v>
      </c>
      <c r="AM1468">
        <v>190</v>
      </c>
      <c r="AN1468">
        <v>168</v>
      </c>
      <c r="AO1468">
        <v>239</v>
      </c>
      <c r="AP1468">
        <v>5</v>
      </c>
      <c r="AQ1468">
        <v>0</v>
      </c>
      <c r="AR1468">
        <v>0</v>
      </c>
      <c r="AS1468" t="s">
        <v>58</v>
      </c>
      <c r="AT1468">
        <v>1</v>
      </c>
      <c r="AU1468" t="s">
        <v>63</v>
      </c>
      <c r="AV1468" t="s">
        <v>60</v>
      </c>
      <c r="AW1468">
        <v>0</v>
      </c>
      <c r="AX1468">
        <v>4</v>
      </c>
      <c r="AY1468">
        <v>0</v>
      </c>
      <c r="AZ1468">
        <v>0</v>
      </c>
      <c r="BA1468">
        <v>100</v>
      </c>
      <c r="BB1468">
        <v>100</v>
      </c>
      <c r="BC1468">
        <v>100</v>
      </c>
      <c r="BD1468">
        <v>100</v>
      </c>
      <c r="BE1468">
        <v>1</v>
      </c>
      <c r="BF1468">
        <v>15000</v>
      </c>
      <c r="BG1468">
        <v>1000</v>
      </c>
      <c r="BH1468" s="6">
        <f>Grandview_Inventory[[#This Row],[land_extract]]*Lookups!$B$3</f>
        <v>51342.318135355803</v>
      </c>
      <c r="BI1468" s="6">
        <f>IF(Grandview_Inventory[[#This Row],[bldg_style]]="",0,Lookups!$B$2)</f>
        <v>155833.95000000001</v>
      </c>
      <c r="BJ1468" s="6">
        <f>_xlfn.IFNA(VLOOKUP(Grandview_Inventory[[#This Row],[quality]],Lookups!$H$2:$J$14,3,FALSE),0)</f>
        <v>2251</v>
      </c>
      <c r="BK1468" s="6">
        <f>_xlfn.IFNA(VLOOKUP(Grandview_Inventory[[#This Row],[condition]],Lookups!$H$17:$J$24,3,FALSE),0)</f>
        <v>-4503</v>
      </c>
      <c r="BL1468" s="6">
        <f>Grandview_Inventory[[#This Row],[Eff_Age]]*Lookups!$B$14</f>
        <v>-12675.8298</v>
      </c>
      <c r="BM1468" s="6">
        <f>Grandview_Inventory[[#This Row],[living_area]]*Lookups!$B$15</f>
        <v>72923.217157000006</v>
      </c>
      <c r="BN1468" s="6">
        <f>Grandview_Inventory[[#This Row],[Fin BSMT]]*Lookups!$B$16</f>
        <v>0</v>
      </c>
      <c r="BO1468" s="6">
        <f>(Grandview_Inventory[[#This Row],[att_gar]]+Grandview_Inventory[[#This Row],[bltin_gar]])*Lookups!$B$17</f>
        <v>0</v>
      </c>
      <c r="BP1468" s="6">
        <f>Grandview_Inventory[[#This Row],[Plumbing Fixtures]]*Lookups!$B$18</f>
        <v>10052.209000000001</v>
      </c>
      <c r="BQ1468" s="6">
        <f>Grandview_Inventory[[#This Row],[detatched_value]]*Lookups!$B$19</f>
        <v>0</v>
      </c>
      <c r="BR1468" s="6">
        <f>SUM(Grandview_Inventory[[#This Row],[Intercept]:[det_value]])*Grandview_Inventory[[#This Row],[res_pct]]</f>
        <v>223881.54635700001</v>
      </c>
      <c r="BS1468" s="6">
        <f>Grandview_Inventory[[#This Row],[land_value]]</f>
        <v>51342.318135355803</v>
      </c>
      <c r="BT1468" s="4">
        <f>_xlfn.IFNA(VLOOKUP(Grandview_Inventory[[#This Row],[quality]],Lookups!$A$26:$C$33,3,FALSE),1)</f>
        <v>0.98763855981004833</v>
      </c>
      <c r="BU1468" s="4">
        <f>_xlfn.IFNA(VLOOKUP(Grandview_Inventory[[#This Row],[condition]],Lookups!$A$37:$C$44,3,FALSE),1)</f>
        <v>0.96469275950863709</v>
      </c>
      <c r="BV1468" s="4">
        <f>IF(Grandview_Inventory[[#This Row],[bldg_style]]="",1,_xlfn.IFNA(VLOOKUP(Grandview_Inventory[[#This Row],[decade]],Lookups!$F$29:$H$43,3,FALSE),1))</f>
        <v>0.95244691841736806</v>
      </c>
      <c r="BW1468" s="4">
        <f>_xlfn.IFNA(VLOOKUP(Grandview_Inventory[[#This Row],[living_area_range]],Lookups!$F$47:$H$56,3,FALSE),1)</f>
        <v>0.96135087979789358</v>
      </c>
      <c r="BX1468" s="4">
        <f>AVERAGE(Grandview_Inventory[[#This Row],[qual_adj]:[size_adj]])</f>
        <v>0.96653227938348674</v>
      </c>
      <c r="BY1468" s="6">
        <f>IF(Grandview_Inventory[[#This Row],[pre_res]]&lt;0,0,Grandview_Inventory[[#This Row],[pre_res]]*Grandview_Inventory[[#This Row],[overall_adj]])</f>
        <v>216388.74131233097</v>
      </c>
      <c r="BZ1468" s="6">
        <f>(Grandview_Inventory[[#This Row],[sum_land]]-IF(Grandview_Inventory[[#This Row],[no_utilities]]=1,12000,0))/IF(Grandview_Inventory[[#This Row],[unbuildable]]=1,2,1)</f>
        <v>51342.318135355803</v>
      </c>
      <c r="CA146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468">
        <f>ROUND(Grandview_Inventory[[#This Row],[det_value]]*Lookups!$M$28,-2)</f>
        <v>0</v>
      </c>
      <c r="CC1468">
        <f>IF(ROUND(Grandview_Inventory[[#This Row],[adj_res]]*Lookups!$M$28,-2)&lt;Grandview_Inventory[[#This Row],[min_res]],Grandview_Inventory[[#This Row],[min_res]],ROUND(Grandview_Inventory[[#This Row],[adj_res]]*Lookups!$M$28,-2))</f>
        <v>205600</v>
      </c>
      <c r="CD1468">
        <f>Grandview_Inventory[[#This Row],[final_det]]+Grandview_Inventory[[#This Row],[final_res]]</f>
        <v>205600</v>
      </c>
      <c r="CE1468">
        <f>Grandview_Inventory[[#This Row],[final_land]]+Grandview_Inventory[[#This Row],[final_imp]]+Grandview_Inventory[[#This Row],[crop_value]]</f>
        <v>254400</v>
      </c>
      <c r="CG1468" t="str">
        <f t="shared" si="22"/>
        <v>update valuation set market_land =48800, market_bldg=205600, market_total =254400, market_mdno =401, market_date ='9/10/2023' where link_id = (select link_id from parcel where parcel_year = '2024' and parcel_id = '23092323473');</v>
      </c>
    </row>
    <row r="1469" spans="1:85" x14ac:dyDescent="0.25">
      <c r="A1469">
        <v>23092323474</v>
      </c>
      <c r="B1469">
        <v>0.23</v>
      </c>
      <c r="C1469">
        <v>9908</v>
      </c>
      <c r="D1469" t="s">
        <v>129</v>
      </c>
      <c r="E1469" t="s">
        <v>53</v>
      </c>
      <c r="F1469" t="s">
        <v>53</v>
      </c>
      <c r="G1469">
        <v>4</v>
      </c>
      <c r="H1469" t="s">
        <v>54</v>
      </c>
      <c r="I1469">
        <v>90900</v>
      </c>
      <c r="J1469">
        <v>40000</v>
      </c>
      <c r="K1469">
        <v>0.23</v>
      </c>
      <c r="L146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469">
        <v>0</v>
      </c>
      <c r="N1469">
        <v>0</v>
      </c>
      <c r="O1469">
        <v>0</v>
      </c>
      <c r="P1469">
        <v>13398.7528</v>
      </c>
      <c r="Q1469">
        <v>63903</v>
      </c>
      <c r="R1469">
        <f>(Grandview_Inventory[[#This Row],[ln_acres]]*Grandview_Inventory[[#This Row],[coeff]])+Grandview_Inventory[[#This Row],[const]]</f>
        <v>44211.174981080039</v>
      </c>
      <c r="S1469" t="s">
        <v>68</v>
      </c>
      <c r="T1469">
        <v>1</v>
      </c>
      <c r="U1469" t="s">
        <v>80</v>
      </c>
      <c r="V1469" t="s">
        <v>69</v>
      </c>
      <c r="W1469">
        <v>0</v>
      </c>
      <c r="X1469">
        <v>0</v>
      </c>
      <c r="Y1469">
        <v>51</v>
      </c>
      <c r="Z1469">
        <v>78</v>
      </c>
      <c r="AA1469">
        <v>80</v>
      </c>
      <c r="AB1469">
        <v>1000</v>
      </c>
      <c r="AC1469">
        <v>801</v>
      </c>
      <c r="AD1469">
        <v>801</v>
      </c>
      <c r="AE1469">
        <v>0</v>
      </c>
      <c r="AF1469">
        <v>0</v>
      </c>
      <c r="AG1469">
        <v>0</v>
      </c>
      <c r="AH1469">
        <v>100</v>
      </c>
      <c r="AI1469">
        <v>0</v>
      </c>
      <c r="AJ1469">
        <v>0</v>
      </c>
      <c r="AK1469">
        <v>0</v>
      </c>
      <c r="AL1469">
        <v>174</v>
      </c>
      <c r="AM1469">
        <v>0</v>
      </c>
      <c r="AN1469">
        <v>0</v>
      </c>
      <c r="AO1469">
        <v>0</v>
      </c>
      <c r="AP1469">
        <v>5</v>
      </c>
      <c r="AQ1469">
        <v>0</v>
      </c>
      <c r="AR1469">
        <v>0</v>
      </c>
      <c r="AS1469" t="s">
        <v>58</v>
      </c>
      <c r="AT1469">
        <v>1</v>
      </c>
      <c r="AU1469" t="s">
        <v>63</v>
      </c>
      <c r="AV1469" t="s">
        <v>64</v>
      </c>
      <c r="AW1469">
        <v>0</v>
      </c>
      <c r="AX1469">
        <v>2</v>
      </c>
      <c r="AY1469">
        <v>0</v>
      </c>
      <c r="AZ1469">
        <v>3300</v>
      </c>
      <c r="BA1469">
        <v>100</v>
      </c>
      <c r="BB1469">
        <v>100</v>
      </c>
      <c r="BC1469">
        <v>100</v>
      </c>
      <c r="BD1469">
        <v>100</v>
      </c>
      <c r="BE1469">
        <v>1</v>
      </c>
      <c r="BF1469">
        <v>15000</v>
      </c>
      <c r="BG1469">
        <v>1000</v>
      </c>
      <c r="BH1469" s="6">
        <f>Grandview_Inventory[[#This Row],[land_extract]]*Lookups!$B$3</f>
        <v>51342.318135355803</v>
      </c>
      <c r="BI1469" s="6">
        <f>IF(Grandview_Inventory[[#This Row],[bldg_style]]="",0,Lookups!$B$2)</f>
        <v>155833.95000000001</v>
      </c>
      <c r="BJ1469" s="6">
        <f>_xlfn.IFNA(VLOOKUP(Grandview_Inventory[[#This Row],[quality]],Lookups!$H$2:$J$14,3,FALSE),0)</f>
        <v>-28558</v>
      </c>
      <c r="BK1469" s="6">
        <f>_xlfn.IFNA(VLOOKUP(Grandview_Inventory[[#This Row],[condition]],Lookups!$H$17:$J$24,3,FALSE),0)</f>
        <v>-4503</v>
      </c>
      <c r="BL1469" s="6">
        <f>Grandview_Inventory[[#This Row],[Eff_Age]]*Lookups!$B$14</f>
        <v>-12197.496599999999</v>
      </c>
      <c r="BM1469" s="6">
        <f>Grandview_Inventory[[#This Row],[living_area]]*Lookups!$B$15</f>
        <v>49967.063253</v>
      </c>
      <c r="BN1469" s="6">
        <f>Grandview_Inventory[[#This Row],[Fin BSMT]]*Lookups!$B$16</f>
        <v>0</v>
      </c>
      <c r="BO1469" s="6">
        <f>(Grandview_Inventory[[#This Row],[att_gar]]+Grandview_Inventory[[#This Row],[bltin_gar]])*Lookups!$B$17</f>
        <v>0</v>
      </c>
      <c r="BP1469" s="6">
        <f>Grandview_Inventory[[#This Row],[Plumbing Fixtures]]*Lookups!$B$18</f>
        <v>10052.209000000001</v>
      </c>
      <c r="BQ1469" s="6">
        <f>Grandview_Inventory[[#This Row],[detatched_value]]*Lookups!$B$19</f>
        <v>2794.4568300000001</v>
      </c>
      <c r="BR1469" s="6">
        <f>SUM(Grandview_Inventory[[#This Row],[Intercept]:[det_value]])*Grandview_Inventory[[#This Row],[res_pct]]</f>
        <v>173389.18248300004</v>
      </c>
      <c r="BS1469" s="6">
        <f>Grandview_Inventory[[#This Row],[land_value]]</f>
        <v>51342.318135355803</v>
      </c>
      <c r="BT1469" s="4">
        <f>_xlfn.IFNA(VLOOKUP(Grandview_Inventory[[#This Row],[quality]],Lookups!$A$26:$C$33,3,FALSE),1)</f>
        <v>0.9690360070159818</v>
      </c>
      <c r="BU1469" s="4">
        <f>_xlfn.IFNA(VLOOKUP(Grandview_Inventory[[#This Row],[condition]],Lookups!$A$37:$C$44,3,FALSE),1)</f>
        <v>0.96469275950863709</v>
      </c>
      <c r="BV1469" s="4">
        <f>IF(Grandview_Inventory[[#This Row],[bldg_style]]="",1,_xlfn.IFNA(VLOOKUP(Grandview_Inventory[[#This Row],[decade]],Lookups!$F$29:$H$43,3,FALSE),1))</f>
        <v>0.98763256963907298</v>
      </c>
      <c r="BW1469" s="4">
        <f>_xlfn.IFNA(VLOOKUP(Grandview_Inventory[[#This Row],[living_area_range]],Lookups!$F$47:$H$56,3,FALSE),1)</f>
        <v>0.94306777142782894</v>
      </c>
      <c r="BX1469" s="4">
        <f>AVERAGE(Grandview_Inventory[[#This Row],[qual_adj]:[size_adj]])</f>
        <v>0.96610727689788012</v>
      </c>
      <c r="BY1469" s="6">
        <f>IF(Grandview_Inventory[[#This Row],[pre_res]]&lt;0,0,Grandview_Inventory[[#This Row],[pre_res]]*Grandview_Inventory[[#This Row],[overall_adj]])</f>
        <v>167512.55093220077</v>
      </c>
      <c r="BZ1469" s="6">
        <f>(Grandview_Inventory[[#This Row],[sum_land]]-IF(Grandview_Inventory[[#This Row],[no_utilities]]=1,12000,0))/IF(Grandview_Inventory[[#This Row],[unbuildable]]=1,2,1)</f>
        <v>51342.318135355803</v>
      </c>
      <c r="CA146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469">
        <f>ROUND(Grandview_Inventory[[#This Row],[det_value]]*Lookups!$M$28,-2)</f>
        <v>2700</v>
      </c>
      <c r="CC1469">
        <f>IF(ROUND(Grandview_Inventory[[#This Row],[adj_res]]*Lookups!$M$28,-2)&lt;Grandview_Inventory[[#This Row],[min_res]],Grandview_Inventory[[#This Row],[min_res]],ROUND(Grandview_Inventory[[#This Row],[adj_res]]*Lookups!$M$28,-2))</f>
        <v>159100</v>
      </c>
      <c r="CD1469">
        <f>Grandview_Inventory[[#This Row],[final_det]]+Grandview_Inventory[[#This Row],[final_res]]</f>
        <v>161800</v>
      </c>
      <c r="CE1469">
        <f>Grandview_Inventory[[#This Row],[final_land]]+Grandview_Inventory[[#This Row],[final_imp]]+Grandview_Inventory[[#This Row],[crop_value]]</f>
        <v>210600</v>
      </c>
      <c r="CG1469" t="str">
        <f t="shared" si="22"/>
        <v>update valuation set market_land =48800, market_bldg=161800, market_total =210600, market_mdno =401, market_date ='9/10/2023' where link_id = (select link_id from parcel where parcel_year = '2024' and parcel_id = '23092323474');</v>
      </c>
    </row>
    <row r="1470" spans="1:85" x14ac:dyDescent="0.25">
      <c r="A1470">
        <v>23092323475</v>
      </c>
      <c r="B1470">
        <v>0.11</v>
      </c>
      <c r="C1470">
        <v>4689</v>
      </c>
      <c r="D1470" t="s">
        <v>129</v>
      </c>
      <c r="E1470" t="s">
        <v>53</v>
      </c>
      <c r="F1470" t="s">
        <v>53</v>
      </c>
      <c r="G1470">
        <v>4</v>
      </c>
      <c r="H1470" t="s">
        <v>54</v>
      </c>
      <c r="I1470">
        <v>112200</v>
      </c>
      <c r="J1470">
        <v>38100</v>
      </c>
      <c r="K1470">
        <v>0.11</v>
      </c>
      <c r="L1470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1470">
        <v>0</v>
      </c>
      <c r="N1470">
        <v>0</v>
      </c>
      <c r="O1470">
        <v>0</v>
      </c>
      <c r="P1470">
        <v>13398.7528</v>
      </c>
      <c r="Q1470">
        <v>63903</v>
      </c>
      <c r="R1470">
        <f>(Grandview_Inventory[[#This Row],[ln_acres]]*Grandview_Inventory[[#This Row],[coeff]])+Grandview_Inventory[[#This Row],[const]]</f>
        <v>34328.269076529468</v>
      </c>
      <c r="S1470" t="s">
        <v>68</v>
      </c>
      <c r="T1470">
        <v>1</v>
      </c>
      <c r="U1470" t="s">
        <v>80</v>
      </c>
      <c r="V1470" t="s">
        <v>69</v>
      </c>
      <c r="W1470">
        <v>0</v>
      </c>
      <c r="X1470">
        <v>0</v>
      </c>
      <c r="Y1470">
        <v>52</v>
      </c>
      <c r="Z1470">
        <v>88</v>
      </c>
      <c r="AA1470">
        <v>90</v>
      </c>
      <c r="AB1470">
        <v>1500</v>
      </c>
      <c r="AC1470">
        <v>1435</v>
      </c>
      <c r="AD1470">
        <v>1435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72</v>
      </c>
      <c r="AM1470">
        <v>0</v>
      </c>
      <c r="AN1470">
        <v>0</v>
      </c>
      <c r="AO1470">
        <v>72</v>
      </c>
      <c r="AP1470">
        <v>5</v>
      </c>
      <c r="AQ1470">
        <v>0</v>
      </c>
      <c r="AR1470">
        <v>0</v>
      </c>
      <c r="AS1470" t="s">
        <v>58</v>
      </c>
      <c r="AT1470">
        <v>0</v>
      </c>
      <c r="AU1470" t="s">
        <v>82</v>
      </c>
      <c r="AV1470" t="s">
        <v>64</v>
      </c>
      <c r="AW1470">
        <v>0</v>
      </c>
      <c r="AX1470">
        <v>1</v>
      </c>
      <c r="AY1470">
        <v>0</v>
      </c>
      <c r="AZ1470">
        <v>1600</v>
      </c>
      <c r="BA1470">
        <v>100</v>
      </c>
      <c r="BB1470">
        <v>100</v>
      </c>
      <c r="BC1470">
        <v>100</v>
      </c>
      <c r="BD1470">
        <v>100</v>
      </c>
      <c r="BE1470">
        <v>1</v>
      </c>
      <c r="BF1470">
        <v>15000</v>
      </c>
      <c r="BG1470">
        <v>1000</v>
      </c>
      <c r="BH1470" s="6">
        <f>Grandview_Inventory[[#This Row],[land_extract]]*Lookups!$B$3</f>
        <v>39865.326192247165</v>
      </c>
      <c r="BI1470" s="6">
        <f>IF(Grandview_Inventory[[#This Row],[bldg_style]]="",0,Lookups!$B$2)</f>
        <v>155833.95000000001</v>
      </c>
      <c r="BJ1470" s="6">
        <f>_xlfn.IFNA(VLOOKUP(Grandview_Inventory[[#This Row],[quality]],Lookups!$H$2:$J$14,3,FALSE),0)</f>
        <v>-28558</v>
      </c>
      <c r="BK1470" s="6">
        <f>_xlfn.IFNA(VLOOKUP(Grandview_Inventory[[#This Row],[condition]],Lookups!$H$17:$J$24,3,FALSE),0)</f>
        <v>-4503</v>
      </c>
      <c r="BL1470" s="6">
        <f>Grandview_Inventory[[#This Row],[Eff_Age]]*Lookups!$B$14</f>
        <v>-12436.663199999999</v>
      </c>
      <c r="BM1470" s="6">
        <f>Grandview_Inventory[[#This Row],[living_area]]*Lookups!$B$15</f>
        <v>89516.524055000002</v>
      </c>
      <c r="BN1470" s="6">
        <f>Grandview_Inventory[[#This Row],[Fin BSMT]]*Lookups!$B$16</f>
        <v>0</v>
      </c>
      <c r="BO1470" s="6">
        <f>(Grandview_Inventory[[#This Row],[att_gar]]+Grandview_Inventory[[#This Row],[bltin_gar]])*Lookups!$B$17</f>
        <v>0</v>
      </c>
      <c r="BP1470" s="6">
        <f>Grandview_Inventory[[#This Row],[Plumbing Fixtures]]*Lookups!$B$18</f>
        <v>10052.209000000001</v>
      </c>
      <c r="BQ1470" s="6">
        <f>Grandview_Inventory[[#This Row],[detatched_value]]*Lookups!$B$19</f>
        <v>1354.88816</v>
      </c>
      <c r="BR1470" s="6">
        <f>SUM(Grandview_Inventory[[#This Row],[Intercept]:[det_value]])*Grandview_Inventory[[#This Row],[res_pct]]</f>
        <v>211259.90801500002</v>
      </c>
      <c r="BS1470" s="6">
        <f>Grandview_Inventory[[#This Row],[land_value]]</f>
        <v>39865.326192247165</v>
      </c>
      <c r="BT1470" s="4">
        <f>_xlfn.IFNA(VLOOKUP(Grandview_Inventory[[#This Row],[quality]],Lookups!$A$26:$C$33,3,FALSE),1)</f>
        <v>0.9690360070159818</v>
      </c>
      <c r="BU1470" s="4">
        <f>_xlfn.IFNA(VLOOKUP(Grandview_Inventory[[#This Row],[condition]],Lookups!$A$37:$C$44,3,FALSE),1)</f>
        <v>0.96469275950863709</v>
      </c>
      <c r="BV1470" s="4">
        <f>IF(Grandview_Inventory[[#This Row],[bldg_style]]="",1,_xlfn.IFNA(VLOOKUP(Grandview_Inventory[[#This Row],[decade]],Lookups!$F$29:$H$43,3,FALSE),1))</f>
        <v>0.94161750052457416</v>
      </c>
      <c r="BW1470" s="4">
        <f>_xlfn.IFNA(VLOOKUP(Grandview_Inventory[[#This Row],[living_area_range]],Lookups!$F$47:$H$56,3,FALSE),1)</f>
        <v>0.96135087979789358</v>
      </c>
      <c r="BX1470" s="4">
        <f>AVERAGE(Grandview_Inventory[[#This Row],[qual_adj]:[size_adj]])</f>
        <v>0.95917428671177163</v>
      </c>
      <c r="BY1470" s="6">
        <f>IF(Grandview_Inventory[[#This Row],[pre_res]]&lt;0,0,Grandview_Inventory[[#This Row],[pre_res]]*Grandview_Inventory[[#This Row],[overall_adj]])</f>
        <v>202635.07158108213</v>
      </c>
      <c r="BZ1470" s="6">
        <f>(Grandview_Inventory[[#This Row],[sum_land]]-IF(Grandview_Inventory[[#This Row],[no_utilities]]=1,12000,0))/IF(Grandview_Inventory[[#This Row],[unbuildable]]=1,2,1)</f>
        <v>39865.326192247165</v>
      </c>
      <c r="CA1470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1470">
        <f>ROUND(Grandview_Inventory[[#This Row],[det_value]]*Lookups!$M$28,-2)</f>
        <v>1300</v>
      </c>
      <c r="CC1470">
        <f>IF(ROUND(Grandview_Inventory[[#This Row],[adj_res]]*Lookups!$M$28,-2)&lt;Grandview_Inventory[[#This Row],[min_res]],Grandview_Inventory[[#This Row],[min_res]],ROUND(Grandview_Inventory[[#This Row],[adj_res]]*Lookups!$M$28,-2))</f>
        <v>192500</v>
      </c>
      <c r="CD1470">
        <f>Grandview_Inventory[[#This Row],[final_det]]+Grandview_Inventory[[#This Row],[final_res]]</f>
        <v>193800</v>
      </c>
      <c r="CE1470">
        <f>Grandview_Inventory[[#This Row],[final_land]]+Grandview_Inventory[[#This Row],[final_imp]]+Grandview_Inventory[[#This Row],[crop_value]]</f>
        <v>231700</v>
      </c>
      <c r="CG1470" t="str">
        <f t="shared" si="22"/>
        <v>update valuation set market_land =37900, market_bldg=193800, market_total =231700, market_mdno =401, market_date ='9/10/2023' where link_id = (select link_id from parcel where parcel_year = '2024' and parcel_id = '23092323475');</v>
      </c>
    </row>
    <row r="1471" spans="1:85" x14ac:dyDescent="0.25">
      <c r="A1471">
        <v>23092323477</v>
      </c>
      <c r="B1471">
        <v>0.19</v>
      </c>
      <c r="C1471">
        <v>8444</v>
      </c>
      <c r="D1471" t="s">
        <v>129</v>
      </c>
      <c r="E1471" t="s">
        <v>53</v>
      </c>
      <c r="F1471" t="s">
        <v>53</v>
      </c>
      <c r="G1471">
        <v>4</v>
      </c>
      <c r="H1471" t="s">
        <v>54</v>
      </c>
      <c r="I1471">
        <v>79100</v>
      </c>
      <c r="J1471">
        <v>39700</v>
      </c>
      <c r="K1471">
        <v>0.19</v>
      </c>
      <c r="L147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71">
        <v>0</v>
      </c>
      <c r="N1471">
        <v>0</v>
      </c>
      <c r="O1471">
        <v>0</v>
      </c>
      <c r="P1471">
        <v>13398.7528</v>
      </c>
      <c r="Q1471">
        <v>63903</v>
      </c>
      <c r="R1471">
        <f>(Grandview_Inventory[[#This Row],[ln_acres]]*Grandview_Inventory[[#This Row],[coeff]])+Grandview_Inventory[[#This Row],[const]]</f>
        <v>41651.273092551026</v>
      </c>
      <c r="S1471" t="s">
        <v>68</v>
      </c>
      <c r="T1471">
        <v>1</v>
      </c>
      <c r="U1471" t="s">
        <v>80</v>
      </c>
      <c r="V1471" t="s">
        <v>69</v>
      </c>
      <c r="W1471">
        <v>0</v>
      </c>
      <c r="X1471">
        <v>0</v>
      </c>
      <c r="Y1471">
        <v>73</v>
      </c>
      <c r="Z1471">
        <v>123</v>
      </c>
      <c r="AA1471">
        <v>130</v>
      </c>
      <c r="AB1471">
        <v>1000</v>
      </c>
      <c r="AC1471">
        <v>572</v>
      </c>
      <c r="AD1471">
        <v>572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132</v>
      </c>
      <c r="AO1471">
        <v>0</v>
      </c>
      <c r="AP1471">
        <v>5</v>
      </c>
      <c r="AQ1471">
        <v>0</v>
      </c>
      <c r="AR1471">
        <v>0</v>
      </c>
      <c r="AS1471" t="s">
        <v>58</v>
      </c>
      <c r="AT1471">
        <v>1</v>
      </c>
      <c r="AU1471" t="s">
        <v>75</v>
      </c>
      <c r="AV1471" t="s">
        <v>60</v>
      </c>
      <c r="AW1471">
        <v>0</v>
      </c>
      <c r="AX1471">
        <v>2</v>
      </c>
      <c r="AY1471">
        <v>0</v>
      </c>
      <c r="AZ1471">
        <v>0</v>
      </c>
      <c r="BA1471">
        <v>100</v>
      </c>
      <c r="BB1471">
        <v>100</v>
      </c>
      <c r="BC1471">
        <v>100</v>
      </c>
      <c r="BD1471">
        <v>100</v>
      </c>
      <c r="BE1471">
        <v>1</v>
      </c>
      <c r="BF1471">
        <v>15000</v>
      </c>
      <c r="BG1471">
        <v>1000</v>
      </c>
      <c r="BH1471" s="6">
        <f>Grandview_Inventory[[#This Row],[land_extract]]*Lookups!$B$3</f>
        <v>48369.510983942157</v>
      </c>
      <c r="BI1471" s="6">
        <f>IF(Grandview_Inventory[[#This Row],[bldg_style]]="",0,Lookups!$B$2)</f>
        <v>155833.95000000001</v>
      </c>
      <c r="BJ1471" s="6">
        <f>_xlfn.IFNA(VLOOKUP(Grandview_Inventory[[#This Row],[quality]],Lookups!$H$2:$J$14,3,FALSE),0)</f>
        <v>-28558</v>
      </c>
      <c r="BK1471" s="6">
        <f>_xlfn.IFNA(VLOOKUP(Grandview_Inventory[[#This Row],[condition]],Lookups!$H$17:$J$24,3,FALSE),0)</f>
        <v>-4503</v>
      </c>
      <c r="BL1471" s="6">
        <f>Grandview_Inventory[[#This Row],[Eff_Age]]*Lookups!$B$14</f>
        <v>-17459.161799999998</v>
      </c>
      <c r="BM1471" s="6">
        <f>Grandview_Inventory[[#This Row],[living_area]]*Lookups!$B$15</f>
        <v>35681.847915999999</v>
      </c>
      <c r="BN1471" s="6">
        <f>Grandview_Inventory[[#This Row],[Fin BSMT]]*Lookups!$B$16</f>
        <v>0</v>
      </c>
      <c r="BO1471" s="6">
        <f>(Grandview_Inventory[[#This Row],[att_gar]]+Grandview_Inventory[[#This Row],[bltin_gar]])*Lookups!$B$17</f>
        <v>0</v>
      </c>
      <c r="BP1471" s="6">
        <f>Grandview_Inventory[[#This Row],[Plumbing Fixtures]]*Lookups!$B$18</f>
        <v>10052.209000000001</v>
      </c>
      <c r="BQ1471" s="6">
        <f>Grandview_Inventory[[#This Row],[detatched_value]]*Lookups!$B$19</f>
        <v>0</v>
      </c>
      <c r="BR1471" s="6">
        <f>SUM(Grandview_Inventory[[#This Row],[Intercept]:[det_value]])*Grandview_Inventory[[#This Row],[res_pct]]</f>
        <v>151047.84511600001</v>
      </c>
      <c r="BS1471" s="6">
        <f>Grandview_Inventory[[#This Row],[land_value]]</f>
        <v>48369.510983942157</v>
      </c>
      <c r="BT1471" s="4">
        <f>_xlfn.IFNA(VLOOKUP(Grandview_Inventory[[#This Row],[quality]],Lookups!$A$26:$C$33,3,FALSE),1)</f>
        <v>0.9690360070159818</v>
      </c>
      <c r="BU1471" s="4">
        <f>_xlfn.IFNA(VLOOKUP(Grandview_Inventory[[#This Row],[condition]],Lookups!$A$37:$C$44,3,FALSE),1)</f>
        <v>0.96469275950863709</v>
      </c>
      <c r="BV1471" s="4">
        <f>IF(Grandview_Inventory[[#This Row],[bldg_style]]="",1,_xlfn.IFNA(VLOOKUP(Grandview_Inventory[[#This Row],[decade]],Lookups!$F$29:$H$43,3,FALSE),1))</f>
        <v>0.9251738460551937</v>
      </c>
      <c r="BW1471" s="4">
        <f>_xlfn.IFNA(VLOOKUP(Grandview_Inventory[[#This Row],[living_area_range]],Lookups!$F$47:$H$56,3,FALSE),1)</f>
        <v>0.94306777142782894</v>
      </c>
      <c r="BX1471" s="4">
        <f>AVERAGE(Grandview_Inventory[[#This Row],[qual_adj]:[size_adj]])</f>
        <v>0.95049259600191027</v>
      </c>
      <c r="BY1471" s="6">
        <f>IF(Grandview_Inventory[[#This Row],[pre_res]]&lt;0,0,Grandview_Inventory[[#This Row],[pre_res]]*Grandview_Inventory[[#This Row],[overall_adj]])</f>
        <v>143569.85842480132</v>
      </c>
      <c r="BZ1471" s="6">
        <f>(Grandview_Inventory[[#This Row],[sum_land]]-IF(Grandview_Inventory[[#This Row],[no_utilities]]=1,12000,0))/IF(Grandview_Inventory[[#This Row],[unbuildable]]=1,2,1)</f>
        <v>48369.510983942157</v>
      </c>
      <c r="CA147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71">
        <f>ROUND(Grandview_Inventory[[#This Row],[det_value]]*Lookups!$M$28,-2)</f>
        <v>0</v>
      </c>
      <c r="CC1471">
        <f>IF(ROUND(Grandview_Inventory[[#This Row],[adj_res]]*Lookups!$M$28,-2)&lt;Grandview_Inventory[[#This Row],[min_res]],Grandview_Inventory[[#This Row],[min_res]],ROUND(Grandview_Inventory[[#This Row],[adj_res]]*Lookups!$M$28,-2))</f>
        <v>136400</v>
      </c>
      <c r="CD1471">
        <f>Grandview_Inventory[[#This Row],[final_det]]+Grandview_Inventory[[#This Row],[final_res]]</f>
        <v>136400</v>
      </c>
      <c r="CE1471">
        <f>Grandview_Inventory[[#This Row],[final_land]]+Grandview_Inventory[[#This Row],[final_imp]]+Grandview_Inventory[[#This Row],[crop_value]]</f>
        <v>182400</v>
      </c>
      <c r="CG1471" t="str">
        <f t="shared" si="22"/>
        <v>update valuation set market_land =46000, market_bldg=136400, market_total =182400, market_mdno =401, market_date ='9/10/2023' where link_id = (select link_id from parcel where parcel_year = '2024' and parcel_id = '23092323477');</v>
      </c>
    </row>
    <row r="1472" spans="1:85" x14ac:dyDescent="0.25">
      <c r="A1472">
        <v>23092323479</v>
      </c>
      <c r="B1472">
        <v>0.24</v>
      </c>
      <c r="C1472">
        <v>10238</v>
      </c>
      <c r="D1472" t="s">
        <v>129</v>
      </c>
      <c r="E1472" t="s">
        <v>53</v>
      </c>
      <c r="F1472" t="s">
        <v>53</v>
      </c>
      <c r="G1472">
        <v>4</v>
      </c>
      <c r="H1472" t="s">
        <v>54</v>
      </c>
      <c r="I1472">
        <v>121200</v>
      </c>
      <c r="J1472">
        <v>40200</v>
      </c>
      <c r="K1472">
        <v>0.24</v>
      </c>
      <c r="L1472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472">
        <v>0</v>
      </c>
      <c r="N1472">
        <v>0</v>
      </c>
      <c r="O1472">
        <v>0</v>
      </c>
      <c r="P1472">
        <v>13398.7528</v>
      </c>
      <c r="Q1472">
        <v>63903</v>
      </c>
      <c r="R1472">
        <f>(Grandview_Inventory[[#This Row],[ln_acres]]*Grandview_Inventory[[#This Row],[coeff]])+Grandview_Inventory[[#This Row],[const]]</f>
        <v>44781.420733940802</v>
      </c>
      <c r="S1472" t="s">
        <v>68</v>
      </c>
      <c r="T1472">
        <v>1</v>
      </c>
      <c r="U1472" t="s">
        <v>80</v>
      </c>
      <c r="V1472" t="s">
        <v>67</v>
      </c>
      <c r="W1472">
        <v>0</v>
      </c>
      <c r="X1472">
        <v>0</v>
      </c>
      <c r="Y1472">
        <v>53</v>
      </c>
      <c r="Z1472">
        <v>93</v>
      </c>
      <c r="AA1472">
        <v>100</v>
      </c>
      <c r="AB1472">
        <v>1000</v>
      </c>
      <c r="AC1472">
        <v>880</v>
      </c>
      <c r="AD1472">
        <v>880</v>
      </c>
      <c r="AE1472">
        <v>0</v>
      </c>
      <c r="AF1472">
        <v>0</v>
      </c>
      <c r="AG1472">
        <v>0</v>
      </c>
      <c r="AH1472">
        <v>200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60</v>
      </c>
      <c r="AO1472">
        <v>0</v>
      </c>
      <c r="AP1472">
        <v>5</v>
      </c>
      <c r="AQ1472">
        <v>0</v>
      </c>
      <c r="AR1472">
        <v>0</v>
      </c>
      <c r="AS1472" t="s">
        <v>58</v>
      </c>
      <c r="AT1472">
        <v>1</v>
      </c>
      <c r="AU1472" t="s">
        <v>63</v>
      </c>
      <c r="AV1472" t="s">
        <v>64</v>
      </c>
      <c r="AW1472">
        <v>0</v>
      </c>
      <c r="AX1472">
        <v>3</v>
      </c>
      <c r="AY1472">
        <v>0</v>
      </c>
      <c r="AZ1472">
        <v>0</v>
      </c>
      <c r="BA1472">
        <v>100</v>
      </c>
      <c r="BB1472">
        <v>100</v>
      </c>
      <c r="BC1472">
        <v>100</v>
      </c>
      <c r="BD1472">
        <v>100</v>
      </c>
      <c r="BE1472">
        <v>1</v>
      </c>
      <c r="BF1472">
        <v>15000</v>
      </c>
      <c r="BG1472">
        <v>1000</v>
      </c>
      <c r="BH1472" s="6">
        <f>Grandview_Inventory[[#This Row],[land_extract]]*Lookups!$B$3</f>
        <v>52004.542988489469</v>
      </c>
      <c r="BI1472" s="6">
        <f>IF(Grandview_Inventory[[#This Row],[bldg_style]]="",0,Lookups!$B$2)</f>
        <v>155833.95000000001</v>
      </c>
      <c r="BJ1472" s="6">
        <f>_xlfn.IFNA(VLOOKUP(Grandview_Inventory[[#This Row],[quality]],Lookups!$H$2:$J$14,3,FALSE),0)</f>
        <v>-28558</v>
      </c>
      <c r="BK1472" s="6">
        <f>_xlfn.IFNA(VLOOKUP(Grandview_Inventory[[#This Row],[condition]],Lookups!$H$17:$J$24,3,FALSE),0)</f>
        <v>22342</v>
      </c>
      <c r="BL1472" s="6">
        <f>Grandview_Inventory[[#This Row],[Eff_Age]]*Lookups!$B$14</f>
        <v>-12675.8298</v>
      </c>
      <c r="BM1472" s="6">
        <f>Grandview_Inventory[[#This Row],[living_area]]*Lookups!$B$15</f>
        <v>54895.15064</v>
      </c>
      <c r="BN1472" s="6">
        <f>Grandview_Inventory[[#This Row],[Fin BSMT]]*Lookups!$B$16</f>
        <v>0</v>
      </c>
      <c r="BO1472" s="6">
        <f>(Grandview_Inventory[[#This Row],[att_gar]]+Grandview_Inventory[[#This Row],[bltin_gar]])*Lookups!$B$17</f>
        <v>0</v>
      </c>
      <c r="BP1472" s="6">
        <f>Grandview_Inventory[[#This Row],[Plumbing Fixtures]]*Lookups!$B$18</f>
        <v>10052.209000000001</v>
      </c>
      <c r="BQ1472" s="6">
        <f>Grandview_Inventory[[#This Row],[detatched_value]]*Lookups!$B$19</f>
        <v>0</v>
      </c>
      <c r="BR1472" s="6">
        <f>SUM(Grandview_Inventory[[#This Row],[Intercept]:[det_value]])*Grandview_Inventory[[#This Row],[res_pct]]</f>
        <v>201889.47984000001</v>
      </c>
      <c r="BS1472" s="6">
        <f>Grandview_Inventory[[#This Row],[land_value]]</f>
        <v>52004.542988489469</v>
      </c>
      <c r="BT1472" s="4">
        <f>_xlfn.IFNA(VLOOKUP(Grandview_Inventory[[#This Row],[quality]],Lookups!$A$26:$C$33,3,FALSE),1)</f>
        <v>0.9690360070159818</v>
      </c>
      <c r="BU1472" s="4">
        <f>_xlfn.IFNA(VLOOKUP(Grandview_Inventory[[#This Row],[condition]],Lookups!$A$37:$C$44,3,FALSE),1)</f>
        <v>0.97383723671140243</v>
      </c>
      <c r="BV1472" s="4">
        <f>IF(Grandview_Inventory[[#This Row],[bldg_style]]="",1,_xlfn.IFNA(VLOOKUP(Grandview_Inventory[[#This Row],[decade]],Lookups!$F$29:$H$43,3,FALSE),1))</f>
        <v>0.95244691841736806</v>
      </c>
      <c r="BW1472" s="4">
        <f>_xlfn.IFNA(VLOOKUP(Grandview_Inventory[[#This Row],[living_area_range]],Lookups!$F$47:$H$56,3,FALSE),1)</f>
        <v>0.94306777142782894</v>
      </c>
      <c r="BX1472" s="4">
        <f>AVERAGE(Grandview_Inventory[[#This Row],[qual_adj]:[size_adj]])</f>
        <v>0.95959698339314525</v>
      </c>
      <c r="BY1472" s="6">
        <f>IF(Grandview_Inventory[[#This Row],[pre_res]]&lt;0,0,Grandview_Inventory[[#This Row],[pre_res]]*Grandview_Inventory[[#This Row],[overall_adj]])</f>
        <v>193732.53583327524</v>
      </c>
      <c r="BZ1472" s="6">
        <f>(Grandview_Inventory[[#This Row],[sum_land]]-IF(Grandview_Inventory[[#This Row],[no_utilities]]=1,12000,0))/IF(Grandview_Inventory[[#This Row],[unbuildable]]=1,2,1)</f>
        <v>52004.542988489469</v>
      </c>
      <c r="CA1472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472">
        <f>ROUND(Grandview_Inventory[[#This Row],[det_value]]*Lookups!$M$28,-2)</f>
        <v>0</v>
      </c>
      <c r="CC1472">
        <f>IF(ROUND(Grandview_Inventory[[#This Row],[adj_res]]*Lookups!$M$28,-2)&lt;Grandview_Inventory[[#This Row],[min_res]],Grandview_Inventory[[#This Row],[min_res]],ROUND(Grandview_Inventory[[#This Row],[adj_res]]*Lookups!$M$28,-2))</f>
        <v>184000</v>
      </c>
      <c r="CD1472">
        <f>Grandview_Inventory[[#This Row],[final_det]]+Grandview_Inventory[[#This Row],[final_res]]</f>
        <v>184000</v>
      </c>
      <c r="CE1472">
        <f>Grandview_Inventory[[#This Row],[final_land]]+Grandview_Inventory[[#This Row],[final_imp]]+Grandview_Inventory[[#This Row],[crop_value]]</f>
        <v>233400</v>
      </c>
      <c r="CG1472" t="str">
        <f t="shared" si="22"/>
        <v>update valuation set market_land =49400, market_bldg=184000, market_total =233400, market_mdno =401, market_date ='9/10/2023' where link_id = (select link_id from parcel where parcel_year = '2024' and parcel_id = '23092323479');</v>
      </c>
    </row>
    <row r="1473" spans="1:85" x14ac:dyDescent="0.25">
      <c r="A1473">
        <v>23092323480</v>
      </c>
      <c r="B1473">
        <v>0.23</v>
      </c>
      <c r="C1473">
        <v>9864</v>
      </c>
      <c r="D1473" t="s">
        <v>129</v>
      </c>
      <c r="E1473" t="s">
        <v>53</v>
      </c>
      <c r="F1473" t="s">
        <v>53</v>
      </c>
      <c r="G1473">
        <v>4</v>
      </c>
      <c r="H1473" t="s">
        <v>54</v>
      </c>
      <c r="I1473">
        <v>116200</v>
      </c>
      <c r="J1473">
        <v>40000</v>
      </c>
      <c r="K1473">
        <v>0.23</v>
      </c>
      <c r="L147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473">
        <v>0</v>
      </c>
      <c r="N1473">
        <v>0</v>
      </c>
      <c r="O1473">
        <v>0</v>
      </c>
      <c r="P1473">
        <v>13398.7528</v>
      </c>
      <c r="Q1473">
        <v>63903</v>
      </c>
      <c r="R1473">
        <f>(Grandview_Inventory[[#This Row],[ln_acres]]*Grandview_Inventory[[#This Row],[coeff]])+Grandview_Inventory[[#This Row],[const]]</f>
        <v>44211.174981080039</v>
      </c>
      <c r="S1473" t="s">
        <v>68</v>
      </c>
      <c r="T1473">
        <v>1</v>
      </c>
      <c r="U1473" t="s">
        <v>70</v>
      </c>
      <c r="V1473" t="s">
        <v>69</v>
      </c>
      <c r="W1473">
        <v>0</v>
      </c>
      <c r="X1473">
        <v>0</v>
      </c>
      <c r="Y1473">
        <v>53</v>
      </c>
      <c r="Z1473">
        <v>93</v>
      </c>
      <c r="AA1473">
        <v>100</v>
      </c>
      <c r="AB1473">
        <v>1000</v>
      </c>
      <c r="AC1473">
        <v>912</v>
      </c>
      <c r="AD1473">
        <v>912</v>
      </c>
      <c r="AE1473">
        <v>0</v>
      </c>
      <c r="AF1473">
        <v>0</v>
      </c>
      <c r="AG1473">
        <v>0</v>
      </c>
      <c r="AH1473">
        <v>308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30</v>
      </c>
      <c r="AO1473">
        <v>0</v>
      </c>
      <c r="AP1473">
        <v>5</v>
      </c>
      <c r="AQ1473">
        <v>0</v>
      </c>
      <c r="AR1473">
        <v>0</v>
      </c>
      <c r="AS1473" t="s">
        <v>58</v>
      </c>
      <c r="AT1473">
        <v>1</v>
      </c>
      <c r="AU1473" t="s">
        <v>63</v>
      </c>
      <c r="AV1473" t="s">
        <v>64</v>
      </c>
      <c r="AW1473">
        <v>0</v>
      </c>
      <c r="AX1473">
        <v>2</v>
      </c>
      <c r="AY1473">
        <v>0</v>
      </c>
      <c r="AZ1473">
        <v>6000</v>
      </c>
      <c r="BA1473">
        <v>100</v>
      </c>
      <c r="BB1473">
        <v>100</v>
      </c>
      <c r="BC1473">
        <v>100</v>
      </c>
      <c r="BD1473">
        <v>100</v>
      </c>
      <c r="BE1473">
        <v>1</v>
      </c>
      <c r="BF1473">
        <v>15000</v>
      </c>
      <c r="BG1473">
        <v>1000</v>
      </c>
      <c r="BH1473" s="6">
        <f>Grandview_Inventory[[#This Row],[land_extract]]*Lookups!$B$3</f>
        <v>51342.318135355803</v>
      </c>
      <c r="BI1473" s="6">
        <f>IF(Grandview_Inventory[[#This Row],[bldg_style]]="",0,Lookups!$B$2)</f>
        <v>155833.95000000001</v>
      </c>
      <c r="BJ1473" s="6">
        <f>_xlfn.IFNA(VLOOKUP(Grandview_Inventory[[#This Row],[quality]],Lookups!$H$2:$J$14,3,FALSE),0)</f>
        <v>10733</v>
      </c>
      <c r="BK1473" s="6">
        <f>_xlfn.IFNA(VLOOKUP(Grandview_Inventory[[#This Row],[condition]],Lookups!$H$17:$J$24,3,FALSE),0)</f>
        <v>-4503</v>
      </c>
      <c r="BL1473" s="6">
        <f>Grandview_Inventory[[#This Row],[Eff_Age]]*Lookups!$B$14</f>
        <v>-12675.8298</v>
      </c>
      <c r="BM1473" s="6">
        <f>Grandview_Inventory[[#This Row],[living_area]]*Lookups!$B$15</f>
        <v>56891.337936000004</v>
      </c>
      <c r="BN1473" s="6">
        <f>Grandview_Inventory[[#This Row],[Fin BSMT]]*Lookups!$B$16</f>
        <v>0</v>
      </c>
      <c r="BO1473" s="6">
        <f>(Grandview_Inventory[[#This Row],[att_gar]]+Grandview_Inventory[[#This Row],[bltin_gar]])*Lookups!$B$17</f>
        <v>0</v>
      </c>
      <c r="BP1473" s="6">
        <f>Grandview_Inventory[[#This Row],[Plumbing Fixtures]]*Lookups!$B$18</f>
        <v>10052.209000000001</v>
      </c>
      <c r="BQ1473" s="6">
        <f>Grandview_Inventory[[#This Row],[detatched_value]]*Lookups!$B$19</f>
        <v>5080.8306000000002</v>
      </c>
      <c r="BR1473" s="6">
        <f>SUM(Grandview_Inventory[[#This Row],[Intercept]:[det_value]])*Grandview_Inventory[[#This Row],[res_pct]]</f>
        <v>221412.49773599999</v>
      </c>
      <c r="BS1473" s="6">
        <f>Grandview_Inventory[[#This Row],[land_value]]</f>
        <v>51342.318135355803</v>
      </c>
      <c r="BT1473" s="4">
        <f>_xlfn.IFNA(VLOOKUP(Grandview_Inventory[[#This Row],[quality]],Lookups!$A$26:$C$33,3,FALSE),1)</f>
        <v>0.98079741117310582</v>
      </c>
      <c r="BU1473" s="4">
        <f>_xlfn.IFNA(VLOOKUP(Grandview_Inventory[[#This Row],[condition]],Lookups!$A$37:$C$44,3,FALSE),1)</f>
        <v>0.96469275950863709</v>
      </c>
      <c r="BV1473" s="4">
        <f>IF(Grandview_Inventory[[#This Row],[bldg_style]]="",1,_xlfn.IFNA(VLOOKUP(Grandview_Inventory[[#This Row],[decade]],Lookups!$F$29:$H$43,3,FALSE),1))</f>
        <v>0.95244691841736806</v>
      </c>
      <c r="BW1473" s="4">
        <f>_xlfn.IFNA(VLOOKUP(Grandview_Inventory[[#This Row],[living_area_range]],Lookups!$F$47:$H$56,3,FALSE),1)</f>
        <v>0.94306777142782894</v>
      </c>
      <c r="BX1473" s="4">
        <f>AVERAGE(Grandview_Inventory[[#This Row],[qual_adj]:[size_adj]])</f>
        <v>0.96025121513173495</v>
      </c>
      <c r="BY1473" s="6">
        <f>IF(Grandview_Inventory[[#This Row],[pre_res]]&lt;0,0,Grandview_Inventory[[#This Row],[pre_res]]*Grandview_Inventory[[#This Row],[overall_adj]])</f>
        <v>212611.6199963465</v>
      </c>
      <c r="BZ1473" s="6">
        <f>(Grandview_Inventory[[#This Row],[sum_land]]-IF(Grandview_Inventory[[#This Row],[no_utilities]]=1,12000,0))/IF(Grandview_Inventory[[#This Row],[unbuildable]]=1,2,1)</f>
        <v>51342.318135355803</v>
      </c>
      <c r="CA147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473">
        <f>ROUND(Grandview_Inventory[[#This Row],[det_value]]*Lookups!$M$28,-2)</f>
        <v>4800</v>
      </c>
      <c r="CC1473">
        <f>IF(ROUND(Grandview_Inventory[[#This Row],[adj_res]]*Lookups!$M$28,-2)&lt;Grandview_Inventory[[#This Row],[min_res]],Grandview_Inventory[[#This Row],[min_res]],ROUND(Grandview_Inventory[[#This Row],[adj_res]]*Lookups!$M$28,-2))</f>
        <v>202000</v>
      </c>
      <c r="CD1473">
        <f>Grandview_Inventory[[#This Row],[final_det]]+Grandview_Inventory[[#This Row],[final_res]]</f>
        <v>206800</v>
      </c>
      <c r="CE1473">
        <f>Grandview_Inventory[[#This Row],[final_land]]+Grandview_Inventory[[#This Row],[final_imp]]+Grandview_Inventory[[#This Row],[crop_value]]</f>
        <v>255600</v>
      </c>
      <c r="CG1473" t="str">
        <f t="shared" si="22"/>
        <v>update valuation set market_land =48800, market_bldg=206800, market_total =255600, market_mdno =401, market_date ='9/10/2023' where link_id = (select link_id from parcel where parcel_year = '2024' and parcel_id = '23092323480');</v>
      </c>
    </row>
    <row r="1474" spans="1:85" x14ac:dyDescent="0.25">
      <c r="A1474">
        <v>23092323481</v>
      </c>
      <c r="B1474">
        <v>0.09</v>
      </c>
      <c r="C1474">
        <v>4063</v>
      </c>
      <c r="D1474" t="s">
        <v>129</v>
      </c>
      <c r="E1474" t="s">
        <v>53</v>
      </c>
      <c r="F1474" t="s">
        <v>53</v>
      </c>
      <c r="G1474">
        <v>4</v>
      </c>
      <c r="H1474" t="s">
        <v>54</v>
      </c>
      <c r="I1474">
        <v>30800</v>
      </c>
      <c r="J1474">
        <v>37600</v>
      </c>
      <c r="K1474">
        <v>0.09</v>
      </c>
      <c r="L1474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1474">
        <v>0</v>
      </c>
      <c r="N1474">
        <v>0</v>
      </c>
      <c r="O1474">
        <v>0</v>
      </c>
      <c r="P1474">
        <v>13398.7528</v>
      </c>
      <c r="Q1474">
        <v>63903</v>
      </c>
      <c r="R1474">
        <f>(Grandview_Inventory[[#This Row],[ln_acres]]*Grandview_Inventory[[#This Row],[coeff]])+Grandview_Inventory[[#This Row],[const]]</f>
        <v>31639.532033828022</v>
      </c>
      <c r="S1474" t="s">
        <v>142</v>
      </c>
      <c r="T1474">
        <v>1</v>
      </c>
      <c r="U1474" t="s">
        <v>96</v>
      </c>
      <c r="V1474" t="s">
        <v>78</v>
      </c>
      <c r="W1474">
        <v>0</v>
      </c>
      <c r="X1474">
        <v>0</v>
      </c>
      <c r="Y1474">
        <v>83</v>
      </c>
      <c r="Z1474">
        <v>83</v>
      </c>
      <c r="AA1474">
        <v>90</v>
      </c>
      <c r="AB1474">
        <v>500</v>
      </c>
      <c r="AC1474">
        <v>272</v>
      </c>
      <c r="AD1474">
        <v>272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5</v>
      </c>
      <c r="AQ1474">
        <v>0</v>
      </c>
      <c r="AR1474">
        <v>0</v>
      </c>
      <c r="AS1474" t="s">
        <v>58</v>
      </c>
      <c r="AT1474">
        <v>1</v>
      </c>
      <c r="AU1474" t="s">
        <v>75</v>
      </c>
      <c r="AV1474" t="s">
        <v>60</v>
      </c>
      <c r="AW1474">
        <v>0</v>
      </c>
      <c r="AX1474">
        <v>1</v>
      </c>
      <c r="AY1474">
        <v>0</v>
      </c>
      <c r="AZ1474">
        <v>0</v>
      </c>
      <c r="BA1474">
        <v>100</v>
      </c>
      <c r="BB1474">
        <v>100</v>
      </c>
      <c r="BC1474">
        <v>100</v>
      </c>
      <c r="BD1474">
        <v>100</v>
      </c>
      <c r="BE1474">
        <v>1</v>
      </c>
      <c r="BF1474">
        <v>15000</v>
      </c>
      <c r="BG1474">
        <v>1000</v>
      </c>
      <c r="BH1474" s="6">
        <f>Grandview_Inventory[[#This Row],[land_extract]]*Lookups!$B$3</f>
        <v>36742.90312414799</v>
      </c>
      <c r="BI1474" s="6">
        <f>IF(Grandview_Inventory[[#This Row],[bldg_style]]="",0,Lookups!$B$2)</f>
        <v>155833.95000000001</v>
      </c>
      <c r="BJ1474" s="6">
        <f>_xlfn.IFNA(VLOOKUP(Grandview_Inventory[[#This Row],[quality]],Lookups!$H$2:$J$14,3,FALSE),0)</f>
        <v>-47308</v>
      </c>
      <c r="BK1474" s="6">
        <f>_xlfn.IFNA(VLOOKUP(Grandview_Inventory[[#This Row],[condition]],Lookups!$H$17:$J$24,3,FALSE),0)</f>
        <v>-45357</v>
      </c>
      <c r="BL1474" s="6">
        <f>Grandview_Inventory[[#This Row],[Eff_Age]]*Lookups!$B$14</f>
        <v>-19850.827799999999</v>
      </c>
      <c r="BM1474" s="6">
        <f>Grandview_Inventory[[#This Row],[living_area]]*Lookups!$B$15</f>
        <v>16967.592016000002</v>
      </c>
      <c r="BN1474" s="6">
        <f>Grandview_Inventory[[#This Row],[Fin BSMT]]*Lookups!$B$16</f>
        <v>0</v>
      </c>
      <c r="BO1474" s="6">
        <f>(Grandview_Inventory[[#This Row],[att_gar]]+Grandview_Inventory[[#This Row],[bltin_gar]])*Lookups!$B$17</f>
        <v>0</v>
      </c>
      <c r="BP1474" s="6">
        <f>Grandview_Inventory[[#This Row],[Plumbing Fixtures]]*Lookups!$B$18</f>
        <v>10052.209000000001</v>
      </c>
      <c r="BQ1474" s="6">
        <f>Grandview_Inventory[[#This Row],[detatched_value]]*Lookups!$B$19</f>
        <v>0</v>
      </c>
      <c r="BR1474" s="6">
        <f>SUM(Grandview_Inventory[[#This Row],[Intercept]:[det_value]])*Grandview_Inventory[[#This Row],[res_pct]]</f>
        <v>70337.92321600001</v>
      </c>
      <c r="BS1474" s="6">
        <f>Grandview_Inventory[[#This Row],[land_value]]</f>
        <v>36742.90312414799</v>
      </c>
      <c r="BT1474" s="4">
        <f>_xlfn.IFNA(VLOOKUP(Grandview_Inventory[[#This Row],[quality]],Lookups!$A$26:$C$33,3,FALSE),1)</f>
        <v>1</v>
      </c>
      <c r="BU1474" s="4">
        <f>_xlfn.IFNA(VLOOKUP(Grandview_Inventory[[#This Row],[condition]],Lookups!$A$37:$C$44,3,FALSE),1)</f>
        <v>0.97161819570155394</v>
      </c>
      <c r="BV1474" s="4">
        <f>IF(Grandview_Inventory[[#This Row],[bldg_style]]="",1,_xlfn.IFNA(VLOOKUP(Grandview_Inventory[[#This Row],[decade]],Lookups!$F$29:$H$43,3,FALSE),1))</f>
        <v>0.94161750052457416</v>
      </c>
      <c r="BW1474" s="4">
        <f>_xlfn.IFNA(VLOOKUP(Grandview_Inventory[[#This Row],[living_area_range]],Lookups!$F$47:$H$56,3,FALSE),1)</f>
        <v>0.94306777142782894</v>
      </c>
      <c r="BX1474" s="4">
        <f>AVERAGE(Grandview_Inventory[[#This Row],[qual_adj]:[size_adj]])</f>
        <v>0.96407586691348923</v>
      </c>
      <c r="BY1474" s="6">
        <f>IF(Grandview_Inventory[[#This Row],[pre_res]]&lt;0,0,Grandview_Inventory[[#This Row],[pre_res]]*Grandview_Inventory[[#This Row],[overall_adj]])</f>
        <v>67811.094301359655</v>
      </c>
      <c r="BZ1474" s="6">
        <f>(Grandview_Inventory[[#This Row],[sum_land]]-IF(Grandview_Inventory[[#This Row],[no_utilities]]=1,12000,0))/IF(Grandview_Inventory[[#This Row],[unbuildable]]=1,2,1)</f>
        <v>36742.90312414799</v>
      </c>
      <c r="CA1474">
        <f>IF(ROUND(Grandview_Inventory[[#This Row],[adj_land]]*Lookups!$M$28,-2)&lt;Grandview_Inventory[[#This Row],[min_land]],Grandview_Inventory[[#This Row],[min_land]],ROUND(Grandview_Inventory[[#This Row],[adj_land]]*Lookups!$M$28,-2))</f>
        <v>34900</v>
      </c>
      <c r="CB1474">
        <f>ROUND(Grandview_Inventory[[#This Row],[det_value]]*Lookups!$M$28,-2)</f>
        <v>0</v>
      </c>
      <c r="CC1474">
        <f>IF(ROUND(Grandview_Inventory[[#This Row],[adj_res]]*Lookups!$M$28,-2)&lt;Grandview_Inventory[[#This Row],[min_res]],Grandview_Inventory[[#This Row],[min_res]],ROUND(Grandview_Inventory[[#This Row],[adj_res]]*Lookups!$M$28,-2))</f>
        <v>64400</v>
      </c>
      <c r="CD1474">
        <f>Grandview_Inventory[[#This Row],[final_det]]+Grandview_Inventory[[#This Row],[final_res]]</f>
        <v>64400</v>
      </c>
      <c r="CE1474">
        <f>Grandview_Inventory[[#This Row],[final_land]]+Grandview_Inventory[[#This Row],[final_imp]]+Grandview_Inventory[[#This Row],[crop_value]]</f>
        <v>99300</v>
      </c>
      <c r="CG1474" t="str">
        <f t="shared" si="22"/>
        <v>update valuation set market_land =34900, market_bldg=64400, market_total =99300, market_mdno =401, market_date ='9/10/2023' where link_id = (select link_id from parcel where parcel_year = '2024' and parcel_id = '23092323481');</v>
      </c>
    </row>
    <row r="1475" spans="1:85" x14ac:dyDescent="0.25">
      <c r="A1475">
        <v>23092323482</v>
      </c>
      <c r="B1475">
        <v>0.14000000000000001</v>
      </c>
      <c r="C1475">
        <v>5888</v>
      </c>
      <c r="D1475" t="s">
        <v>129</v>
      </c>
      <c r="E1475" t="s">
        <v>53</v>
      </c>
      <c r="F1475" t="s">
        <v>53</v>
      </c>
      <c r="G1475">
        <v>4</v>
      </c>
      <c r="H1475" t="s">
        <v>54</v>
      </c>
      <c r="I1475">
        <v>100700</v>
      </c>
      <c r="J1475">
        <v>38600</v>
      </c>
      <c r="K1475">
        <v>0.14000000000000001</v>
      </c>
      <c r="L1475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475">
        <v>0</v>
      </c>
      <c r="N1475">
        <v>0</v>
      </c>
      <c r="O1475">
        <v>0</v>
      </c>
      <c r="P1475">
        <v>13398.7528</v>
      </c>
      <c r="Q1475">
        <v>63903</v>
      </c>
      <c r="R1475">
        <f>(Grandview_Inventory[[#This Row],[ln_acres]]*Grandview_Inventory[[#This Row],[coeff]])+Grandview_Inventory[[#This Row],[const]]</f>
        <v>37559.539860558507</v>
      </c>
      <c r="S1475" t="s">
        <v>68</v>
      </c>
      <c r="T1475">
        <v>1</v>
      </c>
      <c r="U1475" t="s">
        <v>80</v>
      </c>
      <c r="V1475" t="s">
        <v>69</v>
      </c>
      <c r="W1475">
        <v>0</v>
      </c>
      <c r="X1475">
        <v>0</v>
      </c>
      <c r="Y1475">
        <v>53</v>
      </c>
      <c r="Z1475">
        <v>93</v>
      </c>
      <c r="AA1475">
        <v>100</v>
      </c>
      <c r="AB1475">
        <v>1500</v>
      </c>
      <c r="AC1475">
        <v>1086</v>
      </c>
      <c r="AD1475">
        <v>1086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32</v>
      </c>
      <c r="AP1475">
        <v>5</v>
      </c>
      <c r="AQ1475">
        <v>0</v>
      </c>
      <c r="AR1475">
        <v>0</v>
      </c>
      <c r="AS1475" t="s">
        <v>58</v>
      </c>
      <c r="AT1475">
        <v>1</v>
      </c>
      <c r="AU1475" t="s">
        <v>63</v>
      </c>
      <c r="AV1475" t="s">
        <v>64</v>
      </c>
      <c r="AW1475">
        <v>0</v>
      </c>
      <c r="AX1475">
        <v>3</v>
      </c>
      <c r="AY1475">
        <v>0</v>
      </c>
      <c r="AZ1475">
        <v>0</v>
      </c>
      <c r="BA1475">
        <v>100</v>
      </c>
      <c r="BB1475">
        <v>100</v>
      </c>
      <c r="BC1475">
        <v>100</v>
      </c>
      <c r="BD1475">
        <v>100</v>
      </c>
      <c r="BE1475">
        <v>1</v>
      </c>
      <c r="BF1475">
        <v>15000</v>
      </c>
      <c r="BG1475">
        <v>1000</v>
      </c>
      <c r="BH1475" s="6">
        <f>Grandview_Inventory[[#This Row],[land_extract]]*Lookups!$B$3</f>
        <v>43617.792229308972</v>
      </c>
      <c r="BI1475" s="6">
        <f>IF(Grandview_Inventory[[#This Row],[bldg_style]]="",0,Lookups!$B$2)</f>
        <v>155833.95000000001</v>
      </c>
      <c r="BJ1475" s="6">
        <f>_xlfn.IFNA(VLOOKUP(Grandview_Inventory[[#This Row],[quality]],Lookups!$H$2:$J$14,3,FALSE),0)</f>
        <v>-28558</v>
      </c>
      <c r="BK1475" s="6">
        <f>_xlfn.IFNA(VLOOKUP(Grandview_Inventory[[#This Row],[condition]],Lookups!$H$17:$J$24,3,FALSE),0)</f>
        <v>-4503</v>
      </c>
      <c r="BL1475" s="6">
        <f>Grandview_Inventory[[#This Row],[Eff_Age]]*Lookups!$B$14</f>
        <v>-12675.8298</v>
      </c>
      <c r="BM1475" s="6">
        <f>Grandview_Inventory[[#This Row],[living_area]]*Lookups!$B$15</f>
        <v>67745.606358000005</v>
      </c>
      <c r="BN1475" s="6">
        <f>Grandview_Inventory[[#This Row],[Fin BSMT]]*Lookups!$B$16</f>
        <v>0</v>
      </c>
      <c r="BO1475" s="6">
        <f>(Grandview_Inventory[[#This Row],[att_gar]]+Grandview_Inventory[[#This Row],[bltin_gar]])*Lookups!$B$17</f>
        <v>0</v>
      </c>
      <c r="BP1475" s="6">
        <f>Grandview_Inventory[[#This Row],[Plumbing Fixtures]]*Lookups!$B$18</f>
        <v>10052.209000000001</v>
      </c>
      <c r="BQ1475" s="6">
        <f>Grandview_Inventory[[#This Row],[detatched_value]]*Lookups!$B$19</f>
        <v>0</v>
      </c>
      <c r="BR1475" s="6">
        <f>SUM(Grandview_Inventory[[#This Row],[Intercept]:[det_value]])*Grandview_Inventory[[#This Row],[res_pct]]</f>
        <v>187894.93555800003</v>
      </c>
      <c r="BS1475" s="6">
        <f>Grandview_Inventory[[#This Row],[land_value]]</f>
        <v>43617.792229308972</v>
      </c>
      <c r="BT1475" s="4">
        <f>_xlfn.IFNA(VLOOKUP(Grandview_Inventory[[#This Row],[quality]],Lookups!$A$26:$C$33,3,FALSE),1)</f>
        <v>0.9690360070159818</v>
      </c>
      <c r="BU1475" s="4">
        <f>_xlfn.IFNA(VLOOKUP(Grandview_Inventory[[#This Row],[condition]],Lookups!$A$37:$C$44,3,FALSE),1)</f>
        <v>0.96469275950863709</v>
      </c>
      <c r="BV1475" s="4">
        <f>IF(Grandview_Inventory[[#This Row],[bldg_style]]="",1,_xlfn.IFNA(VLOOKUP(Grandview_Inventory[[#This Row],[decade]],Lookups!$F$29:$H$43,3,FALSE),1))</f>
        <v>0.95244691841736806</v>
      </c>
      <c r="BW1475" s="4">
        <f>_xlfn.IFNA(VLOOKUP(Grandview_Inventory[[#This Row],[living_area_range]],Lookups!$F$47:$H$56,3,FALSE),1)</f>
        <v>0.96135087979789358</v>
      </c>
      <c r="BX1475" s="4">
        <f>AVERAGE(Grandview_Inventory[[#This Row],[qual_adj]:[size_adj]])</f>
        <v>0.9618816411849701</v>
      </c>
      <c r="BY1475" s="6">
        <f>IF(Grandview_Inventory[[#This Row],[pre_res]]&lt;0,0,Grandview_Inventory[[#This Row],[pre_res]]*Grandview_Inventory[[#This Row],[overall_adj]])</f>
        <v>180732.68898487327</v>
      </c>
      <c r="BZ1475" s="6">
        <f>(Grandview_Inventory[[#This Row],[sum_land]]-IF(Grandview_Inventory[[#This Row],[no_utilities]]=1,12000,0))/IF(Grandview_Inventory[[#This Row],[unbuildable]]=1,2,1)</f>
        <v>43617.792229308972</v>
      </c>
      <c r="CA1475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475">
        <f>ROUND(Grandview_Inventory[[#This Row],[det_value]]*Lookups!$M$28,-2)</f>
        <v>0</v>
      </c>
      <c r="CC1475">
        <f>IF(ROUND(Grandview_Inventory[[#This Row],[adj_res]]*Lookups!$M$28,-2)&lt;Grandview_Inventory[[#This Row],[min_res]],Grandview_Inventory[[#This Row],[min_res]],ROUND(Grandview_Inventory[[#This Row],[adj_res]]*Lookups!$M$28,-2))</f>
        <v>171700</v>
      </c>
      <c r="CD1475">
        <f>Grandview_Inventory[[#This Row],[final_det]]+Grandview_Inventory[[#This Row],[final_res]]</f>
        <v>171700</v>
      </c>
      <c r="CE1475">
        <f>Grandview_Inventory[[#This Row],[final_land]]+Grandview_Inventory[[#This Row],[final_imp]]+Grandview_Inventory[[#This Row],[crop_value]]</f>
        <v>213100</v>
      </c>
      <c r="CG1475" t="str">
        <f t="shared" ref="CG1475:CG1538" si="23">"update valuation set market_land ="&amp;CA1475&amp;", market_bldg="&amp;CD1475&amp;", market_total ="&amp;CE1475&amp;", market_mdno ="&amp;$CG$1&amp;", market_date ='"&amp;TEXT($CH$1,"m/d/yyyy")&amp;"' where link_id = (select link_id from parcel where parcel_year = '2024' and parcel_id = '"&amp;A1475&amp;"');"</f>
        <v>update valuation set market_land =41400, market_bldg=171700, market_total =213100, market_mdno =401, market_date ='9/10/2023' where link_id = (select link_id from parcel where parcel_year = '2024' and parcel_id = '23092323482');</v>
      </c>
    </row>
    <row r="1476" spans="1:85" x14ac:dyDescent="0.25">
      <c r="A1476">
        <v>23092323483</v>
      </c>
      <c r="B1476">
        <v>0.48</v>
      </c>
      <c r="C1476">
        <v>21099</v>
      </c>
      <c r="D1476" t="s">
        <v>129</v>
      </c>
      <c r="E1476" t="s">
        <v>53</v>
      </c>
      <c r="F1476" t="s">
        <v>53</v>
      </c>
      <c r="G1476">
        <v>4</v>
      </c>
      <c r="H1476" t="s">
        <v>54</v>
      </c>
      <c r="I1476">
        <v>381000</v>
      </c>
      <c r="J1476">
        <v>42300</v>
      </c>
      <c r="K1476">
        <v>0.48</v>
      </c>
      <c r="L1476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1476">
        <v>0</v>
      </c>
      <c r="N1476">
        <v>0</v>
      </c>
      <c r="O1476">
        <v>0</v>
      </c>
      <c r="P1476">
        <v>13398.7528</v>
      </c>
      <c r="Q1476">
        <v>63903</v>
      </c>
      <c r="R1476">
        <f>(Grandview_Inventory[[#This Row],[ln_acres]]*Grandview_Inventory[[#This Row],[coeff]])+Grandview_Inventory[[#This Row],[const]]</f>
        <v>54068.728460280472</v>
      </c>
      <c r="S1476" t="s">
        <v>85</v>
      </c>
      <c r="T1476">
        <v>1</v>
      </c>
      <c r="U1476" t="s">
        <v>65</v>
      </c>
      <c r="V1476" t="s">
        <v>67</v>
      </c>
      <c r="W1476">
        <v>0</v>
      </c>
      <c r="X1476">
        <v>0</v>
      </c>
      <c r="Y1476">
        <v>67</v>
      </c>
      <c r="Z1476">
        <v>115</v>
      </c>
      <c r="AA1476">
        <v>120</v>
      </c>
      <c r="AB1476">
        <v>2000</v>
      </c>
      <c r="AC1476">
        <v>1580</v>
      </c>
      <c r="AD1476">
        <v>980</v>
      </c>
      <c r="AE1476">
        <v>0</v>
      </c>
      <c r="AF1476">
        <v>0</v>
      </c>
      <c r="AG1476">
        <v>600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120</v>
      </c>
      <c r="AN1476">
        <v>84</v>
      </c>
      <c r="AO1476">
        <v>0</v>
      </c>
      <c r="AP1476">
        <v>5</v>
      </c>
      <c r="AQ1476">
        <v>0</v>
      </c>
      <c r="AR1476">
        <v>0</v>
      </c>
      <c r="AS1476" t="s">
        <v>58</v>
      </c>
      <c r="AT1476">
        <v>0</v>
      </c>
      <c r="AU1476" t="s">
        <v>82</v>
      </c>
      <c r="AV1476" t="s">
        <v>60</v>
      </c>
      <c r="AW1476">
        <v>0</v>
      </c>
      <c r="AX1476">
        <v>2</v>
      </c>
      <c r="AY1476">
        <v>0</v>
      </c>
      <c r="AZ1476">
        <v>101700</v>
      </c>
      <c r="BA1476">
        <v>100</v>
      </c>
      <c r="BB1476">
        <v>100</v>
      </c>
      <c r="BC1476">
        <v>100</v>
      </c>
      <c r="BD1476">
        <v>100</v>
      </c>
      <c r="BE1476">
        <v>1</v>
      </c>
      <c r="BF1476">
        <v>15000</v>
      </c>
      <c r="BG1476">
        <v>1000</v>
      </c>
      <c r="BH1476" s="6">
        <f>Grandview_Inventory[[#This Row],[land_extract]]*Lookups!$B$3</f>
        <v>62789.868375356869</v>
      </c>
      <c r="BI1476" s="6">
        <f>IF(Grandview_Inventory[[#This Row],[bldg_style]]="",0,Lookups!$B$2)</f>
        <v>155833.95000000001</v>
      </c>
      <c r="BJ1476" s="6">
        <f>_xlfn.IFNA(VLOOKUP(Grandview_Inventory[[#This Row],[quality]],Lookups!$H$2:$J$14,3,FALSE),0)</f>
        <v>2251</v>
      </c>
      <c r="BK1476" s="6">
        <f>_xlfn.IFNA(VLOOKUP(Grandview_Inventory[[#This Row],[condition]],Lookups!$H$17:$J$24,3,FALSE),0)</f>
        <v>22342</v>
      </c>
      <c r="BL1476" s="6">
        <f>Grandview_Inventory[[#This Row],[Eff_Age]]*Lookups!$B$14</f>
        <v>-16024.162199999999</v>
      </c>
      <c r="BM1476" s="6">
        <f>Grandview_Inventory[[#This Row],[living_area]]*Lookups!$B$15</f>
        <v>98561.747740000006</v>
      </c>
      <c r="BN1476" s="6">
        <f>Grandview_Inventory[[#This Row],[Fin BSMT]]*Lookups!$B$16</f>
        <v>-16259.544000000002</v>
      </c>
      <c r="BO1476" s="6">
        <f>(Grandview_Inventory[[#This Row],[att_gar]]+Grandview_Inventory[[#This Row],[bltin_gar]])*Lookups!$B$17</f>
        <v>0</v>
      </c>
      <c r="BP1476" s="6">
        <f>Grandview_Inventory[[#This Row],[Plumbing Fixtures]]*Lookups!$B$18</f>
        <v>10052.209000000001</v>
      </c>
      <c r="BQ1476" s="6">
        <f>Grandview_Inventory[[#This Row],[detatched_value]]*Lookups!$B$19</f>
        <v>86120.078670000003</v>
      </c>
      <c r="BR1476" s="6">
        <f>SUM(Grandview_Inventory[[#This Row],[Intercept]:[det_value]])*Grandview_Inventory[[#This Row],[res_pct]]</f>
        <v>342877.27921000001</v>
      </c>
      <c r="BS1476" s="6">
        <f>Grandview_Inventory[[#This Row],[land_value]]</f>
        <v>62789.868375356869</v>
      </c>
      <c r="BT1476" s="4">
        <f>_xlfn.IFNA(VLOOKUP(Grandview_Inventory[[#This Row],[quality]],Lookups!$A$26:$C$33,3,FALSE),1)</f>
        <v>0.98763855981004833</v>
      </c>
      <c r="BU1476" s="4">
        <f>_xlfn.IFNA(VLOOKUP(Grandview_Inventory[[#This Row],[condition]],Lookups!$A$37:$C$44,3,FALSE),1)</f>
        <v>0.97383723671140243</v>
      </c>
      <c r="BV1476" s="4">
        <f>IF(Grandview_Inventory[[#This Row],[bldg_style]]="",1,_xlfn.IFNA(VLOOKUP(Grandview_Inventory[[#This Row],[decade]],Lookups!$F$29:$H$43,3,FALSE),1))</f>
        <v>0.9251738460551937</v>
      </c>
      <c r="BW1476" s="4">
        <f>_xlfn.IFNA(VLOOKUP(Grandview_Inventory[[#This Row],[living_area_range]],Lookups!$F$47:$H$56,3,FALSE),1)</f>
        <v>0.96120133463014379</v>
      </c>
      <c r="BX1476" s="4">
        <f>AVERAGE(Grandview_Inventory[[#This Row],[qual_adj]:[size_adj]])</f>
        <v>0.96196274430169715</v>
      </c>
      <c r="BY1476" s="6">
        <f>IF(Grandview_Inventory[[#This Row],[pre_res]]&lt;0,0,Grandview_Inventory[[#This Row],[pre_res]]*Grandview_Inventory[[#This Row],[overall_adj]])</f>
        <v>329835.16846755083</v>
      </c>
      <c r="BZ1476" s="6">
        <f>(Grandview_Inventory[[#This Row],[sum_land]]-IF(Grandview_Inventory[[#This Row],[no_utilities]]=1,12000,0))/IF(Grandview_Inventory[[#This Row],[unbuildable]]=1,2,1)</f>
        <v>62789.868375356869</v>
      </c>
      <c r="CA1476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1476">
        <f>ROUND(Grandview_Inventory[[#This Row],[det_value]]*Lookups!$M$28,-2)</f>
        <v>81800</v>
      </c>
      <c r="CC1476">
        <f>IF(ROUND(Grandview_Inventory[[#This Row],[adj_res]]*Lookups!$M$28,-2)&lt;Grandview_Inventory[[#This Row],[min_res]],Grandview_Inventory[[#This Row],[min_res]],ROUND(Grandview_Inventory[[#This Row],[adj_res]]*Lookups!$M$28,-2))</f>
        <v>313300</v>
      </c>
      <c r="CD1476">
        <f>Grandview_Inventory[[#This Row],[final_det]]+Grandview_Inventory[[#This Row],[final_res]]</f>
        <v>395100</v>
      </c>
      <c r="CE1476">
        <f>Grandview_Inventory[[#This Row],[final_land]]+Grandview_Inventory[[#This Row],[final_imp]]+Grandview_Inventory[[#This Row],[crop_value]]</f>
        <v>454800</v>
      </c>
      <c r="CG1476" t="str">
        <f t="shared" si="23"/>
        <v>update valuation set market_land =59700, market_bldg=395100, market_total =454800, market_mdno =401, market_date ='9/10/2023' where link_id = (select link_id from parcel where parcel_year = '2024' and parcel_id = '23092323483');</v>
      </c>
    </row>
    <row r="1477" spans="1:85" x14ac:dyDescent="0.25">
      <c r="A1477">
        <v>23092323484</v>
      </c>
      <c r="B1477">
        <v>0.14000000000000001</v>
      </c>
      <c r="C1477">
        <v>6024</v>
      </c>
      <c r="D1477" t="s">
        <v>129</v>
      </c>
      <c r="E1477" t="s">
        <v>53</v>
      </c>
      <c r="F1477" t="s">
        <v>53</v>
      </c>
      <c r="G1477">
        <v>4</v>
      </c>
      <c r="H1477" t="s">
        <v>54</v>
      </c>
      <c r="I1477">
        <v>114200</v>
      </c>
      <c r="J1477">
        <v>38600</v>
      </c>
      <c r="K1477">
        <v>0.14000000000000001</v>
      </c>
      <c r="L1477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477">
        <v>0</v>
      </c>
      <c r="N1477">
        <v>0</v>
      </c>
      <c r="O1477">
        <v>0</v>
      </c>
      <c r="P1477">
        <v>13398.7528</v>
      </c>
      <c r="Q1477">
        <v>63903</v>
      </c>
      <c r="R1477">
        <f>(Grandview_Inventory[[#This Row],[ln_acres]]*Grandview_Inventory[[#This Row],[coeff]])+Grandview_Inventory[[#This Row],[const]]</f>
        <v>37559.539860558507</v>
      </c>
      <c r="S1477" t="s">
        <v>68</v>
      </c>
      <c r="T1477">
        <v>1</v>
      </c>
      <c r="U1477" t="s">
        <v>80</v>
      </c>
      <c r="V1477" t="s">
        <v>67</v>
      </c>
      <c r="W1477">
        <v>0</v>
      </c>
      <c r="X1477">
        <v>0</v>
      </c>
      <c r="Y1477">
        <v>51</v>
      </c>
      <c r="Z1477">
        <v>78</v>
      </c>
      <c r="AA1477">
        <v>80</v>
      </c>
      <c r="AB1477">
        <v>1000</v>
      </c>
      <c r="AC1477">
        <v>610</v>
      </c>
      <c r="AD1477">
        <v>610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5</v>
      </c>
      <c r="AQ1477">
        <v>0</v>
      </c>
      <c r="AR1477">
        <v>0</v>
      </c>
      <c r="AS1477" t="s">
        <v>58</v>
      </c>
      <c r="AT1477">
        <v>1</v>
      </c>
      <c r="AU1477" t="s">
        <v>75</v>
      </c>
      <c r="AV1477" t="s">
        <v>60</v>
      </c>
      <c r="AW1477">
        <v>0</v>
      </c>
      <c r="AX1477">
        <v>2</v>
      </c>
      <c r="AY1477">
        <v>0</v>
      </c>
      <c r="AZ1477">
        <v>0</v>
      </c>
      <c r="BA1477">
        <v>100</v>
      </c>
      <c r="BB1477">
        <v>100</v>
      </c>
      <c r="BC1477">
        <v>100</v>
      </c>
      <c r="BD1477">
        <v>100</v>
      </c>
      <c r="BE1477">
        <v>1</v>
      </c>
      <c r="BF1477">
        <v>15000</v>
      </c>
      <c r="BG1477">
        <v>1000</v>
      </c>
      <c r="BH1477" s="6">
        <f>Grandview_Inventory[[#This Row],[land_extract]]*Lookups!$B$3</f>
        <v>43617.792229308972</v>
      </c>
      <c r="BI1477" s="6">
        <f>IF(Grandview_Inventory[[#This Row],[bldg_style]]="",0,Lookups!$B$2)</f>
        <v>155833.95000000001</v>
      </c>
      <c r="BJ1477" s="6">
        <f>_xlfn.IFNA(VLOOKUP(Grandview_Inventory[[#This Row],[quality]],Lookups!$H$2:$J$14,3,FALSE),0)</f>
        <v>-28558</v>
      </c>
      <c r="BK1477" s="6">
        <f>_xlfn.IFNA(VLOOKUP(Grandview_Inventory[[#This Row],[condition]],Lookups!$H$17:$J$24,3,FALSE),0)</f>
        <v>22342</v>
      </c>
      <c r="BL1477" s="6">
        <f>Grandview_Inventory[[#This Row],[Eff_Age]]*Lookups!$B$14</f>
        <v>-12197.496599999999</v>
      </c>
      <c r="BM1477" s="6">
        <f>Grandview_Inventory[[#This Row],[living_area]]*Lookups!$B$15</f>
        <v>38052.320330000002</v>
      </c>
      <c r="BN1477" s="6">
        <f>Grandview_Inventory[[#This Row],[Fin BSMT]]*Lookups!$B$16</f>
        <v>0</v>
      </c>
      <c r="BO1477" s="6">
        <f>(Grandview_Inventory[[#This Row],[att_gar]]+Grandview_Inventory[[#This Row],[bltin_gar]])*Lookups!$B$17</f>
        <v>0</v>
      </c>
      <c r="BP1477" s="6">
        <f>Grandview_Inventory[[#This Row],[Plumbing Fixtures]]*Lookups!$B$18</f>
        <v>10052.209000000001</v>
      </c>
      <c r="BQ1477" s="6">
        <f>Grandview_Inventory[[#This Row],[detatched_value]]*Lookups!$B$19</f>
        <v>0</v>
      </c>
      <c r="BR1477" s="6">
        <f>SUM(Grandview_Inventory[[#This Row],[Intercept]:[det_value]])*Grandview_Inventory[[#This Row],[res_pct]]</f>
        <v>185524.98273000002</v>
      </c>
      <c r="BS1477" s="6">
        <f>Grandview_Inventory[[#This Row],[land_value]]</f>
        <v>43617.792229308972</v>
      </c>
      <c r="BT1477" s="4">
        <f>_xlfn.IFNA(VLOOKUP(Grandview_Inventory[[#This Row],[quality]],Lookups!$A$26:$C$33,3,FALSE),1)</f>
        <v>0.9690360070159818</v>
      </c>
      <c r="BU1477" s="4">
        <f>_xlfn.IFNA(VLOOKUP(Grandview_Inventory[[#This Row],[condition]],Lookups!$A$37:$C$44,3,FALSE),1)</f>
        <v>0.97383723671140243</v>
      </c>
      <c r="BV1477" s="4">
        <f>IF(Grandview_Inventory[[#This Row],[bldg_style]]="",1,_xlfn.IFNA(VLOOKUP(Grandview_Inventory[[#This Row],[decade]],Lookups!$F$29:$H$43,3,FALSE),1))</f>
        <v>0.98763256963907298</v>
      </c>
      <c r="BW1477" s="4">
        <f>_xlfn.IFNA(VLOOKUP(Grandview_Inventory[[#This Row],[living_area_range]],Lookups!$F$47:$H$56,3,FALSE),1)</f>
        <v>0.94306777142782894</v>
      </c>
      <c r="BX1477" s="4">
        <f>AVERAGE(Grandview_Inventory[[#This Row],[qual_adj]:[size_adj]])</f>
        <v>0.96839339619857145</v>
      </c>
      <c r="BY1477" s="6">
        <f>IF(Grandview_Inventory[[#This Row],[pre_res]]&lt;0,0,Grandview_Inventory[[#This Row],[pre_res]]*Grandview_Inventory[[#This Row],[overall_adj]])</f>
        <v>179661.16810558602</v>
      </c>
      <c r="BZ1477" s="6">
        <f>(Grandview_Inventory[[#This Row],[sum_land]]-IF(Grandview_Inventory[[#This Row],[no_utilities]]=1,12000,0))/IF(Grandview_Inventory[[#This Row],[unbuildable]]=1,2,1)</f>
        <v>43617.792229308972</v>
      </c>
      <c r="CA1477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477">
        <f>ROUND(Grandview_Inventory[[#This Row],[det_value]]*Lookups!$M$28,-2)</f>
        <v>0</v>
      </c>
      <c r="CC1477">
        <f>IF(ROUND(Grandview_Inventory[[#This Row],[adj_res]]*Lookups!$M$28,-2)&lt;Grandview_Inventory[[#This Row],[min_res]],Grandview_Inventory[[#This Row],[min_res]],ROUND(Grandview_Inventory[[#This Row],[adj_res]]*Lookups!$M$28,-2))</f>
        <v>170700</v>
      </c>
      <c r="CD1477">
        <f>Grandview_Inventory[[#This Row],[final_det]]+Grandview_Inventory[[#This Row],[final_res]]</f>
        <v>170700</v>
      </c>
      <c r="CE1477">
        <f>Grandview_Inventory[[#This Row],[final_land]]+Grandview_Inventory[[#This Row],[final_imp]]+Grandview_Inventory[[#This Row],[crop_value]]</f>
        <v>212100</v>
      </c>
      <c r="CG1477" t="str">
        <f t="shared" si="23"/>
        <v>update valuation set market_land =41400, market_bldg=170700, market_total =212100, market_mdno =401, market_date ='9/10/2023' where link_id = (select link_id from parcel where parcel_year = '2024' and parcel_id = '23092323484');</v>
      </c>
    </row>
    <row r="1478" spans="1:85" x14ac:dyDescent="0.25">
      <c r="A1478">
        <v>23092323485</v>
      </c>
      <c r="B1478">
        <v>0.12</v>
      </c>
      <c r="C1478">
        <v>5121</v>
      </c>
      <c r="D1478" t="s">
        <v>129</v>
      </c>
      <c r="E1478" t="s">
        <v>53</v>
      </c>
      <c r="F1478" t="s">
        <v>53</v>
      </c>
      <c r="G1478">
        <v>4</v>
      </c>
      <c r="H1478" t="s">
        <v>54</v>
      </c>
      <c r="I1478">
        <v>6200</v>
      </c>
      <c r="J1478">
        <v>38300</v>
      </c>
      <c r="K1478">
        <v>0.12</v>
      </c>
      <c r="L147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478">
        <v>0</v>
      </c>
      <c r="N1478">
        <v>0</v>
      </c>
      <c r="O1478">
        <v>0</v>
      </c>
      <c r="P1478">
        <v>13398.7528</v>
      </c>
      <c r="Q1478">
        <v>63903</v>
      </c>
      <c r="R1478">
        <f>(Grandview_Inventory[[#This Row],[ln_acres]]*Grandview_Inventory[[#This Row],[coeff]])+Grandview_Inventory[[#This Row],[const]]</f>
        <v>35494.113007601132</v>
      </c>
      <c r="S1478" t="s">
        <v>142</v>
      </c>
      <c r="T1478">
        <v>1</v>
      </c>
      <c r="U1478" t="s">
        <v>96</v>
      </c>
      <c r="V1478" t="s">
        <v>94</v>
      </c>
      <c r="W1478">
        <v>0</v>
      </c>
      <c r="X1478">
        <v>0</v>
      </c>
      <c r="Y1478">
        <v>78</v>
      </c>
      <c r="Z1478">
        <v>78</v>
      </c>
      <c r="AA1478">
        <v>80</v>
      </c>
      <c r="AB1478">
        <v>1000</v>
      </c>
      <c r="AC1478">
        <v>520</v>
      </c>
      <c r="AD1478">
        <v>520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5</v>
      </c>
      <c r="AQ1478">
        <v>0</v>
      </c>
      <c r="AR1478">
        <v>0</v>
      </c>
      <c r="AS1478" t="s">
        <v>58</v>
      </c>
      <c r="AT1478">
        <v>1</v>
      </c>
      <c r="AU1478" t="s">
        <v>75</v>
      </c>
      <c r="AV1478" t="s">
        <v>60</v>
      </c>
      <c r="AW1478">
        <v>0</v>
      </c>
      <c r="AX1478">
        <v>2</v>
      </c>
      <c r="AY1478">
        <v>0</v>
      </c>
      <c r="AZ1478">
        <v>0</v>
      </c>
      <c r="BA1478">
        <v>100</v>
      </c>
      <c r="BB1478">
        <v>100</v>
      </c>
      <c r="BC1478">
        <v>100</v>
      </c>
      <c r="BD1478">
        <v>100</v>
      </c>
      <c r="BE1478">
        <v>1</v>
      </c>
      <c r="BF1478">
        <v>15000</v>
      </c>
      <c r="BG1478">
        <v>1000</v>
      </c>
      <c r="BH1478" s="6">
        <f>Grandview_Inventory[[#This Row],[land_extract]]*Lookups!$B$3</f>
        <v>41219.217601622076</v>
      </c>
      <c r="BI1478" s="6">
        <f>IF(Grandview_Inventory[[#This Row],[bldg_style]]="",0,Lookups!$B$2)</f>
        <v>155833.95000000001</v>
      </c>
      <c r="BJ1478" s="6">
        <f>_xlfn.IFNA(VLOOKUP(Grandview_Inventory[[#This Row],[quality]],Lookups!$H$2:$J$14,3,FALSE),0)</f>
        <v>-47308</v>
      </c>
      <c r="BK1478" s="6">
        <f>_xlfn.IFNA(VLOOKUP(Grandview_Inventory[[#This Row],[condition]],Lookups!$H$17:$J$24,3,FALSE),0)</f>
        <v>-77566.475205170951</v>
      </c>
      <c r="BL1478" s="6">
        <f>Grandview_Inventory[[#This Row],[Eff_Age]]*Lookups!$B$14</f>
        <v>-18654.9948</v>
      </c>
      <c r="BM1478" s="6">
        <f>Grandview_Inventory[[#This Row],[living_area]]*Lookups!$B$15</f>
        <v>32438.043560000002</v>
      </c>
      <c r="BN1478" s="6">
        <f>Grandview_Inventory[[#This Row],[Fin BSMT]]*Lookups!$B$16</f>
        <v>0</v>
      </c>
      <c r="BO1478" s="6">
        <f>(Grandview_Inventory[[#This Row],[att_gar]]+Grandview_Inventory[[#This Row],[bltin_gar]])*Lookups!$B$17</f>
        <v>0</v>
      </c>
      <c r="BP1478" s="6">
        <f>Grandview_Inventory[[#This Row],[Plumbing Fixtures]]*Lookups!$B$18</f>
        <v>10052.209000000001</v>
      </c>
      <c r="BQ1478" s="6">
        <f>Grandview_Inventory[[#This Row],[detatched_value]]*Lookups!$B$19</f>
        <v>0</v>
      </c>
      <c r="BR1478" s="6">
        <f>SUM(Grandview_Inventory[[#This Row],[Intercept]:[det_value]])*Grandview_Inventory[[#This Row],[res_pct]]</f>
        <v>54794.732554829068</v>
      </c>
      <c r="BS1478" s="6">
        <f>Grandview_Inventory[[#This Row],[land_value]]</f>
        <v>41219.217601622076</v>
      </c>
      <c r="BT1478" s="4">
        <f>_xlfn.IFNA(VLOOKUP(Grandview_Inventory[[#This Row],[quality]],Lookups!$A$26:$C$33,3,FALSE),1)</f>
        <v>1</v>
      </c>
      <c r="BU1478" s="4">
        <f>_xlfn.IFNA(VLOOKUP(Grandview_Inventory[[#This Row],[condition]],Lookups!$A$37:$C$44,3,FALSE),1)</f>
        <v>0.97161819570155394</v>
      </c>
      <c r="BV1478" s="4">
        <f>IF(Grandview_Inventory[[#This Row],[bldg_style]]="",1,_xlfn.IFNA(VLOOKUP(Grandview_Inventory[[#This Row],[decade]],Lookups!$F$29:$H$43,3,FALSE),1))</f>
        <v>0.98763256963907298</v>
      </c>
      <c r="BW1478" s="4">
        <f>_xlfn.IFNA(VLOOKUP(Grandview_Inventory[[#This Row],[living_area_range]],Lookups!$F$47:$H$56,3,FALSE),1)</f>
        <v>0.94306777142782894</v>
      </c>
      <c r="BX1478" s="4">
        <f>AVERAGE(Grandview_Inventory[[#This Row],[qual_adj]:[size_adj]])</f>
        <v>0.97557963419211391</v>
      </c>
      <c r="BY1478" s="6">
        <f>IF(Grandview_Inventory[[#This Row],[pre_res]]&lt;0,0,Grandview_Inventory[[#This Row],[pre_res]]*Grandview_Inventory[[#This Row],[overall_adj]])</f>
        <v>53456.625141494857</v>
      </c>
      <c r="BZ1478" s="6">
        <f>(Grandview_Inventory[[#This Row],[sum_land]]-IF(Grandview_Inventory[[#This Row],[no_utilities]]=1,12000,0))/IF(Grandview_Inventory[[#This Row],[unbuildable]]=1,2,1)</f>
        <v>41219.217601622076</v>
      </c>
      <c r="CA147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478">
        <f>ROUND(Grandview_Inventory[[#This Row],[det_value]]*Lookups!$M$28,-2)</f>
        <v>0</v>
      </c>
      <c r="CC1478">
        <f>IF(ROUND(Grandview_Inventory[[#This Row],[adj_res]]*Lookups!$M$28,-2)&lt;Grandview_Inventory[[#This Row],[min_res]],Grandview_Inventory[[#This Row],[min_res]],ROUND(Grandview_Inventory[[#This Row],[adj_res]]*Lookups!$M$28,-2))</f>
        <v>50800</v>
      </c>
      <c r="CD1478">
        <f>Grandview_Inventory[[#This Row],[final_det]]+Grandview_Inventory[[#This Row],[final_res]]</f>
        <v>50800</v>
      </c>
      <c r="CE1478">
        <f>Grandview_Inventory[[#This Row],[final_land]]+Grandview_Inventory[[#This Row],[final_imp]]+Grandview_Inventory[[#This Row],[crop_value]]</f>
        <v>90000</v>
      </c>
      <c r="CG1478" t="str">
        <f t="shared" si="23"/>
        <v>update valuation set market_land =39200, market_bldg=50800, market_total =90000, market_mdno =401, market_date ='9/10/2023' where link_id = (select link_id from parcel where parcel_year = '2024' and parcel_id = '23092323485');</v>
      </c>
    </row>
    <row r="1479" spans="1:85" x14ac:dyDescent="0.25">
      <c r="A1479">
        <v>23092323486</v>
      </c>
      <c r="B1479">
        <v>0.27</v>
      </c>
      <c r="C1479">
        <v>11917</v>
      </c>
      <c r="D1479" t="s">
        <v>129</v>
      </c>
      <c r="E1479" t="s">
        <v>53</v>
      </c>
      <c r="F1479" t="s">
        <v>53</v>
      </c>
      <c r="G1479">
        <v>4</v>
      </c>
      <c r="H1479" t="s">
        <v>54</v>
      </c>
      <c r="I1479">
        <v>163100</v>
      </c>
      <c r="J1479">
        <v>40500</v>
      </c>
      <c r="K1479">
        <v>0.27</v>
      </c>
      <c r="L1479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479">
        <v>0</v>
      </c>
      <c r="N1479">
        <v>0</v>
      </c>
      <c r="O1479">
        <v>0</v>
      </c>
      <c r="P1479">
        <v>13398.7528</v>
      </c>
      <c r="Q1479">
        <v>63903</v>
      </c>
      <c r="R1479">
        <f>(Grandview_Inventory[[#This Row],[ln_acres]]*Grandview_Inventory[[#This Row],[coeff]])+Grandview_Inventory[[#This Row],[const]]</f>
        <v>46359.566512734265</v>
      </c>
      <c r="S1479" t="s">
        <v>85</v>
      </c>
      <c r="T1479">
        <v>1</v>
      </c>
      <c r="U1479" t="s">
        <v>80</v>
      </c>
      <c r="V1479" t="s">
        <v>69</v>
      </c>
      <c r="W1479">
        <v>0</v>
      </c>
      <c r="X1479">
        <v>0</v>
      </c>
      <c r="Y1479">
        <v>61</v>
      </c>
      <c r="Z1479">
        <v>109</v>
      </c>
      <c r="AA1479">
        <v>110</v>
      </c>
      <c r="AB1479">
        <v>1500</v>
      </c>
      <c r="AC1479">
        <v>1416</v>
      </c>
      <c r="AD1479">
        <v>1416</v>
      </c>
      <c r="AE1479">
        <v>0</v>
      </c>
      <c r="AF1479">
        <v>0</v>
      </c>
      <c r="AG1479">
        <v>0</v>
      </c>
      <c r="AH1479">
        <v>600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192</v>
      </c>
      <c r="AO1479">
        <v>102</v>
      </c>
      <c r="AP1479">
        <v>5</v>
      </c>
      <c r="AQ1479">
        <v>0</v>
      </c>
      <c r="AR1479">
        <v>0</v>
      </c>
      <c r="AS1479" t="s">
        <v>58</v>
      </c>
      <c r="AT1479">
        <v>1</v>
      </c>
      <c r="AU1479" t="s">
        <v>63</v>
      </c>
      <c r="AV1479" t="s">
        <v>64</v>
      </c>
      <c r="AW1479">
        <v>0</v>
      </c>
      <c r="AX1479">
        <v>2</v>
      </c>
      <c r="AY1479">
        <v>0</v>
      </c>
      <c r="AZ1479">
        <v>7300</v>
      </c>
      <c r="BA1479">
        <v>100</v>
      </c>
      <c r="BB1479">
        <v>100</v>
      </c>
      <c r="BC1479">
        <v>100</v>
      </c>
      <c r="BD1479">
        <v>100</v>
      </c>
      <c r="BE1479">
        <v>1</v>
      </c>
      <c r="BF1479">
        <v>15000</v>
      </c>
      <c r="BG1479">
        <v>1000</v>
      </c>
      <c r="BH1479" s="6">
        <f>Grandview_Inventory[[#This Row],[land_extract]]*Lookups!$B$3</f>
        <v>53837.239420408718</v>
      </c>
      <c r="BI1479" s="6">
        <f>IF(Grandview_Inventory[[#This Row],[bldg_style]]="",0,Lookups!$B$2)</f>
        <v>155833.95000000001</v>
      </c>
      <c r="BJ1479" s="6">
        <f>_xlfn.IFNA(VLOOKUP(Grandview_Inventory[[#This Row],[quality]],Lookups!$H$2:$J$14,3,FALSE),0)</f>
        <v>-28558</v>
      </c>
      <c r="BK1479" s="6">
        <f>_xlfn.IFNA(VLOOKUP(Grandview_Inventory[[#This Row],[condition]],Lookups!$H$17:$J$24,3,FALSE),0)</f>
        <v>-4503</v>
      </c>
      <c r="BL1479" s="6">
        <f>Grandview_Inventory[[#This Row],[Eff_Age]]*Lookups!$B$14</f>
        <v>-14589.1626</v>
      </c>
      <c r="BM1479" s="6">
        <f>Grandview_Inventory[[#This Row],[living_area]]*Lookups!$B$15</f>
        <v>88331.287848000007</v>
      </c>
      <c r="BN1479" s="6">
        <f>Grandview_Inventory[[#This Row],[Fin BSMT]]*Lookups!$B$16</f>
        <v>0</v>
      </c>
      <c r="BO1479" s="6">
        <f>(Grandview_Inventory[[#This Row],[att_gar]]+Grandview_Inventory[[#This Row],[bltin_gar]])*Lookups!$B$17</f>
        <v>0</v>
      </c>
      <c r="BP1479" s="6">
        <f>Grandview_Inventory[[#This Row],[Plumbing Fixtures]]*Lookups!$B$18</f>
        <v>10052.209000000001</v>
      </c>
      <c r="BQ1479" s="6">
        <f>Grandview_Inventory[[#This Row],[detatched_value]]*Lookups!$B$19</f>
        <v>6181.6772300000002</v>
      </c>
      <c r="BR1479" s="6">
        <f>SUM(Grandview_Inventory[[#This Row],[Intercept]:[det_value]])*Grandview_Inventory[[#This Row],[res_pct]]</f>
        <v>212748.96147800004</v>
      </c>
      <c r="BS1479" s="6">
        <f>Grandview_Inventory[[#This Row],[land_value]]</f>
        <v>53837.239420408718</v>
      </c>
      <c r="BT1479" s="4">
        <f>_xlfn.IFNA(VLOOKUP(Grandview_Inventory[[#This Row],[quality]],Lookups!$A$26:$C$33,3,FALSE),1)</f>
        <v>0.9690360070159818</v>
      </c>
      <c r="BU1479" s="4">
        <f>_xlfn.IFNA(VLOOKUP(Grandview_Inventory[[#This Row],[condition]],Lookups!$A$37:$C$44,3,FALSE),1)</f>
        <v>0.96469275950863709</v>
      </c>
      <c r="BV1479" s="4">
        <f>IF(Grandview_Inventory[[#This Row],[bldg_style]]="",1,_xlfn.IFNA(VLOOKUP(Grandview_Inventory[[#This Row],[decade]],Lookups!$F$29:$H$43,3,FALSE),1))</f>
        <v>0.92255236374249616</v>
      </c>
      <c r="BW1479" s="4">
        <f>_xlfn.IFNA(VLOOKUP(Grandview_Inventory[[#This Row],[living_area_range]],Lookups!$F$47:$H$56,3,FALSE),1)</f>
        <v>0.96135087979789358</v>
      </c>
      <c r="BX1479" s="4">
        <f>AVERAGE(Grandview_Inventory[[#This Row],[qual_adj]:[size_adj]])</f>
        <v>0.95440800251625213</v>
      </c>
      <c r="BY1479" s="6">
        <f>IF(Grandview_Inventory[[#This Row],[pre_res]]&lt;0,0,Grandview_Inventory[[#This Row],[pre_res]]*Grandview_Inventory[[#This Row],[overall_adj]])</f>
        <v>203049.31136162509</v>
      </c>
      <c r="BZ1479" s="6">
        <f>(Grandview_Inventory[[#This Row],[sum_land]]-IF(Grandview_Inventory[[#This Row],[no_utilities]]=1,12000,0))/IF(Grandview_Inventory[[#This Row],[unbuildable]]=1,2,1)</f>
        <v>53837.239420408718</v>
      </c>
      <c r="CA1479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479">
        <f>ROUND(Grandview_Inventory[[#This Row],[det_value]]*Lookups!$M$28,-2)</f>
        <v>5900</v>
      </c>
      <c r="CC1479">
        <f>IF(ROUND(Grandview_Inventory[[#This Row],[adj_res]]*Lookups!$M$28,-2)&lt;Grandview_Inventory[[#This Row],[min_res]],Grandview_Inventory[[#This Row],[min_res]],ROUND(Grandview_Inventory[[#This Row],[adj_res]]*Lookups!$M$28,-2))</f>
        <v>192900</v>
      </c>
      <c r="CD1479">
        <f>Grandview_Inventory[[#This Row],[final_det]]+Grandview_Inventory[[#This Row],[final_res]]</f>
        <v>198800</v>
      </c>
      <c r="CE1479">
        <f>Grandview_Inventory[[#This Row],[final_land]]+Grandview_Inventory[[#This Row],[final_imp]]+Grandview_Inventory[[#This Row],[crop_value]]</f>
        <v>249900</v>
      </c>
      <c r="CG1479" t="str">
        <f t="shared" si="23"/>
        <v>update valuation set market_land =51100, market_bldg=198800, market_total =249900, market_mdno =401, market_date ='9/10/2023' where link_id = (select link_id from parcel where parcel_year = '2024' and parcel_id = '23092323486');</v>
      </c>
    </row>
    <row r="1480" spans="1:85" x14ac:dyDescent="0.25">
      <c r="A1480">
        <v>23092323488</v>
      </c>
      <c r="B1480">
        <v>0.18</v>
      </c>
      <c r="C1480">
        <v>7699</v>
      </c>
      <c r="D1480" t="s">
        <v>129</v>
      </c>
      <c r="E1480" t="s">
        <v>53</v>
      </c>
      <c r="F1480" t="s">
        <v>53</v>
      </c>
      <c r="G1480">
        <v>4</v>
      </c>
      <c r="H1480" t="s">
        <v>54</v>
      </c>
      <c r="I1480">
        <v>165600</v>
      </c>
      <c r="J1480">
        <v>39300</v>
      </c>
      <c r="K1480">
        <v>0.18</v>
      </c>
      <c r="L148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80">
        <v>0</v>
      </c>
      <c r="N1480">
        <v>0</v>
      </c>
      <c r="O1480">
        <v>0</v>
      </c>
      <c r="P1480">
        <v>13398.7528</v>
      </c>
      <c r="Q1480">
        <v>63903</v>
      </c>
      <c r="R1480">
        <f>(Grandview_Inventory[[#This Row],[ln_acres]]*Grandview_Inventory[[#This Row],[coeff]])+Grandview_Inventory[[#This Row],[const]]</f>
        <v>40926.839760167699</v>
      </c>
      <c r="S1480" t="s">
        <v>68</v>
      </c>
      <c r="T1480">
        <v>1</v>
      </c>
      <c r="U1480" t="s">
        <v>65</v>
      </c>
      <c r="V1480" t="s">
        <v>69</v>
      </c>
      <c r="W1480">
        <v>0</v>
      </c>
      <c r="X1480">
        <v>0</v>
      </c>
      <c r="Y1480">
        <v>60</v>
      </c>
      <c r="Z1480">
        <v>108</v>
      </c>
      <c r="AA1480">
        <v>110</v>
      </c>
      <c r="AB1480">
        <v>2000</v>
      </c>
      <c r="AC1480">
        <v>1738</v>
      </c>
      <c r="AD1480">
        <v>1738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48</v>
      </c>
      <c r="AO1480">
        <v>0</v>
      </c>
      <c r="AP1480">
        <v>9</v>
      </c>
      <c r="AQ1480">
        <v>0</v>
      </c>
      <c r="AR1480">
        <v>0</v>
      </c>
      <c r="AS1480" t="s">
        <v>58</v>
      </c>
      <c r="AT1480">
        <v>1</v>
      </c>
      <c r="AU1480" t="s">
        <v>63</v>
      </c>
      <c r="AV1480" t="s">
        <v>60</v>
      </c>
      <c r="AW1480">
        <v>1</v>
      </c>
      <c r="AX1480">
        <v>3</v>
      </c>
      <c r="AY1480">
        <v>0</v>
      </c>
      <c r="AZ1480">
        <v>0</v>
      </c>
      <c r="BA1480">
        <v>100</v>
      </c>
      <c r="BB1480">
        <v>100</v>
      </c>
      <c r="BC1480">
        <v>100</v>
      </c>
      <c r="BD1480">
        <v>100</v>
      </c>
      <c r="BE1480">
        <v>1</v>
      </c>
      <c r="BF1480">
        <v>15000</v>
      </c>
      <c r="BG1480">
        <v>1000</v>
      </c>
      <c r="BH1480" s="6">
        <f>Grandview_Inventory[[#This Row],[land_extract]]*Lookups!$B$3</f>
        <v>47528.228511015397</v>
      </c>
      <c r="BI1480" s="6">
        <f>IF(Grandview_Inventory[[#This Row],[bldg_style]]="",0,Lookups!$B$2)</f>
        <v>155833.95000000001</v>
      </c>
      <c r="BJ1480" s="6">
        <f>_xlfn.IFNA(VLOOKUP(Grandview_Inventory[[#This Row],[quality]],Lookups!$H$2:$J$14,3,FALSE),0)</f>
        <v>2251</v>
      </c>
      <c r="BK1480" s="6">
        <f>_xlfn.IFNA(VLOOKUP(Grandview_Inventory[[#This Row],[condition]],Lookups!$H$17:$J$24,3,FALSE),0)</f>
        <v>-4503</v>
      </c>
      <c r="BL1480" s="6">
        <f>Grandview_Inventory[[#This Row],[Eff_Age]]*Lookups!$B$14</f>
        <v>-14349.995999999999</v>
      </c>
      <c r="BM1480" s="6">
        <f>Grandview_Inventory[[#This Row],[living_area]]*Lookups!$B$15</f>
        <v>108417.92251400001</v>
      </c>
      <c r="BN1480" s="6">
        <f>Grandview_Inventory[[#This Row],[Fin BSMT]]*Lookups!$B$16</f>
        <v>0</v>
      </c>
      <c r="BO1480" s="6">
        <f>(Grandview_Inventory[[#This Row],[att_gar]]+Grandview_Inventory[[#This Row],[bltin_gar]])*Lookups!$B$17</f>
        <v>0</v>
      </c>
      <c r="BP1480" s="6">
        <f>Grandview_Inventory[[#This Row],[Plumbing Fixtures]]*Lookups!$B$18</f>
        <v>18093.976200000001</v>
      </c>
      <c r="BQ1480" s="6">
        <f>Grandview_Inventory[[#This Row],[detatched_value]]*Lookups!$B$19</f>
        <v>0</v>
      </c>
      <c r="BR1480" s="6">
        <f>SUM(Grandview_Inventory[[#This Row],[Intercept]:[det_value]])*Grandview_Inventory[[#This Row],[res_pct]]</f>
        <v>265743.85271400004</v>
      </c>
      <c r="BS1480" s="6">
        <f>Grandview_Inventory[[#This Row],[land_value]]</f>
        <v>47528.228511015397</v>
      </c>
      <c r="BT1480" s="4">
        <f>_xlfn.IFNA(VLOOKUP(Grandview_Inventory[[#This Row],[quality]],Lookups!$A$26:$C$33,3,FALSE),1)</f>
        <v>0.98763855981004833</v>
      </c>
      <c r="BU1480" s="4">
        <f>_xlfn.IFNA(VLOOKUP(Grandview_Inventory[[#This Row],[condition]],Lookups!$A$37:$C$44,3,FALSE),1)</f>
        <v>0.96469275950863709</v>
      </c>
      <c r="BV1480" s="4">
        <f>IF(Grandview_Inventory[[#This Row],[bldg_style]]="",1,_xlfn.IFNA(VLOOKUP(Grandview_Inventory[[#This Row],[decade]],Lookups!$F$29:$H$43,3,FALSE),1))</f>
        <v>0.92255236374249616</v>
      </c>
      <c r="BW1480" s="4">
        <f>_xlfn.IFNA(VLOOKUP(Grandview_Inventory[[#This Row],[living_area_range]],Lookups!$F$47:$H$56,3,FALSE),1)</f>
        <v>0.96120133463014379</v>
      </c>
      <c r="BX1480" s="4">
        <f>AVERAGE(Grandview_Inventory[[#This Row],[qual_adj]:[size_adj]])</f>
        <v>0.95902125442283137</v>
      </c>
      <c r="BY1480" s="6">
        <f>IF(Grandview_Inventory[[#This Row],[pre_res]]&lt;0,0,Grandview_Inventory[[#This Row],[pre_res]]*Grandview_Inventory[[#This Row],[overall_adj]])</f>
        <v>254854.00298493647</v>
      </c>
      <c r="BZ1480" s="6">
        <f>(Grandview_Inventory[[#This Row],[sum_land]]-IF(Grandview_Inventory[[#This Row],[no_utilities]]=1,12000,0))/IF(Grandview_Inventory[[#This Row],[unbuildable]]=1,2,1)</f>
        <v>47528.228511015397</v>
      </c>
      <c r="CA148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80">
        <f>ROUND(Grandview_Inventory[[#This Row],[det_value]]*Lookups!$M$28,-2)</f>
        <v>0</v>
      </c>
      <c r="CC1480">
        <f>IF(ROUND(Grandview_Inventory[[#This Row],[adj_res]]*Lookups!$M$28,-2)&lt;Grandview_Inventory[[#This Row],[min_res]],Grandview_Inventory[[#This Row],[min_res]],ROUND(Grandview_Inventory[[#This Row],[adj_res]]*Lookups!$M$28,-2))</f>
        <v>242100</v>
      </c>
      <c r="CD1480">
        <f>Grandview_Inventory[[#This Row],[final_det]]+Grandview_Inventory[[#This Row],[final_res]]</f>
        <v>242100</v>
      </c>
      <c r="CE1480">
        <f>Grandview_Inventory[[#This Row],[final_land]]+Grandview_Inventory[[#This Row],[final_imp]]+Grandview_Inventory[[#This Row],[crop_value]]</f>
        <v>287300</v>
      </c>
      <c r="CG1480" t="str">
        <f t="shared" si="23"/>
        <v>update valuation set market_land =45200, market_bldg=242100, market_total =287300, market_mdno =401, market_date ='9/10/2023' where link_id = (select link_id from parcel where parcel_year = '2024' and parcel_id = '23092323488');</v>
      </c>
    </row>
    <row r="1481" spans="1:85" x14ac:dyDescent="0.25">
      <c r="A1481">
        <v>23092323489</v>
      </c>
      <c r="B1481">
        <v>0.17</v>
      </c>
      <c r="C1481">
        <v>7528</v>
      </c>
      <c r="D1481" t="s">
        <v>129</v>
      </c>
      <c r="E1481" t="s">
        <v>53</v>
      </c>
      <c r="F1481" t="s">
        <v>53</v>
      </c>
      <c r="G1481">
        <v>4</v>
      </c>
      <c r="H1481" t="s">
        <v>54</v>
      </c>
      <c r="I1481">
        <v>192900</v>
      </c>
      <c r="J1481">
        <v>39300</v>
      </c>
      <c r="K1481">
        <v>0.17</v>
      </c>
      <c r="L148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81">
        <v>0</v>
      </c>
      <c r="N1481">
        <v>0</v>
      </c>
      <c r="O1481">
        <v>0</v>
      </c>
      <c r="P1481">
        <v>13398.7528</v>
      </c>
      <c r="Q1481">
        <v>63903</v>
      </c>
      <c r="R1481">
        <f>(Grandview_Inventory[[#This Row],[ln_acres]]*Grandview_Inventory[[#This Row],[coeff]])+Grandview_Inventory[[#This Row],[const]]</f>
        <v>40160.988302686128</v>
      </c>
      <c r="S1481" t="s">
        <v>85</v>
      </c>
      <c r="T1481">
        <v>1</v>
      </c>
      <c r="U1481" t="s">
        <v>70</v>
      </c>
      <c r="V1481" t="s">
        <v>67</v>
      </c>
      <c r="W1481">
        <v>0</v>
      </c>
      <c r="X1481">
        <v>0</v>
      </c>
      <c r="Y1481">
        <v>60</v>
      </c>
      <c r="Z1481">
        <v>108</v>
      </c>
      <c r="AA1481">
        <v>110</v>
      </c>
      <c r="AB1481">
        <v>1500</v>
      </c>
      <c r="AC1481">
        <v>1251</v>
      </c>
      <c r="AD1481">
        <v>859</v>
      </c>
      <c r="AE1481">
        <v>392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162</v>
      </c>
      <c r="AM1481">
        <v>0</v>
      </c>
      <c r="AN1481">
        <v>48</v>
      </c>
      <c r="AO1481">
        <v>0</v>
      </c>
      <c r="AP1481">
        <v>5</v>
      </c>
      <c r="AQ1481">
        <v>1</v>
      </c>
      <c r="AR1481">
        <v>0</v>
      </c>
      <c r="AS1481" t="s">
        <v>58</v>
      </c>
      <c r="AT1481">
        <v>1</v>
      </c>
      <c r="AU1481" t="s">
        <v>75</v>
      </c>
      <c r="AV1481" t="s">
        <v>60</v>
      </c>
      <c r="AW1481">
        <v>0</v>
      </c>
      <c r="AX1481">
        <v>2</v>
      </c>
      <c r="AY1481">
        <v>0</v>
      </c>
      <c r="AZ1481">
        <v>16600</v>
      </c>
      <c r="BA1481">
        <v>100</v>
      </c>
      <c r="BB1481">
        <v>100</v>
      </c>
      <c r="BC1481">
        <v>100</v>
      </c>
      <c r="BD1481">
        <v>100</v>
      </c>
      <c r="BE1481">
        <v>1</v>
      </c>
      <c r="BF1481">
        <v>15000</v>
      </c>
      <c r="BG1481">
        <v>1000</v>
      </c>
      <c r="BH1481" s="6">
        <f>Grandview_Inventory[[#This Row],[land_extract]]*Lookups!$B$3</f>
        <v>46638.847281240982</v>
      </c>
      <c r="BI1481" s="6">
        <f>IF(Grandview_Inventory[[#This Row],[bldg_style]]="",0,Lookups!$B$2)</f>
        <v>155833.95000000001</v>
      </c>
      <c r="BJ1481" s="6">
        <f>_xlfn.IFNA(VLOOKUP(Grandview_Inventory[[#This Row],[quality]],Lookups!$H$2:$J$14,3,FALSE),0)</f>
        <v>10733</v>
      </c>
      <c r="BK1481" s="6">
        <f>_xlfn.IFNA(VLOOKUP(Grandview_Inventory[[#This Row],[condition]],Lookups!$H$17:$J$24,3,FALSE),0)</f>
        <v>22342</v>
      </c>
      <c r="BL1481" s="6">
        <f>Grandview_Inventory[[#This Row],[Eff_Age]]*Lookups!$B$14</f>
        <v>-14349.995999999999</v>
      </c>
      <c r="BM1481" s="6">
        <f>Grandview_Inventory[[#This Row],[living_area]]*Lookups!$B$15</f>
        <v>78038.447102999999</v>
      </c>
      <c r="BN1481" s="6">
        <f>Grandview_Inventory[[#This Row],[Fin BSMT]]*Lookups!$B$16</f>
        <v>0</v>
      </c>
      <c r="BO1481" s="6">
        <f>(Grandview_Inventory[[#This Row],[att_gar]]+Grandview_Inventory[[#This Row],[bltin_gar]])*Lookups!$B$17</f>
        <v>0</v>
      </c>
      <c r="BP1481" s="6">
        <f>Grandview_Inventory[[#This Row],[Plumbing Fixtures]]*Lookups!$B$18</f>
        <v>10052.209000000001</v>
      </c>
      <c r="BQ1481" s="6">
        <f>Grandview_Inventory[[#This Row],[detatched_value]]*Lookups!$B$19</f>
        <v>14056.96466</v>
      </c>
      <c r="BR1481" s="6">
        <f>SUM(Grandview_Inventory[[#This Row],[Intercept]:[det_value]])*Grandview_Inventory[[#This Row],[res_pct]]</f>
        <v>276706.57476300001</v>
      </c>
      <c r="BS1481" s="6">
        <f>Grandview_Inventory[[#This Row],[land_value]]</f>
        <v>46638.847281240982</v>
      </c>
      <c r="BT1481" s="4">
        <f>_xlfn.IFNA(VLOOKUP(Grandview_Inventory[[#This Row],[quality]],Lookups!$A$26:$C$33,3,FALSE),1)</f>
        <v>0.98079741117310582</v>
      </c>
      <c r="BU1481" s="4">
        <f>_xlfn.IFNA(VLOOKUP(Grandview_Inventory[[#This Row],[condition]],Lookups!$A$37:$C$44,3,FALSE),1)</f>
        <v>0.97383723671140243</v>
      </c>
      <c r="BV1481" s="4">
        <f>IF(Grandview_Inventory[[#This Row],[bldg_style]]="",1,_xlfn.IFNA(VLOOKUP(Grandview_Inventory[[#This Row],[decade]],Lookups!$F$29:$H$43,3,FALSE),1))</f>
        <v>0.92255236374249616</v>
      </c>
      <c r="BW1481" s="4">
        <f>_xlfn.IFNA(VLOOKUP(Grandview_Inventory[[#This Row],[living_area_range]],Lookups!$F$47:$H$56,3,FALSE),1)</f>
        <v>0.96135087979789358</v>
      </c>
      <c r="BX1481" s="4">
        <f>AVERAGE(Grandview_Inventory[[#This Row],[qual_adj]:[size_adj]])</f>
        <v>0.9596344728562245</v>
      </c>
      <c r="BY1481" s="6">
        <f>IF(Grandview_Inventory[[#This Row],[pre_res]]&lt;0,0,Grandview_Inventory[[#This Row],[pre_res]]*Grandview_Inventory[[#This Row],[overall_adj]])</f>
        <v>265537.16800854297</v>
      </c>
      <c r="BZ1481" s="6">
        <f>(Grandview_Inventory[[#This Row],[sum_land]]-IF(Grandview_Inventory[[#This Row],[no_utilities]]=1,12000,0))/IF(Grandview_Inventory[[#This Row],[unbuildable]]=1,2,1)</f>
        <v>46638.847281240982</v>
      </c>
      <c r="CA148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81">
        <f>ROUND(Grandview_Inventory[[#This Row],[det_value]]*Lookups!$M$28,-2)</f>
        <v>13400</v>
      </c>
      <c r="CC1481">
        <f>IF(ROUND(Grandview_Inventory[[#This Row],[adj_res]]*Lookups!$M$28,-2)&lt;Grandview_Inventory[[#This Row],[min_res]],Grandview_Inventory[[#This Row],[min_res]],ROUND(Grandview_Inventory[[#This Row],[adj_res]]*Lookups!$M$28,-2))</f>
        <v>252300</v>
      </c>
      <c r="CD1481">
        <f>Grandview_Inventory[[#This Row],[final_det]]+Grandview_Inventory[[#This Row],[final_res]]</f>
        <v>265700</v>
      </c>
      <c r="CE1481">
        <f>Grandview_Inventory[[#This Row],[final_land]]+Grandview_Inventory[[#This Row],[final_imp]]+Grandview_Inventory[[#This Row],[crop_value]]</f>
        <v>310000</v>
      </c>
      <c r="CG1481" t="str">
        <f t="shared" si="23"/>
        <v>update valuation set market_land =44300, market_bldg=265700, market_total =310000, market_mdno =401, market_date ='9/10/2023' where link_id = (select link_id from parcel where parcel_year = '2024' and parcel_id = '23092323489');</v>
      </c>
    </row>
    <row r="1482" spans="1:85" x14ac:dyDescent="0.25">
      <c r="A1482">
        <v>23092323490</v>
      </c>
      <c r="B1482">
        <v>0.16</v>
      </c>
      <c r="C1482">
        <v>7175</v>
      </c>
      <c r="D1482" t="s">
        <v>129</v>
      </c>
      <c r="E1482" t="s">
        <v>53</v>
      </c>
      <c r="F1482" t="s">
        <v>53</v>
      </c>
      <c r="G1482">
        <v>4</v>
      </c>
      <c r="H1482" t="s">
        <v>54</v>
      </c>
      <c r="I1482">
        <v>160600</v>
      </c>
      <c r="J1482">
        <v>39100</v>
      </c>
      <c r="K1482">
        <v>0.16</v>
      </c>
      <c r="L148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82">
        <v>0</v>
      </c>
      <c r="N1482">
        <v>0</v>
      </c>
      <c r="O1482">
        <v>0</v>
      </c>
      <c r="P1482">
        <v>13398.7528</v>
      </c>
      <c r="Q1482">
        <v>63903</v>
      </c>
      <c r="R1482">
        <f>(Grandview_Inventory[[#This Row],[ln_acres]]*Grandview_Inventory[[#This Row],[coeff]])+Grandview_Inventory[[#This Row],[const]]</f>
        <v>39348.693981374228</v>
      </c>
      <c r="S1482" t="s">
        <v>85</v>
      </c>
      <c r="T1482">
        <v>2</v>
      </c>
      <c r="U1482" t="s">
        <v>65</v>
      </c>
      <c r="V1482" t="s">
        <v>67</v>
      </c>
      <c r="W1482">
        <v>0</v>
      </c>
      <c r="X1482">
        <v>0</v>
      </c>
      <c r="Y1482">
        <v>60</v>
      </c>
      <c r="Z1482">
        <v>108</v>
      </c>
      <c r="AA1482">
        <v>110</v>
      </c>
      <c r="AB1482">
        <v>2000</v>
      </c>
      <c r="AC1482">
        <v>1542</v>
      </c>
      <c r="AD1482">
        <v>1030</v>
      </c>
      <c r="AE1482">
        <v>512</v>
      </c>
      <c r="AF1482">
        <v>0</v>
      </c>
      <c r="AG1482">
        <v>0</v>
      </c>
      <c r="AH1482">
        <v>515</v>
      </c>
      <c r="AI1482">
        <v>0</v>
      </c>
      <c r="AJ1482">
        <v>0</v>
      </c>
      <c r="AK1482">
        <v>0</v>
      </c>
      <c r="AL1482">
        <v>0</v>
      </c>
      <c r="AM1482">
        <v>224</v>
      </c>
      <c r="AN1482">
        <v>0</v>
      </c>
      <c r="AO1482">
        <v>224</v>
      </c>
      <c r="AP1482">
        <v>5</v>
      </c>
      <c r="AQ1482">
        <v>0</v>
      </c>
      <c r="AR1482">
        <v>0</v>
      </c>
      <c r="AS1482" t="s">
        <v>58</v>
      </c>
      <c r="AT1482">
        <v>1</v>
      </c>
      <c r="AU1482" t="s">
        <v>63</v>
      </c>
      <c r="AV1482" t="s">
        <v>64</v>
      </c>
      <c r="AW1482">
        <v>0</v>
      </c>
      <c r="AX1482">
        <v>4</v>
      </c>
      <c r="AY1482">
        <v>0</v>
      </c>
      <c r="AZ1482">
        <v>0</v>
      </c>
      <c r="BA1482">
        <v>100</v>
      </c>
      <c r="BB1482">
        <v>100</v>
      </c>
      <c r="BC1482">
        <v>100</v>
      </c>
      <c r="BD1482">
        <v>100</v>
      </c>
      <c r="BE1482">
        <v>1</v>
      </c>
      <c r="BF1482">
        <v>15000</v>
      </c>
      <c r="BG1482">
        <v>1000</v>
      </c>
      <c r="BH1482" s="6">
        <f>Grandview_Inventory[[#This Row],[land_extract]]*Lookups!$B$3</f>
        <v>45695.532079096141</v>
      </c>
      <c r="BI1482" s="6">
        <f>IF(Grandview_Inventory[[#This Row],[bldg_style]]="",0,Lookups!$B$2)</f>
        <v>155833.95000000001</v>
      </c>
      <c r="BJ1482" s="6">
        <f>_xlfn.IFNA(VLOOKUP(Grandview_Inventory[[#This Row],[quality]],Lookups!$H$2:$J$14,3,FALSE),0)</f>
        <v>2251</v>
      </c>
      <c r="BK1482" s="6">
        <f>_xlfn.IFNA(VLOOKUP(Grandview_Inventory[[#This Row],[condition]],Lookups!$H$17:$J$24,3,FALSE),0)</f>
        <v>22342</v>
      </c>
      <c r="BL1482" s="6">
        <f>Grandview_Inventory[[#This Row],[Eff_Age]]*Lookups!$B$14</f>
        <v>-14349.995999999999</v>
      </c>
      <c r="BM1482" s="6">
        <f>Grandview_Inventory[[#This Row],[living_area]]*Lookups!$B$15</f>
        <v>96191.275326000003</v>
      </c>
      <c r="BN1482" s="6">
        <f>Grandview_Inventory[[#This Row],[Fin BSMT]]*Lookups!$B$16</f>
        <v>0</v>
      </c>
      <c r="BO1482" s="6">
        <f>(Grandview_Inventory[[#This Row],[att_gar]]+Grandview_Inventory[[#This Row],[bltin_gar]])*Lookups!$B$17</f>
        <v>0</v>
      </c>
      <c r="BP1482" s="6">
        <f>Grandview_Inventory[[#This Row],[Plumbing Fixtures]]*Lookups!$B$18</f>
        <v>10052.209000000001</v>
      </c>
      <c r="BQ1482" s="6">
        <f>Grandview_Inventory[[#This Row],[detatched_value]]*Lookups!$B$19</f>
        <v>0</v>
      </c>
      <c r="BR1482" s="6">
        <f>SUM(Grandview_Inventory[[#This Row],[Intercept]:[det_value]])*Grandview_Inventory[[#This Row],[res_pct]]</f>
        <v>272320.438326</v>
      </c>
      <c r="BS1482" s="6">
        <f>Grandview_Inventory[[#This Row],[land_value]]</f>
        <v>45695.532079096141</v>
      </c>
      <c r="BT1482" s="4">
        <f>_xlfn.IFNA(VLOOKUP(Grandview_Inventory[[#This Row],[quality]],Lookups!$A$26:$C$33,3,FALSE),1)</f>
        <v>0.98763855981004833</v>
      </c>
      <c r="BU1482" s="4">
        <f>_xlfn.IFNA(VLOOKUP(Grandview_Inventory[[#This Row],[condition]],Lookups!$A$37:$C$44,3,FALSE),1)</f>
        <v>0.97383723671140243</v>
      </c>
      <c r="BV1482" s="4">
        <f>IF(Grandview_Inventory[[#This Row],[bldg_style]]="",1,_xlfn.IFNA(VLOOKUP(Grandview_Inventory[[#This Row],[decade]],Lookups!$F$29:$H$43,3,FALSE),1))</f>
        <v>0.92255236374249616</v>
      </c>
      <c r="BW1482" s="4">
        <f>_xlfn.IFNA(VLOOKUP(Grandview_Inventory[[#This Row],[living_area_range]],Lookups!$F$47:$H$56,3,FALSE),1)</f>
        <v>0.96120133463014379</v>
      </c>
      <c r="BX1482" s="4">
        <f>AVERAGE(Grandview_Inventory[[#This Row],[qual_adj]:[size_adj]])</f>
        <v>0.96130737372352271</v>
      </c>
      <c r="BY1482" s="6">
        <f>IF(Grandview_Inventory[[#This Row],[pre_res]]&lt;0,0,Grandview_Inventory[[#This Row],[pre_res]]*Grandview_Inventory[[#This Row],[overall_adj]])</f>
        <v>261783.64537840561</v>
      </c>
      <c r="BZ1482" s="6">
        <f>(Grandview_Inventory[[#This Row],[sum_land]]-IF(Grandview_Inventory[[#This Row],[no_utilities]]=1,12000,0))/IF(Grandview_Inventory[[#This Row],[unbuildable]]=1,2,1)</f>
        <v>45695.532079096141</v>
      </c>
      <c r="CA148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82">
        <f>ROUND(Grandview_Inventory[[#This Row],[det_value]]*Lookups!$M$28,-2)</f>
        <v>0</v>
      </c>
      <c r="CC1482">
        <f>IF(ROUND(Grandview_Inventory[[#This Row],[adj_res]]*Lookups!$M$28,-2)&lt;Grandview_Inventory[[#This Row],[min_res]],Grandview_Inventory[[#This Row],[min_res]],ROUND(Grandview_Inventory[[#This Row],[adj_res]]*Lookups!$M$28,-2))</f>
        <v>248700</v>
      </c>
      <c r="CD1482">
        <f>Grandview_Inventory[[#This Row],[final_det]]+Grandview_Inventory[[#This Row],[final_res]]</f>
        <v>248700</v>
      </c>
      <c r="CE1482">
        <f>Grandview_Inventory[[#This Row],[final_land]]+Grandview_Inventory[[#This Row],[final_imp]]+Grandview_Inventory[[#This Row],[crop_value]]</f>
        <v>292100</v>
      </c>
      <c r="CG1482" t="str">
        <f t="shared" si="23"/>
        <v>update valuation set market_land =43400, market_bldg=248700, market_total =292100, market_mdno =401, market_date ='9/10/2023' where link_id = (select link_id from parcel where parcel_year = '2024' and parcel_id = '23092323490');</v>
      </c>
    </row>
    <row r="1483" spans="1:85" x14ac:dyDescent="0.25">
      <c r="A1483">
        <v>23092323491</v>
      </c>
      <c r="B1483">
        <v>0.18</v>
      </c>
      <c r="C1483">
        <v>7913</v>
      </c>
      <c r="D1483" t="s">
        <v>129</v>
      </c>
      <c r="E1483" t="s">
        <v>53</v>
      </c>
      <c r="F1483" t="s">
        <v>53</v>
      </c>
      <c r="G1483">
        <v>4</v>
      </c>
      <c r="H1483" t="s">
        <v>54</v>
      </c>
      <c r="I1483">
        <v>158900</v>
      </c>
      <c r="J1483">
        <v>39500</v>
      </c>
      <c r="K1483">
        <v>0.18</v>
      </c>
      <c r="L148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83">
        <v>0</v>
      </c>
      <c r="N1483">
        <v>0</v>
      </c>
      <c r="O1483">
        <v>0</v>
      </c>
      <c r="P1483">
        <v>13398.7528</v>
      </c>
      <c r="Q1483">
        <v>63903</v>
      </c>
      <c r="R1483">
        <f>(Grandview_Inventory[[#This Row],[ln_acres]]*Grandview_Inventory[[#This Row],[coeff]])+Grandview_Inventory[[#This Row],[const]]</f>
        <v>40926.839760167699</v>
      </c>
      <c r="S1483" t="s">
        <v>85</v>
      </c>
      <c r="T1483">
        <v>2</v>
      </c>
      <c r="U1483" t="s">
        <v>65</v>
      </c>
      <c r="V1483" t="s">
        <v>69</v>
      </c>
      <c r="W1483">
        <v>0</v>
      </c>
      <c r="X1483">
        <v>0</v>
      </c>
      <c r="Y1483">
        <v>57</v>
      </c>
      <c r="Z1483">
        <v>103</v>
      </c>
      <c r="AA1483">
        <v>110</v>
      </c>
      <c r="AB1483">
        <v>2000</v>
      </c>
      <c r="AC1483">
        <v>1908</v>
      </c>
      <c r="AD1483">
        <v>1260</v>
      </c>
      <c r="AE1483">
        <v>648</v>
      </c>
      <c r="AF1483">
        <v>0</v>
      </c>
      <c r="AG1483">
        <v>0</v>
      </c>
      <c r="AH1483">
        <v>630</v>
      </c>
      <c r="AI1483">
        <v>0</v>
      </c>
      <c r="AJ1483">
        <v>0</v>
      </c>
      <c r="AK1483">
        <v>0</v>
      </c>
      <c r="AL1483">
        <v>0</v>
      </c>
      <c r="AM1483">
        <v>280</v>
      </c>
      <c r="AN1483">
        <v>192</v>
      </c>
      <c r="AO1483">
        <v>280</v>
      </c>
      <c r="AP1483">
        <v>7</v>
      </c>
      <c r="AQ1483">
        <v>0</v>
      </c>
      <c r="AR1483">
        <v>0</v>
      </c>
      <c r="AS1483" t="s">
        <v>71</v>
      </c>
      <c r="AT1483">
        <v>1</v>
      </c>
      <c r="AU1483" t="s">
        <v>63</v>
      </c>
      <c r="AV1483" t="s">
        <v>64</v>
      </c>
      <c r="AW1483">
        <v>0</v>
      </c>
      <c r="AX1483">
        <v>5</v>
      </c>
      <c r="AY1483">
        <v>0</v>
      </c>
      <c r="AZ1483">
        <v>0</v>
      </c>
      <c r="BA1483">
        <v>100</v>
      </c>
      <c r="BB1483">
        <v>100</v>
      </c>
      <c r="BC1483">
        <v>100</v>
      </c>
      <c r="BD1483">
        <v>100</v>
      </c>
      <c r="BE1483">
        <v>1</v>
      </c>
      <c r="BF1483">
        <v>15000</v>
      </c>
      <c r="BG1483">
        <v>1000</v>
      </c>
      <c r="BH1483" s="6">
        <f>Grandview_Inventory[[#This Row],[land_extract]]*Lookups!$B$3</f>
        <v>47528.228511015397</v>
      </c>
      <c r="BI1483" s="6">
        <f>IF(Grandview_Inventory[[#This Row],[bldg_style]]="",0,Lookups!$B$2)</f>
        <v>155833.95000000001</v>
      </c>
      <c r="BJ1483" s="6">
        <f>_xlfn.IFNA(VLOOKUP(Grandview_Inventory[[#This Row],[quality]],Lookups!$H$2:$J$14,3,FALSE),0)</f>
        <v>2251</v>
      </c>
      <c r="BK1483" s="6">
        <f>_xlfn.IFNA(VLOOKUP(Grandview_Inventory[[#This Row],[condition]],Lookups!$H$17:$J$24,3,FALSE),0)</f>
        <v>-4503</v>
      </c>
      <c r="BL1483" s="6">
        <f>Grandview_Inventory[[#This Row],[Eff_Age]]*Lookups!$B$14</f>
        <v>-13632.4962</v>
      </c>
      <c r="BM1483" s="6">
        <f>Grandview_Inventory[[#This Row],[living_area]]*Lookups!$B$15</f>
        <v>119022.667524</v>
      </c>
      <c r="BN1483" s="6">
        <f>Grandview_Inventory[[#This Row],[Fin BSMT]]*Lookups!$B$16</f>
        <v>0</v>
      </c>
      <c r="BO1483" s="6">
        <f>(Grandview_Inventory[[#This Row],[att_gar]]+Grandview_Inventory[[#This Row],[bltin_gar]])*Lookups!$B$17</f>
        <v>0</v>
      </c>
      <c r="BP1483" s="6">
        <f>Grandview_Inventory[[#This Row],[Plumbing Fixtures]]*Lookups!$B$18</f>
        <v>14073.0926</v>
      </c>
      <c r="BQ1483" s="6">
        <f>Grandview_Inventory[[#This Row],[detatched_value]]*Lookups!$B$19</f>
        <v>0</v>
      </c>
      <c r="BR1483" s="6">
        <f>SUM(Grandview_Inventory[[#This Row],[Intercept]:[det_value]])*Grandview_Inventory[[#This Row],[res_pct]]</f>
        <v>273045.21392399998</v>
      </c>
      <c r="BS1483" s="6">
        <f>Grandview_Inventory[[#This Row],[land_value]]</f>
        <v>47528.228511015397</v>
      </c>
      <c r="BT1483" s="4">
        <f>_xlfn.IFNA(VLOOKUP(Grandview_Inventory[[#This Row],[quality]],Lookups!$A$26:$C$33,3,FALSE),1)</f>
        <v>0.98763855981004833</v>
      </c>
      <c r="BU1483" s="4">
        <f>_xlfn.IFNA(VLOOKUP(Grandview_Inventory[[#This Row],[condition]],Lookups!$A$37:$C$44,3,FALSE),1)</f>
        <v>0.96469275950863709</v>
      </c>
      <c r="BV1483" s="4">
        <f>IF(Grandview_Inventory[[#This Row],[bldg_style]]="",1,_xlfn.IFNA(VLOOKUP(Grandview_Inventory[[#This Row],[decade]],Lookups!$F$29:$H$43,3,FALSE),1))</f>
        <v>0.92255236374249616</v>
      </c>
      <c r="BW1483" s="4">
        <f>_xlfn.IFNA(VLOOKUP(Grandview_Inventory[[#This Row],[living_area_range]],Lookups!$F$47:$H$56,3,FALSE),1)</f>
        <v>0.96120133463014379</v>
      </c>
      <c r="BX1483" s="4">
        <f>AVERAGE(Grandview_Inventory[[#This Row],[qual_adj]:[size_adj]])</f>
        <v>0.95902125442283137</v>
      </c>
      <c r="BY1483" s="6">
        <f>IF(Grandview_Inventory[[#This Row],[pre_res]]&lt;0,0,Grandview_Inventory[[#This Row],[pre_res]]*Grandview_Inventory[[#This Row],[overall_adj]])</f>
        <v>261856.16357154481</v>
      </c>
      <c r="BZ1483" s="6">
        <f>(Grandview_Inventory[[#This Row],[sum_land]]-IF(Grandview_Inventory[[#This Row],[no_utilities]]=1,12000,0))/IF(Grandview_Inventory[[#This Row],[unbuildable]]=1,2,1)</f>
        <v>47528.228511015397</v>
      </c>
      <c r="CA148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83">
        <f>ROUND(Grandview_Inventory[[#This Row],[det_value]]*Lookups!$M$28,-2)</f>
        <v>0</v>
      </c>
      <c r="CC1483">
        <f>IF(ROUND(Grandview_Inventory[[#This Row],[adj_res]]*Lookups!$M$28,-2)&lt;Grandview_Inventory[[#This Row],[min_res]],Grandview_Inventory[[#This Row],[min_res]],ROUND(Grandview_Inventory[[#This Row],[adj_res]]*Lookups!$M$28,-2))</f>
        <v>248800</v>
      </c>
      <c r="CD1483">
        <f>Grandview_Inventory[[#This Row],[final_det]]+Grandview_Inventory[[#This Row],[final_res]]</f>
        <v>248800</v>
      </c>
      <c r="CE1483">
        <f>Grandview_Inventory[[#This Row],[final_land]]+Grandview_Inventory[[#This Row],[final_imp]]+Grandview_Inventory[[#This Row],[crop_value]]</f>
        <v>294000</v>
      </c>
      <c r="CG1483" t="str">
        <f t="shared" si="23"/>
        <v>update valuation set market_land =45200, market_bldg=248800, market_total =294000, market_mdno =401, market_date ='9/10/2023' where link_id = (select link_id from parcel where parcel_year = '2024' and parcel_id = '23092323491');</v>
      </c>
    </row>
    <row r="1484" spans="1:85" x14ac:dyDescent="0.25">
      <c r="A1484">
        <v>23092323492</v>
      </c>
      <c r="B1484">
        <v>0.17</v>
      </c>
      <c r="C1484">
        <v>7383</v>
      </c>
      <c r="D1484" t="s">
        <v>129</v>
      </c>
      <c r="E1484" t="s">
        <v>53</v>
      </c>
      <c r="F1484" t="s">
        <v>53</v>
      </c>
      <c r="G1484">
        <v>4</v>
      </c>
      <c r="H1484" t="s">
        <v>54</v>
      </c>
      <c r="I1484">
        <v>153300</v>
      </c>
      <c r="J1484">
        <v>39100</v>
      </c>
      <c r="K1484">
        <v>0.17</v>
      </c>
      <c r="L148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84">
        <v>0</v>
      </c>
      <c r="N1484">
        <v>0</v>
      </c>
      <c r="O1484">
        <v>0</v>
      </c>
      <c r="P1484">
        <v>13398.7528</v>
      </c>
      <c r="Q1484">
        <v>63903</v>
      </c>
      <c r="R1484">
        <f>(Grandview_Inventory[[#This Row],[ln_acres]]*Grandview_Inventory[[#This Row],[coeff]])+Grandview_Inventory[[#This Row],[const]]</f>
        <v>40160.988302686128</v>
      </c>
      <c r="S1484" t="s">
        <v>85</v>
      </c>
      <c r="T1484">
        <v>1</v>
      </c>
      <c r="U1484" t="s">
        <v>65</v>
      </c>
      <c r="V1484" t="s">
        <v>69</v>
      </c>
      <c r="W1484">
        <v>0</v>
      </c>
      <c r="X1484">
        <v>0</v>
      </c>
      <c r="Y1484">
        <v>57</v>
      </c>
      <c r="Z1484">
        <v>103</v>
      </c>
      <c r="AA1484">
        <v>110</v>
      </c>
      <c r="AB1484">
        <v>1500</v>
      </c>
      <c r="AC1484">
        <v>1139</v>
      </c>
      <c r="AD1484">
        <v>1139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66</v>
      </c>
      <c r="AN1484">
        <v>96</v>
      </c>
      <c r="AO1484">
        <v>0</v>
      </c>
      <c r="AP1484">
        <v>5</v>
      </c>
      <c r="AQ1484">
        <v>0</v>
      </c>
      <c r="AR1484">
        <v>1</v>
      </c>
      <c r="AS1484" t="s">
        <v>71</v>
      </c>
      <c r="AT1484">
        <v>1</v>
      </c>
      <c r="AU1484" t="s">
        <v>63</v>
      </c>
      <c r="AV1484" t="s">
        <v>64</v>
      </c>
      <c r="AW1484">
        <v>1</v>
      </c>
      <c r="AX1484">
        <v>2</v>
      </c>
      <c r="AY1484">
        <v>0</v>
      </c>
      <c r="AZ1484">
        <v>10800</v>
      </c>
      <c r="BA1484">
        <v>100</v>
      </c>
      <c r="BB1484">
        <v>100</v>
      </c>
      <c r="BC1484">
        <v>100</v>
      </c>
      <c r="BD1484">
        <v>100</v>
      </c>
      <c r="BE1484">
        <v>1</v>
      </c>
      <c r="BF1484">
        <v>15000</v>
      </c>
      <c r="BG1484">
        <v>1000</v>
      </c>
      <c r="BH1484" s="6">
        <f>Grandview_Inventory[[#This Row],[land_extract]]*Lookups!$B$3</f>
        <v>46638.847281240982</v>
      </c>
      <c r="BI1484" s="6">
        <f>IF(Grandview_Inventory[[#This Row],[bldg_style]]="",0,Lookups!$B$2)</f>
        <v>155833.95000000001</v>
      </c>
      <c r="BJ1484" s="6">
        <f>_xlfn.IFNA(VLOOKUP(Grandview_Inventory[[#This Row],[quality]],Lookups!$H$2:$J$14,3,FALSE),0)</f>
        <v>2251</v>
      </c>
      <c r="BK1484" s="6">
        <f>_xlfn.IFNA(VLOOKUP(Grandview_Inventory[[#This Row],[condition]],Lookups!$H$17:$J$24,3,FALSE),0)</f>
        <v>-4503</v>
      </c>
      <c r="BL1484" s="6">
        <f>Grandview_Inventory[[#This Row],[Eff_Age]]*Lookups!$B$14</f>
        <v>-13632.4962</v>
      </c>
      <c r="BM1484" s="6">
        <f>Grandview_Inventory[[#This Row],[living_area]]*Lookups!$B$15</f>
        <v>71051.791567000007</v>
      </c>
      <c r="BN1484" s="6">
        <f>Grandview_Inventory[[#This Row],[Fin BSMT]]*Lookups!$B$16</f>
        <v>0</v>
      </c>
      <c r="BO1484" s="6">
        <f>(Grandview_Inventory[[#This Row],[att_gar]]+Grandview_Inventory[[#This Row],[bltin_gar]])*Lookups!$B$17</f>
        <v>0</v>
      </c>
      <c r="BP1484" s="6">
        <f>Grandview_Inventory[[#This Row],[Plumbing Fixtures]]*Lookups!$B$18</f>
        <v>10052.209000000001</v>
      </c>
      <c r="BQ1484" s="6">
        <f>Grandview_Inventory[[#This Row],[detatched_value]]*Lookups!$B$19</f>
        <v>9145.4950800000006</v>
      </c>
      <c r="BR1484" s="6">
        <f>SUM(Grandview_Inventory[[#This Row],[Intercept]:[det_value]])*Grandview_Inventory[[#This Row],[res_pct]]</f>
        <v>230198.94944700002</v>
      </c>
      <c r="BS1484" s="6">
        <f>Grandview_Inventory[[#This Row],[land_value]]</f>
        <v>46638.847281240982</v>
      </c>
      <c r="BT1484" s="4">
        <f>_xlfn.IFNA(VLOOKUP(Grandview_Inventory[[#This Row],[quality]],Lookups!$A$26:$C$33,3,FALSE),1)</f>
        <v>0.98763855981004833</v>
      </c>
      <c r="BU1484" s="4">
        <f>_xlfn.IFNA(VLOOKUP(Grandview_Inventory[[#This Row],[condition]],Lookups!$A$37:$C$44,3,FALSE),1)</f>
        <v>0.96469275950863709</v>
      </c>
      <c r="BV1484" s="4">
        <f>IF(Grandview_Inventory[[#This Row],[bldg_style]]="",1,_xlfn.IFNA(VLOOKUP(Grandview_Inventory[[#This Row],[decade]],Lookups!$F$29:$H$43,3,FALSE),1))</f>
        <v>0.92255236374249616</v>
      </c>
      <c r="BW1484" s="4">
        <f>_xlfn.IFNA(VLOOKUP(Grandview_Inventory[[#This Row],[living_area_range]],Lookups!$F$47:$H$56,3,FALSE),1)</f>
        <v>0.96135087979789358</v>
      </c>
      <c r="BX1484" s="4">
        <f>AVERAGE(Grandview_Inventory[[#This Row],[qual_adj]:[size_adj]])</f>
        <v>0.95905864071476876</v>
      </c>
      <c r="BY1484" s="6">
        <f>IF(Grandview_Inventory[[#This Row],[pre_res]]&lt;0,0,Grandview_Inventory[[#This Row],[pre_res]]*Grandview_Inventory[[#This Row],[overall_adj]])</f>
        <v>220774.29155060762</v>
      </c>
      <c r="BZ1484" s="6">
        <f>(Grandview_Inventory[[#This Row],[sum_land]]-IF(Grandview_Inventory[[#This Row],[no_utilities]]=1,12000,0))/IF(Grandview_Inventory[[#This Row],[unbuildable]]=1,2,1)</f>
        <v>46638.847281240982</v>
      </c>
      <c r="CA148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84">
        <f>ROUND(Grandview_Inventory[[#This Row],[det_value]]*Lookups!$M$28,-2)</f>
        <v>8700</v>
      </c>
      <c r="CC1484">
        <f>IF(ROUND(Grandview_Inventory[[#This Row],[adj_res]]*Lookups!$M$28,-2)&lt;Grandview_Inventory[[#This Row],[min_res]],Grandview_Inventory[[#This Row],[min_res]],ROUND(Grandview_Inventory[[#This Row],[adj_res]]*Lookups!$M$28,-2))</f>
        <v>209700</v>
      </c>
      <c r="CD1484">
        <f>Grandview_Inventory[[#This Row],[final_det]]+Grandview_Inventory[[#This Row],[final_res]]</f>
        <v>218400</v>
      </c>
      <c r="CE1484">
        <f>Grandview_Inventory[[#This Row],[final_land]]+Grandview_Inventory[[#This Row],[final_imp]]+Grandview_Inventory[[#This Row],[crop_value]]</f>
        <v>262700</v>
      </c>
      <c r="CG1484" t="str">
        <f t="shared" si="23"/>
        <v>update valuation set market_land =44300, market_bldg=218400, market_total =262700, market_mdno =401, market_date ='9/10/2023' where link_id = (select link_id from parcel where parcel_year = '2024' and parcel_id = '23092323492');</v>
      </c>
    </row>
    <row r="1485" spans="1:85" x14ac:dyDescent="0.25">
      <c r="A1485">
        <v>23092323493</v>
      </c>
      <c r="B1485">
        <v>0.19</v>
      </c>
      <c r="C1485">
        <v>8120</v>
      </c>
      <c r="D1485" t="s">
        <v>129</v>
      </c>
      <c r="E1485" t="s">
        <v>53</v>
      </c>
      <c r="F1485" t="s">
        <v>53</v>
      </c>
      <c r="G1485">
        <v>4</v>
      </c>
      <c r="H1485" t="s">
        <v>54</v>
      </c>
      <c r="I1485">
        <v>220400</v>
      </c>
      <c r="J1485">
        <v>39500</v>
      </c>
      <c r="K1485">
        <v>0.19</v>
      </c>
      <c r="L148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85">
        <v>0</v>
      </c>
      <c r="N1485">
        <v>0</v>
      </c>
      <c r="O1485">
        <v>0</v>
      </c>
      <c r="P1485">
        <v>13398.7528</v>
      </c>
      <c r="Q1485">
        <v>63903</v>
      </c>
      <c r="R1485">
        <f>(Grandview_Inventory[[#This Row],[ln_acres]]*Grandview_Inventory[[#This Row],[coeff]])+Grandview_Inventory[[#This Row],[const]]</f>
        <v>41651.273092551026</v>
      </c>
      <c r="S1485" t="s">
        <v>55</v>
      </c>
      <c r="T1485">
        <v>2</v>
      </c>
      <c r="U1485" t="s">
        <v>65</v>
      </c>
      <c r="V1485" t="s">
        <v>67</v>
      </c>
      <c r="W1485">
        <v>0</v>
      </c>
      <c r="X1485">
        <v>0</v>
      </c>
      <c r="Y1485">
        <v>57</v>
      </c>
      <c r="Z1485">
        <v>103</v>
      </c>
      <c r="AA1485">
        <v>110</v>
      </c>
      <c r="AB1485">
        <v>2000</v>
      </c>
      <c r="AC1485">
        <v>1664</v>
      </c>
      <c r="AD1485">
        <v>988</v>
      </c>
      <c r="AE1485">
        <v>676</v>
      </c>
      <c r="AF1485">
        <v>0</v>
      </c>
      <c r="AG1485">
        <v>0</v>
      </c>
      <c r="AH1485">
        <v>757</v>
      </c>
      <c r="AI1485">
        <v>0</v>
      </c>
      <c r="AJ1485">
        <v>0</v>
      </c>
      <c r="AK1485">
        <v>312</v>
      </c>
      <c r="AL1485">
        <v>0</v>
      </c>
      <c r="AM1485">
        <v>0</v>
      </c>
      <c r="AN1485">
        <v>120</v>
      </c>
      <c r="AO1485">
        <v>0</v>
      </c>
      <c r="AP1485">
        <v>7</v>
      </c>
      <c r="AQ1485">
        <v>0</v>
      </c>
      <c r="AR1485">
        <v>0</v>
      </c>
      <c r="AS1485" t="s">
        <v>58</v>
      </c>
      <c r="AT1485">
        <v>1</v>
      </c>
      <c r="AU1485" t="s">
        <v>63</v>
      </c>
      <c r="AV1485" t="s">
        <v>64</v>
      </c>
      <c r="AW1485">
        <v>1</v>
      </c>
      <c r="AX1485">
        <v>4</v>
      </c>
      <c r="AY1485">
        <v>0</v>
      </c>
      <c r="AZ1485">
        <v>4800</v>
      </c>
      <c r="BA1485">
        <v>100</v>
      </c>
      <c r="BB1485">
        <v>100</v>
      </c>
      <c r="BC1485">
        <v>100</v>
      </c>
      <c r="BD1485">
        <v>100</v>
      </c>
      <c r="BE1485">
        <v>1</v>
      </c>
      <c r="BF1485">
        <v>15000</v>
      </c>
      <c r="BG1485">
        <v>1000</v>
      </c>
      <c r="BH1485" s="6">
        <f>Grandview_Inventory[[#This Row],[land_extract]]*Lookups!$B$3</f>
        <v>48369.510983942157</v>
      </c>
      <c r="BI1485" s="6">
        <f>IF(Grandview_Inventory[[#This Row],[bldg_style]]="",0,Lookups!$B$2)</f>
        <v>155833.95000000001</v>
      </c>
      <c r="BJ1485" s="6">
        <f>_xlfn.IFNA(VLOOKUP(Grandview_Inventory[[#This Row],[quality]],Lookups!$H$2:$J$14,3,FALSE),0)</f>
        <v>2251</v>
      </c>
      <c r="BK1485" s="6">
        <f>_xlfn.IFNA(VLOOKUP(Grandview_Inventory[[#This Row],[condition]],Lookups!$H$17:$J$24,3,FALSE),0)</f>
        <v>22342</v>
      </c>
      <c r="BL1485" s="6">
        <f>Grandview_Inventory[[#This Row],[Eff_Age]]*Lookups!$B$14</f>
        <v>-13632.4962</v>
      </c>
      <c r="BM1485" s="6">
        <f>Grandview_Inventory[[#This Row],[living_area]]*Lookups!$B$15</f>
        <v>103801.739392</v>
      </c>
      <c r="BN1485" s="6">
        <f>Grandview_Inventory[[#This Row],[Fin BSMT]]*Lookups!$B$16</f>
        <v>0</v>
      </c>
      <c r="BO1485" s="6">
        <f>(Grandview_Inventory[[#This Row],[att_gar]]+Grandview_Inventory[[#This Row],[bltin_gar]])*Lookups!$B$17</f>
        <v>0</v>
      </c>
      <c r="BP1485" s="6">
        <f>Grandview_Inventory[[#This Row],[Plumbing Fixtures]]*Lookups!$B$18</f>
        <v>14073.0926</v>
      </c>
      <c r="BQ1485" s="6">
        <f>Grandview_Inventory[[#This Row],[detatched_value]]*Lookups!$B$19</f>
        <v>4064.6644799999999</v>
      </c>
      <c r="BR1485" s="6">
        <f>SUM(Grandview_Inventory[[#This Row],[Intercept]:[det_value]])*Grandview_Inventory[[#This Row],[res_pct]]</f>
        <v>288733.95027199999</v>
      </c>
      <c r="BS1485" s="6">
        <f>Grandview_Inventory[[#This Row],[land_value]]</f>
        <v>48369.510983942157</v>
      </c>
      <c r="BT1485" s="4">
        <f>_xlfn.IFNA(VLOOKUP(Grandview_Inventory[[#This Row],[quality]],Lookups!$A$26:$C$33,3,FALSE),1)</f>
        <v>0.98763855981004833</v>
      </c>
      <c r="BU1485" s="4">
        <f>_xlfn.IFNA(VLOOKUP(Grandview_Inventory[[#This Row],[condition]],Lookups!$A$37:$C$44,3,FALSE),1)</f>
        <v>0.97383723671140243</v>
      </c>
      <c r="BV1485" s="4">
        <f>IF(Grandview_Inventory[[#This Row],[bldg_style]]="",1,_xlfn.IFNA(VLOOKUP(Grandview_Inventory[[#This Row],[decade]],Lookups!$F$29:$H$43,3,FALSE),1))</f>
        <v>0.92255236374249616</v>
      </c>
      <c r="BW1485" s="4">
        <f>_xlfn.IFNA(VLOOKUP(Grandview_Inventory[[#This Row],[living_area_range]],Lookups!$F$47:$H$56,3,FALSE),1)</f>
        <v>0.96120133463014379</v>
      </c>
      <c r="BX1485" s="4">
        <f>AVERAGE(Grandview_Inventory[[#This Row],[qual_adj]:[size_adj]])</f>
        <v>0.96130737372352271</v>
      </c>
      <c r="BY1485" s="6">
        <f>IF(Grandview_Inventory[[#This Row],[pre_res]]&lt;0,0,Grandview_Inventory[[#This Row],[pre_res]]*Grandview_Inventory[[#This Row],[overall_adj]])</f>
        <v>277562.07544079452</v>
      </c>
      <c r="BZ1485" s="6">
        <f>(Grandview_Inventory[[#This Row],[sum_land]]-IF(Grandview_Inventory[[#This Row],[no_utilities]]=1,12000,0))/IF(Grandview_Inventory[[#This Row],[unbuildable]]=1,2,1)</f>
        <v>48369.510983942157</v>
      </c>
      <c r="CA148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85">
        <f>ROUND(Grandview_Inventory[[#This Row],[det_value]]*Lookups!$M$28,-2)</f>
        <v>3900</v>
      </c>
      <c r="CC1485">
        <f>IF(ROUND(Grandview_Inventory[[#This Row],[adj_res]]*Lookups!$M$28,-2)&lt;Grandview_Inventory[[#This Row],[min_res]],Grandview_Inventory[[#This Row],[min_res]],ROUND(Grandview_Inventory[[#This Row],[adj_res]]*Lookups!$M$28,-2))</f>
        <v>263700</v>
      </c>
      <c r="CD1485">
        <f>Grandview_Inventory[[#This Row],[final_det]]+Grandview_Inventory[[#This Row],[final_res]]</f>
        <v>267600</v>
      </c>
      <c r="CE1485">
        <f>Grandview_Inventory[[#This Row],[final_land]]+Grandview_Inventory[[#This Row],[final_imp]]+Grandview_Inventory[[#This Row],[crop_value]]</f>
        <v>313600</v>
      </c>
      <c r="CG1485" t="str">
        <f t="shared" si="23"/>
        <v>update valuation set market_land =46000, market_bldg=267600, market_total =313600, market_mdno =401, market_date ='9/10/2023' where link_id = (select link_id from parcel where parcel_year = '2024' and parcel_id = '23092323493');</v>
      </c>
    </row>
    <row r="1486" spans="1:85" x14ac:dyDescent="0.25">
      <c r="A1486">
        <v>23092323494</v>
      </c>
      <c r="B1486">
        <v>0.36</v>
      </c>
      <c r="C1486">
        <v>15604</v>
      </c>
      <c r="D1486" t="s">
        <v>129</v>
      </c>
      <c r="E1486" t="s">
        <v>53</v>
      </c>
      <c r="F1486" t="s">
        <v>53</v>
      </c>
      <c r="G1486">
        <v>4</v>
      </c>
      <c r="H1486" t="s">
        <v>54</v>
      </c>
      <c r="I1486">
        <v>194000</v>
      </c>
      <c r="J1486">
        <v>41600</v>
      </c>
      <c r="K1486">
        <v>0.36</v>
      </c>
      <c r="L1486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486">
        <v>0</v>
      </c>
      <c r="N1486">
        <v>0</v>
      </c>
      <c r="O1486">
        <v>0</v>
      </c>
      <c r="P1486">
        <v>13398.7528</v>
      </c>
      <c r="Q1486">
        <v>63903</v>
      </c>
      <c r="R1486">
        <f>(Grandview_Inventory[[#This Row],[ln_acres]]*Grandview_Inventory[[#This Row],[coeff]])+Grandview_Inventory[[#This Row],[const]]</f>
        <v>50214.147486507369</v>
      </c>
      <c r="S1486" t="s">
        <v>68</v>
      </c>
      <c r="T1486">
        <v>1</v>
      </c>
      <c r="U1486" t="s">
        <v>70</v>
      </c>
      <c r="V1486" t="s">
        <v>69</v>
      </c>
      <c r="W1486">
        <v>0</v>
      </c>
      <c r="X1486">
        <v>0</v>
      </c>
      <c r="Y1486">
        <v>50</v>
      </c>
      <c r="Z1486">
        <v>71</v>
      </c>
      <c r="AA1486">
        <v>80</v>
      </c>
      <c r="AB1486">
        <v>2000</v>
      </c>
      <c r="AC1486">
        <v>1567</v>
      </c>
      <c r="AD1486">
        <v>1567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216</v>
      </c>
      <c r="AL1486">
        <v>0</v>
      </c>
      <c r="AM1486">
        <v>396</v>
      </c>
      <c r="AN1486">
        <v>107</v>
      </c>
      <c r="AO1486">
        <v>296</v>
      </c>
      <c r="AP1486">
        <v>8</v>
      </c>
      <c r="AQ1486">
        <v>1</v>
      </c>
      <c r="AR1486">
        <v>0</v>
      </c>
      <c r="AS1486" t="s">
        <v>58</v>
      </c>
      <c r="AT1486">
        <v>1</v>
      </c>
      <c r="AU1486" t="s">
        <v>59</v>
      </c>
      <c r="AV1486" t="s">
        <v>60</v>
      </c>
      <c r="AW1486">
        <v>1</v>
      </c>
      <c r="AX1486">
        <v>4</v>
      </c>
      <c r="AY1486">
        <v>0</v>
      </c>
      <c r="AZ1486">
        <v>10000</v>
      </c>
      <c r="BA1486">
        <v>100</v>
      </c>
      <c r="BB1486">
        <v>100</v>
      </c>
      <c r="BC1486">
        <v>100</v>
      </c>
      <c r="BD1486">
        <v>100</v>
      </c>
      <c r="BE1486">
        <v>1</v>
      </c>
      <c r="BF1486">
        <v>15000</v>
      </c>
      <c r="BG1486">
        <v>1000</v>
      </c>
      <c r="BH1486" s="6">
        <f>Grandview_Inventory[[#This Row],[land_extract]]*Lookups!$B$3</f>
        <v>58313.55389788279</v>
      </c>
      <c r="BI1486" s="6">
        <f>IF(Grandview_Inventory[[#This Row],[bldg_style]]="",0,Lookups!$B$2)</f>
        <v>155833.95000000001</v>
      </c>
      <c r="BJ1486" s="6">
        <f>_xlfn.IFNA(VLOOKUP(Grandview_Inventory[[#This Row],[quality]],Lookups!$H$2:$J$14,3,FALSE),0)</f>
        <v>10733</v>
      </c>
      <c r="BK1486" s="6">
        <f>_xlfn.IFNA(VLOOKUP(Grandview_Inventory[[#This Row],[condition]],Lookups!$H$17:$J$24,3,FALSE),0)</f>
        <v>-4503</v>
      </c>
      <c r="BL1486" s="6">
        <f>Grandview_Inventory[[#This Row],[Eff_Age]]*Lookups!$B$14</f>
        <v>-11958.33</v>
      </c>
      <c r="BM1486" s="6">
        <f>Grandview_Inventory[[#This Row],[living_area]]*Lookups!$B$15</f>
        <v>97750.796650999997</v>
      </c>
      <c r="BN1486" s="6">
        <f>Grandview_Inventory[[#This Row],[Fin BSMT]]*Lookups!$B$16</f>
        <v>0</v>
      </c>
      <c r="BO1486" s="6">
        <f>(Grandview_Inventory[[#This Row],[att_gar]]+Grandview_Inventory[[#This Row],[bltin_gar]])*Lookups!$B$17</f>
        <v>0</v>
      </c>
      <c r="BP1486" s="6">
        <f>Grandview_Inventory[[#This Row],[Plumbing Fixtures]]*Lookups!$B$18</f>
        <v>16083.5344</v>
      </c>
      <c r="BQ1486" s="6">
        <f>Grandview_Inventory[[#This Row],[detatched_value]]*Lookups!$B$19</f>
        <v>8468.0509999999995</v>
      </c>
      <c r="BR1486" s="6">
        <f>SUM(Grandview_Inventory[[#This Row],[Intercept]:[det_value]])*Grandview_Inventory[[#This Row],[res_pct]]</f>
        <v>272408.00205100002</v>
      </c>
      <c r="BS1486" s="6">
        <f>Grandview_Inventory[[#This Row],[land_value]]</f>
        <v>58313.55389788279</v>
      </c>
      <c r="BT1486" s="4">
        <f>_xlfn.IFNA(VLOOKUP(Grandview_Inventory[[#This Row],[quality]],Lookups!$A$26:$C$33,3,FALSE),1)</f>
        <v>0.98079741117310582</v>
      </c>
      <c r="BU1486" s="4">
        <f>_xlfn.IFNA(VLOOKUP(Grandview_Inventory[[#This Row],[condition]],Lookups!$A$37:$C$44,3,FALSE),1)</f>
        <v>0.96469275950863709</v>
      </c>
      <c r="BV1486" s="4">
        <f>IF(Grandview_Inventory[[#This Row],[bldg_style]]="",1,_xlfn.IFNA(VLOOKUP(Grandview_Inventory[[#This Row],[decade]],Lookups!$F$29:$H$43,3,FALSE),1))</f>
        <v>0.98763256963907298</v>
      </c>
      <c r="BW1486" s="4">
        <f>_xlfn.IFNA(VLOOKUP(Grandview_Inventory[[#This Row],[living_area_range]],Lookups!$F$47:$H$56,3,FALSE),1)</f>
        <v>0.96120133463014379</v>
      </c>
      <c r="BX1486" s="4">
        <f>AVERAGE(Grandview_Inventory[[#This Row],[qual_adj]:[size_adj]])</f>
        <v>0.97358101873773983</v>
      </c>
      <c r="BY1486" s="6">
        <f>IF(Grandview_Inventory[[#This Row],[pre_res]]&lt;0,0,Grandview_Inventory[[#This Row],[pre_res]]*Grandview_Inventory[[#This Row],[overall_adj]])</f>
        <v>265211.26014912489</v>
      </c>
      <c r="BZ1486" s="6">
        <f>(Grandview_Inventory[[#This Row],[sum_land]]-IF(Grandview_Inventory[[#This Row],[no_utilities]]=1,12000,0))/IF(Grandview_Inventory[[#This Row],[unbuildable]]=1,2,1)</f>
        <v>58313.55389788279</v>
      </c>
      <c r="CA1486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486">
        <f>ROUND(Grandview_Inventory[[#This Row],[det_value]]*Lookups!$M$28,-2)</f>
        <v>8000</v>
      </c>
      <c r="CC1486">
        <f>IF(ROUND(Grandview_Inventory[[#This Row],[adj_res]]*Lookups!$M$28,-2)&lt;Grandview_Inventory[[#This Row],[min_res]],Grandview_Inventory[[#This Row],[min_res]],ROUND(Grandview_Inventory[[#This Row],[adj_res]]*Lookups!$M$28,-2))</f>
        <v>252000</v>
      </c>
      <c r="CD1486">
        <f>Grandview_Inventory[[#This Row],[final_det]]+Grandview_Inventory[[#This Row],[final_res]]</f>
        <v>260000</v>
      </c>
      <c r="CE1486">
        <f>Grandview_Inventory[[#This Row],[final_land]]+Grandview_Inventory[[#This Row],[final_imp]]+Grandview_Inventory[[#This Row],[crop_value]]</f>
        <v>315400</v>
      </c>
      <c r="CG1486" t="str">
        <f t="shared" si="23"/>
        <v>update valuation set market_land =55400, market_bldg=260000, market_total =315400, market_mdno =401, market_date ='9/10/2023' where link_id = (select link_id from parcel where parcel_year = '2024' and parcel_id = '23092323494');</v>
      </c>
    </row>
    <row r="1487" spans="1:85" x14ac:dyDescent="0.25">
      <c r="A1487">
        <v>23092323495</v>
      </c>
      <c r="B1487">
        <v>0.19</v>
      </c>
      <c r="C1487">
        <v>8243</v>
      </c>
      <c r="D1487" t="s">
        <v>129</v>
      </c>
      <c r="E1487" t="s">
        <v>53</v>
      </c>
      <c r="F1487" t="s">
        <v>53</v>
      </c>
      <c r="G1487">
        <v>4</v>
      </c>
      <c r="H1487" t="s">
        <v>54</v>
      </c>
      <c r="I1487">
        <v>89400</v>
      </c>
      <c r="J1487">
        <v>39700</v>
      </c>
      <c r="K1487">
        <v>0.19</v>
      </c>
      <c r="L148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487">
        <v>0</v>
      </c>
      <c r="N1487">
        <v>0</v>
      </c>
      <c r="O1487">
        <v>0</v>
      </c>
      <c r="P1487">
        <v>13398.7528</v>
      </c>
      <c r="Q1487">
        <v>63903</v>
      </c>
      <c r="R1487">
        <f>(Grandview_Inventory[[#This Row],[ln_acres]]*Grandview_Inventory[[#This Row],[coeff]])+Grandview_Inventory[[#This Row],[const]]</f>
        <v>41651.273092551026</v>
      </c>
      <c r="S1487" t="s">
        <v>68</v>
      </c>
      <c r="T1487">
        <v>1</v>
      </c>
      <c r="U1487" t="s">
        <v>80</v>
      </c>
      <c r="V1487" t="s">
        <v>69</v>
      </c>
      <c r="W1487">
        <v>0</v>
      </c>
      <c r="X1487">
        <v>0</v>
      </c>
      <c r="Y1487">
        <v>49</v>
      </c>
      <c r="Z1487">
        <v>68</v>
      </c>
      <c r="AA1487">
        <v>70</v>
      </c>
      <c r="AB1487">
        <v>1000</v>
      </c>
      <c r="AC1487">
        <v>840</v>
      </c>
      <c r="AD1487">
        <v>840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192</v>
      </c>
      <c r="AN1487">
        <v>0</v>
      </c>
      <c r="AO1487">
        <v>192</v>
      </c>
      <c r="AP1487">
        <v>5</v>
      </c>
      <c r="AQ1487">
        <v>0</v>
      </c>
      <c r="AR1487">
        <v>0</v>
      </c>
      <c r="AS1487" t="s">
        <v>58</v>
      </c>
      <c r="AT1487">
        <v>1</v>
      </c>
      <c r="AU1487" t="s">
        <v>63</v>
      </c>
      <c r="AV1487" t="s">
        <v>64</v>
      </c>
      <c r="AW1487">
        <v>0</v>
      </c>
      <c r="AX1487">
        <v>2</v>
      </c>
      <c r="AY1487">
        <v>0</v>
      </c>
      <c r="AZ1487">
        <v>0</v>
      </c>
      <c r="BA1487">
        <v>100</v>
      </c>
      <c r="BB1487">
        <v>100</v>
      </c>
      <c r="BC1487">
        <v>100</v>
      </c>
      <c r="BD1487">
        <v>100</v>
      </c>
      <c r="BE1487">
        <v>1</v>
      </c>
      <c r="BF1487">
        <v>15000</v>
      </c>
      <c r="BG1487">
        <v>1000</v>
      </c>
      <c r="BH1487" s="6">
        <f>Grandview_Inventory[[#This Row],[land_extract]]*Lookups!$B$3</f>
        <v>48369.510983942157</v>
      </c>
      <c r="BI1487" s="6">
        <f>IF(Grandview_Inventory[[#This Row],[bldg_style]]="",0,Lookups!$B$2)</f>
        <v>155833.95000000001</v>
      </c>
      <c r="BJ1487" s="6">
        <f>_xlfn.IFNA(VLOOKUP(Grandview_Inventory[[#This Row],[quality]],Lookups!$H$2:$J$14,3,FALSE),0)</f>
        <v>-28558</v>
      </c>
      <c r="BK1487" s="6">
        <f>_xlfn.IFNA(VLOOKUP(Grandview_Inventory[[#This Row],[condition]],Lookups!$H$17:$J$24,3,FALSE),0)</f>
        <v>-4503</v>
      </c>
      <c r="BL1487" s="6">
        <f>Grandview_Inventory[[#This Row],[Eff_Age]]*Lookups!$B$14</f>
        <v>-11719.163399999999</v>
      </c>
      <c r="BM1487" s="6">
        <f>Grandview_Inventory[[#This Row],[living_area]]*Lookups!$B$15</f>
        <v>52399.916519999999</v>
      </c>
      <c r="BN1487" s="6">
        <f>Grandview_Inventory[[#This Row],[Fin BSMT]]*Lookups!$B$16</f>
        <v>0</v>
      </c>
      <c r="BO1487" s="6">
        <f>(Grandview_Inventory[[#This Row],[att_gar]]+Grandview_Inventory[[#This Row],[bltin_gar]])*Lookups!$B$17</f>
        <v>0</v>
      </c>
      <c r="BP1487" s="6">
        <f>Grandview_Inventory[[#This Row],[Plumbing Fixtures]]*Lookups!$B$18</f>
        <v>10052.209000000001</v>
      </c>
      <c r="BQ1487" s="6">
        <f>Grandview_Inventory[[#This Row],[detatched_value]]*Lookups!$B$19</f>
        <v>0</v>
      </c>
      <c r="BR1487" s="6">
        <f>SUM(Grandview_Inventory[[#This Row],[Intercept]:[det_value]])*Grandview_Inventory[[#This Row],[res_pct]]</f>
        <v>173505.91212000002</v>
      </c>
      <c r="BS1487" s="6">
        <f>Grandview_Inventory[[#This Row],[land_value]]</f>
        <v>48369.510983942157</v>
      </c>
      <c r="BT1487" s="4">
        <f>_xlfn.IFNA(VLOOKUP(Grandview_Inventory[[#This Row],[quality]],Lookups!$A$26:$C$33,3,FALSE),1)</f>
        <v>0.9690360070159818</v>
      </c>
      <c r="BU1487" s="4">
        <f>_xlfn.IFNA(VLOOKUP(Grandview_Inventory[[#This Row],[condition]],Lookups!$A$37:$C$44,3,FALSE),1)</f>
        <v>0.96469275950863709</v>
      </c>
      <c r="BV1487" s="4">
        <f>IF(Grandview_Inventory[[#This Row],[bldg_style]]="",1,_xlfn.IFNA(VLOOKUP(Grandview_Inventory[[#This Row],[decade]],Lookups!$F$29:$H$43,3,FALSE),1))</f>
        <v>0.99472141305414818</v>
      </c>
      <c r="BW1487" s="4">
        <f>_xlfn.IFNA(VLOOKUP(Grandview_Inventory[[#This Row],[living_area_range]],Lookups!$F$47:$H$56,3,FALSE),1)</f>
        <v>0.94306777142782894</v>
      </c>
      <c r="BX1487" s="4">
        <f>AVERAGE(Grandview_Inventory[[#This Row],[qual_adj]:[size_adj]])</f>
        <v>0.96787948775164889</v>
      </c>
      <c r="BY1487" s="6">
        <f>IF(Grandview_Inventory[[#This Row],[pre_res]]&lt;0,0,Grandview_Inventory[[#This Row],[pre_res]]*Grandview_Inventory[[#This Row],[overall_adj]])</f>
        <v>167932.81334458824</v>
      </c>
      <c r="BZ1487" s="6">
        <f>(Grandview_Inventory[[#This Row],[sum_land]]-IF(Grandview_Inventory[[#This Row],[no_utilities]]=1,12000,0))/IF(Grandview_Inventory[[#This Row],[unbuildable]]=1,2,1)</f>
        <v>48369.510983942157</v>
      </c>
      <c r="CA148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487">
        <f>ROUND(Grandview_Inventory[[#This Row],[det_value]]*Lookups!$M$28,-2)</f>
        <v>0</v>
      </c>
      <c r="CC1487">
        <f>IF(ROUND(Grandview_Inventory[[#This Row],[adj_res]]*Lookups!$M$28,-2)&lt;Grandview_Inventory[[#This Row],[min_res]],Grandview_Inventory[[#This Row],[min_res]],ROUND(Grandview_Inventory[[#This Row],[adj_res]]*Lookups!$M$28,-2))</f>
        <v>159500</v>
      </c>
      <c r="CD1487">
        <f>Grandview_Inventory[[#This Row],[final_det]]+Grandview_Inventory[[#This Row],[final_res]]</f>
        <v>159500</v>
      </c>
      <c r="CE1487">
        <f>Grandview_Inventory[[#This Row],[final_land]]+Grandview_Inventory[[#This Row],[final_imp]]+Grandview_Inventory[[#This Row],[crop_value]]</f>
        <v>205500</v>
      </c>
      <c r="CG1487" t="str">
        <f t="shared" si="23"/>
        <v>update valuation set market_land =46000, market_bldg=159500, market_total =205500, market_mdno =401, market_date ='9/10/2023' where link_id = (select link_id from parcel where parcel_year = '2024' and parcel_id = '23092323495');</v>
      </c>
    </row>
    <row r="1488" spans="1:85" x14ac:dyDescent="0.25">
      <c r="A1488">
        <v>23092323496</v>
      </c>
      <c r="B1488">
        <v>0.16</v>
      </c>
      <c r="C1488">
        <v>6922</v>
      </c>
      <c r="D1488" t="s">
        <v>129</v>
      </c>
      <c r="E1488" t="s">
        <v>53</v>
      </c>
      <c r="F1488" t="s">
        <v>53</v>
      </c>
      <c r="G1488">
        <v>4</v>
      </c>
      <c r="H1488" t="s">
        <v>54</v>
      </c>
      <c r="I1488">
        <v>119800</v>
      </c>
      <c r="J1488">
        <v>39100</v>
      </c>
      <c r="K1488">
        <v>0.16</v>
      </c>
      <c r="L148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88">
        <v>0</v>
      </c>
      <c r="N1488">
        <v>0</v>
      </c>
      <c r="O1488">
        <v>0</v>
      </c>
      <c r="P1488">
        <v>13398.7528</v>
      </c>
      <c r="Q1488">
        <v>63903</v>
      </c>
      <c r="R1488">
        <f>(Grandview_Inventory[[#This Row],[ln_acres]]*Grandview_Inventory[[#This Row],[coeff]])+Grandview_Inventory[[#This Row],[const]]</f>
        <v>39348.693981374228</v>
      </c>
      <c r="S1488" t="s">
        <v>85</v>
      </c>
      <c r="T1488">
        <v>2</v>
      </c>
      <c r="U1488" t="s">
        <v>80</v>
      </c>
      <c r="V1488" t="s">
        <v>69</v>
      </c>
      <c r="W1488">
        <v>0</v>
      </c>
      <c r="X1488">
        <v>0</v>
      </c>
      <c r="Y1488">
        <v>50</v>
      </c>
      <c r="Z1488">
        <v>75</v>
      </c>
      <c r="AA1488">
        <v>80</v>
      </c>
      <c r="AB1488">
        <v>1500</v>
      </c>
      <c r="AC1488">
        <v>1435</v>
      </c>
      <c r="AD1488">
        <v>862</v>
      </c>
      <c r="AE1488">
        <v>431</v>
      </c>
      <c r="AF1488">
        <v>0</v>
      </c>
      <c r="AG1488">
        <v>142</v>
      </c>
      <c r="AH1488">
        <v>720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15</v>
      </c>
      <c r="AO1488">
        <v>0</v>
      </c>
      <c r="AP1488">
        <v>5</v>
      </c>
      <c r="AQ1488">
        <v>0</v>
      </c>
      <c r="AR1488">
        <v>1</v>
      </c>
      <c r="AS1488" t="s">
        <v>58</v>
      </c>
      <c r="AT1488">
        <v>1</v>
      </c>
      <c r="AU1488" t="s">
        <v>63</v>
      </c>
      <c r="AV1488" t="s">
        <v>64</v>
      </c>
      <c r="AW1488">
        <v>0</v>
      </c>
      <c r="AX1488">
        <v>3</v>
      </c>
      <c r="AY1488">
        <v>0</v>
      </c>
      <c r="AZ1488">
        <v>0</v>
      </c>
      <c r="BA1488">
        <v>100</v>
      </c>
      <c r="BB1488">
        <v>100</v>
      </c>
      <c r="BC1488">
        <v>100</v>
      </c>
      <c r="BD1488">
        <v>100</v>
      </c>
      <c r="BE1488">
        <v>1</v>
      </c>
      <c r="BF1488">
        <v>15000</v>
      </c>
      <c r="BG1488">
        <v>1000</v>
      </c>
      <c r="BH1488" s="6">
        <f>Grandview_Inventory[[#This Row],[land_extract]]*Lookups!$B$3</f>
        <v>45695.532079096141</v>
      </c>
      <c r="BI1488" s="6">
        <f>IF(Grandview_Inventory[[#This Row],[bldg_style]]="",0,Lookups!$B$2)</f>
        <v>155833.95000000001</v>
      </c>
      <c r="BJ1488" s="6">
        <f>_xlfn.IFNA(VLOOKUP(Grandview_Inventory[[#This Row],[quality]],Lookups!$H$2:$J$14,3,FALSE),0)</f>
        <v>-28558</v>
      </c>
      <c r="BK1488" s="6">
        <f>_xlfn.IFNA(VLOOKUP(Grandview_Inventory[[#This Row],[condition]],Lookups!$H$17:$J$24,3,FALSE),0)</f>
        <v>-4503</v>
      </c>
      <c r="BL1488" s="6">
        <f>Grandview_Inventory[[#This Row],[Eff_Age]]*Lookups!$B$14</f>
        <v>-11958.33</v>
      </c>
      <c r="BM1488" s="6">
        <f>Grandview_Inventory[[#This Row],[living_area]]*Lookups!$B$15</f>
        <v>89516.524055000002</v>
      </c>
      <c r="BN1488" s="6">
        <f>Grandview_Inventory[[#This Row],[Fin BSMT]]*Lookups!$B$16</f>
        <v>-3848.0920800000004</v>
      </c>
      <c r="BO1488" s="6">
        <f>(Grandview_Inventory[[#This Row],[att_gar]]+Grandview_Inventory[[#This Row],[bltin_gar]])*Lookups!$B$17</f>
        <v>0</v>
      </c>
      <c r="BP1488" s="6">
        <f>Grandview_Inventory[[#This Row],[Plumbing Fixtures]]*Lookups!$B$18</f>
        <v>10052.209000000001</v>
      </c>
      <c r="BQ1488" s="6">
        <f>Grandview_Inventory[[#This Row],[detatched_value]]*Lookups!$B$19</f>
        <v>0</v>
      </c>
      <c r="BR1488" s="6">
        <f>SUM(Grandview_Inventory[[#This Row],[Intercept]:[det_value]])*Grandview_Inventory[[#This Row],[res_pct]]</f>
        <v>206535.26097500001</v>
      </c>
      <c r="BS1488" s="6">
        <f>Grandview_Inventory[[#This Row],[land_value]]</f>
        <v>45695.532079096141</v>
      </c>
      <c r="BT1488" s="4">
        <f>_xlfn.IFNA(VLOOKUP(Grandview_Inventory[[#This Row],[quality]],Lookups!$A$26:$C$33,3,FALSE),1)</f>
        <v>0.9690360070159818</v>
      </c>
      <c r="BU1488" s="4">
        <f>_xlfn.IFNA(VLOOKUP(Grandview_Inventory[[#This Row],[condition]],Lookups!$A$37:$C$44,3,FALSE),1)</f>
        <v>0.96469275950863709</v>
      </c>
      <c r="BV1488" s="4">
        <f>IF(Grandview_Inventory[[#This Row],[bldg_style]]="",1,_xlfn.IFNA(VLOOKUP(Grandview_Inventory[[#This Row],[decade]],Lookups!$F$29:$H$43,3,FALSE),1))</f>
        <v>0.98763256963907298</v>
      </c>
      <c r="BW1488" s="4">
        <f>_xlfn.IFNA(VLOOKUP(Grandview_Inventory[[#This Row],[living_area_range]],Lookups!$F$47:$H$56,3,FALSE),1)</f>
        <v>0.96135087979789358</v>
      </c>
      <c r="BX1488" s="4">
        <f>AVERAGE(Grandview_Inventory[[#This Row],[qual_adj]:[size_adj]])</f>
        <v>0.97067805399039631</v>
      </c>
      <c r="BY1488" s="6">
        <f>IF(Grandview_Inventory[[#This Row],[pre_res]]&lt;0,0,Grandview_Inventory[[#This Row],[pre_res]]*Grandview_Inventory[[#This Row],[overall_adj]])</f>
        <v>200479.24520361164</v>
      </c>
      <c r="BZ1488" s="6">
        <f>(Grandview_Inventory[[#This Row],[sum_land]]-IF(Grandview_Inventory[[#This Row],[no_utilities]]=1,12000,0))/IF(Grandview_Inventory[[#This Row],[unbuildable]]=1,2,1)</f>
        <v>45695.532079096141</v>
      </c>
      <c r="CA148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88">
        <f>ROUND(Grandview_Inventory[[#This Row],[det_value]]*Lookups!$M$28,-2)</f>
        <v>0</v>
      </c>
      <c r="CC1488">
        <f>IF(ROUND(Grandview_Inventory[[#This Row],[adj_res]]*Lookups!$M$28,-2)&lt;Grandview_Inventory[[#This Row],[min_res]],Grandview_Inventory[[#This Row],[min_res]],ROUND(Grandview_Inventory[[#This Row],[adj_res]]*Lookups!$M$28,-2))</f>
        <v>190500</v>
      </c>
      <c r="CD1488">
        <f>Grandview_Inventory[[#This Row],[final_det]]+Grandview_Inventory[[#This Row],[final_res]]</f>
        <v>190500</v>
      </c>
      <c r="CE1488">
        <f>Grandview_Inventory[[#This Row],[final_land]]+Grandview_Inventory[[#This Row],[final_imp]]+Grandview_Inventory[[#This Row],[crop_value]]</f>
        <v>233900</v>
      </c>
      <c r="CG1488" t="str">
        <f t="shared" si="23"/>
        <v>update valuation set market_land =43400, market_bldg=190500, market_total =233900, market_mdno =401, market_date ='9/10/2023' where link_id = (select link_id from parcel where parcel_year = '2024' and parcel_id = '23092323496');</v>
      </c>
    </row>
    <row r="1489" spans="1:85" x14ac:dyDescent="0.25">
      <c r="A1489">
        <v>23092323497</v>
      </c>
      <c r="B1489">
        <v>0.18</v>
      </c>
      <c r="C1489">
        <v>7833</v>
      </c>
      <c r="D1489" t="s">
        <v>129</v>
      </c>
      <c r="E1489" t="s">
        <v>53</v>
      </c>
      <c r="F1489" t="s">
        <v>53</v>
      </c>
      <c r="G1489">
        <v>4</v>
      </c>
      <c r="H1489" t="s">
        <v>54</v>
      </c>
      <c r="I1489">
        <v>113100</v>
      </c>
      <c r="J1489">
        <v>39300</v>
      </c>
      <c r="K1489">
        <v>0.18</v>
      </c>
      <c r="L148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89">
        <v>0</v>
      </c>
      <c r="N1489">
        <v>0</v>
      </c>
      <c r="O1489">
        <v>0</v>
      </c>
      <c r="P1489">
        <v>13398.7528</v>
      </c>
      <c r="Q1489">
        <v>63903</v>
      </c>
      <c r="R1489">
        <f>(Grandview_Inventory[[#This Row],[ln_acres]]*Grandview_Inventory[[#This Row],[coeff]])+Grandview_Inventory[[#This Row],[const]]</f>
        <v>40926.839760167699</v>
      </c>
      <c r="S1489" t="s">
        <v>68</v>
      </c>
      <c r="T1489">
        <v>2</v>
      </c>
      <c r="U1489" t="s">
        <v>70</v>
      </c>
      <c r="V1489" t="s">
        <v>78</v>
      </c>
      <c r="W1489">
        <v>0</v>
      </c>
      <c r="X1489">
        <v>0</v>
      </c>
      <c r="Y1489">
        <v>70</v>
      </c>
      <c r="Z1489">
        <v>118</v>
      </c>
      <c r="AA1489">
        <v>120</v>
      </c>
      <c r="AB1489">
        <v>1500</v>
      </c>
      <c r="AC1489">
        <v>1412</v>
      </c>
      <c r="AD1489">
        <v>1268</v>
      </c>
      <c r="AE1489">
        <v>144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5</v>
      </c>
      <c r="AQ1489">
        <v>0</v>
      </c>
      <c r="AR1489">
        <v>1</v>
      </c>
      <c r="AS1489" t="s">
        <v>58</v>
      </c>
      <c r="AT1489">
        <v>1</v>
      </c>
      <c r="AU1489" t="s">
        <v>63</v>
      </c>
      <c r="AV1489" t="s">
        <v>64</v>
      </c>
      <c r="AW1489">
        <v>0</v>
      </c>
      <c r="AX1489">
        <v>3</v>
      </c>
      <c r="AY1489">
        <v>0</v>
      </c>
      <c r="AZ1489">
        <v>0</v>
      </c>
      <c r="BA1489">
        <v>100</v>
      </c>
      <c r="BB1489">
        <v>100</v>
      </c>
      <c r="BC1489">
        <v>100</v>
      </c>
      <c r="BD1489">
        <v>100</v>
      </c>
      <c r="BE1489">
        <v>1</v>
      </c>
      <c r="BF1489">
        <v>15000</v>
      </c>
      <c r="BG1489">
        <v>1000</v>
      </c>
      <c r="BH1489" s="6">
        <f>Grandview_Inventory[[#This Row],[land_extract]]*Lookups!$B$3</f>
        <v>47528.228511015397</v>
      </c>
      <c r="BI1489" s="6">
        <f>IF(Grandview_Inventory[[#This Row],[bldg_style]]="",0,Lookups!$B$2)</f>
        <v>155833.95000000001</v>
      </c>
      <c r="BJ1489" s="6">
        <f>_xlfn.IFNA(VLOOKUP(Grandview_Inventory[[#This Row],[quality]],Lookups!$H$2:$J$14,3,FALSE),0)</f>
        <v>10733</v>
      </c>
      <c r="BK1489" s="6">
        <f>_xlfn.IFNA(VLOOKUP(Grandview_Inventory[[#This Row],[condition]],Lookups!$H$17:$J$24,3,FALSE),0)</f>
        <v>-45357</v>
      </c>
      <c r="BL1489" s="6">
        <f>Grandview_Inventory[[#This Row],[Eff_Age]]*Lookups!$B$14</f>
        <v>-16741.662</v>
      </c>
      <c r="BM1489" s="6">
        <f>Grandview_Inventory[[#This Row],[living_area]]*Lookups!$B$15</f>
        <v>88081.764435999998</v>
      </c>
      <c r="BN1489" s="6">
        <f>Grandview_Inventory[[#This Row],[Fin BSMT]]*Lookups!$B$16</f>
        <v>0</v>
      </c>
      <c r="BO1489" s="6">
        <f>(Grandview_Inventory[[#This Row],[att_gar]]+Grandview_Inventory[[#This Row],[bltin_gar]])*Lookups!$B$17</f>
        <v>0</v>
      </c>
      <c r="BP1489" s="6">
        <f>Grandview_Inventory[[#This Row],[Plumbing Fixtures]]*Lookups!$B$18</f>
        <v>10052.209000000001</v>
      </c>
      <c r="BQ1489" s="6">
        <f>Grandview_Inventory[[#This Row],[detatched_value]]*Lookups!$B$19</f>
        <v>0</v>
      </c>
      <c r="BR1489" s="6">
        <f>SUM(Grandview_Inventory[[#This Row],[Intercept]:[det_value]])*Grandview_Inventory[[#This Row],[res_pct]]</f>
        <v>202602.26143600003</v>
      </c>
      <c r="BS1489" s="6">
        <f>Grandview_Inventory[[#This Row],[land_value]]</f>
        <v>47528.228511015397</v>
      </c>
      <c r="BT1489" s="4">
        <f>_xlfn.IFNA(VLOOKUP(Grandview_Inventory[[#This Row],[quality]],Lookups!$A$26:$C$33,3,FALSE),1)</f>
        <v>0.98079741117310582</v>
      </c>
      <c r="BU1489" s="4">
        <f>_xlfn.IFNA(VLOOKUP(Grandview_Inventory[[#This Row],[condition]],Lookups!$A$37:$C$44,3,FALSE),1)</f>
        <v>0.97161819570155394</v>
      </c>
      <c r="BV1489" s="4">
        <f>IF(Grandview_Inventory[[#This Row],[bldg_style]]="",1,_xlfn.IFNA(VLOOKUP(Grandview_Inventory[[#This Row],[decade]],Lookups!$F$29:$H$43,3,FALSE),1))</f>
        <v>0.9251738460551937</v>
      </c>
      <c r="BW1489" s="4">
        <f>_xlfn.IFNA(VLOOKUP(Grandview_Inventory[[#This Row],[living_area_range]],Lookups!$F$47:$H$56,3,FALSE),1)</f>
        <v>0.96135087979789358</v>
      </c>
      <c r="BX1489" s="4">
        <f>AVERAGE(Grandview_Inventory[[#This Row],[qual_adj]:[size_adj]])</f>
        <v>0.95973508318193668</v>
      </c>
      <c r="BY1489" s="6">
        <f>IF(Grandview_Inventory[[#This Row],[pre_res]]&lt;0,0,Grandview_Inventory[[#This Row],[pre_res]]*Grandview_Inventory[[#This Row],[overall_adj]])</f>
        <v>194444.49823212798</v>
      </c>
      <c r="BZ1489" s="6">
        <f>(Grandview_Inventory[[#This Row],[sum_land]]-IF(Grandview_Inventory[[#This Row],[no_utilities]]=1,12000,0))/IF(Grandview_Inventory[[#This Row],[unbuildable]]=1,2,1)</f>
        <v>47528.228511015397</v>
      </c>
      <c r="CA148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89">
        <f>ROUND(Grandview_Inventory[[#This Row],[det_value]]*Lookups!$M$28,-2)</f>
        <v>0</v>
      </c>
      <c r="CC1489">
        <f>IF(ROUND(Grandview_Inventory[[#This Row],[adj_res]]*Lookups!$M$28,-2)&lt;Grandview_Inventory[[#This Row],[min_res]],Grandview_Inventory[[#This Row],[min_res]],ROUND(Grandview_Inventory[[#This Row],[adj_res]]*Lookups!$M$28,-2))</f>
        <v>184700</v>
      </c>
      <c r="CD1489">
        <f>Grandview_Inventory[[#This Row],[final_det]]+Grandview_Inventory[[#This Row],[final_res]]</f>
        <v>184700</v>
      </c>
      <c r="CE1489">
        <f>Grandview_Inventory[[#This Row],[final_land]]+Grandview_Inventory[[#This Row],[final_imp]]+Grandview_Inventory[[#This Row],[crop_value]]</f>
        <v>229900</v>
      </c>
      <c r="CG1489" t="str">
        <f t="shared" si="23"/>
        <v>update valuation set market_land =45200, market_bldg=184700, market_total =229900, market_mdno =401, market_date ='9/10/2023' where link_id = (select link_id from parcel where parcel_year = '2024' and parcel_id = '23092323497');</v>
      </c>
    </row>
    <row r="1490" spans="1:85" x14ac:dyDescent="0.25">
      <c r="A1490">
        <v>23092323498</v>
      </c>
      <c r="B1490">
        <v>0.17</v>
      </c>
      <c r="C1490">
        <v>7480</v>
      </c>
      <c r="D1490" t="s">
        <v>129</v>
      </c>
      <c r="E1490" t="s">
        <v>53</v>
      </c>
      <c r="F1490" t="s">
        <v>53</v>
      </c>
      <c r="G1490">
        <v>4</v>
      </c>
      <c r="H1490" t="s">
        <v>54</v>
      </c>
      <c r="I1490">
        <v>64000</v>
      </c>
      <c r="J1490">
        <v>39300</v>
      </c>
      <c r="K1490">
        <v>0.17</v>
      </c>
      <c r="L149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90">
        <v>0</v>
      </c>
      <c r="N1490">
        <v>0</v>
      </c>
      <c r="O1490">
        <v>0</v>
      </c>
      <c r="P1490">
        <v>13398.7528</v>
      </c>
      <c r="Q1490">
        <v>63903</v>
      </c>
      <c r="R1490">
        <f>(Grandview_Inventory[[#This Row],[ln_acres]]*Grandview_Inventory[[#This Row],[coeff]])+Grandview_Inventory[[#This Row],[const]]</f>
        <v>40160.988302686128</v>
      </c>
      <c r="S1490" t="s">
        <v>68</v>
      </c>
      <c r="T1490">
        <v>1</v>
      </c>
      <c r="U1490" t="s">
        <v>80</v>
      </c>
      <c r="V1490" t="s">
        <v>78</v>
      </c>
      <c r="W1490">
        <v>0</v>
      </c>
      <c r="X1490">
        <v>0</v>
      </c>
      <c r="Y1490">
        <v>50</v>
      </c>
      <c r="Z1490">
        <v>73</v>
      </c>
      <c r="AA1490">
        <v>80</v>
      </c>
      <c r="AB1490">
        <v>1000</v>
      </c>
      <c r="AC1490">
        <v>576</v>
      </c>
      <c r="AD1490">
        <v>576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198</v>
      </c>
      <c r="AL1490">
        <v>0</v>
      </c>
      <c r="AM1490">
        <v>0</v>
      </c>
      <c r="AN1490">
        <v>16</v>
      </c>
      <c r="AO1490">
        <v>0</v>
      </c>
      <c r="AP1490">
        <v>5</v>
      </c>
      <c r="AQ1490">
        <v>0</v>
      </c>
      <c r="AR1490">
        <v>0</v>
      </c>
      <c r="AS1490" t="s">
        <v>58</v>
      </c>
      <c r="AT1490">
        <v>1</v>
      </c>
      <c r="AU1490" t="s">
        <v>75</v>
      </c>
      <c r="AV1490" t="s">
        <v>60</v>
      </c>
      <c r="AW1490">
        <v>0</v>
      </c>
      <c r="AX1490">
        <v>1</v>
      </c>
      <c r="AY1490">
        <v>0</v>
      </c>
      <c r="AZ1490">
        <v>0</v>
      </c>
      <c r="BA1490">
        <v>100</v>
      </c>
      <c r="BB1490">
        <v>100</v>
      </c>
      <c r="BC1490">
        <v>100</v>
      </c>
      <c r="BD1490">
        <v>100</v>
      </c>
      <c r="BE1490">
        <v>1</v>
      </c>
      <c r="BF1490">
        <v>15000</v>
      </c>
      <c r="BG1490">
        <v>1000</v>
      </c>
      <c r="BH1490" s="6">
        <f>Grandview_Inventory[[#This Row],[land_extract]]*Lookups!$B$3</f>
        <v>46638.847281240982</v>
      </c>
      <c r="BI1490" s="6">
        <f>IF(Grandview_Inventory[[#This Row],[bldg_style]]="",0,Lookups!$B$2)</f>
        <v>155833.95000000001</v>
      </c>
      <c r="BJ1490" s="6">
        <f>_xlfn.IFNA(VLOOKUP(Grandview_Inventory[[#This Row],[quality]],Lookups!$H$2:$J$14,3,FALSE),0)</f>
        <v>-28558</v>
      </c>
      <c r="BK1490" s="6">
        <f>_xlfn.IFNA(VLOOKUP(Grandview_Inventory[[#This Row],[condition]],Lookups!$H$17:$J$24,3,FALSE),0)</f>
        <v>-45357</v>
      </c>
      <c r="BL1490" s="6">
        <f>Grandview_Inventory[[#This Row],[Eff_Age]]*Lookups!$B$14</f>
        <v>-11958.33</v>
      </c>
      <c r="BM1490" s="6">
        <f>Grandview_Inventory[[#This Row],[living_area]]*Lookups!$B$15</f>
        <v>35931.371328000001</v>
      </c>
      <c r="BN1490" s="6">
        <f>Grandview_Inventory[[#This Row],[Fin BSMT]]*Lookups!$B$16</f>
        <v>0</v>
      </c>
      <c r="BO1490" s="6">
        <f>(Grandview_Inventory[[#This Row],[att_gar]]+Grandview_Inventory[[#This Row],[bltin_gar]])*Lookups!$B$17</f>
        <v>0</v>
      </c>
      <c r="BP1490" s="6">
        <f>Grandview_Inventory[[#This Row],[Plumbing Fixtures]]*Lookups!$B$18</f>
        <v>10052.209000000001</v>
      </c>
      <c r="BQ1490" s="6">
        <f>Grandview_Inventory[[#This Row],[detatched_value]]*Lookups!$B$19</f>
        <v>0</v>
      </c>
      <c r="BR1490" s="6">
        <f>SUM(Grandview_Inventory[[#This Row],[Intercept]:[det_value]])*Grandview_Inventory[[#This Row],[res_pct]]</f>
        <v>115944.20032800001</v>
      </c>
      <c r="BS1490" s="6">
        <f>Grandview_Inventory[[#This Row],[land_value]]</f>
        <v>46638.847281240982</v>
      </c>
      <c r="BT1490" s="4">
        <f>_xlfn.IFNA(VLOOKUP(Grandview_Inventory[[#This Row],[quality]],Lookups!$A$26:$C$33,3,FALSE),1)</f>
        <v>0.9690360070159818</v>
      </c>
      <c r="BU1490" s="4">
        <f>_xlfn.IFNA(VLOOKUP(Grandview_Inventory[[#This Row],[condition]],Lookups!$A$37:$C$44,3,FALSE),1)</f>
        <v>0.97161819570155394</v>
      </c>
      <c r="BV1490" s="4">
        <f>IF(Grandview_Inventory[[#This Row],[bldg_style]]="",1,_xlfn.IFNA(VLOOKUP(Grandview_Inventory[[#This Row],[decade]],Lookups!$F$29:$H$43,3,FALSE),1))</f>
        <v>0.98763256963907298</v>
      </c>
      <c r="BW1490" s="4">
        <f>_xlfn.IFNA(VLOOKUP(Grandview_Inventory[[#This Row],[living_area_range]],Lookups!$F$47:$H$56,3,FALSE),1)</f>
        <v>0.94306777142782894</v>
      </c>
      <c r="BX1490" s="4">
        <f>AVERAGE(Grandview_Inventory[[#This Row],[qual_adj]:[size_adj]])</f>
        <v>0.96783863594610942</v>
      </c>
      <c r="BY1490" s="6">
        <f>IF(Grandview_Inventory[[#This Row],[pre_res]]&lt;0,0,Grandview_Inventory[[#This Row],[pre_res]]*Grandview_Inventory[[#This Row],[overall_adj]])</f>
        <v>112215.27669131398</v>
      </c>
      <c r="BZ1490" s="6">
        <f>(Grandview_Inventory[[#This Row],[sum_land]]-IF(Grandview_Inventory[[#This Row],[no_utilities]]=1,12000,0))/IF(Grandview_Inventory[[#This Row],[unbuildable]]=1,2,1)</f>
        <v>46638.847281240982</v>
      </c>
      <c r="CA149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90">
        <f>ROUND(Grandview_Inventory[[#This Row],[det_value]]*Lookups!$M$28,-2)</f>
        <v>0</v>
      </c>
      <c r="CC1490">
        <f>IF(ROUND(Grandview_Inventory[[#This Row],[adj_res]]*Lookups!$M$28,-2)&lt;Grandview_Inventory[[#This Row],[min_res]],Grandview_Inventory[[#This Row],[min_res]],ROUND(Grandview_Inventory[[#This Row],[adj_res]]*Lookups!$M$28,-2))</f>
        <v>106600</v>
      </c>
      <c r="CD1490">
        <f>Grandview_Inventory[[#This Row],[final_det]]+Grandview_Inventory[[#This Row],[final_res]]</f>
        <v>106600</v>
      </c>
      <c r="CE1490">
        <f>Grandview_Inventory[[#This Row],[final_land]]+Grandview_Inventory[[#This Row],[final_imp]]+Grandview_Inventory[[#This Row],[crop_value]]</f>
        <v>150900</v>
      </c>
      <c r="CG1490" t="str">
        <f t="shared" si="23"/>
        <v>update valuation set market_land =44300, market_bldg=106600, market_total =150900, market_mdno =401, market_date ='9/10/2023' where link_id = (select link_id from parcel where parcel_year = '2024' and parcel_id = '23092323498');</v>
      </c>
    </row>
    <row r="1491" spans="1:85" x14ac:dyDescent="0.25">
      <c r="A1491">
        <v>23092323499</v>
      </c>
      <c r="B1491">
        <v>0.35</v>
      </c>
      <c r="C1491">
        <v>15229</v>
      </c>
      <c r="D1491" t="s">
        <v>129</v>
      </c>
      <c r="E1491" t="s">
        <v>53</v>
      </c>
      <c r="F1491" t="s">
        <v>53</v>
      </c>
      <c r="G1491">
        <v>4</v>
      </c>
      <c r="H1491" t="s">
        <v>54</v>
      </c>
      <c r="I1491">
        <v>406900</v>
      </c>
      <c r="J1491">
        <v>41600</v>
      </c>
      <c r="K1491">
        <v>0.35</v>
      </c>
      <c r="L1491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491">
        <v>0</v>
      </c>
      <c r="N1491">
        <v>0</v>
      </c>
      <c r="O1491">
        <v>0</v>
      </c>
      <c r="P1491">
        <v>13398.7528</v>
      </c>
      <c r="Q1491">
        <v>63903</v>
      </c>
      <c r="R1491">
        <f>(Grandview_Inventory[[#This Row],[ln_acres]]*Grandview_Inventory[[#This Row],[coeff]])+Grandview_Inventory[[#This Row],[const]]</f>
        <v>49836.692869871389</v>
      </c>
      <c r="S1491" t="s">
        <v>84</v>
      </c>
      <c r="T1491">
        <v>2</v>
      </c>
      <c r="U1491" t="s">
        <v>65</v>
      </c>
      <c r="V1491" t="s">
        <v>69</v>
      </c>
      <c r="W1491">
        <v>0</v>
      </c>
      <c r="X1491">
        <v>0</v>
      </c>
      <c r="Y1491">
        <v>52</v>
      </c>
      <c r="Z1491">
        <v>88</v>
      </c>
      <c r="AA1491">
        <v>90</v>
      </c>
      <c r="AB1491">
        <v>2500</v>
      </c>
      <c r="AC1491">
        <v>2196</v>
      </c>
      <c r="AD1491">
        <v>1196</v>
      </c>
      <c r="AE1491">
        <v>800</v>
      </c>
      <c r="AF1491">
        <v>0</v>
      </c>
      <c r="AG1491">
        <v>200</v>
      </c>
      <c r="AH1491">
        <v>0</v>
      </c>
      <c r="AI1491">
        <v>0</v>
      </c>
      <c r="AJ1491">
        <v>0</v>
      </c>
      <c r="AK1491">
        <v>276</v>
      </c>
      <c r="AL1491">
        <v>0</v>
      </c>
      <c r="AM1491">
        <v>276</v>
      </c>
      <c r="AN1491">
        <v>64</v>
      </c>
      <c r="AO1491">
        <v>0</v>
      </c>
      <c r="AP1491">
        <v>8</v>
      </c>
      <c r="AQ1491">
        <v>0</v>
      </c>
      <c r="AR1491">
        <v>1</v>
      </c>
      <c r="AS1491" t="s">
        <v>58</v>
      </c>
      <c r="AT1491">
        <v>1</v>
      </c>
      <c r="AU1491" t="s">
        <v>63</v>
      </c>
      <c r="AV1491" t="s">
        <v>60</v>
      </c>
      <c r="AW1491">
        <v>1</v>
      </c>
      <c r="AX1491">
        <v>3</v>
      </c>
      <c r="AY1491">
        <v>0</v>
      </c>
      <c r="AZ1491">
        <v>64200</v>
      </c>
      <c r="BA1491">
        <v>100</v>
      </c>
      <c r="BB1491">
        <v>100</v>
      </c>
      <c r="BC1491">
        <v>100</v>
      </c>
      <c r="BD1491">
        <v>100</v>
      </c>
      <c r="BE1491">
        <v>1</v>
      </c>
      <c r="BF1491">
        <v>15000</v>
      </c>
      <c r="BG1491">
        <v>1000</v>
      </c>
      <c r="BH1491" s="6">
        <f>Grandview_Inventory[[#This Row],[land_extract]]*Lookups!$B$3</f>
        <v>57875.216870710894</v>
      </c>
      <c r="BI1491" s="6">
        <f>IF(Grandview_Inventory[[#This Row],[bldg_style]]="",0,Lookups!$B$2)</f>
        <v>155833.95000000001</v>
      </c>
      <c r="BJ1491" s="6">
        <f>_xlfn.IFNA(VLOOKUP(Grandview_Inventory[[#This Row],[quality]],Lookups!$H$2:$J$14,3,FALSE),0)</f>
        <v>2251</v>
      </c>
      <c r="BK1491" s="6">
        <f>_xlfn.IFNA(VLOOKUP(Grandview_Inventory[[#This Row],[condition]],Lookups!$H$17:$J$24,3,FALSE),0)</f>
        <v>-4503</v>
      </c>
      <c r="BL1491" s="6">
        <f>Grandview_Inventory[[#This Row],[Eff_Age]]*Lookups!$B$14</f>
        <v>-12436.663199999999</v>
      </c>
      <c r="BM1491" s="6">
        <f>Grandview_Inventory[[#This Row],[living_area]]*Lookups!$B$15</f>
        <v>136988.35318800001</v>
      </c>
      <c r="BN1491" s="6">
        <f>Grandview_Inventory[[#This Row],[Fin BSMT]]*Lookups!$B$16</f>
        <v>-5419.848</v>
      </c>
      <c r="BO1491" s="6">
        <f>(Grandview_Inventory[[#This Row],[att_gar]]+Grandview_Inventory[[#This Row],[bltin_gar]])*Lookups!$B$17</f>
        <v>0</v>
      </c>
      <c r="BP1491" s="6">
        <f>Grandview_Inventory[[#This Row],[Plumbing Fixtures]]*Lookups!$B$18</f>
        <v>16083.5344</v>
      </c>
      <c r="BQ1491" s="6">
        <f>Grandview_Inventory[[#This Row],[detatched_value]]*Lookups!$B$19</f>
        <v>54364.887419999999</v>
      </c>
      <c r="BR1491" s="6">
        <f>SUM(Grandview_Inventory[[#This Row],[Intercept]:[det_value]])*Grandview_Inventory[[#This Row],[res_pct]]</f>
        <v>343162.21380800003</v>
      </c>
      <c r="BS1491" s="6">
        <f>Grandview_Inventory[[#This Row],[land_value]]</f>
        <v>57875.216870710894</v>
      </c>
      <c r="BT1491" s="4">
        <f>_xlfn.IFNA(VLOOKUP(Grandview_Inventory[[#This Row],[quality]],Lookups!$A$26:$C$33,3,FALSE),1)</f>
        <v>0.98763855981004833</v>
      </c>
      <c r="BU1491" s="4">
        <f>_xlfn.IFNA(VLOOKUP(Grandview_Inventory[[#This Row],[condition]],Lookups!$A$37:$C$44,3,FALSE),1)</f>
        <v>0.96469275950863709</v>
      </c>
      <c r="BV1491" s="4">
        <f>IF(Grandview_Inventory[[#This Row],[bldg_style]]="",1,_xlfn.IFNA(VLOOKUP(Grandview_Inventory[[#This Row],[decade]],Lookups!$F$29:$H$43,3,FALSE),1))</f>
        <v>0.94161750052457416</v>
      </c>
      <c r="BW1491" s="4">
        <f>_xlfn.IFNA(VLOOKUP(Grandview_Inventory[[#This Row],[living_area_range]],Lookups!$F$47:$H$56,3,FALSE),1)</f>
        <v>0.95799442568048754</v>
      </c>
      <c r="BX1491" s="4">
        <f>AVERAGE(Grandview_Inventory[[#This Row],[qual_adj]:[size_adj]])</f>
        <v>0.96298581138093675</v>
      </c>
      <c r="BY1491" s="6">
        <f>IF(Grandview_Inventory[[#This Row],[pre_res]]&lt;0,0,Grandview_Inventory[[#This Row],[pre_res]]*Grandview_Inventory[[#This Row],[overall_adj]])</f>
        <v>330460.34289917542</v>
      </c>
      <c r="BZ1491" s="6">
        <f>(Grandview_Inventory[[#This Row],[sum_land]]-IF(Grandview_Inventory[[#This Row],[no_utilities]]=1,12000,0))/IF(Grandview_Inventory[[#This Row],[unbuildable]]=1,2,1)</f>
        <v>57875.216870710894</v>
      </c>
      <c r="CA1491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491">
        <f>ROUND(Grandview_Inventory[[#This Row],[det_value]]*Lookups!$M$28,-2)</f>
        <v>51600</v>
      </c>
      <c r="CC1491">
        <f>IF(ROUND(Grandview_Inventory[[#This Row],[adj_res]]*Lookups!$M$28,-2)&lt;Grandview_Inventory[[#This Row],[min_res]],Grandview_Inventory[[#This Row],[min_res]],ROUND(Grandview_Inventory[[#This Row],[adj_res]]*Lookups!$M$28,-2))</f>
        <v>313900</v>
      </c>
      <c r="CD1491">
        <f>Grandview_Inventory[[#This Row],[final_det]]+Grandview_Inventory[[#This Row],[final_res]]</f>
        <v>365500</v>
      </c>
      <c r="CE1491">
        <f>Grandview_Inventory[[#This Row],[final_land]]+Grandview_Inventory[[#This Row],[final_imp]]+Grandview_Inventory[[#This Row],[crop_value]]</f>
        <v>420500</v>
      </c>
      <c r="CG1491" t="str">
        <f t="shared" si="23"/>
        <v>update valuation set market_land =55000, market_bldg=365500, market_total =420500, market_mdno =401, market_date ='9/10/2023' where link_id = (select link_id from parcel where parcel_year = '2024' and parcel_id = '23092323499');</v>
      </c>
    </row>
    <row r="1492" spans="1:85" x14ac:dyDescent="0.25">
      <c r="A1492">
        <v>23092323500</v>
      </c>
      <c r="B1492">
        <v>0.16</v>
      </c>
      <c r="C1492">
        <v>7099</v>
      </c>
      <c r="D1492" t="s">
        <v>129</v>
      </c>
      <c r="E1492" t="s">
        <v>53</v>
      </c>
      <c r="F1492" t="s">
        <v>53</v>
      </c>
      <c r="G1492">
        <v>4</v>
      </c>
      <c r="H1492" t="s">
        <v>54</v>
      </c>
      <c r="I1492">
        <v>159200</v>
      </c>
      <c r="J1492">
        <v>39100</v>
      </c>
      <c r="K1492">
        <v>0.16</v>
      </c>
      <c r="L149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92">
        <v>0</v>
      </c>
      <c r="N1492">
        <v>0</v>
      </c>
      <c r="O1492">
        <v>0</v>
      </c>
      <c r="P1492">
        <v>13398.7528</v>
      </c>
      <c r="Q1492">
        <v>63903</v>
      </c>
      <c r="R1492">
        <f>(Grandview_Inventory[[#This Row],[ln_acres]]*Grandview_Inventory[[#This Row],[coeff]])+Grandview_Inventory[[#This Row],[const]]</f>
        <v>39348.693981374228</v>
      </c>
      <c r="S1492" t="s">
        <v>68</v>
      </c>
      <c r="T1492">
        <v>1</v>
      </c>
      <c r="U1492" t="s">
        <v>70</v>
      </c>
      <c r="V1492" t="s">
        <v>66</v>
      </c>
      <c r="W1492">
        <v>0</v>
      </c>
      <c r="X1492">
        <v>0</v>
      </c>
      <c r="Y1492">
        <v>14</v>
      </c>
      <c r="Z1492">
        <v>14</v>
      </c>
      <c r="AA1492">
        <v>20</v>
      </c>
      <c r="AB1492">
        <v>1000</v>
      </c>
      <c r="AC1492">
        <v>897</v>
      </c>
      <c r="AD1492">
        <v>897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160</v>
      </c>
      <c r="AN1492">
        <v>65</v>
      </c>
      <c r="AO1492">
        <v>0</v>
      </c>
      <c r="AP1492">
        <v>5</v>
      </c>
      <c r="AQ1492">
        <v>0</v>
      </c>
      <c r="AR1492">
        <v>0</v>
      </c>
      <c r="AS1492" t="s">
        <v>58</v>
      </c>
      <c r="AT1492">
        <v>1</v>
      </c>
      <c r="AU1492" t="s">
        <v>75</v>
      </c>
      <c r="AV1492" t="s">
        <v>60</v>
      </c>
      <c r="AW1492">
        <v>0</v>
      </c>
      <c r="AX1492">
        <v>2</v>
      </c>
      <c r="AY1492">
        <v>0</v>
      </c>
      <c r="AZ1492">
        <v>0</v>
      </c>
      <c r="BA1492">
        <v>100</v>
      </c>
      <c r="BB1492">
        <v>100</v>
      </c>
      <c r="BC1492">
        <v>100</v>
      </c>
      <c r="BD1492">
        <v>100</v>
      </c>
      <c r="BE1492">
        <v>1</v>
      </c>
      <c r="BF1492">
        <v>15000</v>
      </c>
      <c r="BG1492">
        <v>1000</v>
      </c>
      <c r="BH1492" s="6">
        <f>Grandview_Inventory[[#This Row],[land_extract]]*Lookups!$B$3</f>
        <v>45695.532079096141</v>
      </c>
      <c r="BI1492" s="6">
        <f>IF(Grandview_Inventory[[#This Row],[bldg_style]]="",0,Lookups!$B$2)</f>
        <v>155833.95000000001</v>
      </c>
      <c r="BJ1492" s="6">
        <f>_xlfn.IFNA(VLOOKUP(Grandview_Inventory[[#This Row],[quality]],Lookups!$H$2:$J$14,3,FALSE),0)</f>
        <v>10733</v>
      </c>
      <c r="BK1492" s="6">
        <f>_xlfn.IFNA(VLOOKUP(Grandview_Inventory[[#This Row],[condition]],Lookups!$H$17:$J$24,3,FALSE),0)</f>
        <v>25818</v>
      </c>
      <c r="BL1492" s="6">
        <f>Grandview_Inventory[[#This Row],[Eff_Age]]*Lookups!$B$14</f>
        <v>-3348.3323999999998</v>
      </c>
      <c r="BM1492" s="6">
        <f>Grandview_Inventory[[#This Row],[living_area]]*Lookups!$B$15</f>
        <v>55955.625141000004</v>
      </c>
      <c r="BN1492" s="6">
        <f>Grandview_Inventory[[#This Row],[Fin BSMT]]*Lookups!$B$16</f>
        <v>0</v>
      </c>
      <c r="BO1492" s="6">
        <f>(Grandview_Inventory[[#This Row],[att_gar]]+Grandview_Inventory[[#This Row],[bltin_gar]])*Lookups!$B$17</f>
        <v>0</v>
      </c>
      <c r="BP1492" s="6">
        <f>Grandview_Inventory[[#This Row],[Plumbing Fixtures]]*Lookups!$B$18</f>
        <v>10052.209000000001</v>
      </c>
      <c r="BQ1492" s="6">
        <f>Grandview_Inventory[[#This Row],[detatched_value]]*Lookups!$B$19</f>
        <v>0</v>
      </c>
      <c r="BR1492" s="6">
        <f>SUM(Grandview_Inventory[[#This Row],[Intercept]:[det_value]])*Grandview_Inventory[[#This Row],[res_pct]]</f>
        <v>255044.451741</v>
      </c>
      <c r="BS1492" s="6">
        <f>Grandview_Inventory[[#This Row],[land_value]]</f>
        <v>45695.532079096141</v>
      </c>
      <c r="BT1492" s="4">
        <f>_xlfn.IFNA(VLOOKUP(Grandview_Inventory[[#This Row],[quality]],Lookups!$A$26:$C$33,3,FALSE),1)</f>
        <v>0.98079741117310582</v>
      </c>
      <c r="BU1492" s="4">
        <f>_xlfn.IFNA(VLOOKUP(Grandview_Inventory[[#This Row],[condition]],Lookups!$A$37:$C$44,3,FALSE),1)</f>
        <v>0.96661476234146892</v>
      </c>
      <c r="BV1492" s="4">
        <f>IF(Grandview_Inventory[[#This Row],[bldg_style]]="",1,_xlfn.IFNA(VLOOKUP(Grandview_Inventory[[#This Row],[decade]],Lookups!$F$29:$H$43,3,FALSE),1))</f>
        <v>0.96737494181490646</v>
      </c>
      <c r="BW1492" s="4">
        <f>_xlfn.IFNA(VLOOKUP(Grandview_Inventory[[#This Row],[living_area_range]],Lookups!$F$47:$H$56,3,FALSE),1)</f>
        <v>0.94306777142782894</v>
      </c>
      <c r="BX1492" s="4">
        <f>AVERAGE(Grandview_Inventory[[#This Row],[qual_adj]:[size_adj]])</f>
        <v>0.96446372168932748</v>
      </c>
      <c r="BY1492" s="6">
        <f>IF(Grandview_Inventory[[#This Row],[pre_res]]&lt;0,0,Grandview_Inventory[[#This Row],[pre_res]]*Grandview_Inventory[[#This Row],[overall_adj]])</f>
        <v>245981.12112233893</v>
      </c>
      <c r="BZ1492" s="6">
        <f>(Grandview_Inventory[[#This Row],[sum_land]]-IF(Grandview_Inventory[[#This Row],[no_utilities]]=1,12000,0))/IF(Grandview_Inventory[[#This Row],[unbuildable]]=1,2,1)</f>
        <v>45695.532079096141</v>
      </c>
      <c r="CA149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92">
        <f>ROUND(Grandview_Inventory[[#This Row],[det_value]]*Lookups!$M$28,-2)</f>
        <v>0</v>
      </c>
      <c r="CC1492">
        <f>IF(ROUND(Grandview_Inventory[[#This Row],[adj_res]]*Lookups!$M$28,-2)&lt;Grandview_Inventory[[#This Row],[min_res]],Grandview_Inventory[[#This Row],[min_res]],ROUND(Grandview_Inventory[[#This Row],[adj_res]]*Lookups!$M$28,-2))</f>
        <v>233700</v>
      </c>
      <c r="CD1492">
        <f>Grandview_Inventory[[#This Row],[final_det]]+Grandview_Inventory[[#This Row],[final_res]]</f>
        <v>233700</v>
      </c>
      <c r="CE1492">
        <f>Grandview_Inventory[[#This Row],[final_land]]+Grandview_Inventory[[#This Row],[final_imp]]+Grandview_Inventory[[#This Row],[crop_value]]</f>
        <v>277100</v>
      </c>
      <c r="CG1492" t="str">
        <f t="shared" si="23"/>
        <v>update valuation set market_land =43400, market_bldg=233700, market_total =277100, market_mdno =401, market_date ='9/10/2023' where link_id = (select link_id from parcel where parcel_year = '2024' and parcel_id = '23092323500');</v>
      </c>
    </row>
    <row r="1493" spans="1:85" x14ac:dyDescent="0.25">
      <c r="A1493">
        <v>23092323501</v>
      </c>
      <c r="B1493">
        <v>0.17</v>
      </c>
      <c r="C1493">
        <v>7222</v>
      </c>
      <c r="D1493" t="s">
        <v>129</v>
      </c>
      <c r="E1493" t="s">
        <v>53</v>
      </c>
      <c r="F1493" t="s">
        <v>53</v>
      </c>
      <c r="G1493">
        <v>4</v>
      </c>
      <c r="H1493" t="s">
        <v>54</v>
      </c>
      <c r="I1493">
        <v>144200</v>
      </c>
      <c r="J1493">
        <v>39100</v>
      </c>
      <c r="K1493">
        <v>0.17</v>
      </c>
      <c r="L149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93">
        <v>0</v>
      </c>
      <c r="N1493">
        <v>0</v>
      </c>
      <c r="O1493">
        <v>0</v>
      </c>
      <c r="P1493">
        <v>13398.7528</v>
      </c>
      <c r="Q1493">
        <v>63903</v>
      </c>
      <c r="R1493">
        <f>(Grandview_Inventory[[#This Row],[ln_acres]]*Grandview_Inventory[[#This Row],[coeff]])+Grandview_Inventory[[#This Row],[const]]</f>
        <v>40160.988302686128</v>
      </c>
      <c r="S1493" t="s">
        <v>68</v>
      </c>
      <c r="T1493">
        <v>1</v>
      </c>
      <c r="U1493" t="s">
        <v>70</v>
      </c>
      <c r="V1493" t="s">
        <v>67</v>
      </c>
      <c r="W1493">
        <v>0</v>
      </c>
      <c r="X1493">
        <v>0</v>
      </c>
      <c r="Y1493">
        <v>65</v>
      </c>
      <c r="Z1493">
        <v>113</v>
      </c>
      <c r="AA1493">
        <v>120</v>
      </c>
      <c r="AB1493">
        <v>1000</v>
      </c>
      <c r="AC1493">
        <v>926</v>
      </c>
      <c r="AD1493">
        <v>926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72</v>
      </c>
      <c r="AO1493">
        <v>0</v>
      </c>
      <c r="AP1493">
        <v>5</v>
      </c>
      <c r="AQ1493">
        <v>0</v>
      </c>
      <c r="AR1493">
        <v>0</v>
      </c>
      <c r="AS1493" t="s">
        <v>58</v>
      </c>
      <c r="AT1493">
        <v>1</v>
      </c>
      <c r="AU1493" t="s">
        <v>63</v>
      </c>
      <c r="AV1493" t="s">
        <v>64</v>
      </c>
      <c r="AW1493">
        <v>0</v>
      </c>
      <c r="AX1493">
        <v>2</v>
      </c>
      <c r="AY1493">
        <v>0</v>
      </c>
      <c r="AZ1493">
        <v>4300</v>
      </c>
      <c r="BA1493">
        <v>100</v>
      </c>
      <c r="BB1493">
        <v>100</v>
      </c>
      <c r="BC1493">
        <v>100</v>
      </c>
      <c r="BD1493">
        <v>100</v>
      </c>
      <c r="BE1493">
        <v>1</v>
      </c>
      <c r="BF1493">
        <v>15000</v>
      </c>
      <c r="BG1493">
        <v>1000</v>
      </c>
      <c r="BH1493" s="6">
        <f>Grandview_Inventory[[#This Row],[land_extract]]*Lookups!$B$3</f>
        <v>46638.847281240982</v>
      </c>
      <c r="BI1493" s="6">
        <f>IF(Grandview_Inventory[[#This Row],[bldg_style]]="",0,Lookups!$B$2)</f>
        <v>155833.95000000001</v>
      </c>
      <c r="BJ1493" s="6">
        <f>_xlfn.IFNA(VLOOKUP(Grandview_Inventory[[#This Row],[quality]],Lookups!$H$2:$J$14,3,FALSE),0)</f>
        <v>10733</v>
      </c>
      <c r="BK1493" s="6">
        <f>_xlfn.IFNA(VLOOKUP(Grandview_Inventory[[#This Row],[condition]],Lookups!$H$17:$J$24,3,FALSE),0)</f>
        <v>22342</v>
      </c>
      <c r="BL1493" s="6">
        <f>Grandview_Inventory[[#This Row],[Eff_Age]]*Lookups!$B$14</f>
        <v>-15545.829</v>
      </c>
      <c r="BM1493" s="6">
        <f>Grandview_Inventory[[#This Row],[living_area]]*Lookups!$B$15</f>
        <v>57764.669878000001</v>
      </c>
      <c r="BN1493" s="6">
        <f>Grandview_Inventory[[#This Row],[Fin BSMT]]*Lookups!$B$16</f>
        <v>0</v>
      </c>
      <c r="BO1493" s="6">
        <f>(Grandview_Inventory[[#This Row],[att_gar]]+Grandview_Inventory[[#This Row],[bltin_gar]])*Lookups!$B$17</f>
        <v>0</v>
      </c>
      <c r="BP1493" s="6">
        <f>Grandview_Inventory[[#This Row],[Plumbing Fixtures]]*Lookups!$B$18</f>
        <v>10052.209000000001</v>
      </c>
      <c r="BQ1493" s="6">
        <f>Grandview_Inventory[[#This Row],[detatched_value]]*Lookups!$B$19</f>
        <v>3641.2619300000001</v>
      </c>
      <c r="BR1493" s="6">
        <f>SUM(Grandview_Inventory[[#This Row],[Intercept]:[det_value]])*Grandview_Inventory[[#This Row],[res_pct]]</f>
        <v>244821.26180800004</v>
      </c>
      <c r="BS1493" s="6">
        <f>Grandview_Inventory[[#This Row],[land_value]]</f>
        <v>46638.847281240982</v>
      </c>
      <c r="BT1493" s="4">
        <f>_xlfn.IFNA(VLOOKUP(Grandview_Inventory[[#This Row],[quality]],Lookups!$A$26:$C$33,3,FALSE),1)</f>
        <v>0.98079741117310582</v>
      </c>
      <c r="BU1493" s="4">
        <f>_xlfn.IFNA(VLOOKUP(Grandview_Inventory[[#This Row],[condition]],Lookups!$A$37:$C$44,3,FALSE),1)</f>
        <v>0.97383723671140243</v>
      </c>
      <c r="BV1493" s="4">
        <f>IF(Grandview_Inventory[[#This Row],[bldg_style]]="",1,_xlfn.IFNA(VLOOKUP(Grandview_Inventory[[#This Row],[decade]],Lookups!$F$29:$H$43,3,FALSE),1))</f>
        <v>0.9251738460551937</v>
      </c>
      <c r="BW1493" s="4">
        <f>_xlfn.IFNA(VLOOKUP(Grandview_Inventory[[#This Row],[living_area_range]],Lookups!$F$47:$H$56,3,FALSE),1)</f>
        <v>0.94306777142782894</v>
      </c>
      <c r="BX1493" s="4">
        <f>AVERAGE(Grandview_Inventory[[#This Row],[qual_adj]:[size_adj]])</f>
        <v>0.95571906634188275</v>
      </c>
      <c r="BY1493" s="6">
        <f>IF(Grandview_Inventory[[#This Row],[pre_res]]&lt;0,0,Grandview_Inventory[[#This Row],[pre_res]]*Grandview_Inventory[[#This Row],[overall_adj]])</f>
        <v>233980.34775578344</v>
      </c>
      <c r="BZ1493" s="6">
        <f>(Grandview_Inventory[[#This Row],[sum_land]]-IF(Grandview_Inventory[[#This Row],[no_utilities]]=1,12000,0))/IF(Grandview_Inventory[[#This Row],[unbuildable]]=1,2,1)</f>
        <v>46638.847281240982</v>
      </c>
      <c r="CA149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93">
        <f>ROUND(Grandview_Inventory[[#This Row],[det_value]]*Lookups!$M$28,-2)</f>
        <v>3500</v>
      </c>
      <c r="CC1493">
        <f>IF(ROUND(Grandview_Inventory[[#This Row],[adj_res]]*Lookups!$M$28,-2)&lt;Grandview_Inventory[[#This Row],[min_res]],Grandview_Inventory[[#This Row],[min_res]],ROUND(Grandview_Inventory[[#This Row],[adj_res]]*Lookups!$M$28,-2))</f>
        <v>222300</v>
      </c>
      <c r="CD1493">
        <f>Grandview_Inventory[[#This Row],[final_det]]+Grandview_Inventory[[#This Row],[final_res]]</f>
        <v>225800</v>
      </c>
      <c r="CE1493">
        <f>Grandview_Inventory[[#This Row],[final_land]]+Grandview_Inventory[[#This Row],[final_imp]]+Grandview_Inventory[[#This Row],[crop_value]]</f>
        <v>270100</v>
      </c>
      <c r="CG1493" t="str">
        <f t="shared" si="23"/>
        <v>update valuation set market_land =44300, market_bldg=225800, market_total =270100, market_mdno =401, market_date ='9/10/2023' where link_id = (select link_id from parcel where parcel_year = '2024' and parcel_id = '23092323501');</v>
      </c>
    </row>
    <row r="1494" spans="1:85" x14ac:dyDescent="0.25">
      <c r="A1494">
        <v>23092323503</v>
      </c>
      <c r="B1494">
        <v>0.18</v>
      </c>
      <c r="C1494">
        <v>7838</v>
      </c>
      <c r="D1494" t="s">
        <v>129</v>
      </c>
      <c r="E1494" t="s">
        <v>53</v>
      </c>
      <c r="F1494" t="s">
        <v>53</v>
      </c>
      <c r="G1494">
        <v>4</v>
      </c>
      <c r="H1494" t="s">
        <v>54</v>
      </c>
      <c r="I1494">
        <v>122500</v>
      </c>
      <c r="J1494">
        <v>39300</v>
      </c>
      <c r="K1494">
        <v>0.18</v>
      </c>
      <c r="L149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94">
        <v>0</v>
      </c>
      <c r="N1494">
        <v>0</v>
      </c>
      <c r="O1494">
        <v>0</v>
      </c>
      <c r="P1494">
        <v>13398.7528</v>
      </c>
      <c r="Q1494">
        <v>63903</v>
      </c>
      <c r="R1494">
        <f>(Grandview_Inventory[[#This Row],[ln_acres]]*Grandview_Inventory[[#This Row],[coeff]])+Grandview_Inventory[[#This Row],[const]]</f>
        <v>40926.839760167699</v>
      </c>
      <c r="S1494" t="s">
        <v>68</v>
      </c>
      <c r="T1494">
        <v>1</v>
      </c>
      <c r="U1494" t="s">
        <v>70</v>
      </c>
      <c r="V1494" t="s">
        <v>69</v>
      </c>
      <c r="W1494">
        <v>0</v>
      </c>
      <c r="X1494">
        <v>0</v>
      </c>
      <c r="Y1494">
        <v>57</v>
      </c>
      <c r="Z1494">
        <v>103</v>
      </c>
      <c r="AA1494">
        <v>110</v>
      </c>
      <c r="AB1494">
        <v>1000</v>
      </c>
      <c r="AC1494">
        <v>984</v>
      </c>
      <c r="AD1494">
        <v>984</v>
      </c>
      <c r="AE1494">
        <v>0</v>
      </c>
      <c r="AF1494">
        <v>0</v>
      </c>
      <c r="AG1494">
        <v>0</v>
      </c>
      <c r="AH1494">
        <v>144</v>
      </c>
      <c r="AI1494">
        <v>0</v>
      </c>
      <c r="AJ1494">
        <v>0</v>
      </c>
      <c r="AK1494">
        <v>418</v>
      </c>
      <c r="AL1494">
        <v>0</v>
      </c>
      <c r="AM1494">
        <v>0</v>
      </c>
      <c r="AN1494">
        <v>54</v>
      </c>
      <c r="AO1494">
        <v>0</v>
      </c>
      <c r="AP1494">
        <v>5</v>
      </c>
      <c r="AQ1494">
        <v>0</v>
      </c>
      <c r="AR1494">
        <v>0</v>
      </c>
      <c r="AS1494" t="s">
        <v>58</v>
      </c>
      <c r="AT1494">
        <v>1</v>
      </c>
      <c r="AU1494" t="s">
        <v>63</v>
      </c>
      <c r="AV1494" t="s">
        <v>81</v>
      </c>
      <c r="AW1494">
        <v>0</v>
      </c>
      <c r="AX1494">
        <v>3</v>
      </c>
      <c r="AY1494">
        <v>0</v>
      </c>
      <c r="AZ1494">
        <v>0</v>
      </c>
      <c r="BA1494">
        <v>100</v>
      </c>
      <c r="BB1494">
        <v>100</v>
      </c>
      <c r="BC1494">
        <v>100</v>
      </c>
      <c r="BD1494">
        <v>100</v>
      </c>
      <c r="BE1494">
        <v>1</v>
      </c>
      <c r="BF1494">
        <v>15000</v>
      </c>
      <c r="BG1494">
        <v>1000</v>
      </c>
      <c r="BH1494" s="6">
        <f>Grandview_Inventory[[#This Row],[land_extract]]*Lookups!$B$3</f>
        <v>47528.228511015397</v>
      </c>
      <c r="BI1494" s="6">
        <f>IF(Grandview_Inventory[[#This Row],[bldg_style]]="",0,Lookups!$B$2)</f>
        <v>155833.95000000001</v>
      </c>
      <c r="BJ1494" s="6">
        <f>_xlfn.IFNA(VLOOKUP(Grandview_Inventory[[#This Row],[quality]],Lookups!$H$2:$J$14,3,FALSE),0)</f>
        <v>10733</v>
      </c>
      <c r="BK1494" s="6">
        <f>_xlfn.IFNA(VLOOKUP(Grandview_Inventory[[#This Row],[condition]],Lookups!$H$17:$J$24,3,FALSE),0)</f>
        <v>-4503</v>
      </c>
      <c r="BL1494" s="6">
        <f>Grandview_Inventory[[#This Row],[Eff_Age]]*Lookups!$B$14</f>
        <v>-13632.4962</v>
      </c>
      <c r="BM1494" s="6">
        <f>Grandview_Inventory[[#This Row],[living_area]]*Lookups!$B$15</f>
        <v>61382.759352000001</v>
      </c>
      <c r="BN1494" s="6">
        <f>Grandview_Inventory[[#This Row],[Fin BSMT]]*Lookups!$B$16</f>
        <v>0</v>
      </c>
      <c r="BO1494" s="6">
        <f>(Grandview_Inventory[[#This Row],[att_gar]]+Grandview_Inventory[[#This Row],[bltin_gar]])*Lookups!$B$17</f>
        <v>0</v>
      </c>
      <c r="BP1494" s="6">
        <f>Grandview_Inventory[[#This Row],[Plumbing Fixtures]]*Lookups!$B$18</f>
        <v>10052.209000000001</v>
      </c>
      <c r="BQ1494" s="6">
        <f>Grandview_Inventory[[#This Row],[detatched_value]]*Lookups!$B$19</f>
        <v>0</v>
      </c>
      <c r="BR1494" s="6">
        <f>SUM(Grandview_Inventory[[#This Row],[Intercept]:[det_value]])*Grandview_Inventory[[#This Row],[res_pct]]</f>
        <v>219866.42215200001</v>
      </c>
      <c r="BS1494" s="6">
        <f>Grandview_Inventory[[#This Row],[land_value]]</f>
        <v>47528.228511015397</v>
      </c>
      <c r="BT1494" s="4">
        <f>_xlfn.IFNA(VLOOKUP(Grandview_Inventory[[#This Row],[quality]],Lookups!$A$26:$C$33,3,FALSE),1)</f>
        <v>0.98079741117310582</v>
      </c>
      <c r="BU1494" s="4">
        <f>_xlfn.IFNA(VLOOKUP(Grandview_Inventory[[#This Row],[condition]],Lookups!$A$37:$C$44,3,FALSE),1)</f>
        <v>0.96469275950863709</v>
      </c>
      <c r="BV1494" s="4">
        <f>IF(Grandview_Inventory[[#This Row],[bldg_style]]="",1,_xlfn.IFNA(VLOOKUP(Grandview_Inventory[[#This Row],[decade]],Lookups!$F$29:$H$43,3,FALSE),1))</f>
        <v>0.92255236374249616</v>
      </c>
      <c r="BW1494" s="4">
        <f>_xlfn.IFNA(VLOOKUP(Grandview_Inventory[[#This Row],[living_area_range]],Lookups!$F$47:$H$56,3,FALSE),1)</f>
        <v>0.94306777142782894</v>
      </c>
      <c r="BX1494" s="4">
        <f>AVERAGE(Grandview_Inventory[[#This Row],[qual_adj]:[size_adj]])</f>
        <v>0.95277757646301697</v>
      </c>
      <c r="BY1494" s="6">
        <f>IF(Grandview_Inventory[[#This Row],[pre_res]]&lt;0,0,Grandview_Inventory[[#This Row],[pre_res]]*Grandview_Inventory[[#This Row],[overall_adj]])</f>
        <v>209483.79684357718</v>
      </c>
      <c r="BZ1494" s="6">
        <f>(Grandview_Inventory[[#This Row],[sum_land]]-IF(Grandview_Inventory[[#This Row],[no_utilities]]=1,12000,0))/IF(Grandview_Inventory[[#This Row],[unbuildable]]=1,2,1)</f>
        <v>47528.228511015397</v>
      </c>
      <c r="CA149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94">
        <f>ROUND(Grandview_Inventory[[#This Row],[det_value]]*Lookups!$M$28,-2)</f>
        <v>0</v>
      </c>
      <c r="CC1494">
        <f>IF(ROUND(Grandview_Inventory[[#This Row],[adj_res]]*Lookups!$M$28,-2)&lt;Grandview_Inventory[[#This Row],[min_res]],Grandview_Inventory[[#This Row],[min_res]],ROUND(Grandview_Inventory[[#This Row],[adj_res]]*Lookups!$M$28,-2))</f>
        <v>199000</v>
      </c>
      <c r="CD1494">
        <f>Grandview_Inventory[[#This Row],[final_det]]+Grandview_Inventory[[#This Row],[final_res]]</f>
        <v>199000</v>
      </c>
      <c r="CE1494">
        <f>Grandview_Inventory[[#This Row],[final_land]]+Grandview_Inventory[[#This Row],[final_imp]]+Grandview_Inventory[[#This Row],[crop_value]]</f>
        <v>244200</v>
      </c>
      <c r="CG1494" t="str">
        <f t="shared" si="23"/>
        <v>update valuation set market_land =45200, market_bldg=199000, market_total =244200, market_mdno =401, market_date ='9/10/2023' where link_id = (select link_id from parcel where parcel_year = '2024' and parcel_id = '23092323503');</v>
      </c>
    </row>
    <row r="1495" spans="1:85" x14ac:dyDescent="0.25">
      <c r="A1495">
        <v>23092323504</v>
      </c>
      <c r="B1495">
        <v>0.16</v>
      </c>
      <c r="C1495">
        <v>6896</v>
      </c>
      <c r="D1495" t="s">
        <v>129</v>
      </c>
      <c r="E1495" t="s">
        <v>53</v>
      </c>
      <c r="F1495" t="s">
        <v>53</v>
      </c>
      <c r="G1495">
        <v>4</v>
      </c>
      <c r="H1495" t="s">
        <v>54</v>
      </c>
      <c r="I1495">
        <v>105900</v>
      </c>
      <c r="J1495">
        <v>39100</v>
      </c>
      <c r="K1495">
        <v>0.16</v>
      </c>
      <c r="L149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495">
        <v>0</v>
      </c>
      <c r="N1495">
        <v>0</v>
      </c>
      <c r="O1495">
        <v>0</v>
      </c>
      <c r="P1495">
        <v>13398.7528</v>
      </c>
      <c r="Q1495">
        <v>63903</v>
      </c>
      <c r="R1495">
        <f>(Grandview_Inventory[[#This Row],[ln_acres]]*Grandview_Inventory[[#This Row],[coeff]])+Grandview_Inventory[[#This Row],[const]]</f>
        <v>39348.693981374228</v>
      </c>
      <c r="S1495" t="s">
        <v>61</v>
      </c>
      <c r="T1495">
        <v>1</v>
      </c>
      <c r="U1495" t="s">
        <v>80</v>
      </c>
      <c r="V1495" t="s">
        <v>69</v>
      </c>
      <c r="W1495">
        <v>0</v>
      </c>
      <c r="X1495">
        <v>0</v>
      </c>
      <c r="Y1495">
        <v>48</v>
      </c>
      <c r="Z1495">
        <v>60</v>
      </c>
      <c r="AA1495">
        <v>60</v>
      </c>
      <c r="AB1495">
        <v>1000</v>
      </c>
      <c r="AC1495">
        <v>975</v>
      </c>
      <c r="AD1495">
        <v>975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5</v>
      </c>
      <c r="AQ1495">
        <v>0</v>
      </c>
      <c r="AR1495">
        <v>0</v>
      </c>
      <c r="AS1495" t="s">
        <v>58</v>
      </c>
      <c r="AT1495">
        <v>1</v>
      </c>
      <c r="AU1495" t="s">
        <v>75</v>
      </c>
      <c r="AV1495" t="s">
        <v>60</v>
      </c>
      <c r="AW1495">
        <v>0</v>
      </c>
      <c r="AX1495">
        <v>2</v>
      </c>
      <c r="AY1495">
        <v>0</v>
      </c>
      <c r="AZ1495">
        <v>0</v>
      </c>
      <c r="BA1495">
        <v>100</v>
      </c>
      <c r="BB1495">
        <v>100</v>
      </c>
      <c r="BC1495">
        <v>100</v>
      </c>
      <c r="BD1495">
        <v>100</v>
      </c>
      <c r="BE1495">
        <v>1</v>
      </c>
      <c r="BF1495">
        <v>15000</v>
      </c>
      <c r="BG1495">
        <v>1000</v>
      </c>
      <c r="BH1495" s="6">
        <f>Grandview_Inventory[[#This Row],[land_extract]]*Lookups!$B$3</f>
        <v>45695.532079096141</v>
      </c>
      <c r="BI1495" s="6">
        <f>IF(Grandview_Inventory[[#This Row],[bldg_style]]="",0,Lookups!$B$2)</f>
        <v>155833.95000000001</v>
      </c>
      <c r="BJ1495" s="6">
        <f>_xlfn.IFNA(VLOOKUP(Grandview_Inventory[[#This Row],[quality]],Lookups!$H$2:$J$14,3,FALSE),0)</f>
        <v>-28558</v>
      </c>
      <c r="BK1495" s="6">
        <f>_xlfn.IFNA(VLOOKUP(Grandview_Inventory[[#This Row],[condition]],Lookups!$H$17:$J$24,3,FALSE),0)</f>
        <v>-4503</v>
      </c>
      <c r="BL1495" s="6">
        <f>Grandview_Inventory[[#This Row],[Eff_Age]]*Lookups!$B$14</f>
        <v>-11479.996799999999</v>
      </c>
      <c r="BM1495" s="6">
        <f>Grandview_Inventory[[#This Row],[living_area]]*Lookups!$B$15</f>
        <v>60821.331675000001</v>
      </c>
      <c r="BN1495" s="6">
        <f>Grandview_Inventory[[#This Row],[Fin BSMT]]*Lookups!$B$16</f>
        <v>0</v>
      </c>
      <c r="BO1495" s="6">
        <f>(Grandview_Inventory[[#This Row],[att_gar]]+Grandview_Inventory[[#This Row],[bltin_gar]])*Lookups!$B$17</f>
        <v>0</v>
      </c>
      <c r="BP1495" s="6">
        <f>Grandview_Inventory[[#This Row],[Plumbing Fixtures]]*Lookups!$B$18</f>
        <v>10052.209000000001</v>
      </c>
      <c r="BQ1495" s="6">
        <f>Grandview_Inventory[[#This Row],[detatched_value]]*Lookups!$B$19</f>
        <v>0</v>
      </c>
      <c r="BR1495" s="6">
        <f>SUM(Grandview_Inventory[[#This Row],[Intercept]:[det_value]])*Grandview_Inventory[[#This Row],[res_pct]]</f>
        <v>182166.49387500001</v>
      </c>
      <c r="BS1495" s="6">
        <f>Grandview_Inventory[[#This Row],[land_value]]</f>
        <v>45695.532079096141</v>
      </c>
      <c r="BT1495" s="4">
        <f>_xlfn.IFNA(VLOOKUP(Grandview_Inventory[[#This Row],[quality]],Lookups!$A$26:$C$33,3,FALSE),1)</f>
        <v>0.9690360070159818</v>
      </c>
      <c r="BU1495" s="4">
        <f>_xlfn.IFNA(VLOOKUP(Grandview_Inventory[[#This Row],[condition]],Lookups!$A$37:$C$44,3,FALSE),1)</f>
        <v>0.96469275950863709</v>
      </c>
      <c r="BV1495" s="4">
        <f>IF(Grandview_Inventory[[#This Row],[bldg_style]]="",1,_xlfn.IFNA(VLOOKUP(Grandview_Inventory[[#This Row],[decade]],Lookups!$F$29:$H$43,3,FALSE),1))</f>
        <v>0.95268620544463312</v>
      </c>
      <c r="BW1495" s="4">
        <f>_xlfn.IFNA(VLOOKUP(Grandview_Inventory[[#This Row],[living_area_range]],Lookups!$F$47:$H$56,3,FALSE),1)</f>
        <v>0.94306777142782894</v>
      </c>
      <c r="BX1495" s="4">
        <f>AVERAGE(Grandview_Inventory[[#This Row],[qual_adj]:[size_adj]])</f>
        <v>0.95737068584927021</v>
      </c>
      <c r="BY1495" s="6">
        <f>IF(Grandview_Inventory[[#This Row],[pre_res]]&lt;0,0,Grandview_Inventory[[#This Row],[pre_res]]*Grandview_Inventory[[#This Row],[overall_adj]])</f>
        <v>174400.86117986563</v>
      </c>
      <c r="BZ1495" s="6">
        <f>(Grandview_Inventory[[#This Row],[sum_land]]-IF(Grandview_Inventory[[#This Row],[no_utilities]]=1,12000,0))/IF(Grandview_Inventory[[#This Row],[unbuildable]]=1,2,1)</f>
        <v>45695.532079096141</v>
      </c>
      <c r="CA149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495">
        <f>ROUND(Grandview_Inventory[[#This Row],[det_value]]*Lookups!$M$28,-2)</f>
        <v>0</v>
      </c>
      <c r="CC1495">
        <f>IF(ROUND(Grandview_Inventory[[#This Row],[adj_res]]*Lookups!$M$28,-2)&lt;Grandview_Inventory[[#This Row],[min_res]],Grandview_Inventory[[#This Row],[min_res]],ROUND(Grandview_Inventory[[#This Row],[adj_res]]*Lookups!$M$28,-2))</f>
        <v>165700</v>
      </c>
      <c r="CD1495">
        <f>Grandview_Inventory[[#This Row],[final_det]]+Grandview_Inventory[[#This Row],[final_res]]</f>
        <v>165700</v>
      </c>
      <c r="CE1495">
        <f>Grandview_Inventory[[#This Row],[final_land]]+Grandview_Inventory[[#This Row],[final_imp]]+Grandview_Inventory[[#This Row],[crop_value]]</f>
        <v>209100</v>
      </c>
      <c r="CG1495" t="str">
        <f t="shared" si="23"/>
        <v>update valuation set market_land =43400, market_bldg=165700, market_total =209100, market_mdno =401, market_date ='9/10/2023' where link_id = (select link_id from parcel where parcel_year = '2024' and parcel_id = '23092323504');</v>
      </c>
    </row>
    <row r="1496" spans="1:85" x14ac:dyDescent="0.25">
      <c r="A1496">
        <v>23092323505</v>
      </c>
      <c r="B1496">
        <v>0.15</v>
      </c>
      <c r="C1496">
        <v>6678</v>
      </c>
      <c r="D1496" t="s">
        <v>129</v>
      </c>
      <c r="E1496" t="s">
        <v>53</v>
      </c>
      <c r="F1496" t="s">
        <v>53</v>
      </c>
      <c r="G1496">
        <v>4</v>
      </c>
      <c r="H1496" t="s">
        <v>54</v>
      </c>
      <c r="I1496">
        <v>113700</v>
      </c>
      <c r="J1496">
        <v>39000</v>
      </c>
      <c r="K1496">
        <v>0.15</v>
      </c>
      <c r="L149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496">
        <v>0</v>
      </c>
      <c r="N1496">
        <v>0</v>
      </c>
      <c r="O1496">
        <v>0</v>
      </c>
      <c r="P1496">
        <v>13398.7528</v>
      </c>
      <c r="Q1496">
        <v>63903</v>
      </c>
      <c r="R1496">
        <f>(Grandview_Inventory[[#This Row],[ln_acres]]*Grandview_Inventory[[#This Row],[coeff]])+Grandview_Inventory[[#This Row],[const]]</f>
        <v>38483.958290574345</v>
      </c>
      <c r="S1496" t="s">
        <v>68</v>
      </c>
      <c r="T1496">
        <v>1</v>
      </c>
      <c r="U1496" t="s">
        <v>70</v>
      </c>
      <c r="V1496" t="s">
        <v>69</v>
      </c>
      <c r="W1496">
        <v>0</v>
      </c>
      <c r="X1496">
        <v>0</v>
      </c>
      <c r="Y1496">
        <v>53</v>
      </c>
      <c r="Z1496">
        <v>93</v>
      </c>
      <c r="AA1496">
        <v>100</v>
      </c>
      <c r="AB1496">
        <v>1000</v>
      </c>
      <c r="AC1496">
        <v>860</v>
      </c>
      <c r="AD1496">
        <v>860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72</v>
      </c>
      <c r="AO1496">
        <v>0</v>
      </c>
      <c r="AP1496">
        <v>5</v>
      </c>
      <c r="AQ1496">
        <v>0</v>
      </c>
      <c r="AR1496">
        <v>0</v>
      </c>
      <c r="AS1496" t="s">
        <v>58</v>
      </c>
      <c r="AT1496">
        <v>1</v>
      </c>
      <c r="AU1496" t="s">
        <v>75</v>
      </c>
      <c r="AV1496" t="s">
        <v>60</v>
      </c>
      <c r="AW1496">
        <v>0</v>
      </c>
      <c r="AX1496">
        <v>2</v>
      </c>
      <c r="AY1496">
        <v>0</v>
      </c>
      <c r="AZ1496">
        <v>0</v>
      </c>
      <c r="BA1496">
        <v>100</v>
      </c>
      <c r="BB1496">
        <v>100</v>
      </c>
      <c r="BC1496">
        <v>100</v>
      </c>
      <c r="BD1496">
        <v>100</v>
      </c>
      <c r="BE1496">
        <v>1</v>
      </c>
      <c r="BF1496">
        <v>15000</v>
      </c>
      <c r="BG1496">
        <v>1000</v>
      </c>
      <c r="BH1496" s="6">
        <f>Grandview_Inventory[[#This Row],[land_extract]]*Lookups!$B$3</f>
        <v>44691.316856156598</v>
      </c>
      <c r="BI1496" s="6">
        <f>IF(Grandview_Inventory[[#This Row],[bldg_style]]="",0,Lookups!$B$2)</f>
        <v>155833.95000000001</v>
      </c>
      <c r="BJ1496" s="6">
        <f>_xlfn.IFNA(VLOOKUP(Grandview_Inventory[[#This Row],[quality]],Lookups!$H$2:$J$14,3,FALSE),0)</f>
        <v>10733</v>
      </c>
      <c r="BK1496" s="6">
        <f>_xlfn.IFNA(VLOOKUP(Grandview_Inventory[[#This Row],[condition]],Lookups!$H$17:$J$24,3,FALSE),0)</f>
        <v>-4503</v>
      </c>
      <c r="BL1496" s="6">
        <f>Grandview_Inventory[[#This Row],[Eff_Age]]*Lookups!$B$14</f>
        <v>-12675.8298</v>
      </c>
      <c r="BM1496" s="6">
        <f>Grandview_Inventory[[#This Row],[living_area]]*Lookups!$B$15</f>
        <v>53647.533580000003</v>
      </c>
      <c r="BN1496" s="6">
        <f>Grandview_Inventory[[#This Row],[Fin BSMT]]*Lookups!$B$16</f>
        <v>0</v>
      </c>
      <c r="BO1496" s="6">
        <f>(Grandview_Inventory[[#This Row],[att_gar]]+Grandview_Inventory[[#This Row],[bltin_gar]])*Lookups!$B$17</f>
        <v>0</v>
      </c>
      <c r="BP1496" s="6">
        <f>Grandview_Inventory[[#This Row],[Plumbing Fixtures]]*Lookups!$B$18</f>
        <v>10052.209000000001</v>
      </c>
      <c r="BQ1496" s="6">
        <f>Grandview_Inventory[[#This Row],[detatched_value]]*Lookups!$B$19</f>
        <v>0</v>
      </c>
      <c r="BR1496" s="6">
        <f>SUM(Grandview_Inventory[[#This Row],[Intercept]:[det_value]])*Grandview_Inventory[[#This Row],[res_pct]]</f>
        <v>213087.86278</v>
      </c>
      <c r="BS1496" s="6">
        <f>Grandview_Inventory[[#This Row],[land_value]]</f>
        <v>44691.316856156598</v>
      </c>
      <c r="BT1496" s="4">
        <f>_xlfn.IFNA(VLOOKUP(Grandview_Inventory[[#This Row],[quality]],Lookups!$A$26:$C$33,3,FALSE),1)</f>
        <v>0.98079741117310582</v>
      </c>
      <c r="BU1496" s="4">
        <f>_xlfn.IFNA(VLOOKUP(Grandview_Inventory[[#This Row],[condition]],Lookups!$A$37:$C$44,3,FALSE),1)</f>
        <v>0.96469275950863709</v>
      </c>
      <c r="BV1496" s="4">
        <f>IF(Grandview_Inventory[[#This Row],[bldg_style]]="",1,_xlfn.IFNA(VLOOKUP(Grandview_Inventory[[#This Row],[decade]],Lookups!$F$29:$H$43,3,FALSE),1))</f>
        <v>0.95244691841736806</v>
      </c>
      <c r="BW1496" s="4">
        <f>_xlfn.IFNA(VLOOKUP(Grandview_Inventory[[#This Row],[living_area_range]],Lookups!$F$47:$H$56,3,FALSE),1)</f>
        <v>0.94306777142782894</v>
      </c>
      <c r="BX1496" s="4">
        <f>AVERAGE(Grandview_Inventory[[#This Row],[qual_adj]:[size_adj]])</f>
        <v>0.96025121513173495</v>
      </c>
      <c r="BY1496" s="6">
        <f>IF(Grandview_Inventory[[#This Row],[pre_res]]&lt;0,0,Grandview_Inventory[[#This Row],[pre_res]]*Grandview_Inventory[[#This Row],[overall_adj]])</f>
        <v>204617.8791643194</v>
      </c>
      <c r="BZ1496" s="6">
        <f>(Grandview_Inventory[[#This Row],[sum_land]]-IF(Grandview_Inventory[[#This Row],[no_utilities]]=1,12000,0))/IF(Grandview_Inventory[[#This Row],[unbuildable]]=1,2,1)</f>
        <v>44691.316856156598</v>
      </c>
      <c r="CA149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496">
        <f>ROUND(Grandview_Inventory[[#This Row],[det_value]]*Lookups!$M$28,-2)</f>
        <v>0</v>
      </c>
      <c r="CC1496">
        <f>IF(ROUND(Grandview_Inventory[[#This Row],[adj_res]]*Lookups!$M$28,-2)&lt;Grandview_Inventory[[#This Row],[min_res]],Grandview_Inventory[[#This Row],[min_res]],ROUND(Grandview_Inventory[[#This Row],[adj_res]]*Lookups!$M$28,-2))</f>
        <v>194400</v>
      </c>
      <c r="CD1496">
        <f>Grandview_Inventory[[#This Row],[final_det]]+Grandview_Inventory[[#This Row],[final_res]]</f>
        <v>194400</v>
      </c>
      <c r="CE1496">
        <f>Grandview_Inventory[[#This Row],[final_land]]+Grandview_Inventory[[#This Row],[final_imp]]+Grandview_Inventory[[#This Row],[crop_value]]</f>
        <v>236900</v>
      </c>
      <c r="CG1496" t="str">
        <f t="shared" si="23"/>
        <v>update valuation set market_land =42500, market_bldg=194400, market_total =236900, market_mdno =401, market_date ='9/10/2023' where link_id = (select link_id from parcel where parcel_year = '2024' and parcel_id = '23092323505');</v>
      </c>
    </row>
    <row r="1497" spans="1:85" x14ac:dyDescent="0.25">
      <c r="A1497">
        <v>23092323506</v>
      </c>
      <c r="B1497">
        <v>0.18</v>
      </c>
      <c r="C1497">
        <v>7657</v>
      </c>
      <c r="D1497" t="s">
        <v>129</v>
      </c>
      <c r="E1497" t="s">
        <v>53</v>
      </c>
      <c r="F1497" t="s">
        <v>53</v>
      </c>
      <c r="G1497">
        <v>4</v>
      </c>
      <c r="H1497" t="s">
        <v>54</v>
      </c>
      <c r="I1497">
        <v>93200</v>
      </c>
      <c r="J1497">
        <v>39300</v>
      </c>
      <c r="K1497">
        <v>0.18</v>
      </c>
      <c r="L149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497">
        <v>0</v>
      </c>
      <c r="N1497">
        <v>0</v>
      </c>
      <c r="O1497">
        <v>0</v>
      </c>
      <c r="P1497">
        <v>13398.7528</v>
      </c>
      <c r="Q1497">
        <v>63903</v>
      </c>
      <c r="R1497">
        <f>(Grandview_Inventory[[#This Row],[ln_acres]]*Grandview_Inventory[[#This Row],[coeff]])+Grandview_Inventory[[#This Row],[const]]</f>
        <v>40926.839760167699</v>
      </c>
      <c r="S1497" t="s">
        <v>68</v>
      </c>
      <c r="T1497">
        <v>1</v>
      </c>
      <c r="U1497" t="s">
        <v>80</v>
      </c>
      <c r="V1497" t="s">
        <v>69</v>
      </c>
      <c r="W1497">
        <v>0</v>
      </c>
      <c r="X1497">
        <v>0</v>
      </c>
      <c r="Y1497">
        <v>52</v>
      </c>
      <c r="Z1497">
        <v>88</v>
      </c>
      <c r="AA1497">
        <v>90</v>
      </c>
      <c r="AB1497">
        <v>1000</v>
      </c>
      <c r="AC1497">
        <v>864</v>
      </c>
      <c r="AD1497">
        <v>864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128</v>
      </c>
      <c r="AN1497">
        <v>0</v>
      </c>
      <c r="AO1497">
        <v>0</v>
      </c>
      <c r="AP1497">
        <v>5</v>
      </c>
      <c r="AQ1497">
        <v>0</v>
      </c>
      <c r="AR1497">
        <v>0</v>
      </c>
      <c r="AS1497" t="s">
        <v>71</v>
      </c>
      <c r="AT1497">
        <v>1</v>
      </c>
      <c r="AU1497" t="s">
        <v>63</v>
      </c>
      <c r="AV1497" t="s">
        <v>81</v>
      </c>
      <c r="AW1497">
        <v>0</v>
      </c>
      <c r="AX1497">
        <v>2</v>
      </c>
      <c r="AY1497">
        <v>0</v>
      </c>
      <c r="AZ1497">
        <v>0</v>
      </c>
      <c r="BA1497">
        <v>100</v>
      </c>
      <c r="BB1497">
        <v>100</v>
      </c>
      <c r="BC1497">
        <v>100</v>
      </c>
      <c r="BD1497">
        <v>100</v>
      </c>
      <c r="BE1497">
        <v>1</v>
      </c>
      <c r="BF1497">
        <v>15000</v>
      </c>
      <c r="BG1497">
        <v>1000</v>
      </c>
      <c r="BH1497" s="6">
        <f>Grandview_Inventory[[#This Row],[land_extract]]*Lookups!$B$3</f>
        <v>47528.228511015397</v>
      </c>
      <c r="BI1497" s="6">
        <f>IF(Grandview_Inventory[[#This Row],[bldg_style]]="",0,Lookups!$B$2)</f>
        <v>155833.95000000001</v>
      </c>
      <c r="BJ1497" s="6">
        <f>_xlfn.IFNA(VLOOKUP(Grandview_Inventory[[#This Row],[quality]],Lookups!$H$2:$J$14,3,FALSE),0)</f>
        <v>-28558</v>
      </c>
      <c r="BK1497" s="6">
        <f>_xlfn.IFNA(VLOOKUP(Grandview_Inventory[[#This Row],[condition]],Lookups!$H$17:$J$24,3,FALSE),0)</f>
        <v>-4503</v>
      </c>
      <c r="BL1497" s="6">
        <f>Grandview_Inventory[[#This Row],[Eff_Age]]*Lookups!$B$14</f>
        <v>-12436.663199999999</v>
      </c>
      <c r="BM1497" s="6">
        <f>Grandview_Inventory[[#This Row],[living_area]]*Lookups!$B$15</f>
        <v>53897.056991999998</v>
      </c>
      <c r="BN1497" s="6">
        <f>Grandview_Inventory[[#This Row],[Fin BSMT]]*Lookups!$B$16</f>
        <v>0</v>
      </c>
      <c r="BO1497" s="6">
        <f>(Grandview_Inventory[[#This Row],[att_gar]]+Grandview_Inventory[[#This Row],[bltin_gar]])*Lookups!$B$17</f>
        <v>0</v>
      </c>
      <c r="BP1497" s="6">
        <f>Grandview_Inventory[[#This Row],[Plumbing Fixtures]]*Lookups!$B$18</f>
        <v>10052.209000000001</v>
      </c>
      <c r="BQ1497" s="6">
        <f>Grandview_Inventory[[#This Row],[detatched_value]]*Lookups!$B$19</f>
        <v>0</v>
      </c>
      <c r="BR1497" s="6">
        <f>SUM(Grandview_Inventory[[#This Row],[Intercept]:[det_value]])*Grandview_Inventory[[#This Row],[res_pct]]</f>
        <v>174285.55279200003</v>
      </c>
      <c r="BS1497" s="6">
        <f>Grandview_Inventory[[#This Row],[land_value]]</f>
        <v>47528.228511015397</v>
      </c>
      <c r="BT1497" s="4">
        <f>_xlfn.IFNA(VLOOKUP(Grandview_Inventory[[#This Row],[quality]],Lookups!$A$26:$C$33,3,FALSE),1)</f>
        <v>0.9690360070159818</v>
      </c>
      <c r="BU1497" s="4">
        <f>_xlfn.IFNA(VLOOKUP(Grandview_Inventory[[#This Row],[condition]],Lookups!$A$37:$C$44,3,FALSE),1)</f>
        <v>0.96469275950863709</v>
      </c>
      <c r="BV1497" s="4">
        <f>IF(Grandview_Inventory[[#This Row],[bldg_style]]="",1,_xlfn.IFNA(VLOOKUP(Grandview_Inventory[[#This Row],[decade]],Lookups!$F$29:$H$43,3,FALSE),1))</f>
        <v>0.94161750052457416</v>
      </c>
      <c r="BW1497" s="4">
        <f>_xlfn.IFNA(VLOOKUP(Grandview_Inventory[[#This Row],[living_area_range]],Lookups!$F$47:$H$56,3,FALSE),1)</f>
        <v>0.94306777142782894</v>
      </c>
      <c r="BX1497" s="4">
        <f>AVERAGE(Grandview_Inventory[[#This Row],[qual_adj]:[size_adj]])</f>
        <v>0.95460350961925544</v>
      </c>
      <c r="BY1497" s="6">
        <f>IF(Grandview_Inventory[[#This Row],[pre_res]]&lt;0,0,Grandview_Inventory[[#This Row],[pre_res]]*Grandview_Inventory[[#This Row],[overall_adj]])</f>
        <v>166373.60037117524</v>
      </c>
      <c r="BZ1497" s="6">
        <f>(Grandview_Inventory[[#This Row],[sum_land]]-IF(Grandview_Inventory[[#This Row],[no_utilities]]=1,12000,0))/IF(Grandview_Inventory[[#This Row],[unbuildable]]=1,2,1)</f>
        <v>47528.228511015397</v>
      </c>
      <c r="CA149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497">
        <f>ROUND(Grandview_Inventory[[#This Row],[det_value]]*Lookups!$M$28,-2)</f>
        <v>0</v>
      </c>
      <c r="CC1497">
        <f>IF(ROUND(Grandview_Inventory[[#This Row],[adj_res]]*Lookups!$M$28,-2)&lt;Grandview_Inventory[[#This Row],[min_res]],Grandview_Inventory[[#This Row],[min_res]],ROUND(Grandview_Inventory[[#This Row],[adj_res]]*Lookups!$M$28,-2))</f>
        <v>158100</v>
      </c>
      <c r="CD1497">
        <f>Grandview_Inventory[[#This Row],[final_det]]+Grandview_Inventory[[#This Row],[final_res]]</f>
        <v>158100</v>
      </c>
      <c r="CE1497">
        <f>Grandview_Inventory[[#This Row],[final_land]]+Grandview_Inventory[[#This Row],[final_imp]]+Grandview_Inventory[[#This Row],[crop_value]]</f>
        <v>203300</v>
      </c>
      <c r="CG1497" t="str">
        <f t="shared" si="23"/>
        <v>update valuation set market_land =45200, market_bldg=158100, market_total =203300, market_mdno =401, market_date ='9/10/2023' where link_id = (select link_id from parcel where parcel_year = '2024' and parcel_id = '23092323506');</v>
      </c>
    </row>
    <row r="1498" spans="1:85" x14ac:dyDescent="0.25">
      <c r="A1498">
        <v>23092323507</v>
      </c>
      <c r="B1498">
        <v>0.17</v>
      </c>
      <c r="C1498">
        <v>7522</v>
      </c>
      <c r="D1498" t="s">
        <v>129</v>
      </c>
      <c r="E1498" t="s">
        <v>53</v>
      </c>
      <c r="F1498" t="s">
        <v>53</v>
      </c>
      <c r="G1498">
        <v>4</v>
      </c>
      <c r="H1498" t="s">
        <v>54</v>
      </c>
      <c r="I1498">
        <v>119700</v>
      </c>
      <c r="J1498">
        <v>39300</v>
      </c>
      <c r="K1498">
        <v>0.17</v>
      </c>
      <c r="L149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498">
        <v>0</v>
      </c>
      <c r="N1498">
        <v>0</v>
      </c>
      <c r="O1498">
        <v>0</v>
      </c>
      <c r="P1498">
        <v>13398.7528</v>
      </c>
      <c r="Q1498">
        <v>63903</v>
      </c>
      <c r="R1498">
        <f>(Grandview_Inventory[[#This Row],[ln_acres]]*Grandview_Inventory[[#This Row],[coeff]])+Grandview_Inventory[[#This Row],[const]]</f>
        <v>40160.988302686128</v>
      </c>
      <c r="S1498" t="s">
        <v>85</v>
      </c>
      <c r="T1498">
        <v>1</v>
      </c>
      <c r="U1498" t="s">
        <v>70</v>
      </c>
      <c r="V1498" t="s">
        <v>69</v>
      </c>
      <c r="W1498">
        <v>0</v>
      </c>
      <c r="X1498">
        <v>0</v>
      </c>
      <c r="Y1498">
        <v>65</v>
      </c>
      <c r="Z1498">
        <v>113</v>
      </c>
      <c r="AA1498">
        <v>120</v>
      </c>
      <c r="AB1498">
        <v>1500</v>
      </c>
      <c r="AC1498">
        <v>1031</v>
      </c>
      <c r="AD1498">
        <v>915</v>
      </c>
      <c r="AE1498">
        <v>0</v>
      </c>
      <c r="AF1498">
        <v>0</v>
      </c>
      <c r="AG1498">
        <v>116</v>
      </c>
      <c r="AH1498">
        <v>235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143</v>
      </c>
      <c r="AO1498">
        <v>0</v>
      </c>
      <c r="AP1498">
        <v>5</v>
      </c>
      <c r="AQ1498">
        <v>0</v>
      </c>
      <c r="AR1498">
        <v>0</v>
      </c>
      <c r="AS1498" t="s">
        <v>58</v>
      </c>
      <c r="AT1498">
        <v>1</v>
      </c>
      <c r="AU1498" t="s">
        <v>75</v>
      </c>
      <c r="AV1498" t="s">
        <v>60</v>
      </c>
      <c r="AW1498">
        <v>0</v>
      </c>
      <c r="AX1498">
        <v>2</v>
      </c>
      <c r="AY1498">
        <v>0</v>
      </c>
      <c r="AZ1498">
        <v>4000</v>
      </c>
      <c r="BA1498">
        <v>100</v>
      </c>
      <c r="BB1498">
        <v>100</v>
      </c>
      <c r="BC1498">
        <v>100</v>
      </c>
      <c r="BD1498">
        <v>100</v>
      </c>
      <c r="BE1498">
        <v>1</v>
      </c>
      <c r="BF1498">
        <v>15000</v>
      </c>
      <c r="BG1498">
        <v>1000</v>
      </c>
      <c r="BH1498" s="6">
        <f>Grandview_Inventory[[#This Row],[land_extract]]*Lookups!$B$3</f>
        <v>46638.847281240982</v>
      </c>
      <c r="BI1498" s="6">
        <f>IF(Grandview_Inventory[[#This Row],[bldg_style]]="",0,Lookups!$B$2)</f>
        <v>155833.95000000001</v>
      </c>
      <c r="BJ1498" s="6">
        <f>_xlfn.IFNA(VLOOKUP(Grandview_Inventory[[#This Row],[quality]],Lookups!$H$2:$J$14,3,FALSE),0)</f>
        <v>10733</v>
      </c>
      <c r="BK1498" s="6">
        <f>_xlfn.IFNA(VLOOKUP(Grandview_Inventory[[#This Row],[condition]],Lookups!$H$17:$J$24,3,FALSE),0)</f>
        <v>-4503</v>
      </c>
      <c r="BL1498" s="6">
        <f>Grandview_Inventory[[#This Row],[Eff_Age]]*Lookups!$B$14</f>
        <v>-15545.829</v>
      </c>
      <c r="BM1498" s="6">
        <f>Grandview_Inventory[[#This Row],[living_area]]*Lookups!$B$15</f>
        <v>64314.659443000004</v>
      </c>
      <c r="BN1498" s="6">
        <f>Grandview_Inventory[[#This Row],[Fin BSMT]]*Lookups!$B$16</f>
        <v>-3143.5118400000001</v>
      </c>
      <c r="BO1498" s="6">
        <f>(Grandview_Inventory[[#This Row],[att_gar]]+Grandview_Inventory[[#This Row],[bltin_gar]])*Lookups!$B$17</f>
        <v>0</v>
      </c>
      <c r="BP1498" s="6">
        <f>Grandview_Inventory[[#This Row],[Plumbing Fixtures]]*Lookups!$B$18</f>
        <v>10052.209000000001</v>
      </c>
      <c r="BQ1498" s="6">
        <f>Grandview_Inventory[[#This Row],[detatched_value]]*Lookups!$B$19</f>
        <v>3387.2203999999997</v>
      </c>
      <c r="BR1498" s="6">
        <f>SUM(Grandview_Inventory[[#This Row],[Intercept]:[det_value]])*Grandview_Inventory[[#This Row],[res_pct]]</f>
        <v>221128.69800300003</v>
      </c>
      <c r="BS1498" s="6">
        <f>Grandview_Inventory[[#This Row],[land_value]]</f>
        <v>46638.847281240982</v>
      </c>
      <c r="BT1498" s="4">
        <f>_xlfn.IFNA(VLOOKUP(Grandview_Inventory[[#This Row],[quality]],Lookups!$A$26:$C$33,3,FALSE),1)</f>
        <v>0.98079741117310582</v>
      </c>
      <c r="BU1498" s="4">
        <f>_xlfn.IFNA(VLOOKUP(Grandview_Inventory[[#This Row],[condition]],Lookups!$A$37:$C$44,3,FALSE),1)</f>
        <v>0.96469275950863709</v>
      </c>
      <c r="BV1498" s="4">
        <f>IF(Grandview_Inventory[[#This Row],[bldg_style]]="",1,_xlfn.IFNA(VLOOKUP(Grandview_Inventory[[#This Row],[decade]],Lookups!$F$29:$H$43,3,FALSE),1))</f>
        <v>0.9251738460551937</v>
      </c>
      <c r="BW1498" s="4">
        <f>_xlfn.IFNA(VLOOKUP(Grandview_Inventory[[#This Row],[living_area_range]],Lookups!$F$47:$H$56,3,FALSE),1)</f>
        <v>0.96135087979789358</v>
      </c>
      <c r="BX1498" s="4">
        <f>AVERAGE(Grandview_Inventory[[#This Row],[qual_adj]:[size_adj]])</f>
        <v>0.9580037241337076</v>
      </c>
      <c r="BY1498" s="6">
        <f>IF(Grandview_Inventory[[#This Row],[pre_res]]&lt;0,0,Grandview_Inventory[[#This Row],[pre_res]]*Grandview_Inventory[[#This Row],[overall_adj]])</f>
        <v>211842.11619971198</v>
      </c>
      <c r="BZ1498" s="6">
        <f>(Grandview_Inventory[[#This Row],[sum_land]]-IF(Grandview_Inventory[[#This Row],[no_utilities]]=1,12000,0))/IF(Grandview_Inventory[[#This Row],[unbuildable]]=1,2,1)</f>
        <v>46638.847281240982</v>
      </c>
      <c r="CA149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498">
        <f>ROUND(Grandview_Inventory[[#This Row],[det_value]]*Lookups!$M$28,-2)</f>
        <v>3200</v>
      </c>
      <c r="CC1498">
        <f>IF(ROUND(Grandview_Inventory[[#This Row],[adj_res]]*Lookups!$M$28,-2)&lt;Grandview_Inventory[[#This Row],[min_res]],Grandview_Inventory[[#This Row],[min_res]],ROUND(Grandview_Inventory[[#This Row],[adj_res]]*Lookups!$M$28,-2))</f>
        <v>201300</v>
      </c>
      <c r="CD1498">
        <f>Grandview_Inventory[[#This Row],[final_det]]+Grandview_Inventory[[#This Row],[final_res]]</f>
        <v>204500</v>
      </c>
      <c r="CE1498">
        <f>Grandview_Inventory[[#This Row],[final_land]]+Grandview_Inventory[[#This Row],[final_imp]]+Grandview_Inventory[[#This Row],[crop_value]]</f>
        <v>248800</v>
      </c>
      <c r="CG1498" t="str">
        <f t="shared" si="23"/>
        <v>update valuation set market_land =44300, market_bldg=204500, market_total =248800, market_mdno =401, market_date ='9/10/2023' where link_id = (select link_id from parcel where parcel_year = '2024' and parcel_id = '23092323507');</v>
      </c>
    </row>
    <row r="1499" spans="1:85" x14ac:dyDescent="0.25">
      <c r="A1499">
        <v>23092323508</v>
      </c>
      <c r="B1499">
        <v>0.2</v>
      </c>
      <c r="C1499">
        <v>8551</v>
      </c>
      <c r="D1499" t="s">
        <v>129</v>
      </c>
      <c r="E1499" t="s">
        <v>53</v>
      </c>
      <c r="F1499" t="s">
        <v>53</v>
      </c>
      <c r="G1499">
        <v>4</v>
      </c>
      <c r="H1499" t="s">
        <v>54</v>
      </c>
      <c r="I1499">
        <v>182700</v>
      </c>
      <c r="J1499">
        <v>39700</v>
      </c>
      <c r="K1499">
        <v>0.2</v>
      </c>
      <c r="L149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499">
        <v>0</v>
      </c>
      <c r="N1499">
        <v>0</v>
      </c>
      <c r="O1499">
        <v>0</v>
      </c>
      <c r="P1499">
        <v>13398.7528</v>
      </c>
      <c r="Q1499">
        <v>63903</v>
      </c>
      <c r="R1499">
        <f>(Grandview_Inventory[[#This Row],[ln_acres]]*Grandview_Inventory[[#This Row],[coeff]])+Grandview_Inventory[[#This Row],[const]]</f>
        <v>42338.539264347448</v>
      </c>
      <c r="S1499" t="s">
        <v>68</v>
      </c>
      <c r="T1499">
        <v>1</v>
      </c>
      <c r="U1499" t="s">
        <v>70</v>
      </c>
      <c r="V1499" t="s">
        <v>67</v>
      </c>
      <c r="W1499">
        <v>0</v>
      </c>
      <c r="X1499">
        <v>0</v>
      </c>
      <c r="Y1499">
        <v>55</v>
      </c>
      <c r="Z1499">
        <v>98</v>
      </c>
      <c r="AA1499">
        <v>100</v>
      </c>
      <c r="AB1499">
        <v>1500</v>
      </c>
      <c r="AC1499">
        <v>1152</v>
      </c>
      <c r="AD1499">
        <v>1152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5</v>
      </c>
      <c r="AQ1499">
        <v>0</v>
      </c>
      <c r="AR1499">
        <v>0</v>
      </c>
      <c r="AS1499" t="s">
        <v>71</v>
      </c>
      <c r="AT1499">
        <v>1</v>
      </c>
      <c r="AU1499" t="s">
        <v>63</v>
      </c>
      <c r="AV1499" t="s">
        <v>60</v>
      </c>
      <c r="AW1499">
        <v>1</v>
      </c>
      <c r="AX1499">
        <v>3</v>
      </c>
      <c r="AY1499">
        <v>0</v>
      </c>
      <c r="AZ1499">
        <v>0</v>
      </c>
      <c r="BA1499">
        <v>100</v>
      </c>
      <c r="BB1499">
        <v>100</v>
      </c>
      <c r="BC1499">
        <v>100</v>
      </c>
      <c r="BD1499">
        <v>100</v>
      </c>
      <c r="BE1499">
        <v>1</v>
      </c>
      <c r="BF1499">
        <v>15000</v>
      </c>
      <c r="BG1499">
        <v>1000</v>
      </c>
      <c r="BH1499" s="6">
        <f>Grandview_Inventory[[#This Row],[land_extract]]*Lookups!$B$3</f>
        <v>49167.631333630678</v>
      </c>
      <c r="BI1499" s="6">
        <f>IF(Grandview_Inventory[[#This Row],[bldg_style]]="",0,Lookups!$B$2)</f>
        <v>155833.95000000001</v>
      </c>
      <c r="BJ1499" s="6">
        <f>_xlfn.IFNA(VLOOKUP(Grandview_Inventory[[#This Row],[quality]],Lookups!$H$2:$J$14,3,FALSE),0)</f>
        <v>10733</v>
      </c>
      <c r="BK1499" s="6">
        <f>_xlfn.IFNA(VLOOKUP(Grandview_Inventory[[#This Row],[condition]],Lookups!$H$17:$J$24,3,FALSE),0)</f>
        <v>22342</v>
      </c>
      <c r="BL1499" s="6">
        <f>Grandview_Inventory[[#This Row],[Eff_Age]]*Lookups!$B$14</f>
        <v>-13154.162999999999</v>
      </c>
      <c r="BM1499" s="6">
        <f>Grandview_Inventory[[#This Row],[living_area]]*Lookups!$B$15</f>
        <v>71862.742656000002</v>
      </c>
      <c r="BN1499" s="6">
        <f>Grandview_Inventory[[#This Row],[Fin BSMT]]*Lookups!$B$16</f>
        <v>0</v>
      </c>
      <c r="BO1499" s="6">
        <f>(Grandview_Inventory[[#This Row],[att_gar]]+Grandview_Inventory[[#This Row],[bltin_gar]])*Lookups!$B$17</f>
        <v>0</v>
      </c>
      <c r="BP1499" s="6">
        <f>Grandview_Inventory[[#This Row],[Plumbing Fixtures]]*Lookups!$B$18</f>
        <v>10052.209000000001</v>
      </c>
      <c r="BQ1499" s="6">
        <f>Grandview_Inventory[[#This Row],[detatched_value]]*Lookups!$B$19</f>
        <v>0</v>
      </c>
      <c r="BR1499" s="6">
        <f>SUM(Grandview_Inventory[[#This Row],[Intercept]:[det_value]])*Grandview_Inventory[[#This Row],[res_pct]]</f>
        <v>257669.73865600003</v>
      </c>
      <c r="BS1499" s="6">
        <f>Grandview_Inventory[[#This Row],[land_value]]</f>
        <v>49167.631333630678</v>
      </c>
      <c r="BT1499" s="4">
        <f>_xlfn.IFNA(VLOOKUP(Grandview_Inventory[[#This Row],[quality]],Lookups!$A$26:$C$33,3,FALSE),1)</f>
        <v>0.98079741117310582</v>
      </c>
      <c r="BU1499" s="4">
        <f>_xlfn.IFNA(VLOOKUP(Grandview_Inventory[[#This Row],[condition]],Lookups!$A$37:$C$44,3,FALSE),1)</f>
        <v>0.97383723671140243</v>
      </c>
      <c r="BV1499" s="4">
        <f>IF(Grandview_Inventory[[#This Row],[bldg_style]]="",1,_xlfn.IFNA(VLOOKUP(Grandview_Inventory[[#This Row],[decade]],Lookups!$F$29:$H$43,3,FALSE),1))</f>
        <v>0.95244691841736806</v>
      </c>
      <c r="BW1499" s="4">
        <f>_xlfn.IFNA(VLOOKUP(Grandview_Inventory[[#This Row],[living_area_range]],Lookups!$F$47:$H$56,3,FALSE),1)</f>
        <v>0.96135087979789358</v>
      </c>
      <c r="BX1499" s="4">
        <f>AVERAGE(Grandview_Inventory[[#This Row],[qual_adj]:[size_adj]])</f>
        <v>0.96710811152494247</v>
      </c>
      <c r="BY1499" s="6">
        <f>IF(Grandview_Inventory[[#This Row],[pre_res]]&lt;0,0,Grandview_Inventory[[#This Row],[pre_res]]*Grandview_Inventory[[#This Row],[overall_adj]])</f>
        <v>249194.49434872967</v>
      </c>
      <c r="BZ1499" s="6">
        <f>(Grandview_Inventory[[#This Row],[sum_land]]-IF(Grandview_Inventory[[#This Row],[no_utilities]]=1,12000,0))/IF(Grandview_Inventory[[#This Row],[unbuildable]]=1,2,1)</f>
        <v>49167.631333630678</v>
      </c>
      <c r="CA149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499">
        <f>ROUND(Grandview_Inventory[[#This Row],[det_value]]*Lookups!$M$28,-2)</f>
        <v>0</v>
      </c>
      <c r="CC1499">
        <f>IF(ROUND(Grandview_Inventory[[#This Row],[adj_res]]*Lookups!$M$28,-2)&lt;Grandview_Inventory[[#This Row],[min_res]],Grandview_Inventory[[#This Row],[min_res]],ROUND(Grandview_Inventory[[#This Row],[adj_res]]*Lookups!$M$28,-2))</f>
        <v>236700</v>
      </c>
      <c r="CD1499">
        <f>Grandview_Inventory[[#This Row],[final_det]]+Grandview_Inventory[[#This Row],[final_res]]</f>
        <v>236700</v>
      </c>
      <c r="CE1499">
        <f>Grandview_Inventory[[#This Row],[final_land]]+Grandview_Inventory[[#This Row],[final_imp]]+Grandview_Inventory[[#This Row],[crop_value]]</f>
        <v>283400</v>
      </c>
      <c r="CG1499" t="str">
        <f t="shared" si="23"/>
        <v>update valuation set market_land =46700, market_bldg=236700, market_total =283400, market_mdno =401, market_date ='9/10/2023' where link_id = (select link_id from parcel where parcel_year = '2024' and parcel_id = '23092323508');</v>
      </c>
    </row>
    <row r="1500" spans="1:85" x14ac:dyDescent="0.25">
      <c r="A1500">
        <v>23092323509</v>
      </c>
      <c r="B1500">
        <v>0.19</v>
      </c>
      <c r="C1500">
        <v>8333</v>
      </c>
      <c r="D1500" t="s">
        <v>129</v>
      </c>
      <c r="E1500" t="s">
        <v>53</v>
      </c>
      <c r="F1500" t="s">
        <v>53</v>
      </c>
      <c r="G1500">
        <v>4</v>
      </c>
      <c r="H1500" t="s">
        <v>54</v>
      </c>
      <c r="I1500">
        <v>139700</v>
      </c>
      <c r="J1500">
        <v>39700</v>
      </c>
      <c r="K1500">
        <v>0.19</v>
      </c>
      <c r="L15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00">
        <v>0</v>
      </c>
      <c r="N1500">
        <v>0</v>
      </c>
      <c r="O1500">
        <v>0</v>
      </c>
      <c r="P1500">
        <v>13398.7528</v>
      </c>
      <c r="Q1500">
        <v>63903</v>
      </c>
      <c r="R1500">
        <f>(Grandview_Inventory[[#This Row],[ln_acres]]*Grandview_Inventory[[#This Row],[coeff]])+Grandview_Inventory[[#This Row],[const]]</f>
        <v>41651.273092551026</v>
      </c>
      <c r="S1500" t="s">
        <v>85</v>
      </c>
      <c r="T1500">
        <v>1</v>
      </c>
      <c r="U1500" t="s">
        <v>65</v>
      </c>
      <c r="V1500" t="s">
        <v>67</v>
      </c>
      <c r="W1500">
        <v>0</v>
      </c>
      <c r="X1500">
        <v>0</v>
      </c>
      <c r="Y1500">
        <v>65</v>
      </c>
      <c r="Z1500">
        <v>113</v>
      </c>
      <c r="AA1500">
        <v>120</v>
      </c>
      <c r="AB1500">
        <v>1500</v>
      </c>
      <c r="AC1500">
        <v>1106</v>
      </c>
      <c r="AD1500">
        <v>1106</v>
      </c>
      <c r="AE1500">
        <v>0</v>
      </c>
      <c r="AF1500">
        <v>0</v>
      </c>
      <c r="AG1500">
        <v>0</v>
      </c>
      <c r="AH1500">
        <v>184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189</v>
      </c>
      <c r="AO1500">
        <v>0</v>
      </c>
      <c r="AP1500">
        <v>5</v>
      </c>
      <c r="AQ1500">
        <v>0</v>
      </c>
      <c r="AR1500">
        <v>0</v>
      </c>
      <c r="AS1500" t="s">
        <v>58</v>
      </c>
      <c r="AT1500">
        <v>1</v>
      </c>
      <c r="AU1500" t="s">
        <v>63</v>
      </c>
      <c r="AV1500" t="s">
        <v>64</v>
      </c>
      <c r="AW1500">
        <v>0</v>
      </c>
      <c r="AX1500">
        <v>3</v>
      </c>
      <c r="AY1500">
        <v>0</v>
      </c>
      <c r="AZ1500">
        <v>0</v>
      </c>
      <c r="BA1500">
        <v>100</v>
      </c>
      <c r="BB1500">
        <v>100</v>
      </c>
      <c r="BC1500">
        <v>100</v>
      </c>
      <c r="BD1500">
        <v>100</v>
      </c>
      <c r="BE1500">
        <v>1</v>
      </c>
      <c r="BF1500">
        <v>15000</v>
      </c>
      <c r="BG1500">
        <v>1000</v>
      </c>
      <c r="BH1500" s="6">
        <f>Grandview_Inventory[[#This Row],[land_extract]]*Lookups!$B$3</f>
        <v>48369.510983942157</v>
      </c>
      <c r="BI1500" s="6">
        <f>IF(Grandview_Inventory[[#This Row],[bldg_style]]="",0,Lookups!$B$2)</f>
        <v>155833.95000000001</v>
      </c>
      <c r="BJ1500" s="6">
        <f>_xlfn.IFNA(VLOOKUP(Grandview_Inventory[[#This Row],[quality]],Lookups!$H$2:$J$14,3,FALSE),0)</f>
        <v>2251</v>
      </c>
      <c r="BK1500" s="6">
        <f>_xlfn.IFNA(VLOOKUP(Grandview_Inventory[[#This Row],[condition]],Lookups!$H$17:$J$24,3,FALSE),0)</f>
        <v>22342</v>
      </c>
      <c r="BL1500" s="6">
        <f>Grandview_Inventory[[#This Row],[Eff_Age]]*Lookups!$B$14</f>
        <v>-15545.829</v>
      </c>
      <c r="BM1500" s="6">
        <f>Grandview_Inventory[[#This Row],[living_area]]*Lookups!$B$15</f>
        <v>68993.223418000009</v>
      </c>
      <c r="BN1500" s="6">
        <f>Grandview_Inventory[[#This Row],[Fin BSMT]]*Lookups!$B$16</f>
        <v>0</v>
      </c>
      <c r="BO1500" s="6">
        <f>(Grandview_Inventory[[#This Row],[att_gar]]+Grandview_Inventory[[#This Row],[bltin_gar]])*Lookups!$B$17</f>
        <v>0</v>
      </c>
      <c r="BP1500" s="6">
        <f>Grandview_Inventory[[#This Row],[Plumbing Fixtures]]*Lookups!$B$18</f>
        <v>10052.209000000001</v>
      </c>
      <c r="BQ1500" s="6">
        <f>Grandview_Inventory[[#This Row],[detatched_value]]*Lookups!$B$19</f>
        <v>0</v>
      </c>
      <c r="BR1500" s="6">
        <f>SUM(Grandview_Inventory[[#This Row],[Intercept]:[det_value]])*Grandview_Inventory[[#This Row],[res_pct]]</f>
        <v>243926.55341800002</v>
      </c>
      <c r="BS1500" s="6">
        <f>Grandview_Inventory[[#This Row],[land_value]]</f>
        <v>48369.510983942157</v>
      </c>
      <c r="BT1500" s="4">
        <f>_xlfn.IFNA(VLOOKUP(Grandview_Inventory[[#This Row],[quality]],Lookups!$A$26:$C$33,3,FALSE),1)</f>
        <v>0.98763855981004833</v>
      </c>
      <c r="BU1500" s="4">
        <f>_xlfn.IFNA(VLOOKUP(Grandview_Inventory[[#This Row],[condition]],Lookups!$A$37:$C$44,3,FALSE),1)</f>
        <v>0.97383723671140243</v>
      </c>
      <c r="BV1500" s="4">
        <f>IF(Grandview_Inventory[[#This Row],[bldg_style]]="",1,_xlfn.IFNA(VLOOKUP(Grandview_Inventory[[#This Row],[decade]],Lookups!$F$29:$H$43,3,FALSE),1))</f>
        <v>0.9251738460551937</v>
      </c>
      <c r="BW1500" s="4">
        <f>_xlfn.IFNA(VLOOKUP(Grandview_Inventory[[#This Row],[living_area_range]],Lookups!$F$47:$H$56,3,FALSE),1)</f>
        <v>0.96135087979789358</v>
      </c>
      <c r="BX1500" s="4">
        <f>AVERAGE(Grandview_Inventory[[#This Row],[qual_adj]:[size_adj]])</f>
        <v>0.96200013059363454</v>
      </c>
      <c r="BY1500" s="6">
        <f>IF(Grandview_Inventory[[#This Row],[pre_res]]&lt;0,0,Grandview_Inventory[[#This Row],[pre_res]]*Grandview_Inventory[[#This Row],[overall_adj]])</f>
        <v>234657.3762433712</v>
      </c>
      <c r="BZ1500" s="6">
        <f>(Grandview_Inventory[[#This Row],[sum_land]]-IF(Grandview_Inventory[[#This Row],[no_utilities]]=1,12000,0))/IF(Grandview_Inventory[[#This Row],[unbuildable]]=1,2,1)</f>
        <v>48369.510983942157</v>
      </c>
      <c r="CA150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00">
        <f>ROUND(Grandview_Inventory[[#This Row],[det_value]]*Lookups!$M$28,-2)</f>
        <v>0</v>
      </c>
      <c r="CC1500">
        <f>IF(ROUND(Grandview_Inventory[[#This Row],[adj_res]]*Lookups!$M$28,-2)&lt;Grandview_Inventory[[#This Row],[min_res]],Grandview_Inventory[[#This Row],[min_res]],ROUND(Grandview_Inventory[[#This Row],[adj_res]]*Lookups!$M$28,-2))</f>
        <v>222900</v>
      </c>
      <c r="CD1500">
        <f>Grandview_Inventory[[#This Row],[final_det]]+Grandview_Inventory[[#This Row],[final_res]]</f>
        <v>222900</v>
      </c>
      <c r="CE1500">
        <f>Grandview_Inventory[[#This Row],[final_land]]+Grandview_Inventory[[#This Row],[final_imp]]+Grandview_Inventory[[#This Row],[crop_value]]</f>
        <v>268900</v>
      </c>
      <c r="CG1500" t="str">
        <f t="shared" si="23"/>
        <v>update valuation set market_land =46000, market_bldg=222900, market_total =268900, market_mdno =401, market_date ='9/10/2023' where link_id = (select link_id from parcel where parcel_year = '2024' and parcel_id = '23092323509');</v>
      </c>
    </row>
    <row r="1501" spans="1:85" x14ac:dyDescent="0.25">
      <c r="A1501">
        <v>23092323510</v>
      </c>
      <c r="B1501">
        <v>0.17</v>
      </c>
      <c r="C1501">
        <v>7348</v>
      </c>
      <c r="D1501" t="s">
        <v>129</v>
      </c>
      <c r="E1501" t="s">
        <v>53</v>
      </c>
      <c r="F1501" t="s">
        <v>53</v>
      </c>
      <c r="G1501">
        <v>4</v>
      </c>
      <c r="H1501" t="s">
        <v>54</v>
      </c>
      <c r="I1501">
        <v>149600</v>
      </c>
      <c r="J1501">
        <v>39300</v>
      </c>
      <c r="K1501">
        <v>0.17</v>
      </c>
      <c r="L150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01">
        <v>0</v>
      </c>
      <c r="N1501">
        <v>0</v>
      </c>
      <c r="O1501">
        <v>0</v>
      </c>
      <c r="P1501">
        <v>13398.7528</v>
      </c>
      <c r="Q1501">
        <v>63903</v>
      </c>
      <c r="R1501">
        <f>(Grandview_Inventory[[#This Row],[ln_acres]]*Grandview_Inventory[[#This Row],[coeff]])+Grandview_Inventory[[#This Row],[const]]</f>
        <v>40160.988302686128</v>
      </c>
      <c r="S1501" t="s">
        <v>85</v>
      </c>
      <c r="T1501">
        <v>2</v>
      </c>
      <c r="U1501" t="s">
        <v>65</v>
      </c>
      <c r="V1501" t="s">
        <v>69</v>
      </c>
      <c r="W1501">
        <v>0</v>
      </c>
      <c r="X1501">
        <v>0</v>
      </c>
      <c r="Y1501">
        <v>51</v>
      </c>
      <c r="Z1501">
        <v>78</v>
      </c>
      <c r="AA1501">
        <v>80</v>
      </c>
      <c r="AB1501">
        <v>1500</v>
      </c>
      <c r="AC1501">
        <v>1438</v>
      </c>
      <c r="AD1501">
        <v>900</v>
      </c>
      <c r="AE1501">
        <v>538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166</v>
      </c>
      <c r="AN1501">
        <v>36</v>
      </c>
      <c r="AO1501">
        <v>0</v>
      </c>
      <c r="AP1501">
        <v>8</v>
      </c>
      <c r="AQ1501">
        <v>0</v>
      </c>
      <c r="AR1501">
        <v>1</v>
      </c>
      <c r="AS1501" t="s">
        <v>58</v>
      </c>
      <c r="AT1501">
        <v>1</v>
      </c>
      <c r="AU1501" t="s">
        <v>63</v>
      </c>
      <c r="AV1501" t="s">
        <v>64</v>
      </c>
      <c r="AW1501">
        <v>0</v>
      </c>
      <c r="AX1501">
        <v>3</v>
      </c>
      <c r="AY1501">
        <v>0</v>
      </c>
      <c r="AZ1501">
        <v>11700</v>
      </c>
      <c r="BA1501">
        <v>100</v>
      </c>
      <c r="BB1501">
        <v>100</v>
      </c>
      <c r="BC1501">
        <v>100</v>
      </c>
      <c r="BD1501">
        <v>100</v>
      </c>
      <c r="BE1501">
        <v>1</v>
      </c>
      <c r="BF1501">
        <v>15000</v>
      </c>
      <c r="BG1501">
        <v>1000</v>
      </c>
      <c r="BH1501" s="6">
        <f>Grandview_Inventory[[#This Row],[land_extract]]*Lookups!$B$3</f>
        <v>46638.847281240982</v>
      </c>
      <c r="BI1501" s="6">
        <f>IF(Grandview_Inventory[[#This Row],[bldg_style]]="",0,Lookups!$B$2)</f>
        <v>155833.95000000001</v>
      </c>
      <c r="BJ1501" s="6">
        <f>_xlfn.IFNA(VLOOKUP(Grandview_Inventory[[#This Row],[quality]],Lookups!$H$2:$J$14,3,FALSE),0)</f>
        <v>2251</v>
      </c>
      <c r="BK1501" s="6">
        <f>_xlfn.IFNA(VLOOKUP(Grandview_Inventory[[#This Row],[condition]],Lookups!$H$17:$J$24,3,FALSE),0)</f>
        <v>-4503</v>
      </c>
      <c r="BL1501" s="6">
        <f>Grandview_Inventory[[#This Row],[Eff_Age]]*Lookups!$B$14</f>
        <v>-12197.496599999999</v>
      </c>
      <c r="BM1501" s="6">
        <f>Grandview_Inventory[[#This Row],[living_area]]*Lookups!$B$15</f>
        <v>89703.666614000002</v>
      </c>
      <c r="BN1501" s="6">
        <f>Grandview_Inventory[[#This Row],[Fin BSMT]]*Lookups!$B$16</f>
        <v>0</v>
      </c>
      <c r="BO1501" s="6">
        <f>(Grandview_Inventory[[#This Row],[att_gar]]+Grandview_Inventory[[#This Row],[bltin_gar]])*Lookups!$B$17</f>
        <v>0</v>
      </c>
      <c r="BP1501" s="6">
        <f>Grandview_Inventory[[#This Row],[Plumbing Fixtures]]*Lookups!$B$18</f>
        <v>16083.5344</v>
      </c>
      <c r="BQ1501" s="6">
        <f>Grandview_Inventory[[#This Row],[detatched_value]]*Lookups!$B$19</f>
        <v>9907.61967</v>
      </c>
      <c r="BR1501" s="6">
        <f>SUM(Grandview_Inventory[[#This Row],[Intercept]:[det_value]])*Grandview_Inventory[[#This Row],[res_pct]]</f>
        <v>257079.27408399998</v>
      </c>
      <c r="BS1501" s="6">
        <f>Grandview_Inventory[[#This Row],[land_value]]</f>
        <v>46638.847281240982</v>
      </c>
      <c r="BT1501" s="4">
        <f>_xlfn.IFNA(VLOOKUP(Grandview_Inventory[[#This Row],[quality]],Lookups!$A$26:$C$33,3,FALSE),1)</f>
        <v>0.98763855981004833</v>
      </c>
      <c r="BU1501" s="4">
        <f>_xlfn.IFNA(VLOOKUP(Grandview_Inventory[[#This Row],[condition]],Lookups!$A$37:$C$44,3,FALSE),1)</f>
        <v>0.96469275950863709</v>
      </c>
      <c r="BV1501" s="4">
        <f>IF(Grandview_Inventory[[#This Row],[bldg_style]]="",1,_xlfn.IFNA(VLOOKUP(Grandview_Inventory[[#This Row],[decade]],Lookups!$F$29:$H$43,3,FALSE),1))</f>
        <v>0.98763256963907298</v>
      </c>
      <c r="BW1501" s="4">
        <f>_xlfn.IFNA(VLOOKUP(Grandview_Inventory[[#This Row],[living_area_range]],Lookups!$F$47:$H$56,3,FALSE),1)</f>
        <v>0.96135087979789358</v>
      </c>
      <c r="BX1501" s="4">
        <f>AVERAGE(Grandview_Inventory[[#This Row],[qual_adj]:[size_adj]])</f>
        <v>0.97532869218891294</v>
      </c>
      <c r="BY1501" s="6">
        <f>IF(Grandview_Inventory[[#This Row],[pre_res]]&lt;0,0,Grandview_Inventory[[#This Row],[pre_res]]*Grandview_Inventory[[#This Row],[overall_adj]])</f>
        <v>250736.79218122279</v>
      </c>
      <c r="BZ1501" s="6">
        <f>(Grandview_Inventory[[#This Row],[sum_land]]-IF(Grandview_Inventory[[#This Row],[no_utilities]]=1,12000,0))/IF(Grandview_Inventory[[#This Row],[unbuildable]]=1,2,1)</f>
        <v>46638.847281240982</v>
      </c>
      <c r="CA150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01">
        <f>ROUND(Grandview_Inventory[[#This Row],[det_value]]*Lookups!$M$28,-2)</f>
        <v>9400</v>
      </c>
      <c r="CC1501">
        <f>IF(ROUND(Grandview_Inventory[[#This Row],[adj_res]]*Lookups!$M$28,-2)&lt;Grandview_Inventory[[#This Row],[min_res]],Grandview_Inventory[[#This Row],[min_res]],ROUND(Grandview_Inventory[[#This Row],[adj_res]]*Lookups!$M$28,-2))</f>
        <v>238200</v>
      </c>
      <c r="CD1501">
        <f>Grandview_Inventory[[#This Row],[final_det]]+Grandview_Inventory[[#This Row],[final_res]]</f>
        <v>247600</v>
      </c>
      <c r="CE1501">
        <f>Grandview_Inventory[[#This Row],[final_land]]+Grandview_Inventory[[#This Row],[final_imp]]+Grandview_Inventory[[#This Row],[crop_value]]</f>
        <v>291900</v>
      </c>
      <c r="CG1501" t="str">
        <f t="shared" si="23"/>
        <v>update valuation set market_land =44300, market_bldg=247600, market_total =291900, market_mdno =401, market_date ='9/10/2023' where link_id = (select link_id from parcel where parcel_year = '2024' and parcel_id = '23092323510');</v>
      </c>
    </row>
    <row r="1502" spans="1:85" x14ac:dyDescent="0.25">
      <c r="A1502">
        <v>23092323512</v>
      </c>
      <c r="B1502">
        <v>0.14000000000000001</v>
      </c>
      <c r="C1502">
        <v>6303</v>
      </c>
      <c r="D1502" t="s">
        <v>129</v>
      </c>
      <c r="E1502" t="s">
        <v>53</v>
      </c>
      <c r="F1502" t="s">
        <v>53</v>
      </c>
      <c r="G1502">
        <v>4</v>
      </c>
      <c r="H1502" t="s">
        <v>54</v>
      </c>
      <c r="I1502">
        <v>129400</v>
      </c>
      <c r="J1502">
        <v>38800</v>
      </c>
      <c r="K1502">
        <v>0.14000000000000001</v>
      </c>
      <c r="L1502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502">
        <v>0</v>
      </c>
      <c r="N1502">
        <v>0</v>
      </c>
      <c r="O1502">
        <v>0</v>
      </c>
      <c r="P1502">
        <v>13398.7528</v>
      </c>
      <c r="Q1502">
        <v>63903</v>
      </c>
      <c r="R1502">
        <f>(Grandview_Inventory[[#This Row],[ln_acres]]*Grandview_Inventory[[#This Row],[coeff]])+Grandview_Inventory[[#This Row],[const]]</f>
        <v>37559.539860558507</v>
      </c>
      <c r="S1502" t="s">
        <v>85</v>
      </c>
      <c r="T1502">
        <v>1</v>
      </c>
      <c r="U1502" t="s">
        <v>65</v>
      </c>
      <c r="V1502" t="s">
        <v>69</v>
      </c>
      <c r="W1502">
        <v>0</v>
      </c>
      <c r="X1502">
        <v>0</v>
      </c>
      <c r="Y1502">
        <v>53</v>
      </c>
      <c r="Z1502">
        <v>93</v>
      </c>
      <c r="AA1502">
        <v>100</v>
      </c>
      <c r="AB1502">
        <v>1500</v>
      </c>
      <c r="AC1502">
        <v>1040</v>
      </c>
      <c r="AD1502">
        <v>1040</v>
      </c>
      <c r="AE1502">
        <v>0</v>
      </c>
      <c r="AF1502">
        <v>0</v>
      </c>
      <c r="AG1502">
        <v>0</v>
      </c>
      <c r="AH1502">
        <v>542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120</v>
      </c>
      <c r="AO1502">
        <v>0</v>
      </c>
      <c r="AP1502">
        <v>5</v>
      </c>
      <c r="AQ1502">
        <v>0</v>
      </c>
      <c r="AR1502">
        <v>0</v>
      </c>
      <c r="AS1502" t="s">
        <v>58</v>
      </c>
      <c r="AT1502">
        <v>1</v>
      </c>
      <c r="AU1502" t="s">
        <v>59</v>
      </c>
      <c r="AV1502" t="s">
        <v>60</v>
      </c>
      <c r="AW1502">
        <v>1</v>
      </c>
      <c r="AX1502">
        <v>3</v>
      </c>
      <c r="AY1502">
        <v>0</v>
      </c>
      <c r="AZ1502">
        <v>4800</v>
      </c>
      <c r="BA1502">
        <v>100</v>
      </c>
      <c r="BB1502">
        <v>100</v>
      </c>
      <c r="BC1502">
        <v>100</v>
      </c>
      <c r="BD1502">
        <v>100</v>
      </c>
      <c r="BE1502">
        <v>1</v>
      </c>
      <c r="BF1502">
        <v>15000</v>
      </c>
      <c r="BG1502">
        <v>1000</v>
      </c>
      <c r="BH1502" s="6">
        <f>Grandview_Inventory[[#This Row],[land_extract]]*Lookups!$B$3</f>
        <v>43617.792229308972</v>
      </c>
      <c r="BI1502" s="6">
        <f>IF(Grandview_Inventory[[#This Row],[bldg_style]]="",0,Lookups!$B$2)</f>
        <v>155833.95000000001</v>
      </c>
      <c r="BJ1502" s="6">
        <f>_xlfn.IFNA(VLOOKUP(Grandview_Inventory[[#This Row],[quality]],Lookups!$H$2:$J$14,3,FALSE),0)</f>
        <v>2251</v>
      </c>
      <c r="BK1502" s="6">
        <f>_xlfn.IFNA(VLOOKUP(Grandview_Inventory[[#This Row],[condition]],Lookups!$H$17:$J$24,3,FALSE),0)</f>
        <v>-4503</v>
      </c>
      <c r="BL1502" s="6">
        <f>Grandview_Inventory[[#This Row],[Eff_Age]]*Lookups!$B$14</f>
        <v>-12675.8298</v>
      </c>
      <c r="BM1502" s="6">
        <f>Grandview_Inventory[[#This Row],[living_area]]*Lookups!$B$15</f>
        <v>64876.087120000004</v>
      </c>
      <c r="BN1502" s="6">
        <f>Grandview_Inventory[[#This Row],[Fin BSMT]]*Lookups!$B$16</f>
        <v>0</v>
      </c>
      <c r="BO1502" s="6">
        <f>(Grandview_Inventory[[#This Row],[att_gar]]+Grandview_Inventory[[#This Row],[bltin_gar]])*Lookups!$B$17</f>
        <v>0</v>
      </c>
      <c r="BP1502" s="6">
        <f>Grandview_Inventory[[#This Row],[Plumbing Fixtures]]*Lookups!$B$18</f>
        <v>10052.209000000001</v>
      </c>
      <c r="BQ1502" s="6">
        <f>Grandview_Inventory[[#This Row],[detatched_value]]*Lookups!$B$19</f>
        <v>4064.6644799999999</v>
      </c>
      <c r="BR1502" s="6">
        <f>SUM(Grandview_Inventory[[#This Row],[Intercept]:[det_value]])*Grandview_Inventory[[#This Row],[res_pct]]</f>
        <v>219899.08080000003</v>
      </c>
      <c r="BS1502" s="6">
        <f>Grandview_Inventory[[#This Row],[land_value]]</f>
        <v>43617.792229308972</v>
      </c>
      <c r="BT1502" s="4">
        <f>_xlfn.IFNA(VLOOKUP(Grandview_Inventory[[#This Row],[quality]],Lookups!$A$26:$C$33,3,FALSE),1)</f>
        <v>0.98763855981004833</v>
      </c>
      <c r="BU1502" s="4">
        <f>_xlfn.IFNA(VLOOKUP(Grandview_Inventory[[#This Row],[condition]],Lookups!$A$37:$C$44,3,FALSE),1)</f>
        <v>0.96469275950863709</v>
      </c>
      <c r="BV1502" s="4">
        <f>IF(Grandview_Inventory[[#This Row],[bldg_style]]="",1,_xlfn.IFNA(VLOOKUP(Grandview_Inventory[[#This Row],[decade]],Lookups!$F$29:$H$43,3,FALSE),1))</f>
        <v>0.95244691841736806</v>
      </c>
      <c r="BW1502" s="4">
        <f>_xlfn.IFNA(VLOOKUP(Grandview_Inventory[[#This Row],[living_area_range]],Lookups!$F$47:$H$56,3,FALSE),1)</f>
        <v>0.96135087979789358</v>
      </c>
      <c r="BX1502" s="4">
        <f>AVERAGE(Grandview_Inventory[[#This Row],[qual_adj]:[size_adj]])</f>
        <v>0.96653227938348674</v>
      </c>
      <c r="BY1502" s="6">
        <f>IF(Grandview_Inventory[[#This Row],[pre_res]]&lt;0,0,Grandview_Inventory[[#This Row],[pre_res]]*Grandview_Inventory[[#This Row],[overall_adj]])</f>
        <v>212539.55979995755</v>
      </c>
      <c r="BZ1502" s="6">
        <f>(Grandview_Inventory[[#This Row],[sum_land]]-IF(Grandview_Inventory[[#This Row],[no_utilities]]=1,12000,0))/IF(Grandview_Inventory[[#This Row],[unbuildable]]=1,2,1)</f>
        <v>43617.792229308972</v>
      </c>
      <c r="CA1502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502">
        <f>ROUND(Grandview_Inventory[[#This Row],[det_value]]*Lookups!$M$28,-2)</f>
        <v>3900</v>
      </c>
      <c r="CC1502">
        <f>IF(ROUND(Grandview_Inventory[[#This Row],[adj_res]]*Lookups!$M$28,-2)&lt;Grandview_Inventory[[#This Row],[min_res]],Grandview_Inventory[[#This Row],[min_res]],ROUND(Grandview_Inventory[[#This Row],[adj_res]]*Lookups!$M$28,-2))</f>
        <v>201900</v>
      </c>
      <c r="CD1502">
        <f>Grandview_Inventory[[#This Row],[final_det]]+Grandview_Inventory[[#This Row],[final_res]]</f>
        <v>205800</v>
      </c>
      <c r="CE1502">
        <f>Grandview_Inventory[[#This Row],[final_land]]+Grandview_Inventory[[#This Row],[final_imp]]+Grandview_Inventory[[#This Row],[crop_value]]</f>
        <v>247200</v>
      </c>
      <c r="CG1502" t="str">
        <f t="shared" si="23"/>
        <v>update valuation set market_land =41400, market_bldg=205800, market_total =247200, market_mdno =401, market_date ='9/10/2023' where link_id = (select link_id from parcel where parcel_year = '2024' and parcel_id = '23092323512');</v>
      </c>
    </row>
    <row r="1503" spans="1:85" x14ac:dyDescent="0.25">
      <c r="A1503">
        <v>23092323513</v>
      </c>
      <c r="B1503">
        <v>0.15</v>
      </c>
      <c r="C1503">
        <v>6582</v>
      </c>
      <c r="D1503" t="s">
        <v>129</v>
      </c>
      <c r="E1503" t="s">
        <v>53</v>
      </c>
      <c r="F1503" t="s">
        <v>53</v>
      </c>
      <c r="G1503">
        <v>4</v>
      </c>
      <c r="H1503" t="s">
        <v>54</v>
      </c>
      <c r="I1503">
        <v>111200</v>
      </c>
      <c r="J1503">
        <v>38800</v>
      </c>
      <c r="K1503">
        <v>0.15</v>
      </c>
      <c r="L1503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03">
        <v>0</v>
      </c>
      <c r="N1503">
        <v>0</v>
      </c>
      <c r="O1503">
        <v>0</v>
      </c>
      <c r="P1503">
        <v>13398.7528</v>
      </c>
      <c r="Q1503">
        <v>63903</v>
      </c>
      <c r="R1503">
        <f>(Grandview_Inventory[[#This Row],[ln_acres]]*Grandview_Inventory[[#This Row],[coeff]])+Grandview_Inventory[[#This Row],[const]]</f>
        <v>38483.958290574345</v>
      </c>
      <c r="S1503" t="s">
        <v>85</v>
      </c>
      <c r="T1503">
        <v>2</v>
      </c>
      <c r="U1503" t="s">
        <v>65</v>
      </c>
      <c r="V1503" t="s">
        <v>78</v>
      </c>
      <c r="W1503">
        <v>0</v>
      </c>
      <c r="X1503">
        <v>0</v>
      </c>
      <c r="Y1503">
        <v>65</v>
      </c>
      <c r="Z1503">
        <v>113</v>
      </c>
      <c r="AA1503">
        <v>120</v>
      </c>
      <c r="AB1503">
        <v>2000</v>
      </c>
      <c r="AC1503">
        <v>1642</v>
      </c>
      <c r="AD1503">
        <v>980</v>
      </c>
      <c r="AE1503">
        <v>662</v>
      </c>
      <c r="AF1503">
        <v>0</v>
      </c>
      <c r="AG1503">
        <v>0</v>
      </c>
      <c r="AH1503">
        <v>910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8</v>
      </c>
      <c r="AQ1503">
        <v>0</v>
      </c>
      <c r="AR1503">
        <v>0</v>
      </c>
      <c r="AS1503" t="s">
        <v>58</v>
      </c>
      <c r="AT1503">
        <v>1</v>
      </c>
      <c r="AU1503" t="s">
        <v>63</v>
      </c>
      <c r="AV1503" t="s">
        <v>64</v>
      </c>
      <c r="AW1503">
        <v>0</v>
      </c>
      <c r="AX1503">
        <v>5</v>
      </c>
      <c r="AY1503">
        <v>0</v>
      </c>
      <c r="AZ1503">
        <v>5500</v>
      </c>
      <c r="BA1503">
        <v>100</v>
      </c>
      <c r="BB1503">
        <v>100</v>
      </c>
      <c r="BC1503">
        <v>100</v>
      </c>
      <c r="BD1503">
        <v>100</v>
      </c>
      <c r="BE1503">
        <v>1</v>
      </c>
      <c r="BF1503">
        <v>15000</v>
      </c>
      <c r="BG1503">
        <v>1000</v>
      </c>
      <c r="BH1503" s="6">
        <f>Grandview_Inventory[[#This Row],[land_extract]]*Lookups!$B$3</f>
        <v>44691.316856156598</v>
      </c>
      <c r="BI1503" s="6">
        <f>IF(Grandview_Inventory[[#This Row],[bldg_style]]="",0,Lookups!$B$2)</f>
        <v>155833.95000000001</v>
      </c>
      <c r="BJ1503" s="6">
        <f>_xlfn.IFNA(VLOOKUP(Grandview_Inventory[[#This Row],[quality]],Lookups!$H$2:$J$14,3,FALSE),0)</f>
        <v>2251</v>
      </c>
      <c r="BK1503" s="6">
        <f>_xlfn.IFNA(VLOOKUP(Grandview_Inventory[[#This Row],[condition]],Lookups!$H$17:$J$24,3,FALSE),0)</f>
        <v>-45357</v>
      </c>
      <c r="BL1503" s="6">
        <f>Grandview_Inventory[[#This Row],[Eff_Age]]*Lookups!$B$14</f>
        <v>-15545.829</v>
      </c>
      <c r="BM1503" s="6">
        <f>Grandview_Inventory[[#This Row],[living_area]]*Lookups!$B$15</f>
        <v>102429.36062600001</v>
      </c>
      <c r="BN1503" s="6">
        <f>Grandview_Inventory[[#This Row],[Fin BSMT]]*Lookups!$B$16</f>
        <v>0</v>
      </c>
      <c r="BO1503" s="6">
        <f>(Grandview_Inventory[[#This Row],[att_gar]]+Grandview_Inventory[[#This Row],[bltin_gar]])*Lookups!$B$17</f>
        <v>0</v>
      </c>
      <c r="BP1503" s="6">
        <f>Grandview_Inventory[[#This Row],[Plumbing Fixtures]]*Lookups!$B$18</f>
        <v>16083.5344</v>
      </c>
      <c r="BQ1503" s="6">
        <f>Grandview_Inventory[[#This Row],[detatched_value]]*Lookups!$B$19</f>
        <v>4657.4280499999995</v>
      </c>
      <c r="BR1503" s="6">
        <f>SUM(Grandview_Inventory[[#This Row],[Intercept]:[det_value]])*Grandview_Inventory[[#This Row],[res_pct]]</f>
        <v>220352.44407600001</v>
      </c>
      <c r="BS1503" s="6">
        <f>Grandview_Inventory[[#This Row],[land_value]]</f>
        <v>44691.316856156598</v>
      </c>
      <c r="BT1503" s="4">
        <f>_xlfn.IFNA(VLOOKUP(Grandview_Inventory[[#This Row],[quality]],Lookups!$A$26:$C$33,3,FALSE),1)</f>
        <v>0.98763855981004833</v>
      </c>
      <c r="BU1503" s="4">
        <f>_xlfn.IFNA(VLOOKUP(Grandview_Inventory[[#This Row],[condition]],Lookups!$A$37:$C$44,3,FALSE),1)</f>
        <v>0.97161819570155394</v>
      </c>
      <c r="BV1503" s="4">
        <f>IF(Grandview_Inventory[[#This Row],[bldg_style]]="",1,_xlfn.IFNA(VLOOKUP(Grandview_Inventory[[#This Row],[decade]],Lookups!$F$29:$H$43,3,FALSE),1))</f>
        <v>0.9251738460551937</v>
      </c>
      <c r="BW1503" s="4">
        <f>_xlfn.IFNA(VLOOKUP(Grandview_Inventory[[#This Row],[living_area_range]],Lookups!$F$47:$H$56,3,FALSE),1)</f>
        <v>0.96120133463014379</v>
      </c>
      <c r="BX1503" s="4">
        <f>AVERAGE(Grandview_Inventory[[#This Row],[qual_adj]:[size_adj]])</f>
        <v>0.96140798404923489</v>
      </c>
      <c r="BY1503" s="6">
        <f>IF(Grandview_Inventory[[#This Row],[pre_res]]&lt;0,0,Grandview_Inventory[[#This Row],[pre_res]]*Grandview_Inventory[[#This Row],[overall_adj]])</f>
        <v>211848.59903942895</v>
      </c>
      <c r="BZ1503" s="6">
        <f>(Grandview_Inventory[[#This Row],[sum_land]]-IF(Grandview_Inventory[[#This Row],[no_utilities]]=1,12000,0))/IF(Grandview_Inventory[[#This Row],[unbuildable]]=1,2,1)</f>
        <v>44691.316856156598</v>
      </c>
      <c r="CA1503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03">
        <f>ROUND(Grandview_Inventory[[#This Row],[det_value]]*Lookups!$M$28,-2)</f>
        <v>4400</v>
      </c>
      <c r="CC1503">
        <f>IF(ROUND(Grandview_Inventory[[#This Row],[adj_res]]*Lookups!$M$28,-2)&lt;Grandview_Inventory[[#This Row],[min_res]],Grandview_Inventory[[#This Row],[min_res]],ROUND(Grandview_Inventory[[#This Row],[adj_res]]*Lookups!$M$28,-2))</f>
        <v>201300</v>
      </c>
      <c r="CD1503">
        <f>Grandview_Inventory[[#This Row],[final_det]]+Grandview_Inventory[[#This Row],[final_res]]</f>
        <v>205700</v>
      </c>
      <c r="CE1503">
        <f>Grandview_Inventory[[#This Row],[final_land]]+Grandview_Inventory[[#This Row],[final_imp]]+Grandview_Inventory[[#This Row],[crop_value]]</f>
        <v>248200</v>
      </c>
      <c r="CG1503" t="str">
        <f t="shared" si="23"/>
        <v>update valuation set market_land =42500, market_bldg=205700, market_total =248200, market_mdno =401, market_date ='9/10/2023' where link_id = (select link_id from parcel where parcel_year = '2024' and parcel_id = '23092323513');</v>
      </c>
    </row>
    <row r="1504" spans="1:85" x14ac:dyDescent="0.25">
      <c r="A1504">
        <v>23092323514</v>
      </c>
      <c r="B1504">
        <v>0.18</v>
      </c>
      <c r="C1504">
        <v>7671</v>
      </c>
      <c r="D1504" t="s">
        <v>129</v>
      </c>
      <c r="E1504" t="s">
        <v>53</v>
      </c>
      <c r="F1504" t="s">
        <v>53</v>
      </c>
      <c r="G1504">
        <v>4</v>
      </c>
      <c r="H1504" t="s">
        <v>54</v>
      </c>
      <c r="I1504">
        <v>87300</v>
      </c>
      <c r="J1504">
        <v>39300</v>
      </c>
      <c r="K1504">
        <v>0.18</v>
      </c>
      <c r="L150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04">
        <v>0</v>
      </c>
      <c r="N1504">
        <v>0</v>
      </c>
      <c r="O1504">
        <v>0</v>
      </c>
      <c r="P1504">
        <v>13398.7528</v>
      </c>
      <c r="Q1504">
        <v>63903</v>
      </c>
      <c r="R1504">
        <f>(Grandview_Inventory[[#This Row],[ln_acres]]*Grandview_Inventory[[#This Row],[coeff]])+Grandview_Inventory[[#This Row],[const]]</f>
        <v>40926.839760167699</v>
      </c>
      <c r="S1504" t="s">
        <v>68</v>
      </c>
      <c r="T1504">
        <v>1</v>
      </c>
      <c r="U1504" t="s">
        <v>80</v>
      </c>
      <c r="V1504" t="s">
        <v>69</v>
      </c>
      <c r="W1504">
        <v>0</v>
      </c>
      <c r="X1504">
        <v>0</v>
      </c>
      <c r="Y1504">
        <v>43</v>
      </c>
      <c r="Z1504">
        <v>93</v>
      </c>
      <c r="AA1504">
        <v>100</v>
      </c>
      <c r="AB1504">
        <v>1000</v>
      </c>
      <c r="AC1504">
        <v>624</v>
      </c>
      <c r="AD1504">
        <v>624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80</v>
      </c>
      <c r="AO1504">
        <v>110</v>
      </c>
      <c r="AP1504">
        <v>5</v>
      </c>
      <c r="AQ1504">
        <v>0</v>
      </c>
      <c r="AR1504">
        <v>0</v>
      </c>
      <c r="AS1504" t="s">
        <v>58</v>
      </c>
      <c r="AT1504">
        <v>1</v>
      </c>
      <c r="AU1504" t="s">
        <v>75</v>
      </c>
      <c r="AV1504" t="s">
        <v>60</v>
      </c>
      <c r="AW1504">
        <v>0</v>
      </c>
      <c r="AX1504">
        <v>2</v>
      </c>
      <c r="AY1504">
        <v>0</v>
      </c>
      <c r="AZ1504">
        <v>0</v>
      </c>
      <c r="BA1504">
        <v>100</v>
      </c>
      <c r="BB1504">
        <v>100</v>
      </c>
      <c r="BC1504">
        <v>100</v>
      </c>
      <c r="BD1504">
        <v>100</v>
      </c>
      <c r="BE1504">
        <v>1</v>
      </c>
      <c r="BF1504">
        <v>15000</v>
      </c>
      <c r="BG1504">
        <v>1000</v>
      </c>
      <c r="BH1504" s="6">
        <f>Grandview_Inventory[[#This Row],[land_extract]]*Lookups!$B$3</f>
        <v>47528.228511015397</v>
      </c>
      <c r="BI1504" s="6">
        <f>IF(Grandview_Inventory[[#This Row],[bldg_style]]="",0,Lookups!$B$2)</f>
        <v>155833.95000000001</v>
      </c>
      <c r="BJ1504" s="6">
        <f>_xlfn.IFNA(VLOOKUP(Grandview_Inventory[[#This Row],[quality]],Lookups!$H$2:$J$14,3,FALSE),0)</f>
        <v>-28558</v>
      </c>
      <c r="BK1504" s="6">
        <f>_xlfn.IFNA(VLOOKUP(Grandview_Inventory[[#This Row],[condition]],Lookups!$H$17:$J$24,3,FALSE),0)</f>
        <v>-4503</v>
      </c>
      <c r="BL1504" s="6">
        <f>Grandview_Inventory[[#This Row],[Eff_Age]]*Lookups!$B$14</f>
        <v>-10284.1638</v>
      </c>
      <c r="BM1504" s="6">
        <f>Grandview_Inventory[[#This Row],[living_area]]*Lookups!$B$15</f>
        <v>38925.652271999999</v>
      </c>
      <c r="BN1504" s="6">
        <f>Grandview_Inventory[[#This Row],[Fin BSMT]]*Lookups!$B$16</f>
        <v>0</v>
      </c>
      <c r="BO1504" s="6">
        <f>(Grandview_Inventory[[#This Row],[att_gar]]+Grandview_Inventory[[#This Row],[bltin_gar]])*Lookups!$B$17</f>
        <v>0</v>
      </c>
      <c r="BP1504" s="6">
        <f>Grandview_Inventory[[#This Row],[Plumbing Fixtures]]*Lookups!$B$18</f>
        <v>10052.209000000001</v>
      </c>
      <c r="BQ1504" s="6">
        <f>Grandview_Inventory[[#This Row],[detatched_value]]*Lookups!$B$19</f>
        <v>0</v>
      </c>
      <c r="BR1504" s="6">
        <f>SUM(Grandview_Inventory[[#This Row],[Intercept]:[det_value]])*Grandview_Inventory[[#This Row],[res_pct]]</f>
        <v>161466.64747200001</v>
      </c>
      <c r="BS1504" s="6">
        <f>Grandview_Inventory[[#This Row],[land_value]]</f>
        <v>47528.228511015397</v>
      </c>
      <c r="BT1504" s="4">
        <f>_xlfn.IFNA(VLOOKUP(Grandview_Inventory[[#This Row],[quality]],Lookups!$A$26:$C$33,3,FALSE),1)</f>
        <v>0.9690360070159818</v>
      </c>
      <c r="BU1504" s="4">
        <f>_xlfn.IFNA(VLOOKUP(Grandview_Inventory[[#This Row],[condition]],Lookups!$A$37:$C$44,3,FALSE),1)</f>
        <v>0.96469275950863709</v>
      </c>
      <c r="BV1504" s="4">
        <f>IF(Grandview_Inventory[[#This Row],[bldg_style]]="",1,_xlfn.IFNA(VLOOKUP(Grandview_Inventory[[#This Row],[decade]],Lookups!$F$29:$H$43,3,FALSE),1))</f>
        <v>0.95244691841736806</v>
      </c>
      <c r="BW1504" s="4">
        <f>_xlfn.IFNA(VLOOKUP(Grandview_Inventory[[#This Row],[living_area_range]],Lookups!$F$47:$H$56,3,FALSE),1)</f>
        <v>0.94306777142782894</v>
      </c>
      <c r="BX1504" s="4">
        <f>AVERAGE(Grandview_Inventory[[#This Row],[qual_adj]:[size_adj]])</f>
        <v>0.95731086409245392</v>
      </c>
      <c r="BY1504" s="6">
        <f>IF(Grandview_Inventory[[#This Row],[pre_res]]&lt;0,0,Grandview_Inventory[[#This Row],[pre_res]]*Grandview_Inventory[[#This Row],[overall_adj]])</f>
        <v>154573.77581353197</v>
      </c>
      <c r="BZ1504" s="6">
        <f>(Grandview_Inventory[[#This Row],[sum_land]]-IF(Grandview_Inventory[[#This Row],[no_utilities]]=1,12000,0))/IF(Grandview_Inventory[[#This Row],[unbuildable]]=1,2,1)</f>
        <v>47528.228511015397</v>
      </c>
      <c r="CA150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04">
        <f>ROUND(Grandview_Inventory[[#This Row],[det_value]]*Lookups!$M$28,-2)</f>
        <v>0</v>
      </c>
      <c r="CC1504">
        <f>IF(ROUND(Grandview_Inventory[[#This Row],[adj_res]]*Lookups!$M$28,-2)&lt;Grandview_Inventory[[#This Row],[min_res]],Grandview_Inventory[[#This Row],[min_res]],ROUND(Grandview_Inventory[[#This Row],[adj_res]]*Lookups!$M$28,-2))</f>
        <v>146800</v>
      </c>
      <c r="CD1504">
        <f>Grandview_Inventory[[#This Row],[final_det]]+Grandview_Inventory[[#This Row],[final_res]]</f>
        <v>146800</v>
      </c>
      <c r="CE1504">
        <f>Grandview_Inventory[[#This Row],[final_land]]+Grandview_Inventory[[#This Row],[final_imp]]+Grandview_Inventory[[#This Row],[crop_value]]</f>
        <v>192000</v>
      </c>
      <c r="CG1504" t="str">
        <f t="shared" si="23"/>
        <v>update valuation set market_land =45200, market_bldg=146800, market_total =192000, market_mdno =401, market_date ='9/10/2023' where link_id = (select link_id from parcel where parcel_year = '2024' and parcel_id = '23092323514');</v>
      </c>
    </row>
    <row r="1505" spans="1:85" x14ac:dyDescent="0.25">
      <c r="A1505">
        <v>23092323515</v>
      </c>
      <c r="B1505">
        <v>0.17</v>
      </c>
      <c r="C1505">
        <v>7420</v>
      </c>
      <c r="D1505" t="s">
        <v>129</v>
      </c>
      <c r="E1505" t="s">
        <v>53</v>
      </c>
      <c r="F1505" t="s">
        <v>53</v>
      </c>
      <c r="G1505">
        <v>4</v>
      </c>
      <c r="H1505" t="s">
        <v>54</v>
      </c>
      <c r="I1505">
        <v>159600</v>
      </c>
      <c r="J1505">
        <v>39300</v>
      </c>
      <c r="K1505">
        <v>0.17</v>
      </c>
      <c r="L150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05">
        <v>0</v>
      </c>
      <c r="N1505">
        <v>0</v>
      </c>
      <c r="O1505">
        <v>0</v>
      </c>
      <c r="P1505">
        <v>13398.7528</v>
      </c>
      <c r="Q1505">
        <v>63903</v>
      </c>
      <c r="R1505">
        <f>(Grandview_Inventory[[#This Row],[ln_acres]]*Grandview_Inventory[[#This Row],[coeff]])+Grandview_Inventory[[#This Row],[const]]</f>
        <v>40160.988302686128</v>
      </c>
      <c r="S1505" t="s">
        <v>68</v>
      </c>
      <c r="T1505">
        <v>1</v>
      </c>
      <c r="U1505" t="s">
        <v>65</v>
      </c>
      <c r="V1505" t="s">
        <v>69</v>
      </c>
      <c r="W1505">
        <v>0</v>
      </c>
      <c r="X1505">
        <v>0</v>
      </c>
      <c r="Y1505">
        <v>50</v>
      </c>
      <c r="Z1505">
        <v>73</v>
      </c>
      <c r="AA1505">
        <v>80</v>
      </c>
      <c r="AB1505">
        <v>2000</v>
      </c>
      <c r="AC1505">
        <v>1628</v>
      </c>
      <c r="AD1505">
        <v>1032</v>
      </c>
      <c r="AE1505">
        <v>0</v>
      </c>
      <c r="AF1505">
        <v>0</v>
      </c>
      <c r="AG1505">
        <v>596</v>
      </c>
      <c r="AH1505">
        <v>436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28</v>
      </c>
      <c r="AO1505">
        <v>0</v>
      </c>
      <c r="AP1505">
        <v>9</v>
      </c>
      <c r="AQ1505">
        <v>1</v>
      </c>
      <c r="AR1505">
        <v>0</v>
      </c>
      <c r="AS1505" t="s">
        <v>58</v>
      </c>
      <c r="AT1505">
        <v>1</v>
      </c>
      <c r="AU1505" t="s">
        <v>59</v>
      </c>
      <c r="AV1505" t="s">
        <v>60</v>
      </c>
      <c r="AW1505">
        <v>1</v>
      </c>
      <c r="AX1505">
        <v>2</v>
      </c>
      <c r="AY1505">
        <v>0</v>
      </c>
      <c r="AZ1505">
        <v>6000</v>
      </c>
      <c r="BA1505">
        <v>100</v>
      </c>
      <c r="BB1505">
        <v>100</v>
      </c>
      <c r="BC1505">
        <v>100</v>
      </c>
      <c r="BD1505">
        <v>100</v>
      </c>
      <c r="BE1505">
        <v>1</v>
      </c>
      <c r="BF1505">
        <v>15000</v>
      </c>
      <c r="BG1505">
        <v>1000</v>
      </c>
      <c r="BH1505" s="6">
        <f>Grandview_Inventory[[#This Row],[land_extract]]*Lookups!$B$3</f>
        <v>46638.847281240982</v>
      </c>
      <c r="BI1505" s="6">
        <f>IF(Grandview_Inventory[[#This Row],[bldg_style]]="",0,Lookups!$B$2)</f>
        <v>155833.95000000001</v>
      </c>
      <c r="BJ1505" s="6">
        <f>_xlfn.IFNA(VLOOKUP(Grandview_Inventory[[#This Row],[quality]],Lookups!$H$2:$J$14,3,FALSE),0)</f>
        <v>2251</v>
      </c>
      <c r="BK1505" s="6">
        <f>_xlfn.IFNA(VLOOKUP(Grandview_Inventory[[#This Row],[condition]],Lookups!$H$17:$J$24,3,FALSE),0)</f>
        <v>-4503</v>
      </c>
      <c r="BL1505" s="6">
        <f>Grandview_Inventory[[#This Row],[Eff_Age]]*Lookups!$B$14</f>
        <v>-11958.33</v>
      </c>
      <c r="BM1505" s="6">
        <f>Grandview_Inventory[[#This Row],[living_area]]*Lookups!$B$15</f>
        <v>101556.028684</v>
      </c>
      <c r="BN1505" s="6">
        <f>Grandview_Inventory[[#This Row],[Fin BSMT]]*Lookups!$B$16</f>
        <v>-16151.147040000002</v>
      </c>
      <c r="BO1505" s="6">
        <f>(Grandview_Inventory[[#This Row],[att_gar]]+Grandview_Inventory[[#This Row],[bltin_gar]])*Lookups!$B$17</f>
        <v>0</v>
      </c>
      <c r="BP1505" s="6">
        <f>Grandview_Inventory[[#This Row],[Plumbing Fixtures]]*Lookups!$B$18</f>
        <v>18093.976200000001</v>
      </c>
      <c r="BQ1505" s="6">
        <f>Grandview_Inventory[[#This Row],[detatched_value]]*Lookups!$B$19</f>
        <v>5080.8306000000002</v>
      </c>
      <c r="BR1505" s="6">
        <f>SUM(Grandview_Inventory[[#This Row],[Intercept]:[det_value]])*Grandview_Inventory[[#This Row],[res_pct]]</f>
        <v>250203.30844399999</v>
      </c>
      <c r="BS1505" s="6">
        <f>Grandview_Inventory[[#This Row],[land_value]]</f>
        <v>46638.847281240982</v>
      </c>
      <c r="BT1505" s="4">
        <f>_xlfn.IFNA(VLOOKUP(Grandview_Inventory[[#This Row],[quality]],Lookups!$A$26:$C$33,3,FALSE),1)</f>
        <v>0.98763855981004833</v>
      </c>
      <c r="BU1505" s="4">
        <f>_xlfn.IFNA(VLOOKUP(Grandview_Inventory[[#This Row],[condition]],Lookups!$A$37:$C$44,3,FALSE),1)</f>
        <v>0.96469275950863709</v>
      </c>
      <c r="BV1505" s="4">
        <f>IF(Grandview_Inventory[[#This Row],[bldg_style]]="",1,_xlfn.IFNA(VLOOKUP(Grandview_Inventory[[#This Row],[decade]],Lookups!$F$29:$H$43,3,FALSE),1))</f>
        <v>0.98763256963907298</v>
      </c>
      <c r="BW1505" s="4">
        <f>_xlfn.IFNA(VLOOKUP(Grandview_Inventory[[#This Row],[living_area_range]],Lookups!$F$47:$H$56,3,FALSE),1)</f>
        <v>0.96120133463014379</v>
      </c>
      <c r="BX1505" s="4">
        <f>AVERAGE(Grandview_Inventory[[#This Row],[qual_adj]:[size_adj]])</f>
        <v>0.97529130589697544</v>
      </c>
      <c r="BY1505" s="6">
        <f>IF(Grandview_Inventory[[#This Row],[pre_res]]&lt;0,0,Grandview_Inventory[[#This Row],[pre_res]]*Grandview_Inventory[[#This Row],[overall_adj]])</f>
        <v>244021.1114320925</v>
      </c>
      <c r="BZ1505" s="6">
        <f>(Grandview_Inventory[[#This Row],[sum_land]]-IF(Grandview_Inventory[[#This Row],[no_utilities]]=1,12000,0))/IF(Grandview_Inventory[[#This Row],[unbuildable]]=1,2,1)</f>
        <v>46638.847281240982</v>
      </c>
      <c r="CA150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05">
        <f>ROUND(Grandview_Inventory[[#This Row],[det_value]]*Lookups!$M$28,-2)</f>
        <v>4800</v>
      </c>
      <c r="CC1505">
        <f>IF(ROUND(Grandview_Inventory[[#This Row],[adj_res]]*Lookups!$M$28,-2)&lt;Grandview_Inventory[[#This Row],[min_res]],Grandview_Inventory[[#This Row],[min_res]],ROUND(Grandview_Inventory[[#This Row],[adj_res]]*Lookups!$M$28,-2))</f>
        <v>231800</v>
      </c>
      <c r="CD1505">
        <f>Grandview_Inventory[[#This Row],[final_det]]+Grandview_Inventory[[#This Row],[final_res]]</f>
        <v>236600</v>
      </c>
      <c r="CE1505">
        <f>Grandview_Inventory[[#This Row],[final_land]]+Grandview_Inventory[[#This Row],[final_imp]]+Grandview_Inventory[[#This Row],[crop_value]]</f>
        <v>280900</v>
      </c>
      <c r="CG1505" t="str">
        <f t="shared" si="23"/>
        <v>update valuation set market_land =44300, market_bldg=236600, market_total =280900, market_mdno =401, market_date ='9/10/2023' where link_id = (select link_id from parcel where parcel_year = '2024' and parcel_id = '23092323515');</v>
      </c>
    </row>
    <row r="1506" spans="1:85" x14ac:dyDescent="0.25">
      <c r="A1506">
        <v>23092323516</v>
      </c>
      <c r="B1506">
        <v>0.17</v>
      </c>
      <c r="C1506">
        <v>7247</v>
      </c>
      <c r="D1506" t="s">
        <v>129</v>
      </c>
      <c r="E1506" t="s">
        <v>53</v>
      </c>
      <c r="F1506" t="s">
        <v>53</v>
      </c>
      <c r="G1506">
        <v>4</v>
      </c>
      <c r="H1506" t="s">
        <v>54</v>
      </c>
      <c r="I1506">
        <v>141100</v>
      </c>
      <c r="J1506">
        <v>39100</v>
      </c>
      <c r="K1506">
        <v>0.17</v>
      </c>
      <c r="L150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06">
        <v>0</v>
      </c>
      <c r="N1506">
        <v>0</v>
      </c>
      <c r="O1506">
        <v>0</v>
      </c>
      <c r="P1506">
        <v>13398.7528</v>
      </c>
      <c r="Q1506">
        <v>63903</v>
      </c>
      <c r="R1506">
        <f>(Grandview_Inventory[[#This Row],[ln_acres]]*Grandview_Inventory[[#This Row],[coeff]])+Grandview_Inventory[[#This Row],[const]]</f>
        <v>40160.988302686128</v>
      </c>
      <c r="S1506" t="s">
        <v>68</v>
      </c>
      <c r="T1506">
        <v>1</v>
      </c>
      <c r="U1506" t="s">
        <v>65</v>
      </c>
      <c r="V1506" t="s">
        <v>69</v>
      </c>
      <c r="W1506">
        <v>0</v>
      </c>
      <c r="X1506">
        <v>0</v>
      </c>
      <c r="Y1506">
        <v>51</v>
      </c>
      <c r="Z1506">
        <v>78</v>
      </c>
      <c r="AA1506">
        <v>80</v>
      </c>
      <c r="AB1506">
        <v>1500</v>
      </c>
      <c r="AC1506">
        <v>1002</v>
      </c>
      <c r="AD1506">
        <v>1002</v>
      </c>
      <c r="AE1506">
        <v>0</v>
      </c>
      <c r="AF1506">
        <v>0</v>
      </c>
      <c r="AG1506">
        <v>0</v>
      </c>
      <c r="AH1506">
        <v>806</v>
      </c>
      <c r="AI1506">
        <v>0</v>
      </c>
      <c r="AJ1506">
        <v>0</v>
      </c>
      <c r="AK1506">
        <v>252</v>
      </c>
      <c r="AL1506">
        <v>126</v>
      </c>
      <c r="AM1506">
        <v>0</v>
      </c>
      <c r="AN1506">
        <v>36</v>
      </c>
      <c r="AO1506">
        <v>0</v>
      </c>
      <c r="AP1506">
        <v>5</v>
      </c>
      <c r="AQ1506">
        <v>0</v>
      </c>
      <c r="AR1506">
        <v>1</v>
      </c>
      <c r="AS1506" t="s">
        <v>58</v>
      </c>
      <c r="AT1506">
        <v>1</v>
      </c>
      <c r="AU1506" t="s">
        <v>59</v>
      </c>
      <c r="AV1506" t="s">
        <v>60</v>
      </c>
      <c r="AW1506">
        <v>1</v>
      </c>
      <c r="AX1506">
        <v>3</v>
      </c>
      <c r="AY1506">
        <v>0</v>
      </c>
      <c r="AZ1506">
        <v>0</v>
      </c>
      <c r="BA1506">
        <v>100</v>
      </c>
      <c r="BB1506">
        <v>100</v>
      </c>
      <c r="BC1506">
        <v>100</v>
      </c>
      <c r="BD1506">
        <v>100</v>
      </c>
      <c r="BE1506">
        <v>1</v>
      </c>
      <c r="BF1506">
        <v>15000</v>
      </c>
      <c r="BG1506">
        <v>1000</v>
      </c>
      <c r="BH1506" s="6">
        <f>Grandview_Inventory[[#This Row],[land_extract]]*Lookups!$B$3</f>
        <v>46638.847281240982</v>
      </c>
      <c r="BI1506" s="6">
        <f>IF(Grandview_Inventory[[#This Row],[bldg_style]]="",0,Lookups!$B$2)</f>
        <v>155833.95000000001</v>
      </c>
      <c r="BJ1506" s="6">
        <f>_xlfn.IFNA(VLOOKUP(Grandview_Inventory[[#This Row],[quality]],Lookups!$H$2:$J$14,3,FALSE),0)</f>
        <v>2251</v>
      </c>
      <c r="BK1506" s="6">
        <f>_xlfn.IFNA(VLOOKUP(Grandview_Inventory[[#This Row],[condition]],Lookups!$H$17:$J$24,3,FALSE),0)</f>
        <v>-4503</v>
      </c>
      <c r="BL1506" s="6">
        <f>Grandview_Inventory[[#This Row],[Eff_Age]]*Lookups!$B$14</f>
        <v>-12197.496599999999</v>
      </c>
      <c r="BM1506" s="6">
        <f>Grandview_Inventory[[#This Row],[living_area]]*Lookups!$B$15</f>
        <v>62505.614706</v>
      </c>
      <c r="BN1506" s="6">
        <f>Grandview_Inventory[[#This Row],[Fin BSMT]]*Lookups!$B$16</f>
        <v>0</v>
      </c>
      <c r="BO1506" s="6">
        <f>(Grandview_Inventory[[#This Row],[att_gar]]+Grandview_Inventory[[#This Row],[bltin_gar]])*Lookups!$B$17</f>
        <v>0</v>
      </c>
      <c r="BP1506" s="6">
        <f>Grandview_Inventory[[#This Row],[Plumbing Fixtures]]*Lookups!$B$18</f>
        <v>10052.209000000001</v>
      </c>
      <c r="BQ1506" s="6">
        <f>Grandview_Inventory[[#This Row],[detatched_value]]*Lookups!$B$19</f>
        <v>0</v>
      </c>
      <c r="BR1506" s="6">
        <f>SUM(Grandview_Inventory[[#This Row],[Intercept]:[det_value]])*Grandview_Inventory[[#This Row],[res_pct]]</f>
        <v>213942.27710599999</v>
      </c>
      <c r="BS1506" s="6">
        <f>Grandview_Inventory[[#This Row],[land_value]]</f>
        <v>46638.847281240982</v>
      </c>
      <c r="BT1506" s="4">
        <f>_xlfn.IFNA(VLOOKUP(Grandview_Inventory[[#This Row],[quality]],Lookups!$A$26:$C$33,3,FALSE),1)</f>
        <v>0.98763855981004833</v>
      </c>
      <c r="BU1506" s="4">
        <f>_xlfn.IFNA(VLOOKUP(Grandview_Inventory[[#This Row],[condition]],Lookups!$A$37:$C$44,3,FALSE),1)</f>
        <v>0.96469275950863709</v>
      </c>
      <c r="BV1506" s="4">
        <f>IF(Grandview_Inventory[[#This Row],[bldg_style]]="",1,_xlfn.IFNA(VLOOKUP(Grandview_Inventory[[#This Row],[decade]],Lookups!$F$29:$H$43,3,FALSE),1))</f>
        <v>0.98763256963907298</v>
      </c>
      <c r="BW1506" s="4">
        <f>_xlfn.IFNA(VLOOKUP(Grandview_Inventory[[#This Row],[living_area_range]],Lookups!$F$47:$H$56,3,FALSE),1)</f>
        <v>0.96135087979789358</v>
      </c>
      <c r="BX1506" s="4">
        <f>AVERAGE(Grandview_Inventory[[#This Row],[qual_adj]:[size_adj]])</f>
        <v>0.97532869218891294</v>
      </c>
      <c r="BY1506" s="6">
        <f>IF(Grandview_Inventory[[#This Row],[pre_res]]&lt;0,0,Grandview_Inventory[[#This Row],[pre_res]]*Grandview_Inventory[[#This Row],[overall_adj]])</f>
        <v>208664.04133371299</v>
      </c>
      <c r="BZ1506" s="6">
        <f>(Grandview_Inventory[[#This Row],[sum_land]]-IF(Grandview_Inventory[[#This Row],[no_utilities]]=1,12000,0))/IF(Grandview_Inventory[[#This Row],[unbuildable]]=1,2,1)</f>
        <v>46638.847281240982</v>
      </c>
      <c r="CA150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06">
        <f>ROUND(Grandview_Inventory[[#This Row],[det_value]]*Lookups!$M$28,-2)</f>
        <v>0</v>
      </c>
      <c r="CC1506">
        <f>IF(ROUND(Grandview_Inventory[[#This Row],[adj_res]]*Lookups!$M$28,-2)&lt;Grandview_Inventory[[#This Row],[min_res]],Grandview_Inventory[[#This Row],[min_res]],ROUND(Grandview_Inventory[[#This Row],[adj_res]]*Lookups!$M$28,-2))</f>
        <v>198200</v>
      </c>
      <c r="CD1506">
        <f>Grandview_Inventory[[#This Row],[final_det]]+Grandview_Inventory[[#This Row],[final_res]]</f>
        <v>198200</v>
      </c>
      <c r="CE1506">
        <f>Grandview_Inventory[[#This Row],[final_land]]+Grandview_Inventory[[#This Row],[final_imp]]+Grandview_Inventory[[#This Row],[crop_value]]</f>
        <v>242500</v>
      </c>
      <c r="CG1506" t="str">
        <f t="shared" si="23"/>
        <v>update valuation set market_land =44300, market_bldg=198200, market_total =242500, market_mdno =401, market_date ='9/10/2023' where link_id = (select link_id from parcel where parcel_year = '2024' and parcel_id = '23092323516');</v>
      </c>
    </row>
    <row r="1507" spans="1:85" x14ac:dyDescent="0.25">
      <c r="A1507">
        <v>23092323517</v>
      </c>
      <c r="B1507">
        <v>0.2</v>
      </c>
      <c r="C1507">
        <v>8676</v>
      </c>
      <c r="D1507" t="s">
        <v>129</v>
      </c>
      <c r="E1507" t="s">
        <v>53</v>
      </c>
      <c r="F1507" t="s">
        <v>53</v>
      </c>
      <c r="G1507">
        <v>4</v>
      </c>
      <c r="H1507" t="s">
        <v>54</v>
      </c>
      <c r="I1507">
        <v>106700</v>
      </c>
      <c r="J1507">
        <v>39700</v>
      </c>
      <c r="K1507">
        <v>0.2</v>
      </c>
      <c r="L150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507">
        <v>0</v>
      </c>
      <c r="N1507">
        <v>0</v>
      </c>
      <c r="O1507">
        <v>0</v>
      </c>
      <c r="P1507">
        <v>13398.7528</v>
      </c>
      <c r="Q1507">
        <v>63903</v>
      </c>
      <c r="R1507">
        <f>(Grandview_Inventory[[#This Row],[ln_acres]]*Grandview_Inventory[[#This Row],[coeff]])+Grandview_Inventory[[#This Row],[const]]</f>
        <v>42338.539264347448</v>
      </c>
      <c r="S1507" t="s">
        <v>68</v>
      </c>
      <c r="T1507">
        <v>1</v>
      </c>
      <c r="U1507" t="s">
        <v>70</v>
      </c>
      <c r="V1507" t="s">
        <v>69</v>
      </c>
      <c r="W1507">
        <v>0</v>
      </c>
      <c r="X1507">
        <v>0</v>
      </c>
      <c r="Y1507">
        <v>53</v>
      </c>
      <c r="Z1507">
        <v>93</v>
      </c>
      <c r="AA1507">
        <v>100</v>
      </c>
      <c r="AB1507">
        <v>1000</v>
      </c>
      <c r="AC1507">
        <v>864</v>
      </c>
      <c r="AD1507">
        <v>864</v>
      </c>
      <c r="AE1507">
        <v>0</v>
      </c>
      <c r="AF1507">
        <v>0</v>
      </c>
      <c r="AG1507">
        <v>0</v>
      </c>
      <c r="AH1507">
        <v>100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16</v>
      </c>
      <c r="AO1507">
        <v>0</v>
      </c>
      <c r="AP1507">
        <v>5</v>
      </c>
      <c r="AQ1507">
        <v>0</v>
      </c>
      <c r="AR1507">
        <v>0</v>
      </c>
      <c r="AS1507" t="s">
        <v>58</v>
      </c>
      <c r="AT1507">
        <v>0</v>
      </c>
      <c r="AU1507" t="s">
        <v>82</v>
      </c>
      <c r="AV1507" t="s">
        <v>64</v>
      </c>
      <c r="AW1507">
        <v>0</v>
      </c>
      <c r="AX1507">
        <v>3</v>
      </c>
      <c r="AY1507">
        <v>0</v>
      </c>
      <c r="AZ1507">
        <v>0</v>
      </c>
      <c r="BA1507">
        <v>100</v>
      </c>
      <c r="BB1507">
        <v>100</v>
      </c>
      <c r="BC1507">
        <v>100</v>
      </c>
      <c r="BD1507">
        <v>100</v>
      </c>
      <c r="BE1507">
        <v>1</v>
      </c>
      <c r="BF1507">
        <v>15000</v>
      </c>
      <c r="BG1507">
        <v>1000</v>
      </c>
      <c r="BH1507" s="6">
        <f>Grandview_Inventory[[#This Row],[land_extract]]*Lookups!$B$3</f>
        <v>49167.631333630678</v>
      </c>
      <c r="BI1507" s="6">
        <f>IF(Grandview_Inventory[[#This Row],[bldg_style]]="",0,Lookups!$B$2)</f>
        <v>155833.95000000001</v>
      </c>
      <c r="BJ1507" s="6">
        <f>_xlfn.IFNA(VLOOKUP(Grandview_Inventory[[#This Row],[quality]],Lookups!$H$2:$J$14,3,FALSE),0)</f>
        <v>10733</v>
      </c>
      <c r="BK1507" s="6">
        <f>_xlfn.IFNA(VLOOKUP(Grandview_Inventory[[#This Row],[condition]],Lookups!$H$17:$J$24,3,FALSE),0)</f>
        <v>-4503</v>
      </c>
      <c r="BL1507" s="6">
        <f>Grandview_Inventory[[#This Row],[Eff_Age]]*Lookups!$B$14</f>
        <v>-12675.8298</v>
      </c>
      <c r="BM1507" s="6">
        <f>Grandview_Inventory[[#This Row],[living_area]]*Lookups!$B$15</f>
        <v>53897.056991999998</v>
      </c>
      <c r="BN1507" s="6">
        <f>Grandview_Inventory[[#This Row],[Fin BSMT]]*Lookups!$B$16</f>
        <v>0</v>
      </c>
      <c r="BO1507" s="6">
        <f>(Grandview_Inventory[[#This Row],[att_gar]]+Grandview_Inventory[[#This Row],[bltin_gar]])*Lookups!$B$17</f>
        <v>0</v>
      </c>
      <c r="BP1507" s="6">
        <f>Grandview_Inventory[[#This Row],[Plumbing Fixtures]]*Lookups!$B$18</f>
        <v>10052.209000000001</v>
      </c>
      <c r="BQ1507" s="6">
        <f>Grandview_Inventory[[#This Row],[detatched_value]]*Lookups!$B$19</f>
        <v>0</v>
      </c>
      <c r="BR1507" s="6">
        <f>SUM(Grandview_Inventory[[#This Row],[Intercept]:[det_value]])*Grandview_Inventory[[#This Row],[res_pct]]</f>
        <v>213337.38619200001</v>
      </c>
      <c r="BS1507" s="6">
        <f>Grandview_Inventory[[#This Row],[land_value]]</f>
        <v>49167.631333630678</v>
      </c>
      <c r="BT1507" s="4">
        <f>_xlfn.IFNA(VLOOKUP(Grandview_Inventory[[#This Row],[quality]],Lookups!$A$26:$C$33,3,FALSE),1)</f>
        <v>0.98079741117310582</v>
      </c>
      <c r="BU1507" s="4">
        <f>_xlfn.IFNA(VLOOKUP(Grandview_Inventory[[#This Row],[condition]],Lookups!$A$37:$C$44,3,FALSE),1)</f>
        <v>0.96469275950863709</v>
      </c>
      <c r="BV1507" s="4">
        <f>IF(Grandview_Inventory[[#This Row],[bldg_style]]="",1,_xlfn.IFNA(VLOOKUP(Grandview_Inventory[[#This Row],[decade]],Lookups!$F$29:$H$43,3,FALSE),1))</f>
        <v>0.95244691841736806</v>
      </c>
      <c r="BW1507" s="4">
        <f>_xlfn.IFNA(VLOOKUP(Grandview_Inventory[[#This Row],[living_area_range]],Lookups!$F$47:$H$56,3,FALSE),1)</f>
        <v>0.94306777142782894</v>
      </c>
      <c r="BX1507" s="4">
        <f>AVERAGE(Grandview_Inventory[[#This Row],[qual_adj]:[size_adj]])</f>
        <v>0.96025121513173495</v>
      </c>
      <c r="BY1507" s="6">
        <f>IF(Grandview_Inventory[[#This Row],[pre_res]]&lt;0,0,Grandview_Inventory[[#This Row],[pre_res]]*Grandview_Inventory[[#This Row],[overall_adj]])</f>
        <v>204857.48432389621</v>
      </c>
      <c r="BZ1507" s="6">
        <f>(Grandview_Inventory[[#This Row],[sum_land]]-IF(Grandview_Inventory[[#This Row],[no_utilities]]=1,12000,0))/IF(Grandview_Inventory[[#This Row],[unbuildable]]=1,2,1)</f>
        <v>49167.631333630678</v>
      </c>
      <c r="CA150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507">
        <f>ROUND(Grandview_Inventory[[#This Row],[det_value]]*Lookups!$M$28,-2)</f>
        <v>0</v>
      </c>
      <c r="CC1507">
        <f>IF(ROUND(Grandview_Inventory[[#This Row],[adj_res]]*Lookups!$M$28,-2)&lt;Grandview_Inventory[[#This Row],[min_res]],Grandview_Inventory[[#This Row],[min_res]],ROUND(Grandview_Inventory[[#This Row],[adj_res]]*Lookups!$M$28,-2))</f>
        <v>194600</v>
      </c>
      <c r="CD1507">
        <f>Grandview_Inventory[[#This Row],[final_det]]+Grandview_Inventory[[#This Row],[final_res]]</f>
        <v>194600</v>
      </c>
      <c r="CE1507">
        <f>Grandview_Inventory[[#This Row],[final_land]]+Grandview_Inventory[[#This Row],[final_imp]]+Grandview_Inventory[[#This Row],[crop_value]]</f>
        <v>241300</v>
      </c>
      <c r="CG1507" t="str">
        <f t="shared" si="23"/>
        <v>update valuation set market_land =46700, market_bldg=194600, market_total =241300, market_mdno =401, market_date ='9/10/2023' where link_id = (select link_id from parcel where parcel_year = '2024' and parcel_id = '23092323517');</v>
      </c>
    </row>
    <row r="1508" spans="1:85" x14ac:dyDescent="0.25">
      <c r="A1508">
        <v>23092323519</v>
      </c>
      <c r="B1508">
        <v>0.15</v>
      </c>
      <c r="C1508">
        <v>6489</v>
      </c>
      <c r="D1508" t="s">
        <v>129</v>
      </c>
      <c r="E1508" t="s">
        <v>53</v>
      </c>
      <c r="F1508" t="s">
        <v>53</v>
      </c>
      <c r="G1508">
        <v>4</v>
      </c>
      <c r="H1508" t="s">
        <v>54</v>
      </c>
      <c r="I1508">
        <v>106700</v>
      </c>
      <c r="J1508">
        <v>38800</v>
      </c>
      <c r="K1508">
        <v>0.15</v>
      </c>
      <c r="L1508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08">
        <v>0</v>
      </c>
      <c r="N1508">
        <v>0</v>
      </c>
      <c r="O1508">
        <v>0</v>
      </c>
      <c r="P1508">
        <v>13398.7528</v>
      </c>
      <c r="Q1508">
        <v>63903</v>
      </c>
      <c r="R1508">
        <f>(Grandview_Inventory[[#This Row],[ln_acres]]*Grandview_Inventory[[#This Row],[coeff]])+Grandview_Inventory[[#This Row],[const]]</f>
        <v>38483.958290574345</v>
      </c>
      <c r="S1508" t="s">
        <v>68</v>
      </c>
      <c r="T1508">
        <v>1</v>
      </c>
      <c r="U1508" t="s">
        <v>80</v>
      </c>
      <c r="V1508" t="s">
        <v>69</v>
      </c>
      <c r="W1508">
        <v>0</v>
      </c>
      <c r="X1508">
        <v>0</v>
      </c>
      <c r="Y1508">
        <v>53</v>
      </c>
      <c r="Z1508">
        <v>93</v>
      </c>
      <c r="AA1508">
        <v>100</v>
      </c>
      <c r="AB1508">
        <v>1500</v>
      </c>
      <c r="AC1508">
        <v>1034</v>
      </c>
      <c r="AD1508">
        <v>1034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5</v>
      </c>
      <c r="AQ1508">
        <v>0</v>
      </c>
      <c r="AR1508">
        <v>0</v>
      </c>
      <c r="AS1508" t="s">
        <v>58</v>
      </c>
      <c r="AT1508">
        <v>1</v>
      </c>
      <c r="AU1508" t="s">
        <v>63</v>
      </c>
      <c r="AV1508" t="s">
        <v>60</v>
      </c>
      <c r="AW1508">
        <v>0</v>
      </c>
      <c r="AX1508">
        <v>4</v>
      </c>
      <c r="AY1508">
        <v>0</v>
      </c>
      <c r="AZ1508">
        <v>0</v>
      </c>
      <c r="BA1508">
        <v>100</v>
      </c>
      <c r="BB1508">
        <v>100</v>
      </c>
      <c r="BC1508">
        <v>100</v>
      </c>
      <c r="BD1508">
        <v>100</v>
      </c>
      <c r="BE1508">
        <v>1</v>
      </c>
      <c r="BF1508">
        <v>15000</v>
      </c>
      <c r="BG1508">
        <v>1000</v>
      </c>
      <c r="BH1508" s="6">
        <f>Grandview_Inventory[[#This Row],[land_extract]]*Lookups!$B$3</f>
        <v>44691.316856156598</v>
      </c>
      <c r="BI1508" s="6">
        <f>IF(Grandview_Inventory[[#This Row],[bldg_style]]="",0,Lookups!$B$2)</f>
        <v>155833.95000000001</v>
      </c>
      <c r="BJ1508" s="6">
        <f>_xlfn.IFNA(VLOOKUP(Grandview_Inventory[[#This Row],[quality]],Lookups!$H$2:$J$14,3,FALSE),0)</f>
        <v>-28558</v>
      </c>
      <c r="BK1508" s="6">
        <f>_xlfn.IFNA(VLOOKUP(Grandview_Inventory[[#This Row],[condition]],Lookups!$H$17:$J$24,3,FALSE),0)</f>
        <v>-4503</v>
      </c>
      <c r="BL1508" s="6">
        <f>Grandview_Inventory[[#This Row],[Eff_Age]]*Lookups!$B$14</f>
        <v>-12675.8298</v>
      </c>
      <c r="BM1508" s="6">
        <f>Grandview_Inventory[[#This Row],[living_area]]*Lookups!$B$15</f>
        <v>64501.802002000004</v>
      </c>
      <c r="BN1508" s="6">
        <f>Grandview_Inventory[[#This Row],[Fin BSMT]]*Lookups!$B$16</f>
        <v>0</v>
      </c>
      <c r="BO1508" s="6">
        <f>(Grandview_Inventory[[#This Row],[att_gar]]+Grandview_Inventory[[#This Row],[bltin_gar]])*Lookups!$B$17</f>
        <v>0</v>
      </c>
      <c r="BP1508" s="6">
        <f>Grandview_Inventory[[#This Row],[Plumbing Fixtures]]*Lookups!$B$18</f>
        <v>10052.209000000001</v>
      </c>
      <c r="BQ1508" s="6">
        <f>Grandview_Inventory[[#This Row],[detatched_value]]*Lookups!$B$19</f>
        <v>0</v>
      </c>
      <c r="BR1508" s="6">
        <f>SUM(Grandview_Inventory[[#This Row],[Intercept]:[det_value]])*Grandview_Inventory[[#This Row],[res_pct]]</f>
        <v>184651.13120200002</v>
      </c>
      <c r="BS1508" s="6">
        <f>Grandview_Inventory[[#This Row],[land_value]]</f>
        <v>44691.316856156598</v>
      </c>
      <c r="BT1508" s="4">
        <f>_xlfn.IFNA(VLOOKUP(Grandview_Inventory[[#This Row],[quality]],Lookups!$A$26:$C$33,3,FALSE),1)</f>
        <v>0.9690360070159818</v>
      </c>
      <c r="BU1508" s="4">
        <f>_xlfn.IFNA(VLOOKUP(Grandview_Inventory[[#This Row],[condition]],Lookups!$A$37:$C$44,3,FALSE),1)</f>
        <v>0.96469275950863709</v>
      </c>
      <c r="BV1508" s="4">
        <f>IF(Grandview_Inventory[[#This Row],[bldg_style]]="",1,_xlfn.IFNA(VLOOKUP(Grandview_Inventory[[#This Row],[decade]],Lookups!$F$29:$H$43,3,FALSE),1))</f>
        <v>0.95244691841736806</v>
      </c>
      <c r="BW1508" s="4">
        <f>_xlfn.IFNA(VLOOKUP(Grandview_Inventory[[#This Row],[living_area_range]],Lookups!$F$47:$H$56,3,FALSE),1)</f>
        <v>0.96135087979789358</v>
      </c>
      <c r="BX1508" s="4">
        <f>AVERAGE(Grandview_Inventory[[#This Row],[qual_adj]:[size_adj]])</f>
        <v>0.9618816411849701</v>
      </c>
      <c r="BY1508" s="6">
        <f>IF(Grandview_Inventory[[#This Row],[pre_res]]&lt;0,0,Grandview_Inventory[[#This Row],[pre_res]]*Grandview_Inventory[[#This Row],[overall_adj]])</f>
        <v>177612.53312724101</v>
      </c>
      <c r="BZ1508" s="6">
        <f>(Grandview_Inventory[[#This Row],[sum_land]]-IF(Grandview_Inventory[[#This Row],[no_utilities]]=1,12000,0))/IF(Grandview_Inventory[[#This Row],[unbuildable]]=1,2,1)</f>
        <v>44691.316856156598</v>
      </c>
      <c r="CA1508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08">
        <f>ROUND(Grandview_Inventory[[#This Row],[det_value]]*Lookups!$M$28,-2)</f>
        <v>0</v>
      </c>
      <c r="CC1508">
        <f>IF(ROUND(Grandview_Inventory[[#This Row],[adj_res]]*Lookups!$M$28,-2)&lt;Grandview_Inventory[[#This Row],[min_res]],Grandview_Inventory[[#This Row],[min_res]],ROUND(Grandview_Inventory[[#This Row],[adj_res]]*Lookups!$M$28,-2))</f>
        <v>168700</v>
      </c>
      <c r="CD1508">
        <f>Grandview_Inventory[[#This Row],[final_det]]+Grandview_Inventory[[#This Row],[final_res]]</f>
        <v>168700</v>
      </c>
      <c r="CE1508">
        <f>Grandview_Inventory[[#This Row],[final_land]]+Grandview_Inventory[[#This Row],[final_imp]]+Grandview_Inventory[[#This Row],[crop_value]]</f>
        <v>211200</v>
      </c>
      <c r="CG1508" t="str">
        <f t="shared" si="23"/>
        <v>update valuation set market_land =42500, market_bldg=168700, market_total =211200, market_mdno =401, market_date ='9/10/2023' where link_id = (select link_id from parcel where parcel_year = '2024' and parcel_id = '23092323519');</v>
      </c>
    </row>
    <row r="1509" spans="1:85" x14ac:dyDescent="0.25">
      <c r="A1509">
        <v>23092323520</v>
      </c>
      <c r="B1509">
        <v>0.17</v>
      </c>
      <c r="C1509">
        <v>7245</v>
      </c>
      <c r="D1509" t="s">
        <v>129</v>
      </c>
      <c r="E1509" t="s">
        <v>53</v>
      </c>
      <c r="F1509" t="s">
        <v>53</v>
      </c>
      <c r="G1509">
        <v>4</v>
      </c>
      <c r="H1509" t="s">
        <v>54</v>
      </c>
      <c r="I1509">
        <v>127700</v>
      </c>
      <c r="J1509">
        <v>39100</v>
      </c>
      <c r="K1509">
        <v>0.17</v>
      </c>
      <c r="L150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09">
        <v>0</v>
      </c>
      <c r="N1509">
        <v>0</v>
      </c>
      <c r="O1509">
        <v>0</v>
      </c>
      <c r="P1509">
        <v>13398.7528</v>
      </c>
      <c r="Q1509">
        <v>63903</v>
      </c>
      <c r="R1509">
        <f>(Grandview_Inventory[[#This Row],[ln_acres]]*Grandview_Inventory[[#This Row],[coeff]])+Grandview_Inventory[[#This Row],[const]]</f>
        <v>40160.988302686128</v>
      </c>
      <c r="S1509" t="s">
        <v>68</v>
      </c>
      <c r="T1509">
        <v>1</v>
      </c>
      <c r="U1509" t="s">
        <v>70</v>
      </c>
      <c r="V1509" t="s">
        <v>78</v>
      </c>
      <c r="W1509">
        <v>0</v>
      </c>
      <c r="X1509">
        <v>0</v>
      </c>
      <c r="Y1509">
        <v>55</v>
      </c>
      <c r="Z1509">
        <v>98</v>
      </c>
      <c r="AA1509">
        <v>100</v>
      </c>
      <c r="AB1509">
        <v>1000</v>
      </c>
      <c r="AC1509">
        <v>923</v>
      </c>
      <c r="AD1509">
        <v>923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400</v>
      </c>
      <c r="AL1509">
        <v>0</v>
      </c>
      <c r="AM1509">
        <v>665</v>
      </c>
      <c r="AN1509">
        <v>48</v>
      </c>
      <c r="AO1509">
        <v>665</v>
      </c>
      <c r="AP1509">
        <v>5</v>
      </c>
      <c r="AQ1509">
        <v>1</v>
      </c>
      <c r="AR1509">
        <v>0</v>
      </c>
      <c r="AS1509" t="s">
        <v>58</v>
      </c>
      <c r="AT1509">
        <v>0</v>
      </c>
      <c r="AU1509" t="s">
        <v>134</v>
      </c>
      <c r="AV1509" t="s">
        <v>143</v>
      </c>
      <c r="AW1509">
        <v>0</v>
      </c>
      <c r="AX1509">
        <v>2</v>
      </c>
      <c r="AY1509">
        <v>0</v>
      </c>
      <c r="AZ1509">
        <v>6800</v>
      </c>
      <c r="BA1509">
        <v>100</v>
      </c>
      <c r="BB1509">
        <v>100</v>
      </c>
      <c r="BC1509">
        <v>100</v>
      </c>
      <c r="BD1509">
        <v>100</v>
      </c>
      <c r="BE1509">
        <v>1</v>
      </c>
      <c r="BF1509">
        <v>15000</v>
      </c>
      <c r="BG1509">
        <v>1000</v>
      </c>
      <c r="BH1509" s="6">
        <f>Grandview_Inventory[[#This Row],[land_extract]]*Lookups!$B$3</f>
        <v>46638.847281240982</v>
      </c>
      <c r="BI1509" s="6">
        <f>IF(Grandview_Inventory[[#This Row],[bldg_style]]="",0,Lookups!$B$2)</f>
        <v>155833.95000000001</v>
      </c>
      <c r="BJ1509" s="6">
        <f>_xlfn.IFNA(VLOOKUP(Grandview_Inventory[[#This Row],[quality]],Lookups!$H$2:$J$14,3,FALSE),0)</f>
        <v>10733</v>
      </c>
      <c r="BK1509" s="6">
        <f>_xlfn.IFNA(VLOOKUP(Grandview_Inventory[[#This Row],[condition]],Lookups!$H$17:$J$24,3,FALSE),0)</f>
        <v>-45357</v>
      </c>
      <c r="BL1509" s="6">
        <f>Grandview_Inventory[[#This Row],[Eff_Age]]*Lookups!$B$14</f>
        <v>-13154.162999999999</v>
      </c>
      <c r="BM1509" s="6">
        <f>Grandview_Inventory[[#This Row],[living_area]]*Lookups!$B$15</f>
        <v>57577.527319000001</v>
      </c>
      <c r="BN1509" s="6">
        <f>Grandview_Inventory[[#This Row],[Fin BSMT]]*Lookups!$B$16</f>
        <v>0</v>
      </c>
      <c r="BO1509" s="6">
        <f>(Grandview_Inventory[[#This Row],[att_gar]]+Grandview_Inventory[[#This Row],[bltin_gar]])*Lookups!$B$17</f>
        <v>0</v>
      </c>
      <c r="BP1509" s="6">
        <f>Grandview_Inventory[[#This Row],[Plumbing Fixtures]]*Lookups!$B$18</f>
        <v>10052.209000000001</v>
      </c>
      <c r="BQ1509" s="6">
        <f>Grandview_Inventory[[#This Row],[detatched_value]]*Lookups!$B$19</f>
        <v>5758.2746799999995</v>
      </c>
      <c r="BR1509" s="6">
        <f>SUM(Grandview_Inventory[[#This Row],[Intercept]:[det_value]])*Grandview_Inventory[[#This Row],[res_pct]]</f>
        <v>181443.797999</v>
      </c>
      <c r="BS1509" s="6">
        <f>Grandview_Inventory[[#This Row],[land_value]]</f>
        <v>46638.847281240982</v>
      </c>
      <c r="BT1509" s="4">
        <f>_xlfn.IFNA(VLOOKUP(Grandview_Inventory[[#This Row],[quality]],Lookups!$A$26:$C$33,3,FALSE),1)</f>
        <v>0.98079741117310582</v>
      </c>
      <c r="BU1509" s="4">
        <f>_xlfn.IFNA(VLOOKUP(Grandview_Inventory[[#This Row],[condition]],Lookups!$A$37:$C$44,3,FALSE),1)</f>
        <v>0.97161819570155394</v>
      </c>
      <c r="BV1509" s="4">
        <f>IF(Grandview_Inventory[[#This Row],[bldg_style]]="",1,_xlfn.IFNA(VLOOKUP(Grandview_Inventory[[#This Row],[decade]],Lookups!$F$29:$H$43,3,FALSE),1))</f>
        <v>0.95244691841736806</v>
      </c>
      <c r="BW1509" s="4">
        <f>_xlfn.IFNA(VLOOKUP(Grandview_Inventory[[#This Row],[living_area_range]],Lookups!$F$47:$H$56,3,FALSE),1)</f>
        <v>0.94306777142782894</v>
      </c>
      <c r="BX1509" s="4">
        <f>AVERAGE(Grandview_Inventory[[#This Row],[qual_adj]:[size_adj]])</f>
        <v>0.96198257417996413</v>
      </c>
      <c r="BY1509" s="6">
        <f>IF(Grandview_Inventory[[#This Row],[pre_res]]&lt;0,0,Grandview_Inventory[[#This Row],[pre_res]]*Grandview_Inventory[[#This Row],[overall_adj]])</f>
        <v>174545.77186806744</v>
      </c>
      <c r="BZ1509" s="6">
        <f>(Grandview_Inventory[[#This Row],[sum_land]]-IF(Grandview_Inventory[[#This Row],[no_utilities]]=1,12000,0))/IF(Grandview_Inventory[[#This Row],[unbuildable]]=1,2,1)</f>
        <v>46638.847281240982</v>
      </c>
      <c r="CA150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09">
        <f>ROUND(Grandview_Inventory[[#This Row],[det_value]]*Lookups!$M$28,-2)</f>
        <v>5500</v>
      </c>
      <c r="CC1509">
        <f>IF(ROUND(Grandview_Inventory[[#This Row],[adj_res]]*Lookups!$M$28,-2)&lt;Grandview_Inventory[[#This Row],[min_res]],Grandview_Inventory[[#This Row],[min_res]],ROUND(Grandview_Inventory[[#This Row],[adj_res]]*Lookups!$M$28,-2))</f>
        <v>165800</v>
      </c>
      <c r="CD1509">
        <f>Grandview_Inventory[[#This Row],[final_det]]+Grandview_Inventory[[#This Row],[final_res]]</f>
        <v>171300</v>
      </c>
      <c r="CE1509">
        <f>Grandview_Inventory[[#This Row],[final_land]]+Grandview_Inventory[[#This Row],[final_imp]]+Grandview_Inventory[[#This Row],[crop_value]]</f>
        <v>215600</v>
      </c>
      <c r="CG1509" t="str">
        <f t="shared" si="23"/>
        <v>update valuation set market_land =44300, market_bldg=171300, market_total =215600, market_mdno =401, market_date ='9/10/2023' where link_id = (select link_id from parcel where parcel_year = '2024' and parcel_id = '23092323520');</v>
      </c>
    </row>
    <row r="1510" spans="1:85" x14ac:dyDescent="0.25">
      <c r="A1510">
        <v>23092323521</v>
      </c>
      <c r="B1510">
        <v>0.17</v>
      </c>
      <c r="C1510">
        <v>7336</v>
      </c>
      <c r="D1510" t="s">
        <v>129</v>
      </c>
      <c r="E1510" t="s">
        <v>53</v>
      </c>
      <c r="F1510" t="s">
        <v>53</v>
      </c>
      <c r="G1510">
        <v>4</v>
      </c>
      <c r="H1510" t="s">
        <v>54</v>
      </c>
      <c r="I1510">
        <v>112000</v>
      </c>
      <c r="J1510">
        <v>31300</v>
      </c>
      <c r="K1510">
        <v>0.17</v>
      </c>
      <c r="L151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10">
        <v>0</v>
      </c>
      <c r="N1510">
        <v>0</v>
      </c>
      <c r="O1510">
        <v>0</v>
      </c>
      <c r="P1510">
        <v>13398.7528</v>
      </c>
      <c r="Q1510">
        <v>63903</v>
      </c>
      <c r="R1510">
        <f>(Grandview_Inventory[[#This Row],[ln_acres]]*Grandview_Inventory[[#This Row],[coeff]])+Grandview_Inventory[[#This Row],[const]]</f>
        <v>40160.988302686128</v>
      </c>
      <c r="S1510" t="s">
        <v>68</v>
      </c>
      <c r="T1510">
        <v>1</v>
      </c>
      <c r="U1510" t="s">
        <v>80</v>
      </c>
      <c r="V1510" t="s">
        <v>67</v>
      </c>
      <c r="W1510">
        <v>0</v>
      </c>
      <c r="X1510">
        <v>0</v>
      </c>
      <c r="Y1510">
        <v>53</v>
      </c>
      <c r="Z1510">
        <v>93</v>
      </c>
      <c r="AA1510">
        <v>100</v>
      </c>
      <c r="AB1510">
        <v>1000</v>
      </c>
      <c r="AC1510">
        <v>608</v>
      </c>
      <c r="AD1510">
        <v>608</v>
      </c>
      <c r="AE1510">
        <v>0</v>
      </c>
      <c r="AF1510">
        <v>0</v>
      </c>
      <c r="AG1510">
        <v>0</v>
      </c>
      <c r="AH1510">
        <v>336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5</v>
      </c>
      <c r="AQ1510">
        <v>0</v>
      </c>
      <c r="AR1510">
        <v>0</v>
      </c>
      <c r="AS1510" t="s">
        <v>58</v>
      </c>
      <c r="AT1510">
        <v>0</v>
      </c>
      <c r="AU1510" t="s">
        <v>134</v>
      </c>
      <c r="AV1510" t="s">
        <v>60</v>
      </c>
      <c r="AW1510">
        <v>0</v>
      </c>
      <c r="AX1510">
        <v>2</v>
      </c>
      <c r="AY1510">
        <v>0</v>
      </c>
      <c r="AZ1510">
        <v>0</v>
      </c>
      <c r="BA1510">
        <v>100</v>
      </c>
      <c r="BB1510">
        <v>100</v>
      </c>
      <c r="BC1510">
        <v>100</v>
      </c>
      <c r="BD1510">
        <v>100</v>
      </c>
      <c r="BE1510">
        <v>1</v>
      </c>
      <c r="BF1510">
        <v>15000</v>
      </c>
      <c r="BG1510">
        <v>1000</v>
      </c>
      <c r="BH1510" s="6">
        <f>Grandview_Inventory[[#This Row],[land_extract]]*Lookups!$B$3</f>
        <v>46638.847281240982</v>
      </c>
      <c r="BI1510" s="6">
        <f>IF(Grandview_Inventory[[#This Row],[bldg_style]]="",0,Lookups!$B$2)</f>
        <v>155833.95000000001</v>
      </c>
      <c r="BJ1510" s="6">
        <f>_xlfn.IFNA(VLOOKUP(Grandview_Inventory[[#This Row],[quality]],Lookups!$H$2:$J$14,3,FALSE),0)</f>
        <v>-28558</v>
      </c>
      <c r="BK1510" s="6">
        <f>_xlfn.IFNA(VLOOKUP(Grandview_Inventory[[#This Row],[condition]],Lookups!$H$17:$J$24,3,FALSE),0)</f>
        <v>22342</v>
      </c>
      <c r="BL1510" s="6">
        <f>Grandview_Inventory[[#This Row],[Eff_Age]]*Lookups!$B$14</f>
        <v>-12675.8298</v>
      </c>
      <c r="BM1510" s="6">
        <f>Grandview_Inventory[[#This Row],[living_area]]*Lookups!$B$15</f>
        <v>37927.558623999998</v>
      </c>
      <c r="BN1510" s="6">
        <f>Grandview_Inventory[[#This Row],[Fin BSMT]]*Lookups!$B$16</f>
        <v>0</v>
      </c>
      <c r="BO1510" s="6">
        <f>(Grandview_Inventory[[#This Row],[att_gar]]+Grandview_Inventory[[#This Row],[bltin_gar]])*Lookups!$B$17</f>
        <v>0</v>
      </c>
      <c r="BP1510" s="6">
        <f>Grandview_Inventory[[#This Row],[Plumbing Fixtures]]*Lookups!$B$18</f>
        <v>10052.209000000001</v>
      </c>
      <c r="BQ1510" s="6">
        <f>Grandview_Inventory[[#This Row],[detatched_value]]*Lookups!$B$19</f>
        <v>0</v>
      </c>
      <c r="BR1510" s="6">
        <f>SUM(Grandview_Inventory[[#This Row],[Intercept]:[det_value]])*Grandview_Inventory[[#This Row],[res_pct]]</f>
        <v>184921.887824</v>
      </c>
      <c r="BS1510" s="6">
        <f>Grandview_Inventory[[#This Row],[land_value]]</f>
        <v>46638.847281240982</v>
      </c>
      <c r="BT1510" s="4">
        <f>_xlfn.IFNA(VLOOKUP(Grandview_Inventory[[#This Row],[quality]],Lookups!$A$26:$C$33,3,FALSE),1)</f>
        <v>0.9690360070159818</v>
      </c>
      <c r="BU1510" s="4">
        <f>_xlfn.IFNA(VLOOKUP(Grandview_Inventory[[#This Row],[condition]],Lookups!$A$37:$C$44,3,FALSE),1)</f>
        <v>0.97383723671140243</v>
      </c>
      <c r="BV1510" s="4">
        <f>IF(Grandview_Inventory[[#This Row],[bldg_style]]="",1,_xlfn.IFNA(VLOOKUP(Grandview_Inventory[[#This Row],[decade]],Lookups!$F$29:$H$43,3,FALSE),1))</f>
        <v>0.95244691841736806</v>
      </c>
      <c r="BW1510" s="4">
        <f>_xlfn.IFNA(VLOOKUP(Grandview_Inventory[[#This Row],[living_area_range]],Lookups!$F$47:$H$56,3,FALSE),1)</f>
        <v>0.94306777142782894</v>
      </c>
      <c r="BX1510" s="4">
        <f>AVERAGE(Grandview_Inventory[[#This Row],[qual_adj]:[size_adj]])</f>
        <v>0.95959698339314525</v>
      </c>
      <c r="BY1510" s="6">
        <f>IF(Grandview_Inventory[[#This Row],[pre_res]]&lt;0,0,Grandview_Inventory[[#This Row],[pre_res]]*Grandview_Inventory[[#This Row],[overall_adj]])</f>
        <v>177450.48571927601</v>
      </c>
      <c r="BZ1510" s="6">
        <f>(Grandview_Inventory[[#This Row],[sum_land]]-IF(Grandview_Inventory[[#This Row],[no_utilities]]=1,12000,0))/IF(Grandview_Inventory[[#This Row],[unbuildable]]=1,2,1)</f>
        <v>46638.847281240982</v>
      </c>
      <c r="CA151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10">
        <f>ROUND(Grandview_Inventory[[#This Row],[det_value]]*Lookups!$M$28,-2)</f>
        <v>0</v>
      </c>
      <c r="CC1510">
        <f>IF(ROUND(Grandview_Inventory[[#This Row],[adj_res]]*Lookups!$M$28,-2)&lt;Grandview_Inventory[[#This Row],[min_res]],Grandview_Inventory[[#This Row],[min_res]],ROUND(Grandview_Inventory[[#This Row],[adj_res]]*Lookups!$M$28,-2))</f>
        <v>168600</v>
      </c>
      <c r="CD1510">
        <f>Grandview_Inventory[[#This Row],[final_det]]+Grandview_Inventory[[#This Row],[final_res]]</f>
        <v>168600</v>
      </c>
      <c r="CE1510">
        <f>Grandview_Inventory[[#This Row],[final_land]]+Grandview_Inventory[[#This Row],[final_imp]]+Grandview_Inventory[[#This Row],[crop_value]]</f>
        <v>212900</v>
      </c>
      <c r="CG1510" t="str">
        <f t="shared" si="23"/>
        <v>update valuation set market_land =44300, market_bldg=168600, market_total =212900, market_mdno =401, market_date ='9/10/2023' where link_id = (select link_id from parcel where parcel_year = '2024' and parcel_id = '23092323521');</v>
      </c>
    </row>
    <row r="1511" spans="1:85" x14ac:dyDescent="0.25">
      <c r="A1511">
        <v>23092323522</v>
      </c>
      <c r="B1511">
        <v>0.18</v>
      </c>
      <c r="C1511">
        <v>7865</v>
      </c>
      <c r="D1511" t="s">
        <v>129</v>
      </c>
      <c r="E1511" t="s">
        <v>53</v>
      </c>
      <c r="F1511" t="s">
        <v>53</v>
      </c>
      <c r="G1511">
        <v>4</v>
      </c>
      <c r="H1511" t="s">
        <v>54</v>
      </c>
      <c r="I1511">
        <v>122800</v>
      </c>
      <c r="J1511">
        <v>39500</v>
      </c>
      <c r="K1511">
        <v>0.18</v>
      </c>
      <c r="L151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11">
        <v>0</v>
      </c>
      <c r="N1511">
        <v>0</v>
      </c>
      <c r="O1511">
        <v>0</v>
      </c>
      <c r="P1511">
        <v>13398.7528</v>
      </c>
      <c r="Q1511">
        <v>63903</v>
      </c>
      <c r="R1511">
        <f>(Grandview_Inventory[[#This Row],[ln_acres]]*Grandview_Inventory[[#This Row],[coeff]])+Grandview_Inventory[[#This Row],[const]]</f>
        <v>40926.839760167699</v>
      </c>
      <c r="S1511" t="s">
        <v>68</v>
      </c>
      <c r="T1511">
        <v>1</v>
      </c>
      <c r="U1511" t="s">
        <v>80</v>
      </c>
      <c r="V1511" t="s">
        <v>69</v>
      </c>
      <c r="W1511">
        <v>0</v>
      </c>
      <c r="X1511">
        <v>0</v>
      </c>
      <c r="Y1511">
        <v>51</v>
      </c>
      <c r="Z1511">
        <v>83</v>
      </c>
      <c r="AA1511">
        <v>90</v>
      </c>
      <c r="AB1511">
        <v>1500</v>
      </c>
      <c r="AC1511">
        <v>1176</v>
      </c>
      <c r="AD1511">
        <v>1176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384</v>
      </c>
      <c r="AL1511">
        <v>0</v>
      </c>
      <c r="AM1511">
        <v>280</v>
      </c>
      <c r="AN1511">
        <v>20</v>
      </c>
      <c r="AO1511">
        <v>280</v>
      </c>
      <c r="AP1511">
        <v>5</v>
      </c>
      <c r="AQ1511">
        <v>0</v>
      </c>
      <c r="AR1511">
        <v>0</v>
      </c>
      <c r="AS1511" t="s">
        <v>58</v>
      </c>
      <c r="AT1511">
        <v>1</v>
      </c>
      <c r="AU1511" t="s">
        <v>63</v>
      </c>
      <c r="AV1511" t="s">
        <v>60</v>
      </c>
      <c r="AW1511">
        <v>0</v>
      </c>
      <c r="AX1511">
        <v>4</v>
      </c>
      <c r="AY1511">
        <v>0</v>
      </c>
      <c r="AZ1511">
        <v>0</v>
      </c>
      <c r="BA1511">
        <v>100</v>
      </c>
      <c r="BB1511">
        <v>100</v>
      </c>
      <c r="BC1511">
        <v>100</v>
      </c>
      <c r="BD1511">
        <v>100</v>
      </c>
      <c r="BE1511">
        <v>1</v>
      </c>
      <c r="BF1511">
        <v>15000</v>
      </c>
      <c r="BG1511">
        <v>1000</v>
      </c>
      <c r="BH1511" s="6">
        <f>Grandview_Inventory[[#This Row],[land_extract]]*Lookups!$B$3</f>
        <v>47528.228511015397</v>
      </c>
      <c r="BI1511" s="6">
        <f>IF(Grandview_Inventory[[#This Row],[bldg_style]]="",0,Lookups!$B$2)</f>
        <v>155833.95000000001</v>
      </c>
      <c r="BJ1511" s="6">
        <f>_xlfn.IFNA(VLOOKUP(Grandview_Inventory[[#This Row],[quality]],Lookups!$H$2:$J$14,3,FALSE),0)</f>
        <v>-28558</v>
      </c>
      <c r="BK1511" s="6">
        <f>_xlfn.IFNA(VLOOKUP(Grandview_Inventory[[#This Row],[condition]],Lookups!$H$17:$J$24,3,FALSE),0)</f>
        <v>-4503</v>
      </c>
      <c r="BL1511" s="6">
        <f>Grandview_Inventory[[#This Row],[Eff_Age]]*Lookups!$B$14</f>
        <v>-12197.496599999999</v>
      </c>
      <c r="BM1511" s="6">
        <f>Grandview_Inventory[[#This Row],[living_area]]*Lookups!$B$15</f>
        <v>73359.883128000001</v>
      </c>
      <c r="BN1511" s="6">
        <f>Grandview_Inventory[[#This Row],[Fin BSMT]]*Lookups!$B$16</f>
        <v>0</v>
      </c>
      <c r="BO1511" s="6">
        <f>(Grandview_Inventory[[#This Row],[att_gar]]+Grandview_Inventory[[#This Row],[bltin_gar]])*Lookups!$B$17</f>
        <v>0</v>
      </c>
      <c r="BP1511" s="6">
        <f>Grandview_Inventory[[#This Row],[Plumbing Fixtures]]*Lookups!$B$18</f>
        <v>10052.209000000001</v>
      </c>
      <c r="BQ1511" s="6">
        <f>Grandview_Inventory[[#This Row],[detatched_value]]*Lookups!$B$19</f>
        <v>0</v>
      </c>
      <c r="BR1511" s="6">
        <f>SUM(Grandview_Inventory[[#This Row],[Intercept]:[det_value]])*Grandview_Inventory[[#This Row],[res_pct]]</f>
        <v>193987.54552800002</v>
      </c>
      <c r="BS1511" s="6">
        <f>Grandview_Inventory[[#This Row],[land_value]]</f>
        <v>47528.228511015397</v>
      </c>
      <c r="BT1511" s="4">
        <f>_xlfn.IFNA(VLOOKUP(Grandview_Inventory[[#This Row],[quality]],Lookups!$A$26:$C$33,3,FALSE),1)</f>
        <v>0.9690360070159818</v>
      </c>
      <c r="BU1511" s="4">
        <f>_xlfn.IFNA(VLOOKUP(Grandview_Inventory[[#This Row],[condition]],Lookups!$A$37:$C$44,3,FALSE),1)</f>
        <v>0.96469275950863709</v>
      </c>
      <c r="BV1511" s="4">
        <f>IF(Grandview_Inventory[[#This Row],[bldg_style]]="",1,_xlfn.IFNA(VLOOKUP(Grandview_Inventory[[#This Row],[decade]],Lookups!$F$29:$H$43,3,FALSE),1))</f>
        <v>0.94161750052457416</v>
      </c>
      <c r="BW1511" s="4">
        <f>_xlfn.IFNA(VLOOKUP(Grandview_Inventory[[#This Row],[living_area_range]],Lookups!$F$47:$H$56,3,FALSE),1)</f>
        <v>0.96135087979789358</v>
      </c>
      <c r="BX1511" s="4">
        <f>AVERAGE(Grandview_Inventory[[#This Row],[qual_adj]:[size_adj]])</f>
        <v>0.95917428671177163</v>
      </c>
      <c r="BY1511" s="6">
        <f>IF(Grandview_Inventory[[#This Row],[pre_res]]&lt;0,0,Grandview_Inventory[[#This Row],[pre_res]]*Grandview_Inventory[[#This Row],[overall_adj]])</f>
        <v>186067.86561278673</v>
      </c>
      <c r="BZ1511" s="6">
        <f>(Grandview_Inventory[[#This Row],[sum_land]]-IF(Grandview_Inventory[[#This Row],[no_utilities]]=1,12000,0))/IF(Grandview_Inventory[[#This Row],[unbuildable]]=1,2,1)</f>
        <v>47528.228511015397</v>
      </c>
      <c r="CA151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11">
        <f>ROUND(Grandview_Inventory[[#This Row],[det_value]]*Lookups!$M$28,-2)</f>
        <v>0</v>
      </c>
      <c r="CC1511">
        <f>IF(ROUND(Grandview_Inventory[[#This Row],[adj_res]]*Lookups!$M$28,-2)&lt;Grandview_Inventory[[#This Row],[min_res]],Grandview_Inventory[[#This Row],[min_res]],ROUND(Grandview_Inventory[[#This Row],[adj_res]]*Lookups!$M$28,-2))</f>
        <v>176800</v>
      </c>
      <c r="CD1511">
        <f>Grandview_Inventory[[#This Row],[final_det]]+Grandview_Inventory[[#This Row],[final_res]]</f>
        <v>176800</v>
      </c>
      <c r="CE1511">
        <f>Grandview_Inventory[[#This Row],[final_land]]+Grandview_Inventory[[#This Row],[final_imp]]+Grandview_Inventory[[#This Row],[crop_value]]</f>
        <v>222000</v>
      </c>
      <c r="CG1511" t="str">
        <f t="shared" si="23"/>
        <v>update valuation set market_land =45200, market_bldg=176800, market_total =222000, market_mdno =401, market_date ='9/10/2023' where link_id = (select link_id from parcel where parcel_year = '2024' and parcel_id = '23092323522');</v>
      </c>
    </row>
    <row r="1512" spans="1:85" x14ac:dyDescent="0.25">
      <c r="A1512">
        <v>23092323523</v>
      </c>
      <c r="B1512">
        <v>0.13</v>
      </c>
      <c r="C1512">
        <v>5782</v>
      </c>
      <c r="D1512" t="s">
        <v>129</v>
      </c>
      <c r="E1512" t="s">
        <v>53</v>
      </c>
      <c r="F1512" t="s">
        <v>53</v>
      </c>
      <c r="G1512">
        <v>4</v>
      </c>
      <c r="H1512" t="s">
        <v>54</v>
      </c>
      <c r="I1512">
        <v>107800</v>
      </c>
      <c r="J1512">
        <v>38600</v>
      </c>
      <c r="K1512">
        <v>0.13</v>
      </c>
      <c r="L1512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512">
        <v>0</v>
      </c>
      <c r="N1512">
        <v>0</v>
      </c>
      <c r="O1512">
        <v>0</v>
      </c>
      <c r="P1512">
        <v>13398.7528</v>
      </c>
      <c r="Q1512">
        <v>63903</v>
      </c>
      <c r="R1512">
        <f>(Grandview_Inventory[[#This Row],[ln_acres]]*Grandview_Inventory[[#This Row],[coeff]])+Grandview_Inventory[[#This Row],[const]]</f>
        <v>36566.585461161507</v>
      </c>
      <c r="S1512" t="s">
        <v>68</v>
      </c>
      <c r="T1512">
        <v>1</v>
      </c>
      <c r="U1512" t="s">
        <v>70</v>
      </c>
      <c r="V1512" t="s">
        <v>69</v>
      </c>
      <c r="W1512">
        <v>0</v>
      </c>
      <c r="X1512">
        <v>0</v>
      </c>
      <c r="Y1512">
        <v>51</v>
      </c>
      <c r="Z1512">
        <v>78</v>
      </c>
      <c r="AA1512">
        <v>80</v>
      </c>
      <c r="AB1512">
        <v>1000</v>
      </c>
      <c r="AC1512">
        <v>720</v>
      </c>
      <c r="AD1512">
        <v>720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5</v>
      </c>
      <c r="AQ1512">
        <v>0</v>
      </c>
      <c r="AR1512">
        <v>0</v>
      </c>
      <c r="AS1512" t="s">
        <v>58</v>
      </c>
      <c r="AT1512">
        <v>1</v>
      </c>
      <c r="AU1512" t="s">
        <v>75</v>
      </c>
      <c r="AV1512" t="s">
        <v>60</v>
      </c>
      <c r="AW1512">
        <v>0</v>
      </c>
      <c r="AX1512">
        <v>2</v>
      </c>
      <c r="AY1512">
        <v>0</v>
      </c>
      <c r="AZ1512">
        <v>0</v>
      </c>
      <c r="BA1512">
        <v>100</v>
      </c>
      <c r="BB1512">
        <v>100</v>
      </c>
      <c r="BC1512">
        <v>100</v>
      </c>
      <c r="BD1512">
        <v>100</v>
      </c>
      <c r="BE1512">
        <v>1</v>
      </c>
      <c r="BF1512">
        <v>15000</v>
      </c>
      <c r="BG1512">
        <v>1000</v>
      </c>
      <c r="BH1512" s="6">
        <f>Grandview_Inventory[[#This Row],[land_extract]]*Lookups!$B$3</f>
        <v>42464.67696626611</v>
      </c>
      <c r="BI1512" s="6">
        <f>IF(Grandview_Inventory[[#This Row],[bldg_style]]="",0,Lookups!$B$2)</f>
        <v>155833.95000000001</v>
      </c>
      <c r="BJ1512" s="6">
        <f>_xlfn.IFNA(VLOOKUP(Grandview_Inventory[[#This Row],[quality]],Lookups!$H$2:$J$14,3,FALSE),0)</f>
        <v>10733</v>
      </c>
      <c r="BK1512" s="6">
        <f>_xlfn.IFNA(VLOOKUP(Grandview_Inventory[[#This Row],[condition]],Lookups!$H$17:$J$24,3,FALSE),0)</f>
        <v>-4503</v>
      </c>
      <c r="BL1512" s="6">
        <f>Grandview_Inventory[[#This Row],[Eff_Age]]*Lookups!$B$14</f>
        <v>-12197.496599999999</v>
      </c>
      <c r="BM1512" s="6">
        <f>Grandview_Inventory[[#This Row],[living_area]]*Lookups!$B$15</f>
        <v>44914.214160000003</v>
      </c>
      <c r="BN1512" s="6">
        <f>Grandview_Inventory[[#This Row],[Fin BSMT]]*Lookups!$B$16</f>
        <v>0</v>
      </c>
      <c r="BO1512" s="6">
        <f>(Grandview_Inventory[[#This Row],[att_gar]]+Grandview_Inventory[[#This Row],[bltin_gar]])*Lookups!$B$17</f>
        <v>0</v>
      </c>
      <c r="BP1512" s="6">
        <f>Grandview_Inventory[[#This Row],[Plumbing Fixtures]]*Lookups!$B$18</f>
        <v>10052.209000000001</v>
      </c>
      <c r="BQ1512" s="6">
        <f>Grandview_Inventory[[#This Row],[detatched_value]]*Lookups!$B$19</f>
        <v>0</v>
      </c>
      <c r="BR1512" s="6">
        <f>SUM(Grandview_Inventory[[#This Row],[Intercept]:[det_value]])*Grandview_Inventory[[#This Row],[res_pct]]</f>
        <v>204832.87656</v>
      </c>
      <c r="BS1512" s="6">
        <f>Grandview_Inventory[[#This Row],[land_value]]</f>
        <v>42464.67696626611</v>
      </c>
      <c r="BT1512" s="4">
        <f>_xlfn.IFNA(VLOOKUP(Grandview_Inventory[[#This Row],[quality]],Lookups!$A$26:$C$33,3,FALSE),1)</f>
        <v>0.98079741117310582</v>
      </c>
      <c r="BU1512" s="4">
        <f>_xlfn.IFNA(VLOOKUP(Grandview_Inventory[[#This Row],[condition]],Lookups!$A$37:$C$44,3,FALSE),1)</f>
        <v>0.96469275950863709</v>
      </c>
      <c r="BV1512" s="4">
        <f>IF(Grandview_Inventory[[#This Row],[bldg_style]]="",1,_xlfn.IFNA(VLOOKUP(Grandview_Inventory[[#This Row],[decade]],Lookups!$F$29:$H$43,3,FALSE),1))</f>
        <v>0.98763256963907298</v>
      </c>
      <c r="BW1512" s="4">
        <f>_xlfn.IFNA(VLOOKUP(Grandview_Inventory[[#This Row],[living_area_range]],Lookups!$F$47:$H$56,3,FALSE),1)</f>
        <v>0.94306777142782894</v>
      </c>
      <c r="BX1512" s="4">
        <f>AVERAGE(Grandview_Inventory[[#This Row],[qual_adj]:[size_adj]])</f>
        <v>0.96904762793716115</v>
      </c>
      <c r="BY1512" s="6">
        <f>IF(Grandview_Inventory[[#This Row],[pre_res]]&lt;0,0,Grandview_Inventory[[#This Row],[pre_res]]*Grandview_Inventory[[#This Row],[overall_adj]])</f>
        <v>198492.81315401333</v>
      </c>
      <c r="BZ1512" s="6">
        <f>(Grandview_Inventory[[#This Row],[sum_land]]-IF(Grandview_Inventory[[#This Row],[no_utilities]]=1,12000,0))/IF(Grandview_Inventory[[#This Row],[unbuildable]]=1,2,1)</f>
        <v>42464.67696626611</v>
      </c>
      <c r="CA1512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512">
        <f>ROUND(Grandview_Inventory[[#This Row],[det_value]]*Lookups!$M$28,-2)</f>
        <v>0</v>
      </c>
      <c r="CC1512">
        <f>IF(ROUND(Grandview_Inventory[[#This Row],[adj_res]]*Lookups!$M$28,-2)&lt;Grandview_Inventory[[#This Row],[min_res]],Grandview_Inventory[[#This Row],[min_res]],ROUND(Grandview_Inventory[[#This Row],[adj_res]]*Lookups!$M$28,-2))</f>
        <v>188600</v>
      </c>
      <c r="CD1512">
        <f>Grandview_Inventory[[#This Row],[final_det]]+Grandview_Inventory[[#This Row],[final_res]]</f>
        <v>188600</v>
      </c>
      <c r="CE1512">
        <f>Grandview_Inventory[[#This Row],[final_land]]+Grandview_Inventory[[#This Row],[final_imp]]+Grandview_Inventory[[#This Row],[crop_value]]</f>
        <v>228900</v>
      </c>
      <c r="CG1512" t="str">
        <f t="shared" si="23"/>
        <v>update valuation set market_land =40300, market_bldg=188600, market_total =228900, market_mdno =401, market_date ='9/10/2023' where link_id = (select link_id from parcel where parcel_year = '2024' and parcel_id = '23092323523');</v>
      </c>
    </row>
    <row r="1513" spans="1:85" x14ac:dyDescent="0.25">
      <c r="A1513">
        <v>23092323526</v>
      </c>
      <c r="B1513">
        <v>7.0000000000000007E-2</v>
      </c>
      <c r="C1513">
        <v>3188</v>
      </c>
      <c r="D1513" t="s">
        <v>129</v>
      </c>
      <c r="E1513" t="s">
        <v>53</v>
      </c>
      <c r="F1513" t="s">
        <v>53</v>
      </c>
      <c r="G1513">
        <v>4</v>
      </c>
      <c r="H1513" t="s">
        <v>54</v>
      </c>
      <c r="I1513">
        <v>166500</v>
      </c>
      <c r="J1513">
        <v>37200</v>
      </c>
      <c r="K1513">
        <v>7.0000000000000007E-2</v>
      </c>
      <c r="L1513">
        <f>IF(Grandview_Inventory[[#This Row],[parcel_acres]]-Grandview_Inventory[[#This Row],[non_valued_acres]] =0,0,LN(Grandview_Inventory[[#This Row],[parcel_acres]]-Grandview_Inventory[[#This Row],[non_valued_acres]]))</f>
        <v>-2.6592600369327779</v>
      </c>
      <c r="M1513">
        <v>0</v>
      </c>
      <c r="N1513">
        <v>0</v>
      </c>
      <c r="O1513">
        <v>0</v>
      </c>
      <c r="P1513">
        <v>13398.7528</v>
      </c>
      <c r="Q1513">
        <v>63903</v>
      </c>
      <c r="R1513">
        <f>(Grandview_Inventory[[#This Row],[ln_acres]]*Grandview_Inventory[[#This Row],[coeff]])+Grandview_Inventory[[#This Row],[const]]</f>
        <v>28272.232134218837</v>
      </c>
      <c r="S1513" t="s">
        <v>55</v>
      </c>
      <c r="T1513">
        <v>2</v>
      </c>
      <c r="U1513" t="s">
        <v>80</v>
      </c>
      <c r="V1513" t="s">
        <v>67</v>
      </c>
      <c r="W1513">
        <v>0</v>
      </c>
      <c r="X1513">
        <v>0</v>
      </c>
      <c r="Y1513">
        <v>47</v>
      </c>
      <c r="Z1513">
        <v>103</v>
      </c>
      <c r="AA1513">
        <v>110</v>
      </c>
      <c r="AB1513">
        <v>1500</v>
      </c>
      <c r="AC1513">
        <v>1281</v>
      </c>
      <c r="AD1513">
        <v>768</v>
      </c>
      <c r="AE1513">
        <v>513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396</v>
      </c>
      <c r="AL1513">
        <v>0</v>
      </c>
      <c r="AM1513">
        <v>0</v>
      </c>
      <c r="AN1513">
        <v>35</v>
      </c>
      <c r="AO1513">
        <v>0</v>
      </c>
      <c r="AP1513">
        <v>5</v>
      </c>
      <c r="AQ1513">
        <v>0</v>
      </c>
      <c r="AR1513">
        <v>0</v>
      </c>
      <c r="AS1513" t="s">
        <v>58</v>
      </c>
      <c r="AT1513">
        <v>1</v>
      </c>
      <c r="AU1513" t="s">
        <v>63</v>
      </c>
      <c r="AV1513" t="s">
        <v>64</v>
      </c>
      <c r="AW1513">
        <v>0</v>
      </c>
      <c r="AX1513">
        <v>3</v>
      </c>
      <c r="AY1513">
        <v>0</v>
      </c>
      <c r="AZ1513">
        <v>0</v>
      </c>
      <c r="BA1513">
        <v>100</v>
      </c>
      <c r="BB1513">
        <v>100</v>
      </c>
      <c r="BC1513">
        <v>100</v>
      </c>
      <c r="BD1513">
        <v>100</v>
      </c>
      <c r="BE1513">
        <v>1</v>
      </c>
      <c r="BF1513">
        <v>15000</v>
      </c>
      <c r="BG1513">
        <v>1000</v>
      </c>
      <c r="BH1513" s="6">
        <f>Grandview_Inventory[[#This Row],[land_extract]]*Lookups!$B$3</f>
        <v>32832.466842441572</v>
      </c>
      <c r="BI1513" s="6">
        <f>IF(Grandview_Inventory[[#This Row],[bldg_style]]="",0,Lookups!$B$2)</f>
        <v>155833.95000000001</v>
      </c>
      <c r="BJ1513" s="6">
        <f>_xlfn.IFNA(VLOOKUP(Grandview_Inventory[[#This Row],[quality]],Lookups!$H$2:$J$14,3,FALSE),0)</f>
        <v>-28558</v>
      </c>
      <c r="BK1513" s="6">
        <f>_xlfn.IFNA(VLOOKUP(Grandview_Inventory[[#This Row],[condition]],Lookups!$H$17:$J$24,3,FALSE),0)</f>
        <v>22342</v>
      </c>
      <c r="BL1513" s="6">
        <f>Grandview_Inventory[[#This Row],[Eff_Age]]*Lookups!$B$14</f>
        <v>-11240.8302</v>
      </c>
      <c r="BM1513" s="6">
        <f>Grandview_Inventory[[#This Row],[living_area]]*Lookups!$B$15</f>
        <v>79909.872692999998</v>
      </c>
      <c r="BN1513" s="6">
        <f>Grandview_Inventory[[#This Row],[Fin BSMT]]*Lookups!$B$16</f>
        <v>0</v>
      </c>
      <c r="BO1513" s="6">
        <f>(Grandview_Inventory[[#This Row],[att_gar]]+Grandview_Inventory[[#This Row],[bltin_gar]])*Lookups!$B$17</f>
        <v>0</v>
      </c>
      <c r="BP1513" s="6">
        <f>Grandview_Inventory[[#This Row],[Plumbing Fixtures]]*Lookups!$B$18</f>
        <v>10052.209000000001</v>
      </c>
      <c r="BQ1513" s="6">
        <f>Grandview_Inventory[[#This Row],[detatched_value]]*Lookups!$B$19</f>
        <v>0</v>
      </c>
      <c r="BR1513" s="6">
        <f>SUM(Grandview_Inventory[[#This Row],[Intercept]:[det_value]])*Grandview_Inventory[[#This Row],[res_pct]]</f>
        <v>228339.201493</v>
      </c>
      <c r="BS1513" s="6">
        <f>Grandview_Inventory[[#This Row],[land_value]]</f>
        <v>32832.466842441572</v>
      </c>
      <c r="BT1513" s="4">
        <f>_xlfn.IFNA(VLOOKUP(Grandview_Inventory[[#This Row],[quality]],Lookups!$A$26:$C$33,3,FALSE),1)</f>
        <v>0.9690360070159818</v>
      </c>
      <c r="BU1513" s="4">
        <f>_xlfn.IFNA(VLOOKUP(Grandview_Inventory[[#This Row],[condition]],Lookups!$A$37:$C$44,3,FALSE),1)</f>
        <v>0.97383723671140243</v>
      </c>
      <c r="BV1513" s="4">
        <f>IF(Grandview_Inventory[[#This Row],[bldg_style]]="",1,_xlfn.IFNA(VLOOKUP(Grandview_Inventory[[#This Row],[decade]],Lookups!$F$29:$H$43,3,FALSE),1))</f>
        <v>0.92255236374249616</v>
      </c>
      <c r="BW1513" s="4">
        <f>_xlfn.IFNA(VLOOKUP(Grandview_Inventory[[#This Row],[living_area_range]],Lookups!$F$47:$H$56,3,FALSE),1)</f>
        <v>0.96135087979789358</v>
      </c>
      <c r="BX1513" s="4">
        <f>AVERAGE(Grandview_Inventory[[#This Row],[qual_adj]:[size_adj]])</f>
        <v>0.95669412181694347</v>
      </c>
      <c r="BY1513" s="6">
        <f>IF(Grandview_Inventory[[#This Row],[pre_res]]&lt;0,0,Grandview_Inventory[[#This Row],[pre_res]]*Grandview_Inventory[[#This Row],[overall_adj]])</f>
        <v>218450.77184872775</v>
      </c>
      <c r="BZ1513" s="6">
        <f>(Grandview_Inventory[[#This Row],[sum_land]]-IF(Grandview_Inventory[[#This Row],[no_utilities]]=1,12000,0))/IF(Grandview_Inventory[[#This Row],[unbuildable]]=1,2,1)</f>
        <v>32832.466842441572</v>
      </c>
      <c r="CA1513">
        <f>IF(ROUND(Grandview_Inventory[[#This Row],[adj_land]]*Lookups!$M$28,-2)&lt;Grandview_Inventory[[#This Row],[min_land]],Grandview_Inventory[[#This Row],[min_land]],ROUND(Grandview_Inventory[[#This Row],[adj_land]]*Lookups!$M$28,-2))</f>
        <v>31200</v>
      </c>
      <c r="CB1513">
        <f>ROUND(Grandview_Inventory[[#This Row],[det_value]]*Lookups!$M$28,-2)</f>
        <v>0</v>
      </c>
      <c r="CC1513">
        <f>IF(ROUND(Grandview_Inventory[[#This Row],[adj_res]]*Lookups!$M$28,-2)&lt;Grandview_Inventory[[#This Row],[min_res]],Grandview_Inventory[[#This Row],[min_res]],ROUND(Grandview_Inventory[[#This Row],[adj_res]]*Lookups!$M$28,-2))</f>
        <v>207500</v>
      </c>
      <c r="CD1513">
        <f>Grandview_Inventory[[#This Row],[final_det]]+Grandview_Inventory[[#This Row],[final_res]]</f>
        <v>207500</v>
      </c>
      <c r="CE1513">
        <f>Grandview_Inventory[[#This Row],[final_land]]+Grandview_Inventory[[#This Row],[final_imp]]+Grandview_Inventory[[#This Row],[crop_value]]</f>
        <v>238700</v>
      </c>
      <c r="CG1513" t="str">
        <f t="shared" si="23"/>
        <v>update valuation set market_land =31200, market_bldg=207500, market_total =238700, market_mdno =401, market_date ='9/10/2023' where link_id = (select link_id from parcel where parcel_year = '2024' and parcel_id = '23092323526');</v>
      </c>
    </row>
    <row r="1514" spans="1:85" x14ac:dyDescent="0.25">
      <c r="A1514">
        <v>23092323527</v>
      </c>
      <c r="B1514">
        <v>0.15</v>
      </c>
      <c r="C1514">
        <v>6684</v>
      </c>
      <c r="D1514" t="s">
        <v>129</v>
      </c>
      <c r="E1514" t="s">
        <v>53</v>
      </c>
      <c r="F1514" t="s">
        <v>53</v>
      </c>
      <c r="G1514">
        <v>4</v>
      </c>
      <c r="H1514" t="s">
        <v>54</v>
      </c>
      <c r="I1514">
        <v>117100</v>
      </c>
      <c r="J1514">
        <v>39000</v>
      </c>
      <c r="K1514">
        <v>0.15</v>
      </c>
      <c r="L1514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14">
        <v>0</v>
      </c>
      <c r="N1514">
        <v>0</v>
      </c>
      <c r="O1514">
        <v>0</v>
      </c>
      <c r="P1514">
        <v>13398.7528</v>
      </c>
      <c r="Q1514">
        <v>63903</v>
      </c>
      <c r="R1514">
        <f>(Grandview_Inventory[[#This Row],[ln_acres]]*Grandview_Inventory[[#This Row],[coeff]])+Grandview_Inventory[[#This Row],[const]]</f>
        <v>38483.958290574345</v>
      </c>
      <c r="S1514" t="s">
        <v>68</v>
      </c>
      <c r="T1514">
        <v>1</v>
      </c>
      <c r="U1514" t="s">
        <v>65</v>
      </c>
      <c r="V1514" t="s">
        <v>69</v>
      </c>
      <c r="W1514">
        <v>0</v>
      </c>
      <c r="X1514">
        <v>0</v>
      </c>
      <c r="Y1514">
        <v>50</v>
      </c>
      <c r="Z1514">
        <v>73</v>
      </c>
      <c r="AA1514">
        <v>80</v>
      </c>
      <c r="AB1514">
        <v>1500</v>
      </c>
      <c r="AC1514">
        <v>1290</v>
      </c>
      <c r="AD1514">
        <v>1032</v>
      </c>
      <c r="AE1514">
        <v>0</v>
      </c>
      <c r="AF1514">
        <v>0</v>
      </c>
      <c r="AG1514">
        <v>258</v>
      </c>
      <c r="AH1514">
        <v>258</v>
      </c>
      <c r="AI1514">
        <v>0</v>
      </c>
      <c r="AJ1514">
        <v>0</v>
      </c>
      <c r="AK1514">
        <v>0</v>
      </c>
      <c r="AL1514">
        <v>0</v>
      </c>
      <c r="AM1514">
        <v>340</v>
      </c>
      <c r="AN1514">
        <v>70</v>
      </c>
      <c r="AO1514">
        <v>340</v>
      </c>
      <c r="AP1514">
        <v>5</v>
      </c>
      <c r="AQ1514">
        <v>0</v>
      </c>
      <c r="AR1514">
        <v>0</v>
      </c>
      <c r="AS1514" t="s">
        <v>58</v>
      </c>
      <c r="AT1514">
        <v>1</v>
      </c>
      <c r="AU1514" t="s">
        <v>63</v>
      </c>
      <c r="AV1514" t="s">
        <v>64</v>
      </c>
      <c r="AW1514">
        <v>0</v>
      </c>
      <c r="AX1514">
        <v>2</v>
      </c>
      <c r="AY1514">
        <v>0</v>
      </c>
      <c r="AZ1514">
        <v>6600</v>
      </c>
      <c r="BA1514">
        <v>100</v>
      </c>
      <c r="BB1514">
        <v>100</v>
      </c>
      <c r="BC1514">
        <v>100</v>
      </c>
      <c r="BD1514">
        <v>100</v>
      </c>
      <c r="BE1514">
        <v>1</v>
      </c>
      <c r="BF1514">
        <v>15000</v>
      </c>
      <c r="BG1514">
        <v>1000</v>
      </c>
      <c r="BH1514" s="6">
        <f>Grandview_Inventory[[#This Row],[land_extract]]*Lookups!$B$3</f>
        <v>44691.316856156598</v>
      </c>
      <c r="BI1514" s="6">
        <f>IF(Grandview_Inventory[[#This Row],[bldg_style]]="",0,Lookups!$B$2)</f>
        <v>155833.95000000001</v>
      </c>
      <c r="BJ1514" s="6">
        <f>_xlfn.IFNA(VLOOKUP(Grandview_Inventory[[#This Row],[quality]],Lookups!$H$2:$J$14,3,FALSE),0)</f>
        <v>2251</v>
      </c>
      <c r="BK1514" s="6">
        <f>_xlfn.IFNA(VLOOKUP(Grandview_Inventory[[#This Row],[condition]],Lookups!$H$17:$J$24,3,FALSE),0)</f>
        <v>-4503</v>
      </c>
      <c r="BL1514" s="6">
        <f>Grandview_Inventory[[#This Row],[Eff_Age]]*Lookups!$B$14</f>
        <v>-11958.33</v>
      </c>
      <c r="BM1514" s="6">
        <f>Grandview_Inventory[[#This Row],[living_area]]*Lookups!$B$15</f>
        <v>80471.300369999997</v>
      </c>
      <c r="BN1514" s="6">
        <f>Grandview_Inventory[[#This Row],[Fin BSMT]]*Lookups!$B$16</f>
        <v>-6991.6039200000005</v>
      </c>
      <c r="BO1514" s="6">
        <f>(Grandview_Inventory[[#This Row],[att_gar]]+Grandview_Inventory[[#This Row],[bltin_gar]])*Lookups!$B$17</f>
        <v>0</v>
      </c>
      <c r="BP1514" s="6">
        <f>Grandview_Inventory[[#This Row],[Plumbing Fixtures]]*Lookups!$B$18</f>
        <v>10052.209000000001</v>
      </c>
      <c r="BQ1514" s="6">
        <f>Grandview_Inventory[[#This Row],[detatched_value]]*Lookups!$B$19</f>
        <v>5588.9136600000002</v>
      </c>
      <c r="BR1514" s="6">
        <f>SUM(Grandview_Inventory[[#This Row],[Intercept]:[det_value]])*Grandview_Inventory[[#This Row],[res_pct]]</f>
        <v>230744.43911000001</v>
      </c>
      <c r="BS1514" s="6">
        <f>Grandview_Inventory[[#This Row],[land_value]]</f>
        <v>44691.316856156598</v>
      </c>
      <c r="BT1514" s="4">
        <f>_xlfn.IFNA(VLOOKUP(Grandview_Inventory[[#This Row],[quality]],Lookups!$A$26:$C$33,3,FALSE),1)</f>
        <v>0.98763855981004833</v>
      </c>
      <c r="BU1514" s="4">
        <f>_xlfn.IFNA(VLOOKUP(Grandview_Inventory[[#This Row],[condition]],Lookups!$A$37:$C$44,3,FALSE),1)</f>
        <v>0.96469275950863709</v>
      </c>
      <c r="BV1514" s="4">
        <f>IF(Grandview_Inventory[[#This Row],[bldg_style]]="",1,_xlfn.IFNA(VLOOKUP(Grandview_Inventory[[#This Row],[decade]],Lookups!$F$29:$H$43,3,FALSE),1))</f>
        <v>0.98763256963907298</v>
      </c>
      <c r="BW1514" s="4">
        <f>_xlfn.IFNA(VLOOKUP(Grandview_Inventory[[#This Row],[living_area_range]],Lookups!$F$47:$H$56,3,FALSE),1)</f>
        <v>0.96135087979789358</v>
      </c>
      <c r="BX1514" s="4">
        <f>AVERAGE(Grandview_Inventory[[#This Row],[qual_adj]:[size_adj]])</f>
        <v>0.97532869218891294</v>
      </c>
      <c r="BY1514" s="6">
        <f>IF(Grandview_Inventory[[#This Row],[pre_res]]&lt;0,0,Grandview_Inventory[[#This Row],[pre_res]]*Grandview_Inventory[[#This Row],[overall_adj]])</f>
        <v>225051.67202702057</v>
      </c>
      <c r="BZ1514" s="6">
        <f>(Grandview_Inventory[[#This Row],[sum_land]]-IF(Grandview_Inventory[[#This Row],[no_utilities]]=1,12000,0))/IF(Grandview_Inventory[[#This Row],[unbuildable]]=1,2,1)</f>
        <v>44691.316856156598</v>
      </c>
      <c r="CA1514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14">
        <f>ROUND(Grandview_Inventory[[#This Row],[det_value]]*Lookups!$M$28,-2)</f>
        <v>5300</v>
      </c>
      <c r="CC1514">
        <f>IF(ROUND(Grandview_Inventory[[#This Row],[adj_res]]*Lookups!$M$28,-2)&lt;Grandview_Inventory[[#This Row],[min_res]],Grandview_Inventory[[#This Row],[min_res]],ROUND(Grandview_Inventory[[#This Row],[adj_res]]*Lookups!$M$28,-2))</f>
        <v>213800</v>
      </c>
      <c r="CD1514">
        <f>Grandview_Inventory[[#This Row],[final_det]]+Grandview_Inventory[[#This Row],[final_res]]</f>
        <v>219100</v>
      </c>
      <c r="CE1514">
        <f>Grandview_Inventory[[#This Row],[final_land]]+Grandview_Inventory[[#This Row],[final_imp]]+Grandview_Inventory[[#This Row],[crop_value]]</f>
        <v>261600</v>
      </c>
      <c r="CG1514" t="str">
        <f t="shared" si="23"/>
        <v>update valuation set market_land =42500, market_bldg=219100, market_total =261600, market_mdno =401, market_date ='9/10/2023' where link_id = (select link_id from parcel where parcel_year = '2024' and parcel_id = '23092323527');</v>
      </c>
    </row>
    <row r="1515" spans="1:85" x14ac:dyDescent="0.25">
      <c r="A1515">
        <v>23092323528</v>
      </c>
      <c r="B1515">
        <v>0.17</v>
      </c>
      <c r="C1515">
        <v>7466</v>
      </c>
      <c r="D1515" t="s">
        <v>129</v>
      </c>
      <c r="E1515" t="s">
        <v>53</v>
      </c>
      <c r="F1515" t="s">
        <v>53</v>
      </c>
      <c r="G1515">
        <v>4</v>
      </c>
      <c r="H1515" t="s">
        <v>54</v>
      </c>
      <c r="I1515">
        <v>145000</v>
      </c>
      <c r="J1515">
        <v>39300</v>
      </c>
      <c r="K1515">
        <v>0.17</v>
      </c>
      <c r="L151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15">
        <v>0</v>
      </c>
      <c r="N1515">
        <v>0</v>
      </c>
      <c r="O1515">
        <v>0</v>
      </c>
      <c r="P1515">
        <v>13398.7528</v>
      </c>
      <c r="Q1515">
        <v>63903</v>
      </c>
      <c r="R1515">
        <f>(Grandview_Inventory[[#This Row],[ln_acres]]*Grandview_Inventory[[#This Row],[coeff]])+Grandview_Inventory[[#This Row],[const]]</f>
        <v>40160.988302686128</v>
      </c>
      <c r="S1515" t="s">
        <v>68</v>
      </c>
      <c r="T1515">
        <v>1</v>
      </c>
      <c r="U1515" t="s">
        <v>70</v>
      </c>
      <c r="V1515" t="s">
        <v>69</v>
      </c>
      <c r="W1515">
        <v>0</v>
      </c>
      <c r="X1515">
        <v>0</v>
      </c>
      <c r="Y1515">
        <v>50</v>
      </c>
      <c r="Z1515">
        <v>73</v>
      </c>
      <c r="AA1515">
        <v>80</v>
      </c>
      <c r="AB1515">
        <v>2000</v>
      </c>
      <c r="AC1515">
        <v>1768</v>
      </c>
      <c r="AD1515">
        <v>884</v>
      </c>
      <c r="AE1515">
        <v>0</v>
      </c>
      <c r="AF1515">
        <v>0</v>
      </c>
      <c r="AG1515">
        <v>884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408</v>
      </c>
      <c r="AN1515">
        <v>24</v>
      </c>
      <c r="AO1515">
        <v>408</v>
      </c>
      <c r="AP1515">
        <v>7</v>
      </c>
      <c r="AQ1515">
        <v>0</v>
      </c>
      <c r="AR1515">
        <v>0</v>
      </c>
      <c r="AS1515" t="s">
        <v>58</v>
      </c>
      <c r="AT1515">
        <v>1</v>
      </c>
      <c r="AU1515" t="s">
        <v>63</v>
      </c>
      <c r="AV1515" t="s">
        <v>64</v>
      </c>
      <c r="AW1515">
        <v>1</v>
      </c>
      <c r="AX1515">
        <v>2</v>
      </c>
      <c r="AY1515">
        <v>0</v>
      </c>
      <c r="AZ1515">
        <v>1500</v>
      </c>
      <c r="BA1515">
        <v>100</v>
      </c>
      <c r="BB1515">
        <v>100</v>
      </c>
      <c r="BC1515">
        <v>100</v>
      </c>
      <c r="BD1515">
        <v>100</v>
      </c>
      <c r="BE1515">
        <v>1</v>
      </c>
      <c r="BF1515">
        <v>15000</v>
      </c>
      <c r="BG1515">
        <v>1000</v>
      </c>
      <c r="BH1515" s="6">
        <f>Grandview_Inventory[[#This Row],[land_extract]]*Lookups!$B$3</f>
        <v>46638.847281240982</v>
      </c>
      <c r="BI1515" s="6">
        <f>IF(Grandview_Inventory[[#This Row],[bldg_style]]="",0,Lookups!$B$2)</f>
        <v>155833.95000000001</v>
      </c>
      <c r="BJ1515" s="6">
        <f>_xlfn.IFNA(VLOOKUP(Grandview_Inventory[[#This Row],[quality]],Lookups!$H$2:$J$14,3,FALSE),0)</f>
        <v>10733</v>
      </c>
      <c r="BK1515" s="6">
        <f>_xlfn.IFNA(VLOOKUP(Grandview_Inventory[[#This Row],[condition]],Lookups!$H$17:$J$24,3,FALSE),0)</f>
        <v>-4503</v>
      </c>
      <c r="BL1515" s="6">
        <f>Grandview_Inventory[[#This Row],[Eff_Age]]*Lookups!$B$14</f>
        <v>-11958.33</v>
      </c>
      <c r="BM1515" s="6">
        <f>Grandview_Inventory[[#This Row],[living_area]]*Lookups!$B$15</f>
        <v>110289.348104</v>
      </c>
      <c r="BN1515" s="6">
        <f>Grandview_Inventory[[#This Row],[Fin BSMT]]*Lookups!$B$16</f>
        <v>-23955.728160000002</v>
      </c>
      <c r="BO1515" s="6">
        <f>(Grandview_Inventory[[#This Row],[att_gar]]+Grandview_Inventory[[#This Row],[bltin_gar]])*Lookups!$B$17</f>
        <v>0</v>
      </c>
      <c r="BP1515" s="6">
        <f>Grandview_Inventory[[#This Row],[Plumbing Fixtures]]*Lookups!$B$18</f>
        <v>14073.0926</v>
      </c>
      <c r="BQ1515" s="6">
        <f>Grandview_Inventory[[#This Row],[detatched_value]]*Lookups!$B$19</f>
        <v>1270.2076500000001</v>
      </c>
      <c r="BR1515" s="6">
        <f>SUM(Grandview_Inventory[[#This Row],[Intercept]:[det_value]])*Grandview_Inventory[[#This Row],[res_pct]]</f>
        <v>251782.54019400003</v>
      </c>
      <c r="BS1515" s="6">
        <f>Grandview_Inventory[[#This Row],[land_value]]</f>
        <v>46638.847281240982</v>
      </c>
      <c r="BT1515" s="4">
        <f>_xlfn.IFNA(VLOOKUP(Grandview_Inventory[[#This Row],[quality]],Lookups!$A$26:$C$33,3,FALSE),1)</f>
        <v>0.98079741117310582</v>
      </c>
      <c r="BU1515" s="4">
        <f>_xlfn.IFNA(VLOOKUP(Grandview_Inventory[[#This Row],[condition]],Lookups!$A$37:$C$44,3,FALSE),1)</f>
        <v>0.96469275950863709</v>
      </c>
      <c r="BV1515" s="4">
        <f>IF(Grandview_Inventory[[#This Row],[bldg_style]]="",1,_xlfn.IFNA(VLOOKUP(Grandview_Inventory[[#This Row],[decade]],Lookups!$F$29:$H$43,3,FALSE),1))</f>
        <v>0.98763256963907298</v>
      </c>
      <c r="BW1515" s="4">
        <f>_xlfn.IFNA(VLOOKUP(Grandview_Inventory[[#This Row],[living_area_range]],Lookups!$F$47:$H$56,3,FALSE),1)</f>
        <v>0.96120133463014379</v>
      </c>
      <c r="BX1515" s="4">
        <f>AVERAGE(Grandview_Inventory[[#This Row],[qual_adj]:[size_adj]])</f>
        <v>0.97358101873773983</v>
      </c>
      <c r="BY1515" s="6">
        <f>IF(Grandview_Inventory[[#This Row],[pre_res]]&lt;0,0,Grandview_Inventory[[#This Row],[pre_res]]*Grandview_Inventory[[#This Row],[overall_adj]])</f>
        <v>245130.70198245047</v>
      </c>
      <c r="BZ1515" s="6">
        <f>(Grandview_Inventory[[#This Row],[sum_land]]-IF(Grandview_Inventory[[#This Row],[no_utilities]]=1,12000,0))/IF(Grandview_Inventory[[#This Row],[unbuildable]]=1,2,1)</f>
        <v>46638.847281240982</v>
      </c>
      <c r="CA151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15">
        <f>ROUND(Grandview_Inventory[[#This Row],[det_value]]*Lookups!$M$28,-2)</f>
        <v>1200</v>
      </c>
      <c r="CC1515">
        <f>IF(ROUND(Grandview_Inventory[[#This Row],[adj_res]]*Lookups!$M$28,-2)&lt;Grandview_Inventory[[#This Row],[min_res]],Grandview_Inventory[[#This Row],[min_res]],ROUND(Grandview_Inventory[[#This Row],[adj_res]]*Lookups!$M$28,-2))</f>
        <v>232900</v>
      </c>
      <c r="CD1515">
        <f>Grandview_Inventory[[#This Row],[final_det]]+Grandview_Inventory[[#This Row],[final_res]]</f>
        <v>234100</v>
      </c>
      <c r="CE1515">
        <f>Grandview_Inventory[[#This Row],[final_land]]+Grandview_Inventory[[#This Row],[final_imp]]+Grandview_Inventory[[#This Row],[crop_value]]</f>
        <v>278400</v>
      </c>
      <c r="CG1515" t="str">
        <f t="shared" si="23"/>
        <v>update valuation set market_land =44300, market_bldg=234100, market_total =278400, market_mdno =401, market_date ='9/10/2023' where link_id = (select link_id from parcel where parcel_year = '2024' and parcel_id = '23092323528');</v>
      </c>
    </row>
    <row r="1516" spans="1:85" x14ac:dyDescent="0.25">
      <c r="A1516">
        <v>23092323529</v>
      </c>
      <c r="B1516">
        <v>0.23</v>
      </c>
      <c r="C1516">
        <v>10119</v>
      </c>
      <c r="D1516" t="s">
        <v>129</v>
      </c>
      <c r="E1516" t="s">
        <v>53</v>
      </c>
      <c r="F1516" t="s">
        <v>53</v>
      </c>
      <c r="G1516">
        <v>4</v>
      </c>
      <c r="H1516" t="s">
        <v>54</v>
      </c>
      <c r="I1516">
        <v>226000</v>
      </c>
      <c r="J1516">
        <v>40200</v>
      </c>
      <c r="K1516">
        <v>0.23</v>
      </c>
      <c r="L151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516">
        <v>0</v>
      </c>
      <c r="N1516">
        <v>0</v>
      </c>
      <c r="O1516">
        <v>0</v>
      </c>
      <c r="P1516">
        <v>13398.7528</v>
      </c>
      <c r="Q1516">
        <v>63903</v>
      </c>
      <c r="R1516">
        <f>(Grandview_Inventory[[#This Row],[ln_acres]]*Grandview_Inventory[[#This Row],[coeff]])+Grandview_Inventory[[#This Row],[const]]</f>
        <v>44211.174981080039</v>
      </c>
      <c r="S1516" t="s">
        <v>61</v>
      </c>
      <c r="T1516">
        <v>1</v>
      </c>
      <c r="U1516" t="s">
        <v>65</v>
      </c>
      <c r="V1516" t="s">
        <v>66</v>
      </c>
      <c r="W1516">
        <v>0</v>
      </c>
      <c r="X1516">
        <v>0</v>
      </c>
      <c r="Y1516">
        <v>12</v>
      </c>
      <c r="Z1516">
        <v>12</v>
      </c>
      <c r="AA1516">
        <v>20</v>
      </c>
      <c r="AB1516">
        <v>1500</v>
      </c>
      <c r="AC1516">
        <v>1205</v>
      </c>
      <c r="AD1516">
        <v>1205</v>
      </c>
      <c r="AE1516">
        <v>0</v>
      </c>
      <c r="AF1516">
        <v>0</v>
      </c>
      <c r="AG1516">
        <v>0</v>
      </c>
      <c r="AH1516">
        <v>0</v>
      </c>
      <c r="AI1516">
        <v>420</v>
      </c>
      <c r="AJ1516">
        <v>0</v>
      </c>
      <c r="AK1516">
        <v>0</v>
      </c>
      <c r="AL1516">
        <v>0</v>
      </c>
      <c r="AM1516">
        <v>0</v>
      </c>
      <c r="AN1516">
        <v>180</v>
      </c>
      <c r="AO1516">
        <v>0</v>
      </c>
      <c r="AP1516">
        <v>9</v>
      </c>
      <c r="AQ1516">
        <v>0</v>
      </c>
      <c r="AR1516">
        <v>0</v>
      </c>
      <c r="AS1516" t="s">
        <v>58</v>
      </c>
      <c r="AT1516">
        <v>1</v>
      </c>
      <c r="AU1516" t="s">
        <v>63</v>
      </c>
      <c r="AV1516" t="s">
        <v>60</v>
      </c>
      <c r="AW1516">
        <v>1</v>
      </c>
      <c r="AX1516">
        <v>3</v>
      </c>
      <c r="AY1516">
        <v>0</v>
      </c>
      <c r="AZ1516">
        <v>0</v>
      </c>
      <c r="BA1516">
        <v>100</v>
      </c>
      <c r="BB1516">
        <v>100</v>
      </c>
      <c r="BC1516">
        <v>100</v>
      </c>
      <c r="BD1516">
        <v>100</v>
      </c>
      <c r="BE1516">
        <v>1</v>
      </c>
      <c r="BF1516">
        <v>15000</v>
      </c>
      <c r="BG1516">
        <v>1000</v>
      </c>
      <c r="BH1516" s="6">
        <f>Grandview_Inventory[[#This Row],[land_extract]]*Lookups!$B$3</f>
        <v>51342.318135355803</v>
      </c>
      <c r="BI1516" s="6">
        <f>IF(Grandview_Inventory[[#This Row],[bldg_style]]="",0,Lookups!$B$2)</f>
        <v>155833.95000000001</v>
      </c>
      <c r="BJ1516" s="6">
        <f>_xlfn.IFNA(VLOOKUP(Grandview_Inventory[[#This Row],[quality]],Lookups!$H$2:$J$14,3,FALSE),0)</f>
        <v>2251</v>
      </c>
      <c r="BK1516" s="6">
        <f>_xlfn.IFNA(VLOOKUP(Grandview_Inventory[[#This Row],[condition]],Lookups!$H$17:$J$24,3,FALSE),0)</f>
        <v>25818</v>
      </c>
      <c r="BL1516" s="6">
        <f>Grandview_Inventory[[#This Row],[Eff_Age]]*Lookups!$B$14</f>
        <v>-2869.9991999999997</v>
      </c>
      <c r="BM1516" s="6">
        <f>Grandview_Inventory[[#This Row],[living_area]]*Lookups!$B$15</f>
        <v>75168.927865000005</v>
      </c>
      <c r="BN1516" s="6">
        <f>Grandview_Inventory[[#This Row],[Fin BSMT]]*Lookups!$B$16</f>
        <v>0</v>
      </c>
      <c r="BO1516" s="6">
        <f>(Grandview_Inventory[[#This Row],[att_gar]]+Grandview_Inventory[[#This Row],[bltin_gar]])*Lookups!$B$17</f>
        <v>36758.58354</v>
      </c>
      <c r="BP1516" s="6">
        <f>Grandview_Inventory[[#This Row],[Plumbing Fixtures]]*Lookups!$B$18</f>
        <v>18093.976200000001</v>
      </c>
      <c r="BQ1516" s="6">
        <f>Grandview_Inventory[[#This Row],[detatched_value]]*Lookups!$B$19</f>
        <v>0</v>
      </c>
      <c r="BR1516" s="6">
        <f>SUM(Grandview_Inventory[[#This Row],[Intercept]:[det_value]])*Grandview_Inventory[[#This Row],[res_pct]]</f>
        <v>311054.43840500002</v>
      </c>
      <c r="BS1516" s="6">
        <f>Grandview_Inventory[[#This Row],[land_value]]</f>
        <v>51342.318135355803</v>
      </c>
      <c r="BT1516" s="4">
        <f>_xlfn.IFNA(VLOOKUP(Grandview_Inventory[[#This Row],[quality]],Lookups!$A$26:$C$33,3,FALSE),1)</f>
        <v>0.98763855981004833</v>
      </c>
      <c r="BU1516" s="4">
        <f>_xlfn.IFNA(VLOOKUP(Grandview_Inventory[[#This Row],[condition]],Lookups!$A$37:$C$44,3,FALSE),1)</f>
        <v>0.96661476234146892</v>
      </c>
      <c r="BV1516" s="4">
        <f>IF(Grandview_Inventory[[#This Row],[bldg_style]]="",1,_xlfn.IFNA(VLOOKUP(Grandview_Inventory[[#This Row],[decade]],Lookups!$F$29:$H$43,3,FALSE),1))</f>
        <v>0.96737494181490646</v>
      </c>
      <c r="BW1516" s="4">
        <f>_xlfn.IFNA(VLOOKUP(Grandview_Inventory[[#This Row],[living_area_range]],Lookups!$F$47:$H$56,3,FALSE),1)</f>
        <v>0.96135087979789358</v>
      </c>
      <c r="BX1516" s="4">
        <f>AVERAGE(Grandview_Inventory[[#This Row],[qual_adj]:[size_adj]])</f>
        <v>0.97074478594107938</v>
      </c>
      <c r="BY1516" s="6">
        <f>IF(Grandview_Inventory[[#This Row],[pre_res]]&lt;0,0,Grandview_Inventory[[#This Row],[pre_res]]*Grandview_Inventory[[#This Row],[overall_adj]])</f>
        <v>301954.47422548442</v>
      </c>
      <c r="BZ1516" s="6">
        <f>(Grandview_Inventory[[#This Row],[sum_land]]-IF(Grandview_Inventory[[#This Row],[no_utilities]]=1,12000,0))/IF(Grandview_Inventory[[#This Row],[unbuildable]]=1,2,1)</f>
        <v>51342.318135355803</v>
      </c>
      <c r="CA151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516">
        <f>ROUND(Grandview_Inventory[[#This Row],[det_value]]*Lookups!$M$28,-2)</f>
        <v>0</v>
      </c>
      <c r="CC1516">
        <f>IF(ROUND(Grandview_Inventory[[#This Row],[adj_res]]*Lookups!$M$28,-2)&lt;Grandview_Inventory[[#This Row],[min_res]],Grandview_Inventory[[#This Row],[min_res]],ROUND(Grandview_Inventory[[#This Row],[adj_res]]*Lookups!$M$28,-2))</f>
        <v>286900</v>
      </c>
      <c r="CD1516">
        <f>Grandview_Inventory[[#This Row],[final_det]]+Grandview_Inventory[[#This Row],[final_res]]</f>
        <v>286900</v>
      </c>
      <c r="CE1516">
        <f>Grandview_Inventory[[#This Row],[final_land]]+Grandview_Inventory[[#This Row],[final_imp]]+Grandview_Inventory[[#This Row],[crop_value]]</f>
        <v>335700</v>
      </c>
      <c r="CG1516" t="str">
        <f t="shared" si="23"/>
        <v>update valuation set market_land =48800, market_bldg=286900, market_total =335700, market_mdno =401, market_date ='9/10/2023' where link_id = (select link_id from parcel where parcel_year = '2024' and parcel_id = '23092323529');</v>
      </c>
    </row>
    <row r="1517" spans="1:85" x14ac:dyDescent="0.25">
      <c r="A1517">
        <v>23092323530</v>
      </c>
      <c r="B1517">
        <v>0.24</v>
      </c>
      <c r="C1517">
        <v>10656</v>
      </c>
      <c r="D1517" t="s">
        <v>129</v>
      </c>
      <c r="E1517" t="s">
        <v>53</v>
      </c>
      <c r="F1517" t="s">
        <v>53</v>
      </c>
      <c r="G1517">
        <v>4</v>
      </c>
      <c r="H1517" t="s">
        <v>54</v>
      </c>
      <c r="I1517">
        <v>128100</v>
      </c>
      <c r="J1517">
        <v>40400</v>
      </c>
      <c r="K1517">
        <v>0.24</v>
      </c>
      <c r="L1517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517">
        <v>0</v>
      </c>
      <c r="N1517">
        <v>0</v>
      </c>
      <c r="O1517">
        <v>0</v>
      </c>
      <c r="P1517">
        <v>13398.7528</v>
      </c>
      <c r="Q1517">
        <v>63903</v>
      </c>
      <c r="R1517">
        <f>(Grandview_Inventory[[#This Row],[ln_acres]]*Grandview_Inventory[[#This Row],[coeff]])+Grandview_Inventory[[#This Row],[const]]</f>
        <v>44781.420733940802</v>
      </c>
      <c r="S1517" t="s">
        <v>68</v>
      </c>
      <c r="T1517">
        <v>1</v>
      </c>
      <c r="U1517" t="s">
        <v>70</v>
      </c>
      <c r="V1517" t="s">
        <v>69</v>
      </c>
      <c r="W1517">
        <v>0</v>
      </c>
      <c r="X1517">
        <v>0</v>
      </c>
      <c r="Y1517">
        <v>52</v>
      </c>
      <c r="Z1517">
        <v>88</v>
      </c>
      <c r="AA1517">
        <v>90</v>
      </c>
      <c r="AB1517">
        <v>1500</v>
      </c>
      <c r="AC1517">
        <v>1074</v>
      </c>
      <c r="AD1517">
        <v>1074</v>
      </c>
      <c r="AE1517">
        <v>0</v>
      </c>
      <c r="AF1517">
        <v>0</v>
      </c>
      <c r="AG1517">
        <v>0</v>
      </c>
      <c r="AH1517">
        <v>100</v>
      </c>
      <c r="AI1517">
        <v>0</v>
      </c>
      <c r="AJ1517">
        <v>0</v>
      </c>
      <c r="AK1517">
        <v>0</v>
      </c>
      <c r="AL1517">
        <v>0</v>
      </c>
      <c r="AM1517">
        <v>120</v>
      </c>
      <c r="AN1517">
        <v>0</v>
      </c>
      <c r="AO1517">
        <v>0</v>
      </c>
      <c r="AP1517">
        <v>8</v>
      </c>
      <c r="AQ1517">
        <v>0</v>
      </c>
      <c r="AR1517">
        <v>0</v>
      </c>
      <c r="AS1517" t="s">
        <v>58</v>
      </c>
      <c r="AT1517">
        <v>0</v>
      </c>
      <c r="AU1517" t="s">
        <v>82</v>
      </c>
      <c r="AV1517" t="s">
        <v>64</v>
      </c>
      <c r="AW1517">
        <v>0</v>
      </c>
      <c r="AX1517">
        <v>3</v>
      </c>
      <c r="AY1517">
        <v>0</v>
      </c>
      <c r="AZ1517">
        <v>6700</v>
      </c>
      <c r="BA1517">
        <v>100</v>
      </c>
      <c r="BB1517">
        <v>100</v>
      </c>
      <c r="BC1517">
        <v>100</v>
      </c>
      <c r="BD1517">
        <v>100</v>
      </c>
      <c r="BE1517">
        <v>1</v>
      </c>
      <c r="BF1517">
        <v>15000</v>
      </c>
      <c r="BG1517">
        <v>1000</v>
      </c>
      <c r="BH1517" s="6">
        <f>Grandview_Inventory[[#This Row],[land_extract]]*Lookups!$B$3</f>
        <v>52004.542988489469</v>
      </c>
      <c r="BI1517" s="6">
        <f>IF(Grandview_Inventory[[#This Row],[bldg_style]]="",0,Lookups!$B$2)</f>
        <v>155833.95000000001</v>
      </c>
      <c r="BJ1517" s="6">
        <f>_xlfn.IFNA(VLOOKUP(Grandview_Inventory[[#This Row],[quality]],Lookups!$H$2:$J$14,3,FALSE),0)</f>
        <v>10733</v>
      </c>
      <c r="BK1517" s="6">
        <f>_xlfn.IFNA(VLOOKUP(Grandview_Inventory[[#This Row],[condition]],Lookups!$H$17:$J$24,3,FALSE),0)</f>
        <v>-4503</v>
      </c>
      <c r="BL1517" s="6">
        <f>Grandview_Inventory[[#This Row],[Eff_Age]]*Lookups!$B$14</f>
        <v>-12436.663199999999</v>
      </c>
      <c r="BM1517" s="6">
        <f>Grandview_Inventory[[#This Row],[living_area]]*Lookups!$B$15</f>
        <v>66997.036122000005</v>
      </c>
      <c r="BN1517" s="6">
        <f>Grandview_Inventory[[#This Row],[Fin BSMT]]*Lookups!$B$16</f>
        <v>0</v>
      </c>
      <c r="BO1517" s="6">
        <f>(Grandview_Inventory[[#This Row],[att_gar]]+Grandview_Inventory[[#This Row],[bltin_gar]])*Lookups!$B$17</f>
        <v>0</v>
      </c>
      <c r="BP1517" s="6">
        <f>Grandview_Inventory[[#This Row],[Plumbing Fixtures]]*Lookups!$B$18</f>
        <v>16083.5344</v>
      </c>
      <c r="BQ1517" s="6">
        <f>Grandview_Inventory[[#This Row],[detatched_value]]*Lookups!$B$19</f>
        <v>5673.5941699999994</v>
      </c>
      <c r="BR1517" s="6">
        <f>SUM(Grandview_Inventory[[#This Row],[Intercept]:[det_value]])*Grandview_Inventory[[#This Row],[res_pct]]</f>
        <v>238381.45149200002</v>
      </c>
      <c r="BS1517" s="6">
        <f>Grandview_Inventory[[#This Row],[land_value]]</f>
        <v>52004.542988489469</v>
      </c>
      <c r="BT1517" s="4">
        <f>_xlfn.IFNA(VLOOKUP(Grandview_Inventory[[#This Row],[quality]],Lookups!$A$26:$C$33,3,FALSE),1)</f>
        <v>0.98079741117310582</v>
      </c>
      <c r="BU1517" s="4">
        <f>_xlfn.IFNA(VLOOKUP(Grandview_Inventory[[#This Row],[condition]],Lookups!$A$37:$C$44,3,FALSE),1)</f>
        <v>0.96469275950863709</v>
      </c>
      <c r="BV1517" s="4">
        <f>IF(Grandview_Inventory[[#This Row],[bldg_style]]="",1,_xlfn.IFNA(VLOOKUP(Grandview_Inventory[[#This Row],[decade]],Lookups!$F$29:$H$43,3,FALSE),1))</f>
        <v>0.94161750052457416</v>
      </c>
      <c r="BW1517" s="4">
        <f>_xlfn.IFNA(VLOOKUP(Grandview_Inventory[[#This Row],[living_area_range]],Lookups!$F$47:$H$56,3,FALSE),1)</f>
        <v>0.96135087979789358</v>
      </c>
      <c r="BX1517" s="4">
        <f>AVERAGE(Grandview_Inventory[[#This Row],[qual_adj]:[size_adj]])</f>
        <v>0.96211463775105266</v>
      </c>
      <c r="BY1517" s="6">
        <f>IF(Grandview_Inventory[[#This Row],[pre_res]]&lt;0,0,Grandview_Inventory[[#This Row],[pre_res]]*Grandview_Inventory[[#This Row],[overall_adj]])</f>
        <v>229350.28384879572</v>
      </c>
      <c r="BZ1517" s="6">
        <f>(Grandview_Inventory[[#This Row],[sum_land]]-IF(Grandview_Inventory[[#This Row],[no_utilities]]=1,12000,0))/IF(Grandview_Inventory[[#This Row],[unbuildable]]=1,2,1)</f>
        <v>52004.542988489469</v>
      </c>
      <c r="CA1517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517">
        <f>ROUND(Grandview_Inventory[[#This Row],[det_value]]*Lookups!$M$28,-2)</f>
        <v>5400</v>
      </c>
      <c r="CC1517">
        <f>IF(ROUND(Grandview_Inventory[[#This Row],[adj_res]]*Lookups!$M$28,-2)&lt;Grandview_Inventory[[#This Row],[min_res]],Grandview_Inventory[[#This Row],[min_res]],ROUND(Grandview_Inventory[[#This Row],[adj_res]]*Lookups!$M$28,-2))</f>
        <v>217900</v>
      </c>
      <c r="CD1517">
        <f>Grandview_Inventory[[#This Row],[final_det]]+Grandview_Inventory[[#This Row],[final_res]]</f>
        <v>223300</v>
      </c>
      <c r="CE1517">
        <f>Grandview_Inventory[[#This Row],[final_land]]+Grandview_Inventory[[#This Row],[final_imp]]+Grandview_Inventory[[#This Row],[crop_value]]</f>
        <v>272700</v>
      </c>
      <c r="CG1517" t="str">
        <f t="shared" si="23"/>
        <v>update valuation set market_land =49400, market_bldg=223300, market_total =272700, market_mdno =401, market_date ='9/10/2023' where link_id = (select link_id from parcel where parcel_year = '2024' and parcel_id = '23092323530');</v>
      </c>
    </row>
    <row r="1518" spans="1:85" x14ac:dyDescent="0.25">
      <c r="A1518">
        <v>23092323532</v>
      </c>
      <c r="B1518">
        <v>0.17</v>
      </c>
      <c r="C1518">
        <v>7193</v>
      </c>
      <c r="D1518" t="s">
        <v>129</v>
      </c>
      <c r="E1518" t="s">
        <v>53</v>
      </c>
      <c r="F1518" t="s">
        <v>53</v>
      </c>
      <c r="G1518">
        <v>4</v>
      </c>
      <c r="H1518" t="s">
        <v>54</v>
      </c>
      <c r="I1518">
        <v>72700</v>
      </c>
      <c r="J1518">
        <v>39100</v>
      </c>
      <c r="K1518">
        <v>0.17</v>
      </c>
      <c r="L151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18">
        <v>0</v>
      </c>
      <c r="N1518">
        <v>0</v>
      </c>
      <c r="O1518">
        <v>0</v>
      </c>
      <c r="P1518">
        <v>13398.7528</v>
      </c>
      <c r="Q1518">
        <v>63903</v>
      </c>
      <c r="R1518">
        <f>(Grandview_Inventory[[#This Row],[ln_acres]]*Grandview_Inventory[[#This Row],[coeff]])+Grandview_Inventory[[#This Row],[const]]</f>
        <v>40160.988302686128</v>
      </c>
      <c r="S1518" t="s">
        <v>68</v>
      </c>
      <c r="T1518">
        <v>1</v>
      </c>
      <c r="U1518" t="s">
        <v>80</v>
      </c>
      <c r="V1518" t="s">
        <v>78</v>
      </c>
      <c r="W1518">
        <v>0</v>
      </c>
      <c r="X1518">
        <v>0</v>
      </c>
      <c r="Y1518">
        <v>43</v>
      </c>
      <c r="Z1518">
        <v>93</v>
      </c>
      <c r="AA1518">
        <v>100</v>
      </c>
      <c r="AB1518">
        <v>1000</v>
      </c>
      <c r="AC1518">
        <v>800</v>
      </c>
      <c r="AD1518">
        <v>800</v>
      </c>
      <c r="AE1518">
        <v>0</v>
      </c>
      <c r="AF1518">
        <v>0</v>
      </c>
      <c r="AG1518">
        <v>0</v>
      </c>
      <c r="AH1518">
        <v>168</v>
      </c>
      <c r="AI1518">
        <v>0</v>
      </c>
      <c r="AJ1518">
        <v>0</v>
      </c>
      <c r="AK1518">
        <v>0</v>
      </c>
      <c r="AL1518">
        <v>234</v>
      </c>
      <c r="AM1518">
        <v>0</v>
      </c>
      <c r="AN1518">
        <v>0</v>
      </c>
      <c r="AO1518">
        <v>314</v>
      </c>
      <c r="AP1518">
        <v>5</v>
      </c>
      <c r="AQ1518">
        <v>0</v>
      </c>
      <c r="AR1518">
        <v>0</v>
      </c>
      <c r="AS1518" t="s">
        <v>58</v>
      </c>
      <c r="AT1518">
        <v>1</v>
      </c>
      <c r="AU1518" t="s">
        <v>75</v>
      </c>
      <c r="AV1518" t="s">
        <v>60</v>
      </c>
      <c r="AW1518">
        <v>0</v>
      </c>
      <c r="AX1518">
        <v>3</v>
      </c>
      <c r="AY1518">
        <v>0</v>
      </c>
      <c r="AZ1518">
        <v>0</v>
      </c>
      <c r="BA1518">
        <v>100</v>
      </c>
      <c r="BB1518">
        <v>100</v>
      </c>
      <c r="BC1518">
        <v>100</v>
      </c>
      <c r="BD1518">
        <v>100</v>
      </c>
      <c r="BE1518">
        <v>1</v>
      </c>
      <c r="BF1518">
        <v>15000</v>
      </c>
      <c r="BG1518">
        <v>1000</v>
      </c>
      <c r="BH1518" s="6">
        <f>Grandview_Inventory[[#This Row],[land_extract]]*Lookups!$B$3</f>
        <v>46638.847281240982</v>
      </c>
      <c r="BI1518" s="6">
        <f>IF(Grandview_Inventory[[#This Row],[bldg_style]]="",0,Lookups!$B$2)</f>
        <v>155833.95000000001</v>
      </c>
      <c r="BJ1518" s="6">
        <f>_xlfn.IFNA(VLOOKUP(Grandview_Inventory[[#This Row],[quality]],Lookups!$H$2:$J$14,3,FALSE),0)</f>
        <v>-28558</v>
      </c>
      <c r="BK1518" s="6">
        <f>_xlfn.IFNA(VLOOKUP(Grandview_Inventory[[#This Row],[condition]],Lookups!$H$17:$J$24,3,FALSE),0)</f>
        <v>-45357</v>
      </c>
      <c r="BL1518" s="6">
        <f>Grandview_Inventory[[#This Row],[Eff_Age]]*Lookups!$B$14</f>
        <v>-10284.1638</v>
      </c>
      <c r="BM1518" s="6">
        <f>Grandview_Inventory[[#This Row],[living_area]]*Lookups!$B$15</f>
        <v>49904.682400000005</v>
      </c>
      <c r="BN1518" s="6">
        <f>Grandview_Inventory[[#This Row],[Fin BSMT]]*Lookups!$B$16</f>
        <v>0</v>
      </c>
      <c r="BO1518" s="6">
        <f>(Grandview_Inventory[[#This Row],[att_gar]]+Grandview_Inventory[[#This Row],[bltin_gar]])*Lookups!$B$17</f>
        <v>0</v>
      </c>
      <c r="BP1518" s="6">
        <f>Grandview_Inventory[[#This Row],[Plumbing Fixtures]]*Lookups!$B$18</f>
        <v>10052.209000000001</v>
      </c>
      <c r="BQ1518" s="6">
        <f>Grandview_Inventory[[#This Row],[detatched_value]]*Lookups!$B$19</f>
        <v>0</v>
      </c>
      <c r="BR1518" s="6">
        <f>SUM(Grandview_Inventory[[#This Row],[Intercept]:[det_value]])*Grandview_Inventory[[#This Row],[res_pct]]</f>
        <v>131591.67760000002</v>
      </c>
      <c r="BS1518" s="6">
        <f>Grandview_Inventory[[#This Row],[land_value]]</f>
        <v>46638.847281240982</v>
      </c>
      <c r="BT1518" s="4">
        <f>_xlfn.IFNA(VLOOKUP(Grandview_Inventory[[#This Row],[quality]],Lookups!$A$26:$C$33,3,FALSE),1)</f>
        <v>0.9690360070159818</v>
      </c>
      <c r="BU1518" s="4">
        <f>_xlfn.IFNA(VLOOKUP(Grandview_Inventory[[#This Row],[condition]],Lookups!$A$37:$C$44,3,FALSE),1)</f>
        <v>0.97161819570155394</v>
      </c>
      <c r="BV1518" s="4">
        <f>IF(Grandview_Inventory[[#This Row],[bldg_style]]="",1,_xlfn.IFNA(VLOOKUP(Grandview_Inventory[[#This Row],[decade]],Lookups!$F$29:$H$43,3,FALSE),1))</f>
        <v>0.95244691841736806</v>
      </c>
      <c r="BW1518" s="4">
        <f>_xlfn.IFNA(VLOOKUP(Grandview_Inventory[[#This Row],[living_area_range]],Lookups!$F$47:$H$56,3,FALSE),1)</f>
        <v>0.94306777142782894</v>
      </c>
      <c r="BX1518" s="4">
        <f>AVERAGE(Grandview_Inventory[[#This Row],[qual_adj]:[size_adj]])</f>
        <v>0.9590422231406831</v>
      </c>
      <c r="BY1518" s="6">
        <f>IF(Grandview_Inventory[[#This Row],[pre_res]]&lt;0,0,Grandview_Inventory[[#This Row],[pre_res]]*Grandview_Inventory[[#This Row],[overall_adj]])</f>
        <v>126201.97503231606</v>
      </c>
      <c r="BZ1518" s="6">
        <f>(Grandview_Inventory[[#This Row],[sum_land]]-IF(Grandview_Inventory[[#This Row],[no_utilities]]=1,12000,0))/IF(Grandview_Inventory[[#This Row],[unbuildable]]=1,2,1)</f>
        <v>46638.847281240982</v>
      </c>
      <c r="CA151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18">
        <f>ROUND(Grandview_Inventory[[#This Row],[det_value]]*Lookups!$M$28,-2)</f>
        <v>0</v>
      </c>
      <c r="CC1518">
        <f>IF(ROUND(Grandview_Inventory[[#This Row],[adj_res]]*Lookups!$M$28,-2)&lt;Grandview_Inventory[[#This Row],[min_res]],Grandview_Inventory[[#This Row],[min_res]],ROUND(Grandview_Inventory[[#This Row],[adj_res]]*Lookups!$M$28,-2))</f>
        <v>119900</v>
      </c>
      <c r="CD1518">
        <f>Grandview_Inventory[[#This Row],[final_det]]+Grandview_Inventory[[#This Row],[final_res]]</f>
        <v>119900</v>
      </c>
      <c r="CE1518">
        <f>Grandview_Inventory[[#This Row],[final_land]]+Grandview_Inventory[[#This Row],[final_imp]]+Grandview_Inventory[[#This Row],[crop_value]]</f>
        <v>164200</v>
      </c>
      <c r="CG1518" t="str">
        <f t="shared" si="23"/>
        <v>update valuation set market_land =44300, market_bldg=119900, market_total =164200, market_mdno =401, market_date ='9/10/2023' where link_id = (select link_id from parcel where parcel_year = '2024' and parcel_id = '23092323532');</v>
      </c>
    </row>
    <row r="1519" spans="1:85" x14ac:dyDescent="0.25">
      <c r="A1519">
        <v>23092323533</v>
      </c>
      <c r="B1519">
        <v>0.18</v>
      </c>
      <c r="C1519">
        <v>7682</v>
      </c>
      <c r="D1519" t="s">
        <v>129</v>
      </c>
      <c r="E1519" t="s">
        <v>53</v>
      </c>
      <c r="F1519" t="s">
        <v>53</v>
      </c>
      <c r="G1519">
        <v>4</v>
      </c>
      <c r="H1519" t="s">
        <v>54</v>
      </c>
      <c r="I1519">
        <v>116200</v>
      </c>
      <c r="J1519">
        <v>39300</v>
      </c>
      <c r="K1519">
        <v>0.18</v>
      </c>
      <c r="L151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19">
        <v>0</v>
      </c>
      <c r="N1519">
        <v>0</v>
      </c>
      <c r="O1519">
        <v>0</v>
      </c>
      <c r="P1519">
        <v>13398.7528</v>
      </c>
      <c r="Q1519">
        <v>63903</v>
      </c>
      <c r="R1519">
        <f>(Grandview_Inventory[[#This Row],[ln_acres]]*Grandview_Inventory[[#This Row],[coeff]])+Grandview_Inventory[[#This Row],[const]]</f>
        <v>40926.839760167699</v>
      </c>
      <c r="S1519" t="s">
        <v>68</v>
      </c>
      <c r="T1519">
        <v>1</v>
      </c>
      <c r="U1519" t="s">
        <v>70</v>
      </c>
      <c r="V1519" t="s">
        <v>69</v>
      </c>
      <c r="W1519">
        <v>0</v>
      </c>
      <c r="X1519">
        <v>0</v>
      </c>
      <c r="Y1519">
        <v>51</v>
      </c>
      <c r="Z1519">
        <v>83</v>
      </c>
      <c r="AA1519">
        <v>90</v>
      </c>
      <c r="AB1519">
        <v>1000</v>
      </c>
      <c r="AC1519">
        <v>640</v>
      </c>
      <c r="AD1519">
        <v>640</v>
      </c>
      <c r="AE1519">
        <v>0</v>
      </c>
      <c r="AF1519">
        <v>0</v>
      </c>
      <c r="AG1519">
        <v>0</v>
      </c>
      <c r="AH1519">
        <v>435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5</v>
      </c>
      <c r="AQ1519">
        <v>0</v>
      </c>
      <c r="AR1519">
        <v>0</v>
      </c>
      <c r="AS1519" t="s">
        <v>71</v>
      </c>
      <c r="AT1519">
        <v>1</v>
      </c>
      <c r="AU1519" t="s">
        <v>75</v>
      </c>
      <c r="AV1519" t="s">
        <v>60</v>
      </c>
      <c r="AW1519">
        <v>0</v>
      </c>
      <c r="AX1519">
        <v>2</v>
      </c>
      <c r="AY1519">
        <v>0</v>
      </c>
      <c r="AZ1519">
        <v>5800</v>
      </c>
      <c r="BA1519">
        <v>100</v>
      </c>
      <c r="BB1519">
        <v>100</v>
      </c>
      <c r="BC1519">
        <v>100</v>
      </c>
      <c r="BD1519">
        <v>100</v>
      </c>
      <c r="BE1519">
        <v>1</v>
      </c>
      <c r="BF1519">
        <v>15000</v>
      </c>
      <c r="BG1519">
        <v>1000</v>
      </c>
      <c r="BH1519" s="6">
        <f>Grandview_Inventory[[#This Row],[land_extract]]*Lookups!$B$3</f>
        <v>47528.228511015397</v>
      </c>
      <c r="BI1519" s="6">
        <f>IF(Grandview_Inventory[[#This Row],[bldg_style]]="",0,Lookups!$B$2)</f>
        <v>155833.95000000001</v>
      </c>
      <c r="BJ1519" s="6">
        <f>_xlfn.IFNA(VLOOKUP(Grandview_Inventory[[#This Row],[quality]],Lookups!$H$2:$J$14,3,FALSE),0)</f>
        <v>10733</v>
      </c>
      <c r="BK1519" s="6">
        <f>_xlfn.IFNA(VLOOKUP(Grandview_Inventory[[#This Row],[condition]],Lookups!$H$17:$J$24,3,FALSE),0)</f>
        <v>-4503</v>
      </c>
      <c r="BL1519" s="6">
        <f>Grandview_Inventory[[#This Row],[Eff_Age]]*Lookups!$B$14</f>
        <v>-12197.496599999999</v>
      </c>
      <c r="BM1519" s="6">
        <f>Grandview_Inventory[[#This Row],[living_area]]*Lookups!$B$15</f>
        <v>39923.745920000001</v>
      </c>
      <c r="BN1519" s="6">
        <f>Grandview_Inventory[[#This Row],[Fin BSMT]]*Lookups!$B$16</f>
        <v>0</v>
      </c>
      <c r="BO1519" s="6">
        <f>(Grandview_Inventory[[#This Row],[att_gar]]+Grandview_Inventory[[#This Row],[bltin_gar]])*Lookups!$B$17</f>
        <v>0</v>
      </c>
      <c r="BP1519" s="6">
        <f>Grandview_Inventory[[#This Row],[Plumbing Fixtures]]*Lookups!$B$18</f>
        <v>10052.209000000001</v>
      </c>
      <c r="BQ1519" s="6">
        <f>Grandview_Inventory[[#This Row],[detatched_value]]*Lookups!$B$19</f>
        <v>4911.46958</v>
      </c>
      <c r="BR1519" s="6">
        <f>SUM(Grandview_Inventory[[#This Row],[Intercept]:[det_value]])*Grandview_Inventory[[#This Row],[res_pct]]</f>
        <v>204753.87790000002</v>
      </c>
      <c r="BS1519" s="6">
        <f>Grandview_Inventory[[#This Row],[land_value]]</f>
        <v>47528.228511015397</v>
      </c>
      <c r="BT1519" s="4">
        <f>_xlfn.IFNA(VLOOKUP(Grandview_Inventory[[#This Row],[quality]],Lookups!$A$26:$C$33,3,FALSE),1)</f>
        <v>0.98079741117310582</v>
      </c>
      <c r="BU1519" s="4">
        <f>_xlfn.IFNA(VLOOKUP(Grandview_Inventory[[#This Row],[condition]],Lookups!$A$37:$C$44,3,FALSE),1)</f>
        <v>0.96469275950863709</v>
      </c>
      <c r="BV1519" s="4">
        <f>IF(Grandview_Inventory[[#This Row],[bldg_style]]="",1,_xlfn.IFNA(VLOOKUP(Grandview_Inventory[[#This Row],[decade]],Lookups!$F$29:$H$43,3,FALSE),1))</f>
        <v>0.94161750052457416</v>
      </c>
      <c r="BW1519" s="4">
        <f>_xlfn.IFNA(VLOOKUP(Grandview_Inventory[[#This Row],[living_area_range]],Lookups!$F$47:$H$56,3,FALSE),1)</f>
        <v>0.94306777142782894</v>
      </c>
      <c r="BX1519" s="4">
        <f>AVERAGE(Grandview_Inventory[[#This Row],[qual_adj]:[size_adj]])</f>
        <v>0.95754386065853647</v>
      </c>
      <c r="BY1519" s="6">
        <f>IF(Grandview_Inventory[[#This Row],[pre_res]]&lt;0,0,Grandview_Inventory[[#This Row],[pre_res]]*Grandview_Inventory[[#This Row],[overall_adj]])</f>
        <v>196060.81872917261</v>
      </c>
      <c r="BZ1519" s="6">
        <f>(Grandview_Inventory[[#This Row],[sum_land]]-IF(Grandview_Inventory[[#This Row],[no_utilities]]=1,12000,0))/IF(Grandview_Inventory[[#This Row],[unbuildable]]=1,2,1)</f>
        <v>47528.228511015397</v>
      </c>
      <c r="CA151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19">
        <f>ROUND(Grandview_Inventory[[#This Row],[det_value]]*Lookups!$M$28,-2)</f>
        <v>4700</v>
      </c>
      <c r="CC1519">
        <f>IF(ROUND(Grandview_Inventory[[#This Row],[adj_res]]*Lookups!$M$28,-2)&lt;Grandview_Inventory[[#This Row],[min_res]],Grandview_Inventory[[#This Row],[min_res]],ROUND(Grandview_Inventory[[#This Row],[adj_res]]*Lookups!$M$28,-2))</f>
        <v>186300</v>
      </c>
      <c r="CD1519">
        <f>Grandview_Inventory[[#This Row],[final_det]]+Grandview_Inventory[[#This Row],[final_res]]</f>
        <v>191000</v>
      </c>
      <c r="CE1519">
        <f>Grandview_Inventory[[#This Row],[final_land]]+Grandview_Inventory[[#This Row],[final_imp]]+Grandview_Inventory[[#This Row],[crop_value]]</f>
        <v>236200</v>
      </c>
      <c r="CG1519" t="str">
        <f t="shared" si="23"/>
        <v>update valuation set market_land =45200, market_bldg=191000, market_total =236200, market_mdno =401, market_date ='9/10/2023' where link_id = (select link_id from parcel where parcel_year = '2024' and parcel_id = '23092323533');</v>
      </c>
    </row>
    <row r="1520" spans="1:85" x14ac:dyDescent="0.25">
      <c r="A1520">
        <v>23092323534</v>
      </c>
      <c r="B1520">
        <v>0.17</v>
      </c>
      <c r="C1520">
        <v>7226</v>
      </c>
      <c r="D1520" t="s">
        <v>129</v>
      </c>
      <c r="E1520" t="s">
        <v>53</v>
      </c>
      <c r="F1520" t="s">
        <v>53</v>
      </c>
      <c r="G1520">
        <v>4</v>
      </c>
      <c r="H1520" t="s">
        <v>54</v>
      </c>
      <c r="I1520">
        <v>248800</v>
      </c>
      <c r="J1520">
        <v>43500</v>
      </c>
      <c r="K1520">
        <v>0.17</v>
      </c>
      <c r="L152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20">
        <v>0</v>
      </c>
      <c r="N1520">
        <v>0</v>
      </c>
      <c r="O1520">
        <v>0</v>
      </c>
      <c r="P1520">
        <v>13398.7528</v>
      </c>
      <c r="Q1520">
        <v>63903</v>
      </c>
      <c r="R1520">
        <f>(Grandview_Inventory[[#This Row],[ln_acres]]*Grandview_Inventory[[#This Row],[coeff]])+Grandview_Inventory[[#This Row],[const]]</f>
        <v>40160.988302686128</v>
      </c>
      <c r="S1520" t="s">
        <v>55</v>
      </c>
      <c r="T1520">
        <v>2</v>
      </c>
      <c r="U1520" t="s">
        <v>65</v>
      </c>
      <c r="V1520" t="s">
        <v>66</v>
      </c>
      <c r="W1520">
        <v>0</v>
      </c>
      <c r="X1520">
        <v>0</v>
      </c>
      <c r="Y1520">
        <v>51</v>
      </c>
      <c r="Z1520">
        <v>78</v>
      </c>
      <c r="AA1520">
        <v>80</v>
      </c>
      <c r="AB1520">
        <v>2500</v>
      </c>
      <c r="AC1520">
        <v>2434</v>
      </c>
      <c r="AD1520">
        <v>1400</v>
      </c>
      <c r="AE1520">
        <v>634</v>
      </c>
      <c r="AF1520">
        <v>0</v>
      </c>
      <c r="AG1520">
        <v>400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102</v>
      </c>
      <c r="AO1520">
        <v>0</v>
      </c>
      <c r="AP1520">
        <v>9</v>
      </c>
      <c r="AQ1520">
        <v>0</v>
      </c>
      <c r="AR1520">
        <v>0</v>
      </c>
      <c r="AS1520" t="s">
        <v>58</v>
      </c>
      <c r="AT1520">
        <v>1</v>
      </c>
      <c r="AU1520" t="s">
        <v>59</v>
      </c>
      <c r="AV1520" t="s">
        <v>60</v>
      </c>
      <c r="AW1520">
        <v>1</v>
      </c>
      <c r="AX1520">
        <v>4</v>
      </c>
      <c r="AY1520">
        <v>0</v>
      </c>
      <c r="AZ1520">
        <v>4500</v>
      </c>
      <c r="BA1520">
        <v>100</v>
      </c>
      <c r="BB1520">
        <v>100</v>
      </c>
      <c r="BC1520">
        <v>100</v>
      </c>
      <c r="BD1520">
        <v>100</v>
      </c>
      <c r="BE1520">
        <v>1</v>
      </c>
      <c r="BF1520">
        <v>15000</v>
      </c>
      <c r="BG1520">
        <v>1000</v>
      </c>
      <c r="BH1520" s="6">
        <f>Grandview_Inventory[[#This Row],[land_extract]]*Lookups!$B$3</f>
        <v>46638.847281240982</v>
      </c>
      <c r="BI1520" s="6">
        <f>IF(Grandview_Inventory[[#This Row],[bldg_style]]="",0,Lookups!$B$2)</f>
        <v>155833.95000000001</v>
      </c>
      <c r="BJ1520" s="6">
        <f>_xlfn.IFNA(VLOOKUP(Grandview_Inventory[[#This Row],[quality]],Lookups!$H$2:$J$14,3,FALSE),0)</f>
        <v>2251</v>
      </c>
      <c r="BK1520" s="6">
        <f>_xlfn.IFNA(VLOOKUP(Grandview_Inventory[[#This Row],[condition]],Lookups!$H$17:$J$24,3,FALSE),0)</f>
        <v>25818</v>
      </c>
      <c r="BL1520" s="6">
        <f>Grandview_Inventory[[#This Row],[Eff_Age]]*Lookups!$B$14</f>
        <v>-12197.496599999999</v>
      </c>
      <c r="BM1520" s="6">
        <f>Grandview_Inventory[[#This Row],[living_area]]*Lookups!$B$15</f>
        <v>151834.99620200001</v>
      </c>
      <c r="BN1520" s="6">
        <f>Grandview_Inventory[[#This Row],[Fin BSMT]]*Lookups!$B$16</f>
        <v>-10839.696</v>
      </c>
      <c r="BO1520" s="6">
        <f>(Grandview_Inventory[[#This Row],[att_gar]]+Grandview_Inventory[[#This Row],[bltin_gar]])*Lookups!$B$17</f>
        <v>0</v>
      </c>
      <c r="BP1520" s="6">
        <f>Grandview_Inventory[[#This Row],[Plumbing Fixtures]]*Lookups!$B$18</f>
        <v>18093.976200000001</v>
      </c>
      <c r="BQ1520" s="6">
        <f>Grandview_Inventory[[#This Row],[detatched_value]]*Lookups!$B$19</f>
        <v>3810.6229499999999</v>
      </c>
      <c r="BR1520" s="6">
        <f>SUM(Grandview_Inventory[[#This Row],[Intercept]:[det_value]])*Grandview_Inventory[[#This Row],[res_pct]]</f>
        <v>334605.35275199998</v>
      </c>
      <c r="BS1520" s="6">
        <f>Grandview_Inventory[[#This Row],[land_value]]</f>
        <v>46638.847281240982</v>
      </c>
      <c r="BT1520" s="4">
        <f>_xlfn.IFNA(VLOOKUP(Grandview_Inventory[[#This Row],[quality]],Lookups!$A$26:$C$33,3,FALSE),1)</f>
        <v>0.98763855981004833</v>
      </c>
      <c r="BU1520" s="4">
        <f>_xlfn.IFNA(VLOOKUP(Grandview_Inventory[[#This Row],[condition]],Lookups!$A$37:$C$44,3,FALSE),1)</f>
        <v>0.96661476234146892</v>
      </c>
      <c r="BV1520" s="4">
        <f>IF(Grandview_Inventory[[#This Row],[bldg_style]]="",1,_xlfn.IFNA(VLOOKUP(Grandview_Inventory[[#This Row],[decade]],Lookups!$F$29:$H$43,3,FALSE),1))</f>
        <v>0.98763256963907298</v>
      </c>
      <c r="BW1520" s="4">
        <f>_xlfn.IFNA(VLOOKUP(Grandview_Inventory[[#This Row],[living_area_range]],Lookups!$F$47:$H$56,3,FALSE),1)</f>
        <v>0.95799442568048754</v>
      </c>
      <c r="BX1520" s="4">
        <f>AVERAGE(Grandview_Inventory[[#This Row],[qual_adj]:[size_adj]])</f>
        <v>0.97497007936776947</v>
      </c>
      <c r="BY1520" s="6">
        <f>IF(Grandview_Inventory[[#This Row],[pre_res]]&lt;0,0,Grandview_Inventory[[#This Row],[pre_res]]*Grandview_Inventory[[#This Row],[overall_adj]])</f>
        <v>326230.20732949791</v>
      </c>
      <c r="BZ1520" s="6">
        <f>(Grandview_Inventory[[#This Row],[sum_land]]-IF(Grandview_Inventory[[#This Row],[no_utilities]]=1,12000,0))/IF(Grandview_Inventory[[#This Row],[unbuildable]]=1,2,1)</f>
        <v>46638.847281240982</v>
      </c>
      <c r="CA152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20">
        <f>ROUND(Grandview_Inventory[[#This Row],[det_value]]*Lookups!$M$28,-2)</f>
        <v>3600</v>
      </c>
      <c r="CC1520">
        <f>IF(ROUND(Grandview_Inventory[[#This Row],[adj_res]]*Lookups!$M$28,-2)&lt;Grandview_Inventory[[#This Row],[min_res]],Grandview_Inventory[[#This Row],[min_res]],ROUND(Grandview_Inventory[[#This Row],[adj_res]]*Lookups!$M$28,-2))</f>
        <v>309900</v>
      </c>
      <c r="CD1520">
        <f>Grandview_Inventory[[#This Row],[final_det]]+Grandview_Inventory[[#This Row],[final_res]]</f>
        <v>313500</v>
      </c>
      <c r="CE1520">
        <f>Grandview_Inventory[[#This Row],[final_land]]+Grandview_Inventory[[#This Row],[final_imp]]+Grandview_Inventory[[#This Row],[crop_value]]</f>
        <v>357800</v>
      </c>
      <c r="CG1520" t="str">
        <f t="shared" si="23"/>
        <v>update valuation set market_land =44300, market_bldg=313500, market_total =357800, market_mdno =401, market_date ='9/10/2023' where link_id = (select link_id from parcel where parcel_year = '2024' and parcel_id = '23092323534');</v>
      </c>
    </row>
    <row r="1521" spans="1:85" x14ac:dyDescent="0.25">
      <c r="A1521">
        <v>23092323535</v>
      </c>
      <c r="B1521">
        <v>0.19</v>
      </c>
      <c r="C1521">
        <v>8173</v>
      </c>
      <c r="D1521" t="s">
        <v>129</v>
      </c>
      <c r="E1521" t="s">
        <v>53</v>
      </c>
      <c r="F1521" t="s">
        <v>53</v>
      </c>
      <c r="G1521">
        <v>4</v>
      </c>
      <c r="H1521" t="s">
        <v>54</v>
      </c>
      <c r="I1521">
        <v>165100</v>
      </c>
      <c r="J1521">
        <v>39500</v>
      </c>
      <c r="K1521">
        <v>0.19</v>
      </c>
      <c r="L152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21">
        <v>0</v>
      </c>
      <c r="N1521">
        <v>0</v>
      </c>
      <c r="O1521">
        <v>0</v>
      </c>
      <c r="P1521">
        <v>13398.7528</v>
      </c>
      <c r="Q1521">
        <v>63903</v>
      </c>
      <c r="R1521">
        <f>(Grandview_Inventory[[#This Row],[ln_acres]]*Grandview_Inventory[[#This Row],[coeff]])+Grandview_Inventory[[#This Row],[const]]</f>
        <v>41651.273092551026</v>
      </c>
      <c r="S1521" t="s">
        <v>68</v>
      </c>
      <c r="T1521">
        <v>1</v>
      </c>
      <c r="U1521" t="s">
        <v>62</v>
      </c>
      <c r="V1521" t="s">
        <v>69</v>
      </c>
      <c r="W1521">
        <v>0</v>
      </c>
      <c r="X1521">
        <v>0</v>
      </c>
      <c r="Y1521">
        <v>53</v>
      </c>
      <c r="Z1521">
        <v>93</v>
      </c>
      <c r="AA1521">
        <v>100</v>
      </c>
      <c r="AB1521">
        <v>2000</v>
      </c>
      <c r="AC1521">
        <v>1618</v>
      </c>
      <c r="AD1521">
        <v>1388</v>
      </c>
      <c r="AE1521">
        <v>0</v>
      </c>
      <c r="AF1521">
        <v>0</v>
      </c>
      <c r="AG1521">
        <v>230</v>
      </c>
      <c r="AH1521">
        <v>466</v>
      </c>
      <c r="AI1521">
        <v>0</v>
      </c>
      <c r="AJ1521">
        <v>0</v>
      </c>
      <c r="AK1521">
        <v>0</v>
      </c>
      <c r="AL1521">
        <v>0</v>
      </c>
      <c r="AM1521">
        <v>232</v>
      </c>
      <c r="AN1521">
        <v>0</v>
      </c>
      <c r="AO1521">
        <v>232</v>
      </c>
      <c r="AP1521">
        <v>8</v>
      </c>
      <c r="AQ1521">
        <v>0</v>
      </c>
      <c r="AR1521">
        <v>0</v>
      </c>
      <c r="AS1521" t="s">
        <v>71</v>
      </c>
      <c r="AT1521">
        <v>1</v>
      </c>
      <c r="AU1521" t="s">
        <v>59</v>
      </c>
      <c r="AV1521" t="s">
        <v>60</v>
      </c>
      <c r="AW1521">
        <v>1</v>
      </c>
      <c r="AX1521">
        <v>3</v>
      </c>
      <c r="AY1521">
        <v>0</v>
      </c>
      <c r="AZ1521">
        <v>11800</v>
      </c>
      <c r="BA1521">
        <v>100</v>
      </c>
      <c r="BB1521">
        <v>100</v>
      </c>
      <c r="BC1521">
        <v>100</v>
      </c>
      <c r="BD1521">
        <v>100</v>
      </c>
      <c r="BE1521">
        <v>1</v>
      </c>
      <c r="BF1521">
        <v>15000</v>
      </c>
      <c r="BG1521">
        <v>1000</v>
      </c>
      <c r="BH1521" s="6">
        <f>Grandview_Inventory[[#This Row],[land_extract]]*Lookups!$B$3</f>
        <v>48369.510983942157</v>
      </c>
      <c r="BI1521" s="6">
        <f>IF(Grandview_Inventory[[#This Row],[bldg_style]]="",0,Lookups!$B$2)</f>
        <v>155833.95000000001</v>
      </c>
      <c r="BJ1521" s="6">
        <f>_xlfn.IFNA(VLOOKUP(Grandview_Inventory[[#This Row],[quality]],Lookups!$H$2:$J$14,3,FALSE),0)</f>
        <v>9808</v>
      </c>
      <c r="BK1521" s="6">
        <f>_xlfn.IFNA(VLOOKUP(Grandview_Inventory[[#This Row],[condition]],Lookups!$H$17:$J$24,3,FALSE),0)</f>
        <v>-4503</v>
      </c>
      <c r="BL1521" s="6">
        <f>Grandview_Inventory[[#This Row],[Eff_Age]]*Lookups!$B$14</f>
        <v>-12675.8298</v>
      </c>
      <c r="BM1521" s="6">
        <f>Grandview_Inventory[[#This Row],[living_area]]*Lookups!$B$15</f>
        <v>100932.22015400001</v>
      </c>
      <c r="BN1521" s="6">
        <f>Grandview_Inventory[[#This Row],[Fin BSMT]]*Lookups!$B$16</f>
        <v>-6232.8252000000002</v>
      </c>
      <c r="BO1521" s="6">
        <f>(Grandview_Inventory[[#This Row],[att_gar]]+Grandview_Inventory[[#This Row],[bltin_gar]])*Lookups!$B$17</f>
        <v>0</v>
      </c>
      <c r="BP1521" s="6">
        <f>Grandview_Inventory[[#This Row],[Plumbing Fixtures]]*Lookups!$B$18</f>
        <v>16083.5344</v>
      </c>
      <c r="BQ1521" s="6">
        <f>Grandview_Inventory[[#This Row],[detatched_value]]*Lookups!$B$19</f>
        <v>9992.3001800000002</v>
      </c>
      <c r="BR1521" s="6">
        <f>SUM(Grandview_Inventory[[#This Row],[Intercept]:[det_value]])*Grandview_Inventory[[#This Row],[res_pct]]</f>
        <v>269238.34973400005</v>
      </c>
      <c r="BS1521" s="6">
        <f>Grandview_Inventory[[#This Row],[land_value]]</f>
        <v>48369.510983942157</v>
      </c>
      <c r="BT1521" s="4">
        <f>_xlfn.IFNA(VLOOKUP(Grandview_Inventory[[#This Row],[quality]],Lookups!$A$26:$C$33,3,FALSE),1)</f>
        <v>0.94295468617355149</v>
      </c>
      <c r="BU1521" s="4">
        <f>_xlfn.IFNA(VLOOKUP(Grandview_Inventory[[#This Row],[condition]],Lookups!$A$37:$C$44,3,FALSE),1)</f>
        <v>0.96469275950863709</v>
      </c>
      <c r="BV1521" s="4">
        <f>IF(Grandview_Inventory[[#This Row],[bldg_style]]="",1,_xlfn.IFNA(VLOOKUP(Grandview_Inventory[[#This Row],[decade]],Lookups!$F$29:$H$43,3,FALSE),1))</f>
        <v>0.95244691841736806</v>
      </c>
      <c r="BW1521" s="4">
        <f>_xlfn.IFNA(VLOOKUP(Grandview_Inventory[[#This Row],[living_area_range]],Lookups!$F$47:$H$56,3,FALSE),1)</f>
        <v>0.96120133463014379</v>
      </c>
      <c r="BX1521" s="4">
        <f>AVERAGE(Grandview_Inventory[[#This Row],[qual_adj]:[size_adj]])</f>
        <v>0.95532392468242522</v>
      </c>
      <c r="BY1521" s="6">
        <f>IF(Grandview_Inventory[[#This Row],[pre_res]]&lt;0,0,Grandview_Inventory[[#This Row],[pre_res]]*Grandview_Inventory[[#This Row],[overall_adj]])</f>
        <v>257209.83694290431</v>
      </c>
      <c r="BZ1521" s="6">
        <f>(Grandview_Inventory[[#This Row],[sum_land]]-IF(Grandview_Inventory[[#This Row],[no_utilities]]=1,12000,0))/IF(Grandview_Inventory[[#This Row],[unbuildable]]=1,2,1)</f>
        <v>48369.510983942157</v>
      </c>
      <c r="CA152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21">
        <f>ROUND(Grandview_Inventory[[#This Row],[det_value]]*Lookups!$M$28,-2)</f>
        <v>9500</v>
      </c>
      <c r="CC1521">
        <f>IF(ROUND(Grandview_Inventory[[#This Row],[adj_res]]*Lookups!$M$28,-2)&lt;Grandview_Inventory[[#This Row],[min_res]],Grandview_Inventory[[#This Row],[min_res]],ROUND(Grandview_Inventory[[#This Row],[adj_res]]*Lookups!$M$28,-2))</f>
        <v>244300</v>
      </c>
      <c r="CD1521">
        <f>Grandview_Inventory[[#This Row],[final_det]]+Grandview_Inventory[[#This Row],[final_res]]</f>
        <v>253800</v>
      </c>
      <c r="CE1521">
        <f>Grandview_Inventory[[#This Row],[final_land]]+Grandview_Inventory[[#This Row],[final_imp]]+Grandview_Inventory[[#This Row],[crop_value]]</f>
        <v>299800</v>
      </c>
      <c r="CG1521" t="str">
        <f t="shared" si="23"/>
        <v>update valuation set market_land =46000, market_bldg=253800, market_total =299800, market_mdno =401, market_date ='9/10/2023' where link_id = (select link_id from parcel where parcel_year = '2024' and parcel_id = '23092323535');</v>
      </c>
    </row>
    <row r="1522" spans="1:85" x14ac:dyDescent="0.25">
      <c r="A1522">
        <v>23092323536</v>
      </c>
      <c r="B1522">
        <v>0.17</v>
      </c>
      <c r="C1522">
        <v>7618</v>
      </c>
      <c r="D1522" t="s">
        <v>129</v>
      </c>
      <c r="E1522" t="s">
        <v>53</v>
      </c>
      <c r="F1522" t="s">
        <v>53</v>
      </c>
      <c r="G1522">
        <v>4</v>
      </c>
      <c r="H1522" t="s">
        <v>54</v>
      </c>
      <c r="I1522">
        <v>83300</v>
      </c>
      <c r="J1522">
        <v>39300</v>
      </c>
      <c r="K1522">
        <v>0.17</v>
      </c>
      <c r="L152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22">
        <v>0</v>
      </c>
      <c r="N1522">
        <v>0</v>
      </c>
      <c r="O1522">
        <v>0</v>
      </c>
      <c r="P1522">
        <v>13398.7528</v>
      </c>
      <c r="Q1522">
        <v>63903</v>
      </c>
      <c r="R1522">
        <f>(Grandview_Inventory[[#This Row],[ln_acres]]*Grandview_Inventory[[#This Row],[coeff]])+Grandview_Inventory[[#This Row],[const]]</f>
        <v>40160.988302686128</v>
      </c>
      <c r="S1522" t="s">
        <v>68</v>
      </c>
      <c r="T1522">
        <v>1</v>
      </c>
      <c r="U1522" t="s">
        <v>70</v>
      </c>
      <c r="V1522" t="s">
        <v>78</v>
      </c>
      <c r="W1522">
        <v>0</v>
      </c>
      <c r="X1522">
        <v>0</v>
      </c>
      <c r="Y1522">
        <v>51</v>
      </c>
      <c r="Z1522">
        <v>78</v>
      </c>
      <c r="AA1522">
        <v>80</v>
      </c>
      <c r="AB1522">
        <v>1000</v>
      </c>
      <c r="AC1522">
        <v>796</v>
      </c>
      <c r="AD1522">
        <v>796</v>
      </c>
      <c r="AE1522">
        <v>0</v>
      </c>
      <c r="AF1522">
        <v>0</v>
      </c>
      <c r="AG1522">
        <v>0</v>
      </c>
      <c r="AH1522">
        <v>796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32</v>
      </c>
      <c r="AO1522">
        <v>0</v>
      </c>
      <c r="AP1522">
        <v>5</v>
      </c>
      <c r="AQ1522">
        <v>0</v>
      </c>
      <c r="AR1522">
        <v>0</v>
      </c>
      <c r="AS1522" t="s">
        <v>58</v>
      </c>
      <c r="AT1522">
        <v>1</v>
      </c>
      <c r="AU1522" t="s">
        <v>63</v>
      </c>
      <c r="AV1522" t="s">
        <v>81</v>
      </c>
      <c r="AW1522">
        <v>0</v>
      </c>
      <c r="AX1522">
        <v>2</v>
      </c>
      <c r="AY1522">
        <v>0</v>
      </c>
      <c r="AZ1522">
        <v>5500</v>
      </c>
      <c r="BA1522">
        <v>100</v>
      </c>
      <c r="BB1522">
        <v>100</v>
      </c>
      <c r="BC1522">
        <v>100</v>
      </c>
      <c r="BD1522">
        <v>100</v>
      </c>
      <c r="BE1522">
        <v>1</v>
      </c>
      <c r="BF1522">
        <v>15000</v>
      </c>
      <c r="BG1522">
        <v>1000</v>
      </c>
      <c r="BH1522" s="6">
        <f>Grandview_Inventory[[#This Row],[land_extract]]*Lookups!$B$3</f>
        <v>46638.847281240982</v>
      </c>
      <c r="BI1522" s="6">
        <f>IF(Grandview_Inventory[[#This Row],[bldg_style]]="",0,Lookups!$B$2)</f>
        <v>155833.95000000001</v>
      </c>
      <c r="BJ1522" s="6">
        <f>_xlfn.IFNA(VLOOKUP(Grandview_Inventory[[#This Row],[quality]],Lookups!$H$2:$J$14,3,FALSE),0)</f>
        <v>10733</v>
      </c>
      <c r="BK1522" s="6">
        <f>_xlfn.IFNA(VLOOKUP(Grandview_Inventory[[#This Row],[condition]],Lookups!$H$17:$J$24,3,FALSE),0)</f>
        <v>-45357</v>
      </c>
      <c r="BL1522" s="6">
        <f>Grandview_Inventory[[#This Row],[Eff_Age]]*Lookups!$B$14</f>
        <v>-12197.496599999999</v>
      </c>
      <c r="BM1522" s="6">
        <f>Grandview_Inventory[[#This Row],[living_area]]*Lookups!$B$15</f>
        <v>49655.158988000003</v>
      </c>
      <c r="BN1522" s="6">
        <f>Grandview_Inventory[[#This Row],[Fin BSMT]]*Lookups!$B$16</f>
        <v>0</v>
      </c>
      <c r="BO1522" s="6">
        <f>(Grandview_Inventory[[#This Row],[att_gar]]+Grandview_Inventory[[#This Row],[bltin_gar]])*Lookups!$B$17</f>
        <v>0</v>
      </c>
      <c r="BP1522" s="6">
        <f>Grandview_Inventory[[#This Row],[Plumbing Fixtures]]*Lookups!$B$18</f>
        <v>10052.209000000001</v>
      </c>
      <c r="BQ1522" s="6">
        <f>Grandview_Inventory[[#This Row],[detatched_value]]*Lookups!$B$19</f>
        <v>4657.4280499999995</v>
      </c>
      <c r="BR1522" s="6">
        <f>SUM(Grandview_Inventory[[#This Row],[Intercept]:[det_value]])*Grandview_Inventory[[#This Row],[res_pct]]</f>
        <v>173377.249438</v>
      </c>
      <c r="BS1522" s="6">
        <f>Grandview_Inventory[[#This Row],[land_value]]</f>
        <v>46638.847281240982</v>
      </c>
      <c r="BT1522" s="4">
        <f>_xlfn.IFNA(VLOOKUP(Grandview_Inventory[[#This Row],[quality]],Lookups!$A$26:$C$33,3,FALSE),1)</f>
        <v>0.98079741117310582</v>
      </c>
      <c r="BU1522" s="4">
        <f>_xlfn.IFNA(VLOOKUP(Grandview_Inventory[[#This Row],[condition]],Lookups!$A$37:$C$44,3,FALSE),1)</f>
        <v>0.97161819570155394</v>
      </c>
      <c r="BV1522" s="4">
        <f>IF(Grandview_Inventory[[#This Row],[bldg_style]]="",1,_xlfn.IFNA(VLOOKUP(Grandview_Inventory[[#This Row],[decade]],Lookups!$F$29:$H$43,3,FALSE),1))</f>
        <v>0.98763256963907298</v>
      </c>
      <c r="BW1522" s="4">
        <f>_xlfn.IFNA(VLOOKUP(Grandview_Inventory[[#This Row],[living_area_range]],Lookups!$F$47:$H$56,3,FALSE),1)</f>
        <v>0.94306777142782894</v>
      </c>
      <c r="BX1522" s="4">
        <f>AVERAGE(Grandview_Inventory[[#This Row],[qual_adj]:[size_adj]])</f>
        <v>0.97077898698539034</v>
      </c>
      <c r="BY1522" s="6">
        <f>IF(Grandview_Inventory[[#This Row],[pre_res]]&lt;0,0,Grandview_Inventory[[#This Row],[pre_res]]*Grandview_Inventory[[#This Row],[overall_adj]])</f>
        <v>168310.99057573496</v>
      </c>
      <c r="BZ1522" s="6">
        <f>(Grandview_Inventory[[#This Row],[sum_land]]-IF(Grandview_Inventory[[#This Row],[no_utilities]]=1,12000,0))/IF(Grandview_Inventory[[#This Row],[unbuildable]]=1,2,1)</f>
        <v>46638.847281240982</v>
      </c>
      <c r="CA152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22">
        <f>ROUND(Grandview_Inventory[[#This Row],[det_value]]*Lookups!$M$28,-2)</f>
        <v>4400</v>
      </c>
      <c r="CC1522">
        <f>IF(ROUND(Grandview_Inventory[[#This Row],[adj_res]]*Lookups!$M$28,-2)&lt;Grandview_Inventory[[#This Row],[min_res]],Grandview_Inventory[[#This Row],[min_res]],ROUND(Grandview_Inventory[[#This Row],[adj_res]]*Lookups!$M$28,-2))</f>
        <v>159900</v>
      </c>
      <c r="CD1522">
        <f>Grandview_Inventory[[#This Row],[final_det]]+Grandview_Inventory[[#This Row],[final_res]]</f>
        <v>164300</v>
      </c>
      <c r="CE1522">
        <f>Grandview_Inventory[[#This Row],[final_land]]+Grandview_Inventory[[#This Row],[final_imp]]+Grandview_Inventory[[#This Row],[crop_value]]</f>
        <v>208600</v>
      </c>
      <c r="CG1522" t="str">
        <f t="shared" si="23"/>
        <v>update valuation set market_land =44300, market_bldg=164300, market_total =208600, market_mdno =401, market_date ='9/10/2023' where link_id = (select link_id from parcel where parcel_year = '2024' and parcel_id = '23092323536');</v>
      </c>
    </row>
    <row r="1523" spans="1:85" x14ac:dyDescent="0.25">
      <c r="A1523">
        <v>23092323537</v>
      </c>
      <c r="B1523">
        <v>0.19</v>
      </c>
      <c r="C1523">
        <v>8269</v>
      </c>
      <c r="D1523" t="s">
        <v>129</v>
      </c>
      <c r="E1523" t="s">
        <v>53</v>
      </c>
      <c r="F1523" t="s">
        <v>53</v>
      </c>
      <c r="G1523">
        <v>4</v>
      </c>
      <c r="H1523" t="s">
        <v>54</v>
      </c>
      <c r="I1523">
        <v>111300</v>
      </c>
      <c r="J1523">
        <v>39500</v>
      </c>
      <c r="K1523">
        <v>0.19</v>
      </c>
      <c r="L152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23">
        <v>0</v>
      </c>
      <c r="N1523">
        <v>0</v>
      </c>
      <c r="O1523">
        <v>0</v>
      </c>
      <c r="P1523">
        <v>13398.7528</v>
      </c>
      <c r="Q1523">
        <v>63903</v>
      </c>
      <c r="R1523">
        <f>(Grandview_Inventory[[#This Row],[ln_acres]]*Grandview_Inventory[[#This Row],[coeff]])+Grandview_Inventory[[#This Row],[const]]</f>
        <v>41651.273092551026</v>
      </c>
      <c r="S1523" t="s">
        <v>68</v>
      </c>
      <c r="T1523">
        <v>1</v>
      </c>
      <c r="U1523" t="s">
        <v>80</v>
      </c>
      <c r="V1523" t="s">
        <v>69</v>
      </c>
      <c r="W1523">
        <v>0</v>
      </c>
      <c r="X1523">
        <v>0</v>
      </c>
      <c r="Y1523">
        <v>51</v>
      </c>
      <c r="Z1523">
        <v>83</v>
      </c>
      <c r="AA1523">
        <v>90</v>
      </c>
      <c r="AB1523">
        <v>1000</v>
      </c>
      <c r="AC1523">
        <v>891</v>
      </c>
      <c r="AD1523">
        <v>891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280</v>
      </c>
      <c r="AL1523">
        <v>0</v>
      </c>
      <c r="AM1523">
        <v>0</v>
      </c>
      <c r="AN1523">
        <v>40</v>
      </c>
      <c r="AO1523">
        <v>0</v>
      </c>
      <c r="AP1523">
        <v>5</v>
      </c>
      <c r="AQ1523">
        <v>0</v>
      </c>
      <c r="AR1523">
        <v>0</v>
      </c>
      <c r="AS1523" t="s">
        <v>71</v>
      </c>
      <c r="AT1523">
        <v>1</v>
      </c>
      <c r="AU1523" t="s">
        <v>75</v>
      </c>
      <c r="AV1523" t="s">
        <v>60</v>
      </c>
      <c r="AW1523">
        <v>0</v>
      </c>
      <c r="AX1523">
        <v>3</v>
      </c>
      <c r="AY1523">
        <v>0</v>
      </c>
      <c r="AZ1523">
        <v>0</v>
      </c>
      <c r="BA1523">
        <v>100</v>
      </c>
      <c r="BB1523">
        <v>100</v>
      </c>
      <c r="BC1523">
        <v>100</v>
      </c>
      <c r="BD1523">
        <v>100</v>
      </c>
      <c r="BE1523">
        <v>1</v>
      </c>
      <c r="BF1523">
        <v>15000</v>
      </c>
      <c r="BG1523">
        <v>1000</v>
      </c>
      <c r="BH1523" s="6">
        <f>Grandview_Inventory[[#This Row],[land_extract]]*Lookups!$B$3</f>
        <v>48369.510983942157</v>
      </c>
      <c r="BI1523" s="6">
        <f>IF(Grandview_Inventory[[#This Row],[bldg_style]]="",0,Lookups!$B$2)</f>
        <v>155833.95000000001</v>
      </c>
      <c r="BJ1523" s="6">
        <f>_xlfn.IFNA(VLOOKUP(Grandview_Inventory[[#This Row],[quality]],Lookups!$H$2:$J$14,3,FALSE),0)</f>
        <v>-28558</v>
      </c>
      <c r="BK1523" s="6">
        <f>_xlfn.IFNA(VLOOKUP(Grandview_Inventory[[#This Row],[condition]],Lookups!$H$17:$J$24,3,FALSE),0)</f>
        <v>-4503</v>
      </c>
      <c r="BL1523" s="6">
        <f>Grandview_Inventory[[#This Row],[Eff_Age]]*Lookups!$B$14</f>
        <v>-12197.496599999999</v>
      </c>
      <c r="BM1523" s="6">
        <f>Grandview_Inventory[[#This Row],[living_area]]*Lookups!$B$15</f>
        <v>55581.340023000004</v>
      </c>
      <c r="BN1523" s="6">
        <f>Grandview_Inventory[[#This Row],[Fin BSMT]]*Lookups!$B$16</f>
        <v>0</v>
      </c>
      <c r="BO1523" s="6">
        <f>(Grandview_Inventory[[#This Row],[att_gar]]+Grandview_Inventory[[#This Row],[bltin_gar]])*Lookups!$B$17</f>
        <v>0</v>
      </c>
      <c r="BP1523" s="6">
        <f>Grandview_Inventory[[#This Row],[Plumbing Fixtures]]*Lookups!$B$18</f>
        <v>10052.209000000001</v>
      </c>
      <c r="BQ1523" s="6">
        <f>Grandview_Inventory[[#This Row],[detatched_value]]*Lookups!$B$19</f>
        <v>0</v>
      </c>
      <c r="BR1523" s="6">
        <f>SUM(Grandview_Inventory[[#This Row],[Intercept]:[det_value]])*Grandview_Inventory[[#This Row],[res_pct]]</f>
        <v>176209.00242300003</v>
      </c>
      <c r="BS1523" s="6">
        <f>Grandview_Inventory[[#This Row],[land_value]]</f>
        <v>48369.510983942157</v>
      </c>
      <c r="BT1523" s="4">
        <f>_xlfn.IFNA(VLOOKUP(Grandview_Inventory[[#This Row],[quality]],Lookups!$A$26:$C$33,3,FALSE),1)</f>
        <v>0.9690360070159818</v>
      </c>
      <c r="BU1523" s="4">
        <f>_xlfn.IFNA(VLOOKUP(Grandview_Inventory[[#This Row],[condition]],Lookups!$A$37:$C$44,3,FALSE),1)</f>
        <v>0.96469275950863709</v>
      </c>
      <c r="BV1523" s="4">
        <f>IF(Grandview_Inventory[[#This Row],[bldg_style]]="",1,_xlfn.IFNA(VLOOKUP(Grandview_Inventory[[#This Row],[decade]],Lookups!$F$29:$H$43,3,FALSE),1))</f>
        <v>0.94161750052457416</v>
      </c>
      <c r="BW1523" s="4">
        <f>_xlfn.IFNA(VLOOKUP(Grandview_Inventory[[#This Row],[living_area_range]],Lookups!$F$47:$H$56,3,FALSE),1)</f>
        <v>0.94306777142782894</v>
      </c>
      <c r="BX1523" s="4">
        <f>AVERAGE(Grandview_Inventory[[#This Row],[qual_adj]:[size_adj]])</f>
        <v>0.95460350961925544</v>
      </c>
      <c r="BY1523" s="6">
        <f>IF(Grandview_Inventory[[#This Row],[pre_res]]&lt;0,0,Grandview_Inventory[[#This Row],[pre_res]]*Grandview_Inventory[[#This Row],[overall_adj]])</f>
        <v>168209.7321395037</v>
      </c>
      <c r="BZ1523" s="6">
        <f>(Grandview_Inventory[[#This Row],[sum_land]]-IF(Grandview_Inventory[[#This Row],[no_utilities]]=1,12000,0))/IF(Grandview_Inventory[[#This Row],[unbuildable]]=1,2,1)</f>
        <v>48369.510983942157</v>
      </c>
      <c r="CA152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23">
        <f>ROUND(Grandview_Inventory[[#This Row],[det_value]]*Lookups!$M$28,-2)</f>
        <v>0</v>
      </c>
      <c r="CC1523">
        <f>IF(ROUND(Grandview_Inventory[[#This Row],[adj_res]]*Lookups!$M$28,-2)&lt;Grandview_Inventory[[#This Row],[min_res]],Grandview_Inventory[[#This Row],[min_res]],ROUND(Grandview_Inventory[[#This Row],[adj_res]]*Lookups!$M$28,-2))</f>
        <v>159800</v>
      </c>
      <c r="CD1523">
        <f>Grandview_Inventory[[#This Row],[final_det]]+Grandview_Inventory[[#This Row],[final_res]]</f>
        <v>159800</v>
      </c>
      <c r="CE1523">
        <f>Grandview_Inventory[[#This Row],[final_land]]+Grandview_Inventory[[#This Row],[final_imp]]+Grandview_Inventory[[#This Row],[crop_value]]</f>
        <v>205800</v>
      </c>
      <c r="CG1523" t="str">
        <f t="shared" si="23"/>
        <v>update valuation set market_land =46000, market_bldg=159800, market_total =205800, market_mdno =401, market_date ='9/10/2023' where link_id = (select link_id from parcel where parcel_year = '2024' and parcel_id = '23092323537');</v>
      </c>
    </row>
    <row r="1524" spans="1:85" x14ac:dyDescent="0.25">
      <c r="A1524">
        <v>23092323538</v>
      </c>
      <c r="B1524">
        <v>0.34</v>
      </c>
      <c r="C1524">
        <v>14604</v>
      </c>
      <c r="D1524" t="s">
        <v>129</v>
      </c>
      <c r="E1524" t="s">
        <v>53</v>
      </c>
      <c r="F1524" t="s">
        <v>53</v>
      </c>
      <c r="G1524">
        <v>4</v>
      </c>
      <c r="H1524" t="s">
        <v>54</v>
      </c>
      <c r="I1524">
        <v>82700</v>
      </c>
      <c r="J1524">
        <v>41800</v>
      </c>
      <c r="K1524">
        <v>0.34</v>
      </c>
      <c r="L1524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524">
        <v>0</v>
      </c>
      <c r="N1524">
        <v>0</v>
      </c>
      <c r="O1524">
        <v>0</v>
      </c>
      <c r="P1524">
        <v>13398.7528</v>
      </c>
      <c r="Q1524">
        <v>63903</v>
      </c>
      <c r="R1524">
        <f>(Grandview_Inventory[[#This Row],[ln_acres]]*Grandview_Inventory[[#This Row],[coeff]])+Grandview_Inventory[[#This Row],[const]]</f>
        <v>49448.296029025805</v>
      </c>
      <c r="S1524" t="s">
        <v>85</v>
      </c>
      <c r="T1524">
        <v>1</v>
      </c>
      <c r="U1524" t="s">
        <v>65</v>
      </c>
      <c r="V1524" t="s">
        <v>78</v>
      </c>
      <c r="W1524">
        <v>0</v>
      </c>
      <c r="X1524">
        <v>0</v>
      </c>
      <c r="Y1524">
        <v>55</v>
      </c>
      <c r="Z1524">
        <v>98</v>
      </c>
      <c r="AA1524">
        <v>100</v>
      </c>
      <c r="AB1524">
        <v>1500</v>
      </c>
      <c r="AC1524">
        <v>1032</v>
      </c>
      <c r="AD1524">
        <v>1032</v>
      </c>
      <c r="AE1524">
        <v>0</v>
      </c>
      <c r="AF1524">
        <v>0</v>
      </c>
      <c r="AG1524">
        <v>0</v>
      </c>
      <c r="AH1524">
        <v>1032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208</v>
      </c>
      <c r="AO1524">
        <v>0</v>
      </c>
      <c r="AP1524">
        <v>5</v>
      </c>
      <c r="AQ1524">
        <v>0</v>
      </c>
      <c r="AR1524">
        <v>0</v>
      </c>
      <c r="AS1524" t="s">
        <v>71</v>
      </c>
      <c r="AT1524">
        <v>1</v>
      </c>
      <c r="AU1524" t="s">
        <v>63</v>
      </c>
      <c r="AV1524" t="s">
        <v>64</v>
      </c>
      <c r="AW1524">
        <v>0</v>
      </c>
      <c r="AX1524">
        <v>3</v>
      </c>
      <c r="AY1524">
        <v>0</v>
      </c>
      <c r="AZ1524">
        <v>0</v>
      </c>
      <c r="BA1524">
        <v>100</v>
      </c>
      <c r="BB1524">
        <v>100</v>
      </c>
      <c r="BC1524">
        <v>100</v>
      </c>
      <c r="BD1524">
        <v>100</v>
      </c>
      <c r="BE1524">
        <v>1</v>
      </c>
      <c r="BF1524">
        <v>15000</v>
      </c>
      <c r="BG1524">
        <v>1000</v>
      </c>
      <c r="BH1524" s="6">
        <f>Grandview_Inventory[[#This Row],[land_extract]]*Lookups!$B$3</f>
        <v>57424.172668108389</v>
      </c>
      <c r="BI1524" s="6">
        <f>IF(Grandview_Inventory[[#This Row],[bldg_style]]="",0,Lookups!$B$2)</f>
        <v>155833.95000000001</v>
      </c>
      <c r="BJ1524" s="6">
        <f>_xlfn.IFNA(VLOOKUP(Grandview_Inventory[[#This Row],[quality]],Lookups!$H$2:$J$14,3,FALSE),0)</f>
        <v>2251</v>
      </c>
      <c r="BK1524" s="6">
        <f>_xlfn.IFNA(VLOOKUP(Grandview_Inventory[[#This Row],[condition]],Lookups!$H$17:$J$24,3,FALSE),0)</f>
        <v>-45357</v>
      </c>
      <c r="BL1524" s="6">
        <f>Grandview_Inventory[[#This Row],[Eff_Age]]*Lookups!$B$14</f>
        <v>-13154.162999999999</v>
      </c>
      <c r="BM1524" s="6">
        <f>Grandview_Inventory[[#This Row],[living_area]]*Lookups!$B$15</f>
        <v>64377.040295999999</v>
      </c>
      <c r="BN1524" s="6">
        <f>Grandview_Inventory[[#This Row],[Fin BSMT]]*Lookups!$B$16</f>
        <v>0</v>
      </c>
      <c r="BO1524" s="6">
        <f>(Grandview_Inventory[[#This Row],[att_gar]]+Grandview_Inventory[[#This Row],[bltin_gar]])*Lookups!$B$17</f>
        <v>0</v>
      </c>
      <c r="BP1524" s="6">
        <f>Grandview_Inventory[[#This Row],[Plumbing Fixtures]]*Lookups!$B$18</f>
        <v>10052.209000000001</v>
      </c>
      <c r="BQ1524" s="6">
        <f>Grandview_Inventory[[#This Row],[detatched_value]]*Lookups!$B$19</f>
        <v>0</v>
      </c>
      <c r="BR1524" s="6">
        <f>SUM(Grandview_Inventory[[#This Row],[Intercept]:[det_value]])*Grandview_Inventory[[#This Row],[res_pct]]</f>
        <v>174003.03629600001</v>
      </c>
      <c r="BS1524" s="6">
        <f>Grandview_Inventory[[#This Row],[land_value]]</f>
        <v>57424.172668108389</v>
      </c>
      <c r="BT1524" s="4">
        <f>_xlfn.IFNA(VLOOKUP(Grandview_Inventory[[#This Row],[quality]],Lookups!$A$26:$C$33,3,FALSE),1)</f>
        <v>0.98763855981004833</v>
      </c>
      <c r="BU1524" s="4">
        <f>_xlfn.IFNA(VLOOKUP(Grandview_Inventory[[#This Row],[condition]],Lookups!$A$37:$C$44,3,FALSE),1)</f>
        <v>0.97161819570155394</v>
      </c>
      <c r="BV1524" s="4">
        <f>IF(Grandview_Inventory[[#This Row],[bldg_style]]="",1,_xlfn.IFNA(VLOOKUP(Grandview_Inventory[[#This Row],[decade]],Lookups!$F$29:$H$43,3,FALSE),1))</f>
        <v>0.95244691841736806</v>
      </c>
      <c r="BW1524" s="4">
        <f>_xlfn.IFNA(VLOOKUP(Grandview_Inventory[[#This Row],[living_area_range]],Lookups!$F$47:$H$56,3,FALSE),1)</f>
        <v>0.96135087979789358</v>
      </c>
      <c r="BX1524" s="4">
        <f>AVERAGE(Grandview_Inventory[[#This Row],[qual_adj]:[size_adj]])</f>
        <v>0.96826363843171603</v>
      </c>
      <c r="BY1524" s="6">
        <f>IF(Grandview_Inventory[[#This Row],[pre_res]]&lt;0,0,Grandview_Inventory[[#This Row],[pre_res]]*Grandview_Inventory[[#This Row],[overall_adj]])</f>
        <v>168480.8130221309</v>
      </c>
      <c r="BZ1524" s="6">
        <f>(Grandview_Inventory[[#This Row],[sum_land]]-IF(Grandview_Inventory[[#This Row],[no_utilities]]=1,12000,0))/IF(Grandview_Inventory[[#This Row],[unbuildable]]=1,2,1)</f>
        <v>57424.172668108389</v>
      </c>
      <c r="CA1524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524">
        <f>ROUND(Grandview_Inventory[[#This Row],[det_value]]*Lookups!$M$28,-2)</f>
        <v>0</v>
      </c>
      <c r="CC1524">
        <f>IF(ROUND(Grandview_Inventory[[#This Row],[adj_res]]*Lookups!$M$28,-2)&lt;Grandview_Inventory[[#This Row],[min_res]],Grandview_Inventory[[#This Row],[min_res]],ROUND(Grandview_Inventory[[#This Row],[adj_res]]*Lookups!$M$28,-2))</f>
        <v>160100</v>
      </c>
      <c r="CD1524">
        <f>Grandview_Inventory[[#This Row],[final_det]]+Grandview_Inventory[[#This Row],[final_res]]</f>
        <v>160100</v>
      </c>
      <c r="CE1524">
        <f>Grandview_Inventory[[#This Row],[final_land]]+Grandview_Inventory[[#This Row],[final_imp]]+Grandview_Inventory[[#This Row],[crop_value]]</f>
        <v>214700</v>
      </c>
      <c r="CG1524" t="str">
        <f t="shared" si="23"/>
        <v>update valuation set market_land =54600, market_bldg=160100, market_total =214700, market_mdno =401, market_date ='9/10/2023' where link_id = (select link_id from parcel where parcel_year = '2024' and parcel_id = '23092323538');</v>
      </c>
    </row>
    <row r="1525" spans="1:85" x14ac:dyDescent="0.25">
      <c r="A1525">
        <v>23092323539</v>
      </c>
      <c r="B1525">
        <v>0.16</v>
      </c>
      <c r="C1525">
        <v>6986</v>
      </c>
      <c r="D1525" t="s">
        <v>129</v>
      </c>
      <c r="E1525" t="s">
        <v>53</v>
      </c>
      <c r="F1525" t="s">
        <v>53</v>
      </c>
      <c r="G1525">
        <v>4</v>
      </c>
      <c r="H1525" t="s">
        <v>54</v>
      </c>
      <c r="I1525">
        <v>171800</v>
      </c>
      <c r="J1525">
        <v>43300</v>
      </c>
      <c r="K1525">
        <v>0.16</v>
      </c>
      <c r="L152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25">
        <v>0</v>
      </c>
      <c r="N1525">
        <v>0</v>
      </c>
      <c r="O1525">
        <v>0</v>
      </c>
      <c r="P1525">
        <v>13398.7528</v>
      </c>
      <c r="Q1525">
        <v>63903</v>
      </c>
      <c r="R1525">
        <f>(Grandview_Inventory[[#This Row],[ln_acres]]*Grandview_Inventory[[#This Row],[coeff]])+Grandview_Inventory[[#This Row],[const]]</f>
        <v>39348.693981374228</v>
      </c>
      <c r="S1525" t="s">
        <v>85</v>
      </c>
      <c r="T1525">
        <v>2</v>
      </c>
      <c r="U1525" t="s">
        <v>65</v>
      </c>
      <c r="V1525" t="s">
        <v>69</v>
      </c>
      <c r="W1525">
        <v>0</v>
      </c>
      <c r="X1525">
        <v>0</v>
      </c>
      <c r="Y1525">
        <v>55</v>
      </c>
      <c r="Z1525">
        <v>98</v>
      </c>
      <c r="AA1525">
        <v>100</v>
      </c>
      <c r="AB1525">
        <v>2000</v>
      </c>
      <c r="AC1525">
        <v>1801</v>
      </c>
      <c r="AD1525">
        <v>1180</v>
      </c>
      <c r="AE1525">
        <v>621</v>
      </c>
      <c r="AF1525">
        <v>0</v>
      </c>
      <c r="AG1525">
        <v>0</v>
      </c>
      <c r="AH1525">
        <v>1180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140</v>
      </c>
      <c r="AO1525">
        <v>0</v>
      </c>
      <c r="AP1525">
        <v>5</v>
      </c>
      <c r="AQ1525">
        <v>0</v>
      </c>
      <c r="AR1525">
        <v>1</v>
      </c>
      <c r="AS1525" t="s">
        <v>58</v>
      </c>
      <c r="AT1525">
        <v>1</v>
      </c>
      <c r="AU1525" t="s">
        <v>63</v>
      </c>
      <c r="AV1525" t="s">
        <v>64</v>
      </c>
      <c r="AW1525">
        <v>1</v>
      </c>
      <c r="AX1525">
        <v>3</v>
      </c>
      <c r="AY1525">
        <v>0</v>
      </c>
      <c r="AZ1525">
        <v>6800</v>
      </c>
      <c r="BA1525">
        <v>100</v>
      </c>
      <c r="BB1525">
        <v>100</v>
      </c>
      <c r="BC1525">
        <v>100</v>
      </c>
      <c r="BD1525">
        <v>100</v>
      </c>
      <c r="BE1525">
        <v>1</v>
      </c>
      <c r="BF1525">
        <v>15000</v>
      </c>
      <c r="BG1525">
        <v>1000</v>
      </c>
      <c r="BH1525" s="6">
        <f>Grandview_Inventory[[#This Row],[land_extract]]*Lookups!$B$3</f>
        <v>45695.532079096141</v>
      </c>
      <c r="BI1525" s="6">
        <f>IF(Grandview_Inventory[[#This Row],[bldg_style]]="",0,Lookups!$B$2)</f>
        <v>155833.95000000001</v>
      </c>
      <c r="BJ1525" s="6">
        <f>_xlfn.IFNA(VLOOKUP(Grandview_Inventory[[#This Row],[quality]],Lookups!$H$2:$J$14,3,FALSE),0)</f>
        <v>2251</v>
      </c>
      <c r="BK1525" s="6">
        <f>_xlfn.IFNA(VLOOKUP(Grandview_Inventory[[#This Row],[condition]],Lookups!$H$17:$J$24,3,FALSE),0)</f>
        <v>-4503</v>
      </c>
      <c r="BL1525" s="6">
        <f>Grandview_Inventory[[#This Row],[Eff_Age]]*Lookups!$B$14</f>
        <v>-13154.162999999999</v>
      </c>
      <c r="BM1525" s="6">
        <f>Grandview_Inventory[[#This Row],[living_area]]*Lookups!$B$15</f>
        <v>112347.916253</v>
      </c>
      <c r="BN1525" s="6">
        <f>Grandview_Inventory[[#This Row],[Fin BSMT]]*Lookups!$B$16</f>
        <v>0</v>
      </c>
      <c r="BO1525" s="6">
        <f>(Grandview_Inventory[[#This Row],[att_gar]]+Grandview_Inventory[[#This Row],[bltin_gar]])*Lookups!$B$17</f>
        <v>0</v>
      </c>
      <c r="BP1525" s="6">
        <f>Grandview_Inventory[[#This Row],[Plumbing Fixtures]]*Lookups!$B$18</f>
        <v>10052.209000000001</v>
      </c>
      <c r="BQ1525" s="6">
        <f>Grandview_Inventory[[#This Row],[detatched_value]]*Lookups!$B$19</f>
        <v>5758.2746799999995</v>
      </c>
      <c r="BR1525" s="6">
        <f>SUM(Grandview_Inventory[[#This Row],[Intercept]:[det_value]])*Grandview_Inventory[[#This Row],[res_pct]]</f>
        <v>268586.18693299999</v>
      </c>
      <c r="BS1525" s="6">
        <f>Grandview_Inventory[[#This Row],[land_value]]</f>
        <v>45695.532079096141</v>
      </c>
      <c r="BT1525" s="4">
        <f>_xlfn.IFNA(VLOOKUP(Grandview_Inventory[[#This Row],[quality]],Lookups!$A$26:$C$33,3,FALSE),1)</f>
        <v>0.98763855981004833</v>
      </c>
      <c r="BU1525" s="4">
        <f>_xlfn.IFNA(VLOOKUP(Grandview_Inventory[[#This Row],[condition]],Lookups!$A$37:$C$44,3,FALSE),1)</f>
        <v>0.96469275950863709</v>
      </c>
      <c r="BV1525" s="4">
        <f>IF(Grandview_Inventory[[#This Row],[bldg_style]]="",1,_xlfn.IFNA(VLOOKUP(Grandview_Inventory[[#This Row],[decade]],Lookups!$F$29:$H$43,3,FALSE),1))</f>
        <v>0.95244691841736806</v>
      </c>
      <c r="BW1525" s="4">
        <f>_xlfn.IFNA(VLOOKUP(Grandview_Inventory[[#This Row],[living_area_range]],Lookups!$F$47:$H$56,3,FALSE),1)</f>
        <v>0.96120133463014379</v>
      </c>
      <c r="BX1525" s="4">
        <f>AVERAGE(Grandview_Inventory[[#This Row],[qual_adj]:[size_adj]])</f>
        <v>0.96649489309154935</v>
      </c>
      <c r="BY1525" s="6">
        <f>IF(Grandview_Inventory[[#This Row],[pre_res]]&lt;0,0,Grandview_Inventory[[#This Row],[pre_res]]*Grandview_Inventory[[#This Row],[overall_adj]])</f>
        <v>259587.17802567672</v>
      </c>
      <c r="BZ1525" s="6">
        <f>(Grandview_Inventory[[#This Row],[sum_land]]-IF(Grandview_Inventory[[#This Row],[no_utilities]]=1,12000,0))/IF(Grandview_Inventory[[#This Row],[unbuildable]]=1,2,1)</f>
        <v>45695.532079096141</v>
      </c>
      <c r="CA152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25">
        <f>ROUND(Grandview_Inventory[[#This Row],[det_value]]*Lookups!$M$28,-2)</f>
        <v>5500</v>
      </c>
      <c r="CC1525">
        <f>IF(ROUND(Grandview_Inventory[[#This Row],[adj_res]]*Lookups!$M$28,-2)&lt;Grandview_Inventory[[#This Row],[min_res]],Grandview_Inventory[[#This Row],[min_res]],ROUND(Grandview_Inventory[[#This Row],[adj_res]]*Lookups!$M$28,-2))</f>
        <v>246600</v>
      </c>
      <c r="CD1525">
        <f>Grandview_Inventory[[#This Row],[final_det]]+Grandview_Inventory[[#This Row],[final_res]]</f>
        <v>252100</v>
      </c>
      <c r="CE1525">
        <f>Grandview_Inventory[[#This Row],[final_land]]+Grandview_Inventory[[#This Row],[final_imp]]+Grandview_Inventory[[#This Row],[crop_value]]</f>
        <v>295500</v>
      </c>
      <c r="CG1525" t="str">
        <f t="shared" si="23"/>
        <v>update valuation set market_land =43400, market_bldg=252100, market_total =295500, market_mdno =401, market_date ='9/10/2023' where link_id = (select link_id from parcel where parcel_year = '2024' and parcel_id = '23092323539');</v>
      </c>
    </row>
    <row r="1526" spans="1:85" x14ac:dyDescent="0.25">
      <c r="A1526">
        <v>23092323540</v>
      </c>
      <c r="B1526">
        <v>0.19</v>
      </c>
      <c r="C1526">
        <v>8230</v>
      </c>
      <c r="D1526" t="s">
        <v>129</v>
      </c>
      <c r="E1526" t="s">
        <v>53</v>
      </c>
      <c r="F1526" t="s">
        <v>53</v>
      </c>
      <c r="G1526">
        <v>4</v>
      </c>
      <c r="H1526" t="s">
        <v>54</v>
      </c>
      <c r="I1526">
        <v>234100</v>
      </c>
      <c r="J1526">
        <v>39500</v>
      </c>
      <c r="K1526">
        <v>0.19</v>
      </c>
      <c r="L152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26">
        <v>0</v>
      </c>
      <c r="N1526">
        <v>0</v>
      </c>
      <c r="O1526">
        <v>0</v>
      </c>
      <c r="P1526">
        <v>13398.7528</v>
      </c>
      <c r="Q1526">
        <v>63903</v>
      </c>
      <c r="R1526">
        <f>(Grandview_Inventory[[#This Row],[ln_acres]]*Grandview_Inventory[[#This Row],[coeff]])+Grandview_Inventory[[#This Row],[const]]</f>
        <v>41651.273092551026</v>
      </c>
      <c r="S1526" t="s">
        <v>55</v>
      </c>
      <c r="T1526">
        <v>2</v>
      </c>
      <c r="U1526" t="s">
        <v>70</v>
      </c>
      <c r="V1526" t="s">
        <v>67</v>
      </c>
      <c r="W1526">
        <v>0</v>
      </c>
      <c r="X1526">
        <v>0</v>
      </c>
      <c r="Y1526">
        <v>51</v>
      </c>
      <c r="Z1526">
        <v>78</v>
      </c>
      <c r="AA1526">
        <v>80</v>
      </c>
      <c r="AB1526">
        <v>2000</v>
      </c>
      <c r="AC1526">
        <v>1573</v>
      </c>
      <c r="AD1526">
        <v>1319</v>
      </c>
      <c r="AE1526">
        <v>254</v>
      </c>
      <c r="AF1526">
        <v>0</v>
      </c>
      <c r="AG1526">
        <v>0</v>
      </c>
      <c r="AH1526">
        <v>396</v>
      </c>
      <c r="AI1526">
        <v>0</v>
      </c>
      <c r="AJ1526">
        <v>0</v>
      </c>
      <c r="AK1526">
        <v>0</v>
      </c>
      <c r="AL1526">
        <v>0</v>
      </c>
      <c r="AM1526">
        <v>360</v>
      </c>
      <c r="AN1526">
        <v>24</v>
      </c>
      <c r="AO1526">
        <v>275</v>
      </c>
      <c r="AP1526">
        <v>9</v>
      </c>
      <c r="AQ1526">
        <v>0</v>
      </c>
      <c r="AR1526">
        <v>0</v>
      </c>
      <c r="AS1526" t="s">
        <v>58</v>
      </c>
      <c r="AT1526">
        <v>1</v>
      </c>
      <c r="AU1526" t="s">
        <v>59</v>
      </c>
      <c r="AV1526" t="s">
        <v>60</v>
      </c>
      <c r="AW1526">
        <v>1</v>
      </c>
      <c r="AX1526">
        <v>4</v>
      </c>
      <c r="AY1526">
        <v>0</v>
      </c>
      <c r="AZ1526">
        <v>9900</v>
      </c>
      <c r="BA1526">
        <v>100</v>
      </c>
      <c r="BB1526">
        <v>100</v>
      </c>
      <c r="BC1526">
        <v>100</v>
      </c>
      <c r="BD1526">
        <v>100</v>
      </c>
      <c r="BE1526">
        <v>1</v>
      </c>
      <c r="BF1526">
        <v>15000</v>
      </c>
      <c r="BG1526">
        <v>1000</v>
      </c>
      <c r="BH1526" s="6">
        <f>Grandview_Inventory[[#This Row],[land_extract]]*Lookups!$B$3</f>
        <v>48369.510983942157</v>
      </c>
      <c r="BI1526" s="6">
        <f>IF(Grandview_Inventory[[#This Row],[bldg_style]]="",0,Lookups!$B$2)</f>
        <v>155833.95000000001</v>
      </c>
      <c r="BJ1526" s="6">
        <f>_xlfn.IFNA(VLOOKUP(Grandview_Inventory[[#This Row],[quality]],Lookups!$H$2:$J$14,3,FALSE),0)</f>
        <v>10733</v>
      </c>
      <c r="BK1526" s="6">
        <f>_xlfn.IFNA(VLOOKUP(Grandview_Inventory[[#This Row],[condition]],Lookups!$H$17:$J$24,3,FALSE),0)</f>
        <v>22342</v>
      </c>
      <c r="BL1526" s="6">
        <f>Grandview_Inventory[[#This Row],[Eff_Age]]*Lookups!$B$14</f>
        <v>-12197.496599999999</v>
      </c>
      <c r="BM1526" s="6">
        <f>Grandview_Inventory[[#This Row],[living_area]]*Lookups!$B$15</f>
        <v>98125.081768999997</v>
      </c>
      <c r="BN1526" s="6">
        <f>Grandview_Inventory[[#This Row],[Fin BSMT]]*Lookups!$B$16</f>
        <v>0</v>
      </c>
      <c r="BO1526" s="6">
        <f>(Grandview_Inventory[[#This Row],[att_gar]]+Grandview_Inventory[[#This Row],[bltin_gar]])*Lookups!$B$17</f>
        <v>0</v>
      </c>
      <c r="BP1526" s="6">
        <f>Grandview_Inventory[[#This Row],[Plumbing Fixtures]]*Lookups!$B$18</f>
        <v>18093.976200000001</v>
      </c>
      <c r="BQ1526" s="6">
        <f>Grandview_Inventory[[#This Row],[detatched_value]]*Lookups!$B$19</f>
        <v>8383.3704899999993</v>
      </c>
      <c r="BR1526" s="6">
        <f>SUM(Grandview_Inventory[[#This Row],[Intercept]:[det_value]])*Grandview_Inventory[[#This Row],[res_pct]]</f>
        <v>301313.88185899996</v>
      </c>
      <c r="BS1526" s="6">
        <f>Grandview_Inventory[[#This Row],[land_value]]</f>
        <v>48369.510983942157</v>
      </c>
      <c r="BT1526" s="4">
        <f>_xlfn.IFNA(VLOOKUP(Grandview_Inventory[[#This Row],[quality]],Lookups!$A$26:$C$33,3,FALSE),1)</f>
        <v>0.98079741117310582</v>
      </c>
      <c r="BU1526" s="4">
        <f>_xlfn.IFNA(VLOOKUP(Grandview_Inventory[[#This Row],[condition]],Lookups!$A$37:$C$44,3,FALSE),1)</f>
        <v>0.97383723671140243</v>
      </c>
      <c r="BV1526" s="4">
        <f>IF(Grandview_Inventory[[#This Row],[bldg_style]]="",1,_xlfn.IFNA(VLOOKUP(Grandview_Inventory[[#This Row],[decade]],Lookups!$F$29:$H$43,3,FALSE),1))</f>
        <v>0.98763256963907298</v>
      </c>
      <c r="BW1526" s="4">
        <f>_xlfn.IFNA(VLOOKUP(Grandview_Inventory[[#This Row],[living_area_range]],Lookups!$F$47:$H$56,3,FALSE),1)</f>
        <v>0.96120133463014379</v>
      </c>
      <c r="BX1526" s="4">
        <f>AVERAGE(Grandview_Inventory[[#This Row],[qual_adj]:[size_adj]])</f>
        <v>0.97586713803843117</v>
      </c>
      <c r="BY1526" s="6">
        <f>IF(Grandview_Inventory[[#This Row],[pre_res]]&lt;0,0,Grandview_Inventory[[#This Row],[pre_res]]*Grandview_Inventory[[#This Row],[overall_adj]])</f>
        <v>294042.31554099225</v>
      </c>
      <c r="BZ1526" s="6">
        <f>(Grandview_Inventory[[#This Row],[sum_land]]-IF(Grandview_Inventory[[#This Row],[no_utilities]]=1,12000,0))/IF(Grandview_Inventory[[#This Row],[unbuildable]]=1,2,1)</f>
        <v>48369.510983942157</v>
      </c>
      <c r="CA152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26">
        <f>ROUND(Grandview_Inventory[[#This Row],[det_value]]*Lookups!$M$28,-2)</f>
        <v>8000</v>
      </c>
      <c r="CC1526">
        <f>IF(ROUND(Grandview_Inventory[[#This Row],[adj_res]]*Lookups!$M$28,-2)&lt;Grandview_Inventory[[#This Row],[min_res]],Grandview_Inventory[[#This Row],[min_res]],ROUND(Grandview_Inventory[[#This Row],[adj_res]]*Lookups!$M$28,-2))</f>
        <v>279300</v>
      </c>
      <c r="CD1526">
        <f>Grandview_Inventory[[#This Row],[final_det]]+Grandview_Inventory[[#This Row],[final_res]]</f>
        <v>287300</v>
      </c>
      <c r="CE1526">
        <f>Grandview_Inventory[[#This Row],[final_land]]+Grandview_Inventory[[#This Row],[final_imp]]+Grandview_Inventory[[#This Row],[crop_value]]</f>
        <v>333300</v>
      </c>
      <c r="CG1526" t="str">
        <f t="shared" si="23"/>
        <v>update valuation set market_land =46000, market_bldg=287300, market_total =333300, market_mdno =401, market_date ='9/10/2023' where link_id = (select link_id from parcel where parcel_year = '2024' and parcel_id = '23092323540');</v>
      </c>
    </row>
    <row r="1527" spans="1:85" x14ac:dyDescent="0.25">
      <c r="A1527">
        <v>23092323541</v>
      </c>
      <c r="B1527">
        <v>0.25</v>
      </c>
      <c r="C1527">
        <v>10884</v>
      </c>
      <c r="D1527" t="s">
        <v>129</v>
      </c>
      <c r="E1527" t="s">
        <v>53</v>
      </c>
      <c r="F1527" t="s">
        <v>53</v>
      </c>
      <c r="G1527">
        <v>4</v>
      </c>
      <c r="H1527" t="s">
        <v>54</v>
      </c>
      <c r="I1527">
        <v>175000</v>
      </c>
      <c r="J1527">
        <v>40500</v>
      </c>
      <c r="K1527">
        <v>0.25</v>
      </c>
      <c r="L152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527">
        <v>0</v>
      </c>
      <c r="N1527">
        <v>0</v>
      </c>
      <c r="O1527">
        <v>0</v>
      </c>
      <c r="P1527">
        <v>13398.7528</v>
      </c>
      <c r="Q1527">
        <v>63903</v>
      </c>
      <c r="R1527">
        <f>(Grandview_Inventory[[#This Row],[ln_acres]]*Grandview_Inventory[[#This Row],[coeff]])+Grandview_Inventory[[#This Row],[const]]</f>
        <v>45328.38454732066</v>
      </c>
      <c r="S1527" t="s">
        <v>61</v>
      </c>
      <c r="T1527">
        <v>1</v>
      </c>
      <c r="U1527" t="s">
        <v>65</v>
      </c>
      <c r="V1527" t="s">
        <v>69</v>
      </c>
      <c r="W1527">
        <v>0</v>
      </c>
      <c r="X1527">
        <v>0</v>
      </c>
      <c r="Y1527">
        <v>48</v>
      </c>
      <c r="Z1527">
        <v>63</v>
      </c>
      <c r="AA1527">
        <v>70</v>
      </c>
      <c r="AB1527">
        <v>1500</v>
      </c>
      <c r="AC1527">
        <v>1288</v>
      </c>
      <c r="AD1527">
        <v>1288</v>
      </c>
      <c r="AE1527">
        <v>0</v>
      </c>
      <c r="AF1527">
        <v>0</v>
      </c>
      <c r="AG1527">
        <v>0</v>
      </c>
      <c r="AH1527">
        <v>0</v>
      </c>
      <c r="AI1527">
        <v>414</v>
      </c>
      <c r="AJ1527">
        <v>0</v>
      </c>
      <c r="AK1527">
        <v>0</v>
      </c>
      <c r="AL1527">
        <v>350</v>
      </c>
      <c r="AM1527">
        <v>0</v>
      </c>
      <c r="AN1527">
        <v>95</v>
      </c>
      <c r="AO1527">
        <v>350</v>
      </c>
      <c r="AP1527">
        <v>6</v>
      </c>
      <c r="AQ1527">
        <v>0</v>
      </c>
      <c r="AR1527">
        <v>1</v>
      </c>
      <c r="AS1527" t="s">
        <v>58</v>
      </c>
      <c r="AT1527">
        <v>1</v>
      </c>
      <c r="AU1527" t="s">
        <v>63</v>
      </c>
      <c r="AV1527" t="s">
        <v>60</v>
      </c>
      <c r="AW1527">
        <v>0</v>
      </c>
      <c r="AX1527">
        <v>3</v>
      </c>
      <c r="AY1527">
        <v>0</v>
      </c>
      <c r="AZ1527">
        <v>2200</v>
      </c>
      <c r="BA1527">
        <v>100</v>
      </c>
      <c r="BB1527">
        <v>100</v>
      </c>
      <c r="BC1527">
        <v>100</v>
      </c>
      <c r="BD1527">
        <v>100</v>
      </c>
      <c r="BE1527">
        <v>1</v>
      </c>
      <c r="BF1527">
        <v>15000</v>
      </c>
      <c r="BG1527">
        <v>1000</v>
      </c>
      <c r="BH1527" s="6">
        <f>Grandview_Inventory[[#This Row],[land_extract]]*Lookups!$B$3</f>
        <v>52639.730588165206</v>
      </c>
      <c r="BI1527" s="6">
        <f>IF(Grandview_Inventory[[#This Row],[bldg_style]]="",0,Lookups!$B$2)</f>
        <v>155833.95000000001</v>
      </c>
      <c r="BJ1527" s="6">
        <f>_xlfn.IFNA(VLOOKUP(Grandview_Inventory[[#This Row],[quality]],Lookups!$H$2:$J$14,3,FALSE),0)</f>
        <v>2251</v>
      </c>
      <c r="BK1527" s="6">
        <f>_xlfn.IFNA(VLOOKUP(Grandview_Inventory[[#This Row],[condition]],Lookups!$H$17:$J$24,3,FALSE),0)</f>
        <v>-4503</v>
      </c>
      <c r="BL1527" s="6">
        <f>Grandview_Inventory[[#This Row],[Eff_Age]]*Lookups!$B$14</f>
        <v>-11479.996799999999</v>
      </c>
      <c r="BM1527" s="6">
        <f>Grandview_Inventory[[#This Row],[living_area]]*Lookups!$B$15</f>
        <v>80346.538664000007</v>
      </c>
      <c r="BN1527" s="6">
        <f>Grandview_Inventory[[#This Row],[Fin BSMT]]*Lookups!$B$16</f>
        <v>0</v>
      </c>
      <c r="BO1527" s="6">
        <f>(Grandview_Inventory[[#This Row],[att_gar]]+Grandview_Inventory[[#This Row],[bltin_gar]])*Lookups!$B$17</f>
        <v>36233.460917999997</v>
      </c>
      <c r="BP1527" s="6">
        <f>Grandview_Inventory[[#This Row],[Plumbing Fixtures]]*Lookups!$B$18</f>
        <v>12062.650799999999</v>
      </c>
      <c r="BQ1527" s="6">
        <f>Grandview_Inventory[[#This Row],[detatched_value]]*Lookups!$B$19</f>
        <v>1862.9712199999999</v>
      </c>
      <c r="BR1527" s="6">
        <f>SUM(Grandview_Inventory[[#This Row],[Intercept]:[det_value]])*Grandview_Inventory[[#This Row],[res_pct]]</f>
        <v>272607.57480200002</v>
      </c>
      <c r="BS1527" s="6">
        <f>Grandview_Inventory[[#This Row],[land_value]]</f>
        <v>52639.730588165206</v>
      </c>
      <c r="BT1527" s="4">
        <f>_xlfn.IFNA(VLOOKUP(Grandview_Inventory[[#This Row],[quality]],Lookups!$A$26:$C$33,3,FALSE),1)</f>
        <v>0.98763855981004833</v>
      </c>
      <c r="BU1527" s="4">
        <f>_xlfn.IFNA(VLOOKUP(Grandview_Inventory[[#This Row],[condition]],Lookups!$A$37:$C$44,3,FALSE),1)</f>
        <v>0.96469275950863709</v>
      </c>
      <c r="BV1527" s="4">
        <f>IF(Grandview_Inventory[[#This Row],[bldg_style]]="",1,_xlfn.IFNA(VLOOKUP(Grandview_Inventory[[#This Row],[decade]],Lookups!$F$29:$H$43,3,FALSE),1))</f>
        <v>0.99472141305414818</v>
      </c>
      <c r="BW1527" s="4">
        <f>_xlfn.IFNA(VLOOKUP(Grandview_Inventory[[#This Row],[living_area_range]],Lookups!$F$47:$H$56,3,FALSE),1)</f>
        <v>0.96135087979789358</v>
      </c>
      <c r="BX1527" s="4">
        <f>AVERAGE(Grandview_Inventory[[#This Row],[qual_adj]:[size_adj]])</f>
        <v>0.97710090304268182</v>
      </c>
      <c r="BY1527" s="6">
        <f>IF(Grandview_Inventory[[#This Row],[pre_res]]&lt;0,0,Grandview_Inventory[[#This Row],[pre_res]]*Grandview_Inventory[[#This Row],[overall_adj]])</f>
        <v>266365.10751530965</v>
      </c>
      <c r="BZ1527" s="6">
        <f>(Grandview_Inventory[[#This Row],[sum_land]]-IF(Grandview_Inventory[[#This Row],[no_utilities]]=1,12000,0))/IF(Grandview_Inventory[[#This Row],[unbuildable]]=1,2,1)</f>
        <v>52639.730588165206</v>
      </c>
      <c r="CA152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527">
        <f>ROUND(Grandview_Inventory[[#This Row],[det_value]]*Lookups!$M$28,-2)</f>
        <v>1800</v>
      </c>
      <c r="CC1527">
        <f>IF(ROUND(Grandview_Inventory[[#This Row],[adj_res]]*Lookups!$M$28,-2)&lt;Grandview_Inventory[[#This Row],[min_res]],Grandview_Inventory[[#This Row],[min_res]],ROUND(Grandview_Inventory[[#This Row],[adj_res]]*Lookups!$M$28,-2))</f>
        <v>253000</v>
      </c>
      <c r="CD1527">
        <f>Grandview_Inventory[[#This Row],[final_det]]+Grandview_Inventory[[#This Row],[final_res]]</f>
        <v>254800</v>
      </c>
      <c r="CE1527">
        <f>Grandview_Inventory[[#This Row],[final_land]]+Grandview_Inventory[[#This Row],[final_imp]]+Grandview_Inventory[[#This Row],[crop_value]]</f>
        <v>304800</v>
      </c>
      <c r="CG1527" t="str">
        <f t="shared" si="23"/>
        <v>update valuation set market_land =50000, market_bldg=254800, market_total =304800, market_mdno =401, market_date ='9/10/2023' where link_id = (select link_id from parcel where parcel_year = '2024' and parcel_id = '23092323541');</v>
      </c>
    </row>
    <row r="1528" spans="1:85" x14ac:dyDescent="0.25">
      <c r="A1528">
        <v>23092323542</v>
      </c>
      <c r="B1528">
        <v>0.14000000000000001</v>
      </c>
      <c r="C1528">
        <v>6065</v>
      </c>
      <c r="D1528" t="s">
        <v>129</v>
      </c>
      <c r="E1528" t="s">
        <v>53</v>
      </c>
      <c r="F1528" t="s">
        <v>53</v>
      </c>
      <c r="G1528">
        <v>4</v>
      </c>
      <c r="H1528" t="s">
        <v>54</v>
      </c>
      <c r="I1528">
        <v>110300</v>
      </c>
      <c r="J1528">
        <v>38600</v>
      </c>
      <c r="K1528">
        <v>0.14000000000000001</v>
      </c>
      <c r="L1528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528">
        <v>0</v>
      </c>
      <c r="N1528">
        <v>0</v>
      </c>
      <c r="O1528">
        <v>0</v>
      </c>
      <c r="P1528">
        <v>13398.7528</v>
      </c>
      <c r="Q1528">
        <v>63903</v>
      </c>
      <c r="R1528">
        <f>(Grandview_Inventory[[#This Row],[ln_acres]]*Grandview_Inventory[[#This Row],[coeff]])+Grandview_Inventory[[#This Row],[const]]</f>
        <v>37559.539860558507</v>
      </c>
      <c r="S1528" t="s">
        <v>85</v>
      </c>
      <c r="T1528">
        <v>1</v>
      </c>
      <c r="U1528" t="s">
        <v>70</v>
      </c>
      <c r="V1528" t="s">
        <v>69</v>
      </c>
      <c r="W1528">
        <v>0</v>
      </c>
      <c r="X1528">
        <v>0</v>
      </c>
      <c r="Y1528">
        <v>53</v>
      </c>
      <c r="Z1528">
        <v>93</v>
      </c>
      <c r="AA1528">
        <v>100</v>
      </c>
      <c r="AB1528">
        <v>1000</v>
      </c>
      <c r="AC1528">
        <v>660</v>
      </c>
      <c r="AD1528">
        <v>660</v>
      </c>
      <c r="AE1528">
        <v>0</v>
      </c>
      <c r="AF1528">
        <v>0</v>
      </c>
      <c r="AG1528">
        <v>0</v>
      </c>
      <c r="AH1528">
        <v>330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36</v>
      </c>
      <c r="AO1528">
        <v>0</v>
      </c>
      <c r="AP1528">
        <v>5</v>
      </c>
      <c r="AQ1528">
        <v>0</v>
      </c>
      <c r="AR1528">
        <v>0</v>
      </c>
      <c r="AS1528" t="s">
        <v>58</v>
      </c>
      <c r="AT1528">
        <v>1</v>
      </c>
      <c r="AU1528" t="s">
        <v>63</v>
      </c>
      <c r="AV1528" t="s">
        <v>60</v>
      </c>
      <c r="AW1528">
        <v>0</v>
      </c>
      <c r="AX1528">
        <v>2</v>
      </c>
      <c r="AY1528">
        <v>0</v>
      </c>
      <c r="AZ1528">
        <v>0</v>
      </c>
      <c r="BA1528">
        <v>100</v>
      </c>
      <c r="BB1528">
        <v>100</v>
      </c>
      <c r="BC1528">
        <v>100</v>
      </c>
      <c r="BD1528">
        <v>100</v>
      </c>
      <c r="BE1528">
        <v>1</v>
      </c>
      <c r="BF1528">
        <v>15000</v>
      </c>
      <c r="BG1528">
        <v>1000</v>
      </c>
      <c r="BH1528" s="6">
        <f>Grandview_Inventory[[#This Row],[land_extract]]*Lookups!$B$3</f>
        <v>43617.792229308972</v>
      </c>
      <c r="BI1528" s="6">
        <f>IF(Grandview_Inventory[[#This Row],[bldg_style]]="",0,Lookups!$B$2)</f>
        <v>155833.95000000001</v>
      </c>
      <c r="BJ1528" s="6">
        <f>_xlfn.IFNA(VLOOKUP(Grandview_Inventory[[#This Row],[quality]],Lookups!$H$2:$J$14,3,FALSE),0)</f>
        <v>10733</v>
      </c>
      <c r="BK1528" s="6">
        <f>_xlfn.IFNA(VLOOKUP(Grandview_Inventory[[#This Row],[condition]],Lookups!$H$17:$J$24,3,FALSE),0)</f>
        <v>-4503</v>
      </c>
      <c r="BL1528" s="6">
        <f>Grandview_Inventory[[#This Row],[Eff_Age]]*Lookups!$B$14</f>
        <v>-12675.8298</v>
      </c>
      <c r="BM1528" s="6">
        <f>Grandview_Inventory[[#This Row],[living_area]]*Lookups!$B$15</f>
        <v>41171.362979999998</v>
      </c>
      <c r="BN1528" s="6">
        <f>Grandview_Inventory[[#This Row],[Fin BSMT]]*Lookups!$B$16</f>
        <v>0</v>
      </c>
      <c r="BO1528" s="6">
        <f>(Grandview_Inventory[[#This Row],[att_gar]]+Grandview_Inventory[[#This Row],[bltin_gar]])*Lookups!$B$17</f>
        <v>0</v>
      </c>
      <c r="BP1528" s="6">
        <f>Grandview_Inventory[[#This Row],[Plumbing Fixtures]]*Lookups!$B$18</f>
        <v>10052.209000000001</v>
      </c>
      <c r="BQ1528" s="6">
        <f>Grandview_Inventory[[#This Row],[detatched_value]]*Lookups!$B$19</f>
        <v>0</v>
      </c>
      <c r="BR1528" s="6">
        <f>SUM(Grandview_Inventory[[#This Row],[Intercept]:[det_value]])*Grandview_Inventory[[#This Row],[res_pct]]</f>
        <v>200611.69218000001</v>
      </c>
      <c r="BS1528" s="6">
        <f>Grandview_Inventory[[#This Row],[land_value]]</f>
        <v>43617.792229308972</v>
      </c>
      <c r="BT1528" s="4">
        <f>_xlfn.IFNA(VLOOKUP(Grandview_Inventory[[#This Row],[quality]],Lookups!$A$26:$C$33,3,FALSE),1)</f>
        <v>0.98079741117310582</v>
      </c>
      <c r="BU1528" s="4">
        <f>_xlfn.IFNA(VLOOKUP(Grandview_Inventory[[#This Row],[condition]],Lookups!$A$37:$C$44,3,FALSE),1)</f>
        <v>0.96469275950863709</v>
      </c>
      <c r="BV1528" s="4">
        <f>IF(Grandview_Inventory[[#This Row],[bldg_style]]="",1,_xlfn.IFNA(VLOOKUP(Grandview_Inventory[[#This Row],[decade]],Lookups!$F$29:$H$43,3,FALSE),1))</f>
        <v>0.95244691841736806</v>
      </c>
      <c r="BW1528" s="4">
        <f>_xlfn.IFNA(VLOOKUP(Grandview_Inventory[[#This Row],[living_area_range]],Lookups!$F$47:$H$56,3,FALSE),1)</f>
        <v>0.94306777142782894</v>
      </c>
      <c r="BX1528" s="4">
        <f>AVERAGE(Grandview_Inventory[[#This Row],[qual_adj]:[size_adj]])</f>
        <v>0.96025121513173495</v>
      </c>
      <c r="BY1528" s="6">
        <f>IF(Grandview_Inventory[[#This Row],[pre_res]]&lt;0,0,Grandview_Inventory[[#This Row],[pre_res]]*Grandview_Inventory[[#This Row],[overall_adj]])</f>
        <v>192637.62118547858</v>
      </c>
      <c r="BZ1528" s="6">
        <f>(Grandview_Inventory[[#This Row],[sum_land]]-IF(Grandview_Inventory[[#This Row],[no_utilities]]=1,12000,0))/IF(Grandview_Inventory[[#This Row],[unbuildable]]=1,2,1)</f>
        <v>43617.792229308972</v>
      </c>
      <c r="CA1528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528">
        <f>ROUND(Grandview_Inventory[[#This Row],[det_value]]*Lookups!$M$28,-2)</f>
        <v>0</v>
      </c>
      <c r="CC1528">
        <f>IF(ROUND(Grandview_Inventory[[#This Row],[adj_res]]*Lookups!$M$28,-2)&lt;Grandview_Inventory[[#This Row],[min_res]],Grandview_Inventory[[#This Row],[min_res]],ROUND(Grandview_Inventory[[#This Row],[adj_res]]*Lookups!$M$28,-2))</f>
        <v>183000</v>
      </c>
      <c r="CD1528">
        <f>Grandview_Inventory[[#This Row],[final_det]]+Grandview_Inventory[[#This Row],[final_res]]</f>
        <v>183000</v>
      </c>
      <c r="CE1528">
        <f>Grandview_Inventory[[#This Row],[final_land]]+Grandview_Inventory[[#This Row],[final_imp]]+Grandview_Inventory[[#This Row],[crop_value]]</f>
        <v>224400</v>
      </c>
      <c r="CG1528" t="str">
        <f t="shared" si="23"/>
        <v>update valuation set market_land =41400, market_bldg=183000, market_total =224400, market_mdno =401, market_date ='9/10/2023' where link_id = (select link_id from parcel where parcel_year = '2024' and parcel_id = '23092323542');</v>
      </c>
    </row>
    <row r="1529" spans="1:85" x14ac:dyDescent="0.25">
      <c r="A1529">
        <v>23092323544</v>
      </c>
      <c r="B1529">
        <v>0.18</v>
      </c>
      <c r="C1529">
        <v>7990</v>
      </c>
      <c r="D1529" t="s">
        <v>129</v>
      </c>
      <c r="E1529" t="s">
        <v>53</v>
      </c>
      <c r="F1529" t="s">
        <v>53</v>
      </c>
      <c r="G1529">
        <v>4</v>
      </c>
      <c r="H1529" t="s">
        <v>54</v>
      </c>
      <c r="I1529">
        <v>145400</v>
      </c>
      <c r="J1529">
        <v>39300</v>
      </c>
      <c r="K1529">
        <v>0.18</v>
      </c>
      <c r="L152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29">
        <v>0</v>
      </c>
      <c r="N1529">
        <v>0</v>
      </c>
      <c r="O1529">
        <v>0</v>
      </c>
      <c r="P1529">
        <v>13398.7528</v>
      </c>
      <c r="Q1529">
        <v>63903</v>
      </c>
      <c r="R1529">
        <f>(Grandview_Inventory[[#This Row],[ln_acres]]*Grandview_Inventory[[#This Row],[coeff]])+Grandview_Inventory[[#This Row],[const]]</f>
        <v>40926.839760167699</v>
      </c>
      <c r="S1529" t="s">
        <v>68</v>
      </c>
      <c r="T1529">
        <v>1</v>
      </c>
      <c r="U1529" t="s">
        <v>80</v>
      </c>
      <c r="V1529" t="s">
        <v>69</v>
      </c>
      <c r="W1529">
        <v>0</v>
      </c>
      <c r="X1529">
        <v>0</v>
      </c>
      <c r="Y1529">
        <v>50</v>
      </c>
      <c r="Z1529">
        <v>74</v>
      </c>
      <c r="AA1529">
        <v>80</v>
      </c>
      <c r="AB1529">
        <v>1000</v>
      </c>
      <c r="AC1529">
        <v>988</v>
      </c>
      <c r="AD1529">
        <v>988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240</v>
      </c>
      <c r="AL1529">
        <v>0</v>
      </c>
      <c r="AM1529">
        <v>0</v>
      </c>
      <c r="AN1529">
        <v>16</v>
      </c>
      <c r="AO1529">
        <v>0</v>
      </c>
      <c r="AP1529">
        <v>5</v>
      </c>
      <c r="AQ1529">
        <v>1</v>
      </c>
      <c r="AR1529">
        <v>0</v>
      </c>
      <c r="AS1529" t="s">
        <v>58</v>
      </c>
      <c r="AT1529">
        <v>1</v>
      </c>
      <c r="AU1529" t="s">
        <v>63</v>
      </c>
      <c r="AV1529" t="s">
        <v>64</v>
      </c>
      <c r="AW1529">
        <v>1</v>
      </c>
      <c r="AX1529">
        <v>3</v>
      </c>
      <c r="AY1529">
        <v>0</v>
      </c>
      <c r="AZ1529">
        <v>16200</v>
      </c>
      <c r="BA1529">
        <v>100</v>
      </c>
      <c r="BB1529">
        <v>100</v>
      </c>
      <c r="BC1529">
        <v>100</v>
      </c>
      <c r="BD1529">
        <v>100</v>
      </c>
      <c r="BE1529">
        <v>1</v>
      </c>
      <c r="BF1529">
        <v>15000</v>
      </c>
      <c r="BG1529">
        <v>1000</v>
      </c>
      <c r="BH1529" s="6">
        <f>Grandview_Inventory[[#This Row],[land_extract]]*Lookups!$B$3</f>
        <v>47528.228511015397</v>
      </c>
      <c r="BI1529" s="6">
        <f>IF(Grandview_Inventory[[#This Row],[bldg_style]]="",0,Lookups!$B$2)</f>
        <v>155833.95000000001</v>
      </c>
      <c r="BJ1529" s="6">
        <f>_xlfn.IFNA(VLOOKUP(Grandview_Inventory[[#This Row],[quality]],Lookups!$H$2:$J$14,3,FALSE),0)</f>
        <v>-28558</v>
      </c>
      <c r="BK1529" s="6">
        <f>_xlfn.IFNA(VLOOKUP(Grandview_Inventory[[#This Row],[condition]],Lookups!$H$17:$J$24,3,FALSE),0)</f>
        <v>-4503</v>
      </c>
      <c r="BL1529" s="6">
        <f>Grandview_Inventory[[#This Row],[Eff_Age]]*Lookups!$B$14</f>
        <v>-11958.33</v>
      </c>
      <c r="BM1529" s="6">
        <f>Grandview_Inventory[[#This Row],[living_area]]*Lookups!$B$15</f>
        <v>61632.282764000003</v>
      </c>
      <c r="BN1529" s="6">
        <f>Grandview_Inventory[[#This Row],[Fin BSMT]]*Lookups!$B$16</f>
        <v>0</v>
      </c>
      <c r="BO1529" s="6">
        <f>(Grandview_Inventory[[#This Row],[att_gar]]+Grandview_Inventory[[#This Row],[bltin_gar]])*Lookups!$B$17</f>
        <v>0</v>
      </c>
      <c r="BP1529" s="6">
        <f>Grandview_Inventory[[#This Row],[Plumbing Fixtures]]*Lookups!$B$18</f>
        <v>10052.209000000001</v>
      </c>
      <c r="BQ1529" s="6">
        <f>Grandview_Inventory[[#This Row],[detatched_value]]*Lookups!$B$19</f>
        <v>13718.242619999999</v>
      </c>
      <c r="BR1529" s="6">
        <f>SUM(Grandview_Inventory[[#This Row],[Intercept]:[det_value]])*Grandview_Inventory[[#This Row],[res_pct]]</f>
        <v>196217.35438400001</v>
      </c>
      <c r="BS1529" s="6">
        <f>Grandview_Inventory[[#This Row],[land_value]]</f>
        <v>47528.228511015397</v>
      </c>
      <c r="BT1529" s="4">
        <f>_xlfn.IFNA(VLOOKUP(Grandview_Inventory[[#This Row],[quality]],Lookups!$A$26:$C$33,3,FALSE),1)</f>
        <v>0.9690360070159818</v>
      </c>
      <c r="BU1529" s="4">
        <f>_xlfn.IFNA(VLOOKUP(Grandview_Inventory[[#This Row],[condition]],Lookups!$A$37:$C$44,3,FALSE),1)</f>
        <v>0.96469275950863709</v>
      </c>
      <c r="BV1529" s="4">
        <f>IF(Grandview_Inventory[[#This Row],[bldg_style]]="",1,_xlfn.IFNA(VLOOKUP(Grandview_Inventory[[#This Row],[decade]],Lookups!$F$29:$H$43,3,FALSE),1))</f>
        <v>0.98763256963907298</v>
      </c>
      <c r="BW1529" s="4">
        <f>_xlfn.IFNA(VLOOKUP(Grandview_Inventory[[#This Row],[living_area_range]],Lookups!$F$47:$H$56,3,FALSE),1)</f>
        <v>0.94306777142782894</v>
      </c>
      <c r="BX1529" s="4">
        <f>AVERAGE(Grandview_Inventory[[#This Row],[qual_adj]:[size_adj]])</f>
        <v>0.96610727689788012</v>
      </c>
      <c r="BY1529" s="6">
        <f>IF(Grandview_Inventory[[#This Row],[pre_res]]&lt;0,0,Grandview_Inventory[[#This Row],[pre_res]]*Grandview_Inventory[[#This Row],[overall_adj]])</f>
        <v>189567.01392403257</v>
      </c>
      <c r="BZ1529" s="6">
        <f>(Grandview_Inventory[[#This Row],[sum_land]]-IF(Grandview_Inventory[[#This Row],[no_utilities]]=1,12000,0))/IF(Grandview_Inventory[[#This Row],[unbuildable]]=1,2,1)</f>
        <v>47528.228511015397</v>
      </c>
      <c r="CA152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29">
        <f>ROUND(Grandview_Inventory[[#This Row],[det_value]]*Lookups!$M$28,-2)</f>
        <v>13000</v>
      </c>
      <c r="CC1529">
        <f>IF(ROUND(Grandview_Inventory[[#This Row],[adj_res]]*Lookups!$M$28,-2)&lt;Grandview_Inventory[[#This Row],[min_res]],Grandview_Inventory[[#This Row],[min_res]],ROUND(Grandview_Inventory[[#This Row],[adj_res]]*Lookups!$M$28,-2))</f>
        <v>180100</v>
      </c>
      <c r="CD1529">
        <f>Grandview_Inventory[[#This Row],[final_det]]+Grandview_Inventory[[#This Row],[final_res]]</f>
        <v>193100</v>
      </c>
      <c r="CE1529">
        <f>Grandview_Inventory[[#This Row],[final_land]]+Grandview_Inventory[[#This Row],[final_imp]]+Grandview_Inventory[[#This Row],[crop_value]]</f>
        <v>238300</v>
      </c>
      <c r="CG1529" t="str">
        <f t="shared" si="23"/>
        <v>update valuation set market_land =45200, market_bldg=193100, market_total =238300, market_mdno =401, market_date ='9/10/2023' where link_id = (select link_id from parcel where parcel_year = '2024' and parcel_id = '23092323544');</v>
      </c>
    </row>
    <row r="1530" spans="1:85" x14ac:dyDescent="0.25">
      <c r="A1530">
        <v>23092323545</v>
      </c>
      <c r="B1530">
        <v>0.14000000000000001</v>
      </c>
      <c r="C1530">
        <v>6024</v>
      </c>
      <c r="D1530" t="s">
        <v>129</v>
      </c>
      <c r="E1530" t="s">
        <v>53</v>
      </c>
      <c r="F1530" t="s">
        <v>53</v>
      </c>
      <c r="G1530">
        <v>4</v>
      </c>
      <c r="H1530" t="s">
        <v>54</v>
      </c>
      <c r="I1530">
        <v>114900</v>
      </c>
      <c r="J1530">
        <v>38600</v>
      </c>
      <c r="K1530">
        <v>0.14000000000000001</v>
      </c>
      <c r="L1530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530">
        <v>0</v>
      </c>
      <c r="N1530">
        <v>0</v>
      </c>
      <c r="O1530">
        <v>0</v>
      </c>
      <c r="P1530">
        <v>13398.7528</v>
      </c>
      <c r="Q1530">
        <v>63903</v>
      </c>
      <c r="R1530">
        <f>(Grandview_Inventory[[#This Row],[ln_acres]]*Grandview_Inventory[[#This Row],[coeff]])+Grandview_Inventory[[#This Row],[const]]</f>
        <v>37559.539860558507</v>
      </c>
      <c r="S1530" t="s">
        <v>68</v>
      </c>
      <c r="T1530">
        <v>1</v>
      </c>
      <c r="U1530" t="s">
        <v>80</v>
      </c>
      <c r="V1530" t="s">
        <v>67</v>
      </c>
      <c r="W1530">
        <v>0</v>
      </c>
      <c r="X1530">
        <v>0</v>
      </c>
      <c r="Y1530">
        <v>51</v>
      </c>
      <c r="Z1530">
        <v>79</v>
      </c>
      <c r="AA1530">
        <v>80</v>
      </c>
      <c r="AB1530">
        <v>1000</v>
      </c>
      <c r="AC1530">
        <v>596</v>
      </c>
      <c r="AD1530">
        <v>512</v>
      </c>
      <c r="AE1530">
        <v>0</v>
      </c>
      <c r="AF1530">
        <v>0</v>
      </c>
      <c r="AG1530">
        <v>84</v>
      </c>
      <c r="AH1530">
        <v>428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32</v>
      </c>
      <c r="AO1530">
        <v>0</v>
      </c>
      <c r="AP1530">
        <v>5</v>
      </c>
      <c r="AQ1530">
        <v>0</v>
      </c>
      <c r="AR1530">
        <v>0</v>
      </c>
      <c r="AS1530" t="s">
        <v>58</v>
      </c>
      <c r="AT1530">
        <v>1</v>
      </c>
      <c r="AU1530" t="s">
        <v>75</v>
      </c>
      <c r="AV1530" t="s">
        <v>60</v>
      </c>
      <c r="AW1530">
        <v>0</v>
      </c>
      <c r="AX1530">
        <v>1</v>
      </c>
      <c r="AY1530">
        <v>0</v>
      </c>
      <c r="AZ1530">
        <v>4700</v>
      </c>
      <c r="BA1530">
        <v>100</v>
      </c>
      <c r="BB1530">
        <v>100</v>
      </c>
      <c r="BC1530">
        <v>100</v>
      </c>
      <c r="BD1530">
        <v>100</v>
      </c>
      <c r="BE1530">
        <v>1</v>
      </c>
      <c r="BF1530">
        <v>15000</v>
      </c>
      <c r="BG1530">
        <v>1000</v>
      </c>
      <c r="BH1530" s="6">
        <f>Grandview_Inventory[[#This Row],[land_extract]]*Lookups!$B$3</f>
        <v>43617.792229308972</v>
      </c>
      <c r="BI1530" s="6">
        <f>IF(Grandview_Inventory[[#This Row],[bldg_style]]="",0,Lookups!$B$2)</f>
        <v>155833.95000000001</v>
      </c>
      <c r="BJ1530" s="6">
        <f>_xlfn.IFNA(VLOOKUP(Grandview_Inventory[[#This Row],[quality]],Lookups!$H$2:$J$14,3,FALSE),0)</f>
        <v>-28558</v>
      </c>
      <c r="BK1530" s="6">
        <f>_xlfn.IFNA(VLOOKUP(Grandview_Inventory[[#This Row],[condition]],Lookups!$H$17:$J$24,3,FALSE),0)</f>
        <v>22342</v>
      </c>
      <c r="BL1530" s="6">
        <f>Grandview_Inventory[[#This Row],[Eff_Age]]*Lookups!$B$14</f>
        <v>-12197.496599999999</v>
      </c>
      <c r="BM1530" s="6">
        <f>Grandview_Inventory[[#This Row],[living_area]]*Lookups!$B$15</f>
        <v>37178.988387999998</v>
      </c>
      <c r="BN1530" s="6">
        <f>Grandview_Inventory[[#This Row],[Fin BSMT]]*Lookups!$B$16</f>
        <v>-2276.3361600000003</v>
      </c>
      <c r="BO1530" s="6">
        <f>(Grandview_Inventory[[#This Row],[att_gar]]+Grandview_Inventory[[#This Row],[bltin_gar]])*Lookups!$B$17</f>
        <v>0</v>
      </c>
      <c r="BP1530" s="6">
        <f>Grandview_Inventory[[#This Row],[Plumbing Fixtures]]*Lookups!$B$18</f>
        <v>10052.209000000001</v>
      </c>
      <c r="BQ1530" s="6">
        <f>Grandview_Inventory[[#This Row],[detatched_value]]*Lookups!$B$19</f>
        <v>3979.9839699999998</v>
      </c>
      <c r="BR1530" s="6">
        <f>SUM(Grandview_Inventory[[#This Row],[Intercept]:[det_value]])*Grandview_Inventory[[#This Row],[res_pct]]</f>
        <v>186355.29859799999</v>
      </c>
      <c r="BS1530" s="6">
        <f>Grandview_Inventory[[#This Row],[land_value]]</f>
        <v>43617.792229308972</v>
      </c>
      <c r="BT1530" s="4">
        <f>_xlfn.IFNA(VLOOKUP(Grandview_Inventory[[#This Row],[quality]],Lookups!$A$26:$C$33,3,FALSE),1)</f>
        <v>0.9690360070159818</v>
      </c>
      <c r="BU1530" s="4">
        <f>_xlfn.IFNA(VLOOKUP(Grandview_Inventory[[#This Row],[condition]],Lookups!$A$37:$C$44,3,FALSE),1)</f>
        <v>0.97383723671140243</v>
      </c>
      <c r="BV1530" s="4">
        <f>IF(Grandview_Inventory[[#This Row],[bldg_style]]="",1,_xlfn.IFNA(VLOOKUP(Grandview_Inventory[[#This Row],[decade]],Lookups!$F$29:$H$43,3,FALSE),1))</f>
        <v>0.98763256963907298</v>
      </c>
      <c r="BW1530" s="4">
        <f>_xlfn.IFNA(VLOOKUP(Grandview_Inventory[[#This Row],[living_area_range]],Lookups!$F$47:$H$56,3,FALSE),1)</f>
        <v>0.94306777142782894</v>
      </c>
      <c r="BX1530" s="4">
        <f>AVERAGE(Grandview_Inventory[[#This Row],[qual_adj]:[size_adj]])</f>
        <v>0.96839339619857145</v>
      </c>
      <c r="BY1530" s="6">
        <f>IF(Grandview_Inventory[[#This Row],[pre_res]]&lt;0,0,Grandview_Inventory[[#This Row],[pre_res]]*Grandview_Inventory[[#This Row],[overall_adj]])</f>
        <v>180465.24050891609</v>
      </c>
      <c r="BZ1530" s="6">
        <f>(Grandview_Inventory[[#This Row],[sum_land]]-IF(Grandview_Inventory[[#This Row],[no_utilities]]=1,12000,0))/IF(Grandview_Inventory[[#This Row],[unbuildable]]=1,2,1)</f>
        <v>43617.792229308972</v>
      </c>
      <c r="CA1530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530">
        <f>ROUND(Grandview_Inventory[[#This Row],[det_value]]*Lookups!$M$28,-2)</f>
        <v>3800</v>
      </c>
      <c r="CC1530">
        <f>IF(ROUND(Grandview_Inventory[[#This Row],[adj_res]]*Lookups!$M$28,-2)&lt;Grandview_Inventory[[#This Row],[min_res]],Grandview_Inventory[[#This Row],[min_res]],ROUND(Grandview_Inventory[[#This Row],[adj_res]]*Lookups!$M$28,-2))</f>
        <v>171400</v>
      </c>
      <c r="CD1530">
        <f>Grandview_Inventory[[#This Row],[final_det]]+Grandview_Inventory[[#This Row],[final_res]]</f>
        <v>175200</v>
      </c>
      <c r="CE1530">
        <f>Grandview_Inventory[[#This Row],[final_land]]+Grandview_Inventory[[#This Row],[final_imp]]+Grandview_Inventory[[#This Row],[crop_value]]</f>
        <v>216600</v>
      </c>
      <c r="CG1530" t="str">
        <f t="shared" si="23"/>
        <v>update valuation set market_land =41400, market_bldg=175200, market_total =216600, market_mdno =401, market_date ='9/10/2023' where link_id = (select link_id from parcel where parcel_year = '2024' and parcel_id = '23092323545');</v>
      </c>
    </row>
    <row r="1531" spans="1:85" x14ac:dyDescent="0.25">
      <c r="A1531">
        <v>23092323546</v>
      </c>
      <c r="B1531">
        <v>0.18</v>
      </c>
      <c r="C1531">
        <v>7889</v>
      </c>
      <c r="D1531" t="s">
        <v>129</v>
      </c>
      <c r="E1531" t="s">
        <v>53</v>
      </c>
      <c r="F1531" t="s">
        <v>53</v>
      </c>
      <c r="G1531">
        <v>4</v>
      </c>
      <c r="H1531" t="s">
        <v>54</v>
      </c>
      <c r="I1531">
        <v>153700</v>
      </c>
      <c r="J1531">
        <v>39500</v>
      </c>
      <c r="K1531">
        <v>0.18</v>
      </c>
      <c r="L153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31">
        <v>0</v>
      </c>
      <c r="N1531">
        <v>0</v>
      </c>
      <c r="O1531">
        <v>0</v>
      </c>
      <c r="P1531">
        <v>13398.7528</v>
      </c>
      <c r="Q1531">
        <v>63903</v>
      </c>
      <c r="R1531">
        <f>(Grandview_Inventory[[#This Row],[ln_acres]]*Grandview_Inventory[[#This Row],[coeff]])+Grandview_Inventory[[#This Row],[const]]</f>
        <v>40926.839760167699</v>
      </c>
      <c r="S1531" t="s">
        <v>85</v>
      </c>
      <c r="T1531">
        <v>1</v>
      </c>
      <c r="U1531" t="s">
        <v>65</v>
      </c>
      <c r="V1531" t="s">
        <v>69</v>
      </c>
      <c r="W1531">
        <v>0</v>
      </c>
      <c r="X1531">
        <v>0</v>
      </c>
      <c r="Y1531">
        <v>53</v>
      </c>
      <c r="Z1531">
        <v>93</v>
      </c>
      <c r="AA1531">
        <v>100</v>
      </c>
      <c r="AB1531">
        <v>2000</v>
      </c>
      <c r="AC1531">
        <v>1562</v>
      </c>
      <c r="AD1531">
        <v>1220</v>
      </c>
      <c r="AE1531">
        <v>0</v>
      </c>
      <c r="AF1531">
        <v>0</v>
      </c>
      <c r="AG1531">
        <v>342</v>
      </c>
      <c r="AH1531">
        <v>756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112</v>
      </c>
      <c r="AO1531">
        <v>0</v>
      </c>
      <c r="AP1531">
        <v>5</v>
      </c>
      <c r="AQ1531">
        <v>0</v>
      </c>
      <c r="AR1531">
        <v>1</v>
      </c>
      <c r="AS1531" t="s">
        <v>58</v>
      </c>
      <c r="AT1531">
        <v>1</v>
      </c>
      <c r="AU1531" t="s">
        <v>59</v>
      </c>
      <c r="AV1531" t="s">
        <v>60</v>
      </c>
      <c r="AW1531">
        <v>1</v>
      </c>
      <c r="AX1531">
        <v>2</v>
      </c>
      <c r="AY1531">
        <v>0</v>
      </c>
      <c r="AZ1531">
        <v>2500</v>
      </c>
      <c r="BA1531">
        <v>100</v>
      </c>
      <c r="BB1531">
        <v>100</v>
      </c>
      <c r="BC1531">
        <v>100</v>
      </c>
      <c r="BD1531">
        <v>100</v>
      </c>
      <c r="BE1531">
        <v>1</v>
      </c>
      <c r="BF1531">
        <v>15000</v>
      </c>
      <c r="BG1531">
        <v>1000</v>
      </c>
      <c r="BH1531" s="6">
        <f>Grandview_Inventory[[#This Row],[land_extract]]*Lookups!$B$3</f>
        <v>47528.228511015397</v>
      </c>
      <c r="BI1531" s="6">
        <f>IF(Grandview_Inventory[[#This Row],[bldg_style]]="",0,Lookups!$B$2)</f>
        <v>155833.95000000001</v>
      </c>
      <c r="BJ1531" s="6">
        <f>_xlfn.IFNA(VLOOKUP(Grandview_Inventory[[#This Row],[quality]],Lookups!$H$2:$J$14,3,FALSE),0)</f>
        <v>2251</v>
      </c>
      <c r="BK1531" s="6">
        <f>_xlfn.IFNA(VLOOKUP(Grandview_Inventory[[#This Row],[condition]],Lookups!$H$17:$J$24,3,FALSE),0)</f>
        <v>-4503</v>
      </c>
      <c r="BL1531" s="6">
        <f>Grandview_Inventory[[#This Row],[Eff_Age]]*Lookups!$B$14</f>
        <v>-12675.8298</v>
      </c>
      <c r="BM1531" s="6">
        <f>Grandview_Inventory[[#This Row],[living_area]]*Lookups!$B$15</f>
        <v>97438.892386000007</v>
      </c>
      <c r="BN1531" s="6">
        <f>Grandview_Inventory[[#This Row],[Fin BSMT]]*Lookups!$B$16</f>
        <v>-9267.9400800000003</v>
      </c>
      <c r="BO1531" s="6">
        <f>(Grandview_Inventory[[#This Row],[att_gar]]+Grandview_Inventory[[#This Row],[bltin_gar]])*Lookups!$B$17</f>
        <v>0</v>
      </c>
      <c r="BP1531" s="6">
        <f>Grandview_Inventory[[#This Row],[Plumbing Fixtures]]*Lookups!$B$18</f>
        <v>10052.209000000001</v>
      </c>
      <c r="BQ1531" s="6">
        <f>Grandview_Inventory[[#This Row],[detatched_value]]*Lookups!$B$19</f>
        <v>2117.0127499999999</v>
      </c>
      <c r="BR1531" s="6">
        <f>SUM(Grandview_Inventory[[#This Row],[Intercept]:[det_value]])*Grandview_Inventory[[#This Row],[res_pct]]</f>
        <v>241246.29425600002</v>
      </c>
      <c r="BS1531" s="6">
        <f>Grandview_Inventory[[#This Row],[land_value]]</f>
        <v>47528.228511015397</v>
      </c>
      <c r="BT1531" s="4">
        <f>_xlfn.IFNA(VLOOKUP(Grandview_Inventory[[#This Row],[quality]],Lookups!$A$26:$C$33,3,FALSE),1)</f>
        <v>0.98763855981004833</v>
      </c>
      <c r="BU1531" s="4">
        <f>_xlfn.IFNA(VLOOKUP(Grandview_Inventory[[#This Row],[condition]],Lookups!$A$37:$C$44,3,FALSE),1)</f>
        <v>0.96469275950863709</v>
      </c>
      <c r="BV1531" s="4">
        <f>IF(Grandview_Inventory[[#This Row],[bldg_style]]="",1,_xlfn.IFNA(VLOOKUP(Grandview_Inventory[[#This Row],[decade]],Lookups!$F$29:$H$43,3,FALSE),1))</f>
        <v>0.95244691841736806</v>
      </c>
      <c r="BW1531" s="4">
        <f>_xlfn.IFNA(VLOOKUP(Grandview_Inventory[[#This Row],[living_area_range]],Lookups!$F$47:$H$56,3,FALSE),1)</f>
        <v>0.96120133463014379</v>
      </c>
      <c r="BX1531" s="4">
        <f>AVERAGE(Grandview_Inventory[[#This Row],[qual_adj]:[size_adj]])</f>
        <v>0.96649489309154935</v>
      </c>
      <c r="BY1531" s="6">
        <f>IF(Grandview_Inventory[[#This Row],[pre_res]]&lt;0,0,Grandview_Inventory[[#This Row],[pre_res]]*Grandview_Inventory[[#This Row],[overall_adj]])</f>
        <v>233163.31137568521</v>
      </c>
      <c r="BZ1531" s="6">
        <f>(Grandview_Inventory[[#This Row],[sum_land]]-IF(Grandview_Inventory[[#This Row],[no_utilities]]=1,12000,0))/IF(Grandview_Inventory[[#This Row],[unbuildable]]=1,2,1)</f>
        <v>47528.228511015397</v>
      </c>
      <c r="CA153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31">
        <f>ROUND(Grandview_Inventory[[#This Row],[det_value]]*Lookups!$M$28,-2)</f>
        <v>2000</v>
      </c>
      <c r="CC1531">
        <f>IF(ROUND(Grandview_Inventory[[#This Row],[adj_res]]*Lookups!$M$28,-2)&lt;Grandview_Inventory[[#This Row],[min_res]],Grandview_Inventory[[#This Row],[min_res]],ROUND(Grandview_Inventory[[#This Row],[adj_res]]*Lookups!$M$28,-2))</f>
        <v>221500</v>
      </c>
      <c r="CD1531">
        <f>Grandview_Inventory[[#This Row],[final_det]]+Grandview_Inventory[[#This Row],[final_res]]</f>
        <v>223500</v>
      </c>
      <c r="CE1531">
        <f>Grandview_Inventory[[#This Row],[final_land]]+Grandview_Inventory[[#This Row],[final_imp]]+Grandview_Inventory[[#This Row],[crop_value]]</f>
        <v>268700</v>
      </c>
      <c r="CG1531" t="str">
        <f t="shared" si="23"/>
        <v>update valuation set market_land =45200, market_bldg=223500, market_total =268700, market_mdno =401, market_date ='9/10/2023' where link_id = (select link_id from parcel where parcel_year = '2024' and parcel_id = '23092323546');</v>
      </c>
    </row>
    <row r="1532" spans="1:85" x14ac:dyDescent="0.25">
      <c r="A1532">
        <v>23092323547</v>
      </c>
      <c r="B1532">
        <v>0.26</v>
      </c>
      <c r="C1532">
        <v>11296</v>
      </c>
      <c r="D1532" t="s">
        <v>129</v>
      </c>
      <c r="E1532" t="s">
        <v>53</v>
      </c>
      <c r="F1532" t="s">
        <v>53</v>
      </c>
      <c r="G1532">
        <v>4</v>
      </c>
      <c r="H1532" t="s">
        <v>54</v>
      </c>
      <c r="I1532">
        <v>229700</v>
      </c>
      <c r="J1532">
        <v>40500</v>
      </c>
      <c r="K1532">
        <v>0.26</v>
      </c>
      <c r="L153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532">
        <v>0</v>
      </c>
      <c r="N1532">
        <v>0</v>
      </c>
      <c r="O1532">
        <v>0</v>
      </c>
      <c r="P1532">
        <v>13398.7528</v>
      </c>
      <c r="Q1532">
        <v>63903</v>
      </c>
      <c r="R1532">
        <f>(Grandview_Inventory[[#This Row],[ln_acres]]*Grandview_Inventory[[#This Row],[coeff]])+Grandview_Inventory[[#This Row],[const]]</f>
        <v>45853.893187501177</v>
      </c>
      <c r="S1532" t="s">
        <v>85</v>
      </c>
      <c r="T1532">
        <v>2</v>
      </c>
      <c r="U1532" t="s">
        <v>65</v>
      </c>
      <c r="V1532" t="s">
        <v>67</v>
      </c>
      <c r="W1532">
        <v>0</v>
      </c>
      <c r="X1532">
        <v>0</v>
      </c>
      <c r="Y1532">
        <v>57</v>
      </c>
      <c r="Z1532">
        <v>103</v>
      </c>
      <c r="AA1532">
        <v>110</v>
      </c>
      <c r="AB1532">
        <v>2500</v>
      </c>
      <c r="AC1532">
        <v>2024</v>
      </c>
      <c r="AD1532">
        <v>1220</v>
      </c>
      <c r="AE1532">
        <v>804</v>
      </c>
      <c r="AF1532">
        <v>0</v>
      </c>
      <c r="AG1532">
        <v>0</v>
      </c>
      <c r="AH1532">
        <v>630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8</v>
      </c>
      <c r="AQ1532">
        <v>0</v>
      </c>
      <c r="AR1532">
        <v>0</v>
      </c>
      <c r="AS1532" t="s">
        <v>71</v>
      </c>
      <c r="AT1532">
        <v>1</v>
      </c>
      <c r="AU1532" t="s">
        <v>59</v>
      </c>
      <c r="AV1532" t="s">
        <v>60</v>
      </c>
      <c r="AW1532">
        <v>1</v>
      </c>
      <c r="AX1532">
        <v>3</v>
      </c>
      <c r="AY1532">
        <v>0</v>
      </c>
      <c r="AZ1532">
        <v>14600</v>
      </c>
      <c r="BA1532">
        <v>100</v>
      </c>
      <c r="BB1532">
        <v>100</v>
      </c>
      <c r="BC1532">
        <v>100</v>
      </c>
      <c r="BD1532">
        <v>100</v>
      </c>
      <c r="BE1532">
        <v>1</v>
      </c>
      <c r="BF1532">
        <v>15000</v>
      </c>
      <c r="BG1532">
        <v>1000</v>
      </c>
      <c r="BH1532" s="6">
        <f>Grandview_Inventory[[#This Row],[land_extract]]*Lookups!$B$3</f>
        <v>53250.00235313351</v>
      </c>
      <c r="BI1532" s="6">
        <f>IF(Grandview_Inventory[[#This Row],[bldg_style]]="",0,Lookups!$B$2)</f>
        <v>155833.95000000001</v>
      </c>
      <c r="BJ1532" s="6">
        <f>_xlfn.IFNA(VLOOKUP(Grandview_Inventory[[#This Row],[quality]],Lookups!$H$2:$J$14,3,FALSE),0)</f>
        <v>2251</v>
      </c>
      <c r="BK1532" s="6">
        <f>_xlfn.IFNA(VLOOKUP(Grandview_Inventory[[#This Row],[condition]],Lookups!$H$17:$J$24,3,FALSE),0)</f>
        <v>22342</v>
      </c>
      <c r="BL1532" s="6">
        <f>Grandview_Inventory[[#This Row],[Eff_Age]]*Lookups!$B$14</f>
        <v>-13632.4962</v>
      </c>
      <c r="BM1532" s="6">
        <f>Grandview_Inventory[[#This Row],[living_area]]*Lookups!$B$15</f>
        <v>126258.846472</v>
      </c>
      <c r="BN1532" s="6">
        <f>Grandview_Inventory[[#This Row],[Fin BSMT]]*Lookups!$B$16</f>
        <v>0</v>
      </c>
      <c r="BO1532" s="6">
        <f>(Grandview_Inventory[[#This Row],[att_gar]]+Grandview_Inventory[[#This Row],[bltin_gar]])*Lookups!$B$17</f>
        <v>0</v>
      </c>
      <c r="BP1532" s="6">
        <f>Grandview_Inventory[[#This Row],[Plumbing Fixtures]]*Lookups!$B$18</f>
        <v>16083.5344</v>
      </c>
      <c r="BQ1532" s="6">
        <f>Grandview_Inventory[[#This Row],[detatched_value]]*Lookups!$B$19</f>
        <v>12363.35446</v>
      </c>
      <c r="BR1532" s="6">
        <f>SUM(Grandview_Inventory[[#This Row],[Intercept]:[det_value]])*Grandview_Inventory[[#This Row],[res_pct]]</f>
        <v>321500.18913200003</v>
      </c>
      <c r="BS1532" s="6">
        <f>Grandview_Inventory[[#This Row],[land_value]]</f>
        <v>53250.00235313351</v>
      </c>
      <c r="BT1532" s="4">
        <f>_xlfn.IFNA(VLOOKUP(Grandview_Inventory[[#This Row],[quality]],Lookups!$A$26:$C$33,3,FALSE),1)</f>
        <v>0.98763855981004833</v>
      </c>
      <c r="BU1532" s="4">
        <f>_xlfn.IFNA(VLOOKUP(Grandview_Inventory[[#This Row],[condition]],Lookups!$A$37:$C$44,3,FALSE),1)</f>
        <v>0.97383723671140243</v>
      </c>
      <c r="BV1532" s="4">
        <f>IF(Grandview_Inventory[[#This Row],[bldg_style]]="",1,_xlfn.IFNA(VLOOKUP(Grandview_Inventory[[#This Row],[decade]],Lookups!$F$29:$H$43,3,FALSE),1))</f>
        <v>0.92255236374249616</v>
      </c>
      <c r="BW1532" s="4">
        <f>_xlfn.IFNA(VLOOKUP(Grandview_Inventory[[#This Row],[living_area_range]],Lookups!$F$47:$H$56,3,FALSE),1)</f>
        <v>0.95799442568048754</v>
      </c>
      <c r="BX1532" s="4">
        <f>AVERAGE(Grandview_Inventory[[#This Row],[qual_adj]:[size_adj]])</f>
        <v>0.96050564648610859</v>
      </c>
      <c r="BY1532" s="6">
        <f>IF(Grandview_Inventory[[#This Row],[pre_res]]&lt;0,0,Grandview_Inventory[[#This Row],[pre_res]]*Grandview_Inventory[[#This Row],[overall_adj]])</f>
        <v>308802.74700763787</v>
      </c>
      <c r="BZ1532" s="6">
        <f>(Grandview_Inventory[[#This Row],[sum_land]]-IF(Grandview_Inventory[[#This Row],[no_utilities]]=1,12000,0))/IF(Grandview_Inventory[[#This Row],[unbuildable]]=1,2,1)</f>
        <v>53250.00235313351</v>
      </c>
      <c r="CA153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532">
        <f>ROUND(Grandview_Inventory[[#This Row],[det_value]]*Lookups!$M$28,-2)</f>
        <v>11700</v>
      </c>
      <c r="CC1532">
        <f>IF(ROUND(Grandview_Inventory[[#This Row],[adj_res]]*Lookups!$M$28,-2)&lt;Grandview_Inventory[[#This Row],[min_res]],Grandview_Inventory[[#This Row],[min_res]],ROUND(Grandview_Inventory[[#This Row],[adj_res]]*Lookups!$M$28,-2))</f>
        <v>293400</v>
      </c>
      <c r="CD1532">
        <f>Grandview_Inventory[[#This Row],[final_det]]+Grandview_Inventory[[#This Row],[final_res]]</f>
        <v>305100</v>
      </c>
      <c r="CE1532">
        <f>Grandview_Inventory[[#This Row],[final_land]]+Grandview_Inventory[[#This Row],[final_imp]]+Grandview_Inventory[[#This Row],[crop_value]]</f>
        <v>355700</v>
      </c>
      <c r="CG1532" t="str">
        <f t="shared" si="23"/>
        <v>update valuation set market_land =50600, market_bldg=305100, market_total =355700, market_mdno =401, market_date ='9/10/2023' where link_id = (select link_id from parcel where parcel_year = '2024' and parcel_id = '23092323547');</v>
      </c>
    </row>
    <row r="1533" spans="1:85" x14ac:dyDescent="0.25">
      <c r="A1533">
        <v>23092323548</v>
      </c>
      <c r="B1533">
        <v>0.28000000000000003</v>
      </c>
      <c r="C1533">
        <v>11237</v>
      </c>
      <c r="D1533" t="s">
        <v>129</v>
      </c>
      <c r="E1533" t="s">
        <v>53</v>
      </c>
      <c r="F1533" t="s">
        <v>53</v>
      </c>
      <c r="G1533">
        <v>4</v>
      </c>
      <c r="H1533" t="s">
        <v>54</v>
      </c>
      <c r="I1533">
        <v>290000</v>
      </c>
      <c r="J1533">
        <v>45100</v>
      </c>
      <c r="K1533">
        <v>0.28000000000000003</v>
      </c>
      <c r="L1533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533">
        <v>0</v>
      </c>
      <c r="N1533">
        <v>0</v>
      </c>
      <c r="O1533">
        <v>0</v>
      </c>
      <c r="P1533">
        <v>13398.7528</v>
      </c>
      <c r="Q1533">
        <v>63903</v>
      </c>
      <c r="R1533">
        <f>(Grandview_Inventory[[#This Row],[ln_acres]]*Grandview_Inventory[[#This Row],[coeff]])+Grandview_Inventory[[#This Row],[const]]</f>
        <v>46846.847586898184</v>
      </c>
      <c r="S1533" t="s">
        <v>68</v>
      </c>
      <c r="T1533">
        <v>1</v>
      </c>
      <c r="U1533" t="s">
        <v>62</v>
      </c>
      <c r="V1533" t="s">
        <v>67</v>
      </c>
      <c r="W1533">
        <v>0</v>
      </c>
      <c r="X1533">
        <v>0</v>
      </c>
      <c r="Y1533">
        <v>51</v>
      </c>
      <c r="Z1533">
        <v>78</v>
      </c>
      <c r="AA1533">
        <v>80</v>
      </c>
      <c r="AB1533">
        <v>3500</v>
      </c>
      <c r="AC1533">
        <v>3467</v>
      </c>
      <c r="AD1533">
        <v>2668</v>
      </c>
      <c r="AE1533">
        <v>0</v>
      </c>
      <c r="AF1533">
        <v>0</v>
      </c>
      <c r="AG1533">
        <v>799</v>
      </c>
      <c r="AH1533">
        <v>200</v>
      </c>
      <c r="AI1533">
        <v>0</v>
      </c>
      <c r="AJ1533">
        <v>0</v>
      </c>
      <c r="AK1533">
        <v>0</v>
      </c>
      <c r="AL1533">
        <v>128</v>
      </c>
      <c r="AM1533">
        <v>0</v>
      </c>
      <c r="AN1533">
        <v>166</v>
      </c>
      <c r="AO1533">
        <v>128</v>
      </c>
      <c r="AP1533">
        <v>12</v>
      </c>
      <c r="AQ1533">
        <v>0</v>
      </c>
      <c r="AR1533">
        <v>1</v>
      </c>
      <c r="AS1533" t="s">
        <v>58</v>
      </c>
      <c r="AT1533">
        <v>1</v>
      </c>
      <c r="AU1533" t="s">
        <v>63</v>
      </c>
      <c r="AV1533" t="s">
        <v>60</v>
      </c>
      <c r="AW1533">
        <v>1</v>
      </c>
      <c r="AX1533">
        <v>3</v>
      </c>
      <c r="AY1533">
        <v>0</v>
      </c>
      <c r="AZ1533">
        <v>8900</v>
      </c>
      <c r="BA1533">
        <v>100</v>
      </c>
      <c r="BB1533">
        <v>100</v>
      </c>
      <c r="BC1533">
        <v>100</v>
      </c>
      <c r="BD1533">
        <v>100</v>
      </c>
      <c r="BE1533">
        <v>1</v>
      </c>
      <c r="BF1533">
        <v>15000</v>
      </c>
      <c r="BG1533">
        <v>1000</v>
      </c>
      <c r="BH1533" s="6">
        <f>Grandview_Inventory[[#This Row],[land_extract]]*Lookups!$B$3</f>
        <v>54403.117616176372</v>
      </c>
      <c r="BI1533" s="6">
        <f>IF(Grandview_Inventory[[#This Row],[bldg_style]]="",0,Lookups!$B$2)</f>
        <v>155833.95000000001</v>
      </c>
      <c r="BJ1533" s="6">
        <f>_xlfn.IFNA(VLOOKUP(Grandview_Inventory[[#This Row],[quality]],Lookups!$H$2:$J$14,3,FALSE),0)</f>
        <v>9808</v>
      </c>
      <c r="BK1533" s="6">
        <f>_xlfn.IFNA(VLOOKUP(Grandview_Inventory[[#This Row],[condition]],Lookups!$H$17:$J$24,3,FALSE),0)</f>
        <v>22342</v>
      </c>
      <c r="BL1533" s="6">
        <f>Grandview_Inventory[[#This Row],[Eff_Age]]*Lookups!$B$14</f>
        <v>-12197.496599999999</v>
      </c>
      <c r="BM1533" s="6">
        <f>Grandview_Inventory[[#This Row],[living_area]]*Lookups!$B$15</f>
        <v>216274.41735100001</v>
      </c>
      <c r="BN1533" s="6">
        <f>Grandview_Inventory[[#This Row],[Fin BSMT]]*Lookups!$B$16</f>
        <v>-21652.29276</v>
      </c>
      <c r="BO1533" s="6">
        <f>(Grandview_Inventory[[#This Row],[att_gar]]+Grandview_Inventory[[#This Row],[bltin_gar]])*Lookups!$B$17</f>
        <v>0</v>
      </c>
      <c r="BP1533" s="6">
        <f>Grandview_Inventory[[#This Row],[Plumbing Fixtures]]*Lookups!$B$18</f>
        <v>24125.301599999999</v>
      </c>
      <c r="BQ1533" s="6">
        <f>Grandview_Inventory[[#This Row],[detatched_value]]*Lookups!$B$19</f>
        <v>7536.5653899999998</v>
      </c>
      <c r="BR1533" s="6">
        <f>SUM(Grandview_Inventory[[#This Row],[Intercept]:[det_value]])*Grandview_Inventory[[#This Row],[res_pct]]</f>
        <v>402070.44498100004</v>
      </c>
      <c r="BS1533" s="6">
        <f>Grandview_Inventory[[#This Row],[land_value]]</f>
        <v>54403.117616176372</v>
      </c>
      <c r="BT1533" s="4">
        <f>_xlfn.IFNA(VLOOKUP(Grandview_Inventory[[#This Row],[quality]],Lookups!$A$26:$C$33,3,FALSE),1)</f>
        <v>0.94295468617355149</v>
      </c>
      <c r="BU1533" s="4">
        <f>_xlfn.IFNA(VLOOKUP(Grandview_Inventory[[#This Row],[condition]],Lookups!$A$37:$C$44,3,FALSE),1)</f>
        <v>0.97383723671140243</v>
      </c>
      <c r="BV1533" s="4">
        <f>IF(Grandview_Inventory[[#This Row],[bldg_style]]="",1,_xlfn.IFNA(VLOOKUP(Grandview_Inventory[[#This Row],[decade]],Lookups!$F$29:$H$43,3,FALSE),1))</f>
        <v>0.98763256963907298</v>
      </c>
      <c r="BW1533" s="4">
        <f>_xlfn.IFNA(VLOOKUP(Grandview_Inventory[[#This Row],[living_area_range]],Lookups!$F$47:$H$56,3,FALSE),1)</f>
        <v>1.0170112215140563</v>
      </c>
      <c r="BX1533" s="4">
        <f>AVERAGE(Grandview_Inventory[[#This Row],[qual_adj]:[size_adj]])</f>
        <v>0.98035892850952089</v>
      </c>
      <c r="BY1533" s="6">
        <f>IF(Grandview_Inventory[[#This Row],[pre_res]]&lt;0,0,Grandview_Inventory[[#This Row],[pre_res]]*Grandview_Inventory[[#This Row],[overall_adj]])</f>
        <v>394173.35062691948</v>
      </c>
      <c r="BZ1533" s="6">
        <f>(Grandview_Inventory[[#This Row],[sum_land]]-IF(Grandview_Inventory[[#This Row],[no_utilities]]=1,12000,0))/IF(Grandview_Inventory[[#This Row],[unbuildable]]=1,2,1)</f>
        <v>54403.117616176372</v>
      </c>
      <c r="CA1533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533">
        <f>ROUND(Grandview_Inventory[[#This Row],[det_value]]*Lookups!$M$28,-2)</f>
        <v>7200</v>
      </c>
      <c r="CC1533">
        <f>IF(ROUND(Grandview_Inventory[[#This Row],[adj_res]]*Lookups!$M$28,-2)&lt;Grandview_Inventory[[#This Row],[min_res]],Grandview_Inventory[[#This Row],[min_res]],ROUND(Grandview_Inventory[[#This Row],[adj_res]]*Lookups!$M$28,-2))</f>
        <v>374500</v>
      </c>
      <c r="CD1533">
        <f>Grandview_Inventory[[#This Row],[final_det]]+Grandview_Inventory[[#This Row],[final_res]]</f>
        <v>381700</v>
      </c>
      <c r="CE1533">
        <f>Grandview_Inventory[[#This Row],[final_land]]+Grandview_Inventory[[#This Row],[final_imp]]+Grandview_Inventory[[#This Row],[crop_value]]</f>
        <v>433400</v>
      </c>
      <c r="CG1533" t="str">
        <f t="shared" si="23"/>
        <v>update valuation set market_land =51700, market_bldg=381700, market_total =433400, market_mdno =401, market_date ='9/10/2023' where link_id = (select link_id from parcel where parcel_year = '2024' and parcel_id = '23092323548');</v>
      </c>
    </row>
    <row r="1534" spans="1:85" x14ac:dyDescent="0.25">
      <c r="A1534">
        <v>23092323550</v>
      </c>
      <c r="B1534">
        <v>0.08</v>
      </c>
      <c r="C1534">
        <v>3487</v>
      </c>
      <c r="D1534" t="s">
        <v>129</v>
      </c>
      <c r="E1534" t="s">
        <v>53</v>
      </c>
      <c r="F1534" t="s">
        <v>53</v>
      </c>
      <c r="G1534">
        <v>4</v>
      </c>
      <c r="H1534" t="s">
        <v>54</v>
      </c>
      <c r="I1534">
        <v>141900</v>
      </c>
      <c r="J1534">
        <v>37400</v>
      </c>
      <c r="K1534">
        <v>0.08</v>
      </c>
      <c r="L1534">
        <f>IF(Grandview_Inventory[[#This Row],[parcel_acres]]-Grandview_Inventory[[#This Row],[non_valued_acres]] =0,0,LN(Grandview_Inventory[[#This Row],[parcel_acres]]-Grandview_Inventory[[#This Row],[non_valued_acres]]))</f>
        <v>-2.5257286443082556</v>
      </c>
      <c r="M1534">
        <v>0</v>
      </c>
      <c r="N1534">
        <v>0</v>
      </c>
      <c r="O1534">
        <v>0</v>
      </c>
      <c r="P1534">
        <v>13398.7528</v>
      </c>
      <c r="Q1534">
        <v>63903</v>
      </c>
      <c r="R1534">
        <f>(Grandview_Inventory[[#This Row],[ln_acres]]*Grandview_Inventory[[#This Row],[coeff]])+Grandview_Inventory[[#This Row],[const]]</f>
        <v>30061.386255034558</v>
      </c>
      <c r="S1534" t="s">
        <v>68</v>
      </c>
      <c r="T1534">
        <v>1</v>
      </c>
      <c r="U1534" t="s">
        <v>83</v>
      </c>
      <c r="V1534" t="s">
        <v>67</v>
      </c>
      <c r="W1534">
        <v>0</v>
      </c>
      <c r="X1534">
        <v>0</v>
      </c>
      <c r="Y1534">
        <v>55</v>
      </c>
      <c r="Z1534">
        <v>98</v>
      </c>
      <c r="AA1534">
        <v>100</v>
      </c>
      <c r="AB1534">
        <v>1000</v>
      </c>
      <c r="AC1534">
        <v>896</v>
      </c>
      <c r="AD1534">
        <v>896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20</v>
      </c>
      <c r="AO1534">
        <v>0</v>
      </c>
      <c r="AP1534">
        <v>7</v>
      </c>
      <c r="AQ1534">
        <v>0</v>
      </c>
      <c r="AR1534">
        <v>0</v>
      </c>
      <c r="AS1534" t="s">
        <v>58</v>
      </c>
      <c r="AT1534">
        <v>1</v>
      </c>
      <c r="AU1534" t="s">
        <v>132</v>
      </c>
      <c r="AV1534" t="s">
        <v>64</v>
      </c>
      <c r="AW1534">
        <v>1</v>
      </c>
      <c r="AX1534">
        <v>3</v>
      </c>
      <c r="AY1534">
        <v>0</v>
      </c>
      <c r="AZ1534">
        <v>0</v>
      </c>
      <c r="BA1534">
        <v>100</v>
      </c>
      <c r="BB1534">
        <v>100</v>
      </c>
      <c r="BC1534">
        <v>100</v>
      </c>
      <c r="BD1534">
        <v>100</v>
      </c>
      <c r="BE1534">
        <v>1</v>
      </c>
      <c r="BF1534">
        <v>15000</v>
      </c>
      <c r="BG1534">
        <v>1000</v>
      </c>
      <c r="BH1534" s="6">
        <f>Grandview_Inventory[[#This Row],[land_extract]]*Lookups!$B$3</f>
        <v>34910.206692228741</v>
      </c>
      <c r="BI1534" s="6">
        <f>IF(Grandview_Inventory[[#This Row],[bldg_style]]="",0,Lookups!$B$2)</f>
        <v>155833.95000000001</v>
      </c>
      <c r="BJ1534" s="6">
        <f>_xlfn.IFNA(VLOOKUP(Grandview_Inventory[[#This Row],[quality]],Lookups!$H$2:$J$14,3,FALSE),0)</f>
        <v>-28558</v>
      </c>
      <c r="BK1534" s="6">
        <f>_xlfn.IFNA(VLOOKUP(Grandview_Inventory[[#This Row],[condition]],Lookups!$H$17:$J$24,3,FALSE),0)</f>
        <v>22342</v>
      </c>
      <c r="BL1534" s="6">
        <f>Grandview_Inventory[[#This Row],[Eff_Age]]*Lookups!$B$14</f>
        <v>-13154.162999999999</v>
      </c>
      <c r="BM1534" s="6">
        <f>Grandview_Inventory[[#This Row],[living_area]]*Lookups!$B$15</f>
        <v>55893.244288000002</v>
      </c>
      <c r="BN1534" s="6">
        <f>Grandview_Inventory[[#This Row],[Fin BSMT]]*Lookups!$B$16</f>
        <v>0</v>
      </c>
      <c r="BO1534" s="6">
        <f>(Grandview_Inventory[[#This Row],[att_gar]]+Grandview_Inventory[[#This Row],[bltin_gar]])*Lookups!$B$17</f>
        <v>0</v>
      </c>
      <c r="BP1534" s="6">
        <f>Grandview_Inventory[[#This Row],[Plumbing Fixtures]]*Lookups!$B$18</f>
        <v>14073.0926</v>
      </c>
      <c r="BQ1534" s="6">
        <f>Grandview_Inventory[[#This Row],[detatched_value]]*Lookups!$B$19</f>
        <v>0</v>
      </c>
      <c r="BR1534" s="6">
        <f>SUM(Grandview_Inventory[[#This Row],[Intercept]:[det_value]])*Grandview_Inventory[[#This Row],[res_pct]]</f>
        <v>206430.123888</v>
      </c>
      <c r="BS1534" s="6">
        <f>Grandview_Inventory[[#This Row],[land_value]]</f>
        <v>34910.206692228741</v>
      </c>
      <c r="BT1534" s="4">
        <f>_xlfn.IFNA(VLOOKUP(Grandview_Inventory[[#This Row],[quality]],Lookups!$A$26:$C$33,3,FALSE),1)</f>
        <v>0.96329552998502799</v>
      </c>
      <c r="BU1534" s="4">
        <f>_xlfn.IFNA(VLOOKUP(Grandview_Inventory[[#This Row],[condition]],Lookups!$A$37:$C$44,3,FALSE),1)</f>
        <v>0.97383723671140243</v>
      </c>
      <c r="BV1534" s="4">
        <f>IF(Grandview_Inventory[[#This Row],[bldg_style]]="",1,_xlfn.IFNA(VLOOKUP(Grandview_Inventory[[#This Row],[decade]],Lookups!$F$29:$H$43,3,FALSE),1))</f>
        <v>0.95244691841736806</v>
      </c>
      <c r="BW1534" s="4">
        <f>_xlfn.IFNA(VLOOKUP(Grandview_Inventory[[#This Row],[living_area_range]],Lookups!$F$47:$H$56,3,FALSE),1)</f>
        <v>0.94306777142782894</v>
      </c>
      <c r="BX1534" s="4">
        <f>AVERAGE(Grandview_Inventory[[#This Row],[qual_adj]:[size_adj]])</f>
        <v>0.95816186413540683</v>
      </c>
      <c r="BY1534" s="6">
        <f>IF(Grandview_Inventory[[#This Row],[pre_res]]&lt;0,0,Grandview_Inventory[[#This Row],[pre_res]]*Grandview_Inventory[[#This Row],[overall_adj]])</f>
        <v>197793.47231822906</v>
      </c>
      <c r="BZ1534" s="6">
        <f>(Grandview_Inventory[[#This Row],[sum_land]]-IF(Grandview_Inventory[[#This Row],[no_utilities]]=1,12000,0))/IF(Grandview_Inventory[[#This Row],[unbuildable]]=1,2,1)</f>
        <v>34910.206692228741</v>
      </c>
      <c r="CA1534">
        <f>IF(ROUND(Grandview_Inventory[[#This Row],[adj_land]]*Lookups!$M$28,-2)&lt;Grandview_Inventory[[#This Row],[min_land]],Grandview_Inventory[[#This Row],[min_land]],ROUND(Grandview_Inventory[[#This Row],[adj_land]]*Lookups!$M$28,-2))</f>
        <v>33200</v>
      </c>
      <c r="CB1534">
        <f>ROUND(Grandview_Inventory[[#This Row],[det_value]]*Lookups!$M$28,-2)</f>
        <v>0</v>
      </c>
      <c r="CC1534">
        <f>IF(ROUND(Grandview_Inventory[[#This Row],[adj_res]]*Lookups!$M$28,-2)&lt;Grandview_Inventory[[#This Row],[min_res]],Grandview_Inventory[[#This Row],[min_res]],ROUND(Grandview_Inventory[[#This Row],[adj_res]]*Lookups!$M$28,-2))</f>
        <v>187900</v>
      </c>
      <c r="CD1534">
        <f>Grandview_Inventory[[#This Row],[final_det]]+Grandview_Inventory[[#This Row],[final_res]]</f>
        <v>187900</v>
      </c>
      <c r="CE1534">
        <f>Grandview_Inventory[[#This Row],[final_land]]+Grandview_Inventory[[#This Row],[final_imp]]+Grandview_Inventory[[#This Row],[crop_value]]</f>
        <v>221100</v>
      </c>
      <c r="CG1534" t="str">
        <f t="shared" si="23"/>
        <v>update valuation set market_land =33200, market_bldg=187900, market_total =221100, market_mdno =401, market_date ='9/10/2023' where link_id = (select link_id from parcel where parcel_year = '2024' and parcel_id = '23092323550');</v>
      </c>
    </row>
    <row r="1535" spans="1:85" x14ac:dyDescent="0.25">
      <c r="A1535">
        <v>23092323551</v>
      </c>
      <c r="B1535">
        <v>0.18</v>
      </c>
      <c r="C1535">
        <v>7902</v>
      </c>
      <c r="D1535" t="s">
        <v>129</v>
      </c>
      <c r="E1535" t="s">
        <v>53</v>
      </c>
      <c r="F1535" t="s">
        <v>53</v>
      </c>
      <c r="G1535">
        <v>4</v>
      </c>
      <c r="H1535" t="s">
        <v>54</v>
      </c>
      <c r="I1535">
        <v>162500</v>
      </c>
      <c r="J1535">
        <v>39300</v>
      </c>
      <c r="K1535">
        <v>0.18</v>
      </c>
      <c r="L153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35">
        <v>0</v>
      </c>
      <c r="N1535">
        <v>0</v>
      </c>
      <c r="O1535">
        <v>0</v>
      </c>
      <c r="P1535">
        <v>13398.7528</v>
      </c>
      <c r="Q1535">
        <v>63903</v>
      </c>
      <c r="R1535">
        <f>(Grandview_Inventory[[#This Row],[ln_acres]]*Grandview_Inventory[[#This Row],[coeff]])+Grandview_Inventory[[#This Row],[const]]</f>
        <v>40926.839760167699</v>
      </c>
      <c r="S1535" t="s">
        <v>85</v>
      </c>
      <c r="T1535">
        <v>1</v>
      </c>
      <c r="U1535" t="s">
        <v>70</v>
      </c>
      <c r="V1535" t="s">
        <v>66</v>
      </c>
      <c r="W1535">
        <v>0</v>
      </c>
      <c r="X1535">
        <v>0</v>
      </c>
      <c r="Y1535">
        <v>52</v>
      </c>
      <c r="Z1535">
        <v>88</v>
      </c>
      <c r="AA1535">
        <v>90</v>
      </c>
      <c r="AB1535">
        <v>1000</v>
      </c>
      <c r="AC1535">
        <v>876</v>
      </c>
      <c r="AD1535">
        <v>876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120</v>
      </c>
      <c r="AN1535">
        <v>32</v>
      </c>
      <c r="AO1535">
        <v>0</v>
      </c>
      <c r="AP1535">
        <v>5</v>
      </c>
      <c r="AQ1535">
        <v>0</v>
      </c>
      <c r="AR1535">
        <v>0</v>
      </c>
      <c r="AS1535" t="s">
        <v>58</v>
      </c>
      <c r="AT1535">
        <v>1</v>
      </c>
      <c r="AU1535" t="s">
        <v>63</v>
      </c>
      <c r="AV1535" t="s">
        <v>64</v>
      </c>
      <c r="AW1535">
        <v>1</v>
      </c>
      <c r="AX1535">
        <v>3</v>
      </c>
      <c r="AY1535">
        <v>0</v>
      </c>
      <c r="AZ1535">
        <v>0</v>
      </c>
      <c r="BA1535">
        <v>100</v>
      </c>
      <c r="BB1535">
        <v>100</v>
      </c>
      <c r="BC1535">
        <v>100</v>
      </c>
      <c r="BD1535">
        <v>100</v>
      </c>
      <c r="BE1535">
        <v>1</v>
      </c>
      <c r="BF1535">
        <v>15000</v>
      </c>
      <c r="BG1535">
        <v>1000</v>
      </c>
      <c r="BH1535" s="6">
        <f>Grandview_Inventory[[#This Row],[land_extract]]*Lookups!$B$3</f>
        <v>47528.228511015397</v>
      </c>
      <c r="BI1535" s="6">
        <f>IF(Grandview_Inventory[[#This Row],[bldg_style]]="",0,Lookups!$B$2)</f>
        <v>155833.95000000001</v>
      </c>
      <c r="BJ1535" s="6">
        <f>_xlfn.IFNA(VLOOKUP(Grandview_Inventory[[#This Row],[quality]],Lookups!$H$2:$J$14,3,FALSE),0)</f>
        <v>10733</v>
      </c>
      <c r="BK1535" s="6">
        <f>_xlfn.IFNA(VLOOKUP(Grandview_Inventory[[#This Row],[condition]],Lookups!$H$17:$J$24,3,FALSE),0)</f>
        <v>25818</v>
      </c>
      <c r="BL1535" s="6">
        <f>Grandview_Inventory[[#This Row],[Eff_Age]]*Lookups!$B$14</f>
        <v>-12436.663199999999</v>
      </c>
      <c r="BM1535" s="6">
        <f>Grandview_Inventory[[#This Row],[living_area]]*Lookups!$B$15</f>
        <v>54645.627228000005</v>
      </c>
      <c r="BN1535" s="6">
        <f>Grandview_Inventory[[#This Row],[Fin BSMT]]*Lookups!$B$16</f>
        <v>0</v>
      </c>
      <c r="BO1535" s="6">
        <f>(Grandview_Inventory[[#This Row],[att_gar]]+Grandview_Inventory[[#This Row],[bltin_gar]])*Lookups!$B$17</f>
        <v>0</v>
      </c>
      <c r="BP1535" s="6">
        <f>Grandview_Inventory[[#This Row],[Plumbing Fixtures]]*Lookups!$B$18</f>
        <v>10052.209000000001</v>
      </c>
      <c r="BQ1535" s="6">
        <f>Grandview_Inventory[[#This Row],[detatched_value]]*Lookups!$B$19</f>
        <v>0</v>
      </c>
      <c r="BR1535" s="6">
        <f>SUM(Grandview_Inventory[[#This Row],[Intercept]:[det_value]])*Grandview_Inventory[[#This Row],[res_pct]]</f>
        <v>244646.123028</v>
      </c>
      <c r="BS1535" s="6">
        <f>Grandview_Inventory[[#This Row],[land_value]]</f>
        <v>47528.228511015397</v>
      </c>
      <c r="BT1535" s="4">
        <f>_xlfn.IFNA(VLOOKUP(Grandview_Inventory[[#This Row],[quality]],Lookups!$A$26:$C$33,3,FALSE),1)</f>
        <v>0.98079741117310582</v>
      </c>
      <c r="BU1535" s="4">
        <f>_xlfn.IFNA(VLOOKUP(Grandview_Inventory[[#This Row],[condition]],Lookups!$A$37:$C$44,3,FALSE),1)</f>
        <v>0.96661476234146892</v>
      </c>
      <c r="BV1535" s="4">
        <f>IF(Grandview_Inventory[[#This Row],[bldg_style]]="",1,_xlfn.IFNA(VLOOKUP(Grandview_Inventory[[#This Row],[decade]],Lookups!$F$29:$H$43,3,FALSE),1))</f>
        <v>0.94161750052457416</v>
      </c>
      <c r="BW1535" s="4">
        <f>_xlfn.IFNA(VLOOKUP(Grandview_Inventory[[#This Row],[living_area_range]],Lookups!$F$47:$H$56,3,FALSE),1)</f>
        <v>0.94306777142782894</v>
      </c>
      <c r="BX1535" s="4">
        <f>AVERAGE(Grandview_Inventory[[#This Row],[qual_adj]:[size_adj]])</f>
        <v>0.9580243613667444</v>
      </c>
      <c r="BY1535" s="6">
        <f>IF(Grandview_Inventory[[#This Row],[pre_res]]&lt;0,0,Grandview_Inventory[[#This Row],[pre_res]]*Grandview_Inventory[[#This Row],[overall_adj]])</f>
        <v>234376.94577474968</v>
      </c>
      <c r="BZ1535" s="6">
        <f>(Grandview_Inventory[[#This Row],[sum_land]]-IF(Grandview_Inventory[[#This Row],[no_utilities]]=1,12000,0))/IF(Grandview_Inventory[[#This Row],[unbuildable]]=1,2,1)</f>
        <v>47528.228511015397</v>
      </c>
      <c r="CA153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35">
        <f>ROUND(Grandview_Inventory[[#This Row],[det_value]]*Lookups!$M$28,-2)</f>
        <v>0</v>
      </c>
      <c r="CC1535">
        <f>IF(ROUND(Grandview_Inventory[[#This Row],[adj_res]]*Lookups!$M$28,-2)&lt;Grandview_Inventory[[#This Row],[min_res]],Grandview_Inventory[[#This Row],[min_res]],ROUND(Grandview_Inventory[[#This Row],[adj_res]]*Lookups!$M$28,-2))</f>
        <v>222700</v>
      </c>
      <c r="CD1535">
        <f>Grandview_Inventory[[#This Row],[final_det]]+Grandview_Inventory[[#This Row],[final_res]]</f>
        <v>222700</v>
      </c>
      <c r="CE1535">
        <f>Grandview_Inventory[[#This Row],[final_land]]+Grandview_Inventory[[#This Row],[final_imp]]+Grandview_Inventory[[#This Row],[crop_value]]</f>
        <v>267900</v>
      </c>
      <c r="CG1535" t="str">
        <f t="shared" si="23"/>
        <v>update valuation set market_land =45200, market_bldg=222700, market_total =267900, market_mdno =401, market_date ='9/10/2023' where link_id = (select link_id from parcel where parcel_year = '2024' and parcel_id = '23092323551');</v>
      </c>
    </row>
    <row r="1536" spans="1:85" x14ac:dyDescent="0.25">
      <c r="A1536">
        <v>23092323553</v>
      </c>
      <c r="B1536">
        <v>0.19</v>
      </c>
      <c r="C1536">
        <v>8278</v>
      </c>
      <c r="D1536" t="s">
        <v>129</v>
      </c>
      <c r="E1536" t="s">
        <v>53</v>
      </c>
      <c r="F1536" t="s">
        <v>53</v>
      </c>
      <c r="G1536">
        <v>4</v>
      </c>
      <c r="H1536" t="s">
        <v>54</v>
      </c>
      <c r="I1536">
        <v>185500</v>
      </c>
      <c r="J1536">
        <v>39700</v>
      </c>
      <c r="K1536">
        <v>0.19</v>
      </c>
      <c r="L153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36">
        <v>0</v>
      </c>
      <c r="N1536">
        <v>0</v>
      </c>
      <c r="O1536">
        <v>0</v>
      </c>
      <c r="P1536">
        <v>13398.7528</v>
      </c>
      <c r="Q1536">
        <v>63903</v>
      </c>
      <c r="R1536">
        <f>(Grandview_Inventory[[#This Row],[ln_acres]]*Grandview_Inventory[[#This Row],[coeff]])+Grandview_Inventory[[#This Row],[const]]</f>
        <v>41651.273092551026</v>
      </c>
      <c r="S1536" t="s">
        <v>55</v>
      </c>
      <c r="T1536">
        <v>2</v>
      </c>
      <c r="U1536" t="s">
        <v>70</v>
      </c>
      <c r="V1536" t="s">
        <v>69</v>
      </c>
      <c r="W1536">
        <v>0</v>
      </c>
      <c r="X1536">
        <v>0</v>
      </c>
      <c r="Y1536">
        <v>58</v>
      </c>
      <c r="Z1536">
        <v>105</v>
      </c>
      <c r="AA1536">
        <v>110</v>
      </c>
      <c r="AB1536">
        <v>2000</v>
      </c>
      <c r="AC1536">
        <v>1995</v>
      </c>
      <c r="AD1536">
        <v>1330</v>
      </c>
      <c r="AE1536">
        <v>665</v>
      </c>
      <c r="AF1536">
        <v>0</v>
      </c>
      <c r="AG1536">
        <v>0</v>
      </c>
      <c r="AH1536">
        <v>998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62</v>
      </c>
      <c r="AO1536">
        <v>0</v>
      </c>
      <c r="AP1536">
        <v>8</v>
      </c>
      <c r="AQ1536">
        <v>0</v>
      </c>
      <c r="AR1536">
        <v>0</v>
      </c>
      <c r="AS1536" t="s">
        <v>58</v>
      </c>
      <c r="AT1536">
        <v>1</v>
      </c>
      <c r="AU1536" t="s">
        <v>63</v>
      </c>
      <c r="AV1536" t="s">
        <v>64</v>
      </c>
      <c r="AW1536">
        <v>0</v>
      </c>
      <c r="AX1536">
        <v>4</v>
      </c>
      <c r="AY1536">
        <v>0</v>
      </c>
      <c r="AZ1536">
        <v>4100</v>
      </c>
      <c r="BA1536">
        <v>100</v>
      </c>
      <c r="BB1536">
        <v>100</v>
      </c>
      <c r="BC1536">
        <v>100</v>
      </c>
      <c r="BD1536">
        <v>100</v>
      </c>
      <c r="BE1536">
        <v>1</v>
      </c>
      <c r="BF1536">
        <v>15000</v>
      </c>
      <c r="BG1536">
        <v>1000</v>
      </c>
      <c r="BH1536" s="6">
        <f>Grandview_Inventory[[#This Row],[land_extract]]*Lookups!$B$3</f>
        <v>48369.510983942157</v>
      </c>
      <c r="BI1536" s="6">
        <f>IF(Grandview_Inventory[[#This Row],[bldg_style]]="",0,Lookups!$B$2)</f>
        <v>155833.95000000001</v>
      </c>
      <c r="BJ1536" s="6">
        <f>_xlfn.IFNA(VLOOKUP(Grandview_Inventory[[#This Row],[quality]],Lookups!$H$2:$J$14,3,FALSE),0)</f>
        <v>10733</v>
      </c>
      <c r="BK1536" s="6">
        <f>_xlfn.IFNA(VLOOKUP(Grandview_Inventory[[#This Row],[condition]],Lookups!$H$17:$J$24,3,FALSE),0)</f>
        <v>-4503</v>
      </c>
      <c r="BL1536" s="6">
        <f>Grandview_Inventory[[#This Row],[Eff_Age]]*Lookups!$B$14</f>
        <v>-13871.6628</v>
      </c>
      <c r="BM1536" s="6">
        <f>Grandview_Inventory[[#This Row],[living_area]]*Lookups!$B$15</f>
        <v>124449.801735</v>
      </c>
      <c r="BN1536" s="6">
        <f>Grandview_Inventory[[#This Row],[Fin BSMT]]*Lookups!$B$16</f>
        <v>0</v>
      </c>
      <c r="BO1536" s="6">
        <f>(Grandview_Inventory[[#This Row],[att_gar]]+Grandview_Inventory[[#This Row],[bltin_gar]])*Lookups!$B$17</f>
        <v>0</v>
      </c>
      <c r="BP1536" s="6">
        <f>Grandview_Inventory[[#This Row],[Plumbing Fixtures]]*Lookups!$B$18</f>
        <v>16083.5344</v>
      </c>
      <c r="BQ1536" s="6">
        <f>Grandview_Inventory[[#This Row],[detatched_value]]*Lookups!$B$19</f>
        <v>3471.9009099999998</v>
      </c>
      <c r="BR1536" s="6">
        <f>SUM(Grandview_Inventory[[#This Row],[Intercept]:[det_value]])*Grandview_Inventory[[#This Row],[res_pct]]</f>
        <v>292197.52424500004</v>
      </c>
      <c r="BS1536" s="6">
        <f>Grandview_Inventory[[#This Row],[land_value]]</f>
        <v>48369.510983942157</v>
      </c>
      <c r="BT1536" s="4">
        <f>_xlfn.IFNA(VLOOKUP(Grandview_Inventory[[#This Row],[quality]],Lookups!$A$26:$C$33,3,FALSE),1)</f>
        <v>0.98079741117310582</v>
      </c>
      <c r="BU1536" s="4">
        <f>_xlfn.IFNA(VLOOKUP(Grandview_Inventory[[#This Row],[condition]],Lookups!$A$37:$C$44,3,FALSE),1)</f>
        <v>0.96469275950863709</v>
      </c>
      <c r="BV1536" s="4">
        <f>IF(Grandview_Inventory[[#This Row],[bldg_style]]="",1,_xlfn.IFNA(VLOOKUP(Grandview_Inventory[[#This Row],[decade]],Lookups!$F$29:$H$43,3,FALSE),1))</f>
        <v>0.92255236374249616</v>
      </c>
      <c r="BW1536" s="4">
        <f>_xlfn.IFNA(VLOOKUP(Grandview_Inventory[[#This Row],[living_area_range]],Lookups!$F$47:$H$56,3,FALSE),1)</f>
        <v>0.96120133463014379</v>
      </c>
      <c r="BX1536" s="4">
        <f>AVERAGE(Grandview_Inventory[[#This Row],[qual_adj]:[size_adj]])</f>
        <v>0.95731096726359577</v>
      </c>
      <c r="BY1536" s="6">
        <f>IF(Grandview_Inventory[[#This Row],[pre_res]]&lt;0,0,Grandview_Inventory[[#This Row],[pre_res]]*Grandview_Inventory[[#This Row],[overall_adj]])</f>
        <v>279723.89456700895</v>
      </c>
      <c r="BZ1536" s="6">
        <f>(Grandview_Inventory[[#This Row],[sum_land]]-IF(Grandview_Inventory[[#This Row],[no_utilities]]=1,12000,0))/IF(Grandview_Inventory[[#This Row],[unbuildable]]=1,2,1)</f>
        <v>48369.510983942157</v>
      </c>
      <c r="CA153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36">
        <f>ROUND(Grandview_Inventory[[#This Row],[det_value]]*Lookups!$M$28,-2)</f>
        <v>3300</v>
      </c>
      <c r="CC1536">
        <f>IF(ROUND(Grandview_Inventory[[#This Row],[adj_res]]*Lookups!$M$28,-2)&lt;Grandview_Inventory[[#This Row],[min_res]],Grandview_Inventory[[#This Row],[min_res]],ROUND(Grandview_Inventory[[#This Row],[adj_res]]*Lookups!$M$28,-2))</f>
        <v>265700</v>
      </c>
      <c r="CD1536">
        <f>Grandview_Inventory[[#This Row],[final_det]]+Grandview_Inventory[[#This Row],[final_res]]</f>
        <v>269000</v>
      </c>
      <c r="CE1536">
        <f>Grandview_Inventory[[#This Row],[final_land]]+Grandview_Inventory[[#This Row],[final_imp]]+Grandview_Inventory[[#This Row],[crop_value]]</f>
        <v>315000</v>
      </c>
      <c r="CG1536" t="str">
        <f t="shared" si="23"/>
        <v>update valuation set market_land =46000, market_bldg=269000, market_total =315000, market_mdno =401, market_date ='9/10/2023' where link_id = (select link_id from parcel where parcel_year = '2024' and parcel_id = '23092323553');</v>
      </c>
    </row>
    <row r="1537" spans="1:85" x14ac:dyDescent="0.25">
      <c r="A1537">
        <v>23092323554</v>
      </c>
      <c r="B1537">
        <v>0.16</v>
      </c>
      <c r="C1537">
        <v>6772</v>
      </c>
      <c r="D1537" t="s">
        <v>129</v>
      </c>
      <c r="E1537" t="s">
        <v>53</v>
      </c>
      <c r="F1537" t="s">
        <v>53</v>
      </c>
      <c r="G1537">
        <v>4</v>
      </c>
      <c r="H1537" t="s">
        <v>54</v>
      </c>
      <c r="I1537">
        <v>170200</v>
      </c>
      <c r="J1537">
        <v>39000</v>
      </c>
      <c r="K1537">
        <v>0.16</v>
      </c>
      <c r="L153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37">
        <v>0</v>
      </c>
      <c r="N1537">
        <v>0</v>
      </c>
      <c r="O1537">
        <v>0</v>
      </c>
      <c r="P1537">
        <v>13398.7528</v>
      </c>
      <c r="Q1537">
        <v>63903</v>
      </c>
      <c r="R1537">
        <f>(Grandview_Inventory[[#This Row],[ln_acres]]*Grandview_Inventory[[#This Row],[coeff]])+Grandview_Inventory[[#This Row],[const]]</f>
        <v>39348.693981374228</v>
      </c>
      <c r="S1537" t="s">
        <v>68</v>
      </c>
      <c r="T1537">
        <v>1</v>
      </c>
      <c r="U1537" t="s">
        <v>62</v>
      </c>
      <c r="V1537" t="s">
        <v>69</v>
      </c>
      <c r="W1537">
        <v>0</v>
      </c>
      <c r="X1537">
        <v>0</v>
      </c>
      <c r="Y1537">
        <v>58</v>
      </c>
      <c r="Z1537">
        <v>105</v>
      </c>
      <c r="AA1537">
        <v>110</v>
      </c>
      <c r="AB1537">
        <v>2000</v>
      </c>
      <c r="AC1537">
        <v>1515</v>
      </c>
      <c r="AD1537">
        <v>1515</v>
      </c>
      <c r="AE1537">
        <v>0</v>
      </c>
      <c r="AF1537">
        <v>0</v>
      </c>
      <c r="AG1537">
        <v>0</v>
      </c>
      <c r="AH1537">
        <v>250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8</v>
      </c>
      <c r="AQ1537">
        <v>0</v>
      </c>
      <c r="AR1537">
        <v>1</v>
      </c>
      <c r="AS1537" t="s">
        <v>58</v>
      </c>
      <c r="AT1537">
        <v>1</v>
      </c>
      <c r="AU1537" t="s">
        <v>59</v>
      </c>
      <c r="AV1537" t="s">
        <v>60</v>
      </c>
      <c r="AW1537">
        <v>1</v>
      </c>
      <c r="AX1537">
        <v>3</v>
      </c>
      <c r="AY1537">
        <v>0</v>
      </c>
      <c r="AZ1537">
        <v>10100</v>
      </c>
      <c r="BA1537">
        <v>100</v>
      </c>
      <c r="BB1537">
        <v>100</v>
      </c>
      <c r="BC1537">
        <v>100</v>
      </c>
      <c r="BD1537">
        <v>100</v>
      </c>
      <c r="BE1537">
        <v>1</v>
      </c>
      <c r="BF1537">
        <v>15000</v>
      </c>
      <c r="BG1537">
        <v>1000</v>
      </c>
      <c r="BH1537" s="6">
        <f>Grandview_Inventory[[#This Row],[land_extract]]*Lookups!$B$3</f>
        <v>45695.532079096141</v>
      </c>
      <c r="BI1537" s="6">
        <f>IF(Grandview_Inventory[[#This Row],[bldg_style]]="",0,Lookups!$B$2)</f>
        <v>155833.95000000001</v>
      </c>
      <c r="BJ1537" s="6">
        <f>_xlfn.IFNA(VLOOKUP(Grandview_Inventory[[#This Row],[quality]],Lookups!$H$2:$J$14,3,FALSE),0)</f>
        <v>9808</v>
      </c>
      <c r="BK1537" s="6">
        <f>_xlfn.IFNA(VLOOKUP(Grandview_Inventory[[#This Row],[condition]],Lookups!$H$17:$J$24,3,FALSE),0)</f>
        <v>-4503</v>
      </c>
      <c r="BL1537" s="6">
        <f>Grandview_Inventory[[#This Row],[Eff_Age]]*Lookups!$B$14</f>
        <v>-13871.6628</v>
      </c>
      <c r="BM1537" s="6">
        <f>Grandview_Inventory[[#This Row],[living_area]]*Lookups!$B$15</f>
        <v>94506.992295000004</v>
      </c>
      <c r="BN1537" s="6">
        <f>Grandview_Inventory[[#This Row],[Fin BSMT]]*Lookups!$B$16</f>
        <v>0</v>
      </c>
      <c r="BO1537" s="6">
        <f>(Grandview_Inventory[[#This Row],[att_gar]]+Grandview_Inventory[[#This Row],[bltin_gar]])*Lookups!$B$17</f>
        <v>0</v>
      </c>
      <c r="BP1537" s="6">
        <f>Grandview_Inventory[[#This Row],[Plumbing Fixtures]]*Lookups!$B$18</f>
        <v>16083.5344</v>
      </c>
      <c r="BQ1537" s="6">
        <f>Grandview_Inventory[[#This Row],[detatched_value]]*Lookups!$B$19</f>
        <v>8552.7315099999996</v>
      </c>
      <c r="BR1537" s="6">
        <f>SUM(Grandview_Inventory[[#This Row],[Intercept]:[det_value]])*Grandview_Inventory[[#This Row],[res_pct]]</f>
        <v>266410.54540500004</v>
      </c>
      <c r="BS1537" s="6">
        <f>Grandview_Inventory[[#This Row],[land_value]]</f>
        <v>45695.532079096141</v>
      </c>
      <c r="BT1537" s="4">
        <f>_xlfn.IFNA(VLOOKUP(Grandview_Inventory[[#This Row],[quality]],Lookups!$A$26:$C$33,3,FALSE),1)</f>
        <v>0.94295468617355149</v>
      </c>
      <c r="BU1537" s="4">
        <f>_xlfn.IFNA(VLOOKUP(Grandview_Inventory[[#This Row],[condition]],Lookups!$A$37:$C$44,3,FALSE),1)</f>
        <v>0.96469275950863709</v>
      </c>
      <c r="BV1537" s="4">
        <f>IF(Grandview_Inventory[[#This Row],[bldg_style]]="",1,_xlfn.IFNA(VLOOKUP(Grandview_Inventory[[#This Row],[decade]],Lookups!$F$29:$H$43,3,FALSE),1))</f>
        <v>0.92255236374249616</v>
      </c>
      <c r="BW1537" s="4">
        <f>_xlfn.IFNA(VLOOKUP(Grandview_Inventory[[#This Row],[living_area_range]],Lookups!$F$47:$H$56,3,FALSE),1)</f>
        <v>0.96120133463014379</v>
      </c>
      <c r="BX1537" s="4">
        <f>AVERAGE(Grandview_Inventory[[#This Row],[qual_adj]:[size_adj]])</f>
        <v>0.94785028601370724</v>
      </c>
      <c r="BY1537" s="6">
        <f>IF(Grandview_Inventory[[#This Row],[pre_res]]&lt;0,0,Grandview_Inventory[[#This Row],[pre_res]]*Grandview_Inventory[[#This Row],[overall_adj]])</f>
        <v>252517.31165919703</v>
      </c>
      <c r="BZ1537" s="6">
        <f>(Grandview_Inventory[[#This Row],[sum_land]]-IF(Grandview_Inventory[[#This Row],[no_utilities]]=1,12000,0))/IF(Grandview_Inventory[[#This Row],[unbuildable]]=1,2,1)</f>
        <v>45695.532079096141</v>
      </c>
      <c r="CA153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37">
        <f>ROUND(Grandview_Inventory[[#This Row],[det_value]]*Lookups!$M$28,-2)</f>
        <v>8100</v>
      </c>
      <c r="CC1537">
        <f>IF(ROUND(Grandview_Inventory[[#This Row],[adj_res]]*Lookups!$M$28,-2)&lt;Grandview_Inventory[[#This Row],[min_res]],Grandview_Inventory[[#This Row],[min_res]],ROUND(Grandview_Inventory[[#This Row],[adj_res]]*Lookups!$M$28,-2))</f>
        <v>239900</v>
      </c>
      <c r="CD1537">
        <f>Grandview_Inventory[[#This Row],[final_det]]+Grandview_Inventory[[#This Row],[final_res]]</f>
        <v>248000</v>
      </c>
      <c r="CE1537">
        <f>Grandview_Inventory[[#This Row],[final_land]]+Grandview_Inventory[[#This Row],[final_imp]]+Grandview_Inventory[[#This Row],[crop_value]]</f>
        <v>291400</v>
      </c>
      <c r="CG1537" t="str">
        <f t="shared" si="23"/>
        <v>update valuation set market_land =43400, market_bldg=248000, market_total =291400, market_mdno =401, market_date ='9/10/2023' where link_id = (select link_id from parcel where parcel_year = '2024' and parcel_id = '23092323554');</v>
      </c>
    </row>
    <row r="1538" spans="1:85" x14ac:dyDescent="0.25">
      <c r="A1538">
        <v>23092323555</v>
      </c>
      <c r="B1538">
        <v>0.18</v>
      </c>
      <c r="C1538">
        <v>7778</v>
      </c>
      <c r="D1538" t="s">
        <v>129</v>
      </c>
      <c r="E1538" t="s">
        <v>53</v>
      </c>
      <c r="F1538" t="s">
        <v>53</v>
      </c>
      <c r="G1538">
        <v>4</v>
      </c>
      <c r="H1538" t="s">
        <v>54</v>
      </c>
      <c r="I1538">
        <v>142500</v>
      </c>
      <c r="J1538">
        <v>39300</v>
      </c>
      <c r="K1538">
        <v>0.18</v>
      </c>
      <c r="L153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38">
        <v>0</v>
      </c>
      <c r="N1538">
        <v>0</v>
      </c>
      <c r="O1538">
        <v>0</v>
      </c>
      <c r="P1538">
        <v>13398.7528</v>
      </c>
      <c r="Q1538">
        <v>63903</v>
      </c>
      <c r="R1538">
        <f>(Grandview_Inventory[[#This Row],[ln_acres]]*Grandview_Inventory[[#This Row],[coeff]])+Grandview_Inventory[[#This Row],[const]]</f>
        <v>40926.839760167699</v>
      </c>
      <c r="S1538" t="s">
        <v>68</v>
      </c>
      <c r="T1538">
        <v>1</v>
      </c>
      <c r="U1538" t="s">
        <v>65</v>
      </c>
      <c r="V1538" t="s">
        <v>69</v>
      </c>
      <c r="W1538">
        <v>0</v>
      </c>
      <c r="X1538">
        <v>0</v>
      </c>
      <c r="Y1538">
        <v>57</v>
      </c>
      <c r="Z1538">
        <v>103</v>
      </c>
      <c r="AA1538">
        <v>110</v>
      </c>
      <c r="AB1538">
        <v>1500</v>
      </c>
      <c r="AC1538">
        <v>1463</v>
      </c>
      <c r="AD1538">
        <v>1463</v>
      </c>
      <c r="AE1538">
        <v>0</v>
      </c>
      <c r="AF1538">
        <v>0</v>
      </c>
      <c r="AG1538">
        <v>0</v>
      </c>
      <c r="AH1538">
        <v>200</v>
      </c>
      <c r="AI1538">
        <v>0</v>
      </c>
      <c r="AJ1538">
        <v>0</v>
      </c>
      <c r="AK1538">
        <v>0</v>
      </c>
      <c r="AL1538">
        <v>0</v>
      </c>
      <c r="AM1538">
        <v>256</v>
      </c>
      <c r="AN1538">
        <v>0</v>
      </c>
      <c r="AO1538">
        <v>256</v>
      </c>
      <c r="AP1538">
        <v>5</v>
      </c>
      <c r="AQ1538">
        <v>0</v>
      </c>
      <c r="AR1538">
        <v>1</v>
      </c>
      <c r="AS1538" t="s">
        <v>58</v>
      </c>
      <c r="AT1538">
        <v>1</v>
      </c>
      <c r="AU1538" t="s">
        <v>63</v>
      </c>
      <c r="AV1538" t="s">
        <v>64</v>
      </c>
      <c r="AW1538">
        <v>0</v>
      </c>
      <c r="AX1538">
        <v>2</v>
      </c>
      <c r="AY1538">
        <v>0</v>
      </c>
      <c r="AZ1538">
        <v>7100</v>
      </c>
      <c r="BA1538">
        <v>100</v>
      </c>
      <c r="BB1538">
        <v>100</v>
      </c>
      <c r="BC1538">
        <v>100</v>
      </c>
      <c r="BD1538">
        <v>100</v>
      </c>
      <c r="BE1538">
        <v>1</v>
      </c>
      <c r="BF1538">
        <v>15000</v>
      </c>
      <c r="BG1538">
        <v>1000</v>
      </c>
      <c r="BH1538" s="6">
        <f>Grandview_Inventory[[#This Row],[land_extract]]*Lookups!$B$3</f>
        <v>47528.228511015397</v>
      </c>
      <c r="BI1538" s="6">
        <f>IF(Grandview_Inventory[[#This Row],[bldg_style]]="",0,Lookups!$B$2)</f>
        <v>155833.95000000001</v>
      </c>
      <c r="BJ1538" s="6">
        <f>_xlfn.IFNA(VLOOKUP(Grandview_Inventory[[#This Row],[quality]],Lookups!$H$2:$J$14,3,FALSE),0)</f>
        <v>2251</v>
      </c>
      <c r="BK1538" s="6">
        <f>_xlfn.IFNA(VLOOKUP(Grandview_Inventory[[#This Row],[condition]],Lookups!$H$17:$J$24,3,FALSE),0)</f>
        <v>-4503</v>
      </c>
      <c r="BL1538" s="6">
        <f>Grandview_Inventory[[#This Row],[Eff_Age]]*Lookups!$B$14</f>
        <v>-13632.4962</v>
      </c>
      <c r="BM1538" s="6">
        <f>Grandview_Inventory[[#This Row],[living_area]]*Lookups!$B$15</f>
        <v>91263.187938999996</v>
      </c>
      <c r="BN1538" s="6">
        <f>Grandview_Inventory[[#This Row],[Fin BSMT]]*Lookups!$B$16</f>
        <v>0</v>
      </c>
      <c r="BO1538" s="6">
        <f>(Grandview_Inventory[[#This Row],[att_gar]]+Grandview_Inventory[[#This Row],[bltin_gar]])*Lookups!$B$17</f>
        <v>0</v>
      </c>
      <c r="BP1538" s="6">
        <f>Grandview_Inventory[[#This Row],[Plumbing Fixtures]]*Lookups!$B$18</f>
        <v>10052.209000000001</v>
      </c>
      <c r="BQ1538" s="6">
        <f>Grandview_Inventory[[#This Row],[detatched_value]]*Lookups!$B$19</f>
        <v>6012.31621</v>
      </c>
      <c r="BR1538" s="6">
        <f>SUM(Grandview_Inventory[[#This Row],[Intercept]:[det_value]])*Grandview_Inventory[[#This Row],[res_pct]]</f>
        <v>247277.16694900001</v>
      </c>
      <c r="BS1538" s="6">
        <f>Grandview_Inventory[[#This Row],[land_value]]</f>
        <v>47528.228511015397</v>
      </c>
      <c r="BT1538" s="4">
        <f>_xlfn.IFNA(VLOOKUP(Grandview_Inventory[[#This Row],[quality]],Lookups!$A$26:$C$33,3,FALSE),1)</f>
        <v>0.98763855981004833</v>
      </c>
      <c r="BU1538" s="4">
        <f>_xlfn.IFNA(VLOOKUP(Grandview_Inventory[[#This Row],[condition]],Lookups!$A$37:$C$44,3,FALSE),1)</f>
        <v>0.96469275950863709</v>
      </c>
      <c r="BV1538" s="4">
        <f>IF(Grandview_Inventory[[#This Row],[bldg_style]]="",1,_xlfn.IFNA(VLOOKUP(Grandview_Inventory[[#This Row],[decade]],Lookups!$F$29:$H$43,3,FALSE),1))</f>
        <v>0.92255236374249616</v>
      </c>
      <c r="BW1538" s="4">
        <f>_xlfn.IFNA(VLOOKUP(Grandview_Inventory[[#This Row],[living_area_range]],Lookups!$F$47:$H$56,3,FALSE),1)</f>
        <v>0.96135087979789358</v>
      </c>
      <c r="BX1538" s="4">
        <f>AVERAGE(Grandview_Inventory[[#This Row],[qual_adj]:[size_adj]])</f>
        <v>0.95905864071476876</v>
      </c>
      <c r="BY1538" s="6">
        <f>IF(Grandview_Inventory[[#This Row],[pre_res]]&lt;0,0,Grandview_Inventory[[#This Row],[pre_res]]*Grandview_Inventory[[#This Row],[overall_adj]])</f>
        <v>237153.3036139069</v>
      </c>
      <c r="BZ1538" s="6">
        <f>(Grandview_Inventory[[#This Row],[sum_land]]-IF(Grandview_Inventory[[#This Row],[no_utilities]]=1,12000,0))/IF(Grandview_Inventory[[#This Row],[unbuildable]]=1,2,1)</f>
        <v>47528.228511015397</v>
      </c>
      <c r="CA153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38">
        <f>ROUND(Grandview_Inventory[[#This Row],[det_value]]*Lookups!$M$28,-2)</f>
        <v>5700</v>
      </c>
      <c r="CC1538">
        <f>IF(ROUND(Grandview_Inventory[[#This Row],[adj_res]]*Lookups!$M$28,-2)&lt;Grandview_Inventory[[#This Row],[min_res]],Grandview_Inventory[[#This Row],[min_res]],ROUND(Grandview_Inventory[[#This Row],[adj_res]]*Lookups!$M$28,-2))</f>
        <v>225300</v>
      </c>
      <c r="CD1538">
        <f>Grandview_Inventory[[#This Row],[final_det]]+Grandview_Inventory[[#This Row],[final_res]]</f>
        <v>231000</v>
      </c>
      <c r="CE1538">
        <f>Grandview_Inventory[[#This Row],[final_land]]+Grandview_Inventory[[#This Row],[final_imp]]+Grandview_Inventory[[#This Row],[crop_value]]</f>
        <v>276200</v>
      </c>
      <c r="CG1538" t="str">
        <f t="shared" si="23"/>
        <v>update valuation set market_land =45200, market_bldg=231000, market_total =276200, market_mdno =401, market_date ='9/10/2023' where link_id = (select link_id from parcel where parcel_year = '2024' and parcel_id = '23092323555');</v>
      </c>
    </row>
    <row r="1539" spans="1:85" x14ac:dyDescent="0.25">
      <c r="A1539">
        <v>23092323556</v>
      </c>
      <c r="B1539">
        <v>0.21</v>
      </c>
      <c r="C1539">
        <v>9295</v>
      </c>
      <c r="D1539" t="s">
        <v>129</v>
      </c>
      <c r="E1539" t="s">
        <v>53</v>
      </c>
      <c r="F1539" t="s">
        <v>53</v>
      </c>
      <c r="G1539">
        <v>4</v>
      </c>
      <c r="H1539" t="s">
        <v>54</v>
      </c>
      <c r="I1539">
        <v>134600</v>
      </c>
      <c r="J1539">
        <v>39800</v>
      </c>
      <c r="K1539">
        <v>0.21</v>
      </c>
      <c r="L153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539">
        <v>0</v>
      </c>
      <c r="N1539">
        <v>0</v>
      </c>
      <c r="O1539">
        <v>0</v>
      </c>
      <c r="P1539">
        <v>13398.7528</v>
      </c>
      <c r="Q1539">
        <v>63903</v>
      </c>
      <c r="R1539">
        <f>(Grandview_Inventory[[#This Row],[ln_acres]]*Grandview_Inventory[[#This Row],[coeff]])+Grandview_Inventory[[#This Row],[const]]</f>
        <v>42992.266613125081</v>
      </c>
      <c r="S1539" t="s">
        <v>68</v>
      </c>
      <c r="T1539">
        <v>1</v>
      </c>
      <c r="U1539" t="s">
        <v>70</v>
      </c>
      <c r="V1539" t="s">
        <v>69</v>
      </c>
      <c r="W1539">
        <v>0</v>
      </c>
      <c r="X1539">
        <v>0</v>
      </c>
      <c r="Y1539">
        <v>55</v>
      </c>
      <c r="Z1539">
        <v>98</v>
      </c>
      <c r="AA1539">
        <v>100</v>
      </c>
      <c r="AB1539">
        <v>1500</v>
      </c>
      <c r="AC1539">
        <v>1111</v>
      </c>
      <c r="AD1539">
        <v>1111</v>
      </c>
      <c r="AE1539">
        <v>0</v>
      </c>
      <c r="AF1539">
        <v>0</v>
      </c>
      <c r="AG1539">
        <v>0</v>
      </c>
      <c r="AH1539">
        <v>556</v>
      </c>
      <c r="AI1539">
        <v>0</v>
      </c>
      <c r="AJ1539">
        <v>0</v>
      </c>
      <c r="AK1539">
        <v>0</v>
      </c>
      <c r="AL1539">
        <v>0</v>
      </c>
      <c r="AM1539">
        <v>336</v>
      </c>
      <c r="AN1539">
        <v>0</v>
      </c>
      <c r="AO1539">
        <v>336</v>
      </c>
      <c r="AP1539">
        <v>5</v>
      </c>
      <c r="AQ1539">
        <v>0</v>
      </c>
      <c r="AR1539">
        <v>0</v>
      </c>
      <c r="AS1539" t="s">
        <v>58</v>
      </c>
      <c r="AT1539">
        <v>1</v>
      </c>
      <c r="AU1539" t="s">
        <v>63</v>
      </c>
      <c r="AV1539" t="s">
        <v>60</v>
      </c>
      <c r="AW1539">
        <v>0</v>
      </c>
      <c r="AX1539">
        <v>3</v>
      </c>
      <c r="AY1539">
        <v>0</v>
      </c>
      <c r="AZ1539">
        <v>6900</v>
      </c>
      <c r="BA1539">
        <v>100</v>
      </c>
      <c r="BB1539">
        <v>100</v>
      </c>
      <c r="BC1539">
        <v>100</v>
      </c>
      <c r="BD1539">
        <v>100</v>
      </c>
      <c r="BE1539">
        <v>1</v>
      </c>
      <c r="BF1539">
        <v>15000</v>
      </c>
      <c r="BG1539">
        <v>1000</v>
      </c>
      <c r="BH1539" s="6">
        <f>Grandview_Inventory[[#This Row],[land_extract]]*Lookups!$B$3</f>
        <v>49926.8031387023</v>
      </c>
      <c r="BI1539" s="6">
        <f>IF(Grandview_Inventory[[#This Row],[bldg_style]]="",0,Lookups!$B$2)</f>
        <v>155833.95000000001</v>
      </c>
      <c r="BJ1539" s="6">
        <f>_xlfn.IFNA(VLOOKUP(Grandview_Inventory[[#This Row],[quality]],Lookups!$H$2:$J$14,3,FALSE),0)</f>
        <v>10733</v>
      </c>
      <c r="BK1539" s="6">
        <f>_xlfn.IFNA(VLOOKUP(Grandview_Inventory[[#This Row],[condition]],Lookups!$H$17:$J$24,3,FALSE),0)</f>
        <v>-4503</v>
      </c>
      <c r="BL1539" s="6">
        <f>Grandview_Inventory[[#This Row],[Eff_Age]]*Lookups!$B$14</f>
        <v>-13154.162999999999</v>
      </c>
      <c r="BM1539" s="6">
        <f>Grandview_Inventory[[#This Row],[living_area]]*Lookups!$B$15</f>
        <v>69305.127682999999</v>
      </c>
      <c r="BN1539" s="6">
        <f>Grandview_Inventory[[#This Row],[Fin BSMT]]*Lookups!$B$16</f>
        <v>0</v>
      </c>
      <c r="BO1539" s="6">
        <f>(Grandview_Inventory[[#This Row],[att_gar]]+Grandview_Inventory[[#This Row],[bltin_gar]])*Lookups!$B$17</f>
        <v>0</v>
      </c>
      <c r="BP1539" s="6">
        <f>Grandview_Inventory[[#This Row],[Plumbing Fixtures]]*Lookups!$B$18</f>
        <v>10052.209000000001</v>
      </c>
      <c r="BQ1539" s="6">
        <f>Grandview_Inventory[[#This Row],[detatched_value]]*Lookups!$B$19</f>
        <v>5842.9551899999997</v>
      </c>
      <c r="BR1539" s="6">
        <f>SUM(Grandview_Inventory[[#This Row],[Intercept]:[det_value]])*Grandview_Inventory[[#This Row],[res_pct]]</f>
        <v>234110.07887300002</v>
      </c>
      <c r="BS1539" s="6">
        <f>Grandview_Inventory[[#This Row],[land_value]]</f>
        <v>49926.8031387023</v>
      </c>
      <c r="BT1539" s="4">
        <f>_xlfn.IFNA(VLOOKUP(Grandview_Inventory[[#This Row],[quality]],Lookups!$A$26:$C$33,3,FALSE),1)</f>
        <v>0.98079741117310582</v>
      </c>
      <c r="BU1539" s="4">
        <f>_xlfn.IFNA(VLOOKUP(Grandview_Inventory[[#This Row],[condition]],Lookups!$A$37:$C$44,3,FALSE),1)</f>
        <v>0.96469275950863709</v>
      </c>
      <c r="BV1539" s="4">
        <f>IF(Grandview_Inventory[[#This Row],[bldg_style]]="",1,_xlfn.IFNA(VLOOKUP(Grandview_Inventory[[#This Row],[decade]],Lookups!$F$29:$H$43,3,FALSE),1))</f>
        <v>0.95244691841736806</v>
      </c>
      <c r="BW1539" s="4">
        <f>_xlfn.IFNA(VLOOKUP(Grandview_Inventory[[#This Row],[living_area_range]],Lookups!$F$47:$H$56,3,FALSE),1)</f>
        <v>0.96135087979789358</v>
      </c>
      <c r="BX1539" s="4">
        <f>AVERAGE(Grandview_Inventory[[#This Row],[qual_adj]:[size_adj]])</f>
        <v>0.96482199222425113</v>
      </c>
      <c r="BY1539" s="6">
        <f>IF(Grandview_Inventory[[#This Row],[pre_res]]&lt;0,0,Grandview_Inventory[[#This Row],[pre_res]]*Grandview_Inventory[[#This Row],[overall_adj]])</f>
        <v>225874.55269802443</v>
      </c>
      <c r="BZ1539" s="6">
        <f>(Grandview_Inventory[[#This Row],[sum_land]]-IF(Grandview_Inventory[[#This Row],[no_utilities]]=1,12000,0))/IF(Grandview_Inventory[[#This Row],[unbuildable]]=1,2,1)</f>
        <v>49926.8031387023</v>
      </c>
      <c r="CA153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539">
        <f>ROUND(Grandview_Inventory[[#This Row],[det_value]]*Lookups!$M$28,-2)</f>
        <v>5600</v>
      </c>
      <c r="CC1539">
        <f>IF(ROUND(Grandview_Inventory[[#This Row],[adj_res]]*Lookups!$M$28,-2)&lt;Grandview_Inventory[[#This Row],[min_res]],Grandview_Inventory[[#This Row],[min_res]],ROUND(Grandview_Inventory[[#This Row],[adj_res]]*Lookups!$M$28,-2))</f>
        <v>214600</v>
      </c>
      <c r="CD1539">
        <f>Grandview_Inventory[[#This Row],[final_det]]+Grandview_Inventory[[#This Row],[final_res]]</f>
        <v>220200</v>
      </c>
      <c r="CE1539">
        <f>Grandview_Inventory[[#This Row],[final_land]]+Grandview_Inventory[[#This Row],[final_imp]]+Grandview_Inventory[[#This Row],[crop_value]]</f>
        <v>267600</v>
      </c>
      <c r="CG1539" t="str">
        <f t="shared" ref="CG1539:CG1602" si="24">"update valuation set market_land ="&amp;CA1539&amp;", market_bldg="&amp;CD1539&amp;", market_total ="&amp;CE1539&amp;", market_mdno ="&amp;$CG$1&amp;", market_date ='"&amp;TEXT($CH$1,"m/d/yyyy")&amp;"' where link_id = (select link_id from parcel where parcel_year = '2024' and parcel_id = '"&amp;A1539&amp;"');"</f>
        <v>update valuation set market_land =47400, market_bldg=220200, market_total =267600, market_mdno =401, market_date ='9/10/2023' where link_id = (select link_id from parcel where parcel_year = '2024' and parcel_id = '23092323556');</v>
      </c>
    </row>
    <row r="1540" spans="1:85" x14ac:dyDescent="0.25">
      <c r="A1540">
        <v>23092323557</v>
      </c>
      <c r="B1540">
        <v>0.2</v>
      </c>
      <c r="C1540">
        <v>6570</v>
      </c>
      <c r="D1540" t="s">
        <v>129</v>
      </c>
      <c r="E1540" t="s">
        <v>53</v>
      </c>
      <c r="F1540" t="s">
        <v>53</v>
      </c>
      <c r="G1540">
        <v>4</v>
      </c>
      <c r="H1540" t="s">
        <v>54</v>
      </c>
      <c r="I1540">
        <v>71000</v>
      </c>
      <c r="J1540">
        <v>39000</v>
      </c>
      <c r="K1540">
        <v>0.2</v>
      </c>
      <c r="L154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540">
        <v>0</v>
      </c>
      <c r="N1540">
        <v>0</v>
      </c>
      <c r="O1540">
        <v>0</v>
      </c>
      <c r="P1540">
        <v>13398.7528</v>
      </c>
      <c r="Q1540">
        <v>63903</v>
      </c>
      <c r="R1540">
        <f>(Grandview_Inventory[[#This Row],[ln_acres]]*Grandview_Inventory[[#This Row],[coeff]])+Grandview_Inventory[[#This Row],[const]]</f>
        <v>42338.539264347448</v>
      </c>
      <c r="S1540" t="s">
        <v>68</v>
      </c>
      <c r="T1540">
        <v>1</v>
      </c>
      <c r="U1540" t="s">
        <v>83</v>
      </c>
      <c r="V1540" t="s">
        <v>78</v>
      </c>
      <c r="W1540">
        <v>0</v>
      </c>
      <c r="X1540">
        <v>0</v>
      </c>
      <c r="Y1540">
        <v>53</v>
      </c>
      <c r="Z1540">
        <v>93</v>
      </c>
      <c r="AA1540">
        <v>100</v>
      </c>
      <c r="AB1540">
        <v>500</v>
      </c>
      <c r="AC1540">
        <v>494</v>
      </c>
      <c r="AD1540">
        <v>494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16</v>
      </c>
      <c r="AO1540">
        <v>0</v>
      </c>
      <c r="AP1540">
        <v>5</v>
      </c>
      <c r="AQ1540">
        <v>0</v>
      </c>
      <c r="AR1540">
        <v>0</v>
      </c>
      <c r="AS1540" t="s">
        <v>58</v>
      </c>
      <c r="AT1540">
        <v>1</v>
      </c>
      <c r="AU1540" t="s">
        <v>75</v>
      </c>
      <c r="AV1540" t="s">
        <v>60</v>
      </c>
      <c r="AW1540">
        <v>0</v>
      </c>
      <c r="AX1540">
        <v>1</v>
      </c>
      <c r="AY1540">
        <v>0</v>
      </c>
      <c r="AZ1540">
        <v>0</v>
      </c>
      <c r="BA1540">
        <v>100</v>
      </c>
      <c r="BB1540">
        <v>100</v>
      </c>
      <c r="BC1540">
        <v>100</v>
      </c>
      <c r="BD1540">
        <v>100</v>
      </c>
      <c r="BE1540">
        <v>1</v>
      </c>
      <c r="BF1540">
        <v>15000</v>
      </c>
      <c r="BG1540">
        <v>1000</v>
      </c>
      <c r="BH1540" s="6">
        <f>Grandview_Inventory[[#This Row],[land_extract]]*Lookups!$B$3</f>
        <v>49167.631333630678</v>
      </c>
      <c r="BI1540" s="6">
        <f>IF(Grandview_Inventory[[#This Row],[bldg_style]]="",0,Lookups!$B$2)</f>
        <v>155833.95000000001</v>
      </c>
      <c r="BJ1540" s="6">
        <f>_xlfn.IFNA(VLOOKUP(Grandview_Inventory[[#This Row],[quality]],Lookups!$H$2:$J$14,3,FALSE),0)</f>
        <v>-28558</v>
      </c>
      <c r="BK1540" s="6">
        <f>_xlfn.IFNA(VLOOKUP(Grandview_Inventory[[#This Row],[condition]],Lookups!$H$17:$J$24,3,FALSE),0)</f>
        <v>-45357</v>
      </c>
      <c r="BL1540" s="6">
        <f>Grandview_Inventory[[#This Row],[Eff_Age]]*Lookups!$B$14</f>
        <v>-12675.8298</v>
      </c>
      <c r="BM1540" s="6">
        <f>Grandview_Inventory[[#This Row],[living_area]]*Lookups!$B$15</f>
        <v>30816.141382000002</v>
      </c>
      <c r="BN1540" s="6">
        <f>Grandview_Inventory[[#This Row],[Fin BSMT]]*Lookups!$B$16</f>
        <v>0</v>
      </c>
      <c r="BO1540" s="6">
        <f>(Grandview_Inventory[[#This Row],[att_gar]]+Grandview_Inventory[[#This Row],[bltin_gar]])*Lookups!$B$17</f>
        <v>0</v>
      </c>
      <c r="BP1540" s="6">
        <f>Grandview_Inventory[[#This Row],[Plumbing Fixtures]]*Lookups!$B$18</f>
        <v>10052.209000000001</v>
      </c>
      <c r="BQ1540" s="6">
        <f>Grandview_Inventory[[#This Row],[detatched_value]]*Lookups!$B$19</f>
        <v>0</v>
      </c>
      <c r="BR1540" s="6">
        <f>SUM(Grandview_Inventory[[#This Row],[Intercept]:[det_value]])*Grandview_Inventory[[#This Row],[res_pct]]</f>
        <v>110111.47058200001</v>
      </c>
      <c r="BS1540" s="6">
        <f>Grandview_Inventory[[#This Row],[land_value]]</f>
        <v>49167.631333630678</v>
      </c>
      <c r="BT1540" s="4">
        <f>_xlfn.IFNA(VLOOKUP(Grandview_Inventory[[#This Row],[quality]],Lookups!$A$26:$C$33,3,FALSE),1)</f>
        <v>0.96329552998502799</v>
      </c>
      <c r="BU1540" s="4">
        <f>_xlfn.IFNA(VLOOKUP(Grandview_Inventory[[#This Row],[condition]],Lookups!$A$37:$C$44,3,FALSE),1)</f>
        <v>0.97161819570155394</v>
      </c>
      <c r="BV1540" s="4">
        <f>IF(Grandview_Inventory[[#This Row],[bldg_style]]="",1,_xlfn.IFNA(VLOOKUP(Grandview_Inventory[[#This Row],[decade]],Lookups!$F$29:$H$43,3,FALSE),1))</f>
        <v>0.95244691841736806</v>
      </c>
      <c r="BW1540" s="4">
        <f>_xlfn.IFNA(VLOOKUP(Grandview_Inventory[[#This Row],[living_area_range]],Lookups!$F$47:$H$56,3,FALSE),1)</f>
        <v>0.94306777142782894</v>
      </c>
      <c r="BX1540" s="4">
        <f>AVERAGE(Grandview_Inventory[[#This Row],[qual_adj]:[size_adj]])</f>
        <v>0.95760710388294468</v>
      </c>
      <c r="BY1540" s="6">
        <f>IF(Grandview_Inventory[[#This Row],[pre_res]]&lt;0,0,Grandview_Inventory[[#This Row],[pre_res]]*Grandview_Inventory[[#This Row],[overall_adj]])</f>
        <v>105443.52644832109</v>
      </c>
      <c r="BZ1540" s="6">
        <f>(Grandview_Inventory[[#This Row],[sum_land]]-IF(Grandview_Inventory[[#This Row],[no_utilities]]=1,12000,0))/IF(Grandview_Inventory[[#This Row],[unbuildable]]=1,2,1)</f>
        <v>49167.631333630678</v>
      </c>
      <c r="CA154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540">
        <f>ROUND(Grandview_Inventory[[#This Row],[det_value]]*Lookups!$M$28,-2)</f>
        <v>0</v>
      </c>
      <c r="CC1540">
        <f>IF(ROUND(Grandview_Inventory[[#This Row],[adj_res]]*Lookups!$M$28,-2)&lt;Grandview_Inventory[[#This Row],[min_res]],Grandview_Inventory[[#This Row],[min_res]],ROUND(Grandview_Inventory[[#This Row],[adj_res]]*Lookups!$M$28,-2))</f>
        <v>100200</v>
      </c>
      <c r="CD1540">
        <f>Grandview_Inventory[[#This Row],[final_det]]+Grandview_Inventory[[#This Row],[final_res]]</f>
        <v>100200</v>
      </c>
      <c r="CE1540">
        <f>Grandview_Inventory[[#This Row],[final_land]]+Grandview_Inventory[[#This Row],[final_imp]]+Grandview_Inventory[[#This Row],[crop_value]]</f>
        <v>146900</v>
      </c>
      <c r="CG1540" t="str">
        <f t="shared" si="24"/>
        <v>update valuation set market_land =46700, market_bldg=100200, market_total =146900, market_mdno =401, market_date ='9/10/2023' where link_id = (select link_id from parcel where parcel_year = '2024' and parcel_id = '23092323557');</v>
      </c>
    </row>
    <row r="1541" spans="1:85" x14ac:dyDescent="0.25">
      <c r="A1541">
        <v>23092323558</v>
      </c>
      <c r="B1541">
        <v>0.2</v>
      </c>
      <c r="C1541">
        <v>7857</v>
      </c>
      <c r="D1541" t="s">
        <v>129</v>
      </c>
      <c r="E1541" t="s">
        <v>53</v>
      </c>
      <c r="F1541" t="s">
        <v>53</v>
      </c>
      <c r="G1541">
        <v>4</v>
      </c>
      <c r="H1541" t="s">
        <v>54</v>
      </c>
      <c r="I1541">
        <v>148400</v>
      </c>
      <c r="J1541">
        <v>39300</v>
      </c>
      <c r="K1541">
        <v>0.2</v>
      </c>
      <c r="L154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541">
        <v>0</v>
      </c>
      <c r="N1541">
        <v>0</v>
      </c>
      <c r="O1541">
        <v>0</v>
      </c>
      <c r="P1541">
        <v>13398.7528</v>
      </c>
      <c r="Q1541">
        <v>63903</v>
      </c>
      <c r="R1541">
        <f>(Grandview_Inventory[[#This Row],[ln_acres]]*Grandview_Inventory[[#This Row],[coeff]])+Grandview_Inventory[[#This Row],[const]]</f>
        <v>42338.539264347448</v>
      </c>
      <c r="S1541" t="s">
        <v>68</v>
      </c>
      <c r="T1541">
        <v>1</v>
      </c>
      <c r="U1541" t="s">
        <v>70</v>
      </c>
      <c r="V1541" t="s">
        <v>67</v>
      </c>
      <c r="W1541">
        <v>0</v>
      </c>
      <c r="X1541">
        <v>0</v>
      </c>
      <c r="Y1541">
        <v>52</v>
      </c>
      <c r="Z1541">
        <v>88</v>
      </c>
      <c r="AA1541">
        <v>90</v>
      </c>
      <c r="AB1541">
        <v>1000</v>
      </c>
      <c r="AC1541">
        <v>913</v>
      </c>
      <c r="AD1541">
        <v>913</v>
      </c>
      <c r="AE1541">
        <v>0</v>
      </c>
      <c r="AF1541">
        <v>0</v>
      </c>
      <c r="AG1541">
        <v>0</v>
      </c>
      <c r="AH1541">
        <v>80</v>
      </c>
      <c r="AI1541">
        <v>0</v>
      </c>
      <c r="AJ1541">
        <v>0</v>
      </c>
      <c r="AK1541">
        <v>0</v>
      </c>
      <c r="AL1541">
        <v>0</v>
      </c>
      <c r="AM1541">
        <v>545</v>
      </c>
      <c r="AN1541">
        <v>0</v>
      </c>
      <c r="AO1541">
        <v>96</v>
      </c>
      <c r="AP1541">
        <v>5</v>
      </c>
      <c r="AQ1541">
        <v>0</v>
      </c>
      <c r="AR1541">
        <v>0</v>
      </c>
      <c r="AS1541" t="s">
        <v>58</v>
      </c>
      <c r="AT1541">
        <v>1</v>
      </c>
      <c r="AU1541" t="s">
        <v>75</v>
      </c>
      <c r="AV1541" t="s">
        <v>60</v>
      </c>
      <c r="AW1541">
        <v>0</v>
      </c>
      <c r="AX1541">
        <v>2</v>
      </c>
      <c r="AY1541">
        <v>0</v>
      </c>
      <c r="AZ1541">
        <v>0</v>
      </c>
      <c r="BA1541">
        <v>100</v>
      </c>
      <c r="BB1541">
        <v>100</v>
      </c>
      <c r="BC1541">
        <v>100</v>
      </c>
      <c r="BD1541">
        <v>100</v>
      </c>
      <c r="BE1541">
        <v>1</v>
      </c>
      <c r="BF1541">
        <v>15000</v>
      </c>
      <c r="BG1541">
        <v>1000</v>
      </c>
      <c r="BH1541" s="6">
        <f>Grandview_Inventory[[#This Row],[land_extract]]*Lookups!$B$3</f>
        <v>49167.631333630678</v>
      </c>
      <c r="BI1541" s="6">
        <f>IF(Grandview_Inventory[[#This Row],[bldg_style]]="",0,Lookups!$B$2)</f>
        <v>155833.95000000001</v>
      </c>
      <c r="BJ1541" s="6">
        <f>_xlfn.IFNA(VLOOKUP(Grandview_Inventory[[#This Row],[quality]],Lookups!$H$2:$J$14,3,FALSE),0)</f>
        <v>10733</v>
      </c>
      <c r="BK1541" s="6">
        <f>_xlfn.IFNA(VLOOKUP(Grandview_Inventory[[#This Row],[condition]],Lookups!$H$17:$J$24,3,FALSE),0)</f>
        <v>22342</v>
      </c>
      <c r="BL1541" s="6">
        <f>Grandview_Inventory[[#This Row],[Eff_Age]]*Lookups!$B$14</f>
        <v>-12436.663199999999</v>
      </c>
      <c r="BM1541" s="6">
        <f>Grandview_Inventory[[#This Row],[living_area]]*Lookups!$B$15</f>
        <v>56953.718788999999</v>
      </c>
      <c r="BN1541" s="6">
        <f>Grandview_Inventory[[#This Row],[Fin BSMT]]*Lookups!$B$16</f>
        <v>0</v>
      </c>
      <c r="BO1541" s="6">
        <f>(Grandview_Inventory[[#This Row],[att_gar]]+Grandview_Inventory[[#This Row],[bltin_gar]])*Lookups!$B$17</f>
        <v>0</v>
      </c>
      <c r="BP1541" s="6">
        <f>Grandview_Inventory[[#This Row],[Plumbing Fixtures]]*Lookups!$B$18</f>
        <v>10052.209000000001</v>
      </c>
      <c r="BQ1541" s="6">
        <f>Grandview_Inventory[[#This Row],[detatched_value]]*Lookups!$B$19</f>
        <v>0</v>
      </c>
      <c r="BR1541" s="6">
        <f>SUM(Grandview_Inventory[[#This Row],[Intercept]:[det_value]])*Grandview_Inventory[[#This Row],[res_pct]]</f>
        <v>243478.21458900001</v>
      </c>
      <c r="BS1541" s="6">
        <f>Grandview_Inventory[[#This Row],[land_value]]</f>
        <v>49167.631333630678</v>
      </c>
      <c r="BT1541" s="4">
        <f>_xlfn.IFNA(VLOOKUP(Grandview_Inventory[[#This Row],[quality]],Lookups!$A$26:$C$33,3,FALSE),1)</f>
        <v>0.98079741117310582</v>
      </c>
      <c r="BU1541" s="4">
        <f>_xlfn.IFNA(VLOOKUP(Grandview_Inventory[[#This Row],[condition]],Lookups!$A$37:$C$44,3,FALSE),1)</f>
        <v>0.97383723671140243</v>
      </c>
      <c r="BV1541" s="4">
        <f>IF(Grandview_Inventory[[#This Row],[bldg_style]]="",1,_xlfn.IFNA(VLOOKUP(Grandview_Inventory[[#This Row],[decade]],Lookups!$F$29:$H$43,3,FALSE),1))</f>
        <v>0.94161750052457416</v>
      </c>
      <c r="BW1541" s="4">
        <f>_xlfn.IFNA(VLOOKUP(Grandview_Inventory[[#This Row],[living_area_range]],Lookups!$F$47:$H$56,3,FALSE),1)</f>
        <v>0.94306777142782894</v>
      </c>
      <c r="BX1541" s="4">
        <f>AVERAGE(Grandview_Inventory[[#This Row],[qual_adj]:[size_adj]])</f>
        <v>0.95982997995922781</v>
      </c>
      <c r="BY1541" s="6">
        <f>IF(Grandview_Inventory[[#This Row],[pre_res]]&lt;0,0,Grandview_Inventory[[#This Row],[pre_res]]*Grandview_Inventory[[#This Row],[overall_adj]])</f>
        <v>233697.68982946844</v>
      </c>
      <c r="BZ1541" s="6">
        <f>(Grandview_Inventory[[#This Row],[sum_land]]-IF(Grandview_Inventory[[#This Row],[no_utilities]]=1,12000,0))/IF(Grandview_Inventory[[#This Row],[unbuildable]]=1,2,1)</f>
        <v>49167.631333630678</v>
      </c>
      <c r="CA154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541">
        <f>ROUND(Grandview_Inventory[[#This Row],[det_value]]*Lookups!$M$28,-2)</f>
        <v>0</v>
      </c>
      <c r="CC1541">
        <f>IF(ROUND(Grandview_Inventory[[#This Row],[adj_res]]*Lookups!$M$28,-2)&lt;Grandview_Inventory[[#This Row],[min_res]],Grandview_Inventory[[#This Row],[min_res]],ROUND(Grandview_Inventory[[#This Row],[adj_res]]*Lookups!$M$28,-2))</f>
        <v>222000</v>
      </c>
      <c r="CD1541">
        <f>Grandview_Inventory[[#This Row],[final_det]]+Grandview_Inventory[[#This Row],[final_res]]</f>
        <v>222000</v>
      </c>
      <c r="CE1541">
        <f>Grandview_Inventory[[#This Row],[final_land]]+Grandview_Inventory[[#This Row],[final_imp]]+Grandview_Inventory[[#This Row],[crop_value]]</f>
        <v>268700</v>
      </c>
      <c r="CG1541" t="str">
        <f t="shared" si="24"/>
        <v>update valuation set market_land =46700, market_bldg=222000, market_total =268700, market_mdno =401, market_date ='9/10/2023' where link_id = (select link_id from parcel where parcel_year = '2024' and parcel_id = '23092323558');</v>
      </c>
    </row>
    <row r="1542" spans="1:85" x14ac:dyDescent="0.25">
      <c r="A1542">
        <v>23092323559</v>
      </c>
      <c r="B1542">
        <v>0.19</v>
      </c>
      <c r="C1542">
        <v>8326</v>
      </c>
      <c r="D1542" t="s">
        <v>129</v>
      </c>
      <c r="E1542" t="s">
        <v>53</v>
      </c>
      <c r="F1542" t="s">
        <v>53</v>
      </c>
      <c r="G1542">
        <v>4</v>
      </c>
      <c r="H1542" t="s">
        <v>54</v>
      </c>
      <c r="I1542">
        <v>135100</v>
      </c>
      <c r="J1542">
        <v>39700</v>
      </c>
      <c r="K1542">
        <v>0.19</v>
      </c>
      <c r="L154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42">
        <v>0</v>
      </c>
      <c r="N1542">
        <v>0</v>
      </c>
      <c r="O1542">
        <v>0</v>
      </c>
      <c r="P1542">
        <v>13398.7528</v>
      </c>
      <c r="Q1542">
        <v>63903</v>
      </c>
      <c r="R1542">
        <f>(Grandview_Inventory[[#This Row],[ln_acres]]*Grandview_Inventory[[#This Row],[coeff]])+Grandview_Inventory[[#This Row],[const]]</f>
        <v>41651.273092551026</v>
      </c>
      <c r="S1542" t="s">
        <v>68</v>
      </c>
      <c r="T1542">
        <v>1</v>
      </c>
      <c r="U1542" t="s">
        <v>70</v>
      </c>
      <c r="V1542" t="s">
        <v>69</v>
      </c>
      <c r="W1542">
        <v>0</v>
      </c>
      <c r="X1542">
        <v>0</v>
      </c>
      <c r="Y1542">
        <v>52</v>
      </c>
      <c r="Z1542">
        <v>85</v>
      </c>
      <c r="AA1542">
        <v>90</v>
      </c>
      <c r="AB1542">
        <v>1500</v>
      </c>
      <c r="AC1542">
        <v>1152</v>
      </c>
      <c r="AD1542">
        <v>1152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16</v>
      </c>
      <c r="AO1542">
        <v>0</v>
      </c>
      <c r="AP1542">
        <v>8</v>
      </c>
      <c r="AQ1542">
        <v>0</v>
      </c>
      <c r="AR1542">
        <v>0</v>
      </c>
      <c r="AS1542" t="s">
        <v>58</v>
      </c>
      <c r="AT1542">
        <v>1</v>
      </c>
      <c r="AU1542" t="s">
        <v>63</v>
      </c>
      <c r="AV1542" t="s">
        <v>60</v>
      </c>
      <c r="AW1542">
        <v>0</v>
      </c>
      <c r="AX1542">
        <v>3</v>
      </c>
      <c r="AY1542">
        <v>0</v>
      </c>
      <c r="AZ1542">
        <v>1000</v>
      </c>
      <c r="BA1542">
        <v>100</v>
      </c>
      <c r="BB1542">
        <v>100</v>
      </c>
      <c r="BC1542">
        <v>100</v>
      </c>
      <c r="BD1542">
        <v>100</v>
      </c>
      <c r="BE1542">
        <v>1</v>
      </c>
      <c r="BF1542">
        <v>15000</v>
      </c>
      <c r="BG1542">
        <v>1000</v>
      </c>
      <c r="BH1542" s="6">
        <f>Grandview_Inventory[[#This Row],[land_extract]]*Lookups!$B$3</f>
        <v>48369.510983942157</v>
      </c>
      <c r="BI1542" s="6">
        <f>IF(Grandview_Inventory[[#This Row],[bldg_style]]="",0,Lookups!$B$2)</f>
        <v>155833.95000000001</v>
      </c>
      <c r="BJ1542" s="6">
        <f>_xlfn.IFNA(VLOOKUP(Grandview_Inventory[[#This Row],[quality]],Lookups!$H$2:$J$14,3,FALSE),0)</f>
        <v>10733</v>
      </c>
      <c r="BK1542" s="6">
        <f>_xlfn.IFNA(VLOOKUP(Grandview_Inventory[[#This Row],[condition]],Lookups!$H$17:$J$24,3,FALSE),0)</f>
        <v>-4503</v>
      </c>
      <c r="BL1542" s="6">
        <f>Grandview_Inventory[[#This Row],[Eff_Age]]*Lookups!$B$14</f>
        <v>-12436.663199999999</v>
      </c>
      <c r="BM1542" s="6">
        <f>Grandview_Inventory[[#This Row],[living_area]]*Lookups!$B$15</f>
        <v>71862.742656000002</v>
      </c>
      <c r="BN1542" s="6">
        <f>Grandview_Inventory[[#This Row],[Fin BSMT]]*Lookups!$B$16</f>
        <v>0</v>
      </c>
      <c r="BO1542" s="6">
        <f>(Grandview_Inventory[[#This Row],[att_gar]]+Grandview_Inventory[[#This Row],[bltin_gar]])*Lookups!$B$17</f>
        <v>0</v>
      </c>
      <c r="BP1542" s="6">
        <f>Grandview_Inventory[[#This Row],[Plumbing Fixtures]]*Lookups!$B$18</f>
        <v>16083.5344</v>
      </c>
      <c r="BQ1542" s="6">
        <f>Grandview_Inventory[[#This Row],[detatched_value]]*Lookups!$B$19</f>
        <v>846.80509999999992</v>
      </c>
      <c r="BR1542" s="6">
        <f>SUM(Grandview_Inventory[[#This Row],[Intercept]:[det_value]])*Grandview_Inventory[[#This Row],[res_pct]]</f>
        <v>238420.36895600002</v>
      </c>
      <c r="BS1542" s="6">
        <f>Grandview_Inventory[[#This Row],[land_value]]</f>
        <v>48369.510983942157</v>
      </c>
      <c r="BT1542" s="4">
        <f>_xlfn.IFNA(VLOOKUP(Grandview_Inventory[[#This Row],[quality]],Lookups!$A$26:$C$33,3,FALSE),1)</f>
        <v>0.98079741117310582</v>
      </c>
      <c r="BU1542" s="4">
        <f>_xlfn.IFNA(VLOOKUP(Grandview_Inventory[[#This Row],[condition]],Lookups!$A$37:$C$44,3,FALSE),1)</f>
        <v>0.96469275950863709</v>
      </c>
      <c r="BV1542" s="4">
        <f>IF(Grandview_Inventory[[#This Row],[bldg_style]]="",1,_xlfn.IFNA(VLOOKUP(Grandview_Inventory[[#This Row],[decade]],Lookups!$F$29:$H$43,3,FALSE),1))</f>
        <v>0.94161750052457416</v>
      </c>
      <c r="BW1542" s="4">
        <f>_xlfn.IFNA(VLOOKUP(Grandview_Inventory[[#This Row],[living_area_range]],Lookups!$F$47:$H$56,3,FALSE),1)</f>
        <v>0.96135087979789358</v>
      </c>
      <c r="BX1542" s="4">
        <f>AVERAGE(Grandview_Inventory[[#This Row],[qual_adj]:[size_adj]])</f>
        <v>0.96211463775105266</v>
      </c>
      <c r="BY1542" s="6">
        <f>IF(Grandview_Inventory[[#This Row],[pre_res]]&lt;0,0,Grandview_Inventory[[#This Row],[pre_res]]*Grandview_Inventory[[#This Row],[overall_adj]])</f>
        <v>229387.72691057427</v>
      </c>
      <c r="BZ1542" s="6">
        <f>(Grandview_Inventory[[#This Row],[sum_land]]-IF(Grandview_Inventory[[#This Row],[no_utilities]]=1,12000,0))/IF(Grandview_Inventory[[#This Row],[unbuildable]]=1,2,1)</f>
        <v>48369.510983942157</v>
      </c>
      <c r="CA154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42">
        <f>ROUND(Grandview_Inventory[[#This Row],[det_value]]*Lookups!$M$28,-2)</f>
        <v>800</v>
      </c>
      <c r="CC1542">
        <f>IF(ROUND(Grandview_Inventory[[#This Row],[adj_res]]*Lookups!$M$28,-2)&lt;Grandview_Inventory[[#This Row],[min_res]],Grandview_Inventory[[#This Row],[min_res]],ROUND(Grandview_Inventory[[#This Row],[adj_res]]*Lookups!$M$28,-2))</f>
        <v>217900</v>
      </c>
      <c r="CD1542">
        <f>Grandview_Inventory[[#This Row],[final_det]]+Grandview_Inventory[[#This Row],[final_res]]</f>
        <v>218700</v>
      </c>
      <c r="CE1542">
        <f>Grandview_Inventory[[#This Row],[final_land]]+Grandview_Inventory[[#This Row],[final_imp]]+Grandview_Inventory[[#This Row],[crop_value]]</f>
        <v>264700</v>
      </c>
      <c r="CG1542" t="str">
        <f t="shared" si="24"/>
        <v>update valuation set market_land =46000, market_bldg=218700, market_total =264700, market_mdno =401, market_date ='9/10/2023' where link_id = (select link_id from parcel where parcel_year = '2024' and parcel_id = '23092323559');</v>
      </c>
    </row>
    <row r="1543" spans="1:85" x14ac:dyDescent="0.25">
      <c r="A1543">
        <v>23092323560</v>
      </c>
      <c r="B1543">
        <v>0.15</v>
      </c>
      <c r="C1543">
        <v>6682</v>
      </c>
      <c r="D1543" t="s">
        <v>129</v>
      </c>
      <c r="E1543" t="s">
        <v>53</v>
      </c>
      <c r="F1543" t="s">
        <v>53</v>
      </c>
      <c r="G1543">
        <v>4</v>
      </c>
      <c r="H1543" t="s">
        <v>54</v>
      </c>
      <c r="I1543">
        <v>141400</v>
      </c>
      <c r="J1543">
        <v>39000</v>
      </c>
      <c r="K1543">
        <v>0.15</v>
      </c>
      <c r="L1543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43">
        <v>0</v>
      </c>
      <c r="N1543">
        <v>0</v>
      </c>
      <c r="O1543">
        <v>0</v>
      </c>
      <c r="P1543">
        <v>13398.7528</v>
      </c>
      <c r="Q1543">
        <v>63903</v>
      </c>
      <c r="R1543">
        <f>(Grandview_Inventory[[#This Row],[ln_acres]]*Grandview_Inventory[[#This Row],[coeff]])+Grandview_Inventory[[#This Row],[const]]</f>
        <v>38483.958290574345</v>
      </c>
      <c r="S1543" t="s">
        <v>68</v>
      </c>
      <c r="T1543">
        <v>1</v>
      </c>
      <c r="U1543" t="s">
        <v>70</v>
      </c>
      <c r="V1543" t="s">
        <v>69</v>
      </c>
      <c r="W1543">
        <v>0</v>
      </c>
      <c r="X1543">
        <v>0</v>
      </c>
      <c r="Y1543">
        <v>53</v>
      </c>
      <c r="Z1543">
        <v>93</v>
      </c>
      <c r="AA1543">
        <v>100</v>
      </c>
      <c r="AB1543">
        <v>1500</v>
      </c>
      <c r="AC1543">
        <v>1396</v>
      </c>
      <c r="AD1543">
        <v>1396</v>
      </c>
      <c r="AE1543">
        <v>0</v>
      </c>
      <c r="AF1543">
        <v>0</v>
      </c>
      <c r="AG1543">
        <v>0</v>
      </c>
      <c r="AH1543">
        <v>280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60</v>
      </c>
      <c r="AO1543">
        <v>0</v>
      </c>
      <c r="AP1543">
        <v>7</v>
      </c>
      <c r="AQ1543">
        <v>0</v>
      </c>
      <c r="AR1543">
        <v>0</v>
      </c>
      <c r="AS1543" t="s">
        <v>58</v>
      </c>
      <c r="AT1543">
        <v>0</v>
      </c>
      <c r="AU1543" t="s">
        <v>82</v>
      </c>
      <c r="AV1543" t="s">
        <v>64</v>
      </c>
      <c r="AW1543">
        <v>0</v>
      </c>
      <c r="AX1543">
        <v>4</v>
      </c>
      <c r="AY1543">
        <v>0</v>
      </c>
      <c r="AZ1543">
        <v>5400</v>
      </c>
      <c r="BA1543">
        <v>100</v>
      </c>
      <c r="BB1543">
        <v>100</v>
      </c>
      <c r="BC1543">
        <v>100</v>
      </c>
      <c r="BD1543">
        <v>100</v>
      </c>
      <c r="BE1543">
        <v>1</v>
      </c>
      <c r="BF1543">
        <v>15000</v>
      </c>
      <c r="BG1543">
        <v>1000</v>
      </c>
      <c r="BH1543" s="6">
        <f>Grandview_Inventory[[#This Row],[land_extract]]*Lookups!$B$3</f>
        <v>44691.316856156598</v>
      </c>
      <c r="BI1543" s="6">
        <f>IF(Grandview_Inventory[[#This Row],[bldg_style]]="",0,Lookups!$B$2)</f>
        <v>155833.95000000001</v>
      </c>
      <c r="BJ1543" s="6">
        <f>_xlfn.IFNA(VLOOKUP(Grandview_Inventory[[#This Row],[quality]],Lookups!$H$2:$J$14,3,FALSE),0)</f>
        <v>10733</v>
      </c>
      <c r="BK1543" s="6">
        <f>_xlfn.IFNA(VLOOKUP(Grandview_Inventory[[#This Row],[condition]],Lookups!$H$17:$J$24,3,FALSE),0)</f>
        <v>-4503</v>
      </c>
      <c r="BL1543" s="6">
        <f>Grandview_Inventory[[#This Row],[Eff_Age]]*Lookups!$B$14</f>
        <v>-12675.8298</v>
      </c>
      <c r="BM1543" s="6">
        <f>Grandview_Inventory[[#This Row],[living_area]]*Lookups!$B$15</f>
        <v>87083.670788000003</v>
      </c>
      <c r="BN1543" s="6">
        <f>Grandview_Inventory[[#This Row],[Fin BSMT]]*Lookups!$B$16</f>
        <v>0</v>
      </c>
      <c r="BO1543" s="6">
        <f>(Grandview_Inventory[[#This Row],[att_gar]]+Grandview_Inventory[[#This Row],[bltin_gar]])*Lookups!$B$17</f>
        <v>0</v>
      </c>
      <c r="BP1543" s="6">
        <f>Grandview_Inventory[[#This Row],[Plumbing Fixtures]]*Lookups!$B$18</f>
        <v>14073.0926</v>
      </c>
      <c r="BQ1543" s="6">
        <f>Grandview_Inventory[[#This Row],[detatched_value]]*Lookups!$B$19</f>
        <v>4572.7475400000003</v>
      </c>
      <c r="BR1543" s="6">
        <f>SUM(Grandview_Inventory[[#This Row],[Intercept]:[det_value]])*Grandview_Inventory[[#This Row],[res_pct]]</f>
        <v>255117.63112800001</v>
      </c>
      <c r="BS1543" s="6">
        <f>Grandview_Inventory[[#This Row],[land_value]]</f>
        <v>44691.316856156598</v>
      </c>
      <c r="BT1543" s="4">
        <f>_xlfn.IFNA(VLOOKUP(Grandview_Inventory[[#This Row],[quality]],Lookups!$A$26:$C$33,3,FALSE),1)</f>
        <v>0.98079741117310582</v>
      </c>
      <c r="BU1543" s="4">
        <f>_xlfn.IFNA(VLOOKUP(Grandview_Inventory[[#This Row],[condition]],Lookups!$A$37:$C$44,3,FALSE),1)</f>
        <v>0.96469275950863709</v>
      </c>
      <c r="BV1543" s="4">
        <f>IF(Grandview_Inventory[[#This Row],[bldg_style]]="",1,_xlfn.IFNA(VLOOKUP(Grandview_Inventory[[#This Row],[decade]],Lookups!$F$29:$H$43,3,FALSE),1))</f>
        <v>0.95244691841736806</v>
      </c>
      <c r="BW1543" s="4">
        <f>_xlfn.IFNA(VLOOKUP(Grandview_Inventory[[#This Row],[living_area_range]],Lookups!$F$47:$H$56,3,FALSE),1)</f>
        <v>0.96135087979789358</v>
      </c>
      <c r="BX1543" s="4">
        <f>AVERAGE(Grandview_Inventory[[#This Row],[qual_adj]:[size_adj]])</f>
        <v>0.96482199222425113</v>
      </c>
      <c r="BY1543" s="6">
        <f>IF(Grandview_Inventory[[#This Row],[pre_res]]&lt;0,0,Grandview_Inventory[[#This Row],[pre_res]]*Grandview_Inventory[[#This Row],[overall_adj]])</f>
        <v>246143.10111644858</v>
      </c>
      <c r="BZ1543" s="6">
        <f>(Grandview_Inventory[[#This Row],[sum_land]]-IF(Grandview_Inventory[[#This Row],[no_utilities]]=1,12000,0))/IF(Grandview_Inventory[[#This Row],[unbuildable]]=1,2,1)</f>
        <v>44691.316856156598</v>
      </c>
      <c r="CA1543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43">
        <f>ROUND(Grandview_Inventory[[#This Row],[det_value]]*Lookups!$M$28,-2)</f>
        <v>4300</v>
      </c>
      <c r="CC1543">
        <f>IF(ROUND(Grandview_Inventory[[#This Row],[adj_res]]*Lookups!$M$28,-2)&lt;Grandview_Inventory[[#This Row],[min_res]],Grandview_Inventory[[#This Row],[min_res]],ROUND(Grandview_Inventory[[#This Row],[adj_res]]*Lookups!$M$28,-2))</f>
        <v>233800</v>
      </c>
      <c r="CD1543">
        <f>Grandview_Inventory[[#This Row],[final_det]]+Grandview_Inventory[[#This Row],[final_res]]</f>
        <v>238100</v>
      </c>
      <c r="CE1543">
        <f>Grandview_Inventory[[#This Row],[final_land]]+Grandview_Inventory[[#This Row],[final_imp]]+Grandview_Inventory[[#This Row],[crop_value]]</f>
        <v>280600</v>
      </c>
      <c r="CG1543" t="str">
        <f t="shared" si="24"/>
        <v>update valuation set market_land =42500, market_bldg=238100, market_total =280600, market_mdno =401, market_date ='9/10/2023' where link_id = (select link_id from parcel where parcel_year = '2024' and parcel_id = '23092323560');</v>
      </c>
    </row>
    <row r="1544" spans="1:85" x14ac:dyDescent="0.25">
      <c r="A1544">
        <v>23092323562</v>
      </c>
      <c r="B1544">
        <v>0.18</v>
      </c>
      <c r="C1544">
        <v>7665</v>
      </c>
      <c r="D1544" t="s">
        <v>129</v>
      </c>
      <c r="E1544" t="s">
        <v>53</v>
      </c>
      <c r="F1544" t="s">
        <v>53</v>
      </c>
      <c r="G1544">
        <v>4</v>
      </c>
      <c r="H1544" t="s">
        <v>54</v>
      </c>
      <c r="I1544">
        <v>108900</v>
      </c>
      <c r="J1544">
        <v>39300</v>
      </c>
      <c r="K1544">
        <v>0.18</v>
      </c>
      <c r="L154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44">
        <v>0</v>
      </c>
      <c r="N1544">
        <v>0</v>
      </c>
      <c r="O1544">
        <v>0</v>
      </c>
      <c r="P1544">
        <v>13398.7528</v>
      </c>
      <c r="Q1544">
        <v>63903</v>
      </c>
      <c r="R1544">
        <f>(Grandview_Inventory[[#This Row],[ln_acres]]*Grandview_Inventory[[#This Row],[coeff]])+Grandview_Inventory[[#This Row],[const]]</f>
        <v>40926.839760167699</v>
      </c>
      <c r="S1544" t="s">
        <v>68</v>
      </c>
      <c r="T1544">
        <v>1</v>
      </c>
      <c r="U1544" t="s">
        <v>80</v>
      </c>
      <c r="V1544" t="s">
        <v>69</v>
      </c>
      <c r="W1544">
        <v>0</v>
      </c>
      <c r="X1544">
        <v>0</v>
      </c>
      <c r="Y1544">
        <v>52</v>
      </c>
      <c r="Z1544">
        <v>88</v>
      </c>
      <c r="AA1544">
        <v>90</v>
      </c>
      <c r="AB1544">
        <v>1000</v>
      </c>
      <c r="AC1544">
        <v>870</v>
      </c>
      <c r="AD1544">
        <v>870</v>
      </c>
      <c r="AE1544">
        <v>0</v>
      </c>
      <c r="AF1544">
        <v>0</v>
      </c>
      <c r="AG1544">
        <v>0</v>
      </c>
      <c r="AH1544">
        <v>435</v>
      </c>
      <c r="AI1544">
        <v>0</v>
      </c>
      <c r="AJ1544">
        <v>0</v>
      </c>
      <c r="AK1544">
        <v>680</v>
      </c>
      <c r="AL1544">
        <v>0</v>
      </c>
      <c r="AM1544">
        <v>0</v>
      </c>
      <c r="AN1544">
        <v>0</v>
      </c>
      <c r="AO1544">
        <v>28</v>
      </c>
      <c r="AP1544">
        <v>5</v>
      </c>
      <c r="AQ1544">
        <v>0</v>
      </c>
      <c r="AR1544">
        <v>0</v>
      </c>
      <c r="AS1544" t="s">
        <v>58</v>
      </c>
      <c r="AT1544">
        <v>0</v>
      </c>
      <c r="AU1544" t="s">
        <v>82</v>
      </c>
      <c r="AV1544" t="s">
        <v>64</v>
      </c>
      <c r="AW1544">
        <v>0</v>
      </c>
      <c r="AX1544">
        <v>2</v>
      </c>
      <c r="AY1544">
        <v>0</v>
      </c>
      <c r="AZ1544">
        <v>3900</v>
      </c>
      <c r="BA1544">
        <v>100</v>
      </c>
      <c r="BB1544">
        <v>100</v>
      </c>
      <c r="BC1544">
        <v>100</v>
      </c>
      <c r="BD1544">
        <v>100</v>
      </c>
      <c r="BE1544">
        <v>1</v>
      </c>
      <c r="BF1544">
        <v>15000</v>
      </c>
      <c r="BG1544">
        <v>1000</v>
      </c>
      <c r="BH1544" s="6">
        <f>Grandview_Inventory[[#This Row],[land_extract]]*Lookups!$B$3</f>
        <v>47528.228511015397</v>
      </c>
      <c r="BI1544" s="6">
        <f>IF(Grandview_Inventory[[#This Row],[bldg_style]]="",0,Lookups!$B$2)</f>
        <v>155833.95000000001</v>
      </c>
      <c r="BJ1544" s="6">
        <f>_xlfn.IFNA(VLOOKUP(Grandview_Inventory[[#This Row],[quality]],Lookups!$H$2:$J$14,3,FALSE),0)</f>
        <v>-28558</v>
      </c>
      <c r="BK1544" s="6">
        <f>_xlfn.IFNA(VLOOKUP(Grandview_Inventory[[#This Row],[condition]],Lookups!$H$17:$J$24,3,FALSE),0)</f>
        <v>-4503</v>
      </c>
      <c r="BL1544" s="6">
        <f>Grandview_Inventory[[#This Row],[Eff_Age]]*Lookups!$B$14</f>
        <v>-12436.663199999999</v>
      </c>
      <c r="BM1544" s="6">
        <f>Grandview_Inventory[[#This Row],[living_area]]*Lookups!$B$15</f>
        <v>54271.342110000005</v>
      </c>
      <c r="BN1544" s="6">
        <f>Grandview_Inventory[[#This Row],[Fin BSMT]]*Lookups!$B$16</f>
        <v>0</v>
      </c>
      <c r="BO1544" s="6">
        <f>(Grandview_Inventory[[#This Row],[att_gar]]+Grandview_Inventory[[#This Row],[bltin_gar]])*Lookups!$B$17</f>
        <v>0</v>
      </c>
      <c r="BP1544" s="6">
        <f>Grandview_Inventory[[#This Row],[Plumbing Fixtures]]*Lookups!$B$18</f>
        <v>10052.209000000001</v>
      </c>
      <c r="BQ1544" s="6">
        <f>Grandview_Inventory[[#This Row],[detatched_value]]*Lookups!$B$19</f>
        <v>3302.53989</v>
      </c>
      <c r="BR1544" s="6">
        <f>SUM(Grandview_Inventory[[#This Row],[Intercept]:[det_value]])*Grandview_Inventory[[#This Row],[res_pct]]</f>
        <v>177962.37780000002</v>
      </c>
      <c r="BS1544" s="6">
        <f>Grandview_Inventory[[#This Row],[land_value]]</f>
        <v>47528.228511015397</v>
      </c>
      <c r="BT1544" s="4">
        <f>_xlfn.IFNA(VLOOKUP(Grandview_Inventory[[#This Row],[quality]],Lookups!$A$26:$C$33,3,FALSE),1)</f>
        <v>0.9690360070159818</v>
      </c>
      <c r="BU1544" s="4">
        <f>_xlfn.IFNA(VLOOKUP(Grandview_Inventory[[#This Row],[condition]],Lookups!$A$37:$C$44,3,FALSE),1)</f>
        <v>0.96469275950863709</v>
      </c>
      <c r="BV1544" s="4">
        <f>IF(Grandview_Inventory[[#This Row],[bldg_style]]="",1,_xlfn.IFNA(VLOOKUP(Grandview_Inventory[[#This Row],[decade]],Lookups!$F$29:$H$43,3,FALSE),1))</f>
        <v>0.94161750052457416</v>
      </c>
      <c r="BW1544" s="4">
        <f>_xlfn.IFNA(VLOOKUP(Grandview_Inventory[[#This Row],[living_area_range]],Lookups!$F$47:$H$56,3,FALSE),1)</f>
        <v>0.94306777142782894</v>
      </c>
      <c r="BX1544" s="4">
        <f>AVERAGE(Grandview_Inventory[[#This Row],[qual_adj]:[size_adj]])</f>
        <v>0.95460350961925544</v>
      </c>
      <c r="BY1544" s="6">
        <f>IF(Grandview_Inventory[[#This Row],[pre_res]]&lt;0,0,Grandview_Inventory[[#This Row],[pre_res]]*Grandview_Inventory[[#This Row],[overall_adj]])</f>
        <v>169883.51042806788</v>
      </c>
      <c r="BZ1544" s="6">
        <f>(Grandview_Inventory[[#This Row],[sum_land]]-IF(Grandview_Inventory[[#This Row],[no_utilities]]=1,12000,0))/IF(Grandview_Inventory[[#This Row],[unbuildable]]=1,2,1)</f>
        <v>47528.228511015397</v>
      </c>
      <c r="CA154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44">
        <f>ROUND(Grandview_Inventory[[#This Row],[det_value]]*Lookups!$M$28,-2)</f>
        <v>3100</v>
      </c>
      <c r="CC1544">
        <f>IF(ROUND(Grandview_Inventory[[#This Row],[adj_res]]*Lookups!$M$28,-2)&lt;Grandview_Inventory[[#This Row],[min_res]],Grandview_Inventory[[#This Row],[min_res]],ROUND(Grandview_Inventory[[#This Row],[adj_res]]*Lookups!$M$28,-2))</f>
        <v>161400</v>
      </c>
      <c r="CD1544">
        <f>Grandview_Inventory[[#This Row],[final_det]]+Grandview_Inventory[[#This Row],[final_res]]</f>
        <v>164500</v>
      </c>
      <c r="CE1544">
        <f>Grandview_Inventory[[#This Row],[final_land]]+Grandview_Inventory[[#This Row],[final_imp]]+Grandview_Inventory[[#This Row],[crop_value]]</f>
        <v>209700</v>
      </c>
      <c r="CG1544" t="str">
        <f t="shared" si="24"/>
        <v>update valuation set market_land =45200, market_bldg=164500, market_total =209700, market_mdno =401, market_date ='9/10/2023' where link_id = (select link_id from parcel where parcel_year = '2024' and parcel_id = '23092323562');</v>
      </c>
    </row>
    <row r="1545" spans="1:85" x14ac:dyDescent="0.25">
      <c r="A1545">
        <v>23092323563</v>
      </c>
      <c r="B1545">
        <v>0.17</v>
      </c>
      <c r="C1545">
        <v>7246</v>
      </c>
      <c r="D1545" t="s">
        <v>129</v>
      </c>
      <c r="E1545" t="s">
        <v>53</v>
      </c>
      <c r="F1545" t="s">
        <v>53</v>
      </c>
      <c r="G1545">
        <v>4</v>
      </c>
      <c r="H1545" t="s">
        <v>54</v>
      </c>
      <c r="I1545">
        <v>120100</v>
      </c>
      <c r="J1545">
        <v>39100</v>
      </c>
      <c r="K1545">
        <v>0.17</v>
      </c>
      <c r="L154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45">
        <v>0</v>
      </c>
      <c r="N1545">
        <v>0</v>
      </c>
      <c r="O1545">
        <v>0</v>
      </c>
      <c r="P1545">
        <v>13398.7528</v>
      </c>
      <c r="Q1545">
        <v>63903</v>
      </c>
      <c r="R1545">
        <f>(Grandview_Inventory[[#This Row],[ln_acres]]*Grandview_Inventory[[#This Row],[coeff]])+Grandview_Inventory[[#This Row],[const]]</f>
        <v>40160.988302686128</v>
      </c>
      <c r="S1545" t="s">
        <v>68</v>
      </c>
      <c r="T1545">
        <v>1</v>
      </c>
      <c r="U1545" t="s">
        <v>80</v>
      </c>
      <c r="V1545" t="s">
        <v>67</v>
      </c>
      <c r="W1545">
        <v>0</v>
      </c>
      <c r="X1545">
        <v>0</v>
      </c>
      <c r="Y1545">
        <v>50</v>
      </c>
      <c r="Z1545">
        <v>73</v>
      </c>
      <c r="AA1545">
        <v>80</v>
      </c>
      <c r="AB1545">
        <v>1000</v>
      </c>
      <c r="AC1545">
        <v>780</v>
      </c>
      <c r="AD1545">
        <v>780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168</v>
      </c>
      <c r="AL1545">
        <v>0</v>
      </c>
      <c r="AM1545">
        <v>0</v>
      </c>
      <c r="AN1545">
        <v>0</v>
      </c>
      <c r="AO1545">
        <v>0</v>
      </c>
      <c r="AP1545">
        <v>5</v>
      </c>
      <c r="AQ1545">
        <v>0</v>
      </c>
      <c r="AR1545">
        <v>0</v>
      </c>
      <c r="AS1545" t="s">
        <v>58</v>
      </c>
      <c r="AT1545">
        <v>1</v>
      </c>
      <c r="AU1545" t="s">
        <v>63</v>
      </c>
      <c r="AV1545" t="s">
        <v>64</v>
      </c>
      <c r="AW1545">
        <v>0</v>
      </c>
      <c r="AX1545">
        <v>2</v>
      </c>
      <c r="AY1545">
        <v>0</v>
      </c>
      <c r="AZ1545">
        <v>0</v>
      </c>
      <c r="BA1545">
        <v>100</v>
      </c>
      <c r="BB1545">
        <v>100</v>
      </c>
      <c r="BC1545">
        <v>100</v>
      </c>
      <c r="BD1545">
        <v>100</v>
      </c>
      <c r="BE1545">
        <v>1</v>
      </c>
      <c r="BF1545">
        <v>15000</v>
      </c>
      <c r="BG1545">
        <v>1000</v>
      </c>
      <c r="BH1545" s="6">
        <f>Grandview_Inventory[[#This Row],[land_extract]]*Lookups!$B$3</f>
        <v>46638.847281240982</v>
      </c>
      <c r="BI1545" s="6">
        <f>IF(Grandview_Inventory[[#This Row],[bldg_style]]="",0,Lookups!$B$2)</f>
        <v>155833.95000000001</v>
      </c>
      <c r="BJ1545" s="6">
        <f>_xlfn.IFNA(VLOOKUP(Grandview_Inventory[[#This Row],[quality]],Lookups!$H$2:$J$14,3,FALSE),0)</f>
        <v>-28558</v>
      </c>
      <c r="BK1545" s="6">
        <f>_xlfn.IFNA(VLOOKUP(Grandview_Inventory[[#This Row],[condition]],Lookups!$H$17:$J$24,3,FALSE),0)</f>
        <v>22342</v>
      </c>
      <c r="BL1545" s="6">
        <f>Grandview_Inventory[[#This Row],[Eff_Age]]*Lookups!$B$14</f>
        <v>-11958.33</v>
      </c>
      <c r="BM1545" s="6">
        <f>Grandview_Inventory[[#This Row],[living_area]]*Lookups!$B$15</f>
        <v>48657.065340000001</v>
      </c>
      <c r="BN1545" s="6">
        <f>Grandview_Inventory[[#This Row],[Fin BSMT]]*Lookups!$B$16</f>
        <v>0</v>
      </c>
      <c r="BO1545" s="6">
        <f>(Grandview_Inventory[[#This Row],[att_gar]]+Grandview_Inventory[[#This Row],[bltin_gar]])*Lookups!$B$17</f>
        <v>0</v>
      </c>
      <c r="BP1545" s="6">
        <f>Grandview_Inventory[[#This Row],[Plumbing Fixtures]]*Lookups!$B$18</f>
        <v>10052.209000000001</v>
      </c>
      <c r="BQ1545" s="6">
        <f>Grandview_Inventory[[#This Row],[detatched_value]]*Lookups!$B$19</f>
        <v>0</v>
      </c>
      <c r="BR1545" s="6">
        <f>SUM(Grandview_Inventory[[#This Row],[Intercept]:[det_value]])*Grandview_Inventory[[#This Row],[res_pct]]</f>
        <v>196368.89434000003</v>
      </c>
      <c r="BS1545" s="6">
        <f>Grandview_Inventory[[#This Row],[land_value]]</f>
        <v>46638.847281240982</v>
      </c>
      <c r="BT1545" s="4">
        <f>_xlfn.IFNA(VLOOKUP(Grandview_Inventory[[#This Row],[quality]],Lookups!$A$26:$C$33,3,FALSE),1)</f>
        <v>0.9690360070159818</v>
      </c>
      <c r="BU1545" s="4">
        <f>_xlfn.IFNA(VLOOKUP(Grandview_Inventory[[#This Row],[condition]],Lookups!$A$37:$C$44,3,FALSE),1)</f>
        <v>0.97383723671140243</v>
      </c>
      <c r="BV1545" s="4">
        <f>IF(Grandview_Inventory[[#This Row],[bldg_style]]="",1,_xlfn.IFNA(VLOOKUP(Grandview_Inventory[[#This Row],[decade]],Lookups!$F$29:$H$43,3,FALSE),1))</f>
        <v>0.98763256963907298</v>
      </c>
      <c r="BW1545" s="4">
        <f>_xlfn.IFNA(VLOOKUP(Grandview_Inventory[[#This Row],[living_area_range]],Lookups!$F$47:$H$56,3,FALSE),1)</f>
        <v>0.94306777142782894</v>
      </c>
      <c r="BX1545" s="4">
        <f>AVERAGE(Grandview_Inventory[[#This Row],[qual_adj]:[size_adj]])</f>
        <v>0.96839339619857145</v>
      </c>
      <c r="BY1545" s="6">
        <f>IF(Grandview_Inventory[[#This Row],[pre_res]]&lt;0,0,Grandview_Inventory[[#This Row],[pre_res]]*Grandview_Inventory[[#This Row],[overall_adj]])</f>
        <v>190162.34049767107</v>
      </c>
      <c r="BZ1545" s="6">
        <f>(Grandview_Inventory[[#This Row],[sum_land]]-IF(Grandview_Inventory[[#This Row],[no_utilities]]=1,12000,0))/IF(Grandview_Inventory[[#This Row],[unbuildable]]=1,2,1)</f>
        <v>46638.847281240982</v>
      </c>
      <c r="CA154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45">
        <f>ROUND(Grandview_Inventory[[#This Row],[det_value]]*Lookups!$M$28,-2)</f>
        <v>0</v>
      </c>
      <c r="CC1545">
        <f>IF(ROUND(Grandview_Inventory[[#This Row],[adj_res]]*Lookups!$M$28,-2)&lt;Grandview_Inventory[[#This Row],[min_res]],Grandview_Inventory[[#This Row],[min_res]],ROUND(Grandview_Inventory[[#This Row],[adj_res]]*Lookups!$M$28,-2))</f>
        <v>180700</v>
      </c>
      <c r="CD1545">
        <f>Grandview_Inventory[[#This Row],[final_det]]+Grandview_Inventory[[#This Row],[final_res]]</f>
        <v>180700</v>
      </c>
      <c r="CE1545">
        <f>Grandview_Inventory[[#This Row],[final_land]]+Grandview_Inventory[[#This Row],[final_imp]]+Grandview_Inventory[[#This Row],[crop_value]]</f>
        <v>225000</v>
      </c>
      <c r="CG1545" t="str">
        <f t="shared" si="24"/>
        <v>update valuation set market_land =44300, market_bldg=180700, market_total =225000, market_mdno =401, market_date ='9/10/2023' where link_id = (select link_id from parcel where parcel_year = '2024' and parcel_id = '23092323563');</v>
      </c>
    </row>
    <row r="1546" spans="1:85" x14ac:dyDescent="0.25">
      <c r="A1546">
        <v>23092323564</v>
      </c>
      <c r="B1546">
        <v>0.15</v>
      </c>
      <c r="C1546">
        <v>6720</v>
      </c>
      <c r="D1546" t="s">
        <v>129</v>
      </c>
      <c r="E1546" t="s">
        <v>53</v>
      </c>
      <c r="F1546" t="s">
        <v>53</v>
      </c>
      <c r="G1546">
        <v>4</v>
      </c>
      <c r="H1546" t="s">
        <v>54</v>
      </c>
      <c r="I1546">
        <v>135800</v>
      </c>
      <c r="J1546">
        <v>39000</v>
      </c>
      <c r="K1546">
        <v>0.15</v>
      </c>
      <c r="L154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46">
        <v>0</v>
      </c>
      <c r="N1546">
        <v>0</v>
      </c>
      <c r="O1546">
        <v>0</v>
      </c>
      <c r="P1546">
        <v>13398.7528</v>
      </c>
      <c r="Q1546">
        <v>63903</v>
      </c>
      <c r="R1546">
        <f>(Grandview_Inventory[[#This Row],[ln_acres]]*Grandview_Inventory[[#This Row],[coeff]])+Grandview_Inventory[[#This Row],[const]]</f>
        <v>38483.958290574345</v>
      </c>
      <c r="S1546" t="s">
        <v>68</v>
      </c>
      <c r="T1546">
        <v>1</v>
      </c>
      <c r="U1546" t="s">
        <v>70</v>
      </c>
      <c r="V1546" t="s">
        <v>67</v>
      </c>
      <c r="W1546">
        <v>0</v>
      </c>
      <c r="X1546">
        <v>0</v>
      </c>
      <c r="Y1546">
        <v>49</v>
      </c>
      <c r="Z1546">
        <v>68</v>
      </c>
      <c r="AA1546">
        <v>70</v>
      </c>
      <c r="AB1546">
        <v>1000</v>
      </c>
      <c r="AC1546">
        <v>775</v>
      </c>
      <c r="AD1546">
        <v>775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240</v>
      </c>
      <c r="AN1546">
        <v>9</v>
      </c>
      <c r="AO1546">
        <v>240</v>
      </c>
      <c r="AP1546">
        <v>5</v>
      </c>
      <c r="AQ1546">
        <v>0</v>
      </c>
      <c r="AR1546">
        <v>0</v>
      </c>
      <c r="AS1546" t="s">
        <v>58</v>
      </c>
      <c r="AT1546">
        <v>1</v>
      </c>
      <c r="AU1546" t="s">
        <v>63</v>
      </c>
      <c r="AV1546" t="s">
        <v>64</v>
      </c>
      <c r="AW1546">
        <v>0</v>
      </c>
      <c r="AX1546">
        <v>2</v>
      </c>
      <c r="AY1546">
        <v>0</v>
      </c>
      <c r="AZ1546">
        <v>0</v>
      </c>
      <c r="BA1546">
        <v>100</v>
      </c>
      <c r="BB1546">
        <v>100</v>
      </c>
      <c r="BC1546">
        <v>100</v>
      </c>
      <c r="BD1546">
        <v>100</v>
      </c>
      <c r="BE1546">
        <v>1</v>
      </c>
      <c r="BF1546">
        <v>15000</v>
      </c>
      <c r="BG1546">
        <v>1000</v>
      </c>
      <c r="BH1546" s="6">
        <f>Grandview_Inventory[[#This Row],[land_extract]]*Lookups!$B$3</f>
        <v>44691.316856156598</v>
      </c>
      <c r="BI1546" s="6">
        <f>IF(Grandview_Inventory[[#This Row],[bldg_style]]="",0,Lookups!$B$2)</f>
        <v>155833.95000000001</v>
      </c>
      <c r="BJ1546" s="6">
        <f>_xlfn.IFNA(VLOOKUP(Grandview_Inventory[[#This Row],[quality]],Lookups!$H$2:$J$14,3,FALSE),0)</f>
        <v>10733</v>
      </c>
      <c r="BK1546" s="6">
        <f>_xlfn.IFNA(VLOOKUP(Grandview_Inventory[[#This Row],[condition]],Lookups!$H$17:$J$24,3,FALSE),0)</f>
        <v>22342</v>
      </c>
      <c r="BL1546" s="6">
        <f>Grandview_Inventory[[#This Row],[Eff_Age]]*Lookups!$B$14</f>
        <v>-11719.163399999999</v>
      </c>
      <c r="BM1546" s="6">
        <f>Grandview_Inventory[[#This Row],[living_area]]*Lookups!$B$15</f>
        <v>48345.161075000004</v>
      </c>
      <c r="BN1546" s="6">
        <f>Grandview_Inventory[[#This Row],[Fin BSMT]]*Lookups!$B$16</f>
        <v>0</v>
      </c>
      <c r="BO1546" s="6">
        <f>(Grandview_Inventory[[#This Row],[att_gar]]+Grandview_Inventory[[#This Row],[bltin_gar]])*Lookups!$B$17</f>
        <v>0</v>
      </c>
      <c r="BP1546" s="6">
        <f>Grandview_Inventory[[#This Row],[Plumbing Fixtures]]*Lookups!$B$18</f>
        <v>10052.209000000001</v>
      </c>
      <c r="BQ1546" s="6">
        <f>Grandview_Inventory[[#This Row],[detatched_value]]*Lookups!$B$19</f>
        <v>0</v>
      </c>
      <c r="BR1546" s="6">
        <f>SUM(Grandview_Inventory[[#This Row],[Intercept]:[det_value]])*Grandview_Inventory[[#This Row],[res_pct]]</f>
        <v>235587.15667500003</v>
      </c>
      <c r="BS1546" s="6">
        <f>Grandview_Inventory[[#This Row],[land_value]]</f>
        <v>44691.316856156598</v>
      </c>
      <c r="BT1546" s="4">
        <f>_xlfn.IFNA(VLOOKUP(Grandview_Inventory[[#This Row],[quality]],Lookups!$A$26:$C$33,3,FALSE),1)</f>
        <v>0.98079741117310582</v>
      </c>
      <c r="BU1546" s="4">
        <f>_xlfn.IFNA(VLOOKUP(Grandview_Inventory[[#This Row],[condition]],Lookups!$A$37:$C$44,3,FALSE),1)</f>
        <v>0.97383723671140243</v>
      </c>
      <c r="BV1546" s="4">
        <f>IF(Grandview_Inventory[[#This Row],[bldg_style]]="",1,_xlfn.IFNA(VLOOKUP(Grandview_Inventory[[#This Row],[decade]],Lookups!$F$29:$H$43,3,FALSE),1))</f>
        <v>0.99472141305414818</v>
      </c>
      <c r="BW1546" s="4">
        <f>_xlfn.IFNA(VLOOKUP(Grandview_Inventory[[#This Row],[living_area_range]],Lookups!$F$47:$H$56,3,FALSE),1)</f>
        <v>0.94306777142782894</v>
      </c>
      <c r="BX1546" s="4">
        <f>AVERAGE(Grandview_Inventory[[#This Row],[qual_adj]:[size_adj]])</f>
        <v>0.97310595809162137</v>
      </c>
      <c r="BY1546" s="6">
        <f>IF(Grandview_Inventory[[#This Row],[pre_res]]&lt;0,0,Grandview_Inventory[[#This Row],[pre_res]]*Grandview_Inventory[[#This Row],[overall_adj]])</f>
        <v>229251.26581030682</v>
      </c>
      <c r="BZ1546" s="6">
        <f>(Grandview_Inventory[[#This Row],[sum_land]]-IF(Grandview_Inventory[[#This Row],[no_utilities]]=1,12000,0))/IF(Grandview_Inventory[[#This Row],[unbuildable]]=1,2,1)</f>
        <v>44691.316856156598</v>
      </c>
      <c r="CA154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46">
        <f>ROUND(Grandview_Inventory[[#This Row],[det_value]]*Lookups!$M$28,-2)</f>
        <v>0</v>
      </c>
      <c r="CC1546">
        <f>IF(ROUND(Grandview_Inventory[[#This Row],[adj_res]]*Lookups!$M$28,-2)&lt;Grandview_Inventory[[#This Row],[min_res]],Grandview_Inventory[[#This Row],[min_res]],ROUND(Grandview_Inventory[[#This Row],[adj_res]]*Lookups!$M$28,-2))</f>
        <v>217800</v>
      </c>
      <c r="CD1546">
        <f>Grandview_Inventory[[#This Row],[final_det]]+Grandview_Inventory[[#This Row],[final_res]]</f>
        <v>217800</v>
      </c>
      <c r="CE1546">
        <f>Grandview_Inventory[[#This Row],[final_land]]+Grandview_Inventory[[#This Row],[final_imp]]+Grandview_Inventory[[#This Row],[crop_value]]</f>
        <v>260300</v>
      </c>
      <c r="CG1546" t="str">
        <f t="shared" si="24"/>
        <v>update valuation set market_land =42500, market_bldg=217800, market_total =260300, market_mdno =401, market_date ='9/10/2023' where link_id = (select link_id from parcel where parcel_year = '2024' and parcel_id = '23092323564');</v>
      </c>
    </row>
    <row r="1547" spans="1:85" x14ac:dyDescent="0.25">
      <c r="A1547">
        <v>23092323565</v>
      </c>
      <c r="B1547">
        <v>0.17</v>
      </c>
      <c r="C1547">
        <v>7211</v>
      </c>
      <c r="D1547" t="s">
        <v>129</v>
      </c>
      <c r="E1547" t="s">
        <v>53</v>
      </c>
      <c r="F1547" t="s">
        <v>53</v>
      </c>
      <c r="G1547">
        <v>4</v>
      </c>
      <c r="H1547" t="s">
        <v>54</v>
      </c>
      <c r="I1547">
        <v>78600</v>
      </c>
      <c r="J1547">
        <v>39100</v>
      </c>
      <c r="K1547">
        <v>0.17</v>
      </c>
      <c r="L154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47">
        <v>0</v>
      </c>
      <c r="N1547">
        <v>0</v>
      </c>
      <c r="O1547">
        <v>0</v>
      </c>
      <c r="P1547">
        <v>13398.7528</v>
      </c>
      <c r="Q1547">
        <v>63903</v>
      </c>
      <c r="R1547">
        <f>(Grandview_Inventory[[#This Row],[ln_acres]]*Grandview_Inventory[[#This Row],[coeff]])+Grandview_Inventory[[#This Row],[const]]</f>
        <v>40160.988302686128</v>
      </c>
      <c r="S1547" t="s">
        <v>55</v>
      </c>
      <c r="T1547">
        <v>2</v>
      </c>
      <c r="U1547" t="s">
        <v>80</v>
      </c>
      <c r="V1547" t="s">
        <v>78</v>
      </c>
      <c r="W1547">
        <v>0</v>
      </c>
      <c r="X1547">
        <v>0</v>
      </c>
      <c r="Y1547">
        <v>53</v>
      </c>
      <c r="Z1547">
        <v>93</v>
      </c>
      <c r="AA1547">
        <v>100</v>
      </c>
      <c r="AB1547">
        <v>1000</v>
      </c>
      <c r="AC1547">
        <v>840</v>
      </c>
      <c r="AD1547">
        <v>720</v>
      </c>
      <c r="AE1547">
        <v>120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5</v>
      </c>
      <c r="AQ1547">
        <v>0</v>
      </c>
      <c r="AR1547">
        <v>0</v>
      </c>
      <c r="AS1547" t="s">
        <v>58</v>
      </c>
      <c r="AT1547">
        <v>1</v>
      </c>
      <c r="AU1547" t="s">
        <v>63</v>
      </c>
      <c r="AV1547" t="s">
        <v>81</v>
      </c>
      <c r="AW1547">
        <v>0</v>
      </c>
      <c r="AX1547">
        <v>4</v>
      </c>
      <c r="AY1547">
        <v>0</v>
      </c>
      <c r="AZ1547">
        <v>0</v>
      </c>
      <c r="BA1547">
        <v>100</v>
      </c>
      <c r="BB1547">
        <v>100</v>
      </c>
      <c r="BC1547">
        <v>100</v>
      </c>
      <c r="BD1547">
        <v>100</v>
      </c>
      <c r="BE1547">
        <v>1</v>
      </c>
      <c r="BF1547">
        <v>15000</v>
      </c>
      <c r="BG1547">
        <v>1000</v>
      </c>
      <c r="BH1547" s="6">
        <f>Grandview_Inventory[[#This Row],[land_extract]]*Lookups!$B$3</f>
        <v>46638.847281240982</v>
      </c>
      <c r="BI1547" s="6">
        <f>IF(Grandview_Inventory[[#This Row],[bldg_style]]="",0,Lookups!$B$2)</f>
        <v>155833.95000000001</v>
      </c>
      <c r="BJ1547" s="6">
        <f>_xlfn.IFNA(VLOOKUP(Grandview_Inventory[[#This Row],[quality]],Lookups!$H$2:$J$14,3,FALSE),0)</f>
        <v>-28558</v>
      </c>
      <c r="BK1547" s="6">
        <f>_xlfn.IFNA(VLOOKUP(Grandview_Inventory[[#This Row],[condition]],Lookups!$H$17:$J$24,3,FALSE),0)</f>
        <v>-45357</v>
      </c>
      <c r="BL1547" s="6">
        <f>Grandview_Inventory[[#This Row],[Eff_Age]]*Lookups!$B$14</f>
        <v>-12675.8298</v>
      </c>
      <c r="BM1547" s="6">
        <f>Grandview_Inventory[[#This Row],[living_area]]*Lookups!$B$15</f>
        <v>52399.916519999999</v>
      </c>
      <c r="BN1547" s="6">
        <f>Grandview_Inventory[[#This Row],[Fin BSMT]]*Lookups!$B$16</f>
        <v>0</v>
      </c>
      <c r="BO1547" s="6">
        <f>(Grandview_Inventory[[#This Row],[att_gar]]+Grandview_Inventory[[#This Row],[bltin_gar]])*Lookups!$B$17</f>
        <v>0</v>
      </c>
      <c r="BP1547" s="6">
        <f>Grandview_Inventory[[#This Row],[Plumbing Fixtures]]*Lookups!$B$18</f>
        <v>10052.209000000001</v>
      </c>
      <c r="BQ1547" s="6">
        <f>Grandview_Inventory[[#This Row],[detatched_value]]*Lookups!$B$19</f>
        <v>0</v>
      </c>
      <c r="BR1547" s="6">
        <f>SUM(Grandview_Inventory[[#This Row],[Intercept]:[det_value]])*Grandview_Inventory[[#This Row],[res_pct]]</f>
        <v>131695.24572000001</v>
      </c>
      <c r="BS1547" s="6">
        <f>Grandview_Inventory[[#This Row],[land_value]]</f>
        <v>46638.847281240982</v>
      </c>
      <c r="BT1547" s="4">
        <f>_xlfn.IFNA(VLOOKUP(Grandview_Inventory[[#This Row],[quality]],Lookups!$A$26:$C$33,3,FALSE),1)</f>
        <v>0.9690360070159818</v>
      </c>
      <c r="BU1547" s="4">
        <f>_xlfn.IFNA(VLOOKUP(Grandview_Inventory[[#This Row],[condition]],Lookups!$A$37:$C$44,3,FALSE),1)</f>
        <v>0.97161819570155394</v>
      </c>
      <c r="BV1547" s="4">
        <f>IF(Grandview_Inventory[[#This Row],[bldg_style]]="",1,_xlfn.IFNA(VLOOKUP(Grandview_Inventory[[#This Row],[decade]],Lookups!$F$29:$H$43,3,FALSE),1))</f>
        <v>0.95244691841736806</v>
      </c>
      <c r="BW1547" s="4">
        <f>_xlfn.IFNA(VLOOKUP(Grandview_Inventory[[#This Row],[living_area_range]],Lookups!$F$47:$H$56,3,FALSE),1)</f>
        <v>0.94306777142782894</v>
      </c>
      <c r="BX1547" s="4">
        <f>AVERAGE(Grandview_Inventory[[#This Row],[qual_adj]:[size_adj]])</f>
        <v>0.9590422231406831</v>
      </c>
      <c r="BY1547" s="6">
        <f>IF(Grandview_Inventory[[#This Row],[pre_res]]&lt;0,0,Grandview_Inventory[[#This Row],[pre_res]]*Grandview_Inventory[[#This Row],[overall_adj]])</f>
        <v>126301.30123236733</v>
      </c>
      <c r="BZ1547" s="6">
        <f>(Grandview_Inventory[[#This Row],[sum_land]]-IF(Grandview_Inventory[[#This Row],[no_utilities]]=1,12000,0))/IF(Grandview_Inventory[[#This Row],[unbuildable]]=1,2,1)</f>
        <v>46638.847281240982</v>
      </c>
      <c r="CA154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47">
        <f>ROUND(Grandview_Inventory[[#This Row],[det_value]]*Lookups!$M$28,-2)</f>
        <v>0</v>
      </c>
      <c r="CC1547">
        <f>IF(ROUND(Grandview_Inventory[[#This Row],[adj_res]]*Lookups!$M$28,-2)&lt;Grandview_Inventory[[#This Row],[min_res]],Grandview_Inventory[[#This Row],[min_res]],ROUND(Grandview_Inventory[[#This Row],[adj_res]]*Lookups!$M$28,-2))</f>
        <v>120000</v>
      </c>
      <c r="CD1547">
        <f>Grandview_Inventory[[#This Row],[final_det]]+Grandview_Inventory[[#This Row],[final_res]]</f>
        <v>120000</v>
      </c>
      <c r="CE1547">
        <f>Grandview_Inventory[[#This Row],[final_land]]+Grandview_Inventory[[#This Row],[final_imp]]+Grandview_Inventory[[#This Row],[crop_value]]</f>
        <v>164300</v>
      </c>
      <c r="CG1547" t="str">
        <f t="shared" si="24"/>
        <v>update valuation set market_land =44300, market_bldg=120000, market_total =164300, market_mdno =401, market_date ='9/10/2023' where link_id = (select link_id from parcel where parcel_year = '2024' and parcel_id = '23092323565');</v>
      </c>
    </row>
    <row r="1548" spans="1:85" x14ac:dyDescent="0.25">
      <c r="A1548">
        <v>23092323566</v>
      </c>
      <c r="B1548">
        <v>0.22</v>
      </c>
      <c r="C1548">
        <v>9509</v>
      </c>
      <c r="D1548" t="s">
        <v>129</v>
      </c>
      <c r="E1548" t="s">
        <v>53</v>
      </c>
      <c r="F1548" t="s">
        <v>53</v>
      </c>
      <c r="G1548">
        <v>4</v>
      </c>
      <c r="H1548" t="s">
        <v>54</v>
      </c>
      <c r="I1548">
        <v>160900</v>
      </c>
      <c r="J1548">
        <v>40000</v>
      </c>
      <c r="K1548">
        <v>0.22</v>
      </c>
      <c r="L1548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548">
        <v>0</v>
      </c>
      <c r="N1548">
        <v>0</v>
      </c>
      <c r="O1548">
        <v>0</v>
      </c>
      <c r="P1548">
        <v>13398.7528</v>
      </c>
      <c r="Q1548">
        <v>63903</v>
      </c>
      <c r="R1548">
        <f>(Grandview_Inventory[[#This Row],[ln_acres]]*Grandview_Inventory[[#This Row],[coeff]])+Grandview_Inventory[[#This Row],[const]]</f>
        <v>43615.576802869145</v>
      </c>
      <c r="S1548" t="s">
        <v>68</v>
      </c>
      <c r="T1548">
        <v>1</v>
      </c>
      <c r="U1548" t="s">
        <v>65</v>
      </c>
      <c r="V1548" t="s">
        <v>69</v>
      </c>
      <c r="W1548">
        <v>0</v>
      </c>
      <c r="X1548">
        <v>0</v>
      </c>
      <c r="Y1548">
        <v>51</v>
      </c>
      <c r="Z1548">
        <v>83</v>
      </c>
      <c r="AA1548">
        <v>90</v>
      </c>
      <c r="AB1548">
        <v>2000</v>
      </c>
      <c r="AC1548">
        <v>1952</v>
      </c>
      <c r="AD1548">
        <v>976</v>
      </c>
      <c r="AE1548">
        <v>0</v>
      </c>
      <c r="AF1548">
        <v>0</v>
      </c>
      <c r="AG1548">
        <v>976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208</v>
      </c>
      <c r="AP1548">
        <v>9</v>
      </c>
      <c r="AQ1548">
        <v>0</v>
      </c>
      <c r="AR1548">
        <v>1</v>
      </c>
      <c r="AS1548" t="s">
        <v>58</v>
      </c>
      <c r="AT1548">
        <v>1</v>
      </c>
      <c r="AU1548" t="s">
        <v>63</v>
      </c>
      <c r="AV1548" t="s">
        <v>64</v>
      </c>
      <c r="AW1548">
        <v>1</v>
      </c>
      <c r="AX1548">
        <v>3</v>
      </c>
      <c r="AY1548">
        <v>0</v>
      </c>
      <c r="AZ1548">
        <v>5500</v>
      </c>
      <c r="BA1548">
        <v>100</v>
      </c>
      <c r="BB1548">
        <v>100</v>
      </c>
      <c r="BC1548">
        <v>100</v>
      </c>
      <c r="BD1548">
        <v>100</v>
      </c>
      <c r="BE1548">
        <v>1</v>
      </c>
      <c r="BF1548">
        <v>15000</v>
      </c>
      <c r="BG1548">
        <v>1000</v>
      </c>
      <c r="BH1548" s="6">
        <f>Grandview_Inventory[[#This Row],[land_extract]]*Lookups!$B$3</f>
        <v>50650.651579114572</v>
      </c>
      <c r="BI1548" s="6">
        <f>IF(Grandview_Inventory[[#This Row],[bldg_style]]="",0,Lookups!$B$2)</f>
        <v>155833.95000000001</v>
      </c>
      <c r="BJ1548" s="6">
        <f>_xlfn.IFNA(VLOOKUP(Grandview_Inventory[[#This Row],[quality]],Lookups!$H$2:$J$14,3,FALSE),0)</f>
        <v>2251</v>
      </c>
      <c r="BK1548" s="6">
        <f>_xlfn.IFNA(VLOOKUP(Grandview_Inventory[[#This Row],[condition]],Lookups!$H$17:$J$24,3,FALSE),0)</f>
        <v>-4503</v>
      </c>
      <c r="BL1548" s="6">
        <f>Grandview_Inventory[[#This Row],[Eff_Age]]*Lookups!$B$14</f>
        <v>-12197.496599999999</v>
      </c>
      <c r="BM1548" s="6">
        <f>Grandview_Inventory[[#This Row],[living_area]]*Lookups!$B$15</f>
        <v>121767.42505600001</v>
      </c>
      <c r="BN1548" s="6">
        <f>Grandview_Inventory[[#This Row],[Fin BSMT]]*Lookups!$B$16</f>
        <v>-26448.858240000001</v>
      </c>
      <c r="BO1548" s="6">
        <f>(Grandview_Inventory[[#This Row],[att_gar]]+Grandview_Inventory[[#This Row],[bltin_gar]])*Lookups!$B$17</f>
        <v>0</v>
      </c>
      <c r="BP1548" s="6">
        <f>Grandview_Inventory[[#This Row],[Plumbing Fixtures]]*Lookups!$B$18</f>
        <v>18093.976200000001</v>
      </c>
      <c r="BQ1548" s="6">
        <f>Grandview_Inventory[[#This Row],[detatched_value]]*Lookups!$B$19</f>
        <v>4657.4280499999995</v>
      </c>
      <c r="BR1548" s="6">
        <f>SUM(Grandview_Inventory[[#This Row],[Intercept]:[det_value]])*Grandview_Inventory[[#This Row],[res_pct]]</f>
        <v>259454.424466</v>
      </c>
      <c r="BS1548" s="6">
        <f>Grandview_Inventory[[#This Row],[land_value]]</f>
        <v>50650.651579114572</v>
      </c>
      <c r="BT1548" s="4">
        <f>_xlfn.IFNA(VLOOKUP(Grandview_Inventory[[#This Row],[quality]],Lookups!$A$26:$C$33,3,FALSE),1)</f>
        <v>0.98763855981004833</v>
      </c>
      <c r="BU1548" s="4">
        <f>_xlfn.IFNA(VLOOKUP(Grandview_Inventory[[#This Row],[condition]],Lookups!$A$37:$C$44,3,FALSE),1)</f>
        <v>0.96469275950863709</v>
      </c>
      <c r="BV1548" s="4">
        <f>IF(Grandview_Inventory[[#This Row],[bldg_style]]="",1,_xlfn.IFNA(VLOOKUP(Grandview_Inventory[[#This Row],[decade]],Lookups!$F$29:$H$43,3,FALSE),1))</f>
        <v>0.94161750052457416</v>
      </c>
      <c r="BW1548" s="4">
        <f>_xlfn.IFNA(VLOOKUP(Grandview_Inventory[[#This Row],[living_area_range]],Lookups!$F$47:$H$56,3,FALSE),1)</f>
        <v>0.96120133463014379</v>
      </c>
      <c r="BX1548" s="4">
        <f>AVERAGE(Grandview_Inventory[[#This Row],[qual_adj]:[size_adj]])</f>
        <v>0.96378753861835076</v>
      </c>
      <c r="BY1548" s="6">
        <f>IF(Grandview_Inventory[[#This Row],[pre_res]]&lt;0,0,Grandview_Inventory[[#This Row],[pre_res]]*Grandview_Inventory[[#This Row],[overall_adj]])</f>
        <v>250058.94113972693</v>
      </c>
      <c r="BZ1548" s="6">
        <f>(Grandview_Inventory[[#This Row],[sum_land]]-IF(Grandview_Inventory[[#This Row],[no_utilities]]=1,12000,0))/IF(Grandview_Inventory[[#This Row],[unbuildable]]=1,2,1)</f>
        <v>50650.651579114572</v>
      </c>
      <c r="CA1548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548">
        <f>ROUND(Grandview_Inventory[[#This Row],[det_value]]*Lookups!$M$28,-2)</f>
        <v>4400</v>
      </c>
      <c r="CC1548">
        <f>IF(ROUND(Grandview_Inventory[[#This Row],[adj_res]]*Lookups!$M$28,-2)&lt;Grandview_Inventory[[#This Row],[min_res]],Grandview_Inventory[[#This Row],[min_res]],ROUND(Grandview_Inventory[[#This Row],[adj_res]]*Lookups!$M$28,-2))</f>
        <v>237600</v>
      </c>
      <c r="CD1548">
        <f>Grandview_Inventory[[#This Row],[final_det]]+Grandview_Inventory[[#This Row],[final_res]]</f>
        <v>242000</v>
      </c>
      <c r="CE1548">
        <f>Grandview_Inventory[[#This Row],[final_land]]+Grandview_Inventory[[#This Row],[final_imp]]+Grandview_Inventory[[#This Row],[crop_value]]</f>
        <v>290100</v>
      </c>
      <c r="CG1548" t="str">
        <f t="shared" si="24"/>
        <v>update valuation set market_land =48100, market_bldg=242000, market_total =290100, market_mdno =401, market_date ='9/10/2023' where link_id = (select link_id from parcel where parcel_year = '2024' and parcel_id = '23092323566');</v>
      </c>
    </row>
    <row r="1549" spans="1:85" x14ac:dyDescent="0.25">
      <c r="A1549">
        <v>23092323567</v>
      </c>
      <c r="B1549">
        <v>0.21</v>
      </c>
      <c r="C1549">
        <v>9072</v>
      </c>
      <c r="D1549" t="s">
        <v>129</v>
      </c>
      <c r="E1549" t="s">
        <v>53</v>
      </c>
      <c r="F1549" t="s">
        <v>53</v>
      </c>
      <c r="G1549">
        <v>4</v>
      </c>
      <c r="H1549" t="s">
        <v>54</v>
      </c>
      <c r="I1549">
        <v>153500</v>
      </c>
      <c r="J1549">
        <v>39800</v>
      </c>
      <c r="K1549">
        <v>0.21</v>
      </c>
      <c r="L154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549">
        <v>0</v>
      </c>
      <c r="N1549">
        <v>0</v>
      </c>
      <c r="O1549">
        <v>0</v>
      </c>
      <c r="P1549">
        <v>13398.7528</v>
      </c>
      <c r="Q1549">
        <v>63903</v>
      </c>
      <c r="R1549">
        <f>(Grandview_Inventory[[#This Row],[ln_acres]]*Grandview_Inventory[[#This Row],[coeff]])+Grandview_Inventory[[#This Row],[const]]</f>
        <v>42992.266613125081</v>
      </c>
      <c r="S1549" t="s">
        <v>55</v>
      </c>
      <c r="T1549">
        <v>2</v>
      </c>
      <c r="U1549" t="s">
        <v>80</v>
      </c>
      <c r="V1549" t="s">
        <v>69</v>
      </c>
      <c r="W1549">
        <v>0</v>
      </c>
      <c r="X1549">
        <v>0</v>
      </c>
      <c r="Y1549">
        <v>53</v>
      </c>
      <c r="Z1549">
        <v>93</v>
      </c>
      <c r="AA1549">
        <v>100</v>
      </c>
      <c r="AB1549">
        <v>1500</v>
      </c>
      <c r="AC1549">
        <v>1440</v>
      </c>
      <c r="AD1549">
        <v>1008</v>
      </c>
      <c r="AE1549">
        <v>432</v>
      </c>
      <c r="AF1549">
        <v>0</v>
      </c>
      <c r="AG1549">
        <v>0</v>
      </c>
      <c r="AH1549">
        <v>504</v>
      </c>
      <c r="AI1549">
        <v>0</v>
      </c>
      <c r="AJ1549">
        <v>0</v>
      </c>
      <c r="AK1549">
        <v>0</v>
      </c>
      <c r="AL1549">
        <v>0</v>
      </c>
      <c r="AM1549">
        <v>160</v>
      </c>
      <c r="AN1549">
        <v>32</v>
      </c>
      <c r="AO1549">
        <v>160</v>
      </c>
      <c r="AP1549">
        <v>5</v>
      </c>
      <c r="AQ1549">
        <v>0</v>
      </c>
      <c r="AR1549">
        <v>0</v>
      </c>
      <c r="AS1549" t="s">
        <v>58</v>
      </c>
      <c r="AT1549">
        <v>1</v>
      </c>
      <c r="AU1549" t="s">
        <v>63</v>
      </c>
      <c r="AV1549" t="s">
        <v>64</v>
      </c>
      <c r="AW1549">
        <v>1</v>
      </c>
      <c r="AX1549">
        <v>5</v>
      </c>
      <c r="AY1549">
        <v>0</v>
      </c>
      <c r="AZ1549">
        <v>5700</v>
      </c>
      <c r="BA1549">
        <v>100</v>
      </c>
      <c r="BB1549">
        <v>100</v>
      </c>
      <c r="BC1549">
        <v>100</v>
      </c>
      <c r="BD1549">
        <v>100</v>
      </c>
      <c r="BE1549">
        <v>1</v>
      </c>
      <c r="BF1549">
        <v>15000</v>
      </c>
      <c r="BG1549">
        <v>1000</v>
      </c>
      <c r="BH1549" s="6">
        <f>Grandview_Inventory[[#This Row],[land_extract]]*Lookups!$B$3</f>
        <v>49926.8031387023</v>
      </c>
      <c r="BI1549" s="6">
        <f>IF(Grandview_Inventory[[#This Row],[bldg_style]]="",0,Lookups!$B$2)</f>
        <v>155833.95000000001</v>
      </c>
      <c r="BJ1549" s="6">
        <f>_xlfn.IFNA(VLOOKUP(Grandview_Inventory[[#This Row],[quality]],Lookups!$H$2:$J$14,3,FALSE),0)</f>
        <v>-28558</v>
      </c>
      <c r="BK1549" s="6">
        <f>_xlfn.IFNA(VLOOKUP(Grandview_Inventory[[#This Row],[condition]],Lookups!$H$17:$J$24,3,FALSE),0)</f>
        <v>-4503</v>
      </c>
      <c r="BL1549" s="6">
        <f>Grandview_Inventory[[#This Row],[Eff_Age]]*Lookups!$B$14</f>
        <v>-12675.8298</v>
      </c>
      <c r="BM1549" s="6">
        <f>Grandview_Inventory[[#This Row],[living_area]]*Lookups!$B$15</f>
        <v>89828.428320000006</v>
      </c>
      <c r="BN1549" s="6">
        <f>Grandview_Inventory[[#This Row],[Fin BSMT]]*Lookups!$B$16</f>
        <v>0</v>
      </c>
      <c r="BO1549" s="6">
        <f>(Grandview_Inventory[[#This Row],[att_gar]]+Grandview_Inventory[[#This Row],[bltin_gar]])*Lookups!$B$17</f>
        <v>0</v>
      </c>
      <c r="BP1549" s="6">
        <f>Grandview_Inventory[[#This Row],[Plumbing Fixtures]]*Lookups!$B$18</f>
        <v>10052.209000000001</v>
      </c>
      <c r="BQ1549" s="6">
        <f>Grandview_Inventory[[#This Row],[detatched_value]]*Lookups!$B$19</f>
        <v>4826.7890699999998</v>
      </c>
      <c r="BR1549" s="6">
        <f>SUM(Grandview_Inventory[[#This Row],[Intercept]:[det_value]])*Grandview_Inventory[[#This Row],[res_pct]]</f>
        <v>214804.54659000001</v>
      </c>
      <c r="BS1549" s="6">
        <f>Grandview_Inventory[[#This Row],[land_value]]</f>
        <v>49926.8031387023</v>
      </c>
      <c r="BT1549" s="4">
        <f>_xlfn.IFNA(VLOOKUP(Grandview_Inventory[[#This Row],[quality]],Lookups!$A$26:$C$33,3,FALSE),1)</f>
        <v>0.9690360070159818</v>
      </c>
      <c r="BU1549" s="4">
        <f>_xlfn.IFNA(VLOOKUP(Grandview_Inventory[[#This Row],[condition]],Lookups!$A$37:$C$44,3,FALSE),1)</f>
        <v>0.96469275950863709</v>
      </c>
      <c r="BV1549" s="4">
        <f>IF(Grandview_Inventory[[#This Row],[bldg_style]]="",1,_xlfn.IFNA(VLOOKUP(Grandview_Inventory[[#This Row],[decade]],Lookups!$F$29:$H$43,3,FALSE),1))</f>
        <v>0.95244691841736806</v>
      </c>
      <c r="BW1549" s="4">
        <f>_xlfn.IFNA(VLOOKUP(Grandview_Inventory[[#This Row],[living_area_range]],Lookups!$F$47:$H$56,3,FALSE),1)</f>
        <v>0.96135087979789358</v>
      </c>
      <c r="BX1549" s="4">
        <f>AVERAGE(Grandview_Inventory[[#This Row],[qual_adj]:[size_adj]])</f>
        <v>0.9618816411849701</v>
      </c>
      <c r="BY1549" s="6">
        <f>IF(Grandview_Inventory[[#This Row],[pre_res]]&lt;0,0,Grandview_Inventory[[#This Row],[pre_res]]*Grandview_Inventory[[#This Row],[overall_adj]])</f>
        <v>206616.54980798258</v>
      </c>
      <c r="BZ1549" s="6">
        <f>(Grandview_Inventory[[#This Row],[sum_land]]-IF(Grandview_Inventory[[#This Row],[no_utilities]]=1,12000,0))/IF(Grandview_Inventory[[#This Row],[unbuildable]]=1,2,1)</f>
        <v>49926.8031387023</v>
      </c>
      <c r="CA154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549">
        <f>ROUND(Grandview_Inventory[[#This Row],[det_value]]*Lookups!$M$28,-2)</f>
        <v>4600</v>
      </c>
      <c r="CC1549">
        <f>IF(ROUND(Grandview_Inventory[[#This Row],[adj_res]]*Lookups!$M$28,-2)&lt;Grandview_Inventory[[#This Row],[min_res]],Grandview_Inventory[[#This Row],[min_res]],ROUND(Grandview_Inventory[[#This Row],[adj_res]]*Lookups!$M$28,-2))</f>
        <v>196300</v>
      </c>
      <c r="CD1549">
        <f>Grandview_Inventory[[#This Row],[final_det]]+Grandview_Inventory[[#This Row],[final_res]]</f>
        <v>200900</v>
      </c>
      <c r="CE1549">
        <f>Grandview_Inventory[[#This Row],[final_land]]+Grandview_Inventory[[#This Row],[final_imp]]+Grandview_Inventory[[#This Row],[crop_value]]</f>
        <v>248300</v>
      </c>
      <c r="CG1549" t="str">
        <f t="shared" si="24"/>
        <v>update valuation set market_land =47400, market_bldg=200900, market_total =248300, market_mdno =401, market_date ='9/10/2023' where link_id = (select link_id from parcel where parcel_year = '2024' and parcel_id = '23092323567');</v>
      </c>
    </row>
    <row r="1550" spans="1:85" x14ac:dyDescent="0.25">
      <c r="A1550">
        <v>23092323568</v>
      </c>
      <c r="B1550">
        <v>0.2</v>
      </c>
      <c r="C1550">
        <v>8727</v>
      </c>
      <c r="D1550" t="s">
        <v>129</v>
      </c>
      <c r="E1550" t="s">
        <v>53</v>
      </c>
      <c r="F1550" t="s">
        <v>53</v>
      </c>
      <c r="G1550">
        <v>4</v>
      </c>
      <c r="H1550" t="s">
        <v>54</v>
      </c>
      <c r="I1550">
        <v>102800</v>
      </c>
      <c r="J1550">
        <v>39800</v>
      </c>
      <c r="K1550">
        <v>0.2</v>
      </c>
      <c r="L155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550">
        <v>0</v>
      </c>
      <c r="N1550">
        <v>0</v>
      </c>
      <c r="O1550">
        <v>0</v>
      </c>
      <c r="P1550">
        <v>13398.7528</v>
      </c>
      <c r="Q1550">
        <v>63903</v>
      </c>
      <c r="R1550">
        <f>(Grandview_Inventory[[#This Row],[ln_acres]]*Grandview_Inventory[[#This Row],[coeff]])+Grandview_Inventory[[#This Row],[const]]</f>
        <v>42338.539264347448</v>
      </c>
      <c r="S1550" t="s">
        <v>68</v>
      </c>
      <c r="T1550">
        <v>1</v>
      </c>
      <c r="U1550" t="s">
        <v>80</v>
      </c>
      <c r="V1550" t="s">
        <v>69</v>
      </c>
      <c r="W1550">
        <v>0</v>
      </c>
      <c r="X1550">
        <v>0</v>
      </c>
      <c r="Y1550">
        <v>52</v>
      </c>
      <c r="Z1550">
        <v>88</v>
      </c>
      <c r="AA1550">
        <v>90</v>
      </c>
      <c r="AB1550">
        <v>1000</v>
      </c>
      <c r="AC1550">
        <v>852</v>
      </c>
      <c r="AD1550">
        <v>852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16</v>
      </c>
      <c r="AO1550">
        <v>0</v>
      </c>
      <c r="AP1550">
        <v>5</v>
      </c>
      <c r="AQ1550">
        <v>0</v>
      </c>
      <c r="AR1550">
        <v>0</v>
      </c>
      <c r="AS1550" t="s">
        <v>71</v>
      </c>
      <c r="AT1550">
        <v>1</v>
      </c>
      <c r="AU1550" t="s">
        <v>75</v>
      </c>
      <c r="AV1550" t="s">
        <v>60</v>
      </c>
      <c r="AW1550">
        <v>0</v>
      </c>
      <c r="AX1550">
        <v>2</v>
      </c>
      <c r="AY1550">
        <v>0</v>
      </c>
      <c r="AZ1550">
        <v>1700</v>
      </c>
      <c r="BA1550">
        <v>100</v>
      </c>
      <c r="BB1550">
        <v>100</v>
      </c>
      <c r="BC1550">
        <v>100</v>
      </c>
      <c r="BD1550">
        <v>100</v>
      </c>
      <c r="BE1550">
        <v>1</v>
      </c>
      <c r="BF1550">
        <v>15000</v>
      </c>
      <c r="BG1550">
        <v>1000</v>
      </c>
      <c r="BH1550" s="6">
        <f>Grandview_Inventory[[#This Row],[land_extract]]*Lookups!$B$3</f>
        <v>49167.631333630678</v>
      </c>
      <c r="BI1550" s="6">
        <f>IF(Grandview_Inventory[[#This Row],[bldg_style]]="",0,Lookups!$B$2)</f>
        <v>155833.95000000001</v>
      </c>
      <c r="BJ1550" s="6">
        <f>_xlfn.IFNA(VLOOKUP(Grandview_Inventory[[#This Row],[quality]],Lookups!$H$2:$J$14,3,FALSE),0)</f>
        <v>-28558</v>
      </c>
      <c r="BK1550" s="6">
        <f>_xlfn.IFNA(VLOOKUP(Grandview_Inventory[[#This Row],[condition]],Lookups!$H$17:$J$24,3,FALSE),0)</f>
        <v>-4503</v>
      </c>
      <c r="BL1550" s="6">
        <f>Grandview_Inventory[[#This Row],[Eff_Age]]*Lookups!$B$14</f>
        <v>-12436.663199999999</v>
      </c>
      <c r="BM1550" s="6">
        <f>Grandview_Inventory[[#This Row],[living_area]]*Lookups!$B$15</f>
        <v>53148.486755999998</v>
      </c>
      <c r="BN1550" s="6">
        <f>Grandview_Inventory[[#This Row],[Fin BSMT]]*Lookups!$B$16</f>
        <v>0</v>
      </c>
      <c r="BO1550" s="6">
        <f>(Grandview_Inventory[[#This Row],[att_gar]]+Grandview_Inventory[[#This Row],[bltin_gar]])*Lookups!$B$17</f>
        <v>0</v>
      </c>
      <c r="BP1550" s="6">
        <f>Grandview_Inventory[[#This Row],[Plumbing Fixtures]]*Lookups!$B$18</f>
        <v>10052.209000000001</v>
      </c>
      <c r="BQ1550" s="6">
        <f>Grandview_Inventory[[#This Row],[detatched_value]]*Lookups!$B$19</f>
        <v>1439.5686699999999</v>
      </c>
      <c r="BR1550" s="6">
        <f>SUM(Grandview_Inventory[[#This Row],[Intercept]:[det_value]])*Grandview_Inventory[[#This Row],[res_pct]]</f>
        <v>174976.55122600004</v>
      </c>
      <c r="BS1550" s="6">
        <f>Grandview_Inventory[[#This Row],[land_value]]</f>
        <v>49167.631333630678</v>
      </c>
      <c r="BT1550" s="4">
        <f>_xlfn.IFNA(VLOOKUP(Grandview_Inventory[[#This Row],[quality]],Lookups!$A$26:$C$33,3,FALSE),1)</f>
        <v>0.9690360070159818</v>
      </c>
      <c r="BU1550" s="4">
        <f>_xlfn.IFNA(VLOOKUP(Grandview_Inventory[[#This Row],[condition]],Lookups!$A$37:$C$44,3,FALSE),1)</f>
        <v>0.96469275950863709</v>
      </c>
      <c r="BV1550" s="4">
        <f>IF(Grandview_Inventory[[#This Row],[bldg_style]]="",1,_xlfn.IFNA(VLOOKUP(Grandview_Inventory[[#This Row],[decade]],Lookups!$F$29:$H$43,3,FALSE),1))</f>
        <v>0.94161750052457416</v>
      </c>
      <c r="BW1550" s="4">
        <f>_xlfn.IFNA(VLOOKUP(Grandview_Inventory[[#This Row],[living_area_range]],Lookups!$F$47:$H$56,3,FALSE),1)</f>
        <v>0.94306777142782894</v>
      </c>
      <c r="BX1550" s="4">
        <f>AVERAGE(Grandview_Inventory[[#This Row],[qual_adj]:[size_adj]])</f>
        <v>0.95460350961925544</v>
      </c>
      <c r="BY1550" s="6">
        <f>IF(Grandview_Inventory[[#This Row],[pre_res]]&lt;0,0,Grandview_Inventory[[#This Row],[pre_res]]*Grandview_Inventory[[#This Row],[overall_adj]])</f>
        <v>167033.22990141308</v>
      </c>
      <c r="BZ1550" s="6">
        <f>(Grandview_Inventory[[#This Row],[sum_land]]-IF(Grandview_Inventory[[#This Row],[no_utilities]]=1,12000,0))/IF(Grandview_Inventory[[#This Row],[unbuildable]]=1,2,1)</f>
        <v>49167.631333630678</v>
      </c>
      <c r="CA155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550">
        <f>ROUND(Grandview_Inventory[[#This Row],[det_value]]*Lookups!$M$28,-2)</f>
        <v>1400</v>
      </c>
      <c r="CC1550">
        <f>IF(ROUND(Grandview_Inventory[[#This Row],[adj_res]]*Lookups!$M$28,-2)&lt;Grandview_Inventory[[#This Row],[min_res]],Grandview_Inventory[[#This Row],[min_res]],ROUND(Grandview_Inventory[[#This Row],[adj_res]]*Lookups!$M$28,-2))</f>
        <v>158700</v>
      </c>
      <c r="CD1550">
        <f>Grandview_Inventory[[#This Row],[final_det]]+Grandview_Inventory[[#This Row],[final_res]]</f>
        <v>160100</v>
      </c>
      <c r="CE1550">
        <f>Grandview_Inventory[[#This Row],[final_land]]+Grandview_Inventory[[#This Row],[final_imp]]+Grandview_Inventory[[#This Row],[crop_value]]</f>
        <v>206800</v>
      </c>
      <c r="CG1550" t="str">
        <f t="shared" si="24"/>
        <v>update valuation set market_land =46700, market_bldg=160100, market_total =206800, market_mdno =401, market_date ='9/10/2023' where link_id = (select link_id from parcel where parcel_year = '2024' and parcel_id = '23092323568');</v>
      </c>
    </row>
    <row r="1551" spans="1:85" x14ac:dyDescent="0.25">
      <c r="A1551">
        <v>23092323569</v>
      </c>
      <c r="B1551">
        <v>0.21</v>
      </c>
      <c r="C1551">
        <v>9125</v>
      </c>
      <c r="D1551" t="s">
        <v>129</v>
      </c>
      <c r="E1551" t="s">
        <v>53</v>
      </c>
      <c r="F1551" t="s">
        <v>53</v>
      </c>
      <c r="G1551">
        <v>4</v>
      </c>
      <c r="H1551" t="s">
        <v>54</v>
      </c>
      <c r="I1551">
        <v>222900</v>
      </c>
      <c r="J1551">
        <v>39800</v>
      </c>
      <c r="K1551">
        <v>0.21</v>
      </c>
      <c r="L155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551">
        <v>0</v>
      </c>
      <c r="N1551">
        <v>0</v>
      </c>
      <c r="O1551">
        <v>0</v>
      </c>
      <c r="P1551">
        <v>13398.7528</v>
      </c>
      <c r="Q1551">
        <v>63903</v>
      </c>
      <c r="R1551">
        <f>(Grandview_Inventory[[#This Row],[ln_acres]]*Grandview_Inventory[[#This Row],[coeff]])+Grandview_Inventory[[#This Row],[const]]</f>
        <v>42992.266613125081</v>
      </c>
      <c r="S1551" t="s">
        <v>55</v>
      </c>
      <c r="T1551">
        <v>2</v>
      </c>
      <c r="U1551" t="s">
        <v>65</v>
      </c>
      <c r="V1551" t="s">
        <v>69</v>
      </c>
      <c r="W1551">
        <v>0</v>
      </c>
      <c r="X1551">
        <v>0</v>
      </c>
      <c r="Y1551">
        <v>43</v>
      </c>
      <c r="Z1551">
        <v>83</v>
      </c>
      <c r="AA1551">
        <v>90</v>
      </c>
      <c r="AB1551">
        <v>2500</v>
      </c>
      <c r="AC1551">
        <v>2208</v>
      </c>
      <c r="AD1551">
        <v>1610</v>
      </c>
      <c r="AE1551">
        <v>598</v>
      </c>
      <c r="AF1551">
        <v>0</v>
      </c>
      <c r="AG1551">
        <v>0</v>
      </c>
      <c r="AH1551">
        <v>812</v>
      </c>
      <c r="AI1551">
        <v>0</v>
      </c>
      <c r="AJ1551">
        <v>440</v>
      </c>
      <c r="AK1551">
        <v>0</v>
      </c>
      <c r="AL1551">
        <v>0</v>
      </c>
      <c r="AM1551">
        <v>338</v>
      </c>
      <c r="AN1551">
        <v>24</v>
      </c>
      <c r="AO1551">
        <v>210</v>
      </c>
      <c r="AP1551">
        <v>8</v>
      </c>
      <c r="AQ1551">
        <v>0</v>
      </c>
      <c r="AR1551">
        <v>0</v>
      </c>
      <c r="AS1551" t="s">
        <v>58</v>
      </c>
      <c r="AT1551">
        <v>1</v>
      </c>
      <c r="AU1551" t="s">
        <v>59</v>
      </c>
      <c r="AV1551" t="s">
        <v>64</v>
      </c>
      <c r="AW1551">
        <v>1</v>
      </c>
      <c r="AX1551">
        <v>3</v>
      </c>
      <c r="AY1551">
        <v>0</v>
      </c>
      <c r="AZ1551">
        <v>0</v>
      </c>
      <c r="BA1551">
        <v>100</v>
      </c>
      <c r="BB1551">
        <v>100</v>
      </c>
      <c r="BC1551">
        <v>100</v>
      </c>
      <c r="BD1551">
        <v>100</v>
      </c>
      <c r="BE1551">
        <v>1</v>
      </c>
      <c r="BF1551">
        <v>15000</v>
      </c>
      <c r="BG1551">
        <v>1000</v>
      </c>
      <c r="BH1551" s="6">
        <f>Grandview_Inventory[[#This Row],[land_extract]]*Lookups!$B$3</f>
        <v>49926.8031387023</v>
      </c>
      <c r="BI1551" s="6">
        <f>IF(Grandview_Inventory[[#This Row],[bldg_style]]="",0,Lookups!$B$2)</f>
        <v>155833.95000000001</v>
      </c>
      <c r="BJ1551" s="6">
        <f>_xlfn.IFNA(VLOOKUP(Grandview_Inventory[[#This Row],[quality]],Lookups!$H$2:$J$14,3,FALSE),0)</f>
        <v>2251</v>
      </c>
      <c r="BK1551" s="6">
        <f>_xlfn.IFNA(VLOOKUP(Grandview_Inventory[[#This Row],[condition]],Lookups!$H$17:$J$24,3,FALSE),0)</f>
        <v>-4503</v>
      </c>
      <c r="BL1551" s="6">
        <f>Grandview_Inventory[[#This Row],[Eff_Age]]*Lookups!$B$14</f>
        <v>-10284.1638</v>
      </c>
      <c r="BM1551" s="6">
        <f>Grandview_Inventory[[#This Row],[living_area]]*Lookups!$B$15</f>
        <v>137736.92342400001</v>
      </c>
      <c r="BN1551" s="6">
        <f>Grandview_Inventory[[#This Row],[Fin BSMT]]*Lookups!$B$16</f>
        <v>0</v>
      </c>
      <c r="BO1551" s="6">
        <f>(Grandview_Inventory[[#This Row],[att_gar]]+Grandview_Inventory[[#This Row],[bltin_gar]])*Lookups!$B$17</f>
        <v>38508.992279999999</v>
      </c>
      <c r="BP1551" s="6">
        <f>Grandview_Inventory[[#This Row],[Plumbing Fixtures]]*Lookups!$B$18</f>
        <v>16083.5344</v>
      </c>
      <c r="BQ1551" s="6">
        <f>Grandview_Inventory[[#This Row],[detatched_value]]*Lookups!$B$19</f>
        <v>0</v>
      </c>
      <c r="BR1551" s="6">
        <f>SUM(Grandview_Inventory[[#This Row],[Intercept]:[det_value]])*Grandview_Inventory[[#This Row],[res_pct]]</f>
        <v>335627.23630400002</v>
      </c>
      <c r="BS1551" s="6">
        <f>Grandview_Inventory[[#This Row],[land_value]]</f>
        <v>49926.8031387023</v>
      </c>
      <c r="BT1551" s="4">
        <f>_xlfn.IFNA(VLOOKUP(Grandview_Inventory[[#This Row],[quality]],Lookups!$A$26:$C$33,3,FALSE),1)</f>
        <v>0.98763855981004833</v>
      </c>
      <c r="BU1551" s="4">
        <f>_xlfn.IFNA(VLOOKUP(Grandview_Inventory[[#This Row],[condition]],Lookups!$A$37:$C$44,3,FALSE),1)</f>
        <v>0.96469275950863709</v>
      </c>
      <c r="BV1551" s="4">
        <f>IF(Grandview_Inventory[[#This Row],[bldg_style]]="",1,_xlfn.IFNA(VLOOKUP(Grandview_Inventory[[#This Row],[decade]],Lookups!$F$29:$H$43,3,FALSE),1))</f>
        <v>0.94161750052457416</v>
      </c>
      <c r="BW1551" s="4">
        <f>_xlfn.IFNA(VLOOKUP(Grandview_Inventory[[#This Row],[living_area_range]],Lookups!$F$47:$H$56,3,FALSE),1)</f>
        <v>0.95799442568048754</v>
      </c>
      <c r="BX1551" s="4">
        <f>AVERAGE(Grandview_Inventory[[#This Row],[qual_adj]:[size_adj]])</f>
        <v>0.96298581138093675</v>
      </c>
      <c r="BY1551" s="6">
        <f>IF(Grandview_Inventory[[#This Row],[pre_res]]&lt;0,0,Grandview_Inventory[[#This Row],[pre_res]]*Grandview_Inventory[[#This Row],[overall_adj]])</f>
        <v>323204.26647374884</v>
      </c>
      <c r="BZ1551" s="6">
        <f>(Grandview_Inventory[[#This Row],[sum_land]]-IF(Grandview_Inventory[[#This Row],[no_utilities]]=1,12000,0))/IF(Grandview_Inventory[[#This Row],[unbuildable]]=1,2,1)</f>
        <v>49926.8031387023</v>
      </c>
      <c r="CA155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551">
        <f>ROUND(Grandview_Inventory[[#This Row],[det_value]]*Lookups!$M$28,-2)</f>
        <v>0</v>
      </c>
      <c r="CC1551">
        <f>IF(ROUND(Grandview_Inventory[[#This Row],[adj_res]]*Lookups!$M$28,-2)&lt;Grandview_Inventory[[#This Row],[min_res]],Grandview_Inventory[[#This Row],[min_res]],ROUND(Grandview_Inventory[[#This Row],[adj_res]]*Lookups!$M$28,-2))</f>
        <v>307000</v>
      </c>
      <c r="CD1551">
        <f>Grandview_Inventory[[#This Row],[final_det]]+Grandview_Inventory[[#This Row],[final_res]]</f>
        <v>307000</v>
      </c>
      <c r="CE1551">
        <f>Grandview_Inventory[[#This Row],[final_land]]+Grandview_Inventory[[#This Row],[final_imp]]+Grandview_Inventory[[#This Row],[crop_value]]</f>
        <v>354400</v>
      </c>
      <c r="CG1551" t="str">
        <f t="shared" si="24"/>
        <v>update valuation set market_land =47400, market_bldg=307000, market_total =354400, market_mdno =401, market_date ='9/10/2023' where link_id = (select link_id from parcel where parcel_year = '2024' and parcel_id = '23092323569');</v>
      </c>
    </row>
    <row r="1552" spans="1:85" x14ac:dyDescent="0.25">
      <c r="A1552">
        <v>23092323570</v>
      </c>
      <c r="B1552">
        <v>0.21</v>
      </c>
      <c r="C1552">
        <v>8948</v>
      </c>
      <c r="D1552" t="s">
        <v>129</v>
      </c>
      <c r="E1552" t="s">
        <v>53</v>
      </c>
      <c r="F1552" t="s">
        <v>53</v>
      </c>
      <c r="G1552">
        <v>4</v>
      </c>
      <c r="H1552" t="s">
        <v>54</v>
      </c>
      <c r="I1552">
        <v>114300</v>
      </c>
      <c r="J1552">
        <v>44200</v>
      </c>
      <c r="K1552">
        <v>0.21</v>
      </c>
      <c r="L155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552">
        <v>0</v>
      </c>
      <c r="N1552">
        <v>0</v>
      </c>
      <c r="O1552">
        <v>0</v>
      </c>
      <c r="P1552">
        <v>13398.7528</v>
      </c>
      <c r="Q1552">
        <v>63903</v>
      </c>
      <c r="R1552">
        <f>(Grandview_Inventory[[#This Row],[ln_acres]]*Grandview_Inventory[[#This Row],[coeff]])+Grandview_Inventory[[#This Row],[const]]</f>
        <v>42992.266613125081</v>
      </c>
      <c r="S1552" t="s">
        <v>68</v>
      </c>
      <c r="T1552">
        <v>1</v>
      </c>
      <c r="U1552" t="s">
        <v>70</v>
      </c>
      <c r="V1552" t="s">
        <v>69</v>
      </c>
      <c r="W1552">
        <v>0</v>
      </c>
      <c r="X1552">
        <v>0</v>
      </c>
      <c r="Y1552">
        <v>57</v>
      </c>
      <c r="Z1552">
        <v>103</v>
      </c>
      <c r="AA1552">
        <v>110</v>
      </c>
      <c r="AB1552">
        <v>1000</v>
      </c>
      <c r="AC1552">
        <v>816</v>
      </c>
      <c r="AD1552">
        <v>816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270</v>
      </c>
      <c r="AN1552">
        <v>0</v>
      </c>
      <c r="AO1552">
        <v>270</v>
      </c>
      <c r="AP1552">
        <v>5</v>
      </c>
      <c r="AQ1552">
        <v>0</v>
      </c>
      <c r="AR1552">
        <v>0</v>
      </c>
      <c r="AS1552" t="s">
        <v>58</v>
      </c>
      <c r="AT1552">
        <v>1</v>
      </c>
      <c r="AU1552" t="s">
        <v>63</v>
      </c>
      <c r="AV1552" t="s">
        <v>64</v>
      </c>
      <c r="AW1552">
        <v>0</v>
      </c>
      <c r="AX1552">
        <v>2</v>
      </c>
      <c r="AY1552">
        <v>0</v>
      </c>
      <c r="AZ1552">
        <v>9300</v>
      </c>
      <c r="BA1552">
        <v>100</v>
      </c>
      <c r="BB1552">
        <v>100</v>
      </c>
      <c r="BC1552">
        <v>100</v>
      </c>
      <c r="BD1552">
        <v>100</v>
      </c>
      <c r="BE1552">
        <v>1</v>
      </c>
      <c r="BF1552">
        <v>15000</v>
      </c>
      <c r="BG1552">
        <v>1000</v>
      </c>
      <c r="BH1552" s="6">
        <f>Grandview_Inventory[[#This Row],[land_extract]]*Lookups!$B$3</f>
        <v>49926.8031387023</v>
      </c>
      <c r="BI1552" s="6">
        <f>IF(Grandview_Inventory[[#This Row],[bldg_style]]="",0,Lookups!$B$2)</f>
        <v>155833.95000000001</v>
      </c>
      <c r="BJ1552" s="6">
        <f>_xlfn.IFNA(VLOOKUP(Grandview_Inventory[[#This Row],[quality]],Lookups!$H$2:$J$14,3,FALSE),0)</f>
        <v>10733</v>
      </c>
      <c r="BK1552" s="6">
        <f>_xlfn.IFNA(VLOOKUP(Grandview_Inventory[[#This Row],[condition]],Lookups!$H$17:$J$24,3,FALSE),0)</f>
        <v>-4503</v>
      </c>
      <c r="BL1552" s="6">
        <f>Grandview_Inventory[[#This Row],[Eff_Age]]*Lookups!$B$14</f>
        <v>-13632.4962</v>
      </c>
      <c r="BM1552" s="6">
        <f>Grandview_Inventory[[#This Row],[living_area]]*Lookups!$B$15</f>
        <v>50902.776048</v>
      </c>
      <c r="BN1552" s="6">
        <f>Grandview_Inventory[[#This Row],[Fin BSMT]]*Lookups!$B$16</f>
        <v>0</v>
      </c>
      <c r="BO1552" s="6">
        <f>(Grandview_Inventory[[#This Row],[att_gar]]+Grandview_Inventory[[#This Row],[bltin_gar]])*Lookups!$B$17</f>
        <v>0</v>
      </c>
      <c r="BP1552" s="6">
        <f>Grandview_Inventory[[#This Row],[Plumbing Fixtures]]*Lookups!$B$18</f>
        <v>10052.209000000001</v>
      </c>
      <c r="BQ1552" s="6">
        <f>Grandview_Inventory[[#This Row],[detatched_value]]*Lookups!$B$19</f>
        <v>7875.2874299999994</v>
      </c>
      <c r="BR1552" s="6">
        <f>SUM(Grandview_Inventory[[#This Row],[Intercept]:[det_value]])*Grandview_Inventory[[#This Row],[res_pct]]</f>
        <v>217261.72627800002</v>
      </c>
      <c r="BS1552" s="6">
        <f>Grandview_Inventory[[#This Row],[land_value]]</f>
        <v>49926.8031387023</v>
      </c>
      <c r="BT1552" s="4">
        <f>_xlfn.IFNA(VLOOKUP(Grandview_Inventory[[#This Row],[quality]],Lookups!$A$26:$C$33,3,FALSE),1)</f>
        <v>0.98079741117310582</v>
      </c>
      <c r="BU1552" s="4">
        <f>_xlfn.IFNA(VLOOKUP(Grandview_Inventory[[#This Row],[condition]],Lookups!$A$37:$C$44,3,FALSE),1)</f>
        <v>0.96469275950863709</v>
      </c>
      <c r="BV1552" s="4">
        <f>IF(Grandview_Inventory[[#This Row],[bldg_style]]="",1,_xlfn.IFNA(VLOOKUP(Grandview_Inventory[[#This Row],[decade]],Lookups!$F$29:$H$43,3,FALSE),1))</f>
        <v>0.92255236374249616</v>
      </c>
      <c r="BW1552" s="4">
        <f>_xlfn.IFNA(VLOOKUP(Grandview_Inventory[[#This Row],[living_area_range]],Lookups!$F$47:$H$56,3,FALSE),1)</f>
        <v>0.94306777142782894</v>
      </c>
      <c r="BX1552" s="4">
        <f>AVERAGE(Grandview_Inventory[[#This Row],[qual_adj]:[size_adj]])</f>
        <v>0.95277757646301697</v>
      </c>
      <c r="BY1552" s="6">
        <f>IF(Grandview_Inventory[[#This Row],[pre_res]]&lt;0,0,Grandview_Inventory[[#This Row],[pre_res]]*Grandview_Inventory[[#This Row],[overall_adj]])</f>
        <v>207002.10102132423</v>
      </c>
      <c r="BZ1552" s="6">
        <f>(Grandview_Inventory[[#This Row],[sum_land]]-IF(Grandview_Inventory[[#This Row],[no_utilities]]=1,12000,0))/IF(Grandview_Inventory[[#This Row],[unbuildable]]=1,2,1)</f>
        <v>49926.8031387023</v>
      </c>
      <c r="CA155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552">
        <f>ROUND(Grandview_Inventory[[#This Row],[det_value]]*Lookups!$M$28,-2)</f>
        <v>7500</v>
      </c>
      <c r="CC1552">
        <f>IF(ROUND(Grandview_Inventory[[#This Row],[adj_res]]*Lookups!$M$28,-2)&lt;Grandview_Inventory[[#This Row],[min_res]],Grandview_Inventory[[#This Row],[min_res]],ROUND(Grandview_Inventory[[#This Row],[adj_res]]*Lookups!$M$28,-2))</f>
        <v>196700</v>
      </c>
      <c r="CD1552">
        <f>Grandview_Inventory[[#This Row],[final_det]]+Grandview_Inventory[[#This Row],[final_res]]</f>
        <v>204200</v>
      </c>
      <c r="CE1552">
        <f>Grandview_Inventory[[#This Row],[final_land]]+Grandview_Inventory[[#This Row],[final_imp]]+Grandview_Inventory[[#This Row],[crop_value]]</f>
        <v>251600</v>
      </c>
      <c r="CG1552" t="str">
        <f t="shared" si="24"/>
        <v>update valuation set market_land =47400, market_bldg=204200, market_total =251600, market_mdno =401, market_date ='9/10/2023' where link_id = (select link_id from parcel where parcel_year = '2024' and parcel_id = '23092323570');</v>
      </c>
    </row>
    <row r="1553" spans="1:85" x14ac:dyDescent="0.25">
      <c r="A1553">
        <v>23092323571</v>
      </c>
      <c r="B1553">
        <v>0.21</v>
      </c>
      <c r="C1553">
        <v>9282</v>
      </c>
      <c r="D1553" t="s">
        <v>129</v>
      </c>
      <c r="E1553" t="s">
        <v>53</v>
      </c>
      <c r="F1553" t="s">
        <v>53</v>
      </c>
      <c r="G1553">
        <v>4</v>
      </c>
      <c r="H1553" t="s">
        <v>54</v>
      </c>
      <c r="I1553">
        <v>154000</v>
      </c>
      <c r="J1553">
        <v>39800</v>
      </c>
      <c r="K1553">
        <v>0.21</v>
      </c>
      <c r="L155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553">
        <v>0</v>
      </c>
      <c r="N1553">
        <v>0</v>
      </c>
      <c r="O1553">
        <v>0</v>
      </c>
      <c r="P1553">
        <v>13398.7528</v>
      </c>
      <c r="Q1553">
        <v>63903</v>
      </c>
      <c r="R1553">
        <f>(Grandview_Inventory[[#This Row],[ln_acres]]*Grandview_Inventory[[#This Row],[coeff]])+Grandview_Inventory[[#This Row],[const]]</f>
        <v>42992.266613125081</v>
      </c>
      <c r="S1553" t="s">
        <v>68</v>
      </c>
      <c r="T1553">
        <v>1</v>
      </c>
      <c r="U1553" t="s">
        <v>80</v>
      </c>
      <c r="V1553" t="s">
        <v>67</v>
      </c>
      <c r="W1553">
        <v>0</v>
      </c>
      <c r="X1553">
        <v>0</v>
      </c>
      <c r="Y1553">
        <v>60</v>
      </c>
      <c r="Z1553">
        <v>108</v>
      </c>
      <c r="AA1553">
        <v>110</v>
      </c>
      <c r="AB1553">
        <v>1500</v>
      </c>
      <c r="AC1553">
        <v>1389</v>
      </c>
      <c r="AD1553">
        <v>1389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84</v>
      </c>
      <c r="AO1553">
        <v>0</v>
      </c>
      <c r="AP1553">
        <v>5</v>
      </c>
      <c r="AQ1553">
        <v>0</v>
      </c>
      <c r="AR1553">
        <v>0</v>
      </c>
      <c r="AS1553" t="s">
        <v>58</v>
      </c>
      <c r="AT1553">
        <v>1</v>
      </c>
      <c r="AU1553" t="s">
        <v>75</v>
      </c>
      <c r="AV1553" t="s">
        <v>60</v>
      </c>
      <c r="AW1553">
        <v>0</v>
      </c>
      <c r="AX1553">
        <v>3</v>
      </c>
      <c r="AY1553">
        <v>0</v>
      </c>
      <c r="AZ1553">
        <v>4600</v>
      </c>
      <c r="BA1553">
        <v>100</v>
      </c>
      <c r="BB1553">
        <v>100</v>
      </c>
      <c r="BC1553">
        <v>100</v>
      </c>
      <c r="BD1553">
        <v>100</v>
      </c>
      <c r="BE1553">
        <v>1</v>
      </c>
      <c r="BF1553">
        <v>15000</v>
      </c>
      <c r="BG1553">
        <v>1000</v>
      </c>
      <c r="BH1553" s="6">
        <f>Grandview_Inventory[[#This Row],[land_extract]]*Lookups!$B$3</f>
        <v>49926.8031387023</v>
      </c>
      <c r="BI1553" s="6">
        <f>IF(Grandview_Inventory[[#This Row],[bldg_style]]="",0,Lookups!$B$2)</f>
        <v>155833.95000000001</v>
      </c>
      <c r="BJ1553" s="6">
        <f>_xlfn.IFNA(VLOOKUP(Grandview_Inventory[[#This Row],[quality]],Lookups!$H$2:$J$14,3,FALSE),0)</f>
        <v>-28558</v>
      </c>
      <c r="BK1553" s="6">
        <f>_xlfn.IFNA(VLOOKUP(Grandview_Inventory[[#This Row],[condition]],Lookups!$H$17:$J$24,3,FALSE),0)</f>
        <v>22342</v>
      </c>
      <c r="BL1553" s="6">
        <f>Grandview_Inventory[[#This Row],[Eff_Age]]*Lookups!$B$14</f>
        <v>-14349.995999999999</v>
      </c>
      <c r="BM1553" s="6">
        <f>Grandview_Inventory[[#This Row],[living_area]]*Lookups!$B$15</f>
        <v>86647.004817000008</v>
      </c>
      <c r="BN1553" s="6">
        <f>Grandview_Inventory[[#This Row],[Fin BSMT]]*Lookups!$B$16</f>
        <v>0</v>
      </c>
      <c r="BO1553" s="6">
        <f>(Grandview_Inventory[[#This Row],[att_gar]]+Grandview_Inventory[[#This Row],[bltin_gar]])*Lookups!$B$17</f>
        <v>0</v>
      </c>
      <c r="BP1553" s="6">
        <f>Grandview_Inventory[[#This Row],[Plumbing Fixtures]]*Lookups!$B$18</f>
        <v>10052.209000000001</v>
      </c>
      <c r="BQ1553" s="6">
        <f>Grandview_Inventory[[#This Row],[detatched_value]]*Lookups!$B$19</f>
        <v>3895.3034600000001</v>
      </c>
      <c r="BR1553" s="6">
        <f>SUM(Grandview_Inventory[[#This Row],[Intercept]:[det_value]])*Grandview_Inventory[[#This Row],[res_pct]]</f>
        <v>235862.47127700003</v>
      </c>
      <c r="BS1553" s="6">
        <f>Grandview_Inventory[[#This Row],[land_value]]</f>
        <v>49926.8031387023</v>
      </c>
      <c r="BT1553" s="4">
        <f>_xlfn.IFNA(VLOOKUP(Grandview_Inventory[[#This Row],[quality]],Lookups!$A$26:$C$33,3,FALSE),1)</f>
        <v>0.9690360070159818</v>
      </c>
      <c r="BU1553" s="4">
        <f>_xlfn.IFNA(VLOOKUP(Grandview_Inventory[[#This Row],[condition]],Lookups!$A$37:$C$44,3,FALSE),1)</f>
        <v>0.97383723671140243</v>
      </c>
      <c r="BV1553" s="4">
        <f>IF(Grandview_Inventory[[#This Row],[bldg_style]]="",1,_xlfn.IFNA(VLOOKUP(Grandview_Inventory[[#This Row],[decade]],Lookups!$F$29:$H$43,3,FALSE),1))</f>
        <v>0.92255236374249616</v>
      </c>
      <c r="BW1553" s="4">
        <f>_xlfn.IFNA(VLOOKUP(Grandview_Inventory[[#This Row],[living_area_range]],Lookups!$F$47:$H$56,3,FALSE),1)</f>
        <v>0.96135087979789358</v>
      </c>
      <c r="BX1553" s="4">
        <f>AVERAGE(Grandview_Inventory[[#This Row],[qual_adj]:[size_adj]])</f>
        <v>0.95669412181694347</v>
      </c>
      <c r="BY1553" s="6">
        <f>IF(Grandview_Inventory[[#This Row],[pre_res]]&lt;0,0,Grandview_Inventory[[#This Row],[pre_res]]*Grandview_Inventory[[#This Row],[overall_adj]])</f>
        <v>225648.23982792359</v>
      </c>
      <c r="BZ1553" s="6">
        <f>(Grandview_Inventory[[#This Row],[sum_land]]-IF(Grandview_Inventory[[#This Row],[no_utilities]]=1,12000,0))/IF(Grandview_Inventory[[#This Row],[unbuildable]]=1,2,1)</f>
        <v>49926.8031387023</v>
      </c>
      <c r="CA155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553">
        <f>ROUND(Grandview_Inventory[[#This Row],[det_value]]*Lookups!$M$28,-2)</f>
        <v>3700</v>
      </c>
      <c r="CC1553">
        <f>IF(ROUND(Grandview_Inventory[[#This Row],[adj_res]]*Lookups!$M$28,-2)&lt;Grandview_Inventory[[#This Row],[min_res]],Grandview_Inventory[[#This Row],[min_res]],ROUND(Grandview_Inventory[[#This Row],[adj_res]]*Lookups!$M$28,-2))</f>
        <v>214400</v>
      </c>
      <c r="CD1553">
        <f>Grandview_Inventory[[#This Row],[final_det]]+Grandview_Inventory[[#This Row],[final_res]]</f>
        <v>218100</v>
      </c>
      <c r="CE1553">
        <f>Grandview_Inventory[[#This Row],[final_land]]+Grandview_Inventory[[#This Row],[final_imp]]+Grandview_Inventory[[#This Row],[crop_value]]</f>
        <v>265500</v>
      </c>
      <c r="CG1553" t="str">
        <f t="shared" si="24"/>
        <v>update valuation set market_land =47400, market_bldg=218100, market_total =265500, market_mdno =401, market_date ='9/10/2023' where link_id = (select link_id from parcel where parcel_year = '2024' and parcel_id = '23092323571');</v>
      </c>
    </row>
    <row r="1554" spans="1:85" x14ac:dyDescent="0.25">
      <c r="A1554">
        <v>23092323572</v>
      </c>
      <c r="B1554">
        <v>0.22</v>
      </c>
      <c r="C1554">
        <v>9554</v>
      </c>
      <c r="D1554" t="s">
        <v>129</v>
      </c>
      <c r="E1554" t="s">
        <v>53</v>
      </c>
      <c r="F1554" t="s">
        <v>53</v>
      </c>
      <c r="G1554">
        <v>4</v>
      </c>
      <c r="H1554" t="s">
        <v>54</v>
      </c>
      <c r="I1554">
        <v>122300</v>
      </c>
      <c r="J1554">
        <v>40000</v>
      </c>
      <c r="K1554">
        <v>0.22</v>
      </c>
      <c r="L155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554">
        <v>0</v>
      </c>
      <c r="N1554">
        <v>0</v>
      </c>
      <c r="O1554">
        <v>0</v>
      </c>
      <c r="P1554">
        <v>13398.7528</v>
      </c>
      <c r="Q1554">
        <v>63903</v>
      </c>
      <c r="R1554">
        <f>(Grandview_Inventory[[#This Row],[ln_acres]]*Grandview_Inventory[[#This Row],[coeff]])+Grandview_Inventory[[#This Row],[const]]</f>
        <v>43615.576802869145</v>
      </c>
      <c r="S1554" t="s">
        <v>68</v>
      </c>
      <c r="T1554">
        <v>1</v>
      </c>
      <c r="U1554" t="s">
        <v>70</v>
      </c>
      <c r="V1554" t="s">
        <v>69</v>
      </c>
      <c r="W1554">
        <v>0</v>
      </c>
      <c r="X1554">
        <v>0</v>
      </c>
      <c r="Y1554">
        <v>51</v>
      </c>
      <c r="Z1554">
        <v>78</v>
      </c>
      <c r="AA1554">
        <v>80</v>
      </c>
      <c r="AB1554">
        <v>1500</v>
      </c>
      <c r="AC1554">
        <v>1348</v>
      </c>
      <c r="AD1554">
        <v>812</v>
      </c>
      <c r="AE1554">
        <v>0</v>
      </c>
      <c r="AF1554">
        <v>0</v>
      </c>
      <c r="AG1554">
        <v>536</v>
      </c>
      <c r="AH1554">
        <v>276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12</v>
      </c>
      <c r="AO1554">
        <v>0</v>
      </c>
      <c r="AP1554">
        <v>5</v>
      </c>
      <c r="AQ1554">
        <v>0</v>
      </c>
      <c r="AR1554">
        <v>0</v>
      </c>
      <c r="AS1554" t="s">
        <v>58</v>
      </c>
      <c r="AT1554">
        <v>1</v>
      </c>
      <c r="AU1554" t="s">
        <v>75</v>
      </c>
      <c r="AV1554" t="s">
        <v>60</v>
      </c>
      <c r="AW1554">
        <v>0</v>
      </c>
      <c r="AX1554">
        <v>2</v>
      </c>
      <c r="AY1554">
        <v>0</v>
      </c>
      <c r="AZ1554">
        <v>0</v>
      </c>
      <c r="BA1554">
        <v>100</v>
      </c>
      <c r="BB1554">
        <v>100</v>
      </c>
      <c r="BC1554">
        <v>100</v>
      </c>
      <c r="BD1554">
        <v>100</v>
      </c>
      <c r="BE1554">
        <v>1</v>
      </c>
      <c r="BF1554">
        <v>15000</v>
      </c>
      <c r="BG1554">
        <v>1000</v>
      </c>
      <c r="BH1554" s="6">
        <f>Grandview_Inventory[[#This Row],[land_extract]]*Lookups!$B$3</f>
        <v>50650.651579114572</v>
      </c>
      <c r="BI1554" s="6">
        <f>IF(Grandview_Inventory[[#This Row],[bldg_style]]="",0,Lookups!$B$2)</f>
        <v>155833.95000000001</v>
      </c>
      <c r="BJ1554" s="6">
        <f>_xlfn.IFNA(VLOOKUP(Grandview_Inventory[[#This Row],[quality]],Lookups!$H$2:$J$14,3,FALSE),0)</f>
        <v>10733</v>
      </c>
      <c r="BK1554" s="6">
        <f>_xlfn.IFNA(VLOOKUP(Grandview_Inventory[[#This Row],[condition]],Lookups!$H$17:$J$24,3,FALSE),0)</f>
        <v>-4503</v>
      </c>
      <c r="BL1554" s="6">
        <f>Grandview_Inventory[[#This Row],[Eff_Age]]*Lookups!$B$14</f>
        <v>-12197.496599999999</v>
      </c>
      <c r="BM1554" s="6">
        <f>Grandview_Inventory[[#This Row],[living_area]]*Lookups!$B$15</f>
        <v>84089.389844000005</v>
      </c>
      <c r="BN1554" s="6">
        <f>Grandview_Inventory[[#This Row],[Fin BSMT]]*Lookups!$B$16</f>
        <v>-14525.192640000001</v>
      </c>
      <c r="BO1554" s="6">
        <f>(Grandview_Inventory[[#This Row],[att_gar]]+Grandview_Inventory[[#This Row],[bltin_gar]])*Lookups!$B$17</f>
        <v>0</v>
      </c>
      <c r="BP1554" s="6">
        <f>Grandview_Inventory[[#This Row],[Plumbing Fixtures]]*Lookups!$B$18</f>
        <v>10052.209000000001</v>
      </c>
      <c r="BQ1554" s="6">
        <f>Grandview_Inventory[[#This Row],[detatched_value]]*Lookups!$B$19</f>
        <v>0</v>
      </c>
      <c r="BR1554" s="6">
        <f>SUM(Grandview_Inventory[[#This Row],[Intercept]:[det_value]])*Grandview_Inventory[[#This Row],[res_pct]]</f>
        <v>229482.859604</v>
      </c>
      <c r="BS1554" s="6">
        <f>Grandview_Inventory[[#This Row],[land_value]]</f>
        <v>50650.651579114572</v>
      </c>
      <c r="BT1554" s="4">
        <f>_xlfn.IFNA(VLOOKUP(Grandview_Inventory[[#This Row],[quality]],Lookups!$A$26:$C$33,3,FALSE),1)</f>
        <v>0.98079741117310582</v>
      </c>
      <c r="BU1554" s="4">
        <f>_xlfn.IFNA(VLOOKUP(Grandview_Inventory[[#This Row],[condition]],Lookups!$A$37:$C$44,3,FALSE),1)</f>
        <v>0.96469275950863709</v>
      </c>
      <c r="BV1554" s="4">
        <f>IF(Grandview_Inventory[[#This Row],[bldg_style]]="",1,_xlfn.IFNA(VLOOKUP(Grandview_Inventory[[#This Row],[decade]],Lookups!$F$29:$H$43,3,FALSE),1))</f>
        <v>0.98763256963907298</v>
      </c>
      <c r="BW1554" s="4">
        <f>_xlfn.IFNA(VLOOKUP(Grandview_Inventory[[#This Row],[living_area_range]],Lookups!$F$47:$H$56,3,FALSE),1)</f>
        <v>0.96135087979789358</v>
      </c>
      <c r="BX1554" s="4">
        <f>AVERAGE(Grandview_Inventory[[#This Row],[qual_adj]:[size_adj]])</f>
        <v>0.97361840502967734</v>
      </c>
      <c r="BY1554" s="6">
        <f>IF(Grandview_Inventory[[#This Row],[pre_res]]&lt;0,0,Grandview_Inventory[[#This Row],[pre_res]]*Grandview_Inventory[[#This Row],[overall_adj]])</f>
        <v>223428.73574929585</v>
      </c>
      <c r="BZ1554" s="6">
        <f>(Grandview_Inventory[[#This Row],[sum_land]]-IF(Grandview_Inventory[[#This Row],[no_utilities]]=1,12000,0))/IF(Grandview_Inventory[[#This Row],[unbuildable]]=1,2,1)</f>
        <v>50650.651579114572</v>
      </c>
      <c r="CA155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554">
        <f>ROUND(Grandview_Inventory[[#This Row],[det_value]]*Lookups!$M$28,-2)</f>
        <v>0</v>
      </c>
      <c r="CC1554">
        <f>IF(ROUND(Grandview_Inventory[[#This Row],[adj_res]]*Lookups!$M$28,-2)&lt;Grandview_Inventory[[#This Row],[min_res]],Grandview_Inventory[[#This Row],[min_res]],ROUND(Grandview_Inventory[[#This Row],[adj_res]]*Lookups!$M$28,-2))</f>
        <v>212300</v>
      </c>
      <c r="CD1554">
        <f>Grandview_Inventory[[#This Row],[final_det]]+Grandview_Inventory[[#This Row],[final_res]]</f>
        <v>212300</v>
      </c>
      <c r="CE1554">
        <f>Grandview_Inventory[[#This Row],[final_land]]+Grandview_Inventory[[#This Row],[final_imp]]+Grandview_Inventory[[#This Row],[crop_value]]</f>
        <v>260400</v>
      </c>
      <c r="CG1554" t="str">
        <f t="shared" si="24"/>
        <v>update valuation set market_land =48100, market_bldg=212300, market_total =260400, market_mdno =401, market_date ='9/10/2023' where link_id = (select link_id from parcel where parcel_year = '2024' and parcel_id = '23092323572');</v>
      </c>
    </row>
    <row r="1555" spans="1:85" x14ac:dyDescent="0.25">
      <c r="A1555">
        <v>23092323573</v>
      </c>
      <c r="B1555">
        <v>0.22</v>
      </c>
      <c r="C1555">
        <v>9756</v>
      </c>
      <c r="D1555" t="s">
        <v>129</v>
      </c>
      <c r="E1555" t="s">
        <v>53</v>
      </c>
      <c r="F1555" t="s">
        <v>53</v>
      </c>
      <c r="G1555">
        <v>4</v>
      </c>
      <c r="H1555" t="s">
        <v>54</v>
      </c>
      <c r="I1555">
        <v>104000</v>
      </c>
      <c r="J1555">
        <v>40000</v>
      </c>
      <c r="K1555">
        <v>0.22</v>
      </c>
      <c r="L155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555">
        <v>0</v>
      </c>
      <c r="N1555">
        <v>0</v>
      </c>
      <c r="O1555">
        <v>0</v>
      </c>
      <c r="P1555">
        <v>13398.7528</v>
      </c>
      <c r="Q1555">
        <v>63903</v>
      </c>
      <c r="R1555">
        <f>(Grandview_Inventory[[#This Row],[ln_acres]]*Grandview_Inventory[[#This Row],[coeff]])+Grandview_Inventory[[#This Row],[const]]</f>
        <v>43615.576802869145</v>
      </c>
      <c r="S1555" t="s">
        <v>68</v>
      </c>
      <c r="T1555">
        <v>1</v>
      </c>
      <c r="U1555" t="s">
        <v>80</v>
      </c>
      <c r="V1555" t="s">
        <v>69</v>
      </c>
      <c r="W1555">
        <v>0</v>
      </c>
      <c r="X1555">
        <v>0</v>
      </c>
      <c r="Y1555">
        <v>53</v>
      </c>
      <c r="Z1555">
        <v>93</v>
      </c>
      <c r="AA1555">
        <v>100</v>
      </c>
      <c r="AB1555">
        <v>1000</v>
      </c>
      <c r="AC1555">
        <v>848</v>
      </c>
      <c r="AD1555">
        <v>848</v>
      </c>
      <c r="AE1555">
        <v>0</v>
      </c>
      <c r="AF1555">
        <v>0</v>
      </c>
      <c r="AG1555">
        <v>0</v>
      </c>
      <c r="AH1555">
        <v>848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128</v>
      </c>
      <c r="AO1555">
        <v>0</v>
      </c>
      <c r="AP1555">
        <v>5</v>
      </c>
      <c r="AQ1555">
        <v>1</v>
      </c>
      <c r="AR1555">
        <v>0</v>
      </c>
      <c r="AS1555" t="s">
        <v>58</v>
      </c>
      <c r="AT1555">
        <v>1</v>
      </c>
      <c r="AU1555" t="s">
        <v>63</v>
      </c>
      <c r="AV1555" t="s">
        <v>64</v>
      </c>
      <c r="AW1555">
        <v>0</v>
      </c>
      <c r="AX1555">
        <v>2</v>
      </c>
      <c r="AY1555">
        <v>0</v>
      </c>
      <c r="AZ1555">
        <v>3400</v>
      </c>
      <c r="BA1555">
        <v>100</v>
      </c>
      <c r="BB1555">
        <v>100</v>
      </c>
      <c r="BC1555">
        <v>100</v>
      </c>
      <c r="BD1555">
        <v>100</v>
      </c>
      <c r="BE1555">
        <v>1</v>
      </c>
      <c r="BF1555">
        <v>15000</v>
      </c>
      <c r="BG1555">
        <v>1000</v>
      </c>
      <c r="BH1555" s="6">
        <f>Grandview_Inventory[[#This Row],[land_extract]]*Lookups!$B$3</f>
        <v>50650.651579114572</v>
      </c>
      <c r="BI1555" s="6">
        <f>IF(Grandview_Inventory[[#This Row],[bldg_style]]="",0,Lookups!$B$2)</f>
        <v>155833.95000000001</v>
      </c>
      <c r="BJ1555" s="6">
        <f>_xlfn.IFNA(VLOOKUP(Grandview_Inventory[[#This Row],[quality]],Lookups!$H$2:$J$14,3,FALSE),0)</f>
        <v>-28558</v>
      </c>
      <c r="BK1555" s="6">
        <f>_xlfn.IFNA(VLOOKUP(Grandview_Inventory[[#This Row],[condition]],Lookups!$H$17:$J$24,3,FALSE),0)</f>
        <v>-4503</v>
      </c>
      <c r="BL1555" s="6">
        <f>Grandview_Inventory[[#This Row],[Eff_Age]]*Lookups!$B$14</f>
        <v>-12675.8298</v>
      </c>
      <c r="BM1555" s="6">
        <f>Grandview_Inventory[[#This Row],[living_area]]*Lookups!$B$15</f>
        <v>52898.963344000003</v>
      </c>
      <c r="BN1555" s="6">
        <f>Grandview_Inventory[[#This Row],[Fin BSMT]]*Lookups!$B$16</f>
        <v>0</v>
      </c>
      <c r="BO1555" s="6">
        <f>(Grandview_Inventory[[#This Row],[att_gar]]+Grandview_Inventory[[#This Row],[bltin_gar]])*Lookups!$B$17</f>
        <v>0</v>
      </c>
      <c r="BP1555" s="6">
        <f>Grandview_Inventory[[#This Row],[Plumbing Fixtures]]*Lookups!$B$18</f>
        <v>10052.209000000001</v>
      </c>
      <c r="BQ1555" s="6">
        <f>Grandview_Inventory[[#This Row],[detatched_value]]*Lookups!$B$19</f>
        <v>2879.1373399999998</v>
      </c>
      <c r="BR1555" s="6">
        <f>SUM(Grandview_Inventory[[#This Row],[Intercept]:[det_value]])*Grandview_Inventory[[#This Row],[res_pct]]</f>
        <v>175927.42988399998</v>
      </c>
      <c r="BS1555" s="6">
        <f>Grandview_Inventory[[#This Row],[land_value]]</f>
        <v>50650.651579114572</v>
      </c>
      <c r="BT1555" s="4">
        <f>_xlfn.IFNA(VLOOKUP(Grandview_Inventory[[#This Row],[quality]],Lookups!$A$26:$C$33,3,FALSE),1)</f>
        <v>0.9690360070159818</v>
      </c>
      <c r="BU1555" s="4">
        <f>_xlfn.IFNA(VLOOKUP(Grandview_Inventory[[#This Row],[condition]],Lookups!$A$37:$C$44,3,FALSE),1)</f>
        <v>0.96469275950863709</v>
      </c>
      <c r="BV1555" s="4">
        <f>IF(Grandview_Inventory[[#This Row],[bldg_style]]="",1,_xlfn.IFNA(VLOOKUP(Grandview_Inventory[[#This Row],[decade]],Lookups!$F$29:$H$43,3,FALSE),1))</f>
        <v>0.95244691841736806</v>
      </c>
      <c r="BW1555" s="4">
        <f>_xlfn.IFNA(VLOOKUP(Grandview_Inventory[[#This Row],[living_area_range]],Lookups!$F$47:$H$56,3,FALSE),1)</f>
        <v>0.94306777142782894</v>
      </c>
      <c r="BX1555" s="4">
        <f>AVERAGE(Grandview_Inventory[[#This Row],[qual_adj]:[size_adj]])</f>
        <v>0.95731086409245392</v>
      </c>
      <c r="BY1555" s="6">
        <f>IF(Grandview_Inventory[[#This Row],[pre_res]]&lt;0,0,Grandview_Inventory[[#This Row],[pre_res]]*Grandview_Inventory[[#This Row],[overall_adj]])</f>
        <v>168417.23991981661</v>
      </c>
      <c r="BZ1555" s="6">
        <f>(Grandview_Inventory[[#This Row],[sum_land]]-IF(Grandview_Inventory[[#This Row],[no_utilities]]=1,12000,0))/IF(Grandview_Inventory[[#This Row],[unbuildable]]=1,2,1)</f>
        <v>50650.651579114572</v>
      </c>
      <c r="CA155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555">
        <f>ROUND(Grandview_Inventory[[#This Row],[det_value]]*Lookups!$M$28,-2)</f>
        <v>2700</v>
      </c>
      <c r="CC1555">
        <f>IF(ROUND(Grandview_Inventory[[#This Row],[adj_res]]*Lookups!$M$28,-2)&lt;Grandview_Inventory[[#This Row],[min_res]],Grandview_Inventory[[#This Row],[min_res]],ROUND(Grandview_Inventory[[#This Row],[adj_res]]*Lookups!$M$28,-2))</f>
        <v>160000</v>
      </c>
      <c r="CD1555">
        <f>Grandview_Inventory[[#This Row],[final_det]]+Grandview_Inventory[[#This Row],[final_res]]</f>
        <v>162700</v>
      </c>
      <c r="CE1555">
        <f>Grandview_Inventory[[#This Row],[final_land]]+Grandview_Inventory[[#This Row],[final_imp]]+Grandview_Inventory[[#This Row],[crop_value]]</f>
        <v>210800</v>
      </c>
      <c r="CG1555" t="str">
        <f t="shared" si="24"/>
        <v>update valuation set market_land =48100, market_bldg=162700, market_total =210800, market_mdno =401, market_date ='9/10/2023' where link_id = (select link_id from parcel where parcel_year = '2024' and parcel_id = '23092323573');</v>
      </c>
    </row>
    <row r="1556" spans="1:85" x14ac:dyDescent="0.25">
      <c r="A1556">
        <v>23092323574</v>
      </c>
      <c r="B1556">
        <v>0.2</v>
      </c>
      <c r="C1556">
        <v>8666</v>
      </c>
      <c r="D1556" t="s">
        <v>129</v>
      </c>
      <c r="E1556" t="s">
        <v>53</v>
      </c>
      <c r="F1556" t="s">
        <v>53</v>
      </c>
      <c r="G1556">
        <v>4</v>
      </c>
      <c r="H1556" t="s">
        <v>54</v>
      </c>
      <c r="I1556">
        <v>109300</v>
      </c>
      <c r="J1556">
        <v>39800</v>
      </c>
      <c r="K1556">
        <v>0.2</v>
      </c>
      <c r="L155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556">
        <v>0</v>
      </c>
      <c r="N1556">
        <v>0</v>
      </c>
      <c r="O1556">
        <v>0</v>
      </c>
      <c r="P1556">
        <v>13398.7528</v>
      </c>
      <c r="Q1556">
        <v>63903</v>
      </c>
      <c r="R1556">
        <f>(Grandview_Inventory[[#This Row],[ln_acres]]*Grandview_Inventory[[#This Row],[coeff]])+Grandview_Inventory[[#This Row],[const]]</f>
        <v>42338.539264347448</v>
      </c>
      <c r="S1556" t="s">
        <v>68</v>
      </c>
      <c r="T1556">
        <v>1</v>
      </c>
      <c r="U1556" t="s">
        <v>65</v>
      </c>
      <c r="V1556" t="s">
        <v>69</v>
      </c>
      <c r="W1556">
        <v>0</v>
      </c>
      <c r="X1556">
        <v>0</v>
      </c>
      <c r="Y1556">
        <v>51</v>
      </c>
      <c r="Z1556">
        <v>83</v>
      </c>
      <c r="AA1556">
        <v>90</v>
      </c>
      <c r="AB1556">
        <v>1000</v>
      </c>
      <c r="AC1556">
        <v>980</v>
      </c>
      <c r="AD1556">
        <v>754</v>
      </c>
      <c r="AE1556">
        <v>0</v>
      </c>
      <c r="AF1556">
        <v>0</v>
      </c>
      <c r="AG1556">
        <v>226</v>
      </c>
      <c r="AH1556">
        <v>528</v>
      </c>
      <c r="AI1556">
        <v>0</v>
      </c>
      <c r="AJ1556">
        <v>0</v>
      </c>
      <c r="AK1556">
        <v>0</v>
      </c>
      <c r="AL1556">
        <v>0</v>
      </c>
      <c r="AM1556">
        <v>336</v>
      </c>
      <c r="AN1556">
        <v>0</v>
      </c>
      <c r="AO1556">
        <v>336</v>
      </c>
      <c r="AP1556">
        <v>5</v>
      </c>
      <c r="AQ1556">
        <v>0</v>
      </c>
      <c r="AR1556">
        <v>0</v>
      </c>
      <c r="AS1556" t="s">
        <v>58</v>
      </c>
      <c r="AT1556">
        <v>1</v>
      </c>
      <c r="AU1556" t="s">
        <v>63</v>
      </c>
      <c r="AV1556" t="s">
        <v>60</v>
      </c>
      <c r="AW1556">
        <v>0</v>
      </c>
      <c r="AX1556">
        <v>1</v>
      </c>
      <c r="AY1556">
        <v>0</v>
      </c>
      <c r="AZ1556">
        <v>7000</v>
      </c>
      <c r="BA1556">
        <v>100</v>
      </c>
      <c r="BB1556">
        <v>100</v>
      </c>
      <c r="BC1556">
        <v>100</v>
      </c>
      <c r="BD1556">
        <v>100</v>
      </c>
      <c r="BE1556">
        <v>1</v>
      </c>
      <c r="BF1556">
        <v>15000</v>
      </c>
      <c r="BG1556">
        <v>1000</v>
      </c>
      <c r="BH1556" s="6">
        <f>Grandview_Inventory[[#This Row],[land_extract]]*Lookups!$B$3</f>
        <v>49167.631333630678</v>
      </c>
      <c r="BI1556" s="6">
        <f>IF(Grandview_Inventory[[#This Row],[bldg_style]]="",0,Lookups!$B$2)</f>
        <v>155833.95000000001</v>
      </c>
      <c r="BJ1556" s="6">
        <f>_xlfn.IFNA(VLOOKUP(Grandview_Inventory[[#This Row],[quality]],Lookups!$H$2:$J$14,3,FALSE),0)</f>
        <v>2251</v>
      </c>
      <c r="BK1556" s="6">
        <f>_xlfn.IFNA(VLOOKUP(Grandview_Inventory[[#This Row],[condition]],Lookups!$H$17:$J$24,3,FALSE),0)</f>
        <v>-4503</v>
      </c>
      <c r="BL1556" s="6">
        <f>Grandview_Inventory[[#This Row],[Eff_Age]]*Lookups!$B$14</f>
        <v>-12197.496599999999</v>
      </c>
      <c r="BM1556" s="6">
        <f>Grandview_Inventory[[#This Row],[living_area]]*Lookups!$B$15</f>
        <v>61133.235939999999</v>
      </c>
      <c r="BN1556" s="6">
        <f>Grandview_Inventory[[#This Row],[Fin BSMT]]*Lookups!$B$16</f>
        <v>-6124.4282400000002</v>
      </c>
      <c r="BO1556" s="6">
        <f>(Grandview_Inventory[[#This Row],[att_gar]]+Grandview_Inventory[[#This Row],[bltin_gar]])*Lookups!$B$17</f>
        <v>0</v>
      </c>
      <c r="BP1556" s="6">
        <f>Grandview_Inventory[[#This Row],[Plumbing Fixtures]]*Lookups!$B$18</f>
        <v>10052.209000000001</v>
      </c>
      <c r="BQ1556" s="6">
        <f>Grandview_Inventory[[#This Row],[detatched_value]]*Lookups!$B$19</f>
        <v>5927.6356999999998</v>
      </c>
      <c r="BR1556" s="6">
        <f>SUM(Grandview_Inventory[[#This Row],[Intercept]:[det_value]])*Grandview_Inventory[[#This Row],[res_pct]]</f>
        <v>212373.10579999999</v>
      </c>
      <c r="BS1556" s="6">
        <f>Grandview_Inventory[[#This Row],[land_value]]</f>
        <v>49167.631333630678</v>
      </c>
      <c r="BT1556" s="4">
        <f>_xlfn.IFNA(VLOOKUP(Grandview_Inventory[[#This Row],[quality]],Lookups!$A$26:$C$33,3,FALSE),1)</f>
        <v>0.98763855981004833</v>
      </c>
      <c r="BU1556" s="4">
        <f>_xlfn.IFNA(VLOOKUP(Grandview_Inventory[[#This Row],[condition]],Lookups!$A$37:$C$44,3,FALSE),1)</f>
        <v>0.96469275950863709</v>
      </c>
      <c r="BV1556" s="4">
        <f>IF(Grandview_Inventory[[#This Row],[bldg_style]]="",1,_xlfn.IFNA(VLOOKUP(Grandview_Inventory[[#This Row],[decade]],Lookups!$F$29:$H$43,3,FALSE),1))</f>
        <v>0.94161750052457416</v>
      </c>
      <c r="BW1556" s="4">
        <f>_xlfn.IFNA(VLOOKUP(Grandview_Inventory[[#This Row],[living_area_range]],Lookups!$F$47:$H$56,3,FALSE),1)</f>
        <v>0.94306777142782894</v>
      </c>
      <c r="BX1556" s="4">
        <f>AVERAGE(Grandview_Inventory[[#This Row],[qual_adj]:[size_adj]])</f>
        <v>0.95925414781777207</v>
      </c>
      <c r="BY1556" s="6">
        <f>IF(Grandview_Inventory[[#This Row],[pre_res]]&lt;0,0,Grandview_Inventory[[#This Row],[pre_res]]*Grandview_Inventory[[#This Row],[overall_adj]])</f>
        <v>203719.78262359253</v>
      </c>
      <c r="BZ1556" s="6">
        <f>(Grandview_Inventory[[#This Row],[sum_land]]-IF(Grandview_Inventory[[#This Row],[no_utilities]]=1,12000,0))/IF(Grandview_Inventory[[#This Row],[unbuildable]]=1,2,1)</f>
        <v>49167.631333630678</v>
      </c>
      <c r="CA155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556">
        <f>ROUND(Grandview_Inventory[[#This Row],[det_value]]*Lookups!$M$28,-2)</f>
        <v>5600</v>
      </c>
      <c r="CC1556">
        <f>IF(ROUND(Grandview_Inventory[[#This Row],[adj_res]]*Lookups!$M$28,-2)&lt;Grandview_Inventory[[#This Row],[min_res]],Grandview_Inventory[[#This Row],[min_res]],ROUND(Grandview_Inventory[[#This Row],[adj_res]]*Lookups!$M$28,-2))</f>
        <v>193500</v>
      </c>
      <c r="CD1556">
        <f>Grandview_Inventory[[#This Row],[final_det]]+Grandview_Inventory[[#This Row],[final_res]]</f>
        <v>199100</v>
      </c>
      <c r="CE1556">
        <f>Grandview_Inventory[[#This Row],[final_land]]+Grandview_Inventory[[#This Row],[final_imp]]+Grandview_Inventory[[#This Row],[crop_value]]</f>
        <v>245800</v>
      </c>
      <c r="CG1556" t="str">
        <f t="shared" si="24"/>
        <v>update valuation set market_land =46700, market_bldg=199100, market_total =245800, market_mdno =401, market_date ='9/10/2023' where link_id = (select link_id from parcel where parcel_year = '2024' and parcel_id = '23092323574');</v>
      </c>
    </row>
    <row r="1557" spans="1:85" x14ac:dyDescent="0.25">
      <c r="A1557">
        <v>23092323575</v>
      </c>
      <c r="B1557">
        <v>0.18</v>
      </c>
      <c r="C1557">
        <v>7714</v>
      </c>
      <c r="D1557" t="s">
        <v>129</v>
      </c>
      <c r="E1557" t="s">
        <v>53</v>
      </c>
      <c r="F1557" t="s">
        <v>53</v>
      </c>
      <c r="G1557">
        <v>4</v>
      </c>
      <c r="H1557" t="s">
        <v>54</v>
      </c>
      <c r="I1557">
        <v>119300</v>
      </c>
      <c r="J1557">
        <v>39300</v>
      </c>
      <c r="K1557">
        <v>0.18</v>
      </c>
      <c r="L155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57">
        <v>0</v>
      </c>
      <c r="N1557">
        <v>0</v>
      </c>
      <c r="O1557">
        <v>0</v>
      </c>
      <c r="P1557">
        <v>13398.7528</v>
      </c>
      <c r="Q1557">
        <v>63903</v>
      </c>
      <c r="R1557">
        <f>(Grandview_Inventory[[#This Row],[ln_acres]]*Grandview_Inventory[[#This Row],[coeff]])+Grandview_Inventory[[#This Row],[const]]</f>
        <v>40926.839760167699</v>
      </c>
      <c r="S1557" t="s">
        <v>68</v>
      </c>
      <c r="T1557">
        <v>1</v>
      </c>
      <c r="U1557" t="s">
        <v>70</v>
      </c>
      <c r="V1557" t="s">
        <v>69</v>
      </c>
      <c r="W1557">
        <v>0</v>
      </c>
      <c r="X1557">
        <v>0</v>
      </c>
      <c r="Y1557">
        <v>52</v>
      </c>
      <c r="Z1557">
        <v>88</v>
      </c>
      <c r="AA1557">
        <v>90</v>
      </c>
      <c r="AB1557">
        <v>1500</v>
      </c>
      <c r="AC1557">
        <v>1118</v>
      </c>
      <c r="AD1557">
        <v>1118</v>
      </c>
      <c r="AE1557">
        <v>0</v>
      </c>
      <c r="AF1557">
        <v>0</v>
      </c>
      <c r="AG1557">
        <v>0</v>
      </c>
      <c r="AH1557">
        <v>840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120</v>
      </c>
      <c r="AO1557">
        <v>0</v>
      </c>
      <c r="AP1557">
        <v>5</v>
      </c>
      <c r="AQ1557">
        <v>0</v>
      </c>
      <c r="AR1557">
        <v>0</v>
      </c>
      <c r="AS1557" t="s">
        <v>58</v>
      </c>
      <c r="AT1557">
        <v>1</v>
      </c>
      <c r="AU1557" t="s">
        <v>63</v>
      </c>
      <c r="AV1557" t="s">
        <v>64</v>
      </c>
      <c r="AW1557">
        <v>0</v>
      </c>
      <c r="AX1557">
        <v>2</v>
      </c>
      <c r="AY1557">
        <v>0</v>
      </c>
      <c r="AZ1557">
        <v>0</v>
      </c>
      <c r="BA1557">
        <v>100</v>
      </c>
      <c r="BB1557">
        <v>100</v>
      </c>
      <c r="BC1557">
        <v>100</v>
      </c>
      <c r="BD1557">
        <v>100</v>
      </c>
      <c r="BE1557">
        <v>1</v>
      </c>
      <c r="BF1557">
        <v>15000</v>
      </c>
      <c r="BG1557">
        <v>1000</v>
      </c>
      <c r="BH1557" s="6">
        <f>Grandview_Inventory[[#This Row],[land_extract]]*Lookups!$B$3</f>
        <v>47528.228511015397</v>
      </c>
      <c r="BI1557" s="6">
        <f>IF(Grandview_Inventory[[#This Row],[bldg_style]]="",0,Lookups!$B$2)</f>
        <v>155833.95000000001</v>
      </c>
      <c r="BJ1557" s="6">
        <f>_xlfn.IFNA(VLOOKUP(Grandview_Inventory[[#This Row],[quality]],Lookups!$H$2:$J$14,3,FALSE),0)</f>
        <v>10733</v>
      </c>
      <c r="BK1557" s="6">
        <f>_xlfn.IFNA(VLOOKUP(Grandview_Inventory[[#This Row],[condition]],Lookups!$H$17:$J$24,3,FALSE),0)</f>
        <v>-4503</v>
      </c>
      <c r="BL1557" s="6">
        <f>Grandview_Inventory[[#This Row],[Eff_Age]]*Lookups!$B$14</f>
        <v>-12436.663199999999</v>
      </c>
      <c r="BM1557" s="6">
        <f>Grandview_Inventory[[#This Row],[living_area]]*Lookups!$B$15</f>
        <v>69741.793654000008</v>
      </c>
      <c r="BN1557" s="6">
        <f>Grandview_Inventory[[#This Row],[Fin BSMT]]*Lookups!$B$16</f>
        <v>0</v>
      </c>
      <c r="BO1557" s="6">
        <f>(Grandview_Inventory[[#This Row],[att_gar]]+Grandview_Inventory[[#This Row],[bltin_gar]])*Lookups!$B$17</f>
        <v>0</v>
      </c>
      <c r="BP1557" s="6">
        <f>Grandview_Inventory[[#This Row],[Plumbing Fixtures]]*Lookups!$B$18</f>
        <v>10052.209000000001</v>
      </c>
      <c r="BQ1557" s="6">
        <f>Grandview_Inventory[[#This Row],[detatched_value]]*Lookups!$B$19</f>
        <v>0</v>
      </c>
      <c r="BR1557" s="6">
        <f>SUM(Grandview_Inventory[[#This Row],[Intercept]:[det_value]])*Grandview_Inventory[[#This Row],[res_pct]]</f>
        <v>229421.28945400001</v>
      </c>
      <c r="BS1557" s="6">
        <f>Grandview_Inventory[[#This Row],[land_value]]</f>
        <v>47528.228511015397</v>
      </c>
      <c r="BT1557" s="4">
        <f>_xlfn.IFNA(VLOOKUP(Grandview_Inventory[[#This Row],[quality]],Lookups!$A$26:$C$33,3,FALSE),1)</f>
        <v>0.98079741117310582</v>
      </c>
      <c r="BU1557" s="4">
        <f>_xlfn.IFNA(VLOOKUP(Grandview_Inventory[[#This Row],[condition]],Lookups!$A$37:$C$44,3,FALSE),1)</f>
        <v>0.96469275950863709</v>
      </c>
      <c r="BV1557" s="4">
        <f>IF(Grandview_Inventory[[#This Row],[bldg_style]]="",1,_xlfn.IFNA(VLOOKUP(Grandview_Inventory[[#This Row],[decade]],Lookups!$F$29:$H$43,3,FALSE),1))</f>
        <v>0.94161750052457416</v>
      </c>
      <c r="BW1557" s="4">
        <f>_xlfn.IFNA(VLOOKUP(Grandview_Inventory[[#This Row],[living_area_range]],Lookups!$F$47:$H$56,3,FALSE),1)</f>
        <v>0.96135087979789358</v>
      </c>
      <c r="BX1557" s="4">
        <f>AVERAGE(Grandview_Inventory[[#This Row],[qual_adj]:[size_adj]])</f>
        <v>0.96211463775105266</v>
      </c>
      <c r="BY1557" s="6">
        <f>IF(Grandview_Inventory[[#This Row],[pre_res]]&lt;0,0,Grandview_Inventory[[#This Row],[pre_res]]*Grandview_Inventory[[#This Row],[overall_adj]])</f>
        <v>220729.58079541463</v>
      </c>
      <c r="BZ1557" s="6">
        <f>(Grandview_Inventory[[#This Row],[sum_land]]-IF(Grandview_Inventory[[#This Row],[no_utilities]]=1,12000,0))/IF(Grandview_Inventory[[#This Row],[unbuildable]]=1,2,1)</f>
        <v>47528.228511015397</v>
      </c>
      <c r="CA155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57">
        <f>ROUND(Grandview_Inventory[[#This Row],[det_value]]*Lookups!$M$28,-2)</f>
        <v>0</v>
      </c>
      <c r="CC1557">
        <f>IF(ROUND(Grandview_Inventory[[#This Row],[adj_res]]*Lookups!$M$28,-2)&lt;Grandview_Inventory[[#This Row],[min_res]],Grandview_Inventory[[#This Row],[min_res]],ROUND(Grandview_Inventory[[#This Row],[adj_res]]*Lookups!$M$28,-2))</f>
        <v>209700</v>
      </c>
      <c r="CD1557">
        <f>Grandview_Inventory[[#This Row],[final_det]]+Grandview_Inventory[[#This Row],[final_res]]</f>
        <v>209700</v>
      </c>
      <c r="CE1557">
        <f>Grandview_Inventory[[#This Row],[final_land]]+Grandview_Inventory[[#This Row],[final_imp]]+Grandview_Inventory[[#This Row],[crop_value]]</f>
        <v>254900</v>
      </c>
      <c r="CG1557" t="str">
        <f t="shared" si="24"/>
        <v>update valuation set market_land =45200, market_bldg=209700, market_total =254900, market_mdno =401, market_date ='9/10/2023' where link_id = (select link_id from parcel where parcel_year = '2024' and parcel_id = '23092323575');</v>
      </c>
    </row>
    <row r="1558" spans="1:85" x14ac:dyDescent="0.25">
      <c r="A1558">
        <v>23092323576</v>
      </c>
      <c r="B1558">
        <v>0.19</v>
      </c>
      <c r="C1558">
        <v>8396</v>
      </c>
      <c r="D1558" t="s">
        <v>129</v>
      </c>
      <c r="E1558" t="s">
        <v>53</v>
      </c>
      <c r="F1558" t="s">
        <v>53</v>
      </c>
      <c r="G1558">
        <v>4</v>
      </c>
      <c r="H1558" t="s">
        <v>54</v>
      </c>
      <c r="I1558">
        <v>74300</v>
      </c>
      <c r="J1558">
        <v>39700</v>
      </c>
      <c r="K1558">
        <v>0.19</v>
      </c>
      <c r="L155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58">
        <v>0</v>
      </c>
      <c r="N1558">
        <v>0</v>
      </c>
      <c r="O1558">
        <v>0</v>
      </c>
      <c r="P1558">
        <v>13398.7528</v>
      </c>
      <c r="Q1558">
        <v>63903</v>
      </c>
      <c r="R1558">
        <f>(Grandview_Inventory[[#This Row],[ln_acres]]*Grandview_Inventory[[#This Row],[coeff]])+Grandview_Inventory[[#This Row],[const]]</f>
        <v>41651.273092551026</v>
      </c>
      <c r="S1558" t="s">
        <v>68</v>
      </c>
      <c r="T1558">
        <v>1</v>
      </c>
      <c r="U1558" t="s">
        <v>80</v>
      </c>
      <c r="V1558" t="s">
        <v>78</v>
      </c>
      <c r="W1558">
        <v>0</v>
      </c>
      <c r="X1558">
        <v>0</v>
      </c>
      <c r="Y1558">
        <v>51</v>
      </c>
      <c r="Z1558">
        <v>83</v>
      </c>
      <c r="AA1558">
        <v>90</v>
      </c>
      <c r="AB1558">
        <v>1000</v>
      </c>
      <c r="AC1558">
        <v>648</v>
      </c>
      <c r="AD1558">
        <v>648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56</v>
      </c>
      <c r="AN1558">
        <v>0</v>
      </c>
      <c r="AO1558">
        <v>56</v>
      </c>
      <c r="AP1558">
        <v>5</v>
      </c>
      <c r="AQ1558">
        <v>0</v>
      </c>
      <c r="AR1558">
        <v>0</v>
      </c>
      <c r="AS1558" t="s">
        <v>76</v>
      </c>
      <c r="AT1558">
        <v>1</v>
      </c>
      <c r="AU1558" t="s">
        <v>75</v>
      </c>
      <c r="AV1558" t="s">
        <v>60</v>
      </c>
      <c r="AW1558">
        <v>0</v>
      </c>
      <c r="AX1558">
        <v>2</v>
      </c>
      <c r="AY1558">
        <v>0</v>
      </c>
      <c r="AZ1558">
        <v>0</v>
      </c>
      <c r="BA1558">
        <v>100</v>
      </c>
      <c r="BB1558">
        <v>100</v>
      </c>
      <c r="BC1558">
        <v>100</v>
      </c>
      <c r="BD1558">
        <v>100</v>
      </c>
      <c r="BE1558">
        <v>1</v>
      </c>
      <c r="BF1558">
        <v>15000</v>
      </c>
      <c r="BG1558">
        <v>1000</v>
      </c>
      <c r="BH1558" s="6">
        <f>Grandview_Inventory[[#This Row],[land_extract]]*Lookups!$B$3</f>
        <v>48369.510983942157</v>
      </c>
      <c r="BI1558" s="6">
        <f>IF(Grandview_Inventory[[#This Row],[bldg_style]]="",0,Lookups!$B$2)</f>
        <v>155833.95000000001</v>
      </c>
      <c r="BJ1558" s="6">
        <f>_xlfn.IFNA(VLOOKUP(Grandview_Inventory[[#This Row],[quality]],Lookups!$H$2:$J$14,3,FALSE),0)</f>
        <v>-28558</v>
      </c>
      <c r="BK1558" s="6">
        <f>_xlfn.IFNA(VLOOKUP(Grandview_Inventory[[#This Row],[condition]],Lookups!$H$17:$J$24,3,FALSE),0)</f>
        <v>-45357</v>
      </c>
      <c r="BL1558" s="6">
        <f>Grandview_Inventory[[#This Row],[Eff_Age]]*Lookups!$B$14</f>
        <v>-12197.496599999999</v>
      </c>
      <c r="BM1558" s="6">
        <f>Grandview_Inventory[[#This Row],[living_area]]*Lookups!$B$15</f>
        <v>40422.792743999998</v>
      </c>
      <c r="BN1558" s="6">
        <f>Grandview_Inventory[[#This Row],[Fin BSMT]]*Lookups!$B$16</f>
        <v>0</v>
      </c>
      <c r="BO1558" s="6">
        <f>(Grandview_Inventory[[#This Row],[att_gar]]+Grandview_Inventory[[#This Row],[bltin_gar]])*Lookups!$B$17</f>
        <v>0</v>
      </c>
      <c r="BP1558" s="6">
        <f>Grandview_Inventory[[#This Row],[Plumbing Fixtures]]*Lookups!$B$18</f>
        <v>10052.209000000001</v>
      </c>
      <c r="BQ1558" s="6">
        <f>Grandview_Inventory[[#This Row],[detatched_value]]*Lookups!$B$19</f>
        <v>0</v>
      </c>
      <c r="BR1558" s="6">
        <f>SUM(Grandview_Inventory[[#This Row],[Intercept]:[det_value]])*Grandview_Inventory[[#This Row],[res_pct]]</f>
        <v>120196.45514400001</v>
      </c>
      <c r="BS1558" s="6">
        <f>Grandview_Inventory[[#This Row],[land_value]]</f>
        <v>48369.510983942157</v>
      </c>
      <c r="BT1558" s="4">
        <f>_xlfn.IFNA(VLOOKUP(Grandview_Inventory[[#This Row],[quality]],Lookups!$A$26:$C$33,3,FALSE),1)</f>
        <v>0.9690360070159818</v>
      </c>
      <c r="BU1558" s="4">
        <f>_xlfn.IFNA(VLOOKUP(Grandview_Inventory[[#This Row],[condition]],Lookups!$A$37:$C$44,3,FALSE),1)</f>
        <v>0.97161819570155394</v>
      </c>
      <c r="BV1558" s="4">
        <f>IF(Grandview_Inventory[[#This Row],[bldg_style]]="",1,_xlfn.IFNA(VLOOKUP(Grandview_Inventory[[#This Row],[decade]],Lookups!$F$29:$H$43,3,FALSE),1))</f>
        <v>0.94161750052457416</v>
      </c>
      <c r="BW1558" s="4">
        <f>_xlfn.IFNA(VLOOKUP(Grandview_Inventory[[#This Row],[living_area_range]],Lookups!$F$47:$H$56,3,FALSE),1)</f>
        <v>0.94306777142782894</v>
      </c>
      <c r="BX1558" s="4">
        <f>AVERAGE(Grandview_Inventory[[#This Row],[qual_adj]:[size_adj]])</f>
        <v>0.95633486866748474</v>
      </c>
      <c r="BY1558" s="6">
        <f>IF(Grandview_Inventory[[#This Row],[pre_res]]&lt;0,0,Grandview_Inventory[[#This Row],[pre_res]]*Grandview_Inventory[[#This Row],[overall_adj]])</f>
        <v>114948.06114443447</v>
      </c>
      <c r="BZ1558" s="6">
        <f>(Grandview_Inventory[[#This Row],[sum_land]]-IF(Grandview_Inventory[[#This Row],[no_utilities]]=1,12000,0))/IF(Grandview_Inventory[[#This Row],[unbuildable]]=1,2,1)</f>
        <v>48369.510983942157</v>
      </c>
      <c r="CA155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58">
        <f>ROUND(Grandview_Inventory[[#This Row],[det_value]]*Lookups!$M$28,-2)</f>
        <v>0</v>
      </c>
      <c r="CC1558">
        <f>IF(ROUND(Grandview_Inventory[[#This Row],[adj_res]]*Lookups!$M$28,-2)&lt;Grandview_Inventory[[#This Row],[min_res]],Grandview_Inventory[[#This Row],[min_res]],ROUND(Grandview_Inventory[[#This Row],[adj_res]]*Lookups!$M$28,-2))</f>
        <v>109200</v>
      </c>
      <c r="CD1558">
        <f>Grandview_Inventory[[#This Row],[final_det]]+Grandview_Inventory[[#This Row],[final_res]]</f>
        <v>109200</v>
      </c>
      <c r="CE1558">
        <f>Grandview_Inventory[[#This Row],[final_land]]+Grandview_Inventory[[#This Row],[final_imp]]+Grandview_Inventory[[#This Row],[crop_value]]</f>
        <v>155200</v>
      </c>
      <c r="CG1558" t="str">
        <f t="shared" si="24"/>
        <v>update valuation set market_land =46000, market_bldg=109200, market_total =155200, market_mdno =401, market_date ='9/10/2023' where link_id = (select link_id from parcel where parcel_year = '2024' and parcel_id = '23092323576');</v>
      </c>
    </row>
    <row r="1559" spans="1:85" x14ac:dyDescent="0.25">
      <c r="A1559">
        <v>23092323577</v>
      </c>
      <c r="B1559">
        <v>0.18</v>
      </c>
      <c r="C1559">
        <v>7648</v>
      </c>
      <c r="D1559" t="s">
        <v>129</v>
      </c>
      <c r="E1559" t="s">
        <v>53</v>
      </c>
      <c r="F1559" t="s">
        <v>53</v>
      </c>
      <c r="G1559">
        <v>4</v>
      </c>
      <c r="H1559" t="s">
        <v>54</v>
      </c>
      <c r="I1559">
        <v>173300</v>
      </c>
      <c r="J1559">
        <v>39300</v>
      </c>
      <c r="K1559">
        <v>0.18</v>
      </c>
      <c r="L155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59">
        <v>0</v>
      </c>
      <c r="N1559">
        <v>0</v>
      </c>
      <c r="O1559">
        <v>0</v>
      </c>
      <c r="P1559">
        <v>13398.7528</v>
      </c>
      <c r="Q1559">
        <v>63903</v>
      </c>
      <c r="R1559">
        <f>(Grandview_Inventory[[#This Row],[ln_acres]]*Grandview_Inventory[[#This Row],[coeff]])+Grandview_Inventory[[#This Row],[const]]</f>
        <v>40926.839760167699</v>
      </c>
      <c r="S1559" t="s">
        <v>68</v>
      </c>
      <c r="T1559">
        <v>1</v>
      </c>
      <c r="U1559" t="s">
        <v>70</v>
      </c>
      <c r="V1559" t="s">
        <v>69</v>
      </c>
      <c r="W1559">
        <v>0</v>
      </c>
      <c r="X1559">
        <v>0</v>
      </c>
      <c r="Y1559">
        <v>52</v>
      </c>
      <c r="Z1559">
        <v>88</v>
      </c>
      <c r="AA1559">
        <v>90</v>
      </c>
      <c r="AB1559">
        <v>2000</v>
      </c>
      <c r="AC1559">
        <v>1720</v>
      </c>
      <c r="AD1559">
        <v>1720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231</v>
      </c>
      <c r="AL1559">
        <v>0</v>
      </c>
      <c r="AM1559">
        <v>0</v>
      </c>
      <c r="AN1559">
        <v>0</v>
      </c>
      <c r="AO1559">
        <v>0</v>
      </c>
      <c r="AP1559">
        <v>8</v>
      </c>
      <c r="AQ1559">
        <v>0</v>
      </c>
      <c r="AR1559">
        <v>0</v>
      </c>
      <c r="AS1559" t="s">
        <v>58</v>
      </c>
      <c r="AT1559">
        <v>1</v>
      </c>
      <c r="AU1559" t="s">
        <v>63</v>
      </c>
      <c r="AV1559" t="s">
        <v>64</v>
      </c>
      <c r="AW1559">
        <v>1</v>
      </c>
      <c r="AX1559">
        <v>3</v>
      </c>
      <c r="AY1559">
        <v>0</v>
      </c>
      <c r="AZ1559">
        <v>0</v>
      </c>
      <c r="BA1559">
        <v>100</v>
      </c>
      <c r="BB1559">
        <v>100</v>
      </c>
      <c r="BC1559">
        <v>100</v>
      </c>
      <c r="BD1559">
        <v>100</v>
      </c>
      <c r="BE1559">
        <v>1</v>
      </c>
      <c r="BF1559">
        <v>15000</v>
      </c>
      <c r="BG1559">
        <v>1000</v>
      </c>
      <c r="BH1559" s="6">
        <f>Grandview_Inventory[[#This Row],[land_extract]]*Lookups!$B$3</f>
        <v>47528.228511015397</v>
      </c>
      <c r="BI1559" s="6">
        <f>IF(Grandview_Inventory[[#This Row],[bldg_style]]="",0,Lookups!$B$2)</f>
        <v>155833.95000000001</v>
      </c>
      <c r="BJ1559" s="6">
        <f>_xlfn.IFNA(VLOOKUP(Grandview_Inventory[[#This Row],[quality]],Lookups!$H$2:$J$14,3,FALSE),0)</f>
        <v>10733</v>
      </c>
      <c r="BK1559" s="6">
        <f>_xlfn.IFNA(VLOOKUP(Grandview_Inventory[[#This Row],[condition]],Lookups!$H$17:$J$24,3,FALSE),0)</f>
        <v>-4503</v>
      </c>
      <c r="BL1559" s="6">
        <f>Grandview_Inventory[[#This Row],[Eff_Age]]*Lookups!$B$14</f>
        <v>-12436.663199999999</v>
      </c>
      <c r="BM1559" s="6">
        <f>Grandview_Inventory[[#This Row],[living_area]]*Lookups!$B$15</f>
        <v>107295.06716000001</v>
      </c>
      <c r="BN1559" s="6">
        <f>Grandview_Inventory[[#This Row],[Fin BSMT]]*Lookups!$B$16</f>
        <v>0</v>
      </c>
      <c r="BO1559" s="6">
        <f>(Grandview_Inventory[[#This Row],[att_gar]]+Grandview_Inventory[[#This Row],[bltin_gar]])*Lookups!$B$17</f>
        <v>0</v>
      </c>
      <c r="BP1559" s="6">
        <f>Grandview_Inventory[[#This Row],[Plumbing Fixtures]]*Lookups!$B$18</f>
        <v>16083.5344</v>
      </c>
      <c r="BQ1559" s="6">
        <f>Grandview_Inventory[[#This Row],[detatched_value]]*Lookups!$B$19</f>
        <v>0</v>
      </c>
      <c r="BR1559" s="6">
        <f>SUM(Grandview_Inventory[[#This Row],[Intercept]:[det_value]])*Grandview_Inventory[[#This Row],[res_pct]]</f>
        <v>273005.88835999998</v>
      </c>
      <c r="BS1559" s="6">
        <f>Grandview_Inventory[[#This Row],[land_value]]</f>
        <v>47528.228511015397</v>
      </c>
      <c r="BT1559" s="4">
        <f>_xlfn.IFNA(VLOOKUP(Grandview_Inventory[[#This Row],[quality]],Lookups!$A$26:$C$33,3,FALSE),1)</f>
        <v>0.98079741117310582</v>
      </c>
      <c r="BU1559" s="4">
        <f>_xlfn.IFNA(VLOOKUP(Grandview_Inventory[[#This Row],[condition]],Lookups!$A$37:$C$44,3,FALSE),1)</f>
        <v>0.96469275950863709</v>
      </c>
      <c r="BV1559" s="4">
        <f>IF(Grandview_Inventory[[#This Row],[bldg_style]]="",1,_xlfn.IFNA(VLOOKUP(Grandview_Inventory[[#This Row],[decade]],Lookups!$F$29:$H$43,3,FALSE),1))</f>
        <v>0.94161750052457416</v>
      </c>
      <c r="BW1559" s="4">
        <f>_xlfn.IFNA(VLOOKUP(Grandview_Inventory[[#This Row],[living_area_range]],Lookups!$F$47:$H$56,3,FALSE),1)</f>
        <v>0.96120133463014379</v>
      </c>
      <c r="BX1559" s="4">
        <f>AVERAGE(Grandview_Inventory[[#This Row],[qual_adj]:[size_adj]])</f>
        <v>0.96207725145911516</v>
      </c>
      <c r="BY1559" s="6">
        <f>IF(Grandview_Inventory[[#This Row],[pre_res]]&lt;0,0,Grandview_Inventory[[#This Row],[pre_res]]*Grandview_Inventory[[#This Row],[overall_adj]])</f>
        <v>262652.75470554281</v>
      </c>
      <c r="BZ1559" s="6">
        <f>(Grandview_Inventory[[#This Row],[sum_land]]-IF(Grandview_Inventory[[#This Row],[no_utilities]]=1,12000,0))/IF(Grandview_Inventory[[#This Row],[unbuildable]]=1,2,1)</f>
        <v>47528.228511015397</v>
      </c>
      <c r="CA155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59">
        <f>ROUND(Grandview_Inventory[[#This Row],[det_value]]*Lookups!$M$28,-2)</f>
        <v>0</v>
      </c>
      <c r="CC1559">
        <f>IF(ROUND(Grandview_Inventory[[#This Row],[adj_res]]*Lookups!$M$28,-2)&lt;Grandview_Inventory[[#This Row],[min_res]],Grandview_Inventory[[#This Row],[min_res]],ROUND(Grandview_Inventory[[#This Row],[adj_res]]*Lookups!$M$28,-2))</f>
        <v>249500</v>
      </c>
      <c r="CD1559">
        <f>Grandview_Inventory[[#This Row],[final_det]]+Grandview_Inventory[[#This Row],[final_res]]</f>
        <v>249500</v>
      </c>
      <c r="CE1559">
        <f>Grandview_Inventory[[#This Row],[final_land]]+Grandview_Inventory[[#This Row],[final_imp]]+Grandview_Inventory[[#This Row],[crop_value]]</f>
        <v>294700</v>
      </c>
      <c r="CG1559" t="str">
        <f t="shared" si="24"/>
        <v>update valuation set market_land =45200, market_bldg=249500, market_total =294700, market_mdno =401, market_date ='9/10/2023' where link_id = (select link_id from parcel where parcel_year = '2024' and parcel_id = '23092323577');</v>
      </c>
    </row>
    <row r="1560" spans="1:85" x14ac:dyDescent="0.25">
      <c r="A1560">
        <v>23092323580</v>
      </c>
      <c r="B1560">
        <v>0.23</v>
      </c>
      <c r="C1560">
        <v>9867</v>
      </c>
      <c r="D1560" t="s">
        <v>129</v>
      </c>
      <c r="E1560" t="s">
        <v>53</v>
      </c>
      <c r="F1560" t="s">
        <v>53</v>
      </c>
      <c r="G1560">
        <v>4</v>
      </c>
      <c r="H1560" t="s">
        <v>54</v>
      </c>
      <c r="I1560">
        <v>110700</v>
      </c>
      <c r="J1560">
        <v>40000</v>
      </c>
      <c r="K1560">
        <v>0.23</v>
      </c>
      <c r="L156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560">
        <v>0</v>
      </c>
      <c r="N1560">
        <v>0</v>
      </c>
      <c r="O1560">
        <v>0</v>
      </c>
      <c r="P1560">
        <v>13398.7528</v>
      </c>
      <c r="Q1560">
        <v>63903</v>
      </c>
      <c r="R1560">
        <f>(Grandview_Inventory[[#This Row],[ln_acres]]*Grandview_Inventory[[#This Row],[coeff]])+Grandview_Inventory[[#This Row],[const]]</f>
        <v>44211.174981080039</v>
      </c>
      <c r="S1560" t="s">
        <v>68</v>
      </c>
      <c r="T1560">
        <v>1</v>
      </c>
      <c r="U1560" t="s">
        <v>70</v>
      </c>
      <c r="V1560" t="s">
        <v>69</v>
      </c>
      <c r="W1560">
        <v>0</v>
      </c>
      <c r="X1560">
        <v>0</v>
      </c>
      <c r="Y1560">
        <v>51</v>
      </c>
      <c r="Z1560">
        <v>78</v>
      </c>
      <c r="AA1560">
        <v>80</v>
      </c>
      <c r="AB1560">
        <v>1000</v>
      </c>
      <c r="AC1560">
        <v>769</v>
      </c>
      <c r="AD1560">
        <v>769</v>
      </c>
      <c r="AE1560">
        <v>0</v>
      </c>
      <c r="AF1560">
        <v>0</v>
      </c>
      <c r="AG1560">
        <v>0</v>
      </c>
      <c r="AH1560">
        <v>385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20</v>
      </c>
      <c r="AO1560">
        <v>0</v>
      </c>
      <c r="AP1560">
        <v>5</v>
      </c>
      <c r="AQ1560">
        <v>0</v>
      </c>
      <c r="AR1560">
        <v>0</v>
      </c>
      <c r="AS1560" t="s">
        <v>58</v>
      </c>
      <c r="AT1560">
        <v>1</v>
      </c>
      <c r="AU1560" t="s">
        <v>63</v>
      </c>
      <c r="AV1560" t="s">
        <v>60</v>
      </c>
      <c r="AW1560">
        <v>0</v>
      </c>
      <c r="AX1560">
        <v>2</v>
      </c>
      <c r="AY1560">
        <v>0</v>
      </c>
      <c r="AZ1560">
        <v>0</v>
      </c>
      <c r="BA1560">
        <v>100</v>
      </c>
      <c r="BB1560">
        <v>100</v>
      </c>
      <c r="BC1560">
        <v>100</v>
      </c>
      <c r="BD1560">
        <v>100</v>
      </c>
      <c r="BE1560">
        <v>1</v>
      </c>
      <c r="BF1560">
        <v>15000</v>
      </c>
      <c r="BG1560">
        <v>1000</v>
      </c>
      <c r="BH1560" s="6">
        <f>Grandview_Inventory[[#This Row],[land_extract]]*Lookups!$B$3</f>
        <v>51342.318135355803</v>
      </c>
      <c r="BI1560" s="6">
        <f>IF(Grandview_Inventory[[#This Row],[bldg_style]]="",0,Lookups!$B$2)</f>
        <v>155833.95000000001</v>
      </c>
      <c r="BJ1560" s="6">
        <f>_xlfn.IFNA(VLOOKUP(Grandview_Inventory[[#This Row],[quality]],Lookups!$H$2:$J$14,3,FALSE),0)</f>
        <v>10733</v>
      </c>
      <c r="BK1560" s="6">
        <f>_xlfn.IFNA(VLOOKUP(Grandview_Inventory[[#This Row],[condition]],Lookups!$H$17:$J$24,3,FALSE),0)</f>
        <v>-4503</v>
      </c>
      <c r="BL1560" s="6">
        <f>Grandview_Inventory[[#This Row],[Eff_Age]]*Lookups!$B$14</f>
        <v>-12197.496599999999</v>
      </c>
      <c r="BM1560" s="6">
        <f>Grandview_Inventory[[#This Row],[living_area]]*Lookups!$B$15</f>
        <v>47970.875957000004</v>
      </c>
      <c r="BN1560" s="6">
        <f>Grandview_Inventory[[#This Row],[Fin BSMT]]*Lookups!$B$16</f>
        <v>0</v>
      </c>
      <c r="BO1560" s="6">
        <f>(Grandview_Inventory[[#This Row],[att_gar]]+Grandview_Inventory[[#This Row],[bltin_gar]])*Lookups!$B$17</f>
        <v>0</v>
      </c>
      <c r="BP1560" s="6">
        <f>Grandview_Inventory[[#This Row],[Plumbing Fixtures]]*Lookups!$B$18</f>
        <v>10052.209000000001</v>
      </c>
      <c r="BQ1560" s="6">
        <f>Grandview_Inventory[[#This Row],[detatched_value]]*Lookups!$B$19</f>
        <v>0</v>
      </c>
      <c r="BR1560" s="6">
        <f>SUM(Grandview_Inventory[[#This Row],[Intercept]:[det_value]])*Grandview_Inventory[[#This Row],[res_pct]]</f>
        <v>207889.53835700001</v>
      </c>
      <c r="BS1560" s="6">
        <f>Grandview_Inventory[[#This Row],[land_value]]</f>
        <v>51342.318135355803</v>
      </c>
      <c r="BT1560" s="4">
        <f>_xlfn.IFNA(VLOOKUP(Grandview_Inventory[[#This Row],[quality]],Lookups!$A$26:$C$33,3,FALSE),1)</f>
        <v>0.98079741117310582</v>
      </c>
      <c r="BU1560" s="4">
        <f>_xlfn.IFNA(VLOOKUP(Grandview_Inventory[[#This Row],[condition]],Lookups!$A$37:$C$44,3,FALSE),1)</f>
        <v>0.96469275950863709</v>
      </c>
      <c r="BV1560" s="4">
        <f>IF(Grandview_Inventory[[#This Row],[bldg_style]]="",1,_xlfn.IFNA(VLOOKUP(Grandview_Inventory[[#This Row],[decade]],Lookups!$F$29:$H$43,3,FALSE),1))</f>
        <v>0.98763256963907298</v>
      </c>
      <c r="BW1560" s="4">
        <f>_xlfn.IFNA(VLOOKUP(Grandview_Inventory[[#This Row],[living_area_range]],Lookups!$F$47:$H$56,3,FALSE),1)</f>
        <v>0.94306777142782894</v>
      </c>
      <c r="BX1560" s="4">
        <f>AVERAGE(Grandview_Inventory[[#This Row],[qual_adj]:[size_adj]])</f>
        <v>0.96904762793716115</v>
      </c>
      <c r="BY1560" s="6">
        <f>IF(Grandview_Inventory[[#This Row],[pre_res]]&lt;0,0,Grandview_Inventory[[#This Row],[pre_res]]*Grandview_Inventory[[#This Row],[overall_adj]])</f>
        <v>201454.86401780235</v>
      </c>
      <c r="BZ1560" s="6">
        <f>(Grandview_Inventory[[#This Row],[sum_land]]-IF(Grandview_Inventory[[#This Row],[no_utilities]]=1,12000,0))/IF(Grandview_Inventory[[#This Row],[unbuildable]]=1,2,1)</f>
        <v>51342.318135355803</v>
      </c>
      <c r="CA156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560">
        <f>ROUND(Grandview_Inventory[[#This Row],[det_value]]*Lookups!$M$28,-2)</f>
        <v>0</v>
      </c>
      <c r="CC1560">
        <f>IF(ROUND(Grandview_Inventory[[#This Row],[adj_res]]*Lookups!$M$28,-2)&lt;Grandview_Inventory[[#This Row],[min_res]],Grandview_Inventory[[#This Row],[min_res]],ROUND(Grandview_Inventory[[#This Row],[adj_res]]*Lookups!$M$28,-2))</f>
        <v>191400</v>
      </c>
      <c r="CD1560">
        <f>Grandview_Inventory[[#This Row],[final_det]]+Grandview_Inventory[[#This Row],[final_res]]</f>
        <v>191400</v>
      </c>
      <c r="CE1560">
        <f>Grandview_Inventory[[#This Row],[final_land]]+Grandview_Inventory[[#This Row],[final_imp]]+Grandview_Inventory[[#This Row],[crop_value]]</f>
        <v>240200</v>
      </c>
      <c r="CG1560" t="str">
        <f t="shared" si="24"/>
        <v>update valuation set market_land =48800, market_bldg=191400, market_total =240200, market_mdno =401, market_date ='9/10/2023' where link_id = (select link_id from parcel where parcel_year = '2024' and parcel_id = '23092323580');</v>
      </c>
    </row>
    <row r="1561" spans="1:85" x14ac:dyDescent="0.25">
      <c r="A1561">
        <v>23092323581</v>
      </c>
      <c r="B1561">
        <v>0.22</v>
      </c>
      <c r="C1561">
        <v>9733</v>
      </c>
      <c r="D1561" t="s">
        <v>129</v>
      </c>
      <c r="E1561" t="s">
        <v>53</v>
      </c>
      <c r="F1561" t="s">
        <v>53</v>
      </c>
      <c r="G1561">
        <v>4</v>
      </c>
      <c r="H1561" t="s">
        <v>54</v>
      </c>
      <c r="I1561">
        <v>192600</v>
      </c>
      <c r="J1561">
        <v>40000</v>
      </c>
      <c r="K1561">
        <v>0.22</v>
      </c>
      <c r="L156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561">
        <v>0</v>
      </c>
      <c r="N1561">
        <v>0</v>
      </c>
      <c r="O1561">
        <v>0</v>
      </c>
      <c r="P1561">
        <v>13398.7528</v>
      </c>
      <c r="Q1561">
        <v>63903</v>
      </c>
      <c r="R1561">
        <f>(Grandview_Inventory[[#This Row],[ln_acres]]*Grandview_Inventory[[#This Row],[coeff]])+Grandview_Inventory[[#This Row],[const]]</f>
        <v>43615.576802869145</v>
      </c>
      <c r="S1561" t="s">
        <v>55</v>
      </c>
      <c r="T1561">
        <v>2</v>
      </c>
      <c r="U1561" t="s">
        <v>70</v>
      </c>
      <c r="V1561" t="s">
        <v>74</v>
      </c>
      <c r="W1561">
        <v>0</v>
      </c>
      <c r="X1561">
        <v>0</v>
      </c>
      <c r="Y1561">
        <v>49</v>
      </c>
      <c r="Z1561">
        <v>68</v>
      </c>
      <c r="AA1561">
        <v>70</v>
      </c>
      <c r="AB1561">
        <v>2000</v>
      </c>
      <c r="AC1561">
        <v>1648</v>
      </c>
      <c r="AD1561">
        <v>1240</v>
      </c>
      <c r="AE1561">
        <v>408</v>
      </c>
      <c r="AF1561">
        <v>0</v>
      </c>
      <c r="AG1561">
        <v>0</v>
      </c>
      <c r="AH1561">
        <v>952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16</v>
      </c>
      <c r="AO1561">
        <v>0</v>
      </c>
      <c r="AP1561">
        <v>5</v>
      </c>
      <c r="AQ1561">
        <v>0</v>
      </c>
      <c r="AR1561">
        <v>0</v>
      </c>
      <c r="AS1561" t="s">
        <v>58</v>
      </c>
      <c r="AT1561">
        <v>1</v>
      </c>
      <c r="AU1561" t="s">
        <v>75</v>
      </c>
      <c r="AV1561" t="s">
        <v>60</v>
      </c>
      <c r="AW1561">
        <v>0</v>
      </c>
      <c r="AX1561">
        <v>2</v>
      </c>
      <c r="AY1561">
        <v>0</v>
      </c>
      <c r="AZ1561">
        <v>0</v>
      </c>
      <c r="BA1561">
        <v>100</v>
      </c>
      <c r="BB1561">
        <v>100</v>
      </c>
      <c r="BC1561">
        <v>100</v>
      </c>
      <c r="BD1561">
        <v>100</v>
      </c>
      <c r="BE1561">
        <v>0</v>
      </c>
      <c r="BF1561">
        <v>15000</v>
      </c>
      <c r="BG1561">
        <v>0</v>
      </c>
      <c r="BH1561" s="6">
        <f>Grandview_Inventory[[#This Row],[land_extract]]*Lookups!$B$3</f>
        <v>50650.651579114572</v>
      </c>
      <c r="BI1561" s="6">
        <f>IF(Grandview_Inventory[[#This Row],[bldg_style]]="",0,Lookups!$B$2)</f>
        <v>155833.95000000001</v>
      </c>
      <c r="BJ1561" s="6">
        <f>_xlfn.IFNA(VLOOKUP(Grandview_Inventory[[#This Row],[quality]],Lookups!$H$2:$J$14,3,FALSE),0)</f>
        <v>10733</v>
      </c>
      <c r="BK1561" s="6">
        <f>_xlfn.IFNA(VLOOKUP(Grandview_Inventory[[#This Row],[condition]],Lookups!$H$17:$J$24,3,FALSE),0)</f>
        <v>-222502</v>
      </c>
      <c r="BL1561" s="6">
        <f>Grandview_Inventory[[#This Row],[Eff_Age]]*Lookups!$B$14</f>
        <v>-11719.163399999999</v>
      </c>
      <c r="BM1561" s="6">
        <f>Grandview_Inventory[[#This Row],[living_area]]*Lookups!$B$15</f>
        <v>102803.64574400001</v>
      </c>
      <c r="BN1561" s="6">
        <f>Grandview_Inventory[[#This Row],[Fin BSMT]]*Lookups!$B$16</f>
        <v>0</v>
      </c>
      <c r="BO1561" s="6">
        <f>(Grandview_Inventory[[#This Row],[att_gar]]+Grandview_Inventory[[#This Row],[bltin_gar]])*Lookups!$B$17</f>
        <v>0</v>
      </c>
      <c r="BP1561" s="6">
        <f>Grandview_Inventory[[#This Row],[Plumbing Fixtures]]*Lookups!$B$18</f>
        <v>10052.209000000001</v>
      </c>
      <c r="BQ1561" s="6">
        <f>Grandview_Inventory[[#This Row],[detatched_value]]*Lookups!$B$19</f>
        <v>0</v>
      </c>
      <c r="BR1561" s="6">
        <f>SUM(Grandview_Inventory[[#This Row],[Intercept]:[det_value]])*Grandview_Inventory[[#This Row],[res_pct]]</f>
        <v>0</v>
      </c>
      <c r="BS1561" s="6">
        <f>Grandview_Inventory[[#This Row],[land_value]]</f>
        <v>50650.651579114572</v>
      </c>
      <c r="BT1561" s="4">
        <f>_xlfn.IFNA(VLOOKUP(Grandview_Inventory[[#This Row],[quality]],Lookups!$A$26:$C$33,3,FALSE),1)</f>
        <v>0.98079741117310582</v>
      </c>
      <c r="BU1561" s="4">
        <f>_xlfn.IFNA(VLOOKUP(Grandview_Inventory[[#This Row],[condition]],Lookups!$A$37:$C$44,3,FALSE),1)</f>
        <v>0</v>
      </c>
      <c r="BV1561" s="4">
        <f>IF(Grandview_Inventory[[#This Row],[bldg_style]]="",1,_xlfn.IFNA(VLOOKUP(Grandview_Inventory[[#This Row],[decade]],Lookups!$F$29:$H$43,3,FALSE),1))</f>
        <v>0.99472141305414818</v>
      </c>
      <c r="BW1561" s="4">
        <f>_xlfn.IFNA(VLOOKUP(Grandview_Inventory[[#This Row],[living_area_range]],Lookups!$F$47:$H$56,3,FALSE),1)</f>
        <v>0.96120133463014379</v>
      </c>
      <c r="BX1561" s="4">
        <f>AVERAGE(Grandview_Inventory[[#This Row],[qual_adj]:[size_adj]])</f>
        <v>0.73418003971434942</v>
      </c>
      <c r="BY1561" s="6">
        <f>IF(Grandview_Inventory[[#This Row],[pre_res]]&lt;0,0,Grandview_Inventory[[#This Row],[pre_res]]*Grandview_Inventory[[#This Row],[overall_adj]])</f>
        <v>0</v>
      </c>
      <c r="BZ1561" s="6">
        <f>(Grandview_Inventory[[#This Row],[sum_land]]-IF(Grandview_Inventory[[#This Row],[no_utilities]]=1,12000,0))/IF(Grandview_Inventory[[#This Row],[unbuildable]]=1,2,1)</f>
        <v>50650.651579114572</v>
      </c>
      <c r="CA156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561">
        <f>ROUND(Grandview_Inventory[[#This Row],[det_value]]*Lookups!$M$28,-2)</f>
        <v>0</v>
      </c>
      <c r="CC156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561">
        <f>Grandview_Inventory[[#This Row],[final_det]]+Grandview_Inventory[[#This Row],[final_res]]</f>
        <v>0</v>
      </c>
      <c r="CE1561">
        <f>Grandview_Inventory[[#This Row],[final_land]]+Grandview_Inventory[[#This Row],[final_imp]]+Grandview_Inventory[[#This Row],[crop_value]]</f>
        <v>48100</v>
      </c>
      <c r="CG1561" t="str">
        <f t="shared" si="24"/>
        <v>update valuation set market_land =48100, market_bldg=0, market_total =48100, market_mdno =401, market_date ='9/10/2023' where link_id = (select link_id from parcel where parcel_year = '2024' and parcel_id = '23092323581');</v>
      </c>
    </row>
    <row r="1562" spans="1:85" x14ac:dyDescent="0.25">
      <c r="A1562">
        <v>23092323583</v>
      </c>
      <c r="B1562">
        <v>0.16</v>
      </c>
      <c r="C1562">
        <v>7141</v>
      </c>
      <c r="D1562" t="s">
        <v>129</v>
      </c>
      <c r="E1562" t="s">
        <v>53</v>
      </c>
      <c r="F1562" t="s">
        <v>53</v>
      </c>
      <c r="G1562">
        <v>4</v>
      </c>
      <c r="H1562" t="s">
        <v>54</v>
      </c>
      <c r="I1562">
        <v>46700</v>
      </c>
      <c r="J1562">
        <v>39100</v>
      </c>
      <c r="K1562">
        <v>0.16</v>
      </c>
      <c r="L156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62">
        <v>0</v>
      </c>
      <c r="N1562">
        <v>0</v>
      </c>
      <c r="O1562">
        <v>0</v>
      </c>
      <c r="P1562">
        <v>13398.7528</v>
      </c>
      <c r="Q1562">
        <v>63903</v>
      </c>
      <c r="R1562">
        <f>(Grandview_Inventory[[#This Row],[ln_acres]]*Grandview_Inventory[[#This Row],[coeff]])+Grandview_Inventory[[#This Row],[const]]</f>
        <v>39348.693981374228</v>
      </c>
      <c r="S1562" t="s">
        <v>68</v>
      </c>
      <c r="T1562">
        <v>1</v>
      </c>
      <c r="U1562" t="s">
        <v>70</v>
      </c>
      <c r="V1562" t="s">
        <v>94</v>
      </c>
      <c r="W1562">
        <v>0</v>
      </c>
      <c r="X1562">
        <v>0</v>
      </c>
      <c r="Y1562">
        <v>53</v>
      </c>
      <c r="Z1562">
        <v>93</v>
      </c>
      <c r="AA1562">
        <v>100</v>
      </c>
      <c r="AB1562">
        <v>1500</v>
      </c>
      <c r="AC1562">
        <v>1042</v>
      </c>
      <c r="AD1562">
        <v>1042</v>
      </c>
      <c r="AE1562">
        <v>0</v>
      </c>
      <c r="AF1562">
        <v>0</v>
      </c>
      <c r="AG1562">
        <v>0</v>
      </c>
      <c r="AH1562">
        <v>432</v>
      </c>
      <c r="AI1562">
        <v>0</v>
      </c>
      <c r="AJ1562">
        <v>0</v>
      </c>
      <c r="AK1562">
        <v>0</v>
      </c>
      <c r="AL1562">
        <v>192</v>
      </c>
      <c r="AM1562">
        <v>0</v>
      </c>
      <c r="AN1562">
        <v>0</v>
      </c>
      <c r="AO1562">
        <v>192</v>
      </c>
      <c r="AP1562">
        <v>5</v>
      </c>
      <c r="AQ1562">
        <v>0</v>
      </c>
      <c r="AR1562">
        <v>0</v>
      </c>
      <c r="AS1562" t="s">
        <v>58</v>
      </c>
      <c r="AT1562">
        <v>1</v>
      </c>
      <c r="AU1562" t="s">
        <v>63</v>
      </c>
      <c r="AV1562" t="s">
        <v>81</v>
      </c>
      <c r="AW1562">
        <v>0</v>
      </c>
      <c r="AX1562">
        <v>2</v>
      </c>
      <c r="AY1562">
        <v>0</v>
      </c>
      <c r="AZ1562">
        <v>0</v>
      </c>
      <c r="BA1562">
        <v>100</v>
      </c>
      <c r="BB1562">
        <v>100</v>
      </c>
      <c r="BC1562">
        <v>100</v>
      </c>
      <c r="BD1562">
        <v>100</v>
      </c>
      <c r="BE1562">
        <v>1</v>
      </c>
      <c r="BF1562">
        <v>15000</v>
      </c>
      <c r="BG1562">
        <v>1000</v>
      </c>
      <c r="BH1562" s="6">
        <f>Grandview_Inventory[[#This Row],[land_extract]]*Lookups!$B$3</f>
        <v>45695.532079096141</v>
      </c>
      <c r="BI1562" s="6">
        <f>IF(Grandview_Inventory[[#This Row],[bldg_style]]="",0,Lookups!$B$2)</f>
        <v>155833.95000000001</v>
      </c>
      <c r="BJ1562" s="6">
        <f>_xlfn.IFNA(VLOOKUP(Grandview_Inventory[[#This Row],[quality]],Lookups!$H$2:$J$14,3,FALSE),0)</f>
        <v>10733</v>
      </c>
      <c r="BK1562" s="6">
        <f>_xlfn.IFNA(VLOOKUP(Grandview_Inventory[[#This Row],[condition]],Lookups!$H$17:$J$24,3,FALSE),0)</f>
        <v>-77566.475205170951</v>
      </c>
      <c r="BL1562" s="6">
        <f>Grandview_Inventory[[#This Row],[Eff_Age]]*Lookups!$B$14</f>
        <v>-12675.8298</v>
      </c>
      <c r="BM1562" s="6">
        <f>Grandview_Inventory[[#This Row],[living_area]]*Lookups!$B$15</f>
        <v>65000.848826000001</v>
      </c>
      <c r="BN1562" s="6">
        <f>Grandview_Inventory[[#This Row],[Fin BSMT]]*Lookups!$B$16</f>
        <v>0</v>
      </c>
      <c r="BO1562" s="6">
        <f>(Grandview_Inventory[[#This Row],[att_gar]]+Grandview_Inventory[[#This Row],[bltin_gar]])*Lookups!$B$17</f>
        <v>0</v>
      </c>
      <c r="BP1562" s="6">
        <f>Grandview_Inventory[[#This Row],[Plumbing Fixtures]]*Lookups!$B$18</f>
        <v>10052.209000000001</v>
      </c>
      <c r="BQ1562" s="6">
        <f>Grandview_Inventory[[#This Row],[detatched_value]]*Lookups!$B$19</f>
        <v>0</v>
      </c>
      <c r="BR1562" s="6">
        <f>SUM(Grandview_Inventory[[#This Row],[Intercept]:[det_value]])*Grandview_Inventory[[#This Row],[res_pct]]</f>
        <v>151377.70282082906</v>
      </c>
      <c r="BS1562" s="6">
        <f>Grandview_Inventory[[#This Row],[land_value]]</f>
        <v>45695.532079096141</v>
      </c>
      <c r="BT1562" s="4">
        <f>_xlfn.IFNA(VLOOKUP(Grandview_Inventory[[#This Row],[quality]],Lookups!$A$26:$C$33,3,FALSE),1)</f>
        <v>0.98079741117310582</v>
      </c>
      <c r="BU1562" s="4">
        <f>_xlfn.IFNA(VLOOKUP(Grandview_Inventory[[#This Row],[condition]],Lookups!$A$37:$C$44,3,FALSE),1)</f>
        <v>0.97161819570155394</v>
      </c>
      <c r="BV1562" s="4">
        <f>IF(Grandview_Inventory[[#This Row],[bldg_style]]="",1,_xlfn.IFNA(VLOOKUP(Grandview_Inventory[[#This Row],[decade]],Lookups!$F$29:$H$43,3,FALSE),1))</f>
        <v>0.95244691841736806</v>
      </c>
      <c r="BW1562" s="4">
        <f>_xlfn.IFNA(VLOOKUP(Grandview_Inventory[[#This Row],[living_area_range]],Lookups!$F$47:$H$56,3,FALSE),1)</f>
        <v>0.96135087979789358</v>
      </c>
      <c r="BX1562" s="4">
        <f>AVERAGE(Grandview_Inventory[[#This Row],[qual_adj]:[size_adj]])</f>
        <v>0.96655335127248032</v>
      </c>
      <c r="BY1562" s="6">
        <f>IF(Grandview_Inventory[[#This Row],[pre_res]]&lt;0,0,Grandview_Inventory[[#This Row],[pre_res]]*Grandview_Inventory[[#This Row],[overall_adj]])</f>
        <v>146314.62596940191</v>
      </c>
      <c r="BZ1562" s="6">
        <f>(Grandview_Inventory[[#This Row],[sum_land]]-IF(Grandview_Inventory[[#This Row],[no_utilities]]=1,12000,0))/IF(Grandview_Inventory[[#This Row],[unbuildable]]=1,2,1)</f>
        <v>45695.532079096141</v>
      </c>
      <c r="CA156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62">
        <f>ROUND(Grandview_Inventory[[#This Row],[det_value]]*Lookups!$M$28,-2)</f>
        <v>0</v>
      </c>
      <c r="CC1562">
        <f>IF(ROUND(Grandview_Inventory[[#This Row],[adj_res]]*Lookups!$M$28,-2)&lt;Grandview_Inventory[[#This Row],[min_res]],Grandview_Inventory[[#This Row],[min_res]],ROUND(Grandview_Inventory[[#This Row],[adj_res]]*Lookups!$M$28,-2))</f>
        <v>139000</v>
      </c>
      <c r="CD1562">
        <f>Grandview_Inventory[[#This Row],[final_det]]+Grandview_Inventory[[#This Row],[final_res]]</f>
        <v>139000</v>
      </c>
      <c r="CE1562">
        <f>Grandview_Inventory[[#This Row],[final_land]]+Grandview_Inventory[[#This Row],[final_imp]]+Grandview_Inventory[[#This Row],[crop_value]]</f>
        <v>182400</v>
      </c>
      <c r="CG1562" t="str">
        <f t="shared" si="24"/>
        <v>update valuation set market_land =43400, market_bldg=139000, market_total =182400, market_mdno =401, market_date ='9/10/2023' where link_id = (select link_id from parcel where parcel_year = '2024' and parcel_id = '23092323583');</v>
      </c>
    </row>
    <row r="1563" spans="1:85" x14ac:dyDescent="0.25">
      <c r="A1563">
        <v>23092323585</v>
      </c>
      <c r="B1563">
        <v>0.17</v>
      </c>
      <c r="C1563">
        <v>7353</v>
      </c>
      <c r="D1563" t="s">
        <v>129</v>
      </c>
      <c r="E1563" t="s">
        <v>53</v>
      </c>
      <c r="F1563" t="s">
        <v>53</v>
      </c>
      <c r="G1563">
        <v>4</v>
      </c>
      <c r="H1563" t="s">
        <v>54</v>
      </c>
      <c r="I1563">
        <v>135000</v>
      </c>
      <c r="J1563">
        <v>39100</v>
      </c>
      <c r="K1563">
        <v>0.17</v>
      </c>
      <c r="L156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63">
        <v>0</v>
      </c>
      <c r="N1563">
        <v>0</v>
      </c>
      <c r="O1563">
        <v>0</v>
      </c>
      <c r="P1563">
        <v>13398.7528</v>
      </c>
      <c r="Q1563">
        <v>63903</v>
      </c>
      <c r="R1563">
        <f>(Grandview_Inventory[[#This Row],[ln_acres]]*Grandview_Inventory[[#This Row],[coeff]])+Grandview_Inventory[[#This Row],[const]]</f>
        <v>40160.988302686128</v>
      </c>
      <c r="S1563" t="s">
        <v>85</v>
      </c>
      <c r="T1563">
        <v>1</v>
      </c>
      <c r="U1563" t="s">
        <v>65</v>
      </c>
      <c r="V1563" t="s">
        <v>69</v>
      </c>
      <c r="W1563">
        <v>0</v>
      </c>
      <c r="X1563">
        <v>0</v>
      </c>
      <c r="Y1563">
        <v>62</v>
      </c>
      <c r="Z1563">
        <v>110</v>
      </c>
      <c r="AA1563">
        <v>110</v>
      </c>
      <c r="AB1563">
        <v>1500</v>
      </c>
      <c r="AC1563">
        <v>1107</v>
      </c>
      <c r="AD1563">
        <v>1107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96</v>
      </c>
      <c r="AM1563">
        <v>0</v>
      </c>
      <c r="AN1563">
        <v>72</v>
      </c>
      <c r="AO1563">
        <v>0</v>
      </c>
      <c r="AP1563">
        <v>5</v>
      </c>
      <c r="AQ1563">
        <v>0</v>
      </c>
      <c r="AR1563">
        <v>1</v>
      </c>
      <c r="AS1563" t="s">
        <v>58</v>
      </c>
      <c r="AT1563">
        <v>1</v>
      </c>
      <c r="AU1563" t="s">
        <v>63</v>
      </c>
      <c r="AV1563" t="s">
        <v>60</v>
      </c>
      <c r="AW1563">
        <v>0</v>
      </c>
      <c r="AX1563">
        <v>2</v>
      </c>
      <c r="AY1563">
        <v>0</v>
      </c>
      <c r="AZ1563">
        <v>9900</v>
      </c>
      <c r="BA1563">
        <v>100</v>
      </c>
      <c r="BB1563">
        <v>100</v>
      </c>
      <c r="BC1563">
        <v>100</v>
      </c>
      <c r="BD1563">
        <v>100</v>
      </c>
      <c r="BE1563">
        <v>1</v>
      </c>
      <c r="BF1563">
        <v>15000</v>
      </c>
      <c r="BG1563">
        <v>1000</v>
      </c>
      <c r="BH1563" s="6">
        <f>Grandview_Inventory[[#This Row],[land_extract]]*Lookups!$B$3</f>
        <v>46638.847281240982</v>
      </c>
      <c r="BI1563" s="6">
        <f>IF(Grandview_Inventory[[#This Row],[bldg_style]]="",0,Lookups!$B$2)</f>
        <v>155833.95000000001</v>
      </c>
      <c r="BJ1563" s="6">
        <f>_xlfn.IFNA(VLOOKUP(Grandview_Inventory[[#This Row],[quality]],Lookups!$H$2:$J$14,3,FALSE),0)</f>
        <v>2251</v>
      </c>
      <c r="BK1563" s="6">
        <f>_xlfn.IFNA(VLOOKUP(Grandview_Inventory[[#This Row],[condition]],Lookups!$H$17:$J$24,3,FALSE),0)</f>
        <v>-4503</v>
      </c>
      <c r="BL1563" s="6">
        <f>Grandview_Inventory[[#This Row],[Eff_Age]]*Lookups!$B$14</f>
        <v>-14828.3292</v>
      </c>
      <c r="BM1563" s="6">
        <f>Grandview_Inventory[[#This Row],[living_area]]*Lookups!$B$15</f>
        <v>69055.604271000004</v>
      </c>
      <c r="BN1563" s="6">
        <f>Grandview_Inventory[[#This Row],[Fin BSMT]]*Lookups!$B$16</f>
        <v>0</v>
      </c>
      <c r="BO1563" s="6">
        <f>(Grandview_Inventory[[#This Row],[att_gar]]+Grandview_Inventory[[#This Row],[bltin_gar]])*Lookups!$B$17</f>
        <v>0</v>
      </c>
      <c r="BP1563" s="6">
        <f>Grandview_Inventory[[#This Row],[Plumbing Fixtures]]*Lookups!$B$18</f>
        <v>10052.209000000001</v>
      </c>
      <c r="BQ1563" s="6">
        <f>Grandview_Inventory[[#This Row],[detatched_value]]*Lookups!$B$19</f>
        <v>8383.3704899999993</v>
      </c>
      <c r="BR1563" s="6">
        <f>SUM(Grandview_Inventory[[#This Row],[Intercept]:[det_value]])*Grandview_Inventory[[#This Row],[res_pct]]</f>
        <v>226244.804561</v>
      </c>
      <c r="BS1563" s="6">
        <f>Grandview_Inventory[[#This Row],[land_value]]</f>
        <v>46638.847281240982</v>
      </c>
      <c r="BT1563" s="4">
        <f>_xlfn.IFNA(VLOOKUP(Grandview_Inventory[[#This Row],[quality]],Lookups!$A$26:$C$33,3,FALSE),1)</f>
        <v>0.98763855981004833</v>
      </c>
      <c r="BU1563" s="4">
        <f>_xlfn.IFNA(VLOOKUP(Grandview_Inventory[[#This Row],[condition]],Lookups!$A$37:$C$44,3,FALSE),1)</f>
        <v>0.96469275950863709</v>
      </c>
      <c r="BV1563" s="4">
        <f>IF(Grandview_Inventory[[#This Row],[bldg_style]]="",1,_xlfn.IFNA(VLOOKUP(Grandview_Inventory[[#This Row],[decade]],Lookups!$F$29:$H$43,3,FALSE),1))</f>
        <v>0.92255236374249616</v>
      </c>
      <c r="BW1563" s="4">
        <f>_xlfn.IFNA(VLOOKUP(Grandview_Inventory[[#This Row],[living_area_range]],Lookups!$F$47:$H$56,3,FALSE),1)</f>
        <v>0.96135087979789358</v>
      </c>
      <c r="BX1563" s="4">
        <f>AVERAGE(Grandview_Inventory[[#This Row],[qual_adj]:[size_adj]])</f>
        <v>0.95905864071476876</v>
      </c>
      <c r="BY1563" s="6">
        <f>IF(Grandview_Inventory[[#This Row],[pre_res]]&lt;0,0,Grandview_Inventory[[#This Row],[pre_res]]*Grandview_Inventory[[#This Row],[overall_adj]])</f>
        <v>216982.03473105119</v>
      </c>
      <c r="BZ1563" s="6">
        <f>(Grandview_Inventory[[#This Row],[sum_land]]-IF(Grandview_Inventory[[#This Row],[no_utilities]]=1,12000,0))/IF(Grandview_Inventory[[#This Row],[unbuildable]]=1,2,1)</f>
        <v>46638.847281240982</v>
      </c>
      <c r="CA156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63">
        <f>ROUND(Grandview_Inventory[[#This Row],[det_value]]*Lookups!$M$28,-2)</f>
        <v>8000</v>
      </c>
      <c r="CC1563">
        <f>IF(ROUND(Grandview_Inventory[[#This Row],[adj_res]]*Lookups!$M$28,-2)&lt;Grandview_Inventory[[#This Row],[min_res]],Grandview_Inventory[[#This Row],[min_res]],ROUND(Grandview_Inventory[[#This Row],[adj_res]]*Lookups!$M$28,-2))</f>
        <v>206100</v>
      </c>
      <c r="CD1563">
        <f>Grandview_Inventory[[#This Row],[final_det]]+Grandview_Inventory[[#This Row],[final_res]]</f>
        <v>214100</v>
      </c>
      <c r="CE1563">
        <f>Grandview_Inventory[[#This Row],[final_land]]+Grandview_Inventory[[#This Row],[final_imp]]+Grandview_Inventory[[#This Row],[crop_value]]</f>
        <v>258400</v>
      </c>
      <c r="CG1563" t="str">
        <f t="shared" si="24"/>
        <v>update valuation set market_land =44300, market_bldg=214100, market_total =258400, market_mdno =401, market_date ='9/10/2023' where link_id = (select link_id from parcel where parcel_year = '2024' and parcel_id = '23092323585');</v>
      </c>
    </row>
    <row r="1564" spans="1:85" x14ac:dyDescent="0.25">
      <c r="A1564">
        <v>23092323588</v>
      </c>
      <c r="B1564">
        <v>0.19</v>
      </c>
      <c r="C1564">
        <v>8231</v>
      </c>
      <c r="D1564" t="s">
        <v>129</v>
      </c>
      <c r="E1564" t="s">
        <v>53</v>
      </c>
      <c r="F1564" t="s">
        <v>53</v>
      </c>
      <c r="G1564">
        <v>4</v>
      </c>
      <c r="H1564" t="s">
        <v>54</v>
      </c>
      <c r="I1564">
        <v>200200</v>
      </c>
      <c r="J1564">
        <v>39500</v>
      </c>
      <c r="K1564">
        <v>0.19</v>
      </c>
      <c r="L156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64">
        <v>0</v>
      </c>
      <c r="N1564">
        <v>0</v>
      </c>
      <c r="O1564">
        <v>0</v>
      </c>
      <c r="P1564">
        <v>13398.7528</v>
      </c>
      <c r="Q1564">
        <v>63903</v>
      </c>
      <c r="R1564">
        <f>(Grandview_Inventory[[#This Row],[ln_acres]]*Grandview_Inventory[[#This Row],[coeff]])+Grandview_Inventory[[#This Row],[const]]</f>
        <v>41651.273092551026</v>
      </c>
      <c r="S1564" t="s">
        <v>61</v>
      </c>
      <c r="T1564">
        <v>1</v>
      </c>
      <c r="U1564" t="s">
        <v>65</v>
      </c>
      <c r="V1564" t="s">
        <v>67</v>
      </c>
      <c r="W1564">
        <v>0</v>
      </c>
      <c r="X1564">
        <v>0</v>
      </c>
      <c r="Y1564">
        <v>24</v>
      </c>
      <c r="Z1564">
        <v>24</v>
      </c>
      <c r="AA1564">
        <v>30</v>
      </c>
      <c r="AB1564">
        <v>1500</v>
      </c>
      <c r="AC1564">
        <v>1362</v>
      </c>
      <c r="AD1564">
        <v>1362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196</v>
      </c>
      <c r="AM1564">
        <v>0</v>
      </c>
      <c r="AN1564">
        <v>36</v>
      </c>
      <c r="AO1564">
        <v>196</v>
      </c>
      <c r="AP1564">
        <v>8</v>
      </c>
      <c r="AQ1564">
        <v>0</v>
      </c>
      <c r="AR1564">
        <v>0</v>
      </c>
      <c r="AS1564" t="s">
        <v>58</v>
      </c>
      <c r="AT1564">
        <v>1</v>
      </c>
      <c r="AU1564" t="s">
        <v>63</v>
      </c>
      <c r="AV1564" t="s">
        <v>60</v>
      </c>
      <c r="AW1564">
        <v>1</v>
      </c>
      <c r="AX1564">
        <v>3</v>
      </c>
      <c r="AY1564">
        <v>0</v>
      </c>
      <c r="AZ1564">
        <v>0</v>
      </c>
      <c r="BA1564">
        <v>100</v>
      </c>
      <c r="BB1564">
        <v>100</v>
      </c>
      <c r="BC1564">
        <v>100</v>
      </c>
      <c r="BD1564">
        <v>100</v>
      </c>
      <c r="BE1564">
        <v>1</v>
      </c>
      <c r="BF1564">
        <v>15000</v>
      </c>
      <c r="BG1564">
        <v>1000</v>
      </c>
      <c r="BH1564" s="6">
        <f>Grandview_Inventory[[#This Row],[land_extract]]*Lookups!$B$3</f>
        <v>48369.510983942157</v>
      </c>
      <c r="BI1564" s="6">
        <f>IF(Grandview_Inventory[[#This Row],[bldg_style]]="",0,Lookups!$B$2)</f>
        <v>155833.95000000001</v>
      </c>
      <c r="BJ1564" s="6">
        <f>_xlfn.IFNA(VLOOKUP(Grandview_Inventory[[#This Row],[quality]],Lookups!$H$2:$J$14,3,FALSE),0)</f>
        <v>2251</v>
      </c>
      <c r="BK1564" s="6">
        <f>_xlfn.IFNA(VLOOKUP(Grandview_Inventory[[#This Row],[condition]],Lookups!$H$17:$J$24,3,FALSE),0)</f>
        <v>22342</v>
      </c>
      <c r="BL1564" s="6">
        <f>Grandview_Inventory[[#This Row],[Eff_Age]]*Lookups!$B$14</f>
        <v>-5739.9983999999995</v>
      </c>
      <c r="BM1564" s="6">
        <f>Grandview_Inventory[[#This Row],[living_area]]*Lookups!$B$15</f>
        <v>84962.721786000009</v>
      </c>
      <c r="BN1564" s="6">
        <f>Grandview_Inventory[[#This Row],[Fin BSMT]]*Lookups!$B$16</f>
        <v>0</v>
      </c>
      <c r="BO1564" s="6">
        <f>(Grandview_Inventory[[#This Row],[att_gar]]+Grandview_Inventory[[#This Row],[bltin_gar]])*Lookups!$B$17</f>
        <v>0</v>
      </c>
      <c r="BP1564" s="6">
        <f>Grandview_Inventory[[#This Row],[Plumbing Fixtures]]*Lookups!$B$18</f>
        <v>16083.5344</v>
      </c>
      <c r="BQ1564" s="6">
        <f>Grandview_Inventory[[#This Row],[detatched_value]]*Lookups!$B$19</f>
        <v>0</v>
      </c>
      <c r="BR1564" s="6">
        <f>SUM(Grandview_Inventory[[#This Row],[Intercept]:[det_value]])*Grandview_Inventory[[#This Row],[res_pct]]</f>
        <v>275733.20778599998</v>
      </c>
      <c r="BS1564" s="6">
        <f>Grandview_Inventory[[#This Row],[land_value]]</f>
        <v>48369.510983942157</v>
      </c>
      <c r="BT1564" s="4">
        <f>_xlfn.IFNA(VLOOKUP(Grandview_Inventory[[#This Row],[quality]],Lookups!$A$26:$C$33,3,FALSE),1)</f>
        <v>0.98763855981004833</v>
      </c>
      <c r="BU1564" s="4">
        <f>_xlfn.IFNA(VLOOKUP(Grandview_Inventory[[#This Row],[condition]],Lookups!$A$37:$C$44,3,FALSE),1)</f>
        <v>0.97383723671140243</v>
      </c>
      <c r="BV1564" s="4">
        <f>IF(Grandview_Inventory[[#This Row],[bldg_style]]="",1,_xlfn.IFNA(VLOOKUP(Grandview_Inventory[[#This Row],[decade]],Lookups!$F$29:$H$43,3,FALSE),1))</f>
        <v>0.98397821291089549</v>
      </c>
      <c r="BW1564" s="4">
        <f>_xlfn.IFNA(VLOOKUP(Grandview_Inventory[[#This Row],[living_area_range]],Lookups!$F$47:$H$56,3,FALSE),1)</f>
        <v>0.96135087979789358</v>
      </c>
      <c r="BX1564" s="4">
        <f>AVERAGE(Grandview_Inventory[[#This Row],[qual_adj]:[size_adj]])</f>
        <v>0.97670122230755996</v>
      </c>
      <c r="BY1564" s="6">
        <f>IF(Grandview_Inventory[[#This Row],[pre_res]]&lt;0,0,Grandview_Inventory[[#This Row],[pre_res]]*Grandview_Inventory[[#This Row],[overall_adj]])</f>
        <v>269308.96107537061</v>
      </c>
      <c r="BZ1564" s="6">
        <f>(Grandview_Inventory[[#This Row],[sum_land]]-IF(Grandview_Inventory[[#This Row],[no_utilities]]=1,12000,0))/IF(Grandview_Inventory[[#This Row],[unbuildable]]=1,2,1)</f>
        <v>48369.510983942157</v>
      </c>
      <c r="CA156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64">
        <f>ROUND(Grandview_Inventory[[#This Row],[det_value]]*Lookups!$M$28,-2)</f>
        <v>0</v>
      </c>
      <c r="CC1564">
        <f>IF(ROUND(Grandview_Inventory[[#This Row],[adj_res]]*Lookups!$M$28,-2)&lt;Grandview_Inventory[[#This Row],[min_res]],Grandview_Inventory[[#This Row],[min_res]],ROUND(Grandview_Inventory[[#This Row],[adj_res]]*Lookups!$M$28,-2))</f>
        <v>255800</v>
      </c>
      <c r="CD1564">
        <f>Grandview_Inventory[[#This Row],[final_det]]+Grandview_Inventory[[#This Row],[final_res]]</f>
        <v>255800</v>
      </c>
      <c r="CE1564">
        <f>Grandview_Inventory[[#This Row],[final_land]]+Grandview_Inventory[[#This Row],[final_imp]]+Grandview_Inventory[[#This Row],[crop_value]]</f>
        <v>301800</v>
      </c>
      <c r="CG1564" t="str">
        <f t="shared" si="24"/>
        <v>update valuation set market_land =46000, market_bldg=255800, market_total =301800, market_mdno =401, market_date ='9/10/2023' where link_id = (select link_id from parcel where parcel_year = '2024' and parcel_id = '23092323588');</v>
      </c>
    </row>
    <row r="1565" spans="1:85" x14ac:dyDescent="0.25">
      <c r="A1565">
        <v>23092323589</v>
      </c>
      <c r="B1565">
        <v>0.17</v>
      </c>
      <c r="C1565">
        <v>7295</v>
      </c>
      <c r="D1565" t="s">
        <v>129</v>
      </c>
      <c r="E1565" t="s">
        <v>53</v>
      </c>
      <c r="F1565" t="s">
        <v>53</v>
      </c>
      <c r="G1565">
        <v>4</v>
      </c>
      <c r="H1565" t="s">
        <v>54</v>
      </c>
      <c r="I1565">
        <v>247900</v>
      </c>
      <c r="J1565">
        <v>39300</v>
      </c>
      <c r="K1565">
        <v>0.17</v>
      </c>
      <c r="L156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65">
        <v>0</v>
      </c>
      <c r="N1565">
        <v>0</v>
      </c>
      <c r="O1565">
        <v>0</v>
      </c>
      <c r="P1565">
        <v>13398.7528</v>
      </c>
      <c r="Q1565">
        <v>63903</v>
      </c>
      <c r="R1565">
        <f>(Grandview_Inventory[[#This Row],[ln_acres]]*Grandview_Inventory[[#This Row],[coeff]])+Grandview_Inventory[[#This Row],[const]]</f>
        <v>40160.988302686128</v>
      </c>
      <c r="S1565" t="s">
        <v>68</v>
      </c>
      <c r="T1565">
        <v>1</v>
      </c>
      <c r="U1565" t="s">
        <v>65</v>
      </c>
      <c r="V1565" t="s">
        <v>57</v>
      </c>
      <c r="W1565">
        <v>0</v>
      </c>
      <c r="X1565">
        <v>0</v>
      </c>
      <c r="Y1565">
        <v>10</v>
      </c>
      <c r="Z1565">
        <v>10</v>
      </c>
      <c r="AA1565">
        <v>10</v>
      </c>
      <c r="AB1565">
        <v>3000</v>
      </c>
      <c r="AC1565">
        <v>2578</v>
      </c>
      <c r="AD1565">
        <v>1431</v>
      </c>
      <c r="AE1565">
        <v>0</v>
      </c>
      <c r="AF1565">
        <v>0</v>
      </c>
      <c r="AG1565">
        <v>1147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126</v>
      </c>
      <c r="AO1565">
        <v>0</v>
      </c>
      <c r="AP1565">
        <v>10</v>
      </c>
      <c r="AQ1565">
        <v>0</v>
      </c>
      <c r="AR1565">
        <v>0</v>
      </c>
      <c r="AS1565" t="s">
        <v>58</v>
      </c>
      <c r="AT1565">
        <v>1</v>
      </c>
      <c r="AU1565" t="s">
        <v>59</v>
      </c>
      <c r="AV1565" t="s">
        <v>60</v>
      </c>
      <c r="AW1565">
        <v>1</v>
      </c>
      <c r="AX1565">
        <v>2</v>
      </c>
      <c r="AY1565">
        <v>0</v>
      </c>
      <c r="AZ1565">
        <v>14900</v>
      </c>
      <c r="BA1565">
        <v>100</v>
      </c>
      <c r="BB1565">
        <v>100</v>
      </c>
      <c r="BC1565">
        <v>100</v>
      </c>
      <c r="BD1565">
        <v>100</v>
      </c>
      <c r="BE1565">
        <v>1</v>
      </c>
      <c r="BF1565">
        <v>15000</v>
      </c>
      <c r="BG1565">
        <v>1000</v>
      </c>
      <c r="BH1565" s="6">
        <f>Grandview_Inventory[[#This Row],[land_extract]]*Lookups!$B$3</f>
        <v>46638.847281240982</v>
      </c>
      <c r="BI1565" s="6">
        <f>IF(Grandview_Inventory[[#This Row],[bldg_style]]="",0,Lookups!$B$2)</f>
        <v>155833.95000000001</v>
      </c>
      <c r="BJ1565" s="6">
        <f>_xlfn.IFNA(VLOOKUP(Grandview_Inventory[[#This Row],[quality]],Lookups!$H$2:$J$14,3,FALSE),0)</f>
        <v>2251</v>
      </c>
      <c r="BK1565" s="6">
        <f>_xlfn.IFNA(VLOOKUP(Grandview_Inventory[[#This Row],[condition]],Lookups!$H$17:$J$24,3,FALSE),0)</f>
        <v>25780</v>
      </c>
      <c r="BL1565" s="6">
        <f>Grandview_Inventory[[#This Row],[Eff_Age]]*Lookups!$B$14</f>
        <v>-2391.6659999999997</v>
      </c>
      <c r="BM1565" s="6">
        <f>Grandview_Inventory[[#This Row],[living_area]]*Lookups!$B$15</f>
        <v>160817.839034</v>
      </c>
      <c r="BN1565" s="6">
        <f>Grandview_Inventory[[#This Row],[Fin BSMT]]*Lookups!$B$16</f>
        <v>-31082.828280000002</v>
      </c>
      <c r="BO1565" s="6">
        <f>(Grandview_Inventory[[#This Row],[att_gar]]+Grandview_Inventory[[#This Row],[bltin_gar]])*Lookups!$B$17</f>
        <v>0</v>
      </c>
      <c r="BP1565" s="6">
        <f>Grandview_Inventory[[#This Row],[Plumbing Fixtures]]*Lookups!$B$18</f>
        <v>20104.418000000001</v>
      </c>
      <c r="BQ1565" s="6">
        <f>Grandview_Inventory[[#This Row],[detatched_value]]*Lookups!$B$19</f>
        <v>12617.395989999999</v>
      </c>
      <c r="BR1565" s="6">
        <f>SUM(Grandview_Inventory[[#This Row],[Intercept]:[det_value]])*Grandview_Inventory[[#This Row],[res_pct]]</f>
        <v>343930.10874400003</v>
      </c>
      <c r="BS1565" s="6">
        <f>Grandview_Inventory[[#This Row],[land_value]]</f>
        <v>46638.847281240982</v>
      </c>
      <c r="BT1565" s="4">
        <f>_xlfn.IFNA(VLOOKUP(Grandview_Inventory[[#This Row],[quality]],Lookups!$A$26:$C$33,3,FALSE),1)</f>
        <v>0.98763855981004833</v>
      </c>
      <c r="BU1565" s="4">
        <f>_xlfn.IFNA(VLOOKUP(Grandview_Inventory[[#This Row],[condition]],Lookups!$A$37:$C$44,3,FALSE),1)</f>
        <v>0.94347925387812148</v>
      </c>
      <c r="BV1565" s="4">
        <f>IF(Grandview_Inventory[[#This Row],[bldg_style]]="",1,_xlfn.IFNA(VLOOKUP(Grandview_Inventory[[#This Row],[decade]],Lookups!$F$29:$H$43,3,FALSE),1))</f>
        <v>0.94601966599150278</v>
      </c>
      <c r="BW1565" s="4">
        <f>_xlfn.IFNA(VLOOKUP(Grandview_Inventory[[#This Row],[living_area_range]],Lookups!$F$47:$H$56,3,FALSE),1)</f>
        <v>0.94224801443562123</v>
      </c>
      <c r="BX1565" s="4">
        <f>AVERAGE(Grandview_Inventory[[#This Row],[qual_adj]:[size_adj]])</f>
        <v>0.9548463735288234</v>
      </c>
      <c r="BY1565" s="6">
        <f>IF(Grandview_Inventory[[#This Row],[pre_res]]&lt;0,0,Grandview_Inventory[[#This Row],[pre_res]]*Grandview_Inventory[[#This Row],[overall_adj]])</f>
        <v>328400.4170815823</v>
      </c>
      <c r="BZ1565" s="6">
        <f>(Grandview_Inventory[[#This Row],[sum_land]]-IF(Grandview_Inventory[[#This Row],[no_utilities]]=1,12000,0))/IF(Grandview_Inventory[[#This Row],[unbuildable]]=1,2,1)</f>
        <v>46638.847281240982</v>
      </c>
      <c r="CA156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65">
        <f>ROUND(Grandview_Inventory[[#This Row],[det_value]]*Lookups!$M$28,-2)</f>
        <v>12000</v>
      </c>
      <c r="CC1565">
        <f>IF(ROUND(Grandview_Inventory[[#This Row],[adj_res]]*Lookups!$M$28,-2)&lt;Grandview_Inventory[[#This Row],[min_res]],Grandview_Inventory[[#This Row],[min_res]],ROUND(Grandview_Inventory[[#This Row],[adj_res]]*Lookups!$M$28,-2))</f>
        <v>312000</v>
      </c>
      <c r="CD1565">
        <f>Grandview_Inventory[[#This Row],[final_det]]+Grandview_Inventory[[#This Row],[final_res]]</f>
        <v>324000</v>
      </c>
      <c r="CE1565">
        <f>Grandview_Inventory[[#This Row],[final_land]]+Grandview_Inventory[[#This Row],[final_imp]]+Grandview_Inventory[[#This Row],[crop_value]]</f>
        <v>368300</v>
      </c>
      <c r="CG1565" t="str">
        <f t="shared" si="24"/>
        <v>update valuation set market_land =44300, market_bldg=324000, market_total =368300, market_mdno =401, market_date ='9/10/2023' where link_id = (select link_id from parcel where parcel_year = '2024' and parcel_id = '23092323589');</v>
      </c>
    </row>
    <row r="1566" spans="1:85" x14ac:dyDescent="0.25">
      <c r="A1566">
        <v>23092323590</v>
      </c>
      <c r="B1566">
        <v>0.17</v>
      </c>
      <c r="C1566">
        <v>7389</v>
      </c>
      <c r="D1566" t="s">
        <v>129</v>
      </c>
      <c r="E1566" t="s">
        <v>53</v>
      </c>
      <c r="F1566" t="s">
        <v>53</v>
      </c>
      <c r="G1566">
        <v>4</v>
      </c>
      <c r="H1566" t="s">
        <v>54</v>
      </c>
      <c r="I1566">
        <v>103600</v>
      </c>
      <c r="J1566">
        <v>39300</v>
      </c>
      <c r="K1566">
        <v>0.17</v>
      </c>
      <c r="L156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66">
        <v>0</v>
      </c>
      <c r="N1566">
        <v>0</v>
      </c>
      <c r="O1566">
        <v>0</v>
      </c>
      <c r="P1566">
        <v>13398.7528</v>
      </c>
      <c r="Q1566">
        <v>63903</v>
      </c>
      <c r="R1566">
        <f>(Grandview_Inventory[[#This Row],[ln_acres]]*Grandview_Inventory[[#This Row],[coeff]])+Grandview_Inventory[[#This Row],[const]]</f>
        <v>40160.988302686128</v>
      </c>
      <c r="S1566" t="s">
        <v>68</v>
      </c>
      <c r="T1566">
        <v>1</v>
      </c>
      <c r="U1566" t="s">
        <v>70</v>
      </c>
      <c r="V1566" t="s">
        <v>69</v>
      </c>
      <c r="W1566">
        <v>0</v>
      </c>
      <c r="X1566">
        <v>0</v>
      </c>
      <c r="Y1566">
        <v>51</v>
      </c>
      <c r="Z1566">
        <v>78</v>
      </c>
      <c r="AA1566">
        <v>80</v>
      </c>
      <c r="AB1566">
        <v>1000</v>
      </c>
      <c r="AC1566">
        <v>666</v>
      </c>
      <c r="AD1566">
        <v>666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56</v>
      </c>
      <c r="AO1566">
        <v>0</v>
      </c>
      <c r="AP1566">
        <v>5</v>
      </c>
      <c r="AQ1566">
        <v>0</v>
      </c>
      <c r="AR1566">
        <v>0</v>
      </c>
      <c r="AS1566" t="s">
        <v>58</v>
      </c>
      <c r="AT1566">
        <v>0</v>
      </c>
      <c r="AU1566" t="s">
        <v>82</v>
      </c>
      <c r="AV1566" t="s">
        <v>60</v>
      </c>
      <c r="AW1566">
        <v>0</v>
      </c>
      <c r="AX1566">
        <v>2</v>
      </c>
      <c r="AY1566">
        <v>0</v>
      </c>
      <c r="AZ1566">
        <v>0</v>
      </c>
      <c r="BA1566">
        <v>100</v>
      </c>
      <c r="BB1566">
        <v>100</v>
      </c>
      <c r="BC1566">
        <v>100</v>
      </c>
      <c r="BD1566">
        <v>100</v>
      </c>
      <c r="BE1566">
        <v>1</v>
      </c>
      <c r="BF1566">
        <v>15000</v>
      </c>
      <c r="BG1566">
        <v>1000</v>
      </c>
      <c r="BH1566" s="6">
        <f>Grandview_Inventory[[#This Row],[land_extract]]*Lookups!$B$3</f>
        <v>46638.847281240982</v>
      </c>
      <c r="BI1566" s="6">
        <f>IF(Grandview_Inventory[[#This Row],[bldg_style]]="",0,Lookups!$B$2)</f>
        <v>155833.95000000001</v>
      </c>
      <c r="BJ1566" s="6">
        <f>_xlfn.IFNA(VLOOKUP(Grandview_Inventory[[#This Row],[quality]],Lookups!$H$2:$J$14,3,FALSE),0)</f>
        <v>10733</v>
      </c>
      <c r="BK1566" s="6">
        <f>_xlfn.IFNA(VLOOKUP(Grandview_Inventory[[#This Row],[condition]],Lookups!$H$17:$J$24,3,FALSE),0)</f>
        <v>-4503</v>
      </c>
      <c r="BL1566" s="6">
        <f>Grandview_Inventory[[#This Row],[Eff_Age]]*Lookups!$B$14</f>
        <v>-12197.496599999999</v>
      </c>
      <c r="BM1566" s="6">
        <f>Grandview_Inventory[[#This Row],[living_area]]*Lookups!$B$15</f>
        <v>41545.648097999998</v>
      </c>
      <c r="BN1566" s="6">
        <f>Grandview_Inventory[[#This Row],[Fin BSMT]]*Lookups!$B$16</f>
        <v>0</v>
      </c>
      <c r="BO1566" s="6">
        <f>(Grandview_Inventory[[#This Row],[att_gar]]+Grandview_Inventory[[#This Row],[bltin_gar]])*Lookups!$B$17</f>
        <v>0</v>
      </c>
      <c r="BP1566" s="6">
        <f>Grandview_Inventory[[#This Row],[Plumbing Fixtures]]*Lookups!$B$18</f>
        <v>10052.209000000001</v>
      </c>
      <c r="BQ1566" s="6">
        <f>Grandview_Inventory[[#This Row],[detatched_value]]*Lookups!$B$19</f>
        <v>0</v>
      </c>
      <c r="BR1566" s="6">
        <f>SUM(Grandview_Inventory[[#This Row],[Intercept]:[det_value]])*Grandview_Inventory[[#This Row],[res_pct]]</f>
        <v>201464.31049800001</v>
      </c>
      <c r="BS1566" s="6">
        <f>Grandview_Inventory[[#This Row],[land_value]]</f>
        <v>46638.847281240982</v>
      </c>
      <c r="BT1566" s="4">
        <f>_xlfn.IFNA(VLOOKUP(Grandview_Inventory[[#This Row],[quality]],Lookups!$A$26:$C$33,3,FALSE),1)</f>
        <v>0.98079741117310582</v>
      </c>
      <c r="BU1566" s="4">
        <f>_xlfn.IFNA(VLOOKUP(Grandview_Inventory[[#This Row],[condition]],Lookups!$A$37:$C$44,3,FALSE),1)</f>
        <v>0.96469275950863709</v>
      </c>
      <c r="BV1566" s="4">
        <f>IF(Grandview_Inventory[[#This Row],[bldg_style]]="",1,_xlfn.IFNA(VLOOKUP(Grandview_Inventory[[#This Row],[decade]],Lookups!$F$29:$H$43,3,FALSE),1))</f>
        <v>0.98763256963907298</v>
      </c>
      <c r="BW1566" s="4">
        <f>_xlfn.IFNA(VLOOKUP(Grandview_Inventory[[#This Row],[living_area_range]],Lookups!$F$47:$H$56,3,FALSE),1)</f>
        <v>0.94306777142782894</v>
      </c>
      <c r="BX1566" s="4">
        <f>AVERAGE(Grandview_Inventory[[#This Row],[qual_adj]:[size_adj]])</f>
        <v>0.96904762793716115</v>
      </c>
      <c r="BY1566" s="6">
        <f>IF(Grandview_Inventory[[#This Row],[pre_res]]&lt;0,0,Grandview_Inventory[[#This Row],[pre_res]]*Grandview_Inventory[[#This Row],[overall_adj]])</f>
        <v>195228.51220208261</v>
      </c>
      <c r="BZ1566" s="6">
        <f>(Grandview_Inventory[[#This Row],[sum_land]]-IF(Grandview_Inventory[[#This Row],[no_utilities]]=1,12000,0))/IF(Grandview_Inventory[[#This Row],[unbuildable]]=1,2,1)</f>
        <v>46638.847281240982</v>
      </c>
      <c r="CA156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66">
        <f>ROUND(Grandview_Inventory[[#This Row],[det_value]]*Lookups!$M$28,-2)</f>
        <v>0</v>
      </c>
      <c r="CC1566">
        <f>IF(ROUND(Grandview_Inventory[[#This Row],[adj_res]]*Lookups!$M$28,-2)&lt;Grandview_Inventory[[#This Row],[min_res]],Grandview_Inventory[[#This Row],[min_res]],ROUND(Grandview_Inventory[[#This Row],[adj_res]]*Lookups!$M$28,-2))</f>
        <v>185500</v>
      </c>
      <c r="CD1566">
        <f>Grandview_Inventory[[#This Row],[final_det]]+Grandview_Inventory[[#This Row],[final_res]]</f>
        <v>185500</v>
      </c>
      <c r="CE1566">
        <f>Grandview_Inventory[[#This Row],[final_land]]+Grandview_Inventory[[#This Row],[final_imp]]+Grandview_Inventory[[#This Row],[crop_value]]</f>
        <v>229800</v>
      </c>
      <c r="CG1566" t="str">
        <f t="shared" si="24"/>
        <v>update valuation set market_land =44300, market_bldg=185500, market_total =229800, market_mdno =401, market_date ='9/10/2023' where link_id = (select link_id from parcel where parcel_year = '2024' and parcel_id = '23092323590');</v>
      </c>
    </row>
    <row r="1567" spans="1:85" x14ac:dyDescent="0.25">
      <c r="A1567">
        <v>23092323591</v>
      </c>
      <c r="B1567">
        <v>0.18</v>
      </c>
      <c r="C1567">
        <v>7777</v>
      </c>
      <c r="D1567" t="s">
        <v>129</v>
      </c>
      <c r="E1567" t="s">
        <v>53</v>
      </c>
      <c r="F1567" t="s">
        <v>53</v>
      </c>
      <c r="G1567">
        <v>4</v>
      </c>
      <c r="H1567" t="s">
        <v>54</v>
      </c>
      <c r="I1567">
        <v>219500</v>
      </c>
      <c r="J1567">
        <v>39300</v>
      </c>
      <c r="K1567">
        <v>0.18</v>
      </c>
      <c r="L156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67">
        <v>0</v>
      </c>
      <c r="N1567">
        <v>0</v>
      </c>
      <c r="O1567">
        <v>0</v>
      </c>
      <c r="P1567">
        <v>13398.7528</v>
      </c>
      <c r="Q1567">
        <v>63903</v>
      </c>
      <c r="R1567">
        <f>(Grandview_Inventory[[#This Row],[ln_acres]]*Grandview_Inventory[[#This Row],[coeff]])+Grandview_Inventory[[#This Row],[const]]</f>
        <v>40926.839760167699</v>
      </c>
      <c r="S1567" t="s">
        <v>61</v>
      </c>
      <c r="T1567">
        <v>1</v>
      </c>
      <c r="U1567" t="s">
        <v>65</v>
      </c>
      <c r="V1567" t="s">
        <v>67</v>
      </c>
      <c r="W1567">
        <v>0</v>
      </c>
      <c r="X1567">
        <v>0</v>
      </c>
      <c r="Y1567">
        <v>43</v>
      </c>
      <c r="Z1567">
        <v>63</v>
      </c>
      <c r="AA1567">
        <v>70</v>
      </c>
      <c r="AB1567">
        <v>1500</v>
      </c>
      <c r="AC1567">
        <v>1440</v>
      </c>
      <c r="AD1567">
        <v>1440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768</v>
      </c>
      <c r="AL1567">
        <v>0</v>
      </c>
      <c r="AM1567">
        <v>192</v>
      </c>
      <c r="AN1567">
        <v>24</v>
      </c>
      <c r="AO1567">
        <v>192</v>
      </c>
      <c r="AP1567">
        <v>8</v>
      </c>
      <c r="AQ1567">
        <v>0</v>
      </c>
      <c r="AR1567">
        <v>1</v>
      </c>
      <c r="AS1567" t="s">
        <v>58</v>
      </c>
      <c r="AT1567">
        <v>1</v>
      </c>
      <c r="AU1567" t="s">
        <v>63</v>
      </c>
      <c r="AV1567" t="s">
        <v>60</v>
      </c>
      <c r="AW1567">
        <v>0</v>
      </c>
      <c r="AX1567">
        <v>3</v>
      </c>
      <c r="AY1567">
        <v>0</v>
      </c>
      <c r="AZ1567">
        <v>0</v>
      </c>
      <c r="BA1567">
        <v>100</v>
      </c>
      <c r="BB1567">
        <v>100</v>
      </c>
      <c r="BC1567">
        <v>100</v>
      </c>
      <c r="BD1567">
        <v>100</v>
      </c>
      <c r="BE1567">
        <v>1</v>
      </c>
      <c r="BF1567">
        <v>15000</v>
      </c>
      <c r="BG1567">
        <v>1000</v>
      </c>
      <c r="BH1567" s="6">
        <f>Grandview_Inventory[[#This Row],[land_extract]]*Lookups!$B$3</f>
        <v>47528.228511015397</v>
      </c>
      <c r="BI1567" s="6">
        <f>IF(Grandview_Inventory[[#This Row],[bldg_style]]="",0,Lookups!$B$2)</f>
        <v>155833.95000000001</v>
      </c>
      <c r="BJ1567" s="6">
        <f>_xlfn.IFNA(VLOOKUP(Grandview_Inventory[[#This Row],[quality]],Lookups!$H$2:$J$14,3,FALSE),0)</f>
        <v>2251</v>
      </c>
      <c r="BK1567" s="6">
        <f>_xlfn.IFNA(VLOOKUP(Grandview_Inventory[[#This Row],[condition]],Lookups!$H$17:$J$24,3,FALSE),0)</f>
        <v>22342</v>
      </c>
      <c r="BL1567" s="6">
        <f>Grandview_Inventory[[#This Row],[Eff_Age]]*Lookups!$B$14</f>
        <v>-10284.1638</v>
      </c>
      <c r="BM1567" s="6">
        <f>Grandview_Inventory[[#This Row],[living_area]]*Lookups!$B$15</f>
        <v>89828.428320000006</v>
      </c>
      <c r="BN1567" s="6">
        <f>Grandview_Inventory[[#This Row],[Fin BSMT]]*Lookups!$B$16</f>
        <v>0</v>
      </c>
      <c r="BO1567" s="6">
        <f>(Grandview_Inventory[[#This Row],[att_gar]]+Grandview_Inventory[[#This Row],[bltin_gar]])*Lookups!$B$17</f>
        <v>0</v>
      </c>
      <c r="BP1567" s="6">
        <f>Grandview_Inventory[[#This Row],[Plumbing Fixtures]]*Lookups!$B$18</f>
        <v>16083.5344</v>
      </c>
      <c r="BQ1567" s="6">
        <f>Grandview_Inventory[[#This Row],[detatched_value]]*Lookups!$B$19</f>
        <v>0</v>
      </c>
      <c r="BR1567" s="6">
        <f>SUM(Grandview_Inventory[[#This Row],[Intercept]:[det_value]])*Grandview_Inventory[[#This Row],[res_pct]]</f>
        <v>276054.74891999998</v>
      </c>
      <c r="BS1567" s="6">
        <f>Grandview_Inventory[[#This Row],[land_value]]</f>
        <v>47528.228511015397</v>
      </c>
      <c r="BT1567" s="4">
        <f>_xlfn.IFNA(VLOOKUP(Grandview_Inventory[[#This Row],[quality]],Lookups!$A$26:$C$33,3,FALSE),1)</f>
        <v>0.98763855981004833</v>
      </c>
      <c r="BU1567" s="4">
        <f>_xlfn.IFNA(VLOOKUP(Grandview_Inventory[[#This Row],[condition]],Lookups!$A$37:$C$44,3,FALSE),1)</f>
        <v>0.97383723671140243</v>
      </c>
      <c r="BV1567" s="4">
        <f>IF(Grandview_Inventory[[#This Row],[bldg_style]]="",1,_xlfn.IFNA(VLOOKUP(Grandview_Inventory[[#This Row],[decade]],Lookups!$F$29:$H$43,3,FALSE),1))</f>
        <v>0.99472141305414818</v>
      </c>
      <c r="BW1567" s="4">
        <f>_xlfn.IFNA(VLOOKUP(Grandview_Inventory[[#This Row],[living_area_range]],Lookups!$F$47:$H$56,3,FALSE),1)</f>
        <v>0.96135087979789358</v>
      </c>
      <c r="BX1567" s="4">
        <f>AVERAGE(Grandview_Inventory[[#This Row],[qual_adj]:[size_adj]])</f>
        <v>0.97938702234337316</v>
      </c>
      <c r="BY1567" s="6">
        <f>IF(Grandview_Inventory[[#This Row],[pre_res]]&lt;0,0,Grandview_Inventory[[#This Row],[pre_res]]*Grandview_Inventory[[#This Row],[overall_adj]])</f>
        <v>270364.4385485063</v>
      </c>
      <c r="BZ1567" s="6">
        <f>(Grandview_Inventory[[#This Row],[sum_land]]-IF(Grandview_Inventory[[#This Row],[no_utilities]]=1,12000,0))/IF(Grandview_Inventory[[#This Row],[unbuildable]]=1,2,1)</f>
        <v>47528.228511015397</v>
      </c>
      <c r="CA156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67">
        <f>ROUND(Grandview_Inventory[[#This Row],[det_value]]*Lookups!$M$28,-2)</f>
        <v>0</v>
      </c>
      <c r="CC1567">
        <f>IF(ROUND(Grandview_Inventory[[#This Row],[adj_res]]*Lookups!$M$28,-2)&lt;Grandview_Inventory[[#This Row],[min_res]],Grandview_Inventory[[#This Row],[min_res]],ROUND(Grandview_Inventory[[#This Row],[adj_res]]*Lookups!$M$28,-2))</f>
        <v>256800</v>
      </c>
      <c r="CD1567">
        <f>Grandview_Inventory[[#This Row],[final_det]]+Grandview_Inventory[[#This Row],[final_res]]</f>
        <v>256800</v>
      </c>
      <c r="CE1567">
        <f>Grandview_Inventory[[#This Row],[final_land]]+Grandview_Inventory[[#This Row],[final_imp]]+Grandview_Inventory[[#This Row],[crop_value]]</f>
        <v>302000</v>
      </c>
      <c r="CG1567" t="str">
        <f t="shared" si="24"/>
        <v>update valuation set market_land =45200, market_bldg=256800, market_total =302000, market_mdno =401, market_date ='9/10/2023' where link_id = (select link_id from parcel where parcel_year = '2024' and parcel_id = '23092323591');</v>
      </c>
    </row>
    <row r="1568" spans="1:85" x14ac:dyDescent="0.25">
      <c r="A1568">
        <v>23092323593</v>
      </c>
      <c r="B1568">
        <v>0.39</v>
      </c>
      <c r="C1568">
        <v>16789</v>
      </c>
      <c r="D1568" t="s">
        <v>129</v>
      </c>
      <c r="E1568" t="s">
        <v>53</v>
      </c>
      <c r="F1568" t="s">
        <v>53</v>
      </c>
      <c r="G1568">
        <v>4</v>
      </c>
      <c r="H1568" t="s">
        <v>54</v>
      </c>
      <c r="I1568">
        <v>84500</v>
      </c>
      <c r="J1568">
        <v>41600</v>
      </c>
      <c r="K1568">
        <v>0.39</v>
      </c>
      <c r="L1568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1568">
        <v>0</v>
      </c>
      <c r="N1568">
        <v>0</v>
      </c>
      <c r="O1568">
        <v>0</v>
      </c>
      <c r="P1568">
        <v>13398.7528</v>
      </c>
      <c r="Q1568">
        <v>63903</v>
      </c>
      <c r="R1568">
        <f>(Grandview_Inventory[[#This Row],[ln_acres]]*Grandview_Inventory[[#This Row],[coeff]])+Grandview_Inventory[[#This Row],[const]]</f>
        <v>51286.619940067751</v>
      </c>
      <c r="S1568" t="s">
        <v>68</v>
      </c>
      <c r="T1568">
        <v>1</v>
      </c>
      <c r="U1568" t="s">
        <v>80</v>
      </c>
      <c r="V1568" t="s">
        <v>69</v>
      </c>
      <c r="W1568">
        <v>0</v>
      </c>
      <c r="X1568">
        <v>0</v>
      </c>
      <c r="Y1568">
        <v>47</v>
      </c>
      <c r="Z1568">
        <v>58</v>
      </c>
      <c r="AA1568">
        <v>60</v>
      </c>
      <c r="AB1568">
        <v>1000</v>
      </c>
      <c r="AC1568">
        <v>768</v>
      </c>
      <c r="AD1568">
        <v>768</v>
      </c>
      <c r="AE1568">
        <v>0</v>
      </c>
      <c r="AF1568">
        <v>0</v>
      </c>
      <c r="AG1568">
        <v>0</v>
      </c>
      <c r="AH1568">
        <v>144</v>
      </c>
      <c r="AI1568">
        <v>0</v>
      </c>
      <c r="AJ1568">
        <v>0</v>
      </c>
      <c r="AK1568">
        <v>0</v>
      </c>
      <c r="AL1568">
        <v>60</v>
      </c>
      <c r="AM1568">
        <v>0</v>
      </c>
      <c r="AN1568">
        <v>0</v>
      </c>
      <c r="AO1568">
        <v>0</v>
      </c>
      <c r="AP1568">
        <v>5</v>
      </c>
      <c r="AQ1568">
        <v>0</v>
      </c>
      <c r="AR1568">
        <v>0</v>
      </c>
      <c r="AS1568" t="s">
        <v>58</v>
      </c>
      <c r="AT1568">
        <v>1</v>
      </c>
      <c r="AU1568" t="s">
        <v>63</v>
      </c>
      <c r="AV1568" t="s">
        <v>81</v>
      </c>
      <c r="AW1568">
        <v>0</v>
      </c>
      <c r="AX1568">
        <v>2</v>
      </c>
      <c r="AY1568">
        <v>0</v>
      </c>
      <c r="AZ1568">
        <v>0</v>
      </c>
      <c r="BA1568">
        <v>100</v>
      </c>
      <c r="BB1568">
        <v>100</v>
      </c>
      <c r="BC1568">
        <v>100</v>
      </c>
      <c r="BD1568">
        <v>100</v>
      </c>
      <c r="BE1568">
        <v>1</v>
      </c>
      <c r="BF1568">
        <v>15000</v>
      </c>
      <c r="BG1568">
        <v>1000</v>
      </c>
      <c r="BH1568" s="6">
        <f>Grandview_Inventory[[#This Row],[land_extract]]*Lookups!$B$3</f>
        <v>59559.013262526838</v>
      </c>
      <c r="BI1568" s="6">
        <f>IF(Grandview_Inventory[[#This Row],[bldg_style]]="",0,Lookups!$B$2)</f>
        <v>155833.95000000001</v>
      </c>
      <c r="BJ1568" s="6">
        <f>_xlfn.IFNA(VLOOKUP(Grandview_Inventory[[#This Row],[quality]],Lookups!$H$2:$J$14,3,FALSE),0)</f>
        <v>-28558</v>
      </c>
      <c r="BK1568" s="6">
        <f>_xlfn.IFNA(VLOOKUP(Grandview_Inventory[[#This Row],[condition]],Lookups!$H$17:$J$24,3,FALSE),0)</f>
        <v>-4503</v>
      </c>
      <c r="BL1568" s="6">
        <f>Grandview_Inventory[[#This Row],[Eff_Age]]*Lookups!$B$14</f>
        <v>-11240.8302</v>
      </c>
      <c r="BM1568" s="6">
        <f>Grandview_Inventory[[#This Row],[living_area]]*Lookups!$B$15</f>
        <v>47908.495104000001</v>
      </c>
      <c r="BN1568" s="6">
        <f>Grandview_Inventory[[#This Row],[Fin BSMT]]*Lookups!$B$16</f>
        <v>0</v>
      </c>
      <c r="BO1568" s="6">
        <f>(Grandview_Inventory[[#This Row],[att_gar]]+Grandview_Inventory[[#This Row],[bltin_gar]])*Lookups!$B$17</f>
        <v>0</v>
      </c>
      <c r="BP1568" s="6">
        <f>Grandview_Inventory[[#This Row],[Plumbing Fixtures]]*Lookups!$B$18</f>
        <v>10052.209000000001</v>
      </c>
      <c r="BQ1568" s="6">
        <f>Grandview_Inventory[[#This Row],[detatched_value]]*Lookups!$B$19</f>
        <v>0</v>
      </c>
      <c r="BR1568" s="6">
        <f>SUM(Grandview_Inventory[[#This Row],[Intercept]:[det_value]])*Grandview_Inventory[[#This Row],[res_pct]]</f>
        <v>169492.82390400002</v>
      </c>
      <c r="BS1568" s="6">
        <f>Grandview_Inventory[[#This Row],[land_value]]</f>
        <v>59559.013262526838</v>
      </c>
      <c r="BT1568" s="4">
        <f>_xlfn.IFNA(VLOOKUP(Grandview_Inventory[[#This Row],[quality]],Lookups!$A$26:$C$33,3,FALSE),1)</f>
        <v>0.9690360070159818</v>
      </c>
      <c r="BU1568" s="4">
        <f>_xlfn.IFNA(VLOOKUP(Grandview_Inventory[[#This Row],[condition]],Lookups!$A$37:$C$44,3,FALSE),1)</f>
        <v>0.96469275950863709</v>
      </c>
      <c r="BV1568" s="4">
        <f>IF(Grandview_Inventory[[#This Row],[bldg_style]]="",1,_xlfn.IFNA(VLOOKUP(Grandview_Inventory[[#This Row],[decade]],Lookups!$F$29:$H$43,3,FALSE),1))</f>
        <v>0.95268620544463312</v>
      </c>
      <c r="BW1568" s="4">
        <f>_xlfn.IFNA(VLOOKUP(Grandview_Inventory[[#This Row],[living_area_range]],Lookups!$F$47:$H$56,3,FALSE),1)</f>
        <v>0.94306777142782894</v>
      </c>
      <c r="BX1568" s="4">
        <f>AVERAGE(Grandview_Inventory[[#This Row],[qual_adj]:[size_adj]])</f>
        <v>0.95737068584927021</v>
      </c>
      <c r="BY1568" s="6">
        <f>IF(Grandview_Inventory[[#This Row],[pre_res]]&lt;0,0,Grandview_Inventory[[#This Row],[pre_res]]*Grandview_Inventory[[#This Row],[overall_adj]])</f>
        <v>162267.46106750207</v>
      </c>
      <c r="BZ1568" s="6">
        <f>(Grandview_Inventory[[#This Row],[sum_land]]-IF(Grandview_Inventory[[#This Row],[no_utilities]]=1,12000,0))/IF(Grandview_Inventory[[#This Row],[unbuildable]]=1,2,1)</f>
        <v>59559.013262526838</v>
      </c>
      <c r="CA1568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1568">
        <f>ROUND(Grandview_Inventory[[#This Row],[det_value]]*Lookups!$M$28,-2)</f>
        <v>0</v>
      </c>
      <c r="CC1568">
        <f>IF(ROUND(Grandview_Inventory[[#This Row],[adj_res]]*Lookups!$M$28,-2)&lt;Grandview_Inventory[[#This Row],[min_res]],Grandview_Inventory[[#This Row],[min_res]],ROUND(Grandview_Inventory[[#This Row],[adj_res]]*Lookups!$M$28,-2))</f>
        <v>154200</v>
      </c>
      <c r="CD1568">
        <f>Grandview_Inventory[[#This Row],[final_det]]+Grandview_Inventory[[#This Row],[final_res]]</f>
        <v>154200</v>
      </c>
      <c r="CE1568">
        <f>Grandview_Inventory[[#This Row],[final_land]]+Grandview_Inventory[[#This Row],[final_imp]]+Grandview_Inventory[[#This Row],[crop_value]]</f>
        <v>210800</v>
      </c>
      <c r="CG1568" t="str">
        <f t="shared" si="24"/>
        <v>update valuation set market_land =56600, market_bldg=154200, market_total =210800, market_mdno =401, market_date ='9/10/2023' where link_id = (select link_id from parcel where parcel_year = '2024' and parcel_id = '23092323593');</v>
      </c>
    </row>
    <row r="1569" spans="1:85" x14ac:dyDescent="0.25">
      <c r="A1569">
        <v>23092323594</v>
      </c>
      <c r="B1569">
        <v>0.42</v>
      </c>
      <c r="C1569">
        <v>18125</v>
      </c>
      <c r="D1569" t="s">
        <v>129</v>
      </c>
      <c r="E1569" t="s">
        <v>53</v>
      </c>
      <c r="F1569" t="s">
        <v>53</v>
      </c>
      <c r="G1569">
        <v>4</v>
      </c>
      <c r="H1569" t="s">
        <v>54</v>
      </c>
      <c r="I1569">
        <v>184200</v>
      </c>
      <c r="J1569">
        <v>41600</v>
      </c>
      <c r="K1569">
        <v>0.42</v>
      </c>
      <c r="L1569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1569">
        <v>0</v>
      </c>
      <c r="N1569">
        <v>0</v>
      </c>
      <c r="O1569">
        <v>0</v>
      </c>
      <c r="P1569">
        <v>13398.7528</v>
      </c>
      <c r="Q1569">
        <v>63903</v>
      </c>
      <c r="R1569">
        <f>(Grandview_Inventory[[#This Row],[ln_acres]]*Grandview_Inventory[[#This Row],[coeff]])+Grandview_Inventory[[#This Row],[const]]</f>
        <v>52279.574339464751</v>
      </c>
      <c r="S1569" t="s">
        <v>68</v>
      </c>
      <c r="T1569">
        <v>1</v>
      </c>
      <c r="U1569" t="s">
        <v>65</v>
      </c>
      <c r="V1569" t="s">
        <v>67</v>
      </c>
      <c r="W1569">
        <v>0</v>
      </c>
      <c r="X1569">
        <v>0</v>
      </c>
      <c r="Y1569">
        <v>59</v>
      </c>
      <c r="Z1569">
        <v>112</v>
      </c>
      <c r="AA1569">
        <v>120</v>
      </c>
      <c r="AB1569">
        <v>1500</v>
      </c>
      <c r="AC1569">
        <v>1290</v>
      </c>
      <c r="AD1569">
        <v>1290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161</v>
      </c>
      <c r="AM1569">
        <v>168</v>
      </c>
      <c r="AN1569">
        <v>0</v>
      </c>
      <c r="AO1569">
        <v>0</v>
      </c>
      <c r="AP1569">
        <v>5</v>
      </c>
      <c r="AQ1569">
        <v>0</v>
      </c>
      <c r="AR1569">
        <v>1</v>
      </c>
      <c r="AS1569" t="s">
        <v>58</v>
      </c>
      <c r="AT1569">
        <v>1</v>
      </c>
      <c r="AU1569" t="s">
        <v>63</v>
      </c>
      <c r="AV1569" t="s">
        <v>64</v>
      </c>
      <c r="AW1569">
        <v>1</v>
      </c>
      <c r="AX1569">
        <v>3</v>
      </c>
      <c r="AY1569">
        <v>0</v>
      </c>
      <c r="AZ1569">
        <v>6900</v>
      </c>
      <c r="BA1569">
        <v>100</v>
      </c>
      <c r="BB1569">
        <v>100</v>
      </c>
      <c r="BC1569">
        <v>100</v>
      </c>
      <c r="BD1569">
        <v>100</v>
      </c>
      <c r="BE1569">
        <v>1</v>
      </c>
      <c r="BF1569">
        <v>15000</v>
      </c>
      <c r="BG1569">
        <v>1000</v>
      </c>
      <c r="BH1569" s="6">
        <f>Grandview_Inventory[[#This Row],[land_extract]]*Lookups!$B$3</f>
        <v>60712.1285255697</v>
      </c>
      <c r="BI1569" s="6">
        <f>IF(Grandview_Inventory[[#This Row],[bldg_style]]="",0,Lookups!$B$2)</f>
        <v>155833.95000000001</v>
      </c>
      <c r="BJ1569" s="6">
        <f>_xlfn.IFNA(VLOOKUP(Grandview_Inventory[[#This Row],[quality]],Lookups!$H$2:$J$14,3,FALSE),0)</f>
        <v>2251</v>
      </c>
      <c r="BK1569" s="6">
        <f>_xlfn.IFNA(VLOOKUP(Grandview_Inventory[[#This Row],[condition]],Lookups!$H$17:$J$24,3,FALSE),0)</f>
        <v>22342</v>
      </c>
      <c r="BL1569" s="6">
        <f>Grandview_Inventory[[#This Row],[Eff_Age]]*Lookups!$B$14</f>
        <v>-14110.829399999999</v>
      </c>
      <c r="BM1569" s="6">
        <f>Grandview_Inventory[[#This Row],[living_area]]*Lookups!$B$15</f>
        <v>80471.300369999997</v>
      </c>
      <c r="BN1569" s="6">
        <f>Grandview_Inventory[[#This Row],[Fin BSMT]]*Lookups!$B$16</f>
        <v>0</v>
      </c>
      <c r="BO1569" s="6">
        <f>(Grandview_Inventory[[#This Row],[att_gar]]+Grandview_Inventory[[#This Row],[bltin_gar]])*Lookups!$B$17</f>
        <v>0</v>
      </c>
      <c r="BP1569" s="6">
        <f>Grandview_Inventory[[#This Row],[Plumbing Fixtures]]*Lookups!$B$18</f>
        <v>10052.209000000001</v>
      </c>
      <c r="BQ1569" s="6">
        <f>Grandview_Inventory[[#This Row],[detatched_value]]*Lookups!$B$19</f>
        <v>5842.9551899999997</v>
      </c>
      <c r="BR1569" s="6">
        <f>SUM(Grandview_Inventory[[#This Row],[Intercept]:[det_value]])*Grandview_Inventory[[#This Row],[res_pct]]</f>
        <v>262682.58516000002</v>
      </c>
      <c r="BS1569" s="6">
        <f>Grandview_Inventory[[#This Row],[land_value]]</f>
        <v>60712.1285255697</v>
      </c>
      <c r="BT1569" s="4">
        <f>_xlfn.IFNA(VLOOKUP(Grandview_Inventory[[#This Row],[quality]],Lookups!$A$26:$C$33,3,FALSE),1)</f>
        <v>0.98763855981004833</v>
      </c>
      <c r="BU1569" s="4">
        <f>_xlfn.IFNA(VLOOKUP(Grandview_Inventory[[#This Row],[condition]],Lookups!$A$37:$C$44,3,FALSE),1)</f>
        <v>0.97383723671140243</v>
      </c>
      <c r="BV1569" s="4">
        <f>IF(Grandview_Inventory[[#This Row],[bldg_style]]="",1,_xlfn.IFNA(VLOOKUP(Grandview_Inventory[[#This Row],[decade]],Lookups!$F$29:$H$43,3,FALSE),1))</f>
        <v>0.9251738460551937</v>
      </c>
      <c r="BW1569" s="4">
        <f>_xlfn.IFNA(VLOOKUP(Grandview_Inventory[[#This Row],[living_area_range]],Lookups!$F$47:$H$56,3,FALSE),1)</f>
        <v>0.96135087979789358</v>
      </c>
      <c r="BX1569" s="4">
        <f>AVERAGE(Grandview_Inventory[[#This Row],[qual_adj]:[size_adj]])</f>
        <v>0.96200013059363454</v>
      </c>
      <c r="BY1569" s="6">
        <f>IF(Grandview_Inventory[[#This Row],[pre_res]]&lt;0,0,Grandview_Inventory[[#This Row],[pre_res]]*Grandview_Inventory[[#This Row],[overall_adj]])</f>
        <v>252700.68122859354</v>
      </c>
      <c r="BZ1569" s="6">
        <f>(Grandview_Inventory[[#This Row],[sum_land]]-IF(Grandview_Inventory[[#This Row],[no_utilities]]=1,12000,0))/IF(Grandview_Inventory[[#This Row],[unbuildable]]=1,2,1)</f>
        <v>60712.1285255697</v>
      </c>
      <c r="CA1569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1569">
        <f>ROUND(Grandview_Inventory[[#This Row],[det_value]]*Lookups!$M$28,-2)</f>
        <v>5600</v>
      </c>
      <c r="CC1569">
        <f>IF(ROUND(Grandview_Inventory[[#This Row],[adj_res]]*Lookups!$M$28,-2)&lt;Grandview_Inventory[[#This Row],[min_res]],Grandview_Inventory[[#This Row],[min_res]],ROUND(Grandview_Inventory[[#This Row],[adj_res]]*Lookups!$M$28,-2))</f>
        <v>240100</v>
      </c>
      <c r="CD1569">
        <f>Grandview_Inventory[[#This Row],[final_det]]+Grandview_Inventory[[#This Row],[final_res]]</f>
        <v>245700</v>
      </c>
      <c r="CE1569">
        <f>Grandview_Inventory[[#This Row],[final_land]]+Grandview_Inventory[[#This Row],[final_imp]]+Grandview_Inventory[[#This Row],[crop_value]]</f>
        <v>303400</v>
      </c>
      <c r="CG1569" t="str">
        <f t="shared" si="24"/>
        <v>update valuation set market_land =57700, market_bldg=245700, market_total =303400, market_mdno =401, market_date ='9/10/2023' where link_id = (select link_id from parcel where parcel_year = '2024' and parcel_id = '23092323594');</v>
      </c>
    </row>
    <row r="1570" spans="1:85" x14ac:dyDescent="0.25">
      <c r="A1570">
        <v>23092324400</v>
      </c>
      <c r="B1570">
        <v>0.41</v>
      </c>
      <c r="C1570">
        <v>17999</v>
      </c>
      <c r="D1570" t="s">
        <v>129</v>
      </c>
      <c r="E1570" t="s">
        <v>53</v>
      </c>
      <c r="F1570" t="s">
        <v>53</v>
      </c>
      <c r="G1570">
        <v>4</v>
      </c>
      <c r="H1570" t="s">
        <v>54</v>
      </c>
      <c r="I1570">
        <v>107000</v>
      </c>
      <c r="J1570">
        <v>41600</v>
      </c>
      <c r="K1570">
        <v>0.41</v>
      </c>
      <c r="L1570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1570">
        <v>0</v>
      </c>
      <c r="N1570">
        <v>0</v>
      </c>
      <c r="O1570">
        <v>0</v>
      </c>
      <c r="P1570">
        <v>13398.7528</v>
      </c>
      <c r="Q1570">
        <v>63903</v>
      </c>
      <c r="R1570">
        <f>(Grandview_Inventory[[#This Row],[ln_acres]]*Grandview_Inventory[[#This Row],[coeff]])+Grandview_Inventory[[#This Row],[const]]</f>
        <v>51956.697202771669</v>
      </c>
      <c r="S1570" t="s">
        <v>68</v>
      </c>
      <c r="T1570">
        <v>1</v>
      </c>
      <c r="U1570" t="s">
        <v>80</v>
      </c>
      <c r="V1570" t="s">
        <v>69</v>
      </c>
      <c r="W1570">
        <v>0</v>
      </c>
      <c r="X1570">
        <v>0</v>
      </c>
      <c r="Y1570">
        <v>53</v>
      </c>
      <c r="Z1570">
        <v>97</v>
      </c>
      <c r="AA1570">
        <v>100</v>
      </c>
      <c r="AB1570">
        <v>1500</v>
      </c>
      <c r="AC1570">
        <v>1143</v>
      </c>
      <c r="AD1570">
        <v>1143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5</v>
      </c>
      <c r="AQ1570">
        <v>0</v>
      </c>
      <c r="AR1570">
        <v>0</v>
      </c>
      <c r="AS1570" t="s">
        <v>58</v>
      </c>
      <c r="AT1570">
        <v>0</v>
      </c>
      <c r="AU1570" t="s">
        <v>82</v>
      </c>
      <c r="AV1570" t="s">
        <v>64</v>
      </c>
      <c r="AW1570">
        <v>0</v>
      </c>
      <c r="AX1570">
        <v>3</v>
      </c>
      <c r="AY1570">
        <v>0</v>
      </c>
      <c r="AZ1570">
        <v>5700</v>
      </c>
      <c r="BA1570">
        <v>100</v>
      </c>
      <c r="BB1570">
        <v>100</v>
      </c>
      <c r="BC1570">
        <v>100</v>
      </c>
      <c r="BD1570">
        <v>100</v>
      </c>
      <c r="BE1570">
        <v>1</v>
      </c>
      <c r="BF1570">
        <v>15000</v>
      </c>
      <c r="BG1570">
        <v>1000</v>
      </c>
      <c r="BH1570" s="6">
        <f>Grandview_Inventory[[#This Row],[land_extract]]*Lookups!$B$3</f>
        <v>60337.172178496294</v>
      </c>
      <c r="BI1570" s="6">
        <f>IF(Grandview_Inventory[[#This Row],[bldg_style]]="",0,Lookups!$B$2)</f>
        <v>155833.95000000001</v>
      </c>
      <c r="BJ1570" s="6">
        <f>_xlfn.IFNA(VLOOKUP(Grandview_Inventory[[#This Row],[quality]],Lookups!$H$2:$J$14,3,FALSE),0)</f>
        <v>-28558</v>
      </c>
      <c r="BK1570" s="6">
        <f>_xlfn.IFNA(VLOOKUP(Grandview_Inventory[[#This Row],[condition]],Lookups!$H$17:$J$24,3,FALSE),0)</f>
        <v>-4503</v>
      </c>
      <c r="BL1570" s="6">
        <f>Grandview_Inventory[[#This Row],[Eff_Age]]*Lookups!$B$14</f>
        <v>-12675.8298</v>
      </c>
      <c r="BM1570" s="6">
        <f>Grandview_Inventory[[#This Row],[living_area]]*Lookups!$B$15</f>
        <v>71301.314979000002</v>
      </c>
      <c r="BN1570" s="6">
        <f>Grandview_Inventory[[#This Row],[Fin BSMT]]*Lookups!$B$16</f>
        <v>0</v>
      </c>
      <c r="BO1570" s="6">
        <f>(Grandview_Inventory[[#This Row],[att_gar]]+Grandview_Inventory[[#This Row],[bltin_gar]])*Lookups!$B$17</f>
        <v>0</v>
      </c>
      <c r="BP1570" s="6">
        <f>Grandview_Inventory[[#This Row],[Plumbing Fixtures]]*Lookups!$B$18</f>
        <v>10052.209000000001</v>
      </c>
      <c r="BQ1570" s="6">
        <f>Grandview_Inventory[[#This Row],[detatched_value]]*Lookups!$B$19</f>
        <v>4826.7890699999998</v>
      </c>
      <c r="BR1570" s="6">
        <f>SUM(Grandview_Inventory[[#This Row],[Intercept]:[det_value]])*Grandview_Inventory[[#This Row],[res_pct]]</f>
        <v>196277.43324900002</v>
      </c>
      <c r="BS1570" s="6">
        <f>Grandview_Inventory[[#This Row],[land_value]]</f>
        <v>60337.172178496294</v>
      </c>
      <c r="BT1570" s="4">
        <f>_xlfn.IFNA(VLOOKUP(Grandview_Inventory[[#This Row],[quality]],Lookups!$A$26:$C$33,3,FALSE),1)</f>
        <v>0.9690360070159818</v>
      </c>
      <c r="BU1570" s="4">
        <f>_xlfn.IFNA(VLOOKUP(Grandview_Inventory[[#This Row],[condition]],Lookups!$A$37:$C$44,3,FALSE),1)</f>
        <v>0.96469275950863709</v>
      </c>
      <c r="BV1570" s="4">
        <f>IF(Grandview_Inventory[[#This Row],[bldg_style]]="",1,_xlfn.IFNA(VLOOKUP(Grandview_Inventory[[#This Row],[decade]],Lookups!$F$29:$H$43,3,FALSE),1))</f>
        <v>0.95244691841736806</v>
      </c>
      <c r="BW1570" s="4">
        <f>_xlfn.IFNA(VLOOKUP(Grandview_Inventory[[#This Row],[living_area_range]],Lookups!$F$47:$H$56,3,FALSE),1)</f>
        <v>0.96135087979789358</v>
      </c>
      <c r="BX1570" s="4">
        <f>AVERAGE(Grandview_Inventory[[#This Row],[qual_adj]:[size_adj]])</f>
        <v>0.9618816411849701</v>
      </c>
      <c r="BY1570" s="6">
        <f>IF(Grandview_Inventory[[#This Row],[pre_res]]&lt;0,0,Grandview_Inventory[[#This Row],[pre_res]]*Grandview_Inventory[[#This Row],[overall_adj]])</f>
        <v>188795.65962112157</v>
      </c>
      <c r="BZ1570" s="6">
        <f>(Grandview_Inventory[[#This Row],[sum_land]]-IF(Grandview_Inventory[[#This Row],[no_utilities]]=1,12000,0))/IF(Grandview_Inventory[[#This Row],[unbuildable]]=1,2,1)</f>
        <v>60337.172178496294</v>
      </c>
      <c r="CA1570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1570">
        <f>ROUND(Grandview_Inventory[[#This Row],[det_value]]*Lookups!$M$28,-2)</f>
        <v>4600</v>
      </c>
      <c r="CC1570">
        <f>IF(ROUND(Grandview_Inventory[[#This Row],[adj_res]]*Lookups!$M$28,-2)&lt;Grandview_Inventory[[#This Row],[min_res]],Grandview_Inventory[[#This Row],[min_res]],ROUND(Grandview_Inventory[[#This Row],[adj_res]]*Lookups!$M$28,-2))</f>
        <v>179400</v>
      </c>
      <c r="CD1570">
        <f>Grandview_Inventory[[#This Row],[final_det]]+Grandview_Inventory[[#This Row],[final_res]]</f>
        <v>184000</v>
      </c>
      <c r="CE1570">
        <f>Grandview_Inventory[[#This Row],[final_land]]+Grandview_Inventory[[#This Row],[final_imp]]+Grandview_Inventory[[#This Row],[crop_value]]</f>
        <v>241300</v>
      </c>
      <c r="CG1570" t="str">
        <f t="shared" si="24"/>
        <v>update valuation set market_land =57300, market_bldg=184000, market_total =241300, market_mdno =401, market_date ='9/10/2023' where link_id = (select link_id from parcel where parcel_year = '2024' and parcel_id = '23092324400');</v>
      </c>
    </row>
    <row r="1571" spans="1:85" x14ac:dyDescent="0.25">
      <c r="A1571">
        <v>23092324401</v>
      </c>
      <c r="B1571">
        <v>0.17</v>
      </c>
      <c r="C1571">
        <v>7245</v>
      </c>
      <c r="D1571" t="s">
        <v>129</v>
      </c>
      <c r="E1571" t="s">
        <v>53</v>
      </c>
      <c r="F1571" t="s">
        <v>53</v>
      </c>
      <c r="G1571">
        <v>4</v>
      </c>
      <c r="H1571" t="s">
        <v>54</v>
      </c>
      <c r="I1571">
        <v>127200</v>
      </c>
      <c r="J1571">
        <v>39100</v>
      </c>
      <c r="K1571">
        <v>0.17</v>
      </c>
      <c r="L157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71">
        <v>0</v>
      </c>
      <c r="N1571">
        <v>0</v>
      </c>
      <c r="O1571">
        <v>0</v>
      </c>
      <c r="P1571">
        <v>13398.7528</v>
      </c>
      <c r="Q1571">
        <v>63903</v>
      </c>
      <c r="R1571">
        <f>(Grandview_Inventory[[#This Row],[ln_acres]]*Grandview_Inventory[[#This Row],[coeff]])+Grandview_Inventory[[#This Row],[const]]</f>
        <v>40160.988302686128</v>
      </c>
      <c r="S1571" t="s">
        <v>68</v>
      </c>
      <c r="T1571">
        <v>1</v>
      </c>
      <c r="U1571" t="s">
        <v>80</v>
      </c>
      <c r="V1571" t="s">
        <v>69</v>
      </c>
      <c r="W1571">
        <v>0</v>
      </c>
      <c r="X1571">
        <v>0</v>
      </c>
      <c r="Y1571">
        <v>51</v>
      </c>
      <c r="Z1571">
        <v>83</v>
      </c>
      <c r="AA1571">
        <v>90</v>
      </c>
      <c r="AB1571">
        <v>1500</v>
      </c>
      <c r="AC1571">
        <v>1150</v>
      </c>
      <c r="AD1571">
        <v>1150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60</v>
      </c>
      <c r="AO1571">
        <v>0</v>
      </c>
      <c r="AP1571">
        <v>7</v>
      </c>
      <c r="AQ1571">
        <v>0</v>
      </c>
      <c r="AR1571">
        <v>0</v>
      </c>
      <c r="AS1571" t="s">
        <v>71</v>
      </c>
      <c r="AT1571">
        <v>1</v>
      </c>
      <c r="AU1571" t="s">
        <v>63</v>
      </c>
      <c r="AV1571" t="s">
        <v>64</v>
      </c>
      <c r="AW1571">
        <v>1</v>
      </c>
      <c r="AX1571">
        <v>4</v>
      </c>
      <c r="AY1571">
        <v>0</v>
      </c>
      <c r="AZ1571">
        <v>0</v>
      </c>
      <c r="BA1571">
        <v>100</v>
      </c>
      <c r="BB1571">
        <v>100</v>
      </c>
      <c r="BC1571">
        <v>100</v>
      </c>
      <c r="BD1571">
        <v>100</v>
      </c>
      <c r="BE1571">
        <v>1</v>
      </c>
      <c r="BF1571">
        <v>15000</v>
      </c>
      <c r="BG1571">
        <v>1000</v>
      </c>
      <c r="BH1571" s="6">
        <f>Grandview_Inventory[[#This Row],[land_extract]]*Lookups!$B$3</f>
        <v>46638.847281240982</v>
      </c>
      <c r="BI1571" s="6">
        <f>IF(Grandview_Inventory[[#This Row],[bldg_style]]="",0,Lookups!$B$2)</f>
        <v>155833.95000000001</v>
      </c>
      <c r="BJ1571" s="6">
        <f>_xlfn.IFNA(VLOOKUP(Grandview_Inventory[[#This Row],[quality]],Lookups!$H$2:$J$14,3,FALSE),0)</f>
        <v>-28558</v>
      </c>
      <c r="BK1571" s="6">
        <f>_xlfn.IFNA(VLOOKUP(Grandview_Inventory[[#This Row],[condition]],Lookups!$H$17:$J$24,3,FALSE),0)</f>
        <v>-4503</v>
      </c>
      <c r="BL1571" s="6">
        <f>Grandview_Inventory[[#This Row],[Eff_Age]]*Lookups!$B$14</f>
        <v>-12197.496599999999</v>
      </c>
      <c r="BM1571" s="6">
        <f>Grandview_Inventory[[#This Row],[living_area]]*Lookups!$B$15</f>
        <v>71737.980949999997</v>
      </c>
      <c r="BN1571" s="6">
        <f>Grandview_Inventory[[#This Row],[Fin BSMT]]*Lookups!$B$16</f>
        <v>0</v>
      </c>
      <c r="BO1571" s="6">
        <f>(Grandview_Inventory[[#This Row],[att_gar]]+Grandview_Inventory[[#This Row],[bltin_gar]])*Lookups!$B$17</f>
        <v>0</v>
      </c>
      <c r="BP1571" s="6">
        <f>Grandview_Inventory[[#This Row],[Plumbing Fixtures]]*Lookups!$B$18</f>
        <v>14073.0926</v>
      </c>
      <c r="BQ1571" s="6">
        <f>Grandview_Inventory[[#This Row],[detatched_value]]*Lookups!$B$19</f>
        <v>0</v>
      </c>
      <c r="BR1571" s="6">
        <f>SUM(Grandview_Inventory[[#This Row],[Intercept]:[det_value]])*Grandview_Inventory[[#This Row],[res_pct]]</f>
        <v>196386.52695</v>
      </c>
      <c r="BS1571" s="6">
        <f>Grandview_Inventory[[#This Row],[land_value]]</f>
        <v>46638.847281240982</v>
      </c>
      <c r="BT1571" s="4">
        <f>_xlfn.IFNA(VLOOKUP(Grandview_Inventory[[#This Row],[quality]],Lookups!$A$26:$C$33,3,FALSE),1)</f>
        <v>0.9690360070159818</v>
      </c>
      <c r="BU1571" s="4">
        <f>_xlfn.IFNA(VLOOKUP(Grandview_Inventory[[#This Row],[condition]],Lookups!$A$37:$C$44,3,FALSE),1)</f>
        <v>0.96469275950863709</v>
      </c>
      <c r="BV1571" s="4">
        <f>IF(Grandview_Inventory[[#This Row],[bldg_style]]="",1,_xlfn.IFNA(VLOOKUP(Grandview_Inventory[[#This Row],[decade]],Lookups!$F$29:$H$43,3,FALSE),1))</f>
        <v>0.94161750052457416</v>
      </c>
      <c r="BW1571" s="4">
        <f>_xlfn.IFNA(VLOOKUP(Grandview_Inventory[[#This Row],[living_area_range]],Lookups!$F$47:$H$56,3,FALSE),1)</f>
        <v>0.96135087979789358</v>
      </c>
      <c r="BX1571" s="4">
        <f>AVERAGE(Grandview_Inventory[[#This Row],[qual_adj]:[size_adj]])</f>
        <v>0.95917428671177163</v>
      </c>
      <c r="BY1571" s="6">
        <f>IF(Grandview_Inventory[[#This Row],[pre_res]]&lt;0,0,Grandview_Inventory[[#This Row],[pre_res]]*Grandview_Inventory[[#This Row],[overall_adj]])</f>
        <v>188368.90690706836</v>
      </c>
      <c r="BZ1571" s="6">
        <f>(Grandview_Inventory[[#This Row],[sum_land]]-IF(Grandview_Inventory[[#This Row],[no_utilities]]=1,12000,0))/IF(Grandview_Inventory[[#This Row],[unbuildable]]=1,2,1)</f>
        <v>46638.847281240982</v>
      </c>
      <c r="CA157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71">
        <f>ROUND(Grandview_Inventory[[#This Row],[det_value]]*Lookups!$M$28,-2)</f>
        <v>0</v>
      </c>
      <c r="CC1571">
        <f>IF(ROUND(Grandview_Inventory[[#This Row],[adj_res]]*Lookups!$M$28,-2)&lt;Grandview_Inventory[[#This Row],[min_res]],Grandview_Inventory[[#This Row],[min_res]],ROUND(Grandview_Inventory[[#This Row],[adj_res]]*Lookups!$M$28,-2))</f>
        <v>179000</v>
      </c>
      <c r="CD1571">
        <f>Grandview_Inventory[[#This Row],[final_det]]+Grandview_Inventory[[#This Row],[final_res]]</f>
        <v>179000</v>
      </c>
      <c r="CE1571">
        <f>Grandview_Inventory[[#This Row],[final_land]]+Grandview_Inventory[[#This Row],[final_imp]]+Grandview_Inventory[[#This Row],[crop_value]]</f>
        <v>223300</v>
      </c>
      <c r="CG1571" t="str">
        <f t="shared" si="24"/>
        <v>update valuation set market_land =44300, market_bldg=179000, market_total =223300, market_mdno =401, market_date ='9/10/2023' where link_id = (select link_id from parcel where parcel_year = '2024' and parcel_id = '23092324401');</v>
      </c>
    </row>
    <row r="1572" spans="1:85" x14ac:dyDescent="0.25">
      <c r="A1572">
        <v>23092324402</v>
      </c>
      <c r="B1572">
        <v>0.15</v>
      </c>
      <c r="C1572">
        <v>6556</v>
      </c>
      <c r="D1572" t="s">
        <v>129</v>
      </c>
      <c r="E1572" t="s">
        <v>53</v>
      </c>
      <c r="F1572" t="s">
        <v>53</v>
      </c>
      <c r="G1572">
        <v>4</v>
      </c>
      <c r="H1572" t="s">
        <v>54</v>
      </c>
      <c r="I1572">
        <v>172900</v>
      </c>
      <c r="J1572">
        <v>38800</v>
      </c>
      <c r="K1572">
        <v>0.15</v>
      </c>
      <c r="L1572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72">
        <v>0</v>
      </c>
      <c r="N1572">
        <v>0</v>
      </c>
      <c r="O1572">
        <v>0</v>
      </c>
      <c r="P1572">
        <v>13398.7528</v>
      </c>
      <c r="Q1572">
        <v>63903</v>
      </c>
      <c r="R1572">
        <f>(Grandview_Inventory[[#This Row],[ln_acres]]*Grandview_Inventory[[#This Row],[coeff]])+Grandview_Inventory[[#This Row],[const]]</f>
        <v>38483.958290574345</v>
      </c>
      <c r="S1572" t="s">
        <v>68</v>
      </c>
      <c r="T1572">
        <v>1</v>
      </c>
      <c r="U1572" t="s">
        <v>70</v>
      </c>
      <c r="V1572" t="s">
        <v>69</v>
      </c>
      <c r="W1572">
        <v>0</v>
      </c>
      <c r="X1572">
        <v>0</v>
      </c>
      <c r="Y1572">
        <v>51</v>
      </c>
      <c r="Z1572">
        <v>81</v>
      </c>
      <c r="AA1572">
        <v>90</v>
      </c>
      <c r="AB1572">
        <v>2000</v>
      </c>
      <c r="AC1572">
        <v>1930</v>
      </c>
      <c r="AD1572">
        <v>1930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24</v>
      </c>
      <c r="AO1572">
        <v>0</v>
      </c>
      <c r="AP1572">
        <v>9</v>
      </c>
      <c r="AQ1572">
        <v>0</v>
      </c>
      <c r="AR1572">
        <v>0</v>
      </c>
      <c r="AS1572" t="s">
        <v>58</v>
      </c>
      <c r="AT1572">
        <v>1</v>
      </c>
      <c r="AU1572" t="s">
        <v>63</v>
      </c>
      <c r="AV1572" t="s">
        <v>60</v>
      </c>
      <c r="AW1572">
        <v>0</v>
      </c>
      <c r="AX1572">
        <v>4</v>
      </c>
      <c r="AY1572">
        <v>0</v>
      </c>
      <c r="AZ1572">
        <v>0</v>
      </c>
      <c r="BA1572">
        <v>100</v>
      </c>
      <c r="BB1572">
        <v>100</v>
      </c>
      <c r="BC1572">
        <v>100</v>
      </c>
      <c r="BD1572">
        <v>100</v>
      </c>
      <c r="BE1572">
        <v>1</v>
      </c>
      <c r="BF1572">
        <v>15000</v>
      </c>
      <c r="BG1572">
        <v>1000</v>
      </c>
      <c r="BH1572" s="6">
        <f>Grandview_Inventory[[#This Row],[land_extract]]*Lookups!$B$3</f>
        <v>44691.316856156598</v>
      </c>
      <c r="BI1572" s="6">
        <f>IF(Grandview_Inventory[[#This Row],[bldg_style]]="",0,Lookups!$B$2)</f>
        <v>155833.95000000001</v>
      </c>
      <c r="BJ1572" s="6">
        <f>_xlfn.IFNA(VLOOKUP(Grandview_Inventory[[#This Row],[quality]],Lookups!$H$2:$J$14,3,FALSE),0)</f>
        <v>10733</v>
      </c>
      <c r="BK1572" s="6">
        <f>_xlfn.IFNA(VLOOKUP(Grandview_Inventory[[#This Row],[condition]],Lookups!$H$17:$J$24,3,FALSE),0)</f>
        <v>-4503</v>
      </c>
      <c r="BL1572" s="6">
        <f>Grandview_Inventory[[#This Row],[Eff_Age]]*Lookups!$B$14</f>
        <v>-12197.496599999999</v>
      </c>
      <c r="BM1572" s="6">
        <f>Grandview_Inventory[[#This Row],[living_area]]*Lookups!$B$15</f>
        <v>120395.04629</v>
      </c>
      <c r="BN1572" s="6">
        <f>Grandview_Inventory[[#This Row],[Fin BSMT]]*Lookups!$B$16</f>
        <v>0</v>
      </c>
      <c r="BO1572" s="6">
        <f>(Grandview_Inventory[[#This Row],[att_gar]]+Grandview_Inventory[[#This Row],[bltin_gar]])*Lookups!$B$17</f>
        <v>0</v>
      </c>
      <c r="BP1572" s="6">
        <f>Grandview_Inventory[[#This Row],[Plumbing Fixtures]]*Lookups!$B$18</f>
        <v>18093.976200000001</v>
      </c>
      <c r="BQ1572" s="6">
        <f>Grandview_Inventory[[#This Row],[detatched_value]]*Lookups!$B$19</f>
        <v>0</v>
      </c>
      <c r="BR1572" s="6">
        <f>SUM(Grandview_Inventory[[#This Row],[Intercept]:[det_value]])*Grandview_Inventory[[#This Row],[res_pct]]</f>
        <v>288355.47588999994</v>
      </c>
      <c r="BS1572" s="6">
        <f>Grandview_Inventory[[#This Row],[land_value]]</f>
        <v>44691.316856156598</v>
      </c>
      <c r="BT1572" s="4">
        <f>_xlfn.IFNA(VLOOKUP(Grandview_Inventory[[#This Row],[quality]],Lookups!$A$26:$C$33,3,FALSE),1)</f>
        <v>0.98079741117310582</v>
      </c>
      <c r="BU1572" s="4">
        <f>_xlfn.IFNA(VLOOKUP(Grandview_Inventory[[#This Row],[condition]],Lookups!$A$37:$C$44,3,FALSE),1)</f>
        <v>0.96469275950863709</v>
      </c>
      <c r="BV1572" s="4">
        <f>IF(Grandview_Inventory[[#This Row],[bldg_style]]="",1,_xlfn.IFNA(VLOOKUP(Grandview_Inventory[[#This Row],[decade]],Lookups!$F$29:$H$43,3,FALSE),1))</f>
        <v>0.94161750052457416</v>
      </c>
      <c r="BW1572" s="4">
        <f>_xlfn.IFNA(VLOOKUP(Grandview_Inventory[[#This Row],[living_area_range]],Lookups!$F$47:$H$56,3,FALSE),1)</f>
        <v>0.96120133463014379</v>
      </c>
      <c r="BX1572" s="4">
        <f>AVERAGE(Grandview_Inventory[[#This Row],[qual_adj]:[size_adj]])</f>
        <v>0.96207725145911516</v>
      </c>
      <c r="BY1572" s="6">
        <f>IF(Grandview_Inventory[[#This Row],[pre_res]]&lt;0,0,Grandview_Inventory[[#This Row],[pre_res]]*Grandview_Inventory[[#This Row],[overall_adj]])</f>
        <v>277420.24368743628</v>
      </c>
      <c r="BZ1572" s="6">
        <f>(Grandview_Inventory[[#This Row],[sum_land]]-IF(Grandview_Inventory[[#This Row],[no_utilities]]=1,12000,0))/IF(Grandview_Inventory[[#This Row],[unbuildable]]=1,2,1)</f>
        <v>44691.316856156598</v>
      </c>
      <c r="CA1572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72">
        <f>ROUND(Grandview_Inventory[[#This Row],[det_value]]*Lookups!$M$28,-2)</f>
        <v>0</v>
      </c>
      <c r="CC1572">
        <f>IF(ROUND(Grandview_Inventory[[#This Row],[adj_res]]*Lookups!$M$28,-2)&lt;Grandview_Inventory[[#This Row],[min_res]],Grandview_Inventory[[#This Row],[min_res]],ROUND(Grandview_Inventory[[#This Row],[adj_res]]*Lookups!$M$28,-2))</f>
        <v>263500</v>
      </c>
      <c r="CD1572">
        <f>Grandview_Inventory[[#This Row],[final_det]]+Grandview_Inventory[[#This Row],[final_res]]</f>
        <v>263500</v>
      </c>
      <c r="CE1572">
        <f>Grandview_Inventory[[#This Row],[final_land]]+Grandview_Inventory[[#This Row],[final_imp]]+Grandview_Inventory[[#This Row],[crop_value]]</f>
        <v>306000</v>
      </c>
      <c r="CG1572" t="str">
        <f t="shared" si="24"/>
        <v>update valuation set market_land =42500, market_bldg=263500, market_total =306000, market_mdno =401, market_date ='9/10/2023' where link_id = (select link_id from parcel where parcel_year = '2024' and parcel_id = '23092324402');</v>
      </c>
    </row>
    <row r="1573" spans="1:85" x14ac:dyDescent="0.25">
      <c r="A1573">
        <v>23092324403</v>
      </c>
      <c r="B1573">
        <v>0.15</v>
      </c>
      <c r="C1573">
        <v>6722</v>
      </c>
      <c r="D1573" t="s">
        <v>129</v>
      </c>
      <c r="E1573" t="s">
        <v>53</v>
      </c>
      <c r="F1573" t="s">
        <v>53</v>
      </c>
      <c r="G1573">
        <v>4</v>
      </c>
      <c r="H1573" t="s">
        <v>54</v>
      </c>
      <c r="I1573">
        <v>87300</v>
      </c>
      <c r="J1573">
        <v>39000</v>
      </c>
      <c r="K1573">
        <v>0.15</v>
      </c>
      <c r="L1573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573">
        <v>0</v>
      </c>
      <c r="N1573">
        <v>0</v>
      </c>
      <c r="O1573">
        <v>0</v>
      </c>
      <c r="P1573">
        <v>13398.7528</v>
      </c>
      <c r="Q1573">
        <v>63903</v>
      </c>
      <c r="R1573">
        <f>(Grandview_Inventory[[#This Row],[ln_acres]]*Grandview_Inventory[[#This Row],[coeff]])+Grandview_Inventory[[#This Row],[const]]</f>
        <v>38483.958290574345</v>
      </c>
      <c r="S1573" t="s">
        <v>68</v>
      </c>
      <c r="T1573">
        <v>1</v>
      </c>
      <c r="U1573" t="s">
        <v>80</v>
      </c>
      <c r="V1573" t="s">
        <v>69</v>
      </c>
      <c r="W1573">
        <v>0</v>
      </c>
      <c r="X1573">
        <v>0</v>
      </c>
      <c r="Y1573">
        <v>57</v>
      </c>
      <c r="Z1573">
        <v>103</v>
      </c>
      <c r="AA1573">
        <v>110</v>
      </c>
      <c r="AB1573">
        <v>1000</v>
      </c>
      <c r="AC1573">
        <v>688</v>
      </c>
      <c r="AD1573">
        <v>688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84</v>
      </c>
      <c r="AM1573">
        <v>0</v>
      </c>
      <c r="AN1573">
        <v>48</v>
      </c>
      <c r="AO1573">
        <v>78</v>
      </c>
      <c r="AP1573">
        <v>5</v>
      </c>
      <c r="AQ1573">
        <v>0</v>
      </c>
      <c r="AR1573">
        <v>0</v>
      </c>
      <c r="AS1573" t="s">
        <v>58</v>
      </c>
      <c r="AT1573">
        <v>1</v>
      </c>
      <c r="AU1573" t="s">
        <v>75</v>
      </c>
      <c r="AV1573" t="s">
        <v>60</v>
      </c>
      <c r="AW1573">
        <v>0</v>
      </c>
      <c r="AX1573">
        <v>2</v>
      </c>
      <c r="AY1573">
        <v>0</v>
      </c>
      <c r="AZ1573">
        <v>0</v>
      </c>
      <c r="BA1573">
        <v>100</v>
      </c>
      <c r="BB1573">
        <v>100</v>
      </c>
      <c r="BC1573">
        <v>100</v>
      </c>
      <c r="BD1573">
        <v>100</v>
      </c>
      <c r="BE1573">
        <v>1</v>
      </c>
      <c r="BF1573">
        <v>15000</v>
      </c>
      <c r="BG1573">
        <v>1000</v>
      </c>
      <c r="BH1573" s="6">
        <f>Grandview_Inventory[[#This Row],[land_extract]]*Lookups!$B$3</f>
        <v>44691.316856156598</v>
      </c>
      <c r="BI1573" s="6">
        <f>IF(Grandview_Inventory[[#This Row],[bldg_style]]="",0,Lookups!$B$2)</f>
        <v>155833.95000000001</v>
      </c>
      <c r="BJ1573" s="6">
        <f>_xlfn.IFNA(VLOOKUP(Grandview_Inventory[[#This Row],[quality]],Lookups!$H$2:$J$14,3,FALSE),0)</f>
        <v>-28558</v>
      </c>
      <c r="BK1573" s="6">
        <f>_xlfn.IFNA(VLOOKUP(Grandview_Inventory[[#This Row],[condition]],Lookups!$H$17:$J$24,3,FALSE),0)</f>
        <v>-4503</v>
      </c>
      <c r="BL1573" s="6">
        <f>Grandview_Inventory[[#This Row],[Eff_Age]]*Lookups!$B$14</f>
        <v>-13632.4962</v>
      </c>
      <c r="BM1573" s="6">
        <f>Grandview_Inventory[[#This Row],[living_area]]*Lookups!$B$15</f>
        <v>42918.026863999999</v>
      </c>
      <c r="BN1573" s="6">
        <f>Grandview_Inventory[[#This Row],[Fin BSMT]]*Lookups!$B$16</f>
        <v>0</v>
      </c>
      <c r="BO1573" s="6">
        <f>(Grandview_Inventory[[#This Row],[att_gar]]+Grandview_Inventory[[#This Row],[bltin_gar]])*Lookups!$B$17</f>
        <v>0</v>
      </c>
      <c r="BP1573" s="6">
        <f>Grandview_Inventory[[#This Row],[Plumbing Fixtures]]*Lookups!$B$18</f>
        <v>10052.209000000001</v>
      </c>
      <c r="BQ1573" s="6">
        <f>Grandview_Inventory[[#This Row],[detatched_value]]*Lookups!$B$19</f>
        <v>0</v>
      </c>
      <c r="BR1573" s="6">
        <f>SUM(Grandview_Inventory[[#This Row],[Intercept]:[det_value]])*Grandview_Inventory[[#This Row],[res_pct]]</f>
        <v>162110.68966400003</v>
      </c>
      <c r="BS1573" s="6">
        <f>Grandview_Inventory[[#This Row],[land_value]]</f>
        <v>44691.316856156598</v>
      </c>
      <c r="BT1573" s="4">
        <f>_xlfn.IFNA(VLOOKUP(Grandview_Inventory[[#This Row],[quality]],Lookups!$A$26:$C$33,3,FALSE),1)</f>
        <v>0.9690360070159818</v>
      </c>
      <c r="BU1573" s="4">
        <f>_xlfn.IFNA(VLOOKUP(Grandview_Inventory[[#This Row],[condition]],Lookups!$A$37:$C$44,3,FALSE),1)</f>
        <v>0.96469275950863709</v>
      </c>
      <c r="BV1573" s="4">
        <f>IF(Grandview_Inventory[[#This Row],[bldg_style]]="",1,_xlfn.IFNA(VLOOKUP(Grandview_Inventory[[#This Row],[decade]],Lookups!$F$29:$H$43,3,FALSE),1))</f>
        <v>0.92255236374249616</v>
      </c>
      <c r="BW1573" s="4">
        <f>_xlfn.IFNA(VLOOKUP(Grandview_Inventory[[#This Row],[living_area_range]],Lookups!$F$47:$H$56,3,FALSE),1)</f>
        <v>0.94306777142782894</v>
      </c>
      <c r="BX1573" s="4">
        <f>AVERAGE(Grandview_Inventory[[#This Row],[qual_adj]:[size_adj]])</f>
        <v>0.94983722542373594</v>
      </c>
      <c r="BY1573" s="6">
        <f>IF(Grandview_Inventory[[#This Row],[pre_res]]&lt;0,0,Grandview_Inventory[[#This Row],[pre_res]]*Grandview_Inventory[[#This Row],[overall_adj]])</f>
        <v>153978.76768198211</v>
      </c>
      <c r="BZ1573" s="6">
        <f>(Grandview_Inventory[[#This Row],[sum_land]]-IF(Grandview_Inventory[[#This Row],[no_utilities]]=1,12000,0))/IF(Grandview_Inventory[[#This Row],[unbuildable]]=1,2,1)</f>
        <v>44691.316856156598</v>
      </c>
      <c r="CA1573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573">
        <f>ROUND(Grandview_Inventory[[#This Row],[det_value]]*Lookups!$M$28,-2)</f>
        <v>0</v>
      </c>
      <c r="CC1573">
        <f>IF(ROUND(Grandview_Inventory[[#This Row],[adj_res]]*Lookups!$M$28,-2)&lt;Grandview_Inventory[[#This Row],[min_res]],Grandview_Inventory[[#This Row],[min_res]],ROUND(Grandview_Inventory[[#This Row],[adj_res]]*Lookups!$M$28,-2))</f>
        <v>146300</v>
      </c>
      <c r="CD1573">
        <f>Grandview_Inventory[[#This Row],[final_det]]+Grandview_Inventory[[#This Row],[final_res]]</f>
        <v>146300</v>
      </c>
      <c r="CE1573">
        <f>Grandview_Inventory[[#This Row],[final_land]]+Grandview_Inventory[[#This Row],[final_imp]]+Grandview_Inventory[[#This Row],[crop_value]]</f>
        <v>188800</v>
      </c>
      <c r="CG1573" t="str">
        <f t="shared" si="24"/>
        <v>update valuation set market_land =42500, market_bldg=146300, market_total =188800, market_mdno =401, market_date ='9/10/2023' where link_id = (select link_id from parcel where parcel_year = '2024' and parcel_id = '23092324403');</v>
      </c>
    </row>
    <row r="1574" spans="1:85" x14ac:dyDescent="0.25">
      <c r="A1574">
        <v>23092324404</v>
      </c>
      <c r="B1574">
        <v>0.19</v>
      </c>
      <c r="C1574">
        <v>8191</v>
      </c>
      <c r="D1574" t="s">
        <v>129</v>
      </c>
      <c r="E1574" t="s">
        <v>53</v>
      </c>
      <c r="F1574" t="s">
        <v>53</v>
      </c>
      <c r="G1574">
        <v>4</v>
      </c>
      <c r="H1574" t="s">
        <v>54</v>
      </c>
      <c r="I1574">
        <v>95900</v>
      </c>
      <c r="J1574">
        <v>39500</v>
      </c>
      <c r="K1574">
        <v>0.19</v>
      </c>
      <c r="L157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74">
        <v>0</v>
      </c>
      <c r="N1574">
        <v>0</v>
      </c>
      <c r="O1574">
        <v>0</v>
      </c>
      <c r="P1574">
        <v>13398.7528</v>
      </c>
      <c r="Q1574">
        <v>63903</v>
      </c>
      <c r="R1574">
        <f>(Grandview_Inventory[[#This Row],[ln_acres]]*Grandview_Inventory[[#This Row],[coeff]])+Grandview_Inventory[[#This Row],[const]]</f>
        <v>41651.273092551026</v>
      </c>
      <c r="S1574" t="s">
        <v>68</v>
      </c>
      <c r="T1574">
        <v>1</v>
      </c>
      <c r="U1574" t="s">
        <v>80</v>
      </c>
      <c r="V1574" t="s">
        <v>69</v>
      </c>
      <c r="W1574">
        <v>0</v>
      </c>
      <c r="X1574">
        <v>0</v>
      </c>
      <c r="Y1574">
        <v>57</v>
      </c>
      <c r="Z1574">
        <v>103</v>
      </c>
      <c r="AA1574">
        <v>110</v>
      </c>
      <c r="AB1574">
        <v>1000</v>
      </c>
      <c r="AC1574">
        <v>888</v>
      </c>
      <c r="AD1574">
        <v>888</v>
      </c>
      <c r="AE1574">
        <v>0</v>
      </c>
      <c r="AF1574">
        <v>0</v>
      </c>
      <c r="AG1574">
        <v>0</v>
      </c>
      <c r="AH1574">
        <v>200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80</v>
      </c>
      <c r="AO1574">
        <v>0</v>
      </c>
      <c r="AP1574">
        <v>5</v>
      </c>
      <c r="AQ1574">
        <v>0</v>
      </c>
      <c r="AR1574">
        <v>0</v>
      </c>
      <c r="AS1574" t="s">
        <v>58</v>
      </c>
      <c r="AT1574">
        <v>1</v>
      </c>
      <c r="AU1574" t="s">
        <v>75</v>
      </c>
      <c r="AV1574" t="s">
        <v>60</v>
      </c>
      <c r="AW1574">
        <v>0</v>
      </c>
      <c r="AX1574">
        <v>2</v>
      </c>
      <c r="AY1574">
        <v>0</v>
      </c>
      <c r="AZ1574">
        <v>0</v>
      </c>
      <c r="BA1574">
        <v>100</v>
      </c>
      <c r="BB1574">
        <v>100</v>
      </c>
      <c r="BC1574">
        <v>100</v>
      </c>
      <c r="BD1574">
        <v>100</v>
      </c>
      <c r="BE1574">
        <v>1</v>
      </c>
      <c r="BF1574">
        <v>15000</v>
      </c>
      <c r="BG1574">
        <v>1000</v>
      </c>
      <c r="BH1574" s="6">
        <f>Grandview_Inventory[[#This Row],[land_extract]]*Lookups!$B$3</f>
        <v>48369.510983942157</v>
      </c>
      <c r="BI1574" s="6">
        <f>IF(Grandview_Inventory[[#This Row],[bldg_style]]="",0,Lookups!$B$2)</f>
        <v>155833.95000000001</v>
      </c>
      <c r="BJ1574" s="6">
        <f>_xlfn.IFNA(VLOOKUP(Grandview_Inventory[[#This Row],[quality]],Lookups!$H$2:$J$14,3,FALSE),0)</f>
        <v>-28558</v>
      </c>
      <c r="BK1574" s="6">
        <f>_xlfn.IFNA(VLOOKUP(Grandview_Inventory[[#This Row],[condition]],Lookups!$H$17:$J$24,3,FALSE),0)</f>
        <v>-4503</v>
      </c>
      <c r="BL1574" s="6">
        <f>Grandview_Inventory[[#This Row],[Eff_Age]]*Lookups!$B$14</f>
        <v>-13632.4962</v>
      </c>
      <c r="BM1574" s="6">
        <f>Grandview_Inventory[[#This Row],[living_area]]*Lookups!$B$15</f>
        <v>55394.197464000004</v>
      </c>
      <c r="BN1574" s="6">
        <f>Grandview_Inventory[[#This Row],[Fin BSMT]]*Lookups!$B$16</f>
        <v>0</v>
      </c>
      <c r="BO1574" s="6">
        <f>(Grandview_Inventory[[#This Row],[att_gar]]+Grandview_Inventory[[#This Row],[bltin_gar]])*Lookups!$B$17</f>
        <v>0</v>
      </c>
      <c r="BP1574" s="6">
        <f>Grandview_Inventory[[#This Row],[Plumbing Fixtures]]*Lookups!$B$18</f>
        <v>10052.209000000001</v>
      </c>
      <c r="BQ1574" s="6">
        <f>Grandview_Inventory[[#This Row],[detatched_value]]*Lookups!$B$19</f>
        <v>0</v>
      </c>
      <c r="BR1574" s="6">
        <f>SUM(Grandview_Inventory[[#This Row],[Intercept]:[det_value]])*Grandview_Inventory[[#This Row],[res_pct]]</f>
        <v>174586.86026400002</v>
      </c>
      <c r="BS1574" s="6">
        <f>Grandview_Inventory[[#This Row],[land_value]]</f>
        <v>48369.510983942157</v>
      </c>
      <c r="BT1574" s="4">
        <f>_xlfn.IFNA(VLOOKUP(Grandview_Inventory[[#This Row],[quality]],Lookups!$A$26:$C$33,3,FALSE),1)</f>
        <v>0.9690360070159818</v>
      </c>
      <c r="BU1574" s="4">
        <f>_xlfn.IFNA(VLOOKUP(Grandview_Inventory[[#This Row],[condition]],Lookups!$A$37:$C$44,3,FALSE),1)</f>
        <v>0.96469275950863709</v>
      </c>
      <c r="BV1574" s="4">
        <f>IF(Grandview_Inventory[[#This Row],[bldg_style]]="",1,_xlfn.IFNA(VLOOKUP(Grandview_Inventory[[#This Row],[decade]],Lookups!$F$29:$H$43,3,FALSE),1))</f>
        <v>0.92255236374249616</v>
      </c>
      <c r="BW1574" s="4">
        <f>_xlfn.IFNA(VLOOKUP(Grandview_Inventory[[#This Row],[living_area_range]],Lookups!$F$47:$H$56,3,FALSE),1)</f>
        <v>0.94306777142782894</v>
      </c>
      <c r="BX1574" s="4">
        <f>AVERAGE(Grandview_Inventory[[#This Row],[qual_adj]:[size_adj]])</f>
        <v>0.94983722542373594</v>
      </c>
      <c r="BY1574" s="6">
        <f>IF(Grandview_Inventory[[#This Row],[pre_res]]&lt;0,0,Grandview_Inventory[[#This Row],[pre_res]]*Grandview_Inventory[[#This Row],[overall_adj]])</f>
        <v>165829.09894859928</v>
      </c>
      <c r="BZ1574" s="6">
        <f>(Grandview_Inventory[[#This Row],[sum_land]]-IF(Grandview_Inventory[[#This Row],[no_utilities]]=1,12000,0))/IF(Grandview_Inventory[[#This Row],[unbuildable]]=1,2,1)</f>
        <v>48369.510983942157</v>
      </c>
      <c r="CA157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74">
        <f>ROUND(Grandview_Inventory[[#This Row],[det_value]]*Lookups!$M$28,-2)</f>
        <v>0</v>
      </c>
      <c r="CC1574">
        <f>IF(ROUND(Grandview_Inventory[[#This Row],[adj_res]]*Lookups!$M$28,-2)&lt;Grandview_Inventory[[#This Row],[min_res]],Grandview_Inventory[[#This Row],[min_res]],ROUND(Grandview_Inventory[[#This Row],[adj_res]]*Lookups!$M$28,-2))</f>
        <v>157500</v>
      </c>
      <c r="CD1574">
        <f>Grandview_Inventory[[#This Row],[final_det]]+Grandview_Inventory[[#This Row],[final_res]]</f>
        <v>157500</v>
      </c>
      <c r="CE1574">
        <f>Grandview_Inventory[[#This Row],[final_land]]+Grandview_Inventory[[#This Row],[final_imp]]+Grandview_Inventory[[#This Row],[crop_value]]</f>
        <v>203500</v>
      </c>
      <c r="CG1574" t="str">
        <f t="shared" si="24"/>
        <v>update valuation set market_land =46000, market_bldg=157500, market_total =203500, market_mdno =401, market_date ='9/10/2023' where link_id = (select link_id from parcel where parcel_year = '2024' and parcel_id = '23092324404');</v>
      </c>
    </row>
    <row r="1575" spans="1:85" x14ac:dyDescent="0.25">
      <c r="A1575">
        <v>23092324405</v>
      </c>
      <c r="B1575">
        <v>0.17</v>
      </c>
      <c r="C1575">
        <v>7311</v>
      </c>
      <c r="D1575" t="s">
        <v>129</v>
      </c>
      <c r="E1575" t="s">
        <v>53</v>
      </c>
      <c r="F1575" t="s">
        <v>53</v>
      </c>
      <c r="G1575">
        <v>4</v>
      </c>
      <c r="H1575" t="s">
        <v>54</v>
      </c>
      <c r="I1575">
        <v>219000</v>
      </c>
      <c r="J1575">
        <v>39100</v>
      </c>
      <c r="K1575">
        <v>0.17</v>
      </c>
      <c r="L157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75">
        <v>0</v>
      </c>
      <c r="N1575">
        <v>0</v>
      </c>
      <c r="O1575">
        <v>0</v>
      </c>
      <c r="P1575">
        <v>13398.7528</v>
      </c>
      <c r="Q1575">
        <v>63903</v>
      </c>
      <c r="R1575">
        <f>(Grandview_Inventory[[#This Row],[ln_acres]]*Grandview_Inventory[[#This Row],[coeff]])+Grandview_Inventory[[#This Row],[const]]</f>
        <v>40160.988302686128</v>
      </c>
      <c r="S1575" t="s">
        <v>55</v>
      </c>
      <c r="T1575">
        <v>2</v>
      </c>
      <c r="U1575" t="s">
        <v>65</v>
      </c>
      <c r="V1575" t="s">
        <v>67</v>
      </c>
      <c r="W1575">
        <v>0</v>
      </c>
      <c r="X1575">
        <v>0</v>
      </c>
      <c r="Y1575">
        <v>47</v>
      </c>
      <c r="Z1575">
        <v>103</v>
      </c>
      <c r="AA1575">
        <v>110</v>
      </c>
      <c r="AB1575">
        <v>2500</v>
      </c>
      <c r="AC1575">
        <v>2072</v>
      </c>
      <c r="AD1575">
        <v>1456</v>
      </c>
      <c r="AE1575">
        <v>616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345</v>
      </c>
      <c r="AL1575">
        <v>0</v>
      </c>
      <c r="AM1575">
        <v>0</v>
      </c>
      <c r="AN1575">
        <v>128</v>
      </c>
      <c r="AO1575">
        <v>0</v>
      </c>
      <c r="AP1575">
        <v>5</v>
      </c>
      <c r="AQ1575">
        <v>0</v>
      </c>
      <c r="AR1575">
        <v>0</v>
      </c>
      <c r="AS1575" t="s">
        <v>58</v>
      </c>
      <c r="AT1575">
        <v>1</v>
      </c>
      <c r="AU1575" t="s">
        <v>63</v>
      </c>
      <c r="AV1575" t="s">
        <v>64</v>
      </c>
      <c r="AW1575">
        <v>0</v>
      </c>
      <c r="AX1575">
        <v>3</v>
      </c>
      <c r="AY1575">
        <v>0</v>
      </c>
      <c r="AZ1575">
        <v>0</v>
      </c>
      <c r="BA1575">
        <v>100</v>
      </c>
      <c r="BB1575">
        <v>100</v>
      </c>
      <c r="BC1575">
        <v>100</v>
      </c>
      <c r="BD1575">
        <v>100</v>
      </c>
      <c r="BE1575">
        <v>1</v>
      </c>
      <c r="BF1575">
        <v>15000</v>
      </c>
      <c r="BG1575">
        <v>1000</v>
      </c>
      <c r="BH1575" s="6">
        <f>Grandview_Inventory[[#This Row],[land_extract]]*Lookups!$B$3</f>
        <v>46638.847281240982</v>
      </c>
      <c r="BI1575" s="6">
        <f>IF(Grandview_Inventory[[#This Row],[bldg_style]]="",0,Lookups!$B$2)</f>
        <v>155833.95000000001</v>
      </c>
      <c r="BJ1575" s="6">
        <f>_xlfn.IFNA(VLOOKUP(Grandview_Inventory[[#This Row],[quality]],Lookups!$H$2:$J$14,3,FALSE),0)</f>
        <v>2251</v>
      </c>
      <c r="BK1575" s="6">
        <f>_xlfn.IFNA(VLOOKUP(Grandview_Inventory[[#This Row],[condition]],Lookups!$H$17:$J$24,3,FALSE),0)</f>
        <v>22342</v>
      </c>
      <c r="BL1575" s="6">
        <f>Grandview_Inventory[[#This Row],[Eff_Age]]*Lookups!$B$14</f>
        <v>-11240.8302</v>
      </c>
      <c r="BM1575" s="6">
        <f>Grandview_Inventory[[#This Row],[living_area]]*Lookups!$B$15</f>
        <v>129253.127416</v>
      </c>
      <c r="BN1575" s="6">
        <f>Grandview_Inventory[[#This Row],[Fin BSMT]]*Lookups!$B$16</f>
        <v>0</v>
      </c>
      <c r="BO1575" s="6">
        <f>(Grandview_Inventory[[#This Row],[att_gar]]+Grandview_Inventory[[#This Row],[bltin_gar]])*Lookups!$B$17</f>
        <v>0</v>
      </c>
      <c r="BP1575" s="6">
        <f>Grandview_Inventory[[#This Row],[Plumbing Fixtures]]*Lookups!$B$18</f>
        <v>10052.209000000001</v>
      </c>
      <c r="BQ1575" s="6">
        <f>Grandview_Inventory[[#This Row],[detatched_value]]*Lookups!$B$19</f>
        <v>0</v>
      </c>
      <c r="BR1575" s="6">
        <f>SUM(Grandview_Inventory[[#This Row],[Intercept]:[det_value]])*Grandview_Inventory[[#This Row],[res_pct]]</f>
        <v>308491.45621599996</v>
      </c>
      <c r="BS1575" s="6">
        <f>Grandview_Inventory[[#This Row],[land_value]]</f>
        <v>46638.847281240982</v>
      </c>
      <c r="BT1575" s="4">
        <f>_xlfn.IFNA(VLOOKUP(Grandview_Inventory[[#This Row],[quality]],Lookups!$A$26:$C$33,3,FALSE),1)</f>
        <v>0.98763855981004833</v>
      </c>
      <c r="BU1575" s="4">
        <f>_xlfn.IFNA(VLOOKUP(Grandview_Inventory[[#This Row],[condition]],Lookups!$A$37:$C$44,3,FALSE),1)</f>
        <v>0.97383723671140243</v>
      </c>
      <c r="BV1575" s="4">
        <f>IF(Grandview_Inventory[[#This Row],[bldg_style]]="",1,_xlfn.IFNA(VLOOKUP(Grandview_Inventory[[#This Row],[decade]],Lookups!$F$29:$H$43,3,FALSE),1))</f>
        <v>0.92255236374249616</v>
      </c>
      <c r="BW1575" s="4">
        <f>_xlfn.IFNA(VLOOKUP(Grandview_Inventory[[#This Row],[living_area_range]],Lookups!$F$47:$H$56,3,FALSE),1)</f>
        <v>0.95799442568048754</v>
      </c>
      <c r="BX1575" s="4">
        <f>AVERAGE(Grandview_Inventory[[#This Row],[qual_adj]:[size_adj]])</f>
        <v>0.96050564648610859</v>
      </c>
      <c r="BY1575" s="6">
        <f>IF(Grandview_Inventory[[#This Row],[pre_res]]&lt;0,0,Grandview_Inventory[[#This Row],[pre_res]]*Grandview_Inventory[[#This Row],[overall_adj]])</f>
        <v>296307.78558819013</v>
      </c>
      <c r="BZ1575" s="6">
        <f>(Grandview_Inventory[[#This Row],[sum_land]]-IF(Grandview_Inventory[[#This Row],[no_utilities]]=1,12000,0))/IF(Grandview_Inventory[[#This Row],[unbuildable]]=1,2,1)</f>
        <v>46638.847281240982</v>
      </c>
      <c r="CA157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75">
        <f>ROUND(Grandview_Inventory[[#This Row],[det_value]]*Lookups!$M$28,-2)</f>
        <v>0</v>
      </c>
      <c r="CC1575">
        <f>IF(ROUND(Grandview_Inventory[[#This Row],[adj_res]]*Lookups!$M$28,-2)&lt;Grandview_Inventory[[#This Row],[min_res]],Grandview_Inventory[[#This Row],[min_res]],ROUND(Grandview_Inventory[[#This Row],[adj_res]]*Lookups!$M$28,-2))</f>
        <v>281500</v>
      </c>
      <c r="CD1575">
        <f>Grandview_Inventory[[#This Row],[final_det]]+Grandview_Inventory[[#This Row],[final_res]]</f>
        <v>281500</v>
      </c>
      <c r="CE1575">
        <f>Grandview_Inventory[[#This Row],[final_land]]+Grandview_Inventory[[#This Row],[final_imp]]+Grandview_Inventory[[#This Row],[crop_value]]</f>
        <v>325800</v>
      </c>
      <c r="CG1575" t="str">
        <f t="shared" si="24"/>
        <v>update valuation set market_land =44300, market_bldg=281500, market_total =325800, market_mdno =401, market_date ='9/10/2023' where link_id = (select link_id from parcel where parcel_year = '2024' and parcel_id = '23092324405');</v>
      </c>
    </row>
    <row r="1576" spans="1:85" x14ac:dyDescent="0.25">
      <c r="A1576">
        <v>23092324406</v>
      </c>
      <c r="B1576">
        <v>0.21</v>
      </c>
      <c r="C1576">
        <v>9091</v>
      </c>
      <c r="D1576" t="s">
        <v>129</v>
      </c>
      <c r="E1576" t="s">
        <v>53</v>
      </c>
      <c r="F1576" t="s">
        <v>53</v>
      </c>
      <c r="G1576">
        <v>4</v>
      </c>
      <c r="H1576" t="s">
        <v>54</v>
      </c>
      <c r="I1576">
        <v>185900</v>
      </c>
      <c r="J1576">
        <v>39800</v>
      </c>
      <c r="K1576">
        <v>0.21</v>
      </c>
      <c r="L157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576">
        <v>0</v>
      </c>
      <c r="N1576">
        <v>0</v>
      </c>
      <c r="O1576">
        <v>0</v>
      </c>
      <c r="P1576">
        <v>13398.7528</v>
      </c>
      <c r="Q1576">
        <v>63903</v>
      </c>
      <c r="R1576">
        <f>(Grandview_Inventory[[#This Row],[ln_acres]]*Grandview_Inventory[[#This Row],[coeff]])+Grandview_Inventory[[#This Row],[const]]</f>
        <v>42992.266613125081</v>
      </c>
      <c r="S1576" t="s">
        <v>86</v>
      </c>
      <c r="T1576">
        <v>2</v>
      </c>
      <c r="U1576" t="s">
        <v>62</v>
      </c>
      <c r="V1576" t="s">
        <v>67</v>
      </c>
      <c r="W1576">
        <v>0</v>
      </c>
      <c r="X1576">
        <v>0</v>
      </c>
      <c r="Y1576">
        <v>58</v>
      </c>
      <c r="Z1576">
        <v>113</v>
      </c>
      <c r="AA1576">
        <v>120</v>
      </c>
      <c r="AB1576">
        <v>2000</v>
      </c>
      <c r="AC1576">
        <v>1676</v>
      </c>
      <c r="AD1576">
        <v>996</v>
      </c>
      <c r="AE1576">
        <v>680</v>
      </c>
      <c r="AF1576">
        <v>0</v>
      </c>
      <c r="AG1576">
        <v>0</v>
      </c>
      <c r="AH1576">
        <v>332</v>
      </c>
      <c r="AI1576">
        <v>190</v>
      </c>
      <c r="AJ1576">
        <v>0</v>
      </c>
      <c r="AK1576">
        <v>0</v>
      </c>
      <c r="AL1576">
        <v>0</v>
      </c>
      <c r="AM1576">
        <v>0</v>
      </c>
      <c r="AN1576">
        <v>182</v>
      </c>
      <c r="AO1576">
        <v>0</v>
      </c>
      <c r="AP1576">
        <v>8</v>
      </c>
      <c r="AQ1576">
        <v>0</v>
      </c>
      <c r="AR1576">
        <v>0</v>
      </c>
      <c r="AS1576" t="s">
        <v>58</v>
      </c>
      <c r="AT1576">
        <v>1</v>
      </c>
      <c r="AU1576" t="s">
        <v>63</v>
      </c>
      <c r="AV1576" t="s">
        <v>64</v>
      </c>
      <c r="AW1576">
        <v>0</v>
      </c>
      <c r="AX1576">
        <v>4</v>
      </c>
      <c r="AY1576">
        <v>0</v>
      </c>
      <c r="AZ1576">
        <v>0</v>
      </c>
      <c r="BA1576">
        <v>100</v>
      </c>
      <c r="BB1576">
        <v>100</v>
      </c>
      <c r="BC1576">
        <v>100</v>
      </c>
      <c r="BD1576">
        <v>100</v>
      </c>
      <c r="BE1576">
        <v>1</v>
      </c>
      <c r="BF1576">
        <v>15000</v>
      </c>
      <c r="BG1576">
        <v>1000</v>
      </c>
      <c r="BH1576" s="6">
        <f>Grandview_Inventory[[#This Row],[land_extract]]*Lookups!$B$3</f>
        <v>49926.8031387023</v>
      </c>
      <c r="BI1576" s="6">
        <f>IF(Grandview_Inventory[[#This Row],[bldg_style]]="",0,Lookups!$B$2)</f>
        <v>155833.95000000001</v>
      </c>
      <c r="BJ1576" s="6">
        <f>_xlfn.IFNA(VLOOKUP(Grandview_Inventory[[#This Row],[quality]],Lookups!$H$2:$J$14,3,FALSE),0)</f>
        <v>9808</v>
      </c>
      <c r="BK1576" s="6">
        <f>_xlfn.IFNA(VLOOKUP(Grandview_Inventory[[#This Row],[condition]],Lookups!$H$17:$J$24,3,FALSE),0)</f>
        <v>22342</v>
      </c>
      <c r="BL1576" s="6">
        <f>Grandview_Inventory[[#This Row],[Eff_Age]]*Lookups!$B$14</f>
        <v>-13871.6628</v>
      </c>
      <c r="BM1576" s="6">
        <f>Grandview_Inventory[[#This Row],[living_area]]*Lookups!$B$15</f>
        <v>104550.309628</v>
      </c>
      <c r="BN1576" s="6">
        <f>Grandview_Inventory[[#This Row],[Fin BSMT]]*Lookups!$B$16</f>
        <v>0</v>
      </c>
      <c r="BO1576" s="6">
        <f>(Grandview_Inventory[[#This Row],[att_gar]]+Grandview_Inventory[[#This Row],[bltin_gar]])*Lookups!$B$17</f>
        <v>16628.883030000001</v>
      </c>
      <c r="BP1576" s="6">
        <f>Grandview_Inventory[[#This Row],[Plumbing Fixtures]]*Lookups!$B$18</f>
        <v>16083.5344</v>
      </c>
      <c r="BQ1576" s="6">
        <f>Grandview_Inventory[[#This Row],[detatched_value]]*Lookups!$B$19</f>
        <v>0</v>
      </c>
      <c r="BR1576" s="6">
        <f>SUM(Grandview_Inventory[[#This Row],[Intercept]:[det_value]])*Grandview_Inventory[[#This Row],[res_pct]]</f>
        <v>311375.01425800007</v>
      </c>
      <c r="BS1576" s="6">
        <f>Grandview_Inventory[[#This Row],[land_value]]</f>
        <v>49926.8031387023</v>
      </c>
      <c r="BT1576" s="4">
        <f>_xlfn.IFNA(VLOOKUP(Grandview_Inventory[[#This Row],[quality]],Lookups!$A$26:$C$33,3,FALSE),1)</f>
        <v>0.94295468617355149</v>
      </c>
      <c r="BU1576" s="4">
        <f>_xlfn.IFNA(VLOOKUP(Grandview_Inventory[[#This Row],[condition]],Lookups!$A$37:$C$44,3,FALSE),1)</f>
        <v>0.97383723671140243</v>
      </c>
      <c r="BV1576" s="4">
        <f>IF(Grandview_Inventory[[#This Row],[bldg_style]]="",1,_xlfn.IFNA(VLOOKUP(Grandview_Inventory[[#This Row],[decade]],Lookups!$F$29:$H$43,3,FALSE),1))</f>
        <v>0.9251738460551937</v>
      </c>
      <c r="BW1576" s="4">
        <f>_xlfn.IFNA(VLOOKUP(Grandview_Inventory[[#This Row],[living_area_range]],Lookups!$F$47:$H$56,3,FALSE),1)</f>
        <v>0.96120133463014379</v>
      </c>
      <c r="BX1576" s="4">
        <f>AVERAGE(Grandview_Inventory[[#This Row],[qual_adj]:[size_adj]])</f>
        <v>0.9507917758925728</v>
      </c>
      <c r="BY1576" s="6">
        <f>IF(Grandview_Inventory[[#This Row],[pre_res]]&lt;0,0,Grandview_Inventory[[#This Row],[pre_res]]*Grandview_Inventory[[#This Row],[overall_adj]])</f>
        <v>296052.80277493905</v>
      </c>
      <c r="BZ1576" s="6">
        <f>(Grandview_Inventory[[#This Row],[sum_land]]-IF(Grandview_Inventory[[#This Row],[no_utilities]]=1,12000,0))/IF(Grandview_Inventory[[#This Row],[unbuildable]]=1,2,1)</f>
        <v>49926.8031387023</v>
      </c>
      <c r="CA157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576">
        <f>ROUND(Grandview_Inventory[[#This Row],[det_value]]*Lookups!$M$28,-2)</f>
        <v>0</v>
      </c>
      <c r="CC1576">
        <f>IF(ROUND(Grandview_Inventory[[#This Row],[adj_res]]*Lookups!$M$28,-2)&lt;Grandview_Inventory[[#This Row],[min_res]],Grandview_Inventory[[#This Row],[min_res]],ROUND(Grandview_Inventory[[#This Row],[adj_res]]*Lookups!$M$28,-2))</f>
        <v>281300</v>
      </c>
      <c r="CD1576">
        <f>Grandview_Inventory[[#This Row],[final_det]]+Grandview_Inventory[[#This Row],[final_res]]</f>
        <v>281300</v>
      </c>
      <c r="CE1576">
        <f>Grandview_Inventory[[#This Row],[final_land]]+Grandview_Inventory[[#This Row],[final_imp]]+Grandview_Inventory[[#This Row],[crop_value]]</f>
        <v>328700</v>
      </c>
      <c r="CG1576" t="str">
        <f t="shared" si="24"/>
        <v>update valuation set market_land =47400, market_bldg=281300, market_total =328700, market_mdno =401, market_date ='9/10/2023' where link_id = (select link_id from parcel where parcel_year = '2024' and parcel_id = '23092324406');</v>
      </c>
    </row>
    <row r="1577" spans="1:85" x14ac:dyDescent="0.25">
      <c r="A1577">
        <v>23092324407</v>
      </c>
      <c r="B1577">
        <v>0.13</v>
      </c>
      <c r="C1577">
        <v>5614</v>
      </c>
      <c r="D1577" t="s">
        <v>129</v>
      </c>
      <c r="E1577" t="s">
        <v>53</v>
      </c>
      <c r="F1577" t="s">
        <v>53</v>
      </c>
      <c r="G1577">
        <v>4</v>
      </c>
      <c r="H1577" t="s">
        <v>54</v>
      </c>
      <c r="I1577">
        <v>205700</v>
      </c>
      <c r="J1577">
        <v>38400</v>
      </c>
      <c r="K1577">
        <v>0.13</v>
      </c>
      <c r="L1577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577">
        <v>0</v>
      </c>
      <c r="N1577">
        <v>0</v>
      </c>
      <c r="O1577">
        <v>0</v>
      </c>
      <c r="P1577">
        <v>13398.7528</v>
      </c>
      <c r="Q1577">
        <v>63903</v>
      </c>
      <c r="R1577">
        <f>(Grandview_Inventory[[#This Row],[ln_acres]]*Grandview_Inventory[[#This Row],[coeff]])+Grandview_Inventory[[#This Row],[const]]</f>
        <v>36566.585461161507</v>
      </c>
      <c r="S1577" t="s">
        <v>61</v>
      </c>
      <c r="T1577">
        <v>1</v>
      </c>
      <c r="U1577" t="s">
        <v>65</v>
      </c>
      <c r="V1577" t="s">
        <v>67</v>
      </c>
      <c r="W1577">
        <v>0</v>
      </c>
      <c r="X1577">
        <v>0</v>
      </c>
      <c r="Y1577">
        <v>15</v>
      </c>
      <c r="Z1577">
        <v>15</v>
      </c>
      <c r="AA1577">
        <v>20</v>
      </c>
      <c r="AB1577">
        <v>2000</v>
      </c>
      <c r="AC1577">
        <v>1508</v>
      </c>
      <c r="AD1577">
        <v>1508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261</v>
      </c>
      <c r="AO1577">
        <v>0</v>
      </c>
      <c r="AP1577">
        <v>8</v>
      </c>
      <c r="AQ1577">
        <v>0</v>
      </c>
      <c r="AR1577">
        <v>0</v>
      </c>
      <c r="AS1577" t="s">
        <v>58</v>
      </c>
      <c r="AT1577">
        <v>1</v>
      </c>
      <c r="AU1577" t="s">
        <v>59</v>
      </c>
      <c r="AV1577" t="s">
        <v>60</v>
      </c>
      <c r="AW1577">
        <v>1</v>
      </c>
      <c r="AX1577">
        <v>3</v>
      </c>
      <c r="AY1577">
        <v>0</v>
      </c>
      <c r="AZ1577">
        <v>0</v>
      </c>
      <c r="BA1577">
        <v>100</v>
      </c>
      <c r="BB1577">
        <v>100</v>
      </c>
      <c r="BC1577">
        <v>100</v>
      </c>
      <c r="BD1577">
        <v>100</v>
      </c>
      <c r="BE1577">
        <v>1</v>
      </c>
      <c r="BF1577">
        <v>15000</v>
      </c>
      <c r="BG1577">
        <v>1000</v>
      </c>
      <c r="BH1577" s="6">
        <f>Grandview_Inventory[[#This Row],[land_extract]]*Lookups!$B$3</f>
        <v>42464.67696626611</v>
      </c>
      <c r="BI1577" s="6">
        <f>IF(Grandview_Inventory[[#This Row],[bldg_style]]="",0,Lookups!$B$2)</f>
        <v>155833.95000000001</v>
      </c>
      <c r="BJ1577" s="6">
        <f>_xlfn.IFNA(VLOOKUP(Grandview_Inventory[[#This Row],[quality]],Lookups!$H$2:$J$14,3,FALSE),0)</f>
        <v>2251</v>
      </c>
      <c r="BK1577" s="6">
        <f>_xlfn.IFNA(VLOOKUP(Grandview_Inventory[[#This Row],[condition]],Lookups!$H$17:$J$24,3,FALSE),0)</f>
        <v>22342</v>
      </c>
      <c r="BL1577" s="6">
        <f>Grandview_Inventory[[#This Row],[Eff_Age]]*Lookups!$B$14</f>
        <v>-3587.4989999999998</v>
      </c>
      <c r="BM1577" s="6">
        <f>Grandview_Inventory[[#This Row],[living_area]]*Lookups!$B$15</f>
        <v>94070.326324000009</v>
      </c>
      <c r="BN1577" s="6">
        <f>Grandview_Inventory[[#This Row],[Fin BSMT]]*Lookups!$B$16</f>
        <v>0</v>
      </c>
      <c r="BO1577" s="6">
        <f>(Grandview_Inventory[[#This Row],[att_gar]]+Grandview_Inventory[[#This Row],[bltin_gar]])*Lookups!$B$17</f>
        <v>0</v>
      </c>
      <c r="BP1577" s="6">
        <f>Grandview_Inventory[[#This Row],[Plumbing Fixtures]]*Lookups!$B$18</f>
        <v>16083.5344</v>
      </c>
      <c r="BQ1577" s="6">
        <f>Grandview_Inventory[[#This Row],[detatched_value]]*Lookups!$B$19</f>
        <v>0</v>
      </c>
      <c r="BR1577" s="6">
        <f>SUM(Grandview_Inventory[[#This Row],[Intercept]:[det_value]])*Grandview_Inventory[[#This Row],[res_pct]]</f>
        <v>286993.31172400003</v>
      </c>
      <c r="BS1577" s="6">
        <f>Grandview_Inventory[[#This Row],[land_value]]</f>
        <v>42464.67696626611</v>
      </c>
      <c r="BT1577" s="4">
        <f>_xlfn.IFNA(VLOOKUP(Grandview_Inventory[[#This Row],[quality]],Lookups!$A$26:$C$33,3,FALSE),1)</f>
        <v>0.98763855981004833</v>
      </c>
      <c r="BU1577" s="4">
        <f>_xlfn.IFNA(VLOOKUP(Grandview_Inventory[[#This Row],[condition]],Lookups!$A$37:$C$44,3,FALSE),1)</f>
        <v>0.97383723671140243</v>
      </c>
      <c r="BV1577" s="4">
        <f>IF(Grandview_Inventory[[#This Row],[bldg_style]]="",1,_xlfn.IFNA(VLOOKUP(Grandview_Inventory[[#This Row],[decade]],Lookups!$F$29:$H$43,3,FALSE),1))</f>
        <v>0.96737494181490646</v>
      </c>
      <c r="BW1577" s="4">
        <f>_xlfn.IFNA(VLOOKUP(Grandview_Inventory[[#This Row],[living_area_range]],Lookups!$F$47:$H$56,3,FALSE),1)</f>
        <v>0.96120133463014379</v>
      </c>
      <c r="BX1577" s="4">
        <f>AVERAGE(Grandview_Inventory[[#This Row],[qual_adj]:[size_adj]])</f>
        <v>0.97251301824162528</v>
      </c>
      <c r="BY1577" s="6">
        <f>IF(Grandview_Inventory[[#This Row],[pre_res]]&lt;0,0,Grandview_Inventory[[#This Row],[pre_res]]*Grandview_Inventory[[#This Row],[overall_adj]])</f>
        <v>279104.73179986689</v>
      </c>
      <c r="BZ1577" s="6">
        <f>(Grandview_Inventory[[#This Row],[sum_land]]-IF(Grandview_Inventory[[#This Row],[no_utilities]]=1,12000,0))/IF(Grandview_Inventory[[#This Row],[unbuildable]]=1,2,1)</f>
        <v>42464.67696626611</v>
      </c>
      <c r="CA1577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577">
        <f>ROUND(Grandview_Inventory[[#This Row],[det_value]]*Lookups!$M$28,-2)</f>
        <v>0</v>
      </c>
      <c r="CC1577">
        <f>IF(ROUND(Grandview_Inventory[[#This Row],[adj_res]]*Lookups!$M$28,-2)&lt;Grandview_Inventory[[#This Row],[min_res]],Grandview_Inventory[[#This Row],[min_res]],ROUND(Grandview_Inventory[[#This Row],[adj_res]]*Lookups!$M$28,-2))</f>
        <v>265100</v>
      </c>
      <c r="CD1577">
        <f>Grandview_Inventory[[#This Row],[final_det]]+Grandview_Inventory[[#This Row],[final_res]]</f>
        <v>265100</v>
      </c>
      <c r="CE1577">
        <f>Grandview_Inventory[[#This Row],[final_land]]+Grandview_Inventory[[#This Row],[final_imp]]+Grandview_Inventory[[#This Row],[crop_value]]</f>
        <v>305400</v>
      </c>
      <c r="CG1577" t="str">
        <f t="shared" si="24"/>
        <v>update valuation set market_land =40300, market_bldg=265100, market_total =305400, market_mdno =401, market_date ='9/10/2023' where link_id = (select link_id from parcel where parcel_year = '2024' and parcel_id = '23092324407');</v>
      </c>
    </row>
    <row r="1578" spans="1:85" x14ac:dyDescent="0.25">
      <c r="A1578">
        <v>23092324408</v>
      </c>
      <c r="B1578">
        <v>0.18</v>
      </c>
      <c r="C1578">
        <v>7665</v>
      </c>
      <c r="D1578" t="s">
        <v>129</v>
      </c>
      <c r="E1578" t="s">
        <v>53</v>
      </c>
      <c r="F1578" t="s">
        <v>53</v>
      </c>
      <c r="G1578">
        <v>4</v>
      </c>
      <c r="H1578" t="s">
        <v>54</v>
      </c>
      <c r="I1578">
        <v>166200</v>
      </c>
      <c r="J1578">
        <v>39300</v>
      </c>
      <c r="K1578">
        <v>0.18</v>
      </c>
      <c r="L157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78">
        <v>0</v>
      </c>
      <c r="N1578">
        <v>0</v>
      </c>
      <c r="O1578">
        <v>0</v>
      </c>
      <c r="P1578">
        <v>13398.7528</v>
      </c>
      <c r="Q1578">
        <v>63903</v>
      </c>
      <c r="R1578">
        <f>(Grandview_Inventory[[#This Row],[ln_acres]]*Grandview_Inventory[[#This Row],[coeff]])+Grandview_Inventory[[#This Row],[const]]</f>
        <v>40926.839760167699</v>
      </c>
      <c r="S1578" t="s">
        <v>68</v>
      </c>
      <c r="T1578">
        <v>1</v>
      </c>
      <c r="U1578" t="s">
        <v>65</v>
      </c>
      <c r="V1578" t="s">
        <v>69</v>
      </c>
      <c r="W1578">
        <v>0</v>
      </c>
      <c r="X1578">
        <v>0</v>
      </c>
      <c r="Y1578">
        <v>53</v>
      </c>
      <c r="Z1578">
        <v>93</v>
      </c>
      <c r="AA1578">
        <v>100</v>
      </c>
      <c r="AB1578">
        <v>2000</v>
      </c>
      <c r="AC1578">
        <v>1582</v>
      </c>
      <c r="AD1578">
        <v>1482</v>
      </c>
      <c r="AE1578">
        <v>0</v>
      </c>
      <c r="AF1578">
        <v>0</v>
      </c>
      <c r="AG1578">
        <v>100</v>
      </c>
      <c r="AH1578">
        <v>653</v>
      </c>
      <c r="AI1578">
        <v>0</v>
      </c>
      <c r="AJ1578">
        <v>0</v>
      </c>
      <c r="AK1578">
        <v>0</v>
      </c>
      <c r="AL1578">
        <v>0</v>
      </c>
      <c r="AM1578">
        <v>288</v>
      </c>
      <c r="AN1578">
        <v>36</v>
      </c>
      <c r="AO1578">
        <v>0</v>
      </c>
      <c r="AP1578">
        <v>7</v>
      </c>
      <c r="AQ1578">
        <v>1</v>
      </c>
      <c r="AR1578">
        <v>0</v>
      </c>
      <c r="AS1578" t="s">
        <v>58</v>
      </c>
      <c r="AT1578">
        <v>1</v>
      </c>
      <c r="AU1578" t="s">
        <v>63</v>
      </c>
      <c r="AV1578" t="s">
        <v>64</v>
      </c>
      <c r="AW1578">
        <v>1</v>
      </c>
      <c r="AX1578">
        <v>3</v>
      </c>
      <c r="AY1578">
        <v>0</v>
      </c>
      <c r="AZ1578">
        <v>6600</v>
      </c>
      <c r="BA1578">
        <v>100</v>
      </c>
      <c r="BB1578">
        <v>100</v>
      </c>
      <c r="BC1578">
        <v>100</v>
      </c>
      <c r="BD1578">
        <v>100</v>
      </c>
      <c r="BE1578">
        <v>1</v>
      </c>
      <c r="BF1578">
        <v>15000</v>
      </c>
      <c r="BG1578">
        <v>1000</v>
      </c>
      <c r="BH1578" s="6">
        <f>Grandview_Inventory[[#This Row],[land_extract]]*Lookups!$B$3</f>
        <v>47528.228511015397</v>
      </c>
      <c r="BI1578" s="6">
        <f>IF(Grandview_Inventory[[#This Row],[bldg_style]]="",0,Lookups!$B$2)</f>
        <v>155833.95000000001</v>
      </c>
      <c r="BJ1578" s="6">
        <f>_xlfn.IFNA(VLOOKUP(Grandview_Inventory[[#This Row],[quality]],Lookups!$H$2:$J$14,3,FALSE),0)</f>
        <v>2251</v>
      </c>
      <c r="BK1578" s="6">
        <f>_xlfn.IFNA(VLOOKUP(Grandview_Inventory[[#This Row],[condition]],Lookups!$H$17:$J$24,3,FALSE),0)</f>
        <v>-4503</v>
      </c>
      <c r="BL1578" s="6">
        <f>Grandview_Inventory[[#This Row],[Eff_Age]]*Lookups!$B$14</f>
        <v>-12675.8298</v>
      </c>
      <c r="BM1578" s="6">
        <f>Grandview_Inventory[[#This Row],[living_area]]*Lookups!$B$15</f>
        <v>98686.509445999996</v>
      </c>
      <c r="BN1578" s="6">
        <f>Grandview_Inventory[[#This Row],[Fin BSMT]]*Lookups!$B$16</f>
        <v>-2709.924</v>
      </c>
      <c r="BO1578" s="6">
        <f>(Grandview_Inventory[[#This Row],[att_gar]]+Grandview_Inventory[[#This Row],[bltin_gar]])*Lookups!$B$17</f>
        <v>0</v>
      </c>
      <c r="BP1578" s="6">
        <f>Grandview_Inventory[[#This Row],[Plumbing Fixtures]]*Lookups!$B$18</f>
        <v>14073.0926</v>
      </c>
      <c r="BQ1578" s="6">
        <f>Grandview_Inventory[[#This Row],[detatched_value]]*Lookups!$B$19</f>
        <v>5588.9136600000002</v>
      </c>
      <c r="BR1578" s="6">
        <f>SUM(Grandview_Inventory[[#This Row],[Intercept]:[det_value]])*Grandview_Inventory[[#This Row],[res_pct]]</f>
        <v>256544.71190599998</v>
      </c>
      <c r="BS1578" s="6">
        <f>Grandview_Inventory[[#This Row],[land_value]]</f>
        <v>47528.228511015397</v>
      </c>
      <c r="BT1578" s="4">
        <f>_xlfn.IFNA(VLOOKUP(Grandview_Inventory[[#This Row],[quality]],Lookups!$A$26:$C$33,3,FALSE),1)</f>
        <v>0.98763855981004833</v>
      </c>
      <c r="BU1578" s="4">
        <f>_xlfn.IFNA(VLOOKUP(Grandview_Inventory[[#This Row],[condition]],Lookups!$A$37:$C$44,3,FALSE),1)</f>
        <v>0.96469275950863709</v>
      </c>
      <c r="BV1578" s="4">
        <f>IF(Grandview_Inventory[[#This Row],[bldg_style]]="",1,_xlfn.IFNA(VLOOKUP(Grandview_Inventory[[#This Row],[decade]],Lookups!$F$29:$H$43,3,FALSE),1))</f>
        <v>0.95244691841736806</v>
      </c>
      <c r="BW1578" s="4">
        <f>_xlfn.IFNA(VLOOKUP(Grandview_Inventory[[#This Row],[living_area_range]],Lookups!$F$47:$H$56,3,FALSE),1)</f>
        <v>0.96120133463014379</v>
      </c>
      <c r="BX1578" s="4">
        <f>AVERAGE(Grandview_Inventory[[#This Row],[qual_adj]:[size_adj]])</f>
        <v>0.96649489309154935</v>
      </c>
      <c r="BY1578" s="6">
        <f>IF(Grandview_Inventory[[#This Row],[pre_res]]&lt;0,0,Grandview_Inventory[[#This Row],[pre_res]]*Grandview_Inventory[[#This Row],[overall_adj]])</f>
        <v>247949.15390679179</v>
      </c>
      <c r="BZ1578" s="6">
        <f>(Grandview_Inventory[[#This Row],[sum_land]]-IF(Grandview_Inventory[[#This Row],[no_utilities]]=1,12000,0))/IF(Grandview_Inventory[[#This Row],[unbuildable]]=1,2,1)</f>
        <v>47528.228511015397</v>
      </c>
      <c r="CA157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78">
        <f>ROUND(Grandview_Inventory[[#This Row],[det_value]]*Lookups!$M$28,-2)</f>
        <v>5300</v>
      </c>
      <c r="CC1578">
        <f>IF(ROUND(Grandview_Inventory[[#This Row],[adj_res]]*Lookups!$M$28,-2)&lt;Grandview_Inventory[[#This Row],[min_res]],Grandview_Inventory[[#This Row],[min_res]],ROUND(Grandview_Inventory[[#This Row],[adj_res]]*Lookups!$M$28,-2))</f>
        <v>235600</v>
      </c>
      <c r="CD1578">
        <f>Grandview_Inventory[[#This Row],[final_det]]+Grandview_Inventory[[#This Row],[final_res]]</f>
        <v>240900</v>
      </c>
      <c r="CE1578">
        <f>Grandview_Inventory[[#This Row],[final_land]]+Grandview_Inventory[[#This Row],[final_imp]]+Grandview_Inventory[[#This Row],[crop_value]]</f>
        <v>286100</v>
      </c>
      <c r="CG1578" t="str">
        <f t="shared" si="24"/>
        <v>update valuation set market_land =45200, market_bldg=240900, market_total =286100, market_mdno =401, market_date ='9/10/2023' where link_id = (select link_id from parcel where parcel_year = '2024' and parcel_id = '23092324408');</v>
      </c>
    </row>
    <row r="1579" spans="1:85" x14ac:dyDescent="0.25">
      <c r="A1579">
        <v>23092324409</v>
      </c>
      <c r="B1579">
        <v>0.19</v>
      </c>
      <c r="C1579">
        <v>8129</v>
      </c>
      <c r="D1579" t="s">
        <v>129</v>
      </c>
      <c r="E1579" t="s">
        <v>53</v>
      </c>
      <c r="F1579" t="s">
        <v>53</v>
      </c>
      <c r="G1579">
        <v>4</v>
      </c>
      <c r="H1579" t="s">
        <v>54</v>
      </c>
      <c r="I1579">
        <v>125200</v>
      </c>
      <c r="J1579">
        <v>39500</v>
      </c>
      <c r="K1579">
        <v>0.19</v>
      </c>
      <c r="L15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79">
        <v>0</v>
      </c>
      <c r="N1579">
        <v>0</v>
      </c>
      <c r="O1579">
        <v>0</v>
      </c>
      <c r="P1579">
        <v>13398.7528</v>
      </c>
      <c r="Q1579">
        <v>63903</v>
      </c>
      <c r="R1579">
        <f>(Grandview_Inventory[[#This Row],[ln_acres]]*Grandview_Inventory[[#This Row],[coeff]])+Grandview_Inventory[[#This Row],[const]]</f>
        <v>41651.273092551026</v>
      </c>
      <c r="S1579" t="s">
        <v>85</v>
      </c>
      <c r="T1579">
        <v>1</v>
      </c>
      <c r="U1579" t="s">
        <v>65</v>
      </c>
      <c r="V1579" t="s">
        <v>69</v>
      </c>
      <c r="W1579">
        <v>0</v>
      </c>
      <c r="X1579">
        <v>0</v>
      </c>
      <c r="Y1579">
        <v>61</v>
      </c>
      <c r="Z1579">
        <v>109</v>
      </c>
      <c r="AA1579">
        <v>110</v>
      </c>
      <c r="AB1579">
        <v>1500</v>
      </c>
      <c r="AC1579">
        <v>1192</v>
      </c>
      <c r="AD1579">
        <v>1192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120</v>
      </c>
      <c r="AN1579">
        <v>24</v>
      </c>
      <c r="AO1579">
        <v>0</v>
      </c>
      <c r="AP1579">
        <v>5</v>
      </c>
      <c r="AQ1579">
        <v>0</v>
      </c>
      <c r="AR1579">
        <v>1</v>
      </c>
      <c r="AS1579" t="s">
        <v>58</v>
      </c>
      <c r="AT1579">
        <v>1</v>
      </c>
      <c r="AU1579" t="s">
        <v>63</v>
      </c>
      <c r="AV1579" t="s">
        <v>81</v>
      </c>
      <c r="AW1579">
        <v>0</v>
      </c>
      <c r="AX1579">
        <v>2</v>
      </c>
      <c r="AY1579">
        <v>0</v>
      </c>
      <c r="AZ1579">
        <v>6300</v>
      </c>
      <c r="BA1579">
        <v>100</v>
      </c>
      <c r="BB1579">
        <v>100</v>
      </c>
      <c r="BC1579">
        <v>100</v>
      </c>
      <c r="BD1579">
        <v>100</v>
      </c>
      <c r="BE1579">
        <v>1</v>
      </c>
      <c r="BF1579">
        <v>15000</v>
      </c>
      <c r="BG1579">
        <v>1000</v>
      </c>
      <c r="BH1579" s="6">
        <f>Grandview_Inventory[[#This Row],[land_extract]]*Lookups!$B$3</f>
        <v>48369.510983942157</v>
      </c>
      <c r="BI1579" s="6">
        <f>IF(Grandview_Inventory[[#This Row],[bldg_style]]="",0,Lookups!$B$2)</f>
        <v>155833.95000000001</v>
      </c>
      <c r="BJ1579" s="6">
        <f>_xlfn.IFNA(VLOOKUP(Grandview_Inventory[[#This Row],[quality]],Lookups!$H$2:$J$14,3,FALSE),0)</f>
        <v>2251</v>
      </c>
      <c r="BK1579" s="6">
        <f>_xlfn.IFNA(VLOOKUP(Grandview_Inventory[[#This Row],[condition]],Lookups!$H$17:$J$24,3,FALSE),0)</f>
        <v>-4503</v>
      </c>
      <c r="BL1579" s="6">
        <f>Grandview_Inventory[[#This Row],[Eff_Age]]*Lookups!$B$14</f>
        <v>-14589.1626</v>
      </c>
      <c r="BM1579" s="6">
        <f>Grandview_Inventory[[#This Row],[living_area]]*Lookups!$B$15</f>
        <v>74357.976775999996</v>
      </c>
      <c r="BN1579" s="6">
        <f>Grandview_Inventory[[#This Row],[Fin BSMT]]*Lookups!$B$16</f>
        <v>0</v>
      </c>
      <c r="BO1579" s="6">
        <f>(Grandview_Inventory[[#This Row],[att_gar]]+Grandview_Inventory[[#This Row],[bltin_gar]])*Lookups!$B$17</f>
        <v>0</v>
      </c>
      <c r="BP1579" s="6">
        <f>Grandview_Inventory[[#This Row],[Plumbing Fixtures]]*Lookups!$B$18</f>
        <v>10052.209000000001</v>
      </c>
      <c r="BQ1579" s="6">
        <f>Grandview_Inventory[[#This Row],[detatched_value]]*Lookups!$B$19</f>
        <v>5334.8721299999997</v>
      </c>
      <c r="BR1579" s="6">
        <f>SUM(Grandview_Inventory[[#This Row],[Intercept]:[det_value]])*Grandview_Inventory[[#This Row],[res_pct]]</f>
        <v>228737.845306</v>
      </c>
      <c r="BS1579" s="6">
        <f>Grandview_Inventory[[#This Row],[land_value]]</f>
        <v>48369.510983942157</v>
      </c>
      <c r="BT1579" s="4">
        <f>_xlfn.IFNA(VLOOKUP(Grandview_Inventory[[#This Row],[quality]],Lookups!$A$26:$C$33,3,FALSE),1)</f>
        <v>0.98763855981004833</v>
      </c>
      <c r="BU1579" s="4">
        <f>_xlfn.IFNA(VLOOKUP(Grandview_Inventory[[#This Row],[condition]],Lookups!$A$37:$C$44,3,FALSE),1)</f>
        <v>0.96469275950863709</v>
      </c>
      <c r="BV1579" s="4">
        <f>IF(Grandview_Inventory[[#This Row],[bldg_style]]="",1,_xlfn.IFNA(VLOOKUP(Grandview_Inventory[[#This Row],[decade]],Lookups!$F$29:$H$43,3,FALSE),1))</f>
        <v>0.92255236374249616</v>
      </c>
      <c r="BW1579" s="4">
        <f>_xlfn.IFNA(VLOOKUP(Grandview_Inventory[[#This Row],[living_area_range]],Lookups!$F$47:$H$56,3,FALSE),1)</f>
        <v>0.96135087979789358</v>
      </c>
      <c r="BX1579" s="4">
        <f>AVERAGE(Grandview_Inventory[[#This Row],[qual_adj]:[size_adj]])</f>
        <v>0.95905864071476876</v>
      </c>
      <c r="BY1579" s="6">
        <f>IF(Grandview_Inventory[[#This Row],[pre_res]]&lt;0,0,Grandview_Inventory[[#This Row],[pre_res]]*Grandview_Inventory[[#This Row],[overall_adj]])</f>
        <v>219373.00699919742</v>
      </c>
      <c r="BZ1579" s="6">
        <f>(Grandview_Inventory[[#This Row],[sum_land]]-IF(Grandview_Inventory[[#This Row],[no_utilities]]=1,12000,0))/IF(Grandview_Inventory[[#This Row],[unbuildable]]=1,2,1)</f>
        <v>48369.510983942157</v>
      </c>
      <c r="CA15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79">
        <f>ROUND(Grandview_Inventory[[#This Row],[det_value]]*Lookups!$M$28,-2)</f>
        <v>5100</v>
      </c>
      <c r="CC1579">
        <f>IF(ROUND(Grandview_Inventory[[#This Row],[adj_res]]*Lookups!$M$28,-2)&lt;Grandview_Inventory[[#This Row],[min_res]],Grandview_Inventory[[#This Row],[min_res]],ROUND(Grandview_Inventory[[#This Row],[adj_res]]*Lookups!$M$28,-2))</f>
        <v>208400</v>
      </c>
      <c r="CD1579">
        <f>Grandview_Inventory[[#This Row],[final_det]]+Grandview_Inventory[[#This Row],[final_res]]</f>
        <v>213500</v>
      </c>
      <c r="CE1579">
        <f>Grandview_Inventory[[#This Row],[final_land]]+Grandview_Inventory[[#This Row],[final_imp]]+Grandview_Inventory[[#This Row],[crop_value]]</f>
        <v>259500</v>
      </c>
      <c r="CG1579" t="str">
        <f t="shared" si="24"/>
        <v>update valuation set market_land =46000, market_bldg=213500, market_total =259500, market_mdno =401, market_date ='9/10/2023' where link_id = (select link_id from parcel where parcel_year = '2024' and parcel_id = '23092324409');</v>
      </c>
    </row>
    <row r="1580" spans="1:85" x14ac:dyDescent="0.25">
      <c r="A1580">
        <v>23092324410</v>
      </c>
      <c r="B1580">
        <v>0.16</v>
      </c>
      <c r="C1580">
        <v>6861</v>
      </c>
      <c r="D1580" t="s">
        <v>129</v>
      </c>
      <c r="E1580" t="s">
        <v>53</v>
      </c>
      <c r="F1580" t="s">
        <v>53</v>
      </c>
      <c r="G1580">
        <v>4</v>
      </c>
      <c r="H1580" t="s">
        <v>54</v>
      </c>
      <c r="I1580">
        <v>89200</v>
      </c>
      <c r="J1580">
        <v>39000</v>
      </c>
      <c r="K1580">
        <v>0.16</v>
      </c>
      <c r="L158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80">
        <v>0</v>
      </c>
      <c r="N1580">
        <v>0</v>
      </c>
      <c r="O1580">
        <v>0</v>
      </c>
      <c r="P1580">
        <v>13398.7528</v>
      </c>
      <c r="Q1580">
        <v>63903</v>
      </c>
      <c r="R1580">
        <f>(Grandview_Inventory[[#This Row],[ln_acres]]*Grandview_Inventory[[#This Row],[coeff]])+Grandview_Inventory[[#This Row],[const]]</f>
        <v>39348.693981374228</v>
      </c>
      <c r="S1580" t="s">
        <v>68</v>
      </c>
      <c r="T1580">
        <v>1</v>
      </c>
      <c r="U1580" t="s">
        <v>80</v>
      </c>
      <c r="V1580" t="s">
        <v>69</v>
      </c>
      <c r="W1580">
        <v>0</v>
      </c>
      <c r="X1580">
        <v>0</v>
      </c>
      <c r="Y1580">
        <v>57</v>
      </c>
      <c r="Z1580">
        <v>103</v>
      </c>
      <c r="AA1580">
        <v>110</v>
      </c>
      <c r="AB1580">
        <v>1000</v>
      </c>
      <c r="AC1580">
        <v>732</v>
      </c>
      <c r="AD1580">
        <v>732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144</v>
      </c>
      <c r="AN1580">
        <v>0</v>
      </c>
      <c r="AO1580">
        <v>144</v>
      </c>
      <c r="AP1580">
        <v>5</v>
      </c>
      <c r="AQ1580">
        <v>0</v>
      </c>
      <c r="AR1580">
        <v>0</v>
      </c>
      <c r="AS1580" t="s">
        <v>58</v>
      </c>
      <c r="AT1580">
        <v>1</v>
      </c>
      <c r="AU1580" t="s">
        <v>75</v>
      </c>
      <c r="AV1580" t="s">
        <v>60</v>
      </c>
      <c r="AW1580">
        <v>0</v>
      </c>
      <c r="AX1580">
        <v>2</v>
      </c>
      <c r="AY1580">
        <v>0</v>
      </c>
      <c r="AZ1580">
        <v>0</v>
      </c>
      <c r="BA1580">
        <v>100</v>
      </c>
      <c r="BB1580">
        <v>100</v>
      </c>
      <c r="BC1580">
        <v>100</v>
      </c>
      <c r="BD1580">
        <v>100</v>
      </c>
      <c r="BE1580">
        <v>1</v>
      </c>
      <c r="BF1580">
        <v>15000</v>
      </c>
      <c r="BG1580">
        <v>1000</v>
      </c>
      <c r="BH1580" s="6">
        <f>Grandview_Inventory[[#This Row],[land_extract]]*Lookups!$B$3</f>
        <v>45695.532079096141</v>
      </c>
      <c r="BI1580" s="6">
        <f>IF(Grandview_Inventory[[#This Row],[bldg_style]]="",0,Lookups!$B$2)</f>
        <v>155833.95000000001</v>
      </c>
      <c r="BJ1580" s="6">
        <f>_xlfn.IFNA(VLOOKUP(Grandview_Inventory[[#This Row],[quality]],Lookups!$H$2:$J$14,3,FALSE),0)</f>
        <v>-28558</v>
      </c>
      <c r="BK1580" s="6">
        <f>_xlfn.IFNA(VLOOKUP(Grandview_Inventory[[#This Row],[condition]],Lookups!$H$17:$J$24,3,FALSE),0)</f>
        <v>-4503</v>
      </c>
      <c r="BL1580" s="6">
        <f>Grandview_Inventory[[#This Row],[Eff_Age]]*Lookups!$B$14</f>
        <v>-13632.4962</v>
      </c>
      <c r="BM1580" s="6">
        <f>Grandview_Inventory[[#This Row],[living_area]]*Lookups!$B$15</f>
        <v>45662.784396000003</v>
      </c>
      <c r="BN1580" s="6">
        <f>Grandview_Inventory[[#This Row],[Fin BSMT]]*Lookups!$B$16</f>
        <v>0</v>
      </c>
      <c r="BO1580" s="6">
        <f>(Grandview_Inventory[[#This Row],[att_gar]]+Grandview_Inventory[[#This Row],[bltin_gar]])*Lookups!$B$17</f>
        <v>0</v>
      </c>
      <c r="BP1580" s="6">
        <f>Grandview_Inventory[[#This Row],[Plumbing Fixtures]]*Lookups!$B$18</f>
        <v>10052.209000000001</v>
      </c>
      <c r="BQ1580" s="6">
        <f>Grandview_Inventory[[#This Row],[detatched_value]]*Lookups!$B$19</f>
        <v>0</v>
      </c>
      <c r="BR1580" s="6">
        <f>SUM(Grandview_Inventory[[#This Row],[Intercept]:[det_value]])*Grandview_Inventory[[#This Row],[res_pct]]</f>
        <v>164855.44719600002</v>
      </c>
      <c r="BS1580" s="6">
        <f>Grandview_Inventory[[#This Row],[land_value]]</f>
        <v>45695.532079096141</v>
      </c>
      <c r="BT1580" s="4">
        <f>_xlfn.IFNA(VLOOKUP(Grandview_Inventory[[#This Row],[quality]],Lookups!$A$26:$C$33,3,FALSE),1)</f>
        <v>0.9690360070159818</v>
      </c>
      <c r="BU1580" s="4">
        <f>_xlfn.IFNA(VLOOKUP(Grandview_Inventory[[#This Row],[condition]],Lookups!$A$37:$C$44,3,FALSE),1)</f>
        <v>0.96469275950863709</v>
      </c>
      <c r="BV1580" s="4">
        <f>IF(Grandview_Inventory[[#This Row],[bldg_style]]="",1,_xlfn.IFNA(VLOOKUP(Grandview_Inventory[[#This Row],[decade]],Lookups!$F$29:$H$43,3,FALSE),1))</f>
        <v>0.92255236374249616</v>
      </c>
      <c r="BW1580" s="4">
        <f>_xlfn.IFNA(VLOOKUP(Grandview_Inventory[[#This Row],[living_area_range]],Lookups!$F$47:$H$56,3,FALSE),1)</f>
        <v>0.94306777142782894</v>
      </c>
      <c r="BX1580" s="4">
        <f>AVERAGE(Grandview_Inventory[[#This Row],[qual_adj]:[size_adj]])</f>
        <v>0.94983722542373594</v>
      </c>
      <c r="BY1580" s="6">
        <f>IF(Grandview_Inventory[[#This Row],[pre_res]]&lt;0,0,Grandview_Inventory[[#This Row],[pre_res]]*Grandview_Inventory[[#This Row],[overall_adj]])</f>
        <v>156585.84056063788</v>
      </c>
      <c r="BZ1580" s="6">
        <f>(Grandview_Inventory[[#This Row],[sum_land]]-IF(Grandview_Inventory[[#This Row],[no_utilities]]=1,12000,0))/IF(Grandview_Inventory[[#This Row],[unbuildable]]=1,2,1)</f>
        <v>45695.532079096141</v>
      </c>
      <c r="CA158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80">
        <f>ROUND(Grandview_Inventory[[#This Row],[det_value]]*Lookups!$M$28,-2)</f>
        <v>0</v>
      </c>
      <c r="CC1580">
        <f>IF(ROUND(Grandview_Inventory[[#This Row],[adj_res]]*Lookups!$M$28,-2)&lt;Grandview_Inventory[[#This Row],[min_res]],Grandview_Inventory[[#This Row],[min_res]],ROUND(Grandview_Inventory[[#This Row],[adj_res]]*Lookups!$M$28,-2))</f>
        <v>148800</v>
      </c>
      <c r="CD1580">
        <f>Grandview_Inventory[[#This Row],[final_det]]+Grandview_Inventory[[#This Row],[final_res]]</f>
        <v>148800</v>
      </c>
      <c r="CE1580">
        <f>Grandview_Inventory[[#This Row],[final_land]]+Grandview_Inventory[[#This Row],[final_imp]]+Grandview_Inventory[[#This Row],[crop_value]]</f>
        <v>192200</v>
      </c>
      <c r="CG1580" t="str">
        <f t="shared" si="24"/>
        <v>update valuation set market_land =43400, market_bldg=148800, market_total =192200, market_mdno =401, market_date ='9/10/2023' where link_id = (select link_id from parcel where parcel_year = '2024' and parcel_id = '23092324410');</v>
      </c>
    </row>
    <row r="1581" spans="1:85" x14ac:dyDescent="0.25">
      <c r="A1581">
        <v>23092324411</v>
      </c>
      <c r="B1581">
        <v>0.48</v>
      </c>
      <c r="C1581">
        <v>20914</v>
      </c>
      <c r="D1581" t="s">
        <v>129</v>
      </c>
      <c r="E1581" t="s">
        <v>53</v>
      </c>
      <c r="F1581" t="s">
        <v>53</v>
      </c>
      <c r="G1581">
        <v>4</v>
      </c>
      <c r="H1581" t="s">
        <v>54</v>
      </c>
      <c r="I1581">
        <v>151700</v>
      </c>
      <c r="J1581">
        <v>42300</v>
      </c>
      <c r="K1581">
        <v>0.48</v>
      </c>
      <c r="L1581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1581">
        <v>0</v>
      </c>
      <c r="N1581">
        <v>0</v>
      </c>
      <c r="O1581">
        <v>0</v>
      </c>
      <c r="P1581">
        <v>13398.7528</v>
      </c>
      <c r="Q1581">
        <v>63903</v>
      </c>
      <c r="R1581">
        <f>(Grandview_Inventory[[#This Row],[ln_acres]]*Grandview_Inventory[[#This Row],[coeff]])+Grandview_Inventory[[#This Row],[const]]</f>
        <v>54068.728460280472</v>
      </c>
      <c r="S1581" t="s">
        <v>85</v>
      </c>
      <c r="T1581">
        <v>1</v>
      </c>
      <c r="U1581" t="s">
        <v>70</v>
      </c>
      <c r="V1581" t="s">
        <v>69</v>
      </c>
      <c r="W1581">
        <v>0</v>
      </c>
      <c r="X1581">
        <v>0</v>
      </c>
      <c r="Y1581">
        <v>53</v>
      </c>
      <c r="Z1581">
        <v>93</v>
      </c>
      <c r="AA1581">
        <v>100</v>
      </c>
      <c r="AB1581">
        <v>1500</v>
      </c>
      <c r="AC1581">
        <v>1464</v>
      </c>
      <c r="AD1581">
        <v>1464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112</v>
      </c>
      <c r="AO1581">
        <v>0</v>
      </c>
      <c r="AP1581">
        <v>5</v>
      </c>
      <c r="AQ1581">
        <v>1</v>
      </c>
      <c r="AR1581">
        <v>0</v>
      </c>
      <c r="AS1581" t="s">
        <v>58</v>
      </c>
      <c r="AT1581">
        <v>0</v>
      </c>
      <c r="AU1581" t="s">
        <v>134</v>
      </c>
      <c r="AV1581" t="s">
        <v>64</v>
      </c>
      <c r="AW1581">
        <v>0</v>
      </c>
      <c r="AX1581">
        <v>3</v>
      </c>
      <c r="AY1581">
        <v>0</v>
      </c>
      <c r="AZ1581">
        <v>3600</v>
      </c>
      <c r="BA1581">
        <v>100</v>
      </c>
      <c r="BB1581">
        <v>100</v>
      </c>
      <c r="BC1581">
        <v>100</v>
      </c>
      <c r="BD1581">
        <v>100</v>
      </c>
      <c r="BE1581">
        <v>1</v>
      </c>
      <c r="BF1581">
        <v>15000</v>
      </c>
      <c r="BG1581">
        <v>1000</v>
      </c>
      <c r="BH1581" s="6">
        <f>Grandview_Inventory[[#This Row],[land_extract]]*Lookups!$B$3</f>
        <v>62789.868375356869</v>
      </c>
      <c r="BI1581" s="6">
        <f>IF(Grandview_Inventory[[#This Row],[bldg_style]]="",0,Lookups!$B$2)</f>
        <v>155833.95000000001</v>
      </c>
      <c r="BJ1581" s="6">
        <f>_xlfn.IFNA(VLOOKUP(Grandview_Inventory[[#This Row],[quality]],Lookups!$H$2:$J$14,3,FALSE),0)</f>
        <v>10733</v>
      </c>
      <c r="BK1581" s="6">
        <f>_xlfn.IFNA(VLOOKUP(Grandview_Inventory[[#This Row],[condition]],Lookups!$H$17:$J$24,3,FALSE),0)</f>
        <v>-4503</v>
      </c>
      <c r="BL1581" s="6">
        <f>Grandview_Inventory[[#This Row],[Eff_Age]]*Lookups!$B$14</f>
        <v>-12675.8298</v>
      </c>
      <c r="BM1581" s="6">
        <f>Grandview_Inventory[[#This Row],[living_area]]*Lookups!$B$15</f>
        <v>91325.568792000005</v>
      </c>
      <c r="BN1581" s="6">
        <f>Grandview_Inventory[[#This Row],[Fin BSMT]]*Lookups!$B$16</f>
        <v>0</v>
      </c>
      <c r="BO1581" s="6">
        <f>(Grandview_Inventory[[#This Row],[att_gar]]+Grandview_Inventory[[#This Row],[bltin_gar]])*Lookups!$B$17</f>
        <v>0</v>
      </c>
      <c r="BP1581" s="6">
        <f>Grandview_Inventory[[#This Row],[Plumbing Fixtures]]*Lookups!$B$18</f>
        <v>10052.209000000001</v>
      </c>
      <c r="BQ1581" s="6">
        <f>Grandview_Inventory[[#This Row],[detatched_value]]*Lookups!$B$19</f>
        <v>3048.49836</v>
      </c>
      <c r="BR1581" s="6">
        <f>SUM(Grandview_Inventory[[#This Row],[Intercept]:[det_value]])*Grandview_Inventory[[#This Row],[res_pct]]</f>
        <v>253814.39635200001</v>
      </c>
      <c r="BS1581" s="6">
        <f>Grandview_Inventory[[#This Row],[land_value]]</f>
        <v>62789.868375356869</v>
      </c>
      <c r="BT1581" s="4">
        <f>_xlfn.IFNA(VLOOKUP(Grandview_Inventory[[#This Row],[quality]],Lookups!$A$26:$C$33,3,FALSE),1)</f>
        <v>0.98079741117310582</v>
      </c>
      <c r="BU1581" s="4">
        <f>_xlfn.IFNA(VLOOKUP(Grandview_Inventory[[#This Row],[condition]],Lookups!$A$37:$C$44,3,FALSE),1)</f>
        <v>0.96469275950863709</v>
      </c>
      <c r="BV1581" s="4">
        <f>IF(Grandview_Inventory[[#This Row],[bldg_style]]="",1,_xlfn.IFNA(VLOOKUP(Grandview_Inventory[[#This Row],[decade]],Lookups!$F$29:$H$43,3,FALSE),1))</f>
        <v>0.95244691841736806</v>
      </c>
      <c r="BW1581" s="4">
        <f>_xlfn.IFNA(VLOOKUP(Grandview_Inventory[[#This Row],[living_area_range]],Lookups!$F$47:$H$56,3,FALSE),1)</f>
        <v>0.96135087979789358</v>
      </c>
      <c r="BX1581" s="4">
        <f>AVERAGE(Grandview_Inventory[[#This Row],[qual_adj]:[size_adj]])</f>
        <v>0.96482199222425113</v>
      </c>
      <c r="BY1581" s="6">
        <f>IF(Grandview_Inventory[[#This Row],[pre_res]]&lt;0,0,Grandview_Inventory[[#This Row],[pre_res]]*Grandview_Inventory[[#This Row],[overall_adj]])</f>
        <v>244885.71154353235</v>
      </c>
      <c r="BZ1581" s="6">
        <f>(Grandview_Inventory[[#This Row],[sum_land]]-IF(Grandview_Inventory[[#This Row],[no_utilities]]=1,12000,0))/IF(Grandview_Inventory[[#This Row],[unbuildable]]=1,2,1)</f>
        <v>62789.868375356869</v>
      </c>
      <c r="CA1581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1581">
        <f>ROUND(Grandview_Inventory[[#This Row],[det_value]]*Lookups!$M$28,-2)</f>
        <v>2900</v>
      </c>
      <c r="CC1581">
        <f>IF(ROUND(Grandview_Inventory[[#This Row],[adj_res]]*Lookups!$M$28,-2)&lt;Grandview_Inventory[[#This Row],[min_res]],Grandview_Inventory[[#This Row],[min_res]],ROUND(Grandview_Inventory[[#This Row],[adj_res]]*Lookups!$M$28,-2))</f>
        <v>232600</v>
      </c>
      <c r="CD1581">
        <f>Grandview_Inventory[[#This Row],[final_det]]+Grandview_Inventory[[#This Row],[final_res]]</f>
        <v>235500</v>
      </c>
      <c r="CE1581">
        <f>Grandview_Inventory[[#This Row],[final_land]]+Grandview_Inventory[[#This Row],[final_imp]]+Grandview_Inventory[[#This Row],[crop_value]]</f>
        <v>295200</v>
      </c>
      <c r="CG1581" t="str">
        <f t="shared" si="24"/>
        <v>update valuation set market_land =59700, market_bldg=235500, market_total =295200, market_mdno =401, market_date ='9/10/2023' where link_id = (select link_id from parcel where parcel_year = '2024' and parcel_id = '23092324411');</v>
      </c>
    </row>
    <row r="1582" spans="1:85" x14ac:dyDescent="0.25">
      <c r="A1582">
        <v>23092324413</v>
      </c>
      <c r="B1582">
        <v>0.17</v>
      </c>
      <c r="C1582">
        <v>7352</v>
      </c>
      <c r="D1582" t="s">
        <v>129</v>
      </c>
      <c r="E1582" t="s">
        <v>53</v>
      </c>
      <c r="F1582" t="s">
        <v>53</v>
      </c>
      <c r="G1582">
        <v>4</v>
      </c>
      <c r="H1582" t="s">
        <v>54</v>
      </c>
      <c r="I1582">
        <v>105700</v>
      </c>
      <c r="J1582">
        <v>39100</v>
      </c>
      <c r="K1582">
        <v>0.17</v>
      </c>
      <c r="L158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82">
        <v>0</v>
      </c>
      <c r="N1582">
        <v>0</v>
      </c>
      <c r="O1582">
        <v>0</v>
      </c>
      <c r="P1582">
        <v>13398.7528</v>
      </c>
      <c r="Q1582">
        <v>63903</v>
      </c>
      <c r="R1582">
        <f>(Grandview_Inventory[[#This Row],[ln_acres]]*Grandview_Inventory[[#This Row],[coeff]])+Grandview_Inventory[[#This Row],[const]]</f>
        <v>40160.988302686128</v>
      </c>
      <c r="S1582" t="s">
        <v>85</v>
      </c>
      <c r="T1582">
        <v>1</v>
      </c>
      <c r="U1582" t="s">
        <v>70</v>
      </c>
      <c r="V1582" t="s">
        <v>69</v>
      </c>
      <c r="W1582">
        <v>0</v>
      </c>
      <c r="X1582">
        <v>0</v>
      </c>
      <c r="Y1582">
        <v>57</v>
      </c>
      <c r="Z1582">
        <v>103</v>
      </c>
      <c r="AA1582">
        <v>110</v>
      </c>
      <c r="AB1582">
        <v>1000</v>
      </c>
      <c r="AC1582">
        <v>921</v>
      </c>
      <c r="AD1582">
        <v>921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48</v>
      </c>
      <c r="AO1582">
        <v>0</v>
      </c>
      <c r="AP1582">
        <v>5</v>
      </c>
      <c r="AQ1582">
        <v>0</v>
      </c>
      <c r="AR1582">
        <v>0</v>
      </c>
      <c r="AS1582" t="s">
        <v>58</v>
      </c>
      <c r="AT1582">
        <v>1</v>
      </c>
      <c r="AU1582" t="s">
        <v>63</v>
      </c>
      <c r="AV1582" t="s">
        <v>81</v>
      </c>
      <c r="AW1582">
        <v>0</v>
      </c>
      <c r="AX1582">
        <v>2</v>
      </c>
      <c r="AY1582">
        <v>0</v>
      </c>
      <c r="AZ1582">
        <v>0</v>
      </c>
      <c r="BA1582">
        <v>100</v>
      </c>
      <c r="BB1582">
        <v>100</v>
      </c>
      <c r="BC1582">
        <v>100</v>
      </c>
      <c r="BD1582">
        <v>100</v>
      </c>
      <c r="BE1582">
        <v>1</v>
      </c>
      <c r="BF1582">
        <v>15000</v>
      </c>
      <c r="BG1582">
        <v>1000</v>
      </c>
      <c r="BH1582" s="6">
        <f>Grandview_Inventory[[#This Row],[land_extract]]*Lookups!$B$3</f>
        <v>46638.847281240982</v>
      </c>
      <c r="BI1582" s="6">
        <f>IF(Grandview_Inventory[[#This Row],[bldg_style]]="",0,Lookups!$B$2)</f>
        <v>155833.95000000001</v>
      </c>
      <c r="BJ1582" s="6">
        <f>_xlfn.IFNA(VLOOKUP(Grandview_Inventory[[#This Row],[quality]],Lookups!$H$2:$J$14,3,FALSE),0)</f>
        <v>10733</v>
      </c>
      <c r="BK1582" s="6">
        <f>_xlfn.IFNA(VLOOKUP(Grandview_Inventory[[#This Row],[condition]],Lookups!$H$17:$J$24,3,FALSE),0)</f>
        <v>-4503</v>
      </c>
      <c r="BL1582" s="6">
        <f>Grandview_Inventory[[#This Row],[Eff_Age]]*Lookups!$B$14</f>
        <v>-13632.4962</v>
      </c>
      <c r="BM1582" s="6">
        <f>Grandview_Inventory[[#This Row],[living_area]]*Lookups!$B$15</f>
        <v>57452.765613000003</v>
      </c>
      <c r="BN1582" s="6">
        <f>Grandview_Inventory[[#This Row],[Fin BSMT]]*Lookups!$B$16</f>
        <v>0</v>
      </c>
      <c r="BO1582" s="6">
        <f>(Grandview_Inventory[[#This Row],[att_gar]]+Grandview_Inventory[[#This Row],[bltin_gar]])*Lookups!$B$17</f>
        <v>0</v>
      </c>
      <c r="BP1582" s="6">
        <f>Grandview_Inventory[[#This Row],[Plumbing Fixtures]]*Lookups!$B$18</f>
        <v>10052.209000000001</v>
      </c>
      <c r="BQ1582" s="6">
        <f>Grandview_Inventory[[#This Row],[detatched_value]]*Lookups!$B$19</f>
        <v>0</v>
      </c>
      <c r="BR1582" s="6">
        <f>SUM(Grandview_Inventory[[#This Row],[Intercept]:[det_value]])*Grandview_Inventory[[#This Row],[res_pct]]</f>
        <v>215936.42841300002</v>
      </c>
      <c r="BS1582" s="6">
        <f>Grandview_Inventory[[#This Row],[land_value]]</f>
        <v>46638.847281240982</v>
      </c>
      <c r="BT1582" s="4">
        <f>_xlfn.IFNA(VLOOKUP(Grandview_Inventory[[#This Row],[quality]],Lookups!$A$26:$C$33,3,FALSE),1)</f>
        <v>0.98079741117310582</v>
      </c>
      <c r="BU1582" s="4">
        <f>_xlfn.IFNA(VLOOKUP(Grandview_Inventory[[#This Row],[condition]],Lookups!$A$37:$C$44,3,FALSE),1)</f>
        <v>0.96469275950863709</v>
      </c>
      <c r="BV1582" s="4">
        <f>IF(Grandview_Inventory[[#This Row],[bldg_style]]="",1,_xlfn.IFNA(VLOOKUP(Grandview_Inventory[[#This Row],[decade]],Lookups!$F$29:$H$43,3,FALSE),1))</f>
        <v>0.92255236374249616</v>
      </c>
      <c r="BW1582" s="4">
        <f>_xlfn.IFNA(VLOOKUP(Grandview_Inventory[[#This Row],[living_area_range]],Lookups!$F$47:$H$56,3,FALSE),1)</f>
        <v>0.94306777142782894</v>
      </c>
      <c r="BX1582" s="4">
        <f>AVERAGE(Grandview_Inventory[[#This Row],[qual_adj]:[size_adj]])</f>
        <v>0.95277757646301697</v>
      </c>
      <c r="BY1582" s="6">
        <f>IF(Grandview_Inventory[[#This Row],[pre_res]]&lt;0,0,Grandview_Inventory[[#This Row],[pre_res]]*Grandview_Inventory[[#This Row],[overall_adj]])</f>
        <v>205739.3869334179</v>
      </c>
      <c r="BZ1582" s="6">
        <f>(Grandview_Inventory[[#This Row],[sum_land]]-IF(Grandview_Inventory[[#This Row],[no_utilities]]=1,12000,0))/IF(Grandview_Inventory[[#This Row],[unbuildable]]=1,2,1)</f>
        <v>46638.847281240982</v>
      </c>
      <c r="CA158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82">
        <f>ROUND(Grandview_Inventory[[#This Row],[det_value]]*Lookups!$M$28,-2)</f>
        <v>0</v>
      </c>
      <c r="CC1582">
        <f>IF(ROUND(Grandview_Inventory[[#This Row],[adj_res]]*Lookups!$M$28,-2)&lt;Grandview_Inventory[[#This Row],[min_res]],Grandview_Inventory[[#This Row],[min_res]],ROUND(Grandview_Inventory[[#This Row],[adj_res]]*Lookups!$M$28,-2))</f>
        <v>195500</v>
      </c>
      <c r="CD1582">
        <f>Grandview_Inventory[[#This Row],[final_det]]+Grandview_Inventory[[#This Row],[final_res]]</f>
        <v>195500</v>
      </c>
      <c r="CE1582">
        <f>Grandview_Inventory[[#This Row],[final_land]]+Grandview_Inventory[[#This Row],[final_imp]]+Grandview_Inventory[[#This Row],[crop_value]]</f>
        <v>239800</v>
      </c>
      <c r="CG1582" t="str">
        <f t="shared" si="24"/>
        <v>update valuation set market_land =44300, market_bldg=195500, market_total =239800, market_mdno =401, market_date ='9/10/2023' where link_id = (select link_id from parcel where parcel_year = '2024' and parcel_id = '23092324413');</v>
      </c>
    </row>
    <row r="1583" spans="1:85" x14ac:dyDescent="0.25">
      <c r="A1583">
        <v>23092324414</v>
      </c>
      <c r="B1583">
        <v>0.17</v>
      </c>
      <c r="C1583">
        <v>7444</v>
      </c>
      <c r="D1583" t="s">
        <v>129</v>
      </c>
      <c r="E1583" t="s">
        <v>53</v>
      </c>
      <c r="F1583" t="s">
        <v>53</v>
      </c>
      <c r="G1583">
        <v>4</v>
      </c>
      <c r="H1583" t="s">
        <v>54</v>
      </c>
      <c r="I1583">
        <v>239200</v>
      </c>
      <c r="J1583">
        <v>39300</v>
      </c>
      <c r="K1583">
        <v>0.17</v>
      </c>
      <c r="L158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83">
        <v>0</v>
      </c>
      <c r="N1583">
        <v>0</v>
      </c>
      <c r="O1583">
        <v>0</v>
      </c>
      <c r="P1583">
        <v>13398.7528</v>
      </c>
      <c r="Q1583">
        <v>63903</v>
      </c>
      <c r="R1583">
        <f>(Grandview_Inventory[[#This Row],[ln_acres]]*Grandview_Inventory[[#This Row],[coeff]])+Grandview_Inventory[[#This Row],[const]]</f>
        <v>40160.988302686128</v>
      </c>
      <c r="S1583" t="s">
        <v>68</v>
      </c>
      <c r="T1583">
        <v>1</v>
      </c>
      <c r="U1583" t="s">
        <v>70</v>
      </c>
      <c r="V1583" t="s">
        <v>69</v>
      </c>
      <c r="W1583">
        <v>0</v>
      </c>
      <c r="X1583">
        <v>0</v>
      </c>
      <c r="Y1583">
        <v>50</v>
      </c>
      <c r="Z1583">
        <v>76</v>
      </c>
      <c r="AA1583">
        <v>80</v>
      </c>
      <c r="AB1583">
        <v>1500</v>
      </c>
      <c r="AC1583">
        <v>1084</v>
      </c>
      <c r="AD1583">
        <v>1084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40</v>
      </c>
      <c r="AO1583">
        <v>0</v>
      </c>
      <c r="AP1583">
        <v>5</v>
      </c>
      <c r="AQ1583">
        <v>0</v>
      </c>
      <c r="AR1583">
        <v>0</v>
      </c>
      <c r="AS1583" t="s">
        <v>58</v>
      </c>
      <c r="AT1583">
        <v>1</v>
      </c>
      <c r="AU1583" t="s">
        <v>63</v>
      </c>
      <c r="AV1583" t="s">
        <v>60</v>
      </c>
      <c r="AW1583">
        <v>1</v>
      </c>
      <c r="AX1583">
        <v>2</v>
      </c>
      <c r="AY1583">
        <v>0</v>
      </c>
      <c r="AZ1583">
        <v>60300</v>
      </c>
      <c r="BA1583">
        <v>100</v>
      </c>
      <c r="BB1583">
        <v>100</v>
      </c>
      <c r="BC1583">
        <v>100</v>
      </c>
      <c r="BD1583">
        <v>100</v>
      </c>
      <c r="BE1583">
        <v>1</v>
      </c>
      <c r="BF1583">
        <v>15000</v>
      </c>
      <c r="BG1583">
        <v>1000</v>
      </c>
      <c r="BH1583" s="6">
        <f>Grandview_Inventory[[#This Row],[land_extract]]*Lookups!$B$3</f>
        <v>46638.847281240982</v>
      </c>
      <c r="BI1583" s="6">
        <f>IF(Grandview_Inventory[[#This Row],[bldg_style]]="",0,Lookups!$B$2)</f>
        <v>155833.95000000001</v>
      </c>
      <c r="BJ1583" s="6">
        <f>_xlfn.IFNA(VLOOKUP(Grandview_Inventory[[#This Row],[quality]],Lookups!$H$2:$J$14,3,FALSE),0)</f>
        <v>10733</v>
      </c>
      <c r="BK1583" s="6">
        <f>_xlfn.IFNA(VLOOKUP(Grandview_Inventory[[#This Row],[condition]],Lookups!$H$17:$J$24,3,FALSE),0)</f>
        <v>-4503</v>
      </c>
      <c r="BL1583" s="6">
        <f>Grandview_Inventory[[#This Row],[Eff_Age]]*Lookups!$B$14</f>
        <v>-11958.33</v>
      </c>
      <c r="BM1583" s="6">
        <f>Grandview_Inventory[[#This Row],[living_area]]*Lookups!$B$15</f>
        <v>67620.844652</v>
      </c>
      <c r="BN1583" s="6">
        <f>Grandview_Inventory[[#This Row],[Fin BSMT]]*Lookups!$B$16</f>
        <v>0</v>
      </c>
      <c r="BO1583" s="6">
        <f>(Grandview_Inventory[[#This Row],[att_gar]]+Grandview_Inventory[[#This Row],[bltin_gar]])*Lookups!$B$17</f>
        <v>0</v>
      </c>
      <c r="BP1583" s="6">
        <f>Grandview_Inventory[[#This Row],[Plumbing Fixtures]]*Lookups!$B$18</f>
        <v>10052.209000000001</v>
      </c>
      <c r="BQ1583" s="6">
        <f>Grandview_Inventory[[#This Row],[detatched_value]]*Lookups!$B$19</f>
        <v>51062.347529999999</v>
      </c>
      <c r="BR1583" s="6">
        <f>SUM(Grandview_Inventory[[#This Row],[Intercept]:[det_value]])*Grandview_Inventory[[#This Row],[res_pct]]</f>
        <v>278841.02118200005</v>
      </c>
      <c r="BS1583" s="6">
        <f>Grandview_Inventory[[#This Row],[land_value]]</f>
        <v>46638.847281240982</v>
      </c>
      <c r="BT1583" s="4">
        <f>_xlfn.IFNA(VLOOKUP(Grandview_Inventory[[#This Row],[quality]],Lookups!$A$26:$C$33,3,FALSE),1)</f>
        <v>0.98079741117310582</v>
      </c>
      <c r="BU1583" s="4">
        <f>_xlfn.IFNA(VLOOKUP(Grandview_Inventory[[#This Row],[condition]],Lookups!$A$37:$C$44,3,FALSE),1)</f>
        <v>0.96469275950863709</v>
      </c>
      <c r="BV1583" s="4">
        <f>IF(Grandview_Inventory[[#This Row],[bldg_style]]="",1,_xlfn.IFNA(VLOOKUP(Grandview_Inventory[[#This Row],[decade]],Lookups!$F$29:$H$43,3,FALSE),1))</f>
        <v>0.98763256963907298</v>
      </c>
      <c r="BW1583" s="4">
        <f>_xlfn.IFNA(VLOOKUP(Grandview_Inventory[[#This Row],[living_area_range]],Lookups!$F$47:$H$56,3,FALSE),1)</f>
        <v>0.96135087979789358</v>
      </c>
      <c r="BX1583" s="4">
        <f>AVERAGE(Grandview_Inventory[[#This Row],[qual_adj]:[size_adj]])</f>
        <v>0.97361840502967734</v>
      </c>
      <c r="BY1583" s="6">
        <f>IF(Grandview_Inventory[[#This Row],[pre_res]]&lt;0,0,Grandview_Inventory[[#This Row],[pre_res]]*Grandview_Inventory[[#This Row],[overall_adj]])</f>
        <v>271484.75030006538</v>
      </c>
      <c r="BZ1583" s="6">
        <f>(Grandview_Inventory[[#This Row],[sum_land]]-IF(Grandview_Inventory[[#This Row],[no_utilities]]=1,12000,0))/IF(Grandview_Inventory[[#This Row],[unbuildable]]=1,2,1)</f>
        <v>46638.847281240982</v>
      </c>
      <c r="CA158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83">
        <f>ROUND(Grandview_Inventory[[#This Row],[det_value]]*Lookups!$M$28,-2)</f>
        <v>48500</v>
      </c>
      <c r="CC1583">
        <f>IF(ROUND(Grandview_Inventory[[#This Row],[adj_res]]*Lookups!$M$28,-2)&lt;Grandview_Inventory[[#This Row],[min_res]],Grandview_Inventory[[#This Row],[min_res]],ROUND(Grandview_Inventory[[#This Row],[adj_res]]*Lookups!$M$28,-2))</f>
        <v>257900</v>
      </c>
      <c r="CD1583">
        <f>Grandview_Inventory[[#This Row],[final_det]]+Grandview_Inventory[[#This Row],[final_res]]</f>
        <v>306400</v>
      </c>
      <c r="CE1583">
        <f>Grandview_Inventory[[#This Row],[final_land]]+Grandview_Inventory[[#This Row],[final_imp]]+Grandview_Inventory[[#This Row],[crop_value]]</f>
        <v>350700</v>
      </c>
      <c r="CG1583" t="str">
        <f t="shared" si="24"/>
        <v>update valuation set market_land =44300, market_bldg=306400, market_total =350700, market_mdno =401, market_date ='9/10/2023' where link_id = (select link_id from parcel where parcel_year = '2024' and parcel_id = '23092324414');</v>
      </c>
    </row>
    <row r="1584" spans="1:85" x14ac:dyDescent="0.25">
      <c r="A1584">
        <v>23092324415</v>
      </c>
      <c r="B1584">
        <v>0.17</v>
      </c>
      <c r="C1584">
        <v>7574</v>
      </c>
      <c r="D1584" t="s">
        <v>129</v>
      </c>
      <c r="E1584" t="s">
        <v>53</v>
      </c>
      <c r="F1584" t="s">
        <v>53</v>
      </c>
      <c r="G1584">
        <v>4</v>
      </c>
      <c r="H1584" t="s">
        <v>54</v>
      </c>
      <c r="I1584">
        <v>209200</v>
      </c>
      <c r="J1584">
        <v>39300</v>
      </c>
      <c r="K1584">
        <v>0.17</v>
      </c>
      <c r="L158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84">
        <v>0</v>
      </c>
      <c r="N1584">
        <v>0</v>
      </c>
      <c r="O1584">
        <v>0</v>
      </c>
      <c r="P1584">
        <v>13398.7528</v>
      </c>
      <c r="Q1584">
        <v>63903</v>
      </c>
      <c r="R1584">
        <f>(Grandview_Inventory[[#This Row],[ln_acres]]*Grandview_Inventory[[#This Row],[coeff]])+Grandview_Inventory[[#This Row],[const]]</f>
        <v>40160.988302686128</v>
      </c>
      <c r="S1584" t="s">
        <v>68</v>
      </c>
      <c r="T1584">
        <v>1</v>
      </c>
      <c r="U1584" t="s">
        <v>70</v>
      </c>
      <c r="V1584" t="s">
        <v>78</v>
      </c>
      <c r="W1584">
        <v>0</v>
      </c>
      <c r="X1584">
        <v>0</v>
      </c>
      <c r="Y1584">
        <v>50</v>
      </c>
      <c r="Z1584">
        <v>70</v>
      </c>
      <c r="AA1584">
        <v>70</v>
      </c>
      <c r="AB1584">
        <v>2000</v>
      </c>
      <c r="AC1584">
        <v>1533</v>
      </c>
      <c r="AD1584">
        <v>920</v>
      </c>
      <c r="AE1584">
        <v>0</v>
      </c>
      <c r="AF1584">
        <v>0</v>
      </c>
      <c r="AG1584">
        <v>613</v>
      </c>
      <c r="AH1584">
        <v>307</v>
      </c>
      <c r="AI1584">
        <v>0</v>
      </c>
      <c r="AJ1584">
        <v>0</v>
      </c>
      <c r="AK1584">
        <v>374</v>
      </c>
      <c r="AL1584">
        <v>0</v>
      </c>
      <c r="AM1584">
        <v>0</v>
      </c>
      <c r="AN1584">
        <v>0</v>
      </c>
      <c r="AO1584">
        <v>0</v>
      </c>
      <c r="AP1584">
        <v>5</v>
      </c>
      <c r="AQ1584">
        <v>0</v>
      </c>
      <c r="AR1584">
        <v>0</v>
      </c>
      <c r="AS1584" t="s">
        <v>58</v>
      </c>
      <c r="AT1584">
        <v>1</v>
      </c>
      <c r="AU1584" t="s">
        <v>75</v>
      </c>
      <c r="AV1584" t="s">
        <v>60</v>
      </c>
      <c r="AW1584">
        <v>0</v>
      </c>
      <c r="AX1584">
        <v>2</v>
      </c>
      <c r="AY1584">
        <v>0</v>
      </c>
      <c r="AZ1584">
        <v>49800</v>
      </c>
      <c r="BA1584">
        <v>100</v>
      </c>
      <c r="BB1584">
        <v>100</v>
      </c>
      <c r="BC1584">
        <v>100</v>
      </c>
      <c r="BD1584">
        <v>100</v>
      </c>
      <c r="BE1584">
        <v>1</v>
      </c>
      <c r="BF1584">
        <v>15000</v>
      </c>
      <c r="BG1584">
        <v>1000</v>
      </c>
      <c r="BH1584" s="6">
        <f>Grandview_Inventory[[#This Row],[land_extract]]*Lookups!$B$3</f>
        <v>46638.847281240982</v>
      </c>
      <c r="BI1584" s="6">
        <f>IF(Grandview_Inventory[[#This Row],[bldg_style]]="",0,Lookups!$B$2)</f>
        <v>155833.95000000001</v>
      </c>
      <c r="BJ1584" s="6">
        <f>_xlfn.IFNA(VLOOKUP(Grandview_Inventory[[#This Row],[quality]],Lookups!$H$2:$J$14,3,FALSE),0)</f>
        <v>10733</v>
      </c>
      <c r="BK1584" s="6">
        <f>_xlfn.IFNA(VLOOKUP(Grandview_Inventory[[#This Row],[condition]],Lookups!$H$17:$J$24,3,FALSE),0)</f>
        <v>-45357</v>
      </c>
      <c r="BL1584" s="6">
        <f>Grandview_Inventory[[#This Row],[Eff_Age]]*Lookups!$B$14</f>
        <v>-11958.33</v>
      </c>
      <c r="BM1584" s="6">
        <f>Grandview_Inventory[[#This Row],[living_area]]*Lookups!$B$15</f>
        <v>95629.847649000003</v>
      </c>
      <c r="BN1584" s="6">
        <f>Grandview_Inventory[[#This Row],[Fin BSMT]]*Lookups!$B$16</f>
        <v>-16611.83412</v>
      </c>
      <c r="BO1584" s="6">
        <f>(Grandview_Inventory[[#This Row],[att_gar]]+Grandview_Inventory[[#This Row],[bltin_gar]])*Lookups!$B$17</f>
        <v>0</v>
      </c>
      <c r="BP1584" s="6">
        <f>Grandview_Inventory[[#This Row],[Plumbing Fixtures]]*Lookups!$B$18</f>
        <v>10052.209000000001</v>
      </c>
      <c r="BQ1584" s="6">
        <f>Grandview_Inventory[[#This Row],[detatched_value]]*Lookups!$B$19</f>
        <v>42170.893980000001</v>
      </c>
      <c r="BR1584" s="6">
        <f>SUM(Grandview_Inventory[[#This Row],[Intercept]:[det_value]])*Grandview_Inventory[[#This Row],[res_pct]]</f>
        <v>240492.73650899998</v>
      </c>
      <c r="BS1584" s="6">
        <f>Grandview_Inventory[[#This Row],[land_value]]</f>
        <v>46638.847281240982</v>
      </c>
      <c r="BT1584" s="4">
        <f>_xlfn.IFNA(VLOOKUP(Grandview_Inventory[[#This Row],[quality]],Lookups!$A$26:$C$33,3,FALSE),1)</f>
        <v>0.98079741117310582</v>
      </c>
      <c r="BU1584" s="4">
        <f>_xlfn.IFNA(VLOOKUP(Grandview_Inventory[[#This Row],[condition]],Lookups!$A$37:$C$44,3,FALSE),1)</f>
        <v>0.97161819570155394</v>
      </c>
      <c r="BV1584" s="4">
        <f>IF(Grandview_Inventory[[#This Row],[bldg_style]]="",1,_xlfn.IFNA(VLOOKUP(Grandview_Inventory[[#This Row],[decade]],Lookups!$F$29:$H$43,3,FALSE),1))</f>
        <v>0.99472141305414818</v>
      </c>
      <c r="BW1584" s="4">
        <f>_xlfn.IFNA(VLOOKUP(Grandview_Inventory[[#This Row],[living_area_range]],Lookups!$F$47:$H$56,3,FALSE),1)</f>
        <v>0.96120133463014379</v>
      </c>
      <c r="BX1584" s="4">
        <f>AVERAGE(Grandview_Inventory[[#This Row],[qual_adj]:[size_adj]])</f>
        <v>0.97708458863973791</v>
      </c>
      <c r="BY1584" s="6">
        <f>IF(Grandview_Inventory[[#This Row],[pre_res]]&lt;0,0,Grandview_Inventory[[#This Row],[pre_res]]*Grandview_Inventory[[#This Row],[overall_adj]])</f>
        <v>234981.74652274113</v>
      </c>
      <c r="BZ1584" s="6">
        <f>(Grandview_Inventory[[#This Row],[sum_land]]-IF(Grandview_Inventory[[#This Row],[no_utilities]]=1,12000,0))/IF(Grandview_Inventory[[#This Row],[unbuildable]]=1,2,1)</f>
        <v>46638.847281240982</v>
      </c>
      <c r="CA158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84">
        <f>ROUND(Grandview_Inventory[[#This Row],[det_value]]*Lookups!$M$28,-2)</f>
        <v>40100</v>
      </c>
      <c r="CC1584">
        <f>IF(ROUND(Grandview_Inventory[[#This Row],[adj_res]]*Lookups!$M$28,-2)&lt;Grandview_Inventory[[#This Row],[min_res]],Grandview_Inventory[[#This Row],[min_res]],ROUND(Grandview_Inventory[[#This Row],[adj_res]]*Lookups!$M$28,-2))</f>
        <v>223200</v>
      </c>
      <c r="CD1584">
        <f>Grandview_Inventory[[#This Row],[final_det]]+Grandview_Inventory[[#This Row],[final_res]]</f>
        <v>263300</v>
      </c>
      <c r="CE1584">
        <f>Grandview_Inventory[[#This Row],[final_land]]+Grandview_Inventory[[#This Row],[final_imp]]+Grandview_Inventory[[#This Row],[crop_value]]</f>
        <v>307600</v>
      </c>
      <c r="CG1584" t="str">
        <f t="shared" si="24"/>
        <v>update valuation set market_land =44300, market_bldg=263300, market_total =307600, market_mdno =401, market_date ='9/10/2023' where link_id = (select link_id from parcel where parcel_year = '2024' and parcel_id = '23092324415');</v>
      </c>
    </row>
    <row r="1585" spans="1:85" x14ac:dyDescent="0.25">
      <c r="A1585">
        <v>23092324416</v>
      </c>
      <c r="B1585">
        <v>0.16</v>
      </c>
      <c r="C1585">
        <v>6910</v>
      </c>
      <c r="D1585" t="s">
        <v>129</v>
      </c>
      <c r="E1585" t="s">
        <v>53</v>
      </c>
      <c r="F1585" t="s">
        <v>53</v>
      </c>
      <c r="G1585">
        <v>4</v>
      </c>
      <c r="H1585" t="s">
        <v>54</v>
      </c>
      <c r="I1585">
        <v>136400</v>
      </c>
      <c r="J1585">
        <v>39000</v>
      </c>
      <c r="K1585">
        <v>0.16</v>
      </c>
      <c r="L158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85">
        <v>0</v>
      </c>
      <c r="N1585">
        <v>0</v>
      </c>
      <c r="O1585">
        <v>0</v>
      </c>
      <c r="P1585">
        <v>13398.7528</v>
      </c>
      <c r="Q1585">
        <v>63903</v>
      </c>
      <c r="R1585">
        <f>(Grandview_Inventory[[#This Row],[ln_acres]]*Grandview_Inventory[[#This Row],[coeff]])+Grandview_Inventory[[#This Row],[const]]</f>
        <v>39348.693981374228</v>
      </c>
      <c r="S1585" t="s">
        <v>68</v>
      </c>
      <c r="T1585">
        <v>1</v>
      </c>
      <c r="U1585" t="s">
        <v>70</v>
      </c>
      <c r="V1585" t="s">
        <v>69</v>
      </c>
      <c r="W1585">
        <v>0</v>
      </c>
      <c r="X1585">
        <v>0</v>
      </c>
      <c r="Y1585">
        <v>65</v>
      </c>
      <c r="Z1585">
        <v>113</v>
      </c>
      <c r="AA1585">
        <v>120</v>
      </c>
      <c r="AB1585">
        <v>1500</v>
      </c>
      <c r="AC1585">
        <v>1271</v>
      </c>
      <c r="AD1585">
        <v>1271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260</v>
      </c>
      <c r="AN1585">
        <v>96</v>
      </c>
      <c r="AO1585">
        <v>260</v>
      </c>
      <c r="AP1585">
        <v>5</v>
      </c>
      <c r="AQ1585">
        <v>0</v>
      </c>
      <c r="AR1585">
        <v>0</v>
      </c>
      <c r="AS1585" t="s">
        <v>58</v>
      </c>
      <c r="AT1585">
        <v>1</v>
      </c>
      <c r="AU1585" t="s">
        <v>63</v>
      </c>
      <c r="AV1585" t="s">
        <v>64</v>
      </c>
      <c r="AW1585">
        <v>0</v>
      </c>
      <c r="AX1585">
        <v>3</v>
      </c>
      <c r="AY1585">
        <v>0</v>
      </c>
      <c r="AZ1585">
        <v>10400</v>
      </c>
      <c r="BA1585">
        <v>100</v>
      </c>
      <c r="BB1585">
        <v>100</v>
      </c>
      <c r="BC1585">
        <v>100</v>
      </c>
      <c r="BD1585">
        <v>100</v>
      </c>
      <c r="BE1585">
        <v>1</v>
      </c>
      <c r="BF1585">
        <v>15000</v>
      </c>
      <c r="BG1585">
        <v>1000</v>
      </c>
      <c r="BH1585" s="6">
        <f>Grandview_Inventory[[#This Row],[land_extract]]*Lookups!$B$3</f>
        <v>45695.532079096141</v>
      </c>
      <c r="BI1585" s="6">
        <f>IF(Grandview_Inventory[[#This Row],[bldg_style]]="",0,Lookups!$B$2)</f>
        <v>155833.95000000001</v>
      </c>
      <c r="BJ1585" s="6">
        <f>_xlfn.IFNA(VLOOKUP(Grandview_Inventory[[#This Row],[quality]],Lookups!$H$2:$J$14,3,FALSE),0)</f>
        <v>10733</v>
      </c>
      <c r="BK1585" s="6">
        <f>_xlfn.IFNA(VLOOKUP(Grandview_Inventory[[#This Row],[condition]],Lookups!$H$17:$J$24,3,FALSE),0)</f>
        <v>-4503</v>
      </c>
      <c r="BL1585" s="6">
        <f>Grandview_Inventory[[#This Row],[Eff_Age]]*Lookups!$B$14</f>
        <v>-15545.829</v>
      </c>
      <c r="BM1585" s="6">
        <f>Grandview_Inventory[[#This Row],[living_area]]*Lookups!$B$15</f>
        <v>79286.064163000003</v>
      </c>
      <c r="BN1585" s="6">
        <f>Grandview_Inventory[[#This Row],[Fin BSMT]]*Lookups!$B$16</f>
        <v>0</v>
      </c>
      <c r="BO1585" s="6">
        <f>(Grandview_Inventory[[#This Row],[att_gar]]+Grandview_Inventory[[#This Row],[bltin_gar]])*Lookups!$B$17</f>
        <v>0</v>
      </c>
      <c r="BP1585" s="6">
        <f>Grandview_Inventory[[#This Row],[Plumbing Fixtures]]*Lookups!$B$18</f>
        <v>10052.209000000001</v>
      </c>
      <c r="BQ1585" s="6">
        <f>Grandview_Inventory[[#This Row],[detatched_value]]*Lookups!$B$19</f>
        <v>8806.77304</v>
      </c>
      <c r="BR1585" s="6">
        <f>SUM(Grandview_Inventory[[#This Row],[Intercept]:[det_value]])*Grandview_Inventory[[#This Row],[res_pct]]</f>
        <v>244663.16720300002</v>
      </c>
      <c r="BS1585" s="6">
        <f>Grandview_Inventory[[#This Row],[land_value]]</f>
        <v>45695.532079096141</v>
      </c>
      <c r="BT1585" s="4">
        <f>_xlfn.IFNA(VLOOKUP(Grandview_Inventory[[#This Row],[quality]],Lookups!$A$26:$C$33,3,FALSE),1)</f>
        <v>0.98079741117310582</v>
      </c>
      <c r="BU1585" s="4">
        <f>_xlfn.IFNA(VLOOKUP(Grandview_Inventory[[#This Row],[condition]],Lookups!$A$37:$C$44,3,FALSE),1)</f>
        <v>0.96469275950863709</v>
      </c>
      <c r="BV1585" s="4">
        <f>IF(Grandview_Inventory[[#This Row],[bldg_style]]="",1,_xlfn.IFNA(VLOOKUP(Grandview_Inventory[[#This Row],[decade]],Lookups!$F$29:$H$43,3,FALSE),1))</f>
        <v>0.9251738460551937</v>
      </c>
      <c r="BW1585" s="4">
        <f>_xlfn.IFNA(VLOOKUP(Grandview_Inventory[[#This Row],[living_area_range]],Lookups!$F$47:$H$56,3,FALSE),1)</f>
        <v>0.96135087979789358</v>
      </c>
      <c r="BX1585" s="4">
        <f>AVERAGE(Grandview_Inventory[[#This Row],[qual_adj]:[size_adj]])</f>
        <v>0.9580037241337076</v>
      </c>
      <c r="BY1585" s="6">
        <f>IF(Grandview_Inventory[[#This Row],[pre_res]]&lt;0,0,Grandview_Inventory[[#This Row],[pre_res]]*Grandview_Inventory[[#This Row],[overall_adj]])</f>
        <v>234388.225338822</v>
      </c>
      <c r="BZ1585" s="6">
        <f>(Grandview_Inventory[[#This Row],[sum_land]]-IF(Grandview_Inventory[[#This Row],[no_utilities]]=1,12000,0))/IF(Grandview_Inventory[[#This Row],[unbuildable]]=1,2,1)</f>
        <v>45695.532079096141</v>
      </c>
      <c r="CA158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85">
        <f>ROUND(Grandview_Inventory[[#This Row],[det_value]]*Lookups!$M$28,-2)</f>
        <v>8400</v>
      </c>
      <c r="CC1585">
        <f>IF(ROUND(Grandview_Inventory[[#This Row],[adj_res]]*Lookups!$M$28,-2)&lt;Grandview_Inventory[[#This Row],[min_res]],Grandview_Inventory[[#This Row],[min_res]],ROUND(Grandview_Inventory[[#This Row],[adj_res]]*Lookups!$M$28,-2))</f>
        <v>222700</v>
      </c>
      <c r="CD1585">
        <f>Grandview_Inventory[[#This Row],[final_det]]+Grandview_Inventory[[#This Row],[final_res]]</f>
        <v>231100</v>
      </c>
      <c r="CE1585">
        <f>Grandview_Inventory[[#This Row],[final_land]]+Grandview_Inventory[[#This Row],[final_imp]]+Grandview_Inventory[[#This Row],[crop_value]]</f>
        <v>274500</v>
      </c>
      <c r="CG1585" t="str">
        <f t="shared" si="24"/>
        <v>update valuation set market_land =43400, market_bldg=231100, market_total =274500, market_mdno =401, market_date ='9/10/2023' where link_id = (select link_id from parcel where parcel_year = '2024' and parcel_id = '23092324416');</v>
      </c>
    </row>
    <row r="1586" spans="1:85" x14ac:dyDescent="0.25">
      <c r="A1586">
        <v>23092324417</v>
      </c>
      <c r="B1586">
        <v>0.16</v>
      </c>
      <c r="C1586">
        <v>7179</v>
      </c>
      <c r="D1586" t="s">
        <v>129</v>
      </c>
      <c r="E1586" t="s">
        <v>53</v>
      </c>
      <c r="F1586" t="s">
        <v>53</v>
      </c>
      <c r="G1586">
        <v>4</v>
      </c>
      <c r="H1586" t="s">
        <v>54</v>
      </c>
      <c r="I1586">
        <v>166800</v>
      </c>
      <c r="J1586">
        <v>39100</v>
      </c>
      <c r="K1586">
        <v>0.16</v>
      </c>
      <c r="L158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86">
        <v>0</v>
      </c>
      <c r="N1586">
        <v>0</v>
      </c>
      <c r="O1586">
        <v>0</v>
      </c>
      <c r="P1586">
        <v>13398.7528</v>
      </c>
      <c r="Q1586">
        <v>63903</v>
      </c>
      <c r="R1586">
        <f>(Grandview_Inventory[[#This Row],[ln_acres]]*Grandview_Inventory[[#This Row],[coeff]])+Grandview_Inventory[[#This Row],[const]]</f>
        <v>39348.693981374228</v>
      </c>
      <c r="S1586" t="s">
        <v>61</v>
      </c>
      <c r="T1586">
        <v>1</v>
      </c>
      <c r="U1586" t="s">
        <v>70</v>
      </c>
      <c r="V1586" t="s">
        <v>69</v>
      </c>
      <c r="W1586">
        <v>0</v>
      </c>
      <c r="X1586">
        <v>0</v>
      </c>
      <c r="Y1586">
        <v>48</v>
      </c>
      <c r="Z1586">
        <v>63</v>
      </c>
      <c r="AA1586">
        <v>70</v>
      </c>
      <c r="AB1586">
        <v>1500</v>
      </c>
      <c r="AC1586">
        <v>1140</v>
      </c>
      <c r="AD1586">
        <v>1140</v>
      </c>
      <c r="AE1586">
        <v>0</v>
      </c>
      <c r="AF1586">
        <v>0</v>
      </c>
      <c r="AG1586">
        <v>0</v>
      </c>
      <c r="AH1586">
        <v>1105</v>
      </c>
      <c r="AI1586">
        <v>456</v>
      </c>
      <c r="AJ1586">
        <v>0</v>
      </c>
      <c r="AK1586">
        <v>0</v>
      </c>
      <c r="AL1586">
        <v>125</v>
      </c>
      <c r="AM1586">
        <v>0</v>
      </c>
      <c r="AN1586">
        <v>0</v>
      </c>
      <c r="AO1586">
        <v>125</v>
      </c>
      <c r="AP1586">
        <v>8</v>
      </c>
      <c r="AQ1586">
        <v>0</v>
      </c>
      <c r="AR1586">
        <v>0</v>
      </c>
      <c r="AS1586" t="s">
        <v>58</v>
      </c>
      <c r="AT1586">
        <v>1</v>
      </c>
      <c r="AU1586" t="s">
        <v>75</v>
      </c>
      <c r="AV1586" t="s">
        <v>60</v>
      </c>
      <c r="AW1586">
        <v>0</v>
      </c>
      <c r="AX1586">
        <v>2</v>
      </c>
      <c r="AY1586">
        <v>0</v>
      </c>
      <c r="AZ1586">
        <v>0</v>
      </c>
      <c r="BA1586">
        <v>100</v>
      </c>
      <c r="BB1586">
        <v>100</v>
      </c>
      <c r="BC1586">
        <v>100</v>
      </c>
      <c r="BD1586">
        <v>100</v>
      </c>
      <c r="BE1586">
        <v>1</v>
      </c>
      <c r="BF1586">
        <v>15000</v>
      </c>
      <c r="BG1586">
        <v>1000</v>
      </c>
      <c r="BH1586" s="6">
        <f>Grandview_Inventory[[#This Row],[land_extract]]*Lookups!$B$3</f>
        <v>45695.532079096141</v>
      </c>
      <c r="BI1586" s="6">
        <f>IF(Grandview_Inventory[[#This Row],[bldg_style]]="",0,Lookups!$B$2)</f>
        <v>155833.95000000001</v>
      </c>
      <c r="BJ1586" s="6">
        <f>_xlfn.IFNA(VLOOKUP(Grandview_Inventory[[#This Row],[quality]],Lookups!$H$2:$J$14,3,FALSE),0)</f>
        <v>10733</v>
      </c>
      <c r="BK1586" s="6">
        <f>_xlfn.IFNA(VLOOKUP(Grandview_Inventory[[#This Row],[condition]],Lookups!$H$17:$J$24,3,FALSE),0)</f>
        <v>-4503</v>
      </c>
      <c r="BL1586" s="6">
        <f>Grandview_Inventory[[#This Row],[Eff_Age]]*Lookups!$B$14</f>
        <v>-11479.996799999999</v>
      </c>
      <c r="BM1586" s="6">
        <f>Grandview_Inventory[[#This Row],[living_area]]*Lookups!$B$15</f>
        <v>71114.172420000003</v>
      </c>
      <c r="BN1586" s="6">
        <f>Grandview_Inventory[[#This Row],[Fin BSMT]]*Lookups!$B$16</f>
        <v>0</v>
      </c>
      <c r="BO1586" s="6">
        <f>(Grandview_Inventory[[#This Row],[att_gar]]+Grandview_Inventory[[#This Row],[bltin_gar]])*Lookups!$B$17</f>
        <v>39909.319272000001</v>
      </c>
      <c r="BP1586" s="6">
        <f>Grandview_Inventory[[#This Row],[Plumbing Fixtures]]*Lookups!$B$18</f>
        <v>16083.5344</v>
      </c>
      <c r="BQ1586" s="6">
        <f>Grandview_Inventory[[#This Row],[detatched_value]]*Lookups!$B$19</f>
        <v>0</v>
      </c>
      <c r="BR1586" s="6">
        <f>SUM(Grandview_Inventory[[#This Row],[Intercept]:[det_value]])*Grandview_Inventory[[#This Row],[res_pct]]</f>
        <v>277690.979292</v>
      </c>
      <c r="BS1586" s="6">
        <f>Grandview_Inventory[[#This Row],[land_value]]</f>
        <v>45695.532079096141</v>
      </c>
      <c r="BT1586" s="4">
        <f>_xlfn.IFNA(VLOOKUP(Grandview_Inventory[[#This Row],[quality]],Lookups!$A$26:$C$33,3,FALSE),1)</f>
        <v>0.98079741117310582</v>
      </c>
      <c r="BU1586" s="4">
        <f>_xlfn.IFNA(VLOOKUP(Grandview_Inventory[[#This Row],[condition]],Lookups!$A$37:$C$44,3,FALSE),1)</f>
        <v>0.96469275950863709</v>
      </c>
      <c r="BV1586" s="4">
        <f>IF(Grandview_Inventory[[#This Row],[bldg_style]]="",1,_xlfn.IFNA(VLOOKUP(Grandview_Inventory[[#This Row],[decade]],Lookups!$F$29:$H$43,3,FALSE),1))</f>
        <v>0.99472141305414818</v>
      </c>
      <c r="BW1586" s="4">
        <f>_xlfn.IFNA(VLOOKUP(Grandview_Inventory[[#This Row],[living_area_range]],Lookups!$F$47:$H$56,3,FALSE),1)</f>
        <v>0.96135087979789358</v>
      </c>
      <c r="BX1586" s="4">
        <f>AVERAGE(Grandview_Inventory[[#This Row],[qual_adj]:[size_adj]])</f>
        <v>0.97539061588344622</v>
      </c>
      <c r="BY1586" s="6">
        <f>IF(Grandview_Inventory[[#This Row],[pre_res]]&lt;0,0,Grandview_Inventory[[#This Row],[pre_res]]*Grandview_Inventory[[#This Row],[overall_adj]])</f>
        <v>270857.17531690118</v>
      </c>
      <c r="BZ1586" s="6">
        <f>(Grandview_Inventory[[#This Row],[sum_land]]-IF(Grandview_Inventory[[#This Row],[no_utilities]]=1,12000,0))/IF(Grandview_Inventory[[#This Row],[unbuildable]]=1,2,1)</f>
        <v>45695.532079096141</v>
      </c>
      <c r="CA158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86">
        <f>ROUND(Grandview_Inventory[[#This Row],[det_value]]*Lookups!$M$28,-2)</f>
        <v>0</v>
      </c>
      <c r="CC1586">
        <f>IF(ROUND(Grandview_Inventory[[#This Row],[adj_res]]*Lookups!$M$28,-2)&lt;Grandview_Inventory[[#This Row],[min_res]],Grandview_Inventory[[#This Row],[min_res]],ROUND(Grandview_Inventory[[#This Row],[adj_res]]*Lookups!$M$28,-2))</f>
        <v>257300</v>
      </c>
      <c r="CD1586">
        <f>Grandview_Inventory[[#This Row],[final_det]]+Grandview_Inventory[[#This Row],[final_res]]</f>
        <v>257300</v>
      </c>
      <c r="CE1586">
        <f>Grandview_Inventory[[#This Row],[final_land]]+Grandview_Inventory[[#This Row],[final_imp]]+Grandview_Inventory[[#This Row],[crop_value]]</f>
        <v>300700</v>
      </c>
      <c r="CG1586" t="str">
        <f t="shared" si="24"/>
        <v>update valuation set market_land =43400, market_bldg=257300, market_total =300700, market_mdno =401, market_date ='9/10/2023' where link_id = (select link_id from parcel where parcel_year = '2024' and parcel_id = '23092324417');</v>
      </c>
    </row>
    <row r="1587" spans="1:85" x14ac:dyDescent="0.25">
      <c r="A1587">
        <v>23092324418</v>
      </c>
      <c r="B1587">
        <v>0.18</v>
      </c>
      <c r="C1587">
        <v>7704</v>
      </c>
      <c r="D1587" t="s">
        <v>129</v>
      </c>
      <c r="E1587" t="s">
        <v>53</v>
      </c>
      <c r="F1587" t="s">
        <v>53</v>
      </c>
      <c r="G1587">
        <v>4</v>
      </c>
      <c r="H1587" t="s">
        <v>54</v>
      </c>
      <c r="I1587">
        <v>196600</v>
      </c>
      <c r="J1587">
        <v>39300</v>
      </c>
      <c r="K1587">
        <v>0.18</v>
      </c>
      <c r="L158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87">
        <v>0</v>
      </c>
      <c r="N1587">
        <v>0</v>
      </c>
      <c r="O1587">
        <v>0</v>
      </c>
      <c r="P1587">
        <v>13398.7528</v>
      </c>
      <c r="Q1587">
        <v>63903</v>
      </c>
      <c r="R1587">
        <f>(Grandview_Inventory[[#This Row],[ln_acres]]*Grandview_Inventory[[#This Row],[coeff]])+Grandview_Inventory[[#This Row],[const]]</f>
        <v>40926.839760167699</v>
      </c>
      <c r="S1587" t="s">
        <v>55</v>
      </c>
      <c r="T1587">
        <v>2</v>
      </c>
      <c r="U1587" t="s">
        <v>70</v>
      </c>
      <c r="V1587" t="s">
        <v>69</v>
      </c>
      <c r="W1587">
        <v>0</v>
      </c>
      <c r="X1587">
        <v>0</v>
      </c>
      <c r="Y1587">
        <v>52</v>
      </c>
      <c r="Z1587">
        <v>88</v>
      </c>
      <c r="AA1587">
        <v>90</v>
      </c>
      <c r="AB1587">
        <v>2000</v>
      </c>
      <c r="AC1587">
        <v>1528</v>
      </c>
      <c r="AD1587">
        <v>1008</v>
      </c>
      <c r="AE1587">
        <v>520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273</v>
      </c>
      <c r="AL1587">
        <v>240</v>
      </c>
      <c r="AM1587">
        <v>0</v>
      </c>
      <c r="AN1587">
        <v>0</v>
      </c>
      <c r="AO1587">
        <v>0</v>
      </c>
      <c r="AP1587">
        <v>8</v>
      </c>
      <c r="AQ1587">
        <v>0</v>
      </c>
      <c r="AR1587">
        <v>1</v>
      </c>
      <c r="AS1587" t="s">
        <v>58</v>
      </c>
      <c r="AT1587">
        <v>1</v>
      </c>
      <c r="AU1587" t="s">
        <v>63</v>
      </c>
      <c r="AV1587" t="s">
        <v>60</v>
      </c>
      <c r="AW1587">
        <v>0</v>
      </c>
      <c r="AX1587">
        <v>4</v>
      </c>
      <c r="AY1587">
        <v>0</v>
      </c>
      <c r="AZ1587">
        <v>7800</v>
      </c>
      <c r="BA1587">
        <v>100</v>
      </c>
      <c r="BB1587">
        <v>100</v>
      </c>
      <c r="BC1587">
        <v>100</v>
      </c>
      <c r="BD1587">
        <v>100</v>
      </c>
      <c r="BE1587">
        <v>1</v>
      </c>
      <c r="BF1587">
        <v>15000</v>
      </c>
      <c r="BG1587">
        <v>1000</v>
      </c>
      <c r="BH1587" s="6">
        <f>Grandview_Inventory[[#This Row],[land_extract]]*Lookups!$B$3</f>
        <v>47528.228511015397</v>
      </c>
      <c r="BI1587" s="6">
        <f>IF(Grandview_Inventory[[#This Row],[bldg_style]]="",0,Lookups!$B$2)</f>
        <v>155833.95000000001</v>
      </c>
      <c r="BJ1587" s="6">
        <f>_xlfn.IFNA(VLOOKUP(Grandview_Inventory[[#This Row],[quality]],Lookups!$H$2:$J$14,3,FALSE),0)</f>
        <v>10733</v>
      </c>
      <c r="BK1587" s="6">
        <f>_xlfn.IFNA(VLOOKUP(Grandview_Inventory[[#This Row],[condition]],Lookups!$H$17:$J$24,3,FALSE),0)</f>
        <v>-4503</v>
      </c>
      <c r="BL1587" s="6">
        <f>Grandview_Inventory[[#This Row],[Eff_Age]]*Lookups!$B$14</f>
        <v>-12436.663199999999</v>
      </c>
      <c r="BM1587" s="6">
        <f>Grandview_Inventory[[#This Row],[living_area]]*Lookups!$B$15</f>
        <v>95317.943383999998</v>
      </c>
      <c r="BN1587" s="6">
        <f>Grandview_Inventory[[#This Row],[Fin BSMT]]*Lookups!$B$16</f>
        <v>0</v>
      </c>
      <c r="BO1587" s="6">
        <f>(Grandview_Inventory[[#This Row],[att_gar]]+Grandview_Inventory[[#This Row],[bltin_gar]])*Lookups!$B$17</f>
        <v>0</v>
      </c>
      <c r="BP1587" s="6">
        <f>Grandview_Inventory[[#This Row],[Plumbing Fixtures]]*Lookups!$B$18</f>
        <v>16083.5344</v>
      </c>
      <c r="BQ1587" s="6">
        <f>Grandview_Inventory[[#This Row],[detatched_value]]*Lookups!$B$19</f>
        <v>6605.07978</v>
      </c>
      <c r="BR1587" s="6">
        <f>SUM(Grandview_Inventory[[#This Row],[Intercept]:[det_value]])*Grandview_Inventory[[#This Row],[res_pct]]</f>
        <v>267633.84436400002</v>
      </c>
      <c r="BS1587" s="6">
        <f>Grandview_Inventory[[#This Row],[land_value]]</f>
        <v>47528.228511015397</v>
      </c>
      <c r="BT1587" s="4">
        <f>_xlfn.IFNA(VLOOKUP(Grandview_Inventory[[#This Row],[quality]],Lookups!$A$26:$C$33,3,FALSE),1)</f>
        <v>0.98079741117310582</v>
      </c>
      <c r="BU1587" s="4">
        <f>_xlfn.IFNA(VLOOKUP(Grandview_Inventory[[#This Row],[condition]],Lookups!$A$37:$C$44,3,FALSE),1)</f>
        <v>0.96469275950863709</v>
      </c>
      <c r="BV1587" s="4">
        <f>IF(Grandview_Inventory[[#This Row],[bldg_style]]="",1,_xlfn.IFNA(VLOOKUP(Grandview_Inventory[[#This Row],[decade]],Lookups!$F$29:$H$43,3,FALSE),1))</f>
        <v>0.94161750052457416</v>
      </c>
      <c r="BW1587" s="4">
        <f>_xlfn.IFNA(VLOOKUP(Grandview_Inventory[[#This Row],[living_area_range]],Lookups!$F$47:$H$56,3,FALSE),1)</f>
        <v>0.96120133463014379</v>
      </c>
      <c r="BX1587" s="4">
        <f>AVERAGE(Grandview_Inventory[[#This Row],[qual_adj]:[size_adj]])</f>
        <v>0.96207725145911516</v>
      </c>
      <c r="BY1587" s="6">
        <f>IF(Grandview_Inventory[[#This Row],[pre_res]]&lt;0,0,Grandview_Inventory[[#This Row],[pre_res]]*Grandview_Inventory[[#This Row],[overall_adj]])</f>
        <v>257484.43338315372</v>
      </c>
      <c r="BZ1587" s="6">
        <f>(Grandview_Inventory[[#This Row],[sum_land]]-IF(Grandview_Inventory[[#This Row],[no_utilities]]=1,12000,0))/IF(Grandview_Inventory[[#This Row],[unbuildable]]=1,2,1)</f>
        <v>47528.228511015397</v>
      </c>
      <c r="CA158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87">
        <f>ROUND(Grandview_Inventory[[#This Row],[det_value]]*Lookups!$M$28,-2)</f>
        <v>6300</v>
      </c>
      <c r="CC1587">
        <f>IF(ROUND(Grandview_Inventory[[#This Row],[adj_res]]*Lookups!$M$28,-2)&lt;Grandview_Inventory[[#This Row],[min_res]],Grandview_Inventory[[#This Row],[min_res]],ROUND(Grandview_Inventory[[#This Row],[adj_res]]*Lookups!$M$28,-2))</f>
        <v>244600</v>
      </c>
      <c r="CD1587">
        <f>Grandview_Inventory[[#This Row],[final_det]]+Grandview_Inventory[[#This Row],[final_res]]</f>
        <v>250900</v>
      </c>
      <c r="CE1587">
        <f>Grandview_Inventory[[#This Row],[final_land]]+Grandview_Inventory[[#This Row],[final_imp]]+Grandview_Inventory[[#This Row],[crop_value]]</f>
        <v>296100</v>
      </c>
      <c r="CG1587" t="str">
        <f t="shared" si="24"/>
        <v>update valuation set market_land =45200, market_bldg=250900, market_total =296100, market_mdno =401, market_date ='9/10/2023' where link_id = (select link_id from parcel where parcel_year = '2024' and parcel_id = '23092324418');</v>
      </c>
    </row>
    <row r="1588" spans="1:85" x14ac:dyDescent="0.25">
      <c r="A1588">
        <v>23092324419</v>
      </c>
      <c r="B1588">
        <v>0.16</v>
      </c>
      <c r="C1588">
        <v>7000</v>
      </c>
      <c r="D1588" t="s">
        <v>129</v>
      </c>
      <c r="E1588" t="s">
        <v>53</v>
      </c>
      <c r="F1588" t="s">
        <v>53</v>
      </c>
      <c r="G1588">
        <v>4</v>
      </c>
      <c r="H1588" t="s">
        <v>54</v>
      </c>
      <c r="I1588">
        <v>103100</v>
      </c>
      <c r="J1588">
        <v>39300</v>
      </c>
      <c r="K1588">
        <v>0.16</v>
      </c>
      <c r="L158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88">
        <v>0</v>
      </c>
      <c r="N1588">
        <v>0</v>
      </c>
      <c r="O1588">
        <v>0</v>
      </c>
      <c r="P1588">
        <v>13398.7528</v>
      </c>
      <c r="Q1588">
        <v>63903</v>
      </c>
      <c r="R1588">
        <f>(Grandview_Inventory[[#This Row],[ln_acres]]*Grandview_Inventory[[#This Row],[coeff]])+Grandview_Inventory[[#This Row],[const]]</f>
        <v>39348.693981374228</v>
      </c>
      <c r="S1588" t="s">
        <v>68</v>
      </c>
      <c r="T1588">
        <v>1</v>
      </c>
      <c r="U1588" t="s">
        <v>83</v>
      </c>
      <c r="V1588" t="s">
        <v>69</v>
      </c>
      <c r="W1588">
        <v>0</v>
      </c>
      <c r="X1588">
        <v>0</v>
      </c>
      <c r="Y1588">
        <v>51</v>
      </c>
      <c r="Z1588">
        <v>83</v>
      </c>
      <c r="AA1588">
        <v>90</v>
      </c>
      <c r="AB1588">
        <v>1000</v>
      </c>
      <c r="AC1588">
        <v>740</v>
      </c>
      <c r="AD1588">
        <v>740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5</v>
      </c>
      <c r="AQ1588">
        <v>0</v>
      </c>
      <c r="AR1588">
        <v>0</v>
      </c>
      <c r="AS1588" t="s">
        <v>58</v>
      </c>
      <c r="AT1588">
        <v>1</v>
      </c>
      <c r="AU1588" t="s">
        <v>63</v>
      </c>
      <c r="AV1588" t="s">
        <v>81</v>
      </c>
      <c r="AW1588">
        <v>0</v>
      </c>
      <c r="AX1588">
        <v>1</v>
      </c>
      <c r="AY1588">
        <v>0</v>
      </c>
      <c r="AZ1588">
        <v>4400</v>
      </c>
      <c r="BA1588">
        <v>100</v>
      </c>
      <c r="BB1588">
        <v>100</v>
      </c>
      <c r="BC1588">
        <v>100</v>
      </c>
      <c r="BD1588">
        <v>100</v>
      </c>
      <c r="BE1588">
        <v>1</v>
      </c>
      <c r="BF1588">
        <v>15000</v>
      </c>
      <c r="BG1588">
        <v>1000</v>
      </c>
      <c r="BH1588" s="6">
        <f>Grandview_Inventory[[#This Row],[land_extract]]*Lookups!$B$3</f>
        <v>45695.532079096141</v>
      </c>
      <c r="BI1588" s="6">
        <f>IF(Grandview_Inventory[[#This Row],[bldg_style]]="",0,Lookups!$B$2)</f>
        <v>155833.95000000001</v>
      </c>
      <c r="BJ1588" s="6">
        <f>_xlfn.IFNA(VLOOKUP(Grandview_Inventory[[#This Row],[quality]],Lookups!$H$2:$J$14,3,FALSE),0)</f>
        <v>-28558</v>
      </c>
      <c r="BK1588" s="6">
        <f>_xlfn.IFNA(VLOOKUP(Grandview_Inventory[[#This Row],[condition]],Lookups!$H$17:$J$24,3,FALSE),0)</f>
        <v>-4503</v>
      </c>
      <c r="BL1588" s="6">
        <f>Grandview_Inventory[[#This Row],[Eff_Age]]*Lookups!$B$14</f>
        <v>-12197.496599999999</v>
      </c>
      <c r="BM1588" s="6">
        <f>Grandview_Inventory[[#This Row],[living_area]]*Lookups!$B$15</f>
        <v>46161.83122</v>
      </c>
      <c r="BN1588" s="6">
        <f>Grandview_Inventory[[#This Row],[Fin BSMT]]*Lookups!$B$16</f>
        <v>0</v>
      </c>
      <c r="BO1588" s="6">
        <f>(Grandview_Inventory[[#This Row],[att_gar]]+Grandview_Inventory[[#This Row],[bltin_gar]])*Lookups!$B$17</f>
        <v>0</v>
      </c>
      <c r="BP1588" s="6">
        <f>Grandview_Inventory[[#This Row],[Plumbing Fixtures]]*Lookups!$B$18</f>
        <v>10052.209000000001</v>
      </c>
      <c r="BQ1588" s="6">
        <f>Grandview_Inventory[[#This Row],[detatched_value]]*Lookups!$B$19</f>
        <v>3725.9424399999998</v>
      </c>
      <c r="BR1588" s="6">
        <f>SUM(Grandview_Inventory[[#This Row],[Intercept]:[det_value]])*Grandview_Inventory[[#This Row],[res_pct]]</f>
        <v>170515.43606000004</v>
      </c>
      <c r="BS1588" s="6">
        <f>Grandview_Inventory[[#This Row],[land_value]]</f>
        <v>45695.532079096141</v>
      </c>
      <c r="BT1588" s="4">
        <f>_xlfn.IFNA(VLOOKUP(Grandview_Inventory[[#This Row],[quality]],Lookups!$A$26:$C$33,3,FALSE),1)</f>
        <v>0.96329552998502799</v>
      </c>
      <c r="BU1588" s="4">
        <f>_xlfn.IFNA(VLOOKUP(Grandview_Inventory[[#This Row],[condition]],Lookups!$A$37:$C$44,3,FALSE),1)</f>
        <v>0.96469275950863709</v>
      </c>
      <c r="BV1588" s="4">
        <f>IF(Grandview_Inventory[[#This Row],[bldg_style]]="",1,_xlfn.IFNA(VLOOKUP(Grandview_Inventory[[#This Row],[decade]],Lookups!$F$29:$H$43,3,FALSE),1))</f>
        <v>0.94161750052457416</v>
      </c>
      <c r="BW1588" s="4">
        <f>_xlfn.IFNA(VLOOKUP(Grandview_Inventory[[#This Row],[living_area_range]],Lookups!$F$47:$H$56,3,FALSE),1)</f>
        <v>0.94306777142782894</v>
      </c>
      <c r="BX1588" s="4">
        <f>AVERAGE(Grandview_Inventory[[#This Row],[qual_adj]:[size_adj]])</f>
        <v>0.95316839036151702</v>
      </c>
      <c r="BY1588" s="6">
        <f>IF(Grandview_Inventory[[#This Row],[pre_res]]&lt;0,0,Grandview_Inventory[[#This Row],[pre_res]]*Grandview_Inventory[[#This Row],[overall_adj]])</f>
        <v>162529.92372110242</v>
      </c>
      <c r="BZ1588" s="6">
        <f>(Grandview_Inventory[[#This Row],[sum_land]]-IF(Grandview_Inventory[[#This Row],[no_utilities]]=1,12000,0))/IF(Grandview_Inventory[[#This Row],[unbuildable]]=1,2,1)</f>
        <v>45695.532079096141</v>
      </c>
      <c r="CA158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88">
        <f>ROUND(Grandview_Inventory[[#This Row],[det_value]]*Lookups!$M$28,-2)</f>
        <v>3500</v>
      </c>
      <c r="CC1588">
        <f>IF(ROUND(Grandview_Inventory[[#This Row],[adj_res]]*Lookups!$M$28,-2)&lt;Grandview_Inventory[[#This Row],[min_res]],Grandview_Inventory[[#This Row],[min_res]],ROUND(Grandview_Inventory[[#This Row],[adj_res]]*Lookups!$M$28,-2))</f>
        <v>154400</v>
      </c>
      <c r="CD1588">
        <f>Grandview_Inventory[[#This Row],[final_det]]+Grandview_Inventory[[#This Row],[final_res]]</f>
        <v>157900</v>
      </c>
      <c r="CE1588">
        <f>Grandview_Inventory[[#This Row],[final_land]]+Grandview_Inventory[[#This Row],[final_imp]]+Grandview_Inventory[[#This Row],[crop_value]]</f>
        <v>201300</v>
      </c>
      <c r="CG1588" t="str">
        <f t="shared" si="24"/>
        <v>update valuation set market_land =43400, market_bldg=157900, market_total =201300, market_mdno =401, market_date ='9/10/2023' where link_id = (select link_id from parcel where parcel_year = '2024' and parcel_id = '23092324419');</v>
      </c>
    </row>
    <row r="1589" spans="1:85" x14ac:dyDescent="0.25">
      <c r="A1589">
        <v>23092324420</v>
      </c>
      <c r="B1589">
        <v>0.17</v>
      </c>
      <c r="C1589">
        <v>7487</v>
      </c>
      <c r="D1589" t="s">
        <v>129</v>
      </c>
      <c r="E1589" t="s">
        <v>53</v>
      </c>
      <c r="F1589" t="s">
        <v>53</v>
      </c>
      <c r="G1589">
        <v>4</v>
      </c>
      <c r="H1589" t="s">
        <v>54</v>
      </c>
      <c r="I1589">
        <v>114600</v>
      </c>
      <c r="J1589">
        <v>39300</v>
      </c>
      <c r="K1589">
        <v>0.17</v>
      </c>
      <c r="L158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89">
        <v>0</v>
      </c>
      <c r="N1589">
        <v>0</v>
      </c>
      <c r="O1589">
        <v>0</v>
      </c>
      <c r="P1589">
        <v>13398.7528</v>
      </c>
      <c r="Q1589">
        <v>63903</v>
      </c>
      <c r="R1589">
        <f>(Grandview_Inventory[[#This Row],[ln_acres]]*Grandview_Inventory[[#This Row],[coeff]])+Grandview_Inventory[[#This Row],[const]]</f>
        <v>40160.988302686128</v>
      </c>
      <c r="S1589" t="s">
        <v>68</v>
      </c>
      <c r="T1589">
        <v>1</v>
      </c>
      <c r="U1589" t="s">
        <v>80</v>
      </c>
      <c r="V1589" t="s">
        <v>69</v>
      </c>
      <c r="W1589">
        <v>0</v>
      </c>
      <c r="X1589">
        <v>0</v>
      </c>
      <c r="Y1589">
        <v>52</v>
      </c>
      <c r="Z1589">
        <v>88</v>
      </c>
      <c r="AA1589">
        <v>90</v>
      </c>
      <c r="AB1589">
        <v>1500</v>
      </c>
      <c r="AC1589">
        <v>1099</v>
      </c>
      <c r="AD1589">
        <v>912</v>
      </c>
      <c r="AE1589">
        <v>0</v>
      </c>
      <c r="AF1589">
        <v>0</v>
      </c>
      <c r="AG1589">
        <v>187</v>
      </c>
      <c r="AH1589">
        <v>437</v>
      </c>
      <c r="AI1589">
        <v>0</v>
      </c>
      <c r="AJ1589">
        <v>0</v>
      </c>
      <c r="AK1589">
        <v>112</v>
      </c>
      <c r="AL1589">
        <v>0</v>
      </c>
      <c r="AM1589">
        <v>0</v>
      </c>
      <c r="AN1589">
        <v>30</v>
      </c>
      <c r="AO1589">
        <v>0</v>
      </c>
      <c r="AP1589">
        <v>5</v>
      </c>
      <c r="AQ1589">
        <v>0</v>
      </c>
      <c r="AR1589">
        <v>0</v>
      </c>
      <c r="AS1589" t="s">
        <v>58</v>
      </c>
      <c r="AT1589">
        <v>1</v>
      </c>
      <c r="AU1589" t="s">
        <v>59</v>
      </c>
      <c r="AV1589" t="s">
        <v>60</v>
      </c>
      <c r="AW1589">
        <v>1</v>
      </c>
      <c r="AX1589">
        <v>2</v>
      </c>
      <c r="AY1589">
        <v>0</v>
      </c>
      <c r="AZ1589">
        <v>0</v>
      </c>
      <c r="BA1589">
        <v>100</v>
      </c>
      <c r="BB1589">
        <v>100</v>
      </c>
      <c r="BC1589">
        <v>100</v>
      </c>
      <c r="BD1589">
        <v>100</v>
      </c>
      <c r="BE1589">
        <v>1</v>
      </c>
      <c r="BF1589">
        <v>15000</v>
      </c>
      <c r="BG1589">
        <v>1000</v>
      </c>
      <c r="BH1589" s="6">
        <f>Grandview_Inventory[[#This Row],[land_extract]]*Lookups!$B$3</f>
        <v>46638.847281240982</v>
      </c>
      <c r="BI1589" s="6">
        <f>IF(Grandview_Inventory[[#This Row],[bldg_style]]="",0,Lookups!$B$2)</f>
        <v>155833.95000000001</v>
      </c>
      <c r="BJ1589" s="6">
        <f>_xlfn.IFNA(VLOOKUP(Grandview_Inventory[[#This Row],[quality]],Lookups!$H$2:$J$14,3,FALSE),0)</f>
        <v>-28558</v>
      </c>
      <c r="BK1589" s="6">
        <f>_xlfn.IFNA(VLOOKUP(Grandview_Inventory[[#This Row],[condition]],Lookups!$H$17:$J$24,3,FALSE),0)</f>
        <v>-4503</v>
      </c>
      <c r="BL1589" s="6">
        <f>Grandview_Inventory[[#This Row],[Eff_Age]]*Lookups!$B$14</f>
        <v>-12436.663199999999</v>
      </c>
      <c r="BM1589" s="6">
        <f>Grandview_Inventory[[#This Row],[living_area]]*Lookups!$B$15</f>
        <v>68556.557446999999</v>
      </c>
      <c r="BN1589" s="6">
        <f>Grandview_Inventory[[#This Row],[Fin BSMT]]*Lookups!$B$16</f>
        <v>-5067.5578800000003</v>
      </c>
      <c r="BO1589" s="6">
        <f>(Grandview_Inventory[[#This Row],[att_gar]]+Grandview_Inventory[[#This Row],[bltin_gar]])*Lookups!$B$17</f>
        <v>0</v>
      </c>
      <c r="BP1589" s="6">
        <f>Grandview_Inventory[[#This Row],[Plumbing Fixtures]]*Lookups!$B$18</f>
        <v>10052.209000000001</v>
      </c>
      <c r="BQ1589" s="6">
        <f>Grandview_Inventory[[#This Row],[detatched_value]]*Lookups!$B$19</f>
        <v>0</v>
      </c>
      <c r="BR1589" s="6">
        <f>SUM(Grandview_Inventory[[#This Row],[Intercept]:[det_value]])*Grandview_Inventory[[#This Row],[res_pct]]</f>
        <v>183877.495367</v>
      </c>
      <c r="BS1589" s="6">
        <f>Grandview_Inventory[[#This Row],[land_value]]</f>
        <v>46638.847281240982</v>
      </c>
      <c r="BT1589" s="4">
        <f>_xlfn.IFNA(VLOOKUP(Grandview_Inventory[[#This Row],[quality]],Lookups!$A$26:$C$33,3,FALSE),1)</f>
        <v>0.9690360070159818</v>
      </c>
      <c r="BU1589" s="4">
        <f>_xlfn.IFNA(VLOOKUP(Grandview_Inventory[[#This Row],[condition]],Lookups!$A$37:$C$44,3,FALSE),1)</f>
        <v>0.96469275950863709</v>
      </c>
      <c r="BV1589" s="4">
        <f>IF(Grandview_Inventory[[#This Row],[bldg_style]]="",1,_xlfn.IFNA(VLOOKUP(Grandview_Inventory[[#This Row],[decade]],Lookups!$F$29:$H$43,3,FALSE),1))</f>
        <v>0.94161750052457416</v>
      </c>
      <c r="BW1589" s="4">
        <f>_xlfn.IFNA(VLOOKUP(Grandview_Inventory[[#This Row],[living_area_range]],Lookups!$F$47:$H$56,3,FALSE),1)</f>
        <v>0.96135087979789358</v>
      </c>
      <c r="BX1589" s="4">
        <f>AVERAGE(Grandview_Inventory[[#This Row],[qual_adj]:[size_adj]])</f>
        <v>0.95917428671177163</v>
      </c>
      <c r="BY1589" s="6">
        <f>IF(Grandview_Inventory[[#This Row],[pre_res]]&lt;0,0,Grandview_Inventory[[#This Row],[pre_res]]*Grandview_Inventory[[#This Row],[overall_adj]])</f>
        <v>176370.56546098931</v>
      </c>
      <c r="BZ1589" s="6">
        <f>(Grandview_Inventory[[#This Row],[sum_land]]-IF(Grandview_Inventory[[#This Row],[no_utilities]]=1,12000,0))/IF(Grandview_Inventory[[#This Row],[unbuildable]]=1,2,1)</f>
        <v>46638.847281240982</v>
      </c>
      <c r="CA158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89">
        <f>ROUND(Grandview_Inventory[[#This Row],[det_value]]*Lookups!$M$28,-2)</f>
        <v>0</v>
      </c>
      <c r="CC1589">
        <f>IF(ROUND(Grandview_Inventory[[#This Row],[adj_res]]*Lookups!$M$28,-2)&lt;Grandview_Inventory[[#This Row],[min_res]],Grandview_Inventory[[#This Row],[min_res]],ROUND(Grandview_Inventory[[#This Row],[adj_res]]*Lookups!$M$28,-2))</f>
        <v>167600</v>
      </c>
      <c r="CD1589">
        <f>Grandview_Inventory[[#This Row],[final_det]]+Grandview_Inventory[[#This Row],[final_res]]</f>
        <v>167600</v>
      </c>
      <c r="CE1589">
        <f>Grandview_Inventory[[#This Row],[final_land]]+Grandview_Inventory[[#This Row],[final_imp]]+Grandview_Inventory[[#This Row],[crop_value]]</f>
        <v>211900</v>
      </c>
      <c r="CG1589" t="str">
        <f t="shared" si="24"/>
        <v>update valuation set market_land =44300, market_bldg=167600, market_total =211900, market_mdno =401, market_date ='9/10/2023' where link_id = (select link_id from parcel where parcel_year = '2024' and parcel_id = '23092324420');</v>
      </c>
    </row>
    <row r="1590" spans="1:85" x14ac:dyDescent="0.25">
      <c r="A1590">
        <v>23092324422</v>
      </c>
      <c r="B1590">
        <v>0.16</v>
      </c>
      <c r="C1590">
        <v>6974</v>
      </c>
      <c r="D1590" t="s">
        <v>129</v>
      </c>
      <c r="E1590" t="s">
        <v>53</v>
      </c>
      <c r="F1590" t="s">
        <v>53</v>
      </c>
      <c r="G1590">
        <v>4</v>
      </c>
      <c r="H1590" t="s">
        <v>54</v>
      </c>
      <c r="I1590">
        <v>117000</v>
      </c>
      <c r="J1590">
        <v>39100</v>
      </c>
      <c r="K1590">
        <v>0.16</v>
      </c>
      <c r="L159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90">
        <v>0</v>
      </c>
      <c r="N1590">
        <v>0</v>
      </c>
      <c r="O1590">
        <v>0</v>
      </c>
      <c r="P1590">
        <v>13398.7528</v>
      </c>
      <c r="Q1590">
        <v>63903</v>
      </c>
      <c r="R1590">
        <f>(Grandview_Inventory[[#This Row],[ln_acres]]*Grandview_Inventory[[#This Row],[coeff]])+Grandview_Inventory[[#This Row],[const]]</f>
        <v>39348.693981374228</v>
      </c>
      <c r="S1590" t="s">
        <v>68</v>
      </c>
      <c r="T1590">
        <v>1</v>
      </c>
      <c r="U1590" t="s">
        <v>80</v>
      </c>
      <c r="V1590" t="s">
        <v>69</v>
      </c>
      <c r="W1590">
        <v>0</v>
      </c>
      <c r="X1590">
        <v>0</v>
      </c>
      <c r="Y1590">
        <v>52</v>
      </c>
      <c r="Z1590">
        <v>88</v>
      </c>
      <c r="AA1590">
        <v>90</v>
      </c>
      <c r="AB1590">
        <v>1000</v>
      </c>
      <c r="AC1590">
        <v>720</v>
      </c>
      <c r="AD1590">
        <v>720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180</v>
      </c>
      <c r="AN1590">
        <v>0</v>
      </c>
      <c r="AO1590">
        <v>180</v>
      </c>
      <c r="AP1590">
        <v>5</v>
      </c>
      <c r="AQ1590">
        <v>1</v>
      </c>
      <c r="AR1590">
        <v>0</v>
      </c>
      <c r="AS1590" t="s">
        <v>71</v>
      </c>
      <c r="AT1590">
        <v>1</v>
      </c>
      <c r="AU1590" t="s">
        <v>59</v>
      </c>
      <c r="AV1590" t="s">
        <v>60</v>
      </c>
      <c r="AW1590">
        <v>1</v>
      </c>
      <c r="AX1590">
        <v>2</v>
      </c>
      <c r="AY1590">
        <v>0</v>
      </c>
      <c r="AZ1590">
        <v>0</v>
      </c>
      <c r="BA1590">
        <v>100</v>
      </c>
      <c r="BB1590">
        <v>100</v>
      </c>
      <c r="BC1590">
        <v>100</v>
      </c>
      <c r="BD1590">
        <v>100</v>
      </c>
      <c r="BE1590">
        <v>1</v>
      </c>
      <c r="BF1590">
        <v>15000</v>
      </c>
      <c r="BG1590">
        <v>1000</v>
      </c>
      <c r="BH1590" s="6">
        <f>Grandview_Inventory[[#This Row],[land_extract]]*Lookups!$B$3</f>
        <v>45695.532079096141</v>
      </c>
      <c r="BI1590" s="6">
        <f>IF(Grandview_Inventory[[#This Row],[bldg_style]]="",0,Lookups!$B$2)</f>
        <v>155833.95000000001</v>
      </c>
      <c r="BJ1590" s="6">
        <f>_xlfn.IFNA(VLOOKUP(Grandview_Inventory[[#This Row],[quality]],Lookups!$H$2:$J$14,3,FALSE),0)</f>
        <v>-28558</v>
      </c>
      <c r="BK1590" s="6">
        <f>_xlfn.IFNA(VLOOKUP(Grandview_Inventory[[#This Row],[condition]],Lookups!$H$17:$J$24,3,FALSE),0)</f>
        <v>-4503</v>
      </c>
      <c r="BL1590" s="6">
        <f>Grandview_Inventory[[#This Row],[Eff_Age]]*Lookups!$B$14</f>
        <v>-12436.663199999999</v>
      </c>
      <c r="BM1590" s="6">
        <f>Grandview_Inventory[[#This Row],[living_area]]*Lookups!$B$15</f>
        <v>44914.214160000003</v>
      </c>
      <c r="BN1590" s="6">
        <f>Grandview_Inventory[[#This Row],[Fin BSMT]]*Lookups!$B$16</f>
        <v>0</v>
      </c>
      <c r="BO1590" s="6">
        <f>(Grandview_Inventory[[#This Row],[att_gar]]+Grandview_Inventory[[#This Row],[bltin_gar]])*Lookups!$B$17</f>
        <v>0</v>
      </c>
      <c r="BP1590" s="6">
        <f>Grandview_Inventory[[#This Row],[Plumbing Fixtures]]*Lookups!$B$18</f>
        <v>10052.209000000001</v>
      </c>
      <c r="BQ1590" s="6">
        <f>Grandview_Inventory[[#This Row],[detatched_value]]*Lookups!$B$19</f>
        <v>0</v>
      </c>
      <c r="BR1590" s="6">
        <f>SUM(Grandview_Inventory[[#This Row],[Intercept]:[det_value]])*Grandview_Inventory[[#This Row],[res_pct]]</f>
        <v>165302.70996000004</v>
      </c>
      <c r="BS1590" s="6">
        <f>Grandview_Inventory[[#This Row],[land_value]]</f>
        <v>45695.532079096141</v>
      </c>
      <c r="BT1590" s="4">
        <f>_xlfn.IFNA(VLOOKUP(Grandview_Inventory[[#This Row],[quality]],Lookups!$A$26:$C$33,3,FALSE),1)</f>
        <v>0.9690360070159818</v>
      </c>
      <c r="BU1590" s="4">
        <f>_xlfn.IFNA(VLOOKUP(Grandview_Inventory[[#This Row],[condition]],Lookups!$A$37:$C$44,3,FALSE),1)</f>
        <v>0.96469275950863709</v>
      </c>
      <c r="BV1590" s="4">
        <f>IF(Grandview_Inventory[[#This Row],[bldg_style]]="",1,_xlfn.IFNA(VLOOKUP(Grandview_Inventory[[#This Row],[decade]],Lookups!$F$29:$H$43,3,FALSE),1))</f>
        <v>0.94161750052457416</v>
      </c>
      <c r="BW1590" s="4">
        <f>_xlfn.IFNA(VLOOKUP(Grandview_Inventory[[#This Row],[living_area_range]],Lookups!$F$47:$H$56,3,FALSE),1)</f>
        <v>0.94306777142782894</v>
      </c>
      <c r="BX1590" s="4">
        <f>AVERAGE(Grandview_Inventory[[#This Row],[qual_adj]:[size_adj]])</f>
        <v>0.95460350961925544</v>
      </c>
      <c r="BY1590" s="6">
        <f>IF(Grandview_Inventory[[#This Row],[pre_res]]&lt;0,0,Grandview_Inventory[[#This Row],[pre_res]]*Grandview_Inventory[[#This Row],[overall_adj]])</f>
        <v>157798.5470773899</v>
      </c>
      <c r="BZ1590" s="6">
        <f>(Grandview_Inventory[[#This Row],[sum_land]]-IF(Grandview_Inventory[[#This Row],[no_utilities]]=1,12000,0))/IF(Grandview_Inventory[[#This Row],[unbuildable]]=1,2,1)</f>
        <v>45695.532079096141</v>
      </c>
      <c r="CA159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90">
        <f>ROUND(Grandview_Inventory[[#This Row],[det_value]]*Lookups!$M$28,-2)</f>
        <v>0</v>
      </c>
      <c r="CC1590">
        <f>IF(ROUND(Grandview_Inventory[[#This Row],[adj_res]]*Lookups!$M$28,-2)&lt;Grandview_Inventory[[#This Row],[min_res]],Grandview_Inventory[[#This Row],[min_res]],ROUND(Grandview_Inventory[[#This Row],[adj_res]]*Lookups!$M$28,-2))</f>
        <v>149900</v>
      </c>
      <c r="CD1590">
        <f>Grandview_Inventory[[#This Row],[final_det]]+Grandview_Inventory[[#This Row],[final_res]]</f>
        <v>149900</v>
      </c>
      <c r="CE1590">
        <f>Grandview_Inventory[[#This Row],[final_land]]+Grandview_Inventory[[#This Row],[final_imp]]+Grandview_Inventory[[#This Row],[crop_value]]</f>
        <v>193300</v>
      </c>
      <c r="CG1590" t="str">
        <f t="shared" si="24"/>
        <v>update valuation set market_land =43400, market_bldg=149900, market_total =193300, market_mdno =401, market_date ='9/10/2023' where link_id = (select link_id from parcel where parcel_year = '2024' and parcel_id = '23092324422');</v>
      </c>
    </row>
    <row r="1591" spans="1:85" x14ac:dyDescent="0.25">
      <c r="A1591">
        <v>23092324423</v>
      </c>
      <c r="B1591">
        <v>0.22</v>
      </c>
      <c r="C1591">
        <v>9792</v>
      </c>
      <c r="D1591" t="s">
        <v>129</v>
      </c>
      <c r="E1591" t="s">
        <v>53</v>
      </c>
      <c r="F1591" t="s">
        <v>53</v>
      </c>
      <c r="G1591">
        <v>4</v>
      </c>
      <c r="H1591" t="s">
        <v>54</v>
      </c>
      <c r="I1591">
        <v>157600</v>
      </c>
      <c r="J1591">
        <v>40000</v>
      </c>
      <c r="K1591">
        <v>0.22</v>
      </c>
      <c r="L159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591">
        <v>0</v>
      </c>
      <c r="N1591">
        <v>0</v>
      </c>
      <c r="O1591">
        <v>0</v>
      </c>
      <c r="P1591">
        <v>13398.7528</v>
      </c>
      <c r="Q1591">
        <v>63903</v>
      </c>
      <c r="R1591">
        <f>(Grandview_Inventory[[#This Row],[ln_acres]]*Grandview_Inventory[[#This Row],[coeff]])+Grandview_Inventory[[#This Row],[const]]</f>
        <v>43615.576802869145</v>
      </c>
      <c r="S1591" t="s">
        <v>61</v>
      </c>
      <c r="T1591">
        <v>1</v>
      </c>
      <c r="U1591" t="s">
        <v>70</v>
      </c>
      <c r="V1591" t="s">
        <v>69</v>
      </c>
      <c r="W1591">
        <v>0</v>
      </c>
      <c r="X1591">
        <v>0</v>
      </c>
      <c r="Y1591">
        <v>47</v>
      </c>
      <c r="Z1591">
        <v>58</v>
      </c>
      <c r="AA1591">
        <v>60</v>
      </c>
      <c r="AB1591">
        <v>1500</v>
      </c>
      <c r="AC1591">
        <v>1434</v>
      </c>
      <c r="AD1591">
        <v>1434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224</v>
      </c>
      <c r="AN1591">
        <v>32</v>
      </c>
      <c r="AO1591">
        <v>224</v>
      </c>
      <c r="AP1591">
        <v>5</v>
      </c>
      <c r="AQ1591">
        <v>0</v>
      </c>
      <c r="AR1591">
        <v>0</v>
      </c>
      <c r="AS1591" t="s">
        <v>58</v>
      </c>
      <c r="AT1591">
        <v>1</v>
      </c>
      <c r="AU1591" t="s">
        <v>75</v>
      </c>
      <c r="AV1591" t="s">
        <v>60</v>
      </c>
      <c r="AW1591">
        <v>0</v>
      </c>
      <c r="AX1591">
        <v>3</v>
      </c>
      <c r="AY1591">
        <v>0</v>
      </c>
      <c r="AZ1591">
        <v>6100</v>
      </c>
      <c r="BA1591">
        <v>100</v>
      </c>
      <c r="BB1591">
        <v>100</v>
      </c>
      <c r="BC1591">
        <v>100</v>
      </c>
      <c r="BD1591">
        <v>100</v>
      </c>
      <c r="BE1591">
        <v>1</v>
      </c>
      <c r="BF1591">
        <v>15000</v>
      </c>
      <c r="BG1591">
        <v>1000</v>
      </c>
      <c r="BH1591" s="6">
        <f>Grandview_Inventory[[#This Row],[land_extract]]*Lookups!$B$3</f>
        <v>50650.651579114572</v>
      </c>
      <c r="BI1591" s="6">
        <f>IF(Grandview_Inventory[[#This Row],[bldg_style]]="",0,Lookups!$B$2)</f>
        <v>155833.95000000001</v>
      </c>
      <c r="BJ1591" s="6">
        <f>_xlfn.IFNA(VLOOKUP(Grandview_Inventory[[#This Row],[quality]],Lookups!$H$2:$J$14,3,FALSE),0)</f>
        <v>10733</v>
      </c>
      <c r="BK1591" s="6">
        <f>_xlfn.IFNA(VLOOKUP(Grandview_Inventory[[#This Row],[condition]],Lookups!$H$17:$J$24,3,FALSE),0)</f>
        <v>-4503</v>
      </c>
      <c r="BL1591" s="6">
        <f>Grandview_Inventory[[#This Row],[Eff_Age]]*Lookups!$B$14</f>
        <v>-11240.8302</v>
      </c>
      <c r="BM1591" s="6">
        <f>Grandview_Inventory[[#This Row],[living_area]]*Lookups!$B$15</f>
        <v>89454.143202000007</v>
      </c>
      <c r="BN1591" s="6">
        <f>Grandview_Inventory[[#This Row],[Fin BSMT]]*Lookups!$B$16</f>
        <v>0</v>
      </c>
      <c r="BO1591" s="6">
        <f>(Grandview_Inventory[[#This Row],[att_gar]]+Grandview_Inventory[[#This Row],[bltin_gar]])*Lookups!$B$17</f>
        <v>0</v>
      </c>
      <c r="BP1591" s="6">
        <f>Grandview_Inventory[[#This Row],[Plumbing Fixtures]]*Lookups!$B$18</f>
        <v>10052.209000000001</v>
      </c>
      <c r="BQ1591" s="6">
        <f>Grandview_Inventory[[#This Row],[detatched_value]]*Lookups!$B$19</f>
        <v>5165.5111099999995</v>
      </c>
      <c r="BR1591" s="6">
        <f>SUM(Grandview_Inventory[[#This Row],[Intercept]:[det_value]])*Grandview_Inventory[[#This Row],[res_pct]]</f>
        <v>255494.98311200002</v>
      </c>
      <c r="BS1591" s="6">
        <f>Grandview_Inventory[[#This Row],[land_value]]</f>
        <v>50650.651579114572</v>
      </c>
      <c r="BT1591" s="4">
        <f>_xlfn.IFNA(VLOOKUP(Grandview_Inventory[[#This Row],[quality]],Lookups!$A$26:$C$33,3,FALSE),1)</f>
        <v>0.98079741117310582</v>
      </c>
      <c r="BU1591" s="4">
        <f>_xlfn.IFNA(VLOOKUP(Grandview_Inventory[[#This Row],[condition]],Lookups!$A$37:$C$44,3,FALSE),1)</f>
        <v>0.96469275950863709</v>
      </c>
      <c r="BV1591" s="4">
        <f>IF(Grandview_Inventory[[#This Row],[bldg_style]]="",1,_xlfn.IFNA(VLOOKUP(Grandview_Inventory[[#This Row],[decade]],Lookups!$F$29:$H$43,3,FALSE),1))</f>
        <v>0.95268620544463312</v>
      </c>
      <c r="BW1591" s="4">
        <f>_xlfn.IFNA(VLOOKUP(Grandview_Inventory[[#This Row],[living_area_range]],Lookups!$F$47:$H$56,3,FALSE),1)</f>
        <v>0.96135087979789358</v>
      </c>
      <c r="BX1591" s="4">
        <f>AVERAGE(Grandview_Inventory[[#This Row],[qual_adj]:[size_adj]])</f>
        <v>0.96488181398106743</v>
      </c>
      <c r="BY1591" s="6">
        <f>IF(Grandview_Inventory[[#This Row],[pre_res]]&lt;0,0,Grandview_Inventory[[#This Row],[pre_res]]*Grandview_Inventory[[#This Row],[overall_adj]])</f>
        <v>246522.46276816877</v>
      </c>
      <c r="BZ1591" s="6">
        <f>(Grandview_Inventory[[#This Row],[sum_land]]-IF(Grandview_Inventory[[#This Row],[no_utilities]]=1,12000,0))/IF(Grandview_Inventory[[#This Row],[unbuildable]]=1,2,1)</f>
        <v>50650.651579114572</v>
      </c>
      <c r="CA159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591">
        <f>ROUND(Grandview_Inventory[[#This Row],[det_value]]*Lookups!$M$28,-2)</f>
        <v>4900</v>
      </c>
      <c r="CC1591">
        <f>IF(ROUND(Grandview_Inventory[[#This Row],[adj_res]]*Lookups!$M$28,-2)&lt;Grandview_Inventory[[#This Row],[min_res]],Grandview_Inventory[[#This Row],[min_res]],ROUND(Grandview_Inventory[[#This Row],[adj_res]]*Lookups!$M$28,-2))</f>
        <v>234200</v>
      </c>
      <c r="CD1591">
        <f>Grandview_Inventory[[#This Row],[final_det]]+Grandview_Inventory[[#This Row],[final_res]]</f>
        <v>239100</v>
      </c>
      <c r="CE1591">
        <f>Grandview_Inventory[[#This Row],[final_land]]+Grandview_Inventory[[#This Row],[final_imp]]+Grandview_Inventory[[#This Row],[crop_value]]</f>
        <v>287200</v>
      </c>
      <c r="CG1591" t="str">
        <f t="shared" si="24"/>
        <v>update valuation set market_land =48100, market_bldg=239100, market_total =287200, market_mdno =401, market_date ='9/10/2023' where link_id = (select link_id from parcel where parcel_year = '2024' and parcel_id = '23092324423');</v>
      </c>
    </row>
    <row r="1592" spans="1:85" x14ac:dyDescent="0.25">
      <c r="A1592">
        <v>23092324424</v>
      </c>
      <c r="B1592">
        <v>0.3</v>
      </c>
      <c r="C1592">
        <v>13187</v>
      </c>
      <c r="D1592" t="s">
        <v>129</v>
      </c>
      <c r="E1592" t="s">
        <v>53</v>
      </c>
      <c r="F1592" t="s">
        <v>53</v>
      </c>
      <c r="G1592">
        <v>4</v>
      </c>
      <c r="H1592" t="s">
        <v>54</v>
      </c>
      <c r="I1592">
        <v>127200</v>
      </c>
      <c r="J1592">
        <v>41400</v>
      </c>
      <c r="K1592">
        <v>0.3</v>
      </c>
      <c r="L1592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1592">
        <v>0</v>
      </c>
      <c r="N1592">
        <v>0</v>
      </c>
      <c r="O1592">
        <v>0</v>
      </c>
      <c r="P1592">
        <v>13398.7528</v>
      </c>
      <c r="Q1592">
        <v>63903</v>
      </c>
      <c r="R1592">
        <f>(Grandview_Inventory[[#This Row],[ln_acres]]*Grandview_Inventory[[#This Row],[coeff]])+Grandview_Inventory[[#This Row],[const]]</f>
        <v>47771.266016914014</v>
      </c>
      <c r="S1592" t="s">
        <v>85</v>
      </c>
      <c r="T1592">
        <v>1</v>
      </c>
      <c r="U1592" t="s">
        <v>65</v>
      </c>
      <c r="V1592" t="s">
        <v>69</v>
      </c>
      <c r="W1592">
        <v>0</v>
      </c>
      <c r="X1592">
        <v>0</v>
      </c>
      <c r="Y1592">
        <v>60</v>
      </c>
      <c r="Z1592">
        <v>108</v>
      </c>
      <c r="AA1592">
        <v>110</v>
      </c>
      <c r="AB1592">
        <v>1500</v>
      </c>
      <c r="AC1592">
        <v>1370</v>
      </c>
      <c r="AD1592">
        <v>1370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180</v>
      </c>
      <c r="AN1592">
        <v>145</v>
      </c>
      <c r="AO1592">
        <v>240</v>
      </c>
      <c r="AP1592">
        <v>5</v>
      </c>
      <c r="AQ1592">
        <v>0</v>
      </c>
      <c r="AR1592">
        <v>1</v>
      </c>
      <c r="AS1592" t="s">
        <v>58</v>
      </c>
      <c r="AT1592">
        <v>1</v>
      </c>
      <c r="AU1592" t="s">
        <v>63</v>
      </c>
      <c r="AV1592" t="s">
        <v>64</v>
      </c>
      <c r="AW1592">
        <v>0</v>
      </c>
      <c r="AX1592">
        <v>3</v>
      </c>
      <c r="AY1592">
        <v>0</v>
      </c>
      <c r="AZ1592">
        <v>10700</v>
      </c>
      <c r="BA1592">
        <v>100</v>
      </c>
      <c r="BB1592">
        <v>100</v>
      </c>
      <c r="BC1592">
        <v>100</v>
      </c>
      <c r="BD1592">
        <v>100</v>
      </c>
      <c r="BE1592">
        <v>1</v>
      </c>
      <c r="BF1592">
        <v>15000</v>
      </c>
      <c r="BG1592">
        <v>1000</v>
      </c>
      <c r="BH1592" s="6">
        <f>Grandview_Inventory[[#This Row],[land_extract]]*Lookups!$B$3</f>
        <v>55476.642243023998</v>
      </c>
      <c r="BI1592" s="6">
        <f>IF(Grandview_Inventory[[#This Row],[bldg_style]]="",0,Lookups!$B$2)</f>
        <v>155833.95000000001</v>
      </c>
      <c r="BJ1592" s="6">
        <f>_xlfn.IFNA(VLOOKUP(Grandview_Inventory[[#This Row],[quality]],Lookups!$H$2:$J$14,3,FALSE),0)</f>
        <v>2251</v>
      </c>
      <c r="BK1592" s="6">
        <f>_xlfn.IFNA(VLOOKUP(Grandview_Inventory[[#This Row],[condition]],Lookups!$H$17:$J$24,3,FALSE),0)</f>
        <v>-4503</v>
      </c>
      <c r="BL1592" s="6">
        <f>Grandview_Inventory[[#This Row],[Eff_Age]]*Lookups!$B$14</f>
        <v>-14349.995999999999</v>
      </c>
      <c r="BM1592" s="6">
        <f>Grandview_Inventory[[#This Row],[living_area]]*Lookups!$B$15</f>
        <v>85461.768609999999</v>
      </c>
      <c r="BN1592" s="6">
        <f>Grandview_Inventory[[#This Row],[Fin BSMT]]*Lookups!$B$16</f>
        <v>0</v>
      </c>
      <c r="BO1592" s="6">
        <f>(Grandview_Inventory[[#This Row],[att_gar]]+Grandview_Inventory[[#This Row],[bltin_gar]])*Lookups!$B$17</f>
        <v>0</v>
      </c>
      <c r="BP1592" s="6">
        <f>Grandview_Inventory[[#This Row],[Plumbing Fixtures]]*Lookups!$B$18</f>
        <v>10052.209000000001</v>
      </c>
      <c r="BQ1592" s="6">
        <f>Grandview_Inventory[[#This Row],[detatched_value]]*Lookups!$B$19</f>
        <v>9060.8145700000005</v>
      </c>
      <c r="BR1592" s="6">
        <f>SUM(Grandview_Inventory[[#This Row],[Intercept]:[det_value]])*Grandview_Inventory[[#This Row],[res_pct]]</f>
        <v>243806.74618000002</v>
      </c>
      <c r="BS1592" s="6">
        <f>Grandview_Inventory[[#This Row],[land_value]]</f>
        <v>55476.642243023998</v>
      </c>
      <c r="BT1592" s="4">
        <f>_xlfn.IFNA(VLOOKUP(Grandview_Inventory[[#This Row],[quality]],Lookups!$A$26:$C$33,3,FALSE),1)</f>
        <v>0.98763855981004833</v>
      </c>
      <c r="BU1592" s="4">
        <f>_xlfn.IFNA(VLOOKUP(Grandview_Inventory[[#This Row],[condition]],Lookups!$A$37:$C$44,3,FALSE),1)</f>
        <v>0.96469275950863709</v>
      </c>
      <c r="BV1592" s="4">
        <f>IF(Grandview_Inventory[[#This Row],[bldg_style]]="",1,_xlfn.IFNA(VLOOKUP(Grandview_Inventory[[#This Row],[decade]],Lookups!$F$29:$H$43,3,FALSE),1))</f>
        <v>0.92255236374249616</v>
      </c>
      <c r="BW1592" s="4">
        <f>_xlfn.IFNA(VLOOKUP(Grandview_Inventory[[#This Row],[living_area_range]],Lookups!$F$47:$H$56,3,FALSE),1)</f>
        <v>0.96135087979789358</v>
      </c>
      <c r="BX1592" s="4">
        <f>AVERAGE(Grandview_Inventory[[#This Row],[qual_adj]:[size_adj]])</f>
        <v>0.95905864071476876</v>
      </c>
      <c r="BY1592" s="6">
        <f>IF(Grandview_Inventory[[#This Row],[pre_res]]&lt;0,0,Grandview_Inventory[[#This Row],[pre_res]]*Grandview_Inventory[[#This Row],[overall_adj]])</f>
        <v>233824.96658848145</v>
      </c>
      <c r="BZ1592" s="6">
        <f>(Grandview_Inventory[[#This Row],[sum_land]]-IF(Grandview_Inventory[[#This Row],[no_utilities]]=1,12000,0))/IF(Grandview_Inventory[[#This Row],[unbuildable]]=1,2,1)</f>
        <v>55476.642243023998</v>
      </c>
      <c r="CA1592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1592">
        <f>ROUND(Grandview_Inventory[[#This Row],[det_value]]*Lookups!$M$28,-2)</f>
        <v>8600</v>
      </c>
      <c r="CC1592">
        <f>IF(ROUND(Grandview_Inventory[[#This Row],[adj_res]]*Lookups!$M$28,-2)&lt;Grandview_Inventory[[#This Row],[min_res]],Grandview_Inventory[[#This Row],[min_res]],ROUND(Grandview_Inventory[[#This Row],[adj_res]]*Lookups!$M$28,-2))</f>
        <v>222100</v>
      </c>
      <c r="CD1592">
        <f>Grandview_Inventory[[#This Row],[final_det]]+Grandview_Inventory[[#This Row],[final_res]]</f>
        <v>230700</v>
      </c>
      <c r="CE1592">
        <f>Grandview_Inventory[[#This Row],[final_land]]+Grandview_Inventory[[#This Row],[final_imp]]+Grandview_Inventory[[#This Row],[crop_value]]</f>
        <v>283400</v>
      </c>
      <c r="CG1592" t="str">
        <f t="shared" si="24"/>
        <v>update valuation set market_land =52700, market_bldg=230700, market_total =283400, market_mdno =401, market_date ='9/10/2023' where link_id = (select link_id from parcel where parcel_year = '2024' and parcel_id = '23092324424');</v>
      </c>
    </row>
    <row r="1593" spans="1:85" x14ac:dyDescent="0.25">
      <c r="A1593">
        <v>23092324425</v>
      </c>
      <c r="B1593">
        <v>0.16</v>
      </c>
      <c r="C1593">
        <v>7000</v>
      </c>
      <c r="D1593" t="s">
        <v>129</v>
      </c>
      <c r="E1593" t="s">
        <v>53</v>
      </c>
      <c r="F1593" t="s">
        <v>53</v>
      </c>
      <c r="G1593">
        <v>4</v>
      </c>
      <c r="H1593" t="s">
        <v>54</v>
      </c>
      <c r="I1593">
        <v>150200</v>
      </c>
      <c r="J1593">
        <v>39300</v>
      </c>
      <c r="K1593">
        <v>0.16</v>
      </c>
      <c r="L159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93">
        <v>0</v>
      </c>
      <c r="N1593">
        <v>0</v>
      </c>
      <c r="O1593">
        <v>0</v>
      </c>
      <c r="P1593">
        <v>13398.7528</v>
      </c>
      <c r="Q1593">
        <v>63903</v>
      </c>
      <c r="R1593">
        <f>(Grandview_Inventory[[#This Row],[ln_acres]]*Grandview_Inventory[[#This Row],[coeff]])+Grandview_Inventory[[#This Row],[const]]</f>
        <v>39348.693981374228</v>
      </c>
      <c r="S1593" t="s">
        <v>68</v>
      </c>
      <c r="T1593">
        <v>1</v>
      </c>
      <c r="U1593" t="s">
        <v>65</v>
      </c>
      <c r="V1593" t="s">
        <v>69</v>
      </c>
      <c r="W1593">
        <v>0</v>
      </c>
      <c r="X1593">
        <v>0</v>
      </c>
      <c r="Y1593">
        <v>53</v>
      </c>
      <c r="Z1593">
        <v>93</v>
      </c>
      <c r="AA1593">
        <v>100</v>
      </c>
      <c r="AB1593">
        <v>1500</v>
      </c>
      <c r="AC1593">
        <v>1288</v>
      </c>
      <c r="AD1593">
        <v>1288</v>
      </c>
      <c r="AE1593">
        <v>0</v>
      </c>
      <c r="AF1593">
        <v>0</v>
      </c>
      <c r="AG1593">
        <v>0</v>
      </c>
      <c r="AH1593">
        <v>196</v>
      </c>
      <c r="AI1593">
        <v>0</v>
      </c>
      <c r="AJ1593">
        <v>0</v>
      </c>
      <c r="AK1593">
        <v>0</v>
      </c>
      <c r="AL1593">
        <v>0</v>
      </c>
      <c r="AM1593">
        <v>120</v>
      </c>
      <c r="AN1593">
        <v>66</v>
      </c>
      <c r="AO1593">
        <v>0</v>
      </c>
      <c r="AP1593">
        <v>5</v>
      </c>
      <c r="AQ1593">
        <v>1</v>
      </c>
      <c r="AR1593">
        <v>0</v>
      </c>
      <c r="AS1593" t="s">
        <v>58</v>
      </c>
      <c r="AT1593">
        <v>1</v>
      </c>
      <c r="AU1593" t="s">
        <v>63</v>
      </c>
      <c r="AV1593" t="s">
        <v>60</v>
      </c>
      <c r="AW1593">
        <v>0</v>
      </c>
      <c r="AX1593">
        <v>3</v>
      </c>
      <c r="AY1593">
        <v>0</v>
      </c>
      <c r="AZ1593">
        <v>11700</v>
      </c>
      <c r="BA1593">
        <v>100</v>
      </c>
      <c r="BB1593">
        <v>100</v>
      </c>
      <c r="BC1593">
        <v>100</v>
      </c>
      <c r="BD1593">
        <v>100</v>
      </c>
      <c r="BE1593">
        <v>1</v>
      </c>
      <c r="BF1593">
        <v>15000</v>
      </c>
      <c r="BG1593">
        <v>1000</v>
      </c>
      <c r="BH1593" s="6">
        <f>Grandview_Inventory[[#This Row],[land_extract]]*Lookups!$B$3</f>
        <v>45695.532079096141</v>
      </c>
      <c r="BI1593" s="6">
        <f>IF(Grandview_Inventory[[#This Row],[bldg_style]]="",0,Lookups!$B$2)</f>
        <v>155833.95000000001</v>
      </c>
      <c r="BJ1593" s="6">
        <f>_xlfn.IFNA(VLOOKUP(Grandview_Inventory[[#This Row],[quality]],Lookups!$H$2:$J$14,3,FALSE),0)</f>
        <v>2251</v>
      </c>
      <c r="BK1593" s="6">
        <f>_xlfn.IFNA(VLOOKUP(Grandview_Inventory[[#This Row],[condition]],Lookups!$H$17:$J$24,3,FALSE),0)</f>
        <v>-4503</v>
      </c>
      <c r="BL1593" s="6">
        <f>Grandview_Inventory[[#This Row],[Eff_Age]]*Lookups!$B$14</f>
        <v>-12675.8298</v>
      </c>
      <c r="BM1593" s="6">
        <f>Grandview_Inventory[[#This Row],[living_area]]*Lookups!$B$15</f>
        <v>80346.538664000007</v>
      </c>
      <c r="BN1593" s="6">
        <f>Grandview_Inventory[[#This Row],[Fin BSMT]]*Lookups!$B$16</f>
        <v>0</v>
      </c>
      <c r="BO1593" s="6">
        <f>(Grandview_Inventory[[#This Row],[att_gar]]+Grandview_Inventory[[#This Row],[bltin_gar]])*Lookups!$B$17</f>
        <v>0</v>
      </c>
      <c r="BP1593" s="6">
        <f>Grandview_Inventory[[#This Row],[Plumbing Fixtures]]*Lookups!$B$18</f>
        <v>10052.209000000001</v>
      </c>
      <c r="BQ1593" s="6">
        <f>Grandview_Inventory[[#This Row],[detatched_value]]*Lookups!$B$19</f>
        <v>9907.61967</v>
      </c>
      <c r="BR1593" s="6">
        <f>SUM(Grandview_Inventory[[#This Row],[Intercept]:[det_value]])*Grandview_Inventory[[#This Row],[res_pct]]</f>
        <v>241212.48753400001</v>
      </c>
      <c r="BS1593" s="6">
        <f>Grandview_Inventory[[#This Row],[land_value]]</f>
        <v>45695.532079096141</v>
      </c>
      <c r="BT1593" s="4">
        <f>_xlfn.IFNA(VLOOKUP(Grandview_Inventory[[#This Row],[quality]],Lookups!$A$26:$C$33,3,FALSE),1)</f>
        <v>0.98763855981004833</v>
      </c>
      <c r="BU1593" s="4">
        <f>_xlfn.IFNA(VLOOKUP(Grandview_Inventory[[#This Row],[condition]],Lookups!$A$37:$C$44,3,FALSE),1)</f>
        <v>0.96469275950863709</v>
      </c>
      <c r="BV1593" s="4">
        <f>IF(Grandview_Inventory[[#This Row],[bldg_style]]="",1,_xlfn.IFNA(VLOOKUP(Grandview_Inventory[[#This Row],[decade]],Lookups!$F$29:$H$43,3,FALSE),1))</f>
        <v>0.95244691841736806</v>
      </c>
      <c r="BW1593" s="4">
        <f>_xlfn.IFNA(VLOOKUP(Grandview_Inventory[[#This Row],[living_area_range]],Lookups!$F$47:$H$56,3,FALSE),1)</f>
        <v>0.96135087979789358</v>
      </c>
      <c r="BX1593" s="4">
        <f>AVERAGE(Grandview_Inventory[[#This Row],[qual_adj]:[size_adj]])</f>
        <v>0.96653227938348674</v>
      </c>
      <c r="BY1593" s="6">
        <f>IF(Grandview_Inventory[[#This Row],[pre_res]]&lt;0,0,Grandview_Inventory[[#This Row],[pre_res]]*Grandview_Inventory[[#This Row],[overall_adj]])</f>
        <v>233139.65539199792</v>
      </c>
      <c r="BZ1593" s="6">
        <f>(Grandview_Inventory[[#This Row],[sum_land]]-IF(Grandview_Inventory[[#This Row],[no_utilities]]=1,12000,0))/IF(Grandview_Inventory[[#This Row],[unbuildable]]=1,2,1)</f>
        <v>45695.532079096141</v>
      </c>
      <c r="CA159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93">
        <f>ROUND(Grandview_Inventory[[#This Row],[det_value]]*Lookups!$M$28,-2)</f>
        <v>9400</v>
      </c>
      <c r="CC1593">
        <f>IF(ROUND(Grandview_Inventory[[#This Row],[adj_res]]*Lookups!$M$28,-2)&lt;Grandview_Inventory[[#This Row],[min_res]],Grandview_Inventory[[#This Row],[min_res]],ROUND(Grandview_Inventory[[#This Row],[adj_res]]*Lookups!$M$28,-2))</f>
        <v>221500</v>
      </c>
      <c r="CD1593">
        <f>Grandview_Inventory[[#This Row],[final_det]]+Grandview_Inventory[[#This Row],[final_res]]</f>
        <v>230900</v>
      </c>
      <c r="CE1593">
        <f>Grandview_Inventory[[#This Row],[final_land]]+Grandview_Inventory[[#This Row],[final_imp]]+Grandview_Inventory[[#This Row],[crop_value]]</f>
        <v>274300</v>
      </c>
      <c r="CG1593" t="str">
        <f t="shared" si="24"/>
        <v>update valuation set market_land =43400, market_bldg=230900, market_total =274300, market_mdno =401, market_date ='9/10/2023' where link_id = (select link_id from parcel where parcel_year = '2024' and parcel_id = '23092324425');</v>
      </c>
    </row>
    <row r="1594" spans="1:85" x14ac:dyDescent="0.25">
      <c r="A1594">
        <v>23092324427</v>
      </c>
      <c r="B1594">
        <v>0.19</v>
      </c>
      <c r="C1594">
        <v>8172</v>
      </c>
      <c r="D1594" t="s">
        <v>129</v>
      </c>
      <c r="E1594" t="s">
        <v>53</v>
      </c>
      <c r="F1594" t="s">
        <v>53</v>
      </c>
      <c r="G1594">
        <v>4</v>
      </c>
      <c r="H1594" t="s">
        <v>54</v>
      </c>
      <c r="I1594">
        <v>101200</v>
      </c>
      <c r="J1594">
        <v>39500</v>
      </c>
      <c r="K1594">
        <v>0.19</v>
      </c>
      <c r="L159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594">
        <v>0</v>
      </c>
      <c r="N1594">
        <v>0</v>
      </c>
      <c r="O1594">
        <v>0</v>
      </c>
      <c r="P1594">
        <v>13398.7528</v>
      </c>
      <c r="Q1594">
        <v>63903</v>
      </c>
      <c r="R1594">
        <f>(Grandview_Inventory[[#This Row],[ln_acres]]*Grandview_Inventory[[#This Row],[coeff]])+Grandview_Inventory[[#This Row],[const]]</f>
        <v>41651.273092551026</v>
      </c>
      <c r="S1594" t="s">
        <v>68</v>
      </c>
      <c r="T1594">
        <v>1</v>
      </c>
      <c r="U1594" t="s">
        <v>70</v>
      </c>
      <c r="V1594" t="s">
        <v>78</v>
      </c>
      <c r="W1594">
        <v>0</v>
      </c>
      <c r="X1594">
        <v>0</v>
      </c>
      <c r="Y1594">
        <v>51</v>
      </c>
      <c r="Z1594">
        <v>78</v>
      </c>
      <c r="AA1594">
        <v>80</v>
      </c>
      <c r="AB1594">
        <v>1500</v>
      </c>
      <c r="AC1594">
        <v>1024</v>
      </c>
      <c r="AD1594">
        <v>880</v>
      </c>
      <c r="AE1594">
        <v>0</v>
      </c>
      <c r="AF1594">
        <v>0</v>
      </c>
      <c r="AG1594">
        <v>144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5</v>
      </c>
      <c r="AQ1594">
        <v>0</v>
      </c>
      <c r="AR1594">
        <v>0</v>
      </c>
      <c r="AS1594" t="s">
        <v>58</v>
      </c>
      <c r="AT1594">
        <v>1</v>
      </c>
      <c r="AU1594" t="s">
        <v>63</v>
      </c>
      <c r="AV1594" t="s">
        <v>60</v>
      </c>
      <c r="AW1594">
        <v>0</v>
      </c>
      <c r="AX1594">
        <v>3</v>
      </c>
      <c r="AY1594">
        <v>0</v>
      </c>
      <c r="AZ1594">
        <v>6600</v>
      </c>
      <c r="BA1594">
        <v>100</v>
      </c>
      <c r="BB1594">
        <v>100</v>
      </c>
      <c r="BC1594">
        <v>100</v>
      </c>
      <c r="BD1594">
        <v>100</v>
      </c>
      <c r="BE1594">
        <v>1</v>
      </c>
      <c r="BF1594">
        <v>15000</v>
      </c>
      <c r="BG1594">
        <v>1000</v>
      </c>
      <c r="BH1594" s="6">
        <f>Grandview_Inventory[[#This Row],[land_extract]]*Lookups!$B$3</f>
        <v>48369.510983942157</v>
      </c>
      <c r="BI1594" s="6">
        <f>IF(Grandview_Inventory[[#This Row],[bldg_style]]="",0,Lookups!$B$2)</f>
        <v>155833.95000000001</v>
      </c>
      <c r="BJ1594" s="6">
        <f>_xlfn.IFNA(VLOOKUP(Grandview_Inventory[[#This Row],[quality]],Lookups!$H$2:$J$14,3,FALSE),0)</f>
        <v>10733</v>
      </c>
      <c r="BK1594" s="6">
        <f>_xlfn.IFNA(VLOOKUP(Grandview_Inventory[[#This Row],[condition]],Lookups!$H$17:$J$24,3,FALSE),0)</f>
        <v>-45357</v>
      </c>
      <c r="BL1594" s="6">
        <f>Grandview_Inventory[[#This Row],[Eff_Age]]*Lookups!$B$14</f>
        <v>-12197.496599999999</v>
      </c>
      <c r="BM1594" s="6">
        <f>Grandview_Inventory[[#This Row],[living_area]]*Lookups!$B$15</f>
        <v>63877.993472000002</v>
      </c>
      <c r="BN1594" s="6">
        <f>Grandview_Inventory[[#This Row],[Fin BSMT]]*Lookups!$B$16</f>
        <v>-3902.2905600000004</v>
      </c>
      <c r="BO1594" s="6">
        <f>(Grandview_Inventory[[#This Row],[att_gar]]+Grandview_Inventory[[#This Row],[bltin_gar]])*Lookups!$B$17</f>
        <v>0</v>
      </c>
      <c r="BP1594" s="6">
        <f>Grandview_Inventory[[#This Row],[Plumbing Fixtures]]*Lookups!$B$18</f>
        <v>10052.209000000001</v>
      </c>
      <c r="BQ1594" s="6">
        <f>Grandview_Inventory[[#This Row],[detatched_value]]*Lookups!$B$19</f>
        <v>5588.9136600000002</v>
      </c>
      <c r="BR1594" s="6">
        <f>SUM(Grandview_Inventory[[#This Row],[Intercept]:[det_value]])*Grandview_Inventory[[#This Row],[res_pct]]</f>
        <v>184629.278972</v>
      </c>
      <c r="BS1594" s="6">
        <f>Grandview_Inventory[[#This Row],[land_value]]</f>
        <v>48369.510983942157</v>
      </c>
      <c r="BT1594" s="4">
        <f>_xlfn.IFNA(VLOOKUP(Grandview_Inventory[[#This Row],[quality]],Lookups!$A$26:$C$33,3,FALSE),1)</f>
        <v>0.98079741117310582</v>
      </c>
      <c r="BU1594" s="4">
        <f>_xlfn.IFNA(VLOOKUP(Grandview_Inventory[[#This Row],[condition]],Lookups!$A$37:$C$44,3,FALSE),1)</f>
        <v>0.97161819570155394</v>
      </c>
      <c r="BV1594" s="4">
        <f>IF(Grandview_Inventory[[#This Row],[bldg_style]]="",1,_xlfn.IFNA(VLOOKUP(Grandview_Inventory[[#This Row],[decade]],Lookups!$F$29:$H$43,3,FALSE),1))</f>
        <v>0.98763256963907298</v>
      </c>
      <c r="BW1594" s="4">
        <f>_xlfn.IFNA(VLOOKUP(Grandview_Inventory[[#This Row],[living_area_range]],Lookups!$F$47:$H$56,3,FALSE),1)</f>
        <v>0.96135087979789358</v>
      </c>
      <c r="BX1594" s="4">
        <f>AVERAGE(Grandview_Inventory[[#This Row],[qual_adj]:[size_adj]])</f>
        <v>0.97534976407790652</v>
      </c>
      <c r="BY1594" s="6">
        <f>IF(Grandview_Inventory[[#This Row],[pre_res]]&lt;0,0,Grandview_Inventory[[#This Row],[pre_res]]*Grandview_Inventory[[#This Row],[overall_adj]])</f>
        <v>180078.12368721419</v>
      </c>
      <c r="BZ1594" s="6">
        <f>(Grandview_Inventory[[#This Row],[sum_land]]-IF(Grandview_Inventory[[#This Row],[no_utilities]]=1,12000,0))/IF(Grandview_Inventory[[#This Row],[unbuildable]]=1,2,1)</f>
        <v>48369.510983942157</v>
      </c>
      <c r="CA159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594">
        <f>ROUND(Grandview_Inventory[[#This Row],[det_value]]*Lookups!$M$28,-2)</f>
        <v>5300</v>
      </c>
      <c r="CC1594">
        <f>IF(ROUND(Grandview_Inventory[[#This Row],[adj_res]]*Lookups!$M$28,-2)&lt;Grandview_Inventory[[#This Row],[min_res]],Grandview_Inventory[[#This Row],[min_res]],ROUND(Grandview_Inventory[[#This Row],[adj_res]]*Lookups!$M$28,-2))</f>
        <v>171100</v>
      </c>
      <c r="CD1594">
        <f>Grandview_Inventory[[#This Row],[final_det]]+Grandview_Inventory[[#This Row],[final_res]]</f>
        <v>176400</v>
      </c>
      <c r="CE1594">
        <f>Grandview_Inventory[[#This Row],[final_land]]+Grandview_Inventory[[#This Row],[final_imp]]+Grandview_Inventory[[#This Row],[crop_value]]</f>
        <v>222400</v>
      </c>
      <c r="CG1594" t="str">
        <f t="shared" si="24"/>
        <v>update valuation set market_land =46000, market_bldg=176400, market_total =222400, market_mdno =401, market_date ='9/10/2023' where link_id = (select link_id from parcel where parcel_year = '2024' and parcel_id = '23092324427');</v>
      </c>
    </row>
    <row r="1595" spans="1:85" x14ac:dyDescent="0.25">
      <c r="A1595">
        <v>23092324428</v>
      </c>
      <c r="B1595">
        <v>0.18</v>
      </c>
      <c r="C1595">
        <v>7750</v>
      </c>
      <c r="D1595" t="s">
        <v>129</v>
      </c>
      <c r="E1595" t="s">
        <v>53</v>
      </c>
      <c r="F1595" t="s">
        <v>53</v>
      </c>
      <c r="G1595">
        <v>4</v>
      </c>
      <c r="H1595" t="s">
        <v>54</v>
      </c>
      <c r="I1595">
        <v>149400</v>
      </c>
      <c r="J1595">
        <v>39500</v>
      </c>
      <c r="K1595">
        <v>0.18</v>
      </c>
      <c r="L159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595">
        <v>0</v>
      </c>
      <c r="N1595">
        <v>0</v>
      </c>
      <c r="O1595">
        <v>0</v>
      </c>
      <c r="P1595">
        <v>13398.7528</v>
      </c>
      <c r="Q1595">
        <v>63903</v>
      </c>
      <c r="R1595">
        <f>(Grandview_Inventory[[#This Row],[ln_acres]]*Grandview_Inventory[[#This Row],[coeff]])+Grandview_Inventory[[#This Row],[const]]</f>
        <v>40926.839760167699</v>
      </c>
      <c r="S1595" t="s">
        <v>68</v>
      </c>
      <c r="T1595">
        <v>1</v>
      </c>
      <c r="U1595" t="s">
        <v>80</v>
      </c>
      <c r="V1595" t="s">
        <v>69</v>
      </c>
      <c r="W1595">
        <v>0</v>
      </c>
      <c r="X1595">
        <v>0</v>
      </c>
      <c r="Y1595">
        <v>51</v>
      </c>
      <c r="Z1595">
        <v>78</v>
      </c>
      <c r="AA1595">
        <v>80</v>
      </c>
      <c r="AB1595">
        <v>1000</v>
      </c>
      <c r="AC1595">
        <v>614</v>
      </c>
      <c r="AD1595">
        <v>614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56</v>
      </c>
      <c r="AO1595">
        <v>0</v>
      </c>
      <c r="AP1595">
        <v>5</v>
      </c>
      <c r="AQ1595">
        <v>0</v>
      </c>
      <c r="AR1595">
        <v>0</v>
      </c>
      <c r="AS1595" t="s">
        <v>71</v>
      </c>
      <c r="AT1595">
        <v>1</v>
      </c>
      <c r="AU1595" t="s">
        <v>75</v>
      </c>
      <c r="AV1595" t="s">
        <v>60</v>
      </c>
      <c r="AW1595">
        <v>0</v>
      </c>
      <c r="AX1595">
        <v>2</v>
      </c>
      <c r="AY1595">
        <v>0</v>
      </c>
      <c r="AZ1595">
        <v>41600</v>
      </c>
      <c r="BA1595">
        <v>100</v>
      </c>
      <c r="BB1595">
        <v>100</v>
      </c>
      <c r="BC1595">
        <v>100</v>
      </c>
      <c r="BD1595">
        <v>100</v>
      </c>
      <c r="BE1595">
        <v>1</v>
      </c>
      <c r="BF1595">
        <v>15000</v>
      </c>
      <c r="BG1595">
        <v>1000</v>
      </c>
      <c r="BH1595" s="6">
        <f>Grandview_Inventory[[#This Row],[land_extract]]*Lookups!$B$3</f>
        <v>47528.228511015397</v>
      </c>
      <c r="BI1595" s="6">
        <f>IF(Grandview_Inventory[[#This Row],[bldg_style]]="",0,Lookups!$B$2)</f>
        <v>155833.95000000001</v>
      </c>
      <c r="BJ1595" s="6">
        <f>_xlfn.IFNA(VLOOKUP(Grandview_Inventory[[#This Row],[quality]],Lookups!$H$2:$J$14,3,FALSE),0)</f>
        <v>-28558</v>
      </c>
      <c r="BK1595" s="6">
        <f>_xlfn.IFNA(VLOOKUP(Grandview_Inventory[[#This Row],[condition]],Lookups!$H$17:$J$24,3,FALSE),0)</f>
        <v>-4503</v>
      </c>
      <c r="BL1595" s="6">
        <f>Grandview_Inventory[[#This Row],[Eff_Age]]*Lookups!$B$14</f>
        <v>-12197.496599999999</v>
      </c>
      <c r="BM1595" s="6">
        <f>Grandview_Inventory[[#This Row],[living_area]]*Lookups!$B$15</f>
        <v>38301.843742000005</v>
      </c>
      <c r="BN1595" s="6">
        <f>Grandview_Inventory[[#This Row],[Fin BSMT]]*Lookups!$B$16</f>
        <v>0</v>
      </c>
      <c r="BO1595" s="6">
        <f>(Grandview_Inventory[[#This Row],[att_gar]]+Grandview_Inventory[[#This Row],[bltin_gar]])*Lookups!$B$17</f>
        <v>0</v>
      </c>
      <c r="BP1595" s="6">
        <f>Grandview_Inventory[[#This Row],[Plumbing Fixtures]]*Lookups!$B$18</f>
        <v>10052.209000000001</v>
      </c>
      <c r="BQ1595" s="6">
        <f>Grandview_Inventory[[#This Row],[detatched_value]]*Lookups!$B$19</f>
        <v>35227.09216</v>
      </c>
      <c r="BR1595" s="6">
        <f>SUM(Grandview_Inventory[[#This Row],[Intercept]:[det_value]])*Grandview_Inventory[[#This Row],[res_pct]]</f>
        <v>194156.59830200003</v>
      </c>
      <c r="BS1595" s="6">
        <f>Grandview_Inventory[[#This Row],[land_value]]</f>
        <v>47528.228511015397</v>
      </c>
      <c r="BT1595" s="4">
        <f>_xlfn.IFNA(VLOOKUP(Grandview_Inventory[[#This Row],[quality]],Lookups!$A$26:$C$33,3,FALSE),1)</f>
        <v>0.9690360070159818</v>
      </c>
      <c r="BU1595" s="4">
        <f>_xlfn.IFNA(VLOOKUP(Grandview_Inventory[[#This Row],[condition]],Lookups!$A$37:$C$44,3,FALSE),1)</f>
        <v>0.96469275950863709</v>
      </c>
      <c r="BV1595" s="4">
        <f>IF(Grandview_Inventory[[#This Row],[bldg_style]]="",1,_xlfn.IFNA(VLOOKUP(Grandview_Inventory[[#This Row],[decade]],Lookups!$F$29:$H$43,3,FALSE),1))</f>
        <v>0.98763256963907298</v>
      </c>
      <c r="BW1595" s="4">
        <f>_xlfn.IFNA(VLOOKUP(Grandview_Inventory[[#This Row],[living_area_range]],Lookups!$F$47:$H$56,3,FALSE),1)</f>
        <v>0.94306777142782894</v>
      </c>
      <c r="BX1595" s="4">
        <f>AVERAGE(Grandview_Inventory[[#This Row],[qual_adj]:[size_adj]])</f>
        <v>0.96610727689788012</v>
      </c>
      <c r="BY1595" s="6">
        <f>IF(Grandview_Inventory[[#This Row],[pre_res]]&lt;0,0,Grandview_Inventory[[#This Row],[pre_res]]*Grandview_Inventory[[#This Row],[overall_adj]])</f>
        <v>187576.10247730082</v>
      </c>
      <c r="BZ1595" s="6">
        <f>(Grandview_Inventory[[#This Row],[sum_land]]-IF(Grandview_Inventory[[#This Row],[no_utilities]]=1,12000,0))/IF(Grandview_Inventory[[#This Row],[unbuildable]]=1,2,1)</f>
        <v>47528.228511015397</v>
      </c>
      <c r="CA159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595">
        <f>ROUND(Grandview_Inventory[[#This Row],[det_value]]*Lookups!$M$28,-2)</f>
        <v>33500</v>
      </c>
      <c r="CC1595">
        <f>IF(ROUND(Grandview_Inventory[[#This Row],[adj_res]]*Lookups!$M$28,-2)&lt;Grandview_Inventory[[#This Row],[min_res]],Grandview_Inventory[[#This Row],[min_res]],ROUND(Grandview_Inventory[[#This Row],[adj_res]]*Lookups!$M$28,-2))</f>
        <v>178200</v>
      </c>
      <c r="CD1595">
        <f>Grandview_Inventory[[#This Row],[final_det]]+Grandview_Inventory[[#This Row],[final_res]]</f>
        <v>211700</v>
      </c>
      <c r="CE1595">
        <f>Grandview_Inventory[[#This Row],[final_land]]+Grandview_Inventory[[#This Row],[final_imp]]+Grandview_Inventory[[#This Row],[crop_value]]</f>
        <v>256900</v>
      </c>
      <c r="CG1595" t="str">
        <f t="shared" si="24"/>
        <v>update valuation set market_land =45200, market_bldg=211700, market_total =256900, market_mdno =401, market_date ='9/10/2023' where link_id = (select link_id from parcel where parcel_year = '2024' and parcel_id = '23092324428');</v>
      </c>
    </row>
    <row r="1596" spans="1:85" x14ac:dyDescent="0.25">
      <c r="A1596">
        <v>23092324429</v>
      </c>
      <c r="B1596">
        <v>0.16</v>
      </c>
      <c r="C1596">
        <v>6805</v>
      </c>
      <c r="D1596" t="s">
        <v>129</v>
      </c>
      <c r="E1596" t="s">
        <v>53</v>
      </c>
      <c r="F1596" t="s">
        <v>53</v>
      </c>
      <c r="G1596">
        <v>4</v>
      </c>
      <c r="H1596" t="s">
        <v>54</v>
      </c>
      <c r="I1596">
        <v>75800</v>
      </c>
      <c r="J1596">
        <v>39000</v>
      </c>
      <c r="K1596">
        <v>0.16</v>
      </c>
      <c r="L159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96">
        <v>0</v>
      </c>
      <c r="N1596">
        <v>0</v>
      </c>
      <c r="O1596">
        <v>0</v>
      </c>
      <c r="P1596">
        <v>13398.7528</v>
      </c>
      <c r="Q1596">
        <v>63903</v>
      </c>
      <c r="R1596">
        <f>(Grandview_Inventory[[#This Row],[ln_acres]]*Grandview_Inventory[[#This Row],[coeff]])+Grandview_Inventory[[#This Row],[const]]</f>
        <v>39348.693981374228</v>
      </c>
      <c r="S1596" t="s">
        <v>55</v>
      </c>
      <c r="T1596">
        <v>2</v>
      </c>
      <c r="U1596" t="s">
        <v>80</v>
      </c>
      <c r="V1596" t="s">
        <v>94</v>
      </c>
      <c r="W1596">
        <v>0</v>
      </c>
      <c r="X1596">
        <v>0</v>
      </c>
      <c r="Y1596">
        <v>65</v>
      </c>
      <c r="Z1596">
        <v>113</v>
      </c>
      <c r="AA1596">
        <v>120</v>
      </c>
      <c r="AB1596">
        <v>1500</v>
      </c>
      <c r="AC1596">
        <v>1344</v>
      </c>
      <c r="AD1596">
        <v>672</v>
      </c>
      <c r="AE1596">
        <v>672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8</v>
      </c>
      <c r="AQ1596">
        <v>0</v>
      </c>
      <c r="AR1596">
        <v>0</v>
      </c>
      <c r="AS1596" t="s">
        <v>76</v>
      </c>
      <c r="AT1596">
        <v>1</v>
      </c>
      <c r="AU1596" t="s">
        <v>75</v>
      </c>
      <c r="AV1596" t="s">
        <v>60</v>
      </c>
      <c r="AW1596">
        <v>0</v>
      </c>
      <c r="AX1596">
        <v>4</v>
      </c>
      <c r="AY1596">
        <v>0</v>
      </c>
      <c r="AZ1596">
        <v>0</v>
      </c>
      <c r="BA1596">
        <v>100</v>
      </c>
      <c r="BB1596">
        <v>100</v>
      </c>
      <c r="BC1596">
        <v>100</v>
      </c>
      <c r="BD1596">
        <v>100</v>
      </c>
      <c r="BE1596">
        <v>1</v>
      </c>
      <c r="BF1596">
        <v>15000</v>
      </c>
      <c r="BG1596">
        <v>1000</v>
      </c>
      <c r="BH1596" s="6">
        <f>Grandview_Inventory[[#This Row],[land_extract]]*Lookups!$B$3</f>
        <v>45695.532079096141</v>
      </c>
      <c r="BI1596" s="6">
        <f>IF(Grandview_Inventory[[#This Row],[bldg_style]]="",0,Lookups!$B$2)</f>
        <v>155833.95000000001</v>
      </c>
      <c r="BJ1596" s="6">
        <f>_xlfn.IFNA(VLOOKUP(Grandview_Inventory[[#This Row],[quality]],Lookups!$H$2:$J$14,3,FALSE),0)</f>
        <v>-28558</v>
      </c>
      <c r="BK1596" s="6">
        <f>_xlfn.IFNA(VLOOKUP(Grandview_Inventory[[#This Row],[condition]],Lookups!$H$17:$J$24,3,FALSE),0)</f>
        <v>-77566.475205170951</v>
      </c>
      <c r="BL1596" s="6">
        <f>Grandview_Inventory[[#This Row],[Eff_Age]]*Lookups!$B$14</f>
        <v>-15545.829</v>
      </c>
      <c r="BM1596" s="6">
        <f>Grandview_Inventory[[#This Row],[living_area]]*Lookups!$B$15</f>
        <v>83839.86643200001</v>
      </c>
      <c r="BN1596" s="6">
        <f>Grandview_Inventory[[#This Row],[Fin BSMT]]*Lookups!$B$16</f>
        <v>0</v>
      </c>
      <c r="BO1596" s="6">
        <f>(Grandview_Inventory[[#This Row],[att_gar]]+Grandview_Inventory[[#This Row],[bltin_gar]])*Lookups!$B$17</f>
        <v>0</v>
      </c>
      <c r="BP1596" s="6">
        <f>Grandview_Inventory[[#This Row],[Plumbing Fixtures]]*Lookups!$B$18</f>
        <v>16083.5344</v>
      </c>
      <c r="BQ1596" s="6">
        <f>Grandview_Inventory[[#This Row],[detatched_value]]*Lookups!$B$19</f>
        <v>0</v>
      </c>
      <c r="BR1596" s="6">
        <f>SUM(Grandview_Inventory[[#This Row],[Intercept]:[det_value]])*Grandview_Inventory[[#This Row],[res_pct]]</f>
        <v>134087.04662682908</v>
      </c>
      <c r="BS1596" s="6">
        <f>Grandview_Inventory[[#This Row],[land_value]]</f>
        <v>45695.532079096141</v>
      </c>
      <c r="BT1596" s="4">
        <f>_xlfn.IFNA(VLOOKUP(Grandview_Inventory[[#This Row],[quality]],Lookups!$A$26:$C$33,3,FALSE),1)</f>
        <v>0.9690360070159818</v>
      </c>
      <c r="BU1596" s="4">
        <f>_xlfn.IFNA(VLOOKUP(Grandview_Inventory[[#This Row],[condition]],Lookups!$A$37:$C$44,3,FALSE),1)</f>
        <v>0.97161819570155394</v>
      </c>
      <c r="BV1596" s="4">
        <f>IF(Grandview_Inventory[[#This Row],[bldg_style]]="",1,_xlfn.IFNA(VLOOKUP(Grandview_Inventory[[#This Row],[decade]],Lookups!$F$29:$H$43,3,FALSE),1))</f>
        <v>0.9251738460551937</v>
      </c>
      <c r="BW1596" s="4">
        <f>_xlfn.IFNA(VLOOKUP(Grandview_Inventory[[#This Row],[living_area_range]],Lookups!$F$47:$H$56,3,FALSE),1)</f>
        <v>0.96135087979789358</v>
      </c>
      <c r="BX1596" s="4">
        <f>AVERAGE(Grandview_Inventory[[#This Row],[qual_adj]:[size_adj]])</f>
        <v>0.95679473214265576</v>
      </c>
      <c r="BY1596" s="6">
        <f>IF(Grandview_Inventory[[#This Row],[pre_res]]&lt;0,0,Grandview_Inventory[[#This Row],[pre_res]]*Grandview_Inventory[[#This Row],[overall_adj]])</f>
        <v>128293.77986111672</v>
      </c>
      <c r="BZ1596" s="6">
        <f>(Grandview_Inventory[[#This Row],[sum_land]]-IF(Grandview_Inventory[[#This Row],[no_utilities]]=1,12000,0))/IF(Grandview_Inventory[[#This Row],[unbuildable]]=1,2,1)</f>
        <v>45695.532079096141</v>
      </c>
      <c r="CA159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96">
        <f>ROUND(Grandview_Inventory[[#This Row],[det_value]]*Lookups!$M$28,-2)</f>
        <v>0</v>
      </c>
      <c r="CC1596">
        <f>IF(ROUND(Grandview_Inventory[[#This Row],[adj_res]]*Lookups!$M$28,-2)&lt;Grandview_Inventory[[#This Row],[min_res]],Grandview_Inventory[[#This Row],[min_res]],ROUND(Grandview_Inventory[[#This Row],[adj_res]]*Lookups!$M$28,-2))</f>
        <v>121900</v>
      </c>
      <c r="CD1596">
        <f>Grandview_Inventory[[#This Row],[final_det]]+Grandview_Inventory[[#This Row],[final_res]]</f>
        <v>121900</v>
      </c>
      <c r="CE1596">
        <f>Grandview_Inventory[[#This Row],[final_land]]+Grandview_Inventory[[#This Row],[final_imp]]+Grandview_Inventory[[#This Row],[crop_value]]</f>
        <v>165300</v>
      </c>
      <c r="CG1596" t="str">
        <f t="shared" si="24"/>
        <v>update valuation set market_land =43400, market_bldg=121900, market_total =165300, market_mdno =401, market_date ='9/10/2023' where link_id = (select link_id from parcel where parcel_year = '2024' and parcel_id = '23092324429');</v>
      </c>
    </row>
    <row r="1597" spans="1:85" x14ac:dyDescent="0.25">
      <c r="A1597">
        <v>23092324431</v>
      </c>
      <c r="B1597">
        <v>0.16</v>
      </c>
      <c r="C1597">
        <v>6867</v>
      </c>
      <c r="D1597" t="s">
        <v>129</v>
      </c>
      <c r="E1597" t="s">
        <v>53</v>
      </c>
      <c r="F1597" t="s">
        <v>53</v>
      </c>
      <c r="G1597">
        <v>4</v>
      </c>
      <c r="H1597" t="s">
        <v>54</v>
      </c>
      <c r="I1597">
        <v>127500</v>
      </c>
      <c r="J1597">
        <v>39000</v>
      </c>
      <c r="K1597">
        <v>0.16</v>
      </c>
      <c r="L159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97">
        <v>0</v>
      </c>
      <c r="N1597">
        <v>0</v>
      </c>
      <c r="O1597">
        <v>0</v>
      </c>
      <c r="P1597">
        <v>13398.7528</v>
      </c>
      <c r="Q1597">
        <v>63903</v>
      </c>
      <c r="R1597">
        <f>(Grandview_Inventory[[#This Row],[ln_acres]]*Grandview_Inventory[[#This Row],[coeff]])+Grandview_Inventory[[#This Row],[const]]</f>
        <v>39348.693981374228</v>
      </c>
      <c r="S1597" t="s">
        <v>68</v>
      </c>
      <c r="T1597">
        <v>1</v>
      </c>
      <c r="U1597" t="s">
        <v>70</v>
      </c>
      <c r="V1597" t="s">
        <v>69</v>
      </c>
      <c r="W1597">
        <v>0</v>
      </c>
      <c r="X1597">
        <v>0</v>
      </c>
      <c r="Y1597">
        <v>52</v>
      </c>
      <c r="Z1597">
        <v>88</v>
      </c>
      <c r="AA1597">
        <v>90</v>
      </c>
      <c r="AB1597">
        <v>1500</v>
      </c>
      <c r="AC1597">
        <v>1142</v>
      </c>
      <c r="AD1597">
        <v>1142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288</v>
      </c>
      <c r="AN1597">
        <v>24</v>
      </c>
      <c r="AO1597">
        <v>288</v>
      </c>
      <c r="AP1597">
        <v>5</v>
      </c>
      <c r="AQ1597">
        <v>0</v>
      </c>
      <c r="AR1597">
        <v>0</v>
      </c>
      <c r="AS1597" t="s">
        <v>58</v>
      </c>
      <c r="AT1597">
        <v>1</v>
      </c>
      <c r="AU1597" t="s">
        <v>63</v>
      </c>
      <c r="AV1597" t="s">
        <v>60</v>
      </c>
      <c r="AW1597">
        <v>0</v>
      </c>
      <c r="AX1597">
        <v>2</v>
      </c>
      <c r="AY1597">
        <v>0</v>
      </c>
      <c r="AZ1597">
        <v>0</v>
      </c>
      <c r="BA1597">
        <v>100</v>
      </c>
      <c r="BB1597">
        <v>100</v>
      </c>
      <c r="BC1597">
        <v>100</v>
      </c>
      <c r="BD1597">
        <v>100</v>
      </c>
      <c r="BE1597">
        <v>1</v>
      </c>
      <c r="BF1597">
        <v>15000</v>
      </c>
      <c r="BG1597">
        <v>1000</v>
      </c>
      <c r="BH1597" s="6">
        <f>Grandview_Inventory[[#This Row],[land_extract]]*Lookups!$B$3</f>
        <v>45695.532079096141</v>
      </c>
      <c r="BI1597" s="6">
        <f>IF(Grandview_Inventory[[#This Row],[bldg_style]]="",0,Lookups!$B$2)</f>
        <v>155833.95000000001</v>
      </c>
      <c r="BJ1597" s="6">
        <f>_xlfn.IFNA(VLOOKUP(Grandview_Inventory[[#This Row],[quality]],Lookups!$H$2:$J$14,3,FALSE),0)</f>
        <v>10733</v>
      </c>
      <c r="BK1597" s="6">
        <f>_xlfn.IFNA(VLOOKUP(Grandview_Inventory[[#This Row],[condition]],Lookups!$H$17:$J$24,3,FALSE),0)</f>
        <v>-4503</v>
      </c>
      <c r="BL1597" s="6">
        <f>Grandview_Inventory[[#This Row],[Eff_Age]]*Lookups!$B$14</f>
        <v>-12436.663199999999</v>
      </c>
      <c r="BM1597" s="6">
        <f>Grandview_Inventory[[#This Row],[living_area]]*Lookups!$B$15</f>
        <v>71238.934126000007</v>
      </c>
      <c r="BN1597" s="6">
        <f>Grandview_Inventory[[#This Row],[Fin BSMT]]*Lookups!$B$16</f>
        <v>0</v>
      </c>
      <c r="BO1597" s="6">
        <f>(Grandview_Inventory[[#This Row],[att_gar]]+Grandview_Inventory[[#This Row],[bltin_gar]])*Lookups!$B$17</f>
        <v>0</v>
      </c>
      <c r="BP1597" s="6">
        <f>Grandview_Inventory[[#This Row],[Plumbing Fixtures]]*Lookups!$B$18</f>
        <v>10052.209000000001</v>
      </c>
      <c r="BQ1597" s="6">
        <f>Grandview_Inventory[[#This Row],[detatched_value]]*Lookups!$B$19</f>
        <v>0</v>
      </c>
      <c r="BR1597" s="6">
        <f>SUM(Grandview_Inventory[[#This Row],[Intercept]:[det_value]])*Grandview_Inventory[[#This Row],[res_pct]]</f>
        <v>230918.42992600001</v>
      </c>
      <c r="BS1597" s="6">
        <f>Grandview_Inventory[[#This Row],[land_value]]</f>
        <v>45695.532079096141</v>
      </c>
      <c r="BT1597" s="4">
        <f>_xlfn.IFNA(VLOOKUP(Grandview_Inventory[[#This Row],[quality]],Lookups!$A$26:$C$33,3,FALSE),1)</f>
        <v>0.98079741117310582</v>
      </c>
      <c r="BU1597" s="4">
        <f>_xlfn.IFNA(VLOOKUP(Grandview_Inventory[[#This Row],[condition]],Lookups!$A$37:$C$44,3,FALSE),1)</f>
        <v>0.96469275950863709</v>
      </c>
      <c r="BV1597" s="4">
        <f>IF(Grandview_Inventory[[#This Row],[bldg_style]]="",1,_xlfn.IFNA(VLOOKUP(Grandview_Inventory[[#This Row],[decade]],Lookups!$F$29:$H$43,3,FALSE),1))</f>
        <v>0.94161750052457416</v>
      </c>
      <c r="BW1597" s="4">
        <f>_xlfn.IFNA(VLOOKUP(Grandview_Inventory[[#This Row],[living_area_range]],Lookups!$F$47:$H$56,3,FALSE),1)</f>
        <v>0.96135087979789358</v>
      </c>
      <c r="BX1597" s="4">
        <f>AVERAGE(Grandview_Inventory[[#This Row],[qual_adj]:[size_adj]])</f>
        <v>0.96211463775105266</v>
      </c>
      <c r="BY1597" s="6">
        <f>IF(Grandview_Inventory[[#This Row],[pre_res]]&lt;0,0,Grandview_Inventory[[#This Row],[pre_res]]*Grandview_Inventory[[#This Row],[overall_adj]])</f>
        <v>222170.00155829533</v>
      </c>
      <c r="BZ1597" s="6">
        <f>(Grandview_Inventory[[#This Row],[sum_land]]-IF(Grandview_Inventory[[#This Row],[no_utilities]]=1,12000,0))/IF(Grandview_Inventory[[#This Row],[unbuildable]]=1,2,1)</f>
        <v>45695.532079096141</v>
      </c>
      <c r="CA159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97">
        <f>ROUND(Grandview_Inventory[[#This Row],[det_value]]*Lookups!$M$28,-2)</f>
        <v>0</v>
      </c>
      <c r="CC1597">
        <f>IF(ROUND(Grandview_Inventory[[#This Row],[adj_res]]*Lookups!$M$28,-2)&lt;Grandview_Inventory[[#This Row],[min_res]],Grandview_Inventory[[#This Row],[min_res]],ROUND(Grandview_Inventory[[#This Row],[adj_res]]*Lookups!$M$28,-2))</f>
        <v>211100</v>
      </c>
      <c r="CD1597">
        <f>Grandview_Inventory[[#This Row],[final_det]]+Grandview_Inventory[[#This Row],[final_res]]</f>
        <v>211100</v>
      </c>
      <c r="CE1597">
        <f>Grandview_Inventory[[#This Row],[final_land]]+Grandview_Inventory[[#This Row],[final_imp]]+Grandview_Inventory[[#This Row],[crop_value]]</f>
        <v>254500</v>
      </c>
      <c r="CG1597" t="str">
        <f t="shared" si="24"/>
        <v>update valuation set market_land =43400, market_bldg=211100, market_total =254500, market_mdno =401, market_date ='9/10/2023' where link_id = (select link_id from parcel where parcel_year = '2024' and parcel_id = '23092324431');</v>
      </c>
    </row>
    <row r="1598" spans="1:85" x14ac:dyDescent="0.25">
      <c r="A1598">
        <v>23092324432</v>
      </c>
      <c r="B1598">
        <v>0.16</v>
      </c>
      <c r="C1598">
        <v>7175</v>
      </c>
      <c r="D1598" t="s">
        <v>129</v>
      </c>
      <c r="E1598" t="s">
        <v>53</v>
      </c>
      <c r="F1598" t="s">
        <v>53</v>
      </c>
      <c r="G1598">
        <v>4</v>
      </c>
      <c r="H1598" t="s">
        <v>54</v>
      </c>
      <c r="I1598">
        <v>147500</v>
      </c>
      <c r="J1598">
        <v>39100</v>
      </c>
      <c r="K1598">
        <v>0.16</v>
      </c>
      <c r="L159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598">
        <v>0</v>
      </c>
      <c r="N1598">
        <v>0</v>
      </c>
      <c r="O1598">
        <v>0</v>
      </c>
      <c r="P1598">
        <v>13398.7528</v>
      </c>
      <c r="Q1598">
        <v>63903</v>
      </c>
      <c r="R1598">
        <f>(Grandview_Inventory[[#This Row],[ln_acres]]*Grandview_Inventory[[#This Row],[coeff]])+Grandview_Inventory[[#This Row],[const]]</f>
        <v>39348.693981374228</v>
      </c>
      <c r="S1598" t="s">
        <v>68</v>
      </c>
      <c r="T1598">
        <v>1</v>
      </c>
      <c r="U1598" t="s">
        <v>70</v>
      </c>
      <c r="V1598" t="s">
        <v>67</v>
      </c>
      <c r="W1598">
        <v>0</v>
      </c>
      <c r="X1598">
        <v>0</v>
      </c>
      <c r="Y1598">
        <v>49</v>
      </c>
      <c r="Z1598">
        <v>113</v>
      </c>
      <c r="AA1598">
        <v>120</v>
      </c>
      <c r="AB1598">
        <v>1000</v>
      </c>
      <c r="AC1598">
        <v>792</v>
      </c>
      <c r="AD1598">
        <v>792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396</v>
      </c>
      <c r="AL1598">
        <v>104</v>
      </c>
      <c r="AM1598">
        <v>0</v>
      </c>
      <c r="AN1598">
        <v>0</v>
      </c>
      <c r="AO1598">
        <v>0</v>
      </c>
      <c r="AP1598">
        <v>5</v>
      </c>
      <c r="AQ1598">
        <v>0</v>
      </c>
      <c r="AR1598">
        <v>0</v>
      </c>
      <c r="AS1598" t="s">
        <v>58</v>
      </c>
      <c r="AT1598">
        <v>1</v>
      </c>
      <c r="AU1598" t="s">
        <v>63</v>
      </c>
      <c r="AV1598" t="s">
        <v>64</v>
      </c>
      <c r="AW1598">
        <v>0</v>
      </c>
      <c r="AX1598">
        <v>2</v>
      </c>
      <c r="AY1598">
        <v>0</v>
      </c>
      <c r="AZ1598">
        <v>0</v>
      </c>
      <c r="BA1598">
        <v>100</v>
      </c>
      <c r="BB1598">
        <v>100</v>
      </c>
      <c r="BC1598">
        <v>100</v>
      </c>
      <c r="BD1598">
        <v>100</v>
      </c>
      <c r="BE1598">
        <v>1</v>
      </c>
      <c r="BF1598">
        <v>15000</v>
      </c>
      <c r="BG1598">
        <v>1000</v>
      </c>
      <c r="BH1598" s="6">
        <f>Grandview_Inventory[[#This Row],[land_extract]]*Lookups!$B$3</f>
        <v>45695.532079096141</v>
      </c>
      <c r="BI1598" s="6">
        <f>IF(Grandview_Inventory[[#This Row],[bldg_style]]="",0,Lookups!$B$2)</f>
        <v>155833.95000000001</v>
      </c>
      <c r="BJ1598" s="6">
        <f>_xlfn.IFNA(VLOOKUP(Grandview_Inventory[[#This Row],[quality]],Lookups!$H$2:$J$14,3,FALSE),0)</f>
        <v>10733</v>
      </c>
      <c r="BK1598" s="6">
        <f>_xlfn.IFNA(VLOOKUP(Grandview_Inventory[[#This Row],[condition]],Lookups!$H$17:$J$24,3,FALSE),0)</f>
        <v>22342</v>
      </c>
      <c r="BL1598" s="6">
        <f>Grandview_Inventory[[#This Row],[Eff_Age]]*Lookups!$B$14</f>
        <v>-11719.163399999999</v>
      </c>
      <c r="BM1598" s="6">
        <f>Grandview_Inventory[[#This Row],[living_area]]*Lookups!$B$15</f>
        <v>49405.635576000001</v>
      </c>
      <c r="BN1598" s="6">
        <f>Grandview_Inventory[[#This Row],[Fin BSMT]]*Lookups!$B$16</f>
        <v>0</v>
      </c>
      <c r="BO1598" s="6">
        <f>(Grandview_Inventory[[#This Row],[att_gar]]+Grandview_Inventory[[#This Row],[bltin_gar]])*Lookups!$B$17</f>
        <v>0</v>
      </c>
      <c r="BP1598" s="6">
        <f>Grandview_Inventory[[#This Row],[Plumbing Fixtures]]*Lookups!$B$18</f>
        <v>10052.209000000001</v>
      </c>
      <c r="BQ1598" s="6">
        <f>Grandview_Inventory[[#This Row],[detatched_value]]*Lookups!$B$19</f>
        <v>0</v>
      </c>
      <c r="BR1598" s="6">
        <f>SUM(Grandview_Inventory[[#This Row],[Intercept]:[det_value]])*Grandview_Inventory[[#This Row],[res_pct]]</f>
        <v>236647.63117600002</v>
      </c>
      <c r="BS1598" s="6">
        <f>Grandview_Inventory[[#This Row],[land_value]]</f>
        <v>45695.532079096141</v>
      </c>
      <c r="BT1598" s="4">
        <f>_xlfn.IFNA(VLOOKUP(Grandview_Inventory[[#This Row],[quality]],Lookups!$A$26:$C$33,3,FALSE),1)</f>
        <v>0.98079741117310582</v>
      </c>
      <c r="BU1598" s="4">
        <f>_xlfn.IFNA(VLOOKUP(Grandview_Inventory[[#This Row],[condition]],Lookups!$A$37:$C$44,3,FALSE),1)</f>
        <v>0.97383723671140243</v>
      </c>
      <c r="BV1598" s="4">
        <f>IF(Grandview_Inventory[[#This Row],[bldg_style]]="",1,_xlfn.IFNA(VLOOKUP(Grandview_Inventory[[#This Row],[decade]],Lookups!$F$29:$H$43,3,FALSE),1))</f>
        <v>0.9251738460551937</v>
      </c>
      <c r="BW1598" s="4">
        <f>_xlfn.IFNA(VLOOKUP(Grandview_Inventory[[#This Row],[living_area_range]],Lookups!$F$47:$H$56,3,FALSE),1)</f>
        <v>0.94306777142782894</v>
      </c>
      <c r="BX1598" s="4">
        <f>AVERAGE(Grandview_Inventory[[#This Row],[qual_adj]:[size_adj]])</f>
        <v>0.95571906634188275</v>
      </c>
      <c r="BY1598" s="6">
        <f>IF(Grandview_Inventory[[#This Row],[pre_res]]&lt;0,0,Grandview_Inventory[[#This Row],[pre_res]]*Grandview_Inventory[[#This Row],[overall_adj]])</f>
        <v>226168.65311954496</v>
      </c>
      <c r="BZ1598" s="6">
        <f>(Grandview_Inventory[[#This Row],[sum_land]]-IF(Grandview_Inventory[[#This Row],[no_utilities]]=1,12000,0))/IF(Grandview_Inventory[[#This Row],[unbuildable]]=1,2,1)</f>
        <v>45695.532079096141</v>
      </c>
      <c r="CA159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598">
        <f>ROUND(Grandview_Inventory[[#This Row],[det_value]]*Lookups!$M$28,-2)</f>
        <v>0</v>
      </c>
      <c r="CC1598">
        <f>IF(ROUND(Grandview_Inventory[[#This Row],[adj_res]]*Lookups!$M$28,-2)&lt;Grandview_Inventory[[#This Row],[min_res]],Grandview_Inventory[[#This Row],[min_res]],ROUND(Grandview_Inventory[[#This Row],[adj_res]]*Lookups!$M$28,-2))</f>
        <v>214900</v>
      </c>
      <c r="CD1598">
        <f>Grandview_Inventory[[#This Row],[final_det]]+Grandview_Inventory[[#This Row],[final_res]]</f>
        <v>214900</v>
      </c>
      <c r="CE1598">
        <f>Grandview_Inventory[[#This Row],[final_land]]+Grandview_Inventory[[#This Row],[final_imp]]+Grandview_Inventory[[#This Row],[crop_value]]</f>
        <v>258300</v>
      </c>
      <c r="CG1598" t="str">
        <f t="shared" si="24"/>
        <v>update valuation set market_land =43400, market_bldg=214900, market_total =258300, market_mdno =401, market_date ='9/10/2023' where link_id = (select link_id from parcel where parcel_year = '2024' and parcel_id = '23092324432');</v>
      </c>
    </row>
    <row r="1599" spans="1:85" x14ac:dyDescent="0.25">
      <c r="A1599">
        <v>23092324433</v>
      </c>
      <c r="B1599">
        <v>0.17</v>
      </c>
      <c r="C1599">
        <v>7244</v>
      </c>
      <c r="D1599" t="s">
        <v>129</v>
      </c>
      <c r="E1599" t="s">
        <v>53</v>
      </c>
      <c r="F1599" t="s">
        <v>53</v>
      </c>
      <c r="G1599">
        <v>4</v>
      </c>
      <c r="H1599" t="s">
        <v>54</v>
      </c>
      <c r="I1599">
        <v>189800</v>
      </c>
      <c r="J1599">
        <v>39100</v>
      </c>
      <c r="K1599">
        <v>0.17</v>
      </c>
      <c r="L159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599">
        <v>0</v>
      </c>
      <c r="N1599">
        <v>0</v>
      </c>
      <c r="O1599">
        <v>0</v>
      </c>
      <c r="P1599">
        <v>13398.7528</v>
      </c>
      <c r="Q1599">
        <v>63903</v>
      </c>
      <c r="R1599">
        <f>(Grandview_Inventory[[#This Row],[ln_acres]]*Grandview_Inventory[[#This Row],[coeff]])+Grandview_Inventory[[#This Row],[const]]</f>
        <v>40160.988302686128</v>
      </c>
      <c r="S1599" t="s">
        <v>68</v>
      </c>
      <c r="T1599">
        <v>1</v>
      </c>
      <c r="U1599" t="s">
        <v>65</v>
      </c>
      <c r="V1599" t="s">
        <v>67</v>
      </c>
      <c r="W1599">
        <v>0</v>
      </c>
      <c r="X1599">
        <v>0</v>
      </c>
      <c r="Y1599">
        <v>49</v>
      </c>
      <c r="Z1599">
        <v>68</v>
      </c>
      <c r="AA1599">
        <v>70</v>
      </c>
      <c r="AB1599">
        <v>2000</v>
      </c>
      <c r="AC1599">
        <v>1620</v>
      </c>
      <c r="AD1599">
        <v>1620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180</v>
      </c>
      <c r="AO1599">
        <v>0</v>
      </c>
      <c r="AP1599">
        <v>8</v>
      </c>
      <c r="AQ1599">
        <v>0</v>
      </c>
      <c r="AR1599">
        <v>0</v>
      </c>
      <c r="AS1599" t="s">
        <v>58</v>
      </c>
      <c r="AT1599">
        <v>1</v>
      </c>
      <c r="AU1599" t="s">
        <v>63</v>
      </c>
      <c r="AV1599" t="s">
        <v>64</v>
      </c>
      <c r="AW1599">
        <v>1</v>
      </c>
      <c r="AX1599">
        <v>4</v>
      </c>
      <c r="AY1599">
        <v>0</v>
      </c>
      <c r="AZ1599">
        <v>0</v>
      </c>
      <c r="BA1599">
        <v>100</v>
      </c>
      <c r="BB1599">
        <v>100</v>
      </c>
      <c r="BC1599">
        <v>100</v>
      </c>
      <c r="BD1599">
        <v>100</v>
      </c>
      <c r="BE1599">
        <v>1</v>
      </c>
      <c r="BF1599">
        <v>15000</v>
      </c>
      <c r="BG1599">
        <v>1000</v>
      </c>
      <c r="BH1599" s="6">
        <f>Grandview_Inventory[[#This Row],[land_extract]]*Lookups!$B$3</f>
        <v>46638.847281240982</v>
      </c>
      <c r="BI1599" s="6">
        <f>IF(Grandview_Inventory[[#This Row],[bldg_style]]="",0,Lookups!$B$2)</f>
        <v>155833.95000000001</v>
      </c>
      <c r="BJ1599" s="6">
        <f>_xlfn.IFNA(VLOOKUP(Grandview_Inventory[[#This Row],[quality]],Lookups!$H$2:$J$14,3,FALSE),0)</f>
        <v>2251</v>
      </c>
      <c r="BK1599" s="6">
        <f>_xlfn.IFNA(VLOOKUP(Grandview_Inventory[[#This Row],[condition]],Lookups!$H$17:$J$24,3,FALSE),0)</f>
        <v>22342</v>
      </c>
      <c r="BL1599" s="6">
        <f>Grandview_Inventory[[#This Row],[Eff_Age]]*Lookups!$B$14</f>
        <v>-11719.163399999999</v>
      </c>
      <c r="BM1599" s="6">
        <f>Grandview_Inventory[[#This Row],[living_area]]*Lookups!$B$15</f>
        <v>101056.98186</v>
      </c>
      <c r="BN1599" s="6">
        <f>Grandview_Inventory[[#This Row],[Fin BSMT]]*Lookups!$B$16</f>
        <v>0</v>
      </c>
      <c r="BO1599" s="6">
        <f>(Grandview_Inventory[[#This Row],[att_gar]]+Grandview_Inventory[[#This Row],[bltin_gar]])*Lookups!$B$17</f>
        <v>0</v>
      </c>
      <c r="BP1599" s="6">
        <f>Grandview_Inventory[[#This Row],[Plumbing Fixtures]]*Lookups!$B$18</f>
        <v>16083.5344</v>
      </c>
      <c r="BQ1599" s="6">
        <f>Grandview_Inventory[[#This Row],[detatched_value]]*Lookups!$B$19</f>
        <v>0</v>
      </c>
      <c r="BR1599" s="6">
        <f>SUM(Grandview_Inventory[[#This Row],[Intercept]:[det_value]])*Grandview_Inventory[[#This Row],[res_pct]]</f>
        <v>285848.30286000005</v>
      </c>
      <c r="BS1599" s="6">
        <f>Grandview_Inventory[[#This Row],[land_value]]</f>
        <v>46638.847281240982</v>
      </c>
      <c r="BT1599" s="4">
        <f>_xlfn.IFNA(VLOOKUP(Grandview_Inventory[[#This Row],[quality]],Lookups!$A$26:$C$33,3,FALSE),1)</f>
        <v>0.98763855981004833</v>
      </c>
      <c r="BU1599" s="4">
        <f>_xlfn.IFNA(VLOOKUP(Grandview_Inventory[[#This Row],[condition]],Lookups!$A$37:$C$44,3,FALSE),1)</f>
        <v>0.97383723671140243</v>
      </c>
      <c r="BV1599" s="4">
        <f>IF(Grandview_Inventory[[#This Row],[bldg_style]]="",1,_xlfn.IFNA(VLOOKUP(Grandview_Inventory[[#This Row],[decade]],Lookups!$F$29:$H$43,3,FALSE),1))</f>
        <v>0.99472141305414818</v>
      </c>
      <c r="BW1599" s="4">
        <f>_xlfn.IFNA(VLOOKUP(Grandview_Inventory[[#This Row],[living_area_range]],Lookups!$F$47:$H$56,3,FALSE),1)</f>
        <v>0.96120133463014379</v>
      </c>
      <c r="BX1599" s="4">
        <f>AVERAGE(Grandview_Inventory[[#This Row],[qual_adj]:[size_adj]])</f>
        <v>0.97934963605143577</v>
      </c>
      <c r="BY1599" s="6">
        <f>IF(Grandview_Inventory[[#This Row],[pre_res]]&lt;0,0,Grandview_Inventory[[#This Row],[pre_res]]*Grandview_Inventory[[#This Row],[overall_adj]])</f>
        <v>279945.43137186166</v>
      </c>
      <c r="BZ1599" s="6">
        <f>(Grandview_Inventory[[#This Row],[sum_land]]-IF(Grandview_Inventory[[#This Row],[no_utilities]]=1,12000,0))/IF(Grandview_Inventory[[#This Row],[unbuildable]]=1,2,1)</f>
        <v>46638.847281240982</v>
      </c>
      <c r="CA159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599">
        <f>ROUND(Grandview_Inventory[[#This Row],[det_value]]*Lookups!$M$28,-2)</f>
        <v>0</v>
      </c>
      <c r="CC1599">
        <f>IF(ROUND(Grandview_Inventory[[#This Row],[adj_res]]*Lookups!$M$28,-2)&lt;Grandview_Inventory[[#This Row],[min_res]],Grandview_Inventory[[#This Row],[min_res]],ROUND(Grandview_Inventory[[#This Row],[adj_res]]*Lookups!$M$28,-2))</f>
        <v>265900</v>
      </c>
      <c r="CD1599">
        <f>Grandview_Inventory[[#This Row],[final_det]]+Grandview_Inventory[[#This Row],[final_res]]</f>
        <v>265900</v>
      </c>
      <c r="CE1599">
        <f>Grandview_Inventory[[#This Row],[final_land]]+Grandview_Inventory[[#This Row],[final_imp]]+Grandview_Inventory[[#This Row],[crop_value]]</f>
        <v>310200</v>
      </c>
      <c r="CG1599" t="str">
        <f t="shared" si="24"/>
        <v>update valuation set market_land =44300, market_bldg=265900, market_total =310200, market_mdno =401, market_date ='9/10/2023' where link_id = (select link_id from parcel where parcel_year = '2024' and parcel_id = '23092324433');</v>
      </c>
    </row>
    <row r="1600" spans="1:85" x14ac:dyDescent="0.25">
      <c r="A1600">
        <v>23092324434</v>
      </c>
      <c r="B1600">
        <v>0.17</v>
      </c>
      <c r="C1600">
        <v>7322</v>
      </c>
      <c r="D1600" t="s">
        <v>129</v>
      </c>
      <c r="E1600" t="s">
        <v>53</v>
      </c>
      <c r="F1600" t="s">
        <v>53</v>
      </c>
      <c r="G1600">
        <v>4</v>
      </c>
      <c r="H1600" t="s">
        <v>54</v>
      </c>
      <c r="I1600">
        <v>96600</v>
      </c>
      <c r="J1600">
        <v>39300</v>
      </c>
      <c r="K1600">
        <v>0.17</v>
      </c>
      <c r="L160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600">
        <v>0</v>
      </c>
      <c r="N1600">
        <v>0</v>
      </c>
      <c r="O1600">
        <v>0</v>
      </c>
      <c r="P1600">
        <v>13398.7528</v>
      </c>
      <c r="Q1600">
        <v>63903</v>
      </c>
      <c r="R1600">
        <f>(Grandview_Inventory[[#This Row],[ln_acres]]*Grandview_Inventory[[#This Row],[coeff]])+Grandview_Inventory[[#This Row],[const]]</f>
        <v>40160.988302686128</v>
      </c>
      <c r="S1600" t="s">
        <v>68</v>
      </c>
      <c r="T1600">
        <v>1</v>
      </c>
      <c r="U1600" t="s">
        <v>80</v>
      </c>
      <c r="V1600" t="s">
        <v>69</v>
      </c>
      <c r="W1600">
        <v>0</v>
      </c>
      <c r="X1600">
        <v>0</v>
      </c>
      <c r="Y1600">
        <v>53</v>
      </c>
      <c r="Z1600">
        <v>93</v>
      </c>
      <c r="AA1600">
        <v>100</v>
      </c>
      <c r="AB1600">
        <v>1000</v>
      </c>
      <c r="AC1600">
        <v>990</v>
      </c>
      <c r="AD1600">
        <v>990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42</v>
      </c>
      <c r="AO1600">
        <v>0</v>
      </c>
      <c r="AP1600">
        <v>5</v>
      </c>
      <c r="AQ1600">
        <v>0</v>
      </c>
      <c r="AR1600">
        <v>0</v>
      </c>
      <c r="AS1600" t="s">
        <v>58</v>
      </c>
      <c r="AT1600">
        <v>1</v>
      </c>
      <c r="AU1600" t="s">
        <v>63</v>
      </c>
      <c r="AV1600" t="s">
        <v>64</v>
      </c>
      <c r="AW1600">
        <v>0</v>
      </c>
      <c r="AX1600">
        <v>3</v>
      </c>
      <c r="AY1600">
        <v>0</v>
      </c>
      <c r="AZ1600">
        <v>0</v>
      </c>
      <c r="BA1600">
        <v>100</v>
      </c>
      <c r="BB1600">
        <v>100</v>
      </c>
      <c r="BC1600">
        <v>100</v>
      </c>
      <c r="BD1600">
        <v>100</v>
      </c>
      <c r="BE1600">
        <v>1</v>
      </c>
      <c r="BF1600">
        <v>15000</v>
      </c>
      <c r="BG1600">
        <v>1000</v>
      </c>
      <c r="BH1600" s="6">
        <f>Grandview_Inventory[[#This Row],[land_extract]]*Lookups!$B$3</f>
        <v>46638.847281240982</v>
      </c>
      <c r="BI1600" s="6">
        <f>IF(Grandview_Inventory[[#This Row],[bldg_style]]="",0,Lookups!$B$2)</f>
        <v>155833.95000000001</v>
      </c>
      <c r="BJ1600" s="6">
        <f>_xlfn.IFNA(VLOOKUP(Grandview_Inventory[[#This Row],[quality]],Lookups!$H$2:$J$14,3,FALSE),0)</f>
        <v>-28558</v>
      </c>
      <c r="BK1600" s="6">
        <f>_xlfn.IFNA(VLOOKUP(Grandview_Inventory[[#This Row],[condition]],Lookups!$H$17:$J$24,3,FALSE),0)</f>
        <v>-4503</v>
      </c>
      <c r="BL1600" s="6">
        <f>Grandview_Inventory[[#This Row],[Eff_Age]]*Lookups!$B$14</f>
        <v>-12675.8298</v>
      </c>
      <c r="BM1600" s="6">
        <f>Grandview_Inventory[[#This Row],[living_area]]*Lookups!$B$15</f>
        <v>61757.044470000001</v>
      </c>
      <c r="BN1600" s="6">
        <f>Grandview_Inventory[[#This Row],[Fin BSMT]]*Lookups!$B$16</f>
        <v>0</v>
      </c>
      <c r="BO1600" s="6">
        <f>(Grandview_Inventory[[#This Row],[att_gar]]+Grandview_Inventory[[#This Row],[bltin_gar]])*Lookups!$B$17</f>
        <v>0</v>
      </c>
      <c r="BP1600" s="6">
        <f>Grandview_Inventory[[#This Row],[Plumbing Fixtures]]*Lookups!$B$18</f>
        <v>10052.209000000001</v>
      </c>
      <c r="BQ1600" s="6">
        <f>Grandview_Inventory[[#This Row],[detatched_value]]*Lookups!$B$19</f>
        <v>0</v>
      </c>
      <c r="BR1600" s="6">
        <f>SUM(Grandview_Inventory[[#This Row],[Intercept]:[det_value]])*Grandview_Inventory[[#This Row],[res_pct]]</f>
        <v>181906.37367</v>
      </c>
      <c r="BS1600" s="6">
        <f>Grandview_Inventory[[#This Row],[land_value]]</f>
        <v>46638.847281240982</v>
      </c>
      <c r="BT1600" s="4">
        <f>_xlfn.IFNA(VLOOKUP(Grandview_Inventory[[#This Row],[quality]],Lookups!$A$26:$C$33,3,FALSE),1)</f>
        <v>0.9690360070159818</v>
      </c>
      <c r="BU1600" s="4">
        <f>_xlfn.IFNA(VLOOKUP(Grandview_Inventory[[#This Row],[condition]],Lookups!$A$37:$C$44,3,FALSE),1)</f>
        <v>0.96469275950863709</v>
      </c>
      <c r="BV1600" s="4">
        <f>IF(Grandview_Inventory[[#This Row],[bldg_style]]="",1,_xlfn.IFNA(VLOOKUP(Grandview_Inventory[[#This Row],[decade]],Lookups!$F$29:$H$43,3,FALSE),1))</f>
        <v>0.95244691841736806</v>
      </c>
      <c r="BW1600" s="4">
        <f>_xlfn.IFNA(VLOOKUP(Grandview_Inventory[[#This Row],[living_area_range]],Lookups!$F$47:$H$56,3,FALSE),1)</f>
        <v>0.94306777142782894</v>
      </c>
      <c r="BX1600" s="4">
        <f>AVERAGE(Grandview_Inventory[[#This Row],[qual_adj]:[size_adj]])</f>
        <v>0.95731086409245392</v>
      </c>
      <c r="BY1600" s="6">
        <f>IF(Grandview_Inventory[[#This Row],[pre_res]]&lt;0,0,Grandview_Inventory[[#This Row],[pre_res]]*Grandview_Inventory[[#This Row],[overall_adj]])</f>
        <v>174140.9477619525</v>
      </c>
      <c r="BZ1600" s="6">
        <f>(Grandview_Inventory[[#This Row],[sum_land]]-IF(Grandview_Inventory[[#This Row],[no_utilities]]=1,12000,0))/IF(Grandview_Inventory[[#This Row],[unbuildable]]=1,2,1)</f>
        <v>46638.847281240982</v>
      </c>
      <c r="CA160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600">
        <f>ROUND(Grandview_Inventory[[#This Row],[det_value]]*Lookups!$M$28,-2)</f>
        <v>0</v>
      </c>
      <c r="CC1600">
        <f>IF(ROUND(Grandview_Inventory[[#This Row],[adj_res]]*Lookups!$M$28,-2)&lt;Grandview_Inventory[[#This Row],[min_res]],Grandview_Inventory[[#This Row],[min_res]],ROUND(Grandview_Inventory[[#This Row],[adj_res]]*Lookups!$M$28,-2))</f>
        <v>165400</v>
      </c>
      <c r="CD1600">
        <f>Grandview_Inventory[[#This Row],[final_det]]+Grandview_Inventory[[#This Row],[final_res]]</f>
        <v>165400</v>
      </c>
      <c r="CE1600">
        <f>Grandview_Inventory[[#This Row],[final_land]]+Grandview_Inventory[[#This Row],[final_imp]]+Grandview_Inventory[[#This Row],[crop_value]]</f>
        <v>209700</v>
      </c>
      <c r="CG1600" t="str">
        <f t="shared" si="24"/>
        <v>update valuation set market_land =44300, market_bldg=165400, market_total =209700, market_mdno =401, market_date ='9/10/2023' where link_id = (select link_id from parcel where parcel_year = '2024' and parcel_id = '23092324434');</v>
      </c>
    </row>
    <row r="1601" spans="1:85" x14ac:dyDescent="0.25">
      <c r="A1601">
        <v>23092324435</v>
      </c>
      <c r="B1601">
        <v>0.16</v>
      </c>
      <c r="C1601">
        <v>7168</v>
      </c>
      <c r="D1601" t="s">
        <v>129</v>
      </c>
      <c r="E1601" t="s">
        <v>53</v>
      </c>
      <c r="F1601" t="s">
        <v>53</v>
      </c>
      <c r="G1601">
        <v>4</v>
      </c>
      <c r="H1601" t="s">
        <v>54</v>
      </c>
      <c r="I1601">
        <v>146600</v>
      </c>
      <c r="J1601">
        <v>39100</v>
      </c>
      <c r="K1601">
        <v>0.16</v>
      </c>
      <c r="L160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01">
        <v>0</v>
      </c>
      <c r="N1601">
        <v>0</v>
      </c>
      <c r="O1601">
        <v>0</v>
      </c>
      <c r="P1601">
        <v>13398.7528</v>
      </c>
      <c r="Q1601">
        <v>63903</v>
      </c>
      <c r="R1601">
        <f>(Grandview_Inventory[[#This Row],[ln_acres]]*Grandview_Inventory[[#This Row],[coeff]])+Grandview_Inventory[[#This Row],[const]]</f>
        <v>39348.693981374228</v>
      </c>
      <c r="S1601" t="s">
        <v>68</v>
      </c>
      <c r="T1601">
        <v>1</v>
      </c>
      <c r="U1601" t="s">
        <v>70</v>
      </c>
      <c r="V1601" t="s">
        <v>69</v>
      </c>
      <c r="W1601">
        <v>0</v>
      </c>
      <c r="X1601">
        <v>0</v>
      </c>
      <c r="Y1601">
        <v>52</v>
      </c>
      <c r="Z1601">
        <v>88</v>
      </c>
      <c r="AA1601">
        <v>90</v>
      </c>
      <c r="AB1601">
        <v>2000</v>
      </c>
      <c r="AC1601">
        <v>1755</v>
      </c>
      <c r="AD1601">
        <v>1170</v>
      </c>
      <c r="AE1601">
        <v>0</v>
      </c>
      <c r="AF1601">
        <v>0</v>
      </c>
      <c r="AG1601">
        <v>585</v>
      </c>
      <c r="AH1601">
        <v>165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96</v>
      </c>
      <c r="AO1601">
        <v>110</v>
      </c>
      <c r="AP1601">
        <v>5</v>
      </c>
      <c r="AQ1601">
        <v>1</v>
      </c>
      <c r="AR1601">
        <v>0</v>
      </c>
      <c r="AS1601" t="s">
        <v>58</v>
      </c>
      <c r="AT1601">
        <v>1</v>
      </c>
      <c r="AU1601" t="s">
        <v>63</v>
      </c>
      <c r="AV1601" t="s">
        <v>64</v>
      </c>
      <c r="AW1601">
        <v>0</v>
      </c>
      <c r="AX1601">
        <v>3</v>
      </c>
      <c r="AY1601">
        <v>0</v>
      </c>
      <c r="AZ1601">
        <v>0</v>
      </c>
      <c r="BA1601">
        <v>100</v>
      </c>
      <c r="BB1601">
        <v>100</v>
      </c>
      <c r="BC1601">
        <v>100</v>
      </c>
      <c r="BD1601">
        <v>100</v>
      </c>
      <c r="BE1601">
        <v>1</v>
      </c>
      <c r="BF1601">
        <v>15000</v>
      </c>
      <c r="BG1601">
        <v>1000</v>
      </c>
      <c r="BH1601" s="6">
        <f>Grandview_Inventory[[#This Row],[land_extract]]*Lookups!$B$3</f>
        <v>45695.532079096141</v>
      </c>
      <c r="BI1601" s="6">
        <f>IF(Grandview_Inventory[[#This Row],[bldg_style]]="",0,Lookups!$B$2)</f>
        <v>155833.95000000001</v>
      </c>
      <c r="BJ1601" s="6">
        <f>_xlfn.IFNA(VLOOKUP(Grandview_Inventory[[#This Row],[quality]],Lookups!$H$2:$J$14,3,FALSE),0)</f>
        <v>10733</v>
      </c>
      <c r="BK1601" s="6">
        <f>_xlfn.IFNA(VLOOKUP(Grandview_Inventory[[#This Row],[condition]],Lookups!$H$17:$J$24,3,FALSE),0)</f>
        <v>-4503</v>
      </c>
      <c r="BL1601" s="6">
        <f>Grandview_Inventory[[#This Row],[Eff_Age]]*Lookups!$B$14</f>
        <v>-12436.663199999999</v>
      </c>
      <c r="BM1601" s="6">
        <f>Grandview_Inventory[[#This Row],[living_area]]*Lookups!$B$15</f>
        <v>109478.39701500001</v>
      </c>
      <c r="BN1601" s="6">
        <f>Grandview_Inventory[[#This Row],[Fin BSMT]]*Lookups!$B$16</f>
        <v>-15853.055400000001</v>
      </c>
      <c r="BO1601" s="6">
        <f>(Grandview_Inventory[[#This Row],[att_gar]]+Grandview_Inventory[[#This Row],[bltin_gar]])*Lookups!$B$17</f>
        <v>0</v>
      </c>
      <c r="BP1601" s="6">
        <f>Grandview_Inventory[[#This Row],[Plumbing Fixtures]]*Lookups!$B$18</f>
        <v>10052.209000000001</v>
      </c>
      <c r="BQ1601" s="6">
        <f>Grandview_Inventory[[#This Row],[detatched_value]]*Lookups!$B$19</f>
        <v>0</v>
      </c>
      <c r="BR1601" s="6">
        <f>SUM(Grandview_Inventory[[#This Row],[Intercept]:[det_value]])*Grandview_Inventory[[#This Row],[res_pct]]</f>
        <v>253304.83741499999</v>
      </c>
      <c r="BS1601" s="6">
        <f>Grandview_Inventory[[#This Row],[land_value]]</f>
        <v>45695.532079096141</v>
      </c>
      <c r="BT1601" s="4">
        <f>_xlfn.IFNA(VLOOKUP(Grandview_Inventory[[#This Row],[quality]],Lookups!$A$26:$C$33,3,FALSE),1)</f>
        <v>0.98079741117310582</v>
      </c>
      <c r="BU1601" s="4">
        <f>_xlfn.IFNA(VLOOKUP(Grandview_Inventory[[#This Row],[condition]],Lookups!$A$37:$C$44,3,FALSE),1)</f>
        <v>0.96469275950863709</v>
      </c>
      <c r="BV1601" s="4">
        <f>IF(Grandview_Inventory[[#This Row],[bldg_style]]="",1,_xlfn.IFNA(VLOOKUP(Grandview_Inventory[[#This Row],[decade]],Lookups!$F$29:$H$43,3,FALSE),1))</f>
        <v>0.94161750052457416</v>
      </c>
      <c r="BW1601" s="4">
        <f>_xlfn.IFNA(VLOOKUP(Grandview_Inventory[[#This Row],[living_area_range]],Lookups!$F$47:$H$56,3,FALSE),1)</f>
        <v>0.96120133463014379</v>
      </c>
      <c r="BX1601" s="4">
        <f>AVERAGE(Grandview_Inventory[[#This Row],[qual_adj]:[size_adj]])</f>
        <v>0.96207725145911516</v>
      </c>
      <c r="BY1601" s="6">
        <f>IF(Grandview_Inventory[[#This Row],[pre_res]]&lt;0,0,Grandview_Inventory[[#This Row],[pre_res]]*Grandview_Inventory[[#This Row],[overall_adj]])</f>
        <v>243698.82176152122</v>
      </c>
      <c r="BZ1601" s="6">
        <f>(Grandview_Inventory[[#This Row],[sum_land]]-IF(Grandview_Inventory[[#This Row],[no_utilities]]=1,12000,0))/IF(Grandview_Inventory[[#This Row],[unbuildable]]=1,2,1)</f>
        <v>45695.532079096141</v>
      </c>
      <c r="CA160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01">
        <f>ROUND(Grandview_Inventory[[#This Row],[det_value]]*Lookups!$M$28,-2)</f>
        <v>0</v>
      </c>
      <c r="CC1601">
        <f>IF(ROUND(Grandview_Inventory[[#This Row],[adj_res]]*Lookups!$M$28,-2)&lt;Grandview_Inventory[[#This Row],[min_res]],Grandview_Inventory[[#This Row],[min_res]],ROUND(Grandview_Inventory[[#This Row],[adj_res]]*Lookups!$M$28,-2))</f>
        <v>231500</v>
      </c>
      <c r="CD1601">
        <f>Grandview_Inventory[[#This Row],[final_det]]+Grandview_Inventory[[#This Row],[final_res]]</f>
        <v>231500</v>
      </c>
      <c r="CE1601">
        <f>Grandview_Inventory[[#This Row],[final_land]]+Grandview_Inventory[[#This Row],[final_imp]]+Grandview_Inventory[[#This Row],[crop_value]]</f>
        <v>274900</v>
      </c>
      <c r="CG1601" t="str">
        <f t="shared" si="24"/>
        <v>update valuation set market_land =43400, market_bldg=231500, market_total =274900, market_mdno =401, market_date ='9/10/2023' where link_id = (select link_id from parcel where parcel_year = '2024' and parcel_id = '23092324435');</v>
      </c>
    </row>
    <row r="1602" spans="1:85" x14ac:dyDescent="0.25">
      <c r="A1602">
        <v>23092324438</v>
      </c>
      <c r="B1602">
        <v>0.16</v>
      </c>
      <c r="C1602">
        <v>7022</v>
      </c>
      <c r="D1602" t="s">
        <v>129</v>
      </c>
      <c r="E1602" t="s">
        <v>53</v>
      </c>
      <c r="F1602" t="s">
        <v>53</v>
      </c>
      <c r="G1602">
        <v>4</v>
      </c>
      <c r="H1602" t="s">
        <v>54</v>
      </c>
      <c r="I1602">
        <v>127000</v>
      </c>
      <c r="J1602">
        <v>39000</v>
      </c>
      <c r="K1602">
        <v>0.16</v>
      </c>
      <c r="L160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02">
        <v>0</v>
      </c>
      <c r="N1602">
        <v>0</v>
      </c>
      <c r="O1602">
        <v>0</v>
      </c>
      <c r="P1602">
        <v>13398.7528</v>
      </c>
      <c r="Q1602">
        <v>63903</v>
      </c>
      <c r="R1602">
        <f>(Grandview_Inventory[[#This Row],[ln_acres]]*Grandview_Inventory[[#This Row],[coeff]])+Grandview_Inventory[[#This Row],[const]]</f>
        <v>39348.693981374228</v>
      </c>
      <c r="S1602" t="s">
        <v>68</v>
      </c>
      <c r="T1602">
        <v>1</v>
      </c>
      <c r="U1602" t="s">
        <v>80</v>
      </c>
      <c r="V1602" t="s">
        <v>69</v>
      </c>
      <c r="W1602">
        <v>0</v>
      </c>
      <c r="X1602">
        <v>0</v>
      </c>
      <c r="Y1602">
        <v>52</v>
      </c>
      <c r="Z1602">
        <v>88</v>
      </c>
      <c r="AA1602">
        <v>90</v>
      </c>
      <c r="AB1602">
        <v>1500</v>
      </c>
      <c r="AC1602">
        <v>1388</v>
      </c>
      <c r="AD1602">
        <v>1388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556</v>
      </c>
      <c r="AN1602">
        <v>16</v>
      </c>
      <c r="AO1602">
        <v>30</v>
      </c>
      <c r="AP1602">
        <v>7</v>
      </c>
      <c r="AQ1602">
        <v>0</v>
      </c>
      <c r="AR1602">
        <v>0</v>
      </c>
      <c r="AS1602" t="s">
        <v>58</v>
      </c>
      <c r="AT1602">
        <v>1</v>
      </c>
      <c r="AU1602" t="s">
        <v>75</v>
      </c>
      <c r="AV1602" t="s">
        <v>60</v>
      </c>
      <c r="AW1602">
        <v>0</v>
      </c>
      <c r="AX1602">
        <v>3</v>
      </c>
      <c r="AY1602">
        <v>0</v>
      </c>
      <c r="AZ1602">
        <v>4000</v>
      </c>
      <c r="BA1602">
        <v>100</v>
      </c>
      <c r="BB1602">
        <v>100</v>
      </c>
      <c r="BC1602">
        <v>100</v>
      </c>
      <c r="BD1602">
        <v>100</v>
      </c>
      <c r="BE1602">
        <v>1</v>
      </c>
      <c r="BF1602">
        <v>15000</v>
      </c>
      <c r="BG1602">
        <v>1000</v>
      </c>
      <c r="BH1602" s="6">
        <f>Grandview_Inventory[[#This Row],[land_extract]]*Lookups!$B$3</f>
        <v>45695.532079096141</v>
      </c>
      <c r="BI1602" s="6">
        <f>IF(Grandview_Inventory[[#This Row],[bldg_style]]="",0,Lookups!$B$2)</f>
        <v>155833.95000000001</v>
      </c>
      <c r="BJ1602" s="6">
        <f>_xlfn.IFNA(VLOOKUP(Grandview_Inventory[[#This Row],[quality]],Lookups!$H$2:$J$14,3,FALSE),0)</f>
        <v>-28558</v>
      </c>
      <c r="BK1602" s="6">
        <f>_xlfn.IFNA(VLOOKUP(Grandview_Inventory[[#This Row],[condition]],Lookups!$H$17:$J$24,3,FALSE),0)</f>
        <v>-4503</v>
      </c>
      <c r="BL1602" s="6">
        <f>Grandview_Inventory[[#This Row],[Eff_Age]]*Lookups!$B$14</f>
        <v>-12436.663199999999</v>
      </c>
      <c r="BM1602" s="6">
        <f>Grandview_Inventory[[#This Row],[living_area]]*Lookups!$B$15</f>
        <v>86584.623963999999</v>
      </c>
      <c r="BN1602" s="6">
        <f>Grandview_Inventory[[#This Row],[Fin BSMT]]*Lookups!$B$16</f>
        <v>0</v>
      </c>
      <c r="BO1602" s="6">
        <f>(Grandview_Inventory[[#This Row],[att_gar]]+Grandview_Inventory[[#This Row],[bltin_gar]])*Lookups!$B$17</f>
        <v>0</v>
      </c>
      <c r="BP1602" s="6">
        <f>Grandview_Inventory[[#This Row],[Plumbing Fixtures]]*Lookups!$B$18</f>
        <v>14073.0926</v>
      </c>
      <c r="BQ1602" s="6">
        <f>Grandview_Inventory[[#This Row],[detatched_value]]*Lookups!$B$19</f>
        <v>3387.2203999999997</v>
      </c>
      <c r="BR1602" s="6">
        <f>SUM(Grandview_Inventory[[#This Row],[Intercept]:[det_value]])*Grandview_Inventory[[#This Row],[res_pct]]</f>
        <v>214381.22376400002</v>
      </c>
      <c r="BS1602" s="6">
        <f>Grandview_Inventory[[#This Row],[land_value]]</f>
        <v>45695.532079096141</v>
      </c>
      <c r="BT1602" s="4">
        <f>_xlfn.IFNA(VLOOKUP(Grandview_Inventory[[#This Row],[quality]],Lookups!$A$26:$C$33,3,FALSE),1)</f>
        <v>0.9690360070159818</v>
      </c>
      <c r="BU1602" s="4">
        <f>_xlfn.IFNA(VLOOKUP(Grandview_Inventory[[#This Row],[condition]],Lookups!$A$37:$C$44,3,FALSE),1)</f>
        <v>0.96469275950863709</v>
      </c>
      <c r="BV1602" s="4">
        <f>IF(Grandview_Inventory[[#This Row],[bldg_style]]="",1,_xlfn.IFNA(VLOOKUP(Grandview_Inventory[[#This Row],[decade]],Lookups!$F$29:$H$43,3,FALSE),1))</f>
        <v>0.94161750052457416</v>
      </c>
      <c r="BW1602" s="4">
        <f>_xlfn.IFNA(VLOOKUP(Grandview_Inventory[[#This Row],[living_area_range]],Lookups!$F$47:$H$56,3,FALSE),1)</f>
        <v>0.96135087979789358</v>
      </c>
      <c r="BX1602" s="4">
        <f>AVERAGE(Grandview_Inventory[[#This Row],[qual_adj]:[size_adj]])</f>
        <v>0.95917428671177163</v>
      </c>
      <c r="BY1602" s="6">
        <f>IF(Grandview_Inventory[[#This Row],[pre_res]]&lt;0,0,Grandview_Inventory[[#This Row],[pre_res]]*Grandview_Inventory[[#This Row],[overall_adj]])</f>
        <v>205628.95738823141</v>
      </c>
      <c r="BZ1602" s="6">
        <f>(Grandview_Inventory[[#This Row],[sum_land]]-IF(Grandview_Inventory[[#This Row],[no_utilities]]=1,12000,0))/IF(Grandview_Inventory[[#This Row],[unbuildable]]=1,2,1)</f>
        <v>45695.532079096141</v>
      </c>
      <c r="CA160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02">
        <f>ROUND(Grandview_Inventory[[#This Row],[det_value]]*Lookups!$M$28,-2)</f>
        <v>3200</v>
      </c>
      <c r="CC1602">
        <f>IF(ROUND(Grandview_Inventory[[#This Row],[adj_res]]*Lookups!$M$28,-2)&lt;Grandview_Inventory[[#This Row],[min_res]],Grandview_Inventory[[#This Row],[min_res]],ROUND(Grandview_Inventory[[#This Row],[adj_res]]*Lookups!$M$28,-2))</f>
        <v>195300</v>
      </c>
      <c r="CD1602">
        <f>Grandview_Inventory[[#This Row],[final_det]]+Grandview_Inventory[[#This Row],[final_res]]</f>
        <v>198500</v>
      </c>
      <c r="CE1602">
        <f>Grandview_Inventory[[#This Row],[final_land]]+Grandview_Inventory[[#This Row],[final_imp]]+Grandview_Inventory[[#This Row],[crop_value]]</f>
        <v>241900</v>
      </c>
      <c r="CG1602" t="str">
        <f t="shared" si="24"/>
        <v>update valuation set market_land =43400, market_bldg=198500, market_total =241900, market_mdno =401, market_date ='9/10/2023' where link_id = (select link_id from parcel where parcel_year = '2024' and parcel_id = '23092324438');</v>
      </c>
    </row>
    <row r="1603" spans="1:85" x14ac:dyDescent="0.25">
      <c r="A1603">
        <v>23092324439</v>
      </c>
      <c r="B1603">
        <v>0.16</v>
      </c>
      <c r="C1603">
        <v>7109</v>
      </c>
      <c r="D1603" t="s">
        <v>129</v>
      </c>
      <c r="E1603" t="s">
        <v>53</v>
      </c>
      <c r="F1603" t="s">
        <v>53</v>
      </c>
      <c r="G1603">
        <v>4</v>
      </c>
      <c r="H1603" t="s">
        <v>54</v>
      </c>
      <c r="I1603">
        <v>234700</v>
      </c>
      <c r="J1603">
        <v>39100</v>
      </c>
      <c r="K1603">
        <v>0.16</v>
      </c>
      <c r="L160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03">
        <v>0</v>
      </c>
      <c r="N1603">
        <v>0</v>
      </c>
      <c r="O1603">
        <v>0</v>
      </c>
      <c r="P1603">
        <v>13398.7528</v>
      </c>
      <c r="Q1603">
        <v>63903</v>
      </c>
      <c r="R1603">
        <f>(Grandview_Inventory[[#This Row],[ln_acres]]*Grandview_Inventory[[#This Row],[coeff]])+Grandview_Inventory[[#This Row],[const]]</f>
        <v>39348.693981374228</v>
      </c>
      <c r="S1603" t="s">
        <v>61</v>
      </c>
      <c r="T1603">
        <v>1</v>
      </c>
      <c r="U1603" t="s">
        <v>70</v>
      </c>
      <c r="V1603" t="s">
        <v>69</v>
      </c>
      <c r="W1603">
        <v>0</v>
      </c>
      <c r="X1603">
        <v>0</v>
      </c>
      <c r="Y1603">
        <v>48</v>
      </c>
      <c r="Z1603">
        <v>63</v>
      </c>
      <c r="AA1603">
        <v>70</v>
      </c>
      <c r="AB1603">
        <v>1500</v>
      </c>
      <c r="AC1603">
        <v>1204</v>
      </c>
      <c r="AD1603">
        <v>1204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24</v>
      </c>
      <c r="AO1603">
        <v>0</v>
      </c>
      <c r="AP1603">
        <v>7</v>
      </c>
      <c r="AQ1603">
        <v>0</v>
      </c>
      <c r="AR1603">
        <v>1</v>
      </c>
      <c r="AS1603" t="s">
        <v>58</v>
      </c>
      <c r="AT1603">
        <v>1</v>
      </c>
      <c r="AU1603" t="s">
        <v>75</v>
      </c>
      <c r="AV1603" t="s">
        <v>60</v>
      </c>
      <c r="AW1603">
        <v>0</v>
      </c>
      <c r="AX1603">
        <v>3</v>
      </c>
      <c r="AY1603">
        <v>0</v>
      </c>
      <c r="AZ1603">
        <v>50700</v>
      </c>
      <c r="BA1603">
        <v>100</v>
      </c>
      <c r="BB1603">
        <v>100</v>
      </c>
      <c r="BC1603">
        <v>100</v>
      </c>
      <c r="BD1603">
        <v>100</v>
      </c>
      <c r="BE1603">
        <v>1</v>
      </c>
      <c r="BF1603">
        <v>15000</v>
      </c>
      <c r="BG1603">
        <v>1000</v>
      </c>
      <c r="BH1603" s="6">
        <f>Grandview_Inventory[[#This Row],[land_extract]]*Lookups!$B$3</f>
        <v>45695.532079096141</v>
      </c>
      <c r="BI1603" s="6">
        <f>IF(Grandview_Inventory[[#This Row],[bldg_style]]="",0,Lookups!$B$2)</f>
        <v>155833.95000000001</v>
      </c>
      <c r="BJ1603" s="6">
        <f>_xlfn.IFNA(VLOOKUP(Grandview_Inventory[[#This Row],[quality]],Lookups!$H$2:$J$14,3,FALSE),0)</f>
        <v>10733</v>
      </c>
      <c r="BK1603" s="6">
        <f>_xlfn.IFNA(VLOOKUP(Grandview_Inventory[[#This Row],[condition]],Lookups!$H$17:$J$24,3,FALSE),0)</f>
        <v>-4503</v>
      </c>
      <c r="BL1603" s="6">
        <f>Grandview_Inventory[[#This Row],[Eff_Age]]*Lookups!$B$14</f>
        <v>-11479.996799999999</v>
      </c>
      <c r="BM1603" s="6">
        <f>Grandview_Inventory[[#This Row],[living_area]]*Lookups!$B$15</f>
        <v>75106.547011999995</v>
      </c>
      <c r="BN1603" s="6">
        <f>Grandview_Inventory[[#This Row],[Fin BSMT]]*Lookups!$B$16</f>
        <v>0</v>
      </c>
      <c r="BO1603" s="6">
        <f>(Grandview_Inventory[[#This Row],[att_gar]]+Grandview_Inventory[[#This Row],[bltin_gar]])*Lookups!$B$17</f>
        <v>0</v>
      </c>
      <c r="BP1603" s="6">
        <f>Grandview_Inventory[[#This Row],[Plumbing Fixtures]]*Lookups!$B$18</f>
        <v>14073.0926</v>
      </c>
      <c r="BQ1603" s="6">
        <f>Grandview_Inventory[[#This Row],[detatched_value]]*Lookups!$B$19</f>
        <v>42933.01857</v>
      </c>
      <c r="BR1603" s="6">
        <f>SUM(Grandview_Inventory[[#This Row],[Intercept]:[det_value]])*Grandview_Inventory[[#This Row],[res_pct]]</f>
        <v>282696.61138200003</v>
      </c>
      <c r="BS1603" s="6">
        <f>Grandview_Inventory[[#This Row],[land_value]]</f>
        <v>45695.532079096141</v>
      </c>
      <c r="BT1603" s="4">
        <f>_xlfn.IFNA(VLOOKUP(Grandview_Inventory[[#This Row],[quality]],Lookups!$A$26:$C$33,3,FALSE),1)</f>
        <v>0.98079741117310582</v>
      </c>
      <c r="BU1603" s="4">
        <f>_xlfn.IFNA(VLOOKUP(Grandview_Inventory[[#This Row],[condition]],Lookups!$A$37:$C$44,3,FALSE),1)</f>
        <v>0.96469275950863709</v>
      </c>
      <c r="BV1603" s="4">
        <f>IF(Grandview_Inventory[[#This Row],[bldg_style]]="",1,_xlfn.IFNA(VLOOKUP(Grandview_Inventory[[#This Row],[decade]],Lookups!$F$29:$H$43,3,FALSE),1))</f>
        <v>0.99472141305414818</v>
      </c>
      <c r="BW1603" s="4">
        <f>_xlfn.IFNA(VLOOKUP(Grandview_Inventory[[#This Row],[living_area_range]],Lookups!$F$47:$H$56,3,FALSE),1)</f>
        <v>0.96135087979789358</v>
      </c>
      <c r="BX1603" s="4">
        <f>AVERAGE(Grandview_Inventory[[#This Row],[qual_adj]:[size_adj]])</f>
        <v>0.97539061588344622</v>
      </c>
      <c r="BY1603" s="6">
        <f>IF(Grandview_Inventory[[#This Row],[pre_res]]&lt;0,0,Grandview_Inventory[[#This Row],[pre_res]]*Grandview_Inventory[[#This Row],[overall_adj]])</f>
        <v>275739.62188405229</v>
      </c>
      <c r="BZ1603" s="6">
        <f>(Grandview_Inventory[[#This Row],[sum_land]]-IF(Grandview_Inventory[[#This Row],[no_utilities]]=1,12000,0))/IF(Grandview_Inventory[[#This Row],[unbuildable]]=1,2,1)</f>
        <v>45695.532079096141</v>
      </c>
      <c r="CA160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03">
        <f>ROUND(Grandview_Inventory[[#This Row],[det_value]]*Lookups!$M$28,-2)</f>
        <v>40800</v>
      </c>
      <c r="CC1603">
        <f>IF(ROUND(Grandview_Inventory[[#This Row],[adj_res]]*Lookups!$M$28,-2)&lt;Grandview_Inventory[[#This Row],[min_res]],Grandview_Inventory[[#This Row],[min_res]],ROUND(Grandview_Inventory[[#This Row],[adj_res]]*Lookups!$M$28,-2))</f>
        <v>262000</v>
      </c>
      <c r="CD1603">
        <f>Grandview_Inventory[[#This Row],[final_det]]+Grandview_Inventory[[#This Row],[final_res]]</f>
        <v>302800</v>
      </c>
      <c r="CE1603">
        <f>Grandview_Inventory[[#This Row],[final_land]]+Grandview_Inventory[[#This Row],[final_imp]]+Grandview_Inventory[[#This Row],[crop_value]]</f>
        <v>346200</v>
      </c>
      <c r="CG1603" t="str">
        <f t="shared" ref="CG1603:CG1666" si="25">"update valuation set market_land ="&amp;CA1603&amp;", market_bldg="&amp;CD1603&amp;", market_total ="&amp;CE1603&amp;", market_mdno ="&amp;$CG$1&amp;", market_date ='"&amp;TEXT($CH$1,"m/d/yyyy")&amp;"' where link_id = (select link_id from parcel where parcel_year = '2024' and parcel_id = '"&amp;A1603&amp;"');"</f>
        <v>update valuation set market_land =43400, market_bldg=302800, market_total =346200, market_mdno =401, market_date ='9/10/2023' where link_id = (select link_id from parcel where parcel_year = '2024' and parcel_id = '23092324439');</v>
      </c>
    </row>
    <row r="1604" spans="1:85" x14ac:dyDescent="0.25">
      <c r="A1604">
        <v>23092324440</v>
      </c>
      <c r="B1604">
        <v>0.16</v>
      </c>
      <c r="C1604">
        <v>7053</v>
      </c>
      <c r="D1604" t="s">
        <v>129</v>
      </c>
      <c r="E1604" t="s">
        <v>53</v>
      </c>
      <c r="F1604" t="s">
        <v>53</v>
      </c>
      <c r="G1604">
        <v>4</v>
      </c>
      <c r="H1604" t="s">
        <v>54</v>
      </c>
      <c r="I1604">
        <v>161100</v>
      </c>
      <c r="J1604">
        <v>39100</v>
      </c>
      <c r="K1604">
        <v>0.16</v>
      </c>
      <c r="L160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04">
        <v>0</v>
      </c>
      <c r="N1604">
        <v>0</v>
      </c>
      <c r="O1604">
        <v>0</v>
      </c>
      <c r="P1604">
        <v>13398.7528</v>
      </c>
      <c r="Q1604">
        <v>63903</v>
      </c>
      <c r="R1604">
        <f>(Grandview_Inventory[[#This Row],[ln_acres]]*Grandview_Inventory[[#This Row],[coeff]])+Grandview_Inventory[[#This Row],[const]]</f>
        <v>39348.693981374228</v>
      </c>
      <c r="S1604" t="s">
        <v>68</v>
      </c>
      <c r="T1604">
        <v>1</v>
      </c>
      <c r="U1604" t="s">
        <v>70</v>
      </c>
      <c r="V1604" t="s">
        <v>69</v>
      </c>
      <c r="W1604">
        <v>0</v>
      </c>
      <c r="X1604">
        <v>0</v>
      </c>
      <c r="Y1604">
        <v>50</v>
      </c>
      <c r="Z1604">
        <v>73</v>
      </c>
      <c r="AA1604">
        <v>80</v>
      </c>
      <c r="AB1604">
        <v>1500</v>
      </c>
      <c r="AC1604">
        <v>1296</v>
      </c>
      <c r="AD1604">
        <v>1296</v>
      </c>
      <c r="AE1604">
        <v>0</v>
      </c>
      <c r="AF1604">
        <v>0</v>
      </c>
      <c r="AG1604">
        <v>0</v>
      </c>
      <c r="AH1604">
        <v>0</v>
      </c>
      <c r="AI1604">
        <v>336</v>
      </c>
      <c r="AJ1604">
        <v>0</v>
      </c>
      <c r="AK1604">
        <v>0</v>
      </c>
      <c r="AL1604">
        <v>0</v>
      </c>
      <c r="AM1604">
        <v>0</v>
      </c>
      <c r="AN1604">
        <v>35</v>
      </c>
      <c r="AO1604">
        <v>0</v>
      </c>
      <c r="AP1604">
        <v>5</v>
      </c>
      <c r="AQ1604">
        <v>0</v>
      </c>
      <c r="AR1604">
        <v>0</v>
      </c>
      <c r="AS1604" t="s">
        <v>58</v>
      </c>
      <c r="AT1604">
        <v>1</v>
      </c>
      <c r="AU1604" t="s">
        <v>63</v>
      </c>
      <c r="AV1604" t="s">
        <v>64</v>
      </c>
      <c r="AW1604">
        <v>1</v>
      </c>
      <c r="AX1604">
        <v>2</v>
      </c>
      <c r="AY1604">
        <v>0</v>
      </c>
      <c r="AZ1604">
        <v>0</v>
      </c>
      <c r="BA1604">
        <v>100</v>
      </c>
      <c r="BB1604">
        <v>100</v>
      </c>
      <c r="BC1604">
        <v>100</v>
      </c>
      <c r="BD1604">
        <v>100</v>
      </c>
      <c r="BE1604">
        <v>1</v>
      </c>
      <c r="BF1604">
        <v>15000</v>
      </c>
      <c r="BG1604">
        <v>1000</v>
      </c>
      <c r="BH1604" s="6">
        <f>Grandview_Inventory[[#This Row],[land_extract]]*Lookups!$B$3</f>
        <v>45695.532079096141</v>
      </c>
      <c r="BI1604" s="6">
        <f>IF(Grandview_Inventory[[#This Row],[bldg_style]]="",0,Lookups!$B$2)</f>
        <v>155833.95000000001</v>
      </c>
      <c r="BJ1604" s="6">
        <f>_xlfn.IFNA(VLOOKUP(Grandview_Inventory[[#This Row],[quality]],Lookups!$H$2:$J$14,3,FALSE),0)</f>
        <v>10733</v>
      </c>
      <c r="BK1604" s="6">
        <f>_xlfn.IFNA(VLOOKUP(Grandview_Inventory[[#This Row],[condition]],Lookups!$H$17:$J$24,3,FALSE),0)</f>
        <v>-4503</v>
      </c>
      <c r="BL1604" s="6">
        <f>Grandview_Inventory[[#This Row],[Eff_Age]]*Lookups!$B$14</f>
        <v>-11958.33</v>
      </c>
      <c r="BM1604" s="6">
        <f>Grandview_Inventory[[#This Row],[living_area]]*Lookups!$B$15</f>
        <v>80845.585487999997</v>
      </c>
      <c r="BN1604" s="6">
        <f>Grandview_Inventory[[#This Row],[Fin BSMT]]*Lookups!$B$16</f>
        <v>0</v>
      </c>
      <c r="BO1604" s="6">
        <f>(Grandview_Inventory[[#This Row],[att_gar]]+Grandview_Inventory[[#This Row],[bltin_gar]])*Lookups!$B$17</f>
        <v>29406.866832</v>
      </c>
      <c r="BP1604" s="6">
        <f>Grandview_Inventory[[#This Row],[Plumbing Fixtures]]*Lookups!$B$18</f>
        <v>10052.209000000001</v>
      </c>
      <c r="BQ1604" s="6">
        <f>Grandview_Inventory[[#This Row],[detatched_value]]*Lookups!$B$19</f>
        <v>0</v>
      </c>
      <c r="BR1604" s="6">
        <f>SUM(Grandview_Inventory[[#This Row],[Intercept]:[det_value]])*Grandview_Inventory[[#This Row],[res_pct]]</f>
        <v>270410.28132000001</v>
      </c>
      <c r="BS1604" s="6">
        <f>Grandview_Inventory[[#This Row],[land_value]]</f>
        <v>45695.532079096141</v>
      </c>
      <c r="BT1604" s="4">
        <f>_xlfn.IFNA(VLOOKUP(Grandview_Inventory[[#This Row],[quality]],Lookups!$A$26:$C$33,3,FALSE),1)</f>
        <v>0.98079741117310582</v>
      </c>
      <c r="BU1604" s="4">
        <f>_xlfn.IFNA(VLOOKUP(Grandview_Inventory[[#This Row],[condition]],Lookups!$A$37:$C$44,3,FALSE),1)</f>
        <v>0.96469275950863709</v>
      </c>
      <c r="BV1604" s="4">
        <f>IF(Grandview_Inventory[[#This Row],[bldg_style]]="",1,_xlfn.IFNA(VLOOKUP(Grandview_Inventory[[#This Row],[decade]],Lookups!$F$29:$H$43,3,FALSE),1))</f>
        <v>0.98763256963907298</v>
      </c>
      <c r="BW1604" s="4">
        <f>_xlfn.IFNA(VLOOKUP(Grandview_Inventory[[#This Row],[living_area_range]],Lookups!$F$47:$H$56,3,FALSE),1)</f>
        <v>0.96135087979789358</v>
      </c>
      <c r="BX1604" s="4">
        <f>AVERAGE(Grandview_Inventory[[#This Row],[qual_adj]:[size_adj]])</f>
        <v>0.97361840502967734</v>
      </c>
      <c r="BY1604" s="6">
        <f>IF(Grandview_Inventory[[#This Row],[pre_res]]&lt;0,0,Grandview_Inventory[[#This Row],[pre_res]]*Grandview_Inventory[[#This Row],[overall_adj]])</f>
        <v>263276.42680240475</v>
      </c>
      <c r="BZ1604" s="6">
        <f>(Grandview_Inventory[[#This Row],[sum_land]]-IF(Grandview_Inventory[[#This Row],[no_utilities]]=1,12000,0))/IF(Grandview_Inventory[[#This Row],[unbuildable]]=1,2,1)</f>
        <v>45695.532079096141</v>
      </c>
      <c r="CA160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04">
        <f>ROUND(Grandview_Inventory[[#This Row],[det_value]]*Lookups!$M$28,-2)</f>
        <v>0</v>
      </c>
      <c r="CC1604">
        <f>IF(ROUND(Grandview_Inventory[[#This Row],[adj_res]]*Lookups!$M$28,-2)&lt;Grandview_Inventory[[#This Row],[min_res]],Grandview_Inventory[[#This Row],[min_res]],ROUND(Grandview_Inventory[[#This Row],[adj_res]]*Lookups!$M$28,-2))</f>
        <v>250100</v>
      </c>
      <c r="CD1604">
        <f>Grandview_Inventory[[#This Row],[final_det]]+Grandview_Inventory[[#This Row],[final_res]]</f>
        <v>250100</v>
      </c>
      <c r="CE1604">
        <f>Grandview_Inventory[[#This Row],[final_land]]+Grandview_Inventory[[#This Row],[final_imp]]+Grandview_Inventory[[#This Row],[crop_value]]</f>
        <v>293500</v>
      </c>
      <c r="CG1604" t="str">
        <f t="shared" si="25"/>
        <v>update valuation set market_land =43400, market_bldg=250100, market_total =293500, market_mdno =401, market_date ='9/10/2023' where link_id = (select link_id from parcel where parcel_year = '2024' and parcel_id = '23092324440');</v>
      </c>
    </row>
    <row r="1605" spans="1:85" x14ac:dyDescent="0.25">
      <c r="A1605">
        <v>23092324441</v>
      </c>
      <c r="B1605">
        <v>0.16</v>
      </c>
      <c r="C1605">
        <v>6983</v>
      </c>
      <c r="D1605" t="s">
        <v>129</v>
      </c>
      <c r="E1605" t="s">
        <v>53</v>
      </c>
      <c r="F1605" t="s">
        <v>53</v>
      </c>
      <c r="G1605">
        <v>4</v>
      </c>
      <c r="H1605" t="s">
        <v>54</v>
      </c>
      <c r="I1605">
        <v>0</v>
      </c>
      <c r="J1605">
        <v>39100</v>
      </c>
      <c r="K1605">
        <v>0.16</v>
      </c>
      <c r="L160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05">
        <v>0</v>
      </c>
      <c r="N1605">
        <v>0</v>
      </c>
      <c r="O1605">
        <v>0</v>
      </c>
      <c r="P1605">
        <v>13398.7528</v>
      </c>
      <c r="Q1605">
        <v>63903</v>
      </c>
      <c r="R1605">
        <f>(Grandview_Inventory[[#This Row],[ln_acres]]*Grandview_Inventory[[#This Row],[coeff]])+Grandview_Inventory[[#This Row],[const]]</f>
        <v>39348.693981374228</v>
      </c>
      <c r="S1605" t="s">
        <v>61</v>
      </c>
      <c r="T1605">
        <v>1</v>
      </c>
      <c r="U1605" t="s">
        <v>65</v>
      </c>
      <c r="V1605" t="s">
        <v>57</v>
      </c>
      <c r="W1605">
        <v>0</v>
      </c>
      <c r="X1605">
        <v>0</v>
      </c>
      <c r="Y1605">
        <v>1</v>
      </c>
      <c r="Z1605">
        <v>1</v>
      </c>
      <c r="AA1605">
        <v>10</v>
      </c>
      <c r="AB1605">
        <v>1500</v>
      </c>
      <c r="AC1605">
        <v>1421</v>
      </c>
      <c r="AD1605">
        <v>1421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8</v>
      </c>
      <c r="AQ1605">
        <v>0</v>
      </c>
      <c r="AR1605">
        <v>0</v>
      </c>
      <c r="AS1605" t="s">
        <v>58</v>
      </c>
      <c r="AT1605">
        <v>1</v>
      </c>
      <c r="AU1605" t="s">
        <v>59</v>
      </c>
      <c r="AV1605" t="s">
        <v>60</v>
      </c>
      <c r="AW1605">
        <v>1</v>
      </c>
      <c r="AX1605">
        <v>3</v>
      </c>
      <c r="AY1605">
        <v>0</v>
      </c>
      <c r="AZ1605">
        <v>0</v>
      </c>
      <c r="BA1605">
        <v>100</v>
      </c>
      <c r="BB1605">
        <v>100</v>
      </c>
      <c r="BC1605">
        <v>100</v>
      </c>
      <c r="BD1605">
        <v>100</v>
      </c>
      <c r="BE1605">
        <v>1</v>
      </c>
      <c r="BF1605">
        <v>15000</v>
      </c>
      <c r="BG1605">
        <v>1000</v>
      </c>
      <c r="BH1605" s="6">
        <f>Grandview_Inventory[[#This Row],[land_extract]]*Lookups!$B$3</f>
        <v>45695.532079096141</v>
      </c>
      <c r="BI1605" s="6">
        <f>IF(Grandview_Inventory[[#This Row],[bldg_style]]="",0,Lookups!$B$2)</f>
        <v>155833.95000000001</v>
      </c>
      <c r="BJ1605" s="6">
        <f>_xlfn.IFNA(VLOOKUP(Grandview_Inventory[[#This Row],[quality]],Lookups!$H$2:$J$14,3,FALSE),0)</f>
        <v>2251</v>
      </c>
      <c r="BK1605" s="6">
        <f>_xlfn.IFNA(VLOOKUP(Grandview_Inventory[[#This Row],[condition]],Lookups!$H$17:$J$24,3,FALSE),0)</f>
        <v>25780</v>
      </c>
      <c r="BL1605" s="6">
        <f>Grandview_Inventory[[#This Row],[Eff_Age]]*Lookups!$B$14</f>
        <v>-239.16659999999999</v>
      </c>
      <c r="BM1605" s="6">
        <f>Grandview_Inventory[[#This Row],[living_area]]*Lookups!$B$15</f>
        <v>88643.192112999997</v>
      </c>
      <c r="BN1605" s="6">
        <f>Grandview_Inventory[[#This Row],[Fin BSMT]]*Lookups!$B$16</f>
        <v>0</v>
      </c>
      <c r="BO1605" s="6">
        <f>(Grandview_Inventory[[#This Row],[att_gar]]+Grandview_Inventory[[#This Row],[bltin_gar]])*Lookups!$B$17</f>
        <v>0</v>
      </c>
      <c r="BP1605" s="6">
        <f>Grandview_Inventory[[#This Row],[Plumbing Fixtures]]*Lookups!$B$18</f>
        <v>16083.5344</v>
      </c>
      <c r="BQ1605" s="6">
        <f>Grandview_Inventory[[#This Row],[detatched_value]]*Lookups!$B$19</f>
        <v>0</v>
      </c>
      <c r="BR1605" s="6">
        <f>SUM(Grandview_Inventory[[#This Row],[Intercept]:[det_value]])*Grandview_Inventory[[#This Row],[res_pct]]</f>
        <v>288352.50991300005</v>
      </c>
      <c r="BS1605" s="6">
        <f>Grandview_Inventory[[#This Row],[land_value]]</f>
        <v>45695.532079096141</v>
      </c>
      <c r="BT1605" s="4">
        <f>_xlfn.IFNA(VLOOKUP(Grandview_Inventory[[#This Row],[quality]],Lookups!$A$26:$C$33,3,FALSE),1)</f>
        <v>0.98763855981004833</v>
      </c>
      <c r="BU1605" s="4">
        <f>_xlfn.IFNA(VLOOKUP(Grandview_Inventory[[#This Row],[condition]],Lookups!$A$37:$C$44,3,FALSE),1)</f>
        <v>0.94347925387812148</v>
      </c>
      <c r="BV1605" s="4">
        <f>IF(Grandview_Inventory[[#This Row],[bldg_style]]="",1,_xlfn.IFNA(VLOOKUP(Grandview_Inventory[[#This Row],[decade]],Lookups!$F$29:$H$43,3,FALSE),1))</f>
        <v>0.94601966599150278</v>
      </c>
      <c r="BW1605" s="4">
        <f>_xlfn.IFNA(VLOOKUP(Grandview_Inventory[[#This Row],[living_area_range]],Lookups!$F$47:$H$56,3,FALSE),1)</f>
        <v>0.96135087979789358</v>
      </c>
      <c r="BX1605" s="4">
        <f>AVERAGE(Grandview_Inventory[[#This Row],[qual_adj]:[size_adj]])</f>
        <v>0.95962208986939146</v>
      </c>
      <c r="BY1605" s="6">
        <f>IF(Grandview_Inventory[[#This Row],[pre_res]]&lt;0,0,Grandview_Inventory[[#This Row],[pre_res]]*Grandview_Inventory[[#This Row],[overall_adj]])</f>
        <v>276709.43818179751</v>
      </c>
      <c r="BZ1605" s="6">
        <f>(Grandview_Inventory[[#This Row],[sum_land]]-IF(Grandview_Inventory[[#This Row],[no_utilities]]=1,12000,0))/IF(Grandview_Inventory[[#This Row],[unbuildable]]=1,2,1)</f>
        <v>45695.532079096141</v>
      </c>
      <c r="CA160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05">
        <f>ROUND(Grandview_Inventory[[#This Row],[det_value]]*Lookups!$M$28,-2)</f>
        <v>0</v>
      </c>
      <c r="CC1605">
        <f>IF(ROUND(Grandview_Inventory[[#This Row],[adj_res]]*Lookups!$M$28,-2)&lt;Grandview_Inventory[[#This Row],[min_res]],Grandview_Inventory[[#This Row],[min_res]],ROUND(Grandview_Inventory[[#This Row],[adj_res]]*Lookups!$M$28,-2))</f>
        <v>262900</v>
      </c>
      <c r="CD1605">
        <f>Grandview_Inventory[[#This Row],[final_det]]+Grandview_Inventory[[#This Row],[final_res]]</f>
        <v>262900</v>
      </c>
      <c r="CE1605">
        <f>Grandview_Inventory[[#This Row],[final_land]]+Grandview_Inventory[[#This Row],[final_imp]]+Grandview_Inventory[[#This Row],[crop_value]]</f>
        <v>306300</v>
      </c>
      <c r="CG1605" t="str">
        <f t="shared" si="25"/>
        <v>update valuation set market_land =43400, market_bldg=262900, market_total =306300, market_mdno =401, market_date ='9/10/2023' where link_id = (select link_id from parcel where parcel_year = '2024' and parcel_id = '23092324441');</v>
      </c>
    </row>
    <row r="1606" spans="1:85" x14ac:dyDescent="0.25">
      <c r="A1606">
        <v>23092324442</v>
      </c>
      <c r="B1606">
        <v>0.17</v>
      </c>
      <c r="C1606">
        <v>7216</v>
      </c>
      <c r="D1606" t="s">
        <v>129</v>
      </c>
      <c r="E1606" t="s">
        <v>53</v>
      </c>
      <c r="F1606" t="s">
        <v>53</v>
      </c>
      <c r="G1606">
        <v>4</v>
      </c>
      <c r="H1606" t="s">
        <v>54</v>
      </c>
      <c r="I1606">
        <v>117200</v>
      </c>
      <c r="J1606">
        <v>39100</v>
      </c>
      <c r="K1606">
        <v>0.17</v>
      </c>
      <c r="L160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606">
        <v>0</v>
      </c>
      <c r="N1606">
        <v>0</v>
      </c>
      <c r="O1606">
        <v>0</v>
      </c>
      <c r="P1606">
        <v>13398.7528</v>
      </c>
      <c r="Q1606">
        <v>63903</v>
      </c>
      <c r="R1606">
        <f>(Grandview_Inventory[[#This Row],[ln_acres]]*Grandview_Inventory[[#This Row],[coeff]])+Grandview_Inventory[[#This Row],[const]]</f>
        <v>40160.988302686128</v>
      </c>
      <c r="S1606" t="s">
        <v>68</v>
      </c>
      <c r="T1606">
        <v>1</v>
      </c>
      <c r="U1606" t="s">
        <v>70</v>
      </c>
      <c r="V1606" t="s">
        <v>78</v>
      </c>
      <c r="W1606">
        <v>0</v>
      </c>
      <c r="X1606">
        <v>0</v>
      </c>
      <c r="Y1606">
        <v>50</v>
      </c>
      <c r="Z1606">
        <v>73</v>
      </c>
      <c r="AA1606">
        <v>80</v>
      </c>
      <c r="AB1606">
        <v>1500</v>
      </c>
      <c r="AC1606">
        <v>1176</v>
      </c>
      <c r="AD1606">
        <v>1176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50</v>
      </c>
      <c r="AO1606">
        <v>0</v>
      </c>
      <c r="AP1606">
        <v>5</v>
      </c>
      <c r="AQ1606">
        <v>1</v>
      </c>
      <c r="AR1606">
        <v>0</v>
      </c>
      <c r="AS1606" t="s">
        <v>58</v>
      </c>
      <c r="AT1606">
        <v>1</v>
      </c>
      <c r="AU1606" t="s">
        <v>63</v>
      </c>
      <c r="AV1606" t="s">
        <v>64</v>
      </c>
      <c r="AW1606">
        <v>0</v>
      </c>
      <c r="AX1606">
        <v>3</v>
      </c>
      <c r="AY1606">
        <v>0</v>
      </c>
      <c r="AZ1606">
        <v>7500</v>
      </c>
      <c r="BA1606">
        <v>100</v>
      </c>
      <c r="BB1606">
        <v>100</v>
      </c>
      <c r="BC1606">
        <v>100</v>
      </c>
      <c r="BD1606">
        <v>100</v>
      </c>
      <c r="BE1606">
        <v>1</v>
      </c>
      <c r="BF1606">
        <v>15000</v>
      </c>
      <c r="BG1606">
        <v>1000</v>
      </c>
      <c r="BH1606" s="6">
        <f>Grandview_Inventory[[#This Row],[land_extract]]*Lookups!$B$3</f>
        <v>46638.847281240982</v>
      </c>
      <c r="BI1606" s="6">
        <f>IF(Grandview_Inventory[[#This Row],[bldg_style]]="",0,Lookups!$B$2)</f>
        <v>155833.95000000001</v>
      </c>
      <c r="BJ1606" s="6">
        <f>_xlfn.IFNA(VLOOKUP(Grandview_Inventory[[#This Row],[quality]],Lookups!$H$2:$J$14,3,FALSE),0)</f>
        <v>10733</v>
      </c>
      <c r="BK1606" s="6">
        <f>_xlfn.IFNA(VLOOKUP(Grandview_Inventory[[#This Row],[condition]],Lookups!$H$17:$J$24,3,FALSE),0)</f>
        <v>-45357</v>
      </c>
      <c r="BL1606" s="6">
        <f>Grandview_Inventory[[#This Row],[Eff_Age]]*Lookups!$B$14</f>
        <v>-11958.33</v>
      </c>
      <c r="BM1606" s="6">
        <f>Grandview_Inventory[[#This Row],[living_area]]*Lookups!$B$15</f>
        <v>73359.883128000001</v>
      </c>
      <c r="BN1606" s="6">
        <f>Grandview_Inventory[[#This Row],[Fin BSMT]]*Lookups!$B$16</f>
        <v>0</v>
      </c>
      <c r="BO1606" s="6">
        <f>(Grandview_Inventory[[#This Row],[att_gar]]+Grandview_Inventory[[#This Row],[bltin_gar]])*Lookups!$B$17</f>
        <v>0</v>
      </c>
      <c r="BP1606" s="6">
        <f>Grandview_Inventory[[#This Row],[Plumbing Fixtures]]*Lookups!$B$18</f>
        <v>10052.209000000001</v>
      </c>
      <c r="BQ1606" s="6">
        <f>Grandview_Inventory[[#This Row],[detatched_value]]*Lookups!$B$19</f>
        <v>6351.0382499999996</v>
      </c>
      <c r="BR1606" s="6">
        <f>SUM(Grandview_Inventory[[#This Row],[Intercept]:[det_value]])*Grandview_Inventory[[#This Row],[res_pct]]</f>
        <v>199014.75037800003</v>
      </c>
      <c r="BS1606" s="6">
        <f>Grandview_Inventory[[#This Row],[land_value]]</f>
        <v>46638.847281240982</v>
      </c>
      <c r="BT1606" s="4">
        <f>_xlfn.IFNA(VLOOKUP(Grandview_Inventory[[#This Row],[quality]],Lookups!$A$26:$C$33,3,FALSE),1)</f>
        <v>0.98079741117310582</v>
      </c>
      <c r="BU1606" s="4">
        <f>_xlfn.IFNA(VLOOKUP(Grandview_Inventory[[#This Row],[condition]],Lookups!$A$37:$C$44,3,FALSE),1)</f>
        <v>0.97161819570155394</v>
      </c>
      <c r="BV1606" s="4">
        <f>IF(Grandview_Inventory[[#This Row],[bldg_style]]="",1,_xlfn.IFNA(VLOOKUP(Grandview_Inventory[[#This Row],[decade]],Lookups!$F$29:$H$43,3,FALSE),1))</f>
        <v>0.98763256963907298</v>
      </c>
      <c r="BW1606" s="4">
        <f>_xlfn.IFNA(VLOOKUP(Grandview_Inventory[[#This Row],[living_area_range]],Lookups!$F$47:$H$56,3,FALSE),1)</f>
        <v>0.96135087979789358</v>
      </c>
      <c r="BX1606" s="4">
        <f>AVERAGE(Grandview_Inventory[[#This Row],[qual_adj]:[size_adj]])</f>
        <v>0.97534976407790652</v>
      </c>
      <c r="BY1606" s="6">
        <f>IF(Grandview_Inventory[[#This Row],[pre_res]]&lt;0,0,Grandview_Inventory[[#This Row],[pre_res]]*Grandview_Inventory[[#This Row],[overall_adj]])</f>
        <v>194108.98982920579</v>
      </c>
      <c r="BZ1606" s="6">
        <f>(Grandview_Inventory[[#This Row],[sum_land]]-IF(Grandview_Inventory[[#This Row],[no_utilities]]=1,12000,0))/IF(Grandview_Inventory[[#This Row],[unbuildable]]=1,2,1)</f>
        <v>46638.847281240982</v>
      </c>
      <c r="CA160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606">
        <f>ROUND(Grandview_Inventory[[#This Row],[det_value]]*Lookups!$M$28,-2)</f>
        <v>6000</v>
      </c>
      <c r="CC1606">
        <f>IF(ROUND(Grandview_Inventory[[#This Row],[adj_res]]*Lookups!$M$28,-2)&lt;Grandview_Inventory[[#This Row],[min_res]],Grandview_Inventory[[#This Row],[min_res]],ROUND(Grandview_Inventory[[#This Row],[adj_res]]*Lookups!$M$28,-2))</f>
        <v>184400</v>
      </c>
      <c r="CD1606">
        <f>Grandview_Inventory[[#This Row],[final_det]]+Grandview_Inventory[[#This Row],[final_res]]</f>
        <v>190400</v>
      </c>
      <c r="CE1606">
        <f>Grandview_Inventory[[#This Row],[final_land]]+Grandview_Inventory[[#This Row],[final_imp]]+Grandview_Inventory[[#This Row],[crop_value]]</f>
        <v>234700</v>
      </c>
      <c r="CG1606" t="str">
        <f t="shared" si="25"/>
        <v>update valuation set market_land =44300, market_bldg=190400, market_total =234700, market_mdno =401, market_date ='9/10/2023' where link_id = (select link_id from parcel where parcel_year = '2024' and parcel_id = '23092324442');</v>
      </c>
    </row>
    <row r="1607" spans="1:85" x14ac:dyDescent="0.25">
      <c r="A1607">
        <v>23092324443</v>
      </c>
      <c r="B1607">
        <v>0.17</v>
      </c>
      <c r="C1607">
        <v>7237</v>
      </c>
      <c r="D1607" t="s">
        <v>129</v>
      </c>
      <c r="E1607" t="s">
        <v>53</v>
      </c>
      <c r="F1607" t="s">
        <v>53</v>
      </c>
      <c r="G1607">
        <v>4</v>
      </c>
      <c r="H1607" t="s">
        <v>54</v>
      </c>
      <c r="I1607">
        <v>134800</v>
      </c>
      <c r="J1607">
        <v>39100</v>
      </c>
      <c r="K1607">
        <v>0.17</v>
      </c>
      <c r="L160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607">
        <v>0</v>
      </c>
      <c r="N1607">
        <v>0</v>
      </c>
      <c r="O1607">
        <v>0</v>
      </c>
      <c r="P1607">
        <v>13398.7528</v>
      </c>
      <c r="Q1607">
        <v>63903</v>
      </c>
      <c r="R1607">
        <f>(Grandview_Inventory[[#This Row],[ln_acres]]*Grandview_Inventory[[#This Row],[coeff]])+Grandview_Inventory[[#This Row],[const]]</f>
        <v>40160.988302686128</v>
      </c>
      <c r="S1607" t="s">
        <v>68</v>
      </c>
      <c r="T1607">
        <v>1</v>
      </c>
      <c r="U1607" t="s">
        <v>65</v>
      </c>
      <c r="V1607" t="s">
        <v>78</v>
      </c>
      <c r="W1607">
        <v>0</v>
      </c>
      <c r="X1607">
        <v>0</v>
      </c>
      <c r="Y1607">
        <v>50</v>
      </c>
      <c r="Z1607">
        <v>73</v>
      </c>
      <c r="AA1607">
        <v>80</v>
      </c>
      <c r="AB1607">
        <v>1500</v>
      </c>
      <c r="AC1607">
        <v>1176</v>
      </c>
      <c r="AD1607">
        <v>1176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60</v>
      </c>
      <c r="AO1607">
        <v>0</v>
      </c>
      <c r="AP1607">
        <v>5</v>
      </c>
      <c r="AQ1607">
        <v>1</v>
      </c>
      <c r="AR1607">
        <v>0</v>
      </c>
      <c r="AS1607" t="s">
        <v>71</v>
      </c>
      <c r="AT1607">
        <v>1</v>
      </c>
      <c r="AU1607" t="s">
        <v>63</v>
      </c>
      <c r="AV1607" t="s">
        <v>60</v>
      </c>
      <c r="AW1607">
        <v>1</v>
      </c>
      <c r="AX1607">
        <v>3</v>
      </c>
      <c r="AY1607">
        <v>0</v>
      </c>
      <c r="AZ1607">
        <v>8700</v>
      </c>
      <c r="BA1607">
        <v>100</v>
      </c>
      <c r="BB1607">
        <v>100</v>
      </c>
      <c r="BC1607">
        <v>100</v>
      </c>
      <c r="BD1607">
        <v>100</v>
      </c>
      <c r="BE1607">
        <v>1</v>
      </c>
      <c r="BF1607">
        <v>15000</v>
      </c>
      <c r="BG1607">
        <v>1000</v>
      </c>
      <c r="BH1607" s="6">
        <f>Grandview_Inventory[[#This Row],[land_extract]]*Lookups!$B$3</f>
        <v>46638.847281240982</v>
      </c>
      <c r="BI1607" s="6">
        <f>IF(Grandview_Inventory[[#This Row],[bldg_style]]="",0,Lookups!$B$2)</f>
        <v>155833.95000000001</v>
      </c>
      <c r="BJ1607" s="6">
        <f>_xlfn.IFNA(VLOOKUP(Grandview_Inventory[[#This Row],[quality]],Lookups!$H$2:$J$14,3,FALSE),0)</f>
        <v>2251</v>
      </c>
      <c r="BK1607" s="6">
        <f>_xlfn.IFNA(VLOOKUP(Grandview_Inventory[[#This Row],[condition]],Lookups!$H$17:$J$24,3,FALSE),0)</f>
        <v>-45357</v>
      </c>
      <c r="BL1607" s="6">
        <f>Grandview_Inventory[[#This Row],[Eff_Age]]*Lookups!$B$14</f>
        <v>-11958.33</v>
      </c>
      <c r="BM1607" s="6">
        <f>Grandview_Inventory[[#This Row],[living_area]]*Lookups!$B$15</f>
        <v>73359.883128000001</v>
      </c>
      <c r="BN1607" s="6">
        <f>Grandview_Inventory[[#This Row],[Fin BSMT]]*Lookups!$B$16</f>
        <v>0</v>
      </c>
      <c r="BO1607" s="6">
        <f>(Grandview_Inventory[[#This Row],[att_gar]]+Grandview_Inventory[[#This Row],[bltin_gar]])*Lookups!$B$17</f>
        <v>0</v>
      </c>
      <c r="BP1607" s="6">
        <f>Grandview_Inventory[[#This Row],[Plumbing Fixtures]]*Lookups!$B$18</f>
        <v>10052.209000000001</v>
      </c>
      <c r="BQ1607" s="6">
        <f>Grandview_Inventory[[#This Row],[detatched_value]]*Lookups!$B$19</f>
        <v>7367.2043699999995</v>
      </c>
      <c r="BR1607" s="6">
        <f>SUM(Grandview_Inventory[[#This Row],[Intercept]:[det_value]])*Grandview_Inventory[[#This Row],[res_pct]]</f>
        <v>191548.91649800001</v>
      </c>
      <c r="BS1607" s="6">
        <f>Grandview_Inventory[[#This Row],[land_value]]</f>
        <v>46638.847281240982</v>
      </c>
      <c r="BT1607" s="4">
        <f>_xlfn.IFNA(VLOOKUP(Grandview_Inventory[[#This Row],[quality]],Lookups!$A$26:$C$33,3,FALSE),1)</f>
        <v>0.98763855981004833</v>
      </c>
      <c r="BU1607" s="4">
        <f>_xlfn.IFNA(VLOOKUP(Grandview_Inventory[[#This Row],[condition]],Lookups!$A$37:$C$44,3,FALSE),1)</f>
        <v>0.97161819570155394</v>
      </c>
      <c r="BV1607" s="4">
        <f>IF(Grandview_Inventory[[#This Row],[bldg_style]]="",1,_xlfn.IFNA(VLOOKUP(Grandview_Inventory[[#This Row],[decade]],Lookups!$F$29:$H$43,3,FALSE),1))</f>
        <v>0.98763256963907298</v>
      </c>
      <c r="BW1607" s="4">
        <f>_xlfn.IFNA(VLOOKUP(Grandview_Inventory[[#This Row],[living_area_range]],Lookups!$F$47:$H$56,3,FALSE),1)</f>
        <v>0.96135087979789358</v>
      </c>
      <c r="BX1607" s="4">
        <f>AVERAGE(Grandview_Inventory[[#This Row],[qual_adj]:[size_adj]])</f>
        <v>0.97706005123714224</v>
      </c>
      <c r="BY1607" s="6">
        <f>IF(Grandview_Inventory[[#This Row],[pre_res]]&lt;0,0,Grandview_Inventory[[#This Row],[pre_res]]*Grandview_Inventory[[#This Row],[overall_adj]])</f>
        <v>187154.79416795497</v>
      </c>
      <c r="BZ1607" s="6">
        <f>(Grandview_Inventory[[#This Row],[sum_land]]-IF(Grandview_Inventory[[#This Row],[no_utilities]]=1,12000,0))/IF(Grandview_Inventory[[#This Row],[unbuildable]]=1,2,1)</f>
        <v>46638.847281240982</v>
      </c>
      <c r="CA160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607">
        <f>ROUND(Grandview_Inventory[[#This Row],[det_value]]*Lookups!$M$28,-2)</f>
        <v>7000</v>
      </c>
      <c r="CC1607">
        <f>IF(ROUND(Grandview_Inventory[[#This Row],[adj_res]]*Lookups!$M$28,-2)&lt;Grandview_Inventory[[#This Row],[min_res]],Grandview_Inventory[[#This Row],[min_res]],ROUND(Grandview_Inventory[[#This Row],[adj_res]]*Lookups!$M$28,-2))</f>
        <v>177800</v>
      </c>
      <c r="CD1607">
        <f>Grandview_Inventory[[#This Row],[final_det]]+Grandview_Inventory[[#This Row],[final_res]]</f>
        <v>184800</v>
      </c>
      <c r="CE1607">
        <f>Grandview_Inventory[[#This Row],[final_land]]+Grandview_Inventory[[#This Row],[final_imp]]+Grandview_Inventory[[#This Row],[crop_value]]</f>
        <v>229100</v>
      </c>
      <c r="CG1607" t="str">
        <f t="shared" si="25"/>
        <v>update valuation set market_land =44300, market_bldg=184800, market_total =229100, market_mdno =401, market_date ='9/10/2023' where link_id = (select link_id from parcel where parcel_year = '2024' and parcel_id = '23092324443');</v>
      </c>
    </row>
    <row r="1608" spans="1:85" x14ac:dyDescent="0.25">
      <c r="A1608">
        <v>23092324444</v>
      </c>
      <c r="B1608">
        <v>0.31</v>
      </c>
      <c r="C1608">
        <v>13537</v>
      </c>
      <c r="D1608" t="s">
        <v>129</v>
      </c>
      <c r="E1608" t="s">
        <v>53</v>
      </c>
      <c r="F1608" t="s">
        <v>53</v>
      </c>
      <c r="G1608">
        <v>4</v>
      </c>
      <c r="H1608" t="s">
        <v>54</v>
      </c>
      <c r="I1608">
        <v>136300</v>
      </c>
      <c r="J1608">
        <v>41600</v>
      </c>
      <c r="K1608">
        <v>0.31</v>
      </c>
      <c r="L1608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608">
        <v>0</v>
      </c>
      <c r="N1608">
        <v>0</v>
      </c>
      <c r="O1608">
        <v>0</v>
      </c>
      <c r="P1608">
        <v>13398.7528</v>
      </c>
      <c r="Q1608">
        <v>63903</v>
      </c>
      <c r="R1608">
        <f>(Grandview_Inventory[[#This Row],[ln_acres]]*Grandview_Inventory[[#This Row],[coeff]])+Grandview_Inventory[[#This Row],[const]]</f>
        <v>48210.608747275066</v>
      </c>
      <c r="S1608" t="s">
        <v>61</v>
      </c>
      <c r="T1608">
        <v>1</v>
      </c>
      <c r="U1608" t="s">
        <v>70</v>
      </c>
      <c r="V1608" t="s">
        <v>69</v>
      </c>
      <c r="W1608">
        <v>0</v>
      </c>
      <c r="X1608">
        <v>0</v>
      </c>
      <c r="Y1608">
        <v>41</v>
      </c>
      <c r="Z1608">
        <v>41</v>
      </c>
      <c r="AA1608">
        <v>50</v>
      </c>
      <c r="AB1608">
        <v>1500</v>
      </c>
      <c r="AC1608">
        <v>1152</v>
      </c>
      <c r="AD1608">
        <v>1152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5</v>
      </c>
      <c r="AQ1608">
        <v>0</v>
      </c>
      <c r="AR1608">
        <v>0</v>
      </c>
      <c r="AS1608" t="s">
        <v>58</v>
      </c>
      <c r="AT1608">
        <v>1</v>
      </c>
      <c r="AU1608" t="s">
        <v>75</v>
      </c>
      <c r="AV1608" t="s">
        <v>60</v>
      </c>
      <c r="AW1608">
        <v>0</v>
      </c>
      <c r="AX1608">
        <v>2</v>
      </c>
      <c r="AY1608">
        <v>0</v>
      </c>
      <c r="AZ1608">
        <v>0</v>
      </c>
      <c r="BA1608">
        <v>100</v>
      </c>
      <c r="BB1608">
        <v>100</v>
      </c>
      <c r="BC1608">
        <v>100</v>
      </c>
      <c r="BD1608">
        <v>100</v>
      </c>
      <c r="BE1608">
        <v>1</v>
      </c>
      <c r="BF1608">
        <v>15000</v>
      </c>
      <c r="BG1608">
        <v>1000</v>
      </c>
      <c r="BH1608" s="6">
        <f>Grandview_Inventory[[#This Row],[land_extract]]*Lookups!$B$3</f>
        <v>55986.849769566914</v>
      </c>
      <c r="BI1608" s="6">
        <f>IF(Grandview_Inventory[[#This Row],[bldg_style]]="",0,Lookups!$B$2)</f>
        <v>155833.95000000001</v>
      </c>
      <c r="BJ1608" s="6">
        <f>_xlfn.IFNA(VLOOKUP(Grandview_Inventory[[#This Row],[quality]],Lookups!$H$2:$J$14,3,FALSE),0)</f>
        <v>10733</v>
      </c>
      <c r="BK1608" s="6">
        <f>_xlfn.IFNA(VLOOKUP(Grandview_Inventory[[#This Row],[condition]],Lookups!$H$17:$J$24,3,FALSE),0)</f>
        <v>-4503</v>
      </c>
      <c r="BL1608" s="6">
        <f>Grandview_Inventory[[#This Row],[Eff_Age]]*Lookups!$B$14</f>
        <v>-9805.8305999999993</v>
      </c>
      <c r="BM1608" s="6">
        <f>Grandview_Inventory[[#This Row],[living_area]]*Lookups!$B$15</f>
        <v>71862.742656000002</v>
      </c>
      <c r="BN1608" s="6">
        <f>Grandview_Inventory[[#This Row],[Fin BSMT]]*Lookups!$B$16</f>
        <v>0</v>
      </c>
      <c r="BO1608" s="6">
        <f>(Grandview_Inventory[[#This Row],[att_gar]]+Grandview_Inventory[[#This Row],[bltin_gar]])*Lookups!$B$17</f>
        <v>0</v>
      </c>
      <c r="BP1608" s="6">
        <f>Grandview_Inventory[[#This Row],[Plumbing Fixtures]]*Lookups!$B$18</f>
        <v>10052.209000000001</v>
      </c>
      <c r="BQ1608" s="6">
        <f>Grandview_Inventory[[#This Row],[detatched_value]]*Lookups!$B$19</f>
        <v>0</v>
      </c>
      <c r="BR1608" s="6">
        <f>SUM(Grandview_Inventory[[#This Row],[Intercept]:[det_value]])*Grandview_Inventory[[#This Row],[res_pct]]</f>
        <v>234173.07105600004</v>
      </c>
      <c r="BS1608" s="6">
        <f>Grandview_Inventory[[#This Row],[land_value]]</f>
        <v>55986.849769566914</v>
      </c>
      <c r="BT1608" s="4">
        <f>_xlfn.IFNA(VLOOKUP(Grandview_Inventory[[#This Row],[quality]],Lookups!$A$26:$C$33,3,FALSE),1)</f>
        <v>0.98079741117310582</v>
      </c>
      <c r="BU1608" s="4">
        <f>_xlfn.IFNA(VLOOKUP(Grandview_Inventory[[#This Row],[condition]],Lookups!$A$37:$C$44,3,FALSE),1)</f>
        <v>0.96469275950863709</v>
      </c>
      <c r="BV1608" s="4">
        <f>IF(Grandview_Inventory[[#This Row],[bldg_style]]="",1,_xlfn.IFNA(VLOOKUP(Grandview_Inventory[[#This Row],[decade]],Lookups!$F$29:$H$43,3,FALSE),1))</f>
        <v>0.9871940091910919</v>
      </c>
      <c r="BW1608" s="4">
        <f>_xlfn.IFNA(VLOOKUP(Grandview_Inventory[[#This Row],[living_area_range]],Lookups!$F$47:$H$56,3,FALSE),1)</f>
        <v>0.96135087979789358</v>
      </c>
      <c r="BX1608" s="4">
        <f>AVERAGE(Grandview_Inventory[[#This Row],[qual_adj]:[size_adj]])</f>
        <v>0.97350876491768212</v>
      </c>
      <c r="BY1608" s="6">
        <f>IF(Grandview_Inventory[[#This Row],[pre_res]]&lt;0,0,Grandview_Inventory[[#This Row],[pre_res]]*Grandview_Inventory[[#This Row],[overall_adj]])</f>
        <v>227969.53718070721</v>
      </c>
      <c r="BZ1608" s="6">
        <f>(Grandview_Inventory[[#This Row],[sum_land]]-IF(Grandview_Inventory[[#This Row],[no_utilities]]=1,12000,0))/IF(Grandview_Inventory[[#This Row],[unbuildable]]=1,2,1)</f>
        <v>55986.849769566914</v>
      </c>
      <c r="CA1608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608">
        <f>ROUND(Grandview_Inventory[[#This Row],[det_value]]*Lookups!$M$28,-2)</f>
        <v>0</v>
      </c>
      <c r="CC1608">
        <f>IF(ROUND(Grandview_Inventory[[#This Row],[adj_res]]*Lookups!$M$28,-2)&lt;Grandview_Inventory[[#This Row],[min_res]],Grandview_Inventory[[#This Row],[min_res]],ROUND(Grandview_Inventory[[#This Row],[adj_res]]*Lookups!$M$28,-2))</f>
        <v>216600</v>
      </c>
      <c r="CD1608">
        <f>Grandview_Inventory[[#This Row],[final_det]]+Grandview_Inventory[[#This Row],[final_res]]</f>
        <v>216600</v>
      </c>
      <c r="CE1608">
        <f>Grandview_Inventory[[#This Row],[final_land]]+Grandview_Inventory[[#This Row],[final_imp]]+Grandview_Inventory[[#This Row],[crop_value]]</f>
        <v>269800</v>
      </c>
      <c r="CG1608" t="str">
        <f t="shared" si="25"/>
        <v>update valuation set market_land =53200, market_bldg=216600, market_total =269800, market_mdno =401, market_date ='9/10/2023' where link_id = (select link_id from parcel where parcel_year = '2024' and parcel_id = '23092324444');</v>
      </c>
    </row>
    <row r="1609" spans="1:85" x14ac:dyDescent="0.25">
      <c r="A1609">
        <v>23092324449</v>
      </c>
      <c r="B1609">
        <v>0.24</v>
      </c>
      <c r="C1609">
        <v>10386</v>
      </c>
      <c r="D1609" t="s">
        <v>129</v>
      </c>
      <c r="E1609" t="s">
        <v>53</v>
      </c>
      <c r="F1609" t="s">
        <v>53</v>
      </c>
      <c r="G1609">
        <v>4</v>
      </c>
      <c r="H1609" t="s">
        <v>54</v>
      </c>
      <c r="I1609">
        <v>42200</v>
      </c>
      <c r="J1609">
        <v>40200</v>
      </c>
      <c r="K1609">
        <v>0.24</v>
      </c>
      <c r="L160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609">
        <v>0</v>
      </c>
      <c r="N1609">
        <v>0</v>
      </c>
      <c r="O1609">
        <v>0</v>
      </c>
      <c r="P1609">
        <v>13398.7528</v>
      </c>
      <c r="Q1609">
        <v>63903</v>
      </c>
      <c r="R1609">
        <f>(Grandview_Inventory[[#This Row],[ln_acres]]*Grandview_Inventory[[#This Row],[coeff]])+Grandview_Inventory[[#This Row],[const]]</f>
        <v>44781.420733940802</v>
      </c>
      <c r="S1609" t="s">
        <v>68</v>
      </c>
      <c r="T1609">
        <v>1</v>
      </c>
      <c r="U1609" t="s">
        <v>80</v>
      </c>
      <c r="V1609" t="s">
        <v>94</v>
      </c>
      <c r="W1609">
        <v>0</v>
      </c>
      <c r="X1609">
        <v>0</v>
      </c>
      <c r="Y1609">
        <v>51</v>
      </c>
      <c r="Z1609">
        <v>83</v>
      </c>
      <c r="AA1609">
        <v>90</v>
      </c>
      <c r="AB1609">
        <v>1000</v>
      </c>
      <c r="AC1609">
        <v>740</v>
      </c>
      <c r="AD1609">
        <v>740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7</v>
      </c>
      <c r="AQ1609">
        <v>1</v>
      </c>
      <c r="AR1609">
        <v>0</v>
      </c>
      <c r="AS1609" t="s">
        <v>58</v>
      </c>
      <c r="AT1609">
        <v>1</v>
      </c>
      <c r="AU1609" t="s">
        <v>75</v>
      </c>
      <c r="AV1609" t="s">
        <v>60</v>
      </c>
      <c r="AW1609">
        <v>0</v>
      </c>
      <c r="AX1609">
        <v>2</v>
      </c>
      <c r="AY1609">
        <v>0</v>
      </c>
      <c r="AZ1609">
        <v>0</v>
      </c>
      <c r="BA1609">
        <v>100</v>
      </c>
      <c r="BB1609">
        <v>100</v>
      </c>
      <c r="BC1609">
        <v>100</v>
      </c>
      <c r="BD1609">
        <v>100</v>
      </c>
      <c r="BE1609">
        <v>1</v>
      </c>
      <c r="BF1609">
        <v>15000</v>
      </c>
      <c r="BG1609">
        <v>1000</v>
      </c>
      <c r="BH1609" s="6">
        <f>Grandview_Inventory[[#This Row],[land_extract]]*Lookups!$B$3</f>
        <v>52004.542988489469</v>
      </c>
      <c r="BI1609" s="6">
        <f>IF(Grandview_Inventory[[#This Row],[bldg_style]]="",0,Lookups!$B$2)</f>
        <v>155833.95000000001</v>
      </c>
      <c r="BJ1609" s="6">
        <f>_xlfn.IFNA(VLOOKUP(Grandview_Inventory[[#This Row],[quality]],Lookups!$H$2:$J$14,3,FALSE),0)</f>
        <v>-28558</v>
      </c>
      <c r="BK1609" s="6">
        <f>_xlfn.IFNA(VLOOKUP(Grandview_Inventory[[#This Row],[condition]],Lookups!$H$17:$J$24,3,FALSE),0)</f>
        <v>-77566.475205170951</v>
      </c>
      <c r="BL1609" s="6">
        <f>Grandview_Inventory[[#This Row],[Eff_Age]]*Lookups!$B$14</f>
        <v>-12197.496599999999</v>
      </c>
      <c r="BM1609" s="6">
        <f>Grandview_Inventory[[#This Row],[living_area]]*Lookups!$B$15</f>
        <v>46161.83122</v>
      </c>
      <c r="BN1609" s="6">
        <f>Grandview_Inventory[[#This Row],[Fin BSMT]]*Lookups!$B$16</f>
        <v>0</v>
      </c>
      <c r="BO1609" s="6">
        <f>(Grandview_Inventory[[#This Row],[att_gar]]+Grandview_Inventory[[#This Row],[bltin_gar]])*Lookups!$B$17</f>
        <v>0</v>
      </c>
      <c r="BP1609" s="6">
        <f>Grandview_Inventory[[#This Row],[Plumbing Fixtures]]*Lookups!$B$18</f>
        <v>14073.0926</v>
      </c>
      <c r="BQ1609" s="6">
        <f>Grandview_Inventory[[#This Row],[detatched_value]]*Lookups!$B$19</f>
        <v>0</v>
      </c>
      <c r="BR1609" s="6">
        <f>SUM(Grandview_Inventory[[#This Row],[Intercept]:[det_value]])*Grandview_Inventory[[#This Row],[res_pct]]</f>
        <v>97746.902014829073</v>
      </c>
      <c r="BS1609" s="6">
        <f>Grandview_Inventory[[#This Row],[land_value]]</f>
        <v>52004.542988489469</v>
      </c>
      <c r="BT1609" s="4">
        <f>_xlfn.IFNA(VLOOKUP(Grandview_Inventory[[#This Row],[quality]],Lookups!$A$26:$C$33,3,FALSE),1)</f>
        <v>0.9690360070159818</v>
      </c>
      <c r="BU1609" s="4">
        <f>_xlfn.IFNA(VLOOKUP(Grandview_Inventory[[#This Row],[condition]],Lookups!$A$37:$C$44,3,FALSE),1)</f>
        <v>0.97161819570155394</v>
      </c>
      <c r="BV1609" s="4">
        <f>IF(Grandview_Inventory[[#This Row],[bldg_style]]="",1,_xlfn.IFNA(VLOOKUP(Grandview_Inventory[[#This Row],[decade]],Lookups!$F$29:$H$43,3,FALSE),1))</f>
        <v>0.94161750052457416</v>
      </c>
      <c r="BW1609" s="4">
        <f>_xlfn.IFNA(VLOOKUP(Grandview_Inventory[[#This Row],[living_area_range]],Lookups!$F$47:$H$56,3,FALSE),1)</f>
        <v>0.94306777142782894</v>
      </c>
      <c r="BX1609" s="4">
        <f>AVERAGE(Grandview_Inventory[[#This Row],[qual_adj]:[size_adj]])</f>
        <v>0.95633486866748474</v>
      </c>
      <c r="BY1609" s="6">
        <f>IF(Grandview_Inventory[[#This Row],[pre_res]]&lt;0,0,Grandview_Inventory[[#This Row],[pre_res]]*Grandview_Inventory[[#This Row],[overall_adj]])</f>
        <v>93478.770701005065</v>
      </c>
      <c r="BZ1609" s="6">
        <f>(Grandview_Inventory[[#This Row],[sum_land]]-IF(Grandview_Inventory[[#This Row],[no_utilities]]=1,12000,0))/IF(Grandview_Inventory[[#This Row],[unbuildable]]=1,2,1)</f>
        <v>52004.542988489469</v>
      </c>
      <c r="CA160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609">
        <f>ROUND(Grandview_Inventory[[#This Row],[det_value]]*Lookups!$M$28,-2)</f>
        <v>0</v>
      </c>
      <c r="CC1609">
        <f>IF(ROUND(Grandview_Inventory[[#This Row],[adj_res]]*Lookups!$M$28,-2)&lt;Grandview_Inventory[[#This Row],[min_res]],Grandview_Inventory[[#This Row],[min_res]],ROUND(Grandview_Inventory[[#This Row],[adj_res]]*Lookups!$M$28,-2))</f>
        <v>88800</v>
      </c>
      <c r="CD1609">
        <f>Grandview_Inventory[[#This Row],[final_det]]+Grandview_Inventory[[#This Row],[final_res]]</f>
        <v>88800</v>
      </c>
      <c r="CE1609">
        <f>Grandview_Inventory[[#This Row],[final_land]]+Grandview_Inventory[[#This Row],[final_imp]]+Grandview_Inventory[[#This Row],[crop_value]]</f>
        <v>138200</v>
      </c>
      <c r="CG1609" t="str">
        <f t="shared" si="25"/>
        <v>update valuation set market_land =49400, market_bldg=88800, market_total =138200, market_mdno =401, market_date ='9/10/2023' where link_id = (select link_id from parcel where parcel_year = '2024' and parcel_id = '23092324449');</v>
      </c>
    </row>
    <row r="1610" spans="1:85" x14ac:dyDescent="0.25">
      <c r="A1610">
        <v>23092324450</v>
      </c>
      <c r="B1610">
        <v>0.24</v>
      </c>
      <c r="C1610">
        <v>10333</v>
      </c>
      <c r="D1610" t="s">
        <v>129</v>
      </c>
      <c r="E1610" t="s">
        <v>53</v>
      </c>
      <c r="F1610" t="s">
        <v>53</v>
      </c>
      <c r="G1610">
        <v>4</v>
      </c>
      <c r="H1610" t="s">
        <v>54</v>
      </c>
      <c r="I1610">
        <v>131800</v>
      </c>
      <c r="J1610">
        <v>40200</v>
      </c>
      <c r="K1610">
        <v>0.24</v>
      </c>
      <c r="L161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610">
        <v>0</v>
      </c>
      <c r="N1610">
        <v>0</v>
      </c>
      <c r="O1610">
        <v>0</v>
      </c>
      <c r="P1610">
        <v>13398.7528</v>
      </c>
      <c r="Q1610">
        <v>63903</v>
      </c>
      <c r="R1610">
        <f>(Grandview_Inventory[[#This Row],[ln_acres]]*Grandview_Inventory[[#This Row],[coeff]])+Grandview_Inventory[[#This Row],[const]]</f>
        <v>44781.420733940802</v>
      </c>
      <c r="S1610" t="s">
        <v>68</v>
      </c>
      <c r="T1610">
        <v>1</v>
      </c>
      <c r="U1610" t="s">
        <v>83</v>
      </c>
      <c r="V1610" t="s">
        <v>69</v>
      </c>
      <c r="W1610">
        <v>0</v>
      </c>
      <c r="X1610">
        <v>0</v>
      </c>
      <c r="Y1610">
        <v>53</v>
      </c>
      <c r="Z1610">
        <v>93</v>
      </c>
      <c r="AA1610">
        <v>100</v>
      </c>
      <c r="AB1610">
        <v>1500</v>
      </c>
      <c r="AC1610">
        <v>1230</v>
      </c>
      <c r="AD1610">
        <v>1230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5</v>
      </c>
      <c r="AQ1610">
        <v>0</v>
      </c>
      <c r="AR1610">
        <v>0</v>
      </c>
      <c r="AS1610" t="s">
        <v>58</v>
      </c>
      <c r="AT1610">
        <v>1</v>
      </c>
      <c r="AU1610" t="s">
        <v>75</v>
      </c>
      <c r="AV1610" t="s">
        <v>60</v>
      </c>
      <c r="AW1610">
        <v>0</v>
      </c>
      <c r="AX1610">
        <v>3</v>
      </c>
      <c r="AY1610">
        <v>0</v>
      </c>
      <c r="AZ1610">
        <v>0</v>
      </c>
      <c r="BA1610">
        <v>100</v>
      </c>
      <c r="BB1610">
        <v>100</v>
      </c>
      <c r="BC1610">
        <v>100</v>
      </c>
      <c r="BD1610">
        <v>100</v>
      </c>
      <c r="BE1610">
        <v>1</v>
      </c>
      <c r="BF1610">
        <v>15000</v>
      </c>
      <c r="BG1610">
        <v>1000</v>
      </c>
      <c r="BH1610" s="6">
        <f>Grandview_Inventory[[#This Row],[land_extract]]*Lookups!$B$3</f>
        <v>52004.542988489469</v>
      </c>
      <c r="BI1610" s="6">
        <f>IF(Grandview_Inventory[[#This Row],[bldg_style]]="",0,Lookups!$B$2)</f>
        <v>155833.95000000001</v>
      </c>
      <c r="BJ1610" s="6">
        <f>_xlfn.IFNA(VLOOKUP(Grandview_Inventory[[#This Row],[quality]],Lookups!$H$2:$J$14,3,FALSE),0)</f>
        <v>-28558</v>
      </c>
      <c r="BK1610" s="6">
        <f>_xlfn.IFNA(VLOOKUP(Grandview_Inventory[[#This Row],[condition]],Lookups!$H$17:$J$24,3,FALSE),0)</f>
        <v>-4503</v>
      </c>
      <c r="BL1610" s="6">
        <f>Grandview_Inventory[[#This Row],[Eff_Age]]*Lookups!$B$14</f>
        <v>-12675.8298</v>
      </c>
      <c r="BM1610" s="6">
        <f>Grandview_Inventory[[#This Row],[living_area]]*Lookups!$B$15</f>
        <v>76728.449189999999</v>
      </c>
      <c r="BN1610" s="6">
        <f>Grandview_Inventory[[#This Row],[Fin BSMT]]*Lookups!$B$16</f>
        <v>0</v>
      </c>
      <c r="BO1610" s="6">
        <f>(Grandview_Inventory[[#This Row],[att_gar]]+Grandview_Inventory[[#This Row],[bltin_gar]])*Lookups!$B$17</f>
        <v>0</v>
      </c>
      <c r="BP1610" s="6">
        <f>Grandview_Inventory[[#This Row],[Plumbing Fixtures]]*Lookups!$B$18</f>
        <v>10052.209000000001</v>
      </c>
      <c r="BQ1610" s="6">
        <f>Grandview_Inventory[[#This Row],[detatched_value]]*Lookups!$B$19</f>
        <v>0</v>
      </c>
      <c r="BR1610" s="6">
        <f>SUM(Grandview_Inventory[[#This Row],[Intercept]:[det_value]])*Grandview_Inventory[[#This Row],[res_pct]]</f>
        <v>196877.77839000002</v>
      </c>
      <c r="BS1610" s="6">
        <f>Grandview_Inventory[[#This Row],[land_value]]</f>
        <v>52004.542988489469</v>
      </c>
      <c r="BT1610" s="4">
        <f>_xlfn.IFNA(VLOOKUP(Grandview_Inventory[[#This Row],[quality]],Lookups!$A$26:$C$33,3,FALSE),1)</f>
        <v>0.96329552998502799</v>
      </c>
      <c r="BU1610" s="4">
        <f>_xlfn.IFNA(VLOOKUP(Grandview_Inventory[[#This Row],[condition]],Lookups!$A$37:$C$44,3,FALSE),1)</f>
        <v>0.96469275950863709</v>
      </c>
      <c r="BV1610" s="4">
        <f>IF(Grandview_Inventory[[#This Row],[bldg_style]]="",1,_xlfn.IFNA(VLOOKUP(Grandview_Inventory[[#This Row],[decade]],Lookups!$F$29:$H$43,3,FALSE),1))</f>
        <v>0.95244691841736806</v>
      </c>
      <c r="BW1610" s="4">
        <f>_xlfn.IFNA(VLOOKUP(Grandview_Inventory[[#This Row],[living_area_range]],Lookups!$F$47:$H$56,3,FALSE),1)</f>
        <v>0.96135087979789358</v>
      </c>
      <c r="BX1610" s="4">
        <f>AVERAGE(Grandview_Inventory[[#This Row],[qual_adj]:[size_adj]])</f>
        <v>0.96044652192723168</v>
      </c>
      <c r="BY1610" s="6">
        <f>IF(Grandview_Inventory[[#This Row],[pre_res]]&lt;0,0,Grandview_Inventory[[#This Row],[pre_res]]*Grandview_Inventory[[#This Row],[overall_adj]])</f>
        <v>189090.57749943581</v>
      </c>
      <c r="BZ1610" s="6">
        <f>(Grandview_Inventory[[#This Row],[sum_land]]-IF(Grandview_Inventory[[#This Row],[no_utilities]]=1,12000,0))/IF(Grandview_Inventory[[#This Row],[unbuildable]]=1,2,1)</f>
        <v>52004.542988489469</v>
      </c>
      <c r="CA161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610">
        <f>ROUND(Grandview_Inventory[[#This Row],[det_value]]*Lookups!$M$28,-2)</f>
        <v>0</v>
      </c>
      <c r="CC1610">
        <f>IF(ROUND(Grandview_Inventory[[#This Row],[adj_res]]*Lookups!$M$28,-2)&lt;Grandview_Inventory[[#This Row],[min_res]],Grandview_Inventory[[#This Row],[min_res]],ROUND(Grandview_Inventory[[#This Row],[adj_res]]*Lookups!$M$28,-2))</f>
        <v>179600</v>
      </c>
      <c r="CD1610">
        <f>Grandview_Inventory[[#This Row],[final_det]]+Grandview_Inventory[[#This Row],[final_res]]</f>
        <v>179600</v>
      </c>
      <c r="CE1610">
        <f>Grandview_Inventory[[#This Row],[final_land]]+Grandview_Inventory[[#This Row],[final_imp]]+Grandview_Inventory[[#This Row],[crop_value]]</f>
        <v>229000</v>
      </c>
      <c r="CG1610" t="str">
        <f t="shared" si="25"/>
        <v>update valuation set market_land =49400, market_bldg=179600, market_total =229000, market_mdno =401, market_date ='9/10/2023' where link_id = (select link_id from parcel where parcel_year = '2024' and parcel_id = '23092324450');</v>
      </c>
    </row>
    <row r="1611" spans="1:85" x14ac:dyDescent="0.25">
      <c r="A1611">
        <v>23092324452</v>
      </c>
      <c r="B1611">
        <v>0.28000000000000003</v>
      </c>
      <c r="C1611">
        <v>12013</v>
      </c>
      <c r="D1611" t="s">
        <v>129</v>
      </c>
      <c r="E1611" t="s">
        <v>53</v>
      </c>
      <c r="F1611" t="s">
        <v>53</v>
      </c>
      <c r="G1611">
        <v>4</v>
      </c>
      <c r="H1611" t="s">
        <v>54</v>
      </c>
      <c r="I1611">
        <v>129100</v>
      </c>
      <c r="J1611">
        <v>40500</v>
      </c>
      <c r="K1611">
        <v>0.28000000000000003</v>
      </c>
      <c r="L1611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611">
        <v>0</v>
      </c>
      <c r="N1611">
        <v>0</v>
      </c>
      <c r="O1611">
        <v>0</v>
      </c>
      <c r="P1611">
        <v>13398.7528</v>
      </c>
      <c r="Q1611">
        <v>63903</v>
      </c>
      <c r="R1611">
        <f>(Grandview_Inventory[[#This Row],[ln_acres]]*Grandview_Inventory[[#This Row],[coeff]])+Grandview_Inventory[[#This Row],[const]]</f>
        <v>46846.847586898184</v>
      </c>
      <c r="S1611" t="s">
        <v>61</v>
      </c>
      <c r="T1611">
        <v>1</v>
      </c>
      <c r="U1611" t="s">
        <v>65</v>
      </c>
      <c r="V1611" t="s">
        <v>69</v>
      </c>
      <c r="W1611">
        <v>0</v>
      </c>
      <c r="X1611">
        <v>0</v>
      </c>
      <c r="Y1611">
        <v>46</v>
      </c>
      <c r="Z1611">
        <v>53</v>
      </c>
      <c r="AA1611">
        <v>60</v>
      </c>
      <c r="AB1611">
        <v>1000</v>
      </c>
      <c r="AC1611">
        <v>924</v>
      </c>
      <c r="AD1611">
        <v>924</v>
      </c>
      <c r="AE1611">
        <v>0</v>
      </c>
      <c r="AF1611">
        <v>0</v>
      </c>
      <c r="AG1611">
        <v>0</v>
      </c>
      <c r="AH1611">
        <v>231</v>
      </c>
      <c r="AI1611">
        <v>0</v>
      </c>
      <c r="AJ1611">
        <v>0</v>
      </c>
      <c r="AK1611">
        <v>0</v>
      </c>
      <c r="AL1611">
        <v>0</v>
      </c>
      <c r="AM1611">
        <v>96</v>
      </c>
      <c r="AN1611">
        <v>70</v>
      </c>
      <c r="AO1611">
        <v>96</v>
      </c>
      <c r="AP1611">
        <v>5</v>
      </c>
      <c r="AQ1611">
        <v>0</v>
      </c>
      <c r="AR1611">
        <v>1</v>
      </c>
      <c r="AS1611" t="s">
        <v>58</v>
      </c>
      <c r="AT1611">
        <v>1</v>
      </c>
      <c r="AU1611" t="s">
        <v>63</v>
      </c>
      <c r="AV1611" t="s">
        <v>64</v>
      </c>
      <c r="AW1611">
        <v>0</v>
      </c>
      <c r="AX1611">
        <v>2</v>
      </c>
      <c r="AY1611">
        <v>0</v>
      </c>
      <c r="AZ1611">
        <v>11100</v>
      </c>
      <c r="BA1611">
        <v>100</v>
      </c>
      <c r="BB1611">
        <v>100</v>
      </c>
      <c r="BC1611">
        <v>100</v>
      </c>
      <c r="BD1611">
        <v>100</v>
      </c>
      <c r="BE1611">
        <v>1</v>
      </c>
      <c r="BF1611">
        <v>15000</v>
      </c>
      <c r="BG1611">
        <v>1000</v>
      </c>
      <c r="BH1611" s="6">
        <f>Grandview_Inventory[[#This Row],[land_extract]]*Lookups!$B$3</f>
        <v>54403.117616176372</v>
      </c>
      <c r="BI1611" s="6">
        <f>IF(Grandview_Inventory[[#This Row],[bldg_style]]="",0,Lookups!$B$2)</f>
        <v>155833.95000000001</v>
      </c>
      <c r="BJ1611" s="6">
        <f>_xlfn.IFNA(VLOOKUP(Grandview_Inventory[[#This Row],[quality]],Lookups!$H$2:$J$14,3,FALSE),0)</f>
        <v>2251</v>
      </c>
      <c r="BK1611" s="6">
        <f>_xlfn.IFNA(VLOOKUP(Grandview_Inventory[[#This Row],[condition]],Lookups!$H$17:$J$24,3,FALSE),0)</f>
        <v>-4503</v>
      </c>
      <c r="BL1611" s="6">
        <f>Grandview_Inventory[[#This Row],[Eff_Age]]*Lookups!$B$14</f>
        <v>-11001.6636</v>
      </c>
      <c r="BM1611" s="6">
        <f>Grandview_Inventory[[#This Row],[living_area]]*Lookups!$B$15</f>
        <v>57639.908172000003</v>
      </c>
      <c r="BN1611" s="6">
        <f>Grandview_Inventory[[#This Row],[Fin BSMT]]*Lookups!$B$16</f>
        <v>0</v>
      </c>
      <c r="BO1611" s="6">
        <f>(Grandview_Inventory[[#This Row],[att_gar]]+Grandview_Inventory[[#This Row],[bltin_gar]])*Lookups!$B$17</f>
        <v>0</v>
      </c>
      <c r="BP1611" s="6">
        <f>Grandview_Inventory[[#This Row],[Plumbing Fixtures]]*Lookups!$B$18</f>
        <v>10052.209000000001</v>
      </c>
      <c r="BQ1611" s="6">
        <f>Grandview_Inventory[[#This Row],[detatched_value]]*Lookups!$B$19</f>
        <v>9399.5366099999992</v>
      </c>
      <c r="BR1611" s="6">
        <f>SUM(Grandview_Inventory[[#This Row],[Intercept]:[det_value]])*Grandview_Inventory[[#This Row],[res_pct]]</f>
        <v>219671.94018200002</v>
      </c>
      <c r="BS1611" s="6">
        <f>Grandview_Inventory[[#This Row],[land_value]]</f>
        <v>54403.117616176372</v>
      </c>
      <c r="BT1611" s="4">
        <f>_xlfn.IFNA(VLOOKUP(Grandview_Inventory[[#This Row],[quality]],Lookups!$A$26:$C$33,3,FALSE),1)</f>
        <v>0.98763855981004833</v>
      </c>
      <c r="BU1611" s="4">
        <f>_xlfn.IFNA(VLOOKUP(Grandview_Inventory[[#This Row],[condition]],Lookups!$A$37:$C$44,3,FALSE),1)</f>
        <v>0.96469275950863709</v>
      </c>
      <c r="BV1611" s="4">
        <f>IF(Grandview_Inventory[[#This Row],[bldg_style]]="",1,_xlfn.IFNA(VLOOKUP(Grandview_Inventory[[#This Row],[decade]],Lookups!$F$29:$H$43,3,FALSE),1))</f>
        <v>0.95268620544463312</v>
      </c>
      <c r="BW1611" s="4">
        <f>_xlfn.IFNA(VLOOKUP(Grandview_Inventory[[#This Row],[living_area_range]],Lookups!$F$47:$H$56,3,FALSE),1)</f>
        <v>0.94306777142782894</v>
      </c>
      <c r="BX1611" s="4">
        <f>AVERAGE(Grandview_Inventory[[#This Row],[qual_adj]:[size_adj]])</f>
        <v>0.96202132404778684</v>
      </c>
      <c r="BY1611" s="6">
        <f>IF(Grandview_Inventory[[#This Row],[pre_res]]&lt;0,0,Grandview_Inventory[[#This Row],[pre_res]]*Grandview_Inventory[[#This Row],[overall_adj]])</f>
        <v>211329.09075003388</v>
      </c>
      <c r="BZ1611" s="6">
        <f>(Grandview_Inventory[[#This Row],[sum_land]]-IF(Grandview_Inventory[[#This Row],[no_utilities]]=1,12000,0))/IF(Grandview_Inventory[[#This Row],[unbuildable]]=1,2,1)</f>
        <v>54403.117616176372</v>
      </c>
      <c r="CA1611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611">
        <f>ROUND(Grandview_Inventory[[#This Row],[det_value]]*Lookups!$M$28,-2)</f>
        <v>8900</v>
      </c>
      <c r="CC1611">
        <f>IF(ROUND(Grandview_Inventory[[#This Row],[adj_res]]*Lookups!$M$28,-2)&lt;Grandview_Inventory[[#This Row],[min_res]],Grandview_Inventory[[#This Row],[min_res]],ROUND(Grandview_Inventory[[#This Row],[adj_res]]*Lookups!$M$28,-2))</f>
        <v>200800</v>
      </c>
      <c r="CD1611">
        <f>Grandview_Inventory[[#This Row],[final_det]]+Grandview_Inventory[[#This Row],[final_res]]</f>
        <v>209700</v>
      </c>
      <c r="CE1611">
        <f>Grandview_Inventory[[#This Row],[final_land]]+Grandview_Inventory[[#This Row],[final_imp]]+Grandview_Inventory[[#This Row],[crop_value]]</f>
        <v>261400</v>
      </c>
      <c r="CG1611" t="str">
        <f t="shared" si="25"/>
        <v>update valuation set market_land =51700, market_bldg=209700, market_total =261400, market_mdno =401, market_date ='9/10/2023' where link_id = (select link_id from parcel where parcel_year = '2024' and parcel_id = '23092324452');</v>
      </c>
    </row>
    <row r="1612" spans="1:85" x14ac:dyDescent="0.25">
      <c r="A1612">
        <v>23092324453</v>
      </c>
      <c r="B1612">
        <v>0.19</v>
      </c>
      <c r="C1612">
        <v>8238</v>
      </c>
      <c r="D1612" t="s">
        <v>129</v>
      </c>
      <c r="E1612" t="s">
        <v>53</v>
      </c>
      <c r="F1612" t="s">
        <v>53</v>
      </c>
      <c r="G1612">
        <v>4</v>
      </c>
      <c r="H1612" t="s">
        <v>54</v>
      </c>
      <c r="I1612">
        <v>155600</v>
      </c>
      <c r="J1612">
        <v>39700</v>
      </c>
      <c r="K1612">
        <v>0.19</v>
      </c>
      <c r="L161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612">
        <v>0</v>
      </c>
      <c r="N1612">
        <v>0</v>
      </c>
      <c r="O1612">
        <v>0</v>
      </c>
      <c r="P1612">
        <v>13398.7528</v>
      </c>
      <c r="Q1612">
        <v>63903</v>
      </c>
      <c r="R1612">
        <f>(Grandview_Inventory[[#This Row],[ln_acres]]*Grandview_Inventory[[#This Row],[coeff]])+Grandview_Inventory[[#This Row],[const]]</f>
        <v>41651.273092551026</v>
      </c>
      <c r="S1612" t="s">
        <v>68</v>
      </c>
      <c r="T1612">
        <v>1</v>
      </c>
      <c r="U1612" t="s">
        <v>70</v>
      </c>
      <c r="V1612" t="s">
        <v>67</v>
      </c>
      <c r="W1612">
        <v>0</v>
      </c>
      <c r="X1612">
        <v>0</v>
      </c>
      <c r="Y1612">
        <v>53</v>
      </c>
      <c r="Z1612">
        <v>93</v>
      </c>
      <c r="AA1612">
        <v>100</v>
      </c>
      <c r="AB1612">
        <v>1000</v>
      </c>
      <c r="AC1612">
        <v>972</v>
      </c>
      <c r="AD1612">
        <v>864</v>
      </c>
      <c r="AE1612">
        <v>0</v>
      </c>
      <c r="AF1612">
        <v>0</v>
      </c>
      <c r="AG1612">
        <v>108</v>
      </c>
      <c r="AH1612">
        <v>432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5</v>
      </c>
      <c r="AQ1612">
        <v>1</v>
      </c>
      <c r="AR1612">
        <v>0</v>
      </c>
      <c r="AS1612" t="s">
        <v>58</v>
      </c>
      <c r="AT1612">
        <v>1</v>
      </c>
      <c r="AU1612" t="s">
        <v>63</v>
      </c>
      <c r="AV1612" t="s">
        <v>64</v>
      </c>
      <c r="AW1612">
        <v>0</v>
      </c>
      <c r="AX1612">
        <v>3</v>
      </c>
      <c r="AY1612">
        <v>0</v>
      </c>
      <c r="AZ1612">
        <v>0</v>
      </c>
      <c r="BA1612">
        <v>100</v>
      </c>
      <c r="BB1612">
        <v>100</v>
      </c>
      <c r="BC1612">
        <v>100</v>
      </c>
      <c r="BD1612">
        <v>100</v>
      </c>
      <c r="BE1612">
        <v>1</v>
      </c>
      <c r="BF1612">
        <v>15000</v>
      </c>
      <c r="BG1612">
        <v>1000</v>
      </c>
      <c r="BH1612" s="6">
        <f>Grandview_Inventory[[#This Row],[land_extract]]*Lookups!$B$3</f>
        <v>48369.510983942157</v>
      </c>
      <c r="BI1612" s="6">
        <f>IF(Grandview_Inventory[[#This Row],[bldg_style]]="",0,Lookups!$B$2)</f>
        <v>155833.95000000001</v>
      </c>
      <c r="BJ1612" s="6">
        <f>_xlfn.IFNA(VLOOKUP(Grandview_Inventory[[#This Row],[quality]],Lookups!$H$2:$J$14,3,FALSE),0)</f>
        <v>10733</v>
      </c>
      <c r="BK1612" s="6">
        <f>_xlfn.IFNA(VLOOKUP(Grandview_Inventory[[#This Row],[condition]],Lookups!$H$17:$J$24,3,FALSE),0)</f>
        <v>22342</v>
      </c>
      <c r="BL1612" s="6">
        <f>Grandview_Inventory[[#This Row],[Eff_Age]]*Lookups!$B$14</f>
        <v>-12675.8298</v>
      </c>
      <c r="BM1612" s="6">
        <f>Grandview_Inventory[[#This Row],[living_area]]*Lookups!$B$15</f>
        <v>60634.189116000001</v>
      </c>
      <c r="BN1612" s="6">
        <f>Grandview_Inventory[[#This Row],[Fin BSMT]]*Lookups!$B$16</f>
        <v>-2926.71792</v>
      </c>
      <c r="BO1612" s="6">
        <f>(Grandview_Inventory[[#This Row],[att_gar]]+Grandview_Inventory[[#This Row],[bltin_gar]])*Lookups!$B$17</f>
        <v>0</v>
      </c>
      <c r="BP1612" s="6">
        <f>Grandview_Inventory[[#This Row],[Plumbing Fixtures]]*Lookups!$B$18</f>
        <v>10052.209000000001</v>
      </c>
      <c r="BQ1612" s="6">
        <f>Grandview_Inventory[[#This Row],[detatched_value]]*Lookups!$B$19</f>
        <v>0</v>
      </c>
      <c r="BR1612" s="6">
        <f>SUM(Grandview_Inventory[[#This Row],[Intercept]:[det_value]])*Grandview_Inventory[[#This Row],[res_pct]]</f>
        <v>243992.80039600001</v>
      </c>
      <c r="BS1612" s="6">
        <f>Grandview_Inventory[[#This Row],[land_value]]</f>
        <v>48369.510983942157</v>
      </c>
      <c r="BT1612" s="4">
        <f>_xlfn.IFNA(VLOOKUP(Grandview_Inventory[[#This Row],[quality]],Lookups!$A$26:$C$33,3,FALSE),1)</f>
        <v>0.98079741117310582</v>
      </c>
      <c r="BU1612" s="4">
        <f>_xlfn.IFNA(VLOOKUP(Grandview_Inventory[[#This Row],[condition]],Lookups!$A$37:$C$44,3,FALSE),1)</f>
        <v>0.97383723671140243</v>
      </c>
      <c r="BV1612" s="4">
        <f>IF(Grandview_Inventory[[#This Row],[bldg_style]]="",1,_xlfn.IFNA(VLOOKUP(Grandview_Inventory[[#This Row],[decade]],Lookups!$F$29:$H$43,3,FALSE),1))</f>
        <v>0.95244691841736806</v>
      </c>
      <c r="BW1612" s="4">
        <f>_xlfn.IFNA(VLOOKUP(Grandview_Inventory[[#This Row],[living_area_range]],Lookups!$F$47:$H$56,3,FALSE),1)</f>
        <v>0.94306777142782894</v>
      </c>
      <c r="BX1612" s="4">
        <f>AVERAGE(Grandview_Inventory[[#This Row],[qual_adj]:[size_adj]])</f>
        <v>0.96253733443242628</v>
      </c>
      <c r="BY1612" s="6">
        <f>IF(Grandview_Inventory[[#This Row],[pre_res]]&lt;0,0,Grandview_Inventory[[#This Row],[pre_res]]*Grandview_Inventory[[#This Row],[overall_adj]])</f>
        <v>234852.17971386889</v>
      </c>
      <c r="BZ1612" s="6">
        <f>(Grandview_Inventory[[#This Row],[sum_land]]-IF(Grandview_Inventory[[#This Row],[no_utilities]]=1,12000,0))/IF(Grandview_Inventory[[#This Row],[unbuildable]]=1,2,1)</f>
        <v>48369.510983942157</v>
      </c>
      <c r="CA161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612">
        <f>ROUND(Grandview_Inventory[[#This Row],[det_value]]*Lookups!$M$28,-2)</f>
        <v>0</v>
      </c>
      <c r="CC1612">
        <f>IF(ROUND(Grandview_Inventory[[#This Row],[adj_res]]*Lookups!$M$28,-2)&lt;Grandview_Inventory[[#This Row],[min_res]],Grandview_Inventory[[#This Row],[min_res]],ROUND(Grandview_Inventory[[#This Row],[adj_res]]*Lookups!$M$28,-2))</f>
        <v>223100</v>
      </c>
      <c r="CD1612">
        <f>Grandview_Inventory[[#This Row],[final_det]]+Grandview_Inventory[[#This Row],[final_res]]</f>
        <v>223100</v>
      </c>
      <c r="CE1612">
        <f>Grandview_Inventory[[#This Row],[final_land]]+Grandview_Inventory[[#This Row],[final_imp]]+Grandview_Inventory[[#This Row],[crop_value]]</f>
        <v>269100</v>
      </c>
      <c r="CG1612" t="str">
        <f t="shared" si="25"/>
        <v>update valuation set market_land =46000, market_bldg=223100, market_total =269100, market_mdno =401, market_date ='9/10/2023' where link_id = (select link_id from parcel where parcel_year = '2024' and parcel_id = '23092324453');</v>
      </c>
    </row>
    <row r="1613" spans="1:85" x14ac:dyDescent="0.25">
      <c r="A1613">
        <v>23092324454</v>
      </c>
      <c r="B1613">
        <v>0.21</v>
      </c>
      <c r="C1613">
        <v>9021</v>
      </c>
      <c r="D1613" t="s">
        <v>129</v>
      </c>
      <c r="E1613" t="s">
        <v>53</v>
      </c>
      <c r="F1613" t="s">
        <v>53</v>
      </c>
      <c r="G1613">
        <v>4</v>
      </c>
      <c r="H1613" t="s">
        <v>54</v>
      </c>
      <c r="I1613">
        <v>151100</v>
      </c>
      <c r="J1613">
        <v>39700</v>
      </c>
      <c r="K1613">
        <v>0.21</v>
      </c>
      <c r="L161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13">
        <v>0</v>
      </c>
      <c r="N1613">
        <v>0</v>
      </c>
      <c r="O1613">
        <v>0</v>
      </c>
      <c r="P1613">
        <v>13398.7528</v>
      </c>
      <c r="Q1613">
        <v>63903</v>
      </c>
      <c r="R1613">
        <f>(Grandview_Inventory[[#This Row],[ln_acres]]*Grandview_Inventory[[#This Row],[coeff]])+Grandview_Inventory[[#This Row],[const]]</f>
        <v>42992.266613125081</v>
      </c>
      <c r="S1613" t="s">
        <v>61</v>
      </c>
      <c r="T1613">
        <v>1</v>
      </c>
      <c r="U1613" t="s">
        <v>83</v>
      </c>
      <c r="V1613" t="s">
        <v>69</v>
      </c>
      <c r="W1613">
        <v>0</v>
      </c>
      <c r="X1613">
        <v>0</v>
      </c>
      <c r="Y1613">
        <v>48</v>
      </c>
      <c r="Z1613">
        <v>63</v>
      </c>
      <c r="AA1613">
        <v>70</v>
      </c>
      <c r="AB1613">
        <v>1500</v>
      </c>
      <c r="AC1613">
        <v>1036</v>
      </c>
      <c r="AD1613">
        <v>1036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5</v>
      </c>
      <c r="AQ1613">
        <v>1</v>
      </c>
      <c r="AR1613">
        <v>0</v>
      </c>
      <c r="AS1613" t="s">
        <v>58</v>
      </c>
      <c r="AT1613">
        <v>0</v>
      </c>
      <c r="AU1613" t="s">
        <v>134</v>
      </c>
      <c r="AV1613" t="s">
        <v>138</v>
      </c>
      <c r="AW1613">
        <v>0</v>
      </c>
      <c r="AX1613">
        <v>2</v>
      </c>
      <c r="AY1613">
        <v>0</v>
      </c>
      <c r="AZ1613">
        <v>0</v>
      </c>
      <c r="BA1613">
        <v>100</v>
      </c>
      <c r="BB1613">
        <v>100</v>
      </c>
      <c r="BC1613">
        <v>100</v>
      </c>
      <c r="BD1613">
        <v>100</v>
      </c>
      <c r="BE1613">
        <v>1</v>
      </c>
      <c r="BF1613">
        <v>15000</v>
      </c>
      <c r="BG1613">
        <v>1000</v>
      </c>
      <c r="BH1613" s="6">
        <f>Grandview_Inventory[[#This Row],[land_extract]]*Lookups!$B$3</f>
        <v>49926.8031387023</v>
      </c>
      <c r="BI1613" s="6">
        <f>IF(Grandview_Inventory[[#This Row],[bldg_style]]="",0,Lookups!$B$2)</f>
        <v>155833.95000000001</v>
      </c>
      <c r="BJ1613" s="6">
        <f>_xlfn.IFNA(VLOOKUP(Grandview_Inventory[[#This Row],[quality]],Lookups!$H$2:$J$14,3,FALSE),0)</f>
        <v>-28558</v>
      </c>
      <c r="BK1613" s="6">
        <f>_xlfn.IFNA(VLOOKUP(Grandview_Inventory[[#This Row],[condition]],Lookups!$H$17:$J$24,3,FALSE),0)</f>
        <v>-4503</v>
      </c>
      <c r="BL1613" s="6">
        <f>Grandview_Inventory[[#This Row],[Eff_Age]]*Lookups!$B$14</f>
        <v>-11479.996799999999</v>
      </c>
      <c r="BM1613" s="6">
        <f>Grandview_Inventory[[#This Row],[living_area]]*Lookups!$B$15</f>
        <v>64626.563708000001</v>
      </c>
      <c r="BN1613" s="6">
        <f>Grandview_Inventory[[#This Row],[Fin BSMT]]*Lookups!$B$16</f>
        <v>0</v>
      </c>
      <c r="BO1613" s="6">
        <f>(Grandview_Inventory[[#This Row],[att_gar]]+Grandview_Inventory[[#This Row],[bltin_gar]])*Lookups!$B$17</f>
        <v>0</v>
      </c>
      <c r="BP1613" s="6">
        <f>Grandview_Inventory[[#This Row],[Plumbing Fixtures]]*Lookups!$B$18</f>
        <v>10052.209000000001</v>
      </c>
      <c r="BQ1613" s="6">
        <f>Grandview_Inventory[[#This Row],[detatched_value]]*Lookups!$B$19</f>
        <v>0</v>
      </c>
      <c r="BR1613" s="6">
        <f>SUM(Grandview_Inventory[[#This Row],[Intercept]:[det_value]])*Grandview_Inventory[[#This Row],[res_pct]]</f>
        <v>185971.72590800002</v>
      </c>
      <c r="BS1613" s="6">
        <f>Grandview_Inventory[[#This Row],[land_value]]</f>
        <v>49926.8031387023</v>
      </c>
      <c r="BT1613" s="4">
        <f>_xlfn.IFNA(VLOOKUP(Grandview_Inventory[[#This Row],[quality]],Lookups!$A$26:$C$33,3,FALSE),1)</f>
        <v>0.96329552998502799</v>
      </c>
      <c r="BU1613" s="4">
        <f>_xlfn.IFNA(VLOOKUP(Grandview_Inventory[[#This Row],[condition]],Lookups!$A$37:$C$44,3,FALSE),1)</f>
        <v>0.96469275950863709</v>
      </c>
      <c r="BV1613" s="4">
        <f>IF(Grandview_Inventory[[#This Row],[bldg_style]]="",1,_xlfn.IFNA(VLOOKUP(Grandview_Inventory[[#This Row],[decade]],Lookups!$F$29:$H$43,3,FALSE),1))</f>
        <v>0.99472141305414818</v>
      </c>
      <c r="BW1613" s="4">
        <f>_xlfn.IFNA(VLOOKUP(Grandview_Inventory[[#This Row],[living_area_range]],Lookups!$F$47:$H$56,3,FALSE),1)</f>
        <v>0.96135087979789358</v>
      </c>
      <c r="BX1613" s="4">
        <f>AVERAGE(Grandview_Inventory[[#This Row],[qual_adj]:[size_adj]])</f>
        <v>0.97101514558642665</v>
      </c>
      <c r="BY1613" s="6">
        <f>IF(Grandview_Inventory[[#This Row],[pre_res]]&lt;0,0,Grandview_Inventory[[#This Row],[pre_res]]*Grandview_Inventory[[#This Row],[overall_adj]])</f>
        <v>180581.36250751567</v>
      </c>
      <c r="BZ1613" s="6">
        <f>(Grandview_Inventory[[#This Row],[sum_land]]-IF(Grandview_Inventory[[#This Row],[no_utilities]]=1,12000,0))/IF(Grandview_Inventory[[#This Row],[unbuildable]]=1,2,1)</f>
        <v>49926.8031387023</v>
      </c>
      <c r="CA161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13">
        <f>ROUND(Grandview_Inventory[[#This Row],[det_value]]*Lookups!$M$28,-2)</f>
        <v>0</v>
      </c>
      <c r="CC1613">
        <f>IF(ROUND(Grandview_Inventory[[#This Row],[adj_res]]*Lookups!$M$28,-2)&lt;Grandview_Inventory[[#This Row],[min_res]],Grandview_Inventory[[#This Row],[min_res]],ROUND(Grandview_Inventory[[#This Row],[adj_res]]*Lookups!$M$28,-2))</f>
        <v>171600</v>
      </c>
      <c r="CD1613">
        <f>Grandview_Inventory[[#This Row],[final_det]]+Grandview_Inventory[[#This Row],[final_res]]</f>
        <v>171600</v>
      </c>
      <c r="CE1613">
        <f>Grandview_Inventory[[#This Row],[final_land]]+Grandview_Inventory[[#This Row],[final_imp]]+Grandview_Inventory[[#This Row],[crop_value]]</f>
        <v>219000</v>
      </c>
      <c r="CG1613" t="str">
        <f t="shared" si="25"/>
        <v>update valuation set market_land =47400, market_bldg=171600, market_total =219000, market_mdno =401, market_date ='9/10/2023' where link_id = (select link_id from parcel where parcel_year = '2024' and parcel_id = '23092324454');</v>
      </c>
    </row>
    <row r="1614" spans="1:85" x14ac:dyDescent="0.25">
      <c r="A1614">
        <v>23092324455</v>
      </c>
      <c r="B1614">
        <v>0.2</v>
      </c>
      <c r="C1614">
        <v>8728</v>
      </c>
      <c r="D1614" t="s">
        <v>129</v>
      </c>
      <c r="E1614" t="s">
        <v>53</v>
      </c>
      <c r="F1614" t="s">
        <v>53</v>
      </c>
      <c r="G1614">
        <v>4</v>
      </c>
      <c r="H1614" t="s">
        <v>54</v>
      </c>
      <c r="I1614">
        <v>119300</v>
      </c>
      <c r="J1614">
        <v>39800</v>
      </c>
      <c r="K1614">
        <v>0.2</v>
      </c>
      <c r="L161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14">
        <v>0</v>
      </c>
      <c r="N1614">
        <v>0</v>
      </c>
      <c r="O1614">
        <v>0</v>
      </c>
      <c r="P1614">
        <v>13398.7528</v>
      </c>
      <c r="Q1614">
        <v>63903</v>
      </c>
      <c r="R1614">
        <f>(Grandview_Inventory[[#This Row],[ln_acres]]*Grandview_Inventory[[#This Row],[coeff]])+Grandview_Inventory[[#This Row],[const]]</f>
        <v>42338.539264347448</v>
      </c>
      <c r="S1614" t="s">
        <v>61</v>
      </c>
      <c r="T1614">
        <v>1</v>
      </c>
      <c r="U1614" t="s">
        <v>80</v>
      </c>
      <c r="V1614" t="s">
        <v>78</v>
      </c>
      <c r="W1614">
        <v>0</v>
      </c>
      <c r="X1614">
        <v>0</v>
      </c>
      <c r="Y1614">
        <v>48</v>
      </c>
      <c r="Z1614">
        <v>63</v>
      </c>
      <c r="AA1614">
        <v>70</v>
      </c>
      <c r="AB1614">
        <v>1500</v>
      </c>
      <c r="AC1614">
        <v>1232</v>
      </c>
      <c r="AD1614">
        <v>1232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161</v>
      </c>
      <c r="AN1614">
        <v>0</v>
      </c>
      <c r="AO1614">
        <v>77</v>
      </c>
      <c r="AP1614">
        <v>5</v>
      </c>
      <c r="AQ1614">
        <v>1</v>
      </c>
      <c r="AR1614">
        <v>0</v>
      </c>
      <c r="AS1614" t="s">
        <v>58</v>
      </c>
      <c r="AT1614">
        <v>1</v>
      </c>
      <c r="AU1614" t="s">
        <v>63</v>
      </c>
      <c r="AV1614" t="s">
        <v>64</v>
      </c>
      <c r="AW1614">
        <v>0</v>
      </c>
      <c r="AX1614">
        <v>3</v>
      </c>
      <c r="AY1614">
        <v>0</v>
      </c>
      <c r="AZ1614">
        <v>18900</v>
      </c>
      <c r="BA1614">
        <v>100</v>
      </c>
      <c r="BB1614">
        <v>100</v>
      </c>
      <c r="BC1614">
        <v>100</v>
      </c>
      <c r="BD1614">
        <v>100</v>
      </c>
      <c r="BE1614">
        <v>1</v>
      </c>
      <c r="BF1614">
        <v>15000</v>
      </c>
      <c r="BG1614">
        <v>1000</v>
      </c>
      <c r="BH1614" s="6">
        <f>Grandview_Inventory[[#This Row],[land_extract]]*Lookups!$B$3</f>
        <v>49167.631333630678</v>
      </c>
      <c r="BI1614" s="6">
        <f>IF(Grandview_Inventory[[#This Row],[bldg_style]]="",0,Lookups!$B$2)</f>
        <v>155833.95000000001</v>
      </c>
      <c r="BJ1614" s="6">
        <f>_xlfn.IFNA(VLOOKUP(Grandview_Inventory[[#This Row],[quality]],Lookups!$H$2:$J$14,3,FALSE),0)</f>
        <v>-28558</v>
      </c>
      <c r="BK1614" s="6">
        <f>_xlfn.IFNA(VLOOKUP(Grandview_Inventory[[#This Row],[condition]],Lookups!$H$17:$J$24,3,FALSE),0)</f>
        <v>-45357</v>
      </c>
      <c r="BL1614" s="6">
        <f>Grandview_Inventory[[#This Row],[Eff_Age]]*Lookups!$B$14</f>
        <v>-11479.996799999999</v>
      </c>
      <c r="BM1614" s="6">
        <f>Grandview_Inventory[[#This Row],[living_area]]*Lookups!$B$15</f>
        <v>76853.210896000004</v>
      </c>
      <c r="BN1614" s="6">
        <f>Grandview_Inventory[[#This Row],[Fin BSMT]]*Lookups!$B$16</f>
        <v>0</v>
      </c>
      <c r="BO1614" s="6">
        <f>(Grandview_Inventory[[#This Row],[att_gar]]+Grandview_Inventory[[#This Row],[bltin_gar]])*Lookups!$B$17</f>
        <v>0</v>
      </c>
      <c r="BP1614" s="6">
        <f>Grandview_Inventory[[#This Row],[Plumbing Fixtures]]*Lookups!$B$18</f>
        <v>10052.209000000001</v>
      </c>
      <c r="BQ1614" s="6">
        <f>Grandview_Inventory[[#This Row],[detatched_value]]*Lookups!$B$19</f>
        <v>16004.616389999999</v>
      </c>
      <c r="BR1614" s="6">
        <f>SUM(Grandview_Inventory[[#This Row],[Intercept]:[det_value]])*Grandview_Inventory[[#This Row],[res_pct]]</f>
        <v>173348.98948600003</v>
      </c>
      <c r="BS1614" s="6">
        <f>Grandview_Inventory[[#This Row],[land_value]]</f>
        <v>49167.631333630678</v>
      </c>
      <c r="BT1614" s="4">
        <f>_xlfn.IFNA(VLOOKUP(Grandview_Inventory[[#This Row],[quality]],Lookups!$A$26:$C$33,3,FALSE),1)</f>
        <v>0.9690360070159818</v>
      </c>
      <c r="BU1614" s="4">
        <f>_xlfn.IFNA(VLOOKUP(Grandview_Inventory[[#This Row],[condition]],Lookups!$A$37:$C$44,3,FALSE),1)</f>
        <v>0.97161819570155394</v>
      </c>
      <c r="BV1614" s="4">
        <f>IF(Grandview_Inventory[[#This Row],[bldg_style]]="",1,_xlfn.IFNA(VLOOKUP(Grandview_Inventory[[#This Row],[decade]],Lookups!$F$29:$H$43,3,FALSE),1))</f>
        <v>0.99472141305414818</v>
      </c>
      <c r="BW1614" s="4">
        <f>_xlfn.IFNA(VLOOKUP(Grandview_Inventory[[#This Row],[living_area_range]],Lookups!$F$47:$H$56,3,FALSE),1)</f>
        <v>0.96135087979789358</v>
      </c>
      <c r="BX1614" s="4">
        <f>AVERAGE(Grandview_Inventory[[#This Row],[qual_adj]:[size_adj]])</f>
        <v>0.97418162389239438</v>
      </c>
      <c r="BY1614" s="6">
        <f>IF(Grandview_Inventory[[#This Row],[pre_res]]&lt;0,0,Grandview_Inventory[[#This Row],[pre_res]]*Grandview_Inventory[[#This Row],[overall_adj]])</f>
        <v>168873.40007757713</v>
      </c>
      <c r="BZ1614" s="6">
        <f>(Grandview_Inventory[[#This Row],[sum_land]]-IF(Grandview_Inventory[[#This Row],[no_utilities]]=1,12000,0))/IF(Grandview_Inventory[[#This Row],[unbuildable]]=1,2,1)</f>
        <v>49167.631333630678</v>
      </c>
      <c r="CA161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14">
        <f>ROUND(Grandview_Inventory[[#This Row],[det_value]]*Lookups!$M$28,-2)</f>
        <v>15200</v>
      </c>
      <c r="CC1614">
        <f>IF(ROUND(Grandview_Inventory[[#This Row],[adj_res]]*Lookups!$M$28,-2)&lt;Grandview_Inventory[[#This Row],[min_res]],Grandview_Inventory[[#This Row],[min_res]],ROUND(Grandview_Inventory[[#This Row],[adj_res]]*Lookups!$M$28,-2))</f>
        <v>160400</v>
      </c>
      <c r="CD1614">
        <f>Grandview_Inventory[[#This Row],[final_det]]+Grandview_Inventory[[#This Row],[final_res]]</f>
        <v>175600</v>
      </c>
      <c r="CE1614">
        <f>Grandview_Inventory[[#This Row],[final_land]]+Grandview_Inventory[[#This Row],[final_imp]]+Grandview_Inventory[[#This Row],[crop_value]]</f>
        <v>222300</v>
      </c>
      <c r="CG1614" t="str">
        <f t="shared" si="25"/>
        <v>update valuation set market_land =46700, market_bldg=175600, market_total =222300, market_mdno =401, market_date ='9/10/2023' where link_id = (select link_id from parcel where parcel_year = '2024' and parcel_id = '23092324455');</v>
      </c>
    </row>
    <row r="1615" spans="1:85" x14ac:dyDescent="0.25">
      <c r="A1615">
        <v>23092324456</v>
      </c>
      <c r="B1615">
        <v>0.37</v>
      </c>
      <c r="C1615">
        <v>15991</v>
      </c>
      <c r="D1615" t="s">
        <v>129</v>
      </c>
      <c r="E1615" t="s">
        <v>53</v>
      </c>
      <c r="F1615" t="s">
        <v>53</v>
      </c>
      <c r="G1615">
        <v>4</v>
      </c>
      <c r="H1615" t="s">
        <v>54</v>
      </c>
      <c r="I1615">
        <v>154500</v>
      </c>
      <c r="J1615">
        <v>41200</v>
      </c>
      <c r="K1615">
        <v>0.37</v>
      </c>
      <c r="L1615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1615">
        <v>0</v>
      </c>
      <c r="N1615">
        <v>0</v>
      </c>
      <c r="O1615">
        <v>0</v>
      </c>
      <c r="P1615">
        <v>13398.7528</v>
      </c>
      <c r="Q1615">
        <v>63903</v>
      </c>
      <c r="R1615">
        <f>(Grandview_Inventory[[#This Row],[ln_acres]]*Grandview_Inventory[[#This Row],[coeff]])+Grandview_Inventory[[#This Row],[const]]</f>
        <v>50581.259568627502</v>
      </c>
      <c r="S1615" t="s">
        <v>61</v>
      </c>
      <c r="T1615">
        <v>1</v>
      </c>
      <c r="U1615" t="s">
        <v>65</v>
      </c>
      <c r="V1615" t="s">
        <v>78</v>
      </c>
      <c r="W1615">
        <v>0</v>
      </c>
      <c r="X1615">
        <v>0</v>
      </c>
      <c r="Y1615">
        <v>46</v>
      </c>
      <c r="Z1615">
        <v>54</v>
      </c>
      <c r="AA1615">
        <v>60</v>
      </c>
      <c r="AB1615">
        <v>2500</v>
      </c>
      <c r="AC1615">
        <v>2108</v>
      </c>
      <c r="AD1615">
        <v>2108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760</v>
      </c>
      <c r="AO1615">
        <v>0</v>
      </c>
      <c r="AP1615">
        <v>5</v>
      </c>
      <c r="AQ1615">
        <v>0</v>
      </c>
      <c r="AR1615">
        <v>1</v>
      </c>
      <c r="AS1615" t="s">
        <v>58</v>
      </c>
      <c r="AT1615">
        <v>1</v>
      </c>
      <c r="AU1615" t="s">
        <v>75</v>
      </c>
      <c r="AV1615" t="s">
        <v>60</v>
      </c>
      <c r="AW1615">
        <v>0</v>
      </c>
      <c r="AX1615">
        <v>3</v>
      </c>
      <c r="AY1615">
        <v>0</v>
      </c>
      <c r="AZ1615">
        <v>0</v>
      </c>
      <c r="BA1615">
        <v>100</v>
      </c>
      <c r="BB1615">
        <v>100</v>
      </c>
      <c r="BC1615">
        <v>100</v>
      </c>
      <c r="BD1615">
        <v>100</v>
      </c>
      <c r="BE1615">
        <v>1</v>
      </c>
      <c r="BF1615">
        <v>15000</v>
      </c>
      <c r="BG1615">
        <v>1000</v>
      </c>
      <c r="BH1615" s="6">
        <f>Grandview_Inventory[[#This Row],[land_extract]]*Lookups!$B$3</f>
        <v>58739.880167646283</v>
      </c>
      <c r="BI1615" s="6">
        <f>IF(Grandview_Inventory[[#This Row],[bldg_style]]="",0,Lookups!$B$2)</f>
        <v>155833.95000000001</v>
      </c>
      <c r="BJ1615" s="6">
        <f>_xlfn.IFNA(VLOOKUP(Grandview_Inventory[[#This Row],[quality]],Lookups!$H$2:$J$14,3,FALSE),0)</f>
        <v>2251</v>
      </c>
      <c r="BK1615" s="6">
        <f>_xlfn.IFNA(VLOOKUP(Grandview_Inventory[[#This Row],[condition]],Lookups!$H$17:$J$24,3,FALSE),0)</f>
        <v>-45357</v>
      </c>
      <c r="BL1615" s="6">
        <f>Grandview_Inventory[[#This Row],[Eff_Age]]*Lookups!$B$14</f>
        <v>-11001.6636</v>
      </c>
      <c r="BM1615" s="6">
        <f>Grandview_Inventory[[#This Row],[living_area]]*Lookups!$B$15</f>
        <v>131498.838124</v>
      </c>
      <c r="BN1615" s="6">
        <f>Grandview_Inventory[[#This Row],[Fin BSMT]]*Lookups!$B$16</f>
        <v>0</v>
      </c>
      <c r="BO1615" s="6">
        <f>(Grandview_Inventory[[#This Row],[att_gar]]+Grandview_Inventory[[#This Row],[bltin_gar]])*Lookups!$B$17</f>
        <v>0</v>
      </c>
      <c r="BP1615" s="6">
        <f>Grandview_Inventory[[#This Row],[Plumbing Fixtures]]*Lookups!$B$18</f>
        <v>10052.209000000001</v>
      </c>
      <c r="BQ1615" s="6">
        <f>Grandview_Inventory[[#This Row],[detatched_value]]*Lookups!$B$19</f>
        <v>0</v>
      </c>
      <c r="BR1615" s="6">
        <f>SUM(Grandview_Inventory[[#This Row],[Intercept]:[det_value]])*Grandview_Inventory[[#This Row],[res_pct]]</f>
        <v>243277.33352400002</v>
      </c>
      <c r="BS1615" s="6">
        <f>Grandview_Inventory[[#This Row],[land_value]]</f>
        <v>58739.880167646283</v>
      </c>
      <c r="BT1615" s="4">
        <f>_xlfn.IFNA(VLOOKUP(Grandview_Inventory[[#This Row],[quality]],Lookups!$A$26:$C$33,3,FALSE),1)</f>
        <v>0.98763855981004833</v>
      </c>
      <c r="BU1615" s="4">
        <f>_xlfn.IFNA(VLOOKUP(Grandview_Inventory[[#This Row],[condition]],Lookups!$A$37:$C$44,3,FALSE),1)</f>
        <v>0.97161819570155394</v>
      </c>
      <c r="BV1615" s="4">
        <f>IF(Grandview_Inventory[[#This Row],[bldg_style]]="",1,_xlfn.IFNA(VLOOKUP(Grandview_Inventory[[#This Row],[decade]],Lookups!$F$29:$H$43,3,FALSE),1))</f>
        <v>0.95268620544463312</v>
      </c>
      <c r="BW1615" s="4">
        <f>_xlfn.IFNA(VLOOKUP(Grandview_Inventory[[#This Row],[living_area_range]],Lookups!$F$47:$H$56,3,FALSE),1)</f>
        <v>0.95799442568048754</v>
      </c>
      <c r="BX1615" s="4">
        <f>AVERAGE(Grandview_Inventory[[#This Row],[qual_adj]:[size_adj]])</f>
        <v>0.96748434665918071</v>
      </c>
      <c r="BY1615" s="6">
        <f>IF(Grandview_Inventory[[#This Row],[pre_res]]&lt;0,0,Grandview_Inventory[[#This Row],[pre_res]]*Grandview_Inventory[[#This Row],[overall_adj]])</f>
        <v>235367.01208145474</v>
      </c>
      <c r="BZ1615" s="6">
        <f>(Grandview_Inventory[[#This Row],[sum_land]]-IF(Grandview_Inventory[[#This Row],[no_utilities]]=1,12000,0))/IF(Grandview_Inventory[[#This Row],[unbuildable]]=1,2,1)</f>
        <v>58739.880167646283</v>
      </c>
      <c r="CA1615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1615">
        <f>ROUND(Grandview_Inventory[[#This Row],[det_value]]*Lookups!$M$28,-2)</f>
        <v>0</v>
      </c>
      <c r="CC1615">
        <f>IF(ROUND(Grandview_Inventory[[#This Row],[adj_res]]*Lookups!$M$28,-2)&lt;Grandview_Inventory[[#This Row],[min_res]],Grandview_Inventory[[#This Row],[min_res]],ROUND(Grandview_Inventory[[#This Row],[adj_res]]*Lookups!$M$28,-2))</f>
        <v>223600</v>
      </c>
      <c r="CD1615">
        <f>Grandview_Inventory[[#This Row],[final_det]]+Grandview_Inventory[[#This Row],[final_res]]</f>
        <v>223600</v>
      </c>
      <c r="CE1615">
        <f>Grandview_Inventory[[#This Row],[final_land]]+Grandview_Inventory[[#This Row],[final_imp]]+Grandview_Inventory[[#This Row],[crop_value]]</f>
        <v>279400</v>
      </c>
      <c r="CG1615" t="str">
        <f t="shared" si="25"/>
        <v>update valuation set market_land =55800, market_bldg=223600, market_total =279400, market_mdno =401, market_date ='9/10/2023' where link_id = (select link_id from parcel where parcel_year = '2024' and parcel_id = '23092324456');</v>
      </c>
    </row>
    <row r="1616" spans="1:85" x14ac:dyDescent="0.25">
      <c r="A1616">
        <v>23092324458</v>
      </c>
      <c r="B1616">
        <v>0.2</v>
      </c>
      <c r="C1616">
        <v>8618</v>
      </c>
      <c r="D1616" t="s">
        <v>129</v>
      </c>
      <c r="E1616" t="s">
        <v>53</v>
      </c>
      <c r="F1616" t="s">
        <v>53</v>
      </c>
      <c r="G1616">
        <v>4</v>
      </c>
      <c r="H1616" t="s">
        <v>54</v>
      </c>
      <c r="I1616">
        <v>116500</v>
      </c>
      <c r="J1616">
        <v>39800</v>
      </c>
      <c r="K1616">
        <v>0.2</v>
      </c>
      <c r="L161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16">
        <v>0</v>
      </c>
      <c r="N1616">
        <v>0</v>
      </c>
      <c r="O1616">
        <v>0</v>
      </c>
      <c r="P1616">
        <v>13398.7528</v>
      </c>
      <c r="Q1616">
        <v>63903</v>
      </c>
      <c r="R1616">
        <f>(Grandview_Inventory[[#This Row],[ln_acres]]*Grandview_Inventory[[#This Row],[coeff]])+Grandview_Inventory[[#This Row],[const]]</f>
        <v>42338.539264347448</v>
      </c>
      <c r="S1616" t="s">
        <v>68</v>
      </c>
      <c r="T1616">
        <v>1</v>
      </c>
      <c r="U1616" t="s">
        <v>70</v>
      </c>
      <c r="V1616" t="s">
        <v>69</v>
      </c>
      <c r="W1616">
        <v>0</v>
      </c>
      <c r="X1616">
        <v>0</v>
      </c>
      <c r="Y1616">
        <v>55</v>
      </c>
      <c r="Z1616">
        <v>98</v>
      </c>
      <c r="AA1616">
        <v>100</v>
      </c>
      <c r="AB1616">
        <v>1500</v>
      </c>
      <c r="AC1616">
        <v>1067</v>
      </c>
      <c r="AD1616">
        <v>1067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154</v>
      </c>
      <c r="AN1616">
        <v>40</v>
      </c>
      <c r="AO1616">
        <v>0</v>
      </c>
      <c r="AP1616">
        <v>5</v>
      </c>
      <c r="AQ1616">
        <v>0</v>
      </c>
      <c r="AR1616">
        <v>0</v>
      </c>
      <c r="AS1616" t="s">
        <v>58</v>
      </c>
      <c r="AT1616">
        <v>1</v>
      </c>
      <c r="AU1616" t="s">
        <v>63</v>
      </c>
      <c r="AV1616" t="s">
        <v>81</v>
      </c>
      <c r="AW1616">
        <v>0</v>
      </c>
      <c r="AX1616">
        <v>3</v>
      </c>
      <c r="AY1616">
        <v>0</v>
      </c>
      <c r="AZ1616">
        <v>800</v>
      </c>
      <c r="BA1616">
        <v>100</v>
      </c>
      <c r="BB1616">
        <v>100</v>
      </c>
      <c r="BC1616">
        <v>100</v>
      </c>
      <c r="BD1616">
        <v>100</v>
      </c>
      <c r="BE1616">
        <v>1</v>
      </c>
      <c r="BF1616">
        <v>15000</v>
      </c>
      <c r="BG1616">
        <v>1000</v>
      </c>
      <c r="BH1616" s="6">
        <f>Grandview_Inventory[[#This Row],[land_extract]]*Lookups!$B$3</f>
        <v>49167.631333630678</v>
      </c>
      <c r="BI1616" s="6">
        <f>IF(Grandview_Inventory[[#This Row],[bldg_style]]="",0,Lookups!$B$2)</f>
        <v>155833.95000000001</v>
      </c>
      <c r="BJ1616" s="6">
        <f>_xlfn.IFNA(VLOOKUP(Grandview_Inventory[[#This Row],[quality]],Lookups!$H$2:$J$14,3,FALSE),0)</f>
        <v>10733</v>
      </c>
      <c r="BK1616" s="6">
        <f>_xlfn.IFNA(VLOOKUP(Grandview_Inventory[[#This Row],[condition]],Lookups!$H$17:$J$24,3,FALSE),0)</f>
        <v>-4503</v>
      </c>
      <c r="BL1616" s="6">
        <f>Grandview_Inventory[[#This Row],[Eff_Age]]*Lookups!$B$14</f>
        <v>-13154.162999999999</v>
      </c>
      <c r="BM1616" s="6">
        <f>Grandview_Inventory[[#This Row],[living_area]]*Lookups!$B$15</f>
        <v>66560.370150999996</v>
      </c>
      <c r="BN1616" s="6">
        <f>Grandview_Inventory[[#This Row],[Fin BSMT]]*Lookups!$B$16</f>
        <v>0</v>
      </c>
      <c r="BO1616" s="6">
        <f>(Grandview_Inventory[[#This Row],[att_gar]]+Grandview_Inventory[[#This Row],[bltin_gar]])*Lookups!$B$17</f>
        <v>0</v>
      </c>
      <c r="BP1616" s="6">
        <f>Grandview_Inventory[[#This Row],[Plumbing Fixtures]]*Lookups!$B$18</f>
        <v>10052.209000000001</v>
      </c>
      <c r="BQ1616" s="6">
        <f>Grandview_Inventory[[#This Row],[detatched_value]]*Lookups!$B$19</f>
        <v>677.44407999999999</v>
      </c>
      <c r="BR1616" s="6">
        <f>SUM(Grandview_Inventory[[#This Row],[Intercept]:[det_value]])*Grandview_Inventory[[#This Row],[res_pct]]</f>
        <v>226199.81023099998</v>
      </c>
      <c r="BS1616" s="6">
        <f>Grandview_Inventory[[#This Row],[land_value]]</f>
        <v>49167.631333630678</v>
      </c>
      <c r="BT1616" s="4">
        <f>_xlfn.IFNA(VLOOKUP(Grandview_Inventory[[#This Row],[quality]],Lookups!$A$26:$C$33,3,FALSE),1)</f>
        <v>0.98079741117310582</v>
      </c>
      <c r="BU1616" s="4">
        <f>_xlfn.IFNA(VLOOKUP(Grandview_Inventory[[#This Row],[condition]],Lookups!$A$37:$C$44,3,FALSE),1)</f>
        <v>0.96469275950863709</v>
      </c>
      <c r="BV1616" s="4">
        <f>IF(Grandview_Inventory[[#This Row],[bldg_style]]="",1,_xlfn.IFNA(VLOOKUP(Grandview_Inventory[[#This Row],[decade]],Lookups!$F$29:$H$43,3,FALSE),1))</f>
        <v>0.95244691841736806</v>
      </c>
      <c r="BW1616" s="4">
        <f>_xlfn.IFNA(VLOOKUP(Grandview_Inventory[[#This Row],[living_area_range]],Lookups!$F$47:$H$56,3,FALSE),1)</f>
        <v>0.96135087979789358</v>
      </c>
      <c r="BX1616" s="4">
        <f>AVERAGE(Grandview_Inventory[[#This Row],[qual_adj]:[size_adj]])</f>
        <v>0.96482199222425113</v>
      </c>
      <c r="BY1616" s="6">
        <f>IF(Grandview_Inventory[[#This Row],[pre_res]]&lt;0,0,Grandview_Inventory[[#This Row],[pre_res]]*Grandview_Inventory[[#This Row],[overall_adj]])</f>
        <v>218242.55154782094</v>
      </c>
      <c r="BZ1616" s="6">
        <f>(Grandview_Inventory[[#This Row],[sum_land]]-IF(Grandview_Inventory[[#This Row],[no_utilities]]=1,12000,0))/IF(Grandview_Inventory[[#This Row],[unbuildable]]=1,2,1)</f>
        <v>49167.631333630678</v>
      </c>
      <c r="CA161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16">
        <f>ROUND(Grandview_Inventory[[#This Row],[det_value]]*Lookups!$M$28,-2)</f>
        <v>600</v>
      </c>
      <c r="CC1616">
        <f>IF(ROUND(Grandview_Inventory[[#This Row],[adj_res]]*Lookups!$M$28,-2)&lt;Grandview_Inventory[[#This Row],[min_res]],Grandview_Inventory[[#This Row],[min_res]],ROUND(Grandview_Inventory[[#This Row],[adj_res]]*Lookups!$M$28,-2))</f>
        <v>207300</v>
      </c>
      <c r="CD1616">
        <f>Grandview_Inventory[[#This Row],[final_det]]+Grandview_Inventory[[#This Row],[final_res]]</f>
        <v>207900</v>
      </c>
      <c r="CE1616">
        <f>Grandview_Inventory[[#This Row],[final_land]]+Grandview_Inventory[[#This Row],[final_imp]]+Grandview_Inventory[[#This Row],[crop_value]]</f>
        <v>254600</v>
      </c>
      <c r="CG1616" t="str">
        <f t="shared" si="25"/>
        <v>update valuation set market_land =46700, market_bldg=207900, market_total =254600, market_mdno =401, market_date ='9/10/2023' where link_id = (select link_id from parcel where parcel_year = '2024' and parcel_id = '23092324458');</v>
      </c>
    </row>
    <row r="1617" spans="1:85" x14ac:dyDescent="0.25">
      <c r="A1617">
        <v>23092324459</v>
      </c>
      <c r="B1617">
        <v>0.12</v>
      </c>
      <c r="C1617">
        <v>5302</v>
      </c>
      <c r="D1617" t="s">
        <v>129</v>
      </c>
      <c r="E1617" t="s">
        <v>53</v>
      </c>
      <c r="F1617" t="s">
        <v>53</v>
      </c>
      <c r="G1617">
        <v>4</v>
      </c>
      <c r="H1617" t="s">
        <v>54</v>
      </c>
      <c r="I1617">
        <v>103300</v>
      </c>
      <c r="J1617">
        <v>38400</v>
      </c>
      <c r="K1617">
        <v>0.12</v>
      </c>
      <c r="L161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617">
        <v>0</v>
      </c>
      <c r="N1617">
        <v>0</v>
      </c>
      <c r="O1617">
        <v>0</v>
      </c>
      <c r="P1617">
        <v>13398.7528</v>
      </c>
      <c r="Q1617">
        <v>63903</v>
      </c>
      <c r="R1617">
        <f>(Grandview_Inventory[[#This Row],[ln_acres]]*Grandview_Inventory[[#This Row],[coeff]])+Grandview_Inventory[[#This Row],[const]]</f>
        <v>35494.113007601132</v>
      </c>
      <c r="S1617" t="s">
        <v>68</v>
      </c>
      <c r="T1617">
        <v>1</v>
      </c>
      <c r="U1617" t="s">
        <v>83</v>
      </c>
      <c r="V1617" t="s">
        <v>69</v>
      </c>
      <c r="W1617">
        <v>0</v>
      </c>
      <c r="X1617">
        <v>0</v>
      </c>
      <c r="Y1617">
        <v>53</v>
      </c>
      <c r="Z1617">
        <v>93</v>
      </c>
      <c r="AA1617">
        <v>100</v>
      </c>
      <c r="AB1617">
        <v>1000</v>
      </c>
      <c r="AC1617">
        <v>666</v>
      </c>
      <c r="AD1617">
        <v>666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5</v>
      </c>
      <c r="AQ1617">
        <v>0</v>
      </c>
      <c r="AR1617">
        <v>0</v>
      </c>
      <c r="AS1617" t="s">
        <v>58</v>
      </c>
      <c r="AT1617">
        <v>1</v>
      </c>
      <c r="AU1617" t="s">
        <v>75</v>
      </c>
      <c r="AV1617" t="s">
        <v>60</v>
      </c>
      <c r="AW1617">
        <v>0</v>
      </c>
      <c r="AX1617">
        <v>1</v>
      </c>
      <c r="AY1617">
        <v>0</v>
      </c>
      <c r="AZ1617">
        <v>0</v>
      </c>
      <c r="BA1617">
        <v>100</v>
      </c>
      <c r="BB1617">
        <v>100</v>
      </c>
      <c r="BC1617">
        <v>100</v>
      </c>
      <c r="BD1617">
        <v>100</v>
      </c>
      <c r="BE1617">
        <v>1</v>
      </c>
      <c r="BF1617">
        <v>15000</v>
      </c>
      <c r="BG1617">
        <v>1000</v>
      </c>
      <c r="BH1617" s="6">
        <f>Grandview_Inventory[[#This Row],[land_extract]]*Lookups!$B$3</f>
        <v>41219.217601622076</v>
      </c>
      <c r="BI1617" s="6">
        <f>IF(Grandview_Inventory[[#This Row],[bldg_style]]="",0,Lookups!$B$2)</f>
        <v>155833.95000000001</v>
      </c>
      <c r="BJ1617" s="6">
        <f>_xlfn.IFNA(VLOOKUP(Grandview_Inventory[[#This Row],[quality]],Lookups!$H$2:$J$14,3,FALSE),0)</f>
        <v>-28558</v>
      </c>
      <c r="BK1617" s="6">
        <f>_xlfn.IFNA(VLOOKUP(Grandview_Inventory[[#This Row],[condition]],Lookups!$H$17:$J$24,3,FALSE),0)</f>
        <v>-4503</v>
      </c>
      <c r="BL1617" s="6">
        <f>Grandview_Inventory[[#This Row],[Eff_Age]]*Lookups!$B$14</f>
        <v>-12675.8298</v>
      </c>
      <c r="BM1617" s="6">
        <f>Grandview_Inventory[[#This Row],[living_area]]*Lookups!$B$15</f>
        <v>41545.648097999998</v>
      </c>
      <c r="BN1617" s="6">
        <f>Grandview_Inventory[[#This Row],[Fin BSMT]]*Lookups!$B$16</f>
        <v>0</v>
      </c>
      <c r="BO1617" s="6">
        <f>(Grandview_Inventory[[#This Row],[att_gar]]+Grandview_Inventory[[#This Row],[bltin_gar]])*Lookups!$B$17</f>
        <v>0</v>
      </c>
      <c r="BP1617" s="6">
        <f>Grandview_Inventory[[#This Row],[Plumbing Fixtures]]*Lookups!$B$18</f>
        <v>10052.209000000001</v>
      </c>
      <c r="BQ1617" s="6">
        <f>Grandview_Inventory[[#This Row],[detatched_value]]*Lookups!$B$19</f>
        <v>0</v>
      </c>
      <c r="BR1617" s="6">
        <f>SUM(Grandview_Inventory[[#This Row],[Intercept]:[det_value]])*Grandview_Inventory[[#This Row],[res_pct]]</f>
        <v>161694.97729800001</v>
      </c>
      <c r="BS1617" s="6">
        <f>Grandview_Inventory[[#This Row],[land_value]]</f>
        <v>41219.217601622076</v>
      </c>
      <c r="BT1617" s="4">
        <f>_xlfn.IFNA(VLOOKUP(Grandview_Inventory[[#This Row],[quality]],Lookups!$A$26:$C$33,3,FALSE),1)</f>
        <v>0.96329552998502799</v>
      </c>
      <c r="BU1617" s="4">
        <f>_xlfn.IFNA(VLOOKUP(Grandview_Inventory[[#This Row],[condition]],Lookups!$A$37:$C$44,3,FALSE),1)</f>
        <v>0.96469275950863709</v>
      </c>
      <c r="BV1617" s="4">
        <f>IF(Grandview_Inventory[[#This Row],[bldg_style]]="",1,_xlfn.IFNA(VLOOKUP(Grandview_Inventory[[#This Row],[decade]],Lookups!$F$29:$H$43,3,FALSE),1))</f>
        <v>0.95244691841736806</v>
      </c>
      <c r="BW1617" s="4">
        <f>_xlfn.IFNA(VLOOKUP(Grandview_Inventory[[#This Row],[living_area_range]],Lookups!$F$47:$H$56,3,FALSE),1)</f>
        <v>0.94306777142782894</v>
      </c>
      <c r="BX1617" s="4">
        <f>AVERAGE(Grandview_Inventory[[#This Row],[qual_adj]:[size_adj]])</f>
        <v>0.95587574483471549</v>
      </c>
      <c r="BY1617" s="6">
        <f>IF(Grandview_Inventory[[#This Row],[pre_res]]&lt;0,0,Grandview_Inventory[[#This Row],[pre_res]]*Grandview_Inventory[[#This Row],[overall_adj]])</f>
        <v>154560.30686075817</v>
      </c>
      <c r="BZ1617" s="6">
        <f>(Grandview_Inventory[[#This Row],[sum_land]]-IF(Grandview_Inventory[[#This Row],[no_utilities]]=1,12000,0))/IF(Grandview_Inventory[[#This Row],[unbuildable]]=1,2,1)</f>
        <v>41219.217601622076</v>
      </c>
      <c r="CA161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617">
        <f>ROUND(Grandview_Inventory[[#This Row],[det_value]]*Lookups!$M$28,-2)</f>
        <v>0</v>
      </c>
      <c r="CC1617">
        <f>IF(ROUND(Grandview_Inventory[[#This Row],[adj_res]]*Lookups!$M$28,-2)&lt;Grandview_Inventory[[#This Row],[min_res]],Grandview_Inventory[[#This Row],[min_res]],ROUND(Grandview_Inventory[[#This Row],[adj_res]]*Lookups!$M$28,-2))</f>
        <v>146800</v>
      </c>
      <c r="CD1617">
        <f>Grandview_Inventory[[#This Row],[final_det]]+Grandview_Inventory[[#This Row],[final_res]]</f>
        <v>146800</v>
      </c>
      <c r="CE1617">
        <f>Grandview_Inventory[[#This Row],[final_land]]+Grandview_Inventory[[#This Row],[final_imp]]+Grandview_Inventory[[#This Row],[crop_value]]</f>
        <v>186000</v>
      </c>
      <c r="CG1617" t="str">
        <f t="shared" si="25"/>
        <v>update valuation set market_land =39200, market_bldg=146800, market_total =186000, market_mdno =401, market_date ='9/10/2023' where link_id = (select link_id from parcel where parcel_year = '2024' and parcel_id = '23092324459');</v>
      </c>
    </row>
    <row r="1618" spans="1:85" x14ac:dyDescent="0.25">
      <c r="A1618">
        <v>23092324464</v>
      </c>
      <c r="B1618">
        <v>0.12</v>
      </c>
      <c r="C1618">
        <v>5291</v>
      </c>
      <c r="D1618" t="s">
        <v>129</v>
      </c>
      <c r="E1618" t="s">
        <v>53</v>
      </c>
      <c r="F1618" t="s">
        <v>53</v>
      </c>
      <c r="G1618">
        <v>4</v>
      </c>
      <c r="H1618" t="s">
        <v>54</v>
      </c>
      <c r="I1618">
        <v>106700</v>
      </c>
      <c r="J1618">
        <v>39000</v>
      </c>
      <c r="K1618">
        <v>0.12</v>
      </c>
      <c r="L161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618">
        <v>0</v>
      </c>
      <c r="N1618">
        <v>0</v>
      </c>
      <c r="O1618">
        <v>0</v>
      </c>
      <c r="P1618">
        <v>13398.7528</v>
      </c>
      <c r="Q1618">
        <v>63903</v>
      </c>
      <c r="R1618">
        <f>(Grandview_Inventory[[#This Row],[ln_acres]]*Grandview_Inventory[[#This Row],[coeff]])+Grandview_Inventory[[#This Row],[const]]</f>
        <v>35494.113007601132</v>
      </c>
      <c r="S1618" t="s">
        <v>61</v>
      </c>
      <c r="T1618">
        <v>1</v>
      </c>
      <c r="U1618" t="s">
        <v>80</v>
      </c>
      <c r="V1618" t="s">
        <v>69</v>
      </c>
      <c r="W1618">
        <v>0</v>
      </c>
      <c r="X1618">
        <v>0</v>
      </c>
      <c r="Y1618">
        <v>33</v>
      </c>
      <c r="Z1618">
        <v>33</v>
      </c>
      <c r="AA1618">
        <v>40</v>
      </c>
      <c r="AB1618">
        <v>1000</v>
      </c>
      <c r="AC1618">
        <v>924</v>
      </c>
      <c r="AD1618">
        <v>924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5</v>
      </c>
      <c r="AQ1618">
        <v>0</v>
      </c>
      <c r="AR1618">
        <v>0</v>
      </c>
      <c r="AS1618" t="s">
        <v>58</v>
      </c>
      <c r="AT1618">
        <v>1</v>
      </c>
      <c r="AU1618" t="s">
        <v>75</v>
      </c>
      <c r="AV1618" t="s">
        <v>60</v>
      </c>
      <c r="AW1618">
        <v>0</v>
      </c>
      <c r="AX1618">
        <v>2</v>
      </c>
      <c r="AY1618">
        <v>0</v>
      </c>
      <c r="AZ1618">
        <v>0</v>
      </c>
      <c r="BA1618">
        <v>100</v>
      </c>
      <c r="BB1618">
        <v>100</v>
      </c>
      <c r="BC1618">
        <v>100</v>
      </c>
      <c r="BD1618">
        <v>100</v>
      </c>
      <c r="BE1618">
        <v>1</v>
      </c>
      <c r="BF1618">
        <v>15000</v>
      </c>
      <c r="BG1618">
        <v>1000</v>
      </c>
      <c r="BH1618" s="6">
        <f>Grandview_Inventory[[#This Row],[land_extract]]*Lookups!$B$3</f>
        <v>41219.217601622076</v>
      </c>
      <c r="BI1618" s="6">
        <f>IF(Grandview_Inventory[[#This Row],[bldg_style]]="",0,Lookups!$B$2)</f>
        <v>155833.95000000001</v>
      </c>
      <c r="BJ1618" s="6">
        <f>_xlfn.IFNA(VLOOKUP(Grandview_Inventory[[#This Row],[quality]],Lookups!$H$2:$J$14,3,FALSE),0)</f>
        <v>-28558</v>
      </c>
      <c r="BK1618" s="6">
        <f>_xlfn.IFNA(VLOOKUP(Grandview_Inventory[[#This Row],[condition]],Lookups!$H$17:$J$24,3,FALSE),0)</f>
        <v>-4503</v>
      </c>
      <c r="BL1618" s="6">
        <f>Grandview_Inventory[[#This Row],[Eff_Age]]*Lookups!$B$14</f>
        <v>-7892.4977999999992</v>
      </c>
      <c r="BM1618" s="6">
        <f>Grandview_Inventory[[#This Row],[living_area]]*Lookups!$B$15</f>
        <v>57639.908172000003</v>
      </c>
      <c r="BN1618" s="6">
        <f>Grandview_Inventory[[#This Row],[Fin BSMT]]*Lookups!$B$16</f>
        <v>0</v>
      </c>
      <c r="BO1618" s="6">
        <f>(Grandview_Inventory[[#This Row],[att_gar]]+Grandview_Inventory[[#This Row],[bltin_gar]])*Lookups!$B$17</f>
        <v>0</v>
      </c>
      <c r="BP1618" s="6">
        <f>Grandview_Inventory[[#This Row],[Plumbing Fixtures]]*Lookups!$B$18</f>
        <v>10052.209000000001</v>
      </c>
      <c r="BQ1618" s="6">
        <f>Grandview_Inventory[[#This Row],[detatched_value]]*Lookups!$B$19</f>
        <v>0</v>
      </c>
      <c r="BR1618" s="6">
        <f>SUM(Grandview_Inventory[[#This Row],[Intercept]:[det_value]])*Grandview_Inventory[[#This Row],[res_pct]]</f>
        <v>182572.56937200003</v>
      </c>
      <c r="BS1618" s="6">
        <f>Grandview_Inventory[[#This Row],[land_value]]</f>
        <v>41219.217601622076</v>
      </c>
      <c r="BT1618" s="4">
        <f>_xlfn.IFNA(VLOOKUP(Grandview_Inventory[[#This Row],[quality]],Lookups!$A$26:$C$33,3,FALSE),1)</f>
        <v>0.9690360070159818</v>
      </c>
      <c r="BU1618" s="4">
        <f>_xlfn.IFNA(VLOOKUP(Grandview_Inventory[[#This Row],[condition]],Lookups!$A$37:$C$44,3,FALSE),1)</f>
        <v>0.96469275950863709</v>
      </c>
      <c r="BV1618" s="4">
        <f>IF(Grandview_Inventory[[#This Row],[bldg_style]]="",1,_xlfn.IFNA(VLOOKUP(Grandview_Inventory[[#This Row],[decade]],Lookups!$F$29:$H$43,3,FALSE),1))</f>
        <v>0.98031878267063854</v>
      </c>
      <c r="BW1618" s="4">
        <f>_xlfn.IFNA(VLOOKUP(Grandview_Inventory[[#This Row],[living_area_range]],Lookups!$F$47:$H$56,3,FALSE),1)</f>
        <v>0.94306777142782894</v>
      </c>
      <c r="BX1618" s="4">
        <f>AVERAGE(Grandview_Inventory[[#This Row],[qual_adj]:[size_adj]])</f>
        <v>0.96427883015577154</v>
      </c>
      <c r="BY1618" s="6">
        <f>IF(Grandview_Inventory[[#This Row],[pre_res]]&lt;0,0,Grandview_Inventory[[#This Row],[pre_res]]*Grandview_Inventory[[#This Row],[overall_adj]])</f>
        <v>176050.86361256562</v>
      </c>
      <c r="BZ1618" s="6">
        <f>(Grandview_Inventory[[#This Row],[sum_land]]-IF(Grandview_Inventory[[#This Row],[no_utilities]]=1,12000,0))/IF(Grandview_Inventory[[#This Row],[unbuildable]]=1,2,1)</f>
        <v>41219.217601622076</v>
      </c>
      <c r="CA161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618">
        <f>ROUND(Grandview_Inventory[[#This Row],[det_value]]*Lookups!$M$28,-2)</f>
        <v>0</v>
      </c>
      <c r="CC1618">
        <f>IF(ROUND(Grandview_Inventory[[#This Row],[adj_res]]*Lookups!$M$28,-2)&lt;Grandview_Inventory[[#This Row],[min_res]],Grandview_Inventory[[#This Row],[min_res]],ROUND(Grandview_Inventory[[#This Row],[adj_res]]*Lookups!$M$28,-2))</f>
        <v>167200</v>
      </c>
      <c r="CD1618">
        <f>Grandview_Inventory[[#This Row],[final_det]]+Grandview_Inventory[[#This Row],[final_res]]</f>
        <v>167200</v>
      </c>
      <c r="CE1618">
        <f>Grandview_Inventory[[#This Row],[final_land]]+Grandview_Inventory[[#This Row],[final_imp]]+Grandview_Inventory[[#This Row],[crop_value]]</f>
        <v>206400</v>
      </c>
      <c r="CG1618" t="str">
        <f t="shared" si="25"/>
        <v>update valuation set market_land =39200, market_bldg=167200, market_total =206400, market_mdno =401, market_date ='9/10/2023' where link_id = (select link_id from parcel where parcel_year = '2024' and parcel_id = '23092324464');</v>
      </c>
    </row>
    <row r="1619" spans="1:85" x14ac:dyDescent="0.25">
      <c r="A1619">
        <v>23092324465</v>
      </c>
      <c r="B1619">
        <v>0.09</v>
      </c>
      <c r="C1619">
        <v>4050</v>
      </c>
      <c r="D1619" t="s">
        <v>129</v>
      </c>
      <c r="E1619" t="s">
        <v>53</v>
      </c>
      <c r="F1619" t="s">
        <v>53</v>
      </c>
      <c r="G1619">
        <v>4</v>
      </c>
      <c r="H1619" t="s">
        <v>54</v>
      </c>
      <c r="I1619">
        <v>69500</v>
      </c>
      <c r="J1619">
        <v>37600</v>
      </c>
      <c r="K1619">
        <v>0.09</v>
      </c>
      <c r="L1619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1619">
        <v>0</v>
      </c>
      <c r="N1619">
        <v>0</v>
      </c>
      <c r="O1619">
        <v>0</v>
      </c>
      <c r="P1619">
        <v>13398.7528</v>
      </c>
      <c r="Q1619">
        <v>63903</v>
      </c>
      <c r="R1619">
        <f>(Grandview_Inventory[[#This Row],[ln_acres]]*Grandview_Inventory[[#This Row],[coeff]])+Grandview_Inventory[[#This Row],[const]]</f>
        <v>31639.532033828022</v>
      </c>
      <c r="S1619" t="s">
        <v>68</v>
      </c>
      <c r="T1619">
        <v>1</v>
      </c>
      <c r="U1619" t="s">
        <v>80</v>
      </c>
      <c r="V1619" t="s">
        <v>78</v>
      </c>
      <c r="W1619">
        <v>0</v>
      </c>
      <c r="X1619">
        <v>0</v>
      </c>
      <c r="Y1619">
        <v>51</v>
      </c>
      <c r="Z1619">
        <v>83</v>
      </c>
      <c r="AA1619">
        <v>90</v>
      </c>
      <c r="AB1619">
        <v>1000</v>
      </c>
      <c r="AC1619">
        <v>898</v>
      </c>
      <c r="AD1619">
        <v>720</v>
      </c>
      <c r="AE1619">
        <v>0</v>
      </c>
      <c r="AF1619">
        <v>0</v>
      </c>
      <c r="AG1619">
        <v>178</v>
      </c>
      <c r="AH1619">
        <v>362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5</v>
      </c>
      <c r="AQ1619">
        <v>0</v>
      </c>
      <c r="AR1619">
        <v>0</v>
      </c>
      <c r="AS1619" t="s">
        <v>58</v>
      </c>
      <c r="AT1619">
        <v>1</v>
      </c>
      <c r="AU1619" t="s">
        <v>75</v>
      </c>
      <c r="AV1619" t="s">
        <v>60</v>
      </c>
      <c r="AW1619">
        <v>0</v>
      </c>
      <c r="AX1619">
        <v>2</v>
      </c>
      <c r="AY1619">
        <v>0</v>
      </c>
      <c r="AZ1619">
        <v>0</v>
      </c>
      <c r="BA1619">
        <v>100</v>
      </c>
      <c r="BB1619">
        <v>100</v>
      </c>
      <c r="BC1619">
        <v>100</v>
      </c>
      <c r="BD1619">
        <v>100</v>
      </c>
      <c r="BE1619">
        <v>1</v>
      </c>
      <c r="BF1619">
        <v>15000</v>
      </c>
      <c r="BG1619">
        <v>1000</v>
      </c>
      <c r="BH1619" s="6">
        <f>Grandview_Inventory[[#This Row],[land_extract]]*Lookups!$B$3</f>
        <v>36742.90312414799</v>
      </c>
      <c r="BI1619" s="6">
        <f>IF(Grandview_Inventory[[#This Row],[bldg_style]]="",0,Lookups!$B$2)</f>
        <v>155833.95000000001</v>
      </c>
      <c r="BJ1619" s="6">
        <f>_xlfn.IFNA(VLOOKUP(Grandview_Inventory[[#This Row],[quality]],Lookups!$H$2:$J$14,3,FALSE),0)</f>
        <v>-28558</v>
      </c>
      <c r="BK1619" s="6">
        <f>_xlfn.IFNA(VLOOKUP(Grandview_Inventory[[#This Row],[condition]],Lookups!$H$17:$J$24,3,FALSE),0)</f>
        <v>-45357</v>
      </c>
      <c r="BL1619" s="6">
        <f>Grandview_Inventory[[#This Row],[Eff_Age]]*Lookups!$B$14</f>
        <v>-12197.496599999999</v>
      </c>
      <c r="BM1619" s="6">
        <f>Grandview_Inventory[[#This Row],[living_area]]*Lookups!$B$15</f>
        <v>56018.005993999999</v>
      </c>
      <c r="BN1619" s="6">
        <f>Grandview_Inventory[[#This Row],[Fin BSMT]]*Lookups!$B$16</f>
        <v>-4823.6647200000007</v>
      </c>
      <c r="BO1619" s="6">
        <f>(Grandview_Inventory[[#This Row],[att_gar]]+Grandview_Inventory[[#This Row],[bltin_gar]])*Lookups!$B$17</f>
        <v>0</v>
      </c>
      <c r="BP1619" s="6">
        <f>Grandview_Inventory[[#This Row],[Plumbing Fixtures]]*Lookups!$B$18</f>
        <v>10052.209000000001</v>
      </c>
      <c r="BQ1619" s="6">
        <f>Grandview_Inventory[[#This Row],[detatched_value]]*Lookups!$B$19</f>
        <v>0</v>
      </c>
      <c r="BR1619" s="6">
        <f>SUM(Grandview_Inventory[[#This Row],[Intercept]:[det_value]])*Grandview_Inventory[[#This Row],[res_pct]]</f>
        <v>130968.00367400001</v>
      </c>
      <c r="BS1619" s="6">
        <f>Grandview_Inventory[[#This Row],[land_value]]</f>
        <v>36742.90312414799</v>
      </c>
      <c r="BT1619" s="4">
        <f>_xlfn.IFNA(VLOOKUP(Grandview_Inventory[[#This Row],[quality]],Lookups!$A$26:$C$33,3,FALSE),1)</f>
        <v>0.9690360070159818</v>
      </c>
      <c r="BU1619" s="4">
        <f>_xlfn.IFNA(VLOOKUP(Grandview_Inventory[[#This Row],[condition]],Lookups!$A$37:$C$44,3,FALSE),1)</f>
        <v>0.97161819570155394</v>
      </c>
      <c r="BV1619" s="4">
        <f>IF(Grandview_Inventory[[#This Row],[bldg_style]]="",1,_xlfn.IFNA(VLOOKUP(Grandview_Inventory[[#This Row],[decade]],Lookups!$F$29:$H$43,3,FALSE),1))</f>
        <v>0.94161750052457416</v>
      </c>
      <c r="BW1619" s="4">
        <f>_xlfn.IFNA(VLOOKUP(Grandview_Inventory[[#This Row],[living_area_range]],Lookups!$F$47:$H$56,3,FALSE),1)</f>
        <v>0.94306777142782894</v>
      </c>
      <c r="BX1619" s="4">
        <f>AVERAGE(Grandview_Inventory[[#This Row],[qual_adj]:[size_adj]])</f>
        <v>0.95633486866748474</v>
      </c>
      <c r="BY1619" s="6">
        <f>IF(Grandview_Inventory[[#This Row],[pre_res]]&lt;0,0,Grandview_Inventory[[#This Row],[pre_res]]*Grandview_Inventory[[#This Row],[overall_adj]])</f>
        <v>125249.26859321745</v>
      </c>
      <c r="BZ1619" s="6">
        <f>(Grandview_Inventory[[#This Row],[sum_land]]-IF(Grandview_Inventory[[#This Row],[no_utilities]]=1,12000,0))/IF(Grandview_Inventory[[#This Row],[unbuildable]]=1,2,1)</f>
        <v>36742.90312414799</v>
      </c>
      <c r="CA1619">
        <f>IF(ROUND(Grandview_Inventory[[#This Row],[adj_land]]*Lookups!$M$28,-2)&lt;Grandview_Inventory[[#This Row],[min_land]],Grandview_Inventory[[#This Row],[min_land]],ROUND(Grandview_Inventory[[#This Row],[adj_land]]*Lookups!$M$28,-2))</f>
        <v>34900</v>
      </c>
      <c r="CB1619">
        <f>ROUND(Grandview_Inventory[[#This Row],[det_value]]*Lookups!$M$28,-2)</f>
        <v>0</v>
      </c>
      <c r="CC1619">
        <f>IF(ROUND(Grandview_Inventory[[#This Row],[adj_res]]*Lookups!$M$28,-2)&lt;Grandview_Inventory[[#This Row],[min_res]],Grandview_Inventory[[#This Row],[min_res]],ROUND(Grandview_Inventory[[#This Row],[adj_res]]*Lookups!$M$28,-2))</f>
        <v>119000</v>
      </c>
      <c r="CD1619">
        <f>Grandview_Inventory[[#This Row],[final_det]]+Grandview_Inventory[[#This Row],[final_res]]</f>
        <v>119000</v>
      </c>
      <c r="CE1619">
        <f>Grandview_Inventory[[#This Row],[final_land]]+Grandview_Inventory[[#This Row],[final_imp]]+Grandview_Inventory[[#This Row],[crop_value]]</f>
        <v>153900</v>
      </c>
      <c r="CG1619" t="str">
        <f t="shared" si="25"/>
        <v>update valuation set market_land =34900, market_bldg=119000, market_total =153900, market_mdno =401, market_date ='9/10/2023' where link_id = (select link_id from parcel where parcel_year = '2024' and parcel_id = '23092324465');</v>
      </c>
    </row>
    <row r="1620" spans="1:85" x14ac:dyDescent="0.25">
      <c r="A1620">
        <v>23092324470</v>
      </c>
      <c r="B1620">
        <v>0.28999999999999998</v>
      </c>
      <c r="C1620">
        <v>12500</v>
      </c>
      <c r="D1620" t="s">
        <v>129</v>
      </c>
      <c r="E1620" t="s">
        <v>53</v>
      </c>
      <c r="F1620" t="s">
        <v>53</v>
      </c>
      <c r="G1620">
        <v>4</v>
      </c>
      <c r="H1620" t="s">
        <v>54</v>
      </c>
      <c r="I1620">
        <v>143800</v>
      </c>
      <c r="J1620">
        <v>41100</v>
      </c>
      <c r="K1620">
        <v>0.28999999999999998</v>
      </c>
      <c r="L1620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620">
        <v>0</v>
      </c>
      <c r="N1620">
        <v>0</v>
      </c>
      <c r="O1620">
        <v>0</v>
      </c>
      <c r="P1620">
        <v>13398.7528</v>
      </c>
      <c r="Q1620">
        <v>63903</v>
      </c>
      <c r="R1620">
        <f>(Grandview_Inventory[[#This Row],[ln_acres]]*Grandview_Inventory[[#This Row],[coeff]])+Grandview_Inventory[[#This Row],[const]]</f>
        <v>47317.027506475133</v>
      </c>
      <c r="S1620" t="s">
        <v>68</v>
      </c>
      <c r="T1620">
        <v>1</v>
      </c>
      <c r="U1620" t="s">
        <v>70</v>
      </c>
      <c r="V1620" t="s">
        <v>67</v>
      </c>
      <c r="W1620">
        <v>0</v>
      </c>
      <c r="X1620">
        <v>0</v>
      </c>
      <c r="Y1620">
        <v>53</v>
      </c>
      <c r="Z1620">
        <v>93</v>
      </c>
      <c r="AA1620">
        <v>100</v>
      </c>
      <c r="AB1620">
        <v>1000</v>
      </c>
      <c r="AC1620">
        <v>804</v>
      </c>
      <c r="AD1620">
        <v>804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5</v>
      </c>
      <c r="AQ1620">
        <v>0</v>
      </c>
      <c r="AR1620">
        <v>0</v>
      </c>
      <c r="AS1620" t="s">
        <v>58</v>
      </c>
      <c r="AT1620">
        <v>1</v>
      </c>
      <c r="AU1620" t="s">
        <v>63</v>
      </c>
      <c r="AV1620" t="s">
        <v>64</v>
      </c>
      <c r="AW1620">
        <v>0</v>
      </c>
      <c r="AX1620">
        <v>2</v>
      </c>
      <c r="AY1620">
        <v>0</v>
      </c>
      <c r="AZ1620">
        <v>6900</v>
      </c>
      <c r="BA1620">
        <v>100</v>
      </c>
      <c r="BB1620">
        <v>100</v>
      </c>
      <c r="BC1620">
        <v>100</v>
      </c>
      <c r="BD1620">
        <v>100</v>
      </c>
      <c r="BE1620">
        <v>1</v>
      </c>
      <c r="BF1620">
        <v>15000</v>
      </c>
      <c r="BG1620">
        <v>1000</v>
      </c>
      <c r="BH1620" s="6">
        <f>Grandview_Inventory[[#This Row],[land_extract]]*Lookups!$B$3</f>
        <v>54949.136287295303</v>
      </c>
      <c r="BI1620" s="6">
        <f>IF(Grandview_Inventory[[#This Row],[bldg_style]]="",0,Lookups!$B$2)</f>
        <v>155833.95000000001</v>
      </c>
      <c r="BJ1620" s="6">
        <f>_xlfn.IFNA(VLOOKUP(Grandview_Inventory[[#This Row],[quality]],Lookups!$H$2:$J$14,3,FALSE),0)</f>
        <v>10733</v>
      </c>
      <c r="BK1620" s="6">
        <f>_xlfn.IFNA(VLOOKUP(Grandview_Inventory[[#This Row],[condition]],Lookups!$H$17:$J$24,3,FALSE),0)</f>
        <v>22342</v>
      </c>
      <c r="BL1620" s="6">
        <f>Grandview_Inventory[[#This Row],[Eff_Age]]*Lookups!$B$14</f>
        <v>-12675.8298</v>
      </c>
      <c r="BM1620" s="6">
        <f>Grandview_Inventory[[#This Row],[living_area]]*Lookups!$B$15</f>
        <v>50154.205812</v>
      </c>
      <c r="BN1620" s="6">
        <f>Grandview_Inventory[[#This Row],[Fin BSMT]]*Lookups!$B$16</f>
        <v>0</v>
      </c>
      <c r="BO1620" s="6">
        <f>(Grandview_Inventory[[#This Row],[att_gar]]+Grandview_Inventory[[#This Row],[bltin_gar]])*Lookups!$B$17</f>
        <v>0</v>
      </c>
      <c r="BP1620" s="6">
        <f>Grandview_Inventory[[#This Row],[Plumbing Fixtures]]*Lookups!$B$18</f>
        <v>10052.209000000001</v>
      </c>
      <c r="BQ1620" s="6">
        <f>Grandview_Inventory[[#This Row],[detatched_value]]*Lookups!$B$19</f>
        <v>5842.9551899999997</v>
      </c>
      <c r="BR1620" s="6">
        <f>SUM(Grandview_Inventory[[#This Row],[Intercept]:[det_value]])*Grandview_Inventory[[#This Row],[res_pct]]</f>
        <v>242282.49020200002</v>
      </c>
      <c r="BS1620" s="6">
        <f>Grandview_Inventory[[#This Row],[land_value]]</f>
        <v>54949.136287295303</v>
      </c>
      <c r="BT1620" s="4">
        <f>_xlfn.IFNA(VLOOKUP(Grandview_Inventory[[#This Row],[quality]],Lookups!$A$26:$C$33,3,FALSE),1)</f>
        <v>0.98079741117310582</v>
      </c>
      <c r="BU1620" s="4">
        <f>_xlfn.IFNA(VLOOKUP(Grandview_Inventory[[#This Row],[condition]],Lookups!$A$37:$C$44,3,FALSE),1)</f>
        <v>0.97383723671140243</v>
      </c>
      <c r="BV1620" s="4">
        <f>IF(Grandview_Inventory[[#This Row],[bldg_style]]="",1,_xlfn.IFNA(VLOOKUP(Grandview_Inventory[[#This Row],[decade]],Lookups!$F$29:$H$43,3,FALSE),1))</f>
        <v>0.95244691841736806</v>
      </c>
      <c r="BW1620" s="4">
        <f>_xlfn.IFNA(VLOOKUP(Grandview_Inventory[[#This Row],[living_area_range]],Lookups!$F$47:$H$56,3,FALSE),1)</f>
        <v>0.94306777142782894</v>
      </c>
      <c r="BX1620" s="4">
        <f>AVERAGE(Grandview_Inventory[[#This Row],[qual_adj]:[size_adj]])</f>
        <v>0.96253733443242628</v>
      </c>
      <c r="BY1620" s="6">
        <f>IF(Grandview_Inventory[[#This Row],[pre_res]]&lt;0,0,Grandview_Inventory[[#This Row],[pre_res]]*Grandview_Inventory[[#This Row],[overall_adj]])</f>
        <v>233205.94229868354</v>
      </c>
      <c r="BZ1620" s="6">
        <f>(Grandview_Inventory[[#This Row],[sum_land]]-IF(Grandview_Inventory[[#This Row],[no_utilities]]=1,12000,0))/IF(Grandview_Inventory[[#This Row],[unbuildable]]=1,2,1)</f>
        <v>54949.136287295303</v>
      </c>
      <c r="CA1620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620">
        <f>ROUND(Grandview_Inventory[[#This Row],[det_value]]*Lookups!$M$28,-2)</f>
        <v>5600</v>
      </c>
      <c r="CC1620">
        <f>IF(ROUND(Grandview_Inventory[[#This Row],[adj_res]]*Lookups!$M$28,-2)&lt;Grandview_Inventory[[#This Row],[min_res]],Grandview_Inventory[[#This Row],[min_res]],ROUND(Grandview_Inventory[[#This Row],[adj_res]]*Lookups!$M$28,-2))</f>
        <v>221500</v>
      </c>
      <c r="CD1620">
        <f>Grandview_Inventory[[#This Row],[final_det]]+Grandview_Inventory[[#This Row],[final_res]]</f>
        <v>227100</v>
      </c>
      <c r="CE1620">
        <f>Grandview_Inventory[[#This Row],[final_land]]+Grandview_Inventory[[#This Row],[final_imp]]+Grandview_Inventory[[#This Row],[crop_value]]</f>
        <v>279300</v>
      </c>
      <c r="CG1620" t="str">
        <f t="shared" si="25"/>
        <v>update valuation set market_land =52200, market_bldg=227100, market_total =279300, market_mdno =401, market_date ='9/10/2023' where link_id = (select link_id from parcel where parcel_year = '2024' and parcel_id = '23092324470');</v>
      </c>
    </row>
    <row r="1621" spans="1:85" x14ac:dyDescent="0.25">
      <c r="A1621">
        <v>23092324471</v>
      </c>
      <c r="B1621">
        <v>0.18</v>
      </c>
      <c r="C1621">
        <v>7827</v>
      </c>
      <c r="D1621" t="s">
        <v>129</v>
      </c>
      <c r="E1621" t="s">
        <v>53</v>
      </c>
      <c r="F1621" t="s">
        <v>53</v>
      </c>
      <c r="G1621">
        <v>4</v>
      </c>
      <c r="H1621" t="s">
        <v>54</v>
      </c>
      <c r="I1621">
        <v>211500</v>
      </c>
      <c r="J1621">
        <v>39300</v>
      </c>
      <c r="K1621">
        <v>0.18</v>
      </c>
      <c r="L16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621">
        <v>0</v>
      </c>
      <c r="N1621">
        <v>0</v>
      </c>
      <c r="O1621">
        <v>0</v>
      </c>
      <c r="P1621">
        <v>13398.7528</v>
      </c>
      <c r="Q1621">
        <v>63903</v>
      </c>
      <c r="R1621">
        <f>(Grandview_Inventory[[#This Row],[ln_acres]]*Grandview_Inventory[[#This Row],[coeff]])+Grandview_Inventory[[#This Row],[const]]</f>
        <v>40926.839760167699</v>
      </c>
      <c r="S1621" t="s">
        <v>68</v>
      </c>
      <c r="T1621">
        <v>1</v>
      </c>
      <c r="U1621" t="s">
        <v>65</v>
      </c>
      <c r="V1621" t="s">
        <v>67</v>
      </c>
      <c r="W1621">
        <v>0</v>
      </c>
      <c r="X1621">
        <v>0</v>
      </c>
      <c r="Y1621">
        <v>57</v>
      </c>
      <c r="Z1621">
        <v>103</v>
      </c>
      <c r="AA1621">
        <v>110</v>
      </c>
      <c r="AB1621">
        <v>2000</v>
      </c>
      <c r="AC1621">
        <v>1760</v>
      </c>
      <c r="AD1621">
        <v>1760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330</v>
      </c>
      <c r="AL1621">
        <v>0</v>
      </c>
      <c r="AM1621">
        <v>0</v>
      </c>
      <c r="AN1621">
        <v>288</v>
      </c>
      <c r="AO1621">
        <v>0</v>
      </c>
      <c r="AP1621">
        <v>9</v>
      </c>
      <c r="AQ1621">
        <v>0</v>
      </c>
      <c r="AR1621">
        <v>0</v>
      </c>
      <c r="AS1621" t="s">
        <v>58</v>
      </c>
      <c r="AT1621">
        <v>1</v>
      </c>
      <c r="AU1621" t="s">
        <v>63</v>
      </c>
      <c r="AV1621" t="s">
        <v>60</v>
      </c>
      <c r="AW1621">
        <v>0</v>
      </c>
      <c r="AX1621">
        <v>3</v>
      </c>
      <c r="AY1621">
        <v>0</v>
      </c>
      <c r="AZ1621">
        <v>0</v>
      </c>
      <c r="BA1621">
        <v>100</v>
      </c>
      <c r="BB1621">
        <v>100</v>
      </c>
      <c r="BC1621">
        <v>100</v>
      </c>
      <c r="BD1621">
        <v>100</v>
      </c>
      <c r="BE1621">
        <v>1</v>
      </c>
      <c r="BF1621">
        <v>15000</v>
      </c>
      <c r="BG1621">
        <v>1000</v>
      </c>
      <c r="BH1621" s="6">
        <f>Grandview_Inventory[[#This Row],[land_extract]]*Lookups!$B$3</f>
        <v>47528.228511015397</v>
      </c>
      <c r="BI1621" s="6">
        <f>IF(Grandview_Inventory[[#This Row],[bldg_style]]="",0,Lookups!$B$2)</f>
        <v>155833.95000000001</v>
      </c>
      <c r="BJ1621" s="6">
        <f>_xlfn.IFNA(VLOOKUP(Grandview_Inventory[[#This Row],[quality]],Lookups!$H$2:$J$14,3,FALSE),0)</f>
        <v>2251</v>
      </c>
      <c r="BK1621" s="6">
        <f>_xlfn.IFNA(VLOOKUP(Grandview_Inventory[[#This Row],[condition]],Lookups!$H$17:$J$24,3,FALSE),0)</f>
        <v>22342</v>
      </c>
      <c r="BL1621" s="6">
        <f>Grandview_Inventory[[#This Row],[Eff_Age]]*Lookups!$B$14</f>
        <v>-13632.4962</v>
      </c>
      <c r="BM1621" s="6">
        <f>Grandview_Inventory[[#This Row],[living_area]]*Lookups!$B$15</f>
        <v>109790.30128</v>
      </c>
      <c r="BN1621" s="6">
        <f>Grandview_Inventory[[#This Row],[Fin BSMT]]*Lookups!$B$16</f>
        <v>0</v>
      </c>
      <c r="BO1621" s="6">
        <f>(Grandview_Inventory[[#This Row],[att_gar]]+Grandview_Inventory[[#This Row],[bltin_gar]])*Lookups!$B$17</f>
        <v>0</v>
      </c>
      <c r="BP1621" s="6">
        <f>Grandview_Inventory[[#This Row],[Plumbing Fixtures]]*Lookups!$B$18</f>
        <v>18093.976200000001</v>
      </c>
      <c r="BQ1621" s="6">
        <f>Grandview_Inventory[[#This Row],[detatched_value]]*Lookups!$B$19</f>
        <v>0</v>
      </c>
      <c r="BR1621" s="6">
        <f>SUM(Grandview_Inventory[[#This Row],[Intercept]:[det_value]])*Grandview_Inventory[[#This Row],[res_pct]]</f>
        <v>294678.73128000001</v>
      </c>
      <c r="BS1621" s="6">
        <f>Grandview_Inventory[[#This Row],[land_value]]</f>
        <v>47528.228511015397</v>
      </c>
      <c r="BT1621" s="4">
        <f>_xlfn.IFNA(VLOOKUP(Grandview_Inventory[[#This Row],[quality]],Lookups!$A$26:$C$33,3,FALSE),1)</f>
        <v>0.98763855981004833</v>
      </c>
      <c r="BU1621" s="4">
        <f>_xlfn.IFNA(VLOOKUP(Grandview_Inventory[[#This Row],[condition]],Lookups!$A$37:$C$44,3,FALSE),1)</f>
        <v>0.97383723671140243</v>
      </c>
      <c r="BV1621" s="4">
        <f>IF(Grandview_Inventory[[#This Row],[bldg_style]]="",1,_xlfn.IFNA(VLOOKUP(Grandview_Inventory[[#This Row],[decade]],Lookups!$F$29:$H$43,3,FALSE),1))</f>
        <v>0.92255236374249616</v>
      </c>
      <c r="BW1621" s="4">
        <f>_xlfn.IFNA(VLOOKUP(Grandview_Inventory[[#This Row],[living_area_range]],Lookups!$F$47:$H$56,3,FALSE),1)</f>
        <v>0.96120133463014379</v>
      </c>
      <c r="BX1621" s="4">
        <f>AVERAGE(Grandview_Inventory[[#This Row],[qual_adj]:[size_adj]])</f>
        <v>0.96130737372352271</v>
      </c>
      <c r="BY1621" s="6">
        <f>IF(Grandview_Inventory[[#This Row],[pre_res]]&lt;0,0,Grandview_Inventory[[#This Row],[pre_res]]*Grandview_Inventory[[#This Row],[overall_adj]])</f>
        <v>283276.83725895651</v>
      </c>
      <c r="BZ1621" s="6">
        <f>(Grandview_Inventory[[#This Row],[sum_land]]-IF(Grandview_Inventory[[#This Row],[no_utilities]]=1,12000,0))/IF(Grandview_Inventory[[#This Row],[unbuildable]]=1,2,1)</f>
        <v>47528.228511015397</v>
      </c>
      <c r="CA16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621">
        <f>ROUND(Grandview_Inventory[[#This Row],[det_value]]*Lookups!$M$28,-2)</f>
        <v>0</v>
      </c>
      <c r="CC1621">
        <f>IF(ROUND(Grandview_Inventory[[#This Row],[adj_res]]*Lookups!$M$28,-2)&lt;Grandview_Inventory[[#This Row],[min_res]],Grandview_Inventory[[#This Row],[min_res]],ROUND(Grandview_Inventory[[#This Row],[adj_res]]*Lookups!$M$28,-2))</f>
        <v>269100</v>
      </c>
      <c r="CD1621">
        <f>Grandview_Inventory[[#This Row],[final_det]]+Grandview_Inventory[[#This Row],[final_res]]</f>
        <v>269100</v>
      </c>
      <c r="CE1621">
        <f>Grandview_Inventory[[#This Row],[final_land]]+Grandview_Inventory[[#This Row],[final_imp]]+Grandview_Inventory[[#This Row],[crop_value]]</f>
        <v>314300</v>
      </c>
      <c r="CG1621" t="str">
        <f t="shared" si="25"/>
        <v>update valuation set market_land =45200, market_bldg=269100, market_total =314300, market_mdno =401, market_date ='9/10/2023' where link_id = (select link_id from parcel where parcel_year = '2024' and parcel_id = '23092324471');</v>
      </c>
    </row>
    <row r="1622" spans="1:85" x14ac:dyDescent="0.25">
      <c r="A1622">
        <v>23092324473</v>
      </c>
      <c r="B1622">
        <v>0.16</v>
      </c>
      <c r="C1622">
        <v>7038</v>
      </c>
      <c r="D1622" t="s">
        <v>129</v>
      </c>
      <c r="E1622" t="s">
        <v>53</v>
      </c>
      <c r="F1622" t="s">
        <v>53</v>
      </c>
      <c r="G1622">
        <v>4</v>
      </c>
      <c r="H1622" t="s">
        <v>54</v>
      </c>
      <c r="I1622">
        <v>57800</v>
      </c>
      <c r="J1622">
        <v>39100</v>
      </c>
      <c r="K1622">
        <v>0.16</v>
      </c>
      <c r="L162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22">
        <v>0</v>
      </c>
      <c r="N1622">
        <v>0</v>
      </c>
      <c r="O1622">
        <v>0</v>
      </c>
      <c r="P1622">
        <v>13398.7528</v>
      </c>
      <c r="Q1622">
        <v>63903</v>
      </c>
      <c r="R1622">
        <f>(Grandview_Inventory[[#This Row],[ln_acres]]*Grandview_Inventory[[#This Row],[coeff]])+Grandview_Inventory[[#This Row],[const]]</f>
        <v>39348.693981374228</v>
      </c>
      <c r="S1622" t="s">
        <v>68</v>
      </c>
      <c r="T1622">
        <v>1</v>
      </c>
      <c r="U1622" t="s">
        <v>80</v>
      </c>
      <c r="V1622" t="s">
        <v>78</v>
      </c>
      <c r="W1622">
        <v>0</v>
      </c>
      <c r="X1622">
        <v>0</v>
      </c>
      <c r="Y1622">
        <v>52</v>
      </c>
      <c r="Z1622">
        <v>88</v>
      </c>
      <c r="AA1622">
        <v>90</v>
      </c>
      <c r="AB1622">
        <v>1000</v>
      </c>
      <c r="AC1622">
        <v>756</v>
      </c>
      <c r="AD1622">
        <v>756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32</v>
      </c>
      <c r="AO1622">
        <v>0</v>
      </c>
      <c r="AP1622">
        <v>5</v>
      </c>
      <c r="AQ1622">
        <v>0</v>
      </c>
      <c r="AR1622">
        <v>0</v>
      </c>
      <c r="AS1622" t="s">
        <v>58</v>
      </c>
      <c r="AT1622">
        <v>0</v>
      </c>
      <c r="AU1622" t="s">
        <v>82</v>
      </c>
      <c r="AV1622" t="s">
        <v>81</v>
      </c>
      <c r="AW1622">
        <v>0</v>
      </c>
      <c r="AX1622">
        <v>2</v>
      </c>
      <c r="AY1622">
        <v>0</v>
      </c>
      <c r="AZ1622">
        <v>0</v>
      </c>
      <c r="BA1622">
        <v>100</v>
      </c>
      <c r="BB1622">
        <v>100</v>
      </c>
      <c r="BC1622">
        <v>100</v>
      </c>
      <c r="BD1622">
        <v>100</v>
      </c>
      <c r="BE1622">
        <v>1</v>
      </c>
      <c r="BF1622">
        <v>15000</v>
      </c>
      <c r="BG1622">
        <v>1000</v>
      </c>
      <c r="BH1622" s="6">
        <f>Grandview_Inventory[[#This Row],[land_extract]]*Lookups!$B$3</f>
        <v>45695.532079096141</v>
      </c>
      <c r="BI1622" s="6">
        <f>IF(Grandview_Inventory[[#This Row],[bldg_style]]="",0,Lookups!$B$2)</f>
        <v>155833.95000000001</v>
      </c>
      <c r="BJ1622" s="6">
        <f>_xlfn.IFNA(VLOOKUP(Grandview_Inventory[[#This Row],[quality]],Lookups!$H$2:$J$14,3,FALSE),0)</f>
        <v>-28558</v>
      </c>
      <c r="BK1622" s="6">
        <f>_xlfn.IFNA(VLOOKUP(Grandview_Inventory[[#This Row],[condition]],Lookups!$H$17:$J$24,3,FALSE),0)</f>
        <v>-45357</v>
      </c>
      <c r="BL1622" s="6">
        <f>Grandview_Inventory[[#This Row],[Eff_Age]]*Lookups!$B$14</f>
        <v>-12436.663199999999</v>
      </c>
      <c r="BM1622" s="6">
        <f>Grandview_Inventory[[#This Row],[living_area]]*Lookups!$B$15</f>
        <v>47159.924868000002</v>
      </c>
      <c r="BN1622" s="6">
        <f>Grandview_Inventory[[#This Row],[Fin BSMT]]*Lookups!$B$16</f>
        <v>0</v>
      </c>
      <c r="BO1622" s="6">
        <f>(Grandview_Inventory[[#This Row],[att_gar]]+Grandview_Inventory[[#This Row],[bltin_gar]])*Lookups!$B$17</f>
        <v>0</v>
      </c>
      <c r="BP1622" s="6">
        <f>Grandview_Inventory[[#This Row],[Plumbing Fixtures]]*Lookups!$B$18</f>
        <v>10052.209000000001</v>
      </c>
      <c r="BQ1622" s="6">
        <f>Grandview_Inventory[[#This Row],[detatched_value]]*Lookups!$B$19</f>
        <v>0</v>
      </c>
      <c r="BR1622" s="6">
        <f>SUM(Grandview_Inventory[[#This Row],[Intercept]:[det_value]])*Grandview_Inventory[[#This Row],[res_pct]]</f>
        <v>126694.42066800002</v>
      </c>
      <c r="BS1622" s="6">
        <f>Grandview_Inventory[[#This Row],[land_value]]</f>
        <v>45695.532079096141</v>
      </c>
      <c r="BT1622" s="4">
        <f>_xlfn.IFNA(VLOOKUP(Grandview_Inventory[[#This Row],[quality]],Lookups!$A$26:$C$33,3,FALSE),1)</f>
        <v>0.9690360070159818</v>
      </c>
      <c r="BU1622" s="4">
        <f>_xlfn.IFNA(VLOOKUP(Grandview_Inventory[[#This Row],[condition]],Lookups!$A$37:$C$44,3,FALSE),1)</f>
        <v>0.97161819570155394</v>
      </c>
      <c r="BV1622" s="4">
        <f>IF(Grandview_Inventory[[#This Row],[bldg_style]]="",1,_xlfn.IFNA(VLOOKUP(Grandview_Inventory[[#This Row],[decade]],Lookups!$F$29:$H$43,3,FALSE),1))</f>
        <v>0.94161750052457416</v>
      </c>
      <c r="BW1622" s="4">
        <f>_xlfn.IFNA(VLOOKUP(Grandview_Inventory[[#This Row],[living_area_range]],Lookups!$F$47:$H$56,3,FALSE),1)</f>
        <v>0.94306777142782894</v>
      </c>
      <c r="BX1622" s="4">
        <f>AVERAGE(Grandview_Inventory[[#This Row],[qual_adj]:[size_adj]])</f>
        <v>0.95633486866748474</v>
      </c>
      <c r="BY1622" s="6">
        <f>IF(Grandview_Inventory[[#This Row],[pre_res]]&lt;0,0,Grandview_Inventory[[#This Row],[pre_res]]*Grandview_Inventory[[#This Row],[overall_adj]])</f>
        <v>121162.29215043486</v>
      </c>
      <c r="BZ1622" s="6">
        <f>(Grandview_Inventory[[#This Row],[sum_land]]-IF(Grandview_Inventory[[#This Row],[no_utilities]]=1,12000,0))/IF(Grandview_Inventory[[#This Row],[unbuildable]]=1,2,1)</f>
        <v>45695.532079096141</v>
      </c>
      <c r="CA162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22">
        <f>ROUND(Grandview_Inventory[[#This Row],[det_value]]*Lookups!$M$28,-2)</f>
        <v>0</v>
      </c>
      <c r="CC1622">
        <f>IF(ROUND(Grandview_Inventory[[#This Row],[adj_res]]*Lookups!$M$28,-2)&lt;Grandview_Inventory[[#This Row],[min_res]],Grandview_Inventory[[#This Row],[min_res]],ROUND(Grandview_Inventory[[#This Row],[adj_res]]*Lookups!$M$28,-2))</f>
        <v>115100</v>
      </c>
      <c r="CD1622">
        <f>Grandview_Inventory[[#This Row],[final_det]]+Grandview_Inventory[[#This Row],[final_res]]</f>
        <v>115100</v>
      </c>
      <c r="CE1622">
        <f>Grandview_Inventory[[#This Row],[final_land]]+Grandview_Inventory[[#This Row],[final_imp]]+Grandview_Inventory[[#This Row],[crop_value]]</f>
        <v>158500</v>
      </c>
      <c r="CG1622" t="str">
        <f t="shared" si="25"/>
        <v>update valuation set market_land =43400, market_bldg=115100, market_total =158500, market_mdno =401, market_date ='9/10/2023' where link_id = (select link_id from parcel where parcel_year = '2024' and parcel_id = '23092324473');</v>
      </c>
    </row>
    <row r="1623" spans="1:85" x14ac:dyDescent="0.25">
      <c r="A1623">
        <v>23092324474</v>
      </c>
      <c r="B1623">
        <v>0.16</v>
      </c>
      <c r="C1623">
        <v>6978</v>
      </c>
      <c r="D1623" t="s">
        <v>129</v>
      </c>
      <c r="E1623" t="s">
        <v>53</v>
      </c>
      <c r="F1623" t="s">
        <v>53</v>
      </c>
      <c r="G1623">
        <v>4</v>
      </c>
      <c r="H1623" t="s">
        <v>54</v>
      </c>
      <c r="I1623">
        <v>130400</v>
      </c>
      <c r="J1623">
        <v>39000</v>
      </c>
      <c r="K1623">
        <v>0.16</v>
      </c>
      <c r="L162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23">
        <v>0</v>
      </c>
      <c r="N1623">
        <v>0</v>
      </c>
      <c r="O1623">
        <v>0</v>
      </c>
      <c r="P1623">
        <v>13398.7528</v>
      </c>
      <c r="Q1623">
        <v>63903</v>
      </c>
      <c r="R1623">
        <f>(Grandview_Inventory[[#This Row],[ln_acres]]*Grandview_Inventory[[#This Row],[coeff]])+Grandview_Inventory[[#This Row],[const]]</f>
        <v>39348.693981374228</v>
      </c>
      <c r="S1623" t="s">
        <v>61</v>
      </c>
      <c r="T1623">
        <v>1</v>
      </c>
      <c r="U1623" t="s">
        <v>70</v>
      </c>
      <c r="V1623" t="s">
        <v>69</v>
      </c>
      <c r="W1623">
        <v>0</v>
      </c>
      <c r="X1623">
        <v>0</v>
      </c>
      <c r="Y1623">
        <v>53</v>
      </c>
      <c r="Z1623">
        <v>93</v>
      </c>
      <c r="AA1623">
        <v>100</v>
      </c>
      <c r="AB1623">
        <v>1000</v>
      </c>
      <c r="AC1623">
        <v>950</v>
      </c>
      <c r="AD1623">
        <v>950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5</v>
      </c>
      <c r="AQ1623">
        <v>0</v>
      </c>
      <c r="AR1623">
        <v>0</v>
      </c>
      <c r="AS1623" t="s">
        <v>58</v>
      </c>
      <c r="AT1623">
        <v>1</v>
      </c>
      <c r="AU1623" t="s">
        <v>63</v>
      </c>
      <c r="AV1623" t="s">
        <v>60</v>
      </c>
      <c r="AW1623">
        <v>0</v>
      </c>
      <c r="AX1623">
        <v>2</v>
      </c>
      <c r="AY1623">
        <v>0</v>
      </c>
      <c r="AZ1623">
        <v>5800</v>
      </c>
      <c r="BA1623">
        <v>100</v>
      </c>
      <c r="BB1623">
        <v>100</v>
      </c>
      <c r="BC1623">
        <v>100</v>
      </c>
      <c r="BD1623">
        <v>100</v>
      </c>
      <c r="BE1623">
        <v>1</v>
      </c>
      <c r="BF1623">
        <v>15000</v>
      </c>
      <c r="BG1623">
        <v>1000</v>
      </c>
      <c r="BH1623" s="6">
        <f>Grandview_Inventory[[#This Row],[land_extract]]*Lookups!$B$3</f>
        <v>45695.532079096141</v>
      </c>
      <c r="BI1623" s="6">
        <f>IF(Grandview_Inventory[[#This Row],[bldg_style]]="",0,Lookups!$B$2)</f>
        <v>155833.95000000001</v>
      </c>
      <c r="BJ1623" s="6">
        <f>_xlfn.IFNA(VLOOKUP(Grandview_Inventory[[#This Row],[quality]],Lookups!$H$2:$J$14,3,FALSE),0)</f>
        <v>10733</v>
      </c>
      <c r="BK1623" s="6">
        <f>_xlfn.IFNA(VLOOKUP(Grandview_Inventory[[#This Row],[condition]],Lookups!$H$17:$J$24,3,FALSE),0)</f>
        <v>-4503</v>
      </c>
      <c r="BL1623" s="6">
        <f>Grandview_Inventory[[#This Row],[Eff_Age]]*Lookups!$B$14</f>
        <v>-12675.8298</v>
      </c>
      <c r="BM1623" s="6">
        <f>Grandview_Inventory[[#This Row],[living_area]]*Lookups!$B$15</f>
        <v>59261.81035</v>
      </c>
      <c r="BN1623" s="6">
        <f>Grandview_Inventory[[#This Row],[Fin BSMT]]*Lookups!$B$16</f>
        <v>0</v>
      </c>
      <c r="BO1623" s="6">
        <f>(Grandview_Inventory[[#This Row],[att_gar]]+Grandview_Inventory[[#This Row],[bltin_gar]])*Lookups!$B$17</f>
        <v>0</v>
      </c>
      <c r="BP1623" s="6">
        <f>Grandview_Inventory[[#This Row],[Plumbing Fixtures]]*Lookups!$B$18</f>
        <v>10052.209000000001</v>
      </c>
      <c r="BQ1623" s="6">
        <f>Grandview_Inventory[[#This Row],[detatched_value]]*Lookups!$B$19</f>
        <v>4911.46958</v>
      </c>
      <c r="BR1623" s="6">
        <f>SUM(Grandview_Inventory[[#This Row],[Intercept]:[det_value]])*Grandview_Inventory[[#This Row],[res_pct]]</f>
        <v>223613.60913</v>
      </c>
      <c r="BS1623" s="6">
        <f>Grandview_Inventory[[#This Row],[land_value]]</f>
        <v>45695.532079096141</v>
      </c>
      <c r="BT1623" s="4">
        <f>_xlfn.IFNA(VLOOKUP(Grandview_Inventory[[#This Row],[quality]],Lookups!$A$26:$C$33,3,FALSE),1)</f>
        <v>0.98079741117310582</v>
      </c>
      <c r="BU1623" s="4">
        <f>_xlfn.IFNA(VLOOKUP(Grandview_Inventory[[#This Row],[condition]],Lookups!$A$37:$C$44,3,FALSE),1)</f>
        <v>0.96469275950863709</v>
      </c>
      <c r="BV1623" s="4">
        <f>IF(Grandview_Inventory[[#This Row],[bldg_style]]="",1,_xlfn.IFNA(VLOOKUP(Grandview_Inventory[[#This Row],[decade]],Lookups!$F$29:$H$43,3,FALSE),1))</f>
        <v>0.95244691841736806</v>
      </c>
      <c r="BW1623" s="4">
        <f>_xlfn.IFNA(VLOOKUP(Grandview_Inventory[[#This Row],[living_area_range]],Lookups!$F$47:$H$56,3,FALSE),1)</f>
        <v>0.94306777142782894</v>
      </c>
      <c r="BX1623" s="4">
        <f>AVERAGE(Grandview_Inventory[[#This Row],[qual_adj]:[size_adj]])</f>
        <v>0.96025121513173495</v>
      </c>
      <c r="BY1623" s="6">
        <f>IF(Grandview_Inventory[[#This Row],[pre_res]]&lt;0,0,Grandview_Inventory[[#This Row],[pre_res]]*Grandview_Inventory[[#This Row],[overall_adj]])</f>
        <v>214725.23988707532</v>
      </c>
      <c r="BZ1623" s="6">
        <f>(Grandview_Inventory[[#This Row],[sum_land]]-IF(Grandview_Inventory[[#This Row],[no_utilities]]=1,12000,0))/IF(Grandview_Inventory[[#This Row],[unbuildable]]=1,2,1)</f>
        <v>45695.532079096141</v>
      </c>
      <c r="CA162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23">
        <f>ROUND(Grandview_Inventory[[#This Row],[det_value]]*Lookups!$M$28,-2)</f>
        <v>4700</v>
      </c>
      <c r="CC1623">
        <f>IF(ROUND(Grandview_Inventory[[#This Row],[adj_res]]*Lookups!$M$28,-2)&lt;Grandview_Inventory[[#This Row],[min_res]],Grandview_Inventory[[#This Row],[min_res]],ROUND(Grandview_Inventory[[#This Row],[adj_res]]*Lookups!$M$28,-2))</f>
        <v>204000</v>
      </c>
      <c r="CD1623">
        <f>Grandview_Inventory[[#This Row],[final_det]]+Grandview_Inventory[[#This Row],[final_res]]</f>
        <v>208700</v>
      </c>
      <c r="CE1623">
        <f>Grandview_Inventory[[#This Row],[final_land]]+Grandview_Inventory[[#This Row],[final_imp]]+Grandview_Inventory[[#This Row],[crop_value]]</f>
        <v>252100</v>
      </c>
      <c r="CG1623" t="str">
        <f t="shared" si="25"/>
        <v>update valuation set market_land =43400, market_bldg=208700, market_total =252100, market_mdno =401, market_date ='9/10/2023' where link_id = (select link_id from parcel where parcel_year = '2024' and parcel_id = '23092324474');</v>
      </c>
    </row>
    <row r="1624" spans="1:85" x14ac:dyDescent="0.25">
      <c r="A1624">
        <v>23092324475</v>
      </c>
      <c r="B1624">
        <v>0.15</v>
      </c>
      <c r="C1624">
        <v>6605</v>
      </c>
      <c r="D1624" t="s">
        <v>129</v>
      </c>
      <c r="E1624" t="s">
        <v>53</v>
      </c>
      <c r="F1624" t="s">
        <v>53</v>
      </c>
      <c r="G1624">
        <v>4</v>
      </c>
      <c r="H1624" t="s">
        <v>54</v>
      </c>
      <c r="I1624">
        <v>129800</v>
      </c>
      <c r="J1624">
        <v>38800</v>
      </c>
      <c r="K1624">
        <v>0.15</v>
      </c>
      <c r="L1624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624">
        <v>0</v>
      </c>
      <c r="N1624">
        <v>0</v>
      </c>
      <c r="O1624">
        <v>0</v>
      </c>
      <c r="P1624">
        <v>13398.7528</v>
      </c>
      <c r="Q1624">
        <v>63903</v>
      </c>
      <c r="R1624">
        <f>(Grandview_Inventory[[#This Row],[ln_acres]]*Grandview_Inventory[[#This Row],[coeff]])+Grandview_Inventory[[#This Row],[const]]</f>
        <v>38483.958290574345</v>
      </c>
      <c r="S1624" t="s">
        <v>61</v>
      </c>
      <c r="T1624">
        <v>1</v>
      </c>
      <c r="U1624" t="s">
        <v>70</v>
      </c>
      <c r="V1624" t="s">
        <v>69</v>
      </c>
      <c r="W1624">
        <v>0</v>
      </c>
      <c r="X1624">
        <v>0</v>
      </c>
      <c r="Y1624">
        <v>49</v>
      </c>
      <c r="Z1624">
        <v>65</v>
      </c>
      <c r="AA1624">
        <v>70</v>
      </c>
      <c r="AB1624">
        <v>1000</v>
      </c>
      <c r="AC1624">
        <v>918</v>
      </c>
      <c r="AD1624">
        <v>918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216</v>
      </c>
      <c r="AL1624">
        <v>0</v>
      </c>
      <c r="AM1624">
        <v>0</v>
      </c>
      <c r="AN1624">
        <v>0</v>
      </c>
      <c r="AO1624">
        <v>0</v>
      </c>
      <c r="AP1624">
        <v>5</v>
      </c>
      <c r="AQ1624">
        <v>0</v>
      </c>
      <c r="AR1624">
        <v>0</v>
      </c>
      <c r="AS1624" t="s">
        <v>58</v>
      </c>
      <c r="AT1624">
        <v>1</v>
      </c>
      <c r="AU1624" t="s">
        <v>63</v>
      </c>
      <c r="AV1624" t="s">
        <v>60</v>
      </c>
      <c r="AW1624">
        <v>0</v>
      </c>
      <c r="AX1624">
        <v>2</v>
      </c>
      <c r="AY1624">
        <v>0</v>
      </c>
      <c r="AZ1624">
        <v>0</v>
      </c>
      <c r="BA1624">
        <v>100</v>
      </c>
      <c r="BB1624">
        <v>100</v>
      </c>
      <c r="BC1624">
        <v>100</v>
      </c>
      <c r="BD1624">
        <v>100</v>
      </c>
      <c r="BE1624">
        <v>1</v>
      </c>
      <c r="BF1624">
        <v>15000</v>
      </c>
      <c r="BG1624">
        <v>1000</v>
      </c>
      <c r="BH1624" s="6">
        <f>Grandview_Inventory[[#This Row],[land_extract]]*Lookups!$B$3</f>
        <v>44691.316856156598</v>
      </c>
      <c r="BI1624" s="6">
        <f>IF(Grandview_Inventory[[#This Row],[bldg_style]]="",0,Lookups!$B$2)</f>
        <v>155833.95000000001</v>
      </c>
      <c r="BJ1624" s="6">
        <f>_xlfn.IFNA(VLOOKUP(Grandview_Inventory[[#This Row],[quality]],Lookups!$H$2:$J$14,3,FALSE),0)</f>
        <v>10733</v>
      </c>
      <c r="BK1624" s="6">
        <f>_xlfn.IFNA(VLOOKUP(Grandview_Inventory[[#This Row],[condition]],Lookups!$H$17:$J$24,3,FALSE),0)</f>
        <v>-4503</v>
      </c>
      <c r="BL1624" s="6">
        <f>Grandview_Inventory[[#This Row],[Eff_Age]]*Lookups!$B$14</f>
        <v>-11719.163399999999</v>
      </c>
      <c r="BM1624" s="6">
        <f>Grandview_Inventory[[#This Row],[living_area]]*Lookups!$B$15</f>
        <v>57265.623054000003</v>
      </c>
      <c r="BN1624" s="6">
        <f>Grandview_Inventory[[#This Row],[Fin BSMT]]*Lookups!$B$16</f>
        <v>0</v>
      </c>
      <c r="BO1624" s="6">
        <f>(Grandview_Inventory[[#This Row],[att_gar]]+Grandview_Inventory[[#This Row],[bltin_gar]])*Lookups!$B$17</f>
        <v>0</v>
      </c>
      <c r="BP1624" s="6">
        <f>Grandview_Inventory[[#This Row],[Plumbing Fixtures]]*Lookups!$B$18</f>
        <v>10052.209000000001</v>
      </c>
      <c r="BQ1624" s="6">
        <f>Grandview_Inventory[[#This Row],[detatched_value]]*Lookups!$B$19</f>
        <v>0</v>
      </c>
      <c r="BR1624" s="6">
        <f>SUM(Grandview_Inventory[[#This Row],[Intercept]:[det_value]])*Grandview_Inventory[[#This Row],[res_pct]]</f>
        <v>217662.61865400002</v>
      </c>
      <c r="BS1624" s="6">
        <f>Grandview_Inventory[[#This Row],[land_value]]</f>
        <v>44691.316856156598</v>
      </c>
      <c r="BT1624" s="4">
        <f>_xlfn.IFNA(VLOOKUP(Grandview_Inventory[[#This Row],[quality]],Lookups!$A$26:$C$33,3,FALSE),1)</f>
        <v>0.98079741117310582</v>
      </c>
      <c r="BU1624" s="4">
        <f>_xlfn.IFNA(VLOOKUP(Grandview_Inventory[[#This Row],[condition]],Lookups!$A$37:$C$44,3,FALSE),1)</f>
        <v>0.96469275950863709</v>
      </c>
      <c r="BV1624" s="4">
        <f>IF(Grandview_Inventory[[#This Row],[bldg_style]]="",1,_xlfn.IFNA(VLOOKUP(Grandview_Inventory[[#This Row],[decade]],Lookups!$F$29:$H$43,3,FALSE),1))</f>
        <v>0.99472141305414818</v>
      </c>
      <c r="BW1624" s="4">
        <f>_xlfn.IFNA(VLOOKUP(Grandview_Inventory[[#This Row],[living_area_range]],Lookups!$F$47:$H$56,3,FALSE),1)</f>
        <v>0.94306777142782894</v>
      </c>
      <c r="BX1624" s="4">
        <f>AVERAGE(Grandview_Inventory[[#This Row],[qual_adj]:[size_adj]])</f>
        <v>0.97081983879093003</v>
      </c>
      <c r="BY1624" s="6">
        <f>IF(Grandview_Inventory[[#This Row],[pre_res]]&lt;0,0,Grandview_Inventory[[#This Row],[pre_res]]*Grandview_Inventory[[#This Row],[overall_adj]])</f>
        <v>211311.18835248798</v>
      </c>
      <c r="BZ1624" s="6">
        <f>(Grandview_Inventory[[#This Row],[sum_land]]-IF(Grandview_Inventory[[#This Row],[no_utilities]]=1,12000,0))/IF(Grandview_Inventory[[#This Row],[unbuildable]]=1,2,1)</f>
        <v>44691.316856156598</v>
      </c>
      <c r="CA1624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624">
        <f>ROUND(Grandview_Inventory[[#This Row],[det_value]]*Lookups!$M$28,-2)</f>
        <v>0</v>
      </c>
      <c r="CC1624">
        <f>IF(ROUND(Grandview_Inventory[[#This Row],[adj_res]]*Lookups!$M$28,-2)&lt;Grandview_Inventory[[#This Row],[min_res]],Grandview_Inventory[[#This Row],[min_res]],ROUND(Grandview_Inventory[[#This Row],[adj_res]]*Lookups!$M$28,-2))</f>
        <v>200700</v>
      </c>
      <c r="CD1624">
        <f>Grandview_Inventory[[#This Row],[final_det]]+Grandview_Inventory[[#This Row],[final_res]]</f>
        <v>200700</v>
      </c>
      <c r="CE1624">
        <f>Grandview_Inventory[[#This Row],[final_land]]+Grandview_Inventory[[#This Row],[final_imp]]+Grandview_Inventory[[#This Row],[crop_value]]</f>
        <v>243200</v>
      </c>
      <c r="CG1624" t="str">
        <f t="shared" si="25"/>
        <v>update valuation set market_land =42500, market_bldg=200700, market_total =243200, market_mdno =401, market_date ='9/10/2023' where link_id = (select link_id from parcel where parcel_year = '2024' and parcel_id = '23092324475');</v>
      </c>
    </row>
    <row r="1625" spans="1:85" x14ac:dyDescent="0.25">
      <c r="A1625">
        <v>23092324478</v>
      </c>
      <c r="B1625">
        <v>0.06</v>
      </c>
      <c r="C1625">
        <v>2785</v>
      </c>
      <c r="D1625" t="s">
        <v>129</v>
      </c>
      <c r="E1625" t="s">
        <v>53</v>
      </c>
      <c r="F1625" t="s">
        <v>53</v>
      </c>
      <c r="G1625">
        <v>4</v>
      </c>
      <c r="H1625" t="s">
        <v>54</v>
      </c>
      <c r="I1625">
        <v>113500</v>
      </c>
      <c r="J1625">
        <v>37000</v>
      </c>
      <c r="K1625">
        <v>0.06</v>
      </c>
      <c r="L1625">
        <f>IF(Grandview_Inventory[[#This Row],[parcel_acres]]-Grandview_Inventory[[#This Row],[non_valued_acres]] =0,0,LN(Grandview_Inventory[[#This Row],[parcel_acres]]-Grandview_Inventory[[#This Row],[non_valued_acres]]))</f>
        <v>-2.8134107167600364</v>
      </c>
      <c r="M1625">
        <v>0</v>
      </c>
      <c r="N1625">
        <v>0</v>
      </c>
      <c r="O1625">
        <v>0</v>
      </c>
      <c r="P1625">
        <v>13398.7528</v>
      </c>
      <c r="Q1625">
        <v>63903</v>
      </c>
      <c r="R1625">
        <f>(Grandview_Inventory[[#This Row],[ln_acres]]*Grandview_Inventory[[#This Row],[coeff]])+Grandview_Inventory[[#This Row],[const]]</f>
        <v>26206.805281261455</v>
      </c>
      <c r="S1625" t="s">
        <v>68</v>
      </c>
      <c r="T1625">
        <v>1</v>
      </c>
      <c r="U1625" t="s">
        <v>70</v>
      </c>
      <c r="V1625" t="s">
        <v>69</v>
      </c>
      <c r="W1625">
        <v>0</v>
      </c>
      <c r="X1625">
        <v>0</v>
      </c>
      <c r="Y1625">
        <v>20</v>
      </c>
      <c r="Z1625">
        <v>20</v>
      </c>
      <c r="AA1625">
        <v>20</v>
      </c>
      <c r="AB1625">
        <v>1000</v>
      </c>
      <c r="AC1625">
        <v>702</v>
      </c>
      <c r="AD1625">
        <v>702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5</v>
      </c>
      <c r="AQ1625">
        <v>0</v>
      </c>
      <c r="AR1625">
        <v>0</v>
      </c>
      <c r="AS1625" t="s">
        <v>58</v>
      </c>
      <c r="AT1625">
        <v>1</v>
      </c>
      <c r="AU1625" t="s">
        <v>75</v>
      </c>
      <c r="AV1625" t="s">
        <v>60</v>
      </c>
      <c r="AW1625">
        <v>0</v>
      </c>
      <c r="AX1625">
        <v>2</v>
      </c>
      <c r="AY1625">
        <v>0</v>
      </c>
      <c r="AZ1625">
        <v>0</v>
      </c>
      <c r="BA1625">
        <v>100</v>
      </c>
      <c r="BB1625">
        <v>100</v>
      </c>
      <c r="BC1625">
        <v>100</v>
      </c>
      <c r="BD1625">
        <v>100</v>
      </c>
      <c r="BE1625">
        <v>1</v>
      </c>
      <c r="BF1625">
        <v>15000</v>
      </c>
      <c r="BG1625">
        <v>1000</v>
      </c>
      <c r="BH1625" s="6">
        <f>Grandview_Inventory[[#This Row],[land_extract]]*Lookups!$B$3</f>
        <v>30433.892214754669</v>
      </c>
      <c r="BI1625" s="6">
        <f>IF(Grandview_Inventory[[#This Row],[bldg_style]]="",0,Lookups!$B$2)</f>
        <v>155833.95000000001</v>
      </c>
      <c r="BJ1625" s="6">
        <f>_xlfn.IFNA(VLOOKUP(Grandview_Inventory[[#This Row],[quality]],Lookups!$H$2:$J$14,3,FALSE),0)</f>
        <v>10733</v>
      </c>
      <c r="BK1625" s="6">
        <f>_xlfn.IFNA(VLOOKUP(Grandview_Inventory[[#This Row],[condition]],Lookups!$H$17:$J$24,3,FALSE),0)</f>
        <v>-4503</v>
      </c>
      <c r="BL1625" s="6">
        <f>Grandview_Inventory[[#This Row],[Eff_Age]]*Lookups!$B$14</f>
        <v>-4783.3319999999994</v>
      </c>
      <c r="BM1625" s="6">
        <f>Grandview_Inventory[[#This Row],[living_area]]*Lookups!$B$15</f>
        <v>43791.358806000004</v>
      </c>
      <c r="BN1625" s="6">
        <f>Grandview_Inventory[[#This Row],[Fin BSMT]]*Lookups!$B$16</f>
        <v>0</v>
      </c>
      <c r="BO1625" s="6">
        <f>(Grandview_Inventory[[#This Row],[att_gar]]+Grandview_Inventory[[#This Row],[bltin_gar]])*Lookups!$B$17</f>
        <v>0</v>
      </c>
      <c r="BP1625" s="6">
        <f>Grandview_Inventory[[#This Row],[Plumbing Fixtures]]*Lookups!$B$18</f>
        <v>10052.209000000001</v>
      </c>
      <c r="BQ1625" s="6">
        <f>Grandview_Inventory[[#This Row],[detatched_value]]*Lookups!$B$19</f>
        <v>0</v>
      </c>
      <c r="BR1625" s="6">
        <f>SUM(Grandview_Inventory[[#This Row],[Intercept]:[det_value]])*Grandview_Inventory[[#This Row],[res_pct]]</f>
        <v>211124.18580600002</v>
      </c>
      <c r="BS1625" s="6">
        <f>Grandview_Inventory[[#This Row],[land_value]]</f>
        <v>30433.892214754669</v>
      </c>
      <c r="BT1625" s="4">
        <f>_xlfn.IFNA(VLOOKUP(Grandview_Inventory[[#This Row],[quality]],Lookups!$A$26:$C$33,3,FALSE),1)</f>
        <v>0.98079741117310582</v>
      </c>
      <c r="BU1625" s="4">
        <f>_xlfn.IFNA(VLOOKUP(Grandview_Inventory[[#This Row],[condition]],Lookups!$A$37:$C$44,3,FALSE),1)</f>
        <v>0.96469275950863709</v>
      </c>
      <c r="BV1625" s="4">
        <f>IF(Grandview_Inventory[[#This Row],[bldg_style]]="",1,_xlfn.IFNA(VLOOKUP(Grandview_Inventory[[#This Row],[decade]],Lookups!$F$29:$H$43,3,FALSE),1))</f>
        <v>0.96737494181490646</v>
      </c>
      <c r="BW1625" s="4">
        <f>_xlfn.IFNA(VLOOKUP(Grandview_Inventory[[#This Row],[living_area_range]],Lookups!$F$47:$H$56,3,FALSE),1)</f>
        <v>0.94306777142782894</v>
      </c>
      <c r="BX1625" s="4">
        <f>AVERAGE(Grandview_Inventory[[#This Row],[qual_adj]:[size_adj]])</f>
        <v>0.96398322098111955</v>
      </c>
      <c r="BY1625" s="6">
        <f>IF(Grandview_Inventory[[#This Row],[pre_res]]&lt;0,0,Grandview_Inventory[[#This Row],[pre_res]]*Grandview_Inventory[[#This Row],[overall_adj]])</f>
        <v>203520.17266028427</v>
      </c>
      <c r="BZ1625" s="6">
        <f>(Grandview_Inventory[[#This Row],[sum_land]]-IF(Grandview_Inventory[[#This Row],[no_utilities]]=1,12000,0))/IF(Grandview_Inventory[[#This Row],[unbuildable]]=1,2,1)</f>
        <v>30433.892214754669</v>
      </c>
      <c r="CA1625">
        <f>IF(ROUND(Grandview_Inventory[[#This Row],[adj_land]]*Lookups!$M$28,-2)&lt;Grandview_Inventory[[#This Row],[min_land]],Grandview_Inventory[[#This Row],[min_land]],ROUND(Grandview_Inventory[[#This Row],[adj_land]]*Lookups!$M$28,-2))</f>
        <v>28900</v>
      </c>
      <c r="CB1625">
        <f>ROUND(Grandview_Inventory[[#This Row],[det_value]]*Lookups!$M$28,-2)</f>
        <v>0</v>
      </c>
      <c r="CC1625">
        <f>IF(ROUND(Grandview_Inventory[[#This Row],[adj_res]]*Lookups!$M$28,-2)&lt;Grandview_Inventory[[#This Row],[min_res]],Grandview_Inventory[[#This Row],[min_res]],ROUND(Grandview_Inventory[[#This Row],[adj_res]]*Lookups!$M$28,-2))</f>
        <v>193300</v>
      </c>
      <c r="CD1625">
        <f>Grandview_Inventory[[#This Row],[final_det]]+Grandview_Inventory[[#This Row],[final_res]]</f>
        <v>193300</v>
      </c>
      <c r="CE1625">
        <f>Grandview_Inventory[[#This Row],[final_land]]+Grandview_Inventory[[#This Row],[final_imp]]+Grandview_Inventory[[#This Row],[crop_value]]</f>
        <v>222200</v>
      </c>
      <c r="CG1625" t="str">
        <f t="shared" si="25"/>
        <v>update valuation set market_land =28900, market_bldg=193300, market_total =222200, market_mdno =401, market_date ='9/10/2023' where link_id = (select link_id from parcel where parcel_year = '2024' and parcel_id = '23092324478');</v>
      </c>
    </row>
    <row r="1626" spans="1:85" x14ac:dyDescent="0.25">
      <c r="A1626">
        <v>23092324480</v>
      </c>
      <c r="B1626">
        <v>0.2</v>
      </c>
      <c r="C1626">
        <v>8685</v>
      </c>
      <c r="D1626" t="s">
        <v>129</v>
      </c>
      <c r="E1626" t="s">
        <v>53</v>
      </c>
      <c r="F1626" t="s">
        <v>53</v>
      </c>
      <c r="G1626">
        <v>4</v>
      </c>
      <c r="H1626" t="s">
        <v>54</v>
      </c>
      <c r="I1626">
        <v>60900</v>
      </c>
      <c r="J1626">
        <v>39800</v>
      </c>
      <c r="K1626">
        <v>0.2</v>
      </c>
      <c r="L162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26">
        <v>0</v>
      </c>
      <c r="N1626">
        <v>0</v>
      </c>
      <c r="O1626">
        <v>0</v>
      </c>
      <c r="P1626">
        <v>13398.7528</v>
      </c>
      <c r="Q1626">
        <v>63903</v>
      </c>
      <c r="R1626">
        <f>(Grandview_Inventory[[#This Row],[ln_acres]]*Grandview_Inventory[[#This Row],[coeff]])+Grandview_Inventory[[#This Row],[const]]</f>
        <v>42338.539264347448</v>
      </c>
      <c r="S1626" t="s">
        <v>68</v>
      </c>
      <c r="T1626">
        <v>1</v>
      </c>
      <c r="U1626" t="s">
        <v>80</v>
      </c>
      <c r="V1626" t="s">
        <v>78</v>
      </c>
      <c r="W1626">
        <v>0</v>
      </c>
      <c r="X1626">
        <v>0</v>
      </c>
      <c r="Y1626">
        <v>51</v>
      </c>
      <c r="Z1626">
        <v>77</v>
      </c>
      <c r="AA1626">
        <v>80</v>
      </c>
      <c r="AB1626">
        <v>1000</v>
      </c>
      <c r="AC1626">
        <v>775</v>
      </c>
      <c r="AD1626">
        <v>775</v>
      </c>
      <c r="AE1626">
        <v>0</v>
      </c>
      <c r="AF1626">
        <v>0</v>
      </c>
      <c r="AG1626">
        <v>0</v>
      </c>
      <c r="AH1626">
        <v>775</v>
      </c>
      <c r="AI1626">
        <v>0</v>
      </c>
      <c r="AJ1626">
        <v>0</v>
      </c>
      <c r="AK1626">
        <v>0</v>
      </c>
      <c r="AL1626">
        <v>0</v>
      </c>
      <c r="AM1626">
        <v>310</v>
      </c>
      <c r="AN1626">
        <v>0</v>
      </c>
      <c r="AO1626">
        <v>310</v>
      </c>
      <c r="AP1626">
        <v>5</v>
      </c>
      <c r="AQ1626">
        <v>0</v>
      </c>
      <c r="AR1626">
        <v>0</v>
      </c>
      <c r="AS1626" t="s">
        <v>58</v>
      </c>
      <c r="AT1626">
        <v>1</v>
      </c>
      <c r="AU1626" t="s">
        <v>63</v>
      </c>
      <c r="AV1626" t="s">
        <v>81</v>
      </c>
      <c r="AW1626">
        <v>0</v>
      </c>
      <c r="AX1626">
        <v>2</v>
      </c>
      <c r="AY1626">
        <v>0</v>
      </c>
      <c r="AZ1626">
        <v>0</v>
      </c>
      <c r="BA1626">
        <v>100</v>
      </c>
      <c r="BB1626">
        <v>100</v>
      </c>
      <c r="BC1626">
        <v>100</v>
      </c>
      <c r="BD1626">
        <v>100</v>
      </c>
      <c r="BE1626">
        <v>1</v>
      </c>
      <c r="BF1626">
        <v>15000</v>
      </c>
      <c r="BG1626">
        <v>1000</v>
      </c>
      <c r="BH1626" s="6">
        <f>Grandview_Inventory[[#This Row],[land_extract]]*Lookups!$B$3</f>
        <v>49167.631333630678</v>
      </c>
      <c r="BI1626" s="6">
        <f>IF(Grandview_Inventory[[#This Row],[bldg_style]]="",0,Lookups!$B$2)</f>
        <v>155833.95000000001</v>
      </c>
      <c r="BJ1626" s="6">
        <f>_xlfn.IFNA(VLOOKUP(Grandview_Inventory[[#This Row],[quality]],Lookups!$H$2:$J$14,3,FALSE),0)</f>
        <v>-28558</v>
      </c>
      <c r="BK1626" s="6">
        <f>_xlfn.IFNA(VLOOKUP(Grandview_Inventory[[#This Row],[condition]],Lookups!$H$17:$J$24,3,FALSE),0)</f>
        <v>-45357</v>
      </c>
      <c r="BL1626" s="6">
        <f>Grandview_Inventory[[#This Row],[Eff_Age]]*Lookups!$B$14</f>
        <v>-12197.496599999999</v>
      </c>
      <c r="BM1626" s="6">
        <f>Grandview_Inventory[[#This Row],[living_area]]*Lookups!$B$15</f>
        <v>48345.161075000004</v>
      </c>
      <c r="BN1626" s="6">
        <f>Grandview_Inventory[[#This Row],[Fin BSMT]]*Lookups!$B$16</f>
        <v>0</v>
      </c>
      <c r="BO1626" s="6">
        <f>(Grandview_Inventory[[#This Row],[att_gar]]+Grandview_Inventory[[#This Row],[bltin_gar]])*Lookups!$B$17</f>
        <v>0</v>
      </c>
      <c r="BP1626" s="6">
        <f>Grandview_Inventory[[#This Row],[Plumbing Fixtures]]*Lookups!$B$18</f>
        <v>10052.209000000001</v>
      </c>
      <c r="BQ1626" s="6">
        <f>Grandview_Inventory[[#This Row],[detatched_value]]*Lookups!$B$19</f>
        <v>0</v>
      </c>
      <c r="BR1626" s="6">
        <f>SUM(Grandview_Inventory[[#This Row],[Intercept]:[det_value]])*Grandview_Inventory[[#This Row],[res_pct]]</f>
        <v>128118.82347500001</v>
      </c>
      <c r="BS1626" s="6">
        <f>Grandview_Inventory[[#This Row],[land_value]]</f>
        <v>49167.631333630678</v>
      </c>
      <c r="BT1626" s="4">
        <f>_xlfn.IFNA(VLOOKUP(Grandview_Inventory[[#This Row],[quality]],Lookups!$A$26:$C$33,3,FALSE),1)</f>
        <v>0.9690360070159818</v>
      </c>
      <c r="BU1626" s="4">
        <f>_xlfn.IFNA(VLOOKUP(Grandview_Inventory[[#This Row],[condition]],Lookups!$A$37:$C$44,3,FALSE),1)</f>
        <v>0.97161819570155394</v>
      </c>
      <c r="BV1626" s="4">
        <f>IF(Grandview_Inventory[[#This Row],[bldg_style]]="",1,_xlfn.IFNA(VLOOKUP(Grandview_Inventory[[#This Row],[decade]],Lookups!$F$29:$H$43,3,FALSE),1))</f>
        <v>0.98763256963907298</v>
      </c>
      <c r="BW1626" s="4">
        <f>_xlfn.IFNA(VLOOKUP(Grandview_Inventory[[#This Row],[living_area_range]],Lookups!$F$47:$H$56,3,FALSE),1)</f>
        <v>0.94306777142782894</v>
      </c>
      <c r="BX1626" s="4">
        <f>AVERAGE(Grandview_Inventory[[#This Row],[qual_adj]:[size_adj]])</f>
        <v>0.96783863594610942</v>
      </c>
      <c r="BY1626" s="6">
        <f>IF(Grandview_Inventory[[#This Row],[pre_res]]&lt;0,0,Grandview_Inventory[[#This Row],[pre_res]]*Grandview_Inventory[[#This Row],[overall_adj]])</f>
        <v>123998.3473510644</v>
      </c>
      <c r="BZ1626" s="6">
        <f>(Grandview_Inventory[[#This Row],[sum_land]]-IF(Grandview_Inventory[[#This Row],[no_utilities]]=1,12000,0))/IF(Grandview_Inventory[[#This Row],[unbuildable]]=1,2,1)</f>
        <v>49167.631333630678</v>
      </c>
      <c r="CA162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26">
        <f>ROUND(Grandview_Inventory[[#This Row],[det_value]]*Lookups!$M$28,-2)</f>
        <v>0</v>
      </c>
      <c r="CC1626">
        <f>IF(ROUND(Grandview_Inventory[[#This Row],[adj_res]]*Lookups!$M$28,-2)&lt;Grandview_Inventory[[#This Row],[min_res]],Grandview_Inventory[[#This Row],[min_res]],ROUND(Grandview_Inventory[[#This Row],[adj_res]]*Lookups!$M$28,-2))</f>
        <v>117800</v>
      </c>
      <c r="CD1626">
        <f>Grandview_Inventory[[#This Row],[final_det]]+Grandview_Inventory[[#This Row],[final_res]]</f>
        <v>117800</v>
      </c>
      <c r="CE1626">
        <f>Grandview_Inventory[[#This Row],[final_land]]+Grandview_Inventory[[#This Row],[final_imp]]+Grandview_Inventory[[#This Row],[crop_value]]</f>
        <v>164500</v>
      </c>
      <c r="CG1626" t="str">
        <f t="shared" si="25"/>
        <v>update valuation set market_land =46700, market_bldg=117800, market_total =164500, market_mdno =401, market_date ='9/10/2023' where link_id = (select link_id from parcel where parcel_year = '2024' and parcel_id = '23092324480');</v>
      </c>
    </row>
    <row r="1627" spans="1:85" x14ac:dyDescent="0.25">
      <c r="A1627">
        <v>23092324482</v>
      </c>
      <c r="B1627">
        <v>0.39</v>
      </c>
      <c r="C1627">
        <v>17032</v>
      </c>
      <c r="D1627" t="s">
        <v>129</v>
      </c>
      <c r="E1627" t="s">
        <v>53</v>
      </c>
      <c r="F1627" t="s">
        <v>53</v>
      </c>
      <c r="G1627">
        <v>4</v>
      </c>
      <c r="H1627" t="s">
        <v>54</v>
      </c>
      <c r="I1627">
        <v>117200</v>
      </c>
      <c r="J1627">
        <v>41600</v>
      </c>
      <c r="K1627">
        <v>0.39</v>
      </c>
      <c r="L1627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1627">
        <v>0</v>
      </c>
      <c r="N1627">
        <v>0</v>
      </c>
      <c r="O1627">
        <v>0</v>
      </c>
      <c r="P1627">
        <v>13398.7528</v>
      </c>
      <c r="Q1627">
        <v>63903</v>
      </c>
      <c r="R1627">
        <f>(Grandview_Inventory[[#This Row],[ln_acres]]*Grandview_Inventory[[#This Row],[coeff]])+Grandview_Inventory[[#This Row],[const]]</f>
        <v>51286.619940067751</v>
      </c>
      <c r="S1627" t="s">
        <v>85</v>
      </c>
      <c r="T1627">
        <v>1</v>
      </c>
      <c r="U1627" t="s">
        <v>70</v>
      </c>
      <c r="V1627" t="s">
        <v>69</v>
      </c>
      <c r="W1627">
        <v>0</v>
      </c>
      <c r="X1627">
        <v>0</v>
      </c>
      <c r="Y1627">
        <v>53</v>
      </c>
      <c r="Z1627">
        <v>93</v>
      </c>
      <c r="AA1627">
        <v>100</v>
      </c>
      <c r="AB1627">
        <v>1000</v>
      </c>
      <c r="AC1627">
        <v>976</v>
      </c>
      <c r="AD1627">
        <v>976</v>
      </c>
      <c r="AE1627">
        <v>0</v>
      </c>
      <c r="AF1627">
        <v>0</v>
      </c>
      <c r="AG1627">
        <v>0</v>
      </c>
      <c r="AH1627">
        <v>732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104</v>
      </c>
      <c r="AO1627">
        <v>0</v>
      </c>
      <c r="AP1627">
        <v>5</v>
      </c>
      <c r="AQ1627">
        <v>0</v>
      </c>
      <c r="AR1627">
        <v>0</v>
      </c>
      <c r="AS1627" t="s">
        <v>58</v>
      </c>
      <c r="AT1627">
        <v>1</v>
      </c>
      <c r="AU1627" t="s">
        <v>63</v>
      </c>
      <c r="AV1627" t="s">
        <v>81</v>
      </c>
      <c r="AW1627">
        <v>0</v>
      </c>
      <c r="AX1627">
        <v>3</v>
      </c>
      <c r="AY1627">
        <v>0</v>
      </c>
      <c r="AZ1627">
        <v>5600</v>
      </c>
      <c r="BA1627">
        <v>100</v>
      </c>
      <c r="BB1627">
        <v>100</v>
      </c>
      <c r="BC1627">
        <v>100</v>
      </c>
      <c r="BD1627">
        <v>100</v>
      </c>
      <c r="BE1627">
        <v>1</v>
      </c>
      <c r="BF1627">
        <v>15000</v>
      </c>
      <c r="BG1627">
        <v>1000</v>
      </c>
      <c r="BH1627" s="6">
        <f>Grandview_Inventory[[#This Row],[land_extract]]*Lookups!$B$3</f>
        <v>59559.013262526838</v>
      </c>
      <c r="BI1627" s="6">
        <f>IF(Grandview_Inventory[[#This Row],[bldg_style]]="",0,Lookups!$B$2)</f>
        <v>155833.95000000001</v>
      </c>
      <c r="BJ1627" s="6">
        <f>_xlfn.IFNA(VLOOKUP(Grandview_Inventory[[#This Row],[quality]],Lookups!$H$2:$J$14,3,FALSE),0)</f>
        <v>10733</v>
      </c>
      <c r="BK1627" s="6">
        <f>_xlfn.IFNA(VLOOKUP(Grandview_Inventory[[#This Row],[condition]],Lookups!$H$17:$J$24,3,FALSE),0)</f>
        <v>-4503</v>
      </c>
      <c r="BL1627" s="6">
        <f>Grandview_Inventory[[#This Row],[Eff_Age]]*Lookups!$B$14</f>
        <v>-12675.8298</v>
      </c>
      <c r="BM1627" s="6">
        <f>Grandview_Inventory[[#This Row],[living_area]]*Lookups!$B$15</f>
        <v>60883.712528000004</v>
      </c>
      <c r="BN1627" s="6">
        <f>Grandview_Inventory[[#This Row],[Fin BSMT]]*Lookups!$B$16</f>
        <v>0</v>
      </c>
      <c r="BO1627" s="6">
        <f>(Grandview_Inventory[[#This Row],[att_gar]]+Grandview_Inventory[[#This Row],[bltin_gar]])*Lookups!$B$17</f>
        <v>0</v>
      </c>
      <c r="BP1627" s="6">
        <f>Grandview_Inventory[[#This Row],[Plumbing Fixtures]]*Lookups!$B$18</f>
        <v>10052.209000000001</v>
      </c>
      <c r="BQ1627" s="6">
        <f>Grandview_Inventory[[#This Row],[detatched_value]]*Lookups!$B$19</f>
        <v>4742.1085599999997</v>
      </c>
      <c r="BR1627" s="6">
        <f>SUM(Grandview_Inventory[[#This Row],[Intercept]:[det_value]])*Grandview_Inventory[[#This Row],[res_pct]]</f>
        <v>225066.150288</v>
      </c>
      <c r="BS1627" s="6">
        <f>Grandview_Inventory[[#This Row],[land_value]]</f>
        <v>59559.013262526838</v>
      </c>
      <c r="BT1627" s="4">
        <f>_xlfn.IFNA(VLOOKUP(Grandview_Inventory[[#This Row],[quality]],Lookups!$A$26:$C$33,3,FALSE),1)</f>
        <v>0.98079741117310582</v>
      </c>
      <c r="BU1627" s="4">
        <f>_xlfn.IFNA(VLOOKUP(Grandview_Inventory[[#This Row],[condition]],Lookups!$A$37:$C$44,3,FALSE),1)</f>
        <v>0.96469275950863709</v>
      </c>
      <c r="BV1627" s="4">
        <f>IF(Grandview_Inventory[[#This Row],[bldg_style]]="",1,_xlfn.IFNA(VLOOKUP(Grandview_Inventory[[#This Row],[decade]],Lookups!$F$29:$H$43,3,FALSE),1))</f>
        <v>0.95244691841736806</v>
      </c>
      <c r="BW1627" s="4">
        <f>_xlfn.IFNA(VLOOKUP(Grandview_Inventory[[#This Row],[living_area_range]],Lookups!$F$47:$H$56,3,FALSE),1)</f>
        <v>0.94306777142782894</v>
      </c>
      <c r="BX1627" s="4">
        <f>AVERAGE(Grandview_Inventory[[#This Row],[qual_adj]:[size_adj]])</f>
        <v>0.96025121513173495</v>
      </c>
      <c r="BY1627" s="6">
        <f>IF(Grandview_Inventory[[#This Row],[pre_res]]&lt;0,0,Grandview_Inventory[[#This Row],[pre_res]]*Grandview_Inventory[[#This Row],[overall_adj]])</f>
        <v>216120.04429907369</v>
      </c>
      <c r="BZ1627" s="6">
        <f>(Grandview_Inventory[[#This Row],[sum_land]]-IF(Grandview_Inventory[[#This Row],[no_utilities]]=1,12000,0))/IF(Grandview_Inventory[[#This Row],[unbuildable]]=1,2,1)</f>
        <v>59559.013262526838</v>
      </c>
      <c r="CA1627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1627">
        <f>ROUND(Grandview_Inventory[[#This Row],[det_value]]*Lookups!$M$28,-2)</f>
        <v>4500</v>
      </c>
      <c r="CC1627">
        <f>IF(ROUND(Grandview_Inventory[[#This Row],[adj_res]]*Lookups!$M$28,-2)&lt;Grandview_Inventory[[#This Row],[min_res]],Grandview_Inventory[[#This Row],[min_res]],ROUND(Grandview_Inventory[[#This Row],[adj_res]]*Lookups!$M$28,-2))</f>
        <v>205300</v>
      </c>
      <c r="CD1627">
        <f>Grandview_Inventory[[#This Row],[final_det]]+Grandview_Inventory[[#This Row],[final_res]]</f>
        <v>209800</v>
      </c>
      <c r="CE1627">
        <f>Grandview_Inventory[[#This Row],[final_land]]+Grandview_Inventory[[#This Row],[final_imp]]+Grandview_Inventory[[#This Row],[crop_value]]</f>
        <v>266400</v>
      </c>
      <c r="CG1627" t="str">
        <f t="shared" si="25"/>
        <v>update valuation set market_land =56600, market_bldg=209800, market_total =266400, market_mdno =401, market_date ='9/10/2023' where link_id = (select link_id from parcel where parcel_year = '2024' and parcel_id = '23092324482');</v>
      </c>
    </row>
    <row r="1628" spans="1:85" x14ac:dyDescent="0.25">
      <c r="A1628">
        <v>23092324490</v>
      </c>
      <c r="B1628">
        <v>0.17</v>
      </c>
      <c r="C1628">
        <v>7511</v>
      </c>
      <c r="D1628" t="s">
        <v>129</v>
      </c>
      <c r="E1628" t="s">
        <v>53</v>
      </c>
      <c r="F1628" t="s">
        <v>53</v>
      </c>
      <c r="G1628">
        <v>4</v>
      </c>
      <c r="H1628" t="s">
        <v>54</v>
      </c>
      <c r="I1628">
        <v>182000</v>
      </c>
      <c r="J1628">
        <v>39300</v>
      </c>
      <c r="K1628">
        <v>0.17</v>
      </c>
      <c r="L162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628">
        <v>0</v>
      </c>
      <c r="N1628">
        <v>0</v>
      </c>
      <c r="O1628">
        <v>0</v>
      </c>
      <c r="P1628">
        <v>13398.7528</v>
      </c>
      <c r="Q1628">
        <v>63903</v>
      </c>
      <c r="R1628">
        <f>(Grandview_Inventory[[#This Row],[ln_acres]]*Grandview_Inventory[[#This Row],[coeff]])+Grandview_Inventory[[#This Row],[const]]</f>
        <v>40160.988302686128</v>
      </c>
      <c r="S1628" t="s">
        <v>68</v>
      </c>
      <c r="T1628">
        <v>1</v>
      </c>
      <c r="U1628" t="s">
        <v>62</v>
      </c>
      <c r="V1628" t="s">
        <v>78</v>
      </c>
      <c r="W1628">
        <v>0</v>
      </c>
      <c r="X1628">
        <v>0</v>
      </c>
      <c r="Y1628">
        <v>49</v>
      </c>
      <c r="Z1628">
        <v>68</v>
      </c>
      <c r="AA1628">
        <v>70</v>
      </c>
      <c r="AB1628">
        <v>2500</v>
      </c>
      <c r="AC1628">
        <v>2380</v>
      </c>
      <c r="AD1628">
        <v>1768</v>
      </c>
      <c r="AE1628">
        <v>0</v>
      </c>
      <c r="AF1628">
        <v>0</v>
      </c>
      <c r="AG1628">
        <v>612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288</v>
      </c>
      <c r="AN1628">
        <v>242</v>
      </c>
      <c r="AO1628">
        <v>288</v>
      </c>
      <c r="AP1628">
        <v>8</v>
      </c>
      <c r="AQ1628">
        <v>0</v>
      </c>
      <c r="AR1628">
        <v>1</v>
      </c>
      <c r="AS1628" t="s">
        <v>58</v>
      </c>
      <c r="AT1628">
        <v>1</v>
      </c>
      <c r="AU1628" t="s">
        <v>63</v>
      </c>
      <c r="AV1628" t="s">
        <v>64</v>
      </c>
      <c r="AW1628">
        <v>1</v>
      </c>
      <c r="AX1628">
        <v>4</v>
      </c>
      <c r="AY1628">
        <v>0</v>
      </c>
      <c r="AZ1628">
        <v>26000</v>
      </c>
      <c r="BA1628">
        <v>100</v>
      </c>
      <c r="BB1628">
        <v>100</v>
      </c>
      <c r="BC1628">
        <v>100</v>
      </c>
      <c r="BD1628">
        <v>100</v>
      </c>
      <c r="BE1628">
        <v>1</v>
      </c>
      <c r="BF1628">
        <v>15000</v>
      </c>
      <c r="BG1628">
        <v>1000</v>
      </c>
      <c r="BH1628" s="6">
        <f>Grandview_Inventory[[#This Row],[land_extract]]*Lookups!$B$3</f>
        <v>46638.847281240982</v>
      </c>
      <c r="BI1628" s="6">
        <f>IF(Grandview_Inventory[[#This Row],[bldg_style]]="",0,Lookups!$B$2)</f>
        <v>155833.95000000001</v>
      </c>
      <c r="BJ1628" s="6">
        <f>_xlfn.IFNA(VLOOKUP(Grandview_Inventory[[#This Row],[quality]],Lookups!$H$2:$J$14,3,FALSE),0)</f>
        <v>9808</v>
      </c>
      <c r="BK1628" s="6">
        <f>_xlfn.IFNA(VLOOKUP(Grandview_Inventory[[#This Row],[condition]],Lookups!$H$17:$J$24,3,FALSE),0)</f>
        <v>-45357</v>
      </c>
      <c r="BL1628" s="6">
        <f>Grandview_Inventory[[#This Row],[Eff_Age]]*Lookups!$B$14</f>
        <v>-11719.163399999999</v>
      </c>
      <c r="BM1628" s="6">
        <f>Grandview_Inventory[[#This Row],[living_area]]*Lookups!$B$15</f>
        <v>148466.43014000001</v>
      </c>
      <c r="BN1628" s="6">
        <f>Grandview_Inventory[[#This Row],[Fin BSMT]]*Lookups!$B$16</f>
        <v>-16584.73488</v>
      </c>
      <c r="BO1628" s="6">
        <f>(Grandview_Inventory[[#This Row],[att_gar]]+Grandview_Inventory[[#This Row],[bltin_gar]])*Lookups!$B$17</f>
        <v>0</v>
      </c>
      <c r="BP1628" s="6">
        <f>Grandview_Inventory[[#This Row],[Plumbing Fixtures]]*Lookups!$B$18</f>
        <v>16083.5344</v>
      </c>
      <c r="BQ1628" s="6">
        <f>Grandview_Inventory[[#This Row],[detatched_value]]*Lookups!$B$19</f>
        <v>22016.9326</v>
      </c>
      <c r="BR1628" s="6">
        <f>SUM(Grandview_Inventory[[#This Row],[Intercept]:[det_value]])*Grandview_Inventory[[#This Row],[res_pct]]</f>
        <v>278547.94886</v>
      </c>
      <c r="BS1628" s="6">
        <f>Grandview_Inventory[[#This Row],[land_value]]</f>
        <v>46638.847281240982</v>
      </c>
      <c r="BT1628" s="4">
        <f>_xlfn.IFNA(VLOOKUP(Grandview_Inventory[[#This Row],[quality]],Lookups!$A$26:$C$33,3,FALSE),1)</f>
        <v>0.94295468617355149</v>
      </c>
      <c r="BU1628" s="4">
        <f>_xlfn.IFNA(VLOOKUP(Grandview_Inventory[[#This Row],[condition]],Lookups!$A$37:$C$44,3,FALSE),1)</f>
        <v>0.97161819570155394</v>
      </c>
      <c r="BV1628" s="4">
        <f>IF(Grandview_Inventory[[#This Row],[bldg_style]]="",1,_xlfn.IFNA(VLOOKUP(Grandview_Inventory[[#This Row],[decade]],Lookups!$F$29:$H$43,3,FALSE),1))</f>
        <v>0.99472141305414818</v>
      </c>
      <c r="BW1628" s="4">
        <f>_xlfn.IFNA(VLOOKUP(Grandview_Inventory[[#This Row],[living_area_range]],Lookups!$F$47:$H$56,3,FALSE),1)</f>
        <v>0.95799442568048754</v>
      </c>
      <c r="BX1628" s="4">
        <f>AVERAGE(Grandview_Inventory[[#This Row],[qual_adj]:[size_adj]])</f>
        <v>0.96682218015243526</v>
      </c>
      <c r="BY1628" s="6">
        <f>IF(Grandview_Inventory[[#This Row],[pre_res]]&lt;0,0,Grandview_Inventory[[#This Row],[pre_res]]*Grandview_Inventory[[#This Row],[overall_adj]])</f>
        <v>269306.33519381424</v>
      </c>
      <c r="BZ1628" s="6">
        <f>(Grandview_Inventory[[#This Row],[sum_land]]-IF(Grandview_Inventory[[#This Row],[no_utilities]]=1,12000,0))/IF(Grandview_Inventory[[#This Row],[unbuildable]]=1,2,1)</f>
        <v>46638.847281240982</v>
      </c>
      <c r="CA162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628">
        <f>ROUND(Grandview_Inventory[[#This Row],[det_value]]*Lookups!$M$28,-2)</f>
        <v>20900</v>
      </c>
      <c r="CC1628">
        <f>IF(ROUND(Grandview_Inventory[[#This Row],[adj_res]]*Lookups!$M$28,-2)&lt;Grandview_Inventory[[#This Row],[min_res]],Grandview_Inventory[[#This Row],[min_res]],ROUND(Grandview_Inventory[[#This Row],[adj_res]]*Lookups!$M$28,-2))</f>
        <v>255800</v>
      </c>
      <c r="CD1628">
        <f>Grandview_Inventory[[#This Row],[final_det]]+Grandview_Inventory[[#This Row],[final_res]]</f>
        <v>276700</v>
      </c>
      <c r="CE1628">
        <f>Grandview_Inventory[[#This Row],[final_land]]+Grandview_Inventory[[#This Row],[final_imp]]+Grandview_Inventory[[#This Row],[crop_value]]</f>
        <v>321000</v>
      </c>
      <c r="CG1628" t="str">
        <f t="shared" si="25"/>
        <v>update valuation set market_land =44300, market_bldg=276700, market_total =321000, market_mdno =401, market_date ='9/10/2023' where link_id = (select link_id from parcel where parcel_year = '2024' and parcel_id = '23092324490');</v>
      </c>
    </row>
    <row r="1629" spans="1:85" x14ac:dyDescent="0.25">
      <c r="A1629">
        <v>23092324491</v>
      </c>
      <c r="B1629">
        <v>0.18</v>
      </c>
      <c r="C1629">
        <v>7884</v>
      </c>
      <c r="D1629" t="s">
        <v>129</v>
      </c>
      <c r="E1629" t="s">
        <v>53</v>
      </c>
      <c r="F1629" t="s">
        <v>53</v>
      </c>
      <c r="G1629">
        <v>4</v>
      </c>
      <c r="H1629" t="s">
        <v>54</v>
      </c>
      <c r="I1629">
        <v>169600</v>
      </c>
      <c r="J1629">
        <v>39300</v>
      </c>
      <c r="K1629">
        <v>0.18</v>
      </c>
      <c r="L162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629">
        <v>0</v>
      </c>
      <c r="N1629">
        <v>0</v>
      </c>
      <c r="O1629">
        <v>0</v>
      </c>
      <c r="P1629">
        <v>13398.7528</v>
      </c>
      <c r="Q1629">
        <v>63903</v>
      </c>
      <c r="R1629">
        <f>(Grandview_Inventory[[#This Row],[ln_acres]]*Grandview_Inventory[[#This Row],[coeff]])+Grandview_Inventory[[#This Row],[const]]</f>
        <v>40926.839760167699</v>
      </c>
      <c r="S1629" t="s">
        <v>61</v>
      </c>
      <c r="T1629">
        <v>1</v>
      </c>
      <c r="U1629" t="s">
        <v>70</v>
      </c>
      <c r="V1629" t="s">
        <v>67</v>
      </c>
      <c r="W1629">
        <v>0</v>
      </c>
      <c r="X1629">
        <v>0</v>
      </c>
      <c r="Y1629">
        <v>49</v>
      </c>
      <c r="Z1629">
        <v>68</v>
      </c>
      <c r="AA1629">
        <v>70</v>
      </c>
      <c r="AB1629">
        <v>1500</v>
      </c>
      <c r="AC1629">
        <v>1152</v>
      </c>
      <c r="AD1629">
        <v>1152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40</v>
      </c>
      <c r="AO1629">
        <v>0</v>
      </c>
      <c r="AP1629">
        <v>5</v>
      </c>
      <c r="AQ1629">
        <v>0</v>
      </c>
      <c r="AR1629">
        <v>0</v>
      </c>
      <c r="AS1629" t="s">
        <v>58</v>
      </c>
      <c r="AT1629">
        <v>1</v>
      </c>
      <c r="AU1629" t="s">
        <v>75</v>
      </c>
      <c r="AV1629" t="s">
        <v>60</v>
      </c>
      <c r="AW1629">
        <v>0</v>
      </c>
      <c r="AX1629">
        <v>2</v>
      </c>
      <c r="AY1629">
        <v>0</v>
      </c>
      <c r="AZ1629">
        <v>0</v>
      </c>
      <c r="BA1629">
        <v>100</v>
      </c>
      <c r="BB1629">
        <v>100</v>
      </c>
      <c r="BC1629">
        <v>100</v>
      </c>
      <c r="BD1629">
        <v>100</v>
      </c>
      <c r="BE1629">
        <v>1</v>
      </c>
      <c r="BF1629">
        <v>15000</v>
      </c>
      <c r="BG1629">
        <v>1000</v>
      </c>
      <c r="BH1629" s="6">
        <f>Grandview_Inventory[[#This Row],[land_extract]]*Lookups!$B$3</f>
        <v>47528.228511015397</v>
      </c>
      <c r="BI1629" s="6">
        <f>IF(Grandview_Inventory[[#This Row],[bldg_style]]="",0,Lookups!$B$2)</f>
        <v>155833.95000000001</v>
      </c>
      <c r="BJ1629" s="6">
        <f>_xlfn.IFNA(VLOOKUP(Grandview_Inventory[[#This Row],[quality]],Lookups!$H$2:$J$14,3,FALSE),0)</f>
        <v>10733</v>
      </c>
      <c r="BK1629" s="6">
        <f>_xlfn.IFNA(VLOOKUP(Grandview_Inventory[[#This Row],[condition]],Lookups!$H$17:$J$24,3,FALSE),0)</f>
        <v>22342</v>
      </c>
      <c r="BL1629" s="6">
        <f>Grandview_Inventory[[#This Row],[Eff_Age]]*Lookups!$B$14</f>
        <v>-11719.163399999999</v>
      </c>
      <c r="BM1629" s="6">
        <f>Grandview_Inventory[[#This Row],[living_area]]*Lookups!$B$15</f>
        <v>71862.742656000002</v>
      </c>
      <c r="BN1629" s="6">
        <f>Grandview_Inventory[[#This Row],[Fin BSMT]]*Lookups!$B$16</f>
        <v>0</v>
      </c>
      <c r="BO1629" s="6">
        <f>(Grandview_Inventory[[#This Row],[att_gar]]+Grandview_Inventory[[#This Row],[bltin_gar]])*Lookups!$B$17</f>
        <v>0</v>
      </c>
      <c r="BP1629" s="6">
        <f>Grandview_Inventory[[#This Row],[Plumbing Fixtures]]*Lookups!$B$18</f>
        <v>10052.209000000001</v>
      </c>
      <c r="BQ1629" s="6">
        <f>Grandview_Inventory[[#This Row],[detatched_value]]*Lookups!$B$19</f>
        <v>0</v>
      </c>
      <c r="BR1629" s="6">
        <f>SUM(Grandview_Inventory[[#This Row],[Intercept]:[det_value]])*Grandview_Inventory[[#This Row],[res_pct]]</f>
        <v>259104.73825600001</v>
      </c>
      <c r="BS1629" s="6">
        <f>Grandview_Inventory[[#This Row],[land_value]]</f>
        <v>47528.228511015397</v>
      </c>
      <c r="BT1629" s="4">
        <f>_xlfn.IFNA(VLOOKUP(Grandview_Inventory[[#This Row],[quality]],Lookups!$A$26:$C$33,3,FALSE),1)</f>
        <v>0.98079741117310582</v>
      </c>
      <c r="BU1629" s="4">
        <f>_xlfn.IFNA(VLOOKUP(Grandview_Inventory[[#This Row],[condition]],Lookups!$A$37:$C$44,3,FALSE),1)</f>
        <v>0.97383723671140243</v>
      </c>
      <c r="BV1629" s="4">
        <f>IF(Grandview_Inventory[[#This Row],[bldg_style]]="",1,_xlfn.IFNA(VLOOKUP(Grandview_Inventory[[#This Row],[decade]],Lookups!$F$29:$H$43,3,FALSE),1))</f>
        <v>0.99472141305414818</v>
      </c>
      <c r="BW1629" s="4">
        <f>_xlfn.IFNA(VLOOKUP(Grandview_Inventory[[#This Row],[living_area_range]],Lookups!$F$47:$H$56,3,FALSE),1)</f>
        <v>0.96135087979789358</v>
      </c>
      <c r="BX1629" s="4">
        <f>AVERAGE(Grandview_Inventory[[#This Row],[qual_adj]:[size_adj]])</f>
        <v>0.97767673518413756</v>
      </c>
      <c r="BY1629" s="6">
        <f>IF(Grandview_Inventory[[#This Row],[pre_res]]&lt;0,0,Grandview_Inventory[[#This Row],[pre_res]]*Grandview_Inventory[[#This Row],[overall_adj]])</f>
        <v>253320.67456886661</v>
      </c>
      <c r="BZ1629" s="6">
        <f>(Grandview_Inventory[[#This Row],[sum_land]]-IF(Grandview_Inventory[[#This Row],[no_utilities]]=1,12000,0))/IF(Grandview_Inventory[[#This Row],[unbuildable]]=1,2,1)</f>
        <v>47528.228511015397</v>
      </c>
      <c r="CA162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629">
        <f>ROUND(Grandview_Inventory[[#This Row],[det_value]]*Lookups!$M$28,-2)</f>
        <v>0</v>
      </c>
      <c r="CC1629">
        <f>IF(ROUND(Grandview_Inventory[[#This Row],[adj_res]]*Lookups!$M$28,-2)&lt;Grandview_Inventory[[#This Row],[min_res]],Grandview_Inventory[[#This Row],[min_res]],ROUND(Grandview_Inventory[[#This Row],[adj_res]]*Lookups!$M$28,-2))</f>
        <v>240700</v>
      </c>
      <c r="CD1629">
        <f>Grandview_Inventory[[#This Row],[final_det]]+Grandview_Inventory[[#This Row],[final_res]]</f>
        <v>240700</v>
      </c>
      <c r="CE1629">
        <f>Grandview_Inventory[[#This Row],[final_land]]+Grandview_Inventory[[#This Row],[final_imp]]+Grandview_Inventory[[#This Row],[crop_value]]</f>
        <v>285900</v>
      </c>
      <c r="CG1629" t="str">
        <f t="shared" si="25"/>
        <v>update valuation set market_land =45200, market_bldg=240700, market_total =285900, market_mdno =401, market_date ='9/10/2023' where link_id = (select link_id from parcel where parcel_year = '2024' and parcel_id = '23092324491');</v>
      </c>
    </row>
    <row r="1630" spans="1:85" x14ac:dyDescent="0.25">
      <c r="A1630">
        <v>23092331008</v>
      </c>
      <c r="B1630">
        <v>0.21</v>
      </c>
      <c r="C1630">
        <v>9000</v>
      </c>
      <c r="D1630" t="s">
        <v>129</v>
      </c>
      <c r="E1630" t="s">
        <v>53</v>
      </c>
      <c r="F1630" t="s">
        <v>53</v>
      </c>
      <c r="G1630">
        <v>4</v>
      </c>
      <c r="H1630" t="s">
        <v>54</v>
      </c>
      <c r="I1630">
        <v>182500</v>
      </c>
      <c r="J1630">
        <v>39300</v>
      </c>
      <c r="K1630">
        <v>0.21</v>
      </c>
      <c r="L163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30">
        <v>0</v>
      </c>
      <c r="N1630">
        <v>0</v>
      </c>
      <c r="O1630">
        <v>0</v>
      </c>
      <c r="P1630">
        <v>13398.7528</v>
      </c>
      <c r="Q1630">
        <v>63903</v>
      </c>
      <c r="R1630">
        <f>(Grandview_Inventory[[#This Row],[ln_acres]]*Grandview_Inventory[[#This Row],[coeff]])+Grandview_Inventory[[#This Row],[const]]</f>
        <v>42992.266613125081</v>
      </c>
      <c r="S1630" t="s">
        <v>61</v>
      </c>
      <c r="T1630">
        <v>1</v>
      </c>
      <c r="U1630" t="s">
        <v>65</v>
      </c>
      <c r="V1630" t="s">
        <v>69</v>
      </c>
      <c r="W1630">
        <v>0</v>
      </c>
      <c r="X1630">
        <v>0</v>
      </c>
      <c r="Y1630">
        <v>52</v>
      </c>
      <c r="Z1630">
        <v>88</v>
      </c>
      <c r="AA1630">
        <v>90</v>
      </c>
      <c r="AB1630">
        <v>1500</v>
      </c>
      <c r="AC1630">
        <v>1476</v>
      </c>
      <c r="AD1630">
        <v>1476</v>
      </c>
      <c r="AE1630">
        <v>0</v>
      </c>
      <c r="AF1630">
        <v>0</v>
      </c>
      <c r="AG1630">
        <v>0</v>
      </c>
      <c r="AH1630">
        <v>264</v>
      </c>
      <c r="AI1630">
        <v>0</v>
      </c>
      <c r="AJ1630">
        <v>0</v>
      </c>
      <c r="AK1630">
        <v>0</v>
      </c>
      <c r="AL1630">
        <v>80</v>
      </c>
      <c r="AM1630">
        <v>312</v>
      </c>
      <c r="AN1630">
        <v>20</v>
      </c>
      <c r="AO1630">
        <v>312</v>
      </c>
      <c r="AP1630">
        <v>8</v>
      </c>
      <c r="AQ1630">
        <v>0</v>
      </c>
      <c r="AR1630">
        <v>1</v>
      </c>
      <c r="AS1630" t="s">
        <v>71</v>
      </c>
      <c r="AT1630">
        <v>1</v>
      </c>
      <c r="AU1630" t="s">
        <v>63</v>
      </c>
      <c r="AV1630" t="s">
        <v>60</v>
      </c>
      <c r="AW1630">
        <v>1</v>
      </c>
      <c r="AX1630">
        <v>2</v>
      </c>
      <c r="AY1630">
        <v>0</v>
      </c>
      <c r="AZ1630">
        <v>3000</v>
      </c>
      <c r="BA1630">
        <v>100</v>
      </c>
      <c r="BB1630">
        <v>100</v>
      </c>
      <c r="BC1630">
        <v>100</v>
      </c>
      <c r="BD1630">
        <v>100</v>
      </c>
      <c r="BE1630">
        <v>1</v>
      </c>
      <c r="BF1630">
        <v>15000</v>
      </c>
      <c r="BG1630">
        <v>1000</v>
      </c>
      <c r="BH1630" s="6">
        <f>Grandview_Inventory[[#This Row],[land_extract]]*Lookups!$B$3</f>
        <v>49926.8031387023</v>
      </c>
      <c r="BI1630" s="6">
        <f>IF(Grandview_Inventory[[#This Row],[bldg_style]]="",0,Lookups!$B$2)</f>
        <v>155833.95000000001</v>
      </c>
      <c r="BJ1630" s="6">
        <f>_xlfn.IFNA(VLOOKUP(Grandview_Inventory[[#This Row],[quality]],Lookups!$H$2:$J$14,3,FALSE),0)</f>
        <v>2251</v>
      </c>
      <c r="BK1630" s="6">
        <f>_xlfn.IFNA(VLOOKUP(Grandview_Inventory[[#This Row],[condition]],Lookups!$H$17:$J$24,3,FALSE),0)</f>
        <v>-4503</v>
      </c>
      <c r="BL1630" s="6">
        <f>Grandview_Inventory[[#This Row],[Eff_Age]]*Lookups!$B$14</f>
        <v>-12436.663199999999</v>
      </c>
      <c r="BM1630" s="6">
        <f>Grandview_Inventory[[#This Row],[living_area]]*Lookups!$B$15</f>
        <v>92074.139028000005</v>
      </c>
      <c r="BN1630" s="6">
        <f>Grandview_Inventory[[#This Row],[Fin BSMT]]*Lookups!$B$16</f>
        <v>0</v>
      </c>
      <c r="BO1630" s="6">
        <f>(Grandview_Inventory[[#This Row],[att_gar]]+Grandview_Inventory[[#This Row],[bltin_gar]])*Lookups!$B$17</f>
        <v>0</v>
      </c>
      <c r="BP1630" s="6">
        <f>Grandview_Inventory[[#This Row],[Plumbing Fixtures]]*Lookups!$B$18</f>
        <v>16083.5344</v>
      </c>
      <c r="BQ1630" s="6">
        <f>Grandview_Inventory[[#This Row],[detatched_value]]*Lookups!$B$19</f>
        <v>2540.4153000000001</v>
      </c>
      <c r="BR1630" s="6">
        <f>SUM(Grandview_Inventory[[#This Row],[Intercept]:[det_value]])*Grandview_Inventory[[#This Row],[res_pct]]</f>
        <v>251843.375528</v>
      </c>
      <c r="BS1630" s="6">
        <f>Grandview_Inventory[[#This Row],[land_value]]</f>
        <v>49926.8031387023</v>
      </c>
      <c r="BT1630" s="4">
        <f>_xlfn.IFNA(VLOOKUP(Grandview_Inventory[[#This Row],[quality]],Lookups!$A$26:$C$33,3,FALSE),1)</f>
        <v>0.98763855981004833</v>
      </c>
      <c r="BU1630" s="4">
        <f>_xlfn.IFNA(VLOOKUP(Grandview_Inventory[[#This Row],[condition]],Lookups!$A$37:$C$44,3,FALSE),1)</f>
        <v>0.96469275950863709</v>
      </c>
      <c r="BV1630" s="4">
        <f>IF(Grandview_Inventory[[#This Row],[bldg_style]]="",1,_xlfn.IFNA(VLOOKUP(Grandview_Inventory[[#This Row],[decade]],Lookups!$F$29:$H$43,3,FALSE),1))</f>
        <v>0.94161750052457416</v>
      </c>
      <c r="BW1630" s="4">
        <f>_xlfn.IFNA(VLOOKUP(Grandview_Inventory[[#This Row],[living_area_range]],Lookups!$F$47:$H$56,3,FALSE),1)</f>
        <v>0.96135087979789358</v>
      </c>
      <c r="BX1630" s="4">
        <f>AVERAGE(Grandview_Inventory[[#This Row],[qual_adj]:[size_adj]])</f>
        <v>0.96382492491028826</v>
      </c>
      <c r="BY1630" s="6">
        <f>IF(Grandview_Inventory[[#This Row],[pre_res]]&lt;0,0,Grandview_Inventory[[#This Row],[pre_res]]*Grandview_Inventory[[#This Row],[overall_adj]])</f>
        <v>242732.92250742813</v>
      </c>
      <c r="BZ1630" s="6">
        <f>(Grandview_Inventory[[#This Row],[sum_land]]-IF(Grandview_Inventory[[#This Row],[no_utilities]]=1,12000,0))/IF(Grandview_Inventory[[#This Row],[unbuildable]]=1,2,1)</f>
        <v>49926.8031387023</v>
      </c>
      <c r="CA163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30">
        <f>ROUND(Grandview_Inventory[[#This Row],[det_value]]*Lookups!$M$28,-2)</f>
        <v>2400</v>
      </c>
      <c r="CC1630">
        <f>IF(ROUND(Grandview_Inventory[[#This Row],[adj_res]]*Lookups!$M$28,-2)&lt;Grandview_Inventory[[#This Row],[min_res]],Grandview_Inventory[[#This Row],[min_res]],ROUND(Grandview_Inventory[[#This Row],[adj_res]]*Lookups!$M$28,-2))</f>
        <v>230600</v>
      </c>
      <c r="CD1630">
        <f>Grandview_Inventory[[#This Row],[final_det]]+Grandview_Inventory[[#This Row],[final_res]]</f>
        <v>233000</v>
      </c>
      <c r="CE1630">
        <f>Grandview_Inventory[[#This Row],[final_land]]+Grandview_Inventory[[#This Row],[final_imp]]+Grandview_Inventory[[#This Row],[crop_value]]</f>
        <v>280400</v>
      </c>
      <c r="CG1630" t="str">
        <f t="shared" si="25"/>
        <v>update valuation set market_land =47400, market_bldg=233000, market_total =280400, market_mdno =401, market_date ='9/10/2023' where link_id = (select link_id from parcel where parcel_year = '2024' and parcel_id = '23092331008');</v>
      </c>
    </row>
    <row r="1631" spans="1:85" x14ac:dyDescent="0.25">
      <c r="A1631">
        <v>23092331015</v>
      </c>
      <c r="B1631">
        <v>0.63</v>
      </c>
      <c r="C1631">
        <v>27371</v>
      </c>
      <c r="D1631" t="s">
        <v>129</v>
      </c>
      <c r="E1631" t="s">
        <v>53</v>
      </c>
      <c r="F1631" t="s">
        <v>53</v>
      </c>
      <c r="G1631">
        <v>4</v>
      </c>
      <c r="H1631" t="s">
        <v>54</v>
      </c>
      <c r="I1631">
        <v>143000</v>
      </c>
      <c r="J1631">
        <v>42400</v>
      </c>
      <c r="K1631">
        <v>0.63</v>
      </c>
      <c r="L1631">
        <f>IF(Grandview_Inventory[[#This Row],[parcel_acres]]-Grandview_Inventory[[#This Row],[non_valued_acres]] =0,0,LN(Grandview_Inventory[[#This Row],[parcel_acres]]-Grandview_Inventory[[#This Row],[non_valued_acres]]))</f>
        <v>-0.46203545959655867</v>
      </c>
      <c r="M1631">
        <v>0</v>
      </c>
      <c r="N1631">
        <v>0</v>
      </c>
      <c r="O1631">
        <v>0</v>
      </c>
      <c r="P1631">
        <v>13398.7528</v>
      </c>
      <c r="Q1631">
        <v>63903</v>
      </c>
      <c r="R1631">
        <f>(Grandview_Inventory[[#This Row],[ln_acres]]*Grandview_Inventory[[#This Row],[coeff]])+Grandview_Inventory[[#This Row],[const]]</f>
        <v>57712.301092031325</v>
      </c>
      <c r="S1631" t="s">
        <v>68</v>
      </c>
      <c r="T1631">
        <v>1</v>
      </c>
      <c r="U1631" t="s">
        <v>80</v>
      </c>
      <c r="V1631" t="s">
        <v>69</v>
      </c>
      <c r="W1631">
        <v>0</v>
      </c>
      <c r="X1631">
        <v>0</v>
      </c>
      <c r="Y1631">
        <v>43</v>
      </c>
      <c r="Z1631">
        <v>93</v>
      </c>
      <c r="AA1631">
        <v>100</v>
      </c>
      <c r="AB1631">
        <v>1500</v>
      </c>
      <c r="AC1631">
        <v>1020</v>
      </c>
      <c r="AD1631">
        <v>1020</v>
      </c>
      <c r="AE1631">
        <v>0</v>
      </c>
      <c r="AF1631">
        <v>0</v>
      </c>
      <c r="AG1631">
        <v>0</v>
      </c>
      <c r="AH1631">
        <v>800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5</v>
      </c>
      <c r="AQ1631">
        <v>0</v>
      </c>
      <c r="AR1631">
        <v>0</v>
      </c>
      <c r="AS1631" t="s">
        <v>58</v>
      </c>
      <c r="AT1631">
        <v>1</v>
      </c>
      <c r="AU1631" t="s">
        <v>75</v>
      </c>
      <c r="AV1631" t="s">
        <v>60</v>
      </c>
      <c r="AW1631">
        <v>0</v>
      </c>
      <c r="AX1631">
        <v>3</v>
      </c>
      <c r="AY1631">
        <v>0</v>
      </c>
      <c r="AZ1631">
        <v>12400</v>
      </c>
      <c r="BA1631">
        <v>100</v>
      </c>
      <c r="BB1631">
        <v>100</v>
      </c>
      <c r="BC1631">
        <v>100</v>
      </c>
      <c r="BD1631">
        <v>100</v>
      </c>
      <c r="BE1631">
        <v>1</v>
      </c>
      <c r="BF1631">
        <v>15000</v>
      </c>
      <c r="BG1631">
        <v>1000</v>
      </c>
      <c r="BH1631" s="6">
        <f>Grandview_Inventory[[#This Row],[land_extract]]*Lookups!$B$3</f>
        <v>67021.139434963028</v>
      </c>
      <c r="BI1631" s="6">
        <f>IF(Grandview_Inventory[[#This Row],[bldg_style]]="",0,Lookups!$B$2)</f>
        <v>155833.95000000001</v>
      </c>
      <c r="BJ1631" s="6">
        <f>_xlfn.IFNA(VLOOKUP(Grandview_Inventory[[#This Row],[quality]],Lookups!$H$2:$J$14,3,FALSE),0)</f>
        <v>-28558</v>
      </c>
      <c r="BK1631" s="6">
        <f>_xlfn.IFNA(VLOOKUP(Grandview_Inventory[[#This Row],[condition]],Lookups!$H$17:$J$24,3,FALSE),0)</f>
        <v>-4503</v>
      </c>
      <c r="BL1631" s="6">
        <f>Grandview_Inventory[[#This Row],[Eff_Age]]*Lookups!$B$14</f>
        <v>-10284.1638</v>
      </c>
      <c r="BM1631" s="6">
        <f>Grandview_Inventory[[#This Row],[living_area]]*Lookups!$B$15</f>
        <v>63628.47006</v>
      </c>
      <c r="BN1631" s="6">
        <f>Grandview_Inventory[[#This Row],[Fin BSMT]]*Lookups!$B$16</f>
        <v>0</v>
      </c>
      <c r="BO1631" s="6">
        <f>(Grandview_Inventory[[#This Row],[att_gar]]+Grandview_Inventory[[#This Row],[bltin_gar]])*Lookups!$B$17</f>
        <v>0</v>
      </c>
      <c r="BP1631" s="6">
        <f>Grandview_Inventory[[#This Row],[Plumbing Fixtures]]*Lookups!$B$18</f>
        <v>10052.209000000001</v>
      </c>
      <c r="BQ1631" s="6">
        <f>Grandview_Inventory[[#This Row],[detatched_value]]*Lookups!$B$19</f>
        <v>10500.383239999999</v>
      </c>
      <c r="BR1631" s="6">
        <f>SUM(Grandview_Inventory[[#This Row],[Intercept]:[det_value]])*Grandview_Inventory[[#This Row],[res_pct]]</f>
        <v>196669.84850000002</v>
      </c>
      <c r="BS1631" s="6">
        <f>Grandview_Inventory[[#This Row],[land_value]]</f>
        <v>67021.139434963028</v>
      </c>
      <c r="BT1631" s="4">
        <f>_xlfn.IFNA(VLOOKUP(Grandview_Inventory[[#This Row],[quality]],Lookups!$A$26:$C$33,3,FALSE),1)</f>
        <v>0.9690360070159818</v>
      </c>
      <c r="BU1631" s="4">
        <f>_xlfn.IFNA(VLOOKUP(Grandview_Inventory[[#This Row],[condition]],Lookups!$A$37:$C$44,3,FALSE),1)</f>
        <v>0.96469275950863709</v>
      </c>
      <c r="BV1631" s="4">
        <f>IF(Grandview_Inventory[[#This Row],[bldg_style]]="",1,_xlfn.IFNA(VLOOKUP(Grandview_Inventory[[#This Row],[decade]],Lookups!$F$29:$H$43,3,FALSE),1))</f>
        <v>0.95244691841736806</v>
      </c>
      <c r="BW1631" s="4">
        <f>_xlfn.IFNA(VLOOKUP(Grandview_Inventory[[#This Row],[living_area_range]],Lookups!$F$47:$H$56,3,FALSE),1)</f>
        <v>0.96135087979789358</v>
      </c>
      <c r="BX1631" s="4">
        <f>AVERAGE(Grandview_Inventory[[#This Row],[qual_adj]:[size_adj]])</f>
        <v>0.9618816411849701</v>
      </c>
      <c r="BY1631" s="6">
        <f>IF(Grandview_Inventory[[#This Row],[pre_res]]&lt;0,0,Grandview_Inventory[[#This Row],[pre_res]]*Grandview_Inventory[[#This Row],[overall_adj]])</f>
        <v>189173.11664677944</v>
      </c>
      <c r="BZ1631" s="6">
        <f>(Grandview_Inventory[[#This Row],[sum_land]]-IF(Grandview_Inventory[[#This Row],[no_utilities]]=1,12000,0))/IF(Grandview_Inventory[[#This Row],[unbuildable]]=1,2,1)</f>
        <v>67021.139434963028</v>
      </c>
      <c r="CA1631">
        <f>IF(ROUND(Grandview_Inventory[[#This Row],[adj_land]]*Lookups!$M$28,-2)&lt;Grandview_Inventory[[#This Row],[min_land]],Grandview_Inventory[[#This Row],[min_land]],ROUND(Grandview_Inventory[[#This Row],[adj_land]]*Lookups!$M$28,-2))</f>
        <v>63700</v>
      </c>
      <c r="CB1631">
        <f>ROUND(Grandview_Inventory[[#This Row],[det_value]]*Lookups!$M$28,-2)</f>
        <v>10000</v>
      </c>
      <c r="CC1631">
        <f>IF(ROUND(Grandview_Inventory[[#This Row],[adj_res]]*Lookups!$M$28,-2)&lt;Grandview_Inventory[[#This Row],[min_res]],Grandview_Inventory[[#This Row],[min_res]],ROUND(Grandview_Inventory[[#This Row],[adj_res]]*Lookups!$M$28,-2))</f>
        <v>179700</v>
      </c>
      <c r="CD1631">
        <f>Grandview_Inventory[[#This Row],[final_det]]+Grandview_Inventory[[#This Row],[final_res]]</f>
        <v>189700</v>
      </c>
      <c r="CE1631">
        <f>Grandview_Inventory[[#This Row],[final_land]]+Grandview_Inventory[[#This Row],[final_imp]]+Grandview_Inventory[[#This Row],[crop_value]]</f>
        <v>253400</v>
      </c>
      <c r="CG1631" t="str">
        <f t="shared" si="25"/>
        <v>update valuation set market_land =63700, market_bldg=189700, market_total =253400, market_mdno =401, market_date ='9/10/2023' where link_id = (select link_id from parcel where parcel_year = '2024' and parcel_id = '23092331015');</v>
      </c>
    </row>
    <row r="1632" spans="1:85" x14ac:dyDescent="0.25">
      <c r="A1632">
        <v>23092331017</v>
      </c>
      <c r="B1632">
        <v>0.19</v>
      </c>
      <c r="C1632">
        <v>8461</v>
      </c>
      <c r="D1632" t="s">
        <v>129</v>
      </c>
      <c r="E1632" t="s">
        <v>53</v>
      </c>
      <c r="F1632" t="s">
        <v>53</v>
      </c>
      <c r="G1632">
        <v>4</v>
      </c>
      <c r="H1632" t="s">
        <v>54</v>
      </c>
      <c r="I1632">
        <v>66300</v>
      </c>
      <c r="J1632">
        <v>39100</v>
      </c>
      <c r="K1632">
        <v>0.19</v>
      </c>
      <c r="L163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632">
        <v>0</v>
      </c>
      <c r="N1632">
        <v>0</v>
      </c>
      <c r="O1632">
        <v>0</v>
      </c>
      <c r="P1632">
        <v>13398.7528</v>
      </c>
      <c r="Q1632">
        <v>63903</v>
      </c>
      <c r="R1632">
        <f>(Grandview_Inventory[[#This Row],[ln_acres]]*Grandview_Inventory[[#This Row],[coeff]])+Grandview_Inventory[[#This Row],[const]]</f>
        <v>41651.273092551026</v>
      </c>
      <c r="S1632" t="s">
        <v>68</v>
      </c>
      <c r="T1632">
        <v>1</v>
      </c>
      <c r="U1632" t="s">
        <v>80</v>
      </c>
      <c r="V1632" t="s">
        <v>78</v>
      </c>
      <c r="W1632">
        <v>0</v>
      </c>
      <c r="X1632">
        <v>0</v>
      </c>
      <c r="Y1632">
        <v>51</v>
      </c>
      <c r="Z1632">
        <v>83</v>
      </c>
      <c r="AA1632">
        <v>90</v>
      </c>
      <c r="AB1632">
        <v>1000</v>
      </c>
      <c r="AC1632">
        <v>624</v>
      </c>
      <c r="AD1632">
        <v>624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20</v>
      </c>
      <c r="AO1632">
        <v>0</v>
      </c>
      <c r="AP1632">
        <v>5</v>
      </c>
      <c r="AQ1632">
        <v>0</v>
      </c>
      <c r="AR1632">
        <v>0</v>
      </c>
      <c r="AS1632" t="s">
        <v>71</v>
      </c>
      <c r="AT1632">
        <v>0</v>
      </c>
      <c r="AU1632" t="s">
        <v>82</v>
      </c>
      <c r="AV1632" t="s">
        <v>60</v>
      </c>
      <c r="AW1632">
        <v>0</v>
      </c>
      <c r="AX1632">
        <v>2</v>
      </c>
      <c r="AY1632">
        <v>0</v>
      </c>
      <c r="AZ1632">
        <v>0</v>
      </c>
      <c r="BA1632">
        <v>100</v>
      </c>
      <c r="BB1632">
        <v>100</v>
      </c>
      <c r="BC1632">
        <v>100</v>
      </c>
      <c r="BD1632">
        <v>100</v>
      </c>
      <c r="BE1632">
        <v>1</v>
      </c>
      <c r="BF1632">
        <v>15000</v>
      </c>
      <c r="BG1632">
        <v>1000</v>
      </c>
      <c r="BH1632" s="6">
        <f>Grandview_Inventory[[#This Row],[land_extract]]*Lookups!$B$3</f>
        <v>48369.510983942157</v>
      </c>
      <c r="BI1632" s="6">
        <f>IF(Grandview_Inventory[[#This Row],[bldg_style]]="",0,Lookups!$B$2)</f>
        <v>155833.95000000001</v>
      </c>
      <c r="BJ1632" s="6">
        <f>_xlfn.IFNA(VLOOKUP(Grandview_Inventory[[#This Row],[quality]],Lookups!$H$2:$J$14,3,FALSE),0)</f>
        <v>-28558</v>
      </c>
      <c r="BK1632" s="6">
        <f>_xlfn.IFNA(VLOOKUP(Grandview_Inventory[[#This Row],[condition]],Lookups!$H$17:$J$24,3,FALSE),0)</f>
        <v>-45357</v>
      </c>
      <c r="BL1632" s="6">
        <f>Grandview_Inventory[[#This Row],[Eff_Age]]*Lookups!$B$14</f>
        <v>-12197.496599999999</v>
      </c>
      <c r="BM1632" s="6">
        <f>Grandview_Inventory[[#This Row],[living_area]]*Lookups!$B$15</f>
        <v>38925.652271999999</v>
      </c>
      <c r="BN1632" s="6">
        <f>Grandview_Inventory[[#This Row],[Fin BSMT]]*Lookups!$B$16</f>
        <v>0</v>
      </c>
      <c r="BO1632" s="6">
        <f>(Grandview_Inventory[[#This Row],[att_gar]]+Grandview_Inventory[[#This Row],[bltin_gar]])*Lookups!$B$17</f>
        <v>0</v>
      </c>
      <c r="BP1632" s="6">
        <f>Grandview_Inventory[[#This Row],[Plumbing Fixtures]]*Lookups!$B$18</f>
        <v>10052.209000000001</v>
      </c>
      <c r="BQ1632" s="6">
        <f>Grandview_Inventory[[#This Row],[detatched_value]]*Lookups!$B$19</f>
        <v>0</v>
      </c>
      <c r="BR1632" s="6">
        <f>SUM(Grandview_Inventory[[#This Row],[Intercept]:[det_value]])*Grandview_Inventory[[#This Row],[res_pct]]</f>
        <v>118699.31467200001</v>
      </c>
      <c r="BS1632" s="6">
        <f>Grandview_Inventory[[#This Row],[land_value]]</f>
        <v>48369.510983942157</v>
      </c>
      <c r="BT1632" s="4">
        <f>_xlfn.IFNA(VLOOKUP(Grandview_Inventory[[#This Row],[quality]],Lookups!$A$26:$C$33,3,FALSE),1)</f>
        <v>0.9690360070159818</v>
      </c>
      <c r="BU1632" s="4">
        <f>_xlfn.IFNA(VLOOKUP(Grandview_Inventory[[#This Row],[condition]],Lookups!$A$37:$C$44,3,FALSE),1)</f>
        <v>0.97161819570155394</v>
      </c>
      <c r="BV1632" s="4">
        <f>IF(Grandview_Inventory[[#This Row],[bldg_style]]="",1,_xlfn.IFNA(VLOOKUP(Grandview_Inventory[[#This Row],[decade]],Lookups!$F$29:$H$43,3,FALSE),1))</f>
        <v>0.94161750052457416</v>
      </c>
      <c r="BW1632" s="4">
        <f>_xlfn.IFNA(VLOOKUP(Grandview_Inventory[[#This Row],[living_area_range]],Lookups!$F$47:$H$56,3,FALSE),1)</f>
        <v>0.94306777142782894</v>
      </c>
      <c r="BX1632" s="4">
        <f>AVERAGE(Grandview_Inventory[[#This Row],[qual_adj]:[size_adj]])</f>
        <v>0.95633486866748474</v>
      </c>
      <c r="BY1632" s="6">
        <f>IF(Grandview_Inventory[[#This Row],[pre_res]]&lt;0,0,Grandview_Inventory[[#This Row],[pre_res]]*Grandview_Inventory[[#This Row],[overall_adj]])</f>
        <v>113516.29350776756</v>
      </c>
      <c r="BZ1632" s="6">
        <f>(Grandview_Inventory[[#This Row],[sum_land]]-IF(Grandview_Inventory[[#This Row],[no_utilities]]=1,12000,0))/IF(Grandview_Inventory[[#This Row],[unbuildable]]=1,2,1)</f>
        <v>48369.510983942157</v>
      </c>
      <c r="CA163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632">
        <f>ROUND(Grandview_Inventory[[#This Row],[det_value]]*Lookups!$M$28,-2)</f>
        <v>0</v>
      </c>
      <c r="CC1632">
        <f>IF(ROUND(Grandview_Inventory[[#This Row],[adj_res]]*Lookups!$M$28,-2)&lt;Grandview_Inventory[[#This Row],[min_res]],Grandview_Inventory[[#This Row],[min_res]],ROUND(Grandview_Inventory[[#This Row],[adj_res]]*Lookups!$M$28,-2))</f>
        <v>107800</v>
      </c>
      <c r="CD1632">
        <f>Grandview_Inventory[[#This Row],[final_det]]+Grandview_Inventory[[#This Row],[final_res]]</f>
        <v>107800</v>
      </c>
      <c r="CE1632">
        <f>Grandview_Inventory[[#This Row],[final_land]]+Grandview_Inventory[[#This Row],[final_imp]]+Grandview_Inventory[[#This Row],[crop_value]]</f>
        <v>153800</v>
      </c>
      <c r="CG1632" t="str">
        <f t="shared" si="25"/>
        <v>update valuation set market_land =46000, market_bldg=107800, market_total =153800, market_mdno =401, market_date ='9/10/2023' where link_id = (select link_id from parcel where parcel_year = '2024' and parcel_id = '23092331017');</v>
      </c>
    </row>
    <row r="1633" spans="1:85" x14ac:dyDescent="0.25">
      <c r="A1633">
        <v>23092331018</v>
      </c>
      <c r="B1633">
        <v>0.35</v>
      </c>
      <c r="C1633">
        <v>15039</v>
      </c>
      <c r="D1633" t="s">
        <v>129</v>
      </c>
      <c r="E1633" t="s">
        <v>53</v>
      </c>
      <c r="F1633" t="s">
        <v>53</v>
      </c>
      <c r="G1633">
        <v>4</v>
      </c>
      <c r="H1633" t="s">
        <v>54</v>
      </c>
      <c r="I1633">
        <v>294800</v>
      </c>
      <c r="J1633">
        <v>41200</v>
      </c>
      <c r="K1633">
        <v>0.35</v>
      </c>
      <c r="L1633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633">
        <v>0</v>
      </c>
      <c r="N1633">
        <v>0</v>
      </c>
      <c r="O1633">
        <v>0</v>
      </c>
      <c r="P1633">
        <v>13398.7528</v>
      </c>
      <c r="Q1633">
        <v>63903</v>
      </c>
      <c r="R1633">
        <f>(Grandview_Inventory[[#This Row],[ln_acres]]*Grandview_Inventory[[#This Row],[coeff]])+Grandview_Inventory[[#This Row],[const]]</f>
        <v>49836.692869871389</v>
      </c>
      <c r="S1633" t="s">
        <v>55</v>
      </c>
      <c r="T1633">
        <v>1</v>
      </c>
      <c r="U1633" t="s">
        <v>64</v>
      </c>
      <c r="V1633" t="s">
        <v>57</v>
      </c>
      <c r="W1633">
        <v>0</v>
      </c>
      <c r="X1633">
        <v>0</v>
      </c>
      <c r="Y1633">
        <v>1</v>
      </c>
      <c r="Z1633">
        <v>1</v>
      </c>
      <c r="AA1633">
        <v>10</v>
      </c>
      <c r="AB1633">
        <v>2500</v>
      </c>
      <c r="AC1633">
        <v>2170</v>
      </c>
      <c r="AD1633">
        <v>2170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160</v>
      </c>
      <c r="AO1633">
        <v>0</v>
      </c>
      <c r="AP1633">
        <v>13</v>
      </c>
      <c r="AQ1633">
        <v>0</v>
      </c>
      <c r="AR1633">
        <v>0</v>
      </c>
      <c r="AS1633" t="s">
        <v>58</v>
      </c>
      <c r="AT1633">
        <v>1</v>
      </c>
      <c r="AU1633" t="s">
        <v>59</v>
      </c>
      <c r="AV1633" t="s">
        <v>60</v>
      </c>
      <c r="AW1633">
        <v>1</v>
      </c>
      <c r="AX1633">
        <v>4</v>
      </c>
      <c r="AY1633">
        <v>0</v>
      </c>
      <c r="AZ1633">
        <v>0</v>
      </c>
      <c r="BA1633">
        <v>100</v>
      </c>
      <c r="BB1633">
        <v>100</v>
      </c>
      <c r="BC1633">
        <v>100</v>
      </c>
      <c r="BD1633">
        <v>100</v>
      </c>
      <c r="BE1633">
        <v>1</v>
      </c>
      <c r="BF1633">
        <v>15000</v>
      </c>
      <c r="BG1633">
        <v>1000</v>
      </c>
      <c r="BH1633" s="6">
        <f>Grandview_Inventory[[#This Row],[land_extract]]*Lookups!$B$3</f>
        <v>57875.216870710894</v>
      </c>
      <c r="BI1633" s="6">
        <f>IF(Grandview_Inventory[[#This Row],[bldg_style]]="",0,Lookups!$B$2)</f>
        <v>155833.95000000001</v>
      </c>
      <c r="BJ1633" s="6">
        <f>_xlfn.IFNA(VLOOKUP(Grandview_Inventory[[#This Row],[quality]],Lookups!$H$2:$J$14,3,FALSE),0)</f>
        <v>20768</v>
      </c>
      <c r="BK1633" s="6">
        <f>_xlfn.IFNA(VLOOKUP(Grandview_Inventory[[#This Row],[condition]],Lookups!$H$17:$J$24,3,FALSE),0)</f>
        <v>25780</v>
      </c>
      <c r="BL1633" s="6">
        <f>Grandview_Inventory[[#This Row],[Eff_Age]]*Lookups!$B$14</f>
        <v>-239.16659999999999</v>
      </c>
      <c r="BM1633" s="6">
        <f>Grandview_Inventory[[#This Row],[living_area]]*Lookups!$B$15</f>
        <v>135366.45100999999</v>
      </c>
      <c r="BN1633" s="6">
        <f>Grandview_Inventory[[#This Row],[Fin BSMT]]*Lookups!$B$16</f>
        <v>0</v>
      </c>
      <c r="BO1633" s="6">
        <f>(Grandview_Inventory[[#This Row],[att_gar]]+Grandview_Inventory[[#This Row],[bltin_gar]])*Lookups!$B$17</f>
        <v>0</v>
      </c>
      <c r="BP1633" s="6">
        <f>Grandview_Inventory[[#This Row],[Plumbing Fixtures]]*Lookups!$B$18</f>
        <v>26135.743399999999</v>
      </c>
      <c r="BQ1633" s="6">
        <f>Grandview_Inventory[[#This Row],[detatched_value]]*Lookups!$B$19</f>
        <v>0</v>
      </c>
      <c r="BR1633" s="6">
        <f>SUM(Grandview_Inventory[[#This Row],[Intercept]:[det_value]])*Grandview_Inventory[[#This Row],[res_pct]]</f>
        <v>363644.97781000001</v>
      </c>
      <c r="BS1633" s="6">
        <f>Grandview_Inventory[[#This Row],[land_value]]</f>
        <v>57875.216870710894</v>
      </c>
      <c r="BT1633" s="4">
        <f>_xlfn.IFNA(VLOOKUP(Grandview_Inventory[[#This Row],[quality]],Lookups!$A$26:$C$33,3,FALSE),1)</f>
        <v>0.94960540378902636</v>
      </c>
      <c r="BU1633" s="4">
        <f>_xlfn.IFNA(VLOOKUP(Grandview_Inventory[[#This Row],[condition]],Lookups!$A$37:$C$44,3,FALSE),1)</f>
        <v>0.94347925387812148</v>
      </c>
      <c r="BV1633" s="4">
        <f>IF(Grandview_Inventory[[#This Row],[bldg_style]]="",1,_xlfn.IFNA(VLOOKUP(Grandview_Inventory[[#This Row],[decade]],Lookups!$F$29:$H$43,3,FALSE),1))</f>
        <v>0.94601966599150278</v>
      </c>
      <c r="BW1633" s="4">
        <f>_xlfn.IFNA(VLOOKUP(Grandview_Inventory[[#This Row],[living_area_range]],Lookups!$F$47:$H$56,3,FALSE),1)</f>
        <v>0.95799442568048754</v>
      </c>
      <c r="BX1633" s="4">
        <f>AVERAGE(Grandview_Inventory[[#This Row],[qual_adj]:[size_adj]])</f>
        <v>0.94927468733478459</v>
      </c>
      <c r="BY1633" s="6">
        <f>IF(Grandview_Inventory[[#This Row],[pre_res]]&lt;0,0,Grandview_Inventory[[#This Row],[pre_res]]*Grandview_Inventory[[#This Row],[overall_adj]])</f>
        <v>345198.97261145245</v>
      </c>
      <c r="BZ1633" s="6">
        <f>(Grandview_Inventory[[#This Row],[sum_land]]-IF(Grandview_Inventory[[#This Row],[no_utilities]]=1,12000,0))/IF(Grandview_Inventory[[#This Row],[unbuildable]]=1,2,1)</f>
        <v>57875.216870710894</v>
      </c>
      <c r="CA1633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633">
        <f>ROUND(Grandview_Inventory[[#This Row],[det_value]]*Lookups!$M$28,-2)</f>
        <v>0</v>
      </c>
      <c r="CC1633">
        <f>IF(ROUND(Grandview_Inventory[[#This Row],[adj_res]]*Lookups!$M$28,-2)&lt;Grandview_Inventory[[#This Row],[min_res]],Grandview_Inventory[[#This Row],[min_res]],ROUND(Grandview_Inventory[[#This Row],[adj_res]]*Lookups!$M$28,-2))</f>
        <v>327900</v>
      </c>
      <c r="CD1633">
        <f>Grandview_Inventory[[#This Row],[final_det]]+Grandview_Inventory[[#This Row],[final_res]]</f>
        <v>327900</v>
      </c>
      <c r="CE1633">
        <f>Grandview_Inventory[[#This Row],[final_land]]+Grandview_Inventory[[#This Row],[final_imp]]+Grandview_Inventory[[#This Row],[crop_value]]</f>
        <v>382900</v>
      </c>
      <c r="CG1633" t="str">
        <f t="shared" si="25"/>
        <v>update valuation set market_land =55000, market_bldg=327900, market_total =382900, market_mdno =401, market_date ='9/10/2023' where link_id = (select link_id from parcel where parcel_year = '2024' and parcel_id = '23092331018');</v>
      </c>
    </row>
    <row r="1634" spans="1:85" x14ac:dyDescent="0.25">
      <c r="A1634">
        <v>23092331019</v>
      </c>
      <c r="B1634">
        <v>0.35</v>
      </c>
      <c r="C1634">
        <v>15227</v>
      </c>
      <c r="D1634" t="s">
        <v>129</v>
      </c>
      <c r="E1634" t="s">
        <v>53</v>
      </c>
      <c r="F1634" t="s">
        <v>53</v>
      </c>
      <c r="G1634">
        <v>4</v>
      </c>
      <c r="H1634" t="s">
        <v>54</v>
      </c>
      <c r="I1634">
        <v>169700</v>
      </c>
      <c r="J1634">
        <v>41200</v>
      </c>
      <c r="K1634">
        <v>0.35</v>
      </c>
      <c r="L1634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634">
        <v>0</v>
      </c>
      <c r="N1634">
        <v>0</v>
      </c>
      <c r="O1634">
        <v>0</v>
      </c>
      <c r="P1634">
        <v>13398.7528</v>
      </c>
      <c r="Q1634">
        <v>63903</v>
      </c>
      <c r="R1634">
        <f>(Grandview_Inventory[[#This Row],[ln_acres]]*Grandview_Inventory[[#This Row],[coeff]])+Grandview_Inventory[[#This Row],[const]]</f>
        <v>49836.692869871389</v>
      </c>
      <c r="S1634" t="s">
        <v>85</v>
      </c>
      <c r="T1634">
        <v>1</v>
      </c>
      <c r="U1634" t="s">
        <v>70</v>
      </c>
      <c r="V1634" t="s">
        <v>66</v>
      </c>
      <c r="W1634">
        <v>0</v>
      </c>
      <c r="X1634">
        <v>0</v>
      </c>
      <c r="Y1634">
        <v>33</v>
      </c>
      <c r="Z1634">
        <v>103</v>
      </c>
      <c r="AA1634">
        <v>110</v>
      </c>
      <c r="AB1634">
        <v>1000</v>
      </c>
      <c r="AC1634">
        <v>768</v>
      </c>
      <c r="AD1634">
        <v>768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288</v>
      </c>
      <c r="AN1634">
        <v>0</v>
      </c>
      <c r="AO1634">
        <v>288</v>
      </c>
      <c r="AP1634">
        <v>5</v>
      </c>
      <c r="AQ1634">
        <v>0</v>
      </c>
      <c r="AR1634">
        <v>0</v>
      </c>
      <c r="AS1634" t="s">
        <v>58</v>
      </c>
      <c r="AT1634">
        <v>1</v>
      </c>
      <c r="AU1634" t="s">
        <v>59</v>
      </c>
      <c r="AV1634" t="s">
        <v>60</v>
      </c>
      <c r="AW1634">
        <v>1</v>
      </c>
      <c r="AX1634">
        <v>3</v>
      </c>
      <c r="AY1634">
        <v>0</v>
      </c>
      <c r="AZ1634">
        <v>4400</v>
      </c>
      <c r="BA1634">
        <v>100</v>
      </c>
      <c r="BB1634">
        <v>100</v>
      </c>
      <c r="BC1634">
        <v>100</v>
      </c>
      <c r="BD1634">
        <v>100</v>
      </c>
      <c r="BE1634">
        <v>1</v>
      </c>
      <c r="BF1634">
        <v>15000</v>
      </c>
      <c r="BG1634">
        <v>1000</v>
      </c>
      <c r="BH1634" s="6">
        <f>Grandview_Inventory[[#This Row],[land_extract]]*Lookups!$B$3</f>
        <v>57875.216870710894</v>
      </c>
      <c r="BI1634" s="6">
        <f>IF(Grandview_Inventory[[#This Row],[bldg_style]]="",0,Lookups!$B$2)</f>
        <v>155833.95000000001</v>
      </c>
      <c r="BJ1634" s="6">
        <f>_xlfn.IFNA(VLOOKUP(Grandview_Inventory[[#This Row],[quality]],Lookups!$H$2:$J$14,3,FALSE),0)</f>
        <v>10733</v>
      </c>
      <c r="BK1634" s="6">
        <f>_xlfn.IFNA(VLOOKUP(Grandview_Inventory[[#This Row],[condition]],Lookups!$H$17:$J$24,3,FALSE),0)</f>
        <v>25818</v>
      </c>
      <c r="BL1634" s="6">
        <f>Grandview_Inventory[[#This Row],[Eff_Age]]*Lookups!$B$14</f>
        <v>-7892.4977999999992</v>
      </c>
      <c r="BM1634" s="6">
        <f>Grandview_Inventory[[#This Row],[living_area]]*Lookups!$B$15</f>
        <v>47908.495104000001</v>
      </c>
      <c r="BN1634" s="6">
        <f>Grandview_Inventory[[#This Row],[Fin BSMT]]*Lookups!$B$16</f>
        <v>0</v>
      </c>
      <c r="BO1634" s="6">
        <f>(Grandview_Inventory[[#This Row],[att_gar]]+Grandview_Inventory[[#This Row],[bltin_gar]])*Lookups!$B$17</f>
        <v>0</v>
      </c>
      <c r="BP1634" s="6">
        <f>Grandview_Inventory[[#This Row],[Plumbing Fixtures]]*Lookups!$B$18</f>
        <v>10052.209000000001</v>
      </c>
      <c r="BQ1634" s="6">
        <f>Grandview_Inventory[[#This Row],[detatched_value]]*Lookups!$B$19</f>
        <v>3725.9424399999998</v>
      </c>
      <c r="BR1634" s="6">
        <f>SUM(Grandview_Inventory[[#This Row],[Intercept]:[det_value]])*Grandview_Inventory[[#This Row],[res_pct]]</f>
        <v>246179.09874400002</v>
      </c>
      <c r="BS1634" s="6">
        <f>Grandview_Inventory[[#This Row],[land_value]]</f>
        <v>57875.216870710894</v>
      </c>
      <c r="BT1634" s="4">
        <f>_xlfn.IFNA(VLOOKUP(Grandview_Inventory[[#This Row],[quality]],Lookups!$A$26:$C$33,3,FALSE),1)</f>
        <v>0.98079741117310582</v>
      </c>
      <c r="BU1634" s="4">
        <f>_xlfn.IFNA(VLOOKUP(Grandview_Inventory[[#This Row],[condition]],Lookups!$A$37:$C$44,3,FALSE),1)</f>
        <v>0.96661476234146892</v>
      </c>
      <c r="BV1634" s="4">
        <f>IF(Grandview_Inventory[[#This Row],[bldg_style]]="",1,_xlfn.IFNA(VLOOKUP(Grandview_Inventory[[#This Row],[decade]],Lookups!$F$29:$H$43,3,FALSE),1))</f>
        <v>0.92255236374249616</v>
      </c>
      <c r="BW1634" s="4">
        <f>_xlfn.IFNA(VLOOKUP(Grandview_Inventory[[#This Row],[living_area_range]],Lookups!$F$47:$H$56,3,FALSE),1)</f>
        <v>0.94306777142782894</v>
      </c>
      <c r="BX1634" s="4">
        <f>AVERAGE(Grandview_Inventory[[#This Row],[qual_adj]:[size_adj]])</f>
        <v>0.9532580771712249</v>
      </c>
      <c r="BY1634" s="6">
        <f>IF(Grandview_Inventory[[#This Row],[pre_res]]&lt;0,0,Grandview_Inventory[[#This Row],[pre_res]]*Grandview_Inventory[[#This Row],[overall_adj]])</f>
        <v>234672.21430845055</v>
      </c>
      <c r="BZ1634" s="6">
        <f>(Grandview_Inventory[[#This Row],[sum_land]]-IF(Grandview_Inventory[[#This Row],[no_utilities]]=1,12000,0))/IF(Grandview_Inventory[[#This Row],[unbuildable]]=1,2,1)</f>
        <v>57875.216870710894</v>
      </c>
      <c r="CA1634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634">
        <f>ROUND(Grandview_Inventory[[#This Row],[det_value]]*Lookups!$M$28,-2)</f>
        <v>3500</v>
      </c>
      <c r="CC1634">
        <f>IF(ROUND(Grandview_Inventory[[#This Row],[adj_res]]*Lookups!$M$28,-2)&lt;Grandview_Inventory[[#This Row],[min_res]],Grandview_Inventory[[#This Row],[min_res]],ROUND(Grandview_Inventory[[#This Row],[adj_res]]*Lookups!$M$28,-2))</f>
        <v>222900</v>
      </c>
      <c r="CD1634">
        <f>Grandview_Inventory[[#This Row],[final_det]]+Grandview_Inventory[[#This Row],[final_res]]</f>
        <v>226400</v>
      </c>
      <c r="CE1634">
        <f>Grandview_Inventory[[#This Row],[final_land]]+Grandview_Inventory[[#This Row],[final_imp]]+Grandview_Inventory[[#This Row],[crop_value]]</f>
        <v>281400</v>
      </c>
      <c r="CG1634" t="str">
        <f t="shared" si="25"/>
        <v>update valuation set market_land =55000, market_bldg=226400, market_total =281400, market_mdno =401, market_date ='9/10/2023' where link_id = (select link_id from parcel where parcel_year = '2024' and parcel_id = '23092331019');</v>
      </c>
    </row>
    <row r="1635" spans="1:85" x14ac:dyDescent="0.25">
      <c r="A1635">
        <v>23092331020</v>
      </c>
      <c r="B1635">
        <v>0.32</v>
      </c>
      <c r="C1635">
        <v>13929</v>
      </c>
      <c r="D1635" t="s">
        <v>129</v>
      </c>
      <c r="E1635" t="s">
        <v>53</v>
      </c>
      <c r="F1635" t="s">
        <v>53</v>
      </c>
      <c r="G1635">
        <v>4</v>
      </c>
      <c r="H1635" t="s">
        <v>54</v>
      </c>
      <c r="I1635">
        <v>98200</v>
      </c>
      <c r="J1635">
        <v>41200</v>
      </c>
      <c r="K1635">
        <v>0.32</v>
      </c>
      <c r="L1635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635">
        <v>0</v>
      </c>
      <c r="N1635">
        <v>0</v>
      </c>
      <c r="O1635">
        <v>0</v>
      </c>
      <c r="P1635">
        <v>13398.7528</v>
      </c>
      <c r="Q1635">
        <v>63903</v>
      </c>
      <c r="R1635">
        <f>(Grandview_Inventory[[#This Row],[ln_acres]]*Grandview_Inventory[[#This Row],[coeff]])+Grandview_Inventory[[#This Row],[const]]</f>
        <v>48636.001707713905</v>
      </c>
      <c r="S1635" t="s">
        <v>68</v>
      </c>
      <c r="T1635">
        <v>1</v>
      </c>
      <c r="U1635" t="s">
        <v>83</v>
      </c>
      <c r="V1635" t="s">
        <v>78</v>
      </c>
      <c r="W1635">
        <v>0</v>
      </c>
      <c r="X1635">
        <v>0</v>
      </c>
      <c r="Y1635">
        <v>75</v>
      </c>
      <c r="Z1635">
        <v>123</v>
      </c>
      <c r="AA1635">
        <v>130</v>
      </c>
      <c r="AB1635">
        <v>1500</v>
      </c>
      <c r="AC1635">
        <v>1004</v>
      </c>
      <c r="AD1635">
        <v>1004</v>
      </c>
      <c r="AE1635">
        <v>0</v>
      </c>
      <c r="AF1635">
        <v>0</v>
      </c>
      <c r="AG1635">
        <v>0</v>
      </c>
      <c r="AH1635">
        <v>988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5</v>
      </c>
      <c r="AQ1635">
        <v>0</v>
      </c>
      <c r="AR1635">
        <v>0</v>
      </c>
      <c r="AS1635" t="s">
        <v>58</v>
      </c>
      <c r="AT1635">
        <v>1</v>
      </c>
      <c r="AU1635" t="s">
        <v>75</v>
      </c>
      <c r="AV1635" t="s">
        <v>60</v>
      </c>
      <c r="AW1635">
        <v>0</v>
      </c>
      <c r="AX1635">
        <v>3</v>
      </c>
      <c r="AY1635">
        <v>0</v>
      </c>
      <c r="AZ1635">
        <v>6300</v>
      </c>
      <c r="BA1635">
        <v>100</v>
      </c>
      <c r="BB1635">
        <v>100</v>
      </c>
      <c r="BC1635">
        <v>100</v>
      </c>
      <c r="BD1635">
        <v>100</v>
      </c>
      <c r="BE1635">
        <v>1</v>
      </c>
      <c r="BF1635">
        <v>15000</v>
      </c>
      <c r="BG1635">
        <v>1000</v>
      </c>
      <c r="BH1635" s="6">
        <f>Grandview_Inventory[[#This Row],[land_extract]]*Lookups!$B$3</f>
        <v>56480.857465963549</v>
      </c>
      <c r="BI1635" s="6">
        <f>IF(Grandview_Inventory[[#This Row],[bldg_style]]="",0,Lookups!$B$2)</f>
        <v>155833.95000000001</v>
      </c>
      <c r="BJ1635" s="6">
        <f>_xlfn.IFNA(VLOOKUP(Grandview_Inventory[[#This Row],[quality]],Lookups!$H$2:$J$14,3,FALSE),0)</f>
        <v>-28558</v>
      </c>
      <c r="BK1635" s="6">
        <f>_xlfn.IFNA(VLOOKUP(Grandview_Inventory[[#This Row],[condition]],Lookups!$H$17:$J$24,3,FALSE),0)</f>
        <v>-45357</v>
      </c>
      <c r="BL1635" s="6">
        <f>Grandview_Inventory[[#This Row],[Eff_Age]]*Lookups!$B$14</f>
        <v>-17937.494999999999</v>
      </c>
      <c r="BM1635" s="6">
        <f>Grandview_Inventory[[#This Row],[living_area]]*Lookups!$B$15</f>
        <v>62630.376412000005</v>
      </c>
      <c r="BN1635" s="6">
        <f>Grandview_Inventory[[#This Row],[Fin BSMT]]*Lookups!$B$16</f>
        <v>0</v>
      </c>
      <c r="BO1635" s="6">
        <f>(Grandview_Inventory[[#This Row],[att_gar]]+Grandview_Inventory[[#This Row],[bltin_gar]])*Lookups!$B$17</f>
        <v>0</v>
      </c>
      <c r="BP1635" s="6">
        <f>Grandview_Inventory[[#This Row],[Plumbing Fixtures]]*Lookups!$B$18</f>
        <v>10052.209000000001</v>
      </c>
      <c r="BQ1635" s="6">
        <f>Grandview_Inventory[[#This Row],[detatched_value]]*Lookups!$B$19</f>
        <v>5334.8721299999997</v>
      </c>
      <c r="BR1635" s="6">
        <f>SUM(Grandview_Inventory[[#This Row],[Intercept]:[det_value]])*Grandview_Inventory[[#This Row],[res_pct]]</f>
        <v>141998.91254200003</v>
      </c>
      <c r="BS1635" s="6">
        <f>Grandview_Inventory[[#This Row],[land_value]]</f>
        <v>56480.857465963549</v>
      </c>
      <c r="BT1635" s="4">
        <f>_xlfn.IFNA(VLOOKUP(Grandview_Inventory[[#This Row],[quality]],Lookups!$A$26:$C$33,3,FALSE),1)</f>
        <v>0.96329552998502799</v>
      </c>
      <c r="BU1635" s="4">
        <f>_xlfn.IFNA(VLOOKUP(Grandview_Inventory[[#This Row],[condition]],Lookups!$A$37:$C$44,3,FALSE),1)</f>
        <v>0.97161819570155394</v>
      </c>
      <c r="BV1635" s="4">
        <f>IF(Grandview_Inventory[[#This Row],[bldg_style]]="",1,_xlfn.IFNA(VLOOKUP(Grandview_Inventory[[#This Row],[decade]],Lookups!$F$29:$H$43,3,FALSE),1))</f>
        <v>0.9251738460551937</v>
      </c>
      <c r="BW1635" s="4">
        <f>_xlfn.IFNA(VLOOKUP(Grandview_Inventory[[#This Row],[living_area_range]],Lookups!$F$47:$H$56,3,FALSE),1)</f>
        <v>0.96135087979789358</v>
      </c>
      <c r="BX1635" s="4">
        <f>AVERAGE(Grandview_Inventory[[#This Row],[qual_adj]:[size_adj]])</f>
        <v>0.95535961288491733</v>
      </c>
      <c r="BY1635" s="6">
        <f>IF(Grandview_Inventory[[#This Row],[pre_res]]&lt;0,0,Grandview_Inventory[[#This Row],[pre_res]]*Grandview_Inventory[[#This Row],[overall_adj]])</f>
        <v>135660.02611620439</v>
      </c>
      <c r="BZ1635" s="6">
        <f>(Grandview_Inventory[[#This Row],[sum_land]]-IF(Grandview_Inventory[[#This Row],[no_utilities]]=1,12000,0))/IF(Grandview_Inventory[[#This Row],[unbuildable]]=1,2,1)</f>
        <v>56480.857465963549</v>
      </c>
      <c r="CA1635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635">
        <f>ROUND(Grandview_Inventory[[#This Row],[det_value]]*Lookups!$M$28,-2)</f>
        <v>5100</v>
      </c>
      <c r="CC1635">
        <f>IF(ROUND(Grandview_Inventory[[#This Row],[adj_res]]*Lookups!$M$28,-2)&lt;Grandview_Inventory[[#This Row],[min_res]],Grandview_Inventory[[#This Row],[min_res]],ROUND(Grandview_Inventory[[#This Row],[adj_res]]*Lookups!$M$28,-2))</f>
        <v>128900</v>
      </c>
      <c r="CD1635">
        <f>Grandview_Inventory[[#This Row],[final_det]]+Grandview_Inventory[[#This Row],[final_res]]</f>
        <v>134000</v>
      </c>
      <c r="CE1635">
        <f>Grandview_Inventory[[#This Row],[final_land]]+Grandview_Inventory[[#This Row],[final_imp]]+Grandview_Inventory[[#This Row],[crop_value]]</f>
        <v>187700</v>
      </c>
      <c r="CG1635" t="str">
        <f t="shared" si="25"/>
        <v>update valuation set market_land =53700, market_bldg=134000, market_total =187700, market_mdno =401, market_date ='9/10/2023' where link_id = (select link_id from parcel where parcel_year = '2024' and parcel_id = '23092331020');</v>
      </c>
    </row>
    <row r="1636" spans="1:85" x14ac:dyDescent="0.25">
      <c r="A1636">
        <v>23092331021</v>
      </c>
      <c r="B1636">
        <v>0.57999999999999996</v>
      </c>
      <c r="C1636">
        <v>25476</v>
      </c>
      <c r="D1636" t="s">
        <v>129</v>
      </c>
      <c r="E1636" t="s">
        <v>53</v>
      </c>
      <c r="F1636" t="s">
        <v>53</v>
      </c>
      <c r="G1636">
        <v>4</v>
      </c>
      <c r="H1636" t="s">
        <v>54</v>
      </c>
      <c r="I1636">
        <v>181200</v>
      </c>
      <c r="J1636">
        <v>42300</v>
      </c>
      <c r="K1636">
        <v>0.57999999999999996</v>
      </c>
      <c r="L1636">
        <f>IF(Grandview_Inventory[[#This Row],[parcel_acres]]-Grandview_Inventory[[#This Row],[non_valued_acres]] =0,0,LN(Grandview_Inventory[[#This Row],[parcel_acres]]-Grandview_Inventory[[#This Row],[non_valued_acres]]))</f>
        <v>-0.54472717544167215</v>
      </c>
      <c r="M1636">
        <v>0</v>
      </c>
      <c r="N1636">
        <v>0</v>
      </c>
      <c r="O1636">
        <v>0</v>
      </c>
      <c r="P1636">
        <v>13398.7528</v>
      </c>
      <c r="Q1636">
        <v>63903</v>
      </c>
      <c r="R1636">
        <f>(Grandview_Inventory[[#This Row],[ln_acres]]*Grandview_Inventory[[#This Row],[coeff]])+Grandview_Inventory[[#This Row],[const]]</f>
        <v>56604.335232814803</v>
      </c>
      <c r="S1636" t="s">
        <v>61</v>
      </c>
      <c r="T1636">
        <v>1</v>
      </c>
      <c r="U1636" t="s">
        <v>70</v>
      </c>
      <c r="V1636" t="s">
        <v>69</v>
      </c>
      <c r="W1636">
        <v>0</v>
      </c>
      <c r="X1636">
        <v>0</v>
      </c>
      <c r="Y1636">
        <v>50</v>
      </c>
      <c r="Z1636">
        <v>73</v>
      </c>
      <c r="AA1636">
        <v>80</v>
      </c>
      <c r="AB1636">
        <v>2500</v>
      </c>
      <c r="AC1636">
        <v>2246</v>
      </c>
      <c r="AD1636">
        <v>1248</v>
      </c>
      <c r="AE1636">
        <v>0</v>
      </c>
      <c r="AF1636">
        <v>0</v>
      </c>
      <c r="AG1636">
        <v>998</v>
      </c>
      <c r="AH1636">
        <v>250</v>
      </c>
      <c r="AI1636">
        <v>0</v>
      </c>
      <c r="AJ1636">
        <v>0</v>
      </c>
      <c r="AK1636">
        <v>0</v>
      </c>
      <c r="AL1636">
        <v>666</v>
      </c>
      <c r="AM1636">
        <v>390</v>
      </c>
      <c r="AN1636">
        <v>0</v>
      </c>
      <c r="AO1636">
        <v>1056</v>
      </c>
      <c r="AP1636">
        <v>7</v>
      </c>
      <c r="AQ1636">
        <v>0</v>
      </c>
      <c r="AR1636">
        <v>0</v>
      </c>
      <c r="AS1636" t="s">
        <v>58</v>
      </c>
      <c r="AT1636">
        <v>1</v>
      </c>
      <c r="AU1636" t="s">
        <v>63</v>
      </c>
      <c r="AV1636" t="s">
        <v>60</v>
      </c>
      <c r="AW1636">
        <v>1</v>
      </c>
      <c r="AX1636">
        <v>3</v>
      </c>
      <c r="AY1636">
        <v>0</v>
      </c>
      <c r="AZ1636">
        <v>0</v>
      </c>
      <c r="BA1636">
        <v>100</v>
      </c>
      <c r="BB1636">
        <v>100</v>
      </c>
      <c r="BC1636">
        <v>100</v>
      </c>
      <c r="BD1636">
        <v>100</v>
      </c>
      <c r="BE1636">
        <v>1</v>
      </c>
      <c r="BF1636">
        <v>15000</v>
      </c>
      <c r="BG1636">
        <v>1000</v>
      </c>
      <c r="BH1636" s="6">
        <f>Grandview_Inventory[[#This Row],[land_extract]]*Lookups!$B$3</f>
        <v>65734.461674162696</v>
      </c>
      <c r="BI1636" s="6">
        <f>IF(Grandview_Inventory[[#This Row],[bldg_style]]="",0,Lookups!$B$2)</f>
        <v>155833.95000000001</v>
      </c>
      <c r="BJ1636" s="6">
        <f>_xlfn.IFNA(VLOOKUP(Grandview_Inventory[[#This Row],[quality]],Lookups!$H$2:$J$14,3,FALSE),0)</f>
        <v>10733</v>
      </c>
      <c r="BK1636" s="6">
        <f>_xlfn.IFNA(VLOOKUP(Grandview_Inventory[[#This Row],[condition]],Lookups!$H$17:$J$24,3,FALSE),0)</f>
        <v>-4503</v>
      </c>
      <c r="BL1636" s="6">
        <f>Grandview_Inventory[[#This Row],[Eff_Age]]*Lookups!$B$14</f>
        <v>-11958.33</v>
      </c>
      <c r="BM1636" s="6">
        <f>Grandview_Inventory[[#This Row],[living_area]]*Lookups!$B$15</f>
        <v>140107.395838</v>
      </c>
      <c r="BN1636" s="6">
        <f>Grandview_Inventory[[#This Row],[Fin BSMT]]*Lookups!$B$16</f>
        <v>-27045.041520000002</v>
      </c>
      <c r="BO1636" s="6">
        <f>(Grandview_Inventory[[#This Row],[att_gar]]+Grandview_Inventory[[#This Row],[bltin_gar]])*Lookups!$B$17</f>
        <v>0</v>
      </c>
      <c r="BP1636" s="6">
        <f>Grandview_Inventory[[#This Row],[Plumbing Fixtures]]*Lookups!$B$18</f>
        <v>14073.0926</v>
      </c>
      <c r="BQ1636" s="6">
        <f>Grandview_Inventory[[#This Row],[detatched_value]]*Lookups!$B$19</f>
        <v>0</v>
      </c>
      <c r="BR1636" s="6">
        <f>SUM(Grandview_Inventory[[#This Row],[Intercept]:[det_value]])*Grandview_Inventory[[#This Row],[res_pct]]</f>
        <v>277241.06691799994</v>
      </c>
      <c r="BS1636" s="6">
        <f>Grandview_Inventory[[#This Row],[land_value]]</f>
        <v>65734.461674162696</v>
      </c>
      <c r="BT1636" s="4">
        <f>_xlfn.IFNA(VLOOKUP(Grandview_Inventory[[#This Row],[quality]],Lookups!$A$26:$C$33,3,FALSE),1)</f>
        <v>0.98079741117310582</v>
      </c>
      <c r="BU1636" s="4">
        <f>_xlfn.IFNA(VLOOKUP(Grandview_Inventory[[#This Row],[condition]],Lookups!$A$37:$C$44,3,FALSE),1)</f>
        <v>0.96469275950863709</v>
      </c>
      <c r="BV1636" s="4">
        <f>IF(Grandview_Inventory[[#This Row],[bldg_style]]="",1,_xlfn.IFNA(VLOOKUP(Grandview_Inventory[[#This Row],[decade]],Lookups!$F$29:$H$43,3,FALSE),1))</f>
        <v>0.98763256963907298</v>
      </c>
      <c r="BW1636" s="4">
        <f>_xlfn.IFNA(VLOOKUP(Grandview_Inventory[[#This Row],[living_area_range]],Lookups!$F$47:$H$56,3,FALSE),1)</f>
        <v>0.95799442568048754</v>
      </c>
      <c r="BX1636" s="4">
        <f>AVERAGE(Grandview_Inventory[[#This Row],[qual_adj]:[size_adj]])</f>
        <v>0.97277929150032583</v>
      </c>
      <c r="BY1636" s="6">
        <f>IF(Grandview_Inventory[[#This Row],[pre_res]]&lt;0,0,Grandview_Inventory[[#This Row],[pre_res]]*Grandview_Inventory[[#This Row],[overall_adj]])</f>
        <v>269694.36865128641</v>
      </c>
      <c r="BZ1636" s="6">
        <f>(Grandview_Inventory[[#This Row],[sum_land]]-IF(Grandview_Inventory[[#This Row],[no_utilities]]=1,12000,0))/IF(Grandview_Inventory[[#This Row],[unbuildable]]=1,2,1)</f>
        <v>65734.461674162696</v>
      </c>
      <c r="CA1636">
        <f>IF(ROUND(Grandview_Inventory[[#This Row],[adj_land]]*Lookups!$M$28,-2)&lt;Grandview_Inventory[[#This Row],[min_land]],Grandview_Inventory[[#This Row],[min_land]],ROUND(Grandview_Inventory[[#This Row],[adj_land]]*Lookups!$M$28,-2))</f>
        <v>62400</v>
      </c>
      <c r="CB1636">
        <f>ROUND(Grandview_Inventory[[#This Row],[det_value]]*Lookups!$M$28,-2)</f>
        <v>0</v>
      </c>
      <c r="CC1636">
        <f>IF(ROUND(Grandview_Inventory[[#This Row],[adj_res]]*Lookups!$M$28,-2)&lt;Grandview_Inventory[[#This Row],[min_res]],Grandview_Inventory[[#This Row],[min_res]],ROUND(Grandview_Inventory[[#This Row],[adj_res]]*Lookups!$M$28,-2))</f>
        <v>256200</v>
      </c>
      <c r="CD1636">
        <f>Grandview_Inventory[[#This Row],[final_det]]+Grandview_Inventory[[#This Row],[final_res]]</f>
        <v>256200</v>
      </c>
      <c r="CE1636">
        <f>Grandview_Inventory[[#This Row],[final_land]]+Grandview_Inventory[[#This Row],[final_imp]]+Grandview_Inventory[[#This Row],[crop_value]]</f>
        <v>318600</v>
      </c>
      <c r="CG1636" t="str">
        <f t="shared" si="25"/>
        <v>update valuation set market_land =62400, market_bldg=256200, market_total =318600, market_mdno =401, market_date ='9/10/2023' where link_id = (select link_id from parcel where parcel_year = '2024' and parcel_id = '23092331021');</v>
      </c>
    </row>
    <row r="1637" spans="1:85" x14ac:dyDescent="0.25">
      <c r="A1637">
        <v>23092331400</v>
      </c>
      <c r="B1637">
        <v>0.26</v>
      </c>
      <c r="C1637" t="s">
        <v>129</v>
      </c>
      <c r="D1637" t="s">
        <v>129</v>
      </c>
      <c r="E1637" t="s">
        <v>53</v>
      </c>
      <c r="F1637" t="s">
        <v>53</v>
      </c>
      <c r="G1637">
        <v>4</v>
      </c>
      <c r="H1637" t="s">
        <v>54</v>
      </c>
      <c r="I1637">
        <v>161700</v>
      </c>
      <c r="J1637">
        <v>40000</v>
      </c>
      <c r="K1637">
        <v>0.26</v>
      </c>
      <c r="L163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637">
        <v>0</v>
      </c>
      <c r="N1637">
        <v>0</v>
      </c>
      <c r="O1637">
        <v>0</v>
      </c>
      <c r="P1637">
        <v>13398.7528</v>
      </c>
      <c r="Q1637">
        <v>63903</v>
      </c>
      <c r="R1637">
        <f>(Grandview_Inventory[[#This Row],[ln_acres]]*Grandview_Inventory[[#This Row],[coeff]])+Grandview_Inventory[[#This Row],[const]]</f>
        <v>45853.893187501177</v>
      </c>
      <c r="S1637" t="s">
        <v>68</v>
      </c>
      <c r="T1637">
        <v>1</v>
      </c>
      <c r="U1637" t="s">
        <v>65</v>
      </c>
      <c r="V1637" t="s">
        <v>67</v>
      </c>
      <c r="W1637">
        <v>0</v>
      </c>
      <c r="X1637">
        <v>0</v>
      </c>
      <c r="Y1637">
        <v>51</v>
      </c>
      <c r="Z1637">
        <v>83</v>
      </c>
      <c r="AA1637">
        <v>90</v>
      </c>
      <c r="AB1637">
        <v>1500</v>
      </c>
      <c r="AC1637">
        <v>1214</v>
      </c>
      <c r="AD1637">
        <v>1214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228</v>
      </c>
      <c r="AL1637">
        <v>0</v>
      </c>
      <c r="AM1637">
        <v>252</v>
      </c>
      <c r="AN1637">
        <v>42</v>
      </c>
      <c r="AO1637">
        <v>252</v>
      </c>
      <c r="AP1637">
        <v>5</v>
      </c>
      <c r="AQ1637">
        <v>0</v>
      </c>
      <c r="AR1637">
        <v>0</v>
      </c>
      <c r="AS1637" t="s">
        <v>58</v>
      </c>
      <c r="AT1637">
        <v>1</v>
      </c>
      <c r="AU1637" t="s">
        <v>63</v>
      </c>
      <c r="AV1637" t="s">
        <v>64</v>
      </c>
      <c r="AW1637">
        <v>0</v>
      </c>
      <c r="AX1637">
        <v>3</v>
      </c>
      <c r="AY1637">
        <v>0</v>
      </c>
      <c r="AZ1637">
        <v>7100</v>
      </c>
      <c r="BA1637">
        <v>100</v>
      </c>
      <c r="BB1637">
        <v>100</v>
      </c>
      <c r="BC1637">
        <v>100</v>
      </c>
      <c r="BD1637">
        <v>100</v>
      </c>
      <c r="BE1637">
        <v>1</v>
      </c>
      <c r="BF1637">
        <v>15000</v>
      </c>
      <c r="BG1637">
        <v>1000</v>
      </c>
      <c r="BH1637" s="6">
        <f>Grandview_Inventory[[#This Row],[land_extract]]*Lookups!$B$3</f>
        <v>53250.00235313351</v>
      </c>
      <c r="BI1637" s="6">
        <f>IF(Grandview_Inventory[[#This Row],[bldg_style]]="",0,Lookups!$B$2)</f>
        <v>155833.95000000001</v>
      </c>
      <c r="BJ1637" s="6">
        <f>_xlfn.IFNA(VLOOKUP(Grandview_Inventory[[#This Row],[quality]],Lookups!$H$2:$J$14,3,FALSE),0)</f>
        <v>2251</v>
      </c>
      <c r="BK1637" s="6">
        <f>_xlfn.IFNA(VLOOKUP(Grandview_Inventory[[#This Row],[condition]],Lookups!$H$17:$J$24,3,FALSE),0)</f>
        <v>22342</v>
      </c>
      <c r="BL1637" s="6">
        <f>Grandview_Inventory[[#This Row],[Eff_Age]]*Lookups!$B$14</f>
        <v>-12197.496599999999</v>
      </c>
      <c r="BM1637" s="6">
        <f>Grandview_Inventory[[#This Row],[living_area]]*Lookups!$B$15</f>
        <v>75730.355542000005</v>
      </c>
      <c r="BN1637" s="6">
        <f>Grandview_Inventory[[#This Row],[Fin BSMT]]*Lookups!$B$16</f>
        <v>0</v>
      </c>
      <c r="BO1637" s="6">
        <f>(Grandview_Inventory[[#This Row],[att_gar]]+Grandview_Inventory[[#This Row],[bltin_gar]])*Lookups!$B$17</f>
        <v>0</v>
      </c>
      <c r="BP1637" s="6">
        <f>Grandview_Inventory[[#This Row],[Plumbing Fixtures]]*Lookups!$B$18</f>
        <v>10052.209000000001</v>
      </c>
      <c r="BQ1637" s="6">
        <f>Grandview_Inventory[[#This Row],[detatched_value]]*Lookups!$B$19</f>
        <v>6012.31621</v>
      </c>
      <c r="BR1637" s="6">
        <f>SUM(Grandview_Inventory[[#This Row],[Intercept]:[det_value]])*Grandview_Inventory[[#This Row],[res_pct]]</f>
        <v>260024.334152</v>
      </c>
      <c r="BS1637" s="6">
        <f>Grandview_Inventory[[#This Row],[land_value]]</f>
        <v>53250.00235313351</v>
      </c>
      <c r="BT1637" s="4">
        <f>_xlfn.IFNA(VLOOKUP(Grandview_Inventory[[#This Row],[quality]],Lookups!$A$26:$C$33,3,FALSE),1)</f>
        <v>0.98763855981004833</v>
      </c>
      <c r="BU1637" s="4">
        <f>_xlfn.IFNA(VLOOKUP(Grandview_Inventory[[#This Row],[condition]],Lookups!$A$37:$C$44,3,FALSE),1)</f>
        <v>0.97383723671140243</v>
      </c>
      <c r="BV1637" s="4">
        <f>IF(Grandview_Inventory[[#This Row],[bldg_style]]="",1,_xlfn.IFNA(VLOOKUP(Grandview_Inventory[[#This Row],[decade]],Lookups!$F$29:$H$43,3,FALSE),1))</f>
        <v>0.94161750052457416</v>
      </c>
      <c r="BW1637" s="4">
        <f>_xlfn.IFNA(VLOOKUP(Grandview_Inventory[[#This Row],[living_area_range]],Lookups!$F$47:$H$56,3,FALSE),1)</f>
        <v>0.96135087979789358</v>
      </c>
      <c r="BX1637" s="4">
        <f>AVERAGE(Grandview_Inventory[[#This Row],[qual_adj]:[size_adj]])</f>
        <v>0.9661110442109796</v>
      </c>
      <c r="BY1637" s="6">
        <f>IF(Grandview_Inventory[[#This Row],[pre_res]]&lt;0,0,Grandview_Inventory[[#This Row],[pre_res]]*Grandview_Inventory[[#This Row],[overall_adj]])</f>
        <v>251212.38098785339</v>
      </c>
      <c r="BZ1637" s="6">
        <f>(Grandview_Inventory[[#This Row],[sum_land]]-IF(Grandview_Inventory[[#This Row],[no_utilities]]=1,12000,0))/IF(Grandview_Inventory[[#This Row],[unbuildable]]=1,2,1)</f>
        <v>53250.00235313351</v>
      </c>
      <c r="CA163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637">
        <f>ROUND(Grandview_Inventory[[#This Row],[det_value]]*Lookups!$M$28,-2)</f>
        <v>5700</v>
      </c>
      <c r="CC1637">
        <f>IF(ROUND(Grandview_Inventory[[#This Row],[adj_res]]*Lookups!$M$28,-2)&lt;Grandview_Inventory[[#This Row],[min_res]],Grandview_Inventory[[#This Row],[min_res]],ROUND(Grandview_Inventory[[#This Row],[adj_res]]*Lookups!$M$28,-2))</f>
        <v>238700</v>
      </c>
      <c r="CD1637">
        <f>Grandview_Inventory[[#This Row],[final_det]]+Grandview_Inventory[[#This Row],[final_res]]</f>
        <v>244400</v>
      </c>
      <c r="CE1637">
        <f>Grandview_Inventory[[#This Row],[final_land]]+Grandview_Inventory[[#This Row],[final_imp]]+Grandview_Inventory[[#This Row],[crop_value]]</f>
        <v>295000</v>
      </c>
      <c r="CG1637" t="str">
        <f t="shared" si="25"/>
        <v>update valuation set market_land =50600, market_bldg=244400, market_total =295000, market_mdno =401, market_date ='9/10/2023' where link_id = (select link_id from parcel where parcel_year = '2024' and parcel_id = '23092331400');</v>
      </c>
    </row>
    <row r="1638" spans="1:85" x14ac:dyDescent="0.25">
      <c r="A1638">
        <v>23092331401</v>
      </c>
      <c r="B1638">
        <v>0.19</v>
      </c>
      <c r="C1638">
        <v>8099</v>
      </c>
      <c r="D1638" t="s">
        <v>129</v>
      </c>
      <c r="E1638" t="s">
        <v>53</v>
      </c>
      <c r="F1638" t="s">
        <v>53</v>
      </c>
      <c r="G1638">
        <v>4</v>
      </c>
      <c r="H1638" t="s">
        <v>54</v>
      </c>
      <c r="I1638">
        <v>100400</v>
      </c>
      <c r="J1638">
        <v>39000</v>
      </c>
      <c r="K1638">
        <v>0.19</v>
      </c>
      <c r="L163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638">
        <v>0</v>
      </c>
      <c r="N1638">
        <v>0</v>
      </c>
      <c r="O1638">
        <v>0</v>
      </c>
      <c r="P1638">
        <v>13398.7528</v>
      </c>
      <c r="Q1638">
        <v>63903</v>
      </c>
      <c r="R1638">
        <f>(Grandview_Inventory[[#This Row],[ln_acres]]*Grandview_Inventory[[#This Row],[coeff]])+Grandview_Inventory[[#This Row],[const]]</f>
        <v>41651.273092551026</v>
      </c>
      <c r="S1638" t="s">
        <v>68</v>
      </c>
      <c r="T1638">
        <v>1</v>
      </c>
      <c r="U1638" t="s">
        <v>80</v>
      </c>
      <c r="V1638" t="s">
        <v>78</v>
      </c>
      <c r="W1638">
        <v>0</v>
      </c>
      <c r="X1638">
        <v>0</v>
      </c>
      <c r="Y1638">
        <v>52</v>
      </c>
      <c r="Z1638">
        <v>88</v>
      </c>
      <c r="AA1638">
        <v>90</v>
      </c>
      <c r="AB1638">
        <v>1500</v>
      </c>
      <c r="AC1638">
        <v>1301</v>
      </c>
      <c r="AD1638">
        <v>1301</v>
      </c>
      <c r="AE1638">
        <v>0</v>
      </c>
      <c r="AF1638">
        <v>0</v>
      </c>
      <c r="AG1638">
        <v>0</v>
      </c>
      <c r="AH1638">
        <v>642</v>
      </c>
      <c r="AI1638">
        <v>0</v>
      </c>
      <c r="AJ1638">
        <v>0</v>
      </c>
      <c r="AK1638">
        <v>264</v>
      </c>
      <c r="AL1638">
        <v>0</v>
      </c>
      <c r="AM1638">
        <v>0</v>
      </c>
      <c r="AN1638">
        <v>0</v>
      </c>
      <c r="AO1638">
        <v>32</v>
      </c>
      <c r="AP1638">
        <v>5</v>
      </c>
      <c r="AQ1638">
        <v>0</v>
      </c>
      <c r="AR1638">
        <v>0</v>
      </c>
      <c r="AS1638" t="s">
        <v>58</v>
      </c>
      <c r="AT1638">
        <v>1</v>
      </c>
      <c r="AU1638" t="s">
        <v>63</v>
      </c>
      <c r="AV1638" t="s">
        <v>60</v>
      </c>
      <c r="AW1638">
        <v>0</v>
      </c>
      <c r="AX1638">
        <v>2</v>
      </c>
      <c r="AY1638">
        <v>0</v>
      </c>
      <c r="AZ1638">
        <v>3300</v>
      </c>
      <c r="BA1638">
        <v>100</v>
      </c>
      <c r="BB1638">
        <v>100</v>
      </c>
      <c r="BC1638">
        <v>100</v>
      </c>
      <c r="BD1638">
        <v>100</v>
      </c>
      <c r="BE1638">
        <v>1</v>
      </c>
      <c r="BF1638">
        <v>15000</v>
      </c>
      <c r="BG1638">
        <v>1000</v>
      </c>
      <c r="BH1638" s="6">
        <f>Grandview_Inventory[[#This Row],[land_extract]]*Lookups!$B$3</f>
        <v>48369.510983942157</v>
      </c>
      <c r="BI1638" s="6">
        <f>IF(Grandview_Inventory[[#This Row],[bldg_style]]="",0,Lookups!$B$2)</f>
        <v>155833.95000000001</v>
      </c>
      <c r="BJ1638" s="6">
        <f>_xlfn.IFNA(VLOOKUP(Grandview_Inventory[[#This Row],[quality]],Lookups!$H$2:$J$14,3,FALSE),0)</f>
        <v>-28558</v>
      </c>
      <c r="BK1638" s="6">
        <f>_xlfn.IFNA(VLOOKUP(Grandview_Inventory[[#This Row],[condition]],Lookups!$H$17:$J$24,3,FALSE),0)</f>
        <v>-45357</v>
      </c>
      <c r="BL1638" s="6">
        <f>Grandview_Inventory[[#This Row],[Eff_Age]]*Lookups!$B$14</f>
        <v>-12436.663199999999</v>
      </c>
      <c r="BM1638" s="6">
        <f>Grandview_Inventory[[#This Row],[living_area]]*Lookups!$B$15</f>
        <v>81157.489753000002</v>
      </c>
      <c r="BN1638" s="6">
        <f>Grandview_Inventory[[#This Row],[Fin BSMT]]*Lookups!$B$16</f>
        <v>0</v>
      </c>
      <c r="BO1638" s="6">
        <f>(Grandview_Inventory[[#This Row],[att_gar]]+Grandview_Inventory[[#This Row],[bltin_gar]])*Lookups!$B$17</f>
        <v>0</v>
      </c>
      <c r="BP1638" s="6">
        <f>Grandview_Inventory[[#This Row],[Plumbing Fixtures]]*Lookups!$B$18</f>
        <v>10052.209000000001</v>
      </c>
      <c r="BQ1638" s="6">
        <f>Grandview_Inventory[[#This Row],[detatched_value]]*Lookups!$B$19</f>
        <v>2794.4568300000001</v>
      </c>
      <c r="BR1638" s="6">
        <f>SUM(Grandview_Inventory[[#This Row],[Intercept]:[det_value]])*Grandview_Inventory[[#This Row],[res_pct]]</f>
        <v>163486.44238300005</v>
      </c>
      <c r="BS1638" s="6">
        <f>Grandview_Inventory[[#This Row],[land_value]]</f>
        <v>48369.510983942157</v>
      </c>
      <c r="BT1638" s="4">
        <f>_xlfn.IFNA(VLOOKUP(Grandview_Inventory[[#This Row],[quality]],Lookups!$A$26:$C$33,3,FALSE),1)</f>
        <v>0.9690360070159818</v>
      </c>
      <c r="BU1638" s="4">
        <f>_xlfn.IFNA(VLOOKUP(Grandview_Inventory[[#This Row],[condition]],Lookups!$A$37:$C$44,3,FALSE),1)</f>
        <v>0.97161819570155394</v>
      </c>
      <c r="BV1638" s="4">
        <f>IF(Grandview_Inventory[[#This Row],[bldg_style]]="",1,_xlfn.IFNA(VLOOKUP(Grandview_Inventory[[#This Row],[decade]],Lookups!$F$29:$H$43,3,FALSE),1))</f>
        <v>0.94161750052457416</v>
      </c>
      <c r="BW1638" s="4">
        <f>_xlfn.IFNA(VLOOKUP(Grandview_Inventory[[#This Row],[living_area_range]],Lookups!$F$47:$H$56,3,FALSE),1)</f>
        <v>0.96135087979789358</v>
      </c>
      <c r="BX1638" s="4">
        <f>AVERAGE(Grandview_Inventory[[#This Row],[qual_adj]:[size_adj]])</f>
        <v>0.96090564576000093</v>
      </c>
      <c r="BY1638" s="6">
        <f>IF(Grandview_Inventory[[#This Row],[pre_res]]&lt;0,0,Grandview_Inventory[[#This Row],[pre_res]]*Grandview_Inventory[[#This Row],[overall_adj]])</f>
        <v>157095.04549104185</v>
      </c>
      <c r="BZ1638" s="6">
        <f>(Grandview_Inventory[[#This Row],[sum_land]]-IF(Grandview_Inventory[[#This Row],[no_utilities]]=1,12000,0))/IF(Grandview_Inventory[[#This Row],[unbuildable]]=1,2,1)</f>
        <v>48369.510983942157</v>
      </c>
      <c r="CA163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638">
        <f>ROUND(Grandview_Inventory[[#This Row],[det_value]]*Lookups!$M$28,-2)</f>
        <v>2700</v>
      </c>
      <c r="CC1638">
        <f>IF(ROUND(Grandview_Inventory[[#This Row],[adj_res]]*Lookups!$M$28,-2)&lt;Grandview_Inventory[[#This Row],[min_res]],Grandview_Inventory[[#This Row],[min_res]],ROUND(Grandview_Inventory[[#This Row],[adj_res]]*Lookups!$M$28,-2))</f>
        <v>149200</v>
      </c>
      <c r="CD1638">
        <f>Grandview_Inventory[[#This Row],[final_det]]+Grandview_Inventory[[#This Row],[final_res]]</f>
        <v>151900</v>
      </c>
      <c r="CE1638">
        <f>Grandview_Inventory[[#This Row],[final_land]]+Grandview_Inventory[[#This Row],[final_imp]]+Grandview_Inventory[[#This Row],[crop_value]]</f>
        <v>197900</v>
      </c>
      <c r="CG1638" t="str">
        <f t="shared" si="25"/>
        <v>update valuation set market_land =46000, market_bldg=151900, market_total =197900, market_mdno =401, market_date ='9/10/2023' where link_id = (select link_id from parcel where parcel_year = '2024' and parcel_id = '23092331401');</v>
      </c>
    </row>
    <row r="1639" spans="1:85" x14ac:dyDescent="0.25">
      <c r="A1639">
        <v>23092331403</v>
      </c>
      <c r="B1639">
        <v>0.43</v>
      </c>
      <c r="C1639">
        <v>18844</v>
      </c>
      <c r="D1639" t="s">
        <v>129</v>
      </c>
      <c r="E1639" t="s">
        <v>53</v>
      </c>
      <c r="F1639" t="s">
        <v>53</v>
      </c>
      <c r="G1639">
        <v>4</v>
      </c>
      <c r="H1639" t="s">
        <v>54</v>
      </c>
      <c r="I1639">
        <v>130100</v>
      </c>
      <c r="J1639">
        <v>41400</v>
      </c>
      <c r="K1639">
        <v>0.43</v>
      </c>
      <c r="L1639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1639">
        <v>0</v>
      </c>
      <c r="N1639">
        <v>0</v>
      </c>
      <c r="O1639">
        <v>0</v>
      </c>
      <c r="P1639">
        <v>13398.7528</v>
      </c>
      <c r="Q1639">
        <v>63903</v>
      </c>
      <c r="R1639">
        <f>(Grandview_Inventory[[#This Row],[ln_acres]]*Grandview_Inventory[[#This Row],[coeff]])+Grandview_Inventory[[#This Row],[const]]</f>
        <v>52594.853657524982</v>
      </c>
      <c r="S1639" t="s">
        <v>68</v>
      </c>
      <c r="T1639">
        <v>1</v>
      </c>
      <c r="U1639" t="s">
        <v>70</v>
      </c>
      <c r="V1639" t="s">
        <v>69</v>
      </c>
      <c r="W1639">
        <v>0</v>
      </c>
      <c r="X1639">
        <v>0</v>
      </c>
      <c r="Y1639">
        <v>51</v>
      </c>
      <c r="Z1639">
        <v>77</v>
      </c>
      <c r="AA1639">
        <v>80</v>
      </c>
      <c r="AB1639">
        <v>1500</v>
      </c>
      <c r="AC1639">
        <v>1416</v>
      </c>
      <c r="AD1639">
        <v>950</v>
      </c>
      <c r="AE1639">
        <v>0</v>
      </c>
      <c r="AF1639">
        <v>0</v>
      </c>
      <c r="AG1639">
        <v>466</v>
      </c>
      <c r="AH1639">
        <v>484</v>
      </c>
      <c r="AI1639">
        <v>0</v>
      </c>
      <c r="AJ1639">
        <v>0</v>
      </c>
      <c r="AK1639">
        <v>352</v>
      </c>
      <c r="AL1639">
        <v>0</v>
      </c>
      <c r="AM1639">
        <v>272</v>
      </c>
      <c r="AN1639">
        <v>0</v>
      </c>
      <c r="AO1639">
        <v>0</v>
      </c>
      <c r="AP1639">
        <v>5</v>
      </c>
      <c r="AQ1639">
        <v>0</v>
      </c>
      <c r="AR1639">
        <v>0</v>
      </c>
      <c r="AS1639" t="s">
        <v>58</v>
      </c>
      <c r="AT1639">
        <v>1</v>
      </c>
      <c r="AU1639" t="s">
        <v>63</v>
      </c>
      <c r="AV1639" t="s">
        <v>64</v>
      </c>
      <c r="AW1639">
        <v>0</v>
      </c>
      <c r="AX1639">
        <v>2</v>
      </c>
      <c r="AY1639">
        <v>0</v>
      </c>
      <c r="AZ1639">
        <v>0</v>
      </c>
      <c r="BA1639">
        <v>100</v>
      </c>
      <c r="BB1639">
        <v>100</v>
      </c>
      <c r="BC1639">
        <v>100</v>
      </c>
      <c r="BD1639">
        <v>100</v>
      </c>
      <c r="BE1639">
        <v>1</v>
      </c>
      <c r="BF1639">
        <v>15000</v>
      </c>
      <c r="BG1639">
        <v>1000</v>
      </c>
      <c r="BH1639" s="6">
        <f>Grandview_Inventory[[#This Row],[land_extract]]*Lookups!$B$3</f>
        <v>61078.261546378882</v>
      </c>
      <c r="BI1639" s="6">
        <f>IF(Grandview_Inventory[[#This Row],[bldg_style]]="",0,Lookups!$B$2)</f>
        <v>155833.95000000001</v>
      </c>
      <c r="BJ1639" s="6">
        <f>_xlfn.IFNA(VLOOKUP(Grandview_Inventory[[#This Row],[quality]],Lookups!$H$2:$J$14,3,FALSE),0)</f>
        <v>10733</v>
      </c>
      <c r="BK1639" s="6">
        <f>_xlfn.IFNA(VLOOKUP(Grandview_Inventory[[#This Row],[condition]],Lookups!$H$17:$J$24,3,FALSE),0)</f>
        <v>-4503</v>
      </c>
      <c r="BL1639" s="6">
        <f>Grandview_Inventory[[#This Row],[Eff_Age]]*Lookups!$B$14</f>
        <v>-12197.496599999999</v>
      </c>
      <c r="BM1639" s="6">
        <f>Grandview_Inventory[[#This Row],[living_area]]*Lookups!$B$15</f>
        <v>88331.287848000007</v>
      </c>
      <c r="BN1639" s="6">
        <f>Grandview_Inventory[[#This Row],[Fin BSMT]]*Lookups!$B$16</f>
        <v>-12628.245840000001</v>
      </c>
      <c r="BO1639" s="6">
        <f>(Grandview_Inventory[[#This Row],[att_gar]]+Grandview_Inventory[[#This Row],[bltin_gar]])*Lookups!$B$17</f>
        <v>0</v>
      </c>
      <c r="BP1639" s="6">
        <f>Grandview_Inventory[[#This Row],[Plumbing Fixtures]]*Lookups!$B$18</f>
        <v>10052.209000000001</v>
      </c>
      <c r="BQ1639" s="6">
        <f>Grandview_Inventory[[#This Row],[detatched_value]]*Lookups!$B$19</f>
        <v>0</v>
      </c>
      <c r="BR1639" s="6">
        <f>SUM(Grandview_Inventory[[#This Row],[Intercept]:[det_value]])*Grandview_Inventory[[#This Row],[res_pct]]</f>
        <v>235621.70440800002</v>
      </c>
      <c r="BS1639" s="6">
        <f>Grandview_Inventory[[#This Row],[land_value]]</f>
        <v>61078.261546378882</v>
      </c>
      <c r="BT1639" s="4">
        <f>_xlfn.IFNA(VLOOKUP(Grandview_Inventory[[#This Row],[quality]],Lookups!$A$26:$C$33,3,FALSE),1)</f>
        <v>0.98079741117310582</v>
      </c>
      <c r="BU1639" s="4">
        <f>_xlfn.IFNA(VLOOKUP(Grandview_Inventory[[#This Row],[condition]],Lookups!$A$37:$C$44,3,FALSE),1)</f>
        <v>0.96469275950863709</v>
      </c>
      <c r="BV1639" s="4">
        <f>IF(Grandview_Inventory[[#This Row],[bldg_style]]="",1,_xlfn.IFNA(VLOOKUP(Grandview_Inventory[[#This Row],[decade]],Lookups!$F$29:$H$43,3,FALSE),1))</f>
        <v>0.98763256963907298</v>
      </c>
      <c r="BW1639" s="4">
        <f>_xlfn.IFNA(VLOOKUP(Grandview_Inventory[[#This Row],[living_area_range]],Lookups!$F$47:$H$56,3,FALSE),1)</f>
        <v>0.96135087979789358</v>
      </c>
      <c r="BX1639" s="4">
        <f>AVERAGE(Grandview_Inventory[[#This Row],[qual_adj]:[size_adj]])</f>
        <v>0.97361840502967734</v>
      </c>
      <c r="BY1639" s="6">
        <f>IF(Grandview_Inventory[[#This Row],[pre_res]]&lt;0,0,Grandview_Inventory[[#This Row],[pre_res]]*Grandview_Inventory[[#This Row],[overall_adj]])</f>
        <v>229405.62803609108</v>
      </c>
      <c r="BZ1639" s="6">
        <f>(Grandview_Inventory[[#This Row],[sum_land]]-IF(Grandview_Inventory[[#This Row],[no_utilities]]=1,12000,0))/IF(Grandview_Inventory[[#This Row],[unbuildable]]=1,2,1)</f>
        <v>61078.261546378882</v>
      </c>
      <c r="CA1639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1639">
        <f>ROUND(Grandview_Inventory[[#This Row],[det_value]]*Lookups!$M$28,-2)</f>
        <v>0</v>
      </c>
      <c r="CC1639">
        <f>IF(ROUND(Grandview_Inventory[[#This Row],[adj_res]]*Lookups!$M$28,-2)&lt;Grandview_Inventory[[#This Row],[min_res]],Grandview_Inventory[[#This Row],[min_res]],ROUND(Grandview_Inventory[[#This Row],[adj_res]]*Lookups!$M$28,-2))</f>
        <v>217900</v>
      </c>
      <c r="CD1639">
        <f>Grandview_Inventory[[#This Row],[final_det]]+Grandview_Inventory[[#This Row],[final_res]]</f>
        <v>217900</v>
      </c>
      <c r="CE1639">
        <f>Grandview_Inventory[[#This Row],[final_land]]+Grandview_Inventory[[#This Row],[final_imp]]+Grandview_Inventory[[#This Row],[crop_value]]</f>
        <v>275900</v>
      </c>
      <c r="CG1639" t="str">
        <f t="shared" si="25"/>
        <v>update valuation set market_land =58000, market_bldg=217900, market_total =275900, market_mdno =401, market_date ='9/10/2023' where link_id = (select link_id from parcel where parcel_year = '2024' and parcel_id = '23092331403');</v>
      </c>
    </row>
    <row r="1640" spans="1:85" x14ac:dyDescent="0.25">
      <c r="A1640">
        <v>23092331409</v>
      </c>
      <c r="B1640">
        <v>0.22</v>
      </c>
      <c r="C1640" t="s">
        <v>129</v>
      </c>
      <c r="D1640" t="s">
        <v>129</v>
      </c>
      <c r="E1640" t="s">
        <v>53</v>
      </c>
      <c r="F1640" t="s">
        <v>53</v>
      </c>
      <c r="G1640">
        <v>4</v>
      </c>
      <c r="H1640" t="s">
        <v>54</v>
      </c>
      <c r="I1640">
        <v>129900</v>
      </c>
      <c r="J1640">
        <v>39500</v>
      </c>
      <c r="K1640">
        <v>0.22</v>
      </c>
      <c r="L164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40">
        <v>0</v>
      </c>
      <c r="N1640">
        <v>0</v>
      </c>
      <c r="O1640">
        <v>0</v>
      </c>
      <c r="P1640">
        <v>13398.7528</v>
      </c>
      <c r="Q1640">
        <v>63903</v>
      </c>
      <c r="R1640">
        <f>(Grandview_Inventory[[#This Row],[ln_acres]]*Grandview_Inventory[[#This Row],[coeff]])+Grandview_Inventory[[#This Row],[const]]</f>
        <v>43615.576802869145</v>
      </c>
      <c r="S1640" t="s">
        <v>68</v>
      </c>
      <c r="T1640">
        <v>1</v>
      </c>
      <c r="U1640" t="s">
        <v>80</v>
      </c>
      <c r="V1640" t="s">
        <v>69</v>
      </c>
      <c r="W1640">
        <v>0</v>
      </c>
      <c r="X1640">
        <v>0</v>
      </c>
      <c r="Y1640">
        <v>52</v>
      </c>
      <c r="Z1640">
        <v>88</v>
      </c>
      <c r="AA1640">
        <v>90</v>
      </c>
      <c r="AB1640">
        <v>2000</v>
      </c>
      <c r="AC1640">
        <v>1740</v>
      </c>
      <c r="AD1640">
        <v>870</v>
      </c>
      <c r="AE1640">
        <v>0</v>
      </c>
      <c r="AF1640">
        <v>0</v>
      </c>
      <c r="AG1640">
        <v>870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60</v>
      </c>
      <c r="AO1640">
        <v>0</v>
      </c>
      <c r="AP1640">
        <v>5</v>
      </c>
      <c r="AQ1640">
        <v>1</v>
      </c>
      <c r="AR1640">
        <v>0</v>
      </c>
      <c r="AS1640" t="s">
        <v>58</v>
      </c>
      <c r="AT1640">
        <v>1</v>
      </c>
      <c r="AU1640" t="s">
        <v>75</v>
      </c>
      <c r="AV1640" t="s">
        <v>60</v>
      </c>
      <c r="AW1640">
        <v>0</v>
      </c>
      <c r="AX1640">
        <v>2</v>
      </c>
      <c r="AY1640">
        <v>0</v>
      </c>
      <c r="AZ1640">
        <v>6200</v>
      </c>
      <c r="BA1640">
        <v>100</v>
      </c>
      <c r="BB1640">
        <v>100</v>
      </c>
      <c r="BC1640">
        <v>100</v>
      </c>
      <c r="BD1640">
        <v>100</v>
      </c>
      <c r="BE1640">
        <v>1</v>
      </c>
      <c r="BF1640">
        <v>15000</v>
      </c>
      <c r="BG1640">
        <v>1000</v>
      </c>
      <c r="BH1640" s="6">
        <f>Grandview_Inventory[[#This Row],[land_extract]]*Lookups!$B$3</f>
        <v>50650.651579114572</v>
      </c>
      <c r="BI1640" s="6">
        <f>IF(Grandview_Inventory[[#This Row],[bldg_style]]="",0,Lookups!$B$2)</f>
        <v>155833.95000000001</v>
      </c>
      <c r="BJ1640" s="6">
        <f>_xlfn.IFNA(VLOOKUP(Grandview_Inventory[[#This Row],[quality]],Lookups!$H$2:$J$14,3,FALSE),0)</f>
        <v>-28558</v>
      </c>
      <c r="BK1640" s="6">
        <f>_xlfn.IFNA(VLOOKUP(Grandview_Inventory[[#This Row],[condition]],Lookups!$H$17:$J$24,3,FALSE),0)</f>
        <v>-4503</v>
      </c>
      <c r="BL1640" s="6">
        <f>Grandview_Inventory[[#This Row],[Eff_Age]]*Lookups!$B$14</f>
        <v>-12436.663199999999</v>
      </c>
      <c r="BM1640" s="6">
        <f>Grandview_Inventory[[#This Row],[living_area]]*Lookups!$B$15</f>
        <v>108542.68422000001</v>
      </c>
      <c r="BN1640" s="6">
        <f>Grandview_Inventory[[#This Row],[Fin BSMT]]*Lookups!$B$16</f>
        <v>-23576.338800000001</v>
      </c>
      <c r="BO1640" s="6">
        <f>(Grandview_Inventory[[#This Row],[att_gar]]+Grandview_Inventory[[#This Row],[bltin_gar]])*Lookups!$B$17</f>
        <v>0</v>
      </c>
      <c r="BP1640" s="6">
        <f>Grandview_Inventory[[#This Row],[Plumbing Fixtures]]*Lookups!$B$18</f>
        <v>10052.209000000001</v>
      </c>
      <c r="BQ1640" s="6">
        <f>Grandview_Inventory[[#This Row],[detatched_value]]*Lookups!$B$19</f>
        <v>5250.1916199999996</v>
      </c>
      <c r="BR1640" s="6">
        <f>SUM(Grandview_Inventory[[#This Row],[Intercept]:[det_value]])*Grandview_Inventory[[#This Row],[res_pct]]</f>
        <v>210605.03284000003</v>
      </c>
      <c r="BS1640" s="6">
        <f>Grandview_Inventory[[#This Row],[land_value]]</f>
        <v>50650.651579114572</v>
      </c>
      <c r="BT1640" s="4">
        <f>_xlfn.IFNA(VLOOKUP(Grandview_Inventory[[#This Row],[quality]],Lookups!$A$26:$C$33,3,FALSE),1)</f>
        <v>0.9690360070159818</v>
      </c>
      <c r="BU1640" s="4">
        <f>_xlfn.IFNA(VLOOKUP(Grandview_Inventory[[#This Row],[condition]],Lookups!$A$37:$C$44,3,FALSE),1)</f>
        <v>0.96469275950863709</v>
      </c>
      <c r="BV1640" s="4">
        <f>IF(Grandview_Inventory[[#This Row],[bldg_style]]="",1,_xlfn.IFNA(VLOOKUP(Grandview_Inventory[[#This Row],[decade]],Lookups!$F$29:$H$43,3,FALSE),1))</f>
        <v>0.94161750052457416</v>
      </c>
      <c r="BW1640" s="4">
        <f>_xlfn.IFNA(VLOOKUP(Grandview_Inventory[[#This Row],[living_area_range]],Lookups!$F$47:$H$56,3,FALSE),1)</f>
        <v>0.96120133463014379</v>
      </c>
      <c r="BX1640" s="4">
        <f>AVERAGE(Grandview_Inventory[[#This Row],[qual_adj]:[size_adj]])</f>
        <v>0.95913690041983424</v>
      </c>
      <c r="BY1640" s="6">
        <f>IF(Grandview_Inventory[[#This Row],[pre_res]]&lt;0,0,Grandview_Inventory[[#This Row],[pre_res]]*Grandview_Inventory[[#This Row],[overall_adj]])</f>
        <v>201999.05841097503</v>
      </c>
      <c r="BZ1640" s="6">
        <f>(Grandview_Inventory[[#This Row],[sum_land]]-IF(Grandview_Inventory[[#This Row],[no_utilities]]=1,12000,0))/IF(Grandview_Inventory[[#This Row],[unbuildable]]=1,2,1)</f>
        <v>50650.651579114572</v>
      </c>
      <c r="CA164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40">
        <f>ROUND(Grandview_Inventory[[#This Row],[det_value]]*Lookups!$M$28,-2)</f>
        <v>5000</v>
      </c>
      <c r="CC1640">
        <f>IF(ROUND(Grandview_Inventory[[#This Row],[adj_res]]*Lookups!$M$28,-2)&lt;Grandview_Inventory[[#This Row],[min_res]],Grandview_Inventory[[#This Row],[min_res]],ROUND(Grandview_Inventory[[#This Row],[adj_res]]*Lookups!$M$28,-2))</f>
        <v>191900</v>
      </c>
      <c r="CD1640">
        <f>Grandview_Inventory[[#This Row],[final_det]]+Grandview_Inventory[[#This Row],[final_res]]</f>
        <v>196900</v>
      </c>
      <c r="CE1640">
        <f>Grandview_Inventory[[#This Row],[final_land]]+Grandview_Inventory[[#This Row],[final_imp]]+Grandview_Inventory[[#This Row],[crop_value]]</f>
        <v>245000</v>
      </c>
      <c r="CG1640" t="str">
        <f t="shared" si="25"/>
        <v>update valuation set market_land =48100, market_bldg=196900, market_total =245000, market_mdno =401, market_date ='9/10/2023' where link_id = (select link_id from parcel where parcel_year = '2024' and parcel_id = '23092331409');</v>
      </c>
    </row>
    <row r="1641" spans="1:85" x14ac:dyDescent="0.25">
      <c r="A1641">
        <v>23092331410</v>
      </c>
      <c r="B1641">
        <v>0.19</v>
      </c>
      <c r="C1641">
        <v>8191</v>
      </c>
      <c r="D1641" t="s">
        <v>129</v>
      </c>
      <c r="E1641" t="s">
        <v>53</v>
      </c>
      <c r="F1641" t="s">
        <v>53</v>
      </c>
      <c r="G1641">
        <v>4</v>
      </c>
      <c r="H1641" t="s">
        <v>54</v>
      </c>
      <c r="I1641">
        <v>144700</v>
      </c>
      <c r="J1641">
        <v>39100</v>
      </c>
      <c r="K1641">
        <v>0.19</v>
      </c>
      <c r="L164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641">
        <v>0</v>
      </c>
      <c r="N1641">
        <v>0</v>
      </c>
      <c r="O1641">
        <v>0</v>
      </c>
      <c r="P1641">
        <v>13398.7528</v>
      </c>
      <c r="Q1641">
        <v>63903</v>
      </c>
      <c r="R1641">
        <f>(Grandview_Inventory[[#This Row],[ln_acres]]*Grandview_Inventory[[#This Row],[coeff]])+Grandview_Inventory[[#This Row],[const]]</f>
        <v>41651.273092551026</v>
      </c>
      <c r="S1641" t="s">
        <v>61</v>
      </c>
      <c r="T1641">
        <v>1</v>
      </c>
      <c r="U1641" t="s">
        <v>70</v>
      </c>
      <c r="V1641" t="s">
        <v>69</v>
      </c>
      <c r="W1641">
        <v>0</v>
      </c>
      <c r="X1641">
        <v>0</v>
      </c>
      <c r="Y1641">
        <v>43</v>
      </c>
      <c r="Z1641">
        <v>44</v>
      </c>
      <c r="AA1641">
        <v>50</v>
      </c>
      <c r="AB1641">
        <v>1500</v>
      </c>
      <c r="AC1641">
        <v>1296</v>
      </c>
      <c r="AD1641">
        <v>1296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5</v>
      </c>
      <c r="AQ1641">
        <v>0</v>
      </c>
      <c r="AR1641">
        <v>0</v>
      </c>
      <c r="AS1641" t="s">
        <v>58</v>
      </c>
      <c r="AT1641">
        <v>1</v>
      </c>
      <c r="AU1641" t="s">
        <v>75</v>
      </c>
      <c r="AV1641" t="s">
        <v>60</v>
      </c>
      <c r="AW1641">
        <v>0</v>
      </c>
      <c r="AX1641">
        <v>3</v>
      </c>
      <c r="AY1641">
        <v>0</v>
      </c>
      <c r="AZ1641">
        <v>0</v>
      </c>
      <c r="BA1641">
        <v>100</v>
      </c>
      <c r="BB1641">
        <v>100</v>
      </c>
      <c r="BC1641">
        <v>100</v>
      </c>
      <c r="BD1641">
        <v>100</v>
      </c>
      <c r="BE1641">
        <v>1</v>
      </c>
      <c r="BF1641">
        <v>15000</v>
      </c>
      <c r="BG1641">
        <v>1000</v>
      </c>
      <c r="BH1641" s="6">
        <f>Grandview_Inventory[[#This Row],[land_extract]]*Lookups!$B$3</f>
        <v>48369.510983942157</v>
      </c>
      <c r="BI1641" s="6">
        <f>IF(Grandview_Inventory[[#This Row],[bldg_style]]="",0,Lookups!$B$2)</f>
        <v>155833.95000000001</v>
      </c>
      <c r="BJ1641" s="6">
        <f>_xlfn.IFNA(VLOOKUP(Grandview_Inventory[[#This Row],[quality]],Lookups!$H$2:$J$14,3,FALSE),0)</f>
        <v>10733</v>
      </c>
      <c r="BK1641" s="6">
        <f>_xlfn.IFNA(VLOOKUP(Grandview_Inventory[[#This Row],[condition]],Lookups!$H$17:$J$24,3,FALSE),0)</f>
        <v>-4503</v>
      </c>
      <c r="BL1641" s="6">
        <f>Grandview_Inventory[[#This Row],[Eff_Age]]*Lookups!$B$14</f>
        <v>-10284.1638</v>
      </c>
      <c r="BM1641" s="6">
        <f>Grandview_Inventory[[#This Row],[living_area]]*Lookups!$B$15</f>
        <v>80845.585487999997</v>
      </c>
      <c r="BN1641" s="6">
        <f>Grandview_Inventory[[#This Row],[Fin BSMT]]*Lookups!$B$16</f>
        <v>0</v>
      </c>
      <c r="BO1641" s="6">
        <f>(Grandview_Inventory[[#This Row],[att_gar]]+Grandview_Inventory[[#This Row],[bltin_gar]])*Lookups!$B$17</f>
        <v>0</v>
      </c>
      <c r="BP1641" s="6">
        <f>Grandview_Inventory[[#This Row],[Plumbing Fixtures]]*Lookups!$B$18</f>
        <v>10052.209000000001</v>
      </c>
      <c r="BQ1641" s="6">
        <f>Grandview_Inventory[[#This Row],[detatched_value]]*Lookups!$B$19</f>
        <v>0</v>
      </c>
      <c r="BR1641" s="6">
        <f>SUM(Grandview_Inventory[[#This Row],[Intercept]:[det_value]])*Grandview_Inventory[[#This Row],[res_pct]]</f>
        <v>242677.58068799999</v>
      </c>
      <c r="BS1641" s="6">
        <f>Grandview_Inventory[[#This Row],[land_value]]</f>
        <v>48369.510983942157</v>
      </c>
      <c r="BT1641" s="4">
        <f>_xlfn.IFNA(VLOOKUP(Grandview_Inventory[[#This Row],[quality]],Lookups!$A$26:$C$33,3,FALSE),1)</f>
        <v>0.98079741117310582</v>
      </c>
      <c r="BU1641" s="4">
        <f>_xlfn.IFNA(VLOOKUP(Grandview_Inventory[[#This Row],[condition]],Lookups!$A$37:$C$44,3,FALSE),1)</f>
        <v>0.96469275950863709</v>
      </c>
      <c r="BV1641" s="4">
        <f>IF(Grandview_Inventory[[#This Row],[bldg_style]]="",1,_xlfn.IFNA(VLOOKUP(Grandview_Inventory[[#This Row],[decade]],Lookups!$F$29:$H$43,3,FALSE),1))</f>
        <v>0.9871940091910919</v>
      </c>
      <c r="BW1641" s="4">
        <f>_xlfn.IFNA(VLOOKUP(Grandview_Inventory[[#This Row],[living_area_range]],Lookups!$F$47:$H$56,3,FALSE),1)</f>
        <v>0.96135087979789358</v>
      </c>
      <c r="BX1641" s="4">
        <f>AVERAGE(Grandview_Inventory[[#This Row],[qual_adj]:[size_adj]])</f>
        <v>0.97350876491768212</v>
      </c>
      <c r="BY1641" s="6">
        <f>IF(Grandview_Inventory[[#This Row],[pre_res]]&lt;0,0,Grandview_Inventory[[#This Row],[pre_res]]*Grandview_Inventory[[#This Row],[overall_adj]])</f>
        <v>236248.75184878602</v>
      </c>
      <c r="BZ1641" s="6">
        <f>(Grandview_Inventory[[#This Row],[sum_land]]-IF(Grandview_Inventory[[#This Row],[no_utilities]]=1,12000,0))/IF(Grandview_Inventory[[#This Row],[unbuildable]]=1,2,1)</f>
        <v>48369.510983942157</v>
      </c>
      <c r="CA164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641">
        <f>ROUND(Grandview_Inventory[[#This Row],[det_value]]*Lookups!$M$28,-2)</f>
        <v>0</v>
      </c>
      <c r="CC1641">
        <f>IF(ROUND(Grandview_Inventory[[#This Row],[adj_res]]*Lookups!$M$28,-2)&lt;Grandview_Inventory[[#This Row],[min_res]],Grandview_Inventory[[#This Row],[min_res]],ROUND(Grandview_Inventory[[#This Row],[adj_res]]*Lookups!$M$28,-2))</f>
        <v>224400</v>
      </c>
      <c r="CD1641">
        <f>Grandview_Inventory[[#This Row],[final_det]]+Grandview_Inventory[[#This Row],[final_res]]</f>
        <v>224400</v>
      </c>
      <c r="CE1641">
        <f>Grandview_Inventory[[#This Row],[final_land]]+Grandview_Inventory[[#This Row],[final_imp]]+Grandview_Inventory[[#This Row],[crop_value]]</f>
        <v>270400</v>
      </c>
      <c r="CG1641" t="str">
        <f t="shared" si="25"/>
        <v>update valuation set market_land =46000, market_bldg=224400, market_total =270400, market_mdno =401, market_date ='9/10/2023' where link_id = (select link_id from parcel where parcel_year = '2024' and parcel_id = '23092331410');</v>
      </c>
    </row>
    <row r="1642" spans="1:85" x14ac:dyDescent="0.25">
      <c r="A1642">
        <v>23092331411</v>
      </c>
      <c r="B1642">
        <v>0.16</v>
      </c>
      <c r="C1642" t="s">
        <v>129</v>
      </c>
      <c r="D1642" t="s">
        <v>129</v>
      </c>
      <c r="E1642" t="s">
        <v>53</v>
      </c>
      <c r="F1642" t="s">
        <v>53</v>
      </c>
      <c r="G1642">
        <v>4</v>
      </c>
      <c r="H1642" t="s">
        <v>54</v>
      </c>
      <c r="I1642">
        <v>121700</v>
      </c>
      <c r="J1642">
        <v>38600</v>
      </c>
      <c r="K1642">
        <v>0.16</v>
      </c>
      <c r="L164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42">
        <v>0</v>
      </c>
      <c r="N1642">
        <v>0</v>
      </c>
      <c r="O1642">
        <v>0</v>
      </c>
      <c r="P1642">
        <v>13398.7528</v>
      </c>
      <c r="Q1642">
        <v>63903</v>
      </c>
      <c r="R1642">
        <f>(Grandview_Inventory[[#This Row],[ln_acres]]*Grandview_Inventory[[#This Row],[coeff]])+Grandview_Inventory[[#This Row],[const]]</f>
        <v>39348.693981374228</v>
      </c>
      <c r="S1642" t="s">
        <v>61</v>
      </c>
      <c r="T1642">
        <v>1</v>
      </c>
      <c r="U1642" t="s">
        <v>80</v>
      </c>
      <c r="V1642" t="s">
        <v>69</v>
      </c>
      <c r="W1642">
        <v>0</v>
      </c>
      <c r="X1642">
        <v>0</v>
      </c>
      <c r="Y1642">
        <v>52</v>
      </c>
      <c r="Z1642">
        <v>88</v>
      </c>
      <c r="AA1642">
        <v>90</v>
      </c>
      <c r="AB1642">
        <v>1500</v>
      </c>
      <c r="AC1642">
        <v>1296</v>
      </c>
      <c r="AD1642">
        <v>1296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5</v>
      </c>
      <c r="AQ1642">
        <v>0</v>
      </c>
      <c r="AR1642">
        <v>0</v>
      </c>
      <c r="AS1642" t="s">
        <v>58</v>
      </c>
      <c r="AT1642">
        <v>1</v>
      </c>
      <c r="AU1642" t="s">
        <v>75</v>
      </c>
      <c r="AV1642" t="s">
        <v>60</v>
      </c>
      <c r="AW1642">
        <v>0</v>
      </c>
      <c r="AX1642">
        <v>3</v>
      </c>
      <c r="AY1642">
        <v>0</v>
      </c>
      <c r="AZ1642">
        <v>0</v>
      </c>
      <c r="BA1642">
        <v>100</v>
      </c>
      <c r="BB1642">
        <v>100</v>
      </c>
      <c r="BC1642">
        <v>100</v>
      </c>
      <c r="BD1642">
        <v>100</v>
      </c>
      <c r="BE1642">
        <v>1</v>
      </c>
      <c r="BF1642">
        <v>15000</v>
      </c>
      <c r="BG1642">
        <v>1000</v>
      </c>
      <c r="BH1642" s="6">
        <f>Grandview_Inventory[[#This Row],[land_extract]]*Lookups!$B$3</f>
        <v>45695.532079096141</v>
      </c>
      <c r="BI1642" s="6">
        <f>IF(Grandview_Inventory[[#This Row],[bldg_style]]="",0,Lookups!$B$2)</f>
        <v>155833.95000000001</v>
      </c>
      <c r="BJ1642" s="6">
        <f>_xlfn.IFNA(VLOOKUP(Grandview_Inventory[[#This Row],[quality]],Lookups!$H$2:$J$14,3,FALSE),0)</f>
        <v>-28558</v>
      </c>
      <c r="BK1642" s="6">
        <f>_xlfn.IFNA(VLOOKUP(Grandview_Inventory[[#This Row],[condition]],Lookups!$H$17:$J$24,3,FALSE),0)</f>
        <v>-4503</v>
      </c>
      <c r="BL1642" s="6">
        <f>Grandview_Inventory[[#This Row],[Eff_Age]]*Lookups!$B$14</f>
        <v>-12436.663199999999</v>
      </c>
      <c r="BM1642" s="6">
        <f>Grandview_Inventory[[#This Row],[living_area]]*Lookups!$B$15</f>
        <v>80845.585487999997</v>
      </c>
      <c r="BN1642" s="6">
        <f>Grandview_Inventory[[#This Row],[Fin BSMT]]*Lookups!$B$16</f>
        <v>0</v>
      </c>
      <c r="BO1642" s="6">
        <f>(Grandview_Inventory[[#This Row],[att_gar]]+Grandview_Inventory[[#This Row],[bltin_gar]])*Lookups!$B$17</f>
        <v>0</v>
      </c>
      <c r="BP1642" s="6">
        <f>Grandview_Inventory[[#This Row],[Plumbing Fixtures]]*Lookups!$B$18</f>
        <v>10052.209000000001</v>
      </c>
      <c r="BQ1642" s="6">
        <f>Grandview_Inventory[[#This Row],[detatched_value]]*Lookups!$B$19</f>
        <v>0</v>
      </c>
      <c r="BR1642" s="6">
        <f>SUM(Grandview_Inventory[[#This Row],[Intercept]:[det_value]])*Grandview_Inventory[[#This Row],[res_pct]]</f>
        <v>201234.08128800002</v>
      </c>
      <c r="BS1642" s="6">
        <f>Grandview_Inventory[[#This Row],[land_value]]</f>
        <v>45695.532079096141</v>
      </c>
      <c r="BT1642" s="4">
        <f>_xlfn.IFNA(VLOOKUP(Grandview_Inventory[[#This Row],[quality]],Lookups!$A$26:$C$33,3,FALSE),1)</f>
        <v>0.9690360070159818</v>
      </c>
      <c r="BU1642" s="4">
        <f>_xlfn.IFNA(VLOOKUP(Grandview_Inventory[[#This Row],[condition]],Lookups!$A$37:$C$44,3,FALSE),1)</f>
        <v>0.96469275950863709</v>
      </c>
      <c r="BV1642" s="4">
        <f>IF(Grandview_Inventory[[#This Row],[bldg_style]]="",1,_xlfn.IFNA(VLOOKUP(Grandview_Inventory[[#This Row],[decade]],Lookups!$F$29:$H$43,3,FALSE),1))</f>
        <v>0.94161750052457416</v>
      </c>
      <c r="BW1642" s="4">
        <f>_xlfn.IFNA(VLOOKUP(Grandview_Inventory[[#This Row],[living_area_range]],Lookups!$F$47:$H$56,3,FALSE),1)</f>
        <v>0.96135087979789358</v>
      </c>
      <c r="BX1642" s="4">
        <f>AVERAGE(Grandview_Inventory[[#This Row],[qual_adj]:[size_adj]])</f>
        <v>0.95917428671177163</v>
      </c>
      <c r="BY1642" s="6">
        <f>IF(Grandview_Inventory[[#This Row],[pre_res]]&lt;0,0,Grandview_Inventory[[#This Row],[pre_res]]*Grandview_Inventory[[#This Row],[overall_adj]])</f>
        <v>193018.55638151607</v>
      </c>
      <c r="BZ1642" s="6">
        <f>(Grandview_Inventory[[#This Row],[sum_land]]-IF(Grandview_Inventory[[#This Row],[no_utilities]]=1,12000,0))/IF(Grandview_Inventory[[#This Row],[unbuildable]]=1,2,1)</f>
        <v>45695.532079096141</v>
      </c>
      <c r="CA164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42">
        <f>ROUND(Grandview_Inventory[[#This Row],[det_value]]*Lookups!$M$28,-2)</f>
        <v>0</v>
      </c>
      <c r="CC1642">
        <f>IF(ROUND(Grandview_Inventory[[#This Row],[adj_res]]*Lookups!$M$28,-2)&lt;Grandview_Inventory[[#This Row],[min_res]],Grandview_Inventory[[#This Row],[min_res]],ROUND(Grandview_Inventory[[#This Row],[adj_res]]*Lookups!$M$28,-2))</f>
        <v>183400</v>
      </c>
      <c r="CD1642">
        <f>Grandview_Inventory[[#This Row],[final_det]]+Grandview_Inventory[[#This Row],[final_res]]</f>
        <v>183400</v>
      </c>
      <c r="CE1642">
        <f>Grandview_Inventory[[#This Row],[final_land]]+Grandview_Inventory[[#This Row],[final_imp]]+Grandview_Inventory[[#This Row],[crop_value]]</f>
        <v>226800</v>
      </c>
      <c r="CG1642" t="str">
        <f t="shared" si="25"/>
        <v>update valuation set market_land =43400, market_bldg=183400, market_total =226800, market_mdno =401, market_date ='9/10/2023' where link_id = (select link_id from parcel where parcel_year = '2024' and parcel_id = '23092331411');</v>
      </c>
    </row>
    <row r="1643" spans="1:85" x14ac:dyDescent="0.25">
      <c r="A1643">
        <v>23092331412</v>
      </c>
      <c r="B1643">
        <v>0.3</v>
      </c>
      <c r="C1643">
        <v>12933</v>
      </c>
      <c r="D1643" t="s">
        <v>129</v>
      </c>
      <c r="E1643" t="s">
        <v>53</v>
      </c>
      <c r="F1643" t="s">
        <v>53</v>
      </c>
      <c r="G1643">
        <v>4</v>
      </c>
      <c r="H1643" t="s">
        <v>54</v>
      </c>
      <c r="I1643">
        <v>189000</v>
      </c>
      <c r="J1643">
        <v>40700</v>
      </c>
      <c r="K1643">
        <v>0.3</v>
      </c>
      <c r="L1643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1643">
        <v>0</v>
      </c>
      <c r="N1643">
        <v>0</v>
      </c>
      <c r="O1643">
        <v>0</v>
      </c>
      <c r="P1643">
        <v>13398.7528</v>
      </c>
      <c r="Q1643">
        <v>63903</v>
      </c>
      <c r="R1643">
        <f>(Grandview_Inventory[[#This Row],[ln_acres]]*Grandview_Inventory[[#This Row],[coeff]])+Grandview_Inventory[[#This Row],[const]]</f>
        <v>47771.266016914014</v>
      </c>
      <c r="S1643" t="s">
        <v>61</v>
      </c>
      <c r="T1643">
        <v>1</v>
      </c>
      <c r="U1643" t="s">
        <v>62</v>
      </c>
      <c r="V1643" t="s">
        <v>69</v>
      </c>
      <c r="W1643">
        <v>0</v>
      </c>
      <c r="X1643">
        <v>0</v>
      </c>
      <c r="Y1643">
        <v>31</v>
      </c>
      <c r="Z1643">
        <v>31</v>
      </c>
      <c r="AA1643">
        <v>40</v>
      </c>
      <c r="AB1643">
        <v>2000</v>
      </c>
      <c r="AC1643">
        <v>1560</v>
      </c>
      <c r="AD1643">
        <v>1560</v>
      </c>
      <c r="AE1643">
        <v>0</v>
      </c>
      <c r="AF1643">
        <v>0</v>
      </c>
      <c r="AG1643">
        <v>0</v>
      </c>
      <c r="AH1643">
        <v>0</v>
      </c>
      <c r="AI1643">
        <v>440</v>
      </c>
      <c r="AJ1643">
        <v>0</v>
      </c>
      <c r="AK1643">
        <v>0</v>
      </c>
      <c r="AL1643">
        <v>160</v>
      </c>
      <c r="AM1643">
        <v>132</v>
      </c>
      <c r="AN1643">
        <v>144</v>
      </c>
      <c r="AO1643">
        <v>0</v>
      </c>
      <c r="AP1643">
        <v>8</v>
      </c>
      <c r="AQ1643">
        <v>0</v>
      </c>
      <c r="AR1643">
        <v>0</v>
      </c>
      <c r="AS1643" t="s">
        <v>58</v>
      </c>
      <c r="AT1643">
        <v>1</v>
      </c>
      <c r="AU1643" t="s">
        <v>63</v>
      </c>
      <c r="AV1643" t="s">
        <v>64</v>
      </c>
      <c r="AW1643">
        <v>1</v>
      </c>
      <c r="AX1643">
        <v>3</v>
      </c>
      <c r="AY1643">
        <v>0</v>
      </c>
      <c r="AZ1643">
        <v>0</v>
      </c>
      <c r="BA1643">
        <v>100</v>
      </c>
      <c r="BB1643">
        <v>100</v>
      </c>
      <c r="BC1643">
        <v>100</v>
      </c>
      <c r="BD1643">
        <v>100</v>
      </c>
      <c r="BE1643">
        <v>1</v>
      </c>
      <c r="BF1643">
        <v>15000</v>
      </c>
      <c r="BG1643">
        <v>1000</v>
      </c>
      <c r="BH1643" s="6">
        <f>Grandview_Inventory[[#This Row],[land_extract]]*Lookups!$B$3</f>
        <v>55476.642243023998</v>
      </c>
      <c r="BI1643" s="6">
        <f>IF(Grandview_Inventory[[#This Row],[bldg_style]]="",0,Lookups!$B$2)</f>
        <v>155833.95000000001</v>
      </c>
      <c r="BJ1643" s="6">
        <f>_xlfn.IFNA(VLOOKUP(Grandview_Inventory[[#This Row],[quality]],Lookups!$H$2:$J$14,3,FALSE),0)</f>
        <v>9808</v>
      </c>
      <c r="BK1643" s="6">
        <f>_xlfn.IFNA(VLOOKUP(Grandview_Inventory[[#This Row],[condition]],Lookups!$H$17:$J$24,3,FALSE),0)</f>
        <v>-4503</v>
      </c>
      <c r="BL1643" s="6">
        <f>Grandview_Inventory[[#This Row],[Eff_Age]]*Lookups!$B$14</f>
        <v>-7414.1646000000001</v>
      </c>
      <c r="BM1643" s="6">
        <f>Grandview_Inventory[[#This Row],[living_area]]*Lookups!$B$15</f>
        <v>97314.130680000002</v>
      </c>
      <c r="BN1643" s="6">
        <f>Grandview_Inventory[[#This Row],[Fin BSMT]]*Lookups!$B$16</f>
        <v>0</v>
      </c>
      <c r="BO1643" s="6">
        <f>(Grandview_Inventory[[#This Row],[att_gar]]+Grandview_Inventory[[#This Row],[bltin_gar]])*Lookups!$B$17</f>
        <v>38508.992279999999</v>
      </c>
      <c r="BP1643" s="6">
        <f>Grandview_Inventory[[#This Row],[Plumbing Fixtures]]*Lookups!$B$18</f>
        <v>16083.5344</v>
      </c>
      <c r="BQ1643" s="6">
        <f>Grandview_Inventory[[#This Row],[detatched_value]]*Lookups!$B$19</f>
        <v>0</v>
      </c>
      <c r="BR1643" s="6">
        <f>SUM(Grandview_Inventory[[#This Row],[Intercept]:[det_value]])*Grandview_Inventory[[#This Row],[res_pct]]</f>
        <v>305631.44276000001</v>
      </c>
      <c r="BS1643" s="6">
        <f>Grandview_Inventory[[#This Row],[land_value]]</f>
        <v>55476.642243023998</v>
      </c>
      <c r="BT1643" s="4">
        <f>_xlfn.IFNA(VLOOKUP(Grandview_Inventory[[#This Row],[quality]],Lookups!$A$26:$C$33,3,FALSE),1)</f>
        <v>0.94295468617355149</v>
      </c>
      <c r="BU1643" s="4">
        <f>_xlfn.IFNA(VLOOKUP(Grandview_Inventory[[#This Row],[condition]],Lookups!$A$37:$C$44,3,FALSE),1)</f>
        <v>0.96469275950863709</v>
      </c>
      <c r="BV1643" s="4">
        <f>IF(Grandview_Inventory[[#This Row],[bldg_style]]="",1,_xlfn.IFNA(VLOOKUP(Grandview_Inventory[[#This Row],[decade]],Lookups!$F$29:$H$43,3,FALSE),1))</f>
        <v>0.98031878267063854</v>
      </c>
      <c r="BW1643" s="4">
        <f>_xlfn.IFNA(VLOOKUP(Grandview_Inventory[[#This Row],[living_area_range]],Lookups!$F$47:$H$56,3,FALSE),1)</f>
        <v>0.96120133463014379</v>
      </c>
      <c r="BX1643" s="4">
        <f>AVERAGE(Grandview_Inventory[[#This Row],[qual_adj]:[size_adj]])</f>
        <v>0.96229189074574273</v>
      </c>
      <c r="BY1643" s="6">
        <f>IF(Grandview_Inventory[[#This Row],[pre_res]]&lt;0,0,Grandview_Inventory[[#This Row],[pre_res]]*Grandview_Inventory[[#This Row],[overall_adj]])</f>
        <v>294106.65892486967</v>
      </c>
      <c r="BZ1643" s="6">
        <f>(Grandview_Inventory[[#This Row],[sum_land]]-IF(Grandview_Inventory[[#This Row],[no_utilities]]=1,12000,0))/IF(Grandview_Inventory[[#This Row],[unbuildable]]=1,2,1)</f>
        <v>55476.642243023998</v>
      </c>
      <c r="CA1643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1643">
        <f>ROUND(Grandview_Inventory[[#This Row],[det_value]]*Lookups!$M$28,-2)</f>
        <v>0</v>
      </c>
      <c r="CC1643">
        <f>IF(ROUND(Grandview_Inventory[[#This Row],[adj_res]]*Lookups!$M$28,-2)&lt;Grandview_Inventory[[#This Row],[min_res]],Grandview_Inventory[[#This Row],[min_res]],ROUND(Grandview_Inventory[[#This Row],[adj_res]]*Lookups!$M$28,-2))</f>
        <v>279400</v>
      </c>
      <c r="CD1643">
        <f>Grandview_Inventory[[#This Row],[final_det]]+Grandview_Inventory[[#This Row],[final_res]]</f>
        <v>279400</v>
      </c>
      <c r="CE1643">
        <f>Grandview_Inventory[[#This Row],[final_land]]+Grandview_Inventory[[#This Row],[final_imp]]+Grandview_Inventory[[#This Row],[crop_value]]</f>
        <v>332100</v>
      </c>
      <c r="CG1643" t="str">
        <f t="shared" si="25"/>
        <v>update valuation set market_land =52700, market_bldg=279400, market_total =332100, market_mdno =401, market_date ='9/10/2023' where link_id = (select link_id from parcel where parcel_year = '2024' and parcel_id = '23092331412');</v>
      </c>
    </row>
    <row r="1644" spans="1:85" x14ac:dyDescent="0.25">
      <c r="A1644">
        <v>23092331413</v>
      </c>
      <c r="B1644">
        <v>0.2</v>
      </c>
      <c r="C1644">
        <v>8674</v>
      </c>
      <c r="D1644" t="s">
        <v>129</v>
      </c>
      <c r="E1644" t="s">
        <v>53</v>
      </c>
      <c r="F1644" t="s">
        <v>53</v>
      </c>
      <c r="G1644">
        <v>4</v>
      </c>
      <c r="H1644" t="s">
        <v>54</v>
      </c>
      <c r="I1644">
        <v>233900</v>
      </c>
      <c r="J1644">
        <v>39300</v>
      </c>
      <c r="K1644">
        <v>0.2</v>
      </c>
      <c r="L164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44">
        <v>0</v>
      </c>
      <c r="N1644">
        <v>0</v>
      </c>
      <c r="O1644">
        <v>0</v>
      </c>
      <c r="P1644">
        <v>13398.7528</v>
      </c>
      <c r="Q1644">
        <v>63903</v>
      </c>
      <c r="R1644">
        <f>(Grandview_Inventory[[#This Row],[ln_acres]]*Grandview_Inventory[[#This Row],[coeff]])+Grandview_Inventory[[#This Row],[const]]</f>
        <v>42338.539264347448</v>
      </c>
      <c r="S1644" t="s">
        <v>61</v>
      </c>
      <c r="T1644">
        <v>1</v>
      </c>
      <c r="U1644" t="s">
        <v>62</v>
      </c>
      <c r="V1644" t="s">
        <v>67</v>
      </c>
      <c r="W1644">
        <v>0</v>
      </c>
      <c r="X1644">
        <v>0</v>
      </c>
      <c r="Y1644">
        <v>30</v>
      </c>
      <c r="Z1644">
        <v>30</v>
      </c>
      <c r="AA1644">
        <v>30</v>
      </c>
      <c r="AB1644">
        <v>1500</v>
      </c>
      <c r="AC1644">
        <v>1490</v>
      </c>
      <c r="AD1644">
        <v>1490</v>
      </c>
      <c r="AE1644">
        <v>0</v>
      </c>
      <c r="AF1644">
        <v>0</v>
      </c>
      <c r="AG1644">
        <v>0</v>
      </c>
      <c r="AH1644">
        <v>0</v>
      </c>
      <c r="AI1644">
        <v>528</v>
      </c>
      <c r="AJ1644">
        <v>0</v>
      </c>
      <c r="AK1644">
        <v>0</v>
      </c>
      <c r="AL1644">
        <v>312</v>
      </c>
      <c r="AM1644">
        <v>0</v>
      </c>
      <c r="AN1644">
        <v>50</v>
      </c>
      <c r="AO1644">
        <v>0</v>
      </c>
      <c r="AP1644">
        <v>8</v>
      </c>
      <c r="AQ1644">
        <v>0</v>
      </c>
      <c r="AR1644">
        <v>0</v>
      </c>
      <c r="AS1644" t="s">
        <v>58</v>
      </c>
      <c r="AT1644">
        <v>1</v>
      </c>
      <c r="AU1644" t="s">
        <v>59</v>
      </c>
      <c r="AV1644" t="s">
        <v>60</v>
      </c>
      <c r="AW1644">
        <v>1</v>
      </c>
      <c r="AX1644">
        <v>3</v>
      </c>
      <c r="AY1644">
        <v>0</v>
      </c>
      <c r="AZ1644">
        <v>0</v>
      </c>
      <c r="BA1644">
        <v>100</v>
      </c>
      <c r="BB1644">
        <v>100</v>
      </c>
      <c r="BC1644">
        <v>100</v>
      </c>
      <c r="BD1644">
        <v>100</v>
      </c>
      <c r="BE1644">
        <v>1</v>
      </c>
      <c r="BF1644">
        <v>15000</v>
      </c>
      <c r="BG1644">
        <v>1000</v>
      </c>
      <c r="BH1644" s="6">
        <f>Grandview_Inventory[[#This Row],[land_extract]]*Lookups!$B$3</f>
        <v>49167.631333630678</v>
      </c>
      <c r="BI1644" s="6">
        <f>IF(Grandview_Inventory[[#This Row],[bldg_style]]="",0,Lookups!$B$2)</f>
        <v>155833.95000000001</v>
      </c>
      <c r="BJ1644" s="6">
        <f>_xlfn.IFNA(VLOOKUP(Grandview_Inventory[[#This Row],[quality]],Lookups!$H$2:$J$14,3,FALSE),0)</f>
        <v>9808</v>
      </c>
      <c r="BK1644" s="6">
        <f>_xlfn.IFNA(VLOOKUP(Grandview_Inventory[[#This Row],[condition]],Lookups!$H$17:$J$24,3,FALSE),0)</f>
        <v>22342</v>
      </c>
      <c r="BL1644" s="6">
        <f>Grandview_Inventory[[#This Row],[Eff_Age]]*Lookups!$B$14</f>
        <v>-7174.9979999999996</v>
      </c>
      <c r="BM1644" s="6">
        <f>Grandview_Inventory[[#This Row],[living_area]]*Lookups!$B$15</f>
        <v>92947.470970000009</v>
      </c>
      <c r="BN1644" s="6">
        <f>Grandview_Inventory[[#This Row],[Fin BSMT]]*Lookups!$B$16</f>
        <v>0</v>
      </c>
      <c r="BO1644" s="6">
        <f>(Grandview_Inventory[[#This Row],[att_gar]]+Grandview_Inventory[[#This Row],[bltin_gar]])*Lookups!$B$17</f>
        <v>46210.790736000003</v>
      </c>
      <c r="BP1644" s="6">
        <f>Grandview_Inventory[[#This Row],[Plumbing Fixtures]]*Lookups!$B$18</f>
        <v>16083.5344</v>
      </c>
      <c r="BQ1644" s="6">
        <f>Grandview_Inventory[[#This Row],[detatched_value]]*Lookups!$B$19</f>
        <v>0</v>
      </c>
      <c r="BR1644" s="6">
        <f>SUM(Grandview_Inventory[[#This Row],[Intercept]:[det_value]])*Grandview_Inventory[[#This Row],[res_pct]]</f>
        <v>336050.74810600001</v>
      </c>
      <c r="BS1644" s="6">
        <f>Grandview_Inventory[[#This Row],[land_value]]</f>
        <v>49167.631333630678</v>
      </c>
      <c r="BT1644" s="4">
        <f>_xlfn.IFNA(VLOOKUP(Grandview_Inventory[[#This Row],[quality]],Lookups!$A$26:$C$33,3,FALSE),1)</f>
        <v>0.94295468617355149</v>
      </c>
      <c r="BU1644" s="4">
        <f>_xlfn.IFNA(VLOOKUP(Grandview_Inventory[[#This Row],[condition]],Lookups!$A$37:$C$44,3,FALSE),1)</f>
        <v>0.97383723671140243</v>
      </c>
      <c r="BV1644" s="4">
        <f>IF(Grandview_Inventory[[#This Row],[bldg_style]]="",1,_xlfn.IFNA(VLOOKUP(Grandview_Inventory[[#This Row],[decade]],Lookups!$F$29:$H$43,3,FALSE),1))</f>
        <v>0.98397821291089549</v>
      </c>
      <c r="BW1644" s="4">
        <f>_xlfn.IFNA(VLOOKUP(Grandview_Inventory[[#This Row],[living_area_range]],Lookups!$F$47:$H$56,3,FALSE),1)</f>
        <v>0.96135087979789358</v>
      </c>
      <c r="BX1644" s="4">
        <f>AVERAGE(Grandview_Inventory[[#This Row],[qual_adj]:[size_adj]])</f>
        <v>0.96553025389843572</v>
      </c>
      <c r="BY1644" s="6">
        <f>IF(Grandview_Inventory[[#This Row],[pre_res]]&lt;0,0,Grandview_Inventory[[#This Row],[pre_res]]*Grandview_Inventory[[#This Row],[overall_adj]])</f>
        <v>324467.16414154548</v>
      </c>
      <c r="BZ1644" s="6">
        <f>(Grandview_Inventory[[#This Row],[sum_land]]-IF(Grandview_Inventory[[#This Row],[no_utilities]]=1,12000,0))/IF(Grandview_Inventory[[#This Row],[unbuildable]]=1,2,1)</f>
        <v>49167.631333630678</v>
      </c>
      <c r="CA164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44">
        <f>ROUND(Grandview_Inventory[[#This Row],[det_value]]*Lookups!$M$28,-2)</f>
        <v>0</v>
      </c>
      <c r="CC1644">
        <f>IF(ROUND(Grandview_Inventory[[#This Row],[adj_res]]*Lookups!$M$28,-2)&lt;Grandview_Inventory[[#This Row],[min_res]],Grandview_Inventory[[#This Row],[min_res]],ROUND(Grandview_Inventory[[#This Row],[adj_res]]*Lookups!$M$28,-2))</f>
        <v>308200</v>
      </c>
      <c r="CD1644">
        <f>Grandview_Inventory[[#This Row],[final_det]]+Grandview_Inventory[[#This Row],[final_res]]</f>
        <v>308200</v>
      </c>
      <c r="CE1644">
        <f>Grandview_Inventory[[#This Row],[final_land]]+Grandview_Inventory[[#This Row],[final_imp]]+Grandview_Inventory[[#This Row],[crop_value]]</f>
        <v>354900</v>
      </c>
      <c r="CG1644" t="str">
        <f t="shared" si="25"/>
        <v>update valuation set market_land =46700, market_bldg=308200, market_total =354900, market_mdno =401, market_date ='9/10/2023' where link_id = (select link_id from parcel where parcel_year = '2024' and parcel_id = '23092331413');</v>
      </c>
    </row>
    <row r="1645" spans="1:85" x14ac:dyDescent="0.25">
      <c r="A1645">
        <v>23092331414</v>
      </c>
      <c r="B1645">
        <v>0.23</v>
      </c>
      <c r="C1645">
        <v>10202</v>
      </c>
      <c r="D1645" t="s">
        <v>129</v>
      </c>
      <c r="E1645" t="s">
        <v>53</v>
      </c>
      <c r="F1645" t="s">
        <v>53</v>
      </c>
      <c r="G1645">
        <v>4</v>
      </c>
      <c r="H1645" t="s">
        <v>54</v>
      </c>
      <c r="I1645">
        <v>155800</v>
      </c>
      <c r="J1645">
        <v>39700</v>
      </c>
      <c r="K1645">
        <v>0.23</v>
      </c>
      <c r="L164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645">
        <v>0</v>
      </c>
      <c r="N1645">
        <v>0</v>
      </c>
      <c r="O1645">
        <v>0</v>
      </c>
      <c r="P1645">
        <v>13398.7528</v>
      </c>
      <c r="Q1645">
        <v>63903</v>
      </c>
      <c r="R1645">
        <f>(Grandview_Inventory[[#This Row],[ln_acres]]*Grandview_Inventory[[#This Row],[coeff]])+Grandview_Inventory[[#This Row],[const]]</f>
        <v>44211.174981080039</v>
      </c>
      <c r="S1645" t="s">
        <v>61</v>
      </c>
      <c r="T1645">
        <v>1</v>
      </c>
      <c r="U1645" t="s">
        <v>62</v>
      </c>
      <c r="V1645" t="s">
        <v>69</v>
      </c>
      <c r="W1645">
        <v>0</v>
      </c>
      <c r="X1645">
        <v>0</v>
      </c>
      <c r="Y1645">
        <v>32</v>
      </c>
      <c r="Z1645">
        <v>32</v>
      </c>
      <c r="AA1645">
        <v>40</v>
      </c>
      <c r="AB1645">
        <v>1500</v>
      </c>
      <c r="AC1645">
        <v>1328</v>
      </c>
      <c r="AD1645">
        <v>1328</v>
      </c>
      <c r="AE1645">
        <v>0</v>
      </c>
      <c r="AF1645">
        <v>0</v>
      </c>
      <c r="AG1645">
        <v>0</v>
      </c>
      <c r="AH1645">
        <v>0</v>
      </c>
      <c r="AI1645">
        <v>240</v>
      </c>
      <c r="AJ1645">
        <v>0</v>
      </c>
      <c r="AK1645">
        <v>0</v>
      </c>
      <c r="AL1645">
        <v>0</v>
      </c>
      <c r="AM1645">
        <v>80</v>
      </c>
      <c r="AN1645">
        <v>96</v>
      </c>
      <c r="AO1645">
        <v>0</v>
      </c>
      <c r="AP1645">
        <v>8</v>
      </c>
      <c r="AQ1645">
        <v>0</v>
      </c>
      <c r="AR1645">
        <v>0</v>
      </c>
      <c r="AS1645" t="s">
        <v>58</v>
      </c>
      <c r="AT1645">
        <v>1</v>
      </c>
      <c r="AU1645" t="s">
        <v>63</v>
      </c>
      <c r="AV1645" t="s">
        <v>60</v>
      </c>
      <c r="AW1645">
        <v>0</v>
      </c>
      <c r="AX1645">
        <v>3</v>
      </c>
      <c r="AY1645">
        <v>0</v>
      </c>
      <c r="AZ1645">
        <v>0</v>
      </c>
      <c r="BA1645">
        <v>100</v>
      </c>
      <c r="BB1645">
        <v>100</v>
      </c>
      <c r="BC1645">
        <v>100</v>
      </c>
      <c r="BD1645">
        <v>100</v>
      </c>
      <c r="BE1645">
        <v>1</v>
      </c>
      <c r="BF1645">
        <v>15000</v>
      </c>
      <c r="BG1645">
        <v>1000</v>
      </c>
      <c r="BH1645" s="6">
        <f>Grandview_Inventory[[#This Row],[land_extract]]*Lookups!$B$3</f>
        <v>51342.318135355803</v>
      </c>
      <c r="BI1645" s="6">
        <f>IF(Grandview_Inventory[[#This Row],[bldg_style]]="",0,Lookups!$B$2)</f>
        <v>155833.95000000001</v>
      </c>
      <c r="BJ1645" s="6">
        <f>_xlfn.IFNA(VLOOKUP(Grandview_Inventory[[#This Row],[quality]],Lookups!$H$2:$J$14,3,FALSE),0)</f>
        <v>9808</v>
      </c>
      <c r="BK1645" s="6">
        <f>_xlfn.IFNA(VLOOKUP(Grandview_Inventory[[#This Row],[condition]],Lookups!$H$17:$J$24,3,FALSE),0)</f>
        <v>-4503</v>
      </c>
      <c r="BL1645" s="6">
        <f>Grandview_Inventory[[#This Row],[Eff_Age]]*Lookups!$B$14</f>
        <v>-7653.3311999999996</v>
      </c>
      <c r="BM1645" s="6">
        <f>Grandview_Inventory[[#This Row],[living_area]]*Lookups!$B$15</f>
        <v>82841.772784000001</v>
      </c>
      <c r="BN1645" s="6">
        <f>Grandview_Inventory[[#This Row],[Fin BSMT]]*Lookups!$B$16</f>
        <v>0</v>
      </c>
      <c r="BO1645" s="6">
        <f>(Grandview_Inventory[[#This Row],[att_gar]]+Grandview_Inventory[[#This Row],[bltin_gar]])*Lookups!$B$17</f>
        <v>21004.904880000002</v>
      </c>
      <c r="BP1645" s="6">
        <f>Grandview_Inventory[[#This Row],[Plumbing Fixtures]]*Lookups!$B$18</f>
        <v>16083.5344</v>
      </c>
      <c r="BQ1645" s="6">
        <f>Grandview_Inventory[[#This Row],[detatched_value]]*Lookups!$B$19</f>
        <v>0</v>
      </c>
      <c r="BR1645" s="6">
        <f>SUM(Grandview_Inventory[[#This Row],[Intercept]:[det_value]])*Grandview_Inventory[[#This Row],[res_pct]]</f>
        <v>273415.83086400002</v>
      </c>
      <c r="BS1645" s="6">
        <f>Grandview_Inventory[[#This Row],[land_value]]</f>
        <v>51342.318135355803</v>
      </c>
      <c r="BT1645" s="4">
        <f>_xlfn.IFNA(VLOOKUP(Grandview_Inventory[[#This Row],[quality]],Lookups!$A$26:$C$33,3,FALSE),1)</f>
        <v>0.94295468617355149</v>
      </c>
      <c r="BU1645" s="4">
        <f>_xlfn.IFNA(VLOOKUP(Grandview_Inventory[[#This Row],[condition]],Lookups!$A$37:$C$44,3,FALSE),1)</f>
        <v>0.96469275950863709</v>
      </c>
      <c r="BV1645" s="4">
        <f>IF(Grandview_Inventory[[#This Row],[bldg_style]]="",1,_xlfn.IFNA(VLOOKUP(Grandview_Inventory[[#This Row],[decade]],Lookups!$F$29:$H$43,3,FALSE),1))</f>
        <v>0.98031878267063854</v>
      </c>
      <c r="BW1645" s="4">
        <f>_xlfn.IFNA(VLOOKUP(Grandview_Inventory[[#This Row],[living_area_range]],Lookups!$F$47:$H$56,3,FALSE),1)</f>
        <v>0.96135087979789358</v>
      </c>
      <c r="BX1645" s="4">
        <f>AVERAGE(Grandview_Inventory[[#This Row],[qual_adj]:[size_adj]])</f>
        <v>0.96232927703768012</v>
      </c>
      <c r="BY1645" s="6">
        <f>IF(Grandview_Inventory[[#This Row],[pre_res]]&lt;0,0,Grandview_Inventory[[#This Row],[pre_res]]*Grandview_Inventory[[#This Row],[overall_adj]])</f>
        <v>263116.05884600978</v>
      </c>
      <c r="BZ1645" s="6">
        <f>(Grandview_Inventory[[#This Row],[sum_land]]-IF(Grandview_Inventory[[#This Row],[no_utilities]]=1,12000,0))/IF(Grandview_Inventory[[#This Row],[unbuildable]]=1,2,1)</f>
        <v>51342.318135355803</v>
      </c>
      <c r="CA164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645">
        <f>ROUND(Grandview_Inventory[[#This Row],[det_value]]*Lookups!$M$28,-2)</f>
        <v>0</v>
      </c>
      <c r="CC1645">
        <f>IF(ROUND(Grandview_Inventory[[#This Row],[adj_res]]*Lookups!$M$28,-2)&lt;Grandview_Inventory[[#This Row],[min_res]],Grandview_Inventory[[#This Row],[min_res]],ROUND(Grandview_Inventory[[#This Row],[adj_res]]*Lookups!$M$28,-2))</f>
        <v>250000</v>
      </c>
      <c r="CD1645">
        <f>Grandview_Inventory[[#This Row],[final_det]]+Grandview_Inventory[[#This Row],[final_res]]</f>
        <v>250000</v>
      </c>
      <c r="CE1645">
        <f>Grandview_Inventory[[#This Row],[final_land]]+Grandview_Inventory[[#This Row],[final_imp]]+Grandview_Inventory[[#This Row],[crop_value]]</f>
        <v>298800</v>
      </c>
      <c r="CG1645" t="str">
        <f t="shared" si="25"/>
        <v>update valuation set market_land =48800, market_bldg=250000, market_total =298800, market_mdno =401, market_date ='9/10/2023' where link_id = (select link_id from parcel where parcel_year = '2024' and parcel_id = '23092331414');</v>
      </c>
    </row>
    <row r="1646" spans="1:85" x14ac:dyDescent="0.25">
      <c r="A1646">
        <v>23092331415</v>
      </c>
      <c r="B1646">
        <v>0.17</v>
      </c>
      <c r="C1646">
        <v>7203</v>
      </c>
      <c r="D1646" t="s">
        <v>129</v>
      </c>
      <c r="E1646" t="s">
        <v>53</v>
      </c>
      <c r="F1646" t="s">
        <v>53</v>
      </c>
      <c r="G1646">
        <v>4</v>
      </c>
      <c r="H1646" t="s">
        <v>54</v>
      </c>
      <c r="I1646">
        <v>145000</v>
      </c>
      <c r="J1646">
        <v>38800</v>
      </c>
      <c r="K1646">
        <v>0.17</v>
      </c>
      <c r="L164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646">
        <v>0</v>
      </c>
      <c r="N1646">
        <v>0</v>
      </c>
      <c r="O1646">
        <v>0</v>
      </c>
      <c r="P1646">
        <v>13398.7528</v>
      </c>
      <c r="Q1646">
        <v>63903</v>
      </c>
      <c r="R1646">
        <f>(Grandview_Inventory[[#This Row],[ln_acres]]*Grandview_Inventory[[#This Row],[coeff]])+Grandview_Inventory[[#This Row],[const]]</f>
        <v>40160.988302686128</v>
      </c>
      <c r="S1646" t="s">
        <v>61</v>
      </c>
      <c r="T1646">
        <v>1</v>
      </c>
      <c r="U1646" t="s">
        <v>65</v>
      </c>
      <c r="V1646" t="s">
        <v>69</v>
      </c>
      <c r="W1646">
        <v>0</v>
      </c>
      <c r="X1646">
        <v>0</v>
      </c>
      <c r="Y1646">
        <v>32</v>
      </c>
      <c r="Z1646">
        <v>32</v>
      </c>
      <c r="AA1646">
        <v>40</v>
      </c>
      <c r="AB1646">
        <v>1500</v>
      </c>
      <c r="AC1646">
        <v>1340</v>
      </c>
      <c r="AD1646">
        <v>1340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80</v>
      </c>
      <c r="AN1646">
        <v>0</v>
      </c>
      <c r="AO1646">
        <v>56</v>
      </c>
      <c r="AP1646">
        <v>8</v>
      </c>
      <c r="AQ1646">
        <v>0</v>
      </c>
      <c r="AR1646">
        <v>0</v>
      </c>
      <c r="AS1646" t="s">
        <v>58</v>
      </c>
      <c r="AT1646">
        <v>1</v>
      </c>
      <c r="AU1646" t="s">
        <v>75</v>
      </c>
      <c r="AV1646" t="s">
        <v>60</v>
      </c>
      <c r="AW1646">
        <v>0</v>
      </c>
      <c r="AX1646">
        <v>4</v>
      </c>
      <c r="AY1646">
        <v>0</v>
      </c>
      <c r="AZ1646">
        <v>0</v>
      </c>
      <c r="BA1646">
        <v>100</v>
      </c>
      <c r="BB1646">
        <v>100</v>
      </c>
      <c r="BC1646">
        <v>100</v>
      </c>
      <c r="BD1646">
        <v>100</v>
      </c>
      <c r="BE1646">
        <v>1</v>
      </c>
      <c r="BF1646">
        <v>15000</v>
      </c>
      <c r="BG1646">
        <v>1000</v>
      </c>
      <c r="BH1646" s="6">
        <f>Grandview_Inventory[[#This Row],[land_extract]]*Lookups!$B$3</f>
        <v>46638.847281240982</v>
      </c>
      <c r="BI1646" s="6">
        <f>IF(Grandview_Inventory[[#This Row],[bldg_style]]="",0,Lookups!$B$2)</f>
        <v>155833.95000000001</v>
      </c>
      <c r="BJ1646" s="6">
        <f>_xlfn.IFNA(VLOOKUP(Grandview_Inventory[[#This Row],[quality]],Lookups!$H$2:$J$14,3,FALSE),0)</f>
        <v>2251</v>
      </c>
      <c r="BK1646" s="6">
        <f>_xlfn.IFNA(VLOOKUP(Grandview_Inventory[[#This Row],[condition]],Lookups!$H$17:$J$24,3,FALSE),0)</f>
        <v>-4503</v>
      </c>
      <c r="BL1646" s="6">
        <f>Grandview_Inventory[[#This Row],[Eff_Age]]*Lookups!$B$14</f>
        <v>-7653.3311999999996</v>
      </c>
      <c r="BM1646" s="6">
        <f>Grandview_Inventory[[#This Row],[living_area]]*Lookups!$B$15</f>
        <v>83590.34302</v>
      </c>
      <c r="BN1646" s="6">
        <f>Grandview_Inventory[[#This Row],[Fin BSMT]]*Lookups!$B$16</f>
        <v>0</v>
      </c>
      <c r="BO1646" s="6">
        <f>(Grandview_Inventory[[#This Row],[att_gar]]+Grandview_Inventory[[#This Row],[bltin_gar]])*Lookups!$B$17</f>
        <v>0</v>
      </c>
      <c r="BP1646" s="6">
        <f>Grandview_Inventory[[#This Row],[Plumbing Fixtures]]*Lookups!$B$18</f>
        <v>16083.5344</v>
      </c>
      <c r="BQ1646" s="6">
        <f>Grandview_Inventory[[#This Row],[detatched_value]]*Lookups!$B$19</f>
        <v>0</v>
      </c>
      <c r="BR1646" s="6">
        <f>SUM(Grandview_Inventory[[#This Row],[Intercept]:[det_value]])*Grandview_Inventory[[#This Row],[res_pct]]</f>
        <v>245602.49622000003</v>
      </c>
      <c r="BS1646" s="6">
        <f>Grandview_Inventory[[#This Row],[land_value]]</f>
        <v>46638.847281240982</v>
      </c>
      <c r="BT1646" s="4">
        <f>_xlfn.IFNA(VLOOKUP(Grandview_Inventory[[#This Row],[quality]],Lookups!$A$26:$C$33,3,FALSE),1)</f>
        <v>0.98763855981004833</v>
      </c>
      <c r="BU1646" s="4">
        <f>_xlfn.IFNA(VLOOKUP(Grandview_Inventory[[#This Row],[condition]],Lookups!$A$37:$C$44,3,FALSE),1)</f>
        <v>0.96469275950863709</v>
      </c>
      <c r="BV1646" s="4">
        <f>IF(Grandview_Inventory[[#This Row],[bldg_style]]="",1,_xlfn.IFNA(VLOOKUP(Grandview_Inventory[[#This Row],[decade]],Lookups!$F$29:$H$43,3,FALSE),1))</f>
        <v>0.98031878267063854</v>
      </c>
      <c r="BW1646" s="4">
        <f>_xlfn.IFNA(VLOOKUP(Grandview_Inventory[[#This Row],[living_area_range]],Lookups!$F$47:$H$56,3,FALSE),1)</f>
        <v>0.96135087979789358</v>
      </c>
      <c r="BX1646" s="4">
        <f>AVERAGE(Grandview_Inventory[[#This Row],[qual_adj]:[size_adj]])</f>
        <v>0.97350024544680436</v>
      </c>
      <c r="BY1646" s="6">
        <f>IF(Grandview_Inventory[[#This Row],[pre_res]]&lt;0,0,Grandview_Inventory[[#This Row],[pre_res]]*Grandview_Inventory[[#This Row],[overall_adj]])</f>
        <v>239094.09035251787</v>
      </c>
      <c r="BZ1646" s="6">
        <f>(Grandview_Inventory[[#This Row],[sum_land]]-IF(Grandview_Inventory[[#This Row],[no_utilities]]=1,12000,0))/IF(Grandview_Inventory[[#This Row],[unbuildable]]=1,2,1)</f>
        <v>46638.847281240982</v>
      </c>
      <c r="CA164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646">
        <f>ROUND(Grandview_Inventory[[#This Row],[det_value]]*Lookups!$M$28,-2)</f>
        <v>0</v>
      </c>
      <c r="CC1646">
        <f>IF(ROUND(Grandview_Inventory[[#This Row],[adj_res]]*Lookups!$M$28,-2)&lt;Grandview_Inventory[[#This Row],[min_res]],Grandview_Inventory[[#This Row],[min_res]],ROUND(Grandview_Inventory[[#This Row],[adj_res]]*Lookups!$M$28,-2))</f>
        <v>227100</v>
      </c>
      <c r="CD1646">
        <f>Grandview_Inventory[[#This Row],[final_det]]+Grandview_Inventory[[#This Row],[final_res]]</f>
        <v>227100</v>
      </c>
      <c r="CE1646">
        <f>Grandview_Inventory[[#This Row],[final_land]]+Grandview_Inventory[[#This Row],[final_imp]]+Grandview_Inventory[[#This Row],[crop_value]]</f>
        <v>271400</v>
      </c>
      <c r="CG1646" t="str">
        <f t="shared" si="25"/>
        <v>update valuation set market_land =44300, market_bldg=227100, market_total =271400, market_mdno =401, market_date ='9/10/2023' where link_id = (select link_id from parcel where parcel_year = '2024' and parcel_id = '23092331415');</v>
      </c>
    </row>
    <row r="1647" spans="1:85" x14ac:dyDescent="0.25">
      <c r="A1647">
        <v>23092331416</v>
      </c>
      <c r="B1647">
        <v>0.21</v>
      </c>
      <c r="C1647">
        <v>9272</v>
      </c>
      <c r="D1647" t="s">
        <v>129</v>
      </c>
      <c r="E1647" t="s">
        <v>53</v>
      </c>
      <c r="F1647" t="s">
        <v>53</v>
      </c>
      <c r="G1647">
        <v>4</v>
      </c>
      <c r="H1647" t="s">
        <v>54</v>
      </c>
      <c r="I1647">
        <v>146000</v>
      </c>
      <c r="J1647">
        <v>39500</v>
      </c>
      <c r="K1647">
        <v>0.21</v>
      </c>
      <c r="L164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47">
        <v>0</v>
      </c>
      <c r="N1647">
        <v>0</v>
      </c>
      <c r="O1647">
        <v>0</v>
      </c>
      <c r="P1647">
        <v>13398.7528</v>
      </c>
      <c r="Q1647">
        <v>63903</v>
      </c>
      <c r="R1647">
        <f>(Grandview_Inventory[[#This Row],[ln_acres]]*Grandview_Inventory[[#This Row],[coeff]])+Grandview_Inventory[[#This Row],[const]]</f>
        <v>42992.266613125081</v>
      </c>
      <c r="S1647" t="s">
        <v>61</v>
      </c>
      <c r="T1647">
        <v>1</v>
      </c>
      <c r="U1647" t="s">
        <v>65</v>
      </c>
      <c r="V1647" t="s">
        <v>69</v>
      </c>
      <c r="W1647">
        <v>0</v>
      </c>
      <c r="X1647">
        <v>0</v>
      </c>
      <c r="Y1647">
        <v>32</v>
      </c>
      <c r="Z1647">
        <v>32</v>
      </c>
      <c r="AA1647">
        <v>40</v>
      </c>
      <c r="AB1647">
        <v>1500</v>
      </c>
      <c r="AC1647">
        <v>1100</v>
      </c>
      <c r="AD1647">
        <v>1100</v>
      </c>
      <c r="AE1647">
        <v>0</v>
      </c>
      <c r="AF1647">
        <v>0</v>
      </c>
      <c r="AG1647">
        <v>0</v>
      </c>
      <c r="AH1647">
        <v>0</v>
      </c>
      <c r="AI1647">
        <v>240</v>
      </c>
      <c r="AJ1647">
        <v>0</v>
      </c>
      <c r="AK1647">
        <v>0</v>
      </c>
      <c r="AL1647">
        <v>0</v>
      </c>
      <c r="AM1647">
        <v>80</v>
      </c>
      <c r="AN1647">
        <v>56</v>
      </c>
      <c r="AO1647">
        <v>0</v>
      </c>
      <c r="AP1647">
        <v>8</v>
      </c>
      <c r="AQ1647">
        <v>0</v>
      </c>
      <c r="AR1647">
        <v>0</v>
      </c>
      <c r="AS1647" t="s">
        <v>58</v>
      </c>
      <c r="AT1647">
        <v>1</v>
      </c>
      <c r="AU1647" t="s">
        <v>75</v>
      </c>
      <c r="AV1647" t="s">
        <v>60</v>
      </c>
      <c r="AW1647">
        <v>0</v>
      </c>
      <c r="AX1647">
        <v>3</v>
      </c>
      <c r="AY1647">
        <v>0</v>
      </c>
      <c r="AZ1647">
        <v>0</v>
      </c>
      <c r="BA1647">
        <v>100</v>
      </c>
      <c r="BB1647">
        <v>100</v>
      </c>
      <c r="BC1647">
        <v>100</v>
      </c>
      <c r="BD1647">
        <v>100</v>
      </c>
      <c r="BE1647">
        <v>1</v>
      </c>
      <c r="BF1647">
        <v>15000</v>
      </c>
      <c r="BG1647">
        <v>1000</v>
      </c>
      <c r="BH1647" s="6">
        <f>Grandview_Inventory[[#This Row],[land_extract]]*Lookups!$B$3</f>
        <v>49926.8031387023</v>
      </c>
      <c r="BI1647" s="6">
        <f>IF(Grandview_Inventory[[#This Row],[bldg_style]]="",0,Lookups!$B$2)</f>
        <v>155833.95000000001</v>
      </c>
      <c r="BJ1647" s="6">
        <f>_xlfn.IFNA(VLOOKUP(Grandview_Inventory[[#This Row],[quality]],Lookups!$H$2:$J$14,3,FALSE),0)</f>
        <v>2251</v>
      </c>
      <c r="BK1647" s="6">
        <f>_xlfn.IFNA(VLOOKUP(Grandview_Inventory[[#This Row],[condition]],Lookups!$H$17:$J$24,3,FALSE),0)</f>
        <v>-4503</v>
      </c>
      <c r="BL1647" s="6">
        <f>Grandview_Inventory[[#This Row],[Eff_Age]]*Lookups!$B$14</f>
        <v>-7653.3311999999996</v>
      </c>
      <c r="BM1647" s="6">
        <f>Grandview_Inventory[[#This Row],[living_area]]*Lookups!$B$15</f>
        <v>68618.938300000009</v>
      </c>
      <c r="BN1647" s="6">
        <f>Grandview_Inventory[[#This Row],[Fin BSMT]]*Lookups!$B$16</f>
        <v>0</v>
      </c>
      <c r="BO1647" s="6">
        <f>(Grandview_Inventory[[#This Row],[att_gar]]+Grandview_Inventory[[#This Row],[bltin_gar]])*Lookups!$B$17</f>
        <v>21004.904880000002</v>
      </c>
      <c r="BP1647" s="6">
        <f>Grandview_Inventory[[#This Row],[Plumbing Fixtures]]*Lookups!$B$18</f>
        <v>16083.5344</v>
      </c>
      <c r="BQ1647" s="6">
        <f>Grandview_Inventory[[#This Row],[detatched_value]]*Lookups!$B$19</f>
        <v>0</v>
      </c>
      <c r="BR1647" s="6">
        <f>SUM(Grandview_Inventory[[#This Row],[Intercept]:[det_value]])*Grandview_Inventory[[#This Row],[res_pct]]</f>
        <v>251635.99638000003</v>
      </c>
      <c r="BS1647" s="6">
        <f>Grandview_Inventory[[#This Row],[land_value]]</f>
        <v>49926.8031387023</v>
      </c>
      <c r="BT1647" s="4">
        <f>_xlfn.IFNA(VLOOKUP(Grandview_Inventory[[#This Row],[quality]],Lookups!$A$26:$C$33,3,FALSE),1)</f>
        <v>0.98763855981004833</v>
      </c>
      <c r="BU1647" s="4">
        <f>_xlfn.IFNA(VLOOKUP(Grandview_Inventory[[#This Row],[condition]],Lookups!$A$37:$C$44,3,FALSE),1)</f>
        <v>0.96469275950863709</v>
      </c>
      <c r="BV1647" s="4">
        <f>IF(Grandview_Inventory[[#This Row],[bldg_style]]="",1,_xlfn.IFNA(VLOOKUP(Grandview_Inventory[[#This Row],[decade]],Lookups!$F$29:$H$43,3,FALSE),1))</f>
        <v>0.98031878267063854</v>
      </c>
      <c r="BW1647" s="4">
        <f>_xlfn.IFNA(VLOOKUP(Grandview_Inventory[[#This Row],[living_area_range]],Lookups!$F$47:$H$56,3,FALSE),1)</f>
        <v>0.96135087979789358</v>
      </c>
      <c r="BX1647" s="4">
        <f>AVERAGE(Grandview_Inventory[[#This Row],[qual_adj]:[size_adj]])</f>
        <v>0.97350024544680436</v>
      </c>
      <c r="BY1647" s="6">
        <f>IF(Grandview_Inventory[[#This Row],[pre_res]]&lt;0,0,Grandview_Inventory[[#This Row],[pre_res]]*Grandview_Inventory[[#This Row],[overall_adj]])</f>
        <v>244967.70423918118</v>
      </c>
      <c r="BZ1647" s="6">
        <f>(Grandview_Inventory[[#This Row],[sum_land]]-IF(Grandview_Inventory[[#This Row],[no_utilities]]=1,12000,0))/IF(Grandview_Inventory[[#This Row],[unbuildable]]=1,2,1)</f>
        <v>49926.8031387023</v>
      </c>
      <c r="CA164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47">
        <f>ROUND(Grandview_Inventory[[#This Row],[det_value]]*Lookups!$M$28,-2)</f>
        <v>0</v>
      </c>
      <c r="CC1647">
        <f>IF(ROUND(Grandview_Inventory[[#This Row],[adj_res]]*Lookups!$M$28,-2)&lt;Grandview_Inventory[[#This Row],[min_res]],Grandview_Inventory[[#This Row],[min_res]],ROUND(Grandview_Inventory[[#This Row],[adj_res]]*Lookups!$M$28,-2))</f>
        <v>232700</v>
      </c>
      <c r="CD1647">
        <f>Grandview_Inventory[[#This Row],[final_det]]+Grandview_Inventory[[#This Row],[final_res]]</f>
        <v>232700</v>
      </c>
      <c r="CE1647">
        <f>Grandview_Inventory[[#This Row],[final_land]]+Grandview_Inventory[[#This Row],[final_imp]]+Grandview_Inventory[[#This Row],[crop_value]]</f>
        <v>280100</v>
      </c>
      <c r="CG1647" t="str">
        <f t="shared" si="25"/>
        <v>update valuation set market_land =47400, market_bldg=232700, market_total =280100, market_mdno =401, market_date ='9/10/2023' where link_id = (select link_id from parcel where parcel_year = '2024' and parcel_id = '23092331416');</v>
      </c>
    </row>
    <row r="1648" spans="1:85" x14ac:dyDescent="0.25">
      <c r="A1648">
        <v>23092331417</v>
      </c>
      <c r="B1648">
        <v>0.16</v>
      </c>
      <c r="C1648">
        <v>7052</v>
      </c>
      <c r="D1648" t="s">
        <v>129</v>
      </c>
      <c r="E1648" t="s">
        <v>53</v>
      </c>
      <c r="F1648" t="s">
        <v>53</v>
      </c>
      <c r="G1648">
        <v>4</v>
      </c>
      <c r="H1648" t="s">
        <v>54</v>
      </c>
      <c r="I1648">
        <v>146800</v>
      </c>
      <c r="J1648">
        <v>38600</v>
      </c>
      <c r="K1648">
        <v>0.16</v>
      </c>
      <c r="L164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48">
        <v>0</v>
      </c>
      <c r="N1648">
        <v>0</v>
      </c>
      <c r="O1648">
        <v>0</v>
      </c>
      <c r="P1648">
        <v>13398.7528</v>
      </c>
      <c r="Q1648">
        <v>63903</v>
      </c>
      <c r="R1648">
        <f>(Grandview_Inventory[[#This Row],[ln_acres]]*Grandview_Inventory[[#This Row],[coeff]])+Grandview_Inventory[[#This Row],[const]]</f>
        <v>39348.693981374228</v>
      </c>
      <c r="S1648" t="s">
        <v>61</v>
      </c>
      <c r="T1648">
        <v>1</v>
      </c>
      <c r="U1648" t="s">
        <v>65</v>
      </c>
      <c r="V1648" t="s">
        <v>69</v>
      </c>
      <c r="W1648">
        <v>0</v>
      </c>
      <c r="X1648">
        <v>0</v>
      </c>
      <c r="Y1648">
        <v>32</v>
      </c>
      <c r="Z1648">
        <v>32</v>
      </c>
      <c r="AA1648">
        <v>40</v>
      </c>
      <c r="AB1648">
        <v>1500</v>
      </c>
      <c r="AC1648">
        <v>1100</v>
      </c>
      <c r="AD1648">
        <v>1100</v>
      </c>
      <c r="AE1648">
        <v>0</v>
      </c>
      <c r="AF1648">
        <v>0</v>
      </c>
      <c r="AG1648">
        <v>0</v>
      </c>
      <c r="AH1648">
        <v>0</v>
      </c>
      <c r="AI1648">
        <v>240</v>
      </c>
      <c r="AJ1648">
        <v>0</v>
      </c>
      <c r="AK1648">
        <v>0</v>
      </c>
      <c r="AL1648">
        <v>0</v>
      </c>
      <c r="AM1648">
        <v>80</v>
      </c>
      <c r="AN1648">
        <v>56</v>
      </c>
      <c r="AO1648">
        <v>0</v>
      </c>
      <c r="AP1648">
        <v>8</v>
      </c>
      <c r="AQ1648">
        <v>0</v>
      </c>
      <c r="AR1648">
        <v>0</v>
      </c>
      <c r="AS1648" t="s">
        <v>58</v>
      </c>
      <c r="AT1648">
        <v>1</v>
      </c>
      <c r="AU1648" t="s">
        <v>63</v>
      </c>
      <c r="AV1648" t="s">
        <v>60</v>
      </c>
      <c r="AW1648">
        <v>0</v>
      </c>
      <c r="AX1648">
        <v>3</v>
      </c>
      <c r="AY1648">
        <v>0</v>
      </c>
      <c r="AZ1648">
        <v>0</v>
      </c>
      <c r="BA1648">
        <v>100</v>
      </c>
      <c r="BB1648">
        <v>100</v>
      </c>
      <c r="BC1648">
        <v>100</v>
      </c>
      <c r="BD1648">
        <v>100</v>
      </c>
      <c r="BE1648">
        <v>1</v>
      </c>
      <c r="BF1648">
        <v>15000</v>
      </c>
      <c r="BG1648">
        <v>1000</v>
      </c>
      <c r="BH1648" s="6">
        <f>Grandview_Inventory[[#This Row],[land_extract]]*Lookups!$B$3</f>
        <v>45695.532079096141</v>
      </c>
      <c r="BI1648" s="6">
        <f>IF(Grandview_Inventory[[#This Row],[bldg_style]]="",0,Lookups!$B$2)</f>
        <v>155833.95000000001</v>
      </c>
      <c r="BJ1648" s="6">
        <f>_xlfn.IFNA(VLOOKUP(Grandview_Inventory[[#This Row],[quality]],Lookups!$H$2:$J$14,3,FALSE),0)</f>
        <v>2251</v>
      </c>
      <c r="BK1648" s="6">
        <f>_xlfn.IFNA(VLOOKUP(Grandview_Inventory[[#This Row],[condition]],Lookups!$H$17:$J$24,3,FALSE),0)</f>
        <v>-4503</v>
      </c>
      <c r="BL1648" s="6">
        <f>Grandview_Inventory[[#This Row],[Eff_Age]]*Lookups!$B$14</f>
        <v>-7653.3311999999996</v>
      </c>
      <c r="BM1648" s="6">
        <f>Grandview_Inventory[[#This Row],[living_area]]*Lookups!$B$15</f>
        <v>68618.938300000009</v>
      </c>
      <c r="BN1648" s="6">
        <f>Grandview_Inventory[[#This Row],[Fin BSMT]]*Lookups!$B$16</f>
        <v>0</v>
      </c>
      <c r="BO1648" s="6">
        <f>(Grandview_Inventory[[#This Row],[att_gar]]+Grandview_Inventory[[#This Row],[bltin_gar]])*Lookups!$B$17</f>
        <v>21004.904880000002</v>
      </c>
      <c r="BP1648" s="6">
        <f>Grandview_Inventory[[#This Row],[Plumbing Fixtures]]*Lookups!$B$18</f>
        <v>16083.5344</v>
      </c>
      <c r="BQ1648" s="6">
        <f>Grandview_Inventory[[#This Row],[detatched_value]]*Lookups!$B$19</f>
        <v>0</v>
      </c>
      <c r="BR1648" s="6">
        <f>SUM(Grandview_Inventory[[#This Row],[Intercept]:[det_value]])*Grandview_Inventory[[#This Row],[res_pct]]</f>
        <v>251635.99638000003</v>
      </c>
      <c r="BS1648" s="6">
        <f>Grandview_Inventory[[#This Row],[land_value]]</f>
        <v>45695.532079096141</v>
      </c>
      <c r="BT1648" s="4">
        <f>_xlfn.IFNA(VLOOKUP(Grandview_Inventory[[#This Row],[quality]],Lookups!$A$26:$C$33,3,FALSE),1)</f>
        <v>0.98763855981004833</v>
      </c>
      <c r="BU1648" s="4">
        <f>_xlfn.IFNA(VLOOKUP(Grandview_Inventory[[#This Row],[condition]],Lookups!$A$37:$C$44,3,FALSE),1)</f>
        <v>0.96469275950863709</v>
      </c>
      <c r="BV1648" s="4">
        <f>IF(Grandview_Inventory[[#This Row],[bldg_style]]="",1,_xlfn.IFNA(VLOOKUP(Grandview_Inventory[[#This Row],[decade]],Lookups!$F$29:$H$43,3,FALSE),1))</f>
        <v>0.98031878267063854</v>
      </c>
      <c r="BW1648" s="4">
        <f>_xlfn.IFNA(VLOOKUP(Grandview_Inventory[[#This Row],[living_area_range]],Lookups!$F$47:$H$56,3,FALSE),1)</f>
        <v>0.96135087979789358</v>
      </c>
      <c r="BX1648" s="4">
        <f>AVERAGE(Grandview_Inventory[[#This Row],[qual_adj]:[size_adj]])</f>
        <v>0.97350024544680436</v>
      </c>
      <c r="BY1648" s="6">
        <f>IF(Grandview_Inventory[[#This Row],[pre_res]]&lt;0,0,Grandview_Inventory[[#This Row],[pre_res]]*Grandview_Inventory[[#This Row],[overall_adj]])</f>
        <v>244967.70423918118</v>
      </c>
      <c r="BZ1648" s="6">
        <f>(Grandview_Inventory[[#This Row],[sum_land]]-IF(Grandview_Inventory[[#This Row],[no_utilities]]=1,12000,0))/IF(Grandview_Inventory[[#This Row],[unbuildable]]=1,2,1)</f>
        <v>45695.532079096141</v>
      </c>
      <c r="CA164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48">
        <f>ROUND(Grandview_Inventory[[#This Row],[det_value]]*Lookups!$M$28,-2)</f>
        <v>0</v>
      </c>
      <c r="CC1648">
        <f>IF(ROUND(Grandview_Inventory[[#This Row],[adj_res]]*Lookups!$M$28,-2)&lt;Grandview_Inventory[[#This Row],[min_res]],Grandview_Inventory[[#This Row],[min_res]],ROUND(Grandview_Inventory[[#This Row],[adj_res]]*Lookups!$M$28,-2))</f>
        <v>232700</v>
      </c>
      <c r="CD1648">
        <f>Grandview_Inventory[[#This Row],[final_det]]+Grandview_Inventory[[#This Row],[final_res]]</f>
        <v>232700</v>
      </c>
      <c r="CE1648">
        <f>Grandview_Inventory[[#This Row],[final_land]]+Grandview_Inventory[[#This Row],[final_imp]]+Grandview_Inventory[[#This Row],[crop_value]]</f>
        <v>276100</v>
      </c>
      <c r="CG1648" t="str">
        <f t="shared" si="25"/>
        <v>update valuation set market_land =43400, market_bldg=232700, market_total =276100, market_mdno =401, market_date ='9/10/2023' where link_id = (select link_id from parcel where parcel_year = '2024' and parcel_id = '23092331417');</v>
      </c>
    </row>
    <row r="1649" spans="1:85" x14ac:dyDescent="0.25">
      <c r="A1649">
        <v>23092331418</v>
      </c>
      <c r="B1649">
        <v>0.16</v>
      </c>
      <c r="C1649" t="s">
        <v>129</v>
      </c>
      <c r="D1649" t="s">
        <v>129</v>
      </c>
      <c r="E1649" t="s">
        <v>53</v>
      </c>
      <c r="F1649" t="s">
        <v>53</v>
      </c>
      <c r="G1649">
        <v>4</v>
      </c>
      <c r="H1649" t="s">
        <v>54</v>
      </c>
      <c r="I1649">
        <v>177700</v>
      </c>
      <c r="J1649">
        <v>38400</v>
      </c>
      <c r="K1649">
        <v>0.16</v>
      </c>
      <c r="L164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49">
        <v>0</v>
      </c>
      <c r="N1649">
        <v>0</v>
      </c>
      <c r="O1649">
        <v>0</v>
      </c>
      <c r="P1649">
        <v>13398.7528</v>
      </c>
      <c r="Q1649">
        <v>63903</v>
      </c>
      <c r="R1649">
        <f>(Grandview_Inventory[[#This Row],[ln_acres]]*Grandview_Inventory[[#This Row],[coeff]])+Grandview_Inventory[[#This Row],[const]]</f>
        <v>39348.693981374228</v>
      </c>
      <c r="S1649" t="s">
        <v>61</v>
      </c>
      <c r="T1649">
        <v>1</v>
      </c>
      <c r="U1649" t="s">
        <v>62</v>
      </c>
      <c r="V1649" t="s">
        <v>69</v>
      </c>
      <c r="W1649">
        <v>0</v>
      </c>
      <c r="X1649">
        <v>0</v>
      </c>
      <c r="Y1649">
        <v>32</v>
      </c>
      <c r="Z1649">
        <v>32</v>
      </c>
      <c r="AA1649">
        <v>40</v>
      </c>
      <c r="AB1649">
        <v>1500</v>
      </c>
      <c r="AC1649">
        <v>1438</v>
      </c>
      <c r="AD1649">
        <v>1438</v>
      </c>
      <c r="AE1649">
        <v>0</v>
      </c>
      <c r="AF1649">
        <v>0</v>
      </c>
      <c r="AG1649">
        <v>0</v>
      </c>
      <c r="AH1649">
        <v>0</v>
      </c>
      <c r="AI1649">
        <v>240</v>
      </c>
      <c r="AJ1649">
        <v>0</v>
      </c>
      <c r="AK1649">
        <v>0</v>
      </c>
      <c r="AL1649">
        <v>0</v>
      </c>
      <c r="AM1649">
        <v>144</v>
      </c>
      <c r="AN1649">
        <v>85</v>
      </c>
      <c r="AO1649">
        <v>144</v>
      </c>
      <c r="AP1649">
        <v>8</v>
      </c>
      <c r="AQ1649">
        <v>0</v>
      </c>
      <c r="AR1649">
        <v>0</v>
      </c>
      <c r="AS1649" t="s">
        <v>58</v>
      </c>
      <c r="AT1649">
        <v>1</v>
      </c>
      <c r="AU1649" t="s">
        <v>63</v>
      </c>
      <c r="AV1649" t="s">
        <v>60</v>
      </c>
      <c r="AW1649">
        <v>1</v>
      </c>
      <c r="AX1649">
        <v>3</v>
      </c>
      <c r="AY1649">
        <v>0</v>
      </c>
      <c r="AZ1649">
        <v>0</v>
      </c>
      <c r="BA1649">
        <v>100</v>
      </c>
      <c r="BB1649">
        <v>100</v>
      </c>
      <c r="BC1649">
        <v>100</v>
      </c>
      <c r="BD1649">
        <v>100</v>
      </c>
      <c r="BE1649">
        <v>1</v>
      </c>
      <c r="BF1649">
        <v>15000</v>
      </c>
      <c r="BG1649">
        <v>1000</v>
      </c>
      <c r="BH1649" s="6">
        <f>Grandview_Inventory[[#This Row],[land_extract]]*Lookups!$B$3</f>
        <v>45695.532079096141</v>
      </c>
      <c r="BI1649" s="6">
        <f>IF(Grandview_Inventory[[#This Row],[bldg_style]]="",0,Lookups!$B$2)</f>
        <v>155833.95000000001</v>
      </c>
      <c r="BJ1649" s="6">
        <f>_xlfn.IFNA(VLOOKUP(Grandview_Inventory[[#This Row],[quality]],Lookups!$H$2:$J$14,3,FALSE),0)</f>
        <v>9808</v>
      </c>
      <c r="BK1649" s="6">
        <f>_xlfn.IFNA(VLOOKUP(Grandview_Inventory[[#This Row],[condition]],Lookups!$H$17:$J$24,3,FALSE),0)</f>
        <v>-4503</v>
      </c>
      <c r="BL1649" s="6">
        <f>Grandview_Inventory[[#This Row],[Eff_Age]]*Lookups!$B$14</f>
        <v>-7653.3311999999996</v>
      </c>
      <c r="BM1649" s="6">
        <f>Grandview_Inventory[[#This Row],[living_area]]*Lookups!$B$15</f>
        <v>89703.666614000002</v>
      </c>
      <c r="BN1649" s="6">
        <f>Grandview_Inventory[[#This Row],[Fin BSMT]]*Lookups!$B$16</f>
        <v>0</v>
      </c>
      <c r="BO1649" s="6">
        <f>(Grandview_Inventory[[#This Row],[att_gar]]+Grandview_Inventory[[#This Row],[bltin_gar]])*Lookups!$B$17</f>
        <v>21004.904880000002</v>
      </c>
      <c r="BP1649" s="6">
        <f>Grandview_Inventory[[#This Row],[Plumbing Fixtures]]*Lookups!$B$18</f>
        <v>16083.5344</v>
      </c>
      <c r="BQ1649" s="6">
        <f>Grandview_Inventory[[#This Row],[detatched_value]]*Lookups!$B$19</f>
        <v>0</v>
      </c>
      <c r="BR1649" s="6">
        <f>SUM(Grandview_Inventory[[#This Row],[Intercept]:[det_value]])*Grandview_Inventory[[#This Row],[res_pct]]</f>
        <v>280277.72469400003</v>
      </c>
      <c r="BS1649" s="6">
        <f>Grandview_Inventory[[#This Row],[land_value]]</f>
        <v>45695.532079096141</v>
      </c>
      <c r="BT1649" s="4">
        <f>_xlfn.IFNA(VLOOKUP(Grandview_Inventory[[#This Row],[quality]],Lookups!$A$26:$C$33,3,FALSE),1)</f>
        <v>0.94295468617355149</v>
      </c>
      <c r="BU1649" s="4">
        <f>_xlfn.IFNA(VLOOKUP(Grandview_Inventory[[#This Row],[condition]],Lookups!$A$37:$C$44,3,FALSE),1)</f>
        <v>0.96469275950863709</v>
      </c>
      <c r="BV1649" s="4">
        <f>IF(Grandview_Inventory[[#This Row],[bldg_style]]="",1,_xlfn.IFNA(VLOOKUP(Grandview_Inventory[[#This Row],[decade]],Lookups!$F$29:$H$43,3,FALSE),1))</f>
        <v>0.98031878267063854</v>
      </c>
      <c r="BW1649" s="4">
        <f>_xlfn.IFNA(VLOOKUP(Grandview_Inventory[[#This Row],[living_area_range]],Lookups!$F$47:$H$56,3,FALSE),1)</f>
        <v>0.96135087979789358</v>
      </c>
      <c r="BX1649" s="4">
        <f>AVERAGE(Grandview_Inventory[[#This Row],[qual_adj]:[size_adj]])</f>
        <v>0.96232927703768012</v>
      </c>
      <c r="BY1649" s="6">
        <f>IF(Grandview_Inventory[[#This Row],[pre_res]]&lt;0,0,Grandview_Inventory[[#This Row],[pre_res]]*Grandview_Inventory[[#This Row],[overall_adj]])</f>
        <v>269719.46017454297</v>
      </c>
      <c r="BZ1649" s="6">
        <f>(Grandview_Inventory[[#This Row],[sum_land]]-IF(Grandview_Inventory[[#This Row],[no_utilities]]=1,12000,0))/IF(Grandview_Inventory[[#This Row],[unbuildable]]=1,2,1)</f>
        <v>45695.532079096141</v>
      </c>
      <c r="CA164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49">
        <f>ROUND(Grandview_Inventory[[#This Row],[det_value]]*Lookups!$M$28,-2)</f>
        <v>0</v>
      </c>
      <c r="CC1649">
        <f>IF(ROUND(Grandview_Inventory[[#This Row],[adj_res]]*Lookups!$M$28,-2)&lt;Grandview_Inventory[[#This Row],[min_res]],Grandview_Inventory[[#This Row],[min_res]],ROUND(Grandview_Inventory[[#This Row],[adj_res]]*Lookups!$M$28,-2))</f>
        <v>256200</v>
      </c>
      <c r="CD1649">
        <f>Grandview_Inventory[[#This Row],[final_det]]+Grandview_Inventory[[#This Row],[final_res]]</f>
        <v>256200</v>
      </c>
      <c r="CE1649">
        <f>Grandview_Inventory[[#This Row],[final_land]]+Grandview_Inventory[[#This Row],[final_imp]]+Grandview_Inventory[[#This Row],[crop_value]]</f>
        <v>299600</v>
      </c>
      <c r="CG1649" t="str">
        <f t="shared" si="25"/>
        <v>update valuation set market_land =43400, market_bldg=256200, market_total =299600, market_mdno =401, market_date ='9/10/2023' where link_id = (select link_id from parcel where parcel_year = '2024' and parcel_id = '23092331418');</v>
      </c>
    </row>
    <row r="1650" spans="1:85" x14ac:dyDescent="0.25">
      <c r="A1650">
        <v>23092331419</v>
      </c>
      <c r="B1650">
        <v>0.16</v>
      </c>
      <c r="C1650" t="s">
        <v>129</v>
      </c>
      <c r="D1650" t="s">
        <v>129</v>
      </c>
      <c r="E1650" t="s">
        <v>53</v>
      </c>
      <c r="F1650" t="s">
        <v>53</v>
      </c>
      <c r="G1650">
        <v>4</v>
      </c>
      <c r="H1650" t="s">
        <v>54</v>
      </c>
      <c r="I1650">
        <v>192200</v>
      </c>
      <c r="J1650">
        <v>38400</v>
      </c>
      <c r="K1650">
        <v>0.16</v>
      </c>
      <c r="L165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50">
        <v>0</v>
      </c>
      <c r="N1650">
        <v>0</v>
      </c>
      <c r="O1650">
        <v>0</v>
      </c>
      <c r="P1650">
        <v>13398.7528</v>
      </c>
      <c r="Q1650">
        <v>63903</v>
      </c>
      <c r="R1650">
        <f>(Grandview_Inventory[[#This Row],[ln_acres]]*Grandview_Inventory[[#This Row],[coeff]])+Grandview_Inventory[[#This Row],[const]]</f>
        <v>39348.693981374228</v>
      </c>
      <c r="S1650" t="s">
        <v>61</v>
      </c>
      <c r="T1650">
        <v>1</v>
      </c>
      <c r="U1650" t="s">
        <v>62</v>
      </c>
      <c r="V1650" t="s">
        <v>69</v>
      </c>
      <c r="W1650">
        <v>0</v>
      </c>
      <c r="X1650">
        <v>0</v>
      </c>
      <c r="Y1650">
        <v>32</v>
      </c>
      <c r="Z1650">
        <v>32</v>
      </c>
      <c r="AA1650">
        <v>40</v>
      </c>
      <c r="AB1650">
        <v>2000</v>
      </c>
      <c r="AC1650">
        <v>1520</v>
      </c>
      <c r="AD1650">
        <v>1520</v>
      </c>
      <c r="AE1650">
        <v>0</v>
      </c>
      <c r="AF1650">
        <v>0</v>
      </c>
      <c r="AG1650">
        <v>0</v>
      </c>
      <c r="AH1650">
        <v>0</v>
      </c>
      <c r="AI1650">
        <v>400</v>
      </c>
      <c r="AJ1650">
        <v>0</v>
      </c>
      <c r="AK1650">
        <v>0</v>
      </c>
      <c r="AL1650">
        <v>0</v>
      </c>
      <c r="AM1650">
        <v>144</v>
      </c>
      <c r="AN1650">
        <v>75</v>
      </c>
      <c r="AO1650">
        <v>0</v>
      </c>
      <c r="AP1650">
        <v>8</v>
      </c>
      <c r="AQ1650">
        <v>0</v>
      </c>
      <c r="AR1650">
        <v>0</v>
      </c>
      <c r="AS1650" t="s">
        <v>58</v>
      </c>
      <c r="AT1650">
        <v>1</v>
      </c>
      <c r="AU1650" t="s">
        <v>63</v>
      </c>
      <c r="AV1650" t="s">
        <v>60</v>
      </c>
      <c r="AW1650">
        <v>1</v>
      </c>
      <c r="AX1650">
        <v>3</v>
      </c>
      <c r="AY1650">
        <v>0</v>
      </c>
      <c r="AZ1650">
        <v>0</v>
      </c>
      <c r="BA1650">
        <v>100</v>
      </c>
      <c r="BB1650">
        <v>100</v>
      </c>
      <c r="BC1650">
        <v>100</v>
      </c>
      <c r="BD1650">
        <v>100</v>
      </c>
      <c r="BE1650">
        <v>1</v>
      </c>
      <c r="BF1650">
        <v>15000</v>
      </c>
      <c r="BG1650">
        <v>1000</v>
      </c>
      <c r="BH1650" s="6">
        <f>Grandview_Inventory[[#This Row],[land_extract]]*Lookups!$B$3</f>
        <v>45695.532079096141</v>
      </c>
      <c r="BI1650" s="6">
        <f>IF(Grandview_Inventory[[#This Row],[bldg_style]]="",0,Lookups!$B$2)</f>
        <v>155833.95000000001</v>
      </c>
      <c r="BJ1650" s="6">
        <f>_xlfn.IFNA(VLOOKUP(Grandview_Inventory[[#This Row],[quality]],Lookups!$H$2:$J$14,3,FALSE),0)</f>
        <v>9808</v>
      </c>
      <c r="BK1650" s="6">
        <f>_xlfn.IFNA(VLOOKUP(Grandview_Inventory[[#This Row],[condition]],Lookups!$H$17:$J$24,3,FALSE),0)</f>
        <v>-4503</v>
      </c>
      <c r="BL1650" s="6">
        <f>Grandview_Inventory[[#This Row],[Eff_Age]]*Lookups!$B$14</f>
        <v>-7653.3311999999996</v>
      </c>
      <c r="BM1650" s="6">
        <f>Grandview_Inventory[[#This Row],[living_area]]*Lookups!$B$15</f>
        <v>94818.896560000008</v>
      </c>
      <c r="BN1650" s="6">
        <f>Grandview_Inventory[[#This Row],[Fin BSMT]]*Lookups!$B$16</f>
        <v>0</v>
      </c>
      <c r="BO1650" s="6">
        <f>(Grandview_Inventory[[#This Row],[att_gar]]+Grandview_Inventory[[#This Row],[bltin_gar]])*Lookups!$B$17</f>
        <v>35008.174800000001</v>
      </c>
      <c r="BP1650" s="6">
        <f>Grandview_Inventory[[#This Row],[Plumbing Fixtures]]*Lookups!$B$18</f>
        <v>16083.5344</v>
      </c>
      <c r="BQ1650" s="6">
        <f>Grandview_Inventory[[#This Row],[detatched_value]]*Lookups!$B$19</f>
        <v>0</v>
      </c>
      <c r="BR1650" s="6">
        <f>SUM(Grandview_Inventory[[#This Row],[Intercept]:[det_value]])*Grandview_Inventory[[#This Row],[res_pct]]</f>
        <v>299396.22456</v>
      </c>
      <c r="BS1650" s="6">
        <f>Grandview_Inventory[[#This Row],[land_value]]</f>
        <v>45695.532079096141</v>
      </c>
      <c r="BT1650" s="4">
        <f>_xlfn.IFNA(VLOOKUP(Grandview_Inventory[[#This Row],[quality]],Lookups!$A$26:$C$33,3,FALSE),1)</f>
        <v>0.94295468617355149</v>
      </c>
      <c r="BU1650" s="4">
        <f>_xlfn.IFNA(VLOOKUP(Grandview_Inventory[[#This Row],[condition]],Lookups!$A$37:$C$44,3,FALSE),1)</f>
        <v>0.96469275950863709</v>
      </c>
      <c r="BV1650" s="4">
        <f>IF(Grandview_Inventory[[#This Row],[bldg_style]]="",1,_xlfn.IFNA(VLOOKUP(Grandview_Inventory[[#This Row],[decade]],Lookups!$F$29:$H$43,3,FALSE),1))</f>
        <v>0.98031878267063854</v>
      </c>
      <c r="BW1650" s="4">
        <f>_xlfn.IFNA(VLOOKUP(Grandview_Inventory[[#This Row],[living_area_range]],Lookups!$F$47:$H$56,3,FALSE),1)</f>
        <v>0.96120133463014379</v>
      </c>
      <c r="BX1650" s="4">
        <f>AVERAGE(Grandview_Inventory[[#This Row],[qual_adj]:[size_adj]])</f>
        <v>0.96229189074574273</v>
      </c>
      <c r="BY1650" s="6">
        <f>IF(Grandview_Inventory[[#This Row],[pre_res]]&lt;0,0,Grandview_Inventory[[#This Row],[pre_res]]*Grandview_Inventory[[#This Row],[overall_adj]])</f>
        <v>288106.55901397939</v>
      </c>
      <c r="BZ1650" s="6">
        <f>(Grandview_Inventory[[#This Row],[sum_land]]-IF(Grandview_Inventory[[#This Row],[no_utilities]]=1,12000,0))/IF(Grandview_Inventory[[#This Row],[unbuildable]]=1,2,1)</f>
        <v>45695.532079096141</v>
      </c>
      <c r="CA165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50">
        <f>ROUND(Grandview_Inventory[[#This Row],[det_value]]*Lookups!$M$28,-2)</f>
        <v>0</v>
      </c>
      <c r="CC1650">
        <f>IF(ROUND(Grandview_Inventory[[#This Row],[adj_res]]*Lookups!$M$28,-2)&lt;Grandview_Inventory[[#This Row],[min_res]],Grandview_Inventory[[#This Row],[min_res]],ROUND(Grandview_Inventory[[#This Row],[adj_res]]*Lookups!$M$28,-2))</f>
        <v>273700</v>
      </c>
      <c r="CD1650">
        <f>Grandview_Inventory[[#This Row],[final_det]]+Grandview_Inventory[[#This Row],[final_res]]</f>
        <v>273700</v>
      </c>
      <c r="CE1650">
        <f>Grandview_Inventory[[#This Row],[final_land]]+Grandview_Inventory[[#This Row],[final_imp]]+Grandview_Inventory[[#This Row],[crop_value]]</f>
        <v>317100</v>
      </c>
      <c r="CG1650" t="str">
        <f t="shared" si="25"/>
        <v>update valuation set market_land =43400, market_bldg=273700, market_total =317100, market_mdno =401, market_date ='9/10/2023' where link_id = (select link_id from parcel where parcel_year = '2024' and parcel_id = '23092331419');</v>
      </c>
    </row>
    <row r="1651" spans="1:85" x14ac:dyDescent="0.25">
      <c r="A1651">
        <v>23092331420</v>
      </c>
      <c r="B1651">
        <v>0.16</v>
      </c>
      <c r="C1651">
        <v>7146</v>
      </c>
      <c r="D1651" t="s">
        <v>129</v>
      </c>
      <c r="E1651" t="s">
        <v>53</v>
      </c>
      <c r="F1651" t="s">
        <v>53</v>
      </c>
      <c r="G1651">
        <v>4</v>
      </c>
      <c r="H1651" t="s">
        <v>54</v>
      </c>
      <c r="I1651">
        <v>196200</v>
      </c>
      <c r="J1651">
        <v>38600</v>
      </c>
      <c r="K1651">
        <v>0.16</v>
      </c>
      <c r="L165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51">
        <v>0</v>
      </c>
      <c r="N1651">
        <v>0</v>
      </c>
      <c r="O1651">
        <v>0</v>
      </c>
      <c r="P1651">
        <v>13398.7528</v>
      </c>
      <c r="Q1651">
        <v>63903</v>
      </c>
      <c r="R1651">
        <f>(Grandview_Inventory[[#This Row],[ln_acres]]*Grandview_Inventory[[#This Row],[coeff]])+Grandview_Inventory[[#This Row],[const]]</f>
        <v>39348.693981374228</v>
      </c>
      <c r="S1651" t="s">
        <v>61</v>
      </c>
      <c r="T1651">
        <v>1</v>
      </c>
      <c r="U1651" t="s">
        <v>62</v>
      </c>
      <c r="V1651" t="s">
        <v>69</v>
      </c>
      <c r="W1651">
        <v>0</v>
      </c>
      <c r="X1651">
        <v>0</v>
      </c>
      <c r="Y1651">
        <v>32</v>
      </c>
      <c r="Z1651">
        <v>32</v>
      </c>
      <c r="AA1651">
        <v>40</v>
      </c>
      <c r="AB1651">
        <v>2000</v>
      </c>
      <c r="AC1651">
        <v>1598</v>
      </c>
      <c r="AD1651">
        <v>1598</v>
      </c>
      <c r="AE1651">
        <v>0</v>
      </c>
      <c r="AF1651">
        <v>0</v>
      </c>
      <c r="AG1651">
        <v>0</v>
      </c>
      <c r="AH1651">
        <v>0</v>
      </c>
      <c r="AI1651">
        <v>400</v>
      </c>
      <c r="AJ1651">
        <v>0</v>
      </c>
      <c r="AK1651">
        <v>0</v>
      </c>
      <c r="AL1651">
        <v>144</v>
      </c>
      <c r="AM1651">
        <v>0</v>
      </c>
      <c r="AN1651">
        <v>0</v>
      </c>
      <c r="AO1651">
        <v>108</v>
      </c>
      <c r="AP1651">
        <v>8</v>
      </c>
      <c r="AQ1651">
        <v>0</v>
      </c>
      <c r="AR1651">
        <v>0</v>
      </c>
      <c r="AS1651" t="s">
        <v>58</v>
      </c>
      <c r="AT1651">
        <v>1</v>
      </c>
      <c r="AU1651" t="s">
        <v>63</v>
      </c>
      <c r="AV1651" t="s">
        <v>60</v>
      </c>
      <c r="AW1651">
        <v>1</v>
      </c>
      <c r="AX1651">
        <v>3</v>
      </c>
      <c r="AY1651">
        <v>0</v>
      </c>
      <c r="AZ1651">
        <v>0</v>
      </c>
      <c r="BA1651">
        <v>100</v>
      </c>
      <c r="BB1651">
        <v>100</v>
      </c>
      <c r="BC1651">
        <v>100</v>
      </c>
      <c r="BD1651">
        <v>100</v>
      </c>
      <c r="BE1651">
        <v>1</v>
      </c>
      <c r="BF1651">
        <v>15000</v>
      </c>
      <c r="BG1651">
        <v>1000</v>
      </c>
      <c r="BH1651" s="6">
        <f>Grandview_Inventory[[#This Row],[land_extract]]*Lookups!$B$3</f>
        <v>45695.532079096141</v>
      </c>
      <c r="BI1651" s="6">
        <f>IF(Grandview_Inventory[[#This Row],[bldg_style]]="",0,Lookups!$B$2)</f>
        <v>155833.95000000001</v>
      </c>
      <c r="BJ1651" s="6">
        <f>_xlfn.IFNA(VLOOKUP(Grandview_Inventory[[#This Row],[quality]],Lookups!$H$2:$J$14,3,FALSE),0)</f>
        <v>9808</v>
      </c>
      <c r="BK1651" s="6">
        <f>_xlfn.IFNA(VLOOKUP(Grandview_Inventory[[#This Row],[condition]],Lookups!$H$17:$J$24,3,FALSE),0)</f>
        <v>-4503</v>
      </c>
      <c r="BL1651" s="6">
        <f>Grandview_Inventory[[#This Row],[Eff_Age]]*Lookups!$B$14</f>
        <v>-7653.3311999999996</v>
      </c>
      <c r="BM1651" s="6">
        <f>Grandview_Inventory[[#This Row],[living_area]]*Lookups!$B$15</f>
        <v>99684.603094000006</v>
      </c>
      <c r="BN1651" s="6">
        <f>Grandview_Inventory[[#This Row],[Fin BSMT]]*Lookups!$B$16</f>
        <v>0</v>
      </c>
      <c r="BO1651" s="6">
        <f>(Grandview_Inventory[[#This Row],[att_gar]]+Grandview_Inventory[[#This Row],[bltin_gar]])*Lookups!$B$17</f>
        <v>35008.174800000001</v>
      </c>
      <c r="BP1651" s="6">
        <f>Grandview_Inventory[[#This Row],[Plumbing Fixtures]]*Lookups!$B$18</f>
        <v>16083.5344</v>
      </c>
      <c r="BQ1651" s="6">
        <f>Grandview_Inventory[[#This Row],[detatched_value]]*Lookups!$B$19</f>
        <v>0</v>
      </c>
      <c r="BR1651" s="6">
        <f>SUM(Grandview_Inventory[[#This Row],[Intercept]:[det_value]])*Grandview_Inventory[[#This Row],[res_pct]]</f>
        <v>304261.931094</v>
      </c>
      <c r="BS1651" s="6">
        <f>Grandview_Inventory[[#This Row],[land_value]]</f>
        <v>45695.532079096141</v>
      </c>
      <c r="BT1651" s="4">
        <f>_xlfn.IFNA(VLOOKUP(Grandview_Inventory[[#This Row],[quality]],Lookups!$A$26:$C$33,3,FALSE),1)</f>
        <v>0.94295468617355149</v>
      </c>
      <c r="BU1651" s="4">
        <f>_xlfn.IFNA(VLOOKUP(Grandview_Inventory[[#This Row],[condition]],Lookups!$A$37:$C$44,3,FALSE),1)</f>
        <v>0.96469275950863709</v>
      </c>
      <c r="BV1651" s="4">
        <f>IF(Grandview_Inventory[[#This Row],[bldg_style]]="",1,_xlfn.IFNA(VLOOKUP(Grandview_Inventory[[#This Row],[decade]],Lookups!$F$29:$H$43,3,FALSE),1))</f>
        <v>0.98031878267063854</v>
      </c>
      <c r="BW1651" s="4">
        <f>_xlfn.IFNA(VLOOKUP(Grandview_Inventory[[#This Row],[living_area_range]],Lookups!$F$47:$H$56,3,FALSE),1)</f>
        <v>0.96120133463014379</v>
      </c>
      <c r="BX1651" s="4">
        <f>AVERAGE(Grandview_Inventory[[#This Row],[qual_adj]:[size_adj]])</f>
        <v>0.96229189074574273</v>
      </c>
      <c r="BY1651" s="6">
        <f>IF(Grandview_Inventory[[#This Row],[pre_res]]&lt;0,0,Grandview_Inventory[[#This Row],[pre_res]]*Grandview_Inventory[[#This Row],[overall_adj]])</f>
        <v>292788.78895439615</v>
      </c>
      <c r="BZ1651" s="6">
        <f>(Grandview_Inventory[[#This Row],[sum_land]]-IF(Grandview_Inventory[[#This Row],[no_utilities]]=1,12000,0))/IF(Grandview_Inventory[[#This Row],[unbuildable]]=1,2,1)</f>
        <v>45695.532079096141</v>
      </c>
      <c r="CA165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51">
        <f>ROUND(Grandview_Inventory[[#This Row],[det_value]]*Lookups!$M$28,-2)</f>
        <v>0</v>
      </c>
      <c r="CC1651">
        <f>IF(ROUND(Grandview_Inventory[[#This Row],[adj_res]]*Lookups!$M$28,-2)&lt;Grandview_Inventory[[#This Row],[min_res]],Grandview_Inventory[[#This Row],[min_res]],ROUND(Grandview_Inventory[[#This Row],[adj_res]]*Lookups!$M$28,-2))</f>
        <v>278100</v>
      </c>
      <c r="CD1651">
        <f>Grandview_Inventory[[#This Row],[final_det]]+Grandview_Inventory[[#This Row],[final_res]]</f>
        <v>278100</v>
      </c>
      <c r="CE1651">
        <f>Grandview_Inventory[[#This Row],[final_land]]+Grandview_Inventory[[#This Row],[final_imp]]+Grandview_Inventory[[#This Row],[crop_value]]</f>
        <v>321500</v>
      </c>
      <c r="CG1651" t="str">
        <f t="shared" si="25"/>
        <v>update valuation set market_land =43400, market_bldg=278100, market_total =321500, market_mdno =401, market_date ='9/10/2023' where link_id = (select link_id from parcel where parcel_year = '2024' and parcel_id = '23092331420');</v>
      </c>
    </row>
    <row r="1652" spans="1:85" x14ac:dyDescent="0.25">
      <c r="A1652">
        <v>23092331421</v>
      </c>
      <c r="B1652">
        <v>0.28999999999999998</v>
      </c>
      <c r="C1652">
        <v>12513</v>
      </c>
      <c r="D1652" t="s">
        <v>129</v>
      </c>
      <c r="E1652" t="s">
        <v>53</v>
      </c>
      <c r="F1652" t="s">
        <v>53</v>
      </c>
      <c r="G1652">
        <v>4</v>
      </c>
      <c r="H1652" t="s">
        <v>54</v>
      </c>
      <c r="I1652">
        <v>245200</v>
      </c>
      <c r="J1652">
        <v>44900</v>
      </c>
      <c r="K1652">
        <v>0.28999999999999998</v>
      </c>
      <c r="L1652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652">
        <v>0</v>
      </c>
      <c r="N1652">
        <v>0</v>
      </c>
      <c r="O1652">
        <v>0</v>
      </c>
      <c r="P1652">
        <v>13398.7528</v>
      </c>
      <c r="Q1652">
        <v>63903</v>
      </c>
      <c r="R1652">
        <f>(Grandview_Inventory[[#This Row],[ln_acres]]*Grandview_Inventory[[#This Row],[coeff]])+Grandview_Inventory[[#This Row],[const]]</f>
        <v>47317.027506475133</v>
      </c>
      <c r="S1652" t="s">
        <v>61</v>
      </c>
      <c r="T1652">
        <v>1</v>
      </c>
      <c r="U1652" t="s">
        <v>62</v>
      </c>
      <c r="V1652" t="s">
        <v>67</v>
      </c>
      <c r="W1652">
        <v>0</v>
      </c>
      <c r="X1652">
        <v>0</v>
      </c>
      <c r="Y1652">
        <v>32</v>
      </c>
      <c r="Z1652">
        <v>32</v>
      </c>
      <c r="AA1652">
        <v>40</v>
      </c>
      <c r="AB1652">
        <v>2000</v>
      </c>
      <c r="AC1652">
        <v>1705</v>
      </c>
      <c r="AD1652">
        <v>1705</v>
      </c>
      <c r="AE1652">
        <v>0</v>
      </c>
      <c r="AF1652">
        <v>0</v>
      </c>
      <c r="AG1652">
        <v>0</v>
      </c>
      <c r="AH1652">
        <v>0</v>
      </c>
      <c r="AI1652">
        <v>460</v>
      </c>
      <c r="AJ1652">
        <v>0</v>
      </c>
      <c r="AK1652">
        <v>0</v>
      </c>
      <c r="AL1652">
        <v>320</v>
      </c>
      <c r="AM1652">
        <v>0</v>
      </c>
      <c r="AN1652">
        <v>95</v>
      </c>
      <c r="AO1652">
        <v>0</v>
      </c>
      <c r="AP1652">
        <v>8</v>
      </c>
      <c r="AQ1652">
        <v>0</v>
      </c>
      <c r="AR1652">
        <v>0</v>
      </c>
      <c r="AS1652" t="s">
        <v>58</v>
      </c>
      <c r="AT1652">
        <v>1</v>
      </c>
      <c r="AU1652" t="s">
        <v>63</v>
      </c>
      <c r="AV1652" t="s">
        <v>60</v>
      </c>
      <c r="AW1652">
        <v>1</v>
      </c>
      <c r="AX1652">
        <v>3</v>
      </c>
      <c r="AY1652">
        <v>0</v>
      </c>
      <c r="AZ1652">
        <v>0</v>
      </c>
      <c r="BA1652">
        <v>100</v>
      </c>
      <c r="BB1652">
        <v>100</v>
      </c>
      <c r="BC1652">
        <v>100</v>
      </c>
      <c r="BD1652">
        <v>100</v>
      </c>
      <c r="BE1652">
        <v>1</v>
      </c>
      <c r="BF1652">
        <v>15000</v>
      </c>
      <c r="BG1652">
        <v>1000</v>
      </c>
      <c r="BH1652" s="6">
        <f>Grandview_Inventory[[#This Row],[land_extract]]*Lookups!$B$3</f>
        <v>54949.136287295303</v>
      </c>
      <c r="BI1652" s="6">
        <f>IF(Grandview_Inventory[[#This Row],[bldg_style]]="",0,Lookups!$B$2)</f>
        <v>155833.95000000001</v>
      </c>
      <c r="BJ1652" s="6">
        <f>_xlfn.IFNA(VLOOKUP(Grandview_Inventory[[#This Row],[quality]],Lookups!$H$2:$J$14,3,FALSE),0)</f>
        <v>9808</v>
      </c>
      <c r="BK1652" s="6">
        <f>_xlfn.IFNA(VLOOKUP(Grandview_Inventory[[#This Row],[condition]],Lookups!$H$17:$J$24,3,FALSE),0)</f>
        <v>22342</v>
      </c>
      <c r="BL1652" s="6">
        <f>Grandview_Inventory[[#This Row],[Eff_Age]]*Lookups!$B$14</f>
        <v>-7653.3311999999996</v>
      </c>
      <c r="BM1652" s="6">
        <f>Grandview_Inventory[[#This Row],[living_area]]*Lookups!$B$15</f>
        <v>106359.35436500001</v>
      </c>
      <c r="BN1652" s="6">
        <f>Grandview_Inventory[[#This Row],[Fin BSMT]]*Lookups!$B$16</f>
        <v>0</v>
      </c>
      <c r="BO1652" s="6">
        <f>(Grandview_Inventory[[#This Row],[att_gar]]+Grandview_Inventory[[#This Row],[bltin_gar]])*Lookups!$B$17</f>
        <v>40259.401019999998</v>
      </c>
      <c r="BP1652" s="6">
        <f>Grandview_Inventory[[#This Row],[Plumbing Fixtures]]*Lookups!$B$18</f>
        <v>16083.5344</v>
      </c>
      <c r="BQ1652" s="6">
        <f>Grandview_Inventory[[#This Row],[detatched_value]]*Lookups!$B$19</f>
        <v>0</v>
      </c>
      <c r="BR1652" s="6">
        <f>SUM(Grandview_Inventory[[#This Row],[Intercept]:[det_value]])*Grandview_Inventory[[#This Row],[res_pct]]</f>
        <v>343032.90858500003</v>
      </c>
      <c r="BS1652" s="6">
        <f>Grandview_Inventory[[#This Row],[land_value]]</f>
        <v>54949.136287295303</v>
      </c>
      <c r="BT1652" s="4">
        <f>_xlfn.IFNA(VLOOKUP(Grandview_Inventory[[#This Row],[quality]],Lookups!$A$26:$C$33,3,FALSE),1)</f>
        <v>0.94295468617355149</v>
      </c>
      <c r="BU1652" s="4">
        <f>_xlfn.IFNA(VLOOKUP(Grandview_Inventory[[#This Row],[condition]],Lookups!$A$37:$C$44,3,FALSE),1)</f>
        <v>0.97383723671140243</v>
      </c>
      <c r="BV1652" s="4">
        <f>IF(Grandview_Inventory[[#This Row],[bldg_style]]="",1,_xlfn.IFNA(VLOOKUP(Grandview_Inventory[[#This Row],[decade]],Lookups!$F$29:$H$43,3,FALSE),1))</f>
        <v>0.98031878267063854</v>
      </c>
      <c r="BW1652" s="4">
        <f>_xlfn.IFNA(VLOOKUP(Grandview_Inventory[[#This Row],[living_area_range]],Lookups!$F$47:$H$56,3,FALSE),1)</f>
        <v>0.96120133463014379</v>
      </c>
      <c r="BX1652" s="4">
        <f>AVERAGE(Grandview_Inventory[[#This Row],[qual_adj]:[size_adj]])</f>
        <v>0.96457801004643406</v>
      </c>
      <c r="BY1652" s="6">
        <f>IF(Grandview_Inventory[[#This Row],[pre_res]]&lt;0,0,Grandview_Inventory[[#This Row],[pre_res]]*Grandview_Inventory[[#This Row],[overall_adj]])</f>
        <v>330882.00034335966</v>
      </c>
      <c r="BZ1652" s="6">
        <f>(Grandview_Inventory[[#This Row],[sum_land]]-IF(Grandview_Inventory[[#This Row],[no_utilities]]=1,12000,0))/IF(Grandview_Inventory[[#This Row],[unbuildable]]=1,2,1)</f>
        <v>54949.136287295303</v>
      </c>
      <c r="CA1652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652">
        <f>ROUND(Grandview_Inventory[[#This Row],[det_value]]*Lookups!$M$28,-2)</f>
        <v>0</v>
      </c>
      <c r="CC1652">
        <f>IF(ROUND(Grandview_Inventory[[#This Row],[adj_res]]*Lookups!$M$28,-2)&lt;Grandview_Inventory[[#This Row],[min_res]],Grandview_Inventory[[#This Row],[min_res]],ROUND(Grandview_Inventory[[#This Row],[adj_res]]*Lookups!$M$28,-2))</f>
        <v>314300</v>
      </c>
      <c r="CD1652">
        <f>Grandview_Inventory[[#This Row],[final_det]]+Grandview_Inventory[[#This Row],[final_res]]</f>
        <v>314300</v>
      </c>
      <c r="CE1652">
        <f>Grandview_Inventory[[#This Row],[final_land]]+Grandview_Inventory[[#This Row],[final_imp]]+Grandview_Inventory[[#This Row],[crop_value]]</f>
        <v>366500</v>
      </c>
      <c r="CG1652" t="str">
        <f t="shared" si="25"/>
        <v>update valuation set market_land =52200, market_bldg=314300, market_total =366500, market_mdno =401, market_date ='9/10/2023' where link_id = (select link_id from parcel where parcel_year = '2024' and parcel_id = '23092331421');</v>
      </c>
    </row>
    <row r="1653" spans="1:85" x14ac:dyDescent="0.25">
      <c r="A1653">
        <v>23092331422</v>
      </c>
      <c r="B1653">
        <v>0.24</v>
      </c>
      <c r="C1653">
        <v>10375</v>
      </c>
      <c r="D1653" t="s">
        <v>129</v>
      </c>
      <c r="E1653" t="s">
        <v>53</v>
      </c>
      <c r="F1653" t="s">
        <v>53</v>
      </c>
      <c r="G1653">
        <v>4</v>
      </c>
      <c r="H1653" t="s">
        <v>54</v>
      </c>
      <c r="I1653">
        <v>192100</v>
      </c>
      <c r="J1653">
        <v>44200</v>
      </c>
      <c r="K1653">
        <v>0.24</v>
      </c>
      <c r="L165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653">
        <v>0</v>
      </c>
      <c r="N1653">
        <v>0</v>
      </c>
      <c r="O1653">
        <v>0</v>
      </c>
      <c r="P1653">
        <v>13398.7528</v>
      </c>
      <c r="Q1653">
        <v>63903</v>
      </c>
      <c r="R1653">
        <f>(Grandview_Inventory[[#This Row],[ln_acres]]*Grandview_Inventory[[#This Row],[coeff]])+Grandview_Inventory[[#This Row],[const]]</f>
        <v>44781.420733940802</v>
      </c>
      <c r="S1653" t="s">
        <v>61</v>
      </c>
      <c r="T1653">
        <v>1</v>
      </c>
      <c r="U1653" t="s">
        <v>65</v>
      </c>
      <c r="V1653" t="s">
        <v>69</v>
      </c>
      <c r="W1653">
        <v>0</v>
      </c>
      <c r="X1653">
        <v>0</v>
      </c>
      <c r="Y1653">
        <v>28</v>
      </c>
      <c r="Z1653">
        <v>28</v>
      </c>
      <c r="AA1653">
        <v>30</v>
      </c>
      <c r="AB1653">
        <v>1500</v>
      </c>
      <c r="AC1653">
        <v>1469</v>
      </c>
      <c r="AD1653">
        <v>1469</v>
      </c>
      <c r="AE1653">
        <v>0</v>
      </c>
      <c r="AF1653">
        <v>0</v>
      </c>
      <c r="AG1653">
        <v>0</v>
      </c>
      <c r="AH1653">
        <v>0</v>
      </c>
      <c r="AI1653">
        <v>460</v>
      </c>
      <c r="AJ1653">
        <v>0</v>
      </c>
      <c r="AK1653">
        <v>0</v>
      </c>
      <c r="AL1653">
        <v>0</v>
      </c>
      <c r="AM1653">
        <v>0</v>
      </c>
      <c r="AN1653">
        <v>55</v>
      </c>
      <c r="AO1653">
        <v>0</v>
      </c>
      <c r="AP1653">
        <v>8</v>
      </c>
      <c r="AQ1653">
        <v>0</v>
      </c>
      <c r="AR1653">
        <v>0</v>
      </c>
      <c r="AS1653" t="s">
        <v>58</v>
      </c>
      <c r="AT1653">
        <v>1</v>
      </c>
      <c r="AU1653" t="s">
        <v>59</v>
      </c>
      <c r="AV1653" t="s">
        <v>60</v>
      </c>
      <c r="AW1653">
        <v>1</v>
      </c>
      <c r="AX1653">
        <v>3</v>
      </c>
      <c r="AY1653">
        <v>0</v>
      </c>
      <c r="AZ1653">
        <v>0</v>
      </c>
      <c r="BA1653">
        <v>100</v>
      </c>
      <c r="BB1653">
        <v>100</v>
      </c>
      <c r="BC1653">
        <v>100</v>
      </c>
      <c r="BD1653">
        <v>100</v>
      </c>
      <c r="BE1653">
        <v>1</v>
      </c>
      <c r="BF1653">
        <v>15000</v>
      </c>
      <c r="BG1653">
        <v>1000</v>
      </c>
      <c r="BH1653" s="6">
        <f>Grandview_Inventory[[#This Row],[land_extract]]*Lookups!$B$3</f>
        <v>52004.542988489469</v>
      </c>
      <c r="BI1653" s="6">
        <f>IF(Grandview_Inventory[[#This Row],[bldg_style]]="",0,Lookups!$B$2)</f>
        <v>155833.95000000001</v>
      </c>
      <c r="BJ1653" s="6">
        <f>_xlfn.IFNA(VLOOKUP(Grandview_Inventory[[#This Row],[quality]],Lookups!$H$2:$J$14,3,FALSE),0)</f>
        <v>2251</v>
      </c>
      <c r="BK1653" s="6">
        <f>_xlfn.IFNA(VLOOKUP(Grandview_Inventory[[#This Row],[condition]],Lookups!$H$17:$J$24,3,FALSE),0)</f>
        <v>-4503</v>
      </c>
      <c r="BL1653" s="6">
        <f>Grandview_Inventory[[#This Row],[Eff_Age]]*Lookups!$B$14</f>
        <v>-6696.6647999999996</v>
      </c>
      <c r="BM1653" s="6">
        <f>Grandview_Inventory[[#This Row],[living_area]]*Lookups!$B$15</f>
        <v>91637.473056999996</v>
      </c>
      <c r="BN1653" s="6">
        <f>Grandview_Inventory[[#This Row],[Fin BSMT]]*Lookups!$B$16</f>
        <v>0</v>
      </c>
      <c r="BO1653" s="6">
        <f>(Grandview_Inventory[[#This Row],[att_gar]]+Grandview_Inventory[[#This Row],[bltin_gar]])*Lookups!$B$17</f>
        <v>40259.401019999998</v>
      </c>
      <c r="BP1653" s="6">
        <f>Grandview_Inventory[[#This Row],[Plumbing Fixtures]]*Lookups!$B$18</f>
        <v>16083.5344</v>
      </c>
      <c r="BQ1653" s="6">
        <f>Grandview_Inventory[[#This Row],[detatched_value]]*Lookups!$B$19</f>
        <v>0</v>
      </c>
      <c r="BR1653" s="6">
        <f>SUM(Grandview_Inventory[[#This Row],[Intercept]:[det_value]])*Grandview_Inventory[[#This Row],[res_pct]]</f>
        <v>294865.693677</v>
      </c>
      <c r="BS1653" s="6">
        <f>Grandview_Inventory[[#This Row],[land_value]]</f>
        <v>52004.542988489469</v>
      </c>
      <c r="BT1653" s="4">
        <f>_xlfn.IFNA(VLOOKUP(Grandview_Inventory[[#This Row],[quality]],Lookups!$A$26:$C$33,3,FALSE),1)</f>
        <v>0.98763855981004833</v>
      </c>
      <c r="BU1653" s="4">
        <f>_xlfn.IFNA(VLOOKUP(Grandview_Inventory[[#This Row],[condition]],Lookups!$A$37:$C$44,3,FALSE),1)</f>
        <v>0.96469275950863709</v>
      </c>
      <c r="BV1653" s="4">
        <f>IF(Grandview_Inventory[[#This Row],[bldg_style]]="",1,_xlfn.IFNA(VLOOKUP(Grandview_Inventory[[#This Row],[decade]],Lookups!$F$29:$H$43,3,FALSE),1))</f>
        <v>0.98397821291089549</v>
      </c>
      <c r="BW1653" s="4">
        <f>_xlfn.IFNA(VLOOKUP(Grandview_Inventory[[#This Row],[living_area_range]],Lookups!$F$47:$H$56,3,FALSE),1)</f>
        <v>0.96135087979789358</v>
      </c>
      <c r="BX1653" s="4">
        <f>AVERAGE(Grandview_Inventory[[#This Row],[qual_adj]:[size_adj]])</f>
        <v>0.97441510300686862</v>
      </c>
      <c r="BY1653" s="6">
        <f>IF(Grandview_Inventory[[#This Row],[pre_res]]&lt;0,0,Grandview_Inventory[[#This Row],[pre_res]]*Grandview_Inventory[[#This Row],[overall_adj]])</f>
        <v>287321.58527746575</v>
      </c>
      <c r="BZ1653" s="6">
        <f>(Grandview_Inventory[[#This Row],[sum_land]]-IF(Grandview_Inventory[[#This Row],[no_utilities]]=1,12000,0))/IF(Grandview_Inventory[[#This Row],[unbuildable]]=1,2,1)</f>
        <v>52004.542988489469</v>
      </c>
      <c r="CA165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653">
        <f>ROUND(Grandview_Inventory[[#This Row],[det_value]]*Lookups!$M$28,-2)</f>
        <v>0</v>
      </c>
      <c r="CC1653">
        <f>IF(ROUND(Grandview_Inventory[[#This Row],[adj_res]]*Lookups!$M$28,-2)&lt;Grandview_Inventory[[#This Row],[min_res]],Grandview_Inventory[[#This Row],[min_res]],ROUND(Grandview_Inventory[[#This Row],[adj_res]]*Lookups!$M$28,-2))</f>
        <v>273000</v>
      </c>
      <c r="CD1653">
        <f>Grandview_Inventory[[#This Row],[final_det]]+Grandview_Inventory[[#This Row],[final_res]]</f>
        <v>273000</v>
      </c>
      <c r="CE1653">
        <f>Grandview_Inventory[[#This Row],[final_land]]+Grandview_Inventory[[#This Row],[final_imp]]+Grandview_Inventory[[#This Row],[crop_value]]</f>
        <v>322400</v>
      </c>
      <c r="CG1653" t="str">
        <f t="shared" si="25"/>
        <v>update valuation set market_land =49400, market_bldg=273000, market_total =322400, market_mdno =401, market_date ='9/10/2023' where link_id = (select link_id from parcel where parcel_year = '2024' and parcel_id = '23092331422');</v>
      </c>
    </row>
    <row r="1654" spans="1:85" x14ac:dyDescent="0.25">
      <c r="A1654">
        <v>23092331423</v>
      </c>
      <c r="B1654">
        <v>0.27</v>
      </c>
      <c r="C1654">
        <v>11694</v>
      </c>
      <c r="D1654" t="s">
        <v>129</v>
      </c>
      <c r="E1654" t="s">
        <v>53</v>
      </c>
      <c r="F1654" t="s">
        <v>53</v>
      </c>
      <c r="G1654">
        <v>4</v>
      </c>
      <c r="H1654" t="s">
        <v>54</v>
      </c>
      <c r="I1654">
        <v>231300</v>
      </c>
      <c r="J1654">
        <v>40200</v>
      </c>
      <c r="K1654">
        <v>0.27</v>
      </c>
      <c r="L165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654">
        <v>0</v>
      </c>
      <c r="N1654">
        <v>0</v>
      </c>
      <c r="O1654">
        <v>0</v>
      </c>
      <c r="P1654">
        <v>13398.7528</v>
      </c>
      <c r="Q1654">
        <v>63903</v>
      </c>
      <c r="R1654">
        <f>(Grandview_Inventory[[#This Row],[ln_acres]]*Grandview_Inventory[[#This Row],[coeff]])+Grandview_Inventory[[#This Row],[const]]</f>
        <v>46359.566512734265</v>
      </c>
      <c r="S1654" t="s">
        <v>61</v>
      </c>
      <c r="T1654">
        <v>1</v>
      </c>
      <c r="U1654" t="s">
        <v>65</v>
      </c>
      <c r="V1654" t="s">
        <v>67</v>
      </c>
      <c r="W1654">
        <v>0</v>
      </c>
      <c r="X1654">
        <v>0</v>
      </c>
      <c r="Y1654">
        <v>28</v>
      </c>
      <c r="Z1654">
        <v>28</v>
      </c>
      <c r="AA1654">
        <v>30</v>
      </c>
      <c r="AB1654">
        <v>1500</v>
      </c>
      <c r="AC1654">
        <v>1420</v>
      </c>
      <c r="AD1654">
        <v>1420</v>
      </c>
      <c r="AE1654">
        <v>0</v>
      </c>
      <c r="AF1654">
        <v>0</v>
      </c>
      <c r="AG1654">
        <v>0</v>
      </c>
      <c r="AH1654">
        <v>0</v>
      </c>
      <c r="AI1654">
        <v>440</v>
      </c>
      <c r="AJ1654">
        <v>0</v>
      </c>
      <c r="AK1654">
        <v>0</v>
      </c>
      <c r="AL1654">
        <v>0</v>
      </c>
      <c r="AM1654">
        <v>144</v>
      </c>
      <c r="AN1654">
        <v>0</v>
      </c>
      <c r="AO1654">
        <v>144</v>
      </c>
      <c r="AP1654">
        <v>8</v>
      </c>
      <c r="AQ1654">
        <v>0</v>
      </c>
      <c r="AR1654">
        <v>0</v>
      </c>
      <c r="AS1654" t="s">
        <v>58</v>
      </c>
      <c r="AT1654">
        <v>1</v>
      </c>
      <c r="AU1654" t="s">
        <v>63</v>
      </c>
      <c r="AV1654" t="s">
        <v>60</v>
      </c>
      <c r="AW1654">
        <v>1</v>
      </c>
      <c r="AX1654">
        <v>3</v>
      </c>
      <c r="AY1654">
        <v>0</v>
      </c>
      <c r="AZ1654">
        <v>0</v>
      </c>
      <c r="BA1654">
        <v>100</v>
      </c>
      <c r="BB1654">
        <v>100</v>
      </c>
      <c r="BC1654">
        <v>100</v>
      </c>
      <c r="BD1654">
        <v>100</v>
      </c>
      <c r="BE1654">
        <v>1</v>
      </c>
      <c r="BF1654">
        <v>15000</v>
      </c>
      <c r="BG1654">
        <v>1000</v>
      </c>
      <c r="BH1654" s="6">
        <f>Grandview_Inventory[[#This Row],[land_extract]]*Lookups!$B$3</f>
        <v>53837.239420408718</v>
      </c>
      <c r="BI1654" s="6">
        <f>IF(Grandview_Inventory[[#This Row],[bldg_style]]="",0,Lookups!$B$2)</f>
        <v>155833.95000000001</v>
      </c>
      <c r="BJ1654" s="6">
        <f>_xlfn.IFNA(VLOOKUP(Grandview_Inventory[[#This Row],[quality]],Lookups!$H$2:$J$14,3,FALSE),0)</f>
        <v>2251</v>
      </c>
      <c r="BK1654" s="6">
        <f>_xlfn.IFNA(VLOOKUP(Grandview_Inventory[[#This Row],[condition]],Lookups!$H$17:$J$24,3,FALSE),0)</f>
        <v>22342</v>
      </c>
      <c r="BL1654" s="6">
        <f>Grandview_Inventory[[#This Row],[Eff_Age]]*Lookups!$B$14</f>
        <v>-6696.6647999999996</v>
      </c>
      <c r="BM1654" s="6">
        <f>Grandview_Inventory[[#This Row],[living_area]]*Lookups!$B$15</f>
        <v>88580.811260000002</v>
      </c>
      <c r="BN1654" s="6">
        <f>Grandview_Inventory[[#This Row],[Fin BSMT]]*Lookups!$B$16</f>
        <v>0</v>
      </c>
      <c r="BO1654" s="6">
        <f>(Grandview_Inventory[[#This Row],[att_gar]]+Grandview_Inventory[[#This Row],[bltin_gar]])*Lookups!$B$17</f>
        <v>38508.992279999999</v>
      </c>
      <c r="BP1654" s="6">
        <f>Grandview_Inventory[[#This Row],[Plumbing Fixtures]]*Lookups!$B$18</f>
        <v>16083.5344</v>
      </c>
      <c r="BQ1654" s="6">
        <f>Grandview_Inventory[[#This Row],[detatched_value]]*Lookups!$B$19</f>
        <v>0</v>
      </c>
      <c r="BR1654" s="6">
        <f>SUM(Grandview_Inventory[[#This Row],[Intercept]:[det_value]])*Grandview_Inventory[[#This Row],[res_pct]]</f>
        <v>316903.62314000004</v>
      </c>
      <c r="BS1654" s="6">
        <f>Grandview_Inventory[[#This Row],[land_value]]</f>
        <v>53837.239420408718</v>
      </c>
      <c r="BT1654" s="4">
        <f>_xlfn.IFNA(VLOOKUP(Grandview_Inventory[[#This Row],[quality]],Lookups!$A$26:$C$33,3,FALSE),1)</f>
        <v>0.98763855981004833</v>
      </c>
      <c r="BU1654" s="4">
        <f>_xlfn.IFNA(VLOOKUP(Grandview_Inventory[[#This Row],[condition]],Lookups!$A$37:$C$44,3,FALSE),1)</f>
        <v>0.97383723671140243</v>
      </c>
      <c r="BV1654" s="4">
        <f>IF(Grandview_Inventory[[#This Row],[bldg_style]]="",1,_xlfn.IFNA(VLOOKUP(Grandview_Inventory[[#This Row],[decade]],Lookups!$F$29:$H$43,3,FALSE),1))</f>
        <v>0.98397821291089549</v>
      </c>
      <c r="BW1654" s="4">
        <f>_xlfn.IFNA(VLOOKUP(Grandview_Inventory[[#This Row],[living_area_range]],Lookups!$F$47:$H$56,3,FALSE),1)</f>
        <v>0.96135087979789358</v>
      </c>
      <c r="BX1654" s="4">
        <f>AVERAGE(Grandview_Inventory[[#This Row],[qual_adj]:[size_adj]])</f>
        <v>0.97670122230755996</v>
      </c>
      <c r="BY1654" s="6">
        <f>IF(Grandview_Inventory[[#This Row],[pre_res]]&lt;0,0,Grandview_Inventory[[#This Row],[pre_res]]*Grandview_Inventory[[#This Row],[overall_adj]])</f>
        <v>309520.15607453237</v>
      </c>
      <c r="BZ1654" s="6">
        <f>(Grandview_Inventory[[#This Row],[sum_land]]-IF(Grandview_Inventory[[#This Row],[no_utilities]]=1,12000,0))/IF(Grandview_Inventory[[#This Row],[unbuildable]]=1,2,1)</f>
        <v>53837.239420408718</v>
      </c>
      <c r="CA165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654">
        <f>ROUND(Grandview_Inventory[[#This Row],[det_value]]*Lookups!$M$28,-2)</f>
        <v>0</v>
      </c>
      <c r="CC1654">
        <f>IF(ROUND(Grandview_Inventory[[#This Row],[adj_res]]*Lookups!$M$28,-2)&lt;Grandview_Inventory[[#This Row],[min_res]],Grandview_Inventory[[#This Row],[min_res]],ROUND(Grandview_Inventory[[#This Row],[adj_res]]*Lookups!$M$28,-2))</f>
        <v>294000</v>
      </c>
      <c r="CD1654">
        <f>Grandview_Inventory[[#This Row],[final_det]]+Grandview_Inventory[[#This Row],[final_res]]</f>
        <v>294000</v>
      </c>
      <c r="CE1654">
        <f>Grandview_Inventory[[#This Row],[final_land]]+Grandview_Inventory[[#This Row],[final_imp]]+Grandview_Inventory[[#This Row],[crop_value]]</f>
        <v>345100</v>
      </c>
      <c r="CG1654" t="str">
        <f t="shared" si="25"/>
        <v>update valuation set market_land =51100, market_bldg=294000, market_total =345100, market_mdno =401, market_date ='9/10/2023' where link_id = (select link_id from parcel where parcel_year = '2024' and parcel_id = '23092331423');</v>
      </c>
    </row>
    <row r="1655" spans="1:85" x14ac:dyDescent="0.25">
      <c r="A1655">
        <v>23092331424</v>
      </c>
      <c r="B1655">
        <v>0.16</v>
      </c>
      <c r="C1655">
        <v>7166</v>
      </c>
      <c r="D1655" t="s">
        <v>129</v>
      </c>
      <c r="E1655" t="s">
        <v>53</v>
      </c>
      <c r="F1655" t="s">
        <v>53</v>
      </c>
      <c r="G1655">
        <v>4</v>
      </c>
      <c r="H1655" t="s">
        <v>54</v>
      </c>
      <c r="I1655">
        <v>193600</v>
      </c>
      <c r="J1655">
        <v>38600</v>
      </c>
      <c r="K1655">
        <v>0.16</v>
      </c>
      <c r="L165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55">
        <v>0</v>
      </c>
      <c r="N1655">
        <v>0</v>
      </c>
      <c r="O1655">
        <v>0</v>
      </c>
      <c r="P1655">
        <v>13398.7528</v>
      </c>
      <c r="Q1655">
        <v>63903</v>
      </c>
      <c r="R1655">
        <f>(Grandview_Inventory[[#This Row],[ln_acres]]*Grandview_Inventory[[#This Row],[coeff]])+Grandview_Inventory[[#This Row],[const]]</f>
        <v>39348.693981374228</v>
      </c>
      <c r="S1655" t="s">
        <v>61</v>
      </c>
      <c r="T1655">
        <v>1</v>
      </c>
      <c r="U1655" t="s">
        <v>65</v>
      </c>
      <c r="V1655" t="s">
        <v>69</v>
      </c>
      <c r="W1655">
        <v>0</v>
      </c>
      <c r="X1655">
        <v>0</v>
      </c>
      <c r="Y1655">
        <v>28</v>
      </c>
      <c r="Z1655">
        <v>28</v>
      </c>
      <c r="AA1655">
        <v>30</v>
      </c>
      <c r="AB1655">
        <v>1500</v>
      </c>
      <c r="AC1655">
        <v>1424</v>
      </c>
      <c r="AD1655">
        <v>1424</v>
      </c>
      <c r="AE1655">
        <v>0</v>
      </c>
      <c r="AF1655">
        <v>0</v>
      </c>
      <c r="AG1655">
        <v>0</v>
      </c>
      <c r="AH1655">
        <v>0</v>
      </c>
      <c r="AI1655">
        <v>520</v>
      </c>
      <c r="AJ1655">
        <v>0</v>
      </c>
      <c r="AK1655">
        <v>0</v>
      </c>
      <c r="AL1655">
        <v>0</v>
      </c>
      <c r="AM1655">
        <v>0</v>
      </c>
      <c r="AN1655">
        <v>120</v>
      </c>
      <c r="AO1655">
        <v>0</v>
      </c>
      <c r="AP1655">
        <v>8</v>
      </c>
      <c r="AQ1655">
        <v>0</v>
      </c>
      <c r="AR1655">
        <v>0</v>
      </c>
      <c r="AS1655" t="s">
        <v>58</v>
      </c>
      <c r="AT1655">
        <v>1</v>
      </c>
      <c r="AU1655" t="s">
        <v>59</v>
      </c>
      <c r="AV1655" t="s">
        <v>60</v>
      </c>
      <c r="AW1655">
        <v>1</v>
      </c>
      <c r="AX1655">
        <v>3</v>
      </c>
      <c r="AY1655">
        <v>0</v>
      </c>
      <c r="AZ1655">
        <v>0</v>
      </c>
      <c r="BA1655">
        <v>100</v>
      </c>
      <c r="BB1655">
        <v>100</v>
      </c>
      <c r="BC1655">
        <v>100</v>
      </c>
      <c r="BD1655">
        <v>100</v>
      </c>
      <c r="BE1655">
        <v>1</v>
      </c>
      <c r="BF1655">
        <v>15000</v>
      </c>
      <c r="BG1655">
        <v>1000</v>
      </c>
      <c r="BH1655" s="6">
        <f>Grandview_Inventory[[#This Row],[land_extract]]*Lookups!$B$3</f>
        <v>45695.532079096141</v>
      </c>
      <c r="BI1655" s="6">
        <f>IF(Grandview_Inventory[[#This Row],[bldg_style]]="",0,Lookups!$B$2)</f>
        <v>155833.95000000001</v>
      </c>
      <c r="BJ1655" s="6">
        <f>_xlfn.IFNA(VLOOKUP(Grandview_Inventory[[#This Row],[quality]],Lookups!$H$2:$J$14,3,FALSE),0)</f>
        <v>2251</v>
      </c>
      <c r="BK1655" s="6">
        <f>_xlfn.IFNA(VLOOKUP(Grandview_Inventory[[#This Row],[condition]],Lookups!$H$17:$J$24,3,FALSE),0)</f>
        <v>-4503</v>
      </c>
      <c r="BL1655" s="6">
        <f>Grandview_Inventory[[#This Row],[Eff_Age]]*Lookups!$B$14</f>
        <v>-6696.6647999999996</v>
      </c>
      <c r="BM1655" s="6">
        <f>Grandview_Inventory[[#This Row],[living_area]]*Lookups!$B$15</f>
        <v>88830.334671999997</v>
      </c>
      <c r="BN1655" s="6">
        <f>Grandview_Inventory[[#This Row],[Fin BSMT]]*Lookups!$B$16</f>
        <v>0</v>
      </c>
      <c r="BO1655" s="6">
        <f>(Grandview_Inventory[[#This Row],[att_gar]]+Grandview_Inventory[[#This Row],[bltin_gar]])*Lookups!$B$17</f>
        <v>45510.627240000002</v>
      </c>
      <c r="BP1655" s="6">
        <f>Grandview_Inventory[[#This Row],[Plumbing Fixtures]]*Lookups!$B$18</f>
        <v>16083.5344</v>
      </c>
      <c r="BQ1655" s="6">
        <f>Grandview_Inventory[[#This Row],[detatched_value]]*Lookups!$B$19</f>
        <v>0</v>
      </c>
      <c r="BR1655" s="6">
        <f>SUM(Grandview_Inventory[[#This Row],[Intercept]:[det_value]])*Grandview_Inventory[[#This Row],[res_pct]]</f>
        <v>297309.78151200002</v>
      </c>
      <c r="BS1655" s="6">
        <f>Grandview_Inventory[[#This Row],[land_value]]</f>
        <v>45695.532079096141</v>
      </c>
      <c r="BT1655" s="4">
        <f>_xlfn.IFNA(VLOOKUP(Grandview_Inventory[[#This Row],[quality]],Lookups!$A$26:$C$33,3,FALSE),1)</f>
        <v>0.98763855981004833</v>
      </c>
      <c r="BU1655" s="4">
        <f>_xlfn.IFNA(VLOOKUP(Grandview_Inventory[[#This Row],[condition]],Lookups!$A$37:$C$44,3,FALSE),1)</f>
        <v>0.96469275950863709</v>
      </c>
      <c r="BV1655" s="4">
        <f>IF(Grandview_Inventory[[#This Row],[bldg_style]]="",1,_xlfn.IFNA(VLOOKUP(Grandview_Inventory[[#This Row],[decade]],Lookups!$F$29:$H$43,3,FALSE),1))</f>
        <v>0.98397821291089549</v>
      </c>
      <c r="BW1655" s="4">
        <f>_xlfn.IFNA(VLOOKUP(Grandview_Inventory[[#This Row],[living_area_range]],Lookups!$F$47:$H$56,3,FALSE),1)</f>
        <v>0.96135087979789358</v>
      </c>
      <c r="BX1655" s="4">
        <f>AVERAGE(Grandview_Inventory[[#This Row],[qual_adj]:[size_adj]])</f>
        <v>0.97441510300686862</v>
      </c>
      <c r="BY1655" s="6">
        <f>IF(Grandview_Inventory[[#This Row],[pre_res]]&lt;0,0,Grandview_Inventory[[#This Row],[pre_res]]*Grandview_Inventory[[#This Row],[overall_adj]])</f>
        <v>289703.1413769651</v>
      </c>
      <c r="BZ1655" s="6">
        <f>(Grandview_Inventory[[#This Row],[sum_land]]-IF(Grandview_Inventory[[#This Row],[no_utilities]]=1,12000,0))/IF(Grandview_Inventory[[#This Row],[unbuildable]]=1,2,1)</f>
        <v>45695.532079096141</v>
      </c>
      <c r="CA165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55">
        <f>ROUND(Grandview_Inventory[[#This Row],[det_value]]*Lookups!$M$28,-2)</f>
        <v>0</v>
      </c>
      <c r="CC1655">
        <f>IF(ROUND(Grandview_Inventory[[#This Row],[adj_res]]*Lookups!$M$28,-2)&lt;Grandview_Inventory[[#This Row],[min_res]],Grandview_Inventory[[#This Row],[min_res]],ROUND(Grandview_Inventory[[#This Row],[adj_res]]*Lookups!$M$28,-2))</f>
        <v>275200</v>
      </c>
      <c r="CD1655">
        <f>Grandview_Inventory[[#This Row],[final_det]]+Grandview_Inventory[[#This Row],[final_res]]</f>
        <v>275200</v>
      </c>
      <c r="CE1655">
        <f>Grandview_Inventory[[#This Row],[final_land]]+Grandview_Inventory[[#This Row],[final_imp]]+Grandview_Inventory[[#This Row],[crop_value]]</f>
        <v>318600</v>
      </c>
      <c r="CG1655" t="str">
        <f t="shared" si="25"/>
        <v>update valuation set market_land =43400, market_bldg=275200, market_total =318600, market_mdno =401, market_date ='9/10/2023' where link_id = (select link_id from parcel where parcel_year = '2024' and parcel_id = '23092331424');</v>
      </c>
    </row>
    <row r="1656" spans="1:85" x14ac:dyDescent="0.25">
      <c r="A1656">
        <v>23092331425</v>
      </c>
      <c r="B1656">
        <v>0.16</v>
      </c>
      <c r="C1656">
        <v>6991</v>
      </c>
      <c r="D1656" t="s">
        <v>129</v>
      </c>
      <c r="E1656" t="s">
        <v>53</v>
      </c>
      <c r="F1656" t="s">
        <v>53</v>
      </c>
      <c r="G1656">
        <v>4</v>
      </c>
      <c r="H1656" t="s">
        <v>54</v>
      </c>
      <c r="I1656">
        <v>194900</v>
      </c>
      <c r="J1656">
        <v>38600</v>
      </c>
      <c r="K1656">
        <v>0.16</v>
      </c>
      <c r="L165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56">
        <v>0</v>
      </c>
      <c r="N1656">
        <v>0</v>
      </c>
      <c r="O1656">
        <v>0</v>
      </c>
      <c r="P1656">
        <v>13398.7528</v>
      </c>
      <c r="Q1656">
        <v>63903</v>
      </c>
      <c r="R1656">
        <f>(Grandview_Inventory[[#This Row],[ln_acres]]*Grandview_Inventory[[#This Row],[coeff]])+Grandview_Inventory[[#This Row],[const]]</f>
        <v>39348.693981374228</v>
      </c>
      <c r="S1656" t="s">
        <v>61</v>
      </c>
      <c r="T1656">
        <v>1</v>
      </c>
      <c r="U1656" t="s">
        <v>65</v>
      </c>
      <c r="V1656" t="s">
        <v>69</v>
      </c>
      <c r="W1656">
        <v>0</v>
      </c>
      <c r="X1656">
        <v>0</v>
      </c>
      <c r="Y1656">
        <v>28</v>
      </c>
      <c r="Z1656">
        <v>28</v>
      </c>
      <c r="AA1656">
        <v>30</v>
      </c>
      <c r="AB1656">
        <v>1500</v>
      </c>
      <c r="AC1656">
        <v>1435</v>
      </c>
      <c r="AD1656">
        <v>1435</v>
      </c>
      <c r="AE1656">
        <v>0</v>
      </c>
      <c r="AF1656">
        <v>0</v>
      </c>
      <c r="AG1656">
        <v>0</v>
      </c>
      <c r="AH1656">
        <v>0</v>
      </c>
      <c r="AI1656">
        <v>506</v>
      </c>
      <c r="AJ1656">
        <v>0</v>
      </c>
      <c r="AK1656">
        <v>0</v>
      </c>
      <c r="AL1656">
        <v>128</v>
      </c>
      <c r="AM1656">
        <v>0</v>
      </c>
      <c r="AN1656">
        <v>32</v>
      </c>
      <c r="AO1656">
        <v>0</v>
      </c>
      <c r="AP1656">
        <v>9</v>
      </c>
      <c r="AQ1656">
        <v>0</v>
      </c>
      <c r="AR1656">
        <v>0</v>
      </c>
      <c r="AS1656" t="s">
        <v>58</v>
      </c>
      <c r="AT1656">
        <v>1</v>
      </c>
      <c r="AU1656" t="s">
        <v>59</v>
      </c>
      <c r="AV1656" t="s">
        <v>60</v>
      </c>
      <c r="AW1656">
        <v>1</v>
      </c>
      <c r="AX1656">
        <v>3</v>
      </c>
      <c r="AY1656">
        <v>0</v>
      </c>
      <c r="AZ1656">
        <v>0</v>
      </c>
      <c r="BA1656">
        <v>100</v>
      </c>
      <c r="BB1656">
        <v>100</v>
      </c>
      <c r="BC1656">
        <v>100</v>
      </c>
      <c r="BD1656">
        <v>100</v>
      </c>
      <c r="BE1656">
        <v>1</v>
      </c>
      <c r="BF1656">
        <v>15000</v>
      </c>
      <c r="BG1656">
        <v>1000</v>
      </c>
      <c r="BH1656" s="6">
        <f>Grandview_Inventory[[#This Row],[land_extract]]*Lookups!$B$3</f>
        <v>45695.532079096141</v>
      </c>
      <c r="BI1656" s="6">
        <f>IF(Grandview_Inventory[[#This Row],[bldg_style]]="",0,Lookups!$B$2)</f>
        <v>155833.95000000001</v>
      </c>
      <c r="BJ1656" s="6">
        <f>_xlfn.IFNA(VLOOKUP(Grandview_Inventory[[#This Row],[quality]],Lookups!$H$2:$J$14,3,FALSE),0)</f>
        <v>2251</v>
      </c>
      <c r="BK1656" s="6">
        <f>_xlfn.IFNA(VLOOKUP(Grandview_Inventory[[#This Row],[condition]],Lookups!$H$17:$J$24,3,FALSE),0)</f>
        <v>-4503</v>
      </c>
      <c r="BL1656" s="6">
        <f>Grandview_Inventory[[#This Row],[Eff_Age]]*Lookups!$B$14</f>
        <v>-6696.6647999999996</v>
      </c>
      <c r="BM1656" s="6">
        <f>Grandview_Inventory[[#This Row],[living_area]]*Lookups!$B$15</f>
        <v>89516.524055000002</v>
      </c>
      <c r="BN1656" s="6">
        <f>Grandview_Inventory[[#This Row],[Fin BSMT]]*Lookups!$B$16</f>
        <v>0</v>
      </c>
      <c r="BO1656" s="6">
        <f>(Grandview_Inventory[[#This Row],[att_gar]]+Grandview_Inventory[[#This Row],[bltin_gar]])*Lookups!$B$17</f>
        <v>44285.341121999998</v>
      </c>
      <c r="BP1656" s="6">
        <f>Grandview_Inventory[[#This Row],[Plumbing Fixtures]]*Lookups!$B$18</f>
        <v>18093.976200000001</v>
      </c>
      <c r="BQ1656" s="6">
        <f>Grandview_Inventory[[#This Row],[detatched_value]]*Lookups!$B$19</f>
        <v>0</v>
      </c>
      <c r="BR1656" s="6">
        <f>SUM(Grandview_Inventory[[#This Row],[Intercept]:[det_value]])*Grandview_Inventory[[#This Row],[res_pct]]</f>
        <v>298781.12657700002</v>
      </c>
      <c r="BS1656" s="6">
        <f>Grandview_Inventory[[#This Row],[land_value]]</f>
        <v>45695.532079096141</v>
      </c>
      <c r="BT1656" s="4">
        <f>_xlfn.IFNA(VLOOKUP(Grandview_Inventory[[#This Row],[quality]],Lookups!$A$26:$C$33,3,FALSE),1)</f>
        <v>0.98763855981004833</v>
      </c>
      <c r="BU1656" s="4">
        <f>_xlfn.IFNA(VLOOKUP(Grandview_Inventory[[#This Row],[condition]],Lookups!$A$37:$C$44,3,FALSE),1)</f>
        <v>0.96469275950863709</v>
      </c>
      <c r="BV1656" s="4">
        <f>IF(Grandview_Inventory[[#This Row],[bldg_style]]="",1,_xlfn.IFNA(VLOOKUP(Grandview_Inventory[[#This Row],[decade]],Lookups!$F$29:$H$43,3,FALSE),1))</f>
        <v>0.98397821291089549</v>
      </c>
      <c r="BW1656" s="4">
        <f>_xlfn.IFNA(VLOOKUP(Grandview_Inventory[[#This Row],[living_area_range]],Lookups!$F$47:$H$56,3,FALSE),1)</f>
        <v>0.96135087979789358</v>
      </c>
      <c r="BX1656" s="4">
        <f>AVERAGE(Grandview_Inventory[[#This Row],[qual_adj]:[size_adj]])</f>
        <v>0.97441510300686862</v>
      </c>
      <c r="BY1656" s="6">
        <f>IF(Grandview_Inventory[[#This Row],[pre_res]]&lt;0,0,Grandview_Inventory[[#This Row],[pre_res]]*Grandview_Inventory[[#This Row],[overall_adj]])</f>
        <v>291136.84223003575</v>
      </c>
      <c r="BZ1656" s="6">
        <f>(Grandview_Inventory[[#This Row],[sum_land]]-IF(Grandview_Inventory[[#This Row],[no_utilities]]=1,12000,0))/IF(Grandview_Inventory[[#This Row],[unbuildable]]=1,2,1)</f>
        <v>45695.532079096141</v>
      </c>
      <c r="CA165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56">
        <f>ROUND(Grandview_Inventory[[#This Row],[det_value]]*Lookups!$M$28,-2)</f>
        <v>0</v>
      </c>
      <c r="CC1656">
        <f>IF(ROUND(Grandview_Inventory[[#This Row],[adj_res]]*Lookups!$M$28,-2)&lt;Grandview_Inventory[[#This Row],[min_res]],Grandview_Inventory[[#This Row],[min_res]],ROUND(Grandview_Inventory[[#This Row],[adj_res]]*Lookups!$M$28,-2))</f>
        <v>276600</v>
      </c>
      <c r="CD1656">
        <f>Grandview_Inventory[[#This Row],[final_det]]+Grandview_Inventory[[#This Row],[final_res]]</f>
        <v>276600</v>
      </c>
      <c r="CE1656">
        <f>Grandview_Inventory[[#This Row],[final_land]]+Grandview_Inventory[[#This Row],[final_imp]]+Grandview_Inventory[[#This Row],[crop_value]]</f>
        <v>320000</v>
      </c>
      <c r="CG1656" t="str">
        <f t="shared" si="25"/>
        <v>update valuation set market_land =43400, market_bldg=276600, market_total =320000, market_mdno =401, market_date ='9/10/2023' where link_id = (select link_id from parcel where parcel_year = '2024' and parcel_id = '23092331425');</v>
      </c>
    </row>
    <row r="1657" spans="1:85" x14ac:dyDescent="0.25">
      <c r="A1657">
        <v>23092331426</v>
      </c>
      <c r="B1657">
        <v>0.2</v>
      </c>
      <c r="C1657">
        <v>8525</v>
      </c>
      <c r="D1657" t="s">
        <v>129</v>
      </c>
      <c r="E1657" t="s">
        <v>53</v>
      </c>
      <c r="F1657" t="s">
        <v>53</v>
      </c>
      <c r="G1657">
        <v>4</v>
      </c>
      <c r="H1657" t="s">
        <v>54</v>
      </c>
      <c r="I1657">
        <v>228900</v>
      </c>
      <c r="J1657">
        <v>39300</v>
      </c>
      <c r="K1657">
        <v>0.2</v>
      </c>
      <c r="L165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57">
        <v>0</v>
      </c>
      <c r="N1657">
        <v>0</v>
      </c>
      <c r="O1657">
        <v>0</v>
      </c>
      <c r="P1657">
        <v>13398.7528</v>
      </c>
      <c r="Q1657">
        <v>63903</v>
      </c>
      <c r="R1657">
        <f>(Grandview_Inventory[[#This Row],[ln_acres]]*Grandview_Inventory[[#This Row],[coeff]])+Grandview_Inventory[[#This Row],[const]]</f>
        <v>42338.539264347448</v>
      </c>
      <c r="S1657" t="s">
        <v>61</v>
      </c>
      <c r="T1657">
        <v>1</v>
      </c>
      <c r="U1657" t="s">
        <v>62</v>
      </c>
      <c r="V1657" t="s">
        <v>67</v>
      </c>
      <c r="W1657">
        <v>0</v>
      </c>
      <c r="X1657">
        <v>0</v>
      </c>
      <c r="Y1657">
        <v>28</v>
      </c>
      <c r="Z1657">
        <v>28</v>
      </c>
      <c r="AA1657">
        <v>30</v>
      </c>
      <c r="AB1657">
        <v>1500</v>
      </c>
      <c r="AC1657">
        <v>1388</v>
      </c>
      <c r="AD1657">
        <v>1388</v>
      </c>
      <c r="AE1657">
        <v>0</v>
      </c>
      <c r="AF1657">
        <v>0</v>
      </c>
      <c r="AG1657">
        <v>0</v>
      </c>
      <c r="AH1657">
        <v>0</v>
      </c>
      <c r="AI1657">
        <v>528</v>
      </c>
      <c r="AJ1657">
        <v>0</v>
      </c>
      <c r="AK1657">
        <v>0</v>
      </c>
      <c r="AL1657">
        <v>128</v>
      </c>
      <c r="AM1657">
        <v>0</v>
      </c>
      <c r="AN1657">
        <v>48</v>
      </c>
      <c r="AO1657">
        <v>0</v>
      </c>
      <c r="AP1657">
        <v>8</v>
      </c>
      <c r="AQ1657">
        <v>0</v>
      </c>
      <c r="AR1657">
        <v>0</v>
      </c>
      <c r="AS1657" t="s">
        <v>58</v>
      </c>
      <c r="AT1657">
        <v>1</v>
      </c>
      <c r="AU1657" t="s">
        <v>59</v>
      </c>
      <c r="AV1657" t="s">
        <v>60</v>
      </c>
      <c r="AW1657">
        <v>1</v>
      </c>
      <c r="AX1657">
        <v>3</v>
      </c>
      <c r="AY1657">
        <v>0</v>
      </c>
      <c r="AZ1657">
        <v>0</v>
      </c>
      <c r="BA1657">
        <v>100</v>
      </c>
      <c r="BB1657">
        <v>100</v>
      </c>
      <c r="BC1657">
        <v>100</v>
      </c>
      <c r="BD1657">
        <v>100</v>
      </c>
      <c r="BE1657">
        <v>1</v>
      </c>
      <c r="BF1657">
        <v>15000</v>
      </c>
      <c r="BG1657">
        <v>1000</v>
      </c>
      <c r="BH1657" s="6">
        <f>Grandview_Inventory[[#This Row],[land_extract]]*Lookups!$B$3</f>
        <v>49167.631333630678</v>
      </c>
      <c r="BI1657" s="6">
        <f>IF(Grandview_Inventory[[#This Row],[bldg_style]]="",0,Lookups!$B$2)</f>
        <v>155833.95000000001</v>
      </c>
      <c r="BJ1657" s="6">
        <f>_xlfn.IFNA(VLOOKUP(Grandview_Inventory[[#This Row],[quality]],Lookups!$H$2:$J$14,3,FALSE),0)</f>
        <v>9808</v>
      </c>
      <c r="BK1657" s="6">
        <f>_xlfn.IFNA(VLOOKUP(Grandview_Inventory[[#This Row],[condition]],Lookups!$H$17:$J$24,3,FALSE),0)</f>
        <v>22342</v>
      </c>
      <c r="BL1657" s="6">
        <f>Grandview_Inventory[[#This Row],[Eff_Age]]*Lookups!$B$14</f>
        <v>-6696.6647999999996</v>
      </c>
      <c r="BM1657" s="6">
        <f>Grandview_Inventory[[#This Row],[living_area]]*Lookups!$B$15</f>
        <v>86584.623963999999</v>
      </c>
      <c r="BN1657" s="6">
        <f>Grandview_Inventory[[#This Row],[Fin BSMT]]*Lookups!$B$16</f>
        <v>0</v>
      </c>
      <c r="BO1657" s="6">
        <f>(Grandview_Inventory[[#This Row],[att_gar]]+Grandview_Inventory[[#This Row],[bltin_gar]])*Lookups!$B$17</f>
        <v>46210.790736000003</v>
      </c>
      <c r="BP1657" s="6">
        <f>Grandview_Inventory[[#This Row],[Plumbing Fixtures]]*Lookups!$B$18</f>
        <v>16083.5344</v>
      </c>
      <c r="BQ1657" s="6">
        <f>Grandview_Inventory[[#This Row],[detatched_value]]*Lookups!$B$19</f>
        <v>0</v>
      </c>
      <c r="BR1657" s="6">
        <f>SUM(Grandview_Inventory[[#This Row],[Intercept]:[det_value]])*Grandview_Inventory[[#This Row],[res_pct]]</f>
        <v>330166.23430000001</v>
      </c>
      <c r="BS1657" s="6">
        <f>Grandview_Inventory[[#This Row],[land_value]]</f>
        <v>49167.631333630678</v>
      </c>
      <c r="BT1657" s="4">
        <f>_xlfn.IFNA(VLOOKUP(Grandview_Inventory[[#This Row],[quality]],Lookups!$A$26:$C$33,3,FALSE),1)</f>
        <v>0.94295468617355149</v>
      </c>
      <c r="BU1657" s="4">
        <f>_xlfn.IFNA(VLOOKUP(Grandview_Inventory[[#This Row],[condition]],Lookups!$A$37:$C$44,3,FALSE),1)</f>
        <v>0.97383723671140243</v>
      </c>
      <c r="BV1657" s="4">
        <f>IF(Grandview_Inventory[[#This Row],[bldg_style]]="",1,_xlfn.IFNA(VLOOKUP(Grandview_Inventory[[#This Row],[decade]],Lookups!$F$29:$H$43,3,FALSE),1))</f>
        <v>0.98397821291089549</v>
      </c>
      <c r="BW1657" s="4">
        <f>_xlfn.IFNA(VLOOKUP(Grandview_Inventory[[#This Row],[living_area_range]],Lookups!$F$47:$H$56,3,FALSE),1)</f>
        <v>0.96135087979789358</v>
      </c>
      <c r="BX1657" s="4">
        <f>AVERAGE(Grandview_Inventory[[#This Row],[qual_adj]:[size_adj]])</f>
        <v>0.96553025389843572</v>
      </c>
      <c r="BY1657" s="6">
        <f>IF(Grandview_Inventory[[#This Row],[pre_res]]&lt;0,0,Grandview_Inventory[[#This Row],[pre_res]]*Grandview_Inventory[[#This Row],[overall_adj]])</f>
        <v>318785.48803236941</v>
      </c>
      <c r="BZ1657" s="6">
        <f>(Grandview_Inventory[[#This Row],[sum_land]]-IF(Grandview_Inventory[[#This Row],[no_utilities]]=1,12000,0))/IF(Grandview_Inventory[[#This Row],[unbuildable]]=1,2,1)</f>
        <v>49167.631333630678</v>
      </c>
      <c r="CA165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57">
        <f>ROUND(Grandview_Inventory[[#This Row],[det_value]]*Lookups!$M$28,-2)</f>
        <v>0</v>
      </c>
      <c r="CC1657">
        <f>IF(ROUND(Grandview_Inventory[[#This Row],[adj_res]]*Lookups!$M$28,-2)&lt;Grandview_Inventory[[#This Row],[min_res]],Grandview_Inventory[[#This Row],[min_res]],ROUND(Grandview_Inventory[[#This Row],[adj_res]]*Lookups!$M$28,-2))</f>
        <v>302800</v>
      </c>
      <c r="CD1657">
        <f>Grandview_Inventory[[#This Row],[final_det]]+Grandview_Inventory[[#This Row],[final_res]]</f>
        <v>302800</v>
      </c>
      <c r="CE1657">
        <f>Grandview_Inventory[[#This Row],[final_land]]+Grandview_Inventory[[#This Row],[final_imp]]+Grandview_Inventory[[#This Row],[crop_value]]</f>
        <v>349500</v>
      </c>
      <c r="CG1657" t="str">
        <f t="shared" si="25"/>
        <v>update valuation set market_land =46700, market_bldg=302800, market_total =349500, market_mdno =401, market_date ='9/10/2023' where link_id = (select link_id from parcel where parcel_year = '2024' and parcel_id = '23092331426');</v>
      </c>
    </row>
    <row r="1658" spans="1:85" x14ac:dyDescent="0.25">
      <c r="A1658">
        <v>23092331427</v>
      </c>
      <c r="B1658">
        <v>0.25</v>
      </c>
      <c r="C1658">
        <v>10775</v>
      </c>
      <c r="D1658" t="s">
        <v>129</v>
      </c>
      <c r="E1658" t="s">
        <v>53</v>
      </c>
      <c r="F1658" t="s">
        <v>53</v>
      </c>
      <c r="G1658">
        <v>4</v>
      </c>
      <c r="H1658" t="s">
        <v>54</v>
      </c>
      <c r="I1658">
        <v>209600</v>
      </c>
      <c r="J1658">
        <v>40000</v>
      </c>
      <c r="K1658">
        <v>0.25</v>
      </c>
      <c r="L165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658">
        <v>0</v>
      </c>
      <c r="N1658">
        <v>0</v>
      </c>
      <c r="O1658">
        <v>0</v>
      </c>
      <c r="P1658">
        <v>13398.7528</v>
      </c>
      <c r="Q1658">
        <v>63903</v>
      </c>
      <c r="R1658">
        <f>(Grandview_Inventory[[#This Row],[ln_acres]]*Grandview_Inventory[[#This Row],[coeff]])+Grandview_Inventory[[#This Row],[const]]</f>
        <v>45328.38454732066</v>
      </c>
      <c r="S1658" t="s">
        <v>61</v>
      </c>
      <c r="T1658">
        <v>1</v>
      </c>
      <c r="U1658" t="s">
        <v>65</v>
      </c>
      <c r="V1658" t="s">
        <v>69</v>
      </c>
      <c r="W1658">
        <v>0</v>
      </c>
      <c r="X1658">
        <v>0</v>
      </c>
      <c r="Y1658">
        <v>28</v>
      </c>
      <c r="Z1658">
        <v>28</v>
      </c>
      <c r="AA1658">
        <v>30</v>
      </c>
      <c r="AB1658">
        <v>2000</v>
      </c>
      <c r="AC1658">
        <v>1728</v>
      </c>
      <c r="AD1658">
        <v>1728</v>
      </c>
      <c r="AE1658">
        <v>0</v>
      </c>
      <c r="AF1658">
        <v>0</v>
      </c>
      <c r="AG1658">
        <v>0</v>
      </c>
      <c r="AH1658">
        <v>0</v>
      </c>
      <c r="AI1658">
        <v>528</v>
      </c>
      <c r="AJ1658">
        <v>0</v>
      </c>
      <c r="AK1658">
        <v>0</v>
      </c>
      <c r="AL1658">
        <v>0</v>
      </c>
      <c r="AM1658">
        <v>192</v>
      </c>
      <c r="AN1658">
        <v>0</v>
      </c>
      <c r="AO1658">
        <v>0</v>
      </c>
      <c r="AP1658">
        <v>8</v>
      </c>
      <c r="AQ1658">
        <v>0</v>
      </c>
      <c r="AR1658">
        <v>0</v>
      </c>
      <c r="AS1658" t="s">
        <v>58</v>
      </c>
      <c r="AT1658">
        <v>1</v>
      </c>
      <c r="AU1658" t="s">
        <v>59</v>
      </c>
      <c r="AV1658" t="s">
        <v>60</v>
      </c>
      <c r="AW1658">
        <v>1</v>
      </c>
      <c r="AX1658">
        <v>3</v>
      </c>
      <c r="AY1658">
        <v>0</v>
      </c>
      <c r="AZ1658">
        <v>0</v>
      </c>
      <c r="BA1658">
        <v>100</v>
      </c>
      <c r="BB1658">
        <v>100</v>
      </c>
      <c r="BC1658">
        <v>100</v>
      </c>
      <c r="BD1658">
        <v>100</v>
      </c>
      <c r="BE1658">
        <v>1</v>
      </c>
      <c r="BF1658">
        <v>15000</v>
      </c>
      <c r="BG1658">
        <v>1000</v>
      </c>
      <c r="BH1658" s="6">
        <f>Grandview_Inventory[[#This Row],[land_extract]]*Lookups!$B$3</f>
        <v>52639.730588165206</v>
      </c>
      <c r="BI1658" s="6">
        <f>IF(Grandview_Inventory[[#This Row],[bldg_style]]="",0,Lookups!$B$2)</f>
        <v>155833.95000000001</v>
      </c>
      <c r="BJ1658" s="6">
        <f>_xlfn.IFNA(VLOOKUP(Grandview_Inventory[[#This Row],[quality]],Lookups!$H$2:$J$14,3,FALSE),0)</f>
        <v>2251</v>
      </c>
      <c r="BK1658" s="6">
        <f>_xlfn.IFNA(VLOOKUP(Grandview_Inventory[[#This Row],[condition]],Lookups!$H$17:$J$24,3,FALSE),0)</f>
        <v>-4503</v>
      </c>
      <c r="BL1658" s="6">
        <f>Grandview_Inventory[[#This Row],[Eff_Age]]*Lookups!$B$14</f>
        <v>-6696.6647999999996</v>
      </c>
      <c r="BM1658" s="6">
        <f>Grandview_Inventory[[#This Row],[living_area]]*Lookups!$B$15</f>
        <v>107794.113984</v>
      </c>
      <c r="BN1658" s="6">
        <f>Grandview_Inventory[[#This Row],[Fin BSMT]]*Lookups!$B$16</f>
        <v>0</v>
      </c>
      <c r="BO1658" s="6">
        <f>(Grandview_Inventory[[#This Row],[att_gar]]+Grandview_Inventory[[#This Row],[bltin_gar]])*Lookups!$B$17</f>
        <v>46210.790736000003</v>
      </c>
      <c r="BP1658" s="6">
        <f>Grandview_Inventory[[#This Row],[Plumbing Fixtures]]*Lookups!$B$18</f>
        <v>16083.5344</v>
      </c>
      <c r="BQ1658" s="6">
        <f>Grandview_Inventory[[#This Row],[detatched_value]]*Lookups!$B$19</f>
        <v>0</v>
      </c>
      <c r="BR1658" s="6">
        <f>SUM(Grandview_Inventory[[#This Row],[Intercept]:[det_value]])*Grandview_Inventory[[#This Row],[res_pct]]</f>
        <v>316973.72432000004</v>
      </c>
      <c r="BS1658" s="6">
        <f>Grandview_Inventory[[#This Row],[land_value]]</f>
        <v>52639.730588165206</v>
      </c>
      <c r="BT1658" s="4">
        <f>_xlfn.IFNA(VLOOKUP(Grandview_Inventory[[#This Row],[quality]],Lookups!$A$26:$C$33,3,FALSE),1)</f>
        <v>0.98763855981004833</v>
      </c>
      <c r="BU1658" s="4">
        <f>_xlfn.IFNA(VLOOKUP(Grandview_Inventory[[#This Row],[condition]],Lookups!$A$37:$C$44,3,FALSE),1)</f>
        <v>0.96469275950863709</v>
      </c>
      <c r="BV1658" s="4">
        <f>IF(Grandview_Inventory[[#This Row],[bldg_style]]="",1,_xlfn.IFNA(VLOOKUP(Grandview_Inventory[[#This Row],[decade]],Lookups!$F$29:$H$43,3,FALSE),1))</f>
        <v>0.98397821291089549</v>
      </c>
      <c r="BW1658" s="4">
        <f>_xlfn.IFNA(VLOOKUP(Grandview_Inventory[[#This Row],[living_area_range]],Lookups!$F$47:$H$56,3,FALSE),1)</f>
        <v>0.96120133463014379</v>
      </c>
      <c r="BX1658" s="4">
        <f>AVERAGE(Grandview_Inventory[[#This Row],[qual_adj]:[size_adj]])</f>
        <v>0.97437771671493123</v>
      </c>
      <c r="BY1658" s="6">
        <f>IF(Grandview_Inventory[[#This Row],[pre_res]]&lt;0,0,Grandview_Inventory[[#This Row],[pre_res]]*Grandview_Inventory[[#This Row],[overall_adj]])</f>
        <v>308852.13376154972</v>
      </c>
      <c r="BZ1658" s="6">
        <f>(Grandview_Inventory[[#This Row],[sum_land]]-IF(Grandview_Inventory[[#This Row],[no_utilities]]=1,12000,0))/IF(Grandview_Inventory[[#This Row],[unbuildable]]=1,2,1)</f>
        <v>52639.730588165206</v>
      </c>
      <c r="CA165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658">
        <f>ROUND(Grandview_Inventory[[#This Row],[det_value]]*Lookups!$M$28,-2)</f>
        <v>0</v>
      </c>
      <c r="CC1658">
        <f>IF(ROUND(Grandview_Inventory[[#This Row],[adj_res]]*Lookups!$M$28,-2)&lt;Grandview_Inventory[[#This Row],[min_res]],Grandview_Inventory[[#This Row],[min_res]],ROUND(Grandview_Inventory[[#This Row],[adj_res]]*Lookups!$M$28,-2))</f>
        <v>293400</v>
      </c>
      <c r="CD1658">
        <f>Grandview_Inventory[[#This Row],[final_det]]+Grandview_Inventory[[#This Row],[final_res]]</f>
        <v>293400</v>
      </c>
      <c r="CE1658">
        <f>Grandview_Inventory[[#This Row],[final_land]]+Grandview_Inventory[[#This Row],[final_imp]]+Grandview_Inventory[[#This Row],[crop_value]]</f>
        <v>343400</v>
      </c>
      <c r="CG1658" t="str">
        <f t="shared" si="25"/>
        <v>update valuation set market_land =50000, market_bldg=293400, market_total =343400, market_mdno =401, market_date ='9/10/2023' where link_id = (select link_id from parcel where parcel_year = '2024' and parcel_id = '23092331427');</v>
      </c>
    </row>
    <row r="1659" spans="1:85" x14ac:dyDescent="0.25">
      <c r="A1659">
        <v>23092331428</v>
      </c>
      <c r="B1659">
        <v>0.25</v>
      </c>
      <c r="C1659">
        <v>10997</v>
      </c>
      <c r="D1659" t="s">
        <v>129</v>
      </c>
      <c r="E1659" t="s">
        <v>53</v>
      </c>
      <c r="F1659" t="s">
        <v>53</v>
      </c>
      <c r="G1659">
        <v>4</v>
      </c>
      <c r="H1659" t="s">
        <v>54</v>
      </c>
      <c r="I1659">
        <v>199200</v>
      </c>
      <c r="J1659">
        <v>40000</v>
      </c>
      <c r="K1659">
        <v>0.25</v>
      </c>
      <c r="L165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659">
        <v>0</v>
      </c>
      <c r="N1659">
        <v>0</v>
      </c>
      <c r="O1659">
        <v>0</v>
      </c>
      <c r="P1659">
        <v>13398.7528</v>
      </c>
      <c r="Q1659">
        <v>63903</v>
      </c>
      <c r="R1659">
        <f>(Grandview_Inventory[[#This Row],[ln_acres]]*Grandview_Inventory[[#This Row],[coeff]])+Grandview_Inventory[[#This Row],[const]]</f>
        <v>45328.38454732066</v>
      </c>
      <c r="S1659" t="s">
        <v>61</v>
      </c>
      <c r="T1659">
        <v>1</v>
      </c>
      <c r="U1659" t="s">
        <v>65</v>
      </c>
      <c r="V1659" t="s">
        <v>67</v>
      </c>
      <c r="W1659">
        <v>0</v>
      </c>
      <c r="X1659">
        <v>0</v>
      </c>
      <c r="Y1659">
        <v>27</v>
      </c>
      <c r="Z1659">
        <v>27</v>
      </c>
      <c r="AA1659">
        <v>30</v>
      </c>
      <c r="AB1659">
        <v>1500</v>
      </c>
      <c r="AC1659">
        <v>1168</v>
      </c>
      <c r="AD1659">
        <v>1168</v>
      </c>
      <c r="AE1659">
        <v>0</v>
      </c>
      <c r="AF1659">
        <v>0</v>
      </c>
      <c r="AG1659">
        <v>0</v>
      </c>
      <c r="AH1659">
        <v>0</v>
      </c>
      <c r="AI1659">
        <v>280</v>
      </c>
      <c r="AJ1659">
        <v>0</v>
      </c>
      <c r="AK1659">
        <v>0</v>
      </c>
      <c r="AL1659">
        <v>0</v>
      </c>
      <c r="AM1659">
        <v>120</v>
      </c>
      <c r="AN1659">
        <v>64</v>
      </c>
      <c r="AO1659">
        <v>0</v>
      </c>
      <c r="AP1659">
        <v>8</v>
      </c>
      <c r="AQ1659">
        <v>0</v>
      </c>
      <c r="AR1659">
        <v>0</v>
      </c>
      <c r="AS1659" t="s">
        <v>58</v>
      </c>
      <c r="AT1659">
        <v>1</v>
      </c>
      <c r="AU1659" t="s">
        <v>63</v>
      </c>
      <c r="AV1659" t="s">
        <v>64</v>
      </c>
      <c r="AW1659">
        <v>1</v>
      </c>
      <c r="AX1659">
        <v>3</v>
      </c>
      <c r="AY1659">
        <v>0</v>
      </c>
      <c r="AZ1659">
        <v>0</v>
      </c>
      <c r="BA1659">
        <v>100</v>
      </c>
      <c r="BB1659">
        <v>100</v>
      </c>
      <c r="BC1659">
        <v>100</v>
      </c>
      <c r="BD1659">
        <v>100</v>
      </c>
      <c r="BE1659">
        <v>1</v>
      </c>
      <c r="BF1659">
        <v>15000</v>
      </c>
      <c r="BG1659">
        <v>1000</v>
      </c>
      <c r="BH1659" s="6">
        <f>Grandview_Inventory[[#This Row],[land_extract]]*Lookups!$B$3</f>
        <v>52639.730588165206</v>
      </c>
      <c r="BI1659" s="6">
        <f>IF(Grandview_Inventory[[#This Row],[bldg_style]]="",0,Lookups!$B$2)</f>
        <v>155833.95000000001</v>
      </c>
      <c r="BJ1659" s="6">
        <f>_xlfn.IFNA(VLOOKUP(Grandview_Inventory[[#This Row],[quality]],Lookups!$H$2:$J$14,3,FALSE),0)</f>
        <v>2251</v>
      </c>
      <c r="BK1659" s="6">
        <f>_xlfn.IFNA(VLOOKUP(Grandview_Inventory[[#This Row],[condition]],Lookups!$H$17:$J$24,3,FALSE),0)</f>
        <v>22342</v>
      </c>
      <c r="BL1659" s="6">
        <f>Grandview_Inventory[[#This Row],[Eff_Age]]*Lookups!$B$14</f>
        <v>-6457.4982</v>
      </c>
      <c r="BM1659" s="6">
        <f>Grandview_Inventory[[#This Row],[living_area]]*Lookups!$B$15</f>
        <v>72860.836303999997</v>
      </c>
      <c r="BN1659" s="6">
        <f>Grandview_Inventory[[#This Row],[Fin BSMT]]*Lookups!$B$16</f>
        <v>0</v>
      </c>
      <c r="BO1659" s="6">
        <f>(Grandview_Inventory[[#This Row],[att_gar]]+Grandview_Inventory[[#This Row],[bltin_gar]])*Lookups!$B$17</f>
        <v>24505.72236</v>
      </c>
      <c r="BP1659" s="6">
        <f>Grandview_Inventory[[#This Row],[Plumbing Fixtures]]*Lookups!$B$18</f>
        <v>16083.5344</v>
      </c>
      <c r="BQ1659" s="6">
        <f>Grandview_Inventory[[#This Row],[detatched_value]]*Lookups!$B$19</f>
        <v>0</v>
      </c>
      <c r="BR1659" s="6">
        <f>SUM(Grandview_Inventory[[#This Row],[Intercept]:[det_value]])*Grandview_Inventory[[#This Row],[res_pct]]</f>
        <v>287419.544864</v>
      </c>
      <c r="BS1659" s="6">
        <f>Grandview_Inventory[[#This Row],[land_value]]</f>
        <v>52639.730588165206</v>
      </c>
      <c r="BT1659" s="4">
        <f>_xlfn.IFNA(VLOOKUP(Grandview_Inventory[[#This Row],[quality]],Lookups!$A$26:$C$33,3,FALSE),1)</f>
        <v>0.98763855981004833</v>
      </c>
      <c r="BU1659" s="4">
        <f>_xlfn.IFNA(VLOOKUP(Grandview_Inventory[[#This Row],[condition]],Lookups!$A$37:$C$44,3,FALSE),1)</f>
        <v>0.97383723671140243</v>
      </c>
      <c r="BV1659" s="4">
        <f>IF(Grandview_Inventory[[#This Row],[bldg_style]]="",1,_xlfn.IFNA(VLOOKUP(Grandview_Inventory[[#This Row],[decade]],Lookups!$F$29:$H$43,3,FALSE),1))</f>
        <v>0.98397821291089549</v>
      </c>
      <c r="BW1659" s="4">
        <f>_xlfn.IFNA(VLOOKUP(Grandview_Inventory[[#This Row],[living_area_range]],Lookups!$F$47:$H$56,3,FALSE),1)</f>
        <v>0.96135087979789358</v>
      </c>
      <c r="BX1659" s="4">
        <f>AVERAGE(Grandview_Inventory[[#This Row],[qual_adj]:[size_adj]])</f>
        <v>0.97670122230755996</v>
      </c>
      <c r="BY1659" s="6">
        <f>IF(Grandview_Inventory[[#This Row],[pre_res]]&lt;0,0,Grandview_Inventory[[#This Row],[pre_res]]*Grandview_Inventory[[#This Row],[overall_adj]])</f>
        <v>280723.02078375139</v>
      </c>
      <c r="BZ1659" s="6">
        <f>(Grandview_Inventory[[#This Row],[sum_land]]-IF(Grandview_Inventory[[#This Row],[no_utilities]]=1,12000,0))/IF(Grandview_Inventory[[#This Row],[unbuildable]]=1,2,1)</f>
        <v>52639.730588165206</v>
      </c>
      <c r="CA165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659">
        <f>ROUND(Grandview_Inventory[[#This Row],[det_value]]*Lookups!$M$28,-2)</f>
        <v>0</v>
      </c>
      <c r="CC1659">
        <f>IF(ROUND(Grandview_Inventory[[#This Row],[adj_res]]*Lookups!$M$28,-2)&lt;Grandview_Inventory[[#This Row],[min_res]],Grandview_Inventory[[#This Row],[min_res]],ROUND(Grandview_Inventory[[#This Row],[adj_res]]*Lookups!$M$28,-2))</f>
        <v>266700</v>
      </c>
      <c r="CD1659">
        <f>Grandview_Inventory[[#This Row],[final_det]]+Grandview_Inventory[[#This Row],[final_res]]</f>
        <v>266700</v>
      </c>
      <c r="CE1659">
        <f>Grandview_Inventory[[#This Row],[final_land]]+Grandview_Inventory[[#This Row],[final_imp]]+Grandview_Inventory[[#This Row],[crop_value]]</f>
        <v>316700</v>
      </c>
      <c r="CG1659" t="str">
        <f t="shared" si="25"/>
        <v>update valuation set market_land =50000, market_bldg=266700, market_total =316700, market_mdno =401, market_date ='9/10/2023' where link_id = (select link_id from parcel where parcel_year = '2024' and parcel_id = '23092331428');</v>
      </c>
    </row>
    <row r="1660" spans="1:85" x14ac:dyDescent="0.25">
      <c r="A1660">
        <v>23092331431</v>
      </c>
      <c r="B1660">
        <v>0.22</v>
      </c>
      <c r="C1660">
        <v>9602</v>
      </c>
      <c r="D1660" t="s">
        <v>129</v>
      </c>
      <c r="E1660" t="s">
        <v>53</v>
      </c>
      <c r="F1660" t="s">
        <v>53</v>
      </c>
      <c r="G1660">
        <v>4</v>
      </c>
      <c r="H1660" t="s">
        <v>54</v>
      </c>
      <c r="I1660">
        <v>174800</v>
      </c>
      <c r="J1660">
        <v>43800</v>
      </c>
      <c r="K1660">
        <v>0.22</v>
      </c>
      <c r="L166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60">
        <v>0</v>
      </c>
      <c r="N1660">
        <v>0</v>
      </c>
      <c r="O1660">
        <v>0</v>
      </c>
      <c r="P1660">
        <v>13398.7528</v>
      </c>
      <c r="Q1660">
        <v>63903</v>
      </c>
      <c r="R1660">
        <f>(Grandview_Inventory[[#This Row],[ln_acres]]*Grandview_Inventory[[#This Row],[coeff]])+Grandview_Inventory[[#This Row],[const]]</f>
        <v>43615.576802869145</v>
      </c>
      <c r="S1660" t="s">
        <v>61</v>
      </c>
      <c r="T1660">
        <v>1</v>
      </c>
      <c r="U1660" t="s">
        <v>65</v>
      </c>
      <c r="V1660" t="s">
        <v>69</v>
      </c>
      <c r="W1660">
        <v>0</v>
      </c>
      <c r="X1660">
        <v>0</v>
      </c>
      <c r="Y1660">
        <v>28</v>
      </c>
      <c r="Z1660">
        <v>28</v>
      </c>
      <c r="AA1660">
        <v>30</v>
      </c>
      <c r="AB1660">
        <v>1500</v>
      </c>
      <c r="AC1660">
        <v>1156</v>
      </c>
      <c r="AD1660">
        <v>1156</v>
      </c>
      <c r="AE1660">
        <v>0</v>
      </c>
      <c r="AF1660">
        <v>0</v>
      </c>
      <c r="AG1660">
        <v>0</v>
      </c>
      <c r="AH1660">
        <v>0</v>
      </c>
      <c r="AI1660">
        <v>440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8</v>
      </c>
      <c r="AQ1660">
        <v>0</v>
      </c>
      <c r="AR1660">
        <v>0</v>
      </c>
      <c r="AS1660" t="s">
        <v>58</v>
      </c>
      <c r="AT1660">
        <v>1</v>
      </c>
      <c r="AU1660" t="s">
        <v>59</v>
      </c>
      <c r="AV1660" t="s">
        <v>60</v>
      </c>
      <c r="AW1660">
        <v>1</v>
      </c>
      <c r="AX1660">
        <v>3</v>
      </c>
      <c r="AY1660">
        <v>0</v>
      </c>
      <c r="AZ1660">
        <v>0</v>
      </c>
      <c r="BA1660">
        <v>100</v>
      </c>
      <c r="BB1660">
        <v>100</v>
      </c>
      <c r="BC1660">
        <v>100</v>
      </c>
      <c r="BD1660">
        <v>100</v>
      </c>
      <c r="BE1660">
        <v>1</v>
      </c>
      <c r="BF1660">
        <v>15000</v>
      </c>
      <c r="BG1660">
        <v>1000</v>
      </c>
      <c r="BH1660" s="6">
        <f>Grandview_Inventory[[#This Row],[land_extract]]*Lookups!$B$3</f>
        <v>50650.651579114572</v>
      </c>
      <c r="BI1660" s="6">
        <f>IF(Grandview_Inventory[[#This Row],[bldg_style]]="",0,Lookups!$B$2)</f>
        <v>155833.95000000001</v>
      </c>
      <c r="BJ1660" s="6">
        <f>_xlfn.IFNA(VLOOKUP(Grandview_Inventory[[#This Row],[quality]],Lookups!$H$2:$J$14,3,FALSE),0)</f>
        <v>2251</v>
      </c>
      <c r="BK1660" s="6">
        <f>_xlfn.IFNA(VLOOKUP(Grandview_Inventory[[#This Row],[condition]],Lookups!$H$17:$J$24,3,FALSE),0)</f>
        <v>-4503</v>
      </c>
      <c r="BL1660" s="6">
        <f>Grandview_Inventory[[#This Row],[Eff_Age]]*Lookups!$B$14</f>
        <v>-6696.6647999999996</v>
      </c>
      <c r="BM1660" s="6">
        <f>Grandview_Inventory[[#This Row],[living_area]]*Lookups!$B$15</f>
        <v>72112.266067999997</v>
      </c>
      <c r="BN1660" s="6">
        <f>Grandview_Inventory[[#This Row],[Fin BSMT]]*Lookups!$B$16</f>
        <v>0</v>
      </c>
      <c r="BO1660" s="6">
        <f>(Grandview_Inventory[[#This Row],[att_gar]]+Grandview_Inventory[[#This Row],[bltin_gar]])*Lookups!$B$17</f>
        <v>38508.992279999999</v>
      </c>
      <c r="BP1660" s="6">
        <f>Grandview_Inventory[[#This Row],[Plumbing Fixtures]]*Lookups!$B$18</f>
        <v>16083.5344</v>
      </c>
      <c r="BQ1660" s="6">
        <f>Grandview_Inventory[[#This Row],[detatched_value]]*Lookups!$B$19</f>
        <v>0</v>
      </c>
      <c r="BR1660" s="6">
        <f>SUM(Grandview_Inventory[[#This Row],[Intercept]:[det_value]])*Grandview_Inventory[[#This Row],[res_pct]]</f>
        <v>273590.07794799999</v>
      </c>
      <c r="BS1660" s="6">
        <f>Grandview_Inventory[[#This Row],[land_value]]</f>
        <v>50650.651579114572</v>
      </c>
      <c r="BT1660" s="4">
        <f>_xlfn.IFNA(VLOOKUP(Grandview_Inventory[[#This Row],[quality]],Lookups!$A$26:$C$33,3,FALSE),1)</f>
        <v>0.98763855981004833</v>
      </c>
      <c r="BU1660" s="4">
        <f>_xlfn.IFNA(VLOOKUP(Grandview_Inventory[[#This Row],[condition]],Lookups!$A$37:$C$44,3,FALSE),1)</f>
        <v>0.96469275950863709</v>
      </c>
      <c r="BV1660" s="4">
        <f>IF(Grandview_Inventory[[#This Row],[bldg_style]]="",1,_xlfn.IFNA(VLOOKUP(Grandview_Inventory[[#This Row],[decade]],Lookups!$F$29:$H$43,3,FALSE),1))</f>
        <v>0.98397821291089549</v>
      </c>
      <c r="BW1660" s="4">
        <f>_xlfn.IFNA(VLOOKUP(Grandview_Inventory[[#This Row],[living_area_range]],Lookups!$F$47:$H$56,3,FALSE),1)</f>
        <v>0.96135087979789358</v>
      </c>
      <c r="BX1660" s="4">
        <f>AVERAGE(Grandview_Inventory[[#This Row],[qual_adj]:[size_adj]])</f>
        <v>0.97441510300686862</v>
      </c>
      <c r="BY1660" s="6">
        <f>IF(Grandview_Inventory[[#This Row],[pre_res]]&lt;0,0,Grandview_Inventory[[#This Row],[pre_res]]*Grandview_Inventory[[#This Row],[overall_adj]])</f>
        <v>266590.30398535763</v>
      </c>
      <c r="BZ1660" s="6">
        <f>(Grandview_Inventory[[#This Row],[sum_land]]-IF(Grandview_Inventory[[#This Row],[no_utilities]]=1,12000,0))/IF(Grandview_Inventory[[#This Row],[unbuildable]]=1,2,1)</f>
        <v>50650.651579114572</v>
      </c>
      <c r="CA166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60">
        <f>ROUND(Grandview_Inventory[[#This Row],[det_value]]*Lookups!$M$28,-2)</f>
        <v>0</v>
      </c>
      <c r="CC1660">
        <f>IF(ROUND(Grandview_Inventory[[#This Row],[adj_res]]*Lookups!$M$28,-2)&lt;Grandview_Inventory[[#This Row],[min_res]],Grandview_Inventory[[#This Row],[min_res]],ROUND(Grandview_Inventory[[#This Row],[adj_res]]*Lookups!$M$28,-2))</f>
        <v>253300</v>
      </c>
      <c r="CD1660">
        <f>Grandview_Inventory[[#This Row],[final_det]]+Grandview_Inventory[[#This Row],[final_res]]</f>
        <v>253300</v>
      </c>
      <c r="CE1660">
        <f>Grandview_Inventory[[#This Row],[final_land]]+Grandview_Inventory[[#This Row],[final_imp]]+Grandview_Inventory[[#This Row],[crop_value]]</f>
        <v>301400</v>
      </c>
      <c r="CG1660" t="str">
        <f t="shared" si="25"/>
        <v>update valuation set market_land =48100, market_bldg=253300, market_total =301400, market_mdno =401, market_date ='9/10/2023' where link_id = (select link_id from parcel where parcel_year = '2024' and parcel_id = '23092331431');</v>
      </c>
    </row>
    <row r="1661" spans="1:85" x14ac:dyDescent="0.25">
      <c r="A1661">
        <v>23092331432</v>
      </c>
      <c r="B1661">
        <v>0.2</v>
      </c>
      <c r="C1661">
        <v>8564</v>
      </c>
      <c r="D1661" t="s">
        <v>129</v>
      </c>
      <c r="E1661" t="s">
        <v>53</v>
      </c>
      <c r="F1661" t="s">
        <v>53</v>
      </c>
      <c r="G1661">
        <v>4</v>
      </c>
      <c r="H1661" t="s">
        <v>54</v>
      </c>
      <c r="I1661">
        <v>174000</v>
      </c>
      <c r="J1661">
        <v>39300</v>
      </c>
      <c r="K1661">
        <v>0.2</v>
      </c>
      <c r="L166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61">
        <v>0</v>
      </c>
      <c r="N1661">
        <v>0</v>
      </c>
      <c r="O1661">
        <v>0</v>
      </c>
      <c r="P1661">
        <v>13398.7528</v>
      </c>
      <c r="Q1661">
        <v>63903</v>
      </c>
      <c r="R1661">
        <f>(Grandview_Inventory[[#This Row],[ln_acres]]*Grandview_Inventory[[#This Row],[coeff]])+Grandview_Inventory[[#This Row],[const]]</f>
        <v>42338.539264347448</v>
      </c>
      <c r="S1661" t="s">
        <v>68</v>
      </c>
      <c r="T1661">
        <v>1</v>
      </c>
      <c r="U1661" t="s">
        <v>70</v>
      </c>
      <c r="V1661" t="s">
        <v>67</v>
      </c>
      <c r="W1661">
        <v>0</v>
      </c>
      <c r="X1661">
        <v>0</v>
      </c>
      <c r="Y1661">
        <v>51</v>
      </c>
      <c r="Z1661">
        <v>83</v>
      </c>
      <c r="AA1661">
        <v>90</v>
      </c>
      <c r="AB1661">
        <v>1000</v>
      </c>
      <c r="AC1661">
        <v>921</v>
      </c>
      <c r="AD1661">
        <v>921</v>
      </c>
      <c r="AE1661">
        <v>0</v>
      </c>
      <c r="AF1661">
        <v>0</v>
      </c>
      <c r="AG1661">
        <v>0</v>
      </c>
      <c r="AH1661">
        <v>240</v>
      </c>
      <c r="AI1661">
        <v>0</v>
      </c>
      <c r="AJ1661">
        <v>0</v>
      </c>
      <c r="AK1661">
        <v>304</v>
      </c>
      <c r="AL1661">
        <v>0</v>
      </c>
      <c r="AM1661">
        <v>340</v>
      </c>
      <c r="AN1661">
        <v>21</v>
      </c>
      <c r="AO1661">
        <v>340</v>
      </c>
      <c r="AP1661">
        <v>5</v>
      </c>
      <c r="AQ1661">
        <v>0</v>
      </c>
      <c r="AR1661">
        <v>0</v>
      </c>
      <c r="AS1661" t="s">
        <v>58</v>
      </c>
      <c r="AT1661">
        <v>0</v>
      </c>
      <c r="AU1661" t="s">
        <v>82</v>
      </c>
      <c r="AV1661" t="s">
        <v>60</v>
      </c>
      <c r="AW1661">
        <v>1</v>
      </c>
      <c r="AX1661">
        <v>3</v>
      </c>
      <c r="AY1661">
        <v>0</v>
      </c>
      <c r="AZ1661">
        <v>1500</v>
      </c>
      <c r="BA1661">
        <v>100</v>
      </c>
      <c r="BB1661">
        <v>100</v>
      </c>
      <c r="BC1661">
        <v>100</v>
      </c>
      <c r="BD1661">
        <v>100</v>
      </c>
      <c r="BE1661">
        <v>1</v>
      </c>
      <c r="BF1661">
        <v>15000</v>
      </c>
      <c r="BG1661">
        <v>1000</v>
      </c>
      <c r="BH1661" s="6">
        <f>Grandview_Inventory[[#This Row],[land_extract]]*Lookups!$B$3</f>
        <v>49167.631333630678</v>
      </c>
      <c r="BI1661" s="6">
        <f>IF(Grandview_Inventory[[#This Row],[bldg_style]]="",0,Lookups!$B$2)</f>
        <v>155833.95000000001</v>
      </c>
      <c r="BJ1661" s="6">
        <f>_xlfn.IFNA(VLOOKUP(Grandview_Inventory[[#This Row],[quality]],Lookups!$H$2:$J$14,3,FALSE),0)</f>
        <v>10733</v>
      </c>
      <c r="BK1661" s="6">
        <f>_xlfn.IFNA(VLOOKUP(Grandview_Inventory[[#This Row],[condition]],Lookups!$H$17:$J$24,3,FALSE),0)</f>
        <v>22342</v>
      </c>
      <c r="BL1661" s="6">
        <f>Grandview_Inventory[[#This Row],[Eff_Age]]*Lookups!$B$14</f>
        <v>-12197.496599999999</v>
      </c>
      <c r="BM1661" s="6">
        <f>Grandview_Inventory[[#This Row],[living_area]]*Lookups!$B$15</f>
        <v>57452.765613000003</v>
      </c>
      <c r="BN1661" s="6">
        <f>Grandview_Inventory[[#This Row],[Fin BSMT]]*Lookups!$B$16</f>
        <v>0</v>
      </c>
      <c r="BO1661" s="6">
        <f>(Grandview_Inventory[[#This Row],[att_gar]]+Grandview_Inventory[[#This Row],[bltin_gar]])*Lookups!$B$17</f>
        <v>0</v>
      </c>
      <c r="BP1661" s="6">
        <f>Grandview_Inventory[[#This Row],[Plumbing Fixtures]]*Lookups!$B$18</f>
        <v>10052.209000000001</v>
      </c>
      <c r="BQ1661" s="6">
        <f>Grandview_Inventory[[#This Row],[detatched_value]]*Lookups!$B$19</f>
        <v>1270.2076500000001</v>
      </c>
      <c r="BR1661" s="6">
        <f>SUM(Grandview_Inventory[[#This Row],[Intercept]:[det_value]])*Grandview_Inventory[[#This Row],[res_pct]]</f>
        <v>245486.63566299999</v>
      </c>
      <c r="BS1661" s="6">
        <f>Grandview_Inventory[[#This Row],[land_value]]</f>
        <v>49167.631333630678</v>
      </c>
      <c r="BT1661" s="4">
        <f>_xlfn.IFNA(VLOOKUP(Grandview_Inventory[[#This Row],[quality]],Lookups!$A$26:$C$33,3,FALSE),1)</f>
        <v>0.98079741117310582</v>
      </c>
      <c r="BU1661" s="4">
        <f>_xlfn.IFNA(VLOOKUP(Grandview_Inventory[[#This Row],[condition]],Lookups!$A$37:$C$44,3,FALSE),1)</f>
        <v>0.97383723671140243</v>
      </c>
      <c r="BV1661" s="4">
        <f>IF(Grandview_Inventory[[#This Row],[bldg_style]]="",1,_xlfn.IFNA(VLOOKUP(Grandview_Inventory[[#This Row],[decade]],Lookups!$F$29:$H$43,3,FALSE),1))</f>
        <v>0.94161750052457416</v>
      </c>
      <c r="BW1661" s="4">
        <f>_xlfn.IFNA(VLOOKUP(Grandview_Inventory[[#This Row],[living_area_range]],Lookups!$F$47:$H$56,3,FALSE),1)</f>
        <v>0.94306777142782894</v>
      </c>
      <c r="BX1661" s="4">
        <f>AVERAGE(Grandview_Inventory[[#This Row],[qual_adj]:[size_adj]])</f>
        <v>0.95982997995922781</v>
      </c>
      <c r="BY1661" s="6">
        <f>IF(Grandview_Inventory[[#This Row],[pre_res]]&lt;0,0,Grandview_Inventory[[#This Row],[pre_res]]*Grandview_Inventory[[#This Row],[overall_adj]])</f>
        <v>235625.43258867555</v>
      </c>
      <c r="BZ1661" s="6">
        <f>(Grandview_Inventory[[#This Row],[sum_land]]-IF(Grandview_Inventory[[#This Row],[no_utilities]]=1,12000,0))/IF(Grandview_Inventory[[#This Row],[unbuildable]]=1,2,1)</f>
        <v>49167.631333630678</v>
      </c>
      <c r="CA166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61">
        <f>ROUND(Grandview_Inventory[[#This Row],[det_value]]*Lookups!$M$28,-2)</f>
        <v>1200</v>
      </c>
      <c r="CC1661">
        <f>IF(ROUND(Grandview_Inventory[[#This Row],[adj_res]]*Lookups!$M$28,-2)&lt;Grandview_Inventory[[#This Row],[min_res]],Grandview_Inventory[[#This Row],[min_res]],ROUND(Grandview_Inventory[[#This Row],[adj_res]]*Lookups!$M$28,-2))</f>
        <v>223800</v>
      </c>
      <c r="CD1661">
        <f>Grandview_Inventory[[#This Row],[final_det]]+Grandview_Inventory[[#This Row],[final_res]]</f>
        <v>225000</v>
      </c>
      <c r="CE1661">
        <f>Grandview_Inventory[[#This Row],[final_land]]+Grandview_Inventory[[#This Row],[final_imp]]+Grandview_Inventory[[#This Row],[crop_value]]</f>
        <v>271700</v>
      </c>
      <c r="CG1661" t="str">
        <f t="shared" si="25"/>
        <v>update valuation set market_land =46700, market_bldg=225000, market_total =271700, market_mdno =401, market_date ='9/10/2023' where link_id = (select link_id from parcel where parcel_year = '2024' and parcel_id = '23092331432');</v>
      </c>
    </row>
    <row r="1662" spans="1:85" x14ac:dyDescent="0.25">
      <c r="A1662">
        <v>23092332400</v>
      </c>
      <c r="B1662">
        <v>0.43</v>
      </c>
      <c r="C1662">
        <v>18746</v>
      </c>
      <c r="D1662" t="s">
        <v>129</v>
      </c>
      <c r="E1662" t="s">
        <v>53</v>
      </c>
      <c r="F1662" t="s">
        <v>53</v>
      </c>
      <c r="G1662">
        <v>4</v>
      </c>
      <c r="H1662" t="s">
        <v>54</v>
      </c>
      <c r="I1662">
        <v>193000</v>
      </c>
      <c r="J1662">
        <v>41400</v>
      </c>
      <c r="K1662">
        <v>0.43</v>
      </c>
      <c r="L1662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1662">
        <v>0</v>
      </c>
      <c r="N1662">
        <v>0</v>
      </c>
      <c r="O1662">
        <v>0</v>
      </c>
      <c r="P1662">
        <v>13398.7528</v>
      </c>
      <c r="Q1662">
        <v>63903</v>
      </c>
      <c r="R1662">
        <f>(Grandview_Inventory[[#This Row],[ln_acres]]*Grandview_Inventory[[#This Row],[coeff]])+Grandview_Inventory[[#This Row],[const]]</f>
        <v>52594.853657524982</v>
      </c>
      <c r="S1662" t="s">
        <v>85</v>
      </c>
      <c r="T1662">
        <v>2</v>
      </c>
      <c r="U1662" t="s">
        <v>64</v>
      </c>
      <c r="V1662" t="s">
        <v>69</v>
      </c>
      <c r="W1662">
        <v>0</v>
      </c>
      <c r="X1662">
        <v>0</v>
      </c>
      <c r="Y1662">
        <v>52</v>
      </c>
      <c r="Z1662">
        <v>84</v>
      </c>
      <c r="AA1662">
        <v>90</v>
      </c>
      <c r="AB1662">
        <v>2000</v>
      </c>
      <c r="AC1662">
        <v>1885</v>
      </c>
      <c r="AD1662">
        <v>1494</v>
      </c>
      <c r="AE1662">
        <v>391</v>
      </c>
      <c r="AF1662">
        <v>0</v>
      </c>
      <c r="AG1662">
        <v>0</v>
      </c>
      <c r="AH1662">
        <v>1344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30</v>
      </c>
      <c r="AO1662">
        <v>30</v>
      </c>
      <c r="AP1662">
        <v>5</v>
      </c>
      <c r="AQ1662">
        <v>0</v>
      </c>
      <c r="AR1662">
        <v>1</v>
      </c>
      <c r="AS1662" t="s">
        <v>74</v>
      </c>
      <c r="AT1662">
        <v>1</v>
      </c>
      <c r="AU1662" t="s">
        <v>63</v>
      </c>
      <c r="AV1662" t="s">
        <v>64</v>
      </c>
      <c r="AW1662">
        <v>0</v>
      </c>
      <c r="AX1662">
        <v>2</v>
      </c>
      <c r="AY1662">
        <v>0</v>
      </c>
      <c r="AZ1662">
        <v>15500</v>
      </c>
      <c r="BA1662">
        <v>100</v>
      </c>
      <c r="BB1662">
        <v>100</v>
      </c>
      <c r="BC1662">
        <v>100</v>
      </c>
      <c r="BD1662">
        <v>100</v>
      </c>
      <c r="BE1662">
        <v>1</v>
      </c>
      <c r="BF1662">
        <v>15000</v>
      </c>
      <c r="BG1662">
        <v>1000</v>
      </c>
      <c r="BH1662" s="6">
        <f>Grandview_Inventory[[#This Row],[land_extract]]*Lookups!$B$3</f>
        <v>61078.261546378882</v>
      </c>
      <c r="BI1662" s="6">
        <f>IF(Grandview_Inventory[[#This Row],[bldg_style]]="",0,Lookups!$B$2)</f>
        <v>155833.95000000001</v>
      </c>
      <c r="BJ1662" s="6">
        <f>_xlfn.IFNA(VLOOKUP(Grandview_Inventory[[#This Row],[quality]],Lookups!$H$2:$J$14,3,FALSE),0)</f>
        <v>20768</v>
      </c>
      <c r="BK1662" s="6">
        <f>_xlfn.IFNA(VLOOKUP(Grandview_Inventory[[#This Row],[condition]],Lookups!$H$17:$J$24,3,FALSE),0)</f>
        <v>-4503</v>
      </c>
      <c r="BL1662" s="6">
        <f>Grandview_Inventory[[#This Row],[Eff_Age]]*Lookups!$B$14</f>
        <v>-12436.663199999999</v>
      </c>
      <c r="BM1662" s="6">
        <f>Grandview_Inventory[[#This Row],[living_area]]*Lookups!$B$15</f>
        <v>117587.907905</v>
      </c>
      <c r="BN1662" s="6">
        <f>Grandview_Inventory[[#This Row],[Fin BSMT]]*Lookups!$B$16</f>
        <v>0</v>
      </c>
      <c r="BO1662" s="6">
        <f>(Grandview_Inventory[[#This Row],[att_gar]]+Grandview_Inventory[[#This Row],[bltin_gar]])*Lookups!$B$17</f>
        <v>0</v>
      </c>
      <c r="BP1662" s="6">
        <f>Grandview_Inventory[[#This Row],[Plumbing Fixtures]]*Lookups!$B$18</f>
        <v>10052.209000000001</v>
      </c>
      <c r="BQ1662" s="6">
        <f>Grandview_Inventory[[#This Row],[detatched_value]]*Lookups!$B$19</f>
        <v>13125.47905</v>
      </c>
      <c r="BR1662" s="6">
        <f>SUM(Grandview_Inventory[[#This Row],[Intercept]:[det_value]])*Grandview_Inventory[[#This Row],[res_pct]]</f>
        <v>300427.88275500003</v>
      </c>
      <c r="BS1662" s="6">
        <f>Grandview_Inventory[[#This Row],[land_value]]</f>
        <v>61078.261546378882</v>
      </c>
      <c r="BT1662" s="4">
        <f>_xlfn.IFNA(VLOOKUP(Grandview_Inventory[[#This Row],[quality]],Lookups!$A$26:$C$33,3,FALSE),1)</f>
        <v>0.94960540378902636</v>
      </c>
      <c r="BU1662" s="4">
        <f>_xlfn.IFNA(VLOOKUP(Grandview_Inventory[[#This Row],[condition]],Lookups!$A$37:$C$44,3,FALSE),1)</f>
        <v>0.96469275950863709</v>
      </c>
      <c r="BV1662" s="4">
        <f>IF(Grandview_Inventory[[#This Row],[bldg_style]]="",1,_xlfn.IFNA(VLOOKUP(Grandview_Inventory[[#This Row],[decade]],Lookups!$F$29:$H$43,3,FALSE),1))</f>
        <v>0.94161750052457416</v>
      </c>
      <c r="BW1662" s="4">
        <f>_xlfn.IFNA(VLOOKUP(Grandview_Inventory[[#This Row],[living_area_range]],Lookups!$F$47:$H$56,3,FALSE),1)</f>
        <v>0.96120133463014379</v>
      </c>
      <c r="BX1662" s="4">
        <f>AVERAGE(Grandview_Inventory[[#This Row],[qual_adj]:[size_adj]])</f>
        <v>0.9542792496130954</v>
      </c>
      <c r="BY1662" s="6">
        <f>IF(Grandview_Inventory[[#This Row],[pre_res]]&lt;0,0,Grandview_Inventory[[#This Row],[pre_res]]*Grandview_Inventory[[#This Row],[overall_adj]])</f>
        <v>286692.0945182924</v>
      </c>
      <c r="BZ1662" s="6">
        <f>(Grandview_Inventory[[#This Row],[sum_land]]-IF(Grandview_Inventory[[#This Row],[no_utilities]]=1,12000,0))/IF(Grandview_Inventory[[#This Row],[unbuildable]]=1,2,1)</f>
        <v>61078.261546378882</v>
      </c>
      <c r="CA1662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1662">
        <f>ROUND(Grandview_Inventory[[#This Row],[det_value]]*Lookups!$M$28,-2)</f>
        <v>12500</v>
      </c>
      <c r="CC1662">
        <f>IF(ROUND(Grandview_Inventory[[#This Row],[adj_res]]*Lookups!$M$28,-2)&lt;Grandview_Inventory[[#This Row],[min_res]],Grandview_Inventory[[#This Row],[min_res]],ROUND(Grandview_Inventory[[#This Row],[adj_res]]*Lookups!$M$28,-2))</f>
        <v>272400</v>
      </c>
      <c r="CD1662">
        <f>Grandview_Inventory[[#This Row],[final_det]]+Grandview_Inventory[[#This Row],[final_res]]</f>
        <v>284900</v>
      </c>
      <c r="CE1662">
        <f>Grandview_Inventory[[#This Row],[final_land]]+Grandview_Inventory[[#This Row],[final_imp]]+Grandview_Inventory[[#This Row],[crop_value]]</f>
        <v>342900</v>
      </c>
      <c r="CG1662" t="str">
        <f t="shared" si="25"/>
        <v>update valuation set market_land =58000, market_bldg=284900, market_total =342900, market_mdno =401, market_date ='9/10/2023' where link_id = (select link_id from parcel where parcel_year = '2024' and parcel_id = '23092332400');</v>
      </c>
    </row>
    <row r="1663" spans="1:85" x14ac:dyDescent="0.25">
      <c r="A1663">
        <v>23092332401</v>
      </c>
      <c r="B1663">
        <v>0.19</v>
      </c>
      <c r="C1663">
        <v>8458</v>
      </c>
      <c r="D1663" t="s">
        <v>129</v>
      </c>
      <c r="E1663" t="s">
        <v>53</v>
      </c>
      <c r="F1663" t="s">
        <v>53</v>
      </c>
      <c r="G1663">
        <v>4</v>
      </c>
      <c r="H1663" t="s">
        <v>54</v>
      </c>
      <c r="I1663">
        <v>62600</v>
      </c>
      <c r="J1663">
        <v>39100</v>
      </c>
      <c r="K1663">
        <v>0.19</v>
      </c>
      <c r="L166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663">
        <v>0</v>
      </c>
      <c r="N1663">
        <v>0</v>
      </c>
      <c r="O1663">
        <v>0</v>
      </c>
      <c r="P1663">
        <v>13398.7528</v>
      </c>
      <c r="Q1663">
        <v>63903</v>
      </c>
      <c r="R1663">
        <f>(Grandview_Inventory[[#This Row],[ln_acres]]*Grandview_Inventory[[#This Row],[coeff]])+Grandview_Inventory[[#This Row],[const]]</f>
        <v>41651.273092551026</v>
      </c>
      <c r="S1663" t="s">
        <v>68</v>
      </c>
      <c r="T1663">
        <v>1</v>
      </c>
      <c r="U1663" t="s">
        <v>80</v>
      </c>
      <c r="V1663" t="s">
        <v>78</v>
      </c>
      <c r="W1663">
        <v>0</v>
      </c>
      <c r="X1663">
        <v>0</v>
      </c>
      <c r="Y1663">
        <v>57</v>
      </c>
      <c r="Z1663">
        <v>103</v>
      </c>
      <c r="AA1663">
        <v>110</v>
      </c>
      <c r="AB1663">
        <v>1000</v>
      </c>
      <c r="AC1663">
        <v>744</v>
      </c>
      <c r="AD1663">
        <v>744</v>
      </c>
      <c r="AE1663">
        <v>0</v>
      </c>
      <c r="AF1663">
        <v>0</v>
      </c>
      <c r="AG1663">
        <v>0</v>
      </c>
      <c r="AH1663">
        <v>246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50</v>
      </c>
      <c r="AO1663">
        <v>0</v>
      </c>
      <c r="AP1663">
        <v>5</v>
      </c>
      <c r="AQ1663">
        <v>0</v>
      </c>
      <c r="AR1663">
        <v>0</v>
      </c>
      <c r="AS1663" t="s">
        <v>58</v>
      </c>
      <c r="AT1663">
        <v>0</v>
      </c>
      <c r="AU1663" t="s">
        <v>82</v>
      </c>
      <c r="AV1663" t="s">
        <v>64</v>
      </c>
      <c r="AW1663">
        <v>0</v>
      </c>
      <c r="AX1663">
        <v>2</v>
      </c>
      <c r="AY1663">
        <v>0</v>
      </c>
      <c r="AZ1663">
        <v>3800</v>
      </c>
      <c r="BA1663">
        <v>100</v>
      </c>
      <c r="BB1663">
        <v>100</v>
      </c>
      <c r="BC1663">
        <v>100</v>
      </c>
      <c r="BD1663">
        <v>100</v>
      </c>
      <c r="BE1663">
        <v>1</v>
      </c>
      <c r="BF1663">
        <v>15000</v>
      </c>
      <c r="BG1663">
        <v>1000</v>
      </c>
      <c r="BH1663" s="6">
        <f>Grandview_Inventory[[#This Row],[land_extract]]*Lookups!$B$3</f>
        <v>48369.510983942157</v>
      </c>
      <c r="BI1663" s="6">
        <f>IF(Grandview_Inventory[[#This Row],[bldg_style]]="",0,Lookups!$B$2)</f>
        <v>155833.95000000001</v>
      </c>
      <c r="BJ1663" s="6">
        <f>_xlfn.IFNA(VLOOKUP(Grandview_Inventory[[#This Row],[quality]],Lookups!$H$2:$J$14,3,FALSE),0)</f>
        <v>-28558</v>
      </c>
      <c r="BK1663" s="6">
        <f>_xlfn.IFNA(VLOOKUP(Grandview_Inventory[[#This Row],[condition]],Lookups!$H$17:$J$24,3,FALSE),0)</f>
        <v>-45357</v>
      </c>
      <c r="BL1663" s="6">
        <f>Grandview_Inventory[[#This Row],[Eff_Age]]*Lookups!$B$14</f>
        <v>-13632.4962</v>
      </c>
      <c r="BM1663" s="6">
        <f>Grandview_Inventory[[#This Row],[living_area]]*Lookups!$B$15</f>
        <v>46411.354632000002</v>
      </c>
      <c r="BN1663" s="6">
        <f>Grandview_Inventory[[#This Row],[Fin BSMT]]*Lookups!$B$16</f>
        <v>0</v>
      </c>
      <c r="BO1663" s="6">
        <f>(Grandview_Inventory[[#This Row],[att_gar]]+Grandview_Inventory[[#This Row],[bltin_gar]])*Lookups!$B$17</f>
        <v>0</v>
      </c>
      <c r="BP1663" s="6">
        <f>Grandview_Inventory[[#This Row],[Plumbing Fixtures]]*Lookups!$B$18</f>
        <v>10052.209000000001</v>
      </c>
      <c r="BQ1663" s="6">
        <f>Grandview_Inventory[[#This Row],[detatched_value]]*Lookups!$B$19</f>
        <v>3217.8593799999999</v>
      </c>
      <c r="BR1663" s="6">
        <f>SUM(Grandview_Inventory[[#This Row],[Intercept]:[det_value]])*Grandview_Inventory[[#This Row],[res_pct]]</f>
        <v>127967.87681200002</v>
      </c>
      <c r="BS1663" s="6">
        <f>Grandview_Inventory[[#This Row],[land_value]]</f>
        <v>48369.510983942157</v>
      </c>
      <c r="BT1663" s="4">
        <f>_xlfn.IFNA(VLOOKUP(Grandview_Inventory[[#This Row],[quality]],Lookups!$A$26:$C$33,3,FALSE),1)</f>
        <v>0.9690360070159818</v>
      </c>
      <c r="BU1663" s="4">
        <f>_xlfn.IFNA(VLOOKUP(Grandview_Inventory[[#This Row],[condition]],Lookups!$A$37:$C$44,3,FALSE),1)</f>
        <v>0.97161819570155394</v>
      </c>
      <c r="BV1663" s="4">
        <f>IF(Grandview_Inventory[[#This Row],[bldg_style]]="",1,_xlfn.IFNA(VLOOKUP(Grandview_Inventory[[#This Row],[decade]],Lookups!$F$29:$H$43,3,FALSE),1))</f>
        <v>0.92255236374249616</v>
      </c>
      <c r="BW1663" s="4">
        <f>_xlfn.IFNA(VLOOKUP(Grandview_Inventory[[#This Row],[living_area_range]],Lookups!$F$47:$H$56,3,FALSE),1)</f>
        <v>0.94306777142782894</v>
      </c>
      <c r="BX1663" s="4">
        <f>AVERAGE(Grandview_Inventory[[#This Row],[qual_adj]:[size_adj]])</f>
        <v>0.95156858447196513</v>
      </c>
      <c r="BY1663" s="6">
        <f>IF(Grandview_Inventory[[#This Row],[pre_res]]&lt;0,0,Grandview_Inventory[[#This Row],[pre_res]]*Grandview_Inventory[[#This Row],[overall_adj]])</f>
        <v>121770.21139587766</v>
      </c>
      <c r="BZ1663" s="6">
        <f>(Grandview_Inventory[[#This Row],[sum_land]]-IF(Grandview_Inventory[[#This Row],[no_utilities]]=1,12000,0))/IF(Grandview_Inventory[[#This Row],[unbuildable]]=1,2,1)</f>
        <v>48369.510983942157</v>
      </c>
      <c r="CA166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663">
        <f>ROUND(Grandview_Inventory[[#This Row],[det_value]]*Lookups!$M$28,-2)</f>
        <v>3100</v>
      </c>
      <c r="CC1663">
        <f>IF(ROUND(Grandview_Inventory[[#This Row],[adj_res]]*Lookups!$M$28,-2)&lt;Grandview_Inventory[[#This Row],[min_res]],Grandview_Inventory[[#This Row],[min_res]],ROUND(Grandview_Inventory[[#This Row],[adj_res]]*Lookups!$M$28,-2))</f>
        <v>115700</v>
      </c>
      <c r="CD1663">
        <f>Grandview_Inventory[[#This Row],[final_det]]+Grandview_Inventory[[#This Row],[final_res]]</f>
        <v>118800</v>
      </c>
      <c r="CE1663">
        <f>Grandview_Inventory[[#This Row],[final_land]]+Grandview_Inventory[[#This Row],[final_imp]]+Grandview_Inventory[[#This Row],[crop_value]]</f>
        <v>164800</v>
      </c>
      <c r="CG1663" t="str">
        <f t="shared" si="25"/>
        <v>update valuation set market_land =46000, market_bldg=118800, market_total =164800, market_mdno =401, market_date ='9/10/2023' where link_id = (select link_id from parcel where parcel_year = '2024' and parcel_id = '23092332401');</v>
      </c>
    </row>
    <row r="1664" spans="1:85" x14ac:dyDescent="0.25">
      <c r="A1664">
        <v>23092332402</v>
      </c>
      <c r="B1664">
        <v>0.22</v>
      </c>
      <c r="C1664">
        <v>9457</v>
      </c>
      <c r="D1664" t="s">
        <v>129</v>
      </c>
      <c r="E1664" t="s">
        <v>53</v>
      </c>
      <c r="F1664" t="s">
        <v>53</v>
      </c>
      <c r="G1664">
        <v>4</v>
      </c>
      <c r="H1664" t="s">
        <v>54</v>
      </c>
      <c r="I1664">
        <v>109400</v>
      </c>
      <c r="J1664">
        <v>39500</v>
      </c>
      <c r="K1664">
        <v>0.22</v>
      </c>
      <c r="L166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64">
        <v>0</v>
      </c>
      <c r="N1664">
        <v>0</v>
      </c>
      <c r="O1664">
        <v>0</v>
      </c>
      <c r="P1664">
        <v>13398.7528</v>
      </c>
      <c r="Q1664">
        <v>63903</v>
      </c>
      <c r="R1664">
        <f>(Grandview_Inventory[[#This Row],[ln_acres]]*Grandview_Inventory[[#This Row],[coeff]])+Grandview_Inventory[[#This Row],[const]]</f>
        <v>43615.576802869145</v>
      </c>
      <c r="S1664" t="s">
        <v>68</v>
      </c>
      <c r="T1664">
        <v>1</v>
      </c>
      <c r="U1664" t="s">
        <v>70</v>
      </c>
      <c r="V1664" t="s">
        <v>69</v>
      </c>
      <c r="W1664">
        <v>0</v>
      </c>
      <c r="X1664">
        <v>0</v>
      </c>
      <c r="Y1664">
        <v>52</v>
      </c>
      <c r="Z1664">
        <v>85</v>
      </c>
      <c r="AA1664">
        <v>90</v>
      </c>
      <c r="AB1664">
        <v>1000</v>
      </c>
      <c r="AC1664">
        <v>656</v>
      </c>
      <c r="AD1664">
        <v>656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32</v>
      </c>
      <c r="AO1664">
        <v>0</v>
      </c>
      <c r="AP1664">
        <v>5</v>
      </c>
      <c r="AQ1664">
        <v>0</v>
      </c>
      <c r="AR1664">
        <v>0</v>
      </c>
      <c r="AS1664" t="s">
        <v>58</v>
      </c>
      <c r="AT1664">
        <v>1</v>
      </c>
      <c r="AU1664" t="s">
        <v>75</v>
      </c>
      <c r="AV1664" t="s">
        <v>60</v>
      </c>
      <c r="AW1664">
        <v>0</v>
      </c>
      <c r="AX1664">
        <v>2</v>
      </c>
      <c r="AY1664">
        <v>0</v>
      </c>
      <c r="AZ1664">
        <v>4400</v>
      </c>
      <c r="BA1664">
        <v>100</v>
      </c>
      <c r="BB1664">
        <v>100</v>
      </c>
      <c r="BC1664">
        <v>100</v>
      </c>
      <c r="BD1664">
        <v>100</v>
      </c>
      <c r="BE1664">
        <v>1</v>
      </c>
      <c r="BF1664">
        <v>15000</v>
      </c>
      <c r="BG1664">
        <v>1000</v>
      </c>
      <c r="BH1664" s="6">
        <f>Grandview_Inventory[[#This Row],[land_extract]]*Lookups!$B$3</f>
        <v>50650.651579114572</v>
      </c>
      <c r="BI1664" s="6">
        <f>IF(Grandview_Inventory[[#This Row],[bldg_style]]="",0,Lookups!$B$2)</f>
        <v>155833.95000000001</v>
      </c>
      <c r="BJ1664" s="6">
        <f>_xlfn.IFNA(VLOOKUP(Grandview_Inventory[[#This Row],[quality]],Lookups!$H$2:$J$14,3,FALSE),0)</f>
        <v>10733</v>
      </c>
      <c r="BK1664" s="6">
        <f>_xlfn.IFNA(VLOOKUP(Grandview_Inventory[[#This Row],[condition]],Lookups!$H$17:$J$24,3,FALSE),0)</f>
        <v>-4503</v>
      </c>
      <c r="BL1664" s="6">
        <f>Grandview_Inventory[[#This Row],[Eff_Age]]*Lookups!$B$14</f>
        <v>-12436.663199999999</v>
      </c>
      <c r="BM1664" s="6">
        <f>Grandview_Inventory[[#This Row],[living_area]]*Lookups!$B$15</f>
        <v>40921.839568000003</v>
      </c>
      <c r="BN1664" s="6">
        <f>Grandview_Inventory[[#This Row],[Fin BSMT]]*Lookups!$B$16</f>
        <v>0</v>
      </c>
      <c r="BO1664" s="6">
        <f>(Grandview_Inventory[[#This Row],[att_gar]]+Grandview_Inventory[[#This Row],[bltin_gar]])*Lookups!$B$17</f>
        <v>0</v>
      </c>
      <c r="BP1664" s="6">
        <f>Grandview_Inventory[[#This Row],[Plumbing Fixtures]]*Lookups!$B$18</f>
        <v>10052.209000000001</v>
      </c>
      <c r="BQ1664" s="6">
        <f>Grandview_Inventory[[#This Row],[detatched_value]]*Lookups!$B$19</f>
        <v>3725.9424399999998</v>
      </c>
      <c r="BR1664" s="6">
        <f>SUM(Grandview_Inventory[[#This Row],[Intercept]:[det_value]])*Grandview_Inventory[[#This Row],[res_pct]]</f>
        <v>204327.27780800001</v>
      </c>
      <c r="BS1664" s="6">
        <f>Grandview_Inventory[[#This Row],[land_value]]</f>
        <v>50650.651579114572</v>
      </c>
      <c r="BT1664" s="4">
        <f>_xlfn.IFNA(VLOOKUP(Grandview_Inventory[[#This Row],[quality]],Lookups!$A$26:$C$33,3,FALSE),1)</f>
        <v>0.98079741117310582</v>
      </c>
      <c r="BU1664" s="4">
        <f>_xlfn.IFNA(VLOOKUP(Grandview_Inventory[[#This Row],[condition]],Lookups!$A$37:$C$44,3,FALSE),1)</f>
        <v>0.96469275950863709</v>
      </c>
      <c r="BV1664" s="4">
        <f>IF(Grandview_Inventory[[#This Row],[bldg_style]]="",1,_xlfn.IFNA(VLOOKUP(Grandview_Inventory[[#This Row],[decade]],Lookups!$F$29:$H$43,3,FALSE),1))</f>
        <v>0.94161750052457416</v>
      </c>
      <c r="BW1664" s="4">
        <f>_xlfn.IFNA(VLOOKUP(Grandview_Inventory[[#This Row],[living_area_range]],Lookups!$F$47:$H$56,3,FALSE),1)</f>
        <v>0.94306777142782894</v>
      </c>
      <c r="BX1664" s="4">
        <f>AVERAGE(Grandview_Inventory[[#This Row],[qual_adj]:[size_adj]])</f>
        <v>0.95754386065853647</v>
      </c>
      <c r="BY1664" s="6">
        <f>IF(Grandview_Inventory[[#This Row],[pre_res]]&lt;0,0,Grandview_Inventory[[#This Row],[pre_res]]*Grandview_Inventory[[#This Row],[overall_adj]])</f>
        <v>195652.33043012163</v>
      </c>
      <c r="BZ1664" s="6">
        <f>(Grandview_Inventory[[#This Row],[sum_land]]-IF(Grandview_Inventory[[#This Row],[no_utilities]]=1,12000,0))/IF(Grandview_Inventory[[#This Row],[unbuildable]]=1,2,1)</f>
        <v>50650.651579114572</v>
      </c>
      <c r="CA166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64">
        <f>ROUND(Grandview_Inventory[[#This Row],[det_value]]*Lookups!$M$28,-2)</f>
        <v>3500</v>
      </c>
      <c r="CC1664">
        <f>IF(ROUND(Grandview_Inventory[[#This Row],[adj_res]]*Lookups!$M$28,-2)&lt;Grandview_Inventory[[#This Row],[min_res]],Grandview_Inventory[[#This Row],[min_res]],ROUND(Grandview_Inventory[[#This Row],[adj_res]]*Lookups!$M$28,-2))</f>
        <v>185900</v>
      </c>
      <c r="CD1664">
        <f>Grandview_Inventory[[#This Row],[final_det]]+Grandview_Inventory[[#This Row],[final_res]]</f>
        <v>189400</v>
      </c>
      <c r="CE1664">
        <f>Grandview_Inventory[[#This Row],[final_land]]+Grandview_Inventory[[#This Row],[final_imp]]+Grandview_Inventory[[#This Row],[crop_value]]</f>
        <v>237500</v>
      </c>
      <c r="CG1664" t="str">
        <f t="shared" si="25"/>
        <v>update valuation set market_land =48100, market_bldg=189400, market_total =237500, market_mdno =401, market_date ='9/10/2023' where link_id = (select link_id from parcel where parcel_year = '2024' and parcel_id = '23092332402');</v>
      </c>
    </row>
    <row r="1665" spans="1:85" x14ac:dyDescent="0.25">
      <c r="A1665">
        <v>23092332403</v>
      </c>
      <c r="B1665">
        <v>0.2</v>
      </c>
      <c r="C1665">
        <v>8824</v>
      </c>
      <c r="D1665" t="s">
        <v>129</v>
      </c>
      <c r="E1665" t="s">
        <v>53</v>
      </c>
      <c r="F1665" t="s">
        <v>53</v>
      </c>
      <c r="G1665">
        <v>4</v>
      </c>
      <c r="H1665" t="s">
        <v>54</v>
      </c>
      <c r="I1665">
        <v>135600</v>
      </c>
      <c r="J1665">
        <v>39300</v>
      </c>
      <c r="K1665">
        <v>0.2</v>
      </c>
      <c r="L166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65">
        <v>0</v>
      </c>
      <c r="N1665">
        <v>0</v>
      </c>
      <c r="O1665">
        <v>0</v>
      </c>
      <c r="P1665">
        <v>13398.7528</v>
      </c>
      <c r="Q1665">
        <v>63903</v>
      </c>
      <c r="R1665">
        <f>(Grandview_Inventory[[#This Row],[ln_acres]]*Grandview_Inventory[[#This Row],[coeff]])+Grandview_Inventory[[#This Row],[const]]</f>
        <v>42338.539264347448</v>
      </c>
      <c r="S1665" t="s">
        <v>68</v>
      </c>
      <c r="T1665">
        <v>1</v>
      </c>
      <c r="U1665" t="s">
        <v>65</v>
      </c>
      <c r="V1665" t="s">
        <v>69</v>
      </c>
      <c r="W1665">
        <v>0</v>
      </c>
      <c r="X1665">
        <v>0</v>
      </c>
      <c r="Y1665">
        <v>51</v>
      </c>
      <c r="Z1665">
        <v>83</v>
      </c>
      <c r="AA1665">
        <v>90</v>
      </c>
      <c r="AB1665">
        <v>1000</v>
      </c>
      <c r="AC1665">
        <v>974</v>
      </c>
      <c r="AD1665">
        <v>974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392</v>
      </c>
      <c r="AL1665">
        <v>0</v>
      </c>
      <c r="AM1665">
        <v>0</v>
      </c>
      <c r="AN1665">
        <v>0</v>
      </c>
      <c r="AO1665">
        <v>16</v>
      </c>
      <c r="AP1665">
        <v>7</v>
      </c>
      <c r="AQ1665">
        <v>0</v>
      </c>
      <c r="AR1665">
        <v>0</v>
      </c>
      <c r="AS1665" t="s">
        <v>58</v>
      </c>
      <c r="AT1665">
        <v>1</v>
      </c>
      <c r="AU1665" t="s">
        <v>63</v>
      </c>
      <c r="AV1665" t="s">
        <v>64</v>
      </c>
      <c r="AW1665">
        <v>0</v>
      </c>
      <c r="AX1665">
        <v>3</v>
      </c>
      <c r="AY1665">
        <v>0</v>
      </c>
      <c r="AZ1665">
        <v>17000</v>
      </c>
      <c r="BA1665">
        <v>100</v>
      </c>
      <c r="BB1665">
        <v>100</v>
      </c>
      <c r="BC1665">
        <v>100</v>
      </c>
      <c r="BD1665">
        <v>100</v>
      </c>
      <c r="BE1665">
        <v>1</v>
      </c>
      <c r="BF1665">
        <v>15000</v>
      </c>
      <c r="BG1665">
        <v>1000</v>
      </c>
      <c r="BH1665" s="6">
        <f>Grandview_Inventory[[#This Row],[land_extract]]*Lookups!$B$3</f>
        <v>49167.631333630678</v>
      </c>
      <c r="BI1665" s="6">
        <f>IF(Grandview_Inventory[[#This Row],[bldg_style]]="",0,Lookups!$B$2)</f>
        <v>155833.95000000001</v>
      </c>
      <c r="BJ1665" s="6">
        <f>_xlfn.IFNA(VLOOKUP(Grandview_Inventory[[#This Row],[quality]],Lookups!$H$2:$J$14,3,FALSE),0)</f>
        <v>2251</v>
      </c>
      <c r="BK1665" s="6">
        <f>_xlfn.IFNA(VLOOKUP(Grandview_Inventory[[#This Row],[condition]],Lookups!$H$17:$J$24,3,FALSE),0)</f>
        <v>-4503</v>
      </c>
      <c r="BL1665" s="6">
        <f>Grandview_Inventory[[#This Row],[Eff_Age]]*Lookups!$B$14</f>
        <v>-12197.496599999999</v>
      </c>
      <c r="BM1665" s="6">
        <f>Grandview_Inventory[[#This Row],[living_area]]*Lookups!$B$15</f>
        <v>60758.950821999999</v>
      </c>
      <c r="BN1665" s="6">
        <f>Grandview_Inventory[[#This Row],[Fin BSMT]]*Lookups!$B$16</f>
        <v>0</v>
      </c>
      <c r="BO1665" s="6">
        <f>(Grandview_Inventory[[#This Row],[att_gar]]+Grandview_Inventory[[#This Row],[bltin_gar]])*Lookups!$B$17</f>
        <v>0</v>
      </c>
      <c r="BP1665" s="6">
        <f>Grandview_Inventory[[#This Row],[Plumbing Fixtures]]*Lookups!$B$18</f>
        <v>14073.0926</v>
      </c>
      <c r="BQ1665" s="6">
        <f>Grandview_Inventory[[#This Row],[detatched_value]]*Lookups!$B$19</f>
        <v>14395.6867</v>
      </c>
      <c r="BR1665" s="6">
        <f>SUM(Grandview_Inventory[[#This Row],[Intercept]:[det_value]])*Grandview_Inventory[[#This Row],[res_pct]]</f>
        <v>230612.18352199998</v>
      </c>
      <c r="BS1665" s="6">
        <f>Grandview_Inventory[[#This Row],[land_value]]</f>
        <v>49167.631333630678</v>
      </c>
      <c r="BT1665" s="4">
        <f>_xlfn.IFNA(VLOOKUP(Grandview_Inventory[[#This Row],[quality]],Lookups!$A$26:$C$33,3,FALSE),1)</f>
        <v>0.98763855981004833</v>
      </c>
      <c r="BU1665" s="4">
        <f>_xlfn.IFNA(VLOOKUP(Grandview_Inventory[[#This Row],[condition]],Lookups!$A$37:$C$44,3,FALSE),1)</f>
        <v>0.96469275950863709</v>
      </c>
      <c r="BV1665" s="4">
        <f>IF(Grandview_Inventory[[#This Row],[bldg_style]]="",1,_xlfn.IFNA(VLOOKUP(Grandview_Inventory[[#This Row],[decade]],Lookups!$F$29:$H$43,3,FALSE),1))</f>
        <v>0.94161750052457416</v>
      </c>
      <c r="BW1665" s="4">
        <f>_xlfn.IFNA(VLOOKUP(Grandview_Inventory[[#This Row],[living_area_range]],Lookups!$F$47:$H$56,3,FALSE),1)</f>
        <v>0.94306777142782894</v>
      </c>
      <c r="BX1665" s="4">
        <f>AVERAGE(Grandview_Inventory[[#This Row],[qual_adj]:[size_adj]])</f>
        <v>0.95925414781777207</v>
      </c>
      <c r="BY1665" s="6">
        <f>IF(Grandview_Inventory[[#This Row],[pre_res]]&lt;0,0,Grandview_Inventory[[#This Row],[pre_res]]*Grandview_Inventory[[#This Row],[overall_adj]])</f>
        <v>221215.69358079176</v>
      </c>
      <c r="BZ1665" s="6">
        <f>(Grandview_Inventory[[#This Row],[sum_land]]-IF(Grandview_Inventory[[#This Row],[no_utilities]]=1,12000,0))/IF(Grandview_Inventory[[#This Row],[unbuildable]]=1,2,1)</f>
        <v>49167.631333630678</v>
      </c>
      <c r="CA166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65">
        <f>ROUND(Grandview_Inventory[[#This Row],[det_value]]*Lookups!$M$28,-2)</f>
        <v>13700</v>
      </c>
      <c r="CC1665">
        <f>IF(ROUND(Grandview_Inventory[[#This Row],[adj_res]]*Lookups!$M$28,-2)&lt;Grandview_Inventory[[#This Row],[min_res]],Grandview_Inventory[[#This Row],[min_res]],ROUND(Grandview_Inventory[[#This Row],[adj_res]]*Lookups!$M$28,-2))</f>
        <v>210200</v>
      </c>
      <c r="CD1665">
        <f>Grandview_Inventory[[#This Row],[final_det]]+Grandview_Inventory[[#This Row],[final_res]]</f>
        <v>223900</v>
      </c>
      <c r="CE1665">
        <f>Grandview_Inventory[[#This Row],[final_land]]+Grandview_Inventory[[#This Row],[final_imp]]+Grandview_Inventory[[#This Row],[crop_value]]</f>
        <v>270600</v>
      </c>
      <c r="CG1665" t="str">
        <f t="shared" si="25"/>
        <v>update valuation set market_land =46700, market_bldg=223900, market_total =270600, market_mdno =401, market_date ='9/10/2023' where link_id = (select link_id from parcel where parcel_year = '2024' and parcel_id = '23092332403');</v>
      </c>
    </row>
    <row r="1666" spans="1:85" x14ac:dyDescent="0.25">
      <c r="A1666">
        <v>23092332404</v>
      </c>
      <c r="B1666">
        <v>0.74</v>
      </c>
      <c r="C1666">
        <v>27903</v>
      </c>
      <c r="D1666" t="s">
        <v>129</v>
      </c>
      <c r="E1666" t="s">
        <v>53</v>
      </c>
      <c r="F1666" t="s">
        <v>53</v>
      </c>
      <c r="G1666">
        <v>4</v>
      </c>
      <c r="H1666" t="s">
        <v>54</v>
      </c>
      <c r="I1666">
        <v>311600</v>
      </c>
      <c r="J1666">
        <v>47200</v>
      </c>
      <c r="K1666">
        <v>0.74</v>
      </c>
      <c r="L1666">
        <f>IF(Grandview_Inventory[[#This Row],[parcel_acres]]-Grandview_Inventory[[#This Row],[non_valued_acres]] =0,0,LN(Grandview_Inventory[[#This Row],[parcel_acres]]-Grandview_Inventory[[#This Row],[non_valued_acres]]))</f>
        <v>-0.30110509278392161</v>
      </c>
      <c r="M1666">
        <v>0</v>
      </c>
      <c r="N1666">
        <v>0</v>
      </c>
      <c r="O1666">
        <v>0</v>
      </c>
      <c r="P1666">
        <v>13398.7528</v>
      </c>
      <c r="Q1666">
        <v>63903</v>
      </c>
      <c r="R1666">
        <f>(Grandview_Inventory[[#This Row],[ln_acres]]*Grandview_Inventory[[#This Row],[coeff]])+Grandview_Inventory[[#This Row],[const]]</f>
        <v>59868.567294967172</v>
      </c>
      <c r="S1666" t="s">
        <v>85</v>
      </c>
      <c r="T1666">
        <v>1</v>
      </c>
      <c r="U1666" t="s">
        <v>62</v>
      </c>
      <c r="V1666" t="s">
        <v>67</v>
      </c>
      <c r="W1666">
        <v>0</v>
      </c>
      <c r="X1666">
        <v>0</v>
      </c>
      <c r="Y1666">
        <v>65</v>
      </c>
      <c r="Z1666">
        <v>113</v>
      </c>
      <c r="AA1666">
        <v>120</v>
      </c>
      <c r="AB1666">
        <v>4000</v>
      </c>
      <c r="AC1666">
        <v>3732</v>
      </c>
      <c r="AD1666">
        <v>2172</v>
      </c>
      <c r="AE1666">
        <v>0</v>
      </c>
      <c r="AF1666">
        <v>0</v>
      </c>
      <c r="AG1666">
        <v>1560</v>
      </c>
      <c r="AH1666">
        <v>0</v>
      </c>
      <c r="AI1666">
        <v>0</v>
      </c>
      <c r="AJ1666">
        <v>0</v>
      </c>
      <c r="AK1666">
        <v>0</v>
      </c>
      <c r="AL1666">
        <v>1074</v>
      </c>
      <c r="AM1666">
        <v>544</v>
      </c>
      <c r="AN1666">
        <v>240</v>
      </c>
      <c r="AO1666">
        <v>0</v>
      </c>
      <c r="AP1666">
        <v>11</v>
      </c>
      <c r="AQ1666">
        <v>0</v>
      </c>
      <c r="AR1666">
        <v>0</v>
      </c>
      <c r="AS1666" t="s">
        <v>58</v>
      </c>
      <c r="AT1666">
        <v>1</v>
      </c>
      <c r="AU1666" t="s">
        <v>63</v>
      </c>
      <c r="AV1666" t="s">
        <v>64</v>
      </c>
      <c r="AW1666">
        <v>1</v>
      </c>
      <c r="AX1666">
        <v>4</v>
      </c>
      <c r="AY1666">
        <v>0</v>
      </c>
      <c r="AZ1666">
        <v>49000</v>
      </c>
      <c r="BA1666">
        <v>100</v>
      </c>
      <c r="BB1666">
        <v>100</v>
      </c>
      <c r="BC1666">
        <v>100</v>
      </c>
      <c r="BD1666">
        <v>100</v>
      </c>
      <c r="BE1666">
        <v>1</v>
      </c>
      <c r="BF1666">
        <v>15000</v>
      </c>
      <c r="BG1666">
        <v>1000</v>
      </c>
      <c r="BH1666" s="6">
        <f>Grandview_Inventory[[#This Row],[land_extract]]*Lookups!$B$3</f>
        <v>69525.205554513683</v>
      </c>
      <c r="BI1666" s="6">
        <f>IF(Grandview_Inventory[[#This Row],[bldg_style]]="",0,Lookups!$B$2)</f>
        <v>155833.95000000001</v>
      </c>
      <c r="BJ1666" s="6">
        <f>_xlfn.IFNA(VLOOKUP(Grandview_Inventory[[#This Row],[quality]],Lookups!$H$2:$J$14,3,FALSE),0)</f>
        <v>9808</v>
      </c>
      <c r="BK1666" s="6">
        <f>_xlfn.IFNA(VLOOKUP(Grandview_Inventory[[#This Row],[condition]],Lookups!$H$17:$J$24,3,FALSE),0)</f>
        <v>22342</v>
      </c>
      <c r="BL1666" s="6">
        <f>Grandview_Inventory[[#This Row],[Eff_Age]]*Lookups!$B$14</f>
        <v>-15545.829</v>
      </c>
      <c r="BM1666" s="6">
        <f>Grandview_Inventory[[#This Row],[living_area]]*Lookups!$B$15</f>
        <v>232805.34339600001</v>
      </c>
      <c r="BN1666" s="6">
        <f>Grandview_Inventory[[#This Row],[Fin BSMT]]*Lookups!$B$16</f>
        <v>-42274.814400000003</v>
      </c>
      <c r="BO1666" s="6">
        <f>(Grandview_Inventory[[#This Row],[att_gar]]+Grandview_Inventory[[#This Row],[bltin_gar]])*Lookups!$B$17</f>
        <v>0</v>
      </c>
      <c r="BP1666" s="6">
        <f>Grandview_Inventory[[#This Row],[Plumbing Fixtures]]*Lookups!$B$18</f>
        <v>22114.859800000002</v>
      </c>
      <c r="BQ1666" s="6">
        <f>Grandview_Inventory[[#This Row],[detatched_value]]*Lookups!$B$19</f>
        <v>41493.4499</v>
      </c>
      <c r="BR1666" s="6">
        <f>SUM(Grandview_Inventory[[#This Row],[Intercept]:[det_value]])*Grandview_Inventory[[#This Row],[res_pct]]</f>
        <v>426576.95969599998</v>
      </c>
      <c r="BS1666" s="6">
        <f>Grandview_Inventory[[#This Row],[land_value]]</f>
        <v>69525.205554513683</v>
      </c>
      <c r="BT1666" s="4">
        <f>_xlfn.IFNA(VLOOKUP(Grandview_Inventory[[#This Row],[quality]],Lookups!$A$26:$C$33,3,FALSE),1)</f>
        <v>0.94295468617355149</v>
      </c>
      <c r="BU1666" s="4">
        <f>_xlfn.IFNA(VLOOKUP(Grandview_Inventory[[#This Row],[condition]],Lookups!$A$37:$C$44,3,FALSE),1)</f>
        <v>0.97383723671140243</v>
      </c>
      <c r="BV1666" s="4">
        <f>IF(Grandview_Inventory[[#This Row],[bldg_style]]="",1,_xlfn.IFNA(VLOOKUP(Grandview_Inventory[[#This Row],[decade]],Lookups!$F$29:$H$43,3,FALSE),1))</f>
        <v>0.9251738460551937</v>
      </c>
      <c r="BW1666" s="4">
        <f>_xlfn.IFNA(VLOOKUP(Grandview_Inventory[[#This Row],[living_area_range]],Lookups!$F$47:$H$56,3,FALSE),1)</f>
        <v>0.90089875105039252</v>
      </c>
      <c r="BX1666" s="4">
        <f>AVERAGE(Grandview_Inventory[[#This Row],[qual_adj]:[size_adj]])</f>
        <v>0.93571612999763509</v>
      </c>
      <c r="BY1666" s="6">
        <f>IF(Grandview_Inventory[[#This Row],[pre_res]]&lt;0,0,Grandview_Inventory[[#This Row],[pre_res]]*Grandview_Inventory[[#This Row],[overall_adj]])</f>
        <v>399154.94187289826</v>
      </c>
      <c r="BZ1666" s="6">
        <f>(Grandview_Inventory[[#This Row],[sum_land]]-IF(Grandview_Inventory[[#This Row],[no_utilities]]=1,12000,0))/IF(Grandview_Inventory[[#This Row],[unbuildable]]=1,2,1)</f>
        <v>69525.205554513683</v>
      </c>
      <c r="CA1666">
        <f>IF(ROUND(Grandview_Inventory[[#This Row],[adj_land]]*Lookups!$M$28,-2)&lt;Grandview_Inventory[[#This Row],[min_land]],Grandview_Inventory[[#This Row],[min_land]],ROUND(Grandview_Inventory[[#This Row],[adj_land]]*Lookups!$M$28,-2))</f>
        <v>66000</v>
      </c>
      <c r="CB1666">
        <f>ROUND(Grandview_Inventory[[#This Row],[det_value]]*Lookups!$M$28,-2)</f>
        <v>39400</v>
      </c>
      <c r="CC1666">
        <f>IF(ROUND(Grandview_Inventory[[#This Row],[adj_res]]*Lookups!$M$28,-2)&lt;Grandview_Inventory[[#This Row],[min_res]],Grandview_Inventory[[#This Row],[min_res]],ROUND(Grandview_Inventory[[#This Row],[adj_res]]*Lookups!$M$28,-2))</f>
        <v>379200</v>
      </c>
      <c r="CD1666">
        <f>Grandview_Inventory[[#This Row],[final_det]]+Grandview_Inventory[[#This Row],[final_res]]</f>
        <v>418600</v>
      </c>
      <c r="CE1666">
        <f>Grandview_Inventory[[#This Row],[final_land]]+Grandview_Inventory[[#This Row],[final_imp]]+Grandview_Inventory[[#This Row],[crop_value]]</f>
        <v>484600</v>
      </c>
      <c r="CG1666" t="str">
        <f t="shared" si="25"/>
        <v>update valuation set market_land =66000, market_bldg=418600, market_total =484600, market_mdno =401, market_date ='9/10/2023' where link_id = (select link_id from parcel where parcel_year = '2024' and parcel_id = '23092332404');</v>
      </c>
    </row>
    <row r="1667" spans="1:85" x14ac:dyDescent="0.25">
      <c r="A1667">
        <v>23092332405</v>
      </c>
      <c r="B1667">
        <v>0.21</v>
      </c>
      <c r="C1667">
        <v>9046</v>
      </c>
      <c r="D1667" t="s">
        <v>129</v>
      </c>
      <c r="E1667" t="s">
        <v>53</v>
      </c>
      <c r="F1667" t="s">
        <v>53</v>
      </c>
      <c r="G1667">
        <v>4</v>
      </c>
      <c r="H1667" t="s">
        <v>54</v>
      </c>
      <c r="I1667">
        <v>209400</v>
      </c>
      <c r="J1667">
        <v>39300</v>
      </c>
      <c r="K1667">
        <v>0.21</v>
      </c>
      <c r="L166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67">
        <v>0</v>
      </c>
      <c r="N1667">
        <v>0</v>
      </c>
      <c r="O1667">
        <v>0</v>
      </c>
      <c r="P1667">
        <v>13398.7528</v>
      </c>
      <c r="Q1667">
        <v>63903</v>
      </c>
      <c r="R1667">
        <f>(Grandview_Inventory[[#This Row],[ln_acres]]*Grandview_Inventory[[#This Row],[coeff]])+Grandview_Inventory[[#This Row],[const]]</f>
        <v>42992.266613125081</v>
      </c>
      <c r="S1667" t="s">
        <v>68</v>
      </c>
      <c r="T1667">
        <v>1</v>
      </c>
      <c r="U1667" t="s">
        <v>65</v>
      </c>
      <c r="V1667" t="s">
        <v>67</v>
      </c>
      <c r="W1667">
        <v>0</v>
      </c>
      <c r="X1667">
        <v>0</v>
      </c>
      <c r="Y1667">
        <v>33</v>
      </c>
      <c r="Z1667">
        <v>83</v>
      </c>
      <c r="AA1667">
        <v>90</v>
      </c>
      <c r="AB1667">
        <v>2000</v>
      </c>
      <c r="AC1667">
        <v>1877</v>
      </c>
      <c r="AD1667">
        <v>1057</v>
      </c>
      <c r="AE1667">
        <v>0</v>
      </c>
      <c r="AF1667">
        <v>0</v>
      </c>
      <c r="AG1667">
        <v>820</v>
      </c>
      <c r="AH1667">
        <v>237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49</v>
      </c>
      <c r="AO1667">
        <v>260</v>
      </c>
      <c r="AP1667">
        <v>12</v>
      </c>
      <c r="AQ1667">
        <v>0</v>
      </c>
      <c r="AR1667">
        <v>1</v>
      </c>
      <c r="AS1667" t="s">
        <v>58</v>
      </c>
      <c r="AT1667">
        <v>1</v>
      </c>
      <c r="AU1667" t="s">
        <v>59</v>
      </c>
      <c r="AV1667" t="s">
        <v>60</v>
      </c>
      <c r="AW1667">
        <v>1</v>
      </c>
      <c r="AX1667">
        <v>3</v>
      </c>
      <c r="AY1667">
        <v>0</v>
      </c>
      <c r="AZ1667">
        <v>6400</v>
      </c>
      <c r="BA1667">
        <v>100</v>
      </c>
      <c r="BB1667">
        <v>100</v>
      </c>
      <c r="BC1667">
        <v>100</v>
      </c>
      <c r="BD1667">
        <v>100</v>
      </c>
      <c r="BE1667">
        <v>1</v>
      </c>
      <c r="BF1667">
        <v>15000</v>
      </c>
      <c r="BG1667">
        <v>1000</v>
      </c>
      <c r="BH1667" s="6">
        <f>Grandview_Inventory[[#This Row],[land_extract]]*Lookups!$B$3</f>
        <v>49926.8031387023</v>
      </c>
      <c r="BI1667" s="6">
        <f>IF(Grandview_Inventory[[#This Row],[bldg_style]]="",0,Lookups!$B$2)</f>
        <v>155833.95000000001</v>
      </c>
      <c r="BJ1667" s="6">
        <f>_xlfn.IFNA(VLOOKUP(Grandview_Inventory[[#This Row],[quality]],Lookups!$H$2:$J$14,3,FALSE),0)</f>
        <v>2251</v>
      </c>
      <c r="BK1667" s="6">
        <f>_xlfn.IFNA(VLOOKUP(Grandview_Inventory[[#This Row],[condition]],Lookups!$H$17:$J$24,3,FALSE),0)</f>
        <v>22342</v>
      </c>
      <c r="BL1667" s="6">
        <f>Grandview_Inventory[[#This Row],[Eff_Age]]*Lookups!$B$14</f>
        <v>-7892.4977999999992</v>
      </c>
      <c r="BM1667" s="6">
        <f>Grandview_Inventory[[#This Row],[living_area]]*Lookups!$B$15</f>
        <v>117088.86108100001</v>
      </c>
      <c r="BN1667" s="6">
        <f>Grandview_Inventory[[#This Row],[Fin BSMT]]*Lookups!$B$16</f>
        <v>-22221.376800000002</v>
      </c>
      <c r="BO1667" s="6">
        <f>(Grandview_Inventory[[#This Row],[att_gar]]+Grandview_Inventory[[#This Row],[bltin_gar]])*Lookups!$B$17</f>
        <v>0</v>
      </c>
      <c r="BP1667" s="6">
        <f>Grandview_Inventory[[#This Row],[Plumbing Fixtures]]*Lookups!$B$18</f>
        <v>24125.301599999999</v>
      </c>
      <c r="BQ1667" s="6">
        <f>Grandview_Inventory[[#This Row],[detatched_value]]*Lookups!$B$19</f>
        <v>5419.5526399999999</v>
      </c>
      <c r="BR1667" s="6">
        <f>SUM(Grandview_Inventory[[#This Row],[Intercept]:[det_value]])*Grandview_Inventory[[#This Row],[res_pct]]</f>
        <v>296946.790721</v>
      </c>
      <c r="BS1667" s="6">
        <f>Grandview_Inventory[[#This Row],[land_value]]</f>
        <v>49926.8031387023</v>
      </c>
      <c r="BT1667" s="4">
        <f>_xlfn.IFNA(VLOOKUP(Grandview_Inventory[[#This Row],[quality]],Lookups!$A$26:$C$33,3,FALSE),1)</f>
        <v>0.98763855981004833</v>
      </c>
      <c r="BU1667" s="4">
        <f>_xlfn.IFNA(VLOOKUP(Grandview_Inventory[[#This Row],[condition]],Lookups!$A$37:$C$44,3,FALSE),1)</f>
        <v>0.97383723671140243</v>
      </c>
      <c r="BV1667" s="4">
        <f>IF(Grandview_Inventory[[#This Row],[bldg_style]]="",1,_xlfn.IFNA(VLOOKUP(Grandview_Inventory[[#This Row],[decade]],Lookups!$F$29:$H$43,3,FALSE),1))</f>
        <v>0.94161750052457416</v>
      </c>
      <c r="BW1667" s="4">
        <f>_xlfn.IFNA(VLOOKUP(Grandview_Inventory[[#This Row],[living_area_range]],Lookups!$F$47:$H$56,3,FALSE),1)</f>
        <v>0.96120133463014379</v>
      </c>
      <c r="BX1667" s="4">
        <f>AVERAGE(Grandview_Inventory[[#This Row],[qual_adj]:[size_adj]])</f>
        <v>0.96607365791904209</v>
      </c>
      <c r="BY1667" s="6">
        <f>IF(Grandview_Inventory[[#This Row],[pre_res]]&lt;0,0,Grandview_Inventory[[#This Row],[pre_res]]*Grandview_Inventory[[#This Row],[overall_adj]])</f>
        <v>286872.47231915675</v>
      </c>
      <c r="BZ1667" s="6">
        <f>(Grandview_Inventory[[#This Row],[sum_land]]-IF(Grandview_Inventory[[#This Row],[no_utilities]]=1,12000,0))/IF(Grandview_Inventory[[#This Row],[unbuildable]]=1,2,1)</f>
        <v>49926.8031387023</v>
      </c>
      <c r="CA166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67">
        <f>ROUND(Grandview_Inventory[[#This Row],[det_value]]*Lookups!$M$28,-2)</f>
        <v>5100</v>
      </c>
      <c r="CC1667">
        <f>IF(ROUND(Grandview_Inventory[[#This Row],[adj_res]]*Lookups!$M$28,-2)&lt;Grandview_Inventory[[#This Row],[min_res]],Grandview_Inventory[[#This Row],[min_res]],ROUND(Grandview_Inventory[[#This Row],[adj_res]]*Lookups!$M$28,-2))</f>
        <v>272500</v>
      </c>
      <c r="CD1667">
        <f>Grandview_Inventory[[#This Row],[final_det]]+Grandview_Inventory[[#This Row],[final_res]]</f>
        <v>277600</v>
      </c>
      <c r="CE1667">
        <f>Grandview_Inventory[[#This Row],[final_land]]+Grandview_Inventory[[#This Row],[final_imp]]+Grandview_Inventory[[#This Row],[crop_value]]</f>
        <v>325000</v>
      </c>
      <c r="CG1667" t="str">
        <f t="shared" ref="CG1667:CG1730" si="26">"update valuation set market_land ="&amp;CA1667&amp;", market_bldg="&amp;CD1667&amp;", market_total ="&amp;CE1667&amp;", market_mdno ="&amp;$CG$1&amp;", market_date ='"&amp;TEXT($CH$1,"m/d/yyyy")&amp;"' where link_id = (select link_id from parcel where parcel_year = '2024' and parcel_id = '"&amp;A1667&amp;"');"</f>
        <v>update valuation set market_land =47400, market_bldg=277600, market_total =325000, market_mdno =401, market_date ='9/10/2023' where link_id = (select link_id from parcel where parcel_year = '2024' and parcel_id = '23092332405');</v>
      </c>
    </row>
    <row r="1668" spans="1:85" x14ac:dyDescent="0.25">
      <c r="A1668">
        <v>23092332406</v>
      </c>
      <c r="B1668">
        <v>0.87</v>
      </c>
      <c r="C1668">
        <v>38086</v>
      </c>
      <c r="D1668" t="s">
        <v>129</v>
      </c>
      <c r="E1668" t="s">
        <v>53</v>
      </c>
      <c r="F1668" t="s">
        <v>53</v>
      </c>
      <c r="G1668">
        <v>4</v>
      </c>
      <c r="H1668" t="s">
        <v>54</v>
      </c>
      <c r="I1668">
        <v>214800</v>
      </c>
      <c r="J1668">
        <v>43500</v>
      </c>
      <c r="K1668">
        <v>0.87</v>
      </c>
      <c r="L1668">
        <f>IF(Grandview_Inventory[[#This Row],[parcel_acres]]-Grandview_Inventory[[#This Row],[non_valued_acres]] =0,0,LN(Grandview_Inventory[[#This Row],[parcel_acres]]-Grandview_Inventory[[#This Row],[non_valued_acres]]))</f>
        <v>-0.13926206733350766</v>
      </c>
      <c r="M1668">
        <v>0</v>
      </c>
      <c r="N1668">
        <v>0</v>
      </c>
      <c r="O1668">
        <v>0</v>
      </c>
      <c r="P1668">
        <v>13398.7528</v>
      </c>
      <c r="Q1668">
        <v>63903</v>
      </c>
      <c r="R1668">
        <f>(Grandview_Inventory[[#This Row],[ln_acres]]*Grandview_Inventory[[#This Row],[coeff]])+Grandview_Inventory[[#This Row],[const]]</f>
        <v>62037.061985381377</v>
      </c>
      <c r="S1668" t="s">
        <v>68</v>
      </c>
      <c r="T1668">
        <v>1</v>
      </c>
      <c r="U1668" t="s">
        <v>62</v>
      </c>
      <c r="V1668" t="s">
        <v>78</v>
      </c>
      <c r="W1668">
        <v>0</v>
      </c>
      <c r="X1668">
        <v>0</v>
      </c>
      <c r="Y1668">
        <v>51</v>
      </c>
      <c r="Z1668">
        <v>82</v>
      </c>
      <c r="AA1668">
        <v>90</v>
      </c>
      <c r="AB1668">
        <v>3500</v>
      </c>
      <c r="AC1668">
        <v>3243</v>
      </c>
      <c r="AD1668">
        <v>1836</v>
      </c>
      <c r="AE1668">
        <v>0</v>
      </c>
      <c r="AF1668">
        <v>0</v>
      </c>
      <c r="AG1668">
        <v>1407</v>
      </c>
      <c r="AH1668">
        <v>449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70</v>
      </c>
      <c r="AO1668">
        <v>0</v>
      </c>
      <c r="AP1668">
        <v>12</v>
      </c>
      <c r="AQ1668">
        <v>0</v>
      </c>
      <c r="AR1668">
        <v>2</v>
      </c>
      <c r="AS1668" t="s">
        <v>76</v>
      </c>
      <c r="AT1668">
        <v>1</v>
      </c>
      <c r="AU1668" t="s">
        <v>63</v>
      </c>
      <c r="AV1668" t="s">
        <v>60</v>
      </c>
      <c r="AW1668">
        <v>1</v>
      </c>
      <c r="AX1668">
        <v>4</v>
      </c>
      <c r="AY1668">
        <v>0</v>
      </c>
      <c r="AZ1668">
        <v>7500</v>
      </c>
      <c r="BA1668">
        <v>100</v>
      </c>
      <c r="BB1668">
        <v>100</v>
      </c>
      <c r="BC1668">
        <v>100</v>
      </c>
      <c r="BD1668">
        <v>100</v>
      </c>
      <c r="BE1668">
        <v>1</v>
      </c>
      <c r="BF1668">
        <v>15000</v>
      </c>
      <c r="BG1668">
        <v>1000</v>
      </c>
      <c r="BH1668" s="6">
        <f>Grandview_Inventory[[#This Row],[land_extract]]*Lookups!$B$3</f>
        <v>72043.472583556024</v>
      </c>
      <c r="BI1668" s="6">
        <f>IF(Grandview_Inventory[[#This Row],[bldg_style]]="",0,Lookups!$B$2)</f>
        <v>155833.95000000001</v>
      </c>
      <c r="BJ1668" s="6">
        <f>_xlfn.IFNA(VLOOKUP(Grandview_Inventory[[#This Row],[quality]],Lookups!$H$2:$J$14,3,FALSE),0)</f>
        <v>9808</v>
      </c>
      <c r="BK1668" s="6">
        <f>_xlfn.IFNA(VLOOKUP(Grandview_Inventory[[#This Row],[condition]],Lookups!$H$17:$J$24,3,FALSE),0)</f>
        <v>-45357</v>
      </c>
      <c r="BL1668" s="6">
        <f>Grandview_Inventory[[#This Row],[Eff_Age]]*Lookups!$B$14</f>
        <v>-12197.496599999999</v>
      </c>
      <c r="BM1668" s="6">
        <f>Grandview_Inventory[[#This Row],[living_area]]*Lookups!$B$15</f>
        <v>202301.106279</v>
      </c>
      <c r="BN1668" s="6">
        <f>Grandview_Inventory[[#This Row],[Fin BSMT]]*Lookups!$B$16</f>
        <v>-38128.630680000002</v>
      </c>
      <c r="BO1668" s="6">
        <f>(Grandview_Inventory[[#This Row],[att_gar]]+Grandview_Inventory[[#This Row],[bltin_gar]])*Lookups!$B$17</f>
        <v>0</v>
      </c>
      <c r="BP1668" s="6">
        <f>Grandview_Inventory[[#This Row],[Plumbing Fixtures]]*Lookups!$B$18</f>
        <v>24125.301599999999</v>
      </c>
      <c r="BQ1668" s="6">
        <f>Grandview_Inventory[[#This Row],[detatched_value]]*Lookups!$B$19</f>
        <v>6351.0382499999996</v>
      </c>
      <c r="BR1668" s="6">
        <f>SUM(Grandview_Inventory[[#This Row],[Intercept]:[det_value]])*Grandview_Inventory[[#This Row],[res_pct]]</f>
        <v>302736.26884899999</v>
      </c>
      <c r="BS1668" s="6">
        <f>Grandview_Inventory[[#This Row],[land_value]]</f>
        <v>72043.472583556024</v>
      </c>
      <c r="BT1668" s="4">
        <f>_xlfn.IFNA(VLOOKUP(Grandview_Inventory[[#This Row],[quality]],Lookups!$A$26:$C$33,3,FALSE),1)</f>
        <v>0.94295468617355149</v>
      </c>
      <c r="BU1668" s="4">
        <f>_xlfn.IFNA(VLOOKUP(Grandview_Inventory[[#This Row],[condition]],Lookups!$A$37:$C$44,3,FALSE),1)</f>
        <v>0.97161819570155394</v>
      </c>
      <c r="BV1668" s="4">
        <f>IF(Grandview_Inventory[[#This Row],[bldg_style]]="",1,_xlfn.IFNA(VLOOKUP(Grandview_Inventory[[#This Row],[decade]],Lookups!$F$29:$H$43,3,FALSE),1))</f>
        <v>0.94161750052457416</v>
      </c>
      <c r="BW1668" s="4">
        <f>_xlfn.IFNA(VLOOKUP(Grandview_Inventory[[#This Row],[living_area_range]],Lookups!$F$47:$H$56,3,FALSE),1)</f>
        <v>1.0170112215140563</v>
      </c>
      <c r="BX1668" s="4">
        <f>AVERAGE(Grandview_Inventory[[#This Row],[qual_adj]:[size_adj]])</f>
        <v>0.96830040097843395</v>
      </c>
      <c r="BY1668" s="6">
        <f>IF(Grandview_Inventory[[#This Row],[pre_res]]&lt;0,0,Grandview_Inventory[[#This Row],[pre_res]]*Grandview_Inventory[[#This Row],[overall_adj]])</f>
        <v>293139.65051720169</v>
      </c>
      <c r="BZ1668" s="6">
        <f>(Grandview_Inventory[[#This Row],[sum_land]]-IF(Grandview_Inventory[[#This Row],[no_utilities]]=1,12000,0))/IF(Grandview_Inventory[[#This Row],[unbuildable]]=1,2,1)</f>
        <v>72043.472583556024</v>
      </c>
      <c r="CA1668">
        <f>IF(ROUND(Grandview_Inventory[[#This Row],[adj_land]]*Lookups!$M$28,-2)&lt;Grandview_Inventory[[#This Row],[min_land]],Grandview_Inventory[[#This Row],[min_land]],ROUND(Grandview_Inventory[[#This Row],[adj_land]]*Lookups!$M$28,-2))</f>
        <v>68400</v>
      </c>
      <c r="CB1668">
        <f>ROUND(Grandview_Inventory[[#This Row],[det_value]]*Lookups!$M$28,-2)</f>
        <v>6000</v>
      </c>
      <c r="CC1668">
        <f>IF(ROUND(Grandview_Inventory[[#This Row],[adj_res]]*Lookups!$M$28,-2)&lt;Grandview_Inventory[[#This Row],[min_res]],Grandview_Inventory[[#This Row],[min_res]],ROUND(Grandview_Inventory[[#This Row],[adj_res]]*Lookups!$M$28,-2))</f>
        <v>278500</v>
      </c>
      <c r="CD1668">
        <f>Grandview_Inventory[[#This Row],[final_det]]+Grandview_Inventory[[#This Row],[final_res]]</f>
        <v>284500</v>
      </c>
      <c r="CE1668">
        <f>Grandview_Inventory[[#This Row],[final_land]]+Grandview_Inventory[[#This Row],[final_imp]]+Grandview_Inventory[[#This Row],[crop_value]]</f>
        <v>352900</v>
      </c>
      <c r="CG1668" t="str">
        <f t="shared" si="26"/>
        <v>update valuation set market_land =68400, market_bldg=284500, market_total =352900, market_mdno =401, market_date ='9/10/2023' where link_id = (select link_id from parcel where parcel_year = '2024' and parcel_id = '23092332406');</v>
      </c>
    </row>
    <row r="1669" spans="1:85" x14ac:dyDescent="0.25">
      <c r="A1669">
        <v>23092332408</v>
      </c>
      <c r="B1669">
        <v>0.34</v>
      </c>
      <c r="C1669">
        <v>14748</v>
      </c>
      <c r="D1669" t="s">
        <v>129</v>
      </c>
      <c r="E1669" t="s">
        <v>53</v>
      </c>
      <c r="F1669" t="s">
        <v>53</v>
      </c>
      <c r="G1669">
        <v>4</v>
      </c>
      <c r="H1669" t="s">
        <v>54</v>
      </c>
      <c r="I1669">
        <v>366800</v>
      </c>
      <c r="J1669">
        <v>41200</v>
      </c>
      <c r="K1669">
        <v>0.34</v>
      </c>
      <c r="L1669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669">
        <v>0</v>
      </c>
      <c r="N1669">
        <v>0</v>
      </c>
      <c r="O1669">
        <v>0</v>
      </c>
      <c r="P1669">
        <v>13398.7528</v>
      </c>
      <c r="Q1669">
        <v>63903</v>
      </c>
      <c r="R1669">
        <f>(Grandview_Inventory[[#This Row],[ln_acres]]*Grandview_Inventory[[#This Row],[coeff]])+Grandview_Inventory[[#This Row],[const]]</f>
        <v>49448.296029025805</v>
      </c>
      <c r="S1669" t="s">
        <v>61</v>
      </c>
      <c r="T1669">
        <v>1</v>
      </c>
      <c r="U1669" t="s">
        <v>62</v>
      </c>
      <c r="V1669" t="s">
        <v>67</v>
      </c>
      <c r="W1669">
        <v>0</v>
      </c>
      <c r="X1669">
        <v>0</v>
      </c>
      <c r="Y1669">
        <v>49</v>
      </c>
      <c r="Z1669">
        <v>65</v>
      </c>
      <c r="AA1669">
        <v>70</v>
      </c>
      <c r="AB1669">
        <v>4000</v>
      </c>
      <c r="AC1669">
        <v>3677</v>
      </c>
      <c r="AD1669">
        <v>2236</v>
      </c>
      <c r="AE1669">
        <v>0</v>
      </c>
      <c r="AF1669">
        <v>0</v>
      </c>
      <c r="AG1669">
        <v>1441</v>
      </c>
      <c r="AH1669">
        <v>525</v>
      </c>
      <c r="AI1669">
        <v>598</v>
      </c>
      <c r="AJ1669">
        <v>0</v>
      </c>
      <c r="AK1669">
        <v>0</v>
      </c>
      <c r="AL1669">
        <v>0</v>
      </c>
      <c r="AM1669">
        <v>0</v>
      </c>
      <c r="AN1669">
        <v>25</v>
      </c>
      <c r="AO1669">
        <v>0</v>
      </c>
      <c r="AP1669">
        <v>13</v>
      </c>
      <c r="AQ1669">
        <v>0</v>
      </c>
      <c r="AR1669">
        <v>1</v>
      </c>
      <c r="AS1669" t="s">
        <v>58</v>
      </c>
      <c r="AT1669">
        <v>1</v>
      </c>
      <c r="AU1669" t="s">
        <v>59</v>
      </c>
      <c r="AV1669" t="s">
        <v>60</v>
      </c>
      <c r="AW1669">
        <v>1</v>
      </c>
      <c r="AX1669">
        <v>5</v>
      </c>
      <c r="AY1669">
        <v>0</v>
      </c>
      <c r="AZ1669">
        <v>29700</v>
      </c>
      <c r="BA1669">
        <v>100</v>
      </c>
      <c r="BB1669">
        <v>100</v>
      </c>
      <c r="BC1669">
        <v>100</v>
      </c>
      <c r="BD1669">
        <v>100</v>
      </c>
      <c r="BE1669">
        <v>1</v>
      </c>
      <c r="BF1669">
        <v>15000</v>
      </c>
      <c r="BG1669">
        <v>1000</v>
      </c>
      <c r="BH1669" s="6">
        <f>Grandview_Inventory[[#This Row],[land_extract]]*Lookups!$B$3</f>
        <v>57424.172668108389</v>
      </c>
      <c r="BI1669" s="6">
        <f>IF(Grandview_Inventory[[#This Row],[bldg_style]]="",0,Lookups!$B$2)</f>
        <v>155833.95000000001</v>
      </c>
      <c r="BJ1669" s="6">
        <f>_xlfn.IFNA(VLOOKUP(Grandview_Inventory[[#This Row],[quality]],Lookups!$H$2:$J$14,3,FALSE),0)</f>
        <v>9808</v>
      </c>
      <c r="BK1669" s="6">
        <f>_xlfn.IFNA(VLOOKUP(Grandview_Inventory[[#This Row],[condition]],Lookups!$H$17:$J$24,3,FALSE),0)</f>
        <v>22342</v>
      </c>
      <c r="BL1669" s="6">
        <f>Grandview_Inventory[[#This Row],[Eff_Age]]*Lookups!$B$14</f>
        <v>-11719.163399999999</v>
      </c>
      <c r="BM1669" s="6">
        <f>Grandview_Inventory[[#This Row],[living_area]]*Lookups!$B$15</f>
        <v>229374.396481</v>
      </c>
      <c r="BN1669" s="6">
        <f>Grandview_Inventory[[#This Row],[Fin BSMT]]*Lookups!$B$16</f>
        <v>-39050.004840000001</v>
      </c>
      <c r="BO1669" s="6">
        <f>(Grandview_Inventory[[#This Row],[att_gar]]+Grandview_Inventory[[#This Row],[bltin_gar]])*Lookups!$B$17</f>
        <v>52337.221325999999</v>
      </c>
      <c r="BP1669" s="6">
        <f>Grandview_Inventory[[#This Row],[Plumbing Fixtures]]*Lookups!$B$18</f>
        <v>26135.743399999999</v>
      </c>
      <c r="BQ1669" s="6">
        <f>Grandview_Inventory[[#This Row],[detatched_value]]*Lookups!$B$19</f>
        <v>25150.11147</v>
      </c>
      <c r="BR1669" s="6">
        <f>SUM(Grandview_Inventory[[#This Row],[Intercept]:[det_value]])*Grandview_Inventory[[#This Row],[res_pct]]</f>
        <v>470212.25443699997</v>
      </c>
      <c r="BS1669" s="6">
        <f>Grandview_Inventory[[#This Row],[land_value]]</f>
        <v>57424.172668108389</v>
      </c>
      <c r="BT1669" s="4">
        <f>_xlfn.IFNA(VLOOKUP(Grandview_Inventory[[#This Row],[quality]],Lookups!$A$26:$C$33,3,FALSE),1)</f>
        <v>0.94295468617355149</v>
      </c>
      <c r="BU1669" s="4">
        <f>_xlfn.IFNA(VLOOKUP(Grandview_Inventory[[#This Row],[condition]],Lookups!$A$37:$C$44,3,FALSE),1)</f>
        <v>0.97383723671140243</v>
      </c>
      <c r="BV1669" s="4">
        <f>IF(Grandview_Inventory[[#This Row],[bldg_style]]="",1,_xlfn.IFNA(VLOOKUP(Grandview_Inventory[[#This Row],[decade]],Lookups!$F$29:$H$43,3,FALSE),1))</f>
        <v>0.99472141305414818</v>
      </c>
      <c r="BW1669" s="4">
        <f>_xlfn.IFNA(VLOOKUP(Grandview_Inventory[[#This Row],[living_area_range]],Lookups!$F$47:$H$56,3,FALSE),1)</f>
        <v>0.90089875105039252</v>
      </c>
      <c r="BX1669" s="4">
        <f>AVERAGE(Grandview_Inventory[[#This Row],[qual_adj]:[size_adj]])</f>
        <v>0.95310302174737371</v>
      </c>
      <c r="BY1669" s="6">
        <f>IF(Grandview_Inventory[[#This Row],[pre_res]]&lt;0,0,Grandview_Inventory[[#This Row],[pre_res]]*Grandview_Inventory[[#This Row],[overall_adj]])</f>
        <v>448160.72056654963</v>
      </c>
      <c r="BZ1669" s="6">
        <f>(Grandview_Inventory[[#This Row],[sum_land]]-IF(Grandview_Inventory[[#This Row],[no_utilities]]=1,12000,0))/IF(Grandview_Inventory[[#This Row],[unbuildable]]=1,2,1)</f>
        <v>57424.172668108389</v>
      </c>
      <c r="CA1669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669">
        <f>ROUND(Grandview_Inventory[[#This Row],[det_value]]*Lookups!$M$28,-2)</f>
        <v>23900</v>
      </c>
      <c r="CC1669">
        <f>IF(ROUND(Grandview_Inventory[[#This Row],[adj_res]]*Lookups!$M$28,-2)&lt;Grandview_Inventory[[#This Row],[min_res]],Grandview_Inventory[[#This Row],[min_res]],ROUND(Grandview_Inventory[[#This Row],[adj_res]]*Lookups!$M$28,-2))</f>
        <v>425800</v>
      </c>
      <c r="CD1669">
        <f>Grandview_Inventory[[#This Row],[final_det]]+Grandview_Inventory[[#This Row],[final_res]]</f>
        <v>449700</v>
      </c>
      <c r="CE1669">
        <f>Grandview_Inventory[[#This Row],[final_land]]+Grandview_Inventory[[#This Row],[final_imp]]+Grandview_Inventory[[#This Row],[crop_value]]</f>
        <v>504300</v>
      </c>
      <c r="CG1669" t="str">
        <f t="shared" si="26"/>
        <v>update valuation set market_land =54600, market_bldg=449700, market_total =504300, market_mdno =401, market_date ='9/10/2023' where link_id = (select link_id from parcel where parcel_year = '2024' and parcel_id = '23092332408');</v>
      </c>
    </row>
    <row r="1670" spans="1:85" x14ac:dyDescent="0.25">
      <c r="A1670">
        <v>23092332411</v>
      </c>
      <c r="B1670">
        <v>0.22</v>
      </c>
      <c r="C1670" t="s">
        <v>129</v>
      </c>
      <c r="D1670" t="s">
        <v>129</v>
      </c>
      <c r="E1670" t="s">
        <v>53</v>
      </c>
      <c r="F1670" t="s">
        <v>53</v>
      </c>
      <c r="G1670">
        <v>4</v>
      </c>
      <c r="H1670" t="s">
        <v>54</v>
      </c>
      <c r="I1670">
        <v>204900</v>
      </c>
      <c r="J1670">
        <v>39500</v>
      </c>
      <c r="K1670">
        <v>0.22</v>
      </c>
      <c r="L167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70">
        <v>0</v>
      </c>
      <c r="N1670">
        <v>0</v>
      </c>
      <c r="O1670">
        <v>0</v>
      </c>
      <c r="P1670">
        <v>13398.7528</v>
      </c>
      <c r="Q1670">
        <v>63903</v>
      </c>
      <c r="R1670">
        <f>(Grandview_Inventory[[#This Row],[ln_acres]]*Grandview_Inventory[[#This Row],[coeff]])+Grandview_Inventory[[#This Row],[const]]</f>
        <v>43615.576802869145</v>
      </c>
      <c r="S1670" t="s">
        <v>61</v>
      </c>
      <c r="T1670">
        <v>1</v>
      </c>
      <c r="U1670" t="s">
        <v>65</v>
      </c>
      <c r="V1670" t="s">
        <v>67</v>
      </c>
      <c r="W1670">
        <v>0</v>
      </c>
      <c r="X1670">
        <v>0</v>
      </c>
      <c r="Y1670">
        <v>49</v>
      </c>
      <c r="Z1670">
        <v>68</v>
      </c>
      <c r="AA1670">
        <v>70</v>
      </c>
      <c r="AB1670">
        <v>1500</v>
      </c>
      <c r="AC1670">
        <v>1408</v>
      </c>
      <c r="AD1670">
        <v>1408</v>
      </c>
      <c r="AE1670">
        <v>0</v>
      </c>
      <c r="AF1670">
        <v>0</v>
      </c>
      <c r="AG1670">
        <v>0</v>
      </c>
      <c r="AH1670">
        <v>0</v>
      </c>
      <c r="AI1670">
        <v>264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5</v>
      </c>
      <c r="AQ1670">
        <v>0</v>
      </c>
      <c r="AR1670">
        <v>1</v>
      </c>
      <c r="AS1670" t="s">
        <v>58</v>
      </c>
      <c r="AT1670">
        <v>1</v>
      </c>
      <c r="AU1670" t="s">
        <v>63</v>
      </c>
      <c r="AV1670" t="s">
        <v>60</v>
      </c>
      <c r="AW1670">
        <v>0</v>
      </c>
      <c r="AX1670">
        <v>3</v>
      </c>
      <c r="AY1670">
        <v>0</v>
      </c>
      <c r="AZ1670">
        <v>0</v>
      </c>
      <c r="BA1670">
        <v>100</v>
      </c>
      <c r="BB1670">
        <v>100</v>
      </c>
      <c r="BC1670">
        <v>100</v>
      </c>
      <c r="BD1670">
        <v>100</v>
      </c>
      <c r="BE1670">
        <v>1</v>
      </c>
      <c r="BF1670">
        <v>15000</v>
      </c>
      <c r="BG1670">
        <v>1000</v>
      </c>
      <c r="BH1670" s="6">
        <f>Grandview_Inventory[[#This Row],[land_extract]]*Lookups!$B$3</f>
        <v>50650.651579114572</v>
      </c>
      <c r="BI1670" s="6">
        <f>IF(Grandview_Inventory[[#This Row],[bldg_style]]="",0,Lookups!$B$2)</f>
        <v>155833.95000000001</v>
      </c>
      <c r="BJ1670" s="6">
        <f>_xlfn.IFNA(VLOOKUP(Grandview_Inventory[[#This Row],[quality]],Lookups!$H$2:$J$14,3,FALSE),0)</f>
        <v>2251</v>
      </c>
      <c r="BK1670" s="6">
        <f>_xlfn.IFNA(VLOOKUP(Grandview_Inventory[[#This Row],[condition]],Lookups!$H$17:$J$24,3,FALSE),0)</f>
        <v>22342</v>
      </c>
      <c r="BL1670" s="6">
        <f>Grandview_Inventory[[#This Row],[Eff_Age]]*Lookups!$B$14</f>
        <v>-11719.163399999999</v>
      </c>
      <c r="BM1670" s="6">
        <f>Grandview_Inventory[[#This Row],[living_area]]*Lookups!$B$15</f>
        <v>87832.241024000003</v>
      </c>
      <c r="BN1670" s="6">
        <f>Grandview_Inventory[[#This Row],[Fin BSMT]]*Lookups!$B$16</f>
        <v>0</v>
      </c>
      <c r="BO1670" s="6">
        <f>(Grandview_Inventory[[#This Row],[att_gar]]+Grandview_Inventory[[#This Row],[bltin_gar]])*Lookups!$B$17</f>
        <v>23105.395368000001</v>
      </c>
      <c r="BP1670" s="6">
        <f>Grandview_Inventory[[#This Row],[Plumbing Fixtures]]*Lookups!$B$18</f>
        <v>10052.209000000001</v>
      </c>
      <c r="BQ1670" s="6">
        <f>Grandview_Inventory[[#This Row],[detatched_value]]*Lookups!$B$19</f>
        <v>0</v>
      </c>
      <c r="BR1670" s="6">
        <f>SUM(Grandview_Inventory[[#This Row],[Intercept]:[det_value]])*Grandview_Inventory[[#This Row],[res_pct]]</f>
        <v>289697.63199200004</v>
      </c>
      <c r="BS1670" s="6">
        <f>Grandview_Inventory[[#This Row],[land_value]]</f>
        <v>50650.651579114572</v>
      </c>
      <c r="BT1670" s="4">
        <f>_xlfn.IFNA(VLOOKUP(Grandview_Inventory[[#This Row],[quality]],Lookups!$A$26:$C$33,3,FALSE),1)</f>
        <v>0.98763855981004833</v>
      </c>
      <c r="BU1670" s="4">
        <f>_xlfn.IFNA(VLOOKUP(Grandview_Inventory[[#This Row],[condition]],Lookups!$A$37:$C$44,3,FALSE),1)</f>
        <v>0.97383723671140243</v>
      </c>
      <c r="BV1670" s="4">
        <f>IF(Grandview_Inventory[[#This Row],[bldg_style]]="",1,_xlfn.IFNA(VLOOKUP(Grandview_Inventory[[#This Row],[decade]],Lookups!$F$29:$H$43,3,FALSE),1))</f>
        <v>0.99472141305414818</v>
      </c>
      <c r="BW1670" s="4">
        <f>_xlfn.IFNA(VLOOKUP(Grandview_Inventory[[#This Row],[living_area_range]],Lookups!$F$47:$H$56,3,FALSE),1)</f>
        <v>0.96135087979789358</v>
      </c>
      <c r="BX1670" s="4">
        <f>AVERAGE(Grandview_Inventory[[#This Row],[qual_adj]:[size_adj]])</f>
        <v>0.97938702234337316</v>
      </c>
      <c r="BY1670" s="6">
        <f>IF(Grandview_Inventory[[#This Row],[pre_res]]&lt;0,0,Grandview_Inventory[[#This Row],[pre_res]]*Grandview_Inventory[[#This Row],[overall_adj]])</f>
        <v>283726.10117657122</v>
      </c>
      <c r="BZ1670" s="6">
        <f>(Grandview_Inventory[[#This Row],[sum_land]]-IF(Grandview_Inventory[[#This Row],[no_utilities]]=1,12000,0))/IF(Grandview_Inventory[[#This Row],[unbuildable]]=1,2,1)</f>
        <v>50650.651579114572</v>
      </c>
      <c r="CA167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70">
        <f>ROUND(Grandview_Inventory[[#This Row],[det_value]]*Lookups!$M$28,-2)</f>
        <v>0</v>
      </c>
      <c r="CC1670">
        <f>IF(ROUND(Grandview_Inventory[[#This Row],[adj_res]]*Lookups!$M$28,-2)&lt;Grandview_Inventory[[#This Row],[min_res]],Grandview_Inventory[[#This Row],[min_res]],ROUND(Grandview_Inventory[[#This Row],[adj_res]]*Lookups!$M$28,-2))</f>
        <v>269500</v>
      </c>
      <c r="CD1670">
        <f>Grandview_Inventory[[#This Row],[final_det]]+Grandview_Inventory[[#This Row],[final_res]]</f>
        <v>269500</v>
      </c>
      <c r="CE1670">
        <f>Grandview_Inventory[[#This Row],[final_land]]+Grandview_Inventory[[#This Row],[final_imp]]+Grandview_Inventory[[#This Row],[crop_value]]</f>
        <v>317600</v>
      </c>
      <c r="CG1670" t="str">
        <f t="shared" si="26"/>
        <v>update valuation set market_land =48100, market_bldg=269500, market_total =317600, market_mdno =401, market_date ='9/10/2023' where link_id = (select link_id from parcel where parcel_year = '2024' and parcel_id = '23092332411');</v>
      </c>
    </row>
    <row r="1671" spans="1:85" x14ac:dyDescent="0.25">
      <c r="A1671">
        <v>23092332415</v>
      </c>
      <c r="B1671">
        <v>0.2</v>
      </c>
      <c r="C1671" t="s">
        <v>129</v>
      </c>
      <c r="D1671" t="s">
        <v>129</v>
      </c>
      <c r="E1671" t="s">
        <v>53</v>
      </c>
      <c r="F1671" t="s">
        <v>53</v>
      </c>
      <c r="G1671">
        <v>4</v>
      </c>
      <c r="H1671" t="s">
        <v>54</v>
      </c>
      <c r="I1671">
        <v>124700</v>
      </c>
      <c r="J1671">
        <v>39300</v>
      </c>
      <c r="K1671">
        <v>0.2</v>
      </c>
      <c r="L167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671">
        <v>0</v>
      </c>
      <c r="N1671">
        <v>0</v>
      </c>
      <c r="O1671">
        <v>0</v>
      </c>
      <c r="P1671">
        <v>13398.7528</v>
      </c>
      <c r="Q1671">
        <v>63903</v>
      </c>
      <c r="R1671">
        <f>(Grandview_Inventory[[#This Row],[ln_acres]]*Grandview_Inventory[[#This Row],[coeff]])+Grandview_Inventory[[#This Row],[const]]</f>
        <v>42338.539264347448</v>
      </c>
      <c r="S1671" t="s">
        <v>68</v>
      </c>
      <c r="T1671">
        <v>1</v>
      </c>
      <c r="U1671" t="s">
        <v>70</v>
      </c>
      <c r="V1671" t="s">
        <v>69</v>
      </c>
      <c r="W1671">
        <v>0</v>
      </c>
      <c r="X1671">
        <v>0</v>
      </c>
      <c r="Y1671">
        <v>51</v>
      </c>
      <c r="Z1671">
        <v>83</v>
      </c>
      <c r="AA1671">
        <v>90</v>
      </c>
      <c r="AB1671">
        <v>1500</v>
      </c>
      <c r="AC1671">
        <v>1054</v>
      </c>
      <c r="AD1671">
        <v>1054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5</v>
      </c>
      <c r="AQ1671">
        <v>0</v>
      </c>
      <c r="AR1671">
        <v>0</v>
      </c>
      <c r="AS1671" t="s">
        <v>58</v>
      </c>
      <c r="AT1671">
        <v>1</v>
      </c>
      <c r="AU1671" t="s">
        <v>75</v>
      </c>
      <c r="AV1671" t="s">
        <v>60</v>
      </c>
      <c r="AW1671">
        <v>0</v>
      </c>
      <c r="AX1671">
        <v>3</v>
      </c>
      <c r="AY1671">
        <v>0</v>
      </c>
      <c r="AZ1671">
        <v>0</v>
      </c>
      <c r="BA1671">
        <v>100</v>
      </c>
      <c r="BB1671">
        <v>100</v>
      </c>
      <c r="BC1671">
        <v>100</v>
      </c>
      <c r="BD1671">
        <v>100</v>
      </c>
      <c r="BE1671">
        <v>1</v>
      </c>
      <c r="BF1671">
        <v>15000</v>
      </c>
      <c r="BG1671">
        <v>1000</v>
      </c>
      <c r="BH1671" s="6">
        <f>Grandview_Inventory[[#This Row],[land_extract]]*Lookups!$B$3</f>
        <v>49167.631333630678</v>
      </c>
      <c r="BI1671" s="6">
        <f>IF(Grandview_Inventory[[#This Row],[bldg_style]]="",0,Lookups!$B$2)</f>
        <v>155833.95000000001</v>
      </c>
      <c r="BJ1671" s="6">
        <f>_xlfn.IFNA(VLOOKUP(Grandview_Inventory[[#This Row],[quality]],Lookups!$H$2:$J$14,3,FALSE),0)</f>
        <v>10733</v>
      </c>
      <c r="BK1671" s="6">
        <f>_xlfn.IFNA(VLOOKUP(Grandview_Inventory[[#This Row],[condition]],Lookups!$H$17:$J$24,3,FALSE),0)</f>
        <v>-4503</v>
      </c>
      <c r="BL1671" s="6">
        <f>Grandview_Inventory[[#This Row],[Eff_Age]]*Lookups!$B$14</f>
        <v>-12197.496599999999</v>
      </c>
      <c r="BM1671" s="6">
        <f>Grandview_Inventory[[#This Row],[living_area]]*Lookups!$B$15</f>
        <v>65749.419062000001</v>
      </c>
      <c r="BN1671" s="6">
        <f>Grandview_Inventory[[#This Row],[Fin BSMT]]*Lookups!$B$16</f>
        <v>0</v>
      </c>
      <c r="BO1671" s="6">
        <f>(Grandview_Inventory[[#This Row],[att_gar]]+Grandview_Inventory[[#This Row],[bltin_gar]])*Lookups!$B$17</f>
        <v>0</v>
      </c>
      <c r="BP1671" s="6">
        <f>Grandview_Inventory[[#This Row],[Plumbing Fixtures]]*Lookups!$B$18</f>
        <v>10052.209000000001</v>
      </c>
      <c r="BQ1671" s="6">
        <f>Grandview_Inventory[[#This Row],[detatched_value]]*Lookups!$B$19</f>
        <v>0</v>
      </c>
      <c r="BR1671" s="6">
        <f>SUM(Grandview_Inventory[[#This Row],[Intercept]:[det_value]])*Grandview_Inventory[[#This Row],[res_pct]]</f>
        <v>225668.081462</v>
      </c>
      <c r="BS1671" s="6">
        <f>Grandview_Inventory[[#This Row],[land_value]]</f>
        <v>49167.631333630678</v>
      </c>
      <c r="BT1671" s="4">
        <f>_xlfn.IFNA(VLOOKUP(Grandview_Inventory[[#This Row],[quality]],Lookups!$A$26:$C$33,3,FALSE),1)</f>
        <v>0.98079741117310582</v>
      </c>
      <c r="BU1671" s="4">
        <f>_xlfn.IFNA(VLOOKUP(Grandview_Inventory[[#This Row],[condition]],Lookups!$A$37:$C$44,3,FALSE),1)</f>
        <v>0.96469275950863709</v>
      </c>
      <c r="BV1671" s="4">
        <f>IF(Grandview_Inventory[[#This Row],[bldg_style]]="",1,_xlfn.IFNA(VLOOKUP(Grandview_Inventory[[#This Row],[decade]],Lookups!$F$29:$H$43,3,FALSE),1))</f>
        <v>0.94161750052457416</v>
      </c>
      <c r="BW1671" s="4">
        <f>_xlfn.IFNA(VLOOKUP(Grandview_Inventory[[#This Row],[living_area_range]],Lookups!$F$47:$H$56,3,FALSE),1)</f>
        <v>0.96135087979789358</v>
      </c>
      <c r="BX1671" s="4">
        <f>AVERAGE(Grandview_Inventory[[#This Row],[qual_adj]:[size_adj]])</f>
        <v>0.96211463775105266</v>
      </c>
      <c r="BY1671" s="6">
        <f>IF(Grandview_Inventory[[#This Row],[pre_res]]&lt;0,0,Grandview_Inventory[[#This Row],[pre_res]]*Grandview_Inventory[[#This Row],[overall_adj]])</f>
        <v>217118.56444778718</v>
      </c>
      <c r="BZ1671" s="6">
        <f>(Grandview_Inventory[[#This Row],[sum_land]]-IF(Grandview_Inventory[[#This Row],[no_utilities]]=1,12000,0))/IF(Grandview_Inventory[[#This Row],[unbuildable]]=1,2,1)</f>
        <v>49167.631333630678</v>
      </c>
      <c r="CA167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671">
        <f>ROUND(Grandview_Inventory[[#This Row],[det_value]]*Lookups!$M$28,-2)</f>
        <v>0</v>
      </c>
      <c r="CC1671">
        <f>IF(ROUND(Grandview_Inventory[[#This Row],[adj_res]]*Lookups!$M$28,-2)&lt;Grandview_Inventory[[#This Row],[min_res]],Grandview_Inventory[[#This Row],[min_res]],ROUND(Grandview_Inventory[[#This Row],[adj_res]]*Lookups!$M$28,-2))</f>
        <v>206300</v>
      </c>
      <c r="CD1671">
        <f>Grandview_Inventory[[#This Row],[final_det]]+Grandview_Inventory[[#This Row],[final_res]]</f>
        <v>206300</v>
      </c>
      <c r="CE1671">
        <f>Grandview_Inventory[[#This Row],[final_land]]+Grandview_Inventory[[#This Row],[final_imp]]+Grandview_Inventory[[#This Row],[crop_value]]</f>
        <v>253000</v>
      </c>
      <c r="CG1671" t="str">
        <f t="shared" si="26"/>
        <v>update valuation set market_land =46700, market_bldg=206300, market_total =253000, market_mdno =401, market_date ='9/10/2023' where link_id = (select link_id from parcel where parcel_year = '2024' and parcel_id = '23092332415');</v>
      </c>
    </row>
    <row r="1672" spans="1:85" x14ac:dyDescent="0.25">
      <c r="A1672">
        <v>23092332416</v>
      </c>
      <c r="B1672">
        <v>0.21</v>
      </c>
      <c r="C1672">
        <v>9324</v>
      </c>
      <c r="D1672" t="s">
        <v>129</v>
      </c>
      <c r="E1672" t="s">
        <v>53</v>
      </c>
      <c r="F1672" t="s">
        <v>53</v>
      </c>
      <c r="G1672">
        <v>4</v>
      </c>
      <c r="H1672" t="s">
        <v>54</v>
      </c>
      <c r="I1672">
        <v>103600</v>
      </c>
      <c r="J1672">
        <v>39500</v>
      </c>
      <c r="K1672">
        <v>0.21</v>
      </c>
      <c r="L167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72">
        <v>0</v>
      </c>
      <c r="N1672">
        <v>0</v>
      </c>
      <c r="O1672">
        <v>0</v>
      </c>
      <c r="P1672">
        <v>13398.7528</v>
      </c>
      <c r="Q1672">
        <v>63903</v>
      </c>
      <c r="R1672">
        <f>(Grandview_Inventory[[#This Row],[ln_acres]]*Grandview_Inventory[[#This Row],[coeff]])+Grandview_Inventory[[#This Row],[const]]</f>
        <v>42992.266613125081</v>
      </c>
      <c r="S1672" t="s">
        <v>68</v>
      </c>
      <c r="T1672">
        <v>1</v>
      </c>
      <c r="U1672" t="s">
        <v>70</v>
      </c>
      <c r="V1672" t="s">
        <v>78</v>
      </c>
      <c r="W1672">
        <v>0</v>
      </c>
      <c r="X1672">
        <v>0</v>
      </c>
      <c r="Y1672">
        <v>51</v>
      </c>
      <c r="Z1672">
        <v>83</v>
      </c>
      <c r="AA1672">
        <v>90</v>
      </c>
      <c r="AB1672">
        <v>1500</v>
      </c>
      <c r="AC1672">
        <v>1080</v>
      </c>
      <c r="AD1672">
        <v>1080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8</v>
      </c>
      <c r="AQ1672">
        <v>0</v>
      </c>
      <c r="AR1672">
        <v>0</v>
      </c>
      <c r="AS1672" t="s">
        <v>58</v>
      </c>
      <c r="AT1672">
        <v>1</v>
      </c>
      <c r="AU1672" t="s">
        <v>75</v>
      </c>
      <c r="AV1672" t="s">
        <v>60</v>
      </c>
      <c r="AW1672">
        <v>0</v>
      </c>
      <c r="AX1672">
        <v>3</v>
      </c>
      <c r="AY1672">
        <v>0</v>
      </c>
      <c r="AZ1672">
        <v>0</v>
      </c>
      <c r="BA1672">
        <v>100</v>
      </c>
      <c r="BB1672">
        <v>100</v>
      </c>
      <c r="BC1672">
        <v>100</v>
      </c>
      <c r="BD1672">
        <v>100</v>
      </c>
      <c r="BE1672">
        <v>1</v>
      </c>
      <c r="BF1672">
        <v>15000</v>
      </c>
      <c r="BG1672">
        <v>1000</v>
      </c>
      <c r="BH1672" s="6">
        <f>Grandview_Inventory[[#This Row],[land_extract]]*Lookups!$B$3</f>
        <v>49926.8031387023</v>
      </c>
      <c r="BI1672" s="6">
        <f>IF(Grandview_Inventory[[#This Row],[bldg_style]]="",0,Lookups!$B$2)</f>
        <v>155833.95000000001</v>
      </c>
      <c r="BJ1672" s="6">
        <f>_xlfn.IFNA(VLOOKUP(Grandview_Inventory[[#This Row],[quality]],Lookups!$H$2:$J$14,3,FALSE),0)</f>
        <v>10733</v>
      </c>
      <c r="BK1672" s="6">
        <f>_xlfn.IFNA(VLOOKUP(Grandview_Inventory[[#This Row],[condition]],Lookups!$H$17:$J$24,3,FALSE),0)</f>
        <v>-45357</v>
      </c>
      <c r="BL1672" s="6">
        <f>Grandview_Inventory[[#This Row],[Eff_Age]]*Lookups!$B$14</f>
        <v>-12197.496599999999</v>
      </c>
      <c r="BM1672" s="6">
        <f>Grandview_Inventory[[#This Row],[living_area]]*Lookups!$B$15</f>
        <v>67371.321240000005</v>
      </c>
      <c r="BN1672" s="6">
        <f>Grandview_Inventory[[#This Row],[Fin BSMT]]*Lookups!$B$16</f>
        <v>0</v>
      </c>
      <c r="BO1672" s="6">
        <f>(Grandview_Inventory[[#This Row],[att_gar]]+Grandview_Inventory[[#This Row],[bltin_gar]])*Lookups!$B$17</f>
        <v>0</v>
      </c>
      <c r="BP1672" s="6">
        <f>Grandview_Inventory[[#This Row],[Plumbing Fixtures]]*Lookups!$B$18</f>
        <v>16083.5344</v>
      </c>
      <c r="BQ1672" s="6">
        <f>Grandview_Inventory[[#This Row],[detatched_value]]*Lookups!$B$19</f>
        <v>0</v>
      </c>
      <c r="BR1672" s="6">
        <f>SUM(Grandview_Inventory[[#This Row],[Intercept]:[det_value]])*Grandview_Inventory[[#This Row],[res_pct]]</f>
        <v>192467.30904000002</v>
      </c>
      <c r="BS1672" s="6">
        <f>Grandview_Inventory[[#This Row],[land_value]]</f>
        <v>49926.8031387023</v>
      </c>
      <c r="BT1672" s="4">
        <f>_xlfn.IFNA(VLOOKUP(Grandview_Inventory[[#This Row],[quality]],Lookups!$A$26:$C$33,3,FALSE),1)</f>
        <v>0.98079741117310582</v>
      </c>
      <c r="BU1672" s="4">
        <f>_xlfn.IFNA(VLOOKUP(Grandview_Inventory[[#This Row],[condition]],Lookups!$A$37:$C$44,3,FALSE),1)</f>
        <v>0.97161819570155394</v>
      </c>
      <c r="BV1672" s="4">
        <f>IF(Grandview_Inventory[[#This Row],[bldg_style]]="",1,_xlfn.IFNA(VLOOKUP(Grandview_Inventory[[#This Row],[decade]],Lookups!$F$29:$H$43,3,FALSE),1))</f>
        <v>0.94161750052457416</v>
      </c>
      <c r="BW1672" s="4">
        <f>_xlfn.IFNA(VLOOKUP(Grandview_Inventory[[#This Row],[living_area_range]],Lookups!$F$47:$H$56,3,FALSE),1)</f>
        <v>0.96135087979789358</v>
      </c>
      <c r="BX1672" s="4">
        <f>AVERAGE(Grandview_Inventory[[#This Row],[qual_adj]:[size_adj]])</f>
        <v>0.96384599679928185</v>
      </c>
      <c r="BY1672" s="6">
        <f>IF(Grandview_Inventory[[#This Row],[pre_res]]&lt;0,0,Grandview_Inventory[[#This Row],[pre_res]]*Grandview_Inventory[[#This Row],[overall_adj]])</f>
        <v>185508.84533293426</v>
      </c>
      <c r="BZ1672" s="6">
        <f>(Grandview_Inventory[[#This Row],[sum_land]]-IF(Grandview_Inventory[[#This Row],[no_utilities]]=1,12000,0))/IF(Grandview_Inventory[[#This Row],[unbuildable]]=1,2,1)</f>
        <v>49926.8031387023</v>
      </c>
      <c r="CA167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72">
        <f>ROUND(Grandview_Inventory[[#This Row],[det_value]]*Lookups!$M$28,-2)</f>
        <v>0</v>
      </c>
      <c r="CC1672">
        <f>IF(ROUND(Grandview_Inventory[[#This Row],[adj_res]]*Lookups!$M$28,-2)&lt;Grandview_Inventory[[#This Row],[min_res]],Grandview_Inventory[[#This Row],[min_res]],ROUND(Grandview_Inventory[[#This Row],[adj_res]]*Lookups!$M$28,-2))</f>
        <v>176200</v>
      </c>
      <c r="CD1672">
        <f>Grandview_Inventory[[#This Row],[final_det]]+Grandview_Inventory[[#This Row],[final_res]]</f>
        <v>176200</v>
      </c>
      <c r="CE1672">
        <f>Grandview_Inventory[[#This Row],[final_land]]+Grandview_Inventory[[#This Row],[final_imp]]+Grandview_Inventory[[#This Row],[crop_value]]</f>
        <v>223600</v>
      </c>
      <c r="CG1672" t="str">
        <f t="shared" si="26"/>
        <v>update valuation set market_land =47400, market_bldg=176200, market_total =223600, market_mdno =401, market_date ='9/10/2023' where link_id = (select link_id from parcel where parcel_year = '2024' and parcel_id = '23092332416');</v>
      </c>
    </row>
    <row r="1673" spans="1:85" x14ac:dyDescent="0.25">
      <c r="A1673">
        <v>23092332417</v>
      </c>
      <c r="B1673">
        <v>0.22</v>
      </c>
      <c r="C1673">
        <v>9569</v>
      </c>
      <c r="D1673" t="s">
        <v>129</v>
      </c>
      <c r="E1673" t="s">
        <v>53</v>
      </c>
      <c r="F1673" t="s">
        <v>53</v>
      </c>
      <c r="G1673">
        <v>4</v>
      </c>
      <c r="H1673" t="s">
        <v>54</v>
      </c>
      <c r="I1673">
        <v>115100</v>
      </c>
      <c r="J1673">
        <v>39500</v>
      </c>
      <c r="K1673">
        <v>0.22</v>
      </c>
      <c r="L167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73">
        <v>0</v>
      </c>
      <c r="N1673">
        <v>0</v>
      </c>
      <c r="O1673">
        <v>0</v>
      </c>
      <c r="P1673">
        <v>13398.7528</v>
      </c>
      <c r="Q1673">
        <v>63903</v>
      </c>
      <c r="R1673">
        <f>(Grandview_Inventory[[#This Row],[ln_acres]]*Grandview_Inventory[[#This Row],[coeff]])+Grandview_Inventory[[#This Row],[const]]</f>
        <v>43615.576802869145</v>
      </c>
      <c r="S1673" t="s">
        <v>68</v>
      </c>
      <c r="T1673">
        <v>1</v>
      </c>
      <c r="U1673" t="s">
        <v>80</v>
      </c>
      <c r="V1673" t="s">
        <v>78</v>
      </c>
      <c r="W1673">
        <v>0</v>
      </c>
      <c r="X1673">
        <v>0</v>
      </c>
      <c r="Y1673">
        <v>52</v>
      </c>
      <c r="Z1673">
        <v>85</v>
      </c>
      <c r="AA1673">
        <v>90</v>
      </c>
      <c r="AB1673">
        <v>2000</v>
      </c>
      <c r="AC1673">
        <v>1610</v>
      </c>
      <c r="AD1673">
        <v>970</v>
      </c>
      <c r="AE1673">
        <v>0</v>
      </c>
      <c r="AF1673">
        <v>0</v>
      </c>
      <c r="AG1673">
        <v>640</v>
      </c>
      <c r="AH1673">
        <v>0</v>
      </c>
      <c r="AI1673">
        <v>520</v>
      </c>
      <c r="AJ1673">
        <v>0</v>
      </c>
      <c r="AK1673">
        <v>0</v>
      </c>
      <c r="AL1673">
        <v>0</v>
      </c>
      <c r="AM1673">
        <v>171</v>
      </c>
      <c r="AN1673">
        <v>0</v>
      </c>
      <c r="AO1673">
        <v>48</v>
      </c>
      <c r="AP1673">
        <v>5</v>
      </c>
      <c r="AQ1673">
        <v>0</v>
      </c>
      <c r="AR1673">
        <v>0</v>
      </c>
      <c r="AS1673" t="s">
        <v>58</v>
      </c>
      <c r="AT1673">
        <v>1</v>
      </c>
      <c r="AU1673" t="s">
        <v>75</v>
      </c>
      <c r="AV1673" t="s">
        <v>60</v>
      </c>
      <c r="AW1673">
        <v>0</v>
      </c>
      <c r="AX1673">
        <v>3</v>
      </c>
      <c r="AY1673">
        <v>0</v>
      </c>
      <c r="AZ1673">
        <v>0</v>
      </c>
      <c r="BA1673">
        <v>100</v>
      </c>
      <c r="BB1673">
        <v>100</v>
      </c>
      <c r="BC1673">
        <v>100</v>
      </c>
      <c r="BD1673">
        <v>100</v>
      </c>
      <c r="BE1673">
        <v>1</v>
      </c>
      <c r="BF1673">
        <v>15000</v>
      </c>
      <c r="BG1673">
        <v>1000</v>
      </c>
      <c r="BH1673" s="6">
        <f>Grandview_Inventory[[#This Row],[land_extract]]*Lookups!$B$3</f>
        <v>50650.651579114572</v>
      </c>
      <c r="BI1673" s="6">
        <f>IF(Grandview_Inventory[[#This Row],[bldg_style]]="",0,Lookups!$B$2)</f>
        <v>155833.95000000001</v>
      </c>
      <c r="BJ1673" s="6">
        <f>_xlfn.IFNA(VLOOKUP(Grandview_Inventory[[#This Row],[quality]],Lookups!$H$2:$J$14,3,FALSE),0)</f>
        <v>-28558</v>
      </c>
      <c r="BK1673" s="6">
        <f>_xlfn.IFNA(VLOOKUP(Grandview_Inventory[[#This Row],[condition]],Lookups!$H$17:$J$24,3,FALSE),0)</f>
        <v>-45357</v>
      </c>
      <c r="BL1673" s="6">
        <f>Grandview_Inventory[[#This Row],[Eff_Age]]*Lookups!$B$14</f>
        <v>-12436.663199999999</v>
      </c>
      <c r="BM1673" s="6">
        <f>Grandview_Inventory[[#This Row],[living_area]]*Lookups!$B$15</f>
        <v>100433.17333000001</v>
      </c>
      <c r="BN1673" s="6">
        <f>Grandview_Inventory[[#This Row],[Fin BSMT]]*Lookups!$B$16</f>
        <v>-17343.513600000002</v>
      </c>
      <c r="BO1673" s="6">
        <f>(Grandview_Inventory[[#This Row],[att_gar]]+Grandview_Inventory[[#This Row],[bltin_gar]])*Lookups!$B$17</f>
        <v>45510.627240000002</v>
      </c>
      <c r="BP1673" s="6">
        <f>Grandview_Inventory[[#This Row],[Plumbing Fixtures]]*Lookups!$B$18</f>
        <v>10052.209000000001</v>
      </c>
      <c r="BQ1673" s="6">
        <f>Grandview_Inventory[[#This Row],[detatched_value]]*Lookups!$B$19</f>
        <v>0</v>
      </c>
      <c r="BR1673" s="6">
        <f>SUM(Grandview_Inventory[[#This Row],[Intercept]:[det_value]])*Grandview_Inventory[[#This Row],[res_pct]]</f>
        <v>208134.78277000002</v>
      </c>
      <c r="BS1673" s="6">
        <f>Grandview_Inventory[[#This Row],[land_value]]</f>
        <v>50650.651579114572</v>
      </c>
      <c r="BT1673" s="4">
        <f>_xlfn.IFNA(VLOOKUP(Grandview_Inventory[[#This Row],[quality]],Lookups!$A$26:$C$33,3,FALSE),1)</f>
        <v>0.9690360070159818</v>
      </c>
      <c r="BU1673" s="4">
        <f>_xlfn.IFNA(VLOOKUP(Grandview_Inventory[[#This Row],[condition]],Lookups!$A$37:$C$44,3,FALSE),1)</f>
        <v>0.97161819570155394</v>
      </c>
      <c r="BV1673" s="4">
        <f>IF(Grandview_Inventory[[#This Row],[bldg_style]]="",1,_xlfn.IFNA(VLOOKUP(Grandview_Inventory[[#This Row],[decade]],Lookups!$F$29:$H$43,3,FALSE),1))</f>
        <v>0.94161750052457416</v>
      </c>
      <c r="BW1673" s="4">
        <f>_xlfn.IFNA(VLOOKUP(Grandview_Inventory[[#This Row],[living_area_range]],Lookups!$F$47:$H$56,3,FALSE),1)</f>
        <v>0.96120133463014379</v>
      </c>
      <c r="BX1673" s="4">
        <f>AVERAGE(Grandview_Inventory[[#This Row],[qual_adj]:[size_adj]])</f>
        <v>0.96086825946806353</v>
      </c>
      <c r="BY1673" s="6">
        <f>IF(Grandview_Inventory[[#This Row],[pre_res]]&lt;0,0,Grandview_Inventory[[#This Row],[pre_res]]*Grandview_Inventory[[#This Row],[overall_adj]])</f>
        <v>199990.10645497343</v>
      </c>
      <c r="BZ1673" s="6">
        <f>(Grandview_Inventory[[#This Row],[sum_land]]-IF(Grandview_Inventory[[#This Row],[no_utilities]]=1,12000,0))/IF(Grandview_Inventory[[#This Row],[unbuildable]]=1,2,1)</f>
        <v>50650.651579114572</v>
      </c>
      <c r="CA167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73">
        <f>ROUND(Grandview_Inventory[[#This Row],[det_value]]*Lookups!$M$28,-2)</f>
        <v>0</v>
      </c>
      <c r="CC1673">
        <f>IF(ROUND(Grandview_Inventory[[#This Row],[adj_res]]*Lookups!$M$28,-2)&lt;Grandview_Inventory[[#This Row],[min_res]],Grandview_Inventory[[#This Row],[min_res]],ROUND(Grandview_Inventory[[#This Row],[adj_res]]*Lookups!$M$28,-2))</f>
        <v>190000</v>
      </c>
      <c r="CD1673">
        <f>Grandview_Inventory[[#This Row],[final_det]]+Grandview_Inventory[[#This Row],[final_res]]</f>
        <v>190000</v>
      </c>
      <c r="CE1673">
        <f>Grandview_Inventory[[#This Row],[final_land]]+Grandview_Inventory[[#This Row],[final_imp]]+Grandview_Inventory[[#This Row],[crop_value]]</f>
        <v>238100</v>
      </c>
      <c r="CG1673" t="str">
        <f t="shared" si="26"/>
        <v>update valuation set market_land =48100, market_bldg=190000, market_total =238100, market_mdno =401, market_date ='9/10/2023' where link_id = (select link_id from parcel where parcel_year = '2024' and parcel_id = '23092332417');</v>
      </c>
    </row>
    <row r="1674" spans="1:85" x14ac:dyDescent="0.25">
      <c r="A1674">
        <v>23092332418</v>
      </c>
      <c r="B1674">
        <v>0.21</v>
      </c>
      <c r="C1674">
        <v>9130</v>
      </c>
      <c r="D1674" t="s">
        <v>129</v>
      </c>
      <c r="E1674" t="s">
        <v>53</v>
      </c>
      <c r="F1674" t="s">
        <v>53</v>
      </c>
      <c r="G1674">
        <v>4</v>
      </c>
      <c r="H1674" t="s">
        <v>54</v>
      </c>
      <c r="I1674">
        <v>154600</v>
      </c>
      <c r="J1674">
        <v>39300</v>
      </c>
      <c r="K1674">
        <v>0.21</v>
      </c>
      <c r="L167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74">
        <v>0</v>
      </c>
      <c r="N1674">
        <v>0</v>
      </c>
      <c r="O1674">
        <v>0</v>
      </c>
      <c r="P1674">
        <v>13398.7528</v>
      </c>
      <c r="Q1674">
        <v>63903</v>
      </c>
      <c r="R1674">
        <f>(Grandview_Inventory[[#This Row],[ln_acres]]*Grandview_Inventory[[#This Row],[coeff]])+Grandview_Inventory[[#This Row],[const]]</f>
        <v>42992.266613125081</v>
      </c>
      <c r="S1674" t="s">
        <v>68</v>
      </c>
      <c r="T1674">
        <v>1</v>
      </c>
      <c r="U1674" t="s">
        <v>70</v>
      </c>
      <c r="V1674" t="s">
        <v>67</v>
      </c>
      <c r="W1674">
        <v>0</v>
      </c>
      <c r="X1674">
        <v>0</v>
      </c>
      <c r="Y1674">
        <v>55</v>
      </c>
      <c r="Z1674">
        <v>98</v>
      </c>
      <c r="AA1674">
        <v>100</v>
      </c>
      <c r="AB1674">
        <v>2000</v>
      </c>
      <c r="AC1674">
        <v>1680</v>
      </c>
      <c r="AD1674">
        <v>840</v>
      </c>
      <c r="AE1674">
        <v>0</v>
      </c>
      <c r="AF1674">
        <v>0</v>
      </c>
      <c r="AG1674">
        <v>840</v>
      </c>
      <c r="AH1674">
        <v>0</v>
      </c>
      <c r="AI1674">
        <v>0</v>
      </c>
      <c r="AJ1674">
        <v>0</v>
      </c>
      <c r="AK1674">
        <v>0</v>
      </c>
      <c r="AL1674">
        <v>99</v>
      </c>
      <c r="AM1674">
        <v>0</v>
      </c>
      <c r="AN1674">
        <v>84</v>
      </c>
      <c r="AO1674">
        <v>99</v>
      </c>
      <c r="AP1674">
        <v>5</v>
      </c>
      <c r="AQ1674">
        <v>0</v>
      </c>
      <c r="AR1674">
        <v>0</v>
      </c>
      <c r="AS1674" t="s">
        <v>58</v>
      </c>
      <c r="AT1674">
        <v>0</v>
      </c>
      <c r="AU1674" t="s">
        <v>82</v>
      </c>
      <c r="AV1674" t="s">
        <v>64</v>
      </c>
      <c r="AW1674">
        <v>0</v>
      </c>
      <c r="AX1674">
        <v>3</v>
      </c>
      <c r="AY1674">
        <v>0</v>
      </c>
      <c r="AZ1674">
        <v>900</v>
      </c>
      <c r="BA1674">
        <v>100</v>
      </c>
      <c r="BB1674">
        <v>100</v>
      </c>
      <c r="BC1674">
        <v>100</v>
      </c>
      <c r="BD1674">
        <v>100</v>
      </c>
      <c r="BE1674">
        <v>1</v>
      </c>
      <c r="BF1674">
        <v>15000</v>
      </c>
      <c r="BG1674">
        <v>1000</v>
      </c>
      <c r="BH1674" s="6">
        <f>Grandview_Inventory[[#This Row],[land_extract]]*Lookups!$B$3</f>
        <v>49926.8031387023</v>
      </c>
      <c r="BI1674" s="6">
        <f>IF(Grandview_Inventory[[#This Row],[bldg_style]]="",0,Lookups!$B$2)</f>
        <v>155833.95000000001</v>
      </c>
      <c r="BJ1674" s="6">
        <f>_xlfn.IFNA(VLOOKUP(Grandview_Inventory[[#This Row],[quality]],Lookups!$H$2:$J$14,3,FALSE),0)</f>
        <v>10733</v>
      </c>
      <c r="BK1674" s="6">
        <f>_xlfn.IFNA(VLOOKUP(Grandview_Inventory[[#This Row],[condition]],Lookups!$H$17:$J$24,3,FALSE),0)</f>
        <v>22342</v>
      </c>
      <c r="BL1674" s="6">
        <f>Grandview_Inventory[[#This Row],[Eff_Age]]*Lookups!$B$14</f>
        <v>-13154.162999999999</v>
      </c>
      <c r="BM1674" s="6">
        <f>Grandview_Inventory[[#This Row],[living_area]]*Lookups!$B$15</f>
        <v>104799.83304</v>
      </c>
      <c r="BN1674" s="6">
        <f>Grandview_Inventory[[#This Row],[Fin BSMT]]*Lookups!$B$16</f>
        <v>-22763.3616</v>
      </c>
      <c r="BO1674" s="6">
        <f>(Grandview_Inventory[[#This Row],[att_gar]]+Grandview_Inventory[[#This Row],[bltin_gar]])*Lookups!$B$17</f>
        <v>0</v>
      </c>
      <c r="BP1674" s="6">
        <f>Grandview_Inventory[[#This Row],[Plumbing Fixtures]]*Lookups!$B$18</f>
        <v>10052.209000000001</v>
      </c>
      <c r="BQ1674" s="6">
        <f>Grandview_Inventory[[#This Row],[detatched_value]]*Lookups!$B$19</f>
        <v>762.12459000000001</v>
      </c>
      <c r="BR1674" s="6">
        <f>SUM(Grandview_Inventory[[#This Row],[Intercept]:[det_value]])*Grandview_Inventory[[#This Row],[res_pct]]</f>
        <v>268605.59203</v>
      </c>
      <c r="BS1674" s="6">
        <f>Grandview_Inventory[[#This Row],[land_value]]</f>
        <v>49926.8031387023</v>
      </c>
      <c r="BT1674" s="4">
        <f>_xlfn.IFNA(VLOOKUP(Grandview_Inventory[[#This Row],[quality]],Lookups!$A$26:$C$33,3,FALSE),1)</f>
        <v>0.98079741117310582</v>
      </c>
      <c r="BU1674" s="4">
        <f>_xlfn.IFNA(VLOOKUP(Grandview_Inventory[[#This Row],[condition]],Lookups!$A$37:$C$44,3,FALSE),1)</f>
        <v>0.97383723671140243</v>
      </c>
      <c r="BV1674" s="4">
        <f>IF(Grandview_Inventory[[#This Row],[bldg_style]]="",1,_xlfn.IFNA(VLOOKUP(Grandview_Inventory[[#This Row],[decade]],Lookups!$F$29:$H$43,3,FALSE),1))</f>
        <v>0.95244691841736806</v>
      </c>
      <c r="BW1674" s="4">
        <f>_xlfn.IFNA(VLOOKUP(Grandview_Inventory[[#This Row],[living_area_range]],Lookups!$F$47:$H$56,3,FALSE),1)</f>
        <v>0.96120133463014379</v>
      </c>
      <c r="BX1674" s="4">
        <f>AVERAGE(Grandview_Inventory[[#This Row],[qual_adj]:[size_adj]])</f>
        <v>0.96707072523300508</v>
      </c>
      <c r="BY1674" s="6">
        <f>IF(Grandview_Inventory[[#This Row],[pre_res]]&lt;0,0,Grandview_Inventory[[#This Row],[pre_res]]*Grandview_Inventory[[#This Row],[overall_adj]])</f>
        <v>259760.60468609279</v>
      </c>
      <c r="BZ1674" s="6">
        <f>(Grandview_Inventory[[#This Row],[sum_land]]-IF(Grandview_Inventory[[#This Row],[no_utilities]]=1,12000,0))/IF(Grandview_Inventory[[#This Row],[unbuildable]]=1,2,1)</f>
        <v>49926.8031387023</v>
      </c>
      <c r="CA167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74">
        <f>ROUND(Grandview_Inventory[[#This Row],[det_value]]*Lookups!$M$28,-2)</f>
        <v>700</v>
      </c>
      <c r="CC1674">
        <f>IF(ROUND(Grandview_Inventory[[#This Row],[adj_res]]*Lookups!$M$28,-2)&lt;Grandview_Inventory[[#This Row],[min_res]],Grandview_Inventory[[#This Row],[min_res]],ROUND(Grandview_Inventory[[#This Row],[adj_res]]*Lookups!$M$28,-2))</f>
        <v>246800</v>
      </c>
      <c r="CD1674">
        <f>Grandview_Inventory[[#This Row],[final_det]]+Grandview_Inventory[[#This Row],[final_res]]</f>
        <v>247500</v>
      </c>
      <c r="CE1674">
        <f>Grandview_Inventory[[#This Row],[final_land]]+Grandview_Inventory[[#This Row],[final_imp]]+Grandview_Inventory[[#This Row],[crop_value]]</f>
        <v>294900</v>
      </c>
      <c r="CG1674" t="str">
        <f t="shared" si="26"/>
        <v>update valuation set market_land =47400, market_bldg=247500, market_total =294900, market_mdno =401, market_date ='9/10/2023' where link_id = (select link_id from parcel where parcel_year = '2024' and parcel_id = '23092332418');</v>
      </c>
    </row>
    <row r="1675" spans="1:85" x14ac:dyDescent="0.25">
      <c r="A1675">
        <v>23092332419</v>
      </c>
      <c r="B1675">
        <v>0.25</v>
      </c>
      <c r="C1675">
        <v>10251</v>
      </c>
      <c r="D1675" t="s">
        <v>129</v>
      </c>
      <c r="E1675" t="s">
        <v>53</v>
      </c>
      <c r="F1675" t="s">
        <v>53</v>
      </c>
      <c r="G1675">
        <v>4</v>
      </c>
      <c r="H1675" t="s">
        <v>54</v>
      </c>
      <c r="I1675">
        <v>145900</v>
      </c>
      <c r="J1675">
        <v>37700</v>
      </c>
      <c r="K1675">
        <v>0.25</v>
      </c>
      <c r="L167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675">
        <v>0</v>
      </c>
      <c r="N1675">
        <v>0</v>
      </c>
      <c r="O1675">
        <v>0</v>
      </c>
      <c r="P1675">
        <v>13398.7528</v>
      </c>
      <c r="Q1675">
        <v>63903</v>
      </c>
      <c r="R1675">
        <f>(Grandview_Inventory[[#This Row],[ln_acres]]*Grandview_Inventory[[#This Row],[coeff]])+Grandview_Inventory[[#This Row],[const]]</f>
        <v>45328.38454732066</v>
      </c>
      <c r="S1675" t="s">
        <v>68</v>
      </c>
      <c r="T1675">
        <v>1</v>
      </c>
      <c r="U1675" t="s">
        <v>70</v>
      </c>
      <c r="V1675" t="s">
        <v>67</v>
      </c>
      <c r="W1675">
        <v>0</v>
      </c>
      <c r="X1675">
        <v>0</v>
      </c>
      <c r="Y1675">
        <v>51</v>
      </c>
      <c r="Z1675">
        <v>83</v>
      </c>
      <c r="AA1675">
        <v>90</v>
      </c>
      <c r="AB1675">
        <v>1000</v>
      </c>
      <c r="AC1675">
        <v>803</v>
      </c>
      <c r="AD1675">
        <v>803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5</v>
      </c>
      <c r="AQ1675">
        <v>0</v>
      </c>
      <c r="AR1675">
        <v>0</v>
      </c>
      <c r="AS1675" t="s">
        <v>58</v>
      </c>
      <c r="AT1675">
        <v>1</v>
      </c>
      <c r="AU1675" t="s">
        <v>75</v>
      </c>
      <c r="AV1675" t="s">
        <v>60</v>
      </c>
      <c r="AW1675">
        <v>0</v>
      </c>
      <c r="AX1675">
        <v>2</v>
      </c>
      <c r="AY1675">
        <v>0</v>
      </c>
      <c r="AZ1675">
        <v>2300</v>
      </c>
      <c r="BA1675">
        <v>100</v>
      </c>
      <c r="BB1675">
        <v>100</v>
      </c>
      <c r="BC1675">
        <v>100</v>
      </c>
      <c r="BD1675">
        <v>100</v>
      </c>
      <c r="BE1675">
        <v>1</v>
      </c>
      <c r="BF1675">
        <v>15000</v>
      </c>
      <c r="BG1675">
        <v>1000</v>
      </c>
      <c r="BH1675" s="6">
        <f>Grandview_Inventory[[#This Row],[land_extract]]*Lookups!$B$3</f>
        <v>52639.730588165206</v>
      </c>
      <c r="BI1675" s="6">
        <f>IF(Grandview_Inventory[[#This Row],[bldg_style]]="",0,Lookups!$B$2)</f>
        <v>155833.95000000001</v>
      </c>
      <c r="BJ1675" s="6">
        <f>_xlfn.IFNA(VLOOKUP(Grandview_Inventory[[#This Row],[quality]],Lookups!$H$2:$J$14,3,FALSE),0)</f>
        <v>10733</v>
      </c>
      <c r="BK1675" s="6">
        <f>_xlfn.IFNA(VLOOKUP(Grandview_Inventory[[#This Row],[condition]],Lookups!$H$17:$J$24,3,FALSE),0)</f>
        <v>22342</v>
      </c>
      <c r="BL1675" s="6">
        <f>Grandview_Inventory[[#This Row],[Eff_Age]]*Lookups!$B$14</f>
        <v>-12197.496599999999</v>
      </c>
      <c r="BM1675" s="6">
        <f>Grandview_Inventory[[#This Row],[living_area]]*Lookups!$B$15</f>
        <v>50091.824959000005</v>
      </c>
      <c r="BN1675" s="6">
        <f>Grandview_Inventory[[#This Row],[Fin BSMT]]*Lookups!$B$16</f>
        <v>0</v>
      </c>
      <c r="BO1675" s="6">
        <f>(Grandview_Inventory[[#This Row],[att_gar]]+Grandview_Inventory[[#This Row],[bltin_gar]])*Lookups!$B$17</f>
        <v>0</v>
      </c>
      <c r="BP1675" s="6">
        <f>Grandview_Inventory[[#This Row],[Plumbing Fixtures]]*Lookups!$B$18</f>
        <v>10052.209000000001</v>
      </c>
      <c r="BQ1675" s="6">
        <f>Grandview_Inventory[[#This Row],[detatched_value]]*Lookups!$B$19</f>
        <v>1947.65173</v>
      </c>
      <c r="BR1675" s="6">
        <f>SUM(Grandview_Inventory[[#This Row],[Intercept]:[det_value]])*Grandview_Inventory[[#This Row],[res_pct]]</f>
        <v>238803.139089</v>
      </c>
      <c r="BS1675" s="6">
        <f>Grandview_Inventory[[#This Row],[land_value]]</f>
        <v>52639.730588165206</v>
      </c>
      <c r="BT1675" s="4">
        <f>_xlfn.IFNA(VLOOKUP(Grandview_Inventory[[#This Row],[quality]],Lookups!$A$26:$C$33,3,FALSE),1)</f>
        <v>0.98079741117310582</v>
      </c>
      <c r="BU1675" s="4">
        <f>_xlfn.IFNA(VLOOKUP(Grandview_Inventory[[#This Row],[condition]],Lookups!$A$37:$C$44,3,FALSE),1)</f>
        <v>0.97383723671140243</v>
      </c>
      <c r="BV1675" s="4">
        <f>IF(Grandview_Inventory[[#This Row],[bldg_style]]="",1,_xlfn.IFNA(VLOOKUP(Grandview_Inventory[[#This Row],[decade]],Lookups!$F$29:$H$43,3,FALSE),1))</f>
        <v>0.94161750052457416</v>
      </c>
      <c r="BW1675" s="4">
        <f>_xlfn.IFNA(VLOOKUP(Grandview_Inventory[[#This Row],[living_area_range]],Lookups!$F$47:$H$56,3,FALSE),1)</f>
        <v>0.94306777142782894</v>
      </c>
      <c r="BX1675" s="4">
        <f>AVERAGE(Grandview_Inventory[[#This Row],[qual_adj]:[size_adj]])</f>
        <v>0.95982997995922781</v>
      </c>
      <c r="BY1675" s="6">
        <f>IF(Grandview_Inventory[[#This Row],[pre_res]]&lt;0,0,Grandview_Inventory[[#This Row],[pre_res]]*Grandview_Inventory[[#This Row],[overall_adj]])</f>
        <v>229210.41220599556</v>
      </c>
      <c r="BZ1675" s="6">
        <f>(Grandview_Inventory[[#This Row],[sum_land]]-IF(Grandview_Inventory[[#This Row],[no_utilities]]=1,12000,0))/IF(Grandview_Inventory[[#This Row],[unbuildable]]=1,2,1)</f>
        <v>52639.730588165206</v>
      </c>
      <c r="CA167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675">
        <f>ROUND(Grandview_Inventory[[#This Row],[det_value]]*Lookups!$M$28,-2)</f>
        <v>1900</v>
      </c>
      <c r="CC1675">
        <f>IF(ROUND(Grandview_Inventory[[#This Row],[adj_res]]*Lookups!$M$28,-2)&lt;Grandview_Inventory[[#This Row],[min_res]],Grandview_Inventory[[#This Row],[min_res]],ROUND(Grandview_Inventory[[#This Row],[adj_res]]*Lookups!$M$28,-2))</f>
        <v>217700</v>
      </c>
      <c r="CD1675">
        <f>Grandview_Inventory[[#This Row],[final_det]]+Grandview_Inventory[[#This Row],[final_res]]</f>
        <v>219600</v>
      </c>
      <c r="CE1675">
        <f>Grandview_Inventory[[#This Row],[final_land]]+Grandview_Inventory[[#This Row],[final_imp]]+Grandview_Inventory[[#This Row],[crop_value]]</f>
        <v>269600</v>
      </c>
      <c r="CG1675" t="str">
        <f t="shared" si="26"/>
        <v>update valuation set market_land =50000, market_bldg=219600, market_total =269600, market_mdno =401, market_date ='9/10/2023' where link_id = (select link_id from parcel where parcel_year = '2024' and parcel_id = '23092332419');</v>
      </c>
    </row>
    <row r="1676" spans="1:85" x14ac:dyDescent="0.25">
      <c r="A1676">
        <v>23092332420</v>
      </c>
      <c r="B1676">
        <v>0.26</v>
      </c>
      <c r="C1676">
        <v>7349</v>
      </c>
      <c r="D1676" t="s">
        <v>129</v>
      </c>
      <c r="E1676" t="s">
        <v>53</v>
      </c>
      <c r="F1676" t="s">
        <v>53</v>
      </c>
      <c r="G1676">
        <v>4</v>
      </c>
      <c r="H1676" t="s">
        <v>54</v>
      </c>
      <c r="I1676">
        <v>180500</v>
      </c>
      <c r="J1676">
        <v>38800</v>
      </c>
      <c r="K1676">
        <v>0.26</v>
      </c>
      <c r="L167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676">
        <v>0</v>
      </c>
      <c r="N1676">
        <v>0</v>
      </c>
      <c r="O1676">
        <v>0</v>
      </c>
      <c r="P1676">
        <v>13398.7528</v>
      </c>
      <c r="Q1676">
        <v>63903</v>
      </c>
      <c r="R1676">
        <f>(Grandview_Inventory[[#This Row],[ln_acres]]*Grandview_Inventory[[#This Row],[coeff]])+Grandview_Inventory[[#This Row],[const]]</f>
        <v>45853.893187501177</v>
      </c>
      <c r="S1676" t="s">
        <v>55</v>
      </c>
      <c r="T1676">
        <v>2</v>
      </c>
      <c r="U1676" t="s">
        <v>65</v>
      </c>
      <c r="V1676" t="s">
        <v>69</v>
      </c>
      <c r="W1676">
        <v>0</v>
      </c>
      <c r="X1676">
        <v>0</v>
      </c>
      <c r="Y1676">
        <v>75</v>
      </c>
      <c r="Z1676">
        <v>123</v>
      </c>
      <c r="AA1676">
        <v>130</v>
      </c>
      <c r="AB1676">
        <v>2500</v>
      </c>
      <c r="AC1676">
        <v>2175</v>
      </c>
      <c r="AD1676">
        <v>772</v>
      </c>
      <c r="AE1676">
        <v>782</v>
      </c>
      <c r="AF1676">
        <v>0</v>
      </c>
      <c r="AG1676">
        <v>621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8</v>
      </c>
      <c r="AQ1676">
        <v>0</v>
      </c>
      <c r="AR1676">
        <v>0</v>
      </c>
      <c r="AS1676" t="s">
        <v>58</v>
      </c>
      <c r="AT1676">
        <v>1</v>
      </c>
      <c r="AU1676" t="s">
        <v>63</v>
      </c>
      <c r="AV1676" t="s">
        <v>60</v>
      </c>
      <c r="AW1676">
        <v>1</v>
      </c>
      <c r="AX1676">
        <v>4</v>
      </c>
      <c r="AY1676">
        <v>0</v>
      </c>
      <c r="AZ1676">
        <v>0</v>
      </c>
      <c r="BA1676">
        <v>100</v>
      </c>
      <c r="BB1676">
        <v>100</v>
      </c>
      <c r="BC1676">
        <v>100</v>
      </c>
      <c r="BD1676">
        <v>100</v>
      </c>
      <c r="BE1676">
        <v>1</v>
      </c>
      <c r="BF1676">
        <v>15000</v>
      </c>
      <c r="BG1676">
        <v>1000</v>
      </c>
      <c r="BH1676" s="6">
        <f>Grandview_Inventory[[#This Row],[land_extract]]*Lookups!$B$3</f>
        <v>53250.00235313351</v>
      </c>
      <c r="BI1676" s="6">
        <f>IF(Grandview_Inventory[[#This Row],[bldg_style]]="",0,Lookups!$B$2)</f>
        <v>155833.95000000001</v>
      </c>
      <c r="BJ1676" s="6">
        <f>_xlfn.IFNA(VLOOKUP(Grandview_Inventory[[#This Row],[quality]],Lookups!$H$2:$J$14,3,FALSE),0)</f>
        <v>2251</v>
      </c>
      <c r="BK1676" s="6">
        <f>_xlfn.IFNA(VLOOKUP(Grandview_Inventory[[#This Row],[condition]],Lookups!$H$17:$J$24,3,FALSE),0)</f>
        <v>-4503</v>
      </c>
      <c r="BL1676" s="6">
        <f>Grandview_Inventory[[#This Row],[Eff_Age]]*Lookups!$B$14</f>
        <v>-17937.494999999999</v>
      </c>
      <c r="BM1676" s="6">
        <f>Grandview_Inventory[[#This Row],[living_area]]*Lookups!$B$15</f>
        <v>135678.35527500001</v>
      </c>
      <c r="BN1676" s="6">
        <f>Grandview_Inventory[[#This Row],[Fin BSMT]]*Lookups!$B$16</f>
        <v>-16828.62804</v>
      </c>
      <c r="BO1676" s="6">
        <f>(Grandview_Inventory[[#This Row],[att_gar]]+Grandview_Inventory[[#This Row],[bltin_gar]])*Lookups!$B$17</f>
        <v>0</v>
      </c>
      <c r="BP1676" s="6">
        <f>Grandview_Inventory[[#This Row],[Plumbing Fixtures]]*Lookups!$B$18</f>
        <v>16083.5344</v>
      </c>
      <c r="BQ1676" s="6">
        <f>Grandview_Inventory[[#This Row],[detatched_value]]*Lookups!$B$19</f>
        <v>0</v>
      </c>
      <c r="BR1676" s="6">
        <f>SUM(Grandview_Inventory[[#This Row],[Intercept]:[det_value]])*Grandview_Inventory[[#This Row],[res_pct]]</f>
        <v>270577.71663500002</v>
      </c>
      <c r="BS1676" s="6">
        <f>Grandview_Inventory[[#This Row],[land_value]]</f>
        <v>53250.00235313351</v>
      </c>
      <c r="BT1676" s="4">
        <f>_xlfn.IFNA(VLOOKUP(Grandview_Inventory[[#This Row],[quality]],Lookups!$A$26:$C$33,3,FALSE),1)</f>
        <v>0.98763855981004833</v>
      </c>
      <c r="BU1676" s="4">
        <f>_xlfn.IFNA(VLOOKUP(Grandview_Inventory[[#This Row],[condition]],Lookups!$A$37:$C$44,3,FALSE),1)</f>
        <v>0.96469275950863709</v>
      </c>
      <c r="BV1676" s="4">
        <f>IF(Grandview_Inventory[[#This Row],[bldg_style]]="",1,_xlfn.IFNA(VLOOKUP(Grandview_Inventory[[#This Row],[decade]],Lookups!$F$29:$H$43,3,FALSE),1))</f>
        <v>0.9251738460551937</v>
      </c>
      <c r="BW1676" s="4">
        <f>_xlfn.IFNA(VLOOKUP(Grandview_Inventory[[#This Row],[living_area_range]],Lookups!$F$47:$H$56,3,FALSE),1)</f>
        <v>0.95799442568048754</v>
      </c>
      <c r="BX1676" s="4">
        <f>AVERAGE(Grandview_Inventory[[#This Row],[qual_adj]:[size_adj]])</f>
        <v>0.95887489776359169</v>
      </c>
      <c r="BY1676" s="6">
        <f>IF(Grandview_Inventory[[#This Row],[pre_res]]&lt;0,0,Grandview_Inventory[[#This Row],[pre_res]]*Grandview_Inventory[[#This Row],[overall_adj]])</f>
        <v>259450.18037549173</v>
      </c>
      <c r="BZ1676" s="6">
        <f>(Grandview_Inventory[[#This Row],[sum_land]]-IF(Grandview_Inventory[[#This Row],[no_utilities]]=1,12000,0))/IF(Grandview_Inventory[[#This Row],[unbuildable]]=1,2,1)</f>
        <v>53250.00235313351</v>
      </c>
      <c r="CA167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676">
        <f>ROUND(Grandview_Inventory[[#This Row],[det_value]]*Lookups!$M$28,-2)</f>
        <v>0</v>
      </c>
      <c r="CC1676">
        <f>IF(ROUND(Grandview_Inventory[[#This Row],[adj_res]]*Lookups!$M$28,-2)&lt;Grandview_Inventory[[#This Row],[min_res]],Grandview_Inventory[[#This Row],[min_res]],ROUND(Grandview_Inventory[[#This Row],[adj_res]]*Lookups!$M$28,-2))</f>
        <v>246500</v>
      </c>
      <c r="CD1676">
        <f>Grandview_Inventory[[#This Row],[final_det]]+Grandview_Inventory[[#This Row],[final_res]]</f>
        <v>246500</v>
      </c>
      <c r="CE1676">
        <f>Grandview_Inventory[[#This Row],[final_land]]+Grandview_Inventory[[#This Row],[final_imp]]+Grandview_Inventory[[#This Row],[crop_value]]</f>
        <v>297100</v>
      </c>
      <c r="CG1676" t="str">
        <f t="shared" si="26"/>
        <v>update valuation set market_land =50600, market_bldg=246500, market_total =297100, market_mdno =401, market_date ='9/10/2023' where link_id = (select link_id from parcel where parcel_year = '2024' and parcel_id = '23092332420');</v>
      </c>
    </row>
    <row r="1677" spans="1:85" x14ac:dyDescent="0.25">
      <c r="A1677">
        <v>23092332422</v>
      </c>
      <c r="B1677">
        <v>0.32</v>
      </c>
      <c r="C1677">
        <v>13869</v>
      </c>
      <c r="D1677" t="s">
        <v>129</v>
      </c>
      <c r="E1677" t="s">
        <v>53</v>
      </c>
      <c r="F1677" t="s">
        <v>53</v>
      </c>
      <c r="G1677">
        <v>4</v>
      </c>
      <c r="H1677" t="s">
        <v>54</v>
      </c>
      <c r="I1677">
        <v>132000</v>
      </c>
      <c r="J1677">
        <v>41200</v>
      </c>
      <c r="K1677">
        <v>0.32</v>
      </c>
      <c r="L1677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677">
        <v>0</v>
      </c>
      <c r="N1677">
        <v>0</v>
      </c>
      <c r="O1677">
        <v>0</v>
      </c>
      <c r="P1677">
        <v>13398.7528</v>
      </c>
      <c r="Q1677">
        <v>63903</v>
      </c>
      <c r="R1677">
        <f>(Grandview_Inventory[[#This Row],[ln_acres]]*Grandview_Inventory[[#This Row],[coeff]])+Grandview_Inventory[[#This Row],[const]]</f>
        <v>48636.001707713905</v>
      </c>
      <c r="S1677" t="s">
        <v>68</v>
      </c>
      <c r="T1677">
        <v>1</v>
      </c>
      <c r="U1677" t="s">
        <v>70</v>
      </c>
      <c r="V1677" t="s">
        <v>69</v>
      </c>
      <c r="W1677">
        <v>0</v>
      </c>
      <c r="X1677">
        <v>0</v>
      </c>
      <c r="Y1677">
        <v>51</v>
      </c>
      <c r="Z1677">
        <v>78</v>
      </c>
      <c r="AA1677">
        <v>80</v>
      </c>
      <c r="AB1677">
        <v>1500</v>
      </c>
      <c r="AC1677">
        <v>1296</v>
      </c>
      <c r="AD1677">
        <v>862</v>
      </c>
      <c r="AE1677">
        <v>0</v>
      </c>
      <c r="AF1677">
        <v>0</v>
      </c>
      <c r="AG1677">
        <v>434</v>
      </c>
      <c r="AH1677">
        <v>428</v>
      </c>
      <c r="AI1677">
        <v>0</v>
      </c>
      <c r="AJ1677">
        <v>0</v>
      </c>
      <c r="AK1677">
        <v>0</v>
      </c>
      <c r="AL1677">
        <v>0</v>
      </c>
      <c r="AM1677">
        <v>240</v>
      </c>
      <c r="AN1677">
        <v>24</v>
      </c>
      <c r="AO1677">
        <v>0</v>
      </c>
      <c r="AP1677">
        <v>5</v>
      </c>
      <c r="AQ1677">
        <v>0</v>
      </c>
      <c r="AR1677">
        <v>0</v>
      </c>
      <c r="AS1677" t="s">
        <v>58</v>
      </c>
      <c r="AT1677">
        <v>1</v>
      </c>
      <c r="AU1677" t="s">
        <v>63</v>
      </c>
      <c r="AV1677" t="s">
        <v>81</v>
      </c>
      <c r="AW1677">
        <v>0</v>
      </c>
      <c r="AX1677">
        <v>2</v>
      </c>
      <c r="AY1677">
        <v>0</v>
      </c>
      <c r="AZ1677">
        <v>16700</v>
      </c>
      <c r="BA1677">
        <v>100</v>
      </c>
      <c r="BB1677">
        <v>100</v>
      </c>
      <c r="BC1677">
        <v>100</v>
      </c>
      <c r="BD1677">
        <v>100</v>
      </c>
      <c r="BE1677">
        <v>1</v>
      </c>
      <c r="BF1677">
        <v>15000</v>
      </c>
      <c r="BG1677">
        <v>1000</v>
      </c>
      <c r="BH1677" s="6">
        <f>Grandview_Inventory[[#This Row],[land_extract]]*Lookups!$B$3</f>
        <v>56480.857465963549</v>
      </c>
      <c r="BI1677" s="6">
        <f>IF(Grandview_Inventory[[#This Row],[bldg_style]]="",0,Lookups!$B$2)</f>
        <v>155833.95000000001</v>
      </c>
      <c r="BJ1677" s="6">
        <f>_xlfn.IFNA(VLOOKUP(Grandview_Inventory[[#This Row],[quality]],Lookups!$H$2:$J$14,3,FALSE),0)</f>
        <v>10733</v>
      </c>
      <c r="BK1677" s="6">
        <f>_xlfn.IFNA(VLOOKUP(Grandview_Inventory[[#This Row],[condition]],Lookups!$H$17:$J$24,3,FALSE),0)</f>
        <v>-4503</v>
      </c>
      <c r="BL1677" s="6">
        <f>Grandview_Inventory[[#This Row],[Eff_Age]]*Lookups!$B$14</f>
        <v>-12197.496599999999</v>
      </c>
      <c r="BM1677" s="6">
        <f>Grandview_Inventory[[#This Row],[living_area]]*Lookups!$B$15</f>
        <v>80845.585487999997</v>
      </c>
      <c r="BN1677" s="6">
        <f>Grandview_Inventory[[#This Row],[Fin BSMT]]*Lookups!$B$16</f>
        <v>-11761.070160000001</v>
      </c>
      <c r="BO1677" s="6">
        <f>(Grandview_Inventory[[#This Row],[att_gar]]+Grandview_Inventory[[#This Row],[bltin_gar]])*Lookups!$B$17</f>
        <v>0</v>
      </c>
      <c r="BP1677" s="6">
        <f>Grandview_Inventory[[#This Row],[Plumbing Fixtures]]*Lookups!$B$18</f>
        <v>10052.209000000001</v>
      </c>
      <c r="BQ1677" s="6">
        <f>Grandview_Inventory[[#This Row],[detatched_value]]*Lookups!$B$19</f>
        <v>14141.64517</v>
      </c>
      <c r="BR1677" s="6">
        <f>SUM(Grandview_Inventory[[#This Row],[Intercept]:[det_value]])*Grandview_Inventory[[#This Row],[res_pct]]</f>
        <v>243144.82289800001</v>
      </c>
      <c r="BS1677" s="6">
        <f>Grandview_Inventory[[#This Row],[land_value]]</f>
        <v>56480.857465963549</v>
      </c>
      <c r="BT1677" s="4">
        <f>_xlfn.IFNA(VLOOKUP(Grandview_Inventory[[#This Row],[quality]],Lookups!$A$26:$C$33,3,FALSE),1)</f>
        <v>0.98079741117310582</v>
      </c>
      <c r="BU1677" s="4">
        <f>_xlfn.IFNA(VLOOKUP(Grandview_Inventory[[#This Row],[condition]],Lookups!$A$37:$C$44,3,FALSE),1)</f>
        <v>0.96469275950863709</v>
      </c>
      <c r="BV1677" s="4">
        <f>IF(Grandview_Inventory[[#This Row],[bldg_style]]="",1,_xlfn.IFNA(VLOOKUP(Grandview_Inventory[[#This Row],[decade]],Lookups!$F$29:$H$43,3,FALSE),1))</f>
        <v>0.98763256963907298</v>
      </c>
      <c r="BW1677" s="4">
        <f>_xlfn.IFNA(VLOOKUP(Grandview_Inventory[[#This Row],[living_area_range]],Lookups!$F$47:$H$56,3,FALSE),1)</f>
        <v>0.96135087979789358</v>
      </c>
      <c r="BX1677" s="4">
        <f>AVERAGE(Grandview_Inventory[[#This Row],[qual_adj]:[size_adj]])</f>
        <v>0.97361840502967734</v>
      </c>
      <c r="BY1677" s="6">
        <f>IF(Grandview_Inventory[[#This Row],[pre_res]]&lt;0,0,Grandview_Inventory[[#This Row],[pre_res]]*Grandview_Inventory[[#This Row],[overall_adj]])</f>
        <v>236730.27466117413</v>
      </c>
      <c r="BZ1677" s="6">
        <f>(Grandview_Inventory[[#This Row],[sum_land]]-IF(Grandview_Inventory[[#This Row],[no_utilities]]=1,12000,0))/IF(Grandview_Inventory[[#This Row],[unbuildable]]=1,2,1)</f>
        <v>56480.857465963549</v>
      </c>
      <c r="CA1677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677">
        <f>ROUND(Grandview_Inventory[[#This Row],[det_value]]*Lookups!$M$28,-2)</f>
        <v>13400</v>
      </c>
      <c r="CC1677">
        <f>IF(ROUND(Grandview_Inventory[[#This Row],[adj_res]]*Lookups!$M$28,-2)&lt;Grandview_Inventory[[#This Row],[min_res]],Grandview_Inventory[[#This Row],[min_res]],ROUND(Grandview_Inventory[[#This Row],[adj_res]]*Lookups!$M$28,-2))</f>
        <v>224900</v>
      </c>
      <c r="CD1677">
        <f>Grandview_Inventory[[#This Row],[final_det]]+Grandview_Inventory[[#This Row],[final_res]]</f>
        <v>238300</v>
      </c>
      <c r="CE1677">
        <f>Grandview_Inventory[[#This Row],[final_land]]+Grandview_Inventory[[#This Row],[final_imp]]+Grandview_Inventory[[#This Row],[crop_value]]</f>
        <v>292000</v>
      </c>
      <c r="CG1677" t="str">
        <f t="shared" si="26"/>
        <v>update valuation set market_land =53700, market_bldg=238300, market_total =292000, market_mdno =401, market_date ='9/10/2023' where link_id = (select link_id from parcel where parcel_year = '2024' and parcel_id = '23092332422');</v>
      </c>
    </row>
    <row r="1678" spans="1:85" x14ac:dyDescent="0.25">
      <c r="A1678">
        <v>23092332423</v>
      </c>
      <c r="B1678">
        <v>0.43</v>
      </c>
      <c r="C1678">
        <v>18770</v>
      </c>
      <c r="D1678" t="s">
        <v>129</v>
      </c>
      <c r="E1678" t="s">
        <v>53</v>
      </c>
      <c r="F1678" t="s">
        <v>53</v>
      </c>
      <c r="G1678">
        <v>4</v>
      </c>
      <c r="H1678" t="s">
        <v>54</v>
      </c>
      <c r="I1678">
        <v>143500</v>
      </c>
      <c r="J1678">
        <v>41400</v>
      </c>
      <c r="K1678">
        <v>0.43</v>
      </c>
      <c r="L1678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1678">
        <v>0</v>
      </c>
      <c r="N1678">
        <v>0</v>
      </c>
      <c r="O1678">
        <v>0</v>
      </c>
      <c r="P1678">
        <v>13398.7528</v>
      </c>
      <c r="Q1678">
        <v>63903</v>
      </c>
      <c r="R1678">
        <f>(Grandview_Inventory[[#This Row],[ln_acres]]*Grandview_Inventory[[#This Row],[coeff]])+Grandview_Inventory[[#This Row],[const]]</f>
        <v>52594.853657524982</v>
      </c>
      <c r="S1678" t="s">
        <v>61</v>
      </c>
      <c r="T1678">
        <v>1</v>
      </c>
      <c r="U1678" t="s">
        <v>70</v>
      </c>
      <c r="V1678" t="s">
        <v>69</v>
      </c>
      <c r="W1678">
        <v>0</v>
      </c>
      <c r="X1678">
        <v>0</v>
      </c>
      <c r="Y1678">
        <v>48</v>
      </c>
      <c r="Z1678">
        <v>63</v>
      </c>
      <c r="AA1678">
        <v>70</v>
      </c>
      <c r="AB1678">
        <v>1500</v>
      </c>
      <c r="AC1678">
        <v>1080</v>
      </c>
      <c r="AD1678">
        <v>1080</v>
      </c>
      <c r="AE1678">
        <v>0</v>
      </c>
      <c r="AF1678">
        <v>0</v>
      </c>
      <c r="AG1678">
        <v>0</v>
      </c>
      <c r="AH1678">
        <v>756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48</v>
      </c>
      <c r="AO1678">
        <v>0</v>
      </c>
      <c r="AP1678">
        <v>5</v>
      </c>
      <c r="AQ1678">
        <v>0</v>
      </c>
      <c r="AR1678">
        <v>0</v>
      </c>
      <c r="AS1678" t="s">
        <v>58</v>
      </c>
      <c r="AT1678">
        <v>1</v>
      </c>
      <c r="AU1678" t="s">
        <v>63</v>
      </c>
      <c r="AV1678" t="s">
        <v>60</v>
      </c>
      <c r="AW1678">
        <v>0</v>
      </c>
      <c r="AX1678">
        <v>2</v>
      </c>
      <c r="AY1678">
        <v>0</v>
      </c>
      <c r="AZ1678">
        <v>10900</v>
      </c>
      <c r="BA1678">
        <v>100</v>
      </c>
      <c r="BB1678">
        <v>100</v>
      </c>
      <c r="BC1678">
        <v>100</v>
      </c>
      <c r="BD1678">
        <v>100</v>
      </c>
      <c r="BE1678">
        <v>1</v>
      </c>
      <c r="BF1678">
        <v>15000</v>
      </c>
      <c r="BG1678">
        <v>1000</v>
      </c>
      <c r="BH1678" s="6">
        <f>Grandview_Inventory[[#This Row],[land_extract]]*Lookups!$B$3</f>
        <v>61078.261546378882</v>
      </c>
      <c r="BI1678" s="6">
        <f>IF(Grandview_Inventory[[#This Row],[bldg_style]]="",0,Lookups!$B$2)</f>
        <v>155833.95000000001</v>
      </c>
      <c r="BJ1678" s="6">
        <f>_xlfn.IFNA(VLOOKUP(Grandview_Inventory[[#This Row],[quality]],Lookups!$H$2:$J$14,3,FALSE),0)</f>
        <v>10733</v>
      </c>
      <c r="BK1678" s="6">
        <f>_xlfn.IFNA(VLOOKUP(Grandview_Inventory[[#This Row],[condition]],Lookups!$H$17:$J$24,3,FALSE),0)</f>
        <v>-4503</v>
      </c>
      <c r="BL1678" s="6">
        <f>Grandview_Inventory[[#This Row],[Eff_Age]]*Lookups!$B$14</f>
        <v>-11479.996799999999</v>
      </c>
      <c r="BM1678" s="6">
        <f>Grandview_Inventory[[#This Row],[living_area]]*Lookups!$B$15</f>
        <v>67371.321240000005</v>
      </c>
      <c r="BN1678" s="6">
        <f>Grandview_Inventory[[#This Row],[Fin BSMT]]*Lookups!$B$16</f>
        <v>0</v>
      </c>
      <c r="BO1678" s="6">
        <f>(Grandview_Inventory[[#This Row],[att_gar]]+Grandview_Inventory[[#This Row],[bltin_gar]])*Lookups!$B$17</f>
        <v>0</v>
      </c>
      <c r="BP1678" s="6">
        <f>Grandview_Inventory[[#This Row],[Plumbing Fixtures]]*Lookups!$B$18</f>
        <v>10052.209000000001</v>
      </c>
      <c r="BQ1678" s="6">
        <f>Grandview_Inventory[[#This Row],[detatched_value]]*Lookups!$B$19</f>
        <v>9230.1755899999989</v>
      </c>
      <c r="BR1678" s="6">
        <f>SUM(Grandview_Inventory[[#This Row],[Intercept]:[det_value]])*Grandview_Inventory[[#This Row],[res_pct]]</f>
        <v>237237.65903000001</v>
      </c>
      <c r="BS1678" s="6">
        <f>Grandview_Inventory[[#This Row],[land_value]]</f>
        <v>61078.261546378882</v>
      </c>
      <c r="BT1678" s="4">
        <f>_xlfn.IFNA(VLOOKUP(Grandview_Inventory[[#This Row],[quality]],Lookups!$A$26:$C$33,3,FALSE),1)</f>
        <v>0.98079741117310582</v>
      </c>
      <c r="BU1678" s="4">
        <f>_xlfn.IFNA(VLOOKUP(Grandview_Inventory[[#This Row],[condition]],Lookups!$A$37:$C$44,3,FALSE),1)</f>
        <v>0.96469275950863709</v>
      </c>
      <c r="BV1678" s="4">
        <f>IF(Grandview_Inventory[[#This Row],[bldg_style]]="",1,_xlfn.IFNA(VLOOKUP(Grandview_Inventory[[#This Row],[decade]],Lookups!$F$29:$H$43,3,FALSE),1))</f>
        <v>0.99472141305414818</v>
      </c>
      <c r="BW1678" s="4">
        <f>_xlfn.IFNA(VLOOKUP(Grandview_Inventory[[#This Row],[living_area_range]],Lookups!$F$47:$H$56,3,FALSE),1)</f>
        <v>0.96135087979789358</v>
      </c>
      <c r="BX1678" s="4">
        <f>AVERAGE(Grandview_Inventory[[#This Row],[qual_adj]:[size_adj]])</f>
        <v>0.97539061588344622</v>
      </c>
      <c r="BY1678" s="6">
        <f>IF(Grandview_Inventory[[#This Row],[pre_res]]&lt;0,0,Grandview_Inventory[[#This Row],[pre_res]]*Grandview_Inventory[[#This Row],[overall_adj]])</f>
        <v>231399.38635201872</v>
      </c>
      <c r="BZ1678" s="6">
        <f>(Grandview_Inventory[[#This Row],[sum_land]]-IF(Grandview_Inventory[[#This Row],[no_utilities]]=1,12000,0))/IF(Grandview_Inventory[[#This Row],[unbuildable]]=1,2,1)</f>
        <v>61078.261546378882</v>
      </c>
      <c r="CA1678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1678">
        <f>ROUND(Grandview_Inventory[[#This Row],[det_value]]*Lookups!$M$28,-2)</f>
        <v>8800</v>
      </c>
      <c r="CC1678">
        <f>IF(ROUND(Grandview_Inventory[[#This Row],[adj_res]]*Lookups!$M$28,-2)&lt;Grandview_Inventory[[#This Row],[min_res]],Grandview_Inventory[[#This Row],[min_res]],ROUND(Grandview_Inventory[[#This Row],[adj_res]]*Lookups!$M$28,-2))</f>
        <v>219800</v>
      </c>
      <c r="CD1678">
        <f>Grandview_Inventory[[#This Row],[final_det]]+Grandview_Inventory[[#This Row],[final_res]]</f>
        <v>228600</v>
      </c>
      <c r="CE1678">
        <f>Grandview_Inventory[[#This Row],[final_land]]+Grandview_Inventory[[#This Row],[final_imp]]+Grandview_Inventory[[#This Row],[crop_value]]</f>
        <v>286600</v>
      </c>
      <c r="CG1678" t="str">
        <f t="shared" si="26"/>
        <v>update valuation set market_land =58000, market_bldg=228600, market_total =286600, market_mdno =401, market_date ='9/10/2023' where link_id = (select link_id from parcel where parcel_year = '2024' and parcel_id = '23092332423');</v>
      </c>
    </row>
    <row r="1679" spans="1:85" x14ac:dyDescent="0.25">
      <c r="A1679">
        <v>23092332424</v>
      </c>
      <c r="B1679">
        <v>0.35</v>
      </c>
      <c r="C1679">
        <v>15248</v>
      </c>
      <c r="D1679" t="s">
        <v>129</v>
      </c>
      <c r="E1679" t="s">
        <v>53</v>
      </c>
      <c r="F1679" t="s">
        <v>53</v>
      </c>
      <c r="G1679">
        <v>4</v>
      </c>
      <c r="H1679" t="s">
        <v>54</v>
      </c>
      <c r="I1679">
        <v>229600</v>
      </c>
      <c r="J1679">
        <v>41200</v>
      </c>
      <c r="K1679">
        <v>0.35</v>
      </c>
      <c r="L1679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679">
        <v>0</v>
      </c>
      <c r="N1679">
        <v>0</v>
      </c>
      <c r="O1679">
        <v>0</v>
      </c>
      <c r="P1679">
        <v>13398.7528</v>
      </c>
      <c r="Q1679">
        <v>63903</v>
      </c>
      <c r="R1679">
        <f>(Grandview_Inventory[[#This Row],[ln_acres]]*Grandview_Inventory[[#This Row],[coeff]])+Grandview_Inventory[[#This Row],[const]]</f>
        <v>49836.692869871389</v>
      </c>
      <c r="S1679" t="s">
        <v>61</v>
      </c>
      <c r="T1679">
        <v>1</v>
      </c>
      <c r="U1679" t="s">
        <v>65</v>
      </c>
      <c r="V1679" t="s">
        <v>69</v>
      </c>
      <c r="W1679">
        <v>0</v>
      </c>
      <c r="X1679">
        <v>0</v>
      </c>
      <c r="Y1679">
        <v>43</v>
      </c>
      <c r="Z1679">
        <v>81</v>
      </c>
      <c r="AA1679">
        <v>90</v>
      </c>
      <c r="AB1679">
        <v>2500</v>
      </c>
      <c r="AC1679">
        <v>2415</v>
      </c>
      <c r="AD1679">
        <v>1380</v>
      </c>
      <c r="AE1679">
        <v>0</v>
      </c>
      <c r="AF1679">
        <v>0</v>
      </c>
      <c r="AG1679">
        <v>1035</v>
      </c>
      <c r="AH1679">
        <v>345</v>
      </c>
      <c r="AI1679">
        <v>0</v>
      </c>
      <c r="AJ1679">
        <v>0</v>
      </c>
      <c r="AK1679">
        <v>424</v>
      </c>
      <c r="AL1679">
        <v>300</v>
      </c>
      <c r="AM1679">
        <v>700</v>
      </c>
      <c r="AN1679">
        <v>0</v>
      </c>
      <c r="AO1679">
        <v>300</v>
      </c>
      <c r="AP1679">
        <v>8</v>
      </c>
      <c r="AQ1679">
        <v>0</v>
      </c>
      <c r="AR1679">
        <v>1</v>
      </c>
      <c r="AS1679" t="s">
        <v>58</v>
      </c>
      <c r="AT1679">
        <v>1</v>
      </c>
      <c r="AU1679" t="s">
        <v>59</v>
      </c>
      <c r="AV1679" t="s">
        <v>60</v>
      </c>
      <c r="AW1679">
        <v>1</v>
      </c>
      <c r="AX1679">
        <v>5</v>
      </c>
      <c r="AY1679">
        <v>0</v>
      </c>
      <c r="AZ1679">
        <v>20800</v>
      </c>
      <c r="BA1679">
        <v>100</v>
      </c>
      <c r="BB1679">
        <v>100</v>
      </c>
      <c r="BC1679">
        <v>100</v>
      </c>
      <c r="BD1679">
        <v>100</v>
      </c>
      <c r="BE1679">
        <v>1</v>
      </c>
      <c r="BF1679">
        <v>15000</v>
      </c>
      <c r="BG1679">
        <v>1000</v>
      </c>
      <c r="BH1679" s="6">
        <f>Grandview_Inventory[[#This Row],[land_extract]]*Lookups!$B$3</f>
        <v>57875.216870710894</v>
      </c>
      <c r="BI1679" s="6">
        <f>IF(Grandview_Inventory[[#This Row],[bldg_style]]="",0,Lookups!$B$2)</f>
        <v>155833.95000000001</v>
      </c>
      <c r="BJ1679" s="6">
        <f>_xlfn.IFNA(VLOOKUP(Grandview_Inventory[[#This Row],[quality]],Lookups!$H$2:$J$14,3,FALSE),0)</f>
        <v>2251</v>
      </c>
      <c r="BK1679" s="6">
        <f>_xlfn.IFNA(VLOOKUP(Grandview_Inventory[[#This Row],[condition]],Lookups!$H$17:$J$24,3,FALSE),0)</f>
        <v>-4503</v>
      </c>
      <c r="BL1679" s="6">
        <f>Grandview_Inventory[[#This Row],[Eff_Age]]*Lookups!$B$14</f>
        <v>-10284.1638</v>
      </c>
      <c r="BM1679" s="6">
        <f>Grandview_Inventory[[#This Row],[living_area]]*Lookups!$B$15</f>
        <v>150649.759995</v>
      </c>
      <c r="BN1679" s="6">
        <f>Grandview_Inventory[[#This Row],[Fin BSMT]]*Lookups!$B$16</f>
        <v>-28047.713400000001</v>
      </c>
      <c r="BO1679" s="6">
        <f>(Grandview_Inventory[[#This Row],[att_gar]]+Grandview_Inventory[[#This Row],[bltin_gar]])*Lookups!$B$17</f>
        <v>0</v>
      </c>
      <c r="BP1679" s="6">
        <f>Grandview_Inventory[[#This Row],[Plumbing Fixtures]]*Lookups!$B$18</f>
        <v>16083.5344</v>
      </c>
      <c r="BQ1679" s="6">
        <f>Grandview_Inventory[[#This Row],[detatched_value]]*Lookups!$B$19</f>
        <v>17613.54608</v>
      </c>
      <c r="BR1679" s="6">
        <f>SUM(Grandview_Inventory[[#This Row],[Intercept]:[det_value]])*Grandview_Inventory[[#This Row],[res_pct]]</f>
        <v>299596.913275</v>
      </c>
      <c r="BS1679" s="6">
        <f>Grandview_Inventory[[#This Row],[land_value]]</f>
        <v>57875.216870710894</v>
      </c>
      <c r="BT1679" s="4">
        <f>_xlfn.IFNA(VLOOKUP(Grandview_Inventory[[#This Row],[quality]],Lookups!$A$26:$C$33,3,FALSE),1)</f>
        <v>0.98763855981004833</v>
      </c>
      <c r="BU1679" s="4">
        <f>_xlfn.IFNA(VLOOKUP(Grandview_Inventory[[#This Row],[condition]],Lookups!$A$37:$C$44,3,FALSE),1)</f>
        <v>0.96469275950863709</v>
      </c>
      <c r="BV1679" s="4">
        <f>IF(Grandview_Inventory[[#This Row],[bldg_style]]="",1,_xlfn.IFNA(VLOOKUP(Grandview_Inventory[[#This Row],[decade]],Lookups!$F$29:$H$43,3,FALSE),1))</f>
        <v>0.94161750052457416</v>
      </c>
      <c r="BW1679" s="4">
        <f>_xlfn.IFNA(VLOOKUP(Grandview_Inventory[[#This Row],[living_area_range]],Lookups!$F$47:$H$56,3,FALSE),1)</f>
        <v>0.95799442568048754</v>
      </c>
      <c r="BX1679" s="4">
        <f>AVERAGE(Grandview_Inventory[[#This Row],[qual_adj]:[size_adj]])</f>
        <v>0.96298581138093675</v>
      </c>
      <c r="BY1679" s="6">
        <f>IF(Grandview_Inventory[[#This Row],[pre_res]]&lt;0,0,Grandview_Inventory[[#This Row],[pre_res]]*Grandview_Inventory[[#This Row],[overall_adj]])</f>
        <v>288507.57661734999</v>
      </c>
      <c r="BZ1679" s="6">
        <f>(Grandview_Inventory[[#This Row],[sum_land]]-IF(Grandview_Inventory[[#This Row],[no_utilities]]=1,12000,0))/IF(Grandview_Inventory[[#This Row],[unbuildable]]=1,2,1)</f>
        <v>57875.216870710894</v>
      </c>
      <c r="CA1679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679">
        <f>ROUND(Grandview_Inventory[[#This Row],[det_value]]*Lookups!$M$28,-2)</f>
        <v>16700</v>
      </c>
      <c r="CC1679">
        <f>IF(ROUND(Grandview_Inventory[[#This Row],[adj_res]]*Lookups!$M$28,-2)&lt;Grandview_Inventory[[#This Row],[min_res]],Grandview_Inventory[[#This Row],[min_res]],ROUND(Grandview_Inventory[[#This Row],[adj_res]]*Lookups!$M$28,-2))</f>
        <v>274100</v>
      </c>
      <c r="CD1679">
        <f>Grandview_Inventory[[#This Row],[final_det]]+Grandview_Inventory[[#This Row],[final_res]]</f>
        <v>290800</v>
      </c>
      <c r="CE1679">
        <f>Grandview_Inventory[[#This Row],[final_land]]+Grandview_Inventory[[#This Row],[final_imp]]+Grandview_Inventory[[#This Row],[crop_value]]</f>
        <v>345800</v>
      </c>
      <c r="CG1679" t="str">
        <f t="shared" si="26"/>
        <v>update valuation set market_land =55000, market_bldg=290800, market_total =345800, market_mdno =401, market_date ='9/10/2023' where link_id = (select link_id from parcel where parcel_year = '2024' and parcel_id = '23092332424');</v>
      </c>
    </row>
    <row r="1680" spans="1:85" x14ac:dyDescent="0.25">
      <c r="A1680">
        <v>23092332425</v>
      </c>
      <c r="B1680">
        <v>0.23</v>
      </c>
      <c r="C1680" t="s">
        <v>129</v>
      </c>
      <c r="D1680" t="s">
        <v>129</v>
      </c>
      <c r="E1680" t="s">
        <v>53</v>
      </c>
      <c r="F1680" t="s">
        <v>53</v>
      </c>
      <c r="G1680">
        <v>4</v>
      </c>
      <c r="H1680" t="s">
        <v>54</v>
      </c>
      <c r="I1680">
        <v>156300</v>
      </c>
      <c r="J1680">
        <v>39500</v>
      </c>
      <c r="K1680">
        <v>0.23</v>
      </c>
      <c r="L168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680">
        <v>0</v>
      </c>
      <c r="N1680">
        <v>0</v>
      </c>
      <c r="O1680">
        <v>0</v>
      </c>
      <c r="P1680">
        <v>13398.7528</v>
      </c>
      <c r="Q1680">
        <v>63903</v>
      </c>
      <c r="R1680">
        <f>(Grandview_Inventory[[#This Row],[ln_acres]]*Grandview_Inventory[[#This Row],[coeff]])+Grandview_Inventory[[#This Row],[const]]</f>
        <v>44211.174981080039</v>
      </c>
      <c r="S1680" t="s">
        <v>68</v>
      </c>
      <c r="T1680">
        <v>1</v>
      </c>
      <c r="U1680" t="s">
        <v>70</v>
      </c>
      <c r="V1680" t="s">
        <v>69</v>
      </c>
      <c r="W1680">
        <v>0</v>
      </c>
      <c r="X1680">
        <v>0</v>
      </c>
      <c r="Y1680">
        <v>50</v>
      </c>
      <c r="Z1680">
        <v>75</v>
      </c>
      <c r="AA1680">
        <v>80</v>
      </c>
      <c r="AB1680">
        <v>2000</v>
      </c>
      <c r="AC1680">
        <v>1813</v>
      </c>
      <c r="AD1680">
        <v>1036</v>
      </c>
      <c r="AE1680">
        <v>0</v>
      </c>
      <c r="AF1680">
        <v>0</v>
      </c>
      <c r="AG1680">
        <v>777</v>
      </c>
      <c r="AH1680">
        <v>259</v>
      </c>
      <c r="AI1680">
        <v>0</v>
      </c>
      <c r="AJ1680">
        <v>0</v>
      </c>
      <c r="AK1680">
        <v>0</v>
      </c>
      <c r="AL1680">
        <v>80</v>
      </c>
      <c r="AM1680">
        <v>180</v>
      </c>
      <c r="AN1680">
        <v>0</v>
      </c>
      <c r="AO1680">
        <v>260</v>
      </c>
      <c r="AP1680">
        <v>5</v>
      </c>
      <c r="AQ1680">
        <v>0</v>
      </c>
      <c r="AR1680">
        <v>1</v>
      </c>
      <c r="AS1680" t="s">
        <v>58</v>
      </c>
      <c r="AT1680">
        <v>1</v>
      </c>
      <c r="AU1680" t="s">
        <v>63</v>
      </c>
      <c r="AV1680" t="s">
        <v>64</v>
      </c>
      <c r="AW1680">
        <v>1</v>
      </c>
      <c r="AX1680">
        <v>2</v>
      </c>
      <c r="AY1680">
        <v>0</v>
      </c>
      <c r="AZ1680">
        <v>0</v>
      </c>
      <c r="BA1680">
        <v>100</v>
      </c>
      <c r="BB1680">
        <v>100</v>
      </c>
      <c r="BC1680">
        <v>100</v>
      </c>
      <c r="BD1680">
        <v>100</v>
      </c>
      <c r="BE1680">
        <v>1</v>
      </c>
      <c r="BF1680">
        <v>15000</v>
      </c>
      <c r="BG1680">
        <v>1000</v>
      </c>
      <c r="BH1680" s="6">
        <f>Grandview_Inventory[[#This Row],[land_extract]]*Lookups!$B$3</f>
        <v>51342.318135355803</v>
      </c>
      <c r="BI1680" s="6">
        <f>IF(Grandview_Inventory[[#This Row],[bldg_style]]="",0,Lookups!$B$2)</f>
        <v>155833.95000000001</v>
      </c>
      <c r="BJ1680" s="6">
        <f>_xlfn.IFNA(VLOOKUP(Grandview_Inventory[[#This Row],[quality]],Lookups!$H$2:$J$14,3,FALSE),0)</f>
        <v>10733</v>
      </c>
      <c r="BK1680" s="6">
        <f>_xlfn.IFNA(VLOOKUP(Grandview_Inventory[[#This Row],[condition]],Lookups!$H$17:$J$24,3,FALSE),0)</f>
        <v>-4503</v>
      </c>
      <c r="BL1680" s="6">
        <f>Grandview_Inventory[[#This Row],[Eff_Age]]*Lookups!$B$14</f>
        <v>-11958.33</v>
      </c>
      <c r="BM1680" s="6">
        <f>Grandview_Inventory[[#This Row],[living_area]]*Lookups!$B$15</f>
        <v>113096.486489</v>
      </c>
      <c r="BN1680" s="6">
        <f>Grandview_Inventory[[#This Row],[Fin BSMT]]*Lookups!$B$16</f>
        <v>-21056.109480000003</v>
      </c>
      <c r="BO1680" s="6">
        <f>(Grandview_Inventory[[#This Row],[att_gar]]+Grandview_Inventory[[#This Row],[bltin_gar]])*Lookups!$B$17</f>
        <v>0</v>
      </c>
      <c r="BP1680" s="6">
        <f>Grandview_Inventory[[#This Row],[Plumbing Fixtures]]*Lookups!$B$18</f>
        <v>10052.209000000001</v>
      </c>
      <c r="BQ1680" s="6">
        <f>Grandview_Inventory[[#This Row],[detatched_value]]*Lookups!$B$19</f>
        <v>0</v>
      </c>
      <c r="BR1680" s="6">
        <f>SUM(Grandview_Inventory[[#This Row],[Intercept]:[det_value]])*Grandview_Inventory[[#This Row],[res_pct]]</f>
        <v>252198.20600900002</v>
      </c>
      <c r="BS1680" s="6">
        <f>Grandview_Inventory[[#This Row],[land_value]]</f>
        <v>51342.318135355803</v>
      </c>
      <c r="BT1680" s="4">
        <f>_xlfn.IFNA(VLOOKUP(Grandview_Inventory[[#This Row],[quality]],Lookups!$A$26:$C$33,3,FALSE),1)</f>
        <v>0.98079741117310582</v>
      </c>
      <c r="BU1680" s="4">
        <f>_xlfn.IFNA(VLOOKUP(Grandview_Inventory[[#This Row],[condition]],Lookups!$A$37:$C$44,3,FALSE),1)</f>
        <v>0.96469275950863709</v>
      </c>
      <c r="BV1680" s="4">
        <f>IF(Grandview_Inventory[[#This Row],[bldg_style]]="",1,_xlfn.IFNA(VLOOKUP(Grandview_Inventory[[#This Row],[decade]],Lookups!$F$29:$H$43,3,FALSE),1))</f>
        <v>0.98763256963907298</v>
      </c>
      <c r="BW1680" s="4">
        <f>_xlfn.IFNA(VLOOKUP(Grandview_Inventory[[#This Row],[living_area_range]],Lookups!$F$47:$H$56,3,FALSE),1)</f>
        <v>0.96120133463014379</v>
      </c>
      <c r="BX1680" s="4">
        <f>AVERAGE(Grandview_Inventory[[#This Row],[qual_adj]:[size_adj]])</f>
        <v>0.97358101873773983</v>
      </c>
      <c r="BY1680" s="6">
        <f>IF(Grandview_Inventory[[#This Row],[pre_res]]&lt;0,0,Grandview_Inventory[[#This Row],[pre_res]]*Grandview_Inventory[[#This Row],[overall_adj]])</f>
        <v>245535.38633007262</v>
      </c>
      <c r="BZ1680" s="6">
        <f>(Grandview_Inventory[[#This Row],[sum_land]]-IF(Grandview_Inventory[[#This Row],[no_utilities]]=1,12000,0))/IF(Grandview_Inventory[[#This Row],[unbuildable]]=1,2,1)</f>
        <v>51342.318135355803</v>
      </c>
      <c r="CA168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680">
        <f>ROUND(Grandview_Inventory[[#This Row],[det_value]]*Lookups!$M$28,-2)</f>
        <v>0</v>
      </c>
      <c r="CC1680">
        <f>IF(ROUND(Grandview_Inventory[[#This Row],[adj_res]]*Lookups!$M$28,-2)&lt;Grandview_Inventory[[#This Row],[min_res]],Grandview_Inventory[[#This Row],[min_res]],ROUND(Grandview_Inventory[[#This Row],[adj_res]]*Lookups!$M$28,-2))</f>
        <v>233300</v>
      </c>
      <c r="CD1680">
        <f>Grandview_Inventory[[#This Row],[final_det]]+Grandview_Inventory[[#This Row],[final_res]]</f>
        <v>233300</v>
      </c>
      <c r="CE1680">
        <f>Grandview_Inventory[[#This Row],[final_land]]+Grandview_Inventory[[#This Row],[final_imp]]+Grandview_Inventory[[#This Row],[crop_value]]</f>
        <v>282100</v>
      </c>
      <c r="CG1680" t="str">
        <f t="shared" si="26"/>
        <v>update valuation set market_land =48800, market_bldg=233300, market_total =282100, market_mdno =401, market_date ='9/10/2023' where link_id = (select link_id from parcel where parcel_year = '2024' and parcel_id = '23092332425');</v>
      </c>
    </row>
    <row r="1681" spans="1:85" x14ac:dyDescent="0.25">
      <c r="A1681">
        <v>23092332426</v>
      </c>
      <c r="B1681">
        <v>0.18</v>
      </c>
      <c r="C1681" t="s">
        <v>129</v>
      </c>
      <c r="D1681" t="s">
        <v>129</v>
      </c>
      <c r="E1681" t="s">
        <v>53</v>
      </c>
      <c r="F1681" t="s">
        <v>53</v>
      </c>
      <c r="G1681">
        <v>4</v>
      </c>
      <c r="H1681" t="s">
        <v>54</v>
      </c>
      <c r="I1681">
        <v>123300</v>
      </c>
      <c r="J1681">
        <v>39000</v>
      </c>
      <c r="K1681">
        <v>0.18</v>
      </c>
      <c r="L168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681">
        <v>0</v>
      </c>
      <c r="N1681">
        <v>0</v>
      </c>
      <c r="O1681">
        <v>0</v>
      </c>
      <c r="P1681">
        <v>13398.7528</v>
      </c>
      <c r="Q1681">
        <v>63903</v>
      </c>
      <c r="R1681">
        <f>(Grandview_Inventory[[#This Row],[ln_acres]]*Grandview_Inventory[[#This Row],[coeff]])+Grandview_Inventory[[#This Row],[const]]</f>
        <v>40926.839760167699</v>
      </c>
      <c r="S1681" t="s">
        <v>68</v>
      </c>
      <c r="T1681">
        <v>1</v>
      </c>
      <c r="U1681" t="s">
        <v>83</v>
      </c>
      <c r="V1681" t="s">
        <v>69</v>
      </c>
      <c r="W1681">
        <v>0</v>
      </c>
      <c r="X1681">
        <v>0</v>
      </c>
      <c r="Y1681">
        <v>50</v>
      </c>
      <c r="Z1681">
        <v>75</v>
      </c>
      <c r="AA1681">
        <v>80</v>
      </c>
      <c r="AB1681">
        <v>1000</v>
      </c>
      <c r="AC1681">
        <v>911</v>
      </c>
      <c r="AD1681">
        <v>911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260</v>
      </c>
      <c r="AL1681">
        <v>0</v>
      </c>
      <c r="AM1681">
        <v>54</v>
      </c>
      <c r="AN1681">
        <v>55</v>
      </c>
      <c r="AO1681">
        <v>54</v>
      </c>
      <c r="AP1681">
        <v>5</v>
      </c>
      <c r="AQ1681">
        <v>0</v>
      </c>
      <c r="AR1681">
        <v>0</v>
      </c>
      <c r="AS1681" t="s">
        <v>58</v>
      </c>
      <c r="AT1681">
        <v>1</v>
      </c>
      <c r="AU1681" t="s">
        <v>75</v>
      </c>
      <c r="AV1681" t="s">
        <v>60</v>
      </c>
      <c r="AW1681">
        <v>0</v>
      </c>
      <c r="AX1681">
        <v>2</v>
      </c>
      <c r="AY1681">
        <v>0</v>
      </c>
      <c r="AZ1681">
        <v>0</v>
      </c>
      <c r="BA1681">
        <v>100</v>
      </c>
      <c r="BB1681">
        <v>100</v>
      </c>
      <c r="BC1681">
        <v>100</v>
      </c>
      <c r="BD1681">
        <v>100</v>
      </c>
      <c r="BE1681">
        <v>1</v>
      </c>
      <c r="BF1681">
        <v>15000</v>
      </c>
      <c r="BG1681">
        <v>1000</v>
      </c>
      <c r="BH1681" s="6">
        <f>Grandview_Inventory[[#This Row],[land_extract]]*Lookups!$B$3</f>
        <v>47528.228511015397</v>
      </c>
      <c r="BI1681" s="6">
        <f>IF(Grandview_Inventory[[#This Row],[bldg_style]]="",0,Lookups!$B$2)</f>
        <v>155833.95000000001</v>
      </c>
      <c r="BJ1681" s="6">
        <f>_xlfn.IFNA(VLOOKUP(Grandview_Inventory[[#This Row],[quality]],Lookups!$H$2:$J$14,3,FALSE),0)</f>
        <v>-28558</v>
      </c>
      <c r="BK1681" s="6">
        <f>_xlfn.IFNA(VLOOKUP(Grandview_Inventory[[#This Row],[condition]],Lookups!$H$17:$J$24,3,FALSE),0)</f>
        <v>-4503</v>
      </c>
      <c r="BL1681" s="6">
        <f>Grandview_Inventory[[#This Row],[Eff_Age]]*Lookups!$B$14</f>
        <v>-11958.33</v>
      </c>
      <c r="BM1681" s="6">
        <f>Grandview_Inventory[[#This Row],[living_area]]*Lookups!$B$15</f>
        <v>56828.957083000001</v>
      </c>
      <c r="BN1681" s="6">
        <f>Grandview_Inventory[[#This Row],[Fin BSMT]]*Lookups!$B$16</f>
        <v>0</v>
      </c>
      <c r="BO1681" s="6">
        <f>(Grandview_Inventory[[#This Row],[att_gar]]+Grandview_Inventory[[#This Row],[bltin_gar]])*Lookups!$B$17</f>
        <v>0</v>
      </c>
      <c r="BP1681" s="6">
        <f>Grandview_Inventory[[#This Row],[Plumbing Fixtures]]*Lookups!$B$18</f>
        <v>10052.209000000001</v>
      </c>
      <c r="BQ1681" s="6">
        <f>Grandview_Inventory[[#This Row],[detatched_value]]*Lookups!$B$19</f>
        <v>0</v>
      </c>
      <c r="BR1681" s="6">
        <f>SUM(Grandview_Inventory[[#This Row],[Intercept]:[det_value]])*Grandview_Inventory[[#This Row],[res_pct]]</f>
        <v>177695.78608300001</v>
      </c>
      <c r="BS1681" s="6">
        <f>Grandview_Inventory[[#This Row],[land_value]]</f>
        <v>47528.228511015397</v>
      </c>
      <c r="BT1681" s="4">
        <f>_xlfn.IFNA(VLOOKUP(Grandview_Inventory[[#This Row],[quality]],Lookups!$A$26:$C$33,3,FALSE),1)</f>
        <v>0.96329552998502799</v>
      </c>
      <c r="BU1681" s="4">
        <f>_xlfn.IFNA(VLOOKUP(Grandview_Inventory[[#This Row],[condition]],Lookups!$A$37:$C$44,3,FALSE),1)</f>
        <v>0.96469275950863709</v>
      </c>
      <c r="BV1681" s="4">
        <f>IF(Grandview_Inventory[[#This Row],[bldg_style]]="",1,_xlfn.IFNA(VLOOKUP(Grandview_Inventory[[#This Row],[decade]],Lookups!$F$29:$H$43,3,FALSE),1))</f>
        <v>0.98763256963907298</v>
      </c>
      <c r="BW1681" s="4">
        <f>_xlfn.IFNA(VLOOKUP(Grandview_Inventory[[#This Row],[living_area_range]],Lookups!$F$47:$H$56,3,FALSE),1)</f>
        <v>0.94306777142782894</v>
      </c>
      <c r="BX1681" s="4">
        <f>AVERAGE(Grandview_Inventory[[#This Row],[qual_adj]:[size_adj]])</f>
        <v>0.96467215764014169</v>
      </c>
      <c r="BY1681" s="6">
        <f>IF(Grandview_Inventory[[#This Row],[pre_res]]&lt;0,0,Grandview_Inventory[[#This Row],[pre_res]]*Grandview_Inventory[[#This Row],[overall_adj]])</f>
        <v>171418.1773642487</v>
      </c>
      <c r="BZ1681" s="6">
        <f>(Grandview_Inventory[[#This Row],[sum_land]]-IF(Grandview_Inventory[[#This Row],[no_utilities]]=1,12000,0))/IF(Grandview_Inventory[[#This Row],[unbuildable]]=1,2,1)</f>
        <v>47528.228511015397</v>
      </c>
      <c r="CA168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681">
        <f>ROUND(Grandview_Inventory[[#This Row],[det_value]]*Lookups!$M$28,-2)</f>
        <v>0</v>
      </c>
      <c r="CC1681">
        <f>IF(ROUND(Grandview_Inventory[[#This Row],[adj_res]]*Lookups!$M$28,-2)&lt;Grandview_Inventory[[#This Row],[min_res]],Grandview_Inventory[[#This Row],[min_res]],ROUND(Grandview_Inventory[[#This Row],[adj_res]]*Lookups!$M$28,-2))</f>
        <v>162800</v>
      </c>
      <c r="CD1681">
        <f>Grandview_Inventory[[#This Row],[final_det]]+Grandview_Inventory[[#This Row],[final_res]]</f>
        <v>162800</v>
      </c>
      <c r="CE1681">
        <f>Grandview_Inventory[[#This Row],[final_land]]+Grandview_Inventory[[#This Row],[final_imp]]+Grandview_Inventory[[#This Row],[crop_value]]</f>
        <v>208000</v>
      </c>
      <c r="CG1681" t="str">
        <f t="shared" si="26"/>
        <v>update valuation set market_land =45200, market_bldg=162800, market_total =208000, market_mdno =401, market_date ='9/10/2023' where link_id = (select link_id from parcel where parcel_year = '2024' and parcel_id = '23092332426');</v>
      </c>
    </row>
    <row r="1682" spans="1:85" x14ac:dyDescent="0.25">
      <c r="A1682">
        <v>23092332428</v>
      </c>
      <c r="B1682">
        <v>0.26</v>
      </c>
      <c r="C1682" t="s">
        <v>129</v>
      </c>
      <c r="D1682" t="s">
        <v>129</v>
      </c>
      <c r="E1682" t="s">
        <v>53</v>
      </c>
      <c r="F1682" t="s">
        <v>53</v>
      </c>
      <c r="G1682">
        <v>4</v>
      </c>
      <c r="H1682" t="s">
        <v>54</v>
      </c>
      <c r="I1682">
        <v>286400</v>
      </c>
      <c r="J1682">
        <v>40000</v>
      </c>
      <c r="K1682">
        <v>0.26</v>
      </c>
      <c r="L168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682">
        <v>0</v>
      </c>
      <c r="N1682">
        <v>0</v>
      </c>
      <c r="O1682">
        <v>0</v>
      </c>
      <c r="P1682">
        <v>13398.7528</v>
      </c>
      <c r="Q1682">
        <v>63903</v>
      </c>
      <c r="R1682">
        <f>(Grandview_Inventory[[#This Row],[ln_acres]]*Grandview_Inventory[[#This Row],[coeff]])+Grandview_Inventory[[#This Row],[const]]</f>
        <v>45853.893187501177</v>
      </c>
      <c r="S1682" t="s">
        <v>77</v>
      </c>
      <c r="T1682">
        <v>1</v>
      </c>
      <c r="U1682" t="s">
        <v>65</v>
      </c>
      <c r="V1682" t="s">
        <v>69</v>
      </c>
      <c r="W1682">
        <v>0</v>
      </c>
      <c r="X1682">
        <v>0</v>
      </c>
      <c r="Y1682">
        <v>48</v>
      </c>
      <c r="Z1682">
        <v>59</v>
      </c>
      <c r="AA1682">
        <v>60</v>
      </c>
      <c r="AB1682">
        <v>3500</v>
      </c>
      <c r="AC1682">
        <v>3158</v>
      </c>
      <c r="AD1682">
        <v>1598</v>
      </c>
      <c r="AE1682">
        <v>0</v>
      </c>
      <c r="AF1682">
        <v>0</v>
      </c>
      <c r="AG1682">
        <v>1560</v>
      </c>
      <c r="AH1682">
        <v>0</v>
      </c>
      <c r="AI1682">
        <v>520</v>
      </c>
      <c r="AJ1682">
        <v>0</v>
      </c>
      <c r="AK1682">
        <v>280</v>
      </c>
      <c r="AL1682">
        <v>281</v>
      </c>
      <c r="AM1682">
        <v>560</v>
      </c>
      <c r="AN1682">
        <v>135</v>
      </c>
      <c r="AO1682">
        <v>364</v>
      </c>
      <c r="AP1682">
        <v>9</v>
      </c>
      <c r="AQ1682">
        <v>1</v>
      </c>
      <c r="AR1682">
        <v>1</v>
      </c>
      <c r="AS1682" t="s">
        <v>76</v>
      </c>
      <c r="AT1682">
        <v>1</v>
      </c>
      <c r="AU1682" t="s">
        <v>79</v>
      </c>
      <c r="AV1682" t="s">
        <v>60</v>
      </c>
      <c r="AW1682">
        <v>0</v>
      </c>
      <c r="AX1682">
        <v>4</v>
      </c>
      <c r="AY1682">
        <v>0</v>
      </c>
      <c r="AZ1682">
        <v>0</v>
      </c>
      <c r="BA1682">
        <v>100</v>
      </c>
      <c r="BB1682">
        <v>100</v>
      </c>
      <c r="BC1682">
        <v>100</v>
      </c>
      <c r="BD1682">
        <v>100</v>
      </c>
      <c r="BE1682">
        <v>1</v>
      </c>
      <c r="BF1682">
        <v>15000</v>
      </c>
      <c r="BG1682">
        <v>1000</v>
      </c>
      <c r="BH1682" s="6">
        <f>Grandview_Inventory[[#This Row],[land_extract]]*Lookups!$B$3</f>
        <v>53250.00235313351</v>
      </c>
      <c r="BI1682" s="6">
        <f>IF(Grandview_Inventory[[#This Row],[bldg_style]]="",0,Lookups!$B$2)</f>
        <v>155833.95000000001</v>
      </c>
      <c r="BJ1682" s="6">
        <f>_xlfn.IFNA(VLOOKUP(Grandview_Inventory[[#This Row],[quality]],Lookups!$H$2:$J$14,3,FALSE),0)</f>
        <v>2251</v>
      </c>
      <c r="BK1682" s="6">
        <f>_xlfn.IFNA(VLOOKUP(Grandview_Inventory[[#This Row],[condition]],Lookups!$H$17:$J$24,3,FALSE),0)</f>
        <v>-4503</v>
      </c>
      <c r="BL1682" s="6">
        <f>Grandview_Inventory[[#This Row],[Eff_Age]]*Lookups!$B$14</f>
        <v>-11479.996799999999</v>
      </c>
      <c r="BM1682" s="6">
        <f>Grandview_Inventory[[#This Row],[living_area]]*Lookups!$B$15</f>
        <v>196998.73377399999</v>
      </c>
      <c r="BN1682" s="6">
        <f>Grandview_Inventory[[#This Row],[Fin BSMT]]*Lookups!$B$16</f>
        <v>-42274.814400000003</v>
      </c>
      <c r="BO1682" s="6">
        <f>(Grandview_Inventory[[#This Row],[att_gar]]+Grandview_Inventory[[#This Row],[bltin_gar]])*Lookups!$B$17</f>
        <v>45510.627240000002</v>
      </c>
      <c r="BP1682" s="6">
        <f>Grandview_Inventory[[#This Row],[Plumbing Fixtures]]*Lookups!$B$18</f>
        <v>18093.976200000001</v>
      </c>
      <c r="BQ1682" s="6">
        <f>Grandview_Inventory[[#This Row],[detatched_value]]*Lookups!$B$19</f>
        <v>0</v>
      </c>
      <c r="BR1682" s="6">
        <f>SUM(Grandview_Inventory[[#This Row],[Intercept]:[det_value]])*Grandview_Inventory[[#This Row],[res_pct]]</f>
        <v>360430.47601400001</v>
      </c>
      <c r="BS1682" s="6">
        <f>Grandview_Inventory[[#This Row],[land_value]]</f>
        <v>53250.00235313351</v>
      </c>
      <c r="BT1682" s="4">
        <f>_xlfn.IFNA(VLOOKUP(Grandview_Inventory[[#This Row],[quality]],Lookups!$A$26:$C$33,3,FALSE),1)</f>
        <v>0.98763855981004833</v>
      </c>
      <c r="BU1682" s="4">
        <f>_xlfn.IFNA(VLOOKUP(Grandview_Inventory[[#This Row],[condition]],Lookups!$A$37:$C$44,3,FALSE),1)</f>
        <v>0.96469275950863709</v>
      </c>
      <c r="BV1682" s="4">
        <f>IF(Grandview_Inventory[[#This Row],[bldg_style]]="",1,_xlfn.IFNA(VLOOKUP(Grandview_Inventory[[#This Row],[decade]],Lookups!$F$29:$H$43,3,FALSE),1))</f>
        <v>0.95268620544463312</v>
      </c>
      <c r="BW1682" s="4">
        <f>_xlfn.IFNA(VLOOKUP(Grandview_Inventory[[#This Row],[living_area_range]],Lookups!$F$47:$H$56,3,FALSE),1)</f>
        <v>1.0170112215140563</v>
      </c>
      <c r="BX1682" s="4">
        <f>AVERAGE(Grandview_Inventory[[#This Row],[qual_adj]:[size_adj]])</f>
        <v>0.98050718656934377</v>
      </c>
      <c r="BY1682" s="6">
        <f>IF(Grandview_Inventory[[#This Row],[pre_res]]&lt;0,0,Grandview_Inventory[[#This Row],[pre_res]]*Grandview_Inventory[[#This Row],[overall_adj]])</f>
        <v>353404.6719903365</v>
      </c>
      <c r="BZ1682" s="6">
        <f>(Grandview_Inventory[[#This Row],[sum_land]]-IF(Grandview_Inventory[[#This Row],[no_utilities]]=1,12000,0))/IF(Grandview_Inventory[[#This Row],[unbuildable]]=1,2,1)</f>
        <v>53250.00235313351</v>
      </c>
      <c r="CA168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682">
        <f>ROUND(Grandview_Inventory[[#This Row],[det_value]]*Lookups!$M$28,-2)</f>
        <v>0</v>
      </c>
      <c r="CC1682">
        <f>IF(ROUND(Grandview_Inventory[[#This Row],[adj_res]]*Lookups!$M$28,-2)&lt;Grandview_Inventory[[#This Row],[min_res]],Grandview_Inventory[[#This Row],[min_res]],ROUND(Grandview_Inventory[[#This Row],[adj_res]]*Lookups!$M$28,-2))</f>
        <v>335700</v>
      </c>
      <c r="CD1682">
        <f>Grandview_Inventory[[#This Row],[final_det]]+Grandview_Inventory[[#This Row],[final_res]]</f>
        <v>335700</v>
      </c>
      <c r="CE1682">
        <f>Grandview_Inventory[[#This Row],[final_land]]+Grandview_Inventory[[#This Row],[final_imp]]+Grandview_Inventory[[#This Row],[crop_value]]</f>
        <v>386300</v>
      </c>
      <c r="CG1682" t="str">
        <f t="shared" si="26"/>
        <v>update valuation set market_land =50600, market_bldg=335700, market_total =386300, market_mdno =401, market_date ='9/10/2023' where link_id = (select link_id from parcel where parcel_year = '2024' and parcel_id = '23092332428');</v>
      </c>
    </row>
    <row r="1683" spans="1:85" x14ac:dyDescent="0.25">
      <c r="A1683">
        <v>23092332430</v>
      </c>
      <c r="B1683">
        <v>0.26</v>
      </c>
      <c r="C1683">
        <v>11313</v>
      </c>
      <c r="D1683" t="s">
        <v>129</v>
      </c>
      <c r="E1683" t="s">
        <v>53</v>
      </c>
      <c r="F1683" t="s">
        <v>53</v>
      </c>
      <c r="G1683">
        <v>4</v>
      </c>
      <c r="H1683" t="s">
        <v>54</v>
      </c>
      <c r="I1683">
        <v>55500</v>
      </c>
      <c r="J1683">
        <v>40200</v>
      </c>
      <c r="K1683">
        <v>0.26</v>
      </c>
      <c r="L1683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683">
        <v>0</v>
      </c>
      <c r="N1683">
        <v>0</v>
      </c>
      <c r="O1683">
        <v>0</v>
      </c>
      <c r="P1683">
        <v>13398.7528</v>
      </c>
      <c r="Q1683">
        <v>63903</v>
      </c>
      <c r="R1683">
        <f>(Grandview_Inventory[[#This Row],[ln_acres]]*Grandview_Inventory[[#This Row],[coeff]])+Grandview_Inventory[[#This Row],[const]]</f>
        <v>45853.893187501177</v>
      </c>
      <c r="S1683" t="s">
        <v>68</v>
      </c>
      <c r="T1683">
        <v>1</v>
      </c>
      <c r="U1683" t="s">
        <v>80</v>
      </c>
      <c r="V1683" t="s">
        <v>78</v>
      </c>
      <c r="W1683">
        <v>0</v>
      </c>
      <c r="X1683">
        <v>0</v>
      </c>
      <c r="Y1683">
        <v>51</v>
      </c>
      <c r="Z1683">
        <v>83</v>
      </c>
      <c r="AA1683">
        <v>90</v>
      </c>
      <c r="AB1683">
        <v>1000</v>
      </c>
      <c r="AC1683">
        <v>644</v>
      </c>
      <c r="AD1683">
        <v>644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5</v>
      </c>
      <c r="AQ1683">
        <v>0</v>
      </c>
      <c r="AR1683">
        <v>0</v>
      </c>
      <c r="AS1683" t="s">
        <v>58</v>
      </c>
      <c r="AT1683">
        <v>0</v>
      </c>
      <c r="AU1683" t="s">
        <v>82</v>
      </c>
      <c r="AV1683" t="s">
        <v>64</v>
      </c>
      <c r="AW1683">
        <v>0</v>
      </c>
      <c r="AX1683">
        <v>2</v>
      </c>
      <c r="AY1683">
        <v>0</v>
      </c>
      <c r="AZ1683">
        <v>0</v>
      </c>
      <c r="BA1683">
        <v>100</v>
      </c>
      <c r="BB1683">
        <v>100</v>
      </c>
      <c r="BC1683">
        <v>100</v>
      </c>
      <c r="BD1683">
        <v>100</v>
      </c>
      <c r="BE1683">
        <v>1</v>
      </c>
      <c r="BF1683">
        <v>15000</v>
      </c>
      <c r="BG1683">
        <v>1000</v>
      </c>
      <c r="BH1683" s="6">
        <f>Grandview_Inventory[[#This Row],[land_extract]]*Lookups!$B$3</f>
        <v>53250.00235313351</v>
      </c>
      <c r="BI1683" s="6">
        <f>IF(Grandview_Inventory[[#This Row],[bldg_style]]="",0,Lookups!$B$2)</f>
        <v>155833.95000000001</v>
      </c>
      <c r="BJ1683" s="6">
        <f>_xlfn.IFNA(VLOOKUP(Grandview_Inventory[[#This Row],[quality]],Lookups!$H$2:$J$14,3,FALSE),0)</f>
        <v>-28558</v>
      </c>
      <c r="BK1683" s="6">
        <f>_xlfn.IFNA(VLOOKUP(Grandview_Inventory[[#This Row],[condition]],Lookups!$H$17:$J$24,3,FALSE),0)</f>
        <v>-45357</v>
      </c>
      <c r="BL1683" s="6">
        <f>Grandview_Inventory[[#This Row],[Eff_Age]]*Lookups!$B$14</f>
        <v>-12197.496599999999</v>
      </c>
      <c r="BM1683" s="6">
        <f>Grandview_Inventory[[#This Row],[living_area]]*Lookups!$B$15</f>
        <v>40173.269332000003</v>
      </c>
      <c r="BN1683" s="6">
        <f>Grandview_Inventory[[#This Row],[Fin BSMT]]*Lookups!$B$16</f>
        <v>0</v>
      </c>
      <c r="BO1683" s="6">
        <f>(Grandview_Inventory[[#This Row],[att_gar]]+Grandview_Inventory[[#This Row],[bltin_gar]])*Lookups!$B$17</f>
        <v>0</v>
      </c>
      <c r="BP1683" s="6">
        <f>Grandview_Inventory[[#This Row],[Plumbing Fixtures]]*Lookups!$B$18</f>
        <v>10052.209000000001</v>
      </c>
      <c r="BQ1683" s="6">
        <f>Grandview_Inventory[[#This Row],[detatched_value]]*Lookups!$B$19</f>
        <v>0</v>
      </c>
      <c r="BR1683" s="6">
        <f>SUM(Grandview_Inventory[[#This Row],[Intercept]:[det_value]])*Grandview_Inventory[[#This Row],[res_pct]]</f>
        <v>119946.93173200003</v>
      </c>
      <c r="BS1683" s="6">
        <f>Grandview_Inventory[[#This Row],[land_value]]</f>
        <v>53250.00235313351</v>
      </c>
      <c r="BT1683" s="4">
        <f>_xlfn.IFNA(VLOOKUP(Grandview_Inventory[[#This Row],[quality]],Lookups!$A$26:$C$33,3,FALSE),1)</f>
        <v>0.9690360070159818</v>
      </c>
      <c r="BU1683" s="4">
        <f>_xlfn.IFNA(VLOOKUP(Grandview_Inventory[[#This Row],[condition]],Lookups!$A$37:$C$44,3,FALSE),1)</f>
        <v>0.97161819570155394</v>
      </c>
      <c r="BV1683" s="4">
        <f>IF(Grandview_Inventory[[#This Row],[bldg_style]]="",1,_xlfn.IFNA(VLOOKUP(Grandview_Inventory[[#This Row],[decade]],Lookups!$F$29:$H$43,3,FALSE),1))</f>
        <v>0.94161750052457416</v>
      </c>
      <c r="BW1683" s="4">
        <f>_xlfn.IFNA(VLOOKUP(Grandview_Inventory[[#This Row],[living_area_range]],Lookups!$F$47:$H$56,3,FALSE),1)</f>
        <v>0.94306777142782894</v>
      </c>
      <c r="BX1683" s="4">
        <f>AVERAGE(Grandview_Inventory[[#This Row],[qual_adj]:[size_adj]])</f>
        <v>0.95633486866748474</v>
      </c>
      <c r="BY1683" s="6">
        <f>IF(Grandview_Inventory[[#This Row],[pre_res]]&lt;0,0,Grandview_Inventory[[#This Row],[pre_res]]*Grandview_Inventory[[#This Row],[overall_adj]])</f>
        <v>114709.43320499</v>
      </c>
      <c r="BZ1683" s="6">
        <f>(Grandview_Inventory[[#This Row],[sum_land]]-IF(Grandview_Inventory[[#This Row],[no_utilities]]=1,12000,0))/IF(Grandview_Inventory[[#This Row],[unbuildable]]=1,2,1)</f>
        <v>53250.00235313351</v>
      </c>
      <c r="CA1683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683">
        <f>ROUND(Grandview_Inventory[[#This Row],[det_value]]*Lookups!$M$28,-2)</f>
        <v>0</v>
      </c>
      <c r="CC1683">
        <f>IF(ROUND(Grandview_Inventory[[#This Row],[adj_res]]*Lookups!$M$28,-2)&lt;Grandview_Inventory[[#This Row],[min_res]],Grandview_Inventory[[#This Row],[min_res]],ROUND(Grandview_Inventory[[#This Row],[adj_res]]*Lookups!$M$28,-2))</f>
        <v>109000</v>
      </c>
      <c r="CD1683">
        <f>Grandview_Inventory[[#This Row],[final_det]]+Grandview_Inventory[[#This Row],[final_res]]</f>
        <v>109000</v>
      </c>
      <c r="CE1683">
        <f>Grandview_Inventory[[#This Row],[final_land]]+Grandview_Inventory[[#This Row],[final_imp]]+Grandview_Inventory[[#This Row],[crop_value]]</f>
        <v>159600</v>
      </c>
      <c r="CG1683" t="str">
        <f t="shared" si="26"/>
        <v>update valuation set market_land =50600, market_bldg=109000, market_total =159600, market_mdno =401, market_date ='9/10/2023' where link_id = (select link_id from parcel where parcel_year = '2024' and parcel_id = '23092332430');</v>
      </c>
    </row>
    <row r="1684" spans="1:85" x14ac:dyDescent="0.25">
      <c r="A1684">
        <v>23092332431</v>
      </c>
      <c r="B1684">
        <v>0.42</v>
      </c>
      <c r="C1684">
        <v>18331</v>
      </c>
      <c r="D1684" t="s">
        <v>129</v>
      </c>
      <c r="E1684" t="s">
        <v>53</v>
      </c>
      <c r="F1684" t="s">
        <v>53</v>
      </c>
      <c r="G1684">
        <v>4</v>
      </c>
      <c r="H1684" t="s">
        <v>54</v>
      </c>
      <c r="I1684">
        <v>98200</v>
      </c>
      <c r="J1684">
        <v>41200</v>
      </c>
      <c r="K1684">
        <v>0.42</v>
      </c>
      <c r="L1684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1684">
        <v>0</v>
      </c>
      <c r="N1684">
        <v>0</v>
      </c>
      <c r="O1684">
        <v>0</v>
      </c>
      <c r="P1684">
        <v>13398.7528</v>
      </c>
      <c r="Q1684">
        <v>63903</v>
      </c>
      <c r="R1684">
        <f>(Grandview_Inventory[[#This Row],[ln_acres]]*Grandview_Inventory[[#This Row],[coeff]])+Grandview_Inventory[[#This Row],[const]]</f>
        <v>52279.574339464751</v>
      </c>
      <c r="S1684" t="s">
        <v>68</v>
      </c>
      <c r="T1684">
        <v>1</v>
      </c>
      <c r="U1684" t="s">
        <v>80</v>
      </c>
      <c r="V1684" t="s">
        <v>69</v>
      </c>
      <c r="W1684">
        <v>0</v>
      </c>
      <c r="X1684">
        <v>0</v>
      </c>
      <c r="Y1684">
        <v>51</v>
      </c>
      <c r="Z1684">
        <v>83</v>
      </c>
      <c r="AA1684">
        <v>90</v>
      </c>
      <c r="AB1684">
        <v>1000</v>
      </c>
      <c r="AC1684">
        <v>832</v>
      </c>
      <c r="AD1684">
        <v>832</v>
      </c>
      <c r="AE1684">
        <v>0</v>
      </c>
      <c r="AF1684">
        <v>0</v>
      </c>
      <c r="AG1684">
        <v>0</v>
      </c>
      <c r="AH1684">
        <v>832</v>
      </c>
      <c r="AI1684">
        <v>0</v>
      </c>
      <c r="AJ1684">
        <v>0</v>
      </c>
      <c r="AK1684">
        <v>0</v>
      </c>
      <c r="AL1684">
        <v>0</v>
      </c>
      <c r="AM1684">
        <v>72</v>
      </c>
      <c r="AN1684">
        <v>0</v>
      </c>
      <c r="AO1684">
        <v>0</v>
      </c>
      <c r="AP1684">
        <v>5</v>
      </c>
      <c r="AQ1684">
        <v>0</v>
      </c>
      <c r="AR1684">
        <v>0</v>
      </c>
      <c r="AS1684" t="s">
        <v>58</v>
      </c>
      <c r="AT1684">
        <v>0</v>
      </c>
      <c r="AU1684" t="s">
        <v>82</v>
      </c>
      <c r="AV1684" t="s">
        <v>60</v>
      </c>
      <c r="AW1684">
        <v>0</v>
      </c>
      <c r="AX1684">
        <v>2</v>
      </c>
      <c r="AY1684">
        <v>0</v>
      </c>
      <c r="AZ1684">
        <v>4900</v>
      </c>
      <c r="BA1684">
        <v>100</v>
      </c>
      <c r="BB1684">
        <v>100</v>
      </c>
      <c r="BC1684">
        <v>100</v>
      </c>
      <c r="BD1684">
        <v>100</v>
      </c>
      <c r="BE1684">
        <v>1</v>
      </c>
      <c r="BF1684">
        <v>15000</v>
      </c>
      <c r="BG1684">
        <v>1000</v>
      </c>
      <c r="BH1684" s="6">
        <f>Grandview_Inventory[[#This Row],[land_extract]]*Lookups!$B$3</f>
        <v>60712.1285255697</v>
      </c>
      <c r="BI1684" s="6">
        <f>IF(Grandview_Inventory[[#This Row],[bldg_style]]="",0,Lookups!$B$2)</f>
        <v>155833.95000000001</v>
      </c>
      <c r="BJ1684" s="6">
        <f>_xlfn.IFNA(VLOOKUP(Grandview_Inventory[[#This Row],[quality]],Lookups!$H$2:$J$14,3,FALSE),0)</f>
        <v>-28558</v>
      </c>
      <c r="BK1684" s="6">
        <f>_xlfn.IFNA(VLOOKUP(Grandview_Inventory[[#This Row],[condition]],Lookups!$H$17:$J$24,3,FALSE),0)</f>
        <v>-4503</v>
      </c>
      <c r="BL1684" s="6">
        <f>Grandview_Inventory[[#This Row],[Eff_Age]]*Lookups!$B$14</f>
        <v>-12197.496599999999</v>
      </c>
      <c r="BM1684" s="6">
        <f>Grandview_Inventory[[#This Row],[living_area]]*Lookups!$B$15</f>
        <v>51900.869696000002</v>
      </c>
      <c r="BN1684" s="6">
        <f>Grandview_Inventory[[#This Row],[Fin BSMT]]*Lookups!$B$16</f>
        <v>0</v>
      </c>
      <c r="BO1684" s="6">
        <f>(Grandview_Inventory[[#This Row],[att_gar]]+Grandview_Inventory[[#This Row],[bltin_gar]])*Lookups!$B$17</f>
        <v>0</v>
      </c>
      <c r="BP1684" s="6">
        <f>Grandview_Inventory[[#This Row],[Plumbing Fixtures]]*Lookups!$B$18</f>
        <v>10052.209000000001</v>
      </c>
      <c r="BQ1684" s="6">
        <f>Grandview_Inventory[[#This Row],[detatched_value]]*Lookups!$B$19</f>
        <v>4149.3449899999996</v>
      </c>
      <c r="BR1684" s="6">
        <f>SUM(Grandview_Inventory[[#This Row],[Intercept]:[det_value]])*Grandview_Inventory[[#This Row],[res_pct]]</f>
        <v>176677.87708600002</v>
      </c>
      <c r="BS1684" s="6">
        <f>Grandview_Inventory[[#This Row],[land_value]]</f>
        <v>60712.1285255697</v>
      </c>
      <c r="BT1684" s="4">
        <f>_xlfn.IFNA(VLOOKUP(Grandview_Inventory[[#This Row],[quality]],Lookups!$A$26:$C$33,3,FALSE),1)</f>
        <v>0.9690360070159818</v>
      </c>
      <c r="BU1684" s="4">
        <f>_xlfn.IFNA(VLOOKUP(Grandview_Inventory[[#This Row],[condition]],Lookups!$A$37:$C$44,3,FALSE),1)</f>
        <v>0.96469275950863709</v>
      </c>
      <c r="BV1684" s="4">
        <f>IF(Grandview_Inventory[[#This Row],[bldg_style]]="",1,_xlfn.IFNA(VLOOKUP(Grandview_Inventory[[#This Row],[decade]],Lookups!$F$29:$H$43,3,FALSE),1))</f>
        <v>0.94161750052457416</v>
      </c>
      <c r="BW1684" s="4">
        <f>_xlfn.IFNA(VLOOKUP(Grandview_Inventory[[#This Row],[living_area_range]],Lookups!$F$47:$H$56,3,FALSE),1)</f>
        <v>0.94306777142782894</v>
      </c>
      <c r="BX1684" s="4">
        <f>AVERAGE(Grandview_Inventory[[#This Row],[qual_adj]:[size_adj]])</f>
        <v>0.95460350961925544</v>
      </c>
      <c r="BY1684" s="6">
        <f>IF(Grandview_Inventory[[#This Row],[pre_res]]&lt;0,0,Grandview_Inventory[[#This Row],[pre_res]]*Grandview_Inventory[[#This Row],[overall_adj]])</f>
        <v>168657.32153837505</v>
      </c>
      <c r="BZ1684" s="6">
        <f>(Grandview_Inventory[[#This Row],[sum_land]]-IF(Grandview_Inventory[[#This Row],[no_utilities]]=1,12000,0))/IF(Grandview_Inventory[[#This Row],[unbuildable]]=1,2,1)</f>
        <v>60712.1285255697</v>
      </c>
      <c r="CA1684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1684">
        <f>ROUND(Grandview_Inventory[[#This Row],[det_value]]*Lookups!$M$28,-2)</f>
        <v>3900</v>
      </c>
      <c r="CC1684">
        <f>IF(ROUND(Grandview_Inventory[[#This Row],[adj_res]]*Lookups!$M$28,-2)&lt;Grandview_Inventory[[#This Row],[min_res]],Grandview_Inventory[[#This Row],[min_res]],ROUND(Grandview_Inventory[[#This Row],[adj_res]]*Lookups!$M$28,-2))</f>
        <v>160200</v>
      </c>
      <c r="CD1684">
        <f>Grandview_Inventory[[#This Row],[final_det]]+Grandview_Inventory[[#This Row],[final_res]]</f>
        <v>164100</v>
      </c>
      <c r="CE1684">
        <f>Grandview_Inventory[[#This Row],[final_land]]+Grandview_Inventory[[#This Row],[final_imp]]+Grandview_Inventory[[#This Row],[crop_value]]</f>
        <v>221800</v>
      </c>
      <c r="CG1684" t="str">
        <f t="shared" si="26"/>
        <v>update valuation set market_land =57700, market_bldg=164100, market_total =221800, market_mdno =401, market_date ='9/10/2023' where link_id = (select link_id from parcel where parcel_year = '2024' and parcel_id = '23092332431');</v>
      </c>
    </row>
    <row r="1685" spans="1:85" x14ac:dyDescent="0.25">
      <c r="A1685">
        <v>23092332432</v>
      </c>
      <c r="B1685">
        <v>0.24</v>
      </c>
      <c r="C1685">
        <v>10259</v>
      </c>
      <c r="D1685" t="s">
        <v>129</v>
      </c>
      <c r="E1685" t="s">
        <v>53</v>
      </c>
      <c r="F1685" t="s">
        <v>53</v>
      </c>
      <c r="G1685">
        <v>4</v>
      </c>
      <c r="H1685" t="s">
        <v>54</v>
      </c>
      <c r="I1685">
        <v>129700</v>
      </c>
      <c r="J1685">
        <v>39700</v>
      </c>
      <c r="K1685">
        <v>0.24</v>
      </c>
      <c r="L168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685">
        <v>0</v>
      </c>
      <c r="N1685">
        <v>0</v>
      </c>
      <c r="O1685">
        <v>0</v>
      </c>
      <c r="P1685">
        <v>13398.7528</v>
      </c>
      <c r="Q1685">
        <v>63903</v>
      </c>
      <c r="R1685">
        <f>(Grandview_Inventory[[#This Row],[ln_acres]]*Grandview_Inventory[[#This Row],[coeff]])+Grandview_Inventory[[#This Row],[const]]</f>
        <v>44781.420733940802</v>
      </c>
      <c r="S1685" t="s">
        <v>68</v>
      </c>
      <c r="T1685">
        <v>1</v>
      </c>
      <c r="U1685" t="s">
        <v>70</v>
      </c>
      <c r="V1685" t="s">
        <v>69</v>
      </c>
      <c r="W1685">
        <v>0</v>
      </c>
      <c r="X1685">
        <v>0</v>
      </c>
      <c r="Y1685">
        <v>51</v>
      </c>
      <c r="Z1685">
        <v>83</v>
      </c>
      <c r="AA1685">
        <v>90</v>
      </c>
      <c r="AB1685">
        <v>1000</v>
      </c>
      <c r="AC1685">
        <v>826</v>
      </c>
      <c r="AD1685">
        <v>826</v>
      </c>
      <c r="AE1685">
        <v>0</v>
      </c>
      <c r="AF1685">
        <v>0</v>
      </c>
      <c r="AG1685">
        <v>0</v>
      </c>
      <c r="AH1685">
        <v>414</v>
      </c>
      <c r="AI1685">
        <v>0</v>
      </c>
      <c r="AJ1685">
        <v>0</v>
      </c>
      <c r="AK1685">
        <v>0</v>
      </c>
      <c r="AL1685">
        <v>0</v>
      </c>
      <c r="AM1685">
        <v>210</v>
      </c>
      <c r="AN1685">
        <v>0</v>
      </c>
      <c r="AO1685">
        <v>210</v>
      </c>
      <c r="AP1685">
        <v>8</v>
      </c>
      <c r="AQ1685">
        <v>0</v>
      </c>
      <c r="AR1685">
        <v>1</v>
      </c>
      <c r="AS1685" t="s">
        <v>58</v>
      </c>
      <c r="AT1685">
        <v>1</v>
      </c>
      <c r="AU1685" t="s">
        <v>75</v>
      </c>
      <c r="AV1685" t="s">
        <v>60</v>
      </c>
      <c r="AW1685">
        <v>0</v>
      </c>
      <c r="AX1685">
        <v>2</v>
      </c>
      <c r="AY1685">
        <v>0</v>
      </c>
      <c r="AZ1685">
        <v>1600</v>
      </c>
      <c r="BA1685">
        <v>100</v>
      </c>
      <c r="BB1685">
        <v>100</v>
      </c>
      <c r="BC1685">
        <v>100</v>
      </c>
      <c r="BD1685">
        <v>100</v>
      </c>
      <c r="BE1685">
        <v>1</v>
      </c>
      <c r="BF1685">
        <v>15000</v>
      </c>
      <c r="BG1685">
        <v>1000</v>
      </c>
      <c r="BH1685" s="6">
        <f>Grandview_Inventory[[#This Row],[land_extract]]*Lookups!$B$3</f>
        <v>52004.542988489469</v>
      </c>
      <c r="BI1685" s="6">
        <f>IF(Grandview_Inventory[[#This Row],[bldg_style]]="",0,Lookups!$B$2)</f>
        <v>155833.95000000001</v>
      </c>
      <c r="BJ1685" s="6">
        <f>_xlfn.IFNA(VLOOKUP(Grandview_Inventory[[#This Row],[quality]],Lookups!$H$2:$J$14,3,FALSE),0)</f>
        <v>10733</v>
      </c>
      <c r="BK1685" s="6">
        <f>_xlfn.IFNA(VLOOKUP(Grandview_Inventory[[#This Row],[condition]],Lookups!$H$17:$J$24,3,FALSE),0)</f>
        <v>-4503</v>
      </c>
      <c r="BL1685" s="6">
        <f>Grandview_Inventory[[#This Row],[Eff_Age]]*Lookups!$B$14</f>
        <v>-12197.496599999999</v>
      </c>
      <c r="BM1685" s="6">
        <f>Grandview_Inventory[[#This Row],[living_area]]*Lookups!$B$15</f>
        <v>51526.584578000002</v>
      </c>
      <c r="BN1685" s="6">
        <f>Grandview_Inventory[[#This Row],[Fin BSMT]]*Lookups!$B$16</f>
        <v>0</v>
      </c>
      <c r="BO1685" s="6">
        <f>(Grandview_Inventory[[#This Row],[att_gar]]+Grandview_Inventory[[#This Row],[bltin_gar]])*Lookups!$B$17</f>
        <v>0</v>
      </c>
      <c r="BP1685" s="6">
        <f>Grandview_Inventory[[#This Row],[Plumbing Fixtures]]*Lookups!$B$18</f>
        <v>16083.5344</v>
      </c>
      <c r="BQ1685" s="6">
        <f>Grandview_Inventory[[#This Row],[detatched_value]]*Lookups!$B$19</f>
        <v>1354.88816</v>
      </c>
      <c r="BR1685" s="6">
        <f>SUM(Grandview_Inventory[[#This Row],[Intercept]:[det_value]])*Grandview_Inventory[[#This Row],[res_pct]]</f>
        <v>218831.46053800001</v>
      </c>
      <c r="BS1685" s="6">
        <f>Grandview_Inventory[[#This Row],[land_value]]</f>
        <v>52004.542988489469</v>
      </c>
      <c r="BT1685" s="4">
        <f>_xlfn.IFNA(VLOOKUP(Grandview_Inventory[[#This Row],[quality]],Lookups!$A$26:$C$33,3,FALSE),1)</f>
        <v>0.98079741117310582</v>
      </c>
      <c r="BU1685" s="4">
        <f>_xlfn.IFNA(VLOOKUP(Grandview_Inventory[[#This Row],[condition]],Lookups!$A$37:$C$44,3,FALSE),1)</f>
        <v>0.96469275950863709</v>
      </c>
      <c r="BV1685" s="4">
        <f>IF(Grandview_Inventory[[#This Row],[bldg_style]]="",1,_xlfn.IFNA(VLOOKUP(Grandview_Inventory[[#This Row],[decade]],Lookups!$F$29:$H$43,3,FALSE),1))</f>
        <v>0.94161750052457416</v>
      </c>
      <c r="BW1685" s="4">
        <f>_xlfn.IFNA(VLOOKUP(Grandview_Inventory[[#This Row],[living_area_range]],Lookups!$F$47:$H$56,3,FALSE),1)</f>
        <v>0.94306777142782894</v>
      </c>
      <c r="BX1685" s="4">
        <f>AVERAGE(Grandview_Inventory[[#This Row],[qual_adj]:[size_adj]])</f>
        <v>0.95754386065853647</v>
      </c>
      <c r="BY1685" s="6">
        <f>IF(Grandview_Inventory[[#This Row],[pre_res]]&lt;0,0,Grandview_Inventory[[#This Row],[pre_res]]*Grandview_Inventory[[#This Row],[overall_adj]])</f>
        <v>209540.72155710272</v>
      </c>
      <c r="BZ1685" s="6">
        <f>(Grandview_Inventory[[#This Row],[sum_land]]-IF(Grandview_Inventory[[#This Row],[no_utilities]]=1,12000,0))/IF(Grandview_Inventory[[#This Row],[unbuildable]]=1,2,1)</f>
        <v>52004.542988489469</v>
      </c>
      <c r="CA168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685">
        <f>ROUND(Grandview_Inventory[[#This Row],[det_value]]*Lookups!$M$28,-2)</f>
        <v>1300</v>
      </c>
      <c r="CC1685">
        <f>IF(ROUND(Grandview_Inventory[[#This Row],[adj_res]]*Lookups!$M$28,-2)&lt;Grandview_Inventory[[#This Row],[min_res]],Grandview_Inventory[[#This Row],[min_res]],ROUND(Grandview_Inventory[[#This Row],[adj_res]]*Lookups!$M$28,-2))</f>
        <v>199100</v>
      </c>
      <c r="CD1685">
        <f>Grandview_Inventory[[#This Row],[final_det]]+Grandview_Inventory[[#This Row],[final_res]]</f>
        <v>200400</v>
      </c>
      <c r="CE1685">
        <f>Grandview_Inventory[[#This Row],[final_land]]+Grandview_Inventory[[#This Row],[final_imp]]+Grandview_Inventory[[#This Row],[crop_value]]</f>
        <v>249800</v>
      </c>
      <c r="CG1685" t="str">
        <f t="shared" si="26"/>
        <v>update valuation set market_land =49400, market_bldg=200400, market_total =249800, market_mdno =401, market_date ='9/10/2023' where link_id = (select link_id from parcel where parcel_year = '2024' and parcel_id = '23092332432');</v>
      </c>
    </row>
    <row r="1686" spans="1:85" x14ac:dyDescent="0.25">
      <c r="A1686">
        <v>23092332433</v>
      </c>
      <c r="B1686">
        <v>0.25</v>
      </c>
      <c r="C1686">
        <v>10986</v>
      </c>
      <c r="D1686" t="s">
        <v>129</v>
      </c>
      <c r="E1686" t="s">
        <v>53</v>
      </c>
      <c r="F1686" t="s">
        <v>53</v>
      </c>
      <c r="G1686">
        <v>4</v>
      </c>
      <c r="H1686" t="s">
        <v>54</v>
      </c>
      <c r="I1686">
        <v>161300</v>
      </c>
      <c r="J1686">
        <v>40000</v>
      </c>
      <c r="K1686">
        <v>0.25</v>
      </c>
      <c r="L168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686">
        <v>0</v>
      </c>
      <c r="N1686">
        <v>0</v>
      </c>
      <c r="O1686">
        <v>0</v>
      </c>
      <c r="P1686">
        <v>13398.7528</v>
      </c>
      <c r="Q1686">
        <v>63903</v>
      </c>
      <c r="R1686">
        <f>(Grandview_Inventory[[#This Row],[ln_acres]]*Grandview_Inventory[[#This Row],[coeff]])+Grandview_Inventory[[#This Row],[const]]</f>
        <v>45328.38454732066</v>
      </c>
      <c r="S1686" t="s">
        <v>55</v>
      </c>
      <c r="T1686">
        <v>2</v>
      </c>
      <c r="U1686" t="s">
        <v>65</v>
      </c>
      <c r="V1686" t="s">
        <v>69</v>
      </c>
      <c r="W1686">
        <v>0</v>
      </c>
      <c r="X1686">
        <v>0</v>
      </c>
      <c r="Y1686">
        <v>50</v>
      </c>
      <c r="Z1686">
        <v>75</v>
      </c>
      <c r="AA1686">
        <v>80</v>
      </c>
      <c r="AB1686">
        <v>2000</v>
      </c>
      <c r="AC1686">
        <v>1589</v>
      </c>
      <c r="AD1686">
        <v>787</v>
      </c>
      <c r="AE1686">
        <v>408</v>
      </c>
      <c r="AF1686">
        <v>0</v>
      </c>
      <c r="AG1686">
        <v>394</v>
      </c>
      <c r="AH1686">
        <v>393</v>
      </c>
      <c r="AI1686">
        <v>0</v>
      </c>
      <c r="AJ1686">
        <v>0</v>
      </c>
      <c r="AK1686">
        <v>0</v>
      </c>
      <c r="AL1686">
        <v>0</v>
      </c>
      <c r="AM1686">
        <v>528</v>
      </c>
      <c r="AN1686">
        <v>24</v>
      </c>
      <c r="AO1686">
        <v>528</v>
      </c>
      <c r="AP1686">
        <v>5</v>
      </c>
      <c r="AQ1686">
        <v>0</v>
      </c>
      <c r="AR1686">
        <v>0</v>
      </c>
      <c r="AS1686" t="s">
        <v>76</v>
      </c>
      <c r="AT1686">
        <v>1</v>
      </c>
      <c r="AU1686" t="s">
        <v>63</v>
      </c>
      <c r="AV1686" t="s">
        <v>64</v>
      </c>
      <c r="AW1686">
        <v>0</v>
      </c>
      <c r="AX1686">
        <v>4</v>
      </c>
      <c r="AY1686">
        <v>0</v>
      </c>
      <c r="AZ1686">
        <v>8600</v>
      </c>
      <c r="BA1686">
        <v>100</v>
      </c>
      <c r="BB1686">
        <v>100</v>
      </c>
      <c r="BC1686">
        <v>100</v>
      </c>
      <c r="BD1686">
        <v>100</v>
      </c>
      <c r="BE1686">
        <v>1</v>
      </c>
      <c r="BF1686">
        <v>15000</v>
      </c>
      <c r="BG1686">
        <v>1000</v>
      </c>
      <c r="BH1686" s="6">
        <f>Grandview_Inventory[[#This Row],[land_extract]]*Lookups!$B$3</f>
        <v>52639.730588165206</v>
      </c>
      <c r="BI1686" s="6">
        <f>IF(Grandview_Inventory[[#This Row],[bldg_style]]="",0,Lookups!$B$2)</f>
        <v>155833.95000000001</v>
      </c>
      <c r="BJ1686" s="6">
        <f>_xlfn.IFNA(VLOOKUP(Grandview_Inventory[[#This Row],[quality]],Lookups!$H$2:$J$14,3,FALSE),0)</f>
        <v>2251</v>
      </c>
      <c r="BK1686" s="6">
        <f>_xlfn.IFNA(VLOOKUP(Grandview_Inventory[[#This Row],[condition]],Lookups!$H$17:$J$24,3,FALSE),0)</f>
        <v>-4503</v>
      </c>
      <c r="BL1686" s="6">
        <f>Grandview_Inventory[[#This Row],[Eff_Age]]*Lookups!$B$14</f>
        <v>-11958.33</v>
      </c>
      <c r="BM1686" s="6">
        <f>Grandview_Inventory[[#This Row],[living_area]]*Lookups!$B$15</f>
        <v>99123.175417000006</v>
      </c>
      <c r="BN1686" s="6">
        <f>Grandview_Inventory[[#This Row],[Fin BSMT]]*Lookups!$B$16</f>
        <v>-10677.100560000001</v>
      </c>
      <c r="BO1686" s="6">
        <f>(Grandview_Inventory[[#This Row],[att_gar]]+Grandview_Inventory[[#This Row],[bltin_gar]])*Lookups!$B$17</f>
        <v>0</v>
      </c>
      <c r="BP1686" s="6">
        <f>Grandview_Inventory[[#This Row],[Plumbing Fixtures]]*Lookups!$B$18</f>
        <v>10052.209000000001</v>
      </c>
      <c r="BQ1686" s="6">
        <f>Grandview_Inventory[[#This Row],[detatched_value]]*Lookups!$B$19</f>
        <v>7282.5238600000002</v>
      </c>
      <c r="BR1686" s="6">
        <f>SUM(Grandview_Inventory[[#This Row],[Intercept]:[det_value]])*Grandview_Inventory[[#This Row],[res_pct]]</f>
        <v>247404.42771700001</v>
      </c>
      <c r="BS1686" s="6">
        <f>Grandview_Inventory[[#This Row],[land_value]]</f>
        <v>52639.730588165206</v>
      </c>
      <c r="BT1686" s="4">
        <f>_xlfn.IFNA(VLOOKUP(Grandview_Inventory[[#This Row],[quality]],Lookups!$A$26:$C$33,3,FALSE),1)</f>
        <v>0.98763855981004833</v>
      </c>
      <c r="BU1686" s="4">
        <f>_xlfn.IFNA(VLOOKUP(Grandview_Inventory[[#This Row],[condition]],Lookups!$A$37:$C$44,3,FALSE),1)</f>
        <v>0.96469275950863709</v>
      </c>
      <c r="BV1686" s="4">
        <f>IF(Grandview_Inventory[[#This Row],[bldg_style]]="",1,_xlfn.IFNA(VLOOKUP(Grandview_Inventory[[#This Row],[decade]],Lookups!$F$29:$H$43,3,FALSE),1))</f>
        <v>0.98763256963907298</v>
      </c>
      <c r="BW1686" s="4">
        <f>_xlfn.IFNA(VLOOKUP(Grandview_Inventory[[#This Row],[living_area_range]],Lookups!$F$47:$H$56,3,FALSE),1)</f>
        <v>0.96120133463014379</v>
      </c>
      <c r="BX1686" s="4">
        <f>AVERAGE(Grandview_Inventory[[#This Row],[qual_adj]:[size_adj]])</f>
        <v>0.97529130589697544</v>
      </c>
      <c r="BY1686" s="6">
        <f>IF(Grandview_Inventory[[#This Row],[pre_res]]&lt;0,0,Grandview_Inventory[[#This Row],[pre_res]]*Grandview_Inventory[[#This Row],[overall_adj]])</f>
        <v>241291.38739280682</v>
      </c>
      <c r="BZ1686" s="6">
        <f>(Grandview_Inventory[[#This Row],[sum_land]]-IF(Grandview_Inventory[[#This Row],[no_utilities]]=1,12000,0))/IF(Grandview_Inventory[[#This Row],[unbuildable]]=1,2,1)</f>
        <v>52639.730588165206</v>
      </c>
      <c r="CA168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686">
        <f>ROUND(Grandview_Inventory[[#This Row],[det_value]]*Lookups!$M$28,-2)</f>
        <v>6900</v>
      </c>
      <c r="CC1686">
        <f>IF(ROUND(Grandview_Inventory[[#This Row],[adj_res]]*Lookups!$M$28,-2)&lt;Grandview_Inventory[[#This Row],[min_res]],Grandview_Inventory[[#This Row],[min_res]],ROUND(Grandview_Inventory[[#This Row],[adj_res]]*Lookups!$M$28,-2))</f>
        <v>229200</v>
      </c>
      <c r="CD1686">
        <f>Grandview_Inventory[[#This Row],[final_det]]+Grandview_Inventory[[#This Row],[final_res]]</f>
        <v>236100</v>
      </c>
      <c r="CE1686">
        <f>Grandview_Inventory[[#This Row],[final_land]]+Grandview_Inventory[[#This Row],[final_imp]]+Grandview_Inventory[[#This Row],[crop_value]]</f>
        <v>286100</v>
      </c>
      <c r="CG1686" t="str">
        <f t="shared" si="26"/>
        <v>update valuation set market_land =50000, market_bldg=236100, market_total =286100, market_mdno =401, market_date ='9/10/2023' where link_id = (select link_id from parcel where parcel_year = '2024' and parcel_id = '23092332433');</v>
      </c>
    </row>
    <row r="1687" spans="1:85" x14ac:dyDescent="0.25">
      <c r="A1687">
        <v>23092332434</v>
      </c>
      <c r="B1687">
        <v>0.26</v>
      </c>
      <c r="C1687">
        <v>11307</v>
      </c>
      <c r="D1687" t="s">
        <v>129</v>
      </c>
      <c r="E1687" t="s">
        <v>53</v>
      </c>
      <c r="F1687" t="s">
        <v>53</v>
      </c>
      <c r="G1687">
        <v>4</v>
      </c>
      <c r="H1687" t="s">
        <v>54</v>
      </c>
      <c r="I1687">
        <v>149600</v>
      </c>
      <c r="J1687">
        <v>40200</v>
      </c>
      <c r="K1687">
        <v>0.26</v>
      </c>
      <c r="L168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687">
        <v>0</v>
      </c>
      <c r="N1687">
        <v>0</v>
      </c>
      <c r="O1687">
        <v>0</v>
      </c>
      <c r="P1687">
        <v>13398.7528</v>
      </c>
      <c r="Q1687">
        <v>63903</v>
      </c>
      <c r="R1687">
        <f>(Grandview_Inventory[[#This Row],[ln_acres]]*Grandview_Inventory[[#This Row],[coeff]])+Grandview_Inventory[[#This Row],[const]]</f>
        <v>45853.893187501177</v>
      </c>
      <c r="S1687" t="s">
        <v>55</v>
      </c>
      <c r="T1687">
        <v>2</v>
      </c>
      <c r="U1687" t="s">
        <v>65</v>
      </c>
      <c r="V1687" t="s">
        <v>69</v>
      </c>
      <c r="W1687">
        <v>0</v>
      </c>
      <c r="X1687">
        <v>0</v>
      </c>
      <c r="Y1687">
        <v>50</v>
      </c>
      <c r="Z1687">
        <v>75</v>
      </c>
      <c r="AA1687">
        <v>80</v>
      </c>
      <c r="AB1687">
        <v>1500</v>
      </c>
      <c r="AC1687">
        <v>1216</v>
      </c>
      <c r="AD1687">
        <v>808</v>
      </c>
      <c r="AE1687">
        <v>408</v>
      </c>
      <c r="AF1687">
        <v>0</v>
      </c>
      <c r="AG1687">
        <v>0</v>
      </c>
      <c r="AH1687">
        <v>808</v>
      </c>
      <c r="AI1687">
        <v>0</v>
      </c>
      <c r="AJ1687">
        <v>0</v>
      </c>
      <c r="AK1687">
        <v>0</v>
      </c>
      <c r="AL1687">
        <v>0</v>
      </c>
      <c r="AM1687">
        <v>420</v>
      </c>
      <c r="AN1687">
        <v>16</v>
      </c>
      <c r="AO1687">
        <v>420</v>
      </c>
      <c r="AP1687">
        <v>6</v>
      </c>
      <c r="AQ1687">
        <v>0</v>
      </c>
      <c r="AR1687">
        <v>0</v>
      </c>
      <c r="AS1687" t="s">
        <v>58</v>
      </c>
      <c r="AT1687">
        <v>1</v>
      </c>
      <c r="AU1687" t="s">
        <v>59</v>
      </c>
      <c r="AV1687" t="s">
        <v>64</v>
      </c>
      <c r="AW1687">
        <v>1</v>
      </c>
      <c r="AX1687">
        <v>4</v>
      </c>
      <c r="AY1687">
        <v>0</v>
      </c>
      <c r="AZ1687">
        <v>4700</v>
      </c>
      <c r="BA1687">
        <v>100</v>
      </c>
      <c r="BB1687">
        <v>100</v>
      </c>
      <c r="BC1687">
        <v>100</v>
      </c>
      <c r="BD1687">
        <v>100</v>
      </c>
      <c r="BE1687">
        <v>1</v>
      </c>
      <c r="BF1687">
        <v>15000</v>
      </c>
      <c r="BG1687">
        <v>1000</v>
      </c>
      <c r="BH1687" s="6">
        <f>Grandview_Inventory[[#This Row],[land_extract]]*Lookups!$B$3</f>
        <v>53250.00235313351</v>
      </c>
      <c r="BI1687" s="6">
        <f>IF(Grandview_Inventory[[#This Row],[bldg_style]]="",0,Lookups!$B$2)</f>
        <v>155833.95000000001</v>
      </c>
      <c r="BJ1687" s="6">
        <f>_xlfn.IFNA(VLOOKUP(Grandview_Inventory[[#This Row],[quality]],Lookups!$H$2:$J$14,3,FALSE),0)</f>
        <v>2251</v>
      </c>
      <c r="BK1687" s="6">
        <f>_xlfn.IFNA(VLOOKUP(Grandview_Inventory[[#This Row],[condition]],Lookups!$H$17:$J$24,3,FALSE),0)</f>
        <v>-4503</v>
      </c>
      <c r="BL1687" s="6">
        <f>Grandview_Inventory[[#This Row],[Eff_Age]]*Lookups!$B$14</f>
        <v>-11958.33</v>
      </c>
      <c r="BM1687" s="6">
        <f>Grandview_Inventory[[#This Row],[living_area]]*Lookups!$B$15</f>
        <v>75855.117247999995</v>
      </c>
      <c r="BN1687" s="6">
        <f>Grandview_Inventory[[#This Row],[Fin BSMT]]*Lookups!$B$16</f>
        <v>0</v>
      </c>
      <c r="BO1687" s="6">
        <f>(Grandview_Inventory[[#This Row],[att_gar]]+Grandview_Inventory[[#This Row],[bltin_gar]])*Lookups!$B$17</f>
        <v>0</v>
      </c>
      <c r="BP1687" s="6">
        <f>Grandview_Inventory[[#This Row],[Plumbing Fixtures]]*Lookups!$B$18</f>
        <v>12062.650799999999</v>
      </c>
      <c r="BQ1687" s="6">
        <f>Grandview_Inventory[[#This Row],[detatched_value]]*Lookups!$B$19</f>
        <v>3979.9839699999998</v>
      </c>
      <c r="BR1687" s="6">
        <f>SUM(Grandview_Inventory[[#This Row],[Intercept]:[det_value]])*Grandview_Inventory[[#This Row],[res_pct]]</f>
        <v>233521.37201800002</v>
      </c>
      <c r="BS1687" s="6">
        <f>Grandview_Inventory[[#This Row],[land_value]]</f>
        <v>53250.00235313351</v>
      </c>
      <c r="BT1687" s="4">
        <f>_xlfn.IFNA(VLOOKUP(Grandview_Inventory[[#This Row],[quality]],Lookups!$A$26:$C$33,3,FALSE),1)</f>
        <v>0.98763855981004833</v>
      </c>
      <c r="BU1687" s="4">
        <f>_xlfn.IFNA(VLOOKUP(Grandview_Inventory[[#This Row],[condition]],Lookups!$A$37:$C$44,3,FALSE),1)</f>
        <v>0.96469275950863709</v>
      </c>
      <c r="BV1687" s="4">
        <f>IF(Grandview_Inventory[[#This Row],[bldg_style]]="",1,_xlfn.IFNA(VLOOKUP(Grandview_Inventory[[#This Row],[decade]],Lookups!$F$29:$H$43,3,FALSE),1))</f>
        <v>0.98763256963907298</v>
      </c>
      <c r="BW1687" s="4">
        <f>_xlfn.IFNA(VLOOKUP(Grandview_Inventory[[#This Row],[living_area_range]],Lookups!$F$47:$H$56,3,FALSE),1)</f>
        <v>0.96135087979789358</v>
      </c>
      <c r="BX1687" s="4">
        <f>AVERAGE(Grandview_Inventory[[#This Row],[qual_adj]:[size_adj]])</f>
        <v>0.97532869218891294</v>
      </c>
      <c r="BY1687" s="6">
        <f>IF(Grandview_Inventory[[#This Row],[pre_res]]&lt;0,0,Grandview_Inventory[[#This Row],[pre_res]]*Grandview_Inventory[[#This Row],[overall_adj]])</f>
        <v>227760.09436847657</v>
      </c>
      <c r="BZ1687" s="6">
        <f>(Grandview_Inventory[[#This Row],[sum_land]]-IF(Grandview_Inventory[[#This Row],[no_utilities]]=1,12000,0))/IF(Grandview_Inventory[[#This Row],[unbuildable]]=1,2,1)</f>
        <v>53250.00235313351</v>
      </c>
      <c r="CA168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687">
        <f>ROUND(Grandview_Inventory[[#This Row],[det_value]]*Lookups!$M$28,-2)</f>
        <v>3800</v>
      </c>
      <c r="CC1687">
        <f>IF(ROUND(Grandview_Inventory[[#This Row],[adj_res]]*Lookups!$M$28,-2)&lt;Grandview_Inventory[[#This Row],[min_res]],Grandview_Inventory[[#This Row],[min_res]],ROUND(Grandview_Inventory[[#This Row],[adj_res]]*Lookups!$M$28,-2))</f>
        <v>216400</v>
      </c>
      <c r="CD1687">
        <f>Grandview_Inventory[[#This Row],[final_det]]+Grandview_Inventory[[#This Row],[final_res]]</f>
        <v>220200</v>
      </c>
      <c r="CE1687">
        <f>Grandview_Inventory[[#This Row],[final_land]]+Grandview_Inventory[[#This Row],[final_imp]]+Grandview_Inventory[[#This Row],[crop_value]]</f>
        <v>270800</v>
      </c>
      <c r="CG1687" t="str">
        <f t="shared" si="26"/>
        <v>update valuation set market_land =50600, market_bldg=220200, market_total =270800, market_mdno =401, market_date ='9/10/2023' where link_id = (select link_id from parcel where parcel_year = '2024' and parcel_id = '23092332434');</v>
      </c>
    </row>
    <row r="1688" spans="1:85" x14ac:dyDescent="0.25">
      <c r="A1688">
        <v>23092332435</v>
      </c>
      <c r="B1688">
        <v>0.16</v>
      </c>
      <c r="C1688">
        <v>6773</v>
      </c>
      <c r="D1688" t="s">
        <v>129</v>
      </c>
      <c r="E1688" t="s">
        <v>53</v>
      </c>
      <c r="F1688" t="s">
        <v>53</v>
      </c>
      <c r="G1688">
        <v>4</v>
      </c>
      <c r="H1688" t="s">
        <v>54</v>
      </c>
      <c r="I1688">
        <v>115600</v>
      </c>
      <c r="J1688">
        <v>38600</v>
      </c>
      <c r="K1688">
        <v>0.16</v>
      </c>
      <c r="L168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688">
        <v>0</v>
      </c>
      <c r="N1688">
        <v>0</v>
      </c>
      <c r="O1688">
        <v>0</v>
      </c>
      <c r="P1688">
        <v>13398.7528</v>
      </c>
      <c r="Q1688">
        <v>63903</v>
      </c>
      <c r="R1688">
        <f>(Grandview_Inventory[[#This Row],[ln_acres]]*Grandview_Inventory[[#This Row],[coeff]])+Grandview_Inventory[[#This Row],[const]]</f>
        <v>39348.693981374228</v>
      </c>
      <c r="S1688" t="s">
        <v>68</v>
      </c>
      <c r="T1688">
        <v>1</v>
      </c>
      <c r="U1688" t="s">
        <v>70</v>
      </c>
      <c r="V1688" t="s">
        <v>78</v>
      </c>
      <c r="W1688">
        <v>0</v>
      </c>
      <c r="X1688">
        <v>0</v>
      </c>
      <c r="Y1688">
        <v>50</v>
      </c>
      <c r="Z1688">
        <v>75</v>
      </c>
      <c r="AA1688">
        <v>80</v>
      </c>
      <c r="AB1688">
        <v>1500</v>
      </c>
      <c r="AC1688">
        <v>1380</v>
      </c>
      <c r="AD1688">
        <v>812</v>
      </c>
      <c r="AE1688">
        <v>0</v>
      </c>
      <c r="AF1688">
        <v>0</v>
      </c>
      <c r="AG1688">
        <v>568</v>
      </c>
      <c r="AH1688">
        <v>244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24</v>
      </c>
      <c r="AO1688">
        <v>0</v>
      </c>
      <c r="AP1688">
        <v>7</v>
      </c>
      <c r="AQ1688">
        <v>0</v>
      </c>
      <c r="AR1688">
        <v>1</v>
      </c>
      <c r="AS1688" t="s">
        <v>58</v>
      </c>
      <c r="AT1688">
        <v>1</v>
      </c>
      <c r="AU1688" t="s">
        <v>75</v>
      </c>
      <c r="AV1688" t="s">
        <v>60</v>
      </c>
      <c r="AW1688">
        <v>0</v>
      </c>
      <c r="AX1688">
        <v>2</v>
      </c>
      <c r="AY1688">
        <v>0</v>
      </c>
      <c r="AZ1688">
        <v>5200</v>
      </c>
      <c r="BA1688">
        <v>100</v>
      </c>
      <c r="BB1688">
        <v>100</v>
      </c>
      <c r="BC1688">
        <v>100</v>
      </c>
      <c r="BD1688">
        <v>100</v>
      </c>
      <c r="BE1688">
        <v>1</v>
      </c>
      <c r="BF1688">
        <v>15000</v>
      </c>
      <c r="BG1688">
        <v>1000</v>
      </c>
      <c r="BH1688" s="6">
        <f>Grandview_Inventory[[#This Row],[land_extract]]*Lookups!$B$3</f>
        <v>45695.532079096141</v>
      </c>
      <c r="BI1688" s="6">
        <f>IF(Grandview_Inventory[[#This Row],[bldg_style]]="",0,Lookups!$B$2)</f>
        <v>155833.95000000001</v>
      </c>
      <c r="BJ1688" s="6">
        <f>_xlfn.IFNA(VLOOKUP(Grandview_Inventory[[#This Row],[quality]],Lookups!$H$2:$J$14,3,FALSE),0)</f>
        <v>10733</v>
      </c>
      <c r="BK1688" s="6">
        <f>_xlfn.IFNA(VLOOKUP(Grandview_Inventory[[#This Row],[condition]],Lookups!$H$17:$J$24,3,FALSE),0)</f>
        <v>-45357</v>
      </c>
      <c r="BL1688" s="6">
        <f>Grandview_Inventory[[#This Row],[Eff_Age]]*Lookups!$B$14</f>
        <v>-11958.33</v>
      </c>
      <c r="BM1688" s="6">
        <f>Grandview_Inventory[[#This Row],[living_area]]*Lookups!$B$15</f>
        <v>86085.577140000009</v>
      </c>
      <c r="BN1688" s="6">
        <f>Grandview_Inventory[[#This Row],[Fin BSMT]]*Lookups!$B$16</f>
        <v>-15392.368320000001</v>
      </c>
      <c r="BO1688" s="6">
        <f>(Grandview_Inventory[[#This Row],[att_gar]]+Grandview_Inventory[[#This Row],[bltin_gar]])*Lookups!$B$17</f>
        <v>0</v>
      </c>
      <c r="BP1688" s="6">
        <f>Grandview_Inventory[[#This Row],[Plumbing Fixtures]]*Lookups!$B$18</f>
        <v>14073.0926</v>
      </c>
      <c r="BQ1688" s="6">
        <f>Grandview_Inventory[[#This Row],[detatched_value]]*Lookups!$B$19</f>
        <v>4403.38652</v>
      </c>
      <c r="BR1688" s="6">
        <f>SUM(Grandview_Inventory[[#This Row],[Intercept]:[det_value]])*Grandview_Inventory[[#This Row],[res_pct]]</f>
        <v>198421.30794</v>
      </c>
      <c r="BS1688" s="6">
        <f>Grandview_Inventory[[#This Row],[land_value]]</f>
        <v>45695.532079096141</v>
      </c>
      <c r="BT1688" s="4">
        <f>_xlfn.IFNA(VLOOKUP(Grandview_Inventory[[#This Row],[quality]],Lookups!$A$26:$C$33,3,FALSE),1)</f>
        <v>0.98079741117310582</v>
      </c>
      <c r="BU1688" s="4">
        <f>_xlfn.IFNA(VLOOKUP(Grandview_Inventory[[#This Row],[condition]],Lookups!$A$37:$C$44,3,FALSE),1)</f>
        <v>0.97161819570155394</v>
      </c>
      <c r="BV1688" s="4">
        <f>IF(Grandview_Inventory[[#This Row],[bldg_style]]="",1,_xlfn.IFNA(VLOOKUP(Grandview_Inventory[[#This Row],[decade]],Lookups!$F$29:$H$43,3,FALSE),1))</f>
        <v>0.98763256963907298</v>
      </c>
      <c r="BW1688" s="4">
        <f>_xlfn.IFNA(VLOOKUP(Grandview_Inventory[[#This Row],[living_area_range]],Lookups!$F$47:$H$56,3,FALSE),1)</f>
        <v>0.96135087979789358</v>
      </c>
      <c r="BX1688" s="4">
        <f>AVERAGE(Grandview_Inventory[[#This Row],[qual_adj]:[size_adj]])</f>
        <v>0.97534976407790652</v>
      </c>
      <c r="BY1688" s="6">
        <f>IF(Grandview_Inventory[[#This Row],[pre_res]]&lt;0,0,Grandview_Inventory[[#This Row],[pre_res]]*Grandview_Inventory[[#This Row],[overall_adj]])</f>
        <v>193530.17588730864</v>
      </c>
      <c r="BZ1688" s="6">
        <f>(Grandview_Inventory[[#This Row],[sum_land]]-IF(Grandview_Inventory[[#This Row],[no_utilities]]=1,12000,0))/IF(Grandview_Inventory[[#This Row],[unbuildable]]=1,2,1)</f>
        <v>45695.532079096141</v>
      </c>
      <c r="CA168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688">
        <f>ROUND(Grandview_Inventory[[#This Row],[det_value]]*Lookups!$M$28,-2)</f>
        <v>4200</v>
      </c>
      <c r="CC1688">
        <f>IF(ROUND(Grandview_Inventory[[#This Row],[adj_res]]*Lookups!$M$28,-2)&lt;Grandview_Inventory[[#This Row],[min_res]],Grandview_Inventory[[#This Row],[min_res]],ROUND(Grandview_Inventory[[#This Row],[adj_res]]*Lookups!$M$28,-2))</f>
        <v>183900</v>
      </c>
      <c r="CD1688">
        <f>Grandview_Inventory[[#This Row],[final_det]]+Grandview_Inventory[[#This Row],[final_res]]</f>
        <v>188100</v>
      </c>
      <c r="CE1688">
        <f>Grandview_Inventory[[#This Row],[final_land]]+Grandview_Inventory[[#This Row],[final_imp]]+Grandview_Inventory[[#This Row],[crop_value]]</f>
        <v>231500</v>
      </c>
      <c r="CG1688" t="str">
        <f t="shared" si="26"/>
        <v>update valuation set market_land =43400, market_bldg=188100, market_total =231500, market_mdno =401, market_date ='9/10/2023' where link_id = (select link_id from parcel where parcel_year = '2024' and parcel_id = '23092332435');</v>
      </c>
    </row>
    <row r="1689" spans="1:85" x14ac:dyDescent="0.25">
      <c r="A1689">
        <v>23092332436</v>
      </c>
      <c r="B1689">
        <v>0.34</v>
      </c>
      <c r="C1689">
        <v>14699</v>
      </c>
      <c r="D1689" t="s">
        <v>129</v>
      </c>
      <c r="E1689" t="s">
        <v>53</v>
      </c>
      <c r="F1689" t="s">
        <v>53</v>
      </c>
      <c r="G1689">
        <v>4</v>
      </c>
      <c r="H1689" t="s">
        <v>54</v>
      </c>
      <c r="I1689">
        <v>149400</v>
      </c>
      <c r="J1689">
        <v>41200</v>
      </c>
      <c r="K1689">
        <v>0.34</v>
      </c>
      <c r="L1689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689">
        <v>0</v>
      </c>
      <c r="N1689">
        <v>0</v>
      </c>
      <c r="O1689">
        <v>0</v>
      </c>
      <c r="P1689">
        <v>13398.7528</v>
      </c>
      <c r="Q1689">
        <v>63903</v>
      </c>
      <c r="R1689">
        <f>(Grandview_Inventory[[#This Row],[ln_acres]]*Grandview_Inventory[[#This Row],[coeff]])+Grandview_Inventory[[#This Row],[const]]</f>
        <v>49448.296029025805</v>
      </c>
      <c r="S1689" t="s">
        <v>68</v>
      </c>
      <c r="T1689">
        <v>1</v>
      </c>
      <c r="U1689" t="s">
        <v>70</v>
      </c>
      <c r="V1689" t="s">
        <v>78</v>
      </c>
      <c r="W1689">
        <v>0</v>
      </c>
      <c r="X1689">
        <v>0</v>
      </c>
      <c r="Y1689">
        <v>51</v>
      </c>
      <c r="Z1689">
        <v>83</v>
      </c>
      <c r="AA1689">
        <v>90</v>
      </c>
      <c r="AB1689">
        <v>2000</v>
      </c>
      <c r="AC1689">
        <v>1769</v>
      </c>
      <c r="AD1689">
        <v>894</v>
      </c>
      <c r="AE1689">
        <v>0</v>
      </c>
      <c r="AF1689">
        <v>0</v>
      </c>
      <c r="AG1689">
        <v>875</v>
      </c>
      <c r="AH1689">
        <v>0</v>
      </c>
      <c r="AI1689">
        <v>624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5</v>
      </c>
      <c r="AQ1689">
        <v>0</v>
      </c>
      <c r="AR1689">
        <v>0</v>
      </c>
      <c r="AS1689" t="s">
        <v>58</v>
      </c>
      <c r="AT1689">
        <v>1</v>
      </c>
      <c r="AU1689" t="s">
        <v>63</v>
      </c>
      <c r="AV1689" t="s">
        <v>64</v>
      </c>
      <c r="AW1689">
        <v>1</v>
      </c>
      <c r="AX1689">
        <v>3</v>
      </c>
      <c r="AY1689">
        <v>0</v>
      </c>
      <c r="AZ1689">
        <v>1200</v>
      </c>
      <c r="BA1689">
        <v>100</v>
      </c>
      <c r="BB1689">
        <v>100</v>
      </c>
      <c r="BC1689">
        <v>100</v>
      </c>
      <c r="BD1689">
        <v>100</v>
      </c>
      <c r="BE1689">
        <v>1</v>
      </c>
      <c r="BF1689">
        <v>15000</v>
      </c>
      <c r="BG1689">
        <v>1000</v>
      </c>
      <c r="BH1689" s="6">
        <f>Grandview_Inventory[[#This Row],[land_extract]]*Lookups!$B$3</f>
        <v>57424.172668108389</v>
      </c>
      <c r="BI1689" s="6">
        <f>IF(Grandview_Inventory[[#This Row],[bldg_style]]="",0,Lookups!$B$2)</f>
        <v>155833.95000000001</v>
      </c>
      <c r="BJ1689" s="6">
        <f>_xlfn.IFNA(VLOOKUP(Grandview_Inventory[[#This Row],[quality]],Lookups!$H$2:$J$14,3,FALSE),0)</f>
        <v>10733</v>
      </c>
      <c r="BK1689" s="6">
        <f>_xlfn.IFNA(VLOOKUP(Grandview_Inventory[[#This Row],[condition]],Lookups!$H$17:$J$24,3,FALSE),0)</f>
        <v>-45357</v>
      </c>
      <c r="BL1689" s="6">
        <f>Grandview_Inventory[[#This Row],[Eff_Age]]*Lookups!$B$14</f>
        <v>-12197.496599999999</v>
      </c>
      <c r="BM1689" s="6">
        <f>Grandview_Inventory[[#This Row],[living_area]]*Lookups!$B$15</f>
        <v>110351.728957</v>
      </c>
      <c r="BN1689" s="6">
        <f>Grandview_Inventory[[#This Row],[Fin BSMT]]*Lookups!$B$16</f>
        <v>-23711.835000000003</v>
      </c>
      <c r="BO1689" s="6">
        <f>(Grandview_Inventory[[#This Row],[att_gar]]+Grandview_Inventory[[#This Row],[bltin_gar]])*Lookups!$B$17</f>
        <v>54612.752688</v>
      </c>
      <c r="BP1689" s="6">
        <f>Grandview_Inventory[[#This Row],[Plumbing Fixtures]]*Lookups!$B$18</f>
        <v>10052.209000000001</v>
      </c>
      <c r="BQ1689" s="6">
        <f>Grandview_Inventory[[#This Row],[detatched_value]]*Lookups!$B$19</f>
        <v>1016.16612</v>
      </c>
      <c r="BR1689" s="6">
        <f>SUM(Grandview_Inventory[[#This Row],[Intercept]:[det_value]])*Grandview_Inventory[[#This Row],[res_pct]]</f>
        <v>261333.47516500004</v>
      </c>
      <c r="BS1689" s="6">
        <f>Grandview_Inventory[[#This Row],[land_value]]</f>
        <v>57424.172668108389</v>
      </c>
      <c r="BT1689" s="4">
        <f>_xlfn.IFNA(VLOOKUP(Grandview_Inventory[[#This Row],[quality]],Lookups!$A$26:$C$33,3,FALSE),1)</f>
        <v>0.98079741117310582</v>
      </c>
      <c r="BU1689" s="4">
        <f>_xlfn.IFNA(VLOOKUP(Grandview_Inventory[[#This Row],[condition]],Lookups!$A$37:$C$44,3,FALSE),1)</f>
        <v>0.97161819570155394</v>
      </c>
      <c r="BV1689" s="4">
        <f>IF(Grandview_Inventory[[#This Row],[bldg_style]]="",1,_xlfn.IFNA(VLOOKUP(Grandview_Inventory[[#This Row],[decade]],Lookups!$F$29:$H$43,3,FALSE),1))</f>
        <v>0.94161750052457416</v>
      </c>
      <c r="BW1689" s="4">
        <f>_xlfn.IFNA(VLOOKUP(Grandview_Inventory[[#This Row],[living_area_range]],Lookups!$F$47:$H$56,3,FALSE),1)</f>
        <v>0.96120133463014379</v>
      </c>
      <c r="BX1689" s="4">
        <f>AVERAGE(Grandview_Inventory[[#This Row],[qual_adj]:[size_adj]])</f>
        <v>0.96380861050734445</v>
      </c>
      <c r="BY1689" s="6">
        <f>IF(Grandview_Inventory[[#This Row],[pre_res]]&lt;0,0,Grandview_Inventory[[#This Row],[pre_res]]*Grandview_Inventory[[#This Row],[overall_adj]])</f>
        <v>251875.4535778343</v>
      </c>
      <c r="BZ1689" s="6">
        <f>(Grandview_Inventory[[#This Row],[sum_land]]-IF(Grandview_Inventory[[#This Row],[no_utilities]]=1,12000,0))/IF(Grandview_Inventory[[#This Row],[unbuildable]]=1,2,1)</f>
        <v>57424.172668108389</v>
      </c>
      <c r="CA1689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689">
        <f>ROUND(Grandview_Inventory[[#This Row],[det_value]]*Lookups!$M$28,-2)</f>
        <v>1000</v>
      </c>
      <c r="CC1689">
        <f>IF(ROUND(Grandview_Inventory[[#This Row],[adj_res]]*Lookups!$M$28,-2)&lt;Grandview_Inventory[[#This Row],[min_res]],Grandview_Inventory[[#This Row],[min_res]],ROUND(Grandview_Inventory[[#This Row],[adj_res]]*Lookups!$M$28,-2))</f>
        <v>239300</v>
      </c>
      <c r="CD1689">
        <f>Grandview_Inventory[[#This Row],[final_det]]+Grandview_Inventory[[#This Row],[final_res]]</f>
        <v>240300</v>
      </c>
      <c r="CE1689">
        <f>Grandview_Inventory[[#This Row],[final_land]]+Grandview_Inventory[[#This Row],[final_imp]]+Grandview_Inventory[[#This Row],[crop_value]]</f>
        <v>294900</v>
      </c>
      <c r="CG1689" t="str">
        <f t="shared" si="26"/>
        <v>update valuation set market_land =54600, market_bldg=240300, market_total =294900, market_mdno =401, market_date ='9/10/2023' where link_id = (select link_id from parcel where parcel_year = '2024' and parcel_id = '23092332436');</v>
      </c>
    </row>
    <row r="1690" spans="1:85" x14ac:dyDescent="0.25">
      <c r="A1690">
        <v>23092332437</v>
      </c>
      <c r="B1690">
        <v>0.23</v>
      </c>
      <c r="C1690">
        <v>9997</v>
      </c>
      <c r="D1690" t="s">
        <v>129</v>
      </c>
      <c r="E1690" t="s">
        <v>53</v>
      </c>
      <c r="F1690" t="s">
        <v>53</v>
      </c>
      <c r="G1690">
        <v>4</v>
      </c>
      <c r="H1690" t="s">
        <v>54</v>
      </c>
      <c r="I1690">
        <v>187200</v>
      </c>
      <c r="J1690">
        <v>39500</v>
      </c>
      <c r="K1690">
        <v>0.23</v>
      </c>
      <c r="L169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690">
        <v>0</v>
      </c>
      <c r="N1690">
        <v>0</v>
      </c>
      <c r="O1690">
        <v>0</v>
      </c>
      <c r="P1690">
        <v>13398.7528</v>
      </c>
      <c r="Q1690">
        <v>63903</v>
      </c>
      <c r="R1690">
        <f>(Grandview_Inventory[[#This Row],[ln_acres]]*Grandview_Inventory[[#This Row],[coeff]])+Grandview_Inventory[[#This Row],[const]]</f>
        <v>44211.174981080039</v>
      </c>
      <c r="S1690" t="s">
        <v>55</v>
      </c>
      <c r="T1690">
        <v>2</v>
      </c>
      <c r="U1690" t="s">
        <v>65</v>
      </c>
      <c r="V1690" t="s">
        <v>69</v>
      </c>
      <c r="W1690">
        <v>0</v>
      </c>
      <c r="X1690">
        <v>0</v>
      </c>
      <c r="Y1690">
        <v>51</v>
      </c>
      <c r="Z1690">
        <v>78</v>
      </c>
      <c r="AA1690">
        <v>80</v>
      </c>
      <c r="AB1690">
        <v>2500</v>
      </c>
      <c r="AC1690">
        <v>2092</v>
      </c>
      <c r="AD1690">
        <v>862</v>
      </c>
      <c r="AE1690">
        <v>456</v>
      </c>
      <c r="AF1690">
        <v>0</v>
      </c>
      <c r="AG1690">
        <v>774</v>
      </c>
      <c r="AH1690">
        <v>0</v>
      </c>
      <c r="AI1690">
        <v>264</v>
      </c>
      <c r="AJ1690">
        <v>0</v>
      </c>
      <c r="AK1690">
        <v>0</v>
      </c>
      <c r="AL1690">
        <v>0</v>
      </c>
      <c r="AM1690">
        <v>160</v>
      </c>
      <c r="AN1690">
        <v>18</v>
      </c>
      <c r="AO1690">
        <v>160</v>
      </c>
      <c r="AP1690">
        <v>9</v>
      </c>
      <c r="AQ1690">
        <v>0</v>
      </c>
      <c r="AR1690">
        <v>1</v>
      </c>
      <c r="AS1690" t="s">
        <v>58</v>
      </c>
      <c r="AT1690">
        <v>1</v>
      </c>
      <c r="AU1690" t="s">
        <v>63</v>
      </c>
      <c r="AV1690" t="s">
        <v>64</v>
      </c>
      <c r="AW1690">
        <v>0</v>
      </c>
      <c r="AX1690">
        <v>4</v>
      </c>
      <c r="AY1690">
        <v>0</v>
      </c>
      <c r="AZ1690">
        <v>0</v>
      </c>
      <c r="BA1690">
        <v>100</v>
      </c>
      <c r="BB1690">
        <v>100</v>
      </c>
      <c r="BC1690">
        <v>100</v>
      </c>
      <c r="BD1690">
        <v>100</v>
      </c>
      <c r="BE1690">
        <v>1</v>
      </c>
      <c r="BF1690">
        <v>15000</v>
      </c>
      <c r="BG1690">
        <v>1000</v>
      </c>
      <c r="BH1690" s="6">
        <f>Grandview_Inventory[[#This Row],[land_extract]]*Lookups!$B$3</f>
        <v>51342.318135355803</v>
      </c>
      <c r="BI1690" s="6">
        <f>IF(Grandview_Inventory[[#This Row],[bldg_style]]="",0,Lookups!$B$2)</f>
        <v>155833.95000000001</v>
      </c>
      <c r="BJ1690" s="6">
        <f>_xlfn.IFNA(VLOOKUP(Grandview_Inventory[[#This Row],[quality]],Lookups!$H$2:$J$14,3,FALSE),0)</f>
        <v>2251</v>
      </c>
      <c r="BK1690" s="6">
        <f>_xlfn.IFNA(VLOOKUP(Grandview_Inventory[[#This Row],[condition]],Lookups!$H$17:$J$24,3,FALSE),0)</f>
        <v>-4503</v>
      </c>
      <c r="BL1690" s="6">
        <f>Grandview_Inventory[[#This Row],[Eff_Age]]*Lookups!$B$14</f>
        <v>-12197.496599999999</v>
      </c>
      <c r="BM1690" s="6">
        <f>Grandview_Inventory[[#This Row],[living_area]]*Lookups!$B$15</f>
        <v>130500.74447600001</v>
      </c>
      <c r="BN1690" s="6">
        <f>Grandview_Inventory[[#This Row],[Fin BSMT]]*Lookups!$B$16</f>
        <v>-20974.811760000001</v>
      </c>
      <c r="BO1690" s="6">
        <f>(Grandview_Inventory[[#This Row],[att_gar]]+Grandview_Inventory[[#This Row],[bltin_gar]])*Lookups!$B$17</f>
        <v>23105.395368000001</v>
      </c>
      <c r="BP1690" s="6">
        <f>Grandview_Inventory[[#This Row],[Plumbing Fixtures]]*Lookups!$B$18</f>
        <v>18093.976200000001</v>
      </c>
      <c r="BQ1690" s="6">
        <f>Grandview_Inventory[[#This Row],[detatched_value]]*Lookups!$B$19</f>
        <v>0</v>
      </c>
      <c r="BR1690" s="6">
        <f>SUM(Grandview_Inventory[[#This Row],[Intercept]:[det_value]])*Grandview_Inventory[[#This Row],[res_pct]]</f>
        <v>292109.75768400001</v>
      </c>
      <c r="BS1690" s="6">
        <f>Grandview_Inventory[[#This Row],[land_value]]</f>
        <v>51342.318135355803</v>
      </c>
      <c r="BT1690" s="4">
        <f>_xlfn.IFNA(VLOOKUP(Grandview_Inventory[[#This Row],[quality]],Lookups!$A$26:$C$33,3,FALSE),1)</f>
        <v>0.98763855981004833</v>
      </c>
      <c r="BU1690" s="4">
        <f>_xlfn.IFNA(VLOOKUP(Grandview_Inventory[[#This Row],[condition]],Lookups!$A$37:$C$44,3,FALSE),1)</f>
        <v>0.96469275950863709</v>
      </c>
      <c r="BV1690" s="4">
        <f>IF(Grandview_Inventory[[#This Row],[bldg_style]]="",1,_xlfn.IFNA(VLOOKUP(Grandview_Inventory[[#This Row],[decade]],Lookups!$F$29:$H$43,3,FALSE),1))</f>
        <v>0.98763256963907298</v>
      </c>
      <c r="BW1690" s="4">
        <f>_xlfn.IFNA(VLOOKUP(Grandview_Inventory[[#This Row],[living_area_range]],Lookups!$F$47:$H$56,3,FALSE),1)</f>
        <v>0.95799442568048754</v>
      </c>
      <c r="BX1690" s="4">
        <f>AVERAGE(Grandview_Inventory[[#This Row],[qual_adj]:[size_adj]])</f>
        <v>0.97448957865956143</v>
      </c>
      <c r="BY1690" s="6">
        <f>IF(Grandview_Inventory[[#This Row],[pre_res]]&lt;0,0,Grandview_Inventory[[#This Row],[pre_res]]*Grandview_Inventory[[#This Row],[overall_adj]])</f>
        <v>284657.91468782775</v>
      </c>
      <c r="BZ1690" s="6">
        <f>(Grandview_Inventory[[#This Row],[sum_land]]-IF(Grandview_Inventory[[#This Row],[no_utilities]]=1,12000,0))/IF(Grandview_Inventory[[#This Row],[unbuildable]]=1,2,1)</f>
        <v>51342.318135355803</v>
      </c>
      <c r="CA169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690">
        <f>ROUND(Grandview_Inventory[[#This Row],[det_value]]*Lookups!$M$28,-2)</f>
        <v>0</v>
      </c>
      <c r="CC1690">
        <f>IF(ROUND(Grandview_Inventory[[#This Row],[adj_res]]*Lookups!$M$28,-2)&lt;Grandview_Inventory[[#This Row],[min_res]],Grandview_Inventory[[#This Row],[min_res]],ROUND(Grandview_Inventory[[#This Row],[adj_res]]*Lookups!$M$28,-2))</f>
        <v>270400</v>
      </c>
      <c r="CD1690">
        <f>Grandview_Inventory[[#This Row],[final_det]]+Grandview_Inventory[[#This Row],[final_res]]</f>
        <v>270400</v>
      </c>
      <c r="CE1690">
        <f>Grandview_Inventory[[#This Row],[final_land]]+Grandview_Inventory[[#This Row],[final_imp]]+Grandview_Inventory[[#This Row],[crop_value]]</f>
        <v>319200</v>
      </c>
      <c r="CG1690" t="str">
        <f t="shared" si="26"/>
        <v>update valuation set market_land =48800, market_bldg=270400, market_total =319200, market_mdno =401, market_date ='9/10/2023' where link_id = (select link_id from parcel where parcel_year = '2024' and parcel_id = '23092332437');</v>
      </c>
    </row>
    <row r="1691" spans="1:85" x14ac:dyDescent="0.25">
      <c r="A1691">
        <v>23092332438</v>
      </c>
      <c r="B1691">
        <v>0.26</v>
      </c>
      <c r="C1691">
        <v>11180</v>
      </c>
      <c r="D1691" t="s">
        <v>129</v>
      </c>
      <c r="E1691" t="s">
        <v>53</v>
      </c>
      <c r="F1691" t="s">
        <v>53</v>
      </c>
      <c r="G1691">
        <v>4</v>
      </c>
      <c r="H1691" t="s">
        <v>54</v>
      </c>
      <c r="I1691">
        <v>114300</v>
      </c>
      <c r="J1691">
        <v>44500</v>
      </c>
      <c r="K1691">
        <v>0.26</v>
      </c>
      <c r="L1691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691">
        <v>0</v>
      </c>
      <c r="N1691">
        <v>0</v>
      </c>
      <c r="O1691">
        <v>0</v>
      </c>
      <c r="P1691">
        <v>13398.7528</v>
      </c>
      <c r="Q1691">
        <v>63903</v>
      </c>
      <c r="R1691">
        <f>(Grandview_Inventory[[#This Row],[ln_acres]]*Grandview_Inventory[[#This Row],[coeff]])+Grandview_Inventory[[#This Row],[const]]</f>
        <v>45853.893187501177</v>
      </c>
      <c r="S1691" t="s">
        <v>68</v>
      </c>
      <c r="T1691">
        <v>1</v>
      </c>
      <c r="U1691" t="s">
        <v>70</v>
      </c>
      <c r="V1691" t="s">
        <v>69</v>
      </c>
      <c r="W1691">
        <v>0</v>
      </c>
      <c r="X1691">
        <v>0</v>
      </c>
      <c r="Y1691">
        <v>50</v>
      </c>
      <c r="Z1691">
        <v>75</v>
      </c>
      <c r="AA1691">
        <v>80</v>
      </c>
      <c r="AB1691">
        <v>1000</v>
      </c>
      <c r="AC1691">
        <v>812</v>
      </c>
      <c r="AD1691">
        <v>812</v>
      </c>
      <c r="AE1691">
        <v>0</v>
      </c>
      <c r="AF1691">
        <v>0</v>
      </c>
      <c r="AG1691">
        <v>0</v>
      </c>
      <c r="AH1691">
        <v>812</v>
      </c>
      <c r="AI1691">
        <v>0</v>
      </c>
      <c r="AJ1691">
        <v>0</v>
      </c>
      <c r="AK1691">
        <v>0</v>
      </c>
      <c r="AL1691">
        <v>0</v>
      </c>
      <c r="AM1691">
        <v>224</v>
      </c>
      <c r="AN1691">
        <v>18</v>
      </c>
      <c r="AO1691">
        <v>224</v>
      </c>
      <c r="AP1691">
        <v>5</v>
      </c>
      <c r="AQ1691">
        <v>0</v>
      </c>
      <c r="AR1691">
        <v>1</v>
      </c>
      <c r="AS1691" t="s">
        <v>58</v>
      </c>
      <c r="AT1691">
        <v>0</v>
      </c>
      <c r="AU1691" t="s">
        <v>82</v>
      </c>
      <c r="AV1691" t="s">
        <v>64</v>
      </c>
      <c r="AW1691">
        <v>0</v>
      </c>
      <c r="AX1691">
        <v>2</v>
      </c>
      <c r="AY1691">
        <v>0</v>
      </c>
      <c r="AZ1691">
        <v>0</v>
      </c>
      <c r="BA1691">
        <v>100</v>
      </c>
      <c r="BB1691">
        <v>100</v>
      </c>
      <c r="BC1691">
        <v>100</v>
      </c>
      <c r="BD1691">
        <v>100</v>
      </c>
      <c r="BE1691">
        <v>1</v>
      </c>
      <c r="BF1691">
        <v>15000</v>
      </c>
      <c r="BG1691">
        <v>1000</v>
      </c>
      <c r="BH1691" s="6">
        <f>Grandview_Inventory[[#This Row],[land_extract]]*Lookups!$B$3</f>
        <v>53250.00235313351</v>
      </c>
      <c r="BI1691" s="6">
        <f>IF(Grandview_Inventory[[#This Row],[bldg_style]]="",0,Lookups!$B$2)</f>
        <v>155833.95000000001</v>
      </c>
      <c r="BJ1691" s="6">
        <f>_xlfn.IFNA(VLOOKUP(Grandview_Inventory[[#This Row],[quality]],Lookups!$H$2:$J$14,3,FALSE),0)</f>
        <v>10733</v>
      </c>
      <c r="BK1691" s="6">
        <f>_xlfn.IFNA(VLOOKUP(Grandview_Inventory[[#This Row],[condition]],Lookups!$H$17:$J$24,3,FALSE),0)</f>
        <v>-4503</v>
      </c>
      <c r="BL1691" s="6">
        <f>Grandview_Inventory[[#This Row],[Eff_Age]]*Lookups!$B$14</f>
        <v>-11958.33</v>
      </c>
      <c r="BM1691" s="6">
        <f>Grandview_Inventory[[#This Row],[living_area]]*Lookups!$B$15</f>
        <v>50653.252636000005</v>
      </c>
      <c r="BN1691" s="6">
        <f>Grandview_Inventory[[#This Row],[Fin BSMT]]*Lookups!$B$16</f>
        <v>0</v>
      </c>
      <c r="BO1691" s="6">
        <f>(Grandview_Inventory[[#This Row],[att_gar]]+Grandview_Inventory[[#This Row],[bltin_gar]])*Lookups!$B$17</f>
        <v>0</v>
      </c>
      <c r="BP1691" s="6">
        <f>Grandview_Inventory[[#This Row],[Plumbing Fixtures]]*Lookups!$B$18</f>
        <v>10052.209000000001</v>
      </c>
      <c r="BQ1691" s="6">
        <f>Grandview_Inventory[[#This Row],[detatched_value]]*Lookups!$B$19</f>
        <v>0</v>
      </c>
      <c r="BR1691" s="6">
        <f>SUM(Grandview_Inventory[[#This Row],[Intercept]:[det_value]])*Grandview_Inventory[[#This Row],[res_pct]]</f>
        <v>210811.08163600005</v>
      </c>
      <c r="BS1691" s="6">
        <f>Grandview_Inventory[[#This Row],[land_value]]</f>
        <v>53250.00235313351</v>
      </c>
      <c r="BT1691" s="4">
        <f>_xlfn.IFNA(VLOOKUP(Grandview_Inventory[[#This Row],[quality]],Lookups!$A$26:$C$33,3,FALSE),1)</f>
        <v>0.98079741117310582</v>
      </c>
      <c r="BU1691" s="4">
        <f>_xlfn.IFNA(VLOOKUP(Grandview_Inventory[[#This Row],[condition]],Lookups!$A$37:$C$44,3,FALSE),1)</f>
        <v>0.96469275950863709</v>
      </c>
      <c r="BV1691" s="4">
        <f>IF(Grandview_Inventory[[#This Row],[bldg_style]]="",1,_xlfn.IFNA(VLOOKUP(Grandview_Inventory[[#This Row],[decade]],Lookups!$F$29:$H$43,3,FALSE),1))</f>
        <v>0.98763256963907298</v>
      </c>
      <c r="BW1691" s="4">
        <f>_xlfn.IFNA(VLOOKUP(Grandview_Inventory[[#This Row],[living_area_range]],Lookups!$F$47:$H$56,3,FALSE),1)</f>
        <v>0.94306777142782894</v>
      </c>
      <c r="BX1691" s="4">
        <f>AVERAGE(Grandview_Inventory[[#This Row],[qual_adj]:[size_adj]])</f>
        <v>0.96904762793716115</v>
      </c>
      <c r="BY1691" s="6">
        <f>IF(Grandview_Inventory[[#This Row],[pre_res]]&lt;0,0,Grandview_Inventory[[#This Row],[pre_res]]*Grandview_Inventory[[#This Row],[overall_adj]])</f>
        <v>204285.97860223308</v>
      </c>
      <c r="BZ1691" s="6">
        <f>(Grandview_Inventory[[#This Row],[sum_land]]-IF(Grandview_Inventory[[#This Row],[no_utilities]]=1,12000,0))/IF(Grandview_Inventory[[#This Row],[unbuildable]]=1,2,1)</f>
        <v>53250.00235313351</v>
      </c>
      <c r="CA1691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691">
        <f>ROUND(Grandview_Inventory[[#This Row],[det_value]]*Lookups!$M$28,-2)</f>
        <v>0</v>
      </c>
      <c r="CC1691">
        <f>IF(ROUND(Grandview_Inventory[[#This Row],[adj_res]]*Lookups!$M$28,-2)&lt;Grandview_Inventory[[#This Row],[min_res]],Grandview_Inventory[[#This Row],[min_res]],ROUND(Grandview_Inventory[[#This Row],[adj_res]]*Lookups!$M$28,-2))</f>
        <v>194100</v>
      </c>
      <c r="CD1691">
        <f>Grandview_Inventory[[#This Row],[final_det]]+Grandview_Inventory[[#This Row],[final_res]]</f>
        <v>194100</v>
      </c>
      <c r="CE1691">
        <f>Grandview_Inventory[[#This Row],[final_land]]+Grandview_Inventory[[#This Row],[final_imp]]+Grandview_Inventory[[#This Row],[crop_value]]</f>
        <v>244700</v>
      </c>
      <c r="CG1691" t="str">
        <f t="shared" si="26"/>
        <v>update valuation set market_land =50600, market_bldg=194100, market_total =244700, market_mdno =401, market_date ='9/10/2023' where link_id = (select link_id from parcel where parcel_year = '2024' and parcel_id = '23092332438');</v>
      </c>
    </row>
    <row r="1692" spans="1:85" x14ac:dyDescent="0.25">
      <c r="A1692">
        <v>23092332439</v>
      </c>
      <c r="B1692">
        <v>0.31</v>
      </c>
      <c r="C1692">
        <v>13511</v>
      </c>
      <c r="D1692" t="s">
        <v>129</v>
      </c>
      <c r="E1692" t="s">
        <v>53</v>
      </c>
      <c r="F1692" t="s">
        <v>53</v>
      </c>
      <c r="G1692">
        <v>4</v>
      </c>
      <c r="H1692" t="s">
        <v>54</v>
      </c>
      <c r="I1692">
        <v>191000</v>
      </c>
      <c r="J1692">
        <v>41100</v>
      </c>
      <c r="K1692">
        <v>0.31</v>
      </c>
      <c r="L1692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692">
        <v>0</v>
      </c>
      <c r="N1692">
        <v>0</v>
      </c>
      <c r="O1692">
        <v>0</v>
      </c>
      <c r="P1692">
        <v>13398.7528</v>
      </c>
      <c r="Q1692">
        <v>63903</v>
      </c>
      <c r="R1692">
        <f>(Grandview_Inventory[[#This Row],[ln_acres]]*Grandview_Inventory[[#This Row],[coeff]])+Grandview_Inventory[[#This Row],[const]]</f>
        <v>48210.608747275066</v>
      </c>
      <c r="S1692" t="s">
        <v>68</v>
      </c>
      <c r="T1692">
        <v>1</v>
      </c>
      <c r="U1692" t="s">
        <v>65</v>
      </c>
      <c r="V1692" t="s">
        <v>67</v>
      </c>
      <c r="W1692">
        <v>0</v>
      </c>
      <c r="X1692">
        <v>0</v>
      </c>
      <c r="Y1692">
        <v>50</v>
      </c>
      <c r="Z1692">
        <v>75</v>
      </c>
      <c r="AA1692">
        <v>80</v>
      </c>
      <c r="AB1692">
        <v>2500</v>
      </c>
      <c r="AC1692">
        <v>2092</v>
      </c>
      <c r="AD1692">
        <v>1194</v>
      </c>
      <c r="AE1692">
        <v>0</v>
      </c>
      <c r="AF1692">
        <v>0</v>
      </c>
      <c r="AG1692">
        <v>898</v>
      </c>
      <c r="AH1692">
        <v>0</v>
      </c>
      <c r="AI1692">
        <v>0</v>
      </c>
      <c r="AJ1692">
        <v>0</v>
      </c>
      <c r="AK1692">
        <v>320</v>
      </c>
      <c r="AL1692">
        <v>110</v>
      </c>
      <c r="AM1692">
        <v>0</v>
      </c>
      <c r="AN1692">
        <v>0</v>
      </c>
      <c r="AO1692">
        <v>0</v>
      </c>
      <c r="AP1692">
        <v>8</v>
      </c>
      <c r="AQ1692">
        <v>0</v>
      </c>
      <c r="AR1692">
        <v>1</v>
      </c>
      <c r="AS1692" t="s">
        <v>58</v>
      </c>
      <c r="AT1692">
        <v>1</v>
      </c>
      <c r="AU1692" t="s">
        <v>63</v>
      </c>
      <c r="AV1692" t="s">
        <v>64</v>
      </c>
      <c r="AW1692">
        <v>0</v>
      </c>
      <c r="AX1692">
        <v>3</v>
      </c>
      <c r="AY1692">
        <v>0</v>
      </c>
      <c r="AZ1692">
        <v>0</v>
      </c>
      <c r="BA1692">
        <v>100</v>
      </c>
      <c r="BB1692">
        <v>100</v>
      </c>
      <c r="BC1692">
        <v>100</v>
      </c>
      <c r="BD1692">
        <v>100</v>
      </c>
      <c r="BE1692">
        <v>1</v>
      </c>
      <c r="BF1692">
        <v>15000</v>
      </c>
      <c r="BG1692">
        <v>1000</v>
      </c>
      <c r="BH1692" s="6">
        <f>Grandview_Inventory[[#This Row],[land_extract]]*Lookups!$B$3</f>
        <v>55986.849769566914</v>
      </c>
      <c r="BI1692" s="6">
        <f>IF(Grandview_Inventory[[#This Row],[bldg_style]]="",0,Lookups!$B$2)</f>
        <v>155833.95000000001</v>
      </c>
      <c r="BJ1692" s="6">
        <f>_xlfn.IFNA(VLOOKUP(Grandview_Inventory[[#This Row],[quality]],Lookups!$H$2:$J$14,3,FALSE),0)</f>
        <v>2251</v>
      </c>
      <c r="BK1692" s="6">
        <f>_xlfn.IFNA(VLOOKUP(Grandview_Inventory[[#This Row],[condition]],Lookups!$H$17:$J$24,3,FALSE),0)</f>
        <v>22342</v>
      </c>
      <c r="BL1692" s="6">
        <f>Grandview_Inventory[[#This Row],[Eff_Age]]*Lookups!$B$14</f>
        <v>-11958.33</v>
      </c>
      <c r="BM1692" s="6">
        <f>Grandview_Inventory[[#This Row],[living_area]]*Lookups!$B$15</f>
        <v>130500.74447600001</v>
      </c>
      <c r="BN1692" s="6">
        <f>Grandview_Inventory[[#This Row],[Fin BSMT]]*Lookups!$B$16</f>
        <v>-24335.11752</v>
      </c>
      <c r="BO1692" s="6">
        <f>(Grandview_Inventory[[#This Row],[att_gar]]+Grandview_Inventory[[#This Row],[bltin_gar]])*Lookups!$B$17</f>
        <v>0</v>
      </c>
      <c r="BP1692" s="6">
        <f>Grandview_Inventory[[#This Row],[Plumbing Fixtures]]*Lookups!$B$18</f>
        <v>16083.5344</v>
      </c>
      <c r="BQ1692" s="6">
        <f>Grandview_Inventory[[#This Row],[detatched_value]]*Lookups!$B$19</f>
        <v>0</v>
      </c>
      <c r="BR1692" s="6">
        <f>SUM(Grandview_Inventory[[#This Row],[Intercept]:[det_value]])*Grandview_Inventory[[#This Row],[res_pct]]</f>
        <v>290717.78135599999</v>
      </c>
      <c r="BS1692" s="6">
        <f>Grandview_Inventory[[#This Row],[land_value]]</f>
        <v>55986.849769566914</v>
      </c>
      <c r="BT1692" s="4">
        <f>_xlfn.IFNA(VLOOKUP(Grandview_Inventory[[#This Row],[quality]],Lookups!$A$26:$C$33,3,FALSE),1)</f>
        <v>0.98763855981004833</v>
      </c>
      <c r="BU1692" s="4">
        <f>_xlfn.IFNA(VLOOKUP(Grandview_Inventory[[#This Row],[condition]],Lookups!$A$37:$C$44,3,FALSE),1)</f>
        <v>0.97383723671140243</v>
      </c>
      <c r="BV1692" s="4">
        <f>IF(Grandview_Inventory[[#This Row],[bldg_style]]="",1,_xlfn.IFNA(VLOOKUP(Grandview_Inventory[[#This Row],[decade]],Lookups!$F$29:$H$43,3,FALSE),1))</f>
        <v>0.98763256963907298</v>
      </c>
      <c r="BW1692" s="4">
        <f>_xlfn.IFNA(VLOOKUP(Grandview_Inventory[[#This Row],[living_area_range]],Lookups!$F$47:$H$56,3,FALSE),1)</f>
        <v>0.95799442568048754</v>
      </c>
      <c r="BX1692" s="4">
        <f>AVERAGE(Grandview_Inventory[[#This Row],[qual_adj]:[size_adj]])</f>
        <v>0.97677569796025276</v>
      </c>
      <c r="BY1692" s="6">
        <f>IF(Grandview_Inventory[[#This Row],[pre_res]]&lt;0,0,Grandview_Inventory[[#This Row],[pre_res]]*Grandview_Inventory[[#This Row],[overall_adj]])</f>
        <v>283966.06379346305</v>
      </c>
      <c r="BZ1692" s="6">
        <f>(Grandview_Inventory[[#This Row],[sum_land]]-IF(Grandview_Inventory[[#This Row],[no_utilities]]=1,12000,0))/IF(Grandview_Inventory[[#This Row],[unbuildable]]=1,2,1)</f>
        <v>55986.849769566914</v>
      </c>
      <c r="CA1692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692">
        <f>ROUND(Grandview_Inventory[[#This Row],[det_value]]*Lookups!$M$28,-2)</f>
        <v>0</v>
      </c>
      <c r="CC1692">
        <f>IF(ROUND(Grandview_Inventory[[#This Row],[adj_res]]*Lookups!$M$28,-2)&lt;Grandview_Inventory[[#This Row],[min_res]],Grandview_Inventory[[#This Row],[min_res]],ROUND(Grandview_Inventory[[#This Row],[adj_res]]*Lookups!$M$28,-2))</f>
        <v>269800</v>
      </c>
      <c r="CD1692">
        <f>Grandview_Inventory[[#This Row],[final_det]]+Grandview_Inventory[[#This Row],[final_res]]</f>
        <v>269800</v>
      </c>
      <c r="CE1692">
        <f>Grandview_Inventory[[#This Row],[final_land]]+Grandview_Inventory[[#This Row],[final_imp]]+Grandview_Inventory[[#This Row],[crop_value]]</f>
        <v>323000</v>
      </c>
      <c r="CG1692" t="str">
        <f t="shared" si="26"/>
        <v>update valuation set market_land =53200, market_bldg=269800, market_total =323000, market_mdno =401, market_date ='9/10/2023' where link_id = (select link_id from parcel where parcel_year = '2024' and parcel_id = '23092332439');</v>
      </c>
    </row>
    <row r="1693" spans="1:85" x14ac:dyDescent="0.25">
      <c r="A1693">
        <v>23092332440</v>
      </c>
      <c r="B1693">
        <v>0.22</v>
      </c>
      <c r="C1693">
        <v>9660</v>
      </c>
      <c r="D1693" t="s">
        <v>129</v>
      </c>
      <c r="E1693" t="s">
        <v>53</v>
      </c>
      <c r="F1693" t="s">
        <v>53</v>
      </c>
      <c r="G1693">
        <v>4</v>
      </c>
      <c r="H1693" t="s">
        <v>54</v>
      </c>
      <c r="I1693">
        <v>253400</v>
      </c>
      <c r="J1693">
        <v>39500</v>
      </c>
      <c r="K1693">
        <v>0.22</v>
      </c>
      <c r="L169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93">
        <v>0</v>
      </c>
      <c r="N1693">
        <v>0</v>
      </c>
      <c r="O1693">
        <v>0</v>
      </c>
      <c r="P1693">
        <v>13398.7528</v>
      </c>
      <c r="Q1693">
        <v>63903</v>
      </c>
      <c r="R1693">
        <f>(Grandview_Inventory[[#This Row],[ln_acres]]*Grandview_Inventory[[#This Row],[coeff]])+Grandview_Inventory[[#This Row],[const]]</f>
        <v>43615.576802869145</v>
      </c>
      <c r="S1693" t="s">
        <v>55</v>
      </c>
      <c r="T1693">
        <v>2</v>
      </c>
      <c r="U1693" t="s">
        <v>70</v>
      </c>
      <c r="V1693" t="s">
        <v>67</v>
      </c>
      <c r="W1693">
        <v>0</v>
      </c>
      <c r="X1693">
        <v>0</v>
      </c>
      <c r="Y1693">
        <v>51</v>
      </c>
      <c r="Z1693">
        <v>78</v>
      </c>
      <c r="AA1693">
        <v>80</v>
      </c>
      <c r="AB1693">
        <v>2500</v>
      </c>
      <c r="AC1693">
        <v>2118</v>
      </c>
      <c r="AD1693">
        <v>821</v>
      </c>
      <c r="AE1693">
        <v>476</v>
      </c>
      <c r="AF1693">
        <v>0</v>
      </c>
      <c r="AG1693">
        <v>821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510</v>
      </c>
      <c r="AN1693">
        <v>63</v>
      </c>
      <c r="AO1693">
        <v>510</v>
      </c>
      <c r="AP1693">
        <v>5</v>
      </c>
      <c r="AQ1693">
        <v>0</v>
      </c>
      <c r="AR1693">
        <v>0</v>
      </c>
      <c r="AS1693" t="s">
        <v>58</v>
      </c>
      <c r="AT1693">
        <v>1</v>
      </c>
      <c r="AU1693" t="s">
        <v>63</v>
      </c>
      <c r="AV1693" t="s">
        <v>60</v>
      </c>
      <c r="AW1693">
        <v>1</v>
      </c>
      <c r="AX1693">
        <v>4</v>
      </c>
      <c r="AY1693">
        <v>0</v>
      </c>
      <c r="AZ1693">
        <v>27800</v>
      </c>
      <c r="BA1693">
        <v>100</v>
      </c>
      <c r="BB1693">
        <v>100</v>
      </c>
      <c r="BC1693">
        <v>100</v>
      </c>
      <c r="BD1693">
        <v>100</v>
      </c>
      <c r="BE1693">
        <v>1</v>
      </c>
      <c r="BF1693">
        <v>15000</v>
      </c>
      <c r="BG1693">
        <v>1000</v>
      </c>
      <c r="BH1693" s="6">
        <f>Grandview_Inventory[[#This Row],[land_extract]]*Lookups!$B$3</f>
        <v>50650.651579114572</v>
      </c>
      <c r="BI1693" s="6">
        <f>IF(Grandview_Inventory[[#This Row],[bldg_style]]="",0,Lookups!$B$2)</f>
        <v>155833.95000000001</v>
      </c>
      <c r="BJ1693" s="6">
        <f>_xlfn.IFNA(VLOOKUP(Grandview_Inventory[[#This Row],[quality]],Lookups!$H$2:$J$14,3,FALSE),0)</f>
        <v>10733</v>
      </c>
      <c r="BK1693" s="6">
        <f>_xlfn.IFNA(VLOOKUP(Grandview_Inventory[[#This Row],[condition]],Lookups!$H$17:$J$24,3,FALSE),0)</f>
        <v>22342</v>
      </c>
      <c r="BL1693" s="6">
        <f>Grandview_Inventory[[#This Row],[Eff_Age]]*Lookups!$B$14</f>
        <v>-12197.496599999999</v>
      </c>
      <c r="BM1693" s="6">
        <f>Grandview_Inventory[[#This Row],[living_area]]*Lookups!$B$15</f>
        <v>132122.64665400001</v>
      </c>
      <c r="BN1693" s="6">
        <f>Grandview_Inventory[[#This Row],[Fin BSMT]]*Lookups!$B$16</f>
        <v>-22248.476040000001</v>
      </c>
      <c r="BO1693" s="6">
        <f>(Grandview_Inventory[[#This Row],[att_gar]]+Grandview_Inventory[[#This Row],[bltin_gar]])*Lookups!$B$17</f>
        <v>0</v>
      </c>
      <c r="BP1693" s="6">
        <f>Grandview_Inventory[[#This Row],[Plumbing Fixtures]]*Lookups!$B$18</f>
        <v>10052.209000000001</v>
      </c>
      <c r="BQ1693" s="6">
        <f>Grandview_Inventory[[#This Row],[detatched_value]]*Lookups!$B$19</f>
        <v>23541.181779999999</v>
      </c>
      <c r="BR1693" s="6">
        <f>SUM(Grandview_Inventory[[#This Row],[Intercept]:[det_value]])*Grandview_Inventory[[#This Row],[res_pct]]</f>
        <v>320179.01479400002</v>
      </c>
      <c r="BS1693" s="6">
        <f>Grandview_Inventory[[#This Row],[land_value]]</f>
        <v>50650.651579114572</v>
      </c>
      <c r="BT1693" s="4">
        <f>_xlfn.IFNA(VLOOKUP(Grandview_Inventory[[#This Row],[quality]],Lookups!$A$26:$C$33,3,FALSE),1)</f>
        <v>0.98079741117310582</v>
      </c>
      <c r="BU1693" s="4">
        <f>_xlfn.IFNA(VLOOKUP(Grandview_Inventory[[#This Row],[condition]],Lookups!$A$37:$C$44,3,FALSE),1)</f>
        <v>0.97383723671140243</v>
      </c>
      <c r="BV1693" s="4">
        <f>IF(Grandview_Inventory[[#This Row],[bldg_style]]="",1,_xlfn.IFNA(VLOOKUP(Grandview_Inventory[[#This Row],[decade]],Lookups!$F$29:$H$43,3,FALSE),1))</f>
        <v>0.98763256963907298</v>
      </c>
      <c r="BW1693" s="4">
        <f>_xlfn.IFNA(VLOOKUP(Grandview_Inventory[[#This Row],[living_area_range]],Lookups!$F$47:$H$56,3,FALSE),1)</f>
        <v>0.95799442568048754</v>
      </c>
      <c r="BX1693" s="4">
        <f>AVERAGE(Grandview_Inventory[[#This Row],[qual_adj]:[size_adj]])</f>
        <v>0.97506541080101716</v>
      </c>
      <c r="BY1693" s="6">
        <f>IF(Grandview_Inventory[[#This Row],[pre_res]]&lt;0,0,Grandview_Inventory[[#This Row],[pre_res]]*Grandview_Inventory[[#This Row],[overall_adj]])</f>
        <v>312195.48258997657</v>
      </c>
      <c r="BZ1693" s="6">
        <f>(Grandview_Inventory[[#This Row],[sum_land]]-IF(Grandview_Inventory[[#This Row],[no_utilities]]=1,12000,0))/IF(Grandview_Inventory[[#This Row],[unbuildable]]=1,2,1)</f>
        <v>50650.651579114572</v>
      </c>
      <c r="CA169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93">
        <f>ROUND(Grandview_Inventory[[#This Row],[det_value]]*Lookups!$M$28,-2)</f>
        <v>22400</v>
      </c>
      <c r="CC1693">
        <f>IF(ROUND(Grandview_Inventory[[#This Row],[adj_res]]*Lookups!$M$28,-2)&lt;Grandview_Inventory[[#This Row],[min_res]],Grandview_Inventory[[#This Row],[min_res]],ROUND(Grandview_Inventory[[#This Row],[adj_res]]*Lookups!$M$28,-2))</f>
        <v>296600</v>
      </c>
      <c r="CD1693">
        <f>Grandview_Inventory[[#This Row],[final_det]]+Grandview_Inventory[[#This Row],[final_res]]</f>
        <v>319000</v>
      </c>
      <c r="CE1693">
        <f>Grandview_Inventory[[#This Row],[final_land]]+Grandview_Inventory[[#This Row],[final_imp]]+Grandview_Inventory[[#This Row],[crop_value]]</f>
        <v>367100</v>
      </c>
      <c r="CG1693" t="str">
        <f t="shared" si="26"/>
        <v>update valuation set market_land =48100, market_bldg=319000, market_total =367100, market_mdno =401, market_date ='9/10/2023' where link_id = (select link_id from parcel where parcel_year = '2024' and parcel_id = '23092332440');</v>
      </c>
    </row>
    <row r="1694" spans="1:85" x14ac:dyDescent="0.25">
      <c r="A1694">
        <v>23092332441</v>
      </c>
      <c r="B1694">
        <v>0.21</v>
      </c>
      <c r="C1694">
        <v>9245</v>
      </c>
      <c r="D1694" t="s">
        <v>129</v>
      </c>
      <c r="E1694" t="s">
        <v>53</v>
      </c>
      <c r="F1694" t="s">
        <v>53</v>
      </c>
      <c r="G1694">
        <v>4</v>
      </c>
      <c r="H1694" t="s">
        <v>54</v>
      </c>
      <c r="I1694">
        <v>123800</v>
      </c>
      <c r="J1694">
        <v>39500</v>
      </c>
      <c r="K1694">
        <v>0.21</v>
      </c>
      <c r="L169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694">
        <v>0</v>
      </c>
      <c r="N1694">
        <v>0</v>
      </c>
      <c r="O1694">
        <v>0</v>
      </c>
      <c r="P1694">
        <v>13398.7528</v>
      </c>
      <c r="Q1694">
        <v>63903</v>
      </c>
      <c r="R1694">
        <f>(Grandview_Inventory[[#This Row],[ln_acres]]*Grandview_Inventory[[#This Row],[coeff]])+Grandview_Inventory[[#This Row],[const]]</f>
        <v>42992.266613125081</v>
      </c>
      <c r="S1694" t="s">
        <v>68</v>
      </c>
      <c r="T1694">
        <v>1</v>
      </c>
      <c r="U1694" t="s">
        <v>65</v>
      </c>
      <c r="V1694" t="s">
        <v>69</v>
      </c>
      <c r="W1694">
        <v>0</v>
      </c>
      <c r="X1694">
        <v>0</v>
      </c>
      <c r="Y1694">
        <v>50</v>
      </c>
      <c r="Z1694">
        <v>75</v>
      </c>
      <c r="AA1694">
        <v>80</v>
      </c>
      <c r="AB1694">
        <v>1500</v>
      </c>
      <c r="AC1694">
        <v>1177</v>
      </c>
      <c r="AD1694">
        <v>777</v>
      </c>
      <c r="AE1694">
        <v>0</v>
      </c>
      <c r="AF1694">
        <v>0</v>
      </c>
      <c r="AG1694">
        <v>400</v>
      </c>
      <c r="AH1694">
        <v>377</v>
      </c>
      <c r="AI1694">
        <v>0</v>
      </c>
      <c r="AJ1694">
        <v>0</v>
      </c>
      <c r="AK1694">
        <v>0</v>
      </c>
      <c r="AL1694">
        <v>0</v>
      </c>
      <c r="AM1694">
        <v>288</v>
      </c>
      <c r="AN1694">
        <v>24</v>
      </c>
      <c r="AO1694">
        <v>288</v>
      </c>
      <c r="AP1694">
        <v>5</v>
      </c>
      <c r="AQ1694">
        <v>0</v>
      </c>
      <c r="AR1694">
        <v>1</v>
      </c>
      <c r="AS1694" t="s">
        <v>58</v>
      </c>
      <c r="AT1694">
        <v>1</v>
      </c>
      <c r="AU1694" t="s">
        <v>75</v>
      </c>
      <c r="AV1694" t="s">
        <v>60</v>
      </c>
      <c r="AW1694">
        <v>0</v>
      </c>
      <c r="AX1694">
        <v>2</v>
      </c>
      <c r="AY1694">
        <v>0</v>
      </c>
      <c r="AZ1694">
        <v>4700</v>
      </c>
      <c r="BA1694">
        <v>100</v>
      </c>
      <c r="BB1694">
        <v>100</v>
      </c>
      <c r="BC1694">
        <v>100</v>
      </c>
      <c r="BD1694">
        <v>100</v>
      </c>
      <c r="BE1694">
        <v>1</v>
      </c>
      <c r="BF1694">
        <v>15000</v>
      </c>
      <c r="BG1694">
        <v>1000</v>
      </c>
      <c r="BH1694" s="6">
        <f>Grandview_Inventory[[#This Row],[land_extract]]*Lookups!$B$3</f>
        <v>49926.8031387023</v>
      </c>
      <c r="BI1694" s="6">
        <f>IF(Grandview_Inventory[[#This Row],[bldg_style]]="",0,Lookups!$B$2)</f>
        <v>155833.95000000001</v>
      </c>
      <c r="BJ1694" s="6">
        <f>_xlfn.IFNA(VLOOKUP(Grandview_Inventory[[#This Row],[quality]],Lookups!$H$2:$J$14,3,FALSE),0)</f>
        <v>2251</v>
      </c>
      <c r="BK1694" s="6">
        <f>_xlfn.IFNA(VLOOKUP(Grandview_Inventory[[#This Row],[condition]],Lookups!$H$17:$J$24,3,FALSE),0)</f>
        <v>-4503</v>
      </c>
      <c r="BL1694" s="6">
        <f>Grandview_Inventory[[#This Row],[Eff_Age]]*Lookups!$B$14</f>
        <v>-11958.33</v>
      </c>
      <c r="BM1694" s="6">
        <f>Grandview_Inventory[[#This Row],[living_area]]*Lookups!$B$15</f>
        <v>73422.263980999996</v>
      </c>
      <c r="BN1694" s="6">
        <f>Grandview_Inventory[[#This Row],[Fin BSMT]]*Lookups!$B$16</f>
        <v>-10839.696</v>
      </c>
      <c r="BO1694" s="6">
        <f>(Grandview_Inventory[[#This Row],[att_gar]]+Grandview_Inventory[[#This Row],[bltin_gar]])*Lookups!$B$17</f>
        <v>0</v>
      </c>
      <c r="BP1694" s="6">
        <f>Grandview_Inventory[[#This Row],[Plumbing Fixtures]]*Lookups!$B$18</f>
        <v>10052.209000000001</v>
      </c>
      <c r="BQ1694" s="6">
        <f>Grandview_Inventory[[#This Row],[detatched_value]]*Lookups!$B$19</f>
        <v>3979.9839699999998</v>
      </c>
      <c r="BR1694" s="6">
        <f>SUM(Grandview_Inventory[[#This Row],[Intercept]:[det_value]])*Grandview_Inventory[[#This Row],[res_pct]]</f>
        <v>218238.38095100003</v>
      </c>
      <c r="BS1694" s="6">
        <f>Grandview_Inventory[[#This Row],[land_value]]</f>
        <v>49926.8031387023</v>
      </c>
      <c r="BT1694" s="4">
        <f>_xlfn.IFNA(VLOOKUP(Grandview_Inventory[[#This Row],[quality]],Lookups!$A$26:$C$33,3,FALSE),1)</f>
        <v>0.98763855981004833</v>
      </c>
      <c r="BU1694" s="4">
        <f>_xlfn.IFNA(VLOOKUP(Grandview_Inventory[[#This Row],[condition]],Lookups!$A$37:$C$44,3,FALSE),1)</f>
        <v>0.96469275950863709</v>
      </c>
      <c r="BV1694" s="4">
        <f>IF(Grandview_Inventory[[#This Row],[bldg_style]]="",1,_xlfn.IFNA(VLOOKUP(Grandview_Inventory[[#This Row],[decade]],Lookups!$F$29:$H$43,3,FALSE),1))</f>
        <v>0.98763256963907298</v>
      </c>
      <c r="BW1694" s="4">
        <f>_xlfn.IFNA(VLOOKUP(Grandview_Inventory[[#This Row],[living_area_range]],Lookups!$F$47:$H$56,3,FALSE),1)</f>
        <v>0.96135087979789358</v>
      </c>
      <c r="BX1694" s="4">
        <f>AVERAGE(Grandview_Inventory[[#This Row],[qual_adj]:[size_adj]])</f>
        <v>0.97532869218891294</v>
      </c>
      <c r="BY1694" s="6">
        <f>IF(Grandview_Inventory[[#This Row],[pre_res]]&lt;0,0,Grandview_Inventory[[#This Row],[pre_res]]*Grandview_Inventory[[#This Row],[overall_adj]])</f>
        <v>212854.15467836463</v>
      </c>
      <c r="BZ1694" s="6">
        <f>(Grandview_Inventory[[#This Row],[sum_land]]-IF(Grandview_Inventory[[#This Row],[no_utilities]]=1,12000,0))/IF(Grandview_Inventory[[#This Row],[unbuildable]]=1,2,1)</f>
        <v>49926.8031387023</v>
      </c>
      <c r="CA169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694">
        <f>ROUND(Grandview_Inventory[[#This Row],[det_value]]*Lookups!$M$28,-2)</f>
        <v>3800</v>
      </c>
      <c r="CC1694">
        <f>IF(ROUND(Grandview_Inventory[[#This Row],[adj_res]]*Lookups!$M$28,-2)&lt;Grandview_Inventory[[#This Row],[min_res]],Grandview_Inventory[[#This Row],[min_res]],ROUND(Grandview_Inventory[[#This Row],[adj_res]]*Lookups!$M$28,-2))</f>
        <v>202200</v>
      </c>
      <c r="CD1694">
        <f>Grandview_Inventory[[#This Row],[final_det]]+Grandview_Inventory[[#This Row],[final_res]]</f>
        <v>206000</v>
      </c>
      <c r="CE1694">
        <f>Grandview_Inventory[[#This Row],[final_land]]+Grandview_Inventory[[#This Row],[final_imp]]+Grandview_Inventory[[#This Row],[crop_value]]</f>
        <v>253400</v>
      </c>
      <c r="CG1694" t="str">
        <f t="shared" si="26"/>
        <v>update valuation set market_land =47400, market_bldg=206000, market_total =253400, market_mdno =401, market_date ='9/10/2023' where link_id = (select link_id from parcel where parcel_year = '2024' and parcel_id = '23092332441');</v>
      </c>
    </row>
    <row r="1695" spans="1:85" x14ac:dyDescent="0.25">
      <c r="A1695">
        <v>23092332442</v>
      </c>
      <c r="B1695">
        <v>0.28000000000000003</v>
      </c>
      <c r="C1695">
        <v>12076</v>
      </c>
      <c r="D1695" t="s">
        <v>129</v>
      </c>
      <c r="E1695" t="s">
        <v>53</v>
      </c>
      <c r="F1695" t="s">
        <v>53</v>
      </c>
      <c r="G1695">
        <v>4</v>
      </c>
      <c r="H1695" t="s">
        <v>54</v>
      </c>
      <c r="I1695">
        <v>168900</v>
      </c>
      <c r="J1695">
        <v>40200</v>
      </c>
      <c r="K1695">
        <v>0.28000000000000003</v>
      </c>
      <c r="L1695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695">
        <v>0</v>
      </c>
      <c r="N1695">
        <v>0</v>
      </c>
      <c r="O1695">
        <v>0</v>
      </c>
      <c r="P1695">
        <v>13398.7528</v>
      </c>
      <c r="Q1695">
        <v>63903</v>
      </c>
      <c r="R1695">
        <f>(Grandview_Inventory[[#This Row],[ln_acres]]*Grandview_Inventory[[#This Row],[coeff]])+Grandview_Inventory[[#This Row],[const]]</f>
        <v>46846.847586898184</v>
      </c>
      <c r="S1695" t="s">
        <v>61</v>
      </c>
      <c r="T1695">
        <v>1</v>
      </c>
      <c r="U1695" t="s">
        <v>65</v>
      </c>
      <c r="V1695" t="s">
        <v>69</v>
      </c>
      <c r="W1695">
        <v>0</v>
      </c>
      <c r="X1695">
        <v>0</v>
      </c>
      <c r="Y1695">
        <v>50</v>
      </c>
      <c r="Z1695">
        <v>73</v>
      </c>
      <c r="AA1695">
        <v>80</v>
      </c>
      <c r="AB1695">
        <v>2000</v>
      </c>
      <c r="AC1695">
        <v>1659</v>
      </c>
      <c r="AD1695">
        <v>1291</v>
      </c>
      <c r="AE1695">
        <v>0</v>
      </c>
      <c r="AF1695">
        <v>0</v>
      </c>
      <c r="AG1695">
        <v>368</v>
      </c>
      <c r="AH1695">
        <v>368</v>
      </c>
      <c r="AI1695">
        <v>0</v>
      </c>
      <c r="AJ1695">
        <v>0</v>
      </c>
      <c r="AK1695">
        <v>0</v>
      </c>
      <c r="AL1695">
        <v>0</v>
      </c>
      <c r="AM1695">
        <v>255</v>
      </c>
      <c r="AN1695">
        <v>0</v>
      </c>
      <c r="AO1695">
        <v>276</v>
      </c>
      <c r="AP1695">
        <v>9</v>
      </c>
      <c r="AQ1695">
        <v>0</v>
      </c>
      <c r="AR1695">
        <v>1</v>
      </c>
      <c r="AS1695" t="s">
        <v>58</v>
      </c>
      <c r="AT1695">
        <v>1</v>
      </c>
      <c r="AU1695" t="s">
        <v>63</v>
      </c>
      <c r="AV1695" t="s">
        <v>64</v>
      </c>
      <c r="AW1695">
        <v>1</v>
      </c>
      <c r="AX1695">
        <v>4</v>
      </c>
      <c r="AY1695">
        <v>0</v>
      </c>
      <c r="AZ1695">
        <v>0</v>
      </c>
      <c r="BA1695">
        <v>100</v>
      </c>
      <c r="BB1695">
        <v>100</v>
      </c>
      <c r="BC1695">
        <v>100</v>
      </c>
      <c r="BD1695">
        <v>100</v>
      </c>
      <c r="BE1695">
        <v>1</v>
      </c>
      <c r="BF1695">
        <v>15000</v>
      </c>
      <c r="BG1695">
        <v>1000</v>
      </c>
      <c r="BH1695" s="6">
        <f>Grandview_Inventory[[#This Row],[land_extract]]*Lookups!$B$3</f>
        <v>54403.117616176372</v>
      </c>
      <c r="BI1695" s="6">
        <f>IF(Grandview_Inventory[[#This Row],[bldg_style]]="",0,Lookups!$B$2)</f>
        <v>155833.95000000001</v>
      </c>
      <c r="BJ1695" s="6">
        <f>_xlfn.IFNA(VLOOKUP(Grandview_Inventory[[#This Row],[quality]],Lookups!$H$2:$J$14,3,FALSE),0)</f>
        <v>2251</v>
      </c>
      <c r="BK1695" s="6">
        <f>_xlfn.IFNA(VLOOKUP(Grandview_Inventory[[#This Row],[condition]],Lookups!$H$17:$J$24,3,FALSE),0)</f>
        <v>-4503</v>
      </c>
      <c r="BL1695" s="6">
        <f>Grandview_Inventory[[#This Row],[Eff_Age]]*Lookups!$B$14</f>
        <v>-11958.33</v>
      </c>
      <c r="BM1695" s="6">
        <f>Grandview_Inventory[[#This Row],[living_area]]*Lookups!$B$15</f>
        <v>103489.835127</v>
      </c>
      <c r="BN1695" s="6">
        <f>Grandview_Inventory[[#This Row],[Fin BSMT]]*Lookups!$B$16</f>
        <v>-9972.5203200000014</v>
      </c>
      <c r="BO1695" s="6">
        <f>(Grandview_Inventory[[#This Row],[att_gar]]+Grandview_Inventory[[#This Row],[bltin_gar]])*Lookups!$B$17</f>
        <v>0</v>
      </c>
      <c r="BP1695" s="6">
        <f>Grandview_Inventory[[#This Row],[Plumbing Fixtures]]*Lookups!$B$18</f>
        <v>18093.976200000001</v>
      </c>
      <c r="BQ1695" s="6">
        <f>Grandview_Inventory[[#This Row],[detatched_value]]*Lookups!$B$19</f>
        <v>0</v>
      </c>
      <c r="BR1695" s="6">
        <f>SUM(Grandview_Inventory[[#This Row],[Intercept]:[det_value]])*Grandview_Inventory[[#This Row],[res_pct]]</f>
        <v>253234.91100700002</v>
      </c>
      <c r="BS1695" s="6">
        <f>Grandview_Inventory[[#This Row],[land_value]]</f>
        <v>54403.117616176372</v>
      </c>
      <c r="BT1695" s="4">
        <f>_xlfn.IFNA(VLOOKUP(Grandview_Inventory[[#This Row],[quality]],Lookups!$A$26:$C$33,3,FALSE),1)</f>
        <v>0.98763855981004833</v>
      </c>
      <c r="BU1695" s="4">
        <f>_xlfn.IFNA(VLOOKUP(Grandview_Inventory[[#This Row],[condition]],Lookups!$A$37:$C$44,3,FALSE),1)</f>
        <v>0.96469275950863709</v>
      </c>
      <c r="BV1695" s="4">
        <f>IF(Grandview_Inventory[[#This Row],[bldg_style]]="",1,_xlfn.IFNA(VLOOKUP(Grandview_Inventory[[#This Row],[decade]],Lookups!$F$29:$H$43,3,FALSE),1))</f>
        <v>0.98763256963907298</v>
      </c>
      <c r="BW1695" s="4">
        <f>_xlfn.IFNA(VLOOKUP(Grandview_Inventory[[#This Row],[living_area_range]],Lookups!$F$47:$H$56,3,FALSE),1)</f>
        <v>0.96120133463014379</v>
      </c>
      <c r="BX1695" s="4">
        <f>AVERAGE(Grandview_Inventory[[#This Row],[qual_adj]:[size_adj]])</f>
        <v>0.97529130589697544</v>
      </c>
      <c r="BY1695" s="6">
        <f>IF(Grandview_Inventory[[#This Row],[pre_res]]&lt;0,0,Grandview_Inventory[[#This Row],[pre_res]]*Grandview_Inventory[[#This Row],[overall_adj]])</f>
        <v>246977.8070547214</v>
      </c>
      <c r="BZ1695" s="6">
        <f>(Grandview_Inventory[[#This Row],[sum_land]]-IF(Grandview_Inventory[[#This Row],[no_utilities]]=1,12000,0))/IF(Grandview_Inventory[[#This Row],[unbuildable]]=1,2,1)</f>
        <v>54403.117616176372</v>
      </c>
      <c r="CA1695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695">
        <f>ROUND(Grandview_Inventory[[#This Row],[det_value]]*Lookups!$M$28,-2)</f>
        <v>0</v>
      </c>
      <c r="CC1695">
        <f>IF(ROUND(Grandview_Inventory[[#This Row],[adj_res]]*Lookups!$M$28,-2)&lt;Grandview_Inventory[[#This Row],[min_res]],Grandview_Inventory[[#This Row],[min_res]],ROUND(Grandview_Inventory[[#This Row],[adj_res]]*Lookups!$M$28,-2))</f>
        <v>234600</v>
      </c>
      <c r="CD1695">
        <f>Grandview_Inventory[[#This Row],[final_det]]+Grandview_Inventory[[#This Row],[final_res]]</f>
        <v>234600</v>
      </c>
      <c r="CE1695">
        <f>Grandview_Inventory[[#This Row],[final_land]]+Grandview_Inventory[[#This Row],[final_imp]]+Grandview_Inventory[[#This Row],[crop_value]]</f>
        <v>286300</v>
      </c>
      <c r="CG1695" t="str">
        <f t="shared" si="26"/>
        <v>update valuation set market_land =51700, market_bldg=234600, market_total =286300, market_mdno =401, market_date ='9/10/2023' where link_id = (select link_id from parcel where parcel_year = '2024' and parcel_id = '23092332442');</v>
      </c>
    </row>
    <row r="1696" spans="1:85" x14ac:dyDescent="0.25">
      <c r="A1696">
        <v>23092332443</v>
      </c>
      <c r="B1696">
        <v>0.31</v>
      </c>
      <c r="C1696">
        <v>13689</v>
      </c>
      <c r="D1696" t="s">
        <v>129</v>
      </c>
      <c r="E1696" t="s">
        <v>53</v>
      </c>
      <c r="F1696" t="s">
        <v>53</v>
      </c>
      <c r="G1696">
        <v>4</v>
      </c>
      <c r="H1696" t="s">
        <v>54</v>
      </c>
      <c r="I1696">
        <v>112500</v>
      </c>
      <c r="J1696">
        <v>41100</v>
      </c>
      <c r="K1696">
        <v>0.31</v>
      </c>
      <c r="L1696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696">
        <v>0</v>
      </c>
      <c r="N1696">
        <v>0</v>
      </c>
      <c r="O1696">
        <v>0</v>
      </c>
      <c r="P1696">
        <v>13398.7528</v>
      </c>
      <c r="Q1696">
        <v>63903</v>
      </c>
      <c r="R1696">
        <f>(Grandview_Inventory[[#This Row],[ln_acres]]*Grandview_Inventory[[#This Row],[coeff]])+Grandview_Inventory[[#This Row],[const]]</f>
        <v>48210.608747275066</v>
      </c>
      <c r="S1696" t="s">
        <v>68</v>
      </c>
      <c r="T1696">
        <v>1</v>
      </c>
      <c r="U1696" t="s">
        <v>65</v>
      </c>
      <c r="V1696" t="s">
        <v>69</v>
      </c>
      <c r="W1696">
        <v>0</v>
      </c>
      <c r="X1696">
        <v>0</v>
      </c>
      <c r="Y1696">
        <v>51</v>
      </c>
      <c r="Z1696">
        <v>77</v>
      </c>
      <c r="AA1696">
        <v>80</v>
      </c>
      <c r="AB1696">
        <v>1500</v>
      </c>
      <c r="AC1696">
        <v>1187</v>
      </c>
      <c r="AD1696">
        <v>791</v>
      </c>
      <c r="AE1696">
        <v>0</v>
      </c>
      <c r="AF1696">
        <v>0</v>
      </c>
      <c r="AG1696">
        <v>396</v>
      </c>
      <c r="AH1696">
        <v>395</v>
      </c>
      <c r="AI1696">
        <v>0</v>
      </c>
      <c r="AJ1696">
        <v>0</v>
      </c>
      <c r="AK1696">
        <v>0</v>
      </c>
      <c r="AL1696">
        <v>0</v>
      </c>
      <c r="AM1696">
        <v>384</v>
      </c>
      <c r="AN1696">
        <v>0</v>
      </c>
      <c r="AO1696">
        <v>384</v>
      </c>
      <c r="AP1696">
        <v>5</v>
      </c>
      <c r="AQ1696">
        <v>0</v>
      </c>
      <c r="AR1696">
        <v>1</v>
      </c>
      <c r="AS1696" t="s">
        <v>58</v>
      </c>
      <c r="AT1696">
        <v>1</v>
      </c>
      <c r="AU1696" t="s">
        <v>63</v>
      </c>
      <c r="AV1696" t="s">
        <v>64</v>
      </c>
      <c r="AW1696">
        <v>0</v>
      </c>
      <c r="AX1696">
        <v>2</v>
      </c>
      <c r="AY1696">
        <v>0</v>
      </c>
      <c r="AZ1696">
        <v>0</v>
      </c>
      <c r="BA1696">
        <v>100</v>
      </c>
      <c r="BB1696">
        <v>100</v>
      </c>
      <c r="BC1696">
        <v>100</v>
      </c>
      <c r="BD1696">
        <v>100</v>
      </c>
      <c r="BE1696">
        <v>1</v>
      </c>
      <c r="BF1696">
        <v>15000</v>
      </c>
      <c r="BG1696">
        <v>1000</v>
      </c>
      <c r="BH1696" s="6">
        <f>Grandview_Inventory[[#This Row],[land_extract]]*Lookups!$B$3</f>
        <v>55986.849769566914</v>
      </c>
      <c r="BI1696" s="6">
        <f>IF(Grandview_Inventory[[#This Row],[bldg_style]]="",0,Lookups!$B$2)</f>
        <v>155833.95000000001</v>
      </c>
      <c r="BJ1696" s="6">
        <f>_xlfn.IFNA(VLOOKUP(Grandview_Inventory[[#This Row],[quality]],Lookups!$H$2:$J$14,3,FALSE),0)</f>
        <v>2251</v>
      </c>
      <c r="BK1696" s="6">
        <f>_xlfn.IFNA(VLOOKUP(Grandview_Inventory[[#This Row],[condition]],Lookups!$H$17:$J$24,3,FALSE),0)</f>
        <v>-4503</v>
      </c>
      <c r="BL1696" s="6">
        <f>Grandview_Inventory[[#This Row],[Eff_Age]]*Lookups!$B$14</f>
        <v>-12197.496599999999</v>
      </c>
      <c r="BM1696" s="6">
        <f>Grandview_Inventory[[#This Row],[living_area]]*Lookups!$B$15</f>
        <v>74046.072511000006</v>
      </c>
      <c r="BN1696" s="6">
        <f>Grandview_Inventory[[#This Row],[Fin BSMT]]*Lookups!$B$16</f>
        <v>-10731.29904</v>
      </c>
      <c r="BO1696" s="6">
        <f>(Grandview_Inventory[[#This Row],[att_gar]]+Grandview_Inventory[[#This Row],[bltin_gar]])*Lookups!$B$17</f>
        <v>0</v>
      </c>
      <c r="BP1696" s="6">
        <f>Grandview_Inventory[[#This Row],[Plumbing Fixtures]]*Lookups!$B$18</f>
        <v>10052.209000000001</v>
      </c>
      <c r="BQ1696" s="6">
        <f>Grandview_Inventory[[#This Row],[detatched_value]]*Lookups!$B$19</f>
        <v>0</v>
      </c>
      <c r="BR1696" s="6">
        <f>SUM(Grandview_Inventory[[#This Row],[Intercept]:[det_value]])*Grandview_Inventory[[#This Row],[res_pct]]</f>
        <v>214751.43587099999</v>
      </c>
      <c r="BS1696" s="6">
        <f>Grandview_Inventory[[#This Row],[land_value]]</f>
        <v>55986.849769566914</v>
      </c>
      <c r="BT1696" s="4">
        <f>_xlfn.IFNA(VLOOKUP(Grandview_Inventory[[#This Row],[quality]],Lookups!$A$26:$C$33,3,FALSE),1)</f>
        <v>0.98763855981004833</v>
      </c>
      <c r="BU1696" s="4">
        <f>_xlfn.IFNA(VLOOKUP(Grandview_Inventory[[#This Row],[condition]],Lookups!$A$37:$C$44,3,FALSE),1)</f>
        <v>0.96469275950863709</v>
      </c>
      <c r="BV1696" s="4">
        <f>IF(Grandview_Inventory[[#This Row],[bldg_style]]="",1,_xlfn.IFNA(VLOOKUP(Grandview_Inventory[[#This Row],[decade]],Lookups!$F$29:$H$43,3,FALSE),1))</f>
        <v>0.98763256963907298</v>
      </c>
      <c r="BW1696" s="4">
        <f>_xlfn.IFNA(VLOOKUP(Grandview_Inventory[[#This Row],[living_area_range]],Lookups!$F$47:$H$56,3,FALSE),1)</f>
        <v>0.96135087979789358</v>
      </c>
      <c r="BX1696" s="4">
        <f>AVERAGE(Grandview_Inventory[[#This Row],[qual_adj]:[size_adj]])</f>
        <v>0.97532869218891294</v>
      </c>
      <c r="BY1696" s="6">
        <f>IF(Grandview_Inventory[[#This Row],[pre_res]]&lt;0,0,Grandview_Inventory[[#This Row],[pre_res]]*Grandview_Inventory[[#This Row],[overall_adj]])</f>
        <v>209453.23709375362</v>
      </c>
      <c r="BZ1696" s="6">
        <f>(Grandview_Inventory[[#This Row],[sum_land]]-IF(Grandview_Inventory[[#This Row],[no_utilities]]=1,12000,0))/IF(Grandview_Inventory[[#This Row],[unbuildable]]=1,2,1)</f>
        <v>55986.849769566914</v>
      </c>
      <c r="CA1696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696">
        <f>ROUND(Grandview_Inventory[[#This Row],[det_value]]*Lookups!$M$28,-2)</f>
        <v>0</v>
      </c>
      <c r="CC1696">
        <f>IF(ROUND(Grandview_Inventory[[#This Row],[adj_res]]*Lookups!$M$28,-2)&lt;Grandview_Inventory[[#This Row],[min_res]],Grandview_Inventory[[#This Row],[min_res]],ROUND(Grandview_Inventory[[#This Row],[adj_res]]*Lookups!$M$28,-2))</f>
        <v>199000</v>
      </c>
      <c r="CD1696">
        <f>Grandview_Inventory[[#This Row],[final_det]]+Grandview_Inventory[[#This Row],[final_res]]</f>
        <v>199000</v>
      </c>
      <c r="CE1696">
        <f>Grandview_Inventory[[#This Row],[final_land]]+Grandview_Inventory[[#This Row],[final_imp]]+Grandview_Inventory[[#This Row],[crop_value]]</f>
        <v>252200</v>
      </c>
      <c r="CG1696" t="str">
        <f t="shared" si="26"/>
        <v>update valuation set market_land =53200, market_bldg=199000, market_total =252200, market_mdno =401, market_date ='9/10/2023' where link_id = (select link_id from parcel where parcel_year = '2024' and parcel_id = '23092332443');</v>
      </c>
    </row>
    <row r="1697" spans="1:85" x14ac:dyDescent="0.25">
      <c r="A1697">
        <v>23092332444</v>
      </c>
      <c r="B1697">
        <v>0.28000000000000003</v>
      </c>
      <c r="C1697">
        <v>11988</v>
      </c>
      <c r="D1697" t="s">
        <v>129</v>
      </c>
      <c r="E1697" t="s">
        <v>53</v>
      </c>
      <c r="F1697" t="s">
        <v>53</v>
      </c>
      <c r="G1697">
        <v>4</v>
      </c>
      <c r="H1697" t="s">
        <v>54</v>
      </c>
      <c r="I1697">
        <v>264000</v>
      </c>
      <c r="J1697">
        <v>40000</v>
      </c>
      <c r="K1697">
        <v>0.28000000000000003</v>
      </c>
      <c r="L1697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697">
        <v>0</v>
      </c>
      <c r="N1697">
        <v>0</v>
      </c>
      <c r="O1697">
        <v>0</v>
      </c>
      <c r="P1697">
        <v>13398.7528</v>
      </c>
      <c r="Q1697">
        <v>63903</v>
      </c>
      <c r="R1697">
        <f>(Grandview_Inventory[[#This Row],[ln_acres]]*Grandview_Inventory[[#This Row],[coeff]])+Grandview_Inventory[[#This Row],[const]]</f>
        <v>46846.847586898184</v>
      </c>
      <c r="S1697" t="s">
        <v>55</v>
      </c>
      <c r="T1697">
        <v>2</v>
      </c>
      <c r="U1697" t="s">
        <v>65</v>
      </c>
      <c r="V1697" t="s">
        <v>69</v>
      </c>
      <c r="W1697">
        <v>0</v>
      </c>
      <c r="X1697">
        <v>0</v>
      </c>
      <c r="Y1697">
        <v>50</v>
      </c>
      <c r="Z1697">
        <v>75</v>
      </c>
      <c r="AA1697">
        <v>80</v>
      </c>
      <c r="AB1697">
        <v>3500</v>
      </c>
      <c r="AC1697">
        <v>3212</v>
      </c>
      <c r="AD1697">
        <v>1366</v>
      </c>
      <c r="AE1697">
        <v>1012</v>
      </c>
      <c r="AF1697">
        <v>0</v>
      </c>
      <c r="AG1697">
        <v>834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200</v>
      </c>
      <c r="AN1697">
        <v>0</v>
      </c>
      <c r="AO1697">
        <v>200</v>
      </c>
      <c r="AP1697">
        <v>11</v>
      </c>
      <c r="AQ1697">
        <v>0</v>
      </c>
      <c r="AR1697">
        <v>1</v>
      </c>
      <c r="AS1697" t="s">
        <v>58</v>
      </c>
      <c r="AT1697">
        <v>1</v>
      </c>
      <c r="AU1697" t="s">
        <v>59</v>
      </c>
      <c r="AV1697" t="s">
        <v>60</v>
      </c>
      <c r="AW1697">
        <v>1</v>
      </c>
      <c r="AX1697">
        <v>9</v>
      </c>
      <c r="AY1697">
        <v>0</v>
      </c>
      <c r="AZ1697">
        <v>11200</v>
      </c>
      <c r="BA1697">
        <v>100</v>
      </c>
      <c r="BB1697">
        <v>100</v>
      </c>
      <c r="BC1697">
        <v>100</v>
      </c>
      <c r="BD1697">
        <v>100</v>
      </c>
      <c r="BE1697">
        <v>1</v>
      </c>
      <c r="BF1697">
        <v>15000</v>
      </c>
      <c r="BG1697">
        <v>1000</v>
      </c>
      <c r="BH1697" s="6">
        <f>Grandview_Inventory[[#This Row],[land_extract]]*Lookups!$B$3</f>
        <v>54403.117616176372</v>
      </c>
      <c r="BI1697" s="6">
        <f>IF(Grandview_Inventory[[#This Row],[bldg_style]]="",0,Lookups!$B$2)</f>
        <v>155833.95000000001</v>
      </c>
      <c r="BJ1697" s="6">
        <f>_xlfn.IFNA(VLOOKUP(Grandview_Inventory[[#This Row],[quality]],Lookups!$H$2:$J$14,3,FALSE),0)</f>
        <v>2251</v>
      </c>
      <c r="BK1697" s="6">
        <f>_xlfn.IFNA(VLOOKUP(Grandview_Inventory[[#This Row],[condition]],Lookups!$H$17:$J$24,3,FALSE),0)</f>
        <v>-4503</v>
      </c>
      <c r="BL1697" s="6">
        <f>Grandview_Inventory[[#This Row],[Eff_Age]]*Lookups!$B$14</f>
        <v>-11958.33</v>
      </c>
      <c r="BM1697" s="6">
        <f>Grandview_Inventory[[#This Row],[living_area]]*Lookups!$B$15</f>
        <v>200367.29983600002</v>
      </c>
      <c r="BN1697" s="6">
        <f>Grandview_Inventory[[#This Row],[Fin BSMT]]*Lookups!$B$16</f>
        <v>-22600.766160000003</v>
      </c>
      <c r="BO1697" s="6">
        <f>(Grandview_Inventory[[#This Row],[att_gar]]+Grandview_Inventory[[#This Row],[bltin_gar]])*Lookups!$B$17</f>
        <v>0</v>
      </c>
      <c r="BP1697" s="6">
        <f>Grandview_Inventory[[#This Row],[Plumbing Fixtures]]*Lookups!$B$18</f>
        <v>22114.859800000002</v>
      </c>
      <c r="BQ1697" s="6">
        <f>Grandview_Inventory[[#This Row],[detatched_value]]*Lookups!$B$19</f>
        <v>9484.2171199999993</v>
      </c>
      <c r="BR1697" s="6">
        <f>SUM(Grandview_Inventory[[#This Row],[Intercept]:[det_value]])*Grandview_Inventory[[#This Row],[res_pct]]</f>
        <v>350989.23059600004</v>
      </c>
      <c r="BS1697" s="6">
        <f>Grandview_Inventory[[#This Row],[land_value]]</f>
        <v>54403.117616176372</v>
      </c>
      <c r="BT1697" s="4">
        <f>_xlfn.IFNA(VLOOKUP(Grandview_Inventory[[#This Row],[quality]],Lookups!$A$26:$C$33,3,FALSE),1)</f>
        <v>0.98763855981004833</v>
      </c>
      <c r="BU1697" s="4">
        <f>_xlfn.IFNA(VLOOKUP(Grandview_Inventory[[#This Row],[condition]],Lookups!$A$37:$C$44,3,FALSE),1)</f>
        <v>0.96469275950863709</v>
      </c>
      <c r="BV1697" s="4">
        <f>IF(Grandview_Inventory[[#This Row],[bldg_style]]="",1,_xlfn.IFNA(VLOOKUP(Grandview_Inventory[[#This Row],[decade]],Lookups!$F$29:$H$43,3,FALSE),1))</f>
        <v>0.98763256963907298</v>
      </c>
      <c r="BW1697" s="4">
        <f>_xlfn.IFNA(VLOOKUP(Grandview_Inventory[[#This Row],[living_area_range]],Lookups!$F$47:$H$56,3,FALSE),1)</f>
        <v>1.0170112215140563</v>
      </c>
      <c r="BX1697" s="4">
        <f>AVERAGE(Grandview_Inventory[[#This Row],[qual_adj]:[size_adj]])</f>
        <v>0.98924377761795368</v>
      </c>
      <c r="BY1697" s="6">
        <f>IF(Grandview_Inventory[[#This Row],[pre_res]]&lt;0,0,Grandview_Inventory[[#This Row],[pre_res]]*Grandview_Inventory[[#This Row],[overall_adj]])</f>
        <v>347213.91237800615</v>
      </c>
      <c r="BZ1697" s="6">
        <f>(Grandview_Inventory[[#This Row],[sum_land]]-IF(Grandview_Inventory[[#This Row],[no_utilities]]=1,12000,0))/IF(Grandview_Inventory[[#This Row],[unbuildable]]=1,2,1)</f>
        <v>54403.117616176372</v>
      </c>
      <c r="CA1697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697">
        <f>ROUND(Grandview_Inventory[[#This Row],[det_value]]*Lookups!$M$28,-2)</f>
        <v>9000</v>
      </c>
      <c r="CC1697">
        <f>IF(ROUND(Grandview_Inventory[[#This Row],[adj_res]]*Lookups!$M$28,-2)&lt;Grandview_Inventory[[#This Row],[min_res]],Grandview_Inventory[[#This Row],[min_res]],ROUND(Grandview_Inventory[[#This Row],[adj_res]]*Lookups!$M$28,-2))</f>
        <v>329900</v>
      </c>
      <c r="CD1697">
        <f>Grandview_Inventory[[#This Row],[final_det]]+Grandview_Inventory[[#This Row],[final_res]]</f>
        <v>338900</v>
      </c>
      <c r="CE1697">
        <f>Grandview_Inventory[[#This Row],[final_land]]+Grandview_Inventory[[#This Row],[final_imp]]+Grandview_Inventory[[#This Row],[crop_value]]</f>
        <v>390600</v>
      </c>
      <c r="CG1697" t="str">
        <f t="shared" si="26"/>
        <v>update valuation set market_land =51700, market_bldg=338900, market_total =390600, market_mdno =401, market_date ='9/10/2023' where link_id = (select link_id from parcel where parcel_year = '2024' and parcel_id = '23092332444');</v>
      </c>
    </row>
    <row r="1698" spans="1:85" x14ac:dyDescent="0.25">
      <c r="A1698">
        <v>23092332445</v>
      </c>
      <c r="B1698">
        <v>0.23</v>
      </c>
      <c r="C1698" t="s">
        <v>129</v>
      </c>
      <c r="D1698" t="s">
        <v>129</v>
      </c>
      <c r="E1698" t="s">
        <v>53</v>
      </c>
      <c r="F1698" t="s">
        <v>53</v>
      </c>
      <c r="G1698">
        <v>4</v>
      </c>
      <c r="H1698" t="s">
        <v>54</v>
      </c>
      <c r="I1698">
        <v>147500</v>
      </c>
      <c r="J1698">
        <v>39500</v>
      </c>
      <c r="K1698">
        <v>0.23</v>
      </c>
      <c r="L169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698">
        <v>0</v>
      </c>
      <c r="N1698">
        <v>0</v>
      </c>
      <c r="O1698">
        <v>0</v>
      </c>
      <c r="P1698">
        <v>13398.7528</v>
      </c>
      <c r="Q1698">
        <v>63903</v>
      </c>
      <c r="R1698">
        <f>(Grandview_Inventory[[#This Row],[ln_acres]]*Grandview_Inventory[[#This Row],[coeff]])+Grandview_Inventory[[#This Row],[const]]</f>
        <v>44211.174981080039</v>
      </c>
      <c r="S1698" t="s">
        <v>68</v>
      </c>
      <c r="T1698">
        <v>1</v>
      </c>
      <c r="U1698" t="s">
        <v>70</v>
      </c>
      <c r="V1698" t="s">
        <v>69</v>
      </c>
      <c r="W1698">
        <v>0</v>
      </c>
      <c r="X1698">
        <v>0</v>
      </c>
      <c r="Y1698">
        <v>51</v>
      </c>
      <c r="Z1698">
        <v>78</v>
      </c>
      <c r="AA1698">
        <v>80</v>
      </c>
      <c r="AB1698">
        <v>2000</v>
      </c>
      <c r="AC1698">
        <v>1624</v>
      </c>
      <c r="AD1698">
        <v>812</v>
      </c>
      <c r="AE1698">
        <v>0</v>
      </c>
      <c r="AF1698">
        <v>0</v>
      </c>
      <c r="AG1698">
        <v>812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297</v>
      </c>
      <c r="AN1698">
        <v>24</v>
      </c>
      <c r="AO1698">
        <v>297</v>
      </c>
      <c r="AP1698">
        <v>5</v>
      </c>
      <c r="AQ1698">
        <v>0</v>
      </c>
      <c r="AR1698">
        <v>1</v>
      </c>
      <c r="AS1698" t="s">
        <v>58</v>
      </c>
      <c r="AT1698">
        <v>1</v>
      </c>
      <c r="AU1698" t="s">
        <v>75</v>
      </c>
      <c r="AV1698" t="s">
        <v>60</v>
      </c>
      <c r="AW1698">
        <v>0</v>
      </c>
      <c r="AX1698">
        <v>2</v>
      </c>
      <c r="AY1698">
        <v>0</v>
      </c>
      <c r="AZ1698">
        <v>8300</v>
      </c>
      <c r="BA1698">
        <v>100</v>
      </c>
      <c r="BB1698">
        <v>100</v>
      </c>
      <c r="BC1698">
        <v>100</v>
      </c>
      <c r="BD1698">
        <v>100</v>
      </c>
      <c r="BE1698">
        <v>1</v>
      </c>
      <c r="BF1698">
        <v>15000</v>
      </c>
      <c r="BG1698">
        <v>1000</v>
      </c>
      <c r="BH1698" s="6">
        <f>Grandview_Inventory[[#This Row],[land_extract]]*Lookups!$B$3</f>
        <v>51342.318135355803</v>
      </c>
      <c r="BI1698" s="6">
        <f>IF(Grandview_Inventory[[#This Row],[bldg_style]]="",0,Lookups!$B$2)</f>
        <v>155833.95000000001</v>
      </c>
      <c r="BJ1698" s="6">
        <f>_xlfn.IFNA(VLOOKUP(Grandview_Inventory[[#This Row],[quality]],Lookups!$H$2:$J$14,3,FALSE),0)</f>
        <v>10733</v>
      </c>
      <c r="BK1698" s="6">
        <f>_xlfn.IFNA(VLOOKUP(Grandview_Inventory[[#This Row],[condition]],Lookups!$H$17:$J$24,3,FALSE),0)</f>
        <v>-4503</v>
      </c>
      <c r="BL1698" s="6">
        <f>Grandview_Inventory[[#This Row],[Eff_Age]]*Lookups!$B$14</f>
        <v>-12197.496599999999</v>
      </c>
      <c r="BM1698" s="6">
        <f>Grandview_Inventory[[#This Row],[living_area]]*Lookups!$B$15</f>
        <v>101306.50527200001</v>
      </c>
      <c r="BN1698" s="6">
        <f>Grandview_Inventory[[#This Row],[Fin BSMT]]*Lookups!$B$16</f>
        <v>-22004.582880000002</v>
      </c>
      <c r="BO1698" s="6">
        <f>(Grandview_Inventory[[#This Row],[att_gar]]+Grandview_Inventory[[#This Row],[bltin_gar]])*Lookups!$B$17</f>
        <v>0</v>
      </c>
      <c r="BP1698" s="6">
        <f>Grandview_Inventory[[#This Row],[Plumbing Fixtures]]*Lookups!$B$18</f>
        <v>10052.209000000001</v>
      </c>
      <c r="BQ1698" s="6">
        <f>Grandview_Inventory[[#This Row],[detatched_value]]*Lookups!$B$19</f>
        <v>7028.4823299999998</v>
      </c>
      <c r="BR1698" s="6">
        <f>SUM(Grandview_Inventory[[#This Row],[Intercept]:[det_value]])*Grandview_Inventory[[#This Row],[res_pct]]</f>
        <v>246249.06712200001</v>
      </c>
      <c r="BS1698" s="6">
        <f>Grandview_Inventory[[#This Row],[land_value]]</f>
        <v>51342.318135355803</v>
      </c>
      <c r="BT1698" s="4">
        <f>_xlfn.IFNA(VLOOKUP(Grandview_Inventory[[#This Row],[quality]],Lookups!$A$26:$C$33,3,FALSE),1)</f>
        <v>0.98079741117310582</v>
      </c>
      <c r="BU1698" s="4">
        <f>_xlfn.IFNA(VLOOKUP(Grandview_Inventory[[#This Row],[condition]],Lookups!$A$37:$C$44,3,FALSE),1)</f>
        <v>0.96469275950863709</v>
      </c>
      <c r="BV1698" s="4">
        <f>IF(Grandview_Inventory[[#This Row],[bldg_style]]="",1,_xlfn.IFNA(VLOOKUP(Grandview_Inventory[[#This Row],[decade]],Lookups!$F$29:$H$43,3,FALSE),1))</f>
        <v>0.98763256963907298</v>
      </c>
      <c r="BW1698" s="4">
        <f>_xlfn.IFNA(VLOOKUP(Grandview_Inventory[[#This Row],[living_area_range]],Lookups!$F$47:$H$56,3,FALSE),1)</f>
        <v>0.96120133463014379</v>
      </c>
      <c r="BX1698" s="4">
        <f>AVERAGE(Grandview_Inventory[[#This Row],[qual_adj]:[size_adj]])</f>
        <v>0.97358101873773983</v>
      </c>
      <c r="BY1698" s="6">
        <f>IF(Grandview_Inventory[[#This Row],[pre_res]]&lt;0,0,Grandview_Inventory[[#This Row],[pre_res]]*Grandview_Inventory[[#This Row],[overall_adj]])</f>
        <v>239743.41763185486</v>
      </c>
      <c r="BZ1698" s="6">
        <f>(Grandview_Inventory[[#This Row],[sum_land]]-IF(Grandview_Inventory[[#This Row],[no_utilities]]=1,12000,0))/IF(Grandview_Inventory[[#This Row],[unbuildable]]=1,2,1)</f>
        <v>51342.318135355803</v>
      </c>
      <c r="CA169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698">
        <f>ROUND(Grandview_Inventory[[#This Row],[det_value]]*Lookups!$M$28,-2)</f>
        <v>6700</v>
      </c>
      <c r="CC1698">
        <f>IF(ROUND(Grandview_Inventory[[#This Row],[adj_res]]*Lookups!$M$28,-2)&lt;Grandview_Inventory[[#This Row],[min_res]],Grandview_Inventory[[#This Row],[min_res]],ROUND(Grandview_Inventory[[#This Row],[adj_res]]*Lookups!$M$28,-2))</f>
        <v>227800</v>
      </c>
      <c r="CD1698">
        <f>Grandview_Inventory[[#This Row],[final_det]]+Grandview_Inventory[[#This Row],[final_res]]</f>
        <v>234500</v>
      </c>
      <c r="CE1698">
        <f>Grandview_Inventory[[#This Row],[final_land]]+Grandview_Inventory[[#This Row],[final_imp]]+Grandview_Inventory[[#This Row],[crop_value]]</f>
        <v>283300</v>
      </c>
      <c r="CG1698" t="str">
        <f t="shared" si="26"/>
        <v>update valuation set market_land =48800, market_bldg=234500, market_total =283300, market_mdno =401, market_date ='9/10/2023' where link_id = (select link_id from parcel where parcel_year = '2024' and parcel_id = '23092332445');</v>
      </c>
    </row>
    <row r="1699" spans="1:85" x14ac:dyDescent="0.25">
      <c r="A1699">
        <v>23092332446</v>
      </c>
      <c r="B1699">
        <v>0.22</v>
      </c>
      <c r="C1699">
        <v>9387</v>
      </c>
      <c r="D1699" t="s">
        <v>129</v>
      </c>
      <c r="E1699" t="s">
        <v>53</v>
      </c>
      <c r="F1699" t="s">
        <v>53</v>
      </c>
      <c r="G1699">
        <v>4</v>
      </c>
      <c r="H1699" t="s">
        <v>54</v>
      </c>
      <c r="I1699">
        <v>120100</v>
      </c>
      <c r="J1699">
        <v>39500</v>
      </c>
      <c r="K1699">
        <v>0.22</v>
      </c>
      <c r="L169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699">
        <v>0</v>
      </c>
      <c r="N1699">
        <v>0</v>
      </c>
      <c r="O1699">
        <v>0</v>
      </c>
      <c r="P1699">
        <v>13398.7528</v>
      </c>
      <c r="Q1699">
        <v>63903</v>
      </c>
      <c r="R1699">
        <f>(Grandview_Inventory[[#This Row],[ln_acres]]*Grandview_Inventory[[#This Row],[coeff]])+Grandview_Inventory[[#This Row],[const]]</f>
        <v>43615.576802869145</v>
      </c>
      <c r="S1699" t="s">
        <v>55</v>
      </c>
      <c r="T1699">
        <v>2</v>
      </c>
      <c r="U1699" t="s">
        <v>65</v>
      </c>
      <c r="V1699" t="s">
        <v>78</v>
      </c>
      <c r="W1699">
        <v>0</v>
      </c>
      <c r="X1699">
        <v>0</v>
      </c>
      <c r="Y1699">
        <v>51</v>
      </c>
      <c r="Z1699">
        <v>77</v>
      </c>
      <c r="AA1699">
        <v>80</v>
      </c>
      <c r="AB1699">
        <v>1500</v>
      </c>
      <c r="AC1699">
        <v>1144</v>
      </c>
      <c r="AD1699">
        <v>808</v>
      </c>
      <c r="AE1699">
        <v>336</v>
      </c>
      <c r="AF1699">
        <v>0</v>
      </c>
      <c r="AG1699">
        <v>0</v>
      </c>
      <c r="AH1699">
        <v>808</v>
      </c>
      <c r="AI1699">
        <v>0</v>
      </c>
      <c r="AJ1699">
        <v>0</v>
      </c>
      <c r="AK1699">
        <v>0</v>
      </c>
      <c r="AL1699">
        <v>0</v>
      </c>
      <c r="AM1699">
        <v>312</v>
      </c>
      <c r="AN1699">
        <v>0</v>
      </c>
      <c r="AO1699">
        <v>312</v>
      </c>
      <c r="AP1699">
        <v>8</v>
      </c>
      <c r="AQ1699">
        <v>0</v>
      </c>
      <c r="AR1699">
        <v>0</v>
      </c>
      <c r="AS1699" t="s">
        <v>76</v>
      </c>
      <c r="AT1699">
        <v>1</v>
      </c>
      <c r="AU1699" t="s">
        <v>63</v>
      </c>
      <c r="AV1699" t="s">
        <v>81</v>
      </c>
      <c r="AW1699">
        <v>0</v>
      </c>
      <c r="AX1699">
        <v>4</v>
      </c>
      <c r="AY1699">
        <v>0</v>
      </c>
      <c r="AZ1699">
        <v>5300</v>
      </c>
      <c r="BA1699">
        <v>100</v>
      </c>
      <c r="BB1699">
        <v>100</v>
      </c>
      <c r="BC1699">
        <v>100</v>
      </c>
      <c r="BD1699">
        <v>100</v>
      </c>
      <c r="BE1699">
        <v>1</v>
      </c>
      <c r="BF1699">
        <v>15000</v>
      </c>
      <c r="BG1699">
        <v>1000</v>
      </c>
      <c r="BH1699" s="6">
        <f>Grandview_Inventory[[#This Row],[land_extract]]*Lookups!$B$3</f>
        <v>50650.651579114572</v>
      </c>
      <c r="BI1699" s="6">
        <f>IF(Grandview_Inventory[[#This Row],[bldg_style]]="",0,Lookups!$B$2)</f>
        <v>155833.95000000001</v>
      </c>
      <c r="BJ1699" s="6">
        <f>_xlfn.IFNA(VLOOKUP(Grandview_Inventory[[#This Row],[quality]],Lookups!$H$2:$J$14,3,FALSE),0)</f>
        <v>2251</v>
      </c>
      <c r="BK1699" s="6">
        <f>_xlfn.IFNA(VLOOKUP(Grandview_Inventory[[#This Row],[condition]],Lookups!$H$17:$J$24,3,FALSE),0)</f>
        <v>-45357</v>
      </c>
      <c r="BL1699" s="6">
        <f>Grandview_Inventory[[#This Row],[Eff_Age]]*Lookups!$B$14</f>
        <v>-12197.496599999999</v>
      </c>
      <c r="BM1699" s="6">
        <f>Grandview_Inventory[[#This Row],[living_area]]*Lookups!$B$15</f>
        <v>71363.695831999998</v>
      </c>
      <c r="BN1699" s="6">
        <f>Grandview_Inventory[[#This Row],[Fin BSMT]]*Lookups!$B$16</f>
        <v>0</v>
      </c>
      <c r="BO1699" s="6">
        <f>(Grandview_Inventory[[#This Row],[att_gar]]+Grandview_Inventory[[#This Row],[bltin_gar]])*Lookups!$B$17</f>
        <v>0</v>
      </c>
      <c r="BP1699" s="6">
        <f>Grandview_Inventory[[#This Row],[Plumbing Fixtures]]*Lookups!$B$18</f>
        <v>16083.5344</v>
      </c>
      <c r="BQ1699" s="6">
        <f>Grandview_Inventory[[#This Row],[detatched_value]]*Lookups!$B$19</f>
        <v>4488.0670300000002</v>
      </c>
      <c r="BR1699" s="6">
        <f>SUM(Grandview_Inventory[[#This Row],[Intercept]:[det_value]])*Grandview_Inventory[[#This Row],[res_pct]]</f>
        <v>192465.75066200001</v>
      </c>
      <c r="BS1699" s="6">
        <f>Grandview_Inventory[[#This Row],[land_value]]</f>
        <v>50650.651579114572</v>
      </c>
      <c r="BT1699" s="4">
        <f>_xlfn.IFNA(VLOOKUP(Grandview_Inventory[[#This Row],[quality]],Lookups!$A$26:$C$33,3,FALSE),1)</f>
        <v>0.98763855981004833</v>
      </c>
      <c r="BU1699" s="4">
        <f>_xlfn.IFNA(VLOOKUP(Grandview_Inventory[[#This Row],[condition]],Lookups!$A$37:$C$44,3,FALSE),1)</f>
        <v>0.97161819570155394</v>
      </c>
      <c r="BV1699" s="4">
        <f>IF(Grandview_Inventory[[#This Row],[bldg_style]]="",1,_xlfn.IFNA(VLOOKUP(Grandview_Inventory[[#This Row],[decade]],Lookups!$F$29:$H$43,3,FALSE),1))</f>
        <v>0.98763256963907298</v>
      </c>
      <c r="BW1699" s="4">
        <f>_xlfn.IFNA(VLOOKUP(Grandview_Inventory[[#This Row],[living_area_range]],Lookups!$F$47:$H$56,3,FALSE),1)</f>
        <v>0.96135087979789358</v>
      </c>
      <c r="BX1699" s="4">
        <f>AVERAGE(Grandview_Inventory[[#This Row],[qual_adj]:[size_adj]])</f>
        <v>0.97706005123714224</v>
      </c>
      <c r="BY1699" s="6">
        <f>IF(Grandview_Inventory[[#This Row],[pre_res]]&lt;0,0,Grandview_Inventory[[#This Row],[pre_res]]*Grandview_Inventory[[#This Row],[overall_adj]])</f>
        <v>188050.59620320876</v>
      </c>
      <c r="BZ1699" s="6">
        <f>(Grandview_Inventory[[#This Row],[sum_land]]-IF(Grandview_Inventory[[#This Row],[no_utilities]]=1,12000,0))/IF(Grandview_Inventory[[#This Row],[unbuildable]]=1,2,1)</f>
        <v>50650.651579114572</v>
      </c>
      <c r="CA169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699">
        <f>ROUND(Grandview_Inventory[[#This Row],[det_value]]*Lookups!$M$28,-2)</f>
        <v>4300</v>
      </c>
      <c r="CC1699">
        <f>IF(ROUND(Grandview_Inventory[[#This Row],[adj_res]]*Lookups!$M$28,-2)&lt;Grandview_Inventory[[#This Row],[min_res]],Grandview_Inventory[[#This Row],[min_res]],ROUND(Grandview_Inventory[[#This Row],[adj_res]]*Lookups!$M$28,-2))</f>
        <v>178600</v>
      </c>
      <c r="CD1699">
        <f>Grandview_Inventory[[#This Row],[final_det]]+Grandview_Inventory[[#This Row],[final_res]]</f>
        <v>182900</v>
      </c>
      <c r="CE1699">
        <f>Grandview_Inventory[[#This Row],[final_land]]+Grandview_Inventory[[#This Row],[final_imp]]+Grandview_Inventory[[#This Row],[crop_value]]</f>
        <v>231000</v>
      </c>
      <c r="CG1699" t="str">
        <f t="shared" si="26"/>
        <v>update valuation set market_land =48100, market_bldg=182900, market_total =231000, market_mdno =401, market_date ='9/10/2023' where link_id = (select link_id from parcel where parcel_year = '2024' and parcel_id = '23092332446');</v>
      </c>
    </row>
    <row r="1700" spans="1:85" x14ac:dyDescent="0.25">
      <c r="A1700">
        <v>23092332447</v>
      </c>
      <c r="B1700">
        <v>0.25</v>
      </c>
      <c r="C1700">
        <v>10968</v>
      </c>
      <c r="D1700" t="s">
        <v>129</v>
      </c>
      <c r="E1700" t="s">
        <v>53</v>
      </c>
      <c r="F1700" t="s">
        <v>53</v>
      </c>
      <c r="G1700">
        <v>4</v>
      </c>
      <c r="H1700" t="s">
        <v>54</v>
      </c>
      <c r="I1700">
        <v>180700</v>
      </c>
      <c r="J1700">
        <v>40000</v>
      </c>
      <c r="K1700">
        <v>0.25</v>
      </c>
      <c r="L1700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00">
        <v>0</v>
      </c>
      <c r="N1700">
        <v>0</v>
      </c>
      <c r="O1700">
        <v>0</v>
      </c>
      <c r="P1700">
        <v>13398.7528</v>
      </c>
      <c r="Q1700">
        <v>63903</v>
      </c>
      <c r="R1700">
        <f>(Grandview_Inventory[[#This Row],[ln_acres]]*Grandview_Inventory[[#This Row],[coeff]])+Grandview_Inventory[[#This Row],[const]]</f>
        <v>45328.38454732066</v>
      </c>
      <c r="S1700" t="s">
        <v>68</v>
      </c>
      <c r="T1700">
        <v>1</v>
      </c>
      <c r="U1700" t="s">
        <v>70</v>
      </c>
      <c r="V1700" t="s">
        <v>69</v>
      </c>
      <c r="W1700">
        <v>0</v>
      </c>
      <c r="X1700">
        <v>0</v>
      </c>
      <c r="Y1700">
        <v>50</v>
      </c>
      <c r="Z1700">
        <v>76</v>
      </c>
      <c r="AA1700">
        <v>80</v>
      </c>
      <c r="AB1700">
        <v>1500</v>
      </c>
      <c r="AC1700">
        <v>1030</v>
      </c>
      <c r="AD1700">
        <v>788</v>
      </c>
      <c r="AE1700">
        <v>0</v>
      </c>
      <c r="AF1700">
        <v>0</v>
      </c>
      <c r="AG1700">
        <v>242</v>
      </c>
      <c r="AH1700">
        <v>546</v>
      </c>
      <c r="AI1700">
        <v>0</v>
      </c>
      <c r="AJ1700">
        <v>0</v>
      </c>
      <c r="AK1700">
        <v>0</v>
      </c>
      <c r="AL1700">
        <v>0</v>
      </c>
      <c r="AM1700">
        <v>448</v>
      </c>
      <c r="AN1700">
        <v>0</v>
      </c>
      <c r="AO1700">
        <v>448</v>
      </c>
      <c r="AP1700">
        <v>5</v>
      </c>
      <c r="AQ1700">
        <v>0</v>
      </c>
      <c r="AR1700">
        <v>1</v>
      </c>
      <c r="AS1700" t="s">
        <v>71</v>
      </c>
      <c r="AT1700">
        <v>1</v>
      </c>
      <c r="AU1700" t="s">
        <v>63</v>
      </c>
      <c r="AV1700" t="s">
        <v>60</v>
      </c>
      <c r="AW1700">
        <v>1</v>
      </c>
      <c r="AX1700">
        <v>3</v>
      </c>
      <c r="AY1700">
        <v>0</v>
      </c>
      <c r="AZ1700">
        <v>28400</v>
      </c>
      <c r="BA1700">
        <v>100</v>
      </c>
      <c r="BB1700">
        <v>100</v>
      </c>
      <c r="BC1700">
        <v>100</v>
      </c>
      <c r="BD1700">
        <v>100</v>
      </c>
      <c r="BE1700">
        <v>1</v>
      </c>
      <c r="BF1700">
        <v>15000</v>
      </c>
      <c r="BG1700">
        <v>1000</v>
      </c>
      <c r="BH1700" s="6">
        <f>Grandview_Inventory[[#This Row],[land_extract]]*Lookups!$B$3</f>
        <v>52639.730588165206</v>
      </c>
      <c r="BI1700" s="6">
        <f>IF(Grandview_Inventory[[#This Row],[bldg_style]]="",0,Lookups!$B$2)</f>
        <v>155833.95000000001</v>
      </c>
      <c r="BJ1700" s="6">
        <f>_xlfn.IFNA(VLOOKUP(Grandview_Inventory[[#This Row],[quality]],Lookups!$H$2:$J$14,3,FALSE),0)</f>
        <v>10733</v>
      </c>
      <c r="BK1700" s="6">
        <f>_xlfn.IFNA(VLOOKUP(Grandview_Inventory[[#This Row],[condition]],Lookups!$H$17:$J$24,3,FALSE),0)</f>
        <v>-4503</v>
      </c>
      <c r="BL1700" s="6">
        <f>Grandview_Inventory[[#This Row],[Eff_Age]]*Lookups!$B$14</f>
        <v>-11958.33</v>
      </c>
      <c r="BM1700" s="6">
        <f>Grandview_Inventory[[#This Row],[living_area]]*Lookups!$B$15</f>
        <v>64252.278590000002</v>
      </c>
      <c r="BN1700" s="6">
        <f>Grandview_Inventory[[#This Row],[Fin BSMT]]*Lookups!$B$16</f>
        <v>-6558.0160800000003</v>
      </c>
      <c r="BO1700" s="6">
        <f>(Grandview_Inventory[[#This Row],[att_gar]]+Grandview_Inventory[[#This Row],[bltin_gar]])*Lookups!$B$17</f>
        <v>0</v>
      </c>
      <c r="BP1700" s="6">
        <f>Grandview_Inventory[[#This Row],[Plumbing Fixtures]]*Lookups!$B$18</f>
        <v>10052.209000000001</v>
      </c>
      <c r="BQ1700" s="6">
        <f>Grandview_Inventory[[#This Row],[detatched_value]]*Lookups!$B$19</f>
        <v>24049.26484</v>
      </c>
      <c r="BR1700" s="6">
        <f>SUM(Grandview_Inventory[[#This Row],[Intercept]:[det_value]])*Grandview_Inventory[[#This Row],[res_pct]]</f>
        <v>241901.35635000002</v>
      </c>
      <c r="BS1700" s="6">
        <f>Grandview_Inventory[[#This Row],[land_value]]</f>
        <v>52639.730588165206</v>
      </c>
      <c r="BT1700" s="4">
        <f>_xlfn.IFNA(VLOOKUP(Grandview_Inventory[[#This Row],[quality]],Lookups!$A$26:$C$33,3,FALSE),1)</f>
        <v>0.98079741117310582</v>
      </c>
      <c r="BU1700" s="4">
        <f>_xlfn.IFNA(VLOOKUP(Grandview_Inventory[[#This Row],[condition]],Lookups!$A$37:$C$44,3,FALSE),1)</f>
        <v>0.96469275950863709</v>
      </c>
      <c r="BV1700" s="4">
        <f>IF(Grandview_Inventory[[#This Row],[bldg_style]]="",1,_xlfn.IFNA(VLOOKUP(Grandview_Inventory[[#This Row],[decade]],Lookups!$F$29:$H$43,3,FALSE),1))</f>
        <v>0.98763256963907298</v>
      </c>
      <c r="BW1700" s="4">
        <f>_xlfn.IFNA(VLOOKUP(Grandview_Inventory[[#This Row],[living_area_range]],Lookups!$F$47:$H$56,3,FALSE),1)</f>
        <v>0.96135087979789358</v>
      </c>
      <c r="BX1700" s="4">
        <f>AVERAGE(Grandview_Inventory[[#This Row],[qual_adj]:[size_adj]])</f>
        <v>0.97361840502967734</v>
      </c>
      <c r="BY1700" s="6">
        <f>IF(Grandview_Inventory[[#This Row],[pre_res]]&lt;0,0,Grandview_Inventory[[#This Row],[pre_res]]*Grandview_Inventory[[#This Row],[overall_adj]])</f>
        <v>235519.61274400263</v>
      </c>
      <c r="BZ1700" s="6">
        <f>(Grandview_Inventory[[#This Row],[sum_land]]-IF(Grandview_Inventory[[#This Row],[no_utilities]]=1,12000,0))/IF(Grandview_Inventory[[#This Row],[unbuildable]]=1,2,1)</f>
        <v>52639.730588165206</v>
      </c>
      <c r="CA1700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00">
        <f>ROUND(Grandview_Inventory[[#This Row],[det_value]]*Lookups!$M$28,-2)</f>
        <v>22800</v>
      </c>
      <c r="CC1700">
        <f>IF(ROUND(Grandview_Inventory[[#This Row],[adj_res]]*Lookups!$M$28,-2)&lt;Grandview_Inventory[[#This Row],[min_res]],Grandview_Inventory[[#This Row],[min_res]],ROUND(Grandview_Inventory[[#This Row],[adj_res]]*Lookups!$M$28,-2))</f>
        <v>223700</v>
      </c>
      <c r="CD1700">
        <f>Grandview_Inventory[[#This Row],[final_det]]+Grandview_Inventory[[#This Row],[final_res]]</f>
        <v>246500</v>
      </c>
      <c r="CE1700">
        <f>Grandview_Inventory[[#This Row],[final_land]]+Grandview_Inventory[[#This Row],[final_imp]]+Grandview_Inventory[[#This Row],[crop_value]]</f>
        <v>296500</v>
      </c>
      <c r="CG1700" t="str">
        <f t="shared" si="26"/>
        <v>update valuation set market_land =50000, market_bldg=246500, market_total =296500, market_mdno =401, market_date ='9/10/2023' where link_id = (select link_id from parcel where parcel_year = '2024' and parcel_id = '23092332447');</v>
      </c>
    </row>
    <row r="1701" spans="1:85" x14ac:dyDescent="0.25">
      <c r="A1701">
        <v>23092332448</v>
      </c>
      <c r="B1701">
        <v>0.31</v>
      </c>
      <c r="C1701">
        <v>13346</v>
      </c>
      <c r="D1701" t="s">
        <v>129</v>
      </c>
      <c r="E1701" t="s">
        <v>53</v>
      </c>
      <c r="F1701" t="s">
        <v>53</v>
      </c>
      <c r="G1701">
        <v>4</v>
      </c>
      <c r="H1701" t="s">
        <v>54</v>
      </c>
      <c r="I1701">
        <v>106100</v>
      </c>
      <c r="J1701">
        <v>41100</v>
      </c>
      <c r="K1701">
        <v>0.31</v>
      </c>
      <c r="L1701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701">
        <v>0</v>
      </c>
      <c r="N1701">
        <v>0</v>
      </c>
      <c r="O1701">
        <v>0</v>
      </c>
      <c r="P1701">
        <v>13398.7528</v>
      </c>
      <c r="Q1701">
        <v>63903</v>
      </c>
      <c r="R1701">
        <f>(Grandview_Inventory[[#This Row],[ln_acres]]*Grandview_Inventory[[#This Row],[coeff]])+Grandview_Inventory[[#This Row],[const]]</f>
        <v>48210.608747275066</v>
      </c>
      <c r="S1701" t="s">
        <v>55</v>
      </c>
      <c r="T1701">
        <v>2</v>
      </c>
      <c r="U1701" t="s">
        <v>70</v>
      </c>
      <c r="V1701" t="s">
        <v>94</v>
      </c>
      <c r="W1701">
        <v>0</v>
      </c>
      <c r="X1701">
        <v>0</v>
      </c>
      <c r="Y1701">
        <v>50</v>
      </c>
      <c r="Z1701">
        <v>76</v>
      </c>
      <c r="AA1701">
        <v>80</v>
      </c>
      <c r="AB1701">
        <v>2000</v>
      </c>
      <c r="AC1701">
        <v>1983</v>
      </c>
      <c r="AD1701">
        <v>821</v>
      </c>
      <c r="AE1701">
        <v>341</v>
      </c>
      <c r="AF1701">
        <v>0</v>
      </c>
      <c r="AG1701">
        <v>821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27</v>
      </c>
      <c r="AO1701">
        <v>0</v>
      </c>
      <c r="AP1701">
        <v>5</v>
      </c>
      <c r="AQ1701">
        <v>0</v>
      </c>
      <c r="AR1701">
        <v>0</v>
      </c>
      <c r="AS1701" t="s">
        <v>76</v>
      </c>
      <c r="AT1701">
        <v>1</v>
      </c>
      <c r="AU1701" t="s">
        <v>63</v>
      </c>
      <c r="AV1701" t="s">
        <v>81</v>
      </c>
      <c r="AW1701">
        <v>0</v>
      </c>
      <c r="AX1701">
        <v>5</v>
      </c>
      <c r="AY1701">
        <v>0</v>
      </c>
      <c r="AZ1701">
        <v>10300</v>
      </c>
      <c r="BA1701">
        <v>100</v>
      </c>
      <c r="BB1701">
        <v>100</v>
      </c>
      <c r="BC1701">
        <v>100</v>
      </c>
      <c r="BD1701">
        <v>100</v>
      </c>
      <c r="BE1701">
        <v>1</v>
      </c>
      <c r="BF1701">
        <v>15000</v>
      </c>
      <c r="BG1701">
        <v>1000</v>
      </c>
      <c r="BH1701" s="6">
        <f>Grandview_Inventory[[#This Row],[land_extract]]*Lookups!$B$3</f>
        <v>55986.849769566914</v>
      </c>
      <c r="BI1701" s="6">
        <f>IF(Grandview_Inventory[[#This Row],[bldg_style]]="",0,Lookups!$B$2)</f>
        <v>155833.95000000001</v>
      </c>
      <c r="BJ1701" s="6">
        <f>_xlfn.IFNA(VLOOKUP(Grandview_Inventory[[#This Row],[quality]],Lookups!$H$2:$J$14,3,FALSE),0)</f>
        <v>10733</v>
      </c>
      <c r="BK1701" s="6">
        <f>_xlfn.IFNA(VLOOKUP(Grandview_Inventory[[#This Row],[condition]],Lookups!$H$17:$J$24,3,FALSE),0)</f>
        <v>-77566.475205170951</v>
      </c>
      <c r="BL1701" s="6">
        <f>Grandview_Inventory[[#This Row],[Eff_Age]]*Lookups!$B$14</f>
        <v>-11958.33</v>
      </c>
      <c r="BM1701" s="6">
        <f>Grandview_Inventory[[#This Row],[living_area]]*Lookups!$B$15</f>
        <v>123701.231499</v>
      </c>
      <c r="BN1701" s="6">
        <f>Grandview_Inventory[[#This Row],[Fin BSMT]]*Lookups!$B$16</f>
        <v>-22248.476040000001</v>
      </c>
      <c r="BO1701" s="6">
        <f>(Grandview_Inventory[[#This Row],[att_gar]]+Grandview_Inventory[[#This Row],[bltin_gar]])*Lookups!$B$17</f>
        <v>0</v>
      </c>
      <c r="BP1701" s="6">
        <f>Grandview_Inventory[[#This Row],[Plumbing Fixtures]]*Lookups!$B$18</f>
        <v>10052.209000000001</v>
      </c>
      <c r="BQ1701" s="6">
        <f>Grandview_Inventory[[#This Row],[detatched_value]]*Lookups!$B$19</f>
        <v>8722.0925299999999</v>
      </c>
      <c r="BR1701" s="6">
        <f>SUM(Grandview_Inventory[[#This Row],[Intercept]:[det_value]])*Grandview_Inventory[[#This Row],[res_pct]]</f>
        <v>197269.20178382905</v>
      </c>
      <c r="BS1701" s="6">
        <f>Grandview_Inventory[[#This Row],[land_value]]</f>
        <v>55986.849769566914</v>
      </c>
      <c r="BT1701" s="4">
        <f>_xlfn.IFNA(VLOOKUP(Grandview_Inventory[[#This Row],[quality]],Lookups!$A$26:$C$33,3,FALSE),1)</f>
        <v>0.98079741117310582</v>
      </c>
      <c r="BU1701" s="4">
        <f>_xlfn.IFNA(VLOOKUP(Grandview_Inventory[[#This Row],[condition]],Lookups!$A$37:$C$44,3,FALSE),1)</f>
        <v>0.97161819570155394</v>
      </c>
      <c r="BV1701" s="4">
        <f>IF(Grandview_Inventory[[#This Row],[bldg_style]]="",1,_xlfn.IFNA(VLOOKUP(Grandview_Inventory[[#This Row],[decade]],Lookups!$F$29:$H$43,3,FALSE),1))</f>
        <v>0.98763256963907298</v>
      </c>
      <c r="BW1701" s="4">
        <f>_xlfn.IFNA(VLOOKUP(Grandview_Inventory[[#This Row],[living_area_range]],Lookups!$F$47:$H$56,3,FALSE),1)</f>
        <v>0.96120133463014379</v>
      </c>
      <c r="BX1701" s="4">
        <f>AVERAGE(Grandview_Inventory[[#This Row],[qual_adj]:[size_adj]])</f>
        <v>0.97531237778596913</v>
      </c>
      <c r="BY1701" s="6">
        <f>IF(Grandview_Inventory[[#This Row],[pre_res]]&lt;0,0,Grandview_Inventory[[#This Row],[pre_res]]*Grandview_Inventory[[#This Row],[overall_adj]])</f>
        <v>192399.09425572646</v>
      </c>
      <c r="BZ1701" s="6">
        <f>(Grandview_Inventory[[#This Row],[sum_land]]-IF(Grandview_Inventory[[#This Row],[no_utilities]]=1,12000,0))/IF(Grandview_Inventory[[#This Row],[unbuildable]]=1,2,1)</f>
        <v>55986.849769566914</v>
      </c>
      <c r="CA1701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701">
        <f>ROUND(Grandview_Inventory[[#This Row],[det_value]]*Lookups!$M$28,-2)</f>
        <v>8300</v>
      </c>
      <c r="CC1701">
        <f>IF(ROUND(Grandview_Inventory[[#This Row],[adj_res]]*Lookups!$M$28,-2)&lt;Grandview_Inventory[[#This Row],[min_res]],Grandview_Inventory[[#This Row],[min_res]],ROUND(Grandview_Inventory[[#This Row],[adj_res]]*Lookups!$M$28,-2))</f>
        <v>182800</v>
      </c>
      <c r="CD1701">
        <f>Grandview_Inventory[[#This Row],[final_det]]+Grandview_Inventory[[#This Row],[final_res]]</f>
        <v>191100</v>
      </c>
      <c r="CE1701">
        <f>Grandview_Inventory[[#This Row],[final_land]]+Grandview_Inventory[[#This Row],[final_imp]]+Grandview_Inventory[[#This Row],[crop_value]]</f>
        <v>244300</v>
      </c>
      <c r="CG1701" t="str">
        <f t="shared" si="26"/>
        <v>update valuation set market_land =53200, market_bldg=191100, market_total =244300, market_mdno =401, market_date ='9/10/2023' where link_id = (select link_id from parcel where parcel_year = '2024' and parcel_id = '23092332448');</v>
      </c>
    </row>
    <row r="1702" spans="1:85" x14ac:dyDescent="0.25">
      <c r="A1702">
        <v>23092332449</v>
      </c>
      <c r="B1702">
        <v>0.37</v>
      </c>
      <c r="C1702">
        <v>15981</v>
      </c>
      <c r="D1702" t="s">
        <v>129</v>
      </c>
      <c r="E1702" t="s">
        <v>53</v>
      </c>
      <c r="F1702" t="s">
        <v>53</v>
      </c>
      <c r="G1702">
        <v>4</v>
      </c>
      <c r="H1702" t="s">
        <v>54</v>
      </c>
      <c r="I1702">
        <v>137900</v>
      </c>
      <c r="J1702">
        <v>40900</v>
      </c>
      <c r="K1702">
        <v>0.37</v>
      </c>
      <c r="L1702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1702">
        <v>0</v>
      </c>
      <c r="N1702">
        <v>0</v>
      </c>
      <c r="O1702">
        <v>0</v>
      </c>
      <c r="P1702">
        <v>13398.7528</v>
      </c>
      <c r="Q1702">
        <v>63903</v>
      </c>
      <c r="R1702">
        <f>(Grandview_Inventory[[#This Row],[ln_acres]]*Grandview_Inventory[[#This Row],[coeff]])+Grandview_Inventory[[#This Row],[const]]</f>
        <v>50581.259568627502</v>
      </c>
      <c r="S1702" t="s">
        <v>85</v>
      </c>
      <c r="T1702">
        <v>1</v>
      </c>
      <c r="U1702" t="s">
        <v>65</v>
      </c>
      <c r="V1702" t="s">
        <v>69</v>
      </c>
      <c r="W1702">
        <v>0</v>
      </c>
      <c r="X1702">
        <v>0</v>
      </c>
      <c r="Y1702">
        <v>50</v>
      </c>
      <c r="Z1702">
        <v>76</v>
      </c>
      <c r="AA1702">
        <v>80</v>
      </c>
      <c r="AB1702">
        <v>1500</v>
      </c>
      <c r="AC1702">
        <v>1200</v>
      </c>
      <c r="AD1702">
        <v>900</v>
      </c>
      <c r="AE1702">
        <v>0</v>
      </c>
      <c r="AF1702">
        <v>0</v>
      </c>
      <c r="AG1702">
        <v>300</v>
      </c>
      <c r="AH1702">
        <v>600</v>
      </c>
      <c r="AI1702">
        <v>238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5</v>
      </c>
      <c r="AQ1702">
        <v>0</v>
      </c>
      <c r="AR1702">
        <v>1</v>
      </c>
      <c r="AS1702" t="s">
        <v>58</v>
      </c>
      <c r="AT1702">
        <v>1</v>
      </c>
      <c r="AU1702" t="s">
        <v>63</v>
      </c>
      <c r="AV1702" t="s">
        <v>60</v>
      </c>
      <c r="AW1702">
        <v>0</v>
      </c>
      <c r="AX1702">
        <v>2</v>
      </c>
      <c r="AY1702">
        <v>0</v>
      </c>
      <c r="AZ1702">
        <v>0</v>
      </c>
      <c r="BA1702">
        <v>100</v>
      </c>
      <c r="BB1702">
        <v>100</v>
      </c>
      <c r="BC1702">
        <v>100</v>
      </c>
      <c r="BD1702">
        <v>100</v>
      </c>
      <c r="BE1702">
        <v>1</v>
      </c>
      <c r="BF1702">
        <v>15000</v>
      </c>
      <c r="BG1702">
        <v>1000</v>
      </c>
      <c r="BH1702" s="6">
        <f>Grandview_Inventory[[#This Row],[land_extract]]*Lookups!$B$3</f>
        <v>58739.880167646283</v>
      </c>
      <c r="BI1702" s="6">
        <f>IF(Grandview_Inventory[[#This Row],[bldg_style]]="",0,Lookups!$B$2)</f>
        <v>155833.95000000001</v>
      </c>
      <c r="BJ1702" s="6">
        <f>_xlfn.IFNA(VLOOKUP(Grandview_Inventory[[#This Row],[quality]],Lookups!$H$2:$J$14,3,FALSE),0)</f>
        <v>2251</v>
      </c>
      <c r="BK1702" s="6">
        <f>_xlfn.IFNA(VLOOKUP(Grandview_Inventory[[#This Row],[condition]],Lookups!$H$17:$J$24,3,FALSE),0)</f>
        <v>-4503</v>
      </c>
      <c r="BL1702" s="6">
        <f>Grandview_Inventory[[#This Row],[Eff_Age]]*Lookups!$B$14</f>
        <v>-11958.33</v>
      </c>
      <c r="BM1702" s="6">
        <f>Grandview_Inventory[[#This Row],[living_area]]*Lookups!$B$15</f>
        <v>74857.0236</v>
      </c>
      <c r="BN1702" s="6">
        <f>Grandview_Inventory[[#This Row],[Fin BSMT]]*Lookups!$B$16</f>
        <v>-8129.7720000000008</v>
      </c>
      <c r="BO1702" s="6">
        <f>(Grandview_Inventory[[#This Row],[att_gar]]+Grandview_Inventory[[#This Row],[bltin_gar]])*Lookups!$B$17</f>
        <v>20829.864006</v>
      </c>
      <c r="BP1702" s="6">
        <f>Grandview_Inventory[[#This Row],[Plumbing Fixtures]]*Lookups!$B$18</f>
        <v>10052.209000000001</v>
      </c>
      <c r="BQ1702" s="6">
        <f>Grandview_Inventory[[#This Row],[detatched_value]]*Lookups!$B$19</f>
        <v>0</v>
      </c>
      <c r="BR1702" s="6">
        <f>SUM(Grandview_Inventory[[#This Row],[Intercept]:[det_value]])*Grandview_Inventory[[#This Row],[res_pct]]</f>
        <v>239232.944606</v>
      </c>
      <c r="BS1702" s="6">
        <f>Grandview_Inventory[[#This Row],[land_value]]</f>
        <v>58739.880167646283</v>
      </c>
      <c r="BT1702" s="4">
        <f>_xlfn.IFNA(VLOOKUP(Grandview_Inventory[[#This Row],[quality]],Lookups!$A$26:$C$33,3,FALSE),1)</f>
        <v>0.98763855981004833</v>
      </c>
      <c r="BU1702" s="4">
        <f>_xlfn.IFNA(VLOOKUP(Grandview_Inventory[[#This Row],[condition]],Lookups!$A$37:$C$44,3,FALSE),1)</f>
        <v>0.96469275950863709</v>
      </c>
      <c r="BV1702" s="4">
        <f>IF(Grandview_Inventory[[#This Row],[bldg_style]]="",1,_xlfn.IFNA(VLOOKUP(Grandview_Inventory[[#This Row],[decade]],Lookups!$F$29:$H$43,3,FALSE),1))</f>
        <v>0.98763256963907298</v>
      </c>
      <c r="BW1702" s="4">
        <f>_xlfn.IFNA(VLOOKUP(Grandview_Inventory[[#This Row],[living_area_range]],Lookups!$F$47:$H$56,3,FALSE),1)</f>
        <v>0.96135087979789358</v>
      </c>
      <c r="BX1702" s="4">
        <f>AVERAGE(Grandview_Inventory[[#This Row],[qual_adj]:[size_adj]])</f>
        <v>0.97532869218891294</v>
      </c>
      <c r="BY1702" s="6">
        <f>IF(Grandview_Inventory[[#This Row],[pre_res]]&lt;0,0,Grandview_Inventory[[#This Row],[pre_res]]*Grandview_Inventory[[#This Row],[overall_adj]])</f>
        <v>233330.75499107264</v>
      </c>
      <c r="BZ1702" s="6">
        <f>(Grandview_Inventory[[#This Row],[sum_land]]-IF(Grandview_Inventory[[#This Row],[no_utilities]]=1,12000,0))/IF(Grandview_Inventory[[#This Row],[unbuildable]]=1,2,1)</f>
        <v>58739.880167646283</v>
      </c>
      <c r="CA1702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1702">
        <f>ROUND(Grandview_Inventory[[#This Row],[det_value]]*Lookups!$M$28,-2)</f>
        <v>0</v>
      </c>
      <c r="CC1702">
        <f>IF(ROUND(Grandview_Inventory[[#This Row],[adj_res]]*Lookups!$M$28,-2)&lt;Grandview_Inventory[[#This Row],[min_res]],Grandview_Inventory[[#This Row],[min_res]],ROUND(Grandview_Inventory[[#This Row],[adj_res]]*Lookups!$M$28,-2))</f>
        <v>221700</v>
      </c>
      <c r="CD1702">
        <f>Grandview_Inventory[[#This Row],[final_det]]+Grandview_Inventory[[#This Row],[final_res]]</f>
        <v>221700</v>
      </c>
      <c r="CE1702">
        <f>Grandview_Inventory[[#This Row],[final_land]]+Grandview_Inventory[[#This Row],[final_imp]]+Grandview_Inventory[[#This Row],[crop_value]]</f>
        <v>277500</v>
      </c>
      <c r="CG1702" t="str">
        <f t="shared" si="26"/>
        <v>update valuation set market_land =55800, market_bldg=221700, market_total =277500, market_mdno =401, market_date ='9/10/2023' where link_id = (select link_id from parcel where parcel_year = '2024' and parcel_id = '23092332449');</v>
      </c>
    </row>
    <row r="1703" spans="1:85" x14ac:dyDescent="0.25">
      <c r="A1703">
        <v>23092332450</v>
      </c>
      <c r="B1703">
        <v>0.49</v>
      </c>
      <c r="C1703">
        <v>21166</v>
      </c>
      <c r="D1703" t="s">
        <v>129</v>
      </c>
      <c r="E1703" t="s">
        <v>53</v>
      </c>
      <c r="F1703" t="s">
        <v>53</v>
      </c>
      <c r="G1703">
        <v>4</v>
      </c>
      <c r="H1703" t="s">
        <v>54</v>
      </c>
      <c r="I1703">
        <v>192300</v>
      </c>
      <c r="J1703">
        <v>41800</v>
      </c>
      <c r="K1703">
        <v>0.49</v>
      </c>
      <c r="L1703">
        <f>IF(Grandview_Inventory[[#This Row],[parcel_acres]]-Grandview_Inventory[[#This Row],[non_valued_acres]] =0,0,LN(Grandview_Inventory[[#This Row],[parcel_acres]]-Grandview_Inventory[[#This Row],[non_valued_acres]]))</f>
        <v>-0.71334988787746478</v>
      </c>
      <c r="M1703">
        <v>0</v>
      </c>
      <c r="N1703">
        <v>0</v>
      </c>
      <c r="O1703">
        <v>0</v>
      </c>
      <c r="P1703">
        <v>13398.7528</v>
      </c>
      <c r="Q1703">
        <v>63903</v>
      </c>
      <c r="R1703">
        <f>(Grandview_Inventory[[#This Row],[ln_acres]]*Grandview_Inventory[[#This Row],[coeff]])+Grandview_Inventory[[#This Row],[const]]</f>
        <v>54345.001192422133</v>
      </c>
      <c r="S1703" t="s">
        <v>55</v>
      </c>
      <c r="T1703">
        <v>2</v>
      </c>
      <c r="U1703" t="s">
        <v>65</v>
      </c>
      <c r="V1703" t="s">
        <v>69</v>
      </c>
      <c r="W1703">
        <v>0</v>
      </c>
      <c r="X1703">
        <v>0</v>
      </c>
      <c r="Y1703">
        <v>50</v>
      </c>
      <c r="Z1703">
        <v>76</v>
      </c>
      <c r="AA1703">
        <v>80</v>
      </c>
      <c r="AB1703">
        <v>2000</v>
      </c>
      <c r="AC1703">
        <v>1983</v>
      </c>
      <c r="AD1703">
        <v>821</v>
      </c>
      <c r="AE1703">
        <v>341</v>
      </c>
      <c r="AF1703">
        <v>0</v>
      </c>
      <c r="AG1703">
        <v>821</v>
      </c>
      <c r="AH1703">
        <v>0</v>
      </c>
      <c r="AI1703">
        <v>276</v>
      </c>
      <c r="AJ1703">
        <v>0</v>
      </c>
      <c r="AK1703">
        <v>0</v>
      </c>
      <c r="AL1703">
        <v>0</v>
      </c>
      <c r="AM1703">
        <v>299</v>
      </c>
      <c r="AN1703">
        <v>24</v>
      </c>
      <c r="AO1703">
        <v>207</v>
      </c>
      <c r="AP1703">
        <v>8</v>
      </c>
      <c r="AQ1703">
        <v>0</v>
      </c>
      <c r="AR1703">
        <v>0</v>
      </c>
      <c r="AS1703" t="s">
        <v>58</v>
      </c>
      <c r="AT1703">
        <v>1</v>
      </c>
      <c r="AU1703" t="s">
        <v>63</v>
      </c>
      <c r="AV1703" t="s">
        <v>60</v>
      </c>
      <c r="AW1703">
        <v>1</v>
      </c>
      <c r="AX1703">
        <v>4</v>
      </c>
      <c r="AY1703">
        <v>0</v>
      </c>
      <c r="AZ1703">
        <v>0</v>
      </c>
      <c r="BA1703">
        <v>100</v>
      </c>
      <c r="BB1703">
        <v>100</v>
      </c>
      <c r="BC1703">
        <v>100</v>
      </c>
      <c r="BD1703">
        <v>100</v>
      </c>
      <c r="BE1703">
        <v>1</v>
      </c>
      <c r="BF1703">
        <v>15000</v>
      </c>
      <c r="BG1703">
        <v>1000</v>
      </c>
      <c r="BH1703" s="6">
        <f>Grandview_Inventory[[#This Row],[land_extract]]*Lookups!$B$3</f>
        <v>63110.703153256603</v>
      </c>
      <c r="BI1703" s="6">
        <f>IF(Grandview_Inventory[[#This Row],[bldg_style]]="",0,Lookups!$B$2)</f>
        <v>155833.95000000001</v>
      </c>
      <c r="BJ1703" s="6">
        <f>_xlfn.IFNA(VLOOKUP(Grandview_Inventory[[#This Row],[quality]],Lookups!$H$2:$J$14,3,FALSE),0)</f>
        <v>2251</v>
      </c>
      <c r="BK1703" s="6">
        <f>_xlfn.IFNA(VLOOKUP(Grandview_Inventory[[#This Row],[condition]],Lookups!$H$17:$J$24,3,FALSE),0)</f>
        <v>-4503</v>
      </c>
      <c r="BL1703" s="6">
        <f>Grandview_Inventory[[#This Row],[Eff_Age]]*Lookups!$B$14</f>
        <v>-11958.33</v>
      </c>
      <c r="BM1703" s="6">
        <f>Grandview_Inventory[[#This Row],[living_area]]*Lookups!$B$15</f>
        <v>123701.231499</v>
      </c>
      <c r="BN1703" s="6">
        <f>Grandview_Inventory[[#This Row],[Fin BSMT]]*Lookups!$B$16</f>
        <v>-22248.476040000001</v>
      </c>
      <c r="BO1703" s="6">
        <f>(Grandview_Inventory[[#This Row],[att_gar]]+Grandview_Inventory[[#This Row],[bltin_gar]])*Lookups!$B$17</f>
        <v>24155.640611999999</v>
      </c>
      <c r="BP1703" s="6">
        <f>Grandview_Inventory[[#This Row],[Plumbing Fixtures]]*Lookups!$B$18</f>
        <v>16083.5344</v>
      </c>
      <c r="BQ1703" s="6">
        <f>Grandview_Inventory[[#This Row],[detatched_value]]*Lookups!$B$19</f>
        <v>0</v>
      </c>
      <c r="BR1703" s="6">
        <f>SUM(Grandview_Inventory[[#This Row],[Intercept]:[det_value]])*Grandview_Inventory[[#This Row],[res_pct]]</f>
        <v>283315.55047100002</v>
      </c>
      <c r="BS1703" s="6">
        <f>Grandview_Inventory[[#This Row],[land_value]]</f>
        <v>63110.703153256603</v>
      </c>
      <c r="BT1703" s="4">
        <f>_xlfn.IFNA(VLOOKUP(Grandview_Inventory[[#This Row],[quality]],Lookups!$A$26:$C$33,3,FALSE),1)</f>
        <v>0.98763855981004833</v>
      </c>
      <c r="BU1703" s="4">
        <f>_xlfn.IFNA(VLOOKUP(Grandview_Inventory[[#This Row],[condition]],Lookups!$A$37:$C$44,3,FALSE),1)</f>
        <v>0.96469275950863709</v>
      </c>
      <c r="BV1703" s="4">
        <f>IF(Grandview_Inventory[[#This Row],[bldg_style]]="",1,_xlfn.IFNA(VLOOKUP(Grandview_Inventory[[#This Row],[decade]],Lookups!$F$29:$H$43,3,FALSE),1))</f>
        <v>0.98763256963907298</v>
      </c>
      <c r="BW1703" s="4">
        <f>_xlfn.IFNA(VLOOKUP(Grandview_Inventory[[#This Row],[living_area_range]],Lookups!$F$47:$H$56,3,FALSE),1)</f>
        <v>0.96120133463014379</v>
      </c>
      <c r="BX1703" s="4">
        <f>AVERAGE(Grandview_Inventory[[#This Row],[qual_adj]:[size_adj]])</f>
        <v>0.97529130589697544</v>
      </c>
      <c r="BY1703" s="6">
        <f>IF(Grandview_Inventory[[#This Row],[pre_res]]&lt;0,0,Grandview_Inventory[[#This Row],[pre_res]]*Grandview_Inventory[[#This Row],[overall_adj]])</f>
        <v>276315.19319978205</v>
      </c>
      <c r="BZ1703" s="6">
        <f>(Grandview_Inventory[[#This Row],[sum_land]]-IF(Grandview_Inventory[[#This Row],[no_utilities]]=1,12000,0))/IF(Grandview_Inventory[[#This Row],[unbuildable]]=1,2,1)</f>
        <v>63110.703153256603</v>
      </c>
      <c r="CA1703">
        <f>IF(ROUND(Grandview_Inventory[[#This Row],[adj_land]]*Lookups!$M$28,-2)&lt;Grandview_Inventory[[#This Row],[min_land]],Grandview_Inventory[[#This Row],[min_land]],ROUND(Grandview_Inventory[[#This Row],[adj_land]]*Lookups!$M$28,-2))</f>
        <v>60000</v>
      </c>
      <c r="CB1703">
        <f>ROUND(Grandview_Inventory[[#This Row],[det_value]]*Lookups!$M$28,-2)</f>
        <v>0</v>
      </c>
      <c r="CC1703">
        <f>IF(ROUND(Grandview_Inventory[[#This Row],[adj_res]]*Lookups!$M$28,-2)&lt;Grandview_Inventory[[#This Row],[min_res]],Grandview_Inventory[[#This Row],[min_res]],ROUND(Grandview_Inventory[[#This Row],[adj_res]]*Lookups!$M$28,-2))</f>
        <v>262500</v>
      </c>
      <c r="CD1703">
        <f>Grandview_Inventory[[#This Row],[final_det]]+Grandview_Inventory[[#This Row],[final_res]]</f>
        <v>262500</v>
      </c>
      <c r="CE1703">
        <f>Grandview_Inventory[[#This Row],[final_land]]+Grandview_Inventory[[#This Row],[final_imp]]+Grandview_Inventory[[#This Row],[crop_value]]</f>
        <v>322500</v>
      </c>
      <c r="CG1703" t="str">
        <f t="shared" si="26"/>
        <v>update valuation set market_land =60000, market_bldg=262500, market_total =322500, market_mdno =401, market_date ='9/10/2023' where link_id = (select link_id from parcel where parcel_year = '2024' and parcel_id = '23092332450');</v>
      </c>
    </row>
    <row r="1704" spans="1:85" x14ac:dyDescent="0.25">
      <c r="A1704">
        <v>23092332451</v>
      </c>
      <c r="B1704">
        <v>0.4</v>
      </c>
      <c r="C1704">
        <v>17248</v>
      </c>
      <c r="D1704" t="s">
        <v>129</v>
      </c>
      <c r="E1704" t="s">
        <v>53</v>
      </c>
      <c r="F1704" t="s">
        <v>53</v>
      </c>
      <c r="G1704">
        <v>4</v>
      </c>
      <c r="H1704" t="s">
        <v>54</v>
      </c>
      <c r="I1704">
        <v>299300</v>
      </c>
      <c r="J1704">
        <v>41200</v>
      </c>
      <c r="K1704">
        <v>0.4</v>
      </c>
      <c r="L1704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1704">
        <v>0</v>
      </c>
      <c r="N1704">
        <v>0</v>
      </c>
      <c r="O1704">
        <v>0</v>
      </c>
      <c r="P1704">
        <v>13398.7528</v>
      </c>
      <c r="Q1704">
        <v>63903</v>
      </c>
      <c r="R1704">
        <f>(Grandview_Inventory[[#This Row],[ln_acres]]*Grandview_Inventory[[#This Row],[coeff]])+Grandview_Inventory[[#This Row],[const]]</f>
        <v>51625.846990687118</v>
      </c>
      <c r="S1704" t="s">
        <v>55</v>
      </c>
      <c r="T1704">
        <v>2</v>
      </c>
      <c r="U1704" t="s">
        <v>65</v>
      </c>
      <c r="V1704" t="s">
        <v>67</v>
      </c>
      <c r="W1704">
        <v>0</v>
      </c>
      <c r="X1704">
        <v>0</v>
      </c>
      <c r="Y1704">
        <v>51</v>
      </c>
      <c r="Z1704">
        <v>77</v>
      </c>
      <c r="AA1704">
        <v>80</v>
      </c>
      <c r="AB1704">
        <v>3000</v>
      </c>
      <c r="AC1704">
        <v>2661</v>
      </c>
      <c r="AD1704">
        <v>1309</v>
      </c>
      <c r="AE1704">
        <v>544</v>
      </c>
      <c r="AF1704">
        <v>0</v>
      </c>
      <c r="AG1704">
        <v>808</v>
      </c>
      <c r="AH1704">
        <v>0</v>
      </c>
      <c r="AI1704">
        <v>624</v>
      </c>
      <c r="AJ1704">
        <v>0</v>
      </c>
      <c r="AK1704">
        <v>0</v>
      </c>
      <c r="AL1704">
        <v>360</v>
      </c>
      <c r="AM1704">
        <v>0</v>
      </c>
      <c r="AN1704">
        <v>144</v>
      </c>
      <c r="AO1704">
        <v>0</v>
      </c>
      <c r="AP1704">
        <v>8</v>
      </c>
      <c r="AQ1704">
        <v>0</v>
      </c>
      <c r="AR1704">
        <v>1</v>
      </c>
      <c r="AS1704" t="s">
        <v>58</v>
      </c>
      <c r="AT1704">
        <v>1</v>
      </c>
      <c r="AU1704" t="s">
        <v>63</v>
      </c>
      <c r="AV1704" t="s">
        <v>64</v>
      </c>
      <c r="AW1704">
        <v>1</v>
      </c>
      <c r="AX1704">
        <v>4</v>
      </c>
      <c r="AY1704">
        <v>0</v>
      </c>
      <c r="AZ1704">
        <v>0</v>
      </c>
      <c r="BA1704">
        <v>100</v>
      </c>
      <c r="BB1704">
        <v>100</v>
      </c>
      <c r="BC1704">
        <v>100</v>
      </c>
      <c r="BD1704">
        <v>100</v>
      </c>
      <c r="BE1704">
        <v>1</v>
      </c>
      <c r="BF1704">
        <v>15000</v>
      </c>
      <c r="BG1704">
        <v>1000</v>
      </c>
      <c r="BH1704" s="6">
        <f>Grandview_Inventory[[#This Row],[land_extract]]*Lookups!$B$3</f>
        <v>59952.95672049807</v>
      </c>
      <c r="BI1704" s="6">
        <f>IF(Grandview_Inventory[[#This Row],[bldg_style]]="",0,Lookups!$B$2)</f>
        <v>155833.95000000001</v>
      </c>
      <c r="BJ1704" s="6">
        <f>_xlfn.IFNA(VLOOKUP(Grandview_Inventory[[#This Row],[quality]],Lookups!$H$2:$J$14,3,FALSE),0)</f>
        <v>2251</v>
      </c>
      <c r="BK1704" s="6">
        <f>_xlfn.IFNA(VLOOKUP(Grandview_Inventory[[#This Row],[condition]],Lookups!$H$17:$J$24,3,FALSE),0)</f>
        <v>22342</v>
      </c>
      <c r="BL1704" s="6">
        <f>Grandview_Inventory[[#This Row],[Eff_Age]]*Lookups!$B$14</f>
        <v>-12197.496599999999</v>
      </c>
      <c r="BM1704" s="6">
        <f>Grandview_Inventory[[#This Row],[living_area]]*Lookups!$B$15</f>
        <v>165995.44983299999</v>
      </c>
      <c r="BN1704" s="6">
        <f>Grandview_Inventory[[#This Row],[Fin BSMT]]*Lookups!$B$16</f>
        <v>-21896.18592</v>
      </c>
      <c r="BO1704" s="6">
        <f>(Grandview_Inventory[[#This Row],[att_gar]]+Grandview_Inventory[[#This Row],[bltin_gar]])*Lookups!$B$17</f>
        <v>54612.752688</v>
      </c>
      <c r="BP1704" s="6">
        <f>Grandview_Inventory[[#This Row],[Plumbing Fixtures]]*Lookups!$B$18</f>
        <v>16083.5344</v>
      </c>
      <c r="BQ1704" s="6">
        <f>Grandview_Inventory[[#This Row],[detatched_value]]*Lookups!$B$19</f>
        <v>0</v>
      </c>
      <c r="BR1704" s="6">
        <f>SUM(Grandview_Inventory[[#This Row],[Intercept]:[det_value]])*Grandview_Inventory[[#This Row],[res_pct]]</f>
        <v>383025.00440099993</v>
      </c>
      <c r="BS1704" s="6">
        <f>Grandview_Inventory[[#This Row],[land_value]]</f>
        <v>59952.95672049807</v>
      </c>
      <c r="BT1704" s="4">
        <f>_xlfn.IFNA(VLOOKUP(Grandview_Inventory[[#This Row],[quality]],Lookups!$A$26:$C$33,3,FALSE),1)</f>
        <v>0.98763855981004833</v>
      </c>
      <c r="BU1704" s="4">
        <f>_xlfn.IFNA(VLOOKUP(Grandview_Inventory[[#This Row],[condition]],Lookups!$A$37:$C$44,3,FALSE),1)</f>
        <v>0.97383723671140243</v>
      </c>
      <c r="BV1704" s="4">
        <f>IF(Grandview_Inventory[[#This Row],[bldg_style]]="",1,_xlfn.IFNA(VLOOKUP(Grandview_Inventory[[#This Row],[decade]],Lookups!$F$29:$H$43,3,FALSE),1))</f>
        <v>0.98763256963907298</v>
      </c>
      <c r="BW1704" s="4">
        <f>_xlfn.IFNA(VLOOKUP(Grandview_Inventory[[#This Row],[living_area_range]],Lookups!$F$47:$H$56,3,FALSE),1)</f>
        <v>0.94224801443562123</v>
      </c>
      <c r="BX1704" s="4">
        <f>AVERAGE(Grandview_Inventory[[#This Row],[qual_adj]:[size_adj]])</f>
        <v>0.97283909514903621</v>
      </c>
      <c r="BY1704" s="6">
        <f>IF(Grandview_Inventory[[#This Row],[pre_res]]&lt;0,0,Grandview_Inventory[[#This Row],[pre_res]]*Grandview_Inventory[[#This Row],[overall_adj]])</f>
        <v>372621.6987009244</v>
      </c>
      <c r="BZ1704" s="6">
        <f>(Grandview_Inventory[[#This Row],[sum_land]]-IF(Grandview_Inventory[[#This Row],[no_utilities]]=1,12000,0))/IF(Grandview_Inventory[[#This Row],[unbuildable]]=1,2,1)</f>
        <v>59952.95672049807</v>
      </c>
      <c r="CA1704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1704">
        <f>ROUND(Grandview_Inventory[[#This Row],[det_value]]*Lookups!$M$28,-2)</f>
        <v>0</v>
      </c>
      <c r="CC1704">
        <f>IF(ROUND(Grandview_Inventory[[#This Row],[adj_res]]*Lookups!$M$28,-2)&lt;Grandview_Inventory[[#This Row],[min_res]],Grandview_Inventory[[#This Row],[min_res]],ROUND(Grandview_Inventory[[#This Row],[adj_res]]*Lookups!$M$28,-2))</f>
        <v>354000</v>
      </c>
      <c r="CD1704">
        <f>Grandview_Inventory[[#This Row],[final_det]]+Grandview_Inventory[[#This Row],[final_res]]</f>
        <v>354000</v>
      </c>
      <c r="CE1704">
        <f>Grandview_Inventory[[#This Row],[final_land]]+Grandview_Inventory[[#This Row],[final_imp]]+Grandview_Inventory[[#This Row],[crop_value]]</f>
        <v>411000</v>
      </c>
      <c r="CG1704" t="str">
        <f t="shared" si="26"/>
        <v>update valuation set market_land =57000, market_bldg=354000, market_total =411000, market_mdno =401, market_date ='9/10/2023' where link_id = (select link_id from parcel where parcel_year = '2024' and parcel_id = '23092332451');</v>
      </c>
    </row>
    <row r="1705" spans="1:85" x14ac:dyDescent="0.25">
      <c r="A1705">
        <v>23092332452</v>
      </c>
      <c r="B1705">
        <v>0.37</v>
      </c>
      <c r="C1705">
        <v>16326</v>
      </c>
      <c r="D1705" t="s">
        <v>129</v>
      </c>
      <c r="E1705" t="s">
        <v>53</v>
      </c>
      <c r="F1705" t="s">
        <v>53</v>
      </c>
      <c r="G1705">
        <v>4</v>
      </c>
      <c r="H1705" t="s">
        <v>54</v>
      </c>
      <c r="I1705">
        <v>129900</v>
      </c>
      <c r="J1705">
        <v>40900</v>
      </c>
      <c r="K1705">
        <v>0.37</v>
      </c>
      <c r="L1705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1705">
        <v>0</v>
      </c>
      <c r="N1705">
        <v>0</v>
      </c>
      <c r="O1705">
        <v>0</v>
      </c>
      <c r="P1705">
        <v>13398.7528</v>
      </c>
      <c r="Q1705">
        <v>63903</v>
      </c>
      <c r="R1705">
        <f>(Grandview_Inventory[[#This Row],[ln_acres]]*Grandview_Inventory[[#This Row],[coeff]])+Grandview_Inventory[[#This Row],[const]]</f>
        <v>50581.259568627502</v>
      </c>
      <c r="S1705" t="s">
        <v>68</v>
      </c>
      <c r="T1705">
        <v>1</v>
      </c>
      <c r="U1705" t="s">
        <v>65</v>
      </c>
      <c r="V1705" t="s">
        <v>69</v>
      </c>
      <c r="W1705">
        <v>0</v>
      </c>
      <c r="X1705">
        <v>0</v>
      </c>
      <c r="Y1705">
        <v>51</v>
      </c>
      <c r="Z1705">
        <v>77</v>
      </c>
      <c r="AA1705">
        <v>80</v>
      </c>
      <c r="AB1705">
        <v>1500</v>
      </c>
      <c r="AC1705">
        <v>1059</v>
      </c>
      <c r="AD1705">
        <v>777</v>
      </c>
      <c r="AE1705">
        <v>0</v>
      </c>
      <c r="AF1705">
        <v>0</v>
      </c>
      <c r="AG1705">
        <v>282</v>
      </c>
      <c r="AH1705">
        <v>495</v>
      </c>
      <c r="AI1705">
        <v>0</v>
      </c>
      <c r="AJ1705">
        <v>0</v>
      </c>
      <c r="AK1705">
        <v>0</v>
      </c>
      <c r="AL1705">
        <v>350</v>
      </c>
      <c r="AM1705">
        <v>264</v>
      </c>
      <c r="AN1705">
        <v>24</v>
      </c>
      <c r="AO1705">
        <v>0</v>
      </c>
      <c r="AP1705">
        <v>8</v>
      </c>
      <c r="AQ1705">
        <v>0</v>
      </c>
      <c r="AR1705">
        <v>1</v>
      </c>
      <c r="AS1705" t="s">
        <v>58</v>
      </c>
      <c r="AT1705">
        <v>0</v>
      </c>
      <c r="AU1705" t="s">
        <v>134</v>
      </c>
      <c r="AV1705" t="s">
        <v>138</v>
      </c>
      <c r="AW1705">
        <v>0</v>
      </c>
      <c r="AX1705">
        <v>2</v>
      </c>
      <c r="AY1705">
        <v>0</v>
      </c>
      <c r="AZ1705">
        <v>0</v>
      </c>
      <c r="BA1705">
        <v>100</v>
      </c>
      <c r="BB1705">
        <v>100</v>
      </c>
      <c r="BC1705">
        <v>100</v>
      </c>
      <c r="BD1705">
        <v>100</v>
      </c>
      <c r="BE1705">
        <v>1</v>
      </c>
      <c r="BF1705">
        <v>15000</v>
      </c>
      <c r="BG1705">
        <v>1000</v>
      </c>
      <c r="BH1705" s="6">
        <f>Grandview_Inventory[[#This Row],[land_extract]]*Lookups!$B$3</f>
        <v>58739.880167646283</v>
      </c>
      <c r="BI1705" s="6">
        <f>IF(Grandview_Inventory[[#This Row],[bldg_style]]="",0,Lookups!$B$2)</f>
        <v>155833.95000000001</v>
      </c>
      <c r="BJ1705" s="6">
        <f>_xlfn.IFNA(VLOOKUP(Grandview_Inventory[[#This Row],[quality]],Lookups!$H$2:$J$14,3,FALSE),0)</f>
        <v>2251</v>
      </c>
      <c r="BK1705" s="6">
        <f>_xlfn.IFNA(VLOOKUP(Grandview_Inventory[[#This Row],[condition]],Lookups!$H$17:$J$24,3,FALSE),0)</f>
        <v>-4503</v>
      </c>
      <c r="BL1705" s="6">
        <f>Grandview_Inventory[[#This Row],[Eff_Age]]*Lookups!$B$14</f>
        <v>-12197.496599999999</v>
      </c>
      <c r="BM1705" s="6">
        <f>Grandview_Inventory[[#This Row],[living_area]]*Lookups!$B$15</f>
        <v>66061.323327000006</v>
      </c>
      <c r="BN1705" s="6">
        <f>Grandview_Inventory[[#This Row],[Fin BSMT]]*Lookups!$B$16</f>
        <v>-7641.9856800000007</v>
      </c>
      <c r="BO1705" s="6">
        <f>(Grandview_Inventory[[#This Row],[att_gar]]+Grandview_Inventory[[#This Row],[bltin_gar]])*Lookups!$B$17</f>
        <v>0</v>
      </c>
      <c r="BP1705" s="6">
        <f>Grandview_Inventory[[#This Row],[Plumbing Fixtures]]*Lookups!$B$18</f>
        <v>16083.5344</v>
      </c>
      <c r="BQ1705" s="6">
        <f>Grandview_Inventory[[#This Row],[detatched_value]]*Lookups!$B$19</f>
        <v>0</v>
      </c>
      <c r="BR1705" s="6">
        <f>SUM(Grandview_Inventory[[#This Row],[Intercept]:[det_value]])*Grandview_Inventory[[#This Row],[res_pct]]</f>
        <v>215887.32544700001</v>
      </c>
      <c r="BS1705" s="6">
        <f>Grandview_Inventory[[#This Row],[land_value]]</f>
        <v>58739.880167646283</v>
      </c>
      <c r="BT1705" s="4">
        <f>_xlfn.IFNA(VLOOKUP(Grandview_Inventory[[#This Row],[quality]],Lookups!$A$26:$C$33,3,FALSE),1)</f>
        <v>0.98763855981004833</v>
      </c>
      <c r="BU1705" s="4">
        <f>_xlfn.IFNA(VLOOKUP(Grandview_Inventory[[#This Row],[condition]],Lookups!$A$37:$C$44,3,FALSE),1)</f>
        <v>0.96469275950863709</v>
      </c>
      <c r="BV1705" s="4">
        <f>IF(Grandview_Inventory[[#This Row],[bldg_style]]="",1,_xlfn.IFNA(VLOOKUP(Grandview_Inventory[[#This Row],[decade]],Lookups!$F$29:$H$43,3,FALSE),1))</f>
        <v>0.98763256963907298</v>
      </c>
      <c r="BW1705" s="4">
        <f>_xlfn.IFNA(VLOOKUP(Grandview_Inventory[[#This Row],[living_area_range]],Lookups!$F$47:$H$56,3,FALSE),1)</f>
        <v>0.96135087979789358</v>
      </c>
      <c r="BX1705" s="4">
        <f>AVERAGE(Grandview_Inventory[[#This Row],[qual_adj]:[size_adj]])</f>
        <v>0.97532869218891294</v>
      </c>
      <c r="BY1705" s="6">
        <f>IF(Grandview_Inventory[[#This Row],[pre_res]]&lt;0,0,Grandview_Inventory[[#This Row],[pre_res]]*Grandview_Inventory[[#This Row],[overall_adj]])</f>
        <v>210561.10278838474</v>
      </c>
      <c r="BZ1705" s="6">
        <f>(Grandview_Inventory[[#This Row],[sum_land]]-IF(Grandview_Inventory[[#This Row],[no_utilities]]=1,12000,0))/IF(Grandview_Inventory[[#This Row],[unbuildable]]=1,2,1)</f>
        <v>58739.880167646283</v>
      </c>
      <c r="CA1705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1705">
        <f>ROUND(Grandview_Inventory[[#This Row],[det_value]]*Lookups!$M$28,-2)</f>
        <v>0</v>
      </c>
      <c r="CC1705">
        <f>IF(ROUND(Grandview_Inventory[[#This Row],[adj_res]]*Lookups!$M$28,-2)&lt;Grandview_Inventory[[#This Row],[min_res]],Grandview_Inventory[[#This Row],[min_res]],ROUND(Grandview_Inventory[[#This Row],[adj_res]]*Lookups!$M$28,-2))</f>
        <v>200000</v>
      </c>
      <c r="CD1705">
        <f>Grandview_Inventory[[#This Row],[final_det]]+Grandview_Inventory[[#This Row],[final_res]]</f>
        <v>200000</v>
      </c>
      <c r="CE1705">
        <f>Grandview_Inventory[[#This Row],[final_land]]+Grandview_Inventory[[#This Row],[final_imp]]+Grandview_Inventory[[#This Row],[crop_value]]</f>
        <v>255800</v>
      </c>
      <c r="CG1705" t="str">
        <f t="shared" si="26"/>
        <v>update valuation set market_land =55800, market_bldg=200000, market_total =255800, market_mdno =401, market_date ='9/10/2023' where link_id = (select link_id from parcel where parcel_year = '2024' and parcel_id = '23092332452');</v>
      </c>
    </row>
    <row r="1706" spans="1:85" x14ac:dyDescent="0.25">
      <c r="A1706">
        <v>23092332453</v>
      </c>
      <c r="B1706">
        <v>0.28999999999999998</v>
      </c>
      <c r="C1706">
        <v>12667</v>
      </c>
      <c r="D1706" t="s">
        <v>129</v>
      </c>
      <c r="E1706" t="s">
        <v>53</v>
      </c>
      <c r="F1706" t="s">
        <v>53</v>
      </c>
      <c r="G1706">
        <v>4</v>
      </c>
      <c r="H1706" t="s">
        <v>54</v>
      </c>
      <c r="I1706">
        <v>190400</v>
      </c>
      <c r="J1706">
        <v>40500</v>
      </c>
      <c r="K1706">
        <v>0.28999999999999998</v>
      </c>
      <c r="L1706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06">
        <v>0</v>
      </c>
      <c r="N1706">
        <v>0</v>
      </c>
      <c r="O1706">
        <v>0</v>
      </c>
      <c r="P1706">
        <v>13398.7528</v>
      </c>
      <c r="Q1706">
        <v>63903</v>
      </c>
      <c r="R1706">
        <f>(Grandview_Inventory[[#This Row],[ln_acres]]*Grandview_Inventory[[#This Row],[coeff]])+Grandview_Inventory[[#This Row],[const]]</f>
        <v>47317.027506475133</v>
      </c>
      <c r="S1706" t="s">
        <v>68</v>
      </c>
      <c r="T1706">
        <v>1</v>
      </c>
      <c r="U1706" t="s">
        <v>70</v>
      </c>
      <c r="V1706" t="s">
        <v>69</v>
      </c>
      <c r="W1706">
        <v>0</v>
      </c>
      <c r="X1706">
        <v>0</v>
      </c>
      <c r="Y1706">
        <v>51</v>
      </c>
      <c r="Z1706">
        <v>77</v>
      </c>
      <c r="AA1706">
        <v>80</v>
      </c>
      <c r="AB1706">
        <v>2500</v>
      </c>
      <c r="AC1706">
        <v>2107</v>
      </c>
      <c r="AD1706">
        <v>1315</v>
      </c>
      <c r="AE1706">
        <v>0</v>
      </c>
      <c r="AF1706">
        <v>0</v>
      </c>
      <c r="AG1706">
        <v>792</v>
      </c>
      <c r="AH1706">
        <v>18</v>
      </c>
      <c r="AI1706">
        <v>0</v>
      </c>
      <c r="AJ1706">
        <v>0</v>
      </c>
      <c r="AK1706">
        <v>0</v>
      </c>
      <c r="AL1706">
        <v>195</v>
      </c>
      <c r="AM1706">
        <v>380</v>
      </c>
      <c r="AN1706">
        <v>15</v>
      </c>
      <c r="AO1706">
        <v>0</v>
      </c>
      <c r="AP1706">
        <v>8</v>
      </c>
      <c r="AQ1706">
        <v>0</v>
      </c>
      <c r="AR1706">
        <v>1</v>
      </c>
      <c r="AS1706" t="s">
        <v>76</v>
      </c>
      <c r="AT1706">
        <v>1</v>
      </c>
      <c r="AU1706" t="s">
        <v>63</v>
      </c>
      <c r="AV1706" t="s">
        <v>64</v>
      </c>
      <c r="AW1706">
        <v>1</v>
      </c>
      <c r="AX1706">
        <v>5</v>
      </c>
      <c r="AY1706">
        <v>0</v>
      </c>
      <c r="AZ1706">
        <v>0</v>
      </c>
      <c r="BA1706">
        <v>100</v>
      </c>
      <c r="BB1706">
        <v>100</v>
      </c>
      <c r="BC1706">
        <v>100</v>
      </c>
      <c r="BD1706">
        <v>100</v>
      </c>
      <c r="BE1706">
        <v>1</v>
      </c>
      <c r="BF1706">
        <v>15000</v>
      </c>
      <c r="BG1706">
        <v>1000</v>
      </c>
      <c r="BH1706" s="6">
        <f>Grandview_Inventory[[#This Row],[land_extract]]*Lookups!$B$3</f>
        <v>54949.136287295303</v>
      </c>
      <c r="BI1706" s="6">
        <f>IF(Grandview_Inventory[[#This Row],[bldg_style]]="",0,Lookups!$B$2)</f>
        <v>155833.95000000001</v>
      </c>
      <c r="BJ1706" s="6">
        <f>_xlfn.IFNA(VLOOKUP(Grandview_Inventory[[#This Row],[quality]],Lookups!$H$2:$J$14,3,FALSE),0)</f>
        <v>10733</v>
      </c>
      <c r="BK1706" s="6">
        <f>_xlfn.IFNA(VLOOKUP(Grandview_Inventory[[#This Row],[condition]],Lookups!$H$17:$J$24,3,FALSE),0)</f>
        <v>-4503</v>
      </c>
      <c r="BL1706" s="6">
        <f>Grandview_Inventory[[#This Row],[Eff_Age]]*Lookups!$B$14</f>
        <v>-12197.496599999999</v>
      </c>
      <c r="BM1706" s="6">
        <f>Grandview_Inventory[[#This Row],[living_area]]*Lookups!$B$15</f>
        <v>131436.45727099999</v>
      </c>
      <c r="BN1706" s="6">
        <f>Grandview_Inventory[[#This Row],[Fin BSMT]]*Lookups!$B$16</f>
        <v>-21462.59808</v>
      </c>
      <c r="BO1706" s="6">
        <f>(Grandview_Inventory[[#This Row],[att_gar]]+Grandview_Inventory[[#This Row],[bltin_gar]])*Lookups!$B$17</f>
        <v>0</v>
      </c>
      <c r="BP1706" s="6">
        <f>Grandview_Inventory[[#This Row],[Plumbing Fixtures]]*Lookups!$B$18</f>
        <v>16083.5344</v>
      </c>
      <c r="BQ1706" s="6">
        <f>Grandview_Inventory[[#This Row],[detatched_value]]*Lookups!$B$19</f>
        <v>0</v>
      </c>
      <c r="BR1706" s="6">
        <f>SUM(Grandview_Inventory[[#This Row],[Intercept]:[det_value]])*Grandview_Inventory[[#This Row],[res_pct]]</f>
        <v>275923.846991</v>
      </c>
      <c r="BS1706" s="6">
        <f>Grandview_Inventory[[#This Row],[land_value]]</f>
        <v>54949.136287295303</v>
      </c>
      <c r="BT1706" s="4">
        <f>_xlfn.IFNA(VLOOKUP(Grandview_Inventory[[#This Row],[quality]],Lookups!$A$26:$C$33,3,FALSE),1)</f>
        <v>0.98079741117310582</v>
      </c>
      <c r="BU1706" s="4">
        <f>_xlfn.IFNA(VLOOKUP(Grandview_Inventory[[#This Row],[condition]],Lookups!$A$37:$C$44,3,FALSE),1)</f>
        <v>0.96469275950863709</v>
      </c>
      <c r="BV1706" s="4">
        <f>IF(Grandview_Inventory[[#This Row],[bldg_style]]="",1,_xlfn.IFNA(VLOOKUP(Grandview_Inventory[[#This Row],[decade]],Lookups!$F$29:$H$43,3,FALSE),1))</f>
        <v>0.98763256963907298</v>
      </c>
      <c r="BW1706" s="4">
        <f>_xlfn.IFNA(VLOOKUP(Grandview_Inventory[[#This Row],[living_area_range]],Lookups!$F$47:$H$56,3,FALSE),1)</f>
        <v>0.95799442568048754</v>
      </c>
      <c r="BX1706" s="4">
        <f>AVERAGE(Grandview_Inventory[[#This Row],[qual_adj]:[size_adj]])</f>
        <v>0.97277929150032583</v>
      </c>
      <c r="BY1706" s="6">
        <f>IF(Grandview_Inventory[[#This Row],[pre_res]]&lt;0,0,Grandview_Inventory[[#This Row],[pre_res]]*Grandview_Inventory[[#This Row],[overall_adj]])</f>
        <v>268413.00438394927</v>
      </c>
      <c r="BZ1706" s="6">
        <f>(Grandview_Inventory[[#This Row],[sum_land]]-IF(Grandview_Inventory[[#This Row],[no_utilities]]=1,12000,0))/IF(Grandview_Inventory[[#This Row],[unbuildable]]=1,2,1)</f>
        <v>54949.136287295303</v>
      </c>
      <c r="CA1706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06">
        <f>ROUND(Grandview_Inventory[[#This Row],[det_value]]*Lookups!$M$28,-2)</f>
        <v>0</v>
      </c>
      <c r="CC1706">
        <f>IF(ROUND(Grandview_Inventory[[#This Row],[adj_res]]*Lookups!$M$28,-2)&lt;Grandview_Inventory[[#This Row],[min_res]],Grandview_Inventory[[#This Row],[min_res]],ROUND(Grandview_Inventory[[#This Row],[adj_res]]*Lookups!$M$28,-2))</f>
        <v>255000</v>
      </c>
      <c r="CD1706">
        <f>Grandview_Inventory[[#This Row],[final_det]]+Grandview_Inventory[[#This Row],[final_res]]</f>
        <v>255000</v>
      </c>
      <c r="CE1706">
        <f>Grandview_Inventory[[#This Row],[final_land]]+Grandview_Inventory[[#This Row],[final_imp]]+Grandview_Inventory[[#This Row],[crop_value]]</f>
        <v>307200</v>
      </c>
      <c r="CG1706" t="str">
        <f t="shared" si="26"/>
        <v>update valuation set market_land =52200, market_bldg=255000, market_total =307200, market_mdno =401, market_date ='9/10/2023' where link_id = (select link_id from parcel where parcel_year = '2024' and parcel_id = '23092332453');</v>
      </c>
    </row>
    <row r="1707" spans="1:85" x14ac:dyDescent="0.25">
      <c r="A1707">
        <v>23092332454</v>
      </c>
      <c r="B1707">
        <v>0.36</v>
      </c>
      <c r="C1707">
        <v>15774</v>
      </c>
      <c r="D1707" t="s">
        <v>129</v>
      </c>
      <c r="E1707" t="s">
        <v>53</v>
      </c>
      <c r="F1707" t="s">
        <v>53</v>
      </c>
      <c r="G1707">
        <v>4</v>
      </c>
      <c r="H1707" t="s">
        <v>54</v>
      </c>
      <c r="I1707">
        <v>259200</v>
      </c>
      <c r="J1707">
        <v>40900</v>
      </c>
      <c r="K1707">
        <v>0.36</v>
      </c>
      <c r="L1707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707">
        <v>0</v>
      </c>
      <c r="N1707">
        <v>0</v>
      </c>
      <c r="O1707">
        <v>0</v>
      </c>
      <c r="P1707">
        <v>13398.7528</v>
      </c>
      <c r="Q1707">
        <v>63903</v>
      </c>
      <c r="R1707">
        <f>(Grandview_Inventory[[#This Row],[ln_acres]]*Grandview_Inventory[[#This Row],[coeff]])+Grandview_Inventory[[#This Row],[const]]</f>
        <v>50214.147486507369</v>
      </c>
      <c r="S1707" t="s">
        <v>55</v>
      </c>
      <c r="T1707">
        <v>2</v>
      </c>
      <c r="U1707" t="s">
        <v>64</v>
      </c>
      <c r="V1707" t="s">
        <v>69</v>
      </c>
      <c r="W1707">
        <v>0</v>
      </c>
      <c r="X1707">
        <v>0</v>
      </c>
      <c r="Y1707">
        <v>51</v>
      </c>
      <c r="Z1707">
        <v>77</v>
      </c>
      <c r="AA1707">
        <v>80</v>
      </c>
      <c r="AB1707">
        <v>2500</v>
      </c>
      <c r="AC1707">
        <v>2486</v>
      </c>
      <c r="AD1707">
        <v>824</v>
      </c>
      <c r="AE1707">
        <v>854</v>
      </c>
      <c r="AF1707">
        <v>0</v>
      </c>
      <c r="AG1707">
        <v>808</v>
      </c>
      <c r="AH1707">
        <v>0</v>
      </c>
      <c r="AI1707">
        <v>552</v>
      </c>
      <c r="AJ1707">
        <v>0</v>
      </c>
      <c r="AK1707">
        <v>0</v>
      </c>
      <c r="AL1707">
        <v>0</v>
      </c>
      <c r="AM1707">
        <v>0</v>
      </c>
      <c r="AN1707">
        <v>502</v>
      </c>
      <c r="AO1707">
        <v>0</v>
      </c>
      <c r="AP1707">
        <v>8</v>
      </c>
      <c r="AQ1707">
        <v>1</v>
      </c>
      <c r="AR1707">
        <v>0</v>
      </c>
      <c r="AS1707" t="s">
        <v>131</v>
      </c>
      <c r="AT1707">
        <v>1</v>
      </c>
      <c r="AU1707" t="s">
        <v>63</v>
      </c>
      <c r="AV1707" t="s">
        <v>64</v>
      </c>
      <c r="AW1707">
        <v>1</v>
      </c>
      <c r="AX1707">
        <v>4</v>
      </c>
      <c r="AY1707">
        <v>0</v>
      </c>
      <c r="AZ1707">
        <v>0</v>
      </c>
      <c r="BA1707">
        <v>100</v>
      </c>
      <c r="BB1707">
        <v>100</v>
      </c>
      <c r="BC1707">
        <v>100</v>
      </c>
      <c r="BD1707">
        <v>100</v>
      </c>
      <c r="BE1707">
        <v>1</v>
      </c>
      <c r="BF1707">
        <v>15000</v>
      </c>
      <c r="BG1707">
        <v>1000</v>
      </c>
      <c r="BH1707" s="6">
        <f>Grandview_Inventory[[#This Row],[land_extract]]*Lookups!$B$3</f>
        <v>58313.55389788279</v>
      </c>
      <c r="BI1707" s="6">
        <f>IF(Grandview_Inventory[[#This Row],[bldg_style]]="",0,Lookups!$B$2)</f>
        <v>155833.95000000001</v>
      </c>
      <c r="BJ1707" s="6">
        <f>_xlfn.IFNA(VLOOKUP(Grandview_Inventory[[#This Row],[quality]],Lookups!$H$2:$J$14,3,FALSE),0)</f>
        <v>20768</v>
      </c>
      <c r="BK1707" s="6">
        <f>_xlfn.IFNA(VLOOKUP(Grandview_Inventory[[#This Row],[condition]],Lookups!$H$17:$J$24,3,FALSE),0)</f>
        <v>-4503</v>
      </c>
      <c r="BL1707" s="6">
        <f>Grandview_Inventory[[#This Row],[Eff_Age]]*Lookups!$B$14</f>
        <v>-12197.496599999999</v>
      </c>
      <c r="BM1707" s="6">
        <f>Grandview_Inventory[[#This Row],[living_area]]*Lookups!$B$15</f>
        <v>155078.80055800002</v>
      </c>
      <c r="BN1707" s="6">
        <f>Grandview_Inventory[[#This Row],[Fin BSMT]]*Lookups!$B$16</f>
        <v>-21896.18592</v>
      </c>
      <c r="BO1707" s="6">
        <f>(Grandview_Inventory[[#This Row],[att_gar]]+Grandview_Inventory[[#This Row],[bltin_gar]])*Lookups!$B$17</f>
        <v>48311.281223999998</v>
      </c>
      <c r="BP1707" s="6">
        <f>Grandview_Inventory[[#This Row],[Plumbing Fixtures]]*Lookups!$B$18</f>
        <v>16083.5344</v>
      </c>
      <c r="BQ1707" s="6">
        <f>Grandview_Inventory[[#This Row],[detatched_value]]*Lookups!$B$19</f>
        <v>0</v>
      </c>
      <c r="BR1707" s="6">
        <f>SUM(Grandview_Inventory[[#This Row],[Intercept]:[det_value]])*Grandview_Inventory[[#This Row],[res_pct]]</f>
        <v>357478.88366199995</v>
      </c>
      <c r="BS1707" s="6">
        <f>Grandview_Inventory[[#This Row],[land_value]]</f>
        <v>58313.55389788279</v>
      </c>
      <c r="BT1707" s="4">
        <f>_xlfn.IFNA(VLOOKUP(Grandview_Inventory[[#This Row],[quality]],Lookups!$A$26:$C$33,3,FALSE),1)</f>
        <v>0.94960540378902636</v>
      </c>
      <c r="BU1707" s="4">
        <f>_xlfn.IFNA(VLOOKUP(Grandview_Inventory[[#This Row],[condition]],Lookups!$A$37:$C$44,3,FALSE),1)</f>
        <v>0.96469275950863709</v>
      </c>
      <c r="BV1707" s="4">
        <f>IF(Grandview_Inventory[[#This Row],[bldg_style]]="",1,_xlfn.IFNA(VLOOKUP(Grandview_Inventory[[#This Row],[decade]],Lookups!$F$29:$H$43,3,FALSE),1))</f>
        <v>0.98763256963907298</v>
      </c>
      <c r="BW1707" s="4">
        <f>_xlfn.IFNA(VLOOKUP(Grandview_Inventory[[#This Row],[living_area_range]],Lookups!$F$47:$H$56,3,FALSE),1)</f>
        <v>0.95799442568048754</v>
      </c>
      <c r="BX1707" s="4">
        <f>AVERAGE(Grandview_Inventory[[#This Row],[qual_adj]:[size_adj]])</f>
        <v>0.96498128965430596</v>
      </c>
      <c r="BY1707" s="6">
        <f>IF(Grandview_Inventory[[#This Row],[pre_res]]&lt;0,0,Grandview_Inventory[[#This Row],[pre_res]]*Grandview_Inventory[[#This Row],[overall_adj]])</f>
        <v>344960.43418033834</v>
      </c>
      <c r="BZ1707" s="6">
        <f>(Grandview_Inventory[[#This Row],[sum_land]]-IF(Grandview_Inventory[[#This Row],[no_utilities]]=1,12000,0))/IF(Grandview_Inventory[[#This Row],[unbuildable]]=1,2,1)</f>
        <v>58313.55389788279</v>
      </c>
      <c r="CA1707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707">
        <f>ROUND(Grandview_Inventory[[#This Row],[det_value]]*Lookups!$M$28,-2)</f>
        <v>0</v>
      </c>
      <c r="CC1707">
        <f>IF(ROUND(Grandview_Inventory[[#This Row],[adj_res]]*Lookups!$M$28,-2)&lt;Grandview_Inventory[[#This Row],[min_res]],Grandview_Inventory[[#This Row],[min_res]],ROUND(Grandview_Inventory[[#This Row],[adj_res]]*Lookups!$M$28,-2))</f>
        <v>327700</v>
      </c>
      <c r="CD1707">
        <f>Grandview_Inventory[[#This Row],[final_det]]+Grandview_Inventory[[#This Row],[final_res]]</f>
        <v>327700</v>
      </c>
      <c r="CE1707">
        <f>Grandview_Inventory[[#This Row],[final_land]]+Grandview_Inventory[[#This Row],[final_imp]]+Grandview_Inventory[[#This Row],[crop_value]]</f>
        <v>383100</v>
      </c>
      <c r="CG1707" t="str">
        <f t="shared" si="26"/>
        <v>update valuation set market_land =55400, market_bldg=327700, market_total =383100, market_mdno =401, market_date ='9/10/2023' where link_id = (select link_id from parcel where parcel_year = '2024' and parcel_id = '23092332454');</v>
      </c>
    </row>
    <row r="1708" spans="1:85" x14ac:dyDescent="0.25">
      <c r="A1708">
        <v>23092332455</v>
      </c>
      <c r="B1708">
        <v>0.36</v>
      </c>
      <c r="C1708">
        <v>15487</v>
      </c>
      <c r="D1708" t="s">
        <v>129</v>
      </c>
      <c r="E1708" t="s">
        <v>53</v>
      </c>
      <c r="F1708" t="s">
        <v>53</v>
      </c>
      <c r="G1708">
        <v>4</v>
      </c>
      <c r="H1708" t="s">
        <v>54</v>
      </c>
      <c r="I1708">
        <v>128500</v>
      </c>
      <c r="J1708">
        <v>41100</v>
      </c>
      <c r="K1708">
        <v>0.36</v>
      </c>
      <c r="L1708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708">
        <v>0</v>
      </c>
      <c r="N1708">
        <v>0</v>
      </c>
      <c r="O1708">
        <v>0</v>
      </c>
      <c r="P1708">
        <v>13398.7528</v>
      </c>
      <c r="Q1708">
        <v>63903</v>
      </c>
      <c r="R1708">
        <f>(Grandview_Inventory[[#This Row],[ln_acres]]*Grandview_Inventory[[#This Row],[coeff]])+Grandview_Inventory[[#This Row],[const]]</f>
        <v>50214.147486507369</v>
      </c>
      <c r="S1708" t="s">
        <v>68</v>
      </c>
      <c r="T1708">
        <v>1</v>
      </c>
      <c r="U1708" t="s">
        <v>65</v>
      </c>
      <c r="V1708" t="s">
        <v>69</v>
      </c>
      <c r="W1708">
        <v>0</v>
      </c>
      <c r="X1708">
        <v>0</v>
      </c>
      <c r="Y1708">
        <v>51</v>
      </c>
      <c r="Z1708">
        <v>77</v>
      </c>
      <c r="AA1708">
        <v>80</v>
      </c>
      <c r="AB1708">
        <v>1500</v>
      </c>
      <c r="AC1708">
        <v>1234</v>
      </c>
      <c r="AD1708">
        <v>828</v>
      </c>
      <c r="AE1708">
        <v>0</v>
      </c>
      <c r="AF1708">
        <v>0</v>
      </c>
      <c r="AG1708">
        <v>406</v>
      </c>
      <c r="AH1708">
        <v>422</v>
      </c>
      <c r="AI1708">
        <v>0</v>
      </c>
      <c r="AJ1708">
        <v>0</v>
      </c>
      <c r="AK1708">
        <v>0</v>
      </c>
      <c r="AL1708">
        <v>0</v>
      </c>
      <c r="AM1708">
        <v>176</v>
      </c>
      <c r="AN1708">
        <v>0</v>
      </c>
      <c r="AO1708">
        <v>176</v>
      </c>
      <c r="AP1708">
        <v>5</v>
      </c>
      <c r="AQ1708">
        <v>0</v>
      </c>
      <c r="AR1708">
        <v>1</v>
      </c>
      <c r="AS1708" t="s">
        <v>58</v>
      </c>
      <c r="AT1708">
        <v>1</v>
      </c>
      <c r="AU1708" t="s">
        <v>63</v>
      </c>
      <c r="AV1708" t="s">
        <v>64</v>
      </c>
      <c r="AW1708">
        <v>0</v>
      </c>
      <c r="AX1708">
        <v>3</v>
      </c>
      <c r="AY1708">
        <v>0</v>
      </c>
      <c r="AZ1708">
        <v>0</v>
      </c>
      <c r="BA1708">
        <v>100</v>
      </c>
      <c r="BB1708">
        <v>100</v>
      </c>
      <c r="BC1708">
        <v>100</v>
      </c>
      <c r="BD1708">
        <v>100</v>
      </c>
      <c r="BE1708">
        <v>1</v>
      </c>
      <c r="BF1708">
        <v>15000</v>
      </c>
      <c r="BG1708">
        <v>1000</v>
      </c>
      <c r="BH1708" s="6">
        <f>Grandview_Inventory[[#This Row],[land_extract]]*Lookups!$B$3</f>
        <v>58313.55389788279</v>
      </c>
      <c r="BI1708" s="6">
        <f>IF(Grandview_Inventory[[#This Row],[bldg_style]]="",0,Lookups!$B$2)</f>
        <v>155833.95000000001</v>
      </c>
      <c r="BJ1708" s="6">
        <f>_xlfn.IFNA(VLOOKUP(Grandview_Inventory[[#This Row],[quality]],Lookups!$H$2:$J$14,3,FALSE),0)</f>
        <v>2251</v>
      </c>
      <c r="BK1708" s="6">
        <f>_xlfn.IFNA(VLOOKUP(Grandview_Inventory[[#This Row],[condition]],Lookups!$H$17:$J$24,3,FALSE),0)</f>
        <v>-4503</v>
      </c>
      <c r="BL1708" s="6">
        <f>Grandview_Inventory[[#This Row],[Eff_Age]]*Lookups!$B$14</f>
        <v>-12197.496599999999</v>
      </c>
      <c r="BM1708" s="6">
        <f>Grandview_Inventory[[#This Row],[living_area]]*Lookups!$B$15</f>
        <v>76977.972602000009</v>
      </c>
      <c r="BN1708" s="6">
        <f>Grandview_Inventory[[#This Row],[Fin BSMT]]*Lookups!$B$16</f>
        <v>-11002.291440000001</v>
      </c>
      <c r="BO1708" s="6">
        <f>(Grandview_Inventory[[#This Row],[att_gar]]+Grandview_Inventory[[#This Row],[bltin_gar]])*Lookups!$B$17</f>
        <v>0</v>
      </c>
      <c r="BP1708" s="6">
        <f>Grandview_Inventory[[#This Row],[Plumbing Fixtures]]*Lookups!$B$18</f>
        <v>10052.209000000001</v>
      </c>
      <c r="BQ1708" s="6">
        <f>Grandview_Inventory[[#This Row],[detatched_value]]*Lookups!$B$19</f>
        <v>0</v>
      </c>
      <c r="BR1708" s="6">
        <f>SUM(Grandview_Inventory[[#This Row],[Intercept]:[det_value]])*Grandview_Inventory[[#This Row],[res_pct]]</f>
        <v>217412.34356199999</v>
      </c>
      <c r="BS1708" s="6">
        <f>Grandview_Inventory[[#This Row],[land_value]]</f>
        <v>58313.55389788279</v>
      </c>
      <c r="BT1708" s="4">
        <f>_xlfn.IFNA(VLOOKUP(Grandview_Inventory[[#This Row],[quality]],Lookups!$A$26:$C$33,3,FALSE),1)</f>
        <v>0.98763855981004833</v>
      </c>
      <c r="BU1708" s="4">
        <f>_xlfn.IFNA(VLOOKUP(Grandview_Inventory[[#This Row],[condition]],Lookups!$A$37:$C$44,3,FALSE),1)</f>
        <v>0.96469275950863709</v>
      </c>
      <c r="BV1708" s="4">
        <f>IF(Grandview_Inventory[[#This Row],[bldg_style]]="",1,_xlfn.IFNA(VLOOKUP(Grandview_Inventory[[#This Row],[decade]],Lookups!$F$29:$H$43,3,FALSE),1))</f>
        <v>0.98763256963907298</v>
      </c>
      <c r="BW1708" s="4">
        <f>_xlfn.IFNA(VLOOKUP(Grandview_Inventory[[#This Row],[living_area_range]],Lookups!$F$47:$H$56,3,FALSE),1)</f>
        <v>0.96135087979789358</v>
      </c>
      <c r="BX1708" s="4">
        <f>AVERAGE(Grandview_Inventory[[#This Row],[qual_adj]:[size_adj]])</f>
        <v>0.97532869218891294</v>
      </c>
      <c r="BY1708" s="6">
        <f>IF(Grandview_Inventory[[#This Row],[pre_res]]&lt;0,0,Grandview_Inventory[[#This Row],[pre_res]]*Grandview_Inventory[[#This Row],[overall_adj]])</f>
        <v>212048.49671205209</v>
      </c>
      <c r="BZ1708" s="6">
        <f>(Grandview_Inventory[[#This Row],[sum_land]]-IF(Grandview_Inventory[[#This Row],[no_utilities]]=1,12000,0))/IF(Grandview_Inventory[[#This Row],[unbuildable]]=1,2,1)</f>
        <v>58313.55389788279</v>
      </c>
      <c r="CA1708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708">
        <f>ROUND(Grandview_Inventory[[#This Row],[det_value]]*Lookups!$M$28,-2)</f>
        <v>0</v>
      </c>
      <c r="CC1708">
        <f>IF(ROUND(Grandview_Inventory[[#This Row],[adj_res]]*Lookups!$M$28,-2)&lt;Grandview_Inventory[[#This Row],[min_res]],Grandview_Inventory[[#This Row],[min_res]],ROUND(Grandview_Inventory[[#This Row],[adj_res]]*Lookups!$M$28,-2))</f>
        <v>201400</v>
      </c>
      <c r="CD1708">
        <f>Grandview_Inventory[[#This Row],[final_det]]+Grandview_Inventory[[#This Row],[final_res]]</f>
        <v>201400</v>
      </c>
      <c r="CE1708">
        <f>Grandview_Inventory[[#This Row],[final_land]]+Grandview_Inventory[[#This Row],[final_imp]]+Grandview_Inventory[[#This Row],[crop_value]]</f>
        <v>256800</v>
      </c>
      <c r="CG1708" t="str">
        <f t="shared" si="26"/>
        <v>update valuation set market_land =55400, market_bldg=201400, market_total =256800, market_mdno =401, market_date ='9/10/2023' where link_id = (select link_id from parcel where parcel_year = '2024' and parcel_id = '23092332455');</v>
      </c>
    </row>
    <row r="1709" spans="1:85" x14ac:dyDescent="0.25">
      <c r="A1709">
        <v>23092332456</v>
      </c>
      <c r="B1709">
        <v>0.34</v>
      </c>
      <c r="C1709">
        <v>14977</v>
      </c>
      <c r="D1709" t="s">
        <v>129</v>
      </c>
      <c r="E1709" t="s">
        <v>53</v>
      </c>
      <c r="F1709" t="s">
        <v>53</v>
      </c>
      <c r="G1709">
        <v>4</v>
      </c>
      <c r="H1709" t="s">
        <v>54</v>
      </c>
      <c r="I1709">
        <v>154000</v>
      </c>
      <c r="J1709">
        <v>41200</v>
      </c>
      <c r="K1709">
        <v>0.34</v>
      </c>
      <c r="L1709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709">
        <v>0</v>
      </c>
      <c r="N1709">
        <v>0</v>
      </c>
      <c r="O1709">
        <v>0</v>
      </c>
      <c r="P1709">
        <v>13398.7528</v>
      </c>
      <c r="Q1709">
        <v>63903</v>
      </c>
      <c r="R1709">
        <f>(Grandview_Inventory[[#This Row],[ln_acres]]*Grandview_Inventory[[#This Row],[coeff]])+Grandview_Inventory[[#This Row],[const]]</f>
        <v>49448.296029025805</v>
      </c>
      <c r="S1709" t="s">
        <v>55</v>
      </c>
      <c r="T1709">
        <v>2</v>
      </c>
      <c r="U1709" t="s">
        <v>70</v>
      </c>
      <c r="V1709" t="s">
        <v>69</v>
      </c>
      <c r="W1709">
        <v>0</v>
      </c>
      <c r="X1709">
        <v>0</v>
      </c>
      <c r="Y1709">
        <v>51</v>
      </c>
      <c r="Z1709">
        <v>77</v>
      </c>
      <c r="AA1709">
        <v>80</v>
      </c>
      <c r="AB1709">
        <v>1500</v>
      </c>
      <c r="AC1709">
        <v>1195</v>
      </c>
      <c r="AD1709">
        <v>821</v>
      </c>
      <c r="AE1709">
        <v>374</v>
      </c>
      <c r="AF1709">
        <v>0</v>
      </c>
      <c r="AG1709">
        <v>0</v>
      </c>
      <c r="AH1709">
        <v>821</v>
      </c>
      <c r="AI1709">
        <v>0</v>
      </c>
      <c r="AJ1709">
        <v>0</v>
      </c>
      <c r="AK1709">
        <v>0</v>
      </c>
      <c r="AL1709">
        <v>288</v>
      </c>
      <c r="AM1709">
        <v>0</v>
      </c>
      <c r="AN1709">
        <v>24</v>
      </c>
      <c r="AO1709">
        <v>288</v>
      </c>
      <c r="AP1709">
        <v>8</v>
      </c>
      <c r="AQ1709">
        <v>0</v>
      </c>
      <c r="AR1709">
        <v>0</v>
      </c>
      <c r="AS1709" t="s">
        <v>58</v>
      </c>
      <c r="AT1709">
        <v>1</v>
      </c>
      <c r="AU1709" t="s">
        <v>63</v>
      </c>
      <c r="AV1709" t="s">
        <v>60</v>
      </c>
      <c r="AW1709">
        <v>0</v>
      </c>
      <c r="AX1709">
        <v>4</v>
      </c>
      <c r="AY1709">
        <v>0</v>
      </c>
      <c r="AZ1709">
        <v>0</v>
      </c>
      <c r="BA1709">
        <v>100</v>
      </c>
      <c r="BB1709">
        <v>100</v>
      </c>
      <c r="BC1709">
        <v>100</v>
      </c>
      <c r="BD1709">
        <v>100</v>
      </c>
      <c r="BE1709">
        <v>1</v>
      </c>
      <c r="BF1709">
        <v>15000</v>
      </c>
      <c r="BG1709">
        <v>1000</v>
      </c>
      <c r="BH1709" s="6">
        <f>Grandview_Inventory[[#This Row],[land_extract]]*Lookups!$B$3</f>
        <v>57424.172668108389</v>
      </c>
      <c r="BI1709" s="6">
        <f>IF(Grandview_Inventory[[#This Row],[bldg_style]]="",0,Lookups!$B$2)</f>
        <v>155833.95000000001</v>
      </c>
      <c r="BJ1709" s="6">
        <f>_xlfn.IFNA(VLOOKUP(Grandview_Inventory[[#This Row],[quality]],Lookups!$H$2:$J$14,3,FALSE),0)</f>
        <v>10733</v>
      </c>
      <c r="BK1709" s="6">
        <f>_xlfn.IFNA(VLOOKUP(Grandview_Inventory[[#This Row],[condition]],Lookups!$H$17:$J$24,3,FALSE),0)</f>
        <v>-4503</v>
      </c>
      <c r="BL1709" s="6">
        <f>Grandview_Inventory[[#This Row],[Eff_Age]]*Lookups!$B$14</f>
        <v>-12197.496599999999</v>
      </c>
      <c r="BM1709" s="6">
        <f>Grandview_Inventory[[#This Row],[living_area]]*Lookups!$B$15</f>
        <v>74545.119334999996</v>
      </c>
      <c r="BN1709" s="6">
        <f>Grandview_Inventory[[#This Row],[Fin BSMT]]*Lookups!$B$16</f>
        <v>0</v>
      </c>
      <c r="BO1709" s="6">
        <f>(Grandview_Inventory[[#This Row],[att_gar]]+Grandview_Inventory[[#This Row],[bltin_gar]])*Lookups!$B$17</f>
        <v>0</v>
      </c>
      <c r="BP1709" s="6">
        <f>Grandview_Inventory[[#This Row],[Plumbing Fixtures]]*Lookups!$B$18</f>
        <v>16083.5344</v>
      </c>
      <c r="BQ1709" s="6">
        <f>Grandview_Inventory[[#This Row],[detatched_value]]*Lookups!$B$19</f>
        <v>0</v>
      </c>
      <c r="BR1709" s="6">
        <f>SUM(Grandview_Inventory[[#This Row],[Intercept]:[det_value]])*Grandview_Inventory[[#This Row],[res_pct]]</f>
        <v>240495.107135</v>
      </c>
      <c r="BS1709" s="6">
        <f>Grandview_Inventory[[#This Row],[land_value]]</f>
        <v>57424.172668108389</v>
      </c>
      <c r="BT1709" s="4">
        <f>_xlfn.IFNA(VLOOKUP(Grandview_Inventory[[#This Row],[quality]],Lookups!$A$26:$C$33,3,FALSE),1)</f>
        <v>0.98079741117310582</v>
      </c>
      <c r="BU1709" s="4">
        <f>_xlfn.IFNA(VLOOKUP(Grandview_Inventory[[#This Row],[condition]],Lookups!$A$37:$C$44,3,FALSE),1)</f>
        <v>0.96469275950863709</v>
      </c>
      <c r="BV1709" s="4">
        <f>IF(Grandview_Inventory[[#This Row],[bldg_style]]="",1,_xlfn.IFNA(VLOOKUP(Grandview_Inventory[[#This Row],[decade]],Lookups!$F$29:$H$43,3,FALSE),1))</f>
        <v>0.98763256963907298</v>
      </c>
      <c r="BW1709" s="4">
        <f>_xlfn.IFNA(VLOOKUP(Grandview_Inventory[[#This Row],[living_area_range]],Lookups!$F$47:$H$56,3,FALSE),1)</f>
        <v>0.96135087979789358</v>
      </c>
      <c r="BX1709" s="4">
        <f>AVERAGE(Grandview_Inventory[[#This Row],[qual_adj]:[size_adj]])</f>
        <v>0.97361840502967734</v>
      </c>
      <c r="BY1709" s="6">
        <f>IF(Grandview_Inventory[[#This Row],[pre_res]]&lt;0,0,Grandview_Inventory[[#This Row],[pre_res]]*Grandview_Inventory[[#This Row],[overall_adj]])</f>
        <v>234150.46262622008</v>
      </c>
      <c r="BZ1709" s="6">
        <f>(Grandview_Inventory[[#This Row],[sum_land]]-IF(Grandview_Inventory[[#This Row],[no_utilities]]=1,12000,0))/IF(Grandview_Inventory[[#This Row],[unbuildable]]=1,2,1)</f>
        <v>57424.172668108389</v>
      </c>
      <c r="CA1709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709">
        <f>ROUND(Grandview_Inventory[[#This Row],[det_value]]*Lookups!$M$28,-2)</f>
        <v>0</v>
      </c>
      <c r="CC1709">
        <f>IF(ROUND(Grandview_Inventory[[#This Row],[adj_res]]*Lookups!$M$28,-2)&lt;Grandview_Inventory[[#This Row],[min_res]],Grandview_Inventory[[#This Row],[min_res]],ROUND(Grandview_Inventory[[#This Row],[adj_res]]*Lookups!$M$28,-2))</f>
        <v>222400</v>
      </c>
      <c r="CD1709">
        <f>Grandview_Inventory[[#This Row],[final_det]]+Grandview_Inventory[[#This Row],[final_res]]</f>
        <v>222400</v>
      </c>
      <c r="CE1709">
        <f>Grandview_Inventory[[#This Row],[final_land]]+Grandview_Inventory[[#This Row],[final_imp]]+Grandview_Inventory[[#This Row],[crop_value]]</f>
        <v>277000</v>
      </c>
      <c r="CG1709" t="str">
        <f t="shared" si="26"/>
        <v>update valuation set market_land =54600, market_bldg=222400, market_total =277000, market_mdno =401, market_date ='9/10/2023' where link_id = (select link_id from parcel where parcel_year = '2024' and parcel_id = '23092332456');</v>
      </c>
    </row>
    <row r="1710" spans="1:85" x14ac:dyDescent="0.25">
      <c r="A1710">
        <v>23092332457</v>
      </c>
      <c r="B1710">
        <v>0.35</v>
      </c>
      <c r="C1710">
        <v>15306</v>
      </c>
      <c r="D1710" t="s">
        <v>129</v>
      </c>
      <c r="E1710" t="s">
        <v>53</v>
      </c>
      <c r="F1710" t="s">
        <v>53</v>
      </c>
      <c r="G1710">
        <v>4</v>
      </c>
      <c r="H1710" t="s">
        <v>54</v>
      </c>
      <c r="I1710">
        <v>139600</v>
      </c>
      <c r="J1710">
        <v>41100</v>
      </c>
      <c r="K1710">
        <v>0.35</v>
      </c>
      <c r="L1710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710">
        <v>0</v>
      </c>
      <c r="N1710">
        <v>0</v>
      </c>
      <c r="O1710">
        <v>0</v>
      </c>
      <c r="P1710">
        <v>13398.7528</v>
      </c>
      <c r="Q1710">
        <v>63903</v>
      </c>
      <c r="R1710">
        <f>(Grandview_Inventory[[#This Row],[ln_acres]]*Grandview_Inventory[[#This Row],[coeff]])+Grandview_Inventory[[#This Row],[const]]</f>
        <v>49836.692869871389</v>
      </c>
      <c r="S1710" t="s">
        <v>68</v>
      </c>
      <c r="T1710">
        <v>1</v>
      </c>
      <c r="U1710" t="s">
        <v>70</v>
      </c>
      <c r="V1710" t="s">
        <v>67</v>
      </c>
      <c r="W1710">
        <v>0</v>
      </c>
      <c r="X1710">
        <v>0</v>
      </c>
      <c r="Y1710">
        <v>51</v>
      </c>
      <c r="Z1710">
        <v>83</v>
      </c>
      <c r="AA1710">
        <v>90</v>
      </c>
      <c r="AB1710">
        <v>1000</v>
      </c>
      <c r="AC1710">
        <v>814</v>
      </c>
      <c r="AD1710">
        <v>626</v>
      </c>
      <c r="AE1710">
        <v>0</v>
      </c>
      <c r="AF1710">
        <v>0</v>
      </c>
      <c r="AG1710">
        <v>188</v>
      </c>
      <c r="AH1710">
        <v>388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5</v>
      </c>
      <c r="AQ1710">
        <v>0</v>
      </c>
      <c r="AR1710">
        <v>0</v>
      </c>
      <c r="AS1710" t="s">
        <v>58</v>
      </c>
      <c r="AT1710">
        <v>1</v>
      </c>
      <c r="AU1710" t="s">
        <v>63</v>
      </c>
      <c r="AV1710" t="s">
        <v>64</v>
      </c>
      <c r="AW1710">
        <v>0</v>
      </c>
      <c r="AX1710">
        <v>2</v>
      </c>
      <c r="AY1710">
        <v>0</v>
      </c>
      <c r="AZ1710">
        <v>7000</v>
      </c>
      <c r="BA1710">
        <v>100</v>
      </c>
      <c r="BB1710">
        <v>100</v>
      </c>
      <c r="BC1710">
        <v>100</v>
      </c>
      <c r="BD1710">
        <v>100</v>
      </c>
      <c r="BE1710">
        <v>1</v>
      </c>
      <c r="BF1710">
        <v>15000</v>
      </c>
      <c r="BG1710">
        <v>1000</v>
      </c>
      <c r="BH1710" s="6">
        <f>Grandview_Inventory[[#This Row],[land_extract]]*Lookups!$B$3</f>
        <v>57875.216870710894</v>
      </c>
      <c r="BI1710" s="6">
        <f>IF(Grandview_Inventory[[#This Row],[bldg_style]]="",0,Lookups!$B$2)</f>
        <v>155833.95000000001</v>
      </c>
      <c r="BJ1710" s="6">
        <f>_xlfn.IFNA(VLOOKUP(Grandview_Inventory[[#This Row],[quality]],Lookups!$H$2:$J$14,3,FALSE),0)</f>
        <v>10733</v>
      </c>
      <c r="BK1710" s="6">
        <f>_xlfn.IFNA(VLOOKUP(Grandview_Inventory[[#This Row],[condition]],Lookups!$H$17:$J$24,3,FALSE),0)</f>
        <v>22342</v>
      </c>
      <c r="BL1710" s="6">
        <f>Grandview_Inventory[[#This Row],[Eff_Age]]*Lookups!$B$14</f>
        <v>-12197.496599999999</v>
      </c>
      <c r="BM1710" s="6">
        <f>Grandview_Inventory[[#This Row],[living_area]]*Lookups!$B$15</f>
        <v>50778.014342000002</v>
      </c>
      <c r="BN1710" s="6">
        <f>Grandview_Inventory[[#This Row],[Fin BSMT]]*Lookups!$B$16</f>
        <v>-5094.6571200000008</v>
      </c>
      <c r="BO1710" s="6">
        <f>(Grandview_Inventory[[#This Row],[att_gar]]+Grandview_Inventory[[#This Row],[bltin_gar]])*Lookups!$B$17</f>
        <v>0</v>
      </c>
      <c r="BP1710" s="6">
        <f>Grandview_Inventory[[#This Row],[Plumbing Fixtures]]*Lookups!$B$18</f>
        <v>10052.209000000001</v>
      </c>
      <c r="BQ1710" s="6">
        <f>Grandview_Inventory[[#This Row],[detatched_value]]*Lookups!$B$19</f>
        <v>5927.6356999999998</v>
      </c>
      <c r="BR1710" s="6">
        <f>SUM(Grandview_Inventory[[#This Row],[Intercept]:[det_value]])*Grandview_Inventory[[#This Row],[res_pct]]</f>
        <v>238374.65532200004</v>
      </c>
      <c r="BS1710" s="6">
        <f>Grandview_Inventory[[#This Row],[land_value]]</f>
        <v>57875.216870710894</v>
      </c>
      <c r="BT1710" s="4">
        <f>_xlfn.IFNA(VLOOKUP(Grandview_Inventory[[#This Row],[quality]],Lookups!$A$26:$C$33,3,FALSE),1)</f>
        <v>0.98079741117310582</v>
      </c>
      <c r="BU1710" s="4">
        <f>_xlfn.IFNA(VLOOKUP(Grandview_Inventory[[#This Row],[condition]],Lookups!$A$37:$C$44,3,FALSE),1)</f>
        <v>0.97383723671140243</v>
      </c>
      <c r="BV1710" s="4">
        <f>IF(Grandview_Inventory[[#This Row],[bldg_style]]="",1,_xlfn.IFNA(VLOOKUP(Grandview_Inventory[[#This Row],[decade]],Lookups!$F$29:$H$43,3,FALSE),1))</f>
        <v>0.94161750052457416</v>
      </c>
      <c r="BW1710" s="4">
        <f>_xlfn.IFNA(VLOOKUP(Grandview_Inventory[[#This Row],[living_area_range]],Lookups!$F$47:$H$56,3,FALSE),1)</f>
        <v>0.94306777142782894</v>
      </c>
      <c r="BX1710" s="4">
        <f>AVERAGE(Grandview_Inventory[[#This Row],[qual_adj]:[size_adj]])</f>
        <v>0.95982997995922781</v>
      </c>
      <c r="BY1710" s="6">
        <f>IF(Grandview_Inventory[[#This Row],[pre_res]]&lt;0,0,Grandview_Inventory[[#This Row],[pre_res]]*Grandview_Inventory[[#This Row],[overall_adj]])</f>
        <v>228799.14064050312</v>
      </c>
      <c r="BZ1710" s="6">
        <f>(Grandview_Inventory[[#This Row],[sum_land]]-IF(Grandview_Inventory[[#This Row],[no_utilities]]=1,12000,0))/IF(Grandview_Inventory[[#This Row],[unbuildable]]=1,2,1)</f>
        <v>57875.216870710894</v>
      </c>
      <c r="CA1710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710">
        <f>ROUND(Grandview_Inventory[[#This Row],[det_value]]*Lookups!$M$28,-2)</f>
        <v>5600</v>
      </c>
      <c r="CC1710">
        <f>IF(ROUND(Grandview_Inventory[[#This Row],[adj_res]]*Lookups!$M$28,-2)&lt;Grandview_Inventory[[#This Row],[min_res]],Grandview_Inventory[[#This Row],[min_res]],ROUND(Grandview_Inventory[[#This Row],[adj_res]]*Lookups!$M$28,-2))</f>
        <v>217400</v>
      </c>
      <c r="CD1710">
        <f>Grandview_Inventory[[#This Row],[final_det]]+Grandview_Inventory[[#This Row],[final_res]]</f>
        <v>223000</v>
      </c>
      <c r="CE1710">
        <f>Grandview_Inventory[[#This Row],[final_land]]+Grandview_Inventory[[#This Row],[final_imp]]+Grandview_Inventory[[#This Row],[crop_value]]</f>
        <v>278000</v>
      </c>
      <c r="CG1710" t="str">
        <f t="shared" si="26"/>
        <v>update valuation set market_land =55000, market_bldg=223000, market_total =278000, market_mdno =401, market_date ='9/10/2023' where link_id = (select link_id from parcel where parcel_year = '2024' and parcel_id = '23092332457');</v>
      </c>
    </row>
    <row r="1711" spans="1:85" x14ac:dyDescent="0.25">
      <c r="A1711">
        <v>23092332458</v>
      </c>
      <c r="B1711">
        <v>0.27</v>
      </c>
      <c r="C1711">
        <v>11695</v>
      </c>
      <c r="D1711" t="s">
        <v>129</v>
      </c>
      <c r="E1711" t="s">
        <v>53</v>
      </c>
      <c r="F1711" t="s">
        <v>53</v>
      </c>
      <c r="G1711">
        <v>4</v>
      </c>
      <c r="H1711" t="s">
        <v>54</v>
      </c>
      <c r="I1711">
        <v>154600</v>
      </c>
      <c r="J1711">
        <v>40200</v>
      </c>
      <c r="K1711">
        <v>0.27</v>
      </c>
      <c r="L1711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11">
        <v>0</v>
      </c>
      <c r="N1711">
        <v>0</v>
      </c>
      <c r="O1711">
        <v>0</v>
      </c>
      <c r="P1711">
        <v>13398.7528</v>
      </c>
      <c r="Q1711">
        <v>63903</v>
      </c>
      <c r="R1711">
        <f>(Grandview_Inventory[[#This Row],[ln_acres]]*Grandview_Inventory[[#This Row],[coeff]])+Grandview_Inventory[[#This Row],[const]]</f>
        <v>46359.566512734265</v>
      </c>
      <c r="S1711" t="s">
        <v>68</v>
      </c>
      <c r="T1711">
        <v>1</v>
      </c>
      <c r="U1711" t="s">
        <v>70</v>
      </c>
      <c r="V1711" t="s">
        <v>66</v>
      </c>
      <c r="W1711">
        <v>0</v>
      </c>
      <c r="X1711">
        <v>0</v>
      </c>
      <c r="Y1711">
        <v>51</v>
      </c>
      <c r="Z1711">
        <v>83</v>
      </c>
      <c r="AA1711">
        <v>90</v>
      </c>
      <c r="AB1711">
        <v>1500</v>
      </c>
      <c r="AC1711">
        <v>1084</v>
      </c>
      <c r="AD1711">
        <v>884</v>
      </c>
      <c r="AE1711">
        <v>0</v>
      </c>
      <c r="AF1711">
        <v>0</v>
      </c>
      <c r="AG1711">
        <v>200</v>
      </c>
      <c r="AH1711">
        <v>684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5</v>
      </c>
      <c r="AQ1711">
        <v>0</v>
      </c>
      <c r="AR1711">
        <v>0</v>
      </c>
      <c r="AS1711" t="s">
        <v>58</v>
      </c>
      <c r="AT1711">
        <v>1</v>
      </c>
      <c r="AU1711" t="s">
        <v>75</v>
      </c>
      <c r="AV1711" t="s">
        <v>60</v>
      </c>
      <c r="AW1711">
        <v>0</v>
      </c>
      <c r="AX1711">
        <v>2</v>
      </c>
      <c r="AY1711">
        <v>0</v>
      </c>
      <c r="AZ1711">
        <v>0</v>
      </c>
      <c r="BA1711">
        <v>100</v>
      </c>
      <c r="BB1711">
        <v>100</v>
      </c>
      <c r="BC1711">
        <v>100</v>
      </c>
      <c r="BD1711">
        <v>100</v>
      </c>
      <c r="BE1711">
        <v>1</v>
      </c>
      <c r="BF1711">
        <v>15000</v>
      </c>
      <c r="BG1711">
        <v>1000</v>
      </c>
      <c r="BH1711" s="6">
        <f>Grandview_Inventory[[#This Row],[land_extract]]*Lookups!$B$3</f>
        <v>53837.239420408718</v>
      </c>
      <c r="BI1711" s="6">
        <f>IF(Grandview_Inventory[[#This Row],[bldg_style]]="",0,Lookups!$B$2)</f>
        <v>155833.95000000001</v>
      </c>
      <c r="BJ1711" s="6">
        <f>_xlfn.IFNA(VLOOKUP(Grandview_Inventory[[#This Row],[quality]],Lookups!$H$2:$J$14,3,FALSE),0)</f>
        <v>10733</v>
      </c>
      <c r="BK1711" s="6">
        <f>_xlfn.IFNA(VLOOKUP(Grandview_Inventory[[#This Row],[condition]],Lookups!$H$17:$J$24,3,FALSE),0)</f>
        <v>25818</v>
      </c>
      <c r="BL1711" s="6">
        <f>Grandview_Inventory[[#This Row],[Eff_Age]]*Lookups!$B$14</f>
        <v>-12197.496599999999</v>
      </c>
      <c r="BM1711" s="6">
        <f>Grandview_Inventory[[#This Row],[living_area]]*Lookups!$B$15</f>
        <v>67620.844652</v>
      </c>
      <c r="BN1711" s="6">
        <f>Grandview_Inventory[[#This Row],[Fin BSMT]]*Lookups!$B$16</f>
        <v>-5419.848</v>
      </c>
      <c r="BO1711" s="6">
        <f>(Grandview_Inventory[[#This Row],[att_gar]]+Grandview_Inventory[[#This Row],[bltin_gar]])*Lookups!$B$17</f>
        <v>0</v>
      </c>
      <c r="BP1711" s="6">
        <f>Grandview_Inventory[[#This Row],[Plumbing Fixtures]]*Lookups!$B$18</f>
        <v>10052.209000000001</v>
      </c>
      <c r="BQ1711" s="6">
        <f>Grandview_Inventory[[#This Row],[detatched_value]]*Lookups!$B$19</f>
        <v>0</v>
      </c>
      <c r="BR1711" s="6">
        <f>SUM(Grandview_Inventory[[#This Row],[Intercept]:[det_value]])*Grandview_Inventory[[#This Row],[res_pct]]</f>
        <v>252440.659052</v>
      </c>
      <c r="BS1711" s="6">
        <f>Grandview_Inventory[[#This Row],[land_value]]</f>
        <v>53837.239420408718</v>
      </c>
      <c r="BT1711" s="4">
        <f>_xlfn.IFNA(VLOOKUP(Grandview_Inventory[[#This Row],[quality]],Lookups!$A$26:$C$33,3,FALSE),1)</f>
        <v>0.98079741117310582</v>
      </c>
      <c r="BU1711" s="4">
        <f>_xlfn.IFNA(VLOOKUP(Grandview_Inventory[[#This Row],[condition]],Lookups!$A$37:$C$44,3,FALSE),1)</f>
        <v>0.96661476234146892</v>
      </c>
      <c r="BV1711" s="4">
        <f>IF(Grandview_Inventory[[#This Row],[bldg_style]]="",1,_xlfn.IFNA(VLOOKUP(Grandview_Inventory[[#This Row],[decade]],Lookups!$F$29:$H$43,3,FALSE),1))</f>
        <v>0.94161750052457416</v>
      </c>
      <c r="BW1711" s="4">
        <f>_xlfn.IFNA(VLOOKUP(Grandview_Inventory[[#This Row],[living_area_range]],Lookups!$F$47:$H$56,3,FALSE),1)</f>
        <v>0.96135087979789358</v>
      </c>
      <c r="BX1711" s="4">
        <f>AVERAGE(Grandview_Inventory[[#This Row],[qual_adj]:[size_adj]])</f>
        <v>0.96259513845926059</v>
      </c>
      <c r="BY1711" s="6">
        <f>IF(Grandview_Inventory[[#This Row],[pre_res]]&lt;0,0,Grandview_Inventory[[#This Row],[pre_res]]*Grandview_Inventory[[#This Row],[overall_adj]])</f>
        <v>242998.15115290694</v>
      </c>
      <c r="BZ1711" s="6">
        <f>(Grandview_Inventory[[#This Row],[sum_land]]-IF(Grandview_Inventory[[#This Row],[no_utilities]]=1,12000,0))/IF(Grandview_Inventory[[#This Row],[unbuildable]]=1,2,1)</f>
        <v>53837.239420408718</v>
      </c>
      <c r="CA1711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11">
        <f>ROUND(Grandview_Inventory[[#This Row],[det_value]]*Lookups!$M$28,-2)</f>
        <v>0</v>
      </c>
      <c r="CC1711">
        <f>IF(ROUND(Grandview_Inventory[[#This Row],[adj_res]]*Lookups!$M$28,-2)&lt;Grandview_Inventory[[#This Row],[min_res]],Grandview_Inventory[[#This Row],[min_res]],ROUND(Grandview_Inventory[[#This Row],[adj_res]]*Lookups!$M$28,-2))</f>
        <v>230800</v>
      </c>
      <c r="CD1711">
        <f>Grandview_Inventory[[#This Row],[final_det]]+Grandview_Inventory[[#This Row],[final_res]]</f>
        <v>230800</v>
      </c>
      <c r="CE1711">
        <f>Grandview_Inventory[[#This Row],[final_land]]+Grandview_Inventory[[#This Row],[final_imp]]+Grandview_Inventory[[#This Row],[crop_value]]</f>
        <v>281900</v>
      </c>
      <c r="CG1711" t="str">
        <f t="shared" si="26"/>
        <v>update valuation set market_land =51100, market_bldg=230800, market_total =281900, market_mdno =401, market_date ='9/10/2023' where link_id = (select link_id from parcel where parcel_year = '2024' and parcel_id = '23092332458');</v>
      </c>
    </row>
    <row r="1712" spans="1:85" x14ac:dyDescent="0.25">
      <c r="A1712">
        <v>23092332459</v>
      </c>
      <c r="B1712">
        <v>0.34</v>
      </c>
      <c r="C1712">
        <v>14807</v>
      </c>
      <c r="D1712" t="s">
        <v>129</v>
      </c>
      <c r="E1712" t="s">
        <v>53</v>
      </c>
      <c r="F1712" t="s">
        <v>53</v>
      </c>
      <c r="G1712">
        <v>4</v>
      </c>
      <c r="H1712" t="s">
        <v>54</v>
      </c>
      <c r="I1712">
        <v>183000</v>
      </c>
      <c r="J1712">
        <v>41200</v>
      </c>
      <c r="K1712">
        <v>0.34</v>
      </c>
      <c r="L1712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712">
        <v>0</v>
      </c>
      <c r="N1712">
        <v>0</v>
      </c>
      <c r="O1712">
        <v>0</v>
      </c>
      <c r="P1712">
        <v>13398.7528</v>
      </c>
      <c r="Q1712">
        <v>63903</v>
      </c>
      <c r="R1712">
        <f>(Grandview_Inventory[[#This Row],[ln_acres]]*Grandview_Inventory[[#This Row],[coeff]])+Grandview_Inventory[[#This Row],[const]]</f>
        <v>49448.296029025805</v>
      </c>
      <c r="S1712" t="s">
        <v>68</v>
      </c>
      <c r="T1712">
        <v>1</v>
      </c>
      <c r="U1712" t="s">
        <v>65</v>
      </c>
      <c r="V1712" t="s">
        <v>67</v>
      </c>
      <c r="W1712">
        <v>0</v>
      </c>
      <c r="X1712">
        <v>0</v>
      </c>
      <c r="Y1712">
        <v>51</v>
      </c>
      <c r="Z1712">
        <v>78</v>
      </c>
      <c r="AA1712">
        <v>80</v>
      </c>
      <c r="AB1712">
        <v>1500</v>
      </c>
      <c r="AC1712">
        <v>1346</v>
      </c>
      <c r="AD1712">
        <v>1346</v>
      </c>
      <c r="AE1712">
        <v>0</v>
      </c>
      <c r="AF1712">
        <v>0</v>
      </c>
      <c r="AG1712">
        <v>0</v>
      </c>
      <c r="AH1712">
        <v>916</v>
      </c>
      <c r="AI1712">
        <v>0</v>
      </c>
      <c r="AJ1712">
        <v>300</v>
      </c>
      <c r="AK1712">
        <v>0</v>
      </c>
      <c r="AL1712">
        <v>200</v>
      </c>
      <c r="AM1712">
        <v>300</v>
      </c>
      <c r="AN1712">
        <v>0</v>
      </c>
      <c r="AO1712">
        <v>300</v>
      </c>
      <c r="AP1712">
        <v>7</v>
      </c>
      <c r="AQ1712">
        <v>0</v>
      </c>
      <c r="AR1712">
        <v>0</v>
      </c>
      <c r="AS1712" t="s">
        <v>58</v>
      </c>
      <c r="AT1712">
        <v>1</v>
      </c>
      <c r="AU1712" t="s">
        <v>63</v>
      </c>
      <c r="AV1712" t="s">
        <v>60</v>
      </c>
      <c r="AW1712">
        <v>0</v>
      </c>
      <c r="AX1712">
        <v>3</v>
      </c>
      <c r="AY1712">
        <v>0</v>
      </c>
      <c r="AZ1712">
        <v>0</v>
      </c>
      <c r="BA1712">
        <v>100</v>
      </c>
      <c r="BB1712">
        <v>100</v>
      </c>
      <c r="BC1712">
        <v>100</v>
      </c>
      <c r="BD1712">
        <v>100</v>
      </c>
      <c r="BE1712">
        <v>1</v>
      </c>
      <c r="BF1712">
        <v>15000</v>
      </c>
      <c r="BG1712">
        <v>1000</v>
      </c>
      <c r="BH1712" s="6">
        <f>Grandview_Inventory[[#This Row],[land_extract]]*Lookups!$B$3</f>
        <v>57424.172668108389</v>
      </c>
      <c r="BI1712" s="6">
        <f>IF(Grandview_Inventory[[#This Row],[bldg_style]]="",0,Lookups!$B$2)</f>
        <v>155833.95000000001</v>
      </c>
      <c r="BJ1712" s="6">
        <f>_xlfn.IFNA(VLOOKUP(Grandview_Inventory[[#This Row],[quality]],Lookups!$H$2:$J$14,3,FALSE),0)</f>
        <v>2251</v>
      </c>
      <c r="BK1712" s="6">
        <f>_xlfn.IFNA(VLOOKUP(Grandview_Inventory[[#This Row],[condition]],Lookups!$H$17:$J$24,3,FALSE),0)</f>
        <v>22342</v>
      </c>
      <c r="BL1712" s="6">
        <f>Grandview_Inventory[[#This Row],[Eff_Age]]*Lookups!$B$14</f>
        <v>-12197.496599999999</v>
      </c>
      <c r="BM1712" s="6">
        <f>Grandview_Inventory[[#This Row],[living_area]]*Lookups!$B$15</f>
        <v>83964.628138</v>
      </c>
      <c r="BN1712" s="6">
        <f>Grandview_Inventory[[#This Row],[Fin BSMT]]*Lookups!$B$16</f>
        <v>0</v>
      </c>
      <c r="BO1712" s="6">
        <f>(Grandview_Inventory[[#This Row],[att_gar]]+Grandview_Inventory[[#This Row],[bltin_gar]])*Lookups!$B$17</f>
        <v>26256.131099999999</v>
      </c>
      <c r="BP1712" s="6">
        <f>Grandview_Inventory[[#This Row],[Plumbing Fixtures]]*Lookups!$B$18</f>
        <v>14073.0926</v>
      </c>
      <c r="BQ1712" s="6">
        <f>Grandview_Inventory[[#This Row],[detatched_value]]*Lookups!$B$19</f>
        <v>0</v>
      </c>
      <c r="BR1712" s="6">
        <f>SUM(Grandview_Inventory[[#This Row],[Intercept]:[det_value]])*Grandview_Inventory[[#This Row],[res_pct]]</f>
        <v>292523.305238</v>
      </c>
      <c r="BS1712" s="6">
        <f>Grandview_Inventory[[#This Row],[land_value]]</f>
        <v>57424.172668108389</v>
      </c>
      <c r="BT1712" s="4">
        <f>_xlfn.IFNA(VLOOKUP(Grandview_Inventory[[#This Row],[quality]],Lookups!$A$26:$C$33,3,FALSE),1)</f>
        <v>0.98763855981004833</v>
      </c>
      <c r="BU1712" s="4">
        <f>_xlfn.IFNA(VLOOKUP(Grandview_Inventory[[#This Row],[condition]],Lookups!$A$37:$C$44,3,FALSE),1)</f>
        <v>0.97383723671140243</v>
      </c>
      <c r="BV1712" s="4">
        <f>IF(Grandview_Inventory[[#This Row],[bldg_style]]="",1,_xlfn.IFNA(VLOOKUP(Grandview_Inventory[[#This Row],[decade]],Lookups!$F$29:$H$43,3,FALSE),1))</f>
        <v>0.98763256963907298</v>
      </c>
      <c r="BW1712" s="4">
        <f>_xlfn.IFNA(VLOOKUP(Grandview_Inventory[[#This Row],[living_area_range]],Lookups!$F$47:$H$56,3,FALSE),1)</f>
        <v>0.96135087979789358</v>
      </c>
      <c r="BX1712" s="4">
        <f>AVERAGE(Grandview_Inventory[[#This Row],[qual_adj]:[size_adj]])</f>
        <v>0.97761481148960427</v>
      </c>
      <c r="BY1712" s="6">
        <f>IF(Grandview_Inventory[[#This Row],[pre_res]]&lt;0,0,Grandview_Inventory[[#This Row],[pre_res]]*Grandview_Inventory[[#This Row],[overall_adj]])</f>
        <v>285975.11590656335</v>
      </c>
      <c r="BZ1712" s="6">
        <f>(Grandview_Inventory[[#This Row],[sum_land]]-IF(Grandview_Inventory[[#This Row],[no_utilities]]=1,12000,0))/IF(Grandview_Inventory[[#This Row],[unbuildable]]=1,2,1)</f>
        <v>57424.172668108389</v>
      </c>
      <c r="CA1712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712">
        <f>ROUND(Grandview_Inventory[[#This Row],[det_value]]*Lookups!$M$28,-2)</f>
        <v>0</v>
      </c>
      <c r="CC1712">
        <f>IF(ROUND(Grandview_Inventory[[#This Row],[adj_res]]*Lookups!$M$28,-2)&lt;Grandview_Inventory[[#This Row],[min_res]],Grandview_Inventory[[#This Row],[min_res]],ROUND(Grandview_Inventory[[#This Row],[adj_res]]*Lookups!$M$28,-2))</f>
        <v>271700</v>
      </c>
      <c r="CD1712">
        <f>Grandview_Inventory[[#This Row],[final_det]]+Grandview_Inventory[[#This Row],[final_res]]</f>
        <v>271700</v>
      </c>
      <c r="CE1712">
        <f>Grandview_Inventory[[#This Row],[final_land]]+Grandview_Inventory[[#This Row],[final_imp]]+Grandview_Inventory[[#This Row],[crop_value]]</f>
        <v>326300</v>
      </c>
      <c r="CG1712" t="str">
        <f t="shared" si="26"/>
        <v>update valuation set market_land =54600, market_bldg=271700, market_total =326300, market_mdno =401, market_date ='9/10/2023' where link_id = (select link_id from parcel where parcel_year = '2024' and parcel_id = '23092332459');</v>
      </c>
    </row>
    <row r="1713" spans="1:85" x14ac:dyDescent="0.25">
      <c r="A1713">
        <v>23092332460</v>
      </c>
      <c r="B1713">
        <v>0.31</v>
      </c>
      <c r="C1713">
        <v>13704</v>
      </c>
      <c r="D1713" t="s">
        <v>129</v>
      </c>
      <c r="E1713" t="s">
        <v>53</v>
      </c>
      <c r="F1713" t="s">
        <v>53</v>
      </c>
      <c r="G1713">
        <v>4</v>
      </c>
      <c r="H1713" t="s">
        <v>54</v>
      </c>
      <c r="I1713">
        <v>287000</v>
      </c>
      <c r="J1713">
        <v>45600</v>
      </c>
      <c r="K1713">
        <v>0.31</v>
      </c>
      <c r="L1713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713">
        <v>0</v>
      </c>
      <c r="N1713">
        <v>0</v>
      </c>
      <c r="O1713">
        <v>0</v>
      </c>
      <c r="P1713">
        <v>13398.7528</v>
      </c>
      <c r="Q1713">
        <v>63903</v>
      </c>
      <c r="R1713">
        <f>(Grandview_Inventory[[#This Row],[ln_acres]]*Grandview_Inventory[[#This Row],[coeff]])+Grandview_Inventory[[#This Row],[const]]</f>
        <v>48210.608747275066</v>
      </c>
      <c r="S1713" t="s">
        <v>68</v>
      </c>
      <c r="T1713">
        <v>1</v>
      </c>
      <c r="U1713" t="s">
        <v>62</v>
      </c>
      <c r="V1713" t="s">
        <v>66</v>
      </c>
      <c r="W1713">
        <v>0</v>
      </c>
      <c r="X1713">
        <v>0</v>
      </c>
      <c r="Y1713">
        <v>52</v>
      </c>
      <c r="Z1713">
        <v>88</v>
      </c>
      <c r="AA1713">
        <v>90</v>
      </c>
      <c r="AB1713">
        <v>2500</v>
      </c>
      <c r="AC1713">
        <v>2272</v>
      </c>
      <c r="AD1713">
        <v>1136</v>
      </c>
      <c r="AE1713">
        <v>0</v>
      </c>
      <c r="AF1713">
        <v>0</v>
      </c>
      <c r="AG1713">
        <v>1136</v>
      </c>
      <c r="AH1713">
        <v>0</v>
      </c>
      <c r="AI1713">
        <v>0</v>
      </c>
      <c r="AJ1713">
        <v>0</v>
      </c>
      <c r="AK1713">
        <v>480</v>
      </c>
      <c r="AL1713">
        <v>400</v>
      </c>
      <c r="AM1713">
        <v>678</v>
      </c>
      <c r="AN1713">
        <v>214</v>
      </c>
      <c r="AO1713">
        <v>120</v>
      </c>
      <c r="AP1713">
        <v>8</v>
      </c>
      <c r="AQ1713">
        <v>0</v>
      </c>
      <c r="AR1713">
        <v>0</v>
      </c>
      <c r="AS1713" t="s">
        <v>73</v>
      </c>
      <c r="AT1713">
        <v>1</v>
      </c>
      <c r="AU1713" t="s">
        <v>63</v>
      </c>
      <c r="AV1713" t="s">
        <v>60</v>
      </c>
      <c r="AW1713">
        <v>1</v>
      </c>
      <c r="AX1713">
        <v>3</v>
      </c>
      <c r="AY1713">
        <v>0</v>
      </c>
      <c r="AZ1713">
        <v>30600</v>
      </c>
      <c r="BA1713">
        <v>100</v>
      </c>
      <c r="BB1713">
        <v>100</v>
      </c>
      <c r="BC1713">
        <v>100</v>
      </c>
      <c r="BD1713">
        <v>100</v>
      </c>
      <c r="BE1713">
        <v>1</v>
      </c>
      <c r="BF1713">
        <v>15000</v>
      </c>
      <c r="BG1713">
        <v>1000</v>
      </c>
      <c r="BH1713" s="6">
        <f>Grandview_Inventory[[#This Row],[land_extract]]*Lookups!$B$3</f>
        <v>55986.849769566914</v>
      </c>
      <c r="BI1713" s="6">
        <f>IF(Grandview_Inventory[[#This Row],[bldg_style]]="",0,Lookups!$B$2)</f>
        <v>155833.95000000001</v>
      </c>
      <c r="BJ1713" s="6">
        <f>_xlfn.IFNA(VLOOKUP(Grandview_Inventory[[#This Row],[quality]],Lookups!$H$2:$J$14,3,FALSE),0)</f>
        <v>9808</v>
      </c>
      <c r="BK1713" s="6">
        <f>_xlfn.IFNA(VLOOKUP(Grandview_Inventory[[#This Row],[condition]],Lookups!$H$17:$J$24,3,FALSE),0)</f>
        <v>25818</v>
      </c>
      <c r="BL1713" s="6">
        <f>Grandview_Inventory[[#This Row],[Eff_Age]]*Lookups!$B$14</f>
        <v>-12436.663199999999</v>
      </c>
      <c r="BM1713" s="6">
        <f>Grandview_Inventory[[#This Row],[living_area]]*Lookups!$B$15</f>
        <v>141729.29801600002</v>
      </c>
      <c r="BN1713" s="6">
        <f>Grandview_Inventory[[#This Row],[Fin BSMT]]*Lookups!$B$16</f>
        <v>-30784.736640000003</v>
      </c>
      <c r="BO1713" s="6">
        <f>(Grandview_Inventory[[#This Row],[att_gar]]+Grandview_Inventory[[#This Row],[bltin_gar]])*Lookups!$B$17</f>
        <v>0</v>
      </c>
      <c r="BP1713" s="6">
        <f>Grandview_Inventory[[#This Row],[Plumbing Fixtures]]*Lookups!$B$18</f>
        <v>16083.5344</v>
      </c>
      <c r="BQ1713" s="6">
        <f>Grandview_Inventory[[#This Row],[detatched_value]]*Lookups!$B$19</f>
        <v>25912.236059999999</v>
      </c>
      <c r="BR1713" s="6">
        <f>SUM(Grandview_Inventory[[#This Row],[Intercept]:[det_value]])*Grandview_Inventory[[#This Row],[res_pct]]</f>
        <v>331963.61863600003</v>
      </c>
      <c r="BS1713" s="6">
        <f>Grandview_Inventory[[#This Row],[land_value]]</f>
        <v>55986.849769566914</v>
      </c>
      <c r="BT1713" s="4">
        <f>_xlfn.IFNA(VLOOKUP(Grandview_Inventory[[#This Row],[quality]],Lookups!$A$26:$C$33,3,FALSE),1)</f>
        <v>0.94295468617355149</v>
      </c>
      <c r="BU1713" s="4">
        <f>_xlfn.IFNA(VLOOKUP(Grandview_Inventory[[#This Row],[condition]],Lookups!$A$37:$C$44,3,FALSE),1)</f>
        <v>0.96661476234146892</v>
      </c>
      <c r="BV1713" s="4">
        <f>IF(Grandview_Inventory[[#This Row],[bldg_style]]="",1,_xlfn.IFNA(VLOOKUP(Grandview_Inventory[[#This Row],[decade]],Lookups!$F$29:$H$43,3,FALSE),1))</f>
        <v>0.94161750052457416</v>
      </c>
      <c r="BW1713" s="4">
        <f>_xlfn.IFNA(VLOOKUP(Grandview_Inventory[[#This Row],[living_area_range]],Lookups!$F$47:$H$56,3,FALSE),1)</f>
        <v>0.95799442568048754</v>
      </c>
      <c r="BX1713" s="4">
        <f>AVERAGE(Grandview_Inventory[[#This Row],[qual_adj]:[size_adj]])</f>
        <v>0.95229534368002056</v>
      </c>
      <c r="BY1713" s="6">
        <f>IF(Grandview_Inventory[[#This Row],[pre_res]]&lt;0,0,Grandview_Inventory[[#This Row],[pre_res]]*Grandview_Inventory[[#This Row],[overall_adj]])</f>
        <v>316127.40829823294</v>
      </c>
      <c r="BZ1713" s="6">
        <f>(Grandview_Inventory[[#This Row],[sum_land]]-IF(Grandview_Inventory[[#This Row],[no_utilities]]=1,12000,0))/IF(Grandview_Inventory[[#This Row],[unbuildable]]=1,2,1)</f>
        <v>55986.849769566914</v>
      </c>
      <c r="CA1713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713">
        <f>ROUND(Grandview_Inventory[[#This Row],[det_value]]*Lookups!$M$28,-2)</f>
        <v>24600</v>
      </c>
      <c r="CC1713">
        <f>IF(ROUND(Grandview_Inventory[[#This Row],[adj_res]]*Lookups!$M$28,-2)&lt;Grandview_Inventory[[#This Row],[min_res]],Grandview_Inventory[[#This Row],[min_res]],ROUND(Grandview_Inventory[[#This Row],[adj_res]]*Lookups!$M$28,-2))</f>
        <v>300300</v>
      </c>
      <c r="CD1713">
        <f>Grandview_Inventory[[#This Row],[final_det]]+Grandview_Inventory[[#This Row],[final_res]]</f>
        <v>324900</v>
      </c>
      <c r="CE1713">
        <f>Grandview_Inventory[[#This Row],[final_land]]+Grandview_Inventory[[#This Row],[final_imp]]+Grandview_Inventory[[#This Row],[crop_value]]</f>
        <v>378100</v>
      </c>
      <c r="CG1713" t="str">
        <f t="shared" si="26"/>
        <v>update valuation set market_land =53200, market_bldg=324900, market_total =378100, market_mdno =401, market_date ='9/10/2023' where link_id = (select link_id from parcel where parcel_year = '2024' and parcel_id = '23092332460');</v>
      </c>
    </row>
    <row r="1714" spans="1:85" x14ac:dyDescent="0.25">
      <c r="A1714">
        <v>23092332461</v>
      </c>
      <c r="B1714">
        <v>0.28000000000000003</v>
      </c>
      <c r="C1714">
        <v>12206</v>
      </c>
      <c r="D1714" t="s">
        <v>129</v>
      </c>
      <c r="E1714" t="s">
        <v>53</v>
      </c>
      <c r="F1714" t="s">
        <v>53</v>
      </c>
      <c r="G1714">
        <v>4</v>
      </c>
      <c r="H1714" t="s">
        <v>54</v>
      </c>
      <c r="I1714">
        <v>218400</v>
      </c>
      <c r="J1714">
        <v>40200</v>
      </c>
      <c r="K1714">
        <v>0.28000000000000003</v>
      </c>
      <c r="L1714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714">
        <v>0</v>
      </c>
      <c r="N1714">
        <v>0</v>
      </c>
      <c r="O1714">
        <v>0</v>
      </c>
      <c r="P1714">
        <v>13398.7528</v>
      </c>
      <c r="Q1714">
        <v>63903</v>
      </c>
      <c r="R1714">
        <f>(Grandview_Inventory[[#This Row],[ln_acres]]*Grandview_Inventory[[#This Row],[coeff]])+Grandview_Inventory[[#This Row],[const]]</f>
        <v>46846.847586898184</v>
      </c>
      <c r="S1714" t="s">
        <v>61</v>
      </c>
      <c r="T1714">
        <v>1</v>
      </c>
      <c r="U1714" t="s">
        <v>70</v>
      </c>
      <c r="V1714" t="s">
        <v>67</v>
      </c>
      <c r="W1714">
        <v>0</v>
      </c>
      <c r="X1714">
        <v>0</v>
      </c>
      <c r="Y1714">
        <v>48</v>
      </c>
      <c r="Z1714">
        <v>61</v>
      </c>
      <c r="AA1714">
        <v>70</v>
      </c>
      <c r="AB1714">
        <v>2000</v>
      </c>
      <c r="AC1714">
        <v>1691</v>
      </c>
      <c r="AD1714">
        <v>1691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120</v>
      </c>
      <c r="AO1714">
        <v>0</v>
      </c>
      <c r="AP1714">
        <v>8</v>
      </c>
      <c r="AQ1714">
        <v>0</v>
      </c>
      <c r="AR1714">
        <v>1</v>
      </c>
      <c r="AS1714" t="s">
        <v>58</v>
      </c>
      <c r="AT1714">
        <v>1</v>
      </c>
      <c r="AU1714" t="s">
        <v>63</v>
      </c>
      <c r="AV1714" t="s">
        <v>64</v>
      </c>
      <c r="AW1714">
        <v>0</v>
      </c>
      <c r="AX1714">
        <v>3</v>
      </c>
      <c r="AY1714">
        <v>0</v>
      </c>
      <c r="AZ1714">
        <v>8000</v>
      </c>
      <c r="BA1714">
        <v>100</v>
      </c>
      <c r="BB1714">
        <v>100</v>
      </c>
      <c r="BC1714">
        <v>100</v>
      </c>
      <c r="BD1714">
        <v>100</v>
      </c>
      <c r="BE1714">
        <v>1</v>
      </c>
      <c r="BF1714">
        <v>15000</v>
      </c>
      <c r="BG1714">
        <v>1000</v>
      </c>
      <c r="BH1714" s="6">
        <f>Grandview_Inventory[[#This Row],[land_extract]]*Lookups!$B$3</f>
        <v>54403.117616176372</v>
      </c>
      <c r="BI1714" s="6">
        <f>IF(Grandview_Inventory[[#This Row],[bldg_style]]="",0,Lookups!$B$2)</f>
        <v>155833.95000000001</v>
      </c>
      <c r="BJ1714" s="6">
        <f>_xlfn.IFNA(VLOOKUP(Grandview_Inventory[[#This Row],[quality]],Lookups!$H$2:$J$14,3,FALSE),0)</f>
        <v>10733</v>
      </c>
      <c r="BK1714" s="6">
        <f>_xlfn.IFNA(VLOOKUP(Grandview_Inventory[[#This Row],[condition]],Lookups!$H$17:$J$24,3,FALSE),0)</f>
        <v>22342</v>
      </c>
      <c r="BL1714" s="6">
        <f>Grandview_Inventory[[#This Row],[Eff_Age]]*Lookups!$B$14</f>
        <v>-11479.996799999999</v>
      </c>
      <c r="BM1714" s="6">
        <f>Grandview_Inventory[[#This Row],[living_area]]*Lookups!$B$15</f>
        <v>105486.022423</v>
      </c>
      <c r="BN1714" s="6">
        <f>Grandview_Inventory[[#This Row],[Fin BSMT]]*Lookups!$B$16</f>
        <v>0</v>
      </c>
      <c r="BO1714" s="6">
        <f>(Grandview_Inventory[[#This Row],[att_gar]]+Grandview_Inventory[[#This Row],[bltin_gar]])*Lookups!$B$17</f>
        <v>0</v>
      </c>
      <c r="BP1714" s="6">
        <f>Grandview_Inventory[[#This Row],[Plumbing Fixtures]]*Lookups!$B$18</f>
        <v>16083.5344</v>
      </c>
      <c r="BQ1714" s="6">
        <f>Grandview_Inventory[[#This Row],[detatched_value]]*Lookups!$B$19</f>
        <v>6774.4407999999994</v>
      </c>
      <c r="BR1714" s="6">
        <f>SUM(Grandview_Inventory[[#This Row],[Intercept]:[det_value]])*Grandview_Inventory[[#This Row],[res_pct]]</f>
        <v>305772.95082299999</v>
      </c>
      <c r="BS1714" s="6">
        <f>Grandview_Inventory[[#This Row],[land_value]]</f>
        <v>54403.117616176372</v>
      </c>
      <c r="BT1714" s="4">
        <f>_xlfn.IFNA(VLOOKUP(Grandview_Inventory[[#This Row],[quality]],Lookups!$A$26:$C$33,3,FALSE),1)</f>
        <v>0.98079741117310582</v>
      </c>
      <c r="BU1714" s="4">
        <f>_xlfn.IFNA(VLOOKUP(Grandview_Inventory[[#This Row],[condition]],Lookups!$A$37:$C$44,3,FALSE),1)</f>
        <v>0.97383723671140243</v>
      </c>
      <c r="BV1714" s="4">
        <f>IF(Grandview_Inventory[[#This Row],[bldg_style]]="",1,_xlfn.IFNA(VLOOKUP(Grandview_Inventory[[#This Row],[decade]],Lookups!$F$29:$H$43,3,FALSE),1))</f>
        <v>0.99472141305414818</v>
      </c>
      <c r="BW1714" s="4">
        <f>_xlfn.IFNA(VLOOKUP(Grandview_Inventory[[#This Row],[living_area_range]],Lookups!$F$47:$H$56,3,FALSE),1)</f>
        <v>0.96120133463014379</v>
      </c>
      <c r="BX1714" s="4">
        <f>AVERAGE(Grandview_Inventory[[#This Row],[qual_adj]:[size_adj]])</f>
        <v>0.97763934889220017</v>
      </c>
      <c r="BY1714" s="6">
        <f>IF(Grandview_Inventory[[#This Row],[pre_res]]&lt;0,0,Grandview_Inventory[[#This Row],[pre_res]]*Grandview_Inventory[[#This Row],[overall_adj]])</f>
        <v>298935.66855144443</v>
      </c>
      <c r="BZ1714" s="6">
        <f>(Grandview_Inventory[[#This Row],[sum_land]]-IF(Grandview_Inventory[[#This Row],[no_utilities]]=1,12000,0))/IF(Grandview_Inventory[[#This Row],[unbuildable]]=1,2,1)</f>
        <v>54403.117616176372</v>
      </c>
      <c r="CA1714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714">
        <f>ROUND(Grandview_Inventory[[#This Row],[det_value]]*Lookups!$M$28,-2)</f>
        <v>6400</v>
      </c>
      <c r="CC1714">
        <f>IF(ROUND(Grandview_Inventory[[#This Row],[adj_res]]*Lookups!$M$28,-2)&lt;Grandview_Inventory[[#This Row],[min_res]],Grandview_Inventory[[#This Row],[min_res]],ROUND(Grandview_Inventory[[#This Row],[adj_res]]*Lookups!$M$28,-2))</f>
        <v>284000</v>
      </c>
      <c r="CD1714">
        <f>Grandview_Inventory[[#This Row],[final_det]]+Grandview_Inventory[[#This Row],[final_res]]</f>
        <v>290400</v>
      </c>
      <c r="CE1714">
        <f>Grandview_Inventory[[#This Row],[final_land]]+Grandview_Inventory[[#This Row],[final_imp]]+Grandview_Inventory[[#This Row],[crop_value]]</f>
        <v>342100</v>
      </c>
      <c r="CG1714" t="str">
        <f t="shared" si="26"/>
        <v>update valuation set market_land =51700, market_bldg=290400, market_total =342100, market_mdno =401, market_date ='9/10/2023' where link_id = (select link_id from parcel where parcel_year = '2024' and parcel_id = '23092332461');</v>
      </c>
    </row>
    <row r="1715" spans="1:85" x14ac:dyDescent="0.25">
      <c r="A1715">
        <v>23092332462</v>
      </c>
      <c r="B1715">
        <v>0.28999999999999998</v>
      </c>
      <c r="C1715">
        <v>12661</v>
      </c>
      <c r="D1715" t="s">
        <v>129</v>
      </c>
      <c r="E1715" t="s">
        <v>53</v>
      </c>
      <c r="F1715" t="s">
        <v>53</v>
      </c>
      <c r="G1715">
        <v>4</v>
      </c>
      <c r="H1715" t="s">
        <v>54</v>
      </c>
      <c r="I1715">
        <v>146400</v>
      </c>
      <c r="J1715">
        <v>40500</v>
      </c>
      <c r="K1715">
        <v>0.28999999999999998</v>
      </c>
      <c r="L1715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15">
        <v>0</v>
      </c>
      <c r="N1715">
        <v>0</v>
      </c>
      <c r="O1715">
        <v>0</v>
      </c>
      <c r="P1715">
        <v>13398.7528</v>
      </c>
      <c r="Q1715">
        <v>63903</v>
      </c>
      <c r="R1715">
        <f>(Grandview_Inventory[[#This Row],[ln_acres]]*Grandview_Inventory[[#This Row],[coeff]])+Grandview_Inventory[[#This Row],[const]]</f>
        <v>47317.027506475133</v>
      </c>
      <c r="S1715" t="s">
        <v>68</v>
      </c>
      <c r="T1715">
        <v>1</v>
      </c>
      <c r="U1715" t="s">
        <v>80</v>
      </c>
      <c r="V1715" t="s">
        <v>69</v>
      </c>
      <c r="W1715">
        <v>0</v>
      </c>
      <c r="X1715">
        <v>0</v>
      </c>
      <c r="Y1715">
        <v>51</v>
      </c>
      <c r="Z1715">
        <v>83</v>
      </c>
      <c r="AA1715">
        <v>90</v>
      </c>
      <c r="AB1715">
        <v>2000</v>
      </c>
      <c r="AC1715">
        <v>1560</v>
      </c>
      <c r="AD1715">
        <v>780</v>
      </c>
      <c r="AE1715">
        <v>0</v>
      </c>
      <c r="AF1715">
        <v>0</v>
      </c>
      <c r="AG1715">
        <v>780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300</v>
      </c>
      <c r="AN1715">
        <v>28</v>
      </c>
      <c r="AO1715">
        <v>300</v>
      </c>
      <c r="AP1715">
        <v>5</v>
      </c>
      <c r="AQ1715">
        <v>0</v>
      </c>
      <c r="AR1715">
        <v>0</v>
      </c>
      <c r="AS1715" t="s">
        <v>58</v>
      </c>
      <c r="AT1715">
        <v>0</v>
      </c>
      <c r="AU1715" t="s">
        <v>82</v>
      </c>
      <c r="AV1715" t="s">
        <v>60</v>
      </c>
      <c r="AW1715">
        <v>0</v>
      </c>
      <c r="AX1715">
        <v>2</v>
      </c>
      <c r="AY1715">
        <v>0</v>
      </c>
      <c r="AZ1715">
        <v>38500</v>
      </c>
      <c r="BA1715">
        <v>100</v>
      </c>
      <c r="BB1715">
        <v>100</v>
      </c>
      <c r="BC1715">
        <v>100</v>
      </c>
      <c r="BD1715">
        <v>100</v>
      </c>
      <c r="BE1715">
        <v>1</v>
      </c>
      <c r="BF1715">
        <v>15000</v>
      </c>
      <c r="BG1715">
        <v>1000</v>
      </c>
      <c r="BH1715" s="6">
        <f>Grandview_Inventory[[#This Row],[land_extract]]*Lookups!$B$3</f>
        <v>54949.136287295303</v>
      </c>
      <c r="BI1715" s="6">
        <f>IF(Grandview_Inventory[[#This Row],[bldg_style]]="",0,Lookups!$B$2)</f>
        <v>155833.95000000001</v>
      </c>
      <c r="BJ1715" s="6">
        <f>_xlfn.IFNA(VLOOKUP(Grandview_Inventory[[#This Row],[quality]],Lookups!$H$2:$J$14,3,FALSE),0)</f>
        <v>-28558</v>
      </c>
      <c r="BK1715" s="6">
        <f>_xlfn.IFNA(VLOOKUP(Grandview_Inventory[[#This Row],[condition]],Lookups!$H$17:$J$24,3,FALSE),0)</f>
        <v>-4503</v>
      </c>
      <c r="BL1715" s="6">
        <f>Grandview_Inventory[[#This Row],[Eff_Age]]*Lookups!$B$14</f>
        <v>-12197.496599999999</v>
      </c>
      <c r="BM1715" s="6">
        <f>Grandview_Inventory[[#This Row],[living_area]]*Lookups!$B$15</f>
        <v>97314.130680000002</v>
      </c>
      <c r="BN1715" s="6">
        <f>Grandview_Inventory[[#This Row],[Fin BSMT]]*Lookups!$B$16</f>
        <v>-21137.407200000001</v>
      </c>
      <c r="BO1715" s="6">
        <f>(Grandview_Inventory[[#This Row],[att_gar]]+Grandview_Inventory[[#This Row],[bltin_gar]])*Lookups!$B$17</f>
        <v>0</v>
      </c>
      <c r="BP1715" s="6">
        <f>Grandview_Inventory[[#This Row],[Plumbing Fixtures]]*Lookups!$B$18</f>
        <v>10052.209000000001</v>
      </c>
      <c r="BQ1715" s="6">
        <f>Grandview_Inventory[[#This Row],[detatched_value]]*Lookups!$B$19</f>
        <v>32601.996349999998</v>
      </c>
      <c r="BR1715" s="6">
        <f>SUM(Grandview_Inventory[[#This Row],[Intercept]:[det_value]])*Grandview_Inventory[[#This Row],[res_pct]]</f>
        <v>229406.38222999999</v>
      </c>
      <c r="BS1715" s="6">
        <f>Grandview_Inventory[[#This Row],[land_value]]</f>
        <v>54949.136287295303</v>
      </c>
      <c r="BT1715" s="4">
        <f>_xlfn.IFNA(VLOOKUP(Grandview_Inventory[[#This Row],[quality]],Lookups!$A$26:$C$33,3,FALSE),1)</f>
        <v>0.9690360070159818</v>
      </c>
      <c r="BU1715" s="4">
        <f>_xlfn.IFNA(VLOOKUP(Grandview_Inventory[[#This Row],[condition]],Lookups!$A$37:$C$44,3,FALSE),1)</f>
        <v>0.96469275950863709</v>
      </c>
      <c r="BV1715" s="4">
        <f>IF(Grandview_Inventory[[#This Row],[bldg_style]]="",1,_xlfn.IFNA(VLOOKUP(Grandview_Inventory[[#This Row],[decade]],Lookups!$F$29:$H$43,3,FALSE),1))</f>
        <v>0.94161750052457416</v>
      </c>
      <c r="BW1715" s="4">
        <f>_xlfn.IFNA(VLOOKUP(Grandview_Inventory[[#This Row],[living_area_range]],Lookups!$F$47:$H$56,3,FALSE),1)</f>
        <v>0.96120133463014379</v>
      </c>
      <c r="BX1715" s="4">
        <f>AVERAGE(Grandview_Inventory[[#This Row],[qual_adj]:[size_adj]])</f>
        <v>0.95913690041983424</v>
      </c>
      <c r="BY1715" s="6">
        <f>IF(Grandview_Inventory[[#This Row],[pre_res]]&lt;0,0,Grandview_Inventory[[#This Row],[pre_res]]*Grandview_Inventory[[#This Row],[overall_adj]])</f>
        <v>220032.12638860993</v>
      </c>
      <c r="BZ1715" s="6">
        <f>(Grandview_Inventory[[#This Row],[sum_land]]-IF(Grandview_Inventory[[#This Row],[no_utilities]]=1,12000,0))/IF(Grandview_Inventory[[#This Row],[unbuildable]]=1,2,1)</f>
        <v>54949.136287295303</v>
      </c>
      <c r="CA1715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15">
        <f>ROUND(Grandview_Inventory[[#This Row],[det_value]]*Lookups!$M$28,-2)</f>
        <v>31000</v>
      </c>
      <c r="CC1715">
        <f>IF(ROUND(Grandview_Inventory[[#This Row],[adj_res]]*Lookups!$M$28,-2)&lt;Grandview_Inventory[[#This Row],[min_res]],Grandview_Inventory[[#This Row],[min_res]],ROUND(Grandview_Inventory[[#This Row],[adj_res]]*Lookups!$M$28,-2))</f>
        <v>209000</v>
      </c>
      <c r="CD1715">
        <f>Grandview_Inventory[[#This Row],[final_det]]+Grandview_Inventory[[#This Row],[final_res]]</f>
        <v>240000</v>
      </c>
      <c r="CE1715">
        <f>Grandview_Inventory[[#This Row],[final_land]]+Grandview_Inventory[[#This Row],[final_imp]]+Grandview_Inventory[[#This Row],[crop_value]]</f>
        <v>292200</v>
      </c>
      <c r="CG1715" t="str">
        <f t="shared" si="26"/>
        <v>update valuation set market_land =52200, market_bldg=240000, market_total =292200, market_mdno =401, market_date ='9/10/2023' where link_id = (select link_id from parcel where parcel_year = '2024' and parcel_id = '23092332462');</v>
      </c>
    </row>
    <row r="1716" spans="1:85" x14ac:dyDescent="0.25">
      <c r="A1716">
        <v>23092332463</v>
      </c>
      <c r="B1716">
        <v>0.26</v>
      </c>
      <c r="C1716">
        <v>11469</v>
      </c>
      <c r="D1716" t="s">
        <v>129</v>
      </c>
      <c r="E1716" t="s">
        <v>53</v>
      </c>
      <c r="F1716" t="s">
        <v>53</v>
      </c>
      <c r="G1716">
        <v>4</v>
      </c>
      <c r="H1716" t="s">
        <v>54</v>
      </c>
      <c r="I1716">
        <v>105600</v>
      </c>
      <c r="J1716">
        <v>40200</v>
      </c>
      <c r="K1716">
        <v>0.26</v>
      </c>
      <c r="L171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716">
        <v>0</v>
      </c>
      <c r="N1716">
        <v>0</v>
      </c>
      <c r="O1716">
        <v>0</v>
      </c>
      <c r="P1716">
        <v>13398.7528</v>
      </c>
      <c r="Q1716">
        <v>63903</v>
      </c>
      <c r="R1716">
        <f>(Grandview_Inventory[[#This Row],[ln_acres]]*Grandview_Inventory[[#This Row],[coeff]])+Grandview_Inventory[[#This Row],[const]]</f>
        <v>45853.893187501177</v>
      </c>
      <c r="S1716" t="s">
        <v>68</v>
      </c>
      <c r="T1716">
        <v>1</v>
      </c>
      <c r="U1716" t="s">
        <v>70</v>
      </c>
      <c r="V1716" t="s">
        <v>94</v>
      </c>
      <c r="W1716">
        <v>0</v>
      </c>
      <c r="X1716">
        <v>0</v>
      </c>
      <c r="Y1716">
        <v>51</v>
      </c>
      <c r="Z1716">
        <v>83</v>
      </c>
      <c r="AA1716">
        <v>90</v>
      </c>
      <c r="AB1716">
        <v>1500</v>
      </c>
      <c r="AC1716">
        <v>1024</v>
      </c>
      <c r="AD1716">
        <v>1024</v>
      </c>
      <c r="AE1716">
        <v>0</v>
      </c>
      <c r="AF1716">
        <v>0</v>
      </c>
      <c r="AG1716">
        <v>0</v>
      </c>
      <c r="AH1716">
        <v>0</v>
      </c>
      <c r="AI1716">
        <v>304</v>
      </c>
      <c r="AJ1716">
        <v>0</v>
      </c>
      <c r="AK1716">
        <v>0</v>
      </c>
      <c r="AL1716">
        <v>0</v>
      </c>
      <c r="AM1716">
        <v>0</v>
      </c>
      <c r="AN1716">
        <v>12</v>
      </c>
      <c r="AO1716">
        <v>0</v>
      </c>
      <c r="AP1716">
        <v>5</v>
      </c>
      <c r="AQ1716">
        <v>0</v>
      </c>
      <c r="AR1716">
        <v>0</v>
      </c>
      <c r="AS1716" t="s">
        <v>58</v>
      </c>
      <c r="AT1716">
        <v>1</v>
      </c>
      <c r="AU1716" t="s">
        <v>63</v>
      </c>
      <c r="AV1716" t="s">
        <v>64</v>
      </c>
      <c r="AW1716">
        <v>0</v>
      </c>
      <c r="AX1716">
        <v>2</v>
      </c>
      <c r="AY1716">
        <v>0</v>
      </c>
      <c r="AZ1716">
        <v>0</v>
      </c>
      <c r="BA1716">
        <v>100</v>
      </c>
      <c r="BB1716">
        <v>100</v>
      </c>
      <c r="BC1716">
        <v>100</v>
      </c>
      <c r="BD1716">
        <v>100</v>
      </c>
      <c r="BE1716">
        <v>1</v>
      </c>
      <c r="BF1716">
        <v>15000</v>
      </c>
      <c r="BG1716">
        <v>1000</v>
      </c>
      <c r="BH1716" s="6">
        <f>Grandview_Inventory[[#This Row],[land_extract]]*Lookups!$B$3</f>
        <v>53250.00235313351</v>
      </c>
      <c r="BI1716" s="6">
        <f>IF(Grandview_Inventory[[#This Row],[bldg_style]]="",0,Lookups!$B$2)</f>
        <v>155833.95000000001</v>
      </c>
      <c r="BJ1716" s="6">
        <f>_xlfn.IFNA(VLOOKUP(Grandview_Inventory[[#This Row],[quality]],Lookups!$H$2:$J$14,3,FALSE),0)</f>
        <v>10733</v>
      </c>
      <c r="BK1716" s="6">
        <f>_xlfn.IFNA(VLOOKUP(Grandview_Inventory[[#This Row],[condition]],Lookups!$H$17:$J$24,3,FALSE),0)</f>
        <v>-77566.475205170951</v>
      </c>
      <c r="BL1716" s="6">
        <f>Grandview_Inventory[[#This Row],[Eff_Age]]*Lookups!$B$14</f>
        <v>-12197.496599999999</v>
      </c>
      <c r="BM1716" s="6">
        <f>Grandview_Inventory[[#This Row],[living_area]]*Lookups!$B$15</f>
        <v>63877.993472000002</v>
      </c>
      <c r="BN1716" s="6">
        <f>Grandview_Inventory[[#This Row],[Fin BSMT]]*Lookups!$B$16</f>
        <v>0</v>
      </c>
      <c r="BO1716" s="6">
        <f>(Grandview_Inventory[[#This Row],[att_gar]]+Grandview_Inventory[[#This Row],[bltin_gar]])*Lookups!$B$17</f>
        <v>26606.212847999999</v>
      </c>
      <c r="BP1716" s="6">
        <f>Grandview_Inventory[[#This Row],[Plumbing Fixtures]]*Lookups!$B$18</f>
        <v>10052.209000000001</v>
      </c>
      <c r="BQ1716" s="6">
        <f>Grandview_Inventory[[#This Row],[detatched_value]]*Lookups!$B$19</f>
        <v>0</v>
      </c>
      <c r="BR1716" s="6">
        <f>SUM(Grandview_Inventory[[#This Row],[Intercept]:[det_value]])*Grandview_Inventory[[#This Row],[res_pct]]</f>
        <v>177339.39351482908</v>
      </c>
      <c r="BS1716" s="6">
        <f>Grandview_Inventory[[#This Row],[land_value]]</f>
        <v>53250.00235313351</v>
      </c>
      <c r="BT1716" s="4">
        <f>_xlfn.IFNA(VLOOKUP(Grandview_Inventory[[#This Row],[quality]],Lookups!$A$26:$C$33,3,FALSE),1)</f>
        <v>0.98079741117310582</v>
      </c>
      <c r="BU1716" s="4">
        <f>_xlfn.IFNA(VLOOKUP(Grandview_Inventory[[#This Row],[condition]],Lookups!$A$37:$C$44,3,FALSE),1)</f>
        <v>0.97161819570155394</v>
      </c>
      <c r="BV1716" s="4">
        <f>IF(Grandview_Inventory[[#This Row],[bldg_style]]="",1,_xlfn.IFNA(VLOOKUP(Grandview_Inventory[[#This Row],[decade]],Lookups!$F$29:$H$43,3,FALSE),1))</f>
        <v>0.94161750052457416</v>
      </c>
      <c r="BW1716" s="4">
        <f>_xlfn.IFNA(VLOOKUP(Grandview_Inventory[[#This Row],[living_area_range]],Lookups!$F$47:$H$56,3,FALSE),1)</f>
        <v>0.96135087979789358</v>
      </c>
      <c r="BX1716" s="4">
        <f>AVERAGE(Grandview_Inventory[[#This Row],[qual_adj]:[size_adj]])</f>
        <v>0.96384599679928185</v>
      </c>
      <c r="BY1716" s="6">
        <f>IF(Grandview_Inventory[[#This Row],[pre_res]]&lt;0,0,Grandview_Inventory[[#This Row],[pre_res]]*Grandview_Inventory[[#This Row],[overall_adj]])</f>
        <v>170927.86451408052</v>
      </c>
      <c r="BZ1716" s="6">
        <f>(Grandview_Inventory[[#This Row],[sum_land]]-IF(Grandview_Inventory[[#This Row],[no_utilities]]=1,12000,0))/IF(Grandview_Inventory[[#This Row],[unbuildable]]=1,2,1)</f>
        <v>53250.00235313351</v>
      </c>
      <c r="CA171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716">
        <f>ROUND(Grandview_Inventory[[#This Row],[det_value]]*Lookups!$M$28,-2)</f>
        <v>0</v>
      </c>
      <c r="CC1716">
        <f>IF(ROUND(Grandview_Inventory[[#This Row],[adj_res]]*Lookups!$M$28,-2)&lt;Grandview_Inventory[[#This Row],[min_res]],Grandview_Inventory[[#This Row],[min_res]],ROUND(Grandview_Inventory[[#This Row],[adj_res]]*Lookups!$M$28,-2))</f>
        <v>162400</v>
      </c>
      <c r="CD1716">
        <f>Grandview_Inventory[[#This Row],[final_det]]+Grandview_Inventory[[#This Row],[final_res]]</f>
        <v>162400</v>
      </c>
      <c r="CE1716">
        <f>Grandview_Inventory[[#This Row],[final_land]]+Grandview_Inventory[[#This Row],[final_imp]]+Grandview_Inventory[[#This Row],[crop_value]]</f>
        <v>213000</v>
      </c>
      <c r="CG1716" t="str">
        <f t="shared" si="26"/>
        <v>update valuation set market_land =50600, market_bldg=162400, market_total =213000, market_mdno =401, market_date ='9/10/2023' where link_id = (select link_id from parcel where parcel_year = '2024' and parcel_id = '23092332463');</v>
      </c>
    </row>
    <row r="1717" spans="1:85" x14ac:dyDescent="0.25">
      <c r="A1717">
        <v>23092332464</v>
      </c>
      <c r="B1717">
        <v>0.35</v>
      </c>
      <c r="C1717">
        <v>15223</v>
      </c>
      <c r="D1717" t="s">
        <v>129</v>
      </c>
      <c r="E1717" t="s">
        <v>53</v>
      </c>
      <c r="F1717" t="s">
        <v>53</v>
      </c>
      <c r="G1717">
        <v>4</v>
      </c>
      <c r="H1717" t="s">
        <v>54</v>
      </c>
      <c r="I1717">
        <v>136600</v>
      </c>
      <c r="J1717">
        <v>41200</v>
      </c>
      <c r="K1717">
        <v>0.35</v>
      </c>
      <c r="L1717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1717">
        <v>0</v>
      </c>
      <c r="N1717">
        <v>0</v>
      </c>
      <c r="O1717">
        <v>0</v>
      </c>
      <c r="P1717">
        <v>13398.7528</v>
      </c>
      <c r="Q1717">
        <v>63903</v>
      </c>
      <c r="R1717">
        <f>(Grandview_Inventory[[#This Row],[ln_acres]]*Grandview_Inventory[[#This Row],[coeff]])+Grandview_Inventory[[#This Row],[const]]</f>
        <v>49836.692869871389</v>
      </c>
      <c r="S1717" t="s">
        <v>68</v>
      </c>
      <c r="T1717">
        <v>1</v>
      </c>
      <c r="U1717" t="s">
        <v>80</v>
      </c>
      <c r="V1717" t="s">
        <v>67</v>
      </c>
      <c r="W1717">
        <v>0</v>
      </c>
      <c r="X1717">
        <v>0</v>
      </c>
      <c r="Y1717">
        <v>51</v>
      </c>
      <c r="Z1717">
        <v>83</v>
      </c>
      <c r="AA1717">
        <v>90</v>
      </c>
      <c r="AB1717">
        <v>1500</v>
      </c>
      <c r="AC1717">
        <v>1456</v>
      </c>
      <c r="AD1717">
        <v>728</v>
      </c>
      <c r="AE1717">
        <v>0</v>
      </c>
      <c r="AF1717">
        <v>0</v>
      </c>
      <c r="AG1717">
        <v>728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20</v>
      </c>
      <c r="AO1717">
        <v>0</v>
      </c>
      <c r="AP1717">
        <v>6</v>
      </c>
      <c r="AQ1717">
        <v>0</v>
      </c>
      <c r="AR1717">
        <v>0</v>
      </c>
      <c r="AS1717" t="s">
        <v>58</v>
      </c>
      <c r="AT1717">
        <v>0</v>
      </c>
      <c r="AU1717" t="s">
        <v>82</v>
      </c>
      <c r="AV1717" t="s">
        <v>81</v>
      </c>
      <c r="AW1717">
        <v>0</v>
      </c>
      <c r="AX1717">
        <v>3</v>
      </c>
      <c r="AY1717">
        <v>0</v>
      </c>
      <c r="AZ1717">
        <v>10000</v>
      </c>
      <c r="BA1717">
        <v>100</v>
      </c>
      <c r="BB1717">
        <v>100</v>
      </c>
      <c r="BC1717">
        <v>100</v>
      </c>
      <c r="BD1717">
        <v>100</v>
      </c>
      <c r="BE1717">
        <v>1</v>
      </c>
      <c r="BF1717">
        <v>15000</v>
      </c>
      <c r="BG1717">
        <v>1000</v>
      </c>
      <c r="BH1717" s="6">
        <f>Grandview_Inventory[[#This Row],[land_extract]]*Lookups!$B$3</f>
        <v>57875.216870710894</v>
      </c>
      <c r="BI1717" s="6">
        <f>IF(Grandview_Inventory[[#This Row],[bldg_style]]="",0,Lookups!$B$2)</f>
        <v>155833.95000000001</v>
      </c>
      <c r="BJ1717" s="6">
        <f>_xlfn.IFNA(VLOOKUP(Grandview_Inventory[[#This Row],[quality]],Lookups!$H$2:$J$14,3,FALSE),0)</f>
        <v>-28558</v>
      </c>
      <c r="BK1717" s="6">
        <f>_xlfn.IFNA(VLOOKUP(Grandview_Inventory[[#This Row],[condition]],Lookups!$H$17:$J$24,3,FALSE),0)</f>
        <v>22342</v>
      </c>
      <c r="BL1717" s="6">
        <f>Grandview_Inventory[[#This Row],[Eff_Age]]*Lookups!$B$14</f>
        <v>-12197.496599999999</v>
      </c>
      <c r="BM1717" s="6">
        <f>Grandview_Inventory[[#This Row],[living_area]]*Lookups!$B$15</f>
        <v>90826.521968000001</v>
      </c>
      <c r="BN1717" s="6">
        <f>Grandview_Inventory[[#This Row],[Fin BSMT]]*Lookups!$B$16</f>
        <v>-19728.246720000003</v>
      </c>
      <c r="BO1717" s="6">
        <f>(Grandview_Inventory[[#This Row],[att_gar]]+Grandview_Inventory[[#This Row],[bltin_gar]])*Lookups!$B$17</f>
        <v>0</v>
      </c>
      <c r="BP1717" s="6">
        <f>Grandview_Inventory[[#This Row],[Plumbing Fixtures]]*Lookups!$B$18</f>
        <v>12062.650799999999</v>
      </c>
      <c r="BQ1717" s="6">
        <f>Grandview_Inventory[[#This Row],[detatched_value]]*Lookups!$B$19</f>
        <v>8468.0509999999995</v>
      </c>
      <c r="BR1717" s="6">
        <f>SUM(Grandview_Inventory[[#This Row],[Intercept]:[det_value]])*Grandview_Inventory[[#This Row],[res_pct]]</f>
        <v>229049.430448</v>
      </c>
      <c r="BS1717" s="6">
        <f>Grandview_Inventory[[#This Row],[land_value]]</f>
        <v>57875.216870710894</v>
      </c>
      <c r="BT1717" s="4">
        <f>_xlfn.IFNA(VLOOKUP(Grandview_Inventory[[#This Row],[quality]],Lookups!$A$26:$C$33,3,FALSE),1)</f>
        <v>0.9690360070159818</v>
      </c>
      <c r="BU1717" s="4">
        <f>_xlfn.IFNA(VLOOKUP(Grandview_Inventory[[#This Row],[condition]],Lookups!$A$37:$C$44,3,FALSE),1)</f>
        <v>0.97383723671140243</v>
      </c>
      <c r="BV1717" s="4">
        <f>IF(Grandview_Inventory[[#This Row],[bldg_style]]="",1,_xlfn.IFNA(VLOOKUP(Grandview_Inventory[[#This Row],[decade]],Lookups!$F$29:$H$43,3,FALSE),1))</f>
        <v>0.94161750052457416</v>
      </c>
      <c r="BW1717" s="4">
        <f>_xlfn.IFNA(VLOOKUP(Grandview_Inventory[[#This Row],[living_area_range]],Lookups!$F$47:$H$56,3,FALSE),1)</f>
        <v>0.96135087979789358</v>
      </c>
      <c r="BX1717" s="4">
        <f>AVERAGE(Grandview_Inventory[[#This Row],[qual_adj]:[size_adj]])</f>
        <v>0.96146040601246296</v>
      </c>
      <c r="BY1717" s="6">
        <f>IF(Grandview_Inventory[[#This Row],[pre_res]]&lt;0,0,Grandview_Inventory[[#This Row],[pre_res]]*Grandview_Inventory[[#This Row],[overall_adj]])</f>
        <v>220221.95839545748</v>
      </c>
      <c r="BZ1717" s="6">
        <f>(Grandview_Inventory[[#This Row],[sum_land]]-IF(Grandview_Inventory[[#This Row],[no_utilities]]=1,12000,0))/IF(Grandview_Inventory[[#This Row],[unbuildable]]=1,2,1)</f>
        <v>57875.216870710894</v>
      </c>
      <c r="CA1717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1717">
        <f>ROUND(Grandview_Inventory[[#This Row],[det_value]]*Lookups!$M$28,-2)</f>
        <v>8000</v>
      </c>
      <c r="CC1717">
        <f>IF(ROUND(Grandview_Inventory[[#This Row],[adj_res]]*Lookups!$M$28,-2)&lt;Grandview_Inventory[[#This Row],[min_res]],Grandview_Inventory[[#This Row],[min_res]],ROUND(Grandview_Inventory[[#This Row],[adj_res]]*Lookups!$M$28,-2))</f>
        <v>209200</v>
      </c>
      <c r="CD1717">
        <f>Grandview_Inventory[[#This Row],[final_det]]+Grandview_Inventory[[#This Row],[final_res]]</f>
        <v>217200</v>
      </c>
      <c r="CE1717">
        <f>Grandview_Inventory[[#This Row],[final_land]]+Grandview_Inventory[[#This Row],[final_imp]]+Grandview_Inventory[[#This Row],[crop_value]]</f>
        <v>272200</v>
      </c>
      <c r="CG1717" t="str">
        <f t="shared" si="26"/>
        <v>update valuation set market_land =55000, market_bldg=217200, market_total =272200, market_mdno =401, market_date ='9/10/2023' where link_id = (select link_id from parcel where parcel_year = '2024' and parcel_id = '23092332464');</v>
      </c>
    </row>
    <row r="1718" spans="1:85" x14ac:dyDescent="0.25">
      <c r="A1718">
        <v>23092332465</v>
      </c>
      <c r="B1718">
        <v>0.26</v>
      </c>
      <c r="C1718">
        <v>11450</v>
      </c>
      <c r="D1718" t="s">
        <v>129</v>
      </c>
      <c r="E1718" t="s">
        <v>53</v>
      </c>
      <c r="F1718" t="s">
        <v>53</v>
      </c>
      <c r="G1718">
        <v>4</v>
      </c>
      <c r="H1718" t="s">
        <v>54</v>
      </c>
      <c r="I1718">
        <v>251900</v>
      </c>
      <c r="J1718">
        <v>40200</v>
      </c>
      <c r="K1718">
        <v>0.26</v>
      </c>
      <c r="L1718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718">
        <v>0</v>
      </c>
      <c r="N1718">
        <v>0</v>
      </c>
      <c r="O1718">
        <v>0</v>
      </c>
      <c r="P1718">
        <v>13398.7528</v>
      </c>
      <c r="Q1718">
        <v>63903</v>
      </c>
      <c r="R1718">
        <f>(Grandview_Inventory[[#This Row],[ln_acres]]*Grandview_Inventory[[#This Row],[coeff]])+Grandview_Inventory[[#This Row],[const]]</f>
        <v>45853.893187501177</v>
      </c>
      <c r="S1718" t="s">
        <v>61</v>
      </c>
      <c r="T1718">
        <v>1</v>
      </c>
      <c r="U1718" t="s">
        <v>70</v>
      </c>
      <c r="V1718" t="s">
        <v>66</v>
      </c>
      <c r="W1718">
        <v>0</v>
      </c>
      <c r="X1718">
        <v>0</v>
      </c>
      <c r="Y1718">
        <v>22</v>
      </c>
      <c r="Z1718">
        <v>88</v>
      </c>
      <c r="AA1718">
        <v>90</v>
      </c>
      <c r="AB1718">
        <v>2500</v>
      </c>
      <c r="AC1718">
        <v>2216</v>
      </c>
      <c r="AD1718">
        <v>1384</v>
      </c>
      <c r="AE1718">
        <v>0</v>
      </c>
      <c r="AF1718">
        <v>0</v>
      </c>
      <c r="AG1718">
        <v>832</v>
      </c>
      <c r="AH1718">
        <v>0</v>
      </c>
      <c r="AI1718">
        <v>0</v>
      </c>
      <c r="AJ1718">
        <v>0</v>
      </c>
      <c r="AK1718">
        <v>0</v>
      </c>
      <c r="AL1718">
        <v>440</v>
      </c>
      <c r="AM1718">
        <v>0</v>
      </c>
      <c r="AN1718">
        <v>100</v>
      </c>
      <c r="AO1718">
        <v>190</v>
      </c>
      <c r="AP1718">
        <v>12</v>
      </c>
      <c r="AQ1718">
        <v>0</v>
      </c>
      <c r="AR1718">
        <v>0</v>
      </c>
      <c r="AS1718" t="s">
        <v>71</v>
      </c>
      <c r="AT1718">
        <v>1</v>
      </c>
      <c r="AU1718" t="s">
        <v>59</v>
      </c>
      <c r="AV1718" t="s">
        <v>60</v>
      </c>
      <c r="AW1718">
        <v>1</v>
      </c>
      <c r="AX1718">
        <v>2</v>
      </c>
      <c r="AY1718">
        <v>0</v>
      </c>
      <c r="AZ1718">
        <v>12300</v>
      </c>
      <c r="BA1718">
        <v>100</v>
      </c>
      <c r="BB1718">
        <v>100</v>
      </c>
      <c r="BC1718">
        <v>100</v>
      </c>
      <c r="BD1718">
        <v>100</v>
      </c>
      <c r="BE1718">
        <v>1</v>
      </c>
      <c r="BF1718">
        <v>15000</v>
      </c>
      <c r="BG1718">
        <v>1000</v>
      </c>
      <c r="BH1718" s="6">
        <f>Grandview_Inventory[[#This Row],[land_extract]]*Lookups!$B$3</f>
        <v>53250.00235313351</v>
      </c>
      <c r="BI1718" s="6">
        <f>IF(Grandview_Inventory[[#This Row],[bldg_style]]="",0,Lookups!$B$2)</f>
        <v>155833.95000000001</v>
      </c>
      <c r="BJ1718" s="6">
        <f>_xlfn.IFNA(VLOOKUP(Grandview_Inventory[[#This Row],[quality]],Lookups!$H$2:$J$14,3,FALSE),0)</f>
        <v>10733</v>
      </c>
      <c r="BK1718" s="6">
        <f>_xlfn.IFNA(VLOOKUP(Grandview_Inventory[[#This Row],[condition]],Lookups!$H$17:$J$24,3,FALSE),0)</f>
        <v>25818</v>
      </c>
      <c r="BL1718" s="6">
        <f>Grandview_Inventory[[#This Row],[Eff_Age]]*Lookups!$B$14</f>
        <v>-5261.6651999999995</v>
      </c>
      <c r="BM1718" s="6">
        <f>Grandview_Inventory[[#This Row],[living_area]]*Lookups!$B$15</f>
        <v>138235.970248</v>
      </c>
      <c r="BN1718" s="6">
        <f>Grandview_Inventory[[#This Row],[Fin BSMT]]*Lookups!$B$16</f>
        <v>-22546.56768</v>
      </c>
      <c r="BO1718" s="6">
        <f>(Grandview_Inventory[[#This Row],[att_gar]]+Grandview_Inventory[[#This Row],[bltin_gar]])*Lookups!$B$17</f>
        <v>0</v>
      </c>
      <c r="BP1718" s="6">
        <f>Grandview_Inventory[[#This Row],[Plumbing Fixtures]]*Lookups!$B$18</f>
        <v>24125.301599999999</v>
      </c>
      <c r="BQ1718" s="6">
        <f>Grandview_Inventory[[#This Row],[detatched_value]]*Lookups!$B$19</f>
        <v>10415.702729999999</v>
      </c>
      <c r="BR1718" s="6">
        <f>SUM(Grandview_Inventory[[#This Row],[Intercept]:[det_value]])*Grandview_Inventory[[#This Row],[res_pct]]</f>
        <v>337353.69169800007</v>
      </c>
      <c r="BS1718" s="6">
        <f>Grandview_Inventory[[#This Row],[land_value]]</f>
        <v>53250.00235313351</v>
      </c>
      <c r="BT1718" s="4">
        <f>_xlfn.IFNA(VLOOKUP(Grandview_Inventory[[#This Row],[quality]],Lookups!$A$26:$C$33,3,FALSE),1)</f>
        <v>0.98079741117310582</v>
      </c>
      <c r="BU1718" s="4">
        <f>_xlfn.IFNA(VLOOKUP(Grandview_Inventory[[#This Row],[condition]],Lookups!$A$37:$C$44,3,FALSE),1)</f>
        <v>0.96661476234146892</v>
      </c>
      <c r="BV1718" s="4">
        <f>IF(Grandview_Inventory[[#This Row],[bldg_style]]="",1,_xlfn.IFNA(VLOOKUP(Grandview_Inventory[[#This Row],[decade]],Lookups!$F$29:$H$43,3,FALSE),1))</f>
        <v>0.94161750052457416</v>
      </c>
      <c r="BW1718" s="4">
        <f>_xlfn.IFNA(VLOOKUP(Grandview_Inventory[[#This Row],[living_area_range]],Lookups!$F$47:$H$56,3,FALSE),1)</f>
        <v>0.95799442568048754</v>
      </c>
      <c r="BX1718" s="4">
        <f>AVERAGE(Grandview_Inventory[[#This Row],[qual_adj]:[size_adj]])</f>
        <v>0.96175602492990908</v>
      </c>
      <c r="BY1718" s="6">
        <f>IF(Grandview_Inventory[[#This Row],[pre_res]]&lt;0,0,Grandview_Inventory[[#This Row],[pre_res]]*Grandview_Inventory[[#This Row],[overall_adj]])</f>
        <v>324451.94552289863</v>
      </c>
      <c r="BZ1718" s="6">
        <f>(Grandview_Inventory[[#This Row],[sum_land]]-IF(Grandview_Inventory[[#This Row],[no_utilities]]=1,12000,0))/IF(Grandview_Inventory[[#This Row],[unbuildable]]=1,2,1)</f>
        <v>53250.00235313351</v>
      </c>
      <c r="CA1718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718">
        <f>ROUND(Grandview_Inventory[[#This Row],[det_value]]*Lookups!$M$28,-2)</f>
        <v>9900</v>
      </c>
      <c r="CC1718">
        <f>IF(ROUND(Grandview_Inventory[[#This Row],[adj_res]]*Lookups!$M$28,-2)&lt;Grandview_Inventory[[#This Row],[min_res]],Grandview_Inventory[[#This Row],[min_res]],ROUND(Grandview_Inventory[[#This Row],[adj_res]]*Lookups!$M$28,-2))</f>
        <v>308200</v>
      </c>
      <c r="CD1718">
        <f>Grandview_Inventory[[#This Row],[final_det]]+Grandview_Inventory[[#This Row],[final_res]]</f>
        <v>318100</v>
      </c>
      <c r="CE1718">
        <f>Grandview_Inventory[[#This Row],[final_land]]+Grandview_Inventory[[#This Row],[final_imp]]+Grandview_Inventory[[#This Row],[crop_value]]</f>
        <v>368700</v>
      </c>
      <c r="CG1718" t="str">
        <f t="shared" si="26"/>
        <v>update valuation set market_land =50600, market_bldg=318100, market_total =368700, market_mdno =401, market_date ='9/10/2023' where link_id = (select link_id from parcel where parcel_year = '2024' and parcel_id = '23092332465');</v>
      </c>
    </row>
    <row r="1719" spans="1:85" x14ac:dyDescent="0.25">
      <c r="A1719">
        <v>23092332466</v>
      </c>
      <c r="B1719">
        <v>0.38</v>
      </c>
      <c r="C1719">
        <v>16613</v>
      </c>
      <c r="D1719" t="s">
        <v>129</v>
      </c>
      <c r="E1719" t="s">
        <v>53</v>
      </c>
      <c r="F1719" t="s">
        <v>53</v>
      </c>
      <c r="G1719">
        <v>4</v>
      </c>
      <c r="H1719" t="s">
        <v>54</v>
      </c>
      <c r="I1719">
        <v>175100</v>
      </c>
      <c r="J1719">
        <v>41100</v>
      </c>
      <c r="K1719">
        <v>0.38</v>
      </c>
      <c r="L1719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1719">
        <v>0</v>
      </c>
      <c r="N1719">
        <v>0</v>
      </c>
      <c r="O1719">
        <v>0</v>
      </c>
      <c r="P1719">
        <v>13398.7528</v>
      </c>
      <c r="Q1719">
        <v>63903</v>
      </c>
      <c r="R1719">
        <f>(Grandview_Inventory[[#This Row],[ln_acres]]*Grandview_Inventory[[#This Row],[coeff]])+Grandview_Inventory[[#This Row],[const]]</f>
        <v>50938.580818890696</v>
      </c>
      <c r="S1719" t="s">
        <v>61</v>
      </c>
      <c r="T1719">
        <v>1</v>
      </c>
      <c r="U1719" t="s">
        <v>65</v>
      </c>
      <c r="V1719" t="s">
        <v>67</v>
      </c>
      <c r="W1719">
        <v>0</v>
      </c>
      <c r="X1719">
        <v>0</v>
      </c>
      <c r="Y1719">
        <v>51</v>
      </c>
      <c r="Z1719">
        <v>83</v>
      </c>
      <c r="AA1719">
        <v>90</v>
      </c>
      <c r="AB1719">
        <v>1500</v>
      </c>
      <c r="AC1719">
        <v>1092</v>
      </c>
      <c r="AD1719">
        <v>1092</v>
      </c>
      <c r="AE1719">
        <v>0</v>
      </c>
      <c r="AF1719">
        <v>0</v>
      </c>
      <c r="AG1719">
        <v>0</v>
      </c>
      <c r="AH1719">
        <v>280</v>
      </c>
      <c r="AI1719">
        <v>0</v>
      </c>
      <c r="AJ1719">
        <v>0</v>
      </c>
      <c r="AK1719">
        <v>364</v>
      </c>
      <c r="AL1719">
        <v>0</v>
      </c>
      <c r="AM1719">
        <v>192</v>
      </c>
      <c r="AN1719">
        <v>110</v>
      </c>
      <c r="AO1719">
        <v>0</v>
      </c>
      <c r="AP1719">
        <v>5</v>
      </c>
      <c r="AQ1719">
        <v>0</v>
      </c>
      <c r="AR1719">
        <v>0</v>
      </c>
      <c r="AS1719" t="s">
        <v>58</v>
      </c>
      <c r="AT1719">
        <v>1</v>
      </c>
      <c r="AU1719" t="s">
        <v>63</v>
      </c>
      <c r="AV1719" t="s">
        <v>64</v>
      </c>
      <c r="AW1719">
        <v>1</v>
      </c>
      <c r="AX1719">
        <v>2</v>
      </c>
      <c r="AY1719">
        <v>0</v>
      </c>
      <c r="AZ1719">
        <v>0</v>
      </c>
      <c r="BA1719">
        <v>100</v>
      </c>
      <c r="BB1719">
        <v>100</v>
      </c>
      <c r="BC1719">
        <v>100</v>
      </c>
      <c r="BD1719">
        <v>100</v>
      </c>
      <c r="BE1719">
        <v>1</v>
      </c>
      <c r="BF1719">
        <v>15000</v>
      </c>
      <c r="BG1719">
        <v>1000</v>
      </c>
      <c r="BH1719" s="6">
        <f>Grandview_Inventory[[#This Row],[land_extract]]*Lookups!$B$3</f>
        <v>59154.836370809549</v>
      </c>
      <c r="BI1719" s="6">
        <f>IF(Grandview_Inventory[[#This Row],[bldg_style]]="",0,Lookups!$B$2)</f>
        <v>155833.95000000001</v>
      </c>
      <c r="BJ1719" s="6">
        <f>_xlfn.IFNA(VLOOKUP(Grandview_Inventory[[#This Row],[quality]],Lookups!$H$2:$J$14,3,FALSE),0)</f>
        <v>2251</v>
      </c>
      <c r="BK1719" s="6">
        <f>_xlfn.IFNA(VLOOKUP(Grandview_Inventory[[#This Row],[condition]],Lookups!$H$17:$J$24,3,FALSE),0)</f>
        <v>22342</v>
      </c>
      <c r="BL1719" s="6">
        <f>Grandview_Inventory[[#This Row],[Eff_Age]]*Lookups!$B$14</f>
        <v>-12197.496599999999</v>
      </c>
      <c r="BM1719" s="6">
        <f>Grandview_Inventory[[#This Row],[living_area]]*Lookups!$B$15</f>
        <v>68119.891476000004</v>
      </c>
      <c r="BN1719" s="6">
        <f>Grandview_Inventory[[#This Row],[Fin BSMT]]*Lookups!$B$16</f>
        <v>0</v>
      </c>
      <c r="BO1719" s="6">
        <f>(Grandview_Inventory[[#This Row],[att_gar]]+Grandview_Inventory[[#This Row],[bltin_gar]])*Lookups!$B$17</f>
        <v>0</v>
      </c>
      <c r="BP1719" s="6">
        <f>Grandview_Inventory[[#This Row],[Plumbing Fixtures]]*Lookups!$B$18</f>
        <v>10052.209000000001</v>
      </c>
      <c r="BQ1719" s="6">
        <f>Grandview_Inventory[[#This Row],[detatched_value]]*Lookups!$B$19</f>
        <v>0</v>
      </c>
      <c r="BR1719" s="6">
        <f>SUM(Grandview_Inventory[[#This Row],[Intercept]:[det_value]])*Grandview_Inventory[[#This Row],[res_pct]]</f>
        <v>246401.55387600002</v>
      </c>
      <c r="BS1719" s="6">
        <f>Grandview_Inventory[[#This Row],[land_value]]</f>
        <v>59154.836370809549</v>
      </c>
      <c r="BT1719" s="4">
        <f>_xlfn.IFNA(VLOOKUP(Grandview_Inventory[[#This Row],[quality]],Lookups!$A$26:$C$33,3,FALSE),1)</f>
        <v>0.98763855981004833</v>
      </c>
      <c r="BU1719" s="4">
        <f>_xlfn.IFNA(VLOOKUP(Grandview_Inventory[[#This Row],[condition]],Lookups!$A$37:$C$44,3,FALSE),1)</f>
        <v>0.97383723671140243</v>
      </c>
      <c r="BV1719" s="4">
        <f>IF(Grandview_Inventory[[#This Row],[bldg_style]]="",1,_xlfn.IFNA(VLOOKUP(Grandview_Inventory[[#This Row],[decade]],Lookups!$F$29:$H$43,3,FALSE),1))</f>
        <v>0.94161750052457416</v>
      </c>
      <c r="BW1719" s="4">
        <f>_xlfn.IFNA(VLOOKUP(Grandview_Inventory[[#This Row],[living_area_range]],Lookups!$F$47:$H$56,3,FALSE),1)</f>
        <v>0.96135087979789358</v>
      </c>
      <c r="BX1719" s="4">
        <f>AVERAGE(Grandview_Inventory[[#This Row],[qual_adj]:[size_adj]])</f>
        <v>0.9661110442109796</v>
      </c>
      <c r="BY1719" s="6">
        <f>IF(Grandview_Inventory[[#This Row],[pre_res]]&lt;0,0,Grandview_Inventory[[#This Row],[pre_res]]*Grandview_Inventory[[#This Row],[overall_adj]])</f>
        <v>238051.26251035032</v>
      </c>
      <c r="BZ1719" s="6">
        <f>(Grandview_Inventory[[#This Row],[sum_land]]-IF(Grandview_Inventory[[#This Row],[no_utilities]]=1,12000,0))/IF(Grandview_Inventory[[#This Row],[unbuildable]]=1,2,1)</f>
        <v>59154.836370809549</v>
      </c>
      <c r="CA1719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1719">
        <f>ROUND(Grandview_Inventory[[#This Row],[det_value]]*Lookups!$M$28,-2)</f>
        <v>0</v>
      </c>
      <c r="CC1719">
        <f>IF(ROUND(Grandview_Inventory[[#This Row],[adj_res]]*Lookups!$M$28,-2)&lt;Grandview_Inventory[[#This Row],[min_res]],Grandview_Inventory[[#This Row],[min_res]],ROUND(Grandview_Inventory[[#This Row],[adj_res]]*Lookups!$M$28,-2))</f>
        <v>226100</v>
      </c>
      <c r="CD1719">
        <f>Grandview_Inventory[[#This Row],[final_det]]+Grandview_Inventory[[#This Row],[final_res]]</f>
        <v>226100</v>
      </c>
      <c r="CE1719">
        <f>Grandview_Inventory[[#This Row],[final_land]]+Grandview_Inventory[[#This Row],[final_imp]]+Grandview_Inventory[[#This Row],[crop_value]]</f>
        <v>282300</v>
      </c>
      <c r="CG1719" t="str">
        <f t="shared" si="26"/>
        <v>update valuation set market_land =56200, market_bldg=226100, market_total =282300, market_mdno =401, market_date ='9/10/2023' where link_id = (select link_id from parcel where parcel_year = '2024' and parcel_id = '23092332466');</v>
      </c>
    </row>
    <row r="1720" spans="1:85" x14ac:dyDescent="0.25">
      <c r="A1720">
        <v>23092332467</v>
      </c>
      <c r="B1720">
        <v>0.34</v>
      </c>
      <c r="C1720">
        <v>14850</v>
      </c>
      <c r="D1720" t="s">
        <v>129</v>
      </c>
      <c r="E1720" t="s">
        <v>53</v>
      </c>
      <c r="F1720" t="s">
        <v>53</v>
      </c>
      <c r="G1720">
        <v>4</v>
      </c>
      <c r="H1720" t="s">
        <v>54</v>
      </c>
      <c r="I1720">
        <v>158200</v>
      </c>
      <c r="J1720">
        <v>41200</v>
      </c>
      <c r="K1720">
        <v>0.34</v>
      </c>
      <c r="L1720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720">
        <v>0</v>
      </c>
      <c r="N1720">
        <v>0</v>
      </c>
      <c r="O1720">
        <v>0</v>
      </c>
      <c r="P1720">
        <v>13398.7528</v>
      </c>
      <c r="Q1720">
        <v>63903</v>
      </c>
      <c r="R1720">
        <f>(Grandview_Inventory[[#This Row],[ln_acres]]*Grandview_Inventory[[#This Row],[coeff]])+Grandview_Inventory[[#This Row],[const]]</f>
        <v>49448.296029025805</v>
      </c>
      <c r="S1720" t="s">
        <v>68</v>
      </c>
      <c r="T1720">
        <v>1</v>
      </c>
      <c r="U1720" t="s">
        <v>70</v>
      </c>
      <c r="V1720" t="s">
        <v>69</v>
      </c>
      <c r="W1720">
        <v>0</v>
      </c>
      <c r="X1720">
        <v>0</v>
      </c>
      <c r="Y1720">
        <v>51</v>
      </c>
      <c r="Z1720">
        <v>77</v>
      </c>
      <c r="AA1720">
        <v>80</v>
      </c>
      <c r="AB1720">
        <v>1500</v>
      </c>
      <c r="AC1720">
        <v>1170</v>
      </c>
      <c r="AD1720">
        <v>1170</v>
      </c>
      <c r="AE1720">
        <v>0</v>
      </c>
      <c r="AF1720">
        <v>0</v>
      </c>
      <c r="AG1720">
        <v>0</v>
      </c>
      <c r="AH1720">
        <v>728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18</v>
      </c>
      <c r="AO1720">
        <v>0</v>
      </c>
      <c r="AP1720">
        <v>5</v>
      </c>
      <c r="AQ1720">
        <v>0</v>
      </c>
      <c r="AR1720">
        <v>1</v>
      </c>
      <c r="AS1720" t="s">
        <v>58</v>
      </c>
      <c r="AT1720">
        <v>0</v>
      </c>
      <c r="AU1720" t="s">
        <v>134</v>
      </c>
      <c r="AV1720" t="s">
        <v>138</v>
      </c>
      <c r="AW1720">
        <v>0</v>
      </c>
      <c r="AX1720">
        <v>2</v>
      </c>
      <c r="AY1720">
        <v>0</v>
      </c>
      <c r="AZ1720">
        <v>9400</v>
      </c>
      <c r="BA1720">
        <v>100</v>
      </c>
      <c r="BB1720">
        <v>100</v>
      </c>
      <c r="BC1720">
        <v>100</v>
      </c>
      <c r="BD1720">
        <v>100</v>
      </c>
      <c r="BE1720">
        <v>1</v>
      </c>
      <c r="BF1720">
        <v>15000</v>
      </c>
      <c r="BG1720">
        <v>1000</v>
      </c>
      <c r="BH1720" s="6">
        <f>Grandview_Inventory[[#This Row],[land_extract]]*Lookups!$B$3</f>
        <v>57424.172668108389</v>
      </c>
      <c r="BI1720" s="6">
        <f>IF(Grandview_Inventory[[#This Row],[bldg_style]]="",0,Lookups!$B$2)</f>
        <v>155833.95000000001</v>
      </c>
      <c r="BJ1720" s="6">
        <f>_xlfn.IFNA(VLOOKUP(Grandview_Inventory[[#This Row],[quality]],Lookups!$H$2:$J$14,3,FALSE),0)</f>
        <v>10733</v>
      </c>
      <c r="BK1720" s="6">
        <f>_xlfn.IFNA(VLOOKUP(Grandview_Inventory[[#This Row],[condition]],Lookups!$H$17:$J$24,3,FALSE),0)</f>
        <v>-4503</v>
      </c>
      <c r="BL1720" s="6">
        <f>Grandview_Inventory[[#This Row],[Eff_Age]]*Lookups!$B$14</f>
        <v>-12197.496599999999</v>
      </c>
      <c r="BM1720" s="6">
        <f>Grandview_Inventory[[#This Row],[living_area]]*Lookups!$B$15</f>
        <v>72985.598010000002</v>
      </c>
      <c r="BN1720" s="6">
        <f>Grandview_Inventory[[#This Row],[Fin BSMT]]*Lookups!$B$16</f>
        <v>0</v>
      </c>
      <c r="BO1720" s="6">
        <f>(Grandview_Inventory[[#This Row],[att_gar]]+Grandview_Inventory[[#This Row],[bltin_gar]])*Lookups!$B$17</f>
        <v>0</v>
      </c>
      <c r="BP1720" s="6">
        <f>Grandview_Inventory[[#This Row],[Plumbing Fixtures]]*Lookups!$B$18</f>
        <v>10052.209000000001</v>
      </c>
      <c r="BQ1720" s="6">
        <f>Grandview_Inventory[[#This Row],[detatched_value]]*Lookups!$B$19</f>
        <v>7959.9679399999995</v>
      </c>
      <c r="BR1720" s="6">
        <f>SUM(Grandview_Inventory[[#This Row],[Intercept]:[det_value]])*Grandview_Inventory[[#This Row],[res_pct]]</f>
        <v>240864.22835000002</v>
      </c>
      <c r="BS1720" s="6">
        <f>Grandview_Inventory[[#This Row],[land_value]]</f>
        <v>57424.172668108389</v>
      </c>
      <c r="BT1720" s="4">
        <f>_xlfn.IFNA(VLOOKUP(Grandview_Inventory[[#This Row],[quality]],Lookups!$A$26:$C$33,3,FALSE),1)</f>
        <v>0.98079741117310582</v>
      </c>
      <c r="BU1720" s="4">
        <f>_xlfn.IFNA(VLOOKUP(Grandview_Inventory[[#This Row],[condition]],Lookups!$A$37:$C$44,3,FALSE),1)</f>
        <v>0.96469275950863709</v>
      </c>
      <c r="BV1720" s="4">
        <f>IF(Grandview_Inventory[[#This Row],[bldg_style]]="",1,_xlfn.IFNA(VLOOKUP(Grandview_Inventory[[#This Row],[decade]],Lookups!$F$29:$H$43,3,FALSE),1))</f>
        <v>0.98763256963907298</v>
      </c>
      <c r="BW1720" s="4">
        <f>_xlfn.IFNA(VLOOKUP(Grandview_Inventory[[#This Row],[living_area_range]],Lookups!$F$47:$H$56,3,FALSE),1)</f>
        <v>0.96135087979789358</v>
      </c>
      <c r="BX1720" s="4">
        <f>AVERAGE(Grandview_Inventory[[#This Row],[qual_adj]:[size_adj]])</f>
        <v>0.97361840502967734</v>
      </c>
      <c r="BY1720" s="6">
        <f>IF(Grandview_Inventory[[#This Row],[pre_res]]&lt;0,0,Grandview_Inventory[[#This Row],[pre_res]]*Grandview_Inventory[[#This Row],[overall_adj]])</f>
        <v>234509.84583483101</v>
      </c>
      <c r="BZ1720" s="6">
        <f>(Grandview_Inventory[[#This Row],[sum_land]]-IF(Grandview_Inventory[[#This Row],[no_utilities]]=1,12000,0))/IF(Grandview_Inventory[[#This Row],[unbuildable]]=1,2,1)</f>
        <v>57424.172668108389</v>
      </c>
      <c r="CA1720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720">
        <f>ROUND(Grandview_Inventory[[#This Row],[det_value]]*Lookups!$M$28,-2)</f>
        <v>7600</v>
      </c>
      <c r="CC1720">
        <f>IF(ROUND(Grandview_Inventory[[#This Row],[adj_res]]*Lookups!$M$28,-2)&lt;Grandview_Inventory[[#This Row],[min_res]],Grandview_Inventory[[#This Row],[min_res]],ROUND(Grandview_Inventory[[#This Row],[adj_res]]*Lookups!$M$28,-2))</f>
        <v>222800</v>
      </c>
      <c r="CD1720">
        <f>Grandview_Inventory[[#This Row],[final_det]]+Grandview_Inventory[[#This Row],[final_res]]</f>
        <v>230400</v>
      </c>
      <c r="CE1720">
        <f>Grandview_Inventory[[#This Row],[final_land]]+Grandview_Inventory[[#This Row],[final_imp]]+Grandview_Inventory[[#This Row],[crop_value]]</f>
        <v>285000</v>
      </c>
      <c r="CG1720" t="str">
        <f t="shared" si="26"/>
        <v>update valuation set market_land =54600, market_bldg=230400, market_total =285000, market_mdno =401, market_date ='9/10/2023' where link_id = (select link_id from parcel where parcel_year = '2024' and parcel_id = '23092332467');</v>
      </c>
    </row>
    <row r="1721" spans="1:85" x14ac:dyDescent="0.25">
      <c r="A1721">
        <v>23092332468</v>
      </c>
      <c r="B1721">
        <v>0.33</v>
      </c>
      <c r="C1721">
        <v>14239</v>
      </c>
      <c r="D1721" t="s">
        <v>129</v>
      </c>
      <c r="E1721" t="s">
        <v>53</v>
      </c>
      <c r="F1721" t="s">
        <v>53</v>
      </c>
      <c r="G1721">
        <v>4</v>
      </c>
      <c r="H1721" t="s">
        <v>54</v>
      </c>
      <c r="I1721">
        <v>153400</v>
      </c>
      <c r="J1721">
        <v>41200</v>
      </c>
      <c r="K1721">
        <v>0.33</v>
      </c>
      <c r="L1721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721">
        <v>0</v>
      </c>
      <c r="N1721">
        <v>0</v>
      </c>
      <c r="O1721">
        <v>0</v>
      </c>
      <c r="P1721">
        <v>13398.7528</v>
      </c>
      <c r="Q1721">
        <v>63903</v>
      </c>
      <c r="R1721">
        <f>(Grandview_Inventory[[#This Row],[ln_acres]]*Grandview_Inventory[[#This Row],[coeff]])+Grandview_Inventory[[#This Row],[const]]</f>
        <v>49048.303555435712</v>
      </c>
      <c r="S1721" t="s">
        <v>68</v>
      </c>
      <c r="T1721">
        <v>1</v>
      </c>
      <c r="U1721" t="s">
        <v>65</v>
      </c>
      <c r="V1721" t="s">
        <v>67</v>
      </c>
      <c r="W1721">
        <v>0</v>
      </c>
      <c r="X1721">
        <v>0</v>
      </c>
      <c r="Y1721">
        <v>51</v>
      </c>
      <c r="Z1721">
        <v>83</v>
      </c>
      <c r="AA1721">
        <v>90</v>
      </c>
      <c r="AB1721">
        <v>1000</v>
      </c>
      <c r="AC1721">
        <v>984</v>
      </c>
      <c r="AD1721">
        <v>984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176</v>
      </c>
      <c r="AN1721">
        <v>78</v>
      </c>
      <c r="AO1721">
        <v>176</v>
      </c>
      <c r="AP1721">
        <v>5</v>
      </c>
      <c r="AQ1721">
        <v>0</v>
      </c>
      <c r="AR1721">
        <v>0</v>
      </c>
      <c r="AS1721" t="s">
        <v>58</v>
      </c>
      <c r="AT1721">
        <v>1</v>
      </c>
      <c r="AU1721" t="s">
        <v>59</v>
      </c>
      <c r="AV1721" t="s">
        <v>60</v>
      </c>
      <c r="AW1721">
        <v>1</v>
      </c>
      <c r="AX1721">
        <v>2</v>
      </c>
      <c r="AY1721">
        <v>0</v>
      </c>
      <c r="AZ1721">
        <v>0</v>
      </c>
      <c r="BA1721">
        <v>100</v>
      </c>
      <c r="BB1721">
        <v>100</v>
      </c>
      <c r="BC1721">
        <v>100</v>
      </c>
      <c r="BD1721">
        <v>100</v>
      </c>
      <c r="BE1721">
        <v>1</v>
      </c>
      <c r="BF1721">
        <v>15000</v>
      </c>
      <c r="BG1721">
        <v>1000</v>
      </c>
      <c r="BH1721" s="6">
        <f>Grandview_Inventory[[#This Row],[land_extract]]*Lookups!$B$3</f>
        <v>56959.662488507893</v>
      </c>
      <c r="BI1721" s="6">
        <f>IF(Grandview_Inventory[[#This Row],[bldg_style]]="",0,Lookups!$B$2)</f>
        <v>155833.95000000001</v>
      </c>
      <c r="BJ1721" s="6">
        <f>_xlfn.IFNA(VLOOKUP(Grandview_Inventory[[#This Row],[quality]],Lookups!$H$2:$J$14,3,FALSE),0)</f>
        <v>2251</v>
      </c>
      <c r="BK1721" s="6">
        <f>_xlfn.IFNA(VLOOKUP(Grandview_Inventory[[#This Row],[condition]],Lookups!$H$17:$J$24,3,FALSE),0)</f>
        <v>22342</v>
      </c>
      <c r="BL1721" s="6">
        <f>Grandview_Inventory[[#This Row],[Eff_Age]]*Lookups!$B$14</f>
        <v>-12197.496599999999</v>
      </c>
      <c r="BM1721" s="6">
        <f>Grandview_Inventory[[#This Row],[living_area]]*Lookups!$B$15</f>
        <v>61382.759352000001</v>
      </c>
      <c r="BN1721" s="6">
        <f>Grandview_Inventory[[#This Row],[Fin BSMT]]*Lookups!$B$16</f>
        <v>0</v>
      </c>
      <c r="BO1721" s="6">
        <f>(Grandview_Inventory[[#This Row],[att_gar]]+Grandview_Inventory[[#This Row],[bltin_gar]])*Lookups!$B$17</f>
        <v>0</v>
      </c>
      <c r="BP1721" s="6">
        <f>Grandview_Inventory[[#This Row],[Plumbing Fixtures]]*Lookups!$B$18</f>
        <v>10052.209000000001</v>
      </c>
      <c r="BQ1721" s="6">
        <f>Grandview_Inventory[[#This Row],[detatched_value]]*Lookups!$B$19</f>
        <v>0</v>
      </c>
      <c r="BR1721" s="6">
        <f>SUM(Grandview_Inventory[[#This Row],[Intercept]:[det_value]])*Grandview_Inventory[[#This Row],[res_pct]]</f>
        <v>239664.42175199999</v>
      </c>
      <c r="BS1721" s="6">
        <f>Grandview_Inventory[[#This Row],[land_value]]</f>
        <v>56959.662488507893</v>
      </c>
      <c r="BT1721" s="4">
        <f>_xlfn.IFNA(VLOOKUP(Grandview_Inventory[[#This Row],[quality]],Lookups!$A$26:$C$33,3,FALSE),1)</f>
        <v>0.98763855981004833</v>
      </c>
      <c r="BU1721" s="4">
        <f>_xlfn.IFNA(VLOOKUP(Grandview_Inventory[[#This Row],[condition]],Lookups!$A$37:$C$44,3,FALSE),1)</f>
        <v>0.97383723671140243</v>
      </c>
      <c r="BV1721" s="4">
        <f>IF(Grandview_Inventory[[#This Row],[bldg_style]]="",1,_xlfn.IFNA(VLOOKUP(Grandview_Inventory[[#This Row],[decade]],Lookups!$F$29:$H$43,3,FALSE),1))</f>
        <v>0.94161750052457416</v>
      </c>
      <c r="BW1721" s="4">
        <f>_xlfn.IFNA(VLOOKUP(Grandview_Inventory[[#This Row],[living_area_range]],Lookups!$F$47:$H$56,3,FALSE),1)</f>
        <v>0.94306777142782894</v>
      </c>
      <c r="BX1721" s="4">
        <f>AVERAGE(Grandview_Inventory[[#This Row],[qual_adj]:[size_adj]])</f>
        <v>0.96154026711846341</v>
      </c>
      <c r="BY1721" s="6">
        <f>IF(Grandview_Inventory[[#This Row],[pre_res]]&lt;0,0,Grandview_Inventory[[#This Row],[pre_res]]*Grandview_Inventory[[#This Row],[overall_adj]])</f>
        <v>230446.99211021015</v>
      </c>
      <c r="BZ1721" s="6">
        <f>(Grandview_Inventory[[#This Row],[sum_land]]-IF(Grandview_Inventory[[#This Row],[no_utilities]]=1,12000,0))/IF(Grandview_Inventory[[#This Row],[unbuildable]]=1,2,1)</f>
        <v>56959.662488507893</v>
      </c>
      <c r="CA1721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721">
        <f>ROUND(Grandview_Inventory[[#This Row],[det_value]]*Lookups!$M$28,-2)</f>
        <v>0</v>
      </c>
      <c r="CC1721">
        <f>IF(ROUND(Grandview_Inventory[[#This Row],[adj_res]]*Lookups!$M$28,-2)&lt;Grandview_Inventory[[#This Row],[min_res]],Grandview_Inventory[[#This Row],[min_res]],ROUND(Grandview_Inventory[[#This Row],[adj_res]]*Lookups!$M$28,-2))</f>
        <v>218900</v>
      </c>
      <c r="CD1721">
        <f>Grandview_Inventory[[#This Row],[final_det]]+Grandview_Inventory[[#This Row],[final_res]]</f>
        <v>218900</v>
      </c>
      <c r="CE1721">
        <f>Grandview_Inventory[[#This Row],[final_land]]+Grandview_Inventory[[#This Row],[final_imp]]+Grandview_Inventory[[#This Row],[crop_value]]</f>
        <v>273000</v>
      </c>
      <c r="CG1721" t="str">
        <f t="shared" si="26"/>
        <v>update valuation set market_land =54100, market_bldg=218900, market_total =273000, market_mdno =401, market_date ='9/10/2023' where link_id = (select link_id from parcel where parcel_year = '2024' and parcel_id = '23092332468');</v>
      </c>
    </row>
    <row r="1722" spans="1:85" x14ac:dyDescent="0.25">
      <c r="A1722">
        <v>23092332469</v>
      </c>
      <c r="B1722">
        <v>0.38</v>
      </c>
      <c r="C1722">
        <v>16662</v>
      </c>
      <c r="D1722" t="s">
        <v>129</v>
      </c>
      <c r="E1722" t="s">
        <v>53</v>
      </c>
      <c r="F1722" t="s">
        <v>53</v>
      </c>
      <c r="G1722">
        <v>4</v>
      </c>
      <c r="H1722" t="s">
        <v>54</v>
      </c>
      <c r="I1722">
        <v>201900</v>
      </c>
      <c r="J1722">
        <v>41100</v>
      </c>
      <c r="K1722">
        <v>0.38</v>
      </c>
      <c r="L1722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1722">
        <v>0</v>
      </c>
      <c r="N1722">
        <v>0</v>
      </c>
      <c r="O1722">
        <v>0</v>
      </c>
      <c r="P1722">
        <v>13398.7528</v>
      </c>
      <c r="Q1722">
        <v>63903</v>
      </c>
      <c r="R1722">
        <f>(Grandview_Inventory[[#This Row],[ln_acres]]*Grandview_Inventory[[#This Row],[coeff]])+Grandview_Inventory[[#This Row],[const]]</f>
        <v>50938.580818890696</v>
      </c>
      <c r="S1722" t="s">
        <v>61</v>
      </c>
      <c r="T1722">
        <v>1</v>
      </c>
      <c r="U1722" t="s">
        <v>65</v>
      </c>
      <c r="V1722" t="s">
        <v>69</v>
      </c>
      <c r="W1722">
        <v>0</v>
      </c>
      <c r="X1722">
        <v>0</v>
      </c>
      <c r="Y1722">
        <v>50</v>
      </c>
      <c r="Z1722">
        <v>73</v>
      </c>
      <c r="AA1722">
        <v>80</v>
      </c>
      <c r="AB1722">
        <v>1500</v>
      </c>
      <c r="AC1722">
        <v>1120</v>
      </c>
      <c r="AD1722">
        <v>1120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572</v>
      </c>
      <c r="AN1722">
        <v>25</v>
      </c>
      <c r="AO1722">
        <v>0</v>
      </c>
      <c r="AP1722">
        <v>5</v>
      </c>
      <c r="AQ1722">
        <v>1</v>
      </c>
      <c r="AR1722">
        <v>0</v>
      </c>
      <c r="AS1722" t="s">
        <v>58</v>
      </c>
      <c r="AT1722">
        <v>1</v>
      </c>
      <c r="AU1722" t="s">
        <v>63</v>
      </c>
      <c r="AV1722" t="s">
        <v>60</v>
      </c>
      <c r="AW1722">
        <v>1</v>
      </c>
      <c r="AX1722">
        <v>3</v>
      </c>
      <c r="AY1722">
        <v>0</v>
      </c>
      <c r="AZ1722">
        <v>11200</v>
      </c>
      <c r="BA1722">
        <v>100</v>
      </c>
      <c r="BB1722">
        <v>100</v>
      </c>
      <c r="BC1722">
        <v>100</v>
      </c>
      <c r="BD1722">
        <v>100</v>
      </c>
      <c r="BE1722">
        <v>1</v>
      </c>
      <c r="BF1722">
        <v>15000</v>
      </c>
      <c r="BG1722">
        <v>1000</v>
      </c>
      <c r="BH1722" s="6">
        <f>Grandview_Inventory[[#This Row],[land_extract]]*Lookups!$B$3</f>
        <v>59154.836370809549</v>
      </c>
      <c r="BI1722" s="6">
        <f>IF(Grandview_Inventory[[#This Row],[bldg_style]]="",0,Lookups!$B$2)</f>
        <v>155833.95000000001</v>
      </c>
      <c r="BJ1722" s="6">
        <f>_xlfn.IFNA(VLOOKUP(Grandview_Inventory[[#This Row],[quality]],Lookups!$H$2:$J$14,3,FALSE),0)</f>
        <v>2251</v>
      </c>
      <c r="BK1722" s="6">
        <f>_xlfn.IFNA(VLOOKUP(Grandview_Inventory[[#This Row],[condition]],Lookups!$H$17:$J$24,3,FALSE),0)</f>
        <v>-4503</v>
      </c>
      <c r="BL1722" s="6">
        <f>Grandview_Inventory[[#This Row],[Eff_Age]]*Lookups!$B$14</f>
        <v>-11958.33</v>
      </c>
      <c r="BM1722" s="6">
        <f>Grandview_Inventory[[#This Row],[living_area]]*Lookups!$B$15</f>
        <v>69866.555359999998</v>
      </c>
      <c r="BN1722" s="6">
        <f>Grandview_Inventory[[#This Row],[Fin BSMT]]*Lookups!$B$16</f>
        <v>0</v>
      </c>
      <c r="BO1722" s="6">
        <f>(Grandview_Inventory[[#This Row],[att_gar]]+Grandview_Inventory[[#This Row],[bltin_gar]])*Lookups!$B$17</f>
        <v>0</v>
      </c>
      <c r="BP1722" s="6">
        <f>Grandview_Inventory[[#This Row],[Plumbing Fixtures]]*Lookups!$B$18</f>
        <v>10052.209000000001</v>
      </c>
      <c r="BQ1722" s="6">
        <f>Grandview_Inventory[[#This Row],[detatched_value]]*Lookups!$B$19</f>
        <v>9484.2171199999993</v>
      </c>
      <c r="BR1722" s="6">
        <f>SUM(Grandview_Inventory[[#This Row],[Intercept]:[det_value]])*Grandview_Inventory[[#This Row],[res_pct]]</f>
        <v>231026.60148000001</v>
      </c>
      <c r="BS1722" s="6">
        <f>Grandview_Inventory[[#This Row],[land_value]]</f>
        <v>59154.836370809549</v>
      </c>
      <c r="BT1722" s="4">
        <f>_xlfn.IFNA(VLOOKUP(Grandview_Inventory[[#This Row],[quality]],Lookups!$A$26:$C$33,3,FALSE),1)</f>
        <v>0.98763855981004833</v>
      </c>
      <c r="BU1722" s="4">
        <f>_xlfn.IFNA(VLOOKUP(Grandview_Inventory[[#This Row],[condition]],Lookups!$A$37:$C$44,3,FALSE),1)</f>
        <v>0.96469275950863709</v>
      </c>
      <c r="BV1722" s="4">
        <f>IF(Grandview_Inventory[[#This Row],[bldg_style]]="",1,_xlfn.IFNA(VLOOKUP(Grandview_Inventory[[#This Row],[decade]],Lookups!$F$29:$H$43,3,FALSE),1))</f>
        <v>0.98763256963907298</v>
      </c>
      <c r="BW1722" s="4">
        <f>_xlfn.IFNA(VLOOKUP(Grandview_Inventory[[#This Row],[living_area_range]],Lookups!$F$47:$H$56,3,FALSE),1)</f>
        <v>0.96135087979789358</v>
      </c>
      <c r="BX1722" s="4">
        <f>AVERAGE(Grandview_Inventory[[#This Row],[qual_adj]:[size_adj]])</f>
        <v>0.97532869218891294</v>
      </c>
      <c r="BY1722" s="6">
        <f>IF(Grandview_Inventory[[#This Row],[pre_res]]&lt;0,0,Grandview_Inventory[[#This Row],[pre_res]]*Grandview_Inventory[[#This Row],[overall_adj]])</f>
        <v>225326.87308233758</v>
      </c>
      <c r="BZ1722" s="6">
        <f>(Grandview_Inventory[[#This Row],[sum_land]]-IF(Grandview_Inventory[[#This Row],[no_utilities]]=1,12000,0))/IF(Grandview_Inventory[[#This Row],[unbuildable]]=1,2,1)</f>
        <v>59154.836370809549</v>
      </c>
      <c r="CA1722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1722">
        <f>ROUND(Grandview_Inventory[[#This Row],[det_value]]*Lookups!$M$28,-2)</f>
        <v>9000</v>
      </c>
      <c r="CC1722">
        <f>IF(ROUND(Grandview_Inventory[[#This Row],[adj_res]]*Lookups!$M$28,-2)&lt;Grandview_Inventory[[#This Row],[min_res]],Grandview_Inventory[[#This Row],[min_res]],ROUND(Grandview_Inventory[[#This Row],[adj_res]]*Lookups!$M$28,-2))</f>
        <v>214100</v>
      </c>
      <c r="CD1722">
        <f>Grandview_Inventory[[#This Row],[final_det]]+Grandview_Inventory[[#This Row],[final_res]]</f>
        <v>223100</v>
      </c>
      <c r="CE1722">
        <f>Grandview_Inventory[[#This Row],[final_land]]+Grandview_Inventory[[#This Row],[final_imp]]+Grandview_Inventory[[#This Row],[crop_value]]</f>
        <v>279300</v>
      </c>
      <c r="CG1722" t="str">
        <f t="shared" si="26"/>
        <v>update valuation set market_land =56200, market_bldg=223100, market_total =279300, market_mdno =401, market_date ='9/10/2023' where link_id = (select link_id from parcel where parcel_year = '2024' and parcel_id = '23092332469');</v>
      </c>
    </row>
    <row r="1723" spans="1:85" x14ac:dyDescent="0.25">
      <c r="A1723">
        <v>23092332470</v>
      </c>
      <c r="B1723">
        <v>0.38</v>
      </c>
      <c r="C1723">
        <v>16407</v>
      </c>
      <c r="D1723" t="s">
        <v>129</v>
      </c>
      <c r="E1723" t="s">
        <v>53</v>
      </c>
      <c r="F1723" t="s">
        <v>53</v>
      </c>
      <c r="G1723">
        <v>4</v>
      </c>
      <c r="H1723" t="s">
        <v>54</v>
      </c>
      <c r="I1723">
        <v>259800</v>
      </c>
      <c r="J1723">
        <v>40900</v>
      </c>
      <c r="K1723">
        <v>0.38</v>
      </c>
      <c r="L1723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1723">
        <v>0</v>
      </c>
      <c r="N1723">
        <v>0</v>
      </c>
      <c r="O1723">
        <v>0</v>
      </c>
      <c r="P1723">
        <v>13398.7528</v>
      </c>
      <c r="Q1723">
        <v>63903</v>
      </c>
      <c r="R1723">
        <f>(Grandview_Inventory[[#This Row],[ln_acres]]*Grandview_Inventory[[#This Row],[coeff]])+Grandview_Inventory[[#This Row],[const]]</f>
        <v>50938.580818890696</v>
      </c>
      <c r="S1723" t="s">
        <v>55</v>
      </c>
      <c r="T1723">
        <v>2</v>
      </c>
      <c r="U1723" t="s">
        <v>62</v>
      </c>
      <c r="V1723" t="s">
        <v>67</v>
      </c>
      <c r="W1723">
        <v>0</v>
      </c>
      <c r="X1723">
        <v>0</v>
      </c>
      <c r="Y1723">
        <v>51</v>
      </c>
      <c r="Z1723">
        <v>78</v>
      </c>
      <c r="AA1723">
        <v>80</v>
      </c>
      <c r="AB1723">
        <v>2000</v>
      </c>
      <c r="AC1723">
        <v>1890</v>
      </c>
      <c r="AD1723">
        <v>1378</v>
      </c>
      <c r="AE1723">
        <v>512</v>
      </c>
      <c r="AF1723">
        <v>0</v>
      </c>
      <c r="AG1723">
        <v>0</v>
      </c>
      <c r="AH1723">
        <v>684</v>
      </c>
      <c r="AI1723">
        <v>0</v>
      </c>
      <c r="AJ1723">
        <v>0</v>
      </c>
      <c r="AK1723">
        <v>220</v>
      </c>
      <c r="AL1723">
        <v>0</v>
      </c>
      <c r="AM1723">
        <v>96</v>
      </c>
      <c r="AN1723">
        <v>24</v>
      </c>
      <c r="AO1723">
        <v>96</v>
      </c>
      <c r="AP1723">
        <v>13</v>
      </c>
      <c r="AQ1723">
        <v>0</v>
      </c>
      <c r="AR1723">
        <v>1</v>
      </c>
      <c r="AS1723" t="s">
        <v>58</v>
      </c>
      <c r="AT1723">
        <v>1</v>
      </c>
      <c r="AU1723" t="s">
        <v>63</v>
      </c>
      <c r="AV1723" t="s">
        <v>64</v>
      </c>
      <c r="AW1723">
        <v>1</v>
      </c>
      <c r="AX1723">
        <v>3</v>
      </c>
      <c r="AY1723">
        <v>0</v>
      </c>
      <c r="AZ1723">
        <v>12100</v>
      </c>
      <c r="BA1723">
        <v>100</v>
      </c>
      <c r="BB1723">
        <v>100</v>
      </c>
      <c r="BC1723">
        <v>100</v>
      </c>
      <c r="BD1723">
        <v>100</v>
      </c>
      <c r="BE1723">
        <v>1</v>
      </c>
      <c r="BF1723">
        <v>15000</v>
      </c>
      <c r="BG1723">
        <v>1000</v>
      </c>
      <c r="BH1723" s="6">
        <f>Grandview_Inventory[[#This Row],[land_extract]]*Lookups!$B$3</f>
        <v>59154.836370809549</v>
      </c>
      <c r="BI1723" s="6">
        <f>IF(Grandview_Inventory[[#This Row],[bldg_style]]="",0,Lookups!$B$2)</f>
        <v>155833.95000000001</v>
      </c>
      <c r="BJ1723" s="6">
        <f>_xlfn.IFNA(VLOOKUP(Grandview_Inventory[[#This Row],[quality]],Lookups!$H$2:$J$14,3,FALSE),0)</f>
        <v>9808</v>
      </c>
      <c r="BK1723" s="6">
        <f>_xlfn.IFNA(VLOOKUP(Grandview_Inventory[[#This Row],[condition]],Lookups!$H$17:$J$24,3,FALSE),0)</f>
        <v>22342</v>
      </c>
      <c r="BL1723" s="6">
        <f>Grandview_Inventory[[#This Row],[Eff_Age]]*Lookups!$B$14</f>
        <v>-12197.496599999999</v>
      </c>
      <c r="BM1723" s="6">
        <f>Grandview_Inventory[[#This Row],[living_area]]*Lookups!$B$15</f>
        <v>117899.81217</v>
      </c>
      <c r="BN1723" s="6">
        <f>Grandview_Inventory[[#This Row],[Fin BSMT]]*Lookups!$B$16</f>
        <v>0</v>
      </c>
      <c r="BO1723" s="6">
        <f>(Grandview_Inventory[[#This Row],[att_gar]]+Grandview_Inventory[[#This Row],[bltin_gar]])*Lookups!$B$17</f>
        <v>0</v>
      </c>
      <c r="BP1723" s="6">
        <f>Grandview_Inventory[[#This Row],[Plumbing Fixtures]]*Lookups!$B$18</f>
        <v>26135.743399999999</v>
      </c>
      <c r="BQ1723" s="6">
        <f>Grandview_Inventory[[#This Row],[detatched_value]]*Lookups!$B$19</f>
        <v>10246.341710000001</v>
      </c>
      <c r="BR1723" s="6">
        <f>SUM(Grandview_Inventory[[#This Row],[Intercept]:[det_value]])*Grandview_Inventory[[#This Row],[res_pct]]</f>
        <v>330068.35067999997</v>
      </c>
      <c r="BS1723" s="6">
        <f>Grandview_Inventory[[#This Row],[land_value]]</f>
        <v>59154.836370809549</v>
      </c>
      <c r="BT1723" s="4">
        <f>_xlfn.IFNA(VLOOKUP(Grandview_Inventory[[#This Row],[quality]],Lookups!$A$26:$C$33,3,FALSE),1)</f>
        <v>0.94295468617355149</v>
      </c>
      <c r="BU1723" s="4">
        <f>_xlfn.IFNA(VLOOKUP(Grandview_Inventory[[#This Row],[condition]],Lookups!$A$37:$C$44,3,FALSE),1)</f>
        <v>0.97383723671140243</v>
      </c>
      <c r="BV1723" s="4">
        <f>IF(Grandview_Inventory[[#This Row],[bldg_style]]="",1,_xlfn.IFNA(VLOOKUP(Grandview_Inventory[[#This Row],[decade]],Lookups!$F$29:$H$43,3,FALSE),1))</f>
        <v>0.98763256963907298</v>
      </c>
      <c r="BW1723" s="4">
        <f>_xlfn.IFNA(VLOOKUP(Grandview_Inventory[[#This Row],[living_area_range]],Lookups!$F$47:$H$56,3,FALSE),1)</f>
        <v>0.96120133463014379</v>
      </c>
      <c r="BX1723" s="4">
        <f>AVERAGE(Grandview_Inventory[[#This Row],[qual_adj]:[size_adj]])</f>
        <v>0.96640645678854264</v>
      </c>
      <c r="BY1723" s="6">
        <f>IF(Grandview_Inventory[[#This Row],[pre_res]]&lt;0,0,Grandview_Inventory[[#This Row],[pre_res]]*Grandview_Inventory[[#This Row],[overall_adj]])</f>
        <v>318980.18527869694</v>
      </c>
      <c r="BZ1723" s="6">
        <f>(Grandview_Inventory[[#This Row],[sum_land]]-IF(Grandview_Inventory[[#This Row],[no_utilities]]=1,12000,0))/IF(Grandview_Inventory[[#This Row],[unbuildable]]=1,2,1)</f>
        <v>59154.836370809549</v>
      </c>
      <c r="CA1723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1723">
        <f>ROUND(Grandview_Inventory[[#This Row],[det_value]]*Lookups!$M$28,-2)</f>
        <v>9700</v>
      </c>
      <c r="CC1723">
        <f>IF(ROUND(Grandview_Inventory[[#This Row],[adj_res]]*Lookups!$M$28,-2)&lt;Grandview_Inventory[[#This Row],[min_res]],Grandview_Inventory[[#This Row],[min_res]],ROUND(Grandview_Inventory[[#This Row],[adj_res]]*Lookups!$M$28,-2))</f>
        <v>303000</v>
      </c>
      <c r="CD1723">
        <f>Grandview_Inventory[[#This Row],[final_det]]+Grandview_Inventory[[#This Row],[final_res]]</f>
        <v>312700</v>
      </c>
      <c r="CE1723">
        <f>Grandview_Inventory[[#This Row],[final_land]]+Grandview_Inventory[[#This Row],[final_imp]]+Grandview_Inventory[[#This Row],[crop_value]]</f>
        <v>368900</v>
      </c>
      <c r="CG1723" t="str">
        <f t="shared" si="26"/>
        <v>update valuation set market_land =56200, market_bldg=312700, market_total =368900, market_mdno =401, market_date ='9/10/2023' where link_id = (select link_id from parcel where parcel_year = '2024' and parcel_id = '23092332470');</v>
      </c>
    </row>
    <row r="1724" spans="1:85" x14ac:dyDescent="0.25">
      <c r="A1724">
        <v>23092332471</v>
      </c>
      <c r="B1724">
        <v>0.36</v>
      </c>
      <c r="C1724">
        <v>15573</v>
      </c>
      <c r="D1724" t="s">
        <v>129</v>
      </c>
      <c r="E1724" t="s">
        <v>53</v>
      </c>
      <c r="F1724" t="s">
        <v>53</v>
      </c>
      <c r="G1724">
        <v>4</v>
      </c>
      <c r="H1724" t="s">
        <v>54</v>
      </c>
      <c r="I1724">
        <v>134400</v>
      </c>
      <c r="J1724">
        <v>41100</v>
      </c>
      <c r="K1724">
        <v>0.36</v>
      </c>
      <c r="L1724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724">
        <v>0</v>
      </c>
      <c r="N1724">
        <v>0</v>
      </c>
      <c r="O1724">
        <v>0</v>
      </c>
      <c r="P1724">
        <v>13398.7528</v>
      </c>
      <c r="Q1724">
        <v>63903</v>
      </c>
      <c r="R1724">
        <f>(Grandview_Inventory[[#This Row],[ln_acres]]*Grandview_Inventory[[#This Row],[coeff]])+Grandview_Inventory[[#This Row],[const]]</f>
        <v>50214.147486507369</v>
      </c>
      <c r="S1724" t="s">
        <v>68</v>
      </c>
      <c r="T1724">
        <v>1</v>
      </c>
      <c r="U1724" t="s">
        <v>70</v>
      </c>
      <c r="V1724" t="s">
        <v>69</v>
      </c>
      <c r="W1724">
        <v>0</v>
      </c>
      <c r="X1724">
        <v>0</v>
      </c>
      <c r="Y1724">
        <v>57</v>
      </c>
      <c r="Z1724">
        <v>103</v>
      </c>
      <c r="AA1724">
        <v>110</v>
      </c>
      <c r="AB1724">
        <v>1500</v>
      </c>
      <c r="AC1724">
        <v>1153</v>
      </c>
      <c r="AD1724">
        <v>1153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70</v>
      </c>
      <c r="AO1724">
        <v>0</v>
      </c>
      <c r="AP1724">
        <v>5</v>
      </c>
      <c r="AQ1724">
        <v>0</v>
      </c>
      <c r="AR1724">
        <v>0</v>
      </c>
      <c r="AS1724" t="s">
        <v>58</v>
      </c>
      <c r="AT1724">
        <v>1</v>
      </c>
      <c r="AU1724" t="s">
        <v>63</v>
      </c>
      <c r="AV1724" t="s">
        <v>60</v>
      </c>
      <c r="AW1724">
        <v>0</v>
      </c>
      <c r="AX1724">
        <v>2</v>
      </c>
      <c r="AY1724">
        <v>0</v>
      </c>
      <c r="AZ1724">
        <v>6800</v>
      </c>
      <c r="BA1724">
        <v>100</v>
      </c>
      <c r="BB1724">
        <v>100</v>
      </c>
      <c r="BC1724">
        <v>100</v>
      </c>
      <c r="BD1724">
        <v>100</v>
      </c>
      <c r="BE1724">
        <v>1</v>
      </c>
      <c r="BF1724">
        <v>15000</v>
      </c>
      <c r="BG1724">
        <v>1000</v>
      </c>
      <c r="BH1724" s="6">
        <f>Grandview_Inventory[[#This Row],[land_extract]]*Lookups!$B$3</f>
        <v>58313.55389788279</v>
      </c>
      <c r="BI1724" s="6">
        <f>IF(Grandview_Inventory[[#This Row],[bldg_style]]="",0,Lookups!$B$2)</f>
        <v>155833.95000000001</v>
      </c>
      <c r="BJ1724" s="6">
        <f>_xlfn.IFNA(VLOOKUP(Grandview_Inventory[[#This Row],[quality]],Lookups!$H$2:$J$14,3,FALSE),0)</f>
        <v>10733</v>
      </c>
      <c r="BK1724" s="6">
        <f>_xlfn.IFNA(VLOOKUP(Grandview_Inventory[[#This Row],[condition]],Lookups!$H$17:$J$24,3,FALSE),0)</f>
        <v>-4503</v>
      </c>
      <c r="BL1724" s="6">
        <f>Grandview_Inventory[[#This Row],[Eff_Age]]*Lookups!$B$14</f>
        <v>-13632.4962</v>
      </c>
      <c r="BM1724" s="6">
        <f>Grandview_Inventory[[#This Row],[living_area]]*Lookups!$B$15</f>
        <v>71925.123508999997</v>
      </c>
      <c r="BN1724" s="6">
        <f>Grandview_Inventory[[#This Row],[Fin BSMT]]*Lookups!$B$16</f>
        <v>0</v>
      </c>
      <c r="BO1724" s="6">
        <f>(Grandview_Inventory[[#This Row],[att_gar]]+Grandview_Inventory[[#This Row],[bltin_gar]])*Lookups!$B$17</f>
        <v>0</v>
      </c>
      <c r="BP1724" s="6">
        <f>Grandview_Inventory[[#This Row],[Plumbing Fixtures]]*Lookups!$B$18</f>
        <v>10052.209000000001</v>
      </c>
      <c r="BQ1724" s="6">
        <f>Grandview_Inventory[[#This Row],[detatched_value]]*Lookups!$B$19</f>
        <v>5758.2746799999995</v>
      </c>
      <c r="BR1724" s="6">
        <f>SUM(Grandview_Inventory[[#This Row],[Intercept]:[det_value]])*Grandview_Inventory[[#This Row],[res_pct]]</f>
        <v>236167.06098900002</v>
      </c>
      <c r="BS1724" s="6">
        <f>Grandview_Inventory[[#This Row],[land_value]]</f>
        <v>58313.55389788279</v>
      </c>
      <c r="BT1724" s="4">
        <f>_xlfn.IFNA(VLOOKUP(Grandview_Inventory[[#This Row],[quality]],Lookups!$A$26:$C$33,3,FALSE),1)</f>
        <v>0.98079741117310582</v>
      </c>
      <c r="BU1724" s="4">
        <f>_xlfn.IFNA(VLOOKUP(Grandview_Inventory[[#This Row],[condition]],Lookups!$A$37:$C$44,3,FALSE),1)</f>
        <v>0.96469275950863709</v>
      </c>
      <c r="BV1724" s="4">
        <f>IF(Grandview_Inventory[[#This Row],[bldg_style]]="",1,_xlfn.IFNA(VLOOKUP(Grandview_Inventory[[#This Row],[decade]],Lookups!$F$29:$H$43,3,FALSE),1))</f>
        <v>0.92255236374249616</v>
      </c>
      <c r="BW1724" s="4">
        <f>_xlfn.IFNA(VLOOKUP(Grandview_Inventory[[#This Row],[living_area_range]],Lookups!$F$47:$H$56,3,FALSE),1)</f>
        <v>0.96135087979789358</v>
      </c>
      <c r="BX1724" s="4">
        <f>AVERAGE(Grandview_Inventory[[#This Row],[qual_adj]:[size_adj]])</f>
        <v>0.95734835355553316</v>
      </c>
      <c r="BY1724" s="6">
        <f>IF(Grandview_Inventory[[#This Row],[pre_res]]&lt;0,0,Grandview_Inventory[[#This Row],[pre_res]]*Grandview_Inventory[[#This Row],[overall_adj]])</f>
        <v>226094.14700186835</v>
      </c>
      <c r="BZ1724" s="6">
        <f>(Grandview_Inventory[[#This Row],[sum_land]]-IF(Grandview_Inventory[[#This Row],[no_utilities]]=1,12000,0))/IF(Grandview_Inventory[[#This Row],[unbuildable]]=1,2,1)</f>
        <v>58313.55389788279</v>
      </c>
      <c r="CA1724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724">
        <f>ROUND(Grandview_Inventory[[#This Row],[det_value]]*Lookups!$M$28,-2)</f>
        <v>5500</v>
      </c>
      <c r="CC1724">
        <f>IF(ROUND(Grandview_Inventory[[#This Row],[adj_res]]*Lookups!$M$28,-2)&lt;Grandview_Inventory[[#This Row],[min_res]],Grandview_Inventory[[#This Row],[min_res]],ROUND(Grandview_Inventory[[#This Row],[adj_res]]*Lookups!$M$28,-2))</f>
        <v>214800</v>
      </c>
      <c r="CD1724">
        <f>Grandview_Inventory[[#This Row],[final_det]]+Grandview_Inventory[[#This Row],[final_res]]</f>
        <v>220300</v>
      </c>
      <c r="CE1724">
        <f>Grandview_Inventory[[#This Row],[final_land]]+Grandview_Inventory[[#This Row],[final_imp]]+Grandview_Inventory[[#This Row],[crop_value]]</f>
        <v>275700</v>
      </c>
      <c r="CG1724" t="str">
        <f t="shared" si="26"/>
        <v>update valuation set market_land =55400, market_bldg=220300, market_total =275700, market_mdno =401, market_date ='9/10/2023' where link_id = (select link_id from parcel where parcel_year = '2024' and parcel_id = '23092332471');</v>
      </c>
    </row>
    <row r="1725" spans="1:85" x14ac:dyDescent="0.25">
      <c r="A1725">
        <v>23092332472</v>
      </c>
      <c r="B1725">
        <v>0.37</v>
      </c>
      <c r="C1725">
        <v>15941</v>
      </c>
      <c r="D1725" t="s">
        <v>129</v>
      </c>
      <c r="E1725" t="s">
        <v>53</v>
      </c>
      <c r="F1725" t="s">
        <v>53</v>
      </c>
      <c r="G1725">
        <v>4</v>
      </c>
      <c r="H1725" t="s">
        <v>54</v>
      </c>
      <c r="I1725">
        <v>143100</v>
      </c>
      <c r="J1725">
        <v>40900</v>
      </c>
      <c r="K1725">
        <v>0.37</v>
      </c>
      <c r="L1725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1725">
        <v>0</v>
      </c>
      <c r="N1725">
        <v>0</v>
      </c>
      <c r="O1725">
        <v>0</v>
      </c>
      <c r="P1725">
        <v>13398.7528</v>
      </c>
      <c r="Q1725">
        <v>63903</v>
      </c>
      <c r="R1725">
        <f>(Grandview_Inventory[[#This Row],[ln_acres]]*Grandview_Inventory[[#This Row],[coeff]])+Grandview_Inventory[[#This Row],[const]]</f>
        <v>50581.259568627502</v>
      </c>
      <c r="S1725" t="s">
        <v>68</v>
      </c>
      <c r="T1725">
        <v>1</v>
      </c>
      <c r="U1725" t="s">
        <v>70</v>
      </c>
      <c r="V1725" t="s">
        <v>69</v>
      </c>
      <c r="W1725">
        <v>0</v>
      </c>
      <c r="X1725">
        <v>0</v>
      </c>
      <c r="Y1725">
        <v>51</v>
      </c>
      <c r="Z1725">
        <v>83</v>
      </c>
      <c r="AA1725">
        <v>90</v>
      </c>
      <c r="AB1725">
        <v>1500</v>
      </c>
      <c r="AC1725">
        <v>1129</v>
      </c>
      <c r="AD1725">
        <v>1020</v>
      </c>
      <c r="AE1725">
        <v>0</v>
      </c>
      <c r="AF1725">
        <v>0</v>
      </c>
      <c r="AG1725">
        <v>109</v>
      </c>
      <c r="AH1725">
        <v>221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90</v>
      </c>
      <c r="AO1725">
        <v>0</v>
      </c>
      <c r="AP1725">
        <v>5</v>
      </c>
      <c r="AQ1725">
        <v>0</v>
      </c>
      <c r="AR1725">
        <v>0</v>
      </c>
      <c r="AS1725" t="s">
        <v>58</v>
      </c>
      <c r="AT1725">
        <v>1</v>
      </c>
      <c r="AU1725" t="s">
        <v>63</v>
      </c>
      <c r="AV1725" t="s">
        <v>64</v>
      </c>
      <c r="AW1725">
        <v>1</v>
      </c>
      <c r="AX1725">
        <v>2</v>
      </c>
      <c r="AY1725">
        <v>0</v>
      </c>
      <c r="AZ1725">
        <v>10800</v>
      </c>
      <c r="BA1725">
        <v>100</v>
      </c>
      <c r="BB1725">
        <v>100</v>
      </c>
      <c r="BC1725">
        <v>100</v>
      </c>
      <c r="BD1725">
        <v>100</v>
      </c>
      <c r="BE1725">
        <v>1</v>
      </c>
      <c r="BF1725">
        <v>15000</v>
      </c>
      <c r="BG1725">
        <v>1000</v>
      </c>
      <c r="BH1725" s="6">
        <f>Grandview_Inventory[[#This Row],[land_extract]]*Lookups!$B$3</f>
        <v>58739.880167646283</v>
      </c>
      <c r="BI1725" s="6">
        <f>IF(Grandview_Inventory[[#This Row],[bldg_style]]="",0,Lookups!$B$2)</f>
        <v>155833.95000000001</v>
      </c>
      <c r="BJ1725" s="6">
        <f>_xlfn.IFNA(VLOOKUP(Grandview_Inventory[[#This Row],[quality]],Lookups!$H$2:$J$14,3,FALSE),0)</f>
        <v>10733</v>
      </c>
      <c r="BK1725" s="6">
        <f>_xlfn.IFNA(VLOOKUP(Grandview_Inventory[[#This Row],[condition]],Lookups!$H$17:$J$24,3,FALSE),0)</f>
        <v>-4503</v>
      </c>
      <c r="BL1725" s="6">
        <f>Grandview_Inventory[[#This Row],[Eff_Age]]*Lookups!$B$14</f>
        <v>-12197.496599999999</v>
      </c>
      <c r="BM1725" s="6">
        <f>Grandview_Inventory[[#This Row],[living_area]]*Lookups!$B$15</f>
        <v>70427.983036999998</v>
      </c>
      <c r="BN1725" s="6">
        <f>Grandview_Inventory[[#This Row],[Fin BSMT]]*Lookups!$B$16</f>
        <v>-2953.8171600000001</v>
      </c>
      <c r="BO1725" s="6">
        <f>(Grandview_Inventory[[#This Row],[att_gar]]+Grandview_Inventory[[#This Row],[bltin_gar]])*Lookups!$B$17</f>
        <v>0</v>
      </c>
      <c r="BP1725" s="6">
        <f>Grandview_Inventory[[#This Row],[Plumbing Fixtures]]*Lookups!$B$18</f>
        <v>10052.209000000001</v>
      </c>
      <c r="BQ1725" s="6">
        <f>Grandview_Inventory[[#This Row],[detatched_value]]*Lookups!$B$19</f>
        <v>9145.4950800000006</v>
      </c>
      <c r="BR1725" s="6">
        <f>SUM(Grandview_Inventory[[#This Row],[Intercept]:[det_value]])*Grandview_Inventory[[#This Row],[res_pct]]</f>
        <v>236538.32335699999</v>
      </c>
      <c r="BS1725" s="6">
        <f>Grandview_Inventory[[#This Row],[land_value]]</f>
        <v>58739.880167646283</v>
      </c>
      <c r="BT1725" s="4">
        <f>_xlfn.IFNA(VLOOKUP(Grandview_Inventory[[#This Row],[quality]],Lookups!$A$26:$C$33,3,FALSE),1)</f>
        <v>0.98079741117310582</v>
      </c>
      <c r="BU1725" s="4">
        <f>_xlfn.IFNA(VLOOKUP(Grandview_Inventory[[#This Row],[condition]],Lookups!$A$37:$C$44,3,FALSE),1)</f>
        <v>0.96469275950863709</v>
      </c>
      <c r="BV1725" s="4">
        <f>IF(Grandview_Inventory[[#This Row],[bldg_style]]="",1,_xlfn.IFNA(VLOOKUP(Grandview_Inventory[[#This Row],[decade]],Lookups!$F$29:$H$43,3,FALSE),1))</f>
        <v>0.94161750052457416</v>
      </c>
      <c r="BW1725" s="4">
        <f>_xlfn.IFNA(VLOOKUP(Grandview_Inventory[[#This Row],[living_area_range]],Lookups!$F$47:$H$56,3,FALSE),1)</f>
        <v>0.96135087979789358</v>
      </c>
      <c r="BX1725" s="4">
        <f>AVERAGE(Grandview_Inventory[[#This Row],[qual_adj]:[size_adj]])</f>
        <v>0.96211463775105266</v>
      </c>
      <c r="BY1725" s="6">
        <f>IF(Grandview_Inventory[[#This Row],[pre_res]]&lt;0,0,Grandview_Inventory[[#This Row],[pre_res]]*Grandview_Inventory[[#This Row],[overall_adj]])</f>
        <v>227576.98329086139</v>
      </c>
      <c r="BZ1725" s="6">
        <f>(Grandview_Inventory[[#This Row],[sum_land]]-IF(Grandview_Inventory[[#This Row],[no_utilities]]=1,12000,0))/IF(Grandview_Inventory[[#This Row],[unbuildable]]=1,2,1)</f>
        <v>58739.880167646283</v>
      </c>
      <c r="CA1725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1725">
        <f>ROUND(Grandview_Inventory[[#This Row],[det_value]]*Lookups!$M$28,-2)</f>
        <v>8700</v>
      </c>
      <c r="CC1725">
        <f>IF(ROUND(Grandview_Inventory[[#This Row],[adj_res]]*Lookups!$M$28,-2)&lt;Grandview_Inventory[[#This Row],[min_res]],Grandview_Inventory[[#This Row],[min_res]],ROUND(Grandview_Inventory[[#This Row],[adj_res]]*Lookups!$M$28,-2))</f>
        <v>216200</v>
      </c>
      <c r="CD1725">
        <f>Grandview_Inventory[[#This Row],[final_det]]+Grandview_Inventory[[#This Row],[final_res]]</f>
        <v>224900</v>
      </c>
      <c r="CE1725">
        <f>Grandview_Inventory[[#This Row],[final_land]]+Grandview_Inventory[[#This Row],[final_imp]]+Grandview_Inventory[[#This Row],[crop_value]]</f>
        <v>280700</v>
      </c>
      <c r="CG1725" t="str">
        <f t="shared" si="26"/>
        <v>update valuation set market_land =55800, market_bldg=224900, market_total =280700, market_mdno =401, market_date ='9/10/2023' where link_id = (select link_id from parcel where parcel_year = '2024' and parcel_id = '23092332472');</v>
      </c>
    </row>
    <row r="1726" spans="1:85" x14ac:dyDescent="0.25">
      <c r="A1726">
        <v>23092332474</v>
      </c>
      <c r="B1726">
        <v>0.34</v>
      </c>
      <c r="C1726">
        <v>15004</v>
      </c>
      <c r="D1726" t="s">
        <v>129</v>
      </c>
      <c r="E1726" t="s">
        <v>53</v>
      </c>
      <c r="F1726" t="s">
        <v>53</v>
      </c>
      <c r="G1726">
        <v>4</v>
      </c>
      <c r="H1726" t="s">
        <v>54</v>
      </c>
      <c r="I1726">
        <v>230800</v>
      </c>
      <c r="J1726">
        <v>41200</v>
      </c>
      <c r="K1726">
        <v>0.34</v>
      </c>
      <c r="L1726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726">
        <v>0</v>
      </c>
      <c r="N1726">
        <v>0</v>
      </c>
      <c r="O1726">
        <v>0</v>
      </c>
      <c r="P1726">
        <v>13398.7528</v>
      </c>
      <c r="Q1726">
        <v>63903</v>
      </c>
      <c r="R1726">
        <f>(Grandview_Inventory[[#This Row],[ln_acres]]*Grandview_Inventory[[#This Row],[coeff]])+Grandview_Inventory[[#This Row],[const]]</f>
        <v>49448.296029025805</v>
      </c>
      <c r="S1726" t="s">
        <v>61</v>
      </c>
      <c r="T1726">
        <v>1</v>
      </c>
      <c r="U1726" t="s">
        <v>62</v>
      </c>
      <c r="V1726" t="s">
        <v>69</v>
      </c>
      <c r="W1726">
        <v>0</v>
      </c>
      <c r="X1726">
        <v>0</v>
      </c>
      <c r="Y1726">
        <v>48</v>
      </c>
      <c r="Z1726">
        <v>63</v>
      </c>
      <c r="AA1726">
        <v>70</v>
      </c>
      <c r="AB1726">
        <v>2500</v>
      </c>
      <c r="AC1726">
        <v>2290</v>
      </c>
      <c r="AD1726">
        <v>1448</v>
      </c>
      <c r="AE1726">
        <v>0</v>
      </c>
      <c r="AF1726">
        <v>0</v>
      </c>
      <c r="AG1726">
        <v>842</v>
      </c>
      <c r="AH1726">
        <v>366</v>
      </c>
      <c r="AI1726">
        <v>336</v>
      </c>
      <c r="AJ1726">
        <v>0</v>
      </c>
      <c r="AK1726">
        <v>0</v>
      </c>
      <c r="AL1726">
        <v>260</v>
      </c>
      <c r="AM1726">
        <v>0</v>
      </c>
      <c r="AN1726">
        <v>0</v>
      </c>
      <c r="AO1726">
        <v>0</v>
      </c>
      <c r="AP1726">
        <v>9</v>
      </c>
      <c r="AQ1726">
        <v>0</v>
      </c>
      <c r="AR1726">
        <v>1</v>
      </c>
      <c r="AS1726" t="s">
        <v>58</v>
      </c>
      <c r="AT1726">
        <v>1</v>
      </c>
      <c r="AU1726" t="s">
        <v>59</v>
      </c>
      <c r="AV1726" t="s">
        <v>60</v>
      </c>
      <c r="AW1726">
        <v>1</v>
      </c>
      <c r="AX1726">
        <v>3</v>
      </c>
      <c r="AY1726">
        <v>0</v>
      </c>
      <c r="AZ1726">
        <v>20100</v>
      </c>
      <c r="BA1726">
        <v>100</v>
      </c>
      <c r="BB1726">
        <v>100</v>
      </c>
      <c r="BC1726">
        <v>100</v>
      </c>
      <c r="BD1726">
        <v>100</v>
      </c>
      <c r="BE1726">
        <v>1</v>
      </c>
      <c r="BF1726">
        <v>15000</v>
      </c>
      <c r="BG1726">
        <v>1000</v>
      </c>
      <c r="BH1726" s="6">
        <f>Grandview_Inventory[[#This Row],[land_extract]]*Lookups!$B$3</f>
        <v>57424.172668108389</v>
      </c>
      <c r="BI1726" s="6">
        <f>IF(Grandview_Inventory[[#This Row],[bldg_style]]="",0,Lookups!$B$2)</f>
        <v>155833.95000000001</v>
      </c>
      <c r="BJ1726" s="6">
        <f>_xlfn.IFNA(VLOOKUP(Grandview_Inventory[[#This Row],[quality]],Lookups!$H$2:$J$14,3,FALSE),0)</f>
        <v>9808</v>
      </c>
      <c r="BK1726" s="6">
        <f>_xlfn.IFNA(VLOOKUP(Grandview_Inventory[[#This Row],[condition]],Lookups!$H$17:$J$24,3,FALSE),0)</f>
        <v>-4503</v>
      </c>
      <c r="BL1726" s="6">
        <f>Grandview_Inventory[[#This Row],[Eff_Age]]*Lookups!$B$14</f>
        <v>-11479.996799999999</v>
      </c>
      <c r="BM1726" s="6">
        <f>Grandview_Inventory[[#This Row],[living_area]]*Lookups!$B$15</f>
        <v>142852.15337000001</v>
      </c>
      <c r="BN1726" s="6">
        <f>Grandview_Inventory[[#This Row],[Fin BSMT]]*Lookups!$B$16</f>
        <v>-22817.560080000003</v>
      </c>
      <c r="BO1726" s="6">
        <f>(Grandview_Inventory[[#This Row],[att_gar]]+Grandview_Inventory[[#This Row],[bltin_gar]])*Lookups!$B$17</f>
        <v>29406.866832</v>
      </c>
      <c r="BP1726" s="6">
        <f>Grandview_Inventory[[#This Row],[Plumbing Fixtures]]*Lookups!$B$18</f>
        <v>18093.976200000001</v>
      </c>
      <c r="BQ1726" s="6">
        <f>Grandview_Inventory[[#This Row],[detatched_value]]*Lookups!$B$19</f>
        <v>17020.782510000001</v>
      </c>
      <c r="BR1726" s="6">
        <f>SUM(Grandview_Inventory[[#This Row],[Intercept]:[det_value]])*Grandview_Inventory[[#This Row],[res_pct]]</f>
        <v>334215.17203200003</v>
      </c>
      <c r="BS1726" s="6">
        <f>Grandview_Inventory[[#This Row],[land_value]]</f>
        <v>57424.172668108389</v>
      </c>
      <c r="BT1726" s="4">
        <f>_xlfn.IFNA(VLOOKUP(Grandview_Inventory[[#This Row],[quality]],Lookups!$A$26:$C$33,3,FALSE),1)</f>
        <v>0.94295468617355149</v>
      </c>
      <c r="BU1726" s="4">
        <f>_xlfn.IFNA(VLOOKUP(Grandview_Inventory[[#This Row],[condition]],Lookups!$A$37:$C$44,3,FALSE),1)</f>
        <v>0.96469275950863709</v>
      </c>
      <c r="BV1726" s="4">
        <f>IF(Grandview_Inventory[[#This Row],[bldg_style]]="",1,_xlfn.IFNA(VLOOKUP(Grandview_Inventory[[#This Row],[decade]],Lookups!$F$29:$H$43,3,FALSE),1))</f>
        <v>0.99472141305414818</v>
      </c>
      <c r="BW1726" s="4">
        <f>_xlfn.IFNA(VLOOKUP(Grandview_Inventory[[#This Row],[living_area_range]],Lookups!$F$47:$H$56,3,FALSE),1)</f>
        <v>0.95799442568048754</v>
      </c>
      <c r="BX1726" s="4">
        <f>AVERAGE(Grandview_Inventory[[#This Row],[qual_adj]:[size_adj]])</f>
        <v>0.96509082110420608</v>
      </c>
      <c r="BY1726" s="6">
        <f>IF(Grandview_Inventory[[#This Row],[pre_res]]&lt;0,0,Grandview_Inventory[[#This Row],[pre_res]]*Grandview_Inventory[[#This Row],[overall_adj]])</f>
        <v>322547.99480184639</v>
      </c>
      <c r="BZ1726" s="6">
        <f>(Grandview_Inventory[[#This Row],[sum_land]]-IF(Grandview_Inventory[[#This Row],[no_utilities]]=1,12000,0))/IF(Grandview_Inventory[[#This Row],[unbuildable]]=1,2,1)</f>
        <v>57424.172668108389</v>
      </c>
      <c r="CA1726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726">
        <f>ROUND(Grandview_Inventory[[#This Row],[det_value]]*Lookups!$M$28,-2)</f>
        <v>16200</v>
      </c>
      <c r="CC1726">
        <f>IF(ROUND(Grandview_Inventory[[#This Row],[adj_res]]*Lookups!$M$28,-2)&lt;Grandview_Inventory[[#This Row],[min_res]],Grandview_Inventory[[#This Row],[min_res]],ROUND(Grandview_Inventory[[#This Row],[adj_res]]*Lookups!$M$28,-2))</f>
        <v>306400</v>
      </c>
      <c r="CD1726">
        <f>Grandview_Inventory[[#This Row],[final_det]]+Grandview_Inventory[[#This Row],[final_res]]</f>
        <v>322600</v>
      </c>
      <c r="CE1726">
        <f>Grandview_Inventory[[#This Row],[final_land]]+Grandview_Inventory[[#This Row],[final_imp]]+Grandview_Inventory[[#This Row],[crop_value]]</f>
        <v>377200</v>
      </c>
      <c r="CG1726" t="str">
        <f t="shared" si="26"/>
        <v>update valuation set market_land =54600, market_bldg=322600, market_total =377200, market_mdno =401, market_date ='9/10/2023' where link_id = (select link_id from parcel where parcel_year = '2024' and parcel_id = '23092332474');</v>
      </c>
    </row>
    <row r="1727" spans="1:85" x14ac:dyDescent="0.25">
      <c r="A1727">
        <v>23092332475</v>
      </c>
      <c r="B1727">
        <v>0.28999999999999998</v>
      </c>
      <c r="C1727">
        <v>12508</v>
      </c>
      <c r="D1727" t="s">
        <v>129</v>
      </c>
      <c r="E1727" t="s">
        <v>53</v>
      </c>
      <c r="F1727" t="s">
        <v>53</v>
      </c>
      <c r="G1727">
        <v>4</v>
      </c>
      <c r="H1727" t="s">
        <v>54</v>
      </c>
      <c r="I1727">
        <v>289400</v>
      </c>
      <c r="J1727">
        <v>40500</v>
      </c>
      <c r="K1727">
        <v>0.28999999999999998</v>
      </c>
      <c r="L1727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27">
        <v>0</v>
      </c>
      <c r="N1727">
        <v>0</v>
      </c>
      <c r="O1727">
        <v>0</v>
      </c>
      <c r="P1727">
        <v>13398.7528</v>
      </c>
      <c r="Q1727">
        <v>63903</v>
      </c>
      <c r="R1727">
        <f>(Grandview_Inventory[[#This Row],[ln_acres]]*Grandview_Inventory[[#This Row],[coeff]])+Grandview_Inventory[[#This Row],[const]]</f>
        <v>47317.027506475133</v>
      </c>
      <c r="S1727" t="s">
        <v>61</v>
      </c>
      <c r="T1727">
        <v>1</v>
      </c>
      <c r="U1727" t="s">
        <v>62</v>
      </c>
      <c r="V1727" t="s">
        <v>69</v>
      </c>
      <c r="W1727">
        <v>0</v>
      </c>
      <c r="X1727">
        <v>0</v>
      </c>
      <c r="Y1727">
        <v>47</v>
      </c>
      <c r="Z1727">
        <v>57</v>
      </c>
      <c r="AA1727">
        <v>60</v>
      </c>
      <c r="AB1727">
        <v>2000</v>
      </c>
      <c r="AC1727">
        <v>1663</v>
      </c>
      <c r="AD1727">
        <v>1663</v>
      </c>
      <c r="AE1727">
        <v>0</v>
      </c>
      <c r="AF1727">
        <v>0</v>
      </c>
      <c r="AG1727">
        <v>0</v>
      </c>
      <c r="AH1727">
        <v>0</v>
      </c>
      <c r="AI1727">
        <v>573</v>
      </c>
      <c r="AJ1727">
        <v>0</v>
      </c>
      <c r="AK1727">
        <v>0</v>
      </c>
      <c r="AL1727">
        <v>308</v>
      </c>
      <c r="AM1727">
        <v>0</v>
      </c>
      <c r="AN1727">
        <v>92</v>
      </c>
      <c r="AO1727">
        <v>385</v>
      </c>
      <c r="AP1727">
        <v>9</v>
      </c>
      <c r="AQ1727">
        <v>0</v>
      </c>
      <c r="AR1727">
        <v>1</v>
      </c>
      <c r="AS1727" t="s">
        <v>58</v>
      </c>
      <c r="AT1727">
        <v>1</v>
      </c>
      <c r="AU1727" t="s">
        <v>59</v>
      </c>
      <c r="AV1727" t="s">
        <v>60</v>
      </c>
      <c r="AW1727">
        <v>1</v>
      </c>
      <c r="AX1727">
        <v>3</v>
      </c>
      <c r="AY1727">
        <v>0</v>
      </c>
      <c r="AZ1727">
        <v>64100</v>
      </c>
      <c r="BA1727">
        <v>100</v>
      </c>
      <c r="BB1727">
        <v>100</v>
      </c>
      <c r="BC1727">
        <v>100</v>
      </c>
      <c r="BD1727">
        <v>100</v>
      </c>
      <c r="BE1727">
        <v>1</v>
      </c>
      <c r="BF1727">
        <v>15000</v>
      </c>
      <c r="BG1727">
        <v>1000</v>
      </c>
      <c r="BH1727" s="6">
        <f>Grandview_Inventory[[#This Row],[land_extract]]*Lookups!$B$3</f>
        <v>54949.136287295303</v>
      </c>
      <c r="BI1727" s="6">
        <f>IF(Grandview_Inventory[[#This Row],[bldg_style]]="",0,Lookups!$B$2)</f>
        <v>155833.95000000001</v>
      </c>
      <c r="BJ1727" s="6">
        <f>_xlfn.IFNA(VLOOKUP(Grandview_Inventory[[#This Row],[quality]],Lookups!$H$2:$J$14,3,FALSE),0)</f>
        <v>9808</v>
      </c>
      <c r="BK1727" s="6">
        <f>_xlfn.IFNA(VLOOKUP(Grandview_Inventory[[#This Row],[condition]],Lookups!$H$17:$J$24,3,FALSE),0)</f>
        <v>-4503</v>
      </c>
      <c r="BL1727" s="6">
        <f>Grandview_Inventory[[#This Row],[Eff_Age]]*Lookups!$B$14</f>
        <v>-11240.8302</v>
      </c>
      <c r="BM1727" s="6">
        <f>Grandview_Inventory[[#This Row],[living_area]]*Lookups!$B$15</f>
        <v>103739.35853900001</v>
      </c>
      <c r="BN1727" s="6">
        <f>Grandview_Inventory[[#This Row],[Fin BSMT]]*Lookups!$B$16</f>
        <v>0</v>
      </c>
      <c r="BO1727" s="6">
        <f>(Grandview_Inventory[[#This Row],[att_gar]]+Grandview_Inventory[[#This Row],[bltin_gar]])*Lookups!$B$17</f>
        <v>50149.210401000004</v>
      </c>
      <c r="BP1727" s="6">
        <f>Grandview_Inventory[[#This Row],[Plumbing Fixtures]]*Lookups!$B$18</f>
        <v>18093.976200000001</v>
      </c>
      <c r="BQ1727" s="6">
        <f>Grandview_Inventory[[#This Row],[detatched_value]]*Lookups!$B$19</f>
        <v>54280.206910000001</v>
      </c>
      <c r="BR1727" s="6">
        <f>SUM(Grandview_Inventory[[#This Row],[Intercept]:[det_value]])*Grandview_Inventory[[#This Row],[res_pct]]</f>
        <v>376160.87185</v>
      </c>
      <c r="BS1727" s="6">
        <f>Grandview_Inventory[[#This Row],[land_value]]</f>
        <v>54949.136287295303</v>
      </c>
      <c r="BT1727" s="4">
        <f>_xlfn.IFNA(VLOOKUP(Grandview_Inventory[[#This Row],[quality]],Lookups!$A$26:$C$33,3,FALSE),1)</f>
        <v>0.94295468617355149</v>
      </c>
      <c r="BU1727" s="4">
        <f>_xlfn.IFNA(VLOOKUP(Grandview_Inventory[[#This Row],[condition]],Lookups!$A$37:$C$44,3,FALSE),1)</f>
        <v>0.96469275950863709</v>
      </c>
      <c r="BV1727" s="4">
        <f>IF(Grandview_Inventory[[#This Row],[bldg_style]]="",1,_xlfn.IFNA(VLOOKUP(Grandview_Inventory[[#This Row],[decade]],Lookups!$F$29:$H$43,3,FALSE),1))</f>
        <v>0.95268620544463312</v>
      </c>
      <c r="BW1727" s="4">
        <f>_xlfn.IFNA(VLOOKUP(Grandview_Inventory[[#This Row],[living_area_range]],Lookups!$F$47:$H$56,3,FALSE),1)</f>
        <v>0.96120133463014379</v>
      </c>
      <c r="BX1727" s="4">
        <f>AVERAGE(Grandview_Inventory[[#This Row],[qual_adj]:[size_adj]])</f>
        <v>0.9553837464392414</v>
      </c>
      <c r="BY1727" s="6">
        <f>IF(Grandview_Inventory[[#This Row],[pre_res]]&lt;0,0,Grandview_Inventory[[#This Row],[pre_res]]*Grandview_Inventory[[#This Row],[overall_adj]])</f>
        <v>359377.98301190435</v>
      </c>
      <c r="BZ1727" s="6">
        <f>(Grandview_Inventory[[#This Row],[sum_land]]-IF(Grandview_Inventory[[#This Row],[no_utilities]]=1,12000,0))/IF(Grandview_Inventory[[#This Row],[unbuildable]]=1,2,1)</f>
        <v>54949.136287295303</v>
      </c>
      <c r="CA1727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27">
        <f>ROUND(Grandview_Inventory[[#This Row],[det_value]]*Lookups!$M$28,-2)</f>
        <v>51600</v>
      </c>
      <c r="CC1727">
        <f>IF(ROUND(Grandview_Inventory[[#This Row],[adj_res]]*Lookups!$M$28,-2)&lt;Grandview_Inventory[[#This Row],[min_res]],Grandview_Inventory[[#This Row],[min_res]],ROUND(Grandview_Inventory[[#This Row],[adj_res]]*Lookups!$M$28,-2))</f>
        <v>341400</v>
      </c>
      <c r="CD1727">
        <f>Grandview_Inventory[[#This Row],[final_det]]+Grandview_Inventory[[#This Row],[final_res]]</f>
        <v>393000</v>
      </c>
      <c r="CE1727">
        <f>Grandview_Inventory[[#This Row],[final_land]]+Grandview_Inventory[[#This Row],[final_imp]]+Grandview_Inventory[[#This Row],[crop_value]]</f>
        <v>445200</v>
      </c>
      <c r="CG1727" t="str">
        <f t="shared" si="26"/>
        <v>update valuation set market_land =52200, market_bldg=393000, market_total =445200, market_mdno =401, market_date ='9/10/2023' where link_id = (select link_id from parcel where parcel_year = '2024' and parcel_id = '23092332475');</v>
      </c>
    </row>
    <row r="1728" spans="1:85" x14ac:dyDescent="0.25">
      <c r="A1728">
        <v>23092332476</v>
      </c>
      <c r="B1728">
        <v>0.28999999999999998</v>
      </c>
      <c r="C1728">
        <v>12513</v>
      </c>
      <c r="D1728" t="s">
        <v>129</v>
      </c>
      <c r="E1728" t="s">
        <v>53</v>
      </c>
      <c r="F1728" t="s">
        <v>53</v>
      </c>
      <c r="G1728">
        <v>4</v>
      </c>
      <c r="H1728" t="s">
        <v>54</v>
      </c>
      <c r="I1728">
        <v>256800</v>
      </c>
      <c r="J1728">
        <v>44900</v>
      </c>
      <c r="K1728">
        <v>0.28999999999999998</v>
      </c>
      <c r="L1728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28">
        <v>0</v>
      </c>
      <c r="N1728">
        <v>0</v>
      </c>
      <c r="O1728">
        <v>0</v>
      </c>
      <c r="P1728">
        <v>13398.7528</v>
      </c>
      <c r="Q1728">
        <v>63903</v>
      </c>
      <c r="R1728">
        <f>(Grandview_Inventory[[#This Row],[ln_acres]]*Grandview_Inventory[[#This Row],[coeff]])+Grandview_Inventory[[#This Row],[const]]</f>
        <v>47317.027506475133</v>
      </c>
      <c r="S1728" t="s">
        <v>61</v>
      </c>
      <c r="T1728">
        <v>1</v>
      </c>
      <c r="U1728" t="s">
        <v>62</v>
      </c>
      <c r="V1728" t="s">
        <v>67</v>
      </c>
      <c r="W1728">
        <v>0</v>
      </c>
      <c r="X1728">
        <v>0</v>
      </c>
      <c r="Y1728">
        <v>47</v>
      </c>
      <c r="Z1728">
        <v>57</v>
      </c>
      <c r="AA1728">
        <v>60</v>
      </c>
      <c r="AB1728">
        <v>2000</v>
      </c>
      <c r="AC1728">
        <v>1560</v>
      </c>
      <c r="AD1728">
        <v>1560</v>
      </c>
      <c r="AE1728">
        <v>0</v>
      </c>
      <c r="AF1728">
        <v>0</v>
      </c>
      <c r="AG1728">
        <v>0</v>
      </c>
      <c r="AH1728">
        <v>0</v>
      </c>
      <c r="AI1728">
        <v>567</v>
      </c>
      <c r="AJ1728">
        <v>0</v>
      </c>
      <c r="AK1728">
        <v>0</v>
      </c>
      <c r="AL1728">
        <v>0</v>
      </c>
      <c r="AM1728">
        <v>507</v>
      </c>
      <c r="AN1728">
        <v>115</v>
      </c>
      <c r="AO1728">
        <v>0</v>
      </c>
      <c r="AP1728">
        <v>8</v>
      </c>
      <c r="AQ1728">
        <v>0</v>
      </c>
      <c r="AR1728">
        <v>0</v>
      </c>
      <c r="AS1728" t="s">
        <v>58</v>
      </c>
      <c r="AT1728">
        <v>1</v>
      </c>
      <c r="AU1728" t="s">
        <v>59</v>
      </c>
      <c r="AV1728" t="s">
        <v>60</v>
      </c>
      <c r="AW1728">
        <v>1</v>
      </c>
      <c r="AX1728">
        <v>3</v>
      </c>
      <c r="AY1728">
        <v>0</v>
      </c>
      <c r="AZ1728">
        <v>18500</v>
      </c>
      <c r="BA1728">
        <v>100</v>
      </c>
      <c r="BB1728">
        <v>100</v>
      </c>
      <c r="BC1728">
        <v>100</v>
      </c>
      <c r="BD1728">
        <v>100</v>
      </c>
      <c r="BE1728">
        <v>1</v>
      </c>
      <c r="BF1728">
        <v>15000</v>
      </c>
      <c r="BG1728">
        <v>1000</v>
      </c>
      <c r="BH1728" s="6">
        <f>Grandview_Inventory[[#This Row],[land_extract]]*Lookups!$B$3</f>
        <v>54949.136287295303</v>
      </c>
      <c r="BI1728" s="6">
        <f>IF(Grandview_Inventory[[#This Row],[bldg_style]]="",0,Lookups!$B$2)</f>
        <v>155833.95000000001</v>
      </c>
      <c r="BJ1728" s="6">
        <f>_xlfn.IFNA(VLOOKUP(Grandview_Inventory[[#This Row],[quality]],Lookups!$H$2:$J$14,3,FALSE),0)</f>
        <v>9808</v>
      </c>
      <c r="BK1728" s="6">
        <f>_xlfn.IFNA(VLOOKUP(Grandview_Inventory[[#This Row],[condition]],Lookups!$H$17:$J$24,3,FALSE),0)</f>
        <v>22342</v>
      </c>
      <c r="BL1728" s="6">
        <f>Grandview_Inventory[[#This Row],[Eff_Age]]*Lookups!$B$14</f>
        <v>-11240.8302</v>
      </c>
      <c r="BM1728" s="6">
        <f>Grandview_Inventory[[#This Row],[living_area]]*Lookups!$B$15</f>
        <v>97314.130680000002</v>
      </c>
      <c r="BN1728" s="6">
        <f>Grandview_Inventory[[#This Row],[Fin BSMT]]*Lookups!$B$16</f>
        <v>0</v>
      </c>
      <c r="BO1728" s="6">
        <f>(Grandview_Inventory[[#This Row],[att_gar]]+Grandview_Inventory[[#This Row],[bltin_gar]])*Lookups!$B$17</f>
        <v>49624.087779000001</v>
      </c>
      <c r="BP1728" s="6">
        <f>Grandview_Inventory[[#This Row],[Plumbing Fixtures]]*Lookups!$B$18</f>
        <v>16083.5344</v>
      </c>
      <c r="BQ1728" s="6">
        <f>Grandview_Inventory[[#This Row],[detatched_value]]*Lookups!$B$19</f>
        <v>15665.89435</v>
      </c>
      <c r="BR1728" s="6">
        <f>SUM(Grandview_Inventory[[#This Row],[Intercept]:[det_value]])*Grandview_Inventory[[#This Row],[res_pct]]</f>
        <v>355430.76700900006</v>
      </c>
      <c r="BS1728" s="6">
        <f>Grandview_Inventory[[#This Row],[land_value]]</f>
        <v>54949.136287295303</v>
      </c>
      <c r="BT1728" s="4">
        <f>_xlfn.IFNA(VLOOKUP(Grandview_Inventory[[#This Row],[quality]],Lookups!$A$26:$C$33,3,FALSE),1)</f>
        <v>0.94295468617355149</v>
      </c>
      <c r="BU1728" s="4">
        <f>_xlfn.IFNA(VLOOKUP(Grandview_Inventory[[#This Row],[condition]],Lookups!$A$37:$C$44,3,FALSE),1)</f>
        <v>0.97383723671140243</v>
      </c>
      <c r="BV1728" s="4">
        <f>IF(Grandview_Inventory[[#This Row],[bldg_style]]="",1,_xlfn.IFNA(VLOOKUP(Grandview_Inventory[[#This Row],[decade]],Lookups!$F$29:$H$43,3,FALSE),1))</f>
        <v>0.95268620544463312</v>
      </c>
      <c r="BW1728" s="4">
        <f>_xlfn.IFNA(VLOOKUP(Grandview_Inventory[[#This Row],[living_area_range]],Lookups!$F$47:$H$56,3,FALSE),1)</f>
        <v>0.96120133463014379</v>
      </c>
      <c r="BX1728" s="4">
        <f>AVERAGE(Grandview_Inventory[[#This Row],[qual_adj]:[size_adj]])</f>
        <v>0.95766986573993274</v>
      </c>
      <c r="BY1728" s="6">
        <f>IF(Grandview_Inventory[[#This Row],[pre_res]]&lt;0,0,Grandview_Inventory[[#This Row],[pre_res]]*Grandview_Inventory[[#This Row],[overall_adj]])</f>
        <v>340385.33492135041</v>
      </c>
      <c r="BZ1728" s="6">
        <f>(Grandview_Inventory[[#This Row],[sum_land]]-IF(Grandview_Inventory[[#This Row],[no_utilities]]=1,12000,0))/IF(Grandview_Inventory[[#This Row],[unbuildable]]=1,2,1)</f>
        <v>54949.136287295303</v>
      </c>
      <c r="CA1728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28">
        <f>ROUND(Grandview_Inventory[[#This Row],[det_value]]*Lookups!$M$28,-2)</f>
        <v>14900</v>
      </c>
      <c r="CC1728">
        <f>IF(ROUND(Grandview_Inventory[[#This Row],[adj_res]]*Lookups!$M$28,-2)&lt;Grandview_Inventory[[#This Row],[min_res]],Grandview_Inventory[[#This Row],[min_res]],ROUND(Grandview_Inventory[[#This Row],[adj_res]]*Lookups!$M$28,-2))</f>
        <v>323400</v>
      </c>
      <c r="CD1728">
        <f>Grandview_Inventory[[#This Row],[final_det]]+Grandview_Inventory[[#This Row],[final_res]]</f>
        <v>338300</v>
      </c>
      <c r="CE1728">
        <f>Grandview_Inventory[[#This Row],[final_land]]+Grandview_Inventory[[#This Row],[final_imp]]+Grandview_Inventory[[#This Row],[crop_value]]</f>
        <v>390500</v>
      </c>
      <c r="CG1728" t="str">
        <f t="shared" si="26"/>
        <v>update valuation set market_land =52200, market_bldg=338300, market_total =390500, market_mdno =401, market_date ='9/10/2023' where link_id = (select link_id from parcel where parcel_year = '2024' and parcel_id = '23092332476');</v>
      </c>
    </row>
    <row r="1729" spans="1:85" x14ac:dyDescent="0.25">
      <c r="A1729">
        <v>23092332477</v>
      </c>
      <c r="B1729">
        <v>0.23</v>
      </c>
      <c r="C1729">
        <v>10144</v>
      </c>
      <c r="D1729" t="s">
        <v>129</v>
      </c>
      <c r="E1729" t="s">
        <v>53</v>
      </c>
      <c r="F1729" t="s">
        <v>53</v>
      </c>
      <c r="G1729">
        <v>4</v>
      </c>
      <c r="H1729" t="s">
        <v>54</v>
      </c>
      <c r="I1729">
        <v>220900</v>
      </c>
      <c r="J1729">
        <v>39700</v>
      </c>
      <c r="K1729">
        <v>0.23</v>
      </c>
      <c r="L172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29">
        <v>0</v>
      </c>
      <c r="N1729">
        <v>0</v>
      </c>
      <c r="O1729">
        <v>0</v>
      </c>
      <c r="P1729">
        <v>13398.7528</v>
      </c>
      <c r="Q1729">
        <v>63903</v>
      </c>
      <c r="R1729">
        <f>(Grandview_Inventory[[#This Row],[ln_acres]]*Grandview_Inventory[[#This Row],[coeff]])+Grandview_Inventory[[#This Row],[const]]</f>
        <v>44211.174981080039</v>
      </c>
      <c r="S1729" t="s">
        <v>61</v>
      </c>
      <c r="T1729">
        <v>1</v>
      </c>
      <c r="U1729" t="s">
        <v>65</v>
      </c>
      <c r="V1729" t="s">
        <v>78</v>
      </c>
      <c r="W1729">
        <v>0</v>
      </c>
      <c r="X1729">
        <v>0</v>
      </c>
      <c r="Y1729">
        <v>44</v>
      </c>
      <c r="Z1729">
        <v>46</v>
      </c>
      <c r="AA1729">
        <v>50</v>
      </c>
      <c r="AB1729">
        <v>3000</v>
      </c>
      <c r="AC1729">
        <v>2693</v>
      </c>
      <c r="AD1729">
        <v>1795</v>
      </c>
      <c r="AE1729">
        <v>0</v>
      </c>
      <c r="AF1729">
        <v>0</v>
      </c>
      <c r="AG1729">
        <v>898</v>
      </c>
      <c r="AH1729">
        <v>897</v>
      </c>
      <c r="AI1729">
        <v>462</v>
      </c>
      <c r="AJ1729">
        <v>0</v>
      </c>
      <c r="AK1729">
        <v>0</v>
      </c>
      <c r="AL1729">
        <v>0</v>
      </c>
      <c r="AM1729">
        <v>320</v>
      </c>
      <c r="AN1729">
        <v>58</v>
      </c>
      <c r="AO1729">
        <v>0</v>
      </c>
      <c r="AP1729">
        <v>7</v>
      </c>
      <c r="AQ1729">
        <v>0</v>
      </c>
      <c r="AR1729">
        <v>2</v>
      </c>
      <c r="AS1729" t="s">
        <v>58</v>
      </c>
      <c r="AT1729">
        <v>1</v>
      </c>
      <c r="AU1729" t="s">
        <v>59</v>
      </c>
      <c r="AV1729" t="s">
        <v>60</v>
      </c>
      <c r="AW1729">
        <v>1</v>
      </c>
      <c r="AX1729">
        <v>3</v>
      </c>
      <c r="AY1729">
        <v>0</v>
      </c>
      <c r="AZ1729">
        <v>8100</v>
      </c>
      <c r="BA1729">
        <v>100</v>
      </c>
      <c r="BB1729">
        <v>100</v>
      </c>
      <c r="BC1729">
        <v>100</v>
      </c>
      <c r="BD1729">
        <v>100</v>
      </c>
      <c r="BE1729">
        <v>1</v>
      </c>
      <c r="BF1729">
        <v>15000</v>
      </c>
      <c r="BG1729">
        <v>1000</v>
      </c>
      <c r="BH1729" s="6">
        <f>Grandview_Inventory[[#This Row],[land_extract]]*Lookups!$B$3</f>
        <v>51342.318135355803</v>
      </c>
      <c r="BI1729" s="6">
        <f>IF(Grandview_Inventory[[#This Row],[bldg_style]]="",0,Lookups!$B$2)</f>
        <v>155833.95000000001</v>
      </c>
      <c r="BJ1729" s="6">
        <f>_xlfn.IFNA(VLOOKUP(Grandview_Inventory[[#This Row],[quality]],Lookups!$H$2:$J$14,3,FALSE),0)</f>
        <v>2251</v>
      </c>
      <c r="BK1729" s="6">
        <f>_xlfn.IFNA(VLOOKUP(Grandview_Inventory[[#This Row],[condition]],Lookups!$H$17:$J$24,3,FALSE),0)</f>
        <v>-45357</v>
      </c>
      <c r="BL1729" s="6">
        <f>Grandview_Inventory[[#This Row],[Eff_Age]]*Lookups!$B$14</f>
        <v>-10523.330399999999</v>
      </c>
      <c r="BM1729" s="6">
        <f>Grandview_Inventory[[#This Row],[living_area]]*Lookups!$B$15</f>
        <v>167991.63712900001</v>
      </c>
      <c r="BN1729" s="6">
        <f>Grandview_Inventory[[#This Row],[Fin BSMT]]*Lookups!$B$16</f>
        <v>-24335.11752</v>
      </c>
      <c r="BO1729" s="6">
        <f>(Grandview_Inventory[[#This Row],[att_gar]]+Grandview_Inventory[[#This Row],[bltin_gar]])*Lookups!$B$17</f>
        <v>40434.441894000003</v>
      </c>
      <c r="BP1729" s="6">
        <f>Grandview_Inventory[[#This Row],[Plumbing Fixtures]]*Lookups!$B$18</f>
        <v>14073.0926</v>
      </c>
      <c r="BQ1729" s="6">
        <f>Grandview_Inventory[[#This Row],[detatched_value]]*Lookups!$B$19</f>
        <v>6859.1213099999995</v>
      </c>
      <c r="BR1729" s="6">
        <f>SUM(Grandview_Inventory[[#This Row],[Intercept]:[det_value]])*Grandview_Inventory[[#This Row],[res_pct]]</f>
        <v>307227.79501300002</v>
      </c>
      <c r="BS1729" s="6">
        <f>Grandview_Inventory[[#This Row],[land_value]]</f>
        <v>51342.318135355803</v>
      </c>
      <c r="BT1729" s="4">
        <f>_xlfn.IFNA(VLOOKUP(Grandview_Inventory[[#This Row],[quality]],Lookups!$A$26:$C$33,3,FALSE),1)</f>
        <v>0.98763855981004833</v>
      </c>
      <c r="BU1729" s="4">
        <f>_xlfn.IFNA(VLOOKUP(Grandview_Inventory[[#This Row],[condition]],Lookups!$A$37:$C$44,3,FALSE),1)</f>
        <v>0.97161819570155394</v>
      </c>
      <c r="BV1729" s="4">
        <f>IF(Grandview_Inventory[[#This Row],[bldg_style]]="",1,_xlfn.IFNA(VLOOKUP(Grandview_Inventory[[#This Row],[decade]],Lookups!$F$29:$H$43,3,FALSE),1))</f>
        <v>0.9871940091910919</v>
      </c>
      <c r="BW1729" s="4">
        <f>_xlfn.IFNA(VLOOKUP(Grandview_Inventory[[#This Row],[living_area_range]],Lookups!$F$47:$H$56,3,FALSE),1)</f>
        <v>0.94224801443562123</v>
      </c>
      <c r="BX1729" s="4">
        <f>AVERAGE(Grandview_Inventory[[#This Row],[qual_adj]:[size_adj]])</f>
        <v>0.97217469478457885</v>
      </c>
      <c r="BY1729" s="6">
        <f>IF(Grandview_Inventory[[#This Row],[pre_res]]&lt;0,0,Grandview_Inventory[[#This Row],[pre_res]]*Grandview_Inventory[[#This Row],[overall_adj]])</f>
        <v>298679.08784610248</v>
      </c>
      <c r="BZ1729" s="6">
        <f>(Grandview_Inventory[[#This Row],[sum_land]]-IF(Grandview_Inventory[[#This Row],[no_utilities]]=1,12000,0))/IF(Grandview_Inventory[[#This Row],[unbuildable]]=1,2,1)</f>
        <v>51342.318135355803</v>
      </c>
      <c r="CA172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29">
        <f>ROUND(Grandview_Inventory[[#This Row],[det_value]]*Lookups!$M$28,-2)</f>
        <v>6500</v>
      </c>
      <c r="CC1729">
        <f>IF(ROUND(Grandview_Inventory[[#This Row],[adj_res]]*Lookups!$M$28,-2)&lt;Grandview_Inventory[[#This Row],[min_res]],Grandview_Inventory[[#This Row],[min_res]],ROUND(Grandview_Inventory[[#This Row],[adj_res]]*Lookups!$M$28,-2))</f>
        <v>283700</v>
      </c>
      <c r="CD1729">
        <f>Grandview_Inventory[[#This Row],[final_det]]+Grandview_Inventory[[#This Row],[final_res]]</f>
        <v>290200</v>
      </c>
      <c r="CE1729">
        <f>Grandview_Inventory[[#This Row],[final_land]]+Grandview_Inventory[[#This Row],[final_imp]]+Grandview_Inventory[[#This Row],[crop_value]]</f>
        <v>339000</v>
      </c>
      <c r="CG1729" t="str">
        <f t="shared" si="26"/>
        <v>update valuation set market_land =48800, market_bldg=290200, market_total =339000, market_mdno =401, market_date ='9/10/2023' where link_id = (select link_id from parcel where parcel_year = '2024' and parcel_id = '23092332477');</v>
      </c>
    </row>
    <row r="1730" spans="1:85" x14ac:dyDescent="0.25">
      <c r="A1730">
        <v>23092332479</v>
      </c>
      <c r="B1730">
        <v>0.42</v>
      </c>
      <c r="C1730" t="s">
        <v>129</v>
      </c>
      <c r="D1730" t="s">
        <v>129</v>
      </c>
      <c r="E1730" t="s">
        <v>53</v>
      </c>
      <c r="F1730" t="s">
        <v>53</v>
      </c>
      <c r="G1730">
        <v>4</v>
      </c>
      <c r="H1730" t="s">
        <v>54</v>
      </c>
      <c r="I1730">
        <v>304600</v>
      </c>
      <c r="J1730">
        <v>41200</v>
      </c>
      <c r="K1730">
        <v>0.42</v>
      </c>
      <c r="L1730">
        <f>IF(Grandview_Inventory[[#This Row],[parcel_acres]]-Grandview_Inventory[[#This Row],[non_valued_acres]] =0,0,LN(Grandview_Inventory[[#This Row],[parcel_acres]]-Grandview_Inventory[[#This Row],[non_valued_acres]]))</f>
        <v>-0.86750056770472306</v>
      </c>
      <c r="M1730">
        <v>0</v>
      </c>
      <c r="N1730">
        <v>0</v>
      </c>
      <c r="O1730">
        <v>0</v>
      </c>
      <c r="P1730">
        <v>13398.7528</v>
      </c>
      <c r="Q1730">
        <v>63903</v>
      </c>
      <c r="R1730">
        <f>(Grandview_Inventory[[#This Row],[ln_acres]]*Grandview_Inventory[[#This Row],[coeff]])+Grandview_Inventory[[#This Row],[const]]</f>
        <v>52279.574339464751</v>
      </c>
      <c r="S1730" t="s">
        <v>61</v>
      </c>
      <c r="T1730">
        <v>1</v>
      </c>
      <c r="U1730" t="s">
        <v>64</v>
      </c>
      <c r="V1730" t="s">
        <v>69</v>
      </c>
      <c r="W1730">
        <v>0</v>
      </c>
      <c r="X1730">
        <v>0</v>
      </c>
      <c r="Y1730">
        <v>47</v>
      </c>
      <c r="Z1730">
        <v>57</v>
      </c>
      <c r="AA1730">
        <v>60</v>
      </c>
      <c r="AB1730">
        <v>3500</v>
      </c>
      <c r="AC1730">
        <v>3310</v>
      </c>
      <c r="AD1730">
        <v>1655</v>
      </c>
      <c r="AE1730">
        <v>0</v>
      </c>
      <c r="AF1730">
        <v>0</v>
      </c>
      <c r="AG1730">
        <v>1655</v>
      </c>
      <c r="AH1730">
        <v>0</v>
      </c>
      <c r="AI1730">
        <v>800</v>
      </c>
      <c r="AJ1730">
        <v>0</v>
      </c>
      <c r="AK1730">
        <v>0</v>
      </c>
      <c r="AL1730">
        <v>0</v>
      </c>
      <c r="AM1730">
        <v>0</v>
      </c>
      <c r="AN1730">
        <v>397</v>
      </c>
      <c r="AO1730">
        <v>0</v>
      </c>
      <c r="AP1730">
        <v>11</v>
      </c>
      <c r="AQ1730">
        <v>1</v>
      </c>
      <c r="AR1730">
        <v>1</v>
      </c>
      <c r="AS1730" t="s">
        <v>58</v>
      </c>
      <c r="AT1730">
        <v>1</v>
      </c>
      <c r="AU1730" t="s">
        <v>63</v>
      </c>
      <c r="AV1730" t="s">
        <v>60</v>
      </c>
      <c r="AW1730">
        <v>1</v>
      </c>
      <c r="AX1730">
        <v>5</v>
      </c>
      <c r="AY1730">
        <v>0</v>
      </c>
      <c r="AZ1730">
        <v>0</v>
      </c>
      <c r="BA1730">
        <v>100</v>
      </c>
      <c r="BB1730">
        <v>100</v>
      </c>
      <c r="BC1730">
        <v>100</v>
      </c>
      <c r="BD1730">
        <v>100</v>
      </c>
      <c r="BE1730">
        <v>1</v>
      </c>
      <c r="BF1730">
        <v>15000</v>
      </c>
      <c r="BG1730">
        <v>1000</v>
      </c>
      <c r="BH1730" s="6">
        <f>Grandview_Inventory[[#This Row],[land_extract]]*Lookups!$B$3</f>
        <v>60712.1285255697</v>
      </c>
      <c r="BI1730" s="6">
        <f>IF(Grandview_Inventory[[#This Row],[bldg_style]]="",0,Lookups!$B$2)</f>
        <v>155833.95000000001</v>
      </c>
      <c r="BJ1730" s="6">
        <f>_xlfn.IFNA(VLOOKUP(Grandview_Inventory[[#This Row],[quality]],Lookups!$H$2:$J$14,3,FALSE),0)</f>
        <v>20768</v>
      </c>
      <c r="BK1730" s="6">
        <f>_xlfn.IFNA(VLOOKUP(Grandview_Inventory[[#This Row],[condition]],Lookups!$H$17:$J$24,3,FALSE),0)</f>
        <v>-4503</v>
      </c>
      <c r="BL1730" s="6">
        <f>Grandview_Inventory[[#This Row],[Eff_Age]]*Lookups!$B$14</f>
        <v>-11240.8302</v>
      </c>
      <c r="BM1730" s="6">
        <f>Grandview_Inventory[[#This Row],[living_area]]*Lookups!$B$15</f>
        <v>206480.62343000001</v>
      </c>
      <c r="BN1730" s="6">
        <f>Grandview_Inventory[[#This Row],[Fin BSMT]]*Lookups!$B$16</f>
        <v>-44849.242200000001</v>
      </c>
      <c r="BO1730" s="6">
        <f>(Grandview_Inventory[[#This Row],[att_gar]]+Grandview_Inventory[[#This Row],[bltin_gar]])*Lookups!$B$17</f>
        <v>70016.349600000001</v>
      </c>
      <c r="BP1730" s="6">
        <f>Grandview_Inventory[[#This Row],[Plumbing Fixtures]]*Lookups!$B$18</f>
        <v>22114.859800000002</v>
      </c>
      <c r="BQ1730" s="6">
        <f>Grandview_Inventory[[#This Row],[detatched_value]]*Lookups!$B$19</f>
        <v>0</v>
      </c>
      <c r="BR1730" s="6">
        <f>SUM(Grandview_Inventory[[#This Row],[Intercept]:[det_value]])*Grandview_Inventory[[#This Row],[res_pct]]</f>
        <v>414620.71043000004</v>
      </c>
      <c r="BS1730" s="6">
        <f>Grandview_Inventory[[#This Row],[land_value]]</f>
        <v>60712.1285255697</v>
      </c>
      <c r="BT1730" s="4">
        <f>_xlfn.IFNA(VLOOKUP(Grandview_Inventory[[#This Row],[quality]],Lookups!$A$26:$C$33,3,FALSE),1)</f>
        <v>0.94960540378902636</v>
      </c>
      <c r="BU1730" s="4">
        <f>_xlfn.IFNA(VLOOKUP(Grandview_Inventory[[#This Row],[condition]],Lookups!$A$37:$C$44,3,FALSE),1)</f>
        <v>0.96469275950863709</v>
      </c>
      <c r="BV1730" s="4">
        <f>IF(Grandview_Inventory[[#This Row],[bldg_style]]="",1,_xlfn.IFNA(VLOOKUP(Grandview_Inventory[[#This Row],[decade]],Lookups!$F$29:$H$43,3,FALSE),1))</f>
        <v>0.95268620544463312</v>
      </c>
      <c r="BW1730" s="4">
        <f>_xlfn.IFNA(VLOOKUP(Grandview_Inventory[[#This Row],[living_area_range]],Lookups!$F$47:$H$56,3,FALSE),1)</f>
        <v>1.0170112215140563</v>
      </c>
      <c r="BX1730" s="4">
        <f>AVERAGE(Grandview_Inventory[[#This Row],[qual_adj]:[size_adj]])</f>
        <v>0.97099889756408819</v>
      </c>
      <c r="BY1730" s="6">
        <f>IF(Grandview_Inventory[[#This Row],[pre_res]]&lt;0,0,Grandview_Inventory[[#This Row],[pre_res]]*Grandview_Inventory[[#This Row],[overall_adj]])</f>
        <v>402596.25273476908</v>
      </c>
      <c r="BZ1730" s="6">
        <f>(Grandview_Inventory[[#This Row],[sum_land]]-IF(Grandview_Inventory[[#This Row],[no_utilities]]=1,12000,0))/IF(Grandview_Inventory[[#This Row],[unbuildable]]=1,2,1)</f>
        <v>60712.1285255697</v>
      </c>
      <c r="CA1730">
        <f>IF(ROUND(Grandview_Inventory[[#This Row],[adj_land]]*Lookups!$M$28,-2)&lt;Grandview_Inventory[[#This Row],[min_land]],Grandview_Inventory[[#This Row],[min_land]],ROUND(Grandview_Inventory[[#This Row],[adj_land]]*Lookups!$M$28,-2))</f>
        <v>57700</v>
      </c>
      <c r="CB1730">
        <f>ROUND(Grandview_Inventory[[#This Row],[det_value]]*Lookups!$M$28,-2)</f>
        <v>0</v>
      </c>
      <c r="CC1730">
        <f>IF(ROUND(Grandview_Inventory[[#This Row],[adj_res]]*Lookups!$M$28,-2)&lt;Grandview_Inventory[[#This Row],[min_res]],Grandview_Inventory[[#This Row],[min_res]],ROUND(Grandview_Inventory[[#This Row],[adj_res]]*Lookups!$M$28,-2))</f>
        <v>382500</v>
      </c>
      <c r="CD1730">
        <f>Grandview_Inventory[[#This Row],[final_det]]+Grandview_Inventory[[#This Row],[final_res]]</f>
        <v>382500</v>
      </c>
      <c r="CE1730">
        <f>Grandview_Inventory[[#This Row],[final_land]]+Grandview_Inventory[[#This Row],[final_imp]]+Grandview_Inventory[[#This Row],[crop_value]]</f>
        <v>440200</v>
      </c>
      <c r="CG1730" t="str">
        <f t="shared" si="26"/>
        <v>update valuation set market_land =57700, market_bldg=382500, market_total =440200, market_mdno =401, market_date ='9/10/2023' where link_id = (select link_id from parcel where parcel_year = '2024' and parcel_id = '23092332479');</v>
      </c>
    </row>
    <row r="1731" spans="1:85" x14ac:dyDescent="0.25">
      <c r="A1731">
        <v>23092332480</v>
      </c>
      <c r="B1731">
        <v>0.28000000000000003</v>
      </c>
      <c r="C1731" t="s">
        <v>129</v>
      </c>
      <c r="D1731" t="s">
        <v>129</v>
      </c>
      <c r="E1731" t="s">
        <v>53</v>
      </c>
      <c r="F1731" t="s">
        <v>53</v>
      </c>
      <c r="G1731">
        <v>4</v>
      </c>
      <c r="H1731" t="s">
        <v>54</v>
      </c>
      <c r="I1731">
        <v>282200</v>
      </c>
      <c r="J1731">
        <v>44500</v>
      </c>
      <c r="K1731">
        <v>0.28000000000000003</v>
      </c>
      <c r="L1731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731">
        <v>0</v>
      </c>
      <c r="N1731">
        <v>0</v>
      </c>
      <c r="O1731">
        <v>0</v>
      </c>
      <c r="P1731">
        <v>13398.7528</v>
      </c>
      <c r="Q1731">
        <v>63903</v>
      </c>
      <c r="R1731">
        <f>(Grandview_Inventory[[#This Row],[ln_acres]]*Grandview_Inventory[[#This Row],[coeff]])+Grandview_Inventory[[#This Row],[const]]</f>
        <v>46846.847586898184</v>
      </c>
      <c r="S1731" t="s">
        <v>61</v>
      </c>
      <c r="T1731">
        <v>1</v>
      </c>
      <c r="U1731" t="s">
        <v>65</v>
      </c>
      <c r="V1731" t="s">
        <v>69</v>
      </c>
      <c r="W1731">
        <v>0</v>
      </c>
      <c r="X1731">
        <v>0</v>
      </c>
      <c r="Y1731">
        <v>47</v>
      </c>
      <c r="Z1731">
        <v>57</v>
      </c>
      <c r="AA1731">
        <v>60</v>
      </c>
      <c r="AB1731">
        <v>2000</v>
      </c>
      <c r="AC1731">
        <v>1899</v>
      </c>
      <c r="AD1731">
        <v>1899</v>
      </c>
      <c r="AE1731">
        <v>0</v>
      </c>
      <c r="AF1731">
        <v>0</v>
      </c>
      <c r="AG1731">
        <v>0</v>
      </c>
      <c r="AH1731">
        <v>0</v>
      </c>
      <c r="AI1731">
        <v>598</v>
      </c>
      <c r="AJ1731">
        <v>0</v>
      </c>
      <c r="AK1731">
        <v>0</v>
      </c>
      <c r="AL1731">
        <v>0</v>
      </c>
      <c r="AM1731">
        <v>0</v>
      </c>
      <c r="AN1731">
        <v>96</v>
      </c>
      <c r="AO1731">
        <v>0</v>
      </c>
      <c r="AP1731">
        <v>9</v>
      </c>
      <c r="AQ1731">
        <v>0</v>
      </c>
      <c r="AR1731">
        <v>1</v>
      </c>
      <c r="AS1731" t="s">
        <v>58</v>
      </c>
      <c r="AT1731">
        <v>1</v>
      </c>
      <c r="AU1731" t="s">
        <v>59</v>
      </c>
      <c r="AV1731" t="s">
        <v>60</v>
      </c>
      <c r="AW1731">
        <v>1</v>
      </c>
      <c r="AX1731">
        <v>3</v>
      </c>
      <c r="AY1731">
        <v>0</v>
      </c>
      <c r="AZ1731">
        <v>43900</v>
      </c>
      <c r="BA1731">
        <v>100</v>
      </c>
      <c r="BB1731">
        <v>100</v>
      </c>
      <c r="BC1731">
        <v>100</v>
      </c>
      <c r="BD1731">
        <v>100</v>
      </c>
      <c r="BE1731">
        <v>1</v>
      </c>
      <c r="BF1731">
        <v>15000</v>
      </c>
      <c r="BG1731">
        <v>1000</v>
      </c>
      <c r="BH1731" s="6">
        <f>Grandview_Inventory[[#This Row],[land_extract]]*Lookups!$B$3</f>
        <v>54403.117616176372</v>
      </c>
      <c r="BI1731" s="6">
        <f>IF(Grandview_Inventory[[#This Row],[bldg_style]]="",0,Lookups!$B$2)</f>
        <v>155833.95000000001</v>
      </c>
      <c r="BJ1731" s="6">
        <f>_xlfn.IFNA(VLOOKUP(Grandview_Inventory[[#This Row],[quality]],Lookups!$H$2:$J$14,3,FALSE),0)</f>
        <v>2251</v>
      </c>
      <c r="BK1731" s="6">
        <f>_xlfn.IFNA(VLOOKUP(Grandview_Inventory[[#This Row],[condition]],Lookups!$H$17:$J$24,3,FALSE),0)</f>
        <v>-4503</v>
      </c>
      <c r="BL1731" s="6">
        <f>Grandview_Inventory[[#This Row],[Eff_Age]]*Lookups!$B$14</f>
        <v>-11240.8302</v>
      </c>
      <c r="BM1731" s="6">
        <f>Grandview_Inventory[[#This Row],[living_area]]*Lookups!$B$15</f>
        <v>118461.239847</v>
      </c>
      <c r="BN1731" s="6">
        <f>Grandview_Inventory[[#This Row],[Fin BSMT]]*Lookups!$B$16</f>
        <v>0</v>
      </c>
      <c r="BO1731" s="6">
        <f>(Grandview_Inventory[[#This Row],[att_gar]]+Grandview_Inventory[[#This Row],[bltin_gar]])*Lookups!$B$17</f>
        <v>52337.221325999999</v>
      </c>
      <c r="BP1731" s="6">
        <f>Grandview_Inventory[[#This Row],[Plumbing Fixtures]]*Lookups!$B$18</f>
        <v>18093.976200000001</v>
      </c>
      <c r="BQ1731" s="6">
        <f>Grandview_Inventory[[#This Row],[detatched_value]]*Lookups!$B$19</f>
        <v>37174.743889999998</v>
      </c>
      <c r="BR1731" s="6">
        <f>SUM(Grandview_Inventory[[#This Row],[Intercept]:[det_value]])*Grandview_Inventory[[#This Row],[res_pct]]</f>
        <v>368408.30106299999</v>
      </c>
      <c r="BS1731" s="6">
        <f>Grandview_Inventory[[#This Row],[land_value]]</f>
        <v>54403.117616176372</v>
      </c>
      <c r="BT1731" s="4">
        <f>_xlfn.IFNA(VLOOKUP(Grandview_Inventory[[#This Row],[quality]],Lookups!$A$26:$C$33,3,FALSE),1)</f>
        <v>0.98763855981004833</v>
      </c>
      <c r="BU1731" s="4">
        <f>_xlfn.IFNA(VLOOKUP(Grandview_Inventory[[#This Row],[condition]],Lookups!$A$37:$C$44,3,FALSE),1)</f>
        <v>0.96469275950863709</v>
      </c>
      <c r="BV1731" s="4">
        <f>IF(Grandview_Inventory[[#This Row],[bldg_style]]="",1,_xlfn.IFNA(VLOOKUP(Grandview_Inventory[[#This Row],[decade]],Lookups!$F$29:$H$43,3,FALSE),1))</f>
        <v>0.95268620544463312</v>
      </c>
      <c r="BW1731" s="4">
        <f>_xlfn.IFNA(VLOOKUP(Grandview_Inventory[[#This Row],[living_area_range]],Lookups!$F$47:$H$56,3,FALSE),1)</f>
        <v>0.96120133463014379</v>
      </c>
      <c r="BX1731" s="4">
        <f>AVERAGE(Grandview_Inventory[[#This Row],[qual_adj]:[size_adj]])</f>
        <v>0.96655471484836553</v>
      </c>
      <c r="BY1731" s="6">
        <f>IF(Grandview_Inventory[[#This Row],[pre_res]]&lt;0,0,Grandview_Inventory[[#This Row],[pre_res]]*Grandview_Inventory[[#This Row],[overall_adj]])</f>
        <v>356086.78038171877</v>
      </c>
      <c r="BZ1731" s="6">
        <f>(Grandview_Inventory[[#This Row],[sum_land]]-IF(Grandview_Inventory[[#This Row],[no_utilities]]=1,12000,0))/IF(Grandview_Inventory[[#This Row],[unbuildable]]=1,2,1)</f>
        <v>54403.117616176372</v>
      </c>
      <c r="CA1731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731">
        <f>ROUND(Grandview_Inventory[[#This Row],[det_value]]*Lookups!$M$28,-2)</f>
        <v>35300</v>
      </c>
      <c r="CC1731">
        <f>IF(ROUND(Grandview_Inventory[[#This Row],[adj_res]]*Lookups!$M$28,-2)&lt;Grandview_Inventory[[#This Row],[min_res]],Grandview_Inventory[[#This Row],[min_res]],ROUND(Grandview_Inventory[[#This Row],[adj_res]]*Lookups!$M$28,-2))</f>
        <v>338300</v>
      </c>
      <c r="CD1731">
        <f>Grandview_Inventory[[#This Row],[final_det]]+Grandview_Inventory[[#This Row],[final_res]]</f>
        <v>373600</v>
      </c>
      <c r="CE1731">
        <f>Grandview_Inventory[[#This Row],[final_land]]+Grandview_Inventory[[#This Row],[final_imp]]+Grandview_Inventory[[#This Row],[crop_value]]</f>
        <v>425300</v>
      </c>
      <c r="CG1731" t="str">
        <f t="shared" ref="CG1731:CG1794" si="27">"update valuation set market_land ="&amp;CA1731&amp;", market_bldg="&amp;CD1731&amp;", market_total ="&amp;CE1731&amp;", market_mdno ="&amp;$CG$1&amp;", market_date ='"&amp;TEXT($CH$1,"m/d/yyyy")&amp;"' where link_id = (select link_id from parcel where parcel_year = '2024' and parcel_id = '"&amp;A1731&amp;"');"</f>
        <v>update valuation set market_land =51700, market_bldg=373600, market_total =425300, market_mdno =401, market_date ='9/10/2023' where link_id = (select link_id from parcel where parcel_year = '2024' and parcel_id = '23092332480');</v>
      </c>
    </row>
    <row r="1732" spans="1:85" x14ac:dyDescent="0.25">
      <c r="A1732">
        <v>23092332481</v>
      </c>
      <c r="B1732">
        <v>0.21</v>
      </c>
      <c r="C1732" t="s">
        <v>129</v>
      </c>
      <c r="D1732" t="s">
        <v>129</v>
      </c>
      <c r="E1732" t="s">
        <v>53</v>
      </c>
      <c r="F1732" t="s">
        <v>53</v>
      </c>
      <c r="G1732">
        <v>4</v>
      </c>
      <c r="H1732" t="s">
        <v>54</v>
      </c>
      <c r="I1732">
        <v>229900</v>
      </c>
      <c r="J1732">
        <v>39300</v>
      </c>
      <c r="K1732">
        <v>0.21</v>
      </c>
      <c r="L173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732">
        <v>0</v>
      </c>
      <c r="N1732">
        <v>0</v>
      </c>
      <c r="O1732">
        <v>0</v>
      </c>
      <c r="P1732">
        <v>13398.7528</v>
      </c>
      <c r="Q1732">
        <v>63903</v>
      </c>
      <c r="R1732">
        <f>(Grandview_Inventory[[#This Row],[ln_acres]]*Grandview_Inventory[[#This Row],[coeff]])+Grandview_Inventory[[#This Row],[const]]</f>
        <v>42992.266613125081</v>
      </c>
      <c r="S1732" t="s">
        <v>77</v>
      </c>
      <c r="T1732">
        <v>1</v>
      </c>
      <c r="U1732" t="s">
        <v>65</v>
      </c>
      <c r="V1732" t="s">
        <v>69</v>
      </c>
      <c r="W1732">
        <v>0</v>
      </c>
      <c r="X1732">
        <v>0</v>
      </c>
      <c r="Y1732">
        <v>47</v>
      </c>
      <c r="Z1732">
        <v>57</v>
      </c>
      <c r="AA1732">
        <v>60</v>
      </c>
      <c r="AB1732">
        <v>2500</v>
      </c>
      <c r="AC1732">
        <v>2018</v>
      </c>
      <c r="AD1732">
        <v>1018</v>
      </c>
      <c r="AE1732">
        <v>0</v>
      </c>
      <c r="AF1732">
        <v>0</v>
      </c>
      <c r="AG1732">
        <v>1000</v>
      </c>
      <c r="AH1732">
        <v>0</v>
      </c>
      <c r="AI1732">
        <v>390</v>
      </c>
      <c r="AJ1732">
        <v>0</v>
      </c>
      <c r="AK1732">
        <v>0</v>
      </c>
      <c r="AL1732">
        <v>144</v>
      </c>
      <c r="AM1732">
        <v>240</v>
      </c>
      <c r="AN1732">
        <v>0</v>
      </c>
      <c r="AO1732">
        <v>96</v>
      </c>
      <c r="AP1732">
        <v>8</v>
      </c>
      <c r="AQ1732">
        <v>0</v>
      </c>
      <c r="AR1732">
        <v>1</v>
      </c>
      <c r="AS1732" t="s">
        <v>76</v>
      </c>
      <c r="AT1732">
        <v>1</v>
      </c>
      <c r="AU1732" t="s">
        <v>63</v>
      </c>
      <c r="AV1732" t="s">
        <v>60</v>
      </c>
      <c r="AW1732">
        <v>0</v>
      </c>
      <c r="AX1732">
        <v>4</v>
      </c>
      <c r="AY1732">
        <v>0</v>
      </c>
      <c r="AZ1732">
        <v>23000</v>
      </c>
      <c r="BA1732">
        <v>100</v>
      </c>
      <c r="BB1732">
        <v>100</v>
      </c>
      <c r="BC1732">
        <v>100</v>
      </c>
      <c r="BD1732">
        <v>100</v>
      </c>
      <c r="BE1732">
        <v>1</v>
      </c>
      <c r="BF1732">
        <v>15000</v>
      </c>
      <c r="BG1732">
        <v>1000</v>
      </c>
      <c r="BH1732" s="6">
        <f>Grandview_Inventory[[#This Row],[land_extract]]*Lookups!$B$3</f>
        <v>49926.8031387023</v>
      </c>
      <c r="BI1732" s="6">
        <f>IF(Grandview_Inventory[[#This Row],[bldg_style]]="",0,Lookups!$B$2)</f>
        <v>155833.95000000001</v>
      </c>
      <c r="BJ1732" s="6">
        <f>_xlfn.IFNA(VLOOKUP(Grandview_Inventory[[#This Row],[quality]],Lookups!$H$2:$J$14,3,FALSE),0)</f>
        <v>2251</v>
      </c>
      <c r="BK1732" s="6">
        <f>_xlfn.IFNA(VLOOKUP(Grandview_Inventory[[#This Row],[condition]],Lookups!$H$17:$J$24,3,FALSE),0)</f>
        <v>-4503</v>
      </c>
      <c r="BL1732" s="6">
        <f>Grandview_Inventory[[#This Row],[Eff_Age]]*Lookups!$B$14</f>
        <v>-11240.8302</v>
      </c>
      <c r="BM1732" s="6">
        <f>Grandview_Inventory[[#This Row],[living_area]]*Lookups!$B$15</f>
        <v>125884.561354</v>
      </c>
      <c r="BN1732" s="6">
        <f>Grandview_Inventory[[#This Row],[Fin BSMT]]*Lookups!$B$16</f>
        <v>-27099.24</v>
      </c>
      <c r="BO1732" s="6">
        <f>(Grandview_Inventory[[#This Row],[att_gar]]+Grandview_Inventory[[#This Row],[bltin_gar]])*Lookups!$B$17</f>
        <v>34132.970430000001</v>
      </c>
      <c r="BP1732" s="6">
        <f>Grandview_Inventory[[#This Row],[Plumbing Fixtures]]*Lookups!$B$18</f>
        <v>16083.5344</v>
      </c>
      <c r="BQ1732" s="6">
        <f>Grandview_Inventory[[#This Row],[detatched_value]]*Lookups!$B$19</f>
        <v>19476.5173</v>
      </c>
      <c r="BR1732" s="6">
        <f>SUM(Grandview_Inventory[[#This Row],[Intercept]:[det_value]])*Grandview_Inventory[[#This Row],[res_pct]]</f>
        <v>310819.463284</v>
      </c>
      <c r="BS1732" s="6">
        <f>Grandview_Inventory[[#This Row],[land_value]]</f>
        <v>49926.8031387023</v>
      </c>
      <c r="BT1732" s="4">
        <f>_xlfn.IFNA(VLOOKUP(Grandview_Inventory[[#This Row],[quality]],Lookups!$A$26:$C$33,3,FALSE),1)</f>
        <v>0.98763855981004833</v>
      </c>
      <c r="BU1732" s="4">
        <f>_xlfn.IFNA(VLOOKUP(Grandview_Inventory[[#This Row],[condition]],Lookups!$A$37:$C$44,3,FALSE),1)</f>
        <v>0.96469275950863709</v>
      </c>
      <c r="BV1732" s="4">
        <f>IF(Grandview_Inventory[[#This Row],[bldg_style]]="",1,_xlfn.IFNA(VLOOKUP(Grandview_Inventory[[#This Row],[decade]],Lookups!$F$29:$H$43,3,FALSE),1))</f>
        <v>0.95268620544463312</v>
      </c>
      <c r="BW1732" s="4">
        <f>_xlfn.IFNA(VLOOKUP(Grandview_Inventory[[#This Row],[living_area_range]],Lookups!$F$47:$H$56,3,FALSE),1)</f>
        <v>0.95799442568048754</v>
      </c>
      <c r="BX1732" s="4">
        <f>AVERAGE(Grandview_Inventory[[#This Row],[qual_adj]:[size_adj]])</f>
        <v>0.96575298761095152</v>
      </c>
      <c r="BY1732" s="6">
        <f>IF(Grandview_Inventory[[#This Row],[pre_res]]&lt;0,0,Grandview_Inventory[[#This Row],[pre_res]]*Grandview_Inventory[[#This Row],[overall_adj]])</f>
        <v>300174.82527415548</v>
      </c>
      <c r="BZ1732" s="6">
        <f>(Grandview_Inventory[[#This Row],[sum_land]]-IF(Grandview_Inventory[[#This Row],[no_utilities]]=1,12000,0))/IF(Grandview_Inventory[[#This Row],[unbuildable]]=1,2,1)</f>
        <v>49926.8031387023</v>
      </c>
      <c r="CA173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732">
        <f>ROUND(Grandview_Inventory[[#This Row],[det_value]]*Lookups!$M$28,-2)</f>
        <v>18500</v>
      </c>
      <c r="CC1732">
        <f>IF(ROUND(Grandview_Inventory[[#This Row],[adj_res]]*Lookups!$M$28,-2)&lt;Grandview_Inventory[[#This Row],[min_res]],Grandview_Inventory[[#This Row],[min_res]],ROUND(Grandview_Inventory[[#This Row],[adj_res]]*Lookups!$M$28,-2))</f>
        <v>285200</v>
      </c>
      <c r="CD1732">
        <f>Grandview_Inventory[[#This Row],[final_det]]+Grandview_Inventory[[#This Row],[final_res]]</f>
        <v>303700</v>
      </c>
      <c r="CE1732">
        <f>Grandview_Inventory[[#This Row],[final_land]]+Grandview_Inventory[[#This Row],[final_imp]]+Grandview_Inventory[[#This Row],[crop_value]]</f>
        <v>351100</v>
      </c>
      <c r="CG1732" t="str">
        <f t="shared" si="27"/>
        <v>update valuation set market_land =47400, market_bldg=303700, market_total =351100, market_mdno =401, market_date ='9/10/2023' where link_id = (select link_id from parcel where parcel_year = '2024' and parcel_id = '23092332481');</v>
      </c>
    </row>
    <row r="1733" spans="1:85" x14ac:dyDescent="0.25">
      <c r="A1733">
        <v>23092332482</v>
      </c>
      <c r="B1733">
        <v>0.23</v>
      </c>
      <c r="C1733">
        <v>10200</v>
      </c>
      <c r="D1733" t="s">
        <v>129</v>
      </c>
      <c r="E1733" t="s">
        <v>53</v>
      </c>
      <c r="F1733" t="s">
        <v>53</v>
      </c>
      <c r="G1733">
        <v>4</v>
      </c>
      <c r="H1733" t="s">
        <v>54</v>
      </c>
      <c r="I1733">
        <v>234000</v>
      </c>
      <c r="J1733">
        <v>44000</v>
      </c>
      <c r="K1733">
        <v>0.23</v>
      </c>
      <c r="L173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33">
        <v>0</v>
      </c>
      <c r="N1733">
        <v>0</v>
      </c>
      <c r="O1733">
        <v>0</v>
      </c>
      <c r="P1733">
        <v>13398.7528</v>
      </c>
      <c r="Q1733">
        <v>63903</v>
      </c>
      <c r="R1733">
        <f>(Grandview_Inventory[[#This Row],[ln_acres]]*Grandview_Inventory[[#This Row],[coeff]])+Grandview_Inventory[[#This Row],[const]]</f>
        <v>44211.174981080039</v>
      </c>
      <c r="S1733" t="s">
        <v>61</v>
      </c>
      <c r="T1733">
        <v>1</v>
      </c>
      <c r="U1733" t="s">
        <v>64</v>
      </c>
      <c r="V1733" t="s">
        <v>69</v>
      </c>
      <c r="W1733">
        <v>0</v>
      </c>
      <c r="X1733">
        <v>0</v>
      </c>
      <c r="Y1733">
        <v>47</v>
      </c>
      <c r="Z1733">
        <v>56</v>
      </c>
      <c r="AA1733">
        <v>60</v>
      </c>
      <c r="AB1733">
        <v>1500</v>
      </c>
      <c r="AC1733">
        <v>1478</v>
      </c>
      <c r="AD1733">
        <v>1478</v>
      </c>
      <c r="AE1733">
        <v>0</v>
      </c>
      <c r="AF1733">
        <v>0</v>
      </c>
      <c r="AG1733">
        <v>0</v>
      </c>
      <c r="AH1733">
        <v>0</v>
      </c>
      <c r="AI1733">
        <v>594</v>
      </c>
      <c r="AJ1733">
        <v>0</v>
      </c>
      <c r="AK1733">
        <v>0</v>
      </c>
      <c r="AL1733">
        <v>0</v>
      </c>
      <c r="AM1733">
        <v>336</v>
      </c>
      <c r="AN1733">
        <v>154</v>
      </c>
      <c r="AO1733">
        <v>0</v>
      </c>
      <c r="AP1733">
        <v>9</v>
      </c>
      <c r="AQ1733">
        <v>0</v>
      </c>
      <c r="AR1733">
        <v>1</v>
      </c>
      <c r="AS1733" t="s">
        <v>76</v>
      </c>
      <c r="AT1733">
        <v>1</v>
      </c>
      <c r="AU1733" t="s">
        <v>59</v>
      </c>
      <c r="AV1733" t="s">
        <v>60</v>
      </c>
      <c r="AW1733">
        <v>1</v>
      </c>
      <c r="AX1733">
        <v>3</v>
      </c>
      <c r="AY1733">
        <v>0</v>
      </c>
      <c r="AZ1733">
        <v>0</v>
      </c>
      <c r="BA1733">
        <v>100</v>
      </c>
      <c r="BB1733">
        <v>100</v>
      </c>
      <c r="BC1733">
        <v>100</v>
      </c>
      <c r="BD1733">
        <v>100</v>
      </c>
      <c r="BE1733">
        <v>1</v>
      </c>
      <c r="BF1733">
        <v>15000</v>
      </c>
      <c r="BG1733">
        <v>1000</v>
      </c>
      <c r="BH1733" s="6">
        <f>Grandview_Inventory[[#This Row],[land_extract]]*Lookups!$B$3</f>
        <v>51342.318135355803</v>
      </c>
      <c r="BI1733" s="6">
        <f>IF(Grandview_Inventory[[#This Row],[bldg_style]]="",0,Lookups!$B$2)</f>
        <v>155833.95000000001</v>
      </c>
      <c r="BJ1733" s="6">
        <f>_xlfn.IFNA(VLOOKUP(Grandview_Inventory[[#This Row],[quality]],Lookups!$H$2:$J$14,3,FALSE),0)</f>
        <v>20768</v>
      </c>
      <c r="BK1733" s="6">
        <f>_xlfn.IFNA(VLOOKUP(Grandview_Inventory[[#This Row],[condition]],Lookups!$H$17:$J$24,3,FALSE),0)</f>
        <v>-4503</v>
      </c>
      <c r="BL1733" s="6">
        <f>Grandview_Inventory[[#This Row],[Eff_Age]]*Lookups!$B$14</f>
        <v>-11240.8302</v>
      </c>
      <c r="BM1733" s="6">
        <f>Grandview_Inventory[[#This Row],[living_area]]*Lookups!$B$15</f>
        <v>92198.90073400001</v>
      </c>
      <c r="BN1733" s="6">
        <f>Grandview_Inventory[[#This Row],[Fin BSMT]]*Lookups!$B$16</f>
        <v>0</v>
      </c>
      <c r="BO1733" s="6">
        <f>(Grandview_Inventory[[#This Row],[att_gar]]+Grandview_Inventory[[#This Row],[bltin_gar]])*Lookups!$B$17</f>
        <v>51987.139578000002</v>
      </c>
      <c r="BP1733" s="6">
        <f>Grandview_Inventory[[#This Row],[Plumbing Fixtures]]*Lookups!$B$18</f>
        <v>18093.976200000001</v>
      </c>
      <c r="BQ1733" s="6">
        <f>Grandview_Inventory[[#This Row],[detatched_value]]*Lookups!$B$19</f>
        <v>0</v>
      </c>
      <c r="BR1733" s="6">
        <f>SUM(Grandview_Inventory[[#This Row],[Intercept]:[det_value]])*Grandview_Inventory[[#This Row],[res_pct]]</f>
        <v>323138.13631199999</v>
      </c>
      <c r="BS1733" s="6">
        <f>Grandview_Inventory[[#This Row],[land_value]]</f>
        <v>51342.318135355803</v>
      </c>
      <c r="BT1733" s="4">
        <f>_xlfn.IFNA(VLOOKUP(Grandview_Inventory[[#This Row],[quality]],Lookups!$A$26:$C$33,3,FALSE),1)</f>
        <v>0.94960540378902636</v>
      </c>
      <c r="BU1733" s="4">
        <f>_xlfn.IFNA(VLOOKUP(Grandview_Inventory[[#This Row],[condition]],Lookups!$A$37:$C$44,3,FALSE),1)</f>
        <v>0.96469275950863709</v>
      </c>
      <c r="BV1733" s="4">
        <f>IF(Grandview_Inventory[[#This Row],[bldg_style]]="",1,_xlfn.IFNA(VLOOKUP(Grandview_Inventory[[#This Row],[decade]],Lookups!$F$29:$H$43,3,FALSE),1))</f>
        <v>0.95268620544463312</v>
      </c>
      <c r="BW1733" s="4">
        <f>_xlfn.IFNA(VLOOKUP(Grandview_Inventory[[#This Row],[living_area_range]],Lookups!$F$47:$H$56,3,FALSE),1)</f>
        <v>0.96135087979789358</v>
      </c>
      <c r="BX1733" s="4">
        <f>AVERAGE(Grandview_Inventory[[#This Row],[qual_adj]:[size_adj]])</f>
        <v>0.95708381213504756</v>
      </c>
      <c r="BY1733" s="6">
        <f>IF(Grandview_Inventory[[#This Row],[pre_res]]&lt;0,0,Grandview_Inventory[[#This Row],[pre_res]]*Grandview_Inventory[[#This Row],[overall_adj]])</f>
        <v>309270.27934770356</v>
      </c>
      <c r="BZ1733" s="6">
        <f>(Grandview_Inventory[[#This Row],[sum_land]]-IF(Grandview_Inventory[[#This Row],[no_utilities]]=1,12000,0))/IF(Grandview_Inventory[[#This Row],[unbuildable]]=1,2,1)</f>
        <v>51342.318135355803</v>
      </c>
      <c r="CA173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33">
        <f>ROUND(Grandview_Inventory[[#This Row],[det_value]]*Lookups!$M$28,-2)</f>
        <v>0</v>
      </c>
      <c r="CC1733">
        <f>IF(ROUND(Grandview_Inventory[[#This Row],[adj_res]]*Lookups!$M$28,-2)&lt;Grandview_Inventory[[#This Row],[min_res]],Grandview_Inventory[[#This Row],[min_res]],ROUND(Grandview_Inventory[[#This Row],[adj_res]]*Lookups!$M$28,-2))</f>
        <v>293800</v>
      </c>
      <c r="CD1733">
        <f>Grandview_Inventory[[#This Row],[final_det]]+Grandview_Inventory[[#This Row],[final_res]]</f>
        <v>293800</v>
      </c>
      <c r="CE1733">
        <f>Grandview_Inventory[[#This Row],[final_land]]+Grandview_Inventory[[#This Row],[final_imp]]+Grandview_Inventory[[#This Row],[crop_value]]</f>
        <v>342600</v>
      </c>
      <c r="CG1733" t="str">
        <f t="shared" si="27"/>
        <v>update valuation set market_land =48800, market_bldg=293800, market_total =342600, market_mdno =401, market_date ='9/10/2023' where link_id = (select link_id from parcel where parcel_year = '2024' and parcel_id = '23092332482');</v>
      </c>
    </row>
    <row r="1734" spans="1:85" x14ac:dyDescent="0.25">
      <c r="A1734">
        <v>23092332483</v>
      </c>
      <c r="B1734">
        <v>0.22</v>
      </c>
      <c r="C1734" t="s">
        <v>129</v>
      </c>
      <c r="D1734" t="s">
        <v>129</v>
      </c>
      <c r="E1734" t="s">
        <v>53</v>
      </c>
      <c r="F1734" t="s">
        <v>53</v>
      </c>
      <c r="G1734">
        <v>4</v>
      </c>
      <c r="H1734" t="s">
        <v>54</v>
      </c>
      <c r="I1734">
        <v>240600</v>
      </c>
      <c r="J1734">
        <v>39500</v>
      </c>
      <c r="K1734">
        <v>0.22</v>
      </c>
      <c r="L173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34">
        <v>0</v>
      </c>
      <c r="N1734">
        <v>0</v>
      </c>
      <c r="O1734">
        <v>0</v>
      </c>
      <c r="P1734">
        <v>13398.7528</v>
      </c>
      <c r="Q1734">
        <v>63903</v>
      </c>
      <c r="R1734">
        <f>(Grandview_Inventory[[#This Row],[ln_acres]]*Grandview_Inventory[[#This Row],[coeff]])+Grandview_Inventory[[#This Row],[const]]</f>
        <v>43615.576802869145</v>
      </c>
      <c r="S1734" t="s">
        <v>61</v>
      </c>
      <c r="T1734">
        <v>1</v>
      </c>
      <c r="U1734" t="s">
        <v>62</v>
      </c>
      <c r="V1734" t="s">
        <v>69</v>
      </c>
      <c r="W1734">
        <v>0</v>
      </c>
      <c r="X1734">
        <v>0</v>
      </c>
      <c r="Y1734">
        <v>47</v>
      </c>
      <c r="Z1734">
        <v>57</v>
      </c>
      <c r="AA1734">
        <v>60</v>
      </c>
      <c r="AB1734">
        <v>3000</v>
      </c>
      <c r="AC1734">
        <v>2924</v>
      </c>
      <c r="AD1734">
        <v>1462</v>
      </c>
      <c r="AE1734">
        <v>0</v>
      </c>
      <c r="AF1734">
        <v>0</v>
      </c>
      <c r="AG1734">
        <v>1462</v>
      </c>
      <c r="AH1734">
        <v>0</v>
      </c>
      <c r="AI1734">
        <v>575</v>
      </c>
      <c r="AJ1734">
        <v>0</v>
      </c>
      <c r="AK1734">
        <v>0</v>
      </c>
      <c r="AL1734">
        <v>120</v>
      </c>
      <c r="AM1734">
        <v>0</v>
      </c>
      <c r="AN1734">
        <v>100</v>
      </c>
      <c r="AO1734">
        <v>0</v>
      </c>
      <c r="AP1734">
        <v>11</v>
      </c>
      <c r="AQ1734">
        <v>0</v>
      </c>
      <c r="AR1734">
        <v>1</v>
      </c>
      <c r="AS1734" t="s">
        <v>58</v>
      </c>
      <c r="AT1734">
        <v>1</v>
      </c>
      <c r="AU1734" t="s">
        <v>79</v>
      </c>
      <c r="AV1734" t="s">
        <v>60</v>
      </c>
      <c r="AW1734">
        <v>0</v>
      </c>
      <c r="AX1734">
        <v>4</v>
      </c>
      <c r="AY1734">
        <v>0</v>
      </c>
      <c r="AZ1734">
        <v>0</v>
      </c>
      <c r="BA1734">
        <v>100</v>
      </c>
      <c r="BB1734">
        <v>100</v>
      </c>
      <c r="BC1734">
        <v>100</v>
      </c>
      <c r="BD1734">
        <v>100</v>
      </c>
      <c r="BE1734">
        <v>1</v>
      </c>
      <c r="BF1734">
        <v>15000</v>
      </c>
      <c r="BG1734">
        <v>1000</v>
      </c>
      <c r="BH1734" s="6">
        <f>Grandview_Inventory[[#This Row],[land_extract]]*Lookups!$B$3</f>
        <v>50650.651579114572</v>
      </c>
      <c r="BI1734" s="6">
        <f>IF(Grandview_Inventory[[#This Row],[bldg_style]]="",0,Lookups!$B$2)</f>
        <v>155833.95000000001</v>
      </c>
      <c r="BJ1734" s="6">
        <f>_xlfn.IFNA(VLOOKUP(Grandview_Inventory[[#This Row],[quality]],Lookups!$H$2:$J$14,3,FALSE),0)</f>
        <v>9808</v>
      </c>
      <c r="BK1734" s="6">
        <f>_xlfn.IFNA(VLOOKUP(Grandview_Inventory[[#This Row],[condition]],Lookups!$H$17:$J$24,3,FALSE),0)</f>
        <v>-4503</v>
      </c>
      <c r="BL1734" s="6">
        <f>Grandview_Inventory[[#This Row],[Eff_Age]]*Lookups!$B$14</f>
        <v>-11240.8302</v>
      </c>
      <c r="BM1734" s="6">
        <f>Grandview_Inventory[[#This Row],[living_area]]*Lookups!$B$15</f>
        <v>182401.614172</v>
      </c>
      <c r="BN1734" s="6">
        <f>Grandview_Inventory[[#This Row],[Fin BSMT]]*Lookups!$B$16</f>
        <v>-39619.088880000003</v>
      </c>
      <c r="BO1734" s="6">
        <f>(Grandview_Inventory[[#This Row],[att_gar]]+Grandview_Inventory[[#This Row],[bltin_gar]])*Lookups!$B$17</f>
        <v>50324.251275000002</v>
      </c>
      <c r="BP1734" s="6">
        <f>Grandview_Inventory[[#This Row],[Plumbing Fixtures]]*Lookups!$B$18</f>
        <v>22114.859800000002</v>
      </c>
      <c r="BQ1734" s="6">
        <f>Grandview_Inventory[[#This Row],[detatched_value]]*Lookups!$B$19</f>
        <v>0</v>
      </c>
      <c r="BR1734" s="6">
        <f>SUM(Grandview_Inventory[[#This Row],[Intercept]:[det_value]])*Grandview_Inventory[[#This Row],[res_pct]]</f>
        <v>365119.75616699998</v>
      </c>
      <c r="BS1734" s="6">
        <f>Grandview_Inventory[[#This Row],[land_value]]</f>
        <v>50650.651579114572</v>
      </c>
      <c r="BT1734" s="4">
        <f>_xlfn.IFNA(VLOOKUP(Grandview_Inventory[[#This Row],[quality]],Lookups!$A$26:$C$33,3,FALSE),1)</f>
        <v>0.94295468617355149</v>
      </c>
      <c r="BU1734" s="4">
        <f>_xlfn.IFNA(VLOOKUP(Grandview_Inventory[[#This Row],[condition]],Lookups!$A$37:$C$44,3,FALSE),1)</f>
        <v>0.96469275950863709</v>
      </c>
      <c r="BV1734" s="4">
        <f>IF(Grandview_Inventory[[#This Row],[bldg_style]]="",1,_xlfn.IFNA(VLOOKUP(Grandview_Inventory[[#This Row],[decade]],Lookups!$F$29:$H$43,3,FALSE),1))</f>
        <v>0.95268620544463312</v>
      </c>
      <c r="BW1734" s="4">
        <f>_xlfn.IFNA(VLOOKUP(Grandview_Inventory[[#This Row],[living_area_range]],Lookups!$F$47:$H$56,3,FALSE),1)</f>
        <v>0.94224801443562123</v>
      </c>
      <c r="BX1734" s="4">
        <f>AVERAGE(Grandview_Inventory[[#This Row],[qual_adj]:[size_adj]])</f>
        <v>0.95064541639061073</v>
      </c>
      <c r="BY1734" s="6">
        <f>IF(Grandview_Inventory[[#This Row],[pre_res]]&lt;0,0,Grandview_Inventory[[#This Row],[pre_res]]*Grandview_Inventory[[#This Row],[overall_adj]])</f>
        <v>347099.42263381596</v>
      </c>
      <c r="BZ1734" s="6">
        <f>(Grandview_Inventory[[#This Row],[sum_land]]-IF(Grandview_Inventory[[#This Row],[no_utilities]]=1,12000,0))/IF(Grandview_Inventory[[#This Row],[unbuildable]]=1,2,1)</f>
        <v>50650.651579114572</v>
      </c>
      <c r="CA173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34">
        <f>ROUND(Grandview_Inventory[[#This Row],[det_value]]*Lookups!$M$28,-2)</f>
        <v>0</v>
      </c>
      <c r="CC1734">
        <f>IF(ROUND(Grandview_Inventory[[#This Row],[adj_res]]*Lookups!$M$28,-2)&lt;Grandview_Inventory[[#This Row],[min_res]],Grandview_Inventory[[#This Row],[min_res]],ROUND(Grandview_Inventory[[#This Row],[adj_res]]*Lookups!$M$28,-2))</f>
        <v>329700</v>
      </c>
      <c r="CD1734">
        <f>Grandview_Inventory[[#This Row],[final_det]]+Grandview_Inventory[[#This Row],[final_res]]</f>
        <v>329700</v>
      </c>
      <c r="CE1734">
        <f>Grandview_Inventory[[#This Row],[final_land]]+Grandview_Inventory[[#This Row],[final_imp]]+Grandview_Inventory[[#This Row],[crop_value]]</f>
        <v>377800</v>
      </c>
      <c r="CG1734" t="str">
        <f t="shared" si="27"/>
        <v>update valuation set market_land =48100, market_bldg=329700, market_total =377800, market_mdno =401, market_date ='9/10/2023' where link_id = (select link_id from parcel where parcel_year = '2024' and parcel_id = '23092332483');</v>
      </c>
    </row>
    <row r="1735" spans="1:85" x14ac:dyDescent="0.25">
      <c r="A1735">
        <v>23092332484</v>
      </c>
      <c r="B1735">
        <v>0.25</v>
      </c>
      <c r="C1735">
        <v>10710</v>
      </c>
      <c r="D1735" t="s">
        <v>129</v>
      </c>
      <c r="E1735" t="s">
        <v>53</v>
      </c>
      <c r="F1735" t="s">
        <v>53</v>
      </c>
      <c r="G1735">
        <v>4</v>
      </c>
      <c r="H1735" t="s">
        <v>54</v>
      </c>
      <c r="I1735">
        <v>232000</v>
      </c>
      <c r="J1735">
        <v>40000</v>
      </c>
      <c r="K1735">
        <v>0.25</v>
      </c>
      <c r="L173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35">
        <v>0</v>
      </c>
      <c r="N1735">
        <v>0</v>
      </c>
      <c r="O1735">
        <v>0</v>
      </c>
      <c r="P1735">
        <v>13398.7528</v>
      </c>
      <c r="Q1735">
        <v>63903</v>
      </c>
      <c r="R1735">
        <f>(Grandview_Inventory[[#This Row],[ln_acres]]*Grandview_Inventory[[#This Row],[coeff]])+Grandview_Inventory[[#This Row],[const]]</f>
        <v>45328.38454732066</v>
      </c>
      <c r="S1735" t="s">
        <v>61</v>
      </c>
      <c r="T1735">
        <v>1</v>
      </c>
      <c r="U1735" t="s">
        <v>56</v>
      </c>
      <c r="V1735" t="s">
        <v>69</v>
      </c>
      <c r="W1735">
        <v>30700</v>
      </c>
      <c r="X1735">
        <v>0</v>
      </c>
      <c r="Y1735">
        <v>47</v>
      </c>
      <c r="Z1735">
        <v>57</v>
      </c>
      <c r="AA1735">
        <v>60</v>
      </c>
      <c r="AB1735">
        <v>2500</v>
      </c>
      <c r="AC1735">
        <v>2130</v>
      </c>
      <c r="AD1735">
        <v>2130</v>
      </c>
      <c r="AE1735">
        <v>0</v>
      </c>
      <c r="AF1735">
        <v>0</v>
      </c>
      <c r="AG1735">
        <v>0</v>
      </c>
      <c r="AH1735">
        <v>0</v>
      </c>
      <c r="AI1735">
        <v>440</v>
      </c>
      <c r="AJ1735">
        <v>0</v>
      </c>
      <c r="AK1735">
        <v>0</v>
      </c>
      <c r="AL1735">
        <v>0</v>
      </c>
      <c r="AM1735">
        <v>0</v>
      </c>
      <c r="AN1735">
        <v>25</v>
      </c>
      <c r="AO1735">
        <v>0</v>
      </c>
      <c r="AP1735">
        <v>11</v>
      </c>
      <c r="AQ1735">
        <v>0</v>
      </c>
      <c r="AR1735">
        <v>1</v>
      </c>
      <c r="AS1735" t="s">
        <v>58</v>
      </c>
      <c r="AT1735">
        <v>1</v>
      </c>
      <c r="AU1735" t="s">
        <v>63</v>
      </c>
      <c r="AV1735" t="s">
        <v>60</v>
      </c>
      <c r="AW1735">
        <v>1</v>
      </c>
      <c r="AX1735">
        <v>4</v>
      </c>
      <c r="AY1735">
        <v>0</v>
      </c>
      <c r="AZ1735">
        <v>9000</v>
      </c>
      <c r="BA1735">
        <v>100</v>
      </c>
      <c r="BB1735">
        <v>100</v>
      </c>
      <c r="BC1735">
        <v>100</v>
      </c>
      <c r="BD1735">
        <v>100</v>
      </c>
      <c r="BE1735">
        <v>1</v>
      </c>
      <c r="BF1735">
        <v>15000</v>
      </c>
      <c r="BG1735">
        <v>1000</v>
      </c>
      <c r="BH1735" s="6">
        <f>Grandview_Inventory[[#This Row],[land_extract]]*Lookups!$B$3</f>
        <v>52639.730588165206</v>
      </c>
      <c r="BI1735" s="6">
        <f>IF(Grandview_Inventory[[#This Row],[bldg_style]]="",0,Lookups!$B$2)</f>
        <v>155833.95000000001</v>
      </c>
      <c r="BJ1735" s="6">
        <f>_xlfn.IFNA(VLOOKUP(Grandview_Inventory[[#This Row],[quality]],Lookups!$H$2:$J$14,3,FALSE),0)</f>
        <v>56323</v>
      </c>
      <c r="BK1735" s="6">
        <f>_xlfn.IFNA(VLOOKUP(Grandview_Inventory[[#This Row],[condition]],Lookups!$H$17:$J$24,3,FALSE),0)</f>
        <v>-4503</v>
      </c>
      <c r="BL1735" s="6">
        <f>Grandview_Inventory[[#This Row],[Eff_Age]]*Lookups!$B$14</f>
        <v>-11240.8302</v>
      </c>
      <c r="BM1735" s="6">
        <f>Grandview_Inventory[[#This Row],[living_area]]*Lookups!$B$15</f>
        <v>132871.21689000001</v>
      </c>
      <c r="BN1735" s="6">
        <f>Grandview_Inventory[[#This Row],[Fin BSMT]]*Lookups!$B$16</f>
        <v>0</v>
      </c>
      <c r="BO1735" s="6">
        <f>(Grandview_Inventory[[#This Row],[att_gar]]+Grandview_Inventory[[#This Row],[bltin_gar]])*Lookups!$B$17</f>
        <v>38508.992279999999</v>
      </c>
      <c r="BP1735" s="6">
        <f>Grandview_Inventory[[#This Row],[Plumbing Fixtures]]*Lookups!$B$18</f>
        <v>22114.859800000002</v>
      </c>
      <c r="BQ1735" s="6">
        <f>Grandview_Inventory[[#This Row],[detatched_value]]*Lookups!$B$19</f>
        <v>7621.2458999999999</v>
      </c>
      <c r="BR1735" s="6">
        <f>SUM(Grandview_Inventory[[#This Row],[Intercept]:[det_value]])*Grandview_Inventory[[#This Row],[res_pct]]</f>
        <v>397529.43466999999</v>
      </c>
      <c r="BS1735" s="6">
        <f>Grandview_Inventory[[#This Row],[land_value]]</f>
        <v>52639.730588165206</v>
      </c>
      <c r="BT1735" s="4">
        <f>_xlfn.IFNA(VLOOKUP(Grandview_Inventory[[#This Row],[quality]],Lookups!$A$26:$C$33,3,FALSE),1)</f>
        <v>0.76437650671582003</v>
      </c>
      <c r="BU1735" s="4">
        <f>_xlfn.IFNA(VLOOKUP(Grandview_Inventory[[#This Row],[condition]],Lookups!$A$37:$C$44,3,FALSE),1)</f>
        <v>0.96469275950863709</v>
      </c>
      <c r="BV1735" s="4">
        <f>IF(Grandview_Inventory[[#This Row],[bldg_style]]="",1,_xlfn.IFNA(VLOOKUP(Grandview_Inventory[[#This Row],[decade]],Lookups!$F$29:$H$43,3,FALSE),1))</f>
        <v>0.95268620544463312</v>
      </c>
      <c r="BW1735" s="4">
        <f>_xlfn.IFNA(VLOOKUP(Grandview_Inventory[[#This Row],[living_area_range]],Lookups!$F$47:$H$56,3,FALSE),1)</f>
        <v>0.95799442568048754</v>
      </c>
      <c r="BX1735" s="4">
        <f>AVERAGE(Grandview_Inventory[[#This Row],[qual_adj]:[size_adj]])</f>
        <v>0.90993747433739447</v>
      </c>
      <c r="BY1735" s="6">
        <f>IF(Grandview_Inventory[[#This Row],[pre_res]]&lt;0,0,Grandview_Inventory[[#This Row],[pre_res]]*Grandview_Inventory[[#This Row],[overall_adj]])</f>
        <v>361726.92975839204</v>
      </c>
      <c r="BZ1735" s="6">
        <f>(Grandview_Inventory[[#This Row],[sum_land]]-IF(Grandview_Inventory[[#This Row],[no_utilities]]=1,12000,0))/IF(Grandview_Inventory[[#This Row],[unbuildable]]=1,2,1)</f>
        <v>52639.730588165206</v>
      </c>
      <c r="CA173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35">
        <f>ROUND(Grandview_Inventory[[#This Row],[det_value]]*Lookups!$M$28,-2)</f>
        <v>7200</v>
      </c>
      <c r="CC1735">
        <f>IF(ROUND(Grandview_Inventory[[#This Row],[adj_res]]*Lookups!$M$28,-2)&lt;Grandview_Inventory[[#This Row],[min_res]],Grandview_Inventory[[#This Row],[min_res]],ROUND(Grandview_Inventory[[#This Row],[adj_res]]*Lookups!$M$28,-2))</f>
        <v>343600</v>
      </c>
      <c r="CD1735">
        <f>Grandview_Inventory[[#This Row],[final_det]]+Grandview_Inventory[[#This Row],[final_res]]</f>
        <v>350800</v>
      </c>
      <c r="CE1735">
        <f>Grandview_Inventory[[#This Row],[final_land]]+Grandview_Inventory[[#This Row],[final_imp]]+Grandview_Inventory[[#This Row],[crop_value]]</f>
        <v>400800</v>
      </c>
      <c r="CG1735" t="str">
        <f t="shared" si="27"/>
        <v>update valuation set market_land =50000, market_bldg=350800, market_total =400800, market_mdno =401, market_date ='9/10/2023' where link_id = (select link_id from parcel where parcel_year = '2024' and parcel_id = '23092332484');</v>
      </c>
    </row>
    <row r="1736" spans="1:85" x14ac:dyDescent="0.25">
      <c r="A1736">
        <v>23092332487</v>
      </c>
      <c r="B1736">
        <v>0.22</v>
      </c>
      <c r="C1736">
        <v>9425</v>
      </c>
      <c r="D1736" t="s">
        <v>129</v>
      </c>
      <c r="E1736" t="s">
        <v>53</v>
      </c>
      <c r="F1736" t="s">
        <v>53</v>
      </c>
      <c r="G1736">
        <v>4</v>
      </c>
      <c r="H1736" t="s">
        <v>54</v>
      </c>
      <c r="I1736">
        <v>148700</v>
      </c>
      <c r="J1736">
        <v>39500</v>
      </c>
      <c r="K1736">
        <v>0.22</v>
      </c>
      <c r="L173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36">
        <v>0</v>
      </c>
      <c r="N1736">
        <v>0</v>
      </c>
      <c r="O1736">
        <v>0</v>
      </c>
      <c r="P1736">
        <v>13398.7528</v>
      </c>
      <c r="Q1736">
        <v>63903</v>
      </c>
      <c r="R1736">
        <f>(Grandview_Inventory[[#This Row],[ln_acres]]*Grandview_Inventory[[#This Row],[coeff]])+Grandview_Inventory[[#This Row],[const]]</f>
        <v>43615.576802869145</v>
      </c>
      <c r="S1736" t="s">
        <v>61</v>
      </c>
      <c r="T1736">
        <v>1</v>
      </c>
      <c r="U1736" t="s">
        <v>65</v>
      </c>
      <c r="V1736" t="s">
        <v>69</v>
      </c>
      <c r="W1736">
        <v>0</v>
      </c>
      <c r="X1736">
        <v>0</v>
      </c>
      <c r="Y1736">
        <v>46</v>
      </c>
      <c r="Z1736">
        <v>53</v>
      </c>
      <c r="AA1736">
        <v>60</v>
      </c>
      <c r="AB1736">
        <v>1500</v>
      </c>
      <c r="AC1736">
        <v>1098</v>
      </c>
      <c r="AD1736">
        <v>1098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200</v>
      </c>
      <c r="AN1736">
        <v>24</v>
      </c>
      <c r="AO1736">
        <v>0</v>
      </c>
      <c r="AP1736">
        <v>5</v>
      </c>
      <c r="AQ1736">
        <v>1</v>
      </c>
      <c r="AR1736">
        <v>0</v>
      </c>
      <c r="AS1736" t="s">
        <v>58</v>
      </c>
      <c r="AT1736">
        <v>1</v>
      </c>
      <c r="AU1736" t="s">
        <v>63</v>
      </c>
      <c r="AV1736" t="s">
        <v>60</v>
      </c>
      <c r="AW1736">
        <v>0</v>
      </c>
      <c r="AX1736">
        <v>3</v>
      </c>
      <c r="AY1736">
        <v>0</v>
      </c>
      <c r="AZ1736">
        <v>10900</v>
      </c>
      <c r="BA1736">
        <v>100</v>
      </c>
      <c r="BB1736">
        <v>100</v>
      </c>
      <c r="BC1736">
        <v>100</v>
      </c>
      <c r="BD1736">
        <v>100</v>
      </c>
      <c r="BE1736">
        <v>1</v>
      </c>
      <c r="BF1736">
        <v>15000</v>
      </c>
      <c r="BG1736">
        <v>1000</v>
      </c>
      <c r="BH1736" s="6">
        <f>Grandview_Inventory[[#This Row],[land_extract]]*Lookups!$B$3</f>
        <v>50650.651579114572</v>
      </c>
      <c r="BI1736" s="6">
        <f>IF(Grandview_Inventory[[#This Row],[bldg_style]]="",0,Lookups!$B$2)</f>
        <v>155833.95000000001</v>
      </c>
      <c r="BJ1736" s="6">
        <f>_xlfn.IFNA(VLOOKUP(Grandview_Inventory[[#This Row],[quality]],Lookups!$H$2:$J$14,3,FALSE),0)</f>
        <v>2251</v>
      </c>
      <c r="BK1736" s="6">
        <f>_xlfn.IFNA(VLOOKUP(Grandview_Inventory[[#This Row],[condition]],Lookups!$H$17:$J$24,3,FALSE),0)</f>
        <v>-4503</v>
      </c>
      <c r="BL1736" s="6">
        <f>Grandview_Inventory[[#This Row],[Eff_Age]]*Lookups!$B$14</f>
        <v>-11001.6636</v>
      </c>
      <c r="BM1736" s="6">
        <f>Grandview_Inventory[[#This Row],[living_area]]*Lookups!$B$15</f>
        <v>68494.176594000004</v>
      </c>
      <c r="BN1736" s="6">
        <f>Grandview_Inventory[[#This Row],[Fin BSMT]]*Lookups!$B$16</f>
        <v>0</v>
      </c>
      <c r="BO1736" s="6">
        <f>(Grandview_Inventory[[#This Row],[att_gar]]+Grandview_Inventory[[#This Row],[bltin_gar]])*Lookups!$B$17</f>
        <v>0</v>
      </c>
      <c r="BP1736" s="6">
        <f>Grandview_Inventory[[#This Row],[Plumbing Fixtures]]*Lookups!$B$18</f>
        <v>10052.209000000001</v>
      </c>
      <c r="BQ1736" s="6">
        <f>Grandview_Inventory[[#This Row],[detatched_value]]*Lookups!$B$19</f>
        <v>9230.1755899999989</v>
      </c>
      <c r="BR1736" s="6">
        <f>SUM(Grandview_Inventory[[#This Row],[Intercept]:[det_value]])*Grandview_Inventory[[#This Row],[res_pct]]</f>
        <v>230356.847584</v>
      </c>
      <c r="BS1736" s="6">
        <f>Grandview_Inventory[[#This Row],[land_value]]</f>
        <v>50650.651579114572</v>
      </c>
      <c r="BT1736" s="4">
        <f>_xlfn.IFNA(VLOOKUP(Grandview_Inventory[[#This Row],[quality]],Lookups!$A$26:$C$33,3,FALSE),1)</f>
        <v>0.98763855981004833</v>
      </c>
      <c r="BU1736" s="4">
        <f>_xlfn.IFNA(VLOOKUP(Grandview_Inventory[[#This Row],[condition]],Lookups!$A$37:$C$44,3,FALSE),1)</f>
        <v>0.96469275950863709</v>
      </c>
      <c r="BV1736" s="4">
        <f>IF(Grandview_Inventory[[#This Row],[bldg_style]]="",1,_xlfn.IFNA(VLOOKUP(Grandview_Inventory[[#This Row],[decade]],Lookups!$F$29:$H$43,3,FALSE),1))</f>
        <v>0.95268620544463312</v>
      </c>
      <c r="BW1736" s="4">
        <f>_xlfn.IFNA(VLOOKUP(Grandview_Inventory[[#This Row],[living_area_range]],Lookups!$F$47:$H$56,3,FALSE),1)</f>
        <v>0.96135087979789358</v>
      </c>
      <c r="BX1736" s="4">
        <f>AVERAGE(Grandview_Inventory[[#This Row],[qual_adj]:[size_adj]])</f>
        <v>0.96659210114030303</v>
      </c>
      <c r="BY1736" s="6">
        <f>IF(Grandview_Inventory[[#This Row],[pre_res]]&lt;0,0,Grandview_Inventory[[#This Row],[pre_res]]*Grandview_Inventory[[#This Row],[overall_adj]])</f>
        <v>222661.10931827509</v>
      </c>
      <c r="BZ1736" s="6">
        <f>(Grandview_Inventory[[#This Row],[sum_land]]-IF(Grandview_Inventory[[#This Row],[no_utilities]]=1,12000,0))/IF(Grandview_Inventory[[#This Row],[unbuildable]]=1,2,1)</f>
        <v>50650.651579114572</v>
      </c>
      <c r="CA173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36">
        <f>ROUND(Grandview_Inventory[[#This Row],[det_value]]*Lookups!$M$28,-2)</f>
        <v>8800</v>
      </c>
      <c r="CC1736">
        <f>IF(ROUND(Grandview_Inventory[[#This Row],[adj_res]]*Lookups!$M$28,-2)&lt;Grandview_Inventory[[#This Row],[min_res]],Grandview_Inventory[[#This Row],[min_res]],ROUND(Grandview_Inventory[[#This Row],[adj_res]]*Lookups!$M$28,-2))</f>
        <v>211500</v>
      </c>
      <c r="CD1736">
        <f>Grandview_Inventory[[#This Row],[final_det]]+Grandview_Inventory[[#This Row],[final_res]]</f>
        <v>220300</v>
      </c>
      <c r="CE1736">
        <f>Grandview_Inventory[[#This Row],[final_land]]+Grandview_Inventory[[#This Row],[final_imp]]+Grandview_Inventory[[#This Row],[crop_value]]</f>
        <v>268400</v>
      </c>
      <c r="CG1736" t="str">
        <f t="shared" si="27"/>
        <v>update valuation set market_land =48100, market_bldg=220300, market_total =268400, market_mdno =401, market_date ='9/10/2023' where link_id = (select link_id from parcel where parcel_year = '2024' and parcel_id = '23092332487');</v>
      </c>
    </row>
    <row r="1737" spans="1:85" x14ac:dyDescent="0.25">
      <c r="A1737">
        <v>23092332488</v>
      </c>
      <c r="B1737">
        <v>0.22</v>
      </c>
      <c r="C1737">
        <v>9726</v>
      </c>
      <c r="D1737" t="s">
        <v>129</v>
      </c>
      <c r="E1737" t="s">
        <v>53</v>
      </c>
      <c r="F1737" t="s">
        <v>53</v>
      </c>
      <c r="G1737">
        <v>4</v>
      </c>
      <c r="H1737" t="s">
        <v>54</v>
      </c>
      <c r="I1737">
        <v>184100</v>
      </c>
      <c r="J1737">
        <v>39500</v>
      </c>
      <c r="K1737">
        <v>0.22</v>
      </c>
      <c r="L173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37">
        <v>0</v>
      </c>
      <c r="N1737">
        <v>0</v>
      </c>
      <c r="O1737">
        <v>0</v>
      </c>
      <c r="P1737">
        <v>13398.7528</v>
      </c>
      <c r="Q1737">
        <v>63903</v>
      </c>
      <c r="R1737">
        <f>(Grandview_Inventory[[#This Row],[ln_acres]]*Grandview_Inventory[[#This Row],[coeff]])+Grandview_Inventory[[#This Row],[const]]</f>
        <v>43615.576802869145</v>
      </c>
      <c r="S1737" t="s">
        <v>61</v>
      </c>
      <c r="T1737">
        <v>1</v>
      </c>
      <c r="U1737" t="s">
        <v>65</v>
      </c>
      <c r="V1737" t="s">
        <v>69</v>
      </c>
      <c r="W1737">
        <v>0</v>
      </c>
      <c r="X1737">
        <v>0</v>
      </c>
      <c r="Y1737">
        <v>45</v>
      </c>
      <c r="Z1737">
        <v>52</v>
      </c>
      <c r="AA1737">
        <v>60</v>
      </c>
      <c r="AB1737">
        <v>1500</v>
      </c>
      <c r="AC1737">
        <v>1324</v>
      </c>
      <c r="AD1737">
        <v>1324</v>
      </c>
      <c r="AE1737">
        <v>0</v>
      </c>
      <c r="AF1737">
        <v>0</v>
      </c>
      <c r="AG1737">
        <v>0</v>
      </c>
      <c r="AH1737">
        <v>0</v>
      </c>
      <c r="AI1737">
        <v>384</v>
      </c>
      <c r="AJ1737">
        <v>0</v>
      </c>
      <c r="AK1737">
        <v>0</v>
      </c>
      <c r="AL1737">
        <v>0</v>
      </c>
      <c r="AM1737">
        <v>396</v>
      </c>
      <c r="AN1737">
        <v>100</v>
      </c>
      <c r="AO1737">
        <v>192</v>
      </c>
      <c r="AP1737">
        <v>7</v>
      </c>
      <c r="AQ1737">
        <v>1</v>
      </c>
      <c r="AR1737">
        <v>0</v>
      </c>
      <c r="AS1737" t="s">
        <v>58</v>
      </c>
      <c r="AT1737">
        <v>1</v>
      </c>
      <c r="AU1737" t="s">
        <v>63</v>
      </c>
      <c r="AV1737" t="s">
        <v>64</v>
      </c>
      <c r="AW1737">
        <v>1</v>
      </c>
      <c r="AX1737">
        <v>3</v>
      </c>
      <c r="AY1737">
        <v>0</v>
      </c>
      <c r="AZ1737">
        <v>0</v>
      </c>
      <c r="BA1737">
        <v>100</v>
      </c>
      <c r="BB1737">
        <v>100</v>
      </c>
      <c r="BC1737">
        <v>100</v>
      </c>
      <c r="BD1737">
        <v>100</v>
      </c>
      <c r="BE1737">
        <v>1</v>
      </c>
      <c r="BF1737">
        <v>15000</v>
      </c>
      <c r="BG1737">
        <v>1000</v>
      </c>
      <c r="BH1737" s="6">
        <f>Grandview_Inventory[[#This Row],[land_extract]]*Lookups!$B$3</f>
        <v>50650.651579114572</v>
      </c>
      <c r="BI1737" s="6">
        <f>IF(Grandview_Inventory[[#This Row],[bldg_style]]="",0,Lookups!$B$2)</f>
        <v>155833.95000000001</v>
      </c>
      <c r="BJ1737" s="6">
        <f>_xlfn.IFNA(VLOOKUP(Grandview_Inventory[[#This Row],[quality]],Lookups!$H$2:$J$14,3,FALSE),0)</f>
        <v>2251</v>
      </c>
      <c r="BK1737" s="6">
        <f>_xlfn.IFNA(VLOOKUP(Grandview_Inventory[[#This Row],[condition]],Lookups!$H$17:$J$24,3,FALSE),0)</f>
        <v>-4503</v>
      </c>
      <c r="BL1737" s="6">
        <f>Grandview_Inventory[[#This Row],[Eff_Age]]*Lookups!$B$14</f>
        <v>-10762.496999999999</v>
      </c>
      <c r="BM1737" s="6">
        <f>Grandview_Inventory[[#This Row],[living_area]]*Lookups!$B$15</f>
        <v>82592.249372000006</v>
      </c>
      <c r="BN1737" s="6">
        <f>Grandview_Inventory[[#This Row],[Fin BSMT]]*Lookups!$B$16</f>
        <v>0</v>
      </c>
      <c r="BO1737" s="6">
        <f>(Grandview_Inventory[[#This Row],[att_gar]]+Grandview_Inventory[[#This Row],[bltin_gar]])*Lookups!$B$17</f>
        <v>33607.847807999999</v>
      </c>
      <c r="BP1737" s="6">
        <f>Grandview_Inventory[[#This Row],[Plumbing Fixtures]]*Lookups!$B$18</f>
        <v>14073.0926</v>
      </c>
      <c r="BQ1737" s="6">
        <f>Grandview_Inventory[[#This Row],[detatched_value]]*Lookups!$B$19</f>
        <v>0</v>
      </c>
      <c r="BR1737" s="6">
        <f>SUM(Grandview_Inventory[[#This Row],[Intercept]:[det_value]])*Grandview_Inventory[[#This Row],[res_pct]]</f>
        <v>273092.64277999999</v>
      </c>
      <c r="BS1737" s="6">
        <f>Grandview_Inventory[[#This Row],[land_value]]</f>
        <v>50650.651579114572</v>
      </c>
      <c r="BT1737" s="4">
        <f>_xlfn.IFNA(VLOOKUP(Grandview_Inventory[[#This Row],[quality]],Lookups!$A$26:$C$33,3,FALSE),1)</f>
        <v>0.98763855981004833</v>
      </c>
      <c r="BU1737" s="4">
        <f>_xlfn.IFNA(VLOOKUP(Grandview_Inventory[[#This Row],[condition]],Lookups!$A$37:$C$44,3,FALSE),1)</f>
        <v>0.96469275950863709</v>
      </c>
      <c r="BV1737" s="4">
        <f>IF(Grandview_Inventory[[#This Row],[bldg_style]]="",1,_xlfn.IFNA(VLOOKUP(Grandview_Inventory[[#This Row],[decade]],Lookups!$F$29:$H$43,3,FALSE),1))</f>
        <v>0.95268620544463312</v>
      </c>
      <c r="BW1737" s="4">
        <f>_xlfn.IFNA(VLOOKUP(Grandview_Inventory[[#This Row],[living_area_range]],Lookups!$F$47:$H$56,3,FALSE),1)</f>
        <v>0.96135087979789358</v>
      </c>
      <c r="BX1737" s="4">
        <f>AVERAGE(Grandview_Inventory[[#This Row],[qual_adj]:[size_adj]])</f>
        <v>0.96659210114030303</v>
      </c>
      <c r="BY1737" s="6">
        <f>IF(Grandview_Inventory[[#This Row],[pre_res]]&lt;0,0,Grandview_Inventory[[#This Row],[pre_res]]*Grandview_Inventory[[#This Row],[overall_adj]])</f>
        <v>263969.1913906784</v>
      </c>
      <c r="BZ1737" s="6">
        <f>(Grandview_Inventory[[#This Row],[sum_land]]-IF(Grandview_Inventory[[#This Row],[no_utilities]]=1,12000,0))/IF(Grandview_Inventory[[#This Row],[unbuildable]]=1,2,1)</f>
        <v>50650.651579114572</v>
      </c>
      <c r="CA173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37">
        <f>ROUND(Grandview_Inventory[[#This Row],[det_value]]*Lookups!$M$28,-2)</f>
        <v>0</v>
      </c>
      <c r="CC1737">
        <f>IF(ROUND(Grandview_Inventory[[#This Row],[adj_res]]*Lookups!$M$28,-2)&lt;Grandview_Inventory[[#This Row],[min_res]],Grandview_Inventory[[#This Row],[min_res]],ROUND(Grandview_Inventory[[#This Row],[adj_res]]*Lookups!$M$28,-2))</f>
        <v>250800</v>
      </c>
      <c r="CD1737">
        <f>Grandview_Inventory[[#This Row],[final_det]]+Grandview_Inventory[[#This Row],[final_res]]</f>
        <v>250800</v>
      </c>
      <c r="CE1737">
        <f>Grandview_Inventory[[#This Row],[final_land]]+Grandview_Inventory[[#This Row],[final_imp]]+Grandview_Inventory[[#This Row],[crop_value]]</f>
        <v>298900</v>
      </c>
      <c r="CG1737" t="str">
        <f t="shared" si="27"/>
        <v>update valuation set market_land =48100, market_bldg=250800, market_total =298900, market_mdno =401, market_date ='9/10/2023' where link_id = (select link_id from parcel where parcel_year = '2024' and parcel_id = '23092332488');</v>
      </c>
    </row>
    <row r="1738" spans="1:85" x14ac:dyDescent="0.25">
      <c r="A1738">
        <v>23092332489</v>
      </c>
      <c r="B1738">
        <v>0.21</v>
      </c>
      <c r="C1738" t="s">
        <v>129</v>
      </c>
      <c r="D1738" t="s">
        <v>129</v>
      </c>
      <c r="E1738" t="s">
        <v>53</v>
      </c>
      <c r="F1738" t="s">
        <v>53</v>
      </c>
      <c r="G1738">
        <v>4</v>
      </c>
      <c r="H1738" t="s">
        <v>54</v>
      </c>
      <c r="I1738">
        <v>220800</v>
      </c>
      <c r="J1738">
        <v>43700</v>
      </c>
      <c r="K1738">
        <v>0.21</v>
      </c>
      <c r="L173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738">
        <v>0</v>
      </c>
      <c r="N1738">
        <v>0</v>
      </c>
      <c r="O1738">
        <v>0</v>
      </c>
      <c r="P1738">
        <v>13398.7528</v>
      </c>
      <c r="Q1738">
        <v>63903</v>
      </c>
      <c r="R1738">
        <f>(Grandview_Inventory[[#This Row],[ln_acres]]*Grandview_Inventory[[#This Row],[coeff]])+Grandview_Inventory[[#This Row],[const]]</f>
        <v>42992.266613125081</v>
      </c>
      <c r="S1738" t="s">
        <v>61</v>
      </c>
      <c r="T1738">
        <v>1</v>
      </c>
      <c r="U1738" t="s">
        <v>65</v>
      </c>
      <c r="V1738" t="s">
        <v>69</v>
      </c>
      <c r="W1738">
        <v>0</v>
      </c>
      <c r="X1738">
        <v>0</v>
      </c>
      <c r="Y1738">
        <v>49</v>
      </c>
      <c r="Z1738">
        <v>66</v>
      </c>
      <c r="AA1738">
        <v>70</v>
      </c>
      <c r="AB1738">
        <v>3500</v>
      </c>
      <c r="AC1738">
        <v>3192</v>
      </c>
      <c r="AD1738">
        <v>1896</v>
      </c>
      <c r="AE1738">
        <v>0</v>
      </c>
      <c r="AF1738">
        <v>0</v>
      </c>
      <c r="AG1738">
        <v>1296</v>
      </c>
      <c r="AH1738">
        <v>0</v>
      </c>
      <c r="AI1738">
        <v>0</v>
      </c>
      <c r="AJ1738">
        <v>0</v>
      </c>
      <c r="AK1738">
        <v>0</v>
      </c>
      <c r="AL1738">
        <v>210</v>
      </c>
      <c r="AM1738">
        <v>350</v>
      </c>
      <c r="AN1738">
        <v>128</v>
      </c>
      <c r="AO1738">
        <v>216</v>
      </c>
      <c r="AP1738">
        <v>11</v>
      </c>
      <c r="AQ1738">
        <v>0</v>
      </c>
      <c r="AR1738">
        <v>0</v>
      </c>
      <c r="AS1738" t="s">
        <v>58</v>
      </c>
      <c r="AT1738">
        <v>1</v>
      </c>
      <c r="AU1738" t="s">
        <v>63</v>
      </c>
      <c r="AV1738" t="s">
        <v>60</v>
      </c>
      <c r="AW1738">
        <v>1</v>
      </c>
      <c r="AX1738">
        <v>5</v>
      </c>
      <c r="AY1738">
        <v>0</v>
      </c>
      <c r="AZ1738">
        <v>0</v>
      </c>
      <c r="BA1738">
        <v>100</v>
      </c>
      <c r="BB1738">
        <v>100</v>
      </c>
      <c r="BC1738">
        <v>100</v>
      </c>
      <c r="BD1738">
        <v>100</v>
      </c>
      <c r="BE1738">
        <v>1</v>
      </c>
      <c r="BF1738">
        <v>15000</v>
      </c>
      <c r="BG1738">
        <v>1000</v>
      </c>
      <c r="BH1738" s="6">
        <f>Grandview_Inventory[[#This Row],[land_extract]]*Lookups!$B$3</f>
        <v>49926.8031387023</v>
      </c>
      <c r="BI1738" s="6">
        <f>IF(Grandview_Inventory[[#This Row],[bldg_style]]="",0,Lookups!$B$2)</f>
        <v>155833.95000000001</v>
      </c>
      <c r="BJ1738" s="6">
        <f>_xlfn.IFNA(VLOOKUP(Grandview_Inventory[[#This Row],[quality]],Lookups!$H$2:$J$14,3,FALSE),0)</f>
        <v>2251</v>
      </c>
      <c r="BK1738" s="6">
        <f>_xlfn.IFNA(VLOOKUP(Grandview_Inventory[[#This Row],[condition]],Lookups!$H$17:$J$24,3,FALSE),0)</f>
        <v>-4503</v>
      </c>
      <c r="BL1738" s="6">
        <f>Grandview_Inventory[[#This Row],[Eff_Age]]*Lookups!$B$14</f>
        <v>-11719.163399999999</v>
      </c>
      <c r="BM1738" s="6">
        <f>Grandview_Inventory[[#This Row],[living_area]]*Lookups!$B$15</f>
        <v>199119.682776</v>
      </c>
      <c r="BN1738" s="6">
        <f>Grandview_Inventory[[#This Row],[Fin BSMT]]*Lookups!$B$16</f>
        <v>-35120.615040000004</v>
      </c>
      <c r="BO1738" s="6">
        <f>(Grandview_Inventory[[#This Row],[att_gar]]+Grandview_Inventory[[#This Row],[bltin_gar]])*Lookups!$B$17</f>
        <v>0</v>
      </c>
      <c r="BP1738" s="6">
        <f>Grandview_Inventory[[#This Row],[Plumbing Fixtures]]*Lookups!$B$18</f>
        <v>22114.859800000002</v>
      </c>
      <c r="BQ1738" s="6">
        <f>Grandview_Inventory[[#This Row],[detatched_value]]*Lookups!$B$19</f>
        <v>0</v>
      </c>
      <c r="BR1738" s="6">
        <f>SUM(Grandview_Inventory[[#This Row],[Intercept]:[det_value]])*Grandview_Inventory[[#This Row],[res_pct]]</f>
        <v>327976.71413599997</v>
      </c>
      <c r="BS1738" s="6">
        <f>Grandview_Inventory[[#This Row],[land_value]]</f>
        <v>49926.8031387023</v>
      </c>
      <c r="BT1738" s="4">
        <f>_xlfn.IFNA(VLOOKUP(Grandview_Inventory[[#This Row],[quality]],Lookups!$A$26:$C$33,3,FALSE),1)</f>
        <v>0.98763855981004833</v>
      </c>
      <c r="BU1738" s="4">
        <f>_xlfn.IFNA(VLOOKUP(Grandview_Inventory[[#This Row],[condition]],Lookups!$A$37:$C$44,3,FALSE),1)</f>
        <v>0.96469275950863709</v>
      </c>
      <c r="BV1738" s="4">
        <f>IF(Grandview_Inventory[[#This Row],[bldg_style]]="",1,_xlfn.IFNA(VLOOKUP(Grandview_Inventory[[#This Row],[decade]],Lookups!$F$29:$H$43,3,FALSE),1))</f>
        <v>0.99472141305414818</v>
      </c>
      <c r="BW1738" s="4">
        <f>_xlfn.IFNA(VLOOKUP(Grandview_Inventory[[#This Row],[living_area_range]],Lookups!$F$47:$H$56,3,FALSE),1)</f>
        <v>1.0170112215140563</v>
      </c>
      <c r="BX1738" s="4">
        <f>AVERAGE(Grandview_Inventory[[#This Row],[qual_adj]:[size_adj]])</f>
        <v>0.99101598847172245</v>
      </c>
      <c r="BY1738" s="6">
        <f>IF(Grandview_Inventory[[#This Row],[pre_res]]&lt;0,0,Grandview_Inventory[[#This Row],[pre_res]]*Grandview_Inventory[[#This Row],[overall_adj]])</f>
        <v>325030.16755519557</v>
      </c>
      <c r="BZ1738" s="6">
        <f>(Grandview_Inventory[[#This Row],[sum_land]]-IF(Grandview_Inventory[[#This Row],[no_utilities]]=1,12000,0))/IF(Grandview_Inventory[[#This Row],[unbuildable]]=1,2,1)</f>
        <v>49926.8031387023</v>
      </c>
      <c r="CA173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738">
        <f>ROUND(Grandview_Inventory[[#This Row],[det_value]]*Lookups!$M$28,-2)</f>
        <v>0</v>
      </c>
      <c r="CC1738">
        <f>IF(ROUND(Grandview_Inventory[[#This Row],[adj_res]]*Lookups!$M$28,-2)&lt;Grandview_Inventory[[#This Row],[min_res]],Grandview_Inventory[[#This Row],[min_res]],ROUND(Grandview_Inventory[[#This Row],[adj_res]]*Lookups!$M$28,-2))</f>
        <v>308800</v>
      </c>
      <c r="CD1738">
        <f>Grandview_Inventory[[#This Row],[final_det]]+Grandview_Inventory[[#This Row],[final_res]]</f>
        <v>308800</v>
      </c>
      <c r="CE1738">
        <f>Grandview_Inventory[[#This Row],[final_land]]+Grandview_Inventory[[#This Row],[final_imp]]+Grandview_Inventory[[#This Row],[crop_value]]</f>
        <v>356200</v>
      </c>
      <c r="CG1738" t="str">
        <f t="shared" si="27"/>
        <v>update valuation set market_land =47400, market_bldg=308800, market_total =356200, market_mdno =401, market_date ='9/10/2023' where link_id = (select link_id from parcel where parcel_year = '2024' and parcel_id = '23092332489');</v>
      </c>
    </row>
    <row r="1739" spans="1:85" x14ac:dyDescent="0.25">
      <c r="A1739">
        <v>23092332490</v>
      </c>
      <c r="B1739">
        <v>0.21</v>
      </c>
      <c r="C1739">
        <v>8970</v>
      </c>
      <c r="D1739" t="s">
        <v>129</v>
      </c>
      <c r="E1739" t="s">
        <v>53</v>
      </c>
      <c r="F1739" t="s">
        <v>53</v>
      </c>
      <c r="G1739">
        <v>4</v>
      </c>
      <c r="H1739" t="s">
        <v>54</v>
      </c>
      <c r="I1739">
        <v>230400</v>
      </c>
      <c r="J1739">
        <v>39300</v>
      </c>
      <c r="K1739">
        <v>0.21</v>
      </c>
      <c r="L173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739">
        <v>0</v>
      </c>
      <c r="N1739">
        <v>0</v>
      </c>
      <c r="O1739">
        <v>0</v>
      </c>
      <c r="P1739">
        <v>13398.7528</v>
      </c>
      <c r="Q1739">
        <v>63903</v>
      </c>
      <c r="R1739">
        <f>(Grandview_Inventory[[#This Row],[ln_acres]]*Grandview_Inventory[[#This Row],[coeff]])+Grandview_Inventory[[#This Row],[const]]</f>
        <v>42992.266613125081</v>
      </c>
      <c r="S1739" t="s">
        <v>74</v>
      </c>
      <c r="T1739">
        <v>1</v>
      </c>
      <c r="U1739" t="s">
        <v>62</v>
      </c>
      <c r="V1739" t="s">
        <v>69</v>
      </c>
      <c r="W1739">
        <v>0</v>
      </c>
      <c r="X1739">
        <v>0</v>
      </c>
      <c r="Y1739">
        <v>48</v>
      </c>
      <c r="Z1739">
        <v>63</v>
      </c>
      <c r="AA1739">
        <v>70</v>
      </c>
      <c r="AB1739">
        <v>2500</v>
      </c>
      <c r="AC1739">
        <v>2171</v>
      </c>
      <c r="AD1739">
        <v>1596</v>
      </c>
      <c r="AE1739">
        <v>0</v>
      </c>
      <c r="AF1739">
        <v>0</v>
      </c>
      <c r="AG1739">
        <v>575</v>
      </c>
      <c r="AH1739">
        <v>0</v>
      </c>
      <c r="AI1739">
        <v>300</v>
      </c>
      <c r="AJ1739">
        <v>0</v>
      </c>
      <c r="AK1739">
        <v>0</v>
      </c>
      <c r="AL1739">
        <v>0</v>
      </c>
      <c r="AM1739">
        <v>674</v>
      </c>
      <c r="AN1739">
        <v>0</v>
      </c>
      <c r="AO1739">
        <v>0</v>
      </c>
      <c r="AP1739">
        <v>11</v>
      </c>
      <c r="AQ1739">
        <v>0</v>
      </c>
      <c r="AR1739">
        <v>1</v>
      </c>
      <c r="AS1739" t="s">
        <v>58</v>
      </c>
      <c r="AT1739">
        <v>1</v>
      </c>
      <c r="AU1739" t="s">
        <v>63</v>
      </c>
      <c r="AV1739" t="s">
        <v>64</v>
      </c>
      <c r="AW1739">
        <v>0</v>
      </c>
      <c r="AX1739">
        <v>4</v>
      </c>
      <c r="AY1739">
        <v>0</v>
      </c>
      <c r="AZ1739">
        <v>0</v>
      </c>
      <c r="BA1739">
        <v>100</v>
      </c>
      <c r="BB1739">
        <v>100</v>
      </c>
      <c r="BC1739">
        <v>100</v>
      </c>
      <c r="BD1739">
        <v>100</v>
      </c>
      <c r="BE1739">
        <v>1</v>
      </c>
      <c r="BF1739">
        <v>15000</v>
      </c>
      <c r="BG1739">
        <v>1000</v>
      </c>
      <c r="BH1739" s="6">
        <f>Grandview_Inventory[[#This Row],[land_extract]]*Lookups!$B$3</f>
        <v>49926.8031387023</v>
      </c>
      <c r="BI1739" s="6">
        <f>IF(Grandview_Inventory[[#This Row],[bldg_style]]="",0,Lookups!$B$2)</f>
        <v>155833.95000000001</v>
      </c>
      <c r="BJ1739" s="6">
        <f>_xlfn.IFNA(VLOOKUP(Grandview_Inventory[[#This Row],[quality]],Lookups!$H$2:$J$14,3,FALSE),0)</f>
        <v>9808</v>
      </c>
      <c r="BK1739" s="6">
        <f>_xlfn.IFNA(VLOOKUP(Grandview_Inventory[[#This Row],[condition]],Lookups!$H$17:$J$24,3,FALSE),0)</f>
        <v>-4503</v>
      </c>
      <c r="BL1739" s="6">
        <f>Grandview_Inventory[[#This Row],[Eff_Age]]*Lookups!$B$14</f>
        <v>-11479.996799999999</v>
      </c>
      <c r="BM1739" s="6">
        <f>Grandview_Inventory[[#This Row],[living_area]]*Lookups!$B$15</f>
        <v>135428.831863</v>
      </c>
      <c r="BN1739" s="6">
        <f>Grandview_Inventory[[#This Row],[Fin BSMT]]*Lookups!$B$16</f>
        <v>-15582.063000000002</v>
      </c>
      <c r="BO1739" s="6">
        <f>(Grandview_Inventory[[#This Row],[att_gar]]+Grandview_Inventory[[#This Row],[bltin_gar]])*Lookups!$B$17</f>
        <v>26256.131099999999</v>
      </c>
      <c r="BP1739" s="6">
        <f>Grandview_Inventory[[#This Row],[Plumbing Fixtures]]*Lookups!$B$18</f>
        <v>22114.859800000002</v>
      </c>
      <c r="BQ1739" s="6">
        <f>Grandview_Inventory[[#This Row],[detatched_value]]*Lookups!$B$19</f>
        <v>0</v>
      </c>
      <c r="BR1739" s="6">
        <f>SUM(Grandview_Inventory[[#This Row],[Intercept]:[det_value]])*Grandview_Inventory[[#This Row],[res_pct]]</f>
        <v>317876.712963</v>
      </c>
      <c r="BS1739" s="6">
        <f>Grandview_Inventory[[#This Row],[land_value]]</f>
        <v>49926.8031387023</v>
      </c>
      <c r="BT1739" s="4">
        <f>_xlfn.IFNA(VLOOKUP(Grandview_Inventory[[#This Row],[quality]],Lookups!$A$26:$C$33,3,FALSE),1)</f>
        <v>0.94295468617355149</v>
      </c>
      <c r="BU1739" s="4">
        <f>_xlfn.IFNA(VLOOKUP(Grandview_Inventory[[#This Row],[condition]],Lookups!$A$37:$C$44,3,FALSE),1)</f>
        <v>0.96469275950863709</v>
      </c>
      <c r="BV1739" s="4">
        <f>IF(Grandview_Inventory[[#This Row],[bldg_style]]="",1,_xlfn.IFNA(VLOOKUP(Grandview_Inventory[[#This Row],[decade]],Lookups!$F$29:$H$43,3,FALSE),1))</f>
        <v>0.99472141305414818</v>
      </c>
      <c r="BW1739" s="4">
        <f>_xlfn.IFNA(VLOOKUP(Grandview_Inventory[[#This Row],[living_area_range]],Lookups!$F$47:$H$56,3,FALSE),1)</f>
        <v>0.95799442568048754</v>
      </c>
      <c r="BX1739" s="4">
        <f>AVERAGE(Grandview_Inventory[[#This Row],[qual_adj]:[size_adj]])</f>
        <v>0.96509082110420608</v>
      </c>
      <c r="BY1739" s="6">
        <f>IF(Grandview_Inventory[[#This Row],[pre_res]]&lt;0,0,Grandview_Inventory[[#This Row],[pre_res]]*Grandview_Inventory[[#This Row],[overall_adj]])</f>
        <v>306779.89792336768</v>
      </c>
      <c r="BZ1739" s="6">
        <f>(Grandview_Inventory[[#This Row],[sum_land]]-IF(Grandview_Inventory[[#This Row],[no_utilities]]=1,12000,0))/IF(Grandview_Inventory[[#This Row],[unbuildable]]=1,2,1)</f>
        <v>49926.8031387023</v>
      </c>
      <c r="CA173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739">
        <f>ROUND(Grandview_Inventory[[#This Row],[det_value]]*Lookups!$M$28,-2)</f>
        <v>0</v>
      </c>
      <c r="CC1739">
        <f>IF(ROUND(Grandview_Inventory[[#This Row],[adj_res]]*Lookups!$M$28,-2)&lt;Grandview_Inventory[[#This Row],[min_res]],Grandview_Inventory[[#This Row],[min_res]],ROUND(Grandview_Inventory[[#This Row],[adj_res]]*Lookups!$M$28,-2))</f>
        <v>291400</v>
      </c>
      <c r="CD1739">
        <f>Grandview_Inventory[[#This Row],[final_det]]+Grandview_Inventory[[#This Row],[final_res]]</f>
        <v>291400</v>
      </c>
      <c r="CE1739">
        <f>Grandview_Inventory[[#This Row],[final_land]]+Grandview_Inventory[[#This Row],[final_imp]]+Grandview_Inventory[[#This Row],[crop_value]]</f>
        <v>338800</v>
      </c>
      <c r="CG1739" t="str">
        <f t="shared" si="27"/>
        <v>update valuation set market_land =47400, market_bldg=291400, market_total =338800, market_mdno =401, market_date ='9/10/2023' where link_id = (select link_id from parcel where parcel_year = '2024' and parcel_id = '23092332490');</v>
      </c>
    </row>
    <row r="1740" spans="1:85" x14ac:dyDescent="0.25">
      <c r="A1740">
        <v>23092332491</v>
      </c>
      <c r="B1740">
        <v>0.36</v>
      </c>
      <c r="C1740">
        <v>15575</v>
      </c>
      <c r="D1740" t="s">
        <v>129</v>
      </c>
      <c r="E1740" t="s">
        <v>53</v>
      </c>
      <c r="F1740" t="s">
        <v>53</v>
      </c>
      <c r="G1740">
        <v>4</v>
      </c>
      <c r="H1740" t="s">
        <v>54</v>
      </c>
      <c r="I1740">
        <v>256200</v>
      </c>
      <c r="J1740">
        <v>41100</v>
      </c>
      <c r="K1740">
        <v>0.36</v>
      </c>
      <c r="L1740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740">
        <v>0</v>
      </c>
      <c r="N1740">
        <v>0</v>
      </c>
      <c r="O1740">
        <v>0</v>
      </c>
      <c r="P1740">
        <v>13398.7528</v>
      </c>
      <c r="Q1740">
        <v>63903</v>
      </c>
      <c r="R1740">
        <f>(Grandview_Inventory[[#This Row],[ln_acres]]*Grandview_Inventory[[#This Row],[coeff]])+Grandview_Inventory[[#This Row],[const]]</f>
        <v>50214.147486507369</v>
      </c>
      <c r="S1740" t="s">
        <v>74</v>
      </c>
      <c r="T1740">
        <v>1</v>
      </c>
      <c r="U1740" t="s">
        <v>62</v>
      </c>
      <c r="V1740" t="s">
        <v>69</v>
      </c>
      <c r="W1740">
        <v>0</v>
      </c>
      <c r="X1740">
        <v>0</v>
      </c>
      <c r="Y1740">
        <v>48</v>
      </c>
      <c r="Z1740">
        <v>63</v>
      </c>
      <c r="AA1740">
        <v>70</v>
      </c>
      <c r="AB1740">
        <v>2500</v>
      </c>
      <c r="AC1740">
        <v>2130</v>
      </c>
      <c r="AD1740">
        <v>1532</v>
      </c>
      <c r="AE1740">
        <v>0</v>
      </c>
      <c r="AF1740">
        <v>0</v>
      </c>
      <c r="AG1740">
        <v>598</v>
      </c>
      <c r="AH1740">
        <v>0</v>
      </c>
      <c r="AI1740">
        <v>399</v>
      </c>
      <c r="AJ1740">
        <v>0</v>
      </c>
      <c r="AK1740">
        <v>0</v>
      </c>
      <c r="AL1740">
        <v>0</v>
      </c>
      <c r="AM1740">
        <v>230</v>
      </c>
      <c r="AN1740">
        <v>162</v>
      </c>
      <c r="AO1740">
        <v>230</v>
      </c>
      <c r="AP1740">
        <v>8</v>
      </c>
      <c r="AQ1740">
        <v>1</v>
      </c>
      <c r="AR1740">
        <v>1</v>
      </c>
      <c r="AS1740" t="s">
        <v>58</v>
      </c>
      <c r="AT1740">
        <v>1</v>
      </c>
      <c r="AU1740" t="s">
        <v>63</v>
      </c>
      <c r="AV1740" t="s">
        <v>64</v>
      </c>
      <c r="AW1740">
        <v>1</v>
      </c>
      <c r="AX1740">
        <v>3</v>
      </c>
      <c r="AY1740">
        <v>0</v>
      </c>
      <c r="AZ1740">
        <v>0</v>
      </c>
      <c r="BA1740">
        <v>100</v>
      </c>
      <c r="BB1740">
        <v>100</v>
      </c>
      <c r="BC1740">
        <v>100</v>
      </c>
      <c r="BD1740">
        <v>100</v>
      </c>
      <c r="BE1740">
        <v>1</v>
      </c>
      <c r="BF1740">
        <v>15000</v>
      </c>
      <c r="BG1740">
        <v>1000</v>
      </c>
      <c r="BH1740" s="6">
        <f>Grandview_Inventory[[#This Row],[land_extract]]*Lookups!$B$3</f>
        <v>58313.55389788279</v>
      </c>
      <c r="BI1740" s="6">
        <f>IF(Grandview_Inventory[[#This Row],[bldg_style]]="",0,Lookups!$B$2)</f>
        <v>155833.95000000001</v>
      </c>
      <c r="BJ1740" s="6">
        <f>_xlfn.IFNA(VLOOKUP(Grandview_Inventory[[#This Row],[quality]],Lookups!$H$2:$J$14,3,FALSE),0)</f>
        <v>9808</v>
      </c>
      <c r="BK1740" s="6">
        <f>_xlfn.IFNA(VLOOKUP(Grandview_Inventory[[#This Row],[condition]],Lookups!$H$17:$J$24,3,FALSE),0)</f>
        <v>-4503</v>
      </c>
      <c r="BL1740" s="6">
        <f>Grandview_Inventory[[#This Row],[Eff_Age]]*Lookups!$B$14</f>
        <v>-11479.996799999999</v>
      </c>
      <c r="BM1740" s="6">
        <f>Grandview_Inventory[[#This Row],[living_area]]*Lookups!$B$15</f>
        <v>132871.21689000001</v>
      </c>
      <c r="BN1740" s="6">
        <f>Grandview_Inventory[[#This Row],[Fin BSMT]]*Lookups!$B$16</f>
        <v>-16205.345520000001</v>
      </c>
      <c r="BO1740" s="6">
        <f>(Grandview_Inventory[[#This Row],[att_gar]]+Grandview_Inventory[[#This Row],[bltin_gar]])*Lookups!$B$17</f>
        <v>34920.654363000001</v>
      </c>
      <c r="BP1740" s="6">
        <f>Grandview_Inventory[[#This Row],[Plumbing Fixtures]]*Lookups!$B$18</f>
        <v>16083.5344</v>
      </c>
      <c r="BQ1740" s="6">
        <f>Grandview_Inventory[[#This Row],[detatched_value]]*Lookups!$B$19</f>
        <v>0</v>
      </c>
      <c r="BR1740" s="6">
        <f>SUM(Grandview_Inventory[[#This Row],[Intercept]:[det_value]])*Grandview_Inventory[[#This Row],[res_pct]]</f>
        <v>317329.01333300007</v>
      </c>
      <c r="BS1740" s="6">
        <f>Grandview_Inventory[[#This Row],[land_value]]</f>
        <v>58313.55389788279</v>
      </c>
      <c r="BT1740" s="4">
        <f>_xlfn.IFNA(VLOOKUP(Grandview_Inventory[[#This Row],[quality]],Lookups!$A$26:$C$33,3,FALSE),1)</f>
        <v>0.94295468617355149</v>
      </c>
      <c r="BU1740" s="4">
        <f>_xlfn.IFNA(VLOOKUP(Grandview_Inventory[[#This Row],[condition]],Lookups!$A$37:$C$44,3,FALSE),1)</f>
        <v>0.96469275950863709</v>
      </c>
      <c r="BV1740" s="4">
        <f>IF(Grandview_Inventory[[#This Row],[bldg_style]]="",1,_xlfn.IFNA(VLOOKUP(Grandview_Inventory[[#This Row],[decade]],Lookups!$F$29:$H$43,3,FALSE),1))</f>
        <v>0.99472141305414818</v>
      </c>
      <c r="BW1740" s="4">
        <f>_xlfn.IFNA(VLOOKUP(Grandview_Inventory[[#This Row],[living_area_range]],Lookups!$F$47:$H$56,3,FALSE),1)</f>
        <v>0.95799442568048754</v>
      </c>
      <c r="BX1740" s="4">
        <f>AVERAGE(Grandview_Inventory[[#This Row],[qual_adj]:[size_adj]])</f>
        <v>0.96509082110420608</v>
      </c>
      <c r="BY1740" s="6">
        <f>IF(Grandview_Inventory[[#This Row],[pre_res]]&lt;0,0,Grandview_Inventory[[#This Row],[pre_res]]*Grandview_Inventory[[#This Row],[overall_adj]])</f>
        <v>306251.31803773262</v>
      </c>
      <c r="BZ1740" s="6">
        <f>(Grandview_Inventory[[#This Row],[sum_land]]-IF(Grandview_Inventory[[#This Row],[no_utilities]]=1,12000,0))/IF(Grandview_Inventory[[#This Row],[unbuildable]]=1,2,1)</f>
        <v>58313.55389788279</v>
      </c>
      <c r="CA1740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740">
        <f>ROUND(Grandview_Inventory[[#This Row],[det_value]]*Lookups!$M$28,-2)</f>
        <v>0</v>
      </c>
      <c r="CC1740">
        <f>IF(ROUND(Grandview_Inventory[[#This Row],[adj_res]]*Lookups!$M$28,-2)&lt;Grandview_Inventory[[#This Row],[min_res]],Grandview_Inventory[[#This Row],[min_res]],ROUND(Grandview_Inventory[[#This Row],[adj_res]]*Lookups!$M$28,-2))</f>
        <v>290900</v>
      </c>
      <c r="CD1740">
        <f>Grandview_Inventory[[#This Row],[final_det]]+Grandview_Inventory[[#This Row],[final_res]]</f>
        <v>290900</v>
      </c>
      <c r="CE1740">
        <f>Grandview_Inventory[[#This Row],[final_land]]+Grandview_Inventory[[#This Row],[final_imp]]+Grandview_Inventory[[#This Row],[crop_value]]</f>
        <v>346300</v>
      </c>
      <c r="CG1740" t="str">
        <f t="shared" si="27"/>
        <v>update valuation set market_land =55400, market_bldg=290900, market_total =346300, market_mdno =401, market_date ='9/10/2023' where link_id = (select link_id from parcel where parcel_year = '2024' and parcel_id = '23092332491');</v>
      </c>
    </row>
    <row r="1741" spans="1:85" x14ac:dyDescent="0.25">
      <c r="A1741">
        <v>23092332492</v>
      </c>
      <c r="B1741">
        <v>0.24</v>
      </c>
      <c r="C1741">
        <v>10506</v>
      </c>
      <c r="D1741" t="s">
        <v>129</v>
      </c>
      <c r="E1741" t="s">
        <v>53</v>
      </c>
      <c r="F1741" t="s">
        <v>53</v>
      </c>
      <c r="G1741">
        <v>4</v>
      </c>
      <c r="H1741" t="s">
        <v>54</v>
      </c>
      <c r="I1741">
        <v>165700</v>
      </c>
      <c r="J1741">
        <v>39800</v>
      </c>
      <c r="K1741">
        <v>0.24</v>
      </c>
      <c r="L174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41">
        <v>0</v>
      </c>
      <c r="N1741">
        <v>0</v>
      </c>
      <c r="O1741">
        <v>0</v>
      </c>
      <c r="P1741">
        <v>13398.7528</v>
      </c>
      <c r="Q1741">
        <v>63903</v>
      </c>
      <c r="R1741">
        <f>(Grandview_Inventory[[#This Row],[ln_acres]]*Grandview_Inventory[[#This Row],[coeff]])+Grandview_Inventory[[#This Row],[const]]</f>
        <v>44781.420733940802</v>
      </c>
      <c r="S1741" t="s">
        <v>61</v>
      </c>
      <c r="T1741">
        <v>1</v>
      </c>
      <c r="U1741" t="s">
        <v>65</v>
      </c>
      <c r="V1741" t="s">
        <v>69</v>
      </c>
      <c r="W1741">
        <v>0</v>
      </c>
      <c r="X1741">
        <v>0</v>
      </c>
      <c r="Y1741">
        <v>47</v>
      </c>
      <c r="Z1741">
        <v>57</v>
      </c>
      <c r="AA1741">
        <v>60</v>
      </c>
      <c r="AB1741">
        <v>1500</v>
      </c>
      <c r="AC1741">
        <v>1184</v>
      </c>
      <c r="AD1741">
        <v>1184</v>
      </c>
      <c r="AE1741">
        <v>0</v>
      </c>
      <c r="AF1741">
        <v>0</v>
      </c>
      <c r="AG1741">
        <v>0</v>
      </c>
      <c r="AH1741">
        <v>0</v>
      </c>
      <c r="AI1741">
        <v>264</v>
      </c>
      <c r="AJ1741">
        <v>0</v>
      </c>
      <c r="AK1741">
        <v>0</v>
      </c>
      <c r="AL1741">
        <v>0</v>
      </c>
      <c r="AM1741">
        <v>120</v>
      </c>
      <c r="AN1741">
        <v>240</v>
      </c>
      <c r="AO1741">
        <v>120</v>
      </c>
      <c r="AP1741">
        <v>5</v>
      </c>
      <c r="AQ1741">
        <v>0</v>
      </c>
      <c r="AR1741">
        <v>0</v>
      </c>
      <c r="AS1741" t="s">
        <v>76</v>
      </c>
      <c r="AT1741">
        <v>1</v>
      </c>
      <c r="AU1741" t="s">
        <v>63</v>
      </c>
      <c r="AV1741" t="s">
        <v>64</v>
      </c>
      <c r="AW1741">
        <v>1</v>
      </c>
      <c r="AX1741">
        <v>3</v>
      </c>
      <c r="AY1741">
        <v>0</v>
      </c>
      <c r="AZ1741">
        <v>0</v>
      </c>
      <c r="BA1741">
        <v>100</v>
      </c>
      <c r="BB1741">
        <v>100</v>
      </c>
      <c r="BC1741">
        <v>100</v>
      </c>
      <c r="BD1741">
        <v>100</v>
      </c>
      <c r="BE1741">
        <v>1</v>
      </c>
      <c r="BF1741">
        <v>15000</v>
      </c>
      <c r="BG1741">
        <v>1000</v>
      </c>
      <c r="BH1741" s="6">
        <f>Grandview_Inventory[[#This Row],[land_extract]]*Lookups!$B$3</f>
        <v>52004.542988489469</v>
      </c>
      <c r="BI1741" s="6">
        <f>IF(Grandview_Inventory[[#This Row],[bldg_style]]="",0,Lookups!$B$2)</f>
        <v>155833.95000000001</v>
      </c>
      <c r="BJ1741" s="6">
        <f>_xlfn.IFNA(VLOOKUP(Grandview_Inventory[[#This Row],[quality]],Lookups!$H$2:$J$14,3,FALSE),0)</f>
        <v>2251</v>
      </c>
      <c r="BK1741" s="6">
        <f>_xlfn.IFNA(VLOOKUP(Grandview_Inventory[[#This Row],[condition]],Lookups!$H$17:$J$24,3,FALSE),0)</f>
        <v>-4503</v>
      </c>
      <c r="BL1741" s="6">
        <f>Grandview_Inventory[[#This Row],[Eff_Age]]*Lookups!$B$14</f>
        <v>-11240.8302</v>
      </c>
      <c r="BM1741" s="6">
        <f>Grandview_Inventory[[#This Row],[living_area]]*Lookups!$B$15</f>
        <v>73858.929952000006</v>
      </c>
      <c r="BN1741" s="6">
        <f>Grandview_Inventory[[#This Row],[Fin BSMT]]*Lookups!$B$16</f>
        <v>0</v>
      </c>
      <c r="BO1741" s="6">
        <f>(Grandview_Inventory[[#This Row],[att_gar]]+Grandview_Inventory[[#This Row],[bltin_gar]])*Lookups!$B$17</f>
        <v>23105.395368000001</v>
      </c>
      <c r="BP1741" s="6">
        <f>Grandview_Inventory[[#This Row],[Plumbing Fixtures]]*Lookups!$B$18</f>
        <v>10052.209000000001</v>
      </c>
      <c r="BQ1741" s="6">
        <f>Grandview_Inventory[[#This Row],[detatched_value]]*Lookups!$B$19</f>
        <v>0</v>
      </c>
      <c r="BR1741" s="6">
        <f>SUM(Grandview_Inventory[[#This Row],[Intercept]:[det_value]])*Grandview_Inventory[[#This Row],[res_pct]]</f>
        <v>249357.65412000002</v>
      </c>
      <c r="BS1741" s="6">
        <f>Grandview_Inventory[[#This Row],[land_value]]</f>
        <v>52004.542988489469</v>
      </c>
      <c r="BT1741" s="4">
        <f>_xlfn.IFNA(VLOOKUP(Grandview_Inventory[[#This Row],[quality]],Lookups!$A$26:$C$33,3,FALSE),1)</f>
        <v>0.98763855981004833</v>
      </c>
      <c r="BU1741" s="4">
        <f>_xlfn.IFNA(VLOOKUP(Grandview_Inventory[[#This Row],[condition]],Lookups!$A$37:$C$44,3,FALSE),1)</f>
        <v>0.96469275950863709</v>
      </c>
      <c r="BV1741" s="4">
        <f>IF(Grandview_Inventory[[#This Row],[bldg_style]]="",1,_xlfn.IFNA(VLOOKUP(Grandview_Inventory[[#This Row],[decade]],Lookups!$F$29:$H$43,3,FALSE),1))</f>
        <v>0.95268620544463312</v>
      </c>
      <c r="BW1741" s="4">
        <f>_xlfn.IFNA(VLOOKUP(Grandview_Inventory[[#This Row],[living_area_range]],Lookups!$F$47:$H$56,3,FALSE),1)</f>
        <v>0.96135087979789358</v>
      </c>
      <c r="BX1741" s="4">
        <f>AVERAGE(Grandview_Inventory[[#This Row],[qual_adj]:[size_adj]])</f>
        <v>0.96659210114030303</v>
      </c>
      <c r="BY1741" s="6">
        <f>IF(Grandview_Inventory[[#This Row],[pre_res]]&lt;0,0,Grandview_Inventory[[#This Row],[pre_res]]*Grandview_Inventory[[#This Row],[overall_adj]])</f>
        <v>241027.13883126777</v>
      </c>
      <c r="BZ1741" s="6">
        <f>(Grandview_Inventory[[#This Row],[sum_land]]-IF(Grandview_Inventory[[#This Row],[no_utilities]]=1,12000,0))/IF(Grandview_Inventory[[#This Row],[unbuildable]]=1,2,1)</f>
        <v>52004.542988489469</v>
      </c>
      <c r="CA174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41">
        <f>ROUND(Grandview_Inventory[[#This Row],[det_value]]*Lookups!$M$28,-2)</f>
        <v>0</v>
      </c>
      <c r="CC1741">
        <f>IF(ROUND(Grandview_Inventory[[#This Row],[adj_res]]*Lookups!$M$28,-2)&lt;Grandview_Inventory[[#This Row],[min_res]],Grandview_Inventory[[#This Row],[min_res]],ROUND(Grandview_Inventory[[#This Row],[adj_res]]*Lookups!$M$28,-2))</f>
        <v>229000</v>
      </c>
      <c r="CD1741">
        <f>Grandview_Inventory[[#This Row],[final_det]]+Grandview_Inventory[[#This Row],[final_res]]</f>
        <v>229000</v>
      </c>
      <c r="CE1741">
        <f>Grandview_Inventory[[#This Row],[final_land]]+Grandview_Inventory[[#This Row],[final_imp]]+Grandview_Inventory[[#This Row],[crop_value]]</f>
        <v>278400</v>
      </c>
      <c r="CG1741" t="str">
        <f t="shared" si="27"/>
        <v>update valuation set market_land =49400, market_bldg=229000, market_total =278400, market_mdno =401, market_date ='9/10/2023' where link_id = (select link_id from parcel where parcel_year = '2024' and parcel_id = '23092332492');</v>
      </c>
    </row>
    <row r="1742" spans="1:85" x14ac:dyDescent="0.25">
      <c r="A1742">
        <v>23092332493</v>
      </c>
      <c r="B1742">
        <v>0.27</v>
      </c>
      <c r="C1742">
        <v>11844</v>
      </c>
      <c r="D1742" t="s">
        <v>129</v>
      </c>
      <c r="E1742" t="s">
        <v>53</v>
      </c>
      <c r="F1742" t="s">
        <v>53</v>
      </c>
      <c r="G1742">
        <v>4</v>
      </c>
      <c r="H1742" t="s">
        <v>54</v>
      </c>
      <c r="I1742">
        <v>179600</v>
      </c>
      <c r="J1742">
        <v>40000</v>
      </c>
      <c r="K1742">
        <v>0.27</v>
      </c>
      <c r="L174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42">
        <v>0</v>
      </c>
      <c r="N1742">
        <v>0</v>
      </c>
      <c r="O1742">
        <v>0</v>
      </c>
      <c r="P1742">
        <v>13398.7528</v>
      </c>
      <c r="Q1742">
        <v>63903</v>
      </c>
      <c r="R1742">
        <f>(Grandview_Inventory[[#This Row],[ln_acres]]*Grandview_Inventory[[#This Row],[coeff]])+Grandview_Inventory[[#This Row],[const]]</f>
        <v>46359.566512734265</v>
      </c>
      <c r="S1742" t="s">
        <v>61</v>
      </c>
      <c r="T1742">
        <v>1</v>
      </c>
      <c r="U1742" t="s">
        <v>70</v>
      </c>
      <c r="V1742" t="s">
        <v>69</v>
      </c>
      <c r="W1742">
        <v>0</v>
      </c>
      <c r="X1742">
        <v>0</v>
      </c>
      <c r="Y1742">
        <v>48</v>
      </c>
      <c r="Z1742">
        <v>59</v>
      </c>
      <c r="AA1742">
        <v>60</v>
      </c>
      <c r="AB1742">
        <v>2000</v>
      </c>
      <c r="AC1742">
        <v>1694</v>
      </c>
      <c r="AD1742">
        <v>1694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252</v>
      </c>
      <c r="AM1742">
        <v>0</v>
      </c>
      <c r="AN1742">
        <v>28</v>
      </c>
      <c r="AO1742">
        <v>0</v>
      </c>
      <c r="AP1742">
        <v>7</v>
      </c>
      <c r="AQ1742">
        <v>1</v>
      </c>
      <c r="AR1742">
        <v>0</v>
      </c>
      <c r="AS1742" t="s">
        <v>58</v>
      </c>
      <c r="AT1742">
        <v>1</v>
      </c>
      <c r="AU1742" t="s">
        <v>75</v>
      </c>
      <c r="AV1742" t="s">
        <v>60</v>
      </c>
      <c r="AW1742">
        <v>0</v>
      </c>
      <c r="AX1742">
        <v>3</v>
      </c>
      <c r="AY1742">
        <v>0</v>
      </c>
      <c r="AZ1742">
        <v>0</v>
      </c>
      <c r="BA1742">
        <v>100</v>
      </c>
      <c r="BB1742">
        <v>100</v>
      </c>
      <c r="BC1742">
        <v>100</v>
      </c>
      <c r="BD1742">
        <v>100</v>
      </c>
      <c r="BE1742">
        <v>1</v>
      </c>
      <c r="BF1742">
        <v>15000</v>
      </c>
      <c r="BG1742">
        <v>1000</v>
      </c>
      <c r="BH1742" s="6">
        <f>Grandview_Inventory[[#This Row],[land_extract]]*Lookups!$B$3</f>
        <v>53837.239420408718</v>
      </c>
      <c r="BI1742" s="6">
        <f>IF(Grandview_Inventory[[#This Row],[bldg_style]]="",0,Lookups!$B$2)</f>
        <v>155833.95000000001</v>
      </c>
      <c r="BJ1742" s="6">
        <f>_xlfn.IFNA(VLOOKUP(Grandview_Inventory[[#This Row],[quality]],Lookups!$H$2:$J$14,3,FALSE),0)</f>
        <v>10733</v>
      </c>
      <c r="BK1742" s="6">
        <f>_xlfn.IFNA(VLOOKUP(Grandview_Inventory[[#This Row],[condition]],Lookups!$H$17:$J$24,3,FALSE),0)</f>
        <v>-4503</v>
      </c>
      <c r="BL1742" s="6">
        <f>Grandview_Inventory[[#This Row],[Eff_Age]]*Lookups!$B$14</f>
        <v>-11479.996799999999</v>
      </c>
      <c r="BM1742" s="6">
        <f>Grandview_Inventory[[#This Row],[living_area]]*Lookups!$B$15</f>
        <v>105673.164982</v>
      </c>
      <c r="BN1742" s="6">
        <f>Grandview_Inventory[[#This Row],[Fin BSMT]]*Lookups!$B$16</f>
        <v>0</v>
      </c>
      <c r="BO1742" s="6">
        <f>(Grandview_Inventory[[#This Row],[att_gar]]+Grandview_Inventory[[#This Row],[bltin_gar]])*Lookups!$B$17</f>
        <v>0</v>
      </c>
      <c r="BP1742" s="6">
        <f>Grandview_Inventory[[#This Row],[Plumbing Fixtures]]*Lookups!$B$18</f>
        <v>14073.0926</v>
      </c>
      <c r="BQ1742" s="6">
        <f>Grandview_Inventory[[#This Row],[detatched_value]]*Lookups!$B$19</f>
        <v>0</v>
      </c>
      <c r="BR1742" s="6">
        <f>SUM(Grandview_Inventory[[#This Row],[Intercept]:[det_value]])*Grandview_Inventory[[#This Row],[res_pct]]</f>
        <v>270330.21078199998</v>
      </c>
      <c r="BS1742" s="6">
        <f>Grandview_Inventory[[#This Row],[land_value]]</f>
        <v>53837.239420408718</v>
      </c>
      <c r="BT1742" s="4">
        <f>_xlfn.IFNA(VLOOKUP(Grandview_Inventory[[#This Row],[quality]],Lookups!$A$26:$C$33,3,FALSE),1)</f>
        <v>0.98079741117310582</v>
      </c>
      <c r="BU1742" s="4">
        <f>_xlfn.IFNA(VLOOKUP(Grandview_Inventory[[#This Row],[condition]],Lookups!$A$37:$C$44,3,FALSE),1)</f>
        <v>0.96469275950863709</v>
      </c>
      <c r="BV1742" s="4">
        <f>IF(Grandview_Inventory[[#This Row],[bldg_style]]="",1,_xlfn.IFNA(VLOOKUP(Grandview_Inventory[[#This Row],[decade]],Lookups!$F$29:$H$43,3,FALSE),1))</f>
        <v>0.95268620544463312</v>
      </c>
      <c r="BW1742" s="4">
        <f>_xlfn.IFNA(VLOOKUP(Grandview_Inventory[[#This Row],[living_area_range]],Lookups!$F$47:$H$56,3,FALSE),1)</f>
        <v>0.96120133463014379</v>
      </c>
      <c r="BX1742" s="4">
        <f>AVERAGE(Grandview_Inventory[[#This Row],[qual_adj]:[size_adj]])</f>
        <v>0.96484442768912992</v>
      </c>
      <c r="BY1742" s="6">
        <f>IF(Grandview_Inventory[[#This Row],[pre_res]]&lt;0,0,Grandview_Inventory[[#This Row],[pre_res]]*Grandview_Inventory[[#This Row],[overall_adj]])</f>
        <v>260826.59750904064</v>
      </c>
      <c r="BZ1742" s="6">
        <f>(Grandview_Inventory[[#This Row],[sum_land]]-IF(Grandview_Inventory[[#This Row],[no_utilities]]=1,12000,0))/IF(Grandview_Inventory[[#This Row],[unbuildable]]=1,2,1)</f>
        <v>53837.239420408718</v>
      </c>
      <c r="CA174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42">
        <f>ROUND(Grandview_Inventory[[#This Row],[det_value]]*Lookups!$M$28,-2)</f>
        <v>0</v>
      </c>
      <c r="CC1742">
        <f>IF(ROUND(Grandview_Inventory[[#This Row],[adj_res]]*Lookups!$M$28,-2)&lt;Grandview_Inventory[[#This Row],[min_res]],Grandview_Inventory[[#This Row],[min_res]],ROUND(Grandview_Inventory[[#This Row],[adj_res]]*Lookups!$M$28,-2))</f>
        <v>247800</v>
      </c>
      <c r="CD1742">
        <f>Grandview_Inventory[[#This Row],[final_det]]+Grandview_Inventory[[#This Row],[final_res]]</f>
        <v>247800</v>
      </c>
      <c r="CE1742">
        <f>Grandview_Inventory[[#This Row],[final_land]]+Grandview_Inventory[[#This Row],[final_imp]]+Grandview_Inventory[[#This Row],[crop_value]]</f>
        <v>298900</v>
      </c>
      <c r="CG1742" t="str">
        <f t="shared" si="27"/>
        <v>update valuation set market_land =51100, market_bldg=247800, market_total =298900, market_mdno =401, market_date ='9/10/2023' where link_id = (select link_id from parcel where parcel_year = '2024' and parcel_id = '23092332493');</v>
      </c>
    </row>
    <row r="1743" spans="1:85" x14ac:dyDescent="0.25">
      <c r="A1743">
        <v>23092332495</v>
      </c>
      <c r="B1743">
        <v>0.24</v>
      </c>
      <c r="C1743">
        <v>10658</v>
      </c>
      <c r="D1743" t="s">
        <v>129</v>
      </c>
      <c r="E1743" t="s">
        <v>53</v>
      </c>
      <c r="F1743" t="s">
        <v>53</v>
      </c>
      <c r="G1743">
        <v>4</v>
      </c>
      <c r="H1743" t="s">
        <v>54</v>
      </c>
      <c r="I1743">
        <v>174900</v>
      </c>
      <c r="J1743">
        <v>40000</v>
      </c>
      <c r="K1743">
        <v>0.24</v>
      </c>
      <c r="L174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43">
        <v>0</v>
      </c>
      <c r="N1743">
        <v>0</v>
      </c>
      <c r="O1743">
        <v>0</v>
      </c>
      <c r="P1743">
        <v>13398.7528</v>
      </c>
      <c r="Q1743">
        <v>63903</v>
      </c>
      <c r="R1743">
        <f>(Grandview_Inventory[[#This Row],[ln_acres]]*Grandview_Inventory[[#This Row],[coeff]])+Grandview_Inventory[[#This Row],[const]]</f>
        <v>44781.420733940802</v>
      </c>
      <c r="S1743" t="s">
        <v>61</v>
      </c>
      <c r="T1743">
        <v>1</v>
      </c>
      <c r="U1743" t="s">
        <v>70</v>
      </c>
      <c r="V1743" t="s">
        <v>69</v>
      </c>
      <c r="W1743">
        <v>0</v>
      </c>
      <c r="X1743">
        <v>0</v>
      </c>
      <c r="Y1743">
        <v>48</v>
      </c>
      <c r="Z1743">
        <v>63</v>
      </c>
      <c r="AA1743">
        <v>70</v>
      </c>
      <c r="AB1743">
        <v>2000</v>
      </c>
      <c r="AC1743">
        <v>1512</v>
      </c>
      <c r="AD1743">
        <v>1512</v>
      </c>
      <c r="AE1743">
        <v>0</v>
      </c>
      <c r="AF1743">
        <v>0</v>
      </c>
      <c r="AG1743">
        <v>0</v>
      </c>
      <c r="AH1743">
        <v>0</v>
      </c>
      <c r="AI1743">
        <v>336</v>
      </c>
      <c r="AJ1743">
        <v>0</v>
      </c>
      <c r="AK1743">
        <v>0</v>
      </c>
      <c r="AL1743">
        <v>0</v>
      </c>
      <c r="AM1743">
        <v>168</v>
      </c>
      <c r="AN1743">
        <v>32</v>
      </c>
      <c r="AO1743">
        <v>168</v>
      </c>
      <c r="AP1743">
        <v>5</v>
      </c>
      <c r="AQ1743">
        <v>0</v>
      </c>
      <c r="AR1743">
        <v>0</v>
      </c>
      <c r="AS1743" t="s">
        <v>58</v>
      </c>
      <c r="AT1743">
        <v>1</v>
      </c>
      <c r="AU1743" t="s">
        <v>75</v>
      </c>
      <c r="AV1743" t="s">
        <v>60</v>
      </c>
      <c r="AW1743">
        <v>0</v>
      </c>
      <c r="AX1743">
        <v>3</v>
      </c>
      <c r="AY1743">
        <v>0</v>
      </c>
      <c r="AZ1743">
        <v>0</v>
      </c>
      <c r="BA1743">
        <v>100</v>
      </c>
      <c r="BB1743">
        <v>100</v>
      </c>
      <c r="BC1743">
        <v>100</v>
      </c>
      <c r="BD1743">
        <v>100</v>
      </c>
      <c r="BE1743">
        <v>1</v>
      </c>
      <c r="BF1743">
        <v>15000</v>
      </c>
      <c r="BG1743">
        <v>1000</v>
      </c>
      <c r="BH1743" s="6">
        <f>Grandview_Inventory[[#This Row],[land_extract]]*Lookups!$B$3</f>
        <v>52004.542988489469</v>
      </c>
      <c r="BI1743" s="6">
        <f>IF(Grandview_Inventory[[#This Row],[bldg_style]]="",0,Lookups!$B$2)</f>
        <v>155833.95000000001</v>
      </c>
      <c r="BJ1743" s="6">
        <f>_xlfn.IFNA(VLOOKUP(Grandview_Inventory[[#This Row],[quality]],Lookups!$H$2:$J$14,3,FALSE),0)</f>
        <v>10733</v>
      </c>
      <c r="BK1743" s="6">
        <f>_xlfn.IFNA(VLOOKUP(Grandview_Inventory[[#This Row],[condition]],Lookups!$H$17:$J$24,3,FALSE),0)</f>
        <v>-4503</v>
      </c>
      <c r="BL1743" s="6">
        <f>Grandview_Inventory[[#This Row],[Eff_Age]]*Lookups!$B$14</f>
        <v>-11479.996799999999</v>
      </c>
      <c r="BM1743" s="6">
        <f>Grandview_Inventory[[#This Row],[living_area]]*Lookups!$B$15</f>
        <v>94319.849736000004</v>
      </c>
      <c r="BN1743" s="6">
        <f>Grandview_Inventory[[#This Row],[Fin BSMT]]*Lookups!$B$16</f>
        <v>0</v>
      </c>
      <c r="BO1743" s="6">
        <f>(Grandview_Inventory[[#This Row],[att_gar]]+Grandview_Inventory[[#This Row],[bltin_gar]])*Lookups!$B$17</f>
        <v>29406.866832</v>
      </c>
      <c r="BP1743" s="6">
        <f>Grandview_Inventory[[#This Row],[Plumbing Fixtures]]*Lookups!$B$18</f>
        <v>10052.209000000001</v>
      </c>
      <c r="BQ1743" s="6">
        <f>Grandview_Inventory[[#This Row],[detatched_value]]*Lookups!$B$19</f>
        <v>0</v>
      </c>
      <c r="BR1743" s="6">
        <f>SUM(Grandview_Inventory[[#This Row],[Intercept]:[det_value]])*Grandview_Inventory[[#This Row],[res_pct]]</f>
        <v>284362.878768</v>
      </c>
      <c r="BS1743" s="6">
        <f>Grandview_Inventory[[#This Row],[land_value]]</f>
        <v>52004.542988489469</v>
      </c>
      <c r="BT1743" s="4">
        <f>_xlfn.IFNA(VLOOKUP(Grandview_Inventory[[#This Row],[quality]],Lookups!$A$26:$C$33,3,FALSE),1)</f>
        <v>0.98079741117310582</v>
      </c>
      <c r="BU1743" s="4">
        <f>_xlfn.IFNA(VLOOKUP(Grandview_Inventory[[#This Row],[condition]],Lookups!$A$37:$C$44,3,FALSE),1)</f>
        <v>0.96469275950863709</v>
      </c>
      <c r="BV1743" s="4">
        <f>IF(Grandview_Inventory[[#This Row],[bldg_style]]="",1,_xlfn.IFNA(VLOOKUP(Grandview_Inventory[[#This Row],[decade]],Lookups!$F$29:$H$43,3,FALSE),1))</f>
        <v>0.99472141305414818</v>
      </c>
      <c r="BW1743" s="4">
        <f>_xlfn.IFNA(VLOOKUP(Grandview_Inventory[[#This Row],[living_area_range]],Lookups!$F$47:$H$56,3,FALSE),1)</f>
        <v>0.96120133463014379</v>
      </c>
      <c r="BX1743" s="4">
        <f>AVERAGE(Grandview_Inventory[[#This Row],[qual_adj]:[size_adj]])</f>
        <v>0.97535322959150883</v>
      </c>
      <c r="BY1743" s="6">
        <f>IF(Grandview_Inventory[[#This Row],[pre_res]]&lt;0,0,Grandview_Inventory[[#This Row],[pre_res]]*Grandview_Inventory[[#This Row],[overall_adj]])</f>
        <v>277354.25218230748</v>
      </c>
      <c r="BZ1743" s="6">
        <f>(Grandview_Inventory[[#This Row],[sum_land]]-IF(Grandview_Inventory[[#This Row],[no_utilities]]=1,12000,0))/IF(Grandview_Inventory[[#This Row],[unbuildable]]=1,2,1)</f>
        <v>52004.542988489469</v>
      </c>
      <c r="CA174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43">
        <f>ROUND(Grandview_Inventory[[#This Row],[det_value]]*Lookups!$M$28,-2)</f>
        <v>0</v>
      </c>
      <c r="CC1743">
        <f>IF(ROUND(Grandview_Inventory[[#This Row],[adj_res]]*Lookups!$M$28,-2)&lt;Grandview_Inventory[[#This Row],[min_res]],Grandview_Inventory[[#This Row],[min_res]],ROUND(Grandview_Inventory[[#This Row],[adj_res]]*Lookups!$M$28,-2))</f>
        <v>263500</v>
      </c>
      <c r="CD1743">
        <f>Grandview_Inventory[[#This Row],[final_det]]+Grandview_Inventory[[#This Row],[final_res]]</f>
        <v>263500</v>
      </c>
      <c r="CE1743">
        <f>Grandview_Inventory[[#This Row],[final_land]]+Grandview_Inventory[[#This Row],[final_imp]]+Grandview_Inventory[[#This Row],[crop_value]]</f>
        <v>312900</v>
      </c>
      <c r="CG1743" t="str">
        <f t="shared" si="27"/>
        <v>update valuation set market_land =49400, market_bldg=263500, market_total =312900, market_mdno =401, market_date ='9/10/2023' where link_id = (select link_id from parcel where parcel_year = '2024' and parcel_id = '23092332495');</v>
      </c>
    </row>
    <row r="1744" spans="1:85" x14ac:dyDescent="0.25">
      <c r="A1744">
        <v>23092332496</v>
      </c>
      <c r="B1744">
        <v>0.2</v>
      </c>
      <c r="C1744">
        <v>8596</v>
      </c>
      <c r="D1744" t="s">
        <v>129</v>
      </c>
      <c r="E1744" t="s">
        <v>53</v>
      </c>
      <c r="F1744" t="s">
        <v>53</v>
      </c>
      <c r="G1744">
        <v>4</v>
      </c>
      <c r="H1744" t="s">
        <v>54</v>
      </c>
      <c r="I1744">
        <v>173700</v>
      </c>
      <c r="J1744">
        <v>39300</v>
      </c>
      <c r="K1744">
        <v>0.2</v>
      </c>
      <c r="L174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744">
        <v>0</v>
      </c>
      <c r="N1744">
        <v>0</v>
      </c>
      <c r="O1744">
        <v>0</v>
      </c>
      <c r="P1744">
        <v>13398.7528</v>
      </c>
      <c r="Q1744">
        <v>63903</v>
      </c>
      <c r="R1744">
        <f>(Grandview_Inventory[[#This Row],[ln_acres]]*Grandview_Inventory[[#This Row],[coeff]])+Grandview_Inventory[[#This Row],[const]]</f>
        <v>42338.539264347448</v>
      </c>
      <c r="S1744" t="s">
        <v>61</v>
      </c>
      <c r="T1744">
        <v>1</v>
      </c>
      <c r="U1744" t="s">
        <v>65</v>
      </c>
      <c r="V1744" t="s">
        <v>69</v>
      </c>
      <c r="W1744">
        <v>0</v>
      </c>
      <c r="X1744">
        <v>0</v>
      </c>
      <c r="Y1744">
        <v>48</v>
      </c>
      <c r="Z1744">
        <v>59</v>
      </c>
      <c r="AA1744">
        <v>60</v>
      </c>
      <c r="AB1744">
        <v>2000</v>
      </c>
      <c r="AC1744">
        <v>1680</v>
      </c>
      <c r="AD1744">
        <v>1680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224</v>
      </c>
      <c r="AO1744">
        <v>0</v>
      </c>
      <c r="AP1744">
        <v>7</v>
      </c>
      <c r="AQ1744">
        <v>1</v>
      </c>
      <c r="AR1744">
        <v>1</v>
      </c>
      <c r="AS1744" t="s">
        <v>58</v>
      </c>
      <c r="AT1744">
        <v>1</v>
      </c>
      <c r="AU1744" t="s">
        <v>63</v>
      </c>
      <c r="AV1744" t="s">
        <v>64</v>
      </c>
      <c r="AW1744">
        <v>0</v>
      </c>
      <c r="AX1744">
        <v>3</v>
      </c>
      <c r="AY1744">
        <v>0</v>
      </c>
      <c r="AZ1744">
        <v>0</v>
      </c>
      <c r="BA1744">
        <v>100</v>
      </c>
      <c r="BB1744">
        <v>100</v>
      </c>
      <c r="BC1744">
        <v>100</v>
      </c>
      <c r="BD1744">
        <v>100</v>
      </c>
      <c r="BE1744">
        <v>1</v>
      </c>
      <c r="BF1744">
        <v>15000</v>
      </c>
      <c r="BG1744">
        <v>1000</v>
      </c>
      <c r="BH1744" s="6">
        <f>Grandview_Inventory[[#This Row],[land_extract]]*Lookups!$B$3</f>
        <v>49167.631333630678</v>
      </c>
      <c r="BI1744" s="6">
        <f>IF(Grandview_Inventory[[#This Row],[bldg_style]]="",0,Lookups!$B$2)</f>
        <v>155833.95000000001</v>
      </c>
      <c r="BJ1744" s="6">
        <f>_xlfn.IFNA(VLOOKUP(Grandview_Inventory[[#This Row],[quality]],Lookups!$H$2:$J$14,3,FALSE),0)</f>
        <v>2251</v>
      </c>
      <c r="BK1744" s="6">
        <f>_xlfn.IFNA(VLOOKUP(Grandview_Inventory[[#This Row],[condition]],Lookups!$H$17:$J$24,3,FALSE),0)</f>
        <v>-4503</v>
      </c>
      <c r="BL1744" s="6">
        <f>Grandview_Inventory[[#This Row],[Eff_Age]]*Lookups!$B$14</f>
        <v>-11479.996799999999</v>
      </c>
      <c r="BM1744" s="6">
        <f>Grandview_Inventory[[#This Row],[living_area]]*Lookups!$B$15</f>
        <v>104799.83304</v>
      </c>
      <c r="BN1744" s="6">
        <f>Grandview_Inventory[[#This Row],[Fin BSMT]]*Lookups!$B$16</f>
        <v>0</v>
      </c>
      <c r="BO1744" s="6">
        <f>(Grandview_Inventory[[#This Row],[att_gar]]+Grandview_Inventory[[#This Row],[bltin_gar]])*Lookups!$B$17</f>
        <v>0</v>
      </c>
      <c r="BP1744" s="6">
        <f>Grandview_Inventory[[#This Row],[Plumbing Fixtures]]*Lookups!$B$18</f>
        <v>14073.0926</v>
      </c>
      <c r="BQ1744" s="6">
        <f>Grandview_Inventory[[#This Row],[detatched_value]]*Lookups!$B$19</f>
        <v>0</v>
      </c>
      <c r="BR1744" s="6">
        <f>SUM(Grandview_Inventory[[#This Row],[Intercept]:[det_value]])*Grandview_Inventory[[#This Row],[res_pct]]</f>
        <v>260974.87884000002</v>
      </c>
      <c r="BS1744" s="6">
        <f>Grandview_Inventory[[#This Row],[land_value]]</f>
        <v>49167.631333630678</v>
      </c>
      <c r="BT1744" s="4">
        <f>_xlfn.IFNA(VLOOKUP(Grandview_Inventory[[#This Row],[quality]],Lookups!$A$26:$C$33,3,FALSE),1)</f>
        <v>0.98763855981004833</v>
      </c>
      <c r="BU1744" s="4">
        <f>_xlfn.IFNA(VLOOKUP(Grandview_Inventory[[#This Row],[condition]],Lookups!$A$37:$C$44,3,FALSE),1)</f>
        <v>0.96469275950863709</v>
      </c>
      <c r="BV1744" s="4">
        <f>IF(Grandview_Inventory[[#This Row],[bldg_style]]="",1,_xlfn.IFNA(VLOOKUP(Grandview_Inventory[[#This Row],[decade]],Lookups!$F$29:$H$43,3,FALSE),1))</f>
        <v>0.95268620544463312</v>
      </c>
      <c r="BW1744" s="4">
        <f>_xlfn.IFNA(VLOOKUP(Grandview_Inventory[[#This Row],[living_area_range]],Lookups!$F$47:$H$56,3,FALSE),1)</f>
        <v>0.96120133463014379</v>
      </c>
      <c r="BX1744" s="4">
        <f>AVERAGE(Grandview_Inventory[[#This Row],[qual_adj]:[size_adj]])</f>
        <v>0.96655471484836553</v>
      </c>
      <c r="BY1744" s="6">
        <f>IF(Grandview_Inventory[[#This Row],[pre_res]]&lt;0,0,Grandview_Inventory[[#This Row],[pre_res]]*Grandview_Inventory[[#This Row],[overall_adj]])</f>
        <v>252246.49959978295</v>
      </c>
      <c r="BZ1744" s="6">
        <f>(Grandview_Inventory[[#This Row],[sum_land]]-IF(Grandview_Inventory[[#This Row],[no_utilities]]=1,12000,0))/IF(Grandview_Inventory[[#This Row],[unbuildable]]=1,2,1)</f>
        <v>49167.631333630678</v>
      </c>
      <c r="CA174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744">
        <f>ROUND(Grandview_Inventory[[#This Row],[det_value]]*Lookups!$M$28,-2)</f>
        <v>0</v>
      </c>
      <c r="CC1744">
        <f>IF(ROUND(Grandview_Inventory[[#This Row],[adj_res]]*Lookups!$M$28,-2)&lt;Grandview_Inventory[[#This Row],[min_res]],Grandview_Inventory[[#This Row],[min_res]],ROUND(Grandview_Inventory[[#This Row],[adj_res]]*Lookups!$M$28,-2))</f>
        <v>239600</v>
      </c>
      <c r="CD1744">
        <f>Grandview_Inventory[[#This Row],[final_det]]+Grandview_Inventory[[#This Row],[final_res]]</f>
        <v>239600</v>
      </c>
      <c r="CE1744">
        <f>Grandview_Inventory[[#This Row],[final_land]]+Grandview_Inventory[[#This Row],[final_imp]]+Grandview_Inventory[[#This Row],[crop_value]]</f>
        <v>286300</v>
      </c>
      <c r="CG1744" t="str">
        <f t="shared" si="27"/>
        <v>update valuation set market_land =46700, market_bldg=239600, market_total =286300, market_mdno =401, market_date ='9/10/2023' where link_id = (select link_id from parcel where parcel_year = '2024' and parcel_id = '23092332496');</v>
      </c>
    </row>
    <row r="1745" spans="1:85" x14ac:dyDescent="0.25">
      <c r="A1745">
        <v>23092332497</v>
      </c>
      <c r="B1745">
        <v>0.21</v>
      </c>
      <c r="C1745">
        <v>9200</v>
      </c>
      <c r="D1745" t="s">
        <v>129</v>
      </c>
      <c r="E1745" t="s">
        <v>53</v>
      </c>
      <c r="F1745" t="s">
        <v>53</v>
      </c>
      <c r="G1745">
        <v>4</v>
      </c>
      <c r="H1745" t="s">
        <v>54</v>
      </c>
      <c r="I1745">
        <v>220900</v>
      </c>
      <c r="J1745">
        <v>43700</v>
      </c>
      <c r="K1745">
        <v>0.21</v>
      </c>
      <c r="L174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745">
        <v>0</v>
      </c>
      <c r="N1745">
        <v>0</v>
      </c>
      <c r="O1745">
        <v>0</v>
      </c>
      <c r="P1745">
        <v>13398.7528</v>
      </c>
      <c r="Q1745">
        <v>63903</v>
      </c>
      <c r="R1745">
        <f>(Grandview_Inventory[[#This Row],[ln_acres]]*Grandview_Inventory[[#This Row],[coeff]])+Grandview_Inventory[[#This Row],[const]]</f>
        <v>42992.266613125081</v>
      </c>
      <c r="S1745" t="s">
        <v>74</v>
      </c>
      <c r="T1745">
        <v>1</v>
      </c>
      <c r="U1745" t="s">
        <v>62</v>
      </c>
      <c r="V1745" t="s">
        <v>69</v>
      </c>
      <c r="W1745">
        <v>0</v>
      </c>
      <c r="X1745">
        <v>0</v>
      </c>
      <c r="Y1745">
        <v>48</v>
      </c>
      <c r="Z1745">
        <v>63</v>
      </c>
      <c r="AA1745">
        <v>70</v>
      </c>
      <c r="AB1745">
        <v>2000</v>
      </c>
      <c r="AC1745">
        <v>1774</v>
      </c>
      <c r="AD1745">
        <v>1222</v>
      </c>
      <c r="AE1745">
        <v>0</v>
      </c>
      <c r="AF1745">
        <v>0</v>
      </c>
      <c r="AG1745">
        <v>552</v>
      </c>
      <c r="AH1745">
        <v>0</v>
      </c>
      <c r="AI1745">
        <v>336</v>
      </c>
      <c r="AJ1745">
        <v>0</v>
      </c>
      <c r="AK1745">
        <v>0</v>
      </c>
      <c r="AL1745">
        <v>0</v>
      </c>
      <c r="AM1745">
        <v>500</v>
      </c>
      <c r="AN1745">
        <v>104</v>
      </c>
      <c r="AO1745">
        <v>108</v>
      </c>
      <c r="AP1745">
        <v>7</v>
      </c>
      <c r="AQ1745">
        <v>0</v>
      </c>
      <c r="AR1745">
        <v>1</v>
      </c>
      <c r="AS1745" t="s">
        <v>58</v>
      </c>
      <c r="AT1745">
        <v>1</v>
      </c>
      <c r="AU1745" t="s">
        <v>63</v>
      </c>
      <c r="AV1745" t="s">
        <v>64</v>
      </c>
      <c r="AW1745">
        <v>1</v>
      </c>
      <c r="AX1745">
        <v>3</v>
      </c>
      <c r="AY1745">
        <v>0</v>
      </c>
      <c r="AZ1745">
        <v>0</v>
      </c>
      <c r="BA1745">
        <v>100</v>
      </c>
      <c r="BB1745">
        <v>100</v>
      </c>
      <c r="BC1745">
        <v>100</v>
      </c>
      <c r="BD1745">
        <v>100</v>
      </c>
      <c r="BE1745">
        <v>1</v>
      </c>
      <c r="BF1745">
        <v>15000</v>
      </c>
      <c r="BG1745">
        <v>1000</v>
      </c>
      <c r="BH1745" s="6">
        <f>Grandview_Inventory[[#This Row],[land_extract]]*Lookups!$B$3</f>
        <v>49926.8031387023</v>
      </c>
      <c r="BI1745" s="6">
        <f>IF(Grandview_Inventory[[#This Row],[bldg_style]]="",0,Lookups!$B$2)</f>
        <v>155833.95000000001</v>
      </c>
      <c r="BJ1745" s="6">
        <f>_xlfn.IFNA(VLOOKUP(Grandview_Inventory[[#This Row],[quality]],Lookups!$H$2:$J$14,3,FALSE),0)</f>
        <v>9808</v>
      </c>
      <c r="BK1745" s="6">
        <f>_xlfn.IFNA(VLOOKUP(Grandview_Inventory[[#This Row],[condition]],Lookups!$H$17:$J$24,3,FALSE),0)</f>
        <v>-4503</v>
      </c>
      <c r="BL1745" s="6">
        <f>Grandview_Inventory[[#This Row],[Eff_Age]]*Lookups!$B$14</f>
        <v>-11479.996799999999</v>
      </c>
      <c r="BM1745" s="6">
        <f>Grandview_Inventory[[#This Row],[living_area]]*Lookups!$B$15</f>
        <v>110663.633222</v>
      </c>
      <c r="BN1745" s="6">
        <f>Grandview_Inventory[[#This Row],[Fin BSMT]]*Lookups!$B$16</f>
        <v>-14958.780480000001</v>
      </c>
      <c r="BO1745" s="6">
        <f>(Grandview_Inventory[[#This Row],[att_gar]]+Grandview_Inventory[[#This Row],[bltin_gar]])*Lookups!$B$17</f>
        <v>29406.866832</v>
      </c>
      <c r="BP1745" s="6">
        <f>Grandview_Inventory[[#This Row],[Plumbing Fixtures]]*Lookups!$B$18</f>
        <v>14073.0926</v>
      </c>
      <c r="BQ1745" s="6">
        <f>Grandview_Inventory[[#This Row],[detatched_value]]*Lookups!$B$19</f>
        <v>0</v>
      </c>
      <c r="BR1745" s="6">
        <f>SUM(Grandview_Inventory[[#This Row],[Intercept]:[det_value]])*Grandview_Inventory[[#This Row],[res_pct]]</f>
        <v>288843.76537399995</v>
      </c>
      <c r="BS1745" s="6">
        <f>Grandview_Inventory[[#This Row],[land_value]]</f>
        <v>49926.8031387023</v>
      </c>
      <c r="BT1745" s="4">
        <f>_xlfn.IFNA(VLOOKUP(Grandview_Inventory[[#This Row],[quality]],Lookups!$A$26:$C$33,3,FALSE),1)</f>
        <v>0.94295468617355149</v>
      </c>
      <c r="BU1745" s="4">
        <f>_xlfn.IFNA(VLOOKUP(Grandview_Inventory[[#This Row],[condition]],Lookups!$A$37:$C$44,3,FALSE),1)</f>
        <v>0.96469275950863709</v>
      </c>
      <c r="BV1745" s="4">
        <f>IF(Grandview_Inventory[[#This Row],[bldg_style]]="",1,_xlfn.IFNA(VLOOKUP(Grandview_Inventory[[#This Row],[decade]],Lookups!$F$29:$H$43,3,FALSE),1))</f>
        <v>0.99472141305414818</v>
      </c>
      <c r="BW1745" s="4">
        <f>_xlfn.IFNA(VLOOKUP(Grandview_Inventory[[#This Row],[living_area_range]],Lookups!$F$47:$H$56,3,FALSE),1)</f>
        <v>0.96120133463014379</v>
      </c>
      <c r="BX1745" s="4">
        <f>AVERAGE(Grandview_Inventory[[#This Row],[qual_adj]:[size_adj]])</f>
        <v>0.96589254834162008</v>
      </c>
      <c r="BY1745" s="6">
        <f>IF(Grandview_Inventory[[#This Row],[pre_res]]&lt;0,0,Grandview_Inventory[[#This Row],[pre_res]]*Grandview_Inventory[[#This Row],[overall_adj]])</f>
        <v>278992.0406096818</v>
      </c>
      <c r="BZ1745" s="6">
        <f>(Grandview_Inventory[[#This Row],[sum_land]]-IF(Grandview_Inventory[[#This Row],[no_utilities]]=1,12000,0))/IF(Grandview_Inventory[[#This Row],[unbuildable]]=1,2,1)</f>
        <v>49926.8031387023</v>
      </c>
      <c r="CA174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745">
        <f>ROUND(Grandview_Inventory[[#This Row],[det_value]]*Lookups!$M$28,-2)</f>
        <v>0</v>
      </c>
      <c r="CC1745">
        <f>IF(ROUND(Grandview_Inventory[[#This Row],[adj_res]]*Lookups!$M$28,-2)&lt;Grandview_Inventory[[#This Row],[min_res]],Grandview_Inventory[[#This Row],[min_res]],ROUND(Grandview_Inventory[[#This Row],[adj_res]]*Lookups!$M$28,-2))</f>
        <v>265000</v>
      </c>
      <c r="CD1745">
        <f>Grandview_Inventory[[#This Row],[final_det]]+Grandview_Inventory[[#This Row],[final_res]]</f>
        <v>265000</v>
      </c>
      <c r="CE1745">
        <f>Grandview_Inventory[[#This Row],[final_land]]+Grandview_Inventory[[#This Row],[final_imp]]+Grandview_Inventory[[#This Row],[crop_value]]</f>
        <v>312400</v>
      </c>
      <c r="CG1745" t="str">
        <f t="shared" si="27"/>
        <v>update valuation set market_land =47400, market_bldg=265000, market_total =312400, market_mdno =401, market_date ='9/10/2023' where link_id = (select link_id from parcel where parcel_year = '2024' and parcel_id = '23092332497');</v>
      </c>
    </row>
    <row r="1746" spans="1:85" x14ac:dyDescent="0.25">
      <c r="A1746">
        <v>23092332498</v>
      </c>
      <c r="B1746">
        <v>0.15</v>
      </c>
      <c r="C1746" t="s">
        <v>129</v>
      </c>
      <c r="D1746" t="s">
        <v>129</v>
      </c>
      <c r="E1746" t="s">
        <v>53</v>
      </c>
      <c r="F1746" t="s">
        <v>53</v>
      </c>
      <c r="G1746">
        <v>4</v>
      </c>
      <c r="H1746" t="s">
        <v>54</v>
      </c>
      <c r="I1746">
        <v>127800</v>
      </c>
      <c r="J1746">
        <v>38300</v>
      </c>
      <c r="K1746">
        <v>0.15</v>
      </c>
      <c r="L1746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746">
        <v>0</v>
      </c>
      <c r="N1746">
        <v>0</v>
      </c>
      <c r="O1746">
        <v>0</v>
      </c>
      <c r="P1746">
        <v>13398.7528</v>
      </c>
      <c r="Q1746">
        <v>63903</v>
      </c>
      <c r="R1746">
        <f>(Grandview_Inventory[[#This Row],[ln_acres]]*Grandview_Inventory[[#This Row],[coeff]])+Grandview_Inventory[[#This Row],[const]]</f>
        <v>38483.958290574345</v>
      </c>
      <c r="S1746" t="s">
        <v>68</v>
      </c>
      <c r="T1746">
        <v>1</v>
      </c>
      <c r="U1746" t="s">
        <v>70</v>
      </c>
      <c r="V1746" t="s">
        <v>69</v>
      </c>
      <c r="W1746">
        <v>0</v>
      </c>
      <c r="X1746">
        <v>0</v>
      </c>
      <c r="Y1746">
        <v>51</v>
      </c>
      <c r="Z1746">
        <v>83</v>
      </c>
      <c r="AA1746">
        <v>90</v>
      </c>
      <c r="AB1746">
        <v>1000</v>
      </c>
      <c r="AC1746">
        <v>994</v>
      </c>
      <c r="AD1746">
        <v>994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195</v>
      </c>
      <c r="AM1746">
        <v>0</v>
      </c>
      <c r="AN1746">
        <v>0</v>
      </c>
      <c r="AO1746">
        <v>0</v>
      </c>
      <c r="AP1746">
        <v>5</v>
      </c>
      <c r="AQ1746">
        <v>0</v>
      </c>
      <c r="AR1746">
        <v>0</v>
      </c>
      <c r="AS1746" t="s">
        <v>71</v>
      </c>
      <c r="AT1746">
        <v>1</v>
      </c>
      <c r="AU1746" t="s">
        <v>75</v>
      </c>
      <c r="AV1746" t="s">
        <v>60</v>
      </c>
      <c r="AW1746">
        <v>0</v>
      </c>
      <c r="AX1746">
        <v>3</v>
      </c>
      <c r="AY1746">
        <v>0</v>
      </c>
      <c r="AZ1746">
        <v>0</v>
      </c>
      <c r="BA1746">
        <v>100</v>
      </c>
      <c r="BB1746">
        <v>100</v>
      </c>
      <c r="BC1746">
        <v>100</v>
      </c>
      <c r="BD1746">
        <v>100</v>
      </c>
      <c r="BE1746">
        <v>1</v>
      </c>
      <c r="BF1746">
        <v>15000</v>
      </c>
      <c r="BG1746">
        <v>1000</v>
      </c>
      <c r="BH1746" s="6">
        <f>Grandview_Inventory[[#This Row],[land_extract]]*Lookups!$B$3</f>
        <v>44691.316856156598</v>
      </c>
      <c r="BI1746" s="6">
        <f>IF(Grandview_Inventory[[#This Row],[bldg_style]]="",0,Lookups!$B$2)</f>
        <v>155833.95000000001</v>
      </c>
      <c r="BJ1746" s="6">
        <f>_xlfn.IFNA(VLOOKUP(Grandview_Inventory[[#This Row],[quality]],Lookups!$H$2:$J$14,3,FALSE),0)</f>
        <v>10733</v>
      </c>
      <c r="BK1746" s="6">
        <f>_xlfn.IFNA(VLOOKUP(Grandview_Inventory[[#This Row],[condition]],Lookups!$H$17:$J$24,3,FALSE),0)</f>
        <v>-4503</v>
      </c>
      <c r="BL1746" s="6">
        <f>Grandview_Inventory[[#This Row],[Eff_Age]]*Lookups!$B$14</f>
        <v>-12197.496599999999</v>
      </c>
      <c r="BM1746" s="6">
        <f>Grandview_Inventory[[#This Row],[living_area]]*Lookups!$B$15</f>
        <v>62006.567882000003</v>
      </c>
      <c r="BN1746" s="6">
        <f>Grandview_Inventory[[#This Row],[Fin BSMT]]*Lookups!$B$16</f>
        <v>0</v>
      </c>
      <c r="BO1746" s="6">
        <f>(Grandview_Inventory[[#This Row],[att_gar]]+Grandview_Inventory[[#This Row],[bltin_gar]])*Lookups!$B$17</f>
        <v>0</v>
      </c>
      <c r="BP1746" s="6">
        <f>Grandview_Inventory[[#This Row],[Plumbing Fixtures]]*Lookups!$B$18</f>
        <v>10052.209000000001</v>
      </c>
      <c r="BQ1746" s="6">
        <f>Grandview_Inventory[[#This Row],[detatched_value]]*Lookups!$B$19</f>
        <v>0</v>
      </c>
      <c r="BR1746" s="6">
        <f>SUM(Grandview_Inventory[[#This Row],[Intercept]:[det_value]])*Grandview_Inventory[[#This Row],[res_pct]]</f>
        <v>221925.230282</v>
      </c>
      <c r="BS1746" s="6">
        <f>Grandview_Inventory[[#This Row],[land_value]]</f>
        <v>44691.316856156598</v>
      </c>
      <c r="BT1746" s="4">
        <f>_xlfn.IFNA(VLOOKUP(Grandview_Inventory[[#This Row],[quality]],Lookups!$A$26:$C$33,3,FALSE),1)</f>
        <v>0.98079741117310582</v>
      </c>
      <c r="BU1746" s="4">
        <f>_xlfn.IFNA(VLOOKUP(Grandview_Inventory[[#This Row],[condition]],Lookups!$A$37:$C$44,3,FALSE),1)</f>
        <v>0.96469275950863709</v>
      </c>
      <c r="BV1746" s="4">
        <f>IF(Grandview_Inventory[[#This Row],[bldg_style]]="",1,_xlfn.IFNA(VLOOKUP(Grandview_Inventory[[#This Row],[decade]],Lookups!$F$29:$H$43,3,FALSE),1))</f>
        <v>0.94161750052457416</v>
      </c>
      <c r="BW1746" s="4">
        <f>_xlfn.IFNA(VLOOKUP(Grandview_Inventory[[#This Row],[living_area_range]],Lookups!$F$47:$H$56,3,FALSE),1)</f>
        <v>0.94306777142782894</v>
      </c>
      <c r="BX1746" s="4">
        <f>AVERAGE(Grandview_Inventory[[#This Row],[qual_adj]:[size_adj]])</f>
        <v>0.95754386065853647</v>
      </c>
      <c r="BY1746" s="6">
        <f>IF(Grandview_Inventory[[#This Row],[pre_res]]&lt;0,0,Grandview_Inventory[[#This Row],[pre_res]]*Grandview_Inventory[[#This Row],[overall_adj]])</f>
        <v>212503.14178176102</v>
      </c>
      <c r="BZ1746" s="6">
        <f>(Grandview_Inventory[[#This Row],[sum_land]]-IF(Grandview_Inventory[[#This Row],[no_utilities]]=1,12000,0))/IF(Grandview_Inventory[[#This Row],[unbuildable]]=1,2,1)</f>
        <v>44691.316856156598</v>
      </c>
      <c r="CA1746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746">
        <f>ROUND(Grandview_Inventory[[#This Row],[det_value]]*Lookups!$M$28,-2)</f>
        <v>0</v>
      </c>
      <c r="CC1746">
        <f>IF(ROUND(Grandview_Inventory[[#This Row],[adj_res]]*Lookups!$M$28,-2)&lt;Grandview_Inventory[[#This Row],[min_res]],Grandview_Inventory[[#This Row],[min_res]],ROUND(Grandview_Inventory[[#This Row],[adj_res]]*Lookups!$M$28,-2))</f>
        <v>201900</v>
      </c>
      <c r="CD1746">
        <f>Grandview_Inventory[[#This Row],[final_det]]+Grandview_Inventory[[#This Row],[final_res]]</f>
        <v>201900</v>
      </c>
      <c r="CE1746">
        <f>Grandview_Inventory[[#This Row],[final_land]]+Grandview_Inventory[[#This Row],[final_imp]]+Grandview_Inventory[[#This Row],[crop_value]]</f>
        <v>244400</v>
      </c>
      <c r="CG1746" t="str">
        <f t="shared" si="27"/>
        <v>update valuation set market_land =42500, market_bldg=201900, market_total =244400, market_mdno =401, market_date ='9/10/2023' where link_id = (select link_id from parcel where parcel_year = '2024' and parcel_id = '23092332498');</v>
      </c>
    </row>
    <row r="1747" spans="1:85" x14ac:dyDescent="0.25">
      <c r="A1747">
        <v>23092332500</v>
      </c>
      <c r="B1747">
        <v>0.26</v>
      </c>
      <c r="C1747">
        <v>11305</v>
      </c>
      <c r="D1747" t="s">
        <v>129</v>
      </c>
      <c r="E1747" t="s">
        <v>53</v>
      </c>
      <c r="F1747" t="s">
        <v>53</v>
      </c>
      <c r="G1747">
        <v>4</v>
      </c>
      <c r="H1747" t="s">
        <v>54</v>
      </c>
      <c r="I1747">
        <v>300200</v>
      </c>
      <c r="J1747">
        <v>44500</v>
      </c>
      <c r="K1747">
        <v>0.26</v>
      </c>
      <c r="L174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747">
        <v>0</v>
      </c>
      <c r="N1747">
        <v>0</v>
      </c>
      <c r="O1747">
        <v>0</v>
      </c>
      <c r="P1747">
        <v>13398.7528</v>
      </c>
      <c r="Q1747">
        <v>63903</v>
      </c>
      <c r="R1747">
        <f>(Grandview_Inventory[[#This Row],[ln_acres]]*Grandview_Inventory[[#This Row],[coeff]])+Grandview_Inventory[[#This Row],[const]]</f>
        <v>45853.893187501177</v>
      </c>
      <c r="S1747" t="s">
        <v>61</v>
      </c>
      <c r="T1747">
        <v>1</v>
      </c>
      <c r="U1747" t="s">
        <v>62</v>
      </c>
      <c r="V1747" t="s">
        <v>67</v>
      </c>
      <c r="W1747">
        <v>0</v>
      </c>
      <c r="X1747">
        <v>0</v>
      </c>
      <c r="Y1747">
        <v>46</v>
      </c>
      <c r="Z1747">
        <v>54</v>
      </c>
      <c r="AA1747">
        <v>60</v>
      </c>
      <c r="AB1747">
        <v>3500</v>
      </c>
      <c r="AC1747">
        <v>3488</v>
      </c>
      <c r="AD1747">
        <v>1744</v>
      </c>
      <c r="AE1747">
        <v>0</v>
      </c>
      <c r="AF1747">
        <v>0</v>
      </c>
      <c r="AG1747">
        <v>1744</v>
      </c>
      <c r="AH1747">
        <v>0</v>
      </c>
      <c r="AI1747">
        <v>525</v>
      </c>
      <c r="AJ1747">
        <v>0</v>
      </c>
      <c r="AK1747">
        <v>0</v>
      </c>
      <c r="AL1747">
        <v>0</v>
      </c>
      <c r="AM1747">
        <v>508</v>
      </c>
      <c r="AN1747">
        <v>145</v>
      </c>
      <c r="AO1747">
        <v>0</v>
      </c>
      <c r="AP1747">
        <v>8</v>
      </c>
      <c r="AQ1747">
        <v>0</v>
      </c>
      <c r="AR1747">
        <v>1</v>
      </c>
      <c r="AS1747" t="s">
        <v>58</v>
      </c>
      <c r="AT1747">
        <v>1</v>
      </c>
      <c r="AU1747" t="s">
        <v>63</v>
      </c>
      <c r="AV1747" t="s">
        <v>64</v>
      </c>
      <c r="AW1747">
        <v>1</v>
      </c>
      <c r="AX1747">
        <v>5</v>
      </c>
      <c r="AY1747">
        <v>0</v>
      </c>
      <c r="AZ1747">
        <v>3500</v>
      </c>
      <c r="BA1747">
        <v>100</v>
      </c>
      <c r="BB1747">
        <v>100</v>
      </c>
      <c r="BC1747">
        <v>100</v>
      </c>
      <c r="BD1747">
        <v>100</v>
      </c>
      <c r="BE1747">
        <v>1</v>
      </c>
      <c r="BF1747">
        <v>15000</v>
      </c>
      <c r="BG1747">
        <v>1000</v>
      </c>
      <c r="BH1747" s="6">
        <f>Grandview_Inventory[[#This Row],[land_extract]]*Lookups!$B$3</f>
        <v>53250.00235313351</v>
      </c>
      <c r="BI1747" s="6">
        <f>IF(Grandview_Inventory[[#This Row],[bldg_style]]="",0,Lookups!$B$2)</f>
        <v>155833.95000000001</v>
      </c>
      <c r="BJ1747" s="6">
        <f>_xlfn.IFNA(VLOOKUP(Grandview_Inventory[[#This Row],[quality]],Lookups!$H$2:$J$14,3,FALSE),0)</f>
        <v>9808</v>
      </c>
      <c r="BK1747" s="6">
        <f>_xlfn.IFNA(VLOOKUP(Grandview_Inventory[[#This Row],[condition]],Lookups!$H$17:$J$24,3,FALSE),0)</f>
        <v>22342</v>
      </c>
      <c r="BL1747" s="6">
        <f>Grandview_Inventory[[#This Row],[Eff_Age]]*Lookups!$B$14</f>
        <v>-11001.6636</v>
      </c>
      <c r="BM1747" s="6">
        <f>Grandview_Inventory[[#This Row],[living_area]]*Lookups!$B$15</f>
        <v>217584.41526400001</v>
      </c>
      <c r="BN1747" s="6">
        <f>Grandview_Inventory[[#This Row],[Fin BSMT]]*Lookups!$B$16</f>
        <v>-47261.074560000001</v>
      </c>
      <c r="BO1747" s="6">
        <f>(Grandview_Inventory[[#This Row],[att_gar]]+Grandview_Inventory[[#This Row],[bltin_gar]])*Lookups!$B$17</f>
        <v>45948.229424999998</v>
      </c>
      <c r="BP1747" s="6">
        <f>Grandview_Inventory[[#This Row],[Plumbing Fixtures]]*Lookups!$B$18</f>
        <v>16083.5344</v>
      </c>
      <c r="BQ1747" s="6">
        <f>Grandview_Inventory[[#This Row],[detatched_value]]*Lookups!$B$19</f>
        <v>2963.8178499999999</v>
      </c>
      <c r="BR1747" s="6">
        <f>SUM(Grandview_Inventory[[#This Row],[Intercept]:[det_value]])*Grandview_Inventory[[#This Row],[res_pct]]</f>
        <v>412301.2087790001</v>
      </c>
      <c r="BS1747" s="6">
        <f>Grandview_Inventory[[#This Row],[land_value]]</f>
        <v>53250.00235313351</v>
      </c>
      <c r="BT1747" s="4">
        <f>_xlfn.IFNA(VLOOKUP(Grandview_Inventory[[#This Row],[quality]],Lookups!$A$26:$C$33,3,FALSE),1)</f>
        <v>0.94295468617355149</v>
      </c>
      <c r="BU1747" s="4">
        <f>_xlfn.IFNA(VLOOKUP(Grandview_Inventory[[#This Row],[condition]],Lookups!$A$37:$C$44,3,FALSE),1)</f>
        <v>0.97383723671140243</v>
      </c>
      <c r="BV1747" s="4">
        <f>IF(Grandview_Inventory[[#This Row],[bldg_style]]="",1,_xlfn.IFNA(VLOOKUP(Grandview_Inventory[[#This Row],[decade]],Lookups!$F$29:$H$43,3,FALSE),1))</f>
        <v>0.95268620544463312</v>
      </c>
      <c r="BW1747" s="4">
        <f>_xlfn.IFNA(VLOOKUP(Grandview_Inventory[[#This Row],[living_area_range]],Lookups!$F$47:$H$56,3,FALSE),1)</f>
        <v>1.0170112215140563</v>
      </c>
      <c r="BX1747" s="4">
        <f>AVERAGE(Grandview_Inventory[[#This Row],[qual_adj]:[size_adj]])</f>
        <v>0.97162233746091076</v>
      </c>
      <c r="BY1747" s="6">
        <f>IF(Grandview_Inventory[[#This Row],[pre_res]]&lt;0,0,Grandview_Inventory[[#This Row],[pre_res]]*Grandview_Inventory[[#This Row],[overall_adj]])</f>
        <v>400601.06421181106</v>
      </c>
      <c r="BZ1747" s="6">
        <f>(Grandview_Inventory[[#This Row],[sum_land]]-IF(Grandview_Inventory[[#This Row],[no_utilities]]=1,12000,0))/IF(Grandview_Inventory[[#This Row],[unbuildable]]=1,2,1)</f>
        <v>53250.00235313351</v>
      </c>
      <c r="CA174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747">
        <f>ROUND(Grandview_Inventory[[#This Row],[det_value]]*Lookups!$M$28,-2)</f>
        <v>2800</v>
      </c>
      <c r="CC1747">
        <f>IF(ROUND(Grandview_Inventory[[#This Row],[adj_res]]*Lookups!$M$28,-2)&lt;Grandview_Inventory[[#This Row],[min_res]],Grandview_Inventory[[#This Row],[min_res]],ROUND(Grandview_Inventory[[#This Row],[adj_res]]*Lookups!$M$28,-2))</f>
        <v>380600</v>
      </c>
      <c r="CD1747">
        <f>Grandview_Inventory[[#This Row],[final_det]]+Grandview_Inventory[[#This Row],[final_res]]</f>
        <v>383400</v>
      </c>
      <c r="CE1747">
        <f>Grandview_Inventory[[#This Row],[final_land]]+Grandview_Inventory[[#This Row],[final_imp]]+Grandview_Inventory[[#This Row],[crop_value]]</f>
        <v>434000</v>
      </c>
      <c r="CG1747" t="str">
        <f t="shared" si="27"/>
        <v>update valuation set market_land =50600, market_bldg=383400, market_total =434000, market_mdno =401, market_date ='9/10/2023' where link_id = (select link_id from parcel where parcel_year = '2024' and parcel_id = '23092332500');</v>
      </c>
    </row>
    <row r="1748" spans="1:85" x14ac:dyDescent="0.25">
      <c r="A1748">
        <v>23092332501</v>
      </c>
      <c r="B1748">
        <v>0.23</v>
      </c>
      <c r="C1748">
        <v>10115</v>
      </c>
      <c r="D1748" t="s">
        <v>129</v>
      </c>
      <c r="E1748" t="s">
        <v>53</v>
      </c>
      <c r="F1748" t="s">
        <v>53</v>
      </c>
      <c r="G1748">
        <v>4</v>
      </c>
      <c r="H1748" t="s">
        <v>54</v>
      </c>
      <c r="I1748">
        <v>272200</v>
      </c>
      <c r="J1748">
        <v>39700</v>
      </c>
      <c r="K1748">
        <v>0.23</v>
      </c>
      <c r="L174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48">
        <v>0</v>
      </c>
      <c r="N1748">
        <v>0</v>
      </c>
      <c r="O1748">
        <v>0</v>
      </c>
      <c r="P1748">
        <v>13398.7528</v>
      </c>
      <c r="Q1748">
        <v>63903</v>
      </c>
      <c r="R1748">
        <f>(Grandview_Inventory[[#This Row],[ln_acres]]*Grandview_Inventory[[#This Row],[coeff]])+Grandview_Inventory[[#This Row],[const]]</f>
        <v>44211.174981080039</v>
      </c>
      <c r="S1748" t="s">
        <v>61</v>
      </c>
      <c r="T1748">
        <v>1</v>
      </c>
      <c r="U1748" t="s">
        <v>64</v>
      </c>
      <c r="V1748" t="s">
        <v>69</v>
      </c>
      <c r="W1748">
        <v>0</v>
      </c>
      <c r="X1748">
        <v>0</v>
      </c>
      <c r="Y1748">
        <v>45</v>
      </c>
      <c r="Z1748">
        <v>51</v>
      </c>
      <c r="AA1748">
        <v>60</v>
      </c>
      <c r="AB1748">
        <v>2500</v>
      </c>
      <c r="AC1748">
        <v>2480</v>
      </c>
      <c r="AD1748">
        <v>1760</v>
      </c>
      <c r="AE1748">
        <v>0</v>
      </c>
      <c r="AF1748">
        <v>0</v>
      </c>
      <c r="AG1748">
        <v>720</v>
      </c>
      <c r="AH1748">
        <v>0</v>
      </c>
      <c r="AI1748">
        <v>0</v>
      </c>
      <c r="AJ1748">
        <v>616</v>
      </c>
      <c r="AK1748">
        <v>0</v>
      </c>
      <c r="AL1748">
        <v>176</v>
      </c>
      <c r="AM1748">
        <v>0</v>
      </c>
      <c r="AN1748">
        <v>210</v>
      </c>
      <c r="AO1748">
        <v>176</v>
      </c>
      <c r="AP1748">
        <v>10</v>
      </c>
      <c r="AQ1748">
        <v>0</v>
      </c>
      <c r="AR1748">
        <v>1</v>
      </c>
      <c r="AS1748" t="s">
        <v>58</v>
      </c>
      <c r="AT1748">
        <v>1</v>
      </c>
      <c r="AU1748" t="s">
        <v>63</v>
      </c>
      <c r="AV1748" t="s">
        <v>64</v>
      </c>
      <c r="AW1748">
        <v>1</v>
      </c>
      <c r="AX1748">
        <v>4</v>
      </c>
      <c r="AY1748">
        <v>0</v>
      </c>
      <c r="AZ1748">
        <v>17800</v>
      </c>
      <c r="BA1748">
        <v>100</v>
      </c>
      <c r="BB1748">
        <v>100</v>
      </c>
      <c r="BC1748">
        <v>100</v>
      </c>
      <c r="BD1748">
        <v>100</v>
      </c>
      <c r="BE1748">
        <v>1</v>
      </c>
      <c r="BF1748">
        <v>15000</v>
      </c>
      <c r="BG1748">
        <v>1000</v>
      </c>
      <c r="BH1748" s="6">
        <f>Grandview_Inventory[[#This Row],[land_extract]]*Lookups!$B$3</f>
        <v>51342.318135355803</v>
      </c>
      <c r="BI1748" s="6">
        <f>IF(Grandview_Inventory[[#This Row],[bldg_style]]="",0,Lookups!$B$2)</f>
        <v>155833.95000000001</v>
      </c>
      <c r="BJ1748" s="6">
        <f>_xlfn.IFNA(VLOOKUP(Grandview_Inventory[[#This Row],[quality]],Lookups!$H$2:$J$14,3,FALSE),0)</f>
        <v>20768</v>
      </c>
      <c r="BK1748" s="6">
        <f>_xlfn.IFNA(VLOOKUP(Grandview_Inventory[[#This Row],[condition]],Lookups!$H$17:$J$24,3,FALSE),0)</f>
        <v>-4503</v>
      </c>
      <c r="BL1748" s="6">
        <f>Grandview_Inventory[[#This Row],[Eff_Age]]*Lookups!$B$14</f>
        <v>-10762.496999999999</v>
      </c>
      <c r="BM1748" s="6">
        <f>Grandview_Inventory[[#This Row],[living_area]]*Lookups!$B$15</f>
        <v>154704.51544000002</v>
      </c>
      <c r="BN1748" s="6">
        <f>Grandview_Inventory[[#This Row],[Fin BSMT]]*Lookups!$B$16</f>
        <v>-19511.452800000003</v>
      </c>
      <c r="BO1748" s="6">
        <f>(Grandview_Inventory[[#This Row],[att_gar]]+Grandview_Inventory[[#This Row],[bltin_gar]])*Lookups!$B$17</f>
        <v>53912.589191999999</v>
      </c>
      <c r="BP1748" s="6">
        <f>Grandview_Inventory[[#This Row],[Plumbing Fixtures]]*Lookups!$B$18</f>
        <v>20104.418000000001</v>
      </c>
      <c r="BQ1748" s="6">
        <f>Grandview_Inventory[[#This Row],[detatched_value]]*Lookups!$B$19</f>
        <v>15073.13078</v>
      </c>
      <c r="BR1748" s="6">
        <f>SUM(Grandview_Inventory[[#This Row],[Intercept]:[det_value]])*Grandview_Inventory[[#This Row],[res_pct]]</f>
        <v>385619.65361199999</v>
      </c>
      <c r="BS1748" s="6">
        <f>Grandview_Inventory[[#This Row],[land_value]]</f>
        <v>51342.318135355803</v>
      </c>
      <c r="BT1748" s="4">
        <f>_xlfn.IFNA(VLOOKUP(Grandview_Inventory[[#This Row],[quality]],Lookups!$A$26:$C$33,3,FALSE),1)</f>
        <v>0.94960540378902636</v>
      </c>
      <c r="BU1748" s="4">
        <f>_xlfn.IFNA(VLOOKUP(Grandview_Inventory[[#This Row],[condition]],Lookups!$A$37:$C$44,3,FALSE),1)</f>
        <v>0.96469275950863709</v>
      </c>
      <c r="BV1748" s="4">
        <f>IF(Grandview_Inventory[[#This Row],[bldg_style]]="",1,_xlfn.IFNA(VLOOKUP(Grandview_Inventory[[#This Row],[decade]],Lookups!$F$29:$H$43,3,FALSE),1))</f>
        <v>0.95268620544463312</v>
      </c>
      <c r="BW1748" s="4">
        <f>_xlfn.IFNA(VLOOKUP(Grandview_Inventory[[#This Row],[living_area_range]],Lookups!$F$47:$H$56,3,FALSE),1)</f>
        <v>0.95799442568048754</v>
      </c>
      <c r="BX1748" s="4">
        <f>AVERAGE(Grandview_Inventory[[#This Row],[qual_adj]:[size_adj]])</f>
        <v>0.95624469860569605</v>
      </c>
      <c r="BY1748" s="6">
        <f>IF(Grandview_Inventory[[#This Row],[pre_res]]&lt;0,0,Grandview_Inventory[[#This Row],[pre_res]]*Grandview_Inventory[[#This Row],[overall_adj]])</f>
        <v>368746.74944463983</v>
      </c>
      <c r="BZ1748" s="6">
        <f>(Grandview_Inventory[[#This Row],[sum_land]]-IF(Grandview_Inventory[[#This Row],[no_utilities]]=1,12000,0))/IF(Grandview_Inventory[[#This Row],[unbuildable]]=1,2,1)</f>
        <v>51342.318135355803</v>
      </c>
      <c r="CA174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48">
        <f>ROUND(Grandview_Inventory[[#This Row],[det_value]]*Lookups!$M$28,-2)</f>
        <v>14300</v>
      </c>
      <c r="CC1748">
        <f>IF(ROUND(Grandview_Inventory[[#This Row],[adj_res]]*Lookups!$M$28,-2)&lt;Grandview_Inventory[[#This Row],[min_res]],Grandview_Inventory[[#This Row],[min_res]],ROUND(Grandview_Inventory[[#This Row],[adj_res]]*Lookups!$M$28,-2))</f>
        <v>350300</v>
      </c>
      <c r="CD1748">
        <f>Grandview_Inventory[[#This Row],[final_det]]+Grandview_Inventory[[#This Row],[final_res]]</f>
        <v>364600</v>
      </c>
      <c r="CE1748">
        <f>Grandview_Inventory[[#This Row],[final_land]]+Grandview_Inventory[[#This Row],[final_imp]]+Grandview_Inventory[[#This Row],[crop_value]]</f>
        <v>413400</v>
      </c>
      <c r="CG1748" t="str">
        <f t="shared" si="27"/>
        <v>update valuation set market_land =48800, market_bldg=364600, market_total =413400, market_mdno =401, market_date ='9/10/2023' where link_id = (select link_id from parcel where parcel_year = '2024' and parcel_id = '23092332501');</v>
      </c>
    </row>
    <row r="1749" spans="1:85" x14ac:dyDescent="0.25">
      <c r="A1749">
        <v>23092332502</v>
      </c>
      <c r="B1749">
        <v>0.22</v>
      </c>
      <c r="C1749">
        <v>9784</v>
      </c>
      <c r="D1749" t="s">
        <v>129</v>
      </c>
      <c r="E1749" t="s">
        <v>53</v>
      </c>
      <c r="F1749" t="s">
        <v>53</v>
      </c>
      <c r="G1749">
        <v>4</v>
      </c>
      <c r="H1749" t="s">
        <v>54</v>
      </c>
      <c r="I1749">
        <v>244500</v>
      </c>
      <c r="J1749">
        <v>39500</v>
      </c>
      <c r="K1749">
        <v>0.22</v>
      </c>
      <c r="L1749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49">
        <v>0</v>
      </c>
      <c r="N1749">
        <v>0</v>
      </c>
      <c r="O1749">
        <v>0</v>
      </c>
      <c r="P1749">
        <v>13398.7528</v>
      </c>
      <c r="Q1749">
        <v>63903</v>
      </c>
      <c r="R1749">
        <f>(Grandview_Inventory[[#This Row],[ln_acres]]*Grandview_Inventory[[#This Row],[coeff]])+Grandview_Inventory[[#This Row],[const]]</f>
        <v>43615.576802869145</v>
      </c>
      <c r="S1749" t="s">
        <v>74</v>
      </c>
      <c r="T1749">
        <v>1</v>
      </c>
      <c r="U1749" t="s">
        <v>64</v>
      </c>
      <c r="V1749" t="s">
        <v>78</v>
      </c>
      <c r="W1749">
        <v>0</v>
      </c>
      <c r="X1749">
        <v>0</v>
      </c>
      <c r="Y1749">
        <v>48</v>
      </c>
      <c r="Z1749">
        <v>63</v>
      </c>
      <c r="AA1749">
        <v>70</v>
      </c>
      <c r="AB1749">
        <v>2000</v>
      </c>
      <c r="AC1749">
        <v>1942</v>
      </c>
      <c r="AD1749">
        <v>1370</v>
      </c>
      <c r="AE1749">
        <v>0</v>
      </c>
      <c r="AF1749">
        <v>0</v>
      </c>
      <c r="AG1749">
        <v>572</v>
      </c>
      <c r="AH1749">
        <v>0</v>
      </c>
      <c r="AI1749">
        <v>624</v>
      </c>
      <c r="AJ1749">
        <v>0</v>
      </c>
      <c r="AK1749">
        <v>0</v>
      </c>
      <c r="AL1749">
        <v>480</v>
      </c>
      <c r="AM1749">
        <v>420</v>
      </c>
      <c r="AN1749">
        <v>40</v>
      </c>
      <c r="AO1749">
        <v>0</v>
      </c>
      <c r="AP1749">
        <v>7</v>
      </c>
      <c r="AQ1749">
        <v>0</v>
      </c>
      <c r="AR1749">
        <v>2</v>
      </c>
      <c r="AS1749" t="s">
        <v>76</v>
      </c>
      <c r="AT1749">
        <v>1</v>
      </c>
      <c r="AU1749" t="s">
        <v>63</v>
      </c>
      <c r="AV1749" t="s">
        <v>81</v>
      </c>
      <c r="AW1749">
        <v>1</v>
      </c>
      <c r="AX1749">
        <v>3</v>
      </c>
      <c r="AY1749">
        <v>0</v>
      </c>
      <c r="AZ1749">
        <v>0</v>
      </c>
      <c r="BA1749">
        <v>100</v>
      </c>
      <c r="BB1749">
        <v>100</v>
      </c>
      <c r="BC1749">
        <v>100</v>
      </c>
      <c r="BD1749">
        <v>100</v>
      </c>
      <c r="BE1749">
        <v>1</v>
      </c>
      <c r="BF1749">
        <v>15000</v>
      </c>
      <c r="BG1749">
        <v>1000</v>
      </c>
      <c r="BH1749" s="6">
        <f>Grandview_Inventory[[#This Row],[land_extract]]*Lookups!$B$3</f>
        <v>50650.651579114572</v>
      </c>
      <c r="BI1749" s="6">
        <f>IF(Grandview_Inventory[[#This Row],[bldg_style]]="",0,Lookups!$B$2)</f>
        <v>155833.95000000001</v>
      </c>
      <c r="BJ1749" s="6">
        <f>_xlfn.IFNA(VLOOKUP(Grandview_Inventory[[#This Row],[quality]],Lookups!$H$2:$J$14,3,FALSE),0)</f>
        <v>20768</v>
      </c>
      <c r="BK1749" s="6">
        <f>_xlfn.IFNA(VLOOKUP(Grandview_Inventory[[#This Row],[condition]],Lookups!$H$17:$J$24,3,FALSE),0)</f>
        <v>-45357</v>
      </c>
      <c r="BL1749" s="6">
        <f>Grandview_Inventory[[#This Row],[Eff_Age]]*Lookups!$B$14</f>
        <v>-11479.996799999999</v>
      </c>
      <c r="BM1749" s="6">
        <f>Grandview_Inventory[[#This Row],[living_area]]*Lookups!$B$15</f>
        <v>121143.616526</v>
      </c>
      <c r="BN1749" s="6">
        <f>Grandview_Inventory[[#This Row],[Fin BSMT]]*Lookups!$B$16</f>
        <v>-15500.765280000001</v>
      </c>
      <c r="BO1749" s="6">
        <f>(Grandview_Inventory[[#This Row],[att_gar]]+Grandview_Inventory[[#This Row],[bltin_gar]])*Lookups!$B$17</f>
        <v>54612.752688</v>
      </c>
      <c r="BP1749" s="6">
        <f>Grandview_Inventory[[#This Row],[Plumbing Fixtures]]*Lookups!$B$18</f>
        <v>14073.0926</v>
      </c>
      <c r="BQ1749" s="6">
        <f>Grandview_Inventory[[#This Row],[detatched_value]]*Lookups!$B$19</f>
        <v>0</v>
      </c>
      <c r="BR1749" s="6">
        <f>SUM(Grandview_Inventory[[#This Row],[Intercept]:[det_value]])*Grandview_Inventory[[#This Row],[res_pct]]</f>
        <v>294093.64973399998</v>
      </c>
      <c r="BS1749" s="6">
        <f>Grandview_Inventory[[#This Row],[land_value]]</f>
        <v>50650.651579114572</v>
      </c>
      <c r="BT1749" s="4">
        <f>_xlfn.IFNA(VLOOKUP(Grandview_Inventory[[#This Row],[quality]],Lookups!$A$26:$C$33,3,FALSE),1)</f>
        <v>0.94960540378902636</v>
      </c>
      <c r="BU1749" s="4">
        <f>_xlfn.IFNA(VLOOKUP(Grandview_Inventory[[#This Row],[condition]],Lookups!$A$37:$C$44,3,FALSE),1)</f>
        <v>0.97161819570155394</v>
      </c>
      <c r="BV1749" s="4">
        <f>IF(Grandview_Inventory[[#This Row],[bldg_style]]="",1,_xlfn.IFNA(VLOOKUP(Grandview_Inventory[[#This Row],[decade]],Lookups!$F$29:$H$43,3,FALSE),1))</f>
        <v>0.99472141305414818</v>
      </c>
      <c r="BW1749" s="4">
        <f>_xlfn.IFNA(VLOOKUP(Grandview_Inventory[[#This Row],[living_area_range]],Lookups!$F$47:$H$56,3,FALSE),1)</f>
        <v>0.96120133463014379</v>
      </c>
      <c r="BX1749" s="4">
        <f>AVERAGE(Grandview_Inventory[[#This Row],[qual_adj]:[size_adj]])</f>
        <v>0.96928658679371815</v>
      </c>
      <c r="BY1749" s="6">
        <f>IF(Grandview_Inventory[[#This Row],[pre_res]]&lt;0,0,Grandview_Inventory[[#This Row],[pre_res]]*Grandview_Inventory[[#This Row],[overall_adj]])</f>
        <v>285061.02994837612</v>
      </c>
      <c r="BZ1749" s="6">
        <f>(Grandview_Inventory[[#This Row],[sum_land]]-IF(Grandview_Inventory[[#This Row],[no_utilities]]=1,12000,0))/IF(Grandview_Inventory[[#This Row],[unbuildable]]=1,2,1)</f>
        <v>50650.651579114572</v>
      </c>
      <c r="CA1749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49">
        <f>ROUND(Grandview_Inventory[[#This Row],[det_value]]*Lookups!$M$28,-2)</f>
        <v>0</v>
      </c>
      <c r="CC1749">
        <f>IF(ROUND(Grandview_Inventory[[#This Row],[adj_res]]*Lookups!$M$28,-2)&lt;Grandview_Inventory[[#This Row],[min_res]],Grandview_Inventory[[#This Row],[min_res]],ROUND(Grandview_Inventory[[#This Row],[adj_res]]*Lookups!$M$28,-2))</f>
        <v>270800</v>
      </c>
      <c r="CD1749">
        <f>Grandview_Inventory[[#This Row],[final_det]]+Grandview_Inventory[[#This Row],[final_res]]</f>
        <v>270800</v>
      </c>
      <c r="CE1749">
        <f>Grandview_Inventory[[#This Row],[final_land]]+Grandview_Inventory[[#This Row],[final_imp]]+Grandview_Inventory[[#This Row],[crop_value]]</f>
        <v>318900</v>
      </c>
      <c r="CG1749" t="str">
        <f t="shared" si="27"/>
        <v>update valuation set market_land =48100, market_bldg=270800, market_total =318900, market_mdno =401, market_date ='9/10/2023' where link_id = (select link_id from parcel where parcel_year = '2024' and parcel_id = '23092332502');</v>
      </c>
    </row>
    <row r="1750" spans="1:85" x14ac:dyDescent="0.25">
      <c r="A1750">
        <v>23092332510</v>
      </c>
      <c r="B1750">
        <v>0.12</v>
      </c>
      <c r="C1750">
        <v>5259</v>
      </c>
      <c r="D1750" t="s">
        <v>129</v>
      </c>
      <c r="E1750" t="s">
        <v>53</v>
      </c>
      <c r="F1750" t="s">
        <v>53</v>
      </c>
      <c r="G1750">
        <v>4</v>
      </c>
      <c r="H1750" t="s">
        <v>54</v>
      </c>
      <c r="I1750">
        <v>131900</v>
      </c>
      <c r="J1750">
        <v>37900</v>
      </c>
      <c r="K1750">
        <v>0.12</v>
      </c>
      <c r="L175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750">
        <v>0</v>
      </c>
      <c r="N1750">
        <v>0</v>
      </c>
      <c r="O1750">
        <v>0</v>
      </c>
      <c r="P1750">
        <v>13398.7528</v>
      </c>
      <c r="Q1750">
        <v>63903</v>
      </c>
      <c r="R1750">
        <f>(Grandview_Inventory[[#This Row],[ln_acres]]*Grandview_Inventory[[#This Row],[coeff]])+Grandview_Inventory[[#This Row],[const]]</f>
        <v>35494.113007601132</v>
      </c>
      <c r="S1750" t="s">
        <v>61</v>
      </c>
      <c r="T1750">
        <v>1</v>
      </c>
      <c r="U1750" t="s">
        <v>80</v>
      </c>
      <c r="V1750" t="s">
        <v>69</v>
      </c>
      <c r="W1750">
        <v>0</v>
      </c>
      <c r="X1750">
        <v>0</v>
      </c>
      <c r="Y1750">
        <v>44</v>
      </c>
      <c r="Z1750">
        <v>48</v>
      </c>
      <c r="AA1750">
        <v>50</v>
      </c>
      <c r="AB1750">
        <v>1500</v>
      </c>
      <c r="AC1750">
        <v>1296</v>
      </c>
      <c r="AD1750">
        <v>1296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312</v>
      </c>
      <c r="AL1750">
        <v>0</v>
      </c>
      <c r="AM1750">
        <v>0</v>
      </c>
      <c r="AN1750">
        <v>216</v>
      </c>
      <c r="AO1750">
        <v>51</v>
      </c>
      <c r="AP1750">
        <v>5</v>
      </c>
      <c r="AQ1750">
        <v>0</v>
      </c>
      <c r="AR1750">
        <v>0</v>
      </c>
      <c r="AS1750" t="s">
        <v>58</v>
      </c>
      <c r="AT1750">
        <v>1</v>
      </c>
      <c r="AU1750" t="s">
        <v>75</v>
      </c>
      <c r="AV1750" t="s">
        <v>60</v>
      </c>
      <c r="AW1750">
        <v>0</v>
      </c>
      <c r="AX1750">
        <v>3</v>
      </c>
      <c r="AY1750">
        <v>0</v>
      </c>
      <c r="AZ1750">
        <v>0</v>
      </c>
      <c r="BA1750">
        <v>100</v>
      </c>
      <c r="BB1750">
        <v>100</v>
      </c>
      <c r="BC1750">
        <v>100</v>
      </c>
      <c r="BD1750">
        <v>100</v>
      </c>
      <c r="BE1750">
        <v>1</v>
      </c>
      <c r="BF1750">
        <v>15000</v>
      </c>
      <c r="BG1750">
        <v>1000</v>
      </c>
      <c r="BH1750" s="6">
        <f>Grandview_Inventory[[#This Row],[land_extract]]*Lookups!$B$3</f>
        <v>41219.217601622076</v>
      </c>
      <c r="BI1750" s="6">
        <f>IF(Grandview_Inventory[[#This Row],[bldg_style]]="",0,Lookups!$B$2)</f>
        <v>155833.95000000001</v>
      </c>
      <c r="BJ1750" s="6">
        <f>_xlfn.IFNA(VLOOKUP(Grandview_Inventory[[#This Row],[quality]],Lookups!$H$2:$J$14,3,FALSE),0)</f>
        <v>-28558</v>
      </c>
      <c r="BK1750" s="6">
        <f>_xlfn.IFNA(VLOOKUP(Grandview_Inventory[[#This Row],[condition]],Lookups!$H$17:$J$24,3,FALSE),0)</f>
        <v>-4503</v>
      </c>
      <c r="BL1750" s="6">
        <f>Grandview_Inventory[[#This Row],[Eff_Age]]*Lookups!$B$14</f>
        <v>-10523.330399999999</v>
      </c>
      <c r="BM1750" s="6">
        <f>Grandview_Inventory[[#This Row],[living_area]]*Lookups!$B$15</f>
        <v>80845.585487999997</v>
      </c>
      <c r="BN1750" s="6">
        <f>Grandview_Inventory[[#This Row],[Fin BSMT]]*Lookups!$B$16</f>
        <v>0</v>
      </c>
      <c r="BO1750" s="6">
        <f>(Grandview_Inventory[[#This Row],[att_gar]]+Grandview_Inventory[[#This Row],[bltin_gar]])*Lookups!$B$17</f>
        <v>0</v>
      </c>
      <c r="BP1750" s="6">
        <f>Grandview_Inventory[[#This Row],[Plumbing Fixtures]]*Lookups!$B$18</f>
        <v>10052.209000000001</v>
      </c>
      <c r="BQ1750" s="6">
        <f>Grandview_Inventory[[#This Row],[detatched_value]]*Lookups!$B$19</f>
        <v>0</v>
      </c>
      <c r="BR1750" s="6">
        <f>SUM(Grandview_Inventory[[#This Row],[Intercept]:[det_value]])*Grandview_Inventory[[#This Row],[res_pct]]</f>
        <v>203147.41408799999</v>
      </c>
      <c r="BS1750" s="6">
        <f>Grandview_Inventory[[#This Row],[land_value]]</f>
        <v>41219.217601622076</v>
      </c>
      <c r="BT1750" s="4">
        <f>_xlfn.IFNA(VLOOKUP(Grandview_Inventory[[#This Row],[quality]],Lookups!$A$26:$C$33,3,FALSE),1)</f>
        <v>0.9690360070159818</v>
      </c>
      <c r="BU1750" s="4">
        <f>_xlfn.IFNA(VLOOKUP(Grandview_Inventory[[#This Row],[condition]],Lookups!$A$37:$C$44,3,FALSE),1)</f>
        <v>0.96469275950863709</v>
      </c>
      <c r="BV1750" s="4">
        <f>IF(Grandview_Inventory[[#This Row],[bldg_style]]="",1,_xlfn.IFNA(VLOOKUP(Grandview_Inventory[[#This Row],[decade]],Lookups!$F$29:$H$43,3,FALSE),1))</f>
        <v>0.9871940091910919</v>
      </c>
      <c r="BW1750" s="4">
        <f>_xlfn.IFNA(VLOOKUP(Grandview_Inventory[[#This Row],[living_area_range]],Lookups!$F$47:$H$56,3,FALSE),1)</f>
        <v>0.96135087979789358</v>
      </c>
      <c r="BX1750" s="4">
        <f>AVERAGE(Grandview_Inventory[[#This Row],[qual_adj]:[size_adj]])</f>
        <v>0.97056841387840109</v>
      </c>
      <c r="BY1750" s="6">
        <f>IF(Grandview_Inventory[[#This Row],[pre_res]]&lt;0,0,Grandview_Inventory[[#This Row],[pre_res]]*Grandview_Inventory[[#This Row],[overall_adj]])</f>
        <v>197168.46347488891</v>
      </c>
      <c r="BZ1750" s="6">
        <f>(Grandview_Inventory[[#This Row],[sum_land]]-IF(Grandview_Inventory[[#This Row],[no_utilities]]=1,12000,0))/IF(Grandview_Inventory[[#This Row],[unbuildable]]=1,2,1)</f>
        <v>41219.217601622076</v>
      </c>
      <c r="CA175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750">
        <f>ROUND(Grandview_Inventory[[#This Row],[det_value]]*Lookups!$M$28,-2)</f>
        <v>0</v>
      </c>
      <c r="CC1750">
        <f>IF(ROUND(Grandview_Inventory[[#This Row],[adj_res]]*Lookups!$M$28,-2)&lt;Grandview_Inventory[[#This Row],[min_res]],Grandview_Inventory[[#This Row],[min_res]],ROUND(Grandview_Inventory[[#This Row],[adj_res]]*Lookups!$M$28,-2))</f>
        <v>187300</v>
      </c>
      <c r="CD1750">
        <f>Grandview_Inventory[[#This Row],[final_det]]+Grandview_Inventory[[#This Row],[final_res]]</f>
        <v>187300</v>
      </c>
      <c r="CE1750">
        <f>Grandview_Inventory[[#This Row],[final_land]]+Grandview_Inventory[[#This Row],[final_imp]]+Grandview_Inventory[[#This Row],[crop_value]]</f>
        <v>226500</v>
      </c>
      <c r="CG1750" t="str">
        <f t="shared" si="27"/>
        <v>update valuation set market_land =39200, market_bldg=187300, market_total =226500, market_mdno =401, market_date ='9/10/2023' where link_id = (select link_id from parcel where parcel_year = '2024' and parcel_id = '23092332510');</v>
      </c>
    </row>
    <row r="1751" spans="1:85" x14ac:dyDescent="0.25">
      <c r="A1751">
        <v>23092332514</v>
      </c>
      <c r="B1751">
        <v>0.28999999999999998</v>
      </c>
      <c r="C1751">
        <v>12760</v>
      </c>
      <c r="D1751" t="s">
        <v>129</v>
      </c>
      <c r="E1751" t="s">
        <v>53</v>
      </c>
      <c r="F1751" t="s">
        <v>53</v>
      </c>
      <c r="G1751">
        <v>4</v>
      </c>
      <c r="H1751" t="s">
        <v>54</v>
      </c>
      <c r="I1751">
        <v>213900</v>
      </c>
      <c r="J1751">
        <v>40700</v>
      </c>
      <c r="K1751">
        <v>0.28999999999999998</v>
      </c>
      <c r="L175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51">
        <v>0</v>
      </c>
      <c r="N1751">
        <v>0</v>
      </c>
      <c r="O1751">
        <v>0</v>
      </c>
      <c r="P1751">
        <v>13398.7528</v>
      </c>
      <c r="Q1751">
        <v>63903</v>
      </c>
      <c r="R1751">
        <f>(Grandview_Inventory[[#This Row],[ln_acres]]*Grandview_Inventory[[#This Row],[coeff]])+Grandview_Inventory[[#This Row],[const]]</f>
        <v>47317.027506475133</v>
      </c>
      <c r="S1751" t="s">
        <v>61</v>
      </c>
      <c r="T1751">
        <v>1</v>
      </c>
      <c r="U1751" t="s">
        <v>65</v>
      </c>
      <c r="V1751" t="s">
        <v>67</v>
      </c>
      <c r="W1751">
        <v>0</v>
      </c>
      <c r="X1751">
        <v>0</v>
      </c>
      <c r="Y1751">
        <v>29</v>
      </c>
      <c r="Z1751">
        <v>29</v>
      </c>
      <c r="AA1751">
        <v>30</v>
      </c>
      <c r="AB1751">
        <v>1500</v>
      </c>
      <c r="AC1751">
        <v>1200</v>
      </c>
      <c r="AD1751">
        <v>1200</v>
      </c>
      <c r="AE1751">
        <v>0</v>
      </c>
      <c r="AF1751">
        <v>0</v>
      </c>
      <c r="AG1751">
        <v>0</v>
      </c>
      <c r="AH1751">
        <v>0</v>
      </c>
      <c r="AI1751">
        <v>484</v>
      </c>
      <c r="AJ1751">
        <v>0</v>
      </c>
      <c r="AK1751">
        <v>0</v>
      </c>
      <c r="AL1751">
        <v>0</v>
      </c>
      <c r="AM1751">
        <v>0</v>
      </c>
      <c r="AN1751">
        <v>96</v>
      </c>
      <c r="AO1751">
        <v>0</v>
      </c>
      <c r="AP1751">
        <v>8</v>
      </c>
      <c r="AQ1751">
        <v>0</v>
      </c>
      <c r="AR1751">
        <v>0</v>
      </c>
      <c r="AS1751" t="s">
        <v>58</v>
      </c>
      <c r="AT1751">
        <v>1</v>
      </c>
      <c r="AU1751" t="s">
        <v>63</v>
      </c>
      <c r="AV1751" t="s">
        <v>64</v>
      </c>
      <c r="AW1751">
        <v>1</v>
      </c>
      <c r="AX1751">
        <v>3</v>
      </c>
      <c r="AY1751">
        <v>0</v>
      </c>
      <c r="AZ1751">
        <v>0</v>
      </c>
      <c r="BA1751">
        <v>100</v>
      </c>
      <c r="BB1751">
        <v>100</v>
      </c>
      <c r="BC1751">
        <v>100</v>
      </c>
      <c r="BD1751">
        <v>100</v>
      </c>
      <c r="BE1751">
        <v>1</v>
      </c>
      <c r="BF1751">
        <v>15000</v>
      </c>
      <c r="BG1751">
        <v>1000</v>
      </c>
      <c r="BH1751" s="6">
        <f>Grandview_Inventory[[#This Row],[land_extract]]*Lookups!$B$3</f>
        <v>54949.136287295303</v>
      </c>
      <c r="BI1751" s="6">
        <f>IF(Grandview_Inventory[[#This Row],[bldg_style]]="",0,Lookups!$B$2)</f>
        <v>155833.95000000001</v>
      </c>
      <c r="BJ1751" s="6">
        <f>_xlfn.IFNA(VLOOKUP(Grandview_Inventory[[#This Row],[quality]],Lookups!$H$2:$J$14,3,FALSE),0)</f>
        <v>2251</v>
      </c>
      <c r="BK1751" s="6">
        <f>_xlfn.IFNA(VLOOKUP(Grandview_Inventory[[#This Row],[condition]],Lookups!$H$17:$J$24,3,FALSE),0)</f>
        <v>22342</v>
      </c>
      <c r="BL1751" s="6">
        <f>Grandview_Inventory[[#This Row],[Eff_Age]]*Lookups!$B$14</f>
        <v>-6935.8314</v>
      </c>
      <c r="BM1751" s="6">
        <f>Grandview_Inventory[[#This Row],[living_area]]*Lookups!$B$15</f>
        <v>74857.0236</v>
      </c>
      <c r="BN1751" s="6">
        <f>Grandview_Inventory[[#This Row],[Fin BSMT]]*Lookups!$B$16</f>
        <v>0</v>
      </c>
      <c r="BO1751" s="6">
        <f>(Grandview_Inventory[[#This Row],[att_gar]]+Grandview_Inventory[[#This Row],[bltin_gar]])*Lookups!$B$17</f>
        <v>42359.891508000001</v>
      </c>
      <c r="BP1751" s="6">
        <f>Grandview_Inventory[[#This Row],[Plumbing Fixtures]]*Lookups!$B$18</f>
        <v>16083.5344</v>
      </c>
      <c r="BQ1751" s="6">
        <f>Grandview_Inventory[[#This Row],[detatched_value]]*Lookups!$B$19</f>
        <v>0</v>
      </c>
      <c r="BR1751" s="6">
        <f>SUM(Grandview_Inventory[[#This Row],[Intercept]:[det_value]])*Grandview_Inventory[[#This Row],[res_pct]]</f>
        <v>306791.56810799998</v>
      </c>
      <c r="BS1751" s="6">
        <f>Grandview_Inventory[[#This Row],[land_value]]</f>
        <v>54949.136287295303</v>
      </c>
      <c r="BT1751" s="4">
        <f>_xlfn.IFNA(VLOOKUP(Grandview_Inventory[[#This Row],[quality]],Lookups!$A$26:$C$33,3,FALSE),1)</f>
        <v>0.98763855981004833</v>
      </c>
      <c r="BU1751" s="4">
        <f>_xlfn.IFNA(VLOOKUP(Grandview_Inventory[[#This Row],[condition]],Lookups!$A$37:$C$44,3,FALSE),1)</f>
        <v>0.97383723671140243</v>
      </c>
      <c r="BV1751" s="4">
        <f>IF(Grandview_Inventory[[#This Row],[bldg_style]]="",1,_xlfn.IFNA(VLOOKUP(Grandview_Inventory[[#This Row],[decade]],Lookups!$F$29:$H$43,3,FALSE),1))</f>
        <v>0.98397821291089549</v>
      </c>
      <c r="BW1751" s="4">
        <f>_xlfn.IFNA(VLOOKUP(Grandview_Inventory[[#This Row],[living_area_range]],Lookups!$F$47:$H$56,3,FALSE),1)</f>
        <v>0.96135087979789358</v>
      </c>
      <c r="BX1751" s="4">
        <f>AVERAGE(Grandview_Inventory[[#This Row],[qual_adj]:[size_adj]])</f>
        <v>0.97670122230755996</v>
      </c>
      <c r="BY1751" s="6">
        <f>IF(Grandview_Inventory[[#This Row],[pre_res]]&lt;0,0,Grandview_Inventory[[#This Row],[pre_res]]*Grandview_Inventory[[#This Row],[overall_adj]])</f>
        <v>299643.69956473663</v>
      </c>
      <c r="BZ1751" s="6">
        <f>(Grandview_Inventory[[#This Row],[sum_land]]-IF(Grandview_Inventory[[#This Row],[no_utilities]]=1,12000,0))/IF(Grandview_Inventory[[#This Row],[unbuildable]]=1,2,1)</f>
        <v>54949.136287295303</v>
      </c>
      <c r="CA175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51">
        <f>ROUND(Grandview_Inventory[[#This Row],[det_value]]*Lookups!$M$28,-2)</f>
        <v>0</v>
      </c>
      <c r="CC1751">
        <f>IF(ROUND(Grandview_Inventory[[#This Row],[adj_res]]*Lookups!$M$28,-2)&lt;Grandview_Inventory[[#This Row],[min_res]],Grandview_Inventory[[#This Row],[min_res]],ROUND(Grandview_Inventory[[#This Row],[adj_res]]*Lookups!$M$28,-2))</f>
        <v>284700</v>
      </c>
      <c r="CD1751">
        <f>Grandview_Inventory[[#This Row],[final_det]]+Grandview_Inventory[[#This Row],[final_res]]</f>
        <v>284700</v>
      </c>
      <c r="CE1751">
        <f>Grandview_Inventory[[#This Row],[final_land]]+Grandview_Inventory[[#This Row],[final_imp]]+Grandview_Inventory[[#This Row],[crop_value]]</f>
        <v>336900</v>
      </c>
      <c r="CG1751" t="str">
        <f t="shared" si="27"/>
        <v>update valuation set market_land =52200, market_bldg=284700, market_total =336900, market_mdno =401, market_date ='9/10/2023' where link_id = (select link_id from parcel where parcel_year = '2024' and parcel_id = '23092332514');</v>
      </c>
    </row>
    <row r="1752" spans="1:85" x14ac:dyDescent="0.25">
      <c r="A1752">
        <v>23092332515</v>
      </c>
      <c r="B1752">
        <v>0.25</v>
      </c>
      <c r="C1752">
        <v>11079</v>
      </c>
      <c r="D1752" t="s">
        <v>129</v>
      </c>
      <c r="E1752" t="s">
        <v>53</v>
      </c>
      <c r="F1752" t="s">
        <v>53</v>
      </c>
      <c r="G1752">
        <v>4</v>
      </c>
      <c r="H1752" t="s">
        <v>54</v>
      </c>
      <c r="I1752">
        <v>120200</v>
      </c>
      <c r="J1752">
        <v>40200</v>
      </c>
      <c r="K1752">
        <v>0.25</v>
      </c>
      <c r="L1752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52">
        <v>0</v>
      </c>
      <c r="N1752">
        <v>0</v>
      </c>
      <c r="O1752">
        <v>0</v>
      </c>
      <c r="P1752">
        <v>13398.7528</v>
      </c>
      <c r="Q1752">
        <v>63903</v>
      </c>
      <c r="R1752">
        <f>(Grandview_Inventory[[#This Row],[ln_acres]]*Grandview_Inventory[[#This Row],[coeff]])+Grandview_Inventory[[#This Row],[const]]</f>
        <v>45328.38454732066</v>
      </c>
      <c r="S1752" t="s">
        <v>68</v>
      </c>
      <c r="T1752">
        <v>1</v>
      </c>
      <c r="U1752" t="s">
        <v>70</v>
      </c>
      <c r="V1752" t="s">
        <v>69</v>
      </c>
      <c r="W1752">
        <v>0</v>
      </c>
      <c r="X1752">
        <v>0</v>
      </c>
      <c r="Y1752">
        <v>33</v>
      </c>
      <c r="Z1752">
        <v>93</v>
      </c>
      <c r="AA1752">
        <v>100</v>
      </c>
      <c r="AB1752">
        <v>1500</v>
      </c>
      <c r="AC1752">
        <v>1096</v>
      </c>
      <c r="AD1752">
        <v>772</v>
      </c>
      <c r="AE1752">
        <v>0</v>
      </c>
      <c r="AF1752">
        <v>0</v>
      </c>
      <c r="AG1752">
        <v>324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200</v>
      </c>
      <c r="AN1752">
        <v>0</v>
      </c>
      <c r="AO1752">
        <v>200</v>
      </c>
      <c r="AP1752">
        <v>5</v>
      </c>
      <c r="AQ1752">
        <v>0</v>
      </c>
      <c r="AR1752">
        <v>0</v>
      </c>
      <c r="AS1752" t="s">
        <v>58</v>
      </c>
      <c r="AT1752">
        <v>1</v>
      </c>
      <c r="AU1752" t="s">
        <v>75</v>
      </c>
      <c r="AV1752" t="s">
        <v>60</v>
      </c>
      <c r="AW1752">
        <v>0</v>
      </c>
      <c r="AX1752">
        <v>2</v>
      </c>
      <c r="AY1752">
        <v>0</v>
      </c>
      <c r="AZ1752">
        <v>0</v>
      </c>
      <c r="BA1752">
        <v>100</v>
      </c>
      <c r="BB1752">
        <v>100</v>
      </c>
      <c r="BC1752">
        <v>100</v>
      </c>
      <c r="BD1752">
        <v>100</v>
      </c>
      <c r="BE1752">
        <v>1</v>
      </c>
      <c r="BF1752">
        <v>15000</v>
      </c>
      <c r="BG1752">
        <v>1000</v>
      </c>
      <c r="BH1752" s="6">
        <f>Grandview_Inventory[[#This Row],[land_extract]]*Lookups!$B$3</f>
        <v>52639.730588165206</v>
      </c>
      <c r="BI1752" s="6">
        <f>IF(Grandview_Inventory[[#This Row],[bldg_style]]="",0,Lookups!$B$2)</f>
        <v>155833.95000000001</v>
      </c>
      <c r="BJ1752" s="6">
        <f>_xlfn.IFNA(VLOOKUP(Grandview_Inventory[[#This Row],[quality]],Lookups!$H$2:$J$14,3,FALSE),0)</f>
        <v>10733</v>
      </c>
      <c r="BK1752" s="6">
        <f>_xlfn.IFNA(VLOOKUP(Grandview_Inventory[[#This Row],[condition]],Lookups!$H$17:$J$24,3,FALSE),0)</f>
        <v>-4503</v>
      </c>
      <c r="BL1752" s="6">
        <f>Grandview_Inventory[[#This Row],[Eff_Age]]*Lookups!$B$14</f>
        <v>-7892.4977999999992</v>
      </c>
      <c r="BM1752" s="6">
        <f>Grandview_Inventory[[#This Row],[living_area]]*Lookups!$B$15</f>
        <v>68369.414887999999</v>
      </c>
      <c r="BN1752" s="6">
        <f>Grandview_Inventory[[#This Row],[Fin BSMT]]*Lookups!$B$16</f>
        <v>-8780.1537600000011</v>
      </c>
      <c r="BO1752" s="6">
        <f>(Grandview_Inventory[[#This Row],[att_gar]]+Grandview_Inventory[[#This Row],[bltin_gar]])*Lookups!$B$17</f>
        <v>0</v>
      </c>
      <c r="BP1752" s="6">
        <f>Grandview_Inventory[[#This Row],[Plumbing Fixtures]]*Lookups!$B$18</f>
        <v>10052.209000000001</v>
      </c>
      <c r="BQ1752" s="6">
        <f>Grandview_Inventory[[#This Row],[detatched_value]]*Lookups!$B$19</f>
        <v>0</v>
      </c>
      <c r="BR1752" s="6">
        <f>SUM(Grandview_Inventory[[#This Row],[Intercept]:[det_value]])*Grandview_Inventory[[#This Row],[res_pct]]</f>
        <v>223812.92232799999</v>
      </c>
      <c r="BS1752" s="6">
        <f>Grandview_Inventory[[#This Row],[land_value]]</f>
        <v>52639.730588165206</v>
      </c>
      <c r="BT1752" s="4">
        <f>_xlfn.IFNA(VLOOKUP(Grandview_Inventory[[#This Row],[quality]],Lookups!$A$26:$C$33,3,FALSE),1)</f>
        <v>0.98079741117310582</v>
      </c>
      <c r="BU1752" s="4">
        <f>_xlfn.IFNA(VLOOKUP(Grandview_Inventory[[#This Row],[condition]],Lookups!$A$37:$C$44,3,FALSE),1)</f>
        <v>0.96469275950863709</v>
      </c>
      <c r="BV1752" s="4">
        <f>IF(Grandview_Inventory[[#This Row],[bldg_style]]="",1,_xlfn.IFNA(VLOOKUP(Grandview_Inventory[[#This Row],[decade]],Lookups!$F$29:$H$43,3,FALSE),1))</f>
        <v>0.95244691841736806</v>
      </c>
      <c r="BW1752" s="4">
        <f>_xlfn.IFNA(VLOOKUP(Grandview_Inventory[[#This Row],[living_area_range]],Lookups!$F$47:$H$56,3,FALSE),1)</f>
        <v>0.96135087979789358</v>
      </c>
      <c r="BX1752" s="4">
        <f>AVERAGE(Grandview_Inventory[[#This Row],[qual_adj]:[size_adj]])</f>
        <v>0.96482199222425113</v>
      </c>
      <c r="BY1752" s="6">
        <f>IF(Grandview_Inventory[[#This Row],[pre_res]]&lt;0,0,Grandview_Inventory[[#This Row],[pre_res]]*Grandview_Inventory[[#This Row],[overall_adj]])</f>
        <v>215939.62960603251</v>
      </c>
      <c r="BZ1752" s="6">
        <f>(Grandview_Inventory[[#This Row],[sum_land]]-IF(Grandview_Inventory[[#This Row],[no_utilities]]=1,12000,0))/IF(Grandview_Inventory[[#This Row],[unbuildable]]=1,2,1)</f>
        <v>52639.730588165206</v>
      </c>
      <c r="CA1752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52">
        <f>ROUND(Grandview_Inventory[[#This Row],[det_value]]*Lookups!$M$28,-2)</f>
        <v>0</v>
      </c>
      <c r="CC1752">
        <f>IF(ROUND(Grandview_Inventory[[#This Row],[adj_res]]*Lookups!$M$28,-2)&lt;Grandview_Inventory[[#This Row],[min_res]],Grandview_Inventory[[#This Row],[min_res]],ROUND(Grandview_Inventory[[#This Row],[adj_res]]*Lookups!$M$28,-2))</f>
        <v>205100</v>
      </c>
      <c r="CD1752">
        <f>Grandview_Inventory[[#This Row],[final_det]]+Grandview_Inventory[[#This Row],[final_res]]</f>
        <v>205100</v>
      </c>
      <c r="CE1752">
        <f>Grandview_Inventory[[#This Row],[final_land]]+Grandview_Inventory[[#This Row],[final_imp]]+Grandview_Inventory[[#This Row],[crop_value]]</f>
        <v>255100</v>
      </c>
      <c r="CG1752" t="str">
        <f t="shared" si="27"/>
        <v>update valuation set market_land =50000, market_bldg=205100, market_total =255100, market_mdno =401, market_date ='9/10/2023' where link_id = (select link_id from parcel where parcel_year = '2024' and parcel_id = '23092332515');</v>
      </c>
    </row>
    <row r="1753" spans="1:85" x14ac:dyDescent="0.25">
      <c r="A1753">
        <v>23092333005</v>
      </c>
      <c r="B1753">
        <v>2.86</v>
      </c>
      <c r="C1753">
        <v>124395</v>
      </c>
      <c r="D1753" t="s">
        <v>129</v>
      </c>
      <c r="E1753" t="s">
        <v>53</v>
      </c>
      <c r="F1753" t="s">
        <v>53</v>
      </c>
      <c r="G1753">
        <v>4</v>
      </c>
      <c r="H1753" t="s">
        <v>54</v>
      </c>
      <c r="I1753">
        <v>225400</v>
      </c>
      <c r="J1753">
        <v>47000</v>
      </c>
      <c r="K1753">
        <v>2.86</v>
      </c>
      <c r="L1753">
        <f>IF(Grandview_Inventory[[#This Row],[parcel_acres]]-Grandview_Inventory[[#This Row],[non_valued_acres]] =0,0,LN(Grandview_Inventory[[#This Row],[parcel_acres]]-Grandview_Inventory[[#This Row],[non_valued_acres]]))</f>
        <v>1.0508216248317612</v>
      </c>
      <c r="M1753">
        <v>0</v>
      </c>
      <c r="N1753">
        <v>0</v>
      </c>
      <c r="O1753">
        <v>0</v>
      </c>
      <c r="P1753">
        <v>13398.7528</v>
      </c>
      <c r="Q1753">
        <v>63903</v>
      </c>
      <c r="R1753">
        <f>(Grandview_Inventory[[#This Row],[ln_acres]]*Grandview_Inventory[[#This Row],[coeff]])+Grandview_Inventory[[#This Row],[const]]</f>
        <v>77982.699188015104</v>
      </c>
      <c r="S1753" t="s">
        <v>61</v>
      </c>
      <c r="T1753">
        <v>1</v>
      </c>
      <c r="U1753" t="s">
        <v>62</v>
      </c>
      <c r="V1753" t="s">
        <v>69</v>
      </c>
      <c r="W1753">
        <v>0</v>
      </c>
      <c r="X1753">
        <v>0</v>
      </c>
      <c r="Y1753">
        <v>43</v>
      </c>
      <c r="Z1753">
        <v>44</v>
      </c>
      <c r="AA1753">
        <v>50</v>
      </c>
      <c r="AB1753">
        <v>2500</v>
      </c>
      <c r="AC1753">
        <v>2354</v>
      </c>
      <c r="AD1753">
        <v>2354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588</v>
      </c>
      <c r="AM1753">
        <v>468</v>
      </c>
      <c r="AN1753">
        <v>0</v>
      </c>
      <c r="AO1753">
        <v>0</v>
      </c>
      <c r="AP1753">
        <v>10</v>
      </c>
      <c r="AQ1753">
        <v>0</v>
      </c>
      <c r="AR1753">
        <v>0</v>
      </c>
      <c r="AS1753" t="s">
        <v>58</v>
      </c>
      <c r="AT1753">
        <v>1</v>
      </c>
      <c r="AU1753" t="s">
        <v>59</v>
      </c>
      <c r="AV1753" t="s">
        <v>60</v>
      </c>
      <c r="AW1753">
        <v>1</v>
      </c>
      <c r="AX1753">
        <v>3</v>
      </c>
      <c r="AY1753">
        <v>0</v>
      </c>
      <c r="AZ1753">
        <v>13600</v>
      </c>
      <c r="BA1753">
        <v>100</v>
      </c>
      <c r="BB1753">
        <v>100</v>
      </c>
      <c r="BC1753">
        <v>100</v>
      </c>
      <c r="BD1753">
        <v>100</v>
      </c>
      <c r="BE1753">
        <v>1</v>
      </c>
      <c r="BF1753">
        <v>15000</v>
      </c>
      <c r="BG1753">
        <v>1000</v>
      </c>
      <c r="BH1753" s="6">
        <f>Grandview_Inventory[[#This Row],[land_extract]]*Lookups!$B$3</f>
        <v>90561.098013754134</v>
      </c>
      <c r="BI1753" s="6">
        <f>IF(Grandview_Inventory[[#This Row],[bldg_style]]="",0,Lookups!$B$2)</f>
        <v>155833.95000000001</v>
      </c>
      <c r="BJ1753" s="6">
        <f>_xlfn.IFNA(VLOOKUP(Grandview_Inventory[[#This Row],[quality]],Lookups!$H$2:$J$14,3,FALSE),0)</f>
        <v>9808</v>
      </c>
      <c r="BK1753" s="6">
        <f>_xlfn.IFNA(VLOOKUP(Grandview_Inventory[[#This Row],[condition]],Lookups!$H$17:$J$24,3,FALSE),0)</f>
        <v>-4503</v>
      </c>
      <c r="BL1753" s="6">
        <f>Grandview_Inventory[[#This Row],[Eff_Age]]*Lookups!$B$14</f>
        <v>-10284.1638</v>
      </c>
      <c r="BM1753" s="6">
        <f>Grandview_Inventory[[#This Row],[living_area]]*Lookups!$B$15</f>
        <v>146844.52796199999</v>
      </c>
      <c r="BN1753" s="6">
        <f>Grandview_Inventory[[#This Row],[Fin BSMT]]*Lookups!$B$16</f>
        <v>0</v>
      </c>
      <c r="BO1753" s="6">
        <f>(Grandview_Inventory[[#This Row],[att_gar]]+Grandview_Inventory[[#This Row],[bltin_gar]])*Lookups!$B$17</f>
        <v>0</v>
      </c>
      <c r="BP1753" s="6">
        <f>Grandview_Inventory[[#This Row],[Plumbing Fixtures]]*Lookups!$B$18</f>
        <v>20104.418000000001</v>
      </c>
      <c r="BQ1753" s="6">
        <f>Grandview_Inventory[[#This Row],[detatched_value]]*Lookups!$B$19</f>
        <v>11516.549359999999</v>
      </c>
      <c r="BR1753" s="6">
        <f>SUM(Grandview_Inventory[[#This Row],[Intercept]:[det_value]])*Grandview_Inventory[[#This Row],[res_pct]]</f>
        <v>329320.28152199998</v>
      </c>
      <c r="BS1753" s="6">
        <f>Grandview_Inventory[[#This Row],[land_value]]</f>
        <v>90561.098013754134</v>
      </c>
      <c r="BT1753" s="4">
        <f>_xlfn.IFNA(VLOOKUP(Grandview_Inventory[[#This Row],[quality]],Lookups!$A$26:$C$33,3,FALSE),1)</f>
        <v>0.94295468617355149</v>
      </c>
      <c r="BU1753" s="4">
        <f>_xlfn.IFNA(VLOOKUP(Grandview_Inventory[[#This Row],[condition]],Lookups!$A$37:$C$44,3,FALSE),1)</f>
        <v>0.96469275950863709</v>
      </c>
      <c r="BV1753" s="4">
        <f>IF(Grandview_Inventory[[#This Row],[bldg_style]]="",1,_xlfn.IFNA(VLOOKUP(Grandview_Inventory[[#This Row],[decade]],Lookups!$F$29:$H$43,3,FALSE),1))</f>
        <v>0.9871940091910919</v>
      </c>
      <c r="BW1753" s="4">
        <f>_xlfn.IFNA(VLOOKUP(Grandview_Inventory[[#This Row],[living_area_range]],Lookups!$F$47:$H$56,3,FALSE),1)</f>
        <v>0.95799442568048754</v>
      </c>
      <c r="BX1753" s="4">
        <f>AVERAGE(Grandview_Inventory[[#This Row],[qual_adj]:[size_adj]])</f>
        <v>0.96320897013844198</v>
      </c>
      <c r="BY1753" s="6">
        <f>IF(Grandview_Inventory[[#This Row],[pre_res]]&lt;0,0,Grandview_Inventory[[#This Row],[pre_res]]*Grandview_Inventory[[#This Row],[overall_adj]])</f>
        <v>317204.24921050738</v>
      </c>
      <c r="BZ1753" s="6">
        <f>(Grandview_Inventory[[#This Row],[sum_land]]-IF(Grandview_Inventory[[#This Row],[no_utilities]]=1,12000,0))/IF(Grandview_Inventory[[#This Row],[unbuildable]]=1,2,1)</f>
        <v>90561.098013754134</v>
      </c>
      <c r="CA1753">
        <f>IF(ROUND(Grandview_Inventory[[#This Row],[adj_land]]*Lookups!$M$28,-2)&lt;Grandview_Inventory[[#This Row],[min_land]],Grandview_Inventory[[#This Row],[min_land]],ROUND(Grandview_Inventory[[#This Row],[adj_land]]*Lookups!$M$28,-2))</f>
        <v>86000</v>
      </c>
      <c r="CB1753">
        <f>ROUND(Grandview_Inventory[[#This Row],[det_value]]*Lookups!$M$28,-2)</f>
        <v>10900</v>
      </c>
      <c r="CC1753">
        <f>IF(ROUND(Grandview_Inventory[[#This Row],[adj_res]]*Lookups!$M$28,-2)&lt;Grandview_Inventory[[#This Row],[min_res]],Grandview_Inventory[[#This Row],[min_res]],ROUND(Grandview_Inventory[[#This Row],[adj_res]]*Lookups!$M$28,-2))</f>
        <v>301300</v>
      </c>
      <c r="CD1753">
        <f>Grandview_Inventory[[#This Row],[final_det]]+Grandview_Inventory[[#This Row],[final_res]]</f>
        <v>312200</v>
      </c>
      <c r="CE1753">
        <f>Grandview_Inventory[[#This Row],[final_land]]+Grandview_Inventory[[#This Row],[final_imp]]+Grandview_Inventory[[#This Row],[crop_value]]</f>
        <v>398200</v>
      </c>
      <c r="CG1753" t="str">
        <f t="shared" si="27"/>
        <v>update valuation set market_land =86000, market_bldg=312200, market_total =398200, market_mdno =401, market_date ='9/10/2023' where link_id = (select link_id from parcel where parcel_year = '2024' and parcel_id = '23092333005');</v>
      </c>
    </row>
    <row r="1754" spans="1:85" x14ac:dyDescent="0.25">
      <c r="A1754">
        <v>23092333009</v>
      </c>
      <c r="B1754">
        <v>0.61</v>
      </c>
      <c r="C1754">
        <v>26785</v>
      </c>
      <c r="D1754" t="s">
        <v>129</v>
      </c>
      <c r="E1754" t="s">
        <v>53</v>
      </c>
      <c r="F1754" t="s">
        <v>53</v>
      </c>
      <c r="G1754">
        <v>4</v>
      </c>
      <c r="H1754" t="s">
        <v>54</v>
      </c>
      <c r="I1754">
        <v>188100</v>
      </c>
      <c r="J1754">
        <v>42300</v>
      </c>
      <c r="K1754">
        <v>0.61</v>
      </c>
      <c r="L1754">
        <f>IF(Grandview_Inventory[[#This Row],[parcel_acres]]-Grandview_Inventory[[#This Row],[non_valued_acres]] =0,0,LN(Grandview_Inventory[[#This Row],[parcel_acres]]-Grandview_Inventory[[#This Row],[non_valued_acres]]))</f>
        <v>-0.49429632181478012</v>
      </c>
      <c r="M1754">
        <v>0</v>
      </c>
      <c r="N1754">
        <v>0</v>
      </c>
      <c r="O1754">
        <v>0</v>
      </c>
      <c r="P1754">
        <v>13398.7528</v>
      </c>
      <c r="Q1754">
        <v>63903</v>
      </c>
      <c r="R1754">
        <f>(Grandview_Inventory[[#This Row],[ln_acres]]*Grandview_Inventory[[#This Row],[coeff]])+Grandview_Inventory[[#This Row],[const]]</f>
        <v>57280.04577405451</v>
      </c>
      <c r="S1754" t="s">
        <v>55</v>
      </c>
      <c r="T1754">
        <v>2</v>
      </c>
      <c r="U1754" t="s">
        <v>65</v>
      </c>
      <c r="V1754" t="s">
        <v>69</v>
      </c>
      <c r="W1754">
        <v>0</v>
      </c>
      <c r="X1754">
        <v>0</v>
      </c>
      <c r="Y1754">
        <v>51</v>
      </c>
      <c r="Z1754">
        <v>83</v>
      </c>
      <c r="AA1754">
        <v>90</v>
      </c>
      <c r="AB1754">
        <v>2000</v>
      </c>
      <c r="AC1754">
        <v>1873</v>
      </c>
      <c r="AD1754">
        <v>1283</v>
      </c>
      <c r="AE1754">
        <v>374</v>
      </c>
      <c r="AF1754">
        <v>0</v>
      </c>
      <c r="AG1754">
        <v>216</v>
      </c>
      <c r="AH1754">
        <v>0</v>
      </c>
      <c r="AI1754">
        <v>0</v>
      </c>
      <c r="AJ1754">
        <v>0</v>
      </c>
      <c r="AK1754">
        <v>300</v>
      </c>
      <c r="AL1754">
        <v>0</v>
      </c>
      <c r="AM1754">
        <v>96</v>
      </c>
      <c r="AN1754">
        <v>0</v>
      </c>
      <c r="AO1754">
        <v>0</v>
      </c>
      <c r="AP1754">
        <v>5</v>
      </c>
      <c r="AQ1754">
        <v>0</v>
      </c>
      <c r="AR1754">
        <v>0</v>
      </c>
      <c r="AS1754" t="s">
        <v>76</v>
      </c>
      <c r="AT1754">
        <v>1</v>
      </c>
      <c r="AU1754" t="s">
        <v>63</v>
      </c>
      <c r="AV1754" t="s">
        <v>60</v>
      </c>
      <c r="AW1754">
        <v>0</v>
      </c>
      <c r="AX1754">
        <v>4</v>
      </c>
      <c r="AY1754">
        <v>0</v>
      </c>
      <c r="AZ1754">
        <v>0</v>
      </c>
      <c r="BA1754">
        <v>100</v>
      </c>
      <c r="BB1754">
        <v>100</v>
      </c>
      <c r="BC1754">
        <v>100</v>
      </c>
      <c r="BD1754">
        <v>100</v>
      </c>
      <c r="BE1754">
        <v>1</v>
      </c>
      <c r="BF1754">
        <v>15000</v>
      </c>
      <c r="BG1754">
        <v>1000</v>
      </c>
      <c r="BH1754" s="6">
        <f>Grandview_Inventory[[#This Row],[land_extract]]*Lookups!$B$3</f>
        <v>66519.162501285915</v>
      </c>
      <c r="BI1754" s="6">
        <f>IF(Grandview_Inventory[[#This Row],[bldg_style]]="",0,Lookups!$B$2)</f>
        <v>155833.95000000001</v>
      </c>
      <c r="BJ1754" s="6">
        <f>_xlfn.IFNA(VLOOKUP(Grandview_Inventory[[#This Row],[quality]],Lookups!$H$2:$J$14,3,FALSE),0)</f>
        <v>2251</v>
      </c>
      <c r="BK1754" s="6">
        <f>_xlfn.IFNA(VLOOKUP(Grandview_Inventory[[#This Row],[condition]],Lookups!$H$17:$J$24,3,FALSE),0)</f>
        <v>-4503</v>
      </c>
      <c r="BL1754" s="6">
        <f>Grandview_Inventory[[#This Row],[Eff_Age]]*Lookups!$B$14</f>
        <v>-12197.496599999999</v>
      </c>
      <c r="BM1754" s="6">
        <f>Grandview_Inventory[[#This Row],[living_area]]*Lookups!$B$15</f>
        <v>116839.337669</v>
      </c>
      <c r="BN1754" s="6">
        <f>Grandview_Inventory[[#This Row],[Fin BSMT]]*Lookups!$B$16</f>
        <v>-5853.4358400000001</v>
      </c>
      <c r="BO1754" s="6">
        <f>(Grandview_Inventory[[#This Row],[att_gar]]+Grandview_Inventory[[#This Row],[bltin_gar]])*Lookups!$B$17</f>
        <v>0</v>
      </c>
      <c r="BP1754" s="6">
        <f>Grandview_Inventory[[#This Row],[Plumbing Fixtures]]*Lookups!$B$18</f>
        <v>10052.209000000001</v>
      </c>
      <c r="BQ1754" s="6">
        <f>Grandview_Inventory[[#This Row],[detatched_value]]*Lookups!$B$19</f>
        <v>0</v>
      </c>
      <c r="BR1754" s="6">
        <f>SUM(Grandview_Inventory[[#This Row],[Intercept]:[det_value]])*Grandview_Inventory[[#This Row],[res_pct]]</f>
        <v>262422.56422900001</v>
      </c>
      <c r="BS1754" s="6">
        <f>Grandview_Inventory[[#This Row],[land_value]]</f>
        <v>66519.162501285915</v>
      </c>
      <c r="BT1754" s="4">
        <f>_xlfn.IFNA(VLOOKUP(Grandview_Inventory[[#This Row],[quality]],Lookups!$A$26:$C$33,3,FALSE),1)</f>
        <v>0.98763855981004833</v>
      </c>
      <c r="BU1754" s="4">
        <f>_xlfn.IFNA(VLOOKUP(Grandview_Inventory[[#This Row],[condition]],Lookups!$A$37:$C$44,3,FALSE),1)</f>
        <v>0.96469275950863709</v>
      </c>
      <c r="BV1754" s="4">
        <f>IF(Grandview_Inventory[[#This Row],[bldg_style]]="",1,_xlfn.IFNA(VLOOKUP(Grandview_Inventory[[#This Row],[decade]],Lookups!$F$29:$H$43,3,FALSE),1))</f>
        <v>0.94161750052457416</v>
      </c>
      <c r="BW1754" s="4">
        <f>_xlfn.IFNA(VLOOKUP(Grandview_Inventory[[#This Row],[living_area_range]],Lookups!$F$47:$H$56,3,FALSE),1)</f>
        <v>0.96120133463014379</v>
      </c>
      <c r="BX1754" s="4">
        <f>AVERAGE(Grandview_Inventory[[#This Row],[qual_adj]:[size_adj]])</f>
        <v>0.96378753861835076</v>
      </c>
      <c r="BY1754" s="6">
        <f>IF(Grandview_Inventory[[#This Row],[pre_res]]&lt;0,0,Grandview_Inventory[[#This Row],[pre_res]]*Grandview_Inventory[[#This Row],[overall_adj]])</f>
        <v>252919.59725618397</v>
      </c>
      <c r="BZ1754" s="6">
        <f>(Grandview_Inventory[[#This Row],[sum_land]]-IF(Grandview_Inventory[[#This Row],[no_utilities]]=1,12000,0))/IF(Grandview_Inventory[[#This Row],[unbuildable]]=1,2,1)</f>
        <v>66519.162501285915</v>
      </c>
      <c r="CA1754">
        <f>IF(ROUND(Grandview_Inventory[[#This Row],[adj_land]]*Lookups!$M$28,-2)&lt;Grandview_Inventory[[#This Row],[min_land]],Grandview_Inventory[[#This Row],[min_land]],ROUND(Grandview_Inventory[[#This Row],[adj_land]]*Lookups!$M$28,-2))</f>
        <v>63200</v>
      </c>
      <c r="CB1754">
        <f>ROUND(Grandview_Inventory[[#This Row],[det_value]]*Lookups!$M$28,-2)</f>
        <v>0</v>
      </c>
      <c r="CC1754">
        <f>IF(ROUND(Grandview_Inventory[[#This Row],[adj_res]]*Lookups!$M$28,-2)&lt;Grandview_Inventory[[#This Row],[min_res]],Grandview_Inventory[[#This Row],[min_res]],ROUND(Grandview_Inventory[[#This Row],[adj_res]]*Lookups!$M$28,-2))</f>
        <v>240300</v>
      </c>
      <c r="CD1754">
        <f>Grandview_Inventory[[#This Row],[final_det]]+Grandview_Inventory[[#This Row],[final_res]]</f>
        <v>240300</v>
      </c>
      <c r="CE1754">
        <f>Grandview_Inventory[[#This Row],[final_land]]+Grandview_Inventory[[#This Row],[final_imp]]+Grandview_Inventory[[#This Row],[crop_value]]</f>
        <v>303500</v>
      </c>
      <c r="CG1754" t="str">
        <f t="shared" si="27"/>
        <v>update valuation set market_land =63200, market_bldg=240300, market_total =303500, market_mdno =401, market_date ='9/10/2023' where link_id = (select link_id from parcel where parcel_year = '2024' and parcel_id = '23092333009');</v>
      </c>
    </row>
    <row r="1755" spans="1:85" x14ac:dyDescent="0.25">
      <c r="A1755">
        <v>23092333010</v>
      </c>
      <c r="B1755">
        <v>0.18</v>
      </c>
      <c r="C1755">
        <v>7743</v>
      </c>
      <c r="D1755" t="s">
        <v>129</v>
      </c>
      <c r="E1755" t="s">
        <v>53</v>
      </c>
      <c r="F1755" t="s">
        <v>53</v>
      </c>
      <c r="G1755">
        <v>4</v>
      </c>
      <c r="H1755" t="s">
        <v>54</v>
      </c>
      <c r="I1755">
        <v>114700</v>
      </c>
      <c r="J1755">
        <v>39000</v>
      </c>
      <c r="K1755">
        <v>0.18</v>
      </c>
      <c r="L175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755">
        <v>0</v>
      </c>
      <c r="N1755">
        <v>0</v>
      </c>
      <c r="O1755">
        <v>0</v>
      </c>
      <c r="P1755">
        <v>13398.7528</v>
      </c>
      <c r="Q1755">
        <v>63903</v>
      </c>
      <c r="R1755">
        <f>(Grandview_Inventory[[#This Row],[ln_acres]]*Grandview_Inventory[[#This Row],[coeff]])+Grandview_Inventory[[#This Row],[const]]</f>
        <v>40926.839760167699</v>
      </c>
      <c r="S1755" t="s">
        <v>61</v>
      </c>
      <c r="T1755">
        <v>1</v>
      </c>
      <c r="U1755" t="s">
        <v>80</v>
      </c>
      <c r="V1755" t="s">
        <v>69</v>
      </c>
      <c r="W1755">
        <v>0</v>
      </c>
      <c r="X1755">
        <v>0</v>
      </c>
      <c r="Y1755">
        <v>44</v>
      </c>
      <c r="Z1755">
        <v>46</v>
      </c>
      <c r="AA1755">
        <v>50</v>
      </c>
      <c r="AB1755">
        <v>1000</v>
      </c>
      <c r="AC1755">
        <v>882</v>
      </c>
      <c r="AD1755">
        <v>882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5</v>
      </c>
      <c r="AQ1755">
        <v>1</v>
      </c>
      <c r="AR1755">
        <v>0</v>
      </c>
      <c r="AS1755" t="s">
        <v>58</v>
      </c>
      <c r="AT1755">
        <v>1</v>
      </c>
      <c r="AU1755" t="s">
        <v>75</v>
      </c>
      <c r="AV1755" t="s">
        <v>60</v>
      </c>
      <c r="AW1755">
        <v>0</v>
      </c>
      <c r="AX1755">
        <v>2</v>
      </c>
      <c r="AY1755">
        <v>0</v>
      </c>
      <c r="AZ1755">
        <v>0</v>
      </c>
      <c r="BA1755">
        <v>100</v>
      </c>
      <c r="BB1755">
        <v>100</v>
      </c>
      <c r="BC1755">
        <v>100</v>
      </c>
      <c r="BD1755">
        <v>100</v>
      </c>
      <c r="BE1755">
        <v>1</v>
      </c>
      <c r="BF1755">
        <v>15000</v>
      </c>
      <c r="BG1755">
        <v>1000</v>
      </c>
      <c r="BH1755" s="6">
        <f>Grandview_Inventory[[#This Row],[land_extract]]*Lookups!$B$3</f>
        <v>47528.228511015397</v>
      </c>
      <c r="BI1755" s="6">
        <f>IF(Grandview_Inventory[[#This Row],[bldg_style]]="",0,Lookups!$B$2)</f>
        <v>155833.95000000001</v>
      </c>
      <c r="BJ1755" s="6">
        <f>_xlfn.IFNA(VLOOKUP(Grandview_Inventory[[#This Row],[quality]],Lookups!$H$2:$J$14,3,FALSE),0)</f>
        <v>-28558</v>
      </c>
      <c r="BK1755" s="6">
        <f>_xlfn.IFNA(VLOOKUP(Grandview_Inventory[[#This Row],[condition]],Lookups!$H$17:$J$24,3,FALSE),0)</f>
        <v>-4503</v>
      </c>
      <c r="BL1755" s="6">
        <f>Grandview_Inventory[[#This Row],[Eff_Age]]*Lookups!$B$14</f>
        <v>-10523.330399999999</v>
      </c>
      <c r="BM1755" s="6">
        <f>Grandview_Inventory[[#This Row],[living_area]]*Lookups!$B$15</f>
        <v>55019.912346000005</v>
      </c>
      <c r="BN1755" s="6">
        <f>Grandview_Inventory[[#This Row],[Fin BSMT]]*Lookups!$B$16</f>
        <v>0</v>
      </c>
      <c r="BO1755" s="6">
        <f>(Grandview_Inventory[[#This Row],[att_gar]]+Grandview_Inventory[[#This Row],[bltin_gar]])*Lookups!$B$17</f>
        <v>0</v>
      </c>
      <c r="BP1755" s="6">
        <f>Grandview_Inventory[[#This Row],[Plumbing Fixtures]]*Lookups!$B$18</f>
        <v>10052.209000000001</v>
      </c>
      <c r="BQ1755" s="6">
        <f>Grandview_Inventory[[#This Row],[detatched_value]]*Lookups!$B$19</f>
        <v>0</v>
      </c>
      <c r="BR1755" s="6">
        <f>SUM(Grandview_Inventory[[#This Row],[Intercept]:[det_value]])*Grandview_Inventory[[#This Row],[res_pct]]</f>
        <v>177321.74094600001</v>
      </c>
      <c r="BS1755" s="6">
        <f>Grandview_Inventory[[#This Row],[land_value]]</f>
        <v>47528.228511015397</v>
      </c>
      <c r="BT1755" s="4">
        <f>_xlfn.IFNA(VLOOKUP(Grandview_Inventory[[#This Row],[quality]],Lookups!$A$26:$C$33,3,FALSE),1)</f>
        <v>0.9690360070159818</v>
      </c>
      <c r="BU1755" s="4">
        <f>_xlfn.IFNA(VLOOKUP(Grandview_Inventory[[#This Row],[condition]],Lookups!$A$37:$C$44,3,FALSE),1)</f>
        <v>0.96469275950863709</v>
      </c>
      <c r="BV1755" s="4">
        <f>IF(Grandview_Inventory[[#This Row],[bldg_style]]="",1,_xlfn.IFNA(VLOOKUP(Grandview_Inventory[[#This Row],[decade]],Lookups!$F$29:$H$43,3,FALSE),1))</f>
        <v>0.9871940091910919</v>
      </c>
      <c r="BW1755" s="4">
        <f>_xlfn.IFNA(VLOOKUP(Grandview_Inventory[[#This Row],[living_area_range]],Lookups!$F$47:$H$56,3,FALSE),1)</f>
        <v>0.94306777142782894</v>
      </c>
      <c r="BX1755" s="4">
        <f>AVERAGE(Grandview_Inventory[[#This Row],[qual_adj]:[size_adj]])</f>
        <v>0.96599763678588491</v>
      </c>
      <c r="BY1755" s="6">
        <f>IF(Grandview_Inventory[[#This Row],[pre_res]]&lt;0,0,Grandview_Inventory[[#This Row],[pre_res]]*Grandview_Inventory[[#This Row],[overall_adj]])</f>
        <v>171292.3827045949</v>
      </c>
      <c r="BZ1755" s="6">
        <f>(Grandview_Inventory[[#This Row],[sum_land]]-IF(Grandview_Inventory[[#This Row],[no_utilities]]=1,12000,0))/IF(Grandview_Inventory[[#This Row],[unbuildable]]=1,2,1)</f>
        <v>47528.228511015397</v>
      </c>
      <c r="CA175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755">
        <f>ROUND(Grandview_Inventory[[#This Row],[det_value]]*Lookups!$M$28,-2)</f>
        <v>0</v>
      </c>
      <c r="CC1755">
        <f>IF(ROUND(Grandview_Inventory[[#This Row],[adj_res]]*Lookups!$M$28,-2)&lt;Grandview_Inventory[[#This Row],[min_res]],Grandview_Inventory[[#This Row],[min_res]],ROUND(Grandview_Inventory[[#This Row],[adj_res]]*Lookups!$M$28,-2))</f>
        <v>162700</v>
      </c>
      <c r="CD1755">
        <f>Grandview_Inventory[[#This Row],[final_det]]+Grandview_Inventory[[#This Row],[final_res]]</f>
        <v>162700</v>
      </c>
      <c r="CE1755">
        <f>Grandview_Inventory[[#This Row],[final_land]]+Grandview_Inventory[[#This Row],[final_imp]]+Grandview_Inventory[[#This Row],[crop_value]]</f>
        <v>207900</v>
      </c>
      <c r="CG1755" t="str">
        <f t="shared" si="27"/>
        <v>update valuation set market_land =45200, market_bldg=162700, market_total =207900, market_mdno =401, market_date ='9/10/2023' where link_id = (select link_id from parcel where parcel_year = '2024' and parcel_id = '23092333010');</v>
      </c>
    </row>
    <row r="1756" spans="1:85" x14ac:dyDescent="0.25">
      <c r="A1756">
        <v>23092333011</v>
      </c>
      <c r="B1756">
        <v>0.2</v>
      </c>
      <c r="C1756">
        <v>8910</v>
      </c>
      <c r="D1756" t="s">
        <v>129</v>
      </c>
      <c r="E1756" t="s">
        <v>53</v>
      </c>
      <c r="F1756" t="s">
        <v>53</v>
      </c>
      <c r="G1756">
        <v>4</v>
      </c>
      <c r="H1756" t="s">
        <v>54</v>
      </c>
      <c r="I1756">
        <v>96600</v>
      </c>
      <c r="J1756">
        <v>39300</v>
      </c>
      <c r="K1756">
        <v>0.2</v>
      </c>
      <c r="L175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756">
        <v>0</v>
      </c>
      <c r="N1756">
        <v>0</v>
      </c>
      <c r="O1756">
        <v>0</v>
      </c>
      <c r="P1756">
        <v>13398.7528</v>
      </c>
      <c r="Q1756">
        <v>63903</v>
      </c>
      <c r="R1756">
        <f>(Grandview_Inventory[[#This Row],[ln_acres]]*Grandview_Inventory[[#This Row],[coeff]])+Grandview_Inventory[[#This Row],[const]]</f>
        <v>42338.539264347448</v>
      </c>
      <c r="S1756" t="s">
        <v>85</v>
      </c>
      <c r="T1756">
        <v>1</v>
      </c>
      <c r="U1756" t="s">
        <v>80</v>
      </c>
      <c r="V1756" t="s">
        <v>69</v>
      </c>
      <c r="W1756">
        <v>0</v>
      </c>
      <c r="X1756">
        <v>0</v>
      </c>
      <c r="Y1756">
        <v>52</v>
      </c>
      <c r="Z1756">
        <v>88</v>
      </c>
      <c r="AA1756">
        <v>90</v>
      </c>
      <c r="AB1756">
        <v>1000</v>
      </c>
      <c r="AC1756">
        <v>912</v>
      </c>
      <c r="AD1756">
        <v>912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30</v>
      </c>
      <c r="AO1756">
        <v>0</v>
      </c>
      <c r="AP1756">
        <v>5</v>
      </c>
      <c r="AQ1756">
        <v>0</v>
      </c>
      <c r="AR1756">
        <v>0</v>
      </c>
      <c r="AS1756" t="s">
        <v>58</v>
      </c>
      <c r="AT1756">
        <v>1</v>
      </c>
      <c r="AU1756" t="s">
        <v>75</v>
      </c>
      <c r="AV1756" t="s">
        <v>60</v>
      </c>
      <c r="AW1756">
        <v>0</v>
      </c>
      <c r="AX1756">
        <v>2</v>
      </c>
      <c r="AY1756">
        <v>0</v>
      </c>
      <c r="AZ1756">
        <v>0</v>
      </c>
      <c r="BA1756">
        <v>100</v>
      </c>
      <c r="BB1756">
        <v>100</v>
      </c>
      <c r="BC1756">
        <v>100</v>
      </c>
      <c r="BD1756">
        <v>100</v>
      </c>
      <c r="BE1756">
        <v>1</v>
      </c>
      <c r="BF1756">
        <v>15000</v>
      </c>
      <c r="BG1756">
        <v>1000</v>
      </c>
      <c r="BH1756" s="6">
        <f>Grandview_Inventory[[#This Row],[land_extract]]*Lookups!$B$3</f>
        <v>49167.631333630678</v>
      </c>
      <c r="BI1756" s="6">
        <f>IF(Grandview_Inventory[[#This Row],[bldg_style]]="",0,Lookups!$B$2)</f>
        <v>155833.95000000001</v>
      </c>
      <c r="BJ1756" s="6">
        <f>_xlfn.IFNA(VLOOKUP(Grandview_Inventory[[#This Row],[quality]],Lookups!$H$2:$J$14,3,FALSE),0)</f>
        <v>-28558</v>
      </c>
      <c r="BK1756" s="6">
        <f>_xlfn.IFNA(VLOOKUP(Grandview_Inventory[[#This Row],[condition]],Lookups!$H$17:$J$24,3,FALSE),0)</f>
        <v>-4503</v>
      </c>
      <c r="BL1756" s="6">
        <f>Grandview_Inventory[[#This Row],[Eff_Age]]*Lookups!$B$14</f>
        <v>-12436.663199999999</v>
      </c>
      <c r="BM1756" s="6">
        <f>Grandview_Inventory[[#This Row],[living_area]]*Lookups!$B$15</f>
        <v>56891.337936000004</v>
      </c>
      <c r="BN1756" s="6">
        <f>Grandview_Inventory[[#This Row],[Fin BSMT]]*Lookups!$B$16</f>
        <v>0</v>
      </c>
      <c r="BO1756" s="6">
        <f>(Grandview_Inventory[[#This Row],[att_gar]]+Grandview_Inventory[[#This Row],[bltin_gar]])*Lookups!$B$17</f>
        <v>0</v>
      </c>
      <c r="BP1756" s="6">
        <f>Grandview_Inventory[[#This Row],[Plumbing Fixtures]]*Lookups!$B$18</f>
        <v>10052.209000000001</v>
      </c>
      <c r="BQ1756" s="6">
        <f>Grandview_Inventory[[#This Row],[detatched_value]]*Lookups!$B$19</f>
        <v>0</v>
      </c>
      <c r="BR1756" s="6">
        <f>SUM(Grandview_Inventory[[#This Row],[Intercept]:[det_value]])*Grandview_Inventory[[#This Row],[res_pct]]</f>
        <v>177279.83373600003</v>
      </c>
      <c r="BS1756" s="6">
        <f>Grandview_Inventory[[#This Row],[land_value]]</f>
        <v>49167.631333630678</v>
      </c>
      <c r="BT1756" s="4">
        <f>_xlfn.IFNA(VLOOKUP(Grandview_Inventory[[#This Row],[quality]],Lookups!$A$26:$C$33,3,FALSE),1)</f>
        <v>0.9690360070159818</v>
      </c>
      <c r="BU1756" s="4">
        <f>_xlfn.IFNA(VLOOKUP(Grandview_Inventory[[#This Row],[condition]],Lookups!$A$37:$C$44,3,FALSE),1)</f>
        <v>0.96469275950863709</v>
      </c>
      <c r="BV1756" s="4">
        <f>IF(Grandview_Inventory[[#This Row],[bldg_style]]="",1,_xlfn.IFNA(VLOOKUP(Grandview_Inventory[[#This Row],[decade]],Lookups!$F$29:$H$43,3,FALSE),1))</f>
        <v>0.94161750052457416</v>
      </c>
      <c r="BW1756" s="4">
        <f>_xlfn.IFNA(VLOOKUP(Grandview_Inventory[[#This Row],[living_area_range]],Lookups!$F$47:$H$56,3,FALSE),1)</f>
        <v>0.94306777142782894</v>
      </c>
      <c r="BX1756" s="4">
        <f>AVERAGE(Grandview_Inventory[[#This Row],[qual_adj]:[size_adj]])</f>
        <v>0.95460350961925544</v>
      </c>
      <c r="BY1756" s="6">
        <f>IF(Grandview_Inventory[[#This Row],[pre_res]]&lt;0,0,Grandview_Inventory[[#This Row],[pre_res]]*Grandview_Inventory[[#This Row],[overall_adj]])</f>
        <v>169231.95146910372</v>
      </c>
      <c r="BZ1756" s="6">
        <f>(Grandview_Inventory[[#This Row],[sum_land]]-IF(Grandview_Inventory[[#This Row],[no_utilities]]=1,12000,0))/IF(Grandview_Inventory[[#This Row],[unbuildable]]=1,2,1)</f>
        <v>49167.631333630678</v>
      </c>
      <c r="CA175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756">
        <f>ROUND(Grandview_Inventory[[#This Row],[det_value]]*Lookups!$M$28,-2)</f>
        <v>0</v>
      </c>
      <c r="CC1756">
        <f>IF(ROUND(Grandview_Inventory[[#This Row],[adj_res]]*Lookups!$M$28,-2)&lt;Grandview_Inventory[[#This Row],[min_res]],Grandview_Inventory[[#This Row],[min_res]],ROUND(Grandview_Inventory[[#This Row],[adj_res]]*Lookups!$M$28,-2))</f>
        <v>160800</v>
      </c>
      <c r="CD1756">
        <f>Grandview_Inventory[[#This Row],[final_det]]+Grandview_Inventory[[#This Row],[final_res]]</f>
        <v>160800</v>
      </c>
      <c r="CE1756">
        <f>Grandview_Inventory[[#This Row],[final_land]]+Grandview_Inventory[[#This Row],[final_imp]]+Grandview_Inventory[[#This Row],[crop_value]]</f>
        <v>207500</v>
      </c>
      <c r="CG1756" t="str">
        <f t="shared" si="27"/>
        <v>update valuation set market_land =46700, market_bldg=160800, market_total =207500, market_mdno =401, market_date ='9/10/2023' where link_id = (select link_id from parcel where parcel_year = '2024' and parcel_id = '23092333011');</v>
      </c>
    </row>
    <row r="1757" spans="1:85" x14ac:dyDescent="0.25">
      <c r="A1757">
        <v>23092333013</v>
      </c>
      <c r="B1757">
        <v>0.33</v>
      </c>
      <c r="C1757">
        <v>14267</v>
      </c>
      <c r="D1757" t="s">
        <v>129</v>
      </c>
      <c r="E1757" t="s">
        <v>53</v>
      </c>
      <c r="F1757" t="s">
        <v>53</v>
      </c>
      <c r="G1757">
        <v>4</v>
      </c>
      <c r="H1757" t="s">
        <v>54</v>
      </c>
      <c r="I1757">
        <v>160000</v>
      </c>
      <c r="J1757">
        <v>41200</v>
      </c>
      <c r="K1757">
        <v>0.33</v>
      </c>
      <c r="L1757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757">
        <v>0</v>
      </c>
      <c r="N1757">
        <v>0</v>
      </c>
      <c r="O1757">
        <v>0</v>
      </c>
      <c r="P1757">
        <v>13398.7528</v>
      </c>
      <c r="Q1757">
        <v>63903</v>
      </c>
      <c r="R1757">
        <f>(Grandview_Inventory[[#This Row],[ln_acres]]*Grandview_Inventory[[#This Row],[coeff]])+Grandview_Inventory[[#This Row],[const]]</f>
        <v>49048.303555435712</v>
      </c>
      <c r="S1757" t="s">
        <v>61</v>
      </c>
      <c r="T1757">
        <v>1</v>
      </c>
      <c r="U1757" t="s">
        <v>65</v>
      </c>
      <c r="V1757" t="s">
        <v>69</v>
      </c>
      <c r="W1757">
        <v>0</v>
      </c>
      <c r="X1757">
        <v>0</v>
      </c>
      <c r="Y1757">
        <v>43</v>
      </c>
      <c r="Z1757">
        <v>45</v>
      </c>
      <c r="AA1757">
        <v>50</v>
      </c>
      <c r="AB1757">
        <v>1500</v>
      </c>
      <c r="AC1757">
        <v>1232</v>
      </c>
      <c r="AD1757">
        <v>1232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80</v>
      </c>
      <c r="AN1757">
        <v>0</v>
      </c>
      <c r="AO1757">
        <v>0</v>
      </c>
      <c r="AP1757">
        <v>8</v>
      </c>
      <c r="AQ1757">
        <v>0</v>
      </c>
      <c r="AR1757">
        <v>0</v>
      </c>
      <c r="AS1757" t="s">
        <v>58</v>
      </c>
      <c r="AT1757">
        <v>1</v>
      </c>
      <c r="AU1757" t="s">
        <v>63</v>
      </c>
      <c r="AV1757" t="s">
        <v>64</v>
      </c>
      <c r="AW1757">
        <v>1</v>
      </c>
      <c r="AX1757">
        <v>3</v>
      </c>
      <c r="AY1757">
        <v>0</v>
      </c>
      <c r="AZ1757">
        <v>14800</v>
      </c>
      <c r="BA1757">
        <v>100</v>
      </c>
      <c r="BB1757">
        <v>100</v>
      </c>
      <c r="BC1757">
        <v>100</v>
      </c>
      <c r="BD1757">
        <v>100</v>
      </c>
      <c r="BE1757">
        <v>1</v>
      </c>
      <c r="BF1757">
        <v>15000</v>
      </c>
      <c r="BG1757">
        <v>1000</v>
      </c>
      <c r="BH1757" s="6">
        <f>Grandview_Inventory[[#This Row],[land_extract]]*Lookups!$B$3</f>
        <v>56959.662488507893</v>
      </c>
      <c r="BI1757" s="6">
        <f>IF(Grandview_Inventory[[#This Row],[bldg_style]]="",0,Lookups!$B$2)</f>
        <v>155833.95000000001</v>
      </c>
      <c r="BJ1757" s="6">
        <f>_xlfn.IFNA(VLOOKUP(Grandview_Inventory[[#This Row],[quality]],Lookups!$H$2:$J$14,3,FALSE),0)</f>
        <v>2251</v>
      </c>
      <c r="BK1757" s="6">
        <f>_xlfn.IFNA(VLOOKUP(Grandview_Inventory[[#This Row],[condition]],Lookups!$H$17:$J$24,3,FALSE),0)</f>
        <v>-4503</v>
      </c>
      <c r="BL1757" s="6">
        <f>Grandview_Inventory[[#This Row],[Eff_Age]]*Lookups!$B$14</f>
        <v>-10284.1638</v>
      </c>
      <c r="BM1757" s="6">
        <f>Grandview_Inventory[[#This Row],[living_area]]*Lookups!$B$15</f>
        <v>76853.210896000004</v>
      </c>
      <c r="BN1757" s="6">
        <f>Grandview_Inventory[[#This Row],[Fin BSMT]]*Lookups!$B$16</f>
        <v>0</v>
      </c>
      <c r="BO1757" s="6">
        <f>(Grandview_Inventory[[#This Row],[att_gar]]+Grandview_Inventory[[#This Row],[bltin_gar]])*Lookups!$B$17</f>
        <v>0</v>
      </c>
      <c r="BP1757" s="6">
        <f>Grandview_Inventory[[#This Row],[Plumbing Fixtures]]*Lookups!$B$18</f>
        <v>16083.5344</v>
      </c>
      <c r="BQ1757" s="6">
        <f>Grandview_Inventory[[#This Row],[detatched_value]]*Lookups!$B$19</f>
        <v>12532.715479999999</v>
      </c>
      <c r="BR1757" s="6">
        <f>SUM(Grandview_Inventory[[#This Row],[Intercept]:[det_value]])*Grandview_Inventory[[#This Row],[res_pct]]</f>
        <v>248767.24697600002</v>
      </c>
      <c r="BS1757" s="6">
        <f>Grandview_Inventory[[#This Row],[land_value]]</f>
        <v>56959.662488507893</v>
      </c>
      <c r="BT1757" s="4">
        <f>_xlfn.IFNA(VLOOKUP(Grandview_Inventory[[#This Row],[quality]],Lookups!$A$26:$C$33,3,FALSE),1)</f>
        <v>0.98763855981004833</v>
      </c>
      <c r="BU1757" s="4">
        <f>_xlfn.IFNA(VLOOKUP(Grandview_Inventory[[#This Row],[condition]],Lookups!$A$37:$C$44,3,FALSE),1)</f>
        <v>0.96469275950863709</v>
      </c>
      <c r="BV1757" s="4">
        <f>IF(Grandview_Inventory[[#This Row],[bldg_style]]="",1,_xlfn.IFNA(VLOOKUP(Grandview_Inventory[[#This Row],[decade]],Lookups!$F$29:$H$43,3,FALSE),1))</f>
        <v>0.9871940091910919</v>
      </c>
      <c r="BW1757" s="4">
        <f>_xlfn.IFNA(VLOOKUP(Grandview_Inventory[[#This Row],[living_area_range]],Lookups!$F$47:$H$56,3,FALSE),1)</f>
        <v>0.96135087979789358</v>
      </c>
      <c r="BX1757" s="4">
        <f>AVERAGE(Grandview_Inventory[[#This Row],[qual_adj]:[size_adj]])</f>
        <v>0.97521905207691773</v>
      </c>
      <c r="BY1757" s="6">
        <f>IF(Grandview_Inventory[[#This Row],[pre_res]]&lt;0,0,Grandview_Inventory[[#This Row],[pre_res]]*Grandview_Inventory[[#This Row],[overall_adj]])</f>
        <v>242602.55878371923</v>
      </c>
      <c r="BZ1757" s="6">
        <f>(Grandview_Inventory[[#This Row],[sum_land]]-IF(Grandview_Inventory[[#This Row],[no_utilities]]=1,12000,0))/IF(Grandview_Inventory[[#This Row],[unbuildable]]=1,2,1)</f>
        <v>56959.662488507893</v>
      </c>
      <c r="CA1757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757">
        <f>ROUND(Grandview_Inventory[[#This Row],[det_value]]*Lookups!$M$28,-2)</f>
        <v>11900</v>
      </c>
      <c r="CC1757">
        <f>IF(ROUND(Grandview_Inventory[[#This Row],[adj_res]]*Lookups!$M$28,-2)&lt;Grandview_Inventory[[#This Row],[min_res]],Grandview_Inventory[[#This Row],[min_res]],ROUND(Grandview_Inventory[[#This Row],[adj_res]]*Lookups!$M$28,-2))</f>
        <v>230500</v>
      </c>
      <c r="CD1757">
        <f>Grandview_Inventory[[#This Row],[final_det]]+Grandview_Inventory[[#This Row],[final_res]]</f>
        <v>242400</v>
      </c>
      <c r="CE1757">
        <f>Grandview_Inventory[[#This Row],[final_land]]+Grandview_Inventory[[#This Row],[final_imp]]+Grandview_Inventory[[#This Row],[crop_value]]</f>
        <v>296500</v>
      </c>
      <c r="CG1757" t="str">
        <f t="shared" si="27"/>
        <v>update valuation set market_land =54100, market_bldg=242400, market_total =296500, market_mdno =401, market_date ='9/10/2023' where link_id = (select link_id from parcel where parcel_year = '2024' and parcel_id = '23092333013');</v>
      </c>
    </row>
    <row r="1758" spans="1:85" x14ac:dyDescent="0.25">
      <c r="A1758">
        <v>23092333400</v>
      </c>
      <c r="B1758">
        <v>0.27</v>
      </c>
      <c r="C1758">
        <v>11853</v>
      </c>
      <c r="D1758" t="s">
        <v>129</v>
      </c>
      <c r="E1758" t="s">
        <v>53</v>
      </c>
      <c r="F1758" t="s">
        <v>53</v>
      </c>
      <c r="G1758">
        <v>4</v>
      </c>
      <c r="H1758" t="s">
        <v>54</v>
      </c>
      <c r="I1758">
        <v>184500</v>
      </c>
      <c r="J1758">
        <v>40000</v>
      </c>
      <c r="K1758">
        <v>0.27</v>
      </c>
      <c r="L175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58">
        <v>0</v>
      </c>
      <c r="N1758">
        <v>0</v>
      </c>
      <c r="O1758">
        <v>0</v>
      </c>
      <c r="P1758">
        <v>13398.7528</v>
      </c>
      <c r="Q1758">
        <v>63903</v>
      </c>
      <c r="R1758">
        <f>(Grandview_Inventory[[#This Row],[ln_acres]]*Grandview_Inventory[[#This Row],[coeff]])+Grandview_Inventory[[#This Row],[const]]</f>
        <v>46359.566512734265</v>
      </c>
      <c r="S1758" t="s">
        <v>61</v>
      </c>
      <c r="T1758">
        <v>1</v>
      </c>
      <c r="U1758" t="s">
        <v>65</v>
      </c>
      <c r="V1758" t="s">
        <v>69</v>
      </c>
      <c r="W1758">
        <v>0</v>
      </c>
      <c r="X1758">
        <v>0</v>
      </c>
      <c r="Y1758">
        <v>47</v>
      </c>
      <c r="Z1758">
        <v>58</v>
      </c>
      <c r="AA1758">
        <v>60</v>
      </c>
      <c r="AB1758">
        <v>2500</v>
      </c>
      <c r="AC1758">
        <v>2078</v>
      </c>
      <c r="AD1758">
        <v>1214</v>
      </c>
      <c r="AE1758">
        <v>0</v>
      </c>
      <c r="AF1758">
        <v>0</v>
      </c>
      <c r="AG1758">
        <v>864</v>
      </c>
      <c r="AH1758">
        <v>0</v>
      </c>
      <c r="AI1758">
        <v>368</v>
      </c>
      <c r="AJ1758">
        <v>0</v>
      </c>
      <c r="AK1758">
        <v>0</v>
      </c>
      <c r="AL1758">
        <v>0</v>
      </c>
      <c r="AM1758">
        <v>390</v>
      </c>
      <c r="AN1758">
        <v>138</v>
      </c>
      <c r="AO1758">
        <v>390</v>
      </c>
      <c r="AP1758">
        <v>7</v>
      </c>
      <c r="AQ1758">
        <v>0</v>
      </c>
      <c r="AR1758">
        <v>1</v>
      </c>
      <c r="AS1758" t="s">
        <v>58</v>
      </c>
      <c r="AT1758">
        <v>1</v>
      </c>
      <c r="AU1758" t="s">
        <v>63</v>
      </c>
      <c r="AV1758" t="s">
        <v>60</v>
      </c>
      <c r="AW1758">
        <v>0</v>
      </c>
      <c r="AX1758">
        <v>2</v>
      </c>
      <c r="AY1758">
        <v>0</v>
      </c>
      <c r="AZ1758">
        <v>0</v>
      </c>
      <c r="BA1758">
        <v>100</v>
      </c>
      <c r="BB1758">
        <v>100</v>
      </c>
      <c r="BC1758">
        <v>100</v>
      </c>
      <c r="BD1758">
        <v>100</v>
      </c>
      <c r="BE1758">
        <v>1</v>
      </c>
      <c r="BF1758">
        <v>15000</v>
      </c>
      <c r="BG1758">
        <v>1000</v>
      </c>
      <c r="BH1758" s="6">
        <f>Grandview_Inventory[[#This Row],[land_extract]]*Lookups!$B$3</f>
        <v>53837.239420408718</v>
      </c>
      <c r="BI1758" s="6">
        <f>IF(Grandview_Inventory[[#This Row],[bldg_style]]="",0,Lookups!$B$2)</f>
        <v>155833.95000000001</v>
      </c>
      <c r="BJ1758" s="6">
        <f>_xlfn.IFNA(VLOOKUP(Grandview_Inventory[[#This Row],[quality]],Lookups!$H$2:$J$14,3,FALSE),0)</f>
        <v>2251</v>
      </c>
      <c r="BK1758" s="6">
        <f>_xlfn.IFNA(VLOOKUP(Grandview_Inventory[[#This Row],[condition]],Lookups!$H$17:$J$24,3,FALSE),0)</f>
        <v>-4503</v>
      </c>
      <c r="BL1758" s="6">
        <f>Grandview_Inventory[[#This Row],[Eff_Age]]*Lookups!$B$14</f>
        <v>-11240.8302</v>
      </c>
      <c r="BM1758" s="6">
        <f>Grandview_Inventory[[#This Row],[living_area]]*Lookups!$B$15</f>
        <v>129627.412534</v>
      </c>
      <c r="BN1758" s="6">
        <f>Grandview_Inventory[[#This Row],[Fin BSMT]]*Lookups!$B$16</f>
        <v>-23413.74336</v>
      </c>
      <c r="BO1758" s="6">
        <f>(Grandview_Inventory[[#This Row],[att_gar]]+Grandview_Inventory[[#This Row],[bltin_gar]])*Lookups!$B$17</f>
        <v>32207.520816</v>
      </c>
      <c r="BP1758" s="6">
        <f>Grandview_Inventory[[#This Row],[Plumbing Fixtures]]*Lookups!$B$18</f>
        <v>14073.0926</v>
      </c>
      <c r="BQ1758" s="6">
        <f>Grandview_Inventory[[#This Row],[detatched_value]]*Lookups!$B$19</f>
        <v>0</v>
      </c>
      <c r="BR1758" s="6">
        <f>SUM(Grandview_Inventory[[#This Row],[Intercept]:[det_value]])*Grandview_Inventory[[#This Row],[res_pct]]</f>
        <v>294835.40238999994</v>
      </c>
      <c r="BS1758" s="6">
        <f>Grandview_Inventory[[#This Row],[land_value]]</f>
        <v>53837.239420408718</v>
      </c>
      <c r="BT1758" s="4">
        <f>_xlfn.IFNA(VLOOKUP(Grandview_Inventory[[#This Row],[quality]],Lookups!$A$26:$C$33,3,FALSE),1)</f>
        <v>0.98763855981004833</v>
      </c>
      <c r="BU1758" s="4">
        <f>_xlfn.IFNA(VLOOKUP(Grandview_Inventory[[#This Row],[condition]],Lookups!$A$37:$C$44,3,FALSE),1)</f>
        <v>0.96469275950863709</v>
      </c>
      <c r="BV1758" s="4">
        <f>IF(Grandview_Inventory[[#This Row],[bldg_style]]="",1,_xlfn.IFNA(VLOOKUP(Grandview_Inventory[[#This Row],[decade]],Lookups!$F$29:$H$43,3,FALSE),1))</f>
        <v>0.95268620544463312</v>
      </c>
      <c r="BW1758" s="4">
        <f>_xlfn.IFNA(VLOOKUP(Grandview_Inventory[[#This Row],[living_area_range]],Lookups!$F$47:$H$56,3,FALSE),1)</f>
        <v>0.95799442568048754</v>
      </c>
      <c r="BX1758" s="4">
        <f>AVERAGE(Grandview_Inventory[[#This Row],[qual_adj]:[size_adj]])</f>
        <v>0.96575298761095152</v>
      </c>
      <c r="BY1758" s="6">
        <f>IF(Grandview_Inventory[[#This Row],[pre_res]]&lt;0,0,Grandview_Inventory[[#This Row],[pre_res]]*Grandview_Inventory[[#This Row],[overall_adj]])</f>
        <v>284738.17071161955</v>
      </c>
      <c r="BZ1758" s="6">
        <f>(Grandview_Inventory[[#This Row],[sum_land]]-IF(Grandview_Inventory[[#This Row],[no_utilities]]=1,12000,0))/IF(Grandview_Inventory[[#This Row],[unbuildable]]=1,2,1)</f>
        <v>53837.239420408718</v>
      </c>
      <c r="CA175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58">
        <f>ROUND(Grandview_Inventory[[#This Row],[det_value]]*Lookups!$M$28,-2)</f>
        <v>0</v>
      </c>
      <c r="CC1758">
        <f>IF(ROUND(Grandview_Inventory[[#This Row],[adj_res]]*Lookups!$M$28,-2)&lt;Grandview_Inventory[[#This Row],[min_res]],Grandview_Inventory[[#This Row],[min_res]],ROUND(Grandview_Inventory[[#This Row],[adj_res]]*Lookups!$M$28,-2))</f>
        <v>270500</v>
      </c>
      <c r="CD1758">
        <f>Grandview_Inventory[[#This Row],[final_det]]+Grandview_Inventory[[#This Row],[final_res]]</f>
        <v>270500</v>
      </c>
      <c r="CE1758">
        <f>Grandview_Inventory[[#This Row],[final_land]]+Grandview_Inventory[[#This Row],[final_imp]]+Grandview_Inventory[[#This Row],[crop_value]]</f>
        <v>321600</v>
      </c>
      <c r="CG1758" t="str">
        <f t="shared" si="27"/>
        <v>update valuation set market_land =51100, market_bldg=270500, market_total =321600, market_mdno =401, market_date ='9/10/2023' where link_id = (select link_id from parcel where parcel_year = '2024' and parcel_id = '23092333400');</v>
      </c>
    </row>
    <row r="1759" spans="1:85" x14ac:dyDescent="0.25">
      <c r="A1759">
        <v>23092333401</v>
      </c>
      <c r="B1759">
        <v>0.28999999999999998</v>
      </c>
      <c r="C1759">
        <v>12603</v>
      </c>
      <c r="D1759" t="s">
        <v>129</v>
      </c>
      <c r="E1759" t="s">
        <v>53</v>
      </c>
      <c r="F1759" t="s">
        <v>53</v>
      </c>
      <c r="G1759">
        <v>4</v>
      </c>
      <c r="H1759" t="s">
        <v>54</v>
      </c>
      <c r="I1759">
        <v>240200</v>
      </c>
      <c r="J1759">
        <v>40500</v>
      </c>
      <c r="K1759">
        <v>0.28999999999999998</v>
      </c>
      <c r="L1759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59">
        <v>0</v>
      </c>
      <c r="N1759">
        <v>0</v>
      </c>
      <c r="O1759">
        <v>0</v>
      </c>
      <c r="P1759">
        <v>13398.7528</v>
      </c>
      <c r="Q1759">
        <v>63903</v>
      </c>
      <c r="R1759">
        <f>(Grandview_Inventory[[#This Row],[ln_acres]]*Grandview_Inventory[[#This Row],[coeff]])+Grandview_Inventory[[#This Row],[const]]</f>
        <v>47317.027506475133</v>
      </c>
      <c r="S1759" t="s">
        <v>61</v>
      </c>
      <c r="T1759">
        <v>1</v>
      </c>
      <c r="U1759" t="s">
        <v>65</v>
      </c>
      <c r="V1759" t="s">
        <v>67</v>
      </c>
      <c r="W1759">
        <v>0</v>
      </c>
      <c r="X1759">
        <v>0</v>
      </c>
      <c r="Y1759">
        <v>47</v>
      </c>
      <c r="Z1759">
        <v>58</v>
      </c>
      <c r="AA1759">
        <v>60</v>
      </c>
      <c r="AB1759">
        <v>1500</v>
      </c>
      <c r="AC1759">
        <v>1324</v>
      </c>
      <c r="AD1759">
        <v>1324</v>
      </c>
      <c r="AE1759">
        <v>0</v>
      </c>
      <c r="AF1759">
        <v>0</v>
      </c>
      <c r="AG1759">
        <v>0</v>
      </c>
      <c r="AH1759">
        <v>0</v>
      </c>
      <c r="AI1759">
        <v>600</v>
      </c>
      <c r="AJ1759">
        <v>0</v>
      </c>
      <c r="AK1759">
        <v>0</v>
      </c>
      <c r="AL1759">
        <v>0</v>
      </c>
      <c r="AM1759">
        <v>0</v>
      </c>
      <c r="AN1759">
        <v>60</v>
      </c>
      <c r="AO1759">
        <v>0</v>
      </c>
      <c r="AP1759">
        <v>8</v>
      </c>
      <c r="AQ1759">
        <v>0</v>
      </c>
      <c r="AR1759">
        <v>1</v>
      </c>
      <c r="AS1759" t="s">
        <v>58</v>
      </c>
      <c r="AT1759">
        <v>1</v>
      </c>
      <c r="AU1759" t="s">
        <v>59</v>
      </c>
      <c r="AV1759" t="s">
        <v>60</v>
      </c>
      <c r="AW1759">
        <v>1</v>
      </c>
      <c r="AX1759">
        <v>3</v>
      </c>
      <c r="AY1759">
        <v>0</v>
      </c>
      <c r="AZ1759">
        <v>0</v>
      </c>
      <c r="BA1759">
        <v>100</v>
      </c>
      <c r="BB1759">
        <v>100</v>
      </c>
      <c r="BC1759">
        <v>100</v>
      </c>
      <c r="BD1759">
        <v>100</v>
      </c>
      <c r="BE1759">
        <v>1</v>
      </c>
      <c r="BF1759">
        <v>15000</v>
      </c>
      <c r="BG1759">
        <v>1000</v>
      </c>
      <c r="BH1759" s="6">
        <f>Grandview_Inventory[[#This Row],[land_extract]]*Lookups!$B$3</f>
        <v>54949.136287295303</v>
      </c>
      <c r="BI1759" s="6">
        <f>IF(Grandview_Inventory[[#This Row],[bldg_style]]="",0,Lookups!$B$2)</f>
        <v>155833.95000000001</v>
      </c>
      <c r="BJ1759" s="6">
        <f>_xlfn.IFNA(VLOOKUP(Grandview_Inventory[[#This Row],[quality]],Lookups!$H$2:$J$14,3,FALSE),0)</f>
        <v>2251</v>
      </c>
      <c r="BK1759" s="6">
        <f>_xlfn.IFNA(VLOOKUP(Grandview_Inventory[[#This Row],[condition]],Lookups!$H$17:$J$24,3,FALSE),0)</f>
        <v>22342</v>
      </c>
      <c r="BL1759" s="6">
        <f>Grandview_Inventory[[#This Row],[Eff_Age]]*Lookups!$B$14</f>
        <v>-11240.8302</v>
      </c>
      <c r="BM1759" s="6">
        <f>Grandview_Inventory[[#This Row],[living_area]]*Lookups!$B$15</f>
        <v>82592.249372000006</v>
      </c>
      <c r="BN1759" s="6">
        <f>Grandview_Inventory[[#This Row],[Fin BSMT]]*Lookups!$B$16</f>
        <v>0</v>
      </c>
      <c r="BO1759" s="6">
        <f>(Grandview_Inventory[[#This Row],[att_gar]]+Grandview_Inventory[[#This Row],[bltin_gar]])*Lookups!$B$17</f>
        <v>52512.262199999997</v>
      </c>
      <c r="BP1759" s="6">
        <f>Grandview_Inventory[[#This Row],[Plumbing Fixtures]]*Lookups!$B$18</f>
        <v>16083.5344</v>
      </c>
      <c r="BQ1759" s="6">
        <f>Grandview_Inventory[[#This Row],[detatched_value]]*Lookups!$B$19</f>
        <v>0</v>
      </c>
      <c r="BR1759" s="6">
        <f>SUM(Grandview_Inventory[[#This Row],[Intercept]:[det_value]])*Grandview_Inventory[[#This Row],[res_pct]]</f>
        <v>320374.16577200004</v>
      </c>
      <c r="BS1759" s="6">
        <f>Grandview_Inventory[[#This Row],[land_value]]</f>
        <v>54949.136287295303</v>
      </c>
      <c r="BT1759" s="4">
        <f>_xlfn.IFNA(VLOOKUP(Grandview_Inventory[[#This Row],[quality]],Lookups!$A$26:$C$33,3,FALSE),1)</f>
        <v>0.98763855981004833</v>
      </c>
      <c r="BU1759" s="4">
        <f>_xlfn.IFNA(VLOOKUP(Grandview_Inventory[[#This Row],[condition]],Lookups!$A$37:$C$44,3,FALSE),1)</f>
        <v>0.97383723671140243</v>
      </c>
      <c r="BV1759" s="4">
        <f>IF(Grandview_Inventory[[#This Row],[bldg_style]]="",1,_xlfn.IFNA(VLOOKUP(Grandview_Inventory[[#This Row],[decade]],Lookups!$F$29:$H$43,3,FALSE),1))</f>
        <v>0.95268620544463312</v>
      </c>
      <c r="BW1759" s="4">
        <f>_xlfn.IFNA(VLOOKUP(Grandview_Inventory[[#This Row],[living_area_range]],Lookups!$F$47:$H$56,3,FALSE),1)</f>
        <v>0.96135087979789358</v>
      </c>
      <c r="BX1759" s="4">
        <f>AVERAGE(Grandview_Inventory[[#This Row],[qual_adj]:[size_adj]])</f>
        <v>0.96887822044099436</v>
      </c>
      <c r="BY1759" s="6">
        <f>IF(Grandview_Inventory[[#This Row],[pre_res]]&lt;0,0,Grandview_Inventory[[#This Row],[pre_res]]*Grandview_Inventory[[#This Row],[overall_adj]])</f>
        <v>310403.55160844355</v>
      </c>
      <c r="BZ1759" s="6">
        <f>(Grandview_Inventory[[#This Row],[sum_land]]-IF(Grandview_Inventory[[#This Row],[no_utilities]]=1,12000,0))/IF(Grandview_Inventory[[#This Row],[unbuildable]]=1,2,1)</f>
        <v>54949.136287295303</v>
      </c>
      <c r="CA1759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59">
        <f>ROUND(Grandview_Inventory[[#This Row],[det_value]]*Lookups!$M$28,-2)</f>
        <v>0</v>
      </c>
      <c r="CC1759">
        <f>IF(ROUND(Grandview_Inventory[[#This Row],[adj_res]]*Lookups!$M$28,-2)&lt;Grandview_Inventory[[#This Row],[min_res]],Grandview_Inventory[[#This Row],[min_res]],ROUND(Grandview_Inventory[[#This Row],[adj_res]]*Lookups!$M$28,-2))</f>
        <v>294900</v>
      </c>
      <c r="CD1759">
        <f>Grandview_Inventory[[#This Row],[final_det]]+Grandview_Inventory[[#This Row],[final_res]]</f>
        <v>294900</v>
      </c>
      <c r="CE1759">
        <f>Grandview_Inventory[[#This Row],[final_land]]+Grandview_Inventory[[#This Row],[final_imp]]+Grandview_Inventory[[#This Row],[crop_value]]</f>
        <v>347100</v>
      </c>
      <c r="CG1759" t="str">
        <f t="shared" si="27"/>
        <v>update valuation set market_land =52200, market_bldg=294900, market_total =347100, market_mdno =401, market_date ='9/10/2023' where link_id = (select link_id from parcel where parcel_year = '2024' and parcel_id = '23092333401');</v>
      </c>
    </row>
    <row r="1760" spans="1:85" x14ac:dyDescent="0.25">
      <c r="A1760">
        <v>23092333402</v>
      </c>
      <c r="B1760">
        <v>0.33</v>
      </c>
      <c r="C1760">
        <v>14309</v>
      </c>
      <c r="D1760" t="s">
        <v>129</v>
      </c>
      <c r="E1760" t="s">
        <v>53</v>
      </c>
      <c r="F1760" t="s">
        <v>53</v>
      </c>
      <c r="G1760">
        <v>4</v>
      </c>
      <c r="H1760" t="s">
        <v>54</v>
      </c>
      <c r="I1760">
        <v>183300</v>
      </c>
      <c r="J1760">
        <v>41200</v>
      </c>
      <c r="K1760">
        <v>0.33</v>
      </c>
      <c r="L1760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760">
        <v>0</v>
      </c>
      <c r="N1760">
        <v>0</v>
      </c>
      <c r="O1760">
        <v>0</v>
      </c>
      <c r="P1760">
        <v>13398.7528</v>
      </c>
      <c r="Q1760">
        <v>63903</v>
      </c>
      <c r="R1760">
        <f>(Grandview_Inventory[[#This Row],[ln_acres]]*Grandview_Inventory[[#This Row],[coeff]])+Grandview_Inventory[[#This Row],[const]]</f>
        <v>49048.303555435712</v>
      </c>
      <c r="S1760" t="s">
        <v>61</v>
      </c>
      <c r="T1760">
        <v>1</v>
      </c>
      <c r="U1760" t="s">
        <v>70</v>
      </c>
      <c r="V1760" t="s">
        <v>67</v>
      </c>
      <c r="W1760">
        <v>0</v>
      </c>
      <c r="X1760">
        <v>0</v>
      </c>
      <c r="Y1760">
        <v>46</v>
      </c>
      <c r="Z1760">
        <v>54</v>
      </c>
      <c r="AA1760">
        <v>60</v>
      </c>
      <c r="AB1760">
        <v>1500</v>
      </c>
      <c r="AC1760">
        <v>1136</v>
      </c>
      <c r="AD1760">
        <v>1136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288</v>
      </c>
      <c r="AL1760">
        <v>0</v>
      </c>
      <c r="AM1760">
        <v>260</v>
      </c>
      <c r="AN1760">
        <v>0</v>
      </c>
      <c r="AO1760">
        <v>24</v>
      </c>
      <c r="AP1760">
        <v>7</v>
      </c>
      <c r="AQ1760">
        <v>0</v>
      </c>
      <c r="AR1760">
        <v>0</v>
      </c>
      <c r="AS1760" t="s">
        <v>58</v>
      </c>
      <c r="AT1760">
        <v>1</v>
      </c>
      <c r="AU1760" t="s">
        <v>75</v>
      </c>
      <c r="AV1760" t="s">
        <v>60</v>
      </c>
      <c r="AW1760">
        <v>0</v>
      </c>
      <c r="AX1760">
        <v>3</v>
      </c>
      <c r="AY1760">
        <v>0</v>
      </c>
      <c r="AZ1760">
        <v>0</v>
      </c>
      <c r="BA1760">
        <v>100</v>
      </c>
      <c r="BB1760">
        <v>100</v>
      </c>
      <c r="BC1760">
        <v>100</v>
      </c>
      <c r="BD1760">
        <v>100</v>
      </c>
      <c r="BE1760">
        <v>1</v>
      </c>
      <c r="BF1760">
        <v>15000</v>
      </c>
      <c r="BG1760">
        <v>1000</v>
      </c>
      <c r="BH1760" s="6">
        <f>Grandview_Inventory[[#This Row],[land_extract]]*Lookups!$B$3</f>
        <v>56959.662488507893</v>
      </c>
      <c r="BI1760" s="6">
        <f>IF(Grandview_Inventory[[#This Row],[bldg_style]]="",0,Lookups!$B$2)</f>
        <v>155833.95000000001</v>
      </c>
      <c r="BJ1760" s="6">
        <f>_xlfn.IFNA(VLOOKUP(Grandview_Inventory[[#This Row],[quality]],Lookups!$H$2:$J$14,3,FALSE),0)</f>
        <v>10733</v>
      </c>
      <c r="BK1760" s="6">
        <f>_xlfn.IFNA(VLOOKUP(Grandview_Inventory[[#This Row],[condition]],Lookups!$H$17:$J$24,3,FALSE),0)</f>
        <v>22342</v>
      </c>
      <c r="BL1760" s="6">
        <f>Grandview_Inventory[[#This Row],[Eff_Age]]*Lookups!$B$14</f>
        <v>-11001.6636</v>
      </c>
      <c r="BM1760" s="6">
        <f>Grandview_Inventory[[#This Row],[living_area]]*Lookups!$B$15</f>
        <v>70864.649008000008</v>
      </c>
      <c r="BN1760" s="6">
        <f>Grandview_Inventory[[#This Row],[Fin BSMT]]*Lookups!$B$16</f>
        <v>0</v>
      </c>
      <c r="BO1760" s="6">
        <f>(Grandview_Inventory[[#This Row],[att_gar]]+Grandview_Inventory[[#This Row],[bltin_gar]])*Lookups!$B$17</f>
        <v>0</v>
      </c>
      <c r="BP1760" s="6">
        <f>Grandview_Inventory[[#This Row],[Plumbing Fixtures]]*Lookups!$B$18</f>
        <v>14073.0926</v>
      </c>
      <c r="BQ1760" s="6">
        <f>Grandview_Inventory[[#This Row],[detatched_value]]*Lookups!$B$19</f>
        <v>0</v>
      </c>
      <c r="BR1760" s="6">
        <f>SUM(Grandview_Inventory[[#This Row],[Intercept]:[det_value]])*Grandview_Inventory[[#This Row],[res_pct]]</f>
        <v>262845.02800799999</v>
      </c>
      <c r="BS1760" s="6">
        <f>Grandview_Inventory[[#This Row],[land_value]]</f>
        <v>56959.662488507893</v>
      </c>
      <c r="BT1760" s="4">
        <f>_xlfn.IFNA(VLOOKUP(Grandview_Inventory[[#This Row],[quality]],Lookups!$A$26:$C$33,3,FALSE),1)</f>
        <v>0.98079741117310582</v>
      </c>
      <c r="BU1760" s="4">
        <f>_xlfn.IFNA(VLOOKUP(Grandview_Inventory[[#This Row],[condition]],Lookups!$A$37:$C$44,3,FALSE),1)</f>
        <v>0.97383723671140243</v>
      </c>
      <c r="BV1760" s="4">
        <f>IF(Grandview_Inventory[[#This Row],[bldg_style]]="",1,_xlfn.IFNA(VLOOKUP(Grandview_Inventory[[#This Row],[decade]],Lookups!$F$29:$H$43,3,FALSE),1))</f>
        <v>0.95268620544463312</v>
      </c>
      <c r="BW1760" s="4">
        <f>_xlfn.IFNA(VLOOKUP(Grandview_Inventory[[#This Row],[living_area_range]],Lookups!$F$47:$H$56,3,FALSE),1)</f>
        <v>0.96135087979789358</v>
      </c>
      <c r="BX1760" s="4">
        <f>AVERAGE(Grandview_Inventory[[#This Row],[qual_adj]:[size_adj]])</f>
        <v>0.96716793328175876</v>
      </c>
      <c r="BY1760" s="6">
        <f>IF(Grandview_Inventory[[#This Row],[pre_res]]&lt;0,0,Grandview_Inventory[[#This Row],[pre_res]]*Grandview_Inventory[[#This Row],[overall_adj]])</f>
        <v>254215.28251188336</v>
      </c>
      <c r="BZ1760" s="6">
        <f>(Grandview_Inventory[[#This Row],[sum_land]]-IF(Grandview_Inventory[[#This Row],[no_utilities]]=1,12000,0))/IF(Grandview_Inventory[[#This Row],[unbuildable]]=1,2,1)</f>
        <v>56959.662488507893</v>
      </c>
      <c r="CA1760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760">
        <f>ROUND(Grandview_Inventory[[#This Row],[det_value]]*Lookups!$M$28,-2)</f>
        <v>0</v>
      </c>
      <c r="CC1760">
        <f>IF(ROUND(Grandview_Inventory[[#This Row],[adj_res]]*Lookups!$M$28,-2)&lt;Grandview_Inventory[[#This Row],[min_res]],Grandview_Inventory[[#This Row],[min_res]],ROUND(Grandview_Inventory[[#This Row],[adj_res]]*Lookups!$M$28,-2))</f>
        <v>241500</v>
      </c>
      <c r="CD1760">
        <f>Grandview_Inventory[[#This Row],[final_det]]+Grandview_Inventory[[#This Row],[final_res]]</f>
        <v>241500</v>
      </c>
      <c r="CE1760">
        <f>Grandview_Inventory[[#This Row],[final_land]]+Grandview_Inventory[[#This Row],[final_imp]]+Grandview_Inventory[[#This Row],[crop_value]]</f>
        <v>295600</v>
      </c>
      <c r="CG1760" t="str">
        <f t="shared" si="27"/>
        <v>update valuation set market_land =54100, market_bldg=241500, market_total =295600, market_mdno =401, market_date ='9/10/2023' where link_id = (select link_id from parcel where parcel_year = '2024' and parcel_id = '23092333402');</v>
      </c>
    </row>
    <row r="1761" spans="1:85" x14ac:dyDescent="0.25">
      <c r="A1761">
        <v>23092333403</v>
      </c>
      <c r="B1761">
        <v>0.36</v>
      </c>
      <c r="C1761">
        <v>15894</v>
      </c>
      <c r="D1761" t="s">
        <v>129</v>
      </c>
      <c r="E1761" t="s">
        <v>53</v>
      </c>
      <c r="F1761" t="s">
        <v>53</v>
      </c>
      <c r="G1761">
        <v>4</v>
      </c>
      <c r="H1761" t="s">
        <v>54</v>
      </c>
      <c r="I1761">
        <v>204800</v>
      </c>
      <c r="J1761">
        <v>40900</v>
      </c>
      <c r="K1761">
        <v>0.36</v>
      </c>
      <c r="L1761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761">
        <v>0</v>
      </c>
      <c r="N1761">
        <v>0</v>
      </c>
      <c r="O1761">
        <v>0</v>
      </c>
      <c r="P1761">
        <v>13398.7528</v>
      </c>
      <c r="Q1761">
        <v>63903</v>
      </c>
      <c r="R1761">
        <f>(Grandview_Inventory[[#This Row],[ln_acres]]*Grandview_Inventory[[#This Row],[coeff]])+Grandview_Inventory[[#This Row],[const]]</f>
        <v>50214.147486507369</v>
      </c>
      <c r="S1761" t="s">
        <v>61</v>
      </c>
      <c r="T1761">
        <v>1</v>
      </c>
      <c r="U1761" t="s">
        <v>62</v>
      </c>
      <c r="V1761" t="s">
        <v>69</v>
      </c>
      <c r="W1761">
        <v>0</v>
      </c>
      <c r="X1761">
        <v>0</v>
      </c>
      <c r="Y1761">
        <v>47</v>
      </c>
      <c r="Z1761">
        <v>58</v>
      </c>
      <c r="AA1761">
        <v>60</v>
      </c>
      <c r="AB1761">
        <v>2000</v>
      </c>
      <c r="AC1761">
        <v>1865</v>
      </c>
      <c r="AD1761">
        <v>1865</v>
      </c>
      <c r="AE1761">
        <v>0</v>
      </c>
      <c r="AF1761">
        <v>0</v>
      </c>
      <c r="AG1761">
        <v>0</v>
      </c>
      <c r="AH1761">
        <v>0</v>
      </c>
      <c r="AI1761">
        <v>228</v>
      </c>
      <c r="AJ1761">
        <v>0</v>
      </c>
      <c r="AK1761">
        <v>0</v>
      </c>
      <c r="AL1761">
        <v>0</v>
      </c>
      <c r="AM1761">
        <v>576</v>
      </c>
      <c r="AN1761">
        <v>81</v>
      </c>
      <c r="AO1761">
        <v>576</v>
      </c>
      <c r="AP1761">
        <v>11</v>
      </c>
      <c r="AQ1761">
        <v>0</v>
      </c>
      <c r="AR1761">
        <v>1</v>
      </c>
      <c r="AS1761" t="s">
        <v>58</v>
      </c>
      <c r="AT1761">
        <v>1</v>
      </c>
      <c r="AU1761" t="s">
        <v>63</v>
      </c>
      <c r="AV1761" t="s">
        <v>64</v>
      </c>
      <c r="AW1761">
        <v>1</v>
      </c>
      <c r="AX1761">
        <v>3</v>
      </c>
      <c r="AY1761">
        <v>0</v>
      </c>
      <c r="AZ1761">
        <v>0</v>
      </c>
      <c r="BA1761">
        <v>100</v>
      </c>
      <c r="BB1761">
        <v>100</v>
      </c>
      <c r="BC1761">
        <v>100</v>
      </c>
      <c r="BD1761">
        <v>100</v>
      </c>
      <c r="BE1761">
        <v>1</v>
      </c>
      <c r="BF1761">
        <v>15000</v>
      </c>
      <c r="BG1761">
        <v>1000</v>
      </c>
      <c r="BH1761" s="6">
        <f>Grandview_Inventory[[#This Row],[land_extract]]*Lookups!$B$3</f>
        <v>58313.55389788279</v>
      </c>
      <c r="BI1761" s="6">
        <f>IF(Grandview_Inventory[[#This Row],[bldg_style]]="",0,Lookups!$B$2)</f>
        <v>155833.95000000001</v>
      </c>
      <c r="BJ1761" s="6">
        <f>_xlfn.IFNA(VLOOKUP(Grandview_Inventory[[#This Row],[quality]],Lookups!$H$2:$J$14,3,FALSE),0)</f>
        <v>9808</v>
      </c>
      <c r="BK1761" s="6">
        <f>_xlfn.IFNA(VLOOKUP(Grandview_Inventory[[#This Row],[condition]],Lookups!$H$17:$J$24,3,FALSE),0)</f>
        <v>-4503</v>
      </c>
      <c r="BL1761" s="6">
        <f>Grandview_Inventory[[#This Row],[Eff_Age]]*Lookups!$B$14</f>
        <v>-11240.8302</v>
      </c>
      <c r="BM1761" s="6">
        <f>Grandview_Inventory[[#This Row],[living_area]]*Lookups!$B$15</f>
        <v>116340.29084500001</v>
      </c>
      <c r="BN1761" s="6">
        <f>Grandview_Inventory[[#This Row],[Fin BSMT]]*Lookups!$B$16</f>
        <v>0</v>
      </c>
      <c r="BO1761" s="6">
        <f>(Grandview_Inventory[[#This Row],[att_gar]]+Grandview_Inventory[[#This Row],[bltin_gar]])*Lookups!$B$17</f>
        <v>19954.659636</v>
      </c>
      <c r="BP1761" s="6">
        <f>Grandview_Inventory[[#This Row],[Plumbing Fixtures]]*Lookups!$B$18</f>
        <v>22114.859800000002</v>
      </c>
      <c r="BQ1761" s="6">
        <f>Grandview_Inventory[[#This Row],[detatched_value]]*Lookups!$B$19</f>
        <v>0</v>
      </c>
      <c r="BR1761" s="6">
        <f>SUM(Grandview_Inventory[[#This Row],[Intercept]:[det_value]])*Grandview_Inventory[[#This Row],[res_pct]]</f>
        <v>308307.93008100003</v>
      </c>
      <c r="BS1761" s="6">
        <f>Grandview_Inventory[[#This Row],[land_value]]</f>
        <v>58313.55389788279</v>
      </c>
      <c r="BT1761" s="4">
        <f>_xlfn.IFNA(VLOOKUP(Grandview_Inventory[[#This Row],[quality]],Lookups!$A$26:$C$33,3,FALSE),1)</f>
        <v>0.94295468617355149</v>
      </c>
      <c r="BU1761" s="4">
        <f>_xlfn.IFNA(VLOOKUP(Grandview_Inventory[[#This Row],[condition]],Lookups!$A$37:$C$44,3,FALSE),1)</f>
        <v>0.96469275950863709</v>
      </c>
      <c r="BV1761" s="4">
        <f>IF(Grandview_Inventory[[#This Row],[bldg_style]]="",1,_xlfn.IFNA(VLOOKUP(Grandview_Inventory[[#This Row],[decade]],Lookups!$F$29:$H$43,3,FALSE),1))</f>
        <v>0.95268620544463312</v>
      </c>
      <c r="BW1761" s="4">
        <f>_xlfn.IFNA(VLOOKUP(Grandview_Inventory[[#This Row],[living_area_range]],Lookups!$F$47:$H$56,3,FALSE),1)</f>
        <v>0.96120133463014379</v>
      </c>
      <c r="BX1761" s="4">
        <f>AVERAGE(Grandview_Inventory[[#This Row],[qual_adj]:[size_adj]])</f>
        <v>0.9553837464392414</v>
      </c>
      <c r="BY1761" s="6">
        <f>IF(Grandview_Inventory[[#This Row],[pre_res]]&lt;0,0,Grandview_Inventory[[#This Row],[pre_res]]*Grandview_Inventory[[#This Row],[overall_adj]])</f>
        <v>294552.38529771351</v>
      </c>
      <c r="BZ1761" s="6">
        <f>(Grandview_Inventory[[#This Row],[sum_land]]-IF(Grandview_Inventory[[#This Row],[no_utilities]]=1,12000,0))/IF(Grandview_Inventory[[#This Row],[unbuildable]]=1,2,1)</f>
        <v>58313.55389788279</v>
      </c>
      <c r="CA1761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761">
        <f>ROUND(Grandview_Inventory[[#This Row],[det_value]]*Lookups!$M$28,-2)</f>
        <v>0</v>
      </c>
      <c r="CC1761">
        <f>IF(ROUND(Grandview_Inventory[[#This Row],[adj_res]]*Lookups!$M$28,-2)&lt;Grandview_Inventory[[#This Row],[min_res]],Grandview_Inventory[[#This Row],[min_res]],ROUND(Grandview_Inventory[[#This Row],[adj_res]]*Lookups!$M$28,-2))</f>
        <v>279800</v>
      </c>
      <c r="CD1761">
        <f>Grandview_Inventory[[#This Row],[final_det]]+Grandview_Inventory[[#This Row],[final_res]]</f>
        <v>279800</v>
      </c>
      <c r="CE1761">
        <f>Grandview_Inventory[[#This Row],[final_land]]+Grandview_Inventory[[#This Row],[final_imp]]+Grandview_Inventory[[#This Row],[crop_value]]</f>
        <v>335200</v>
      </c>
      <c r="CG1761" t="str">
        <f t="shared" si="27"/>
        <v>update valuation set market_land =55400, market_bldg=279800, market_total =335200, market_mdno =401, market_date ='9/10/2023' where link_id = (select link_id from parcel where parcel_year = '2024' and parcel_id = '23092333403');</v>
      </c>
    </row>
    <row r="1762" spans="1:85" x14ac:dyDescent="0.25">
      <c r="A1762">
        <v>23092333404</v>
      </c>
      <c r="B1762">
        <v>0.27</v>
      </c>
      <c r="C1762">
        <v>11920</v>
      </c>
      <c r="D1762" t="s">
        <v>129</v>
      </c>
      <c r="E1762" t="s">
        <v>53</v>
      </c>
      <c r="F1762" t="s">
        <v>53</v>
      </c>
      <c r="G1762">
        <v>4</v>
      </c>
      <c r="H1762" t="s">
        <v>54</v>
      </c>
      <c r="I1762">
        <v>259800</v>
      </c>
      <c r="J1762">
        <v>44400</v>
      </c>
      <c r="K1762">
        <v>0.27</v>
      </c>
      <c r="L176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62">
        <v>0</v>
      </c>
      <c r="N1762">
        <v>0</v>
      </c>
      <c r="O1762">
        <v>0</v>
      </c>
      <c r="P1762">
        <v>13398.7528</v>
      </c>
      <c r="Q1762">
        <v>63903</v>
      </c>
      <c r="R1762">
        <f>(Grandview_Inventory[[#This Row],[ln_acres]]*Grandview_Inventory[[#This Row],[coeff]])+Grandview_Inventory[[#This Row],[const]]</f>
        <v>46359.566512734265</v>
      </c>
      <c r="S1762" t="s">
        <v>74</v>
      </c>
      <c r="T1762">
        <v>1</v>
      </c>
      <c r="U1762" t="s">
        <v>64</v>
      </c>
      <c r="V1762" t="s">
        <v>69</v>
      </c>
      <c r="W1762">
        <v>0</v>
      </c>
      <c r="X1762">
        <v>0</v>
      </c>
      <c r="Y1762">
        <v>47</v>
      </c>
      <c r="Z1762">
        <v>56</v>
      </c>
      <c r="AA1762">
        <v>60</v>
      </c>
      <c r="AB1762">
        <v>2500</v>
      </c>
      <c r="AC1762">
        <v>2314</v>
      </c>
      <c r="AD1762">
        <v>1786</v>
      </c>
      <c r="AE1762">
        <v>0</v>
      </c>
      <c r="AF1762">
        <v>0</v>
      </c>
      <c r="AG1762">
        <v>528</v>
      </c>
      <c r="AH1762">
        <v>0</v>
      </c>
      <c r="AI1762">
        <v>0</v>
      </c>
      <c r="AJ1762">
        <v>0</v>
      </c>
      <c r="AK1762">
        <v>0</v>
      </c>
      <c r="AL1762">
        <v>457</v>
      </c>
      <c r="AM1762">
        <v>0</v>
      </c>
      <c r="AN1762">
        <v>76</v>
      </c>
      <c r="AO1762">
        <v>0</v>
      </c>
      <c r="AP1762">
        <v>11</v>
      </c>
      <c r="AQ1762">
        <v>0</v>
      </c>
      <c r="AR1762">
        <v>1</v>
      </c>
      <c r="AS1762" t="s">
        <v>58</v>
      </c>
      <c r="AT1762">
        <v>1</v>
      </c>
      <c r="AU1762" t="s">
        <v>63</v>
      </c>
      <c r="AV1762" t="s">
        <v>64</v>
      </c>
      <c r="AW1762">
        <v>1</v>
      </c>
      <c r="AX1762">
        <v>4</v>
      </c>
      <c r="AY1762">
        <v>0</v>
      </c>
      <c r="AZ1762">
        <v>0</v>
      </c>
      <c r="BA1762">
        <v>100</v>
      </c>
      <c r="BB1762">
        <v>100</v>
      </c>
      <c r="BC1762">
        <v>100</v>
      </c>
      <c r="BD1762">
        <v>100</v>
      </c>
      <c r="BE1762">
        <v>1</v>
      </c>
      <c r="BF1762">
        <v>15000</v>
      </c>
      <c r="BG1762">
        <v>1000</v>
      </c>
      <c r="BH1762" s="6">
        <f>Grandview_Inventory[[#This Row],[land_extract]]*Lookups!$B$3</f>
        <v>53837.239420408718</v>
      </c>
      <c r="BI1762" s="6">
        <f>IF(Grandview_Inventory[[#This Row],[bldg_style]]="",0,Lookups!$B$2)</f>
        <v>155833.95000000001</v>
      </c>
      <c r="BJ1762" s="6">
        <f>_xlfn.IFNA(VLOOKUP(Grandview_Inventory[[#This Row],[quality]],Lookups!$H$2:$J$14,3,FALSE),0)</f>
        <v>20768</v>
      </c>
      <c r="BK1762" s="6">
        <f>_xlfn.IFNA(VLOOKUP(Grandview_Inventory[[#This Row],[condition]],Lookups!$H$17:$J$24,3,FALSE),0)</f>
        <v>-4503</v>
      </c>
      <c r="BL1762" s="6">
        <f>Grandview_Inventory[[#This Row],[Eff_Age]]*Lookups!$B$14</f>
        <v>-11240.8302</v>
      </c>
      <c r="BM1762" s="6">
        <f>Grandview_Inventory[[#This Row],[living_area]]*Lookups!$B$15</f>
        <v>144349.29384200001</v>
      </c>
      <c r="BN1762" s="6">
        <f>Grandview_Inventory[[#This Row],[Fin BSMT]]*Lookups!$B$16</f>
        <v>-14308.398720000001</v>
      </c>
      <c r="BO1762" s="6">
        <f>(Grandview_Inventory[[#This Row],[att_gar]]+Grandview_Inventory[[#This Row],[bltin_gar]])*Lookups!$B$17</f>
        <v>0</v>
      </c>
      <c r="BP1762" s="6">
        <f>Grandview_Inventory[[#This Row],[Plumbing Fixtures]]*Lookups!$B$18</f>
        <v>22114.859800000002</v>
      </c>
      <c r="BQ1762" s="6">
        <f>Grandview_Inventory[[#This Row],[detatched_value]]*Lookups!$B$19</f>
        <v>0</v>
      </c>
      <c r="BR1762" s="6">
        <f>SUM(Grandview_Inventory[[#This Row],[Intercept]:[det_value]])*Grandview_Inventory[[#This Row],[res_pct]]</f>
        <v>313013.87472200004</v>
      </c>
      <c r="BS1762" s="6">
        <f>Grandview_Inventory[[#This Row],[land_value]]</f>
        <v>53837.239420408718</v>
      </c>
      <c r="BT1762" s="4">
        <f>_xlfn.IFNA(VLOOKUP(Grandview_Inventory[[#This Row],[quality]],Lookups!$A$26:$C$33,3,FALSE),1)</f>
        <v>0.94960540378902636</v>
      </c>
      <c r="BU1762" s="4">
        <f>_xlfn.IFNA(VLOOKUP(Grandview_Inventory[[#This Row],[condition]],Lookups!$A$37:$C$44,3,FALSE),1)</f>
        <v>0.96469275950863709</v>
      </c>
      <c r="BV1762" s="4">
        <f>IF(Grandview_Inventory[[#This Row],[bldg_style]]="",1,_xlfn.IFNA(VLOOKUP(Grandview_Inventory[[#This Row],[decade]],Lookups!$F$29:$H$43,3,FALSE),1))</f>
        <v>0.95268620544463312</v>
      </c>
      <c r="BW1762" s="4">
        <f>_xlfn.IFNA(VLOOKUP(Grandview_Inventory[[#This Row],[living_area_range]],Lookups!$F$47:$H$56,3,FALSE),1)</f>
        <v>0.95799442568048754</v>
      </c>
      <c r="BX1762" s="4">
        <f>AVERAGE(Grandview_Inventory[[#This Row],[qual_adj]:[size_adj]])</f>
        <v>0.95624469860569605</v>
      </c>
      <c r="BY1762" s="6">
        <f>IF(Grandview_Inventory[[#This Row],[pre_res]]&lt;0,0,Grandview_Inventory[[#This Row],[pre_res]]*Grandview_Inventory[[#This Row],[overall_adj]])</f>
        <v>299317.85829294001</v>
      </c>
      <c r="BZ1762" s="6">
        <f>(Grandview_Inventory[[#This Row],[sum_land]]-IF(Grandview_Inventory[[#This Row],[no_utilities]]=1,12000,0))/IF(Grandview_Inventory[[#This Row],[unbuildable]]=1,2,1)</f>
        <v>53837.239420408718</v>
      </c>
      <c r="CA176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62">
        <f>ROUND(Grandview_Inventory[[#This Row],[det_value]]*Lookups!$M$28,-2)</f>
        <v>0</v>
      </c>
      <c r="CC1762">
        <f>IF(ROUND(Grandview_Inventory[[#This Row],[adj_res]]*Lookups!$M$28,-2)&lt;Grandview_Inventory[[#This Row],[min_res]],Grandview_Inventory[[#This Row],[min_res]],ROUND(Grandview_Inventory[[#This Row],[adj_res]]*Lookups!$M$28,-2))</f>
        <v>284400</v>
      </c>
      <c r="CD1762">
        <f>Grandview_Inventory[[#This Row],[final_det]]+Grandview_Inventory[[#This Row],[final_res]]</f>
        <v>284400</v>
      </c>
      <c r="CE1762">
        <f>Grandview_Inventory[[#This Row],[final_land]]+Grandview_Inventory[[#This Row],[final_imp]]+Grandview_Inventory[[#This Row],[crop_value]]</f>
        <v>335500</v>
      </c>
      <c r="CG1762" t="str">
        <f t="shared" si="27"/>
        <v>update valuation set market_land =51100, market_bldg=284400, market_total =335500, market_mdno =401, market_date ='9/10/2023' where link_id = (select link_id from parcel where parcel_year = '2024' and parcel_id = '23092333404');</v>
      </c>
    </row>
    <row r="1763" spans="1:85" x14ac:dyDescent="0.25">
      <c r="A1763">
        <v>23092333405</v>
      </c>
      <c r="B1763">
        <v>0.34</v>
      </c>
      <c r="C1763">
        <v>14607</v>
      </c>
      <c r="D1763" t="s">
        <v>129</v>
      </c>
      <c r="E1763" t="s">
        <v>53</v>
      </c>
      <c r="F1763" t="s">
        <v>53</v>
      </c>
      <c r="G1763">
        <v>4</v>
      </c>
      <c r="H1763" t="s">
        <v>54</v>
      </c>
      <c r="I1763">
        <v>212500</v>
      </c>
      <c r="J1763">
        <v>41200</v>
      </c>
      <c r="K1763">
        <v>0.34</v>
      </c>
      <c r="L1763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763">
        <v>0</v>
      </c>
      <c r="N1763">
        <v>0</v>
      </c>
      <c r="O1763">
        <v>0</v>
      </c>
      <c r="P1763">
        <v>13398.7528</v>
      </c>
      <c r="Q1763">
        <v>63903</v>
      </c>
      <c r="R1763">
        <f>(Grandview_Inventory[[#This Row],[ln_acres]]*Grandview_Inventory[[#This Row],[coeff]])+Grandview_Inventory[[#This Row],[const]]</f>
        <v>49448.296029025805</v>
      </c>
      <c r="S1763" t="s">
        <v>74</v>
      </c>
      <c r="T1763">
        <v>1</v>
      </c>
      <c r="U1763" t="s">
        <v>62</v>
      </c>
      <c r="V1763" t="s">
        <v>69</v>
      </c>
      <c r="W1763">
        <v>0</v>
      </c>
      <c r="X1763">
        <v>0</v>
      </c>
      <c r="Y1763">
        <v>47</v>
      </c>
      <c r="Z1763">
        <v>57</v>
      </c>
      <c r="AA1763">
        <v>60</v>
      </c>
      <c r="AB1763">
        <v>2500</v>
      </c>
      <c r="AC1763">
        <v>2002</v>
      </c>
      <c r="AD1763">
        <v>1257</v>
      </c>
      <c r="AE1763">
        <v>0</v>
      </c>
      <c r="AF1763">
        <v>0</v>
      </c>
      <c r="AG1763">
        <v>745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116</v>
      </c>
      <c r="AO1763">
        <v>0</v>
      </c>
      <c r="AP1763">
        <v>11</v>
      </c>
      <c r="AQ1763">
        <v>0</v>
      </c>
      <c r="AR1763">
        <v>1</v>
      </c>
      <c r="AS1763" t="s">
        <v>58</v>
      </c>
      <c r="AT1763">
        <v>1</v>
      </c>
      <c r="AU1763" t="s">
        <v>63</v>
      </c>
      <c r="AV1763" t="s">
        <v>64</v>
      </c>
      <c r="AW1763">
        <v>1</v>
      </c>
      <c r="AX1763">
        <v>3</v>
      </c>
      <c r="AY1763">
        <v>0</v>
      </c>
      <c r="AZ1763">
        <v>0</v>
      </c>
      <c r="BA1763">
        <v>100</v>
      </c>
      <c r="BB1763">
        <v>100</v>
      </c>
      <c r="BC1763">
        <v>100</v>
      </c>
      <c r="BD1763">
        <v>100</v>
      </c>
      <c r="BE1763">
        <v>1</v>
      </c>
      <c r="BF1763">
        <v>15000</v>
      </c>
      <c r="BG1763">
        <v>1000</v>
      </c>
      <c r="BH1763" s="6">
        <f>Grandview_Inventory[[#This Row],[land_extract]]*Lookups!$B$3</f>
        <v>57424.172668108389</v>
      </c>
      <c r="BI1763" s="6">
        <f>IF(Grandview_Inventory[[#This Row],[bldg_style]]="",0,Lookups!$B$2)</f>
        <v>155833.95000000001</v>
      </c>
      <c r="BJ1763" s="6">
        <f>_xlfn.IFNA(VLOOKUP(Grandview_Inventory[[#This Row],[quality]],Lookups!$H$2:$J$14,3,FALSE),0)</f>
        <v>9808</v>
      </c>
      <c r="BK1763" s="6">
        <f>_xlfn.IFNA(VLOOKUP(Grandview_Inventory[[#This Row],[condition]],Lookups!$H$17:$J$24,3,FALSE),0)</f>
        <v>-4503</v>
      </c>
      <c r="BL1763" s="6">
        <f>Grandview_Inventory[[#This Row],[Eff_Age]]*Lookups!$B$14</f>
        <v>-11240.8302</v>
      </c>
      <c r="BM1763" s="6">
        <f>Grandview_Inventory[[#This Row],[living_area]]*Lookups!$B$15</f>
        <v>124886.46770600001</v>
      </c>
      <c r="BN1763" s="6">
        <f>Grandview_Inventory[[#This Row],[Fin BSMT]]*Lookups!$B$16</f>
        <v>-20188.933800000003</v>
      </c>
      <c r="BO1763" s="6">
        <f>(Grandview_Inventory[[#This Row],[att_gar]]+Grandview_Inventory[[#This Row],[bltin_gar]])*Lookups!$B$17</f>
        <v>0</v>
      </c>
      <c r="BP1763" s="6">
        <f>Grandview_Inventory[[#This Row],[Plumbing Fixtures]]*Lookups!$B$18</f>
        <v>22114.859800000002</v>
      </c>
      <c r="BQ1763" s="6">
        <f>Grandview_Inventory[[#This Row],[detatched_value]]*Lookups!$B$19</f>
        <v>0</v>
      </c>
      <c r="BR1763" s="6">
        <f>SUM(Grandview_Inventory[[#This Row],[Intercept]:[det_value]])*Grandview_Inventory[[#This Row],[res_pct]]</f>
        <v>276710.51350599999</v>
      </c>
      <c r="BS1763" s="6">
        <f>Grandview_Inventory[[#This Row],[land_value]]</f>
        <v>57424.172668108389</v>
      </c>
      <c r="BT1763" s="4">
        <f>_xlfn.IFNA(VLOOKUP(Grandview_Inventory[[#This Row],[quality]],Lookups!$A$26:$C$33,3,FALSE),1)</f>
        <v>0.94295468617355149</v>
      </c>
      <c r="BU1763" s="4">
        <f>_xlfn.IFNA(VLOOKUP(Grandview_Inventory[[#This Row],[condition]],Lookups!$A$37:$C$44,3,FALSE),1)</f>
        <v>0.96469275950863709</v>
      </c>
      <c r="BV1763" s="4">
        <f>IF(Grandview_Inventory[[#This Row],[bldg_style]]="",1,_xlfn.IFNA(VLOOKUP(Grandview_Inventory[[#This Row],[decade]],Lookups!$F$29:$H$43,3,FALSE),1))</f>
        <v>0.95268620544463312</v>
      </c>
      <c r="BW1763" s="4">
        <f>_xlfn.IFNA(VLOOKUP(Grandview_Inventory[[#This Row],[living_area_range]],Lookups!$F$47:$H$56,3,FALSE),1)</f>
        <v>0.95799442568048754</v>
      </c>
      <c r="BX1763" s="4">
        <f>AVERAGE(Grandview_Inventory[[#This Row],[qual_adj]:[size_adj]])</f>
        <v>0.95458201920182728</v>
      </c>
      <c r="BY1763" s="6">
        <f>IF(Grandview_Inventory[[#This Row],[pre_res]]&lt;0,0,Grandview_Inventory[[#This Row],[pre_res]]*Grandview_Inventory[[#This Row],[overall_adj]])</f>
        <v>264142.88071693195</v>
      </c>
      <c r="BZ1763" s="6">
        <f>(Grandview_Inventory[[#This Row],[sum_land]]-IF(Grandview_Inventory[[#This Row],[no_utilities]]=1,12000,0))/IF(Grandview_Inventory[[#This Row],[unbuildable]]=1,2,1)</f>
        <v>57424.172668108389</v>
      </c>
      <c r="CA1763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763">
        <f>ROUND(Grandview_Inventory[[#This Row],[det_value]]*Lookups!$M$28,-2)</f>
        <v>0</v>
      </c>
      <c r="CC1763">
        <f>IF(ROUND(Grandview_Inventory[[#This Row],[adj_res]]*Lookups!$M$28,-2)&lt;Grandview_Inventory[[#This Row],[min_res]],Grandview_Inventory[[#This Row],[min_res]],ROUND(Grandview_Inventory[[#This Row],[adj_res]]*Lookups!$M$28,-2))</f>
        <v>250900</v>
      </c>
      <c r="CD1763">
        <f>Grandview_Inventory[[#This Row],[final_det]]+Grandview_Inventory[[#This Row],[final_res]]</f>
        <v>250900</v>
      </c>
      <c r="CE1763">
        <f>Grandview_Inventory[[#This Row],[final_land]]+Grandview_Inventory[[#This Row],[final_imp]]+Grandview_Inventory[[#This Row],[crop_value]]</f>
        <v>305500</v>
      </c>
      <c r="CG1763" t="str">
        <f t="shared" si="27"/>
        <v>update valuation set market_land =54600, market_bldg=250900, market_total =305500, market_mdno =401, market_date ='9/10/2023' where link_id = (select link_id from parcel where parcel_year = '2024' and parcel_id = '23092333405');</v>
      </c>
    </row>
    <row r="1764" spans="1:85" x14ac:dyDescent="0.25">
      <c r="A1764">
        <v>23092333406</v>
      </c>
      <c r="B1764">
        <v>0.27</v>
      </c>
      <c r="C1764">
        <v>11706</v>
      </c>
      <c r="D1764" t="s">
        <v>129</v>
      </c>
      <c r="E1764" t="s">
        <v>53</v>
      </c>
      <c r="F1764" t="s">
        <v>53</v>
      </c>
      <c r="G1764">
        <v>4</v>
      </c>
      <c r="H1764" t="s">
        <v>54</v>
      </c>
      <c r="I1764">
        <v>228800</v>
      </c>
      <c r="J1764">
        <v>40000</v>
      </c>
      <c r="K1764">
        <v>0.27</v>
      </c>
      <c r="L176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64">
        <v>0</v>
      </c>
      <c r="N1764">
        <v>0</v>
      </c>
      <c r="O1764">
        <v>0</v>
      </c>
      <c r="P1764">
        <v>13398.7528</v>
      </c>
      <c r="Q1764">
        <v>63903</v>
      </c>
      <c r="R1764">
        <f>(Grandview_Inventory[[#This Row],[ln_acres]]*Grandview_Inventory[[#This Row],[coeff]])+Grandview_Inventory[[#This Row],[const]]</f>
        <v>46359.566512734265</v>
      </c>
      <c r="S1764" t="s">
        <v>77</v>
      </c>
      <c r="T1764">
        <v>1</v>
      </c>
      <c r="U1764" t="s">
        <v>65</v>
      </c>
      <c r="V1764" t="s">
        <v>66</v>
      </c>
      <c r="W1764">
        <v>0</v>
      </c>
      <c r="X1764">
        <v>0</v>
      </c>
      <c r="Y1764">
        <v>47</v>
      </c>
      <c r="Z1764">
        <v>57</v>
      </c>
      <c r="AA1764">
        <v>60</v>
      </c>
      <c r="AB1764">
        <v>2500</v>
      </c>
      <c r="AC1764">
        <v>2136</v>
      </c>
      <c r="AD1764">
        <v>1104</v>
      </c>
      <c r="AE1764">
        <v>0</v>
      </c>
      <c r="AF1764">
        <v>0</v>
      </c>
      <c r="AG1764">
        <v>1032</v>
      </c>
      <c r="AH1764">
        <v>0</v>
      </c>
      <c r="AI1764">
        <v>0</v>
      </c>
      <c r="AJ1764">
        <v>0</v>
      </c>
      <c r="AK1764">
        <v>336</v>
      </c>
      <c r="AL1764">
        <v>264</v>
      </c>
      <c r="AM1764">
        <v>891</v>
      </c>
      <c r="AN1764">
        <v>28</v>
      </c>
      <c r="AO1764">
        <v>0</v>
      </c>
      <c r="AP1764">
        <v>8</v>
      </c>
      <c r="AQ1764">
        <v>1</v>
      </c>
      <c r="AR1764">
        <v>0</v>
      </c>
      <c r="AS1764" t="s">
        <v>58</v>
      </c>
      <c r="AT1764">
        <v>1</v>
      </c>
      <c r="AU1764" t="s">
        <v>63</v>
      </c>
      <c r="AV1764" t="s">
        <v>64</v>
      </c>
      <c r="AW1764">
        <v>1</v>
      </c>
      <c r="AX1764">
        <v>3</v>
      </c>
      <c r="AY1764">
        <v>0</v>
      </c>
      <c r="AZ1764">
        <v>0</v>
      </c>
      <c r="BA1764">
        <v>100</v>
      </c>
      <c r="BB1764">
        <v>100</v>
      </c>
      <c r="BC1764">
        <v>100</v>
      </c>
      <c r="BD1764">
        <v>100</v>
      </c>
      <c r="BE1764">
        <v>1</v>
      </c>
      <c r="BF1764">
        <v>15000</v>
      </c>
      <c r="BG1764">
        <v>1000</v>
      </c>
      <c r="BH1764" s="6">
        <f>Grandview_Inventory[[#This Row],[land_extract]]*Lookups!$B$3</f>
        <v>53837.239420408718</v>
      </c>
      <c r="BI1764" s="6">
        <f>IF(Grandview_Inventory[[#This Row],[bldg_style]]="",0,Lookups!$B$2)</f>
        <v>155833.95000000001</v>
      </c>
      <c r="BJ1764" s="6">
        <f>_xlfn.IFNA(VLOOKUP(Grandview_Inventory[[#This Row],[quality]],Lookups!$H$2:$J$14,3,FALSE),0)</f>
        <v>2251</v>
      </c>
      <c r="BK1764" s="6">
        <f>_xlfn.IFNA(VLOOKUP(Grandview_Inventory[[#This Row],[condition]],Lookups!$H$17:$J$24,3,FALSE),0)</f>
        <v>25818</v>
      </c>
      <c r="BL1764" s="6">
        <f>Grandview_Inventory[[#This Row],[Eff_Age]]*Lookups!$B$14</f>
        <v>-11240.8302</v>
      </c>
      <c r="BM1764" s="6">
        <f>Grandview_Inventory[[#This Row],[living_area]]*Lookups!$B$15</f>
        <v>133245.50200800001</v>
      </c>
      <c r="BN1764" s="6">
        <f>Grandview_Inventory[[#This Row],[Fin BSMT]]*Lookups!$B$16</f>
        <v>-27966.415680000002</v>
      </c>
      <c r="BO1764" s="6">
        <f>(Grandview_Inventory[[#This Row],[att_gar]]+Grandview_Inventory[[#This Row],[bltin_gar]])*Lookups!$B$17</f>
        <v>0</v>
      </c>
      <c r="BP1764" s="6">
        <f>Grandview_Inventory[[#This Row],[Plumbing Fixtures]]*Lookups!$B$18</f>
        <v>16083.5344</v>
      </c>
      <c r="BQ1764" s="6">
        <f>Grandview_Inventory[[#This Row],[detatched_value]]*Lookups!$B$19</f>
        <v>0</v>
      </c>
      <c r="BR1764" s="6">
        <f>SUM(Grandview_Inventory[[#This Row],[Intercept]:[det_value]])*Grandview_Inventory[[#This Row],[res_pct]]</f>
        <v>294024.74052800005</v>
      </c>
      <c r="BS1764" s="6">
        <f>Grandview_Inventory[[#This Row],[land_value]]</f>
        <v>53837.239420408718</v>
      </c>
      <c r="BT1764" s="4">
        <f>_xlfn.IFNA(VLOOKUP(Grandview_Inventory[[#This Row],[quality]],Lookups!$A$26:$C$33,3,FALSE),1)</f>
        <v>0.98763855981004833</v>
      </c>
      <c r="BU1764" s="4">
        <f>_xlfn.IFNA(VLOOKUP(Grandview_Inventory[[#This Row],[condition]],Lookups!$A$37:$C$44,3,FALSE),1)</f>
        <v>0.96661476234146892</v>
      </c>
      <c r="BV1764" s="4">
        <f>IF(Grandview_Inventory[[#This Row],[bldg_style]]="",1,_xlfn.IFNA(VLOOKUP(Grandview_Inventory[[#This Row],[decade]],Lookups!$F$29:$H$43,3,FALSE),1))</f>
        <v>0.95268620544463312</v>
      </c>
      <c r="BW1764" s="4">
        <f>_xlfn.IFNA(VLOOKUP(Grandview_Inventory[[#This Row],[living_area_range]],Lookups!$F$47:$H$56,3,FALSE),1)</f>
        <v>0.95799442568048754</v>
      </c>
      <c r="BX1764" s="4">
        <f>AVERAGE(Grandview_Inventory[[#This Row],[qual_adj]:[size_adj]])</f>
        <v>0.96623348831915945</v>
      </c>
      <c r="BY1764" s="6">
        <f>IF(Grandview_Inventory[[#This Row],[pre_res]]&lt;0,0,Grandview_Inventory[[#This Row],[pre_res]]*Grandview_Inventory[[#This Row],[overall_adj]])</f>
        <v>284096.5506925052</v>
      </c>
      <c r="BZ1764" s="6">
        <f>(Grandview_Inventory[[#This Row],[sum_land]]-IF(Grandview_Inventory[[#This Row],[no_utilities]]=1,12000,0))/IF(Grandview_Inventory[[#This Row],[unbuildable]]=1,2,1)</f>
        <v>53837.239420408718</v>
      </c>
      <c r="CA176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64">
        <f>ROUND(Grandview_Inventory[[#This Row],[det_value]]*Lookups!$M$28,-2)</f>
        <v>0</v>
      </c>
      <c r="CC1764">
        <f>IF(ROUND(Grandview_Inventory[[#This Row],[adj_res]]*Lookups!$M$28,-2)&lt;Grandview_Inventory[[#This Row],[min_res]],Grandview_Inventory[[#This Row],[min_res]],ROUND(Grandview_Inventory[[#This Row],[adj_res]]*Lookups!$M$28,-2))</f>
        <v>269900</v>
      </c>
      <c r="CD1764">
        <f>Grandview_Inventory[[#This Row],[final_det]]+Grandview_Inventory[[#This Row],[final_res]]</f>
        <v>269900</v>
      </c>
      <c r="CE1764">
        <f>Grandview_Inventory[[#This Row],[final_land]]+Grandview_Inventory[[#This Row],[final_imp]]+Grandview_Inventory[[#This Row],[crop_value]]</f>
        <v>321000</v>
      </c>
      <c r="CG1764" t="str">
        <f t="shared" si="27"/>
        <v>update valuation set market_land =51100, market_bldg=269900, market_total =321000, market_mdno =401, market_date ='9/10/2023' where link_id = (select link_id from parcel where parcel_year = '2024' and parcel_id = '23092333406');</v>
      </c>
    </row>
    <row r="1765" spans="1:85" x14ac:dyDescent="0.25">
      <c r="A1765">
        <v>23092333407</v>
      </c>
      <c r="B1765">
        <v>0.24</v>
      </c>
      <c r="C1765" t="s">
        <v>129</v>
      </c>
      <c r="D1765" t="s">
        <v>129</v>
      </c>
      <c r="E1765" t="s">
        <v>53</v>
      </c>
      <c r="F1765" t="s">
        <v>53</v>
      </c>
      <c r="G1765">
        <v>4</v>
      </c>
      <c r="H1765" t="s">
        <v>54</v>
      </c>
      <c r="I1765">
        <v>232100</v>
      </c>
      <c r="J1765">
        <v>39800</v>
      </c>
      <c r="K1765">
        <v>0.24</v>
      </c>
      <c r="L176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65">
        <v>0</v>
      </c>
      <c r="N1765">
        <v>0</v>
      </c>
      <c r="O1765">
        <v>0</v>
      </c>
      <c r="P1765">
        <v>13398.7528</v>
      </c>
      <c r="Q1765">
        <v>63903</v>
      </c>
      <c r="R1765">
        <f>(Grandview_Inventory[[#This Row],[ln_acres]]*Grandview_Inventory[[#This Row],[coeff]])+Grandview_Inventory[[#This Row],[const]]</f>
        <v>44781.420733940802</v>
      </c>
      <c r="S1765" t="s">
        <v>61</v>
      </c>
      <c r="T1765">
        <v>1</v>
      </c>
      <c r="U1765" t="s">
        <v>65</v>
      </c>
      <c r="V1765" t="s">
        <v>67</v>
      </c>
      <c r="W1765">
        <v>0</v>
      </c>
      <c r="X1765">
        <v>0</v>
      </c>
      <c r="Y1765">
        <v>47</v>
      </c>
      <c r="Z1765">
        <v>56</v>
      </c>
      <c r="AA1765">
        <v>60</v>
      </c>
      <c r="AB1765">
        <v>2500</v>
      </c>
      <c r="AC1765">
        <v>2205</v>
      </c>
      <c r="AD1765">
        <v>1654</v>
      </c>
      <c r="AE1765">
        <v>0</v>
      </c>
      <c r="AF1765">
        <v>0</v>
      </c>
      <c r="AG1765">
        <v>551</v>
      </c>
      <c r="AH1765">
        <v>551</v>
      </c>
      <c r="AI1765">
        <v>0</v>
      </c>
      <c r="AJ1765">
        <v>0</v>
      </c>
      <c r="AK1765">
        <v>0</v>
      </c>
      <c r="AL1765">
        <v>551</v>
      </c>
      <c r="AM1765">
        <v>374</v>
      </c>
      <c r="AN1765">
        <v>221</v>
      </c>
      <c r="AO1765">
        <v>285</v>
      </c>
      <c r="AP1765">
        <v>11</v>
      </c>
      <c r="AQ1765">
        <v>0</v>
      </c>
      <c r="AR1765">
        <v>1</v>
      </c>
      <c r="AS1765" t="s">
        <v>58</v>
      </c>
      <c r="AT1765">
        <v>1</v>
      </c>
      <c r="AU1765" t="s">
        <v>63</v>
      </c>
      <c r="AV1765" t="s">
        <v>64</v>
      </c>
      <c r="AW1765">
        <v>1</v>
      </c>
      <c r="AX1765">
        <v>3</v>
      </c>
      <c r="AY1765">
        <v>0</v>
      </c>
      <c r="AZ1765">
        <v>0</v>
      </c>
      <c r="BA1765">
        <v>100</v>
      </c>
      <c r="BB1765">
        <v>100</v>
      </c>
      <c r="BC1765">
        <v>100</v>
      </c>
      <c r="BD1765">
        <v>100</v>
      </c>
      <c r="BE1765">
        <v>1</v>
      </c>
      <c r="BF1765">
        <v>15000</v>
      </c>
      <c r="BG1765">
        <v>1000</v>
      </c>
      <c r="BH1765" s="6">
        <f>Grandview_Inventory[[#This Row],[land_extract]]*Lookups!$B$3</f>
        <v>52004.542988489469</v>
      </c>
      <c r="BI1765" s="6">
        <f>IF(Grandview_Inventory[[#This Row],[bldg_style]]="",0,Lookups!$B$2)</f>
        <v>155833.95000000001</v>
      </c>
      <c r="BJ1765" s="6">
        <f>_xlfn.IFNA(VLOOKUP(Grandview_Inventory[[#This Row],[quality]],Lookups!$H$2:$J$14,3,FALSE),0)</f>
        <v>2251</v>
      </c>
      <c r="BK1765" s="6">
        <f>_xlfn.IFNA(VLOOKUP(Grandview_Inventory[[#This Row],[condition]],Lookups!$H$17:$J$24,3,FALSE),0)</f>
        <v>22342</v>
      </c>
      <c r="BL1765" s="6">
        <f>Grandview_Inventory[[#This Row],[Eff_Age]]*Lookups!$B$14</f>
        <v>-11240.8302</v>
      </c>
      <c r="BM1765" s="6">
        <f>Grandview_Inventory[[#This Row],[living_area]]*Lookups!$B$15</f>
        <v>137549.78086500001</v>
      </c>
      <c r="BN1765" s="6">
        <f>Grandview_Inventory[[#This Row],[Fin BSMT]]*Lookups!$B$16</f>
        <v>-14931.681240000002</v>
      </c>
      <c r="BO1765" s="6">
        <f>(Grandview_Inventory[[#This Row],[att_gar]]+Grandview_Inventory[[#This Row],[bltin_gar]])*Lookups!$B$17</f>
        <v>0</v>
      </c>
      <c r="BP1765" s="6">
        <f>Grandview_Inventory[[#This Row],[Plumbing Fixtures]]*Lookups!$B$18</f>
        <v>22114.859800000002</v>
      </c>
      <c r="BQ1765" s="6">
        <f>Grandview_Inventory[[#This Row],[detatched_value]]*Lookups!$B$19</f>
        <v>0</v>
      </c>
      <c r="BR1765" s="6">
        <f>SUM(Grandview_Inventory[[#This Row],[Intercept]:[det_value]])*Grandview_Inventory[[#This Row],[res_pct]]</f>
        <v>313919.07922499999</v>
      </c>
      <c r="BS1765" s="6">
        <f>Grandview_Inventory[[#This Row],[land_value]]</f>
        <v>52004.542988489469</v>
      </c>
      <c r="BT1765" s="4">
        <f>_xlfn.IFNA(VLOOKUP(Grandview_Inventory[[#This Row],[quality]],Lookups!$A$26:$C$33,3,FALSE),1)</f>
        <v>0.98763855981004833</v>
      </c>
      <c r="BU1765" s="4">
        <f>_xlfn.IFNA(VLOOKUP(Grandview_Inventory[[#This Row],[condition]],Lookups!$A$37:$C$44,3,FALSE),1)</f>
        <v>0.97383723671140243</v>
      </c>
      <c r="BV1765" s="4">
        <f>IF(Grandview_Inventory[[#This Row],[bldg_style]]="",1,_xlfn.IFNA(VLOOKUP(Grandview_Inventory[[#This Row],[decade]],Lookups!$F$29:$H$43,3,FALSE),1))</f>
        <v>0.95268620544463312</v>
      </c>
      <c r="BW1765" s="4">
        <f>_xlfn.IFNA(VLOOKUP(Grandview_Inventory[[#This Row],[living_area_range]],Lookups!$F$47:$H$56,3,FALSE),1)</f>
        <v>0.95799442568048754</v>
      </c>
      <c r="BX1765" s="4">
        <f>AVERAGE(Grandview_Inventory[[#This Row],[qual_adj]:[size_adj]])</f>
        <v>0.96803910691164285</v>
      </c>
      <c r="BY1765" s="6">
        <f>IF(Grandview_Inventory[[#This Row],[pre_res]]&lt;0,0,Grandview_Inventory[[#This Row],[pre_res]]*Grandview_Inventory[[#This Row],[overall_adj]])</f>
        <v>303885.94509549427</v>
      </c>
      <c r="BZ1765" s="6">
        <f>(Grandview_Inventory[[#This Row],[sum_land]]-IF(Grandview_Inventory[[#This Row],[no_utilities]]=1,12000,0))/IF(Grandview_Inventory[[#This Row],[unbuildable]]=1,2,1)</f>
        <v>52004.542988489469</v>
      </c>
      <c r="CA176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65">
        <f>ROUND(Grandview_Inventory[[#This Row],[det_value]]*Lookups!$M$28,-2)</f>
        <v>0</v>
      </c>
      <c r="CC1765">
        <f>IF(ROUND(Grandview_Inventory[[#This Row],[adj_res]]*Lookups!$M$28,-2)&lt;Grandview_Inventory[[#This Row],[min_res]],Grandview_Inventory[[#This Row],[min_res]],ROUND(Grandview_Inventory[[#This Row],[adj_res]]*Lookups!$M$28,-2))</f>
        <v>288700</v>
      </c>
      <c r="CD1765">
        <f>Grandview_Inventory[[#This Row],[final_det]]+Grandview_Inventory[[#This Row],[final_res]]</f>
        <v>288700</v>
      </c>
      <c r="CE1765">
        <f>Grandview_Inventory[[#This Row],[final_land]]+Grandview_Inventory[[#This Row],[final_imp]]+Grandview_Inventory[[#This Row],[crop_value]]</f>
        <v>338100</v>
      </c>
      <c r="CG1765" t="str">
        <f t="shared" si="27"/>
        <v>update valuation set market_land =49400, market_bldg=288700, market_total =338100, market_mdno =401, market_date ='9/10/2023' where link_id = (select link_id from parcel where parcel_year = '2024' and parcel_id = '23092333407');</v>
      </c>
    </row>
    <row r="1766" spans="1:85" x14ac:dyDescent="0.25">
      <c r="A1766">
        <v>23092333408</v>
      </c>
      <c r="B1766">
        <v>0.25</v>
      </c>
      <c r="C1766" t="s">
        <v>129</v>
      </c>
      <c r="D1766" t="s">
        <v>129</v>
      </c>
      <c r="E1766" t="s">
        <v>53</v>
      </c>
      <c r="F1766" t="s">
        <v>53</v>
      </c>
      <c r="G1766">
        <v>4</v>
      </c>
      <c r="H1766" t="s">
        <v>54</v>
      </c>
      <c r="I1766">
        <v>240500</v>
      </c>
      <c r="J1766">
        <v>40000</v>
      </c>
      <c r="K1766">
        <v>0.25</v>
      </c>
      <c r="L176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66">
        <v>0</v>
      </c>
      <c r="N1766">
        <v>0</v>
      </c>
      <c r="O1766">
        <v>0</v>
      </c>
      <c r="P1766">
        <v>13398.7528</v>
      </c>
      <c r="Q1766">
        <v>63903</v>
      </c>
      <c r="R1766">
        <f>(Grandview_Inventory[[#This Row],[ln_acres]]*Grandview_Inventory[[#This Row],[coeff]])+Grandview_Inventory[[#This Row],[const]]</f>
        <v>45328.38454732066</v>
      </c>
      <c r="S1766" t="s">
        <v>61</v>
      </c>
      <c r="T1766">
        <v>1</v>
      </c>
      <c r="U1766" t="s">
        <v>65</v>
      </c>
      <c r="V1766" t="s">
        <v>67</v>
      </c>
      <c r="W1766">
        <v>0</v>
      </c>
      <c r="X1766">
        <v>0</v>
      </c>
      <c r="Y1766">
        <v>46</v>
      </c>
      <c r="Z1766">
        <v>55</v>
      </c>
      <c r="AA1766">
        <v>60</v>
      </c>
      <c r="AB1766">
        <v>3000</v>
      </c>
      <c r="AC1766">
        <v>2808</v>
      </c>
      <c r="AD1766">
        <v>1404</v>
      </c>
      <c r="AE1766">
        <v>0</v>
      </c>
      <c r="AF1766">
        <v>0</v>
      </c>
      <c r="AG1766">
        <v>1404</v>
      </c>
      <c r="AH1766">
        <v>0</v>
      </c>
      <c r="AI1766">
        <v>0</v>
      </c>
      <c r="AJ1766">
        <v>0</v>
      </c>
      <c r="AK1766">
        <v>468</v>
      </c>
      <c r="AL1766">
        <v>336</v>
      </c>
      <c r="AM1766">
        <v>0</v>
      </c>
      <c r="AN1766">
        <v>90</v>
      </c>
      <c r="AO1766">
        <v>336</v>
      </c>
      <c r="AP1766">
        <v>8</v>
      </c>
      <c r="AQ1766">
        <v>0</v>
      </c>
      <c r="AR1766">
        <v>0</v>
      </c>
      <c r="AS1766" t="s">
        <v>58</v>
      </c>
      <c r="AT1766">
        <v>1</v>
      </c>
      <c r="AU1766" t="s">
        <v>63</v>
      </c>
      <c r="AV1766" t="s">
        <v>64</v>
      </c>
      <c r="AW1766">
        <v>1</v>
      </c>
      <c r="AX1766">
        <v>4</v>
      </c>
      <c r="AY1766">
        <v>0</v>
      </c>
      <c r="AZ1766">
        <v>3600</v>
      </c>
      <c r="BA1766">
        <v>100</v>
      </c>
      <c r="BB1766">
        <v>100</v>
      </c>
      <c r="BC1766">
        <v>100</v>
      </c>
      <c r="BD1766">
        <v>100</v>
      </c>
      <c r="BE1766">
        <v>1</v>
      </c>
      <c r="BF1766">
        <v>15000</v>
      </c>
      <c r="BG1766">
        <v>1000</v>
      </c>
      <c r="BH1766" s="6">
        <f>Grandview_Inventory[[#This Row],[land_extract]]*Lookups!$B$3</f>
        <v>52639.730588165206</v>
      </c>
      <c r="BI1766" s="6">
        <f>IF(Grandview_Inventory[[#This Row],[bldg_style]]="",0,Lookups!$B$2)</f>
        <v>155833.95000000001</v>
      </c>
      <c r="BJ1766" s="6">
        <f>_xlfn.IFNA(VLOOKUP(Grandview_Inventory[[#This Row],[quality]],Lookups!$H$2:$J$14,3,FALSE),0)</f>
        <v>2251</v>
      </c>
      <c r="BK1766" s="6">
        <f>_xlfn.IFNA(VLOOKUP(Grandview_Inventory[[#This Row],[condition]],Lookups!$H$17:$J$24,3,FALSE),0)</f>
        <v>22342</v>
      </c>
      <c r="BL1766" s="6">
        <f>Grandview_Inventory[[#This Row],[Eff_Age]]*Lookups!$B$14</f>
        <v>-11001.6636</v>
      </c>
      <c r="BM1766" s="6">
        <f>Grandview_Inventory[[#This Row],[living_area]]*Lookups!$B$15</f>
        <v>175165.43522400002</v>
      </c>
      <c r="BN1766" s="6">
        <f>Grandview_Inventory[[#This Row],[Fin BSMT]]*Lookups!$B$16</f>
        <v>-38047.33296</v>
      </c>
      <c r="BO1766" s="6">
        <f>(Grandview_Inventory[[#This Row],[att_gar]]+Grandview_Inventory[[#This Row],[bltin_gar]])*Lookups!$B$17</f>
        <v>0</v>
      </c>
      <c r="BP1766" s="6">
        <f>Grandview_Inventory[[#This Row],[Plumbing Fixtures]]*Lookups!$B$18</f>
        <v>16083.5344</v>
      </c>
      <c r="BQ1766" s="6">
        <f>Grandview_Inventory[[#This Row],[detatched_value]]*Lookups!$B$19</f>
        <v>3048.49836</v>
      </c>
      <c r="BR1766" s="6">
        <f>SUM(Grandview_Inventory[[#This Row],[Intercept]:[det_value]])*Grandview_Inventory[[#This Row],[res_pct]]</f>
        <v>325675.421424</v>
      </c>
      <c r="BS1766" s="6">
        <f>Grandview_Inventory[[#This Row],[land_value]]</f>
        <v>52639.730588165206</v>
      </c>
      <c r="BT1766" s="4">
        <f>_xlfn.IFNA(VLOOKUP(Grandview_Inventory[[#This Row],[quality]],Lookups!$A$26:$C$33,3,FALSE),1)</f>
        <v>0.98763855981004833</v>
      </c>
      <c r="BU1766" s="4">
        <f>_xlfn.IFNA(VLOOKUP(Grandview_Inventory[[#This Row],[condition]],Lookups!$A$37:$C$44,3,FALSE),1)</f>
        <v>0.97383723671140243</v>
      </c>
      <c r="BV1766" s="4">
        <f>IF(Grandview_Inventory[[#This Row],[bldg_style]]="",1,_xlfn.IFNA(VLOOKUP(Grandview_Inventory[[#This Row],[decade]],Lookups!$F$29:$H$43,3,FALSE),1))</f>
        <v>0.95268620544463312</v>
      </c>
      <c r="BW1766" s="4">
        <f>_xlfn.IFNA(VLOOKUP(Grandview_Inventory[[#This Row],[living_area_range]],Lookups!$F$47:$H$56,3,FALSE),1)</f>
        <v>0.94224801443562123</v>
      </c>
      <c r="BX1766" s="4">
        <f>AVERAGE(Grandview_Inventory[[#This Row],[qual_adj]:[size_adj]])</f>
        <v>0.96410250410042631</v>
      </c>
      <c r="BY1766" s="6">
        <f>IF(Grandview_Inventory[[#This Row],[pre_res]]&lt;0,0,Grandview_Inventory[[#This Row],[pre_res]]*Grandview_Inventory[[#This Row],[overall_adj]])</f>
        <v>313984.48931884003</v>
      </c>
      <c r="BZ1766" s="6">
        <f>(Grandview_Inventory[[#This Row],[sum_land]]-IF(Grandview_Inventory[[#This Row],[no_utilities]]=1,12000,0))/IF(Grandview_Inventory[[#This Row],[unbuildable]]=1,2,1)</f>
        <v>52639.730588165206</v>
      </c>
      <c r="CA176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66">
        <f>ROUND(Grandview_Inventory[[#This Row],[det_value]]*Lookups!$M$28,-2)</f>
        <v>2900</v>
      </c>
      <c r="CC1766">
        <f>IF(ROUND(Grandview_Inventory[[#This Row],[adj_res]]*Lookups!$M$28,-2)&lt;Grandview_Inventory[[#This Row],[min_res]],Grandview_Inventory[[#This Row],[min_res]],ROUND(Grandview_Inventory[[#This Row],[adj_res]]*Lookups!$M$28,-2))</f>
        <v>298300</v>
      </c>
      <c r="CD1766">
        <f>Grandview_Inventory[[#This Row],[final_det]]+Grandview_Inventory[[#This Row],[final_res]]</f>
        <v>301200</v>
      </c>
      <c r="CE1766">
        <f>Grandview_Inventory[[#This Row],[final_land]]+Grandview_Inventory[[#This Row],[final_imp]]+Grandview_Inventory[[#This Row],[crop_value]]</f>
        <v>351200</v>
      </c>
      <c r="CG1766" t="str">
        <f t="shared" si="27"/>
        <v>update valuation set market_land =50000, market_bldg=301200, market_total =351200, market_mdno =401, market_date ='9/10/2023' where link_id = (select link_id from parcel where parcel_year = '2024' and parcel_id = '23092333408');</v>
      </c>
    </row>
    <row r="1767" spans="1:85" x14ac:dyDescent="0.25">
      <c r="A1767">
        <v>23092333409</v>
      </c>
      <c r="B1767">
        <v>0.24</v>
      </c>
      <c r="C1767">
        <v>10465</v>
      </c>
      <c r="D1767" t="s">
        <v>129</v>
      </c>
      <c r="E1767" t="s">
        <v>53</v>
      </c>
      <c r="F1767" t="s">
        <v>53</v>
      </c>
      <c r="G1767">
        <v>4</v>
      </c>
      <c r="H1767" t="s">
        <v>54</v>
      </c>
      <c r="I1767">
        <v>217900</v>
      </c>
      <c r="J1767">
        <v>39800</v>
      </c>
      <c r="K1767">
        <v>0.24</v>
      </c>
      <c r="L1767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67">
        <v>0</v>
      </c>
      <c r="N1767">
        <v>0</v>
      </c>
      <c r="O1767">
        <v>0</v>
      </c>
      <c r="P1767">
        <v>13398.7528</v>
      </c>
      <c r="Q1767">
        <v>63903</v>
      </c>
      <c r="R1767">
        <f>(Grandview_Inventory[[#This Row],[ln_acres]]*Grandview_Inventory[[#This Row],[coeff]])+Grandview_Inventory[[#This Row],[const]]</f>
        <v>44781.420733940802</v>
      </c>
      <c r="S1767" t="s">
        <v>61</v>
      </c>
      <c r="T1767">
        <v>1</v>
      </c>
      <c r="U1767" t="s">
        <v>65</v>
      </c>
      <c r="V1767" t="s">
        <v>69</v>
      </c>
      <c r="W1767">
        <v>0</v>
      </c>
      <c r="X1767">
        <v>0</v>
      </c>
      <c r="Y1767">
        <v>46</v>
      </c>
      <c r="Z1767">
        <v>55</v>
      </c>
      <c r="AA1767">
        <v>60</v>
      </c>
      <c r="AB1767">
        <v>2500</v>
      </c>
      <c r="AC1767">
        <v>2464</v>
      </c>
      <c r="AD1767">
        <v>1232</v>
      </c>
      <c r="AE1767">
        <v>0</v>
      </c>
      <c r="AF1767">
        <v>0</v>
      </c>
      <c r="AG1767">
        <v>1232</v>
      </c>
      <c r="AH1767">
        <v>0</v>
      </c>
      <c r="AI1767">
        <v>552</v>
      </c>
      <c r="AJ1767">
        <v>0</v>
      </c>
      <c r="AK1767">
        <v>0</v>
      </c>
      <c r="AL1767">
        <v>300</v>
      </c>
      <c r="AM1767">
        <v>552</v>
      </c>
      <c r="AN1767">
        <v>0</v>
      </c>
      <c r="AO1767">
        <v>0</v>
      </c>
      <c r="AP1767">
        <v>8</v>
      </c>
      <c r="AQ1767">
        <v>1</v>
      </c>
      <c r="AR1767">
        <v>0</v>
      </c>
      <c r="AS1767" t="s">
        <v>58</v>
      </c>
      <c r="AT1767">
        <v>1</v>
      </c>
      <c r="AU1767" t="s">
        <v>63</v>
      </c>
      <c r="AV1767" t="s">
        <v>64</v>
      </c>
      <c r="AW1767">
        <v>1</v>
      </c>
      <c r="AX1767">
        <v>3</v>
      </c>
      <c r="AY1767">
        <v>0</v>
      </c>
      <c r="AZ1767">
        <v>0</v>
      </c>
      <c r="BA1767">
        <v>100</v>
      </c>
      <c r="BB1767">
        <v>100</v>
      </c>
      <c r="BC1767">
        <v>100</v>
      </c>
      <c r="BD1767">
        <v>100</v>
      </c>
      <c r="BE1767">
        <v>1</v>
      </c>
      <c r="BF1767">
        <v>15000</v>
      </c>
      <c r="BG1767">
        <v>1000</v>
      </c>
      <c r="BH1767" s="6">
        <f>Grandview_Inventory[[#This Row],[land_extract]]*Lookups!$B$3</f>
        <v>52004.542988489469</v>
      </c>
      <c r="BI1767" s="6">
        <f>IF(Grandview_Inventory[[#This Row],[bldg_style]]="",0,Lookups!$B$2)</f>
        <v>155833.95000000001</v>
      </c>
      <c r="BJ1767" s="6">
        <f>_xlfn.IFNA(VLOOKUP(Grandview_Inventory[[#This Row],[quality]],Lookups!$H$2:$J$14,3,FALSE),0)</f>
        <v>2251</v>
      </c>
      <c r="BK1767" s="6">
        <f>_xlfn.IFNA(VLOOKUP(Grandview_Inventory[[#This Row],[condition]],Lookups!$H$17:$J$24,3,FALSE),0)</f>
        <v>-4503</v>
      </c>
      <c r="BL1767" s="6">
        <f>Grandview_Inventory[[#This Row],[Eff_Age]]*Lookups!$B$14</f>
        <v>-11001.6636</v>
      </c>
      <c r="BM1767" s="6">
        <f>Grandview_Inventory[[#This Row],[living_area]]*Lookups!$B$15</f>
        <v>153706.42179200001</v>
      </c>
      <c r="BN1767" s="6">
        <f>Grandview_Inventory[[#This Row],[Fin BSMT]]*Lookups!$B$16</f>
        <v>-33386.263680000004</v>
      </c>
      <c r="BO1767" s="6">
        <f>(Grandview_Inventory[[#This Row],[att_gar]]+Grandview_Inventory[[#This Row],[bltin_gar]])*Lookups!$B$17</f>
        <v>48311.281223999998</v>
      </c>
      <c r="BP1767" s="6">
        <f>Grandview_Inventory[[#This Row],[Plumbing Fixtures]]*Lookups!$B$18</f>
        <v>16083.5344</v>
      </c>
      <c r="BQ1767" s="6">
        <f>Grandview_Inventory[[#This Row],[detatched_value]]*Lookups!$B$19</f>
        <v>0</v>
      </c>
      <c r="BR1767" s="6">
        <f>SUM(Grandview_Inventory[[#This Row],[Intercept]:[det_value]])*Grandview_Inventory[[#This Row],[res_pct]]</f>
        <v>327295.26013600006</v>
      </c>
      <c r="BS1767" s="6">
        <f>Grandview_Inventory[[#This Row],[land_value]]</f>
        <v>52004.542988489469</v>
      </c>
      <c r="BT1767" s="4">
        <f>_xlfn.IFNA(VLOOKUP(Grandview_Inventory[[#This Row],[quality]],Lookups!$A$26:$C$33,3,FALSE),1)</f>
        <v>0.98763855981004833</v>
      </c>
      <c r="BU1767" s="4">
        <f>_xlfn.IFNA(VLOOKUP(Grandview_Inventory[[#This Row],[condition]],Lookups!$A$37:$C$44,3,FALSE),1)</f>
        <v>0.96469275950863709</v>
      </c>
      <c r="BV1767" s="4">
        <f>IF(Grandview_Inventory[[#This Row],[bldg_style]]="",1,_xlfn.IFNA(VLOOKUP(Grandview_Inventory[[#This Row],[decade]],Lookups!$F$29:$H$43,3,FALSE),1))</f>
        <v>0.95268620544463312</v>
      </c>
      <c r="BW1767" s="4">
        <f>_xlfn.IFNA(VLOOKUP(Grandview_Inventory[[#This Row],[living_area_range]],Lookups!$F$47:$H$56,3,FALSE),1)</f>
        <v>0.95799442568048754</v>
      </c>
      <c r="BX1767" s="4">
        <f>AVERAGE(Grandview_Inventory[[#This Row],[qual_adj]:[size_adj]])</f>
        <v>0.96575298761095152</v>
      </c>
      <c r="BY1767" s="6">
        <f>IF(Grandview_Inventory[[#This Row],[pre_res]]&lt;0,0,Grandview_Inventory[[#This Row],[pre_res]]*Grandview_Inventory[[#This Row],[overall_adj]])</f>
        <v>316086.37530724559</v>
      </c>
      <c r="BZ1767" s="6">
        <f>(Grandview_Inventory[[#This Row],[sum_land]]-IF(Grandview_Inventory[[#This Row],[no_utilities]]=1,12000,0))/IF(Grandview_Inventory[[#This Row],[unbuildable]]=1,2,1)</f>
        <v>52004.542988489469</v>
      </c>
      <c r="CA1767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67">
        <f>ROUND(Grandview_Inventory[[#This Row],[det_value]]*Lookups!$M$28,-2)</f>
        <v>0</v>
      </c>
      <c r="CC1767">
        <f>IF(ROUND(Grandview_Inventory[[#This Row],[adj_res]]*Lookups!$M$28,-2)&lt;Grandview_Inventory[[#This Row],[min_res]],Grandview_Inventory[[#This Row],[min_res]],ROUND(Grandview_Inventory[[#This Row],[adj_res]]*Lookups!$M$28,-2))</f>
        <v>300300</v>
      </c>
      <c r="CD1767">
        <f>Grandview_Inventory[[#This Row],[final_det]]+Grandview_Inventory[[#This Row],[final_res]]</f>
        <v>300300</v>
      </c>
      <c r="CE1767">
        <f>Grandview_Inventory[[#This Row],[final_land]]+Grandview_Inventory[[#This Row],[final_imp]]+Grandview_Inventory[[#This Row],[crop_value]]</f>
        <v>349700</v>
      </c>
      <c r="CG1767" t="str">
        <f t="shared" si="27"/>
        <v>update valuation set market_land =49400, market_bldg=300300, market_total =349700, market_mdno =401, market_date ='9/10/2023' where link_id = (select link_id from parcel where parcel_year = '2024' and parcel_id = '23092333409');</v>
      </c>
    </row>
    <row r="1768" spans="1:85" x14ac:dyDescent="0.25">
      <c r="A1768">
        <v>23092333410</v>
      </c>
      <c r="B1768">
        <v>0.23</v>
      </c>
      <c r="C1768">
        <v>9896</v>
      </c>
      <c r="D1768" t="s">
        <v>129</v>
      </c>
      <c r="E1768" t="s">
        <v>53</v>
      </c>
      <c r="F1768" t="s">
        <v>53</v>
      </c>
      <c r="G1768">
        <v>4</v>
      </c>
      <c r="H1768" t="s">
        <v>54</v>
      </c>
      <c r="I1768">
        <v>201900</v>
      </c>
      <c r="J1768">
        <v>39500</v>
      </c>
      <c r="K1768">
        <v>0.23</v>
      </c>
      <c r="L176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68">
        <v>0</v>
      </c>
      <c r="N1768">
        <v>0</v>
      </c>
      <c r="O1768">
        <v>0</v>
      </c>
      <c r="P1768">
        <v>13398.7528</v>
      </c>
      <c r="Q1768">
        <v>63903</v>
      </c>
      <c r="R1768">
        <f>(Grandview_Inventory[[#This Row],[ln_acres]]*Grandview_Inventory[[#This Row],[coeff]])+Grandview_Inventory[[#This Row],[const]]</f>
        <v>44211.174981080039</v>
      </c>
      <c r="S1768" t="s">
        <v>61</v>
      </c>
      <c r="T1768">
        <v>1</v>
      </c>
      <c r="U1768" t="s">
        <v>65</v>
      </c>
      <c r="V1768" t="s">
        <v>69</v>
      </c>
      <c r="W1768">
        <v>0</v>
      </c>
      <c r="X1768">
        <v>0</v>
      </c>
      <c r="Y1768">
        <v>45</v>
      </c>
      <c r="Z1768">
        <v>52</v>
      </c>
      <c r="AA1768">
        <v>60</v>
      </c>
      <c r="AB1768">
        <v>2500</v>
      </c>
      <c r="AC1768">
        <v>2392</v>
      </c>
      <c r="AD1768">
        <v>1196</v>
      </c>
      <c r="AE1768">
        <v>0</v>
      </c>
      <c r="AF1768">
        <v>0</v>
      </c>
      <c r="AG1768">
        <v>1196</v>
      </c>
      <c r="AH1768">
        <v>0</v>
      </c>
      <c r="AI1768">
        <v>494</v>
      </c>
      <c r="AJ1768">
        <v>0</v>
      </c>
      <c r="AK1768">
        <v>0</v>
      </c>
      <c r="AL1768">
        <v>288</v>
      </c>
      <c r="AM1768">
        <v>482</v>
      </c>
      <c r="AN1768">
        <v>16</v>
      </c>
      <c r="AO1768">
        <v>0</v>
      </c>
      <c r="AP1768">
        <v>9</v>
      </c>
      <c r="AQ1768">
        <v>0</v>
      </c>
      <c r="AR1768">
        <v>0</v>
      </c>
      <c r="AS1768" t="s">
        <v>58</v>
      </c>
      <c r="AT1768">
        <v>1</v>
      </c>
      <c r="AU1768" t="s">
        <v>63</v>
      </c>
      <c r="AV1768" t="s">
        <v>64</v>
      </c>
      <c r="AW1768">
        <v>1</v>
      </c>
      <c r="AX1768">
        <v>4</v>
      </c>
      <c r="AY1768">
        <v>0</v>
      </c>
      <c r="AZ1768">
        <v>0</v>
      </c>
      <c r="BA1768">
        <v>100</v>
      </c>
      <c r="BB1768">
        <v>100</v>
      </c>
      <c r="BC1768">
        <v>100</v>
      </c>
      <c r="BD1768">
        <v>100</v>
      </c>
      <c r="BE1768">
        <v>1</v>
      </c>
      <c r="BF1768">
        <v>15000</v>
      </c>
      <c r="BG1768">
        <v>1000</v>
      </c>
      <c r="BH1768" s="6">
        <f>Grandview_Inventory[[#This Row],[land_extract]]*Lookups!$B$3</f>
        <v>51342.318135355803</v>
      </c>
      <c r="BI1768" s="6">
        <f>IF(Grandview_Inventory[[#This Row],[bldg_style]]="",0,Lookups!$B$2)</f>
        <v>155833.95000000001</v>
      </c>
      <c r="BJ1768" s="6">
        <f>_xlfn.IFNA(VLOOKUP(Grandview_Inventory[[#This Row],[quality]],Lookups!$H$2:$J$14,3,FALSE),0)</f>
        <v>2251</v>
      </c>
      <c r="BK1768" s="6">
        <f>_xlfn.IFNA(VLOOKUP(Grandview_Inventory[[#This Row],[condition]],Lookups!$H$17:$J$24,3,FALSE),0)</f>
        <v>-4503</v>
      </c>
      <c r="BL1768" s="6">
        <f>Grandview_Inventory[[#This Row],[Eff_Age]]*Lookups!$B$14</f>
        <v>-10762.496999999999</v>
      </c>
      <c r="BM1768" s="6">
        <f>Grandview_Inventory[[#This Row],[living_area]]*Lookups!$B$15</f>
        <v>149215.00037600001</v>
      </c>
      <c r="BN1768" s="6">
        <f>Grandview_Inventory[[#This Row],[Fin BSMT]]*Lookups!$B$16</f>
        <v>-32410.691040000002</v>
      </c>
      <c r="BO1768" s="6">
        <f>(Grandview_Inventory[[#This Row],[att_gar]]+Grandview_Inventory[[#This Row],[bltin_gar]])*Lookups!$B$17</f>
        <v>43235.095878</v>
      </c>
      <c r="BP1768" s="6">
        <f>Grandview_Inventory[[#This Row],[Plumbing Fixtures]]*Lookups!$B$18</f>
        <v>18093.976200000001</v>
      </c>
      <c r="BQ1768" s="6">
        <f>Grandview_Inventory[[#This Row],[detatched_value]]*Lookups!$B$19</f>
        <v>0</v>
      </c>
      <c r="BR1768" s="6">
        <f>SUM(Grandview_Inventory[[#This Row],[Intercept]:[det_value]])*Grandview_Inventory[[#This Row],[res_pct]]</f>
        <v>320952.83441400004</v>
      </c>
      <c r="BS1768" s="6">
        <f>Grandview_Inventory[[#This Row],[land_value]]</f>
        <v>51342.318135355803</v>
      </c>
      <c r="BT1768" s="4">
        <f>_xlfn.IFNA(VLOOKUP(Grandview_Inventory[[#This Row],[quality]],Lookups!$A$26:$C$33,3,FALSE),1)</f>
        <v>0.98763855981004833</v>
      </c>
      <c r="BU1768" s="4">
        <f>_xlfn.IFNA(VLOOKUP(Grandview_Inventory[[#This Row],[condition]],Lookups!$A$37:$C$44,3,FALSE),1)</f>
        <v>0.96469275950863709</v>
      </c>
      <c r="BV1768" s="4">
        <f>IF(Grandview_Inventory[[#This Row],[bldg_style]]="",1,_xlfn.IFNA(VLOOKUP(Grandview_Inventory[[#This Row],[decade]],Lookups!$F$29:$H$43,3,FALSE),1))</f>
        <v>0.95268620544463312</v>
      </c>
      <c r="BW1768" s="4">
        <f>_xlfn.IFNA(VLOOKUP(Grandview_Inventory[[#This Row],[living_area_range]],Lookups!$F$47:$H$56,3,FALSE),1)</f>
        <v>0.95799442568048754</v>
      </c>
      <c r="BX1768" s="4">
        <f>AVERAGE(Grandview_Inventory[[#This Row],[qual_adj]:[size_adj]])</f>
        <v>0.96575298761095152</v>
      </c>
      <c r="BY1768" s="6">
        <f>IF(Grandview_Inventory[[#This Row],[pre_res]]&lt;0,0,Grandview_Inventory[[#This Row],[pre_res]]*Grandview_Inventory[[#This Row],[overall_adj]])</f>
        <v>309961.15871752356</v>
      </c>
      <c r="BZ1768" s="6">
        <f>(Grandview_Inventory[[#This Row],[sum_land]]-IF(Grandview_Inventory[[#This Row],[no_utilities]]=1,12000,0))/IF(Grandview_Inventory[[#This Row],[unbuildable]]=1,2,1)</f>
        <v>51342.318135355803</v>
      </c>
      <c r="CA176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68">
        <f>ROUND(Grandview_Inventory[[#This Row],[det_value]]*Lookups!$M$28,-2)</f>
        <v>0</v>
      </c>
      <c r="CC1768">
        <f>IF(ROUND(Grandview_Inventory[[#This Row],[adj_res]]*Lookups!$M$28,-2)&lt;Grandview_Inventory[[#This Row],[min_res]],Grandview_Inventory[[#This Row],[min_res]],ROUND(Grandview_Inventory[[#This Row],[adj_res]]*Lookups!$M$28,-2))</f>
        <v>294500</v>
      </c>
      <c r="CD1768">
        <f>Grandview_Inventory[[#This Row],[final_det]]+Grandview_Inventory[[#This Row],[final_res]]</f>
        <v>294500</v>
      </c>
      <c r="CE1768">
        <f>Grandview_Inventory[[#This Row],[final_land]]+Grandview_Inventory[[#This Row],[final_imp]]+Grandview_Inventory[[#This Row],[crop_value]]</f>
        <v>343300</v>
      </c>
      <c r="CG1768" t="str">
        <f t="shared" si="27"/>
        <v>update valuation set market_land =48800, market_bldg=294500, market_total =343300, market_mdno =401, market_date ='9/10/2023' where link_id = (select link_id from parcel where parcel_year = '2024' and parcel_id = '23092333410');</v>
      </c>
    </row>
    <row r="1769" spans="1:85" x14ac:dyDescent="0.25">
      <c r="A1769">
        <v>23092333411</v>
      </c>
      <c r="B1769">
        <v>0.23</v>
      </c>
      <c r="C1769">
        <v>9896</v>
      </c>
      <c r="D1769" t="s">
        <v>129</v>
      </c>
      <c r="E1769" t="s">
        <v>53</v>
      </c>
      <c r="F1769" t="s">
        <v>53</v>
      </c>
      <c r="G1769">
        <v>4</v>
      </c>
      <c r="H1769" t="s">
        <v>54</v>
      </c>
      <c r="I1769">
        <v>149600</v>
      </c>
      <c r="J1769">
        <v>39500</v>
      </c>
      <c r="K1769">
        <v>0.23</v>
      </c>
      <c r="L176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69">
        <v>0</v>
      </c>
      <c r="N1769">
        <v>0</v>
      </c>
      <c r="O1769">
        <v>0</v>
      </c>
      <c r="P1769">
        <v>13398.7528</v>
      </c>
      <c r="Q1769">
        <v>63903</v>
      </c>
      <c r="R1769">
        <f>(Grandview_Inventory[[#This Row],[ln_acres]]*Grandview_Inventory[[#This Row],[coeff]])+Grandview_Inventory[[#This Row],[const]]</f>
        <v>44211.174981080039</v>
      </c>
      <c r="S1769" t="s">
        <v>61</v>
      </c>
      <c r="T1769">
        <v>1</v>
      </c>
      <c r="U1769" t="s">
        <v>83</v>
      </c>
      <c r="V1769" t="s">
        <v>69</v>
      </c>
      <c r="W1769">
        <v>0</v>
      </c>
      <c r="X1769">
        <v>0</v>
      </c>
      <c r="Y1769">
        <v>47</v>
      </c>
      <c r="Z1769">
        <v>56</v>
      </c>
      <c r="AA1769">
        <v>60</v>
      </c>
      <c r="AB1769">
        <v>1500</v>
      </c>
      <c r="AC1769">
        <v>1040</v>
      </c>
      <c r="AD1769">
        <v>1040</v>
      </c>
      <c r="AE1769">
        <v>0</v>
      </c>
      <c r="AF1769">
        <v>0</v>
      </c>
      <c r="AG1769">
        <v>0</v>
      </c>
      <c r="AH1769">
        <v>0</v>
      </c>
      <c r="AI1769">
        <v>312</v>
      </c>
      <c r="AJ1769">
        <v>0</v>
      </c>
      <c r="AK1769">
        <v>0</v>
      </c>
      <c r="AL1769">
        <v>98</v>
      </c>
      <c r="AM1769">
        <v>144</v>
      </c>
      <c r="AN1769">
        <v>0</v>
      </c>
      <c r="AO1769">
        <v>0</v>
      </c>
      <c r="AP1769">
        <v>5</v>
      </c>
      <c r="AQ1769">
        <v>0</v>
      </c>
      <c r="AR1769">
        <v>0</v>
      </c>
      <c r="AS1769" t="s">
        <v>58</v>
      </c>
      <c r="AT1769">
        <v>1</v>
      </c>
      <c r="AU1769" t="s">
        <v>75</v>
      </c>
      <c r="AV1769" t="s">
        <v>60</v>
      </c>
      <c r="AW1769">
        <v>0</v>
      </c>
      <c r="AX1769">
        <v>3</v>
      </c>
      <c r="AY1769">
        <v>0</v>
      </c>
      <c r="AZ1769">
        <v>0</v>
      </c>
      <c r="BA1769">
        <v>100</v>
      </c>
      <c r="BB1769">
        <v>100</v>
      </c>
      <c r="BC1769">
        <v>100</v>
      </c>
      <c r="BD1769">
        <v>100</v>
      </c>
      <c r="BE1769">
        <v>1</v>
      </c>
      <c r="BF1769">
        <v>15000</v>
      </c>
      <c r="BG1769">
        <v>1000</v>
      </c>
      <c r="BH1769" s="6">
        <f>Grandview_Inventory[[#This Row],[land_extract]]*Lookups!$B$3</f>
        <v>51342.318135355803</v>
      </c>
      <c r="BI1769" s="6">
        <f>IF(Grandview_Inventory[[#This Row],[bldg_style]]="",0,Lookups!$B$2)</f>
        <v>155833.95000000001</v>
      </c>
      <c r="BJ1769" s="6">
        <f>_xlfn.IFNA(VLOOKUP(Grandview_Inventory[[#This Row],[quality]],Lookups!$H$2:$J$14,3,FALSE),0)</f>
        <v>-28558</v>
      </c>
      <c r="BK1769" s="6">
        <f>_xlfn.IFNA(VLOOKUP(Grandview_Inventory[[#This Row],[condition]],Lookups!$H$17:$J$24,3,FALSE),0)</f>
        <v>-4503</v>
      </c>
      <c r="BL1769" s="6">
        <f>Grandview_Inventory[[#This Row],[Eff_Age]]*Lookups!$B$14</f>
        <v>-11240.8302</v>
      </c>
      <c r="BM1769" s="6">
        <f>Grandview_Inventory[[#This Row],[living_area]]*Lookups!$B$15</f>
        <v>64876.087120000004</v>
      </c>
      <c r="BN1769" s="6">
        <f>Grandview_Inventory[[#This Row],[Fin BSMT]]*Lookups!$B$16</f>
        <v>0</v>
      </c>
      <c r="BO1769" s="6">
        <f>(Grandview_Inventory[[#This Row],[att_gar]]+Grandview_Inventory[[#This Row],[bltin_gar]])*Lookups!$B$17</f>
        <v>27306.376344</v>
      </c>
      <c r="BP1769" s="6">
        <f>Grandview_Inventory[[#This Row],[Plumbing Fixtures]]*Lookups!$B$18</f>
        <v>10052.209000000001</v>
      </c>
      <c r="BQ1769" s="6">
        <f>Grandview_Inventory[[#This Row],[detatched_value]]*Lookups!$B$19</f>
        <v>0</v>
      </c>
      <c r="BR1769" s="6">
        <f>SUM(Grandview_Inventory[[#This Row],[Intercept]:[det_value]])*Grandview_Inventory[[#This Row],[res_pct]]</f>
        <v>213766.79226400002</v>
      </c>
      <c r="BS1769" s="6">
        <f>Grandview_Inventory[[#This Row],[land_value]]</f>
        <v>51342.318135355803</v>
      </c>
      <c r="BT1769" s="4">
        <f>_xlfn.IFNA(VLOOKUP(Grandview_Inventory[[#This Row],[quality]],Lookups!$A$26:$C$33,3,FALSE),1)</f>
        <v>0.96329552998502799</v>
      </c>
      <c r="BU1769" s="4">
        <f>_xlfn.IFNA(VLOOKUP(Grandview_Inventory[[#This Row],[condition]],Lookups!$A$37:$C$44,3,FALSE),1)</f>
        <v>0.96469275950863709</v>
      </c>
      <c r="BV1769" s="4">
        <f>IF(Grandview_Inventory[[#This Row],[bldg_style]]="",1,_xlfn.IFNA(VLOOKUP(Grandview_Inventory[[#This Row],[decade]],Lookups!$F$29:$H$43,3,FALSE),1))</f>
        <v>0.95268620544463312</v>
      </c>
      <c r="BW1769" s="4">
        <f>_xlfn.IFNA(VLOOKUP(Grandview_Inventory[[#This Row],[living_area_range]],Lookups!$F$47:$H$56,3,FALSE),1)</f>
        <v>0.96135087979789358</v>
      </c>
      <c r="BX1769" s="4">
        <f>AVERAGE(Grandview_Inventory[[#This Row],[qual_adj]:[size_adj]])</f>
        <v>0.96050634368404797</v>
      </c>
      <c r="BY1769" s="6">
        <f>IF(Grandview_Inventory[[#This Row],[pre_res]]&lt;0,0,Grandview_Inventory[[#This Row],[pre_res]]*Grandview_Inventory[[#This Row],[overall_adj]])</f>
        <v>205324.3600385621</v>
      </c>
      <c r="BZ1769" s="6">
        <f>(Grandview_Inventory[[#This Row],[sum_land]]-IF(Grandview_Inventory[[#This Row],[no_utilities]]=1,12000,0))/IF(Grandview_Inventory[[#This Row],[unbuildable]]=1,2,1)</f>
        <v>51342.318135355803</v>
      </c>
      <c r="CA176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69">
        <f>ROUND(Grandview_Inventory[[#This Row],[det_value]]*Lookups!$M$28,-2)</f>
        <v>0</v>
      </c>
      <c r="CC1769">
        <f>IF(ROUND(Grandview_Inventory[[#This Row],[adj_res]]*Lookups!$M$28,-2)&lt;Grandview_Inventory[[#This Row],[min_res]],Grandview_Inventory[[#This Row],[min_res]],ROUND(Grandview_Inventory[[#This Row],[adj_res]]*Lookups!$M$28,-2))</f>
        <v>195100</v>
      </c>
      <c r="CD1769">
        <f>Grandview_Inventory[[#This Row],[final_det]]+Grandview_Inventory[[#This Row],[final_res]]</f>
        <v>195100</v>
      </c>
      <c r="CE1769">
        <f>Grandview_Inventory[[#This Row],[final_land]]+Grandview_Inventory[[#This Row],[final_imp]]+Grandview_Inventory[[#This Row],[crop_value]]</f>
        <v>243900</v>
      </c>
      <c r="CG1769" t="str">
        <f t="shared" si="27"/>
        <v>update valuation set market_land =48800, market_bldg=195100, market_total =243900, market_mdno =401, market_date ='9/10/2023' where link_id = (select link_id from parcel where parcel_year = '2024' and parcel_id = '23092333411');</v>
      </c>
    </row>
    <row r="1770" spans="1:85" x14ac:dyDescent="0.25">
      <c r="A1770">
        <v>23092333412</v>
      </c>
      <c r="B1770">
        <v>0.23</v>
      </c>
      <c r="C1770">
        <v>9896</v>
      </c>
      <c r="D1770" t="s">
        <v>129</v>
      </c>
      <c r="E1770" t="s">
        <v>53</v>
      </c>
      <c r="F1770" t="s">
        <v>53</v>
      </c>
      <c r="G1770">
        <v>4</v>
      </c>
      <c r="H1770" t="s">
        <v>54</v>
      </c>
      <c r="I1770">
        <v>234200</v>
      </c>
      <c r="J1770">
        <v>39500</v>
      </c>
      <c r="K1770">
        <v>0.23</v>
      </c>
      <c r="L177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0">
        <v>0</v>
      </c>
      <c r="N1770">
        <v>0</v>
      </c>
      <c r="O1770">
        <v>0</v>
      </c>
      <c r="P1770">
        <v>13398.7528</v>
      </c>
      <c r="Q1770">
        <v>63903</v>
      </c>
      <c r="R1770">
        <f>(Grandview_Inventory[[#This Row],[ln_acres]]*Grandview_Inventory[[#This Row],[coeff]])+Grandview_Inventory[[#This Row],[const]]</f>
        <v>44211.174981080039</v>
      </c>
      <c r="S1770" t="s">
        <v>55</v>
      </c>
      <c r="T1770">
        <v>2</v>
      </c>
      <c r="U1770" t="s">
        <v>65</v>
      </c>
      <c r="V1770" t="s">
        <v>69</v>
      </c>
      <c r="W1770">
        <v>0</v>
      </c>
      <c r="X1770">
        <v>0</v>
      </c>
      <c r="Y1770">
        <v>46</v>
      </c>
      <c r="Z1770">
        <v>54</v>
      </c>
      <c r="AA1770">
        <v>60</v>
      </c>
      <c r="AB1770">
        <v>2500</v>
      </c>
      <c r="AC1770">
        <v>2074</v>
      </c>
      <c r="AD1770">
        <v>1352</v>
      </c>
      <c r="AE1770">
        <v>722</v>
      </c>
      <c r="AF1770">
        <v>0</v>
      </c>
      <c r="AG1770">
        <v>0</v>
      </c>
      <c r="AH1770">
        <v>0</v>
      </c>
      <c r="AI1770">
        <v>0</v>
      </c>
      <c r="AJ1770">
        <v>722</v>
      </c>
      <c r="AK1770">
        <v>0</v>
      </c>
      <c r="AL1770">
        <v>144</v>
      </c>
      <c r="AM1770">
        <v>355</v>
      </c>
      <c r="AN1770">
        <v>0</v>
      </c>
      <c r="AO1770">
        <v>180</v>
      </c>
      <c r="AP1770">
        <v>10</v>
      </c>
      <c r="AQ1770">
        <v>0</v>
      </c>
      <c r="AR1770">
        <v>0</v>
      </c>
      <c r="AS1770" t="s">
        <v>58</v>
      </c>
      <c r="AT1770">
        <v>1</v>
      </c>
      <c r="AU1770" t="s">
        <v>75</v>
      </c>
      <c r="AV1770" t="s">
        <v>60</v>
      </c>
      <c r="AW1770">
        <v>0</v>
      </c>
      <c r="AX1770">
        <v>5</v>
      </c>
      <c r="AY1770">
        <v>0</v>
      </c>
      <c r="AZ1770">
        <v>0</v>
      </c>
      <c r="BA1770">
        <v>100</v>
      </c>
      <c r="BB1770">
        <v>100</v>
      </c>
      <c r="BC1770">
        <v>100</v>
      </c>
      <c r="BD1770">
        <v>100</v>
      </c>
      <c r="BE1770">
        <v>1</v>
      </c>
      <c r="BF1770">
        <v>15000</v>
      </c>
      <c r="BG1770">
        <v>1000</v>
      </c>
      <c r="BH1770" s="6">
        <f>Grandview_Inventory[[#This Row],[land_extract]]*Lookups!$B$3</f>
        <v>51342.318135355803</v>
      </c>
      <c r="BI1770" s="6">
        <f>IF(Grandview_Inventory[[#This Row],[bldg_style]]="",0,Lookups!$B$2)</f>
        <v>155833.95000000001</v>
      </c>
      <c r="BJ1770" s="6">
        <f>_xlfn.IFNA(VLOOKUP(Grandview_Inventory[[#This Row],[quality]],Lookups!$H$2:$J$14,3,FALSE),0)</f>
        <v>2251</v>
      </c>
      <c r="BK1770" s="6">
        <f>_xlfn.IFNA(VLOOKUP(Grandview_Inventory[[#This Row],[condition]],Lookups!$H$17:$J$24,3,FALSE),0)</f>
        <v>-4503</v>
      </c>
      <c r="BL1770" s="6">
        <f>Grandview_Inventory[[#This Row],[Eff_Age]]*Lookups!$B$14</f>
        <v>-11001.6636</v>
      </c>
      <c r="BM1770" s="6">
        <f>Grandview_Inventory[[#This Row],[living_area]]*Lookups!$B$15</f>
        <v>129377.88912200001</v>
      </c>
      <c r="BN1770" s="6">
        <f>Grandview_Inventory[[#This Row],[Fin BSMT]]*Lookups!$B$16</f>
        <v>0</v>
      </c>
      <c r="BO1770" s="6">
        <f>(Grandview_Inventory[[#This Row],[att_gar]]+Grandview_Inventory[[#This Row],[bltin_gar]])*Lookups!$B$17</f>
        <v>63189.755514000004</v>
      </c>
      <c r="BP1770" s="6">
        <f>Grandview_Inventory[[#This Row],[Plumbing Fixtures]]*Lookups!$B$18</f>
        <v>20104.418000000001</v>
      </c>
      <c r="BQ1770" s="6">
        <f>Grandview_Inventory[[#This Row],[detatched_value]]*Lookups!$B$19</f>
        <v>0</v>
      </c>
      <c r="BR1770" s="6">
        <f>SUM(Grandview_Inventory[[#This Row],[Intercept]:[det_value]])*Grandview_Inventory[[#This Row],[res_pct]]</f>
        <v>355252.34903600003</v>
      </c>
      <c r="BS1770" s="6">
        <f>Grandview_Inventory[[#This Row],[land_value]]</f>
        <v>51342.318135355803</v>
      </c>
      <c r="BT1770" s="4">
        <f>_xlfn.IFNA(VLOOKUP(Grandview_Inventory[[#This Row],[quality]],Lookups!$A$26:$C$33,3,FALSE),1)</f>
        <v>0.98763855981004833</v>
      </c>
      <c r="BU1770" s="4">
        <f>_xlfn.IFNA(VLOOKUP(Grandview_Inventory[[#This Row],[condition]],Lookups!$A$37:$C$44,3,FALSE),1)</f>
        <v>0.96469275950863709</v>
      </c>
      <c r="BV1770" s="4">
        <f>IF(Grandview_Inventory[[#This Row],[bldg_style]]="",1,_xlfn.IFNA(VLOOKUP(Grandview_Inventory[[#This Row],[decade]],Lookups!$F$29:$H$43,3,FALSE),1))</f>
        <v>0.95268620544463312</v>
      </c>
      <c r="BW1770" s="4">
        <f>_xlfn.IFNA(VLOOKUP(Grandview_Inventory[[#This Row],[living_area_range]],Lookups!$F$47:$H$56,3,FALSE),1)</f>
        <v>0.95799442568048754</v>
      </c>
      <c r="BX1770" s="4">
        <f>AVERAGE(Grandview_Inventory[[#This Row],[qual_adj]:[size_adj]])</f>
        <v>0.96575298761095152</v>
      </c>
      <c r="BY1770" s="6">
        <f>IF(Grandview_Inventory[[#This Row],[pre_res]]&lt;0,0,Grandview_Inventory[[#This Row],[pre_res]]*Grandview_Inventory[[#This Row],[overall_adj]])</f>
        <v>343086.01743732556</v>
      </c>
      <c r="BZ1770" s="6">
        <f>(Grandview_Inventory[[#This Row],[sum_land]]-IF(Grandview_Inventory[[#This Row],[no_utilities]]=1,12000,0))/IF(Grandview_Inventory[[#This Row],[unbuildable]]=1,2,1)</f>
        <v>51342.318135355803</v>
      </c>
      <c r="CA177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0">
        <f>ROUND(Grandview_Inventory[[#This Row],[det_value]]*Lookups!$M$28,-2)</f>
        <v>0</v>
      </c>
      <c r="CC1770">
        <f>IF(ROUND(Grandview_Inventory[[#This Row],[adj_res]]*Lookups!$M$28,-2)&lt;Grandview_Inventory[[#This Row],[min_res]],Grandview_Inventory[[#This Row],[min_res]],ROUND(Grandview_Inventory[[#This Row],[adj_res]]*Lookups!$M$28,-2))</f>
        <v>325900</v>
      </c>
      <c r="CD1770">
        <f>Grandview_Inventory[[#This Row],[final_det]]+Grandview_Inventory[[#This Row],[final_res]]</f>
        <v>325900</v>
      </c>
      <c r="CE1770">
        <f>Grandview_Inventory[[#This Row],[final_land]]+Grandview_Inventory[[#This Row],[final_imp]]+Grandview_Inventory[[#This Row],[crop_value]]</f>
        <v>374700</v>
      </c>
      <c r="CG1770" t="str">
        <f t="shared" si="27"/>
        <v>update valuation set market_land =48800, market_bldg=325900, market_total =374700, market_mdno =401, market_date ='9/10/2023' where link_id = (select link_id from parcel where parcel_year = '2024' and parcel_id = '23092333412');</v>
      </c>
    </row>
    <row r="1771" spans="1:85" x14ac:dyDescent="0.25">
      <c r="A1771">
        <v>23092333414</v>
      </c>
      <c r="B1771">
        <v>0.23</v>
      </c>
      <c r="C1771">
        <v>9896</v>
      </c>
      <c r="D1771" t="s">
        <v>129</v>
      </c>
      <c r="E1771" t="s">
        <v>53</v>
      </c>
      <c r="F1771" t="s">
        <v>53</v>
      </c>
      <c r="G1771">
        <v>4</v>
      </c>
      <c r="H1771" t="s">
        <v>54</v>
      </c>
      <c r="I1771">
        <v>215100</v>
      </c>
      <c r="J1771">
        <v>39500</v>
      </c>
      <c r="K1771">
        <v>0.23</v>
      </c>
      <c r="L177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1">
        <v>0</v>
      </c>
      <c r="N1771">
        <v>0</v>
      </c>
      <c r="O1771">
        <v>0</v>
      </c>
      <c r="P1771">
        <v>13398.7528</v>
      </c>
      <c r="Q1771">
        <v>63903</v>
      </c>
      <c r="R1771">
        <f>(Grandview_Inventory[[#This Row],[ln_acres]]*Grandview_Inventory[[#This Row],[coeff]])+Grandview_Inventory[[#This Row],[const]]</f>
        <v>44211.174981080039</v>
      </c>
      <c r="S1771" t="s">
        <v>61</v>
      </c>
      <c r="T1771">
        <v>1</v>
      </c>
      <c r="U1771" t="s">
        <v>65</v>
      </c>
      <c r="V1771" t="s">
        <v>69</v>
      </c>
      <c r="W1771">
        <v>0</v>
      </c>
      <c r="X1771">
        <v>0</v>
      </c>
      <c r="Y1771">
        <v>44</v>
      </c>
      <c r="Z1771">
        <v>49</v>
      </c>
      <c r="AA1771">
        <v>50</v>
      </c>
      <c r="AB1771">
        <v>2000</v>
      </c>
      <c r="AC1771">
        <v>1814</v>
      </c>
      <c r="AD1771">
        <v>1814</v>
      </c>
      <c r="AE1771">
        <v>0</v>
      </c>
      <c r="AF1771">
        <v>0</v>
      </c>
      <c r="AG1771">
        <v>0</v>
      </c>
      <c r="AH1771">
        <v>0</v>
      </c>
      <c r="AI1771">
        <v>576</v>
      </c>
      <c r="AJ1771">
        <v>0</v>
      </c>
      <c r="AK1771">
        <v>0</v>
      </c>
      <c r="AL1771">
        <v>0</v>
      </c>
      <c r="AM1771">
        <v>345</v>
      </c>
      <c r="AN1771">
        <v>0</v>
      </c>
      <c r="AO1771">
        <v>0</v>
      </c>
      <c r="AP1771">
        <v>8</v>
      </c>
      <c r="AQ1771">
        <v>1</v>
      </c>
      <c r="AR1771">
        <v>0</v>
      </c>
      <c r="AS1771" t="s">
        <v>58</v>
      </c>
      <c r="AT1771">
        <v>1</v>
      </c>
      <c r="AU1771" t="s">
        <v>63</v>
      </c>
      <c r="AV1771" t="s">
        <v>60</v>
      </c>
      <c r="AW1771">
        <v>0</v>
      </c>
      <c r="AX1771">
        <v>3</v>
      </c>
      <c r="AY1771">
        <v>0</v>
      </c>
      <c r="AZ1771">
        <v>0</v>
      </c>
      <c r="BA1771">
        <v>100</v>
      </c>
      <c r="BB1771">
        <v>100</v>
      </c>
      <c r="BC1771">
        <v>100</v>
      </c>
      <c r="BD1771">
        <v>100</v>
      </c>
      <c r="BE1771">
        <v>1</v>
      </c>
      <c r="BF1771">
        <v>15000</v>
      </c>
      <c r="BG1771">
        <v>1000</v>
      </c>
      <c r="BH1771" s="6">
        <f>Grandview_Inventory[[#This Row],[land_extract]]*Lookups!$B$3</f>
        <v>51342.318135355803</v>
      </c>
      <c r="BI1771" s="6">
        <f>IF(Grandview_Inventory[[#This Row],[bldg_style]]="",0,Lookups!$B$2)</f>
        <v>155833.95000000001</v>
      </c>
      <c r="BJ1771" s="6">
        <f>_xlfn.IFNA(VLOOKUP(Grandview_Inventory[[#This Row],[quality]],Lookups!$H$2:$J$14,3,FALSE),0)</f>
        <v>2251</v>
      </c>
      <c r="BK1771" s="6">
        <f>_xlfn.IFNA(VLOOKUP(Grandview_Inventory[[#This Row],[condition]],Lookups!$H$17:$J$24,3,FALSE),0)</f>
        <v>-4503</v>
      </c>
      <c r="BL1771" s="6">
        <f>Grandview_Inventory[[#This Row],[Eff_Age]]*Lookups!$B$14</f>
        <v>-10523.330399999999</v>
      </c>
      <c r="BM1771" s="6">
        <f>Grandview_Inventory[[#This Row],[living_area]]*Lookups!$B$15</f>
        <v>113158.867342</v>
      </c>
      <c r="BN1771" s="6">
        <f>Grandview_Inventory[[#This Row],[Fin BSMT]]*Lookups!$B$16</f>
        <v>0</v>
      </c>
      <c r="BO1771" s="6">
        <f>(Grandview_Inventory[[#This Row],[att_gar]]+Grandview_Inventory[[#This Row],[bltin_gar]])*Lookups!$B$17</f>
        <v>50411.771712000002</v>
      </c>
      <c r="BP1771" s="6">
        <f>Grandview_Inventory[[#This Row],[Plumbing Fixtures]]*Lookups!$B$18</f>
        <v>16083.5344</v>
      </c>
      <c r="BQ1771" s="6">
        <f>Grandview_Inventory[[#This Row],[detatched_value]]*Lookups!$B$19</f>
        <v>0</v>
      </c>
      <c r="BR1771" s="6">
        <f>SUM(Grandview_Inventory[[#This Row],[Intercept]:[det_value]])*Grandview_Inventory[[#This Row],[res_pct]]</f>
        <v>322712.79305400001</v>
      </c>
      <c r="BS1771" s="6">
        <f>Grandview_Inventory[[#This Row],[land_value]]</f>
        <v>51342.318135355803</v>
      </c>
      <c r="BT1771" s="4">
        <f>_xlfn.IFNA(VLOOKUP(Grandview_Inventory[[#This Row],[quality]],Lookups!$A$26:$C$33,3,FALSE),1)</f>
        <v>0.98763855981004833</v>
      </c>
      <c r="BU1771" s="4">
        <f>_xlfn.IFNA(VLOOKUP(Grandview_Inventory[[#This Row],[condition]],Lookups!$A$37:$C$44,3,FALSE),1)</f>
        <v>0.96469275950863709</v>
      </c>
      <c r="BV1771" s="4">
        <f>IF(Grandview_Inventory[[#This Row],[bldg_style]]="",1,_xlfn.IFNA(VLOOKUP(Grandview_Inventory[[#This Row],[decade]],Lookups!$F$29:$H$43,3,FALSE),1))</f>
        <v>0.9871940091910919</v>
      </c>
      <c r="BW1771" s="4">
        <f>_xlfn.IFNA(VLOOKUP(Grandview_Inventory[[#This Row],[living_area_range]],Lookups!$F$47:$H$56,3,FALSE),1)</f>
        <v>0.96120133463014379</v>
      </c>
      <c r="BX1771" s="4">
        <f>AVERAGE(Grandview_Inventory[[#This Row],[qual_adj]:[size_adj]])</f>
        <v>0.97518166578498033</v>
      </c>
      <c r="BY1771" s="6">
        <f>IF(Grandview_Inventory[[#This Row],[pre_res]]&lt;0,0,Grandview_Inventory[[#This Row],[pre_res]]*Grandview_Inventory[[#This Row],[overall_adj]])</f>
        <v>314703.59910052334</v>
      </c>
      <c r="BZ1771" s="6">
        <f>(Grandview_Inventory[[#This Row],[sum_land]]-IF(Grandview_Inventory[[#This Row],[no_utilities]]=1,12000,0))/IF(Grandview_Inventory[[#This Row],[unbuildable]]=1,2,1)</f>
        <v>51342.318135355803</v>
      </c>
      <c r="CA177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1">
        <f>ROUND(Grandview_Inventory[[#This Row],[det_value]]*Lookups!$M$28,-2)</f>
        <v>0</v>
      </c>
      <c r="CC1771">
        <f>IF(ROUND(Grandview_Inventory[[#This Row],[adj_res]]*Lookups!$M$28,-2)&lt;Grandview_Inventory[[#This Row],[min_res]],Grandview_Inventory[[#This Row],[min_res]],ROUND(Grandview_Inventory[[#This Row],[adj_res]]*Lookups!$M$28,-2))</f>
        <v>299000</v>
      </c>
      <c r="CD1771">
        <f>Grandview_Inventory[[#This Row],[final_det]]+Grandview_Inventory[[#This Row],[final_res]]</f>
        <v>299000</v>
      </c>
      <c r="CE1771">
        <f>Grandview_Inventory[[#This Row],[final_land]]+Grandview_Inventory[[#This Row],[final_imp]]+Grandview_Inventory[[#This Row],[crop_value]]</f>
        <v>347800</v>
      </c>
      <c r="CG1771" t="str">
        <f t="shared" si="27"/>
        <v>update valuation set market_land =48800, market_bldg=299000, market_total =347800, market_mdno =401, market_date ='9/10/2023' where link_id = (select link_id from parcel where parcel_year = '2024' and parcel_id = '23092333414');</v>
      </c>
    </row>
    <row r="1772" spans="1:85" x14ac:dyDescent="0.25">
      <c r="A1772">
        <v>23092333415</v>
      </c>
      <c r="B1772">
        <v>0.23</v>
      </c>
      <c r="C1772">
        <v>9896</v>
      </c>
      <c r="D1772" t="s">
        <v>129</v>
      </c>
      <c r="E1772" t="s">
        <v>53</v>
      </c>
      <c r="F1772" t="s">
        <v>53</v>
      </c>
      <c r="G1772">
        <v>4</v>
      </c>
      <c r="H1772" t="s">
        <v>54</v>
      </c>
      <c r="I1772">
        <v>132300</v>
      </c>
      <c r="J1772">
        <v>39500</v>
      </c>
      <c r="K1772">
        <v>0.23</v>
      </c>
      <c r="L177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2">
        <v>0</v>
      </c>
      <c r="N1772">
        <v>0</v>
      </c>
      <c r="O1772">
        <v>0</v>
      </c>
      <c r="P1772">
        <v>13398.7528</v>
      </c>
      <c r="Q1772">
        <v>63903</v>
      </c>
      <c r="R1772">
        <f>(Grandview_Inventory[[#This Row],[ln_acres]]*Grandview_Inventory[[#This Row],[coeff]])+Grandview_Inventory[[#This Row],[const]]</f>
        <v>44211.174981080039</v>
      </c>
      <c r="S1772" t="s">
        <v>61</v>
      </c>
      <c r="T1772">
        <v>1</v>
      </c>
      <c r="U1772" t="s">
        <v>80</v>
      </c>
      <c r="V1772" t="s">
        <v>69</v>
      </c>
      <c r="W1772">
        <v>0</v>
      </c>
      <c r="X1772">
        <v>0</v>
      </c>
      <c r="Y1772">
        <v>44</v>
      </c>
      <c r="Z1772">
        <v>48</v>
      </c>
      <c r="AA1772">
        <v>50</v>
      </c>
      <c r="AB1772">
        <v>1500</v>
      </c>
      <c r="AC1772">
        <v>1388</v>
      </c>
      <c r="AD1772">
        <v>1388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320</v>
      </c>
      <c r="AN1772">
        <v>64</v>
      </c>
      <c r="AO1772">
        <v>320</v>
      </c>
      <c r="AP1772">
        <v>8</v>
      </c>
      <c r="AQ1772">
        <v>0</v>
      </c>
      <c r="AR1772">
        <v>0</v>
      </c>
      <c r="AS1772" t="s">
        <v>58</v>
      </c>
      <c r="AT1772">
        <v>1</v>
      </c>
      <c r="AU1772" t="s">
        <v>75</v>
      </c>
      <c r="AV1772" t="s">
        <v>60</v>
      </c>
      <c r="AW1772">
        <v>0</v>
      </c>
      <c r="AX1772">
        <v>3</v>
      </c>
      <c r="AY1772">
        <v>0</v>
      </c>
      <c r="AZ1772">
        <v>0</v>
      </c>
      <c r="BA1772">
        <v>100</v>
      </c>
      <c r="BB1772">
        <v>100</v>
      </c>
      <c r="BC1772">
        <v>100</v>
      </c>
      <c r="BD1772">
        <v>100</v>
      </c>
      <c r="BE1772">
        <v>1</v>
      </c>
      <c r="BF1772">
        <v>15000</v>
      </c>
      <c r="BG1772">
        <v>1000</v>
      </c>
      <c r="BH1772" s="6">
        <f>Grandview_Inventory[[#This Row],[land_extract]]*Lookups!$B$3</f>
        <v>51342.318135355803</v>
      </c>
      <c r="BI1772" s="6">
        <f>IF(Grandview_Inventory[[#This Row],[bldg_style]]="",0,Lookups!$B$2)</f>
        <v>155833.95000000001</v>
      </c>
      <c r="BJ1772" s="6">
        <f>_xlfn.IFNA(VLOOKUP(Grandview_Inventory[[#This Row],[quality]],Lookups!$H$2:$J$14,3,FALSE),0)</f>
        <v>-28558</v>
      </c>
      <c r="BK1772" s="6">
        <f>_xlfn.IFNA(VLOOKUP(Grandview_Inventory[[#This Row],[condition]],Lookups!$H$17:$J$24,3,FALSE),0)</f>
        <v>-4503</v>
      </c>
      <c r="BL1772" s="6">
        <f>Grandview_Inventory[[#This Row],[Eff_Age]]*Lookups!$B$14</f>
        <v>-10523.330399999999</v>
      </c>
      <c r="BM1772" s="6">
        <f>Grandview_Inventory[[#This Row],[living_area]]*Lookups!$B$15</f>
        <v>86584.623963999999</v>
      </c>
      <c r="BN1772" s="6">
        <f>Grandview_Inventory[[#This Row],[Fin BSMT]]*Lookups!$B$16</f>
        <v>0</v>
      </c>
      <c r="BO1772" s="6">
        <f>(Grandview_Inventory[[#This Row],[att_gar]]+Grandview_Inventory[[#This Row],[bltin_gar]])*Lookups!$B$17</f>
        <v>0</v>
      </c>
      <c r="BP1772" s="6">
        <f>Grandview_Inventory[[#This Row],[Plumbing Fixtures]]*Lookups!$B$18</f>
        <v>16083.5344</v>
      </c>
      <c r="BQ1772" s="6">
        <f>Grandview_Inventory[[#This Row],[detatched_value]]*Lookups!$B$19</f>
        <v>0</v>
      </c>
      <c r="BR1772" s="6">
        <f>SUM(Grandview_Inventory[[#This Row],[Intercept]:[det_value]])*Grandview_Inventory[[#This Row],[res_pct]]</f>
        <v>214917.77796400001</v>
      </c>
      <c r="BS1772" s="6">
        <f>Grandview_Inventory[[#This Row],[land_value]]</f>
        <v>51342.318135355803</v>
      </c>
      <c r="BT1772" s="4">
        <f>_xlfn.IFNA(VLOOKUP(Grandview_Inventory[[#This Row],[quality]],Lookups!$A$26:$C$33,3,FALSE),1)</f>
        <v>0.9690360070159818</v>
      </c>
      <c r="BU1772" s="4">
        <f>_xlfn.IFNA(VLOOKUP(Grandview_Inventory[[#This Row],[condition]],Lookups!$A$37:$C$44,3,FALSE),1)</f>
        <v>0.96469275950863709</v>
      </c>
      <c r="BV1772" s="4">
        <f>IF(Grandview_Inventory[[#This Row],[bldg_style]]="",1,_xlfn.IFNA(VLOOKUP(Grandview_Inventory[[#This Row],[decade]],Lookups!$F$29:$H$43,3,FALSE),1))</f>
        <v>0.9871940091910919</v>
      </c>
      <c r="BW1772" s="4">
        <f>_xlfn.IFNA(VLOOKUP(Grandview_Inventory[[#This Row],[living_area_range]],Lookups!$F$47:$H$56,3,FALSE),1)</f>
        <v>0.96135087979789358</v>
      </c>
      <c r="BX1772" s="4">
        <f>AVERAGE(Grandview_Inventory[[#This Row],[qual_adj]:[size_adj]])</f>
        <v>0.97056841387840109</v>
      </c>
      <c r="BY1772" s="6">
        <f>IF(Grandview_Inventory[[#This Row],[pre_res]]&lt;0,0,Grandview_Inventory[[#This Row],[pre_res]]*Grandview_Inventory[[#This Row],[overall_adj]])</f>
        <v>208592.40687278987</v>
      </c>
      <c r="BZ1772" s="6">
        <f>(Grandview_Inventory[[#This Row],[sum_land]]-IF(Grandview_Inventory[[#This Row],[no_utilities]]=1,12000,0))/IF(Grandview_Inventory[[#This Row],[unbuildable]]=1,2,1)</f>
        <v>51342.318135355803</v>
      </c>
      <c r="CA177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2">
        <f>ROUND(Grandview_Inventory[[#This Row],[det_value]]*Lookups!$M$28,-2)</f>
        <v>0</v>
      </c>
      <c r="CC1772">
        <f>IF(ROUND(Grandview_Inventory[[#This Row],[adj_res]]*Lookups!$M$28,-2)&lt;Grandview_Inventory[[#This Row],[min_res]],Grandview_Inventory[[#This Row],[min_res]],ROUND(Grandview_Inventory[[#This Row],[adj_res]]*Lookups!$M$28,-2))</f>
        <v>198200</v>
      </c>
      <c r="CD1772">
        <f>Grandview_Inventory[[#This Row],[final_det]]+Grandview_Inventory[[#This Row],[final_res]]</f>
        <v>198200</v>
      </c>
      <c r="CE1772">
        <f>Grandview_Inventory[[#This Row],[final_land]]+Grandview_Inventory[[#This Row],[final_imp]]+Grandview_Inventory[[#This Row],[crop_value]]</f>
        <v>247000</v>
      </c>
      <c r="CG1772" t="str">
        <f t="shared" si="27"/>
        <v>update valuation set market_land =48800, market_bldg=198200, market_total =247000, market_mdno =401, market_date ='9/10/2023' where link_id = (select link_id from parcel where parcel_year = '2024' and parcel_id = '23092333415');</v>
      </c>
    </row>
    <row r="1773" spans="1:85" x14ac:dyDescent="0.25">
      <c r="A1773">
        <v>23092333416</v>
      </c>
      <c r="B1773">
        <v>0.23</v>
      </c>
      <c r="C1773">
        <v>9896</v>
      </c>
      <c r="D1773" t="s">
        <v>129</v>
      </c>
      <c r="E1773" t="s">
        <v>53</v>
      </c>
      <c r="F1773" t="s">
        <v>53</v>
      </c>
      <c r="G1773">
        <v>4</v>
      </c>
      <c r="H1773" t="s">
        <v>54</v>
      </c>
      <c r="I1773">
        <v>143900</v>
      </c>
      <c r="J1773">
        <v>39500</v>
      </c>
      <c r="K1773">
        <v>0.23</v>
      </c>
      <c r="L177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3">
        <v>0</v>
      </c>
      <c r="N1773">
        <v>0</v>
      </c>
      <c r="O1773">
        <v>0</v>
      </c>
      <c r="P1773">
        <v>13398.7528</v>
      </c>
      <c r="Q1773">
        <v>63903</v>
      </c>
      <c r="R1773">
        <f>(Grandview_Inventory[[#This Row],[ln_acres]]*Grandview_Inventory[[#This Row],[coeff]])+Grandview_Inventory[[#This Row],[const]]</f>
        <v>44211.174981080039</v>
      </c>
      <c r="S1773" t="s">
        <v>61</v>
      </c>
      <c r="T1773">
        <v>1</v>
      </c>
      <c r="U1773" t="s">
        <v>70</v>
      </c>
      <c r="V1773" t="s">
        <v>69</v>
      </c>
      <c r="W1773">
        <v>0</v>
      </c>
      <c r="X1773">
        <v>0</v>
      </c>
      <c r="Y1773">
        <v>44</v>
      </c>
      <c r="Z1773">
        <v>48</v>
      </c>
      <c r="AA1773">
        <v>50</v>
      </c>
      <c r="AB1773">
        <v>1500</v>
      </c>
      <c r="AC1773">
        <v>1284</v>
      </c>
      <c r="AD1773">
        <v>1284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200</v>
      </c>
      <c r="AM1773">
        <v>0</v>
      </c>
      <c r="AN1773">
        <v>0</v>
      </c>
      <c r="AO1773">
        <v>0</v>
      </c>
      <c r="AP1773">
        <v>5</v>
      </c>
      <c r="AQ1773">
        <v>0</v>
      </c>
      <c r="AR1773">
        <v>0</v>
      </c>
      <c r="AS1773" t="s">
        <v>58</v>
      </c>
      <c r="AT1773">
        <v>1</v>
      </c>
      <c r="AU1773" t="s">
        <v>75</v>
      </c>
      <c r="AV1773" t="s">
        <v>60</v>
      </c>
      <c r="AW1773">
        <v>0</v>
      </c>
      <c r="AX1773">
        <v>3</v>
      </c>
      <c r="AY1773">
        <v>0</v>
      </c>
      <c r="AZ1773">
        <v>0</v>
      </c>
      <c r="BA1773">
        <v>100</v>
      </c>
      <c r="BB1773">
        <v>100</v>
      </c>
      <c r="BC1773">
        <v>100</v>
      </c>
      <c r="BD1773">
        <v>100</v>
      </c>
      <c r="BE1773">
        <v>1</v>
      </c>
      <c r="BF1773">
        <v>15000</v>
      </c>
      <c r="BG1773">
        <v>1000</v>
      </c>
      <c r="BH1773" s="6">
        <f>Grandview_Inventory[[#This Row],[land_extract]]*Lookups!$B$3</f>
        <v>51342.318135355803</v>
      </c>
      <c r="BI1773" s="6">
        <f>IF(Grandview_Inventory[[#This Row],[bldg_style]]="",0,Lookups!$B$2)</f>
        <v>155833.95000000001</v>
      </c>
      <c r="BJ1773" s="6">
        <f>_xlfn.IFNA(VLOOKUP(Grandview_Inventory[[#This Row],[quality]],Lookups!$H$2:$J$14,3,FALSE),0)</f>
        <v>10733</v>
      </c>
      <c r="BK1773" s="6">
        <f>_xlfn.IFNA(VLOOKUP(Grandview_Inventory[[#This Row],[condition]],Lookups!$H$17:$J$24,3,FALSE),0)</f>
        <v>-4503</v>
      </c>
      <c r="BL1773" s="6">
        <f>Grandview_Inventory[[#This Row],[Eff_Age]]*Lookups!$B$14</f>
        <v>-10523.330399999999</v>
      </c>
      <c r="BM1773" s="6">
        <f>Grandview_Inventory[[#This Row],[living_area]]*Lookups!$B$15</f>
        <v>80097.015251999997</v>
      </c>
      <c r="BN1773" s="6">
        <f>Grandview_Inventory[[#This Row],[Fin BSMT]]*Lookups!$B$16</f>
        <v>0</v>
      </c>
      <c r="BO1773" s="6">
        <f>(Grandview_Inventory[[#This Row],[att_gar]]+Grandview_Inventory[[#This Row],[bltin_gar]])*Lookups!$B$17</f>
        <v>0</v>
      </c>
      <c r="BP1773" s="6">
        <f>Grandview_Inventory[[#This Row],[Plumbing Fixtures]]*Lookups!$B$18</f>
        <v>10052.209000000001</v>
      </c>
      <c r="BQ1773" s="6">
        <f>Grandview_Inventory[[#This Row],[detatched_value]]*Lookups!$B$19</f>
        <v>0</v>
      </c>
      <c r="BR1773" s="6">
        <f>SUM(Grandview_Inventory[[#This Row],[Intercept]:[det_value]])*Grandview_Inventory[[#This Row],[res_pct]]</f>
        <v>241689.84385199999</v>
      </c>
      <c r="BS1773" s="6">
        <f>Grandview_Inventory[[#This Row],[land_value]]</f>
        <v>51342.318135355803</v>
      </c>
      <c r="BT1773" s="4">
        <f>_xlfn.IFNA(VLOOKUP(Grandview_Inventory[[#This Row],[quality]],Lookups!$A$26:$C$33,3,FALSE),1)</f>
        <v>0.98079741117310582</v>
      </c>
      <c r="BU1773" s="4">
        <f>_xlfn.IFNA(VLOOKUP(Grandview_Inventory[[#This Row],[condition]],Lookups!$A$37:$C$44,3,FALSE),1)</f>
        <v>0.96469275950863709</v>
      </c>
      <c r="BV1773" s="4">
        <f>IF(Grandview_Inventory[[#This Row],[bldg_style]]="",1,_xlfn.IFNA(VLOOKUP(Grandview_Inventory[[#This Row],[decade]],Lookups!$F$29:$H$43,3,FALSE),1))</f>
        <v>0.9871940091910919</v>
      </c>
      <c r="BW1773" s="4">
        <f>_xlfn.IFNA(VLOOKUP(Grandview_Inventory[[#This Row],[living_area_range]],Lookups!$F$47:$H$56,3,FALSE),1)</f>
        <v>0.96135087979789358</v>
      </c>
      <c r="BX1773" s="4">
        <f>AVERAGE(Grandview_Inventory[[#This Row],[qual_adj]:[size_adj]])</f>
        <v>0.97350876491768212</v>
      </c>
      <c r="BY1773" s="6">
        <f>IF(Grandview_Inventory[[#This Row],[pre_res]]&lt;0,0,Grandview_Inventory[[#This Row],[pre_res]]*Grandview_Inventory[[#This Row],[overall_adj]])</f>
        <v>235287.18138150795</v>
      </c>
      <c r="BZ1773" s="6">
        <f>(Grandview_Inventory[[#This Row],[sum_land]]-IF(Grandview_Inventory[[#This Row],[no_utilities]]=1,12000,0))/IF(Grandview_Inventory[[#This Row],[unbuildable]]=1,2,1)</f>
        <v>51342.318135355803</v>
      </c>
      <c r="CA177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3">
        <f>ROUND(Grandview_Inventory[[#This Row],[det_value]]*Lookups!$M$28,-2)</f>
        <v>0</v>
      </c>
      <c r="CC1773">
        <f>IF(ROUND(Grandview_Inventory[[#This Row],[adj_res]]*Lookups!$M$28,-2)&lt;Grandview_Inventory[[#This Row],[min_res]],Grandview_Inventory[[#This Row],[min_res]],ROUND(Grandview_Inventory[[#This Row],[adj_res]]*Lookups!$M$28,-2))</f>
        <v>223500</v>
      </c>
      <c r="CD1773">
        <f>Grandview_Inventory[[#This Row],[final_det]]+Grandview_Inventory[[#This Row],[final_res]]</f>
        <v>223500</v>
      </c>
      <c r="CE1773">
        <f>Grandview_Inventory[[#This Row],[final_land]]+Grandview_Inventory[[#This Row],[final_imp]]+Grandview_Inventory[[#This Row],[crop_value]]</f>
        <v>272300</v>
      </c>
      <c r="CG1773" t="str">
        <f t="shared" si="27"/>
        <v>update valuation set market_land =48800, market_bldg=223500, market_total =272300, market_mdno =401, market_date ='9/10/2023' where link_id = (select link_id from parcel where parcel_year = '2024' and parcel_id = '23092333416');</v>
      </c>
    </row>
    <row r="1774" spans="1:85" x14ac:dyDescent="0.25">
      <c r="A1774">
        <v>23092333417</v>
      </c>
      <c r="B1774">
        <v>0.23</v>
      </c>
      <c r="C1774">
        <v>9896</v>
      </c>
      <c r="D1774" t="s">
        <v>129</v>
      </c>
      <c r="E1774" t="s">
        <v>53</v>
      </c>
      <c r="F1774" t="s">
        <v>53</v>
      </c>
      <c r="G1774">
        <v>4</v>
      </c>
      <c r="H1774" t="s">
        <v>54</v>
      </c>
      <c r="I1774">
        <v>151400</v>
      </c>
      <c r="J1774">
        <v>39500</v>
      </c>
      <c r="K1774">
        <v>0.23</v>
      </c>
      <c r="L177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4">
        <v>0</v>
      </c>
      <c r="N1774">
        <v>0</v>
      </c>
      <c r="O1774">
        <v>0</v>
      </c>
      <c r="P1774">
        <v>13398.7528</v>
      </c>
      <c r="Q1774">
        <v>63903</v>
      </c>
      <c r="R1774">
        <f>(Grandview_Inventory[[#This Row],[ln_acres]]*Grandview_Inventory[[#This Row],[coeff]])+Grandview_Inventory[[#This Row],[const]]</f>
        <v>44211.174981080039</v>
      </c>
      <c r="S1774" t="s">
        <v>61</v>
      </c>
      <c r="T1774">
        <v>1</v>
      </c>
      <c r="U1774" t="s">
        <v>70</v>
      </c>
      <c r="V1774" t="s">
        <v>69</v>
      </c>
      <c r="W1774">
        <v>0</v>
      </c>
      <c r="X1774">
        <v>0</v>
      </c>
      <c r="Y1774">
        <v>44</v>
      </c>
      <c r="Z1774">
        <v>48</v>
      </c>
      <c r="AA1774">
        <v>50</v>
      </c>
      <c r="AB1774">
        <v>1500</v>
      </c>
      <c r="AC1774">
        <v>1080</v>
      </c>
      <c r="AD1774">
        <v>1080</v>
      </c>
      <c r="AE1774">
        <v>0</v>
      </c>
      <c r="AF1774">
        <v>0</v>
      </c>
      <c r="AG1774">
        <v>0</v>
      </c>
      <c r="AH1774">
        <v>0</v>
      </c>
      <c r="AI1774">
        <v>288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5</v>
      </c>
      <c r="AQ1774">
        <v>0</v>
      </c>
      <c r="AR1774">
        <v>0</v>
      </c>
      <c r="AS1774" t="s">
        <v>58</v>
      </c>
      <c r="AT1774">
        <v>1</v>
      </c>
      <c r="AU1774" t="s">
        <v>75</v>
      </c>
      <c r="AV1774" t="s">
        <v>60</v>
      </c>
      <c r="AW1774">
        <v>0</v>
      </c>
      <c r="AX1774">
        <v>3</v>
      </c>
      <c r="AY1774">
        <v>0</v>
      </c>
      <c r="AZ1774">
        <v>0</v>
      </c>
      <c r="BA1774">
        <v>100</v>
      </c>
      <c r="BB1774">
        <v>100</v>
      </c>
      <c r="BC1774">
        <v>100</v>
      </c>
      <c r="BD1774">
        <v>100</v>
      </c>
      <c r="BE1774">
        <v>1</v>
      </c>
      <c r="BF1774">
        <v>15000</v>
      </c>
      <c r="BG1774">
        <v>1000</v>
      </c>
      <c r="BH1774" s="6">
        <f>Grandview_Inventory[[#This Row],[land_extract]]*Lookups!$B$3</f>
        <v>51342.318135355803</v>
      </c>
      <c r="BI1774" s="6">
        <f>IF(Grandview_Inventory[[#This Row],[bldg_style]]="",0,Lookups!$B$2)</f>
        <v>155833.95000000001</v>
      </c>
      <c r="BJ1774" s="6">
        <f>_xlfn.IFNA(VLOOKUP(Grandview_Inventory[[#This Row],[quality]],Lookups!$H$2:$J$14,3,FALSE),0)</f>
        <v>10733</v>
      </c>
      <c r="BK1774" s="6">
        <f>_xlfn.IFNA(VLOOKUP(Grandview_Inventory[[#This Row],[condition]],Lookups!$H$17:$J$24,3,FALSE),0)</f>
        <v>-4503</v>
      </c>
      <c r="BL1774" s="6">
        <f>Grandview_Inventory[[#This Row],[Eff_Age]]*Lookups!$B$14</f>
        <v>-10523.330399999999</v>
      </c>
      <c r="BM1774" s="6">
        <f>Grandview_Inventory[[#This Row],[living_area]]*Lookups!$B$15</f>
        <v>67371.321240000005</v>
      </c>
      <c r="BN1774" s="6">
        <f>Grandview_Inventory[[#This Row],[Fin BSMT]]*Lookups!$B$16</f>
        <v>0</v>
      </c>
      <c r="BO1774" s="6">
        <f>(Grandview_Inventory[[#This Row],[att_gar]]+Grandview_Inventory[[#This Row],[bltin_gar]])*Lookups!$B$17</f>
        <v>25205.885856000001</v>
      </c>
      <c r="BP1774" s="6">
        <f>Grandview_Inventory[[#This Row],[Plumbing Fixtures]]*Lookups!$B$18</f>
        <v>10052.209000000001</v>
      </c>
      <c r="BQ1774" s="6">
        <f>Grandview_Inventory[[#This Row],[detatched_value]]*Lookups!$B$19</f>
        <v>0</v>
      </c>
      <c r="BR1774" s="6">
        <f>SUM(Grandview_Inventory[[#This Row],[Intercept]:[det_value]])*Grandview_Inventory[[#This Row],[res_pct]]</f>
        <v>254170.03569600001</v>
      </c>
      <c r="BS1774" s="6">
        <f>Grandview_Inventory[[#This Row],[land_value]]</f>
        <v>51342.318135355803</v>
      </c>
      <c r="BT1774" s="4">
        <f>_xlfn.IFNA(VLOOKUP(Grandview_Inventory[[#This Row],[quality]],Lookups!$A$26:$C$33,3,FALSE),1)</f>
        <v>0.98079741117310582</v>
      </c>
      <c r="BU1774" s="4">
        <f>_xlfn.IFNA(VLOOKUP(Grandview_Inventory[[#This Row],[condition]],Lookups!$A$37:$C$44,3,FALSE),1)</f>
        <v>0.96469275950863709</v>
      </c>
      <c r="BV1774" s="4">
        <f>IF(Grandview_Inventory[[#This Row],[bldg_style]]="",1,_xlfn.IFNA(VLOOKUP(Grandview_Inventory[[#This Row],[decade]],Lookups!$F$29:$H$43,3,FALSE),1))</f>
        <v>0.9871940091910919</v>
      </c>
      <c r="BW1774" s="4">
        <f>_xlfn.IFNA(VLOOKUP(Grandview_Inventory[[#This Row],[living_area_range]],Lookups!$F$47:$H$56,3,FALSE),1)</f>
        <v>0.96135087979789358</v>
      </c>
      <c r="BX1774" s="4">
        <f>AVERAGE(Grandview_Inventory[[#This Row],[qual_adj]:[size_adj]])</f>
        <v>0.97350876491768212</v>
      </c>
      <c r="BY1774" s="6">
        <f>IF(Grandview_Inventory[[#This Row],[pre_res]]&lt;0,0,Grandview_Inventory[[#This Row],[pre_res]]*Grandview_Inventory[[#This Row],[overall_adj]])</f>
        <v>247436.75752949616</v>
      </c>
      <c r="BZ1774" s="6">
        <f>(Grandview_Inventory[[#This Row],[sum_land]]-IF(Grandview_Inventory[[#This Row],[no_utilities]]=1,12000,0))/IF(Grandview_Inventory[[#This Row],[unbuildable]]=1,2,1)</f>
        <v>51342.318135355803</v>
      </c>
      <c r="CA177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4">
        <f>ROUND(Grandview_Inventory[[#This Row],[det_value]]*Lookups!$M$28,-2)</f>
        <v>0</v>
      </c>
      <c r="CC1774">
        <f>IF(ROUND(Grandview_Inventory[[#This Row],[adj_res]]*Lookups!$M$28,-2)&lt;Grandview_Inventory[[#This Row],[min_res]],Grandview_Inventory[[#This Row],[min_res]],ROUND(Grandview_Inventory[[#This Row],[adj_res]]*Lookups!$M$28,-2))</f>
        <v>235100</v>
      </c>
      <c r="CD1774">
        <f>Grandview_Inventory[[#This Row],[final_det]]+Grandview_Inventory[[#This Row],[final_res]]</f>
        <v>235100</v>
      </c>
      <c r="CE1774">
        <f>Grandview_Inventory[[#This Row],[final_land]]+Grandview_Inventory[[#This Row],[final_imp]]+Grandview_Inventory[[#This Row],[crop_value]]</f>
        <v>283900</v>
      </c>
      <c r="CG1774" t="str">
        <f t="shared" si="27"/>
        <v>update valuation set market_land =48800, market_bldg=235100, market_total =283900, market_mdno =401, market_date ='9/10/2023' where link_id = (select link_id from parcel where parcel_year = '2024' and parcel_id = '23092333417');</v>
      </c>
    </row>
    <row r="1775" spans="1:85" x14ac:dyDescent="0.25">
      <c r="A1775">
        <v>23092333418</v>
      </c>
      <c r="B1775">
        <v>0.23</v>
      </c>
      <c r="C1775">
        <v>10219</v>
      </c>
      <c r="D1775" t="s">
        <v>129</v>
      </c>
      <c r="E1775" t="s">
        <v>53</v>
      </c>
      <c r="F1775" t="s">
        <v>53</v>
      </c>
      <c r="G1775">
        <v>4</v>
      </c>
      <c r="H1775" t="s">
        <v>54</v>
      </c>
      <c r="I1775">
        <v>193700</v>
      </c>
      <c r="J1775">
        <v>39700</v>
      </c>
      <c r="K1775">
        <v>0.23</v>
      </c>
      <c r="L177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5">
        <v>0</v>
      </c>
      <c r="N1775">
        <v>0</v>
      </c>
      <c r="O1775">
        <v>0</v>
      </c>
      <c r="P1775">
        <v>13398.7528</v>
      </c>
      <c r="Q1775">
        <v>63903</v>
      </c>
      <c r="R1775">
        <f>(Grandview_Inventory[[#This Row],[ln_acres]]*Grandview_Inventory[[#This Row],[coeff]])+Grandview_Inventory[[#This Row],[const]]</f>
        <v>44211.174981080039</v>
      </c>
      <c r="S1775" t="s">
        <v>61</v>
      </c>
      <c r="T1775">
        <v>1</v>
      </c>
      <c r="U1775" t="s">
        <v>70</v>
      </c>
      <c r="V1775" t="s">
        <v>67</v>
      </c>
      <c r="W1775">
        <v>0</v>
      </c>
      <c r="X1775">
        <v>0</v>
      </c>
      <c r="Y1775">
        <v>44</v>
      </c>
      <c r="Z1775">
        <v>48</v>
      </c>
      <c r="AA1775">
        <v>50</v>
      </c>
      <c r="AB1775">
        <v>1500</v>
      </c>
      <c r="AC1775">
        <v>1080</v>
      </c>
      <c r="AD1775">
        <v>1080</v>
      </c>
      <c r="AE1775">
        <v>0</v>
      </c>
      <c r="AF1775">
        <v>0</v>
      </c>
      <c r="AG1775">
        <v>0</v>
      </c>
      <c r="AH1775">
        <v>0</v>
      </c>
      <c r="AI1775">
        <v>288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5</v>
      </c>
      <c r="AQ1775">
        <v>1</v>
      </c>
      <c r="AR1775">
        <v>0</v>
      </c>
      <c r="AS1775" t="s">
        <v>58</v>
      </c>
      <c r="AT1775">
        <v>1</v>
      </c>
      <c r="AU1775" t="s">
        <v>63</v>
      </c>
      <c r="AV1775" t="s">
        <v>64</v>
      </c>
      <c r="AW1775">
        <v>0</v>
      </c>
      <c r="AX1775">
        <v>3</v>
      </c>
      <c r="AY1775">
        <v>0</v>
      </c>
      <c r="AZ1775">
        <v>0</v>
      </c>
      <c r="BA1775">
        <v>100</v>
      </c>
      <c r="BB1775">
        <v>100</v>
      </c>
      <c r="BC1775">
        <v>100</v>
      </c>
      <c r="BD1775">
        <v>100</v>
      </c>
      <c r="BE1775">
        <v>1</v>
      </c>
      <c r="BF1775">
        <v>15000</v>
      </c>
      <c r="BG1775">
        <v>1000</v>
      </c>
      <c r="BH1775" s="6">
        <f>Grandview_Inventory[[#This Row],[land_extract]]*Lookups!$B$3</f>
        <v>51342.318135355803</v>
      </c>
      <c r="BI1775" s="6">
        <f>IF(Grandview_Inventory[[#This Row],[bldg_style]]="",0,Lookups!$B$2)</f>
        <v>155833.95000000001</v>
      </c>
      <c r="BJ1775" s="6">
        <f>_xlfn.IFNA(VLOOKUP(Grandview_Inventory[[#This Row],[quality]],Lookups!$H$2:$J$14,3,FALSE),0)</f>
        <v>10733</v>
      </c>
      <c r="BK1775" s="6">
        <f>_xlfn.IFNA(VLOOKUP(Grandview_Inventory[[#This Row],[condition]],Lookups!$H$17:$J$24,3,FALSE),0)</f>
        <v>22342</v>
      </c>
      <c r="BL1775" s="6">
        <f>Grandview_Inventory[[#This Row],[Eff_Age]]*Lookups!$B$14</f>
        <v>-10523.330399999999</v>
      </c>
      <c r="BM1775" s="6">
        <f>Grandview_Inventory[[#This Row],[living_area]]*Lookups!$B$15</f>
        <v>67371.321240000005</v>
      </c>
      <c r="BN1775" s="6">
        <f>Grandview_Inventory[[#This Row],[Fin BSMT]]*Lookups!$B$16</f>
        <v>0</v>
      </c>
      <c r="BO1775" s="6">
        <f>(Grandview_Inventory[[#This Row],[att_gar]]+Grandview_Inventory[[#This Row],[bltin_gar]])*Lookups!$B$17</f>
        <v>25205.885856000001</v>
      </c>
      <c r="BP1775" s="6">
        <f>Grandview_Inventory[[#This Row],[Plumbing Fixtures]]*Lookups!$B$18</f>
        <v>10052.209000000001</v>
      </c>
      <c r="BQ1775" s="6">
        <f>Grandview_Inventory[[#This Row],[detatched_value]]*Lookups!$B$19</f>
        <v>0</v>
      </c>
      <c r="BR1775" s="6">
        <f>SUM(Grandview_Inventory[[#This Row],[Intercept]:[det_value]])*Grandview_Inventory[[#This Row],[res_pct]]</f>
        <v>281015.03569599998</v>
      </c>
      <c r="BS1775" s="6">
        <f>Grandview_Inventory[[#This Row],[land_value]]</f>
        <v>51342.318135355803</v>
      </c>
      <c r="BT1775" s="4">
        <f>_xlfn.IFNA(VLOOKUP(Grandview_Inventory[[#This Row],[quality]],Lookups!$A$26:$C$33,3,FALSE),1)</f>
        <v>0.98079741117310582</v>
      </c>
      <c r="BU1775" s="4">
        <f>_xlfn.IFNA(VLOOKUP(Grandview_Inventory[[#This Row],[condition]],Lookups!$A$37:$C$44,3,FALSE),1)</f>
        <v>0.97383723671140243</v>
      </c>
      <c r="BV1775" s="4">
        <f>IF(Grandview_Inventory[[#This Row],[bldg_style]]="",1,_xlfn.IFNA(VLOOKUP(Grandview_Inventory[[#This Row],[decade]],Lookups!$F$29:$H$43,3,FALSE),1))</f>
        <v>0.9871940091910919</v>
      </c>
      <c r="BW1775" s="4">
        <f>_xlfn.IFNA(VLOOKUP(Grandview_Inventory[[#This Row],[living_area_range]],Lookups!$F$47:$H$56,3,FALSE),1)</f>
        <v>0.96135087979789358</v>
      </c>
      <c r="BX1775" s="4">
        <f>AVERAGE(Grandview_Inventory[[#This Row],[qual_adj]:[size_adj]])</f>
        <v>0.97579488421837346</v>
      </c>
      <c r="BY1775" s="6">
        <f>IF(Grandview_Inventory[[#This Row],[pre_res]]&lt;0,0,Grandview_Inventory[[#This Row],[pre_res]]*Grandview_Inventory[[#This Row],[overall_adj]])</f>
        <v>274213.03422060038</v>
      </c>
      <c r="BZ1775" s="6">
        <f>(Grandview_Inventory[[#This Row],[sum_land]]-IF(Grandview_Inventory[[#This Row],[no_utilities]]=1,12000,0))/IF(Grandview_Inventory[[#This Row],[unbuildable]]=1,2,1)</f>
        <v>51342.318135355803</v>
      </c>
      <c r="CA177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5">
        <f>ROUND(Grandview_Inventory[[#This Row],[det_value]]*Lookups!$M$28,-2)</f>
        <v>0</v>
      </c>
      <c r="CC1775">
        <f>IF(ROUND(Grandview_Inventory[[#This Row],[adj_res]]*Lookups!$M$28,-2)&lt;Grandview_Inventory[[#This Row],[min_res]],Grandview_Inventory[[#This Row],[min_res]],ROUND(Grandview_Inventory[[#This Row],[adj_res]]*Lookups!$M$28,-2))</f>
        <v>260500</v>
      </c>
      <c r="CD1775">
        <f>Grandview_Inventory[[#This Row],[final_det]]+Grandview_Inventory[[#This Row],[final_res]]</f>
        <v>260500</v>
      </c>
      <c r="CE1775">
        <f>Grandview_Inventory[[#This Row],[final_land]]+Grandview_Inventory[[#This Row],[final_imp]]+Grandview_Inventory[[#This Row],[crop_value]]</f>
        <v>309300</v>
      </c>
      <c r="CG1775" t="str">
        <f t="shared" si="27"/>
        <v>update valuation set market_land =48800, market_bldg=260500, market_total =309300, market_mdno =401, market_date ='9/10/2023' where link_id = (select link_id from parcel where parcel_year = '2024' and parcel_id = '23092333418');</v>
      </c>
    </row>
    <row r="1776" spans="1:85" x14ac:dyDescent="0.25">
      <c r="A1776">
        <v>23092333419</v>
      </c>
      <c r="B1776">
        <v>0.25</v>
      </c>
      <c r="C1776">
        <v>11064</v>
      </c>
      <c r="D1776" t="s">
        <v>129</v>
      </c>
      <c r="E1776" t="s">
        <v>53</v>
      </c>
      <c r="F1776" t="s">
        <v>53</v>
      </c>
      <c r="G1776">
        <v>4</v>
      </c>
      <c r="H1776" t="s">
        <v>54</v>
      </c>
      <c r="I1776">
        <v>155500</v>
      </c>
      <c r="J1776">
        <v>40200</v>
      </c>
      <c r="K1776">
        <v>0.25</v>
      </c>
      <c r="L1776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76">
        <v>0</v>
      </c>
      <c r="N1776">
        <v>0</v>
      </c>
      <c r="O1776">
        <v>0</v>
      </c>
      <c r="P1776">
        <v>13398.7528</v>
      </c>
      <c r="Q1776">
        <v>63903</v>
      </c>
      <c r="R1776">
        <f>(Grandview_Inventory[[#This Row],[ln_acres]]*Grandview_Inventory[[#This Row],[coeff]])+Grandview_Inventory[[#This Row],[const]]</f>
        <v>45328.38454732066</v>
      </c>
      <c r="S1776" t="s">
        <v>61</v>
      </c>
      <c r="T1776">
        <v>1</v>
      </c>
      <c r="U1776" t="s">
        <v>70</v>
      </c>
      <c r="V1776" t="s">
        <v>69</v>
      </c>
      <c r="W1776">
        <v>0</v>
      </c>
      <c r="X1776">
        <v>0</v>
      </c>
      <c r="Y1776">
        <v>44</v>
      </c>
      <c r="Z1776">
        <v>48</v>
      </c>
      <c r="AA1776">
        <v>50</v>
      </c>
      <c r="AB1776">
        <v>1500</v>
      </c>
      <c r="AC1776">
        <v>1344</v>
      </c>
      <c r="AD1776">
        <v>1344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5</v>
      </c>
      <c r="AQ1776">
        <v>0</v>
      </c>
      <c r="AR1776">
        <v>0</v>
      </c>
      <c r="AS1776" t="s">
        <v>58</v>
      </c>
      <c r="AT1776">
        <v>1</v>
      </c>
      <c r="AU1776" t="s">
        <v>63</v>
      </c>
      <c r="AV1776" t="s">
        <v>64</v>
      </c>
      <c r="AW1776">
        <v>1</v>
      </c>
      <c r="AX1776">
        <v>3</v>
      </c>
      <c r="AY1776">
        <v>0</v>
      </c>
      <c r="AZ1776">
        <v>0</v>
      </c>
      <c r="BA1776">
        <v>100</v>
      </c>
      <c r="BB1776">
        <v>100</v>
      </c>
      <c r="BC1776">
        <v>100</v>
      </c>
      <c r="BD1776">
        <v>100</v>
      </c>
      <c r="BE1776">
        <v>1</v>
      </c>
      <c r="BF1776">
        <v>15000</v>
      </c>
      <c r="BG1776">
        <v>1000</v>
      </c>
      <c r="BH1776" s="6">
        <f>Grandview_Inventory[[#This Row],[land_extract]]*Lookups!$B$3</f>
        <v>52639.730588165206</v>
      </c>
      <c r="BI1776" s="6">
        <f>IF(Grandview_Inventory[[#This Row],[bldg_style]]="",0,Lookups!$B$2)</f>
        <v>155833.95000000001</v>
      </c>
      <c r="BJ1776" s="6">
        <f>_xlfn.IFNA(VLOOKUP(Grandview_Inventory[[#This Row],[quality]],Lookups!$H$2:$J$14,3,FALSE),0)</f>
        <v>10733</v>
      </c>
      <c r="BK1776" s="6">
        <f>_xlfn.IFNA(VLOOKUP(Grandview_Inventory[[#This Row],[condition]],Lookups!$H$17:$J$24,3,FALSE),0)</f>
        <v>-4503</v>
      </c>
      <c r="BL1776" s="6">
        <f>Grandview_Inventory[[#This Row],[Eff_Age]]*Lookups!$B$14</f>
        <v>-10523.330399999999</v>
      </c>
      <c r="BM1776" s="6">
        <f>Grandview_Inventory[[#This Row],[living_area]]*Lookups!$B$15</f>
        <v>83839.86643200001</v>
      </c>
      <c r="BN1776" s="6">
        <f>Grandview_Inventory[[#This Row],[Fin BSMT]]*Lookups!$B$16</f>
        <v>0</v>
      </c>
      <c r="BO1776" s="6">
        <f>(Grandview_Inventory[[#This Row],[att_gar]]+Grandview_Inventory[[#This Row],[bltin_gar]])*Lookups!$B$17</f>
        <v>0</v>
      </c>
      <c r="BP1776" s="6">
        <f>Grandview_Inventory[[#This Row],[Plumbing Fixtures]]*Lookups!$B$18</f>
        <v>10052.209000000001</v>
      </c>
      <c r="BQ1776" s="6">
        <f>Grandview_Inventory[[#This Row],[detatched_value]]*Lookups!$B$19</f>
        <v>0</v>
      </c>
      <c r="BR1776" s="6">
        <f>SUM(Grandview_Inventory[[#This Row],[Intercept]:[det_value]])*Grandview_Inventory[[#This Row],[res_pct]]</f>
        <v>245432.69503200002</v>
      </c>
      <c r="BS1776" s="6">
        <f>Grandview_Inventory[[#This Row],[land_value]]</f>
        <v>52639.730588165206</v>
      </c>
      <c r="BT1776" s="4">
        <f>_xlfn.IFNA(VLOOKUP(Grandview_Inventory[[#This Row],[quality]],Lookups!$A$26:$C$33,3,FALSE),1)</f>
        <v>0.98079741117310582</v>
      </c>
      <c r="BU1776" s="4">
        <f>_xlfn.IFNA(VLOOKUP(Grandview_Inventory[[#This Row],[condition]],Lookups!$A$37:$C$44,3,FALSE),1)</f>
        <v>0.96469275950863709</v>
      </c>
      <c r="BV1776" s="4">
        <f>IF(Grandview_Inventory[[#This Row],[bldg_style]]="",1,_xlfn.IFNA(VLOOKUP(Grandview_Inventory[[#This Row],[decade]],Lookups!$F$29:$H$43,3,FALSE),1))</f>
        <v>0.9871940091910919</v>
      </c>
      <c r="BW1776" s="4">
        <f>_xlfn.IFNA(VLOOKUP(Grandview_Inventory[[#This Row],[living_area_range]],Lookups!$F$47:$H$56,3,FALSE),1)</f>
        <v>0.96135087979789358</v>
      </c>
      <c r="BX1776" s="4">
        <f>AVERAGE(Grandview_Inventory[[#This Row],[qual_adj]:[size_adj]])</f>
        <v>0.97350876491768212</v>
      </c>
      <c r="BY1776" s="6">
        <f>IF(Grandview_Inventory[[#This Row],[pre_res]]&lt;0,0,Grandview_Inventory[[#This Row],[pre_res]]*Grandview_Inventory[[#This Row],[overall_adj]])</f>
        <v>238930.87981102048</v>
      </c>
      <c r="BZ1776" s="6">
        <f>(Grandview_Inventory[[#This Row],[sum_land]]-IF(Grandview_Inventory[[#This Row],[no_utilities]]=1,12000,0))/IF(Grandview_Inventory[[#This Row],[unbuildable]]=1,2,1)</f>
        <v>52639.730588165206</v>
      </c>
      <c r="CA1776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76">
        <f>ROUND(Grandview_Inventory[[#This Row],[det_value]]*Lookups!$M$28,-2)</f>
        <v>0</v>
      </c>
      <c r="CC1776">
        <f>IF(ROUND(Grandview_Inventory[[#This Row],[adj_res]]*Lookups!$M$28,-2)&lt;Grandview_Inventory[[#This Row],[min_res]],Grandview_Inventory[[#This Row],[min_res]],ROUND(Grandview_Inventory[[#This Row],[adj_res]]*Lookups!$M$28,-2))</f>
        <v>227000</v>
      </c>
      <c r="CD1776">
        <f>Grandview_Inventory[[#This Row],[final_det]]+Grandview_Inventory[[#This Row],[final_res]]</f>
        <v>227000</v>
      </c>
      <c r="CE1776">
        <f>Grandview_Inventory[[#This Row],[final_land]]+Grandview_Inventory[[#This Row],[final_imp]]+Grandview_Inventory[[#This Row],[crop_value]]</f>
        <v>277000</v>
      </c>
      <c r="CG1776" t="str">
        <f t="shared" si="27"/>
        <v>update valuation set market_land =50000, market_bldg=227000, market_total =277000, market_mdno =401, market_date ='9/10/2023' where link_id = (select link_id from parcel where parcel_year = '2024' and parcel_id = '23092333419');</v>
      </c>
    </row>
    <row r="1777" spans="1:85" x14ac:dyDescent="0.25">
      <c r="A1777">
        <v>23092333420</v>
      </c>
      <c r="B1777">
        <v>0.3</v>
      </c>
      <c r="C1777">
        <v>12954</v>
      </c>
      <c r="D1777" t="s">
        <v>129</v>
      </c>
      <c r="E1777" t="s">
        <v>53</v>
      </c>
      <c r="F1777" t="s">
        <v>53</v>
      </c>
      <c r="G1777">
        <v>4</v>
      </c>
      <c r="H1777" t="s">
        <v>54</v>
      </c>
      <c r="I1777">
        <v>134100</v>
      </c>
      <c r="J1777">
        <v>40700</v>
      </c>
      <c r="K1777">
        <v>0.3</v>
      </c>
      <c r="L1777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1777">
        <v>0</v>
      </c>
      <c r="N1777">
        <v>0</v>
      </c>
      <c r="O1777">
        <v>0</v>
      </c>
      <c r="P1777">
        <v>13398.7528</v>
      </c>
      <c r="Q1777">
        <v>63903</v>
      </c>
      <c r="R1777">
        <f>(Grandview_Inventory[[#This Row],[ln_acres]]*Grandview_Inventory[[#This Row],[coeff]])+Grandview_Inventory[[#This Row],[const]]</f>
        <v>47771.266016914014</v>
      </c>
      <c r="S1777" t="s">
        <v>61</v>
      </c>
      <c r="T1777">
        <v>1</v>
      </c>
      <c r="U1777" t="s">
        <v>65</v>
      </c>
      <c r="V1777" t="s">
        <v>69</v>
      </c>
      <c r="W1777">
        <v>0</v>
      </c>
      <c r="X1777">
        <v>0</v>
      </c>
      <c r="Y1777">
        <v>44</v>
      </c>
      <c r="Z1777">
        <v>49</v>
      </c>
      <c r="AA1777">
        <v>50</v>
      </c>
      <c r="AB1777">
        <v>1500</v>
      </c>
      <c r="AC1777">
        <v>1388</v>
      </c>
      <c r="AD1777">
        <v>1388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252</v>
      </c>
      <c r="AN1777">
        <v>96</v>
      </c>
      <c r="AO1777">
        <v>252</v>
      </c>
      <c r="AP1777">
        <v>6</v>
      </c>
      <c r="AQ1777">
        <v>0</v>
      </c>
      <c r="AR1777">
        <v>0</v>
      </c>
      <c r="AS1777" t="s">
        <v>58</v>
      </c>
      <c r="AT1777">
        <v>1</v>
      </c>
      <c r="AU1777" t="s">
        <v>63</v>
      </c>
      <c r="AV1777" t="s">
        <v>64</v>
      </c>
      <c r="AW1777">
        <v>0</v>
      </c>
      <c r="AX1777">
        <v>4</v>
      </c>
      <c r="AY1777">
        <v>0</v>
      </c>
      <c r="AZ1777">
        <v>0</v>
      </c>
      <c r="BA1777">
        <v>100</v>
      </c>
      <c r="BB1777">
        <v>100</v>
      </c>
      <c r="BC1777">
        <v>100</v>
      </c>
      <c r="BD1777">
        <v>100</v>
      </c>
      <c r="BE1777">
        <v>1</v>
      </c>
      <c r="BF1777">
        <v>15000</v>
      </c>
      <c r="BG1777">
        <v>1000</v>
      </c>
      <c r="BH1777" s="6">
        <f>Grandview_Inventory[[#This Row],[land_extract]]*Lookups!$B$3</f>
        <v>55476.642243023998</v>
      </c>
      <c r="BI1777" s="6">
        <f>IF(Grandview_Inventory[[#This Row],[bldg_style]]="",0,Lookups!$B$2)</f>
        <v>155833.95000000001</v>
      </c>
      <c r="BJ1777" s="6">
        <f>_xlfn.IFNA(VLOOKUP(Grandview_Inventory[[#This Row],[quality]],Lookups!$H$2:$J$14,3,FALSE),0)</f>
        <v>2251</v>
      </c>
      <c r="BK1777" s="6">
        <f>_xlfn.IFNA(VLOOKUP(Grandview_Inventory[[#This Row],[condition]],Lookups!$H$17:$J$24,3,FALSE),0)</f>
        <v>-4503</v>
      </c>
      <c r="BL1777" s="6">
        <f>Grandview_Inventory[[#This Row],[Eff_Age]]*Lookups!$B$14</f>
        <v>-10523.330399999999</v>
      </c>
      <c r="BM1777" s="6">
        <f>Grandview_Inventory[[#This Row],[living_area]]*Lookups!$B$15</f>
        <v>86584.623963999999</v>
      </c>
      <c r="BN1777" s="6">
        <f>Grandview_Inventory[[#This Row],[Fin BSMT]]*Lookups!$B$16</f>
        <v>0</v>
      </c>
      <c r="BO1777" s="6">
        <f>(Grandview_Inventory[[#This Row],[att_gar]]+Grandview_Inventory[[#This Row],[bltin_gar]])*Lookups!$B$17</f>
        <v>0</v>
      </c>
      <c r="BP1777" s="6">
        <f>Grandview_Inventory[[#This Row],[Plumbing Fixtures]]*Lookups!$B$18</f>
        <v>12062.650799999999</v>
      </c>
      <c r="BQ1777" s="6">
        <f>Grandview_Inventory[[#This Row],[detatched_value]]*Lookups!$B$19</f>
        <v>0</v>
      </c>
      <c r="BR1777" s="6">
        <f>SUM(Grandview_Inventory[[#This Row],[Intercept]:[det_value]])*Grandview_Inventory[[#This Row],[res_pct]]</f>
        <v>241705.89436400001</v>
      </c>
      <c r="BS1777" s="6">
        <f>Grandview_Inventory[[#This Row],[land_value]]</f>
        <v>55476.642243023998</v>
      </c>
      <c r="BT1777" s="4">
        <f>_xlfn.IFNA(VLOOKUP(Grandview_Inventory[[#This Row],[quality]],Lookups!$A$26:$C$33,3,FALSE),1)</f>
        <v>0.98763855981004833</v>
      </c>
      <c r="BU1777" s="4">
        <f>_xlfn.IFNA(VLOOKUP(Grandview_Inventory[[#This Row],[condition]],Lookups!$A$37:$C$44,3,FALSE),1)</f>
        <v>0.96469275950863709</v>
      </c>
      <c r="BV1777" s="4">
        <f>IF(Grandview_Inventory[[#This Row],[bldg_style]]="",1,_xlfn.IFNA(VLOOKUP(Grandview_Inventory[[#This Row],[decade]],Lookups!$F$29:$H$43,3,FALSE),1))</f>
        <v>0.9871940091910919</v>
      </c>
      <c r="BW1777" s="4">
        <f>_xlfn.IFNA(VLOOKUP(Grandview_Inventory[[#This Row],[living_area_range]],Lookups!$F$47:$H$56,3,FALSE),1)</f>
        <v>0.96135087979789358</v>
      </c>
      <c r="BX1777" s="4">
        <f>AVERAGE(Grandview_Inventory[[#This Row],[qual_adj]:[size_adj]])</f>
        <v>0.97521905207691773</v>
      </c>
      <c r="BY1777" s="6">
        <f>IF(Grandview_Inventory[[#This Row],[pre_res]]&lt;0,0,Grandview_Inventory[[#This Row],[pre_res]]*Grandview_Inventory[[#This Row],[overall_adj]])</f>
        <v>235716.1931830637</v>
      </c>
      <c r="BZ1777" s="6">
        <f>(Grandview_Inventory[[#This Row],[sum_land]]-IF(Grandview_Inventory[[#This Row],[no_utilities]]=1,12000,0))/IF(Grandview_Inventory[[#This Row],[unbuildable]]=1,2,1)</f>
        <v>55476.642243023998</v>
      </c>
      <c r="CA1777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1777">
        <f>ROUND(Grandview_Inventory[[#This Row],[det_value]]*Lookups!$M$28,-2)</f>
        <v>0</v>
      </c>
      <c r="CC1777">
        <f>IF(ROUND(Grandview_Inventory[[#This Row],[adj_res]]*Lookups!$M$28,-2)&lt;Grandview_Inventory[[#This Row],[min_res]],Grandview_Inventory[[#This Row],[min_res]],ROUND(Grandview_Inventory[[#This Row],[adj_res]]*Lookups!$M$28,-2))</f>
        <v>223900</v>
      </c>
      <c r="CD1777">
        <f>Grandview_Inventory[[#This Row],[final_det]]+Grandview_Inventory[[#This Row],[final_res]]</f>
        <v>223900</v>
      </c>
      <c r="CE1777">
        <f>Grandview_Inventory[[#This Row],[final_land]]+Grandview_Inventory[[#This Row],[final_imp]]+Grandview_Inventory[[#This Row],[crop_value]]</f>
        <v>276600</v>
      </c>
      <c r="CG1777" t="str">
        <f t="shared" si="27"/>
        <v>update valuation set market_land =52700, market_bldg=223900, market_total =276600, market_mdno =401, market_date ='9/10/2023' where link_id = (select link_id from parcel where parcel_year = '2024' and parcel_id = '23092333420');</v>
      </c>
    </row>
    <row r="1778" spans="1:85" x14ac:dyDescent="0.25">
      <c r="A1778">
        <v>23092333421</v>
      </c>
      <c r="B1778">
        <v>0.23</v>
      </c>
      <c r="C1778">
        <v>10227</v>
      </c>
      <c r="D1778" t="s">
        <v>129</v>
      </c>
      <c r="E1778" t="s">
        <v>53</v>
      </c>
      <c r="F1778" t="s">
        <v>53</v>
      </c>
      <c r="G1778">
        <v>4</v>
      </c>
      <c r="H1778" t="s">
        <v>54</v>
      </c>
      <c r="I1778">
        <v>157300</v>
      </c>
      <c r="J1778">
        <v>39700</v>
      </c>
      <c r="K1778">
        <v>0.23</v>
      </c>
      <c r="L177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78">
        <v>0</v>
      </c>
      <c r="N1778">
        <v>0</v>
      </c>
      <c r="O1778">
        <v>0</v>
      </c>
      <c r="P1778">
        <v>13398.7528</v>
      </c>
      <c r="Q1778">
        <v>63903</v>
      </c>
      <c r="R1778">
        <f>(Grandview_Inventory[[#This Row],[ln_acres]]*Grandview_Inventory[[#This Row],[coeff]])+Grandview_Inventory[[#This Row],[const]]</f>
        <v>44211.174981080039</v>
      </c>
      <c r="S1778" t="s">
        <v>61</v>
      </c>
      <c r="T1778">
        <v>1</v>
      </c>
      <c r="U1778" t="s">
        <v>70</v>
      </c>
      <c r="V1778" t="s">
        <v>69</v>
      </c>
      <c r="W1778">
        <v>0</v>
      </c>
      <c r="X1778">
        <v>0</v>
      </c>
      <c r="Y1778">
        <v>44</v>
      </c>
      <c r="Z1778">
        <v>48</v>
      </c>
      <c r="AA1778">
        <v>50</v>
      </c>
      <c r="AB1778">
        <v>1500</v>
      </c>
      <c r="AC1778">
        <v>1344</v>
      </c>
      <c r="AD1778">
        <v>1344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240</v>
      </c>
      <c r="AN1778">
        <v>0</v>
      </c>
      <c r="AO1778">
        <v>264</v>
      </c>
      <c r="AP1778">
        <v>5</v>
      </c>
      <c r="AQ1778">
        <v>0</v>
      </c>
      <c r="AR1778">
        <v>0</v>
      </c>
      <c r="AS1778" t="s">
        <v>58</v>
      </c>
      <c r="AT1778">
        <v>1</v>
      </c>
      <c r="AU1778" t="s">
        <v>63</v>
      </c>
      <c r="AV1778" t="s">
        <v>64</v>
      </c>
      <c r="AW1778">
        <v>1</v>
      </c>
      <c r="AX1778">
        <v>4</v>
      </c>
      <c r="AY1778">
        <v>0</v>
      </c>
      <c r="AZ1778">
        <v>0</v>
      </c>
      <c r="BA1778">
        <v>100</v>
      </c>
      <c r="BB1778">
        <v>100</v>
      </c>
      <c r="BC1778">
        <v>100</v>
      </c>
      <c r="BD1778">
        <v>100</v>
      </c>
      <c r="BE1778">
        <v>1</v>
      </c>
      <c r="BF1778">
        <v>15000</v>
      </c>
      <c r="BG1778">
        <v>1000</v>
      </c>
      <c r="BH1778" s="6">
        <f>Grandview_Inventory[[#This Row],[land_extract]]*Lookups!$B$3</f>
        <v>51342.318135355803</v>
      </c>
      <c r="BI1778" s="6">
        <f>IF(Grandview_Inventory[[#This Row],[bldg_style]]="",0,Lookups!$B$2)</f>
        <v>155833.95000000001</v>
      </c>
      <c r="BJ1778" s="6">
        <f>_xlfn.IFNA(VLOOKUP(Grandview_Inventory[[#This Row],[quality]],Lookups!$H$2:$J$14,3,FALSE),0)</f>
        <v>10733</v>
      </c>
      <c r="BK1778" s="6">
        <f>_xlfn.IFNA(VLOOKUP(Grandview_Inventory[[#This Row],[condition]],Lookups!$H$17:$J$24,3,FALSE),0)</f>
        <v>-4503</v>
      </c>
      <c r="BL1778" s="6">
        <f>Grandview_Inventory[[#This Row],[Eff_Age]]*Lookups!$B$14</f>
        <v>-10523.330399999999</v>
      </c>
      <c r="BM1778" s="6">
        <f>Grandview_Inventory[[#This Row],[living_area]]*Lookups!$B$15</f>
        <v>83839.86643200001</v>
      </c>
      <c r="BN1778" s="6">
        <f>Grandview_Inventory[[#This Row],[Fin BSMT]]*Lookups!$B$16</f>
        <v>0</v>
      </c>
      <c r="BO1778" s="6">
        <f>(Grandview_Inventory[[#This Row],[att_gar]]+Grandview_Inventory[[#This Row],[bltin_gar]])*Lookups!$B$17</f>
        <v>0</v>
      </c>
      <c r="BP1778" s="6">
        <f>Grandview_Inventory[[#This Row],[Plumbing Fixtures]]*Lookups!$B$18</f>
        <v>10052.209000000001</v>
      </c>
      <c r="BQ1778" s="6">
        <f>Grandview_Inventory[[#This Row],[detatched_value]]*Lookups!$B$19</f>
        <v>0</v>
      </c>
      <c r="BR1778" s="6">
        <f>SUM(Grandview_Inventory[[#This Row],[Intercept]:[det_value]])*Grandview_Inventory[[#This Row],[res_pct]]</f>
        <v>245432.69503200002</v>
      </c>
      <c r="BS1778" s="6">
        <f>Grandview_Inventory[[#This Row],[land_value]]</f>
        <v>51342.318135355803</v>
      </c>
      <c r="BT1778" s="4">
        <f>_xlfn.IFNA(VLOOKUP(Grandview_Inventory[[#This Row],[quality]],Lookups!$A$26:$C$33,3,FALSE),1)</f>
        <v>0.98079741117310582</v>
      </c>
      <c r="BU1778" s="4">
        <f>_xlfn.IFNA(VLOOKUP(Grandview_Inventory[[#This Row],[condition]],Lookups!$A$37:$C$44,3,FALSE),1)</f>
        <v>0.96469275950863709</v>
      </c>
      <c r="BV1778" s="4">
        <f>IF(Grandview_Inventory[[#This Row],[bldg_style]]="",1,_xlfn.IFNA(VLOOKUP(Grandview_Inventory[[#This Row],[decade]],Lookups!$F$29:$H$43,3,FALSE),1))</f>
        <v>0.9871940091910919</v>
      </c>
      <c r="BW1778" s="4">
        <f>_xlfn.IFNA(VLOOKUP(Grandview_Inventory[[#This Row],[living_area_range]],Lookups!$F$47:$H$56,3,FALSE),1)</f>
        <v>0.96135087979789358</v>
      </c>
      <c r="BX1778" s="4">
        <f>AVERAGE(Grandview_Inventory[[#This Row],[qual_adj]:[size_adj]])</f>
        <v>0.97350876491768212</v>
      </c>
      <c r="BY1778" s="6">
        <f>IF(Grandview_Inventory[[#This Row],[pre_res]]&lt;0,0,Grandview_Inventory[[#This Row],[pre_res]]*Grandview_Inventory[[#This Row],[overall_adj]])</f>
        <v>238930.87981102048</v>
      </c>
      <c r="BZ1778" s="6">
        <f>(Grandview_Inventory[[#This Row],[sum_land]]-IF(Grandview_Inventory[[#This Row],[no_utilities]]=1,12000,0))/IF(Grandview_Inventory[[#This Row],[unbuildable]]=1,2,1)</f>
        <v>51342.318135355803</v>
      </c>
      <c r="CA177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78">
        <f>ROUND(Grandview_Inventory[[#This Row],[det_value]]*Lookups!$M$28,-2)</f>
        <v>0</v>
      </c>
      <c r="CC1778">
        <f>IF(ROUND(Grandview_Inventory[[#This Row],[adj_res]]*Lookups!$M$28,-2)&lt;Grandview_Inventory[[#This Row],[min_res]],Grandview_Inventory[[#This Row],[min_res]],ROUND(Grandview_Inventory[[#This Row],[adj_res]]*Lookups!$M$28,-2))</f>
        <v>227000</v>
      </c>
      <c r="CD1778">
        <f>Grandview_Inventory[[#This Row],[final_det]]+Grandview_Inventory[[#This Row],[final_res]]</f>
        <v>227000</v>
      </c>
      <c r="CE1778">
        <f>Grandview_Inventory[[#This Row],[final_land]]+Grandview_Inventory[[#This Row],[final_imp]]+Grandview_Inventory[[#This Row],[crop_value]]</f>
        <v>275800</v>
      </c>
      <c r="CG1778" t="str">
        <f t="shared" si="27"/>
        <v>update valuation set market_land =48800, market_bldg=227000, market_total =275800, market_mdno =401, market_date ='9/10/2023' where link_id = (select link_id from parcel where parcel_year = '2024' and parcel_id = '23092333421');</v>
      </c>
    </row>
    <row r="1779" spans="1:85" x14ac:dyDescent="0.25">
      <c r="A1779">
        <v>23092333422</v>
      </c>
      <c r="B1779">
        <v>0.24</v>
      </c>
      <c r="C1779">
        <v>10276</v>
      </c>
      <c r="D1779" t="s">
        <v>129</v>
      </c>
      <c r="E1779" t="s">
        <v>53</v>
      </c>
      <c r="F1779" t="s">
        <v>53</v>
      </c>
      <c r="G1779">
        <v>4</v>
      </c>
      <c r="H1779" t="s">
        <v>54</v>
      </c>
      <c r="I1779">
        <v>125600</v>
      </c>
      <c r="J1779">
        <v>39700</v>
      </c>
      <c r="K1779">
        <v>0.24</v>
      </c>
      <c r="L177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79">
        <v>0</v>
      </c>
      <c r="N1779">
        <v>0</v>
      </c>
      <c r="O1779">
        <v>0</v>
      </c>
      <c r="P1779">
        <v>13398.7528</v>
      </c>
      <c r="Q1779">
        <v>63903</v>
      </c>
      <c r="R1779">
        <f>(Grandview_Inventory[[#This Row],[ln_acres]]*Grandview_Inventory[[#This Row],[coeff]])+Grandview_Inventory[[#This Row],[const]]</f>
        <v>44781.420733940802</v>
      </c>
      <c r="S1779" t="s">
        <v>61</v>
      </c>
      <c r="T1779">
        <v>1</v>
      </c>
      <c r="U1779" t="s">
        <v>65</v>
      </c>
      <c r="V1779" t="s">
        <v>78</v>
      </c>
      <c r="W1779">
        <v>0</v>
      </c>
      <c r="X1779">
        <v>0</v>
      </c>
      <c r="Y1779">
        <v>44</v>
      </c>
      <c r="Z1779">
        <v>47</v>
      </c>
      <c r="AA1779">
        <v>50</v>
      </c>
      <c r="AB1779">
        <v>1500</v>
      </c>
      <c r="AC1779">
        <v>1060</v>
      </c>
      <c r="AD1779">
        <v>1060</v>
      </c>
      <c r="AE1779">
        <v>0</v>
      </c>
      <c r="AF1779">
        <v>0</v>
      </c>
      <c r="AG1779">
        <v>0</v>
      </c>
      <c r="AH1779">
        <v>0</v>
      </c>
      <c r="AI1779">
        <v>600</v>
      </c>
      <c r="AJ1779">
        <v>0</v>
      </c>
      <c r="AK1779">
        <v>144</v>
      </c>
      <c r="AL1779">
        <v>0</v>
      </c>
      <c r="AM1779">
        <v>0</v>
      </c>
      <c r="AN1779">
        <v>0</v>
      </c>
      <c r="AO1779">
        <v>0</v>
      </c>
      <c r="AP1779">
        <v>5</v>
      </c>
      <c r="AQ1779">
        <v>0</v>
      </c>
      <c r="AR1779">
        <v>0</v>
      </c>
      <c r="AS1779" t="s">
        <v>58</v>
      </c>
      <c r="AT1779">
        <v>1</v>
      </c>
      <c r="AU1779" t="s">
        <v>63</v>
      </c>
      <c r="AV1779" t="s">
        <v>64</v>
      </c>
      <c r="AW1779">
        <v>0</v>
      </c>
      <c r="AX1779">
        <v>3</v>
      </c>
      <c r="AY1779">
        <v>0</v>
      </c>
      <c r="AZ1779">
        <v>0</v>
      </c>
      <c r="BA1779">
        <v>100</v>
      </c>
      <c r="BB1779">
        <v>100</v>
      </c>
      <c r="BC1779">
        <v>100</v>
      </c>
      <c r="BD1779">
        <v>100</v>
      </c>
      <c r="BE1779">
        <v>1</v>
      </c>
      <c r="BF1779">
        <v>15000</v>
      </c>
      <c r="BG1779">
        <v>1000</v>
      </c>
      <c r="BH1779" s="6">
        <f>Grandview_Inventory[[#This Row],[land_extract]]*Lookups!$B$3</f>
        <v>52004.542988489469</v>
      </c>
      <c r="BI1779" s="6">
        <f>IF(Grandview_Inventory[[#This Row],[bldg_style]]="",0,Lookups!$B$2)</f>
        <v>155833.95000000001</v>
      </c>
      <c r="BJ1779" s="6">
        <f>_xlfn.IFNA(VLOOKUP(Grandview_Inventory[[#This Row],[quality]],Lookups!$H$2:$J$14,3,FALSE),0)</f>
        <v>2251</v>
      </c>
      <c r="BK1779" s="6">
        <f>_xlfn.IFNA(VLOOKUP(Grandview_Inventory[[#This Row],[condition]],Lookups!$H$17:$J$24,3,FALSE),0)</f>
        <v>-45357</v>
      </c>
      <c r="BL1779" s="6">
        <f>Grandview_Inventory[[#This Row],[Eff_Age]]*Lookups!$B$14</f>
        <v>-10523.330399999999</v>
      </c>
      <c r="BM1779" s="6">
        <f>Grandview_Inventory[[#This Row],[living_area]]*Lookups!$B$15</f>
        <v>66123.704180000001</v>
      </c>
      <c r="BN1779" s="6">
        <f>Grandview_Inventory[[#This Row],[Fin BSMT]]*Lookups!$B$16</f>
        <v>0</v>
      </c>
      <c r="BO1779" s="6">
        <f>(Grandview_Inventory[[#This Row],[att_gar]]+Grandview_Inventory[[#This Row],[bltin_gar]])*Lookups!$B$17</f>
        <v>52512.262199999997</v>
      </c>
      <c r="BP1779" s="6">
        <f>Grandview_Inventory[[#This Row],[Plumbing Fixtures]]*Lookups!$B$18</f>
        <v>10052.209000000001</v>
      </c>
      <c r="BQ1779" s="6">
        <f>Grandview_Inventory[[#This Row],[detatched_value]]*Lookups!$B$19</f>
        <v>0</v>
      </c>
      <c r="BR1779" s="6">
        <f>SUM(Grandview_Inventory[[#This Row],[Intercept]:[det_value]])*Grandview_Inventory[[#This Row],[res_pct]]</f>
        <v>230892.79498000001</v>
      </c>
      <c r="BS1779" s="6">
        <f>Grandview_Inventory[[#This Row],[land_value]]</f>
        <v>52004.542988489469</v>
      </c>
      <c r="BT1779" s="4">
        <f>_xlfn.IFNA(VLOOKUP(Grandview_Inventory[[#This Row],[quality]],Lookups!$A$26:$C$33,3,FALSE),1)</f>
        <v>0.98763855981004833</v>
      </c>
      <c r="BU1779" s="4">
        <f>_xlfn.IFNA(VLOOKUP(Grandview_Inventory[[#This Row],[condition]],Lookups!$A$37:$C$44,3,FALSE),1)</f>
        <v>0.97161819570155394</v>
      </c>
      <c r="BV1779" s="4">
        <f>IF(Grandview_Inventory[[#This Row],[bldg_style]]="",1,_xlfn.IFNA(VLOOKUP(Grandview_Inventory[[#This Row],[decade]],Lookups!$F$29:$H$43,3,FALSE),1))</f>
        <v>0.9871940091910919</v>
      </c>
      <c r="BW1779" s="4">
        <f>_xlfn.IFNA(VLOOKUP(Grandview_Inventory[[#This Row],[living_area_range]],Lookups!$F$47:$H$56,3,FALSE),1)</f>
        <v>0.96135087979789358</v>
      </c>
      <c r="BX1779" s="4">
        <f>AVERAGE(Grandview_Inventory[[#This Row],[qual_adj]:[size_adj]])</f>
        <v>0.97695041112514691</v>
      </c>
      <c r="BY1779" s="6">
        <f>IF(Grandview_Inventory[[#This Row],[pre_res]]&lt;0,0,Grandview_Inventory[[#This Row],[pre_res]]*Grandview_Inventory[[#This Row],[overall_adj]])</f>
        <v>225570.81098154528</v>
      </c>
      <c r="BZ1779" s="6">
        <f>(Grandview_Inventory[[#This Row],[sum_land]]-IF(Grandview_Inventory[[#This Row],[no_utilities]]=1,12000,0))/IF(Grandview_Inventory[[#This Row],[unbuildable]]=1,2,1)</f>
        <v>52004.542988489469</v>
      </c>
      <c r="CA177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79">
        <f>ROUND(Grandview_Inventory[[#This Row],[det_value]]*Lookups!$M$28,-2)</f>
        <v>0</v>
      </c>
      <c r="CC1779">
        <f>IF(ROUND(Grandview_Inventory[[#This Row],[adj_res]]*Lookups!$M$28,-2)&lt;Grandview_Inventory[[#This Row],[min_res]],Grandview_Inventory[[#This Row],[min_res]],ROUND(Grandview_Inventory[[#This Row],[adj_res]]*Lookups!$M$28,-2))</f>
        <v>214300</v>
      </c>
      <c r="CD1779">
        <f>Grandview_Inventory[[#This Row],[final_det]]+Grandview_Inventory[[#This Row],[final_res]]</f>
        <v>214300</v>
      </c>
      <c r="CE1779">
        <f>Grandview_Inventory[[#This Row],[final_land]]+Grandview_Inventory[[#This Row],[final_imp]]+Grandview_Inventory[[#This Row],[crop_value]]</f>
        <v>263700</v>
      </c>
      <c r="CG1779" t="str">
        <f t="shared" si="27"/>
        <v>update valuation set market_land =49400, market_bldg=214300, market_total =263700, market_mdno =401, market_date ='9/10/2023' where link_id = (select link_id from parcel where parcel_year = '2024' and parcel_id = '23092333422');</v>
      </c>
    </row>
    <row r="1780" spans="1:85" x14ac:dyDescent="0.25">
      <c r="A1780">
        <v>23092333423</v>
      </c>
      <c r="B1780">
        <v>0.23</v>
      </c>
      <c r="C1780">
        <v>10110</v>
      </c>
      <c r="D1780" t="s">
        <v>129</v>
      </c>
      <c r="E1780" t="s">
        <v>53</v>
      </c>
      <c r="F1780" t="s">
        <v>53</v>
      </c>
      <c r="G1780">
        <v>4</v>
      </c>
      <c r="H1780" t="s">
        <v>54</v>
      </c>
      <c r="I1780">
        <v>136800</v>
      </c>
      <c r="J1780">
        <v>39700</v>
      </c>
      <c r="K1780">
        <v>0.23</v>
      </c>
      <c r="L178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0">
        <v>0</v>
      </c>
      <c r="N1780">
        <v>0</v>
      </c>
      <c r="O1780">
        <v>0</v>
      </c>
      <c r="P1780">
        <v>13398.7528</v>
      </c>
      <c r="Q1780">
        <v>63903</v>
      </c>
      <c r="R1780">
        <f>(Grandview_Inventory[[#This Row],[ln_acres]]*Grandview_Inventory[[#This Row],[coeff]])+Grandview_Inventory[[#This Row],[const]]</f>
        <v>44211.174981080039</v>
      </c>
      <c r="S1780" t="s">
        <v>61</v>
      </c>
      <c r="T1780">
        <v>1</v>
      </c>
      <c r="U1780" t="s">
        <v>65</v>
      </c>
      <c r="V1780" t="s">
        <v>69</v>
      </c>
      <c r="W1780">
        <v>0</v>
      </c>
      <c r="X1780">
        <v>0</v>
      </c>
      <c r="Y1780">
        <v>44</v>
      </c>
      <c r="Z1780">
        <v>48</v>
      </c>
      <c r="AA1780">
        <v>50</v>
      </c>
      <c r="AB1780">
        <v>1500</v>
      </c>
      <c r="AC1780">
        <v>1060</v>
      </c>
      <c r="AD1780">
        <v>1060</v>
      </c>
      <c r="AE1780">
        <v>0</v>
      </c>
      <c r="AF1780">
        <v>0</v>
      </c>
      <c r="AG1780">
        <v>0</v>
      </c>
      <c r="AH1780">
        <v>0</v>
      </c>
      <c r="AI1780">
        <v>312</v>
      </c>
      <c r="AJ1780">
        <v>0</v>
      </c>
      <c r="AK1780">
        <v>0</v>
      </c>
      <c r="AL1780">
        <v>0</v>
      </c>
      <c r="AM1780">
        <v>0</v>
      </c>
      <c r="AN1780">
        <v>96</v>
      </c>
      <c r="AO1780">
        <v>0</v>
      </c>
      <c r="AP1780">
        <v>7</v>
      </c>
      <c r="AQ1780">
        <v>0</v>
      </c>
      <c r="AR1780">
        <v>0</v>
      </c>
      <c r="AS1780" t="s">
        <v>58</v>
      </c>
      <c r="AT1780">
        <v>1</v>
      </c>
      <c r="AU1780" t="s">
        <v>63</v>
      </c>
      <c r="AV1780" t="s">
        <v>64</v>
      </c>
      <c r="AW1780">
        <v>0</v>
      </c>
      <c r="AX1780">
        <v>3</v>
      </c>
      <c r="AY1780">
        <v>0</v>
      </c>
      <c r="AZ1780">
        <v>0</v>
      </c>
      <c r="BA1780">
        <v>100</v>
      </c>
      <c r="BB1780">
        <v>100</v>
      </c>
      <c r="BC1780">
        <v>100</v>
      </c>
      <c r="BD1780">
        <v>100</v>
      </c>
      <c r="BE1780">
        <v>1</v>
      </c>
      <c r="BF1780">
        <v>15000</v>
      </c>
      <c r="BG1780">
        <v>1000</v>
      </c>
      <c r="BH1780" s="6">
        <f>Grandview_Inventory[[#This Row],[land_extract]]*Lookups!$B$3</f>
        <v>51342.318135355803</v>
      </c>
      <c r="BI1780" s="6">
        <f>IF(Grandview_Inventory[[#This Row],[bldg_style]]="",0,Lookups!$B$2)</f>
        <v>155833.95000000001</v>
      </c>
      <c r="BJ1780" s="6">
        <f>_xlfn.IFNA(VLOOKUP(Grandview_Inventory[[#This Row],[quality]],Lookups!$H$2:$J$14,3,FALSE),0)</f>
        <v>2251</v>
      </c>
      <c r="BK1780" s="6">
        <f>_xlfn.IFNA(VLOOKUP(Grandview_Inventory[[#This Row],[condition]],Lookups!$H$17:$J$24,3,FALSE),0)</f>
        <v>-4503</v>
      </c>
      <c r="BL1780" s="6">
        <f>Grandview_Inventory[[#This Row],[Eff_Age]]*Lookups!$B$14</f>
        <v>-10523.330399999999</v>
      </c>
      <c r="BM1780" s="6">
        <f>Grandview_Inventory[[#This Row],[living_area]]*Lookups!$B$15</f>
        <v>66123.704180000001</v>
      </c>
      <c r="BN1780" s="6">
        <f>Grandview_Inventory[[#This Row],[Fin BSMT]]*Lookups!$B$16</f>
        <v>0</v>
      </c>
      <c r="BO1780" s="6">
        <f>(Grandview_Inventory[[#This Row],[att_gar]]+Grandview_Inventory[[#This Row],[bltin_gar]])*Lookups!$B$17</f>
        <v>27306.376344</v>
      </c>
      <c r="BP1780" s="6">
        <f>Grandview_Inventory[[#This Row],[Plumbing Fixtures]]*Lookups!$B$18</f>
        <v>14073.0926</v>
      </c>
      <c r="BQ1780" s="6">
        <f>Grandview_Inventory[[#This Row],[detatched_value]]*Lookups!$B$19</f>
        <v>0</v>
      </c>
      <c r="BR1780" s="6">
        <f>SUM(Grandview_Inventory[[#This Row],[Intercept]:[det_value]])*Grandview_Inventory[[#This Row],[res_pct]]</f>
        <v>250561.792724</v>
      </c>
      <c r="BS1780" s="6">
        <f>Grandview_Inventory[[#This Row],[land_value]]</f>
        <v>51342.318135355803</v>
      </c>
      <c r="BT1780" s="4">
        <f>_xlfn.IFNA(VLOOKUP(Grandview_Inventory[[#This Row],[quality]],Lookups!$A$26:$C$33,3,FALSE),1)</f>
        <v>0.98763855981004833</v>
      </c>
      <c r="BU1780" s="4">
        <f>_xlfn.IFNA(VLOOKUP(Grandview_Inventory[[#This Row],[condition]],Lookups!$A$37:$C$44,3,FALSE),1)</f>
        <v>0.96469275950863709</v>
      </c>
      <c r="BV1780" s="4">
        <f>IF(Grandview_Inventory[[#This Row],[bldg_style]]="",1,_xlfn.IFNA(VLOOKUP(Grandview_Inventory[[#This Row],[decade]],Lookups!$F$29:$H$43,3,FALSE),1))</f>
        <v>0.9871940091910919</v>
      </c>
      <c r="BW1780" s="4">
        <f>_xlfn.IFNA(VLOOKUP(Grandview_Inventory[[#This Row],[living_area_range]],Lookups!$F$47:$H$56,3,FALSE),1)</f>
        <v>0.96135087979789358</v>
      </c>
      <c r="BX1780" s="4">
        <f>AVERAGE(Grandview_Inventory[[#This Row],[qual_adj]:[size_adj]])</f>
        <v>0.97521905207691773</v>
      </c>
      <c r="BY1780" s="6">
        <f>IF(Grandview_Inventory[[#This Row],[pre_res]]&lt;0,0,Grandview_Inventory[[#This Row],[pre_res]]*Grandview_Inventory[[#This Row],[overall_adj]])</f>
        <v>244352.63398699241</v>
      </c>
      <c r="BZ1780" s="6">
        <f>(Grandview_Inventory[[#This Row],[sum_land]]-IF(Grandview_Inventory[[#This Row],[no_utilities]]=1,12000,0))/IF(Grandview_Inventory[[#This Row],[unbuildable]]=1,2,1)</f>
        <v>51342.318135355803</v>
      </c>
      <c r="CA178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0">
        <f>ROUND(Grandview_Inventory[[#This Row],[det_value]]*Lookups!$M$28,-2)</f>
        <v>0</v>
      </c>
      <c r="CC1780">
        <f>IF(ROUND(Grandview_Inventory[[#This Row],[adj_res]]*Lookups!$M$28,-2)&lt;Grandview_Inventory[[#This Row],[min_res]],Grandview_Inventory[[#This Row],[min_res]],ROUND(Grandview_Inventory[[#This Row],[adj_res]]*Lookups!$M$28,-2))</f>
        <v>232100</v>
      </c>
      <c r="CD1780">
        <f>Grandview_Inventory[[#This Row],[final_det]]+Grandview_Inventory[[#This Row],[final_res]]</f>
        <v>232100</v>
      </c>
      <c r="CE1780">
        <f>Grandview_Inventory[[#This Row],[final_land]]+Grandview_Inventory[[#This Row],[final_imp]]+Grandview_Inventory[[#This Row],[crop_value]]</f>
        <v>280900</v>
      </c>
      <c r="CG1780" t="str">
        <f t="shared" si="27"/>
        <v>update valuation set market_land =48800, market_bldg=232100, market_total =280900, market_mdno =401, market_date ='9/10/2023' where link_id = (select link_id from parcel where parcel_year = '2024' and parcel_id = '23092333423');</v>
      </c>
    </row>
    <row r="1781" spans="1:85" x14ac:dyDescent="0.25">
      <c r="A1781">
        <v>23092333424</v>
      </c>
      <c r="B1781">
        <v>0.28999999999999998</v>
      </c>
      <c r="C1781">
        <v>12633</v>
      </c>
      <c r="D1781" t="s">
        <v>129</v>
      </c>
      <c r="E1781" t="s">
        <v>53</v>
      </c>
      <c r="F1781" t="s">
        <v>53</v>
      </c>
      <c r="G1781">
        <v>4</v>
      </c>
      <c r="H1781" t="s">
        <v>54</v>
      </c>
      <c r="I1781">
        <v>140300</v>
      </c>
      <c r="J1781">
        <v>40500</v>
      </c>
      <c r="K1781">
        <v>0.28999999999999998</v>
      </c>
      <c r="L178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781">
        <v>0</v>
      </c>
      <c r="N1781">
        <v>0</v>
      </c>
      <c r="O1781">
        <v>0</v>
      </c>
      <c r="P1781">
        <v>13398.7528</v>
      </c>
      <c r="Q1781">
        <v>63903</v>
      </c>
      <c r="R1781">
        <f>(Grandview_Inventory[[#This Row],[ln_acres]]*Grandview_Inventory[[#This Row],[coeff]])+Grandview_Inventory[[#This Row],[const]]</f>
        <v>47317.027506475133</v>
      </c>
      <c r="S1781" t="s">
        <v>61</v>
      </c>
      <c r="T1781">
        <v>1</v>
      </c>
      <c r="U1781" t="s">
        <v>65</v>
      </c>
      <c r="V1781" t="s">
        <v>69</v>
      </c>
      <c r="W1781">
        <v>0</v>
      </c>
      <c r="X1781">
        <v>0</v>
      </c>
      <c r="Y1781">
        <v>44</v>
      </c>
      <c r="Z1781">
        <v>48</v>
      </c>
      <c r="AA1781">
        <v>50</v>
      </c>
      <c r="AB1781">
        <v>1500</v>
      </c>
      <c r="AC1781">
        <v>1080</v>
      </c>
      <c r="AD1781">
        <v>1080</v>
      </c>
      <c r="AE1781">
        <v>0</v>
      </c>
      <c r="AF1781">
        <v>0</v>
      </c>
      <c r="AG1781">
        <v>0</v>
      </c>
      <c r="AH1781">
        <v>0</v>
      </c>
      <c r="AI1781">
        <v>288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5</v>
      </c>
      <c r="AQ1781">
        <v>0</v>
      </c>
      <c r="AR1781">
        <v>0</v>
      </c>
      <c r="AS1781" t="s">
        <v>58</v>
      </c>
      <c r="AT1781">
        <v>1</v>
      </c>
      <c r="AU1781" t="s">
        <v>75</v>
      </c>
      <c r="AV1781" t="s">
        <v>60</v>
      </c>
      <c r="AW1781">
        <v>0</v>
      </c>
      <c r="AX1781">
        <v>3</v>
      </c>
      <c r="AY1781">
        <v>0</v>
      </c>
      <c r="AZ1781">
        <v>0</v>
      </c>
      <c r="BA1781">
        <v>100</v>
      </c>
      <c r="BB1781">
        <v>100</v>
      </c>
      <c r="BC1781">
        <v>100</v>
      </c>
      <c r="BD1781">
        <v>100</v>
      </c>
      <c r="BE1781">
        <v>1</v>
      </c>
      <c r="BF1781">
        <v>15000</v>
      </c>
      <c r="BG1781">
        <v>1000</v>
      </c>
      <c r="BH1781" s="6">
        <f>Grandview_Inventory[[#This Row],[land_extract]]*Lookups!$B$3</f>
        <v>54949.136287295303</v>
      </c>
      <c r="BI1781" s="6">
        <f>IF(Grandview_Inventory[[#This Row],[bldg_style]]="",0,Lookups!$B$2)</f>
        <v>155833.95000000001</v>
      </c>
      <c r="BJ1781" s="6">
        <f>_xlfn.IFNA(VLOOKUP(Grandview_Inventory[[#This Row],[quality]],Lookups!$H$2:$J$14,3,FALSE),0)</f>
        <v>2251</v>
      </c>
      <c r="BK1781" s="6">
        <f>_xlfn.IFNA(VLOOKUP(Grandview_Inventory[[#This Row],[condition]],Lookups!$H$17:$J$24,3,FALSE),0)</f>
        <v>-4503</v>
      </c>
      <c r="BL1781" s="6">
        <f>Grandview_Inventory[[#This Row],[Eff_Age]]*Lookups!$B$14</f>
        <v>-10523.330399999999</v>
      </c>
      <c r="BM1781" s="6">
        <f>Grandview_Inventory[[#This Row],[living_area]]*Lookups!$B$15</f>
        <v>67371.321240000005</v>
      </c>
      <c r="BN1781" s="6">
        <f>Grandview_Inventory[[#This Row],[Fin BSMT]]*Lookups!$B$16</f>
        <v>0</v>
      </c>
      <c r="BO1781" s="6">
        <f>(Grandview_Inventory[[#This Row],[att_gar]]+Grandview_Inventory[[#This Row],[bltin_gar]])*Lookups!$B$17</f>
        <v>25205.885856000001</v>
      </c>
      <c r="BP1781" s="6">
        <f>Grandview_Inventory[[#This Row],[Plumbing Fixtures]]*Lookups!$B$18</f>
        <v>10052.209000000001</v>
      </c>
      <c r="BQ1781" s="6">
        <f>Grandview_Inventory[[#This Row],[detatched_value]]*Lookups!$B$19</f>
        <v>0</v>
      </c>
      <c r="BR1781" s="6">
        <f>SUM(Grandview_Inventory[[#This Row],[Intercept]:[det_value]])*Grandview_Inventory[[#This Row],[res_pct]]</f>
        <v>245688.03569600001</v>
      </c>
      <c r="BS1781" s="6">
        <f>Grandview_Inventory[[#This Row],[land_value]]</f>
        <v>54949.136287295303</v>
      </c>
      <c r="BT1781" s="4">
        <f>_xlfn.IFNA(VLOOKUP(Grandview_Inventory[[#This Row],[quality]],Lookups!$A$26:$C$33,3,FALSE),1)</f>
        <v>0.98763855981004833</v>
      </c>
      <c r="BU1781" s="4">
        <f>_xlfn.IFNA(VLOOKUP(Grandview_Inventory[[#This Row],[condition]],Lookups!$A$37:$C$44,3,FALSE),1)</f>
        <v>0.96469275950863709</v>
      </c>
      <c r="BV1781" s="4">
        <f>IF(Grandview_Inventory[[#This Row],[bldg_style]]="",1,_xlfn.IFNA(VLOOKUP(Grandview_Inventory[[#This Row],[decade]],Lookups!$F$29:$H$43,3,FALSE),1))</f>
        <v>0.9871940091910919</v>
      </c>
      <c r="BW1781" s="4">
        <f>_xlfn.IFNA(VLOOKUP(Grandview_Inventory[[#This Row],[living_area_range]],Lookups!$F$47:$H$56,3,FALSE),1)</f>
        <v>0.96135087979789358</v>
      </c>
      <c r="BX1781" s="4">
        <f>AVERAGE(Grandview_Inventory[[#This Row],[qual_adj]:[size_adj]])</f>
        <v>0.97521905207691773</v>
      </c>
      <c r="BY1781" s="6">
        <f>IF(Grandview_Inventory[[#This Row],[pre_res]]&lt;0,0,Grandview_Inventory[[#This Row],[pre_res]]*Grandview_Inventory[[#This Row],[overall_adj]])</f>
        <v>239599.65327809306</v>
      </c>
      <c r="BZ1781" s="6">
        <f>(Grandview_Inventory[[#This Row],[sum_land]]-IF(Grandview_Inventory[[#This Row],[no_utilities]]=1,12000,0))/IF(Grandview_Inventory[[#This Row],[unbuildable]]=1,2,1)</f>
        <v>54949.136287295303</v>
      </c>
      <c r="CA178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781">
        <f>ROUND(Grandview_Inventory[[#This Row],[det_value]]*Lookups!$M$28,-2)</f>
        <v>0</v>
      </c>
      <c r="CC1781">
        <f>IF(ROUND(Grandview_Inventory[[#This Row],[adj_res]]*Lookups!$M$28,-2)&lt;Grandview_Inventory[[#This Row],[min_res]],Grandview_Inventory[[#This Row],[min_res]],ROUND(Grandview_Inventory[[#This Row],[adj_res]]*Lookups!$M$28,-2))</f>
        <v>227600</v>
      </c>
      <c r="CD1781">
        <f>Grandview_Inventory[[#This Row],[final_det]]+Grandview_Inventory[[#This Row],[final_res]]</f>
        <v>227600</v>
      </c>
      <c r="CE1781">
        <f>Grandview_Inventory[[#This Row],[final_land]]+Grandview_Inventory[[#This Row],[final_imp]]+Grandview_Inventory[[#This Row],[crop_value]]</f>
        <v>279800</v>
      </c>
      <c r="CG1781" t="str">
        <f t="shared" si="27"/>
        <v>update valuation set market_land =52200, market_bldg=227600, market_total =279800, market_mdno =401, market_date ='9/10/2023' where link_id = (select link_id from parcel where parcel_year = '2024' and parcel_id = '23092333424');</v>
      </c>
    </row>
    <row r="1782" spans="1:85" x14ac:dyDescent="0.25">
      <c r="A1782">
        <v>23092333425</v>
      </c>
      <c r="B1782">
        <v>0.23</v>
      </c>
      <c r="C1782">
        <v>10063</v>
      </c>
      <c r="D1782" t="s">
        <v>129</v>
      </c>
      <c r="E1782" t="s">
        <v>53</v>
      </c>
      <c r="F1782" t="s">
        <v>53</v>
      </c>
      <c r="G1782">
        <v>4</v>
      </c>
      <c r="H1782" t="s">
        <v>54</v>
      </c>
      <c r="I1782">
        <v>177900</v>
      </c>
      <c r="J1782">
        <v>39500</v>
      </c>
      <c r="K1782">
        <v>0.23</v>
      </c>
      <c r="L178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2">
        <v>0</v>
      </c>
      <c r="N1782">
        <v>0</v>
      </c>
      <c r="O1782">
        <v>0</v>
      </c>
      <c r="P1782">
        <v>13398.7528</v>
      </c>
      <c r="Q1782">
        <v>63903</v>
      </c>
      <c r="R1782">
        <f>(Grandview_Inventory[[#This Row],[ln_acres]]*Grandview_Inventory[[#This Row],[coeff]])+Grandview_Inventory[[#This Row],[const]]</f>
        <v>44211.174981080039</v>
      </c>
      <c r="S1782" t="s">
        <v>61</v>
      </c>
      <c r="T1782">
        <v>1</v>
      </c>
      <c r="U1782" t="s">
        <v>65</v>
      </c>
      <c r="V1782" t="s">
        <v>67</v>
      </c>
      <c r="W1782">
        <v>0</v>
      </c>
      <c r="X1782">
        <v>0</v>
      </c>
      <c r="Y1782">
        <v>44</v>
      </c>
      <c r="Z1782">
        <v>48</v>
      </c>
      <c r="AA1782">
        <v>50</v>
      </c>
      <c r="AB1782">
        <v>1500</v>
      </c>
      <c r="AC1782">
        <v>1288</v>
      </c>
      <c r="AD1782">
        <v>1288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608</v>
      </c>
      <c r="AN1782">
        <v>16</v>
      </c>
      <c r="AO1782">
        <v>323</v>
      </c>
      <c r="AP1782">
        <v>5</v>
      </c>
      <c r="AQ1782">
        <v>0</v>
      </c>
      <c r="AR1782">
        <v>0</v>
      </c>
      <c r="AS1782" t="s">
        <v>58</v>
      </c>
      <c r="AT1782">
        <v>1</v>
      </c>
      <c r="AU1782" t="s">
        <v>63</v>
      </c>
      <c r="AV1782" t="s">
        <v>64</v>
      </c>
      <c r="AW1782">
        <v>1</v>
      </c>
      <c r="AX1782">
        <v>3</v>
      </c>
      <c r="AY1782">
        <v>0</v>
      </c>
      <c r="AZ1782">
        <v>0</v>
      </c>
      <c r="BA1782">
        <v>100</v>
      </c>
      <c r="BB1782">
        <v>100</v>
      </c>
      <c r="BC1782">
        <v>100</v>
      </c>
      <c r="BD1782">
        <v>100</v>
      </c>
      <c r="BE1782">
        <v>1</v>
      </c>
      <c r="BF1782">
        <v>15000</v>
      </c>
      <c r="BG1782">
        <v>1000</v>
      </c>
      <c r="BH1782" s="6">
        <f>Grandview_Inventory[[#This Row],[land_extract]]*Lookups!$B$3</f>
        <v>51342.318135355803</v>
      </c>
      <c r="BI1782" s="6">
        <f>IF(Grandview_Inventory[[#This Row],[bldg_style]]="",0,Lookups!$B$2)</f>
        <v>155833.95000000001</v>
      </c>
      <c r="BJ1782" s="6">
        <f>_xlfn.IFNA(VLOOKUP(Grandview_Inventory[[#This Row],[quality]],Lookups!$H$2:$J$14,3,FALSE),0)</f>
        <v>2251</v>
      </c>
      <c r="BK1782" s="6">
        <f>_xlfn.IFNA(VLOOKUP(Grandview_Inventory[[#This Row],[condition]],Lookups!$H$17:$J$24,3,FALSE),0)</f>
        <v>22342</v>
      </c>
      <c r="BL1782" s="6">
        <f>Grandview_Inventory[[#This Row],[Eff_Age]]*Lookups!$B$14</f>
        <v>-10523.330399999999</v>
      </c>
      <c r="BM1782" s="6">
        <f>Grandview_Inventory[[#This Row],[living_area]]*Lookups!$B$15</f>
        <v>80346.538664000007</v>
      </c>
      <c r="BN1782" s="6">
        <f>Grandview_Inventory[[#This Row],[Fin BSMT]]*Lookups!$B$16</f>
        <v>0</v>
      </c>
      <c r="BO1782" s="6">
        <f>(Grandview_Inventory[[#This Row],[att_gar]]+Grandview_Inventory[[#This Row],[bltin_gar]])*Lookups!$B$17</f>
        <v>0</v>
      </c>
      <c r="BP1782" s="6">
        <f>Grandview_Inventory[[#This Row],[Plumbing Fixtures]]*Lookups!$B$18</f>
        <v>10052.209000000001</v>
      </c>
      <c r="BQ1782" s="6">
        <f>Grandview_Inventory[[#This Row],[detatched_value]]*Lookups!$B$19</f>
        <v>0</v>
      </c>
      <c r="BR1782" s="6">
        <f>SUM(Grandview_Inventory[[#This Row],[Intercept]:[det_value]])*Grandview_Inventory[[#This Row],[res_pct]]</f>
        <v>260302.36726400003</v>
      </c>
      <c r="BS1782" s="6">
        <f>Grandview_Inventory[[#This Row],[land_value]]</f>
        <v>51342.318135355803</v>
      </c>
      <c r="BT1782" s="4">
        <f>_xlfn.IFNA(VLOOKUP(Grandview_Inventory[[#This Row],[quality]],Lookups!$A$26:$C$33,3,FALSE),1)</f>
        <v>0.98763855981004833</v>
      </c>
      <c r="BU1782" s="4">
        <f>_xlfn.IFNA(VLOOKUP(Grandview_Inventory[[#This Row],[condition]],Lookups!$A$37:$C$44,3,FALSE),1)</f>
        <v>0.97383723671140243</v>
      </c>
      <c r="BV1782" s="4">
        <f>IF(Grandview_Inventory[[#This Row],[bldg_style]]="",1,_xlfn.IFNA(VLOOKUP(Grandview_Inventory[[#This Row],[decade]],Lookups!$F$29:$H$43,3,FALSE),1))</f>
        <v>0.9871940091910919</v>
      </c>
      <c r="BW1782" s="4">
        <f>_xlfn.IFNA(VLOOKUP(Grandview_Inventory[[#This Row],[living_area_range]],Lookups!$F$47:$H$56,3,FALSE),1)</f>
        <v>0.96135087979789358</v>
      </c>
      <c r="BX1782" s="4">
        <f>AVERAGE(Grandview_Inventory[[#This Row],[qual_adj]:[size_adj]])</f>
        <v>0.97750517137760906</v>
      </c>
      <c r="BY1782" s="6">
        <f>IF(Grandview_Inventory[[#This Row],[pre_res]]&lt;0,0,Grandview_Inventory[[#This Row],[pre_res]]*Grandview_Inventory[[#This Row],[overall_adj]])</f>
        <v>254446.91012239369</v>
      </c>
      <c r="BZ1782" s="6">
        <f>(Grandview_Inventory[[#This Row],[sum_land]]-IF(Grandview_Inventory[[#This Row],[no_utilities]]=1,12000,0))/IF(Grandview_Inventory[[#This Row],[unbuildable]]=1,2,1)</f>
        <v>51342.318135355803</v>
      </c>
      <c r="CA178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2">
        <f>ROUND(Grandview_Inventory[[#This Row],[det_value]]*Lookups!$M$28,-2)</f>
        <v>0</v>
      </c>
      <c r="CC1782">
        <f>IF(ROUND(Grandview_Inventory[[#This Row],[adj_res]]*Lookups!$M$28,-2)&lt;Grandview_Inventory[[#This Row],[min_res]],Grandview_Inventory[[#This Row],[min_res]],ROUND(Grandview_Inventory[[#This Row],[adj_res]]*Lookups!$M$28,-2))</f>
        <v>241700</v>
      </c>
      <c r="CD1782">
        <f>Grandview_Inventory[[#This Row],[final_det]]+Grandview_Inventory[[#This Row],[final_res]]</f>
        <v>241700</v>
      </c>
      <c r="CE1782">
        <f>Grandview_Inventory[[#This Row],[final_land]]+Grandview_Inventory[[#This Row],[final_imp]]+Grandview_Inventory[[#This Row],[crop_value]]</f>
        <v>290500</v>
      </c>
      <c r="CG1782" t="str">
        <f t="shared" si="27"/>
        <v>update valuation set market_land =48800, market_bldg=241700, market_total =290500, market_mdno =401, market_date ='9/10/2023' where link_id = (select link_id from parcel where parcel_year = '2024' and parcel_id = '23092333425');</v>
      </c>
    </row>
    <row r="1783" spans="1:85" x14ac:dyDescent="0.25">
      <c r="A1783">
        <v>23092333426</v>
      </c>
      <c r="B1783">
        <v>0.22</v>
      </c>
      <c r="C1783">
        <v>9582</v>
      </c>
      <c r="D1783" t="s">
        <v>129</v>
      </c>
      <c r="E1783" t="s">
        <v>53</v>
      </c>
      <c r="F1783" t="s">
        <v>53</v>
      </c>
      <c r="G1783">
        <v>4</v>
      </c>
      <c r="H1783" t="s">
        <v>54</v>
      </c>
      <c r="I1783">
        <v>175200</v>
      </c>
      <c r="J1783">
        <v>39500</v>
      </c>
      <c r="K1783">
        <v>0.22</v>
      </c>
      <c r="L178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83">
        <v>0</v>
      </c>
      <c r="N1783">
        <v>0</v>
      </c>
      <c r="O1783">
        <v>0</v>
      </c>
      <c r="P1783">
        <v>13398.7528</v>
      </c>
      <c r="Q1783">
        <v>63903</v>
      </c>
      <c r="R1783">
        <f>(Grandview_Inventory[[#This Row],[ln_acres]]*Grandview_Inventory[[#This Row],[coeff]])+Grandview_Inventory[[#This Row],[const]]</f>
        <v>43615.576802869145</v>
      </c>
      <c r="S1783" t="s">
        <v>61</v>
      </c>
      <c r="T1783">
        <v>1</v>
      </c>
      <c r="U1783" t="s">
        <v>65</v>
      </c>
      <c r="V1783" t="s">
        <v>67</v>
      </c>
      <c r="W1783">
        <v>0</v>
      </c>
      <c r="X1783">
        <v>0</v>
      </c>
      <c r="Y1783">
        <v>44</v>
      </c>
      <c r="Z1783">
        <v>48</v>
      </c>
      <c r="AA1783">
        <v>50</v>
      </c>
      <c r="AB1783">
        <v>1500</v>
      </c>
      <c r="AC1783">
        <v>1450</v>
      </c>
      <c r="AD1783">
        <v>1450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7</v>
      </c>
      <c r="AQ1783">
        <v>0</v>
      </c>
      <c r="AR1783">
        <v>0</v>
      </c>
      <c r="AS1783" t="s">
        <v>58</v>
      </c>
      <c r="AT1783">
        <v>1</v>
      </c>
      <c r="AU1783" t="s">
        <v>63</v>
      </c>
      <c r="AV1783" t="s">
        <v>64</v>
      </c>
      <c r="AW1783">
        <v>0</v>
      </c>
      <c r="AX1783">
        <v>4</v>
      </c>
      <c r="AY1783">
        <v>0</v>
      </c>
      <c r="AZ1783">
        <v>0</v>
      </c>
      <c r="BA1783">
        <v>100</v>
      </c>
      <c r="BB1783">
        <v>100</v>
      </c>
      <c r="BC1783">
        <v>100</v>
      </c>
      <c r="BD1783">
        <v>100</v>
      </c>
      <c r="BE1783">
        <v>1</v>
      </c>
      <c r="BF1783">
        <v>15000</v>
      </c>
      <c r="BG1783">
        <v>1000</v>
      </c>
      <c r="BH1783" s="6">
        <f>Grandview_Inventory[[#This Row],[land_extract]]*Lookups!$B$3</f>
        <v>50650.651579114572</v>
      </c>
      <c r="BI1783" s="6">
        <f>IF(Grandview_Inventory[[#This Row],[bldg_style]]="",0,Lookups!$B$2)</f>
        <v>155833.95000000001</v>
      </c>
      <c r="BJ1783" s="6">
        <f>_xlfn.IFNA(VLOOKUP(Grandview_Inventory[[#This Row],[quality]],Lookups!$H$2:$J$14,3,FALSE),0)</f>
        <v>2251</v>
      </c>
      <c r="BK1783" s="6">
        <f>_xlfn.IFNA(VLOOKUP(Grandview_Inventory[[#This Row],[condition]],Lookups!$H$17:$J$24,3,FALSE),0)</f>
        <v>22342</v>
      </c>
      <c r="BL1783" s="6">
        <f>Grandview_Inventory[[#This Row],[Eff_Age]]*Lookups!$B$14</f>
        <v>-10523.330399999999</v>
      </c>
      <c r="BM1783" s="6">
        <f>Grandview_Inventory[[#This Row],[living_area]]*Lookups!$B$15</f>
        <v>90452.236850000001</v>
      </c>
      <c r="BN1783" s="6">
        <f>Grandview_Inventory[[#This Row],[Fin BSMT]]*Lookups!$B$16</f>
        <v>0</v>
      </c>
      <c r="BO1783" s="6">
        <f>(Grandview_Inventory[[#This Row],[att_gar]]+Grandview_Inventory[[#This Row],[bltin_gar]])*Lookups!$B$17</f>
        <v>0</v>
      </c>
      <c r="BP1783" s="6">
        <f>Grandview_Inventory[[#This Row],[Plumbing Fixtures]]*Lookups!$B$18</f>
        <v>14073.0926</v>
      </c>
      <c r="BQ1783" s="6">
        <f>Grandview_Inventory[[#This Row],[detatched_value]]*Lookups!$B$19</f>
        <v>0</v>
      </c>
      <c r="BR1783" s="6">
        <f>SUM(Grandview_Inventory[[#This Row],[Intercept]:[det_value]])*Grandview_Inventory[[#This Row],[res_pct]]</f>
        <v>274428.94905</v>
      </c>
      <c r="BS1783" s="6">
        <f>Grandview_Inventory[[#This Row],[land_value]]</f>
        <v>50650.651579114572</v>
      </c>
      <c r="BT1783" s="4">
        <f>_xlfn.IFNA(VLOOKUP(Grandview_Inventory[[#This Row],[quality]],Lookups!$A$26:$C$33,3,FALSE),1)</f>
        <v>0.98763855981004833</v>
      </c>
      <c r="BU1783" s="4">
        <f>_xlfn.IFNA(VLOOKUP(Grandview_Inventory[[#This Row],[condition]],Lookups!$A$37:$C$44,3,FALSE),1)</f>
        <v>0.97383723671140243</v>
      </c>
      <c r="BV1783" s="4">
        <f>IF(Grandview_Inventory[[#This Row],[bldg_style]]="",1,_xlfn.IFNA(VLOOKUP(Grandview_Inventory[[#This Row],[decade]],Lookups!$F$29:$H$43,3,FALSE),1))</f>
        <v>0.9871940091910919</v>
      </c>
      <c r="BW1783" s="4">
        <f>_xlfn.IFNA(VLOOKUP(Grandview_Inventory[[#This Row],[living_area_range]],Lookups!$F$47:$H$56,3,FALSE),1)</f>
        <v>0.96135087979789358</v>
      </c>
      <c r="BX1783" s="4">
        <f>AVERAGE(Grandview_Inventory[[#This Row],[qual_adj]:[size_adj]])</f>
        <v>0.97750517137760906</v>
      </c>
      <c r="BY1783" s="6">
        <f>IF(Grandview_Inventory[[#This Row],[pre_res]]&lt;0,0,Grandview_Inventory[[#This Row],[pre_res]]*Grandview_Inventory[[#This Row],[overall_adj]])</f>
        <v>268255.7168720974</v>
      </c>
      <c r="BZ1783" s="6">
        <f>(Grandview_Inventory[[#This Row],[sum_land]]-IF(Grandview_Inventory[[#This Row],[no_utilities]]=1,12000,0))/IF(Grandview_Inventory[[#This Row],[unbuildable]]=1,2,1)</f>
        <v>50650.651579114572</v>
      </c>
      <c r="CA178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83">
        <f>ROUND(Grandview_Inventory[[#This Row],[det_value]]*Lookups!$M$28,-2)</f>
        <v>0</v>
      </c>
      <c r="CC1783">
        <f>IF(ROUND(Grandview_Inventory[[#This Row],[adj_res]]*Lookups!$M$28,-2)&lt;Grandview_Inventory[[#This Row],[min_res]],Grandview_Inventory[[#This Row],[min_res]],ROUND(Grandview_Inventory[[#This Row],[adj_res]]*Lookups!$M$28,-2))</f>
        <v>254800</v>
      </c>
      <c r="CD1783">
        <f>Grandview_Inventory[[#This Row],[final_det]]+Grandview_Inventory[[#This Row],[final_res]]</f>
        <v>254800</v>
      </c>
      <c r="CE1783">
        <f>Grandview_Inventory[[#This Row],[final_land]]+Grandview_Inventory[[#This Row],[final_imp]]+Grandview_Inventory[[#This Row],[crop_value]]</f>
        <v>302900</v>
      </c>
      <c r="CG1783" t="str">
        <f t="shared" si="27"/>
        <v>update valuation set market_land =48100, market_bldg=254800, market_total =302900, market_mdno =401, market_date ='9/10/2023' where link_id = (select link_id from parcel where parcel_year = '2024' and parcel_id = '23092333426');</v>
      </c>
    </row>
    <row r="1784" spans="1:85" x14ac:dyDescent="0.25">
      <c r="A1784">
        <v>23092333427</v>
      </c>
      <c r="B1784">
        <v>0.23</v>
      </c>
      <c r="C1784">
        <v>9922</v>
      </c>
      <c r="D1784" t="s">
        <v>129</v>
      </c>
      <c r="E1784" t="s">
        <v>53</v>
      </c>
      <c r="F1784" t="s">
        <v>53</v>
      </c>
      <c r="G1784">
        <v>4</v>
      </c>
      <c r="H1784" t="s">
        <v>54</v>
      </c>
      <c r="I1784">
        <v>128600</v>
      </c>
      <c r="J1784">
        <v>39500</v>
      </c>
      <c r="K1784">
        <v>0.23</v>
      </c>
      <c r="L178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4">
        <v>0</v>
      </c>
      <c r="N1784">
        <v>0</v>
      </c>
      <c r="O1784">
        <v>0</v>
      </c>
      <c r="P1784">
        <v>13398.7528</v>
      </c>
      <c r="Q1784">
        <v>63903</v>
      </c>
      <c r="R1784">
        <f>(Grandview_Inventory[[#This Row],[ln_acres]]*Grandview_Inventory[[#This Row],[coeff]])+Grandview_Inventory[[#This Row],[const]]</f>
        <v>44211.174981080039</v>
      </c>
      <c r="S1784" t="s">
        <v>61</v>
      </c>
      <c r="T1784">
        <v>1</v>
      </c>
      <c r="U1784" t="s">
        <v>70</v>
      </c>
      <c r="V1784" t="s">
        <v>78</v>
      </c>
      <c r="W1784">
        <v>0</v>
      </c>
      <c r="X1784">
        <v>0</v>
      </c>
      <c r="Y1784">
        <v>44</v>
      </c>
      <c r="Z1784">
        <v>48</v>
      </c>
      <c r="AA1784">
        <v>50</v>
      </c>
      <c r="AB1784">
        <v>1500</v>
      </c>
      <c r="AC1784">
        <v>1368</v>
      </c>
      <c r="AD1784">
        <v>1368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5</v>
      </c>
      <c r="AQ1784">
        <v>0</v>
      </c>
      <c r="AR1784">
        <v>0</v>
      </c>
      <c r="AS1784" t="s">
        <v>58</v>
      </c>
      <c r="AT1784">
        <v>1</v>
      </c>
      <c r="AU1784" t="s">
        <v>63</v>
      </c>
      <c r="AV1784" t="s">
        <v>64</v>
      </c>
      <c r="AW1784">
        <v>1</v>
      </c>
      <c r="AX1784">
        <v>4</v>
      </c>
      <c r="AY1784">
        <v>0</v>
      </c>
      <c r="AZ1784">
        <v>0</v>
      </c>
      <c r="BA1784">
        <v>100</v>
      </c>
      <c r="BB1784">
        <v>100</v>
      </c>
      <c r="BC1784">
        <v>100</v>
      </c>
      <c r="BD1784">
        <v>100</v>
      </c>
      <c r="BE1784">
        <v>1</v>
      </c>
      <c r="BF1784">
        <v>15000</v>
      </c>
      <c r="BG1784">
        <v>1000</v>
      </c>
      <c r="BH1784" s="6">
        <f>Grandview_Inventory[[#This Row],[land_extract]]*Lookups!$B$3</f>
        <v>51342.318135355803</v>
      </c>
      <c r="BI1784" s="6">
        <f>IF(Grandview_Inventory[[#This Row],[bldg_style]]="",0,Lookups!$B$2)</f>
        <v>155833.95000000001</v>
      </c>
      <c r="BJ1784" s="6">
        <f>_xlfn.IFNA(VLOOKUP(Grandview_Inventory[[#This Row],[quality]],Lookups!$H$2:$J$14,3,FALSE),0)</f>
        <v>10733</v>
      </c>
      <c r="BK1784" s="6">
        <f>_xlfn.IFNA(VLOOKUP(Grandview_Inventory[[#This Row],[condition]],Lookups!$H$17:$J$24,3,FALSE),0)</f>
        <v>-45357</v>
      </c>
      <c r="BL1784" s="6">
        <f>Grandview_Inventory[[#This Row],[Eff_Age]]*Lookups!$B$14</f>
        <v>-10523.330399999999</v>
      </c>
      <c r="BM1784" s="6">
        <f>Grandview_Inventory[[#This Row],[living_area]]*Lookups!$B$15</f>
        <v>85337.006904000009</v>
      </c>
      <c r="BN1784" s="6">
        <f>Grandview_Inventory[[#This Row],[Fin BSMT]]*Lookups!$B$16</f>
        <v>0</v>
      </c>
      <c r="BO1784" s="6">
        <f>(Grandview_Inventory[[#This Row],[att_gar]]+Grandview_Inventory[[#This Row],[bltin_gar]])*Lookups!$B$17</f>
        <v>0</v>
      </c>
      <c r="BP1784" s="6">
        <f>Grandview_Inventory[[#This Row],[Plumbing Fixtures]]*Lookups!$B$18</f>
        <v>10052.209000000001</v>
      </c>
      <c r="BQ1784" s="6">
        <f>Grandview_Inventory[[#This Row],[detatched_value]]*Lookups!$B$19</f>
        <v>0</v>
      </c>
      <c r="BR1784" s="6">
        <f>SUM(Grandview_Inventory[[#This Row],[Intercept]:[det_value]])*Grandview_Inventory[[#This Row],[res_pct]]</f>
        <v>206075.83550400002</v>
      </c>
      <c r="BS1784" s="6">
        <f>Grandview_Inventory[[#This Row],[land_value]]</f>
        <v>51342.318135355803</v>
      </c>
      <c r="BT1784" s="4">
        <f>_xlfn.IFNA(VLOOKUP(Grandview_Inventory[[#This Row],[quality]],Lookups!$A$26:$C$33,3,FALSE),1)</f>
        <v>0.98079741117310582</v>
      </c>
      <c r="BU1784" s="4">
        <f>_xlfn.IFNA(VLOOKUP(Grandview_Inventory[[#This Row],[condition]],Lookups!$A$37:$C$44,3,FALSE),1)</f>
        <v>0.97161819570155394</v>
      </c>
      <c r="BV1784" s="4">
        <f>IF(Grandview_Inventory[[#This Row],[bldg_style]]="",1,_xlfn.IFNA(VLOOKUP(Grandview_Inventory[[#This Row],[decade]],Lookups!$F$29:$H$43,3,FALSE),1))</f>
        <v>0.9871940091910919</v>
      </c>
      <c r="BW1784" s="4">
        <f>_xlfn.IFNA(VLOOKUP(Grandview_Inventory[[#This Row],[living_area_range]],Lookups!$F$47:$H$56,3,FALSE),1)</f>
        <v>0.96135087979789358</v>
      </c>
      <c r="BX1784" s="4">
        <f>AVERAGE(Grandview_Inventory[[#This Row],[qual_adj]:[size_adj]])</f>
        <v>0.97524012396591131</v>
      </c>
      <c r="BY1784" s="6">
        <f>IF(Grandview_Inventory[[#This Row],[pre_res]]&lt;0,0,Grandview_Inventory[[#This Row],[pre_res]]*Grandview_Inventory[[#This Row],[overall_adj]])</f>
        <v>200973.42336329972</v>
      </c>
      <c r="BZ1784" s="6">
        <f>(Grandview_Inventory[[#This Row],[sum_land]]-IF(Grandview_Inventory[[#This Row],[no_utilities]]=1,12000,0))/IF(Grandview_Inventory[[#This Row],[unbuildable]]=1,2,1)</f>
        <v>51342.318135355803</v>
      </c>
      <c r="CA178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4">
        <f>ROUND(Grandview_Inventory[[#This Row],[det_value]]*Lookups!$M$28,-2)</f>
        <v>0</v>
      </c>
      <c r="CC1784">
        <f>IF(ROUND(Grandview_Inventory[[#This Row],[adj_res]]*Lookups!$M$28,-2)&lt;Grandview_Inventory[[#This Row],[min_res]],Grandview_Inventory[[#This Row],[min_res]],ROUND(Grandview_Inventory[[#This Row],[adj_res]]*Lookups!$M$28,-2))</f>
        <v>190900</v>
      </c>
      <c r="CD1784">
        <f>Grandview_Inventory[[#This Row],[final_det]]+Grandview_Inventory[[#This Row],[final_res]]</f>
        <v>190900</v>
      </c>
      <c r="CE1784">
        <f>Grandview_Inventory[[#This Row],[final_land]]+Grandview_Inventory[[#This Row],[final_imp]]+Grandview_Inventory[[#This Row],[crop_value]]</f>
        <v>239700</v>
      </c>
      <c r="CG1784" t="str">
        <f t="shared" si="27"/>
        <v>update valuation set market_land =48800, market_bldg=190900, market_total =239700, market_mdno =401, market_date ='9/10/2023' where link_id = (select link_id from parcel where parcel_year = '2024' and parcel_id = '23092333427');</v>
      </c>
    </row>
    <row r="1785" spans="1:85" x14ac:dyDescent="0.25">
      <c r="A1785">
        <v>23092333428</v>
      </c>
      <c r="B1785">
        <v>0.22</v>
      </c>
      <c r="C1785">
        <v>9789</v>
      </c>
      <c r="D1785" t="s">
        <v>129</v>
      </c>
      <c r="E1785" t="s">
        <v>53</v>
      </c>
      <c r="F1785" t="s">
        <v>53</v>
      </c>
      <c r="G1785">
        <v>4</v>
      </c>
      <c r="H1785" t="s">
        <v>54</v>
      </c>
      <c r="I1785">
        <v>155400</v>
      </c>
      <c r="J1785">
        <v>39500</v>
      </c>
      <c r="K1785">
        <v>0.22</v>
      </c>
      <c r="L178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85">
        <v>0</v>
      </c>
      <c r="N1785">
        <v>0</v>
      </c>
      <c r="O1785">
        <v>0</v>
      </c>
      <c r="P1785">
        <v>13398.7528</v>
      </c>
      <c r="Q1785">
        <v>63903</v>
      </c>
      <c r="R1785">
        <f>(Grandview_Inventory[[#This Row],[ln_acres]]*Grandview_Inventory[[#This Row],[coeff]])+Grandview_Inventory[[#This Row],[const]]</f>
        <v>43615.576802869145</v>
      </c>
      <c r="S1785" t="s">
        <v>61</v>
      </c>
      <c r="T1785">
        <v>1</v>
      </c>
      <c r="U1785" t="s">
        <v>70</v>
      </c>
      <c r="V1785" t="s">
        <v>69</v>
      </c>
      <c r="W1785">
        <v>0</v>
      </c>
      <c r="X1785">
        <v>0</v>
      </c>
      <c r="Y1785">
        <v>44</v>
      </c>
      <c r="Z1785">
        <v>48</v>
      </c>
      <c r="AA1785">
        <v>50</v>
      </c>
      <c r="AB1785">
        <v>1500</v>
      </c>
      <c r="AC1785">
        <v>1368</v>
      </c>
      <c r="AD1785">
        <v>1368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8</v>
      </c>
      <c r="AQ1785">
        <v>0</v>
      </c>
      <c r="AR1785">
        <v>0</v>
      </c>
      <c r="AS1785" t="s">
        <v>58</v>
      </c>
      <c r="AT1785">
        <v>1</v>
      </c>
      <c r="AU1785" t="s">
        <v>63</v>
      </c>
      <c r="AV1785" t="s">
        <v>60</v>
      </c>
      <c r="AW1785">
        <v>0</v>
      </c>
      <c r="AX1785">
        <v>4</v>
      </c>
      <c r="AY1785">
        <v>0</v>
      </c>
      <c r="AZ1785">
        <v>0</v>
      </c>
      <c r="BA1785">
        <v>100</v>
      </c>
      <c r="BB1785">
        <v>100</v>
      </c>
      <c r="BC1785">
        <v>100</v>
      </c>
      <c r="BD1785">
        <v>100</v>
      </c>
      <c r="BE1785">
        <v>1</v>
      </c>
      <c r="BF1785">
        <v>15000</v>
      </c>
      <c r="BG1785">
        <v>1000</v>
      </c>
      <c r="BH1785" s="6">
        <f>Grandview_Inventory[[#This Row],[land_extract]]*Lookups!$B$3</f>
        <v>50650.651579114572</v>
      </c>
      <c r="BI1785" s="6">
        <f>IF(Grandview_Inventory[[#This Row],[bldg_style]]="",0,Lookups!$B$2)</f>
        <v>155833.95000000001</v>
      </c>
      <c r="BJ1785" s="6">
        <f>_xlfn.IFNA(VLOOKUP(Grandview_Inventory[[#This Row],[quality]],Lookups!$H$2:$J$14,3,FALSE),0)</f>
        <v>10733</v>
      </c>
      <c r="BK1785" s="6">
        <f>_xlfn.IFNA(VLOOKUP(Grandview_Inventory[[#This Row],[condition]],Lookups!$H$17:$J$24,3,FALSE),0)</f>
        <v>-4503</v>
      </c>
      <c r="BL1785" s="6">
        <f>Grandview_Inventory[[#This Row],[Eff_Age]]*Lookups!$B$14</f>
        <v>-10523.330399999999</v>
      </c>
      <c r="BM1785" s="6">
        <f>Grandview_Inventory[[#This Row],[living_area]]*Lookups!$B$15</f>
        <v>85337.006904000009</v>
      </c>
      <c r="BN1785" s="6">
        <f>Grandview_Inventory[[#This Row],[Fin BSMT]]*Lookups!$B$16</f>
        <v>0</v>
      </c>
      <c r="BO1785" s="6">
        <f>(Grandview_Inventory[[#This Row],[att_gar]]+Grandview_Inventory[[#This Row],[bltin_gar]])*Lookups!$B$17</f>
        <v>0</v>
      </c>
      <c r="BP1785" s="6">
        <f>Grandview_Inventory[[#This Row],[Plumbing Fixtures]]*Lookups!$B$18</f>
        <v>16083.5344</v>
      </c>
      <c r="BQ1785" s="6">
        <f>Grandview_Inventory[[#This Row],[detatched_value]]*Lookups!$B$19</f>
        <v>0</v>
      </c>
      <c r="BR1785" s="6">
        <f>SUM(Grandview_Inventory[[#This Row],[Intercept]:[det_value]])*Grandview_Inventory[[#This Row],[res_pct]]</f>
        <v>252961.16090400002</v>
      </c>
      <c r="BS1785" s="6">
        <f>Grandview_Inventory[[#This Row],[land_value]]</f>
        <v>50650.651579114572</v>
      </c>
      <c r="BT1785" s="4">
        <f>_xlfn.IFNA(VLOOKUP(Grandview_Inventory[[#This Row],[quality]],Lookups!$A$26:$C$33,3,FALSE),1)</f>
        <v>0.98079741117310582</v>
      </c>
      <c r="BU1785" s="4">
        <f>_xlfn.IFNA(VLOOKUP(Grandview_Inventory[[#This Row],[condition]],Lookups!$A$37:$C$44,3,FALSE),1)</f>
        <v>0.96469275950863709</v>
      </c>
      <c r="BV1785" s="4">
        <f>IF(Grandview_Inventory[[#This Row],[bldg_style]]="",1,_xlfn.IFNA(VLOOKUP(Grandview_Inventory[[#This Row],[decade]],Lookups!$F$29:$H$43,3,FALSE),1))</f>
        <v>0.9871940091910919</v>
      </c>
      <c r="BW1785" s="4">
        <f>_xlfn.IFNA(VLOOKUP(Grandview_Inventory[[#This Row],[living_area_range]],Lookups!$F$47:$H$56,3,FALSE),1)</f>
        <v>0.96135087979789358</v>
      </c>
      <c r="BX1785" s="4">
        <f>AVERAGE(Grandview_Inventory[[#This Row],[qual_adj]:[size_adj]])</f>
        <v>0.97350876491768212</v>
      </c>
      <c r="BY1785" s="6">
        <f>IF(Grandview_Inventory[[#This Row],[pre_res]]&lt;0,0,Grandview_Inventory[[#This Row],[pre_res]]*Grandview_Inventory[[#This Row],[overall_adj]])</f>
        <v>246259.90732379613</v>
      </c>
      <c r="BZ1785" s="6">
        <f>(Grandview_Inventory[[#This Row],[sum_land]]-IF(Grandview_Inventory[[#This Row],[no_utilities]]=1,12000,0))/IF(Grandview_Inventory[[#This Row],[unbuildable]]=1,2,1)</f>
        <v>50650.651579114572</v>
      </c>
      <c r="CA178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85">
        <f>ROUND(Grandview_Inventory[[#This Row],[det_value]]*Lookups!$M$28,-2)</f>
        <v>0</v>
      </c>
      <c r="CC1785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1785">
        <f>Grandview_Inventory[[#This Row],[final_det]]+Grandview_Inventory[[#This Row],[final_res]]</f>
        <v>233900</v>
      </c>
      <c r="CE1785">
        <f>Grandview_Inventory[[#This Row],[final_land]]+Grandview_Inventory[[#This Row],[final_imp]]+Grandview_Inventory[[#This Row],[crop_value]]</f>
        <v>282000</v>
      </c>
      <c r="CG1785" t="str">
        <f t="shared" si="27"/>
        <v>update valuation set market_land =48100, market_bldg=233900, market_total =282000, market_mdno =401, market_date ='9/10/2023' where link_id = (select link_id from parcel where parcel_year = '2024' and parcel_id = '23092333428');</v>
      </c>
    </row>
    <row r="1786" spans="1:85" x14ac:dyDescent="0.25">
      <c r="A1786">
        <v>23092333429</v>
      </c>
      <c r="B1786">
        <v>0.23</v>
      </c>
      <c r="C1786">
        <v>9804</v>
      </c>
      <c r="D1786" t="s">
        <v>129</v>
      </c>
      <c r="E1786" t="s">
        <v>53</v>
      </c>
      <c r="F1786" t="s">
        <v>53</v>
      </c>
      <c r="G1786">
        <v>4</v>
      </c>
      <c r="H1786" t="s">
        <v>54</v>
      </c>
      <c r="I1786">
        <v>184700</v>
      </c>
      <c r="J1786">
        <v>39500</v>
      </c>
      <c r="K1786">
        <v>0.23</v>
      </c>
      <c r="L178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6">
        <v>0</v>
      </c>
      <c r="N1786">
        <v>0</v>
      </c>
      <c r="O1786">
        <v>0</v>
      </c>
      <c r="P1786">
        <v>13398.7528</v>
      </c>
      <c r="Q1786">
        <v>63903</v>
      </c>
      <c r="R1786">
        <f>(Grandview_Inventory[[#This Row],[ln_acres]]*Grandview_Inventory[[#This Row],[coeff]])+Grandview_Inventory[[#This Row],[const]]</f>
        <v>44211.174981080039</v>
      </c>
      <c r="S1786" t="s">
        <v>61</v>
      </c>
      <c r="T1786">
        <v>1</v>
      </c>
      <c r="U1786" t="s">
        <v>70</v>
      </c>
      <c r="V1786" t="s">
        <v>67</v>
      </c>
      <c r="W1786">
        <v>0</v>
      </c>
      <c r="X1786">
        <v>0</v>
      </c>
      <c r="Y1786">
        <v>44</v>
      </c>
      <c r="Z1786">
        <v>48</v>
      </c>
      <c r="AA1786">
        <v>50</v>
      </c>
      <c r="AB1786">
        <v>1500</v>
      </c>
      <c r="AC1786">
        <v>1368</v>
      </c>
      <c r="AD1786">
        <v>1368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5</v>
      </c>
      <c r="AQ1786">
        <v>0</v>
      </c>
      <c r="AR1786">
        <v>0</v>
      </c>
      <c r="AS1786" t="s">
        <v>58</v>
      </c>
      <c r="AT1786">
        <v>1</v>
      </c>
      <c r="AU1786" t="s">
        <v>63</v>
      </c>
      <c r="AV1786" t="s">
        <v>60</v>
      </c>
      <c r="AW1786">
        <v>0</v>
      </c>
      <c r="AX1786">
        <v>3</v>
      </c>
      <c r="AY1786">
        <v>0</v>
      </c>
      <c r="AZ1786">
        <v>0</v>
      </c>
      <c r="BA1786">
        <v>100</v>
      </c>
      <c r="BB1786">
        <v>100</v>
      </c>
      <c r="BC1786">
        <v>100</v>
      </c>
      <c r="BD1786">
        <v>100</v>
      </c>
      <c r="BE1786">
        <v>1</v>
      </c>
      <c r="BF1786">
        <v>15000</v>
      </c>
      <c r="BG1786">
        <v>1000</v>
      </c>
      <c r="BH1786" s="6">
        <f>Grandview_Inventory[[#This Row],[land_extract]]*Lookups!$B$3</f>
        <v>51342.318135355803</v>
      </c>
      <c r="BI1786" s="6">
        <f>IF(Grandview_Inventory[[#This Row],[bldg_style]]="",0,Lookups!$B$2)</f>
        <v>155833.95000000001</v>
      </c>
      <c r="BJ1786" s="6">
        <f>_xlfn.IFNA(VLOOKUP(Grandview_Inventory[[#This Row],[quality]],Lookups!$H$2:$J$14,3,FALSE),0)</f>
        <v>10733</v>
      </c>
      <c r="BK1786" s="6">
        <f>_xlfn.IFNA(VLOOKUP(Grandview_Inventory[[#This Row],[condition]],Lookups!$H$17:$J$24,3,FALSE),0)</f>
        <v>22342</v>
      </c>
      <c r="BL1786" s="6">
        <f>Grandview_Inventory[[#This Row],[Eff_Age]]*Lookups!$B$14</f>
        <v>-10523.330399999999</v>
      </c>
      <c r="BM1786" s="6">
        <f>Grandview_Inventory[[#This Row],[living_area]]*Lookups!$B$15</f>
        <v>85337.006904000009</v>
      </c>
      <c r="BN1786" s="6">
        <f>Grandview_Inventory[[#This Row],[Fin BSMT]]*Lookups!$B$16</f>
        <v>0</v>
      </c>
      <c r="BO1786" s="6">
        <f>(Grandview_Inventory[[#This Row],[att_gar]]+Grandview_Inventory[[#This Row],[bltin_gar]])*Lookups!$B$17</f>
        <v>0</v>
      </c>
      <c r="BP1786" s="6">
        <f>Grandview_Inventory[[#This Row],[Plumbing Fixtures]]*Lookups!$B$18</f>
        <v>10052.209000000001</v>
      </c>
      <c r="BQ1786" s="6">
        <f>Grandview_Inventory[[#This Row],[detatched_value]]*Lookups!$B$19</f>
        <v>0</v>
      </c>
      <c r="BR1786" s="6">
        <f>SUM(Grandview_Inventory[[#This Row],[Intercept]:[det_value]])*Grandview_Inventory[[#This Row],[res_pct]]</f>
        <v>273774.83550400002</v>
      </c>
      <c r="BS1786" s="6">
        <f>Grandview_Inventory[[#This Row],[land_value]]</f>
        <v>51342.318135355803</v>
      </c>
      <c r="BT1786" s="4">
        <f>_xlfn.IFNA(VLOOKUP(Grandview_Inventory[[#This Row],[quality]],Lookups!$A$26:$C$33,3,FALSE),1)</f>
        <v>0.98079741117310582</v>
      </c>
      <c r="BU1786" s="4">
        <f>_xlfn.IFNA(VLOOKUP(Grandview_Inventory[[#This Row],[condition]],Lookups!$A$37:$C$44,3,FALSE),1)</f>
        <v>0.97383723671140243</v>
      </c>
      <c r="BV1786" s="4">
        <f>IF(Grandview_Inventory[[#This Row],[bldg_style]]="",1,_xlfn.IFNA(VLOOKUP(Grandview_Inventory[[#This Row],[decade]],Lookups!$F$29:$H$43,3,FALSE),1))</f>
        <v>0.9871940091910919</v>
      </c>
      <c r="BW1786" s="4">
        <f>_xlfn.IFNA(VLOOKUP(Grandview_Inventory[[#This Row],[living_area_range]],Lookups!$F$47:$H$56,3,FALSE),1)</f>
        <v>0.96135087979789358</v>
      </c>
      <c r="BX1786" s="4">
        <f>AVERAGE(Grandview_Inventory[[#This Row],[qual_adj]:[size_adj]])</f>
        <v>0.97579488421837346</v>
      </c>
      <c r="BY1786" s="6">
        <f>IF(Grandview_Inventory[[#This Row],[pre_res]]&lt;0,0,Grandview_Inventory[[#This Row],[pre_res]]*Grandview_Inventory[[#This Row],[overall_adj]])</f>
        <v>267148.08391252992</v>
      </c>
      <c r="BZ1786" s="6">
        <f>(Grandview_Inventory[[#This Row],[sum_land]]-IF(Grandview_Inventory[[#This Row],[no_utilities]]=1,12000,0))/IF(Grandview_Inventory[[#This Row],[unbuildable]]=1,2,1)</f>
        <v>51342.318135355803</v>
      </c>
      <c r="CA178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6">
        <f>ROUND(Grandview_Inventory[[#This Row],[det_value]]*Lookups!$M$28,-2)</f>
        <v>0</v>
      </c>
      <c r="CC1786">
        <f>IF(ROUND(Grandview_Inventory[[#This Row],[adj_res]]*Lookups!$M$28,-2)&lt;Grandview_Inventory[[#This Row],[min_res]],Grandview_Inventory[[#This Row],[min_res]],ROUND(Grandview_Inventory[[#This Row],[adj_res]]*Lookups!$M$28,-2))</f>
        <v>253800</v>
      </c>
      <c r="CD1786">
        <f>Grandview_Inventory[[#This Row],[final_det]]+Grandview_Inventory[[#This Row],[final_res]]</f>
        <v>253800</v>
      </c>
      <c r="CE1786">
        <f>Grandview_Inventory[[#This Row],[final_land]]+Grandview_Inventory[[#This Row],[final_imp]]+Grandview_Inventory[[#This Row],[crop_value]]</f>
        <v>302600</v>
      </c>
      <c r="CG1786" t="str">
        <f t="shared" si="27"/>
        <v>update valuation set market_land =48800, market_bldg=253800, market_total =302600, market_mdno =401, market_date ='9/10/2023' where link_id = (select link_id from parcel where parcel_year = '2024' and parcel_id = '23092333429');</v>
      </c>
    </row>
    <row r="1787" spans="1:85" x14ac:dyDescent="0.25">
      <c r="A1787">
        <v>23092333430</v>
      </c>
      <c r="B1787">
        <v>0.23</v>
      </c>
      <c r="C1787">
        <v>9818</v>
      </c>
      <c r="D1787" t="s">
        <v>129</v>
      </c>
      <c r="E1787" t="s">
        <v>53</v>
      </c>
      <c r="F1787" t="s">
        <v>53</v>
      </c>
      <c r="G1787">
        <v>4</v>
      </c>
      <c r="H1787" t="s">
        <v>54</v>
      </c>
      <c r="I1787">
        <v>175300</v>
      </c>
      <c r="J1787">
        <v>43800</v>
      </c>
      <c r="K1787">
        <v>0.23</v>
      </c>
      <c r="L178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7">
        <v>0</v>
      </c>
      <c r="N1787">
        <v>0</v>
      </c>
      <c r="O1787">
        <v>0</v>
      </c>
      <c r="P1787">
        <v>13398.7528</v>
      </c>
      <c r="Q1787">
        <v>63903</v>
      </c>
      <c r="R1787">
        <f>(Grandview_Inventory[[#This Row],[ln_acres]]*Grandview_Inventory[[#This Row],[coeff]])+Grandview_Inventory[[#This Row],[const]]</f>
        <v>44211.174981080039</v>
      </c>
      <c r="S1787" t="s">
        <v>61</v>
      </c>
      <c r="T1787">
        <v>1</v>
      </c>
      <c r="U1787" t="s">
        <v>70</v>
      </c>
      <c r="V1787" t="s">
        <v>69</v>
      </c>
      <c r="W1787">
        <v>0</v>
      </c>
      <c r="X1787">
        <v>0</v>
      </c>
      <c r="Y1787">
        <v>44</v>
      </c>
      <c r="Z1787">
        <v>48</v>
      </c>
      <c r="AA1787">
        <v>50</v>
      </c>
      <c r="AB1787">
        <v>1500</v>
      </c>
      <c r="AC1787">
        <v>1382</v>
      </c>
      <c r="AD1787">
        <v>1382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360</v>
      </c>
      <c r="AL1787">
        <v>0</v>
      </c>
      <c r="AM1787">
        <v>1707</v>
      </c>
      <c r="AN1787">
        <v>0</v>
      </c>
      <c r="AO1787">
        <v>630</v>
      </c>
      <c r="AP1787">
        <v>5</v>
      </c>
      <c r="AQ1787">
        <v>0</v>
      </c>
      <c r="AR1787">
        <v>0</v>
      </c>
      <c r="AS1787" t="s">
        <v>58</v>
      </c>
      <c r="AT1787">
        <v>1</v>
      </c>
      <c r="AU1787" t="s">
        <v>63</v>
      </c>
      <c r="AV1787" t="s">
        <v>64</v>
      </c>
      <c r="AW1787">
        <v>1</v>
      </c>
      <c r="AX1787">
        <v>4</v>
      </c>
      <c r="AY1787">
        <v>0</v>
      </c>
      <c r="AZ1787">
        <v>4900</v>
      </c>
      <c r="BA1787">
        <v>100</v>
      </c>
      <c r="BB1787">
        <v>100</v>
      </c>
      <c r="BC1787">
        <v>100</v>
      </c>
      <c r="BD1787">
        <v>100</v>
      </c>
      <c r="BE1787">
        <v>1</v>
      </c>
      <c r="BF1787">
        <v>15000</v>
      </c>
      <c r="BG1787">
        <v>1000</v>
      </c>
      <c r="BH1787" s="6">
        <f>Grandview_Inventory[[#This Row],[land_extract]]*Lookups!$B$3</f>
        <v>51342.318135355803</v>
      </c>
      <c r="BI1787" s="6">
        <f>IF(Grandview_Inventory[[#This Row],[bldg_style]]="",0,Lookups!$B$2)</f>
        <v>155833.95000000001</v>
      </c>
      <c r="BJ1787" s="6">
        <f>_xlfn.IFNA(VLOOKUP(Grandview_Inventory[[#This Row],[quality]],Lookups!$H$2:$J$14,3,FALSE),0)</f>
        <v>10733</v>
      </c>
      <c r="BK1787" s="6">
        <f>_xlfn.IFNA(VLOOKUP(Grandview_Inventory[[#This Row],[condition]],Lookups!$H$17:$J$24,3,FALSE),0)</f>
        <v>-4503</v>
      </c>
      <c r="BL1787" s="6">
        <f>Grandview_Inventory[[#This Row],[Eff_Age]]*Lookups!$B$14</f>
        <v>-10523.330399999999</v>
      </c>
      <c r="BM1787" s="6">
        <f>Grandview_Inventory[[#This Row],[living_area]]*Lookups!$B$15</f>
        <v>86210.338845999999</v>
      </c>
      <c r="BN1787" s="6">
        <f>Grandview_Inventory[[#This Row],[Fin BSMT]]*Lookups!$B$16</f>
        <v>0</v>
      </c>
      <c r="BO1787" s="6">
        <f>(Grandview_Inventory[[#This Row],[att_gar]]+Grandview_Inventory[[#This Row],[bltin_gar]])*Lookups!$B$17</f>
        <v>0</v>
      </c>
      <c r="BP1787" s="6">
        <f>Grandview_Inventory[[#This Row],[Plumbing Fixtures]]*Lookups!$B$18</f>
        <v>10052.209000000001</v>
      </c>
      <c r="BQ1787" s="6">
        <f>Grandview_Inventory[[#This Row],[detatched_value]]*Lookups!$B$19</f>
        <v>4149.3449899999996</v>
      </c>
      <c r="BR1787" s="6">
        <f>SUM(Grandview_Inventory[[#This Row],[Intercept]:[det_value]])*Grandview_Inventory[[#This Row],[res_pct]]</f>
        <v>251952.51243600002</v>
      </c>
      <c r="BS1787" s="6">
        <f>Grandview_Inventory[[#This Row],[land_value]]</f>
        <v>51342.318135355803</v>
      </c>
      <c r="BT1787" s="4">
        <f>_xlfn.IFNA(VLOOKUP(Grandview_Inventory[[#This Row],[quality]],Lookups!$A$26:$C$33,3,FALSE),1)</f>
        <v>0.98079741117310582</v>
      </c>
      <c r="BU1787" s="4">
        <f>_xlfn.IFNA(VLOOKUP(Grandview_Inventory[[#This Row],[condition]],Lookups!$A$37:$C$44,3,FALSE),1)</f>
        <v>0.96469275950863709</v>
      </c>
      <c r="BV1787" s="4">
        <f>IF(Grandview_Inventory[[#This Row],[bldg_style]]="",1,_xlfn.IFNA(VLOOKUP(Grandview_Inventory[[#This Row],[decade]],Lookups!$F$29:$H$43,3,FALSE),1))</f>
        <v>0.9871940091910919</v>
      </c>
      <c r="BW1787" s="4">
        <f>_xlfn.IFNA(VLOOKUP(Grandview_Inventory[[#This Row],[living_area_range]],Lookups!$F$47:$H$56,3,FALSE),1)</f>
        <v>0.96135087979789358</v>
      </c>
      <c r="BX1787" s="4">
        <f>AVERAGE(Grandview_Inventory[[#This Row],[qual_adj]:[size_adj]])</f>
        <v>0.97350876491768212</v>
      </c>
      <c r="BY1787" s="6">
        <f>IF(Grandview_Inventory[[#This Row],[pre_res]]&lt;0,0,Grandview_Inventory[[#This Row],[pre_res]]*Grandview_Inventory[[#This Row],[overall_adj]])</f>
        <v>245277.97919947733</v>
      </c>
      <c r="BZ1787" s="6">
        <f>(Grandview_Inventory[[#This Row],[sum_land]]-IF(Grandview_Inventory[[#This Row],[no_utilities]]=1,12000,0))/IF(Grandview_Inventory[[#This Row],[unbuildable]]=1,2,1)</f>
        <v>51342.318135355803</v>
      </c>
      <c r="CA178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7">
        <f>ROUND(Grandview_Inventory[[#This Row],[det_value]]*Lookups!$M$28,-2)</f>
        <v>3900</v>
      </c>
      <c r="CC1787">
        <f>IF(ROUND(Grandview_Inventory[[#This Row],[adj_res]]*Lookups!$M$28,-2)&lt;Grandview_Inventory[[#This Row],[min_res]],Grandview_Inventory[[#This Row],[min_res]],ROUND(Grandview_Inventory[[#This Row],[adj_res]]*Lookups!$M$28,-2))</f>
        <v>233000</v>
      </c>
      <c r="CD1787">
        <f>Grandview_Inventory[[#This Row],[final_det]]+Grandview_Inventory[[#This Row],[final_res]]</f>
        <v>236900</v>
      </c>
      <c r="CE1787">
        <f>Grandview_Inventory[[#This Row],[final_land]]+Grandview_Inventory[[#This Row],[final_imp]]+Grandview_Inventory[[#This Row],[crop_value]]</f>
        <v>285700</v>
      </c>
      <c r="CG1787" t="str">
        <f t="shared" si="27"/>
        <v>update valuation set market_land =48800, market_bldg=236900, market_total =285700, market_mdno =401, market_date ='9/10/2023' where link_id = (select link_id from parcel where parcel_year = '2024' and parcel_id = '23092333430');</v>
      </c>
    </row>
    <row r="1788" spans="1:85" x14ac:dyDescent="0.25">
      <c r="A1788">
        <v>23092333431</v>
      </c>
      <c r="B1788">
        <v>0.23</v>
      </c>
      <c r="C1788">
        <v>9833</v>
      </c>
      <c r="D1788" t="s">
        <v>129</v>
      </c>
      <c r="E1788" t="s">
        <v>53</v>
      </c>
      <c r="F1788" t="s">
        <v>53</v>
      </c>
      <c r="G1788">
        <v>4</v>
      </c>
      <c r="H1788" t="s">
        <v>54</v>
      </c>
      <c r="I1788">
        <v>168600</v>
      </c>
      <c r="J1788">
        <v>43800</v>
      </c>
      <c r="K1788">
        <v>0.23</v>
      </c>
      <c r="L178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8">
        <v>0</v>
      </c>
      <c r="N1788">
        <v>0</v>
      </c>
      <c r="O1788">
        <v>0</v>
      </c>
      <c r="P1788">
        <v>13398.7528</v>
      </c>
      <c r="Q1788">
        <v>63903</v>
      </c>
      <c r="R1788">
        <f>(Grandview_Inventory[[#This Row],[ln_acres]]*Grandview_Inventory[[#This Row],[coeff]])+Grandview_Inventory[[#This Row],[const]]</f>
        <v>44211.174981080039</v>
      </c>
      <c r="S1788" t="s">
        <v>61</v>
      </c>
      <c r="T1788">
        <v>1</v>
      </c>
      <c r="U1788" t="s">
        <v>65</v>
      </c>
      <c r="V1788" t="s">
        <v>69</v>
      </c>
      <c r="W1788">
        <v>0</v>
      </c>
      <c r="X1788">
        <v>0</v>
      </c>
      <c r="Y1788">
        <v>44</v>
      </c>
      <c r="Z1788">
        <v>48</v>
      </c>
      <c r="AA1788">
        <v>50</v>
      </c>
      <c r="AB1788">
        <v>1500</v>
      </c>
      <c r="AC1788">
        <v>1472</v>
      </c>
      <c r="AD1788">
        <v>1472</v>
      </c>
      <c r="AE1788">
        <v>0</v>
      </c>
      <c r="AF1788">
        <v>0</v>
      </c>
      <c r="AG1788">
        <v>0</v>
      </c>
      <c r="AH1788">
        <v>0</v>
      </c>
      <c r="AI1788">
        <v>456</v>
      </c>
      <c r="AJ1788">
        <v>0</v>
      </c>
      <c r="AK1788">
        <v>0</v>
      </c>
      <c r="AL1788">
        <v>0</v>
      </c>
      <c r="AM1788">
        <v>268</v>
      </c>
      <c r="AN1788">
        <v>64</v>
      </c>
      <c r="AO1788">
        <v>168</v>
      </c>
      <c r="AP1788">
        <v>8</v>
      </c>
      <c r="AQ1788">
        <v>0</v>
      </c>
      <c r="AR1788">
        <v>0</v>
      </c>
      <c r="AS1788" t="s">
        <v>58</v>
      </c>
      <c r="AT1788">
        <v>1</v>
      </c>
      <c r="AU1788" t="s">
        <v>63</v>
      </c>
      <c r="AV1788" t="s">
        <v>64</v>
      </c>
      <c r="AW1788">
        <v>0</v>
      </c>
      <c r="AX1788">
        <v>3</v>
      </c>
      <c r="AY1788">
        <v>0</v>
      </c>
      <c r="AZ1788">
        <v>0</v>
      </c>
      <c r="BA1788">
        <v>100</v>
      </c>
      <c r="BB1788">
        <v>100</v>
      </c>
      <c r="BC1788">
        <v>100</v>
      </c>
      <c r="BD1788">
        <v>100</v>
      </c>
      <c r="BE1788">
        <v>1</v>
      </c>
      <c r="BF1788">
        <v>15000</v>
      </c>
      <c r="BG1788">
        <v>1000</v>
      </c>
      <c r="BH1788" s="6">
        <f>Grandview_Inventory[[#This Row],[land_extract]]*Lookups!$B$3</f>
        <v>51342.318135355803</v>
      </c>
      <c r="BI1788" s="6">
        <f>IF(Grandview_Inventory[[#This Row],[bldg_style]]="",0,Lookups!$B$2)</f>
        <v>155833.95000000001</v>
      </c>
      <c r="BJ1788" s="6">
        <f>_xlfn.IFNA(VLOOKUP(Grandview_Inventory[[#This Row],[quality]],Lookups!$H$2:$J$14,3,FALSE),0)</f>
        <v>2251</v>
      </c>
      <c r="BK1788" s="6">
        <f>_xlfn.IFNA(VLOOKUP(Grandview_Inventory[[#This Row],[condition]],Lookups!$H$17:$J$24,3,FALSE),0)</f>
        <v>-4503</v>
      </c>
      <c r="BL1788" s="6">
        <f>Grandview_Inventory[[#This Row],[Eff_Age]]*Lookups!$B$14</f>
        <v>-10523.330399999999</v>
      </c>
      <c r="BM1788" s="6">
        <f>Grandview_Inventory[[#This Row],[living_area]]*Lookups!$B$15</f>
        <v>91824.615615999995</v>
      </c>
      <c r="BN1788" s="6">
        <f>Grandview_Inventory[[#This Row],[Fin BSMT]]*Lookups!$B$16</f>
        <v>0</v>
      </c>
      <c r="BO1788" s="6">
        <f>(Grandview_Inventory[[#This Row],[att_gar]]+Grandview_Inventory[[#This Row],[bltin_gar]])*Lookups!$B$17</f>
        <v>39909.319272000001</v>
      </c>
      <c r="BP1788" s="6">
        <f>Grandview_Inventory[[#This Row],[Plumbing Fixtures]]*Lookups!$B$18</f>
        <v>16083.5344</v>
      </c>
      <c r="BQ1788" s="6">
        <f>Grandview_Inventory[[#This Row],[detatched_value]]*Lookups!$B$19</f>
        <v>0</v>
      </c>
      <c r="BR1788" s="6">
        <f>SUM(Grandview_Inventory[[#This Row],[Intercept]:[det_value]])*Grandview_Inventory[[#This Row],[res_pct]]</f>
        <v>290876.088888</v>
      </c>
      <c r="BS1788" s="6">
        <f>Grandview_Inventory[[#This Row],[land_value]]</f>
        <v>51342.318135355803</v>
      </c>
      <c r="BT1788" s="4">
        <f>_xlfn.IFNA(VLOOKUP(Grandview_Inventory[[#This Row],[quality]],Lookups!$A$26:$C$33,3,FALSE),1)</f>
        <v>0.98763855981004833</v>
      </c>
      <c r="BU1788" s="4">
        <f>_xlfn.IFNA(VLOOKUP(Grandview_Inventory[[#This Row],[condition]],Lookups!$A$37:$C$44,3,FALSE),1)</f>
        <v>0.96469275950863709</v>
      </c>
      <c r="BV1788" s="4">
        <f>IF(Grandview_Inventory[[#This Row],[bldg_style]]="",1,_xlfn.IFNA(VLOOKUP(Grandview_Inventory[[#This Row],[decade]],Lookups!$F$29:$H$43,3,FALSE),1))</f>
        <v>0.9871940091910919</v>
      </c>
      <c r="BW1788" s="4">
        <f>_xlfn.IFNA(VLOOKUP(Grandview_Inventory[[#This Row],[living_area_range]],Lookups!$F$47:$H$56,3,FALSE),1)</f>
        <v>0.96135087979789358</v>
      </c>
      <c r="BX1788" s="4">
        <f>AVERAGE(Grandview_Inventory[[#This Row],[qual_adj]:[size_adj]])</f>
        <v>0.97521905207691773</v>
      </c>
      <c r="BY1788" s="6">
        <f>IF(Grandview_Inventory[[#This Row],[pre_res]]&lt;0,0,Grandview_Inventory[[#This Row],[pre_res]]*Grandview_Inventory[[#This Row],[overall_adj]])</f>
        <v>283667.90367719659</v>
      </c>
      <c r="BZ1788" s="6">
        <f>(Grandview_Inventory[[#This Row],[sum_land]]-IF(Grandview_Inventory[[#This Row],[no_utilities]]=1,12000,0))/IF(Grandview_Inventory[[#This Row],[unbuildable]]=1,2,1)</f>
        <v>51342.318135355803</v>
      </c>
      <c r="CA178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8">
        <f>ROUND(Grandview_Inventory[[#This Row],[det_value]]*Lookups!$M$28,-2)</f>
        <v>0</v>
      </c>
      <c r="CC1788">
        <f>IF(ROUND(Grandview_Inventory[[#This Row],[adj_res]]*Lookups!$M$28,-2)&lt;Grandview_Inventory[[#This Row],[min_res]],Grandview_Inventory[[#This Row],[min_res]],ROUND(Grandview_Inventory[[#This Row],[adj_res]]*Lookups!$M$28,-2))</f>
        <v>269500</v>
      </c>
      <c r="CD1788">
        <f>Grandview_Inventory[[#This Row],[final_det]]+Grandview_Inventory[[#This Row],[final_res]]</f>
        <v>269500</v>
      </c>
      <c r="CE1788">
        <f>Grandview_Inventory[[#This Row],[final_land]]+Grandview_Inventory[[#This Row],[final_imp]]+Grandview_Inventory[[#This Row],[crop_value]]</f>
        <v>318300</v>
      </c>
      <c r="CG1788" t="str">
        <f t="shared" si="27"/>
        <v>update valuation set market_land =48800, market_bldg=269500, market_total =318300, market_mdno =401, market_date ='9/10/2023' where link_id = (select link_id from parcel where parcel_year = '2024' and parcel_id = '23092333431');</v>
      </c>
    </row>
    <row r="1789" spans="1:85" x14ac:dyDescent="0.25">
      <c r="A1789">
        <v>23092333432</v>
      </c>
      <c r="B1789">
        <v>0.23</v>
      </c>
      <c r="C1789">
        <v>9848</v>
      </c>
      <c r="D1789" t="s">
        <v>129</v>
      </c>
      <c r="E1789" t="s">
        <v>53</v>
      </c>
      <c r="F1789" t="s">
        <v>53</v>
      </c>
      <c r="G1789">
        <v>4</v>
      </c>
      <c r="H1789" t="s">
        <v>54</v>
      </c>
      <c r="I1789">
        <v>161000</v>
      </c>
      <c r="J1789">
        <v>39500</v>
      </c>
      <c r="K1789">
        <v>0.23</v>
      </c>
      <c r="L178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789">
        <v>0</v>
      </c>
      <c r="N1789">
        <v>0</v>
      </c>
      <c r="O1789">
        <v>0</v>
      </c>
      <c r="P1789">
        <v>13398.7528</v>
      </c>
      <c r="Q1789">
        <v>63903</v>
      </c>
      <c r="R1789">
        <f>(Grandview_Inventory[[#This Row],[ln_acres]]*Grandview_Inventory[[#This Row],[coeff]])+Grandview_Inventory[[#This Row],[const]]</f>
        <v>44211.174981080039</v>
      </c>
      <c r="S1789" t="s">
        <v>61</v>
      </c>
      <c r="T1789">
        <v>1</v>
      </c>
      <c r="U1789" t="s">
        <v>70</v>
      </c>
      <c r="V1789" t="s">
        <v>69</v>
      </c>
      <c r="W1789">
        <v>0</v>
      </c>
      <c r="X1789">
        <v>0</v>
      </c>
      <c r="Y1789">
        <v>44</v>
      </c>
      <c r="Z1789">
        <v>48</v>
      </c>
      <c r="AA1789">
        <v>50</v>
      </c>
      <c r="AB1789">
        <v>1500</v>
      </c>
      <c r="AC1789">
        <v>1407</v>
      </c>
      <c r="AD1789">
        <v>1407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270</v>
      </c>
      <c r="AL1789">
        <v>0</v>
      </c>
      <c r="AM1789">
        <v>504</v>
      </c>
      <c r="AN1789">
        <v>16</v>
      </c>
      <c r="AO1789">
        <v>0</v>
      </c>
      <c r="AP1789">
        <v>7</v>
      </c>
      <c r="AQ1789">
        <v>0</v>
      </c>
      <c r="AR1789">
        <v>0</v>
      </c>
      <c r="AS1789" t="s">
        <v>58</v>
      </c>
      <c r="AT1789">
        <v>1</v>
      </c>
      <c r="AU1789" t="s">
        <v>75</v>
      </c>
      <c r="AV1789" t="s">
        <v>60</v>
      </c>
      <c r="AW1789">
        <v>0</v>
      </c>
      <c r="AX1789">
        <v>3</v>
      </c>
      <c r="AY1789">
        <v>0</v>
      </c>
      <c r="AZ1789">
        <v>0</v>
      </c>
      <c r="BA1789">
        <v>100</v>
      </c>
      <c r="BB1789">
        <v>100</v>
      </c>
      <c r="BC1789">
        <v>100</v>
      </c>
      <c r="BD1789">
        <v>100</v>
      </c>
      <c r="BE1789">
        <v>1</v>
      </c>
      <c r="BF1789">
        <v>15000</v>
      </c>
      <c r="BG1789">
        <v>1000</v>
      </c>
      <c r="BH1789" s="6">
        <f>Grandview_Inventory[[#This Row],[land_extract]]*Lookups!$B$3</f>
        <v>51342.318135355803</v>
      </c>
      <c r="BI1789" s="6">
        <f>IF(Grandview_Inventory[[#This Row],[bldg_style]]="",0,Lookups!$B$2)</f>
        <v>155833.95000000001</v>
      </c>
      <c r="BJ1789" s="6">
        <f>_xlfn.IFNA(VLOOKUP(Grandview_Inventory[[#This Row],[quality]],Lookups!$H$2:$J$14,3,FALSE),0)</f>
        <v>10733</v>
      </c>
      <c r="BK1789" s="6">
        <f>_xlfn.IFNA(VLOOKUP(Grandview_Inventory[[#This Row],[condition]],Lookups!$H$17:$J$24,3,FALSE),0)</f>
        <v>-4503</v>
      </c>
      <c r="BL1789" s="6">
        <f>Grandview_Inventory[[#This Row],[Eff_Age]]*Lookups!$B$14</f>
        <v>-10523.330399999999</v>
      </c>
      <c r="BM1789" s="6">
        <f>Grandview_Inventory[[#This Row],[living_area]]*Lookups!$B$15</f>
        <v>87769.860171000008</v>
      </c>
      <c r="BN1789" s="6">
        <f>Grandview_Inventory[[#This Row],[Fin BSMT]]*Lookups!$B$16</f>
        <v>0</v>
      </c>
      <c r="BO1789" s="6">
        <f>(Grandview_Inventory[[#This Row],[att_gar]]+Grandview_Inventory[[#This Row],[bltin_gar]])*Lookups!$B$17</f>
        <v>0</v>
      </c>
      <c r="BP1789" s="6">
        <f>Grandview_Inventory[[#This Row],[Plumbing Fixtures]]*Lookups!$B$18</f>
        <v>14073.0926</v>
      </c>
      <c r="BQ1789" s="6">
        <f>Grandview_Inventory[[#This Row],[detatched_value]]*Lookups!$B$19</f>
        <v>0</v>
      </c>
      <c r="BR1789" s="6">
        <f>SUM(Grandview_Inventory[[#This Row],[Intercept]:[det_value]])*Grandview_Inventory[[#This Row],[res_pct]]</f>
        <v>253383.57237100002</v>
      </c>
      <c r="BS1789" s="6">
        <f>Grandview_Inventory[[#This Row],[land_value]]</f>
        <v>51342.318135355803</v>
      </c>
      <c r="BT1789" s="4">
        <f>_xlfn.IFNA(VLOOKUP(Grandview_Inventory[[#This Row],[quality]],Lookups!$A$26:$C$33,3,FALSE),1)</f>
        <v>0.98079741117310582</v>
      </c>
      <c r="BU1789" s="4">
        <f>_xlfn.IFNA(VLOOKUP(Grandview_Inventory[[#This Row],[condition]],Lookups!$A$37:$C$44,3,FALSE),1)</f>
        <v>0.96469275950863709</v>
      </c>
      <c r="BV1789" s="4">
        <f>IF(Grandview_Inventory[[#This Row],[bldg_style]]="",1,_xlfn.IFNA(VLOOKUP(Grandview_Inventory[[#This Row],[decade]],Lookups!$F$29:$H$43,3,FALSE),1))</f>
        <v>0.9871940091910919</v>
      </c>
      <c r="BW1789" s="4">
        <f>_xlfn.IFNA(VLOOKUP(Grandview_Inventory[[#This Row],[living_area_range]],Lookups!$F$47:$H$56,3,FALSE),1)</f>
        <v>0.96135087979789358</v>
      </c>
      <c r="BX1789" s="4">
        <f>AVERAGE(Grandview_Inventory[[#This Row],[qual_adj]:[size_adj]])</f>
        <v>0.97350876491768212</v>
      </c>
      <c r="BY1789" s="6">
        <f>IF(Grandview_Inventory[[#This Row],[pre_res]]&lt;0,0,Grandview_Inventory[[#This Row],[pre_res]]*Grandview_Inventory[[#This Row],[overall_adj]])</f>
        <v>246671.12858932235</v>
      </c>
      <c r="BZ1789" s="6">
        <f>(Grandview_Inventory[[#This Row],[sum_land]]-IF(Grandview_Inventory[[#This Row],[no_utilities]]=1,12000,0))/IF(Grandview_Inventory[[#This Row],[unbuildable]]=1,2,1)</f>
        <v>51342.318135355803</v>
      </c>
      <c r="CA178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789">
        <f>ROUND(Grandview_Inventory[[#This Row],[det_value]]*Lookups!$M$28,-2)</f>
        <v>0</v>
      </c>
      <c r="CC1789">
        <f>IF(ROUND(Grandview_Inventory[[#This Row],[adj_res]]*Lookups!$M$28,-2)&lt;Grandview_Inventory[[#This Row],[min_res]],Grandview_Inventory[[#This Row],[min_res]],ROUND(Grandview_Inventory[[#This Row],[adj_res]]*Lookups!$M$28,-2))</f>
        <v>234300</v>
      </c>
      <c r="CD1789">
        <f>Grandview_Inventory[[#This Row],[final_det]]+Grandview_Inventory[[#This Row],[final_res]]</f>
        <v>234300</v>
      </c>
      <c r="CE1789">
        <f>Grandview_Inventory[[#This Row],[final_land]]+Grandview_Inventory[[#This Row],[final_imp]]+Grandview_Inventory[[#This Row],[crop_value]]</f>
        <v>283100</v>
      </c>
      <c r="CG1789" t="str">
        <f t="shared" si="27"/>
        <v>update valuation set market_land =48800, market_bldg=234300, market_total =283100, market_mdno =401, market_date ='9/10/2023' where link_id = (select link_id from parcel where parcel_year = '2024' and parcel_id = '23092333432');</v>
      </c>
    </row>
    <row r="1790" spans="1:85" x14ac:dyDescent="0.25">
      <c r="A1790">
        <v>23092333433</v>
      </c>
      <c r="B1790">
        <v>0.22</v>
      </c>
      <c r="C1790">
        <v>9771</v>
      </c>
      <c r="D1790" t="s">
        <v>129</v>
      </c>
      <c r="E1790" t="s">
        <v>53</v>
      </c>
      <c r="F1790" t="s">
        <v>53</v>
      </c>
      <c r="G1790">
        <v>4</v>
      </c>
      <c r="H1790" t="s">
        <v>54</v>
      </c>
      <c r="I1790">
        <v>242700</v>
      </c>
      <c r="J1790">
        <v>39700</v>
      </c>
      <c r="K1790">
        <v>0.22</v>
      </c>
      <c r="L179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90">
        <v>0</v>
      </c>
      <c r="N1790">
        <v>0</v>
      </c>
      <c r="O1790">
        <v>0</v>
      </c>
      <c r="P1790">
        <v>13398.7528</v>
      </c>
      <c r="Q1790">
        <v>63903</v>
      </c>
      <c r="R1790">
        <f>(Grandview_Inventory[[#This Row],[ln_acres]]*Grandview_Inventory[[#This Row],[coeff]])+Grandview_Inventory[[#This Row],[const]]</f>
        <v>43615.576802869145</v>
      </c>
      <c r="S1790" t="s">
        <v>61</v>
      </c>
      <c r="T1790">
        <v>1</v>
      </c>
      <c r="U1790" t="s">
        <v>65</v>
      </c>
      <c r="V1790" t="s">
        <v>69</v>
      </c>
      <c r="W1790">
        <v>0</v>
      </c>
      <c r="X1790">
        <v>0</v>
      </c>
      <c r="Y1790">
        <v>44</v>
      </c>
      <c r="Z1790">
        <v>47</v>
      </c>
      <c r="AA1790">
        <v>50</v>
      </c>
      <c r="AB1790">
        <v>2500</v>
      </c>
      <c r="AC1790">
        <v>2066</v>
      </c>
      <c r="AD1790">
        <v>2066</v>
      </c>
      <c r="AE1790">
        <v>0</v>
      </c>
      <c r="AF1790">
        <v>0</v>
      </c>
      <c r="AG1790">
        <v>0</v>
      </c>
      <c r="AH1790">
        <v>0</v>
      </c>
      <c r="AI1790">
        <v>840</v>
      </c>
      <c r="AJ1790">
        <v>0</v>
      </c>
      <c r="AK1790">
        <v>0</v>
      </c>
      <c r="AL1790">
        <v>544</v>
      </c>
      <c r="AM1790">
        <v>400</v>
      </c>
      <c r="AN1790">
        <v>130</v>
      </c>
      <c r="AO1790">
        <v>0</v>
      </c>
      <c r="AP1790">
        <v>8</v>
      </c>
      <c r="AQ1790">
        <v>0</v>
      </c>
      <c r="AR1790">
        <v>0</v>
      </c>
      <c r="AS1790" t="s">
        <v>58</v>
      </c>
      <c r="AT1790">
        <v>1</v>
      </c>
      <c r="AU1790" t="s">
        <v>59</v>
      </c>
      <c r="AV1790" t="s">
        <v>60</v>
      </c>
      <c r="AW1790">
        <v>1</v>
      </c>
      <c r="AX1790">
        <v>3</v>
      </c>
      <c r="AY1790">
        <v>0</v>
      </c>
      <c r="AZ1790">
        <v>0</v>
      </c>
      <c r="BA1790">
        <v>100</v>
      </c>
      <c r="BB1790">
        <v>100</v>
      </c>
      <c r="BC1790">
        <v>100</v>
      </c>
      <c r="BD1790">
        <v>100</v>
      </c>
      <c r="BE1790">
        <v>1</v>
      </c>
      <c r="BF1790">
        <v>15000</v>
      </c>
      <c r="BG1790">
        <v>1000</v>
      </c>
      <c r="BH1790" s="6">
        <f>Grandview_Inventory[[#This Row],[land_extract]]*Lookups!$B$3</f>
        <v>50650.651579114572</v>
      </c>
      <c r="BI1790" s="6">
        <f>IF(Grandview_Inventory[[#This Row],[bldg_style]]="",0,Lookups!$B$2)</f>
        <v>155833.95000000001</v>
      </c>
      <c r="BJ1790" s="6">
        <f>_xlfn.IFNA(VLOOKUP(Grandview_Inventory[[#This Row],[quality]],Lookups!$H$2:$J$14,3,FALSE),0)</f>
        <v>2251</v>
      </c>
      <c r="BK1790" s="6">
        <f>_xlfn.IFNA(VLOOKUP(Grandview_Inventory[[#This Row],[condition]],Lookups!$H$17:$J$24,3,FALSE),0)</f>
        <v>-4503</v>
      </c>
      <c r="BL1790" s="6">
        <f>Grandview_Inventory[[#This Row],[Eff_Age]]*Lookups!$B$14</f>
        <v>-10523.330399999999</v>
      </c>
      <c r="BM1790" s="6">
        <f>Grandview_Inventory[[#This Row],[living_area]]*Lookups!$B$15</f>
        <v>128878.842298</v>
      </c>
      <c r="BN1790" s="6">
        <f>Grandview_Inventory[[#This Row],[Fin BSMT]]*Lookups!$B$16</f>
        <v>0</v>
      </c>
      <c r="BO1790" s="6">
        <f>(Grandview_Inventory[[#This Row],[att_gar]]+Grandview_Inventory[[#This Row],[bltin_gar]])*Lookups!$B$17</f>
        <v>73517.167079999999</v>
      </c>
      <c r="BP1790" s="6">
        <f>Grandview_Inventory[[#This Row],[Plumbing Fixtures]]*Lookups!$B$18</f>
        <v>16083.5344</v>
      </c>
      <c r="BQ1790" s="6">
        <f>Grandview_Inventory[[#This Row],[detatched_value]]*Lookups!$B$19</f>
        <v>0</v>
      </c>
      <c r="BR1790" s="6">
        <f>SUM(Grandview_Inventory[[#This Row],[Intercept]:[det_value]])*Grandview_Inventory[[#This Row],[res_pct]]</f>
        <v>361538.16337799997</v>
      </c>
      <c r="BS1790" s="6">
        <f>Grandview_Inventory[[#This Row],[land_value]]</f>
        <v>50650.651579114572</v>
      </c>
      <c r="BT1790" s="4">
        <f>_xlfn.IFNA(VLOOKUP(Grandview_Inventory[[#This Row],[quality]],Lookups!$A$26:$C$33,3,FALSE),1)</f>
        <v>0.98763855981004833</v>
      </c>
      <c r="BU1790" s="4">
        <f>_xlfn.IFNA(VLOOKUP(Grandview_Inventory[[#This Row],[condition]],Lookups!$A$37:$C$44,3,FALSE),1)</f>
        <v>0.96469275950863709</v>
      </c>
      <c r="BV1790" s="4">
        <f>IF(Grandview_Inventory[[#This Row],[bldg_style]]="",1,_xlfn.IFNA(VLOOKUP(Grandview_Inventory[[#This Row],[decade]],Lookups!$F$29:$H$43,3,FALSE),1))</f>
        <v>0.9871940091910919</v>
      </c>
      <c r="BW1790" s="4">
        <f>_xlfn.IFNA(VLOOKUP(Grandview_Inventory[[#This Row],[living_area_range]],Lookups!$F$47:$H$56,3,FALSE),1)</f>
        <v>0.95799442568048754</v>
      </c>
      <c r="BX1790" s="4">
        <f>AVERAGE(Grandview_Inventory[[#This Row],[qual_adj]:[size_adj]])</f>
        <v>0.97437993854756622</v>
      </c>
      <c r="BY1790" s="6">
        <f>IF(Grandview_Inventory[[#This Row],[pre_res]]&lt;0,0,Grandview_Inventory[[#This Row],[pre_res]]*Grandview_Inventory[[#This Row],[overall_adj]])</f>
        <v>352275.53341485554</v>
      </c>
      <c r="BZ1790" s="6">
        <f>(Grandview_Inventory[[#This Row],[sum_land]]-IF(Grandview_Inventory[[#This Row],[no_utilities]]=1,12000,0))/IF(Grandview_Inventory[[#This Row],[unbuildable]]=1,2,1)</f>
        <v>50650.651579114572</v>
      </c>
      <c r="CA179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90">
        <f>ROUND(Grandview_Inventory[[#This Row],[det_value]]*Lookups!$M$28,-2)</f>
        <v>0</v>
      </c>
      <c r="CC1790">
        <f>IF(ROUND(Grandview_Inventory[[#This Row],[adj_res]]*Lookups!$M$28,-2)&lt;Grandview_Inventory[[#This Row],[min_res]],Grandview_Inventory[[#This Row],[min_res]],ROUND(Grandview_Inventory[[#This Row],[adj_res]]*Lookups!$M$28,-2))</f>
        <v>334700</v>
      </c>
      <c r="CD1790">
        <f>Grandview_Inventory[[#This Row],[final_det]]+Grandview_Inventory[[#This Row],[final_res]]</f>
        <v>334700</v>
      </c>
      <c r="CE1790">
        <f>Grandview_Inventory[[#This Row],[final_land]]+Grandview_Inventory[[#This Row],[final_imp]]+Grandview_Inventory[[#This Row],[crop_value]]</f>
        <v>382800</v>
      </c>
      <c r="CG1790" t="str">
        <f t="shared" si="27"/>
        <v>update valuation set market_land =48100, market_bldg=334700, market_total =382800, market_mdno =401, market_date ='9/10/2023' where link_id = (select link_id from parcel where parcel_year = '2024' and parcel_id = '23092333433');</v>
      </c>
    </row>
    <row r="1791" spans="1:85" x14ac:dyDescent="0.25">
      <c r="A1791">
        <v>23092333434</v>
      </c>
      <c r="B1791">
        <v>0.27</v>
      </c>
      <c r="C1791">
        <v>11619</v>
      </c>
      <c r="D1791" t="s">
        <v>129</v>
      </c>
      <c r="E1791" t="s">
        <v>53</v>
      </c>
      <c r="F1791" t="s">
        <v>53</v>
      </c>
      <c r="G1791">
        <v>4</v>
      </c>
      <c r="H1791" t="s">
        <v>54</v>
      </c>
      <c r="I1791">
        <v>241400</v>
      </c>
      <c r="J1791">
        <v>40200</v>
      </c>
      <c r="K1791">
        <v>0.27</v>
      </c>
      <c r="L1791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791">
        <v>0</v>
      </c>
      <c r="N1791">
        <v>0</v>
      </c>
      <c r="O1791">
        <v>0</v>
      </c>
      <c r="P1791">
        <v>13398.7528</v>
      </c>
      <c r="Q1791">
        <v>63903</v>
      </c>
      <c r="R1791">
        <f>(Grandview_Inventory[[#This Row],[ln_acres]]*Grandview_Inventory[[#This Row],[coeff]])+Grandview_Inventory[[#This Row],[const]]</f>
        <v>46359.566512734265</v>
      </c>
      <c r="S1791" t="s">
        <v>55</v>
      </c>
      <c r="T1791">
        <v>2</v>
      </c>
      <c r="U1791" t="s">
        <v>65</v>
      </c>
      <c r="V1791" t="s">
        <v>69</v>
      </c>
      <c r="W1791">
        <v>0</v>
      </c>
      <c r="X1791">
        <v>0</v>
      </c>
      <c r="Y1791">
        <v>44</v>
      </c>
      <c r="Z1791">
        <v>47</v>
      </c>
      <c r="AA1791">
        <v>50</v>
      </c>
      <c r="AB1791">
        <v>2000</v>
      </c>
      <c r="AC1791">
        <v>1848</v>
      </c>
      <c r="AD1791">
        <v>1224</v>
      </c>
      <c r="AE1791">
        <v>624</v>
      </c>
      <c r="AF1791">
        <v>0</v>
      </c>
      <c r="AG1791">
        <v>0</v>
      </c>
      <c r="AH1791">
        <v>0</v>
      </c>
      <c r="AI1791">
        <v>576</v>
      </c>
      <c r="AJ1791">
        <v>0</v>
      </c>
      <c r="AK1791">
        <v>0</v>
      </c>
      <c r="AL1791">
        <v>0</v>
      </c>
      <c r="AM1791">
        <v>260</v>
      </c>
      <c r="AN1791">
        <v>20</v>
      </c>
      <c r="AO1791">
        <v>260</v>
      </c>
      <c r="AP1791">
        <v>10</v>
      </c>
      <c r="AQ1791">
        <v>0</v>
      </c>
      <c r="AR1791">
        <v>0</v>
      </c>
      <c r="AS1791" t="s">
        <v>58</v>
      </c>
      <c r="AT1791">
        <v>1</v>
      </c>
      <c r="AU1791" t="s">
        <v>63</v>
      </c>
      <c r="AV1791" t="s">
        <v>60</v>
      </c>
      <c r="AW1791">
        <v>1</v>
      </c>
      <c r="AX1791">
        <v>3</v>
      </c>
      <c r="AY1791">
        <v>0</v>
      </c>
      <c r="AZ1791">
        <v>0</v>
      </c>
      <c r="BA1791">
        <v>100</v>
      </c>
      <c r="BB1791">
        <v>100</v>
      </c>
      <c r="BC1791">
        <v>100</v>
      </c>
      <c r="BD1791">
        <v>100</v>
      </c>
      <c r="BE1791">
        <v>1</v>
      </c>
      <c r="BF1791">
        <v>15000</v>
      </c>
      <c r="BG1791">
        <v>1000</v>
      </c>
      <c r="BH1791" s="6">
        <f>Grandview_Inventory[[#This Row],[land_extract]]*Lookups!$B$3</f>
        <v>53837.239420408718</v>
      </c>
      <c r="BI1791" s="6">
        <f>IF(Grandview_Inventory[[#This Row],[bldg_style]]="",0,Lookups!$B$2)</f>
        <v>155833.95000000001</v>
      </c>
      <c r="BJ1791" s="6">
        <f>_xlfn.IFNA(VLOOKUP(Grandview_Inventory[[#This Row],[quality]],Lookups!$H$2:$J$14,3,FALSE),0)</f>
        <v>2251</v>
      </c>
      <c r="BK1791" s="6">
        <f>_xlfn.IFNA(VLOOKUP(Grandview_Inventory[[#This Row],[condition]],Lookups!$H$17:$J$24,3,FALSE),0)</f>
        <v>-4503</v>
      </c>
      <c r="BL1791" s="6">
        <f>Grandview_Inventory[[#This Row],[Eff_Age]]*Lookups!$B$14</f>
        <v>-10523.330399999999</v>
      </c>
      <c r="BM1791" s="6">
        <f>Grandview_Inventory[[#This Row],[living_area]]*Lookups!$B$15</f>
        <v>115279.81634400001</v>
      </c>
      <c r="BN1791" s="6">
        <f>Grandview_Inventory[[#This Row],[Fin BSMT]]*Lookups!$B$16</f>
        <v>0</v>
      </c>
      <c r="BO1791" s="6">
        <f>(Grandview_Inventory[[#This Row],[att_gar]]+Grandview_Inventory[[#This Row],[bltin_gar]])*Lookups!$B$17</f>
        <v>50411.771712000002</v>
      </c>
      <c r="BP1791" s="6">
        <f>Grandview_Inventory[[#This Row],[Plumbing Fixtures]]*Lookups!$B$18</f>
        <v>20104.418000000001</v>
      </c>
      <c r="BQ1791" s="6">
        <f>Grandview_Inventory[[#This Row],[detatched_value]]*Lookups!$B$19</f>
        <v>0</v>
      </c>
      <c r="BR1791" s="6">
        <f>SUM(Grandview_Inventory[[#This Row],[Intercept]:[det_value]])*Grandview_Inventory[[#This Row],[res_pct]]</f>
        <v>328854.62565600005</v>
      </c>
      <c r="BS1791" s="6">
        <f>Grandview_Inventory[[#This Row],[land_value]]</f>
        <v>53837.239420408718</v>
      </c>
      <c r="BT1791" s="4">
        <f>_xlfn.IFNA(VLOOKUP(Grandview_Inventory[[#This Row],[quality]],Lookups!$A$26:$C$33,3,FALSE),1)</f>
        <v>0.98763855981004833</v>
      </c>
      <c r="BU1791" s="4">
        <f>_xlfn.IFNA(VLOOKUP(Grandview_Inventory[[#This Row],[condition]],Lookups!$A$37:$C$44,3,FALSE),1)</f>
        <v>0.96469275950863709</v>
      </c>
      <c r="BV1791" s="4">
        <f>IF(Grandview_Inventory[[#This Row],[bldg_style]]="",1,_xlfn.IFNA(VLOOKUP(Grandview_Inventory[[#This Row],[decade]],Lookups!$F$29:$H$43,3,FALSE),1))</f>
        <v>0.9871940091910919</v>
      </c>
      <c r="BW1791" s="4">
        <f>_xlfn.IFNA(VLOOKUP(Grandview_Inventory[[#This Row],[living_area_range]],Lookups!$F$47:$H$56,3,FALSE),1)</f>
        <v>0.96120133463014379</v>
      </c>
      <c r="BX1791" s="4">
        <f>AVERAGE(Grandview_Inventory[[#This Row],[qual_adj]:[size_adj]])</f>
        <v>0.97518166578498033</v>
      </c>
      <c r="BY1791" s="6">
        <f>IF(Grandview_Inventory[[#This Row],[pre_res]]&lt;0,0,Grandview_Inventory[[#This Row],[pre_res]]*Grandview_Inventory[[#This Row],[overall_adj]])</f>
        <v>320693.00164831424</v>
      </c>
      <c r="BZ1791" s="6">
        <f>(Grandview_Inventory[[#This Row],[sum_land]]-IF(Grandview_Inventory[[#This Row],[no_utilities]]=1,12000,0))/IF(Grandview_Inventory[[#This Row],[unbuildable]]=1,2,1)</f>
        <v>53837.239420408718</v>
      </c>
      <c r="CA1791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791">
        <f>ROUND(Grandview_Inventory[[#This Row],[det_value]]*Lookups!$M$28,-2)</f>
        <v>0</v>
      </c>
      <c r="CC1791">
        <f>IF(ROUND(Grandview_Inventory[[#This Row],[adj_res]]*Lookups!$M$28,-2)&lt;Grandview_Inventory[[#This Row],[min_res]],Grandview_Inventory[[#This Row],[min_res]],ROUND(Grandview_Inventory[[#This Row],[adj_res]]*Lookups!$M$28,-2))</f>
        <v>304700</v>
      </c>
      <c r="CD1791">
        <f>Grandview_Inventory[[#This Row],[final_det]]+Grandview_Inventory[[#This Row],[final_res]]</f>
        <v>304700</v>
      </c>
      <c r="CE1791">
        <f>Grandview_Inventory[[#This Row],[final_land]]+Grandview_Inventory[[#This Row],[final_imp]]+Grandview_Inventory[[#This Row],[crop_value]]</f>
        <v>355800</v>
      </c>
      <c r="CG1791" t="str">
        <f t="shared" si="27"/>
        <v>update valuation set market_land =51100, market_bldg=304700, market_total =355800, market_mdno =401, market_date ='9/10/2023' where link_id = (select link_id from parcel where parcel_year = '2024' and parcel_id = '23092333434');</v>
      </c>
    </row>
    <row r="1792" spans="1:85" x14ac:dyDescent="0.25">
      <c r="A1792">
        <v>23092333435</v>
      </c>
      <c r="B1792">
        <v>0.24</v>
      </c>
      <c r="C1792">
        <v>10308</v>
      </c>
      <c r="D1792" t="s">
        <v>129</v>
      </c>
      <c r="E1792" t="s">
        <v>53</v>
      </c>
      <c r="F1792" t="s">
        <v>53</v>
      </c>
      <c r="G1792">
        <v>4</v>
      </c>
      <c r="H1792" t="s">
        <v>54</v>
      </c>
      <c r="I1792">
        <v>256900</v>
      </c>
      <c r="J1792">
        <v>39800</v>
      </c>
      <c r="K1792">
        <v>0.24</v>
      </c>
      <c r="L1792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792">
        <v>0</v>
      </c>
      <c r="N1792">
        <v>0</v>
      </c>
      <c r="O1792">
        <v>0</v>
      </c>
      <c r="P1792">
        <v>13398.7528</v>
      </c>
      <c r="Q1792">
        <v>63903</v>
      </c>
      <c r="R1792">
        <f>(Grandview_Inventory[[#This Row],[ln_acres]]*Grandview_Inventory[[#This Row],[coeff]])+Grandview_Inventory[[#This Row],[const]]</f>
        <v>44781.420733940802</v>
      </c>
      <c r="S1792" t="s">
        <v>61</v>
      </c>
      <c r="T1792">
        <v>1</v>
      </c>
      <c r="U1792" t="s">
        <v>64</v>
      </c>
      <c r="V1792" t="s">
        <v>67</v>
      </c>
      <c r="W1792">
        <v>0</v>
      </c>
      <c r="X1792">
        <v>0</v>
      </c>
      <c r="Y1792">
        <v>44</v>
      </c>
      <c r="Z1792">
        <v>49</v>
      </c>
      <c r="AA1792">
        <v>50</v>
      </c>
      <c r="AB1792">
        <v>1500</v>
      </c>
      <c r="AC1792">
        <v>1422</v>
      </c>
      <c r="AD1792">
        <v>1422</v>
      </c>
      <c r="AE1792">
        <v>0</v>
      </c>
      <c r="AF1792">
        <v>0</v>
      </c>
      <c r="AG1792">
        <v>0</v>
      </c>
      <c r="AH1792">
        <v>0</v>
      </c>
      <c r="AI1792">
        <v>528</v>
      </c>
      <c r="AJ1792">
        <v>0</v>
      </c>
      <c r="AK1792">
        <v>0</v>
      </c>
      <c r="AL1792">
        <v>216</v>
      </c>
      <c r="AM1792">
        <v>408</v>
      </c>
      <c r="AN1792">
        <v>90</v>
      </c>
      <c r="AO1792">
        <v>192</v>
      </c>
      <c r="AP1792">
        <v>7</v>
      </c>
      <c r="AQ1792">
        <v>0</v>
      </c>
      <c r="AR1792">
        <v>1</v>
      </c>
      <c r="AS1792" t="s">
        <v>131</v>
      </c>
      <c r="AT1792">
        <v>1</v>
      </c>
      <c r="AU1792" t="s">
        <v>63</v>
      </c>
      <c r="AV1792" t="s">
        <v>64</v>
      </c>
      <c r="AW1792">
        <v>1</v>
      </c>
      <c r="AX1792">
        <v>3</v>
      </c>
      <c r="AY1792">
        <v>0</v>
      </c>
      <c r="AZ1792">
        <v>0</v>
      </c>
      <c r="BA1792">
        <v>100</v>
      </c>
      <c r="BB1792">
        <v>100</v>
      </c>
      <c r="BC1792">
        <v>100</v>
      </c>
      <c r="BD1792">
        <v>100</v>
      </c>
      <c r="BE1792">
        <v>1</v>
      </c>
      <c r="BF1792">
        <v>15000</v>
      </c>
      <c r="BG1792">
        <v>1000</v>
      </c>
      <c r="BH1792" s="6">
        <f>Grandview_Inventory[[#This Row],[land_extract]]*Lookups!$B$3</f>
        <v>52004.542988489469</v>
      </c>
      <c r="BI1792" s="6">
        <f>IF(Grandview_Inventory[[#This Row],[bldg_style]]="",0,Lookups!$B$2)</f>
        <v>155833.95000000001</v>
      </c>
      <c r="BJ1792" s="6">
        <f>_xlfn.IFNA(VLOOKUP(Grandview_Inventory[[#This Row],[quality]],Lookups!$H$2:$J$14,3,FALSE),0)</f>
        <v>20768</v>
      </c>
      <c r="BK1792" s="6">
        <f>_xlfn.IFNA(VLOOKUP(Grandview_Inventory[[#This Row],[condition]],Lookups!$H$17:$J$24,3,FALSE),0)</f>
        <v>22342</v>
      </c>
      <c r="BL1792" s="6">
        <f>Grandview_Inventory[[#This Row],[Eff_Age]]*Lookups!$B$14</f>
        <v>-10523.330399999999</v>
      </c>
      <c r="BM1792" s="6">
        <f>Grandview_Inventory[[#This Row],[living_area]]*Lookups!$B$15</f>
        <v>88705.572966000007</v>
      </c>
      <c r="BN1792" s="6">
        <f>Grandview_Inventory[[#This Row],[Fin BSMT]]*Lookups!$B$16</f>
        <v>0</v>
      </c>
      <c r="BO1792" s="6">
        <f>(Grandview_Inventory[[#This Row],[att_gar]]+Grandview_Inventory[[#This Row],[bltin_gar]])*Lookups!$B$17</f>
        <v>46210.790736000003</v>
      </c>
      <c r="BP1792" s="6">
        <f>Grandview_Inventory[[#This Row],[Plumbing Fixtures]]*Lookups!$B$18</f>
        <v>14073.0926</v>
      </c>
      <c r="BQ1792" s="6">
        <f>Grandview_Inventory[[#This Row],[detatched_value]]*Lookups!$B$19</f>
        <v>0</v>
      </c>
      <c r="BR1792" s="6">
        <f>SUM(Grandview_Inventory[[#This Row],[Intercept]:[det_value]])*Grandview_Inventory[[#This Row],[res_pct]]</f>
        <v>337410.07590200001</v>
      </c>
      <c r="BS1792" s="6">
        <f>Grandview_Inventory[[#This Row],[land_value]]</f>
        <v>52004.542988489469</v>
      </c>
      <c r="BT1792" s="4">
        <f>_xlfn.IFNA(VLOOKUP(Grandview_Inventory[[#This Row],[quality]],Lookups!$A$26:$C$33,3,FALSE),1)</f>
        <v>0.94960540378902636</v>
      </c>
      <c r="BU1792" s="4">
        <f>_xlfn.IFNA(VLOOKUP(Grandview_Inventory[[#This Row],[condition]],Lookups!$A$37:$C$44,3,FALSE),1)</f>
        <v>0.97383723671140243</v>
      </c>
      <c r="BV1792" s="4">
        <f>IF(Grandview_Inventory[[#This Row],[bldg_style]]="",1,_xlfn.IFNA(VLOOKUP(Grandview_Inventory[[#This Row],[decade]],Lookups!$F$29:$H$43,3,FALSE),1))</f>
        <v>0.9871940091910919</v>
      </c>
      <c r="BW1792" s="4">
        <f>_xlfn.IFNA(VLOOKUP(Grandview_Inventory[[#This Row],[living_area_range]],Lookups!$F$47:$H$56,3,FALSE),1)</f>
        <v>0.96135087979789358</v>
      </c>
      <c r="BX1792" s="4">
        <f>AVERAGE(Grandview_Inventory[[#This Row],[qual_adj]:[size_adj]])</f>
        <v>0.9679968823723536</v>
      </c>
      <c r="BY1792" s="6">
        <f>IF(Grandview_Inventory[[#This Row],[pre_res]]&lt;0,0,Grandview_Inventory[[#This Row],[pre_res]]*Grandview_Inventory[[#This Row],[overall_adj]])</f>
        <v>326611.90155415522</v>
      </c>
      <c r="BZ1792" s="6">
        <f>(Grandview_Inventory[[#This Row],[sum_land]]-IF(Grandview_Inventory[[#This Row],[no_utilities]]=1,12000,0))/IF(Grandview_Inventory[[#This Row],[unbuildable]]=1,2,1)</f>
        <v>52004.542988489469</v>
      </c>
      <c r="CA1792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792">
        <f>ROUND(Grandview_Inventory[[#This Row],[det_value]]*Lookups!$M$28,-2)</f>
        <v>0</v>
      </c>
      <c r="CC1792">
        <f>IF(ROUND(Grandview_Inventory[[#This Row],[adj_res]]*Lookups!$M$28,-2)&lt;Grandview_Inventory[[#This Row],[min_res]],Grandview_Inventory[[#This Row],[min_res]],ROUND(Grandview_Inventory[[#This Row],[adj_res]]*Lookups!$M$28,-2))</f>
        <v>310300</v>
      </c>
      <c r="CD1792">
        <f>Grandview_Inventory[[#This Row],[final_det]]+Grandview_Inventory[[#This Row],[final_res]]</f>
        <v>310300</v>
      </c>
      <c r="CE1792">
        <f>Grandview_Inventory[[#This Row],[final_land]]+Grandview_Inventory[[#This Row],[final_imp]]+Grandview_Inventory[[#This Row],[crop_value]]</f>
        <v>359700</v>
      </c>
      <c r="CG1792" t="str">
        <f t="shared" si="27"/>
        <v>update valuation set market_land =49400, market_bldg=310300, market_total =359700, market_mdno =401, market_date ='9/10/2023' where link_id = (select link_id from parcel where parcel_year = '2024' and parcel_id = '23092333435');</v>
      </c>
    </row>
    <row r="1793" spans="1:85" x14ac:dyDescent="0.25">
      <c r="A1793">
        <v>23092333437</v>
      </c>
      <c r="B1793">
        <v>0.22</v>
      </c>
      <c r="C1793">
        <v>9485</v>
      </c>
      <c r="D1793" t="s">
        <v>129</v>
      </c>
      <c r="E1793" t="s">
        <v>53</v>
      </c>
      <c r="F1793" t="s">
        <v>53</v>
      </c>
      <c r="G1793">
        <v>4</v>
      </c>
      <c r="H1793" t="s">
        <v>54</v>
      </c>
      <c r="I1793">
        <v>246100</v>
      </c>
      <c r="J1793">
        <v>39500</v>
      </c>
      <c r="K1793">
        <v>0.22</v>
      </c>
      <c r="L179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793">
        <v>0</v>
      </c>
      <c r="N1793">
        <v>0</v>
      </c>
      <c r="O1793">
        <v>0</v>
      </c>
      <c r="P1793">
        <v>13398.7528</v>
      </c>
      <c r="Q1793">
        <v>63903</v>
      </c>
      <c r="R1793">
        <f>(Grandview_Inventory[[#This Row],[ln_acres]]*Grandview_Inventory[[#This Row],[coeff]])+Grandview_Inventory[[#This Row],[const]]</f>
        <v>43615.576802869145</v>
      </c>
      <c r="S1793" t="s">
        <v>61</v>
      </c>
      <c r="T1793">
        <v>1</v>
      </c>
      <c r="U1793" t="s">
        <v>64</v>
      </c>
      <c r="V1793" t="s">
        <v>69</v>
      </c>
      <c r="W1793">
        <v>0</v>
      </c>
      <c r="X1793">
        <v>0</v>
      </c>
      <c r="Y1793">
        <v>45</v>
      </c>
      <c r="Z1793">
        <v>51</v>
      </c>
      <c r="AA1793">
        <v>60</v>
      </c>
      <c r="AB1793">
        <v>2500</v>
      </c>
      <c r="AC1793">
        <v>2054</v>
      </c>
      <c r="AD1793">
        <v>1580</v>
      </c>
      <c r="AE1793">
        <v>0</v>
      </c>
      <c r="AF1793">
        <v>0</v>
      </c>
      <c r="AG1793">
        <v>474</v>
      </c>
      <c r="AH1793">
        <v>1106</v>
      </c>
      <c r="AI1793">
        <v>720</v>
      </c>
      <c r="AJ1793">
        <v>0</v>
      </c>
      <c r="AK1793">
        <v>0</v>
      </c>
      <c r="AL1793">
        <v>0</v>
      </c>
      <c r="AM1793">
        <v>270</v>
      </c>
      <c r="AN1793">
        <v>0</v>
      </c>
      <c r="AO1793">
        <v>270</v>
      </c>
      <c r="AP1793">
        <v>11</v>
      </c>
      <c r="AQ1793">
        <v>0</v>
      </c>
      <c r="AR1793">
        <v>1</v>
      </c>
      <c r="AS1793" t="s">
        <v>58</v>
      </c>
      <c r="AT1793">
        <v>1</v>
      </c>
      <c r="AU1793" t="s">
        <v>59</v>
      </c>
      <c r="AV1793" t="s">
        <v>60</v>
      </c>
      <c r="AW1793">
        <v>1</v>
      </c>
      <c r="AX1793">
        <v>2</v>
      </c>
      <c r="AY1793">
        <v>0</v>
      </c>
      <c r="AZ1793">
        <v>0</v>
      </c>
      <c r="BA1793">
        <v>100</v>
      </c>
      <c r="BB1793">
        <v>100</v>
      </c>
      <c r="BC1793">
        <v>100</v>
      </c>
      <c r="BD1793">
        <v>100</v>
      </c>
      <c r="BE1793">
        <v>1</v>
      </c>
      <c r="BF1793">
        <v>15000</v>
      </c>
      <c r="BG1793">
        <v>1000</v>
      </c>
      <c r="BH1793" s="6">
        <f>Grandview_Inventory[[#This Row],[land_extract]]*Lookups!$B$3</f>
        <v>50650.651579114572</v>
      </c>
      <c r="BI1793" s="6">
        <f>IF(Grandview_Inventory[[#This Row],[bldg_style]]="",0,Lookups!$B$2)</f>
        <v>155833.95000000001</v>
      </c>
      <c r="BJ1793" s="6">
        <f>_xlfn.IFNA(VLOOKUP(Grandview_Inventory[[#This Row],[quality]],Lookups!$H$2:$J$14,3,FALSE),0)</f>
        <v>20768</v>
      </c>
      <c r="BK1793" s="6">
        <f>_xlfn.IFNA(VLOOKUP(Grandview_Inventory[[#This Row],[condition]],Lookups!$H$17:$J$24,3,FALSE),0)</f>
        <v>-4503</v>
      </c>
      <c r="BL1793" s="6">
        <f>Grandview_Inventory[[#This Row],[Eff_Age]]*Lookups!$B$14</f>
        <v>-10762.496999999999</v>
      </c>
      <c r="BM1793" s="6">
        <f>Grandview_Inventory[[#This Row],[living_area]]*Lookups!$B$15</f>
        <v>128130.272062</v>
      </c>
      <c r="BN1793" s="6">
        <f>Grandview_Inventory[[#This Row],[Fin BSMT]]*Lookups!$B$16</f>
        <v>-12845.039760000001</v>
      </c>
      <c r="BO1793" s="6">
        <f>(Grandview_Inventory[[#This Row],[att_gar]]+Grandview_Inventory[[#This Row],[bltin_gar]])*Lookups!$B$17</f>
        <v>63014.714639999998</v>
      </c>
      <c r="BP1793" s="6">
        <f>Grandview_Inventory[[#This Row],[Plumbing Fixtures]]*Lookups!$B$18</f>
        <v>22114.859800000002</v>
      </c>
      <c r="BQ1793" s="6">
        <f>Grandview_Inventory[[#This Row],[detatched_value]]*Lookups!$B$19</f>
        <v>0</v>
      </c>
      <c r="BR1793" s="6">
        <f>SUM(Grandview_Inventory[[#This Row],[Intercept]:[det_value]])*Grandview_Inventory[[#This Row],[res_pct]]</f>
        <v>361751.25974199997</v>
      </c>
      <c r="BS1793" s="6">
        <f>Grandview_Inventory[[#This Row],[land_value]]</f>
        <v>50650.651579114572</v>
      </c>
      <c r="BT1793" s="4">
        <f>_xlfn.IFNA(VLOOKUP(Grandview_Inventory[[#This Row],[quality]],Lookups!$A$26:$C$33,3,FALSE),1)</f>
        <v>0.94960540378902636</v>
      </c>
      <c r="BU1793" s="4">
        <f>_xlfn.IFNA(VLOOKUP(Grandview_Inventory[[#This Row],[condition]],Lookups!$A$37:$C$44,3,FALSE),1)</f>
        <v>0.96469275950863709</v>
      </c>
      <c r="BV1793" s="4">
        <f>IF(Grandview_Inventory[[#This Row],[bldg_style]]="",1,_xlfn.IFNA(VLOOKUP(Grandview_Inventory[[#This Row],[decade]],Lookups!$F$29:$H$43,3,FALSE),1))</f>
        <v>0.95268620544463312</v>
      </c>
      <c r="BW1793" s="4">
        <f>_xlfn.IFNA(VLOOKUP(Grandview_Inventory[[#This Row],[living_area_range]],Lookups!$F$47:$H$56,3,FALSE),1)</f>
        <v>0.95799442568048754</v>
      </c>
      <c r="BX1793" s="4">
        <f>AVERAGE(Grandview_Inventory[[#This Row],[qual_adj]:[size_adj]])</f>
        <v>0.95624469860569605</v>
      </c>
      <c r="BY1793" s="6">
        <f>IF(Grandview_Inventory[[#This Row],[pre_res]]&lt;0,0,Grandview_Inventory[[#This Row],[pre_res]]*Grandview_Inventory[[#This Row],[overall_adj]])</f>
        <v>345922.72434221965</v>
      </c>
      <c r="BZ1793" s="6">
        <f>(Grandview_Inventory[[#This Row],[sum_land]]-IF(Grandview_Inventory[[#This Row],[no_utilities]]=1,12000,0))/IF(Grandview_Inventory[[#This Row],[unbuildable]]=1,2,1)</f>
        <v>50650.651579114572</v>
      </c>
      <c r="CA179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793">
        <f>ROUND(Grandview_Inventory[[#This Row],[det_value]]*Lookups!$M$28,-2)</f>
        <v>0</v>
      </c>
      <c r="CC1793">
        <f>IF(ROUND(Grandview_Inventory[[#This Row],[adj_res]]*Lookups!$M$28,-2)&lt;Grandview_Inventory[[#This Row],[min_res]],Grandview_Inventory[[#This Row],[min_res]],ROUND(Grandview_Inventory[[#This Row],[adj_res]]*Lookups!$M$28,-2))</f>
        <v>328600</v>
      </c>
      <c r="CD1793">
        <f>Grandview_Inventory[[#This Row],[final_det]]+Grandview_Inventory[[#This Row],[final_res]]</f>
        <v>328600</v>
      </c>
      <c r="CE1793">
        <f>Grandview_Inventory[[#This Row],[final_land]]+Grandview_Inventory[[#This Row],[final_imp]]+Grandview_Inventory[[#This Row],[crop_value]]</f>
        <v>376700</v>
      </c>
      <c r="CG1793" t="str">
        <f t="shared" si="27"/>
        <v>update valuation set market_land =48100, market_bldg=328600, market_total =376700, market_mdno =401, market_date ='9/10/2023' where link_id = (select link_id from parcel where parcel_year = '2024' and parcel_id = '23092333437');</v>
      </c>
    </row>
    <row r="1794" spans="1:85" x14ac:dyDescent="0.25">
      <c r="A1794">
        <v>23092333438</v>
      </c>
      <c r="B1794">
        <v>0.2</v>
      </c>
      <c r="C1794">
        <v>8903</v>
      </c>
      <c r="D1794" t="s">
        <v>129</v>
      </c>
      <c r="E1794" t="s">
        <v>53</v>
      </c>
      <c r="F1794" t="s">
        <v>53</v>
      </c>
      <c r="G1794">
        <v>4</v>
      </c>
      <c r="H1794" t="s">
        <v>54</v>
      </c>
      <c r="I1794">
        <v>247100</v>
      </c>
      <c r="J1794">
        <v>39300</v>
      </c>
      <c r="K1794">
        <v>0.2</v>
      </c>
      <c r="L179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794">
        <v>0</v>
      </c>
      <c r="N1794">
        <v>0</v>
      </c>
      <c r="O1794">
        <v>0</v>
      </c>
      <c r="P1794">
        <v>13398.7528</v>
      </c>
      <c r="Q1794">
        <v>63903</v>
      </c>
      <c r="R1794">
        <f>(Grandview_Inventory[[#This Row],[ln_acres]]*Grandview_Inventory[[#This Row],[coeff]])+Grandview_Inventory[[#This Row],[const]]</f>
        <v>42338.539264347448</v>
      </c>
      <c r="S1794" t="s">
        <v>74</v>
      </c>
      <c r="T1794">
        <v>1</v>
      </c>
      <c r="U1794" t="s">
        <v>62</v>
      </c>
      <c r="V1794" t="s">
        <v>69</v>
      </c>
      <c r="W1794">
        <v>0</v>
      </c>
      <c r="X1794">
        <v>0</v>
      </c>
      <c r="Y1794">
        <v>44</v>
      </c>
      <c r="Z1794">
        <v>46</v>
      </c>
      <c r="AA1794">
        <v>50</v>
      </c>
      <c r="AB1794">
        <v>2000</v>
      </c>
      <c r="AC1794">
        <v>1898</v>
      </c>
      <c r="AD1794">
        <v>1222</v>
      </c>
      <c r="AE1794">
        <v>0</v>
      </c>
      <c r="AF1794">
        <v>0</v>
      </c>
      <c r="AG1794">
        <v>676</v>
      </c>
      <c r="AH1794">
        <v>0</v>
      </c>
      <c r="AI1794">
        <v>520</v>
      </c>
      <c r="AJ1794">
        <v>0</v>
      </c>
      <c r="AK1794">
        <v>0</v>
      </c>
      <c r="AL1794">
        <v>0</v>
      </c>
      <c r="AM1794">
        <v>211</v>
      </c>
      <c r="AN1794">
        <v>120</v>
      </c>
      <c r="AO1794">
        <v>0</v>
      </c>
      <c r="AP1794">
        <v>8</v>
      </c>
      <c r="AQ1794">
        <v>0</v>
      </c>
      <c r="AR1794">
        <v>1</v>
      </c>
      <c r="AS1794" t="s">
        <v>58</v>
      </c>
      <c r="AT1794">
        <v>1</v>
      </c>
      <c r="AU1794" t="s">
        <v>63</v>
      </c>
      <c r="AV1794" t="s">
        <v>60</v>
      </c>
      <c r="AW1794">
        <v>1</v>
      </c>
      <c r="AX1794">
        <v>4</v>
      </c>
      <c r="AY1794">
        <v>0</v>
      </c>
      <c r="AZ1794">
        <v>0</v>
      </c>
      <c r="BA1794">
        <v>100</v>
      </c>
      <c r="BB1794">
        <v>100</v>
      </c>
      <c r="BC1794">
        <v>100</v>
      </c>
      <c r="BD1794">
        <v>100</v>
      </c>
      <c r="BE1794">
        <v>1</v>
      </c>
      <c r="BF1794">
        <v>15000</v>
      </c>
      <c r="BG1794">
        <v>1000</v>
      </c>
      <c r="BH1794" s="6">
        <f>Grandview_Inventory[[#This Row],[land_extract]]*Lookups!$B$3</f>
        <v>49167.631333630678</v>
      </c>
      <c r="BI1794" s="6">
        <f>IF(Grandview_Inventory[[#This Row],[bldg_style]]="",0,Lookups!$B$2)</f>
        <v>155833.95000000001</v>
      </c>
      <c r="BJ1794" s="6">
        <f>_xlfn.IFNA(VLOOKUP(Grandview_Inventory[[#This Row],[quality]],Lookups!$H$2:$J$14,3,FALSE),0)</f>
        <v>9808</v>
      </c>
      <c r="BK1794" s="6">
        <f>_xlfn.IFNA(VLOOKUP(Grandview_Inventory[[#This Row],[condition]],Lookups!$H$17:$J$24,3,FALSE),0)</f>
        <v>-4503</v>
      </c>
      <c r="BL1794" s="6">
        <f>Grandview_Inventory[[#This Row],[Eff_Age]]*Lookups!$B$14</f>
        <v>-10523.330399999999</v>
      </c>
      <c r="BM1794" s="6">
        <f>Grandview_Inventory[[#This Row],[living_area]]*Lookups!$B$15</f>
        <v>118398.85899400001</v>
      </c>
      <c r="BN1794" s="6">
        <f>Grandview_Inventory[[#This Row],[Fin BSMT]]*Lookups!$B$16</f>
        <v>-18319.086240000001</v>
      </c>
      <c r="BO1794" s="6">
        <f>(Grandview_Inventory[[#This Row],[att_gar]]+Grandview_Inventory[[#This Row],[bltin_gar]])*Lookups!$B$17</f>
        <v>45510.627240000002</v>
      </c>
      <c r="BP1794" s="6">
        <f>Grandview_Inventory[[#This Row],[Plumbing Fixtures]]*Lookups!$B$18</f>
        <v>16083.5344</v>
      </c>
      <c r="BQ1794" s="6">
        <f>Grandview_Inventory[[#This Row],[detatched_value]]*Lookups!$B$19</f>
        <v>0</v>
      </c>
      <c r="BR1794" s="6">
        <f>SUM(Grandview_Inventory[[#This Row],[Intercept]:[det_value]])*Grandview_Inventory[[#This Row],[res_pct]]</f>
        <v>312289.55399399996</v>
      </c>
      <c r="BS1794" s="6">
        <f>Grandview_Inventory[[#This Row],[land_value]]</f>
        <v>49167.631333630678</v>
      </c>
      <c r="BT1794" s="4">
        <f>_xlfn.IFNA(VLOOKUP(Grandview_Inventory[[#This Row],[quality]],Lookups!$A$26:$C$33,3,FALSE),1)</f>
        <v>0.94295468617355149</v>
      </c>
      <c r="BU1794" s="4">
        <f>_xlfn.IFNA(VLOOKUP(Grandview_Inventory[[#This Row],[condition]],Lookups!$A$37:$C$44,3,FALSE),1)</f>
        <v>0.96469275950863709</v>
      </c>
      <c r="BV1794" s="4">
        <f>IF(Grandview_Inventory[[#This Row],[bldg_style]]="",1,_xlfn.IFNA(VLOOKUP(Grandview_Inventory[[#This Row],[decade]],Lookups!$F$29:$H$43,3,FALSE),1))</f>
        <v>0.9871940091910919</v>
      </c>
      <c r="BW1794" s="4">
        <f>_xlfn.IFNA(VLOOKUP(Grandview_Inventory[[#This Row],[living_area_range]],Lookups!$F$47:$H$56,3,FALSE),1)</f>
        <v>0.96120133463014379</v>
      </c>
      <c r="BX1794" s="4">
        <f>AVERAGE(Grandview_Inventory[[#This Row],[qual_adj]:[size_adj]])</f>
        <v>0.96401069737585598</v>
      </c>
      <c r="BY1794" s="6">
        <f>IF(Grandview_Inventory[[#This Row],[pre_res]]&lt;0,0,Grandview_Inventory[[#This Row],[pre_res]]*Grandview_Inventory[[#This Row],[overall_adj]])</f>
        <v>301050.47072895092</v>
      </c>
      <c r="BZ1794" s="6">
        <f>(Grandview_Inventory[[#This Row],[sum_land]]-IF(Grandview_Inventory[[#This Row],[no_utilities]]=1,12000,0))/IF(Grandview_Inventory[[#This Row],[unbuildable]]=1,2,1)</f>
        <v>49167.631333630678</v>
      </c>
      <c r="CA179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794">
        <f>ROUND(Grandview_Inventory[[#This Row],[det_value]]*Lookups!$M$28,-2)</f>
        <v>0</v>
      </c>
      <c r="CC1794">
        <f>IF(ROUND(Grandview_Inventory[[#This Row],[adj_res]]*Lookups!$M$28,-2)&lt;Grandview_Inventory[[#This Row],[min_res]],Grandview_Inventory[[#This Row],[min_res]],ROUND(Grandview_Inventory[[#This Row],[adj_res]]*Lookups!$M$28,-2))</f>
        <v>286000</v>
      </c>
      <c r="CD1794">
        <f>Grandview_Inventory[[#This Row],[final_det]]+Grandview_Inventory[[#This Row],[final_res]]</f>
        <v>286000</v>
      </c>
      <c r="CE1794">
        <f>Grandview_Inventory[[#This Row],[final_land]]+Grandview_Inventory[[#This Row],[final_imp]]+Grandview_Inventory[[#This Row],[crop_value]]</f>
        <v>332700</v>
      </c>
      <c r="CG1794" t="str">
        <f t="shared" si="27"/>
        <v>update valuation set market_land =46700, market_bldg=286000, market_total =332700, market_mdno =401, market_date ='9/10/2023' where link_id = (select link_id from parcel where parcel_year = '2024' and parcel_id = '23092333438');</v>
      </c>
    </row>
    <row r="1795" spans="1:85" x14ac:dyDescent="0.25">
      <c r="A1795">
        <v>23092333439</v>
      </c>
      <c r="B1795">
        <v>0.2</v>
      </c>
      <c r="C1795">
        <v>8903</v>
      </c>
      <c r="D1795" t="s">
        <v>129</v>
      </c>
      <c r="E1795" t="s">
        <v>53</v>
      </c>
      <c r="F1795" t="s">
        <v>53</v>
      </c>
      <c r="G1795">
        <v>4</v>
      </c>
      <c r="H1795" t="s">
        <v>54</v>
      </c>
      <c r="I1795">
        <v>293700</v>
      </c>
      <c r="J1795">
        <v>39300</v>
      </c>
      <c r="K1795">
        <v>0.2</v>
      </c>
      <c r="L179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795">
        <v>0</v>
      </c>
      <c r="N1795">
        <v>0</v>
      </c>
      <c r="O1795">
        <v>0</v>
      </c>
      <c r="P1795">
        <v>13398.7528</v>
      </c>
      <c r="Q1795">
        <v>63903</v>
      </c>
      <c r="R1795">
        <f>(Grandview_Inventory[[#This Row],[ln_acres]]*Grandview_Inventory[[#This Row],[coeff]])+Grandview_Inventory[[#This Row],[const]]</f>
        <v>42338.539264347448</v>
      </c>
      <c r="S1795" t="s">
        <v>61</v>
      </c>
      <c r="T1795">
        <v>1</v>
      </c>
      <c r="U1795" t="s">
        <v>62</v>
      </c>
      <c r="V1795" t="s">
        <v>69</v>
      </c>
      <c r="W1795">
        <v>0</v>
      </c>
      <c r="X1795">
        <v>0</v>
      </c>
      <c r="Y1795">
        <v>44</v>
      </c>
      <c r="Z1795">
        <v>48</v>
      </c>
      <c r="AA1795">
        <v>50</v>
      </c>
      <c r="AB1795">
        <v>3500</v>
      </c>
      <c r="AC1795">
        <v>3495</v>
      </c>
      <c r="AD1795">
        <v>2025</v>
      </c>
      <c r="AE1795">
        <v>0</v>
      </c>
      <c r="AF1795">
        <v>0</v>
      </c>
      <c r="AG1795">
        <v>1470</v>
      </c>
      <c r="AH1795">
        <v>0</v>
      </c>
      <c r="AI1795">
        <v>300</v>
      </c>
      <c r="AJ1795">
        <v>0</v>
      </c>
      <c r="AK1795">
        <v>700</v>
      </c>
      <c r="AL1795">
        <v>0</v>
      </c>
      <c r="AM1795">
        <v>0</v>
      </c>
      <c r="AN1795">
        <v>72</v>
      </c>
      <c r="AO1795">
        <v>0</v>
      </c>
      <c r="AP1795">
        <v>11</v>
      </c>
      <c r="AQ1795">
        <v>0</v>
      </c>
      <c r="AR1795">
        <v>1</v>
      </c>
      <c r="AS1795" t="s">
        <v>131</v>
      </c>
      <c r="AT1795">
        <v>1</v>
      </c>
      <c r="AU1795" t="s">
        <v>63</v>
      </c>
      <c r="AV1795" t="s">
        <v>60</v>
      </c>
      <c r="AW1795">
        <v>0</v>
      </c>
      <c r="AX1795">
        <v>3</v>
      </c>
      <c r="AY1795">
        <v>0</v>
      </c>
      <c r="AZ1795">
        <v>15200</v>
      </c>
      <c r="BA1795">
        <v>100</v>
      </c>
      <c r="BB1795">
        <v>100</v>
      </c>
      <c r="BC1795">
        <v>100</v>
      </c>
      <c r="BD1795">
        <v>100</v>
      </c>
      <c r="BE1795">
        <v>1</v>
      </c>
      <c r="BF1795">
        <v>15000</v>
      </c>
      <c r="BG1795">
        <v>1000</v>
      </c>
      <c r="BH1795" s="6">
        <f>Grandview_Inventory[[#This Row],[land_extract]]*Lookups!$B$3</f>
        <v>49167.631333630678</v>
      </c>
      <c r="BI1795" s="6">
        <f>IF(Grandview_Inventory[[#This Row],[bldg_style]]="",0,Lookups!$B$2)</f>
        <v>155833.95000000001</v>
      </c>
      <c r="BJ1795" s="6">
        <f>_xlfn.IFNA(VLOOKUP(Grandview_Inventory[[#This Row],[quality]],Lookups!$H$2:$J$14,3,FALSE),0)</f>
        <v>9808</v>
      </c>
      <c r="BK1795" s="6">
        <f>_xlfn.IFNA(VLOOKUP(Grandview_Inventory[[#This Row],[condition]],Lookups!$H$17:$J$24,3,FALSE),0)</f>
        <v>-4503</v>
      </c>
      <c r="BL1795" s="6">
        <f>Grandview_Inventory[[#This Row],[Eff_Age]]*Lookups!$B$14</f>
        <v>-10523.330399999999</v>
      </c>
      <c r="BM1795" s="6">
        <f>Grandview_Inventory[[#This Row],[living_area]]*Lookups!$B$15</f>
        <v>218021.08123500002</v>
      </c>
      <c r="BN1795" s="6">
        <f>Grandview_Inventory[[#This Row],[Fin BSMT]]*Lookups!$B$16</f>
        <v>-39835.882799999999</v>
      </c>
      <c r="BO1795" s="6">
        <f>(Grandview_Inventory[[#This Row],[att_gar]]+Grandview_Inventory[[#This Row],[bltin_gar]])*Lookups!$B$17</f>
        <v>26256.131099999999</v>
      </c>
      <c r="BP1795" s="6">
        <f>Grandview_Inventory[[#This Row],[Plumbing Fixtures]]*Lookups!$B$18</f>
        <v>22114.859800000002</v>
      </c>
      <c r="BQ1795" s="6">
        <f>Grandview_Inventory[[#This Row],[detatched_value]]*Lookups!$B$19</f>
        <v>12871.437519999999</v>
      </c>
      <c r="BR1795" s="6">
        <f>SUM(Grandview_Inventory[[#This Row],[Intercept]:[det_value]])*Grandview_Inventory[[#This Row],[res_pct]]</f>
        <v>390043.24645499996</v>
      </c>
      <c r="BS1795" s="6">
        <f>Grandview_Inventory[[#This Row],[land_value]]</f>
        <v>49167.631333630678</v>
      </c>
      <c r="BT1795" s="4">
        <f>_xlfn.IFNA(VLOOKUP(Grandview_Inventory[[#This Row],[quality]],Lookups!$A$26:$C$33,3,FALSE),1)</f>
        <v>0.94295468617355149</v>
      </c>
      <c r="BU1795" s="4">
        <f>_xlfn.IFNA(VLOOKUP(Grandview_Inventory[[#This Row],[condition]],Lookups!$A$37:$C$44,3,FALSE),1)</f>
        <v>0.96469275950863709</v>
      </c>
      <c r="BV1795" s="4">
        <f>IF(Grandview_Inventory[[#This Row],[bldg_style]]="",1,_xlfn.IFNA(VLOOKUP(Grandview_Inventory[[#This Row],[decade]],Lookups!$F$29:$H$43,3,FALSE),1))</f>
        <v>0.9871940091910919</v>
      </c>
      <c r="BW1795" s="4">
        <f>_xlfn.IFNA(VLOOKUP(Grandview_Inventory[[#This Row],[living_area_range]],Lookups!$F$47:$H$56,3,FALSE),1)</f>
        <v>1.0170112215140563</v>
      </c>
      <c r="BX1795" s="4">
        <f>AVERAGE(Grandview_Inventory[[#This Row],[qual_adj]:[size_adj]])</f>
        <v>0.97796316909683423</v>
      </c>
      <c r="BY1795" s="6">
        <f>IF(Grandview_Inventory[[#This Row],[pre_res]]&lt;0,0,Grandview_Inventory[[#This Row],[pre_res]]*Grandview_Inventory[[#This Row],[overall_adj]])</f>
        <v>381447.92938794929</v>
      </c>
      <c r="BZ1795" s="6">
        <f>(Grandview_Inventory[[#This Row],[sum_land]]-IF(Grandview_Inventory[[#This Row],[no_utilities]]=1,12000,0))/IF(Grandview_Inventory[[#This Row],[unbuildable]]=1,2,1)</f>
        <v>49167.631333630678</v>
      </c>
      <c r="CA179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795">
        <f>ROUND(Grandview_Inventory[[#This Row],[det_value]]*Lookups!$M$28,-2)</f>
        <v>12200</v>
      </c>
      <c r="CC1795">
        <f>IF(ROUND(Grandview_Inventory[[#This Row],[adj_res]]*Lookups!$M$28,-2)&lt;Grandview_Inventory[[#This Row],[min_res]],Grandview_Inventory[[#This Row],[min_res]],ROUND(Grandview_Inventory[[#This Row],[adj_res]]*Lookups!$M$28,-2))</f>
        <v>362400</v>
      </c>
      <c r="CD1795">
        <f>Grandview_Inventory[[#This Row],[final_det]]+Grandview_Inventory[[#This Row],[final_res]]</f>
        <v>374600</v>
      </c>
      <c r="CE1795">
        <f>Grandview_Inventory[[#This Row],[final_land]]+Grandview_Inventory[[#This Row],[final_imp]]+Grandview_Inventory[[#This Row],[crop_value]]</f>
        <v>421300</v>
      </c>
      <c r="CG1795" t="str">
        <f t="shared" ref="CG1795:CG1858" si="28">"update valuation set market_land ="&amp;CA1795&amp;", market_bldg="&amp;CD1795&amp;", market_total ="&amp;CE1795&amp;", market_mdno ="&amp;$CG$1&amp;", market_date ='"&amp;TEXT($CH$1,"m/d/yyyy")&amp;"' where link_id = (select link_id from parcel where parcel_year = '2024' and parcel_id = '"&amp;A1795&amp;"');"</f>
        <v>update valuation set market_land =46700, market_bldg=374600, market_total =421300, market_mdno =401, market_date ='9/10/2023' where link_id = (select link_id from parcel where parcel_year = '2024' and parcel_id = '23092333439');</v>
      </c>
    </row>
    <row r="1796" spans="1:85" x14ac:dyDescent="0.25">
      <c r="A1796">
        <v>23092333440</v>
      </c>
      <c r="B1796">
        <v>0.2</v>
      </c>
      <c r="C1796">
        <v>8903</v>
      </c>
      <c r="D1796" t="s">
        <v>129</v>
      </c>
      <c r="E1796" t="s">
        <v>53</v>
      </c>
      <c r="F1796" t="s">
        <v>53</v>
      </c>
      <c r="G1796">
        <v>4</v>
      </c>
      <c r="H1796" t="s">
        <v>54</v>
      </c>
      <c r="I1796">
        <v>302400</v>
      </c>
      <c r="J1796">
        <v>39300</v>
      </c>
      <c r="K1796">
        <v>0.2</v>
      </c>
      <c r="L179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796">
        <v>0</v>
      </c>
      <c r="N1796">
        <v>0</v>
      </c>
      <c r="O1796">
        <v>0</v>
      </c>
      <c r="P1796">
        <v>13398.7528</v>
      </c>
      <c r="Q1796">
        <v>63903</v>
      </c>
      <c r="R1796">
        <f>(Grandview_Inventory[[#This Row],[ln_acres]]*Grandview_Inventory[[#This Row],[coeff]])+Grandview_Inventory[[#This Row],[const]]</f>
        <v>42338.539264347448</v>
      </c>
      <c r="S1796" t="s">
        <v>74</v>
      </c>
      <c r="T1796">
        <v>1</v>
      </c>
      <c r="U1796" t="s">
        <v>62</v>
      </c>
      <c r="V1796" t="s">
        <v>67</v>
      </c>
      <c r="W1796">
        <v>0</v>
      </c>
      <c r="X1796">
        <v>0</v>
      </c>
      <c r="Y1796">
        <v>39</v>
      </c>
      <c r="Z1796">
        <v>48</v>
      </c>
      <c r="AA1796">
        <v>50</v>
      </c>
      <c r="AB1796">
        <v>2500</v>
      </c>
      <c r="AC1796">
        <v>2100</v>
      </c>
      <c r="AD1796">
        <v>1424</v>
      </c>
      <c r="AE1796">
        <v>0</v>
      </c>
      <c r="AF1796">
        <v>0</v>
      </c>
      <c r="AG1796">
        <v>676</v>
      </c>
      <c r="AH1796">
        <v>0</v>
      </c>
      <c r="AI1796">
        <v>572</v>
      </c>
      <c r="AJ1796">
        <v>0</v>
      </c>
      <c r="AK1796">
        <v>0</v>
      </c>
      <c r="AL1796">
        <v>0</v>
      </c>
      <c r="AM1796">
        <v>220</v>
      </c>
      <c r="AN1796">
        <v>105</v>
      </c>
      <c r="AO1796">
        <v>220</v>
      </c>
      <c r="AP1796">
        <v>11</v>
      </c>
      <c r="AQ1796">
        <v>1</v>
      </c>
      <c r="AR1796">
        <v>1</v>
      </c>
      <c r="AS1796" t="s">
        <v>58</v>
      </c>
      <c r="AT1796">
        <v>1</v>
      </c>
      <c r="AU1796" t="s">
        <v>75</v>
      </c>
      <c r="AV1796" t="s">
        <v>60</v>
      </c>
      <c r="AW1796">
        <v>0</v>
      </c>
      <c r="AX1796">
        <v>3</v>
      </c>
      <c r="AY1796">
        <v>0</v>
      </c>
      <c r="AZ1796">
        <v>0</v>
      </c>
      <c r="BA1796">
        <v>100</v>
      </c>
      <c r="BB1796">
        <v>100</v>
      </c>
      <c r="BC1796">
        <v>100</v>
      </c>
      <c r="BD1796">
        <v>100</v>
      </c>
      <c r="BE1796">
        <v>1</v>
      </c>
      <c r="BF1796">
        <v>15000</v>
      </c>
      <c r="BG1796">
        <v>1000</v>
      </c>
      <c r="BH1796" s="6">
        <f>Grandview_Inventory[[#This Row],[land_extract]]*Lookups!$B$3</f>
        <v>49167.631333630678</v>
      </c>
      <c r="BI1796" s="6">
        <f>IF(Grandview_Inventory[[#This Row],[bldg_style]]="",0,Lookups!$B$2)</f>
        <v>155833.95000000001</v>
      </c>
      <c r="BJ1796" s="6">
        <f>_xlfn.IFNA(VLOOKUP(Grandview_Inventory[[#This Row],[quality]],Lookups!$H$2:$J$14,3,FALSE),0)</f>
        <v>9808</v>
      </c>
      <c r="BK1796" s="6">
        <f>_xlfn.IFNA(VLOOKUP(Grandview_Inventory[[#This Row],[condition]],Lookups!$H$17:$J$24,3,FALSE),0)</f>
        <v>22342</v>
      </c>
      <c r="BL1796" s="6">
        <f>Grandview_Inventory[[#This Row],[Eff_Age]]*Lookups!$B$14</f>
        <v>-9327.4974000000002</v>
      </c>
      <c r="BM1796" s="6">
        <f>Grandview_Inventory[[#This Row],[living_area]]*Lookups!$B$15</f>
        <v>130999.7913</v>
      </c>
      <c r="BN1796" s="6">
        <f>Grandview_Inventory[[#This Row],[Fin BSMT]]*Lookups!$B$16</f>
        <v>-18319.086240000001</v>
      </c>
      <c r="BO1796" s="6">
        <f>(Grandview_Inventory[[#This Row],[att_gar]]+Grandview_Inventory[[#This Row],[bltin_gar]])*Lookups!$B$17</f>
        <v>50061.689963999997</v>
      </c>
      <c r="BP1796" s="6">
        <f>Grandview_Inventory[[#This Row],[Plumbing Fixtures]]*Lookups!$B$18</f>
        <v>22114.859800000002</v>
      </c>
      <c r="BQ1796" s="6">
        <f>Grandview_Inventory[[#This Row],[detatched_value]]*Lookups!$B$19</f>
        <v>0</v>
      </c>
      <c r="BR1796" s="6">
        <f>SUM(Grandview_Inventory[[#This Row],[Intercept]:[det_value]])*Grandview_Inventory[[#This Row],[res_pct]]</f>
        <v>363513.70742400002</v>
      </c>
      <c r="BS1796" s="6">
        <f>Grandview_Inventory[[#This Row],[land_value]]</f>
        <v>49167.631333630678</v>
      </c>
      <c r="BT1796" s="4">
        <f>_xlfn.IFNA(VLOOKUP(Grandview_Inventory[[#This Row],[quality]],Lookups!$A$26:$C$33,3,FALSE),1)</f>
        <v>0.94295468617355149</v>
      </c>
      <c r="BU1796" s="4">
        <f>_xlfn.IFNA(VLOOKUP(Grandview_Inventory[[#This Row],[condition]],Lookups!$A$37:$C$44,3,FALSE),1)</f>
        <v>0.97383723671140243</v>
      </c>
      <c r="BV1796" s="4">
        <f>IF(Grandview_Inventory[[#This Row],[bldg_style]]="",1,_xlfn.IFNA(VLOOKUP(Grandview_Inventory[[#This Row],[decade]],Lookups!$F$29:$H$43,3,FALSE),1))</f>
        <v>0.9871940091910919</v>
      </c>
      <c r="BW1796" s="4">
        <f>_xlfn.IFNA(VLOOKUP(Grandview_Inventory[[#This Row],[living_area_range]],Lookups!$F$47:$H$56,3,FALSE),1)</f>
        <v>0.95799442568048754</v>
      </c>
      <c r="BX1796" s="4">
        <f>AVERAGE(Grandview_Inventory[[#This Row],[qual_adj]:[size_adj]])</f>
        <v>0.96549508943913331</v>
      </c>
      <c r="BY1796" s="6">
        <f>IF(Grandview_Inventory[[#This Row],[pre_res]]&lt;0,0,Grandview_Inventory[[#This Row],[pre_res]]*Grandview_Inventory[[#This Row],[overall_adj]])</f>
        <v>350970.69946168584</v>
      </c>
      <c r="BZ1796" s="6">
        <f>(Grandview_Inventory[[#This Row],[sum_land]]-IF(Grandview_Inventory[[#This Row],[no_utilities]]=1,12000,0))/IF(Grandview_Inventory[[#This Row],[unbuildable]]=1,2,1)</f>
        <v>49167.631333630678</v>
      </c>
      <c r="CA179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796">
        <f>ROUND(Grandview_Inventory[[#This Row],[det_value]]*Lookups!$M$28,-2)</f>
        <v>0</v>
      </c>
      <c r="CC1796">
        <f>IF(ROUND(Grandview_Inventory[[#This Row],[adj_res]]*Lookups!$M$28,-2)&lt;Grandview_Inventory[[#This Row],[min_res]],Grandview_Inventory[[#This Row],[min_res]],ROUND(Grandview_Inventory[[#This Row],[adj_res]]*Lookups!$M$28,-2))</f>
        <v>333400</v>
      </c>
      <c r="CD1796">
        <f>Grandview_Inventory[[#This Row],[final_det]]+Grandview_Inventory[[#This Row],[final_res]]</f>
        <v>333400</v>
      </c>
      <c r="CE1796">
        <f>Grandview_Inventory[[#This Row],[final_land]]+Grandview_Inventory[[#This Row],[final_imp]]+Grandview_Inventory[[#This Row],[crop_value]]</f>
        <v>380100</v>
      </c>
      <c r="CG1796" t="str">
        <f t="shared" si="28"/>
        <v>update valuation set market_land =46700, market_bldg=333400, market_total =380100, market_mdno =401, market_date ='9/10/2023' where link_id = (select link_id from parcel where parcel_year = '2024' and parcel_id = '23092333440');</v>
      </c>
    </row>
    <row r="1797" spans="1:85" x14ac:dyDescent="0.25">
      <c r="A1797">
        <v>23092333441</v>
      </c>
      <c r="B1797">
        <v>0.2</v>
      </c>
      <c r="C1797">
        <v>8903</v>
      </c>
      <c r="D1797" t="s">
        <v>129</v>
      </c>
      <c r="E1797" t="s">
        <v>53</v>
      </c>
      <c r="F1797" t="s">
        <v>53</v>
      </c>
      <c r="G1797">
        <v>4</v>
      </c>
      <c r="H1797" t="s">
        <v>54</v>
      </c>
      <c r="I1797">
        <v>271800</v>
      </c>
      <c r="J1797">
        <v>43700</v>
      </c>
      <c r="K1797">
        <v>0.2</v>
      </c>
      <c r="L179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797">
        <v>0</v>
      </c>
      <c r="N1797">
        <v>0</v>
      </c>
      <c r="O1797">
        <v>0</v>
      </c>
      <c r="P1797">
        <v>13398.7528</v>
      </c>
      <c r="Q1797">
        <v>63903</v>
      </c>
      <c r="R1797">
        <f>(Grandview_Inventory[[#This Row],[ln_acres]]*Grandview_Inventory[[#This Row],[coeff]])+Grandview_Inventory[[#This Row],[const]]</f>
        <v>42338.539264347448</v>
      </c>
      <c r="S1797" t="s">
        <v>55</v>
      </c>
      <c r="T1797">
        <v>2</v>
      </c>
      <c r="U1797" t="s">
        <v>65</v>
      </c>
      <c r="V1797" t="s">
        <v>69</v>
      </c>
      <c r="W1797">
        <v>0</v>
      </c>
      <c r="X1797">
        <v>0</v>
      </c>
      <c r="Y1797">
        <v>46</v>
      </c>
      <c r="Z1797">
        <v>55</v>
      </c>
      <c r="AA1797">
        <v>60</v>
      </c>
      <c r="AB1797">
        <v>3000</v>
      </c>
      <c r="AC1797">
        <v>2520</v>
      </c>
      <c r="AD1797">
        <v>1176</v>
      </c>
      <c r="AE1797">
        <v>672</v>
      </c>
      <c r="AF1797">
        <v>0</v>
      </c>
      <c r="AG1797">
        <v>672</v>
      </c>
      <c r="AH1797">
        <v>0</v>
      </c>
      <c r="AI1797">
        <v>616</v>
      </c>
      <c r="AJ1797">
        <v>0</v>
      </c>
      <c r="AK1797">
        <v>0</v>
      </c>
      <c r="AL1797">
        <v>0</v>
      </c>
      <c r="AM1797">
        <v>120</v>
      </c>
      <c r="AN1797">
        <v>168</v>
      </c>
      <c r="AO1797">
        <v>0</v>
      </c>
      <c r="AP1797">
        <v>11</v>
      </c>
      <c r="AQ1797">
        <v>0</v>
      </c>
      <c r="AR1797">
        <v>1</v>
      </c>
      <c r="AS1797" t="s">
        <v>58</v>
      </c>
      <c r="AT1797">
        <v>1</v>
      </c>
      <c r="AU1797" t="s">
        <v>63</v>
      </c>
      <c r="AV1797" t="s">
        <v>60</v>
      </c>
      <c r="AW1797">
        <v>1</v>
      </c>
      <c r="AX1797">
        <v>3</v>
      </c>
      <c r="AY1797">
        <v>0</v>
      </c>
      <c r="AZ1797">
        <v>12200</v>
      </c>
      <c r="BA1797">
        <v>100</v>
      </c>
      <c r="BB1797">
        <v>100</v>
      </c>
      <c r="BC1797">
        <v>100</v>
      </c>
      <c r="BD1797">
        <v>100</v>
      </c>
      <c r="BE1797">
        <v>1</v>
      </c>
      <c r="BF1797">
        <v>15000</v>
      </c>
      <c r="BG1797">
        <v>1000</v>
      </c>
      <c r="BH1797" s="6">
        <f>Grandview_Inventory[[#This Row],[land_extract]]*Lookups!$B$3</f>
        <v>49167.631333630678</v>
      </c>
      <c r="BI1797" s="6">
        <f>IF(Grandview_Inventory[[#This Row],[bldg_style]]="",0,Lookups!$B$2)</f>
        <v>155833.95000000001</v>
      </c>
      <c r="BJ1797" s="6">
        <f>_xlfn.IFNA(VLOOKUP(Grandview_Inventory[[#This Row],[quality]],Lookups!$H$2:$J$14,3,FALSE),0)</f>
        <v>2251</v>
      </c>
      <c r="BK1797" s="6">
        <f>_xlfn.IFNA(VLOOKUP(Grandview_Inventory[[#This Row],[condition]],Lookups!$H$17:$J$24,3,FALSE),0)</f>
        <v>-4503</v>
      </c>
      <c r="BL1797" s="6">
        <f>Grandview_Inventory[[#This Row],[Eff_Age]]*Lookups!$B$14</f>
        <v>-11001.6636</v>
      </c>
      <c r="BM1797" s="6">
        <f>Grandview_Inventory[[#This Row],[living_area]]*Lookups!$B$15</f>
        <v>157199.74956</v>
      </c>
      <c r="BN1797" s="6">
        <f>Grandview_Inventory[[#This Row],[Fin BSMT]]*Lookups!$B$16</f>
        <v>-18210.689280000002</v>
      </c>
      <c r="BO1797" s="6">
        <f>(Grandview_Inventory[[#This Row],[att_gar]]+Grandview_Inventory[[#This Row],[bltin_gar]])*Lookups!$B$17</f>
        <v>53912.589191999999</v>
      </c>
      <c r="BP1797" s="6">
        <f>Grandview_Inventory[[#This Row],[Plumbing Fixtures]]*Lookups!$B$18</f>
        <v>22114.859800000002</v>
      </c>
      <c r="BQ1797" s="6">
        <f>Grandview_Inventory[[#This Row],[detatched_value]]*Lookups!$B$19</f>
        <v>10331.022219999999</v>
      </c>
      <c r="BR1797" s="6">
        <f>SUM(Grandview_Inventory[[#This Row],[Intercept]:[det_value]])*Grandview_Inventory[[#This Row],[res_pct]]</f>
        <v>367927.81789199996</v>
      </c>
      <c r="BS1797" s="6">
        <f>Grandview_Inventory[[#This Row],[land_value]]</f>
        <v>49167.631333630678</v>
      </c>
      <c r="BT1797" s="4">
        <f>_xlfn.IFNA(VLOOKUP(Grandview_Inventory[[#This Row],[quality]],Lookups!$A$26:$C$33,3,FALSE),1)</f>
        <v>0.98763855981004833</v>
      </c>
      <c r="BU1797" s="4">
        <f>_xlfn.IFNA(VLOOKUP(Grandview_Inventory[[#This Row],[condition]],Lookups!$A$37:$C$44,3,FALSE),1)</f>
        <v>0.96469275950863709</v>
      </c>
      <c r="BV1797" s="4">
        <f>IF(Grandview_Inventory[[#This Row],[bldg_style]]="",1,_xlfn.IFNA(VLOOKUP(Grandview_Inventory[[#This Row],[decade]],Lookups!$F$29:$H$43,3,FALSE),1))</f>
        <v>0.95268620544463312</v>
      </c>
      <c r="BW1797" s="4">
        <f>_xlfn.IFNA(VLOOKUP(Grandview_Inventory[[#This Row],[living_area_range]],Lookups!$F$47:$H$56,3,FALSE),1)</f>
        <v>0.94224801443562123</v>
      </c>
      <c r="BX1797" s="4">
        <f>AVERAGE(Grandview_Inventory[[#This Row],[qual_adj]:[size_adj]])</f>
        <v>0.96181638479973497</v>
      </c>
      <c r="BY1797" s="6">
        <f>IF(Grandview_Inventory[[#This Row],[pre_res]]&lt;0,0,Grandview_Inventory[[#This Row],[pre_res]]*Grandview_Inventory[[#This Row],[overall_adj]])</f>
        <v>353879.00367213867</v>
      </c>
      <c r="BZ1797" s="6">
        <f>(Grandview_Inventory[[#This Row],[sum_land]]-IF(Grandview_Inventory[[#This Row],[no_utilities]]=1,12000,0))/IF(Grandview_Inventory[[#This Row],[unbuildable]]=1,2,1)</f>
        <v>49167.631333630678</v>
      </c>
      <c r="CA179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797">
        <f>ROUND(Grandview_Inventory[[#This Row],[det_value]]*Lookups!$M$28,-2)</f>
        <v>9800</v>
      </c>
      <c r="CC1797">
        <f>IF(ROUND(Grandview_Inventory[[#This Row],[adj_res]]*Lookups!$M$28,-2)&lt;Grandview_Inventory[[#This Row],[min_res]],Grandview_Inventory[[#This Row],[min_res]],ROUND(Grandview_Inventory[[#This Row],[adj_res]]*Lookups!$M$28,-2))</f>
        <v>336200</v>
      </c>
      <c r="CD1797">
        <f>Grandview_Inventory[[#This Row],[final_det]]+Grandview_Inventory[[#This Row],[final_res]]</f>
        <v>346000</v>
      </c>
      <c r="CE1797">
        <f>Grandview_Inventory[[#This Row],[final_land]]+Grandview_Inventory[[#This Row],[final_imp]]+Grandview_Inventory[[#This Row],[crop_value]]</f>
        <v>392700</v>
      </c>
      <c r="CG1797" t="str">
        <f t="shared" si="28"/>
        <v>update valuation set market_land =46700, market_bldg=346000, market_total =392700, market_mdno =401, market_date ='9/10/2023' where link_id = (select link_id from parcel where parcel_year = '2024' and parcel_id = '23092333441');</v>
      </c>
    </row>
    <row r="1798" spans="1:85" x14ac:dyDescent="0.25">
      <c r="A1798">
        <v>23092333442</v>
      </c>
      <c r="B1798">
        <v>0.21</v>
      </c>
      <c r="C1798">
        <v>9045</v>
      </c>
      <c r="D1798" t="s">
        <v>129</v>
      </c>
      <c r="E1798" t="s">
        <v>53</v>
      </c>
      <c r="F1798" t="s">
        <v>53</v>
      </c>
      <c r="G1798">
        <v>4</v>
      </c>
      <c r="H1798" t="s">
        <v>54</v>
      </c>
      <c r="I1798">
        <v>253200</v>
      </c>
      <c r="J1798">
        <v>39300</v>
      </c>
      <c r="K1798">
        <v>0.21</v>
      </c>
      <c r="L179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798">
        <v>0</v>
      </c>
      <c r="N1798">
        <v>0</v>
      </c>
      <c r="O1798">
        <v>0</v>
      </c>
      <c r="P1798">
        <v>13398.7528</v>
      </c>
      <c r="Q1798">
        <v>63903</v>
      </c>
      <c r="R1798">
        <f>(Grandview_Inventory[[#This Row],[ln_acres]]*Grandview_Inventory[[#This Row],[coeff]])+Grandview_Inventory[[#This Row],[const]]</f>
        <v>42992.266613125081</v>
      </c>
      <c r="S1798" t="s">
        <v>61</v>
      </c>
      <c r="T1798">
        <v>1</v>
      </c>
      <c r="U1798" t="s">
        <v>64</v>
      </c>
      <c r="V1798" t="s">
        <v>69</v>
      </c>
      <c r="W1798">
        <v>0</v>
      </c>
      <c r="X1798">
        <v>0</v>
      </c>
      <c r="Y1798">
        <v>44</v>
      </c>
      <c r="Z1798">
        <v>46</v>
      </c>
      <c r="AA1798">
        <v>50</v>
      </c>
      <c r="AB1798">
        <v>3000</v>
      </c>
      <c r="AC1798">
        <v>2704</v>
      </c>
      <c r="AD1798">
        <v>2202</v>
      </c>
      <c r="AE1798">
        <v>0</v>
      </c>
      <c r="AF1798">
        <v>0</v>
      </c>
      <c r="AG1798">
        <v>502</v>
      </c>
      <c r="AH1798">
        <v>258</v>
      </c>
      <c r="AI1798">
        <v>506</v>
      </c>
      <c r="AJ1798">
        <v>0</v>
      </c>
      <c r="AK1798">
        <v>0</v>
      </c>
      <c r="AL1798">
        <v>0</v>
      </c>
      <c r="AM1798">
        <v>100</v>
      </c>
      <c r="AN1798">
        <v>70</v>
      </c>
      <c r="AO1798">
        <v>0</v>
      </c>
      <c r="AP1798">
        <v>11</v>
      </c>
      <c r="AQ1798">
        <v>0</v>
      </c>
      <c r="AR1798">
        <v>0</v>
      </c>
      <c r="AS1798" t="s">
        <v>58</v>
      </c>
      <c r="AT1798">
        <v>1</v>
      </c>
      <c r="AU1798" t="s">
        <v>63</v>
      </c>
      <c r="AV1798" t="s">
        <v>64</v>
      </c>
      <c r="AW1798">
        <v>1</v>
      </c>
      <c r="AX1798">
        <v>4</v>
      </c>
      <c r="AY1798">
        <v>0</v>
      </c>
      <c r="AZ1798">
        <v>0</v>
      </c>
      <c r="BA1798">
        <v>100</v>
      </c>
      <c r="BB1798">
        <v>100</v>
      </c>
      <c r="BC1798">
        <v>100</v>
      </c>
      <c r="BD1798">
        <v>100</v>
      </c>
      <c r="BE1798">
        <v>1</v>
      </c>
      <c r="BF1798">
        <v>15000</v>
      </c>
      <c r="BG1798">
        <v>1000</v>
      </c>
      <c r="BH1798" s="6">
        <f>Grandview_Inventory[[#This Row],[land_extract]]*Lookups!$B$3</f>
        <v>49926.8031387023</v>
      </c>
      <c r="BI1798" s="6">
        <f>IF(Grandview_Inventory[[#This Row],[bldg_style]]="",0,Lookups!$B$2)</f>
        <v>155833.95000000001</v>
      </c>
      <c r="BJ1798" s="6">
        <f>_xlfn.IFNA(VLOOKUP(Grandview_Inventory[[#This Row],[quality]],Lookups!$H$2:$J$14,3,FALSE),0)</f>
        <v>20768</v>
      </c>
      <c r="BK1798" s="6">
        <f>_xlfn.IFNA(VLOOKUP(Grandview_Inventory[[#This Row],[condition]],Lookups!$H$17:$J$24,3,FALSE),0)</f>
        <v>-4503</v>
      </c>
      <c r="BL1798" s="6">
        <f>Grandview_Inventory[[#This Row],[Eff_Age]]*Lookups!$B$14</f>
        <v>-10523.330399999999</v>
      </c>
      <c r="BM1798" s="6">
        <f>Grandview_Inventory[[#This Row],[living_area]]*Lookups!$B$15</f>
        <v>168677.826512</v>
      </c>
      <c r="BN1798" s="6">
        <f>Grandview_Inventory[[#This Row],[Fin BSMT]]*Lookups!$B$16</f>
        <v>-13603.818480000002</v>
      </c>
      <c r="BO1798" s="6">
        <f>(Grandview_Inventory[[#This Row],[att_gar]]+Grandview_Inventory[[#This Row],[bltin_gar]])*Lookups!$B$17</f>
        <v>44285.341121999998</v>
      </c>
      <c r="BP1798" s="6">
        <f>Grandview_Inventory[[#This Row],[Plumbing Fixtures]]*Lookups!$B$18</f>
        <v>22114.859800000002</v>
      </c>
      <c r="BQ1798" s="6">
        <f>Grandview_Inventory[[#This Row],[detatched_value]]*Lookups!$B$19</f>
        <v>0</v>
      </c>
      <c r="BR1798" s="6">
        <f>SUM(Grandview_Inventory[[#This Row],[Intercept]:[det_value]])*Grandview_Inventory[[#This Row],[res_pct]]</f>
        <v>383049.82855400001</v>
      </c>
      <c r="BS1798" s="6">
        <f>Grandview_Inventory[[#This Row],[land_value]]</f>
        <v>49926.8031387023</v>
      </c>
      <c r="BT1798" s="4">
        <f>_xlfn.IFNA(VLOOKUP(Grandview_Inventory[[#This Row],[quality]],Lookups!$A$26:$C$33,3,FALSE),1)</f>
        <v>0.94960540378902636</v>
      </c>
      <c r="BU1798" s="4">
        <f>_xlfn.IFNA(VLOOKUP(Grandview_Inventory[[#This Row],[condition]],Lookups!$A$37:$C$44,3,FALSE),1)</f>
        <v>0.96469275950863709</v>
      </c>
      <c r="BV1798" s="4">
        <f>IF(Grandview_Inventory[[#This Row],[bldg_style]]="",1,_xlfn.IFNA(VLOOKUP(Grandview_Inventory[[#This Row],[decade]],Lookups!$F$29:$H$43,3,FALSE),1))</f>
        <v>0.9871940091910919</v>
      </c>
      <c r="BW1798" s="4">
        <f>_xlfn.IFNA(VLOOKUP(Grandview_Inventory[[#This Row],[living_area_range]],Lookups!$F$47:$H$56,3,FALSE),1)</f>
        <v>0.94224801443562123</v>
      </c>
      <c r="BX1798" s="4">
        <f>AVERAGE(Grandview_Inventory[[#This Row],[qual_adj]:[size_adj]])</f>
        <v>0.9609350467310942</v>
      </c>
      <c r="BY1798" s="6">
        <f>IF(Grandview_Inventory[[#This Row],[pre_res]]&lt;0,0,Grandview_Inventory[[#This Row],[pre_res]]*Grandview_Inventory[[#This Row],[overall_adj]])</f>
        <v>368086.00490187563</v>
      </c>
      <c r="BZ1798" s="6">
        <f>(Grandview_Inventory[[#This Row],[sum_land]]-IF(Grandview_Inventory[[#This Row],[no_utilities]]=1,12000,0))/IF(Grandview_Inventory[[#This Row],[unbuildable]]=1,2,1)</f>
        <v>49926.8031387023</v>
      </c>
      <c r="CA179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798">
        <f>ROUND(Grandview_Inventory[[#This Row],[det_value]]*Lookups!$M$28,-2)</f>
        <v>0</v>
      </c>
      <c r="CC1798">
        <f>IF(ROUND(Grandview_Inventory[[#This Row],[adj_res]]*Lookups!$M$28,-2)&lt;Grandview_Inventory[[#This Row],[min_res]],Grandview_Inventory[[#This Row],[min_res]],ROUND(Grandview_Inventory[[#This Row],[adj_res]]*Lookups!$M$28,-2))</f>
        <v>349700</v>
      </c>
      <c r="CD1798">
        <f>Grandview_Inventory[[#This Row],[final_det]]+Grandview_Inventory[[#This Row],[final_res]]</f>
        <v>349700</v>
      </c>
      <c r="CE1798">
        <f>Grandview_Inventory[[#This Row],[final_land]]+Grandview_Inventory[[#This Row],[final_imp]]+Grandview_Inventory[[#This Row],[crop_value]]</f>
        <v>397100</v>
      </c>
      <c r="CG1798" t="str">
        <f t="shared" si="28"/>
        <v>update valuation set market_land =47400, market_bldg=349700, market_total =397100, market_mdno =401, market_date ='9/10/2023' where link_id = (select link_id from parcel where parcel_year = '2024' and parcel_id = '23092333442');</v>
      </c>
    </row>
    <row r="1799" spans="1:85" x14ac:dyDescent="0.25">
      <c r="A1799">
        <v>23092333443</v>
      </c>
      <c r="B1799">
        <v>0.25</v>
      </c>
      <c r="C1799">
        <v>10674</v>
      </c>
      <c r="D1799" t="s">
        <v>129</v>
      </c>
      <c r="E1799" t="s">
        <v>53</v>
      </c>
      <c r="F1799" t="s">
        <v>53</v>
      </c>
      <c r="G1799">
        <v>4</v>
      </c>
      <c r="H1799" t="s">
        <v>54</v>
      </c>
      <c r="I1799">
        <v>208000</v>
      </c>
      <c r="J1799">
        <v>40000</v>
      </c>
      <c r="K1799">
        <v>0.25</v>
      </c>
      <c r="L179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799">
        <v>0</v>
      </c>
      <c r="N1799">
        <v>0</v>
      </c>
      <c r="O1799">
        <v>0</v>
      </c>
      <c r="P1799">
        <v>13398.7528</v>
      </c>
      <c r="Q1799">
        <v>63903</v>
      </c>
      <c r="R1799">
        <f>(Grandview_Inventory[[#This Row],[ln_acres]]*Grandview_Inventory[[#This Row],[coeff]])+Grandview_Inventory[[#This Row],[const]]</f>
        <v>45328.38454732066</v>
      </c>
      <c r="S1799" t="s">
        <v>61</v>
      </c>
      <c r="T1799">
        <v>1</v>
      </c>
      <c r="U1799" t="s">
        <v>62</v>
      </c>
      <c r="V1799" t="s">
        <v>69</v>
      </c>
      <c r="W1799">
        <v>0</v>
      </c>
      <c r="X1799">
        <v>0</v>
      </c>
      <c r="Y1799">
        <v>46</v>
      </c>
      <c r="Z1799">
        <v>53</v>
      </c>
      <c r="AA1799">
        <v>60</v>
      </c>
      <c r="AB1799">
        <v>3000</v>
      </c>
      <c r="AC1799">
        <v>2580</v>
      </c>
      <c r="AD1799">
        <v>1290</v>
      </c>
      <c r="AE1799">
        <v>0</v>
      </c>
      <c r="AF1799">
        <v>0</v>
      </c>
      <c r="AG1799">
        <v>1290</v>
      </c>
      <c r="AH1799">
        <v>0</v>
      </c>
      <c r="AI1799">
        <v>520</v>
      </c>
      <c r="AJ1799">
        <v>0</v>
      </c>
      <c r="AK1799">
        <v>0</v>
      </c>
      <c r="AL1799">
        <v>0</v>
      </c>
      <c r="AM1799">
        <v>320</v>
      </c>
      <c r="AN1799">
        <v>0</v>
      </c>
      <c r="AO1799">
        <v>320</v>
      </c>
      <c r="AP1799">
        <v>10</v>
      </c>
      <c r="AQ1799">
        <v>0</v>
      </c>
      <c r="AR1799">
        <v>0</v>
      </c>
      <c r="AS1799" t="s">
        <v>58</v>
      </c>
      <c r="AT1799">
        <v>1</v>
      </c>
      <c r="AU1799" t="s">
        <v>63</v>
      </c>
      <c r="AV1799" t="s">
        <v>64</v>
      </c>
      <c r="AW1799">
        <v>1</v>
      </c>
      <c r="AX1799">
        <v>3</v>
      </c>
      <c r="AY1799">
        <v>0</v>
      </c>
      <c r="AZ1799">
        <v>0</v>
      </c>
      <c r="BA1799">
        <v>100</v>
      </c>
      <c r="BB1799">
        <v>100</v>
      </c>
      <c r="BC1799">
        <v>100</v>
      </c>
      <c r="BD1799">
        <v>100</v>
      </c>
      <c r="BE1799">
        <v>1</v>
      </c>
      <c r="BF1799">
        <v>15000</v>
      </c>
      <c r="BG1799">
        <v>1000</v>
      </c>
      <c r="BH1799" s="6">
        <f>Grandview_Inventory[[#This Row],[land_extract]]*Lookups!$B$3</f>
        <v>52639.730588165206</v>
      </c>
      <c r="BI1799" s="6">
        <f>IF(Grandview_Inventory[[#This Row],[bldg_style]]="",0,Lookups!$B$2)</f>
        <v>155833.95000000001</v>
      </c>
      <c r="BJ1799" s="6">
        <f>_xlfn.IFNA(VLOOKUP(Grandview_Inventory[[#This Row],[quality]],Lookups!$H$2:$J$14,3,FALSE),0)</f>
        <v>9808</v>
      </c>
      <c r="BK1799" s="6">
        <f>_xlfn.IFNA(VLOOKUP(Grandview_Inventory[[#This Row],[condition]],Lookups!$H$17:$J$24,3,FALSE),0)</f>
        <v>-4503</v>
      </c>
      <c r="BL1799" s="6">
        <f>Grandview_Inventory[[#This Row],[Eff_Age]]*Lookups!$B$14</f>
        <v>-11001.6636</v>
      </c>
      <c r="BM1799" s="6">
        <f>Grandview_Inventory[[#This Row],[living_area]]*Lookups!$B$15</f>
        <v>160942.60073999999</v>
      </c>
      <c r="BN1799" s="6">
        <f>Grandview_Inventory[[#This Row],[Fin BSMT]]*Lookups!$B$16</f>
        <v>-34958.0196</v>
      </c>
      <c r="BO1799" s="6">
        <f>(Grandview_Inventory[[#This Row],[att_gar]]+Grandview_Inventory[[#This Row],[bltin_gar]])*Lookups!$B$17</f>
        <v>45510.627240000002</v>
      </c>
      <c r="BP1799" s="6">
        <f>Grandview_Inventory[[#This Row],[Plumbing Fixtures]]*Lookups!$B$18</f>
        <v>20104.418000000001</v>
      </c>
      <c r="BQ1799" s="6">
        <f>Grandview_Inventory[[#This Row],[detatched_value]]*Lookups!$B$19</f>
        <v>0</v>
      </c>
      <c r="BR1799" s="6">
        <f>SUM(Grandview_Inventory[[#This Row],[Intercept]:[det_value]])*Grandview_Inventory[[#This Row],[res_pct]]</f>
        <v>341736.91278000001</v>
      </c>
      <c r="BS1799" s="6">
        <f>Grandview_Inventory[[#This Row],[land_value]]</f>
        <v>52639.730588165206</v>
      </c>
      <c r="BT1799" s="4">
        <f>_xlfn.IFNA(VLOOKUP(Grandview_Inventory[[#This Row],[quality]],Lookups!$A$26:$C$33,3,FALSE),1)</f>
        <v>0.94295468617355149</v>
      </c>
      <c r="BU1799" s="4">
        <f>_xlfn.IFNA(VLOOKUP(Grandview_Inventory[[#This Row],[condition]],Lookups!$A$37:$C$44,3,FALSE),1)</f>
        <v>0.96469275950863709</v>
      </c>
      <c r="BV1799" s="4">
        <f>IF(Grandview_Inventory[[#This Row],[bldg_style]]="",1,_xlfn.IFNA(VLOOKUP(Grandview_Inventory[[#This Row],[decade]],Lookups!$F$29:$H$43,3,FALSE),1))</f>
        <v>0.95268620544463312</v>
      </c>
      <c r="BW1799" s="4">
        <f>_xlfn.IFNA(VLOOKUP(Grandview_Inventory[[#This Row],[living_area_range]],Lookups!$F$47:$H$56,3,FALSE),1)</f>
        <v>0.94224801443562123</v>
      </c>
      <c r="BX1799" s="4">
        <f>AVERAGE(Grandview_Inventory[[#This Row],[qual_adj]:[size_adj]])</f>
        <v>0.95064541639061073</v>
      </c>
      <c r="BY1799" s="6">
        <f>IF(Grandview_Inventory[[#This Row],[pre_res]]&lt;0,0,Grandview_Inventory[[#This Row],[pre_res]]*Grandview_Inventory[[#This Row],[overall_adj]])</f>
        <v>324870.62974578491</v>
      </c>
      <c r="BZ1799" s="6">
        <f>(Grandview_Inventory[[#This Row],[sum_land]]-IF(Grandview_Inventory[[#This Row],[no_utilities]]=1,12000,0))/IF(Grandview_Inventory[[#This Row],[unbuildable]]=1,2,1)</f>
        <v>52639.730588165206</v>
      </c>
      <c r="CA179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799">
        <f>ROUND(Grandview_Inventory[[#This Row],[det_value]]*Lookups!$M$28,-2)</f>
        <v>0</v>
      </c>
      <c r="CC1799">
        <f>IF(ROUND(Grandview_Inventory[[#This Row],[adj_res]]*Lookups!$M$28,-2)&lt;Grandview_Inventory[[#This Row],[min_res]],Grandview_Inventory[[#This Row],[min_res]],ROUND(Grandview_Inventory[[#This Row],[adj_res]]*Lookups!$M$28,-2))</f>
        <v>308600</v>
      </c>
      <c r="CD1799">
        <f>Grandview_Inventory[[#This Row],[final_det]]+Grandview_Inventory[[#This Row],[final_res]]</f>
        <v>308600</v>
      </c>
      <c r="CE1799">
        <f>Grandview_Inventory[[#This Row],[final_land]]+Grandview_Inventory[[#This Row],[final_imp]]+Grandview_Inventory[[#This Row],[crop_value]]</f>
        <v>358600</v>
      </c>
      <c r="CG1799" t="str">
        <f t="shared" si="28"/>
        <v>update valuation set market_land =50000, market_bldg=308600, market_total =358600, market_mdno =401, market_date ='9/10/2023' where link_id = (select link_id from parcel where parcel_year = '2024' and parcel_id = '23092333443');</v>
      </c>
    </row>
    <row r="1800" spans="1:85" x14ac:dyDescent="0.25">
      <c r="A1800">
        <v>23092333444</v>
      </c>
      <c r="B1800">
        <v>0.25</v>
      </c>
      <c r="C1800">
        <v>10735</v>
      </c>
      <c r="D1800" t="s">
        <v>129</v>
      </c>
      <c r="E1800" t="s">
        <v>53</v>
      </c>
      <c r="F1800" t="s">
        <v>53</v>
      </c>
      <c r="G1800">
        <v>4</v>
      </c>
      <c r="H1800" t="s">
        <v>54</v>
      </c>
      <c r="I1800">
        <v>275200</v>
      </c>
      <c r="J1800">
        <v>40000</v>
      </c>
      <c r="K1800">
        <v>0.25</v>
      </c>
      <c r="L1800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800">
        <v>0</v>
      </c>
      <c r="N1800">
        <v>0</v>
      </c>
      <c r="O1800">
        <v>0</v>
      </c>
      <c r="P1800">
        <v>13398.7528</v>
      </c>
      <c r="Q1800">
        <v>63903</v>
      </c>
      <c r="R1800">
        <f>(Grandview_Inventory[[#This Row],[ln_acres]]*Grandview_Inventory[[#This Row],[coeff]])+Grandview_Inventory[[#This Row],[const]]</f>
        <v>45328.38454732066</v>
      </c>
      <c r="S1800" t="s">
        <v>74</v>
      </c>
      <c r="T1800">
        <v>1</v>
      </c>
      <c r="U1800" t="s">
        <v>64</v>
      </c>
      <c r="V1800" t="s">
        <v>69</v>
      </c>
      <c r="W1800">
        <v>0</v>
      </c>
      <c r="X1800">
        <v>0</v>
      </c>
      <c r="Y1800">
        <v>47</v>
      </c>
      <c r="Z1800">
        <v>56</v>
      </c>
      <c r="AA1800">
        <v>60</v>
      </c>
      <c r="AB1800">
        <v>2500</v>
      </c>
      <c r="AC1800">
        <v>2307</v>
      </c>
      <c r="AD1800">
        <v>1719</v>
      </c>
      <c r="AE1800">
        <v>0</v>
      </c>
      <c r="AF1800">
        <v>0</v>
      </c>
      <c r="AG1800">
        <v>588</v>
      </c>
      <c r="AH1800">
        <v>0</v>
      </c>
      <c r="AI1800">
        <v>0</v>
      </c>
      <c r="AJ1800">
        <v>252</v>
      </c>
      <c r="AK1800">
        <v>1</v>
      </c>
      <c r="AL1800">
        <v>0</v>
      </c>
      <c r="AM1800">
        <v>333</v>
      </c>
      <c r="AN1800">
        <v>0</v>
      </c>
      <c r="AO1800">
        <v>333</v>
      </c>
      <c r="AP1800">
        <v>10</v>
      </c>
      <c r="AQ1800">
        <v>0</v>
      </c>
      <c r="AR1800">
        <v>1</v>
      </c>
      <c r="AS1800" t="s">
        <v>58</v>
      </c>
      <c r="AT1800">
        <v>1</v>
      </c>
      <c r="AU1800" t="s">
        <v>63</v>
      </c>
      <c r="AV1800" t="s">
        <v>64</v>
      </c>
      <c r="AW1800">
        <v>1</v>
      </c>
      <c r="AX1800">
        <v>3</v>
      </c>
      <c r="AY1800">
        <v>0</v>
      </c>
      <c r="AZ1800">
        <v>15800</v>
      </c>
      <c r="BA1800">
        <v>100</v>
      </c>
      <c r="BB1800">
        <v>100</v>
      </c>
      <c r="BC1800">
        <v>100</v>
      </c>
      <c r="BD1800">
        <v>100</v>
      </c>
      <c r="BE1800">
        <v>1</v>
      </c>
      <c r="BF1800">
        <v>15000</v>
      </c>
      <c r="BG1800">
        <v>1000</v>
      </c>
      <c r="BH1800" s="6">
        <f>Grandview_Inventory[[#This Row],[land_extract]]*Lookups!$B$3</f>
        <v>52639.730588165206</v>
      </c>
      <c r="BI1800" s="6">
        <f>IF(Grandview_Inventory[[#This Row],[bldg_style]]="",0,Lookups!$B$2)</f>
        <v>155833.95000000001</v>
      </c>
      <c r="BJ1800" s="6">
        <f>_xlfn.IFNA(VLOOKUP(Grandview_Inventory[[#This Row],[quality]],Lookups!$H$2:$J$14,3,FALSE),0)</f>
        <v>20768</v>
      </c>
      <c r="BK1800" s="6">
        <f>_xlfn.IFNA(VLOOKUP(Grandview_Inventory[[#This Row],[condition]],Lookups!$H$17:$J$24,3,FALSE),0)</f>
        <v>-4503</v>
      </c>
      <c r="BL1800" s="6">
        <f>Grandview_Inventory[[#This Row],[Eff_Age]]*Lookups!$B$14</f>
        <v>-11240.8302</v>
      </c>
      <c r="BM1800" s="6">
        <f>Grandview_Inventory[[#This Row],[living_area]]*Lookups!$B$15</f>
        <v>143912.627871</v>
      </c>
      <c r="BN1800" s="6">
        <f>Grandview_Inventory[[#This Row],[Fin BSMT]]*Lookups!$B$16</f>
        <v>-15934.353120000002</v>
      </c>
      <c r="BO1800" s="6">
        <f>(Grandview_Inventory[[#This Row],[att_gar]]+Grandview_Inventory[[#This Row],[bltin_gar]])*Lookups!$B$17</f>
        <v>22055.150124</v>
      </c>
      <c r="BP1800" s="6">
        <f>Grandview_Inventory[[#This Row],[Plumbing Fixtures]]*Lookups!$B$18</f>
        <v>20104.418000000001</v>
      </c>
      <c r="BQ1800" s="6">
        <f>Grandview_Inventory[[#This Row],[detatched_value]]*Lookups!$B$19</f>
        <v>13379.52058</v>
      </c>
      <c r="BR1800" s="6">
        <f>SUM(Grandview_Inventory[[#This Row],[Intercept]:[det_value]])*Grandview_Inventory[[#This Row],[res_pct]]</f>
        <v>344375.48325500003</v>
      </c>
      <c r="BS1800" s="6">
        <f>Grandview_Inventory[[#This Row],[land_value]]</f>
        <v>52639.730588165206</v>
      </c>
      <c r="BT1800" s="4">
        <f>_xlfn.IFNA(VLOOKUP(Grandview_Inventory[[#This Row],[quality]],Lookups!$A$26:$C$33,3,FALSE),1)</f>
        <v>0.94960540378902636</v>
      </c>
      <c r="BU1800" s="4">
        <f>_xlfn.IFNA(VLOOKUP(Grandview_Inventory[[#This Row],[condition]],Lookups!$A$37:$C$44,3,FALSE),1)</f>
        <v>0.96469275950863709</v>
      </c>
      <c r="BV1800" s="4">
        <f>IF(Grandview_Inventory[[#This Row],[bldg_style]]="",1,_xlfn.IFNA(VLOOKUP(Grandview_Inventory[[#This Row],[decade]],Lookups!$F$29:$H$43,3,FALSE),1))</f>
        <v>0.95268620544463312</v>
      </c>
      <c r="BW1800" s="4">
        <f>_xlfn.IFNA(VLOOKUP(Grandview_Inventory[[#This Row],[living_area_range]],Lookups!$F$47:$H$56,3,FALSE),1)</f>
        <v>0.95799442568048754</v>
      </c>
      <c r="BX1800" s="4">
        <f>AVERAGE(Grandview_Inventory[[#This Row],[qual_adj]:[size_adj]])</f>
        <v>0.95624469860569605</v>
      </c>
      <c r="BY1800" s="6">
        <f>IF(Grandview_Inventory[[#This Row],[pre_res]]&lt;0,0,Grandview_Inventory[[#This Row],[pre_res]]*Grandview_Inventory[[#This Row],[overall_adj]])</f>
        <v>329307.23019236844</v>
      </c>
      <c r="BZ1800" s="6">
        <f>(Grandview_Inventory[[#This Row],[sum_land]]-IF(Grandview_Inventory[[#This Row],[no_utilities]]=1,12000,0))/IF(Grandview_Inventory[[#This Row],[unbuildable]]=1,2,1)</f>
        <v>52639.730588165206</v>
      </c>
      <c r="CA1800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800">
        <f>ROUND(Grandview_Inventory[[#This Row],[det_value]]*Lookups!$M$28,-2)</f>
        <v>12700</v>
      </c>
      <c r="CC1800">
        <f>IF(ROUND(Grandview_Inventory[[#This Row],[adj_res]]*Lookups!$M$28,-2)&lt;Grandview_Inventory[[#This Row],[min_res]],Grandview_Inventory[[#This Row],[min_res]],ROUND(Grandview_Inventory[[#This Row],[adj_res]]*Lookups!$M$28,-2))</f>
        <v>312800</v>
      </c>
      <c r="CD1800">
        <f>Grandview_Inventory[[#This Row],[final_det]]+Grandview_Inventory[[#This Row],[final_res]]</f>
        <v>325500</v>
      </c>
      <c r="CE1800">
        <f>Grandview_Inventory[[#This Row],[final_land]]+Grandview_Inventory[[#This Row],[final_imp]]+Grandview_Inventory[[#This Row],[crop_value]]</f>
        <v>375500</v>
      </c>
      <c r="CG1800" t="str">
        <f t="shared" si="28"/>
        <v>update valuation set market_land =50000, market_bldg=325500, market_total =375500, market_mdno =401, market_date ='9/10/2023' where link_id = (select link_id from parcel where parcel_year = '2024' and parcel_id = '23092333444');</v>
      </c>
    </row>
    <row r="1801" spans="1:85" x14ac:dyDescent="0.25">
      <c r="A1801">
        <v>23092333445</v>
      </c>
      <c r="B1801">
        <v>0.22</v>
      </c>
      <c r="C1801">
        <v>9485</v>
      </c>
      <c r="D1801" t="s">
        <v>129</v>
      </c>
      <c r="E1801" t="s">
        <v>53</v>
      </c>
      <c r="F1801" t="s">
        <v>53</v>
      </c>
      <c r="G1801">
        <v>4</v>
      </c>
      <c r="H1801" t="s">
        <v>54</v>
      </c>
      <c r="I1801">
        <v>161000</v>
      </c>
      <c r="J1801">
        <v>39500</v>
      </c>
      <c r="K1801">
        <v>0.22</v>
      </c>
      <c r="L180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801">
        <v>0</v>
      </c>
      <c r="N1801">
        <v>0</v>
      </c>
      <c r="O1801">
        <v>0</v>
      </c>
      <c r="P1801">
        <v>13398.7528</v>
      </c>
      <c r="Q1801">
        <v>63903</v>
      </c>
      <c r="R1801">
        <f>(Grandview_Inventory[[#This Row],[ln_acres]]*Grandview_Inventory[[#This Row],[coeff]])+Grandview_Inventory[[#This Row],[const]]</f>
        <v>43615.576802869145</v>
      </c>
      <c r="S1801" t="s">
        <v>61</v>
      </c>
      <c r="T1801">
        <v>1</v>
      </c>
      <c r="U1801" t="s">
        <v>65</v>
      </c>
      <c r="V1801" t="s">
        <v>69</v>
      </c>
      <c r="W1801">
        <v>0</v>
      </c>
      <c r="X1801">
        <v>0</v>
      </c>
      <c r="Y1801">
        <v>46</v>
      </c>
      <c r="Z1801">
        <v>54</v>
      </c>
      <c r="AA1801">
        <v>60</v>
      </c>
      <c r="AB1801">
        <v>1500</v>
      </c>
      <c r="AC1801">
        <v>1222</v>
      </c>
      <c r="AD1801">
        <v>1222</v>
      </c>
      <c r="AE1801">
        <v>0</v>
      </c>
      <c r="AF1801">
        <v>0</v>
      </c>
      <c r="AG1801">
        <v>0</v>
      </c>
      <c r="AH1801">
        <v>0</v>
      </c>
      <c r="AI1801">
        <v>260</v>
      </c>
      <c r="AJ1801">
        <v>0</v>
      </c>
      <c r="AK1801">
        <v>0</v>
      </c>
      <c r="AL1801">
        <v>0</v>
      </c>
      <c r="AM1801">
        <v>360</v>
      </c>
      <c r="AN1801">
        <v>24</v>
      </c>
      <c r="AO1801">
        <v>0</v>
      </c>
      <c r="AP1801">
        <v>7</v>
      </c>
      <c r="AQ1801">
        <v>0</v>
      </c>
      <c r="AR1801">
        <v>0</v>
      </c>
      <c r="AS1801" t="s">
        <v>58</v>
      </c>
      <c r="AT1801">
        <v>1</v>
      </c>
      <c r="AU1801" t="s">
        <v>63</v>
      </c>
      <c r="AV1801" t="s">
        <v>60</v>
      </c>
      <c r="AW1801">
        <v>1</v>
      </c>
      <c r="AX1801">
        <v>3</v>
      </c>
      <c r="AY1801">
        <v>0</v>
      </c>
      <c r="AZ1801">
        <v>0</v>
      </c>
      <c r="BA1801">
        <v>100</v>
      </c>
      <c r="BB1801">
        <v>100</v>
      </c>
      <c r="BC1801">
        <v>100</v>
      </c>
      <c r="BD1801">
        <v>100</v>
      </c>
      <c r="BE1801">
        <v>1</v>
      </c>
      <c r="BF1801">
        <v>15000</v>
      </c>
      <c r="BG1801">
        <v>1000</v>
      </c>
      <c r="BH1801" s="6">
        <f>Grandview_Inventory[[#This Row],[land_extract]]*Lookups!$B$3</f>
        <v>50650.651579114572</v>
      </c>
      <c r="BI1801" s="6">
        <f>IF(Grandview_Inventory[[#This Row],[bldg_style]]="",0,Lookups!$B$2)</f>
        <v>155833.95000000001</v>
      </c>
      <c r="BJ1801" s="6">
        <f>_xlfn.IFNA(VLOOKUP(Grandview_Inventory[[#This Row],[quality]],Lookups!$H$2:$J$14,3,FALSE),0)</f>
        <v>2251</v>
      </c>
      <c r="BK1801" s="6">
        <f>_xlfn.IFNA(VLOOKUP(Grandview_Inventory[[#This Row],[condition]],Lookups!$H$17:$J$24,3,FALSE),0)</f>
        <v>-4503</v>
      </c>
      <c r="BL1801" s="6">
        <f>Grandview_Inventory[[#This Row],[Eff_Age]]*Lookups!$B$14</f>
        <v>-11001.6636</v>
      </c>
      <c r="BM1801" s="6">
        <f>Grandview_Inventory[[#This Row],[living_area]]*Lookups!$B$15</f>
        <v>76229.402366000009</v>
      </c>
      <c r="BN1801" s="6">
        <f>Grandview_Inventory[[#This Row],[Fin BSMT]]*Lookups!$B$16</f>
        <v>0</v>
      </c>
      <c r="BO1801" s="6">
        <f>(Grandview_Inventory[[#This Row],[att_gar]]+Grandview_Inventory[[#This Row],[bltin_gar]])*Lookups!$B$17</f>
        <v>22755.313620000001</v>
      </c>
      <c r="BP1801" s="6">
        <f>Grandview_Inventory[[#This Row],[Plumbing Fixtures]]*Lookups!$B$18</f>
        <v>14073.0926</v>
      </c>
      <c r="BQ1801" s="6">
        <f>Grandview_Inventory[[#This Row],[detatched_value]]*Lookups!$B$19</f>
        <v>0</v>
      </c>
      <c r="BR1801" s="6">
        <f>SUM(Grandview_Inventory[[#This Row],[Intercept]:[det_value]])*Grandview_Inventory[[#This Row],[res_pct]]</f>
        <v>255638.09498600004</v>
      </c>
      <c r="BS1801" s="6">
        <f>Grandview_Inventory[[#This Row],[land_value]]</f>
        <v>50650.651579114572</v>
      </c>
      <c r="BT1801" s="4">
        <f>_xlfn.IFNA(VLOOKUP(Grandview_Inventory[[#This Row],[quality]],Lookups!$A$26:$C$33,3,FALSE),1)</f>
        <v>0.98763855981004833</v>
      </c>
      <c r="BU1801" s="4">
        <f>_xlfn.IFNA(VLOOKUP(Grandview_Inventory[[#This Row],[condition]],Lookups!$A$37:$C$44,3,FALSE),1)</f>
        <v>0.96469275950863709</v>
      </c>
      <c r="BV1801" s="4">
        <f>IF(Grandview_Inventory[[#This Row],[bldg_style]]="",1,_xlfn.IFNA(VLOOKUP(Grandview_Inventory[[#This Row],[decade]],Lookups!$F$29:$H$43,3,FALSE),1))</f>
        <v>0.95268620544463312</v>
      </c>
      <c r="BW1801" s="4">
        <f>_xlfn.IFNA(VLOOKUP(Grandview_Inventory[[#This Row],[living_area_range]],Lookups!$F$47:$H$56,3,FALSE),1)</f>
        <v>0.96135087979789358</v>
      </c>
      <c r="BX1801" s="4">
        <f>AVERAGE(Grandview_Inventory[[#This Row],[qual_adj]:[size_adj]])</f>
        <v>0.96659210114030303</v>
      </c>
      <c r="BY1801" s="6">
        <f>IF(Grandview_Inventory[[#This Row],[pre_res]]&lt;0,0,Grandview_Inventory[[#This Row],[pre_res]]*Grandview_Inventory[[#This Row],[overall_adj]])</f>
        <v>247097.76336402213</v>
      </c>
      <c r="BZ1801" s="6">
        <f>(Grandview_Inventory[[#This Row],[sum_land]]-IF(Grandview_Inventory[[#This Row],[no_utilities]]=1,12000,0))/IF(Grandview_Inventory[[#This Row],[unbuildable]]=1,2,1)</f>
        <v>50650.651579114572</v>
      </c>
      <c r="CA180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801">
        <f>ROUND(Grandview_Inventory[[#This Row],[det_value]]*Lookups!$M$28,-2)</f>
        <v>0</v>
      </c>
      <c r="CC1801">
        <f>IF(ROUND(Grandview_Inventory[[#This Row],[adj_res]]*Lookups!$M$28,-2)&lt;Grandview_Inventory[[#This Row],[min_res]],Grandview_Inventory[[#This Row],[min_res]],ROUND(Grandview_Inventory[[#This Row],[adj_res]]*Lookups!$M$28,-2))</f>
        <v>234700</v>
      </c>
      <c r="CD1801">
        <f>Grandview_Inventory[[#This Row],[final_det]]+Grandview_Inventory[[#This Row],[final_res]]</f>
        <v>234700</v>
      </c>
      <c r="CE1801">
        <f>Grandview_Inventory[[#This Row],[final_land]]+Grandview_Inventory[[#This Row],[final_imp]]+Grandview_Inventory[[#This Row],[crop_value]]</f>
        <v>282800</v>
      </c>
      <c r="CG1801" t="str">
        <f t="shared" si="28"/>
        <v>update valuation set market_land =48100, market_bldg=234700, market_total =282800, market_mdno =401, market_date ='9/10/2023' where link_id = (select link_id from parcel where parcel_year = '2024' and parcel_id = '23092333445');</v>
      </c>
    </row>
    <row r="1802" spans="1:85" x14ac:dyDescent="0.25">
      <c r="A1802">
        <v>23092333446</v>
      </c>
      <c r="B1802">
        <v>0.25</v>
      </c>
      <c r="C1802">
        <v>10894</v>
      </c>
      <c r="D1802" t="s">
        <v>129</v>
      </c>
      <c r="E1802" t="s">
        <v>53</v>
      </c>
      <c r="F1802" t="s">
        <v>53</v>
      </c>
      <c r="G1802">
        <v>4</v>
      </c>
      <c r="H1802" t="s">
        <v>54</v>
      </c>
      <c r="I1802">
        <v>167300</v>
      </c>
      <c r="J1802">
        <v>40000</v>
      </c>
      <c r="K1802">
        <v>0.25</v>
      </c>
      <c r="L1802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802">
        <v>0</v>
      </c>
      <c r="N1802">
        <v>0</v>
      </c>
      <c r="O1802">
        <v>0</v>
      </c>
      <c r="P1802">
        <v>13398.7528</v>
      </c>
      <c r="Q1802">
        <v>63903</v>
      </c>
      <c r="R1802">
        <f>(Grandview_Inventory[[#This Row],[ln_acres]]*Grandview_Inventory[[#This Row],[coeff]])+Grandview_Inventory[[#This Row],[const]]</f>
        <v>45328.38454732066</v>
      </c>
      <c r="S1802" t="s">
        <v>61</v>
      </c>
      <c r="T1802">
        <v>1</v>
      </c>
      <c r="U1802" t="s">
        <v>65</v>
      </c>
      <c r="V1802" t="s">
        <v>69</v>
      </c>
      <c r="W1802">
        <v>0</v>
      </c>
      <c r="X1802">
        <v>0</v>
      </c>
      <c r="Y1802">
        <v>46</v>
      </c>
      <c r="Z1802">
        <v>54</v>
      </c>
      <c r="AA1802">
        <v>60</v>
      </c>
      <c r="AB1802">
        <v>1500</v>
      </c>
      <c r="AC1802">
        <v>1417</v>
      </c>
      <c r="AD1802">
        <v>1417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336</v>
      </c>
      <c r="AN1802">
        <v>40</v>
      </c>
      <c r="AO1802">
        <v>336</v>
      </c>
      <c r="AP1802">
        <v>10</v>
      </c>
      <c r="AQ1802">
        <v>0</v>
      </c>
      <c r="AR1802">
        <v>0</v>
      </c>
      <c r="AS1802" t="s">
        <v>58</v>
      </c>
      <c r="AT1802">
        <v>1</v>
      </c>
      <c r="AU1802" t="s">
        <v>59</v>
      </c>
      <c r="AV1802" t="s">
        <v>60</v>
      </c>
      <c r="AW1802">
        <v>1</v>
      </c>
      <c r="AX1802">
        <v>4</v>
      </c>
      <c r="AY1802">
        <v>0</v>
      </c>
      <c r="AZ1802">
        <v>10900</v>
      </c>
      <c r="BA1802">
        <v>100</v>
      </c>
      <c r="BB1802">
        <v>100</v>
      </c>
      <c r="BC1802">
        <v>100</v>
      </c>
      <c r="BD1802">
        <v>100</v>
      </c>
      <c r="BE1802">
        <v>1</v>
      </c>
      <c r="BF1802">
        <v>15000</v>
      </c>
      <c r="BG1802">
        <v>1000</v>
      </c>
      <c r="BH1802" s="6">
        <f>Grandview_Inventory[[#This Row],[land_extract]]*Lookups!$B$3</f>
        <v>52639.730588165206</v>
      </c>
      <c r="BI1802" s="6">
        <f>IF(Grandview_Inventory[[#This Row],[bldg_style]]="",0,Lookups!$B$2)</f>
        <v>155833.95000000001</v>
      </c>
      <c r="BJ1802" s="6">
        <f>_xlfn.IFNA(VLOOKUP(Grandview_Inventory[[#This Row],[quality]],Lookups!$H$2:$J$14,3,FALSE),0)</f>
        <v>2251</v>
      </c>
      <c r="BK1802" s="6">
        <f>_xlfn.IFNA(VLOOKUP(Grandview_Inventory[[#This Row],[condition]],Lookups!$H$17:$J$24,3,FALSE),0)</f>
        <v>-4503</v>
      </c>
      <c r="BL1802" s="6">
        <f>Grandview_Inventory[[#This Row],[Eff_Age]]*Lookups!$B$14</f>
        <v>-11001.6636</v>
      </c>
      <c r="BM1802" s="6">
        <f>Grandview_Inventory[[#This Row],[living_area]]*Lookups!$B$15</f>
        <v>88393.668701000002</v>
      </c>
      <c r="BN1802" s="6">
        <f>Grandview_Inventory[[#This Row],[Fin BSMT]]*Lookups!$B$16</f>
        <v>0</v>
      </c>
      <c r="BO1802" s="6">
        <f>(Grandview_Inventory[[#This Row],[att_gar]]+Grandview_Inventory[[#This Row],[bltin_gar]])*Lookups!$B$17</f>
        <v>0</v>
      </c>
      <c r="BP1802" s="6">
        <f>Grandview_Inventory[[#This Row],[Plumbing Fixtures]]*Lookups!$B$18</f>
        <v>20104.418000000001</v>
      </c>
      <c r="BQ1802" s="6">
        <f>Grandview_Inventory[[#This Row],[detatched_value]]*Lookups!$B$19</f>
        <v>9230.1755899999989</v>
      </c>
      <c r="BR1802" s="6">
        <f>SUM(Grandview_Inventory[[#This Row],[Intercept]:[det_value]])*Grandview_Inventory[[#This Row],[res_pct]]</f>
        <v>260308.54869100003</v>
      </c>
      <c r="BS1802" s="6">
        <f>Grandview_Inventory[[#This Row],[land_value]]</f>
        <v>52639.730588165206</v>
      </c>
      <c r="BT1802" s="4">
        <f>_xlfn.IFNA(VLOOKUP(Grandview_Inventory[[#This Row],[quality]],Lookups!$A$26:$C$33,3,FALSE),1)</f>
        <v>0.98763855981004833</v>
      </c>
      <c r="BU1802" s="4">
        <f>_xlfn.IFNA(VLOOKUP(Grandview_Inventory[[#This Row],[condition]],Lookups!$A$37:$C$44,3,FALSE),1)</f>
        <v>0.96469275950863709</v>
      </c>
      <c r="BV1802" s="4">
        <f>IF(Grandview_Inventory[[#This Row],[bldg_style]]="",1,_xlfn.IFNA(VLOOKUP(Grandview_Inventory[[#This Row],[decade]],Lookups!$F$29:$H$43,3,FALSE),1))</f>
        <v>0.95268620544463312</v>
      </c>
      <c r="BW1802" s="4">
        <f>_xlfn.IFNA(VLOOKUP(Grandview_Inventory[[#This Row],[living_area_range]],Lookups!$F$47:$H$56,3,FALSE),1)</f>
        <v>0.96135087979789358</v>
      </c>
      <c r="BX1802" s="4">
        <f>AVERAGE(Grandview_Inventory[[#This Row],[qual_adj]:[size_adj]])</f>
        <v>0.96659210114030303</v>
      </c>
      <c r="BY1802" s="6">
        <f>IF(Grandview_Inventory[[#This Row],[pre_res]]&lt;0,0,Grandview_Inventory[[#This Row],[pre_res]]*Grandview_Inventory[[#This Row],[overall_adj]])</f>
        <v>251612.1870240166</v>
      </c>
      <c r="BZ1802" s="6">
        <f>(Grandview_Inventory[[#This Row],[sum_land]]-IF(Grandview_Inventory[[#This Row],[no_utilities]]=1,12000,0))/IF(Grandview_Inventory[[#This Row],[unbuildable]]=1,2,1)</f>
        <v>52639.730588165206</v>
      </c>
      <c r="CA1802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802">
        <f>ROUND(Grandview_Inventory[[#This Row],[det_value]]*Lookups!$M$28,-2)</f>
        <v>8800</v>
      </c>
      <c r="CC1802">
        <f>IF(ROUND(Grandview_Inventory[[#This Row],[adj_res]]*Lookups!$M$28,-2)&lt;Grandview_Inventory[[#This Row],[min_res]],Grandview_Inventory[[#This Row],[min_res]],ROUND(Grandview_Inventory[[#This Row],[adj_res]]*Lookups!$M$28,-2))</f>
        <v>239000</v>
      </c>
      <c r="CD1802">
        <f>Grandview_Inventory[[#This Row],[final_det]]+Grandview_Inventory[[#This Row],[final_res]]</f>
        <v>247800</v>
      </c>
      <c r="CE1802">
        <f>Grandview_Inventory[[#This Row],[final_land]]+Grandview_Inventory[[#This Row],[final_imp]]+Grandview_Inventory[[#This Row],[crop_value]]</f>
        <v>297800</v>
      </c>
      <c r="CG1802" t="str">
        <f t="shared" si="28"/>
        <v>update valuation set market_land =50000, market_bldg=247800, market_total =297800, market_mdno =401, market_date ='9/10/2023' where link_id = (select link_id from parcel where parcel_year = '2024' and parcel_id = '23092333446');</v>
      </c>
    </row>
    <row r="1803" spans="1:85" x14ac:dyDescent="0.25">
      <c r="A1803">
        <v>23092333447</v>
      </c>
      <c r="B1803">
        <v>0.23</v>
      </c>
      <c r="C1803">
        <v>10050</v>
      </c>
      <c r="D1803" t="s">
        <v>129</v>
      </c>
      <c r="E1803" t="s">
        <v>53</v>
      </c>
      <c r="F1803" t="s">
        <v>53</v>
      </c>
      <c r="G1803">
        <v>4</v>
      </c>
      <c r="H1803" t="s">
        <v>54</v>
      </c>
      <c r="I1803">
        <v>178800</v>
      </c>
      <c r="J1803">
        <v>43800</v>
      </c>
      <c r="K1803">
        <v>0.23</v>
      </c>
      <c r="L180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03">
        <v>0</v>
      </c>
      <c r="N1803">
        <v>0</v>
      </c>
      <c r="O1803">
        <v>0</v>
      </c>
      <c r="P1803">
        <v>13398.7528</v>
      </c>
      <c r="Q1803">
        <v>63903</v>
      </c>
      <c r="R1803">
        <f>(Grandview_Inventory[[#This Row],[ln_acres]]*Grandview_Inventory[[#This Row],[coeff]])+Grandview_Inventory[[#This Row],[const]]</f>
        <v>44211.174981080039</v>
      </c>
      <c r="S1803" t="s">
        <v>61</v>
      </c>
      <c r="T1803">
        <v>1</v>
      </c>
      <c r="U1803" t="s">
        <v>65</v>
      </c>
      <c r="V1803" t="s">
        <v>69</v>
      </c>
      <c r="W1803">
        <v>0</v>
      </c>
      <c r="X1803">
        <v>0</v>
      </c>
      <c r="Y1803">
        <v>46</v>
      </c>
      <c r="Z1803">
        <v>54</v>
      </c>
      <c r="AA1803">
        <v>60</v>
      </c>
      <c r="AB1803">
        <v>1500</v>
      </c>
      <c r="AC1803">
        <v>1417</v>
      </c>
      <c r="AD1803">
        <v>1417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782</v>
      </c>
      <c r="AL1803">
        <v>0</v>
      </c>
      <c r="AM1803">
        <v>985</v>
      </c>
      <c r="AN1803">
        <v>25</v>
      </c>
      <c r="AO1803">
        <v>304</v>
      </c>
      <c r="AP1803">
        <v>7</v>
      </c>
      <c r="AQ1803">
        <v>0</v>
      </c>
      <c r="AR1803">
        <v>0</v>
      </c>
      <c r="AS1803" t="s">
        <v>76</v>
      </c>
      <c r="AT1803">
        <v>1</v>
      </c>
      <c r="AU1803" t="s">
        <v>75</v>
      </c>
      <c r="AV1803" t="s">
        <v>60</v>
      </c>
      <c r="AW1803">
        <v>0</v>
      </c>
      <c r="AX1803">
        <v>3</v>
      </c>
      <c r="AY1803">
        <v>0</v>
      </c>
      <c r="AZ1803">
        <v>0</v>
      </c>
      <c r="BA1803">
        <v>100</v>
      </c>
      <c r="BB1803">
        <v>100</v>
      </c>
      <c r="BC1803">
        <v>100</v>
      </c>
      <c r="BD1803">
        <v>100</v>
      </c>
      <c r="BE1803">
        <v>1</v>
      </c>
      <c r="BF1803">
        <v>15000</v>
      </c>
      <c r="BG1803">
        <v>1000</v>
      </c>
      <c r="BH1803" s="6">
        <f>Grandview_Inventory[[#This Row],[land_extract]]*Lookups!$B$3</f>
        <v>51342.318135355803</v>
      </c>
      <c r="BI1803" s="6">
        <f>IF(Grandview_Inventory[[#This Row],[bldg_style]]="",0,Lookups!$B$2)</f>
        <v>155833.95000000001</v>
      </c>
      <c r="BJ1803" s="6">
        <f>_xlfn.IFNA(VLOOKUP(Grandview_Inventory[[#This Row],[quality]],Lookups!$H$2:$J$14,3,FALSE),0)</f>
        <v>2251</v>
      </c>
      <c r="BK1803" s="6">
        <f>_xlfn.IFNA(VLOOKUP(Grandview_Inventory[[#This Row],[condition]],Lookups!$H$17:$J$24,3,FALSE),0)</f>
        <v>-4503</v>
      </c>
      <c r="BL1803" s="6">
        <f>Grandview_Inventory[[#This Row],[Eff_Age]]*Lookups!$B$14</f>
        <v>-11001.6636</v>
      </c>
      <c r="BM1803" s="6">
        <f>Grandview_Inventory[[#This Row],[living_area]]*Lookups!$B$15</f>
        <v>88393.668701000002</v>
      </c>
      <c r="BN1803" s="6">
        <f>Grandview_Inventory[[#This Row],[Fin BSMT]]*Lookups!$B$16</f>
        <v>0</v>
      </c>
      <c r="BO1803" s="6">
        <f>(Grandview_Inventory[[#This Row],[att_gar]]+Grandview_Inventory[[#This Row],[bltin_gar]])*Lookups!$B$17</f>
        <v>0</v>
      </c>
      <c r="BP1803" s="6">
        <f>Grandview_Inventory[[#This Row],[Plumbing Fixtures]]*Lookups!$B$18</f>
        <v>14073.0926</v>
      </c>
      <c r="BQ1803" s="6">
        <f>Grandview_Inventory[[#This Row],[detatched_value]]*Lookups!$B$19</f>
        <v>0</v>
      </c>
      <c r="BR1803" s="6">
        <f>SUM(Grandview_Inventory[[#This Row],[Intercept]:[det_value]])*Grandview_Inventory[[#This Row],[res_pct]]</f>
        <v>245047.04770100003</v>
      </c>
      <c r="BS1803" s="6">
        <f>Grandview_Inventory[[#This Row],[land_value]]</f>
        <v>51342.318135355803</v>
      </c>
      <c r="BT1803" s="4">
        <f>_xlfn.IFNA(VLOOKUP(Grandview_Inventory[[#This Row],[quality]],Lookups!$A$26:$C$33,3,FALSE),1)</f>
        <v>0.98763855981004833</v>
      </c>
      <c r="BU1803" s="4">
        <f>_xlfn.IFNA(VLOOKUP(Grandview_Inventory[[#This Row],[condition]],Lookups!$A$37:$C$44,3,FALSE),1)</f>
        <v>0.96469275950863709</v>
      </c>
      <c r="BV1803" s="4">
        <f>IF(Grandview_Inventory[[#This Row],[bldg_style]]="",1,_xlfn.IFNA(VLOOKUP(Grandview_Inventory[[#This Row],[decade]],Lookups!$F$29:$H$43,3,FALSE),1))</f>
        <v>0.95268620544463312</v>
      </c>
      <c r="BW1803" s="4">
        <f>_xlfn.IFNA(VLOOKUP(Grandview_Inventory[[#This Row],[living_area_range]],Lookups!$F$47:$H$56,3,FALSE),1)</f>
        <v>0.96135087979789358</v>
      </c>
      <c r="BX1803" s="4">
        <f>AVERAGE(Grandview_Inventory[[#This Row],[qual_adj]:[size_adj]])</f>
        <v>0.96659210114030303</v>
      </c>
      <c r="BY1803" s="6">
        <f>IF(Grandview_Inventory[[#This Row],[pre_res]]&lt;0,0,Grandview_Inventory[[#This Row],[pre_res]]*Grandview_Inventory[[#This Row],[overall_adj]])</f>
        <v>236860.54071553767</v>
      </c>
      <c r="BZ1803" s="6">
        <f>(Grandview_Inventory[[#This Row],[sum_land]]-IF(Grandview_Inventory[[#This Row],[no_utilities]]=1,12000,0))/IF(Grandview_Inventory[[#This Row],[unbuildable]]=1,2,1)</f>
        <v>51342.318135355803</v>
      </c>
      <c r="CA180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03">
        <f>ROUND(Grandview_Inventory[[#This Row],[det_value]]*Lookups!$M$28,-2)</f>
        <v>0</v>
      </c>
      <c r="CC1803">
        <f>IF(ROUND(Grandview_Inventory[[#This Row],[adj_res]]*Lookups!$M$28,-2)&lt;Grandview_Inventory[[#This Row],[min_res]],Grandview_Inventory[[#This Row],[min_res]],ROUND(Grandview_Inventory[[#This Row],[adj_res]]*Lookups!$M$28,-2))</f>
        <v>225000</v>
      </c>
      <c r="CD1803">
        <f>Grandview_Inventory[[#This Row],[final_det]]+Grandview_Inventory[[#This Row],[final_res]]</f>
        <v>225000</v>
      </c>
      <c r="CE1803">
        <f>Grandview_Inventory[[#This Row],[final_land]]+Grandview_Inventory[[#This Row],[final_imp]]+Grandview_Inventory[[#This Row],[crop_value]]</f>
        <v>273800</v>
      </c>
      <c r="CG1803" t="str">
        <f t="shared" si="28"/>
        <v>update valuation set market_land =48800, market_bldg=225000, market_total =273800, market_mdno =401, market_date ='9/10/2023' where link_id = (select link_id from parcel where parcel_year = '2024' and parcel_id = '23092333447');</v>
      </c>
    </row>
    <row r="1804" spans="1:85" x14ac:dyDescent="0.25">
      <c r="A1804">
        <v>23092333448</v>
      </c>
      <c r="B1804">
        <v>0.24</v>
      </c>
      <c r="C1804">
        <v>10667</v>
      </c>
      <c r="D1804" t="s">
        <v>129</v>
      </c>
      <c r="E1804" t="s">
        <v>53</v>
      </c>
      <c r="F1804" t="s">
        <v>53</v>
      </c>
      <c r="G1804">
        <v>4</v>
      </c>
      <c r="H1804" t="s">
        <v>54</v>
      </c>
      <c r="I1804">
        <v>205700</v>
      </c>
      <c r="J1804">
        <v>40000</v>
      </c>
      <c r="K1804">
        <v>0.24</v>
      </c>
      <c r="L180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804">
        <v>0</v>
      </c>
      <c r="N1804">
        <v>0</v>
      </c>
      <c r="O1804">
        <v>0</v>
      </c>
      <c r="P1804">
        <v>13398.7528</v>
      </c>
      <c r="Q1804">
        <v>63903</v>
      </c>
      <c r="R1804">
        <f>(Grandview_Inventory[[#This Row],[ln_acres]]*Grandview_Inventory[[#This Row],[coeff]])+Grandview_Inventory[[#This Row],[const]]</f>
        <v>44781.420733940802</v>
      </c>
      <c r="S1804" t="s">
        <v>55</v>
      </c>
      <c r="T1804">
        <v>2</v>
      </c>
      <c r="U1804" t="s">
        <v>65</v>
      </c>
      <c r="V1804" t="s">
        <v>69</v>
      </c>
      <c r="W1804">
        <v>0</v>
      </c>
      <c r="X1804">
        <v>0</v>
      </c>
      <c r="Y1804">
        <v>45</v>
      </c>
      <c r="Z1804">
        <v>52</v>
      </c>
      <c r="AA1804">
        <v>60</v>
      </c>
      <c r="AB1804">
        <v>2000</v>
      </c>
      <c r="AC1804">
        <v>1738</v>
      </c>
      <c r="AD1804">
        <v>1066</v>
      </c>
      <c r="AE1804">
        <v>672</v>
      </c>
      <c r="AF1804">
        <v>0</v>
      </c>
      <c r="AG1804">
        <v>0</v>
      </c>
      <c r="AH1804">
        <v>0</v>
      </c>
      <c r="AI1804">
        <v>0</v>
      </c>
      <c r="AJ1804">
        <v>576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8</v>
      </c>
      <c r="AQ1804">
        <v>0</v>
      </c>
      <c r="AR1804">
        <v>0</v>
      </c>
      <c r="AS1804" t="s">
        <v>58</v>
      </c>
      <c r="AT1804">
        <v>1</v>
      </c>
      <c r="AU1804" t="s">
        <v>75</v>
      </c>
      <c r="AV1804" t="s">
        <v>60</v>
      </c>
      <c r="AW1804">
        <v>0</v>
      </c>
      <c r="AX1804">
        <v>5</v>
      </c>
      <c r="AY1804">
        <v>0</v>
      </c>
      <c r="AZ1804">
        <v>0</v>
      </c>
      <c r="BA1804">
        <v>100</v>
      </c>
      <c r="BB1804">
        <v>100</v>
      </c>
      <c r="BC1804">
        <v>100</v>
      </c>
      <c r="BD1804">
        <v>100</v>
      </c>
      <c r="BE1804">
        <v>1</v>
      </c>
      <c r="BF1804">
        <v>15000</v>
      </c>
      <c r="BG1804">
        <v>1000</v>
      </c>
      <c r="BH1804" s="6">
        <f>Grandview_Inventory[[#This Row],[land_extract]]*Lookups!$B$3</f>
        <v>52004.542988489469</v>
      </c>
      <c r="BI1804" s="6">
        <f>IF(Grandview_Inventory[[#This Row],[bldg_style]]="",0,Lookups!$B$2)</f>
        <v>155833.95000000001</v>
      </c>
      <c r="BJ1804" s="6">
        <f>_xlfn.IFNA(VLOOKUP(Grandview_Inventory[[#This Row],[quality]],Lookups!$H$2:$J$14,3,FALSE),0)</f>
        <v>2251</v>
      </c>
      <c r="BK1804" s="6">
        <f>_xlfn.IFNA(VLOOKUP(Grandview_Inventory[[#This Row],[condition]],Lookups!$H$17:$J$24,3,FALSE),0)</f>
        <v>-4503</v>
      </c>
      <c r="BL1804" s="6">
        <f>Grandview_Inventory[[#This Row],[Eff_Age]]*Lookups!$B$14</f>
        <v>-10762.496999999999</v>
      </c>
      <c r="BM1804" s="6">
        <f>Grandview_Inventory[[#This Row],[living_area]]*Lookups!$B$15</f>
        <v>108417.92251400001</v>
      </c>
      <c r="BN1804" s="6">
        <f>Grandview_Inventory[[#This Row],[Fin BSMT]]*Lookups!$B$16</f>
        <v>0</v>
      </c>
      <c r="BO1804" s="6">
        <f>(Grandview_Inventory[[#This Row],[att_gar]]+Grandview_Inventory[[#This Row],[bltin_gar]])*Lookups!$B$17</f>
        <v>50411.771712000002</v>
      </c>
      <c r="BP1804" s="6">
        <f>Grandview_Inventory[[#This Row],[Plumbing Fixtures]]*Lookups!$B$18</f>
        <v>16083.5344</v>
      </c>
      <c r="BQ1804" s="6">
        <f>Grandview_Inventory[[#This Row],[detatched_value]]*Lookups!$B$19</f>
        <v>0</v>
      </c>
      <c r="BR1804" s="6">
        <f>SUM(Grandview_Inventory[[#This Row],[Intercept]:[det_value]])*Grandview_Inventory[[#This Row],[res_pct]]</f>
        <v>317732.68162600003</v>
      </c>
      <c r="BS1804" s="6">
        <f>Grandview_Inventory[[#This Row],[land_value]]</f>
        <v>52004.542988489469</v>
      </c>
      <c r="BT1804" s="4">
        <f>_xlfn.IFNA(VLOOKUP(Grandview_Inventory[[#This Row],[quality]],Lookups!$A$26:$C$33,3,FALSE),1)</f>
        <v>0.98763855981004833</v>
      </c>
      <c r="BU1804" s="4">
        <f>_xlfn.IFNA(VLOOKUP(Grandview_Inventory[[#This Row],[condition]],Lookups!$A$37:$C$44,3,FALSE),1)</f>
        <v>0.96469275950863709</v>
      </c>
      <c r="BV1804" s="4">
        <f>IF(Grandview_Inventory[[#This Row],[bldg_style]]="",1,_xlfn.IFNA(VLOOKUP(Grandview_Inventory[[#This Row],[decade]],Lookups!$F$29:$H$43,3,FALSE),1))</f>
        <v>0.95268620544463312</v>
      </c>
      <c r="BW1804" s="4">
        <f>_xlfn.IFNA(VLOOKUP(Grandview_Inventory[[#This Row],[living_area_range]],Lookups!$F$47:$H$56,3,FALSE),1)</f>
        <v>0.96120133463014379</v>
      </c>
      <c r="BX1804" s="4">
        <f>AVERAGE(Grandview_Inventory[[#This Row],[qual_adj]:[size_adj]])</f>
        <v>0.96655471484836553</v>
      </c>
      <c r="BY1804" s="6">
        <f>IF(Grandview_Inventory[[#This Row],[pre_res]]&lt;0,0,Grandview_Inventory[[#This Row],[pre_res]]*Grandview_Inventory[[#This Row],[overall_adj]])</f>
        <v>307106.02148702496</v>
      </c>
      <c r="BZ1804" s="6">
        <f>(Grandview_Inventory[[#This Row],[sum_land]]-IF(Grandview_Inventory[[#This Row],[no_utilities]]=1,12000,0))/IF(Grandview_Inventory[[#This Row],[unbuildable]]=1,2,1)</f>
        <v>52004.542988489469</v>
      </c>
      <c r="CA180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804">
        <f>ROUND(Grandview_Inventory[[#This Row],[det_value]]*Lookups!$M$28,-2)</f>
        <v>0</v>
      </c>
      <c r="CC1804">
        <f>IF(ROUND(Grandview_Inventory[[#This Row],[adj_res]]*Lookups!$M$28,-2)&lt;Grandview_Inventory[[#This Row],[min_res]],Grandview_Inventory[[#This Row],[min_res]],ROUND(Grandview_Inventory[[#This Row],[adj_res]]*Lookups!$M$28,-2))</f>
        <v>291800</v>
      </c>
      <c r="CD1804">
        <f>Grandview_Inventory[[#This Row],[final_det]]+Grandview_Inventory[[#This Row],[final_res]]</f>
        <v>291800</v>
      </c>
      <c r="CE1804">
        <f>Grandview_Inventory[[#This Row],[final_land]]+Grandview_Inventory[[#This Row],[final_imp]]+Grandview_Inventory[[#This Row],[crop_value]]</f>
        <v>341200</v>
      </c>
      <c r="CG1804" t="str">
        <f t="shared" si="28"/>
        <v>update valuation set market_land =49400, market_bldg=291800, market_total =341200, market_mdno =401, market_date ='9/10/2023' where link_id = (select link_id from parcel where parcel_year = '2024' and parcel_id = '23092333448');</v>
      </c>
    </row>
    <row r="1805" spans="1:85" x14ac:dyDescent="0.25">
      <c r="A1805">
        <v>23092333449</v>
      </c>
      <c r="B1805">
        <v>0.23</v>
      </c>
      <c r="C1805">
        <v>9900</v>
      </c>
      <c r="D1805" t="s">
        <v>129</v>
      </c>
      <c r="E1805" t="s">
        <v>53</v>
      </c>
      <c r="F1805" t="s">
        <v>53</v>
      </c>
      <c r="G1805">
        <v>4</v>
      </c>
      <c r="H1805" t="s">
        <v>54</v>
      </c>
      <c r="I1805">
        <v>236200</v>
      </c>
      <c r="J1805">
        <v>39500</v>
      </c>
      <c r="K1805">
        <v>0.23</v>
      </c>
      <c r="L180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05">
        <v>0</v>
      </c>
      <c r="N1805">
        <v>0</v>
      </c>
      <c r="O1805">
        <v>0</v>
      </c>
      <c r="P1805">
        <v>13398.7528</v>
      </c>
      <c r="Q1805">
        <v>63903</v>
      </c>
      <c r="R1805">
        <f>(Grandview_Inventory[[#This Row],[ln_acres]]*Grandview_Inventory[[#This Row],[coeff]])+Grandview_Inventory[[#This Row],[const]]</f>
        <v>44211.174981080039</v>
      </c>
      <c r="S1805" t="s">
        <v>74</v>
      </c>
      <c r="T1805">
        <v>1</v>
      </c>
      <c r="U1805" t="s">
        <v>65</v>
      </c>
      <c r="V1805" t="s">
        <v>69</v>
      </c>
      <c r="W1805">
        <v>0</v>
      </c>
      <c r="X1805">
        <v>0</v>
      </c>
      <c r="Y1805">
        <v>44</v>
      </c>
      <c r="Z1805">
        <v>49</v>
      </c>
      <c r="AA1805">
        <v>50</v>
      </c>
      <c r="AB1805">
        <v>2500</v>
      </c>
      <c r="AC1805">
        <v>2200</v>
      </c>
      <c r="AD1805">
        <v>1432</v>
      </c>
      <c r="AE1805">
        <v>0</v>
      </c>
      <c r="AF1805">
        <v>0</v>
      </c>
      <c r="AG1805">
        <v>768</v>
      </c>
      <c r="AH1805">
        <v>0</v>
      </c>
      <c r="AI1805">
        <v>364</v>
      </c>
      <c r="AJ1805">
        <v>0</v>
      </c>
      <c r="AK1805">
        <v>0</v>
      </c>
      <c r="AL1805">
        <v>360</v>
      </c>
      <c r="AM1805">
        <v>0</v>
      </c>
      <c r="AN1805">
        <v>24</v>
      </c>
      <c r="AO1805">
        <v>180</v>
      </c>
      <c r="AP1805">
        <v>11</v>
      </c>
      <c r="AQ1805">
        <v>0</v>
      </c>
      <c r="AR1805">
        <v>0</v>
      </c>
      <c r="AS1805" t="s">
        <v>58</v>
      </c>
      <c r="AT1805">
        <v>1</v>
      </c>
      <c r="AU1805" t="s">
        <v>63</v>
      </c>
      <c r="AV1805" t="s">
        <v>64</v>
      </c>
      <c r="AW1805">
        <v>1</v>
      </c>
      <c r="AX1805">
        <v>4</v>
      </c>
      <c r="AY1805">
        <v>0</v>
      </c>
      <c r="AZ1805">
        <v>0</v>
      </c>
      <c r="BA1805">
        <v>100</v>
      </c>
      <c r="BB1805">
        <v>100</v>
      </c>
      <c r="BC1805">
        <v>100</v>
      </c>
      <c r="BD1805">
        <v>100</v>
      </c>
      <c r="BE1805">
        <v>1</v>
      </c>
      <c r="BF1805">
        <v>15000</v>
      </c>
      <c r="BG1805">
        <v>1000</v>
      </c>
      <c r="BH1805" s="6">
        <f>Grandview_Inventory[[#This Row],[land_extract]]*Lookups!$B$3</f>
        <v>51342.318135355803</v>
      </c>
      <c r="BI1805" s="6">
        <f>IF(Grandview_Inventory[[#This Row],[bldg_style]]="",0,Lookups!$B$2)</f>
        <v>155833.95000000001</v>
      </c>
      <c r="BJ1805" s="6">
        <f>_xlfn.IFNA(VLOOKUP(Grandview_Inventory[[#This Row],[quality]],Lookups!$H$2:$J$14,3,FALSE),0)</f>
        <v>2251</v>
      </c>
      <c r="BK1805" s="6">
        <f>_xlfn.IFNA(VLOOKUP(Grandview_Inventory[[#This Row],[condition]],Lookups!$H$17:$J$24,3,FALSE),0)</f>
        <v>-4503</v>
      </c>
      <c r="BL1805" s="6">
        <f>Grandview_Inventory[[#This Row],[Eff_Age]]*Lookups!$B$14</f>
        <v>-10523.330399999999</v>
      </c>
      <c r="BM1805" s="6">
        <f>Grandview_Inventory[[#This Row],[living_area]]*Lookups!$B$15</f>
        <v>137237.87660000002</v>
      </c>
      <c r="BN1805" s="6">
        <f>Grandview_Inventory[[#This Row],[Fin BSMT]]*Lookups!$B$16</f>
        <v>-20812.21632</v>
      </c>
      <c r="BO1805" s="6">
        <f>(Grandview_Inventory[[#This Row],[att_gar]]+Grandview_Inventory[[#This Row],[bltin_gar]])*Lookups!$B$17</f>
        <v>31857.439068</v>
      </c>
      <c r="BP1805" s="6">
        <f>Grandview_Inventory[[#This Row],[Plumbing Fixtures]]*Lookups!$B$18</f>
        <v>22114.859800000002</v>
      </c>
      <c r="BQ1805" s="6">
        <f>Grandview_Inventory[[#This Row],[detatched_value]]*Lookups!$B$19</f>
        <v>0</v>
      </c>
      <c r="BR1805" s="6">
        <f>SUM(Grandview_Inventory[[#This Row],[Intercept]:[det_value]])*Grandview_Inventory[[#This Row],[res_pct]]</f>
        <v>313456.57874800003</v>
      </c>
      <c r="BS1805" s="6">
        <f>Grandview_Inventory[[#This Row],[land_value]]</f>
        <v>51342.318135355803</v>
      </c>
      <c r="BT1805" s="4">
        <f>_xlfn.IFNA(VLOOKUP(Grandview_Inventory[[#This Row],[quality]],Lookups!$A$26:$C$33,3,FALSE),1)</f>
        <v>0.98763855981004833</v>
      </c>
      <c r="BU1805" s="4">
        <f>_xlfn.IFNA(VLOOKUP(Grandview_Inventory[[#This Row],[condition]],Lookups!$A$37:$C$44,3,FALSE),1)</f>
        <v>0.96469275950863709</v>
      </c>
      <c r="BV1805" s="4">
        <f>IF(Grandview_Inventory[[#This Row],[bldg_style]]="",1,_xlfn.IFNA(VLOOKUP(Grandview_Inventory[[#This Row],[decade]],Lookups!$F$29:$H$43,3,FALSE),1))</f>
        <v>0.9871940091910919</v>
      </c>
      <c r="BW1805" s="4">
        <f>_xlfn.IFNA(VLOOKUP(Grandview_Inventory[[#This Row],[living_area_range]],Lookups!$F$47:$H$56,3,FALSE),1)</f>
        <v>0.95799442568048754</v>
      </c>
      <c r="BX1805" s="4">
        <f>AVERAGE(Grandview_Inventory[[#This Row],[qual_adj]:[size_adj]])</f>
        <v>0.97437993854756622</v>
      </c>
      <c r="BY1805" s="6">
        <f>IF(Grandview_Inventory[[#This Row],[pre_res]]&lt;0,0,Grandview_Inventory[[#This Row],[pre_res]]*Grandview_Inventory[[#This Row],[overall_adj]])</f>
        <v>305425.80193780659</v>
      </c>
      <c r="BZ1805" s="6">
        <f>(Grandview_Inventory[[#This Row],[sum_land]]-IF(Grandview_Inventory[[#This Row],[no_utilities]]=1,12000,0))/IF(Grandview_Inventory[[#This Row],[unbuildable]]=1,2,1)</f>
        <v>51342.318135355803</v>
      </c>
      <c r="CA180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05">
        <f>ROUND(Grandview_Inventory[[#This Row],[det_value]]*Lookups!$M$28,-2)</f>
        <v>0</v>
      </c>
      <c r="CC1805">
        <f>IF(ROUND(Grandview_Inventory[[#This Row],[adj_res]]*Lookups!$M$28,-2)&lt;Grandview_Inventory[[#This Row],[min_res]],Grandview_Inventory[[#This Row],[min_res]],ROUND(Grandview_Inventory[[#This Row],[adj_res]]*Lookups!$M$28,-2))</f>
        <v>290200</v>
      </c>
      <c r="CD1805">
        <f>Grandview_Inventory[[#This Row],[final_det]]+Grandview_Inventory[[#This Row],[final_res]]</f>
        <v>290200</v>
      </c>
      <c r="CE1805">
        <f>Grandview_Inventory[[#This Row],[final_land]]+Grandview_Inventory[[#This Row],[final_imp]]+Grandview_Inventory[[#This Row],[crop_value]]</f>
        <v>339000</v>
      </c>
      <c r="CG1805" t="str">
        <f t="shared" si="28"/>
        <v>update valuation set market_land =48800, market_bldg=290200, market_total =339000, market_mdno =401, market_date ='9/10/2023' where link_id = (select link_id from parcel where parcel_year = '2024' and parcel_id = '23092333449');</v>
      </c>
    </row>
    <row r="1806" spans="1:85" x14ac:dyDescent="0.25">
      <c r="A1806">
        <v>23092333450</v>
      </c>
      <c r="B1806">
        <v>0.24</v>
      </c>
      <c r="C1806">
        <v>10504</v>
      </c>
      <c r="D1806" t="s">
        <v>129</v>
      </c>
      <c r="E1806" t="s">
        <v>53</v>
      </c>
      <c r="F1806" t="s">
        <v>53</v>
      </c>
      <c r="G1806">
        <v>4</v>
      </c>
      <c r="H1806" t="s">
        <v>54</v>
      </c>
      <c r="I1806">
        <v>195300</v>
      </c>
      <c r="J1806">
        <v>39800</v>
      </c>
      <c r="K1806">
        <v>0.24</v>
      </c>
      <c r="L1806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806">
        <v>0</v>
      </c>
      <c r="N1806">
        <v>0</v>
      </c>
      <c r="O1806">
        <v>0</v>
      </c>
      <c r="P1806">
        <v>13398.7528</v>
      </c>
      <c r="Q1806">
        <v>63903</v>
      </c>
      <c r="R1806">
        <f>(Grandview_Inventory[[#This Row],[ln_acres]]*Grandview_Inventory[[#This Row],[coeff]])+Grandview_Inventory[[#This Row],[const]]</f>
        <v>44781.420733940802</v>
      </c>
      <c r="S1806" t="s">
        <v>61</v>
      </c>
      <c r="T1806">
        <v>1</v>
      </c>
      <c r="U1806" t="s">
        <v>65</v>
      </c>
      <c r="V1806" t="s">
        <v>69</v>
      </c>
      <c r="W1806">
        <v>0</v>
      </c>
      <c r="X1806">
        <v>0</v>
      </c>
      <c r="Y1806">
        <v>46</v>
      </c>
      <c r="Z1806">
        <v>53</v>
      </c>
      <c r="AA1806">
        <v>60</v>
      </c>
      <c r="AB1806">
        <v>1500</v>
      </c>
      <c r="AC1806">
        <v>1356</v>
      </c>
      <c r="AD1806">
        <v>1356</v>
      </c>
      <c r="AE1806">
        <v>0</v>
      </c>
      <c r="AF1806">
        <v>0</v>
      </c>
      <c r="AG1806">
        <v>0</v>
      </c>
      <c r="AH1806">
        <v>0</v>
      </c>
      <c r="AI1806">
        <v>350</v>
      </c>
      <c r="AJ1806">
        <v>0</v>
      </c>
      <c r="AK1806">
        <v>252</v>
      </c>
      <c r="AL1806">
        <v>0</v>
      </c>
      <c r="AM1806">
        <v>267</v>
      </c>
      <c r="AN1806">
        <v>24</v>
      </c>
      <c r="AO1806">
        <v>231</v>
      </c>
      <c r="AP1806">
        <v>6</v>
      </c>
      <c r="AQ1806">
        <v>0</v>
      </c>
      <c r="AR1806">
        <v>0</v>
      </c>
      <c r="AS1806" t="s">
        <v>76</v>
      </c>
      <c r="AT1806">
        <v>1</v>
      </c>
      <c r="AU1806" t="s">
        <v>63</v>
      </c>
      <c r="AV1806" t="s">
        <v>60</v>
      </c>
      <c r="AW1806">
        <v>1</v>
      </c>
      <c r="AX1806">
        <v>2</v>
      </c>
      <c r="AY1806">
        <v>0</v>
      </c>
      <c r="AZ1806">
        <v>0</v>
      </c>
      <c r="BA1806">
        <v>100</v>
      </c>
      <c r="BB1806">
        <v>100</v>
      </c>
      <c r="BC1806">
        <v>100</v>
      </c>
      <c r="BD1806">
        <v>100</v>
      </c>
      <c r="BE1806">
        <v>1</v>
      </c>
      <c r="BF1806">
        <v>15000</v>
      </c>
      <c r="BG1806">
        <v>1000</v>
      </c>
      <c r="BH1806" s="6">
        <f>Grandview_Inventory[[#This Row],[land_extract]]*Lookups!$B$3</f>
        <v>52004.542988489469</v>
      </c>
      <c r="BI1806" s="6">
        <f>IF(Grandview_Inventory[[#This Row],[bldg_style]]="",0,Lookups!$B$2)</f>
        <v>155833.95000000001</v>
      </c>
      <c r="BJ1806" s="6">
        <f>_xlfn.IFNA(VLOOKUP(Grandview_Inventory[[#This Row],[quality]],Lookups!$H$2:$J$14,3,FALSE),0)</f>
        <v>2251</v>
      </c>
      <c r="BK1806" s="6">
        <f>_xlfn.IFNA(VLOOKUP(Grandview_Inventory[[#This Row],[condition]],Lookups!$H$17:$J$24,3,FALSE),0)</f>
        <v>-4503</v>
      </c>
      <c r="BL1806" s="6">
        <f>Grandview_Inventory[[#This Row],[Eff_Age]]*Lookups!$B$14</f>
        <v>-11001.6636</v>
      </c>
      <c r="BM1806" s="6">
        <f>Grandview_Inventory[[#This Row],[living_area]]*Lookups!$B$15</f>
        <v>84588.436668000009</v>
      </c>
      <c r="BN1806" s="6">
        <f>Grandview_Inventory[[#This Row],[Fin BSMT]]*Lookups!$B$16</f>
        <v>0</v>
      </c>
      <c r="BO1806" s="6">
        <f>(Grandview_Inventory[[#This Row],[att_gar]]+Grandview_Inventory[[#This Row],[bltin_gar]])*Lookups!$B$17</f>
        <v>30632.15295</v>
      </c>
      <c r="BP1806" s="6">
        <f>Grandview_Inventory[[#This Row],[Plumbing Fixtures]]*Lookups!$B$18</f>
        <v>12062.650799999999</v>
      </c>
      <c r="BQ1806" s="6">
        <f>Grandview_Inventory[[#This Row],[detatched_value]]*Lookups!$B$19</f>
        <v>0</v>
      </c>
      <c r="BR1806" s="6">
        <f>SUM(Grandview_Inventory[[#This Row],[Intercept]:[det_value]])*Grandview_Inventory[[#This Row],[res_pct]]</f>
        <v>269863.52681800001</v>
      </c>
      <c r="BS1806" s="6">
        <f>Grandview_Inventory[[#This Row],[land_value]]</f>
        <v>52004.542988489469</v>
      </c>
      <c r="BT1806" s="4">
        <f>_xlfn.IFNA(VLOOKUP(Grandview_Inventory[[#This Row],[quality]],Lookups!$A$26:$C$33,3,FALSE),1)</f>
        <v>0.98763855981004833</v>
      </c>
      <c r="BU1806" s="4">
        <f>_xlfn.IFNA(VLOOKUP(Grandview_Inventory[[#This Row],[condition]],Lookups!$A$37:$C$44,3,FALSE),1)</f>
        <v>0.96469275950863709</v>
      </c>
      <c r="BV1806" s="4">
        <f>IF(Grandview_Inventory[[#This Row],[bldg_style]]="",1,_xlfn.IFNA(VLOOKUP(Grandview_Inventory[[#This Row],[decade]],Lookups!$F$29:$H$43,3,FALSE),1))</f>
        <v>0.95268620544463312</v>
      </c>
      <c r="BW1806" s="4">
        <f>_xlfn.IFNA(VLOOKUP(Grandview_Inventory[[#This Row],[living_area_range]],Lookups!$F$47:$H$56,3,FALSE),1)</f>
        <v>0.96135087979789358</v>
      </c>
      <c r="BX1806" s="4">
        <f>AVERAGE(Grandview_Inventory[[#This Row],[qual_adj]:[size_adj]])</f>
        <v>0.96659210114030303</v>
      </c>
      <c r="BY1806" s="6">
        <f>IF(Grandview_Inventory[[#This Row],[pre_res]]&lt;0,0,Grandview_Inventory[[#This Row],[pre_res]]*Grandview_Inventory[[#This Row],[overall_adj]])</f>
        <v>260847.95340814313</v>
      </c>
      <c r="BZ1806" s="6">
        <f>(Grandview_Inventory[[#This Row],[sum_land]]-IF(Grandview_Inventory[[#This Row],[no_utilities]]=1,12000,0))/IF(Grandview_Inventory[[#This Row],[unbuildable]]=1,2,1)</f>
        <v>52004.542988489469</v>
      </c>
      <c r="CA1806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806">
        <f>ROUND(Grandview_Inventory[[#This Row],[det_value]]*Lookups!$M$28,-2)</f>
        <v>0</v>
      </c>
      <c r="CC1806">
        <f>IF(ROUND(Grandview_Inventory[[#This Row],[adj_res]]*Lookups!$M$28,-2)&lt;Grandview_Inventory[[#This Row],[min_res]],Grandview_Inventory[[#This Row],[min_res]],ROUND(Grandview_Inventory[[#This Row],[adj_res]]*Lookups!$M$28,-2))</f>
        <v>247800</v>
      </c>
      <c r="CD1806">
        <f>Grandview_Inventory[[#This Row],[final_det]]+Grandview_Inventory[[#This Row],[final_res]]</f>
        <v>247800</v>
      </c>
      <c r="CE1806">
        <f>Grandview_Inventory[[#This Row],[final_land]]+Grandview_Inventory[[#This Row],[final_imp]]+Grandview_Inventory[[#This Row],[crop_value]]</f>
        <v>297200</v>
      </c>
      <c r="CG1806" t="str">
        <f t="shared" si="28"/>
        <v>update valuation set market_land =49400, market_bldg=247800, market_total =297200, market_mdno =401, market_date ='9/10/2023' where link_id = (select link_id from parcel where parcel_year = '2024' and parcel_id = '23092333450');</v>
      </c>
    </row>
    <row r="1807" spans="1:85" x14ac:dyDescent="0.25">
      <c r="A1807">
        <v>23092333451</v>
      </c>
      <c r="B1807">
        <v>0.24</v>
      </c>
      <c r="C1807">
        <v>10490</v>
      </c>
      <c r="D1807" t="s">
        <v>129</v>
      </c>
      <c r="E1807" t="s">
        <v>53</v>
      </c>
      <c r="F1807" t="s">
        <v>53</v>
      </c>
      <c r="G1807">
        <v>4</v>
      </c>
      <c r="H1807" t="s">
        <v>54</v>
      </c>
      <c r="I1807">
        <v>227300</v>
      </c>
      <c r="J1807">
        <v>39800</v>
      </c>
      <c r="K1807">
        <v>0.24</v>
      </c>
      <c r="L1807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807">
        <v>0</v>
      </c>
      <c r="N1807">
        <v>0</v>
      </c>
      <c r="O1807">
        <v>0</v>
      </c>
      <c r="P1807">
        <v>13398.7528</v>
      </c>
      <c r="Q1807">
        <v>63903</v>
      </c>
      <c r="R1807">
        <f>(Grandview_Inventory[[#This Row],[ln_acres]]*Grandview_Inventory[[#This Row],[coeff]])+Grandview_Inventory[[#This Row],[const]]</f>
        <v>44781.420733940802</v>
      </c>
      <c r="S1807" t="s">
        <v>55</v>
      </c>
      <c r="T1807">
        <v>2</v>
      </c>
      <c r="U1807" t="s">
        <v>65</v>
      </c>
      <c r="V1807" t="s">
        <v>69</v>
      </c>
      <c r="W1807">
        <v>0</v>
      </c>
      <c r="X1807">
        <v>0</v>
      </c>
      <c r="Y1807">
        <v>46</v>
      </c>
      <c r="Z1807">
        <v>54</v>
      </c>
      <c r="AA1807">
        <v>60</v>
      </c>
      <c r="AB1807">
        <v>2500</v>
      </c>
      <c r="AC1807">
        <v>2423</v>
      </c>
      <c r="AD1807">
        <v>1223</v>
      </c>
      <c r="AE1807">
        <v>600</v>
      </c>
      <c r="AF1807">
        <v>0</v>
      </c>
      <c r="AG1807">
        <v>600</v>
      </c>
      <c r="AH1807">
        <v>0</v>
      </c>
      <c r="AI1807">
        <v>500</v>
      </c>
      <c r="AJ1807">
        <v>0</v>
      </c>
      <c r="AK1807">
        <v>0</v>
      </c>
      <c r="AL1807">
        <v>0</v>
      </c>
      <c r="AM1807">
        <v>688</v>
      </c>
      <c r="AN1807">
        <v>144</v>
      </c>
      <c r="AO1807">
        <v>0</v>
      </c>
      <c r="AP1807">
        <v>10</v>
      </c>
      <c r="AQ1807">
        <v>0</v>
      </c>
      <c r="AR1807">
        <v>0</v>
      </c>
      <c r="AS1807" t="s">
        <v>58</v>
      </c>
      <c r="AT1807">
        <v>1</v>
      </c>
      <c r="AU1807" t="s">
        <v>63</v>
      </c>
      <c r="AV1807" t="s">
        <v>64</v>
      </c>
      <c r="AW1807">
        <v>0</v>
      </c>
      <c r="AX1807">
        <v>3</v>
      </c>
      <c r="AY1807">
        <v>0</v>
      </c>
      <c r="AZ1807">
        <v>14700</v>
      </c>
      <c r="BA1807">
        <v>100</v>
      </c>
      <c r="BB1807">
        <v>100</v>
      </c>
      <c r="BC1807">
        <v>100</v>
      </c>
      <c r="BD1807">
        <v>100</v>
      </c>
      <c r="BE1807">
        <v>1</v>
      </c>
      <c r="BF1807">
        <v>15000</v>
      </c>
      <c r="BG1807">
        <v>1000</v>
      </c>
      <c r="BH1807" s="6">
        <f>Grandview_Inventory[[#This Row],[land_extract]]*Lookups!$B$3</f>
        <v>52004.542988489469</v>
      </c>
      <c r="BI1807" s="6">
        <f>IF(Grandview_Inventory[[#This Row],[bldg_style]]="",0,Lookups!$B$2)</f>
        <v>155833.95000000001</v>
      </c>
      <c r="BJ1807" s="6">
        <f>_xlfn.IFNA(VLOOKUP(Grandview_Inventory[[#This Row],[quality]],Lookups!$H$2:$J$14,3,FALSE),0)</f>
        <v>2251</v>
      </c>
      <c r="BK1807" s="6">
        <f>_xlfn.IFNA(VLOOKUP(Grandview_Inventory[[#This Row],[condition]],Lookups!$H$17:$J$24,3,FALSE),0)</f>
        <v>-4503</v>
      </c>
      <c r="BL1807" s="6">
        <f>Grandview_Inventory[[#This Row],[Eff_Age]]*Lookups!$B$14</f>
        <v>-11001.6636</v>
      </c>
      <c r="BM1807" s="6">
        <f>Grandview_Inventory[[#This Row],[living_area]]*Lookups!$B$15</f>
        <v>151148.80681899999</v>
      </c>
      <c r="BN1807" s="6">
        <f>Grandview_Inventory[[#This Row],[Fin BSMT]]*Lookups!$B$16</f>
        <v>-16259.544000000002</v>
      </c>
      <c r="BO1807" s="6">
        <f>(Grandview_Inventory[[#This Row],[att_gar]]+Grandview_Inventory[[#This Row],[bltin_gar]])*Lookups!$B$17</f>
        <v>43760.218500000003</v>
      </c>
      <c r="BP1807" s="6">
        <f>Grandview_Inventory[[#This Row],[Plumbing Fixtures]]*Lookups!$B$18</f>
        <v>20104.418000000001</v>
      </c>
      <c r="BQ1807" s="6">
        <f>Grandview_Inventory[[#This Row],[detatched_value]]*Lookups!$B$19</f>
        <v>12448.034969999999</v>
      </c>
      <c r="BR1807" s="6">
        <f>SUM(Grandview_Inventory[[#This Row],[Intercept]:[det_value]])*Grandview_Inventory[[#This Row],[res_pct]]</f>
        <v>353782.22068900004</v>
      </c>
      <c r="BS1807" s="6">
        <f>Grandview_Inventory[[#This Row],[land_value]]</f>
        <v>52004.542988489469</v>
      </c>
      <c r="BT1807" s="4">
        <f>_xlfn.IFNA(VLOOKUP(Grandview_Inventory[[#This Row],[quality]],Lookups!$A$26:$C$33,3,FALSE),1)</f>
        <v>0.98763855981004833</v>
      </c>
      <c r="BU1807" s="4">
        <f>_xlfn.IFNA(VLOOKUP(Grandview_Inventory[[#This Row],[condition]],Lookups!$A$37:$C$44,3,FALSE),1)</f>
        <v>0.96469275950863709</v>
      </c>
      <c r="BV1807" s="4">
        <f>IF(Grandview_Inventory[[#This Row],[bldg_style]]="",1,_xlfn.IFNA(VLOOKUP(Grandview_Inventory[[#This Row],[decade]],Lookups!$F$29:$H$43,3,FALSE),1))</f>
        <v>0.95268620544463312</v>
      </c>
      <c r="BW1807" s="4">
        <f>_xlfn.IFNA(VLOOKUP(Grandview_Inventory[[#This Row],[living_area_range]],Lookups!$F$47:$H$56,3,FALSE),1)</f>
        <v>0.95799442568048754</v>
      </c>
      <c r="BX1807" s="4">
        <f>AVERAGE(Grandview_Inventory[[#This Row],[qual_adj]:[size_adj]])</f>
        <v>0.96575298761095152</v>
      </c>
      <c r="BY1807" s="6">
        <f>IF(Grandview_Inventory[[#This Row],[pre_res]]&lt;0,0,Grandview_Inventory[[#This Row],[pre_res]]*Grandview_Inventory[[#This Row],[overall_adj]])</f>
        <v>341666.23659403878</v>
      </c>
      <c r="BZ1807" s="6">
        <f>(Grandview_Inventory[[#This Row],[sum_land]]-IF(Grandview_Inventory[[#This Row],[no_utilities]]=1,12000,0))/IF(Grandview_Inventory[[#This Row],[unbuildable]]=1,2,1)</f>
        <v>52004.542988489469</v>
      </c>
      <c r="CA1807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807">
        <f>ROUND(Grandview_Inventory[[#This Row],[det_value]]*Lookups!$M$28,-2)</f>
        <v>11800</v>
      </c>
      <c r="CC1807">
        <f>IF(ROUND(Grandview_Inventory[[#This Row],[adj_res]]*Lookups!$M$28,-2)&lt;Grandview_Inventory[[#This Row],[min_res]],Grandview_Inventory[[#This Row],[min_res]],ROUND(Grandview_Inventory[[#This Row],[adj_res]]*Lookups!$M$28,-2))</f>
        <v>324600</v>
      </c>
      <c r="CD1807">
        <f>Grandview_Inventory[[#This Row],[final_det]]+Grandview_Inventory[[#This Row],[final_res]]</f>
        <v>336400</v>
      </c>
      <c r="CE1807">
        <f>Grandview_Inventory[[#This Row],[final_land]]+Grandview_Inventory[[#This Row],[final_imp]]+Grandview_Inventory[[#This Row],[crop_value]]</f>
        <v>385800</v>
      </c>
      <c r="CG1807" t="str">
        <f t="shared" si="28"/>
        <v>update valuation set market_land =49400, market_bldg=336400, market_total =385800, market_mdno =401, market_date ='9/10/2023' where link_id = (select link_id from parcel where parcel_year = '2024' and parcel_id = '23092333451');</v>
      </c>
    </row>
    <row r="1808" spans="1:85" x14ac:dyDescent="0.25">
      <c r="A1808">
        <v>23092333452</v>
      </c>
      <c r="B1808">
        <v>0.23</v>
      </c>
      <c r="C1808">
        <v>9900</v>
      </c>
      <c r="D1808" t="s">
        <v>129</v>
      </c>
      <c r="E1808" t="s">
        <v>53</v>
      </c>
      <c r="F1808" t="s">
        <v>53</v>
      </c>
      <c r="G1808">
        <v>4</v>
      </c>
      <c r="H1808" t="s">
        <v>54</v>
      </c>
      <c r="I1808">
        <v>190800</v>
      </c>
      <c r="J1808">
        <v>39500</v>
      </c>
      <c r="K1808">
        <v>0.23</v>
      </c>
      <c r="L180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08">
        <v>0</v>
      </c>
      <c r="N1808">
        <v>0</v>
      </c>
      <c r="O1808">
        <v>0</v>
      </c>
      <c r="P1808">
        <v>13398.7528</v>
      </c>
      <c r="Q1808">
        <v>63903</v>
      </c>
      <c r="R1808">
        <f>(Grandview_Inventory[[#This Row],[ln_acres]]*Grandview_Inventory[[#This Row],[coeff]])+Grandview_Inventory[[#This Row],[const]]</f>
        <v>44211.174981080039</v>
      </c>
      <c r="S1808" t="s">
        <v>61</v>
      </c>
      <c r="T1808">
        <v>1</v>
      </c>
      <c r="U1808" t="s">
        <v>70</v>
      </c>
      <c r="V1808" t="s">
        <v>69</v>
      </c>
      <c r="W1808">
        <v>0</v>
      </c>
      <c r="X1808">
        <v>0</v>
      </c>
      <c r="Y1808">
        <v>44</v>
      </c>
      <c r="Z1808">
        <v>49</v>
      </c>
      <c r="AA1808">
        <v>50</v>
      </c>
      <c r="AB1808">
        <v>2000</v>
      </c>
      <c r="AC1808">
        <v>1573</v>
      </c>
      <c r="AD1808">
        <v>1573</v>
      </c>
      <c r="AE1808">
        <v>0</v>
      </c>
      <c r="AF1808">
        <v>0</v>
      </c>
      <c r="AG1808">
        <v>0</v>
      </c>
      <c r="AH1808">
        <v>0</v>
      </c>
      <c r="AI1808">
        <v>312</v>
      </c>
      <c r="AJ1808">
        <v>0</v>
      </c>
      <c r="AK1808">
        <v>0</v>
      </c>
      <c r="AL1808">
        <v>360</v>
      </c>
      <c r="AM1808">
        <v>0</v>
      </c>
      <c r="AN1808">
        <v>0</v>
      </c>
      <c r="AO1808">
        <v>0</v>
      </c>
      <c r="AP1808">
        <v>8</v>
      </c>
      <c r="AQ1808">
        <v>0</v>
      </c>
      <c r="AR1808">
        <v>0</v>
      </c>
      <c r="AS1808" t="s">
        <v>58</v>
      </c>
      <c r="AT1808">
        <v>1</v>
      </c>
      <c r="AU1808" t="s">
        <v>63</v>
      </c>
      <c r="AV1808" t="s">
        <v>64</v>
      </c>
      <c r="AW1808">
        <v>1</v>
      </c>
      <c r="AX1808">
        <v>3</v>
      </c>
      <c r="AY1808">
        <v>0</v>
      </c>
      <c r="AZ1808">
        <v>0</v>
      </c>
      <c r="BA1808">
        <v>100</v>
      </c>
      <c r="BB1808">
        <v>100</v>
      </c>
      <c r="BC1808">
        <v>100</v>
      </c>
      <c r="BD1808">
        <v>100</v>
      </c>
      <c r="BE1808">
        <v>1</v>
      </c>
      <c r="BF1808">
        <v>15000</v>
      </c>
      <c r="BG1808">
        <v>1000</v>
      </c>
      <c r="BH1808" s="6">
        <f>Grandview_Inventory[[#This Row],[land_extract]]*Lookups!$B$3</f>
        <v>51342.318135355803</v>
      </c>
      <c r="BI1808" s="6">
        <f>IF(Grandview_Inventory[[#This Row],[bldg_style]]="",0,Lookups!$B$2)</f>
        <v>155833.95000000001</v>
      </c>
      <c r="BJ1808" s="6">
        <f>_xlfn.IFNA(VLOOKUP(Grandview_Inventory[[#This Row],[quality]],Lookups!$H$2:$J$14,3,FALSE),0)</f>
        <v>10733</v>
      </c>
      <c r="BK1808" s="6">
        <f>_xlfn.IFNA(VLOOKUP(Grandview_Inventory[[#This Row],[condition]],Lookups!$H$17:$J$24,3,FALSE),0)</f>
        <v>-4503</v>
      </c>
      <c r="BL1808" s="6">
        <f>Grandview_Inventory[[#This Row],[Eff_Age]]*Lookups!$B$14</f>
        <v>-10523.330399999999</v>
      </c>
      <c r="BM1808" s="6">
        <f>Grandview_Inventory[[#This Row],[living_area]]*Lookups!$B$15</f>
        <v>98125.081768999997</v>
      </c>
      <c r="BN1808" s="6">
        <f>Grandview_Inventory[[#This Row],[Fin BSMT]]*Lookups!$B$16</f>
        <v>0</v>
      </c>
      <c r="BO1808" s="6">
        <f>(Grandview_Inventory[[#This Row],[att_gar]]+Grandview_Inventory[[#This Row],[bltin_gar]])*Lookups!$B$17</f>
        <v>27306.376344</v>
      </c>
      <c r="BP1808" s="6">
        <f>Grandview_Inventory[[#This Row],[Plumbing Fixtures]]*Lookups!$B$18</f>
        <v>16083.5344</v>
      </c>
      <c r="BQ1808" s="6">
        <f>Grandview_Inventory[[#This Row],[detatched_value]]*Lookups!$B$19</f>
        <v>0</v>
      </c>
      <c r="BR1808" s="6">
        <f>SUM(Grandview_Inventory[[#This Row],[Intercept]:[det_value]])*Grandview_Inventory[[#This Row],[res_pct]]</f>
        <v>293055.61211300001</v>
      </c>
      <c r="BS1808" s="6">
        <f>Grandview_Inventory[[#This Row],[land_value]]</f>
        <v>51342.318135355803</v>
      </c>
      <c r="BT1808" s="4">
        <f>_xlfn.IFNA(VLOOKUP(Grandview_Inventory[[#This Row],[quality]],Lookups!$A$26:$C$33,3,FALSE),1)</f>
        <v>0.98079741117310582</v>
      </c>
      <c r="BU1808" s="4">
        <f>_xlfn.IFNA(VLOOKUP(Grandview_Inventory[[#This Row],[condition]],Lookups!$A$37:$C$44,3,FALSE),1)</f>
        <v>0.96469275950863709</v>
      </c>
      <c r="BV1808" s="4">
        <f>IF(Grandview_Inventory[[#This Row],[bldg_style]]="",1,_xlfn.IFNA(VLOOKUP(Grandview_Inventory[[#This Row],[decade]],Lookups!$F$29:$H$43,3,FALSE),1))</f>
        <v>0.9871940091910919</v>
      </c>
      <c r="BW1808" s="4">
        <f>_xlfn.IFNA(VLOOKUP(Grandview_Inventory[[#This Row],[living_area_range]],Lookups!$F$47:$H$56,3,FALSE),1)</f>
        <v>0.96120133463014379</v>
      </c>
      <c r="BX1808" s="4">
        <f>AVERAGE(Grandview_Inventory[[#This Row],[qual_adj]:[size_adj]])</f>
        <v>0.97347137862574473</v>
      </c>
      <c r="BY1808" s="6">
        <f>IF(Grandview_Inventory[[#This Row],[pre_res]]&lt;0,0,Grandview_Inventory[[#This Row],[pre_res]]*Grandview_Inventory[[#This Row],[overall_adj]])</f>
        <v>285281.25073765364</v>
      </c>
      <c r="BZ1808" s="6">
        <f>(Grandview_Inventory[[#This Row],[sum_land]]-IF(Grandview_Inventory[[#This Row],[no_utilities]]=1,12000,0))/IF(Grandview_Inventory[[#This Row],[unbuildable]]=1,2,1)</f>
        <v>51342.318135355803</v>
      </c>
      <c r="CA180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08">
        <f>ROUND(Grandview_Inventory[[#This Row],[det_value]]*Lookups!$M$28,-2)</f>
        <v>0</v>
      </c>
      <c r="CC1808">
        <f>IF(ROUND(Grandview_Inventory[[#This Row],[adj_res]]*Lookups!$M$28,-2)&lt;Grandview_Inventory[[#This Row],[min_res]],Grandview_Inventory[[#This Row],[min_res]],ROUND(Grandview_Inventory[[#This Row],[adj_res]]*Lookups!$M$28,-2))</f>
        <v>271000</v>
      </c>
      <c r="CD1808">
        <f>Grandview_Inventory[[#This Row],[final_det]]+Grandview_Inventory[[#This Row],[final_res]]</f>
        <v>271000</v>
      </c>
      <c r="CE1808">
        <f>Grandview_Inventory[[#This Row],[final_land]]+Grandview_Inventory[[#This Row],[final_imp]]+Grandview_Inventory[[#This Row],[crop_value]]</f>
        <v>319800</v>
      </c>
      <c r="CG1808" t="str">
        <f t="shared" si="28"/>
        <v>update valuation set market_land =48800, market_bldg=271000, market_total =319800, market_mdno =401, market_date ='9/10/2023' where link_id = (select link_id from parcel where parcel_year = '2024' and parcel_id = '23092333452');</v>
      </c>
    </row>
    <row r="1809" spans="1:85" x14ac:dyDescent="0.25">
      <c r="A1809">
        <v>23092333453</v>
      </c>
      <c r="B1809">
        <v>0.23</v>
      </c>
      <c r="C1809">
        <v>9900</v>
      </c>
      <c r="D1809" t="s">
        <v>129</v>
      </c>
      <c r="E1809" t="s">
        <v>53</v>
      </c>
      <c r="F1809" t="s">
        <v>53</v>
      </c>
      <c r="G1809">
        <v>4</v>
      </c>
      <c r="H1809" t="s">
        <v>54</v>
      </c>
      <c r="I1809">
        <v>238700</v>
      </c>
      <c r="J1809">
        <v>39500</v>
      </c>
      <c r="K1809">
        <v>0.23</v>
      </c>
      <c r="L180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09">
        <v>0</v>
      </c>
      <c r="N1809">
        <v>0</v>
      </c>
      <c r="O1809">
        <v>0</v>
      </c>
      <c r="P1809">
        <v>13398.7528</v>
      </c>
      <c r="Q1809">
        <v>63903</v>
      </c>
      <c r="R1809">
        <f>(Grandview_Inventory[[#This Row],[ln_acres]]*Grandview_Inventory[[#This Row],[coeff]])+Grandview_Inventory[[#This Row],[const]]</f>
        <v>44211.174981080039</v>
      </c>
      <c r="S1809" t="s">
        <v>77</v>
      </c>
      <c r="T1809">
        <v>1</v>
      </c>
      <c r="U1809" t="s">
        <v>65</v>
      </c>
      <c r="V1809" t="s">
        <v>69</v>
      </c>
      <c r="W1809">
        <v>0</v>
      </c>
      <c r="X1809">
        <v>0</v>
      </c>
      <c r="Y1809">
        <v>44</v>
      </c>
      <c r="Z1809">
        <v>47</v>
      </c>
      <c r="AA1809">
        <v>50</v>
      </c>
      <c r="AB1809">
        <v>2500</v>
      </c>
      <c r="AC1809">
        <v>2268</v>
      </c>
      <c r="AD1809">
        <v>1458</v>
      </c>
      <c r="AE1809">
        <v>0</v>
      </c>
      <c r="AF1809">
        <v>0</v>
      </c>
      <c r="AG1809">
        <v>810</v>
      </c>
      <c r="AH1809">
        <v>0</v>
      </c>
      <c r="AI1809">
        <v>0</v>
      </c>
      <c r="AJ1809">
        <v>648</v>
      </c>
      <c r="AK1809">
        <v>0</v>
      </c>
      <c r="AL1809">
        <v>114</v>
      </c>
      <c r="AM1809">
        <v>480</v>
      </c>
      <c r="AN1809">
        <v>0</v>
      </c>
      <c r="AO1809">
        <v>114</v>
      </c>
      <c r="AP1809">
        <v>10</v>
      </c>
      <c r="AQ1809">
        <v>0</v>
      </c>
      <c r="AR1809">
        <v>0</v>
      </c>
      <c r="AS1809" t="s">
        <v>76</v>
      </c>
      <c r="AT1809">
        <v>1</v>
      </c>
      <c r="AU1809" t="s">
        <v>63</v>
      </c>
      <c r="AV1809" t="s">
        <v>64</v>
      </c>
      <c r="AW1809">
        <v>1</v>
      </c>
      <c r="AX1809">
        <v>4</v>
      </c>
      <c r="AY1809">
        <v>0</v>
      </c>
      <c r="AZ1809">
        <v>0</v>
      </c>
      <c r="BA1809">
        <v>100</v>
      </c>
      <c r="BB1809">
        <v>100</v>
      </c>
      <c r="BC1809">
        <v>100</v>
      </c>
      <c r="BD1809">
        <v>100</v>
      </c>
      <c r="BE1809">
        <v>1</v>
      </c>
      <c r="BF1809">
        <v>15000</v>
      </c>
      <c r="BG1809">
        <v>1000</v>
      </c>
      <c r="BH1809" s="6">
        <f>Grandview_Inventory[[#This Row],[land_extract]]*Lookups!$B$3</f>
        <v>51342.318135355803</v>
      </c>
      <c r="BI1809" s="6">
        <f>IF(Grandview_Inventory[[#This Row],[bldg_style]]="",0,Lookups!$B$2)</f>
        <v>155833.95000000001</v>
      </c>
      <c r="BJ1809" s="6">
        <f>_xlfn.IFNA(VLOOKUP(Grandview_Inventory[[#This Row],[quality]],Lookups!$H$2:$J$14,3,FALSE),0)</f>
        <v>2251</v>
      </c>
      <c r="BK1809" s="6">
        <f>_xlfn.IFNA(VLOOKUP(Grandview_Inventory[[#This Row],[condition]],Lookups!$H$17:$J$24,3,FALSE),0)</f>
        <v>-4503</v>
      </c>
      <c r="BL1809" s="6">
        <f>Grandview_Inventory[[#This Row],[Eff_Age]]*Lookups!$B$14</f>
        <v>-10523.330399999999</v>
      </c>
      <c r="BM1809" s="6">
        <f>Grandview_Inventory[[#This Row],[living_area]]*Lookups!$B$15</f>
        <v>141479.77460400001</v>
      </c>
      <c r="BN1809" s="6">
        <f>Grandview_Inventory[[#This Row],[Fin BSMT]]*Lookups!$B$16</f>
        <v>-21950.384400000003</v>
      </c>
      <c r="BO1809" s="6">
        <f>(Grandview_Inventory[[#This Row],[att_gar]]+Grandview_Inventory[[#This Row],[bltin_gar]])*Lookups!$B$17</f>
        <v>56713.243176000004</v>
      </c>
      <c r="BP1809" s="6">
        <f>Grandview_Inventory[[#This Row],[Plumbing Fixtures]]*Lookups!$B$18</f>
        <v>20104.418000000001</v>
      </c>
      <c r="BQ1809" s="6">
        <f>Grandview_Inventory[[#This Row],[detatched_value]]*Lookups!$B$19</f>
        <v>0</v>
      </c>
      <c r="BR1809" s="6">
        <f>SUM(Grandview_Inventory[[#This Row],[Intercept]:[det_value]])*Grandview_Inventory[[#This Row],[res_pct]]</f>
        <v>339405.67098000005</v>
      </c>
      <c r="BS1809" s="6">
        <f>Grandview_Inventory[[#This Row],[land_value]]</f>
        <v>51342.318135355803</v>
      </c>
      <c r="BT1809" s="4">
        <f>_xlfn.IFNA(VLOOKUP(Grandview_Inventory[[#This Row],[quality]],Lookups!$A$26:$C$33,3,FALSE),1)</f>
        <v>0.98763855981004833</v>
      </c>
      <c r="BU1809" s="4">
        <f>_xlfn.IFNA(VLOOKUP(Grandview_Inventory[[#This Row],[condition]],Lookups!$A$37:$C$44,3,FALSE),1)</f>
        <v>0.96469275950863709</v>
      </c>
      <c r="BV1809" s="4">
        <f>IF(Grandview_Inventory[[#This Row],[bldg_style]]="",1,_xlfn.IFNA(VLOOKUP(Grandview_Inventory[[#This Row],[decade]],Lookups!$F$29:$H$43,3,FALSE),1))</f>
        <v>0.9871940091910919</v>
      </c>
      <c r="BW1809" s="4">
        <f>_xlfn.IFNA(VLOOKUP(Grandview_Inventory[[#This Row],[living_area_range]],Lookups!$F$47:$H$56,3,FALSE),1)</f>
        <v>0.95799442568048754</v>
      </c>
      <c r="BX1809" s="4">
        <f>AVERAGE(Grandview_Inventory[[#This Row],[qual_adj]:[size_adj]])</f>
        <v>0.97437993854756622</v>
      </c>
      <c r="BY1809" s="6">
        <f>IF(Grandview_Inventory[[#This Row],[pre_res]]&lt;0,0,Grandview_Inventory[[#This Row],[pre_res]]*Grandview_Inventory[[#This Row],[overall_adj]])</f>
        <v>330710.07683218794</v>
      </c>
      <c r="BZ1809" s="6">
        <f>(Grandview_Inventory[[#This Row],[sum_land]]-IF(Grandview_Inventory[[#This Row],[no_utilities]]=1,12000,0))/IF(Grandview_Inventory[[#This Row],[unbuildable]]=1,2,1)</f>
        <v>51342.318135355803</v>
      </c>
      <c r="CA180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09">
        <f>ROUND(Grandview_Inventory[[#This Row],[det_value]]*Lookups!$M$28,-2)</f>
        <v>0</v>
      </c>
      <c r="CC1809">
        <f>IF(ROUND(Grandview_Inventory[[#This Row],[adj_res]]*Lookups!$M$28,-2)&lt;Grandview_Inventory[[#This Row],[min_res]],Grandview_Inventory[[#This Row],[min_res]],ROUND(Grandview_Inventory[[#This Row],[adj_res]]*Lookups!$M$28,-2))</f>
        <v>314200</v>
      </c>
      <c r="CD1809">
        <f>Grandview_Inventory[[#This Row],[final_det]]+Grandview_Inventory[[#This Row],[final_res]]</f>
        <v>314200</v>
      </c>
      <c r="CE1809">
        <f>Grandview_Inventory[[#This Row],[final_land]]+Grandview_Inventory[[#This Row],[final_imp]]+Grandview_Inventory[[#This Row],[crop_value]]</f>
        <v>363000</v>
      </c>
      <c r="CG1809" t="str">
        <f t="shared" si="28"/>
        <v>update valuation set market_land =48800, market_bldg=314200, market_total =363000, market_mdno =401, market_date ='9/10/2023' where link_id = (select link_id from parcel where parcel_year = '2024' and parcel_id = '23092333453');</v>
      </c>
    </row>
    <row r="1810" spans="1:85" x14ac:dyDescent="0.25">
      <c r="A1810">
        <v>23092333454</v>
      </c>
      <c r="B1810">
        <v>0.23</v>
      </c>
      <c r="C1810">
        <v>9913</v>
      </c>
      <c r="D1810" t="s">
        <v>129</v>
      </c>
      <c r="E1810" t="s">
        <v>53</v>
      </c>
      <c r="F1810" t="s">
        <v>53</v>
      </c>
      <c r="G1810">
        <v>4</v>
      </c>
      <c r="H1810" t="s">
        <v>54</v>
      </c>
      <c r="I1810">
        <v>212600</v>
      </c>
      <c r="J1810">
        <v>43800</v>
      </c>
      <c r="K1810">
        <v>0.23</v>
      </c>
      <c r="L181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10">
        <v>0</v>
      </c>
      <c r="N1810">
        <v>0</v>
      </c>
      <c r="O1810">
        <v>0</v>
      </c>
      <c r="P1810">
        <v>13398.7528</v>
      </c>
      <c r="Q1810">
        <v>63903</v>
      </c>
      <c r="R1810">
        <f>(Grandview_Inventory[[#This Row],[ln_acres]]*Grandview_Inventory[[#This Row],[coeff]])+Grandview_Inventory[[#This Row],[const]]</f>
        <v>44211.174981080039</v>
      </c>
      <c r="S1810" t="s">
        <v>61</v>
      </c>
      <c r="T1810">
        <v>1</v>
      </c>
      <c r="U1810" t="s">
        <v>65</v>
      </c>
      <c r="V1810" t="s">
        <v>67</v>
      </c>
      <c r="W1810">
        <v>0</v>
      </c>
      <c r="X1810">
        <v>0</v>
      </c>
      <c r="Y1810">
        <v>44</v>
      </c>
      <c r="Z1810">
        <v>49</v>
      </c>
      <c r="AA1810">
        <v>50</v>
      </c>
      <c r="AB1810">
        <v>1500</v>
      </c>
      <c r="AC1810">
        <v>1404</v>
      </c>
      <c r="AD1810">
        <v>1404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350</v>
      </c>
      <c r="AN1810">
        <v>0</v>
      </c>
      <c r="AO1810">
        <v>350</v>
      </c>
      <c r="AP1810">
        <v>8</v>
      </c>
      <c r="AQ1810">
        <v>0</v>
      </c>
      <c r="AR1810">
        <v>0</v>
      </c>
      <c r="AS1810" t="s">
        <v>58</v>
      </c>
      <c r="AT1810">
        <v>1</v>
      </c>
      <c r="AU1810" t="s">
        <v>63</v>
      </c>
      <c r="AV1810" t="s">
        <v>64</v>
      </c>
      <c r="AW1810">
        <v>1</v>
      </c>
      <c r="AX1810">
        <v>2</v>
      </c>
      <c r="AY1810">
        <v>0</v>
      </c>
      <c r="AZ1810">
        <v>23200</v>
      </c>
      <c r="BA1810">
        <v>100</v>
      </c>
      <c r="BB1810">
        <v>100</v>
      </c>
      <c r="BC1810">
        <v>100</v>
      </c>
      <c r="BD1810">
        <v>100</v>
      </c>
      <c r="BE1810">
        <v>1</v>
      </c>
      <c r="BF1810">
        <v>15000</v>
      </c>
      <c r="BG1810">
        <v>1000</v>
      </c>
      <c r="BH1810" s="6">
        <f>Grandview_Inventory[[#This Row],[land_extract]]*Lookups!$B$3</f>
        <v>51342.318135355803</v>
      </c>
      <c r="BI1810" s="6">
        <f>IF(Grandview_Inventory[[#This Row],[bldg_style]]="",0,Lookups!$B$2)</f>
        <v>155833.95000000001</v>
      </c>
      <c r="BJ1810" s="6">
        <f>_xlfn.IFNA(VLOOKUP(Grandview_Inventory[[#This Row],[quality]],Lookups!$H$2:$J$14,3,FALSE),0)</f>
        <v>2251</v>
      </c>
      <c r="BK1810" s="6">
        <f>_xlfn.IFNA(VLOOKUP(Grandview_Inventory[[#This Row],[condition]],Lookups!$H$17:$J$24,3,FALSE),0)</f>
        <v>22342</v>
      </c>
      <c r="BL1810" s="6">
        <f>Grandview_Inventory[[#This Row],[Eff_Age]]*Lookups!$B$14</f>
        <v>-10523.330399999999</v>
      </c>
      <c r="BM1810" s="6">
        <f>Grandview_Inventory[[#This Row],[living_area]]*Lookups!$B$15</f>
        <v>87582.717612000008</v>
      </c>
      <c r="BN1810" s="6">
        <f>Grandview_Inventory[[#This Row],[Fin BSMT]]*Lookups!$B$16</f>
        <v>0</v>
      </c>
      <c r="BO1810" s="6">
        <f>(Grandview_Inventory[[#This Row],[att_gar]]+Grandview_Inventory[[#This Row],[bltin_gar]])*Lookups!$B$17</f>
        <v>0</v>
      </c>
      <c r="BP1810" s="6">
        <f>Grandview_Inventory[[#This Row],[Plumbing Fixtures]]*Lookups!$B$18</f>
        <v>16083.5344</v>
      </c>
      <c r="BQ1810" s="6">
        <f>Grandview_Inventory[[#This Row],[detatched_value]]*Lookups!$B$19</f>
        <v>19645.87832</v>
      </c>
      <c r="BR1810" s="6">
        <f>SUM(Grandview_Inventory[[#This Row],[Intercept]:[det_value]])*Grandview_Inventory[[#This Row],[res_pct]]</f>
        <v>293215.74993200001</v>
      </c>
      <c r="BS1810" s="6">
        <f>Grandview_Inventory[[#This Row],[land_value]]</f>
        <v>51342.318135355803</v>
      </c>
      <c r="BT1810" s="4">
        <f>_xlfn.IFNA(VLOOKUP(Grandview_Inventory[[#This Row],[quality]],Lookups!$A$26:$C$33,3,FALSE),1)</f>
        <v>0.98763855981004833</v>
      </c>
      <c r="BU1810" s="4">
        <f>_xlfn.IFNA(VLOOKUP(Grandview_Inventory[[#This Row],[condition]],Lookups!$A$37:$C$44,3,FALSE),1)</f>
        <v>0.97383723671140243</v>
      </c>
      <c r="BV1810" s="4">
        <f>IF(Grandview_Inventory[[#This Row],[bldg_style]]="",1,_xlfn.IFNA(VLOOKUP(Grandview_Inventory[[#This Row],[decade]],Lookups!$F$29:$H$43,3,FALSE),1))</f>
        <v>0.9871940091910919</v>
      </c>
      <c r="BW1810" s="4">
        <f>_xlfn.IFNA(VLOOKUP(Grandview_Inventory[[#This Row],[living_area_range]],Lookups!$F$47:$H$56,3,FALSE),1)</f>
        <v>0.96135087979789358</v>
      </c>
      <c r="BX1810" s="4">
        <f>AVERAGE(Grandview_Inventory[[#This Row],[qual_adj]:[size_adj]])</f>
        <v>0.97750517137760906</v>
      </c>
      <c r="BY1810" s="6">
        <f>IF(Grandview_Inventory[[#This Row],[pre_res]]&lt;0,0,Grandview_Inventory[[#This Row],[pre_res]]*Grandview_Inventory[[#This Row],[overall_adj]])</f>
        <v>286619.9118878938</v>
      </c>
      <c r="BZ1810" s="6">
        <f>(Grandview_Inventory[[#This Row],[sum_land]]-IF(Grandview_Inventory[[#This Row],[no_utilities]]=1,12000,0))/IF(Grandview_Inventory[[#This Row],[unbuildable]]=1,2,1)</f>
        <v>51342.318135355803</v>
      </c>
      <c r="CA181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10">
        <f>ROUND(Grandview_Inventory[[#This Row],[det_value]]*Lookups!$M$28,-2)</f>
        <v>18700</v>
      </c>
      <c r="CC1810">
        <f>IF(ROUND(Grandview_Inventory[[#This Row],[adj_res]]*Lookups!$M$28,-2)&lt;Grandview_Inventory[[#This Row],[min_res]],Grandview_Inventory[[#This Row],[min_res]],ROUND(Grandview_Inventory[[#This Row],[adj_res]]*Lookups!$M$28,-2))</f>
        <v>272300</v>
      </c>
      <c r="CD1810">
        <f>Grandview_Inventory[[#This Row],[final_det]]+Grandview_Inventory[[#This Row],[final_res]]</f>
        <v>291000</v>
      </c>
      <c r="CE1810">
        <f>Grandview_Inventory[[#This Row],[final_land]]+Grandview_Inventory[[#This Row],[final_imp]]+Grandview_Inventory[[#This Row],[crop_value]]</f>
        <v>339800</v>
      </c>
      <c r="CG1810" t="str">
        <f t="shared" si="28"/>
        <v>update valuation set market_land =48800, market_bldg=291000, market_total =339800, market_mdno =401, market_date ='9/10/2023' where link_id = (select link_id from parcel where parcel_year = '2024' and parcel_id = '23092333454');</v>
      </c>
    </row>
    <row r="1811" spans="1:85" x14ac:dyDescent="0.25">
      <c r="A1811">
        <v>23092333455</v>
      </c>
      <c r="B1811">
        <v>0.23</v>
      </c>
      <c r="C1811">
        <v>9836</v>
      </c>
      <c r="D1811" t="s">
        <v>129</v>
      </c>
      <c r="E1811" t="s">
        <v>53</v>
      </c>
      <c r="F1811" t="s">
        <v>53</v>
      </c>
      <c r="G1811">
        <v>4</v>
      </c>
      <c r="H1811" t="s">
        <v>54</v>
      </c>
      <c r="I1811">
        <v>312300</v>
      </c>
      <c r="J1811">
        <v>43800</v>
      </c>
      <c r="K1811">
        <v>0.23</v>
      </c>
      <c r="L181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11">
        <v>0</v>
      </c>
      <c r="N1811">
        <v>0</v>
      </c>
      <c r="O1811">
        <v>0</v>
      </c>
      <c r="P1811">
        <v>13398.7528</v>
      </c>
      <c r="Q1811">
        <v>63903</v>
      </c>
      <c r="R1811">
        <f>(Grandview_Inventory[[#This Row],[ln_acres]]*Grandview_Inventory[[#This Row],[coeff]])+Grandview_Inventory[[#This Row],[const]]</f>
        <v>44211.174981080039</v>
      </c>
      <c r="S1811" t="s">
        <v>74</v>
      </c>
      <c r="T1811">
        <v>1</v>
      </c>
      <c r="U1811" t="s">
        <v>64</v>
      </c>
      <c r="V1811" t="s">
        <v>69</v>
      </c>
      <c r="W1811">
        <v>0</v>
      </c>
      <c r="X1811">
        <v>0</v>
      </c>
      <c r="Y1811">
        <v>44</v>
      </c>
      <c r="Z1811">
        <v>49</v>
      </c>
      <c r="AA1811">
        <v>50</v>
      </c>
      <c r="AB1811">
        <v>2500</v>
      </c>
      <c r="AC1811">
        <v>2148</v>
      </c>
      <c r="AD1811">
        <v>1637</v>
      </c>
      <c r="AE1811">
        <v>0</v>
      </c>
      <c r="AF1811">
        <v>0</v>
      </c>
      <c r="AG1811">
        <v>511</v>
      </c>
      <c r="AH1811">
        <v>0</v>
      </c>
      <c r="AI1811">
        <v>0</v>
      </c>
      <c r="AJ1811">
        <v>441</v>
      </c>
      <c r="AK1811">
        <v>0</v>
      </c>
      <c r="AL1811">
        <v>347</v>
      </c>
      <c r="AM1811">
        <v>0</v>
      </c>
      <c r="AN1811">
        <v>48</v>
      </c>
      <c r="AO1811">
        <v>0</v>
      </c>
      <c r="AP1811">
        <v>11</v>
      </c>
      <c r="AQ1811">
        <v>0</v>
      </c>
      <c r="AR1811">
        <v>2</v>
      </c>
      <c r="AS1811" t="s">
        <v>58</v>
      </c>
      <c r="AT1811">
        <v>1</v>
      </c>
      <c r="AU1811" t="s">
        <v>63</v>
      </c>
      <c r="AV1811" t="s">
        <v>64</v>
      </c>
      <c r="AW1811">
        <v>1</v>
      </c>
      <c r="AX1811">
        <v>4</v>
      </c>
      <c r="AY1811">
        <v>0</v>
      </c>
      <c r="AZ1811">
        <v>27300</v>
      </c>
      <c r="BA1811">
        <v>100</v>
      </c>
      <c r="BB1811">
        <v>100</v>
      </c>
      <c r="BC1811">
        <v>100</v>
      </c>
      <c r="BD1811">
        <v>100</v>
      </c>
      <c r="BE1811">
        <v>1</v>
      </c>
      <c r="BF1811">
        <v>15000</v>
      </c>
      <c r="BG1811">
        <v>1000</v>
      </c>
      <c r="BH1811" s="6">
        <f>Grandview_Inventory[[#This Row],[land_extract]]*Lookups!$B$3</f>
        <v>51342.318135355803</v>
      </c>
      <c r="BI1811" s="6">
        <f>IF(Grandview_Inventory[[#This Row],[bldg_style]]="",0,Lookups!$B$2)</f>
        <v>155833.95000000001</v>
      </c>
      <c r="BJ1811" s="6">
        <f>_xlfn.IFNA(VLOOKUP(Grandview_Inventory[[#This Row],[quality]],Lookups!$H$2:$J$14,3,FALSE),0)</f>
        <v>20768</v>
      </c>
      <c r="BK1811" s="6">
        <f>_xlfn.IFNA(VLOOKUP(Grandview_Inventory[[#This Row],[condition]],Lookups!$H$17:$J$24,3,FALSE),0)</f>
        <v>-4503</v>
      </c>
      <c r="BL1811" s="6">
        <f>Grandview_Inventory[[#This Row],[Eff_Age]]*Lookups!$B$14</f>
        <v>-10523.330399999999</v>
      </c>
      <c r="BM1811" s="6">
        <f>Grandview_Inventory[[#This Row],[living_area]]*Lookups!$B$15</f>
        <v>133994.07224400001</v>
      </c>
      <c r="BN1811" s="6">
        <f>Grandview_Inventory[[#This Row],[Fin BSMT]]*Lookups!$B$16</f>
        <v>-13847.711640000001</v>
      </c>
      <c r="BO1811" s="6">
        <f>(Grandview_Inventory[[#This Row],[att_gar]]+Grandview_Inventory[[#This Row],[bltin_gar]])*Lookups!$B$17</f>
        <v>38596.512716999998</v>
      </c>
      <c r="BP1811" s="6">
        <f>Grandview_Inventory[[#This Row],[Plumbing Fixtures]]*Lookups!$B$18</f>
        <v>22114.859800000002</v>
      </c>
      <c r="BQ1811" s="6">
        <f>Grandview_Inventory[[#This Row],[detatched_value]]*Lookups!$B$19</f>
        <v>23117.77923</v>
      </c>
      <c r="BR1811" s="6">
        <f>SUM(Grandview_Inventory[[#This Row],[Intercept]:[det_value]])*Grandview_Inventory[[#This Row],[res_pct]]</f>
        <v>365551.13195099996</v>
      </c>
      <c r="BS1811" s="6">
        <f>Grandview_Inventory[[#This Row],[land_value]]</f>
        <v>51342.318135355803</v>
      </c>
      <c r="BT1811" s="4">
        <f>_xlfn.IFNA(VLOOKUP(Grandview_Inventory[[#This Row],[quality]],Lookups!$A$26:$C$33,3,FALSE),1)</f>
        <v>0.94960540378902636</v>
      </c>
      <c r="BU1811" s="4">
        <f>_xlfn.IFNA(VLOOKUP(Grandview_Inventory[[#This Row],[condition]],Lookups!$A$37:$C$44,3,FALSE),1)</f>
        <v>0.96469275950863709</v>
      </c>
      <c r="BV1811" s="4">
        <f>IF(Grandview_Inventory[[#This Row],[bldg_style]]="",1,_xlfn.IFNA(VLOOKUP(Grandview_Inventory[[#This Row],[decade]],Lookups!$F$29:$H$43,3,FALSE),1))</f>
        <v>0.9871940091910919</v>
      </c>
      <c r="BW1811" s="4">
        <f>_xlfn.IFNA(VLOOKUP(Grandview_Inventory[[#This Row],[living_area_range]],Lookups!$F$47:$H$56,3,FALSE),1)</f>
        <v>0.95799442568048754</v>
      </c>
      <c r="BX1811" s="4">
        <f>AVERAGE(Grandview_Inventory[[#This Row],[qual_adj]:[size_adj]])</f>
        <v>0.96487164954231075</v>
      </c>
      <c r="BY1811" s="6">
        <f>IF(Grandview_Inventory[[#This Row],[pre_res]]&lt;0,0,Grandview_Inventory[[#This Row],[pre_res]]*Grandview_Inventory[[#This Row],[overall_adj]])</f>
        <v>352709.92367762025</v>
      </c>
      <c r="BZ1811" s="6">
        <f>(Grandview_Inventory[[#This Row],[sum_land]]-IF(Grandview_Inventory[[#This Row],[no_utilities]]=1,12000,0))/IF(Grandview_Inventory[[#This Row],[unbuildable]]=1,2,1)</f>
        <v>51342.318135355803</v>
      </c>
      <c r="CA181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11">
        <f>ROUND(Grandview_Inventory[[#This Row],[det_value]]*Lookups!$M$28,-2)</f>
        <v>22000</v>
      </c>
      <c r="CC1811">
        <f>IF(ROUND(Grandview_Inventory[[#This Row],[adj_res]]*Lookups!$M$28,-2)&lt;Grandview_Inventory[[#This Row],[min_res]],Grandview_Inventory[[#This Row],[min_res]],ROUND(Grandview_Inventory[[#This Row],[adj_res]]*Lookups!$M$28,-2))</f>
        <v>335100</v>
      </c>
      <c r="CD1811">
        <f>Grandview_Inventory[[#This Row],[final_det]]+Grandview_Inventory[[#This Row],[final_res]]</f>
        <v>357100</v>
      </c>
      <c r="CE1811">
        <f>Grandview_Inventory[[#This Row],[final_land]]+Grandview_Inventory[[#This Row],[final_imp]]+Grandview_Inventory[[#This Row],[crop_value]]</f>
        <v>405900</v>
      </c>
      <c r="CG1811" t="str">
        <f t="shared" si="28"/>
        <v>update valuation set market_land =48800, market_bldg=357100, market_total =405900, market_mdno =401, market_date ='9/10/2023' where link_id = (select link_id from parcel where parcel_year = '2024' and parcel_id = '23092333455');</v>
      </c>
    </row>
    <row r="1812" spans="1:85" x14ac:dyDescent="0.25">
      <c r="A1812">
        <v>23092333456</v>
      </c>
      <c r="B1812">
        <v>0.21</v>
      </c>
      <c r="C1812">
        <v>8984</v>
      </c>
      <c r="D1812" t="s">
        <v>129</v>
      </c>
      <c r="E1812" t="s">
        <v>53</v>
      </c>
      <c r="F1812" t="s">
        <v>53</v>
      </c>
      <c r="G1812">
        <v>4</v>
      </c>
      <c r="H1812" t="s">
        <v>54</v>
      </c>
      <c r="I1812">
        <v>202300</v>
      </c>
      <c r="J1812">
        <v>39300</v>
      </c>
      <c r="K1812">
        <v>0.21</v>
      </c>
      <c r="L181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12">
        <v>0</v>
      </c>
      <c r="N1812">
        <v>0</v>
      </c>
      <c r="O1812">
        <v>0</v>
      </c>
      <c r="P1812">
        <v>13398.7528</v>
      </c>
      <c r="Q1812">
        <v>63903</v>
      </c>
      <c r="R1812">
        <f>(Grandview_Inventory[[#This Row],[ln_acres]]*Grandview_Inventory[[#This Row],[coeff]])+Grandview_Inventory[[#This Row],[const]]</f>
        <v>42992.266613125081</v>
      </c>
      <c r="S1812" t="s">
        <v>61</v>
      </c>
      <c r="T1812">
        <v>1</v>
      </c>
      <c r="U1812" t="s">
        <v>65</v>
      </c>
      <c r="V1812" t="s">
        <v>69</v>
      </c>
      <c r="W1812">
        <v>0</v>
      </c>
      <c r="X1812">
        <v>0</v>
      </c>
      <c r="Y1812">
        <v>44</v>
      </c>
      <c r="Z1812">
        <v>47</v>
      </c>
      <c r="AA1812">
        <v>50</v>
      </c>
      <c r="AB1812">
        <v>2000</v>
      </c>
      <c r="AC1812">
        <v>1552</v>
      </c>
      <c r="AD1812">
        <v>1552</v>
      </c>
      <c r="AE1812">
        <v>0</v>
      </c>
      <c r="AF1812">
        <v>0</v>
      </c>
      <c r="AG1812">
        <v>0</v>
      </c>
      <c r="AH1812">
        <v>0</v>
      </c>
      <c r="AI1812">
        <v>672</v>
      </c>
      <c r="AJ1812">
        <v>0</v>
      </c>
      <c r="AK1812">
        <v>0</v>
      </c>
      <c r="AL1812">
        <v>0</v>
      </c>
      <c r="AM1812">
        <v>210</v>
      </c>
      <c r="AN1812">
        <v>126</v>
      </c>
      <c r="AO1812">
        <v>210</v>
      </c>
      <c r="AP1812">
        <v>8</v>
      </c>
      <c r="AQ1812">
        <v>0</v>
      </c>
      <c r="AR1812">
        <v>0</v>
      </c>
      <c r="AS1812" t="s">
        <v>58</v>
      </c>
      <c r="AT1812">
        <v>1</v>
      </c>
      <c r="AU1812" t="s">
        <v>63</v>
      </c>
      <c r="AV1812" t="s">
        <v>64</v>
      </c>
      <c r="AW1812">
        <v>1</v>
      </c>
      <c r="AX1812">
        <v>3</v>
      </c>
      <c r="AY1812">
        <v>0</v>
      </c>
      <c r="AZ1812">
        <v>0</v>
      </c>
      <c r="BA1812">
        <v>100</v>
      </c>
      <c r="BB1812">
        <v>100</v>
      </c>
      <c r="BC1812">
        <v>100</v>
      </c>
      <c r="BD1812">
        <v>100</v>
      </c>
      <c r="BE1812">
        <v>1</v>
      </c>
      <c r="BF1812">
        <v>15000</v>
      </c>
      <c r="BG1812">
        <v>1000</v>
      </c>
      <c r="BH1812" s="6">
        <f>Grandview_Inventory[[#This Row],[land_extract]]*Lookups!$B$3</f>
        <v>49926.8031387023</v>
      </c>
      <c r="BI1812" s="6">
        <f>IF(Grandview_Inventory[[#This Row],[bldg_style]]="",0,Lookups!$B$2)</f>
        <v>155833.95000000001</v>
      </c>
      <c r="BJ1812" s="6">
        <f>_xlfn.IFNA(VLOOKUP(Grandview_Inventory[[#This Row],[quality]],Lookups!$H$2:$J$14,3,FALSE),0)</f>
        <v>2251</v>
      </c>
      <c r="BK1812" s="6">
        <f>_xlfn.IFNA(VLOOKUP(Grandview_Inventory[[#This Row],[condition]],Lookups!$H$17:$J$24,3,FALSE),0)</f>
        <v>-4503</v>
      </c>
      <c r="BL1812" s="6">
        <f>Grandview_Inventory[[#This Row],[Eff_Age]]*Lookups!$B$14</f>
        <v>-10523.330399999999</v>
      </c>
      <c r="BM1812" s="6">
        <f>Grandview_Inventory[[#This Row],[living_area]]*Lookups!$B$15</f>
        <v>96815.083855999997</v>
      </c>
      <c r="BN1812" s="6">
        <f>Grandview_Inventory[[#This Row],[Fin BSMT]]*Lookups!$B$16</f>
        <v>0</v>
      </c>
      <c r="BO1812" s="6">
        <f>(Grandview_Inventory[[#This Row],[att_gar]]+Grandview_Inventory[[#This Row],[bltin_gar]])*Lookups!$B$17</f>
        <v>58813.733663999999</v>
      </c>
      <c r="BP1812" s="6">
        <f>Grandview_Inventory[[#This Row],[Plumbing Fixtures]]*Lookups!$B$18</f>
        <v>16083.5344</v>
      </c>
      <c r="BQ1812" s="6">
        <f>Grandview_Inventory[[#This Row],[detatched_value]]*Lookups!$B$19</f>
        <v>0</v>
      </c>
      <c r="BR1812" s="6">
        <f>SUM(Grandview_Inventory[[#This Row],[Intercept]:[det_value]])*Grandview_Inventory[[#This Row],[res_pct]]</f>
        <v>314770.97152000002</v>
      </c>
      <c r="BS1812" s="6">
        <f>Grandview_Inventory[[#This Row],[land_value]]</f>
        <v>49926.8031387023</v>
      </c>
      <c r="BT1812" s="4">
        <f>_xlfn.IFNA(VLOOKUP(Grandview_Inventory[[#This Row],[quality]],Lookups!$A$26:$C$33,3,FALSE),1)</f>
        <v>0.98763855981004833</v>
      </c>
      <c r="BU1812" s="4">
        <f>_xlfn.IFNA(VLOOKUP(Grandview_Inventory[[#This Row],[condition]],Lookups!$A$37:$C$44,3,FALSE),1)</f>
        <v>0.96469275950863709</v>
      </c>
      <c r="BV1812" s="4">
        <f>IF(Grandview_Inventory[[#This Row],[bldg_style]]="",1,_xlfn.IFNA(VLOOKUP(Grandview_Inventory[[#This Row],[decade]],Lookups!$F$29:$H$43,3,FALSE),1))</f>
        <v>0.9871940091910919</v>
      </c>
      <c r="BW1812" s="4">
        <f>_xlfn.IFNA(VLOOKUP(Grandview_Inventory[[#This Row],[living_area_range]],Lookups!$F$47:$H$56,3,FALSE),1)</f>
        <v>0.96120133463014379</v>
      </c>
      <c r="BX1812" s="4">
        <f>AVERAGE(Grandview_Inventory[[#This Row],[qual_adj]:[size_adj]])</f>
        <v>0.97518166578498033</v>
      </c>
      <c r="BY1812" s="6">
        <f>IF(Grandview_Inventory[[#This Row],[pre_res]]&lt;0,0,Grandview_Inventory[[#This Row],[pre_res]]*Grandview_Inventory[[#This Row],[overall_adj]])</f>
        <v>306958.88034763024</v>
      </c>
      <c r="BZ1812" s="6">
        <f>(Grandview_Inventory[[#This Row],[sum_land]]-IF(Grandview_Inventory[[#This Row],[no_utilities]]=1,12000,0))/IF(Grandview_Inventory[[#This Row],[unbuildable]]=1,2,1)</f>
        <v>49926.8031387023</v>
      </c>
      <c r="CA181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12">
        <f>ROUND(Grandview_Inventory[[#This Row],[det_value]]*Lookups!$M$28,-2)</f>
        <v>0</v>
      </c>
      <c r="CC1812">
        <f>IF(ROUND(Grandview_Inventory[[#This Row],[adj_res]]*Lookups!$M$28,-2)&lt;Grandview_Inventory[[#This Row],[min_res]],Grandview_Inventory[[#This Row],[min_res]],ROUND(Grandview_Inventory[[#This Row],[adj_res]]*Lookups!$M$28,-2))</f>
        <v>291600</v>
      </c>
      <c r="CD1812">
        <f>Grandview_Inventory[[#This Row],[final_det]]+Grandview_Inventory[[#This Row],[final_res]]</f>
        <v>291600</v>
      </c>
      <c r="CE1812">
        <f>Grandview_Inventory[[#This Row],[final_land]]+Grandview_Inventory[[#This Row],[final_imp]]+Grandview_Inventory[[#This Row],[crop_value]]</f>
        <v>339000</v>
      </c>
      <c r="CG1812" t="str">
        <f t="shared" si="28"/>
        <v>update valuation set market_land =47400, market_bldg=291600, market_total =339000, market_mdno =401, market_date ='9/10/2023' where link_id = (select link_id from parcel where parcel_year = '2024' and parcel_id = '23092333456');</v>
      </c>
    </row>
    <row r="1813" spans="1:85" x14ac:dyDescent="0.25">
      <c r="A1813">
        <v>23092333457</v>
      </c>
      <c r="B1813">
        <v>0.21</v>
      </c>
      <c r="C1813">
        <v>9000</v>
      </c>
      <c r="D1813" t="s">
        <v>129</v>
      </c>
      <c r="E1813" t="s">
        <v>53</v>
      </c>
      <c r="F1813" t="s">
        <v>53</v>
      </c>
      <c r="G1813">
        <v>4</v>
      </c>
      <c r="H1813" t="s">
        <v>54</v>
      </c>
      <c r="I1813">
        <v>229800</v>
      </c>
      <c r="J1813">
        <v>39300</v>
      </c>
      <c r="K1813">
        <v>0.21</v>
      </c>
      <c r="L181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13">
        <v>0</v>
      </c>
      <c r="N1813">
        <v>0</v>
      </c>
      <c r="O1813">
        <v>0</v>
      </c>
      <c r="P1813">
        <v>13398.7528</v>
      </c>
      <c r="Q1813">
        <v>63903</v>
      </c>
      <c r="R1813">
        <f>(Grandview_Inventory[[#This Row],[ln_acres]]*Grandview_Inventory[[#This Row],[coeff]])+Grandview_Inventory[[#This Row],[const]]</f>
        <v>42992.266613125081</v>
      </c>
      <c r="S1813" t="s">
        <v>77</v>
      </c>
      <c r="T1813">
        <v>1</v>
      </c>
      <c r="U1813" t="s">
        <v>65</v>
      </c>
      <c r="V1813" t="s">
        <v>69</v>
      </c>
      <c r="W1813">
        <v>0</v>
      </c>
      <c r="X1813">
        <v>0</v>
      </c>
      <c r="Y1813">
        <v>44</v>
      </c>
      <c r="Z1813">
        <v>47</v>
      </c>
      <c r="AA1813">
        <v>50</v>
      </c>
      <c r="AB1813">
        <v>2500</v>
      </c>
      <c r="AC1813">
        <v>2484</v>
      </c>
      <c r="AD1813">
        <v>1588</v>
      </c>
      <c r="AE1813">
        <v>0</v>
      </c>
      <c r="AF1813">
        <v>0</v>
      </c>
      <c r="AG1813">
        <v>896</v>
      </c>
      <c r="AH1813">
        <v>0</v>
      </c>
      <c r="AI1813">
        <v>0</v>
      </c>
      <c r="AJ1813">
        <v>616</v>
      </c>
      <c r="AK1813">
        <v>0</v>
      </c>
      <c r="AL1813">
        <v>160</v>
      </c>
      <c r="AM1813">
        <v>96</v>
      </c>
      <c r="AN1813">
        <v>0</v>
      </c>
      <c r="AO1813">
        <v>160</v>
      </c>
      <c r="AP1813">
        <v>10</v>
      </c>
      <c r="AQ1813">
        <v>0</v>
      </c>
      <c r="AR1813">
        <v>0</v>
      </c>
      <c r="AS1813" t="s">
        <v>58</v>
      </c>
      <c r="AT1813">
        <v>1</v>
      </c>
      <c r="AU1813" t="s">
        <v>63</v>
      </c>
      <c r="AV1813" t="s">
        <v>64</v>
      </c>
      <c r="AW1813">
        <v>1</v>
      </c>
      <c r="AX1813">
        <v>3</v>
      </c>
      <c r="AY1813">
        <v>0</v>
      </c>
      <c r="AZ1813">
        <v>0</v>
      </c>
      <c r="BA1813">
        <v>100</v>
      </c>
      <c r="BB1813">
        <v>100</v>
      </c>
      <c r="BC1813">
        <v>100</v>
      </c>
      <c r="BD1813">
        <v>100</v>
      </c>
      <c r="BE1813">
        <v>1</v>
      </c>
      <c r="BF1813">
        <v>15000</v>
      </c>
      <c r="BG1813">
        <v>1000</v>
      </c>
      <c r="BH1813" s="6">
        <f>Grandview_Inventory[[#This Row],[land_extract]]*Lookups!$B$3</f>
        <v>49926.8031387023</v>
      </c>
      <c r="BI1813" s="6">
        <f>IF(Grandview_Inventory[[#This Row],[bldg_style]]="",0,Lookups!$B$2)</f>
        <v>155833.95000000001</v>
      </c>
      <c r="BJ1813" s="6">
        <f>_xlfn.IFNA(VLOOKUP(Grandview_Inventory[[#This Row],[quality]],Lookups!$H$2:$J$14,3,FALSE),0)</f>
        <v>2251</v>
      </c>
      <c r="BK1813" s="6">
        <f>_xlfn.IFNA(VLOOKUP(Grandview_Inventory[[#This Row],[condition]],Lookups!$H$17:$J$24,3,FALSE),0)</f>
        <v>-4503</v>
      </c>
      <c r="BL1813" s="6">
        <f>Grandview_Inventory[[#This Row],[Eff_Age]]*Lookups!$B$14</f>
        <v>-10523.330399999999</v>
      </c>
      <c r="BM1813" s="6">
        <f>Grandview_Inventory[[#This Row],[living_area]]*Lookups!$B$15</f>
        <v>154954.038852</v>
      </c>
      <c r="BN1813" s="6">
        <f>Grandview_Inventory[[#This Row],[Fin BSMT]]*Lookups!$B$16</f>
        <v>-24280.919040000001</v>
      </c>
      <c r="BO1813" s="6">
        <f>(Grandview_Inventory[[#This Row],[att_gar]]+Grandview_Inventory[[#This Row],[bltin_gar]])*Lookups!$B$17</f>
        <v>53912.589191999999</v>
      </c>
      <c r="BP1813" s="6">
        <f>Grandview_Inventory[[#This Row],[Plumbing Fixtures]]*Lookups!$B$18</f>
        <v>20104.418000000001</v>
      </c>
      <c r="BQ1813" s="6">
        <f>Grandview_Inventory[[#This Row],[detatched_value]]*Lookups!$B$19</f>
        <v>0</v>
      </c>
      <c r="BR1813" s="6">
        <f>SUM(Grandview_Inventory[[#This Row],[Intercept]:[det_value]])*Grandview_Inventory[[#This Row],[res_pct]]</f>
        <v>347748.74660399999</v>
      </c>
      <c r="BS1813" s="6">
        <f>Grandview_Inventory[[#This Row],[land_value]]</f>
        <v>49926.8031387023</v>
      </c>
      <c r="BT1813" s="4">
        <f>_xlfn.IFNA(VLOOKUP(Grandview_Inventory[[#This Row],[quality]],Lookups!$A$26:$C$33,3,FALSE),1)</f>
        <v>0.98763855981004833</v>
      </c>
      <c r="BU1813" s="4">
        <f>_xlfn.IFNA(VLOOKUP(Grandview_Inventory[[#This Row],[condition]],Lookups!$A$37:$C$44,3,FALSE),1)</f>
        <v>0.96469275950863709</v>
      </c>
      <c r="BV1813" s="4">
        <f>IF(Grandview_Inventory[[#This Row],[bldg_style]]="",1,_xlfn.IFNA(VLOOKUP(Grandview_Inventory[[#This Row],[decade]],Lookups!$F$29:$H$43,3,FALSE),1))</f>
        <v>0.9871940091910919</v>
      </c>
      <c r="BW1813" s="4">
        <f>_xlfn.IFNA(VLOOKUP(Grandview_Inventory[[#This Row],[living_area_range]],Lookups!$F$47:$H$56,3,FALSE),1)</f>
        <v>0.95799442568048754</v>
      </c>
      <c r="BX1813" s="4">
        <f>AVERAGE(Grandview_Inventory[[#This Row],[qual_adj]:[size_adj]])</f>
        <v>0.97437993854756622</v>
      </c>
      <c r="BY1813" s="6">
        <f>IF(Grandview_Inventory[[#This Row],[pre_res]]&lt;0,0,Grandview_Inventory[[#This Row],[pre_res]]*Grandview_Inventory[[#This Row],[overall_adj]])</f>
        <v>338839.40234599868</v>
      </c>
      <c r="BZ1813" s="6">
        <f>(Grandview_Inventory[[#This Row],[sum_land]]-IF(Grandview_Inventory[[#This Row],[no_utilities]]=1,12000,0))/IF(Grandview_Inventory[[#This Row],[unbuildable]]=1,2,1)</f>
        <v>49926.8031387023</v>
      </c>
      <c r="CA181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13">
        <f>ROUND(Grandview_Inventory[[#This Row],[det_value]]*Lookups!$M$28,-2)</f>
        <v>0</v>
      </c>
      <c r="CC1813">
        <f>IF(ROUND(Grandview_Inventory[[#This Row],[adj_res]]*Lookups!$M$28,-2)&lt;Grandview_Inventory[[#This Row],[min_res]],Grandview_Inventory[[#This Row],[min_res]],ROUND(Grandview_Inventory[[#This Row],[adj_res]]*Lookups!$M$28,-2))</f>
        <v>321900</v>
      </c>
      <c r="CD1813">
        <f>Grandview_Inventory[[#This Row],[final_det]]+Grandview_Inventory[[#This Row],[final_res]]</f>
        <v>321900</v>
      </c>
      <c r="CE1813">
        <f>Grandview_Inventory[[#This Row],[final_land]]+Grandview_Inventory[[#This Row],[final_imp]]+Grandview_Inventory[[#This Row],[crop_value]]</f>
        <v>369300</v>
      </c>
      <c r="CG1813" t="str">
        <f t="shared" si="28"/>
        <v>update valuation set market_land =47400, market_bldg=321900, market_total =369300, market_mdno =401, market_date ='9/10/2023' where link_id = (select link_id from parcel where parcel_year = '2024' and parcel_id = '23092333457');</v>
      </c>
    </row>
    <row r="1814" spans="1:85" x14ac:dyDescent="0.25">
      <c r="A1814">
        <v>23092333458</v>
      </c>
      <c r="B1814">
        <v>0.21</v>
      </c>
      <c r="C1814">
        <v>9000</v>
      </c>
      <c r="D1814" t="s">
        <v>129</v>
      </c>
      <c r="E1814" t="s">
        <v>53</v>
      </c>
      <c r="F1814" t="s">
        <v>53</v>
      </c>
      <c r="G1814">
        <v>4</v>
      </c>
      <c r="H1814" t="s">
        <v>54</v>
      </c>
      <c r="I1814">
        <v>263400</v>
      </c>
      <c r="J1814">
        <v>39300</v>
      </c>
      <c r="K1814">
        <v>0.21</v>
      </c>
      <c r="L181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14">
        <v>0</v>
      </c>
      <c r="N1814">
        <v>0</v>
      </c>
      <c r="O1814">
        <v>0</v>
      </c>
      <c r="P1814">
        <v>13398.7528</v>
      </c>
      <c r="Q1814">
        <v>63903</v>
      </c>
      <c r="R1814">
        <f>(Grandview_Inventory[[#This Row],[ln_acres]]*Grandview_Inventory[[#This Row],[coeff]])+Grandview_Inventory[[#This Row],[const]]</f>
        <v>42992.266613125081</v>
      </c>
      <c r="S1814" t="s">
        <v>77</v>
      </c>
      <c r="T1814">
        <v>1</v>
      </c>
      <c r="U1814" t="s">
        <v>65</v>
      </c>
      <c r="V1814" t="s">
        <v>69</v>
      </c>
      <c r="W1814">
        <v>0</v>
      </c>
      <c r="X1814">
        <v>0</v>
      </c>
      <c r="Y1814">
        <v>44</v>
      </c>
      <c r="Z1814">
        <v>48</v>
      </c>
      <c r="AA1814">
        <v>50</v>
      </c>
      <c r="AB1814">
        <v>2500</v>
      </c>
      <c r="AC1814">
        <v>2408</v>
      </c>
      <c r="AD1814">
        <v>1512</v>
      </c>
      <c r="AE1814">
        <v>0</v>
      </c>
      <c r="AF1814">
        <v>0</v>
      </c>
      <c r="AG1814">
        <v>896</v>
      </c>
      <c r="AH1814">
        <v>0</v>
      </c>
      <c r="AI1814">
        <v>0</v>
      </c>
      <c r="AJ1814">
        <v>616</v>
      </c>
      <c r="AK1814">
        <v>560</v>
      </c>
      <c r="AL1814">
        <v>171</v>
      </c>
      <c r="AM1814">
        <v>372</v>
      </c>
      <c r="AN1814">
        <v>0</v>
      </c>
      <c r="AO1814">
        <v>0</v>
      </c>
      <c r="AP1814">
        <v>10</v>
      </c>
      <c r="AQ1814">
        <v>1</v>
      </c>
      <c r="AR1814">
        <v>0</v>
      </c>
      <c r="AS1814" t="s">
        <v>58</v>
      </c>
      <c r="AT1814">
        <v>1</v>
      </c>
      <c r="AU1814" t="s">
        <v>63</v>
      </c>
      <c r="AV1814" t="s">
        <v>64</v>
      </c>
      <c r="AW1814">
        <v>1</v>
      </c>
      <c r="AX1814">
        <v>3</v>
      </c>
      <c r="AY1814">
        <v>0</v>
      </c>
      <c r="AZ1814">
        <v>6100</v>
      </c>
      <c r="BA1814">
        <v>100</v>
      </c>
      <c r="BB1814">
        <v>100</v>
      </c>
      <c r="BC1814">
        <v>100</v>
      </c>
      <c r="BD1814">
        <v>100</v>
      </c>
      <c r="BE1814">
        <v>1</v>
      </c>
      <c r="BF1814">
        <v>15000</v>
      </c>
      <c r="BG1814">
        <v>1000</v>
      </c>
      <c r="BH1814" s="6">
        <f>Grandview_Inventory[[#This Row],[land_extract]]*Lookups!$B$3</f>
        <v>49926.8031387023</v>
      </c>
      <c r="BI1814" s="6">
        <f>IF(Grandview_Inventory[[#This Row],[bldg_style]]="",0,Lookups!$B$2)</f>
        <v>155833.95000000001</v>
      </c>
      <c r="BJ1814" s="6">
        <f>_xlfn.IFNA(VLOOKUP(Grandview_Inventory[[#This Row],[quality]],Lookups!$H$2:$J$14,3,FALSE),0)</f>
        <v>2251</v>
      </c>
      <c r="BK1814" s="6">
        <f>_xlfn.IFNA(VLOOKUP(Grandview_Inventory[[#This Row],[condition]],Lookups!$H$17:$J$24,3,FALSE),0)</f>
        <v>-4503</v>
      </c>
      <c r="BL1814" s="6">
        <f>Grandview_Inventory[[#This Row],[Eff_Age]]*Lookups!$B$14</f>
        <v>-10523.330399999999</v>
      </c>
      <c r="BM1814" s="6">
        <f>Grandview_Inventory[[#This Row],[living_area]]*Lookups!$B$15</f>
        <v>150213.09402399999</v>
      </c>
      <c r="BN1814" s="6">
        <f>Grandview_Inventory[[#This Row],[Fin BSMT]]*Lookups!$B$16</f>
        <v>-24280.919040000001</v>
      </c>
      <c r="BO1814" s="6">
        <f>(Grandview_Inventory[[#This Row],[att_gar]]+Grandview_Inventory[[#This Row],[bltin_gar]])*Lookups!$B$17</f>
        <v>53912.589191999999</v>
      </c>
      <c r="BP1814" s="6">
        <f>Grandview_Inventory[[#This Row],[Plumbing Fixtures]]*Lookups!$B$18</f>
        <v>20104.418000000001</v>
      </c>
      <c r="BQ1814" s="6">
        <f>Grandview_Inventory[[#This Row],[detatched_value]]*Lookups!$B$19</f>
        <v>5165.5111099999995</v>
      </c>
      <c r="BR1814" s="6">
        <f>SUM(Grandview_Inventory[[#This Row],[Intercept]:[det_value]])*Grandview_Inventory[[#This Row],[res_pct]]</f>
        <v>348173.31288599997</v>
      </c>
      <c r="BS1814" s="6">
        <f>Grandview_Inventory[[#This Row],[land_value]]</f>
        <v>49926.8031387023</v>
      </c>
      <c r="BT1814" s="4">
        <f>_xlfn.IFNA(VLOOKUP(Grandview_Inventory[[#This Row],[quality]],Lookups!$A$26:$C$33,3,FALSE),1)</f>
        <v>0.98763855981004833</v>
      </c>
      <c r="BU1814" s="4">
        <f>_xlfn.IFNA(VLOOKUP(Grandview_Inventory[[#This Row],[condition]],Lookups!$A$37:$C$44,3,FALSE),1)</f>
        <v>0.96469275950863709</v>
      </c>
      <c r="BV1814" s="4">
        <f>IF(Grandview_Inventory[[#This Row],[bldg_style]]="",1,_xlfn.IFNA(VLOOKUP(Grandview_Inventory[[#This Row],[decade]],Lookups!$F$29:$H$43,3,FALSE),1))</f>
        <v>0.9871940091910919</v>
      </c>
      <c r="BW1814" s="4">
        <f>_xlfn.IFNA(VLOOKUP(Grandview_Inventory[[#This Row],[living_area_range]],Lookups!$F$47:$H$56,3,FALSE),1)</f>
        <v>0.95799442568048754</v>
      </c>
      <c r="BX1814" s="4">
        <f>AVERAGE(Grandview_Inventory[[#This Row],[qual_adj]:[size_adj]])</f>
        <v>0.97437993854756622</v>
      </c>
      <c r="BY1814" s="6">
        <f>IF(Grandview_Inventory[[#This Row],[pre_res]]&lt;0,0,Grandview_Inventory[[#This Row],[pre_res]]*Grandview_Inventory[[#This Row],[overall_adj]])</f>
        <v>339253.09121376317</v>
      </c>
      <c r="BZ1814" s="6">
        <f>(Grandview_Inventory[[#This Row],[sum_land]]-IF(Grandview_Inventory[[#This Row],[no_utilities]]=1,12000,0))/IF(Grandview_Inventory[[#This Row],[unbuildable]]=1,2,1)</f>
        <v>49926.8031387023</v>
      </c>
      <c r="CA181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14">
        <f>ROUND(Grandview_Inventory[[#This Row],[det_value]]*Lookups!$M$28,-2)</f>
        <v>4900</v>
      </c>
      <c r="CC1814">
        <f>IF(ROUND(Grandview_Inventory[[#This Row],[adj_res]]*Lookups!$M$28,-2)&lt;Grandview_Inventory[[#This Row],[min_res]],Grandview_Inventory[[#This Row],[min_res]],ROUND(Grandview_Inventory[[#This Row],[adj_res]]*Lookups!$M$28,-2))</f>
        <v>322300</v>
      </c>
      <c r="CD1814">
        <f>Grandview_Inventory[[#This Row],[final_det]]+Grandview_Inventory[[#This Row],[final_res]]</f>
        <v>327200</v>
      </c>
      <c r="CE1814">
        <f>Grandview_Inventory[[#This Row],[final_land]]+Grandview_Inventory[[#This Row],[final_imp]]+Grandview_Inventory[[#This Row],[crop_value]]</f>
        <v>374600</v>
      </c>
      <c r="CG1814" t="str">
        <f t="shared" si="28"/>
        <v>update valuation set market_land =47400, market_bldg=327200, market_total =374600, market_mdno =401, market_date ='9/10/2023' where link_id = (select link_id from parcel where parcel_year = '2024' and parcel_id = '23092333458');</v>
      </c>
    </row>
    <row r="1815" spans="1:85" x14ac:dyDescent="0.25">
      <c r="A1815">
        <v>23092333459</v>
      </c>
      <c r="B1815">
        <v>0.28000000000000003</v>
      </c>
      <c r="C1815">
        <v>12245</v>
      </c>
      <c r="D1815" t="s">
        <v>129</v>
      </c>
      <c r="E1815" t="s">
        <v>53</v>
      </c>
      <c r="F1815" t="s">
        <v>53</v>
      </c>
      <c r="G1815">
        <v>4</v>
      </c>
      <c r="H1815" t="s">
        <v>54</v>
      </c>
      <c r="I1815">
        <v>205700</v>
      </c>
      <c r="J1815">
        <v>40200</v>
      </c>
      <c r="K1815">
        <v>0.28000000000000003</v>
      </c>
      <c r="L1815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815">
        <v>0</v>
      </c>
      <c r="N1815">
        <v>0</v>
      </c>
      <c r="O1815">
        <v>0</v>
      </c>
      <c r="P1815">
        <v>13398.7528</v>
      </c>
      <c r="Q1815">
        <v>63903</v>
      </c>
      <c r="R1815">
        <f>(Grandview_Inventory[[#This Row],[ln_acres]]*Grandview_Inventory[[#This Row],[coeff]])+Grandview_Inventory[[#This Row],[const]]</f>
        <v>46846.847586898184</v>
      </c>
      <c r="S1815" t="s">
        <v>61</v>
      </c>
      <c r="T1815">
        <v>1</v>
      </c>
      <c r="U1815" t="s">
        <v>65</v>
      </c>
      <c r="V1815" t="s">
        <v>69</v>
      </c>
      <c r="W1815">
        <v>0</v>
      </c>
      <c r="X1815">
        <v>0</v>
      </c>
      <c r="Y1815">
        <v>44</v>
      </c>
      <c r="Z1815">
        <v>48</v>
      </c>
      <c r="AA1815">
        <v>50</v>
      </c>
      <c r="AB1815">
        <v>1500</v>
      </c>
      <c r="AC1815">
        <v>1368</v>
      </c>
      <c r="AD1815">
        <v>1368</v>
      </c>
      <c r="AE1815">
        <v>0</v>
      </c>
      <c r="AF1815">
        <v>0</v>
      </c>
      <c r="AG1815">
        <v>0</v>
      </c>
      <c r="AH1815">
        <v>0</v>
      </c>
      <c r="AI1815">
        <v>720</v>
      </c>
      <c r="AJ1815">
        <v>0</v>
      </c>
      <c r="AK1815">
        <v>0</v>
      </c>
      <c r="AL1815">
        <v>0</v>
      </c>
      <c r="AM1815">
        <v>384</v>
      </c>
      <c r="AN1815">
        <v>0</v>
      </c>
      <c r="AO1815">
        <v>384</v>
      </c>
      <c r="AP1815">
        <v>8</v>
      </c>
      <c r="AQ1815">
        <v>0</v>
      </c>
      <c r="AR1815">
        <v>0</v>
      </c>
      <c r="AS1815" t="s">
        <v>58</v>
      </c>
      <c r="AT1815">
        <v>1</v>
      </c>
      <c r="AU1815" t="s">
        <v>63</v>
      </c>
      <c r="AV1815" t="s">
        <v>60</v>
      </c>
      <c r="AW1815">
        <v>1</v>
      </c>
      <c r="AX1815">
        <v>4</v>
      </c>
      <c r="AY1815">
        <v>0</v>
      </c>
      <c r="AZ1815">
        <v>0</v>
      </c>
      <c r="BA1815">
        <v>100</v>
      </c>
      <c r="BB1815">
        <v>100</v>
      </c>
      <c r="BC1815">
        <v>100</v>
      </c>
      <c r="BD1815">
        <v>100</v>
      </c>
      <c r="BE1815">
        <v>1</v>
      </c>
      <c r="BF1815">
        <v>15000</v>
      </c>
      <c r="BG1815">
        <v>1000</v>
      </c>
      <c r="BH1815" s="6">
        <f>Grandview_Inventory[[#This Row],[land_extract]]*Lookups!$B$3</f>
        <v>54403.117616176372</v>
      </c>
      <c r="BI1815" s="6">
        <f>IF(Grandview_Inventory[[#This Row],[bldg_style]]="",0,Lookups!$B$2)</f>
        <v>155833.95000000001</v>
      </c>
      <c r="BJ1815" s="6">
        <f>_xlfn.IFNA(VLOOKUP(Grandview_Inventory[[#This Row],[quality]],Lookups!$H$2:$J$14,3,FALSE),0)</f>
        <v>2251</v>
      </c>
      <c r="BK1815" s="6">
        <f>_xlfn.IFNA(VLOOKUP(Grandview_Inventory[[#This Row],[condition]],Lookups!$H$17:$J$24,3,FALSE),0)</f>
        <v>-4503</v>
      </c>
      <c r="BL1815" s="6">
        <f>Grandview_Inventory[[#This Row],[Eff_Age]]*Lookups!$B$14</f>
        <v>-10523.330399999999</v>
      </c>
      <c r="BM1815" s="6">
        <f>Grandview_Inventory[[#This Row],[living_area]]*Lookups!$B$15</f>
        <v>85337.006904000009</v>
      </c>
      <c r="BN1815" s="6">
        <f>Grandview_Inventory[[#This Row],[Fin BSMT]]*Lookups!$B$16</f>
        <v>0</v>
      </c>
      <c r="BO1815" s="6">
        <f>(Grandview_Inventory[[#This Row],[att_gar]]+Grandview_Inventory[[#This Row],[bltin_gar]])*Lookups!$B$17</f>
        <v>63014.714639999998</v>
      </c>
      <c r="BP1815" s="6">
        <f>Grandview_Inventory[[#This Row],[Plumbing Fixtures]]*Lookups!$B$18</f>
        <v>16083.5344</v>
      </c>
      <c r="BQ1815" s="6">
        <f>Grandview_Inventory[[#This Row],[detatched_value]]*Lookups!$B$19</f>
        <v>0</v>
      </c>
      <c r="BR1815" s="6">
        <f>SUM(Grandview_Inventory[[#This Row],[Intercept]:[det_value]])*Grandview_Inventory[[#This Row],[res_pct]]</f>
        <v>307493.87554400001</v>
      </c>
      <c r="BS1815" s="6">
        <f>Grandview_Inventory[[#This Row],[land_value]]</f>
        <v>54403.117616176372</v>
      </c>
      <c r="BT1815" s="4">
        <f>_xlfn.IFNA(VLOOKUP(Grandview_Inventory[[#This Row],[quality]],Lookups!$A$26:$C$33,3,FALSE),1)</f>
        <v>0.98763855981004833</v>
      </c>
      <c r="BU1815" s="4">
        <f>_xlfn.IFNA(VLOOKUP(Grandview_Inventory[[#This Row],[condition]],Lookups!$A$37:$C$44,3,FALSE),1)</f>
        <v>0.96469275950863709</v>
      </c>
      <c r="BV1815" s="4">
        <f>IF(Grandview_Inventory[[#This Row],[bldg_style]]="",1,_xlfn.IFNA(VLOOKUP(Grandview_Inventory[[#This Row],[decade]],Lookups!$F$29:$H$43,3,FALSE),1))</f>
        <v>0.9871940091910919</v>
      </c>
      <c r="BW1815" s="4">
        <f>_xlfn.IFNA(VLOOKUP(Grandview_Inventory[[#This Row],[living_area_range]],Lookups!$F$47:$H$56,3,FALSE),1)</f>
        <v>0.96135087979789358</v>
      </c>
      <c r="BX1815" s="4">
        <f>AVERAGE(Grandview_Inventory[[#This Row],[qual_adj]:[size_adj]])</f>
        <v>0.97521905207691773</v>
      </c>
      <c r="BY1815" s="6">
        <f>IF(Grandview_Inventory[[#This Row],[pre_res]]&lt;0,0,Grandview_Inventory[[#This Row],[pre_res]]*Grandview_Inventory[[#This Row],[overall_adj]])</f>
        <v>299873.88582747738</v>
      </c>
      <c r="BZ1815" s="6">
        <f>(Grandview_Inventory[[#This Row],[sum_land]]-IF(Grandview_Inventory[[#This Row],[no_utilities]]=1,12000,0))/IF(Grandview_Inventory[[#This Row],[unbuildable]]=1,2,1)</f>
        <v>54403.117616176372</v>
      </c>
      <c r="CA1815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815">
        <f>ROUND(Grandview_Inventory[[#This Row],[det_value]]*Lookups!$M$28,-2)</f>
        <v>0</v>
      </c>
      <c r="CC1815">
        <f>IF(ROUND(Grandview_Inventory[[#This Row],[adj_res]]*Lookups!$M$28,-2)&lt;Grandview_Inventory[[#This Row],[min_res]],Grandview_Inventory[[#This Row],[min_res]],ROUND(Grandview_Inventory[[#This Row],[adj_res]]*Lookups!$M$28,-2))</f>
        <v>284900</v>
      </c>
      <c r="CD1815">
        <f>Grandview_Inventory[[#This Row],[final_det]]+Grandview_Inventory[[#This Row],[final_res]]</f>
        <v>284900</v>
      </c>
      <c r="CE1815">
        <f>Grandview_Inventory[[#This Row],[final_land]]+Grandview_Inventory[[#This Row],[final_imp]]+Grandview_Inventory[[#This Row],[crop_value]]</f>
        <v>336600</v>
      </c>
      <c r="CG1815" t="str">
        <f t="shared" si="28"/>
        <v>update valuation set market_land =51700, market_bldg=284900, market_total =336600, market_mdno =401, market_date ='9/10/2023' where link_id = (select link_id from parcel where parcel_year = '2024' and parcel_id = '23092333459');</v>
      </c>
    </row>
    <row r="1816" spans="1:85" x14ac:dyDescent="0.25">
      <c r="A1816">
        <v>23092333460</v>
      </c>
      <c r="B1816">
        <v>0.31</v>
      </c>
      <c r="C1816">
        <v>13287</v>
      </c>
      <c r="D1816" t="s">
        <v>129</v>
      </c>
      <c r="E1816" t="s">
        <v>53</v>
      </c>
      <c r="F1816" t="s">
        <v>53</v>
      </c>
      <c r="G1816">
        <v>4</v>
      </c>
      <c r="H1816" t="s">
        <v>54</v>
      </c>
      <c r="I1816">
        <v>205200</v>
      </c>
      <c r="J1816">
        <v>40900</v>
      </c>
      <c r="K1816">
        <v>0.31</v>
      </c>
      <c r="L1816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1816">
        <v>0</v>
      </c>
      <c r="N1816">
        <v>0</v>
      </c>
      <c r="O1816">
        <v>0</v>
      </c>
      <c r="P1816">
        <v>13398.7528</v>
      </c>
      <c r="Q1816">
        <v>63903</v>
      </c>
      <c r="R1816">
        <f>(Grandview_Inventory[[#This Row],[ln_acres]]*Grandview_Inventory[[#This Row],[coeff]])+Grandview_Inventory[[#This Row],[const]]</f>
        <v>48210.608747275066</v>
      </c>
      <c r="S1816" t="s">
        <v>61</v>
      </c>
      <c r="T1816">
        <v>1</v>
      </c>
      <c r="U1816" t="s">
        <v>65</v>
      </c>
      <c r="V1816" t="s">
        <v>69</v>
      </c>
      <c r="W1816">
        <v>0</v>
      </c>
      <c r="X1816">
        <v>0</v>
      </c>
      <c r="Y1816">
        <v>44</v>
      </c>
      <c r="Z1816">
        <v>48</v>
      </c>
      <c r="AA1816">
        <v>50</v>
      </c>
      <c r="AB1816">
        <v>1500</v>
      </c>
      <c r="AC1816">
        <v>1368</v>
      </c>
      <c r="AD1816">
        <v>1368</v>
      </c>
      <c r="AE1816">
        <v>0</v>
      </c>
      <c r="AF1816">
        <v>0</v>
      </c>
      <c r="AG1816">
        <v>0</v>
      </c>
      <c r="AH1816">
        <v>0</v>
      </c>
      <c r="AI1816">
        <v>576</v>
      </c>
      <c r="AJ1816">
        <v>0</v>
      </c>
      <c r="AK1816">
        <v>0</v>
      </c>
      <c r="AL1816">
        <v>0</v>
      </c>
      <c r="AM1816">
        <v>468</v>
      </c>
      <c r="AN1816">
        <v>0</v>
      </c>
      <c r="AO1816">
        <v>0</v>
      </c>
      <c r="AP1816">
        <v>5</v>
      </c>
      <c r="AQ1816">
        <v>1</v>
      </c>
      <c r="AR1816">
        <v>0</v>
      </c>
      <c r="AS1816" t="s">
        <v>58</v>
      </c>
      <c r="AT1816">
        <v>1</v>
      </c>
      <c r="AU1816" t="s">
        <v>63</v>
      </c>
      <c r="AV1816" t="s">
        <v>60</v>
      </c>
      <c r="AW1816">
        <v>1</v>
      </c>
      <c r="AX1816">
        <v>4</v>
      </c>
      <c r="AY1816">
        <v>0</v>
      </c>
      <c r="AZ1816">
        <v>0</v>
      </c>
      <c r="BA1816">
        <v>100</v>
      </c>
      <c r="BB1816">
        <v>100</v>
      </c>
      <c r="BC1816">
        <v>100</v>
      </c>
      <c r="BD1816">
        <v>100</v>
      </c>
      <c r="BE1816">
        <v>1</v>
      </c>
      <c r="BF1816">
        <v>15000</v>
      </c>
      <c r="BG1816">
        <v>1000</v>
      </c>
      <c r="BH1816" s="6">
        <f>Grandview_Inventory[[#This Row],[land_extract]]*Lookups!$B$3</f>
        <v>55986.849769566914</v>
      </c>
      <c r="BI1816" s="6">
        <f>IF(Grandview_Inventory[[#This Row],[bldg_style]]="",0,Lookups!$B$2)</f>
        <v>155833.95000000001</v>
      </c>
      <c r="BJ1816" s="6">
        <f>_xlfn.IFNA(VLOOKUP(Grandview_Inventory[[#This Row],[quality]],Lookups!$H$2:$J$14,3,FALSE),0)</f>
        <v>2251</v>
      </c>
      <c r="BK1816" s="6">
        <f>_xlfn.IFNA(VLOOKUP(Grandview_Inventory[[#This Row],[condition]],Lookups!$H$17:$J$24,3,FALSE),0)</f>
        <v>-4503</v>
      </c>
      <c r="BL1816" s="6">
        <f>Grandview_Inventory[[#This Row],[Eff_Age]]*Lookups!$B$14</f>
        <v>-10523.330399999999</v>
      </c>
      <c r="BM1816" s="6">
        <f>Grandview_Inventory[[#This Row],[living_area]]*Lookups!$B$15</f>
        <v>85337.006904000009</v>
      </c>
      <c r="BN1816" s="6">
        <f>Grandview_Inventory[[#This Row],[Fin BSMT]]*Lookups!$B$16</f>
        <v>0</v>
      </c>
      <c r="BO1816" s="6">
        <f>(Grandview_Inventory[[#This Row],[att_gar]]+Grandview_Inventory[[#This Row],[bltin_gar]])*Lookups!$B$17</f>
        <v>50411.771712000002</v>
      </c>
      <c r="BP1816" s="6">
        <f>Grandview_Inventory[[#This Row],[Plumbing Fixtures]]*Lookups!$B$18</f>
        <v>10052.209000000001</v>
      </c>
      <c r="BQ1816" s="6">
        <f>Grandview_Inventory[[#This Row],[detatched_value]]*Lookups!$B$19</f>
        <v>0</v>
      </c>
      <c r="BR1816" s="6">
        <f>SUM(Grandview_Inventory[[#This Row],[Intercept]:[det_value]])*Grandview_Inventory[[#This Row],[res_pct]]</f>
        <v>288859.60721599997</v>
      </c>
      <c r="BS1816" s="6">
        <f>Grandview_Inventory[[#This Row],[land_value]]</f>
        <v>55986.849769566914</v>
      </c>
      <c r="BT1816" s="4">
        <f>_xlfn.IFNA(VLOOKUP(Grandview_Inventory[[#This Row],[quality]],Lookups!$A$26:$C$33,3,FALSE),1)</f>
        <v>0.98763855981004833</v>
      </c>
      <c r="BU1816" s="4">
        <f>_xlfn.IFNA(VLOOKUP(Grandview_Inventory[[#This Row],[condition]],Lookups!$A$37:$C$44,3,FALSE),1)</f>
        <v>0.96469275950863709</v>
      </c>
      <c r="BV1816" s="4">
        <f>IF(Grandview_Inventory[[#This Row],[bldg_style]]="",1,_xlfn.IFNA(VLOOKUP(Grandview_Inventory[[#This Row],[decade]],Lookups!$F$29:$H$43,3,FALSE),1))</f>
        <v>0.9871940091910919</v>
      </c>
      <c r="BW1816" s="4">
        <f>_xlfn.IFNA(VLOOKUP(Grandview_Inventory[[#This Row],[living_area_range]],Lookups!$F$47:$H$56,3,FALSE),1)</f>
        <v>0.96135087979789358</v>
      </c>
      <c r="BX1816" s="4">
        <f>AVERAGE(Grandview_Inventory[[#This Row],[qual_adj]:[size_adj]])</f>
        <v>0.97521905207691773</v>
      </c>
      <c r="BY1816" s="6">
        <f>IF(Grandview_Inventory[[#This Row],[pre_res]]&lt;0,0,Grandview_Inventory[[#This Row],[pre_res]]*Grandview_Inventory[[#This Row],[overall_adj]])</f>
        <v>281701.39233249828</v>
      </c>
      <c r="BZ1816" s="6">
        <f>(Grandview_Inventory[[#This Row],[sum_land]]-IF(Grandview_Inventory[[#This Row],[no_utilities]]=1,12000,0))/IF(Grandview_Inventory[[#This Row],[unbuildable]]=1,2,1)</f>
        <v>55986.849769566914</v>
      </c>
      <c r="CA1816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1816">
        <f>ROUND(Grandview_Inventory[[#This Row],[det_value]]*Lookups!$M$28,-2)</f>
        <v>0</v>
      </c>
      <c r="CC1816">
        <f>IF(ROUND(Grandview_Inventory[[#This Row],[adj_res]]*Lookups!$M$28,-2)&lt;Grandview_Inventory[[#This Row],[min_res]],Grandview_Inventory[[#This Row],[min_res]],ROUND(Grandview_Inventory[[#This Row],[adj_res]]*Lookups!$M$28,-2))</f>
        <v>267600</v>
      </c>
      <c r="CD1816">
        <f>Grandview_Inventory[[#This Row],[final_det]]+Grandview_Inventory[[#This Row],[final_res]]</f>
        <v>267600</v>
      </c>
      <c r="CE1816">
        <f>Grandview_Inventory[[#This Row],[final_land]]+Grandview_Inventory[[#This Row],[final_imp]]+Grandview_Inventory[[#This Row],[crop_value]]</f>
        <v>320800</v>
      </c>
      <c r="CG1816" t="str">
        <f t="shared" si="28"/>
        <v>update valuation set market_land =53200, market_bldg=267600, market_total =320800, market_mdno =401, market_date ='9/10/2023' where link_id = (select link_id from parcel where parcel_year = '2024' and parcel_id = '23092333460');</v>
      </c>
    </row>
    <row r="1817" spans="1:85" x14ac:dyDescent="0.25">
      <c r="A1817">
        <v>23092333461</v>
      </c>
      <c r="B1817">
        <v>0.39</v>
      </c>
      <c r="C1817">
        <v>16925</v>
      </c>
      <c r="D1817" t="s">
        <v>129</v>
      </c>
      <c r="E1817" t="s">
        <v>53</v>
      </c>
      <c r="F1817" t="s">
        <v>53</v>
      </c>
      <c r="G1817">
        <v>4</v>
      </c>
      <c r="H1817" t="s">
        <v>54</v>
      </c>
      <c r="I1817">
        <v>268000</v>
      </c>
      <c r="J1817">
        <v>41100</v>
      </c>
      <c r="K1817">
        <v>0.39</v>
      </c>
      <c r="L1817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1817">
        <v>0</v>
      </c>
      <c r="N1817">
        <v>0</v>
      </c>
      <c r="O1817">
        <v>0</v>
      </c>
      <c r="P1817">
        <v>13398.7528</v>
      </c>
      <c r="Q1817">
        <v>63903</v>
      </c>
      <c r="R1817">
        <f>(Grandview_Inventory[[#This Row],[ln_acres]]*Grandview_Inventory[[#This Row],[coeff]])+Grandview_Inventory[[#This Row],[const]]</f>
        <v>51286.619940067751</v>
      </c>
      <c r="S1817" t="s">
        <v>61</v>
      </c>
      <c r="T1817">
        <v>1</v>
      </c>
      <c r="U1817" t="s">
        <v>70</v>
      </c>
      <c r="V1817" t="s">
        <v>67</v>
      </c>
      <c r="W1817">
        <v>0</v>
      </c>
      <c r="X1817">
        <v>0</v>
      </c>
      <c r="Y1817">
        <v>44</v>
      </c>
      <c r="Z1817">
        <v>48</v>
      </c>
      <c r="AA1817">
        <v>50</v>
      </c>
      <c r="AB1817">
        <v>1500</v>
      </c>
      <c r="AC1817">
        <v>1368</v>
      </c>
      <c r="AD1817">
        <v>1368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906</v>
      </c>
      <c r="AN1817">
        <v>0</v>
      </c>
      <c r="AO1817">
        <v>150</v>
      </c>
      <c r="AP1817">
        <v>8</v>
      </c>
      <c r="AQ1817">
        <v>0</v>
      </c>
      <c r="AR1817">
        <v>0</v>
      </c>
      <c r="AS1817" t="s">
        <v>58</v>
      </c>
      <c r="AT1817">
        <v>1</v>
      </c>
      <c r="AU1817" t="s">
        <v>75</v>
      </c>
      <c r="AV1817" t="s">
        <v>60</v>
      </c>
      <c r="AW1817">
        <v>0</v>
      </c>
      <c r="AX1817">
        <v>3</v>
      </c>
      <c r="AY1817">
        <v>0</v>
      </c>
      <c r="AZ1817">
        <v>72300</v>
      </c>
      <c r="BA1817">
        <v>100</v>
      </c>
      <c r="BB1817">
        <v>100</v>
      </c>
      <c r="BC1817">
        <v>100</v>
      </c>
      <c r="BD1817">
        <v>100</v>
      </c>
      <c r="BE1817">
        <v>1</v>
      </c>
      <c r="BF1817">
        <v>15000</v>
      </c>
      <c r="BG1817">
        <v>1000</v>
      </c>
      <c r="BH1817" s="6">
        <f>Grandview_Inventory[[#This Row],[land_extract]]*Lookups!$B$3</f>
        <v>59559.013262526838</v>
      </c>
      <c r="BI1817" s="6">
        <f>IF(Grandview_Inventory[[#This Row],[bldg_style]]="",0,Lookups!$B$2)</f>
        <v>155833.95000000001</v>
      </c>
      <c r="BJ1817" s="6">
        <f>_xlfn.IFNA(VLOOKUP(Grandview_Inventory[[#This Row],[quality]],Lookups!$H$2:$J$14,3,FALSE),0)</f>
        <v>10733</v>
      </c>
      <c r="BK1817" s="6">
        <f>_xlfn.IFNA(VLOOKUP(Grandview_Inventory[[#This Row],[condition]],Lookups!$H$17:$J$24,3,FALSE),0)</f>
        <v>22342</v>
      </c>
      <c r="BL1817" s="6">
        <f>Grandview_Inventory[[#This Row],[Eff_Age]]*Lookups!$B$14</f>
        <v>-10523.330399999999</v>
      </c>
      <c r="BM1817" s="6">
        <f>Grandview_Inventory[[#This Row],[living_area]]*Lookups!$B$15</f>
        <v>85337.006904000009</v>
      </c>
      <c r="BN1817" s="6">
        <f>Grandview_Inventory[[#This Row],[Fin BSMT]]*Lookups!$B$16</f>
        <v>0</v>
      </c>
      <c r="BO1817" s="6">
        <f>(Grandview_Inventory[[#This Row],[att_gar]]+Grandview_Inventory[[#This Row],[bltin_gar]])*Lookups!$B$17</f>
        <v>0</v>
      </c>
      <c r="BP1817" s="6">
        <f>Grandview_Inventory[[#This Row],[Plumbing Fixtures]]*Lookups!$B$18</f>
        <v>16083.5344</v>
      </c>
      <c r="BQ1817" s="6">
        <f>Grandview_Inventory[[#This Row],[detatched_value]]*Lookups!$B$19</f>
        <v>61224.008730000001</v>
      </c>
      <c r="BR1817" s="6">
        <f>SUM(Grandview_Inventory[[#This Row],[Intercept]:[det_value]])*Grandview_Inventory[[#This Row],[res_pct]]</f>
        <v>341030.16963400005</v>
      </c>
      <c r="BS1817" s="6">
        <f>Grandview_Inventory[[#This Row],[land_value]]</f>
        <v>59559.013262526838</v>
      </c>
      <c r="BT1817" s="4">
        <f>_xlfn.IFNA(VLOOKUP(Grandview_Inventory[[#This Row],[quality]],Lookups!$A$26:$C$33,3,FALSE),1)</f>
        <v>0.98079741117310582</v>
      </c>
      <c r="BU1817" s="4">
        <f>_xlfn.IFNA(VLOOKUP(Grandview_Inventory[[#This Row],[condition]],Lookups!$A$37:$C$44,3,FALSE),1)</f>
        <v>0.97383723671140243</v>
      </c>
      <c r="BV1817" s="4">
        <f>IF(Grandview_Inventory[[#This Row],[bldg_style]]="",1,_xlfn.IFNA(VLOOKUP(Grandview_Inventory[[#This Row],[decade]],Lookups!$F$29:$H$43,3,FALSE),1))</f>
        <v>0.9871940091910919</v>
      </c>
      <c r="BW1817" s="4">
        <f>_xlfn.IFNA(VLOOKUP(Grandview_Inventory[[#This Row],[living_area_range]],Lookups!$F$47:$H$56,3,FALSE),1)</f>
        <v>0.96135087979789358</v>
      </c>
      <c r="BX1817" s="4">
        <f>AVERAGE(Grandview_Inventory[[#This Row],[qual_adj]:[size_adj]])</f>
        <v>0.97579488421837346</v>
      </c>
      <c r="BY1817" s="6">
        <f>IF(Grandview_Inventory[[#This Row],[pre_res]]&lt;0,0,Grandview_Inventory[[#This Row],[pre_res]]*Grandview_Inventory[[#This Row],[overall_adj]])</f>
        <v>332775.49489298131</v>
      </c>
      <c r="BZ1817" s="6">
        <f>(Grandview_Inventory[[#This Row],[sum_land]]-IF(Grandview_Inventory[[#This Row],[no_utilities]]=1,12000,0))/IF(Grandview_Inventory[[#This Row],[unbuildable]]=1,2,1)</f>
        <v>59559.013262526838</v>
      </c>
      <c r="CA1817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1817">
        <f>ROUND(Grandview_Inventory[[#This Row],[det_value]]*Lookups!$M$28,-2)</f>
        <v>58200</v>
      </c>
      <c r="CC1817">
        <f>IF(ROUND(Grandview_Inventory[[#This Row],[adj_res]]*Lookups!$M$28,-2)&lt;Grandview_Inventory[[#This Row],[min_res]],Grandview_Inventory[[#This Row],[min_res]],ROUND(Grandview_Inventory[[#This Row],[adj_res]]*Lookups!$M$28,-2))</f>
        <v>316100</v>
      </c>
      <c r="CD1817">
        <f>Grandview_Inventory[[#This Row],[final_det]]+Grandview_Inventory[[#This Row],[final_res]]</f>
        <v>374300</v>
      </c>
      <c r="CE1817">
        <f>Grandview_Inventory[[#This Row],[final_land]]+Grandview_Inventory[[#This Row],[final_imp]]+Grandview_Inventory[[#This Row],[crop_value]]</f>
        <v>430900</v>
      </c>
      <c r="CG1817" t="str">
        <f t="shared" si="28"/>
        <v>update valuation set market_land =56600, market_bldg=374300, market_total =430900, market_mdno =401, market_date ='9/10/2023' where link_id = (select link_id from parcel where parcel_year = '2024' and parcel_id = '23092333461');</v>
      </c>
    </row>
    <row r="1818" spans="1:85" x14ac:dyDescent="0.25">
      <c r="A1818">
        <v>23092333462</v>
      </c>
      <c r="B1818">
        <v>0.27</v>
      </c>
      <c r="C1818">
        <v>11709</v>
      </c>
      <c r="D1818" t="s">
        <v>129</v>
      </c>
      <c r="E1818" t="s">
        <v>53</v>
      </c>
      <c r="F1818" t="s">
        <v>53</v>
      </c>
      <c r="G1818">
        <v>4</v>
      </c>
      <c r="H1818" t="s">
        <v>54</v>
      </c>
      <c r="I1818">
        <v>187400</v>
      </c>
      <c r="J1818">
        <v>40000</v>
      </c>
      <c r="K1818">
        <v>0.27</v>
      </c>
      <c r="L181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818">
        <v>0</v>
      </c>
      <c r="N1818">
        <v>0</v>
      </c>
      <c r="O1818">
        <v>0</v>
      </c>
      <c r="P1818">
        <v>13398.7528</v>
      </c>
      <c r="Q1818">
        <v>63903</v>
      </c>
      <c r="R1818">
        <f>(Grandview_Inventory[[#This Row],[ln_acres]]*Grandview_Inventory[[#This Row],[coeff]])+Grandview_Inventory[[#This Row],[const]]</f>
        <v>46359.566512734265</v>
      </c>
      <c r="S1818" t="s">
        <v>61</v>
      </c>
      <c r="T1818">
        <v>1</v>
      </c>
      <c r="U1818" t="s">
        <v>70</v>
      </c>
      <c r="V1818" t="s">
        <v>67</v>
      </c>
      <c r="W1818">
        <v>0</v>
      </c>
      <c r="X1818">
        <v>0</v>
      </c>
      <c r="Y1818">
        <v>44</v>
      </c>
      <c r="Z1818">
        <v>49</v>
      </c>
      <c r="AA1818">
        <v>50</v>
      </c>
      <c r="AB1818">
        <v>1500</v>
      </c>
      <c r="AC1818">
        <v>1080</v>
      </c>
      <c r="AD1818">
        <v>1080</v>
      </c>
      <c r="AE1818">
        <v>0</v>
      </c>
      <c r="AF1818">
        <v>0</v>
      </c>
      <c r="AG1818">
        <v>0</v>
      </c>
      <c r="AH1818">
        <v>0</v>
      </c>
      <c r="AI1818">
        <v>288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5</v>
      </c>
      <c r="AQ1818">
        <v>0</v>
      </c>
      <c r="AR1818">
        <v>0</v>
      </c>
      <c r="AS1818" t="s">
        <v>58</v>
      </c>
      <c r="AT1818">
        <v>1</v>
      </c>
      <c r="AU1818" t="s">
        <v>75</v>
      </c>
      <c r="AV1818" t="s">
        <v>60</v>
      </c>
      <c r="AW1818">
        <v>0</v>
      </c>
      <c r="AX1818">
        <v>3</v>
      </c>
      <c r="AY1818">
        <v>0</v>
      </c>
      <c r="AZ1818">
        <v>0</v>
      </c>
      <c r="BA1818">
        <v>100</v>
      </c>
      <c r="BB1818">
        <v>100</v>
      </c>
      <c r="BC1818">
        <v>100</v>
      </c>
      <c r="BD1818">
        <v>100</v>
      </c>
      <c r="BE1818">
        <v>1</v>
      </c>
      <c r="BF1818">
        <v>15000</v>
      </c>
      <c r="BG1818">
        <v>1000</v>
      </c>
      <c r="BH1818" s="6">
        <f>Grandview_Inventory[[#This Row],[land_extract]]*Lookups!$B$3</f>
        <v>53837.239420408718</v>
      </c>
      <c r="BI1818" s="6">
        <f>IF(Grandview_Inventory[[#This Row],[bldg_style]]="",0,Lookups!$B$2)</f>
        <v>155833.95000000001</v>
      </c>
      <c r="BJ1818" s="6">
        <f>_xlfn.IFNA(VLOOKUP(Grandview_Inventory[[#This Row],[quality]],Lookups!$H$2:$J$14,3,FALSE),0)</f>
        <v>10733</v>
      </c>
      <c r="BK1818" s="6">
        <f>_xlfn.IFNA(VLOOKUP(Grandview_Inventory[[#This Row],[condition]],Lookups!$H$17:$J$24,3,FALSE),0)</f>
        <v>22342</v>
      </c>
      <c r="BL1818" s="6">
        <f>Grandview_Inventory[[#This Row],[Eff_Age]]*Lookups!$B$14</f>
        <v>-10523.330399999999</v>
      </c>
      <c r="BM1818" s="6">
        <f>Grandview_Inventory[[#This Row],[living_area]]*Lookups!$B$15</f>
        <v>67371.321240000005</v>
      </c>
      <c r="BN1818" s="6">
        <f>Grandview_Inventory[[#This Row],[Fin BSMT]]*Lookups!$B$16</f>
        <v>0</v>
      </c>
      <c r="BO1818" s="6">
        <f>(Grandview_Inventory[[#This Row],[att_gar]]+Grandview_Inventory[[#This Row],[bltin_gar]])*Lookups!$B$17</f>
        <v>25205.885856000001</v>
      </c>
      <c r="BP1818" s="6">
        <f>Grandview_Inventory[[#This Row],[Plumbing Fixtures]]*Lookups!$B$18</f>
        <v>10052.209000000001</v>
      </c>
      <c r="BQ1818" s="6">
        <f>Grandview_Inventory[[#This Row],[detatched_value]]*Lookups!$B$19</f>
        <v>0</v>
      </c>
      <c r="BR1818" s="6">
        <f>SUM(Grandview_Inventory[[#This Row],[Intercept]:[det_value]])*Grandview_Inventory[[#This Row],[res_pct]]</f>
        <v>281015.03569599998</v>
      </c>
      <c r="BS1818" s="6">
        <f>Grandview_Inventory[[#This Row],[land_value]]</f>
        <v>53837.239420408718</v>
      </c>
      <c r="BT1818" s="4">
        <f>_xlfn.IFNA(VLOOKUP(Grandview_Inventory[[#This Row],[quality]],Lookups!$A$26:$C$33,3,FALSE),1)</f>
        <v>0.98079741117310582</v>
      </c>
      <c r="BU1818" s="4">
        <f>_xlfn.IFNA(VLOOKUP(Grandview_Inventory[[#This Row],[condition]],Lookups!$A$37:$C$44,3,FALSE),1)</f>
        <v>0.97383723671140243</v>
      </c>
      <c r="BV1818" s="4">
        <f>IF(Grandview_Inventory[[#This Row],[bldg_style]]="",1,_xlfn.IFNA(VLOOKUP(Grandview_Inventory[[#This Row],[decade]],Lookups!$F$29:$H$43,3,FALSE),1))</f>
        <v>0.9871940091910919</v>
      </c>
      <c r="BW1818" s="4">
        <f>_xlfn.IFNA(VLOOKUP(Grandview_Inventory[[#This Row],[living_area_range]],Lookups!$F$47:$H$56,3,FALSE),1)</f>
        <v>0.96135087979789358</v>
      </c>
      <c r="BX1818" s="4">
        <f>AVERAGE(Grandview_Inventory[[#This Row],[qual_adj]:[size_adj]])</f>
        <v>0.97579488421837346</v>
      </c>
      <c r="BY1818" s="6">
        <f>IF(Grandview_Inventory[[#This Row],[pre_res]]&lt;0,0,Grandview_Inventory[[#This Row],[pre_res]]*Grandview_Inventory[[#This Row],[overall_adj]])</f>
        <v>274213.03422060038</v>
      </c>
      <c r="BZ1818" s="6">
        <f>(Grandview_Inventory[[#This Row],[sum_land]]-IF(Grandview_Inventory[[#This Row],[no_utilities]]=1,12000,0))/IF(Grandview_Inventory[[#This Row],[unbuildable]]=1,2,1)</f>
        <v>53837.239420408718</v>
      </c>
      <c r="CA181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818">
        <f>ROUND(Grandview_Inventory[[#This Row],[det_value]]*Lookups!$M$28,-2)</f>
        <v>0</v>
      </c>
      <c r="CC1818">
        <f>IF(ROUND(Grandview_Inventory[[#This Row],[adj_res]]*Lookups!$M$28,-2)&lt;Grandview_Inventory[[#This Row],[min_res]],Grandview_Inventory[[#This Row],[min_res]],ROUND(Grandview_Inventory[[#This Row],[adj_res]]*Lookups!$M$28,-2))</f>
        <v>260500</v>
      </c>
      <c r="CD1818">
        <f>Grandview_Inventory[[#This Row],[final_det]]+Grandview_Inventory[[#This Row],[final_res]]</f>
        <v>260500</v>
      </c>
      <c r="CE1818">
        <f>Grandview_Inventory[[#This Row],[final_land]]+Grandview_Inventory[[#This Row],[final_imp]]+Grandview_Inventory[[#This Row],[crop_value]]</f>
        <v>311600</v>
      </c>
      <c r="CG1818" t="str">
        <f t="shared" si="28"/>
        <v>update valuation set market_land =51100, market_bldg=260500, market_total =311600, market_mdno =401, market_date ='9/10/2023' where link_id = (select link_id from parcel where parcel_year = '2024' and parcel_id = '23092333462');</v>
      </c>
    </row>
    <row r="1819" spans="1:85" x14ac:dyDescent="0.25">
      <c r="A1819">
        <v>23092333463</v>
      </c>
      <c r="B1819">
        <v>0.25</v>
      </c>
      <c r="C1819">
        <v>10850</v>
      </c>
      <c r="D1819" t="s">
        <v>129</v>
      </c>
      <c r="E1819" t="s">
        <v>53</v>
      </c>
      <c r="F1819" t="s">
        <v>53</v>
      </c>
      <c r="G1819">
        <v>4</v>
      </c>
      <c r="H1819" t="s">
        <v>54</v>
      </c>
      <c r="I1819">
        <v>152700</v>
      </c>
      <c r="J1819">
        <v>40000</v>
      </c>
      <c r="K1819">
        <v>0.25</v>
      </c>
      <c r="L181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819">
        <v>0</v>
      </c>
      <c r="N1819">
        <v>0</v>
      </c>
      <c r="O1819">
        <v>0</v>
      </c>
      <c r="P1819">
        <v>13398.7528</v>
      </c>
      <c r="Q1819">
        <v>63903</v>
      </c>
      <c r="R1819">
        <f>(Grandview_Inventory[[#This Row],[ln_acres]]*Grandview_Inventory[[#This Row],[coeff]])+Grandview_Inventory[[#This Row],[const]]</f>
        <v>45328.38454732066</v>
      </c>
      <c r="S1819" t="s">
        <v>61</v>
      </c>
      <c r="T1819">
        <v>1</v>
      </c>
      <c r="U1819" t="s">
        <v>65</v>
      </c>
      <c r="V1819" t="s">
        <v>69</v>
      </c>
      <c r="W1819">
        <v>0</v>
      </c>
      <c r="X1819">
        <v>0</v>
      </c>
      <c r="Y1819">
        <v>44</v>
      </c>
      <c r="Z1819">
        <v>49</v>
      </c>
      <c r="AA1819">
        <v>50</v>
      </c>
      <c r="AB1819">
        <v>1500</v>
      </c>
      <c r="AC1819">
        <v>1080</v>
      </c>
      <c r="AD1819">
        <v>1080</v>
      </c>
      <c r="AE1819">
        <v>0</v>
      </c>
      <c r="AF1819">
        <v>0</v>
      </c>
      <c r="AG1819">
        <v>0</v>
      </c>
      <c r="AH1819">
        <v>0</v>
      </c>
      <c r="AI1819">
        <v>288</v>
      </c>
      <c r="AJ1819">
        <v>0</v>
      </c>
      <c r="AK1819">
        <v>0</v>
      </c>
      <c r="AL1819">
        <v>0</v>
      </c>
      <c r="AM1819">
        <v>264</v>
      </c>
      <c r="AN1819">
        <v>0</v>
      </c>
      <c r="AO1819">
        <v>0</v>
      </c>
      <c r="AP1819">
        <v>5</v>
      </c>
      <c r="AQ1819">
        <v>0</v>
      </c>
      <c r="AR1819">
        <v>0</v>
      </c>
      <c r="AS1819" t="s">
        <v>58</v>
      </c>
      <c r="AT1819">
        <v>1</v>
      </c>
      <c r="AU1819" t="s">
        <v>59</v>
      </c>
      <c r="AV1819" t="s">
        <v>60</v>
      </c>
      <c r="AW1819">
        <v>1</v>
      </c>
      <c r="AX1819">
        <v>3</v>
      </c>
      <c r="AY1819">
        <v>0</v>
      </c>
      <c r="AZ1819">
        <v>0</v>
      </c>
      <c r="BA1819">
        <v>100</v>
      </c>
      <c r="BB1819">
        <v>100</v>
      </c>
      <c r="BC1819">
        <v>100</v>
      </c>
      <c r="BD1819">
        <v>100</v>
      </c>
      <c r="BE1819">
        <v>1</v>
      </c>
      <c r="BF1819">
        <v>15000</v>
      </c>
      <c r="BG1819">
        <v>1000</v>
      </c>
      <c r="BH1819" s="6">
        <f>Grandview_Inventory[[#This Row],[land_extract]]*Lookups!$B$3</f>
        <v>52639.730588165206</v>
      </c>
      <c r="BI1819" s="6">
        <f>IF(Grandview_Inventory[[#This Row],[bldg_style]]="",0,Lookups!$B$2)</f>
        <v>155833.95000000001</v>
      </c>
      <c r="BJ1819" s="6">
        <f>_xlfn.IFNA(VLOOKUP(Grandview_Inventory[[#This Row],[quality]],Lookups!$H$2:$J$14,3,FALSE),0)</f>
        <v>2251</v>
      </c>
      <c r="BK1819" s="6">
        <f>_xlfn.IFNA(VLOOKUP(Grandview_Inventory[[#This Row],[condition]],Lookups!$H$17:$J$24,3,FALSE),0)</f>
        <v>-4503</v>
      </c>
      <c r="BL1819" s="6">
        <f>Grandview_Inventory[[#This Row],[Eff_Age]]*Lookups!$B$14</f>
        <v>-10523.330399999999</v>
      </c>
      <c r="BM1819" s="6">
        <f>Grandview_Inventory[[#This Row],[living_area]]*Lookups!$B$15</f>
        <v>67371.321240000005</v>
      </c>
      <c r="BN1819" s="6">
        <f>Grandview_Inventory[[#This Row],[Fin BSMT]]*Lookups!$B$16</f>
        <v>0</v>
      </c>
      <c r="BO1819" s="6">
        <f>(Grandview_Inventory[[#This Row],[att_gar]]+Grandview_Inventory[[#This Row],[bltin_gar]])*Lookups!$B$17</f>
        <v>25205.885856000001</v>
      </c>
      <c r="BP1819" s="6">
        <f>Grandview_Inventory[[#This Row],[Plumbing Fixtures]]*Lookups!$B$18</f>
        <v>10052.209000000001</v>
      </c>
      <c r="BQ1819" s="6">
        <f>Grandview_Inventory[[#This Row],[detatched_value]]*Lookups!$B$19</f>
        <v>0</v>
      </c>
      <c r="BR1819" s="6">
        <f>SUM(Grandview_Inventory[[#This Row],[Intercept]:[det_value]])*Grandview_Inventory[[#This Row],[res_pct]]</f>
        <v>245688.03569600001</v>
      </c>
      <c r="BS1819" s="6">
        <f>Grandview_Inventory[[#This Row],[land_value]]</f>
        <v>52639.730588165206</v>
      </c>
      <c r="BT1819" s="4">
        <f>_xlfn.IFNA(VLOOKUP(Grandview_Inventory[[#This Row],[quality]],Lookups!$A$26:$C$33,3,FALSE),1)</f>
        <v>0.98763855981004833</v>
      </c>
      <c r="BU1819" s="4">
        <f>_xlfn.IFNA(VLOOKUP(Grandview_Inventory[[#This Row],[condition]],Lookups!$A$37:$C$44,3,FALSE),1)</f>
        <v>0.96469275950863709</v>
      </c>
      <c r="BV1819" s="4">
        <f>IF(Grandview_Inventory[[#This Row],[bldg_style]]="",1,_xlfn.IFNA(VLOOKUP(Grandview_Inventory[[#This Row],[decade]],Lookups!$F$29:$H$43,3,FALSE),1))</f>
        <v>0.9871940091910919</v>
      </c>
      <c r="BW1819" s="4">
        <f>_xlfn.IFNA(VLOOKUP(Grandview_Inventory[[#This Row],[living_area_range]],Lookups!$F$47:$H$56,3,FALSE),1)</f>
        <v>0.96135087979789358</v>
      </c>
      <c r="BX1819" s="4">
        <f>AVERAGE(Grandview_Inventory[[#This Row],[qual_adj]:[size_adj]])</f>
        <v>0.97521905207691773</v>
      </c>
      <c r="BY1819" s="6">
        <f>IF(Grandview_Inventory[[#This Row],[pre_res]]&lt;0,0,Grandview_Inventory[[#This Row],[pre_res]]*Grandview_Inventory[[#This Row],[overall_adj]])</f>
        <v>239599.65327809306</v>
      </c>
      <c r="BZ1819" s="6">
        <f>(Grandview_Inventory[[#This Row],[sum_land]]-IF(Grandview_Inventory[[#This Row],[no_utilities]]=1,12000,0))/IF(Grandview_Inventory[[#This Row],[unbuildable]]=1,2,1)</f>
        <v>52639.730588165206</v>
      </c>
      <c r="CA181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819">
        <f>ROUND(Grandview_Inventory[[#This Row],[det_value]]*Lookups!$M$28,-2)</f>
        <v>0</v>
      </c>
      <c r="CC1819">
        <f>IF(ROUND(Grandview_Inventory[[#This Row],[adj_res]]*Lookups!$M$28,-2)&lt;Grandview_Inventory[[#This Row],[min_res]],Grandview_Inventory[[#This Row],[min_res]],ROUND(Grandview_Inventory[[#This Row],[adj_res]]*Lookups!$M$28,-2))</f>
        <v>227600</v>
      </c>
      <c r="CD1819">
        <f>Grandview_Inventory[[#This Row],[final_det]]+Grandview_Inventory[[#This Row],[final_res]]</f>
        <v>227600</v>
      </c>
      <c r="CE1819">
        <f>Grandview_Inventory[[#This Row],[final_land]]+Grandview_Inventory[[#This Row],[final_imp]]+Grandview_Inventory[[#This Row],[crop_value]]</f>
        <v>277600</v>
      </c>
      <c r="CG1819" t="str">
        <f t="shared" si="28"/>
        <v>update valuation set market_land =50000, market_bldg=227600, market_total =277600, market_mdno =401, market_date ='9/10/2023' where link_id = (select link_id from parcel where parcel_year = '2024' and parcel_id = '23092333463');</v>
      </c>
    </row>
    <row r="1820" spans="1:85" x14ac:dyDescent="0.25">
      <c r="A1820">
        <v>23092333464</v>
      </c>
      <c r="B1820">
        <v>0.23</v>
      </c>
      <c r="C1820">
        <v>10234</v>
      </c>
      <c r="D1820" t="s">
        <v>129</v>
      </c>
      <c r="E1820" t="s">
        <v>53</v>
      </c>
      <c r="F1820" t="s">
        <v>53</v>
      </c>
      <c r="G1820">
        <v>4</v>
      </c>
      <c r="H1820" t="s">
        <v>54</v>
      </c>
      <c r="I1820">
        <v>199500</v>
      </c>
      <c r="J1820">
        <v>44000</v>
      </c>
      <c r="K1820">
        <v>0.23</v>
      </c>
      <c r="L182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20">
        <v>0</v>
      </c>
      <c r="N1820">
        <v>0</v>
      </c>
      <c r="O1820">
        <v>0</v>
      </c>
      <c r="P1820">
        <v>13398.7528</v>
      </c>
      <c r="Q1820">
        <v>63903</v>
      </c>
      <c r="R1820">
        <f>(Grandview_Inventory[[#This Row],[ln_acres]]*Grandview_Inventory[[#This Row],[coeff]])+Grandview_Inventory[[#This Row],[const]]</f>
        <v>44211.174981080039</v>
      </c>
      <c r="S1820" t="s">
        <v>61</v>
      </c>
      <c r="T1820">
        <v>1</v>
      </c>
      <c r="U1820" t="s">
        <v>65</v>
      </c>
      <c r="V1820" t="s">
        <v>69</v>
      </c>
      <c r="W1820">
        <v>0</v>
      </c>
      <c r="X1820">
        <v>0</v>
      </c>
      <c r="Y1820">
        <v>44</v>
      </c>
      <c r="Z1820">
        <v>49</v>
      </c>
      <c r="AA1820">
        <v>50</v>
      </c>
      <c r="AB1820">
        <v>2000</v>
      </c>
      <c r="AC1820">
        <v>1728</v>
      </c>
      <c r="AD1820">
        <v>1728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240</v>
      </c>
      <c r="AL1820">
        <v>233</v>
      </c>
      <c r="AM1820">
        <v>0</v>
      </c>
      <c r="AN1820">
        <v>0</v>
      </c>
      <c r="AO1820">
        <v>233</v>
      </c>
      <c r="AP1820">
        <v>8</v>
      </c>
      <c r="AQ1820">
        <v>1</v>
      </c>
      <c r="AR1820">
        <v>0</v>
      </c>
      <c r="AS1820" t="s">
        <v>58</v>
      </c>
      <c r="AT1820">
        <v>1</v>
      </c>
      <c r="AU1820" t="s">
        <v>63</v>
      </c>
      <c r="AV1820" t="s">
        <v>60</v>
      </c>
      <c r="AW1820">
        <v>1</v>
      </c>
      <c r="AX1820">
        <v>3</v>
      </c>
      <c r="AY1820">
        <v>0</v>
      </c>
      <c r="AZ1820">
        <v>1900</v>
      </c>
      <c r="BA1820">
        <v>100</v>
      </c>
      <c r="BB1820">
        <v>100</v>
      </c>
      <c r="BC1820">
        <v>100</v>
      </c>
      <c r="BD1820">
        <v>100</v>
      </c>
      <c r="BE1820">
        <v>1</v>
      </c>
      <c r="BF1820">
        <v>15000</v>
      </c>
      <c r="BG1820">
        <v>1000</v>
      </c>
      <c r="BH1820" s="6">
        <f>Grandview_Inventory[[#This Row],[land_extract]]*Lookups!$B$3</f>
        <v>51342.318135355803</v>
      </c>
      <c r="BI1820" s="6">
        <f>IF(Grandview_Inventory[[#This Row],[bldg_style]]="",0,Lookups!$B$2)</f>
        <v>155833.95000000001</v>
      </c>
      <c r="BJ1820" s="6">
        <f>_xlfn.IFNA(VLOOKUP(Grandview_Inventory[[#This Row],[quality]],Lookups!$H$2:$J$14,3,FALSE),0)</f>
        <v>2251</v>
      </c>
      <c r="BK1820" s="6">
        <f>_xlfn.IFNA(VLOOKUP(Grandview_Inventory[[#This Row],[condition]],Lookups!$H$17:$J$24,3,FALSE),0)</f>
        <v>-4503</v>
      </c>
      <c r="BL1820" s="6">
        <f>Grandview_Inventory[[#This Row],[Eff_Age]]*Lookups!$B$14</f>
        <v>-10523.330399999999</v>
      </c>
      <c r="BM1820" s="6">
        <f>Grandview_Inventory[[#This Row],[living_area]]*Lookups!$B$15</f>
        <v>107794.113984</v>
      </c>
      <c r="BN1820" s="6">
        <f>Grandview_Inventory[[#This Row],[Fin BSMT]]*Lookups!$B$16</f>
        <v>0</v>
      </c>
      <c r="BO1820" s="6">
        <f>(Grandview_Inventory[[#This Row],[att_gar]]+Grandview_Inventory[[#This Row],[bltin_gar]])*Lookups!$B$17</f>
        <v>0</v>
      </c>
      <c r="BP1820" s="6">
        <f>Grandview_Inventory[[#This Row],[Plumbing Fixtures]]*Lookups!$B$18</f>
        <v>16083.5344</v>
      </c>
      <c r="BQ1820" s="6">
        <f>Grandview_Inventory[[#This Row],[detatched_value]]*Lookups!$B$19</f>
        <v>1608.9296899999999</v>
      </c>
      <c r="BR1820" s="6">
        <f>SUM(Grandview_Inventory[[#This Row],[Intercept]:[det_value]])*Grandview_Inventory[[#This Row],[res_pct]]</f>
        <v>268545.197674</v>
      </c>
      <c r="BS1820" s="6">
        <f>Grandview_Inventory[[#This Row],[land_value]]</f>
        <v>51342.318135355803</v>
      </c>
      <c r="BT1820" s="4">
        <f>_xlfn.IFNA(VLOOKUP(Grandview_Inventory[[#This Row],[quality]],Lookups!$A$26:$C$33,3,FALSE),1)</f>
        <v>0.98763855981004833</v>
      </c>
      <c r="BU1820" s="4">
        <f>_xlfn.IFNA(VLOOKUP(Grandview_Inventory[[#This Row],[condition]],Lookups!$A$37:$C$44,3,FALSE),1)</f>
        <v>0.96469275950863709</v>
      </c>
      <c r="BV1820" s="4">
        <f>IF(Grandview_Inventory[[#This Row],[bldg_style]]="",1,_xlfn.IFNA(VLOOKUP(Grandview_Inventory[[#This Row],[decade]],Lookups!$F$29:$H$43,3,FALSE),1))</f>
        <v>0.9871940091910919</v>
      </c>
      <c r="BW1820" s="4">
        <f>_xlfn.IFNA(VLOOKUP(Grandview_Inventory[[#This Row],[living_area_range]],Lookups!$F$47:$H$56,3,FALSE),1)</f>
        <v>0.96120133463014379</v>
      </c>
      <c r="BX1820" s="4">
        <f>AVERAGE(Grandview_Inventory[[#This Row],[qual_adj]:[size_adj]])</f>
        <v>0.97518166578498033</v>
      </c>
      <c r="BY1820" s="6">
        <f>IF(Grandview_Inventory[[#This Row],[pre_res]]&lt;0,0,Grandview_Inventory[[#This Row],[pre_res]]*Grandview_Inventory[[#This Row],[overall_adj]])</f>
        <v>261880.35320628813</v>
      </c>
      <c r="BZ1820" s="6">
        <f>(Grandview_Inventory[[#This Row],[sum_land]]-IF(Grandview_Inventory[[#This Row],[no_utilities]]=1,12000,0))/IF(Grandview_Inventory[[#This Row],[unbuildable]]=1,2,1)</f>
        <v>51342.318135355803</v>
      </c>
      <c r="CA182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20">
        <f>ROUND(Grandview_Inventory[[#This Row],[det_value]]*Lookups!$M$28,-2)</f>
        <v>1500</v>
      </c>
      <c r="CC1820">
        <f>IF(ROUND(Grandview_Inventory[[#This Row],[adj_res]]*Lookups!$M$28,-2)&lt;Grandview_Inventory[[#This Row],[min_res]],Grandview_Inventory[[#This Row],[min_res]],ROUND(Grandview_Inventory[[#This Row],[adj_res]]*Lookups!$M$28,-2))</f>
        <v>248800</v>
      </c>
      <c r="CD1820">
        <f>Grandview_Inventory[[#This Row],[final_det]]+Grandview_Inventory[[#This Row],[final_res]]</f>
        <v>250300</v>
      </c>
      <c r="CE1820">
        <f>Grandview_Inventory[[#This Row],[final_land]]+Grandview_Inventory[[#This Row],[final_imp]]+Grandview_Inventory[[#This Row],[crop_value]]</f>
        <v>299100</v>
      </c>
      <c r="CG1820" t="str">
        <f t="shared" si="28"/>
        <v>update valuation set market_land =48800, market_bldg=250300, market_total =299100, market_mdno =401, market_date ='9/10/2023' where link_id = (select link_id from parcel where parcel_year = '2024' and parcel_id = '23092333464');</v>
      </c>
    </row>
    <row r="1821" spans="1:85" x14ac:dyDescent="0.25">
      <c r="A1821">
        <v>23092333465</v>
      </c>
      <c r="B1821">
        <v>0.24</v>
      </c>
      <c r="C1821">
        <v>10315</v>
      </c>
      <c r="D1821" t="s">
        <v>129</v>
      </c>
      <c r="E1821" t="s">
        <v>53</v>
      </c>
      <c r="F1821" t="s">
        <v>53</v>
      </c>
      <c r="G1821">
        <v>4</v>
      </c>
      <c r="H1821" t="s">
        <v>54</v>
      </c>
      <c r="I1821">
        <v>122000</v>
      </c>
      <c r="J1821">
        <v>39700</v>
      </c>
      <c r="K1821">
        <v>0.24</v>
      </c>
      <c r="L182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821">
        <v>0</v>
      </c>
      <c r="N1821">
        <v>0</v>
      </c>
      <c r="O1821">
        <v>0</v>
      </c>
      <c r="P1821">
        <v>13398.7528</v>
      </c>
      <c r="Q1821">
        <v>63903</v>
      </c>
      <c r="R1821">
        <f>(Grandview_Inventory[[#This Row],[ln_acres]]*Grandview_Inventory[[#This Row],[coeff]])+Grandview_Inventory[[#This Row],[const]]</f>
        <v>44781.420733940802</v>
      </c>
      <c r="S1821" t="s">
        <v>61</v>
      </c>
      <c r="T1821">
        <v>1</v>
      </c>
      <c r="U1821" t="s">
        <v>80</v>
      </c>
      <c r="V1821" t="s">
        <v>69</v>
      </c>
      <c r="W1821">
        <v>0</v>
      </c>
      <c r="X1821">
        <v>0</v>
      </c>
      <c r="Y1821">
        <v>46</v>
      </c>
      <c r="Z1821">
        <v>53</v>
      </c>
      <c r="AA1821">
        <v>60</v>
      </c>
      <c r="AB1821">
        <v>1500</v>
      </c>
      <c r="AC1821">
        <v>1274</v>
      </c>
      <c r="AD1821">
        <v>1274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150</v>
      </c>
      <c r="AN1821">
        <v>0</v>
      </c>
      <c r="AO1821">
        <v>0</v>
      </c>
      <c r="AP1821">
        <v>5</v>
      </c>
      <c r="AQ1821">
        <v>0</v>
      </c>
      <c r="AR1821">
        <v>0</v>
      </c>
      <c r="AS1821" t="s">
        <v>58</v>
      </c>
      <c r="AT1821">
        <v>1</v>
      </c>
      <c r="AU1821" t="s">
        <v>75</v>
      </c>
      <c r="AV1821" t="s">
        <v>60</v>
      </c>
      <c r="AW1821">
        <v>0</v>
      </c>
      <c r="AX1821">
        <v>3</v>
      </c>
      <c r="AY1821">
        <v>0</v>
      </c>
      <c r="AZ1821">
        <v>0</v>
      </c>
      <c r="BA1821">
        <v>100</v>
      </c>
      <c r="BB1821">
        <v>100</v>
      </c>
      <c r="BC1821">
        <v>100</v>
      </c>
      <c r="BD1821">
        <v>100</v>
      </c>
      <c r="BE1821">
        <v>1</v>
      </c>
      <c r="BF1821">
        <v>15000</v>
      </c>
      <c r="BG1821">
        <v>1000</v>
      </c>
      <c r="BH1821" s="6">
        <f>Grandview_Inventory[[#This Row],[land_extract]]*Lookups!$B$3</f>
        <v>52004.542988489469</v>
      </c>
      <c r="BI1821" s="6">
        <f>IF(Grandview_Inventory[[#This Row],[bldg_style]]="",0,Lookups!$B$2)</f>
        <v>155833.95000000001</v>
      </c>
      <c r="BJ1821" s="6">
        <f>_xlfn.IFNA(VLOOKUP(Grandview_Inventory[[#This Row],[quality]],Lookups!$H$2:$J$14,3,FALSE),0)</f>
        <v>-28558</v>
      </c>
      <c r="BK1821" s="6">
        <f>_xlfn.IFNA(VLOOKUP(Grandview_Inventory[[#This Row],[condition]],Lookups!$H$17:$J$24,3,FALSE),0)</f>
        <v>-4503</v>
      </c>
      <c r="BL1821" s="6">
        <f>Grandview_Inventory[[#This Row],[Eff_Age]]*Lookups!$B$14</f>
        <v>-11001.6636</v>
      </c>
      <c r="BM1821" s="6">
        <f>Grandview_Inventory[[#This Row],[living_area]]*Lookups!$B$15</f>
        <v>79473.206722000003</v>
      </c>
      <c r="BN1821" s="6">
        <f>Grandview_Inventory[[#This Row],[Fin BSMT]]*Lookups!$B$16</f>
        <v>0</v>
      </c>
      <c r="BO1821" s="6">
        <f>(Grandview_Inventory[[#This Row],[att_gar]]+Grandview_Inventory[[#This Row],[bltin_gar]])*Lookups!$B$17</f>
        <v>0</v>
      </c>
      <c r="BP1821" s="6">
        <f>Grandview_Inventory[[#This Row],[Plumbing Fixtures]]*Lookups!$B$18</f>
        <v>10052.209000000001</v>
      </c>
      <c r="BQ1821" s="6">
        <f>Grandview_Inventory[[#This Row],[detatched_value]]*Lookups!$B$19</f>
        <v>0</v>
      </c>
      <c r="BR1821" s="6">
        <f>SUM(Grandview_Inventory[[#This Row],[Intercept]:[det_value]])*Grandview_Inventory[[#This Row],[res_pct]]</f>
        <v>201296.70212200002</v>
      </c>
      <c r="BS1821" s="6">
        <f>Grandview_Inventory[[#This Row],[land_value]]</f>
        <v>52004.542988489469</v>
      </c>
      <c r="BT1821" s="4">
        <f>_xlfn.IFNA(VLOOKUP(Grandview_Inventory[[#This Row],[quality]],Lookups!$A$26:$C$33,3,FALSE),1)</f>
        <v>0.9690360070159818</v>
      </c>
      <c r="BU1821" s="4">
        <f>_xlfn.IFNA(VLOOKUP(Grandview_Inventory[[#This Row],[condition]],Lookups!$A$37:$C$44,3,FALSE),1)</f>
        <v>0.96469275950863709</v>
      </c>
      <c r="BV1821" s="4">
        <f>IF(Grandview_Inventory[[#This Row],[bldg_style]]="",1,_xlfn.IFNA(VLOOKUP(Grandview_Inventory[[#This Row],[decade]],Lookups!$F$29:$H$43,3,FALSE),1))</f>
        <v>0.95268620544463312</v>
      </c>
      <c r="BW1821" s="4">
        <f>_xlfn.IFNA(VLOOKUP(Grandview_Inventory[[#This Row],[living_area_range]],Lookups!$F$47:$H$56,3,FALSE),1)</f>
        <v>0.96135087979789358</v>
      </c>
      <c r="BX1821" s="4">
        <f>AVERAGE(Grandview_Inventory[[#This Row],[qual_adj]:[size_adj]])</f>
        <v>0.9619414629417864</v>
      </c>
      <c r="BY1821" s="6">
        <f>IF(Grandview_Inventory[[#This Row],[pre_res]]&lt;0,0,Grandview_Inventory[[#This Row],[pre_res]]*Grandview_Inventory[[#This Row],[overall_adj]])</f>
        <v>193635.6441245937</v>
      </c>
      <c r="BZ1821" s="6">
        <f>(Grandview_Inventory[[#This Row],[sum_land]]-IF(Grandview_Inventory[[#This Row],[no_utilities]]=1,12000,0))/IF(Grandview_Inventory[[#This Row],[unbuildable]]=1,2,1)</f>
        <v>52004.542988489469</v>
      </c>
      <c r="CA182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821">
        <f>ROUND(Grandview_Inventory[[#This Row],[det_value]]*Lookups!$M$28,-2)</f>
        <v>0</v>
      </c>
      <c r="CC1821">
        <f>IF(ROUND(Grandview_Inventory[[#This Row],[adj_res]]*Lookups!$M$28,-2)&lt;Grandview_Inventory[[#This Row],[min_res]],Grandview_Inventory[[#This Row],[min_res]],ROUND(Grandview_Inventory[[#This Row],[adj_res]]*Lookups!$M$28,-2))</f>
        <v>184000</v>
      </c>
      <c r="CD1821">
        <f>Grandview_Inventory[[#This Row],[final_det]]+Grandview_Inventory[[#This Row],[final_res]]</f>
        <v>184000</v>
      </c>
      <c r="CE1821">
        <f>Grandview_Inventory[[#This Row],[final_land]]+Grandview_Inventory[[#This Row],[final_imp]]+Grandview_Inventory[[#This Row],[crop_value]]</f>
        <v>233400</v>
      </c>
      <c r="CG1821" t="str">
        <f t="shared" si="28"/>
        <v>update valuation set market_land =49400, market_bldg=184000, market_total =233400, market_mdno =401, market_date ='9/10/2023' where link_id = (select link_id from parcel where parcel_year = '2024' and parcel_id = '23092333465');</v>
      </c>
    </row>
    <row r="1822" spans="1:85" x14ac:dyDescent="0.25">
      <c r="A1822">
        <v>23092333466</v>
      </c>
      <c r="B1822">
        <v>0.22</v>
      </c>
      <c r="C1822">
        <v>9765</v>
      </c>
      <c r="D1822" t="s">
        <v>129</v>
      </c>
      <c r="E1822" t="s">
        <v>53</v>
      </c>
      <c r="F1822" t="s">
        <v>53</v>
      </c>
      <c r="G1822">
        <v>4</v>
      </c>
      <c r="H1822" t="s">
        <v>54</v>
      </c>
      <c r="I1822">
        <v>180100</v>
      </c>
      <c r="J1822">
        <v>39500</v>
      </c>
      <c r="K1822">
        <v>0.22</v>
      </c>
      <c r="L182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822">
        <v>0</v>
      </c>
      <c r="N1822">
        <v>0</v>
      </c>
      <c r="O1822">
        <v>0</v>
      </c>
      <c r="P1822">
        <v>13398.7528</v>
      </c>
      <c r="Q1822">
        <v>63903</v>
      </c>
      <c r="R1822">
        <f>(Grandview_Inventory[[#This Row],[ln_acres]]*Grandview_Inventory[[#This Row],[coeff]])+Grandview_Inventory[[#This Row],[const]]</f>
        <v>43615.576802869145</v>
      </c>
      <c r="S1822" t="s">
        <v>61</v>
      </c>
      <c r="T1822">
        <v>1</v>
      </c>
      <c r="U1822" t="s">
        <v>70</v>
      </c>
      <c r="V1822" t="s">
        <v>67</v>
      </c>
      <c r="W1822">
        <v>0</v>
      </c>
      <c r="X1822">
        <v>0</v>
      </c>
      <c r="Y1822">
        <v>44</v>
      </c>
      <c r="Z1822">
        <v>49</v>
      </c>
      <c r="AA1822">
        <v>50</v>
      </c>
      <c r="AB1822">
        <v>1500</v>
      </c>
      <c r="AC1822">
        <v>1080</v>
      </c>
      <c r="AD1822">
        <v>1080</v>
      </c>
      <c r="AE1822">
        <v>0</v>
      </c>
      <c r="AF1822">
        <v>0</v>
      </c>
      <c r="AG1822">
        <v>0</v>
      </c>
      <c r="AH1822">
        <v>0</v>
      </c>
      <c r="AI1822">
        <v>288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133</v>
      </c>
      <c r="AP1822">
        <v>5</v>
      </c>
      <c r="AQ1822">
        <v>0</v>
      </c>
      <c r="AR1822">
        <v>0</v>
      </c>
      <c r="AS1822" t="s">
        <v>58</v>
      </c>
      <c r="AT1822">
        <v>1</v>
      </c>
      <c r="AU1822" t="s">
        <v>63</v>
      </c>
      <c r="AV1822" t="s">
        <v>64</v>
      </c>
      <c r="AW1822">
        <v>0</v>
      </c>
      <c r="AX1822">
        <v>3</v>
      </c>
      <c r="AY1822">
        <v>0</v>
      </c>
      <c r="AZ1822">
        <v>0</v>
      </c>
      <c r="BA1822">
        <v>100</v>
      </c>
      <c r="BB1822">
        <v>100</v>
      </c>
      <c r="BC1822">
        <v>100</v>
      </c>
      <c r="BD1822">
        <v>100</v>
      </c>
      <c r="BE1822">
        <v>1</v>
      </c>
      <c r="BF1822">
        <v>15000</v>
      </c>
      <c r="BG1822">
        <v>1000</v>
      </c>
      <c r="BH1822" s="6">
        <f>Grandview_Inventory[[#This Row],[land_extract]]*Lookups!$B$3</f>
        <v>50650.651579114572</v>
      </c>
      <c r="BI1822" s="6">
        <f>IF(Grandview_Inventory[[#This Row],[bldg_style]]="",0,Lookups!$B$2)</f>
        <v>155833.95000000001</v>
      </c>
      <c r="BJ1822" s="6">
        <f>_xlfn.IFNA(VLOOKUP(Grandview_Inventory[[#This Row],[quality]],Lookups!$H$2:$J$14,3,FALSE),0)</f>
        <v>10733</v>
      </c>
      <c r="BK1822" s="6">
        <f>_xlfn.IFNA(VLOOKUP(Grandview_Inventory[[#This Row],[condition]],Lookups!$H$17:$J$24,3,FALSE),0)</f>
        <v>22342</v>
      </c>
      <c r="BL1822" s="6">
        <f>Grandview_Inventory[[#This Row],[Eff_Age]]*Lookups!$B$14</f>
        <v>-10523.330399999999</v>
      </c>
      <c r="BM1822" s="6">
        <f>Grandview_Inventory[[#This Row],[living_area]]*Lookups!$B$15</f>
        <v>67371.321240000005</v>
      </c>
      <c r="BN1822" s="6">
        <f>Grandview_Inventory[[#This Row],[Fin BSMT]]*Lookups!$B$16</f>
        <v>0</v>
      </c>
      <c r="BO1822" s="6">
        <f>(Grandview_Inventory[[#This Row],[att_gar]]+Grandview_Inventory[[#This Row],[bltin_gar]])*Lookups!$B$17</f>
        <v>25205.885856000001</v>
      </c>
      <c r="BP1822" s="6">
        <f>Grandview_Inventory[[#This Row],[Plumbing Fixtures]]*Lookups!$B$18</f>
        <v>10052.209000000001</v>
      </c>
      <c r="BQ1822" s="6">
        <f>Grandview_Inventory[[#This Row],[detatched_value]]*Lookups!$B$19</f>
        <v>0</v>
      </c>
      <c r="BR1822" s="6">
        <f>SUM(Grandview_Inventory[[#This Row],[Intercept]:[det_value]])*Grandview_Inventory[[#This Row],[res_pct]]</f>
        <v>281015.03569599998</v>
      </c>
      <c r="BS1822" s="6">
        <f>Grandview_Inventory[[#This Row],[land_value]]</f>
        <v>50650.651579114572</v>
      </c>
      <c r="BT1822" s="4">
        <f>_xlfn.IFNA(VLOOKUP(Grandview_Inventory[[#This Row],[quality]],Lookups!$A$26:$C$33,3,FALSE),1)</f>
        <v>0.98079741117310582</v>
      </c>
      <c r="BU1822" s="4">
        <f>_xlfn.IFNA(VLOOKUP(Grandview_Inventory[[#This Row],[condition]],Lookups!$A$37:$C$44,3,FALSE),1)</f>
        <v>0.97383723671140243</v>
      </c>
      <c r="BV1822" s="4">
        <f>IF(Grandview_Inventory[[#This Row],[bldg_style]]="",1,_xlfn.IFNA(VLOOKUP(Grandview_Inventory[[#This Row],[decade]],Lookups!$F$29:$H$43,3,FALSE),1))</f>
        <v>0.9871940091910919</v>
      </c>
      <c r="BW1822" s="4">
        <f>_xlfn.IFNA(VLOOKUP(Grandview_Inventory[[#This Row],[living_area_range]],Lookups!$F$47:$H$56,3,FALSE),1)</f>
        <v>0.96135087979789358</v>
      </c>
      <c r="BX1822" s="4">
        <f>AVERAGE(Grandview_Inventory[[#This Row],[qual_adj]:[size_adj]])</f>
        <v>0.97579488421837346</v>
      </c>
      <c r="BY1822" s="6">
        <f>IF(Grandview_Inventory[[#This Row],[pre_res]]&lt;0,0,Grandview_Inventory[[#This Row],[pre_res]]*Grandview_Inventory[[#This Row],[overall_adj]])</f>
        <v>274213.03422060038</v>
      </c>
      <c r="BZ1822" s="6">
        <f>(Grandview_Inventory[[#This Row],[sum_land]]-IF(Grandview_Inventory[[#This Row],[no_utilities]]=1,12000,0))/IF(Grandview_Inventory[[#This Row],[unbuildable]]=1,2,1)</f>
        <v>50650.651579114572</v>
      </c>
      <c r="CA182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822">
        <f>ROUND(Grandview_Inventory[[#This Row],[det_value]]*Lookups!$M$28,-2)</f>
        <v>0</v>
      </c>
      <c r="CC1822">
        <f>IF(ROUND(Grandview_Inventory[[#This Row],[adj_res]]*Lookups!$M$28,-2)&lt;Grandview_Inventory[[#This Row],[min_res]],Grandview_Inventory[[#This Row],[min_res]],ROUND(Grandview_Inventory[[#This Row],[adj_res]]*Lookups!$M$28,-2))</f>
        <v>260500</v>
      </c>
      <c r="CD1822">
        <f>Grandview_Inventory[[#This Row],[final_det]]+Grandview_Inventory[[#This Row],[final_res]]</f>
        <v>260500</v>
      </c>
      <c r="CE1822">
        <f>Grandview_Inventory[[#This Row],[final_land]]+Grandview_Inventory[[#This Row],[final_imp]]+Grandview_Inventory[[#This Row],[crop_value]]</f>
        <v>308600</v>
      </c>
      <c r="CG1822" t="str">
        <f t="shared" si="28"/>
        <v>update valuation set market_land =48100, market_bldg=260500, market_total =308600, market_mdno =401, market_date ='9/10/2023' where link_id = (select link_id from parcel where parcel_year = '2024' and parcel_id = '23092333466');</v>
      </c>
    </row>
    <row r="1823" spans="1:85" x14ac:dyDescent="0.25">
      <c r="A1823">
        <v>23092333467</v>
      </c>
      <c r="B1823">
        <v>0.23</v>
      </c>
      <c r="C1823">
        <v>9900</v>
      </c>
      <c r="D1823" t="s">
        <v>129</v>
      </c>
      <c r="E1823" t="s">
        <v>53</v>
      </c>
      <c r="F1823" t="s">
        <v>53</v>
      </c>
      <c r="G1823">
        <v>4</v>
      </c>
      <c r="H1823" t="s">
        <v>54</v>
      </c>
      <c r="I1823">
        <v>188400</v>
      </c>
      <c r="J1823">
        <v>39500</v>
      </c>
      <c r="K1823">
        <v>0.23</v>
      </c>
      <c r="L182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23">
        <v>0</v>
      </c>
      <c r="N1823">
        <v>0</v>
      </c>
      <c r="O1823">
        <v>0</v>
      </c>
      <c r="P1823">
        <v>13398.7528</v>
      </c>
      <c r="Q1823">
        <v>63903</v>
      </c>
      <c r="R1823">
        <f>(Grandview_Inventory[[#This Row],[ln_acres]]*Grandview_Inventory[[#This Row],[coeff]])+Grandview_Inventory[[#This Row],[const]]</f>
        <v>44211.174981080039</v>
      </c>
      <c r="S1823" t="s">
        <v>61</v>
      </c>
      <c r="T1823">
        <v>1</v>
      </c>
      <c r="U1823" t="s">
        <v>65</v>
      </c>
      <c r="V1823" t="s">
        <v>67</v>
      </c>
      <c r="W1823">
        <v>0</v>
      </c>
      <c r="X1823">
        <v>0</v>
      </c>
      <c r="Y1823">
        <v>44</v>
      </c>
      <c r="Z1823">
        <v>49</v>
      </c>
      <c r="AA1823">
        <v>50</v>
      </c>
      <c r="AB1823">
        <v>1500</v>
      </c>
      <c r="AC1823">
        <v>1368</v>
      </c>
      <c r="AD1823">
        <v>1368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198</v>
      </c>
      <c r="AN1823">
        <v>0</v>
      </c>
      <c r="AO1823">
        <v>0</v>
      </c>
      <c r="AP1823">
        <v>7</v>
      </c>
      <c r="AQ1823">
        <v>0</v>
      </c>
      <c r="AR1823">
        <v>0</v>
      </c>
      <c r="AS1823" t="s">
        <v>58</v>
      </c>
      <c r="AT1823">
        <v>1</v>
      </c>
      <c r="AU1823" t="s">
        <v>63</v>
      </c>
      <c r="AV1823" t="s">
        <v>64</v>
      </c>
      <c r="AW1823">
        <v>1</v>
      </c>
      <c r="AX1823">
        <v>3</v>
      </c>
      <c r="AY1823">
        <v>0</v>
      </c>
      <c r="AZ1823">
        <v>2500</v>
      </c>
      <c r="BA1823">
        <v>100</v>
      </c>
      <c r="BB1823">
        <v>100</v>
      </c>
      <c r="BC1823">
        <v>100</v>
      </c>
      <c r="BD1823">
        <v>100</v>
      </c>
      <c r="BE1823">
        <v>1</v>
      </c>
      <c r="BF1823">
        <v>15000</v>
      </c>
      <c r="BG1823">
        <v>1000</v>
      </c>
      <c r="BH1823" s="6">
        <f>Grandview_Inventory[[#This Row],[land_extract]]*Lookups!$B$3</f>
        <v>51342.318135355803</v>
      </c>
      <c r="BI1823" s="6">
        <f>IF(Grandview_Inventory[[#This Row],[bldg_style]]="",0,Lookups!$B$2)</f>
        <v>155833.95000000001</v>
      </c>
      <c r="BJ1823" s="6">
        <f>_xlfn.IFNA(VLOOKUP(Grandview_Inventory[[#This Row],[quality]],Lookups!$H$2:$J$14,3,FALSE),0)</f>
        <v>2251</v>
      </c>
      <c r="BK1823" s="6">
        <f>_xlfn.IFNA(VLOOKUP(Grandview_Inventory[[#This Row],[condition]],Lookups!$H$17:$J$24,3,FALSE),0)</f>
        <v>22342</v>
      </c>
      <c r="BL1823" s="6">
        <f>Grandview_Inventory[[#This Row],[Eff_Age]]*Lookups!$B$14</f>
        <v>-10523.330399999999</v>
      </c>
      <c r="BM1823" s="6">
        <f>Grandview_Inventory[[#This Row],[living_area]]*Lookups!$B$15</f>
        <v>85337.006904000009</v>
      </c>
      <c r="BN1823" s="6">
        <f>Grandview_Inventory[[#This Row],[Fin BSMT]]*Lookups!$B$16</f>
        <v>0</v>
      </c>
      <c r="BO1823" s="6">
        <f>(Grandview_Inventory[[#This Row],[att_gar]]+Grandview_Inventory[[#This Row],[bltin_gar]])*Lookups!$B$17</f>
        <v>0</v>
      </c>
      <c r="BP1823" s="6">
        <f>Grandview_Inventory[[#This Row],[Plumbing Fixtures]]*Lookups!$B$18</f>
        <v>14073.0926</v>
      </c>
      <c r="BQ1823" s="6">
        <f>Grandview_Inventory[[#This Row],[detatched_value]]*Lookups!$B$19</f>
        <v>2117.0127499999999</v>
      </c>
      <c r="BR1823" s="6">
        <f>SUM(Grandview_Inventory[[#This Row],[Intercept]:[det_value]])*Grandview_Inventory[[#This Row],[res_pct]]</f>
        <v>271430.73185400001</v>
      </c>
      <c r="BS1823" s="6">
        <f>Grandview_Inventory[[#This Row],[land_value]]</f>
        <v>51342.318135355803</v>
      </c>
      <c r="BT1823" s="4">
        <f>_xlfn.IFNA(VLOOKUP(Grandview_Inventory[[#This Row],[quality]],Lookups!$A$26:$C$33,3,FALSE),1)</f>
        <v>0.98763855981004833</v>
      </c>
      <c r="BU1823" s="4">
        <f>_xlfn.IFNA(VLOOKUP(Grandview_Inventory[[#This Row],[condition]],Lookups!$A$37:$C$44,3,FALSE),1)</f>
        <v>0.97383723671140243</v>
      </c>
      <c r="BV1823" s="4">
        <f>IF(Grandview_Inventory[[#This Row],[bldg_style]]="",1,_xlfn.IFNA(VLOOKUP(Grandview_Inventory[[#This Row],[decade]],Lookups!$F$29:$H$43,3,FALSE),1))</f>
        <v>0.9871940091910919</v>
      </c>
      <c r="BW1823" s="4">
        <f>_xlfn.IFNA(VLOOKUP(Grandview_Inventory[[#This Row],[living_area_range]],Lookups!$F$47:$H$56,3,FALSE),1)</f>
        <v>0.96135087979789358</v>
      </c>
      <c r="BX1823" s="4">
        <f>AVERAGE(Grandview_Inventory[[#This Row],[qual_adj]:[size_adj]])</f>
        <v>0.97750517137760906</v>
      </c>
      <c r="BY1823" s="6">
        <f>IF(Grandview_Inventory[[#This Row],[pre_res]]&lt;0,0,Grandview_Inventory[[#This Row],[pre_res]]*Grandview_Inventory[[#This Row],[overall_adj]])</f>
        <v>265324.94405809412</v>
      </c>
      <c r="BZ1823" s="6">
        <f>(Grandview_Inventory[[#This Row],[sum_land]]-IF(Grandview_Inventory[[#This Row],[no_utilities]]=1,12000,0))/IF(Grandview_Inventory[[#This Row],[unbuildable]]=1,2,1)</f>
        <v>51342.318135355803</v>
      </c>
      <c r="CA182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23">
        <f>ROUND(Grandview_Inventory[[#This Row],[det_value]]*Lookups!$M$28,-2)</f>
        <v>2000</v>
      </c>
      <c r="CC1823">
        <f>IF(ROUND(Grandview_Inventory[[#This Row],[adj_res]]*Lookups!$M$28,-2)&lt;Grandview_Inventory[[#This Row],[min_res]],Grandview_Inventory[[#This Row],[min_res]],ROUND(Grandview_Inventory[[#This Row],[adj_res]]*Lookups!$M$28,-2))</f>
        <v>252100</v>
      </c>
      <c r="CD1823">
        <f>Grandview_Inventory[[#This Row],[final_det]]+Grandview_Inventory[[#This Row],[final_res]]</f>
        <v>254100</v>
      </c>
      <c r="CE1823">
        <f>Grandview_Inventory[[#This Row],[final_land]]+Grandview_Inventory[[#This Row],[final_imp]]+Grandview_Inventory[[#This Row],[crop_value]]</f>
        <v>302900</v>
      </c>
      <c r="CG1823" t="str">
        <f t="shared" si="28"/>
        <v>update valuation set market_land =48800, market_bldg=254100, market_total =302900, market_mdno =401, market_date ='9/10/2023' where link_id = (select link_id from parcel where parcel_year = '2024' and parcel_id = '23092333467');</v>
      </c>
    </row>
    <row r="1824" spans="1:85" x14ac:dyDescent="0.25">
      <c r="A1824">
        <v>23092333468</v>
      </c>
      <c r="B1824">
        <v>0.23</v>
      </c>
      <c r="C1824">
        <v>9900</v>
      </c>
      <c r="D1824" t="s">
        <v>129</v>
      </c>
      <c r="E1824" t="s">
        <v>53</v>
      </c>
      <c r="F1824" t="s">
        <v>53</v>
      </c>
      <c r="G1824">
        <v>4</v>
      </c>
      <c r="H1824" t="s">
        <v>54</v>
      </c>
      <c r="I1824">
        <v>166000</v>
      </c>
      <c r="J1824">
        <v>39500</v>
      </c>
      <c r="K1824">
        <v>0.23</v>
      </c>
      <c r="L182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24">
        <v>0</v>
      </c>
      <c r="N1824">
        <v>0</v>
      </c>
      <c r="O1824">
        <v>0</v>
      </c>
      <c r="P1824">
        <v>13398.7528</v>
      </c>
      <c r="Q1824">
        <v>63903</v>
      </c>
      <c r="R1824">
        <f>(Grandview_Inventory[[#This Row],[ln_acres]]*Grandview_Inventory[[#This Row],[coeff]])+Grandview_Inventory[[#This Row],[const]]</f>
        <v>44211.174981080039</v>
      </c>
      <c r="S1824" t="s">
        <v>61</v>
      </c>
      <c r="T1824">
        <v>1</v>
      </c>
      <c r="U1824" t="s">
        <v>65</v>
      </c>
      <c r="V1824" t="s">
        <v>69</v>
      </c>
      <c r="W1824">
        <v>0</v>
      </c>
      <c r="X1824">
        <v>0</v>
      </c>
      <c r="Y1824">
        <v>44</v>
      </c>
      <c r="Z1824">
        <v>49</v>
      </c>
      <c r="AA1824">
        <v>50</v>
      </c>
      <c r="AB1824">
        <v>1500</v>
      </c>
      <c r="AC1824">
        <v>1344</v>
      </c>
      <c r="AD1824">
        <v>1344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270</v>
      </c>
      <c r="AN1824">
        <v>0</v>
      </c>
      <c r="AO1824">
        <v>270</v>
      </c>
      <c r="AP1824">
        <v>5</v>
      </c>
      <c r="AQ1824">
        <v>0</v>
      </c>
      <c r="AR1824">
        <v>0</v>
      </c>
      <c r="AS1824" t="s">
        <v>58</v>
      </c>
      <c r="AT1824">
        <v>1</v>
      </c>
      <c r="AU1824" t="s">
        <v>59</v>
      </c>
      <c r="AV1824" t="s">
        <v>60</v>
      </c>
      <c r="AW1824">
        <v>1</v>
      </c>
      <c r="AX1824">
        <v>3</v>
      </c>
      <c r="AY1824">
        <v>0</v>
      </c>
      <c r="AZ1824">
        <v>16500</v>
      </c>
      <c r="BA1824">
        <v>100</v>
      </c>
      <c r="BB1824">
        <v>100</v>
      </c>
      <c r="BC1824">
        <v>100</v>
      </c>
      <c r="BD1824">
        <v>100</v>
      </c>
      <c r="BE1824">
        <v>1</v>
      </c>
      <c r="BF1824">
        <v>15000</v>
      </c>
      <c r="BG1824">
        <v>1000</v>
      </c>
      <c r="BH1824" s="6">
        <f>Grandview_Inventory[[#This Row],[land_extract]]*Lookups!$B$3</f>
        <v>51342.318135355803</v>
      </c>
      <c r="BI1824" s="6">
        <f>IF(Grandview_Inventory[[#This Row],[bldg_style]]="",0,Lookups!$B$2)</f>
        <v>155833.95000000001</v>
      </c>
      <c r="BJ1824" s="6">
        <f>_xlfn.IFNA(VLOOKUP(Grandview_Inventory[[#This Row],[quality]],Lookups!$H$2:$J$14,3,FALSE),0)</f>
        <v>2251</v>
      </c>
      <c r="BK1824" s="6">
        <f>_xlfn.IFNA(VLOOKUP(Grandview_Inventory[[#This Row],[condition]],Lookups!$H$17:$J$24,3,FALSE),0)</f>
        <v>-4503</v>
      </c>
      <c r="BL1824" s="6">
        <f>Grandview_Inventory[[#This Row],[Eff_Age]]*Lookups!$B$14</f>
        <v>-10523.330399999999</v>
      </c>
      <c r="BM1824" s="6">
        <f>Grandview_Inventory[[#This Row],[living_area]]*Lookups!$B$15</f>
        <v>83839.86643200001</v>
      </c>
      <c r="BN1824" s="6">
        <f>Grandview_Inventory[[#This Row],[Fin BSMT]]*Lookups!$B$16</f>
        <v>0</v>
      </c>
      <c r="BO1824" s="6">
        <f>(Grandview_Inventory[[#This Row],[att_gar]]+Grandview_Inventory[[#This Row],[bltin_gar]])*Lookups!$B$17</f>
        <v>0</v>
      </c>
      <c r="BP1824" s="6">
        <f>Grandview_Inventory[[#This Row],[Plumbing Fixtures]]*Lookups!$B$18</f>
        <v>10052.209000000001</v>
      </c>
      <c r="BQ1824" s="6">
        <f>Grandview_Inventory[[#This Row],[detatched_value]]*Lookups!$B$19</f>
        <v>13972.284149999999</v>
      </c>
      <c r="BR1824" s="6">
        <f>SUM(Grandview_Inventory[[#This Row],[Intercept]:[det_value]])*Grandview_Inventory[[#This Row],[res_pct]]</f>
        <v>250922.97918200001</v>
      </c>
      <c r="BS1824" s="6">
        <f>Grandview_Inventory[[#This Row],[land_value]]</f>
        <v>51342.318135355803</v>
      </c>
      <c r="BT1824" s="4">
        <f>_xlfn.IFNA(VLOOKUP(Grandview_Inventory[[#This Row],[quality]],Lookups!$A$26:$C$33,3,FALSE),1)</f>
        <v>0.98763855981004833</v>
      </c>
      <c r="BU1824" s="4">
        <f>_xlfn.IFNA(VLOOKUP(Grandview_Inventory[[#This Row],[condition]],Lookups!$A$37:$C$44,3,FALSE),1)</f>
        <v>0.96469275950863709</v>
      </c>
      <c r="BV1824" s="4">
        <f>IF(Grandview_Inventory[[#This Row],[bldg_style]]="",1,_xlfn.IFNA(VLOOKUP(Grandview_Inventory[[#This Row],[decade]],Lookups!$F$29:$H$43,3,FALSE),1))</f>
        <v>0.9871940091910919</v>
      </c>
      <c r="BW1824" s="4">
        <f>_xlfn.IFNA(VLOOKUP(Grandview_Inventory[[#This Row],[living_area_range]],Lookups!$F$47:$H$56,3,FALSE),1)</f>
        <v>0.96135087979789358</v>
      </c>
      <c r="BX1824" s="4">
        <f>AVERAGE(Grandview_Inventory[[#This Row],[qual_adj]:[size_adj]])</f>
        <v>0.97521905207691773</v>
      </c>
      <c r="BY1824" s="6">
        <f>IF(Grandview_Inventory[[#This Row],[pre_res]]&lt;0,0,Grandview_Inventory[[#This Row],[pre_res]]*Grandview_Inventory[[#This Row],[overall_adj]])</f>
        <v>244704.86990218621</v>
      </c>
      <c r="BZ1824" s="6">
        <f>(Grandview_Inventory[[#This Row],[sum_land]]-IF(Grandview_Inventory[[#This Row],[no_utilities]]=1,12000,0))/IF(Grandview_Inventory[[#This Row],[unbuildable]]=1,2,1)</f>
        <v>51342.318135355803</v>
      </c>
      <c r="CA182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24">
        <f>ROUND(Grandview_Inventory[[#This Row],[det_value]]*Lookups!$M$28,-2)</f>
        <v>13300</v>
      </c>
      <c r="CC1824">
        <f>IF(ROUND(Grandview_Inventory[[#This Row],[adj_res]]*Lookups!$M$28,-2)&lt;Grandview_Inventory[[#This Row],[min_res]],Grandview_Inventory[[#This Row],[min_res]],ROUND(Grandview_Inventory[[#This Row],[adj_res]]*Lookups!$M$28,-2))</f>
        <v>232500</v>
      </c>
      <c r="CD1824">
        <f>Grandview_Inventory[[#This Row],[final_det]]+Grandview_Inventory[[#This Row],[final_res]]</f>
        <v>245800</v>
      </c>
      <c r="CE1824">
        <f>Grandview_Inventory[[#This Row],[final_land]]+Grandview_Inventory[[#This Row],[final_imp]]+Grandview_Inventory[[#This Row],[crop_value]]</f>
        <v>294600</v>
      </c>
      <c r="CG1824" t="str">
        <f t="shared" si="28"/>
        <v>update valuation set market_land =48800, market_bldg=245800, market_total =294600, market_mdno =401, market_date ='9/10/2023' where link_id = (select link_id from parcel where parcel_year = '2024' and parcel_id = '23092333468');</v>
      </c>
    </row>
    <row r="1825" spans="1:85" x14ac:dyDescent="0.25">
      <c r="A1825">
        <v>23092333469</v>
      </c>
      <c r="B1825">
        <v>0.23</v>
      </c>
      <c r="C1825">
        <v>9900</v>
      </c>
      <c r="D1825" t="s">
        <v>129</v>
      </c>
      <c r="E1825" t="s">
        <v>53</v>
      </c>
      <c r="F1825" t="s">
        <v>53</v>
      </c>
      <c r="G1825">
        <v>4</v>
      </c>
      <c r="H1825" t="s">
        <v>54</v>
      </c>
      <c r="I1825">
        <v>163300</v>
      </c>
      <c r="J1825">
        <v>39500</v>
      </c>
      <c r="K1825">
        <v>0.23</v>
      </c>
      <c r="L182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25">
        <v>0</v>
      </c>
      <c r="N1825">
        <v>0</v>
      </c>
      <c r="O1825">
        <v>0</v>
      </c>
      <c r="P1825">
        <v>13398.7528</v>
      </c>
      <c r="Q1825">
        <v>63903</v>
      </c>
      <c r="R1825">
        <f>(Grandview_Inventory[[#This Row],[ln_acres]]*Grandview_Inventory[[#This Row],[coeff]])+Grandview_Inventory[[#This Row],[const]]</f>
        <v>44211.174981080039</v>
      </c>
      <c r="S1825" t="s">
        <v>61</v>
      </c>
      <c r="T1825">
        <v>1</v>
      </c>
      <c r="U1825" t="s">
        <v>80</v>
      </c>
      <c r="V1825" t="s">
        <v>67</v>
      </c>
      <c r="W1825">
        <v>0</v>
      </c>
      <c r="X1825">
        <v>0</v>
      </c>
      <c r="Y1825">
        <v>44</v>
      </c>
      <c r="Z1825">
        <v>49</v>
      </c>
      <c r="AA1825">
        <v>50</v>
      </c>
      <c r="AB1825">
        <v>1500</v>
      </c>
      <c r="AC1825">
        <v>1080</v>
      </c>
      <c r="AD1825">
        <v>1080</v>
      </c>
      <c r="AE1825">
        <v>0</v>
      </c>
      <c r="AF1825">
        <v>0</v>
      </c>
      <c r="AG1825">
        <v>0</v>
      </c>
      <c r="AH1825">
        <v>0</v>
      </c>
      <c r="AI1825">
        <v>288</v>
      </c>
      <c r="AJ1825">
        <v>0</v>
      </c>
      <c r="AK1825">
        <v>0</v>
      </c>
      <c r="AL1825">
        <v>128</v>
      </c>
      <c r="AM1825">
        <v>0</v>
      </c>
      <c r="AN1825">
        <v>0</v>
      </c>
      <c r="AO1825">
        <v>0</v>
      </c>
      <c r="AP1825">
        <v>5</v>
      </c>
      <c r="AQ1825">
        <v>0</v>
      </c>
      <c r="AR1825">
        <v>0</v>
      </c>
      <c r="AS1825" t="s">
        <v>58</v>
      </c>
      <c r="AT1825">
        <v>1</v>
      </c>
      <c r="AU1825" t="s">
        <v>75</v>
      </c>
      <c r="AV1825" t="s">
        <v>60</v>
      </c>
      <c r="AW1825">
        <v>0</v>
      </c>
      <c r="AX1825">
        <v>3</v>
      </c>
      <c r="AY1825">
        <v>0</v>
      </c>
      <c r="AZ1825">
        <v>0</v>
      </c>
      <c r="BA1825">
        <v>100</v>
      </c>
      <c r="BB1825">
        <v>100</v>
      </c>
      <c r="BC1825">
        <v>100</v>
      </c>
      <c r="BD1825">
        <v>100</v>
      </c>
      <c r="BE1825">
        <v>1</v>
      </c>
      <c r="BF1825">
        <v>15000</v>
      </c>
      <c r="BG1825">
        <v>1000</v>
      </c>
      <c r="BH1825" s="6">
        <f>Grandview_Inventory[[#This Row],[land_extract]]*Lookups!$B$3</f>
        <v>51342.318135355803</v>
      </c>
      <c r="BI1825" s="6">
        <f>IF(Grandview_Inventory[[#This Row],[bldg_style]]="",0,Lookups!$B$2)</f>
        <v>155833.95000000001</v>
      </c>
      <c r="BJ1825" s="6">
        <f>_xlfn.IFNA(VLOOKUP(Grandview_Inventory[[#This Row],[quality]],Lookups!$H$2:$J$14,3,FALSE),0)</f>
        <v>-28558</v>
      </c>
      <c r="BK1825" s="6">
        <f>_xlfn.IFNA(VLOOKUP(Grandview_Inventory[[#This Row],[condition]],Lookups!$H$17:$J$24,3,FALSE),0)</f>
        <v>22342</v>
      </c>
      <c r="BL1825" s="6">
        <f>Grandview_Inventory[[#This Row],[Eff_Age]]*Lookups!$B$14</f>
        <v>-10523.330399999999</v>
      </c>
      <c r="BM1825" s="6">
        <f>Grandview_Inventory[[#This Row],[living_area]]*Lookups!$B$15</f>
        <v>67371.321240000005</v>
      </c>
      <c r="BN1825" s="6">
        <f>Grandview_Inventory[[#This Row],[Fin BSMT]]*Lookups!$B$16</f>
        <v>0</v>
      </c>
      <c r="BO1825" s="6">
        <f>(Grandview_Inventory[[#This Row],[att_gar]]+Grandview_Inventory[[#This Row],[bltin_gar]])*Lookups!$B$17</f>
        <v>25205.885856000001</v>
      </c>
      <c r="BP1825" s="6">
        <f>Grandview_Inventory[[#This Row],[Plumbing Fixtures]]*Lookups!$B$18</f>
        <v>10052.209000000001</v>
      </c>
      <c r="BQ1825" s="6">
        <f>Grandview_Inventory[[#This Row],[detatched_value]]*Lookups!$B$19</f>
        <v>0</v>
      </c>
      <c r="BR1825" s="6">
        <f>SUM(Grandview_Inventory[[#This Row],[Intercept]:[det_value]])*Grandview_Inventory[[#This Row],[res_pct]]</f>
        <v>241724.03569600001</v>
      </c>
      <c r="BS1825" s="6">
        <f>Grandview_Inventory[[#This Row],[land_value]]</f>
        <v>51342.318135355803</v>
      </c>
      <c r="BT1825" s="4">
        <f>_xlfn.IFNA(VLOOKUP(Grandview_Inventory[[#This Row],[quality]],Lookups!$A$26:$C$33,3,FALSE),1)</f>
        <v>0.9690360070159818</v>
      </c>
      <c r="BU1825" s="4">
        <f>_xlfn.IFNA(VLOOKUP(Grandview_Inventory[[#This Row],[condition]],Lookups!$A$37:$C$44,3,FALSE),1)</f>
        <v>0.97383723671140243</v>
      </c>
      <c r="BV1825" s="4">
        <f>IF(Grandview_Inventory[[#This Row],[bldg_style]]="",1,_xlfn.IFNA(VLOOKUP(Grandview_Inventory[[#This Row],[decade]],Lookups!$F$29:$H$43,3,FALSE),1))</f>
        <v>0.9871940091910919</v>
      </c>
      <c r="BW1825" s="4">
        <f>_xlfn.IFNA(VLOOKUP(Grandview_Inventory[[#This Row],[living_area_range]],Lookups!$F$47:$H$56,3,FALSE),1)</f>
        <v>0.96135087979789358</v>
      </c>
      <c r="BX1825" s="4">
        <f>AVERAGE(Grandview_Inventory[[#This Row],[qual_adj]:[size_adj]])</f>
        <v>0.97285453317909243</v>
      </c>
      <c r="BY1825" s="6">
        <f>IF(Grandview_Inventory[[#This Row],[pre_res]]&lt;0,0,Grandview_Inventory[[#This Row],[pre_res]]*Grandview_Inventory[[#This Row],[overall_adj]])</f>
        <v>235162.32390519837</v>
      </c>
      <c r="BZ1825" s="6">
        <f>(Grandview_Inventory[[#This Row],[sum_land]]-IF(Grandview_Inventory[[#This Row],[no_utilities]]=1,12000,0))/IF(Grandview_Inventory[[#This Row],[unbuildable]]=1,2,1)</f>
        <v>51342.318135355803</v>
      </c>
      <c r="CA182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25">
        <f>ROUND(Grandview_Inventory[[#This Row],[det_value]]*Lookups!$M$28,-2)</f>
        <v>0</v>
      </c>
      <c r="CC1825">
        <f>IF(ROUND(Grandview_Inventory[[#This Row],[adj_res]]*Lookups!$M$28,-2)&lt;Grandview_Inventory[[#This Row],[min_res]],Grandview_Inventory[[#This Row],[min_res]],ROUND(Grandview_Inventory[[#This Row],[adj_res]]*Lookups!$M$28,-2))</f>
        <v>223400</v>
      </c>
      <c r="CD1825">
        <f>Grandview_Inventory[[#This Row],[final_det]]+Grandview_Inventory[[#This Row],[final_res]]</f>
        <v>223400</v>
      </c>
      <c r="CE1825">
        <f>Grandview_Inventory[[#This Row],[final_land]]+Grandview_Inventory[[#This Row],[final_imp]]+Grandview_Inventory[[#This Row],[crop_value]]</f>
        <v>272200</v>
      </c>
      <c r="CG1825" t="str">
        <f t="shared" si="28"/>
        <v>update valuation set market_land =48800, market_bldg=223400, market_total =272200, market_mdno =401, market_date ='9/10/2023' where link_id = (select link_id from parcel where parcel_year = '2024' and parcel_id = '23092333469');</v>
      </c>
    </row>
    <row r="1826" spans="1:85" x14ac:dyDescent="0.25">
      <c r="A1826">
        <v>23092333470</v>
      </c>
      <c r="B1826">
        <v>0.23</v>
      </c>
      <c r="C1826">
        <v>9900</v>
      </c>
      <c r="D1826" t="s">
        <v>129</v>
      </c>
      <c r="E1826" t="s">
        <v>53</v>
      </c>
      <c r="F1826" t="s">
        <v>53</v>
      </c>
      <c r="G1826">
        <v>4</v>
      </c>
      <c r="H1826" t="s">
        <v>54</v>
      </c>
      <c r="I1826">
        <v>151400</v>
      </c>
      <c r="J1826">
        <v>39500</v>
      </c>
      <c r="K1826">
        <v>0.23</v>
      </c>
      <c r="L182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26">
        <v>0</v>
      </c>
      <c r="N1826">
        <v>0</v>
      </c>
      <c r="O1826">
        <v>0</v>
      </c>
      <c r="P1826">
        <v>13398.7528</v>
      </c>
      <c r="Q1826">
        <v>63903</v>
      </c>
      <c r="R1826">
        <f>(Grandview_Inventory[[#This Row],[ln_acres]]*Grandview_Inventory[[#This Row],[coeff]])+Grandview_Inventory[[#This Row],[const]]</f>
        <v>44211.174981080039</v>
      </c>
      <c r="S1826" t="s">
        <v>61</v>
      </c>
      <c r="T1826">
        <v>1</v>
      </c>
      <c r="U1826" t="s">
        <v>70</v>
      </c>
      <c r="V1826" t="s">
        <v>69</v>
      </c>
      <c r="W1826">
        <v>0</v>
      </c>
      <c r="X1826">
        <v>0</v>
      </c>
      <c r="Y1826">
        <v>44</v>
      </c>
      <c r="Z1826">
        <v>49</v>
      </c>
      <c r="AA1826">
        <v>50</v>
      </c>
      <c r="AB1826">
        <v>1500</v>
      </c>
      <c r="AC1826">
        <v>1080</v>
      </c>
      <c r="AD1826">
        <v>1080</v>
      </c>
      <c r="AE1826">
        <v>0</v>
      </c>
      <c r="AF1826">
        <v>0</v>
      </c>
      <c r="AG1826">
        <v>0</v>
      </c>
      <c r="AH1826">
        <v>0</v>
      </c>
      <c r="AI1826">
        <v>288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24</v>
      </c>
      <c r="AP1826">
        <v>5</v>
      </c>
      <c r="AQ1826">
        <v>0</v>
      </c>
      <c r="AR1826">
        <v>0</v>
      </c>
      <c r="AS1826" t="s">
        <v>58</v>
      </c>
      <c r="AT1826">
        <v>1</v>
      </c>
      <c r="AU1826" t="s">
        <v>75</v>
      </c>
      <c r="AV1826" t="s">
        <v>60</v>
      </c>
      <c r="AW1826">
        <v>0</v>
      </c>
      <c r="AX1826">
        <v>3</v>
      </c>
      <c r="AY1826">
        <v>0</v>
      </c>
      <c r="AZ1826">
        <v>0</v>
      </c>
      <c r="BA1826">
        <v>100</v>
      </c>
      <c r="BB1826">
        <v>100</v>
      </c>
      <c r="BC1826">
        <v>100</v>
      </c>
      <c r="BD1826">
        <v>100</v>
      </c>
      <c r="BE1826">
        <v>1</v>
      </c>
      <c r="BF1826">
        <v>15000</v>
      </c>
      <c r="BG1826">
        <v>1000</v>
      </c>
      <c r="BH1826" s="6">
        <f>Grandview_Inventory[[#This Row],[land_extract]]*Lookups!$B$3</f>
        <v>51342.318135355803</v>
      </c>
      <c r="BI1826" s="6">
        <f>IF(Grandview_Inventory[[#This Row],[bldg_style]]="",0,Lookups!$B$2)</f>
        <v>155833.95000000001</v>
      </c>
      <c r="BJ1826" s="6">
        <f>_xlfn.IFNA(VLOOKUP(Grandview_Inventory[[#This Row],[quality]],Lookups!$H$2:$J$14,3,FALSE),0)</f>
        <v>10733</v>
      </c>
      <c r="BK1826" s="6">
        <f>_xlfn.IFNA(VLOOKUP(Grandview_Inventory[[#This Row],[condition]],Lookups!$H$17:$J$24,3,FALSE),0)</f>
        <v>-4503</v>
      </c>
      <c r="BL1826" s="6">
        <f>Grandview_Inventory[[#This Row],[Eff_Age]]*Lookups!$B$14</f>
        <v>-10523.330399999999</v>
      </c>
      <c r="BM1826" s="6">
        <f>Grandview_Inventory[[#This Row],[living_area]]*Lookups!$B$15</f>
        <v>67371.321240000005</v>
      </c>
      <c r="BN1826" s="6">
        <f>Grandview_Inventory[[#This Row],[Fin BSMT]]*Lookups!$B$16</f>
        <v>0</v>
      </c>
      <c r="BO1826" s="6">
        <f>(Grandview_Inventory[[#This Row],[att_gar]]+Grandview_Inventory[[#This Row],[bltin_gar]])*Lookups!$B$17</f>
        <v>25205.885856000001</v>
      </c>
      <c r="BP1826" s="6">
        <f>Grandview_Inventory[[#This Row],[Plumbing Fixtures]]*Lookups!$B$18</f>
        <v>10052.209000000001</v>
      </c>
      <c r="BQ1826" s="6">
        <f>Grandview_Inventory[[#This Row],[detatched_value]]*Lookups!$B$19</f>
        <v>0</v>
      </c>
      <c r="BR1826" s="6">
        <f>SUM(Grandview_Inventory[[#This Row],[Intercept]:[det_value]])*Grandview_Inventory[[#This Row],[res_pct]]</f>
        <v>254170.03569600001</v>
      </c>
      <c r="BS1826" s="6">
        <f>Grandview_Inventory[[#This Row],[land_value]]</f>
        <v>51342.318135355803</v>
      </c>
      <c r="BT1826" s="4">
        <f>_xlfn.IFNA(VLOOKUP(Grandview_Inventory[[#This Row],[quality]],Lookups!$A$26:$C$33,3,FALSE),1)</f>
        <v>0.98079741117310582</v>
      </c>
      <c r="BU1826" s="4">
        <f>_xlfn.IFNA(VLOOKUP(Grandview_Inventory[[#This Row],[condition]],Lookups!$A$37:$C$44,3,FALSE),1)</f>
        <v>0.96469275950863709</v>
      </c>
      <c r="BV1826" s="4">
        <f>IF(Grandview_Inventory[[#This Row],[bldg_style]]="",1,_xlfn.IFNA(VLOOKUP(Grandview_Inventory[[#This Row],[decade]],Lookups!$F$29:$H$43,3,FALSE),1))</f>
        <v>0.9871940091910919</v>
      </c>
      <c r="BW1826" s="4">
        <f>_xlfn.IFNA(VLOOKUP(Grandview_Inventory[[#This Row],[living_area_range]],Lookups!$F$47:$H$56,3,FALSE),1)</f>
        <v>0.96135087979789358</v>
      </c>
      <c r="BX1826" s="4">
        <f>AVERAGE(Grandview_Inventory[[#This Row],[qual_adj]:[size_adj]])</f>
        <v>0.97350876491768212</v>
      </c>
      <c r="BY1826" s="6">
        <f>IF(Grandview_Inventory[[#This Row],[pre_res]]&lt;0,0,Grandview_Inventory[[#This Row],[pre_res]]*Grandview_Inventory[[#This Row],[overall_adj]])</f>
        <v>247436.75752949616</v>
      </c>
      <c r="BZ1826" s="6">
        <f>(Grandview_Inventory[[#This Row],[sum_land]]-IF(Grandview_Inventory[[#This Row],[no_utilities]]=1,12000,0))/IF(Grandview_Inventory[[#This Row],[unbuildable]]=1,2,1)</f>
        <v>51342.318135355803</v>
      </c>
      <c r="CA182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26">
        <f>ROUND(Grandview_Inventory[[#This Row],[det_value]]*Lookups!$M$28,-2)</f>
        <v>0</v>
      </c>
      <c r="CC1826">
        <f>IF(ROUND(Grandview_Inventory[[#This Row],[adj_res]]*Lookups!$M$28,-2)&lt;Grandview_Inventory[[#This Row],[min_res]],Grandview_Inventory[[#This Row],[min_res]],ROUND(Grandview_Inventory[[#This Row],[adj_res]]*Lookups!$M$28,-2))</f>
        <v>235100</v>
      </c>
      <c r="CD1826">
        <f>Grandview_Inventory[[#This Row],[final_det]]+Grandview_Inventory[[#This Row],[final_res]]</f>
        <v>235100</v>
      </c>
      <c r="CE1826">
        <f>Grandview_Inventory[[#This Row],[final_land]]+Grandview_Inventory[[#This Row],[final_imp]]+Grandview_Inventory[[#This Row],[crop_value]]</f>
        <v>283900</v>
      </c>
      <c r="CG1826" t="str">
        <f t="shared" si="28"/>
        <v>update valuation set market_land =48800, market_bldg=235100, market_total =283900, market_mdno =401, market_date ='9/10/2023' where link_id = (select link_id from parcel where parcel_year = '2024' and parcel_id = '23092333470');</v>
      </c>
    </row>
    <row r="1827" spans="1:85" x14ac:dyDescent="0.25">
      <c r="A1827">
        <v>23092333471</v>
      </c>
      <c r="B1827">
        <v>0.23</v>
      </c>
      <c r="C1827">
        <v>10142</v>
      </c>
      <c r="D1827" t="s">
        <v>129</v>
      </c>
      <c r="E1827" t="s">
        <v>53</v>
      </c>
      <c r="F1827" t="s">
        <v>53</v>
      </c>
      <c r="G1827">
        <v>4</v>
      </c>
      <c r="H1827" t="s">
        <v>54</v>
      </c>
      <c r="I1827">
        <v>192300</v>
      </c>
      <c r="J1827">
        <v>39700</v>
      </c>
      <c r="K1827">
        <v>0.23</v>
      </c>
      <c r="L182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27">
        <v>0</v>
      </c>
      <c r="N1827">
        <v>0</v>
      </c>
      <c r="O1827">
        <v>0</v>
      </c>
      <c r="P1827">
        <v>13398.7528</v>
      </c>
      <c r="Q1827">
        <v>63903</v>
      </c>
      <c r="R1827">
        <f>(Grandview_Inventory[[#This Row],[ln_acres]]*Grandview_Inventory[[#This Row],[coeff]])+Grandview_Inventory[[#This Row],[const]]</f>
        <v>44211.174981080039</v>
      </c>
      <c r="S1827" t="s">
        <v>61</v>
      </c>
      <c r="T1827">
        <v>1</v>
      </c>
      <c r="U1827" t="s">
        <v>70</v>
      </c>
      <c r="V1827" t="s">
        <v>67</v>
      </c>
      <c r="W1827">
        <v>0</v>
      </c>
      <c r="X1827">
        <v>0</v>
      </c>
      <c r="Y1827">
        <v>44</v>
      </c>
      <c r="Z1827">
        <v>49</v>
      </c>
      <c r="AA1827">
        <v>50</v>
      </c>
      <c r="AB1827">
        <v>1500</v>
      </c>
      <c r="AC1827">
        <v>1080</v>
      </c>
      <c r="AD1827">
        <v>1080</v>
      </c>
      <c r="AE1827">
        <v>0</v>
      </c>
      <c r="AF1827">
        <v>0</v>
      </c>
      <c r="AG1827">
        <v>0</v>
      </c>
      <c r="AH1827">
        <v>0</v>
      </c>
      <c r="AI1827">
        <v>288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8</v>
      </c>
      <c r="AQ1827">
        <v>0</v>
      </c>
      <c r="AR1827">
        <v>0</v>
      </c>
      <c r="AS1827" t="s">
        <v>58</v>
      </c>
      <c r="AT1827">
        <v>1</v>
      </c>
      <c r="AU1827" t="s">
        <v>75</v>
      </c>
      <c r="AV1827" t="s">
        <v>60</v>
      </c>
      <c r="AW1827">
        <v>0</v>
      </c>
      <c r="AX1827">
        <v>3</v>
      </c>
      <c r="AY1827">
        <v>0</v>
      </c>
      <c r="AZ1827">
        <v>0</v>
      </c>
      <c r="BA1827">
        <v>100</v>
      </c>
      <c r="BB1827">
        <v>100</v>
      </c>
      <c r="BC1827">
        <v>100</v>
      </c>
      <c r="BD1827">
        <v>100</v>
      </c>
      <c r="BE1827">
        <v>1</v>
      </c>
      <c r="BF1827">
        <v>15000</v>
      </c>
      <c r="BG1827">
        <v>1000</v>
      </c>
      <c r="BH1827" s="6">
        <f>Grandview_Inventory[[#This Row],[land_extract]]*Lookups!$B$3</f>
        <v>51342.318135355803</v>
      </c>
      <c r="BI1827" s="6">
        <f>IF(Grandview_Inventory[[#This Row],[bldg_style]]="",0,Lookups!$B$2)</f>
        <v>155833.95000000001</v>
      </c>
      <c r="BJ1827" s="6">
        <f>_xlfn.IFNA(VLOOKUP(Grandview_Inventory[[#This Row],[quality]],Lookups!$H$2:$J$14,3,FALSE),0)</f>
        <v>10733</v>
      </c>
      <c r="BK1827" s="6">
        <f>_xlfn.IFNA(VLOOKUP(Grandview_Inventory[[#This Row],[condition]],Lookups!$H$17:$J$24,3,FALSE),0)</f>
        <v>22342</v>
      </c>
      <c r="BL1827" s="6">
        <f>Grandview_Inventory[[#This Row],[Eff_Age]]*Lookups!$B$14</f>
        <v>-10523.330399999999</v>
      </c>
      <c r="BM1827" s="6">
        <f>Grandview_Inventory[[#This Row],[living_area]]*Lookups!$B$15</f>
        <v>67371.321240000005</v>
      </c>
      <c r="BN1827" s="6">
        <f>Grandview_Inventory[[#This Row],[Fin BSMT]]*Lookups!$B$16</f>
        <v>0</v>
      </c>
      <c r="BO1827" s="6">
        <f>(Grandview_Inventory[[#This Row],[att_gar]]+Grandview_Inventory[[#This Row],[bltin_gar]])*Lookups!$B$17</f>
        <v>25205.885856000001</v>
      </c>
      <c r="BP1827" s="6">
        <f>Grandview_Inventory[[#This Row],[Plumbing Fixtures]]*Lookups!$B$18</f>
        <v>16083.5344</v>
      </c>
      <c r="BQ1827" s="6">
        <f>Grandview_Inventory[[#This Row],[detatched_value]]*Lookups!$B$19</f>
        <v>0</v>
      </c>
      <c r="BR1827" s="6">
        <f>SUM(Grandview_Inventory[[#This Row],[Intercept]:[det_value]])*Grandview_Inventory[[#This Row],[res_pct]]</f>
        <v>287046.36109600001</v>
      </c>
      <c r="BS1827" s="6">
        <f>Grandview_Inventory[[#This Row],[land_value]]</f>
        <v>51342.318135355803</v>
      </c>
      <c r="BT1827" s="4">
        <f>_xlfn.IFNA(VLOOKUP(Grandview_Inventory[[#This Row],[quality]],Lookups!$A$26:$C$33,3,FALSE),1)</f>
        <v>0.98079741117310582</v>
      </c>
      <c r="BU1827" s="4">
        <f>_xlfn.IFNA(VLOOKUP(Grandview_Inventory[[#This Row],[condition]],Lookups!$A$37:$C$44,3,FALSE),1)</f>
        <v>0.97383723671140243</v>
      </c>
      <c r="BV1827" s="4">
        <f>IF(Grandview_Inventory[[#This Row],[bldg_style]]="",1,_xlfn.IFNA(VLOOKUP(Grandview_Inventory[[#This Row],[decade]],Lookups!$F$29:$H$43,3,FALSE),1))</f>
        <v>0.9871940091910919</v>
      </c>
      <c r="BW1827" s="4">
        <f>_xlfn.IFNA(VLOOKUP(Grandview_Inventory[[#This Row],[living_area_range]],Lookups!$F$47:$H$56,3,FALSE),1)</f>
        <v>0.96135087979789358</v>
      </c>
      <c r="BX1827" s="4">
        <f>AVERAGE(Grandview_Inventory[[#This Row],[qual_adj]:[size_adj]])</f>
        <v>0.97579488421837346</v>
      </c>
      <c r="BY1827" s="6">
        <f>IF(Grandview_Inventory[[#This Row],[pre_res]]&lt;0,0,Grandview_Inventory[[#This Row],[pre_res]]*Grandview_Inventory[[#This Row],[overall_adj]])</f>
        <v>280098.37069097674</v>
      </c>
      <c r="BZ1827" s="6">
        <f>(Grandview_Inventory[[#This Row],[sum_land]]-IF(Grandview_Inventory[[#This Row],[no_utilities]]=1,12000,0))/IF(Grandview_Inventory[[#This Row],[unbuildable]]=1,2,1)</f>
        <v>51342.318135355803</v>
      </c>
      <c r="CA182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27">
        <f>ROUND(Grandview_Inventory[[#This Row],[det_value]]*Lookups!$M$28,-2)</f>
        <v>0</v>
      </c>
      <c r="CC1827">
        <f>IF(ROUND(Grandview_Inventory[[#This Row],[adj_res]]*Lookups!$M$28,-2)&lt;Grandview_Inventory[[#This Row],[min_res]],Grandview_Inventory[[#This Row],[min_res]],ROUND(Grandview_Inventory[[#This Row],[adj_res]]*Lookups!$M$28,-2))</f>
        <v>266100</v>
      </c>
      <c r="CD1827">
        <f>Grandview_Inventory[[#This Row],[final_det]]+Grandview_Inventory[[#This Row],[final_res]]</f>
        <v>266100</v>
      </c>
      <c r="CE1827">
        <f>Grandview_Inventory[[#This Row],[final_land]]+Grandview_Inventory[[#This Row],[final_imp]]+Grandview_Inventory[[#This Row],[crop_value]]</f>
        <v>314900</v>
      </c>
      <c r="CG1827" t="str">
        <f t="shared" si="28"/>
        <v>update valuation set market_land =48800, market_bldg=266100, market_total =314900, market_mdno =401, market_date ='9/10/2023' where link_id = (select link_id from parcel where parcel_year = '2024' and parcel_id = '23092333471');</v>
      </c>
    </row>
    <row r="1828" spans="1:85" x14ac:dyDescent="0.25">
      <c r="A1828">
        <v>23092333472</v>
      </c>
      <c r="B1828">
        <v>0.26</v>
      </c>
      <c r="C1828">
        <v>11386</v>
      </c>
      <c r="D1828" t="s">
        <v>129</v>
      </c>
      <c r="E1828" t="s">
        <v>53</v>
      </c>
      <c r="F1828" t="s">
        <v>53</v>
      </c>
      <c r="G1828">
        <v>4</v>
      </c>
      <c r="H1828" t="s">
        <v>54</v>
      </c>
      <c r="I1828">
        <v>133200</v>
      </c>
      <c r="J1828">
        <v>40200</v>
      </c>
      <c r="K1828">
        <v>0.26</v>
      </c>
      <c r="L1828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828">
        <v>0</v>
      </c>
      <c r="N1828">
        <v>0</v>
      </c>
      <c r="O1828">
        <v>0</v>
      </c>
      <c r="P1828">
        <v>13398.7528</v>
      </c>
      <c r="Q1828">
        <v>63903</v>
      </c>
      <c r="R1828">
        <f>(Grandview_Inventory[[#This Row],[ln_acres]]*Grandview_Inventory[[#This Row],[coeff]])+Grandview_Inventory[[#This Row],[const]]</f>
        <v>45853.893187501177</v>
      </c>
      <c r="S1828" t="s">
        <v>61</v>
      </c>
      <c r="T1828">
        <v>1</v>
      </c>
      <c r="U1828" t="s">
        <v>65</v>
      </c>
      <c r="V1828" t="s">
        <v>69</v>
      </c>
      <c r="W1828">
        <v>0</v>
      </c>
      <c r="X1828">
        <v>0</v>
      </c>
      <c r="Y1828">
        <v>44</v>
      </c>
      <c r="Z1828">
        <v>48</v>
      </c>
      <c r="AA1828">
        <v>50</v>
      </c>
      <c r="AB1828">
        <v>1500</v>
      </c>
      <c r="AC1828">
        <v>1296</v>
      </c>
      <c r="AD1828">
        <v>1296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5</v>
      </c>
      <c r="AQ1828">
        <v>0</v>
      </c>
      <c r="AR1828">
        <v>0</v>
      </c>
      <c r="AS1828" t="s">
        <v>58</v>
      </c>
      <c r="AT1828">
        <v>1</v>
      </c>
      <c r="AU1828" t="s">
        <v>75</v>
      </c>
      <c r="AV1828" t="s">
        <v>60</v>
      </c>
      <c r="AW1828">
        <v>0</v>
      </c>
      <c r="AX1828">
        <v>3</v>
      </c>
      <c r="AY1828">
        <v>0</v>
      </c>
      <c r="AZ1828">
        <v>0</v>
      </c>
      <c r="BA1828">
        <v>100</v>
      </c>
      <c r="BB1828">
        <v>100</v>
      </c>
      <c r="BC1828">
        <v>100</v>
      </c>
      <c r="BD1828">
        <v>100</v>
      </c>
      <c r="BE1828">
        <v>1</v>
      </c>
      <c r="BF1828">
        <v>15000</v>
      </c>
      <c r="BG1828">
        <v>1000</v>
      </c>
      <c r="BH1828" s="6">
        <f>Grandview_Inventory[[#This Row],[land_extract]]*Lookups!$B$3</f>
        <v>53250.00235313351</v>
      </c>
      <c r="BI1828" s="6">
        <f>IF(Grandview_Inventory[[#This Row],[bldg_style]]="",0,Lookups!$B$2)</f>
        <v>155833.95000000001</v>
      </c>
      <c r="BJ1828" s="6">
        <f>_xlfn.IFNA(VLOOKUP(Grandview_Inventory[[#This Row],[quality]],Lookups!$H$2:$J$14,3,FALSE),0)</f>
        <v>2251</v>
      </c>
      <c r="BK1828" s="6">
        <f>_xlfn.IFNA(VLOOKUP(Grandview_Inventory[[#This Row],[condition]],Lookups!$H$17:$J$24,3,FALSE),0)</f>
        <v>-4503</v>
      </c>
      <c r="BL1828" s="6">
        <f>Grandview_Inventory[[#This Row],[Eff_Age]]*Lookups!$B$14</f>
        <v>-10523.330399999999</v>
      </c>
      <c r="BM1828" s="6">
        <f>Grandview_Inventory[[#This Row],[living_area]]*Lookups!$B$15</f>
        <v>80845.585487999997</v>
      </c>
      <c r="BN1828" s="6">
        <f>Grandview_Inventory[[#This Row],[Fin BSMT]]*Lookups!$B$16</f>
        <v>0</v>
      </c>
      <c r="BO1828" s="6">
        <f>(Grandview_Inventory[[#This Row],[att_gar]]+Grandview_Inventory[[#This Row],[bltin_gar]])*Lookups!$B$17</f>
        <v>0</v>
      </c>
      <c r="BP1828" s="6">
        <f>Grandview_Inventory[[#This Row],[Plumbing Fixtures]]*Lookups!$B$18</f>
        <v>10052.209000000001</v>
      </c>
      <c r="BQ1828" s="6">
        <f>Grandview_Inventory[[#This Row],[detatched_value]]*Lookups!$B$19</f>
        <v>0</v>
      </c>
      <c r="BR1828" s="6">
        <f>SUM(Grandview_Inventory[[#This Row],[Intercept]:[det_value]])*Grandview_Inventory[[#This Row],[res_pct]]</f>
        <v>233956.41408799999</v>
      </c>
      <c r="BS1828" s="6">
        <f>Grandview_Inventory[[#This Row],[land_value]]</f>
        <v>53250.00235313351</v>
      </c>
      <c r="BT1828" s="4">
        <f>_xlfn.IFNA(VLOOKUP(Grandview_Inventory[[#This Row],[quality]],Lookups!$A$26:$C$33,3,FALSE),1)</f>
        <v>0.98763855981004833</v>
      </c>
      <c r="BU1828" s="4">
        <f>_xlfn.IFNA(VLOOKUP(Grandview_Inventory[[#This Row],[condition]],Lookups!$A$37:$C$44,3,FALSE),1)</f>
        <v>0.96469275950863709</v>
      </c>
      <c r="BV1828" s="4">
        <f>IF(Grandview_Inventory[[#This Row],[bldg_style]]="",1,_xlfn.IFNA(VLOOKUP(Grandview_Inventory[[#This Row],[decade]],Lookups!$F$29:$H$43,3,FALSE),1))</f>
        <v>0.9871940091910919</v>
      </c>
      <c r="BW1828" s="4">
        <f>_xlfn.IFNA(VLOOKUP(Grandview_Inventory[[#This Row],[living_area_range]],Lookups!$F$47:$H$56,3,FALSE),1)</f>
        <v>0.96135087979789358</v>
      </c>
      <c r="BX1828" s="4">
        <f>AVERAGE(Grandview_Inventory[[#This Row],[qual_adj]:[size_adj]])</f>
        <v>0.97521905207691773</v>
      </c>
      <c r="BY1828" s="6">
        <f>IF(Grandview_Inventory[[#This Row],[pre_res]]&lt;0,0,Grandview_Inventory[[#This Row],[pre_res]]*Grandview_Inventory[[#This Row],[overall_adj]])</f>
        <v>228158.75237421418</v>
      </c>
      <c r="BZ1828" s="6">
        <f>(Grandview_Inventory[[#This Row],[sum_land]]-IF(Grandview_Inventory[[#This Row],[no_utilities]]=1,12000,0))/IF(Grandview_Inventory[[#This Row],[unbuildable]]=1,2,1)</f>
        <v>53250.00235313351</v>
      </c>
      <c r="CA1828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828">
        <f>ROUND(Grandview_Inventory[[#This Row],[det_value]]*Lookups!$M$28,-2)</f>
        <v>0</v>
      </c>
      <c r="CC1828">
        <f>IF(ROUND(Grandview_Inventory[[#This Row],[adj_res]]*Lookups!$M$28,-2)&lt;Grandview_Inventory[[#This Row],[min_res]],Grandview_Inventory[[#This Row],[min_res]],ROUND(Grandview_Inventory[[#This Row],[adj_res]]*Lookups!$M$28,-2))</f>
        <v>216800</v>
      </c>
      <c r="CD1828">
        <f>Grandview_Inventory[[#This Row],[final_det]]+Grandview_Inventory[[#This Row],[final_res]]</f>
        <v>216800</v>
      </c>
      <c r="CE1828">
        <f>Grandview_Inventory[[#This Row],[final_land]]+Grandview_Inventory[[#This Row],[final_imp]]+Grandview_Inventory[[#This Row],[crop_value]]</f>
        <v>267400</v>
      </c>
      <c r="CG1828" t="str">
        <f t="shared" si="28"/>
        <v>update valuation set market_land =50600, market_bldg=216800, market_total =267400, market_mdno =401, market_date ='9/10/2023' where link_id = (select link_id from parcel where parcel_year = '2024' and parcel_id = '23092333472');</v>
      </c>
    </row>
    <row r="1829" spans="1:85" x14ac:dyDescent="0.25">
      <c r="A1829">
        <v>23092333473</v>
      </c>
      <c r="B1829">
        <v>0.28999999999999998</v>
      </c>
      <c r="C1829">
        <v>12465</v>
      </c>
      <c r="D1829" t="s">
        <v>129</v>
      </c>
      <c r="E1829" t="s">
        <v>53</v>
      </c>
      <c r="F1829" t="s">
        <v>53</v>
      </c>
      <c r="G1829">
        <v>4</v>
      </c>
      <c r="H1829" t="s">
        <v>54</v>
      </c>
      <c r="I1829">
        <v>151400</v>
      </c>
      <c r="J1829">
        <v>40400</v>
      </c>
      <c r="K1829">
        <v>0.28999999999999998</v>
      </c>
      <c r="L1829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829">
        <v>0</v>
      </c>
      <c r="N1829">
        <v>0</v>
      </c>
      <c r="O1829">
        <v>0</v>
      </c>
      <c r="P1829">
        <v>13398.7528</v>
      </c>
      <c r="Q1829">
        <v>63903</v>
      </c>
      <c r="R1829">
        <f>(Grandview_Inventory[[#This Row],[ln_acres]]*Grandview_Inventory[[#This Row],[coeff]])+Grandview_Inventory[[#This Row],[const]]</f>
        <v>47317.027506475133</v>
      </c>
      <c r="S1829" t="s">
        <v>61</v>
      </c>
      <c r="T1829">
        <v>1</v>
      </c>
      <c r="U1829" t="s">
        <v>70</v>
      </c>
      <c r="V1829" t="s">
        <v>69</v>
      </c>
      <c r="W1829">
        <v>0</v>
      </c>
      <c r="X1829">
        <v>0</v>
      </c>
      <c r="Y1829">
        <v>44</v>
      </c>
      <c r="Z1829">
        <v>48</v>
      </c>
      <c r="AA1829">
        <v>50</v>
      </c>
      <c r="AB1829">
        <v>1500</v>
      </c>
      <c r="AC1829">
        <v>1080</v>
      </c>
      <c r="AD1829">
        <v>1080</v>
      </c>
      <c r="AE1829">
        <v>0</v>
      </c>
      <c r="AF1829">
        <v>0</v>
      </c>
      <c r="AG1829">
        <v>0</v>
      </c>
      <c r="AH1829">
        <v>0</v>
      </c>
      <c r="AI1829">
        <v>288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5</v>
      </c>
      <c r="AQ1829">
        <v>0</v>
      </c>
      <c r="AR1829">
        <v>0</v>
      </c>
      <c r="AS1829" t="s">
        <v>58</v>
      </c>
      <c r="AT1829">
        <v>1</v>
      </c>
      <c r="AU1829" t="s">
        <v>75</v>
      </c>
      <c r="AV1829" t="s">
        <v>60</v>
      </c>
      <c r="AW1829">
        <v>0</v>
      </c>
      <c r="AX1829">
        <v>3</v>
      </c>
      <c r="AY1829">
        <v>0</v>
      </c>
      <c r="AZ1829">
        <v>0</v>
      </c>
      <c r="BA1829">
        <v>100</v>
      </c>
      <c r="BB1829">
        <v>100</v>
      </c>
      <c r="BC1829">
        <v>100</v>
      </c>
      <c r="BD1829">
        <v>100</v>
      </c>
      <c r="BE1829">
        <v>1</v>
      </c>
      <c r="BF1829">
        <v>15000</v>
      </c>
      <c r="BG1829">
        <v>1000</v>
      </c>
      <c r="BH1829" s="6">
        <f>Grandview_Inventory[[#This Row],[land_extract]]*Lookups!$B$3</f>
        <v>54949.136287295303</v>
      </c>
      <c r="BI1829" s="6">
        <f>IF(Grandview_Inventory[[#This Row],[bldg_style]]="",0,Lookups!$B$2)</f>
        <v>155833.95000000001</v>
      </c>
      <c r="BJ1829" s="6">
        <f>_xlfn.IFNA(VLOOKUP(Grandview_Inventory[[#This Row],[quality]],Lookups!$H$2:$J$14,3,FALSE),0)</f>
        <v>10733</v>
      </c>
      <c r="BK1829" s="6">
        <f>_xlfn.IFNA(VLOOKUP(Grandview_Inventory[[#This Row],[condition]],Lookups!$H$17:$J$24,3,FALSE),0)</f>
        <v>-4503</v>
      </c>
      <c r="BL1829" s="6">
        <f>Grandview_Inventory[[#This Row],[Eff_Age]]*Lookups!$B$14</f>
        <v>-10523.330399999999</v>
      </c>
      <c r="BM1829" s="6">
        <f>Grandview_Inventory[[#This Row],[living_area]]*Lookups!$B$15</f>
        <v>67371.321240000005</v>
      </c>
      <c r="BN1829" s="6">
        <f>Grandview_Inventory[[#This Row],[Fin BSMT]]*Lookups!$B$16</f>
        <v>0</v>
      </c>
      <c r="BO1829" s="6">
        <f>(Grandview_Inventory[[#This Row],[att_gar]]+Grandview_Inventory[[#This Row],[bltin_gar]])*Lookups!$B$17</f>
        <v>25205.885856000001</v>
      </c>
      <c r="BP1829" s="6">
        <f>Grandview_Inventory[[#This Row],[Plumbing Fixtures]]*Lookups!$B$18</f>
        <v>10052.209000000001</v>
      </c>
      <c r="BQ1829" s="6">
        <f>Grandview_Inventory[[#This Row],[detatched_value]]*Lookups!$B$19</f>
        <v>0</v>
      </c>
      <c r="BR1829" s="6">
        <f>SUM(Grandview_Inventory[[#This Row],[Intercept]:[det_value]])*Grandview_Inventory[[#This Row],[res_pct]]</f>
        <v>254170.03569600001</v>
      </c>
      <c r="BS1829" s="6">
        <f>Grandview_Inventory[[#This Row],[land_value]]</f>
        <v>54949.136287295303</v>
      </c>
      <c r="BT1829" s="4">
        <f>_xlfn.IFNA(VLOOKUP(Grandview_Inventory[[#This Row],[quality]],Lookups!$A$26:$C$33,3,FALSE),1)</f>
        <v>0.98079741117310582</v>
      </c>
      <c r="BU1829" s="4">
        <f>_xlfn.IFNA(VLOOKUP(Grandview_Inventory[[#This Row],[condition]],Lookups!$A$37:$C$44,3,FALSE),1)</f>
        <v>0.96469275950863709</v>
      </c>
      <c r="BV1829" s="4">
        <f>IF(Grandview_Inventory[[#This Row],[bldg_style]]="",1,_xlfn.IFNA(VLOOKUP(Grandview_Inventory[[#This Row],[decade]],Lookups!$F$29:$H$43,3,FALSE),1))</f>
        <v>0.9871940091910919</v>
      </c>
      <c r="BW1829" s="4">
        <f>_xlfn.IFNA(VLOOKUP(Grandview_Inventory[[#This Row],[living_area_range]],Lookups!$F$47:$H$56,3,FALSE),1)</f>
        <v>0.96135087979789358</v>
      </c>
      <c r="BX1829" s="4">
        <f>AVERAGE(Grandview_Inventory[[#This Row],[qual_adj]:[size_adj]])</f>
        <v>0.97350876491768212</v>
      </c>
      <c r="BY1829" s="6">
        <f>IF(Grandview_Inventory[[#This Row],[pre_res]]&lt;0,0,Grandview_Inventory[[#This Row],[pre_res]]*Grandview_Inventory[[#This Row],[overall_adj]])</f>
        <v>247436.75752949616</v>
      </c>
      <c r="BZ1829" s="6">
        <f>(Grandview_Inventory[[#This Row],[sum_land]]-IF(Grandview_Inventory[[#This Row],[no_utilities]]=1,12000,0))/IF(Grandview_Inventory[[#This Row],[unbuildable]]=1,2,1)</f>
        <v>54949.136287295303</v>
      </c>
      <c r="CA1829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829">
        <f>ROUND(Grandview_Inventory[[#This Row],[det_value]]*Lookups!$M$28,-2)</f>
        <v>0</v>
      </c>
      <c r="CC1829">
        <f>IF(ROUND(Grandview_Inventory[[#This Row],[adj_res]]*Lookups!$M$28,-2)&lt;Grandview_Inventory[[#This Row],[min_res]],Grandview_Inventory[[#This Row],[min_res]],ROUND(Grandview_Inventory[[#This Row],[adj_res]]*Lookups!$M$28,-2))</f>
        <v>235100</v>
      </c>
      <c r="CD1829">
        <f>Grandview_Inventory[[#This Row],[final_det]]+Grandview_Inventory[[#This Row],[final_res]]</f>
        <v>235100</v>
      </c>
      <c r="CE1829">
        <f>Grandview_Inventory[[#This Row],[final_land]]+Grandview_Inventory[[#This Row],[final_imp]]+Grandview_Inventory[[#This Row],[crop_value]]</f>
        <v>287300</v>
      </c>
      <c r="CG1829" t="str">
        <f t="shared" si="28"/>
        <v>update valuation set market_land =52200, market_bldg=235100, market_total =287300, market_mdno =401, market_date ='9/10/2023' where link_id = (select link_id from parcel where parcel_year = '2024' and parcel_id = '23092333473');</v>
      </c>
    </row>
    <row r="1830" spans="1:85" x14ac:dyDescent="0.25">
      <c r="A1830">
        <v>23092333474</v>
      </c>
      <c r="B1830">
        <v>0.22</v>
      </c>
      <c r="C1830">
        <v>9427</v>
      </c>
      <c r="D1830" t="s">
        <v>129</v>
      </c>
      <c r="E1830" t="s">
        <v>53</v>
      </c>
      <c r="F1830" t="s">
        <v>53</v>
      </c>
      <c r="G1830">
        <v>4</v>
      </c>
      <c r="H1830" t="s">
        <v>54</v>
      </c>
      <c r="I1830">
        <v>229500</v>
      </c>
      <c r="J1830">
        <v>39500</v>
      </c>
      <c r="K1830">
        <v>0.22</v>
      </c>
      <c r="L183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830">
        <v>0</v>
      </c>
      <c r="N1830">
        <v>0</v>
      </c>
      <c r="O1830">
        <v>0</v>
      </c>
      <c r="P1830">
        <v>13398.7528</v>
      </c>
      <c r="Q1830">
        <v>63903</v>
      </c>
      <c r="R1830">
        <f>(Grandview_Inventory[[#This Row],[ln_acres]]*Grandview_Inventory[[#This Row],[coeff]])+Grandview_Inventory[[#This Row],[const]]</f>
        <v>43615.576802869145</v>
      </c>
      <c r="S1830" t="s">
        <v>61</v>
      </c>
      <c r="T1830">
        <v>1</v>
      </c>
      <c r="U1830" t="s">
        <v>65</v>
      </c>
      <c r="V1830" t="s">
        <v>67</v>
      </c>
      <c r="W1830">
        <v>0</v>
      </c>
      <c r="X1830">
        <v>0</v>
      </c>
      <c r="Y1830">
        <v>38</v>
      </c>
      <c r="Z1830">
        <v>48</v>
      </c>
      <c r="AA1830">
        <v>50</v>
      </c>
      <c r="AB1830">
        <v>1500</v>
      </c>
      <c r="AC1830">
        <v>1368</v>
      </c>
      <c r="AD1830">
        <v>1368</v>
      </c>
      <c r="AE1830">
        <v>0</v>
      </c>
      <c r="AF1830">
        <v>0</v>
      </c>
      <c r="AG1830">
        <v>0</v>
      </c>
      <c r="AH1830">
        <v>0</v>
      </c>
      <c r="AI1830">
        <v>640</v>
      </c>
      <c r="AJ1830">
        <v>0</v>
      </c>
      <c r="AK1830">
        <v>0</v>
      </c>
      <c r="AL1830">
        <v>0</v>
      </c>
      <c r="AM1830">
        <v>320</v>
      </c>
      <c r="AN1830">
        <v>0</v>
      </c>
      <c r="AO1830">
        <v>0</v>
      </c>
      <c r="AP1830">
        <v>5</v>
      </c>
      <c r="AQ1830">
        <v>0</v>
      </c>
      <c r="AR1830">
        <v>0</v>
      </c>
      <c r="AS1830" t="s">
        <v>58</v>
      </c>
      <c r="AT1830">
        <v>1</v>
      </c>
      <c r="AU1830" t="s">
        <v>59</v>
      </c>
      <c r="AV1830" t="s">
        <v>60</v>
      </c>
      <c r="AW1830">
        <v>1</v>
      </c>
      <c r="AX1830">
        <v>3</v>
      </c>
      <c r="AY1830">
        <v>0</v>
      </c>
      <c r="AZ1830">
        <v>0</v>
      </c>
      <c r="BA1830">
        <v>100</v>
      </c>
      <c r="BB1830">
        <v>100</v>
      </c>
      <c r="BC1830">
        <v>100</v>
      </c>
      <c r="BD1830">
        <v>100</v>
      </c>
      <c r="BE1830">
        <v>1</v>
      </c>
      <c r="BF1830">
        <v>15000</v>
      </c>
      <c r="BG1830">
        <v>1000</v>
      </c>
      <c r="BH1830" s="6">
        <f>Grandview_Inventory[[#This Row],[land_extract]]*Lookups!$B$3</f>
        <v>50650.651579114572</v>
      </c>
      <c r="BI1830" s="6">
        <f>IF(Grandview_Inventory[[#This Row],[bldg_style]]="",0,Lookups!$B$2)</f>
        <v>155833.95000000001</v>
      </c>
      <c r="BJ1830" s="6">
        <f>_xlfn.IFNA(VLOOKUP(Grandview_Inventory[[#This Row],[quality]],Lookups!$H$2:$J$14,3,FALSE),0)</f>
        <v>2251</v>
      </c>
      <c r="BK1830" s="6">
        <f>_xlfn.IFNA(VLOOKUP(Grandview_Inventory[[#This Row],[condition]],Lookups!$H$17:$J$24,3,FALSE),0)</f>
        <v>22342</v>
      </c>
      <c r="BL1830" s="6">
        <f>Grandview_Inventory[[#This Row],[Eff_Age]]*Lookups!$B$14</f>
        <v>-9088.3307999999997</v>
      </c>
      <c r="BM1830" s="6">
        <f>Grandview_Inventory[[#This Row],[living_area]]*Lookups!$B$15</f>
        <v>85337.006904000009</v>
      </c>
      <c r="BN1830" s="6">
        <f>Grandview_Inventory[[#This Row],[Fin BSMT]]*Lookups!$B$16</f>
        <v>0</v>
      </c>
      <c r="BO1830" s="6">
        <f>(Grandview_Inventory[[#This Row],[att_gar]]+Grandview_Inventory[[#This Row],[bltin_gar]])*Lookups!$B$17</f>
        <v>56013.079680000003</v>
      </c>
      <c r="BP1830" s="6">
        <f>Grandview_Inventory[[#This Row],[Plumbing Fixtures]]*Lookups!$B$18</f>
        <v>10052.209000000001</v>
      </c>
      <c r="BQ1830" s="6">
        <f>Grandview_Inventory[[#This Row],[detatched_value]]*Lookups!$B$19</f>
        <v>0</v>
      </c>
      <c r="BR1830" s="6">
        <f>SUM(Grandview_Inventory[[#This Row],[Intercept]:[det_value]])*Grandview_Inventory[[#This Row],[res_pct]]</f>
        <v>322740.91478400002</v>
      </c>
      <c r="BS1830" s="6">
        <f>Grandview_Inventory[[#This Row],[land_value]]</f>
        <v>50650.651579114572</v>
      </c>
      <c r="BT1830" s="4">
        <f>_xlfn.IFNA(VLOOKUP(Grandview_Inventory[[#This Row],[quality]],Lookups!$A$26:$C$33,3,FALSE),1)</f>
        <v>0.98763855981004833</v>
      </c>
      <c r="BU1830" s="4">
        <f>_xlfn.IFNA(VLOOKUP(Grandview_Inventory[[#This Row],[condition]],Lookups!$A$37:$C$44,3,FALSE),1)</f>
        <v>0.97383723671140243</v>
      </c>
      <c r="BV1830" s="4">
        <f>IF(Grandview_Inventory[[#This Row],[bldg_style]]="",1,_xlfn.IFNA(VLOOKUP(Grandview_Inventory[[#This Row],[decade]],Lookups!$F$29:$H$43,3,FALSE),1))</f>
        <v>0.9871940091910919</v>
      </c>
      <c r="BW1830" s="4">
        <f>_xlfn.IFNA(VLOOKUP(Grandview_Inventory[[#This Row],[living_area_range]],Lookups!$F$47:$H$56,3,FALSE),1)</f>
        <v>0.96135087979789358</v>
      </c>
      <c r="BX1830" s="4">
        <f>AVERAGE(Grandview_Inventory[[#This Row],[qual_adj]:[size_adj]])</f>
        <v>0.97750517137760906</v>
      </c>
      <c r="BY1830" s="6">
        <f>IF(Grandview_Inventory[[#This Row],[pre_res]]&lt;0,0,Grandview_Inventory[[#This Row],[pre_res]]*Grandview_Inventory[[#This Row],[overall_adj]])</f>
        <v>315480.91321650025</v>
      </c>
      <c r="BZ1830" s="6">
        <f>(Grandview_Inventory[[#This Row],[sum_land]]-IF(Grandview_Inventory[[#This Row],[no_utilities]]=1,12000,0))/IF(Grandview_Inventory[[#This Row],[unbuildable]]=1,2,1)</f>
        <v>50650.651579114572</v>
      </c>
      <c r="CA183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830">
        <f>ROUND(Grandview_Inventory[[#This Row],[det_value]]*Lookups!$M$28,-2)</f>
        <v>0</v>
      </c>
      <c r="CC1830">
        <f>IF(ROUND(Grandview_Inventory[[#This Row],[adj_res]]*Lookups!$M$28,-2)&lt;Grandview_Inventory[[#This Row],[min_res]],Grandview_Inventory[[#This Row],[min_res]],ROUND(Grandview_Inventory[[#This Row],[adj_res]]*Lookups!$M$28,-2))</f>
        <v>299700</v>
      </c>
      <c r="CD1830">
        <f>Grandview_Inventory[[#This Row],[final_det]]+Grandview_Inventory[[#This Row],[final_res]]</f>
        <v>299700</v>
      </c>
      <c r="CE1830">
        <f>Grandview_Inventory[[#This Row],[final_land]]+Grandview_Inventory[[#This Row],[final_imp]]+Grandview_Inventory[[#This Row],[crop_value]]</f>
        <v>347800</v>
      </c>
      <c r="CG1830" t="str">
        <f t="shared" si="28"/>
        <v>update valuation set market_land =48100, market_bldg=299700, market_total =347800, market_mdno =401, market_date ='9/10/2023' where link_id = (select link_id from parcel where parcel_year = '2024' and parcel_id = '23092333474');</v>
      </c>
    </row>
    <row r="1831" spans="1:85" x14ac:dyDescent="0.25">
      <c r="A1831">
        <v>23092333475</v>
      </c>
      <c r="B1831">
        <v>0.21</v>
      </c>
      <c r="C1831">
        <v>9349</v>
      </c>
      <c r="D1831" t="s">
        <v>129</v>
      </c>
      <c r="E1831" t="s">
        <v>53</v>
      </c>
      <c r="F1831" t="s">
        <v>53</v>
      </c>
      <c r="G1831">
        <v>4</v>
      </c>
      <c r="H1831" t="s">
        <v>54</v>
      </c>
      <c r="I1831">
        <v>110800</v>
      </c>
      <c r="J1831">
        <v>39500</v>
      </c>
      <c r="K1831">
        <v>0.21</v>
      </c>
      <c r="L183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31">
        <v>0</v>
      </c>
      <c r="N1831">
        <v>0</v>
      </c>
      <c r="O1831">
        <v>0</v>
      </c>
      <c r="P1831">
        <v>13398.7528</v>
      </c>
      <c r="Q1831">
        <v>63903</v>
      </c>
      <c r="R1831">
        <f>(Grandview_Inventory[[#This Row],[ln_acres]]*Grandview_Inventory[[#This Row],[coeff]])+Grandview_Inventory[[#This Row],[const]]</f>
        <v>42992.266613125081</v>
      </c>
      <c r="S1831" t="s">
        <v>61</v>
      </c>
      <c r="T1831">
        <v>1</v>
      </c>
      <c r="U1831" t="s">
        <v>65</v>
      </c>
      <c r="V1831" t="s">
        <v>78</v>
      </c>
      <c r="W1831">
        <v>0</v>
      </c>
      <c r="X1831">
        <v>0</v>
      </c>
      <c r="Y1831">
        <v>44</v>
      </c>
      <c r="Z1831">
        <v>48</v>
      </c>
      <c r="AA1831">
        <v>50</v>
      </c>
      <c r="AB1831">
        <v>1500</v>
      </c>
      <c r="AC1831">
        <v>1080</v>
      </c>
      <c r="AD1831">
        <v>1080</v>
      </c>
      <c r="AE1831">
        <v>0</v>
      </c>
      <c r="AF1831">
        <v>0</v>
      </c>
      <c r="AG1831">
        <v>0</v>
      </c>
      <c r="AH1831">
        <v>0</v>
      </c>
      <c r="AI1831">
        <v>288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5</v>
      </c>
      <c r="AQ1831">
        <v>0</v>
      </c>
      <c r="AR1831">
        <v>0</v>
      </c>
      <c r="AS1831" t="s">
        <v>58</v>
      </c>
      <c r="AT1831">
        <v>1</v>
      </c>
      <c r="AU1831" t="s">
        <v>75</v>
      </c>
      <c r="AV1831" t="s">
        <v>60</v>
      </c>
      <c r="AW1831">
        <v>0</v>
      </c>
      <c r="AX1831">
        <v>3</v>
      </c>
      <c r="AY1831">
        <v>0</v>
      </c>
      <c r="AZ1831">
        <v>0</v>
      </c>
      <c r="BA1831">
        <v>100</v>
      </c>
      <c r="BB1831">
        <v>100</v>
      </c>
      <c r="BC1831">
        <v>100</v>
      </c>
      <c r="BD1831">
        <v>100</v>
      </c>
      <c r="BE1831">
        <v>1</v>
      </c>
      <c r="BF1831">
        <v>15000</v>
      </c>
      <c r="BG1831">
        <v>1000</v>
      </c>
      <c r="BH1831" s="6">
        <f>Grandview_Inventory[[#This Row],[land_extract]]*Lookups!$B$3</f>
        <v>49926.8031387023</v>
      </c>
      <c r="BI1831" s="6">
        <f>IF(Grandview_Inventory[[#This Row],[bldg_style]]="",0,Lookups!$B$2)</f>
        <v>155833.95000000001</v>
      </c>
      <c r="BJ1831" s="6">
        <f>_xlfn.IFNA(VLOOKUP(Grandview_Inventory[[#This Row],[quality]],Lookups!$H$2:$J$14,3,FALSE),0)</f>
        <v>2251</v>
      </c>
      <c r="BK1831" s="6">
        <f>_xlfn.IFNA(VLOOKUP(Grandview_Inventory[[#This Row],[condition]],Lookups!$H$17:$J$24,3,FALSE),0)</f>
        <v>-45357</v>
      </c>
      <c r="BL1831" s="6">
        <f>Grandview_Inventory[[#This Row],[Eff_Age]]*Lookups!$B$14</f>
        <v>-10523.330399999999</v>
      </c>
      <c r="BM1831" s="6">
        <f>Grandview_Inventory[[#This Row],[living_area]]*Lookups!$B$15</f>
        <v>67371.321240000005</v>
      </c>
      <c r="BN1831" s="6">
        <f>Grandview_Inventory[[#This Row],[Fin BSMT]]*Lookups!$B$16</f>
        <v>0</v>
      </c>
      <c r="BO1831" s="6">
        <f>(Grandview_Inventory[[#This Row],[att_gar]]+Grandview_Inventory[[#This Row],[bltin_gar]])*Lookups!$B$17</f>
        <v>25205.885856000001</v>
      </c>
      <c r="BP1831" s="6">
        <f>Grandview_Inventory[[#This Row],[Plumbing Fixtures]]*Lookups!$B$18</f>
        <v>10052.209000000001</v>
      </c>
      <c r="BQ1831" s="6">
        <f>Grandview_Inventory[[#This Row],[detatched_value]]*Lookups!$B$19</f>
        <v>0</v>
      </c>
      <c r="BR1831" s="6">
        <f>SUM(Grandview_Inventory[[#This Row],[Intercept]:[det_value]])*Grandview_Inventory[[#This Row],[res_pct]]</f>
        <v>204834.03569600001</v>
      </c>
      <c r="BS1831" s="6">
        <f>Grandview_Inventory[[#This Row],[land_value]]</f>
        <v>49926.8031387023</v>
      </c>
      <c r="BT1831" s="4">
        <f>_xlfn.IFNA(VLOOKUP(Grandview_Inventory[[#This Row],[quality]],Lookups!$A$26:$C$33,3,FALSE),1)</f>
        <v>0.98763855981004833</v>
      </c>
      <c r="BU1831" s="4">
        <f>_xlfn.IFNA(VLOOKUP(Grandview_Inventory[[#This Row],[condition]],Lookups!$A$37:$C$44,3,FALSE),1)</f>
        <v>0.97161819570155394</v>
      </c>
      <c r="BV1831" s="4">
        <f>IF(Grandview_Inventory[[#This Row],[bldg_style]]="",1,_xlfn.IFNA(VLOOKUP(Grandview_Inventory[[#This Row],[decade]],Lookups!$F$29:$H$43,3,FALSE),1))</f>
        <v>0.9871940091910919</v>
      </c>
      <c r="BW1831" s="4">
        <f>_xlfn.IFNA(VLOOKUP(Grandview_Inventory[[#This Row],[living_area_range]],Lookups!$F$47:$H$56,3,FALSE),1)</f>
        <v>0.96135087979789358</v>
      </c>
      <c r="BX1831" s="4">
        <f>AVERAGE(Grandview_Inventory[[#This Row],[qual_adj]:[size_adj]])</f>
        <v>0.97695041112514691</v>
      </c>
      <c r="BY1831" s="6">
        <f>IF(Grandview_Inventory[[#This Row],[pre_res]]&lt;0,0,Grandview_Inventory[[#This Row],[pre_res]]*Grandview_Inventory[[#This Row],[overall_adj]])</f>
        <v>200112.69538563021</v>
      </c>
      <c r="BZ1831" s="6">
        <f>(Grandview_Inventory[[#This Row],[sum_land]]-IF(Grandview_Inventory[[#This Row],[no_utilities]]=1,12000,0))/IF(Grandview_Inventory[[#This Row],[unbuildable]]=1,2,1)</f>
        <v>49926.8031387023</v>
      </c>
      <c r="CA183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31">
        <f>ROUND(Grandview_Inventory[[#This Row],[det_value]]*Lookups!$M$28,-2)</f>
        <v>0</v>
      </c>
      <c r="CC1831">
        <f>IF(ROUND(Grandview_Inventory[[#This Row],[adj_res]]*Lookups!$M$28,-2)&lt;Grandview_Inventory[[#This Row],[min_res]],Grandview_Inventory[[#This Row],[min_res]],ROUND(Grandview_Inventory[[#This Row],[adj_res]]*Lookups!$M$28,-2))</f>
        <v>190100</v>
      </c>
      <c r="CD1831">
        <f>Grandview_Inventory[[#This Row],[final_det]]+Grandview_Inventory[[#This Row],[final_res]]</f>
        <v>190100</v>
      </c>
      <c r="CE1831">
        <f>Grandview_Inventory[[#This Row],[final_land]]+Grandview_Inventory[[#This Row],[final_imp]]+Grandview_Inventory[[#This Row],[crop_value]]</f>
        <v>237500</v>
      </c>
      <c r="CG1831" t="str">
        <f t="shared" si="28"/>
        <v>update valuation set market_land =47400, market_bldg=190100, market_total =237500, market_mdno =401, market_date ='9/10/2023' where link_id = (select link_id from parcel where parcel_year = '2024' and parcel_id = '23092333475');</v>
      </c>
    </row>
    <row r="1832" spans="1:85" x14ac:dyDescent="0.25">
      <c r="A1832">
        <v>23092333476</v>
      </c>
      <c r="B1832">
        <v>0.21</v>
      </c>
      <c r="C1832">
        <v>9349</v>
      </c>
      <c r="D1832" t="s">
        <v>129</v>
      </c>
      <c r="E1832" t="s">
        <v>53</v>
      </c>
      <c r="F1832" t="s">
        <v>53</v>
      </c>
      <c r="G1832">
        <v>4</v>
      </c>
      <c r="H1832" t="s">
        <v>54</v>
      </c>
      <c r="I1832">
        <v>126800</v>
      </c>
      <c r="J1832">
        <v>39500</v>
      </c>
      <c r="K1832">
        <v>0.21</v>
      </c>
      <c r="L183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32">
        <v>0</v>
      </c>
      <c r="N1832">
        <v>0</v>
      </c>
      <c r="O1832">
        <v>0</v>
      </c>
      <c r="P1832">
        <v>13398.7528</v>
      </c>
      <c r="Q1832">
        <v>63903</v>
      </c>
      <c r="R1832">
        <f>(Grandview_Inventory[[#This Row],[ln_acres]]*Grandview_Inventory[[#This Row],[coeff]])+Grandview_Inventory[[#This Row],[const]]</f>
        <v>42992.266613125081</v>
      </c>
      <c r="S1832" t="s">
        <v>61</v>
      </c>
      <c r="T1832">
        <v>1</v>
      </c>
      <c r="U1832" t="s">
        <v>80</v>
      </c>
      <c r="V1832" t="s">
        <v>69</v>
      </c>
      <c r="W1832">
        <v>0</v>
      </c>
      <c r="X1832">
        <v>0</v>
      </c>
      <c r="Y1832">
        <v>44</v>
      </c>
      <c r="Z1832">
        <v>48</v>
      </c>
      <c r="AA1832">
        <v>50</v>
      </c>
      <c r="AB1832">
        <v>1500</v>
      </c>
      <c r="AC1832">
        <v>1368</v>
      </c>
      <c r="AD1832">
        <v>1368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20</v>
      </c>
      <c r="AO1832">
        <v>0</v>
      </c>
      <c r="AP1832">
        <v>5</v>
      </c>
      <c r="AQ1832">
        <v>0</v>
      </c>
      <c r="AR1832">
        <v>0</v>
      </c>
      <c r="AS1832" t="s">
        <v>58</v>
      </c>
      <c r="AT1832">
        <v>1</v>
      </c>
      <c r="AU1832" t="s">
        <v>75</v>
      </c>
      <c r="AV1832" t="s">
        <v>60</v>
      </c>
      <c r="AW1832">
        <v>0</v>
      </c>
      <c r="AX1832">
        <v>3</v>
      </c>
      <c r="AY1832">
        <v>0</v>
      </c>
      <c r="AZ1832">
        <v>0</v>
      </c>
      <c r="BA1832">
        <v>100</v>
      </c>
      <c r="BB1832">
        <v>100</v>
      </c>
      <c r="BC1832">
        <v>100</v>
      </c>
      <c r="BD1832">
        <v>100</v>
      </c>
      <c r="BE1832">
        <v>1</v>
      </c>
      <c r="BF1832">
        <v>15000</v>
      </c>
      <c r="BG1832">
        <v>1000</v>
      </c>
      <c r="BH1832" s="6">
        <f>Grandview_Inventory[[#This Row],[land_extract]]*Lookups!$B$3</f>
        <v>49926.8031387023</v>
      </c>
      <c r="BI1832" s="6">
        <f>IF(Grandview_Inventory[[#This Row],[bldg_style]]="",0,Lookups!$B$2)</f>
        <v>155833.95000000001</v>
      </c>
      <c r="BJ1832" s="6">
        <f>_xlfn.IFNA(VLOOKUP(Grandview_Inventory[[#This Row],[quality]],Lookups!$H$2:$J$14,3,FALSE),0)</f>
        <v>-28558</v>
      </c>
      <c r="BK1832" s="6">
        <f>_xlfn.IFNA(VLOOKUP(Grandview_Inventory[[#This Row],[condition]],Lookups!$H$17:$J$24,3,FALSE),0)</f>
        <v>-4503</v>
      </c>
      <c r="BL1832" s="6">
        <f>Grandview_Inventory[[#This Row],[Eff_Age]]*Lookups!$B$14</f>
        <v>-10523.330399999999</v>
      </c>
      <c r="BM1832" s="6">
        <f>Grandview_Inventory[[#This Row],[living_area]]*Lookups!$B$15</f>
        <v>85337.006904000009</v>
      </c>
      <c r="BN1832" s="6">
        <f>Grandview_Inventory[[#This Row],[Fin BSMT]]*Lookups!$B$16</f>
        <v>0</v>
      </c>
      <c r="BO1832" s="6">
        <f>(Grandview_Inventory[[#This Row],[att_gar]]+Grandview_Inventory[[#This Row],[bltin_gar]])*Lookups!$B$17</f>
        <v>0</v>
      </c>
      <c r="BP1832" s="6">
        <f>Grandview_Inventory[[#This Row],[Plumbing Fixtures]]*Lookups!$B$18</f>
        <v>10052.209000000001</v>
      </c>
      <c r="BQ1832" s="6">
        <f>Grandview_Inventory[[#This Row],[detatched_value]]*Lookups!$B$19</f>
        <v>0</v>
      </c>
      <c r="BR1832" s="6">
        <f>SUM(Grandview_Inventory[[#This Row],[Intercept]:[det_value]])*Grandview_Inventory[[#This Row],[res_pct]]</f>
        <v>207638.83550400002</v>
      </c>
      <c r="BS1832" s="6">
        <f>Grandview_Inventory[[#This Row],[land_value]]</f>
        <v>49926.8031387023</v>
      </c>
      <c r="BT1832" s="4">
        <f>_xlfn.IFNA(VLOOKUP(Grandview_Inventory[[#This Row],[quality]],Lookups!$A$26:$C$33,3,FALSE),1)</f>
        <v>0.9690360070159818</v>
      </c>
      <c r="BU1832" s="4">
        <f>_xlfn.IFNA(VLOOKUP(Grandview_Inventory[[#This Row],[condition]],Lookups!$A$37:$C$44,3,FALSE),1)</f>
        <v>0.96469275950863709</v>
      </c>
      <c r="BV1832" s="4">
        <f>IF(Grandview_Inventory[[#This Row],[bldg_style]]="",1,_xlfn.IFNA(VLOOKUP(Grandview_Inventory[[#This Row],[decade]],Lookups!$F$29:$H$43,3,FALSE),1))</f>
        <v>0.9871940091910919</v>
      </c>
      <c r="BW1832" s="4">
        <f>_xlfn.IFNA(VLOOKUP(Grandview_Inventory[[#This Row],[living_area_range]],Lookups!$F$47:$H$56,3,FALSE),1)</f>
        <v>0.96135087979789358</v>
      </c>
      <c r="BX1832" s="4">
        <f>AVERAGE(Grandview_Inventory[[#This Row],[qual_adj]:[size_adj]])</f>
        <v>0.97056841387840109</v>
      </c>
      <c r="BY1832" s="6">
        <f>IF(Grandview_Inventory[[#This Row],[pre_res]]&lt;0,0,Grandview_Inventory[[#This Row],[pre_res]]*Grandview_Inventory[[#This Row],[overall_adj]])</f>
        <v>201527.69523467554</v>
      </c>
      <c r="BZ1832" s="6">
        <f>(Grandview_Inventory[[#This Row],[sum_land]]-IF(Grandview_Inventory[[#This Row],[no_utilities]]=1,12000,0))/IF(Grandview_Inventory[[#This Row],[unbuildable]]=1,2,1)</f>
        <v>49926.8031387023</v>
      </c>
      <c r="CA183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32">
        <f>ROUND(Grandview_Inventory[[#This Row],[det_value]]*Lookups!$M$28,-2)</f>
        <v>0</v>
      </c>
      <c r="CC1832">
        <f>IF(ROUND(Grandview_Inventory[[#This Row],[adj_res]]*Lookups!$M$28,-2)&lt;Grandview_Inventory[[#This Row],[min_res]],Grandview_Inventory[[#This Row],[min_res]],ROUND(Grandview_Inventory[[#This Row],[adj_res]]*Lookups!$M$28,-2))</f>
        <v>191500</v>
      </c>
      <c r="CD1832">
        <f>Grandview_Inventory[[#This Row],[final_det]]+Grandview_Inventory[[#This Row],[final_res]]</f>
        <v>191500</v>
      </c>
      <c r="CE1832">
        <f>Grandview_Inventory[[#This Row],[final_land]]+Grandview_Inventory[[#This Row],[final_imp]]+Grandview_Inventory[[#This Row],[crop_value]]</f>
        <v>238900</v>
      </c>
      <c r="CG1832" t="str">
        <f t="shared" si="28"/>
        <v>update valuation set market_land =47400, market_bldg=191500, market_total =238900, market_mdno =401, market_date ='9/10/2023' where link_id = (select link_id from parcel where parcel_year = '2024' and parcel_id = '23092333476');</v>
      </c>
    </row>
    <row r="1833" spans="1:85" x14ac:dyDescent="0.25">
      <c r="A1833">
        <v>23092333477</v>
      </c>
      <c r="B1833">
        <v>0.21</v>
      </c>
      <c r="C1833">
        <v>9349</v>
      </c>
      <c r="D1833" t="s">
        <v>129</v>
      </c>
      <c r="E1833" t="s">
        <v>53</v>
      </c>
      <c r="F1833" t="s">
        <v>53</v>
      </c>
      <c r="G1833">
        <v>4</v>
      </c>
      <c r="H1833" t="s">
        <v>54</v>
      </c>
      <c r="I1833">
        <v>190900</v>
      </c>
      <c r="J1833">
        <v>39500</v>
      </c>
      <c r="K1833">
        <v>0.21</v>
      </c>
      <c r="L183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33">
        <v>0</v>
      </c>
      <c r="N1833">
        <v>0</v>
      </c>
      <c r="O1833">
        <v>0</v>
      </c>
      <c r="P1833">
        <v>13398.7528</v>
      </c>
      <c r="Q1833">
        <v>63903</v>
      </c>
      <c r="R1833">
        <f>(Grandview_Inventory[[#This Row],[ln_acres]]*Grandview_Inventory[[#This Row],[coeff]])+Grandview_Inventory[[#This Row],[const]]</f>
        <v>42992.266613125081</v>
      </c>
      <c r="S1833" t="s">
        <v>61</v>
      </c>
      <c r="T1833">
        <v>1</v>
      </c>
      <c r="U1833" t="s">
        <v>65</v>
      </c>
      <c r="V1833" t="s">
        <v>67</v>
      </c>
      <c r="W1833">
        <v>0</v>
      </c>
      <c r="X1833">
        <v>0</v>
      </c>
      <c r="Y1833">
        <v>44</v>
      </c>
      <c r="Z1833">
        <v>48</v>
      </c>
      <c r="AA1833">
        <v>50</v>
      </c>
      <c r="AB1833">
        <v>1500</v>
      </c>
      <c r="AC1833">
        <v>1080</v>
      </c>
      <c r="AD1833">
        <v>1080</v>
      </c>
      <c r="AE1833">
        <v>0</v>
      </c>
      <c r="AF1833">
        <v>0</v>
      </c>
      <c r="AG1833">
        <v>0</v>
      </c>
      <c r="AH1833">
        <v>0</v>
      </c>
      <c r="AI1833">
        <v>240</v>
      </c>
      <c r="AJ1833">
        <v>0</v>
      </c>
      <c r="AK1833">
        <v>0</v>
      </c>
      <c r="AL1833">
        <v>252</v>
      </c>
      <c r="AM1833">
        <v>0</v>
      </c>
      <c r="AN1833">
        <v>0</v>
      </c>
      <c r="AO1833">
        <v>0</v>
      </c>
      <c r="AP1833">
        <v>5</v>
      </c>
      <c r="AQ1833">
        <v>0</v>
      </c>
      <c r="AR1833">
        <v>0</v>
      </c>
      <c r="AS1833" t="s">
        <v>58</v>
      </c>
      <c r="AT1833">
        <v>1</v>
      </c>
      <c r="AU1833" t="s">
        <v>63</v>
      </c>
      <c r="AV1833" t="s">
        <v>60</v>
      </c>
      <c r="AW1833">
        <v>1</v>
      </c>
      <c r="AX1833">
        <v>3</v>
      </c>
      <c r="AY1833">
        <v>0</v>
      </c>
      <c r="AZ1833">
        <v>0</v>
      </c>
      <c r="BA1833">
        <v>100</v>
      </c>
      <c r="BB1833">
        <v>100</v>
      </c>
      <c r="BC1833">
        <v>100</v>
      </c>
      <c r="BD1833">
        <v>100</v>
      </c>
      <c r="BE1833">
        <v>1</v>
      </c>
      <c r="BF1833">
        <v>15000</v>
      </c>
      <c r="BG1833">
        <v>1000</v>
      </c>
      <c r="BH1833" s="6">
        <f>Grandview_Inventory[[#This Row],[land_extract]]*Lookups!$B$3</f>
        <v>49926.8031387023</v>
      </c>
      <c r="BI1833" s="6">
        <f>IF(Grandview_Inventory[[#This Row],[bldg_style]]="",0,Lookups!$B$2)</f>
        <v>155833.95000000001</v>
      </c>
      <c r="BJ1833" s="6">
        <f>_xlfn.IFNA(VLOOKUP(Grandview_Inventory[[#This Row],[quality]],Lookups!$H$2:$J$14,3,FALSE),0)</f>
        <v>2251</v>
      </c>
      <c r="BK1833" s="6">
        <f>_xlfn.IFNA(VLOOKUP(Grandview_Inventory[[#This Row],[condition]],Lookups!$H$17:$J$24,3,FALSE),0)</f>
        <v>22342</v>
      </c>
      <c r="BL1833" s="6">
        <f>Grandview_Inventory[[#This Row],[Eff_Age]]*Lookups!$B$14</f>
        <v>-10523.330399999999</v>
      </c>
      <c r="BM1833" s="6">
        <f>Grandview_Inventory[[#This Row],[living_area]]*Lookups!$B$15</f>
        <v>67371.321240000005</v>
      </c>
      <c r="BN1833" s="6">
        <f>Grandview_Inventory[[#This Row],[Fin BSMT]]*Lookups!$B$16</f>
        <v>0</v>
      </c>
      <c r="BO1833" s="6">
        <f>(Grandview_Inventory[[#This Row],[att_gar]]+Grandview_Inventory[[#This Row],[bltin_gar]])*Lookups!$B$17</f>
        <v>21004.904880000002</v>
      </c>
      <c r="BP1833" s="6">
        <f>Grandview_Inventory[[#This Row],[Plumbing Fixtures]]*Lookups!$B$18</f>
        <v>10052.209000000001</v>
      </c>
      <c r="BQ1833" s="6">
        <f>Grandview_Inventory[[#This Row],[detatched_value]]*Lookups!$B$19</f>
        <v>0</v>
      </c>
      <c r="BR1833" s="6">
        <f>SUM(Grandview_Inventory[[#This Row],[Intercept]:[det_value]])*Grandview_Inventory[[#This Row],[res_pct]]</f>
        <v>268332.05471999996</v>
      </c>
      <c r="BS1833" s="6">
        <f>Grandview_Inventory[[#This Row],[land_value]]</f>
        <v>49926.8031387023</v>
      </c>
      <c r="BT1833" s="4">
        <f>_xlfn.IFNA(VLOOKUP(Grandview_Inventory[[#This Row],[quality]],Lookups!$A$26:$C$33,3,FALSE),1)</f>
        <v>0.98763855981004833</v>
      </c>
      <c r="BU1833" s="4">
        <f>_xlfn.IFNA(VLOOKUP(Grandview_Inventory[[#This Row],[condition]],Lookups!$A$37:$C$44,3,FALSE),1)</f>
        <v>0.97383723671140243</v>
      </c>
      <c r="BV1833" s="4">
        <f>IF(Grandview_Inventory[[#This Row],[bldg_style]]="",1,_xlfn.IFNA(VLOOKUP(Grandview_Inventory[[#This Row],[decade]],Lookups!$F$29:$H$43,3,FALSE),1))</f>
        <v>0.9871940091910919</v>
      </c>
      <c r="BW1833" s="4">
        <f>_xlfn.IFNA(VLOOKUP(Grandview_Inventory[[#This Row],[living_area_range]],Lookups!$F$47:$H$56,3,FALSE),1)</f>
        <v>0.96135087979789358</v>
      </c>
      <c r="BX1833" s="4">
        <f>AVERAGE(Grandview_Inventory[[#This Row],[qual_adj]:[size_adj]])</f>
        <v>0.97750517137760906</v>
      </c>
      <c r="BY1833" s="6">
        <f>IF(Grandview_Inventory[[#This Row],[pre_res]]&lt;0,0,Grandview_Inventory[[#This Row],[pre_res]]*Grandview_Inventory[[#This Row],[overall_adj]])</f>
        <v>262295.97113517951</v>
      </c>
      <c r="BZ1833" s="6">
        <f>(Grandview_Inventory[[#This Row],[sum_land]]-IF(Grandview_Inventory[[#This Row],[no_utilities]]=1,12000,0))/IF(Grandview_Inventory[[#This Row],[unbuildable]]=1,2,1)</f>
        <v>49926.8031387023</v>
      </c>
      <c r="CA183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33">
        <f>ROUND(Grandview_Inventory[[#This Row],[det_value]]*Lookups!$M$28,-2)</f>
        <v>0</v>
      </c>
      <c r="CC1833">
        <f>IF(ROUND(Grandview_Inventory[[#This Row],[adj_res]]*Lookups!$M$28,-2)&lt;Grandview_Inventory[[#This Row],[min_res]],Grandview_Inventory[[#This Row],[min_res]],ROUND(Grandview_Inventory[[#This Row],[adj_res]]*Lookups!$M$28,-2))</f>
        <v>249200</v>
      </c>
      <c r="CD1833">
        <f>Grandview_Inventory[[#This Row],[final_det]]+Grandview_Inventory[[#This Row],[final_res]]</f>
        <v>249200</v>
      </c>
      <c r="CE1833">
        <f>Grandview_Inventory[[#This Row],[final_land]]+Grandview_Inventory[[#This Row],[final_imp]]+Grandview_Inventory[[#This Row],[crop_value]]</f>
        <v>296600</v>
      </c>
      <c r="CG1833" t="str">
        <f t="shared" si="28"/>
        <v>update valuation set market_land =47400, market_bldg=249200, market_total =296600, market_mdno =401, market_date ='9/10/2023' where link_id = (select link_id from parcel where parcel_year = '2024' and parcel_id = '23092333477');</v>
      </c>
    </row>
    <row r="1834" spans="1:85" x14ac:dyDescent="0.25">
      <c r="A1834">
        <v>23092333478</v>
      </c>
      <c r="B1834">
        <v>0.23</v>
      </c>
      <c r="C1834">
        <v>9874</v>
      </c>
      <c r="D1834" t="s">
        <v>129</v>
      </c>
      <c r="E1834" t="s">
        <v>53</v>
      </c>
      <c r="F1834" t="s">
        <v>53</v>
      </c>
      <c r="G1834">
        <v>4</v>
      </c>
      <c r="H1834" t="s">
        <v>54</v>
      </c>
      <c r="I1834">
        <v>189500</v>
      </c>
      <c r="J1834">
        <v>39500</v>
      </c>
      <c r="K1834">
        <v>0.23</v>
      </c>
      <c r="L183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34">
        <v>0</v>
      </c>
      <c r="N1834">
        <v>0</v>
      </c>
      <c r="O1834">
        <v>0</v>
      </c>
      <c r="P1834">
        <v>13398.7528</v>
      </c>
      <c r="Q1834">
        <v>63903</v>
      </c>
      <c r="R1834">
        <f>(Grandview_Inventory[[#This Row],[ln_acres]]*Grandview_Inventory[[#This Row],[coeff]])+Grandview_Inventory[[#This Row],[const]]</f>
        <v>44211.174981080039</v>
      </c>
      <c r="S1834" t="s">
        <v>61</v>
      </c>
      <c r="T1834">
        <v>1</v>
      </c>
      <c r="U1834" t="s">
        <v>65</v>
      </c>
      <c r="V1834" t="s">
        <v>67</v>
      </c>
      <c r="W1834">
        <v>0</v>
      </c>
      <c r="X1834">
        <v>0</v>
      </c>
      <c r="Y1834">
        <v>44</v>
      </c>
      <c r="Z1834">
        <v>48</v>
      </c>
      <c r="AA1834">
        <v>50</v>
      </c>
      <c r="AB1834">
        <v>1500</v>
      </c>
      <c r="AC1834">
        <v>1080</v>
      </c>
      <c r="AD1834">
        <v>1080</v>
      </c>
      <c r="AE1834">
        <v>0</v>
      </c>
      <c r="AF1834">
        <v>0</v>
      </c>
      <c r="AG1834">
        <v>0</v>
      </c>
      <c r="AH1834">
        <v>0</v>
      </c>
      <c r="AI1834">
        <v>288</v>
      </c>
      <c r="AJ1834">
        <v>0</v>
      </c>
      <c r="AK1834">
        <v>0</v>
      </c>
      <c r="AL1834">
        <v>203</v>
      </c>
      <c r="AM1834">
        <v>0</v>
      </c>
      <c r="AN1834">
        <v>0</v>
      </c>
      <c r="AO1834">
        <v>0</v>
      </c>
      <c r="AP1834">
        <v>5</v>
      </c>
      <c r="AQ1834">
        <v>0</v>
      </c>
      <c r="AR1834">
        <v>0</v>
      </c>
      <c r="AS1834" t="s">
        <v>58</v>
      </c>
      <c r="AT1834">
        <v>1</v>
      </c>
      <c r="AU1834" t="s">
        <v>59</v>
      </c>
      <c r="AV1834" t="s">
        <v>60</v>
      </c>
      <c r="AW1834">
        <v>1</v>
      </c>
      <c r="AX1834">
        <v>3</v>
      </c>
      <c r="AY1834">
        <v>0</v>
      </c>
      <c r="AZ1834">
        <v>0</v>
      </c>
      <c r="BA1834">
        <v>100</v>
      </c>
      <c r="BB1834">
        <v>100</v>
      </c>
      <c r="BC1834">
        <v>100</v>
      </c>
      <c r="BD1834">
        <v>100</v>
      </c>
      <c r="BE1834">
        <v>1</v>
      </c>
      <c r="BF1834">
        <v>15000</v>
      </c>
      <c r="BG1834">
        <v>1000</v>
      </c>
      <c r="BH1834" s="6">
        <f>Grandview_Inventory[[#This Row],[land_extract]]*Lookups!$B$3</f>
        <v>51342.318135355803</v>
      </c>
      <c r="BI1834" s="6">
        <f>IF(Grandview_Inventory[[#This Row],[bldg_style]]="",0,Lookups!$B$2)</f>
        <v>155833.95000000001</v>
      </c>
      <c r="BJ1834" s="6">
        <f>_xlfn.IFNA(VLOOKUP(Grandview_Inventory[[#This Row],[quality]],Lookups!$H$2:$J$14,3,FALSE),0)</f>
        <v>2251</v>
      </c>
      <c r="BK1834" s="6">
        <f>_xlfn.IFNA(VLOOKUP(Grandview_Inventory[[#This Row],[condition]],Lookups!$H$17:$J$24,3,FALSE),0)</f>
        <v>22342</v>
      </c>
      <c r="BL1834" s="6">
        <f>Grandview_Inventory[[#This Row],[Eff_Age]]*Lookups!$B$14</f>
        <v>-10523.330399999999</v>
      </c>
      <c r="BM1834" s="6">
        <f>Grandview_Inventory[[#This Row],[living_area]]*Lookups!$B$15</f>
        <v>67371.321240000005</v>
      </c>
      <c r="BN1834" s="6">
        <f>Grandview_Inventory[[#This Row],[Fin BSMT]]*Lookups!$B$16</f>
        <v>0</v>
      </c>
      <c r="BO1834" s="6">
        <f>(Grandview_Inventory[[#This Row],[att_gar]]+Grandview_Inventory[[#This Row],[bltin_gar]])*Lookups!$B$17</f>
        <v>25205.885856000001</v>
      </c>
      <c r="BP1834" s="6">
        <f>Grandview_Inventory[[#This Row],[Plumbing Fixtures]]*Lookups!$B$18</f>
        <v>10052.209000000001</v>
      </c>
      <c r="BQ1834" s="6">
        <f>Grandview_Inventory[[#This Row],[detatched_value]]*Lookups!$B$19</f>
        <v>0</v>
      </c>
      <c r="BR1834" s="6">
        <f>SUM(Grandview_Inventory[[#This Row],[Intercept]:[det_value]])*Grandview_Inventory[[#This Row],[res_pct]]</f>
        <v>272533.03569599998</v>
      </c>
      <c r="BS1834" s="6">
        <f>Grandview_Inventory[[#This Row],[land_value]]</f>
        <v>51342.318135355803</v>
      </c>
      <c r="BT1834" s="4">
        <f>_xlfn.IFNA(VLOOKUP(Grandview_Inventory[[#This Row],[quality]],Lookups!$A$26:$C$33,3,FALSE),1)</f>
        <v>0.98763855981004833</v>
      </c>
      <c r="BU1834" s="4">
        <f>_xlfn.IFNA(VLOOKUP(Grandview_Inventory[[#This Row],[condition]],Lookups!$A$37:$C$44,3,FALSE),1)</f>
        <v>0.97383723671140243</v>
      </c>
      <c r="BV1834" s="4">
        <f>IF(Grandview_Inventory[[#This Row],[bldg_style]]="",1,_xlfn.IFNA(VLOOKUP(Grandview_Inventory[[#This Row],[decade]],Lookups!$F$29:$H$43,3,FALSE),1))</f>
        <v>0.9871940091910919</v>
      </c>
      <c r="BW1834" s="4">
        <f>_xlfn.IFNA(VLOOKUP(Grandview_Inventory[[#This Row],[living_area_range]],Lookups!$F$47:$H$56,3,FALSE),1)</f>
        <v>0.96135087979789358</v>
      </c>
      <c r="BX1834" s="4">
        <f>AVERAGE(Grandview_Inventory[[#This Row],[qual_adj]:[size_adj]])</f>
        <v>0.97750517137760906</v>
      </c>
      <c r="BY1834" s="6">
        <f>IF(Grandview_Inventory[[#This Row],[pre_res]]&lt;0,0,Grandview_Inventory[[#This Row],[pre_res]]*Grandview_Inventory[[#This Row],[overall_adj]])</f>
        <v>266402.45176407852</v>
      </c>
      <c r="BZ1834" s="6">
        <f>(Grandview_Inventory[[#This Row],[sum_land]]-IF(Grandview_Inventory[[#This Row],[no_utilities]]=1,12000,0))/IF(Grandview_Inventory[[#This Row],[unbuildable]]=1,2,1)</f>
        <v>51342.318135355803</v>
      </c>
      <c r="CA183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34">
        <f>ROUND(Grandview_Inventory[[#This Row],[det_value]]*Lookups!$M$28,-2)</f>
        <v>0</v>
      </c>
      <c r="CC1834">
        <f>IF(ROUND(Grandview_Inventory[[#This Row],[adj_res]]*Lookups!$M$28,-2)&lt;Grandview_Inventory[[#This Row],[min_res]],Grandview_Inventory[[#This Row],[min_res]],ROUND(Grandview_Inventory[[#This Row],[adj_res]]*Lookups!$M$28,-2))</f>
        <v>253100</v>
      </c>
      <c r="CD1834">
        <f>Grandview_Inventory[[#This Row],[final_det]]+Grandview_Inventory[[#This Row],[final_res]]</f>
        <v>253100</v>
      </c>
      <c r="CE1834">
        <f>Grandview_Inventory[[#This Row],[final_land]]+Grandview_Inventory[[#This Row],[final_imp]]+Grandview_Inventory[[#This Row],[crop_value]]</f>
        <v>301900</v>
      </c>
      <c r="CG1834" t="str">
        <f t="shared" si="28"/>
        <v>update valuation set market_land =48800, market_bldg=253100, market_total =301900, market_mdno =401, market_date ='9/10/2023' where link_id = (select link_id from parcel where parcel_year = '2024' and parcel_id = '23092333478');</v>
      </c>
    </row>
    <row r="1835" spans="1:85" x14ac:dyDescent="0.25">
      <c r="A1835">
        <v>23092334405</v>
      </c>
      <c r="B1835">
        <v>0.92</v>
      </c>
      <c r="C1835">
        <v>40051</v>
      </c>
      <c r="D1835" t="s">
        <v>129</v>
      </c>
      <c r="E1835" t="s">
        <v>53</v>
      </c>
      <c r="F1835" t="s">
        <v>53</v>
      </c>
      <c r="G1835">
        <v>4</v>
      </c>
      <c r="H1835" t="s">
        <v>54</v>
      </c>
      <c r="I1835">
        <v>192600</v>
      </c>
      <c r="J1835">
        <v>43700</v>
      </c>
      <c r="K1835">
        <v>0.92</v>
      </c>
      <c r="L1835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35">
        <v>0</v>
      </c>
      <c r="N1835">
        <v>0</v>
      </c>
      <c r="O1835">
        <v>0</v>
      </c>
      <c r="P1835">
        <v>13398.7528</v>
      </c>
      <c r="Q1835">
        <v>63903</v>
      </c>
      <c r="R1835">
        <f>(Grandview_Inventory[[#This Row],[ln_acres]]*Grandview_Inventory[[#This Row],[coeff]])+Grandview_Inventory[[#This Row],[const]]</f>
        <v>62785.790433759386</v>
      </c>
      <c r="S1835" t="s">
        <v>61</v>
      </c>
      <c r="T1835">
        <v>1</v>
      </c>
      <c r="U1835" t="s">
        <v>65</v>
      </c>
      <c r="V1835" t="s">
        <v>69</v>
      </c>
      <c r="W1835">
        <v>0</v>
      </c>
      <c r="X1835">
        <v>0</v>
      </c>
      <c r="Y1835">
        <v>50</v>
      </c>
      <c r="Z1835">
        <v>73</v>
      </c>
      <c r="AA1835">
        <v>80</v>
      </c>
      <c r="AB1835">
        <v>1500</v>
      </c>
      <c r="AC1835">
        <v>1477</v>
      </c>
      <c r="AD1835">
        <v>1477</v>
      </c>
      <c r="AE1835">
        <v>0</v>
      </c>
      <c r="AF1835">
        <v>0</v>
      </c>
      <c r="AG1835">
        <v>0</v>
      </c>
      <c r="AH1835">
        <v>0</v>
      </c>
      <c r="AI1835">
        <v>375</v>
      </c>
      <c r="AJ1835">
        <v>0</v>
      </c>
      <c r="AK1835">
        <v>0</v>
      </c>
      <c r="AL1835">
        <v>288</v>
      </c>
      <c r="AM1835">
        <v>0</v>
      </c>
      <c r="AN1835">
        <v>28</v>
      </c>
      <c r="AO1835">
        <v>0</v>
      </c>
      <c r="AP1835">
        <v>5</v>
      </c>
      <c r="AQ1835">
        <v>0</v>
      </c>
      <c r="AR1835">
        <v>0</v>
      </c>
      <c r="AS1835" t="s">
        <v>71</v>
      </c>
      <c r="AT1835">
        <v>1</v>
      </c>
      <c r="AU1835" t="s">
        <v>59</v>
      </c>
      <c r="AV1835" t="s">
        <v>60</v>
      </c>
      <c r="AW1835">
        <v>1</v>
      </c>
      <c r="AX1835">
        <v>2</v>
      </c>
      <c r="AY1835">
        <v>0</v>
      </c>
      <c r="AZ1835">
        <v>10000</v>
      </c>
      <c r="BA1835">
        <v>100</v>
      </c>
      <c r="BB1835">
        <v>100</v>
      </c>
      <c r="BC1835">
        <v>100</v>
      </c>
      <c r="BD1835">
        <v>100</v>
      </c>
      <c r="BE1835">
        <v>1</v>
      </c>
      <c r="BF1835">
        <v>15000</v>
      </c>
      <c r="BG1835">
        <v>1000</v>
      </c>
      <c r="BH1835" s="6">
        <f>Grandview_Inventory[[#This Row],[land_extract]]*Lookups!$B$3</f>
        <v>72912.968909090603</v>
      </c>
      <c r="BI1835" s="6">
        <f>IF(Grandview_Inventory[[#This Row],[bldg_style]]="",0,Lookups!$B$2)</f>
        <v>155833.95000000001</v>
      </c>
      <c r="BJ1835" s="6">
        <f>_xlfn.IFNA(VLOOKUP(Grandview_Inventory[[#This Row],[quality]],Lookups!$H$2:$J$14,3,FALSE),0)</f>
        <v>2251</v>
      </c>
      <c r="BK1835" s="6">
        <f>_xlfn.IFNA(VLOOKUP(Grandview_Inventory[[#This Row],[condition]],Lookups!$H$17:$J$24,3,FALSE),0)</f>
        <v>-4503</v>
      </c>
      <c r="BL1835" s="6">
        <f>Grandview_Inventory[[#This Row],[Eff_Age]]*Lookups!$B$14</f>
        <v>-11958.33</v>
      </c>
      <c r="BM1835" s="6">
        <f>Grandview_Inventory[[#This Row],[living_area]]*Lookups!$B$15</f>
        <v>92136.519881</v>
      </c>
      <c r="BN1835" s="6">
        <f>Grandview_Inventory[[#This Row],[Fin BSMT]]*Lookups!$B$16</f>
        <v>0</v>
      </c>
      <c r="BO1835" s="6">
        <f>(Grandview_Inventory[[#This Row],[att_gar]]+Grandview_Inventory[[#This Row],[bltin_gar]])*Lookups!$B$17</f>
        <v>32820.163874999998</v>
      </c>
      <c r="BP1835" s="6">
        <f>Grandview_Inventory[[#This Row],[Plumbing Fixtures]]*Lookups!$B$18</f>
        <v>10052.209000000001</v>
      </c>
      <c r="BQ1835" s="6">
        <f>Grandview_Inventory[[#This Row],[detatched_value]]*Lookups!$B$19</f>
        <v>8468.0509999999995</v>
      </c>
      <c r="BR1835" s="6">
        <f>SUM(Grandview_Inventory[[#This Row],[Intercept]:[det_value]])*Grandview_Inventory[[#This Row],[res_pct]]</f>
        <v>285100.56375599996</v>
      </c>
      <c r="BS1835" s="6">
        <f>Grandview_Inventory[[#This Row],[land_value]]</f>
        <v>72912.968909090603</v>
      </c>
      <c r="BT1835" s="4">
        <f>_xlfn.IFNA(VLOOKUP(Grandview_Inventory[[#This Row],[quality]],Lookups!$A$26:$C$33,3,FALSE),1)</f>
        <v>0.98763855981004833</v>
      </c>
      <c r="BU1835" s="4">
        <f>_xlfn.IFNA(VLOOKUP(Grandview_Inventory[[#This Row],[condition]],Lookups!$A$37:$C$44,3,FALSE),1)</f>
        <v>0.96469275950863709</v>
      </c>
      <c r="BV1835" s="4">
        <f>IF(Grandview_Inventory[[#This Row],[bldg_style]]="",1,_xlfn.IFNA(VLOOKUP(Grandview_Inventory[[#This Row],[decade]],Lookups!$F$29:$H$43,3,FALSE),1))</f>
        <v>0.98763256963907298</v>
      </c>
      <c r="BW1835" s="4">
        <f>_xlfn.IFNA(VLOOKUP(Grandview_Inventory[[#This Row],[living_area_range]],Lookups!$F$47:$H$56,3,FALSE),1)</f>
        <v>0.96135087979789358</v>
      </c>
      <c r="BX1835" s="4">
        <f>AVERAGE(Grandview_Inventory[[#This Row],[qual_adj]:[size_adj]])</f>
        <v>0.97532869218891294</v>
      </c>
      <c r="BY1835" s="6">
        <f>IF(Grandview_Inventory[[#This Row],[pre_res]]&lt;0,0,Grandview_Inventory[[#This Row],[pre_res]]*Grandview_Inventory[[#This Row],[overall_adj]])</f>
        <v>278066.75999046123</v>
      </c>
      <c r="BZ1835" s="6">
        <f>(Grandview_Inventory[[#This Row],[sum_land]]-IF(Grandview_Inventory[[#This Row],[no_utilities]]=1,12000,0))/IF(Grandview_Inventory[[#This Row],[unbuildable]]=1,2,1)</f>
        <v>72912.968909090603</v>
      </c>
      <c r="CA1835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35">
        <f>ROUND(Grandview_Inventory[[#This Row],[det_value]]*Lookups!$M$28,-2)</f>
        <v>8000</v>
      </c>
      <c r="CC1835">
        <f>IF(ROUND(Grandview_Inventory[[#This Row],[adj_res]]*Lookups!$M$28,-2)&lt;Grandview_Inventory[[#This Row],[min_res]],Grandview_Inventory[[#This Row],[min_res]],ROUND(Grandview_Inventory[[#This Row],[adj_res]]*Lookups!$M$28,-2))</f>
        <v>264200</v>
      </c>
      <c r="CD1835">
        <f>Grandview_Inventory[[#This Row],[final_det]]+Grandview_Inventory[[#This Row],[final_res]]</f>
        <v>272200</v>
      </c>
      <c r="CE1835">
        <f>Grandview_Inventory[[#This Row],[final_land]]+Grandview_Inventory[[#This Row],[final_imp]]+Grandview_Inventory[[#This Row],[crop_value]]</f>
        <v>341500</v>
      </c>
      <c r="CG1835" t="str">
        <f t="shared" si="28"/>
        <v>update valuation set market_land =69300, market_bldg=272200, market_total =341500, market_mdno =401, market_date ='9/10/2023' where link_id = (select link_id from parcel where parcel_year = '2024' and parcel_id = '23092334405');</v>
      </c>
    </row>
    <row r="1836" spans="1:85" x14ac:dyDescent="0.25">
      <c r="A1836">
        <v>23092334407</v>
      </c>
      <c r="B1836">
        <v>0.92</v>
      </c>
      <c r="C1836" t="s">
        <v>129</v>
      </c>
      <c r="D1836" t="s">
        <v>129</v>
      </c>
      <c r="E1836" t="s">
        <v>53</v>
      </c>
      <c r="F1836" t="s">
        <v>53</v>
      </c>
      <c r="G1836">
        <v>4</v>
      </c>
      <c r="H1836" t="s">
        <v>54</v>
      </c>
      <c r="I1836">
        <v>170600</v>
      </c>
      <c r="J1836">
        <v>43700</v>
      </c>
      <c r="K1836">
        <v>0.92</v>
      </c>
      <c r="L1836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36">
        <v>0</v>
      </c>
      <c r="N1836">
        <v>0</v>
      </c>
      <c r="O1836">
        <v>0</v>
      </c>
      <c r="P1836">
        <v>13398.7528</v>
      </c>
      <c r="Q1836">
        <v>63903</v>
      </c>
      <c r="R1836">
        <f>(Grandview_Inventory[[#This Row],[ln_acres]]*Grandview_Inventory[[#This Row],[coeff]])+Grandview_Inventory[[#This Row],[const]]</f>
        <v>62785.790433759386</v>
      </c>
      <c r="S1836" t="s">
        <v>68</v>
      </c>
      <c r="T1836">
        <v>1</v>
      </c>
      <c r="U1836" t="s">
        <v>70</v>
      </c>
      <c r="V1836" t="s">
        <v>69</v>
      </c>
      <c r="W1836">
        <v>0</v>
      </c>
      <c r="X1836">
        <v>0</v>
      </c>
      <c r="Y1836">
        <v>50</v>
      </c>
      <c r="Z1836">
        <v>73</v>
      </c>
      <c r="AA1836">
        <v>80</v>
      </c>
      <c r="AB1836">
        <v>1500</v>
      </c>
      <c r="AC1836">
        <v>1424</v>
      </c>
      <c r="AD1836">
        <v>1424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252</v>
      </c>
      <c r="AN1836">
        <v>60</v>
      </c>
      <c r="AO1836">
        <v>0</v>
      </c>
      <c r="AP1836">
        <v>5</v>
      </c>
      <c r="AQ1836">
        <v>1</v>
      </c>
      <c r="AR1836">
        <v>0</v>
      </c>
      <c r="AS1836" t="s">
        <v>58</v>
      </c>
      <c r="AT1836">
        <v>0</v>
      </c>
      <c r="AU1836" t="s">
        <v>134</v>
      </c>
      <c r="AV1836" t="s">
        <v>135</v>
      </c>
      <c r="AW1836">
        <v>0</v>
      </c>
      <c r="AX1836">
        <v>3</v>
      </c>
      <c r="AY1836">
        <v>0</v>
      </c>
      <c r="AZ1836">
        <v>7300</v>
      </c>
      <c r="BA1836">
        <v>100</v>
      </c>
      <c r="BB1836">
        <v>100</v>
      </c>
      <c r="BC1836">
        <v>100</v>
      </c>
      <c r="BD1836">
        <v>100</v>
      </c>
      <c r="BE1836">
        <v>1</v>
      </c>
      <c r="BF1836">
        <v>15000</v>
      </c>
      <c r="BG1836">
        <v>1000</v>
      </c>
      <c r="BH1836" s="6">
        <f>Grandview_Inventory[[#This Row],[land_extract]]*Lookups!$B$3</f>
        <v>72912.968909090603</v>
      </c>
      <c r="BI1836" s="6">
        <f>IF(Grandview_Inventory[[#This Row],[bldg_style]]="",0,Lookups!$B$2)</f>
        <v>155833.95000000001</v>
      </c>
      <c r="BJ1836" s="6">
        <f>_xlfn.IFNA(VLOOKUP(Grandview_Inventory[[#This Row],[quality]],Lookups!$H$2:$J$14,3,FALSE),0)</f>
        <v>10733</v>
      </c>
      <c r="BK1836" s="6">
        <f>_xlfn.IFNA(VLOOKUP(Grandview_Inventory[[#This Row],[condition]],Lookups!$H$17:$J$24,3,FALSE),0)</f>
        <v>-4503</v>
      </c>
      <c r="BL1836" s="6">
        <f>Grandview_Inventory[[#This Row],[Eff_Age]]*Lookups!$B$14</f>
        <v>-11958.33</v>
      </c>
      <c r="BM1836" s="6">
        <f>Grandview_Inventory[[#This Row],[living_area]]*Lookups!$B$15</f>
        <v>88830.334671999997</v>
      </c>
      <c r="BN1836" s="6">
        <f>Grandview_Inventory[[#This Row],[Fin BSMT]]*Lookups!$B$16</f>
        <v>0</v>
      </c>
      <c r="BO1836" s="6">
        <f>(Grandview_Inventory[[#This Row],[att_gar]]+Grandview_Inventory[[#This Row],[bltin_gar]])*Lookups!$B$17</f>
        <v>0</v>
      </c>
      <c r="BP1836" s="6">
        <f>Grandview_Inventory[[#This Row],[Plumbing Fixtures]]*Lookups!$B$18</f>
        <v>10052.209000000001</v>
      </c>
      <c r="BQ1836" s="6">
        <f>Grandview_Inventory[[#This Row],[detatched_value]]*Lookups!$B$19</f>
        <v>6181.6772300000002</v>
      </c>
      <c r="BR1836" s="6">
        <f>SUM(Grandview_Inventory[[#This Row],[Intercept]:[det_value]])*Grandview_Inventory[[#This Row],[res_pct]]</f>
        <v>255169.84090200003</v>
      </c>
      <c r="BS1836" s="6">
        <f>Grandview_Inventory[[#This Row],[land_value]]</f>
        <v>72912.968909090603</v>
      </c>
      <c r="BT1836" s="4">
        <f>_xlfn.IFNA(VLOOKUP(Grandview_Inventory[[#This Row],[quality]],Lookups!$A$26:$C$33,3,FALSE),1)</f>
        <v>0.98079741117310582</v>
      </c>
      <c r="BU1836" s="4">
        <f>_xlfn.IFNA(VLOOKUP(Grandview_Inventory[[#This Row],[condition]],Lookups!$A$37:$C$44,3,FALSE),1)</f>
        <v>0.96469275950863709</v>
      </c>
      <c r="BV1836" s="4">
        <f>IF(Grandview_Inventory[[#This Row],[bldg_style]]="",1,_xlfn.IFNA(VLOOKUP(Grandview_Inventory[[#This Row],[decade]],Lookups!$F$29:$H$43,3,FALSE),1))</f>
        <v>0.98763256963907298</v>
      </c>
      <c r="BW1836" s="4">
        <f>_xlfn.IFNA(VLOOKUP(Grandview_Inventory[[#This Row],[living_area_range]],Lookups!$F$47:$H$56,3,FALSE),1)</f>
        <v>0.96135087979789358</v>
      </c>
      <c r="BX1836" s="4">
        <f>AVERAGE(Grandview_Inventory[[#This Row],[qual_adj]:[size_adj]])</f>
        <v>0.97361840502967734</v>
      </c>
      <c r="BY1836" s="6">
        <f>IF(Grandview_Inventory[[#This Row],[pre_res]]&lt;0,0,Grandview_Inventory[[#This Row],[pre_res]]*Grandview_Inventory[[#This Row],[overall_adj]])</f>
        <v>248438.05351068178</v>
      </c>
      <c r="BZ1836" s="6">
        <f>(Grandview_Inventory[[#This Row],[sum_land]]-IF(Grandview_Inventory[[#This Row],[no_utilities]]=1,12000,0))/IF(Grandview_Inventory[[#This Row],[unbuildable]]=1,2,1)</f>
        <v>72912.968909090603</v>
      </c>
      <c r="CA1836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36">
        <f>ROUND(Grandview_Inventory[[#This Row],[det_value]]*Lookups!$M$28,-2)</f>
        <v>5900</v>
      </c>
      <c r="CC1836">
        <f>IF(ROUND(Grandview_Inventory[[#This Row],[adj_res]]*Lookups!$M$28,-2)&lt;Grandview_Inventory[[#This Row],[min_res]],Grandview_Inventory[[#This Row],[min_res]],ROUND(Grandview_Inventory[[#This Row],[adj_res]]*Lookups!$M$28,-2))</f>
        <v>236000</v>
      </c>
      <c r="CD1836">
        <f>Grandview_Inventory[[#This Row],[final_det]]+Grandview_Inventory[[#This Row],[final_res]]</f>
        <v>241900</v>
      </c>
      <c r="CE1836">
        <f>Grandview_Inventory[[#This Row],[final_land]]+Grandview_Inventory[[#This Row],[final_imp]]+Grandview_Inventory[[#This Row],[crop_value]]</f>
        <v>311200</v>
      </c>
      <c r="CG1836" t="str">
        <f t="shared" si="28"/>
        <v>update valuation set market_land =69300, market_bldg=241900, market_total =311200, market_mdno =401, market_date ='9/10/2023' where link_id = (select link_id from parcel where parcel_year = '2024' and parcel_id = '23092334407');</v>
      </c>
    </row>
    <row r="1837" spans="1:85" x14ac:dyDescent="0.25">
      <c r="A1837">
        <v>23092334409</v>
      </c>
      <c r="B1837">
        <v>0.92</v>
      </c>
      <c r="C1837">
        <v>40051</v>
      </c>
      <c r="D1837" t="s">
        <v>129</v>
      </c>
      <c r="E1837" t="s">
        <v>53</v>
      </c>
      <c r="F1837" t="s">
        <v>53</v>
      </c>
      <c r="G1837">
        <v>4</v>
      </c>
      <c r="H1837" t="s">
        <v>54</v>
      </c>
      <c r="I1837">
        <v>157000</v>
      </c>
      <c r="J1837">
        <v>43700</v>
      </c>
      <c r="K1837">
        <v>0.92</v>
      </c>
      <c r="L1837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37">
        <v>0</v>
      </c>
      <c r="N1837">
        <v>0</v>
      </c>
      <c r="O1837">
        <v>0</v>
      </c>
      <c r="P1837">
        <v>13398.7528</v>
      </c>
      <c r="Q1837">
        <v>63903</v>
      </c>
      <c r="R1837">
        <f>(Grandview_Inventory[[#This Row],[ln_acres]]*Grandview_Inventory[[#This Row],[coeff]])+Grandview_Inventory[[#This Row],[const]]</f>
        <v>62785.790433759386</v>
      </c>
      <c r="S1837" t="s">
        <v>68</v>
      </c>
      <c r="T1837">
        <v>1</v>
      </c>
      <c r="U1837" t="s">
        <v>62</v>
      </c>
      <c r="V1837" t="s">
        <v>69</v>
      </c>
      <c r="W1837">
        <v>0</v>
      </c>
      <c r="X1837">
        <v>0</v>
      </c>
      <c r="Y1837">
        <v>65</v>
      </c>
      <c r="Z1837">
        <v>113</v>
      </c>
      <c r="AA1837">
        <v>120</v>
      </c>
      <c r="AB1837">
        <v>2000</v>
      </c>
      <c r="AC1837">
        <v>1564</v>
      </c>
      <c r="AD1837">
        <v>1564</v>
      </c>
      <c r="AE1837">
        <v>0</v>
      </c>
      <c r="AF1837">
        <v>0</v>
      </c>
      <c r="AG1837">
        <v>0</v>
      </c>
      <c r="AH1837">
        <v>540</v>
      </c>
      <c r="AI1837">
        <v>0</v>
      </c>
      <c r="AJ1837">
        <v>0</v>
      </c>
      <c r="AK1837">
        <v>0</v>
      </c>
      <c r="AL1837">
        <v>0</v>
      </c>
      <c r="AM1837">
        <v>218</v>
      </c>
      <c r="AN1837">
        <v>56</v>
      </c>
      <c r="AO1837">
        <v>218</v>
      </c>
      <c r="AP1837">
        <v>7</v>
      </c>
      <c r="AQ1837">
        <v>0</v>
      </c>
      <c r="AR1837">
        <v>1</v>
      </c>
      <c r="AS1837" t="s">
        <v>71</v>
      </c>
      <c r="AT1837">
        <v>1</v>
      </c>
      <c r="AU1837" t="s">
        <v>63</v>
      </c>
      <c r="AV1837" t="s">
        <v>60</v>
      </c>
      <c r="AW1837">
        <v>0</v>
      </c>
      <c r="AX1837">
        <v>3</v>
      </c>
      <c r="AY1837">
        <v>0</v>
      </c>
      <c r="AZ1837">
        <v>3100</v>
      </c>
      <c r="BA1837">
        <v>100</v>
      </c>
      <c r="BB1837">
        <v>100</v>
      </c>
      <c r="BC1837">
        <v>100</v>
      </c>
      <c r="BD1837">
        <v>100</v>
      </c>
      <c r="BE1837">
        <v>1</v>
      </c>
      <c r="BF1837">
        <v>15000</v>
      </c>
      <c r="BG1837">
        <v>1000</v>
      </c>
      <c r="BH1837" s="6">
        <f>Grandview_Inventory[[#This Row],[land_extract]]*Lookups!$B$3</f>
        <v>72912.968909090603</v>
      </c>
      <c r="BI1837" s="6">
        <f>IF(Grandview_Inventory[[#This Row],[bldg_style]]="",0,Lookups!$B$2)</f>
        <v>155833.95000000001</v>
      </c>
      <c r="BJ1837" s="6">
        <f>_xlfn.IFNA(VLOOKUP(Grandview_Inventory[[#This Row],[quality]],Lookups!$H$2:$J$14,3,FALSE),0)</f>
        <v>9808</v>
      </c>
      <c r="BK1837" s="6">
        <f>_xlfn.IFNA(VLOOKUP(Grandview_Inventory[[#This Row],[condition]],Lookups!$H$17:$J$24,3,FALSE),0)</f>
        <v>-4503</v>
      </c>
      <c r="BL1837" s="6">
        <f>Grandview_Inventory[[#This Row],[Eff_Age]]*Lookups!$B$14</f>
        <v>-15545.829</v>
      </c>
      <c r="BM1837" s="6">
        <f>Grandview_Inventory[[#This Row],[living_area]]*Lookups!$B$15</f>
        <v>97563.654091999997</v>
      </c>
      <c r="BN1837" s="6">
        <f>Grandview_Inventory[[#This Row],[Fin BSMT]]*Lookups!$B$16</f>
        <v>0</v>
      </c>
      <c r="BO1837" s="6">
        <f>(Grandview_Inventory[[#This Row],[att_gar]]+Grandview_Inventory[[#This Row],[bltin_gar]])*Lookups!$B$17</f>
        <v>0</v>
      </c>
      <c r="BP1837" s="6">
        <f>Grandview_Inventory[[#This Row],[Plumbing Fixtures]]*Lookups!$B$18</f>
        <v>14073.0926</v>
      </c>
      <c r="BQ1837" s="6">
        <f>Grandview_Inventory[[#This Row],[detatched_value]]*Lookups!$B$19</f>
        <v>2625.0958099999998</v>
      </c>
      <c r="BR1837" s="6">
        <f>SUM(Grandview_Inventory[[#This Row],[Intercept]:[det_value]])*Grandview_Inventory[[#This Row],[res_pct]]</f>
        <v>259854.96350200003</v>
      </c>
      <c r="BS1837" s="6">
        <f>Grandview_Inventory[[#This Row],[land_value]]</f>
        <v>72912.968909090603</v>
      </c>
      <c r="BT1837" s="4">
        <f>_xlfn.IFNA(VLOOKUP(Grandview_Inventory[[#This Row],[quality]],Lookups!$A$26:$C$33,3,FALSE),1)</f>
        <v>0.94295468617355149</v>
      </c>
      <c r="BU1837" s="4">
        <f>_xlfn.IFNA(VLOOKUP(Grandview_Inventory[[#This Row],[condition]],Lookups!$A$37:$C$44,3,FALSE),1)</f>
        <v>0.96469275950863709</v>
      </c>
      <c r="BV1837" s="4">
        <f>IF(Grandview_Inventory[[#This Row],[bldg_style]]="",1,_xlfn.IFNA(VLOOKUP(Grandview_Inventory[[#This Row],[decade]],Lookups!$F$29:$H$43,3,FALSE),1))</f>
        <v>0.9251738460551937</v>
      </c>
      <c r="BW1837" s="4">
        <f>_xlfn.IFNA(VLOOKUP(Grandview_Inventory[[#This Row],[living_area_range]],Lookups!$F$47:$H$56,3,FALSE),1)</f>
        <v>0.96120133463014379</v>
      </c>
      <c r="BX1837" s="4">
        <f>AVERAGE(Grandview_Inventory[[#This Row],[qual_adj]:[size_adj]])</f>
        <v>0.94850565659188146</v>
      </c>
      <c r="BY1837" s="6">
        <f>IF(Grandview_Inventory[[#This Row],[pre_res]]&lt;0,0,Grandview_Inventory[[#This Row],[pre_res]]*Grandview_Inventory[[#This Row],[overall_adj]])</f>
        <v>246473.90277512392</v>
      </c>
      <c r="BZ1837" s="6">
        <f>(Grandview_Inventory[[#This Row],[sum_land]]-IF(Grandview_Inventory[[#This Row],[no_utilities]]=1,12000,0))/IF(Grandview_Inventory[[#This Row],[unbuildable]]=1,2,1)</f>
        <v>72912.968909090603</v>
      </c>
      <c r="CA1837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37">
        <f>ROUND(Grandview_Inventory[[#This Row],[det_value]]*Lookups!$M$28,-2)</f>
        <v>2500</v>
      </c>
      <c r="CC1837">
        <f>IF(ROUND(Grandview_Inventory[[#This Row],[adj_res]]*Lookups!$M$28,-2)&lt;Grandview_Inventory[[#This Row],[min_res]],Grandview_Inventory[[#This Row],[min_res]],ROUND(Grandview_Inventory[[#This Row],[adj_res]]*Lookups!$M$28,-2))</f>
        <v>234200</v>
      </c>
      <c r="CD1837">
        <f>Grandview_Inventory[[#This Row],[final_det]]+Grandview_Inventory[[#This Row],[final_res]]</f>
        <v>236700</v>
      </c>
      <c r="CE1837">
        <f>Grandview_Inventory[[#This Row],[final_land]]+Grandview_Inventory[[#This Row],[final_imp]]+Grandview_Inventory[[#This Row],[crop_value]]</f>
        <v>306000</v>
      </c>
      <c r="CG1837" t="str">
        <f t="shared" si="28"/>
        <v>update valuation set market_land =69300, market_bldg=236700, market_total =306000, market_mdno =401, market_date ='9/10/2023' where link_id = (select link_id from parcel where parcel_year = '2024' and parcel_id = '23092334409');</v>
      </c>
    </row>
    <row r="1838" spans="1:85" x14ac:dyDescent="0.25">
      <c r="A1838">
        <v>23092334410</v>
      </c>
      <c r="B1838">
        <v>0.14000000000000001</v>
      </c>
      <c r="C1838">
        <v>6150</v>
      </c>
      <c r="D1838" t="s">
        <v>129</v>
      </c>
      <c r="E1838" t="s">
        <v>53</v>
      </c>
      <c r="F1838" t="s">
        <v>53</v>
      </c>
      <c r="G1838">
        <v>4</v>
      </c>
      <c r="H1838" t="s">
        <v>54</v>
      </c>
      <c r="I1838">
        <v>112600</v>
      </c>
      <c r="J1838">
        <v>38300</v>
      </c>
      <c r="K1838">
        <v>0.14000000000000001</v>
      </c>
      <c r="L1838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838">
        <v>0</v>
      </c>
      <c r="N1838">
        <v>0</v>
      </c>
      <c r="O1838">
        <v>0</v>
      </c>
      <c r="P1838">
        <v>13398.7528</v>
      </c>
      <c r="Q1838">
        <v>63903</v>
      </c>
      <c r="R1838">
        <f>(Grandview_Inventory[[#This Row],[ln_acres]]*Grandview_Inventory[[#This Row],[coeff]])+Grandview_Inventory[[#This Row],[const]]</f>
        <v>37559.539860558507</v>
      </c>
      <c r="S1838" t="s">
        <v>68</v>
      </c>
      <c r="T1838">
        <v>1</v>
      </c>
      <c r="U1838" t="s">
        <v>70</v>
      </c>
      <c r="V1838" t="s">
        <v>78</v>
      </c>
      <c r="W1838">
        <v>0</v>
      </c>
      <c r="X1838">
        <v>0</v>
      </c>
      <c r="Y1838">
        <v>50</v>
      </c>
      <c r="Z1838">
        <v>71</v>
      </c>
      <c r="AA1838">
        <v>80</v>
      </c>
      <c r="AB1838">
        <v>1000</v>
      </c>
      <c r="AC1838">
        <v>936</v>
      </c>
      <c r="AD1838">
        <v>936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260</v>
      </c>
      <c r="AL1838">
        <v>0</v>
      </c>
      <c r="AM1838">
        <v>0</v>
      </c>
      <c r="AN1838">
        <v>0</v>
      </c>
      <c r="AO1838">
        <v>0</v>
      </c>
      <c r="AP1838">
        <v>5</v>
      </c>
      <c r="AQ1838">
        <v>0</v>
      </c>
      <c r="AR1838">
        <v>0</v>
      </c>
      <c r="AS1838" t="s">
        <v>58</v>
      </c>
      <c r="AT1838">
        <v>1</v>
      </c>
      <c r="AU1838" t="s">
        <v>63</v>
      </c>
      <c r="AV1838" t="s">
        <v>60</v>
      </c>
      <c r="AW1838">
        <v>1</v>
      </c>
      <c r="AX1838">
        <v>2</v>
      </c>
      <c r="AY1838">
        <v>0</v>
      </c>
      <c r="AZ1838">
        <v>0</v>
      </c>
      <c r="BA1838">
        <v>100</v>
      </c>
      <c r="BB1838">
        <v>100</v>
      </c>
      <c r="BC1838">
        <v>100</v>
      </c>
      <c r="BD1838">
        <v>100</v>
      </c>
      <c r="BE1838">
        <v>1</v>
      </c>
      <c r="BF1838">
        <v>15000</v>
      </c>
      <c r="BG1838">
        <v>1000</v>
      </c>
      <c r="BH1838" s="6">
        <f>Grandview_Inventory[[#This Row],[land_extract]]*Lookups!$B$3</f>
        <v>43617.792229308972</v>
      </c>
      <c r="BI1838" s="6">
        <f>IF(Grandview_Inventory[[#This Row],[bldg_style]]="",0,Lookups!$B$2)</f>
        <v>155833.95000000001</v>
      </c>
      <c r="BJ1838" s="6">
        <f>_xlfn.IFNA(VLOOKUP(Grandview_Inventory[[#This Row],[quality]],Lookups!$H$2:$J$14,3,FALSE),0)</f>
        <v>10733</v>
      </c>
      <c r="BK1838" s="6">
        <f>_xlfn.IFNA(VLOOKUP(Grandview_Inventory[[#This Row],[condition]],Lookups!$H$17:$J$24,3,FALSE),0)</f>
        <v>-45357</v>
      </c>
      <c r="BL1838" s="6">
        <f>Grandview_Inventory[[#This Row],[Eff_Age]]*Lookups!$B$14</f>
        <v>-11958.33</v>
      </c>
      <c r="BM1838" s="6">
        <f>Grandview_Inventory[[#This Row],[living_area]]*Lookups!$B$15</f>
        <v>58388.478408000003</v>
      </c>
      <c r="BN1838" s="6">
        <f>Grandview_Inventory[[#This Row],[Fin BSMT]]*Lookups!$B$16</f>
        <v>0</v>
      </c>
      <c r="BO1838" s="6">
        <f>(Grandview_Inventory[[#This Row],[att_gar]]+Grandview_Inventory[[#This Row],[bltin_gar]])*Lookups!$B$17</f>
        <v>0</v>
      </c>
      <c r="BP1838" s="6">
        <f>Grandview_Inventory[[#This Row],[Plumbing Fixtures]]*Lookups!$B$18</f>
        <v>10052.209000000001</v>
      </c>
      <c r="BQ1838" s="6">
        <f>Grandview_Inventory[[#This Row],[detatched_value]]*Lookups!$B$19</f>
        <v>0</v>
      </c>
      <c r="BR1838" s="6">
        <f>SUM(Grandview_Inventory[[#This Row],[Intercept]:[det_value]])*Grandview_Inventory[[#This Row],[res_pct]]</f>
        <v>177692.30740800002</v>
      </c>
      <c r="BS1838" s="6">
        <f>Grandview_Inventory[[#This Row],[land_value]]</f>
        <v>43617.792229308972</v>
      </c>
      <c r="BT1838" s="4">
        <f>_xlfn.IFNA(VLOOKUP(Grandview_Inventory[[#This Row],[quality]],Lookups!$A$26:$C$33,3,FALSE),1)</f>
        <v>0.98079741117310582</v>
      </c>
      <c r="BU1838" s="4">
        <f>_xlfn.IFNA(VLOOKUP(Grandview_Inventory[[#This Row],[condition]],Lookups!$A$37:$C$44,3,FALSE),1)</f>
        <v>0.97161819570155394</v>
      </c>
      <c r="BV1838" s="4">
        <f>IF(Grandview_Inventory[[#This Row],[bldg_style]]="",1,_xlfn.IFNA(VLOOKUP(Grandview_Inventory[[#This Row],[decade]],Lookups!$F$29:$H$43,3,FALSE),1))</f>
        <v>0.98763256963907298</v>
      </c>
      <c r="BW1838" s="4">
        <f>_xlfn.IFNA(VLOOKUP(Grandview_Inventory[[#This Row],[living_area_range]],Lookups!$F$47:$H$56,3,FALSE),1)</f>
        <v>0.94306777142782894</v>
      </c>
      <c r="BX1838" s="4">
        <f>AVERAGE(Grandview_Inventory[[#This Row],[qual_adj]:[size_adj]])</f>
        <v>0.97077898698539034</v>
      </c>
      <c r="BY1838" s="6">
        <f>IF(Grandview_Inventory[[#This Row],[pre_res]]&lt;0,0,Grandview_Inventory[[#This Row],[pre_res]]*Grandview_Inventory[[#This Row],[overall_adj]])</f>
        <v>172499.95818063483</v>
      </c>
      <c r="BZ1838" s="6">
        <f>(Grandview_Inventory[[#This Row],[sum_land]]-IF(Grandview_Inventory[[#This Row],[no_utilities]]=1,12000,0))/IF(Grandview_Inventory[[#This Row],[unbuildable]]=1,2,1)</f>
        <v>43617.792229308972</v>
      </c>
      <c r="CA1838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838">
        <f>ROUND(Grandview_Inventory[[#This Row],[det_value]]*Lookups!$M$28,-2)</f>
        <v>0</v>
      </c>
      <c r="CC1838">
        <f>IF(ROUND(Grandview_Inventory[[#This Row],[adj_res]]*Lookups!$M$28,-2)&lt;Grandview_Inventory[[#This Row],[min_res]],Grandview_Inventory[[#This Row],[min_res]],ROUND(Grandview_Inventory[[#This Row],[adj_res]]*Lookups!$M$28,-2))</f>
        <v>163900</v>
      </c>
      <c r="CD1838">
        <f>Grandview_Inventory[[#This Row],[final_det]]+Grandview_Inventory[[#This Row],[final_res]]</f>
        <v>163900</v>
      </c>
      <c r="CE1838">
        <f>Grandview_Inventory[[#This Row],[final_land]]+Grandview_Inventory[[#This Row],[final_imp]]+Grandview_Inventory[[#This Row],[crop_value]]</f>
        <v>205300</v>
      </c>
      <c r="CG1838" t="str">
        <f t="shared" si="28"/>
        <v>update valuation set market_land =41400, market_bldg=163900, market_total =205300, market_mdno =401, market_date ='9/10/2023' where link_id = (select link_id from parcel where parcel_year = '2024' and parcel_id = '23092334410');</v>
      </c>
    </row>
    <row r="1839" spans="1:85" x14ac:dyDescent="0.25">
      <c r="A1839">
        <v>23092334411</v>
      </c>
      <c r="B1839">
        <v>0.14000000000000001</v>
      </c>
      <c r="C1839">
        <v>6150</v>
      </c>
      <c r="D1839" t="s">
        <v>129</v>
      </c>
      <c r="E1839" t="s">
        <v>53</v>
      </c>
      <c r="F1839" t="s">
        <v>53</v>
      </c>
      <c r="G1839">
        <v>4</v>
      </c>
      <c r="H1839" t="s">
        <v>54</v>
      </c>
      <c r="I1839">
        <v>102200</v>
      </c>
      <c r="J1839">
        <v>38300</v>
      </c>
      <c r="K1839">
        <v>0.14000000000000001</v>
      </c>
      <c r="L1839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839">
        <v>0</v>
      </c>
      <c r="N1839">
        <v>0</v>
      </c>
      <c r="O1839">
        <v>0</v>
      </c>
      <c r="P1839">
        <v>13398.7528</v>
      </c>
      <c r="Q1839">
        <v>63903</v>
      </c>
      <c r="R1839">
        <f>(Grandview_Inventory[[#This Row],[ln_acres]]*Grandview_Inventory[[#This Row],[coeff]])+Grandview_Inventory[[#This Row],[const]]</f>
        <v>37559.539860558507</v>
      </c>
      <c r="S1839" t="s">
        <v>68</v>
      </c>
      <c r="T1839">
        <v>1</v>
      </c>
      <c r="U1839" t="s">
        <v>83</v>
      </c>
      <c r="V1839" t="s">
        <v>78</v>
      </c>
      <c r="W1839">
        <v>0</v>
      </c>
      <c r="X1839">
        <v>0</v>
      </c>
      <c r="Y1839">
        <v>50</v>
      </c>
      <c r="Z1839">
        <v>73</v>
      </c>
      <c r="AA1839">
        <v>80</v>
      </c>
      <c r="AB1839">
        <v>1500</v>
      </c>
      <c r="AC1839">
        <v>1177</v>
      </c>
      <c r="AD1839">
        <v>1177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5</v>
      </c>
      <c r="AQ1839">
        <v>0</v>
      </c>
      <c r="AR1839">
        <v>0</v>
      </c>
      <c r="AS1839" t="s">
        <v>58</v>
      </c>
      <c r="AT1839">
        <v>1</v>
      </c>
      <c r="AU1839" t="s">
        <v>75</v>
      </c>
      <c r="AV1839" t="s">
        <v>60</v>
      </c>
      <c r="AW1839">
        <v>0</v>
      </c>
      <c r="AX1839">
        <v>2</v>
      </c>
      <c r="AY1839">
        <v>0</v>
      </c>
      <c r="AZ1839">
        <v>0</v>
      </c>
      <c r="BA1839">
        <v>100</v>
      </c>
      <c r="BB1839">
        <v>100</v>
      </c>
      <c r="BC1839">
        <v>100</v>
      </c>
      <c r="BD1839">
        <v>100</v>
      </c>
      <c r="BE1839">
        <v>1</v>
      </c>
      <c r="BF1839">
        <v>15000</v>
      </c>
      <c r="BG1839">
        <v>1000</v>
      </c>
      <c r="BH1839" s="6">
        <f>Grandview_Inventory[[#This Row],[land_extract]]*Lookups!$B$3</f>
        <v>43617.792229308972</v>
      </c>
      <c r="BI1839" s="6">
        <f>IF(Grandview_Inventory[[#This Row],[bldg_style]]="",0,Lookups!$B$2)</f>
        <v>155833.95000000001</v>
      </c>
      <c r="BJ1839" s="6">
        <f>_xlfn.IFNA(VLOOKUP(Grandview_Inventory[[#This Row],[quality]],Lookups!$H$2:$J$14,3,FALSE),0)</f>
        <v>-28558</v>
      </c>
      <c r="BK1839" s="6">
        <f>_xlfn.IFNA(VLOOKUP(Grandview_Inventory[[#This Row],[condition]],Lookups!$H$17:$J$24,3,FALSE),0)</f>
        <v>-45357</v>
      </c>
      <c r="BL1839" s="6">
        <f>Grandview_Inventory[[#This Row],[Eff_Age]]*Lookups!$B$14</f>
        <v>-11958.33</v>
      </c>
      <c r="BM1839" s="6">
        <f>Grandview_Inventory[[#This Row],[living_area]]*Lookups!$B$15</f>
        <v>73422.263980999996</v>
      </c>
      <c r="BN1839" s="6">
        <f>Grandview_Inventory[[#This Row],[Fin BSMT]]*Lookups!$B$16</f>
        <v>0</v>
      </c>
      <c r="BO1839" s="6">
        <f>(Grandview_Inventory[[#This Row],[att_gar]]+Grandview_Inventory[[#This Row],[bltin_gar]])*Lookups!$B$17</f>
        <v>0</v>
      </c>
      <c r="BP1839" s="6">
        <f>Grandview_Inventory[[#This Row],[Plumbing Fixtures]]*Lookups!$B$18</f>
        <v>10052.209000000001</v>
      </c>
      <c r="BQ1839" s="6">
        <f>Grandview_Inventory[[#This Row],[detatched_value]]*Lookups!$B$19</f>
        <v>0</v>
      </c>
      <c r="BR1839" s="6">
        <f>SUM(Grandview_Inventory[[#This Row],[Intercept]:[det_value]])*Grandview_Inventory[[#This Row],[res_pct]]</f>
        <v>153435.09298099999</v>
      </c>
      <c r="BS1839" s="6">
        <f>Grandview_Inventory[[#This Row],[land_value]]</f>
        <v>43617.792229308972</v>
      </c>
      <c r="BT1839" s="4">
        <f>_xlfn.IFNA(VLOOKUP(Grandview_Inventory[[#This Row],[quality]],Lookups!$A$26:$C$33,3,FALSE),1)</f>
        <v>0.96329552998502799</v>
      </c>
      <c r="BU1839" s="4">
        <f>_xlfn.IFNA(VLOOKUP(Grandview_Inventory[[#This Row],[condition]],Lookups!$A$37:$C$44,3,FALSE),1)</f>
        <v>0.97161819570155394</v>
      </c>
      <c r="BV1839" s="4">
        <f>IF(Grandview_Inventory[[#This Row],[bldg_style]]="",1,_xlfn.IFNA(VLOOKUP(Grandview_Inventory[[#This Row],[decade]],Lookups!$F$29:$H$43,3,FALSE),1))</f>
        <v>0.98763256963907298</v>
      </c>
      <c r="BW1839" s="4">
        <f>_xlfn.IFNA(VLOOKUP(Grandview_Inventory[[#This Row],[living_area_range]],Lookups!$F$47:$H$56,3,FALSE),1)</f>
        <v>0.96135087979789358</v>
      </c>
      <c r="BX1839" s="4">
        <f>AVERAGE(Grandview_Inventory[[#This Row],[qual_adj]:[size_adj]])</f>
        <v>0.97097429378088707</v>
      </c>
      <c r="BY1839" s="6">
        <f>IF(Grandview_Inventory[[#This Row],[pre_res]]&lt;0,0,Grandview_Inventory[[#This Row],[pre_res]]*Grandview_Inventory[[#This Row],[overall_adj]])</f>
        <v>148981.53104843121</v>
      </c>
      <c r="BZ1839" s="6">
        <f>(Grandview_Inventory[[#This Row],[sum_land]]-IF(Grandview_Inventory[[#This Row],[no_utilities]]=1,12000,0))/IF(Grandview_Inventory[[#This Row],[unbuildable]]=1,2,1)</f>
        <v>43617.792229308972</v>
      </c>
      <c r="CA1839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839">
        <f>ROUND(Grandview_Inventory[[#This Row],[det_value]]*Lookups!$M$28,-2)</f>
        <v>0</v>
      </c>
      <c r="CC1839">
        <f>IF(ROUND(Grandview_Inventory[[#This Row],[adj_res]]*Lookups!$M$28,-2)&lt;Grandview_Inventory[[#This Row],[min_res]],Grandview_Inventory[[#This Row],[min_res]],ROUND(Grandview_Inventory[[#This Row],[adj_res]]*Lookups!$M$28,-2))</f>
        <v>141500</v>
      </c>
      <c r="CD1839">
        <f>Grandview_Inventory[[#This Row],[final_det]]+Grandview_Inventory[[#This Row],[final_res]]</f>
        <v>141500</v>
      </c>
      <c r="CE1839">
        <f>Grandview_Inventory[[#This Row],[final_land]]+Grandview_Inventory[[#This Row],[final_imp]]+Grandview_Inventory[[#This Row],[crop_value]]</f>
        <v>182900</v>
      </c>
      <c r="CG1839" t="str">
        <f t="shared" si="28"/>
        <v>update valuation set market_land =41400, market_bldg=141500, market_total =182900, market_mdno =401, market_date ='9/10/2023' where link_id = (select link_id from parcel where parcel_year = '2024' and parcel_id = '23092334411');</v>
      </c>
    </row>
    <row r="1840" spans="1:85" x14ac:dyDescent="0.25">
      <c r="A1840">
        <v>23092334415</v>
      </c>
      <c r="B1840">
        <v>0.92</v>
      </c>
      <c r="C1840">
        <v>40051</v>
      </c>
      <c r="D1840" t="s">
        <v>129</v>
      </c>
      <c r="E1840" t="s">
        <v>53</v>
      </c>
      <c r="F1840" t="s">
        <v>53</v>
      </c>
      <c r="G1840">
        <v>4</v>
      </c>
      <c r="H1840" t="s">
        <v>54</v>
      </c>
      <c r="I1840">
        <v>135000</v>
      </c>
      <c r="J1840">
        <v>43700</v>
      </c>
      <c r="K1840">
        <v>0.92</v>
      </c>
      <c r="L1840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0">
        <v>0</v>
      </c>
      <c r="N1840">
        <v>0</v>
      </c>
      <c r="O1840">
        <v>0</v>
      </c>
      <c r="P1840">
        <v>13398.7528</v>
      </c>
      <c r="Q1840">
        <v>63903</v>
      </c>
      <c r="R1840">
        <f>(Grandview_Inventory[[#This Row],[ln_acres]]*Grandview_Inventory[[#This Row],[coeff]])+Grandview_Inventory[[#This Row],[const]]</f>
        <v>62785.790433759386</v>
      </c>
      <c r="S1840" t="s">
        <v>68</v>
      </c>
      <c r="T1840">
        <v>1</v>
      </c>
      <c r="U1840" t="s">
        <v>65</v>
      </c>
      <c r="V1840" t="s">
        <v>69</v>
      </c>
      <c r="W1840">
        <v>0</v>
      </c>
      <c r="X1840">
        <v>0</v>
      </c>
      <c r="Y1840">
        <v>57</v>
      </c>
      <c r="Z1840">
        <v>103</v>
      </c>
      <c r="AA1840">
        <v>110</v>
      </c>
      <c r="AB1840">
        <v>1500</v>
      </c>
      <c r="AC1840">
        <v>1168</v>
      </c>
      <c r="AD1840">
        <v>1168</v>
      </c>
      <c r="AE1840">
        <v>0</v>
      </c>
      <c r="AF1840">
        <v>0</v>
      </c>
      <c r="AG1840">
        <v>0</v>
      </c>
      <c r="AH1840">
        <v>360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7</v>
      </c>
      <c r="AQ1840">
        <v>0</v>
      </c>
      <c r="AR1840">
        <v>0</v>
      </c>
      <c r="AS1840" t="s">
        <v>58</v>
      </c>
      <c r="AT1840">
        <v>1</v>
      </c>
      <c r="AU1840" t="s">
        <v>59</v>
      </c>
      <c r="AV1840" t="s">
        <v>60</v>
      </c>
      <c r="AW1840">
        <v>1</v>
      </c>
      <c r="AX1840">
        <v>3</v>
      </c>
      <c r="AY1840">
        <v>0</v>
      </c>
      <c r="AZ1840">
        <v>2300</v>
      </c>
      <c r="BA1840">
        <v>100</v>
      </c>
      <c r="BB1840">
        <v>100</v>
      </c>
      <c r="BC1840">
        <v>100</v>
      </c>
      <c r="BD1840">
        <v>100</v>
      </c>
      <c r="BE1840">
        <v>1</v>
      </c>
      <c r="BF1840">
        <v>15000</v>
      </c>
      <c r="BG1840">
        <v>1000</v>
      </c>
      <c r="BH1840" s="6">
        <f>Grandview_Inventory[[#This Row],[land_extract]]*Lookups!$B$3</f>
        <v>72912.968909090603</v>
      </c>
      <c r="BI1840" s="6">
        <f>IF(Grandview_Inventory[[#This Row],[bldg_style]]="",0,Lookups!$B$2)</f>
        <v>155833.95000000001</v>
      </c>
      <c r="BJ1840" s="6">
        <f>_xlfn.IFNA(VLOOKUP(Grandview_Inventory[[#This Row],[quality]],Lookups!$H$2:$J$14,3,FALSE),0)</f>
        <v>2251</v>
      </c>
      <c r="BK1840" s="6">
        <f>_xlfn.IFNA(VLOOKUP(Grandview_Inventory[[#This Row],[condition]],Lookups!$H$17:$J$24,3,FALSE),0)</f>
        <v>-4503</v>
      </c>
      <c r="BL1840" s="6">
        <f>Grandview_Inventory[[#This Row],[Eff_Age]]*Lookups!$B$14</f>
        <v>-13632.4962</v>
      </c>
      <c r="BM1840" s="6">
        <f>Grandview_Inventory[[#This Row],[living_area]]*Lookups!$B$15</f>
        <v>72860.836303999997</v>
      </c>
      <c r="BN1840" s="6">
        <f>Grandview_Inventory[[#This Row],[Fin BSMT]]*Lookups!$B$16</f>
        <v>0</v>
      </c>
      <c r="BO1840" s="6">
        <f>(Grandview_Inventory[[#This Row],[att_gar]]+Grandview_Inventory[[#This Row],[bltin_gar]])*Lookups!$B$17</f>
        <v>0</v>
      </c>
      <c r="BP1840" s="6">
        <f>Grandview_Inventory[[#This Row],[Plumbing Fixtures]]*Lookups!$B$18</f>
        <v>14073.0926</v>
      </c>
      <c r="BQ1840" s="6">
        <f>Grandview_Inventory[[#This Row],[detatched_value]]*Lookups!$B$19</f>
        <v>1947.65173</v>
      </c>
      <c r="BR1840" s="6">
        <f>SUM(Grandview_Inventory[[#This Row],[Intercept]:[det_value]])*Grandview_Inventory[[#This Row],[res_pct]]</f>
        <v>228831.03443400003</v>
      </c>
      <c r="BS1840" s="6">
        <f>Grandview_Inventory[[#This Row],[land_value]]</f>
        <v>72912.968909090603</v>
      </c>
      <c r="BT1840" s="4">
        <f>_xlfn.IFNA(VLOOKUP(Grandview_Inventory[[#This Row],[quality]],Lookups!$A$26:$C$33,3,FALSE),1)</f>
        <v>0.98763855981004833</v>
      </c>
      <c r="BU1840" s="4">
        <f>_xlfn.IFNA(VLOOKUP(Grandview_Inventory[[#This Row],[condition]],Lookups!$A$37:$C$44,3,FALSE),1)</f>
        <v>0.96469275950863709</v>
      </c>
      <c r="BV1840" s="4">
        <f>IF(Grandview_Inventory[[#This Row],[bldg_style]]="",1,_xlfn.IFNA(VLOOKUP(Grandview_Inventory[[#This Row],[decade]],Lookups!$F$29:$H$43,3,FALSE),1))</f>
        <v>0.92255236374249616</v>
      </c>
      <c r="BW1840" s="4">
        <f>_xlfn.IFNA(VLOOKUP(Grandview_Inventory[[#This Row],[living_area_range]],Lookups!$F$47:$H$56,3,FALSE),1)</f>
        <v>0.96135087979789358</v>
      </c>
      <c r="BX1840" s="4">
        <f>AVERAGE(Grandview_Inventory[[#This Row],[qual_adj]:[size_adj]])</f>
        <v>0.95905864071476876</v>
      </c>
      <c r="BY1840" s="6">
        <f>IF(Grandview_Inventory[[#This Row],[pre_res]]&lt;0,0,Grandview_Inventory[[#This Row],[pre_res]]*Grandview_Inventory[[#This Row],[overall_adj]])</f>
        <v>219462.38083762652</v>
      </c>
      <c r="BZ1840" s="6">
        <f>(Grandview_Inventory[[#This Row],[sum_land]]-IF(Grandview_Inventory[[#This Row],[no_utilities]]=1,12000,0))/IF(Grandview_Inventory[[#This Row],[unbuildable]]=1,2,1)</f>
        <v>72912.968909090603</v>
      </c>
      <c r="CA1840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0">
        <f>ROUND(Grandview_Inventory[[#This Row],[det_value]]*Lookups!$M$28,-2)</f>
        <v>1900</v>
      </c>
      <c r="CC1840">
        <f>IF(ROUND(Grandview_Inventory[[#This Row],[adj_res]]*Lookups!$M$28,-2)&lt;Grandview_Inventory[[#This Row],[min_res]],Grandview_Inventory[[#This Row],[min_res]],ROUND(Grandview_Inventory[[#This Row],[adj_res]]*Lookups!$M$28,-2))</f>
        <v>208500</v>
      </c>
      <c r="CD1840">
        <f>Grandview_Inventory[[#This Row],[final_det]]+Grandview_Inventory[[#This Row],[final_res]]</f>
        <v>210400</v>
      </c>
      <c r="CE1840">
        <f>Grandview_Inventory[[#This Row],[final_land]]+Grandview_Inventory[[#This Row],[final_imp]]+Grandview_Inventory[[#This Row],[crop_value]]</f>
        <v>279700</v>
      </c>
      <c r="CG1840" t="str">
        <f t="shared" si="28"/>
        <v>update valuation set market_land =69300, market_bldg=210400, market_total =279700, market_mdno =401, market_date ='9/10/2023' where link_id = (select link_id from parcel where parcel_year = '2024' and parcel_id = '23092334415');</v>
      </c>
    </row>
    <row r="1841" spans="1:85" x14ac:dyDescent="0.25">
      <c r="A1841">
        <v>23092334416</v>
      </c>
      <c r="B1841">
        <v>0.92</v>
      </c>
      <c r="C1841">
        <v>40051</v>
      </c>
      <c r="D1841" t="s">
        <v>129</v>
      </c>
      <c r="E1841" t="s">
        <v>53</v>
      </c>
      <c r="F1841" t="s">
        <v>53</v>
      </c>
      <c r="G1841">
        <v>4</v>
      </c>
      <c r="H1841" t="s">
        <v>54</v>
      </c>
      <c r="I1841">
        <v>169700</v>
      </c>
      <c r="J1841">
        <v>48400</v>
      </c>
      <c r="K1841">
        <v>0.92</v>
      </c>
      <c r="L1841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1">
        <v>0</v>
      </c>
      <c r="N1841">
        <v>0</v>
      </c>
      <c r="O1841">
        <v>0</v>
      </c>
      <c r="P1841">
        <v>13398.7528</v>
      </c>
      <c r="Q1841">
        <v>63903</v>
      </c>
      <c r="R1841">
        <f>(Grandview_Inventory[[#This Row],[ln_acres]]*Grandview_Inventory[[#This Row],[coeff]])+Grandview_Inventory[[#This Row],[const]]</f>
        <v>62785.790433759386</v>
      </c>
      <c r="S1841" t="s">
        <v>68</v>
      </c>
      <c r="T1841">
        <v>1</v>
      </c>
      <c r="U1841" t="s">
        <v>62</v>
      </c>
      <c r="V1841" t="s">
        <v>69</v>
      </c>
      <c r="W1841">
        <v>0</v>
      </c>
      <c r="X1841">
        <v>0</v>
      </c>
      <c r="Y1841">
        <v>56</v>
      </c>
      <c r="Z1841">
        <v>101</v>
      </c>
      <c r="AA1841">
        <v>110</v>
      </c>
      <c r="AB1841">
        <v>2500</v>
      </c>
      <c r="AC1841">
        <v>2330</v>
      </c>
      <c r="AD1841">
        <v>1248</v>
      </c>
      <c r="AE1841">
        <v>0</v>
      </c>
      <c r="AF1841">
        <v>0</v>
      </c>
      <c r="AG1841">
        <v>1082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802</v>
      </c>
      <c r="AN1841">
        <v>0</v>
      </c>
      <c r="AO1841">
        <v>450</v>
      </c>
      <c r="AP1841">
        <v>8</v>
      </c>
      <c r="AQ1841">
        <v>1</v>
      </c>
      <c r="AR1841">
        <v>0</v>
      </c>
      <c r="AS1841" t="s">
        <v>58</v>
      </c>
      <c r="AT1841">
        <v>1</v>
      </c>
      <c r="AU1841" t="s">
        <v>59</v>
      </c>
      <c r="AV1841" t="s">
        <v>60</v>
      </c>
      <c r="AW1841">
        <v>1</v>
      </c>
      <c r="AX1841">
        <v>3</v>
      </c>
      <c r="AY1841">
        <v>0</v>
      </c>
      <c r="AZ1841">
        <v>0</v>
      </c>
      <c r="BA1841">
        <v>100</v>
      </c>
      <c r="BB1841">
        <v>100</v>
      </c>
      <c r="BC1841">
        <v>100</v>
      </c>
      <c r="BD1841">
        <v>100</v>
      </c>
      <c r="BE1841">
        <v>1</v>
      </c>
      <c r="BF1841">
        <v>15000</v>
      </c>
      <c r="BG1841">
        <v>1000</v>
      </c>
      <c r="BH1841" s="6">
        <f>Grandview_Inventory[[#This Row],[land_extract]]*Lookups!$B$3</f>
        <v>72912.968909090603</v>
      </c>
      <c r="BI1841" s="6">
        <f>IF(Grandview_Inventory[[#This Row],[bldg_style]]="",0,Lookups!$B$2)</f>
        <v>155833.95000000001</v>
      </c>
      <c r="BJ1841" s="6">
        <f>_xlfn.IFNA(VLOOKUP(Grandview_Inventory[[#This Row],[quality]],Lookups!$H$2:$J$14,3,FALSE),0)</f>
        <v>9808</v>
      </c>
      <c r="BK1841" s="6">
        <f>_xlfn.IFNA(VLOOKUP(Grandview_Inventory[[#This Row],[condition]],Lookups!$H$17:$J$24,3,FALSE),0)</f>
        <v>-4503</v>
      </c>
      <c r="BL1841" s="6">
        <f>Grandview_Inventory[[#This Row],[Eff_Age]]*Lookups!$B$14</f>
        <v>-13393.329599999999</v>
      </c>
      <c r="BM1841" s="6">
        <f>Grandview_Inventory[[#This Row],[living_area]]*Lookups!$B$15</f>
        <v>145347.38748999999</v>
      </c>
      <c r="BN1841" s="6">
        <f>Grandview_Inventory[[#This Row],[Fin BSMT]]*Lookups!$B$16</f>
        <v>-29321.377680000001</v>
      </c>
      <c r="BO1841" s="6">
        <f>(Grandview_Inventory[[#This Row],[att_gar]]+Grandview_Inventory[[#This Row],[bltin_gar]])*Lookups!$B$17</f>
        <v>0</v>
      </c>
      <c r="BP1841" s="6">
        <f>Grandview_Inventory[[#This Row],[Plumbing Fixtures]]*Lookups!$B$18</f>
        <v>16083.5344</v>
      </c>
      <c r="BQ1841" s="6">
        <f>Grandview_Inventory[[#This Row],[detatched_value]]*Lookups!$B$19</f>
        <v>0</v>
      </c>
      <c r="BR1841" s="6">
        <f>SUM(Grandview_Inventory[[#This Row],[Intercept]:[det_value]])*Grandview_Inventory[[#This Row],[res_pct]]</f>
        <v>279855.16461000004</v>
      </c>
      <c r="BS1841" s="6">
        <f>Grandview_Inventory[[#This Row],[land_value]]</f>
        <v>72912.968909090603</v>
      </c>
      <c r="BT1841" s="4">
        <f>_xlfn.IFNA(VLOOKUP(Grandview_Inventory[[#This Row],[quality]],Lookups!$A$26:$C$33,3,FALSE),1)</f>
        <v>0.94295468617355149</v>
      </c>
      <c r="BU1841" s="4">
        <f>_xlfn.IFNA(VLOOKUP(Grandview_Inventory[[#This Row],[condition]],Lookups!$A$37:$C$44,3,FALSE),1)</f>
        <v>0.96469275950863709</v>
      </c>
      <c r="BV1841" s="4">
        <f>IF(Grandview_Inventory[[#This Row],[bldg_style]]="",1,_xlfn.IFNA(VLOOKUP(Grandview_Inventory[[#This Row],[decade]],Lookups!$F$29:$H$43,3,FALSE),1))</f>
        <v>0.92255236374249616</v>
      </c>
      <c r="BW1841" s="4">
        <f>_xlfn.IFNA(VLOOKUP(Grandview_Inventory[[#This Row],[living_area_range]],Lookups!$F$47:$H$56,3,FALSE),1)</f>
        <v>0.95799442568048754</v>
      </c>
      <c r="BX1841" s="4">
        <f>AVERAGE(Grandview_Inventory[[#This Row],[qual_adj]:[size_adj]])</f>
        <v>0.94704855877629313</v>
      </c>
      <c r="BY1841" s="6">
        <f>IF(Grandview_Inventory[[#This Row],[pre_res]]&lt;0,0,Grandview_Inventory[[#This Row],[pre_res]]*Grandview_Inventory[[#This Row],[overall_adj]])</f>
        <v>265036.43031000282</v>
      </c>
      <c r="BZ1841" s="6">
        <f>(Grandview_Inventory[[#This Row],[sum_land]]-IF(Grandview_Inventory[[#This Row],[no_utilities]]=1,12000,0))/IF(Grandview_Inventory[[#This Row],[unbuildable]]=1,2,1)</f>
        <v>72912.968909090603</v>
      </c>
      <c r="CA1841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1">
        <f>ROUND(Grandview_Inventory[[#This Row],[det_value]]*Lookups!$M$28,-2)</f>
        <v>0</v>
      </c>
      <c r="CC1841">
        <f>IF(ROUND(Grandview_Inventory[[#This Row],[adj_res]]*Lookups!$M$28,-2)&lt;Grandview_Inventory[[#This Row],[min_res]],Grandview_Inventory[[#This Row],[min_res]],ROUND(Grandview_Inventory[[#This Row],[adj_res]]*Lookups!$M$28,-2))</f>
        <v>251800</v>
      </c>
      <c r="CD1841">
        <f>Grandview_Inventory[[#This Row],[final_det]]+Grandview_Inventory[[#This Row],[final_res]]</f>
        <v>251800</v>
      </c>
      <c r="CE1841">
        <f>Grandview_Inventory[[#This Row],[final_land]]+Grandview_Inventory[[#This Row],[final_imp]]+Grandview_Inventory[[#This Row],[crop_value]]</f>
        <v>321100</v>
      </c>
      <c r="CG1841" t="str">
        <f t="shared" si="28"/>
        <v>update valuation set market_land =69300, market_bldg=251800, market_total =321100, market_mdno =401, market_date ='9/10/2023' where link_id = (select link_id from parcel where parcel_year = '2024' and parcel_id = '23092334416');</v>
      </c>
    </row>
    <row r="1842" spans="1:85" x14ac:dyDescent="0.25">
      <c r="A1842">
        <v>23092334417</v>
      </c>
      <c r="B1842">
        <v>0.92</v>
      </c>
      <c r="C1842">
        <v>40051</v>
      </c>
      <c r="D1842" t="s">
        <v>129</v>
      </c>
      <c r="E1842" t="s">
        <v>53</v>
      </c>
      <c r="F1842" t="s">
        <v>53</v>
      </c>
      <c r="G1842">
        <v>4</v>
      </c>
      <c r="H1842" t="s">
        <v>54</v>
      </c>
      <c r="I1842">
        <v>29200</v>
      </c>
      <c r="J1842">
        <v>43700</v>
      </c>
      <c r="K1842">
        <v>0.92</v>
      </c>
      <c r="L1842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2">
        <v>0</v>
      </c>
      <c r="N1842">
        <v>0</v>
      </c>
      <c r="O1842">
        <v>0</v>
      </c>
      <c r="P1842">
        <v>13398.7528</v>
      </c>
      <c r="Q1842">
        <v>63903</v>
      </c>
      <c r="R1842">
        <f>(Grandview_Inventory[[#This Row],[ln_acres]]*Grandview_Inventory[[#This Row],[coeff]])+Grandview_Inventory[[#This Row],[const]]</f>
        <v>62785.790433759386</v>
      </c>
      <c r="S1842" t="s">
        <v>55</v>
      </c>
      <c r="T1842">
        <v>2</v>
      </c>
      <c r="U1842" t="s">
        <v>65</v>
      </c>
      <c r="V1842" t="s">
        <v>74</v>
      </c>
      <c r="W1842">
        <v>0</v>
      </c>
      <c r="X1842">
        <v>0</v>
      </c>
      <c r="Y1842">
        <v>50</v>
      </c>
      <c r="Z1842">
        <v>73</v>
      </c>
      <c r="AA1842">
        <v>80</v>
      </c>
      <c r="AB1842">
        <v>2500</v>
      </c>
      <c r="AC1842">
        <v>2390</v>
      </c>
      <c r="AD1842">
        <v>1282</v>
      </c>
      <c r="AE1842">
        <v>554</v>
      </c>
      <c r="AF1842">
        <v>0</v>
      </c>
      <c r="AG1842">
        <v>554</v>
      </c>
      <c r="AH1842">
        <v>0</v>
      </c>
      <c r="AI1842">
        <v>0</v>
      </c>
      <c r="AJ1842">
        <v>0</v>
      </c>
      <c r="AK1842">
        <v>300</v>
      </c>
      <c r="AL1842">
        <v>0</v>
      </c>
      <c r="AM1842">
        <v>0</v>
      </c>
      <c r="AN1842">
        <v>0</v>
      </c>
      <c r="AO1842">
        <v>0</v>
      </c>
      <c r="AP1842">
        <v>8</v>
      </c>
      <c r="AQ1842">
        <v>0</v>
      </c>
      <c r="AR1842">
        <v>1</v>
      </c>
      <c r="AS1842" t="s">
        <v>58</v>
      </c>
      <c r="AT1842">
        <v>1</v>
      </c>
      <c r="AU1842" t="s">
        <v>63</v>
      </c>
      <c r="AV1842" t="s">
        <v>60</v>
      </c>
      <c r="AW1842">
        <v>0</v>
      </c>
      <c r="AX1842">
        <v>5</v>
      </c>
      <c r="AY1842">
        <v>0</v>
      </c>
      <c r="AZ1842">
        <v>25000</v>
      </c>
      <c r="BA1842">
        <v>100</v>
      </c>
      <c r="BB1842">
        <v>100</v>
      </c>
      <c r="BC1842">
        <v>100</v>
      </c>
      <c r="BD1842">
        <v>100</v>
      </c>
      <c r="BE1842">
        <v>0</v>
      </c>
      <c r="BF1842">
        <v>15000</v>
      </c>
      <c r="BG1842">
        <v>0</v>
      </c>
      <c r="BH1842" s="6">
        <f>Grandview_Inventory[[#This Row],[land_extract]]*Lookups!$B$3</f>
        <v>72912.968909090603</v>
      </c>
      <c r="BI1842" s="6">
        <f>IF(Grandview_Inventory[[#This Row],[bldg_style]]="",0,Lookups!$B$2)</f>
        <v>155833.95000000001</v>
      </c>
      <c r="BJ1842" s="6">
        <f>_xlfn.IFNA(VLOOKUP(Grandview_Inventory[[#This Row],[quality]],Lookups!$H$2:$J$14,3,FALSE),0)</f>
        <v>2251</v>
      </c>
      <c r="BK1842" s="6">
        <f>_xlfn.IFNA(VLOOKUP(Grandview_Inventory[[#This Row],[condition]],Lookups!$H$17:$J$24,3,FALSE),0)</f>
        <v>-222502</v>
      </c>
      <c r="BL1842" s="6">
        <f>Grandview_Inventory[[#This Row],[Eff_Age]]*Lookups!$B$14</f>
        <v>-11958.33</v>
      </c>
      <c r="BM1842" s="6">
        <f>Grandview_Inventory[[#This Row],[living_area]]*Lookups!$B$15</f>
        <v>149090.23866999999</v>
      </c>
      <c r="BN1842" s="6">
        <f>Grandview_Inventory[[#This Row],[Fin BSMT]]*Lookups!$B$16</f>
        <v>-15012.97896</v>
      </c>
      <c r="BO1842" s="6">
        <f>(Grandview_Inventory[[#This Row],[att_gar]]+Grandview_Inventory[[#This Row],[bltin_gar]])*Lookups!$B$17</f>
        <v>0</v>
      </c>
      <c r="BP1842" s="6">
        <f>Grandview_Inventory[[#This Row],[Plumbing Fixtures]]*Lookups!$B$18</f>
        <v>16083.5344</v>
      </c>
      <c r="BQ1842" s="6">
        <f>Grandview_Inventory[[#This Row],[detatched_value]]*Lookups!$B$19</f>
        <v>21170.127499999999</v>
      </c>
      <c r="BR1842" s="6">
        <f>SUM(Grandview_Inventory[[#This Row],[Intercept]:[det_value]])*Grandview_Inventory[[#This Row],[res_pct]]</f>
        <v>0</v>
      </c>
      <c r="BS1842" s="6">
        <f>Grandview_Inventory[[#This Row],[land_value]]</f>
        <v>72912.968909090603</v>
      </c>
      <c r="BT1842" s="4">
        <f>_xlfn.IFNA(VLOOKUP(Grandview_Inventory[[#This Row],[quality]],Lookups!$A$26:$C$33,3,FALSE),1)</f>
        <v>0.98763855981004833</v>
      </c>
      <c r="BU1842" s="4">
        <f>_xlfn.IFNA(VLOOKUP(Grandview_Inventory[[#This Row],[condition]],Lookups!$A$37:$C$44,3,FALSE),1)</f>
        <v>0</v>
      </c>
      <c r="BV1842" s="4">
        <f>IF(Grandview_Inventory[[#This Row],[bldg_style]]="",1,_xlfn.IFNA(VLOOKUP(Grandview_Inventory[[#This Row],[decade]],Lookups!$F$29:$H$43,3,FALSE),1))</f>
        <v>0.98763256963907298</v>
      </c>
      <c r="BW1842" s="4">
        <f>_xlfn.IFNA(VLOOKUP(Grandview_Inventory[[#This Row],[living_area_range]],Lookups!$F$47:$H$56,3,FALSE),1)</f>
        <v>0.95799442568048754</v>
      </c>
      <c r="BX1842" s="4">
        <f>AVERAGE(Grandview_Inventory[[#This Row],[qual_adj]:[size_adj]])</f>
        <v>0.73331638878240224</v>
      </c>
      <c r="BY1842" s="6">
        <f>IF(Grandview_Inventory[[#This Row],[pre_res]]&lt;0,0,Grandview_Inventory[[#This Row],[pre_res]]*Grandview_Inventory[[#This Row],[overall_adj]])</f>
        <v>0</v>
      </c>
      <c r="BZ1842" s="6">
        <f>(Grandview_Inventory[[#This Row],[sum_land]]-IF(Grandview_Inventory[[#This Row],[no_utilities]]=1,12000,0))/IF(Grandview_Inventory[[#This Row],[unbuildable]]=1,2,1)</f>
        <v>72912.968909090603</v>
      </c>
      <c r="CA1842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2">
        <f>ROUND(Grandview_Inventory[[#This Row],[det_value]]*Lookups!$M$28,-2)</f>
        <v>20100</v>
      </c>
      <c r="CC184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1842">
        <f>Grandview_Inventory[[#This Row],[final_det]]+Grandview_Inventory[[#This Row],[final_res]]</f>
        <v>20100</v>
      </c>
      <c r="CE1842">
        <f>Grandview_Inventory[[#This Row],[final_land]]+Grandview_Inventory[[#This Row],[final_imp]]+Grandview_Inventory[[#This Row],[crop_value]]</f>
        <v>89400</v>
      </c>
      <c r="CG1842" t="str">
        <f t="shared" si="28"/>
        <v>update valuation set market_land =69300, market_bldg=20100, market_total =89400, market_mdno =401, market_date ='9/10/2023' where link_id = (select link_id from parcel where parcel_year = '2024' and parcel_id = '23092334417');</v>
      </c>
    </row>
    <row r="1843" spans="1:85" x14ac:dyDescent="0.25">
      <c r="A1843">
        <v>23092334419</v>
      </c>
      <c r="B1843">
        <v>0.92</v>
      </c>
      <c r="C1843">
        <v>40051</v>
      </c>
      <c r="D1843" t="s">
        <v>129</v>
      </c>
      <c r="E1843" t="s">
        <v>53</v>
      </c>
      <c r="F1843" t="s">
        <v>53</v>
      </c>
      <c r="G1843">
        <v>4</v>
      </c>
      <c r="H1843" t="s">
        <v>54</v>
      </c>
      <c r="I1843">
        <v>156000</v>
      </c>
      <c r="J1843">
        <v>43700</v>
      </c>
      <c r="K1843">
        <v>0.92</v>
      </c>
      <c r="L1843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3">
        <v>0</v>
      </c>
      <c r="N1843">
        <v>0</v>
      </c>
      <c r="O1843">
        <v>0</v>
      </c>
      <c r="P1843">
        <v>13398.7528</v>
      </c>
      <c r="Q1843">
        <v>63903</v>
      </c>
      <c r="R1843">
        <f>(Grandview_Inventory[[#This Row],[ln_acres]]*Grandview_Inventory[[#This Row],[coeff]])+Grandview_Inventory[[#This Row],[const]]</f>
        <v>62785.790433759386</v>
      </c>
      <c r="S1843" t="s">
        <v>68</v>
      </c>
      <c r="T1843">
        <v>1</v>
      </c>
      <c r="U1843" t="s">
        <v>65</v>
      </c>
      <c r="V1843" t="s">
        <v>78</v>
      </c>
      <c r="W1843">
        <v>0</v>
      </c>
      <c r="X1843">
        <v>0</v>
      </c>
      <c r="Y1843">
        <v>53</v>
      </c>
      <c r="Z1843">
        <v>93</v>
      </c>
      <c r="AA1843">
        <v>100</v>
      </c>
      <c r="AB1843">
        <v>2000</v>
      </c>
      <c r="AC1843">
        <v>1733</v>
      </c>
      <c r="AD1843">
        <v>1733</v>
      </c>
      <c r="AE1843">
        <v>0</v>
      </c>
      <c r="AF1843">
        <v>0</v>
      </c>
      <c r="AG1843">
        <v>0</v>
      </c>
      <c r="AH1843">
        <v>0</v>
      </c>
      <c r="AI1843">
        <v>360</v>
      </c>
      <c r="AJ1843">
        <v>0</v>
      </c>
      <c r="AK1843">
        <v>0</v>
      </c>
      <c r="AL1843">
        <v>0</v>
      </c>
      <c r="AM1843">
        <v>0</v>
      </c>
      <c r="AN1843">
        <v>96</v>
      </c>
      <c r="AO1843">
        <v>132</v>
      </c>
      <c r="AP1843">
        <v>5</v>
      </c>
      <c r="AQ1843">
        <v>1</v>
      </c>
      <c r="AR1843">
        <v>0</v>
      </c>
      <c r="AS1843" t="s">
        <v>58</v>
      </c>
      <c r="AT1843">
        <v>0</v>
      </c>
      <c r="AU1843" t="s">
        <v>134</v>
      </c>
      <c r="AV1843" t="s">
        <v>135</v>
      </c>
      <c r="AW1843">
        <v>0</v>
      </c>
      <c r="AX1843">
        <v>2</v>
      </c>
      <c r="AY1843">
        <v>0</v>
      </c>
      <c r="AZ1843">
        <v>0</v>
      </c>
      <c r="BA1843">
        <v>100</v>
      </c>
      <c r="BB1843">
        <v>100</v>
      </c>
      <c r="BC1843">
        <v>100</v>
      </c>
      <c r="BD1843">
        <v>100</v>
      </c>
      <c r="BE1843">
        <v>1</v>
      </c>
      <c r="BF1843">
        <v>15000</v>
      </c>
      <c r="BG1843">
        <v>1000</v>
      </c>
      <c r="BH1843" s="6">
        <f>Grandview_Inventory[[#This Row],[land_extract]]*Lookups!$B$3</f>
        <v>72912.968909090603</v>
      </c>
      <c r="BI1843" s="6">
        <f>IF(Grandview_Inventory[[#This Row],[bldg_style]]="",0,Lookups!$B$2)</f>
        <v>155833.95000000001</v>
      </c>
      <c r="BJ1843" s="6">
        <f>_xlfn.IFNA(VLOOKUP(Grandview_Inventory[[#This Row],[quality]],Lookups!$H$2:$J$14,3,FALSE),0)</f>
        <v>2251</v>
      </c>
      <c r="BK1843" s="6">
        <f>_xlfn.IFNA(VLOOKUP(Grandview_Inventory[[#This Row],[condition]],Lookups!$H$17:$J$24,3,FALSE),0)</f>
        <v>-45357</v>
      </c>
      <c r="BL1843" s="6">
        <f>Grandview_Inventory[[#This Row],[Eff_Age]]*Lookups!$B$14</f>
        <v>-12675.8298</v>
      </c>
      <c r="BM1843" s="6">
        <f>Grandview_Inventory[[#This Row],[living_area]]*Lookups!$B$15</f>
        <v>108106.018249</v>
      </c>
      <c r="BN1843" s="6">
        <f>Grandview_Inventory[[#This Row],[Fin BSMT]]*Lookups!$B$16</f>
        <v>0</v>
      </c>
      <c r="BO1843" s="6">
        <f>(Grandview_Inventory[[#This Row],[att_gar]]+Grandview_Inventory[[#This Row],[bltin_gar]])*Lookups!$B$17</f>
        <v>31507.357319999999</v>
      </c>
      <c r="BP1843" s="6">
        <f>Grandview_Inventory[[#This Row],[Plumbing Fixtures]]*Lookups!$B$18</f>
        <v>10052.209000000001</v>
      </c>
      <c r="BQ1843" s="6">
        <f>Grandview_Inventory[[#This Row],[detatched_value]]*Lookups!$B$19</f>
        <v>0</v>
      </c>
      <c r="BR1843" s="6">
        <f>SUM(Grandview_Inventory[[#This Row],[Intercept]:[det_value]])*Grandview_Inventory[[#This Row],[res_pct]]</f>
        <v>249717.70476900003</v>
      </c>
      <c r="BS1843" s="6">
        <f>Grandview_Inventory[[#This Row],[land_value]]</f>
        <v>72912.968909090603</v>
      </c>
      <c r="BT1843" s="4">
        <f>_xlfn.IFNA(VLOOKUP(Grandview_Inventory[[#This Row],[quality]],Lookups!$A$26:$C$33,3,FALSE),1)</f>
        <v>0.98763855981004833</v>
      </c>
      <c r="BU1843" s="4">
        <f>_xlfn.IFNA(VLOOKUP(Grandview_Inventory[[#This Row],[condition]],Lookups!$A$37:$C$44,3,FALSE),1)</f>
        <v>0.97161819570155394</v>
      </c>
      <c r="BV1843" s="4">
        <f>IF(Grandview_Inventory[[#This Row],[bldg_style]]="",1,_xlfn.IFNA(VLOOKUP(Grandview_Inventory[[#This Row],[decade]],Lookups!$F$29:$H$43,3,FALSE),1))</f>
        <v>0.95244691841736806</v>
      </c>
      <c r="BW1843" s="4">
        <f>_xlfn.IFNA(VLOOKUP(Grandview_Inventory[[#This Row],[living_area_range]],Lookups!$F$47:$H$56,3,FALSE),1)</f>
        <v>0.96120133463014379</v>
      </c>
      <c r="BX1843" s="4">
        <f>AVERAGE(Grandview_Inventory[[#This Row],[qual_adj]:[size_adj]])</f>
        <v>0.96822625213977864</v>
      </c>
      <c r="BY1843" s="6">
        <f>IF(Grandview_Inventory[[#This Row],[pre_res]]&lt;0,0,Grandview_Inventory[[#This Row],[pre_res]]*Grandview_Inventory[[#This Row],[overall_adj]])</f>
        <v>241783.23738143663</v>
      </c>
      <c r="BZ1843" s="6">
        <f>(Grandview_Inventory[[#This Row],[sum_land]]-IF(Grandview_Inventory[[#This Row],[no_utilities]]=1,12000,0))/IF(Grandview_Inventory[[#This Row],[unbuildable]]=1,2,1)</f>
        <v>72912.968909090603</v>
      </c>
      <c r="CA1843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3">
        <f>ROUND(Grandview_Inventory[[#This Row],[det_value]]*Lookups!$M$28,-2)</f>
        <v>0</v>
      </c>
      <c r="CC1843">
        <f>IF(ROUND(Grandview_Inventory[[#This Row],[adj_res]]*Lookups!$M$28,-2)&lt;Grandview_Inventory[[#This Row],[min_res]],Grandview_Inventory[[#This Row],[min_res]],ROUND(Grandview_Inventory[[#This Row],[adj_res]]*Lookups!$M$28,-2))</f>
        <v>229700</v>
      </c>
      <c r="CD1843">
        <f>Grandview_Inventory[[#This Row],[final_det]]+Grandview_Inventory[[#This Row],[final_res]]</f>
        <v>229700</v>
      </c>
      <c r="CE1843">
        <f>Grandview_Inventory[[#This Row],[final_land]]+Grandview_Inventory[[#This Row],[final_imp]]+Grandview_Inventory[[#This Row],[crop_value]]</f>
        <v>299000</v>
      </c>
      <c r="CG1843" t="str">
        <f t="shared" si="28"/>
        <v>update valuation set market_land =69300, market_bldg=229700, market_total =299000, market_mdno =401, market_date ='9/10/2023' where link_id = (select link_id from parcel where parcel_year = '2024' and parcel_id = '23092334419');</v>
      </c>
    </row>
    <row r="1844" spans="1:85" x14ac:dyDescent="0.25">
      <c r="A1844">
        <v>23092334421</v>
      </c>
      <c r="B1844">
        <v>0.92</v>
      </c>
      <c r="C1844">
        <v>40035</v>
      </c>
      <c r="D1844" t="s">
        <v>129</v>
      </c>
      <c r="E1844" t="s">
        <v>53</v>
      </c>
      <c r="F1844" t="s">
        <v>53</v>
      </c>
      <c r="G1844">
        <v>4</v>
      </c>
      <c r="H1844" t="s">
        <v>54</v>
      </c>
      <c r="I1844">
        <v>185800</v>
      </c>
      <c r="J1844">
        <v>43700</v>
      </c>
      <c r="K1844">
        <v>0.92</v>
      </c>
      <c r="L1844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4">
        <v>0</v>
      </c>
      <c r="N1844">
        <v>0</v>
      </c>
      <c r="O1844">
        <v>0</v>
      </c>
      <c r="P1844">
        <v>13398.7528</v>
      </c>
      <c r="Q1844">
        <v>63903</v>
      </c>
      <c r="R1844">
        <f>(Grandview_Inventory[[#This Row],[ln_acres]]*Grandview_Inventory[[#This Row],[coeff]])+Grandview_Inventory[[#This Row],[const]]</f>
        <v>62785.790433759386</v>
      </c>
      <c r="S1844" t="s">
        <v>61</v>
      </c>
      <c r="T1844">
        <v>1</v>
      </c>
      <c r="U1844" t="s">
        <v>70</v>
      </c>
      <c r="V1844" t="s">
        <v>69</v>
      </c>
      <c r="W1844">
        <v>0</v>
      </c>
      <c r="X1844">
        <v>0</v>
      </c>
      <c r="Y1844">
        <v>50</v>
      </c>
      <c r="Z1844">
        <v>73</v>
      </c>
      <c r="AA1844">
        <v>80</v>
      </c>
      <c r="AB1844">
        <v>2000</v>
      </c>
      <c r="AC1844">
        <v>1860</v>
      </c>
      <c r="AD1844">
        <v>1110</v>
      </c>
      <c r="AE1844">
        <v>0</v>
      </c>
      <c r="AF1844">
        <v>0</v>
      </c>
      <c r="AG1844">
        <v>750</v>
      </c>
      <c r="AH1844">
        <v>0</v>
      </c>
      <c r="AI1844">
        <v>0</v>
      </c>
      <c r="AJ1844">
        <v>0</v>
      </c>
      <c r="AK1844">
        <v>396</v>
      </c>
      <c r="AL1844">
        <v>0</v>
      </c>
      <c r="AM1844">
        <v>564</v>
      </c>
      <c r="AN1844">
        <v>0</v>
      </c>
      <c r="AO1844">
        <v>264</v>
      </c>
      <c r="AP1844">
        <v>8</v>
      </c>
      <c r="AQ1844">
        <v>0</v>
      </c>
      <c r="AR1844">
        <v>0</v>
      </c>
      <c r="AS1844" t="s">
        <v>76</v>
      </c>
      <c r="AT1844">
        <v>1</v>
      </c>
      <c r="AU1844" t="s">
        <v>63</v>
      </c>
      <c r="AV1844" t="s">
        <v>60</v>
      </c>
      <c r="AW1844">
        <v>0</v>
      </c>
      <c r="AX1844">
        <v>3</v>
      </c>
      <c r="AY1844">
        <v>0</v>
      </c>
      <c r="AZ1844">
        <v>5800</v>
      </c>
      <c r="BA1844">
        <v>100</v>
      </c>
      <c r="BB1844">
        <v>100</v>
      </c>
      <c r="BC1844">
        <v>100</v>
      </c>
      <c r="BD1844">
        <v>100</v>
      </c>
      <c r="BE1844">
        <v>1</v>
      </c>
      <c r="BF1844">
        <v>15000</v>
      </c>
      <c r="BG1844">
        <v>1000</v>
      </c>
      <c r="BH1844" s="6">
        <f>Grandview_Inventory[[#This Row],[land_extract]]*Lookups!$B$3</f>
        <v>72912.968909090603</v>
      </c>
      <c r="BI1844" s="6">
        <f>IF(Grandview_Inventory[[#This Row],[bldg_style]]="",0,Lookups!$B$2)</f>
        <v>155833.95000000001</v>
      </c>
      <c r="BJ1844" s="6">
        <f>_xlfn.IFNA(VLOOKUP(Grandview_Inventory[[#This Row],[quality]],Lookups!$H$2:$J$14,3,FALSE),0)</f>
        <v>10733</v>
      </c>
      <c r="BK1844" s="6">
        <f>_xlfn.IFNA(VLOOKUP(Grandview_Inventory[[#This Row],[condition]],Lookups!$H$17:$J$24,3,FALSE),0)</f>
        <v>-4503</v>
      </c>
      <c r="BL1844" s="6">
        <f>Grandview_Inventory[[#This Row],[Eff_Age]]*Lookups!$B$14</f>
        <v>-11958.33</v>
      </c>
      <c r="BM1844" s="6">
        <f>Grandview_Inventory[[#This Row],[living_area]]*Lookups!$B$15</f>
        <v>116028.38658000001</v>
      </c>
      <c r="BN1844" s="6">
        <f>Grandview_Inventory[[#This Row],[Fin BSMT]]*Lookups!$B$16</f>
        <v>-20324.43</v>
      </c>
      <c r="BO1844" s="6">
        <f>(Grandview_Inventory[[#This Row],[att_gar]]+Grandview_Inventory[[#This Row],[bltin_gar]])*Lookups!$B$17</f>
        <v>0</v>
      </c>
      <c r="BP1844" s="6">
        <f>Grandview_Inventory[[#This Row],[Plumbing Fixtures]]*Lookups!$B$18</f>
        <v>16083.5344</v>
      </c>
      <c r="BQ1844" s="6">
        <f>Grandview_Inventory[[#This Row],[detatched_value]]*Lookups!$B$19</f>
        <v>4911.46958</v>
      </c>
      <c r="BR1844" s="6">
        <f>SUM(Grandview_Inventory[[#This Row],[Intercept]:[det_value]])*Grandview_Inventory[[#This Row],[res_pct]]</f>
        <v>266804.58056000003</v>
      </c>
      <c r="BS1844" s="6">
        <f>Grandview_Inventory[[#This Row],[land_value]]</f>
        <v>72912.968909090603</v>
      </c>
      <c r="BT1844" s="4">
        <f>_xlfn.IFNA(VLOOKUP(Grandview_Inventory[[#This Row],[quality]],Lookups!$A$26:$C$33,3,FALSE),1)</f>
        <v>0.98079741117310582</v>
      </c>
      <c r="BU1844" s="4">
        <f>_xlfn.IFNA(VLOOKUP(Grandview_Inventory[[#This Row],[condition]],Lookups!$A$37:$C$44,3,FALSE),1)</f>
        <v>0.96469275950863709</v>
      </c>
      <c r="BV1844" s="4">
        <f>IF(Grandview_Inventory[[#This Row],[bldg_style]]="",1,_xlfn.IFNA(VLOOKUP(Grandview_Inventory[[#This Row],[decade]],Lookups!$F$29:$H$43,3,FALSE),1))</f>
        <v>0.98763256963907298</v>
      </c>
      <c r="BW1844" s="4">
        <f>_xlfn.IFNA(VLOOKUP(Grandview_Inventory[[#This Row],[living_area_range]],Lookups!$F$47:$H$56,3,FALSE),1)</f>
        <v>0.96120133463014379</v>
      </c>
      <c r="BX1844" s="4">
        <f>AVERAGE(Grandview_Inventory[[#This Row],[qual_adj]:[size_adj]])</f>
        <v>0.97358101873773983</v>
      </c>
      <c r="BY1844" s="6">
        <f>IF(Grandview_Inventory[[#This Row],[pre_res]]&lt;0,0,Grandview_Inventory[[#This Row],[pre_res]]*Grandview_Inventory[[#This Row],[overall_adj]])</f>
        <v>259755.87534550022</v>
      </c>
      <c r="BZ1844" s="6">
        <f>(Grandview_Inventory[[#This Row],[sum_land]]-IF(Grandview_Inventory[[#This Row],[no_utilities]]=1,12000,0))/IF(Grandview_Inventory[[#This Row],[unbuildable]]=1,2,1)</f>
        <v>72912.968909090603</v>
      </c>
      <c r="CA1844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4">
        <f>ROUND(Grandview_Inventory[[#This Row],[det_value]]*Lookups!$M$28,-2)</f>
        <v>4700</v>
      </c>
      <c r="CC1844">
        <f>IF(ROUND(Grandview_Inventory[[#This Row],[adj_res]]*Lookups!$M$28,-2)&lt;Grandview_Inventory[[#This Row],[min_res]],Grandview_Inventory[[#This Row],[min_res]],ROUND(Grandview_Inventory[[#This Row],[adj_res]]*Lookups!$M$28,-2))</f>
        <v>246800</v>
      </c>
      <c r="CD1844">
        <f>Grandview_Inventory[[#This Row],[final_det]]+Grandview_Inventory[[#This Row],[final_res]]</f>
        <v>251500</v>
      </c>
      <c r="CE1844">
        <f>Grandview_Inventory[[#This Row],[final_land]]+Grandview_Inventory[[#This Row],[final_imp]]+Grandview_Inventory[[#This Row],[crop_value]]</f>
        <v>320800</v>
      </c>
      <c r="CG1844" t="str">
        <f t="shared" si="28"/>
        <v>update valuation set market_land =69300, market_bldg=251500, market_total =320800, market_mdno =401, market_date ='9/10/2023' where link_id = (select link_id from parcel where parcel_year = '2024' and parcel_id = '23092334421');</v>
      </c>
    </row>
    <row r="1845" spans="1:85" x14ac:dyDescent="0.25">
      <c r="A1845">
        <v>23092334422</v>
      </c>
      <c r="B1845">
        <v>0.92</v>
      </c>
      <c r="C1845" t="s">
        <v>129</v>
      </c>
      <c r="D1845" t="s">
        <v>129</v>
      </c>
      <c r="E1845" t="s">
        <v>53</v>
      </c>
      <c r="F1845" t="s">
        <v>53</v>
      </c>
      <c r="G1845">
        <v>4</v>
      </c>
      <c r="H1845" t="s">
        <v>54</v>
      </c>
      <c r="I1845">
        <v>111200</v>
      </c>
      <c r="J1845">
        <v>43700</v>
      </c>
      <c r="K1845">
        <v>0.92</v>
      </c>
      <c r="L1845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5">
        <v>0</v>
      </c>
      <c r="N1845">
        <v>0</v>
      </c>
      <c r="O1845">
        <v>0</v>
      </c>
      <c r="P1845">
        <v>13398.7528</v>
      </c>
      <c r="Q1845">
        <v>63903</v>
      </c>
      <c r="R1845">
        <f>(Grandview_Inventory[[#This Row],[ln_acres]]*Grandview_Inventory[[#This Row],[coeff]])+Grandview_Inventory[[#This Row],[const]]</f>
        <v>62785.790433759386</v>
      </c>
      <c r="S1845" t="s">
        <v>68</v>
      </c>
      <c r="T1845">
        <v>1</v>
      </c>
      <c r="U1845" t="s">
        <v>80</v>
      </c>
      <c r="V1845" t="s">
        <v>69</v>
      </c>
      <c r="W1845">
        <v>0</v>
      </c>
      <c r="X1845">
        <v>0</v>
      </c>
      <c r="Y1845">
        <v>51</v>
      </c>
      <c r="Z1845">
        <v>83</v>
      </c>
      <c r="AA1845">
        <v>90</v>
      </c>
      <c r="AB1845">
        <v>1000</v>
      </c>
      <c r="AC1845">
        <v>880</v>
      </c>
      <c r="AD1845">
        <v>880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5</v>
      </c>
      <c r="AQ1845">
        <v>0</v>
      </c>
      <c r="AR1845">
        <v>0</v>
      </c>
      <c r="AS1845" t="s">
        <v>58</v>
      </c>
      <c r="AT1845">
        <v>1</v>
      </c>
      <c r="AU1845" t="s">
        <v>75</v>
      </c>
      <c r="AV1845" t="s">
        <v>60</v>
      </c>
      <c r="AW1845">
        <v>0</v>
      </c>
      <c r="AX1845">
        <v>2</v>
      </c>
      <c r="AY1845">
        <v>0</v>
      </c>
      <c r="AZ1845">
        <v>13200</v>
      </c>
      <c r="BA1845">
        <v>100</v>
      </c>
      <c r="BB1845">
        <v>100</v>
      </c>
      <c r="BC1845">
        <v>100</v>
      </c>
      <c r="BD1845">
        <v>100</v>
      </c>
      <c r="BE1845">
        <v>1</v>
      </c>
      <c r="BF1845">
        <v>15000</v>
      </c>
      <c r="BG1845">
        <v>1000</v>
      </c>
      <c r="BH1845" s="6">
        <f>Grandview_Inventory[[#This Row],[land_extract]]*Lookups!$B$3</f>
        <v>72912.968909090603</v>
      </c>
      <c r="BI1845" s="6">
        <f>IF(Grandview_Inventory[[#This Row],[bldg_style]]="",0,Lookups!$B$2)</f>
        <v>155833.95000000001</v>
      </c>
      <c r="BJ1845" s="6">
        <f>_xlfn.IFNA(VLOOKUP(Grandview_Inventory[[#This Row],[quality]],Lookups!$H$2:$J$14,3,FALSE),0)</f>
        <v>-28558</v>
      </c>
      <c r="BK1845" s="6">
        <f>_xlfn.IFNA(VLOOKUP(Grandview_Inventory[[#This Row],[condition]],Lookups!$H$17:$J$24,3,FALSE),0)</f>
        <v>-4503</v>
      </c>
      <c r="BL1845" s="6">
        <f>Grandview_Inventory[[#This Row],[Eff_Age]]*Lookups!$B$14</f>
        <v>-12197.496599999999</v>
      </c>
      <c r="BM1845" s="6">
        <f>Grandview_Inventory[[#This Row],[living_area]]*Lookups!$B$15</f>
        <v>54895.15064</v>
      </c>
      <c r="BN1845" s="6">
        <f>Grandview_Inventory[[#This Row],[Fin BSMT]]*Lookups!$B$16</f>
        <v>0</v>
      </c>
      <c r="BO1845" s="6">
        <f>(Grandview_Inventory[[#This Row],[att_gar]]+Grandview_Inventory[[#This Row],[bltin_gar]])*Lookups!$B$17</f>
        <v>0</v>
      </c>
      <c r="BP1845" s="6">
        <f>Grandview_Inventory[[#This Row],[Plumbing Fixtures]]*Lookups!$B$18</f>
        <v>10052.209000000001</v>
      </c>
      <c r="BQ1845" s="6">
        <f>Grandview_Inventory[[#This Row],[detatched_value]]*Lookups!$B$19</f>
        <v>11177.82732</v>
      </c>
      <c r="BR1845" s="6">
        <f>SUM(Grandview_Inventory[[#This Row],[Intercept]:[det_value]])*Grandview_Inventory[[#This Row],[res_pct]]</f>
        <v>186700.64036000002</v>
      </c>
      <c r="BS1845" s="6">
        <f>Grandview_Inventory[[#This Row],[land_value]]</f>
        <v>72912.968909090603</v>
      </c>
      <c r="BT1845" s="4">
        <f>_xlfn.IFNA(VLOOKUP(Grandview_Inventory[[#This Row],[quality]],Lookups!$A$26:$C$33,3,FALSE),1)</f>
        <v>0.9690360070159818</v>
      </c>
      <c r="BU1845" s="4">
        <f>_xlfn.IFNA(VLOOKUP(Grandview_Inventory[[#This Row],[condition]],Lookups!$A$37:$C$44,3,FALSE),1)</f>
        <v>0.96469275950863709</v>
      </c>
      <c r="BV1845" s="4">
        <f>IF(Grandview_Inventory[[#This Row],[bldg_style]]="",1,_xlfn.IFNA(VLOOKUP(Grandview_Inventory[[#This Row],[decade]],Lookups!$F$29:$H$43,3,FALSE),1))</f>
        <v>0.94161750052457416</v>
      </c>
      <c r="BW1845" s="4">
        <f>_xlfn.IFNA(VLOOKUP(Grandview_Inventory[[#This Row],[living_area_range]],Lookups!$F$47:$H$56,3,FALSE),1)</f>
        <v>0.94306777142782894</v>
      </c>
      <c r="BX1845" s="4">
        <f>AVERAGE(Grandview_Inventory[[#This Row],[qual_adj]:[size_adj]])</f>
        <v>0.95460350961925544</v>
      </c>
      <c r="BY1845" s="6">
        <f>IF(Grandview_Inventory[[#This Row],[pre_res]]&lt;0,0,Grandview_Inventory[[#This Row],[pre_res]]*Grandview_Inventory[[#This Row],[overall_adj]])</f>
        <v>178225.08653581844</v>
      </c>
      <c r="BZ1845" s="6">
        <f>(Grandview_Inventory[[#This Row],[sum_land]]-IF(Grandview_Inventory[[#This Row],[no_utilities]]=1,12000,0))/IF(Grandview_Inventory[[#This Row],[unbuildable]]=1,2,1)</f>
        <v>72912.968909090603</v>
      </c>
      <c r="CA1845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5">
        <f>ROUND(Grandview_Inventory[[#This Row],[det_value]]*Lookups!$M$28,-2)</f>
        <v>10600</v>
      </c>
      <c r="CC1845">
        <f>IF(ROUND(Grandview_Inventory[[#This Row],[adj_res]]*Lookups!$M$28,-2)&lt;Grandview_Inventory[[#This Row],[min_res]],Grandview_Inventory[[#This Row],[min_res]],ROUND(Grandview_Inventory[[#This Row],[adj_res]]*Lookups!$M$28,-2))</f>
        <v>169300</v>
      </c>
      <c r="CD1845">
        <f>Grandview_Inventory[[#This Row],[final_det]]+Grandview_Inventory[[#This Row],[final_res]]</f>
        <v>179900</v>
      </c>
      <c r="CE1845">
        <f>Grandview_Inventory[[#This Row],[final_land]]+Grandview_Inventory[[#This Row],[final_imp]]+Grandview_Inventory[[#This Row],[crop_value]]</f>
        <v>249200</v>
      </c>
      <c r="CG1845" t="str">
        <f t="shared" si="28"/>
        <v>update valuation set market_land =69300, market_bldg=179900, market_total =249200, market_mdno =401, market_date ='9/10/2023' where link_id = (select link_id from parcel where parcel_year = '2024' and parcel_id = '23092334422');</v>
      </c>
    </row>
    <row r="1846" spans="1:85" x14ac:dyDescent="0.25">
      <c r="A1846">
        <v>23092334423</v>
      </c>
      <c r="B1846">
        <v>0.92</v>
      </c>
      <c r="C1846" t="s">
        <v>129</v>
      </c>
      <c r="D1846" t="s">
        <v>129</v>
      </c>
      <c r="E1846" t="s">
        <v>53</v>
      </c>
      <c r="F1846" t="s">
        <v>53</v>
      </c>
      <c r="G1846">
        <v>4</v>
      </c>
      <c r="H1846" t="s">
        <v>54</v>
      </c>
      <c r="I1846">
        <v>144600</v>
      </c>
      <c r="J1846">
        <v>43700</v>
      </c>
      <c r="K1846">
        <v>0.92</v>
      </c>
      <c r="L1846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6">
        <v>0</v>
      </c>
      <c r="N1846">
        <v>0</v>
      </c>
      <c r="O1846">
        <v>0</v>
      </c>
      <c r="P1846">
        <v>13398.7528</v>
      </c>
      <c r="Q1846">
        <v>63903</v>
      </c>
      <c r="R1846">
        <f>(Grandview_Inventory[[#This Row],[ln_acres]]*Grandview_Inventory[[#This Row],[coeff]])+Grandview_Inventory[[#This Row],[const]]</f>
        <v>62785.790433759386</v>
      </c>
      <c r="S1846" t="s">
        <v>68</v>
      </c>
      <c r="T1846">
        <v>1</v>
      </c>
      <c r="U1846" t="s">
        <v>80</v>
      </c>
      <c r="V1846" t="s">
        <v>67</v>
      </c>
      <c r="W1846">
        <v>0</v>
      </c>
      <c r="X1846">
        <v>0</v>
      </c>
      <c r="Y1846">
        <v>50</v>
      </c>
      <c r="Z1846">
        <v>75</v>
      </c>
      <c r="AA1846">
        <v>80</v>
      </c>
      <c r="AB1846">
        <v>2000</v>
      </c>
      <c r="AC1846">
        <v>1600</v>
      </c>
      <c r="AD1846">
        <v>1050</v>
      </c>
      <c r="AE1846">
        <v>0</v>
      </c>
      <c r="AF1846">
        <v>0</v>
      </c>
      <c r="AG1846">
        <v>550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5</v>
      </c>
      <c r="AQ1846">
        <v>0</v>
      </c>
      <c r="AR1846">
        <v>0</v>
      </c>
      <c r="AS1846" t="s">
        <v>58</v>
      </c>
      <c r="AT1846">
        <v>1</v>
      </c>
      <c r="AU1846" t="s">
        <v>75</v>
      </c>
      <c r="AV1846" t="s">
        <v>60</v>
      </c>
      <c r="AW1846">
        <v>0</v>
      </c>
      <c r="AX1846">
        <v>2</v>
      </c>
      <c r="AY1846">
        <v>0</v>
      </c>
      <c r="AZ1846">
        <v>0</v>
      </c>
      <c r="BA1846">
        <v>100</v>
      </c>
      <c r="BB1846">
        <v>100</v>
      </c>
      <c r="BC1846">
        <v>100</v>
      </c>
      <c r="BD1846">
        <v>100</v>
      </c>
      <c r="BE1846">
        <v>1</v>
      </c>
      <c r="BF1846">
        <v>15000</v>
      </c>
      <c r="BG1846">
        <v>1000</v>
      </c>
      <c r="BH1846" s="6">
        <f>Grandview_Inventory[[#This Row],[land_extract]]*Lookups!$B$3</f>
        <v>72912.968909090603</v>
      </c>
      <c r="BI1846" s="6">
        <f>IF(Grandview_Inventory[[#This Row],[bldg_style]]="",0,Lookups!$B$2)</f>
        <v>155833.95000000001</v>
      </c>
      <c r="BJ1846" s="6">
        <f>_xlfn.IFNA(VLOOKUP(Grandview_Inventory[[#This Row],[quality]],Lookups!$H$2:$J$14,3,FALSE),0)</f>
        <v>-28558</v>
      </c>
      <c r="BK1846" s="6">
        <f>_xlfn.IFNA(VLOOKUP(Grandview_Inventory[[#This Row],[condition]],Lookups!$H$17:$J$24,3,FALSE),0)</f>
        <v>22342</v>
      </c>
      <c r="BL1846" s="6">
        <f>Grandview_Inventory[[#This Row],[Eff_Age]]*Lookups!$B$14</f>
        <v>-11958.33</v>
      </c>
      <c r="BM1846" s="6">
        <f>Grandview_Inventory[[#This Row],[living_area]]*Lookups!$B$15</f>
        <v>99809.36480000001</v>
      </c>
      <c r="BN1846" s="6">
        <f>Grandview_Inventory[[#This Row],[Fin BSMT]]*Lookups!$B$16</f>
        <v>-14904.582</v>
      </c>
      <c r="BO1846" s="6">
        <f>(Grandview_Inventory[[#This Row],[att_gar]]+Grandview_Inventory[[#This Row],[bltin_gar]])*Lookups!$B$17</f>
        <v>0</v>
      </c>
      <c r="BP1846" s="6">
        <f>Grandview_Inventory[[#This Row],[Plumbing Fixtures]]*Lookups!$B$18</f>
        <v>10052.209000000001</v>
      </c>
      <c r="BQ1846" s="6">
        <f>Grandview_Inventory[[#This Row],[detatched_value]]*Lookups!$B$19</f>
        <v>0</v>
      </c>
      <c r="BR1846" s="6">
        <f>SUM(Grandview_Inventory[[#This Row],[Intercept]:[det_value]])*Grandview_Inventory[[#This Row],[res_pct]]</f>
        <v>232616.61180000004</v>
      </c>
      <c r="BS1846" s="6">
        <f>Grandview_Inventory[[#This Row],[land_value]]</f>
        <v>72912.968909090603</v>
      </c>
      <c r="BT1846" s="4">
        <f>_xlfn.IFNA(VLOOKUP(Grandview_Inventory[[#This Row],[quality]],Lookups!$A$26:$C$33,3,FALSE),1)</f>
        <v>0.9690360070159818</v>
      </c>
      <c r="BU1846" s="4">
        <f>_xlfn.IFNA(VLOOKUP(Grandview_Inventory[[#This Row],[condition]],Lookups!$A$37:$C$44,3,FALSE),1)</f>
        <v>0.97383723671140243</v>
      </c>
      <c r="BV1846" s="4">
        <f>IF(Grandview_Inventory[[#This Row],[bldg_style]]="",1,_xlfn.IFNA(VLOOKUP(Grandview_Inventory[[#This Row],[decade]],Lookups!$F$29:$H$43,3,FALSE),1))</f>
        <v>0.98763256963907298</v>
      </c>
      <c r="BW1846" s="4">
        <f>_xlfn.IFNA(VLOOKUP(Grandview_Inventory[[#This Row],[living_area_range]],Lookups!$F$47:$H$56,3,FALSE),1)</f>
        <v>0.96120133463014379</v>
      </c>
      <c r="BX1846" s="4">
        <f>AVERAGE(Grandview_Inventory[[#This Row],[qual_adj]:[size_adj]])</f>
        <v>0.97292678699915025</v>
      </c>
      <c r="BY1846" s="6">
        <f>IF(Grandview_Inventory[[#This Row],[pre_res]]&lt;0,0,Grandview_Inventory[[#This Row],[pre_res]]*Grandview_Inventory[[#This Row],[overall_adj]])</f>
        <v>226318.93272120267</v>
      </c>
      <c r="BZ1846" s="6">
        <f>(Grandview_Inventory[[#This Row],[sum_land]]-IF(Grandview_Inventory[[#This Row],[no_utilities]]=1,12000,0))/IF(Grandview_Inventory[[#This Row],[unbuildable]]=1,2,1)</f>
        <v>72912.968909090603</v>
      </c>
      <c r="CA1846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6">
        <f>ROUND(Grandview_Inventory[[#This Row],[det_value]]*Lookups!$M$28,-2)</f>
        <v>0</v>
      </c>
      <c r="CC1846">
        <f>IF(ROUND(Grandview_Inventory[[#This Row],[adj_res]]*Lookups!$M$28,-2)&lt;Grandview_Inventory[[#This Row],[min_res]],Grandview_Inventory[[#This Row],[min_res]],ROUND(Grandview_Inventory[[#This Row],[adj_res]]*Lookups!$M$28,-2))</f>
        <v>215000</v>
      </c>
      <c r="CD1846">
        <f>Grandview_Inventory[[#This Row],[final_det]]+Grandview_Inventory[[#This Row],[final_res]]</f>
        <v>215000</v>
      </c>
      <c r="CE1846">
        <f>Grandview_Inventory[[#This Row],[final_land]]+Grandview_Inventory[[#This Row],[final_imp]]+Grandview_Inventory[[#This Row],[crop_value]]</f>
        <v>284300</v>
      </c>
      <c r="CG1846" t="str">
        <f t="shared" si="28"/>
        <v>update valuation set market_land =69300, market_bldg=215000, market_total =284300, market_mdno =401, market_date ='9/10/2023' where link_id = (select link_id from parcel where parcel_year = '2024' and parcel_id = '23092334423');</v>
      </c>
    </row>
    <row r="1847" spans="1:85" x14ac:dyDescent="0.25">
      <c r="A1847">
        <v>23092334424</v>
      </c>
      <c r="B1847">
        <v>0.92</v>
      </c>
      <c r="C1847">
        <v>40046</v>
      </c>
      <c r="D1847" t="s">
        <v>129</v>
      </c>
      <c r="E1847" t="s">
        <v>53</v>
      </c>
      <c r="F1847" t="s">
        <v>53</v>
      </c>
      <c r="G1847">
        <v>4</v>
      </c>
      <c r="H1847" t="s">
        <v>54</v>
      </c>
      <c r="I1847">
        <v>115600</v>
      </c>
      <c r="J1847">
        <v>43700</v>
      </c>
      <c r="K1847">
        <v>0.92</v>
      </c>
      <c r="L1847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7">
        <v>0</v>
      </c>
      <c r="N1847">
        <v>0</v>
      </c>
      <c r="O1847">
        <v>0</v>
      </c>
      <c r="P1847">
        <v>13398.7528</v>
      </c>
      <c r="Q1847">
        <v>63903</v>
      </c>
      <c r="R1847">
        <f>(Grandview_Inventory[[#This Row],[ln_acres]]*Grandview_Inventory[[#This Row],[coeff]])+Grandview_Inventory[[#This Row],[const]]</f>
        <v>62785.790433759386</v>
      </c>
      <c r="S1847" t="s">
        <v>68</v>
      </c>
      <c r="T1847">
        <v>1</v>
      </c>
      <c r="U1847" t="s">
        <v>80</v>
      </c>
      <c r="V1847" t="s">
        <v>69</v>
      </c>
      <c r="W1847">
        <v>0</v>
      </c>
      <c r="X1847">
        <v>0</v>
      </c>
      <c r="Y1847">
        <v>50</v>
      </c>
      <c r="Z1847">
        <v>73</v>
      </c>
      <c r="AA1847">
        <v>80</v>
      </c>
      <c r="AB1847">
        <v>1500</v>
      </c>
      <c r="AC1847">
        <v>1213</v>
      </c>
      <c r="AD1847">
        <v>1213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315</v>
      </c>
      <c r="AM1847">
        <v>0</v>
      </c>
      <c r="AN1847">
        <v>0</v>
      </c>
      <c r="AO1847">
        <v>315</v>
      </c>
      <c r="AP1847">
        <v>7</v>
      </c>
      <c r="AQ1847">
        <v>0</v>
      </c>
      <c r="AR1847">
        <v>0</v>
      </c>
      <c r="AS1847" t="s">
        <v>58</v>
      </c>
      <c r="AT1847">
        <v>1</v>
      </c>
      <c r="AU1847" t="s">
        <v>75</v>
      </c>
      <c r="AV1847" t="s">
        <v>60</v>
      </c>
      <c r="AW1847">
        <v>0</v>
      </c>
      <c r="AX1847">
        <v>3</v>
      </c>
      <c r="AY1847">
        <v>0</v>
      </c>
      <c r="AZ1847">
        <v>0</v>
      </c>
      <c r="BA1847">
        <v>100</v>
      </c>
      <c r="BB1847">
        <v>100</v>
      </c>
      <c r="BC1847">
        <v>100</v>
      </c>
      <c r="BD1847">
        <v>100</v>
      </c>
      <c r="BE1847">
        <v>1</v>
      </c>
      <c r="BF1847">
        <v>15000</v>
      </c>
      <c r="BG1847">
        <v>1000</v>
      </c>
      <c r="BH1847" s="6">
        <f>Grandview_Inventory[[#This Row],[land_extract]]*Lookups!$B$3</f>
        <v>72912.968909090603</v>
      </c>
      <c r="BI1847" s="6">
        <f>IF(Grandview_Inventory[[#This Row],[bldg_style]]="",0,Lookups!$B$2)</f>
        <v>155833.95000000001</v>
      </c>
      <c r="BJ1847" s="6">
        <f>_xlfn.IFNA(VLOOKUP(Grandview_Inventory[[#This Row],[quality]],Lookups!$H$2:$J$14,3,FALSE),0)</f>
        <v>-28558</v>
      </c>
      <c r="BK1847" s="6">
        <f>_xlfn.IFNA(VLOOKUP(Grandview_Inventory[[#This Row],[condition]],Lookups!$H$17:$J$24,3,FALSE),0)</f>
        <v>-4503</v>
      </c>
      <c r="BL1847" s="6">
        <f>Grandview_Inventory[[#This Row],[Eff_Age]]*Lookups!$B$14</f>
        <v>-11958.33</v>
      </c>
      <c r="BM1847" s="6">
        <f>Grandview_Inventory[[#This Row],[living_area]]*Lookups!$B$15</f>
        <v>75667.974688999995</v>
      </c>
      <c r="BN1847" s="6">
        <f>Grandview_Inventory[[#This Row],[Fin BSMT]]*Lookups!$B$16</f>
        <v>0</v>
      </c>
      <c r="BO1847" s="6">
        <f>(Grandview_Inventory[[#This Row],[att_gar]]+Grandview_Inventory[[#This Row],[bltin_gar]])*Lookups!$B$17</f>
        <v>0</v>
      </c>
      <c r="BP1847" s="6">
        <f>Grandview_Inventory[[#This Row],[Plumbing Fixtures]]*Lookups!$B$18</f>
        <v>14073.0926</v>
      </c>
      <c r="BQ1847" s="6">
        <f>Grandview_Inventory[[#This Row],[detatched_value]]*Lookups!$B$19</f>
        <v>0</v>
      </c>
      <c r="BR1847" s="6">
        <f>SUM(Grandview_Inventory[[#This Row],[Intercept]:[det_value]])*Grandview_Inventory[[#This Row],[res_pct]]</f>
        <v>200555.68728899999</v>
      </c>
      <c r="BS1847" s="6">
        <f>Grandview_Inventory[[#This Row],[land_value]]</f>
        <v>72912.968909090603</v>
      </c>
      <c r="BT1847" s="4">
        <f>_xlfn.IFNA(VLOOKUP(Grandview_Inventory[[#This Row],[quality]],Lookups!$A$26:$C$33,3,FALSE),1)</f>
        <v>0.9690360070159818</v>
      </c>
      <c r="BU1847" s="4">
        <f>_xlfn.IFNA(VLOOKUP(Grandview_Inventory[[#This Row],[condition]],Lookups!$A$37:$C$44,3,FALSE),1)</f>
        <v>0.96469275950863709</v>
      </c>
      <c r="BV1847" s="4">
        <f>IF(Grandview_Inventory[[#This Row],[bldg_style]]="",1,_xlfn.IFNA(VLOOKUP(Grandview_Inventory[[#This Row],[decade]],Lookups!$F$29:$H$43,3,FALSE),1))</f>
        <v>0.98763256963907298</v>
      </c>
      <c r="BW1847" s="4">
        <f>_xlfn.IFNA(VLOOKUP(Grandview_Inventory[[#This Row],[living_area_range]],Lookups!$F$47:$H$56,3,FALSE),1)</f>
        <v>0.96135087979789358</v>
      </c>
      <c r="BX1847" s="4">
        <f>AVERAGE(Grandview_Inventory[[#This Row],[qual_adj]:[size_adj]])</f>
        <v>0.97067805399039631</v>
      </c>
      <c r="BY1847" s="6">
        <f>IF(Grandview_Inventory[[#This Row],[pre_res]]&lt;0,0,Grandview_Inventory[[#This Row],[pre_res]]*Grandview_Inventory[[#This Row],[overall_adj]])</f>
        <v>194675.00425439299</v>
      </c>
      <c r="BZ1847" s="6">
        <f>(Grandview_Inventory[[#This Row],[sum_land]]-IF(Grandview_Inventory[[#This Row],[no_utilities]]=1,12000,0))/IF(Grandview_Inventory[[#This Row],[unbuildable]]=1,2,1)</f>
        <v>72912.968909090603</v>
      </c>
      <c r="CA1847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7">
        <f>ROUND(Grandview_Inventory[[#This Row],[det_value]]*Lookups!$M$28,-2)</f>
        <v>0</v>
      </c>
      <c r="CC1847">
        <f>IF(ROUND(Grandview_Inventory[[#This Row],[adj_res]]*Lookups!$M$28,-2)&lt;Grandview_Inventory[[#This Row],[min_res]],Grandview_Inventory[[#This Row],[min_res]],ROUND(Grandview_Inventory[[#This Row],[adj_res]]*Lookups!$M$28,-2))</f>
        <v>184900</v>
      </c>
      <c r="CD1847">
        <f>Grandview_Inventory[[#This Row],[final_det]]+Grandview_Inventory[[#This Row],[final_res]]</f>
        <v>184900</v>
      </c>
      <c r="CE1847">
        <f>Grandview_Inventory[[#This Row],[final_land]]+Grandview_Inventory[[#This Row],[final_imp]]+Grandview_Inventory[[#This Row],[crop_value]]</f>
        <v>254200</v>
      </c>
      <c r="CG1847" t="str">
        <f t="shared" si="28"/>
        <v>update valuation set market_land =69300, market_bldg=184900, market_total =254200, market_mdno =401, market_date ='9/10/2023' where link_id = (select link_id from parcel where parcel_year = '2024' and parcel_id = '23092334424');</v>
      </c>
    </row>
    <row r="1848" spans="1:85" x14ac:dyDescent="0.25">
      <c r="A1848">
        <v>23092334425</v>
      </c>
      <c r="B1848">
        <v>0.92</v>
      </c>
      <c r="C1848" t="s">
        <v>129</v>
      </c>
      <c r="D1848" t="s">
        <v>129</v>
      </c>
      <c r="E1848" t="s">
        <v>53</v>
      </c>
      <c r="F1848" t="s">
        <v>53</v>
      </c>
      <c r="G1848">
        <v>4</v>
      </c>
      <c r="H1848" t="s">
        <v>54</v>
      </c>
      <c r="I1848">
        <v>164500</v>
      </c>
      <c r="J1848">
        <v>43700</v>
      </c>
      <c r="K1848">
        <v>0.92</v>
      </c>
      <c r="L1848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8">
        <v>0</v>
      </c>
      <c r="N1848">
        <v>0</v>
      </c>
      <c r="O1848">
        <v>0</v>
      </c>
      <c r="P1848">
        <v>13398.7528</v>
      </c>
      <c r="Q1848">
        <v>63903</v>
      </c>
      <c r="R1848">
        <f>(Grandview_Inventory[[#This Row],[ln_acres]]*Grandview_Inventory[[#This Row],[coeff]])+Grandview_Inventory[[#This Row],[const]]</f>
        <v>62785.790433759386</v>
      </c>
      <c r="S1848" t="s">
        <v>68</v>
      </c>
      <c r="T1848">
        <v>1</v>
      </c>
      <c r="U1848" t="s">
        <v>65</v>
      </c>
      <c r="V1848" t="s">
        <v>69</v>
      </c>
      <c r="W1848">
        <v>0</v>
      </c>
      <c r="X1848">
        <v>0</v>
      </c>
      <c r="Y1848">
        <v>50</v>
      </c>
      <c r="Z1848">
        <v>75</v>
      </c>
      <c r="AA1848">
        <v>80</v>
      </c>
      <c r="AB1848">
        <v>2500</v>
      </c>
      <c r="AC1848">
        <v>2234</v>
      </c>
      <c r="AD1848">
        <v>1460</v>
      </c>
      <c r="AE1848">
        <v>0</v>
      </c>
      <c r="AF1848">
        <v>0</v>
      </c>
      <c r="AG1848">
        <v>774</v>
      </c>
      <c r="AH1848">
        <v>86</v>
      </c>
      <c r="AI1848">
        <v>0</v>
      </c>
      <c r="AJ1848">
        <v>0</v>
      </c>
      <c r="AK1848">
        <v>0</v>
      </c>
      <c r="AL1848">
        <v>240</v>
      </c>
      <c r="AM1848">
        <v>0</v>
      </c>
      <c r="AN1848">
        <v>0</v>
      </c>
      <c r="AO1848">
        <v>0</v>
      </c>
      <c r="AP1848">
        <v>8</v>
      </c>
      <c r="AQ1848">
        <v>1</v>
      </c>
      <c r="AR1848">
        <v>0</v>
      </c>
      <c r="AS1848" t="s">
        <v>58</v>
      </c>
      <c r="AT1848">
        <v>1</v>
      </c>
      <c r="AU1848" t="s">
        <v>63</v>
      </c>
      <c r="AV1848" t="s">
        <v>60</v>
      </c>
      <c r="AW1848">
        <v>0</v>
      </c>
      <c r="AX1848">
        <v>2</v>
      </c>
      <c r="AY1848">
        <v>0</v>
      </c>
      <c r="AZ1848">
        <v>0</v>
      </c>
      <c r="BA1848">
        <v>100</v>
      </c>
      <c r="BB1848">
        <v>100</v>
      </c>
      <c r="BC1848">
        <v>100</v>
      </c>
      <c r="BD1848">
        <v>100</v>
      </c>
      <c r="BE1848">
        <v>1</v>
      </c>
      <c r="BF1848">
        <v>15000</v>
      </c>
      <c r="BG1848">
        <v>1000</v>
      </c>
      <c r="BH1848" s="6">
        <f>Grandview_Inventory[[#This Row],[land_extract]]*Lookups!$B$3</f>
        <v>72912.968909090603</v>
      </c>
      <c r="BI1848" s="6">
        <f>IF(Grandview_Inventory[[#This Row],[bldg_style]]="",0,Lookups!$B$2)</f>
        <v>155833.95000000001</v>
      </c>
      <c r="BJ1848" s="6">
        <f>_xlfn.IFNA(VLOOKUP(Grandview_Inventory[[#This Row],[quality]],Lookups!$H$2:$J$14,3,FALSE),0)</f>
        <v>2251</v>
      </c>
      <c r="BK1848" s="6">
        <f>_xlfn.IFNA(VLOOKUP(Grandview_Inventory[[#This Row],[condition]],Lookups!$H$17:$J$24,3,FALSE),0)</f>
        <v>-4503</v>
      </c>
      <c r="BL1848" s="6">
        <f>Grandview_Inventory[[#This Row],[Eff_Age]]*Lookups!$B$14</f>
        <v>-11958.33</v>
      </c>
      <c r="BM1848" s="6">
        <f>Grandview_Inventory[[#This Row],[living_area]]*Lookups!$B$15</f>
        <v>139358.825602</v>
      </c>
      <c r="BN1848" s="6">
        <f>Grandview_Inventory[[#This Row],[Fin BSMT]]*Lookups!$B$16</f>
        <v>-20974.811760000001</v>
      </c>
      <c r="BO1848" s="6">
        <f>(Grandview_Inventory[[#This Row],[att_gar]]+Grandview_Inventory[[#This Row],[bltin_gar]])*Lookups!$B$17</f>
        <v>0</v>
      </c>
      <c r="BP1848" s="6">
        <f>Grandview_Inventory[[#This Row],[Plumbing Fixtures]]*Lookups!$B$18</f>
        <v>16083.5344</v>
      </c>
      <c r="BQ1848" s="6">
        <f>Grandview_Inventory[[#This Row],[detatched_value]]*Lookups!$B$19</f>
        <v>0</v>
      </c>
      <c r="BR1848" s="6">
        <f>SUM(Grandview_Inventory[[#This Row],[Intercept]:[det_value]])*Grandview_Inventory[[#This Row],[res_pct]]</f>
        <v>276091.16824199999</v>
      </c>
      <c r="BS1848" s="6">
        <f>Grandview_Inventory[[#This Row],[land_value]]</f>
        <v>72912.968909090603</v>
      </c>
      <c r="BT1848" s="4">
        <f>_xlfn.IFNA(VLOOKUP(Grandview_Inventory[[#This Row],[quality]],Lookups!$A$26:$C$33,3,FALSE),1)</f>
        <v>0.98763855981004833</v>
      </c>
      <c r="BU1848" s="4">
        <f>_xlfn.IFNA(VLOOKUP(Grandview_Inventory[[#This Row],[condition]],Lookups!$A$37:$C$44,3,FALSE),1)</f>
        <v>0.96469275950863709</v>
      </c>
      <c r="BV1848" s="4">
        <f>IF(Grandview_Inventory[[#This Row],[bldg_style]]="",1,_xlfn.IFNA(VLOOKUP(Grandview_Inventory[[#This Row],[decade]],Lookups!$F$29:$H$43,3,FALSE),1))</f>
        <v>0.98763256963907298</v>
      </c>
      <c r="BW1848" s="4">
        <f>_xlfn.IFNA(VLOOKUP(Grandview_Inventory[[#This Row],[living_area_range]],Lookups!$F$47:$H$56,3,FALSE),1)</f>
        <v>0.95799442568048754</v>
      </c>
      <c r="BX1848" s="4">
        <f>AVERAGE(Grandview_Inventory[[#This Row],[qual_adj]:[size_adj]])</f>
        <v>0.97448957865956143</v>
      </c>
      <c r="BY1848" s="6">
        <f>IF(Grandview_Inventory[[#This Row],[pre_res]]&lt;0,0,Grandview_Inventory[[#This Row],[pre_res]]*Grandview_Inventory[[#This Row],[overall_adj]])</f>
        <v>269047.96621177264</v>
      </c>
      <c r="BZ1848" s="6">
        <f>(Grandview_Inventory[[#This Row],[sum_land]]-IF(Grandview_Inventory[[#This Row],[no_utilities]]=1,12000,0))/IF(Grandview_Inventory[[#This Row],[unbuildable]]=1,2,1)</f>
        <v>72912.968909090603</v>
      </c>
      <c r="CA1848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8">
        <f>ROUND(Grandview_Inventory[[#This Row],[det_value]]*Lookups!$M$28,-2)</f>
        <v>0</v>
      </c>
      <c r="CC1848">
        <f>IF(ROUND(Grandview_Inventory[[#This Row],[adj_res]]*Lookups!$M$28,-2)&lt;Grandview_Inventory[[#This Row],[min_res]],Grandview_Inventory[[#This Row],[min_res]],ROUND(Grandview_Inventory[[#This Row],[adj_res]]*Lookups!$M$28,-2))</f>
        <v>255600</v>
      </c>
      <c r="CD1848">
        <f>Grandview_Inventory[[#This Row],[final_det]]+Grandview_Inventory[[#This Row],[final_res]]</f>
        <v>255600</v>
      </c>
      <c r="CE1848">
        <f>Grandview_Inventory[[#This Row],[final_land]]+Grandview_Inventory[[#This Row],[final_imp]]+Grandview_Inventory[[#This Row],[crop_value]]</f>
        <v>324900</v>
      </c>
      <c r="CG1848" t="str">
        <f t="shared" si="28"/>
        <v>update valuation set market_land =69300, market_bldg=255600, market_total =324900, market_mdno =401, market_date ='9/10/2023' where link_id = (select link_id from parcel where parcel_year = '2024' and parcel_id = '23092334425');</v>
      </c>
    </row>
    <row r="1849" spans="1:85" x14ac:dyDescent="0.25">
      <c r="A1849">
        <v>23092334426</v>
      </c>
      <c r="B1849">
        <v>0.92</v>
      </c>
      <c r="C1849">
        <v>40045</v>
      </c>
      <c r="D1849" t="s">
        <v>129</v>
      </c>
      <c r="E1849" t="s">
        <v>53</v>
      </c>
      <c r="F1849" t="s">
        <v>53</v>
      </c>
      <c r="G1849">
        <v>4</v>
      </c>
      <c r="H1849" t="s">
        <v>54</v>
      </c>
      <c r="I1849">
        <v>273500</v>
      </c>
      <c r="J1849">
        <v>43700</v>
      </c>
      <c r="K1849">
        <v>0.92</v>
      </c>
      <c r="L1849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1849">
        <v>0</v>
      </c>
      <c r="N1849">
        <v>0</v>
      </c>
      <c r="O1849">
        <v>0</v>
      </c>
      <c r="P1849">
        <v>13398.7528</v>
      </c>
      <c r="Q1849">
        <v>63903</v>
      </c>
      <c r="R1849">
        <f>(Grandview_Inventory[[#This Row],[ln_acres]]*Grandview_Inventory[[#This Row],[coeff]])+Grandview_Inventory[[#This Row],[const]]</f>
        <v>62785.790433759386</v>
      </c>
      <c r="S1849" t="s">
        <v>55</v>
      </c>
      <c r="T1849">
        <v>2</v>
      </c>
      <c r="U1849" t="s">
        <v>65</v>
      </c>
      <c r="V1849" t="s">
        <v>69</v>
      </c>
      <c r="W1849">
        <v>0</v>
      </c>
      <c r="X1849">
        <v>0</v>
      </c>
      <c r="Y1849">
        <v>55</v>
      </c>
      <c r="Z1849">
        <v>98</v>
      </c>
      <c r="AA1849">
        <v>100</v>
      </c>
      <c r="AB1849">
        <v>2500</v>
      </c>
      <c r="AC1849">
        <v>2264</v>
      </c>
      <c r="AD1849">
        <v>1584</v>
      </c>
      <c r="AE1849">
        <v>420</v>
      </c>
      <c r="AF1849">
        <v>0</v>
      </c>
      <c r="AG1849">
        <v>260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88</v>
      </c>
      <c r="AO1849">
        <v>0</v>
      </c>
      <c r="AP1849">
        <v>9</v>
      </c>
      <c r="AQ1849">
        <v>0</v>
      </c>
      <c r="AR1849">
        <v>0</v>
      </c>
      <c r="AS1849" t="s">
        <v>71</v>
      </c>
      <c r="AT1849">
        <v>1</v>
      </c>
      <c r="AU1849" t="s">
        <v>63</v>
      </c>
      <c r="AV1849" t="s">
        <v>60</v>
      </c>
      <c r="AW1849">
        <v>1</v>
      </c>
      <c r="AX1849">
        <v>4</v>
      </c>
      <c r="AY1849">
        <v>0</v>
      </c>
      <c r="AZ1849">
        <v>56600</v>
      </c>
      <c r="BA1849">
        <v>100</v>
      </c>
      <c r="BB1849">
        <v>100</v>
      </c>
      <c r="BC1849">
        <v>100</v>
      </c>
      <c r="BD1849">
        <v>100</v>
      </c>
      <c r="BE1849">
        <v>1</v>
      </c>
      <c r="BF1849">
        <v>15000</v>
      </c>
      <c r="BG1849">
        <v>1000</v>
      </c>
      <c r="BH1849" s="6">
        <f>Grandview_Inventory[[#This Row],[land_extract]]*Lookups!$B$3</f>
        <v>72912.968909090603</v>
      </c>
      <c r="BI1849" s="6">
        <f>IF(Grandview_Inventory[[#This Row],[bldg_style]]="",0,Lookups!$B$2)</f>
        <v>155833.95000000001</v>
      </c>
      <c r="BJ1849" s="6">
        <f>_xlfn.IFNA(VLOOKUP(Grandview_Inventory[[#This Row],[quality]],Lookups!$H$2:$J$14,3,FALSE),0)</f>
        <v>2251</v>
      </c>
      <c r="BK1849" s="6">
        <f>_xlfn.IFNA(VLOOKUP(Grandview_Inventory[[#This Row],[condition]],Lookups!$H$17:$J$24,3,FALSE),0)</f>
        <v>-4503</v>
      </c>
      <c r="BL1849" s="6">
        <f>Grandview_Inventory[[#This Row],[Eff_Age]]*Lookups!$B$14</f>
        <v>-13154.162999999999</v>
      </c>
      <c r="BM1849" s="6">
        <f>Grandview_Inventory[[#This Row],[living_area]]*Lookups!$B$15</f>
        <v>141230.251192</v>
      </c>
      <c r="BN1849" s="6">
        <f>Grandview_Inventory[[#This Row],[Fin BSMT]]*Lookups!$B$16</f>
        <v>-7045.8024000000005</v>
      </c>
      <c r="BO1849" s="6">
        <f>(Grandview_Inventory[[#This Row],[att_gar]]+Grandview_Inventory[[#This Row],[bltin_gar]])*Lookups!$B$17</f>
        <v>0</v>
      </c>
      <c r="BP1849" s="6">
        <f>Grandview_Inventory[[#This Row],[Plumbing Fixtures]]*Lookups!$B$18</f>
        <v>18093.976200000001</v>
      </c>
      <c r="BQ1849" s="6">
        <f>Grandview_Inventory[[#This Row],[detatched_value]]*Lookups!$B$19</f>
        <v>47929.168659999996</v>
      </c>
      <c r="BR1849" s="6">
        <f>SUM(Grandview_Inventory[[#This Row],[Intercept]:[det_value]])*Grandview_Inventory[[#This Row],[res_pct]]</f>
        <v>340635.38065199996</v>
      </c>
      <c r="BS1849" s="6">
        <f>Grandview_Inventory[[#This Row],[land_value]]</f>
        <v>72912.968909090603</v>
      </c>
      <c r="BT1849" s="4">
        <f>_xlfn.IFNA(VLOOKUP(Grandview_Inventory[[#This Row],[quality]],Lookups!$A$26:$C$33,3,FALSE),1)</f>
        <v>0.98763855981004833</v>
      </c>
      <c r="BU1849" s="4">
        <f>_xlfn.IFNA(VLOOKUP(Grandview_Inventory[[#This Row],[condition]],Lookups!$A$37:$C$44,3,FALSE),1)</f>
        <v>0.96469275950863709</v>
      </c>
      <c r="BV1849" s="4">
        <f>IF(Grandview_Inventory[[#This Row],[bldg_style]]="",1,_xlfn.IFNA(VLOOKUP(Grandview_Inventory[[#This Row],[decade]],Lookups!$F$29:$H$43,3,FALSE),1))</f>
        <v>0.95244691841736806</v>
      </c>
      <c r="BW1849" s="4">
        <f>_xlfn.IFNA(VLOOKUP(Grandview_Inventory[[#This Row],[living_area_range]],Lookups!$F$47:$H$56,3,FALSE),1)</f>
        <v>0.95799442568048754</v>
      </c>
      <c r="BX1849" s="4">
        <f>AVERAGE(Grandview_Inventory[[#This Row],[qual_adj]:[size_adj]])</f>
        <v>0.96569316585413523</v>
      </c>
      <c r="BY1849" s="6">
        <f>IF(Grandview_Inventory[[#This Row],[pre_res]]&lt;0,0,Grandview_Inventory[[#This Row],[pre_res]]*Grandview_Inventory[[#This Row],[overall_adj]])</f>
        <v>328949.25914375827</v>
      </c>
      <c r="BZ1849" s="6">
        <f>(Grandview_Inventory[[#This Row],[sum_land]]-IF(Grandview_Inventory[[#This Row],[no_utilities]]=1,12000,0))/IF(Grandview_Inventory[[#This Row],[unbuildable]]=1,2,1)</f>
        <v>72912.968909090603</v>
      </c>
      <c r="CA1849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1849">
        <f>ROUND(Grandview_Inventory[[#This Row],[det_value]]*Lookups!$M$28,-2)</f>
        <v>45500</v>
      </c>
      <c r="CC1849">
        <f>IF(ROUND(Grandview_Inventory[[#This Row],[adj_res]]*Lookups!$M$28,-2)&lt;Grandview_Inventory[[#This Row],[min_res]],Grandview_Inventory[[#This Row],[min_res]],ROUND(Grandview_Inventory[[#This Row],[adj_res]]*Lookups!$M$28,-2))</f>
        <v>312500</v>
      </c>
      <c r="CD1849">
        <f>Grandview_Inventory[[#This Row],[final_det]]+Grandview_Inventory[[#This Row],[final_res]]</f>
        <v>358000</v>
      </c>
      <c r="CE1849">
        <f>Grandview_Inventory[[#This Row],[final_land]]+Grandview_Inventory[[#This Row],[final_imp]]+Grandview_Inventory[[#This Row],[crop_value]]</f>
        <v>427300</v>
      </c>
      <c r="CG1849" t="str">
        <f t="shared" si="28"/>
        <v>update valuation set market_land =69300, market_bldg=358000, market_total =427300, market_mdno =401, market_date ='9/10/2023' where link_id = (select link_id from parcel where parcel_year = '2024' and parcel_id = '23092334426');</v>
      </c>
    </row>
    <row r="1850" spans="1:85" x14ac:dyDescent="0.25">
      <c r="A1850">
        <v>23092334430</v>
      </c>
      <c r="B1850">
        <v>0.34</v>
      </c>
      <c r="C1850">
        <v>14765</v>
      </c>
      <c r="D1850" t="s">
        <v>129</v>
      </c>
      <c r="E1850" t="s">
        <v>53</v>
      </c>
      <c r="F1850" t="s">
        <v>53</v>
      </c>
      <c r="G1850">
        <v>4</v>
      </c>
      <c r="H1850" t="s">
        <v>54</v>
      </c>
      <c r="I1850">
        <v>298500</v>
      </c>
      <c r="J1850">
        <v>41200</v>
      </c>
      <c r="K1850">
        <v>0.34</v>
      </c>
      <c r="L1850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850">
        <v>0</v>
      </c>
      <c r="N1850">
        <v>0</v>
      </c>
      <c r="O1850">
        <v>0</v>
      </c>
      <c r="P1850">
        <v>13398.7528</v>
      </c>
      <c r="Q1850">
        <v>63903</v>
      </c>
      <c r="R1850">
        <f>(Grandview_Inventory[[#This Row],[ln_acres]]*Grandview_Inventory[[#This Row],[coeff]])+Grandview_Inventory[[#This Row],[const]]</f>
        <v>49448.296029025805</v>
      </c>
      <c r="S1850" t="s">
        <v>74</v>
      </c>
      <c r="T1850">
        <v>1</v>
      </c>
      <c r="U1850" t="s">
        <v>62</v>
      </c>
      <c r="V1850" t="s">
        <v>69</v>
      </c>
      <c r="W1850">
        <v>0</v>
      </c>
      <c r="X1850">
        <v>0</v>
      </c>
      <c r="Y1850">
        <v>45</v>
      </c>
      <c r="Z1850">
        <v>50</v>
      </c>
      <c r="AA1850">
        <v>50</v>
      </c>
      <c r="AB1850">
        <v>2500</v>
      </c>
      <c r="AC1850">
        <v>2408</v>
      </c>
      <c r="AD1850">
        <v>1624</v>
      </c>
      <c r="AE1850">
        <v>0</v>
      </c>
      <c r="AF1850">
        <v>0</v>
      </c>
      <c r="AG1850">
        <v>784</v>
      </c>
      <c r="AH1850">
        <v>0</v>
      </c>
      <c r="AI1850">
        <v>624</v>
      </c>
      <c r="AJ1850">
        <v>0</v>
      </c>
      <c r="AK1850">
        <v>0</v>
      </c>
      <c r="AL1850">
        <v>0</v>
      </c>
      <c r="AM1850">
        <v>280</v>
      </c>
      <c r="AN1850">
        <v>0</v>
      </c>
      <c r="AO1850">
        <v>180</v>
      </c>
      <c r="AP1850">
        <v>11</v>
      </c>
      <c r="AQ1850">
        <v>0</v>
      </c>
      <c r="AR1850">
        <v>1</v>
      </c>
      <c r="AS1850" t="s">
        <v>58</v>
      </c>
      <c r="AT1850">
        <v>1</v>
      </c>
      <c r="AU1850" t="s">
        <v>63</v>
      </c>
      <c r="AV1850" t="s">
        <v>60</v>
      </c>
      <c r="AW1850">
        <v>1</v>
      </c>
      <c r="AX1850">
        <v>4</v>
      </c>
      <c r="AY1850">
        <v>0</v>
      </c>
      <c r="AZ1850">
        <v>16000</v>
      </c>
      <c r="BA1850">
        <v>100</v>
      </c>
      <c r="BB1850">
        <v>100</v>
      </c>
      <c r="BC1850">
        <v>100</v>
      </c>
      <c r="BD1850">
        <v>100</v>
      </c>
      <c r="BE1850">
        <v>1</v>
      </c>
      <c r="BF1850">
        <v>15000</v>
      </c>
      <c r="BG1850">
        <v>1000</v>
      </c>
      <c r="BH1850" s="6">
        <f>Grandview_Inventory[[#This Row],[land_extract]]*Lookups!$B$3</f>
        <v>57424.172668108389</v>
      </c>
      <c r="BI1850" s="6">
        <f>IF(Grandview_Inventory[[#This Row],[bldg_style]]="",0,Lookups!$B$2)</f>
        <v>155833.95000000001</v>
      </c>
      <c r="BJ1850" s="6">
        <f>_xlfn.IFNA(VLOOKUP(Grandview_Inventory[[#This Row],[quality]],Lookups!$H$2:$J$14,3,FALSE),0)</f>
        <v>9808</v>
      </c>
      <c r="BK1850" s="6">
        <f>_xlfn.IFNA(VLOOKUP(Grandview_Inventory[[#This Row],[condition]],Lookups!$H$17:$J$24,3,FALSE),0)</f>
        <v>-4503</v>
      </c>
      <c r="BL1850" s="6">
        <f>Grandview_Inventory[[#This Row],[Eff_Age]]*Lookups!$B$14</f>
        <v>-10762.496999999999</v>
      </c>
      <c r="BM1850" s="6">
        <f>Grandview_Inventory[[#This Row],[living_area]]*Lookups!$B$15</f>
        <v>150213.09402399999</v>
      </c>
      <c r="BN1850" s="6">
        <f>Grandview_Inventory[[#This Row],[Fin BSMT]]*Lookups!$B$16</f>
        <v>-21245.80416</v>
      </c>
      <c r="BO1850" s="6">
        <f>(Grandview_Inventory[[#This Row],[att_gar]]+Grandview_Inventory[[#This Row],[bltin_gar]])*Lookups!$B$17</f>
        <v>54612.752688</v>
      </c>
      <c r="BP1850" s="6">
        <f>Grandview_Inventory[[#This Row],[Plumbing Fixtures]]*Lookups!$B$18</f>
        <v>22114.859800000002</v>
      </c>
      <c r="BQ1850" s="6">
        <f>Grandview_Inventory[[#This Row],[detatched_value]]*Lookups!$B$19</f>
        <v>13548.881599999999</v>
      </c>
      <c r="BR1850" s="6">
        <f>SUM(Grandview_Inventory[[#This Row],[Intercept]:[det_value]])*Grandview_Inventory[[#This Row],[res_pct]]</f>
        <v>369620.23695199995</v>
      </c>
      <c r="BS1850" s="6">
        <f>Grandview_Inventory[[#This Row],[land_value]]</f>
        <v>57424.172668108389</v>
      </c>
      <c r="BT1850" s="4">
        <f>_xlfn.IFNA(VLOOKUP(Grandview_Inventory[[#This Row],[quality]],Lookups!$A$26:$C$33,3,FALSE),1)</f>
        <v>0.94295468617355149</v>
      </c>
      <c r="BU1850" s="4">
        <f>_xlfn.IFNA(VLOOKUP(Grandview_Inventory[[#This Row],[condition]],Lookups!$A$37:$C$44,3,FALSE),1)</f>
        <v>0.96469275950863709</v>
      </c>
      <c r="BV1850" s="4">
        <f>IF(Grandview_Inventory[[#This Row],[bldg_style]]="",1,_xlfn.IFNA(VLOOKUP(Grandview_Inventory[[#This Row],[decade]],Lookups!$F$29:$H$43,3,FALSE),1))</f>
        <v>0.9871940091910919</v>
      </c>
      <c r="BW1850" s="4">
        <f>_xlfn.IFNA(VLOOKUP(Grandview_Inventory[[#This Row],[living_area_range]],Lookups!$F$47:$H$56,3,FALSE),1)</f>
        <v>0.95799442568048754</v>
      </c>
      <c r="BX1850" s="4">
        <f>AVERAGE(Grandview_Inventory[[#This Row],[qual_adj]:[size_adj]])</f>
        <v>0.96320897013844198</v>
      </c>
      <c r="BY1850" s="6">
        <f>IF(Grandview_Inventory[[#This Row],[pre_res]]&lt;0,0,Grandview_Inventory[[#This Row],[pre_res]]*Grandview_Inventory[[#This Row],[overall_adj]])</f>
        <v>356021.52777686279</v>
      </c>
      <c r="BZ1850" s="6">
        <f>(Grandview_Inventory[[#This Row],[sum_land]]-IF(Grandview_Inventory[[#This Row],[no_utilities]]=1,12000,0))/IF(Grandview_Inventory[[#This Row],[unbuildable]]=1,2,1)</f>
        <v>57424.172668108389</v>
      </c>
      <c r="CA1850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850">
        <f>ROUND(Grandview_Inventory[[#This Row],[det_value]]*Lookups!$M$28,-2)</f>
        <v>12900</v>
      </c>
      <c r="CC1850">
        <f>IF(ROUND(Grandview_Inventory[[#This Row],[adj_res]]*Lookups!$M$28,-2)&lt;Grandview_Inventory[[#This Row],[min_res]],Grandview_Inventory[[#This Row],[min_res]],ROUND(Grandview_Inventory[[#This Row],[adj_res]]*Lookups!$M$28,-2))</f>
        <v>338200</v>
      </c>
      <c r="CD1850">
        <f>Grandview_Inventory[[#This Row],[final_det]]+Grandview_Inventory[[#This Row],[final_res]]</f>
        <v>351100</v>
      </c>
      <c r="CE1850">
        <f>Grandview_Inventory[[#This Row],[final_land]]+Grandview_Inventory[[#This Row],[final_imp]]+Grandview_Inventory[[#This Row],[crop_value]]</f>
        <v>405700</v>
      </c>
      <c r="CG1850" t="str">
        <f t="shared" si="28"/>
        <v>update valuation set market_land =54600, market_bldg=351100, market_total =405700, market_mdno =401, market_date ='9/10/2023' where link_id = (select link_id from parcel where parcel_year = '2024' and parcel_id = '23092334430');</v>
      </c>
    </row>
    <row r="1851" spans="1:85" x14ac:dyDescent="0.25">
      <c r="A1851">
        <v>23092334431</v>
      </c>
      <c r="B1851">
        <v>2.58</v>
      </c>
      <c r="C1851" t="s">
        <v>129</v>
      </c>
      <c r="D1851" t="s">
        <v>129</v>
      </c>
      <c r="E1851" t="s">
        <v>53</v>
      </c>
      <c r="F1851" t="s">
        <v>53</v>
      </c>
      <c r="G1851">
        <v>4</v>
      </c>
      <c r="H1851" t="s">
        <v>54</v>
      </c>
      <c r="I1851">
        <v>430400</v>
      </c>
      <c r="J1851">
        <v>46600</v>
      </c>
      <c r="K1851">
        <v>2.58</v>
      </c>
      <c r="L1851">
        <f>IF(Grandview_Inventory[[#This Row],[parcel_acres]]-Grandview_Inventory[[#This Row],[non_valued_acres]] =0,0,LN(Grandview_Inventory[[#This Row],[parcel_acres]]-Grandview_Inventory[[#This Row],[non_valued_acres]]))</f>
        <v>0.94778939893352609</v>
      </c>
      <c r="M1851">
        <v>0</v>
      </c>
      <c r="N1851">
        <v>0</v>
      </c>
      <c r="O1851">
        <v>0</v>
      </c>
      <c r="P1851">
        <v>13398.7528</v>
      </c>
      <c r="Q1851">
        <v>63903</v>
      </c>
      <c r="R1851">
        <f>(Grandview_Inventory[[#This Row],[ln_acres]]*Grandview_Inventory[[#This Row],[coeff]])+Grandview_Inventory[[#This Row],[const]]</f>
        <v>76602.195862770895</v>
      </c>
      <c r="S1851" t="s">
        <v>130</v>
      </c>
      <c r="T1851">
        <v>1</v>
      </c>
      <c r="U1851" t="s">
        <v>116</v>
      </c>
      <c r="V1851" t="s">
        <v>57</v>
      </c>
      <c r="W1851">
        <v>436100</v>
      </c>
      <c r="X1851">
        <v>0</v>
      </c>
      <c r="Y1851">
        <v>4</v>
      </c>
      <c r="Z1851">
        <v>4</v>
      </c>
      <c r="AA1851">
        <v>10</v>
      </c>
      <c r="AB1851">
        <v>3500</v>
      </c>
      <c r="AC1851">
        <v>3147</v>
      </c>
      <c r="AD1851">
        <v>3147</v>
      </c>
      <c r="AE1851">
        <v>0</v>
      </c>
      <c r="AF1851">
        <v>0</v>
      </c>
      <c r="AG1851">
        <v>0</v>
      </c>
      <c r="AH1851">
        <v>0</v>
      </c>
      <c r="AI1851">
        <v>1082</v>
      </c>
      <c r="AJ1851">
        <v>0</v>
      </c>
      <c r="AK1851">
        <v>0</v>
      </c>
      <c r="AL1851">
        <v>0</v>
      </c>
      <c r="AM1851">
        <v>0</v>
      </c>
      <c r="AN1851">
        <v>1461</v>
      </c>
      <c r="AO1851">
        <v>0</v>
      </c>
      <c r="AP1851">
        <v>16</v>
      </c>
      <c r="AQ1851">
        <v>0</v>
      </c>
      <c r="AR1851">
        <v>0</v>
      </c>
      <c r="AS1851" t="s">
        <v>131</v>
      </c>
      <c r="AT1851">
        <v>1</v>
      </c>
      <c r="AU1851" t="s">
        <v>59</v>
      </c>
      <c r="AV1851" t="s">
        <v>60</v>
      </c>
      <c r="AW1851">
        <v>1</v>
      </c>
      <c r="AX1851">
        <v>4</v>
      </c>
      <c r="AY1851">
        <v>0</v>
      </c>
      <c r="AZ1851">
        <v>0</v>
      </c>
      <c r="BA1851">
        <v>100</v>
      </c>
      <c r="BB1851">
        <v>100</v>
      </c>
      <c r="BC1851">
        <v>100</v>
      </c>
      <c r="BD1851">
        <v>100</v>
      </c>
      <c r="BE1851">
        <v>1</v>
      </c>
      <c r="BF1851">
        <v>15000</v>
      </c>
      <c r="BG1851">
        <v>1000</v>
      </c>
      <c r="BH1851" s="6">
        <f>Grandview_Inventory[[#This Row],[land_extract]]*Lookups!$B$3</f>
        <v>88957.923229507011</v>
      </c>
      <c r="BI1851" s="6">
        <f>IF(Grandview_Inventory[[#This Row],[bldg_style]]="",0,Lookups!$B$2)</f>
        <v>155833.95000000001</v>
      </c>
      <c r="BJ1851" s="6">
        <f>_xlfn.IFNA(VLOOKUP(Grandview_Inventory[[#This Row],[quality]],Lookups!$H$2:$J$14,3,FALSE),0)</f>
        <v>108021</v>
      </c>
      <c r="BK1851" s="6">
        <f>_xlfn.IFNA(VLOOKUP(Grandview_Inventory[[#This Row],[condition]],Lookups!$H$17:$J$24,3,FALSE),0)</f>
        <v>25780</v>
      </c>
      <c r="BL1851" s="6">
        <f>Grandview_Inventory[[#This Row],[Eff_Age]]*Lookups!$B$14</f>
        <v>-956.66639999999995</v>
      </c>
      <c r="BM1851" s="6">
        <f>Grandview_Inventory[[#This Row],[living_area]]*Lookups!$B$15</f>
        <v>196312.544391</v>
      </c>
      <c r="BN1851" s="6">
        <f>Grandview_Inventory[[#This Row],[Fin BSMT]]*Lookups!$B$16</f>
        <v>0</v>
      </c>
      <c r="BO1851" s="6">
        <f>(Grandview_Inventory[[#This Row],[att_gar]]+Grandview_Inventory[[#This Row],[bltin_gar]])*Lookups!$B$17</f>
        <v>94697.112834</v>
      </c>
      <c r="BP1851" s="6">
        <f>Grandview_Inventory[[#This Row],[Plumbing Fixtures]]*Lookups!$B$18</f>
        <v>32167.068800000001</v>
      </c>
      <c r="BQ1851" s="6">
        <f>Grandview_Inventory[[#This Row],[detatched_value]]*Lookups!$B$19</f>
        <v>0</v>
      </c>
      <c r="BR1851" s="6">
        <f>SUM(Grandview_Inventory[[#This Row],[Intercept]:[det_value]])*Grandview_Inventory[[#This Row],[res_pct]]</f>
        <v>611855.00962500006</v>
      </c>
      <c r="BS1851" s="6">
        <f>Grandview_Inventory[[#This Row],[land_value]]</f>
        <v>88957.923229507011</v>
      </c>
      <c r="BT1851" s="4">
        <f>_xlfn.IFNA(VLOOKUP(Grandview_Inventory[[#This Row],[quality]],Lookups!$A$26:$C$33,3,FALSE),1)</f>
        <v>1</v>
      </c>
      <c r="BU1851" s="4">
        <f>_xlfn.IFNA(VLOOKUP(Grandview_Inventory[[#This Row],[condition]],Lookups!$A$37:$C$44,3,FALSE),1)</f>
        <v>0.94347925387812148</v>
      </c>
      <c r="BV1851" s="4">
        <f>IF(Grandview_Inventory[[#This Row],[bldg_style]]="",1,_xlfn.IFNA(VLOOKUP(Grandview_Inventory[[#This Row],[decade]],Lookups!$F$29:$H$43,3,FALSE),1))</f>
        <v>0.94601966599150278</v>
      </c>
      <c r="BW1851" s="4">
        <f>_xlfn.IFNA(VLOOKUP(Grandview_Inventory[[#This Row],[living_area_range]],Lookups!$F$47:$H$56,3,FALSE),1)</f>
        <v>1.0170112215140563</v>
      </c>
      <c r="BX1851" s="4">
        <f>AVERAGE(Grandview_Inventory[[#This Row],[qual_adj]:[size_adj]])</f>
        <v>0.97662753534592017</v>
      </c>
      <c r="BY1851" s="6">
        <f>IF(Grandview_Inventory[[#This Row],[pre_res]]&lt;0,0,Grandview_Inventory[[#This Row],[pre_res]]*Grandview_Inventory[[#This Row],[overall_adj]])</f>
        <v>597554.45003911806</v>
      </c>
      <c r="BZ1851" s="6">
        <f>(Grandview_Inventory[[#This Row],[sum_land]]-IF(Grandview_Inventory[[#This Row],[no_utilities]]=1,12000,0))/IF(Grandview_Inventory[[#This Row],[unbuildable]]=1,2,1)</f>
        <v>88957.923229507011</v>
      </c>
      <c r="CA1851">
        <f>IF(ROUND(Grandview_Inventory[[#This Row],[adj_land]]*Lookups!$M$28,-2)&lt;Grandview_Inventory[[#This Row],[min_land]],Grandview_Inventory[[#This Row],[min_land]],ROUND(Grandview_Inventory[[#This Row],[adj_land]]*Lookups!$M$28,-2))</f>
        <v>84500</v>
      </c>
      <c r="CB1851">
        <f>ROUND(Grandview_Inventory[[#This Row],[det_value]]*Lookups!$M$28,-2)</f>
        <v>0</v>
      </c>
      <c r="CC1851">
        <f>IF(ROUND(Grandview_Inventory[[#This Row],[adj_res]]*Lookups!$M$28,-2)&lt;Grandview_Inventory[[#This Row],[min_res]],Grandview_Inventory[[#This Row],[min_res]],ROUND(Grandview_Inventory[[#This Row],[adj_res]]*Lookups!$M$28,-2))</f>
        <v>567700</v>
      </c>
      <c r="CD1851">
        <f>Grandview_Inventory[[#This Row],[final_det]]+Grandview_Inventory[[#This Row],[final_res]]</f>
        <v>567700</v>
      </c>
      <c r="CE1851">
        <f>Grandview_Inventory[[#This Row],[final_land]]+Grandview_Inventory[[#This Row],[final_imp]]+Grandview_Inventory[[#This Row],[crop_value]]</f>
        <v>652200</v>
      </c>
      <c r="CG1851" t="str">
        <f t="shared" si="28"/>
        <v>update valuation set market_land =84500, market_bldg=567700, market_total =652200, market_mdno =401, market_date ='9/10/2023' where link_id = (select link_id from parcel where parcel_year = '2024' and parcel_id = '23092334431');</v>
      </c>
    </row>
    <row r="1852" spans="1:85" x14ac:dyDescent="0.25">
      <c r="A1852">
        <v>23092334433</v>
      </c>
      <c r="B1852">
        <v>0.12</v>
      </c>
      <c r="C1852">
        <v>5377</v>
      </c>
      <c r="D1852" t="s">
        <v>129</v>
      </c>
      <c r="E1852" t="s">
        <v>53</v>
      </c>
      <c r="F1852" t="s">
        <v>53</v>
      </c>
      <c r="G1852">
        <v>4</v>
      </c>
      <c r="H1852" t="s">
        <v>54</v>
      </c>
      <c r="I1852">
        <v>168100</v>
      </c>
      <c r="J1852">
        <v>37900</v>
      </c>
      <c r="K1852">
        <v>0.12</v>
      </c>
      <c r="L185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852">
        <v>0</v>
      </c>
      <c r="N1852">
        <v>0</v>
      </c>
      <c r="O1852">
        <v>0</v>
      </c>
      <c r="P1852">
        <v>13398.7528</v>
      </c>
      <c r="Q1852">
        <v>63903</v>
      </c>
      <c r="R1852">
        <f>(Grandview_Inventory[[#This Row],[ln_acres]]*Grandview_Inventory[[#This Row],[coeff]])+Grandview_Inventory[[#This Row],[const]]</f>
        <v>35494.113007601132</v>
      </c>
      <c r="S1852" t="s">
        <v>61</v>
      </c>
      <c r="T1852">
        <v>1</v>
      </c>
      <c r="U1852" t="s">
        <v>70</v>
      </c>
      <c r="V1852" t="s">
        <v>69</v>
      </c>
      <c r="W1852">
        <v>0</v>
      </c>
      <c r="X1852">
        <v>0</v>
      </c>
      <c r="Y1852">
        <v>41</v>
      </c>
      <c r="Z1852">
        <v>41</v>
      </c>
      <c r="AA1852">
        <v>50</v>
      </c>
      <c r="AB1852">
        <v>1500</v>
      </c>
      <c r="AC1852">
        <v>1008</v>
      </c>
      <c r="AD1852">
        <v>1008</v>
      </c>
      <c r="AE1852">
        <v>0</v>
      </c>
      <c r="AF1852">
        <v>0</v>
      </c>
      <c r="AG1852">
        <v>0</v>
      </c>
      <c r="AH1852">
        <v>0</v>
      </c>
      <c r="AI1852">
        <v>288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7</v>
      </c>
      <c r="AQ1852">
        <v>0</v>
      </c>
      <c r="AR1852">
        <v>0</v>
      </c>
      <c r="AS1852" t="s">
        <v>58</v>
      </c>
      <c r="AT1852">
        <v>1</v>
      </c>
      <c r="AU1852" t="s">
        <v>63</v>
      </c>
      <c r="AV1852" t="s">
        <v>60</v>
      </c>
      <c r="AW1852">
        <v>1</v>
      </c>
      <c r="AX1852">
        <v>3</v>
      </c>
      <c r="AY1852">
        <v>0</v>
      </c>
      <c r="AZ1852">
        <v>0</v>
      </c>
      <c r="BA1852">
        <v>100</v>
      </c>
      <c r="BB1852">
        <v>100</v>
      </c>
      <c r="BC1852">
        <v>100</v>
      </c>
      <c r="BD1852">
        <v>100</v>
      </c>
      <c r="BE1852">
        <v>1</v>
      </c>
      <c r="BF1852">
        <v>15000</v>
      </c>
      <c r="BG1852">
        <v>1000</v>
      </c>
      <c r="BH1852" s="6">
        <f>Grandview_Inventory[[#This Row],[land_extract]]*Lookups!$B$3</f>
        <v>41219.217601622076</v>
      </c>
      <c r="BI1852" s="6">
        <f>IF(Grandview_Inventory[[#This Row],[bldg_style]]="",0,Lookups!$B$2)</f>
        <v>155833.95000000001</v>
      </c>
      <c r="BJ1852" s="6">
        <f>_xlfn.IFNA(VLOOKUP(Grandview_Inventory[[#This Row],[quality]],Lookups!$H$2:$J$14,3,FALSE),0)</f>
        <v>10733</v>
      </c>
      <c r="BK1852" s="6">
        <f>_xlfn.IFNA(VLOOKUP(Grandview_Inventory[[#This Row],[condition]],Lookups!$H$17:$J$24,3,FALSE),0)</f>
        <v>-4503</v>
      </c>
      <c r="BL1852" s="6">
        <f>Grandview_Inventory[[#This Row],[Eff_Age]]*Lookups!$B$14</f>
        <v>-9805.8305999999993</v>
      </c>
      <c r="BM1852" s="6">
        <f>Grandview_Inventory[[#This Row],[living_area]]*Lookups!$B$15</f>
        <v>62879.899824</v>
      </c>
      <c r="BN1852" s="6">
        <f>Grandview_Inventory[[#This Row],[Fin BSMT]]*Lookups!$B$16</f>
        <v>0</v>
      </c>
      <c r="BO1852" s="6">
        <f>(Grandview_Inventory[[#This Row],[att_gar]]+Grandview_Inventory[[#This Row],[bltin_gar]])*Lookups!$B$17</f>
        <v>25205.885856000001</v>
      </c>
      <c r="BP1852" s="6">
        <f>Grandview_Inventory[[#This Row],[Plumbing Fixtures]]*Lookups!$B$18</f>
        <v>14073.0926</v>
      </c>
      <c r="BQ1852" s="6">
        <f>Grandview_Inventory[[#This Row],[detatched_value]]*Lookups!$B$19</f>
        <v>0</v>
      </c>
      <c r="BR1852" s="6">
        <f>SUM(Grandview_Inventory[[#This Row],[Intercept]:[det_value]])*Grandview_Inventory[[#This Row],[res_pct]]</f>
        <v>254416.99768000003</v>
      </c>
      <c r="BS1852" s="6">
        <f>Grandview_Inventory[[#This Row],[land_value]]</f>
        <v>41219.217601622076</v>
      </c>
      <c r="BT1852" s="4">
        <f>_xlfn.IFNA(VLOOKUP(Grandview_Inventory[[#This Row],[quality]],Lookups!$A$26:$C$33,3,FALSE),1)</f>
        <v>0.98079741117310582</v>
      </c>
      <c r="BU1852" s="4">
        <f>_xlfn.IFNA(VLOOKUP(Grandview_Inventory[[#This Row],[condition]],Lookups!$A$37:$C$44,3,FALSE),1)</f>
        <v>0.96469275950863709</v>
      </c>
      <c r="BV1852" s="4">
        <f>IF(Grandview_Inventory[[#This Row],[bldg_style]]="",1,_xlfn.IFNA(VLOOKUP(Grandview_Inventory[[#This Row],[decade]],Lookups!$F$29:$H$43,3,FALSE),1))</f>
        <v>0.9871940091910919</v>
      </c>
      <c r="BW1852" s="4">
        <f>_xlfn.IFNA(VLOOKUP(Grandview_Inventory[[#This Row],[living_area_range]],Lookups!$F$47:$H$56,3,FALSE),1)</f>
        <v>0.96135087979789358</v>
      </c>
      <c r="BX1852" s="4">
        <f>AVERAGE(Grandview_Inventory[[#This Row],[qual_adj]:[size_adj]])</f>
        <v>0.97350876491768212</v>
      </c>
      <c r="BY1852" s="6">
        <f>IF(Grandview_Inventory[[#This Row],[pre_res]]&lt;0,0,Grandview_Inventory[[#This Row],[pre_res]]*Grandview_Inventory[[#This Row],[overall_adj]])</f>
        <v>247677.17718552164</v>
      </c>
      <c r="BZ1852" s="6">
        <f>(Grandview_Inventory[[#This Row],[sum_land]]-IF(Grandview_Inventory[[#This Row],[no_utilities]]=1,12000,0))/IF(Grandview_Inventory[[#This Row],[unbuildable]]=1,2,1)</f>
        <v>41219.217601622076</v>
      </c>
      <c r="CA185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852">
        <f>ROUND(Grandview_Inventory[[#This Row],[det_value]]*Lookups!$M$28,-2)</f>
        <v>0</v>
      </c>
      <c r="CC1852">
        <f>IF(ROUND(Grandview_Inventory[[#This Row],[adj_res]]*Lookups!$M$28,-2)&lt;Grandview_Inventory[[#This Row],[min_res]],Grandview_Inventory[[#This Row],[min_res]],ROUND(Grandview_Inventory[[#This Row],[adj_res]]*Lookups!$M$28,-2))</f>
        <v>235300</v>
      </c>
      <c r="CD1852">
        <f>Grandview_Inventory[[#This Row],[final_det]]+Grandview_Inventory[[#This Row],[final_res]]</f>
        <v>235300</v>
      </c>
      <c r="CE1852">
        <f>Grandview_Inventory[[#This Row],[final_land]]+Grandview_Inventory[[#This Row],[final_imp]]+Grandview_Inventory[[#This Row],[crop_value]]</f>
        <v>274500</v>
      </c>
      <c r="CG1852" t="str">
        <f t="shared" si="28"/>
        <v>update valuation set market_land =39200, market_bldg=235300, market_total =274500, market_mdno =401, market_date ='9/10/2023' where link_id = (select link_id from parcel where parcel_year = '2024' and parcel_id = '23092334433');</v>
      </c>
    </row>
    <row r="1853" spans="1:85" x14ac:dyDescent="0.25">
      <c r="A1853">
        <v>23092334435</v>
      </c>
      <c r="B1853">
        <v>0.21</v>
      </c>
      <c r="C1853">
        <v>8972</v>
      </c>
      <c r="D1853" t="s">
        <v>129</v>
      </c>
      <c r="E1853" t="s">
        <v>53</v>
      </c>
      <c r="F1853" t="s">
        <v>53</v>
      </c>
      <c r="G1853">
        <v>4</v>
      </c>
      <c r="H1853" t="s">
        <v>54</v>
      </c>
      <c r="I1853">
        <v>96100</v>
      </c>
      <c r="J1853">
        <v>39300</v>
      </c>
      <c r="K1853">
        <v>0.21</v>
      </c>
      <c r="L185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53">
        <v>0</v>
      </c>
      <c r="N1853">
        <v>0</v>
      </c>
      <c r="O1853">
        <v>0</v>
      </c>
      <c r="P1853">
        <v>13398.7528</v>
      </c>
      <c r="Q1853">
        <v>63903</v>
      </c>
      <c r="R1853">
        <f>(Grandview_Inventory[[#This Row],[ln_acres]]*Grandview_Inventory[[#This Row],[coeff]])+Grandview_Inventory[[#This Row],[const]]</f>
        <v>42992.266613125081</v>
      </c>
      <c r="S1853" t="s">
        <v>68</v>
      </c>
      <c r="T1853">
        <v>1</v>
      </c>
      <c r="U1853" t="s">
        <v>80</v>
      </c>
      <c r="V1853" t="s">
        <v>78</v>
      </c>
      <c r="W1853">
        <v>0</v>
      </c>
      <c r="X1853">
        <v>0</v>
      </c>
      <c r="Y1853">
        <v>43</v>
      </c>
      <c r="Z1853">
        <v>44</v>
      </c>
      <c r="AA1853">
        <v>50</v>
      </c>
      <c r="AB1853">
        <v>1000</v>
      </c>
      <c r="AC1853">
        <v>672</v>
      </c>
      <c r="AD1853">
        <v>672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5</v>
      </c>
      <c r="AQ1853">
        <v>0</v>
      </c>
      <c r="AR1853">
        <v>0</v>
      </c>
      <c r="AS1853" t="s">
        <v>76</v>
      </c>
      <c r="AT1853">
        <v>0</v>
      </c>
      <c r="AU1853" t="s">
        <v>134</v>
      </c>
      <c r="AV1853" t="s">
        <v>135</v>
      </c>
      <c r="AW1853">
        <v>0</v>
      </c>
      <c r="AX1853">
        <v>2</v>
      </c>
      <c r="AY1853">
        <v>0</v>
      </c>
      <c r="AZ1853">
        <v>10100</v>
      </c>
      <c r="BA1853">
        <v>100</v>
      </c>
      <c r="BB1853">
        <v>100</v>
      </c>
      <c r="BC1853">
        <v>100</v>
      </c>
      <c r="BD1853">
        <v>100</v>
      </c>
      <c r="BE1853">
        <v>1</v>
      </c>
      <c r="BF1853">
        <v>15000</v>
      </c>
      <c r="BG1853">
        <v>1000</v>
      </c>
      <c r="BH1853" s="6">
        <f>Grandview_Inventory[[#This Row],[land_extract]]*Lookups!$B$3</f>
        <v>49926.8031387023</v>
      </c>
      <c r="BI1853" s="6">
        <f>IF(Grandview_Inventory[[#This Row],[bldg_style]]="",0,Lookups!$B$2)</f>
        <v>155833.95000000001</v>
      </c>
      <c r="BJ1853" s="6">
        <f>_xlfn.IFNA(VLOOKUP(Grandview_Inventory[[#This Row],[quality]],Lookups!$H$2:$J$14,3,FALSE),0)</f>
        <v>-28558</v>
      </c>
      <c r="BK1853" s="6">
        <f>_xlfn.IFNA(VLOOKUP(Grandview_Inventory[[#This Row],[condition]],Lookups!$H$17:$J$24,3,FALSE),0)</f>
        <v>-45357</v>
      </c>
      <c r="BL1853" s="6">
        <f>Grandview_Inventory[[#This Row],[Eff_Age]]*Lookups!$B$14</f>
        <v>-10284.1638</v>
      </c>
      <c r="BM1853" s="6">
        <f>Grandview_Inventory[[#This Row],[living_area]]*Lookups!$B$15</f>
        <v>41919.933216000005</v>
      </c>
      <c r="BN1853" s="6">
        <f>Grandview_Inventory[[#This Row],[Fin BSMT]]*Lookups!$B$16</f>
        <v>0</v>
      </c>
      <c r="BO1853" s="6">
        <f>(Grandview_Inventory[[#This Row],[att_gar]]+Grandview_Inventory[[#This Row],[bltin_gar]])*Lookups!$B$17</f>
        <v>0</v>
      </c>
      <c r="BP1853" s="6">
        <f>Grandview_Inventory[[#This Row],[Plumbing Fixtures]]*Lookups!$B$18</f>
        <v>10052.209000000001</v>
      </c>
      <c r="BQ1853" s="6">
        <f>Grandview_Inventory[[#This Row],[detatched_value]]*Lookups!$B$19</f>
        <v>8552.7315099999996</v>
      </c>
      <c r="BR1853" s="6">
        <f>SUM(Grandview_Inventory[[#This Row],[Intercept]:[det_value]])*Grandview_Inventory[[#This Row],[res_pct]]</f>
        <v>132159.65992600002</v>
      </c>
      <c r="BS1853" s="6">
        <f>Grandview_Inventory[[#This Row],[land_value]]</f>
        <v>49926.8031387023</v>
      </c>
      <c r="BT1853" s="4">
        <f>_xlfn.IFNA(VLOOKUP(Grandview_Inventory[[#This Row],[quality]],Lookups!$A$26:$C$33,3,FALSE),1)</f>
        <v>0.9690360070159818</v>
      </c>
      <c r="BU1853" s="4">
        <f>_xlfn.IFNA(VLOOKUP(Grandview_Inventory[[#This Row],[condition]],Lookups!$A$37:$C$44,3,FALSE),1)</f>
        <v>0.97161819570155394</v>
      </c>
      <c r="BV1853" s="4">
        <f>IF(Grandview_Inventory[[#This Row],[bldg_style]]="",1,_xlfn.IFNA(VLOOKUP(Grandview_Inventory[[#This Row],[decade]],Lookups!$F$29:$H$43,3,FALSE),1))</f>
        <v>0.9871940091910919</v>
      </c>
      <c r="BW1853" s="4">
        <f>_xlfn.IFNA(VLOOKUP(Grandview_Inventory[[#This Row],[living_area_range]],Lookups!$F$47:$H$56,3,FALSE),1)</f>
        <v>0.94306777142782894</v>
      </c>
      <c r="BX1853" s="4">
        <f>AVERAGE(Grandview_Inventory[[#This Row],[qual_adj]:[size_adj]])</f>
        <v>0.96772899583411409</v>
      </c>
      <c r="BY1853" s="6">
        <f>IF(Grandview_Inventory[[#This Row],[pre_res]]&lt;0,0,Grandview_Inventory[[#This Row],[pre_res]]*Grandview_Inventory[[#This Row],[overall_adj]])</f>
        <v>127894.734989966</v>
      </c>
      <c r="BZ1853" s="6">
        <f>(Grandview_Inventory[[#This Row],[sum_land]]-IF(Grandview_Inventory[[#This Row],[no_utilities]]=1,12000,0))/IF(Grandview_Inventory[[#This Row],[unbuildable]]=1,2,1)</f>
        <v>49926.8031387023</v>
      </c>
      <c r="CA185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53">
        <f>ROUND(Grandview_Inventory[[#This Row],[det_value]]*Lookups!$M$28,-2)</f>
        <v>8100</v>
      </c>
      <c r="CC1853">
        <f>IF(ROUND(Grandview_Inventory[[#This Row],[adj_res]]*Lookups!$M$28,-2)&lt;Grandview_Inventory[[#This Row],[min_res]],Grandview_Inventory[[#This Row],[min_res]],ROUND(Grandview_Inventory[[#This Row],[adj_res]]*Lookups!$M$28,-2))</f>
        <v>121500</v>
      </c>
      <c r="CD1853">
        <f>Grandview_Inventory[[#This Row],[final_det]]+Grandview_Inventory[[#This Row],[final_res]]</f>
        <v>129600</v>
      </c>
      <c r="CE1853">
        <f>Grandview_Inventory[[#This Row],[final_land]]+Grandview_Inventory[[#This Row],[final_imp]]+Grandview_Inventory[[#This Row],[crop_value]]</f>
        <v>177000</v>
      </c>
      <c r="CG1853" t="str">
        <f t="shared" si="28"/>
        <v>update valuation set market_land =47400, market_bldg=129600, market_total =177000, market_mdno =401, market_date ='9/10/2023' where link_id = (select link_id from parcel where parcel_year = '2024' and parcel_id = '23092334435');</v>
      </c>
    </row>
    <row r="1854" spans="1:85" x14ac:dyDescent="0.25">
      <c r="A1854">
        <v>23092334436</v>
      </c>
      <c r="B1854">
        <v>0.33</v>
      </c>
      <c r="C1854">
        <v>14542</v>
      </c>
      <c r="D1854" t="s">
        <v>129</v>
      </c>
      <c r="E1854" t="s">
        <v>53</v>
      </c>
      <c r="F1854" t="s">
        <v>53</v>
      </c>
      <c r="G1854">
        <v>4</v>
      </c>
      <c r="H1854" t="s">
        <v>54</v>
      </c>
      <c r="I1854">
        <v>237800</v>
      </c>
      <c r="J1854">
        <v>41200</v>
      </c>
      <c r="K1854">
        <v>0.33</v>
      </c>
      <c r="L1854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1854">
        <v>0</v>
      </c>
      <c r="N1854">
        <v>0</v>
      </c>
      <c r="O1854">
        <v>0</v>
      </c>
      <c r="P1854">
        <v>13398.7528</v>
      </c>
      <c r="Q1854">
        <v>63903</v>
      </c>
      <c r="R1854">
        <f>(Grandview_Inventory[[#This Row],[ln_acres]]*Grandview_Inventory[[#This Row],[coeff]])+Grandview_Inventory[[#This Row],[const]]</f>
        <v>49048.303555435712</v>
      </c>
      <c r="S1854" t="s">
        <v>55</v>
      </c>
      <c r="T1854">
        <v>2</v>
      </c>
      <c r="U1854" t="s">
        <v>70</v>
      </c>
      <c r="V1854" t="s">
        <v>69</v>
      </c>
      <c r="W1854">
        <v>0</v>
      </c>
      <c r="X1854">
        <v>0</v>
      </c>
      <c r="Y1854">
        <v>52</v>
      </c>
      <c r="Z1854">
        <v>88</v>
      </c>
      <c r="AA1854">
        <v>90</v>
      </c>
      <c r="AB1854">
        <v>3000</v>
      </c>
      <c r="AC1854">
        <v>2812</v>
      </c>
      <c r="AD1854">
        <v>1374</v>
      </c>
      <c r="AE1854">
        <v>520</v>
      </c>
      <c r="AF1854">
        <v>0</v>
      </c>
      <c r="AG1854">
        <v>918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8</v>
      </c>
      <c r="AQ1854">
        <v>0</v>
      </c>
      <c r="AR1854">
        <v>0</v>
      </c>
      <c r="AS1854" t="s">
        <v>58</v>
      </c>
      <c r="AT1854">
        <v>1</v>
      </c>
      <c r="AU1854" t="s">
        <v>63</v>
      </c>
      <c r="AV1854" t="s">
        <v>60</v>
      </c>
      <c r="AW1854">
        <v>1</v>
      </c>
      <c r="AX1854">
        <v>4</v>
      </c>
      <c r="AY1854">
        <v>0</v>
      </c>
      <c r="AZ1854">
        <v>14900</v>
      </c>
      <c r="BA1854">
        <v>100</v>
      </c>
      <c r="BB1854">
        <v>100</v>
      </c>
      <c r="BC1854">
        <v>100</v>
      </c>
      <c r="BD1854">
        <v>100</v>
      </c>
      <c r="BE1854">
        <v>1</v>
      </c>
      <c r="BF1854">
        <v>15000</v>
      </c>
      <c r="BG1854">
        <v>1000</v>
      </c>
      <c r="BH1854" s="6">
        <f>Grandview_Inventory[[#This Row],[land_extract]]*Lookups!$B$3</f>
        <v>56959.662488507893</v>
      </c>
      <c r="BI1854" s="6">
        <f>IF(Grandview_Inventory[[#This Row],[bldg_style]]="",0,Lookups!$B$2)</f>
        <v>155833.95000000001</v>
      </c>
      <c r="BJ1854" s="6">
        <f>_xlfn.IFNA(VLOOKUP(Grandview_Inventory[[#This Row],[quality]],Lookups!$H$2:$J$14,3,FALSE),0)</f>
        <v>10733</v>
      </c>
      <c r="BK1854" s="6">
        <f>_xlfn.IFNA(VLOOKUP(Grandview_Inventory[[#This Row],[condition]],Lookups!$H$17:$J$24,3,FALSE),0)</f>
        <v>-4503</v>
      </c>
      <c r="BL1854" s="6">
        <f>Grandview_Inventory[[#This Row],[Eff_Age]]*Lookups!$B$14</f>
        <v>-12436.663199999999</v>
      </c>
      <c r="BM1854" s="6">
        <f>Grandview_Inventory[[#This Row],[living_area]]*Lookups!$B$15</f>
        <v>175414.958636</v>
      </c>
      <c r="BN1854" s="6">
        <f>Grandview_Inventory[[#This Row],[Fin BSMT]]*Lookups!$B$16</f>
        <v>-24877.102320000002</v>
      </c>
      <c r="BO1854" s="6">
        <f>(Grandview_Inventory[[#This Row],[att_gar]]+Grandview_Inventory[[#This Row],[bltin_gar]])*Lookups!$B$17</f>
        <v>0</v>
      </c>
      <c r="BP1854" s="6">
        <f>Grandview_Inventory[[#This Row],[Plumbing Fixtures]]*Lookups!$B$18</f>
        <v>16083.5344</v>
      </c>
      <c r="BQ1854" s="6">
        <f>Grandview_Inventory[[#This Row],[detatched_value]]*Lookups!$B$19</f>
        <v>12617.395989999999</v>
      </c>
      <c r="BR1854" s="6">
        <f>SUM(Grandview_Inventory[[#This Row],[Intercept]:[det_value]])*Grandview_Inventory[[#This Row],[res_pct]]</f>
        <v>328866.07350599999</v>
      </c>
      <c r="BS1854" s="6">
        <f>Grandview_Inventory[[#This Row],[land_value]]</f>
        <v>56959.662488507893</v>
      </c>
      <c r="BT1854" s="4">
        <f>_xlfn.IFNA(VLOOKUP(Grandview_Inventory[[#This Row],[quality]],Lookups!$A$26:$C$33,3,FALSE),1)</f>
        <v>0.98079741117310582</v>
      </c>
      <c r="BU1854" s="4">
        <f>_xlfn.IFNA(VLOOKUP(Grandview_Inventory[[#This Row],[condition]],Lookups!$A$37:$C$44,3,FALSE),1)</f>
        <v>0.96469275950863709</v>
      </c>
      <c r="BV1854" s="4">
        <f>IF(Grandview_Inventory[[#This Row],[bldg_style]]="",1,_xlfn.IFNA(VLOOKUP(Grandview_Inventory[[#This Row],[decade]],Lookups!$F$29:$H$43,3,FALSE),1))</f>
        <v>0.94161750052457416</v>
      </c>
      <c r="BW1854" s="4">
        <f>_xlfn.IFNA(VLOOKUP(Grandview_Inventory[[#This Row],[living_area_range]],Lookups!$F$47:$H$56,3,FALSE),1)</f>
        <v>0.94224801443562123</v>
      </c>
      <c r="BX1854" s="4">
        <f>AVERAGE(Grandview_Inventory[[#This Row],[qual_adj]:[size_adj]])</f>
        <v>0.9573389214104846</v>
      </c>
      <c r="BY1854" s="6">
        <f>IF(Grandview_Inventory[[#This Row],[pre_res]]&lt;0,0,Grandview_Inventory[[#This Row],[pre_res]]*Grandview_Inventory[[#This Row],[overall_adj]])</f>
        <v>314836.29209873517</v>
      </c>
      <c r="BZ1854" s="6">
        <f>(Grandview_Inventory[[#This Row],[sum_land]]-IF(Grandview_Inventory[[#This Row],[no_utilities]]=1,12000,0))/IF(Grandview_Inventory[[#This Row],[unbuildable]]=1,2,1)</f>
        <v>56959.662488507893</v>
      </c>
      <c r="CA1854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1854">
        <f>ROUND(Grandview_Inventory[[#This Row],[det_value]]*Lookups!$M$28,-2)</f>
        <v>12000</v>
      </c>
      <c r="CC1854">
        <f>IF(ROUND(Grandview_Inventory[[#This Row],[adj_res]]*Lookups!$M$28,-2)&lt;Grandview_Inventory[[#This Row],[min_res]],Grandview_Inventory[[#This Row],[min_res]],ROUND(Grandview_Inventory[[#This Row],[adj_res]]*Lookups!$M$28,-2))</f>
        <v>299100</v>
      </c>
      <c r="CD1854">
        <f>Grandview_Inventory[[#This Row],[final_det]]+Grandview_Inventory[[#This Row],[final_res]]</f>
        <v>311100</v>
      </c>
      <c r="CE1854">
        <f>Grandview_Inventory[[#This Row],[final_land]]+Grandview_Inventory[[#This Row],[final_imp]]+Grandview_Inventory[[#This Row],[crop_value]]</f>
        <v>365200</v>
      </c>
      <c r="CG1854" t="str">
        <f t="shared" si="28"/>
        <v>update valuation set market_land =54100, market_bldg=311100, market_total =365200, market_mdno =401, market_date ='9/10/2023' where link_id = (select link_id from parcel where parcel_year = '2024' and parcel_id = '23092334436');</v>
      </c>
    </row>
    <row r="1855" spans="1:85" x14ac:dyDescent="0.25">
      <c r="A1855">
        <v>23092334438</v>
      </c>
      <c r="B1855">
        <v>0.19</v>
      </c>
      <c r="C1855">
        <v>8090</v>
      </c>
      <c r="D1855" t="s">
        <v>129</v>
      </c>
      <c r="E1855" t="s">
        <v>53</v>
      </c>
      <c r="F1855" t="s">
        <v>53</v>
      </c>
      <c r="G1855">
        <v>4</v>
      </c>
      <c r="H1855" t="s">
        <v>54</v>
      </c>
      <c r="I1855">
        <v>180300</v>
      </c>
      <c r="J1855">
        <v>39000</v>
      </c>
      <c r="K1855">
        <v>0.19</v>
      </c>
      <c r="L185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55">
        <v>0</v>
      </c>
      <c r="N1855">
        <v>0</v>
      </c>
      <c r="O1855">
        <v>0</v>
      </c>
      <c r="P1855">
        <v>13398.7528</v>
      </c>
      <c r="Q1855">
        <v>63903</v>
      </c>
      <c r="R1855">
        <f>(Grandview_Inventory[[#This Row],[ln_acres]]*Grandview_Inventory[[#This Row],[coeff]])+Grandview_Inventory[[#This Row],[const]]</f>
        <v>41651.273092551026</v>
      </c>
      <c r="S1855" t="s">
        <v>61</v>
      </c>
      <c r="T1855">
        <v>1</v>
      </c>
      <c r="U1855" t="s">
        <v>65</v>
      </c>
      <c r="V1855" t="s">
        <v>69</v>
      </c>
      <c r="W1855">
        <v>0</v>
      </c>
      <c r="X1855">
        <v>0</v>
      </c>
      <c r="Y1855">
        <v>38</v>
      </c>
      <c r="Z1855">
        <v>38</v>
      </c>
      <c r="AA1855">
        <v>40</v>
      </c>
      <c r="AB1855">
        <v>1500</v>
      </c>
      <c r="AC1855">
        <v>1232</v>
      </c>
      <c r="AD1855">
        <v>1232</v>
      </c>
      <c r="AE1855">
        <v>0</v>
      </c>
      <c r="AF1855">
        <v>0</v>
      </c>
      <c r="AG1855">
        <v>0</v>
      </c>
      <c r="AH1855">
        <v>0</v>
      </c>
      <c r="AI1855">
        <v>528</v>
      </c>
      <c r="AJ1855">
        <v>0</v>
      </c>
      <c r="AK1855">
        <v>0</v>
      </c>
      <c r="AL1855">
        <v>0</v>
      </c>
      <c r="AM1855">
        <v>144</v>
      </c>
      <c r="AN1855">
        <v>84</v>
      </c>
      <c r="AO1855">
        <v>144</v>
      </c>
      <c r="AP1855">
        <v>7</v>
      </c>
      <c r="AQ1855">
        <v>0</v>
      </c>
      <c r="AR1855">
        <v>0</v>
      </c>
      <c r="AS1855" t="s">
        <v>58</v>
      </c>
      <c r="AT1855">
        <v>1</v>
      </c>
      <c r="AU1855" t="s">
        <v>59</v>
      </c>
      <c r="AV1855" t="s">
        <v>60</v>
      </c>
      <c r="AW1855">
        <v>1</v>
      </c>
      <c r="AX1855">
        <v>3</v>
      </c>
      <c r="AY1855">
        <v>0</v>
      </c>
      <c r="AZ1855">
        <v>0</v>
      </c>
      <c r="BA1855">
        <v>100</v>
      </c>
      <c r="BB1855">
        <v>100</v>
      </c>
      <c r="BC1855">
        <v>100</v>
      </c>
      <c r="BD1855">
        <v>100</v>
      </c>
      <c r="BE1855">
        <v>1</v>
      </c>
      <c r="BF1855">
        <v>15000</v>
      </c>
      <c r="BG1855">
        <v>1000</v>
      </c>
      <c r="BH1855" s="6">
        <f>Grandview_Inventory[[#This Row],[land_extract]]*Lookups!$B$3</f>
        <v>48369.510983942157</v>
      </c>
      <c r="BI1855" s="6">
        <f>IF(Grandview_Inventory[[#This Row],[bldg_style]]="",0,Lookups!$B$2)</f>
        <v>155833.95000000001</v>
      </c>
      <c r="BJ1855" s="6">
        <f>_xlfn.IFNA(VLOOKUP(Grandview_Inventory[[#This Row],[quality]],Lookups!$H$2:$J$14,3,FALSE),0)</f>
        <v>2251</v>
      </c>
      <c r="BK1855" s="6">
        <f>_xlfn.IFNA(VLOOKUP(Grandview_Inventory[[#This Row],[condition]],Lookups!$H$17:$J$24,3,FALSE),0)</f>
        <v>-4503</v>
      </c>
      <c r="BL1855" s="6">
        <f>Grandview_Inventory[[#This Row],[Eff_Age]]*Lookups!$B$14</f>
        <v>-9088.3307999999997</v>
      </c>
      <c r="BM1855" s="6">
        <f>Grandview_Inventory[[#This Row],[living_area]]*Lookups!$B$15</f>
        <v>76853.210896000004</v>
      </c>
      <c r="BN1855" s="6">
        <f>Grandview_Inventory[[#This Row],[Fin BSMT]]*Lookups!$B$16</f>
        <v>0</v>
      </c>
      <c r="BO1855" s="6">
        <f>(Grandview_Inventory[[#This Row],[att_gar]]+Grandview_Inventory[[#This Row],[bltin_gar]])*Lookups!$B$17</f>
        <v>46210.790736000003</v>
      </c>
      <c r="BP1855" s="6">
        <f>Grandview_Inventory[[#This Row],[Plumbing Fixtures]]*Lookups!$B$18</f>
        <v>14073.0926</v>
      </c>
      <c r="BQ1855" s="6">
        <f>Grandview_Inventory[[#This Row],[detatched_value]]*Lookups!$B$19</f>
        <v>0</v>
      </c>
      <c r="BR1855" s="6">
        <f>SUM(Grandview_Inventory[[#This Row],[Intercept]:[det_value]])*Grandview_Inventory[[#This Row],[res_pct]]</f>
        <v>281630.71343200002</v>
      </c>
      <c r="BS1855" s="6">
        <f>Grandview_Inventory[[#This Row],[land_value]]</f>
        <v>48369.510983942157</v>
      </c>
      <c r="BT1855" s="4">
        <f>_xlfn.IFNA(VLOOKUP(Grandview_Inventory[[#This Row],[quality]],Lookups!$A$26:$C$33,3,FALSE),1)</f>
        <v>0.98763855981004833</v>
      </c>
      <c r="BU1855" s="4">
        <f>_xlfn.IFNA(VLOOKUP(Grandview_Inventory[[#This Row],[condition]],Lookups!$A$37:$C$44,3,FALSE),1)</f>
        <v>0.96469275950863709</v>
      </c>
      <c r="BV1855" s="4">
        <f>IF(Grandview_Inventory[[#This Row],[bldg_style]]="",1,_xlfn.IFNA(VLOOKUP(Grandview_Inventory[[#This Row],[decade]],Lookups!$F$29:$H$43,3,FALSE),1))</f>
        <v>0.98031878267063854</v>
      </c>
      <c r="BW1855" s="4">
        <f>_xlfn.IFNA(VLOOKUP(Grandview_Inventory[[#This Row],[living_area_range]],Lookups!$F$47:$H$56,3,FALSE),1)</f>
        <v>0.96135087979789358</v>
      </c>
      <c r="BX1855" s="4">
        <f>AVERAGE(Grandview_Inventory[[#This Row],[qual_adj]:[size_adj]])</f>
        <v>0.97350024544680436</v>
      </c>
      <c r="BY1855" s="6">
        <f>IF(Grandview_Inventory[[#This Row],[pre_res]]&lt;0,0,Grandview_Inventory[[#This Row],[pre_res]]*Grandview_Inventory[[#This Row],[overall_adj]])</f>
        <v>274167.56865141063</v>
      </c>
      <c r="BZ1855" s="6">
        <f>(Grandview_Inventory[[#This Row],[sum_land]]-IF(Grandview_Inventory[[#This Row],[no_utilities]]=1,12000,0))/IF(Grandview_Inventory[[#This Row],[unbuildable]]=1,2,1)</f>
        <v>48369.510983942157</v>
      </c>
      <c r="CA185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55">
        <f>ROUND(Grandview_Inventory[[#This Row],[det_value]]*Lookups!$M$28,-2)</f>
        <v>0</v>
      </c>
      <c r="CC1855">
        <f>IF(ROUND(Grandview_Inventory[[#This Row],[adj_res]]*Lookups!$M$28,-2)&lt;Grandview_Inventory[[#This Row],[min_res]],Grandview_Inventory[[#This Row],[min_res]],ROUND(Grandview_Inventory[[#This Row],[adj_res]]*Lookups!$M$28,-2))</f>
        <v>260500</v>
      </c>
      <c r="CD1855">
        <f>Grandview_Inventory[[#This Row],[final_det]]+Grandview_Inventory[[#This Row],[final_res]]</f>
        <v>260500</v>
      </c>
      <c r="CE1855">
        <f>Grandview_Inventory[[#This Row],[final_land]]+Grandview_Inventory[[#This Row],[final_imp]]+Grandview_Inventory[[#This Row],[crop_value]]</f>
        <v>306500</v>
      </c>
      <c r="CG1855" t="str">
        <f t="shared" si="28"/>
        <v>update valuation set market_land =46000, market_bldg=260500, market_total =306500, market_mdno =401, market_date ='9/10/2023' where link_id = (select link_id from parcel where parcel_year = '2024' and parcel_id = '23092334438');</v>
      </c>
    </row>
    <row r="1856" spans="1:85" x14ac:dyDescent="0.25">
      <c r="A1856">
        <v>23092334439</v>
      </c>
      <c r="B1856">
        <v>0.19</v>
      </c>
      <c r="C1856">
        <v>8095</v>
      </c>
      <c r="D1856" t="s">
        <v>129</v>
      </c>
      <c r="E1856" t="s">
        <v>53</v>
      </c>
      <c r="F1856" t="s">
        <v>53</v>
      </c>
      <c r="G1856">
        <v>4</v>
      </c>
      <c r="H1856" t="s">
        <v>54</v>
      </c>
      <c r="I1856">
        <v>167300</v>
      </c>
      <c r="J1856">
        <v>39000</v>
      </c>
      <c r="K1856">
        <v>0.19</v>
      </c>
      <c r="L185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56">
        <v>0</v>
      </c>
      <c r="N1856">
        <v>0</v>
      </c>
      <c r="O1856">
        <v>0</v>
      </c>
      <c r="P1856">
        <v>13398.7528</v>
      </c>
      <c r="Q1856">
        <v>63903</v>
      </c>
      <c r="R1856">
        <f>(Grandview_Inventory[[#This Row],[ln_acres]]*Grandview_Inventory[[#This Row],[coeff]])+Grandview_Inventory[[#This Row],[const]]</f>
        <v>41651.273092551026</v>
      </c>
      <c r="S1856" t="s">
        <v>61</v>
      </c>
      <c r="T1856">
        <v>1</v>
      </c>
      <c r="U1856" t="s">
        <v>70</v>
      </c>
      <c r="V1856" t="s">
        <v>69</v>
      </c>
      <c r="W1856">
        <v>0</v>
      </c>
      <c r="X1856">
        <v>0</v>
      </c>
      <c r="Y1856">
        <v>38</v>
      </c>
      <c r="Z1856">
        <v>38</v>
      </c>
      <c r="AA1856">
        <v>40</v>
      </c>
      <c r="AB1856">
        <v>1500</v>
      </c>
      <c r="AC1856">
        <v>1120</v>
      </c>
      <c r="AD1856">
        <v>1120</v>
      </c>
      <c r="AE1856">
        <v>0</v>
      </c>
      <c r="AF1856">
        <v>0</v>
      </c>
      <c r="AG1856">
        <v>0</v>
      </c>
      <c r="AH1856">
        <v>0</v>
      </c>
      <c r="AI1856">
        <v>440</v>
      </c>
      <c r="AJ1856">
        <v>0</v>
      </c>
      <c r="AK1856">
        <v>0</v>
      </c>
      <c r="AL1856">
        <v>0</v>
      </c>
      <c r="AM1856">
        <v>98</v>
      </c>
      <c r="AN1856">
        <v>0</v>
      </c>
      <c r="AO1856">
        <v>0</v>
      </c>
      <c r="AP1856">
        <v>7</v>
      </c>
      <c r="AQ1856">
        <v>0</v>
      </c>
      <c r="AR1856">
        <v>0</v>
      </c>
      <c r="AS1856" t="s">
        <v>58</v>
      </c>
      <c r="AT1856">
        <v>1</v>
      </c>
      <c r="AU1856" t="s">
        <v>75</v>
      </c>
      <c r="AV1856" t="s">
        <v>60</v>
      </c>
      <c r="AW1856">
        <v>0</v>
      </c>
      <c r="AX1856">
        <v>3</v>
      </c>
      <c r="AY1856">
        <v>0</v>
      </c>
      <c r="AZ1856">
        <v>0</v>
      </c>
      <c r="BA1856">
        <v>100</v>
      </c>
      <c r="BB1856">
        <v>100</v>
      </c>
      <c r="BC1856">
        <v>100</v>
      </c>
      <c r="BD1856">
        <v>100</v>
      </c>
      <c r="BE1856">
        <v>1</v>
      </c>
      <c r="BF1856">
        <v>15000</v>
      </c>
      <c r="BG1856">
        <v>1000</v>
      </c>
      <c r="BH1856" s="6">
        <f>Grandview_Inventory[[#This Row],[land_extract]]*Lookups!$B$3</f>
        <v>48369.510983942157</v>
      </c>
      <c r="BI1856" s="6">
        <f>IF(Grandview_Inventory[[#This Row],[bldg_style]]="",0,Lookups!$B$2)</f>
        <v>155833.95000000001</v>
      </c>
      <c r="BJ1856" s="6">
        <f>_xlfn.IFNA(VLOOKUP(Grandview_Inventory[[#This Row],[quality]],Lookups!$H$2:$J$14,3,FALSE),0)</f>
        <v>10733</v>
      </c>
      <c r="BK1856" s="6">
        <f>_xlfn.IFNA(VLOOKUP(Grandview_Inventory[[#This Row],[condition]],Lookups!$H$17:$J$24,3,FALSE),0)</f>
        <v>-4503</v>
      </c>
      <c r="BL1856" s="6">
        <f>Grandview_Inventory[[#This Row],[Eff_Age]]*Lookups!$B$14</f>
        <v>-9088.3307999999997</v>
      </c>
      <c r="BM1856" s="6">
        <f>Grandview_Inventory[[#This Row],[living_area]]*Lookups!$B$15</f>
        <v>69866.555359999998</v>
      </c>
      <c r="BN1856" s="6">
        <f>Grandview_Inventory[[#This Row],[Fin BSMT]]*Lookups!$B$16</f>
        <v>0</v>
      </c>
      <c r="BO1856" s="6">
        <f>(Grandview_Inventory[[#This Row],[att_gar]]+Grandview_Inventory[[#This Row],[bltin_gar]])*Lookups!$B$17</f>
        <v>38508.992279999999</v>
      </c>
      <c r="BP1856" s="6">
        <f>Grandview_Inventory[[#This Row],[Plumbing Fixtures]]*Lookups!$B$18</f>
        <v>14073.0926</v>
      </c>
      <c r="BQ1856" s="6">
        <f>Grandview_Inventory[[#This Row],[detatched_value]]*Lookups!$B$19</f>
        <v>0</v>
      </c>
      <c r="BR1856" s="6">
        <f>SUM(Grandview_Inventory[[#This Row],[Intercept]:[det_value]])*Grandview_Inventory[[#This Row],[res_pct]]</f>
        <v>275424.25943999999</v>
      </c>
      <c r="BS1856" s="6">
        <f>Grandview_Inventory[[#This Row],[land_value]]</f>
        <v>48369.510983942157</v>
      </c>
      <c r="BT1856" s="4">
        <f>_xlfn.IFNA(VLOOKUP(Grandview_Inventory[[#This Row],[quality]],Lookups!$A$26:$C$33,3,FALSE),1)</f>
        <v>0.98079741117310582</v>
      </c>
      <c r="BU1856" s="4">
        <f>_xlfn.IFNA(VLOOKUP(Grandview_Inventory[[#This Row],[condition]],Lookups!$A$37:$C$44,3,FALSE),1)</f>
        <v>0.96469275950863709</v>
      </c>
      <c r="BV1856" s="4">
        <f>IF(Grandview_Inventory[[#This Row],[bldg_style]]="",1,_xlfn.IFNA(VLOOKUP(Grandview_Inventory[[#This Row],[decade]],Lookups!$F$29:$H$43,3,FALSE),1))</f>
        <v>0.98031878267063854</v>
      </c>
      <c r="BW1856" s="4">
        <f>_xlfn.IFNA(VLOOKUP(Grandview_Inventory[[#This Row],[living_area_range]],Lookups!$F$47:$H$56,3,FALSE),1)</f>
        <v>0.96135087979789358</v>
      </c>
      <c r="BX1856" s="4">
        <f>AVERAGE(Grandview_Inventory[[#This Row],[qual_adj]:[size_adj]])</f>
        <v>0.97178995828756876</v>
      </c>
      <c r="BY1856" s="6">
        <f>IF(Grandview_Inventory[[#This Row],[pre_res]]&lt;0,0,Grandview_Inventory[[#This Row],[pre_res]]*Grandview_Inventory[[#This Row],[overall_adj]])</f>
        <v>267654.52959258208</v>
      </c>
      <c r="BZ1856" s="6">
        <f>(Grandview_Inventory[[#This Row],[sum_land]]-IF(Grandview_Inventory[[#This Row],[no_utilities]]=1,12000,0))/IF(Grandview_Inventory[[#This Row],[unbuildable]]=1,2,1)</f>
        <v>48369.510983942157</v>
      </c>
      <c r="CA185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56">
        <f>ROUND(Grandview_Inventory[[#This Row],[det_value]]*Lookups!$M$28,-2)</f>
        <v>0</v>
      </c>
      <c r="CC1856">
        <f>IF(ROUND(Grandview_Inventory[[#This Row],[adj_res]]*Lookups!$M$28,-2)&lt;Grandview_Inventory[[#This Row],[min_res]],Grandview_Inventory[[#This Row],[min_res]],ROUND(Grandview_Inventory[[#This Row],[adj_res]]*Lookups!$M$28,-2))</f>
        <v>254300</v>
      </c>
      <c r="CD1856">
        <f>Grandview_Inventory[[#This Row],[final_det]]+Grandview_Inventory[[#This Row],[final_res]]</f>
        <v>254300</v>
      </c>
      <c r="CE1856">
        <f>Grandview_Inventory[[#This Row],[final_land]]+Grandview_Inventory[[#This Row],[final_imp]]+Grandview_Inventory[[#This Row],[crop_value]]</f>
        <v>300300</v>
      </c>
      <c r="CG1856" t="str">
        <f t="shared" si="28"/>
        <v>update valuation set market_land =46000, market_bldg=254300, market_total =300300, market_mdno =401, market_date ='9/10/2023' where link_id = (select link_id from parcel where parcel_year = '2024' and parcel_id = '23092334439');</v>
      </c>
    </row>
    <row r="1857" spans="1:85" x14ac:dyDescent="0.25">
      <c r="A1857">
        <v>23092334441</v>
      </c>
      <c r="B1857">
        <v>0.18</v>
      </c>
      <c r="C1857">
        <v>8031</v>
      </c>
      <c r="D1857" t="s">
        <v>129</v>
      </c>
      <c r="E1857" t="s">
        <v>53</v>
      </c>
      <c r="F1857" t="s">
        <v>53</v>
      </c>
      <c r="G1857">
        <v>4</v>
      </c>
      <c r="H1857" t="s">
        <v>54</v>
      </c>
      <c r="I1857">
        <v>186800</v>
      </c>
      <c r="J1857">
        <v>43300</v>
      </c>
      <c r="K1857">
        <v>0.18</v>
      </c>
      <c r="L185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57">
        <v>0</v>
      </c>
      <c r="N1857">
        <v>0</v>
      </c>
      <c r="O1857">
        <v>0</v>
      </c>
      <c r="P1857">
        <v>13398.7528</v>
      </c>
      <c r="Q1857">
        <v>63903</v>
      </c>
      <c r="R1857">
        <f>(Grandview_Inventory[[#This Row],[ln_acres]]*Grandview_Inventory[[#This Row],[coeff]])+Grandview_Inventory[[#This Row],[const]]</f>
        <v>40926.839760167699</v>
      </c>
      <c r="S1857" t="s">
        <v>61</v>
      </c>
      <c r="T1857">
        <v>1</v>
      </c>
      <c r="U1857" t="s">
        <v>62</v>
      </c>
      <c r="V1857" t="s">
        <v>69</v>
      </c>
      <c r="W1857">
        <v>0</v>
      </c>
      <c r="X1857">
        <v>0</v>
      </c>
      <c r="Y1857">
        <v>33</v>
      </c>
      <c r="Z1857">
        <v>33</v>
      </c>
      <c r="AA1857">
        <v>40</v>
      </c>
      <c r="AB1857">
        <v>1500</v>
      </c>
      <c r="AC1857">
        <v>1420</v>
      </c>
      <c r="AD1857">
        <v>1420</v>
      </c>
      <c r="AE1857">
        <v>0</v>
      </c>
      <c r="AF1857">
        <v>0</v>
      </c>
      <c r="AG1857">
        <v>0</v>
      </c>
      <c r="AH1857">
        <v>0</v>
      </c>
      <c r="AI1857">
        <v>400</v>
      </c>
      <c r="AJ1857">
        <v>0</v>
      </c>
      <c r="AK1857">
        <v>0</v>
      </c>
      <c r="AL1857">
        <v>0</v>
      </c>
      <c r="AM1857">
        <v>360</v>
      </c>
      <c r="AN1857">
        <v>60</v>
      </c>
      <c r="AO1857">
        <v>0</v>
      </c>
      <c r="AP1857">
        <v>8</v>
      </c>
      <c r="AQ1857">
        <v>0</v>
      </c>
      <c r="AR1857">
        <v>0</v>
      </c>
      <c r="AS1857" t="s">
        <v>58</v>
      </c>
      <c r="AT1857">
        <v>1</v>
      </c>
      <c r="AU1857" t="s">
        <v>63</v>
      </c>
      <c r="AV1857" t="s">
        <v>60</v>
      </c>
      <c r="AW1857">
        <v>1</v>
      </c>
      <c r="AX1857">
        <v>3</v>
      </c>
      <c r="AY1857">
        <v>0</v>
      </c>
      <c r="AZ1857">
        <v>0</v>
      </c>
      <c r="BA1857">
        <v>100</v>
      </c>
      <c r="BB1857">
        <v>100</v>
      </c>
      <c r="BC1857">
        <v>100</v>
      </c>
      <c r="BD1857">
        <v>100</v>
      </c>
      <c r="BE1857">
        <v>1</v>
      </c>
      <c r="BF1857">
        <v>15000</v>
      </c>
      <c r="BG1857">
        <v>1000</v>
      </c>
      <c r="BH1857" s="6">
        <f>Grandview_Inventory[[#This Row],[land_extract]]*Lookups!$B$3</f>
        <v>47528.228511015397</v>
      </c>
      <c r="BI1857" s="6">
        <f>IF(Grandview_Inventory[[#This Row],[bldg_style]]="",0,Lookups!$B$2)</f>
        <v>155833.95000000001</v>
      </c>
      <c r="BJ1857" s="6">
        <f>_xlfn.IFNA(VLOOKUP(Grandview_Inventory[[#This Row],[quality]],Lookups!$H$2:$J$14,3,FALSE),0)</f>
        <v>9808</v>
      </c>
      <c r="BK1857" s="6">
        <f>_xlfn.IFNA(VLOOKUP(Grandview_Inventory[[#This Row],[condition]],Lookups!$H$17:$J$24,3,FALSE),0)</f>
        <v>-4503</v>
      </c>
      <c r="BL1857" s="6">
        <f>Grandview_Inventory[[#This Row],[Eff_Age]]*Lookups!$B$14</f>
        <v>-7892.4977999999992</v>
      </c>
      <c r="BM1857" s="6">
        <f>Grandview_Inventory[[#This Row],[living_area]]*Lookups!$B$15</f>
        <v>88580.811260000002</v>
      </c>
      <c r="BN1857" s="6">
        <f>Grandview_Inventory[[#This Row],[Fin BSMT]]*Lookups!$B$16</f>
        <v>0</v>
      </c>
      <c r="BO1857" s="6">
        <f>(Grandview_Inventory[[#This Row],[att_gar]]+Grandview_Inventory[[#This Row],[bltin_gar]])*Lookups!$B$17</f>
        <v>35008.174800000001</v>
      </c>
      <c r="BP1857" s="6">
        <f>Grandview_Inventory[[#This Row],[Plumbing Fixtures]]*Lookups!$B$18</f>
        <v>16083.5344</v>
      </c>
      <c r="BQ1857" s="6">
        <f>Grandview_Inventory[[#This Row],[detatched_value]]*Lookups!$B$19</f>
        <v>0</v>
      </c>
      <c r="BR1857" s="6">
        <f>SUM(Grandview_Inventory[[#This Row],[Intercept]:[det_value]])*Grandview_Inventory[[#This Row],[res_pct]]</f>
        <v>292918.97265999997</v>
      </c>
      <c r="BS1857" s="6">
        <f>Grandview_Inventory[[#This Row],[land_value]]</f>
        <v>47528.228511015397</v>
      </c>
      <c r="BT1857" s="4">
        <f>_xlfn.IFNA(VLOOKUP(Grandview_Inventory[[#This Row],[quality]],Lookups!$A$26:$C$33,3,FALSE),1)</f>
        <v>0.94295468617355149</v>
      </c>
      <c r="BU1857" s="4">
        <f>_xlfn.IFNA(VLOOKUP(Grandview_Inventory[[#This Row],[condition]],Lookups!$A$37:$C$44,3,FALSE),1)</f>
        <v>0.96469275950863709</v>
      </c>
      <c r="BV1857" s="4">
        <f>IF(Grandview_Inventory[[#This Row],[bldg_style]]="",1,_xlfn.IFNA(VLOOKUP(Grandview_Inventory[[#This Row],[decade]],Lookups!$F$29:$H$43,3,FALSE),1))</f>
        <v>0.98031878267063854</v>
      </c>
      <c r="BW1857" s="4">
        <f>_xlfn.IFNA(VLOOKUP(Grandview_Inventory[[#This Row],[living_area_range]],Lookups!$F$47:$H$56,3,FALSE),1)</f>
        <v>0.96135087979789358</v>
      </c>
      <c r="BX1857" s="4">
        <f>AVERAGE(Grandview_Inventory[[#This Row],[qual_adj]:[size_adj]])</f>
        <v>0.96232927703768012</v>
      </c>
      <c r="BY1857" s="6">
        <f>IF(Grandview_Inventory[[#This Row],[pre_res]]&lt;0,0,Grandview_Inventory[[#This Row],[pre_res]]*Grandview_Inventory[[#This Row],[overall_adj]])</f>
        <v>281884.50319051777</v>
      </c>
      <c r="BZ1857" s="6">
        <f>(Grandview_Inventory[[#This Row],[sum_land]]-IF(Grandview_Inventory[[#This Row],[no_utilities]]=1,12000,0))/IF(Grandview_Inventory[[#This Row],[unbuildable]]=1,2,1)</f>
        <v>47528.228511015397</v>
      </c>
      <c r="CA185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57">
        <f>ROUND(Grandview_Inventory[[#This Row],[det_value]]*Lookups!$M$28,-2)</f>
        <v>0</v>
      </c>
      <c r="CC1857">
        <f>IF(ROUND(Grandview_Inventory[[#This Row],[adj_res]]*Lookups!$M$28,-2)&lt;Grandview_Inventory[[#This Row],[min_res]],Grandview_Inventory[[#This Row],[min_res]],ROUND(Grandview_Inventory[[#This Row],[adj_res]]*Lookups!$M$28,-2))</f>
        <v>267800</v>
      </c>
      <c r="CD1857">
        <f>Grandview_Inventory[[#This Row],[final_det]]+Grandview_Inventory[[#This Row],[final_res]]</f>
        <v>267800</v>
      </c>
      <c r="CE1857">
        <f>Grandview_Inventory[[#This Row],[final_land]]+Grandview_Inventory[[#This Row],[final_imp]]+Grandview_Inventory[[#This Row],[crop_value]]</f>
        <v>313000</v>
      </c>
      <c r="CG1857" t="str">
        <f t="shared" si="28"/>
        <v>update valuation set market_land =45200, market_bldg=267800, market_total =313000, market_mdno =401, market_date ='9/10/2023' where link_id = (select link_id from parcel where parcel_year = '2024' and parcel_id = '23092334441');</v>
      </c>
    </row>
    <row r="1858" spans="1:85" x14ac:dyDescent="0.25">
      <c r="A1858">
        <v>23092334442</v>
      </c>
      <c r="B1858">
        <v>0.18</v>
      </c>
      <c r="C1858">
        <v>8010</v>
      </c>
      <c r="D1858" t="s">
        <v>129</v>
      </c>
      <c r="E1858" t="s">
        <v>53</v>
      </c>
      <c r="F1858" t="s">
        <v>53</v>
      </c>
      <c r="G1858">
        <v>4</v>
      </c>
      <c r="H1858" t="s">
        <v>54</v>
      </c>
      <c r="I1858">
        <v>147600</v>
      </c>
      <c r="J1858">
        <v>39000</v>
      </c>
      <c r="K1858">
        <v>0.18</v>
      </c>
      <c r="L185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58">
        <v>0</v>
      </c>
      <c r="N1858">
        <v>0</v>
      </c>
      <c r="O1858">
        <v>0</v>
      </c>
      <c r="P1858">
        <v>13398.7528</v>
      </c>
      <c r="Q1858">
        <v>63903</v>
      </c>
      <c r="R1858">
        <f>(Grandview_Inventory[[#This Row],[ln_acres]]*Grandview_Inventory[[#This Row],[coeff]])+Grandview_Inventory[[#This Row],[const]]</f>
        <v>40926.839760167699</v>
      </c>
      <c r="S1858" t="s">
        <v>61</v>
      </c>
      <c r="T1858">
        <v>1</v>
      </c>
      <c r="U1858" t="s">
        <v>65</v>
      </c>
      <c r="V1858" t="s">
        <v>69</v>
      </c>
      <c r="W1858">
        <v>0</v>
      </c>
      <c r="X1858">
        <v>0</v>
      </c>
      <c r="Y1858">
        <v>28</v>
      </c>
      <c r="Z1858">
        <v>28</v>
      </c>
      <c r="AA1858">
        <v>30</v>
      </c>
      <c r="AB1858">
        <v>1000</v>
      </c>
      <c r="AC1858">
        <v>952</v>
      </c>
      <c r="AD1858">
        <v>952</v>
      </c>
      <c r="AE1858">
        <v>0</v>
      </c>
      <c r="AF1858">
        <v>0</v>
      </c>
      <c r="AG1858">
        <v>0</v>
      </c>
      <c r="AH1858">
        <v>0</v>
      </c>
      <c r="AI1858">
        <v>280</v>
      </c>
      <c r="AJ1858">
        <v>0</v>
      </c>
      <c r="AK1858">
        <v>0</v>
      </c>
      <c r="AL1858">
        <v>0</v>
      </c>
      <c r="AM1858">
        <v>200</v>
      </c>
      <c r="AN1858">
        <v>112</v>
      </c>
      <c r="AO1858">
        <v>0</v>
      </c>
      <c r="AP1858">
        <v>5</v>
      </c>
      <c r="AQ1858">
        <v>0</v>
      </c>
      <c r="AR1858">
        <v>0</v>
      </c>
      <c r="AS1858" t="s">
        <v>58</v>
      </c>
      <c r="AT1858">
        <v>1</v>
      </c>
      <c r="AU1858" t="s">
        <v>59</v>
      </c>
      <c r="AV1858" t="s">
        <v>60</v>
      </c>
      <c r="AW1858">
        <v>1</v>
      </c>
      <c r="AX1858">
        <v>2</v>
      </c>
      <c r="AY1858">
        <v>0</v>
      </c>
      <c r="AZ1858">
        <v>0</v>
      </c>
      <c r="BA1858">
        <v>100</v>
      </c>
      <c r="BB1858">
        <v>100</v>
      </c>
      <c r="BC1858">
        <v>100</v>
      </c>
      <c r="BD1858">
        <v>100</v>
      </c>
      <c r="BE1858">
        <v>1</v>
      </c>
      <c r="BF1858">
        <v>15000</v>
      </c>
      <c r="BG1858">
        <v>1000</v>
      </c>
      <c r="BH1858" s="6">
        <f>Grandview_Inventory[[#This Row],[land_extract]]*Lookups!$B$3</f>
        <v>47528.228511015397</v>
      </c>
      <c r="BI1858" s="6">
        <f>IF(Grandview_Inventory[[#This Row],[bldg_style]]="",0,Lookups!$B$2)</f>
        <v>155833.95000000001</v>
      </c>
      <c r="BJ1858" s="6">
        <f>_xlfn.IFNA(VLOOKUP(Grandview_Inventory[[#This Row],[quality]],Lookups!$H$2:$J$14,3,FALSE),0)</f>
        <v>2251</v>
      </c>
      <c r="BK1858" s="6">
        <f>_xlfn.IFNA(VLOOKUP(Grandview_Inventory[[#This Row],[condition]],Lookups!$H$17:$J$24,3,FALSE),0)</f>
        <v>-4503</v>
      </c>
      <c r="BL1858" s="6">
        <f>Grandview_Inventory[[#This Row],[Eff_Age]]*Lookups!$B$14</f>
        <v>-6696.6647999999996</v>
      </c>
      <c r="BM1858" s="6">
        <f>Grandview_Inventory[[#This Row],[living_area]]*Lookups!$B$15</f>
        <v>59386.572056000005</v>
      </c>
      <c r="BN1858" s="6">
        <f>Grandview_Inventory[[#This Row],[Fin BSMT]]*Lookups!$B$16</f>
        <v>0</v>
      </c>
      <c r="BO1858" s="6">
        <f>(Grandview_Inventory[[#This Row],[att_gar]]+Grandview_Inventory[[#This Row],[bltin_gar]])*Lookups!$B$17</f>
        <v>24505.72236</v>
      </c>
      <c r="BP1858" s="6">
        <f>Grandview_Inventory[[#This Row],[Plumbing Fixtures]]*Lookups!$B$18</f>
        <v>10052.209000000001</v>
      </c>
      <c r="BQ1858" s="6">
        <f>Grandview_Inventory[[#This Row],[detatched_value]]*Lookups!$B$19</f>
        <v>0</v>
      </c>
      <c r="BR1858" s="6">
        <f>SUM(Grandview_Inventory[[#This Row],[Intercept]:[det_value]])*Grandview_Inventory[[#This Row],[res_pct]]</f>
        <v>240829.78861600001</v>
      </c>
      <c r="BS1858" s="6">
        <f>Grandview_Inventory[[#This Row],[land_value]]</f>
        <v>47528.228511015397</v>
      </c>
      <c r="BT1858" s="4">
        <f>_xlfn.IFNA(VLOOKUP(Grandview_Inventory[[#This Row],[quality]],Lookups!$A$26:$C$33,3,FALSE),1)</f>
        <v>0.98763855981004833</v>
      </c>
      <c r="BU1858" s="4">
        <f>_xlfn.IFNA(VLOOKUP(Grandview_Inventory[[#This Row],[condition]],Lookups!$A$37:$C$44,3,FALSE),1)</f>
        <v>0.96469275950863709</v>
      </c>
      <c r="BV1858" s="4">
        <f>IF(Grandview_Inventory[[#This Row],[bldg_style]]="",1,_xlfn.IFNA(VLOOKUP(Grandview_Inventory[[#This Row],[decade]],Lookups!$F$29:$H$43,3,FALSE),1))</f>
        <v>0.98397821291089549</v>
      </c>
      <c r="BW1858" s="4">
        <f>_xlfn.IFNA(VLOOKUP(Grandview_Inventory[[#This Row],[living_area_range]],Lookups!$F$47:$H$56,3,FALSE),1)</f>
        <v>0.94306777142782894</v>
      </c>
      <c r="BX1858" s="4">
        <f>AVERAGE(Grandview_Inventory[[#This Row],[qual_adj]:[size_adj]])</f>
        <v>0.96984432591435243</v>
      </c>
      <c r="BY1858" s="6">
        <f>IF(Grandview_Inventory[[#This Row],[pre_res]]&lt;0,0,Grandview_Inventory[[#This Row],[pre_res]]*Grandview_Inventory[[#This Row],[overall_adj]])</f>
        <v>233567.40400038051</v>
      </c>
      <c r="BZ1858" s="6">
        <f>(Grandview_Inventory[[#This Row],[sum_land]]-IF(Grandview_Inventory[[#This Row],[no_utilities]]=1,12000,0))/IF(Grandview_Inventory[[#This Row],[unbuildable]]=1,2,1)</f>
        <v>47528.228511015397</v>
      </c>
      <c r="CA185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58">
        <f>ROUND(Grandview_Inventory[[#This Row],[det_value]]*Lookups!$M$28,-2)</f>
        <v>0</v>
      </c>
      <c r="CC1858">
        <f>IF(ROUND(Grandview_Inventory[[#This Row],[adj_res]]*Lookups!$M$28,-2)&lt;Grandview_Inventory[[#This Row],[min_res]],Grandview_Inventory[[#This Row],[min_res]],ROUND(Grandview_Inventory[[#This Row],[adj_res]]*Lookups!$M$28,-2))</f>
        <v>221900</v>
      </c>
      <c r="CD1858">
        <f>Grandview_Inventory[[#This Row],[final_det]]+Grandview_Inventory[[#This Row],[final_res]]</f>
        <v>221900</v>
      </c>
      <c r="CE1858">
        <f>Grandview_Inventory[[#This Row],[final_land]]+Grandview_Inventory[[#This Row],[final_imp]]+Grandview_Inventory[[#This Row],[crop_value]]</f>
        <v>267100</v>
      </c>
      <c r="CG1858" t="str">
        <f t="shared" si="28"/>
        <v>update valuation set market_land =45200, market_bldg=221900, market_total =267100, market_mdno =401, market_date ='9/10/2023' where link_id = (select link_id from parcel where parcel_year = '2024' and parcel_id = '23092334442');</v>
      </c>
    </row>
    <row r="1859" spans="1:85" x14ac:dyDescent="0.25">
      <c r="A1859">
        <v>23092334443</v>
      </c>
      <c r="B1859">
        <v>0.18</v>
      </c>
      <c r="C1859">
        <v>8058</v>
      </c>
      <c r="D1859" t="s">
        <v>129</v>
      </c>
      <c r="E1859" t="s">
        <v>53</v>
      </c>
      <c r="F1859" t="s">
        <v>53</v>
      </c>
      <c r="G1859">
        <v>4</v>
      </c>
      <c r="H1859" t="s">
        <v>54</v>
      </c>
      <c r="I1859">
        <v>153800</v>
      </c>
      <c r="J1859">
        <v>39000</v>
      </c>
      <c r="K1859">
        <v>0.18</v>
      </c>
      <c r="L185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59">
        <v>0</v>
      </c>
      <c r="N1859">
        <v>0</v>
      </c>
      <c r="O1859">
        <v>0</v>
      </c>
      <c r="P1859">
        <v>13398.7528</v>
      </c>
      <c r="Q1859">
        <v>63903</v>
      </c>
      <c r="R1859">
        <f>(Grandview_Inventory[[#This Row],[ln_acres]]*Grandview_Inventory[[#This Row],[coeff]])+Grandview_Inventory[[#This Row],[const]]</f>
        <v>40926.839760167699</v>
      </c>
      <c r="S1859" t="s">
        <v>61</v>
      </c>
      <c r="T1859">
        <v>1</v>
      </c>
      <c r="U1859" t="s">
        <v>65</v>
      </c>
      <c r="V1859" t="s">
        <v>69</v>
      </c>
      <c r="W1859">
        <v>0</v>
      </c>
      <c r="X1859">
        <v>0</v>
      </c>
      <c r="Y1859">
        <v>28</v>
      </c>
      <c r="Z1859">
        <v>28</v>
      </c>
      <c r="AA1859">
        <v>30</v>
      </c>
      <c r="AB1859">
        <v>1000</v>
      </c>
      <c r="AC1859">
        <v>952</v>
      </c>
      <c r="AD1859">
        <v>952</v>
      </c>
      <c r="AE1859">
        <v>0</v>
      </c>
      <c r="AF1859">
        <v>0</v>
      </c>
      <c r="AG1859">
        <v>0</v>
      </c>
      <c r="AH1859">
        <v>0</v>
      </c>
      <c r="AI1859">
        <v>280</v>
      </c>
      <c r="AJ1859">
        <v>0</v>
      </c>
      <c r="AK1859">
        <v>0</v>
      </c>
      <c r="AL1859">
        <v>0</v>
      </c>
      <c r="AM1859">
        <v>0</v>
      </c>
      <c r="AN1859">
        <v>112</v>
      </c>
      <c r="AO1859">
        <v>0</v>
      </c>
      <c r="AP1859">
        <v>5</v>
      </c>
      <c r="AQ1859">
        <v>0</v>
      </c>
      <c r="AR1859">
        <v>0</v>
      </c>
      <c r="AS1859" t="s">
        <v>58</v>
      </c>
      <c r="AT1859">
        <v>1</v>
      </c>
      <c r="AU1859" t="s">
        <v>63</v>
      </c>
      <c r="AV1859" t="s">
        <v>60</v>
      </c>
      <c r="AW1859">
        <v>1</v>
      </c>
      <c r="AX1859">
        <v>3</v>
      </c>
      <c r="AY1859">
        <v>0</v>
      </c>
      <c r="AZ1859">
        <v>0</v>
      </c>
      <c r="BA1859">
        <v>100</v>
      </c>
      <c r="BB1859">
        <v>100</v>
      </c>
      <c r="BC1859">
        <v>100</v>
      </c>
      <c r="BD1859">
        <v>100</v>
      </c>
      <c r="BE1859">
        <v>1</v>
      </c>
      <c r="BF1859">
        <v>15000</v>
      </c>
      <c r="BG1859">
        <v>1000</v>
      </c>
      <c r="BH1859" s="6">
        <f>Grandview_Inventory[[#This Row],[land_extract]]*Lookups!$B$3</f>
        <v>47528.228511015397</v>
      </c>
      <c r="BI1859" s="6">
        <f>IF(Grandview_Inventory[[#This Row],[bldg_style]]="",0,Lookups!$B$2)</f>
        <v>155833.95000000001</v>
      </c>
      <c r="BJ1859" s="6">
        <f>_xlfn.IFNA(VLOOKUP(Grandview_Inventory[[#This Row],[quality]],Lookups!$H$2:$J$14,3,FALSE),0)</f>
        <v>2251</v>
      </c>
      <c r="BK1859" s="6">
        <f>_xlfn.IFNA(VLOOKUP(Grandview_Inventory[[#This Row],[condition]],Lookups!$H$17:$J$24,3,FALSE),0)</f>
        <v>-4503</v>
      </c>
      <c r="BL1859" s="6">
        <f>Grandview_Inventory[[#This Row],[Eff_Age]]*Lookups!$B$14</f>
        <v>-6696.6647999999996</v>
      </c>
      <c r="BM1859" s="6">
        <f>Grandview_Inventory[[#This Row],[living_area]]*Lookups!$B$15</f>
        <v>59386.572056000005</v>
      </c>
      <c r="BN1859" s="6">
        <f>Grandview_Inventory[[#This Row],[Fin BSMT]]*Lookups!$B$16</f>
        <v>0</v>
      </c>
      <c r="BO1859" s="6">
        <f>(Grandview_Inventory[[#This Row],[att_gar]]+Grandview_Inventory[[#This Row],[bltin_gar]])*Lookups!$B$17</f>
        <v>24505.72236</v>
      </c>
      <c r="BP1859" s="6">
        <f>Grandview_Inventory[[#This Row],[Plumbing Fixtures]]*Lookups!$B$18</f>
        <v>10052.209000000001</v>
      </c>
      <c r="BQ1859" s="6">
        <f>Grandview_Inventory[[#This Row],[detatched_value]]*Lookups!$B$19</f>
        <v>0</v>
      </c>
      <c r="BR1859" s="6">
        <f>SUM(Grandview_Inventory[[#This Row],[Intercept]:[det_value]])*Grandview_Inventory[[#This Row],[res_pct]]</f>
        <v>240829.78861600001</v>
      </c>
      <c r="BS1859" s="6">
        <f>Grandview_Inventory[[#This Row],[land_value]]</f>
        <v>47528.228511015397</v>
      </c>
      <c r="BT1859" s="4">
        <f>_xlfn.IFNA(VLOOKUP(Grandview_Inventory[[#This Row],[quality]],Lookups!$A$26:$C$33,3,FALSE),1)</f>
        <v>0.98763855981004833</v>
      </c>
      <c r="BU1859" s="4">
        <f>_xlfn.IFNA(VLOOKUP(Grandview_Inventory[[#This Row],[condition]],Lookups!$A$37:$C$44,3,FALSE),1)</f>
        <v>0.96469275950863709</v>
      </c>
      <c r="BV1859" s="4">
        <f>IF(Grandview_Inventory[[#This Row],[bldg_style]]="",1,_xlfn.IFNA(VLOOKUP(Grandview_Inventory[[#This Row],[decade]],Lookups!$F$29:$H$43,3,FALSE),1))</f>
        <v>0.98397821291089549</v>
      </c>
      <c r="BW1859" s="4">
        <f>_xlfn.IFNA(VLOOKUP(Grandview_Inventory[[#This Row],[living_area_range]],Lookups!$F$47:$H$56,3,FALSE),1)</f>
        <v>0.94306777142782894</v>
      </c>
      <c r="BX1859" s="4">
        <f>AVERAGE(Grandview_Inventory[[#This Row],[qual_adj]:[size_adj]])</f>
        <v>0.96984432591435243</v>
      </c>
      <c r="BY1859" s="6">
        <f>IF(Grandview_Inventory[[#This Row],[pre_res]]&lt;0,0,Grandview_Inventory[[#This Row],[pre_res]]*Grandview_Inventory[[#This Row],[overall_adj]])</f>
        <v>233567.40400038051</v>
      </c>
      <c r="BZ1859" s="6">
        <f>(Grandview_Inventory[[#This Row],[sum_land]]-IF(Grandview_Inventory[[#This Row],[no_utilities]]=1,12000,0))/IF(Grandview_Inventory[[#This Row],[unbuildable]]=1,2,1)</f>
        <v>47528.228511015397</v>
      </c>
      <c r="CA185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59">
        <f>ROUND(Grandview_Inventory[[#This Row],[det_value]]*Lookups!$M$28,-2)</f>
        <v>0</v>
      </c>
      <c r="CC1859">
        <f>IF(ROUND(Grandview_Inventory[[#This Row],[adj_res]]*Lookups!$M$28,-2)&lt;Grandview_Inventory[[#This Row],[min_res]],Grandview_Inventory[[#This Row],[min_res]],ROUND(Grandview_Inventory[[#This Row],[adj_res]]*Lookups!$M$28,-2))</f>
        <v>221900</v>
      </c>
      <c r="CD1859">
        <f>Grandview_Inventory[[#This Row],[final_det]]+Grandview_Inventory[[#This Row],[final_res]]</f>
        <v>221900</v>
      </c>
      <c r="CE1859">
        <f>Grandview_Inventory[[#This Row],[final_land]]+Grandview_Inventory[[#This Row],[final_imp]]+Grandview_Inventory[[#This Row],[crop_value]]</f>
        <v>267100</v>
      </c>
      <c r="CG1859" t="str">
        <f t="shared" ref="CG1859:CG1922" si="29">"update valuation set market_land ="&amp;CA1859&amp;", market_bldg="&amp;CD1859&amp;", market_total ="&amp;CE1859&amp;", market_mdno ="&amp;$CG$1&amp;", market_date ='"&amp;TEXT($CH$1,"m/d/yyyy")&amp;"' where link_id = (select link_id from parcel where parcel_year = '2024' and parcel_id = '"&amp;A1859&amp;"');"</f>
        <v>update valuation set market_land =45200, market_bldg=221900, market_total =267100, market_mdno =401, market_date ='9/10/2023' where link_id = (select link_id from parcel where parcel_year = '2024' and parcel_id = '23092334443');</v>
      </c>
    </row>
    <row r="1860" spans="1:85" x14ac:dyDescent="0.25">
      <c r="A1860">
        <v>23092334444</v>
      </c>
      <c r="B1860">
        <v>0.19</v>
      </c>
      <c r="C1860">
        <v>8067</v>
      </c>
      <c r="D1860" t="s">
        <v>129</v>
      </c>
      <c r="E1860" t="s">
        <v>53</v>
      </c>
      <c r="F1860" t="s">
        <v>53</v>
      </c>
      <c r="G1860">
        <v>4</v>
      </c>
      <c r="H1860" t="s">
        <v>54</v>
      </c>
      <c r="I1860">
        <v>144300</v>
      </c>
      <c r="J1860">
        <v>39000</v>
      </c>
      <c r="K1860">
        <v>0.19</v>
      </c>
      <c r="L186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60">
        <v>0</v>
      </c>
      <c r="N1860">
        <v>0</v>
      </c>
      <c r="O1860">
        <v>0</v>
      </c>
      <c r="P1860">
        <v>13398.7528</v>
      </c>
      <c r="Q1860">
        <v>63903</v>
      </c>
      <c r="R1860">
        <f>(Grandview_Inventory[[#This Row],[ln_acres]]*Grandview_Inventory[[#This Row],[coeff]])+Grandview_Inventory[[#This Row],[const]]</f>
        <v>41651.273092551026</v>
      </c>
      <c r="S1860" t="s">
        <v>61</v>
      </c>
      <c r="T1860">
        <v>1</v>
      </c>
      <c r="U1860" t="s">
        <v>65</v>
      </c>
      <c r="V1860" t="s">
        <v>69</v>
      </c>
      <c r="W1860">
        <v>0</v>
      </c>
      <c r="X1860">
        <v>0</v>
      </c>
      <c r="Y1860">
        <v>28</v>
      </c>
      <c r="Z1860">
        <v>28</v>
      </c>
      <c r="AA1860">
        <v>30</v>
      </c>
      <c r="AB1860">
        <v>1500</v>
      </c>
      <c r="AC1860">
        <v>1232</v>
      </c>
      <c r="AD1860">
        <v>1232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112</v>
      </c>
      <c r="AO1860">
        <v>0</v>
      </c>
      <c r="AP1860">
        <v>5</v>
      </c>
      <c r="AQ1860">
        <v>0</v>
      </c>
      <c r="AR1860">
        <v>0</v>
      </c>
      <c r="AS1860" t="s">
        <v>58</v>
      </c>
      <c r="AT1860">
        <v>1</v>
      </c>
      <c r="AU1860" t="s">
        <v>59</v>
      </c>
      <c r="AV1860" t="s">
        <v>60</v>
      </c>
      <c r="AW1860">
        <v>1</v>
      </c>
      <c r="AX1860">
        <v>2</v>
      </c>
      <c r="AY1860">
        <v>0</v>
      </c>
      <c r="AZ1860">
        <v>0</v>
      </c>
      <c r="BA1860">
        <v>100</v>
      </c>
      <c r="BB1860">
        <v>100</v>
      </c>
      <c r="BC1860">
        <v>100</v>
      </c>
      <c r="BD1860">
        <v>100</v>
      </c>
      <c r="BE1860">
        <v>1</v>
      </c>
      <c r="BF1860">
        <v>15000</v>
      </c>
      <c r="BG1860">
        <v>1000</v>
      </c>
      <c r="BH1860" s="6">
        <f>Grandview_Inventory[[#This Row],[land_extract]]*Lookups!$B$3</f>
        <v>48369.510983942157</v>
      </c>
      <c r="BI1860" s="6">
        <f>IF(Grandview_Inventory[[#This Row],[bldg_style]]="",0,Lookups!$B$2)</f>
        <v>155833.95000000001</v>
      </c>
      <c r="BJ1860" s="6">
        <f>_xlfn.IFNA(VLOOKUP(Grandview_Inventory[[#This Row],[quality]],Lookups!$H$2:$J$14,3,FALSE),0)</f>
        <v>2251</v>
      </c>
      <c r="BK1860" s="6">
        <f>_xlfn.IFNA(VLOOKUP(Grandview_Inventory[[#This Row],[condition]],Lookups!$H$17:$J$24,3,FALSE),0)</f>
        <v>-4503</v>
      </c>
      <c r="BL1860" s="6">
        <f>Grandview_Inventory[[#This Row],[Eff_Age]]*Lookups!$B$14</f>
        <v>-6696.6647999999996</v>
      </c>
      <c r="BM1860" s="6">
        <f>Grandview_Inventory[[#This Row],[living_area]]*Lookups!$B$15</f>
        <v>76853.210896000004</v>
      </c>
      <c r="BN1860" s="6">
        <f>Grandview_Inventory[[#This Row],[Fin BSMT]]*Lookups!$B$16</f>
        <v>0</v>
      </c>
      <c r="BO1860" s="6">
        <f>(Grandview_Inventory[[#This Row],[att_gar]]+Grandview_Inventory[[#This Row],[bltin_gar]])*Lookups!$B$17</f>
        <v>0</v>
      </c>
      <c r="BP1860" s="6">
        <f>Grandview_Inventory[[#This Row],[Plumbing Fixtures]]*Lookups!$B$18</f>
        <v>10052.209000000001</v>
      </c>
      <c r="BQ1860" s="6">
        <f>Grandview_Inventory[[#This Row],[detatched_value]]*Lookups!$B$19</f>
        <v>0</v>
      </c>
      <c r="BR1860" s="6">
        <f>SUM(Grandview_Inventory[[#This Row],[Intercept]:[det_value]])*Grandview_Inventory[[#This Row],[res_pct]]</f>
        <v>233790.70509600002</v>
      </c>
      <c r="BS1860" s="6">
        <f>Grandview_Inventory[[#This Row],[land_value]]</f>
        <v>48369.510983942157</v>
      </c>
      <c r="BT1860" s="4">
        <f>_xlfn.IFNA(VLOOKUP(Grandview_Inventory[[#This Row],[quality]],Lookups!$A$26:$C$33,3,FALSE),1)</f>
        <v>0.98763855981004833</v>
      </c>
      <c r="BU1860" s="4">
        <f>_xlfn.IFNA(VLOOKUP(Grandview_Inventory[[#This Row],[condition]],Lookups!$A$37:$C$44,3,FALSE),1)</f>
        <v>0.96469275950863709</v>
      </c>
      <c r="BV1860" s="4">
        <f>IF(Grandview_Inventory[[#This Row],[bldg_style]]="",1,_xlfn.IFNA(VLOOKUP(Grandview_Inventory[[#This Row],[decade]],Lookups!$F$29:$H$43,3,FALSE),1))</f>
        <v>0.98397821291089549</v>
      </c>
      <c r="BW1860" s="4">
        <f>_xlfn.IFNA(VLOOKUP(Grandview_Inventory[[#This Row],[living_area_range]],Lookups!$F$47:$H$56,3,FALSE),1)</f>
        <v>0.96135087979789358</v>
      </c>
      <c r="BX1860" s="4">
        <f>AVERAGE(Grandview_Inventory[[#This Row],[qual_adj]:[size_adj]])</f>
        <v>0.97441510300686862</v>
      </c>
      <c r="BY1860" s="6">
        <f>IF(Grandview_Inventory[[#This Row],[pre_res]]&lt;0,0,Grandview_Inventory[[#This Row],[pre_res]]*Grandview_Inventory[[#This Row],[overall_adj]])</f>
        <v>227809.1939881673</v>
      </c>
      <c r="BZ1860" s="6">
        <f>(Grandview_Inventory[[#This Row],[sum_land]]-IF(Grandview_Inventory[[#This Row],[no_utilities]]=1,12000,0))/IF(Grandview_Inventory[[#This Row],[unbuildable]]=1,2,1)</f>
        <v>48369.510983942157</v>
      </c>
      <c r="CA186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60">
        <f>ROUND(Grandview_Inventory[[#This Row],[det_value]]*Lookups!$M$28,-2)</f>
        <v>0</v>
      </c>
      <c r="CC1860">
        <f>IF(ROUND(Grandview_Inventory[[#This Row],[adj_res]]*Lookups!$M$28,-2)&lt;Grandview_Inventory[[#This Row],[min_res]],Grandview_Inventory[[#This Row],[min_res]],ROUND(Grandview_Inventory[[#This Row],[adj_res]]*Lookups!$M$28,-2))</f>
        <v>216400</v>
      </c>
      <c r="CD1860">
        <f>Grandview_Inventory[[#This Row],[final_det]]+Grandview_Inventory[[#This Row],[final_res]]</f>
        <v>216400</v>
      </c>
      <c r="CE1860">
        <f>Grandview_Inventory[[#This Row],[final_land]]+Grandview_Inventory[[#This Row],[final_imp]]+Grandview_Inventory[[#This Row],[crop_value]]</f>
        <v>262400</v>
      </c>
      <c r="CG1860" t="str">
        <f t="shared" si="29"/>
        <v>update valuation set market_land =46000, market_bldg=216400, market_total =262400, market_mdno =401, market_date ='9/10/2023' where link_id = (select link_id from parcel where parcel_year = '2024' and parcel_id = '23092334444');</v>
      </c>
    </row>
    <row r="1861" spans="1:85" x14ac:dyDescent="0.25">
      <c r="A1861">
        <v>23092334446</v>
      </c>
      <c r="B1861">
        <v>0.18</v>
      </c>
      <c r="C1861">
        <v>8004</v>
      </c>
      <c r="D1861" t="s">
        <v>129</v>
      </c>
      <c r="E1861" t="s">
        <v>53</v>
      </c>
      <c r="F1861" t="s">
        <v>53</v>
      </c>
      <c r="G1861">
        <v>4</v>
      </c>
      <c r="H1861" t="s">
        <v>54</v>
      </c>
      <c r="I1861">
        <v>235300</v>
      </c>
      <c r="J1861">
        <v>39000</v>
      </c>
      <c r="K1861">
        <v>0.18</v>
      </c>
      <c r="L186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61">
        <v>0</v>
      </c>
      <c r="N1861">
        <v>0</v>
      </c>
      <c r="O1861">
        <v>0</v>
      </c>
      <c r="P1861">
        <v>13398.7528</v>
      </c>
      <c r="Q1861">
        <v>63903</v>
      </c>
      <c r="R1861">
        <f>(Grandview_Inventory[[#This Row],[ln_acres]]*Grandview_Inventory[[#This Row],[coeff]])+Grandview_Inventory[[#This Row],[const]]</f>
        <v>40926.839760167699</v>
      </c>
      <c r="S1861" t="s">
        <v>61</v>
      </c>
      <c r="T1861">
        <v>1</v>
      </c>
      <c r="U1861" t="s">
        <v>64</v>
      </c>
      <c r="V1861" t="s">
        <v>67</v>
      </c>
      <c r="W1861">
        <v>0</v>
      </c>
      <c r="X1861">
        <v>0</v>
      </c>
      <c r="Y1861">
        <v>27</v>
      </c>
      <c r="Z1861">
        <v>27</v>
      </c>
      <c r="AA1861">
        <v>30</v>
      </c>
      <c r="AB1861">
        <v>1500</v>
      </c>
      <c r="AC1861">
        <v>1251</v>
      </c>
      <c r="AD1861">
        <v>1251</v>
      </c>
      <c r="AE1861">
        <v>0</v>
      </c>
      <c r="AF1861">
        <v>0</v>
      </c>
      <c r="AG1861">
        <v>0</v>
      </c>
      <c r="AH1861">
        <v>0</v>
      </c>
      <c r="AI1861">
        <v>400</v>
      </c>
      <c r="AJ1861">
        <v>0</v>
      </c>
      <c r="AK1861">
        <v>0</v>
      </c>
      <c r="AL1861">
        <v>0</v>
      </c>
      <c r="AM1861">
        <v>96</v>
      </c>
      <c r="AN1861">
        <v>96</v>
      </c>
      <c r="AO1861">
        <v>0</v>
      </c>
      <c r="AP1861">
        <v>11</v>
      </c>
      <c r="AQ1861">
        <v>0</v>
      </c>
      <c r="AR1861">
        <v>0</v>
      </c>
      <c r="AS1861" t="s">
        <v>58</v>
      </c>
      <c r="AT1861">
        <v>1</v>
      </c>
      <c r="AU1861" t="s">
        <v>63</v>
      </c>
      <c r="AV1861" t="s">
        <v>60</v>
      </c>
      <c r="AW1861">
        <v>1</v>
      </c>
      <c r="AX1861">
        <v>3</v>
      </c>
      <c r="AY1861">
        <v>0</v>
      </c>
      <c r="AZ1861">
        <v>0</v>
      </c>
      <c r="BA1861">
        <v>100</v>
      </c>
      <c r="BB1861">
        <v>100</v>
      </c>
      <c r="BC1861">
        <v>100</v>
      </c>
      <c r="BD1861">
        <v>100</v>
      </c>
      <c r="BE1861">
        <v>1</v>
      </c>
      <c r="BF1861">
        <v>15000</v>
      </c>
      <c r="BG1861">
        <v>1000</v>
      </c>
      <c r="BH1861" s="6">
        <f>Grandview_Inventory[[#This Row],[land_extract]]*Lookups!$B$3</f>
        <v>47528.228511015397</v>
      </c>
      <c r="BI1861" s="6">
        <f>IF(Grandview_Inventory[[#This Row],[bldg_style]]="",0,Lookups!$B$2)</f>
        <v>155833.95000000001</v>
      </c>
      <c r="BJ1861" s="6">
        <f>_xlfn.IFNA(VLOOKUP(Grandview_Inventory[[#This Row],[quality]],Lookups!$H$2:$J$14,3,FALSE),0)</f>
        <v>20768</v>
      </c>
      <c r="BK1861" s="6">
        <f>_xlfn.IFNA(VLOOKUP(Grandview_Inventory[[#This Row],[condition]],Lookups!$H$17:$J$24,3,FALSE),0)</f>
        <v>22342</v>
      </c>
      <c r="BL1861" s="6">
        <f>Grandview_Inventory[[#This Row],[Eff_Age]]*Lookups!$B$14</f>
        <v>-6457.4982</v>
      </c>
      <c r="BM1861" s="6">
        <f>Grandview_Inventory[[#This Row],[living_area]]*Lookups!$B$15</f>
        <v>78038.447102999999</v>
      </c>
      <c r="BN1861" s="6">
        <f>Grandview_Inventory[[#This Row],[Fin BSMT]]*Lookups!$B$16</f>
        <v>0</v>
      </c>
      <c r="BO1861" s="6">
        <f>(Grandview_Inventory[[#This Row],[att_gar]]+Grandview_Inventory[[#This Row],[bltin_gar]])*Lookups!$B$17</f>
        <v>35008.174800000001</v>
      </c>
      <c r="BP1861" s="6">
        <f>Grandview_Inventory[[#This Row],[Plumbing Fixtures]]*Lookups!$B$18</f>
        <v>22114.859800000002</v>
      </c>
      <c r="BQ1861" s="6">
        <f>Grandview_Inventory[[#This Row],[detatched_value]]*Lookups!$B$19</f>
        <v>0</v>
      </c>
      <c r="BR1861" s="6">
        <f>SUM(Grandview_Inventory[[#This Row],[Intercept]:[det_value]])*Grandview_Inventory[[#This Row],[res_pct]]</f>
        <v>327647.93350299995</v>
      </c>
      <c r="BS1861" s="6">
        <f>Grandview_Inventory[[#This Row],[land_value]]</f>
        <v>47528.228511015397</v>
      </c>
      <c r="BT1861" s="4">
        <f>_xlfn.IFNA(VLOOKUP(Grandview_Inventory[[#This Row],[quality]],Lookups!$A$26:$C$33,3,FALSE),1)</f>
        <v>0.94960540378902636</v>
      </c>
      <c r="BU1861" s="4">
        <f>_xlfn.IFNA(VLOOKUP(Grandview_Inventory[[#This Row],[condition]],Lookups!$A$37:$C$44,3,FALSE),1)</f>
        <v>0.97383723671140243</v>
      </c>
      <c r="BV1861" s="4">
        <f>IF(Grandview_Inventory[[#This Row],[bldg_style]]="",1,_xlfn.IFNA(VLOOKUP(Grandview_Inventory[[#This Row],[decade]],Lookups!$F$29:$H$43,3,FALSE),1))</f>
        <v>0.98397821291089549</v>
      </c>
      <c r="BW1861" s="4">
        <f>_xlfn.IFNA(VLOOKUP(Grandview_Inventory[[#This Row],[living_area_range]],Lookups!$F$47:$H$56,3,FALSE),1)</f>
        <v>0.96135087979789358</v>
      </c>
      <c r="BX1861" s="4">
        <f>AVERAGE(Grandview_Inventory[[#This Row],[qual_adj]:[size_adj]])</f>
        <v>0.96719293330230449</v>
      </c>
      <c r="BY1861" s="6">
        <f>IF(Grandview_Inventory[[#This Row],[pre_res]]&lt;0,0,Grandview_Inventory[[#This Row],[pre_res]]*Grandview_Inventory[[#This Row],[overall_adj]])</f>
        <v>316898.76589520491</v>
      </c>
      <c r="BZ1861" s="6">
        <f>(Grandview_Inventory[[#This Row],[sum_land]]-IF(Grandview_Inventory[[#This Row],[no_utilities]]=1,12000,0))/IF(Grandview_Inventory[[#This Row],[unbuildable]]=1,2,1)</f>
        <v>47528.228511015397</v>
      </c>
      <c r="CA186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61">
        <f>ROUND(Grandview_Inventory[[#This Row],[det_value]]*Lookups!$M$28,-2)</f>
        <v>0</v>
      </c>
      <c r="CC1861">
        <f>IF(ROUND(Grandview_Inventory[[#This Row],[adj_res]]*Lookups!$M$28,-2)&lt;Grandview_Inventory[[#This Row],[min_res]],Grandview_Inventory[[#This Row],[min_res]],ROUND(Grandview_Inventory[[#This Row],[adj_res]]*Lookups!$M$28,-2))</f>
        <v>301100</v>
      </c>
      <c r="CD1861">
        <f>Grandview_Inventory[[#This Row],[final_det]]+Grandview_Inventory[[#This Row],[final_res]]</f>
        <v>301100</v>
      </c>
      <c r="CE1861">
        <f>Grandview_Inventory[[#This Row],[final_land]]+Grandview_Inventory[[#This Row],[final_imp]]+Grandview_Inventory[[#This Row],[crop_value]]</f>
        <v>346300</v>
      </c>
      <c r="CG1861" t="str">
        <f t="shared" si="29"/>
        <v>update valuation set market_land =45200, market_bldg=301100, market_total =346300, market_mdno =401, market_date ='9/10/2023' where link_id = (select link_id from parcel where parcel_year = '2024' and parcel_id = '23092334446');</v>
      </c>
    </row>
    <row r="1862" spans="1:85" x14ac:dyDescent="0.25">
      <c r="A1862">
        <v>23092334447</v>
      </c>
      <c r="B1862">
        <v>0.19</v>
      </c>
      <c r="C1862">
        <v>8081</v>
      </c>
      <c r="D1862" t="s">
        <v>129</v>
      </c>
      <c r="E1862" t="s">
        <v>53</v>
      </c>
      <c r="F1862" t="s">
        <v>53</v>
      </c>
      <c r="G1862">
        <v>4</v>
      </c>
      <c r="H1862" t="s">
        <v>54</v>
      </c>
      <c r="I1862">
        <v>179600</v>
      </c>
      <c r="J1862">
        <v>39000</v>
      </c>
      <c r="K1862">
        <v>0.19</v>
      </c>
      <c r="L186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62">
        <v>0</v>
      </c>
      <c r="N1862">
        <v>0</v>
      </c>
      <c r="O1862">
        <v>0</v>
      </c>
      <c r="P1862">
        <v>13398.7528</v>
      </c>
      <c r="Q1862">
        <v>63903</v>
      </c>
      <c r="R1862">
        <f>(Grandview_Inventory[[#This Row],[ln_acres]]*Grandview_Inventory[[#This Row],[coeff]])+Grandview_Inventory[[#This Row],[const]]</f>
        <v>41651.273092551026</v>
      </c>
      <c r="S1862" t="s">
        <v>61</v>
      </c>
      <c r="T1862">
        <v>1</v>
      </c>
      <c r="U1862" t="s">
        <v>62</v>
      </c>
      <c r="V1862" t="s">
        <v>69</v>
      </c>
      <c r="W1862">
        <v>0</v>
      </c>
      <c r="X1862">
        <v>0</v>
      </c>
      <c r="Y1862">
        <v>28</v>
      </c>
      <c r="Z1862">
        <v>28</v>
      </c>
      <c r="AA1862">
        <v>30</v>
      </c>
      <c r="AB1862">
        <v>1500</v>
      </c>
      <c r="AC1862">
        <v>1460</v>
      </c>
      <c r="AD1862">
        <v>1460</v>
      </c>
      <c r="AE1862">
        <v>0</v>
      </c>
      <c r="AF1862">
        <v>0</v>
      </c>
      <c r="AG1862">
        <v>0</v>
      </c>
      <c r="AH1862">
        <v>0</v>
      </c>
      <c r="AI1862">
        <v>280</v>
      </c>
      <c r="AJ1862">
        <v>0</v>
      </c>
      <c r="AK1862">
        <v>0</v>
      </c>
      <c r="AL1862">
        <v>0</v>
      </c>
      <c r="AM1862">
        <v>320</v>
      </c>
      <c r="AN1862">
        <v>80</v>
      </c>
      <c r="AO1862">
        <v>0</v>
      </c>
      <c r="AP1862">
        <v>9</v>
      </c>
      <c r="AQ1862">
        <v>0</v>
      </c>
      <c r="AR1862">
        <v>0</v>
      </c>
      <c r="AS1862" t="s">
        <v>58</v>
      </c>
      <c r="AT1862">
        <v>1</v>
      </c>
      <c r="AU1862" t="s">
        <v>59</v>
      </c>
      <c r="AV1862" t="s">
        <v>60</v>
      </c>
      <c r="AW1862">
        <v>1</v>
      </c>
      <c r="AX1862">
        <v>3</v>
      </c>
      <c r="AY1862">
        <v>0</v>
      </c>
      <c r="AZ1862">
        <v>0</v>
      </c>
      <c r="BA1862">
        <v>100</v>
      </c>
      <c r="BB1862">
        <v>100</v>
      </c>
      <c r="BC1862">
        <v>100</v>
      </c>
      <c r="BD1862">
        <v>100</v>
      </c>
      <c r="BE1862">
        <v>1</v>
      </c>
      <c r="BF1862">
        <v>15000</v>
      </c>
      <c r="BG1862">
        <v>1000</v>
      </c>
      <c r="BH1862" s="6">
        <f>Grandview_Inventory[[#This Row],[land_extract]]*Lookups!$B$3</f>
        <v>48369.510983942157</v>
      </c>
      <c r="BI1862" s="6">
        <f>IF(Grandview_Inventory[[#This Row],[bldg_style]]="",0,Lookups!$B$2)</f>
        <v>155833.95000000001</v>
      </c>
      <c r="BJ1862" s="6">
        <f>_xlfn.IFNA(VLOOKUP(Grandview_Inventory[[#This Row],[quality]],Lookups!$H$2:$J$14,3,FALSE),0)</f>
        <v>9808</v>
      </c>
      <c r="BK1862" s="6">
        <f>_xlfn.IFNA(VLOOKUP(Grandview_Inventory[[#This Row],[condition]],Lookups!$H$17:$J$24,3,FALSE),0)</f>
        <v>-4503</v>
      </c>
      <c r="BL1862" s="6">
        <f>Grandview_Inventory[[#This Row],[Eff_Age]]*Lookups!$B$14</f>
        <v>-6696.6647999999996</v>
      </c>
      <c r="BM1862" s="6">
        <f>Grandview_Inventory[[#This Row],[living_area]]*Lookups!$B$15</f>
        <v>91076.045379999996</v>
      </c>
      <c r="BN1862" s="6">
        <f>Grandview_Inventory[[#This Row],[Fin BSMT]]*Lookups!$B$16</f>
        <v>0</v>
      </c>
      <c r="BO1862" s="6">
        <f>(Grandview_Inventory[[#This Row],[att_gar]]+Grandview_Inventory[[#This Row],[bltin_gar]])*Lookups!$B$17</f>
        <v>24505.72236</v>
      </c>
      <c r="BP1862" s="6">
        <f>Grandview_Inventory[[#This Row],[Plumbing Fixtures]]*Lookups!$B$18</f>
        <v>18093.976200000001</v>
      </c>
      <c r="BQ1862" s="6">
        <f>Grandview_Inventory[[#This Row],[detatched_value]]*Lookups!$B$19</f>
        <v>0</v>
      </c>
      <c r="BR1862" s="6">
        <f>SUM(Grandview_Inventory[[#This Row],[Intercept]:[det_value]])*Grandview_Inventory[[#This Row],[res_pct]]</f>
        <v>288118.02914</v>
      </c>
      <c r="BS1862" s="6">
        <f>Grandview_Inventory[[#This Row],[land_value]]</f>
        <v>48369.510983942157</v>
      </c>
      <c r="BT1862" s="4">
        <f>_xlfn.IFNA(VLOOKUP(Grandview_Inventory[[#This Row],[quality]],Lookups!$A$26:$C$33,3,FALSE),1)</f>
        <v>0.94295468617355149</v>
      </c>
      <c r="BU1862" s="4">
        <f>_xlfn.IFNA(VLOOKUP(Grandview_Inventory[[#This Row],[condition]],Lookups!$A$37:$C$44,3,FALSE),1)</f>
        <v>0.96469275950863709</v>
      </c>
      <c r="BV1862" s="4">
        <f>IF(Grandview_Inventory[[#This Row],[bldg_style]]="",1,_xlfn.IFNA(VLOOKUP(Grandview_Inventory[[#This Row],[decade]],Lookups!$F$29:$H$43,3,FALSE),1))</f>
        <v>0.98397821291089549</v>
      </c>
      <c r="BW1862" s="4">
        <f>_xlfn.IFNA(VLOOKUP(Grandview_Inventory[[#This Row],[living_area_range]],Lookups!$F$47:$H$56,3,FALSE),1)</f>
        <v>0.96135087979789358</v>
      </c>
      <c r="BX1862" s="4">
        <f>AVERAGE(Grandview_Inventory[[#This Row],[qual_adj]:[size_adj]])</f>
        <v>0.96324413459774438</v>
      </c>
      <c r="BY1862" s="6">
        <f>IF(Grandview_Inventory[[#This Row],[pre_res]]&lt;0,0,Grandview_Inventory[[#This Row],[pre_res]]*Grandview_Inventory[[#This Row],[overall_adj]])</f>
        <v>277528.00164096698</v>
      </c>
      <c r="BZ1862" s="6">
        <f>(Grandview_Inventory[[#This Row],[sum_land]]-IF(Grandview_Inventory[[#This Row],[no_utilities]]=1,12000,0))/IF(Grandview_Inventory[[#This Row],[unbuildable]]=1,2,1)</f>
        <v>48369.510983942157</v>
      </c>
      <c r="CA186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62">
        <f>ROUND(Grandview_Inventory[[#This Row],[det_value]]*Lookups!$M$28,-2)</f>
        <v>0</v>
      </c>
      <c r="CC1862">
        <f>IF(ROUND(Grandview_Inventory[[#This Row],[adj_res]]*Lookups!$M$28,-2)&lt;Grandview_Inventory[[#This Row],[min_res]],Grandview_Inventory[[#This Row],[min_res]],ROUND(Grandview_Inventory[[#This Row],[adj_res]]*Lookups!$M$28,-2))</f>
        <v>263700</v>
      </c>
      <c r="CD1862">
        <f>Grandview_Inventory[[#This Row],[final_det]]+Grandview_Inventory[[#This Row],[final_res]]</f>
        <v>263700</v>
      </c>
      <c r="CE1862">
        <f>Grandview_Inventory[[#This Row],[final_land]]+Grandview_Inventory[[#This Row],[final_imp]]+Grandview_Inventory[[#This Row],[crop_value]]</f>
        <v>309700</v>
      </c>
      <c r="CG1862" t="str">
        <f t="shared" si="29"/>
        <v>update valuation set market_land =46000, market_bldg=263700, market_total =309700, market_mdno =401, market_date ='9/10/2023' where link_id = (select link_id from parcel where parcel_year = '2024' and parcel_id = '23092334447');</v>
      </c>
    </row>
    <row r="1863" spans="1:85" x14ac:dyDescent="0.25">
      <c r="A1863">
        <v>23092334448</v>
      </c>
      <c r="B1863">
        <v>0.19</v>
      </c>
      <c r="C1863">
        <v>8079</v>
      </c>
      <c r="D1863" t="s">
        <v>129</v>
      </c>
      <c r="E1863" t="s">
        <v>53</v>
      </c>
      <c r="F1863" t="s">
        <v>53</v>
      </c>
      <c r="G1863">
        <v>4</v>
      </c>
      <c r="H1863" t="s">
        <v>54</v>
      </c>
      <c r="I1863">
        <v>226100</v>
      </c>
      <c r="J1863">
        <v>39000</v>
      </c>
      <c r="K1863">
        <v>0.19</v>
      </c>
      <c r="L186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63">
        <v>0</v>
      </c>
      <c r="N1863">
        <v>0</v>
      </c>
      <c r="O1863">
        <v>0</v>
      </c>
      <c r="P1863">
        <v>13398.7528</v>
      </c>
      <c r="Q1863">
        <v>63903</v>
      </c>
      <c r="R1863">
        <f>(Grandview_Inventory[[#This Row],[ln_acres]]*Grandview_Inventory[[#This Row],[coeff]])+Grandview_Inventory[[#This Row],[const]]</f>
        <v>41651.273092551026</v>
      </c>
      <c r="S1863" t="s">
        <v>61</v>
      </c>
      <c r="T1863">
        <v>1</v>
      </c>
      <c r="U1863" t="s">
        <v>62</v>
      </c>
      <c r="V1863" t="s">
        <v>67</v>
      </c>
      <c r="W1863">
        <v>0</v>
      </c>
      <c r="X1863">
        <v>0</v>
      </c>
      <c r="Y1863">
        <v>29</v>
      </c>
      <c r="Z1863">
        <v>29</v>
      </c>
      <c r="AA1863">
        <v>30</v>
      </c>
      <c r="AB1863">
        <v>1500</v>
      </c>
      <c r="AC1863">
        <v>1412</v>
      </c>
      <c r="AD1863">
        <v>1412</v>
      </c>
      <c r="AE1863">
        <v>0</v>
      </c>
      <c r="AF1863">
        <v>0</v>
      </c>
      <c r="AG1863">
        <v>0</v>
      </c>
      <c r="AH1863">
        <v>0</v>
      </c>
      <c r="AI1863">
        <v>400</v>
      </c>
      <c r="AJ1863">
        <v>0</v>
      </c>
      <c r="AK1863">
        <v>0</v>
      </c>
      <c r="AL1863">
        <v>221</v>
      </c>
      <c r="AM1863">
        <v>0</v>
      </c>
      <c r="AN1863">
        <v>176</v>
      </c>
      <c r="AO1863">
        <v>0</v>
      </c>
      <c r="AP1863">
        <v>8</v>
      </c>
      <c r="AQ1863">
        <v>0</v>
      </c>
      <c r="AR1863">
        <v>0</v>
      </c>
      <c r="AS1863" t="s">
        <v>58</v>
      </c>
      <c r="AT1863">
        <v>1</v>
      </c>
      <c r="AU1863" t="s">
        <v>63</v>
      </c>
      <c r="AV1863" t="s">
        <v>60</v>
      </c>
      <c r="AW1863">
        <v>1</v>
      </c>
      <c r="AX1863">
        <v>3</v>
      </c>
      <c r="AY1863">
        <v>0</v>
      </c>
      <c r="AZ1863">
        <v>0</v>
      </c>
      <c r="BA1863">
        <v>100</v>
      </c>
      <c r="BB1863">
        <v>100</v>
      </c>
      <c r="BC1863">
        <v>100</v>
      </c>
      <c r="BD1863">
        <v>100</v>
      </c>
      <c r="BE1863">
        <v>1</v>
      </c>
      <c r="BF1863">
        <v>15000</v>
      </c>
      <c r="BG1863">
        <v>1000</v>
      </c>
      <c r="BH1863" s="6">
        <f>Grandview_Inventory[[#This Row],[land_extract]]*Lookups!$B$3</f>
        <v>48369.510983942157</v>
      </c>
      <c r="BI1863" s="6">
        <f>IF(Grandview_Inventory[[#This Row],[bldg_style]]="",0,Lookups!$B$2)</f>
        <v>155833.95000000001</v>
      </c>
      <c r="BJ1863" s="6">
        <f>_xlfn.IFNA(VLOOKUP(Grandview_Inventory[[#This Row],[quality]],Lookups!$H$2:$J$14,3,FALSE),0)</f>
        <v>9808</v>
      </c>
      <c r="BK1863" s="6">
        <f>_xlfn.IFNA(VLOOKUP(Grandview_Inventory[[#This Row],[condition]],Lookups!$H$17:$J$24,3,FALSE),0)</f>
        <v>22342</v>
      </c>
      <c r="BL1863" s="6">
        <f>Grandview_Inventory[[#This Row],[Eff_Age]]*Lookups!$B$14</f>
        <v>-6935.8314</v>
      </c>
      <c r="BM1863" s="6">
        <f>Grandview_Inventory[[#This Row],[living_area]]*Lookups!$B$15</f>
        <v>88081.764435999998</v>
      </c>
      <c r="BN1863" s="6">
        <f>Grandview_Inventory[[#This Row],[Fin BSMT]]*Lookups!$B$16</f>
        <v>0</v>
      </c>
      <c r="BO1863" s="6">
        <f>(Grandview_Inventory[[#This Row],[att_gar]]+Grandview_Inventory[[#This Row],[bltin_gar]])*Lookups!$B$17</f>
        <v>35008.174800000001</v>
      </c>
      <c r="BP1863" s="6">
        <f>Grandview_Inventory[[#This Row],[Plumbing Fixtures]]*Lookups!$B$18</f>
        <v>16083.5344</v>
      </c>
      <c r="BQ1863" s="6">
        <f>Grandview_Inventory[[#This Row],[detatched_value]]*Lookups!$B$19</f>
        <v>0</v>
      </c>
      <c r="BR1863" s="6">
        <f>SUM(Grandview_Inventory[[#This Row],[Intercept]:[det_value]])*Grandview_Inventory[[#This Row],[res_pct]]</f>
        <v>320221.592236</v>
      </c>
      <c r="BS1863" s="6">
        <f>Grandview_Inventory[[#This Row],[land_value]]</f>
        <v>48369.510983942157</v>
      </c>
      <c r="BT1863" s="4">
        <f>_xlfn.IFNA(VLOOKUP(Grandview_Inventory[[#This Row],[quality]],Lookups!$A$26:$C$33,3,FALSE),1)</f>
        <v>0.94295468617355149</v>
      </c>
      <c r="BU1863" s="4">
        <f>_xlfn.IFNA(VLOOKUP(Grandview_Inventory[[#This Row],[condition]],Lookups!$A$37:$C$44,3,FALSE),1)</f>
        <v>0.97383723671140243</v>
      </c>
      <c r="BV1863" s="4">
        <f>IF(Grandview_Inventory[[#This Row],[bldg_style]]="",1,_xlfn.IFNA(VLOOKUP(Grandview_Inventory[[#This Row],[decade]],Lookups!$F$29:$H$43,3,FALSE),1))</f>
        <v>0.98397821291089549</v>
      </c>
      <c r="BW1863" s="4">
        <f>_xlfn.IFNA(VLOOKUP(Grandview_Inventory[[#This Row],[living_area_range]],Lookups!$F$47:$H$56,3,FALSE),1)</f>
        <v>0.96135087979789358</v>
      </c>
      <c r="BX1863" s="4">
        <f>AVERAGE(Grandview_Inventory[[#This Row],[qual_adj]:[size_adj]])</f>
        <v>0.96553025389843572</v>
      </c>
      <c r="BY1863" s="6">
        <f>IF(Grandview_Inventory[[#This Row],[pre_res]]&lt;0,0,Grandview_Inventory[[#This Row],[pre_res]]*Grandview_Inventory[[#This Row],[overall_adj]])</f>
        <v>309183.63525538641</v>
      </c>
      <c r="BZ1863" s="6">
        <f>(Grandview_Inventory[[#This Row],[sum_land]]-IF(Grandview_Inventory[[#This Row],[no_utilities]]=1,12000,0))/IF(Grandview_Inventory[[#This Row],[unbuildable]]=1,2,1)</f>
        <v>48369.510983942157</v>
      </c>
      <c r="CA186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63">
        <f>ROUND(Grandview_Inventory[[#This Row],[det_value]]*Lookups!$M$28,-2)</f>
        <v>0</v>
      </c>
      <c r="CC1863">
        <f>IF(ROUND(Grandview_Inventory[[#This Row],[adj_res]]*Lookups!$M$28,-2)&lt;Grandview_Inventory[[#This Row],[min_res]],Grandview_Inventory[[#This Row],[min_res]],ROUND(Grandview_Inventory[[#This Row],[adj_res]]*Lookups!$M$28,-2))</f>
        <v>293700</v>
      </c>
      <c r="CD1863">
        <f>Grandview_Inventory[[#This Row],[final_det]]+Grandview_Inventory[[#This Row],[final_res]]</f>
        <v>293700</v>
      </c>
      <c r="CE1863">
        <f>Grandview_Inventory[[#This Row],[final_land]]+Grandview_Inventory[[#This Row],[final_imp]]+Grandview_Inventory[[#This Row],[crop_value]]</f>
        <v>339700</v>
      </c>
      <c r="CG1863" t="str">
        <f t="shared" si="29"/>
        <v>update valuation set market_land =46000, market_bldg=293700, market_total =339700, market_mdno =401, market_date ='9/10/2023' where link_id = (select link_id from parcel where parcel_year = '2024' and parcel_id = '23092334448');</v>
      </c>
    </row>
    <row r="1864" spans="1:85" x14ac:dyDescent="0.25">
      <c r="A1864">
        <v>23092334449</v>
      </c>
      <c r="B1864">
        <v>0.19</v>
      </c>
      <c r="C1864">
        <v>8078</v>
      </c>
      <c r="D1864" t="s">
        <v>129</v>
      </c>
      <c r="E1864" t="s">
        <v>53</v>
      </c>
      <c r="F1864" t="s">
        <v>53</v>
      </c>
      <c r="G1864">
        <v>4</v>
      </c>
      <c r="H1864" t="s">
        <v>54</v>
      </c>
      <c r="I1864">
        <v>231100</v>
      </c>
      <c r="J1864">
        <v>39000</v>
      </c>
      <c r="K1864">
        <v>0.19</v>
      </c>
      <c r="L186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64">
        <v>0</v>
      </c>
      <c r="N1864">
        <v>0</v>
      </c>
      <c r="O1864">
        <v>0</v>
      </c>
      <c r="P1864">
        <v>13398.7528</v>
      </c>
      <c r="Q1864">
        <v>63903</v>
      </c>
      <c r="R1864">
        <f>(Grandview_Inventory[[#This Row],[ln_acres]]*Grandview_Inventory[[#This Row],[coeff]])+Grandview_Inventory[[#This Row],[const]]</f>
        <v>41651.273092551026</v>
      </c>
      <c r="S1864" t="s">
        <v>61</v>
      </c>
      <c r="T1864">
        <v>1</v>
      </c>
      <c r="U1864" t="s">
        <v>62</v>
      </c>
      <c r="V1864" t="s">
        <v>67</v>
      </c>
      <c r="W1864">
        <v>0</v>
      </c>
      <c r="X1864">
        <v>0</v>
      </c>
      <c r="Y1864">
        <v>29</v>
      </c>
      <c r="Z1864">
        <v>29</v>
      </c>
      <c r="AA1864">
        <v>30</v>
      </c>
      <c r="AB1864">
        <v>1500</v>
      </c>
      <c r="AC1864">
        <v>1338</v>
      </c>
      <c r="AD1864">
        <v>1338</v>
      </c>
      <c r="AE1864">
        <v>0</v>
      </c>
      <c r="AF1864">
        <v>0</v>
      </c>
      <c r="AG1864">
        <v>0</v>
      </c>
      <c r="AH1864">
        <v>0</v>
      </c>
      <c r="AI1864">
        <v>440</v>
      </c>
      <c r="AJ1864">
        <v>0</v>
      </c>
      <c r="AK1864">
        <v>0</v>
      </c>
      <c r="AL1864">
        <v>238</v>
      </c>
      <c r="AM1864">
        <v>0</v>
      </c>
      <c r="AN1864">
        <v>102</v>
      </c>
      <c r="AO1864">
        <v>0</v>
      </c>
      <c r="AP1864">
        <v>8</v>
      </c>
      <c r="AQ1864">
        <v>0</v>
      </c>
      <c r="AR1864">
        <v>0</v>
      </c>
      <c r="AS1864" t="s">
        <v>58</v>
      </c>
      <c r="AT1864">
        <v>1</v>
      </c>
      <c r="AU1864" t="s">
        <v>63</v>
      </c>
      <c r="AV1864" t="s">
        <v>60</v>
      </c>
      <c r="AW1864">
        <v>1</v>
      </c>
      <c r="AX1864">
        <v>3</v>
      </c>
      <c r="AY1864">
        <v>0</v>
      </c>
      <c r="AZ1864">
        <v>5800</v>
      </c>
      <c r="BA1864">
        <v>100</v>
      </c>
      <c r="BB1864">
        <v>100</v>
      </c>
      <c r="BC1864">
        <v>100</v>
      </c>
      <c r="BD1864">
        <v>100</v>
      </c>
      <c r="BE1864">
        <v>1</v>
      </c>
      <c r="BF1864">
        <v>15000</v>
      </c>
      <c r="BG1864">
        <v>1000</v>
      </c>
      <c r="BH1864" s="6">
        <f>Grandview_Inventory[[#This Row],[land_extract]]*Lookups!$B$3</f>
        <v>48369.510983942157</v>
      </c>
      <c r="BI1864" s="6">
        <f>IF(Grandview_Inventory[[#This Row],[bldg_style]]="",0,Lookups!$B$2)</f>
        <v>155833.95000000001</v>
      </c>
      <c r="BJ1864" s="6">
        <f>_xlfn.IFNA(VLOOKUP(Grandview_Inventory[[#This Row],[quality]],Lookups!$H$2:$J$14,3,FALSE),0)</f>
        <v>9808</v>
      </c>
      <c r="BK1864" s="6">
        <f>_xlfn.IFNA(VLOOKUP(Grandview_Inventory[[#This Row],[condition]],Lookups!$H$17:$J$24,3,FALSE),0)</f>
        <v>22342</v>
      </c>
      <c r="BL1864" s="6">
        <f>Grandview_Inventory[[#This Row],[Eff_Age]]*Lookups!$B$14</f>
        <v>-6935.8314</v>
      </c>
      <c r="BM1864" s="6">
        <f>Grandview_Inventory[[#This Row],[living_area]]*Lookups!$B$15</f>
        <v>83465.581313999995</v>
      </c>
      <c r="BN1864" s="6">
        <f>Grandview_Inventory[[#This Row],[Fin BSMT]]*Lookups!$B$16</f>
        <v>0</v>
      </c>
      <c r="BO1864" s="6">
        <f>(Grandview_Inventory[[#This Row],[att_gar]]+Grandview_Inventory[[#This Row],[bltin_gar]])*Lookups!$B$17</f>
        <v>38508.992279999999</v>
      </c>
      <c r="BP1864" s="6">
        <f>Grandview_Inventory[[#This Row],[Plumbing Fixtures]]*Lookups!$B$18</f>
        <v>16083.5344</v>
      </c>
      <c r="BQ1864" s="6">
        <f>Grandview_Inventory[[#This Row],[detatched_value]]*Lookups!$B$19</f>
        <v>4911.46958</v>
      </c>
      <c r="BR1864" s="6">
        <f>SUM(Grandview_Inventory[[#This Row],[Intercept]:[det_value]])*Grandview_Inventory[[#This Row],[res_pct]]</f>
        <v>324017.69617399998</v>
      </c>
      <c r="BS1864" s="6">
        <f>Grandview_Inventory[[#This Row],[land_value]]</f>
        <v>48369.510983942157</v>
      </c>
      <c r="BT1864" s="4">
        <f>_xlfn.IFNA(VLOOKUP(Grandview_Inventory[[#This Row],[quality]],Lookups!$A$26:$C$33,3,FALSE),1)</f>
        <v>0.94295468617355149</v>
      </c>
      <c r="BU1864" s="4">
        <f>_xlfn.IFNA(VLOOKUP(Grandview_Inventory[[#This Row],[condition]],Lookups!$A$37:$C$44,3,FALSE),1)</f>
        <v>0.97383723671140243</v>
      </c>
      <c r="BV1864" s="4">
        <f>IF(Grandview_Inventory[[#This Row],[bldg_style]]="",1,_xlfn.IFNA(VLOOKUP(Grandview_Inventory[[#This Row],[decade]],Lookups!$F$29:$H$43,3,FALSE),1))</f>
        <v>0.98397821291089549</v>
      </c>
      <c r="BW1864" s="4">
        <f>_xlfn.IFNA(VLOOKUP(Grandview_Inventory[[#This Row],[living_area_range]],Lookups!$F$47:$H$56,3,FALSE),1)</f>
        <v>0.96135087979789358</v>
      </c>
      <c r="BX1864" s="4">
        <f>AVERAGE(Grandview_Inventory[[#This Row],[qual_adj]:[size_adj]])</f>
        <v>0.96553025389843572</v>
      </c>
      <c r="BY1864" s="6">
        <f>IF(Grandview_Inventory[[#This Row],[pre_res]]&lt;0,0,Grandview_Inventory[[#This Row],[pre_res]]*Grandview_Inventory[[#This Row],[overall_adj]])</f>
        <v>312848.8884544684</v>
      </c>
      <c r="BZ1864" s="6">
        <f>(Grandview_Inventory[[#This Row],[sum_land]]-IF(Grandview_Inventory[[#This Row],[no_utilities]]=1,12000,0))/IF(Grandview_Inventory[[#This Row],[unbuildable]]=1,2,1)</f>
        <v>48369.510983942157</v>
      </c>
      <c r="CA186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64">
        <f>ROUND(Grandview_Inventory[[#This Row],[det_value]]*Lookups!$M$28,-2)</f>
        <v>4700</v>
      </c>
      <c r="CC1864">
        <f>IF(ROUND(Grandview_Inventory[[#This Row],[adj_res]]*Lookups!$M$28,-2)&lt;Grandview_Inventory[[#This Row],[min_res]],Grandview_Inventory[[#This Row],[min_res]],ROUND(Grandview_Inventory[[#This Row],[adj_res]]*Lookups!$M$28,-2))</f>
        <v>297200</v>
      </c>
      <c r="CD1864">
        <f>Grandview_Inventory[[#This Row],[final_det]]+Grandview_Inventory[[#This Row],[final_res]]</f>
        <v>301900</v>
      </c>
      <c r="CE1864">
        <f>Grandview_Inventory[[#This Row],[final_land]]+Grandview_Inventory[[#This Row],[final_imp]]+Grandview_Inventory[[#This Row],[crop_value]]</f>
        <v>347900</v>
      </c>
      <c r="CG1864" t="str">
        <f t="shared" si="29"/>
        <v>update valuation set market_land =46000, market_bldg=301900, market_total =347900, market_mdno =401, market_date ='9/10/2023' where link_id = (select link_id from parcel where parcel_year = '2024' and parcel_id = '23092334449');</v>
      </c>
    </row>
    <row r="1865" spans="1:85" x14ac:dyDescent="0.25">
      <c r="A1865">
        <v>23092334451</v>
      </c>
      <c r="B1865">
        <v>1.39</v>
      </c>
      <c r="C1865">
        <v>60572</v>
      </c>
      <c r="D1865" t="s">
        <v>129</v>
      </c>
      <c r="E1865" t="s">
        <v>53</v>
      </c>
      <c r="F1865" t="s">
        <v>53</v>
      </c>
      <c r="G1865">
        <v>4</v>
      </c>
      <c r="H1865" t="s">
        <v>54</v>
      </c>
      <c r="I1865">
        <v>367300</v>
      </c>
      <c r="J1865">
        <v>50000</v>
      </c>
      <c r="K1865">
        <v>1.39</v>
      </c>
      <c r="L1865">
        <f>IF(Grandview_Inventory[[#This Row],[parcel_acres]]-Grandview_Inventory[[#This Row],[non_valued_acres]] =0,0,LN(Grandview_Inventory[[#This Row],[parcel_acres]]-Grandview_Inventory[[#This Row],[non_valued_acres]]))</f>
        <v>0.3293037471426003</v>
      </c>
      <c r="M1865">
        <v>0</v>
      </c>
      <c r="N1865">
        <v>0</v>
      </c>
      <c r="O1865">
        <v>0</v>
      </c>
      <c r="P1865">
        <v>13398.7528</v>
      </c>
      <c r="Q1865">
        <v>63903</v>
      </c>
      <c r="R1865">
        <f>(Grandview_Inventory[[#This Row],[ln_acres]]*Grandview_Inventory[[#This Row],[coeff]])+Grandview_Inventory[[#This Row],[const]]</f>
        <v>68315.259504077403</v>
      </c>
      <c r="S1865" t="s">
        <v>61</v>
      </c>
      <c r="T1865">
        <v>1</v>
      </c>
      <c r="U1865" t="s">
        <v>64</v>
      </c>
      <c r="V1865" t="s">
        <v>67</v>
      </c>
      <c r="W1865">
        <v>0</v>
      </c>
      <c r="X1865">
        <v>0</v>
      </c>
      <c r="Y1865">
        <v>44</v>
      </c>
      <c r="Z1865">
        <v>47</v>
      </c>
      <c r="AA1865">
        <v>50</v>
      </c>
      <c r="AB1865">
        <v>4000</v>
      </c>
      <c r="AC1865">
        <v>3931</v>
      </c>
      <c r="AD1865">
        <v>2249</v>
      </c>
      <c r="AE1865">
        <v>0</v>
      </c>
      <c r="AF1865">
        <v>0</v>
      </c>
      <c r="AG1865">
        <v>1682</v>
      </c>
      <c r="AH1865">
        <v>0</v>
      </c>
      <c r="AI1865">
        <v>0</v>
      </c>
      <c r="AJ1865">
        <v>0</v>
      </c>
      <c r="AK1865">
        <v>0</v>
      </c>
      <c r="AL1865">
        <v>376</v>
      </c>
      <c r="AM1865">
        <v>0</v>
      </c>
      <c r="AN1865">
        <v>0</v>
      </c>
      <c r="AO1865">
        <v>376</v>
      </c>
      <c r="AP1865">
        <v>16</v>
      </c>
      <c r="AQ1865">
        <v>0</v>
      </c>
      <c r="AR1865">
        <v>3</v>
      </c>
      <c r="AS1865" t="s">
        <v>58</v>
      </c>
      <c r="AT1865">
        <v>1</v>
      </c>
      <c r="AU1865" t="s">
        <v>63</v>
      </c>
      <c r="AV1865" t="s">
        <v>64</v>
      </c>
      <c r="AW1865">
        <v>1</v>
      </c>
      <c r="AX1865">
        <v>6</v>
      </c>
      <c r="AY1865">
        <v>0</v>
      </c>
      <c r="AZ1865">
        <v>21900</v>
      </c>
      <c r="BA1865">
        <v>100</v>
      </c>
      <c r="BB1865">
        <v>100</v>
      </c>
      <c r="BC1865">
        <v>100</v>
      </c>
      <c r="BD1865">
        <v>100</v>
      </c>
      <c r="BE1865">
        <v>1</v>
      </c>
      <c r="BF1865">
        <v>15000</v>
      </c>
      <c r="BG1865">
        <v>1000</v>
      </c>
      <c r="BH1865" s="6">
        <f>Grandview_Inventory[[#This Row],[land_extract]]*Lookups!$B$3</f>
        <v>79334.326410884431</v>
      </c>
      <c r="BI1865" s="6">
        <f>IF(Grandview_Inventory[[#This Row],[bldg_style]]="",0,Lookups!$B$2)</f>
        <v>155833.95000000001</v>
      </c>
      <c r="BJ1865" s="6">
        <f>_xlfn.IFNA(VLOOKUP(Grandview_Inventory[[#This Row],[quality]],Lookups!$H$2:$J$14,3,FALSE),0)</f>
        <v>20768</v>
      </c>
      <c r="BK1865" s="6">
        <f>_xlfn.IFNA(VLOOKUP(Grandview_Inventory[[#This Row],[condition]],Lookups!$H$17:$J$24,3,FALSE),0)</f>
        <v>22342</v>
      </c>
      <c r="BL1865" s="6">
        <f>Grandview_Inventory[[#This Row],[Eff_Age]]*Lookups!$B$14</f>
        <v>-10523.330399999999</v>
      </c>
      <c r="BM1865" s="6">
        <f>Grandview_Inventory[[#This Row],[living_area]]*Lookups!$B$15</f>
        <v>245219.13314300001</v>
      </c>
      <c r="BN1865" s="6">
        <f>Grandview_Inventory[[#This Row],[Fin BSMT]]*Lookups!$B$16</f>
        <v>-45580.921679999999</v>
      </c>
      <c r="BO1865" s="6">
        <f>(Grandview_Inventory[[#This Row],[att_gar]]+Grandview_Inventory[[#This Row],[bltin_gar]])*Lookups!$B$17</f>
        <v>0</v>
      </c>
      <c r="BP1865" s="6">
        <f>Grandview_Inventory[[#This Row],[Plumbing Fixtures]]*Lookups!$B$18</f>
        <v>32167.068800000001</v>
      </c>
      <c r="BQ1865" s="6">
        <f>Grandview_Inventory[[#This Row],[detatched_value]]*Lookups!$B$19</f>
        <v>18545.03169</v>
      </c>
      <c r="BR1865" s="6">
        <f>SUM(Grandview_Inventory[[#This Row],[Intercept]:[det_value]])*Grandview_Inventory[[#This Row],[res_pct]]</f>
        <v>438770.931553</v>
      </c>
      <c r="BS1865" s="6">
        <f>Grandview_Inventory[[#This Row],[land_value]]</f>
        <v>79334.326410884431</v>
      </c>
      <c r="BT1865" s="4">
        <f>_xlfn.IFNA(VLOOKUP(Grandview_Inventory[[#This Row],[quality]],Lookups!$A$26:$C$33,3,FALSE),1)</f>
        <v>0.94960540378902636</v>
      </c>
      <c r="BU1865" s="4">
        <f>_xlfn.IFNA(VLOOKUP(Grandview_Inventory[[#This Row],[condition]],Lookups!$A$37:$C$44,3,FALSE),1)</f>
        <v>0.97383723671140243</v>
      </c>
      <c r="BV1865" s="4">
        <f>IF(Grandview_Inventory[[#This Row],[bldg_style]]="",1,_xlfn.IFNA(VLOOKUP(Grandview_Inventory[[#This Row],[decade]],Lookups!$F$29:$H$43,3,FALSE),1))</f>
        <v>0.9871940091910919</v>
      </c>
      <c r="BW1865" s="4">
        <f>_xlfn.IFNA(VLOOKUP(Grandview_Inventory[[#This Row],[living_area_range]],Lookups!$F$47:$H$56,3,FALSE),1)</f>
        <v>0.90089875105039252</v>
      </c>
      <c r="BX1865" s="4">
        <f>AVERAGE(Grandview_Inventory[[#This Row],[qual_adj]:[size_adj]])</f>
        <v>0.95288385018547839</v>
      </c>
      <c r="BY1865" s="6">
        <f>IF(Grandview_Inventory[[#This Row],[pre_res]]&lt;0,0,Grandview_Inventory[[#This Row],[pre_res]]*Grandview_Inventory[[#This Row],[overall_adj]])</f>
        <v>418097.73460769164</v>
      </c>
      <c r="BZ1865" s="6">
        <f>(Grandview_Inventory[[#This Row],[sum_land]]-IF(Grandview_Inventory[[#This Row],[no_utilities]]=1,12000,0))/IF(Grandview_Inventory[[#This Row],[unbuildable]]=1,2,1)</f>
        <v>79334.326410884431</v>
      </c>
      <c r="CA1865">
        <f>IF(ROUND(Grandview_Inventory[[#This Row],[adj_land]]*Lookups!$M$28,-2)&lt;Grandview_Inventory[[#This Row],[min_land]],Grandview_Inventory[[#This Row],[min_land]],ROUND(Grandview_Inventory[[#This Row],[adj_land]]*Lookups!$M$28,-2))</f>
        <v>75400</v>
      </c>
      <c r="CB1865">
        <f>ROUND(Grandview_Inventory[[#This Row],[det_value]]*Lookups!$M$28,-2)</f>
        <v>17600</v>
      </c>
      <c r="CC1865">
        <f>IF(ROUND(Grandview_Inventory[[#This Row],[adj_res]]*Lookups!$M$28,-2)&lt;Grandview_Inventory[[#This Row],[min_res]],Grandview_Inventory[[#This Row],[min_res]],ROUND(Grandview_Inventory[[#This Row],[adj_res]]*Lookups!$M$28,-2))</f>
        <v>397200</v>
      </c>
      <c r="CD1865">
        <f>Grandview_Inventory[[#This Row],[final_det]]+Grandview_Inventory[[#This Row],[final_res]]</f>
        <v>414800</v>
      </c>
      <c r="CE1865">
        <f>Grandview_Inventory[[#This Row],[final_land]]+Grandview_Inventory[[#This Row],[final_imp]]+Grandview_Inventory[[#This Row],[crop_value]]</f>
        <v>490200</v>
      </c>
      <c r="CG1865" t="str">
        <f t="shared" si="29"/>
        <v>update valuation set market_land =75400, market_bldg=414800, market_total =490200, market_mdno =401, market_date ='9/10/2023' where link_id = (select link_id from parcel where parcel_year = '2024' and parcel_id = '23092334451');</v>
      </c>
    </row>
    <row r="1866" spans="1:85" x14ac:dyDescent="0.25">
      <c r="A1866">
        <v>23092334454</v>
      </c>
      <c r="B1866">
        <v>0.4</v>
      </c>
      <c r="C1866">
        <v>17562</v>
      </c>
      <c r="D1866" t="s">
        <v>129</v>
      </c>
      <c r="E1866" t="s">
        <v>53</v>
      </c>
      <c r="F1866" t="s">
        <v>53</v>
      </c>
      <c r="G1866">
        <v>4</v>
      </c>
      <c r="H1866" t="s">
        <v>54</v>
      </c>
      <c r="I1866">
        <v>281600</v>
      </c>
      <c r="J1866">
        <v>45600</v>
      </c>
      <c r="K1866">
        <v>0.4</v>
      </c>
      <c r="L1866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1866">
        <v>0</v>
      </c>
      <c r="N1866">
        <v>0</v>
      </c>
      <c r="O1866">
        <v>0</v>
      </c>
      <c r="P1866">
        <v>13398.7528</v>
      </c>
      <c r="Q1866">
        <v>63903</v>
      </c>
      <c r="R1866">
        <f>(Grandview_Inventory[[#This Row],[ln_acres]]*Grandview_Inventory[[#This Row],[coeff]])+Grandview_Inventory[[#This Row],[const]]</f>
        <v>51625.846990687118</v>
      </c>
      <c r="S1866" t="s">
        <v>61</v>
      </c>
      <c r="T1866">
        <v>1</v>
      </c>
      <c r="U1866" t="s">
        <v>62</v>
      </c>
      <c r="V1866" t="s">
        <v>67</v>
      </c>
      <c r="W1866">
        <v>0</v>
      </c>
      <c r="X1866">
        <v>0</v>
      </c>
      <c r="Y1866">
        <v>27</v>
      </c>
      <c r="Z1866">
        <v>27</v>
      </c>
      <c r="AA1866">
        <v>30</v>
      </c>
      <c r="AB1866">
        <v>2500</v>
      </c>
      <c r="AC1866">
        <v>2186</v>
      </c>
      <c r="AD1866">
        <v>2186</v>
      </c>
      <c r="AE1866">
        <v>0</v>
      </c>
      <c r="AF1866">
        <v>0</v>
      </c>
      <c r="AG1866">
        <v>0</v>
      </c>
      <c r="AH1866">
        <v>0</v>
      </c>
      <c r="AI1866">
        <v>550</v>
      </c>
      <c r="AJ1866">
        <v>0</v>
      </c>
      <c r="AK1866">
        <v>0</v>
      </c>
      <c r="AL1866">
        <v>0</v>
      </c>
      <c r="AM1866">
        <v>0</v>
      </c>
      <c r="AN1866">
        <v>556</v>
      </c>
      <c r="AO1866">
        <v>0</v>
      </c>
      <c r="AP1866">
        <v>8</v>
      </c>
      <c r="AQ1866">
        <v>0</v>
      </c>
      <c r="AR1866">
        <v>0</v>
      </c>
      <c r="AS1866" t="s">
        <v>58</v>
      </c>
      <c r="AT1866">
        <v>1</v>
      </c>
      <c r="AU1866" t="s">
        <v>59</v>
      </c>
      <c r="AV1866" t="s">
        <v>60</v>
      </c>
      <c r="AW1866">
        <v>1</v>
      </c>
      <c r="AX1866">
        <v>3</v>
      </c>
      <c r="AY1866">
        <v>0</v>
      </c>
      <c r="AZ1866">
        <v>7200</v>
      </c>
      <c r="BA1866">
        <v>100</v>
      </c>
      <c r="BB1866">
        <v>100</v>
      </c>
      <c r="BC1866">
        <v>100</v>
      </c>
      <c r="BD1866">
        <v>100</v>
      </c>
      <c r="BE1866">
        <v>1</v>
      </c>
      <c r="BF1866">
        <v>15000</v>
      </c>
      <c r="BG1866">
        <v>1000</v>
      </c>
      <c r="BH1866" s="6">
        <f>Grandview_Inventory[[#This Row],[land_extract]]*Lookups!$B$3</f>
        <v>59952.95672049807</v>
      </c>
      <c r="BI1866" s="6">
        <f>IF(Grandview_Inventory[[#This Row],[bldg_style]]="",0,Lookups!$B$2)</f>
        <v>155833.95000000001</v>
      </c>
      <c r="BJ1866" s="6">
        <f>_xlfn.IFNA(VLOOKUP(Grandview_Inventory[[#This Row],[quality]],Lookups!$H$2:$J$14,3,FALSE),0)</f>
        <v>9808</v>
      </c>
      <c r="BK1866" s="6">
        <f>_xlfn.IFNA(VLOOKUP(Grandview_Inventory[[#This Row],[condition]],Lookups!$H$17:$J$24,3,FALSE),0)</f>
        <v>22342</v>
      </c>
      <c r="BL1866" s="6">
        <f>Grandview_Inventory[[#This Row],[Eff_Age]]*Lookups!$B$14</f>
        <v>-6457.4982</v>
      </c>
      <c r="BM1866" s="6">
        <f>Grandview_Inventory[[#This Row],[living_area]]*Lookups!$B$15</f>
        <v>136364.544658</v>
      </c>
      <c r="BN1866" s="6">
        <f>Grandview_Inventory[[#This Row],[Fin BSMT]]*Lookups!$B$16</f>
        <v>0</v>
      </c>
      <c r="BO1866" s="6">
        <f>(Grandview_Inventory[[#This Row],[att_gar]]+Grandview_Inventory[[#This Row],[bltin_gar]])*Lookups!$B$17</f>
        <v>48136.24035</v>
      </c>
      <c r="BP1866" s="6">
        <f>Grandview_Inventory[[#This Row],[Plumbing Fixtures]]*Lookups!$B$18</f>
        <v>16083.5344</v>
      </c>
      <c r="BQ1866" s="6">
        <f>Grandview_Inventory[[#This Row],[detatched_value]]*Lookups!$B$19</f>
        <v>6096.9967200000001</v>
      </c>
      <c r="BR1866" s="6">
        <f>SUM(Grandview_Inventory[[#This Row],[Intercept]:[det_value]])*Grandview_Inventory[[#This Row],[res_pct]]</f>
        <v>388207.76792800002</v>
      </c>
      <c r="BS1866" s="6">
        <f>Grandview_Inventory[[#This Row],[land_value]]</f>
        <v>59952.95672049807</v>
      </c>
      <c r="BT1866" s="4">
        <f>_xlfn.IFNA(VLOOKUP(Grandview_Inventory[[#This Row],[quality]],Lookups!$A$26:$C$33,3,FALSE),1)</f>
        <v>0.94295468617355149</v>
      </c>
      <c r="BU1866" s="4">
        <f>_xlfn.IFNA(VLOOKUP(Grandview_Inventory[[#This Row],[condition]],Lookups!$A$37:$C$44,3,FALSE),1)</f>
        <v>0.97383723671140243</v>
      </c>
      <c r="BV1866" s="4">
        <f>IF(Grandview_Inventory[[#This Row],[bldg_style]]="",1,_xlfn.IFNA(VLOOKUP(Grandview_Inventory[[#This Row],[decade]],Lookups!$F$29:$H$43,3,FALSE),1))</f>
        <v>0.98397821291089549</v>
      </c>
      <c r="BW1866" s="4">
        <f>_xlfn.IFNA(VLOOKUP(Grandview_Inventory[[#This Row],[living_area_range]],Lookups!$F$47:$H$56,3,FALSE),1)</f>
        <v>0.95799442568048754</v>
      </c>
      <c r="BX1866" s="4">
        <f>AVERAGE(Grandview_Inventory[[#This Row],[qual_adj]:[size_adj]])</f>
        <v>0.96469114036908421</v>
      </c>
      <c r="BY1866" s="6">
        <f>IF(Grandview_Inventory[[#This Row],[pre_res]]&lt;0,0,Grandview_Inventory[[#This Row],[pre_res]]*Grandview_Inventory[[#This Row],[overall_adj]])</f>
        <v>374500.59434259916</v>
      </c>
      <c r="BZ1866" s="6">
        <f>(Grandview_Inventory[[#This Row],[sum_land]]-IF(Grandview_Inventory[[#This Row],[no_utilities]]=1,12000,0))/IF(Grandview_Inventory[[#This Row],[unbuildable]]=1,2,1)</f>
        <v>59952.95672049807</v>
      </c>
      <c r="CA1866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1866">
        <f>ROUND(Grandview_Inventory[[#This Row],[det_value]]*Lookups!$M$28,-2)</f>
        <v>5800</v>
      </c>
      <c r="CC1866">
        <f>IF(ROUND(Grandview_Inventory[[#This Row],[adj_res]]*Lookups!$M$28,-2)&lt;Grandview_Inventory[[#This Row],[min_res]],Grandview_Inventory[[#This Row],[min_res]],ROUND(Grandview_Inventory[[#This Row],[adj_res]]*Lookups!$M$28,-2))</f>
        <v>355800</v>
      </c>
      <c r="CD1866">
        <f>Grandview_Inventory[[#This Row],[final_det]]+Grandview_Inventory[[#This Row],[final_res]]</f>
        <v>361600</v>
      </c>
      <c r="CE1866">
        <f>Grandview_Inventory[[#This Row],[final_land]]+Grandview_Inventory[[#This Row],[final_imp]]+Grandview_Inventory[[#This Row],[crop_value]]</f>
        <v>418600</v>
      </c>
      <c r="CG1866" t="str">
        <f t="shared" si="29"/>
        <v>update valuation set market_land =57000, market_bldg=361600, market_total =418600, market_mdno =401, market_date ='9/10/2023' where link_id = (select link_id from parcel where parcel_year = '2024' and parcel_id = '23092334454');</v>
      </c>
    </row>
    <row r="1867" spans="1:85" x14ac:dyDescent="0.25">
      <c r="A1867">
        <v>23092334455</v>
      </c>
      <c r="B1867">
        <v>0.23</v>
      </c>
      <c r="C1867">
        <v>9957</v>
      </c>
      <c r="D1867" t="s">
        <v>129</v>
      </c>
      <c r="E1867" t="s">
        <v>53</v>
      </c>
      <c r="F1867" t="s">
        <v>53</v>
      </c>
      <c r="G1867">
        <v>4</v>
      </c>
      <c r="H1867" t="s">
        <v>54</v>
      </c>
      <c r="I1867">
        <v>216500</v>
      </c>
      <c r="J1867">
        <v>39500</v>
      </c>
      <c r="K1867">
        <v>0.23</v>
      </c>
      <c r="L186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67">
        <v>0</v>
      </c>
      <c r="N1867">
        <v>0</v>
      </c>
      <c r="O1867">
        <v>0</v>
      </c>
      <c r="P1867">
        <v>13398.7528</v>
      </c>
      <c r="Q1867">
        <v>63903</v>
      </c>
      <c r="R1867">
        <f>(Grandview_Inventory[[#This Row],[ln_acres]]*Grandview_Inventory[[#This Row],[coeff]])+Grandview_Inventory[[#This Row],[const]]</f>
        <v>44211.174981080039</v>
      </c>
      <c r="S1867" t="s">
        <v>61</v>
      </c>
      <c r="T1867">
        <v>1</v>
      </c>
      <c r="U1867" t="s">
        <v>62</v>
      </c>
      <c r="V1867" t="s">
        <v>69</v>
      </c>
      <c r="W1867">
        <v>0</v>
      </c>
      <c r="X1867">
        <v>0</v>
      </c>
      <c r="Y1867">
        <v>29</v>
      </c>
      <c r="Z1867">
        <v>29</v>
      </c>
      <c r="AA1867">
        <v>30</v>
      </c>
      <c r="AB1867">
        <v>2000</v>
      </c>
      <c r="AC1867">
        <v>1840</v>
      </c>
      <c r="AD1867">
        <v>1840</v>
      </c>
      <c r="AE1867">
        <v>0</v>
      </c>
      <c r="AF1867">
        <v>0</v>
      </c>
      <c r="AG1867">
        <v>0</v>
      </c>
      <c r="AH1867">
        <v>0</v>
      </c>
      <c r="AI1867">
        <v>484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9</v>
      </c>
      <c r="AQ1867">
        <v>0</v>
      </c>
      <c r="AR1867">
        <v>0</v>
      </c>
      <c r="AS1867" t="s">
        <v>58</v>
      </c>
      <c r="AT1867">
        <v>1</v>
      </c>
      <c r="AU1867" t="s">
        <v>63</v>
      </c>
      <c r="AV1867" t="s">
        <v>60</v>
      </c>
      <c r="AW1867">
        <v>1</v>
      </c>
      <c r="AX1867">
        <v>3</v>
      </c>
      <c r="AY1867">
        <v>0</v>
      </c>
      <c r="AZ1867">
        <v>0</v>
      </c>
      <c r="BA1867">
        <v>100</v>
      </c>
      <c r="BB1867">
        <v>100</v>
      </c>
      <c r="BC1867">
        <v>100</v>
      </c>
      <c r="BD1867">
        <v>100</v>
      </c>
      <c r="BE1867">
        <v>1</v>
      </c>
      <c r="BF1867">
        <v>15000</v>
      </c>
      <c r="BG1867">
        <v>1000</v>
      </c>
      <c r="BH1867" s="6">
        <f>Grandview_Inventory[[#This Row],[land_extract]]*Lookups!$B$3</f>
        <v>51342.318135355803</v>
      </c>
      <c r="BI1867" s="6">
        <f>IF(Grandview_Inventory[[#This Row],[bldg_style]]="",0,Lookups!$B$2)</f>
        <v>155833.95000000001</v>
      </c>
      <c r="BJ1867" s="6">
        <f>_xlfn.IFNA(VLOOKUP(Grandview_Inventory[[#This Row],[quality]],Lookups!$H$2:$J$14,3,FALSE),0)</f>
        <v>9808</v>
      </c>
      <c r="BK1867" s="6">
        <f>_xlfn.IFNA(VLOOKUP(Grandview_Inventory[[#This Row],[condition]],Lookups!$H$17:$J$24,3,FALSE),0)</f>
        <v>-4503</v>
      </c>
      <c r="BL1867" s="6">
        <f>Grandview_Inventory[[#This Row],[Eff_Age]]*Lookups!$B$14</f>
        <v>-6935.8314</v>
      </c>
      <c r="BM1867" s="6">
        <f>Grandview_Inventory[[#This Row],[living_area]]*Lookups!$B$15</f>
        <v>114780.76952</v>
      </c>
      <c r="BN1867" s="6">
        <f>Grandview_Inventory[[#This Row],[Fin BSMT]]*Lookups!$B$16</f>
        <v>0</v>
      </c>
      <c r="BO1867" s="6">
        <f>(Grandview_Inventory[[#This Row],[att_gar]]+Grandview_Inventory[[#This Row],[bltin_gar]])*Lookups!$B$17</f>
        <v>42359.891508000001</v>
      </c>
      <c r="BP1867" s="6">
        <f>Grandview_Inventory[[#This Row],[Plumbing Fixtures]]*Lookups!$B$18</f>
        <v>18093.976200000001</v>
      </c>
      <c r="BQ1867" s="6">
        <f>Grandview_Inventory[[#This Row],[detatched_value]]*Lookups!$B$19</f>
        <v>0</v>
      </c>
      <c r="BR1867" s="6">
        <f>SUM(Grandview_Inventory[[#This Row],[Intercept]:[det_value]])*Grandview_Inventory[[#This Row],[res_pct]]</f>
        <v>329437.75582799996</v>
      </c>
      <c r="BS1867" s="6">
        <f>Grandview_Inventory[[#This Row],[land_value]]</f>
        <v>51342.318135355803</v>
      </c>
      <c r="BT1867" s="4">
        <f>_xlfn.IFNA(VLOOKUP(Grandview_Inventory[[#This Row],[quality]],Lookups!$A$26:$C$33,3,FALSE),1)</f>
        <v>0.94295468617355149</v>
      </c>
      <c r="BU1867" s="4">
        <f>_xlfn.IFNA(VLOOKUP(Grandview_Inventory[[#This Row],[condition]],Lookups!$A$37:$C$44,3,FALSE),1)</f>
        <v>0.96469275950863709</v>
      </c>
      <c r="BV1867" s="4">
        <f>IF(Grandview_Inventory[[#This Row],[bldg_style]]="",1,_xlfn.IFNA(VLOOKUP(Grandview_Inventory[[#This Row],[decade]],Lookups!$F$29:$H$43,3,FALSE),1))</f>
        <v>0.98397821291089549</v>
      </c>
      <c r="BW1867" s="4">
        <f>_xlfn.IFNA(VLOOKUP(Grandview_Inventory[[#This Row],[living_area_range]],Lookups!$F$47:$H$56,3,FALSE),1)</f>
        <v>0.96120133463014379</v>
      </c>
      <c r="BX1867" s="4">
        <f>AVERAGE(Grandview_Inventory[[#This Row],[qual_adj]:[size_adj]])</f>
        <v>0.96320674830580688</v>
      </c>
      <c r="BY1867" s="6">
        <f>IF(Grandview_Inventory[[#This Row],[pre_res]]&lt;0,0,Grandview_Inventory[[#This Row],[pre_res]]*Grandview_Inventory[[#This Row],[overall_adj]])</f>
        <v>317316.66956025024</v>
      </c>
      <c r="BZ1867" s="6">
        <f>(Grandview_Inventory[[#This Row],[sum_land]]-IF(Grandview_Inventory[[#This Row],[no_utilities]]=1,12000,0))/IF(Grandview_Inventory[[#This Row],[unbuildable]]=1,2,1)</f>
        <v>51342.318135355803</v>
      </c>
      <c r="CA186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67">
        <f>ROUND(Grandview_Inventory[[#This Row],[det_value]]*Lookups!$M$28,-2)</f>
        <v>0</v>
      </c>
      <c r="CC1867">
        <f>IF(ROUND(Grandview_Inventory[[#This Row],[adj_res]]*Lookups!$M$28,-2)&lt;Grandview_Inventory[[#This Row],[min_res]],Grandview_Inventory[[#This Row],[min_res]],ROUND(Grandview_Inventory[[#This Row],[adj_res]]*Lookups!$M$28,-2))</f>
        <v>301500</v>
      </c>
      <c r="CD1867">
        <f>Grandview_Inventory[[#This Row],[final_det]]+Grandview_Inventory[[#This Row],[final_res]]</f>
        <v>301500</v>
      </c>
      <c r="CE1867">
        <f>Grandview_Inventory[[#This Row],[final_land]]+Grandview_Inventory[[#This Row],[final_imp]]+Grandview_Inventory[[#This Row],[crop_value]]</f>
        <v>350300</v>
      </c>
      <c r="CG1867" t="str">
        <f t="shared" si="29"/>
        <v>update valuation set market_land =48800, market_bldg=301500, market_total =350300, market_mdno =401, market_date ='9/10/2023' where link_id = (select link_id from parcel where parcel_year = '2024' and parcel_id = '23092334455');</v>
      </c>
    </row>
    <row r="1868" spans="1:85" x14ac:dyDescent="0.25">
      <c r="A1868">
        <v>23092334456</v>
      </c>
      <c r="B1868">
        <v>0.23</v>
      </c>
      <c r="C1868">
        <v>9943</v>
      </c>
      <c r="D1868" t="s">
        <v>129</v>
      </c>
      <c r="E1868" t="s">
        <v>53</v>
      </c>
      <c r="F1868" t="s">
        <v>53</v>
      </c>
      <c r="G1868">
        <v>4</v>
      </c>
      <c r="H1868" t="s">
        <v>54</v>
      </c>
      <c r="I1868">
        <v>242800</v>
      </c>
      <c r="J1868">
        <v>39500</v>
      </c>
      <c r="K1868">
        <v>0.23</v>
      </c>
      <c r="L186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68">
        <v>0</v>
      </c>
      <c r="N1868">
        <v>0</v>
      </c>
      <c r="O1868">
        <v>0</v>
      </c>
      <c r="P1868">
        <v>13398.7528</v>
      </c>
      <c r="Q1868">
        <v>63903</v>
      </c>
      <c r="R1868">
        <f>(Grandview_Inventory[[#This Row],[ln_acres]]*Grandview_Inventory[[#This Row],[coeff]])+Grandview_Inventory[[#This Row],[const]]</f>
        <v>44211.174981080039</v>
      </c>
      <c r="S1868" t="s">
        <v>61</v>
      </c>
      <c r="T1868">
        <v>1</v>
      </c>
      <c r="U1868" t="s">
        <v>62</v>
      </c>
      <c r="V1868" t="s">
        <v>67</v>
      </c>
      <c r="W1868">
        <v>0</v>
      </c>
      <c r="X1868">
        <v>0</v>
      </c>
      <c r="Y1868">
        <v>29</v>
      </c>
      <c r="Z1868">
        <v>29</v>
      </c>
      <c r="AA1868">
        <v>30</v>
      </c>
      <c r="AB1868">
        <v>2000</v>
      </c>
      <c r="AC1868">
        <v>1618</v>
      </c>
      <c r="AD1868">
        <v>1618</v>
      </c>
      <c r="AE1868">
        <v>0</v>
      </c>
      <c r="AF1868">
        <v>0</v>
      </c>
      <c r="AG1868">
        <v>0</v>
      </c>
      <c r="AH1868">
        <v>0</v>
      </c>
      <c r="AI1868">
        <v>484</v>
      </c>
      <c r="AJ1868">
        <v>0</v>
      </c>
      <c r="AK1868">
        <v>0</v>
      </c>
      <c r="AL1868">
        <v>192</v>
      </c>
      <c r="AM1868">
        <v>0</v>
      </c>
      <c r="AN1868">
        <v>119</v>
      </c>
      <c r="AO1868">
        <v>0</v>
      </c>
      <c r="AP1868">
        <v>8</v>
      </c>
      <c r="AQ1868">
        <v>0</v>
      </c>
      <c r="AR1868">
        <v>0</v>
      </c>
      <c r="AS1868" t="s">
        <v>58</v>
      </c>
      <c r="AT1868">
        <v>1</v>
      </c>
      <c r="AU1868" t="s">
        <v>63</v>
      </c>
      <c r="AV1868" t="s">
        <v>60</v>
      </c>
      <c r="AW1868">
        <v>1</v>
      </c>
      <c r="AX1868">
        <v>3</v>
      </c>
      <c r="AY1868">
        <v>0</v>
      </c>
      <c r="AZ1868">
        <v>0</v>
      </c>
      <c r="BA1868">
        <v>100</v>
      </c>
      <c r="BB1868">
        <v>100</v>
      </c>
      <c r="BC1868">
        <v>100</v>
      </c>
      <c r="BD1868">
        <v>100</v>
      </c>
      <c r="BE1868">
        <v>1</v>
      </c>
      <c r="BF1868">
        <v>15000</v>
      </c>
      <c r="BG1868">
        <v>1000</v>
      </c>
      <c r="BH1868" s="6">
        <f>Grandview_Inventory[[#This Row],[land_extract]]*Lookups!$B$3</f>
        <v>51342.318135355803</v>
      </c>
      <c r="BI1868" s="6">
        <f>IF(Grandview_Inventory[[#This Row],[bldg_style]]="",0,Lookups!$B$2)</f>
        <v>155833.95000000001</v>
      </c>
      <c r="BJ1868" s="6">
        <f>_xlfn.IFNA(VLOOKUP(Grandview_Inventory[[#This Row],[quality]],Lookups!$H$2:$J$14,3,FALSE),0)</f>
        <v>9808</v>
      </c>
      <c r="BK1868" s="6">
        <f>_xlfn.IFNA(VLOOKUP(Grandview_Inventory[[#This Row],[condition]],Lookups!$H$17:$J$24,3,FALSE),0)</f>
        <v>22342</v>
      </c>
      <c r="BL1868" s="6">
        <f>Grandview_Inventory[[#This Row],[Eff_Age]]*Lookups!$B$14</f>
        <v>-6935.8314</v>
      </c>
      <c r="BM1868" s="6">
        <f>Grandview_Inventory[[#This Row],[living_area]]*Lookups!$B$15</f>
        <v>100932.22015400001</v>
      </c>
      <c r="BN1868" s="6">
        <f>Grandview_Inventory[[#This Row],[Fin BSMT]]*Lookups!$B$16</f>
        <v>0</v>
      </c>
      <c r="BO1868" s="6">
        <f>(Grandview_Inventory[[#This Row],[att_gar]]+Grandview_Inventory[[#This Row],[bltin_gar]])*Lookups!$B$17</f>
        <v>42359.891508000001</v>
      </c>
      <c r="BP1868" s="6">
        <f>Grandview_Inventory[[#This Row],[Plumbing Fixtures]]*Lookups!$B$18</f>
        <v>16083.5344</v>
      </c>
      <c r="BQ1868" s="6">
        <f>Grandview_Inventory[[#This Row],[detatched_value]]*Lookups!$B$19</f>
        <v>0</v>
      </c>
      <c r="BR1868" s="6">
        <f>SUM(Grandview_Inventory[[#This Row],[Intercept]:[det_value]])*Grandview_Inventory[[#This Row],[res_pct]]</f>
        <v>340423.764662</v>
      </c>
      <c r="BS1868" s="6">
        <f>Grandview_Inventory[[#This Row],[land_value]]</f>
        <v>51342.318135355803</v>
      </c>
      <c r="BT1868" s="4">
        <f>_xlfn.IFNA(VLOOKUP(Grandview_Inventory[[#This Row],[quality]],Lookups!$A$26:$C$33,3,FALSE),1)</f>
        <v>0.94295468617355149</v>
      </c>
      <c r="BU1868" s="4">
        <f>_xlfn.IFNA(VLOOKUP(Grandview_Inventory[[#This Row],[condition]],Lookups!$A$37:$C$44,3,FALSE),1)</f>
        <v>0.97383723671140243</v>
      </c>
      <c r="BV1868" s="4">
        <f>IF(Grandview_Inventory[[#This Row],[bldg_style]]="",1,_xlfn.IFNA(VLOOKUP(Grandview_Inventory[[#This Row],[decade]],Lookups!$F$29:$H$43,3,FALSE),1))</f>
        <v>0.98397821291089549</v>
      </c>
      <c r="BW1868" s="4">
        <f>_xlfn.IFNA(VLOOKUP(Grandview_Inventory[[#This Row],[living_area_range]],Lookups!$F$47:$H$56,3,FALSE),1)</f>
        <v>0.96120133463014379</v>
      </c>
      <c r="BX1868" s="4">
        <f>AVERAGE(Grandview_Inventory[[#This Row],[qual_adj]:[size_adj]])</f>
        <v>0.96549286760649822</v>
      </c>
      <c r="BY1868" s="6">
        <f>IF(Grandview_Inventory[[#This Row],[pre_res]]&lt;0,0,Grandview_Inventory[[#This Row],[pre_res]]*Grandview_Inventory[[#This Row],[overall_adj]])</f>
        <v>328676.71674491407</v>
      </c>
      <c r="BZ1868" s="6">
        <f>(Grandview_Inventory[[#This Row],[sum_land]]-IF(Grandview_Inventory[[#This Row],[no_utilities]]=1,12000,0))/IF(Grandview_Inventory[[#This Row],[unbuildable]]=1,2,1)</f>
        <v>51342.318135355803</v>
      </c>
      <c r="CA186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68">
        <f>ROUND(Grandview_Inventory[[#This Row],[det_value]]*Lookups!$M$28,-2)</f>
        <v>0</v>
      </c>
      <c r="CC1868">
        <f>IF(ROUND(Grandview_Inventory[[#This Row],[adj_res]]*Lookups!$M$28,-2)&lt;Grandview_Inventory[[#This Row],[min_res]],Grandview_Inventory[[#This Row],[min_res]],ROUND(Grandview_Inventory[[#This Row],[adj_res]]*Lookups!$M$28,-2))</f>
        <v>312200</v>
      </c>
      <c r="CD1868">
        <f>Grandview_Inventory[[#This Row],[final_det]]+Grandview_Inventory[[#This Row],[final_res]]</f>
        <v>312200</v>
      </c>
      <c r="CE1868">
        <f>Grandview_Inventory[[#This Row],[final_land]]+Grandview_Inventory[[#This Row],[final_imp]]+Grandview_Inventory[[#This Row],[crop_value]]</f>
        <v>361000</v>
      </c>
      <c r="CG1868" t="str">
        <f t="shared" si="29"/>
        <v>update valuation set market_land =48800, market_bldg=312200, market_total =361000, market_mdno =401, market_date ='9/10/2023' where link_id = (select link_id from parcel where parcel_year = '2024' and parcel_id = '23092334456');</v>
      </c>
    </row>
    <row r="1869" spans="1:85" x14ac:dyDescent="0.25">
      <c r="A1869">
        <v>23092334457</v>
      </c>
      <c r="B1869">
        <v>0.23</v>
      </c>
      <c r="C1869">
        <v>9929</v>
      </c>
      <c r="D1869" t="s">
        <v>129</v>
      </c>
      <c r="E1869" t="s">
        <v>53</v>
      </c>
      <c r="F1869" t="s">
        <v>53</v>
      </c>
      <c r="G1869">
        <v>4</v>
      </c>
      <c r="H1869" t="s">
        <v>54</v>
      </c>
      <c r="I1869">
        <v>228700</v>
      </c>
      <c r="J1869">
        <v>43800</v>
      </c>
      <c r="K1869">
        <v>0.23</v>
      </c>
      <c r="L186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69">
        <v>0</v>
      </c>
      <c r="N1869">
        <v>0</v>
      </c>
      <c r="O1869">
        <v>0</v>
      </c>
      <c r="P1869">
        <v>13398.7528</v>
      </c>
      <c r="Q1869">
        <v>63903</v>
      </c>
      <c r="R1869">
        <f>(Grandview_Inventory[[#This Row],[ln_acres]]*Grandview_Inventory[[#This Row],[coeff]])+Grandview_Inventory[[#This Row],[const]]</f>
        <v>44211.174981080039</v>
      </c>
      <c r="S1869" t="s">
        <v>61</v>
      </c>
      <c r="T1869">
        <v>1</v>
      </c>
      <c r="U1869" t="s">
        <v>62</v>
      </c>
      <c r="V1869" t="s">
        <v>67</v>
      </c>
      <c r="W1869">
        <v>0</v>
      </c>
      <c r="X1869">
        <v>0</v>
      </c>
      <c r="Y1869">
        <v>29</v>
      </c>
      <c r="Z1869">
        <v>29</v>
      </c>
      <c r="AA1869">
        <v>30</v>
      </c>
      <c r="AB1869">
        <v>2000</v>
      </c>
      <c r="AC1869">
        <v>1851</v>
      </c>
      <c r="AD1869">
        <v>1851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136</v>
      </c>
      <c r="AM1869">
        <v>192</v>
      </c>
      <c r="AN1869">
        <v>0</v>
      </c>
      <c r="AO1869">
        <v>192</v>
      </c>
      <c r="AP1869">
        <v>8</v>
      </c>
      <c r="AQ1869">
        <v>0</v>
      </c>
      <c r="AR1869">
        <v>0</v>
      </c>
      <c r="AS1869" t="s">
        <v>58</v>
      </c>
      <c r="AT1869">
        <v>1</v>
      </c>
      <c r="AU1869" t="s">
        <v>63</v>
      </c>
      <c r="AV1869" t="s">
        <v>60</v>
      </c>
      <c r="AW1869">
        <v>1</v>
      </c>
      <c r="AX1869">
        <v>3</v>
      </c>
      <c r="AY1869">
        <v>0</v>
      </c>
      <c r="AZ1869">
        <v>9500</v>
      </c>
      <c r="BA1869">
        <v>100</v>
      </c>
      <c r="BB1869">
        <v>100</v>
      </c>
      <c r="BC1869">
        <v>100</v>
      </c>
      <c r="BD1869">
        <v>100</v>
      </c>
      <c r="BE1869">
        <v>1</v>
      </c>
      <c r="BF1869">
        <v>15000</v>
      </c>
      <c r="BG1869">
        <v>1000</v>
      </c>
      <c r="BH1869" s="6">
        <f>Grandview_Inventory[[#This Row],[land_extract]]*Lookups!$B$3</f>
        <v>51342.318135355803</v>
      </c>
      <c r="BI1869" s="6">
        <f>IF(Grandview_Inventory[[#This Row],[bldg_style]]="",0,Lookups!$B$2)</f>
        <v>155833.95000000001</v>
      </c>
      <c r="BJ1869" s="6">
        <f>_xlfn.IFNA(VLOOKUP(Grandview_Inventory[[#This Row],[quality]],Lookups!$H$2:$J$14,3,FALSE),0)</f>
        <v>9808</v>
      </c>
      <c r="BK1869" s="6">
        <f>_xlfn.IFNA(VLOOKUP(Grandview_Inventory[[#This Row],[condition]],Lookups!$H$17:$J$24,3,FALSE),0)</f>
        <v>22342</v>
      </c>
      <c r="BL1869" s="6">
        <f>Grandview_Inventory[[#This Row],[Eff_Age]]*Lookups!$B$14</f>
        <v>-6935.8314</v>
      </c>
      <c r="BM1869" s="6">
        <f>Grandview_Inventory[[#This Row],[living_area]]*Lookups!$B$15</f>
        <v>115466.95890300001</v>
      </c>
      <c r="BN1869" s="6">
        <f>Grandview_Inventory[[#This Row],[Fin BSMT]]*Lookups!$B$16</f>
        <v>0</v>
      </c>
      <c r="BO1869" s="6">
        <f>(Grandview_Inventory[[#This Row],[att_gar]]+Grandview_Inventory[[#This Row],[bltin_gar]])*Lookups!$B$17</f>
        <v>0</v>
      </c>
      <c r="BP1869" s="6">
        <f>Grandview_Inventory[[#This Row],[Plumbing Fixtures]]*Lookups!$B$18</f>
        <v>16083.5344</v>
      </c>
      <c r="BQ1869" s="6">
        <f>Grandview_Inventory[[#This Row],[detatched_value]]*Lookups!$B$19</f>
        <v>8044.6484499999997</v>
      </c>
      <c r="BR1869" s="6">
        <f>SUM(Grandview_Inventory[[#This Row],[Intercept]:[det_value]])*Grandview_Inventory[[#This Row],[res_pct]]</f>
        <v>320643.26035300002</v>
      </c>
      <c r="BS1869" s="6">
        <f>Grandview_Inventory[[#This Row],[land_value]]</f>
        <v>51342.318135355803</v>
      </c>
      <c r="BT1869" s="4">
        <f>_xlfn.IFNA(VLOOKUP(Grandview_Inventory[[#This Row],[quality]],Lookups!$A$26:$C$33,3,FALSE),1)</f>
        <v>0.94295468617355149</v>
      </c>
      <c r="BU1869" s="4">
        <f>_xlfn.IFNA(VLOOKUP(Grandview_Inventory[[#This Row],[condition]],Lookups!$A$37:$C$44,3,FALSE),1)</f>
        <v>0.97383723671140243</v>
      </c>
      <c r="BV1869" s="4">
        <f>IF(Grandview_Inventory[[#This Row],[bldg_style]]="",1,_xlfn.IFNA(VLOOKUP(Grandview_Inventory[[#This Row],[decade]],Lookups!$F$29:$H$43,3,FALSE),1))</f>
        <v>0.98397821291089549</v>
      </c>
      <c r="BW1869" s="4">
        <f>_xlfn.IFNA(VLOOKUP(Grandview_Inventory[[#This Row],[living_area_range]],Lookups!$F$47:$H$56,3,FALSE),1)</f>
        <v>0.96120133463014379</v>
      </c>
      <c r="BX1869" s="4">
        <f>AVERAGE(Grandview_Inventory[[#This Row],[qual_adj]:[size_adj]])</f>
        <v>0.96549286760649822</v>
      </c>
      <c r="BY1869" s="6">
        <f>IF(Grandview_Inventory[[#This Row],[pre_res]]&lt;0,0,Grandview_Inventory[[#This Row],[pre_res]]*Grandview_Inventory[[#This Row],[overall_adj]])</f>
        <v>309578.78091691498</v>
      </c>
      <c r="BZ1869" s="6">
        <f>(Grandview_Inventory[[#This Row],[sum_land]]-IF(Grandview_Inventory[[#This Row],[no_utilities]]=1,12000,0))/IF(Grandview_Inventory[[#This Row],[unbuildable]]=1,2,1)</f>
        <v>51342.318135355803</v>
      </c>
      <c r="CA186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69">
        <f>ROUND(Grandview_Inventory[[#This Row],[det_value]]*Lookups!$M$28,-2)</f>
        <v>7600</v>
      </c>
      <c r="CC1869">
        <f>IF(ROUND(Grandview_Inventory[[#This Row],[adj_res]]*Lookups!$M$28,-2)&lt;Grandview_Inventory[[#This Row],[min_res]],Grandview_Inventory[[#This Row],[min_res]],ROUND(Grandview_Inventory[[#This Row],[adj_res]]*Lookups!$M$28,-2))</f>
        <v>294100</v>
      </c>
      <c r="CD1869">
        <f>Grandview_Inventory[[#This Row],[final_det]]+Grandview_Inventory[[#This Row],[final_res]]</f>
        <v>301700</v>
      </c>
      <c r="CE1869">
        <f>Grandview_Inventory[[#This Row],[final_land]]+Grandview_Inventory[[#This Row],[final_imp]]+Grandview_Inventory[[#This Row],[crop_value]]</f>
        <v>350500</v>
      </c>
      <c r="CG1869" t="str">
        <f t="shared" si="29"/>
        <v>update valuation set market_land =48800, market_bldg=301700, market_total =350500, market_mdno =401, market_date ='9/10/2023' where link_id = (select link_id from parcel where parcel_year = '2024' and parcel_id = '23092334457');</v>
      </c>
    </row>
    <row r="1870" spans="1:85" x14ac:dyDescent="0.25">
      <c r="A1870">
        <v>23092334458</v>
      </c>
      <c r="B1870">
        <v>0.23</v>
      </c>
      <c r="C1870">
        <v>9841</v>
      </c>
      <c r="D1870" t="s">
        <v>129</v>
      </c>
      <c r="E1870" t="s">
        <v>53</v>
      </c>
      <c r="F1870" t="s">
        <v>53</v>
      </c>
      <c r="G1870">
        <v>4</v>
      </c>
      <c r="H1870" t="s">
        <v>54</v>
      </c>
      <c r="I1870">
        <v>242300</v>
      </c>
      <c r="J1870">
        <v>39500</v>
      </c>
      <c r="K1870">
        <v>0.23</v>
      </c>
      <c r="L187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70">
        <v>0</v>
      </c>
      <c r="N1870">
        <v>0</v>
      </c>
      <c r="O1870">
        <v>0</v>
      </c>
      <c r="P1870">
        <v>13398.7528</v>
      </c>
      <c r="Q1870">
        <v>63903</v>
      </c>
      <c r="R1870">
        <f>(Grandview_Inventory[[#This Row],[ln_acres]]*Grandview_Inventory[[#This Row],[coeff]])+Grandview_Inventory[[#This Row],[const]]</f>
        <v>44211.174981080039</v>
      </c>
      <c r="S1870" t="s">
        <v>61</v>
      </c>
      <c r="T1870">
        <v>1</v>
      </c>
      <c r="U1870" t="s">
        <v>62</v>
      </c>
      <c r="V1870" t="s">
        <v>67</v>
      </c>
      <c r="W1870">
        <v>0</v>
      </c>
      <c r="X1870">
        <v>0</v>
      </c>
      <c r="Y1870">
        <v>29</v>
      </c>
      <c r="Z1870">
        <v>29</v>
      </c>
      <c r="AA1870">
        <v>30</v>
      </c>
      <c r="AB1870">
        <v>2000</v>
      </c>
      <c r="AC1870">
        <v>1555</v>
      </c>
      <c r="AD1870">
        <v>1555</v>
      </c>
      <c r="AE1870">
        <v>0</v>
      </c>
      <c r="AF1870">
        <v>0</v>
      </c>
      <c r="AG1870">
        <v>0</v>
      </c>
      <c r="AH1870">
        <v>0</v>
      </c>
      <c r="AI1870">
        <v>528</v>
      </c>
      <c r="AJ1870">
        <v>0</v>
      </c>
      <c r="AK1870">
        <v>0</v>
      </c>
      <c r="AL1870">
        <v>0</v>
      </c>
      <c r="AM1870">
        <v>112</v>
      </c>
      <c r="AN1870">
        <v>80</v>
      </c>
      <c r="AO1870">
        <v>112</v>
      </c>
      <c r="AP1870">
        <v>8</v>
      </c>
      <c r="AQ1870">
        <v>0</v>
      </c>
      <c r="AR1870">
        <v>0</v>
      </c>
      <c r="AS1870" t="s">
        <v>58</v>
      </c>
      <c r="AT1870">
        <v>1</v>
      </c>
      <c r="AU1870" t="s">
        <v>63</v>
      </c>
      <c r="AV1870" t="s">
        <v>60</v>
      </c>
      <c r="AW1870">
        <v>1</v>
      </c>
      <c r="AX1870">
        <v>3</v>
      </c>
      <c r="AY1870">
        <v>0</v>
      </c>
      <c r="AZ1870">
        <v>0</v>
      </c>
      <c r="BA1870">
        <v>100</v>
      </c>
      <c r="BB1870">
        <v>100</v>
      </c>
      <c r="BC1870">
        <v>100</v>
      </c>
      <c r="BD1870">
        <v>100</v>
      </c>
      <c r="BE1870">
        <v>1</v>
      </c>
      <c r="BF1870">
        <v>15000</v>
      </c>
      <c r="BG1870">
        <v>1000</v>
      </c>
      <c r="BH1870" s="6">
        <f>Grandview_Inventory[[#This Row],[land_extract]]*Lookups!$B$3</f>
        <v>51342.318135355803</v>
      </c>
      <c r="BI1870" s="6">
        <f>IF(Grandview_Inventory[[#This Row],[bldg_style]]="",0,Lookups!$B$2)</f>
        <v>155833.95000000001</v>
      </c>
      <c r="BJ1870" s="6">
        <f>_xlfn.IFNA(VLOOKUP(Grandview_Inventory[[#This Row],[quality]],Lookups!$H$2:$J$14,3,FALSE),0)</f>
        <v>9808</v>
      </c>
      <c r="BK1870" s="6">
        <f>_xlfn.IFNA(VLOOKUP(Grandview_Inventory[[#This Row],[condition]],Lookups!$H$17:$J$24,3,FALSE),0)</f>
        <v>22342</v>
      </c>
      <c r="BL1870" s="6">
        <f>Grandview_Inventory[[#This Row],[Eff_Age]]*Lookups!$B$14</f>
        <v>-6935.8314</v>
      </c>
      <c r="BM1870" s="6">
        <f>Grandview_Inventory[[#This Row],[living_area]]*Lookups!$B$15</f>
        <v>97002.226414999997</v>
      </c>
      <c r="BN1870" s="6">
        <f>Grandview_Inventory[[#This Row],[Fin BSMT]]*Lookups!$B$16</f>
        <v>0</v>
      </c>
      <c r="BO1870" s="6">
        <f>(Grandview_Inventory[[#This Row],[att_gar]]+Grandview_Inventory[[#This Row],[bltin_gar]])*Lookups!$B$17</f>
        <v>46210.790736000003</v>
      </c>
      <c r="BP1870" s="6">
        <f>Grandview_Inventory[[#This Row],[Plumbing Fixtures]]*Lookups!$B$18</f>
        <v>16083.5344</v>
      </c>
      <c r="BQ1870" s="6">
        <f>Grandview_Inventory[[#This Row],[detatched_value]]*Lookups!$B$19</f>
        <v>0</v>
      </c>
      <c r="BR1870" s="6">
        <f>SUM(Grandview_Inventory[[#This Row],[Intercept]:[det_value]])*Grandview_Inventory[[#This Row],[res_pct]]</f>
        <v>340344.67015100003</v>
      </c>
      <c r="BS1870" s="6">
        <f>Grandview_Inventory[[#This Row],[land_value]]</f>
        <v>51342.318135355803</v>
      </c>
      <c r="BT1870" s="4">
        <f>_xlfn.IFNA(VLOOKUP(Grandview_Inventory[[#This Row],[quality]],Lookups!$A$26:$C$33,3,FALSE),1)</f>
        <v>0.94295468617355149</v>
      </c>
      <c r="BU1870" s="4">
        <f>_xlfn.IFNA(VLOOKUP(Grandview_Inventory[[#This Row],[condition]],Lookups!$A$37:$C$44,3,FALSE),1)</f>
        <v>0.97383723671140243</v>
      </c>
      <c r="BV1870" s="4">
        <f>IF(Grandview_Inventory[[#This Row],[bldg_style]]="",1,_xlfn.IFNA(VLOOKUP(Grandview_Inventory[[#This Row],[decade]],Lookups!$F$29:$H$43,3,FALSE),1))</f>
        <v>0.98397821291089549</v>
      </c>
      <c r="BW1870" s="4">
        <f>_xlfn.IFNA(VLOOKUP(Grandview_Inventory[[#This Row],[living_area_range]],Lookups!$F$47:$H$56,3,FALSE),1)</f>
        <v>0.96120133463014379</v>
      </c>
      <c r="BX1870" s="4">
        <f>AVERAGE(Grandview_Inventory[[#This Row],[qual_adj]:[size_adj]])</f>
        <v>0.96549286760649822</v>
      </c>
      <c r="BY1870" s="6">
        <f>IF(Grandview_Inventory[[#This Row],[pre_res]]&lt;0,0,Grandview_Inventory[[#This Row],[pre_res]]*Grandview_Inventory[[#This Row],[overall_adj]])</f>
        <v>328600.35155867675</v>
      </c>
      <c r="BZ1870" s="6">
        <f>(Grandview_Inventory[[#This Row],[sum_land]]-IF(Grandview_Inventory[[#This Row],[no_utilities]]=1,12000,0))/IF(Grandview_Inventory[[#This Row],[unbuildable]]=1,2,1)</f>
        <v>51342.318135355803</v>
      </c>
      <c r="CA187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70">
        <f>ROUND(Grandview_Inventory[[#This Row],[det_value]]*Lookups!$M$28,-2)</f>
        <v>0</v>
      </c>
      <c r="CC1870">
        <f>IF(ROUND(Grandview_Inventory[[#This Row],[adj_res]]*Lookups!$M$28,-2)&lt;Grandview_Inventory[[#This Row],[min_res]],Grandview_Inventory[[#This Row],[min_res]],ROUND(Grandview_Inventory[[#This Row],[adj_res]]*Lookups!$M$28,-2))</f>
        <v>312200</v>
      </c>
      <c r="CD1870">
        <f>Grandview_Inventory[[#This Row],[final_det]]+Grandview_Inventory[[#This Row],[final_res]]</f>
        <v>312200</v>
      </c>
      <c r="CE1870">
        <f>Grandview_Inventory[[#This Row],[final_land]]+Grandview_Inventory[[#This Row],[final_imp]]+Grandview_Inventory[[#This Row],[crop_value]]</f>
        <v>361000</v>
      </c>
      <c r="CG1870" t="str">
        <f t="shared" si="29"/>
        <v>update valuation set market_land =48800, market_bldg=312200, market_total =361000, market_mdno =401, market_date ='9/10/2023' where link_id = (select link_id from parcel where parcel_year = '2024' and parcel_id = '23092334458');</v>
      </c>
    </row>
    <row r="1871" spans="1:85" x14ac:dyDescent="0.25">
      <c r="A1871">
        <v>23092334459</v>
      </c>
      <c r="B1871">
        <v>0.18</v>
      </c>
      <c r="C1871">
        <v>7953</v>
      </c>
      <c r="D1871" t="s">
        <v>129</v>
      </c>
      <c r="E1871" t="s">
        <v>53</v>
      </c>
      <c r="F1871" t="s">
        <v>53</v>
      </c>
      <c r="G1871">
        <v>4</v>
      </c>
      <c r="H1871" t="s">
        <v>54</v>
      </c>
      <c r="I1871">
        <v>196500</v>
      </c>
      <c r="J1871">
        <v>43100</v>
      </c>
      <c r="K1871">
        <v>0.18</v>
      </c>
      <c r="L187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71">
        <v>0</v>
      </c>
      <c r="N1871">
        <v>0</v>
      </c>
      <c r="O1871">
        <v>0</v>
      </c>
      <c r="P1871">
        <v>13398.7528</v>
      </c>
      <c r="Q1871">
        <v>63903</v>
      </c>
      <c r="R1871">
        <f>(Grandview_Inventory[[#This Row],[ln_acres]]*Grandview_Inventory[[#This Row],[coeff]])+Grandview_Inventory[[#This Row],[const]]</f>
        <v>40926.839760167699</v>
      </c>
      <c r="S1871" t="s">
        <v>61</v>
      </c>
      <c r="T1871">
        <v>1</v>
      </c>
      <c r="U1871" t="s">
        <v>62</v>
      </c>
      <c r="V1871" t="s">
        <v>69</v>
      </c>
      <c r="W1871">
        <v>0</v>
      </c>
      <c r="X1871">
        <v>0</v>
      </c>
      <c r="Y1871">
        <v>30</v>
      </c>
      <c r="Z1871">
        <v>30</v>
      </c>
      <c r="AA1871">
        <v>30</v>
      </c>
      <c r="AB1871">
        <v>2500</v>
      </c>
      <c r="AC1871">
        <v>2010</v>
      </c>
      <c r="AD1871">
        <v>2010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240</v>
      </c>
      <c r="AM1871">
        <v>0</v>
      </c>
      <c r="AN1871">
        <v>50</v>
      </c>
      <c r="AO1871">
        <v>240</v>
      </c>
      <c r="AP1871">
        <v>12</v>
      </c>
      <c r="AQ1871">
        <v>0</v>
      </c>
      <c r="AR1871">
        <v>0</v>
      </c>
      <c r="AS1871" t="s">
        <v>58</v>
      </c>
      <c r="AT1871">
        <v>1</v>
      </c>
      <c r="AU1871" t="s">
        <v>59</v>
      </c>
      <c r="AV1871" t="s">
        <v>60</v>
      </c>
      <c r="AW1871">
        <v>1</v>
      </c>
      <c r="AX1871">
        <v>4</v>
      </c>
      <c r="AY1871">
        <v>0</v>
      </c>
      <c r="AZ1871">
        <v>0</v>
      </c>
      <c r="BA1871">
        <v>100</v>
      </c>
      <c r="BB1871">
        <v>100</v>
      </c>
      <c r="BC1871">
        <v>100</v>
      </c>
      <c r="BD1871">
        <v>100</v>
      </c>
      <c r="BE1871">
        <v>1</v>
      </c>
      <c r="BF1871">
        <v>15000</v>
      </c>
      <c r="BG1871">
        <v>1000</v>
      </c>
      <c r="BH1871" s="6">
        <f>Grandview_Inventory[[#This Row],[land_extract]]*Lookups!$B$3</f>
        <v>47528.228511015397</v>
      </c>
      <c r="BI1871" s="6">
        <f>IF(Grandview_Inventory[[#This Row],[bldg_style]]="",0,Lookups!$B$2)</f>
        <v>155833.95000000001</v>
      </c>
      <c r="BJ1871" s="6">
        <f>_xlfn.IFNA(VLOOKUP(Grandview_Inventory[[#This Row],[quality]],Lookups!$H$2:$J$14,3,FALSE),0)</f>
        <v>9808</v>
      </c>
      <c r="BK1871" s="6">
        <f>_xlfn.IFNA(VLOOKUP(Grandview_Inventory[[#This Row],[condition]],Lookups!$H$17:$J$24,3,FALSE),0)</f>
        <v>-4503</v>
      </c>
      <c r="BL1871" s="6">
        <f>Grandview_Inventory[[#This Row],[Eff_Age]]*Lookups!$B$14</f>
        <v>-7174.9979999999996</v>
      </c>
      <c r="BM1871" s="6">
        <f>Grandview_Inventory[[#This Row],[living_area]]*Lookups!$B$15</f>
        <v>125385.51453</v>
      </c>
      <c r="BN1871" s="6">
        <f>Grandview_Inventory[[#This Row],[Fin BSMT]]*Lookups!$B$16</f>
        <v>0</v>
      </c>
      <c r="BO1871" s="6">
        <f>(Grandview_Inventory[[#This Row],[att_gar]]+Grandview_Inventory[[#This Row],[bltin_gar]])*Lookups!$B$17</f>
        <v>0</v>
      </c>
      <c r="BP1871" s="6">
        <f>Grandview_Inventory[[#This Row],[Plumbing Fixtures]]*Lookups!$B$18</f>
        <v>24125.301599999999</v>
      </c>
      <c r="BQ1871" s="6">
        <f>Grandview_Inventory[[#This Row],[detatched_value]]*Lookups!$B$19</f>
        <v>0</v>
      </c>
      <c r="BR1871" s="6">
        <f>SUM(Grandview_Inventory[[#This Row],[Intercept]:[det_value]])*Grandview_Inventory[[#This Row],[res_pct]]</f>
        <v>303474.76813000004</v>
      </c>
      <c r="BS1871" s="6">
        <f>Grandview_Inventory[[#This Row],[land_value]]</f>
        <v>47528.228511015397</v>
      </c>
      <c r="BT1871" s="4">
        <f>_xlfn.IFNA(VLOOKUP(Grandview_Inventory[[#This Row],[quality]],Lookups!$A$26:$C$33,3,FALSE),1)</f>
        <v>0.94295468617355149</v>
      </c>
      <c r="BU1871" s="4">
        <f>_xlfn.IFNA(VLOOKUP(Grandview_Inventory[[#This Row],[condition]],Lookups!$A$37:$C$44,3,FALSE),1)</f>
        <v>0.96469275950863709</v>
      </c>
      <c r="BV1871" s="4">
        <f>IF(Grandview_Inventory[[#This Row],[bldg_style]]="",1,_xlfn.IFNA(VLOOKUP(Grandview_Inventory[[#This Row],[decade]],Lookups!$F$29:$H$43,3,FALSE),1))</f>
        <v>0.98397821291089549</v>
      </c>
      <c r="BW1871" s="4">
        <f>_xlfn.IFNA(VLOOKUP(Grandview_Inventory[[#This Row],[living_area_range]],Lookups!$F$47:$H$56,3,FALSE),1)</f>
        <v>0.95799442568048754</v>
      </c>
      <c r="BX1871" s="4">
        <f>AVERAGE(Grandview_Inventory[[#This Row],[qual_adj]:[size_adj]])</f>
        <v>0.96240502106839287</v>
      </c>
      <c r="BY1871" s="6">
        <f>IF(Grandview_Inventory[[#This Row],[pre_res]]&lt;0,0,Grandview_Inventory[[#This Row],[pre_res]]*Grandview_Inventory[[#This Row],[overall_adj]])</f>
        <v>292065.64061587834</v>
      </c>
      <c r="BZ1871" s="6">
        <f>(Grandview_Inventory[[#This Row],[sum_land]]-IF(Grandview_Inventory[[#This Row],[no_utilities]]=1,12000,0))/IF(Grandview_Inventory[[#This Row],[unbuildable]]=1,2,1)</f>
        <v>47528.228511015397</v>
      </c>
      <c r="CA187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71">
        <f>ROUND(Grandview_Inventory[[#This Row],[det_value]]*Lookups!$M$28,-2)</f>
        <v>0</v>
      </c>
      <c r="CC1871">
        <f>IF(ROUND(Grandview_Inventory[[#This Row],[adj_res]]*Lookups!$M$28,-2)&lt;Grandview_Inventory[[#This Row],[min_res]],Grandview_Inventory[[#This Row],[min_res]],ROUND(Grandview_Inventory[[#This Row],[adj_res]]*Lookups!$M$28,-2))</f>
        <v>277500</v>
      </c>
      <c r="CD1871">
        <f>Grandview_Inventory[[#This Row],[final_det]]+Grandview_Inventory[[#This Row],[final_res]]</f>
        <v>277500</v>
      </c>
      <c r="CE1871">
        <f>Grandview_Inventory[[#This Row],[final_land]]+Grandview_Inventory[[#This Row],[final_imp]]+Grandview_Inventory[[#This Row],[crop_value]]</f>
        <v>322700</v>
      </c>
      <c r="CG1871" t="str">
        <f t="shared" si="29"/>
        <v>update valuation set market_land =45200, market_bldg=277500, market_total =322700, market_mdno =401, market_date ='9/10/2023' where link_id = (select link_id from parcel where parcel_year = '2024' and parcel_id = '23092334459');</v>
      </c>
    </row>
    <row r="1872" spans="1:85" x14ac:dyDescent="0.25">
      <c r="A1872">
        <v>23092334460</v>
      </c>
      <c r="B1872">
        <v>0.18</v>
      </c>
      <c r="C1872">
        <v>7912</v>
      </c>
      <c r="D1872" t="s">
        <v>129</v>
      </c>
      <c r="E1872" t="s">
        <v>53</v>
      </c>
      <c r="F1872" t="s">
        <v>53</v>
      </c>
      <c r="G1872">
        <v>4</v>
      </c>
      <c r="H1872" t="s">
        <v>54</v>
      </c>
      <c r="I1872">
        <v>218700</v>
      </c>
      <c r="J1872">
        <v>39000</v>
      </c>
      <c r="K1872">
        <v>0.18</v>
      </c>
      <c r="L187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72">
        <v>0</v>
      </c>
      <c r="N1872">
        <v>0</v>
      </c>
      <c r="O1872">
        <v>0</v>
      </c>
      <c r="P1872">
        <v>13398.7528</v>
      </c>
      <c r="Q1872">
        <v>63903</v>
      </c>
      <c r="R1872">
        <f>(Grandview_Inventory[[#This Row],[ln_acres]]*Grandview_Inventory[[#This Row],[coeff]])+Grandview_Inventory[[#This Row],[const]]</f>
        <v>40926.839760167699</v>
      </c>
      <c r="S1872" t="s">
        <v>61</v>
      </c>
      <c r="T1872">
        <v>1</v>
      </c>
      <c r="U1872" t="s">
        <v>64</v>
      </c>
      <c r="V1872" t="s">
        <v>69</v>
      </c>
      <c r="W1872">
        <v>0</v>
      </c>
      <c r="X1872">
        <v>0</v>
      </c>
      <c r="Y1872">
        <v>30</v>
      </c>
      <c r="Z1872">
        <v>30</v>
      </c>
      <c r="AA1872">
        <v>30</v>
      </c>
      <c r="AB1872">
        <v>2000</v>
      </c>
      <c r="AC1872">
        <v>1715</v>
      </c>
      <c r="AD1872">
        <v>1715</v>
      </c>
      <c r="AE1872">
        <v>0</v>
      </c>
      <c r="AF1872">
        <v>0</v>
      </c>
      <c r="AG1872">
        <v>0</v>
      </c>
      <c r="AH1872">
        <v>0</v>
      </c>
      <c r="AI1872">
        <v>480</v>
      </c>
      <c r="AJ1872">
        <v>0</v>
      </c>
      <c r="AK1872">
        <v>0</v>
      </c>
      <c r="AL1872">
        <v>360</v>
      </c>
      <c r="AM1872">
        <v>0</v>
      </c>
      <c r="AN1872">
        <v>0</v>
      </c>
      <c r="AO1872">
        <v>360</v>
      </c>
      <c r="AP1872">
        <v>8</v>
      </c>
      <c r="AQ1872">
        <v>0</v>
      </c>
      <c r="AR1872">
        <v>0</v>
      </c>
      <c r="AS1872" t="s">
        <v>58</v>
      </c>
      <c r="AT1872">
        <v>1</v>
      </c>
      <c r="AU1872" t="s">
        <v>59</v>
      </c>
      <c r="AV1872" t="s">
        <v>60</v>
      </c>
      <c r="AW1872">
        <v>1</v>
      </c>
      <c r="AX1872">
        <v>3</v>
      </c>
      <c r="AY1872">
        <v>0</v>
      </c>
      <c r="AZ1872">
        <v>3200</v>
      </c>
      <c r="BA1872">
        <v>100</v>
      </c>
      <c r="BB1872">
        <v>100</v>
      </c>
      <c r="BC1872">
        <v>100</v>
      </c>
      <c r="BD1872">
        <v>100</v>
      </c>
      <c r="BE1872">
        <v>1</v>
      </c>
      <c r="BF1872">
        <v>15000</v>
      </c>
      <c r="BG1872">
        <v>1000</v>
      </c>
      <c r="BH1872" s="6">
        <f>Grandview_Inventory[[#This Row],[land_extract]]*Lookups!$B$3</f>
        <v>47528.228511015397</v>
      </c>
      <c r="BI1872" s="6">
        <f>IF(Grandview_Inventory[[#This Row],[bldg_style]]="",0,Lookups!$B$2)</f>
        <v>155833.95000000001</v>
      </c>
      <c r="BJ1872" s="6">
        <f>_xlfn.IFNA(VLOOKUP(Grandview_Inventory[[#This Row],[quality]],Lookups!$H$2:$J$14,3,FALSE),0)</f>
        <v>20768</v>
      </c>
      <c r="BK1872" s="6">
        <f>_xlfn.IFNA(VLOOKUP(Grandview_Inventory[[#This Row],[condition]],Lookups!$H$17:$J$24,3,FALSE),0)</f>
        <v>-4503</v>
      </c>
      <c r="BL1872" s="6">
        <f>Grandview_Inventory[[#This Row],[Eff_Age]]*Lookups!$B$14</f>
        <v>-7174.9979999999996</v>
      </c>
      <c r="BM1872" s="6">
        <f>Grandview_Inventory[[#This Row],[living_area]]*Lookups!$B$15</f>
        <v>106983.162895</v>
      </c>
      <c r="BN1872" s="6">
        <f>Grandview_Inventory[[#This Row],[Fin BSMT]]*Lookups!$B$16</f>
        <v>0</v>
      </c>
      <c r="BO1872" s="6">
        <f>(Grandview_Inventory[[#This Row],[att_gar]]+Grandview_Inventory[[#This Row],[bltin_gar]])*Lookups!$B$17</f>
        <v>42009.809760000004</v>
      </c>
      <c r="BP1872" s="6">
        <f>Grandview_Inventory[[#This Row],[Plumbing Fixtures]]*Lookups!$B$18</f>
        <v>16083.5344</v>
      </c>
      <c r="BQ1872" s="6">
        <f>Grandview_Inventory[[#This Row],[detatched_value]]*Lookups!$B$19</f>
        <v>2709.7763199999999</v>
      </c>
      <c r="BR1872" s="6">
        <f>SUM(Grandview_Inventory[[#This Row],[Intercept]:[det_value]])*Grandview_Inventory[[#This Row],[res_pct]]</f>
        <v>332710.23537499999</v>
      </c>
      <c r="BS1872" s="6">
        <f>Grandview_Inventory[[#This Row],[land_value]]</f>
        <v>47528.228511015397</v>
      </c>
      <c r="BT1872" s="4">
        <f>_xlfn.IFNA(VLOOKUP(Grandview_Inventory[[#This Row],[quality]],Lookups!$A$26:$C$33,3,FALSE),1)</f>
        <v>0.94960540378902636</v>
      </c>
      <c r="BU1872" s="4">
        <f>_xlfn.IFNA(VLOOKUP(Grandview_Inventory[[#This Row],[condition]],Lookups!$A$37:$C$44,3,FALSE),1)</f>
        <v>0.96469275950863709</v>
      </c>
      <c r="BV1872" s="4">
        <f>IF(Grandview_Inventory[[#This Row],[bldg_style]]="",1,_xlfn.IFNA(VLOOKUP(Grandview_Inventory[[#This Row],[decade]],Lookups!$F$29:$H$43,3,FALSE),1))</f>
        <v>0.98397821291089549</v>
      </c>
      <c r="BW1872" s="4">
        <f>_xlfn.IFNA(VLOOKUP(Grandview_Inventory[[#This Row],[living_area_range]],Lookups!$F$47:$H$56,3,FALSE),1)</f>
        <v>0.96120133463014379</v>
      </c>
      <c r="BX1872" s="4">
        <f>AVERAGE(Grandview_Inventory[[#This Row],[qual_adj]:[size_adj]])</f>
        <v>0.96486942770967565</v>
      </c>
      <c r="BY1872" s="6">
        <f>IF(Grandview_Inventory[[#This Row],[pre_res]]&lt;0,0,Grandview_Inventory[[#This Row],[pre_res]]*Grandview_Inventory[[#This Row],[overall_adj]])</f>
        <v>321021.93439942773</v>
      </c>
      <c r="BZ1872" s="6">
        <f>(Grandview_Inventory[[#This Row],[sum_land]]-IF(Grandview_Inventory[[#This Row],[no_utilities]]=1,12000,0))/IF(Grandview_Inventory[[#This Row],[unbuildable]]=1,2,1)</f>
        <v>47528.228511015397</v>
      </c>
      <c r="CA187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72">
        <f>ROUND(Grandview_Inventory[[#This Row],[det_value]]*Lookups!$M$28,-2)</f>
        <v>2600</v>
      </c>
      <c r="CC1872">
        <f>IF(ROUND(Grandview_Inventory[[#This Row],[adj_res]]*Lookups!$M$28,-2)&lt;Grandview_Inventory[[#This Row],[min_res]],Grandview_Inventory[[#This Row],[min_res]],ROUND(Grandview_Inventory[[#This Row],[adj_res]]*Lookups!$M$28,-2))</f>
        <v>305000</v>
      </c>
      <c r="CD1872">
        <f>Grandview_Inventory[[#This Row],[final_det]]+Grandview_Inventory[[#This Row],[final_res]]</f>
        <v>307600</v>
      </c>
      <c r="CE1872">
        <f>Grandview_Inventory[[#This Row],[final_land]]+Grandview_Inventory[[#This Row],[final_imp]]+Grandview_Inventory[[#This Row],[crop_value]]</f>
        <v>352800</v>
      </c>
      <c r="CG1872" t="str">
        <f t="shared" si="29"/>
        <v>update valuation set market_land =45200, market_bldg=307600, market_total =352800, market_mdno =401, market_date ='9/10/2023' where link_id = (select link_id from parcel where parcel_year = '2024' and parcel_id = '23092334460');</v>
      </c>
    </row>
    <row r="1873" spans="1:85" x14ac:dyDescent="0.25">
      <c r="A1873">
        <v>23092334461</v>
      </c>
      <c r="B1873">
        <v>0.18</v>
      </c>
      <c r="C1873">
        <v>7912</v>
      </c>
      <c r="D1873" t="s">
        <v>129</v>
      </c>
      <c r="E1873" t="s">
        <v>53</v>
      </c>
      <c r="F1873" t="s">
        <v>53</v>
      </c>
      <c r="G1873">
        <v>4</v>
      </c>
      <c r="H1873" t="s">
        <v>54</v>
      </c>
      <c r="I1873">
        <v>146000</v>
      </c>
      <c r="J1873">
        <v>39000</v>
      </c>
      <c r="K1873">
        <v>0.18</v>
      </c>
      <c r="L187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73">
        <v>0</v>
      </c>
      <c r="N1873">
        <v>0</v>
      </c>
      <c r="O1873">
        <v>0</v>
      </c>
      <c r="P1873">
        <v>13398.7528</v>
      </c>
      <c r="Q1873">
        <v>63903</v>
      </c>
      <c r="R1873">
        <f>(Grandview_Inventory[[#This Row],[ln_acres]]*Grandview_Inventory[[#This Row],[coeff]])+Grandview_Inventory[[#This Row],[const]]</f>
        <v>40926.839760167699</v>
      </c>
      <c r="S1873" t="s">
        <v>61</v>
      </c>
      <c r="T1873">
        <v>1</v>
      </c>
      <c r="U1873" t="s">
        <v>65</v>
      </c>
      <c r="V1873" t="s">
        <v>69</v>
      </c>
      <c r="W1873">
        <v>0</v>
      </c>
      <c r="X1873">
        <v>0</v>
      </c>
      <c r="Y1873">
        <v>32</v>
      </c>
      <c r="Z1873">
        <v>32</v>
      </c>
      <c r="AA1873">
        <v>40</v>
      </c>
      <c r="AB1873">
        <v>1500</v>
      </c>
      <c r="AC1873">
        <v>1100</v>
      </c>
      <c r="AD1873">
        <v>1100</v>
      </c>
      <c r="AE1873">
        <v>0</v>
      </c>
      <c r="AF1873">
        <v>0</v>
      </c>
      <c r="AG1873">
        <v>0</v>
      </c>
      <c r="AH1873">
        <v>0</v>
      </c>
      <c r="AI1873">
        <v>240</v>
      </c>
      <c r="AJ1873">
        <v>0</v>
      </c>
      <c r="AK1873">
        <v>0</v>
      </c>
      <c r="AL1873">
        <v>0</v>
      </c>
      <c r="AM1873">
        <v>80</v>
      </c>
      <c r="AN1873">
        <v>208</v>
      </c>
      <c r="AO1873">
        <v>0</v>
      </c>
      <c r="AP1873">
        <v>8</v>
      </c>
      <c r="AQ1873">
        <v>0</v>
      </c>
      <c r="AR1873">
        <v>0</v>
      </c>
      <c r="AS1873" t="s">
        <v>58</v>
      </c>
      <c r="AT1873">
        <v>1</v>
      </c>
      <c r="AU1873" t="s">
        <v>75</v>
      </c>
      <c r="AV1873" t="s">
        <v>60</v>
      </c>
      <c r="AW1873">
        <v>0</v>
      </c>
      <c r="AX1873">
        <v>3</v>
      </c>
      <c r="AY1873">
        <v>0</v>
      </c>
      <c r="AZ1873">
        <v>0</v>
      </c>
      <c r="BA1873">
        <v>100</v>
      </c>
      <c r="BB1873">
        <v>100</v>
      </c>
      <c r="BC1873">
        <v>100</v>
      </c>
      <c r="BD1873">
        <v>100</v>
      </c>
      <c r="BE1873">
        <v>1</v>
      </c>
      <c r="BF1873">
        <v>15000</v>
      </c>
      <c r="BG1873">
        <v>1000</v>
      </c>
      <c r="BH1873" s="6">
        <f>Grandview_Inventory[[#This Row],[land_extract]]*Lookups!$B$3</f>
        <v>47528.228511015397</v>
      </c>
      <c r="BI1873" s="6">
        <f>IF(Grandview_Inventory[[#This Row],[bldg_style]]="",0,Lookups!$B$2)</f>
        <v>155833.95000000001</v>
      </c>
      <c r="BJ1873" s="6">
        <f>_xlfn.IFNA(VLOOKUP(Grandview_Inventory[[#This Row],[quality]],Lookups!$H$2:$J$14,3,FALSE),0)</f>
        <v>2251</v>
      </c>
      <c r="BK1873" s="6">
        <f>_xlfn.IFNA(VLOOKUP(Grandview_Inventory[[#This Row],[condition]],Lookups!$H$17:$J$24,3,FALSE),0)</f>
        <v>-4503</v>
      </c>
      <c r="BL1873" s="6">
        <f>Grandview_Inventory[[#This Row],[Eff_Age]]*Lookups!$B$14</f>
        <v>-7653.3311999999996</v>
      </c>
      <c r="BM1873" s="6">
        <f>Grandview_Inventory[[#This Row],[living_area]]*Lookups!$B$15</f>
        <v>68618.938300000009</v>
      </c>
      <c r="BN1873" s="6">
        <f>Grandview_Inventory[[#This Row],[Fin BSMT]]*Lookups!$B$16</f>
        <v>0</v>
      </c>
      <c r="BO1873" s="6">
        <f>(Grandview_Inventory[[#This Row],[att_gar]]+Grandview_Inventory[[#This Row],[bltin_gar]])*Lookups!$B$17</f>
        <v>21004.904880000002</v>
      </c>
      <c r="BP1873" s="6">
        <f>Grandview_Inventory[[#This Row],[Plumbing Fixtures]]*Lookups!$B$18</f>
        <v>16083.5344</v>
      </c>
      <c r="BQ1873" s="6">
        <f>Grandview_Inventory[[#This Row],[detatched_value]]*Lookups!$B$19</f>
        <v>0</v>
      </c>
      <c r="BR1873" s="6">
        <f>SUM(Grandview_Inventory[[#This Row],[Intercept]:[det_value]])*Grandview_Inventory[[#This Row],[res_pct]]</f>
        <v>251635.99638000003</v>
      </c>
      <c r="BS1873" s="6">
        <f>Grandview_Inventory[[#This Row],[land_value]]</f>
        <v>47528.228511015397</v>
      </c>
      <c r="BT1873" s="4">
        <f>_xlfn.IFNA(VLOOKUP(Grandview_Inventory[[#This Row],[quality]],Lookups!$A$26:$C$33,3,FALSE),1)</f>
        <v>0.98763855981004833</v>
      </c>
      <c r="BU1873" s="4">
        <f>_xlfn.IFNA(VLOOKUP(Grandview_Inventory[[#This Row],[condition]],Lookups!$A$37:$C$44,3,FALSE),1)</f>
        <v>0.96469275950863709</v>
      </c>
      <c r="BV1873" s="4">
        <f>IF(Grandview_Inventory[[#This Row],[bldg_style]]="",1,_xlfn.IFNA(VLOOKUP(Grandview_Inventory[[#This Row],[decade]],Lookups!$F$29:$H$43,3,FALSE),1))</f>
        <v>0.98031878267063854</v>
      </c>
      <c r="BW1873" s="4">
        <f>_xlfn.IFNA(VLOOKUP(Grandview_Inventory[[#This Row],[living_area_range]],Lookups!$F$47:$H$56,3,FALSE),1)</f>
        <v>0.96135087979789358</v>
      </c>
      <c r="BX1873" s="4">
        <f>AVERAGE(Grandview_Inventory[[#This Row],[qual_adj]:[size_adj]])</f>
        <v>0.97350024544680436</v>
      </c>
      <c r="BY1873" s="6">
        <f>IF(Grandview_Inventory[[#This Row],[pre_res]]&lt;0,0,Grandview_Inventory[[#This Row],[pre_res]]*Grandview_Inventory[[#This Row],[overall_adj]])</f>
        <v>244967.70423918118</v>
      </c>
      <c r="BZ1873" s="6">
        <f>(Grandview_Inventory[[#This Row],[sum_land]]-IF(Grandview_Inventory[[#This Row],[no_utilities]]=1,12000,0))/IF(Grandview_Inventory[[#This Row],[unbuildable]]=1,2,1)</f>
        <v>47528.228511015397</v>
      </c>
      <c r="CA187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73">
        <f>ROUND(Grandview_Inventory[[#This Row],[det_value]]*Lookups!$M$28,-2)</f>
        <v>0</v>
      </c>
      <c r="CC1873">
        <f>IF(ROUND(Grandview_Inventory[[#This Row],[adj_res]]*Lookups!$M$28,-2)&lt;Grandview_Inventory[[#This Row],[min_res]],Grandview_Inventory[[#This Row],[min_res]],ROUND(Grandview_Inventory[[#This Row],[adj_res]]*Lookups!$M$28,-2))</f>
        <v>232700</v>
      </c>
      <c r="CD1873">
        <f>Grandview_Inventory[[#This Row],[final_det]]+Grandview_Inventory[[#This Row],[final_res]]</f>
        <v>232700</v>
      </c>
      <c r="CE1873">
        <f>Grandview_Inventory[[#This Row],[final_land]]+Grandview_Inventory[[#This Row],[final_imp]]+Grandview_Inventory[[#This Row],[crop_value]]</f>
        <v>277900</v>
      </c>
      <c r="CG1873" t="str">
        <f t="shared" si="29"/>
        <v>update valuation set market_land =45200, market_bldg=232700, market_total =277900, market_mdno =401, market_date ='9/10/2023' where link_id = (select link_id from parcel where parcel_year = '2024' and parcel_id = '23092334461');</v>
      </c>
    </row>
    <row r="1874" spans="1:85" x14ac:dyDescent="0.25">
      <c r="A1874">
        <v>23092334462</v>
      </c>
      <c r="B1874">
        <v>0.19</v>
      </c>
      <c r="C1874">
        <v>8330</v>
      </c>
      <c r="D1874" t="s">
        <v>129</v>
      </c>
      <c r="E1874" t="s">
        <v>53</v>
      </c>
      <c r="F1874" t="s">
        <v>53</v>
      </c>
      <c r="G1874">
        <v>4</v>
      </c>
      <c r="H1874" t="s">
        <v>54</v>
      </c>
      <c r="I1874">
        <v>196600</v>
      </c>
      <c r="J1874">
        <v>43500</v>
      </c>
      <c r="K1874">
        <v>0.19</v>
      </c>
      <c r="L187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74">
        <v>0</v>
      </c>
      <c r="N1874">
        <v>0</v>
      </c>
      <c r="O1874">
        <v>0</v>
      </c>
      <c r="P1874">
        <v>13398.7528</v>
      </c>
      <c r="Q1874">
        <v>63903</v>
      </c>
      <c r="R1874">
        <f>(Grandview_Inventory[[#This Row],[ln_acres]]*Grandview_Inventory[[#This Row],[coeff]])+Grandview_Inventory[[#This Row],[const]]</f>
        <v>41651.273092551026</v>
      </c>
      <c r="S1874" t="s">
        <v>61</v>
      </c>
      <c r="T1874">
        <v>1</v>
      </c>
      <c r="U1874" t="s">
        <v>65</v>
      </c>
      <c r="V1874" t="s">
        <v>69</v>
      </c>
      <c r="W1874">
        <v>0</v>
      </c>
      <c r="X1874">
        <v>0</v>
      </c>
      <c r="Y1874">
        <v>32</v>
      </c>
      <c r="Z1874">
        <v>32</v>
      </c>
      <c r="AA1874">
        <v>40</v>
      </c>
      <c r="AB1874">
        <v>2000</v>
      </c>
      <c r="AC1874">
        <v>1564</v>
      </c>
      <c r="AD1874">
        <v>1564</v>
      </c>
      <c r="AE1874">
        <v>0</v>
      </c>
      <c r="AF1874">
        <v>0</v>
      </c>
      <c r="AG1874">
        <v>0</v>
      </c>
      <c r="AH1874">
        <v>0</v>
      </c>
      <c r="AI1874">
        <v>400</v>
      </c>
      <c r="AJ1874">
        <v>0</v>
      </c>
      <c r="AK1874">
        <v>0</v>
      </c>
      <c r="AL1874">
        <v>0</v>
      </c>
      <c r="AM1874">
        <v>220</v>
      </c>
      <c r="AN1874">
        <v>0</v>
      </c>
      <c r="AO1874">
        <v>220</v>
      </c>
      <c r="AP1874">
        <v>8</v>
      </c>
      <c r="AQ1874">
        <v>0</v>
      </c>
      <c r="AR1874">
        <v>0</v>
      </c>
      <c r="AS1874" t="s">
        <v>58</v>
      </c>
      <c r="AT1874">
        <v>1</v>
      </c>
      <c r="AU1874" t="s">
        <v>63</v>
      </c>
      <c r="AV1874" t="s">
        <v>60</v>
      </c>
      <c r="AW1874">
        <v>1</v>
      </c>
      <c r="AX1874">
        <v>3</v>
      </c>
      <c r="AY1874">
        <v>0</v>
      </c>
      <c r="AZ1874">
        <v>0</v>
      </c>
      <c r="BA1874">
        <v>100</v>
      </c>
      <c r="BB1874">
        <v>100</v>
      </c>
      <c r="BC1874">
        <v>100</v>
      </c>
      <c r="BD1874">
        <v>100</v>
      </c>
      <c r="BE1874">
        <v>1</v>
      </c>
      <c r="BF1874">
        <v>15000</v>
      </c>
      <c r="BG1874">
        <v>1000</v>
      </c>
      <c r="BH1874" s="6">
        <f>Grandview_Inventory[[#This Row],[land_extract]]*Lookups!$B$3</f>
        <v>48369.510983942157</v>
      </c>
      <c r="BI1874" s="6">
        <f>IF(Grandview_Inventory[[#This Row],[bldg_style]]="",0,Lookups!$B$2)</f>
        <v>155833.95000000001</v>
      </c>
      <c r="BJ1874" s="6">
        <f>_xlfn.IFNA(VLOOKUP(Grandview_Inventory[[#This Row],[quality]],Lookups!$H$2:$J$14,3,FALSE),0)</f>
        <v>2251</v>
      </c>
      <c r="BK1874" s="6">
        <f>_xlfn.IFNA(VLOOKUP(Grandview_Inventory[[#This Row],[condition]],Lookups!$H$17:$J$24,3,FALSE),0)</f>
        <v>-4503</v>
      </c>
      <c r="BL1874" s="6">
        <f>Grandview_Inventory[[#This Row],[Eff_Age]]*Lookups!$B$14</f>
        <v>-7653.3311999999996</v>
      </c>
      <c r="BM1874" s="6">
        <f>Grandview_Inventory[[#This Row],[living_area]]*Lookups!$B$15</f>
        <v>97563.654091999997</v>
      </c>
      <c r="BN1874" s="6">
        <f>Grandview_Inventory[[#This Row],[Fin BSMT]]*Lookups!$B$16</f>
        <v>0</v>
      </c>
      <c r="BO1874" s="6">
        <f>(Grandview_Inventory[[#This Row],[att_gar]]+Grandview_Inventory[[#This Row],[bltin_gar]])*Lookups!$B$17</f>
        <v>35008.174800000001</v>
      </c>
      <c r="BP1874" s="6">
        <f>Grandview_Inventory[[#This Row],[Plumbing Fixtures]]*Lookups!$B$18</f>
        <v>16083.5344</v>
      </c>
      <c r="BQ1874" s="6">
        <f>Grandview_Inventory[[#This Row],[detatched_value]]*Lookups!$B$19</f>
        <v>0</v>
      </c>
      <c r="BR1874" s="6">
        <f>SUM(Grandview_Inventory[[#This Row],[Intercept]:[det_value]])*Grandview_Inventory[[#This Row],[res_pct]]</f>
        <v>294583.98209200002</v>
      </c>
      <c r="BS1874" s="6">
        <f>Grandview_Inventory[[#This Row],[land_value]]</f>
        <v>48369.510983942157</v>
      </c>
      <c r="BT1874" s="4">
        <f>_xlfn.IFNA(VLOOKUP(Grandview_Inventory[[#This Row],[quality]],Lookups!$A$26:$C$33,3,FALSE),1)</f>
        <v>0.98763855981004833</v>
      </c>
      <c r="BU1874" s="4">
        <f>_xlfn.IFNA(VLOOKUP(Grandview_Inventory[[#This Row],[condition]],Lookups!$A$37:$C$44,3,FALSE),1)</f>
        <v>0.96469275950863709</v>
      </c>
      <c r="BV1874" s="4">
        <f>IF(Grandview_Inventory[[#This Row],[bldg_style]]="",1,_xlfn.IFNA(VLOOKUP(Grandview_Inventory[[#This Row],[decade]],Lookups!$F$29:$H$43,3,FALSE),1))</f>
        <v>0.98031878267063854</v>
      </c>
      <c r="BW1874" s="4">
        <f>_xlfn.IFNA(VLOOKUP(Grandview_Inventory[[#This Row],[living_area_range]],Lookups!$F$47:$H$56,3,FALSE),1)</f>
        <v>0.96120133463014379</v>
      </c>
      <c r="BX1874" s="4">
        <f>AVERAGE(Grandview_Inventory[[#This Row],[qual_adj]:[size_adj]])</f>
        <v>0.97346285915486686</v>
      </c>
      <c r="BY1874" s="6">
        <f>IF(Grandview_Inventory[[#This Row],[pre_res]]&lt;0,0,Grandview_Inventory[[#This Row],[pre_res]]*Grandview_Inventory[[#This Row],[overall_adj]])</f>
        <v>286766.56546850444</v>
      </c>
      <c r="BZ1874" s="6">
        <f>(Grandview_Inventory[[#This Row],[sum_land]]-IF(Grandview_Inventory[[#This Row],[no_utilities]]=1,12000,0))/IF(Grandview_Inventory[[#This Row],[unbuildable]]=1,2,1)</f>
        <v>48369.510983942157</v>
      </c>
      <c r="CA187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74">
        <f>ROUND(Grandview_Inventory[[#This Row],[det_value]]*Lookups!$M$28,-2)</f>
        <v>0</v>
      </c>
      <c r="CC1874">
        <f>IF(ROUND(Grandview_Inventory[[#This Row],[adj_res]]*Lookups!$M$28,-2)&lt;Grandview_Inventory[[#This Row],[min_res]],Grandview_Inventory[[#This Row],[min_res]],ROUND(Grandview_Inventory[[#This Row],[adj_res]]*Lookups!$M$28,-2))</f>
        <v>272400</v>
      </c>
      <c r="CD1874">
        <f>Grandview_Inventory[[#This Row],[final_det]]+Grandview_Inventory[[#This Row],[final_res]]</f>
        <v>272400</v>
      </c>
      <c r="CE1874">
        <f>Grandview_Inventory[[#This Row],[final_land]]+Grandview_Inventory[[#This Row],[final_imp]]+Grandview_Inventory[[#This Row],[crop_value]]</f>
        <v>318400</v>
      </c>
      <c r="CG1874" t="str">
        <f t="shared" si="29"/>
        <v>update valuation set market_land =46000, market_bldg=272400, market_total =318400, market_mdno =401, market_date ='9/10/2023' where link_id = (select link_id from parcel where parcel_year = '2024' and parcel_id = '23092334462');</v>
      </c>
    </row>
    <row r="1875" spans="1:85" x14ac:dyDescent="0.25">
      <c r="A1875">
        <v>23092334463</v>
      </c>
      <c r="B1875">
        <v>0.23</v>
      </c>
      <c r="C1875">
        <v>9937</v>
      </c>
      <c r="D1875" t="s">
        <v>129</v>
      </c>
      <c r="E1875" t="s">
        <v>53</v>
      </c>
      <c r="F1875" t="s">
        <v>53</v>
      </c>
      <c r="G1875">
        <v>4</v>
      </c>
      <c r="H1875" t="s">
        <v>54</v>
      </c>
      <c r="I1875">
        <v>154200</v>
      </c>
      <c r="J1875">
        <v>39500</v>
      </c>
      <c r="K1875">
        <v>0.23</v>
      </c>
      <c r="L187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875">
        <v>0</v>
      </c>
      <c r="N1875">
        <v>0</v>
      </c>
      <c r="O1875">
        <v>0</v>
      </c>
      <c r="P1875">
        <v>13398.7528</v>
      </c>
      <c r="Q1875">
        <v>63903</v>
      </c>
      <c r="R1875">
        <f>(Grandview_Inventory[[#This Row],[ln_acres]]*Grandview_Inventory[[#This Row],[coeff]])+Grandview_Inventory[[#This Row],[const]]</f>
        <v>44211.174981080039</v>
      </c>
      <c r="S1875" t="s">
        <v>61</v>
      </c>
      <c r="T1875">
        <v>1</v>
      </c>
      <c r="U1875" t="s">
        <v>65</v>
      </c>
      <c r="V1875" t="s">
        <v>69</v>
      </c>
      <c r="W1875">
        <v>0</v>
      </c>
      <c r="X1875">
        <v>0</v>
      </c>
      <c r="Y1875">
        <v>28</v>
      </c>
      <c r="Z1875">
        <v>28</v>
      </c>
      <c r="AA1875">
        <v>30</v>
      </c>
      <c r="AB1875">
        <v>1500</v>
      </c>
      <c r="AC1875">
        <v>1071</v>
      </c>
      <c r="AD1875">
        <v>1071</v>
      </c>
      <c r="AE1875">
        <v>0</v>
      </c>
      <c r="AF1875">
        <v>0</v>
      </c>
      <c r="AG1875">
        <v>0</v>
      </c>
      <c r="AH1875">
        <v>0</v>
      </c>
      <c r="AI1875">
        <v>260</v>
      </c>
      <c r="AJ1875">
        <v>0</v>
      </c>
      <c r="AK1875">
        <v>0</v>
      </c>
      <c r="AL1875">
        <v>0</v>
      </c>
      <c r="AM1875">
        <v>360</v>
      </c>
      <c r="AN1875">
        <v>28</v>
      </c>
      <c r="AO1875">
        <v>360</v>
      </c>
      <c r="AP1875">
        <v>5</v>
      </c>
      <c r="AQ1875">
        <v>0</v>
      </c>
      <c r="AR1875">
        <v>0</v>
      </c>
      <c r="AS1875" t="s">
        <v>58</v>
      </c>
      <c r="AT1875">
        <v>1</v>
      </c>
      <c r="AU1875" t="s">
        <v>59</v>
      </c>
      <c r="AV1875" t="s">
        <v>60</v>
      </c>
      <c r="AW1875">
        <v>1</v>
      </c>
      <c r="AX1875">
        <v>3</v>
      </c>
      <c r="AY1875">
        <v>0</v>
      </c>
      <c r="AZ1875">
        <v>0</v>
      </c>
      <c r="BA1875">
        <v>100</v>
      </c>
      <c r="BB1875">
        <v>100</v>
      </c>
      <c r="BC1875">
        <v>100</v>
      </c>
      <c r="BD1875">
        <v>100</v>
      </c>
      <c r="BE1875">
        <v>1</v>
      </c>
      <c r="BF1875">
        <v>15000</v>
      </c>
      <c r="BG1875">
        <v>1000</v>
      </c>
      <c r="BH1875" s="6">
        <f>Grandview_Inventory[[#This Row],[land_extract]]*Lookups!$B$3</f>
        <v>51342.318135355803</v>
      </c>
      <c r="BI1875" s="6">
        <f>IF(Grandview_Inventory[[#This Row],[bldg_style]]="",0,Lookups!$B$2)</f>
        <v>155833.95000000001</v>
      </c>
      <c r="BJ1875" s="6">
        <f>_xlfn.IFNA(VLOOKUP(Grandview_Inventory[[#This Row],[quality]],Lookups!$H$2:$J$14,3,FALSE),0)</f>
        <v>2251</v>
      </c>
      <c r="BK1875" s="6">
        <f>_xlfn.IFNA(VLOOKUP(Grandview_Inventory[[#This Row],[condition]],Lookups!$H$17:$J$24,3,FALSE),0)</f>
        <v>-4503</v>
      </c>
      <c r="BL1875" s="6">
        <f>Grandview_Inventory[[#This Row],[Eff_Age]]*Lookups!$B$14</f>
        <v>-6696.6647999999996</v>
      </c>
      <c r="BM1875" s="6">
        <f>Grandview_Inventory[[#This Row],[living_area]]*Lookups!$B$15</f>
        <v>66809.893563000005</v>
      </c>
      <c r="BN1875" s="6">
        <f>Grandview_Inventory[[#This Row],[Fin BSMT]]*Lookups!$B$16</f>
        <v>0</v>
      </c>
      <c r="BO1875" s="6">
        <f>(Grandview_Inventory[[#This Row],[att_gar]]+Grandview_Inventory[[#This Row],[bltin_gar]])*Lookups!$B$17</f>
        <v>22755.313620000001</v>
      </c>
      <c r="BP1875" s="6">
        <f>Grandview_Inventory[[#This Row],[Plumbing Fixtures]]*Lookups!$B$18</f>
        <v>10052.209000000001</v>
      </c>
      <c r="BQ1875" s="6">
        <f>Grandview_Inventory[[#This Row],[detatched_value]]*Lookups!$B$19</f>
        <v>0</v>
      </c>
      <c r="BR1875" s="6">
        <f>SUM(Grandview_Inventory[[#This Row],[Intercept]:[det_value]])*Grandview_Inventory[[#This Row],[res_pct]]</f>
        <v>246502.70138300001</v>
      </c>
      <c r="BS1875" s="6">
        <f>Grandview_Inventory[[#This Row],[land_value]]</f>
        <v>51342.318135355803</v>
      </c>
      <c r="BT1875" s="4">
        <f>_xlfn.IFNA(VLOOKUP(Grandview_Inventory[[#This Row],[quality]],Lookups!$A$26:$C$33,3,FALSE),1)</f>
        <v>0.98763855981004833</v>
      </c>
      <c r="BU1875" s="4">
        <f>_xlfn.IFNA(VLOOKUP(Grandview_Inventory[[#This Row],[condition]],Lookups!$A$37:$C$44,3,FALSE),1)</f>
        <v>0.96469275950863709</v>
      </c>
      <c r="BV1875" s="4">
        <f>IF(Grandview_Inventory[[#This Row],[bldg_style]]="",1,_xlfn.IFNA(VLOOKUP(Grandview_Inventory[[#This Row],[decade]],Lookups!$F$29:$H$43,3,FALSE),1))</f>
        <v>0.98397821291089549</v>
      </c>
      <c r="BW1875" s="4">
        <f>_xlfn.IFNA(VLOOKUP(Grandview_Inventory[[#This Row],[living_area_range]],Lookups!$F$47:$H$56,3,FALSE),1)</f>
        <v>0.96135087979789358</v>
      </c>
      <c r="BX1875" s="4">
        <f>AVERAGE(Grandview_Inventory[[#This Row],[qual_adj]:[size_adj]])</f>
        <v>0.97441510300686862</v>
      </c>
      <c r="BY1875" s="6">
        <f>IF(Grandview_Inventory[[#This Row],[pre_res]]&lt;0,0,Grandview_Inventory[[#This Row],[pre_res]]*Grandview_Inventory[[#This Row],[overall_adj]])</f>
        <v>240195.95515958732</v>
      </c>
      <c r="BZ1875" s="6">
        <f>(Grandview_Inventory[[#This Row],[sum_land]]-IF(Grandview_Inventory[[#This Row],[no_utilities]]=1,12000,0))/IF(Grandview_Inventory[[#This Row],[unbuildable]]=1,2,1)</f>
        <v>51342.318135355803</v>
      </c>
      <c r="CA187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875">
        <f>ROUND(Grandview_Inventory[[#This Row],[det_value]]*Lookups!$M$28,-2)</f>
        <v>0</v>
      </c>
      <c r="CC1875">
        <f>IF(ROUND(Grandview_Inventory[[#This Row],[adj_res]]*Lookups!$M$28,-2)&lt;Grandview_Inventory[[#This Row],[min_res]],Grandview_Inventory[[#This Row],[min_res]],ROUND(Grandview_Inventory[[#This Row],[adj_res]]*Lookups!$M$28,-2))</f>
        <v>228200</v>
      </c>
      <c r="CD1875">
        <f>Grandview_Inventory[[#This Row],[final_det]]+Grandview_Inventory[[#This Row],[final_res]]</f>
        <v>228200</v>
      </c>
      <c r="CE1875">
        <f>Grandview_Inventory[[#This Row],[final_land]]+Grandview_Inventory[[#This Row],[final_imp]]+Grandview_Inventory[[#This Row],[crop_value]]</f>
        <v>277000</v>
      </c>
      <c r="CG1875" t="str">
        <f t="shared" si="29"/>
        <v>update valuation set market_land =48800, market_bldg=228200, market_total =277000, market_mdno =401, market_date ='9/10/2023' where link_id = (select link_id from parcel where parcel_year = '2024' and parcel_id = '23092334463');</v>
      </c>
    </row>
    <row r="1876" spans="1:85" x14ac:dyDescent="0.25">
      <c r="A1876">
        <v>23092334467</v>
      </c>
      <c r="B1876">
        <v>0.69</v>
      </c>
      <c r="C1876">
        <v>30047</v>
      </c>
      <c r="D1876" t="s">
        <v>129</v>
      </c>
      <c r="E1876" t="s">
        <v>53</v>
      </c>
      <c r="F1876" t="s">
        <v>53</v>
      </c>
      <c r="G1876">
        <v>4</v>
      </c>
      <c r="H1876" t="s">
        <v>54</v>
      </c>
      <c r="I1876">
        <v>260800</v>
      </c>
      <c r="J1876">
        <v>42600</v>
      </c>
      <c r="K1876">
        <v>0.69</v>
      </c>
      <c r="L1876">
        <f>IF(Grandview_Inventory[[#This Row],[parcel_acres]]-Grandview_Inventory[[#This Row],[non_valued_acres]] =0,0,LN(Grandview_Inventory[[#This Row],[parcel_acres]]-Grandview_Inventory[[#This Row],[non_valued_acres]]))</f>
        <v>-0.37106368139083207</v>
      </c>
      <c r="M1876">
        <v>0</v>
      </c>
      <c r="N1876">
        <v>0</v>
      </c>
      <c r="O1876">
        <v>0</v>
      </c>
      <c r="P1876">
        <v>13398.7528</v>
      </c>
      <c r="Q1876">
        <v>63903</v>
      </c>
      <c r="R1876">
        <f>(Grandview_Inventory[[#This Row],[ln_acres]]*Grandview_Inventory[[#This Row],[coeff]])+Grandview_Inventory[[#This Row],[const]]</f>
        <v>58931.209459986283</v>
      </c>
      <c r="S1876" t="s">
        <v>68</v>
      </c>
      <c r="T1876">
        <v>1</v>
      </c>
      <c r="U1876" t="s">
        <v>70</v>
      </c>
      <c r="V1876" t="s">
        <v>78</v>
      </c>
      <c r="W1876">
        <v>0</v>
      </c>
      <c r="X1876">
        <v>0</v>
      </c>
      <c r="Y1876">
        <v>51</v>
      </c>
      <c r="Z1876">
        <v>78</v>
      </c>
      <c r="AA1876">
        <v>80</v>
      </c>
      <c r="AB1876">
        <v>1500</v>
      </c>
      <c r="AC1876">
        <v>1008</v>
      </c>
      <c r="AD1876">
        <v>1008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5</v>
      </c>
      <c r="AQ1876">
        <v>0</v>
      </c>
      <c r="AR1876">
        <v>0</v>
      </c>
      <c r="AS1876" t="s">
        <v>58</v>
      </c>
      <c r="AT1876">
        <v>1</v>
      </c>
      <c r="AU1876" t="s">
        <v>59</v>
      </c>
      <c r="AV1876" t="s">
        <v>60</v>
      </c>
      <c r="AW1876">
        <v>1</v>
      </c>
      <c r="AX1876">
        <v>2</v>
      </c>
      <c r="AY1876">
        <v>0</v>
      </c>
      <c r="AZ1876">
        <v>129400</v>
      </c>
      <c r="BA1876">
        <v>100</v>
      </c>
      <c r="BB1876">
        <v>100</v>
      </c>
      <c r="BC1876">
        <v>100</v>
      </c>
      <c r="BD1876">
        <v>100</v>
      </c>
      <c r="BE1876">
        <v>1</v>
      </c>
      <c r="BF1876">
        <v>15000</v>
      </c>
      <c r="BG1876">
        <v>1000</v>
      </c>
      <c r="BH1876" s="6">
        <f>Grandview_Inventory[[#This Row],[land_extract]]*Lookups!$B$3</f>
        <v>68436.654431616524</v>
      </c>
      <c r="BI1876" s="6">
        <f>IF(Grandview_Inventory[[#This Row],[bldg_style]]="",0,Lookups!$B$2)</f>
        <v>155833.95000000001</v>
      </c>
      <c r="BJ1876" s="6">
        <f>_xlfn.IFNA(VLOOKUP(Grandview_Inventory[[#This Row],[quality]],Lookups!$H$2:$J$14,3,FALSE),0)</f>
        <v>10733</v>
      </c>
      <c r="BK1876" s="6">
        <f>_xlfn.IFNA(VLOOKUP(Grandview_Inventory[[#This Row],[condition]],Lookups!$H$17:$J$24,3,FALSE),0)</f>
        <v>-45357</v>
      </c>
      <c r="BL1876" s="6">
        <f>Grandview_Inventory[[#This Row],[Eff_Age]]*Lookups!$B$14</f>
        <v>-12197.496599999999</v>
      </c>
      <c r="BM1876" s="6">
        <f>Grandview_Inventory[[#This Row],[living_area]]*Lookups!$B$15</f>
        <v>62879.899824</v>
      </c>
      <c r="BN1876" s="6">
        <f>Grandview_Inventory[[#This Row],[Fin BSMT]]*Lookups!$B$16</f>
        <v>0</v>
      </c>
      <c r="BO1876" s="6">
        <f>(Grandview_Inventory[[#This Row],[att_gar]]+Grandview_Inventory[[#This Row],[bltin_gar]])*Lookups!$B$17</f>
        <v>0</v>
      </c>
      <c r="BP1876" s="6">
        <f>Grandview_Inventory[[#This Row],[Plumbing Fixtures]]*Lookups!$B$18</f>
        <v>10052.209000000001</v>
      </c>
      <c r="BQ1876" s="6">
        <f>Grandview_Inventory[[#This Row],[detatched_value]]*Lookups!$B$19</f>
        <v>109576.57994</v>
      </c>
      <c r="BR1876" s="6">
        <f>SUM(Grandview_Inventory[[#This Row],[Intercept]:[det_value]])*Grandview_Inventory[[#This Row],[res_pct]]</f>
        <v>291521.14216400002</v>
      </c>
      <c r="BS1876" s="6">
        <f>Grandview_Inventory[[#This Row],[land_value]]</f>
        <v>68436.654431616524</v>
      </c>
      <c r="BT1876" s="4">
        <f>_xlfn.IFNA(VLOOKUP(Grandview_Inventory[[#This Row],[quality]],Lookups!$A$26:$C$33,3,FALSE),1)</f>
        <v>0.98079741117310582</v>
      </c>
      <c r="BU1876" s="4">
        <f>_xlfn.IFNA(VLOOKUP(Grandview_Inventory[[#This Row],[condition]],Lookups!$A$37:$C$44,3,FALSE),1)</f>
        <v>0.97161819570155394</v>
      </c>
      <c r="BV1876" s="4">
        <f>IF(Grandview_Inventory[[#This Row],[bldg_style]]="",1,_xlfn.IFNA(VLOOKUP(Grandview_Inventory[[#This Row],[decade]],Lookups!$F$29:$H$43,3,FALSE),1))</f>
        <v>0.98763256963907298</v>
      </c>
      <c r="BW1876" s="4">
        <f>_xlfn.IFNA(VLOOKUP(Grandview_Inventory[[#This Row],[living_area_range]],Lookups!$F$47:$H$56,3,FALSE),1)</f>
        <v>0.96135087979789358</v>
      </c>
      <c r="BX1876" s="4">
        <f>AVERAGE(Grandview_Inventory[[#This Row],[qual_adj]:[size_adj]])</f>
        <v>0.97534976407790652</v>
      </c>
      <c r="BY1876" s="6">
        <f>IF(Grandview_Inventory[[#This Row],[pre_res]]&lt;0,0,Grandview_Inventory[[#This Row],[pre_res]]*Grandview_Inventory[[#This Row],[overall_adj]])</f>
        <v>284335.07723337924</v>
      </c>
      <c r="BZ1876" s="6">
        <f>(Grandview_Inventory[[#This Row],[sum_land]]-IF(Grandview_Inventory[[#This Row],[no_utilities]]=1,12000,0))/IF(Grandview_Inventory[[#This Row],[unbuildable]]=1,2,1)</f>
        <v>68436.654431616524</v>
      </c>
      <c r="CA1876">
        <f>IF(ROUND(Grandview_Inventory[[#This Row],[adj_land]]*Lookups!$M$28,-2)&lt;Grandview_Inventory[[#This Row],[min_land]],Grandview_Inventory[[#This Row],[min_land]],ROUND(Grandview_Inventory[[#This Row],[adj_land]]*Lookups!$M$28,-2))</f>
        <v>65000</v>
      </c>
      <c r="CB1876">
        <f>ROUND(Grandview_Inventory[[#This Row],[det_value]]*Lookups!$M$28,-2)</f>
        <v>104100</v>
      </c>
      <c r="CC1876">
        <f>IF(ROUND(Grandview_Inventory[[#This Row],[adj_res]]*Lookups!$M$28,-2)&lt;Grandview_Inventory[[#This Row],[min_res]],Grandview_Inventory[[#This Row],[min_res]],ROUND(Grandview_Inventory[[#This Row],[adj_res]]*Lookups!$M$28,-2))</f>
        <v>270100</v>
      </c>
      <c r="CD1876">
        <f>Grandview_Inventory[[#This Row],[final_det]]+Grandview_Inventory[[#This Row],[final_res]]</f>
        <v>374200</v>
      </c>
      <c r="CE1876">
        <f>Grandview_Inventory[[#This Row],[final_land]]+Grandview_Inventory[[#This Row],[final_imp]]+Grandview_Inventory[[#This Row],[crop_value]]</f>
        <v>439200</v>
      </c>
      <c r="CG1876" t="str">
        <f t="shared" si="29"/>
        <v>update valuation set market_land =65000, market_bldg=374200, market_total =439200, market_mdno =401, market_date ='9/10/2023' where link_id = (select link_id from parcel where parcel_year = '2024' and parcel_id = '23092334467');</v>
      </c>
    </row>
    <row r="1877" spans="1:85" x14ac:dyDescent="0.25">
      <c r="A1877">
        <v>23092334468</v>
      </c>
      <c r="B1877">
        <v>0.69</v>
      </c>
      <c r="C1877">
        <v>30030</v>
      </c>
      <c r="D1877" t="s">
        <v>129</v>
      </c>
      <c r="E1877" t="s">
        <v>53</v>
      </c>
      <c r="F1877" t="s">
        <v>53</v>
      </c>
      <c r="G1877">
        <v>4</v>
      </c>
      <c r="H1877" t="s">
        <v>54</v>
      </c>
      <c r="I1877">
        <v>322900</v>
      </c>
      <c r="J1877">
        <v>42600</v>
      </c>
      <c r="K1877">
        <v>0.69</v>
      </c>
      <c r="L1877">
        <f>IF(Grandview_Inventory[[#This Row],[parcel_acres]]-Grandview_Inventory[[#This Row],[non_valued_acres]] =0,0,LN(Grandview_Inventory[[#This Row],[parcel_acres]]-Grandview_Inventory[[#This Row],[non_valued_acres]]))</f>
        <v>-0.37106368139083207</v>
      </c>
      <c r="M1877">
        <v>0</v>
      </c>
      <c r="N1877">
        <v>0</v>
      </c>
      <c r="O1877">
        <v>0</v>
      </c>
      <c r="P1877">
        <v>13398.7528</v>
      </c>
      <c r="Q1877">
        <v>63903</v>
      </c>
      <c r="R1877">
        <f>(Grandview_Inventory[[#This Row],[ln_acres]]*Grandview_Inventory[[#This Row],[coeff]])+Grandview_Inventory[[#This Row],[const]]</f>
        <v>58931.209459986283</v>
      </c>
      <c r="S1877" t="s">
        <v>58</v>
      </c>
      <c r="T1877">
        <v>2</v>
      </c>
      <c r="U1877" t="s">
        <v>62</v>
      </c>
      <c r="V1877" t="s">
        <v>69</v>
      </c>
      <c r="W1877">
        <v>0</v>
      </c>
      <c r="X1877">
        <v>0</v>
      </c>
      <c r="Y1877">
        <v>41</v>
      </c>
      <c r="Z1877">
        <v>41</v>
      </c>
      <c r="AA1877">
        <v>50</v>
      </c>
      <c r="AB1877">
        <v>2000</v>
      </c>
      <c r="AC1877">
        <v>1768</v>
      </c>
      <c r="AD1877">
        <v>1378</v>
      </c>
      <c r="AE1877">
        <v>390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597</v>
      </c>
      <c r="AM1877">
        <v>386</v>
      </c>
      <c r="AN1877">
        <v>0</v>
      </c>
      <c r="AO1877">
        <v>88</v>
      </c>
      <c r="AP1877">
        <v>10</v>
      </c>
      <c r="AQ1877">
        <v>0</v>
      </c>
      <c r="AR1877">
        <v>0</v>
      </c>
      <c r="AS1877" t="s">
        <v>58</v>
      </c>
      <c r="AT1877">
        <v>1</v>
      </c>
      <c r="AU1877" t="s">
        <v>63</v>
      </c>
      <c r="AV1877" t="s">
        <v>64</v>
      </c>
      <c r="AW1877">
        <v>1</v>
      </c>
      <c r="AX1877">
        <v>2</v>
      </c>
      <c r="AY1877">
        <v>0</v>
      </c>
      <c r="AZ1877">
        <v>134300</v>
      </c>
      <c r="BA1877">
        <v>100</v>
      </c>
      <c r="BB1877">
        <v>100</v>
      </c>
      <c r="BC1877">
        <v>100</v>
      </c>
      <c r="BD1877">
        <v>100</v>
      </c>
      <c r="BE1877">
        <v>1</v>
      </c>
      <c r="BF1877">
        <v>15000</v>
      </c>
      <c r="BG1877">
        <v>1000</v>
      </c>
      <c r="BH1877" s="6">
        <f>Grandview_Inventory[[#This Row],[land_extract]]*Lookups!$B$3</f>
        <v>68436.654431616524</v>
      </c>
      <c r="BI1877" s="6">
        <f>IF(Grandview_Inventory[[#This Row],[bldg_style]]="",0,Lookups!$B$2)</f>
        <v>155833.95000000001</v>
      </c>
      <c r="BJ1877" s="6">
        <f>_xlfn.IFNA(VLOOKUP(Grandview_Inventory[[#This Row],[quality]],Lookups!$H$2:$J$14,3,FALSE),0)</f>
        <v>9808</v>
      </c>
      <c r="BK1877" s="6">
        <f>_xlfn.IFNA(VLOOKUP(Grandview_Inventory[[#This Row],[condition]],Lookups!$H$17:$J$24,3,FALSE),0)</f>
        <v>-4503</v>
      </c>
      <c r="BL1877" s="6">
        <f>Grandview_Inventory[[#This Row],[Eff_Age]]*Lookups!$B$14</f>
        <v>-9805.8305999999993</v>
      </c>
      <c r="BM1877" s="6">
        <f>Grandview_Inventory[[#This Row],[living_area]]*Lookups!$B$15</f>
        <v>110289.348104</v>
      </c>
      <c r="BN1877" s="6">
        <f>Grandview_Inventory[[#This Row],[Fin BSMT]]*Lookups!$B$16</f>
        <v>0</v>
      </c>
      <c r="BO1877" s="6">
        <f>(Grandview_Inventory[[#This Row],[att_gar]]+Grandview_Inventory[[#This Row],[bltin_gar]])*Lookups!$B$17</f>
        <v>0</v>
      </c>
      <c r="BP1877" s="6">
        <f>Grandview_Inventory[[#This Row],[Plumbing Fixtures]]*Lookups!$B$18</f>
        <v>20104.418000000001</v>
      </c>
      <c r="BQ1877" s="6">
        <f>Grandview_Inventory[[#This Row],[detatched_value]]*Lookups!$B$19</f>
        <v>113725.92492999999</v>
      </c>
      <c r="BR1877" s="6">
        <f>SUM(Grandview_Inventory[[#This Row],[Intercept]:[det_value]])*Grandview_Inventory[[#This Row],[res_pct]]</f>
        <v>395452.81043399998</v>
      </c>
      <c r="BS1877" s="6">
        <f>Grandview_Inventory[[#This Row],[land_value]]</f>
        <v>68436.654431616524</v>
      </c>
      <c r="BT1877" s="4">
        <f>_xlfn.IFNA(VLOOKUP(Grandview_Inventory[[#This Row],[quality]],Lookups!$A$26:$C$33,3,FALSE),1)</f>
        <v>0.94295468617355149</v>
      </c>
      <c r="BU1877" s="4">
        <f>_xlfn.IFNA(VLOOKUP(Grandview_Inventory[[#This Row],[condition]],Lookups!$A$37:$C$44,3,FALSE),1)</f>
        <v>0.96469275950863709</v>
      </c>
      <c r="BV1877" s="4">
        <f>IF(Grandview_Inventory[[#This Row],[bldg_style]]="",1,_xlfn.IFNA(VLOOKUP(Grandview_Inventory[[#This Row],[decade]],Lookups!$F$29:$H$43,3,FALSE),1))</f>
        <v>0.9871940091910919</v>
      </c>
      <c r="BW1877" s="4">
        <f>_xlfn.IFNA(VLOOKUP(Grandview_Inventory[[#This Row],[living_area_range]],Lookups!$F$47:$H$56,3,FALSE),1)</f>
        <v>0.96120133463014379</v>
      </c>
      <c r="BX1877" s="4">
        <f>AVERAGE(Grandview_Inventory[[#This Row],[qual_adj]:[size_adj]])</f>
        <v>0.96401069737585598</v>
      </c>
      <c r="BY1877" s="6">
        <f>IF(Grandview_Inventory[[#This Row],[pre_res]]&lt;0,0,Grandview_Inventory[[#This Row],[pre_res]]*Grandview_Inventory[[#This Row],[overall_adj]])</f>
        <v>381220.73956572253</v>
      </c>
      <c r="BZ1877" s="6">
        <f>(Grandview_Inventory[[#This Row],[sum_land]]-IF(Grandview_Inventory[[#This Row],[no_utilities]]=1,12000,0))/IF(Grandview_Inventory[[#This Row],[unbuildable]]=1,2,1)</f>
        <v>68436.654431616524</v>
      </c>
      <c r="CA1877">
        <f>IF(ROUND(Grandview_Inventory[[#This Row],[adj_land]]*Lookups!$M$28,-2)&lt;Grandview_Inventory[[#This Row],[min_land]],Grandview_Inventory[[#This Row],[min_land]],ROUND(Grandview_Inventory[[#This Row],[adj_land]]*Lookups!$M$28,-2))</f>
        <v>65000</v>
      </c>
      <c r="CB1877">
        <f>ROUND(Grandview_Inventory[[#This Row],[det_value]]*Lookups!$M$28,-2)</f>
        <v>108000</v>
      </c>
      <c r="CC1877">
        <f>IF(ROUND(Grandview_Inventory[[#This Row],[adj_res]]*Lookups!$M$28,-2)&lt;Grandview_Inventory[[#This Row],[min_res]],Grandview_Inventory[[#This Row],[min_res]],ROUND(Grandview_Inventory[[#This Row],[adj_res]]*Lookups!$M$28,-2))</f>
        <v>362200</v>
      </c>
      <c r="CD1877">
        <f>Grandview_Inventory[[#This Row],[final_det]]+Grandview_Inventory[[#This Row],[final_res]]</f>
        <v>470200</v>
      </c>
      <c r="CE1877">
        <f>Grandview_Inventory[[#This Row],[final_land]]+Grandview_Inventory[[#This Row],[final_imp]]+Grandview_Inventory[[#This Row],[crop_value]]</f>
        <v>535200</v>
      </c>
      <c r="CG1877" t="str">
        <f t="shared" si="29"/>
        <v>update valuation set market_land =65000, market_bldg=470200, market_total =535200, market_mdno =401, market_date ='9/10/2023' where link_id = (select link_id from parcel where parcel_year = '2024' and parcel_id = '23092334468');</v>
      </c>
    </row>
    <row r="1878" spans="1:85" x14ac:dyDescent="0.25">
      <c r="A1878">
        <v>23092334483</v>
      </c>
      <c r="B1878">
        <v>0.28999999999999998</v>
      </c>
      <c r="C1878">
        <v>12680</v>
      </c>
      <c r="D1878" t="s">
        <v>129</v>
      </c>
      <c r="E1878" t="s">
        <v>53</v>
      </c>
      <c r="F1878" t="s">
        <v>53</v>
      </c>
      <c r="G1878">
        <v>4</v>
      </c>
      <c r="H1878" t="s">
        <v>54</v>
      </c>
      <c r="I1878">
        <v>199400</v>
      </c>
      <c r="J1878">
        <v>40500</v>
      </c>
      <c r="K1878">
        <v>0.28999999999999998</v>
      </c>
      <c r="L1878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878">
        <v>0</v>
      </c>
      <c r="N1878">
        <v>0</v>
      </c>
      <c r="O1878">
        <v>0</v>
      </c>
      <c r="P1878">
        <v>13398.7528</v>
      </c>
      <c r="Q1878">
        <v>63903</v>
      </c>
      <c r="R1878">
        <f>(Grandview_Inventory[[#This Row],[ln_acres]]*Grandview_Inventory[[#This Row],[coeff]])+Grandview_Inventory[[#This Row],[const]]</f>
        <v>47317.027506475133</v>
      </c>
      <c r="S1878" t="s">
        <v>58</v>
      </c>
      <c r="T1878">
        <v>1</v>
      </c>
      <c r="U1878" t="s">
        <v>65</v>
      </c>
      <c r="V1878" t="s">
        <v>69</v>
      </c>
      <c r="W1878">
        <v>0</v>
      </c>
      <c r="X1878">
        <v>0</v>
      </c>
      <c r="Y1878">
        <v>50</v>
      </c>
      <c r="Z1878">
        <v>73</v>
      </c>
      <c r="AA1878">
        <v>80</v>
      </c>
      <c r="AB1878">
        <v>2000</v>
      </c>
      <c r="AC1878">
        <v>1552</v>
      </c>
      <c r="AD1878">
        <v>1552</v>
      </c>
      <c r="AE1878">
        <v>0</v>
      </c>
      <c r="AF1878">
        <v>0</v>
      </c>
      <c r="AG1878">
        <v>0</v>
      </c>
      <c r="AH1878">
        <v>630</v>
      </c>
      <c r="AI1878">
        <v>0</v>
      </c>
      <c r="AJ1878">
        <v>0</v>
      </c>
      <c r="AK1878">
        <v>408</v>
      </c>
      <c r="AL1878">
        <v>0</v>
      </c>
      <c r="AM1878">
        <v>0</v>
      </c>
      <c r="AN1878">
        <v>98</v>
      </c>
      <c r="AO1878">
        <v>0</v>
      </c>
      <c r="AP1878">
        <v>7</v>
      </c>
      <c r="AQ1878">
        <v>0</v>
      </c>
      <c r="AR1878">
        <v>1</v>
      </c>
      <c r="AS1878" t="s">
        <v>58</v>
      </c>
      <c r="AT1878">
        <v>1</v>
      </c>
      <c r="AU1878" t="s">
        <v>63</v>
      </c>
      <c r="AV1878" t="s">
        <v>64</v>
      </c>
      <c r="AW1878">
        <v>1</v>
      </c>
      <c r="AX1878">
        <v>3</v>
      </c>
      <c r="AY1878">
        <v>0</v>
      </c>
      <c r="AZ1878">
        <v>7800</v>
      </c>
      <c r="BA1878">
        <v>100</v>
      </c>
      <c r="BB1878">
        <v>100</v>
      </c>
      <c r="BC1878">
        <v>100</v>
      </c>
      <c r="BD1878">
        <v>100</v>
      </c>
      <c r="BE1878">
        <v>1</v>
      </c>
      <c r="BF1878">
        <v>15000</v>
      </c>
      <c r="BG1878">
        <v>1000</v>
      </c>
      <c r="BH1878" s="6">
        <f>Grandview_Inventory[[#This Row],[land_extract]]*Lookups!$B$3</f>
        <v>54949.136287295303</v>
      </c>
      <c r="BI1878" s="6">
        <f>IF(Grandview_Inventory[[#This Row],[bldg_style]]="",0,Lookups!$B$2)</f>
        <v>155833.95000000001</v>
      </c>
      <c r="BJ1878" s="6">
        <f>_xlfn.IFNA(VLOOKUP(Grandview_Inventory[[#This Row],[quality]],Lookups!$H$2:$J$14,3,FALSE),0)</f>
        <v>2251</v>
      </c>
      <c r="BK1878" s="6">
        <f>_xlfn.IFNA(VLOOKUP(Grandview_Inventory[[#This Row],[condition]],Lookups!$H$17:$J$24,3,FALSE),0)</f>
        <v>-4503</v>
      </c>
      <c r="BL1878" s="6">
        <f>Grandview_Inventory[[#This Row],[Eff_Age]]*Lookups!$B$14</f>
        <v>-11958.33</v>
      </c>
      <c r="BM1878" s="6">
        <f>Grandview_Inventory[[#This Row],[living_area]]*Lookups!$B$15</f>
        <v>96815.083855999997</v>
      </c>
      <c r="BN1878" s="6">
        <f>Grandview_Inventory[[#This Row],[Fin BSMT]]*Lookups!$B$16</f>
        <v>0</v>
      </c>
      <c r="BO1878" s="6">
        <f>(Grandview_Inventory[[#This Row],[att_gar]]+Grandview_Inventory[[#This Row],[bltin_gar]])*Lookups!$B$17</f>
        <v>0</v>
      </c>
      <c r="BP1878" s="6">
        <f>Grandview_Inventory[[#This Row],[Plumbing Fixtures]]*Lookups!$B$18</f>
        <v>14073.0926</v>
      </c>
      <c r="BQ1878" s="6">
        <f>Grandview_Inventory[[#This Row],[detatched_value]]*Lookups!$B$19</f>
        <v>6605.07978</v>
      </c>
      <c r="BR1878" s="6">
        <f>SUM(Grandview_Inventory[[#This Row],[Intercept]:[det_value]])*Grandview_Inventory[[#This Row],[res_pct]]</f>
        <v>259116.87623600004</v>
      </c>
      <c r="BS1878" s="6">
        <f>Grandview_Inventory[[#This Row],[land_value]]</f>
        <v>54949.136287295303</v>
      </c>
      <c r="BT1878" s="4">
        <f>_xlfn.IFNA(VLOOKUP(Grandview_Inventory[[#This Row],[quality]],Lookups!$A$26:$C$33,3,FALSE),1)</f>
        <v>0.98763855981004833</v>
      </c>
      <c r="BU1878" s="4">
        <f>_xlfn.IFNA(VLOOKUP(Grandview_Inventory[[#This Row],[condition]],Lookups!$A$37:$C$44,3,FALSE),1)</f>
        <v>0.96469275950863709</v>
      </c>
      <c r="BV1878" s="4">
        <f>IF(Grandview_Inventory[[#This Row],[bldg_style]]="",1,_xlfn.IFNA(VLOOKUP(Grandview_Inventory[[#This Row],[decade]],Lookups!$F$29:$H$43,3,FALSE),1))</f>
        <v>0.98763256963907298</v>
      </c>
      <c r="BW1878" s="4">
        <f>_xlfn.IFNA(VLOOKUP(Grandview_Inventory[[#This Row],[living_area_range]],Lookups!$F$47:$H$56,3,FALSE),1)</f>
        <v>0.96120133463014379</v>
      </c>
      <c r="BX1878" s="4">
        <f>AVERAGE(Grandview_Inventory[[#This Row],[qual_adj]:[size_adj]])</f>
        <v>0.97529130589697544</v>
      </c>
      <c r="BY1878" s="6">
        <f>IF(Grandview_Inventory[[#This Row],[pre_res]]&lt;0,0,Grandview_Inventory[[#This Row],[pre_res]]*Grandview_Inventory[[#This Row],[overall_adj]])</f>
        <v>252714.43660415345</v>
      </c>
      <c r="BZ1878" s="6">
        <f>(Grandview_Inventory[[#This Row],[sum_land]]-IF(Grandview_Inventory[[#This Row],[no_utilities]]=1,12000,0))/IF(Grandview_Inventory[[#This Row],[unbuildable]]=1,2,1)</f>
        <v>54949.136287295303</v>
      </c>
      <c r="CA1878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878">
        <f>ROUND(Grandview_Inventory[[#This Row],[det_value]]*Lookups!$M$28,-2)</f>
        <v>6300</v>
      </c>
      <c r="CC1878">
        <f>IF(ROUND(Grandview_Inventory[[#This Row],[adj_res]]*Lookups!$M$28,-2)&lt;Grandview_Inventory[[#This Row],[min_res]],Grandview_Inventory[[#This Row],[min_res]],ROUND(Grandview_Inventory[[#This Row],[adj_res]]*Lookups!$M$28,-2))</f>
        <v>240100</v>
      </c>
      <c r="CD1878">
        <f>Grandview_Inventory[[#This Row],[final_det]]+Grandview_Inventory[[#This Row],[final_res]]</f>
        <v>246400</v>
      </c>
      <c r="CE1878">
        <f>Grandview_Inventory[[#This Row],[final_land]]+Grandview_Inventory[[#This Row],[final_imp]]+Grandview_Inventory[[#This Row],[crop_value]]</f>
        <v>298600</v>
      </c>
      <c r="CG1878" t="str">
        <f t="shared" si="29"/>
        <v>update valuation set market_land =52200, market_bldg=246400, market_total =298600, market_mdno =401, market_date ='9/10/2023' where link_id = (select link_id from parcel where parcel_year = '2024' and parcel_id = '23092334483');</v>
      </c>
    </row>
    <row r="1879" spans="1:85" x14ac:dyDescent="0.25">
      <c r="A1879">
        <v>23092334490</v>
      </c>
      <c r="B1879">
        <v>0.46</v>
      </c>
      <c r="C1879">
        <v>20078</v>
      </c>
      <c r="D1879" t="s">
        <v>129</v>
      </c>
      <c r="E1879" t="s">
        <v>53</v>
      </c>
      <c r="F1879" t="s">
        <v>53</v>
      </c>
      <c r="G1879">
        <v>4</v>
      </c>
      <c r="H1879" t="s">
        <v>54</v>
      </c>
      <c r="I1879">
        <v>159000</v>
      </c>
      <c r="J1879">
        <v>41400</v>
      </c>
      <c r="K1879">
        <v>0.46</v>
      </c>
      <c r="L1879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1879">
        <v>0</v>
      </c>
      <c r="N1879">
        <v>0</v>
      </c>
      <c r="O1879">
        <v>0</v>
      </c>
      <c r="P1879">
        <v>13398.7528</v>
      </c>
      <c r="Q1879">
        <v>63903</v>
      </c>
      <c r="R1879">
        <f>(Grandview_Inventory[[#This Row],[ln_acres]]*Grandview_Inventory[[#This Row],[coeff]])+Grandview_Inventory[[#This Row],[const]]</f>
        <v>53498.482707419709</v>
      </c>
      <c r="S1879" t="s">
        <v>61</v>
      </c>
      <c r="T1879">
        <v>1</v>
      </c>
      <c r="U1879" t="s">
        <v>70</v>
      </c>
      <c r="V1879" t="s">
        <v>69</v>
      </c>
      <c r="W1879">
        <v>0</v>
      </c>
      <c r="X1879">
        <v>0</v>
      </c>
      <c r="Y1879">
        <v>44</v>
      </c>
      <c r="Z1879">
        <v>49</v>
      </c>
      <c r="AA1879">
        <v>50</v>
      </c>
      <c r="AB1879">
        <v>1500</v>
      </c>
      <c r="AC1879">
        <v>1348</v>
      </c>
      <c r="AD1879">
        <v>1348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5</v>
      </c>
      <c r="AQ1879">
        <v>0</v>
      </c>
      <c r="AR1879">
        <v>0</v>
      </c>
      <c r="AS1879" t="s">
        <v>58</v>
      </c>
      <c r="AT1879">
        <v>1</v>
      </c>
      <c r="AU1879" t="s">
        <v>63</v>
      </c>
      <c r="AV1879" t="s">
        <v>64</v>
      </c>
      <c r="AW1879">
        <v>1</v>
      </c>
      <c r="AX1879">
        <v>3</v>
      </c>
      <c r="AY1879">
        <v>0</v>
      </c>
      <c r="AZ1879">
        <v>3000</v>
      </c>
      <c r="BA1879">
        <v>100</v>
      </c>
      <c r="BB1879">
        <v>100</v>
      </c>
      <c r="BC1879">
        <v>100</v>
      </c>
      <c r="BD1879">
        <v>100</v>
      </c>
      <c r="BE1879">
        <v>1</v>
      </c>
      <c r="BF1879">
        <v>15000</v>
      </c>
      <c r="BG1879">
        <v>1000</v>
      </c>
      <c r="BH1879" s="6">
        <f>Grandview_Inventory[[#This Row],[land_extract]]*Lookups!$B$3</f>
        <v>62127.643522223196</v>
      </c>
      <c r="BI1879" s="6">
        <f>IF(Grandview_Inventory[[#This Row],[bldg_style]]="",0,Lookups!$B$2)</f>
        <v>155833.95000000001</v>
      </c>
      <c r="BJ1879" s="6">
        <f>_xlfn.IFNA(VLOOKUP(Grandview_Inventory[[#This Row],[quality]],Lookups!$H$2:$J$14,3,FALSE),0)</f>
        <v>10733</v>
      </c>
      <c r="BK1879" s="6">
        <f>_xlfn.IFNA(VLOOKUP(Grandview_Inventory[[#This Row],[condition]],Lookups!$H$17:$J$24,3,FALSE),0)</f>
        <v>-4503</v>
      </c>
      <c r="BL1879" s="6">
        <f>Grandview_Inventory[[#This Row],[Eff_Age]]*Lookups!$B$14</f>
        <v>-10523.330399999999</v>
      </c>
      <c r="BM1879" s="6">
        <f>Grandview_Inventory[[#This Row],[living_area]]*Lookups!$B$15</f>
        <v>84089.389844000005</v>
      </c>
      <c r="BN1879" s="6">
        <f>Grandview_Inventory[[#This Row],[Fin BSMT]]*Lookups!$B$16</f>
        <v>0</v>
      </c>
      <c r="BO1879" s="6">
        <f>(Grandview_Inventory[[#This Row],[att_gar]]+Grandview_Inventory[[#This Row],[bltin_gar]])*Lookups!$B$17</f>
        <v>0</v>
      </c>
      <c r="BP1879" s="6">
        <f>Grandview_Inventory[[#This Row],[Plumbing Fixtures]]*Lookups!$B$18</f>
        <v>10052.209000000001</v>
      </c>
      <c r="BQ1879" s="6">
        <f>Grandview_Inventory[[#This Row],[detatched_value]]*Lookups!$B$19</f>
        <v>2540.4153000000001</v>
      </c>
      <c r="BR1879" s="6">
        <f>SUM(Grandview_Inventory[[#This Row],[Intercept]:[det_value]])*Grandview_Inventory[[#This Row],[res_pct]]</f>
        <v>248222.63374400002</v>
      </c>
      <c r="BS1879" s="6">
        <f>Grandview_Inventory[[#This Row],[land_value]]</f>
        <v>62127.643522223196</v>
      </c>
      <c r="BT1879" s="4">
        <f>_xlfn.IFNA(VLOOKUP(Grandview_Inventory[[#This Row],[quality]],Lookups!$A$26:$C$33,3,FALSE),1)</f>
        <v>0.98079741117310582</v>
      </c>
      <c r="BU1879" s="4">
        <f>_xlfn.IFNA(VLOOKUP(Grandview_Inventory[[#This Row],[condition]],Lookups!$A$37:$C$44,3,FALSE),1)</f>
        <v>0.96469275950863709</v>
      </c>
      <c r="BV1879" s="4">
        <f>IF(Grandview_Inventory[[#This Row],[bldg_style]]="",1,_xlfn.IFNA(VLOOKUP(Grandview_Inventory[[#This Row],[decade]],Lookups!$F$29:$H$43,3,FALSE),1))</f>
        <v>0.9871940091910919</v>
      </c>
      <c r="BW1879" s="4">
        <f>_xlfn.IFNA(VLOOKUP(Grandview_Inventory[[#This Row],[living_area_range]],Lookups!$F$47:$H$56,3,FALSE),1)</f>
        <v>0.96135087979789358</v>
      </c>
      <c r="BX1879" s="4">
        <f>AVERAGE(Grandview_Inventory[[#This Row],[qual_adj]:[size_adj]])</f>
        <v>0.97350876491768212</v>
      </c>
      <c r="BY1879" s="6">
        <f>IF(Grandview_Inventory[[#This Row],[pre_res]]&lt;0,0,Grandview_Inventory[[#This Row],[pre_res]]*Grandview_Inventory[[#This Row],[overall_adj]])</f>
        <v>241646.90960073561</v>
      </c>
      <c r="BZ1879" s="6">
        <f>(Grandview_Inventory[[#This Row],[sum_land]]-IF(Grandview_Inventory[[#This Row],[no_utilities]]=1,12000,0))/IF(Grandview_Inventory[[#This Row],[unbuildable]]=1,2,1)</f>
        <v>62127.643522223196</v>
      </c>
      <c r="CA1879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1879">
        <f>ROUND(Grandview_Inventory[[#This Row],[det_value]]*Lookups!$M$28,-2)</f>
        <v>2400</v>
      </c>
      <c r="CC1879">
        <f>IF(ROUND(Grandview_Inventory[[#This Row],[adj_res]]*Lookups!$M$28,-2)&lt;Grandview_Inventory[[#This Row],[min_res]],Grandview_Inventory[[#This Row],[min_res]],ROUND(Grandview_Inventory[[#This Row],[adj_res]]*Lookups!$M$28,-2))</f>
        <v>229600</v>
      </c>
      <c r="CD1879">
        <f>Grandview_Inventory[[#This Row],[final_det]]+Grandview_Inventory[[#This Row],[final_res]]</f>
        <v>232000</v>
      </c>
      <c r="CE1879">
        <f>Grandview_Inventory[[#This Row],[final_land]]+Grandview_Inventory[[#This Row],[final_imp]]+Grandview_Inventory[[#This Row],[crop_value]]</f>
        <v>291000</v>
      </c>
      <c r="CG1879" t="str">
        <f t="shared" si="29"/>
        <v>update valuation set market_land =59000, market_bldg=232000, market_total =291000, market_mdno =401, market_date ='9/10/2023' where link_id = (select link_id from parcel where parcel_year = '2024' and parcel_id = '23092334490');</v>
      </c>
    </row>
    <row r="1880" spans="1:85" x14ac:dyDescent="0.25">
      <c r="A1880">
        <v>23092334491</v>
      </c>
      <c r="B1880">
        <v>0.46</v>
      </c>
      <c r="C1880">
        <v>19973</v>
      </c>
      <c r="D1880" t="s">
        <v>129</v>
      </c>
      <c r="E1880" t="s">
        <v>53</v>
      </c>
      <c r="F1880" t="s">
        <v>53</v>
      </c>
      <c r="G1880">
        <v>4</v>
      </c>
      <c r="H1880" t="s">
        <v>54</v>
      </c>
      <c r="I1880">
        <v>293100</v>
      </c>
      <c r="J1880">
        <v>41400</v>
      </c>
      <c r="K1880">
        <v>0.46</v>
      </c>
      <c r="L1880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1880">
        <v>0</v>
      </c>
      <c r="N1880">
        <v>0</v>
      </c>
      <c r="O1880">
        <v>0</v>
      </c>
      <c r="P1880">
        <v>13398.7528</v>
      </c>
      <c r="Q1880">
        <v>63903</v>
      </c>
      <c r="R1880">
        <f>(Grandview_Inventory[[#This Row],[ln_acres]]*Grandview_Inventory[[#This Row],[coeff]])+Grandview_Inventory[[#This Row],[const]]</f>
        <v>53498.482707419709</v>
      </c>
      <c r="S1880" t="s">
        <v>61</v>
      </c>
      <c r="T1880">
        <v>1</v>
      </c>
      <c r="U1880" t="s">
        <v>62</v>
      </c>
      <c r="V1880" t="s">
        <v>66</v>
      </c>
      <c r="W1880">
        <v>0</v>
      </c>
      <c r="X1880">
        <v>0</v>
      </c>
      <c r="Y1880">
        <v>21</v>
      </c>
      <c r="Z1880">
        <v>21</v>
      </c>
      <c r="AA1880">
        <v>30</v>
      </c>
      <c r="AB1880">
        <v>2500</v>
      </c>
      <c r="AC1880">
        <v>2076</v>
      </c>
      <c r="AD1880">
        <v>2076</v>
      </c>
      <c r="AE1880">
        <v>0</v>
      </c>
      <c r="AF1880">
        <v>0</v>
      </c>
      <c r="AG1880">
        <v>0</v>
      </c>
      <c r="AH1880">
        <v>0</v>
      </c>
      <c r="AI1880">
        <v>890</v>
      </c>
      <c r="AJ1880">
        <v>0</v>
      </c>
      <c r="AK1880">
        <v>0</v>
      </c>
      <c r="AL1880">
        <v>384</v>
      </c>
      <c r="AM1880">
        <v>0</v>
      </c>
      <c r="AN1880">
        <v>120</v>
      </c>
      <c r="AO1880">
        <v>0</v>
      </c>
      <c r="AP1880">
        <v>11</v>
      </c>
      <c r="AQ1880">
        <v>0</v>
      </c>
      <c r="AR1880">
        <v>0</v>
      </c>
      <c r="AS1880" t="s">
        <v>58</v>
      </c>
      <c r="AT1880">
        <v>1</v>
      </c>
      <c r="AU1880" t="s">
        <v>63</v>
      </c>
      <c r="AV1880" t="s">
        <v>64</v>
      </c>
      <c r="AW1880">
        <v>1</v>
      </c>
      <c r="AX1880">
        <v>3</v>
      </c>
      <c r="AY1880">
        <v>0</v>
      </c>
      <c r="AZ1880">
        <v>0</v>
      </c>
      <c r="BA1880">
        <v>100</v>
      </c>
      <c r="BB1880">
        <v>100</v>
      </c>
      <c r="BC1880">
        <v>100</v>
      </c>
      <c r="BD1880">
        <v>100</v>
      </c>
      <c r="BE1880">
        <v>1</v>
      </c>
      <c r="BF1880">
        <v>15000</v>
      </c>
      <c r="BG1880">
        <v>1000</v>
      </c>
      <c r="BH1880" s="6">
        <f>Grandview_Inventory[[#This Row],[land_extract]]*Lookups!$B$3</f>
        <v>62127.643522223196</v>
      </c>
      <c r="BI1880" s="6">
        <f>IF(Grandview_Inventory[[#This Row],[bldg_style]]="",0,Lookups!$B$2)</f>
        <v>155833.95000000001</v>
      </c>
      <c r="BJ1880" s="6">
        <f>_xlfn.IFNA(VLOOKUP(Grandview_Inventory[[#This Row],[quality]],Lookups!$H$2:$J$14,3,FALSE),0)</f>
        <v>9808</v>
      </c>
      <c r="BK1880" s="6">
        <f>_xlfn.IFNA(VLOOKUP(Grandview_Inventory[[#This Row],[condition]],Lookups!$H$17:$J$24,3,FALSE),0)</f>
        <v>25818</v>
      </c>
      <c r="BL1880" s="6">
        <f>Grandview_Inventory[[#This Row],[Eff_Age]]*Lookups!$B$14</f>
        <v>-5022.4985999999999</v>
      </c>
      <c r="BM1880" s="6">
        <f>Grandview_Inventory[[#This Row],[living_area]]*Lookups!$B$15</f>
        <v>129502.650828</v>
      </c>
      <c r="BN1880" s="6">
        <f>Grandview_Inventory[[#This Row],[Fin BSMT]]*Lookups!$B$16</f>
        <v>0</v>
      </c>
      <c r="BO1880" s="6">
        <f>(Grandview_Inventory[[#This Row],[att_gar]]+Grandview_Inventory[[#This Row],[bltin_gar]])*Lookups!$B$17</f>
        <v>77893.188930000004</v>
      </c>
      <c r="BP1880" s="6">
        <f>Grandview_Inventory[[#This Row],[Plumbing Fixtures]]*Lookups!$B$18</f>
        <v>22114.859800000002</v>
      </c>
      <c r="BQ1880" s="6">
        <f>Grandview_Inventory[[#This Row],[detatched_value]]*Lookups!$B$19</f>
        <v>0</v>
      </c>
      <c r="BR1880" s="6">
        <f>SUM(Grandview_Inventory[[#This Row],[Intercept]:[det_value]])*Grandview_Inventory[[#This Row],[res_pct]]</f>
        <v>415948.15095799998</v>
      </c>
      <c r="BS1880" s="6">
        <f>Grandview_Inventory[[#This Row],[land_value]]</f>
        <v>62127.643522223196</v>
      </c>
      <c r="BT1880" s="4">
        <f>_xlfn.IFNA(VLOOKUP(Grandview_Inventory[[#This Row],[quality]],Lookups!$A$26:$C$33,3,FALSE),1)</f>
        <v>0.94295468617355149</v>
      </c>
      <c r="BU1880" s="4">
        <f>_xlfn.IFNA(VLOOKUP(Grandview_Inventory[[#This Row],[condition]],Lookups!$A$37:$C$44,3,FALSE),1)</f>
        <v>0.96661476234146892</v>
      </c>
      <c r="BV1880" s="4">
        <f>IF(Grandview_Inventory[[#This Row],[bldg_style]]="",1,_xlfn.IFNA(VLOOKUP(Grandview_Inventory[[#This Row],[decade]],Lookups!$F$29:$H$43,3,FALSE),1))</f>
        <v>0.98397821291089549</v>
      </c>
      <c r="BW1880" s="4">
        <f>_xlfn.IFNA(VLOOKUP(Grandview_Inventory[[#This Row],[living_area_range]],Lookups!$F$47:$H$56,3,FALSE),1)</f>
        <v>0.95799442568048754</v>
      </c>
      <c r="BX1880" s="4">
        <f>AVERAGE(Grandview_Inventory[[#This Row],[qual_adj]:[size_adj]])</f>
        <v>0.96288552177660092</v>
      </c>
      <c r="BY1880" s="6">
        <f>IF(Grandview_Inventory[[#This Row],[pre_res]]&lt;0,0,Grandview_Inventory[[#This Row],[pre_res]]*Grandview_Inventory[[#This Row],[overall_adj]])</f>
        <v>400510.45236720616</v>
      </c>
      <c r="BZ1880" s="6">
        <f>(Grandview_Inventory[[#This Row],[sum_land]]-IF(Grandview_Inventory[[#This Row],[no_utilities]]=1,12000,0))/IF(Grandview_Inventory[[#This Row],[unbuildable]]=1,2,1)</f>
        <v>62127.643522223196</v>
      </c>
      <c r="CA1880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1880">
        <f>ROUND(Grandview_Inventory[[#This Row],[det_value]]*Lookups!$M$28,-2)</f>
        <v>0</v>
      </c>
      <c r="CC1880">
        <f>IF(ROUND(Grandview_Inventory[[#This Row],[adj_res]]*Lookups!$M$28,-2)&lt;Grandview_Inventory[[#This Row],[min_res]],Grandview_Inventory[[#This Row],[min_res]],ROUND(Grandview_Inventory[[#This Row],[adj_res]]*Lookups!$M$28,-2))</f>
        <v>380500</v>
      </c>
      <c r="CD1880">
        <f>Grandview_Inventory[[#This Row],[final_det]]+Grandview_Inventory[[#This Row],[final_res]]</f>
        <v>380500</v>
      </c>
      <c r="CE1880">
        <f>Grandview_Inventory[[#This Row],[final_land]]+Grandview_Inventory[[#This Row],[final_imp]]+Grandview_Inventory[[#This Row],[crop_value]]</f>
        <v>439500</v>
      </c>
      <c r="CG1880" t="str">
        <f t="shared" si="29"/>
        <v>update valuation set market_land =59000, market_bldg=380500, market_total =439500, market_mdno =401, market_date ='9/10/2023' where link_id = (select link_id from parcel where parcel_year = '2024' and parcel_id = '23092334491');</v>
      </c>
    </row>
    <row r="1881" spans="1:85" x14ac:dyDescent="0.25">
      <c r="A1881">
        <v>23092334492</v>
      </c>
      <c r="B1881">
        <v>0.55000000000000004</v>
      </c>
      <c r="C1881" t="s">
        <v>129</v>
      </c>
      <c r="D1881" t="s">
        <v>129</v>
      </c>
      <c r="E1881" t="s">
        <v>53</v>
      </c>
      <c r="F1881" t="s">
        <v>53</v>
      </c>
      <c r="G1881">
        <v>4</v>
      </c>
      <c r="H1881" t="s">
        <v>54</v>
      </c>
      <c r="I1881">
        <v>212900</v>
      </c>
      <c r="J1881">
        <v>41900</v>
      </c>
      <c r="K1881">
        <v>0.55000000000000004</v>
      </c>
      <c r="L1881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1881">
        <v>0</v>
      </c>
      <c r="N1881">
        <v>0</v>
      </c>
      <c r="O1881">
        <v>0</v>
      </c>
      <c r="P1881">
        <v>13398.7528</v>
      </c>
      <c r="Q1881">
        <v>63903</v>
      </c>
      <c r="R1881">
        <f>(Grandview_Inventory[[#This Row],[ln_acres]]*Grandview_Inventory[[#This Row],[coeff]])+Grandview_Inventory[[#This Row],[const]]</f>
        <v>55892.729812182028</v>
      </c>
      <c r="S1881" t="s">
        <v>68</v>
      </c>
      <c r="T1881">
        <v>1</v>
      </c>
      <c r="U1881" t="s">
        <v>65</v>
      </c>
      <c r="V1881" t="s">
        <v>78</v>
      </c>
      <c r="W1881">
        <v>0</v>
      </c>
      <c r="X1881">
        <v>0</v>
      </c>
      <c r="Y1881">
        <v>51</v>
      </c>
      <c r="Z1881">
        <v>78</v>
      </c>
      <c r="AA1881">
        <v>80</v>
      </c>
      <c r="AB1881">
        <v>2500</v>
      </c>
      <c r="AC1881">
        <v>2304</v>
      </c>
      <c r="AD1881">
        <v>1152</v>
      </c>
      <c r="AE1881">
        <v>0</v>
      </c>
      <c r="AF1881">
        <v>0</v>
      </c>
      <c r="AG1881">
        <v>1152</v>
      </c>
      <c r="AH1881">
        <v>0</v>
      </c>
      <c r="AI1881">
        <v>0</v>
      </c>
      <c r="AJ1881">
        <v>0</v>
      </c>
      <c r="AK1881">
        <v>0</v>
      </c>
      <c r="AL1881">
        <v>288</v>
      </c>
      <c r="AM1881">
        <v>0</v>
      </c>
      <c r="AN1881">
        <v>55</v>
      </c>
      <c r="AO1881">
        <v>288</v>
      </c>
      <c r="AP1881">
        <v>8</v>
      </c>
      <c r="AQ1881">
        <v>0</v>
      </c>
      <c r="AR1881">
        <v>1</v>
      </c>
      <c r="AS1881" t="s">
        <v>58</v>
      </c>
      <c r="AT1881">
        <v>1</v>
      </c>
      <c r="AU1881" t="s">
        <v>63</v>
      </c>
      <c r="AV1881" t="s">
        <v>64</v>
      </c>
      <c r="AW1881">
        <v>0</v>
      </c>
      <c r="AX1881">
        <v>3</v>
      </c>
      <c r="AY1881">
        <v>0</v>
      </c>
      <c r="AZ1881">
        <v>68300</v>
      </c>
      <c r="BA1881">
        <v>100</v>
      </c>
      <c r="BB1881">
        <v>100</v>
      </c>
      <c r="BC1881">
        <v>100</v>
      </c>
      <c r="BD1881">
        <v>100</v>
      </c>
      <c r="BE1881">
        <v>1</v>
      </c>
      <c r="BF1881">
        <v>15000</v>
      </c>
      <c r="BG1881">
        <v>1000</v>
      </c>
      <c r="BH1881" s="6">
        <f>Grandview_Inventory[[#This Row],[land_extract]]*Lookups!$B$3</f>
        <v>64908.076220516494</v>
      </c>
      <c r="BI1881" s="6">
        <f>IF(Grandview_Inventory[[#This Row],[bldg_style]]="",0,Lookups!$B$2)</f>
        <v>155833.95000000001</v>
      </c>
      <c r="BJ1881" s="6">
        <f>_xlfn.IFNA(VLOOKUP(Grandview_Inventory[[#This Row],[quality]],Lookups!$H$2:$J$14,3,FALSE),0)</f>
        <v>2251</v>
      </c>
      <c r="BK1881" s="6">
        <f>_xlfn.IFNA(VLOOKUP(Grandview_Inventory[[#This Row],[condition]],Lookups!$H$17:$J$24,3,FALSE),0)</f>
        <v>-45357</v>
      </c>
      <c r="BL1881" s="6">
        <f>Grandview_Inventory[[#This Row],[Eff_Age]]*Lookups!$B$14</f>
        <v>-12197.496599999999</v>
      </c>
      <c r="BM1881" s="6">
        <f>Grandview_Inventory[[#This Row],[living_area]]*Lookups!$B$15</f>
        <v>143725.485312</v>
      </c>
      <c r="BN1881" s="6">
        <f>Grandview_Inventory[[#This Row],[Fin BSMT]]*Lookups!$B$16</f>
        <v>-31218.324480000003</v>
      </c>
      <c r="BO1881" s="6">
        <f>(Grandview_Inventory[[#This Row],[att_gar]]+Grandview_Inventory[[#This Row],[bltin_gar]])*Lookups!$B$17</f>
        <v>0</v>
      </c>
      <c r="BP1881" s="6">
        <f>Grandview_Inventory[[#This Row],[Plumbing Fixtures]]*Lookups!$B$18</f>
        <v>16083.5344</v>
      </c>
      <c r="BQ1881" s="6">
        <f>Grandview_Inventory[[#This Row],[detatched_value]]*Lookups!$B$19</f>
        <v>57836.788329999996</v>
      </c>
      <c r="BR1881" s="6">
        <f>SUM(Grandview_Inventory[[#This Row],[Intercept]:[det_value]])*Grandview_Inventory[[#This Row],[res_pct]]</f>
        <v>286957.93696200004</v>
      </c>
      <c r="BS1881" s="6">
        <f>Grandview_Inventory[[#This Row],[land_value]]</f>
        <v>64908.076220516494</v>
      </c>
      <c r="BT1881" s="4">
        <f>_xlfn.IFNA(VLOOKUP(Grandview_Inventory[[#This Row],[quality]],Lookups!$A$26:$C$33,3,FALSE),1)</f>
        <v>0.98763855981004833</v>
      </c>
      <c r="BU1881" s="4">
        <f>_xlfn.IFNA(VLOOKUP(Grandview_Inventory[[#This Row],[condition]],Lookups!$A$37:$C$44,3,FALSE),1)</f>
        <v>0.97161819570155394</v>
      </c>
      <c r="BV1881" s="4">
        <f>IF(Grandview_Inventory[[#This Row],[bldg_style]]="",1,_xlfn.IFNA(VLOOKUP(Grandview_Inventory[[#This Row],[decade]],Lookups!$F$29:$H$43,3,FALSE),1))</f>
        <v>0.98763256963907298</v>
      </c>
      <c r="BW1881" s="4">
        <f>_xlfn.IFNA(VLOOKUP(Grandview_Inventory[[#This Row],[living_area_range]],Lookups!$F$47:$H$56,3,FALSE),1)</f>
        <v>0.95799442568048754</v>
      </c>
      <c r="BX1881" s="4">
        <f>AVERAGE(Grandview_Inventory[[#This Row],[qual_adj]:[size_adj]])</f>
        <v>0.97622093770779073</v>
      </c>
      <c r="BY1881" s="6">
        <f>IF(Grandview_Inventory[[#This Row],[pre_res]]&lt;0,0,Grandview_Inventory[[#This Row],[pre_res]]*Grandview_Inventory[[#This Row],[overall_adj]])</f>
        <v>280134.34630373679</v>
      </c>
      <c r="BZ1881" s="6">
        <f>(Grandview_Inventory[[#This Row],[sum_land]]-IF(Grandview_Inventory[[#This Row],[no_utilities]]=1,12000,0))/IF(Grandview_Inventory[[#This Row],[unbuildable]]=1,2,1)</f>
        <v>64908.076220516494</v>
      </c>
      <c r="CA1881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1881">
        <f>ROUND(Grandview_Inventory[[#This Row],[det_value]]*Lookups!$M$28,-2)</f>
        <v>54900</v>
      </c>
      <c r="CC1881">
        <f>IF(ROUND(Grandview_Inventory[[#This Row],[adj_res]]*Lookups!$M$28,-2)&lt;Grandview_Inventory[[#This Row],[min_res]],Grandview_Inventory[[#This Row],[min_res]],ROUND(Grandview_Inventory[[#This Row],[adj_res]]*Lookups!$M$28,-2))</f>
        <v>266100</v>
      </c>
      <c r="CD1881">
        <f>Grandview_Inventory[[#This Row],[final_det]]+Grandview_Inventory[[#This Row],[final_res]]</f>
        <v>321000</v>
      </c>
      <c r="CE1881">
        <f>Grandview_Inventory[[#This Row],[final_land]]+Grandview_Inventory[[#This Row],[final_imp]]+Grandview_Inventory[[#This Row],[crop_value]]</f>
        <v>382700</v>
      </c>
      <c r="CG1881" t="str">
        <f t="shared" si="29"/>
        <v>update valuation set market_land =61700, market_bldg=321000, market_total =382700, market_mdno =401, market_date ='9/10/2023' where link_id = (select link_id from parcel where parcel_year = '2024' and parcel_id = '23092334492');</v>
      </c>
    </row>
    <row r="1882" spans="1:85" x14ac:dyDescent="0.25">
      <c r="A1882">
        <v>23092341007</v>
      </c>
      <c r="B1882">
        <v>0.34</v>
      </c>
      <c r="C1882">
        <v>14803</v>
      </c>
      <c r="D1882" t="s">
        <v>129</v>
      </c>
      <c r="E1882" t="s">
        <v>53</v>
      </c>
      <c r="F1882" t="s">
        <v>53</v>
      </c>
      <c r="G1882">
        <v>4</v>
      </c>
      <c r="H1882" t="s">
        <v>54</v>
      </c>
      <c r="I1882">
        <v>164600</v>
      </c>
      <c r="J1882">
        <v>41200</v>
      </c>
      <c r="K1882">
        <v>0.34</v>
      </c>
      <c r="L1882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882">
        <v>0</v>
      </c>
      <c r="N1882">
        <v>0</v>
      </c>
      <c r="O1882">
        <v>0</v>
      </c>
      <c r="P1882">
        <v>13398.7528</v>
      </c>
      <c r="Q1882">
        <v>63903</v>
      </c>
      <c r="R1882">
        <f>(Grandview_Inventory[[#This Row],[ln_acres]]*Grandview_Inventory[[#This Row],[coeff]])+Grandview_Inventory[[#This Row],[const]]</f>
        <v>49448.296029025805</v>
      </c>
      <c r="S1882" t="s">
        <v>55</v>
      </c>
      <c r="T1882">
        <v>2</v>
      </c>
      <c r="U1882" t="s">
        <v>80</v>
      </c>
      <c r="V1882" t="s">
        <v>67</v>
      </c>
      <c r="W1882">
        <v>0</v>
      </c>
      <c r="X1882">
        <v>0</v>
      </c>
      <c r="Y1882">
        <v>55</v>
      </c>
      <c r="Z1882">
        <v>98</v>
      </c>
      <c r="AA1882">
        <v>100</v>
      </c>
      <c r="AB1882">
        <v>1500</v>
      </c>
      <c r="AC1882">
        <v>1309</v>
      </c>
      <c r="AD1882">
        <v>973</v>
      </c>
      <c r="AE1882">
        <v>336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165</v>
      </c>
      <c r="AN1882">
        <v>0</v>
      </c>
      <c r="AO1882">
        <v>56</v>
      </c>
      <c r="AP1882">
        <v>5</v>
      </c>
      <c r="AQ1882">
        <v>0</v>
      </c>
      <c r="AR1882">
        <v>0</v>
      </c>
      <c r="AS1882" t="s">
        <v>71</v>
      </c>
      <c r="AT1882">
        <v>1</v>
      </c>
      <c r="AU1882" t="s">
        <v>63</v>
      </c>
      <c r="AV1882" t="s">
        <v>64</v>
      </c>
      <c r="AW1882">
        <v>0</v>
      </c>
      <c r="AX1882">
        <v>4</v>
      </c>
      <c r="AY1882">
        <v>0</v>
      </c>
      <c r="AZ1882">
        <v>0</v>
      </c>
      <c r="BA1882">
        <v>100</v>
      </c>
      <c r="BB1882">
        <v>100</v>
      </c>
      <c r="BC1882">
        <v>100</v>
      </c>
      <c r="BD1882">
        <v>100</v>
      </c>
      <c r="BE1882">
        <v>1</v>
      </c>
      <c r="BF1882">
        <v>15000</v>
      </c>
      <c r="BG1882">
        <v>1000</v>
      </c>
      <c r="BH1882" s="6">
        <f>Grandview_Inventory[[#This Row],[land_extract]]*Lookups!$B$3</f>
        <v>57424.172668108389</v>
      </c>
      <c r="BI1882" s="6">
        <f>IF(Grandview_Inventory[[#This Row],[bldg_style]]="",0,Lookups!$B$2)</f>
        <v>155833.95000000001</v>
      </c>
      <c r="BJ1882" s="6">
        <f>_xlfn.IFNA(VLOOKUP(Grandview_Inventory[[#This Row],[quality]],Lookups!$H$2:$J$14,3,FALSE),0)</f>
        <v>-28558</v>
      </c>
      <c r="BK1882" s="6">
        <f>_xlfn.IFNA(VLOOKUP(Grandview_Inventory[[#This Row],[condition]],Lookups!$H$17:$J$24,3,FALSE),0)</f>
        <v>22342</v>
      </c>
      <c r="BL1882" s="6">
        <f>Grandview_Inventory[[#This Row],[Eff_Age]]*Lookups!$B$14</f>
        <v>-13154.162999999999</v>
      </c>
      <c r="BM1882" s="6">
        <f>Grandview_Inventory[[#This Row],[living_area]]*Lookups!$B$15</f>
        <v>81656.536577000006</v>
      </c>
      <c r="BN1882" s="6">
        <f>Grandview_Inventory[[#This Row],[Fin BSMT]]*Lookups!$B$16</f>
        <v>0</v>
      </c>
      <c r="BO1882" s="6">
        <f>(Grandview_Inventory[[#This Row],[att_gar]]+Grandview_Inventory[[#This Row],[bltin_gar]])*Lookups!$B$17</f>
        <v>0</v>
      </c>
      <c r="BP1882" s="6">
        <f>Grandview_Inventory[[#This Row],[Plumbing Fixtures]]*Lookups!$B$18</f>
        <v>10052.209000000001</v>
      </c>
      <c r="BQ1882" s="6">
        <f>Grandview_Inventory[[#This Row],[detatched_value]]*Lookups!$B$19</f>
        <v>0</v>
      </c>
      <c r="BR1882" s="6">
        <f>SUM(Grandview_Inventory[[#This Row],[Intercept]:[det_value]])*Grandview_Inventory[[#This Row],[res_pct]]</f>
        <v>228172.53257700001</v>
      </c>
      <c r="BS1882" s="6">
        <f>Grandview_Inventory[[#This Row],[land_value]]</f>
        <v>57424.172668108389</v>
      </c>
      <c r="BT1882" s="4">
        <f>_xlfn.IFNA(VLOOKUP(Grandview_Inventory[[#This Row],[quality]],Lookups!$A$26:$C$33,3,FALSE),1)</f>
        <v>0.9690360070159818</v>
      </c>
      <c r="BU1882" s="4">
        <f>_xlfn.IFNA(VLOOKUP(Grandview_Inventory[[#This Row],[condition]],Lookups!$A$37:$C$44,3,FALSE),1)</f>
        <v>0.97383723671140243</v>
      </c>
      <c r="BV1882" s="4">
        <f>IF(Grandview_Inventory[[#This Row],[bldg_style]]="",1,_xlfn.IFNA(VLOOKUP(Grandview_Inventory[[#This Row],[decade]],Lookups!$F$29:$H$43,3,FALSE),1))</f>
        <v>0.95244691841736806</v>
      </c>
      <c r="BW1882" s="4">
        <f>_xlfn.IFNA(VLOOKUP(Grandview_Inventory[[#This Row],[living_area_range]],Lookups!$F$47:$H$56,3,FALSE),1)</f>
        <v>0.96135087979789358</v>
      </c>
      <c r="BX1882" s="4">
        <f>AVERAGE(Grandview_Inventory[[#This Row],[qual_adj]:[size_adj]])</f>
        <v>0.96416776048566144</v>
      </c>
      <c r="BY1882" s="6">
        <f>IF(Grandview_Inventory[[#This Row],[pre_res]]&lt;0,0,Grandview_Inventory[[#This Row],[pre_res]]*Grandview_Inventory[[#This Row],[overall_adj]])</f>
        <v>219996.59973910771</v>
      </c>
      <c r="BZ1882" s="6">
        <f>(Grandview_Inventory[[#This Row],[sum_land]]-IF(Grandview_Inventory[[#This Row],[no_utilities]]=1,12000,0))/IF(Grandview_Inventory[[#This Row],[unbuildable]]=1,2,1)</f>
        <v>57424.172668108389</v>
      </c>
      <c r="CA1882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882">
        <f>ROUND(Grandview_Inventory[[#This Row],[det_value]]*Lookups!$M$28,-2)</f>
        <v>0</v>
      </c>
      <c r="CC1882">
        <f>IF(ROUND(Grandview_Inventory[[#This Row],[adj_res]]*Lookups!$M$28,-2)&lt;Grandview_Inventory[[#This Row],[min_res]],Grandview_Inventory[[#This Row],[min_res]],ROUND(Grandview_Inventory[[#This Row],[adj_res]]*Lookups!$M$28,-2))</f>
        <v>209000</v>
      </c>
      <c r="CD1882">
        <f>Grandview_Inventory[[#This Row],[final_det]]+Grandview_Inventory[[#This Row],[final_res]]</f>
        <v>209000</v>
      </c>
      <c r="CE1882">
        <f>Grandview_Inventory[[#This Row],[final_land]]+Grandview_Inventory[[#This Row],[final_imp]]+Grandview_Inventory[[#This Row],[crop_value]]</f>
        <v>263600</v>
      </c>
      <c r="CG1882" t="str">
        <f t="shared" si="29"/>
        <v>update valuation set market_land =54600, market_bldg=209000, market_total =263600, market_mdno =401, market_date ='9/10/2023' where link_id = (select link_id from parcel where parcel_year = '2024' and parcel_id = '23092341007');</v>
      </c>
    </row>
    <row r="1883" spans="1:85" x14ac:dyDescent="0.25">
      <c r="A1883">
        <v>23092341010</v>
      </c>
      <c r="B1883">
        <v>0.19</v>
      </c>
      <c r="C1883">
        <v>8431</v>
      </c>
      <c r="D1883" t="s">
        <v>129</v>
      </c>
      <c r="E1883" t="s">
        <v>53</v>
      </c>
      <c r="F1883" t="s">
        <v>53</v>
      </c>
      <c r="G1883">
        <v>4</v>
      </c>
      <c r="H1883" t="s">
        <v>54</v>
      </c>
      <c r="I1883">
        <v>126000</v>
      </c>
      <c r="J1883">
        <v>39300</v>
      </c>
      <c r="K1883">
        <v>0.19</v>
      </c>
      <c r="L188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83">
        <v>0</v>
      </c>
      <c r="N1883">
        <v>0</v>
      </c>
      <c r="O1883">
        <v>0</v>
      </c>
      <c r="P1883">
        <v>13398.7528</v>
      </c>
      <c r="Q1883">
        <v>63903</v>
      </c>
      <c r="R1883">
        <f>(Grandview_Inventory[[#This Row],[ln_acres]]*Grandview_Inventory[[#This Row],[coeff]])+Grandview_Inventory[[#This Row],[const]]</f>
        <v>41651.273092551026</v>
      </c>
      <c r="S1883" t="s">
        <v>68</v>
      </c>
      <c r="T1883">
        <v>1</v>
      </c>
      <c r="U1883" t="s">
        <v>80</v>
      </c>
      <c r="V1883" t="s">
        <v>69</v>
      </c>
      <c r="W1883">
        <v>0</v>
      </c>
      <c r="X1883">
        <v>0</v>
      </c>
      <c r="Y1883">
        <v>52</v>
      </c>
      <c r="Z1883">
        <v>88</v>
      </c>
      <c r="AA1883">
        <v>90</v>
      </c>
      <c r="AB1883">
        <v>1000</v>
      </c>
      <c r="AC1883">
        <v>834</v>
      </c>
      <c r="AD1883">
        <v>834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5</v>
      </c>
      <c r="AQ1883">
        <v>0</v>
      </c>
      <c r="AR1883">
        <v>0</v>
      </c>
      <c r="AS1883" t="s">
        <v>58</v>
      </c>
      <c r="AT1883">
        <v>0</v>
      </c>
      <c r="AU1883" t="s">
        <v>82</v>
      </c>
      <c r="AV1883" t="s">
        <v>64</v>
      </c>
      <c r="AW1883">
        <v>0</v>
      </c>
      <c r="AX1883">
        <v>2</v>
      </c>
      <c r="AY1883">
        <v>0</v>
      </c>
      <c r="AZ1883">
        <v>18300</v>
      </c>
      <c r="BA1883">
        <v>100</v>
      </c>
      <c r="BB1883">
        <v>100</v>
      </c>
      <c r="BC1883">
        <v>100</v>
      </c>
      <c r="BD1883">
        <v>100</v>
      </c>
      <c r="BE1883">
        <v>1</v>
      </c>
      <c r="BF1883">
        <v>15000</v>
      </c>
      <c r="BG1883">
        <v>1000</v>
      </c>
      <c r="BH1883" s="6">
        <f>Grandview_Inventory[[#This Row],[land_extract]]*Lookups!$B$3</f>
        <v>48369.510983942157</v>
      </c>
      <c r="BI1883" s="6">
        <f>IF(Grandview_Inventory[[#This Row],[bldg_style]]="",0,Lookups!$B$2)</f>
        <v>155833.95000000001</v>
      </c>
      <c r="BJ1883" s="6">
        <f>_xlfn.IFNA(VLOOKUP(Grandview_Inventory[[#This Row],[quality]],Lookups!$H$2:$J$14,3,FALSE),0)</f>
        <v>-28558</v>
      </c>
      <c r="BK1883" s="6">
        <f>_xlfn.IFNA(VLOOKUP(Grandview_Inventory[[#This Row],[condition]],Lookups!$H$17:$J$24,3,FALSE),0)</f>
        <v>-4503</v>
      </c>
      <c r="BL1883" s="6">
        <f>Grandview_Inventory[[#This Row],[Eff_Age]]*Lookups!$B$14</f>
        <v>-12436.663199999999</v>
      </c>
      <c r="BM1883" s="6">
        <f>Grandview_Inventory[[#This Row],[living_area]]*Lookups!$B$15</f>
        <v>52025.631401999999</v>
      </c>
      <c r="BN1883" s="6">
        <f>Grandview_Inventory[[#This Row],[Fin BSMT]]*Lookups!$B$16</f>
        <v>0</v>
      </c>
      <c r="BO1883" s="6">
        <f>(Grandview_Inventory[[#This Row],[att_gar]]+Grandview_Inventory[[#This Row],[bltin_gar]])*Lookups!$B$17</f>
        <v>0</v>
      </c>
      <c r="BP1883" s="6">
        <f>Grandview_Inventory[[#This Row],[Plumbing Fixtures]]*Lookups!$B$18</f>
        <v>10052.209000000001</v>
      </c>
      <c r="BQ1883" s="6">
        <f>Grandview_Inventory[[#This Row],[detatched_value]]*Lookups!$B$19</f>
        <v>15496.53333</v>
      </c>
      <c r="BR1883" s="6">
        <f>SUM(Grandview_Inventory[[#This Row],[Intercept]:[det_value]])*Grandview_Inventory[[#This Row],[res_pct]]</f>
        <v>187910.66053200004</v>
      </c>
      <c r="BS1883" s="6">
        <f>Grandview_Inventory[[#This Row],[land_value]]</f>
        <v>48369.510983942157</v>
      </c>
      <c r="BT1883" s="4">
        <f>_xlfn.IFNA(VLOOKUP(Grandview_Inventory[[#This Row],[quality]],Lookups!$A$26:$C$33,3,FALSE),1)</f>
        <v>0.9690360070159818</v>
      </c>
      <c r="BU1883" s="4">
        <f>_xlfn.IFNA(VLOOKUP(Grandview_Inventory[[#This Row],[condition]],Lookups!$A$37:$C$44,3,FALSE),1)</f>
        <v>0.96469275950863709</v>
      </c>
      <c r="BV1883" s="4">
        <f>IF(Grandview_Inventory[[#This Row],[bldg_style]]="",1,_xlfn.IFNA(VLOOKUP(Grandview_Inventory[[#This Row],[decade]],Lookups!$F$29:$H$43,3,FALSE),1))</f>
        <v>0.94161750052457416</v>
      </c>
      <c r="BW1883" s="4">
        <f>_xlfn.IFNA(VLOOKUP(Grandview_Inventory[[#This Row],[living_area_range]],Lookups!$F$47:$H$56,3,FALSE),1)</f>
        <v>0.94306777142782894</v>
      </c>
      <c r="BX1883" s="4">
        <f>AVERAGE(Grandview_Inventory[[#This Row],[qual_adj]:[size_adj]])</f>
        <v>0.95460350961925544</v>
      </c>
      <c r="BY1883" s="6">
        <f>IF(Grandview_Inventory[[#This Row],[pre_res]]&lt;0,0,Grandview_Inventory[[#This Row],[pre_res]]*Grandview_Inventory[[#This Row],[overall_adj]])</f>
        <v>179380.17603871974</v>
      </c>
      <c r="BZ1883" s="6">
        <f>(Grandview_Inventory[[#This Row],[sum_land]]-IF(Grandview_Inventory[[#This Row],[no_utilities]]=1,12000,0))/IF(Grandview_Inventory[[#This Row],[unbuildable]]=1,2,1)</f>
        <v>48369.510983942157</v>
      </c>
      <c r="CA188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83">
        <f>ROUND(Grandview_Inventory[[#This Row],[det_value]]*Lookups!$M$28,-2)</f>
        <v>14700</v>
      </c>
      <c r="CC1883">
        <f>IF(ROUND(Grandview_Inventory[[#This Row],[adj_res]]*Lookups!$M$28,-2)&lt;Grandview_Inventory[[#This Row],[min_res]],Grandview_Inventory[[#This Row],[min_res]],ROUND(Grandview_Inventory[[#This Row],[adj_res]]*Lookups!$M$28,-2))</f>
        <v>170400</v>
      </c>
      <c r="CD1883">
        <f>Grandview_Inventory[[#This Row],[final_det]]+Grandview_Inventory[[#This Row],[final_res]]</f>
        <v>185100</v>
      </c>
      <c r="CE1883">
        <f>Grandview_Inventory[[#This Row],[final_land]]+Grandview_Inventory[[#This Row],[final_imp]]+Grandview_Inventory[[#This Row],[crop_value]]</f>
        <v>231100</v>
      </c>
      <c r="CG1883" t="str">
        <f t="shared" si="29"/>
        <v>update valuation set market_land =46000, market_bldg=185100, market_total =231100, market_mdno =401, market_date ='9/10/2023' where link_id = (select link_id from parcel where parcel_year = '2024' and parcel_id = '23092341010');</v>
      </c>
    </row>
    <row r="1884" spans="1:85" x14ac:dyDescent="0.25">
      <c r="A1884">
        <v>23092341017</v>
      </c>
      <c r="B1884">
        <v>0.27</v>
      </c>
      <c r="C1884">
        <v>11646</v>
      </c>
      <c r="D1884" t="s">
        <v>129</v>
      </c>
      <c r="E1884" t="s">
        <v>53</v>
      </c>
      <c r="F1884" t="s">
        <v>53</v>
      </c>
      <c r="G1884">
        <v>4</v>
      </c>
      <c r="H1884" t="s">
        <v>54</v>
      </c>
      <c r="I1884">
        <v>84100</v>
      </c>
      <c r="J1884">
        <v>40200</v>
      </c>
      <c r="K1884">
        <v>0.27</v>
      </c>
      <c r="L188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884">
        <v>0</v>
      </c>
      <c r="N1884">
        <v>0</v>
      </c>
      <c r="O1884">
        <v>0</v>
      </c>
      <c r="P1884">
        <v>13398.7528</v>
      </c>
      <c r="Q1884">
        <v>63903</v>
      </c>
      <c r="R1884">
        <f>(Grandview_Inventory[[#This Row],[ln_acres]]*Grandview_Inventory[[#This Row],[coeff]])+Grandview_Inventory[[#This Row],[const]]</f>
        <v>46359.566512734265</v>
      </c>
      <c r="S1884" t="s">
        <v>68</v>
      </c>
      <c r="T1884">
        <v>1</v>
      </c>
      <c r="U1884" t="s">
        <v>80</v>
      </c>
      <c r="V1884" t="s">
        <v>69</v>
      </c>
      <c r="W1884">
        <v>0</v>
      </c>
      <c r="X1884">
        <v>0</v>
      </c>
      <c r="Y1884">
        <v>57</v>
      </c>
      <c r="Z1884">
        <v>102</v>
      </c>
      <c r="AA1884">
        <v>110</v>
      </c>
      <c r="AB1884">
        <v>1000</v>
      </c>
      <c r="AC1884">
        <v>788</v>
      </c>
      <c r="AD1884">
        <v>788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15</v>
      </c>
      <c r="AP1884">
        <v>5</v>
      </c>
      <c r="AQ1884">
        <v>0</v>
      </c>
      <c r="AR1884">
        <v>0</v>
      </c>
      <c r="AS1884" t="s">
        <v>58</v>
      </c>
      <c r="AT1884">
        <v>0</v>
      </c>
      <c r="AU1884" t="s">
        <v>82</v>
      </c>
      <c r="AV1884" t="s">
        <v>64</v>
      </c>
      <c r="AW1884">
        <v>0</v>
      </c>
      <c r="AX1884">
        <v>2</v>
      </c>
      <c r="AY1884">
        <v>0</v>
      </c>
      <c r="AZ1884">
        <v>800</v>
      </c>
      <c r="BA1884">
        <v>100</v>
      </c>
      <c r="BB1884">
        <v>100</v>
      </c>
      <c r="BC1884">
        <v>100</v>
      </c>
      <c r="BD1884">
        <v>100</v>
      </c>
      <c r="BE1884">
        <v>1</v>
      </c>
      <c r="BF1884">
        <v>15000</v>
      </c>
      <c r="BG1884">
        <v>1000</v>
      </c>
      <c r="BH1884" s="6">
        <f>Grandview_Inventory[[#This Row],[land_extract]]*Lookups!$B$3</f>
        <v>53837.239420408718</v>
      </c>
      <c r="BI1884" s="6">
        <f>IF(Grandview_Inventory[[#This Row],[bldg_style]]="",0,Lookups!$B$2)</f>
        <v>155833.95000000001</v>
      </c>
      <c r="BJ1884" s="6">
        <f>_xlfn.IFNA(VLOOKUP(Grandview_Inventory[[#This Row],[quality]],Lookups!$H$2:$J$14,3,FALSE),0)</f>
        <v>-28558</v>
      </c>
      <c r="BK1884" s="6">
        <f>_xlfn.IFNA(VLOOKUP(Grandview_Inventory[[#This Row],[condition]],Lookups!$H$17:$J$24,3,FALSE),0)</f>
        <v>-4503</v>
      </c>
      <c r="BL1884" s="6">
        <f>Grandview_Inventory[[#This Row],[Eff_Age]]*Lookups!$B$14</f>
        <v>-13632.4962</v>
      </c>
      <c r="BM1884" s="6">
        <f>Grandview_Inventory[[#This Row],[living_area]]*Lookups!$B$15</f>
        <v>49156.112163999998</v>
      </c>
      <c r="BN1884" s="6">
        <f>Grandview_Inventory[[#This Row],[Fin BSMT]]*Lookups!$B$16</f>
        <v>0</v>
      </c>
      <c r="BO1884" s="6">
        <f>(Grandview_Inventory[[#This Row],[att_gar]]+Grandview_Inventory[[#This Row],[bltin_gar]])*Lookups!$B$17</f>
        <v>0</v>
      </c>
      <c r="BP1884" s="6">
        <f>Grandview_Inventory[[#This Row],[Plumbing Fixtures]]*Lookups!$B$18</f>
        <v>10052.209000000001</v>
      </c>
      <c r="BQ1884" s="6">
        <f>Grandview_Inventory[[#This Row],[detatched_value]]*Lookups!$B$19</f>
        <v>677.44407999999999</v>
      </c>
      <c r="BR1884" s="6">
        <f>SUM(Grandview_Inventory[[#This Row],[Intercept]:[det_value]])*Grandview_Inventory[[#This Row],[res_pct]]</f>
        <v>169026.219044</v>
      </c>
      <c r="BS1884" s="6">
        <f>Grandview_Inventory[[#This Row],[land_value]]</f>
        <v>53837.239420408718</v>
      </c>
      <c r="BT1884" s="4">
        <f>_xlfn.IFNA(VLOOKUP(Grandview_Inventory[[#This Row],[quality]],Lookups!$A$26:$C$33,3,FALSE),1)</f>
        <v>0.9690360070159818</v>
      </c>
      <c r="BU1884" s="4">
        <f>_xlfn.IFNA(VLOOKUP(Grandview_Inventory[[#This Row],[condition]],Lookups!$A$37:$C$44,3,FALSE),1)</f>
        <v>0.96469275950863709</v>
      </c>
      <c r="BV1884" s="4">
        <f>IF(Grandview_Inventory[[#This Row],[bldg_style]]="",1,_xlfn.IFNA(VLOOKUP(Grandview_Inventory[[#This Row],[decade]],Lookups!$F$29:$H$43,3,FALSE),1))</f>
        <v>0.92255236374249616</v>
      </c>
      <c r="BW1884" s="4">
        <f>_xlfn.IFNA(VLOOKUP(Grandview_Inventory[[#This Row],[living_area_range]],Lookups!$F$47:$H$56,3,FALSE),1)</f>
        <v>0.94306777142782894</v>
      </c>
      <c r="BX1884" s="4">
        <f>AVERAGE(Grandview_Inventory[[#This Row],[qual_adj]:[size_adj]])</f>
        <v>0.94983722542373594</v>
      </c>
      <c r="BY1884" s="6">
        <f>IF(Grandview_Inventory[[#This Row],[pre_res]]&lt;0,0,Grandview_Inventory[[#This Row],[pre_res]]*Grandview_Inventory[[#This Row],[overall_adj]])</f>
        <v>160547.3949206176</v>
      </c>
      <c r="BZ1884" s="6">
        <f>(Grandview_Inventory[[#This Row],[sum_land]]-IF(Grandview_Inventory[[#This Row],[no_utilities]]=1,12000,0))/IF(Grandview_Inventory[[#This Row],[unbuildable]]=1,2,1)</f>
        <v>53837.239420408718</v>
      </c>
      <c r="CA188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884">
        <f>ROUND(Grandview_Inventory[[#This Row],[det_value]]*Lookups!$M$28,-2)</f>
        <v>600</v>
      </c>
      <c r="CC1884">
        <f>IF(ROUND(Grandview_Inventory[[#This Row],[adj_res]]*Lookups!$M$28,-2)&lt;Grandview_Inventory[[#This Row],[min_res]],Grandview_Inventory[[#This Row],[min_res]],ROUND(Grandview_Inventory[[#This Row],[adj_res]]*Lookups!$M$28,-2))</f>
        <v>152500</v>
      </c>
      <c r="CD1884">
        <f>Grandview_Inventory[[#This Row],[final_det]]+Grandview_Inventory[[#This Row],[final_res]]</f>
        <v>153100</v>
      </c>
      <c r="CE1884">
        <f>Grandview_Inventory[[#This Row],[final_land]]+Grandview_Inventory[[#This Row],[final_imp]]+Grandview_Inventory[[#This Row],[crop_value]]</f>
        <v>204200</v>
      </c>
      <c r="CG1884" t="str">
        <f t="shared" si="29"/>
        <v>update valuation set market_land =51100, market_bldg=153100, market_total =204200, market_mdno =401, market_date ='9/10/2023' where link_id = (select link_id from parcel where parcel_year = '2024' and parcel_id = '23092341017');</v>
      </c>
    </row>
    <row r="1885" spans="1:85" x14ac:dyDescent="0.25">
      <c r="A1885">
        <v>23092341401</v>
      </c>
      <c r="B1885">
        <v>0.13</v>
      </c>
      <c r="C1885">
        <v>5687</v>
      </c>
      <c r="D1885" t="s">
        <v>129</v>
      </c>
      <c r="E1885" t="s">
        <v>53</v>
      </c>
      <c r="F1885" t="s">
        <v>53</v>
      </c>
      <c r="G1885">
        <v>4</v>
      </c>
      <c r="H1885" t="s">
        <v>54</v>
      </c>
      <c r="I1885">
        <v>55700</v>
      </c>
      <c r="J1885">
        <v>38100</v>
      </c>
      <c r="K1885">
        <v>0.13</v>
      </c>
      <c r="L1885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885">
        <v>0</v>
      </c>
      <c r="N1885">
        <v>0</v>
      </c>
      <c r="O1885">
        <v>0</v>
      </c>
      <c r="P1885">
        <v>13398.7528</v>
      </c>
      <c r="Q1885">
        <v>63903</v>
      </c>
      <c r="R1885">
        <f>(Grandview_Inventory[[#This Row],[ln_acres]]*Grandview_Inventory[[#This Row],[coeff]])+Grandview_Inventory[[#This Row],[const]]</f>
        <v>36566.585461161507</v>
      </c>
      <c r="S1885" t="s">
        <v>68</v>
      </c>
      <c r="T1885">
        <v>1</v>
      </c>
      <c r="U1885" t="s">
        <v>80</v>
      </c>
      <c r="V1885" t="s">
        <v>78</v>
      </c>
      <c r="W1885">
        <v>0</v>
      </c>
      <c r="X1885">
        <v>0</v>
      </c>
      <c r="Y1885">
        <v>57</v>
      </c>
      <c r="Z1885">
        <v>102</v>
      </c>
      <c r="AA1885">
        <v>110</v>
      </c>
      <c r="AB1885">
        <v>1000</v>
      </c>
      <c r="AC1885">
        <v>560</v>
      </c>
      <c r="AD1885">
        <v>560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5</v>
      </c>
      <c r="AQ1885">
        <v>0</v>
      </c>
      <c r="AR1885">
        <v>0</v>
      </c>
      <c r="AS1885" t="s">
        <v>58</v>
      </c>
      <c r="AT1885">
        <v>0</v>
      </c>
      <c r="AU1885" t="s">
        <v>82</v>
      </c>
      <c r="AV1885" t="s">
        <v>64</v>
      </c>
      <c r="AW1885">
        <v>0</v>
      </c>
      <c r="AX1885">
        <v>2</v>
      </c>
      <c r="AY1885">
        <v>0</v>
      </c>
      <c r="AZ1885">
        <v>4500</v>
      </c>
      <c r="BA1885">
        <v>100</v>
      </c>
      <c r="BB1885">
        <v>100</v>
      </c>
      <c r="BC1885">
        <v>100</v>
      </c>
      <c r="BD1885">
        <v>100</v>
      </c>
      <c r="BE1885">
        <v>1</v>
      </c>
      <c r="BF1885">
        <v>15000</v>
      </c>
      <c r="BG1885">
        <v>1000</v>
      </c>
      <c r="BH1885" s="6">
        <f>Grandview_Inventory[[#This Row],[land_extract]]*Lookups!$B$3</f>
        <v>42464.67696626611</v>
      </c>
      <c r="BI1885" s="6">
        <f>IF(Grandview_Inventory[[#This Row],[bldg_style]]="",0,Lookups!$B$2)</f>
        <v>155833.95000000001</v>
      </c>
      <c r="BJ1885" s="6">
        <f>_xlfn.IFNA(VLOOKUP(Grandview_Inventory[[#This Row],[quality]],Lookups!$H$2:$J$14,3,FALSE),0)</f>
        <v>-28558</v>
      </c>
      <c r="BK1885" s="6">
        <f>_xlfn.IFNA(VLOOKUP(Grandview_Inventory[[#This Row],[condition]],Lookups!$H$17:$J$24,3,FALSE),0)</f>
        <v>-45357</v>
      </c>
      <c r="BL1885" s="6">
        <f>Grandview_Inventory[[#This Row],[Eff_Age]]*Lookups!$B$14</f>
        <v>-13632.4962</v>
      </c>
      <c r="BM1885" s="6">
        <f>Grandview_Inventory[[#This Row],[living_area]]*Lookups!$B$15</f>
        <v>34933.277679999999</v>
      </c>
      <c r="BN1885" s="6">
        <f>Grandview_Inventory[[#This Row],[Fin BSMT]]*Lookups!$B$16</f>
        <v>0</v>
      </c>
      <c r="BO1885" s="6">
        <f>(Grandview_Inventory[[#This Row],[att_gar]]+Grandview_Inventory[[#This Row],[bltin_gar]])*Lookups!$B$17</f>
        <v>0</v>
      </c>
      <c r="BP1885" s="6">
        <f>Grandview_Inventory[[#This Row],[Plumbing Fixtures]]*Lookups!$B$18</f>
        <v>10052.209000000001</v>
      </c>
      <c r="BQ1885" s="6">
        <f>Grandview_Inventory[[#This Row],[detatched_value]]*Lookups!$B$19</f>
        <v>3810.6229499999999</v>
      </c>
      <c r="BR1885" s="6">
        <f>SUM(Grandview_Inventory[[#This Row],[Intercept]:[det_value]])*Grandview_Inventory[[#This Row],[res_pct]]</f>
        <v>117082.56343000002</v>
      </c>
      <c r="BS1885" s="6">
        <f>Grandview_Inventory[[#This Row],[land_value]]</f>
        <v>42464.67696626611</v>
      </c>
      <c r="BT1885" s="4">
        <f>_xlfn.IFNA(VLOOKUP(Grandview_Inventory[[#This Row],[quality]],Lookups!$A$26:$C$33,3,FALSE),1)</f>
        <v>0.9690360070159818</v>
      </c>
      <c r="BU1885" s="4">
        <f>_xlfn.IFNA(VLOOKUP(Grandview_Inventory[[#This Row],[condition]],Lookups!$A$37:$C$44,3,FALSE),1)</f>
        <v>0.97161819570155394</v>
      </c>
      <c r="BV1885" s="4">
        <f>IF(Grandview_Inventory[[#This Row],[bldg_style]]="",1,_xlfn.IFNA(VLOOKUP(Grandview_Inventory[[#This Row],[decade]],Lookups!$F$29:$H$43,3,FALSE),1))</f>
        <v>0.92255236374249616</v>
      </c>
      <c r="BW1885" s="4">
        <f>_xlfn.IFNA(VLOOKUP(Grandview_Inventory[[#This Row],[living_area_range]],Lookups!$F$47:$H$56,3,FALSE),1)</f>
        <v>0.94306777142782894</v>
      </c>
      <c r="BX1885" s="4">
        <f>AVERAGE(Grandview_Inventory[[#This Row],[qual_adj]:[size_adj]])</f>
        <v>0.95156858447196513</v>
      </c>
      <c r="BY1885" s="6">
        <f>IF(Grandview_Inventory[[#This Row],[pre_res]]&lt;0,0,Grandview_Inventory[[#This Row],[pre_res]]*Grandview_Inventory[[#This Row],[overall_adj]])</f>
        <v>111412.08914943419</v>
      </c>
      <c r="BZ1885" s="6">
        <f>(Grandview_Inventory[[#This Row],[sum_land]]-IF(Grandview_Inventory[[#This Row],[no_utilities]]=1,12000,0))/IF(Grandview_Inventory[[#This Row],[unbuildable]]=1,2,1)</f>
        <v>42464.67696626611</v>
      </c>
      <c r="CA1885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885">
        <f>ROUND(Grandview_Inventory[[#This Row],[det_value]]*Lookups!$M$28,-2)</f>
        <v>3600</v>
      </c>
      <c r="CC1885">
        <f>IF(ROUND(Grandview_Inventory[[#This Row],[adj_res]]*Lookups!$M$28,-2)&lt;Grandview_Inventory[[#This Row],[min_res]],Grandview_Inventory[[#This Row],[min_res]],ROUND(Grandview_Inventory[[#This Row],[adj_res]]*Lookups!$M$28,-2))</f>
        <v>105800</v>
      </c>
      <c r="CD1885">
        <f>Grandview_Inventory[[#This Row],[final_det]]+Grandview_Inventory[[#This Row],[final_res]]</f>
        <v>109400</v>
      </c>
      <c r="CE1885">
        <f>Grandview_Inventory[[#This Row],[final_land]]+Grandview_Inventory[[#This Row],[final_imp]]+Grandview_Inventory[[#This Row],[crop_value]]</f>
        <v>149700</v>
      </c>
      <c r="CG1885" t="str">
        <f t="shared" si="29"/>
        <v>update valuation set market_land =40300, market_bldg=109400, market_total =149700, market_mdno =401, market_date ='9/10/2023' where link_id = (select link_id from parcel where parcel_year = '2024' and parcel_id = '23092341401');</v>
      </c>
    </row>
    <row r="1886" spans="1:85" x14ac:dyDescent="0.25">
      <c r="A1886">
        <v>23092341409</v>
      </c>
      <c r="B1886" t="s">
        <v>129</v>
      </c>
      <c r="C1886">
        <v>8180</v>
      </c>
      <c r="D1886" t="s">
        <v>129</v>
      </c>
      <c r="E1886" t="s">
        <v>53</v>
      </c>
      <c r="F1886" t="s">
        <v>53</v>
      </c>
      <c r="G1886">
        <v>4</v>
      </c>
      <c r="H1886" t="s">
        <v>54</v>
      </c>
      <c r="I1886">
        <v>120500</v>
      </c>
      <c r="J1886">
        <v>39000</v>
      </c>
      <c r="K1886">
        <v>0.19</v>
      </c>
      <c r="L188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86">
        <v>0</v>
      </c>
      <c r="N1886">
        <v>0</v>
      </c>
      <c r="O1886">
        <v>0</v>
      </c>
      <c r="P1886">
        <v>13398.7528</v>
      </c>
      <c r="Q1886">
        <v>63903</v>
      </c>
      <c r="R1886">
        <f>(Grandview_Inventory[[#This Row],[ln_acres]]*Grandview_Inventory[[#This Row],[coeff]])+Grandview_Inventory[[#This Row],[const]]</f>
        <v>41651.273092551026</v>
      </c>
      <c r="S1886" t="s">
        <v>85</v>
      </c>
      <c r="T1886">
        <v>1</v>
      </c>
      <c r="U1886" t="s">
        <v>70</v>
      </c>
      <c r="V1886" t="s">
        <v>69</v>
      </c>
      <c r="W1886">
        <v>0</v>
      </c>
      <c r="X1886">
        <v>0</v>
      </c>
      <c r="Y1886">
        <v>66</v>
      </c>
      <c r="Z1886">
        <v>114</v>
      </c>
      <c r="AA1886">
        <v>120</v>
      </c>
      <c r="AB1886">
        <v>1500</v>
      </c>
      <c r="AC1886">
        <v>1084</v>
      </c>
      <c r="AD1886">
        <v>1084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259</v>
      </c>
      <c r="AO1886">
        <v>0</v>
      </c>
      <c r="AP1886">
        <v>9</v>
      </c>
      <c r="AQ1886">
        <v>0</v>
      </c>
      <c r="AR1886">
        <v>0</v>
      </c>
      <c r="AS1886" t="s">
        <v>58</v>
      </c>
      <c r="AT1886">
        <v>1</v>
      </c>
      <c r="AU1886" t="s">
        <v>63</v>
      </c>
      <c r="AV1886" t="s">
        <v>64</v>
      </c>
      <c r="AW1886">
        <v>0</v>
      </c>
      <c r="AX1886">
        <v>2</v>
      </c>
      <c r="AY1886">
        <v>0</v>
      </c>
      <c r="AZ1886">
        <v>0</v>
      </c>
      <c r="BA1886">
        <v>100</v>
      </c>
      <c r="BB1886">
        <v>100</v>
      </c>
      <c r="BC1886">
        <v>100</v>
      </c>
      <c r="BD1886">
        <v>100</v>
      </c>
      <c r="BE1886">
        <v>1</v>
      </c>
      <c r="BF1886">
        <v>15000</v>
      </c>
      <c r="BG1886">
        <v>1000</v>
      </c>
      <c r="BH1886" s="6">
        <f>Grandview_Inventory[[#This Row],[land_extract]]*Lookups!$B$3</f>
        <v>48369.510983942157</v>
      </c>
      <c r="BI1886" s="6">
        <f>IF(Grandview_Inventory[[#This Row],[bldg_style]]="",0,Lookups!$B$2)</f>
        <v>155833.95000000001</v>
      </c>
      <c r="BJ1886" s="6">
        <f>_xlfn.IFNA(VLOOKUP(Grandview_Inventory[[#This Row],[quality]],Lookups!$H$2:$J$14,3,FALSE),0)</f>
        <v>10733</v>
      </c>
      <c r="BK1886" s="6">
        <f>_xlfn.IFNA(VLOOKUP(Grandview_Inventory[[#This Row],[condition]],Lookups!$H$17:$J$24,3,FALSE),0)</f>
        <v>-4503</v>
      </c>
      <c r="BL1886" s="6">
        <f>Grandview_Inventory[[#This Row],[Eff_Age]]*Lookups!$B$14</f>
        <v>-15784.995599999998</v>
      </c>
      <c r="BM1886" s="6">
        <f>Grandview_Inventory[[#This Row],[living_area]]*Lookups!$B$15</f>
        <v>67620.844652</v>
      </c>
      <c r="BN1886" s="6">
        <f>Grandview_Inventory[[#This Row],[Fin BSMT]]*Lookups!$B$16</f>
        <v>0</v>
      </c>
      <c r="BO1886" s="6">
        <f>(Grandview_Inventory[[#This Row],[att_gar]]+Grandview_Inventory[[#This Row],[bltin_gar]])*Lookups!$B$17</f>
        <v>0</v>
      </c>
      <c r="BP1886" s="6">
        <f>Grandview_Inventory[[#This Row],[Plumbing Fixtures]]*Lookups!$B$18</f>
        <v>18093.976200000001</v>
      </c>
      <c r="BQ1886" s="6">
        <f>Grandview_Inventory[[#This Row],[detatched_value]]*Lookups!$B$19</f>
        <v>0</v>
      </c>
      <c r="BR1886" s="6">
        <f>SUM(Grandview_Inventory[[#This Row],[Intercept]:[det_value]])*Grandview_Inventory[[#This Row],[res_pct]]</f>
        <v>231993.77525200002</v>
      </c>
      <c r="BS1886" s="6">
        <f>Grandview_Inventory[[#This Row],[land_value]]</f>
        <v>48369.510983942157</v>
      </c>
      <c r="BT1886" s="4">
        <f>_xlfn.IFNA(VLOOKUP(Grandview_Inventory[[#This Row],[quality]],Lookups!$A$26:$C$33,3,FALSE),1)</f>
        <v>0.98079741117310582</v>
      </c>
      <c r="BU1886" s="4">
        <f>_xlfn.IFNA(VLOOKUP(Grandview_Inventory[[#This Row],[condition]],Lookups!$A$37:$C$44,3,FALSE),1)</f>
        <v>0.96469275950863709</v>
      </c>
      <c r="BV1886" s="4">
        <f>IF(Grandview_Inventory[[#This Row],[bldg_style]]="",1,_xlfn.IFNA(VLOOKUP(Grandview_Inventory[[#This Row],[decade]],Lookups!$F$29:$H$43,3,FALSE),1))</f>
        <v>0.9251738460551937</v>
      </c>
      <c r="BW1886" s="4">
        <f>_xlfn.IFNA(VLOOKUP(Grandview_Inventory[[#This Row],[living_area_range]],Lookups!$F$47:$H$56,3,FALSE),1)</f>
        <v>0.96135087979789358</v>
      </c>
      <c r="BX1886" s="4">
        <f>AVERAGE(Grandview_Inventory[[#This Row],[qual_adj]:[size_adj]])</f>
        <v>0.9580037241337076</v>
      </c>
      <c r="BY1886" s="6">
        <f>IF(Grandview_Inventory[[#This Row],[pre_res]]&lt;0,0,Grandview_Inventory[[#This Row],[pre_res]]*Grandview_Inventory[[#This Row],[overall_adj]])</f>
        <v>222250.90066725438</v>
      </c>
      <c r="BZ1886" s="6">
        <f>(Grandview_Inventory[[#This Row],[sum_land]]-IF(Grandview_Inventory[[#This Row],[no_utilities]]=1,12000,0))/IF(Grandview_Inventory[[#This Row],[unbuildable]]=1,2,1)</f>
        <v>48369.510983942157</v>
      </c>
      <c r="CA188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86">
        <f>ROUND(Grandview_Inventory[[#This Row],[det_value]]*Lookups!$M$28,-2)</f>
        <v>0</v>
      </c>
      <c r="CC1886">
        <f>IF(ROUND(Grandview_Inventory[[#This Row],[adj_res]]*Lookups!$M$28,-2)&lt;Grandview_Inventory[[#This Row],[min_res]],Grandview_Inventory[[#This Row],[min_res]],ROUND(Grandview_Inventory[[#This Row],[adj_res]]*Lookups!$M$28,-2))</f>
        <v>211100</v>
      </c>
      <c r="CD1886">
        <f>Grandview_Inventory[[#This Row],[final_det]]+Grandview_Inventory[[#This Row],[final_res]]</f>
        <v>211100</v>
      </c>
      <c r="CE1886">
        <f>Grandview_Inventory[[#This Row],[final_land]]+Grandview_Inventory[[#This Row],[final_imp]]+Grandview_Inventory[[#This Row],[crop_value]]</f>
        <v>257100</v>
      </c>
      <c r="CG1886" t="str">
        <f t="shared" si="29"/>
        <v>update valuation set market_land =46000, market_bldg=211100, market_total =257100, market_mdno =401, market_date ='9/10/2023' where link_id = (select link_id from parcel where parcel_year = '2024' and parcel_id = '23092341409');</v>
      </c>
    </row>
    <row r="1887" spans="1:85" x14ac:dyDescent="0.25">
      <c r="A1887">
        <v>23092341411</v>
      </c>
      <c r="B1887" t="s">
        <v>129</v>
      </c>
      <c r="C1887">
        <v>8385</v>
      </c>
      <c r="D1887" t="s">
        <v>129</v>
      </c>
      <c r="E1887" t="s">
        <v>53</v>
      </c>
      <c r="F1887" t="s">
        <v>53</v>
      </c>
      <c r="G1887">
        <v>4</v>
      </c>
      <c r="H1887" t="s">
        <v>54</v>
      </c>
      <c r="I1887">
        <v>131600</v>
      </c>
      <c r="J1887">
        <v>43500</v>
      </c>
      <c r="K1887">
        <v>0.19</v>
      </c>
      <c r="L188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87">
        <v>0</v>
      </c>
      <c r="N1887">
        <v>0</v>
      </c>
      <c r="O1887">
        <v>0</v>
      </c>
      <c r="P1887">
        <v>13398.7528</v>
      </c>
      <c r="Q1887">
        <v>63903</v>
      </c>
      <c r="R1887">
        <f>(Grandview_Inventory[[#This Row],[ln_acres]]*Grandview_Inventory[[#This Row],[coeff]])+Grandview_Inventory[[#This Row],[const]]</f>
        <v>41651.273092551026</v>
      </c>
      <c r="S1887" t="s">
        <v>68</v>
      </c>
      <c r="T1887">
        <v>1</v>
      </c>
      <c r="U1887" t="s">
        <v>65</v>
      </c>
      <c r="V1887" t="s">
        <v>69</v>
      </c>
      <c r="W1887">
        <v>0</v>
      </c>
      <c r="X1887">
        <v>0</v>
      </c>
      <c r="Y1887">
        <v>50</v>
      </c>
      <c r="Z1887">
        <v>73</v>
      </c>
      <c r="AA1887">
        <v>80</v>
      </c>
      <c r="AB1887">
        <v>1500</v>
      </c>
      <c r="AC1887">
        <v>1324</v>
      </c>
      <c r="AD1887">
        <v>1324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408</v>
      </c>
      <c r="AN1887">
        <v>20</v>
      </c>
      <c r="AO1887">
        <v>408</v>
      </c>
      <c r="AP1887">
        <v>5</v>
      </c>
      <c r="AQ1887">
        <v>0</v>
      </c>
      <c r="AR1887">
        <v>1</v>
      </c>
      <c r="AS1887" t="s">
        <v>58</v>
      </c>
      <c r="AT1887">
        <v>1</v>
      </c>
      <c r="AU1887" t="s">
        <v>63</v>
      </c>
      <c r="AV1887" t="s">
        <v>64</v>
      </c>
      <c r="AW1887">
        <v>0</v>
      </c>
      <c r="AX1887">
        <v>3</v>
      </c>
      <c r="AY1887">
        <v>0</v>
      </c>
      <c r="AZ1887">
        <v>0</v>
      </c>
      <c r="BA1887">
        <v>100</v>
      </c>
      <c r="BB1887">
        <v>100</v>
      </c>
      <c r="BC1887">
        <v>100</v>
      </c>
      <c r="BD1887">
        <v>100</v>
      </c>
      <c r="BE1887">
        <v>1</v>
      </c>
      <c r="BF1887">
        <v>15000</v>
      </c>
      <c r="BG1887">
        <v>1000</v>
      </c>
      <c r="BH1887" s="6">
        <f>Grandview_Inventory[[#This Row],[land_extract]]*Lookups!$B$3</f>
        <v>48369.510983942157</v>
      </c>
      <c r="BI1887" s="6">
        <f>IF(Grandview_Inventory[[#This Row],[bldg_style]]="",0,Lookups!$B$2)</f>
        <v>155833.95000000001</v>
      </c>
      <c r="BJ1887" s="6">
        <f>_xlfn.IFNA(VLOOKUP(Grandview_Inventory[[#This Row],[quality]],Lookups!$H$2:$J$14,3,FALSE),0)</f>
        <v>2251</v>
      </c>
      <c r="BK1887" s="6">
        <f>_xlfn.IFNA(VLOOKUP(Grandview_Inventory[[#This Row],[condition]],Lookups!$H$17:$J$24,3,FALSE),0)</f>
        <v>-4503</v>
      </c>
      <c r="BL1887" s="6">
        <f>Grandview_Inventory[[#This Row],[Eff_Age]]*Lookups!$B$14</f>
        <v>-11958.33</v>
      </c>
      <c r="BM1887" s="6">
        <f>Grandview_Inventory[[#This Row],[living_area]]*Lookups!$B$15</f>
        <v>82592.249372000006</v>
      </c>
      <c r="BN1887" s="6">
        <f>Grandview_Inventory[[#This Row],[Fin BSMT]]*Lookups!$B$16</f>
        <v>0</v>
      </c>
      <c r="BO1887" s="6">
        <f>(Grandview_Inventory[[#This Row],[att_gar]]+Grandview_Inventory[[#This Row],[bltin_gar]])*Lookups!$B$17</f>
        <v>0</v>
      </c>
      <c r="BP1887" s="6">
        <f>Grandview_Inventory[[#This Row],[Plumbing Fixtures]]*Lookups!$B$18</f>
        <v>10052.209000000001</v>
      </c>
      <c r="BQ1887" s="6">
        <f>Grandview_Inventory[[#This Row],[detatched_value]]*Lookups!$B$19</f>
        <v>0</v>
      </c>
      <c r="BR1887" s="6">
        <f>SUM(Grandview_Inventory[[#This Row],[Intercept]:[det_value]])*Grandview_Inventory[[#This Row],[res_pct]]</f>
        <v>234268.07837200005</v>
      </c>
      <c r="BS1887" s="6">
        <f>Grandview_Inventory[[#This Row],[land_value]]</f>
        <v>48369.510983942157</v>
      </c>
      <c r="BT1887" s="4">
        <f>_xlfn.IFNA(VLOOKUP(Grandview_Inventory[[#This Row],[quality]],Lookups!$A$26:$C$33,3,FALSE),1)</f>
        <v>0.98763855981004833</v>
      </c>
      <c r="BU1887" s="4">
        <f>_xlfn.IFNA(VLOOKUP(Grandview_Inventory[[#This Row],[condition]],Lookups!$A$37:$C$44,3,FALSE),1)</f>
        <v>0.96469275950863709</v>
      </c>
      <c r="BV1887" s="4">
        <f>IF(Grandview_Inventory[[#This Row],[bldg_style]]="",1,_xlfn.IFNA(VLOOKUP(Grandview_Inventory[[#This Row],[decade]],Lookups!$F$29:$H$43,3,FALSE),1))</f>
        <v>0.98763256963907298</v>
      </c>
      <c r="BW1887" s="4">
        <f>_xlfn.IFNA(VLOOKUP(Grandview_Inventory[[#This Row],[living_area_range]],Lookups!$F$47:$H$56,3,FALSE),1)</f>
        <v>0.96135087979789358</v>
      </c>
      <c r="BX1887" s="4">
        <f>AVERAGE(Grandview_Inventory[[#This Row],[qual_adj]:[size_adj]])</f>
        <v>0.97532869218891294</v>
      </c>
      <c r="BY1887" s="6">
        <f>IF(Grandview_Inventory[[#This Row],[pre_res]]&lt;0,0,Grandview_Inventory[[#This Row],[pre_res]]*Grandview_Inventory[[#This Row],[overall_adj]])</f>
        <v>228488.37850017258</v>
      </c>
      <c r="BZ1887" s="6">
        <f>(Grandview_Inventory[[#This Row],[sum_land]]-IF(Grandview_Inventory[[#This Row],[no_utilities]]=1,12000,0))/IF(Grandview_Inventory[[#This Row],[unbuildable]]=1,2,1)</f>
        <v>48369.510983942157</v>
      </c>
      <c r="CA188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87">
        <f>ROUND(Grandview_Inventory[[#This Row],[det_value]]*Lookups!$M$28,-2)</f>
        <v>0</v>
      </c>
      <c r="CC1887">
        <f>IF(ROUND(Grandview_Inventory[[#This Row],[adj_res]]*Lookups!$M$28,-2)&lt;Grandview_Inventory[[#This Row],[min_res]],Grandview_Inventory[[#This Row],[min_res]],ROUND(Grandview_Inventory[[#This Row],[adj_res]]*Lookups!$M$28,-2))</f>
        <v>217100</v>
      </c>
      <c r="CD1887">
        <f>Grandview_Inventory[[#This Row],[final_det]]+Grandview_Inventory[[#This Row],[final_res]]</f>
        <v>217100</v>
      </c>
      <c r="CE1887">
        <f>Grandview_Inventory[[#This Row],[final_land]]+Grandview_Inventory[[#This Row],[final_imp]]+Grandview_Inventory[[#This Row],[crop_value]]</f>
        <v>263100</v>
      </c>
      <c r="CG1887" t="str">
        <f t="shared" si="29"/>
        <v>update valuation set market_land =46000, market_bldg=217100, market_total =263100, market_mdno =401, market_date ='9/10/2023' where link_id = (select link_id from parcel where parcel_year = '2024' and parcel_id = '23092341411');</v>
      </c>
    </row>
    <row r="1888" spans="1:85" x14ac:dyDescent="0.25">
      <c r="A1888">
        <v>23092342400</v>
      </c>
      <c r="B1888">
        <v>0.17</v>
      </c>
      <c r="C1888">
        <v>7300</v>
      </c>
      <c r="D1888" t="s">
        <v>129</v>
      </c>
      <c r="E1888" t="s">
        <v>53</v>
      </c>
      <c r="F1888" t="s">
        <v>53</v>
      </c>
      <c r="G1888">
        <v>4</v>
      </c>
      <c r="H1888" t="s">
        <v>54</v>
      </c>
      <c r="I1888">
        <v>170500</v>
      </c>
      <c r="J1888">
        <v>39300</v>
      </c>
      <c r="K1888">
        <v>0.17</v>
      </c>
      <c r="L188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888">
        <v>0</v>
      </c>
      <c r="N1888">
        <v>0</v>
      </c>
      <c r="O1888">
        <v>0</v>
      </c>
      <c r="P1888">
        <v>13398.7528</v>
      </c>
      <c r="Q1888">
        <v>63903</v>
      </c>
      <c r="R1888">
        <f>(Grandview_Inventory[[#This Row],[ln_acres]]*Grandview_Inventory[[#This Row],[coeff]])+Grandview_Inventory[[#This Row],[const]]</f>
        <v>40160.988302686128</v>
      </c>
      <c r="S1888" t="s">
        <v>68</v>
      </c>
      <c r="T1888">
        <v>2</v>
      </c>
      <c r="U1888" t="s">
        <v>70</v>
      </c>
      <c r="V1888" t="s">
        <v>69</v>
      </c>
      <c r="W1888">
        <v>0</v>
      </c>
      <c r="X1888">
        <v>0</v>
      </c>
      <c r="Y1888">
        <v>52</v>
      </c>
      <c r="Z1888">
        <v>85</v>
      </c>
      <c r="AA1888">
        <v>90</v>
      </c>
      <c r="AB1888">
        <v>1500</v>
      </c>
      <c r="AC1888">
        <v>1350</v>
      </c>
      <c r="AD1888">
        <v>900</v>
      </c>
      <c r="AE1888">
        <v>450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112</v>
      </c>
      <c r="AN1888">
        <v>0</v>
      </c>
      <c r="AO1888">
        <v>420</v>
      </c>
      <c r="AP1888">
        <v>7</v>
      </c>
      <c r="AQ1888">
        <v>0</v>
      </c>
      <c r="AR1888">
        <v>0</v>
      </c>
      <c r="AS1888" t="s">
        <v>58</v>
      </c>
      <c r="AT1888">
        <v>1</v>
      </c>
      <c r="AU1888" t="s">
        <v>59</v>
      </c>
      <c r="AV1888" t="s">
        <v>60</v>
      </c>
      <c r="AW1888">
        <v>1</v>
      </c>
      <c r="AX1888">
        <v>5</v>
      </c>
      <c r="AY1888">
        <v>0</v>
      </c>
      <c r="AZ1888">
        <v>17600</v>
      </c>
      <c r="BA1888">
        <v>100</v>
      </c>
      <c r="BB1888">
        <v>100</v>
      </c>
      <c r="BC1888">
        <v>100</v>
      </c>
      <c r="BD1888">
        <v>100</v>
      </c>
      <c r="BE1888">
        <v>1</v>
      </c>
      <c r="BF1888">
        <v>15000</v>
      </c>
      <c r="BG1888">
        <v>1000</v>
      </c>
      <c r="BH1888" s="6">
        <f>Grandview_Inventory[[#This Row],[land_extract]]*Lookups!$B$3</f>
        <v>46638.847281240982</v>
      </c>
      <c r="BI1888" s="6">
        <f>IF(Grandview_Inventory[[#This Row],[bldg_style]]="",0,Lookups!$B$2)</f>
        <v>155833.95000000001</v>
      </c>
      <c r="BJ1888" s="6">
        <f>_xlfn.IFNA(VLOOKUP(Grandview_Inventory[[#This Row],[quality]],Lookups!$H$2:$J$14,3,FALSE),0)</f>
        <v>10733</v>
      </c>
      <c r="BK1888" s="6">
        <f>_xlfn.IFNA(VLOOKUP(Grandview_Inventory[[#This Row],[condition]],Lookups!$H$17:$J$24,3,FALSE),0)</f>
        <v>-4503</v>
      </c>
      <c r="BL1888" s="6">
        <f>Grandview_Inventory[[#This Row],[Eff_Age]]*Lookups!$B$14</f>
        <v>-12436.663199999999</v>
      </c>
      <c r="BM1888" s="6">
        <f>Grandview_Inventory[[#This Row],[living_area]]*Lookups!$B$15</f>
        <v>84214.15155000001</v>
      </c>
      <c r="BN1888" s="6">
        <f>Grandview_Inventory[[#This Row],[Fin BSMT]]*Lookups!$B$16</f>
        <v>0</v>
      </c>
      <c r="BO1888" s="6">
        <f>(Grandview_Inventory[[#This Row],[att_gar]]+Grandview_Inventory[[#This Row],[bltin_gar]])*Lookups!$B$17</f>
        <v>0</v>
      </c>
      <c r="BP1888" s="6">
        <f>Grandview_Inventory[[#This Row],[Plumbing Fixtures]]*Lookups!$B$18</f>
        <v>14073.0926</v>
      </c>
      <c r="BQ1888" s="6">
        <f>Grandview_Inventory[[#This Row],[detatched_value]]*Lookups!$B$19</f>
        <v>14903.769759999999</v>
      </c>
      <c r="BR1888" s="6">
        <f>SUM(Grandview_Inventory[[#This Row],[Intercept]:[det_value]])*Grandview_Inventory[[#This Row],[res_pct]]</f>
        <v>262818.30071000004</v>
      </c>
      <c r="BS1888" s="6">
        <f>Grandview_Inventory[[#This Row],[land_value]]</f>
        <v>46638.847281240982</v>
      </c>
      <c r="BT1888" s="4">
        <f>_xlfn.IFNA(VLOOKUP(Grandview_Inventory[[#This Row],[quality]],Lookups!$A$26:$C$33,3,FALSE),1)</f>
        <v>0.98079741117310582</v>
      </c>
      <c r="BU1888" s="4">
        <f>_xlfn.IFNA(VLOOKUP(Grandview_Inventory[[#This Row],[condition]],Lookups!$A$37:$C$44,3,FALSE),1)</f>
        <v>0.96469275950863709</v>
      </c>
      <c r="BV1888" s="4">
        <f>IF(Grandview_Inventory[[#This Row],[bldg_style]]="",1,_xlfn.IFNA(VLOOKUP(Grandview_Inventory[[#This Row],[decade]],Lookups!$F$29:$H$43,3,FALSE),1))</f>
        <v>0.94161750052457416</v>
      </c>
      <c r="BW1888" s="4">
        <f>_xlfn.IFNA(VLOOKUP(Grandview_Inventory[[#This Row],[living_area_range]],Lookups!$F$47:$H$56,3,FALSE),1)</f>
        <v>0.96135087979789358</v>
      </c>
      <c r="BX1888" s="4">
        <f>AVERAGE(Grandview_Inventory[[#This Row],[qual_adj]:[size_adj]])</f>
        <v>0.96211463775105266</v>
      </c>
      <c r="BY1888" s="6">
        <f>IF(Grandview_Inventory[[#This Row],[pre_res]]&lt;0,0,Grandview_Inventory[[#This Row],[pre_res]]*Grandview_Inventory[[#This Row],[overall_adj]])</f>
        <v>252861.33418194891</v>
      </c>
      <c r="BZ1888" s="6">
        <f>(Grandview_Inventory[[#This Row],[sum_land]]-IF(Grandview_Inventory[[#This Row],[no_utilities]]=1,12000,0))/IF(Grandview_Inventory[[#This Row],[unbuildable]]=1,2,1)</f>
        <v>46638.847281240982</v>
      </c>
      <c r="CA188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888">
        <f>ROUND(Grandview_Inventory[[#This Row],[det_value]]*Lookups!$M$28,-2)</f>
        <v>14200</v>
      </c>
      <c r="CC1888">
        <f>IF(ROUND(Grandview_Inventory[[#This Row],[adj_res]]*Lookups!$M$28,-2)&lt;Grandview_Inventory[[#This Row],[min_res]],Grandview_Inventory[[#This Row],[min_res]],ROUND(Grandview_Inventory[[#This Row],[adj_res]]*Lookups!$M$28,-2))</f>
        <v>240200</v>
      </c>
      <c r="CD1888">
        <f>Grandview_Inventory[[#This Row],[final_det]]+Grandview_Inventory[[#This Row],[final_res]]</f>
        <v>254400</v>
      </c>
      <c r="CE1888">
        <f>Grandview_Inventory[[#This Row],[final_land]]+Grandview_Inventory[[#This Row],[final_imp]]+Grandview_Inventory[[#This Row],[crop_value]]</f>
        <v>298700</v>
      </c>
      <c r="CG1888" t="str">
        <f t="shared" si="29"/>
        <v>update valuation set market_land =44300, market_bldg=254400, market_total =298700, market_mdno =401, market_date ='9/10/2023' where link_id = (select link_id from parcel where parcel_year = '2024' and parcel_id = '23092342400');</v>
      </c>
    </row>
    <row r="1889" spans="1:85" x14ac:dyDescent="0.25">
      <c r="A1889">
        <v>23092342403</v>
      </c>
      <c r="B1889">
        <v>0.17</v>
      </c>
      <c r="C1889">
        <v>7488</v>
      </c>
      <c r="D1889" t="s">
        <v>129</v>
      </c>
      <c r="E1889" t="s">
        <v>53</v>
      </c>
      <c r="F1889" t="s">
        <v>53</v>
      </c>
      <c r="G1889">
        <v>4</v>
      </c>
      <c r="H1889" t="s">
        <v>54</v>
      </c>
      <c r="I1889">
        <v>106000</v>
      </c>
      <c r="J1889">
        <v>39300</v>
      </c>
      <c r="K1889">
        <v>0.17</v>
      </c>
      <c r="L188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889">
        <v>0</v>
      </c>
      <c r="N1889">
        <v>0</v>
      </c>
      <c r="O1889">
        <v>0</v>
      </c>
      <c r="P1889">
        <v>13398.7528</v>
      </c>
      <c r="Q1889">
        <v>63903</v>
      </c>
      <c r="R1889">
        <f>(Grandview_Inventory[[#This Row],[ln_acres]]*Grandview_Inventory[[#This Row],[coeff]])+Grandview_Inventory[[#This Row],[const]]</f>
        <v>40160.988302686128</v>
      </c>
      <c r="S1889" t="s">
        <v>68</v>
      </c>
      <c r="T1889">
        <v>1</v>
      </c>
      <c r="U1889" t="s">
        <v>80</v>
      </c>
      <c r="V1889" t="s">
        <v>69</v>
      </c>
      <c r="W1889">
        <v>0</v>
      </c>
      <c r="X1889">
        <v>0</v>
      </c>
      <c r="Y1889">
        <v>51</v>
      </c>
      <c r="Z1889">
        <v>78</v>
      </c>
      <c r="AA1889">
        <v>80</v>
      </c>
      <c r="AB1889">
        <v>1500</v>
      </c>
      <c r="AC1889">
        <v>1300</v>
      </c>
      <c r="AD1889">
        <v>884</v>
      </c>
      <c r="AE1889">
        <v>0</v>
      </c>
      <c r="AF1889">
        <v>0</v>
      </c>
      <c r="AG1889">
        <v>416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18</v>
      </c>
      <c r="AO1889">
        <v>0</v>
      </c>
      <c r="AP1889">
        <v>5</v>
      </c>
      <c r="AQ1889">
        <v>0</v>
      </c>
      <c r="AR1889">
        <v>0</v>
      </c>
      <c r="AS1889" t="s">
        <v>58</v>
      </c>
      <c r="AT1889">
        <v>1</v>
      </c>
      <c r="AU1889" t="s">
        <v>75</v>
      </c>
      <c r="AV1889" t="s">
        <v>60</v>
      </c>
      <c r="AW1889">
        <v>0</v>
      </c>
      <c r="AX1889">
        <v>3</v>
      </c>
      <c r="AY1889">
        <v>0</v>
      </c>
      <c r="AZ1889">
        <v>0</v>
      </c>
      <c r="BA1889">
        <v>100</v>
      </c>
      <c r="BB1889">
        <v>100</v>
      </c>
      <c r="BC1889">
        <v>100</v>
      </c>
      <c r="BD1889">
        <v>100</v>
      </c>
      <c r="BE1889">
        <v>1</v>
      </c>
      <c r="BF1889">
        <v>15000</v>
      </c>
      <c r="BG1889">
        <v>1000</v>
      </c>
      <c r="BH1889" s="6">
        <f>Grandview_Inventory[[#This Row],[land_extract]]*Lookups!$B$3</f>
        <v>46638.847281240982</v>
      </c>
      <c r="BI1889" s="6">
        <f>IF(Grandview_Inventory[[#This Row],[bldg_style]]="",0,Lookups!$B$2)</f>
        <v>155833.95000000001</v>
      </c>
      <c r="BJ1889" s="6">
        <f>_xlfn.IFNA(VLOOKUP(Grandview_Inventory[[#This Row],[quality]],Lookups!$H$2:$J$14,3,FALSE),0)</f>
        <v>-28558</v>
      </c>
      <c r="BK1889" s="6">
        <f>_xlfn.IFNA(VLOOKUP(Grandview_Inventory[[#This Row],[condition]],Lookups!$H$17:$J$24,3,FALSE),0)</f>
        <v>-4503</v>
      </c>
      <c r="BL1889" s="6">
        <f>Grandview_Inventory[[#This Row],[Eff_Age]]*Lookups!$B$14</f>
        <v>-12197.496599999999</v>
      </c>
      <c r="BM1889" s="6">
        <f>Grandview_Inventory[[#This Row],[living_area]]*Lookups!$B$15</f>
        <v>81095.108900000007</v>
      </c>
      <c r="BN1889" s="6">
        <f>Grandview_Inventory[[#This Row],[Fin BSMT]]*Lookups!$B$16</f>
        <v>-11273.28384</v>
      </c>
      <c r="BO1889" s="6">
        <f>(Grandview_Inventory[[#This Row],[att_gar]]+Grandview_Inventory[[#This Row],[bltin_gar]])*Lookups!$B$17</f>
        <v>0</v>
      </c>
      <c r="BP1889" s="6">
        <f>Grandview_Inventory[[#This Row],[Plumbing Fixtures]]*Lookups!$B$18</f>
        <v>10052.209000000001</v>
      </c>
      <c r="BQ1889" s="6">
        <f>Grandview_Inventory[[#This Row],[detatched_value]]*Lookups!$B$19</f>
        <v>0</v>
      </c>
      <c r="BR1889" s="6">
        <f>SUM(Grandview_Inventory[[#This Row],[Intercept]:[det_value]])*Grandview_Inventory[[#This Row],[res_pct]]</f>
        <v>190449.48746000003</v>
      </c>
      <c r="BS1889" s="6">
        <f>Grandview_Inventory[[#This Row],[land_value]]</f>
        <v>46638.847281240982</v>
      </c>
      <c r="BT1889" s="4">
        <f>_xlfn.IFNA(VLOOKUP(Grandview_Inventory[[#This Row],[quality]],Lookups!$A$26:$C$33,3,FALSE),1)</f>
        <v>0.9690360070159818</v>
      </c>
      <c r="BU1889" s="4">
        <f>_xlfn.IFNA(VLOOKUP(Grandview_Inventory[[#This Row],[condition]],Lookups!$A$37:$C$44,3,FALSE),1)</f>
        <v>0.96469275950863709</v>
      </c>
      <c r="BV1889" s="4">
        <f>IF(Grandview_Inventory[[#This Row],[bldg_style]]="",1,_xlfn.IFNA(VLOOKUP(Grandview_Inventory[[#This Row],[decade]],Lookups!$F$29:$H$43,3,FALSE),1))</f>
        <v>0.98763256963907298</v>
      </c>
      <c r="BW1889" s="4">
        <f>_xlfn.IFNA(VLOOKUP(Grandview_Inventory[[#This Row],[living_area_range]],Lookups!$F$47:$H$56,3,FALSE),1)</f>
        <v>0.96135087979789358</v>
      </c>
      <c r="BX1889" s="4">
        <f>AVERAGE(Grandview_Inventory[[#This Row],[qual_adj]:[size_adj]])</f>
        <v>0.97067805399039631</v>
      </c>
      <c r="BY1889" s="6">
        <f>IF(Grandview_Inventory[[#This Row],[pre_res]]&lt;0,0,Grandview_Inventory[[#This Row],[pre_res]]*Grandview_Inventory[[#This Row],[overall_adj]])</f>
        <v>184865.13787114123</v>
      </c>
      <c r="BZ1889" s="6">
        <f>(Grandview_Inventory[[#This Row],[sum_land]]-IF(Grandview_Inventory[[#This Row],[no_utilities]]=1,12000,0))/IF(Grandview_Inventory[[#This Row],[unbuildable]]=1,2,1)</f>
        <v>46638.847281240982</v>
      </c>
      <c r="CA188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889">
        <f>ROUND(Grandview_Inventory[[#This Row],[det_value]]*Lookups!$M$28,-2)</f>
        <v>0</v>
      </c>
      <c r="CC1889">
        <f>IF(ROUND(Grandview_Inventory[[#This Row],[adj_res]]*Lookups!$M$28,-2)&lt;Grandview_Inventory[[#This Row],[min_res]],Grandview_Inventory[[#This Row],[min_res]],ROUND(Grandview_Inventory[[#This Row],[adj_res]]*Lookups!$M$28,-2))</f>
        <v>175600</v>
      </c>
      <c r="CD1889">
        <f>Grandview_Inventory[[#This Row],[final_det]]+Grandview_Inventory[[#This Row],[final_res]]</f>
        <v>175600</v>
      </c>
      <c r="CE1889">
        <f>Grandview_Inventory[[#This Row],[final_land]]+Grandview_Inventory[[#This Row],[final_imp]]+Grandview_Inventory[[#This Row],[crop_value]]</f>
        <v>219900</v>
      </c>
      <c r="CG1889" t="str">
        <f t="shared" si="29"/>
        <v>update valuation set market_land =44300, market_bldg=175600, market_total =219900, market_mdno =401, market_date ='9/10/2023' where link_id = (select link_id from parcel where parcel_year = '2024' and parcel_id = '23092342403');</v>
      </c>
    </row>
    <row r="1890" spans="1:85" x14ac:dyDescent="0.25">
      <c r="A1890">
        <v>23092342404</v>
      </c>
      <c r="B1890">
        <v>0.14000000000000001</v>
      </c>
      <c r="C1890">
        <v>6009</v>
      </c>
      <c r="D1890" t="s">
        <v>129</v>
      </c>
      <c r="E1890" t="s">
        <v>53</v>
      </c>
      <c r="F1890" t="s">
        <v>53</v>
      </c>
      <c r="G1890">
        <v>4</v>
      </c>
      <c r="H1890" t="s">
        <v>54</v>
      </c>
      <c r="I1890">
        <v>101600</v>
      </c>
      <c r="J1890">
        <v>38600</v>
      </c>
      <c r="K1890">
        <v>0.14000000000000001</v>
      </c>
      <c r="L1890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890">
        <v>0</v>
      </c>
      <c r="N1890">
        <v>0</v>
      </c>
      <c r="O1890">
        <v>0</v>
      </c>
      <c r="P1890">
        <v>13398.7528</v>
      </c>
      <c r="Q1890">
        <v>63903</v>
      </c>
      <c r="R1890">
        <f>(Grandview_Inventory[[#This Row],[ln_acres]]*Grandview_Inventory[[#This Row],[coeff]])+Grandview_Inventory[[#This Row],[const]]</f>
        <v>37559.539860558507</v>
      </c>
      <c r="S1890" t="s">
        <v>68</v>
      </c>
      <c r="T1890">
        <v>1</v>
      </c>
      <c r="U1890" t="s">
        <v>80</v>
      </c>
      <c r="V1890" t="s">
        <v>95</v>
      </c>
      <c r="W1890">
        <v>0</v>
      </c>
      <c r="X1890">
        <v>0</v>
      </c>
      <c r="Y1890">
        <v>51</v>
      </c>
      <c r="Z1890">
        <v>82</v>
      </c>
      <c r="AA1890">
        <v>90</v>
      </c>
      <c r="AB1890">
        <v>1000</v>
      </c>
      <c r="AC1890">
        <v>840</v>
      </c>
      <c r="AD1890">
        <v>840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12</v>
      </c>
      <c r="AN1890">
        <v>0</v>
      </c>
      <c r="AO1890">
        <v>0</v>
      </c>
      <c r="AP1890">
        <v>5</v>
      </c>
      <c r="AQ1890">
        <v>0</v>
      </c>
      <c r="AR1890">
        <v>0</v>
      </c>
      <c r="AS1890" t="s">
        <v>58</v>
      </c>
      <c r="AT1890">
        <v>1</v>
      </c>
      <c r="AU1890" t="s">
        <v>75</v>
      </c>
      <c r="AV1890" t="s">
        <v>60</v>
      </c>
      <c r="AW1890">
        <v>0</v>
      </c>
      <c r="AX1890">
        <v>2</v>
      </c>
      <c r="AY1890">
        <v>0</v>
      </c>
      <c r="AZ1890">
        <v>0</v>
      </c>
      <c r="BA1890">
        <v>100</v>
      </c>
      <c r="BB1890">
        <v>100</v>
      </c>
      <c r="BC1890">
        <v>100</v>
      </c>
      <c r="BD1890">
        <v>100</v>
      </c>
      <c r="BE1890">
        <v>1</v>
      </c>
      <c r="BF1890">
        <v>15000</v>
      </c>
      <c r="BG1890">
        <v>1000</v>
      </c>
      <c r="BH1890" s="6">
        <f>Grandview_Inventory[[#This Row],[land_extract]]*Lookups!$B$3</f>
        <v>43617.792229308972</v>
      </c>
      <c r="BI1890" s="6">
        <f>IF(Grandview_Inventory[[#This Row],[bldg_style]]="",0,Lookups!$B$2)</f>
        <v>155833.95000000001</v>
      </c>
      <c r="BJ1890" s="6">
        <f>_xlfn.IFNA(VLOOKUP(Grandview_Inventory[[#This Row],[quality]],Lookups!$H$2:$J$14,3,FALSE),0)</f>
        <v>-28558</v>
      </c>
      <c r="BK1890" s="6">
        <f>_xlfn.IFNA(VLOOKUP(Grandview_Inventory[[#This Row],[condition]],Lookups!$H$17:$J$24,3,FALSE),0)</f>
        <v>-131057.86505744865</v>
      </c>
      <c r="BL1890" s="6">
        <f>Grandview_Inventory[[#This Row],[Eff_Age]]*Lookups!$B$14</f>
        <v>-12197.496599999999</v>
      </c>
      <c r="BM1890" s="6">
        <f>Grandview_Inventory[[#This Row],[living_area]]*Lookups!$B$15</f>
        <v>52399.916519999999</v>
      </c>
      <c r="BN1890" s="6">
        <f>Grandview_Inventory[[#This Row],[Fin BSMT]]*Lookups!$B$16</f>
        <v>0</v>
      </c>
      <c r="BO1890" s="6">
        <f>(Grandview_Inventory[[#This Row],[att_gar]]+Grandview_Inventory[[#This Row],[bltin_gar]])*Lookups!$B$17</f>
        <v>0</v>
      </c>
      <c r="BP1890" s="6">
        <f>Grandview_Inventory[[#This Row],[Plumbing Fixtures]]*Lookups!$B$18</f>
        <v>10052.209000000001</v>
      </c>
      <c r="BQ1890" s="6">
        <f>Grandview_Inventory[[#This Row],[detatched_value]]*Lookups!$B$19</f>
        <v>0</v>
      </c>
      <c r="BR1890" s="6">
        <f>SUM(Grandview_Inventory[[#This Row],[Intercept]:[det_value]])*Grandview_Inventory[[#This Row],[res_pct]]</f>
        <v>46472.713862551362</v>
      </c>
      <c r="BS1890" s="6">
        <f>Grandview_Inventory[[#This Row],[land_value]]</f>
        <v>43617.792229308972</v>
      </c>
      <c r="BT1890" s="4">
        <f>_xlfn.IFNA(VLOOKUP(Grandview_Inventory[[#This Row],[quality]],Lookups!$A$26:$C$33,3,FALSE),1)</f>
        <v>0.9690360070159818</v>
      </c>
      <c r="BU1890" s="4">
        <f>_xlfn.IFNA(VLOOKUP(Grandview_Inventory[[#This Row],[condition]],Lookups!$A$37:$C$44,3,FALSE),1)</f>
        <v>0.97161819570155394</v>
      </c>
      <c r="BV1890" s="4">
        <f>IF(Grandview_Inventory[[#This Row],[bldg_style]]="",1,_xlfn.IFNA(VLOOKUP(Grandview_Inventory[[#This Row],[decade]],Lookups!$F$29:$H$43,3,FALSE),1))</f>
        <v>0.94161750052457416</v>
      </c>
      <c r="BW1890" s="4">
        <f>_xlfn.IFNA(VLOOKUP(Grandview_Inventory[[#This Row],[living_area_range]],Lookups!$F$47:$H$56,3,FALSE),1)</f>
        <v>0.94306777142782894</v>
      </c>
      <c r="BX1890" s="4">
        <f>AVERAGE(Grandview_Inventory[[#This Row],[qual_adj]:[size_adj]])</f>
        <v>0.95633486866748474</v>
      </c>
      <c r="BY1890" s="6">
        <f>IF(Grandview_Inventory[[#This Row],[pre_res]]&lt;0,0,Grandview_Inventory[[#This Row],[pre_res]]*Grandview_Inventory[[#This Row],[overall_adj]])</f>
        <v>44443.476708364651</v>
      </c>
      <c r="BZ1890" s="6">
        <f>(Grandview_Inventory[[#This Row],[sum_land]]-IF(Grandview_Inventory[[#This Row],[no_utilities]]=1,12000,0))/IF(Grandview_Inventory[[#This Row],[unbuildable]]=1,2,1)</f>
        <v>43617.792229308972</v>
      </c>
      <c r="CA1890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890">
        <f>ROUND(Grandview_Inventory[[#This Row],[det_value]]*Lookups!$M$28,-2)</f>
        <v>0</v>
      </c>
      <c r="CC1890">
        <f>IF(ROUND(Grandview_Inventory[[#This Row],[adj_res]]*Lookups!$M$28,-2)&lt;Grandview_Inventory[[#This Row],[min_res]],Grandview_Inventory[[#This Row],[min_res]],ROUND(Grandview_Inventory[[#This Row],[adj_res]]*Lookups!$M$28,-2))</f>
        <v>42200</v>
      </c>
      <c r="CD1890">
        <f>Grandview_Inventory[[#This Row],[final_det]]+Grandview_Inventory[[#This Row],[final_res]]</f>
        <v>42200</v>
      </c>
      <c r="CE1890">
        <f>Grandview_Inventory[[#This Row],[final_land]]+Grandview_Inventory[[#This Row],[final_imp]]+Grandview_Inventory[[#This Row],[crop_value]]</f>
        <v>83600</v>
      </c>
      <c r="CG1890" t="str">
        <f t="shared" si="29"/>
        <v>update valuation set market_land =41400, market_bldg=42200, market_total =83600, market_mdno =401, market_date ='9/10/2023' where link_id = (select link_id from parcel where parcel_year = '2024' and parcel_id = '23092342404');</v>
      </c>
    </row>
    <row r="1891" spans="1:85" x14ac:dyDescent="0.25">
      <c r="A1891">
        <v>23092342412</v>
      </c>
      <c r="B1891">
        <v>0.18</v>
      </c>
      <c r="C1891">
        <v>7820</v>
      </c>
      <c r="D1891" t="s">
        <v>129</v>
      </c>
      <c r="E1891" t="s">
        <v>53</v>
      </c>
      <c r="F1891" t="s">
        <v>53</v>
      </c>
      <c r="G1891">
        <v>4</v>
      </c>
      <c r="H1891" t="s">
        <v>54</v>
      </c>
      <c r="I1891">
        <v>84600</v>
      </c>
      <c r="J1891">
        <v>39500</v>
      </c>
      <c r="K1891">
        <v>0.18</v>
      </c>
      <c r="L189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891">
        <v>0</v>
      </c>
      <c r="N1891">
        <v>0</v>
      </c>
      <c r="O1891">
        <v>0</v>
      </c>
      <c r="P1891">
        <v>13398.7528</v>
      </c>
      <c r="Q1891">
        <v>63903</v>
      </c>
      <c r="R1891">
        <f>(Grandview_Inventory[[#This Row],[ln_acres]]*Grandview_Inventory[[#This Row],[coeff]])+Grandview_Inventory[[#This Row],[const]]</f>
        <v>40926.839760167699</v>
      </c>
      <c r="S1891" t="s">
        <v>68</v>
      </c>
      <c r="T1891">
        <v>1</v>
      </c>
      <c r="U1891" t="s">
        <v>83</v>
      </c>
      <c r="V1891" t="s">
        <v>78</v>
      </c>
      <c r="W1891">
        <v>0</v>
      </c>
      <c r="X1891">
        <v>0</v>
      </c>
      <c r="Y1891">
        <v>55</v>
      </c>
      <c r="Z1891">
        <v>98</v>
      </c>
      <c r="AA1891">
        <v>100</v>
      </c>
      <c r="AB1891">
        <v>1000</v>
      </c>
      <c r="AC1891">
        <v>558</v>
      </c>
      <c r="AD1891">
        <v>558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5</v>
      </c>
      <c r="AQ1891">
        <v>0</v>
      </c>
      <c r="AR1891">
        <v>0</v>
      </c>
      <c r="AS1891" t="s">
        <v>137</v>
      </c>
      <c r="AT1891">
        <v>1</v>
      </c>
      <c r="AU1891" t="s">
        <v>75</v>
      </c>
      <c r="AV1891" t="s">
        <v>60</v>
      </c>
      <c r="AW1891">
        <v>0</v>
      </c>
      <c r="AX1891">
        <v>1</v>
      </c>
      <c r="AY1891">
        <v>0</v>
      </c>
      <c r="AZ1891">
        <v>0</v>
      </c>
      <c r="BA1891">
        <v>100</v>
      </c>
      <c r="BB1891">
        <v>100</v>
      </c>
      <c r="BC1891">
        <v>100</v>
      </c>
      <c r="BD1891">
        <v>100</v>
      </c>
      <c r="BE1891">
        <v>1</v>
      </c>
      <c r="BF1891">
        <v>15000</v>
      </c>
      <c r="BG1891">
        <v>1000</v>
      </c>
      <c r="BH1891" s="6">
        <f>Grandview_Inventory[[#This Row],[land_extract]]*Lookups!$B$3</f>
        <v>47528.228511015397</v>
      </c>
      <c r="BI1891" s="6">
        <f>IF(Grandview_Inventory[[#This Row],[bldg_style]]="",0,Lookups!$B$2)</f>
        <v>155833.95000000001</v>
      </c>
      <c r="BJ1891" s="6">
        <f>_xlfn.IFNA(VLOOKUP(Grandview_Inventory[[#This Row],[quality]],Lookups!$H$2:$J$14,3,FALSE),0)</f>
        <v>-28558</v>
      </c>
      <c r="BK1891" s="6">
        <f>_xlfn.IFNA(VLOOKUP(Grandview_Inventory[[#This Row],[condition]],Lookups!$H$17:$J$24,3,FALSE),0)</f>
        <v>-45357</v>
      </c>
      <c r="BL1891" s="6">
        <f>Grandview_Inventory[[#This Row],[Eff_Age]]*Lookups!$B$14</f>
        <v>-13154.162999999999</v>
      </c>
      <c r="BM1891" s="6">
        <f>Grandview_Inventory[[#This Row],[living_area]]*Lookups!$B$15</f>
        <v>34808.515974000002</v>
      </c>
      <c r="BN1891" s="6">
        <f>Grandview_Inventory[[#This Row],[Fin BSMT]]*Lookups!$B$16</f>
        <v>0</v>
      </c>
      <c r="BO1891" s="6">
        <f>(Grandview_Inventory[[#This Row],[att_gar]]+Grandview_Inventory[[#This Row],[bltin_gar]])*Lookups!$B$17</f>
        <v>0</v>
      </c>
      <c r="BP1891" s="6">
        <f>Grandview_Inventory[[#This Row],[Plumbing Fixtures]]*Lookups!$B$18</f>
        <v>10052.209000000001</v>
      </c>
      <c r="BQ1891" s="6">
        <f>Grandview_Inventory[[#This Row],[detatched_value]]*Lookups!$B$19</f>
        <v>0</v>
      </c>
      <c r="BR1891" s="6">
        <f>SUM(Grandview_Inventory[[#This Row],[Intercept]:[det_value]])*Grandview_Inventory[[#This Row],[res_pct]]</f>
        <v>113625.51197400002</v>
      </c>
      <c r="BS1891" s="6">
        <f>Grandview_Inventory[[#This Row],[land_value]]</f>
        <v>47528.228511015397</v>
      </c>
      <c r="BT1891" s="4">
        <f>_xlfn.IFNA(VLOOKUP(Grandview_Inventory[[#This Row],[quality]],Lookups!$A$26:$C$33,3,FALSE),1)</f>
        <v>0.96329552998502799</v>
      </c>
      <c r="BU1891" s="4">
        <f>_xlfn.IFNA(VLOOKUP(Grandview_Inventory[[#This Row],[condition]],Lookups!$A$37:$C$44,3,FALSE),1)</f>
        <v>0.97161819570155394</v>
      </c>
      <c r="BV1891" s="4">
        <f>IF(Grandview_Inventory[[#This Row],[bldg_style]]="",1,_xlfn.IFNA(VLOOKUP(Grandview_Inventory[[#This Row],[decade]],Lookups!$F$29:$H$43,3,FALSE),1))</f>
        <v>0.95244691841736806</v>
      </c>
      <c r="BW1891" s="4">
        <f>_xlfn.IFNA(VLOOKUP(Grandview_Inventory[[#This Row],[living_area_range]],Lookups!$F$47:$H$56,3,FALSE),1)</f>
        <v>0.94306777142782894</v>
      </c>
      <c r="BX1891" s="4">
        <f>AVERAGE(Grandview_Inventory[[#This Row],[qual_adj]:[size_adj]])</f>
        <v>0.95760710388294468</v>
      </c>
      <c r="BY1891" s="6">
        <f>IF(Grandview_Inventory[[#This Row],[pre_res]]&lt;0,0,Grandview_Inventory[[#This Row],[pre_res]]*Grandview_Inventory[[#This Row],[overall_adj]])</f>
        <v>108808.59744863902</v>
      </c>
      <c r="BZ1891" s="6">
        <f>(Grandview_Inventory[[#This Row],[sum_land]]-IF(Grandview_Inventory[[#This Row],[no_utilities]]=1,12000,0))/IF(Grandview_Inventory[[#This Row],[unbuildable]]=1,2,1)</f>
        <v>47528.228511015397</v>
      </c>
      <c r="CA189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891">
        <f>ROUND(Grandview_Inventory[[#This Row],[det_value]]*Lookups!$M$28,-2)</f>
        <v>0</v>
      </c>
      <c r="CC1891">
        <f>IF(ROUND(Grandview_Inventory[[#This Row],[adj_res]]*Lookups!$M$28,-2)&lt;Grandview_Inventory[[#This Row],[min_res]],Grandview_Inventory[[#This Row],[min_res]],ROUND(Grandview_Inventory[[#This Row],[adj_res]]*Lookups!$M$28,-2))</f>
        <v>103400</v>
      </c>
      <c r="CD1891">
        <f>Grandview_Inventory[[#This Row],[final_det]]+Grandview_Inventory[[#This Row],[final_res]]</f>
        <v>103400</v>
      </c>
      <c r="CE1891">
        <f>Grandview_Inventory[[#This Row],[final_land]]+Grandview_Inventory[[#This Row],[final_imp]]+Grandview_Inventory[[#This Row],[crop_value]]</f>
        <v>148600</v>
      </c>
      <c r="CG1891" t="str">
        <f t="shared" si="29"/>
        <v>update valuation set market_land =45200, market_bldg=103400, market_total =148600, market_mdno =401, market_date ='9/10/2023' where link_id = (select link_id from parcel where parcel_year = '2024' and parcel_id = '23092342412');</v>
      </c>
    </row>
    <row r="1892" spans="1:85" x14ac:dyDescent="0.25">
      <c r="A1892">
        <v>23092342413</v>
      </c>
      <c r="B1892">
        <v>0.22</v>
      </c>
      <c r="C1892">
        <v>9538</v>
      </c>
      <c r="D1892" t="s">
        <v>129</v>
      </c>
      <c r="E1892" t="s">
        <v>53</v>
      </c>
      <c r="F1892" t="s">
        <v>53</v>
      </c>
      <c r="G1892">
        <v>4</v>
      </c>
      <c r="H1892" t="s">
        <v>54</v>
      </c>
      <c r="I1892">
        <v>98100</v>
      </c>
      <c r="J1892">
        <v>40000</v>
      </c>
      <c r="K1892">
        <v>0.22</v>
      </c>
      <c r="L189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892">
        <v>0</v>
      </c>
      <c r="N1892">
        <v>0</v>
      </c>
      <c r="O1892">
        <v>0</v>
      </c>
      <c r="P1892">
        <v>13398.7528</v>
      </c>
      <c r="Q1892">
        <v>63903</v>
      </c>
      <c r="R1892">
        <f>(Grandview_Inventory[[#This Row],[ln_acres]]*Grandview_Inventory[[#This Row],[coeff]])+Grandview_Inventory[[#This Row],[const]]</f>
        <v>43615.576802869145</v>
      </c>
      <c r="S1892" t="s">
        <v>86</v>
      </c>
      <c r="T1892">
        <v>2</v>
      </c>
      <c r="U1892" t="s">
        <v>70</v>
      </c>
      <c r="V1892" t="s">
        <v>78</v>
      </c>
      <c r="W1892">
        <v>0</v>
      </c>
      <c r="X1892">
        <v>0</v>
      </c>
      <c r="Y1892">
        <v>60</v>
      </c>
      <c r="Z1892">
        <v>108</v>
      </c>
      <c r="AA1892">
        <v>110</v>
      </c>
      <c r="AB1892">
        <v>1500</v>
      </c>
      <c r="AC1892">
        <v>1400</v>
      </c>
      <c r="AD1892">
        <v>728</v>
      </c>
      <c r="AE1892">
        <v>672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244</v>
      </c>
      <c r="AO1892">
        <v>18</v>
      </c>
      <c r="AP1892">
        <v>8</v>
      </c>
      <c r="AQ1892">
        <v>0</v>
      </c>
      <c r="AR1892">
        <v>0</v>
      </c>
      <c r="AS1892" t="s">
        <v>58</v>
      </c>
      <c r="AT1892">
        <v>1</v>
      </c>
      <c r="AU1892" t="s">
        <v>63</v>
      </c>
      <c r="AV1892" t="s">
        <v>60</v>
      </c>
      <c r="AW1892">
        <v>0</v>
      </c>
      <c r="AX1892">
        <v>5</v>
      </c>
      <c r="AY1892">
        <v>0</v>
      </c>
      <c r="AZ1892">
        <v>0</v>
      </c>
      <c r="BA1892">
        <v>100</v>
      </c>
      <c r="BB1892">
        <v>100</v>
      </c>
      <c r="BC1892">
        <v>100</v>
      </c>
      <c r="BD1892">
        <v>100</v>
      </c>
      <c r="BE1892">
        <v>1</v>
      </c>
      <c r="BF1892">
        <v>15000</v>
      </c>
      <c r="BG1892">
        <v>1000</v>
      </c>
      <c r="BH1892" s="6">
        <f>Grandview_Inventory[[#This Row],[land_extract]]*Lookups!$B$3</f>
        <v>50650.651579114572</v>
      </c>
      <c r="BI1892" s="6">
        <f>IF(Grandview_Inventory[[#This Row],[bldg_style]]="",0,Lookups!$B$2)</f>
        <v>155833.95000000001</v>
      </c>
      <c r="BJ1892" s="6">
        <f>_xlfn.IFNA(VLOOKUP(Grandview_Inventory[[#This Row],[quality]],Lookups!$H$2:$J$14,3,FALSE),0)</f>
        <v>10733</v>
      </c>
      <c r="BK1892" s="6">
        <f>_xlfn.IFNA(VLOOKUP(Grandview_Inventory[[#This Row],[condition]],Lookups!$H$17:$J$24,3,FALSE),0)</f>
        <v>-45357</v>
      </c>
      <c r="BL1892" s="6">
        <f>Grandview_Inventory[[#This Row],[Eff_Age]]*Lookups!$B$14</f>
        <v>-14349.995999999999</v>
      </c>
      <c r="BM1892" s="6">
        <f>Grandview_Inventory[[#This Row],[living_area]]*Lookups!$B$15</f>
        <v>87333.194199999998</v>
      </c>
      <c r="BN1892" s="6">
        <f>Grandview_Inventory[[#This Row],[Fin BSMT]]*Lookups!$B$16</f>
        <v>0</v>
      </c>
      <c r="BO1892" s="6">
        <f>(Grandview_Inventory[[#This Row],[att_gar]]+Grandview_Inventory[[#This Row],[bltin_gar]])*Lookups!$B$17</f>
        <v>0</v>
      </c>
      <c r="BP1892" s="6">
        <f>Grandview_Inventory[[#This Row],[Plumbing Fixtures]]*Lookups!$B$18</f>
        <v>16083.5344</v>
      </c>
      <c r="BQ1892" s="6">
        <f>Grandview_Inventory[[#This Row],[detatched_value]]*Lookups!$B$19</f>
        <v>0</v>
      </c>
      <c r="BR1892" s="6">
        <f>SUM(Grandview_Inventory[[#This Row],[Intercept]:[det_value]])*Grandview_Inventory[[#This Row],[res_pct]]</f>
        <v>210276.6826</v>
      </c>
      <c r="BS1892" s="6">
        <f>Grandview_Inventory[[#This Row],[land_value]]</f>
        <v>50650.651579114572</v>
      </c>
      <c r="BT1892" s="4">
        <f>_xlfn.IFNA(VLOOKUP(Grandview_Inventory[[#This Row],[quality]],Lookups!$A$26:$C$33,3,FALSE),1)</f>
        <v>0.98079741117310582</v>
      </c>
      <c r="BU1892" s="4">
        <f>_xlfn.IFNA(VLOOKUP(Grandview_Inventory[[#This Row],[condition]],Lookups!$A$37:$C$44,3,FALSE),1)</f>
        <v>0.97161819570155394</v>
      </c>
      <c r="BV1892" s="4">
        <f>IF(Grandview_Inventory[[#This Row],[bldg_style]]="",1,_xlfn.IFNA(VLOOKUP(Grandview_Inventory[[#This Row],[decade]],Lookups!$F$29:$H$43,3,FALSE),1))</f>
        <v>0.92255236374249616</v>
      </c>
      <c r="BW1892" s="4">
        <f>_xlfn.IFNA(VLOOKUP(Grandview_Inventory[[#This Row],[living_area_range]],Lookups!$F$47:$H$56,3,FALSE),1)</f>
        <v>0.96135087979789358</v>
      </c>
      <c r="BX1892" s="4">
        <f>AVERAGE(Grandview_Inventory[[#This Row],[qual_adj]:[size_adj]])</f>
        <v>0.95907971260376235</v>
      </c>
      <c r="BY1892" s="6">
        <f>IF(Grandview_Inventory[[#This Row],[pre_res]]&lt;0,0,Grandview_Inventory[[#This Row],[pre_res]]*Grandview_Inventory[[#This Row],[overall_adj]])</f>
        <v>201672.10031528055</v>
      </c>
      <c r="BZ1892" s="6">
        <f>(Grandview_Inventory[[#This Row],[sum_land]]-IF(Grandview_Inventory[[#This Row],[no_utilities]]=1,12000,0))/IF(Grandview_Inventory[[#This Row],[unbuildable]]=1,2,1)</f>
        <v>50650.651579114572</v>
      </c>
      <c r="CA189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892">
        <f>ROUND(Grandview_Inventory[[#This Row],[det_value]]*Lookups!$M$28,-2)</f>
        <v>0</v>
      </c>
      <c r="CC1892">
        <f>IF(ROUND(Grandview_Inventory[[#This Row],[adj_res]]*Lookups!$M$28,-2)&lt;Grandview_Inventory[[#This Row],[min_res]],Grandview_Inventory[[#This Row],[min_res]],ROUND(Grandview_Inventory[[#This Row],[adj_res]]*Lookups!$M$28,-2))</f>
        <v>191600</v>
      </c>
      <c r="CD1892">
        <f>Grandview_Inventory[[#This Row],[final_det]]+Grandview_Inventory[[#This Row],[final_res]]</f>
        <v>191600</v>
      </c>
      <c r="CE1892">
        <f>Grandview_Inventory[[#This Row],[final_land]]+Grandview_Inventory[[#This Row],[final_imp]]+Grandview_Inventory[[#This Row],[crop_value]]</f>
        <v>239700</v>
      </c>
      <c r="CG1892" t="str">
        <f t="shared" si="29"/>
        <v>update valuation set market_land =48100, market_bldg=191600, market_total =239700, market_mdno =401, market_date ='9/10/2023' where link_id = (select link_id from parcel where parcel_year = '2024' and parcel_id = '23092342413');</v>
      </c>
    </row>
    <row r="1893" spans="1:85" x14ac:dyDescent="0.25">
      <c r="A1893">
        <v>23092342415</v>
      </c>
      <c r="B1893">
        <v>0.19</v>
      </c>
      <c r="C1893">
        <v>8367</v>
      </c>
      <c r="D1893" t="s">
        <v>129</v>
      </c>
      <c r="E1893" t="s">
        <v>53</v>
      </c>
      <c r="F1893" t="s">
        <v>53</v>
      </c>
      <c r="G1893">
        <v>4</v>
      </c>
      <c r="H1893" t="s">
        <v>54</v>
      </c>
      <c r="I1893">
        <v>129600</v>
      </c>
      <c r="J1893">
        <v>39700</v>
      </c>
      <c r="K1893">
        <v>0.19</v>
      </c>
      <c r="L189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893">
        <v>0</v>
      </c>
      <c r="N1893">
        <v>0</v>
      </c>
      <c r="O1893">
        <v>0</v>
      </c>
      <c r="P1893">
        <v>13398.7528</v>
      </c>
      <c r="Q1893">
        <v>63903</v>
      </c>
      <c r="R1893">
        <f>(Grandview_Inventory[[#This Row],[ln_acres]]*Grandview_Inventory[[#This Row],[coeff]])+Grandview_Inventory[[#This Row],[const]]</f>
        <v>41651.273092551026</v>
      </c>
      <c r="S1893" t="s">
        <v>68</v>
      </c>
      <c r="T1893">
        <v>1</v>
      </c>
      <c r="U1893" t="s">
        <v>70</v>
      </c>
      <c r="V1893" t="s">
        <v>69</v>
      </c>
      <c r="W1893">
        <v>0</v>
      </c>
      <c r="X1893">
        <v>0</v>
      </c>
      <c r="Y1893">
        <v>28</v>
      </c>
      <c r="Z1893">
        <v>28</v>
      </c>
      <c r="AA1893">
        <v>30</v>
      </c>
      <c r="AB1893">
        <v>1000</v>
      </c>
      <c r="AC1893">
        <v>960</v>
      </c>
      <c r="AD1893">
        <v>960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5</v>
      </c>
      <c r="AQ1893">
        <v>0</v>
      </c>
      <c r="AR1893">
        <v>0</v>
      </c>
      <c r="AS1893" t="s">
        <v>58</v>
      </c>
      <c r="AT1893">
        <v>1</v>
      </c>
      <c r="AU1893" t="s">
        <v>75</v>
      </c>
      <c r="AV1893" t="s">
        <v>60</v>
      </c>
      <c r="AW1893">
        <v>0</v>
      </c>
      <c r="AX1893">
        <v>2</v>
      </c>
      <c r="AY1893">
        <v>0</v>
      </c>
      <c r="AZ1893">
        <v>5500</v>
      </c>
      <c r="BA1893">
        <v>100</v>
      </c>
      <c r="BB1893">
        <v>100</v>
      </c>
      <c r="BC1893">
        <v>100</v>
      </c>
      <c r="BD1893">
        <v>100</v>
      </c>
      <c r="BE1893">
        <v>1</v>
      </c>
      <c r="BF1893">
        <v>15000</v>
      </c>
      <c r="BG1893">
        <v>1000</v>
      </c>
      <c r="BH1893" s="6">
        <f>Grandview_Inventory[[#This Row],[land_extract]]*Lookups!$B$3</f>
        <v>48369.510983942157</v>
      </c>
      <c r="BI1893" s="6">
        <f>IF(Grandview_Inventory[[#This Row],[bldg_style]]="",0,Lookups!$B$2)</f>
        <v>155833.95000000001</v>
      </c>
      <c r="BJ1893" s="6">
        <f>_xlfn.IFNA(VLOOKUP(Grandview_Inventory[[#This Row],[quality]],Lookups!$H$2:$J$14,3,FALSE),0)</f>
        <v>10733</v>
      </c>
      <c r="BK1893" s="6">
        <f>_xlfn.IFNA(VLOOKUP(Grandview_Inventory[[#This Row],[condition]],Lookups!$H$17:$J$24,3,FALSE),0)</f>
        <v>-4503</v>
      </c>
      <c r="BL1893" s="6">
        <f>Grandview_Inventory[[#This Row],[Eff_Age]]*Lookups!$B$14</f>
        <v>-6696.6647999999996</v>
      </c>
      <c r="BM1893" s="6">
        <f>Grandview_Inventory[[#This Row],[living_area]]*Lookups!$B$15</f>
        <v>59885.618880000002</v>
      </c>
      <c r="BN1893" s="6">
        <f>Grandview_Inventory[[#This Row],[Fin BSMT]]*Lookups!$B$16</f>
        <v>0</v>
      </c>
      <c r="BO1893" s="6">
        <f>(Grandview_Inventory[[#This Row],[att_gar]]+Grandview_Inventory[[#This Row],[bltin_gar]])*Lookups!$B$17</f>
        <v>0</v>
      </c>
      <c r="BP1893" s="6">
        <f>Grandview_Inventory[[#This Row],[Plumbing Fixtures]]*Lookups!$B$18</f>
        <v>10052.209000000001</v>
      </c>
      <c r="BQ1893" s="6">
        <f>Grandview_Inventory[[#This Row],[detatched_value]]*Lookups!$B$19</f>
        <v>4657.4280499999995</v>
      </c>
      <c r="BR1893" s="6">
        <f>SUM(Grandview_Inventory[[#This Row],[Intercept]:[det_value]])*Grandview_Inventory[[#This Row],[res_pct]]</f>
        <v>229962.54113</v>
      </c>
      <c r="BS1893" s="6">
        <f>Grandview_Inventory[[#This Row],[land_value]]</f>
        <v>48369.510983942157</v>
      </c>
      <c r="BT1893" s="4">
        <f>_xlfn.IFNA(VLOOKUP(Grandview_Inventory[[#This Row],[quality]],Lookups!$A$26:$C$33,3,FALSE),1)</f>
        <v>0.98079741117310582</v>
      </c>
      <c r="BU1893" s="4">
        <f>_xlfn.IFNA(VLOOKUP(Grandview_Inventory[[#This Row],[condition]],Lookups!$A$37:$C$44,3,FALSE),1)</f>
        <v>0.96469275950863709</v>
      </c>
      <c r="BV1893" s="4">
        <f>IF(Grandview_Inventory[[#This Row],[bldg_style]]="",1,_xlfn.IFNA(VLOOKUP(Grandview_Inventory[[#This Row],[decade]],Lookups!$F$29:$H$43,3,FALSE),1))</f>
        <v>0.98397821291089549</v>
      </c>
      <c r="BW1893" s="4">
        <f>_xlfn.IFNA(VLOOKUP(Grandview_Inventory[[#This Row],[living_area_range]],Lookups!$F$47:$H$56,3,FALSE),1)</f>
        <v>0.94306777142782894</v>
      </c>
      <c r="BX1893" s="4">
        <f>AVERAGE(Grandview_Inventory[[#This Row],[qual_adj]:[size_adj]])</f>
        <v>0.96813403875511683</v>
      </c>
      <c r="BY1893" s="6">
        <f>IF(Grandview_Inventory[[#This Row],[pre_res]]&lt;0,0,Grandview_Inventory[[#This Row],[pre_res]]*Grandview_Inventory[[#This Row],[overall_adj]])</f>
        <v>222634.56370657656</v>
      </c>
      <c r="BZ1893" s="6">
        <f>(Grandview_Inventory[[#This Row],[sum_land]]-IF(Grandview_Inventory[[#This Row],[no_utilities]]=1,12000,0))/IF(Grandview_Inventory[[#This Row],[unbuildable]]=1,2,1)</f>
        <v>48369.510983942157</v>
      </c>
      <c r="CA189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893">
        <f>ROUND(Grandview_Inventory[[#This Row],[det_value]]*Lookups!$M$28,-2)</f>
        <v>4400</v>
      </c>
      <c r="CC1893">
        <f>IF(ROUND(Grandview_Inventory[[#This Row],[adj_res]]*Lookups!$M$28,-2)&lt;Grandview_Inventory[[#This Row],[min_res]],Grandview_Inventory[[#This Row],[min_res]],ROUND(Grandview_Inventory[[#This Row],[adj_res]]*Lookups!$M$28,-2))</f>
        <v>211500</v>
      </c>
      <c r="CD1893">
        <f>Grandview_Inventory[[#This Row],[final_det]]+Grandview_Inventory[[#This Row],[final_res]]</f>
        <v>215900</v>
      </c>
      <c r="CE1893">
        <f>Grandview_Inventory[[#This Row],[final_land]]+Grandview_Inventory[[#This Row],[final_imp]]+Grandview_Inventory[[#This Row],[crop_value]]</f>
        <v>261900</v>
      </c>
      <c r="CG1893" t="str">
        <f t="shared" si="29"/>
        <v>update valuation set market_land =46000, market_bldg=215900, market_total =261900, market_mdno =401, market_date ='9/10/2023' where link_id = (select link_id from parcel where parcel_year = '2024' and parcel_id = '23092342415');</v>
      </c>
    </row>
    <row r="1894" spans="1:85" x14ac:dyDescent="0.25">
      <c r="A1894">
        <v>23092342416</v>
      </c>
      <c r="B1894">
        <v>0.44</v>
      </c>
      <c r="C1894">
        <v>19357</v>
      </c>
      <c r="D1894" t="s">
        <v>129</v>
      </c>
      <c r="E1894" t="s">
        <v>53</v>
      </c>
      <c r="F1894" t="s">
        <v>53</v>
      </c>
      <c r="G1894">
        <v>4</v>
      </c>
      <c r="H1894" t="s">
        <v>54</v>
      </c>
      <c r="I1894">
        <v>122000</v>
      </c>
      <c r="J1894">
        <v>41900</v>
      </c>
      <c r="K1894">
        <v>0.44</v>
      </c>
      <c r="L1894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1894">
        <v>0</v>
      </c>
      <c r="N1894">
        <v>0</v>
      </c>
      <c r="O1894">
        <v>0</v>
      </c>
      <c r="P1894">
        <v>13398.7528</v>
      </c>
      <c r="Q1894">
        <v>63903</v>
      </c>
      <c r="R1894">
        <f>(Grandview_Inventory[[#This Row],[ln_acres]]*Grandview_Inventory[[#This Row],[coeff]])+Grandview_Inventory[[#This Row],[const]]</f>
        <v>52902.884529208815</v>
      </c>
      <c r="S1894" t="s">
        <v>68</v>
      </c>
      <c r="T1894">
        <v>1</v>
      </c>
      <c r="U1894" t="s">
        <v>80</v>
      </c>
      <c r="V1894" t="s">
        <v>69</v>
      </c>
      <c r="W1894">
        <v>0</v>
      </c>
      <c r="X1894">
        <v>0</v>
      </c>
      <c r="Y1894">
        <v>50</v>
      </c>
      <c r="Z1894">
        <v>72</v>
      </c>
      <c r="AA1894">
        <v>80</v>
      </c>
      <c r="AB1894">
        <v>1000</v>
      </c>
      <c r="AC1894">
        <v>952</v>
      </c>
      <c r="AD1894">
        <v>952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16</v>
      </c>
      <c r="AN1894">
        <v>0</v>
      </c>
      <c r="AO1894">
        <v>16</v>
      </c>
      <c r="AP1894">
        <v>5</v>
      </c>
      <c r="AQ1894">
        <v>0</v>
      </c>
      <c r="AR1894">
        <v>0</v>
      </c>
      <c r="AS1894" t="s">
        <v>58</v>
      </c>
      <c r="AT1894">
        <v>1</v>
      </c>
      <c r="AU1894" t="s">
        <v>59</v>
      </c>
      <c r="AV1894" t="s">
        <v>60</v>
      </c>
      <c r="AW1894">
        <v>1</v>
      </c>
      <c r="AX1894">
        <v>3</v>
      </c>
      <c r="AY1894">
        <v>0</v>
      </c>
      <c r="AZ1894">
        <v>8400</v>
      </c>
      <c r="BA1894">
        <v>100</v>
      </c>
      <c r="BB1894">
        <v>100</v>
      </c>
      <c r="BC1894">
        <v>100</v>
      </c>
      <c r="BD1894">
        <v>100</v>
      </c>
      <c r="BE1894">
        <v>1</v>
      </c>
      <c r="BF1894">
        <v>15000</v>
      </c>
      <c r="BG1894">
        <v>1000</v>
      </c>
      <c r="BH1894" s="6">
        <f>Grandview_Inventory[[#This Row],[land_extract]]*Lookups!$B$3</f>
        <v>61435.976965981965</v>
      </c>
      <c r="BI1894" s="6">
        <f>IF(Grandview_Inventory[[#This Row],[bldg_style]]="",0,Lookups!$B$2)</f>
        <v>155833.95000000001</v>
      </c>
      <c r="BJ1894" s="6">
        <f>_xlfn.IFNA(VLOOKUP(Grandview_Inventory[[#This Row],[quality]],Lookups!$H$2:$J$14,3,FALSE),0)</f>
        <v>-28558</v>
      </c>
      <c r="BK1894" s="6">
        <f>_xlfn.IFNA(VLOOKUP(Grandview_Inventory[[#This Row],[condition]],Lookups!$H$17:$J$24,3,FALSE),0)</f>
        <v>-4503</v>
      </c>
      <c r="BL1894" s="6">
        <f>Grandview_Inventory[[#This Row],[Eff_Age]]*Lookups!$B$14</f>
        <v>-11958.33</v>
      </c>
      <c r="BM1894" s="6">
        <f>Grandview_Inventory[[#This Row],[living_area]]*Lookups!$B$15</f>
        <v>59386.572056000005</v>
      </c>
      <c r="BN1894" s="6">
        <f>Grandview_Inventory[[#This Row],[Fin BSMT]]*Lookups!$B$16</f>
        <v>0</v>
      </c>
      <c r="BO1894" s="6">
        <f>(Grandview_Inventory[[#This Row],[att_gar]]+Grandview_Inventory[[#This Row],[bltin_gar]])*Lookups!$B$17</f>
        <v>0</v>
      </c>
      <c r="BP1894" s="6">
        <f>Grandview_Inventory[[#This Row],[Plumbing Fixtures]]*Lookups!$B$18</f>
        <v>10052.209000000001</v>
      </c>
      <c r="BQ1894" s="6">
        <f>Grandview_Inventory[[#This Row],[detatched_value]]*Lookups!$B$19</f>
        <v>7113.16284</v>
      </c>
      <c r="BR1894" s="6">
        <f>SUM(Grandview_Inventory[[#This Row],[Intercept]:[det_value]])*Grandview_Inventory[[#This Row],[res_pct]]</f>
        <v>187366.56389600001</v>
      </c>
      <c r="BS1894" s="6">
        <f>Grandview_Inventory[[#This Row],[land_value]]</f>
        <v>61435.976965981965</v>
      </c>
      <c r="BT1894" s="4">
        <f>_xlfn.IFNA(VLOOKUP(Grandview_Inventory[[#This Row],[quality]],Lookups!$A$26:$C$33,3,FALSE),1)</f>
        <v>0.9690360070159818</v>
      </c>
      <c r="BU1894" s="4">
        <f>_xlfn.IFNA(VLOOKUP(Grandview_Inventory[[#This Row],[condition]],Lookups!$A$37:$C$44,3,FALSE),1)</f>
        <v>0.96469275950863709</v>
      </c>
      <c r="BV1894" s="4">
        <f>IF(Grandview_Inventory[[#This Row],[bldg_style]]="",1,_xlfn.IFNA(VLOOKUP(Grandview_Inventory[[#This Row],[decade]],Lookups!$F$29:$H$43,3,FALSE),1))</f>
        <v>0.98763256963907298</v>
      </c>
      <c r="BW1894" s="4">
        <f>_xlfn.IFNA(VLOOKUP(Grandview_Inventory[[#This Row],[living_area_range]],Lookups!$F$47:$H$56,3,FALSE),1)</f>
        <v>0.94306777142782894</v>
      </c>
      <c r="BX1894" s="4">
        <f>AVERAGE(Grandview_Inventory[[#This Row],[qual_adj]:[size_adj]])</f>
        <v>0.96610727689788012</v>
      </c>
      <c r="BY1894" s="6">
        <f>IF(Grandview_Inventory[[#This Row],[pre_res]]&lt;0,0,Grandview_Inventory[[#This Row],[pre_res]]*Grandview_Inventory[[#This Row],[overall_adj]])</f>
        <v>181016.20082727724</v>
      </c>
      <c r="BZ1894" s="6">
        <f>(Grandview_Inventory[[#This Row],[sum_land]]-IF(Grandview_Inventory[[#This Row],[no_utilities]]=1,12000,0))/IF(Grandview_Inventory[[#This Row],[unbuildable]]=1,2,1)</f>
        <v>61435.976965981965</v>
      </c>
      <c r="CA1894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1894">
        <f>ROUND(Grandview_Inventory[[#This Row],[det_value]]*Lookups!$M$28,-2)</f>
        <v>6800</v>
      </c>
      <c r="CC1894">
        <f>IF(ROUND(Grandview_Inventory[[#This Row],[adj_res]]*Lookups!$M$28,-2)&lt;Grandview_Inventory[[#This Row],[min_res]],Grandview_Inventory[[#This Row],[min_res]],ROUND(Grandview_Inventory[[#This Row],[adj_res]]*Lookups!$M$28,-2))</f>
        <v>172000</v>
      </c>
      <c r="CD1894">
        <f>Grandview_Inventory[[#This Row],[final_det]]+Grandview_Inventory[[#This Row],[final_res]]</f>
        <v>178800</v>
      </c>
      <c r="CE1894">
        <f>Grandview_Inventory[[#This Row],[final_land]]+Grandview_Inventory[[#This Row],[final_imp]]+Grandview_Inventory[[#This Row],[crop_value]]</f>
        <v>237200</v>
      </c>
      <c r="CG1894" t="str">
        <f t="shared" si="29"/>
        <v>update valuation set market_land =58400, market_bldg=178800, market_total =237200, market_mdno =401, market_date ='9/10/2023' where link_id = (select link_id from parcel where parcel_year = '2024' and parcel_id = '23092342416');</v>
      </c>
    </row>
    <row r="1895" spans="1:85" x14ac:dyDescent="0.25">
      <c r="A1895">
        <v>23092342417</v>
      </c>
      <c r="B1895">
        <v>0.15</v>
      </c>
      <c r="C1895">
        <v>6682</v>
      </c>
      <c r="D1895" t="s">
        <v>129</v>
      </c>
      <c r="E1895" t="s">
        <v>53</v>
      </c>
      <c r="F1895" t="s">
        <v>53</v>
      </c>
      <c r="G1895">
        <v>4</v>
      </c>
      <c r="H1895" t="s">
        <v>54</v>
      </c>
      <c r="I1895">
        <v>140900</v>
      </c>
      <c r="J1895">
        <v>39000</v>
      </c>
      <c r="K1895">
        <v>0.15</v>
      </c>
      <c r="L1895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895">
        <v>0</v>
      </c>
      <c r="N1895">
        <v>0</v>
      </c>
      <c r="O1895">
        <v>0</v>
      </c>
      <c r="P1895">
        <v>13398.7528</v>
      </c>
      <c r="Q1895">
        <v>63903</v>
      </c>
      <c r="R1895">
        <f>(Grandview_Inventory[[#This Row],[ln_acres]]*Grandview_Inventory[[#This Row],[coeff]])+Grandview_Inventory[[#This Row],[const]]</f>
        <v>38483.958290574345</v>
      </c>
      <c r="S1895" t="s">
        <v>68</v>
      </c>
      <c r="T1895">
        <v>1</v>
      </c>
      <c r="U1895" t="s">
        <v>80</v>
      </c>
      <c r="V1895" t="s">
        <v>67</v>
      </c>
      <c r="W1895">
        <v>0</v>
      </c>
      <c r="X1895">
        <v>0</v>
      </c>
      <c r="Y1895">
        <v>60</v>
      </c>
      <c r="Z1895">
        <v>108</v>
      </c>
      <c r="AA1895">
        <v>110</v>
      </c>
      <c r="AB1895">
        <v>1500</v>
      </c>
      <c r="AC1895">
        <v>1274</v>
      </c>
      <c r="AD1895">
        <v>1274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5</v>
      </c>
      <c r="AQ1895">
        <v>0</v>
      </c>
      <c r="AR1895">
        <v>0</v>
      </c>
      <c r="AS1895" t="s">
        <v>71</v>
      </c>
      <c r="AT1895">
        <v>0</v>
      </c>
      <c r="AU1895" t="s">
        <v>82</v>
      </c>
      <c r="AV1895" t="s">
        <v>64</v>
      </c>
      <c r="AW1895">
        <v>0</v>
      </c>
      <c r="AX1895">
        <v>3</v>
      </c>
      <c r="AY1895">
        <v>0</v>
      </c>
      <c r="AZ1895">
        <v>0</v>
      </c>
      <c r="BA1895">
        <v>100</v>
      </c>
      <c r="BB1895">
        <v>100</v>
      </c>
      <c r="BC1895">
        <v>100</v>
      </c>
      <c r="BD1895">
        <v>100</v>
      </c>
      <c r="BE1895">
        <v>1</v>
      </c>
      <c r="BF1895">
        <v>15000</v>
      </c>
      <c r="BG1895">
        <v>1000</v>
      </c>
      <c r="BH1895" s="6">
        <f>Grandview_Inventory[[#This Row],[land_extract]]*Lookups!$B$3</f>
        <v>44691.316856156598</v>
      </c>
      <c r="BI1895" s="6">
        <f>IF(Grandview_Inventory[[#This Row],[bldg_style]]="",0,Lookups!$B$2)</f>
        <v>155833.95000000001</v>
      </c>
      <c r="BJ1895" s="6">
        <f>_xlfn.IFNA(VLOOKUP(Grandview_Inventory[[#This Row],[quality]],Lookups!$H$2:$J$14,3,FALSE),0)</f>
        <v>-28558</v>
      </c>
      <c r="BK1895" s="6">
        <f>_xlfn.IFNA(VLOOKUP(Grandview_Inventory[[#This Row],[condition]],Lookups!$H$17:$J$24,3,FALSE),0)</f>
        <v>22342</v>
      </c>
      <c r="BL1895" s="6">
        <f>Grandview_Inventory[[#This Row],[Eff_Age]]*Lookups!$B$14</f>
        <v>-14349.995999999999</v>
      </c>
      <c r="BM1895" s="6">
        <f>Grandview_Inventory[[#This Row],[living_area]]*Lookups!$B$15</f>
        <v>79473.206722000003</v>
      </c>
      <c r="BN1895" s="6">
        <f>Grandview_Inventory[[#This Row],[Fin BSMT]]*Lookups!$B$16</f>
        <v>0</v>
      </c>
      <c r="BO1895" s="6">
        <f>(Grandview_Inventory[[#This Row],[att_gar]]+Grandview_Inventory[[#This Row],[bltin_gar]])*Lookups!$B$17</f>
        <v>0</v>
      </c>
      <c r="BP1895" s="6">
        <f>Grandview_Inventory[[#This Row],[Plumbing Fixtures]]*Lookups!$B$18</f>
        <v>10052.209000000001</v>
      </c>
      <c r="BQ1895" s="6">
        <f>Grandview_Inventory[[#This Row],[detatched_value]]*Lookups!$B$19</f>
        <v>0</v>
      </c>
      <c r="BR1895" s="6">
        <f>SUM(Grandview_Inventory[[#This Row],[Intercept]:[det_value]])*Grandview_Inventory[[#This Row],[res_pct]]</f>
        <v>224793.36972200003</v>
      </c>
      <c r="BS1895" s="6">
        <f>Grandview_Inventory[[#This Row],[land_value]]</f>
        <v>44691.316856156598</v>
      </c>
      <c r="BT1895" s="4">
        <f>_xlfn.IFNA(VLOOKUP(Grandview_Inventory[[#This Row],[quality]],Lookups!$A$26:$C$33,3,FALSE),1)</f>
        <v>0.9690360070159818</v>
      </c>
      <c r="BU1895" s="4">
        <f>_xlfn.IFNA(VLOOKUP(Grandview_Inventory[[#This Row],[condition]],Lookups!$A$37:$C$44,3,FALSE),1)</f>
        <v>0.97383723671140243</v>
      </c>
      <c r="BV1895" s="4">
        <f>IF(Grandview_Inventory[[#This Row],[bldg_style]]="",1,_xlfn.IFNA(VLOOKUP(Grandview_Inventory[[#This Row],[decade]],Lookups!$F$29:$H$43,3,FALSE),1))</f>
        <v>0.92255236374249616</v>
      </c>
      <c r="BW1895" s="4">
        <f>_xlfn.IFNA(VLOOKUP(Grandview_Inventory[[#This Row],[living_area_range]],Lookups!$F$47:$H$56,3,FALSE),1)</f>
        <v>0.96135087979789358</v>
      </c>
      <c r="BX1895" s="4">
        <f>AVERAGE(Grandview_Inventory[[#This Row],[qual_adj]:[size_adj]])</f>
        <v>0.95669412181694347</v>
      </c>
      <c r="BY1895" s="6">
        <f>IF(Grandview_Inventory[[#This Row],[pre_res]]&lt;0,0,Grandview_Inventory[[#This Row],[pre_res]]*Grandview_Inventory[[#This Row],[overall_adj]])</f>
        <v>215058.4954364603</v>
      </c>
      <c r="BZ1895" s="6">
        <f>(Grandview_Inventory[[#This Row],[sum_land]]-IF(Grandview_Inventory[[#This Row],[no_utilities]]=1,12000,0))/IF(Grandview_Inventory[[#This Row],[unbuildable]]=1,2,1)</f>
        <v>44691.316856156598</v>
      </c>
      <c r="CA1895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895">
        <f>ROUND(Grandview_Inventory[[#This Row],[det_value]]*Lookups!$M$28,-2)</f>
        <v>0</v>
      </c>
      <c r="CC1895">
        <f>IF(ROUND(Grandview_Inventory[[#This Row],[adj_res]]*Lookups!$M$28,-2)&lt;Grandview_Inventory[[#This Row],[min_res]],Grandview_Inventory[[#This Row],[min_res]],ROUND(Grandview_Inventory[[#This Row],[adj_res]]*Lookups!$M$28,-2))</f>
        <v>204300</v>
      </c>
      <c r="CD1895">
        <f>Grandview_Inventory[[#This Row],[final_det]]+Grandview_Inventory[[#This Row],[final_res]]</f>
        <v>204300</v>
      </c>
      <c r="CE1895">
        <f>Grandview_Inventory[[#This Row],[final_land]]+Grandview_Inventory[[#This Row],[final_imp]]+Grandview_Inventory[[#This Row],[crop_value]]</f>
        <v>246800</v>
      </c>
      <c r="CG1895" t="str">
        <f t="shared" si="29"/>
        <v>update valuation set market_land =42500, market_bldg=204300, market_total =246800, market_mdno =401, market_date ='9/10/2023' where link_id = (select link_id from parcel where parcel_year = '2024' and parcel_id = '23092342417');</v>
      </c>
    </row>
    <row r="1896" spans="1:85" x14ac:dyDescent="0.25">
      <c r="A1896">
        <v>23092342418</v>
      </c>
      <c r="B1896">
        <v>0.34</v>
      </c>
      <c r="C1896">
        <v>14701</v>
      </c>
      <c r="D1896" t="s">
        <v>129</v>
      </c>
      <c r="E1896" t="s">
        <v>53</v>
      </c>
      <c r="F1896" t="s">
        <v>53</v>
      </c>
      <c r="G1896">
        <v>4</v>
      </c>
      <c r="H1896" t="s">
        <v>54</v>
      </c>
      <c r="I1896">
        <v>273900</v>
      </c>
      <c r="J1896">
        <v>41800</v>
      </c>
      <c r="K1896">
        <v>0.34</v>
      </c>
      <c r="L1896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1896">
        <v>0</v>
      </c>
      <c r="N1896">
        <v>0</v>
      </c>
      <c r="O1896">
        <v>0</v>
      </c>
      <c r="P1896">
        <v>13398.7528</v>
      </c>
      <c r="Q1896">
        <v>63903</v>
      </c>
      <c r="R1896">
        <f>(Grandview_Inventory[[#This Row],[ln_acres]]*Grandview_Inventory[[#This Row],[coeff]])+Grandview_Inventory[[#This Row],[const]]</f>
        <v>49448.296029025805</v>
      </c>
      <c r="S1896" t="s">
        <v>58</v>
      </c>
      <c r="T1896">
        <v>1</v>
      </c>
      <c r="U1896" t="s">
        <v>62</v>
      </c>
      <c r="V1896" t="s">
        <v>57</v>
      </c>
      <c r="W1896">
        <v>0</v>
      </c>
      <c r="X1896">
        <v>0</v>
      </c>
      <c r="Y1896">
        <v>5</v>
      </c>
      <c r="Z1896">
        <v>5</v>
      </c>
      <c r="AA1896">
        <v>10</v>
      </c>
      <c r="AB1896">
        <v>2000</v>
      </c>
      <c r="AC1896">
        <v>1652</v>
      </c>
      <c r="AD1896">
        <v>1652</v>
      </c>
      <c r="AE1896">
        <v>0</v>
      </c>
      <c r="AF1896">
        <v>0</v>
      </c>
      <c r="AG1896">
        <v>0</v>
      </c>
      <c r="AH1896">
        <v>0</v>
      </c>
      <c r="AI1896">
        <v>460</v>
      </c>
      <c r="AJ1896">
        <v>0</v>
      </c>
      <c r="AK1896">
        <v>0</v>
      </c>
      <c r="AL1896">
        <v>130</v>
      </c>
      <c r="AM1896">
        <v>0</v>
      </c>
      <c r="AN1896">
        <v>64</v>
      </c>
      <c r="AO1896">
        <v>0</v>
      </c>
      <c r="AP1896">
        <v>9</v>
      </c>
      <c r="AQ1896">
        <v>0</v>
      </c>
      <c r="AR1896">
        <v>0</v>
      </c>
      <c r="AS1896" t="s">
        <v>58</v>
      </c>
      <c r="AT1896">
        <v>1</v>
      </c>
      <c r="AU1896" t="s">
        <v>59</v>
      </c>
      <c r="AV1896" t="s">
        <v>60</v>
      </c>
      <c r="AW1896">
        <v>1</v>
      </c>
      <c r="AX1896">
        <v>3</v>
      </c>
      <c r="AY1896">
        <v>0</v>
      </c>
      <c r="AZ1896">
        <v>0</v>
      </c>
      <c r="BA1896">
        <v>100</v>
      </c>
      <c r="BB1896">
        <v>100</v>
      </c>
      <c r="BC1896">
        <v>100</v>
      </c>
      <c r="BD1896">
        <v>100</v>
      </c>
      <c r="BE1896">
        <v>1</v>
      </c>
      <c r="BF1896">
        <v>15000</v>
      </c>
      <c r="BG1896">
        <v>1000</v>
      </c>
      <c r="BH1896" s="6">
        <f>Grandview_Inventory[[#This Row],[land_extract]]*Lookups!$B$3</f>
        <v>57424.172668108389</v>
      </c>
      <c r="BI1896" s="6">
        <f>IF(Grandview_Inventory[[#This Row],[bldg_style]]="",0,Lookups!$B$2)</f>
        <v>155833.95000000001</v>
      </c>
      <c r="BJ1896" s="6">
        <f>_xlfn.IFNA(VLOOKUP(Grandview_Inventory[[#This Row],[quality]],Lookups!$H$2:$J$14,3,FALSE),0)</f>
        <v>9808</v>
      </c>
      <c r="BK1896" s="6">
        <f>_xlfn.IFNA(VLOOKUP(Grandview_Inventory[[#This Row],[condition]],Lookups!$H$17:$J$24,3,FALSE),0)</f>
        <v>25780</v>
      </c>
      <c r="BL1896" s="6">
        <f>Grandview_Inventory[[#This Row],[Eff_Age]]*Lookups!$B$14</f>
        <v>-1195.8329999999999</v>
      </c>
      <c r="BM1896" s="6">
        <f>Grandview_Inventory[[#This Row],[living_area]]*Lookups!$B$15</f>
        <v>103053.169156</v>
      </c>
      <c r="BN1896" s="6">
        <f>Grandview_Inventory[[#This Row],[Fin BSMT]]*Lookups!$B$16</f>
        <v>0</v>
      </c>
      <c r="BO1896" s="6">
        <f>(Grandview_Inventory[[#This Row],[att_gar]]+Grandview_Inventory[[#This Row],[bltin_gar]])*Lookups!$B$17</f>
        <v>40259.401019999998</v>
      </c>
      <c r="BP1896" s="6">
        <f>Grandview_Inventory[[#This Row],[Plumbing Fixtures]]*Lookups!$B$18</f>
        <v>18093.976200000001</v>
      </c>
      <c r="BQ1896" s="6">
        <f>Grandview_Inventory[[#This Row],[detatched_value]]*Lookups!$B$19</f>
        <v>0</v>
      </c>
      <c r="BR1896" s="6">
        <f>SUM(Grandview_Inventory[[#This Row],[Intercept]:[det_value]])*Grandview_Inventory[[#This Row],[res_pct]]</f>
        <v>351632.66337599995</v>
      </c>
      <c r="BS1896" s="6">
        <f>Grandview_Inventory[[#This Row],[land_value]]</f>
        <v>57424.172668108389</v>
      </c>
      <c r="BT1896" s="4">
        <f>_xlfn.IFNA(VLOOKUP(Grandview_Inventory[[#This Row],[quality]],Lookups!$A$26:$C$33,3,FALSE),1)</f>
        <v>0.94295468617355149</v>
      </c>
      <c r="BU1896" s="4">
        <f>_xlfn.IFNA(VLOOKUP(Grandview_Inventory[[#This Row],[condition]],Lookups!$A$37:$C$44,3,FALSE),1)</f>
        <v>0.94347925387812148</v>
      </c>
      <c r="BV1896" s="4">
        <f>IF(Grandview_Inventory[[#This Row],[bldg_style]]="",1,_xlfn.IFNA(VLOOKUP(Grandview_Inventory[[#This Row],[decade]],Lookups!$F$29:$H$43,3,FALSE),1))</f>
        <v>0.94601966599150278</v>
      </c>
      <c r="BW1896" s="4">
        <f>_xlfn.IFNA(VLOOKUP(Grandview_Inventory[[#This Row],[living_area_range]],Lookups!$F$47:$H$56,3,FALSE),1)</f>
        <v>0.96120133463014379</v>
      </c>
      <c r="BX1896" s="4">
        <f>AVERAGE(Grandview_Inventory[[#This Row],[qual_adj]:[size_adj]])</f>
        <v>0.94841373516832994</v>
      </c>
      <c r="BY1896" s="6">
        <f>IF(Grandview_Inventory[[#This Row],[pre_res]]&lt;0,0,Grandview_Inventory[[#This Row],[pre_res]]*Grandview_Inventory[[#This Row],[overall_adj]])</f>
        <v>333493.24767962011</v>
      </c>
      <c r="BZ1896" s="6">
        <f>(Grandview_Inventory[[#This Row],[sum_land]]-IF(Grandview_Inventory[[#This Row],[no_utilities]]=1,12000,0))/IF(Grandview_Inventory[[#This Row],[unbuildable]]=1,2,1)</f>
        <v>57424.172668108389</v>
      </c>
      <c r="CA1896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1896">
        <f>ROUND(Grandview_Inventory[[#This Row],[det_value]]*Lookups!$M$28,-2)</f>
        <v>0</v>
      </c>
      <c r="CC1896">
        <f>IF(ROUND(Grandview_Inventory[[#This Row],[adj_res]]*Lookups!$M$28,-2)&lt;Grandview_Inventory[[#This Row],[min_res]],Grandview_Inventory[[#This Row],[min_res]],ROUND(Grandview_Inventory[[#This Row],[adj_res]]*Lookups!$M$28,-2))</f>
        <v>316800</v>
      </c>
      <c r="CD1896">
        <f>Grandview_Inventory[[#This Row],[final_det]]+Grandview_Inventory[[#This Row],[final_res]]</f>
        <v>316800</v>
      </c>
      <c r="CE1896">
        <f>Grandview_Inventory[[#This Row],[final_land]]+Grandview_Inventory[[#This Row],[final_imp]]+Grandview_Inventory[[#This Row],[crop_value]]</f>
        <v>371400</v>
      </c>
      <c r="CG1896" t="str">
        <f t="shared" si="29"/>
        <v>update valuation set market_land =54600, market_bldg=316800, market_total =371400, market_mdno =401, market_date ='9/10/2023' where link_id = (select link_id from parcel where parcel_year = '2024' and parcel_id = '23092342418');</v>
      </c>
    </row>
    <row r="1897" spans="1:85" x14ac:dyDescent="0.25">
      <c r="A1897">
        <v>23092342419</v>
      </c>
      <c r="B1897">
        <v>0.2</v>
      </c>
      <c r="C1897">
        <v>8818</v>
      </c>
      <c r="D1897" t="s">
        <v>129</v>
      </c>
      <c r="E1897" t="s">
        <v>53</v>
      </c>
      <c r="F1897" t="s">
        <v>53</v>
      </c>
      <c r="G1897">
        <v>4</v>
      </c>
      <c r="H1897" t="s">
        <v>54</v>
      </c>
      <c r="I1897">
        <v>131600</v>
      </c>
      <c r="J1897">
        <v>39800</v>
      </c>
      <c r="K1897">
        <v>0.2</v>
      </c>
      <c r="L189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897">
        <v>0</v>
      </c>
      <c r="N1897">
        <v>0</v>
      </c>
      <c r="O1897">
        <v>0</v>
      </c>
      <c r="P1897">
        <v>13398.7528</v>
      </c>
      <c r="Q1897">
        <v>63903</v>
      </c>
      <c r="R1897">
        <f>(Grandview_Inventory[[#This Row],[ln_acres]]*Grandview_Inventory[[#This Row],[coeff]])+Grandview_Inventory[[#This Row],[const]]</f>
        <v>42338.539264347448</v>
      </c>
      <c r="S1897" t="s">
        <v>68</v>
      </c>
      <c r="T1897">
        <v>1</v>
      </c>
      <c r="U1897" t="s">
        <v>70</v>
      </c>
      <c r="V1897" t="s">
        <v>69</v>
      </c>
      <c r="W1897">
        <v>0</v>
      </c>
      <c r="X1897">
        <v>0</v>
      </c>
      <c r="Y1897">
        <v>52</v>
      </c>
      <c r="Z1897">
        <v>88</v>
      </c>
      <c r="AA1897">
        <v>90</v>
      </c>
      <c r="AB1897">
        <v>1000</v>
      </c>
      <c r="AC1897">
        <v>998</v>
      </c>
      <c r="AD1897">
        <v>832</v>
      </c>
      <c r="AE1897">
        <v>0</v>
      </c>
      <c r="AF1897">
        <v>0</v>
      </c>
      <c r="AG1897">
        <v>166</v>
      </c>
      <c r="AH1897">
        <v>666</v>
      </c>
      <c r="AI1897">
        <v>0</v>
      </c>
      <c r="AJ1897">
        <v>0</v>
      </c>
      <c r="AK1897">
        <v>570</v>
      </c>
      <c r="AL1897">
        <v>0</v>
      </c>
      <c r="AM1897">
        <v>0</v>
      </c>
      <c r="AN1897">
        <v>0</v>
      </c>
      <c r="AO1897">
        <v>130</v>
      </c>
      <c r="AP1897">
        <v>5</v>
      </c>
      <c r="AQ1897">
        <v>0</v>
      </c>
      <c r="AR1897">
        <v>0</v>
      </c>
      <c r="AS1897" t="s">
        <v>58</v>
      </c>
      <c r="AT1897">
        <v>1</v>
      </c>
      <c r="AU1897" t="s">
        <v>63</v>
      </c>
      <c r="AV1897" t="s">
        <v>60</v>
      </c>
      <c r="AW1897">
        <v>0</v>
      </c>
      <c r="AX1897">
        <v>2</v>
      </c>
      <c r="AY1897">
        <v>0</v>
      </c>
      <c r="AZ1897">
        <v>0</v>
      </c>
      <c r="BA1897">
        <v>100</v>
      </c>
      <c r="BB1897">
        <v>100</v>
      </c>
      <c r="BC1897">
        <v>100</v>
      </c>
      <c r="BD1897">
        <v>100</v>
      </c>
      <c r="BE1897">
        <v>1</v>
      </c>
      <c r="BF1897">
        <v>15000</v>
      </c>
      <c r="BG1897">
        <v>1000</v>
      </c>
      <c r="BH1897" s="6">
        <f>Grandview_Inventory[[#This Row],[land_extract]]*Lookups!$B$3</f>
        <v>49167.631333630678</v>
      </c>
      <c r="BI1897" s="6">
        <f>IF(Grandview_Inventory[[#This Row],[bldg_style]]="",0,Lookups!$B$2)</f>
        <v>155833.95000000001</v>
      </c>
      <c r="BJ1897" s="6">
        <f>_xlfn.IFNA(VLOOKUP(Grandview_Inventory[[#This Row],[quality]],Lookups!$H$2:$J$14,3,FALSE),0)</f>
        <v>10733</v>
      </c>
      <c r="BK1897" s="6">
        <f>_xlfn.IFNA(VLOOKUP(Grandview_Inventory[[#This Row],[condition]],Lookups!$H$17:$J$24,3,FALSE),0)</f>
        <v>-4503</v>
      </c>
      <c r="BL1897" s="6">
        <f>Grandview_Inventory[[#This Row],[Eff_Age]]*Lookups!$B$14</f>
        <v>-12436.663199999999</v>
      </c>
      <c r="BM1897" s="6">
        <f>Grandview_Inventory[[#This Row],[living_area]]*Lookups!$B$15</f>
        <v>62256.091294000005</v>
      </c>
      <c r="BN1897" s="6">
        <f>Grandview_Inventory[[#This Row],[Fin BSMT]]*Lookups!$B$16</f>
        <v>-4498.4738400000006</v>
      </c>
      <c r="BO1897" s="6">
        <f>(Grandview_Inventory[[#This Row],[att_gar]]+Grandview_Inventory[[#This Row],[bltin_gar]])*Lookups!$B$17</f>
        <v>0</v>
      </c>
      <c r="BP1897" s="6">
        <f>Grandview_Inventory[[#This Row],[Plumbing Fixtures]]*Lookups!$B$18</f>
        <v>10052.209000000001</v>
      </c>
      <c r="BQ1897" s="6">
        <f>Grandview_Inventory[[#This Row],[detatched_value]]*Lookups!$B$19</f>
        <v>0</v>
      </c>
      <c r="BR1897" s="6">
        <f>SUM(Grandview_Inventory[[#This Row],[Intercept]:[det_value]])*Grandview_Inventory[[#This Row],[res_pct]]</f>
        <v>217437.11325400003</v>
      </c>
      <c r="BS1897" s="6">
        <f>Grandview_Inventory[[#This Row],[land_value]]</f>
        <v>49167.631333630678</v>
      </c>
      <c r="BT1897" s="4">
        <f>_xlfn.IFNA(VLOOKUP(Grandview_Inventory[[#This Row],[quality]],Lookups!$A$26:$C$33,3,FALSE),1)</f>
        <v>0.98079741117310582</v>
      </c>
      <c r="BU1897" s="4">
        <f>_xlfn.IFNA(VLOOKUP(Grandview_Inventory[[#This Row],[condition]],Lookups!$A$37:$C$44,3,FALSE),1)</f>
        <v>0.96469275950863709</v>
      </c>
      <c r="BV1897" s="4">
        <f>IF(Grandview_Inventory[[#This Row],[bldg_style]]="",1,_xlfn.IFNA(VLOOKUP(Grandview_Inventory[[#This Row],[decade]],Lookups!$F$29:$H$43,3,FALSE),1))</f>
        <v>0.94161750052457416</v>
      </c>
      <c r="BW1897" s="4">
        <f>_xlfn.IFNA(VLOOKUP(Grandview_Inventory[[#This Row],[living_area_range]],Lookups!$F$47:$H$56,3,FALSE),1)</f>
        <v>0.94306777142782894</v>
      </c>
      <c r="BX1897" s="4">
        <f>AVERAGE(Grandview_Inventory[[#This Row],[qual_adj]:[size_adj]])</f>
        <v>0.95754386065853647</v>
      </c>
      <c r="BY1897" s="6">
        <f>IF(Grandview_Inventory[[#This Row],[pre_res]]&lt;0,0,Grandview_Inventory[[#This Row],[pre_res]]*Grandview_Inventory[[#This Row],[overall_adj]])</f>
        <v>208205.57287568261</v>
      </c>
      <c r="BZ1897" s="6">
        <f>(Grandview_Inventory[[#This Row],[sum_land]]-IF(Grandview_Inventory[[#This Row],[no_utilities]]=1,12000,0))/IF(Grandview_Inventory[[#This Row],[unbuildable]]=1,2,1)</f>
        <v>49167.631333630678</v>
      </c>
      <c r="CA189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897">
        <f>ROUND(Grandview_Inventory[[#This Row],[det_value]]*Lookups!$M$28,-2)</f>
        <v>0</v>
      </c>
      <c r="CC1897">
        <f>IF(ROUND(Grandview_Inventory[[#This Row],[adj_res]]*Lookups!$M$28,-2)&lt;Grandview_Inventory[[#This Row],[min_res]],Grandview_Inventory[[#This Row],[min_res]],ROUND(Grandview_Inventory[[#This Row],[adj_res]]*Lookups!$M$28,-2))</f>
        <v>197800</v>
      </c>
      <c r="CD1897">
        <f>Grandview_Inventory[[#This Row],[final_det]]+Grandview_Inventory[[#This Row],[final_res]]</f>
        <v>197800</v>
      </c>
      <c r="CE1897">
        <f>Grandview_Inventory[[#This Row],[final_land]]+Grandview_Inventory[[#This Row],[final_imp]]+Grandview_Inventory[[#This Row],[crop_value]]</f>
        <v>244500</v>
      </c>
      <c r="CG1897" t="str">
        <f t="shared" si="29"/>
        <v>update valuation set market_land =46700, market_bldg=197800, market_total =244500, market_mdno =401, market_date ='9/10/2023' where link_id = (select link_id from parcel where parcel_year = '2024' and parcel_id = '23092342419');</v>
      </c>
    </row>
    <row r="1898" spans="1:85" x14ac:dyDescent="0.25">
      <c r="A1898">
        <v>23092342420</v>
      </c>
      <c r="B1898">
        <v>0.15</v>
      </c>
      <c r="C1898">
        <v>6350</v>
      </c>
      <c r="D1898" t="s">
        <v>129</v>
      </c>
      <c r="E1898" t="s">
        <v>53</v>
      </c>
      <c r="F1898" t="s">
        <v>53</v>
      </c>
      <c r="G1898">
        <v>4</v>
      </c>
      <c r="H1898" t="s">
        <v>54</v>
      </c>
      <c r="I1898">
        <v>83000</v>
      </c>
      <c r="J1898">
        <v>38800</v>
      </c>
      <c r="K1898">
        <v>0.15</v>
      </c>
      <c r="L1898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1898">
        <v>0</v>
      </c>
      <c r="N1898">
        <v>0</v>
      </c>
      <c r="O1898">
        <v>0</v>
      </c>
      <c r="P1898">
        <v>13398.7528</v>
      </c>
      <c r="Q1898">
        <v>63903</v>
      </c>
      <c r="R1898">
        <f>(Grandview_Inventory[[#This Row],[ln_acres]]*Grandview_Inventory[[#This Row],[coeff]])+Grandview_Inventory[[#This Row],[const]]</f>
        <v>38483.958290574345</v>
      </c>
      <c r="S1898" t="s">
        <v>68</v>
      </c>
      <c r="T1898">
        <v>1</v>
      </c>
      <c r="U1898" t="s">
        <v>83</v>
      </c>
      <c r="V1898" t="s">
        <v>78</v>
      </c>
      <c r="W1898">
        <v>0</v>
      </c>
      <c r="X1898">
        <v>0</v>
      </c>
      <c r="Y1898">
        <v>55</v>
      </c>
      <c r="Z1898">
        <v>98</v>
      </c>
      <c r="AA1898">
        <v>100</v>
      </c>
      <c r="AB1898">
        <v>1000</v>
      </c>
      <c r="AC1898">
        <v>619</v>
      </c>
      <c r="AD1898">
        <v>619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70</v>
      </c>
      <c r="AM1898">
        <v>0</v>
      </c>
      <c r="AN1898">
        <v>0</v>
      </c>
      <c r="AO1898">
        <v>70</v>
      </c>
      <c r="AP1898">
        <v>5</v>
      </c>
      <c r="AQ1898">
        <v>0</v>
      </c>
      <c r="AR1898">
        <v>0</v>
      </c>
      <c r="AS1898" t="s">
        <v>71</v>
      </c>
      <c r="AT1898">
        <v>1</v>
      </c>
      <c r="AU1898" t="s">
        <v>75</v>
      </c>
      <c r="AV1898" t="s">
        <v>60</v>
      </c>
      <c r="AW1898">
        <v>0</v>
      </c>
      <c r="AX1898">
        <v>2</v>
      </c>
      <c r="AY1898">
        <v>0</v>
      </c>
      <c r="AZ1898">
        <v>0</v>
      </c>
      <c r="BA1898">
        <v>100</v>
      </c>
      <c r="BB1898">
        <v>100</v>
      </c>
      <c r="BC1898">
        <v>100</v>
      </c>
      <c r="BD1898">
        <v>100</v>
      </c>
      <c r="BE1898">
        <v>1</v>
      </c>
      <c r="BF1898">
        <v>15000</v>
      </c>
      <c r="BG1898">
        <v>1000</v>
      </c>
      <c r="BH1898" s="6">
        <f>Grandview_Inventory[[#This Row],[land_extract]]*Lookups!$B$3</f>
        <v>44691.316856156598</v>
      </c>
      <c r="BI1898" s="6">
        <f>IF(Grandview_Inventory[[#This Row],[bldg_style]]="",0,Lookups!$B$2)</f>
        <v>155833.95000000001</v>
      </c>
      <c r="BJ1898" s="6">
        <f>_xlfn.IFNA(VLOOKUP(Grandview_Inventory[[#This Row],[quality]],Lookups!$H$2:$J$14,3,FALSE),0)</f>
        <v>-28558</v>
      </c>
      <c r="BK1898" s="6">
        <f>_xlfn.IFNA(VLOOKUP(Grandview_Inventory[[#This Row],[condition]],Lookups!$H$17:$J$24,3,FALSE),0)</f>
        <v>-45357</v>
      </c>
      <c r="BL1898" s="6">
        <f>Grandview_Inventory[[#This Row],[Eff_Age]]*Lookups!$B$14</f>
        <v>-13154.162999999999</v>
      </c>
      <c r="BM1898" s="6">
        <f>Grandview_Inventory[[#This Row],[living_area]]*Lookups!$B$15</f>
        <v>38613.748007000002</v>
      </c>
      <c r="BN1898" s="6">
        <f>Grandview_Inventory[[#This Row],[Fin BSMT]]*Lookups!$B$16</f>
        <v>0</v>
      </c>
      <c r="BO1898" s="6">
        <f>(Grandview_Inventory[[#This Row],[att_gar]]+Grandview_Inventory[[#This Row],[bltin_gar]])*Lookups!$B$17</f>
        <v>0</v>
      </c>
      <c r="BP1898" s="6">
        <f>Grandview_Inventory[[#This Row],[Plumbing Fixtures]]*Lookups!$B$18</f>
        <v>10052.209000000001</v>
      </c>
      <c r="BQ1898" s="6">
        <f>Grandview_Inventory[[#This Row],[detatched_value]]*Lookups!$B$19</f>
        <v>0</v>
      </c>
      <c r="BR1898" s="6">
        <f>SUM(Grandview_Inventory[[#This Row],[Intercept]:[det_value]])*Grandview_Inventory[[#This Row],[res_pct]]</f>
        <v>117430.74400700002</v>
      </c>
      <c r="BS1898" s="6">
        <f>Grandview_Inventory[[#This Row],[land_value]]</f>
        <v>44691.316856156598</v>
      </c>
      <c r="BT1898" s="4">
        <f>_xlfn.IFNA(VLOOKUP(Grandview_Inventory[[#This Row],[quality]],Lookups!$A$26:$C$33,3,FALSE),1)</f>
        <v>0.96329552998502799</v>
      </c>
      <c r="BU1898" s="4">
        <f>_xlfn.IFNA(VLOOKUP(Grandview_Inventory[[#This Row],[condition]],Lookups!$A$37:$C$44,3,FALSE),1)</f>
        <v>0.97161819570155394</v>
      </c>
      <c r="BV1898" s="4">
        <f>IF(Grandview_Inventory[[#This Row],[bldg_style]]="",1,_xlfn.IFNA(VLOOKUP(Grandview_Inventory[[#This Row],[decade]],Lookups!$F$29:$H$43,3,FALSE),1))</f>
        <v>0.95244691841736806</v>
      </c>
      <c r="BW1898" s="4">
        <f>_xlfn.IFNA(VLOOKUP(Grandview_Inventory[[#This Row],[living_area_range]],Lookups!$F$47:$H$56,3,FALSE),1)</f>
        <v>0.94306777142782894</v>
      </c>
      <c r="BX1898" s="4">
        <f>AVERAGE(Grandview_Inventory[[#This Row],[qual_adj]:[size_adj]])</f>
        <v>0.95760710388294468</v>
      </c>
      <c r="BY1898" s="6">
        <f>IF(Grandview_Inventory[[#This Row],[pre_res]]&lt;0,0,Grandview_Inventory[[#This Row],[pre_res]]*Grandview_Inventory[[#This Row],[overall_adj]])</f>
        <v>112452.51467536275</v>
      </c>
      <c r="BZ1898" s="6">
        <f>(Grandview_Inventory[[#This Row],[sum_land]]-IF(Grandview_Inventory[[#This Row],[no_utilities]]=1,12000,0))/IF(Grandview_Inventory[[#This Row],[unbuildable]]=1,2,1)</f>
        <v>44691.316856156598</v>
      </c>
      <c r="CA1898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1898">
        <f>ROUND(Grandview_Inventory[[#This Row],[det_value]]*Lookups!$M$28,-2)</f>
        <v>0</v>
      </c>
      <c r="CC1898">
        <f>IF(ROUND(Grandview_Inventory[[#This Row],[adj_res]]*Lookups!$M$28,-2)&lt;Grandview_Inventory[[#This Row],[min_res]],Grandview_Inventory[[#This Row],[min_res]],ROUND(Grandview_Inventory[[#This Row],[adj_res]]*Lookups!$M$28,-2))</f>
        <v>106800</v>
      </c>
      <c r="CD1898">
        <f>Grandview_Inventory[[#This Row],[final_det]]+Grandview_Inventory[[#This Row],[final_res]]</f>
        <v>106800</v>
      </c>
      <c r="CE1898">
        <f>Grandview_Inventory[[#This Row],[final_land]]+Grandview_Inventory[[#This Row],[final_imp]]+Grandview_Inventory[[#This Row],[crop_value]]</f>
        <v>149300</v>
      </c>
      <c r="CG1898" t="str">
        <f t="shared" si="29"/>
        <v>update valuation set market_land =42500, market_bldg=106800, market_total =149300, market_mdno =401, market_date ='9/10/2023' where link_id = (select link_id from parcel where parcel_year = '2024' and parcel_id = '23092342420');</v>
      </c>
    </row>
    <row r="1899" spans="1:85" x14ac:dyDescent="0.25">
      <c r="A1899">
        <v>23092342423</v>
      </c>
      <c r="B1899">
        <v>0.21</v>
      </c>
      <c r="C1899">
        <v>9047</v>
      </c>
      <c r="D1899" t="s">
        <v>129</v>
      </c>
      <c r="E1899" t="s">
        <v>53</v>
      </c>
      <c r="F1899" t="s">
        <v>53</v>
      </c>
      <c r="G1899">
        <v>4</v>
      </c>
      <c r="H1899" t="s">
        <v>54</v>
      </c>
      <c r="I1899">
        <v>127700</v>
      </c>
      <c r="J1899">
        <v>39700</v>
      </c>
      <c r="K1899">
        <v>0.21</v>
      </c>
      <c r="L189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899">
        <v>0</v>
      </c>
      <c r="N1899">
        <v>0</v>
      </c>
      <c r="O1899">
        <v>0</v>
      </c>
      <c r="P1899">
        <v>13398.7528</v>
      </c>
      <c r="Q1899">
        <v>63903</v>
      </c>
      <c r="R1899">
        <f>(Grandview_Inventory[[#This Row],[ln_acres]]*Grandview_Inventory[[#This Row],[coeff]])+Grandview_Inventory[[#This Row],[const]]</f>
        <v>42992.266613125081</v>
      </c>
      <c r="S1899" t="s">
        <v>61</v>
      </c>
      <c r="T1899">
        <v>1</v>
      </c>
      <c r="U1899" t="s">
        <v>80</v>
      </c>
      <c r="V1899" t="s">
        <v>69</v>
      </c>
      <c r="W1899">
        <v>0</v>
      </c>
      <c r="X1899">
        <v>0</v>
      </c>
      <c r="Y1899">
        <v>47</v>
      </c>
      <c r="Z1899">
        <v>58</v>
      </c>
      <c r="AA1899">
        <v>60</v>
      </c>
      <c r="AB1899">
        <v>1500</v>
      </c>
      <c r="AC1899">
        <v>1400</v>
      </c>
      <c r="AD1899">
        <v>1400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15</v>
      </c>
      <c r="AO1899">
        <v>0</v>
      </c>
      <c r="AP1899">
        <v>5</v>
      </c>
      <c r="AQ1899">
        <v>0</v>
      </c>
      <c r="AR1899">
        <v>0</v>
      </c>
      <c r="AS1899" t="s">
        <v>58</v>
      </c>
      <c r="AT1899">
        <v>1</v>
      </c>
      <c r="AU1899" t="s">
        <v>75</v>
      </c>
      <c r="AV1899" t="s">
        <v>60</v>
      </c>
      <c r="AW1899">
        <v>0</v>
      </c>
      <c r="AX1899">
        <v>3</v>
      </c>
      <c r="AY1899">
        <v>0</v>
      </c>
      <c r="AZ1899">
        <v>0</v>
      </c>
      <c r="BA1899">
        <v>100</v>
      </c>
      <c r="BB1899">
        <v>100</v>
      </c>
      <c r="BC1899">
        <v>100</v>
      </c>
      <c r="BD1899">
        <v>100</v>
      </c>
      <c r="BE1899">
        <v>1</v>
      </c>
      <c r="BF1899">
        <v>15000</v>
      </c>
      <c r="BG1899">
        <v>1000</v>
      </c>
      <c r="BH1899" s="6">
        <f>Grandview_Inventory[[#This Row],[land_extract]]*Lookups!$B$3</f>
        <v>49926.8031387023</v>
      </c>
      <c r="BI1899" s="6">
        <f>IF(Grandview_Inventory[[#This Row],[bldg_style]]="",0,Lookups!$B$2)</f>
        <v>155833.95000000001</v>
      </c>
      <c r="BJ1899" s="6">
        <f>_xlfn.IFNA(VLOOKUP(Grandview_Inventory[[#This Row],[quality]],Lookups!$H$2:$J$14,3,FALSE),0)</f>
        <v>-28558</v>
      </c>
      <c r="BK1899" s="6">
        <f>_xlfn.IFNA(VLOOKUP(Grandview_Inventory[[#This Row],[condition]],Lookups!$H$17:$J$24,3,FALSE),0)</f>
        <v>-4503</v>
      </c>
      <c r="BL1899" s="6">
        <f>Grandview_Inventory[[#This Row],[Eff_Age]]*Lookups!$B$14</f>
        <v>-11240.8302</v>
      </c>
      <c r="BM1899" s="6">
        <f>Grandview_Inventory[[#This Row],[living_area]]*Lookups!$B$15</f>
        <v>87333.194199999998</v>
      </c>
      <c r="BN1899" s="6">
        <f>Grandview_Inventory[[#This Row],[Fin BSMT]]*Lookups!$B$16</f>
        <v>0</v>
      </c>
      <c r="BO1899" s="6">
        <f>(Grandview_Inventory[[#This Row],[att_gar]]+Grandview_Inventory[[#This Row],[bltin_gar]])*Lookups!$B$17</f>
        <v>0</v>
      </c>
      <c r="BP1899" s="6">
        <f>Grandview_Inventory[[#This Row],[Plumbing Fixtures]]*Lookups!$B$18</f>
        <v>10052.209000000001</v>
      </c>
      <c r="BQ1899" s="6">
        <f>Grandview_Inventory[[#This Row],[detatched_value]]*Lookups!$B$19</f>
        <v>0</v>
      </c>
      <c r="BR1899" s="6">
        <f>SUM(Grandview_Inventory[[#This Row],[Intercept]:[det_value]])*Grandview_Inventory[[#This Row],[res_pct]]</f>
        <v>208917.52300000002</v>
      </c>
      <c r="BS1899" s="6">
        <f>Grandview_Inventory[[#This Row],[land_value]]</f>
        <v>49926.8031387023</v>
      </c>
      <c r="BT1899" s="4">
        <f>_xlfn.IFNA(VLOOKUP(Grandview_Inventory[[#This Row],[quality]],Lookups!$A$26:$C$33,3,FALSE),1)</f>
        <v>0.9690360070159818</v>
      </c>
      <c r="BU1899" s="4">
        <f>_xlfn.IFNA(VLOOKUP(Grandview_Inventory[[#This Row],[condition]],Lookups!$A$37:$C$44,3,FALSE),1)</f>
        <v>0.96469275950863709</v>
      </c>
      <c r="BV1899" s="4">
        <f>IF(Grandview_Inventory[[#This Row],[bldg_style]]="",1,_xlfn.IFNA(VLOOKUP(Grandview_Inventory[[#This Row],[decade]],Lookups!$F$29:$H$43,3,FALSE),1))</f>
        <v>0.95268620544463312</v>
      </c>
      <c r="BW1899" s="4">
        <f>_xlfn.IFNA(VLOOKUP(Grandview_Inventory[[#This Row],[living_area_range]],Lookups!$F$47:$H$56,3,FALSE),1)</f>
        <v>0.96135087979789358</v>
      </c>
      <c r="BX1899" s="4">
        <f>AVERAGE(Grandview_Inventory[[#This Row],[qual_adj]:[size_adj]])</f>
        <v>0.9619414629417864</v>
      </c>
      <c r="BY1899" s="6">
        <f>IF(Grandview_Inventory[[#This Row],[pre_res]]&lt;0,0,Grandview_Inventory[[#This Row],[pre_res]]*Grandview_Inventory[[#This Row],[overall_adj]])</f>
        <v>200966.42770879433</v>
      </c>
      <c r="BZ1899" s="6">
        <f>(Grandview_Inventory[[#This Row],[sum_land]]-IF(Grandview_Inventory[[#This Row],[no_utilities]]=1,12000,0))/IF(Grandview_Inventory[[#This Row],[unbuildable]]=1,2,1)</f>
        <v>49926.8031387023</v>
      </c>
      <c r="CA189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899">
        <f>ROUND(Grandview_Inventory[[#This Row],[det_value]]*Lookups!$M$28,-2)</f>
        <v>0</v>
      </c>
      <c r="CC1899">
        <f>IF(ROUND(Grandview_Inventory[[#This Row],[adj_res]]*Lookups!$M$28,-2)&lt;Grandview_Inventory[[#This Row],[min_res]],Grandview_Inventory[[#This Row],[min_res]],ROUND(Grandview_Inventory[[#This Row],[adj_res]]*Lookups!$M$28,-2))</f>
        <v>190900</v>
      </c>
      <c r="CD1899">
        <f>Grandview_Inventory[[#This Row],[final_det]]+Grandview_Inventory[[#This Row],[final_res]]</f>
        <v>190900</v>
      </c>
      <c r="CE1899">
        <f>Grandview_Inventory[[#This Row],[final_land]]+Grandview_Inventory[[#This Row],[final_imp]]+Grandview_Inventory[[#This Row],[crop_value]]</f>
        <v>238300</v>
      </c>
      <c r="CG1899" t="str">
        <f t="shared" si="29"/>
        <v>update valuation set market_land =47400, market_bldg=190900, market_total =238300, market_mdno =401, market_date ='9/10/2023' where link_id = (select link_id from parcel where parcel_year = '2024' and parcel_id = '23092342423');</v>
      </c>
    </row>
    <row r="1900" spans="1:85" x14ac:dyDescent="0.25">
      <c r="A1900">
        <v>23092342424</v>
      </c>
      <c r="B1900">
        <v>0.24</v>
      </c>
      <c r="C1900">
        <v>10417</v>
      </c>
      <c r="D1900" t="s">
        <v>129</v>
      </c>
      <c r="E1900" t="s">
        <v>53</v>
      </c>
      <c r="F1900" t="s">
        <v>53</v>
      </c>
      <c r="G1900">
        <v>4</v>
      </c>
      <c r="H1900" t="s">
        <v>54</v>
      </c>
      <c r="I1900">
        <v>113400</v>
      </c>
      <c r="J1900">
        <v>40400</v>
      </c>
      <c r="K1900">
        <v>0.24</v>
      </c>
      <c r="L190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900">
        <v>0</v>
      </c>
      <c r="N1900">
        <v>0</v>
      </c>
      <c r="O1900">
        <v>0</v>
      </c>
      <c r="P1900">
        <v>13398.7528</v>
      </c>
      <c r="Q1900">
        <v>63903</v>
      </c>
      <c r="R1900">
        <f>(Grandview_Inventory[[#This Row],[ln_acres]]*Grandview_Inventory[[#This Row],[coeff]])+Grandview_Inventory[[#This Row],[const]]</f>
        <v>44781.420733940802</v>
      </c>
      <c r="S1900" t="s">
        <v>68</v>
      </c>
      <c r="T1900">
        <v>1</v>
      </c>
      <c r="U1900" t="s">
        <v>80</v>
      </c>
      <c r="V1900" t="s">
        <v>69</v>
      </c>
      <c r="W1900">
        <v>0</v>
      </c>
      <c r="X1900">
        <v>0</v>
      </c>
      <c r="Y1900">
        <v>55</v>
      </c>
      <c r="Z1900">
        <v>98</v>
      </c>
      <c r="AA1900">
        <v>100</v>
      </c>
      <c r="AB1900">
        <v>1000</v>
      </c>
      <c r="AC1900">
        <v>983</v>
      </c>
      <c r="AD1900">
        <v>983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195</v>
      </c>
      <c r="AN1900">
        <v>132</v>
      </c>
      <c r="AO1900">
        <v>195</v>
      </c>
      <c r="AP1900">
        <v>5</v>
      </c>
      <c r="AQ1900">
        <v>0</v>
      </c>
      <c r="AR1900">
        <v>0</v>
      </c>
      <c r="AS1900" t="s">
        <v>71</v>
      </c>
      <c r="AT1900">
        <v>1</v>
      </c>
      <c r="AU1900" t="s">
        <v>63</v>
      </c>
      <c r="AV1900" t="s">
        <v>64</v>
      </c>
      <c r="AW1900">
        <v>1</v>
      </c>
      <c r="AX1900">
        <v>2</v>
      </c>
      <c r="AY1900">
        <v>0</v>
      </c>
      <c r="AZ1900">
        <v>0</v>
      </c>
      <c r="BA1900">
        <v>100</v>
      </c>
      <c r="BB1900">
        <v>100</v>
      </c>
      <c r="BC1900">
        <v>100</v>
      </c>
      <c r="BD1900">
        <v>100</v>
      </c>
      <c r="BE1900">
        <v>1</v>
      </c>
      <c r="BF1900">
        <v>15000</v>
      </c>
      <c r="BG1900">
        <v>1000</v>
      </c>
      <c r="BH1900" s="6">
        <f>Grandview_Inventory[[#This Row],[land_extract]]*Lookups!$B$3</f>
        <v>52004.542988489469</v>
      </c>
      <c r="BI1900" s="6">
        <f>IF(Grandview_Inventory[[#This Row],[bldg_style]]="",0,Lookups!$B$2)</f>
        <v>155833.95000000001</v>
      </c>
      <c r="BJ1900" s="6">
        <f>_xlfn.IFNA(VLOOKUP(Grandview_Inventory[[#This Row],[quality]],Lookups!$H$2:$J$14,3,FALSE),0)</f>
        <v>-28558</v>
      </c>
      <c r="BK1900" s="6">
        <f>_xlfn.IFNA(VLOOKUP(Grandview_Inventory[[#This Row],[condition]],Lookups!$H$17:$J$24,3,FALSE),0)</f>
        <v>-4503</v>
      </c>
      <c r="BL1900" s="6">
        <f>Grandview_Inventory[[#This Row],[Eff_Age]]*Lookups!$B$14</f>
        <v>-13154.162999999999</v>
      </c>
      <c r="BM1900" s="6">
        <f>Grandview_Inventory[[#This Row],[living_area]]*Lookups!$B$15</f>
        <v>61320.378498999999</v>
      </c>
      <c r="BN1900" s="6">
        <f>Grandview_Inventory[[#This Row],[Fin BSMT]]*Lookups!$B$16</f>
        <v>0</v>
      </c>
      <c r="BO1900" s="6">
        <f>(Grandview_Inventory[[#This Row],[att_gar]]+Grandview_Inventory[[#This Row],[bltin_gar]])*Lookups!$B$17</f>
        <v>0</v>
      </c>
      <c r="BP1900" s="6">
        <f>Grandview_Inventory[[#This Row],[Plumbing Fixtures]]*Lookups!$B$18</f>
        <v>10052.209000000001</v>
      </c>
      <c r="BQ1900" s="6">
        <f>Grandview_Inventory[[#This Row],[detatched_value]]*Lookups!$B$19</f>
        <v>0</v>
      </c>
      <c r="BR1900" s="6">
        <f>SUM(Grandview_Inventory[[#This Row],[Intercept]:[det_value]])*Grandview_Inventory[[#This Row],[res_pct]]</f>
        <v>180991.374499</v>
      </c>
      <c r="BS1900" s="6">
        <f>Grandview_Inventory[[#This Row],[land_value]]</f>
        <v>52004.542988489469</v>
      </c>
      <c r="BT1900" s="4">
        <f>_xlfn.IFNA(VLOOKUP(Grandview_Inventory[[#This Row],[quality]],Lookups!$A$26:$C$33,3,FALSE),1)</f>
        <v>0.9690360070159818</v>
      </c>
      <c r="BU1900" s="4">
        <f>_xlfn.IFNA(VLOOKUP(Grandview_Inventory[[#This Row],[condition]],Lookups!$A$37:$C$44,3,FALSE),1)</f>
        <v>0.96469275950863709</v>
      </c>
      <c r="BV1900" s="4">
        <f>IF(Grandview_Inventory[[#This Row],[bldg_style]]="",1,_xlfn.IFNA(VLOOKUP(Grandview_Inventory[[#This Row],[decade]],Lookups!$F$29:$H$43,3,FALSE),1))</f>
        <v>0.95244691841736806</v>
      </c>
      <c r="BW1900" s="4">
        <f>_xlfn.IFNA(VLOOKUP(Grandview_Inventory[[#This Row],[living_area_range]],Lookups!$F$47:$H$56,3,FALSE),1)</f>
        <v>0.94306777142782894</v>
      </c>
      <c r="BX1900" s="4">
        <f>AVERAGE(Grandview_Inventory[[#This Row],[qual_adj]:[size_adj]])</f>
        <v>0.95731086409245392</v>
      </c>
      <c r="BY1900" s="6">
        <f>IF(Grandview_Inventory[[#This Row],[pre_res]]&lt;0,0,Grandview_Inventory[[#This Row],[pre_res]]*Grandview_Inventory[[#This Row],[overall_adj]])</f>
        <v>173265.00911491862</v>
      </c>
      <c r="BZ1900" s="6">
        <f>(Grandview_Inventory[[#This Row],[sum_land]]-IF(Grandview_Inventory[[#This Row],[no_utilities]]=1,12000,0))/IF(Grandview_Inventory[[#This Row],[unbuildable]]=1,2,1)</f>
        <v>52004.542988489469</v>
      </c>
      <c r="CA190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900">
        <f>ROUND(Grandview_Inventory[[#This Row],[det_value]]*Lookups!$M$28,-2)</f>
        <v>0</v>
      </c>
      <c r="CC1900">
        <f>IF(ROUND(Grandview_Inventory[[#This Row],[adj_res]]*Lookups!$M$28,-2)&lt;Grandview_Inventory[[#This Row],[min_res]],Grandview_Inventory[[#This Row],[min_res]],ROUND(Grandview_Inventory[[#This Row],[adj_res]]*Lookups!$M$28,-2))</f>
        <v>164600</v>
      </c>
      <c r="CD1900">
        <f>Grandview_Inventory[[#This Row],[final_det]]+Grandview_Inventory[[#This Row],[final_res]]</f>
        <v>164600</v>
      </c>
      <c r="CE1900">
        <f>Grandview_Inventory[[#This Row],[final_land]]+Grandview_Inventory[[#This Row],[final_imp]]+Grandview_Inventory[[#This Row],[crop_value]]</f>
        <v>214000</v>
      </c>
      <c r="CG1900" t="str">
        <f t="shared" si="29"/>
        <v>update valuation set market_land =49400, market_bldg=164600, market_total =214000, market_mdno =401, market_date ='9/10/2023' where link_id = (select link_id from parcel where parcel_year = '2024' and parcel_id = '23092342424');</v>
      </c>
    </row>
    <row r="1901" spans="1:85" x14ac:dyDescent="0.25">
      <c r="A1901">
        <v>23092342426</v>
      </c>
      <c r="B1901">
        <v>0.26</v>
      </c>
      <c r="C1901">
        <v>11397</v>
      </c>
      <c r="D1901" t="s">
        <v>129</v>
      </c>
      <c r="E1901" t="s">
        <v>53</v>
      </c>
      <c r="F1901" t="s">
        <v>53</v>
      </c>
      <c r="G1901">
        <v>4</v>
      </c>
      <c r="H1901" t="s">
        <v>54</v>
      </c>
      <c r="I1901">
        <v>108200</v>
      </c>
      <c r="J1901">
        <v>40500</v>
      </c>
      <c r="K1901">
        <v>0.26</v>
      </c>
      <c r="L1901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901">
        <v>0</v>
      </c>
      <c r="N1901">
        <v>0</v>
      </c>
      <c r="O1901">
        <v>0</v>
      </c>
      <c r="P1901">
        <v>13398.7528</v>
      </c>
      <c r="Q1901">
        <v>63903</v>
      </c>
      <c r="R1901">
        <f>(Grandview_Inventory[[#This Row],[ln_acres]]*Grandview_Inventory[[#This Row],[coeff]])+Grandview_Inventory[[#This Row],[const]]</f>
        <v>45853.893187501177</v>
      </c>
      <c r="S1901" t="s">
        <v>68</v>
      </c>
      <c r="T1901">
        <v>1</v>
      </c>
      <c r="U1901" t="s">
        <v>80</v>
      </c>
      <c r="V1901" t="s">
        <v>69</v>
      </c>
      <c r="W1901">
        <v>0</v>
      </c>
      <c r="X1901">
        <v>0</v>
      </c>
      <c r="Y1901">
        <v>51</v>
      </c>
      <c r="Z1901">
        <v>78</v>
      </c>
      <c r="AA1901">
        <v>80</v>
      </c>
      <c r="AB1901">
        <v>1500</v>
      </c>
      <c r="AC1901">
        <v>1155</v>
      </c>
      <c r="AD1901">
        <v>962</v>
      </c>
      <c r="AE1901">
        <v>0</v>
      </c>
      <c r="AF1901">
        <v>0</v>
      </c>
      <c r="AG1901">
        <v>193</v>
      </c>
      <c r="AH1901">
        <v>769</v>
      </c>
      <c r="AI1901">
        <v>0</v>
      </c>
      <c r="AJ1901">
        <v>0</v>
      </c>
      <c r="AK1901">
        <v>0</v>
      </c>
      <c r="AL1901">
        <v>0</v>
      </c>
      <c r="AM1901">
        <v>286</v>
      </c>
      <c r="AN1901">
        <v>0</v>
      </c>
      <c r="AO1901">
        <v>286</v>
      </c>
      <c r="AP1901">
        <v>5</v>
      </c>
      <c r="AQ1901">
        <v>0</v>
      </c>
      <c r="AR1901">
        <v>0</v>
      </c>
      <c r="AS1901" t="s">
        <v>58</v>
      </c>
      <c r="AT1901">
        <v>1</v>
      </c>
      <c r="AU1901" t="s">
        <v>63</v>
      </c>
      <c r="AV1901" t="s">
        <v>60</v>
      </c>
      <c r="AW1901">
        <v>0</v>
      </c>
      <c r="AX1901">
        <v>3</v>
      </c>
      <c r="AY1901">
        <v>0</v>
      </c>
      <c r="AZ1901">
        <v>2100</v>
      </c>
      <c r="BA1901">
        <v>100</v>
      </c>
      <c r="BB1901">
        <v>100</v>
      </c>
      <c r="BC1901">
        <v>100</v>
      </c>
      <c r="BD1901">
        <v>100</v>
      </c>
      <c r="BE1901">
        <v>1</v>
      </c>
      <c r="BF1901">
        <v>15000</v>
      </c>
      <c r="BG1901">
        <v>1000</v>
      </c>
      <c r="BH1901" s="6">
        <f>Grandview_Inventory[[#This Row],[land_extract]]*Lookups!$B$3</f>
        <v>53250.00235313351</v>
      </c>
      <c r="BI1901" s="6">
        <f>IF(Grandview_Inventory[[#This Row],[bldg_style]]="",0,Lookups!$B$2)</f>
        <v>155833.95000000001</v>
      </c>
      <c r="BJ1901" s="6">
        <f>_xlfn.IFNA(VLOOKUP(Grandview_Inventory[[#This Row],[quality]],Lookups!$H$2:$J$14,3,FALSE),0)</f>
        <v>-28558</v>
      </c>
      <c r="BK1901" s="6">
        <f>_xlfn.IFNA(VLOOKUP(Grandview_Inventory[[#This Row],[condition]],Lookups!$H$17:$J$24,3,FALSE),0)</f>
        <v>-4503</v>
      </c>
      <c r="BL1901" s="6">
        <f>Grandview_Inventory[[#This Row],[Eff_Age]]*Lookups!$B$14</f>
        <v>-12197.496599999999</v>
      </c>
      <c r="BM1901" s="6">
        <f>Grandview_Inventory[[#This Row],[living_area]]*Lookups!$B$15</f>
        <v>72049.885215000002</v>
      </c>
      <c r="BN1901" s="6">
        <f>Grandview_Inventory[[#This Row],[Fin BSMT]]*Lookups!$B$16</f>
        <v>-5230.1533200000003</v>
      </c>
      <c r="BO1901" s="6">
        <f>(Grandview_Inventory[[#This Row],[att_gar]]+Grandview_Inventory[[#This Row],[bltin_gar]])*Lookups!$B$17</f>
        <v>0</v>
      </c>
      <c r="BP1901" s="6">
        <f>Grandview_Inventory[[#This Row],[Plumbing Fixtures]]*Lookups!$B$18</f>
        <v>10052.209000000001</v>
      </c>
      <c r="BQ1901" s="6">
        <f>Grandview_Inventory[[#This Row],[detatched_value]]*Lookups!$B$19</f>
        <v>1778.29071</v>
      </c>
      <c r="BR1901" s="6">
        <f>SUM(Grandview_Inventory[[#This Row],[Intercept]:[det_value]])*Grandview_Inventory[[#This Row],[res_pct]]</f>
        <v>189225.68500500001</v>
      </c>
      <c r="BS1901" s="6">
        <f>Grandview_Inventory[[#This Row],[land_value]]</f>
        <v>53250.00235313351</v>
      </c>
      <c r="BT1901" s="4">
        <f>_xlfn.IFNA(VLOOKUP(Grandview_Inventory[[#This Row],[quality]],Lookups!$A$26:$C$33,3,FALSE),1)</f>
        <v>0.9690360070159818</v>
      </c>
      <c r="BU1901" s="4">
        <f>_xlfn.IFNA(VLOOKUP(Grandview_Inventory[[#This Row],[condition]],Lookups!$A$37:$C$44,3,FALSE),1)</f>
        <v>0.96469275950863709</v>
      </c>
      <c r="BV1901" s="4">
        <f>IF(Grandview_Inventory[[#This Row],[bldg_style]]="",1,_xlfn.IFNA(VLOOKUP(Grandview_Inventory[[#This Row],[decade]],Lookups!$F$29:$H$43,3,FALSE),1))</f>
        <v>0.98763256963907298</v>
      </c>
      <c r="BW1901" s="4">
        <f>_xlfn.IFNA(VLOOKUP(Grandview_Inventory[[#This Row],[living_area_range]],Lookups!$F$47:$H$56,3,FALSE),1)</f>
        <v>0.96135087979789358</v>
      </c>
      <c r="BX1901" s="4">
        <f>AVERAGE(Grandview_Inventory[[#This Row],[qual_adj]:[size_adj]])</f>
        <v>0.97067805399039631</v>
      </c>
      <c r="BY1901" s="6">
        <f>IF(Grandview_Inventory[[#This Row],[pre_res]]&lt;0,0,Grandview_Inventory[[#This Row],[pre_res]]*Grandview_Inventory[[#This Row],[overall_adj]])</f>
        <v>183677.21968565311</v>
      </c>
      <c r="BZ1901" s="6">
        <f>(Grandview_Inventory[[#This Row],[sum_land]]-IF(Grandview_Inventory[[#This Row],[no_utilities]]=1,12000,0))/IF(Grandview_Inventory[[#This Row],[unbuildable]]=1,2,1)</f>
        <v>53250.00235313351</v>
      </c>
      <c r="CA1901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901">
        <f>ROUND(Grandview_Inventory[[#This Row],[det_value]]*Lookups!$M$28,-2)</f>
        <v>1700</v>
      </c>
      <c r="CC1901">
        <f>IF(ROUND(Grandview_Inventory[[#This Row],[adj_res]]*Lookups!$M$28,-2)&lt;Grandview_Inventory[[#This Row],[min_res]],Grandview_Inventory[[#This Row],[min_res]],ROUND(Grandview_Inventory[[#This Row],[adj_res]]*Lookups!$M$28,-2))</f>
        <v>174500</v>
      </c>
      <c r="CD1901">
        <f>Grandview_Inventory[[#This Row],[final_det]]+Grandview_Inventory[[#This Row],[final_res]]</f>
        <v>176200</v>
      </c>
      <c r="CE1901">
        <f>Grandview_Inventory[[#This Row],[final_land]]+Grandview_Inventory[[#This Row],[final_imp]]+Grandview_Inventory[[#This Row],[crop_value]]</f>
        <v>226800</v>
      </c>
      <c r="CG1901" t="str">
        <f t="shared" si="29"/>
        <v>update valuation set market_land =50600, market_bldg=176200, market_total =226800, market_mdno =401, market_date ='9/10/2023' where link_id = (select link_id from parcel where parcel_year = '2024' and parcel_id = '23092342426');</v>
      </c>
    </row>
    <row r="1902" spans="1:85" x14ac:dyDescent="0.25">
      <c r="A1902">
        <v>23092342428</v>
      </c>
      <c r="B1902">
        <v>0.14000000000000001</v>
      </c>
      <c r="C1902">
        <v>6028</v>
      </c>
      <c r="D1902" t="s">
        <v>129</v>
      </c>
      <c r="E1902" t="s">
        <v>53</v>
      </c>
      <c r="F1902" t="s">
        <v>53</v>
      </c>
      <c r="G1902">
        <v>4</v>
      </c>
      <c r="H1902" t="s">
        <v>54</v>
      </c>
      <c r="I1902">
        <v>111600</v>
      </c>
      <c r="J1902">
        <v>38600</v>
      </c>
      <c r="K1902">
        <v>0.14000000000000001</v>
      </c>
      <c r="L1902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02">
        <v>0</v>
      </c>
      <c r="N1902">
        <v>0</v>
      </c>
      <c r="O1902">
        <v>0</v>
      </c>
      <c r="P1902">
        <v>13398.7528</v>
      </c>
      <c r="Q1902">
        <v>63903</v>
      </c>
      <c r="R1902">
        <f>(Grandview_Inventory[[#This Row],[ln_acres]]*Grandview_Inventory[[#This Row],[coeff]])+Grandview_Inventory[[#This Row],[const]]</f>
        <v>37559.539860558507</v>
      </c>
      <c r="S1902" t="s">
        <v>68</v>
      </c>
      <c r="T1902">
        <v>1</v>
      </c>
      <c r="U1902" t="s">
        <v>80</v>
      </c>
      <c r="V1902" t="s">
        <v>69</v>
      </c>
      <c r="W1902">
        <v>0</v>
      </c>
      <c r="X1902">
        <v>0</v>
      </c>
      <c r="Y1902">
        <v>51</v>
      </c>
      <c r="Z1902">
        <v>78</v>
      </c>
      <c r="AA1902">
        <v>80</v>
      </c>
      <c r="AB1902">
        <v>1500</v>
      </c>
      <c r="AC1902">
        <v>1080</v>
      </c>
      <c r="AD1902">
        <v>1080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252</v>
      </c>
      <c r="AL1902">
        <v>0</v>
      </c>
      <c r="AM1902">
        <v>0</v>
      </c>
      <c r="AN1902">
        <v>0</v>
      </c>
      <c r="AO1902">
        <v>0</v>
      </c>
      <c r="AP1902">
        <v>5</v>
      </c>
      <c r="AQ1902">
        <v>0</v>
      </c>
      <c r="AR1902">
        <v>0</v>
      </c>
      <c r="AS1902" t="s">
        <v>58</v>
      </c>
      <c r="AT1902">
        <v>1</v>
      </c>
      <c r="AU1902" t="s">
        <v>75</v>
      </c>
      <c r="AV1902" t="s">
        <v>60</v>
      </c>
      <c r="AW1902">
        <v>0</v>
      </c>
      <c r="AX1902">
        <v>2</v>
      </c>
      <c r="AY1902">
        <v>0</v>
      </c>
      <c r="AZ1902">
        <v>0</v>
      </c>
      <c r="BA1902">
        <v>100</v>
      </c>
      <c r="BB1902">
        <v>100</v>
      </c>
      <c r="BC1902">
        <v>100</v>
      </c>
      <c r="BD1902">
        <v>100</v>
      </c>
      <c r="BE1902">
        <v>1</v>
      </c>
      <c r="BF1902">
        <v>15000</v>
      </c>
      <c r="BG1902">
        <v>1000</v>
      </c>
      <c r="BH1902" s="6">
        <f>Grandview_Inventory[[#This Row],[land_extract]]*Lookups!$B$3</f>
        <v>43617.792229308972</v>
      </c>
      <c r="BI1902" s="6">
        <f>IF(Grandview_Inventory[[#This Row],[bldg_style]]="",0,Lookups!$B$2)</f>
        <v>155833.95000000001</v>
      </c>
      <c r="BJ1902" s="6">
        <f>_xlfn.IFNA(VLOOKUP(Grandview_Inventory[[#This Row],[quality]],Lookups!$H$2:$J$14,3,FALSE),0)</f>
        <v>-28558</v>
      </c>
      <c r="BK1902" s="6">
        <f>_xlfn.IFNA(VLOOKUP(Grandview_Inventory[[#This Row],[condition]],Lookups!$H$17:$J$24,3,FALSE),0)</f>
        <v>-4503</v>
      </c>
      <c r="BL1902" s="6">
        <f>Grandview_Inventory[[#This Row],[Eff_Age]]*Lookups!$B$14</f>
        <v>-12197.496599999999</v>
      </c>
      <c r="BM1902" s="6">
        <f>Grandview_Inventory[[#This Row],[living_area]]*Lookups!$B$15</f>
        <v>67371.321240000005</v>
      </c>
      <c r="BN1902" s="6">
        <f>Grandview_Inventory[[#This Row],[Fin BSMT]]*Lookups!$B$16</f>
        <v>0</v>
      </c>
      <c r="BO1902" s="6">
        <f>(Grandview_Inventory[[#This Row],[att_gar]]+Grandview_Inventory[[#This Row],[bltin_gar]])*Lookups!$B$17</f>
        <v>0</v>
      </c>
      <c r="BP1902" s="6">
        <f>Grandview_Inventory[[#This Row],[Plumbing Fixtures]]*Lookups!$B$18</f>
        <v>10052.209000000001</v>
      </c>
      <c r="BQ1902" s="6">
        <f>Grandview_Inventory[[#This Row],[detatched_value]]*Lookups!$B$19</f>
        <v>0</v>
      </c>
      <c r="BR1902" s="6">
        <f>SUM(Grandview_Inventory[[#This Row],[Intercept]:[det_value]])*Grandview_Inventory[[#This Row],[res_pct]]</f>
        <v>187998.98364000002</v>
      </c>
      <c r="BS1902" s="6">
        <f>Grandview_Inventory[[#This Row],[land_value]]</f>
        <v>43617.792229308972</v>
      </c>
      <c r="BT1902" s="4">
        <f>_xlfn.IFNA(VLOOKUP(Grandview_Inventory[[#This Row],[quality]],Lookups!$A$26:$C$33,3,FALSE),1)</f>
        <v>0.9690360070159818</v>
      </c>
      <c r="BU1902" s="4">
        <f>_xlfn.IFNA(VLOOKUP(Grandview_Inventory[[#This Row],[condition]],Lookups!$A$37:$C$44,3,FALSE),1)</f>
        <v>0.96469275950863709</v>
      </c>
      <c r="BV1902" s="4">
        <f>IF(Grandview_Inventory[[#This Row],[bldg_style]]="",1,_xlfn.IFNA(VLOOKUP(Grandview_Inventory[[#This Row],[decade]],Lookups!$F$29:$H$43,3,FALSE),1))</f>
        <v>0.98763256963907298</v>
      </c>
      <c r="BW1902" s="4">
        <f>_xlfn.IFNA(VLOOKUP(Grandview_Inventory[[#This Row],[living_area_range]],Lookups!$F$47:$H$56,3,FALSE),1)</f>
        <v>0.96135087979789358</v>
      </c>
      <c r="BX1902" s="4">
        <f>AVERAGE(Grandview_Inventory[[#This Row],[qual_adj]:[size_adj]])</f>
        <v>0.97067805399039631</v>
      </c>
      <c r="BY1902" s="6">
        <f>IF(Grandview_Inventory[[#This Row],[pre_res]]&lt;0,0,Grandview_Inventory[[#This Row],[pre_res]]*Grandview_Inventory[[#This Row],[overall_adj]])</f>
        <v>182486.48759184757</v>
      </c>
      <c r="BZ1902" s="6">
        <f>(Grandview_Inventory[[#This Row],[sum_land]]-IF(Grandview_Inventory[[#This Row],[no_utilities]]=1,12000,0))/IF(Grandview_Inventory[[#This Row],[unbuildable]]=1,2,1)</f>
        <v>43617.792229308972</v>
      </c>
      <c r="CA1902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02">
        <f>ROUND(Grandview_Inventory[[#This Row],[det_value]]*Lookups!$M$28,-2)</f>
        <v>0</v>
      </c>
      <c r="CC1902">
        <f>IF(ROUND(Grandview_Inventory[[#This Row],[adj_res]]*Lookups!$M$28,-2)&lt;Grandview_Inventory[[#This Row],[min_res]],Grandview_Inventory[[#This Row],[min_res]],ROUND(Grandview_Inventory[[#This Row],[adj_res]]*Lookups!$M$28,-2))</f>
        <v>173400</v>
      </c>
      <c r="CD1902">
        <f>Grandview_Inventory[[#This Row],[final_det]]+Grandview_Inventory[[#This Row],[final_res]]</f>
        <v>173400</v>
      </c>
      <c r="CE1902">
        <f>Grandview_Inventory[[#This Row],[final_land]]+Grandview_Inventory[[#This Row],[final_imp]]+Grandview_Inventory[[#This Row],[crop_value]]</f>
        <v>214800</v>
      </c>
      <c r="CG1902" t="str">
        <f t="shared" si="29"/>
        <v>update valuation set market_land =41400, market_bldg=173400, market_total =214800, market_mdno =401, market_date ='9/10/2023' where link_id = (select link_id from parcel where parcel_year = '2024' and parcel_id = '23092342428');</v>
      </c>
    </row>
    <row r="1903" spans="1:85" x14ac:dyDescent="0.25">
      <c r="A1903">
        <v>23092342434</v>
      </c>
      <c r="B1903">
        <v>0.23</v>
      </c>
      <c r="C1903">
        <v>10074</v>
      </c>
      <c r="D1903" t="s">
        <v>129</v>
      </c>
      <c r="E1903" t="s">
        <v>53</v>
      </c>
      <c r="F1903" t="s">
        <v>53</v>
      </c>
      <c r="G1903">
        <v>4</v>
      </c>
      <c r="H1903" t="s">
        <v>54</v>
      </c>
      <c r="I1903">
        <v>152500</v>
      </c>
      <c r="J1903">
        <v>40000</v>
      </c>
      <c r="K1903">
        <v>0.23</v>
      </c>
      <c r="L190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903">
        <v>0</v>
      </c>
      <c r="N1903">
        <v>0</v>
      </c>
      <c r="O1903">
        <v>0</v>
      </c>
      <c r="P1903">
        <v>13398.7528</v>
      </c>
      <c r="Q1903">
        <v>63903</v>
      </c>
      <c r="R1903">
        <f>(Grandview_Inventory[[#This Row],[ln_acres]]*Grandview_Inventory[[#This Row],[coeff]])+Grandview_Inventory[[#This Row],[const]]</f>
        <v>44211.174981080039</v>
      </c>
      <c r="S1903" t="s">
        <v>68</v>
      </c>
      <c r="T1903">
        <v>1</v>
      </c>
      <c r="U1903" t="s">
        <v>70</v>
      </c>
      <c r="V1903" t="s">
        <v>66</v>
      </c>
      <c r="W1903">
        <v>0</v>
      </c>
      <c r="X1903">
        <v>0</v>
      </c>
      <c r="Y1903">
        <v>52</v>
      </c>
      <c r="Z1903">
        <v>88</v>
      </c>
      <c r="AA1903">
        <v>90</v>
      </c>
      <c r="AB1903">
        <v>1000</v>
      </c>
      <c r="AC1903">
        <v>928</v>
      </c>
      <c r="AD1903">
        <v>928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180</v>
      </c>
      <c r="AM1903">
        <v>0</v>
      </c>
      <c r="AN1903">
        <v>89</v>
      </c>
      <c r="AO1903">
        <v>0</v>
      </c>
      <c r="AP1903">
        <v>5</v>
      </c>
      <c r="AQ1903">
        <v>0</v>
      </c>
      <c r="AR1903">
        <v>0</v>
      </c>
      <c r="AS1903" t="s">
        <v>58</v>
      </c>
      <c r="AT1903">
        <v>1</v>
      </c>
      <c r="AU1903" t="s">
        <v>75</v>
      </c>
      <c r="AV1903" t="s">
        <v>60</v>
      </c>
      <c r="AW1903">
        <v>0</v>
      </c>
      <c r="AX1903">
        <v>2</v>
      </c>
      <c r="AY1903">
        <v>0</v>
      </c>
      <c r="AZ1903">
        <v>0</v>
      </c>
      <c r="BA1903">
        <v>100</v>
      </c>
      <c r="BB1903">
        <v>100</v>
      </c>
      <c r="BC1903">
        <v>100</v>
      </c>
      <c r="BD1903">
        <v>100</v>
      </c>
      <c r="BE1903">
        <v>1</v>
      </c>
      <c r="BF1903">
        <v>15000</v>
      </c>
      <c r="BG1903">
        <v>1000</v>
      </c>
      <c r="BH1903" s="6">
        <f>Grandview_Inventory[[#This Row],[land_extract]]*Lookups!$B$3</f>
        <v>51342.318135355803</v>
      </c>
      <c r="BI1903" s="6">
        <f>IF(Grandview_Inventory[[#This Row],[bldg_style]]="",0,Lookups!$B$2)</f>
        <v>155833.95000000001</v>
      </c>
      <c r="BJ1903" s="6">
        <f>_xlfn.IFNA(VLOOKUP(Grandview_Inventory[[#This Row],[quality]],Lookups!$H$2:$J$14,3,FALSE),0)</f>
        <v>10733</v>
      </c>
      <c r="BK1903" s="6">
        <f>_xlfn.IFNA(VLOOKUP(Grandview_Inventory[[#This Row],[condition]],Lookups!$H$17:$J$24,3,FALSE),0)</f>
        <v>25818</v>
      </c>
      <c r="BL1903" s="6">
        <f>Grandview_Inventory[[#This Row],[Eff_Age]]*Lookups!$B$14</f>
        <v>-12436.663199999999</v>
      </c>
      <c r="BM1903" s="6">
        <f>Grandview_Inventory[[#This Row],[living_area]]*Lookups!$B$15</f>
        <v>57889.431584000005</v>
      </c>
      <c r="BN1903" s="6">
        <f>Grandview_Inventory[[#This Row],[Fin BSMT]]*Lookups!$B$16</f>
        <v>0</v>
      </c>
      <c r="BO1903" s="6">
        <f>(Grandview_Inventory[[#This Row],[att_gar]]+Grandview_Inventory[[#This Row],[bltin_gar]])*Lookups!$B$17</f>
        <v>0</v>
      </c>
      <c r="BP1903" s="6">
        <f>Grandview_Inventory[[#This Row],[Plumbing Fixtures]]*Lookups!$B$18</f>
        <v>10052.209000000001</v>
      </c>
      <c r="BQ1903" s="6">
        <f>Grandview_Inventory[[#This Row],[detatched_value]]*Lookups!$B$19</f>
        <v>0</v>
      </c>
      <c r="BR1903" s="6">
        <f>SUM(Grandview_Inventory[[#This Row],[Intercept]:[det_value]])*Grandview_Inventory[[#This Row],[res_pct]]</f>
        <v>247889.92738400001</v>
      </c>
      <c r="BS1903" s="6">
        <f>Grandview_Inventory[[#This Row],[land_value]]</f>
        <v>51342.318135355803</v>
      </c>
      <c r="BT1903" s="4">
        <f>_xlfn.IFNA(VLOOKUP(Grandview_Inventory[[#This Row],[quality]],Lookups!$A$26:$C$33,3,FALSE),1)</f>
        <v>0.98079741117310582</v>
      </c>
      <c r="BU1903" s="4">
        <f>_xlfn.IFNA(VLOOKUP(Grandview_Inventory[[#This Row],[condition]],Lookups!$A$37:$C$44,3,FALSE),1)</f>
        <v>0.96661476234146892</v>
      </c>
      <c r="BV1903" s="4">
        <f>IF(Grandview_Inventory[[#This Row],[bldg_style]]="",1,_xlfn.IFNA(VLOOKUP(Grandview_Inventory[[#This Row],[decade]],Lookups!$F$29:$H$43,3,FALSE),1))</f>
        <v>0.94161750052457416</v>
      </c>
      <c r="BW1903" s="4">
        <f>_xlfn.IFNA(VLOOKUP(Grandview_Inventory[[#This Row],[living_area_range]],Lookups!$F$47:$H$56,3,FALSE),1)</f>
        <v>0.94306777142782894</v>
      </c>
      <c r="BX1903" s="4">
        <f>AVERAGE(Grandview_Inventory[[#This Row],[qual_adj]:[size_adj]])</f>
        <v>0.9580243613667444</v>
      </c>
      <c r="BY1903" s="6">
        <f>IF(Grandview_Inventory[[#This Row],[pre_res]]&lt;0,0,Grandview_Inventory[[#This Row],[pre_res]]*Grandview_Inventory[[#This Row],[overall_adj]])</f>
        <v>237484.58937130525</v>
      </c>
      <c r="BZ1903" s="6">
        <f>(Grandview_Inventory[[#This Row],[sum_land]]-IF(Grandview_Inventory[[#This Row],[no_utilities]]=1,12000,0))/IF(Grandview_Inventory[[#This Row],[unbuildable]]=1,2,1)</f>
        <v>51342.318135355803</v>
      </c>
      <c r="CA190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903">
        <f>ROUND(Grandview_Inventory[[#This Row],[det_value]]*Lookups!$M$28,-2)</f>
        <v>0</v>
      </c>
      <c r="CC1903">
        <f>IF(ROUND(Grandview_Inventory[[#This Row],[adj_res]]*Lookups!$M$28,-2)&lt;Grandview_Inventory[[#This Row],[min_res]],Grandview_Inventory[[#This Row],[min_res]],ROUND(Grandview_Inventory[[#This Row],[adj_res]]*Lookups!$M$28,-2))</f>
        <v>225600</v>
      </c>
      <c r="CD1903">
        <f>Grandview_Inventory[[#This Row],[final_det]]+Grandview_Inventory[[#This Row],[final_res]]</f>
        <v>225600</v>
      </c>
      <c r="CE1903">
        <f>Grandview_Inventory[[#This Row],[final_land]]+Grandview_Inventory[[#This Row],[final_imp]]+Grandview_Inventory[[#This Row],[crop_value]]</f>
        <v>274400</v>
      </c>
      <c r="CG1903" t="str">
        <f t="shared" si="29"/>
        <v>update valuation set market_land =48800, market_bldg=225600, market_total =274400, market_mdno =401, market_date ='9/10/2023' where link_id = (select link_id from parcel where parcel_year = '2024' and parcel_id = '23092342434');</v>
      </c>
    </row>
    <row r="1904" spans="1:85" x14ac:dyDescent="0.25">
      <c r="A1904">
        <v>23092342435</v>
      </c>
      <c r="B1904">
        <v>0.14000000000000001</v>
      </c>
      <c r="C1904">
        <v>6142</v>
      </c>
      <c r="D1904" t="s">
        <v>129</v>
      </c>
      <c r="E1904" t="s">
        <v>53</v>
      </c>
      <c r="F1904" t="s">
        <v>53</v>
      </c>
      <c r="G1904">
        <v>4</v>
      </c>
      <c r="H1904" t="s">
        <v>54</v>
      </c>
      <c r="I1904">
        <v>91100</v>
      </c>
      <c r="J1904">
        <v>38800</v>
      </c>
      <c r="K1904">
        <v>0.14000000000000001</v>
      </c>
      <c r="L1904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04">
        <v>0</v>
      </c>
      <c r="N1904">
        <v>0</v>
      </c>
      <c r="O1904">
        <v>0</v>
      </c>
      <c r="P1904">
        <v>13398.7528</v>
      </c>
      <c r="Q1904">
        <v>63903</v>
      </c>
      <c r="R1904">
        <f>(Grandview_Inventory[[#This Row],[ln_acres]]*Grandview_Inventory[[#This Row],[coeff]])+Grandview_Inventory[[#This Row],[const]]</f>
        <v>37559.539860558507</v>
      </c>
      <c r="S1904" t="s">
        <v>68</v>
      </c>
      <c r="T1904">
        <v>1</v>
      </c>
      <c r="U1904" t="s">
        <v>80</v>
      </c>
      <c r="V1904" t="s">
        <v>69</v>
      </c>
      <c r="W1904">
        <v>0</v>
      </c>
      <c r="X1904">
        <v>0</v>
      </c>
      <c r="Y1904">
        <v>53</v>
      </c>
      <c r="Z1904">
        <v>92</v>
      </c>
      <c r="AA1904">
        <v>100</v>
      </c>
      <c r="AB1904">
        <v>1000</v>
      </c>
      <c r="AC1904">
        <v>896</v>
      </c>
      <c r="AD1904">
        <v>696</v>
      </c>
      <c r="AE1904">
        <v>0</v>
      </c>
      <c r="AF1904">
        <v>0</v>
      </c>
      <c r="AG1904">
        <v>200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20</v>
      </c>
      <c r="AO1904">
        <v>0</v>
      </c>
      <c r="AP1904">
        <v>5</v>
      </c>
      <c r="AQ1904">
        <v>0</v>
      </c>
      <c r="AR1904">
        <v>0</v>
      </c>
      <c r="AS1904" t="s">
        <v>58</v>
      </c>
      <c r="AT1904">
        <v>1</v>
      </c>
      <c r="AU1904" t="s">
        <v>63</v>
      </c>
      <c r="AV1904" t="s">
        <v>64</v>
      </c>
      <c r="AW1904">
        <v>0</v>
      </c>
      <c r="AX1904">
        <v>1</v>
      </c>
      <c r="AY1904">
        <v>0</v>
      </c>
      <c r="AZ1904">
        <v>6200</v>
      </c>
      <c r="BA1904">
        <v>100</v>
      </c>
      <c r="BB1904">
        <v>100</v>
      </c>
      <c r="BC1904">
        <v>100</v>
      </c>
      <c r="BD1904">
        <v>100</v>
      </c>
      <c r="BE1904">
        <v>1</v>
      </c>
      <c r="BF1904">
        <v>15000</v>
      </c>
      <c r="BG1904">
        <v>1000</v>
      </c>
      <c r="BH1904" s="6">
        <f>Grandview_Inventory[[#This Row],[land_extract]]*Lookups!$B$3</f>
        <v>43617.792229308972</v>
      </c>
      <c r="BI1904" s="6">
        <f>IF(Grandview_Inventory[[#This Row],[bldg_style]]="",0,Lookups!$B$2)</f>
        <v>155833.95000000001</v>
      </c>
      <c r="BJ1904" s="6">
        <f>_xlfn.IFNA(VLOOKUP(Grandview_Inventory[[#This Row],[quality]],Lookups!$H$2:$J$14,3,FALSE),0)</f>
        <v>-28558</v>
      </c>
      <c r="BK1904" s="6">
        <f>_xlfn.IFNA(VLOOKUP(Grandview_Inventory[[#This Row],[condition]],Lookups!$H$17:$J$24,3,FALSE),0)</f>
        <v>-4503</v>
      </c>
      <c r="BL1904" s="6">
        <f>Grandview_Inventory[[#This Row],[Eff_Age]]*Lookups!$B$14</f>
        <v>-12675.8298</v>
      </c>
      <c r="BM1904" s="6">
        <f>Grandview_Inventory[[#This Row],[living_area]]*Lookups!$B$15</f>
        <v>55893.244288000002</v>
      </c>
      <c r="BN1904" s="6">
        <f>Grandview_Inventory[[#This Row],[Fin BSMT]]*Lookups!$B$16</f>
        <v>-5419.848</v>
      </c>
      <c r="BO1904" s="6">
        <f>(Grandview_Inventory[[#This Row],[att_gar]]+Grandview_Inventory[[#This Row],[bltin_gar]])*Lookups!$B$17</f>
        <v>0</v>
      </c>
      <c r="BP1904" s="6">
        <f>Grandview_Inventory[[#This Row],[Plumbing Fixtures]]*Lookups!$B$18</f>
        <v>10052.209000000001</v>
      </c>
      <c r="BQ1904" s="6">
        <f>Grandview_Inventory[[#This Row],[detatched_value]]*Lookups!$B$19</f>
        <v>5250.1916199999996</v>
      </c>
      <c r="BR1904" s="6">
        <f>SUM(Grandview_Inventory[[#This Row],[Intercept]:[det_value]])*Grandview_Inventory[[#This Row],[res_pct]]</f>
        <v>175872.91710799999</v>
      </c>
      <c r="BS1904" s="6">
        <f>Grandview_Inventory[[#This Row],[land_value]]</f>
        <v>43617.792229308972</v>
      </c>
      <c r="BT1904" s="4">
        <f>_xlfn.IFNA(VLOOKUP(Grandview_Inventory[[#This Row],[quality]],Lookups!$A$26:$C$33,3,FALSE),1)</f>
        <v>0.9690360070159818</v>
      </c>
      <c r="BU1904" s="4">
        <f>_xlfn.IFNA(VLOOKUP(Grandview_Inventory[[#This Row],[condition]],Lookups!$A$37:$C$44,3,FALSE),1)</f>
        <v>0.96469275950863709</v>
      </c>
      <c r="BV1904" s="4">
        <f>IF(Grandview_Inventory[[#This Row],[bldg_style]]="",1,_xlfn.IFNA(VLOOKUP(Grandview_Inventory[[#This Row],[decade]],Lookups!$F$29:$H$43,3,FALSE),1))</f>
        <v>0.95244691841736806</v>
      </c>
      <c r="BW1904" s="4">
        <f>_xlfn.IFNA(VLOOKUP(Grandview_Inventory[[#This Row],[living_area_range]],Lookups!$F$47:$H$56,3,FALSE),1)</f>
        <v>0.94306777142782894</v>
      </c>
      <c r="BX1904" s="4">
        <f>AVERAGE(Grandview_Inventory[[#This Row],[qual_adj]:[size_adj]])</f>
        <v>0.95731086409245392</v>
      </c>
      <c r="BY1904" s="6">
        <f>IF(Grandview_Inventory[[#This Row],[pre_res]]&lt;0,0,Grandview_Inventory[[#This Row],[pre_res]]*Grandview_Inventory[[#This Row],[overall_adj]])</f>
        <v>168365.05424711999</v>
      </c>
      <c r="BZ1904" s="6">
        <f>(Grandview_Inventory[[#This Row],[sum_land]]-IF(Grandview_Inventory[[#This Row],[no_utilities]]=1,12000,0))/IF(Grandview_Inventory[[#This Row],[unbuildable]]=1,2,1)</f>
        <v>43617.792229308972</v>
      </c>
      <c r="CA1904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04">
        <f>ROUND(Grandview_Inventory[[#This Row],[det_value]]*Lookups!$M$28,-2)</f>
        <v>5000</v>
      </c>
      <c r="CC1904">
        <f>IF(ROUND(Grandview_Inventory[[#This Row],[adj_res]]*Lookups!$M$28,-2)&lt;Grandview_Inventory[[#This Row],[min_res]],Grandview_Inventory[[#This Row],[min_res]],ROUND(Grandview_Inventory[[#This Row],[adj_res]]*Lookups!$M$28,-2))</f>
        <v>159900</v>
      </c>
      <c r="CD1904">
        <f>Grandview_Inventory[[#This Row],[final_det]]+Grandview_Inventory[[#This Row],[final_res]]</f>
        <v>164900</v>
      </c>
      <c r="CE1904">
        <f>Grandview_Inventory[[#This Row],[final_land]]+Grandview_Inventory[[#This Row],[final_imp]]+Grandview_Inventory[[#This Row],[crop_value]]</f>
        <v>206300</v>
      </c>
      <c r="CG1904" t="str">
        <f t="shared" si="29"/>
        <v>update valuation set market_land =41400, market_bldg=164900, market_total =206300, market_mdno =401, market_date ='9/10/2023' where link_id = (select link_id from parcel where parcel_year = '2024' and parcel_id = '23092342435');</v>
      </c>
    </row>
    <row r="1905" spans="1:85" x14ac:dyDescent="0.25">
      <c r="A1905">
        <v>23092342437</v>
      </c>
      <c r="B1905">
        <v>0.14000000000000001</v>
      </c>
      <c r="C1905">
        <v>6176</v>
      </c>
      <c r="D1905" t="s">
        <v>129</v>
      </c>
      <c r="E1905" t="s">
        <v>53</v>
      </c>
      <c r="F1905" t="s">
        <v>53</v>
      </c>
      <c r="G1905">
        <v>4</v>
      </c>
      <c r="H1905" t="s">
        <v>54</v>
      </c>
      <c r="I1905">
        <v>98200</v>
      </c>
      <c r="J1905">
        <v>38600</v>
      </c>
      <c r="K1905">
        <v>0.14000000000000001</v>
      </c>
      <c r="L1905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05">
        <v>0</v>
      </c>
      <c r="N1905">
        <v>0</v>
      </c>
      <c r="O1905">
        <v>0</v>
      </c>
      <c r="P1905">
        <v>13398.7528</v>
      </c>
      <c r="Q1905">
        <v>63903</v>
      </c>
      <c r="R1905">
        <f>(Grandview_Inventory[[#This Row],[ln_acres]]*Grandview_Inventory[[#This Row],[coeff]])+Grandview_Inventory[[#This Row],[const]]</f>
        <v>37559.539860558507</v>
      </c>
      <c r="S1905" t="s">
        <v>68</v>
      </c>
      <c r="T1905">
        <v>1</v>
      </c>
      <c r="U1905" t="s">
        <v>80</v>
      </c>
      <c r="V1905" t="s">
        <v>69</v>
      </c>
      <c r="W1905">
        <v>0</v>
      </c>
      <c r="X1905">
        <v>0</v>
      </c>
      <c r="Y1905">
        <v>51</v>
      </c>
      <c r="Z1905">
        <v>83</v>
      </c>
      <c r="AA1905">
        <v>90</v>
      </c>
      <c r="AB1905">
        <v>1000</v>
      </c>
      <c r="AC1905">
        <v>780</v>
      </c>
      <c r="AD1905">
        <v>780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264</v>
      </c>
      <c r="AN1905">
        <v>24</v>
      </c>
      <c r="AO1905">
        <v>264</v>
      </c>
      <c r="AP1905">
        <v>5</v>
      </c>
      <c r="AQ1905">
        <v>0</v>
      </c>
      <c r="AR1905">
        <v>0</v>
      </c>
      <c r="AS1905" t="s">
        <v>58</v>
      </c>
      <c r="AT1905">
        <v>1</v>
      </c>
      <c r="AU1905" t="s">
        <v>75</v>
      </c>
      <c r="AV1905" t="s">
        <v>60</v>
      </c>
      <c r="AW1905">
        <v>0</v>
      </c>
      <c r="AX1905">
        <v>2</v>
      </c>
      <c r="AY1905">
        <v>0</v>
      </c>
      <c r="AZ1905">
        <v>5500</v>
      </c>
      <c r="BA1905">
        <v>100</v>
      </c>
      <c r="BB1905">
        <v>100</v>
      </c>
      <c r="BC1905">
        <v>100</v>
      </c>
      <c r="BD1905">
        <v>100</v>
      </c>
      <c r="BE1905">
        <v>1</v>
      </c>
      <c r="BF1905">
        <v>15000</v>
      </c>
      <c r="BG1905">
        <v>1000</v>
      </c>
      <c r="BH1905" s="6">
        <f>Grandview_Inventory[[#This Row],[land_extract]]*Lookups!$B$3</f>
        <v>43617.792229308972</v>
      </c>
      <c r="BI1905" s="6">
        <f>IF(Grandview_Inventory[[#This Row],[bldg_style]]="",0,Lookups!$B$2)</f>
        <v>155833.95000000001</v>
      </c>
      <c r="BJ1905" s="6">
        <f>_xlfn.IFNA(VLOOKUP(Grandview_Inventory[[#This Row],[quality]],Lookups!$H$2:$J$14,3,FALSE),0)</f>
        <v>-28558</v>
      </c>
      <c r="BK1905" s="6">
        <f>_xlfn.IFNA(VLOOKUP(Grandview_Inventory[[#This Row],[condition]],Lookups!$H$17:$J$24,3,FALSE),0)</f>
        <v>-4503</v>
      </c>
      <c r="BL1905" s="6">
        <f>Grandview_Inventory[[#This Row],[Eff_Age]]*Lookups!$B$14</f>
        <v>-12197.496599999999</v>
      </c>
      <c r="BM1905" s="6">
        <f>Grandview_Inventory[[#This Row],[living_area]]*Lookups!$B$15</f>
        <v>48657.065340000001</v>
      </c>
      <c r="BN1905" s="6">
        <f>Grandview_Inventory[[#This Row],[Fin BSMT]]*Lookups!$B$16</f>
        <v>0</v>
      </c>
      <c r="BO1905" s="6">
        <f>(Grandview_Inventory[[#This Row],[att_gar]]+Grandview_Inventory[[#This Row],[bltin_gar]])*Lookups!$B$17</f>
        <v>0</v>
      </c>
      <c r="BP1905" s="6">
        <f>Grandview_Inventory[[#This Row],[Plumbing Fixtures]]*Lookups!$B$18</f>
        <v>10052.209000000001</v>
      </c>
      <c r="BQ1905" s="6">
        <f>Grandview_Inventory[[#This Row],[detatched_value]]*Lookups!$B$19</f>
        <v>4657.4280499999995</v>
      </c>
      <c r="BR1905" s="6">
        <f>SUM(Grandview_Inventory[[#This Row],[Intercept]:[det_value]])*Grandview_Inventory[[#This Row],[res_pct]]</f>
        <v>173942.15579000002</v>
      </c>
      <c r="BS1905" s="6">
        <f>Grandview_Inventory[[#This Row],[land_value]]</f>
        <v>43617.792229308972</v>
      </c>
      <c r="BT1905" s="4">
        <f>_xlfn.IFNA(VLOOKUP(Grandview_Inventory[[#This Row],[quality]],Lookups!$A$26:$C$33,3,FALSE),1)</f>
        <v>0.9690360070159818</v>
      </c>
      <c r="BU1905" s="4">
        <f>_xlfn.IFNA(VLOOKUP(Grandview_Inventory[[#This Row],[condition]],Lookups!$A$37:$C$44,3,FALSE),1)</f>
        <v>0.96469275950863709</v>
      </c>
      <c r="BV1905" s="4">
        <f>IF(Grandview_Inventory[[#This Row],[bldg_style]]="",1,_xlfn.IFNA(VLOOKUP(Grandview_Inventory[[#This Row],[decade]],Lookups!$F$29:$H$43,3,FALSE),1))</f>
        <v>0.94161750052457416</v>
      </c>
      <c r="BW1905" s="4">
        <f>_xlfn.IFNA(VLOOKUP(Grandview_Inventory[[#This Row],[living_area_range]],Lookups!$F$47:$H$56,3,FALSE),1)</f>
        <v>0.94306777142782894</v>
      </c>
      <c r="BX1905" s="4">
        <f>AVERAGE(Grandview_Inventory[[#This Row],[qual_adj]:[size_adj]])</f>
        <v>0.95460350961925544</v>
      </c>
      <c r="BY1905" s="6">
        <f>IF(Grandview_Inventory[[#This Row],[pre_res]]&lt;0,0,Grandview_Inventory[[#This Row],[pre_res]]*Grandview_Inventory[[#This Row],[overall_adj]])</f>
        <v>166045.79238787331</v>
      </c>
      <c r="BZ1905" s="6">
        <f>(Grandview_Inventory[[#This Row],[sum_land]]-IF(Grandview_Inventory[[#This Row],[no_utilities]]=1,12000,0))/IF(Grandview_Inventory[[#This Row],[unbuildable]]=1,2,1)</f>
        <v>43617.792229308972</v>
      </c>
      <c r="CA1905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05">
        <f>ROUND(Grandview_Inventory[[#This Row],[det_value]]*Lookups!$M$28,-2)</f>
        <v>4400</v>
      </c>
      <c r="CC1905">
        <f>IF(ROUND(Grandview_Inventory[[#This Row],[adj_res]]*Lookups!$M$28,-2)&lt;Grandview_Inventory[[#This Row],[min_res]],Grandview_Inventory[[#This Row],[min_res]],ROUND(Grandview_Inventory[[#This Row],[adj_res]]*Lookups!$M$28,-2))</f>
        <v>157700</v>
      </c>
      <c r="CD1905">
        <f>Grandview_Inventory[[#This Row],[final_det]]+Grandview_Inventory[[#This Row],[final_res]]</f>
        <v>162100</v>
      </c>
      <c r="CE1905">
        <f>Grandview_Inventory[[#This Row],[final_land]]+Grandview_Inventory[[#This Row],[final_imp]]+Grandview_Inventory[[#This Row],[crop_value]]</f>
        <v>203500</v>
      </c>
      <c r="CG1905" t="str">
        <f t="shared" si="29"/>
        <v>update valuation set market_land =41400, market_bldg=162100, market_total =203500, market_mdno =401, market_date ='9/10/2023' where link_id = (select link_id from parcel where parcel_year = '2024' and parcel_id = '23092342437');</v>
      </c>
    </row>
    <row r="1906" spans="1:85" x14ac:dyDescent="0.25">
      <c r="A1906">
        <v>23092342441</v>
      </c>
      <c r="B1906">
        <v>0.17</v>
      </c>
      <c r="C1906">
        <v>7591</v>
      </c>
      <c r="D1906" t="s">
        <v>129</v>
      </c>
      <c r="E1906" t="s">
        <v>53</v>
      </c>
      <c r="F1906" t="s">
        <v>53</v>
      </c>
      <c r="G1906">
        <v>4</v>
      </c>
      <c r="H1906" t="s">
        <v>54</v>
      </c>
      <c r="I1906">
        <v>161200</v>
      </c>
      <c r="J1906">
        <v>43500</v>
      </c>
      <c r="K1906">
        <v>0.17</v>
      </c>
      <c r="L190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06">
        <v>0</v>
      </c>
      <c r="N1906">
        <v>0</v>
      </c>
      <c r="O1906">
        <v>0</v>
      </c>
      <c r="P1906">
        <v>13398.7528</v>
      </c>
      <c r="Q1906">
        <v>63903</v>
      </c>
      <c r="R1906">
        <f>(Grandview_Inventory[[#This Row],[ln_acres]]*Grandview_Inventory[[#This Row],[coeff]])+Grandview_Inventory[[#This Row],[const]]</f>
        <v>40160.988302686128</v>
      </c>
      <c r="S1906" t="s">
        <v>68</v>
      </c>
      <c r="T1906">
        <v>1</v>
      </c>
      <c r="U1906" t="s">
        <v>70</v>
      </c>
      <c r="V1906" t="s">
        <v>69</v>
      </c>
      <c r="W1906">
        <v>0</v>
      </c>
      <c r="X1906">
        <v>0</v>
      </c>
      <c r="Y1906">
        <v>50</v>
      </c>
      <c r="Z1906">
        <v>73</v>
      </c>
      <c r="AA1906">
        <v>80</v>
      </c>
      <c r="AB1906">
        <v>1500</v>
      </c>
      <c r="AC1906">
        <v>1329</v>
      </c>
      <c r="AD1906">
        <v>1329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200</v>
      </c>
      <c r="AO1906">
        <v>30</v>
      </c>
      <c r="AP1906">
        <v>5</v>
      </c>
      <c r="AQ1906">
        <v>0</v>
      </c>
      <c r="AR1906">
        <v>1</v>
      </c>
      <c r="AS1906" t="s">
        <v>58</v>
      </c>
      <c r="AT1906">
        <v>1</v>
      </c>
      <c r="AU1906" t="s">
        <v>59</v>
      </c>
      <c r="AV1906" t="s">
        <v>60</v>
      </c>
      <c r="AW1906">
        <v>1</v>
      </c>
      <c r="AX1906">
        <v>4</v>
      </c>
      <c r="AY1906">
        <v>0</v>
      </c>
      <c r="AZ1906">
        <v>0</v>
      </c>
      <c r="BA1906">
        <v>100</v>
      </c>
      <c r="BB1906">
        <v>100</v>
      </c>
      <c r="BC1906">
        <v>100</v>
      </c>
      <c r="BD1906">
        <v>100</v>
      </c>
      <c r="BE1906">
        <v>1</v>
      </c>
      <c r="BF1906">
        <v>15000</v>
      </c>
      <c r="BG1906">
        <v>1000</v>
      </c>
      <c r="BH1906" s="6">
        <f>Grandview_Inventory[[#This Row],[land_extract]]*Lookups!$B$3</f>
        <v>46638.847281240982</v>
      </c>
      <c r="BI1906" s="6">
        <f>IF(Grandview_Inventory[[#This Row],[bldg_style]]="",0,Lookups!$B$2)</f>
        <v>155833.95000000001</v>
      </c>
      <c r="BJ1906" s="6">
        <f>_xlfn.IFNA(VLOOKUP(Grandview_Inventory[[#This Row],[quality]],Lookups!$H$2:$J$14,3,FALSE),0)</f>
        <v>10733</v>
      </c>
      <c r="BK1906" s="6">
        <f>_xlfn.IFNA(VLOOKUP(Grandview_Inventory[[#This Row],[condition]],Lookups!$H$17:$J$24,3,FALSE),0)</f>
        <v>-4503</v>
      </c>
      <c r="BL1906" s="6">
        <f>Grandview_Inventory[[#This Row],[Eff_Age]]*Lookups!$B$14</f>
        <v>-11958.33</v>
      </c>
      <c r="BM1906" s="6">
        <f>Grandview_Inventory[[#This Row],[living_area]]*Lookups!$B$15</f>
        <v>82904.153636999996</v>
      </c>
      <c r="BN1906" s="6">
        <f>Grandview_Inventory[[#This Row],[Fin BSMT]]*Lookups!$B$16</f>
        <v>0</v>
      </c>
      <c r="BO1906" s="6">
        <f>(Grandview_Inventory[[#This Row],[att_gar]]+Grandview_Inventory[[#This Row],[bltin_gar]])*Lookups!$B$17</f>
        <v>0</v>
      </c>
      <c r="BP1906" s="6">
        <f>Grandview_Inventory[[#This Row],[Plumbing Fixtures]]*Lookups!$B$18</f>
        <v>10052.209000000001</v>
      </c>
      <c r="BQ1906" s="6">
        <f>Grandview_Inventory[[#This Row],[detatched_value]]*Lookups!$B$19</f>
        <v>0</v>
      </c>
      <c r="BR1906" s="6">
        <f>SUM(Grandview_Inventory[[#This Row],[Intercept]:[det_value]])*Grandview_Inventory[[#This Row],[res_pct]]</f>
        <v>243061.98263700001</v>
      </c>
      <c r="BS1906" s="6">
        <f>Grandview_Inventory[[#This Row],[land_value]]</f>
        <v>46638.847281240982</v>
      </c>
      <c r="BT1906" s="4">
        <f>_xlfn.IFNA(VLOOKUP(Grandview_Inventory[[#This Row],[quality]],Lookups!$A$26:$C$33,3,FALSE),1)</f>
        <v>0.98079741117310582</v>
      </c>
      <c r="BU1906" s="4">
        <f>_xlfn.IFNA(VLOOKUP(Grandview_Inventory[[#This Row],[condition]],Lookups!$A$37:$C$44,3,FALSE),1)</f>
        <v>0.96469275950863709</v>
      </c>
      <c r="BV1906" s="4">
        <f>IF(Grandview_Inventory[[#This Row],[bldg_style]]="",1,_xlfn.IFNA(VLOOKUP(Grandview_Inventory[[#This Row],[decade]],Lookups!$F$29:$H$43,3,FALSE),1))</f>
        <v>0.98763256963907298</v>
      </c>
      <c r="BW1906" s="4">
        <f>_xlfn.IFNA(VLOOKUP(Grandview_Inventory[[#This Row],[living_area_range]],Lookups!$F$47:$H$56,3,FALSE),1)</f>
        <v>0.96135087979789358</v>
      </c>
      <c r="BX1906" s="4">
        <f>AVERAGE(Grandview_Inventory[[#This Row],[qual_adj]:[size_adj]])</f>
        <v>0.97361840502967734</v>
      </c>
      <c r="BY1906" s="6">
        <f>IF(Grandview_Inventory[[#This Row],[pre_res]]&lt;0,0,Grandview_Inventory[[#This Row],[pre_res]]*Grandview_Inventory[[#This Row],[overall_adj]])</f>
        <v>236649.61985838707</v>
      </c>
      <c r="BZ1906" s="6">
        <f>(Grandview_Inventory[[#This Row],[sum_land]]-IF(Grandview_Inventory[[#This Row],[no_utilities]]=1,12000,0))/IF(Grandview_Inventory[[#This Row],[unbuildable]]=1,2,1)</f>
        <v>46638.847281240982</v>
      </c>
      <c r="CA190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06">
        <f>ROUND(Grandview_Inventory[[#This Row],[det_value]]*Lookups!$M$28,-2)</f>
        <v>0</v>
      </c>
      <c r="CC1906">
        <f>IF(ROUND(Grandview_Inventory[[#This Row],[adj_res]]*Lookups!$M$28,-2)&lt;Grandview_Inventory[[#This Row],[min_res]],Grandview_Inventory[[#This Row],[min_res]],ROUND(Grandview_Inventory[[#This Row],[adj_res]]*Lookups!$M$28,-2))</f>
        <v>224800</v>
      </c>
      <c r="CD1906">
        <f>Grandview_Inventory[[#This Row],[final_det]]+Grandview_Inventory[[#This Row],[final_res]]</f>
        <v>224800</v>
      </c>
      <c r="CE1906">
        <f>Grandview_Inventory[[#This Row],[final_land]]+Grandview_Inventory[[#This Row],[final_imp]]+Grandview_Inventory[[#This Row],[crop_value]]</f>
        <v>269100</v>
      </c>
      <c r="CG1906" t="str">
        <f t="shared" si="29"/>
        <v>update valuation set market_land =44300, market_bldg=224800, market_total =269100, market_mdno =401, market_date ='9/10/2023' where link_id = (select link_id from parcel where parcel_year = '2024' and parcel_id = '23092342441');</v>
      </c>
    </row>
    <row r="1907" spans="1:85" x14ac:dyDescent="0.25">
      <c r="A1907">
        <v>23092342442</v>
      </c>
      <c r="B1907">
        <v>0.12</v>
      </c>
      <c r="C1907">
        <v>5020</v>
      </c>
      <c r="D1907" t="s">
        <v>129</v>
      </c>
      <c r="E1907" t="s">
        <v>53</v>
      </c>
      <c r="F1907" t="s">
        <v>53</v>
      </c>
      <c r="G1907">
        <v>4</v>
      </c>
      <c r="H1907" t="s">
        <v>54</v>
      </c>
      <c r="I1907">
        <v>51300</v>
      </c>
      <c r="J1907">
        <v>38300</v>
      </c>
      <c r="K1907">
        <v>0.12</v>
      </c>
      <c r="L190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1907">
        <v>0</v>
      </c>
      <c r="N1907">
        <v>0</v>
      </c>
      <c r="O1907">
        <v>0</v>
      </c>
      <c r="P1907">
        <v>13398.7528</v>
      </c>
      <c r="Q1907">
        <v>63903</v>
      </c>
      <c r="R1907">
        <f>(Grandview_Inventory[[#This Row],[ln_acres]]*Grandview_Inventory[[#This Row],[coeff]])+Grandview_Inventory[[#This Row],[const]]</f>
        <v>35494.113007601132</v>
      </c>
      <c r="S1907" t="s">
        <v>68</v>
      </c>
      <c r="T1907">
        <v>1</v>
      </c>
      <c r="U1907" t="s">
        <v>80</v>
      </c>
      <c r="V1907" t="s">
        <v>78</v>
      </c>
      <c r="W1907">
        <v>0</v>
      </c>
      <c r="X1907">
        <v>0</v>
      </c>
      <c r="Y1907">
        <v>65</v>
      </c>
      <c r="Z1907">
        <v>113</v>
      </c>
      <c r="AA1907">
        <v>120</v>
      </c>
      <c r="AB1907">
        <v>1000</v>
      </c>
      <c r="AC1907">
        <v>594</v>
      </c>
      <c r="AD1907">
        <v>594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16</v>
      </c>
      <c r="AO1907">
        <v>0</v>
      </c>
      <c r="AP1907">
        <v>5</v>
      </c>
      <c r="AQ1907">
        <v>0</v>
      </c>
      <c r="AR1907">
        <v>0</v>
      </c>
      <c r="AS1907" t="s">
        <v>58</v>
      </c>
      <c r="AT1907">
        <v>0</v>
      </c>
      <c r="AU1907" t="s">
        <v>82</v>
      </c>
      <c r="AV1907" t="s">
        <v>64</v>
      </c>
      <c r="AW1907">
        <v>0</v>
      </c>
      <c r="AX1907">
        <v>1</v>
      </c>
      <c r="AY1907">
        <v>0</v>
      </c>
      <c r="AZ1907">
        <v>1900</v>
      </c>
      <c r="BA1907">
        <v>100</v>
      </c>
      <c r="BB1907">
        <v>100</v>
      </c>
      <c r="BC1907">
        <v>100</v>
      </c>
      <c r="BD1907">
        <v>100</v>
      </c>
      <c r="BE1907">
        <v>1</v>
      </c>
      <c r="BF1907">
        <v>15000</v>
      </c>
      <c r="BG1907">
        <v>1000</v>
      </c>
      <c r="BH1907" s="6">
        <f>Grandview_Inventory[[#This Row],[land_extract]]*Lookups!$B$3</f>
        <v>41219.217601622076</v>
      </c>
      <c r="BI1907" s="6">
        <f>IF(Grandview_Inventory[[#This Row],[bldg_style]]="",0,Lookups!$B$2)</f>
        <v>155833.95000000001</v>
      </c>
      <c r="BJ1907" s="6">
        <f>_xlfn.IFNA(VLOOKUP(Grandview_Inventory[[#This Row],[quality]],Lookups!$H$2:$J$14,3,FALSE),0)</f>
        <v>-28558</v>
      </c>
      <c r="BK1907" s="6">
        <f>_xlfn.IFNA(VLOOKUP(Grandview_Inventory[[#This Row],[condition]],Lookups!$H$17:$J$24,3,FALSE),0)</f>
        <v>-45357</v>
      </c>
      <c r="BL1907" s="6">
        <f>Grandview_Inventory[[#This Row],[Eff_Age]]*Lookups!$B$14</f>
        <v>-15545.829</v>
      </c>
      <c r="BM1907" s="6">
        <f>Grandview_Inventory[[#This Row],[living_area]]*Lookups!$B$15</f>
        <v>37054.226682</v>
      </c>
      <c r="BN1907" s="6">
        <f>Grandview_Inventory[[#This Row],[Fin BSMT]]*Lookups!$B$16</f>
        <v>0</v>
      </c>
      <c r="BO1907" s="6">
        <f>(Grandview_Inventory[[#This Row],[att_gar]]+Grandview_Inventory[[#This Row],[bltin_gar]])*Lookups!$B$17</f>
        <v>0</v>
      </c>
      <c r="BP1907" s="6">
        <f>Grandview_Inventory[[#This Row],[Plumbing Fixtures]]*Lookups!$B$18</f>
        <v>10052.209000000001</v>
      </c>
      <c r="BQ1907" s="6">
        <f>Grandview_Inventory[[#This Row],[detatched_value]]*Lookups!$B$19</f>
        <v>1608.9296899999999</v>
      </c>
      <c r="BR1907" s="6">
        <f>SUM(Grandview_Inventory[[#This Row],[Intercept]:[det_value]])*Grandview_Inventory[[#This Row],[res_pct]]</f>
        <v>115088.48637200003</v>
      </c>
      <c r="BS1907" s="6">
        <f>Grandview_Inventory[[#This Row],[land_value]]</f>
        <v>41219.217601622076</v>
      </c>
      <c r="BT1907" s="4">
        <f>_xlfn.IFNA(VLOOKUP(Grandview_Inventory[[#This Row],[quality]],Lookups!$A$26:$C$33,3,FALSE),1)</f>
        <v>0.9690360070159818</v>
      </c>
      <c r="BU1907" s="4">
        <f>_xlfn.IFNA(VLOOKUP(Grandview_Inventory[[#This Row],[condition]],Lookups!$A$37:$C$44,3,FALSE),1)</f>
        <v>0.97161819570155394</v>
      </c>
      <c r="BV1907" s="4">
        <f>IF(Grandview_Inventory[[#This Row],[bldg_style]]="",1,_xlfn.IFNA(VLOOKUP(Grandview_Inventory[[#This Row],[decade]],Lookups!$F$29:$H$43,3,FALSE),1))</f>
        <v>0.9251738460551937</v>
      </c>
      <c r="BW1907" s="4">
        <f>_xlfn.IFNA(VLOOKUP(Grandview_Inventory[[#This Row],[living_area_range]],Lookups!$F$47:$H$56,3,FALSE),1)</f>
        <v>0.94306777142782894</v>
      </c>
      <c r="BX1907" s="4">
        <f>AVERAGE(Grandview_Inventory[[#This Row],[qual_adj]:[size_adj]])</f>
        <v>0.95222395505013957</v>
      </c>
      <c r="BY1907" s="6">
        <f>IF(Grandview_Inventory[[#This Row],[pre_res]]&lt;0,0,Grandview_Inventory[[#This Row],[pre_res]]*Grandview_Inventory[[#This Row],[overall_adj]])</f>
        <v>109590.01367387996</v>
      </c>
      <c r="BZ1907" s="6">
        <f>(Grandview_Inventory[[#This Row],[sum_land]]-IF(Grandview_Inventory[[#This Row],[no_utilities]]=1,12000,0))/IF(Grandview_Inventory[[#This Row],[unbuildable]]=1,2,1)</f>
        <v>41219.217601622076</v>
      </c>
      <c r="CA190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1907">
        <f>ROUND(Grandview_Inventory[[#This Row],[det_value]]*Lookups!$M$28,-2)</f>
        <v>1500</v>
      </c>
      <c r="CC1907">
        <f>IF(ROUND(Grandview_Inventory[[#This Row],[adj_res]]*Lookups!$M$28,-2)&lt;Grandview_Inventory[[#This Row],[min_res]],Grandview_Inventory[[#This Row],[min_res]],ROUND(Grandview_Inventory[[#This Row],[adj_res]]*Lookups!$M$28,-2))</f>
        <v>104100</v>
      </c>
      <c r="CD1907">
        <f>Grandview_Inventory[[#This Row],[final_det]]+Grandview_Inventory[[#This Row],[final_res]]</f>
        <v>105600</v>
      </c>
      <c r="CE1907">
        <f>Grandview_Inventory[[#This Row],[final_land]]+Grandview_Inventory[[#This Row],[final_imp]]+Grandview_Inventory[[#This Row],[crop_value]]</f>
        <v>144800</v>
      </c>
      <c r="CG1907" t="str">
        <f t="shared" si="29"/>
        <v>update valuation set market_land =39200, market_bldg=105600, market_total =144800, market_mdno =401, market_date ='9/10/2023' where link_id = (select link_id from parcel where parcel_year = '2024' and parcel_id = '23092342442');</v>
      </c>
    </row>
    <row r="1908" spans="1:85" x14ac:dyDescent="0.25">
      <c r="A1908">
        <v>23092342444</v>
      </c>
      <c r="B1908">
        <v>0.13</v>
      </c>
      <c r="C1908">
        <v>5800</v>
      </c>
      <c r="D1908" t="s">
        <v>129</v>
      </c>
      <c r="E1908" t="s">
        <v>53</v>
      </c>
      <c r="F1908" t="s">
        <v>53</v>
      </c>
      <c r="G1908">
        <v>4</v>
      </c>
      <c r="H1908" t="s">
        <v>54</v>
      </c>
      <c r="I1908">
        <v>96000</v>
      </c>
      <c r="J1908">
        <v>38600</v>
      </c>
      <c r="K1908">
        <v>0.13</v>
      </c>
      <c r="L1908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908">
        <v>0</v>
      </c>
      <c r="N1908">
        <v>0</v>
      </c>
      <c r="O1908">
        <v>0</v>
      </c>
      <c r="P1908">
        <v>13398.7528</v>
      </c>
      <c r="Q1908">
        <v>63903</v>
      </c>
      <c r="R1908">
        <f>(Grandview_Inventory[[#This Row],[ln_acres]]*Grandview_Inventory[[#This Row],[coeff]])+Grandview_Inventory[[#This Row],[const]]</f>
        <v>36566.585461161507</v>
      </c>
      <c r="S1908" t="s">
        <v>68</v>
      </c>
      <c r="T1908">
        <v>1</v>
      </c>
      <c r="U1908" t="s">
        <v>80</v>
      </c>
      <c r="V1908" t="s">
        <v>69</v>
      </c>
      <c r="W1908">
        <v>0</v>
      </c>
      <c r="X1908">
        <v>0</v>
      </c>
      <c r="Y1908">
        <v>51</v>
      </c>
      <c r="Z1908">
        <v>78</v>
      </c>
      <c r="AA1908">
        <v>80</v>
      </c>
      <c r="AB1908">
        <v>1000</v>
      </c>
      <c r="AC1908">
        <v>744</v>
      </c>
      <c r="AD1908">
        <v>744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30</v>
      </c>
      <c r="AO1908">
        <v>0</v>
      </c>
      <c r="AP1908">
        <v>5</v>
      </c>
      <c r="AQ1908">
        <v>0</v>
      </c>
      <c r="AR1908">
        <v>0</v>
      </c>
      <c r="AS1908" t="s">
        <v>58</v>
      </c>
      <c r="AT1908">
        <v>1</v>
      </c>
      <c r="AU1908" t="s">
        <v>75</v>
      </c>
      <c r="AV1908" t="s">
        <v>60</v>
      </c>
      <c r="AW1908">
        <v>0</v>
      </c>
      <c r="AX1908">
        <v>2</v>
      </c>
      <c r="AY1908">
        <v>0</v>
      </c>
      <c r="AZ1908">
        <v>4700</v>
      </c>
      <c r="BA1908">
        <v>100</v>
      </c>
      <c r="BB1908">
        <v>100</v>
      </c>
      <c r="BC1908">
        <v>100</v>
      </c>
      <c r="BD1908">
        <v>100</v>
      </c>
      <c r="BE1908">
        <v>1</v>
      </c>
      <c r="BF1908">
        <v>15000</v>
      </c>
      <c r="BG1908">
        <v>1000</v>
      </c>
      <c r="BH1908" s="6">
        <f>Grandview_Inventory[[#This Row],[land_extract]]*Lookups!$B$3</f>
        <v>42464.67696626611</v>
      </c>
      <c r="BI1908" s="6">
        <f>IF(Grandview_Inventory[[#This Row],[bldg_style]]="",0,Lookups!$B$2)</f>
        <v>155833.95000000001</v>
      </c>
      <c r="BJ1908" s="6">
        <f>_xlfn.IFNA(VLOOKUP(Grandview_Inventory[[#This Row],[quality]],Lookups!$H$2:$J$14,3,FALSE),0)</f>
        <v>-28558</v>
      </c>
      <c r="BK1908" s="6">
        <f>_xlfn.IFNA(VLOOKUP(Grandview_Inventory[[#This Row],[condition]],Lookups!$H$17:$J$24,3,FALSE),0)</f>
        <v>-4503</v>
      </c>
      <c r="BL1908" s="6">
        <f>Grandview_Inventory[[#This Row],[Eff_Age]]*Lookups!$B$14</f>
        <v>-12197.496599999999</v>
      </c>
      <c r="BM1908" s="6">
        <f>Grandview_Inventory[[#This Row],[living_area]]*Lookups!$B$15</f>
        <v>46411.354632000002</v>
      </c>
      <c r="BN1908" s="6">
        <f>Grandview_Inventory[[#This Row],[Fin BSMT]]*Lookups!$B$16</f>
        <v>0</v>
      </c>
      <c r="BO1908" s="6">
        <f>(Grandview_Inventory[[#This Row],[att_gar]]+Grandview_Inventory[[#This Row],[bltin_gar]])*Lookups!$B$17</f>
        <v>0</v>
      </c>
      <c r="BP1908" s="6">
        <f>Grandview_Inventory[[#This Row],[Plumbing Fixtures]]*Lookups!$B$18</f>
        <v>10052.209000000001</v>
      </c>
      <c r="BQ1908" s="6">
        <f>Grandview_Inventory[[#This Row],[detatched_value]]*Lookups!$B$19</f>
        <v>3979.9839699999998</v>
      </c>
      <c r="BR1908" s="6">
        <f>SUM(Grandview_Inventory[[#This Row],[Intercept]:[det_value]])*Grandview_Inventory[[#This Row],[res_pct]]</f>
        <v>171019.00100200003</v>
      </c>
      <c r="BS1908" s="6">
        <f>Grandview_Inventory[[#This Row],[land_value]]</f>
        <v>42464.67696626611</v>
      </c>
      <c r="BT1908" s="4">
        <f>_xlfn.IFNA(VLOOKUP(Grandview_Inventory[[#This Row],[quality]],Lookups!$A$26:$C$33,3,FALSE),1)</f>
        <v>0.9690360070159818</v>
      </c>
      <c r="BU1908" s="4">
        <f>_xlfn.IFNA(VLOOKUP(Grandview_Inventory[[#This Row],[condition]],Lookups!$A$37:$C$44,3,FALSE),1)</f>
        <v>0.96469275950863709</v>
      </c>
      <c r="BV1908" s="4">
        <f>IF(Grandview_Inventory[[#This Row],[bldg_style]]="",1,_xlfn.IFNA(VLOOKUP(Grandview_Inventory[[#This Row],[decade]],Lookups!$F$29:$H$43,3,FALSE),1))</f>
        <v>0.98763256963907298</v>
      </c>
      <c r="BW1908" s="4">
        <f>_xlfn.IFNA(VLOOKUP(Grandview_Inventory[[#This Row],[living_area_range]],Lookups!$F$47:$H$56,3,FALSE),1)</f>
        <v>0.94306777142782894</v>
      </c>
      <c r="BX1908" s="4">
        <f>AVERAGE(Grandview_Inventory[[#This Row],[qual_adj]:[size_adj]])</f>
        <v>0.96610727689788012</v>
      </c>
      <c r="BY1908" s="6">
        <f>IF(Grandview_Inventory[[#This Row],[pre_res]]&lt;0,0,Grandview_Inventory[[#This Row],[pre_res]]*Grandview_Inventory[[#This Row],[overall_adj]])</f>
        <v>165222.70135583807</v>
      </c>
      <c r="BZ1908" s="6">
        <f>(Grandview_Inventory[[#This Row],[sum_land]]-IF(Grandview_Inventory[[#This Row],[no_utilities]]=1,12000,0))/IF(Grandview_Inventory[[#This Row],[unbuildable]]=1,2,1)</f>
        <v>42464.67696626611</v>
      </c>
      <c r="CA1908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908">
        <f>ROUND(Grandview_Inventory[[#This Row],[det_value]]*Lookups!$M$28,-2)</f>
        <v>3800</v>
      </c>
      <c r="CC1908">
        <f>IF(ROUND(Grandview_Inventory[[#This Row],[adj_res]]*Lookups!$M$28,-2)&lt;Grandview_Inventory[[#This Row],[min_res]],Grandview_Inventory[[#This Row],[min_res]],ROUND(Grandview_Inventory[[#This Row],[adj_res]]*Lookups!$M$28,-2))</f>
        <v>157000</v>
      </c>
      <c r="CD1908">
        <f>Grandview_Inventory[[#This Row],[final_det]]+Grandview_Inventory[[#This Row],[final_res]]</f>
        <v>160800</v>
      </c>
      <c r="CE1908">
        <f>Grandview_Inventory[[#This Row],[final_land]]+Grandview_Inventory[[#This Row],[final_imp]]+Grandview_Inventory[[#This Row],[crop_value]]</f>
        <v>201100</v>
      </c>
      <c r="CG1908" t="str">
        <f t="shared" si="29"/>
        <v>update valuation set market_land =40300, market_bldg=160800, market_total =201100, market_mdno =401, market_date ='9/10/2023' where link_id = (select link_id from parcel where parcel_year = '2024' and parcel_id = '23092342444');</v>
      </c>
    </row>
    <row r="1909" spans="1:85" x14ac:dyDescent="0.25">
      <c r="A1909">
        <v>23092342445</v>
      </c>
      <c r="B1909">
        <v>0.1</v>
      </c>
      <c r="C1909">
        <v>4219</v>
      </c>
      <c r="D1909" t="s">
        <v>129</v>
      </c>
      <c r="E1909" t="s">
        <v>53</v>
      </c>
      <c r="F1909" t="s">
        <v>53</v>
      </c>
      <c r="G1909">
        <v>4</v>
      </c>
      <c r="H1909" t="s">
        <v>54</v>
      </c>
      <c r="I1909">
        <v>143500</v>
      </c>
      <c r="J1909">
        <v>37900</v>
      </c>
      <c r="K1909">
        <v>0.1</v>
      </c>
      <c r="L1909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1909">
        <v>0</v>
      </c>
      <c r="N1909">
        <v>0</v>
      </c>
      <c r="O1909">
        <v>0</v>
      </c>
      <c r="P1909">
        <v>13398.7528</v>
      </c>
      <c r="Q1909">
        <v>63903</v>
      </c>
      <c r="R1909">
        <f>(Grandview_Inventory[[#This Row],[ln_acres]]*Grandview_Inventory[[#This Row],[coeff]])+Grandview_Inventory[[#This Row],[const]]</f>
        <v>33051.231538007778</v>
      </c>
      <c r="S1909" t="s">
        <v>68</v>
      </c>
      <c r="T1909">
        <v>1</v>
      </c>
      <c r="U1909" t="s">
        <v>70</v>
      </c>
      <c r="V1909" t="s">
        <v>67</v>
      </c>
      <c r="W1909">
        <v>0</v>
      </c>
      <c r="X1909">
        <v>0</v>
      </c>
      <c r="Y1909">
        <v>50</v>
      </c>
      <c r="Z1909">
        <v>73</v>
      </c>
      <c r="AA1909">
        <v>80</v>
      </c>
      <c r="AB1909">
        <v>1000</v>
      </c>
      <c r="AC1909">
        <v>800</v>
      </c>
      <c r="AD1909">
        <v>800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35</v>
      </c>
      <c r="AO1909">
        <v>0</v>
      </c>
      <c r="AP1909">
        <v>5</v>
      </c>
      <c r="AQ1909">
        <v>0</v>
      </c>
      <c r="AR1909">
        <v>0</v>
      </c>
      <c r="AS1909" t="s">
        <v>58</v>
      </c>
      <c r="AT1909">
        <v>1</v>
      </c>
      <c r="AU1909" t="s">
        <v>75</v>
      </c>
      <c r="AV1909" t="s">
        <v>60</v>
      </c>
      <c r="AW1909">
        <v>0</v>
      </c>
      <c r="AX1909">
        <v>2</v>
      </c>
      <c r="AY1909">
        <v>0</v>
      </c>
      <c r="AZ1909">
        <v>0</v>
      </c>
      <c r="BA1909">
        <v>100</v>
      </c>
      <c r="BB1909">
        <v>100</v>
      </c>
      <c r="BC1909">
        <v>100</v>
      </c>
      <c r="BD1909">
        <v>100</v>
      </c>
      <c r="BE1909">
        <v>1</v>
      </c>
      <c r="BF1909">
        <v>15000</v>
      </c>
      <c r="BG1909">
        <v>1000</v>
      </c>
      <c r="BH1909" s="6">
        <f>Grandview_Inventory[[#This Row],[land_extract]]*Lookups!$B$3</f>
        <v>38382.305946763277</v>
      </c>
      <c r="BI1909" s="6">
        <f>IF(Grandview_Inventory[[#This Row],[bldg_style]]="",0,Lookups!$B$2)</f>
        <v>155833.95000000001</v>
      </c>
      <c r="BJ1909" s="6">
        <f>_xlfn.IFNA(VLOOKUP(Grandview_Inventory[[#This Row],[quality]],Lookups!$H$2:$J$14,3,FALSE),0)</f>
        <v>10733</v>
      </c>
      <c r="BK1909" s="6">
        <f>_xlfn.IFNA(VLOOKUP(Grandview_Inventory[[#This Row],[condition]],Lookups!$H$17:$J$24,3,FALSE),0)</f>
        <v>22342</v>
      </c>
      <c r="BL1909" s="6">
        <f>Grandview_Inventory[[#This Row],[Eff_Age]]*Lookups!$B$14</f>
        <v>-11958.33</v>
      </c>
      <c r="BM1909" s="6">
        <f>Grandview_Inventory[[#This Row],[living_area]]*Lookups!$B$15</f>
        <v>49904.682400000005</v>
      </c>
      <c r="BN1909" s="6">
        <f>Grandview_Inventory[[#This Row],[Fin BSMT]]*Lookups!$B$16</f>
        <v>0</v>
      </c>
      <c r="BO1909" s="6">
        <f>(Grandview_Inventory[[#This Row],[att_gar]]+Grandview_Inventory[[#This Row],[bltin_gar]])*Lookups!$B$17</f>
        <v>0</v>
      </c>
      <c r="BP1909" s="6">
        <f>Grandview_Inventory[[#This Row],[Plumbing Fixtures]]*Lookups!$B$18</f>
        <v>10052.209000000001</v>
      </c>
      <c r="BQ1909" s="6">
        <f>Grandview_Inventory[[#This Row],[detatched_value]]*Lookups!$B$19</f>
        <v>0</v>
      </c>
      <c r="BR1909" s="6">
        <f>SUM(Grandview_Inventory[[#This Row],[Intercept]:[det_value]])*Grandview_Inventory[[#This Row],[res_pct]]</f>
        <v>236907.51140000005</v>
      </c>
      <c r="BS1909" s="6">
        <f>Grandview_Inventory[[#This Row],[land_value]]</f>
        <v>38382.305946763277</v>
      </c>
      <c r="BT1909" s="4">
        <f>_xlfn.IFNA(VLOOKUP(Grandview_Inventory[[#This Row],[quality]],Lookups!$A$26:$C$33,3,FALSE),1)</f>
        <v>0.98079741117310582</v>
      </c>
      <c r="BU1909" s="4">
        <f>_xlfn.IFNA(VLOOKUP(Grandview_Inventory[[#This Row],[condition]],Lookups!$A$37:$C$44,3,FALSE),1)</f>
        <v>0.97383723671140243</v>
      </c>
      <c r="BV1909" s="4">
        <f>IF(Grandview_Inventory[[#This Row],[bldg_style]]="",1,_xlfn.IFNA(VLOOKUP(Grandview_Inventory[[#This Row],[decade]],Lookups!$F$29:$H$43,3,FALSE),1))</f>
        <v>0.98763256963907298</v>
      </c>
      <c r="BW1909" s="4">
        <f>_xlfn.IFNA(VLOOKUP(Grandview_Inventory[[#This Row],[living_area_range]],Lookups!$F$47:$H$56,3,FALSE),1)</f>
        <v>0.94306777142782894</v>
      </c>
      <c r="BX1909" s="4">
        <f>AVERAGE(Grandview_Inventory[[#This Row],[qual_adj]:[size_adj]])</f>
        <v>0.97133374723785249</v>
      </c>
      <c r="BY1909" s="6">
        <f>IF(Grandview_Inventory[[#This Row],[pre_res]]&lt;0,0,Grandview_Inventory[[#This Row],[pre_res]]*Grandview_Inventory[[#This Row],[overall_adj]])</f>
        <v>230116.26079695631</v>
      </c>
      <c r="BZ1909" s="6">
        <f>(Grandview_Inventory[[#This Row],[sum_land]]-IF(Grandview_Inventory[[#This Row],[no_utilities]]=1,12000,0))/IF(Grandview_Inventory[[#This Row],[unbuildable]]=1,2,1)</f>
        <v>38382.305946763277</v>
      </c>
      <c r="CA1909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1909">
        <f>ROUND(Grandview_Inventory[[#This Row],[det_value]]*Lookups!$M$28,-2)</f>
        <v>0</v>
      </c>
      <c r="CC1909">
        <f>IF(ROUND(Grandview_Inventory[[#This Row],[adj_res]]*Lookups!$M$28,-2)&lt;Grandview_Inventory[[#This Row],[min_res]],Grandview_Inventory[[#This Row],[min_res]],ROUND(Grandview_Inventory[[#This Row],[adj_res]]*Lookups!$M$28,-2))</f>
        <v>218600</v>
      </c>
      <c r="CD1909">
        <f>Grandview_Inventory[[#This Row],[final_det]]+Grandview_Inventory[[#This Row],[final_res]]</f>
        <v>218600</v>
      </c>
      <c r="CE1909">
        <f>Grandview_Inventory[[#This Row],[final_land]]+Grandview_Inventory[[#This Row],[final_imp]]+Grandview_Inventory[[#This Row],[crop_value]]</f>
        <v>255100</v>
      </c>
      <c r="CG1909" t="str">
        <f t="shared" si="29"/>
        <v>update valuation set market_land =36500, market_bldg=218600, market_total =255100, market_mdno =401, market_date ='9/10/2023' where link_id = (select link_id from parcel where parcel_year = '2024' and parcel_id = '23092342445');</v>
      </c>
    </row>
    <row r="1910" spans="1:85" x14ac:dyDescent="0.25">
      <c r="A1910">
        <v>23092342447</v>
      </c>
      <c r="B1910">
        <v>0.28000000000000003</v>
      </c>
      <c r="C1910">
        <v>12307</v>
      </c>
      <c r="D1910" t="s">
        <v>129</v>
      </c>
      <c r="E1910" t="s">
        <v>53</v>
      </c>
      <c r="F1910" t="s">
        <v>53</v>
      </c>
      <c r="G1910">
        <v>4</v>
      </c>
      <c r="H1910" t="s">
        <v>54</v>
      </c>
      <c r="I1910">
        <v>111400</v>
      </c>
      <c r="J1910">
        <v>40700</v>
      </c>
      <c r="K1910">
        <v>0.28000000000000003</v>
      </c>
      <c r="L1910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910">
        <v>0</v>
      </c>
      <c r="N1910">
        <v>0</v>
      </c>
      <c r="O1910">
        <v>0</v>
      </c>
      <c r="P1910">
        <v>13398.7528</v>
      </c>
      <c r="Q1910">
        <v>63903</v>
      </c>
      <c r="R1910">
        <f>(Grandview_Inventory[[#This Row],[ln_acres]]*Grandview_Inventory[[#This Row],[coeff]])+Grandview_Inventory[[#This Row],[const]]</f>
        <v>46846.847586898184</v>
      </c>
      <c r="S1910" t="s">
        <v>68</v>
      </c>
      <c r="T1910">
        <v>1</v>
      </c>
      <c r="U1910" t="s">
        <v>80</v>
      </c>
      <c r="V1910" t="s">
        <v>69</v>
      </c>
      <c r="W1910">
        <v>0</v>
      </c>
      <c r="X1910">
        <v>0</v>
      </c>
      <c r="Y1910">
        <v>51</v>
      </c>
      <c r="Z1910">
        <v>81</v>
      </c>
      <c r="AA1910">
        <v>90</v>
      </c>
      <c r="AB1910">
        <v>1000</v>
      </c>
      <c r="AC1910">
        <v>978</v>
      </c>
      <c r="AD1910">
        <v>978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5</v>
      </c>
      <c r="AQ1910">
        <v>0</v>
      </c>
      <c r="AR1910">
        <v>0</v>
      </c>
      <c r="AS1910" t="s">
        <v>58</v>
      </c>
      <c r="AT1910">
        <v>1</v>
      </c>
      <c r="AU1910" t="s">
        <v>59</v>
      </c>
      <c r="AV1910" t="s">
        <v>60</v>
      </c>
      <c r="AW1910">
        <v>1</v>
      </c>
      <c r="AX1910">
        <v>2</v>
      </c>
      <c r="AY1910">
        <v>0</v>
      </c>
      <c r="AZ1910">
        <v>0</v>
      </c>
      <c r="BA1910">
        <v>100</v>
      </c>
      <c r="BB1910">
        <v>100</v>
      </c>
      <c r="BC1910">
        <v>100</v>
      </c>
      <c r="BD1910">
        <v>100</v>
      </c>
      <c r="BE1910">
        <v>1</v>
      </c>
      <c r="BF1910">
        <v>15000</v>
      </c>
      <c r="BG1910">
        <v>1000</v>
      </c>
      <c r="BH1910" s="6">
        <f>Grandview_Inventory[[#This Row],[land_extract]]*Lookups!$B$3</f>
        <v>54403.117616176372</v>
      </c>
      <c r="BI1910" s="6">
        <f>IF(Grandview_Inventory[[#This Row],[bldg_style]]="",0,Lookups!$B$2)</f>
        <v>155833.95000000001</v>
      </c>
      <c r="BJ1910" s="6">
        <f>_xlfn.IFNA(VLOOKUP(Grandview_Inventory[[#This Row],[quality]],Lookups!$H$2:$J$14,3,FALSE),0)</f>
        <v>-28558</v>
      </c>
      <c r="BK1910" s="6">
        <f>_xlfn.IFNA(VLOOKUP(Grandview_Inventory[[#This Row],[condition]],Lookups!$H$17:$J$24,3,FALSE),0)</f>
        <v>-4503</v>
      </c>
      <c r="BL1910" s="6">
        <f>Grandview_Inventory[[#This Row],[Eff_Age]]*Lookups!$B$14</f>
        <v>-12197.496599999999</v>
      </c>
      <c r="BM1910" s="6">
        <f>Grandview_Inventory[[#This Row],[living_area]]*Lookups!$B$15</f>
        <v>61008.474234000001</v>
      </c>
      <c r="BN1910" s="6">
        <f>Grandview_Inventory[[#This Row],[Fin BSMT]]*Lookups!$B$16</f>
        <v>0</v>
      </c>
      <c r="BO1910" s="6">
        <f>(Grandview_Inventory[[#This Row],[att_gar]]+Grandview_Inventory[[#This Row],[bltin_gar]])*Lookups!$B$17</f>
        <v>0</v>
      </c>
      <c r="BP1910" s="6">
        <f>Grandview_Inventory[[#This Row],[Plumbing Fixtures]]*Lookups!$B$18</f>
        <v>10052.209000000001</v>
      </c>
      <c r="BQ1910" s="6">
        <f>Grandview_Inventory[[#This Row],[detatched_value]]*Lookups!$B$19</f>
        <v>0</v>
      </c>
      <c r="BR1910" s="6">
        <f>SUM(Grandview_Inventory[[#This Row],[Intercept]:[det_value]])*Grandview_Inventory[[#This Row],[res_pct]]</f>
        <v>181636.13663400002</v>
      </c>
      <c r="BS1910" s="6">
        <f>Grandview_Inventory[[#This Row],[land_value]]</f>
        <v>54403.117616176372</v>
      </c>
      <c r="BT1910" s="4">
        <f>_xlfn.IFNA(VLOOKUP(Grandview_Inventory[[#This Row],[quality]],Lookups!$A$26:$C$33,3,FALSE),1)</f>
        <v>0.9690360070159818</v>
      </c>
      <c r="BU1910" s="4">
        <f>_xlfn.IFNA(VLOOKUP(Grandview_Inventory[[#This Row],[condition]],Lookups!$A$37:$C$44,3,FALSE),1)</f>
        <v>0.96469275950863709</v>
      </c>
      <c r="BV1910" s="4">
        <f>IF(Grandview_Inventory[[#This Row],[bldg_style]]="",1,_xlfn.IFNA(VLOOKUP(Grandview_Inventory[[#This Row],[decade]],Lookups!$F$29:$H$43,3,FALSE),1))</f>
        <v>0.94161750052457416</v>
      </c>
      <c r="BW1910" s="4">
        <f>_xlfn.IFNA(VLOOKUP(Grandview_Inventory[[#This Row],[living_area_range]],Lookups!$F$47:$H$56,3,FALSE),1)</f>
        <v>0.94306777142782894</v>
      </c>
      <c r="BX1910" s="4">
        <f>AVERAGE(Grandview_Inventory[[#This Row],[qual_adj]:[size_adj]])</f>
        <v>0.95460350961925544</v>
      </c>
      <c r="BY1910" s="6">
        <f>IF(Grandview_Inventory[[#This Row],[pre_res]]&lt;0,0,Grandview_Inventory[[#This Row],[pre_res]]*Grandview_Inventory[[#This Row],[overall_adj]])</f>
        <v>173390.49350449903</v>
      </c>
      <c r="BZ1910" s="6">
        <f>(Grandview_Inventory[[#This Row],[sum_land]]-IF(Grandview_Inventory[[#This Row],[no_utilities]]=1,12000,0))/IF(Grandview_Inventory[[#This Row],[unbuildable]]=1,2,1)</f>
        <v>54403.117616176372</v>
      </c>
      <c r="CA1910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910">
        <f>ROUND(Grandview_Inventory[[#This Row],[det_value]]*Lookups!$M$28,-2)</f>
        <v>0</v>
      </c>
      <c r="CC1910">
        <f>IF(ROUND(Grandview_Inventory[[#This Row],[adj_res]]*Lookups!$M$28,-2)&lt;Grandview_Inventory[[#This Row],[min_res]],Grandview_Inventory[[#This Row],[min_res]],ROUND(Grandview_Inventory[[#This Row],[adj_res]]*Lookups!$M$28,-2))</f>
        <v>164700</v>
      </c>
      <c r="CD1910">
        <f>Grandview_Inventory[[#This Row],[final_det]]+Grandview_Inventory[[#This Row],[final_res]]</f>
        <v>164700</v>
      </c>
      <c r="CE1910">
        <f>Grandview_Inventory[[#This Row],[final_land]]+Grandview_Inventory[[#This Row],[final_imp]]+Grandview_Inventory[[#This Row],[crop_value]]</f>
        <v>216400</v>
      </c>
      <c r="CG1910" t="str">
        <f t="shared" si="29"/>
        <v>update valuation set market_land =51700, market_bldg=164700, market_total =216400, market_mdno =401, market_date ='9/10/2023' where link_id = (select link_id from parcel where parcel_year = '2024' and parcel_id = '23092342447');</v>
      </c>
    </row>
    <row r="1911" spans="1:85" x14ac:dyDescent="0.25">
      <c r="A1911">
        <v>23092342454</v>
      </c>
      <c r="B1911">
        <v>0.14000000000000001</v>
      </c>
      <c r="C1911">
        <v>6098</v>
      </c>
      <c r="D1911" t="s">
        <v>129</v>
      </c>
      <c r="E1911" t="s">
        <v>53</v>
      </c>
      <c r="F1911" t="s">
        <v>53</v>
      </c>
      <c r="G1911">
        <v>4</v>
      </c>
      <c r="H1911" t="s">
        <v>54</v>
      </c>
      <c r="I1911">
        <v>197700</v>
      </c>
      <c r="J1911">
        <v>38800</v>
      </c>
      <c r="K1911">
        <v>0.14000000000000001</v>
      </c>
      <c r="L1911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11">
        <v>0</v>
      </c>
      <c r="N1911">
        <v>0</v>
      </c>
      <c r="O1911">
        <v>0</v>
      </c>
      <c r="P1911">
        <v>13398.7528</v>
      </c>
      <c r="Q1911">
        <v>63903</v>
      </c>
      <c r="R1911">
        <f>(Grandview_Inventory[[#This Row],[ln_acres]]*Grandview_Inventory[[#This Row],[coeff]])+Grandview_Inventory[[#This Row],[const]]</f>
        <v>37559.539860558507</v>
      </c>
      <c r="S1911" t="s">
        <v>61</v>
      </c>
      <c r="T1911">
        <v>1</v>
      </c>
      <c r="U1911" t="s">
        <v>70</v>
      </c>
      <c r="V1911" t="s">
        <v>67</v>
      </c>
      <c r="W1911">
        <v>0</v>
      </c>
      <c r="X1911">
        <v>0</v>
      </c>
      <c r="Y1911">
        <v>44</v>
      </c>
      <c r="Z1911">
        <v>49</v>
      </c>
      <c r="AA1911">
        <v>50</v>
      </c>
      <c r="AB1911">
        <v>1500</v>
      </c>
      <c r="AC1911">
        <v>1296</v>
      </c>
      <c r="AD1911">
        <v>1296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8</v>
      </c>
      <c r="AQ1911">
        <v>0</v>
      </c>
      <c r="AR1911">
        <v>0</v>
      </c>
      <c r="AS1911" t="s">
        <v>58</v>
      </c>
      <c r="AT1911">
        <v>1</v>
      </c>
      <c r="AU1911" t="s">
        <v>59</v>
      </c>
      <c r="AV1911" t="s">
        <v>60</v>
      </c>
      <c r="AW1911">
        <v>1</v>
      </c>
      <c r="AX1911">
        <v>3</v>
      </c>
      <c r="AY1911">
        <v>0</v>
      </c>
      <c r="AZ1911">
        <v>0</v>
      </c>
      <c r="BA1911">
        <v>100</v>
      </c>
      <c r="BB1911">
        <v>100</v>
      </c>
      <c r="BC1911">
        <v>100</v>
      </c>
      <c r="BD1911">
        <v>100</v>
      </c>
      <c r="BE1911">
        <v>1</v>
      </c>
      <c r="BF1911">
        <v>15000</v>
      </c>
      <c r="BG1911">
        <v>1000</v>
      </c>
      <c r="BH1911" s="6">
        <f>Grandview_Inventory[[#This Row],[land_extract]]*Lookups!$B$3</f>
        <v>43617.792229308972</v>
      </c>
      <c r="BI1911" s="6">
        <f>IF(Grandview_Inventory[[#This Row],[bldg_style]]="",0,Lookups!$B$2)</f>
        <v>155833.95000000001</v>
      </c>
      <c r="BJ1911" s="6">
        <f>_xlfn.IFNA(VLOOKUP(Grandview_Inventory[[#This Row],[quality]],Lookups!$H$2:$J$14,3,FALSE),0)</f>
        <v>10733</v>
      </c>
      <c r="BK1911" s="6">
        <f>_xlfn.IFNA(VLOOKUP(Grandview_Inventory[[#This Row],[condition]],Lookups!$H$17:$J$24,3,FALSE),0)</f>
        <v>22342</v>
      </c>
      <c r="BL1911" s="6">
        <f>Grandview_Inventory[[#This Row],[Eff_Age]]*Lookups!$B$14</f>
        <v>-10523.330399999999</v>
      </c>
      <c r="BM1911" s="6">
        <f>Grandview_Inventory[[#This Row],[living_area]]*Lookups!$B$15</f>
        <v>80845.585487999997</v>
      </c>
      <c r="BN1911" s="6">
        <f>Grandview_Inventory[[#This Row],[Fin BSMT]]*Lookups!$B$16</f>
        <v>0</v>
      </c>
      <c r="BO1911" s="6">
        <f>(Grandview_Inventory[[#This Row],[att_gar]]+Grandview_Inventory[[#This Row],[bltin_gar]])*Lookups!$B$17</f>
        <v>0</v>
      </c>
      <c r="BP1911" s="6">
        <f>Grandview_Inventory[[#This Row],[Plumbing Fixtures]]*Lookups!$B$18</f>
        <v>16083.5344</v>
      </c>
      <c r="BQ1911" s="6">
        <f>Grandview_Inventory[[#This Row],[detatched_value]]*Lookups!$B$19</f>
        <v>0</v>
      </c>
      <c r="BR1911" s="6">
        <f>SUM(Grandview_Inventory[[#This Row],[Intercept]:[det_value]])*Grandview_Inventory[[#This Row],[res_pct]]</f>
        <v>275314.73948799999</v>
      </c>
      <c r="BS1911" s="6">
        <f>Grandview_Inventory[[#This Row],[land_value]]</f>
        <v>43617.792229308972</v>
      </c>
      <c r="BT1911" s="4">
        <f>_xlfn.IFNA(VLOOKUP(Grandview_Inventory[[#This Row],[quality]],Lookups!$A$26:$C$33,3,FALSE),1)</f>
        <v>0.98079741117310582</v>
      </c>
      <c r="BU1911" s="4">
        <f>_xlfn.IFNA(VLOOKUP(Grandview_Inventory[[#This Row],[condition]],Lookups!$A$37:$C$44,3,FALSE),1)</f>
        <v>0.97383723671140243</v>
      </c>
      <c r="BV1911" s="4">
        <f>IF(Grandview_Inventory[[#This Row],[bldg_style]]="",1,_xlfn.IFNA(VLOOKUP(Grandview_Inventory[[#This Row],[decade]],Lookups!$F$29:$H$43,3,FALSE),1))</f>
        <v>0.9871940091910919</v>
      </c>
      <c r="BW1911" s="4">
        <f>_xlfn.IFNA(VLOOKUP(Grandview_Inventory[[#This Row],[living_area_range]],Lookups!$F$47:$H$56,3,FALSE),1)</f>
        <v>0.96135087979789358</v>
      </c>
      <c r="BX1911" s="4">
        <f>AVERAGE(Grandview_Inventory[[#This Row],[qual_adj]:[size_adj]])</f>
        <v>0.97579488421837346</v>
      </c>
      <c r="BY1911" s="6">
        <f>IF(Grandview_Inventory[[#This Row],[pre_res]]&lt;0,0,Grandview_Inventory[[#This Row],[pre_res]]*Grandview_Inventory[[#This Row],[overall_adj]])</f>
        <v>268650.71434230462</v>
      </c>
      <c r="BZ1911" s="6">
        <f>(Grandview_Inventory[[#This Row],[sum_land]]-IF(Grandview_Inventory[[#This Row],[no_utilities]]=1,12000,0))/IF(Grandview_Inventory[[#This Row],[unbuildable]]=1,2,1)</f>
        <v>43617.792229308972</v>
      </c>
      <c r="CA1911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11">
        <f>ROUND(Grandview_Inventory[[#This Row],[det_value]]*Lookups!$M$28,-2)</f>
        <v>0</v>
      </c>
      <c r="CC1911">
        <f>IF(ROUND(Grandview_Inventory[[#This Row],[adj_res]]*Lookups!$M$28,-2)&lt;Grandview_Inventory[[#This Row],[min_res]],Grandview_Inventory[[#This Row],[min_res]],ROUND(Grandview_Inventory[[#This Row],[adj_res]]*Lookups!$M$28,-2))</f>
        <v>255200</v>
      </c>
      <c r="CD1911">
        <f>Grandview_Inventory[[#This Row],[final_det]]+Grandview_Inventory[[#This Row],[final_res]]</f>
        <v>255200</v>
      </c>
      <c r="CE1911">
        <f>Grandview_Inventory[[#This Row],[final_land]]+Grandview_Inventory[[#This Row],[final_imp]]+Grandview_Inventory[[#This Row],[crop_value]]</f>
        <v>296600</v>
      </c>
      <c r="CG1911" t="str">
        <f t="shared" si="29"/>
        <v>update valuation set market_land =41400, market_bldg=255200, market_total =296600, market_mdno =401, market_date ='9/10/2023' where link_id = (select link_id from parcel where parcel_year = '2024' and parcel_id = '23092342454');</v>
      </c>
    </row>
    <row r="1912" spans="1:85" x14ac:dyDescent="0.25">
      <c r="A1912">
        <v>23092342455</v>
      </c>
      <c r="B1912">
        <v>0.14000000000000001</v>
      </c>
      <c r="C1912" t="s">
        <v>129</v>
      </c>
      <c r="D1912" t="s">
        <v>129</v>
      </c>
      <c r="E1912" t="s">
        <v>53</v>
      </c>
      <c r="F1912" t="s">
        <v>53</v>
      </c>
      <c r="G1912">
        <v>4</v>
      </c>
      <c r="H1912" t="s">
        <v>54</v>
      </c>
      <c r="I1912">
        <v>140500</v>
      </c>
      <c r="J1912">
        <v>38800</v>
      </c>
      <c r="K1912">
        <v>0.14000000000000001</v>
      </c>
      <c r="L1912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12">
        <v>0</v>
      </c>
      <c r="N1912">
        <v>0</v>
      </c>
      <c r="O1912">
        <v>0</v>
      </c>
      <c r="P1912">
        <v>13398.7528</v>
      </c>
      <c r="Q1912">
        <v>63903</v>
      </c>
      <c r="R1912">
        <f>(Grandview_Inventory[[#This Row],[ln_acres]]*Grandview_Inventory[[#This Row],[coeff]])+Grandview_Inventory[[#This Row],[const]]</f>
        <v>37559.539860558507</v>
      </c>
      <c r="S1912" t="s">
        <v>61</v>
      </c>
      <c r="T1912">
        <v>1</v>
      </c>
      <c r="U1912" t="s">
        <v>65</v>
      </c>
      <c r="V1912" t="s">
        <v>69</v>
      </c>
      <c r="W1912">
        <v>0</v>
      </c>
      <c r="X1912">
        <v>0</v>
      </c>
      <c r="Y1912">
        <v>45</v>
      </c>
      <c r="Z1912">
        <v>51</v>
      </c>
      <c r="AA1912">
        <v>60</v>
      </c>
      <c r="AB1912">
        <v>1500</v>
      </c>
      <c r="AC1912">
        <v>1196</v>
      </c>
      <c r="AD1912">
        <v>1196</v>
      </c>
      <c r="AE1912">
        <v>0</v>
      </c>
      <c r="AF1912">
        <v>0</v>
      </c>
      <c r="AG1912">
        <v>0</v>
      </c>
      <c r="AH1912">
        <v>0</v>
      </c>
      <c r="AI1912">
        <v>286</v>
      </c>
      <c r="AJ1912">
        <v>0</v>
      </c>
      <c r="AK1912">
        <v>0</v>
      </c>
      <c r="AL1912">
        <v>0</v>
      </c>
      <c r="AM1912">
        <v>0</v>
      </c>
      <c r="AN1912">
        <v>12</v>
      </c>
      <c r="AO1912">
        <v>0</v>
      </c>
      <c r="AP1912">
        <v>5</v>
      </c>
      <c r="AQ1912">
        <v>0</v>
      </c>
      <c r="AR1912">
        <v>0</v>
      </c>
      <c r="AS1912" t="s">
        <v>58</v>
      </c>
      <c r="AT1912">
        <v>1</v>
      </c>
      <c r="AU1912" t="s">
        <v>63</v>
      </c>
      <c r="AV1912" t="s">
        <v>64</v>
      </c>
      <c r="AW1912">
        <v>0</v>
      </c>
      <c r="AX1912">
        <v>4</v>
      </c>
      <c r="AY1912">
        <v>0</v>
      </c>
      <c r="AZ1912">
        <v>0</v>
      </c>
      <c r="BA1912">
        <v>100</v>
      </c>
      <c r="BB1912">
        <v>100</v>
      </c>
      <c r="BC1912">
        <v>100</v>
      </c>
      <c r="BD1912">
        <v>100</v>
      </c>
      <c r="BE1912">
        <v>1</v>
      </c>
      <c r="BF1912">
        <v>15000</v>
      </c>
      <c r="BG1912">
        <v>1000</v>
      </c>
      <c r="BH1912" s="6">
        <f>Grandview_Inventory[[#This Row],[land_extract]]*Lookups!$B$3</f>
        <v>43617.792229308972</v>
      </c>
      <c r="BI1912" s="6">
        <f>IF(Grandview_Inventory[[#This Row],[bldg_style]]="",0,Lookups!$B$2)</f>
        <v>155833.95000000001</v>
      </c>
      <c r="BJ1912" s="6">
        <f>_xlfn.IFNA(VLOOKUP(Grandview_Inventory[[#This Row],[quality]],Lookups!$H$2:$J$14,3,FALSE),0)</f>
        <v>2251</v>
      </c>
      <c r="BK1912" s="6">
        <f>_xlfn.IFNA(VLOOKUP(Grandview_Inventory[[#This Row],[condition]],Lookups!$H$17:$J$24,3,FALSE),0)</f>
        <v>-4503</v>
      </c>
      <c r="BL1912" s="6">
        <f>Grandview_Inventory[[#This Row],[Eff_Age]]*Lookups!$B$14</f>
        <v>-10762.496999999999</v>
      </c>
      <c r="BM1912" s="6">
        <f>Grandview_Inventory[[#This Row],[living_area]]*Lookups!$B$15</f>
        <v>74607.500188000005</v>
      </c>
      <c r="BN1912" s="6">
        <f>Grandview_Inventory[[#This Row],[Fin BSMT]]*Lookups!$B$16</f>
        <v>0</v>
      </c>
      <c r="BO1912" s="6">
        <f>(Grandview_Inventory[[#This Row],[att_gar]]+Grandview_Inventory[[#This Row],[bltin_gar]])*Lookups!$B$17</f>
        <v>25030.844981999999</v>
      </c>
      <c r="BP1912" s="6">
        <f>Grandview_Inventory[[#This Row],[Plumbing Fixtures]]*Lookups!$B$18</f>
        <v>10052.209000000001</v>
      </c>
      <c r="BQ1912" s="6">
        <f>Grandview_Inventory[[#This Row],[detatched_value]]*Lookups!$B$19</f>
        <v>0</v>
      </c>
      <c r="BR1912" s="6">
        <f>SUM(Grandview_Inventory[[#This Row],[Intercept]:[det_value]])*Grandview_Inventory[[#This Row],[res_pct]]</f>
        <v>252510.00717000003</v>
      </c>
      <c r="BS1912" s="6">
        <f>Grandview_Inventory[[#This Row],[land_value]]</f>
        <v>43617.792229308972</v>
      </c>
      <c r="BT1912" s="4">
        <f>_xlfn.IFNA(VLOOKUP(Grandview_Inventory[[#This Row],[quality]],Lookups!$A$26:$C$33,3,FALSE),1)</f>
        <v>0.98763855981004833</v>
      </c>
      <c r="BU1912" s="4">
        <f>_xlfn.IFNA(VLOOKUP(Grandview_Inventory[[#This Row],[condition]],Lookups!$A$37:$C$44,3,FALSE),1)</f>
        <v>0.96469275950863709</v>
      </c>
      <c r="BV1912" s="4">
        <f>IF(Grandview_Inventory[[#This Row],[bldg_style]]="",1,_xlfn.IFNA(VLOOKUP(Grandview_Inventory[[#This Row],[decade]],Lookups!$F$29:$H$43,3,FALSE),1))</f>
        <v>0.95268620544463312</v>
      </c>
      <c r="BW1912" s="4">
        <f>_xlfn.IFNA(VLOOKUP(Grandview_Inventory[[#This Row],[living_area_range]],Lookups!$F$47:$H$56,3,FALSE),1)</f>
        <v>0.96135087979789358</v>
      </c>
      <c r="BX1912" s="4">
        <f>AVERAGE(Grandview_Inventory[[#This Row],[qual_adj]:[size_adj]])</f>
        <v>0.96659210114030303</v>
      </c>
      <c r="BY1912" s="6">
        <f>IF(Grandview_Inventory[[#This Row],[pre_res]]&lt;0,0,Grandview_Inventory[[#This Row],[pre_res]]*Grandview_Inventory[[#This Row],[overall_adj]])</f>
        <v>244074.1783894033</v>
      </c>
      <c r="BZ1912" s="6">
        <f>(Grandview_Inventory[[#This Row],[sum_land]]-IF(Grandview_Inventory[[#This Row],[no_utilities]]=1,12000,0))/IF(Grandview_Inventory[[#This Row],[unbuildable]]=1,2,1)</f>
        <v>43617.792229308972</v>
      </c>
      <c r="CA1912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12">
        <f>ROUND(Grandview_Inventory[[#This Row],[det_value]]*Lookups!$M$28,-2)</f>
        <v>0</v>
      </c>
      <c r="CC1912">
        <f>IF(ROUND(Grandview_Inventory[[#This Row],[adj_res]]*Lookups!$M$28,-2)&lt;Grandview_Inventory[[#This Row],[min_res]],Grandview_Inventory[[#This Row],[min_res]],ROUND(Grandview_Inventory[[#This Row],[adj_res]]*Lookups!$M$28,-2))</f>
        <v>231900</v>
      </c>
      <c r="CD1912">
        <f>Grandview_Inventory[[#This Row],[final_det]]+Grandview_Inventory[[#This Row],[final_res]]</f>
        <v>231900</v>
      </c>
      <c r="CE1912">
        <f>Grandview_Inventory[[#This Row],[final_land]]+Grandview_Inventory[[#This Row],[final_imp]]+Grandview_Inventory[[#This Row],[crop_value]]</f>
        <v>273300</v>
      </c>
      <c r="CG1912" t="str">
        <f t="shared" si="29"/>
        <v>update valuation set market_land =41400, market_bldg=231900, market_total =273300, market_mdno =401, market_date ='9/10/2023' where link_id = (select link_id from parcel where parcel_year = '2024' and parcel_id = '23092342455');</v>
      </c>
    </row>
    <row r="1913" spans="1:85" x14ac:dyDescent="0.25">
      <c r="A1913">
        <v>23092342457</v>
      </c>
      <c r="B1913">
        <v>0.14000000000000001</v>
      </c>
      <c r="C1913">
        <v>6098</v>
      </c>
      <c r="D1913" t="s">
        <v>129</v>
      </c>
      <c r="E1913" t="s">
        <v>53</v>
      </c>
      <c r="F1913" t="s">
        <v>53</v>
      </c>
      <c r="G1913">
        <v>4</v>
      </c>
      <c r="H1913" t="s">
        <v>54</v>
      </c>
      <c r="I1913">
        <v>138500</v>
      </c>
      <c r="J1913">
        <v>38800</v>
      </c>
      <c r="K1913">
        <v>0.14000000000000001</v>
      </c>
      <c r="L1913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13">
        <v>0</v>
      </c>
      <c r="N1913">
        <v>0</v>
      </c>
      <c r="O1913">
        <v>0</v>
      </c>
      <c r="P1913">
        <v>13398.7528</v>
      </c>
      <c r="Q1913">
        <v>63903</v>
      </c>
      <c r="R1913">
        <f>(Grandview_Inventory[[#This Row],[ln_acres]]*Grandview_Inventory[[#This Row],[coeff]])+Grandview_Inventory[[#This Row],[const]]</f>
        <v>37559.539860558507</v>
      </c>
      <c r="S1913" t="s">
        <v>61</v>
      </c>
      <c r="T1913">
        <v>1</v>
      </c>
      <c r="U1913" t="s">
        <v>80</v>
      </c>
      <c r="V1913" t="s">
        <v>69</v>
      </c>
      <c r="W1913">
        <v>0</v>
      </c>
      <c r="X1913">
        <v>0</v>
      </c>
      <c r="Y1913">
        <v>46</v>
      </c>
      <c r="Z1913">
        <v>54</v>
      </c>
      <c r="AA1913">
        <v>60</v>
      </c>
      <c r="AB1913">
        <v>1000</v>
      </c>
      <c r="AC1913">
        <v>754</v>
      </c>
      <c r="AD1913">
        <v>754</v>
      </c>
      <c r="AE1913">
        <v>0</v>
      </c>
      <c r="AF1913">
        <v>0</v>
      </c>
      <c r="AG1913">
        <v>0</v>
      </c>
      <c r="AH1913">
        <v>0</v>
      </c>
      <c r="AI1913">
        <v>182</v>
      </c>
      <c r="AJ1913">
        <v>0</v>
      </c>
      <c r="AK1913">
        <v>224</v>
      </c>
      <c r="AL1913">
        <v>0</v>
      </c>
      <c r="AM1913">
        <v>0</v>
      </c>
      <c r="AN1913">
        <v>0</v>
      </c>
      <c r="AO1913">
        <v>0</v>
      </c>
      <c r="AP1913">
        <v>8</v>
      </c>
      <c r="AQ1913">
        <v>1</v>
      </c>
      <c r="AR1913">
        <v>0</v>
      </c>
      <c r="AS1913" t="s">
        <v>58</v>
      </c>
      <c r="AT1913">
        <v>0</v>
      </c>
      <c r="AU1913" t="s">
        <v>134</v>
      </c>
      <c r="AV1913" t="s">
        <v>138</v>
      </c>
      <c r="AW1913">
        <v>0</v>
      </c>
      <c r="AX1913">
        <v>2</v>
      </c>
      <c r="AY1913">
        <v>0</v>
      </c>
      <c r="AZ1913">
        <v>0</v>
      </c>
      <c r="BA1913">
        <v>100</v>
      </c>
      <c r="BB1913">
        <v>100</v>
      </c>
      <c r="BC1913">
        <v>100</v>
      </c>
      <c r="BD1913">
        <v>100</v>
      </c>
      <c r="BE1913">
        <v>1</v>
      </c>
      <c r="BF1913">
        <v>15000</v>
      </c>
      <c r="BG1913">
        <v>1000</v>
      </c>
      <c r="BH1913" s="6">
        <f>Grandview_Inventory[[#This Row],[land_extract]]*Lookups!$B$3</f>
        <v>43617.792229308972</v>
      </c>
      <c r="BI1913" s="6">
        <f>IF(Grandview_Inventory[[#This Row],[bldg_style]]="",0,Lookups!$B$2)</f>
        <v>155833.95000000001</v>
      </c>
      <c r="BJ1913" s="6">
        <f>_xlfn.IFNA(VLOOKUP(Grandview_Inventory[[#This Row],[quality]],Lookups!$H$2:$J$14,3,FALSE),0)</f>
        <v>-28558</v>
      </c>
      <c r="BK1913" s="6">
        <f>_xlfn.IFNA(VLOOKUP(Grandview_Inventory[[#This Row],[condition]],Lookups!$H$17:$J$24,3,FALSE),0)</f>
        <v>-4503</v>
      </c>
      <c r="BL1913" s="6">
        <f>Grandview_Inventory[[#This Row],[Eff_Age]]*Lookups!$B$14</f>
        <v>-11001.6636</v>
      </c>
      <c r="BM1913" s="6">
        <f>Grandview_Inventory[[#This Row],[living_area]]*Lookups!$B$15</f>
        <v>47035.163162000004</v>
      </c>
      <c r="BN1913" s="6">
        <f>Grandview_Inventory[[#This Row],[Fin BSMT]]*Lookups!$B$16</f>
        <v>0</v>
      </c>
      <c r="BO1913" s="6">
        <f>(Grandview_Inventory[[#This Row],[att_gar]]+Grandview_Inventory[[#This Row],[bltin_gar]])*Lookups!$B$17</f>
        <v>15928.719534</v>
      </c>
      <c r="BP1913" s="6">
        <f>Grandview_Inventory[[#This Row],[Plumbing Fixtures]]*Lookups!$B$18</f>
        <v>16083.5344</v>
      </c>
      <c r="BQ1913" s="6">
        <f>Grandview_Inventory[[#This Row],[detatched_value]]*Lookups!$B$19</f>
        <v>0</v>
      </c>
      <c r="BR1913" s="6">
        <f>SUM(Grandview_Inventory[[#This Row],[Intercept]:[det_value]])*Grandview_Inventory[[#This Row],[res_pct]]</f>
        <v>190818.70349600003</v>
      </c>
      <c r="BS1913" s="6">
        <f>Grandview_Inventory[[#This Row],[land_value]]</f>
        <v>43617.792229308972</v>
      </c>
      <c r="BT1913" s="4">
        <f>_xlfn.IFNA(VLOOKUP(Grandview_Inventory[[#This Row],[quality]],Lookups!$A$26:$C$33,3,FALSE),1)</f>
        <v>0.9690360070159818</v>
      </c>
      <c r="BU1913" s="4">
        <f>_xlfn.IFNA(VLOOKUP(Grandview_Inventory[[#This Row],[condition]],Lookups!$A$37:$C$44,3,FALSE),1)</f>
        <v>0.96469275950863709</v>
      </c>
      <c r="BV1913" s="4">
        <f>IF(Grandview_Inventory[[#This Row],[bldg_style]]="",1,_xlfn.IFNA(VLOOKUP(Grandview_Inventory[[#This Row],[decade]],Lookups!$F$29:$H$43,3,FALSE),1))</f>
        <v>0.95268620544463312</v>
      </c>
      <c r="BW1913" s="4">
        <f>_xlfn.IFNA(VLOOKUP(Grandview_Inventory[[#This Row],[living_area_range]],Lookups!$F$47:$H$56,3,FALSE),1)</f>
        <v>0.94306777142782894</v>
      </c>
      <c r="BX1913" s="4">
        <f>AVERAGE(Grandview_Inventory[[#This Row],[qual_adj]:[size_adj]])</f>
        <v>0.95737068584927021</v>
      </c>
      <c r="BY1913" s="6">
        <f>IF(Grandview_Inventory[[#This Row],[pre_res]]&lt;0,0,Grandview_Inventory[[#This Row],[pre_res]]*Grandview_Inventory[[#This Row],[overall_adj]])</f>
        <v>182684.23303883409</v>
      </c>
      <c r="BZ1913" s="6">
        <f>(Grandview_Inventory[[#This Row],[sum_land]]-IF(Grandview_Inventory[[#This Row],[no_utilities]]=1,12000,0))/IF(Grandview_Inventory[[#This Row],[unbuildable]]=1,2,1)</f>
        <v>43617.792229308972</v>
      </c>
      <c r="CA1913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13">
        <f>ROUND(Grandview_Inventory[[#This Row],[det_value]]*Lookups!$M$28,-2)</f>
        <v>0</v>
      </c>
      <c r="CC1913">
        <f>IF(ROUND(Grandview_Inventory[[#This Row],[adj_res]]*Lookups!$M$28,-2)&lt;Grandview_Inventory[[#This Row],[min_res]],Grandview_Inventory[[#This Row],[min_res]],ROUND(Grandview_Inventory[[#This Row],[adj_res]]*Lookups!$M$28,-2))</f>
        <v>173600</v>
      </c>
      <c r="CD1913">
        <f>Grandview_Inventory[[#This Row],[final_det]]+Grandview_Inventory[[#This Row],[final_res]]</f>
        <v>173600</v>
      </c>
      <c r="CE1913">
        <f>Grandview_Inventory[[#This Row],[final_land]]+Grandview_Inventory[[#This Row],[final_imp]]+Grandview_Inventory[[#This Row],[crop_value]]</f>
        <v>215000</v>
      </c>
      <c r="CG1913" t="str">
        <f t="shared" si="29"/>
        <v>update valuation set market_land =41400, market_bldg=173600, market_total =215000, market_mdno =401, market_date ='9/10/2023' where link_id = (select link_id from parcel where parcel_year = '2024' and parcel_id = '23092342457');</v>
      </c>
    </row>
    <row r="1914" spans="1:85" x14ac:dyDescent="0.25">
      <c r="A1914">
        <v>23092342458</v>
      </c>
      <c r="B1914">
        <v>0.28000000000000003</v>
      </c>
      <c r="C1914">
        <v>11991</v>
      </c>
      <c r="D1914" t="s">
        <v>129</v>
      </c>
      <c r="E1914" t="s">
        <v>53</v>
      </c>
      <c r="F1914" t="s">
        <v>53</v>
      </c>
      <c r="G1914">
        <v>4</v>
      </c>
      <c r="H1914" t="s">
        <v>54</v>
      </c>
      <c r="I1914">
        <v>42300</v>
      </c>
      <c r="J1914">
        <v>40500</v>
      </c>
      <c r="K1914">
        <v>0.28000000000000003</v>
      </c>
      <c r="L1914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914">
        <v>0</v>
      </c>
      <c r="N1914">
        <v>0</v>
      </c>
      <c r="O1914">
        <v>0</v>
      </c>
      <c r="P1914">
        <v>13398.7528</v>
      </c>
      <c r="Q1914">
        <v>63903</v>
      </c>
      <c r="R1914">
        <f>(Grandview_Inventory[[#This Row],[ln_acres]]*Grandview_Inventory[[#This Row],[coeff]])+Grandview_Inventory[[#This Row],[const]]</f>
        <v>46846.847586898184</v>
      </c>
      <c r="S1914" t="s">
        <v>68</v>
      </c>
      <c r="T1914">
        <v>1</v>
      </c>
      <c r="U1914" t="s">
        <v>65</v>
      </c>
      <c r="V1914" t="s">
        <v>94</v>
      </c>
      <c r="W1914">
        <v>0</v>
      </c>
      <c r="X1914">
        <v>0</v>
      </c>
      <c r="Y1914">
        <v>51</v>
      </c>
      <c r="Z1914">
        <v>80</v>
      </c>
      <c r="AA1914">
        <v>80</v>
      </c>
      <c r="AB1914">
        <v>1500</v>
      </c>
      <c r="AC1914">
        <v>1080</v>
      </c>
      <c r="AD1914">
        <v>1080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5</v>
      </c>
      <c r="AQ1914">
        <v>0</v>
      </c>
      <c r="AR1914">
        <v>0</v>
      </c>
      <c r="AS1914" t="s">
        <v>58</v>
      </c>
      <c r="AT1914">
        <v>1</v>
      </c>
      <c r="AU1914" t="s">
        <v>63</v>
      </c>
      <c r="AV1914" t="s">
        <v>60</v>
      </c>
      <c r="AW1914">
        <v>0</v>
      </c>
      <c r="AX1914">
        <v>4</v>
      </c>
      <c r="AY1914">
        <v>0</v>
      </c>
      <c r="AZ1914">
        <v>0</v>
      </c>
      <c r="BA1914">
        <v>86</v>
      </c>
      <c r="BB1914">
        <v>100</v>
      </c>
      <c r="BC1914">
        <v>100</v>
      </c>
      <c r="BD1914">
        <v>100</v>
      </c>
      <c r="BE1914">
        <v>0.86</v>
      </c>
      <c r="BF1914">
        <v>15000</v>
      </c>
      <c r="BG1914">
        <v>1000</v>
      </c>
      <c r="BH1914" s="6">
        <f>Grandview_Inventory[[#This Row],[land_extract]]*Lookups!$B$3</f>
        <v>54403.117616176372</v>
      </c>
      <c r="BI1914" s="6">
        <f>IF(Grandview_Inventory[[#This Row],[bldg_style]]="",0,Lookups!$B$2)</f>
        <v>155833.95000000001</v>
      </c>
      <c r="BJ1914" s="6">
        <f>_xlfn.IFNA(VLOOKUP(Grandview_Inventory[[#This Row],[quality]],Lookups!$H$2:$J$14,3,FALSE),0)</f>
        <v>2251</v>
      </c>
      <c r="BK1914" s="6">
        <f>_xlfn.IFNA(VLOOKUP(Grandview_Inventory[[#This Row],[condition]],Lookups!$H$17:$J$24,3,FALSE),0)</f>
        <v>-77566.475205170951</v>
      </c>
      <c r="BL1914" s="6">
        <f>Grandview_Inventory[[#This Row],[Eff_Age]]*Lookups!$B$14</f>
        <v>-12197.496599999999</v>
      </c>
      <c r="BM1914" s="6">
        <f>Grandview_Inventory[[#This Row],[living_area]]*Lookups!$B$15</f>
        <v>67371.321240000005</v>
      </c>
      <c r="BN1914" s="6">
        <f>Grandview_Inventory[[#This Row],[Fin BSMT]]*Lookups!$B$16</f>
        <v>0</v>
      </c>
      <c r="BO1914" s="6">
        <f>(Grandview_Inventory[[#This Row],[att_gar]]+Grandview_Inventory[[#This Row],[bltin_gar]])*Lookups!$B$17</f>
        <v>0</v>
      </c>
      <c r="BP1914" s="6">
        <f>Grandview_Inventory[[#This Row],[Plumbing Fixtures]]*Lookups!$B$18</f>
        <v>10052.209000000001</v>
      </c>
      <c r="BQ1914" s="6">
        <f>Grandview_Inventory[[#This Row],[detatched_value]]*Lookups!$B$19</f>
        <v>0</v>
      </c>
      <c r="BR1914" s="6">
        <f>SUM(Grandview_Inventory[[#This Row],[Intercept]:[det_value]])*Grandview_Inventory[[#This Row],[res_pct]]</f>
        <v>125340.277253953</v>
      </c>
      <c r="BS1914" s="6">
        <f>Grandview_Inventory[[#This Row],[land_value]]</f>
        <v>54403.117616176372</v>
      </c>
      <c r="BT1914" s="4">
        <f>_xlfn.IFNA(VLOOKUP(Grandview_Inventory[[#This Row],[quality]],Lookups!$A$26:$C$33,3,FALSE),1)</f>
        <v>0.98763855981004833</v>
      </c>
      <c r="BU1914" s="4">
        <f>_xlfn.IFNA(VLOOKUP(Grandview_Inventory[[#This Row],[condition]],Lookups!$A$37:$C$44,3,FALSE),1)</f>
        <v>0.97161819570155394</v>
      </c>
      <c r="BV1914" s="4">
        <f>IF(Grandview_Inventory[[#This Row],[bldg_style]]="",1,_xlfn.IFNA(VLOOKUP(Grandview_Inventory[[#This Row],[decade]],Lookups!$F$29:$H$43,3,FALSE),1))</f>
        <v>0.98763256963907298</v>
      </c>
      <c r="BW1914" s="4">
        <f>_xlfn.IFNA(VLOOKUP(Grandview_Inventory[[#This Row],[living_area_range]],Lookups!$F$47:$H$56,3,FALSE),1)</f>
        <v>0.96135087979789358</v>
      </c>
      <c r="BX1914" s="4">
        <f>AVERAGE(Grandview_Inventory[[#This Row],[qual_adj]:[size_adj]])</f>
        <v>0.97706005123714224</v>
      </c>
      <c r="BY1914" s="6">
        <f>IF(Grandview_Inventory[[#This Row],[pre_res]]&lt;0,0,Grandview_Inventory[[#This Row],[pre_res]]*Grandview_Inventory[[#This Row],[overall_adj]])</f>
        <v>122464.97771582493</v>
      </c>
      <c r="BZ1914" s="6">
        <f>(Grandview_Inventory[[#This Row],[sum_land]]-IF(Grandview_Inventory[[#This Row],[no_utilities]]=1,12000,0))/IF(Grandview_Inventory[[#This Row],[unbuildable]]=1,2,1)</f>
        <v>54403.117616176372</v>
      </c>
      <c r="CA1914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914">
        <f>ROUND(Grandview_Inventory[[#This Row],[det_value]]*Lookups!$M$28,-2)</f>
        <v>0</v>
      </c>
      <c r="CC1914">
        <f>IF(ROUND(Grandview_Inventory[[#This Row],[adj_res]]*Lookups!$M$28,-2)&lt;Grandview_Inventory[[#This Row],[min_res]],Grandview_Inventory[[#This Row],[min_res]],ROUND(Grandview_Inventory[[#This Row],[adj_res]]*Lookups!$M$28,-2))</f>
        <v>116300</v>
      </c>
      <c r="CD1914">
        <f>Grandview_Inventory[[#This Row],[final_det]]+Grandview_Inventory[[#This Row],[final_res]]</f>
        <v>116300</v>
      </c>
      <c r="CE1914">
        <f>Grandview_Inventory[[#This Row],[final_land]]+Grandview_Inventory[[#This Row],[final_imp]]+Grandview_Inventory[[#This Row],[crop_value]]</f>
        <v>168000</v>
      </c>
      <c r="CG1914" t="str">
        <f t="shared" si="29"/>
        <v>update valuation set market_land =51700, market_bldg=116300, market_total =168000, market_mdno =401, market_date ='9/10/2023' where link_id = (select link_id from parcel where parcel_year = '2024' and parcel_id = '23092342458');</v>
      </c>
    </row>
    <row r="1915" spans="1:85" x14ac:dyDescent="0.25">
      <c r="A1915">
        <v>23092342460</v>
      </c>
      <c r="B1915">
        <v>0.24</v>
      </c>
      <c r="C1915">
        <v>10811</v>
      </c>
      <c r="D1915" t="s">
        <v>129</v>
      </c>
      <c r="E1915" t="s">
        <v>53</v>
      </c>
      <c r="F1915" t="s">
        <v>53</v>
      </c>
      <c r="G1915">
        <v>4</v>
      </c>
      <c r="H1915" t="s">
        <v>54</v>
      </c>
      <c r="I1915">
        <v>144600</v>
      </c>
      <c r="J1915">
        <v>40500</v>
      </c>
      <c r="K1915">
        <v>0.24</v>
      </c>
      <c r="L191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915">
        <v>0</v>
      </c>
      <c r="N1915">
        <v>0</v>
      </c>
      <c r="O1915">
        <v>0</v>
      </c>
      <c r="P1915">
        <v>13398.7528</v>
      </c>
      <c r="Q1915">
        <v>63903</v>
      </c>
      <c r="R1915">
        <f>(Grandview_Inventory[[#This Row],[ln_acres]]*Grandview_Inventory[[#This Row],[coeff]])+Grandview_Inventory[[#This Row],[const]]</f>
        <v>44781.420733940802</v>
      </c>
      <c r="S1915" t="s">
        <v>61</v>
      </c>
      <c r="T1915">
        <v>1</v>
      </c>
      <c r="U1915" t="s">
        <v>65</v>
      </c>
      <c r="V1915" t="s">
        <v>69</v>
      </c>
      <c r="W1915">
        <v>0</v>
      </c>
      <c r="X1915">
        <v>0</v>
      </c>
      <c r="Y1915">
        <v>45</v>
      </c>
      <c r="Z1915">
        <v>51</v>
      </c>
      <c r="AA1915">
        <v>60</v>
      </c>
      <c r="AB1915">
        <v>2000</v>
      </c>
      <c r="AC1915">
        <v>1566</v>
      </c>
      <c r="AD1915">
        <v>1566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108</v>
      </c>
      <c r="AN1915">
        <v>0</v>
      </c>
      <c r="AO1915">
        <v>0</v>
      </c>
      <c r="AP1915">
        <v>7</v>
      </c>
      <c r="AQ1915">
        <v>0</v>
      </c>
      <c r="AR1915">
        <v>0</v>
      </c>
      <c r="AS1915" t="s">
        <v>58</v>
      </c>
      <c r="AT1915">
        <v>1</v>
      </c>
      <c r="AU1915" t="s">
        <v>63</v>
      </c>
      <c r="AV1915" t="s">
        <v>64</v>
      </c>
      <c r="AW1915">
        <v>0</v>
      </c>
      <c r="AX1915">
        <v>4</v>
      </c>
      <c r="AY1915">
        <v>0</v>
      </c>
      <c r="AZ1915">
        <v>0</v>
      </c>
      <c r="BA1915">
        <v>100</v>
      </c>
      <c r="BB1915">
        <v>100</v>
      </c>
      <c r="BC1915">
        <v>100</v>
      </c>
      <c r="BD1915">
        <v>100</v>
      </c>
      <c r="BE1915">
        <v>1</v>
      </c>
      <c r="BF1915">
        <v>15000</v>
      </c>
      <c r="BG1915">
        <v>1000</v>
      </c>
      <c r="BH1915" s="6">
        <f>Grandview_Inventory[[#This Row],[land_extract]]*Lookups!$B$3</f>
        <v>52004.542988489469</v>
      </c>
      <c r="BI1915" s="6">
        <f>IF(Grandview_Inventory[[#This Row],[bldg_style]]="",0,Lookups!$B$2)</f>
        <v>155833.95000000001</v>
      </c>
      <c r="BJ1915" s="6">
        <f>_xlfn.IFNA(VLOOKUP(Grandview_Inventory[[#This Row],[quality]],Lookups!$H$2:$J$14,3,FALSE),0)</f>
        <v>2251</v>
      </c>
      <c r="BK1915" s="6">
        <f>_xlfn.IFNA(VLOOKUP(Grandview_Inventory[[#This Row],[condition]],Lookups!$H$17:$J$24,3,FALSE),0)</f>
        <v>-4503</v>
      </c>
      <c r="BL1915" s="6">
        <f>Grandview_Inventory[[#This Row],[Eff_Age]]*Lookups!$B$14</f>
        <v>-10762.496999999999</v>
      </c>
      <c r="BM1915" s="6">
        <f>Grandview_Inventory[[#This Row],[living_area]]*Lookups!$B$15</f>
        <v>97688.415798000002</v>
      </c>
      <c r="BN1915" s="6">
        <f>Grandview_Inventory[[#This Row],[Fin BSMT]]*Lookups!$B$16</f>
        <v>0</v>
      </c>
      <c r="BO1915" s="6">
        <f>(Grandview_Inventory[[#This Row],[att_gar]]+Grandview_Inventory[[#This Row],[bltin_gar]])*Lookups!$B$17</f>
        <v>0</v>
      </c>
      <c r="BP1915" s="6">
        <f>Grandview_Inventory[[#This Row],[Plumbing Fixtures]]*Lookups!$B$18</f>
        <v>14073.0926</v>
      </c>
      <c r="BQ1915" s="6">
        <f>Grandview_Inventory[[#This Row],[detatched_value]]*Lookups!$B$19</f>
        <v>0</v>
      </c>
      <c r="BR1915" s="6">
        <f>SUM(Grandview_Inventory[[#This Row],[Intercept]:[det_value]])*Grandview_Inventory[[#This Row],[res_pct]]</f>
        <v>254580.96139800001</v>
      </c>
      <c r="BS1915" s="6">
        <f>Grandview_Inventory[[#This Row],[land_value]]</f>
        <v>52004.542988489469</v>
      </c>
      <c r="BT1915" s="4">
        <f>_xlfn.IFNA(VLOOKUP(Grandview_Inventory[[#This Row],[quality]],Lookups!$A$26:$C$33,3,FALSE),1)</f>
        <v>0.98763855981004833</v>
      </c>
      <c r="BU1915" s="4">
        <f>_xlfn.IFNA(VLOOKUP(Grandview_Inventory[[#This Row],[condition]],Lookups!$A$37:$C$44,3,FALSE),1)</f>
        <v>0.96469275950863709</v>
      </c>
      <c r="BV1915" s="4">
        <f>IF(Grandview_Inventory[[#This Row],[bldg_style]]="",1,_xlfn.IFNA(VLOOKUP(Grandview_Inventory[[#This Row],[decade]],Lookups!$F$29:$H$43,3,FALSE),1))</f>
        <v>0.95268620544463312</v>
      </c>
      <c r="BW1915" s="4">
        <f>_xlfn.IFNA(VLOOKUP(Grandview_Inventory[[#This Row],[living_area_range]],Lookups!$F$47:$H$56,3,FALSE),1)</f>
        <v>0.96120133463014379</v>
      </c>
      <c r="BX1915" s="4">
        <f>AVERAGE(Grandview_Inventory[[#This Row],[qual_adj]:[size_adj]])</f>
        <v>0.96655471484836553</v>
      </c>
      <c r="BY1915" s="6">
        <f>IF(Grandview_Inventory[[#This Row],[pre_res]]&lt;0,0,Grandview_Inventory[[#This Row],[pre_res]]*Grandview_Inventory[[#This Row],[overall_adj]])</f>
        <v>246066.42854986666</v>
      </c>
      <c r="BZ1915" s="6">
        <f>(Grandview_Inventory[[#This Row],[sum_land]]-IF(Grandview_Inventory[[#This Row],[no_utilities]]=1,12000,0))/IF(Grandview_Inventory[[#This Row],[unbuildable]]=1,2,1)</f>
        <v>52004.542988489469</v>
      </c>
      <c r="CA191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915">
        <f>ROUND(Grandview_Inventory[[#This Row],[det_value]]*Lookups!$M$28,-2)</f>
        <v>0</v>
      </c>
      <c r="CC1915">
        <f>IF(ROUND(Grandview_Inventory[[#This Row],[adj_res]]*Lookups!$M$28,-2)&lt;Grandview_Inventory[[#This Row],[min_res]],Grandview_Inventory[[#This Row],[min_res]],ROUND(Grandview_Inventory[[#This Row],[adj_res]]*Lookups!$M$28,-2))</f>
        <v>233800</v>
      </c>
      <c r="CD1915">
        <f>Grandview_Inventory[[#This Row],[final_det]]+Grandview_Inventory[[#This Row],[final_res]]</f>
        <v>233800</v>
      </c>
      <c r="CE1915">
        <f>Grandview_Inventory[[#This Row],[final_land]]+Grandview_Inventory[[#This Row],[final_imp]]+Grandview_Inventory[[#This Row],[crop_value]]</f>
        <v>283200</v>
      </c>
      <c r="CG1915" t="str">
        <f t="shared" si="29"/>
        <v>update valuation set market_land =49400, market_bldg=233800, market_total =283200, market_mdno =401, market_date ='9/10/2023' where link_id = (select link_id from parcel where parcel_year = '2024' and parcel_id = '23092342460');</v>
      </c>
    </row>
    <row r="1916" spans="1:85" x14ac:dyDescent="0.25">
      <c r="A1916">
        <v>23092342461</v>
      </c>
      <c r="B1916">
        <v>0.28000000000000003</v>
      </c>
      <c r="C1916">
        <v>12107</v>
      </c>
      <c r="D1916" t="s">
        <v>129</v>
      </c>
      <c r="E1916" t="s">
        <v>53</v>
      </c>
      <c r="F1916" t="s">
        <v>53</v>
      </c>
      <c r="G1916">
        <v>4</v>
      </c>
      <c r="H1916" t="s">
        <v>54</v>
      </c>
      <c r="I1916">
        <v>114900</v>
      </c>
      <c r="J1916">
        <v>40500</v>
      </c>
      <c r="K1916">
        <v>0.28000000000000003</v>
      </c>
      <c r="L1916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1916">
        <v>0</v>
      </c>
      <c r="N1916">
        <v>0</v>
      </c>
      <c r="O1916">
        <v>0</v>
      </c>
      <c r="P1916">
        <v>13398.7528</v>
      </c>
      <c r="Q1916">
        <v>63903</v>
      </c>
      <c r="R1916">
        <f>(Grandview_Inventory[[#This Row],[ln_acres]]*Grandview_Inventory[[#This Row],[coeff]])+Grandview_Inventory[[#This Row],[const]]</f>
        <v>46846.847586898184</v>
      </c>
      <c r="S1916" t="s">
        <v>61</v>
      </c>
      <c r="T1916">
        <v>1</v>
      </c>
      <c r="U1916" t="s">
        <v>65</v>
      </c>
      <c r="V1916" t="s">
        <v>78</v>
      </c>
      <c r="W1916">
        <v>0</v>
      </c>
      <c r="X1916">
        <v>0</v>
      </c>
      <c r="Y1916">
        <v>45</v>
      </c>
      <c r="Z1916">
        <v>51</v>
      </c>
      <c r="AA1916">
        <v>60</v>
      </c>
      <c r="AB1916">
        <v>2000</v>
      </c>
      <c r="AC1916">
        <v>1566</v>
      </c>
      <c r="AD1916">
        <v>1566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7</v>
      </c>
      <c r="AQ1916">
        <v>0</v>
      </c>
      <c r="AR1916">
        <v>0</v>
      </c>
      <c r="AS1916" t="s">
        <v>58</v>
      </c>
      <c r="AT1916">
        <v>1</v>
      </c>
      <c r="AU1916" t="s">
        <v>63</v>
      </c>
      <c r="AV1916" t="s">
        <v>64</v>
      </c>
      <c r="AW1916">
        <v>0</v>
      </c>
      <c r="AX1916">
        <v>4</v>
      </c>
      <c r="AY1916">
        <v>0</v>
      </c>
      <c r="AZ1916">
        <v>0</v>
      </c>
      <c r="BA1916">
        <v>100</v>
      </c>
      <c r="BB1916">
        <v>100</v>
      </c>
      <c r="BC1916">
        <v>100</v>
      </c>
      <c r="BD1916">
        <v>100</v>
      </c>
      <c r="BE1916">
        <v>1</v>
      </c>
      <c r="BF1916">
        <v>15000</v>
      </c>
      <c r="BG1916">
        <v>1000</v>
      </c>
      <c r="BH1916" s="6">
        <f>Grandview_Inventory[[#This Row],[land_extract]]*Lookups!$B$3</f>
        <v>54403.117616176372</v>
      </c>
      <c r="BI1916" s="6">
        <f>IF(Grandview_Inventory[[#This Row],[bldg_style]]="",0,Lookups!$B$2)</f>
        <v>155833.95000000001</v>
      </c>
      <c r="BJ1916" s="6">
        <f>_xlfn.IFNA(VLOOKUP(Grandview_Inventory[[#This Row],[quality]],Lookups!$H$2:$J$14,3,FALSE),0)</f>
        <v>2251</v>
      </c>
      <c r="BK1916" s="6">
        <f>_xlfn.IFNA(VLOOKUP(Grandview_Inventory[[#This Row],[condition]],Lookups!$H$17:$J$24,3,FALSE),0)</f>
        <v>-45357</v>
      </c>
      <c r="BL1916" s="6">
        <f>Grandview_Inventory[[#This Row],[Eff_Age]]*Lookups!$B$14</f>
        <v>-10762.496999999999</v>
      </c>
      <c r="BM1916" s="6">
        <f>Grandview_Inventory[[#This Row],[living_area]]*Lookups!$B$15</f>
        <v>97688.415798000002</v>
      </c>
      <c r="BN1916" s="6">
        <f>Grandview_Inventory[[#This Row],[Fin BSMT]]*Lookups!$B$16</f>
        <v>0</v>
      </c>
      <c r="BO1916" s="6">
        <f>(Grandview_Inventory[[#This Row],[att_gar]]+Grandview_Inventory[[#This Row],[bltin_gar]])*Lookups!$B$17</f>
        <v>0</v>
      </c>
      <c r="BP1916" s="6">
        <f>Grandview_Inventory[[#This Row],[Plumbing Fixtures]]*Lookups!$B$18</f>
        <v>14073.0926</v>
      </c>
      <c r="BQ1916" s="6">
        <f>Grandview_Inventory[[#This Row],[detatched_value]]*Lookups!$B$19</f>
        <v>0</v>
      </c>
      <c r="BR1916" s="6">
        <f>SUM(Grandview_Inventory[[#This Row],[Intercept]:[det_value]])*Grandview_Inventory[[#This Row],[res_pct]]</f>
        <v>213726.96139800001</v>
      </c>
      <c r="BS1916" s="6">
        <f>Grandview_Inventory[[#This Row],[land_value]]</f>
        <v>54403.117616176372</v>
      </c>
      <c r="BT1916" s="4">
        <f>_xlfn.IFNA(VLOOKUP(Grandview_Inventory[[#This Row],[quality]],Lookups!$A$26:$C$33,3,FALSE),1)</f>
        <v>0.98763855981004833</v>
      </c>
      <c r="BU1916" s="4">
        <f>_xlfn.IFNA(VLOOKUP(Grandview_Inventory[[#This Row],[condition]],Lookups!$A$37:$C$44,3,FALSE),1)</f>
        <v>0.97161819570155394</v>
      </c>
      <c r="BV1916" s="4">
        <f>IF(Grandview_Inventory[[#This Row],[bldg_style]]="",1,_xlfn.IFNA(VLOOKUP(Grandview_Inventory[[#This Row],[decade]],Lookups!$F$29:$H$43,3,FALSE),1))</f>
        <v>0.95268620544463312</v>
      </c>
      <c r="BW1916" s="4">
        <f>_xlfn.IFNA(VLOOKUP(Grandview_Inventory[[#This Row],[living_area_range]],Lookups!$F$47:$H$56,3,FALSE),1)</f>
        <v>0.96120133463014379</v>
      </c>
      <c r="BX1916" s="4">
        <f>AVERAGE(Grandview_Inventory[[#This Row],[qual_adj]:[size_adj]])</f>
        <v>0.96828607389659482</v>
      </c>
      <c r="BY1916" s="6">
        <f>IF(Grandview_Inventory[[#This Row],[pre_res]]&lt;0,0,Grandview_Inventory[[#This Row],[pre_res]]*Grandview_Inventory[[#This Row],[overall_adj]])</f>
        <v>206948.84033791852</v>
      </c>
      <c r="BZ1916" s="6">
        <f>(Grandview_Inventory[[#This Row],[sum_land]]-IF(Grandview_Inventory[[#This Row],[no_utilities]]=1,12000,0))/IF(Grandview_Inventory[[#This Row],[unbuildable]]=1,2,1)</f>
        <v>54403.117616176372</v>
      </c>
      <c r="CA1916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1916">
        <f>ROUND(Grandview_Inventory[[#This Row],[det_value]]*Lookups!$M$28,-2)</f>
        <v>0</v>
      </c>
      <c r="CC1916">
        <f>IF(ROUND(Grandview_Inventory[[#This Row],[adj_res]]*Lookups!$M$28,-2)&lt;Grandview_Inventory[[#This Row],[min_res]],Grandview_Inventory[[#This Row],[min_res]],ROUND(Grandview_Inventory[[#This Row],[adj_res]]*Lookups!$M$28,-2))</f>
        <v>196600</v>
      </c>
      <c r="CD1916">
        <f>Grandview_Inventory[[#This Row],[final_det]]+Grandview_Inventory[[#This Row],[final_res]]</f>
        <v>196600</v>
      </c>
      <c r="CE1916">
        <f>Grandview_Inventory[[#This Row],[final_land]]+Grandview_Inventory[[#This Row],[final_imp]]+Grandview_Inventory[[#This Row],[crop_value]]</f>
        <v>248300</v>
      </c>
      <c r="CG1916" t="str">
        <f t="shared" si="29"/>
        <v>update valuation set market_land =51700, market_bldg=196600, market_total =248300, market_mdno =401, market_date ='9/10/2023' where link_id = (select link_id from parcel where parcel_year = '2024' and parcel_id = '23092342461');</v>
      </c>
    </row>
    <row r="1917" spans="1:85" x14ac:dyDescent="0.25">
      <c r="A1917">
        <v>23092342464</v>
      </c>
      <c r="B1917">
        <v>0.2</v>
      </c>
      <c r="C1917">
        <v>8636</v>
      </c>
      <c r="D1917" t="s">
        <v>129</v>
      </c>
      <c r="E1917" t="s">
        <v>53</v>
      </c>
      <c r="F1917" t="s">
        <v>53</v>
      </c>
      <c r="G1917">
        <v>4</v>
      </c>
      <c r="H1917" t="s">
        <v>54</v>
      </c>
      <c r="I1917">
        <v>148200</v>
      </c>
      <c r="J1917">
        <v>39800</v>
      </c>
      <c r="K1917">
        <v>0.2</v>
      </c>
      <c r="L191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917">
        <v>0</v>
      </c>
      <c r="N1917">
        <v>0</v>
      </c>
      <c r="O1917">
        <v>0</v>
      </c>
      <c r="P1917">
        <v>13398.7528</v>
      </c>
      <c r="Q1917">
        <v>63903</v>
      </c>
      <c r="R1917">
        <f>(Grandview_Inventory[[#This Row],[ln_acres]]*Grandview_Inventory[[#This Row],[coeff]])+Grandview_Inventory[[#This Row],[const]]</f>
        <v>42338.539264347448</v>
      </c>
      <c r="S1917" t="s">
        <v>61</v>
      </c>
      <c r="T1917">
        <v>1</v>
      </c>
      <c r="U1917" t="s">
        <v>65</v>
      </c>
      <c r="V1917" t="s">
        <v>69</v>
      </c>
      <c r="W1917">
        <v>0</v>
      </c>
      <c r="X1917">
        <v>0</v>
      </c>
      <c r="Y1917">
        <v>45</v>
      </c>
      <c r="Z1917">
        <v>51</v>
      </c>
      <c r="AA1917">
        <v>60</v>
      </c>
      <c r="AB1917">
        <v>1500</v>
      </c>
      <c r="AC1917">
        <v>1269</v>
      </c>
      <c r="AD1917">
        <v>1269</v>
      </c>
      <c r="AE1917">
        <v>0</v>
      </c>
      <c r="AF1917">
        <v>0</v>
      </c>
      <c r="AG1917">
        <v>0</v>
      </c>
      <c r="AH1917">
        <v>0</v>
      </c>
      <c r="AI1917">
        <v>297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7</v>
      </c>
      <c r="AQ1917">
        <v>0</v>
      </c>
      <c r="AR1917">
        <v>0</v>
      </c>
      <c r="AS1917" t="s">
        <v>58</v>
      </c>
      <c r="AT1917">
        <v>1</v>
      </c>
      <c r="AU1917" t="s">
        <v>63</v>
      </c>
      <c r="AV1917" t="s">
        <v>64</v>
      </c>
      <c r="AW1917">
        <v>0</v>
      </c>
      <c r="AX1917">
        <v>4</v>
      </c>
      <c r="AY1917">
        <v>0</v>
      </c>
      <c r="AZ1917">
        <v>0</v>
      </c>
      <c r="BA1917">
        <v>100</v>
      </c>
      <c r="BB1917">
        <v>100</v>
      </c>
      <c r="BC1917">
        <v>100</v>
      </c>
      <c r="BD1917">
        <v>100</v>
      </c>
      <c r="BE1917">
        <v>1</v>
      </c>
      <c r="BF1917">
        <v>15000</v>
      </c>
      <c r="BG1917">
        <v>1000</v>
      </c>
      <c r="BH1917" s="6">
        <f>Grandview_Inventory[[#This Row],[land_extract]]*Lookups!$B$3</f>
        <v>49167.631333630678</v>
      </c>
      <c r="BI1917" s="6">
        <f>IF(Grandview_Inventory[[#This Row],[bldg_style]]="",0,Lookups!$B$2)</f>
        <v>155833.95000000001</v>
      </c>
      <c r="BJ1917" s="6">
        <f>_xlfn.IFNA(VLOOKUP(Grandview_Inventory[[#This Row],[quality]],Lookups!$H$2:$J$14,3,FALSE),0)</f>
        <v>2251</v>
      </c>
      <c r="BK1917" s="6">
        <f>_xlfn.IFNA(VLOOKUP(Grandview_Inventory[[#This Row],[condition]],Lookups!$H$17:$J$24,3,FALSE),0)</f>
        <v>-4503</v>
      </c>
      <c r="BL1917" s="6">
        <f>Grandview_Inventory[[#This Row],[Eff_Age]]*Lookups!$B$14</f>
        <v>-10762.496999999999</v>
      </c>
      <c r="BM1917" s="6">
        <f>Grandview_Inventory[[#This Row],[living_area]]*Lookups!$B$15</f>
        <v>79161.302456999998</v>
      </c>
      <c r="BN1917" s="6">
        <f>Grandview_Inventory[[#This Row],[Fin BSMT]]*Lookups!$B$16</f>
        <v>0</v>
      </c>
      <c r="BO1917" s="6">
        <f>(Grandview_Inventory[[#This Row],[att_gar]]+Grandview_Inventory[[#This Row],[bltin_gar]])*Lookups!$B$17</f>
        <v>25993.569789000001</v>
      </c>
      <c r="BP1917" s="6">
        <f>Grandview_Inventory[[#This Row],[Plumbing Fixtures]]*Lookups!$B$18</f>
        <v>14073.0926</v>
      </c>
      <c r="BQ1917" s="6">
        <f>Grandview_Inventory[[#This Row],[detatched_value]]*Lookups!$B$19</f>
        <v>0</v>
      </c>
      <c r="BR1917" s="6">
        <f>SUM(Grandview_Inventory[[#This Row],[Intercept]:[det_value]])*Grandview_Inventory[[#This Row],[res_pct]]</f>
        <v>262047.417846</v>
      </c>
      <c r="BS1917" s="6">
        <f>Grandview_Inventory[[#This Row],[land_value]]</f>
        <v>49167.631333630678</v>
      </c>
      <c r="BT1917" s="4">
        <f>_xlfn.IFNA(VLOOKUP(Grandview_Inventory[[#This Row],[quality]],Lookups!$A$26:$C$33,3,FALSE),1)</f>
        <v>0.98763855981004833</v>
      </c>
      <c r="BU1917" s="4">
        <f>_xlfn.IFNA(VLOOKUP(Grandview_Inventory[[#This Row],[condition]],Lookups!$A$37:$C$44,3,FALSE),1)</f>
        <v>0.96469275950863709</v>
      </c>
      <c r="BV1917" s="4">
        <f>IF(Grandview_Inventory[[#This Row],[bldg_style]]="",1,_xlfn.IFNA(VLOOKUP(Grandview_Inventory[[#This Row],[decade]],Lookups!$F$29:$H$43,3,FALSE),1))</f>
        <v>0.95268620544463312</v>
      </c>
      <c r="BW1917" s="4">
        <f>_xlfn.IFNA(VLOOKUP(Grandview_Inventory[[#This Row],[living_area_range]],Lookups!$F$47:$H$56,3,FALSE),1)</f>
        <v>0.96135087979789358</v>
      </c>
      <c r="BX1917" s="4">
        <f>AVERAGE(Grandview_Inventory[[#This Row],[qual_adj]:[size_adj]])</f>
        <v>0.96659210114030303</v>
      </c>
      <c r="BY1917" s="6">
        <f>IF(Grandview_Inventory[[#This Row],[pre_res]]&lt;0,0,Grandview_Inventory[[#This Row],[pre_res]]*Grandview_Inventory[[#This Row],[overall_adj]])</f>
        <v>253292.96421415609</v>
      </c>
      <c r="BZ1917" s="6">
        <f>(Grandview_Inventory[[#This Row],[sum_land]]-IF(Grandview_Inventory[[#This Row],[no_utilities]]=1,12000,0))/IF(Grandview_Inventory[[#This Row],[unbuildable]]=1,2,1)</f>
        <v>49167.631333630678</v>
      </c>
      <c r="CA191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917">
        <f>ROUND(Grandview_Inventory[[#This Row],[det_value]]*Lookups!$M$28,-2)</f>
        <v>0</v>
      </c>
      <c r="CC1917">
        <f>IF(ROUND(Grandview_Inventory[[#This Row],[adj_res]]*Lookups!$M$28,-2)&lt;Grandview_Inventory[[#This Row],[min_res]],Grandview_Inventory[[#This Row],[min_res]],ROUND(Grandview_Inventory[[#This Row],[adj_res]]*Lookups!$M$28,-2))</f>
        <v>240600</v>
      </c>
      <c r="CD1917">
        <f>Grandview_Inventory[[#This Row],[final_det]]+Grandview_Inventory[[#This Row],[final_res]]</f>
        <v>240600</v>
      </c>
      <c r="CE1917">
        <f>Grandview_Inventory[[#This Row],[final_land]]+Grandview_Inventory[[#This Row],[final_imp]]+Grandview_Inventory[[#This Row],[crop_value]]</f>
        <v>287300</v>
      </c>
      <c r="CG1917" t="str">
        <f t="shared" si="29"/>
        <v>update valuation set market_land =46700, market_bldg=240600, market_total =287300, market_mdno =401, market_date ='9/10/2023' where link_id = (select link_id from parcel where parcel_year = '2024' and parcel_id = '23092342464');</v>
      </c>
    </row>
    <row r="1918" spans="1:85" x14ac:dyDescent="0.25">
      <c r="A1918">
        <v>23092342474</v>
      </c>
      <c r="B1918">
        <v>0.38</v>
      </c>
      <c r="C1918">
        <v>16498</v>
      </c>
      <c r="D1918" t="s">
        <v>129</v>
      </c>
      <c r="E1918" t="s">
        <v>53</v>
      </c>
      <c r="F1918" t="s">
        <v>53</v>
      </c>
      <c r="G1918">
        <v>4</v>
      </c>
      <c r="H1918" t="s">
        <v>54</v>
      </c>
      <c r="I1918">
        <v>153400</v>
      </c>
      <c r="J1918">
        <v>41600</v>
      </c>
      <c r="K1918">
        <v>0.38</v>
      </c>
      <c r="L1918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1918">
        <v>0</v>
      </c>
      <c r="N1918">
        <v>0</v>
      </c>
      <c r="O1918">
        <v>0</v>
      </c>
      <c r="P1918">
        <v>13398.7528</v>
      </c>
      <c r="Q1918">
        <v>63903</v>
      </c>
      <c r="R1918">
        <f>(Grandview_Inventory[[#This Row],[ln_acres]]*Grandview_Inventory[[#This Row],[coeff]])+Grandview_Inventory[[#This Row],[const]]</f>
        <v>50938.580818890696</v>
      </c>
      <c r="S1918" t="s">
        <v>68</v>
      </c>
      <c r="T1918">
        <v>1</v>
      </c>
      <c r="U1918" t="s">
        <v>80</v>
      </c>
      <c r="V1918" t="s">
        <v>69</v>
      </c>
      <c r="W1918">
        <v>0</v>
      </c>
      <c r="X1918">
        <v>0</v>
      </c>
      <c r="Y1918">
        <v>55</v>
      </c>
      <c r="Z1918">
        <v>98</v>
      </c>
      <c r="AA1918">
        <v>100</v>
      </c>
      <c r="AB1918">
        <v>1000</v>
      </c>
      <c r="AC1918">
        <v>974</v>
      </c>
      <c r="AD1918">
        <v>974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120</v>
      </c>
      <c r="AN1918">
        <v>120</v>
      </c>
      <c r="AO1918">
        <v>120</v>
      </c>
      <c r="AP1918">
        <v>5</v>
      </c>
      <c r="AQ1918">
        <v>0</v>
      </c>
      <c r="AR1918">
        <v>0</v>
      </c>
      <c r="AS1918" t="s">
        <v>71</v>
      </c>
      <c r="AT1918">
        <v>1</v>
      </c>
      <c r="AU1918" t="s">
        <v>63</v>
      </c>
      <c r="AV1918" t="s">
        <v>60</v>
      </c>
      <c r="AW1918">
        <v>0</v>
      </c>
      <c r="AX1918">
        <v>3</v>
      </c>
      <c r="AY1918">
        <v>0</v>
      </c>
      <c r="AZ1918">
        <v>41500</v>
      </c>
      <c r="BA1918">
        <v>100</v>
      </c>
      <c r="BB1918">
        <v>100</v>
      </c>
      <c r="BC1918">
        <v>100</v>
      </c>
      <c r="BD1918">
        <v>100</v>
      </c>
      <c r="BE1918">
        <v>1</v>
      </c>
      <c r="BF1918">
        <v>15000</v>
      </c>
      <c r="BG1918">
        <v>1000</v>
      </c>
      <c r="BH1918" s="6">
        <f>Grandview_Inventory[[#This Row],[land_extract]]*Lookups!$B$3</f>
        <v>59154.836370809549</v>
      </c>
      <c r="BI1918" s="6">
        <f>IF(Grandview_Inventory[[#This Row],[bldg_style]]="",0,Lookups!$B$2)</f>
        <v>155833.95000000001</v>
      </c>
      <c r="BJ1918" s="6">
        <f>_xlfn.IFNA(VLOOKUP(Grandview_Inventory[[#This Row],[quality]],Lookups!$H$2:$J$14,3,FALSE),0)</f>
        <v>-28558</v>
      </c>
      <c r="BK1918" s="6">
        <f>_xlfn.IFNA(VLOOKUP(Grandview_Inventory[[#This Row],[condition]],Lookups!$H$17:$J$24,3,FALSE),0)</f>
        <v>-4503</v>
      </c>
      <c r="BL1918" s="6">
        <f>Grandview_Inventory[[#This Row],[Eff_Age]]*Lookups!$B$14</f>
        <v>-13154.162999999999</v>
      </c>
      <c r="BM1918" s="6">
        <f>Grandview_Inventory[[#This Row],[living_area]]*Lookups!$B$15</f>
        <v>60758.950821999999</v>
      </c>
      <c r="BN1918" s="6">
        <f>Grandview_Inventory[[#This Row],[Fin BSMT]]*Lookups!$B$16</f>
        <v>0</v>
      </c>
      <c r="BO1918" s="6">
        <f>(Grandview_Inventory[[#This Row],[att_gar]]+Grandview_Inventory[[#This Row],[bltin_gar]])*Lookups!$B$17</f>
        <v>0</v>
      </c>
      <c r="BP1918" s="6">
        <f>Grandview_Inventory[[#This Row],[Plumbing Fixtures]]*Lookups!$B$18</f>
        <v>10052.209000000001</v>
      </c>
      <c r="BQ1918" s="6">
        <f>Grandview_Inventory[[#This Row],[detatched_value]]*Lookups!$B$19</f>
        <v>35142.411650000002</v>
      </c>
      <c r="BR1918" s="6">
        <f>SUM(Grandview_Inventory[[#This Row],[Intercept]:[det_value]])*Grandview_Inventory[[#This Row],[res_pct]]</f>
        <v>215572.35847199999</v>
      </c>
      <c r="BS1918" s="6">
        <f>Grandview_Inventory[[#This Row],[land_value]]</f>
        <v>59154.836370809549</v>
      </c>
      <c r="BT1918" s="4">
        <f>_xlfn.IFNA(VLOOKUP(Grandview_Inventory[[#This Row],[quality]],Lookups!$A$26:$C$33,3,FALSE),1)</f>
        <v>0.9690360070159818</v>
      </c>
      <c r="BU1918" s="4">
        <f>_xlfn.IFNA(VLOOKUP(Grandview_Inventory[[#This Row],[condition]],Lookups!$A$37:$C$44,3,FALSE),1)</f>
        <v>0.96469275950863709</v>
      </c>
      <c r="BV1918" s="4">
        <f>IF(Grandview_Inventory[[#This Row],[bldg_style]]="",1,_xlfn.IFNA(VLOOKUP(Grandview_Inventory[[#This Row],[decade]],Lookups!$F$29:$H$43,3,FALSE),1))</f>
        <v>0.95244691841736806</v>
      </c>
      <c r="BW1918" s="4">
        <f>_xlfn.IFNA(VLOOKUP(Grandview_Inventory[[#This Row],[living_area_range]],Lookups!$F$47:$H$56,3,FALSE),1)</f>
        <v>0.94306777142782894</v>
      </c>
      <c r="BX1918" s="4">
        <f>AVERAGE(Grandview_Inventory[[#This Row],[qual_adj]:[size_adj]])</f>
        <v>0.95731086409245392</v>
      </c>
      <c r="BY1918" s="6">
        <f>IF(Grandview_Inventory[[#This Row],[pre_res]]&lt;0,0,Grandview_Inventory[[#This Row],[pre_res]]*Grandview_Inventory[[#This Row],[overall_adj]])</f>
        <v>206369.76076327855</v>
      </c>
      <c r="BZ1918" s="6">
        <f>(Grandview_Inventory[[#This Row],[sum_land]]-IF(Grandview_Inventory[[#This Row],[no_utilities]]=1,12000,0))/IF(Grandview_Inventory[[#This Row],[unbuildable]]=1,2,1)</f>
        <v>59154.836370809549</v>
      </c>
      <c r="CA1918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1918">
        <f>ROUND(Grandview_Inventory[[#This Row],[det_value]]*Lookups!$M$28,-2)</f>
        <v>33400</v>
      </c>
      <c r="CC1918">
        <f>IF(ROUND(Grandview_Inventory[[#This Row],[adj_res]]*Lookups!$M$28,-2)&lt;Grandview_Inventory[[#This Row],[min_res]],Grandview_Inventory[[#This Row],[min_res]],ROUND(Grandview_Inventory[[#This Row],[adj_res]]*Lookups!$M$28,-2))</f>
        <v>196100</v>
      </c>
      <c r="CD1918">
        <f>Grandview_Inventory[[#This Row],[final_det]]+Grandview_Inventory[[#This Row],[final_res]]</f>
        <v>229500</v>
      </c>
      <c r="CE1918">
        <f>Grandview_Inventory[[#This Row],[final_land]]+Grandview_Inventory[[#This Row],[final_imp]]+Grandview_Inventory[[#This Row],[crop_value]]</f>
        <v>285700</v>
      </c>
      <c r="CG1918" t="str">
        <f t="shared" si="29"/>
        <v>update valuation set market_land =56200, market_bldg=229500, market_total =285700, market_mdno =401, market_date ='9/10/2023' where link_id = (select link_id from parcel where parcel_year = '2024' and parcel_id = '23092342474');</v>
      </c>
    </row>
    <row r="1919" spans="1:85" x14ac:dyDescent="0.25">
      <c r="A1919">
        <v>23092342475</v>
      </c>
      <c r="B1919">
        <v>0.14000000000000001</v>
      </c>
      <c r="C1919">
        <v>6160</v>
      </c>
      <c r="D1919" t="s">
        <v>129</v>
      </c>
      <c r="E1919" t="s">
        <v>53</v>
      </c>
      <c r="F1919" t="s">
        <v>53</v>
      </c>
      <c r="G1919">
        <v>4</v>
      </c>
      <c r="H1919" t="s">
        <v>54</v>
      </c>
      <c r="I1919">
        <v>157000</v>
      </c>
      <c r="J1919">
        <v>38600</v>
      </c>
      <c r="K1919">
        <v>0.14000000000000001</v>
      </c>
      <c r="L1919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19">
        <v>0</v>
      </c>
      <c r="N1919">
        <v>0</v>
      </c>
      <c r="O1919">
        <v>0</v>
      </c>
      <c r="P1919">
        <v>13398.7528</v>
      </c>
      <c r="Q1919">
        <v>63903</v>
      </c>
      <c r="R1919">
        <f>(Grandview_Inventory[[#This Row],[ln_acres]]*Grandview_Inventory[[#This Row],[coeff]])+Grandview_Inventory[[#This Row],[const]]</f>
        <v>37559.539860558507</v>
      </c>
      <c r="S1919" t="s">
        <v>61</v>
      </c>
      <c r="T1919">
        <v>1</v>
      </c>
      <c r="U1919" t="s">
        <v>70</v>
      </c>
      <c r="V1919" t="s">
        <v>69</v>
      </c>
      <c r="W1919">
        <v>0</v>
      </c>
      <c r="X1919">
        <v>0</v>
      </c>
      <c r="Y1919">
        <v>44</v>
      </c>
      <c r="Z1919">
        <v>49</v>
      </c>
      <c r="AA1919">
        <v>50</v>
      </c>
      <c r="AB1919">
        <v>1500</v>
      </c>
      <c r="AC1919">
        <v>1368</v>
      </c>
      <c r="AD1919">
        <v>1368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384</v>
      </c>
      <c r="AN1919">
        <v>0</v>
      </c>
      <c r="AO1919">
        <v>384</v>
      </c>
      <c r="AP1919">
        <v>5</v>
      </c>
      <c r="AQ1919">
        <v>0</v>
      </c>
      <c r="AR1919">
        <v>0</v>
      </c>
      <c r="AS1919" t="s">
        <v>71</v>
      </c>
      <c r="AT1919">
        <v>1</v>
      </c>
      <c r="AU1919" t="s">
        <v>63</v>
      </c>
      <c r="AV1919" t="s">
        <v>60</v>
      </c>
      <c r="AW1919">
        <v>0</v>
      </c>
      <c r="AX1919">
        <v>4</v>
      </c>
      <c r="AY1919">
        <v>0</v>
      </c>
      <c r="AZ1919">
        <v>0</v>
      </c>
      <c r="BA1919">
        <v>100</v>
      </c>
      <c r="BB1919">
        <v>100</v>
      </c>
      <c r="BC1919">
        <v>100</v>
      </c>
      <c r="BD1919">
        <v>100</v>
      </c>
      <c r="BE1919">
        <v>1</v>
      </c>
      <c r="BF1919">
        <v>15000</v>
      </c>
      <c r="BG1919">
        <v>1000</v>
      </c>
      <c r="BH1919" s="6">
        <f>Grandview_Inventory[[#This Row],[land_extract]]*Lookups!$B$3</f>
        <v>43617.792229308972</v>
      </c>
      <c r="BI1919" s="6">
        <f>IF(Grandview_Inventory[[#This Row],[bldg_style]]="",0,Lookups!$B$2)</f>
        <v>155833.95000000001</v>
      </c>
      <c r="BJ1919" s="6">
        <f>_xlfn.IFNA(VLOOKUP(Grandview_Inventory[[#This Row],[quality]],Lookups!$H$2:$J$14,3,FALSE),0)</f>
        <v>10733</v>
      </c>
      <c r="BK1919" s="6">
        <f>_xlfn.IFNA(VLOOKUP(Grandview_Inventory[[#This Row],[condition]],Lookups!$H$17:$J$24,3,FALSE),0)</f>
        <v>-4503</v>
      </c>
      <c r="BL1919" s="6">
        <f>Grandview_Inventory[[#This Row],[Eff_Age]]*Lookups!$B$14</f>
        <v>-10523.330399999999</v>
      </c>
      <c r="BM1919" s="6">
        <f>Grandview_Inventory[[#This Row],[living_area]]*Lookups!$B$15</f>
        <v>85337.006904000009</v>
      </c>
      <c r="BN1919" s="6">
        <f>Grandview_Inventory[[#This Row],[Fin BSMT]]*Lookups!$B$16</f>
        <v>0</v>
      </c>
      <c r="BO1919" s="6">
        <f>(Grandview_Inventory[[#This Row],[att_gar]]+Grandview_Inventory[[#This Row],[bltin_gar]])*Lookups!$B$17</f>
        <v>0</v>
      </c>
      <c r="BP1919" s="6">
        <f>Grandview_Inventory[[#This Row],[Plumbing Fixtures]]*Lookups!$B$18</f>
        <v>10052.209000000001</v>
      </c>
      <c r="BQ1919" s="6">
        <f>Grandview_Inventory[[#This Row],[detatched_value]]*Lookups!$B$19</f>
        <v>0</v>
      </c>
      <c r="BR1919" s="6">
        <f>SUM(Grandview_Inventory[[#This Row],[Intercept]:[det_value]])*Grandview_Inventory[[#This Row],[res_pct]]</f>
        <v>246929.83550400002</v>
      </c>
      <c r="BS1919" s="6">
        <f>Grandview_Inventory[[#This Row],[land_value]]</f>
        <v>43617.792229308972</v>
      </c>
      <c r="BT1919" s="4">
        <f>_xlfn.IFNA(VLOOKUP(Grandview_Inventory[[#This Row],[quality]],Lookups!$A$26:$C$33,3,FALSE),1)</f>
        <v>0.98079741117310582</v>
      </c>
      <c r="BU1919" s="4">
        <f>_xlfn.IFNA(VLOOKUP(Grandview_Inventory[[#This Row],[condition]],Lookups!$A$37:$C$44,3,FALSE),1)</f>
        <v>0.96469275950863709</v>
      </c>
      <c r="BV1919" s="4">
        <f>IF(Grandview_Inventory[[#This Row],[bldg_style]]="",1,_xlfn.IFNA(VLOOKUP(Grandview_Inventory[[#This Row],[decade]],Lookups!$F$29:$H$43,3,FALSE),1))</f>
        <v>0.9871940091910919</v>
      </c>
      <c r="BW1919" s="4">
        <f>_xlfn.IFNA(VLOOKUP(Grandview_Inventory[[#This Row],[living_area_range]],Lookups!$F$47:$H$56,3,FALSE),1)</f>
        <v>0.96135087979789358</v>
      </c>
      <c r="BX1919" s="4">
        <f>AVERAGE(Grandview_Inventory[[#This Row],[qual_adj]:[size_adj]])</f>
        <v>0.97350876491768212</v>
      </c>
      <c r="BY1919" s="6">
        <f>IF(Grandview_Inventory[[#This Row],[pre_res]]&lt;0,0,Grandview_Inventory[[#This Row],[pre_res]]*Grandview_Inventory[[#This Row],[overall_adj]])</f>
        <v>240388.35918282546</v>
      </c>
      <c r="BZ1919" s="6">
        <f>(Grandview_Inventory[[#This Row],[sum_land]]-IF(Grandview_Inventory[[#This Row],[no_utilities]]=1,12000,0))/IF(Grandview_Inventory[[#This Row],[unbuildable]]=1,2,1)</f>
        <v>43617.792229308972</v>
      </c>
      <c r="CA1919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19">
        <f>ROUND(Grandview_Inventory[[#This Row],[det_value]]*Lookups!$M$28,-2)</f>
        <v>0</v>
      </c>
      <c r="CC1919">
        <f>IF(ROUND(Grandview_Inventory[[#This Row],[adj_res]]*Lookups!$M$28,-2)&lt;Grandview_Inventory[[#This Row],[min_res]],Grandview_Inventory[[#This Row],[min_res]],ROUND(Grandview_Inventory[[#This Row],[adj_res]]*Lookups!$M$28,-2))</f>
        <v>228400</v>
      </c>
      <c r="CD1919">
        <f>Grandview_Inventory[[#This Row],[final_det]]+Grandview_Inventory[[#This Row],[final_res]]</f>
        <v>228400</v>
      </c>
      <c r="CE1919">
        <f>Grandview_Inventory[[#This Row],[final_land]]+Grandview_Inventory[[#This Row],[final_imp]]+Grandview_Inventory[[#This Row],[crop_value]]</f>
        <v>269800</v>
      </c>
      <c r="CG1919" t="str">
        <f t="shared" si="29"/>
        <v>update valuation set market_land =41400, market_bldg=228400, market_total =269800, market_mdno =401, market_date ='9/10/2023' where link_id = (select link_id from parcel where parcel_year = '2024' and parcel_id = '23092342475');</v>
      </c>
    </row>
    <row r="1920" spans="1:85" x14ac:dyDescent="0.25">
      <c r="A1920">
        <v>23092342481</v>
      </c>
      <c r="B1920">
        <v>0.32</v>
      </c>
      <c r="C1920">
        <v>13883</v>
      </c>
      <c r="D1920" t="s">
        <v>129</v>
      </c>
      <c r="E1920" t="s">
        <v>53</v>
      </c>
      <c r="F1920" t="s">
        <v>53</v>
      </c>
      <c r="G1920">
        <v>4</v>
      </c>
      <c r="H1920" t="s">
        <v>54</v>
      </c>
      <c r="I1920">
        <v>117600</v>
      </c>
      <c r="J1920">
        <v>41800</v>
      </c>
      <c r="K1920">
        <v>0.32</v>
      </c>
      <c r="L1920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920">
        <v>0</v>
      </c>
      <c r="N1920">
        <v>0</v>
      </c>
      <c r="O1920">
        <v>0</v>
      </c>
      <c r="P1920">
        <v>13398.7528</v>
      </c>
      <c r="Q1920">
        <v>63903</v>
      </c>
      <c r="R1920">
        <f>(Grandview_Inventory[[#This Row],[ln_acres]]*Grandview_Inventory[[#This Row],[coeff]])+Grandview_Inventory[[#This Row],[const]]</f>
        <v>48636.001707713905</v>
      </c>
      <c r="S1920" t="s">
        <v>68</v>
      </c>
      <c r="T1920">
        <v>1</v>
      </c>
      <c r="U1920" t="s">
        <v>65</v>
      </c>
      <c r="V1920" t="s">
        <v>69</v>
      </c>
      <c r="W1920">
        <v>0</v>
      </c>
      <c r="X1920">
        <v>0</v>
      </c>
      <c r="Y1920">
        <v>52</v>
      </c>
      <c r="Z1920">
        <v>88</v>
      </c>
      <c r="AA1920">
        <v>90</v>
      </c>
      <c r="AB1920">
        <v>1000</v>
      </c>
      <c r="AC1920">
        <v>992</v>
      </c>
      <c r="AD1920">
        <v>992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5</v>
      </c>
      <c r="AQ1920">
        <v>0</v>
      </c>
      <c r="AR1920">
        <v>0</v>
      </c>
      <c r="AS1920" t="s">
        <v>58</v>
      </c>
      <c r="AT1920">
        <v>1</v>
      </c>
      <c r="AU1920" t="s">
        <v>63</v>
      </c>
      <c r="AV1920" t="s">
        <v>60</v>
      </c>
      <c r="AW1920">
        <v>0</v>
      </c>
      <c r="AX1920">
        <v>3</v>
      </c>
      <c r="AY1920">
        <v>0</v>
      </c>
      <c r="AZ1920">
        <v>5100</v>
      </c>
      <c r="BA1920">
        <v>100</v>
      </c>
      <c r="BB1920">
        <v>100</v>
      </c>
      <c r="BC1920">
        <v>100</v>
      </c>
      <c r="BD1920">
        <v>100</v>
      </c>
      <c r="BE1920">
        <v>1</v>
      </c>
      <c r="BF1920">
        <v>15000</v>
      </c>
      <c r="BG1920">
        <v>1000</v>
      </c>
      <c r="BH1920" s="6">
        <f>Grandview_Inventory[[#This Row],[land_extract]]*Lookups!$B$3</f>
        <v>56480.857465963549</v>
      </c>
      <c r="BI1920" s="6">
        <f>IF(Grandview_Inventory[[#This Row],[bldg_style]]="",0,Lookups!$B$2)</f>
        <v>155833.95000000001</v>
      </c>
      <c r="BJ1920" s="6">
        <f>_xlfn.IFNA(VLOOKUP(Grandview_Inventory[[#This Row],[quality]],Lookups!$H$2:$J$14,3,FALSE),0)</f>
        <v>2251</v>
      </c>
      <c r="BK1920" s="6">
        <f>_xlfn.IFNA(VLOOKUP(Grandview_Inventory[[#This Row],[condition]],Lookups!$H$17:$J$24,3,FALSE),0)</f>
        <v>-4503</v>
      </c>
      <c r="BL1920" s="6">
        <f>Grandview_Inventory[[#This Row],[Eff_Age]]*Lookups!$B$14</f>
        <v>-12436.663199999999</v>
      </c>
      <c r="BM1920" s="6">
        <f>Grandview_Inventory[[#This Row],[living_area]]*Lookups!$B$15</f>
        <v>61881.806175999998</v>
      </c>
      <c r="BN1920" s="6">
        <f>Grandview_Inventory[[#This Row],[Fin BSMT]]*Lookups!$B$16</f>
        <v>0</v>
      </c>
      <c r="BO1920" s="6">
        <f>(Grandview_Inventory[[#This Row],[att_gar]]+Grandview_Inventory[[#This Row],[bltin_gar]])*Lookups!$B$17</f>
        <v>0</v>
      </c>
      <c r="BP1920" s="6">
        <f>Grandview_Inventory[[#This Row],[Plumbing Fixtures]]*Lookups!$B$18</f>
        <v>10052.209000000001</v>
      </c>
      <c r="BQ1920" s="6">
        <f>Grandview_Inventory[[#This Row],[detatched_value]]*Lookups!$B$19</f>
        <v>4318.7060099999999</v>
      </c>
      <c r="BR1920" s="6">
        <f>SUM(Grandview_Inventory[[#This Row],[Intercept]:[det_value]])*Grandview_Inventory[[#This Row],[res_pct]]</f>
        <v>217398.00798599998</v>
      </c>
      <c r="BS1920" s="6">
        <f>Grandview_Inventory[[#This Row],[land_value]]</f>
        <v>56480.857465963549</v>
      </c>
      <c r="BT1920" s="4">
        <f>_xlfn.IFNA(VLOOKUP(Grandview_Inventory[[#This Row],[quality]],Lookups!$A$26:$C$33,3,FALSE),1)</f>
        <v>0.98763855981004833</v>
      </c>
      <c r="BU1920" s="4">
        <f>_xlfn.IFNA(VLOOKUP(Grandview_Inventory[[#This Row],[condition]],Lookups!$A$37:$C$44,3,FALSE),1)</f>
        <v>0.96469275950863709</v>
      </c>
      <c r="BV1920" s="4">
        <f>IF(Grandview_Inventory[[#This Row],[bldg_style]]="",1,_xlfn.IFNA(VLOOKUP(Grandview_Inventory[[#This Row],[decade]],Lookups!$F$29:$H$43,3,FALSE),1))</f>
        <v>0.94161750052457416</v>
      </c>
      <c r="BW1920" s="4">
        <f>_xlfn.IFNA(VLOOKUP(Grandview_Inventory[[#This Row],[living_area_range]],Lookups!$F$47:$H$56,3,FALSE),1)</f>
        <v>0.94306777142782894</v>
      </c>
      <c r="BX1920" s="4">
        <f>AVERAGE(Grandview_Inventory[[#This Row],[qual_adj]:[size_adj]])</f>
        <v>0.95925414781777207</v>
      </c>
      <c r="BY1920" s="6">
        <f>IF(Grandview_Inventory[[#This Row],[pre_res]]&lt;0,0,Grandview_Inventory[[#This Row],[pre_res]]*Grandview_Inventory[[#This Row],[overall_adj]])</f>
        <v>208539.94088789163</v>
      </c>
      <c r="BZ1920" s="6">
        <f>(Grandview_Inventory[[#This Row],[sum_land]]-IF(Grandview_Inventory[[#This Row],[no_utilities]]=1,12000,0))/IF(Grandview_Inventory[[#This Row],[unbuildable]]=1,2,1)</f>
        <v>56480.857465963549</v>
      </c>
      <c r="CA1920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920">
        <f>ROUND(Grandview_Inventory[[#This Row],[det_value]]*Lookups!$M$28,-2)</f>
        <v>4100</v>
      </c>
      <c r="CC1920">
        <f>IF(ROUND(Grandview_Inventory[[#This Row],[adj_res]]*Lookups!$M$28,-2)&lt;Grandview_Inventory[[#This Row],[min_res]],Grandview_Inventory[[#This Row],[min_res]],ROUND(Grandview_Inventory[[#This Row],[adj_res]]*Lookups!$M$28,-2))</f>
        <v>198100</v>
      </c>
      <c r="CD1920">
        <f>Grandview_Inventory[[#This Row],[final_det]]+Grandview_Inventory[[#This Row],[final_res]]</f>
        <v>202200</v>
      </c>
      <c r="CE1920">
        <f>Grandview_Inventory[[#This Row],[final_land]]+Grandview_Inventory[[#This Row],[final_imp]]+Grandview_Inventory[[#This Row],[crop_value]]</f>
        <v>255900</v>
      </c>
      <c r="CG1920" t="str">
        <f t="shared" si="29"/>
        <v>update valuation set market_land =53700, market_bldg=202200, market_total =255900, market_mdno =401, market_date ='9/10/2023' where link_id = (select link_id from parcel where parcel_year = '2024' and parcel_id = '23092342481');</v>
      </c>
    </row>
    <row r="1921" spans="1:85" x14ac:dyDescent="0.25">
      <c r="A1921">
        <v>23092342482</v>
      </c>
      <c r="B1921">
        <v>0.17</v>
      </c>
      <c r="C1921">
        <v>7317</v>
      </c>
      <c r="D1921" t="s">
        <v>129</v>
      </c>
      <c r="E1921" t="s">
        <v>53</v>
      </c>
      <c r="F1921" t="s">
        <v>53</v>
      </c>
      <c r="G1921">
        <v>4</v>
      </c>
      <c r="H1921" t="s">
        <v>54</v>
      </c>
      <c r="I1921">
        <v>125100</v>
      </c>
      <c r="J1921">
        <v>39300</v>
      </c>
      <c r="K1921">
        <v>0.17</v>
      </c>
      <c r="L192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21">
        <v>0</v>
      </c>
      <c r="N1921">
        <v>0</v>
      </c>
      <c r="O1921">
        <v>0</v>
      </c>
      <c r="P1921">
        <v>13398.7528</v>
      </c>
      <c r="Q1921">
        <v>63903</v>
      </c>
      <c r="R1921">
        <f>(Grandview_Inventory[[#This Row],[ln_acres]]*Grandview_Inventory[[#This Row],[coeff]])+Grandview_Inventory[[#This Row],[const]]</f>
        <v>40160.988302686128</v>
      </c>
      <c r="S1921" t="s">
        <v>61</v>
      </c>
      <c r="T1921">
        <v>1</v>
      </c>
      <c r="U1921" t="s">
        <v>70</v>
      </c>
      <c r="V1921" t="s">
        <v>78</v>
      </c>
      <c r="W1921">
        <v>0</v>
      </c>
      <c r="X1921">
        <v>0</v>
      </c>
      <c r="Y1921">
        <v>44</v>
      </c>
      <c r="Z1921">
        <v>48</v>
      </c>
      <c r="AA1921">
        <v>50</v>
      </c>
      <c r="AB1921">
        <v>1500</v>
      </c>
      <c r="AC1921">
        <v>1404</v>
      </c>
      <c r="AD1921">
        <v>1404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7</v>
      </c>
      <c r="AQ1921">
        <v>0</v>
      </c>
      <c r="AR1921">
        <v>0</v>
      </c>
      <c r="AS1921" t="s">
        <v>58</v>
      </c>
      <c r="AT1921">
        <v>1</v>
      </c>
      <c r="AU1921" t="s">
        <v>75</v>
      </c>
      <c r="AV1921" t="s">
        <v>60</v>
      </c>
      <c r="AW1921">
        <v>0</v>
      </c>
      <c r="AX1921">
        <v>4</v>
      </c>
      <c r="AY1921">
        <v>0</v>
      </c>
      <c r="AZ1921">
        <v>0</v>
      </c>
      <c r="BA1921">
        <v>100</v>
      </c>
      <c r="BB1921">
        <v>100</v>
      </c>
      <c r="BC1921">
        <v>100</v>
      </c>
      <c r="BD1921">
        <v>100</v>
      </c>
      <c r="BE1921">
        <v>1</v>
      </c>
      <c r="BF1921">
        <v>15000</v>
      </c>
      <c r="BG1921">
        <v>1000</v>
      </c>
      <c r="BH1921" s="6">
        <f>Grandview_Inventory[[#This Row],[land_extract]]*Lookups!$B$3</f>
        <v>46638.847281240982</v>
      </c>
      <c r="BI1921" s="6">
        <f>IF(Grandview_Inventory[[#This Row],[bldg_style]]="",0,Lookups!$B$2)</f>
        <v>155833.95000000001</v>
      </c>
      <c r="BJ1921" s="6">
        <f>_xlfn.IFNA(VLOOKUP(Grandview_Inventory[[#This Row],[quality]],Lookups!$H$2:$J$14,3,FALSE),0)</f>
        <v>10733</v>
      </c>
      <c r="BK1921" s="6">
        <f>_xlfn.IFNA(VLOOKUP(Grandview_Inventory[[#This Row],[condition]],Lookups!$H$17:$J$24,3,FALSE),0)</f>
        <v>-45357</v>
      </c>
      <c r="BL1921" s="6">
        <f>Grandview_Inventory[[#This Row],[Eff_Age]]*Lookups!$B$14</f>
        <v>-10523.330399999999</v>
      </c>
      <c r="BM1921" s="6">
        <f>Grandview_Inventory[[#This Row],[living_area]]*Lookups!$B$15</f>
        <v>87582.717612000008</v>
      </c>
      <c r="BN1921" s="6">
        <f>Grandview_Inventory[[#This Row],[Fin BSMT]]*Lookups!$B$16</f>
        <v>0</v>
      </c>
      <c r="BO1921" s="6">
        <f>(Grandview_Inventory[[#This Row],[att_gar]]+Grandview_Inventory[[#This Row],[bltin_gar]])*Lookups!$B$17</f>
        <v>0</v>
      </c>
      <c r="BP1921" s="6">
        <f>Grandview_Inventory[[#This Row],[Plumbing Fixtures]]*Lookups!$B$18</f>
        <v>14073.0926</v>
      </c>
      <c r="BQ1921" s="6">
        <f>Grandview_Inventory[[#This Row],[detatched_value]]*Lookups!$B$19</f>
        <v>0</v>
      </c>
      <c r="BR1921" s="6">
        <f>SUM(Grandview_Inventory[[#This Row],[Intercept]:[det_value]])*Grandview_Inventory[[#This Row],[res_pct]]</f>
        <v>212342.42981200002</v>
      </c>
      <c r="BS1921" s="6">
        <f>Grandview_Inventory[[#This Row],[land_value]]</f>
        <v>46638.847281240982</v>
      </c>
      <c r="BT1921" s="4">
        <f>_xlfn.IFNA(VLOOKUP(Grandview_Inventory[[#This Row],[quality]],Lookups!$A$26:$C$33,3,FALSE),1)</f>
        <v>0.98079741117310582</v>
      </c>
      <c r="BU1921" s="4">
        <f>_xlfn.IFNA(VLOOKUP(Grandview_Inventory[[#This Row],[condition]],Lookups!$A$37:$C$44,3,FALSE),1)</f>
        <v>0.97161819570155394</v>
      </c>
      <c r="BV1921" s="4">
        <f>IF(Grandview_Inventory[[#This Row],[bldg_style]]="",1,_xlfn.IFNA(VLOOKUP(Grandview_Inventory[[#This Row],[decade]],Lookups!$F$29:$H$43,3,FALSE),1))</f>
        <v>0.9871940091910919</v>
      </c>
      <c r="BW1921" s="4">
        <f>_xlfn.IFNA(VLOOKUP(Grandview_Inventory[[#This Row],[living_area_range]],Lookups!$F$47:$H$56,3,FALSE),1)</f>
        <v>0.96135087979789358</v>
      </c>
      <c r="BX1921" s="4">
        <f>AVERAGE(Grandview_Inventory[[#This Row],[qual_adj]:[size_adj]])</f>
        <v>0.97524012396591131</v>
      </c>
      <c r="BY1921" s="6">
        <f>IF(Grandview_Inventory[[#This Row],[pre_res]]&lt;0,0,Grandview_Inventory[[#This Row],[pre_res]]*Grandview_Inventory[[#This Row],[overall_adj]])</f>
        <v>207084.85757307772</v>
      </c>
      <c r="BZ1921" s="6">
        <f>(Grandview_Inventory[[#This Row],[sum_land]]-IF(Grandview_Inventory[[#This Row],[no_utilities]]=1,12000,0))/IF(Grandview_Inventory[[#This Row],[unbuildable]]=1,2,1)</f>
        <v>46638.847281240982</v>
      </c>
      <c r="CA192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21">
        <f>ROUND(Grandview_Inventory[[#This Row],[det_value]]*Lookups!$M$28,-2)</f>
        <v>0</v>
      </c>
      <c r="CC1921">
        <f>IF(ROUND(Grandview_Inventory[[#This Row],[adj_res]]*Lookups!$M$28,-2)&lt;Grandview_Inventory[[#This Row],[min_res]],Grandview_Inventory[[#This Row],[min_res]],ROUND(Grandview_Inventory[[#This Row],[adj_res]]*Lookups!$M$28,-2))</f>
        <v>196700</v>
      </c>
      <c r="CD1921">
        <f>Grandview_Inventory[[#This Row],[final_det]]+Grandview_Inventory[[#This Row],[final_res]]</f>
        <v>196700</v>
      </c>
      <c r="CE1921">
        <f>Grandview_Inventory[[#This Row],[final_land]]+Grandview_Inventory[[#This Row],[final_imp]]+Grandview_Inventory[[#This Row],[crop_value]]</f>
        <v>241000</v>
      </c>
      <c r="CG1921" t="str">
        <f t="shared" si="29"/>
        <v>update valuation set market_land =44300, market_bldg=196700, market_total =241000, market_mdno =401, market_date ='9/10/2023' where link_id = (select link_id from parcel where parcel_year = '2024' and parcel_id = '23092342482');</v>
      </c>
    </row>
    <row r="1922" spans="1:85" x14ac:dyDescent="0.25">
      <c r="A1922">
        <v>23092342483</v>
      </c>
      <c r="B1922">
        <v>0.14000000000000001</v>
      </c>
      <c r="C1922">
        <v>6039</v>
      </c>
      <c r="D1922" t="s">
        <v>129</v>
      </c>
      <c r="E1922" t="s">
        <v>53</v>
      </c>
      <c r="F1922" t="s">
        <v>53</v>
      </c>
      <c r="G1922">
        <v>4</v>
      </c>
      <c r="H1922" t="s">
        <v>54</v>
      </c>
      <c r="I1922">
        <v>129800</v>
      </c>
      <c r="J1922">
        <v>38600</v>
      </c>
      <c r="K1922">
        <v>0.14000000000000001</v>
      </c>
      <c r="L1922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1922">
        <v>0</v>
      </c>
      <c r="N1922">
        <v>0</v>
      </c>
      <c r="O1922">
        <v>0</v>
      </c>
      <c r="P1922">
        <v>13398.7528</v>
      </c>
      <c r="Q1922">
        <v>63903</v>
      </c>
      <c r="R1922">
        <f>(Grandview_Inventory[[#This Row],[ln_acres]]*Grandview_Inventory[[#This Row],[coeff]])+Grandview_Inventory[[#This Row],[const]]</f>
        <v>37559.539860558507</v>
      </c>
      <c r="S1922" t="s">
        <v>61</v>
      </c>
      <c r="T1922">
        <v>1</v>
      </c>
      <c r="U1922" t="s">
        <v>80</v>
      </c>
      <c r="V1922" t="s">
        <v>69</v>
      </c>
      <c r="W1922">
        <v>0</v>
      </c>
      <c r="X1922">
        <v>0</v>
      </c>
      <c r="Y1922">
        <v>44</v>
      </c>
      <c r="Z1922">
        <v>47</v>
      </c>
      <c r="AA1922">
        <v>50</v>
      </c>
      <c r="AB1922">
        <v>1500</v>
      </c>
      <c r="AC1922">
        <v>1105</v>
      </c>
      <c r="AD1922">
        <v>1105</v>
      </c>
      <c r="AE1922">
        <v>0</v>
      </c>
      <c r="AF1922">
        <v>0</v>
      </c>
      <c r="AG1922">
        <v>0</v>
      </c>
      <c r="AH1922">
        <v>0</v>
      </c>
      <c r="AI1922">
        <v>264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5</v>
      </c>
      <c r="AQ1922">
        <v>0</v>
      </c>
      <c r="AR1922">
        <v>0</v>
      </c>
      <c r="AS1922" t="s">
        <v>58</v>
      </c>
      <c r="AT1922">
        <v>1</v>
      </c>
      <c r="AU1922" t="s">
        <v>75</v>
      </c>
      <c r="AV1922" t="s">
        <v>60</v>
      </c>
      <c r="AW1922">
        <v>0</v>
      </c>
      <c r="AX1922">
        <v>3</v>
      </c>
      <c r="AY1922">
        <v>0</v>
      </c>
      <c r="AZ1922">
        <v>0</v>
      </c>
      <c r="BA1922">
        <v>100</v>
      </c>
      <c r="BB1922">
        <v>100</v>
      </c>
      <c r="BC1922">
        <v>100</v>
      </c>
      <c r="BD1922">
        <v>100</v>
      </c>
      <c r="BE1922">
        <v>1</v>
      </c>
      <c r="BF1922">
        <v>15000</v>
      </c>
      <c r="BG1922">
        <v>1000</v>
      </c>
      <c r="BH1922" s="6">
        <f>Grandview_Inventory[[#This Row],[land_extract]]*Lookups!$B$3</f>
        <v>43617.792229308972</v>
      </c>
      <c r="BI1922" s="6">
        <f>IF(Grandview_Inventory[[#This Row],[bldg_style]]="",0,Lookups!$B$2)</f>
        <v>155833.95000000001</v>
      </c>
      <c r="BJ1922" s="6">
        <f>_xlfn.IFNA(VLOOKUP(Grandview_Inventory[[#This Row],[quality]],Lookups!$H$2:$J$14,3,FALSE),0)</f>
        <v>-28558</v>
      </c>
      <c r="BK1922" s="6">
        <f>_xlfn.IFNA(VLOOKUP(Grandview_Inventory[[#This Row],[condition]],Lookups!$H$17:$J$24,3,FALSE),0)</f>
        <v>-4503</v>
      </c>
      <c r="BL1922" s="6">
        <f>Grandview_Inventory[[#This Row],[Eff_Age]]*Lookups!$B$14</f>
        <v>-10523.330399999999</v>
      </c>
      <c r="BM1922" s="6">
        <f>Grandview_Inventory[[#This Row],[living_area]]*Lookups!$B$15</f>
        <v>68930.842564999999</v>
      </c>
      <c r="BN1922" s="6">
        <f>Grandview_Inventory[[#This Row],[Fin BSMT]]*Lookups!$B$16</f>
        <v>0</v>
      </c>
      <c r="BO1922" s="6">
        <f>(Grandview_Inventory[[#This Row],[att_gar]]+Grandview_Inventory[[#This Row],[bltin_gar]])*Lookups!$B$17</f>
        <v>23105.395368000001</v>
      </c>
      <c r="BP1922" s="6">
        <f>Grandview_Inventory[[#This Row],[Plumbing Fixtures]]*Lookups!$B$18</f>
        <v>10052.209000000001</v>
      </c>
      <c r="BQ1922" s="6">
        <f>Grandview_Inventory[[#This Row],[detatched_value]]*Lookups!$B$19</f>
        <v>0</v>
      </c>
      <c r="BR1922" s="6">
        <f>SUM(Grandview_Inventory[[#This Row],[Intercept]:[det_value]])*Grandview_Inventory[[#This Row],[res_pct]]</f>
        <v>214338.066533</v>
      </c>
      <c r="BS1922" s="6">
        <f>Grandview_Inventory[[#This Row],[land_value]]</f>
        <v>43617.792229308972</v>
      </c>
      <c r="BT1922" s="4">
        <f>_xlfn.IFNA(VLOOKUP(Grandview_Inventory[[#This Row],[quality]],Lookups!$A$26:$C$33,3,FALSE),1)</f>
        <v>0.9690360070159818</v>
      </c>
      <c r="BU1922" s="4">
        <f>_xlfn.IFNA(VLOOKUP(Grandview_Inventory[[#This Row],[condition]],Lookups!$A$37:$C$44,3,FALSE),1)</f>
        <v>0.96469275950863709</v>
      </c>
      <c r="BV1922" s="4">
        <f>IF(Grandview_Inventory[[#This Row],[bldg_style]]="",1,_xlfn.IFNA(VLOOKUP(Grandview_Inventory[[#This Row],[decade]],Lookups!$F$29:$H$43,3,FALSE),1))</f>
        <v>0.9871940091910919</v>
      </c>
      <c r="BW1922" s="4">
        <f>_xlfn.IFNA(VLOOKUP(Grandview_Inventory[[#This Row],[living_area_range]],Lookups!$F$47:$H$56,3,FALSE),1)</f>
        <v>0.96135087979789358</v>
      </c>
      <c r="BX1922" s="4">
        <f>AVERAGE(Grandview_Inventory[[#This Row],[qual_adj]:[size_adj]])</f>
        <v>0.97056841387840109</v>
      </c>
      <c r="BY1922" s="6">
        <f>IF(Grandview_Inventory[[#This Row],[pre_res]]&lt;0,0,Grandview_Inventory[[#This Row],[pre_res]]*Grandview_Inventory[[#This Row],[overall_adj]])</f>
        <v>208029.75726869702</v>
      </c>
      <c r="BZ1922" s="6">
        <f>(Grandview_Inventory[[#This Row],[sum_land]]-IF(Grandview_Inventory[[#This Row],[no_utilities]]=1,12000,0))/IF(Grandview_Inventory[[#This Row],[unbuildable]]=1,2,1)</f>
        <v>43617.792229308972</v>
      </c>
      <c r="CA1922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1922">
        <f>ROUND(Grandview_Inventory[[#This Row],[det_value]]*Lookups!$M$28,-2)</f>
        <v>0</v>
      </c>
      <c r="CC1922">
        <f>IF(ROUND(Grandview_Inventory[[#This Row],[adj_res]]*Lookups!$M$28,-2)&lt;Grandview_Inventory[[#This Row],[min_res]],Grandview_Inventory[[#This Row],[min_res]],ROUND(Grandview_Inventory[[#This Row],[adj_res]]*Lookups!$M$28,-2))</f>
        <v>197600</v>
      </c>
      <c r="CD1922">
        <f>Grandview_Inventory[[#This Row],[final_det]]+Grandview_Inventory[[#This Row],[final_res]]</f>
        <v>197600</v>
      </c>
      <c r="CE1922">
        <f>Grandview_Inventory[[#This Row],[final_land]]+Grandview_Inventory[[#This Row],[final_imp]]+Grandview_Inventory[[#This Row],[crop_value]]</f>
        <v>239000</v>
      </c>
      <c r="CG1922" t="str">
        <f t="shared" si="29"/>
        <v>update valuation set market_land =41400, market_bldg=197600, market_total =239000, market_mdno =401, market_date ='9/10/2023' where link_id = (select link_id from parcel where parcel_year = '2024' and parcel_id = '23092342483');</v>
      </c>
    </row>
    <row r="1923" spans="1:85" x14ac:dyDescent="0.25">
      <c r="A1923">
        <v>23092342486</v>
      </c>
      <c r="B1923">
        <v>0.27</v>
      </c>
      <c r="C1923">
        <v>11551</v>
      </c>
      <c r="D1923" t="s">
        <v>129</v>
      </c>
      <c r="E1923" t="s">
        <v>53</v>
      </c>
      <c r="F1923" t="s">
        <v>53</v>
      </c>
      <c r="G1923">
        <v>4</v>
      </c>
      <c r="H1923" t="s">
        <v>54</v>
      </c>
      <c r="I1923">
        <v>121000</v>
      </c>
      <c r="J1923">
        <v>40500</v>
      </c>
      <c r="K1923">
        <v>0.27</v>
      </c>
      <c r="L1923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1923">
        <v>0</v>
      </c>
      <c r="N1923">
        <v>0</v>
      </c>
      <c r="O1923">
        <v>0</v>
      </c>
      <c r="P1923">
        <v>13398.7528</v>
      </c>
      <c r="Q1923">
        <v>63903</v>
      </c>
      <c r="R1923">
        <f>(Grandview_Inventory[[#This Row],[ln_acres]]*Grandview_Inventory[[#This Row],[coeff]])+Grandview_Inventory[[#This Row],[const]]</f>
        <v>46359.566512734265</v>
      </c>
      <c r="S1923" t="s">
        <v>61</v>
      </c>
      <c r="T1923">
        <v>1</v>
      </c>
      <c r="U1923" t="s">
        <v>70</v>
      </c>
      <c r="V1923" t="s">
        <v>78</v>
      </c>
      <c r="W1923">
        <v>0</v>
      </c>
      <c r="X1923">
        <v>0</v>
      </c>
      <c r="Y1923">
        <v>43</v>
      </c>
      <c r="Z1923">
        <v>45</v>
      </c>
      <c r="AA1923">
        <v>50</v>
      </c>
      <c r="AB1923">
        <v>1500</v>
      </c>
      <c r="AC1923">
        <v>1056</v>
      </c>
      <c r="AD1923">
        <v>1056</v>
      </c>
      <c r="AE1923">
        <v>0</v>
      </c>
      <c r="AF1923">
        <v>0</v>
      </c>
      <c r="AG1923">
        <v>0</v>
      </c>
      <c r="AH1923">
        <v>0</v>
      </c>
      <c r="AI1923">
        <v>288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5</v>
      </c>
      <c r="AQ1923">
        <v>0</v>
      </c>
      <c r="AR1923">
        <v>0</v>
      </c>
      <c r="AS1923" t="s">
        <v>58</v>
      </c>
      <c r="AT1923">
        <v>1</v>
      </c>
      <c r="AU1923" t="s">
        <v>75</v>
      </c>
      <c r="AV1923" t="s">
        <v>60</v>
      </c>
      <c r="AW1923">
        <v>0</v>
      </c>
      <c r="AX1923">
        <v>3</v>
      </c>
      <c r="AY1923">
        <v>0</v>
      </c>
      <c r="AZ1923">
        <v>0</v>
      </c>
      <c r="BA1923">
        <v>100</v>
      </c>
      <c r="BB1923">
        <v>100</v>
      </c>
      <c r="BC1923">
        <v>100</v>
      </c>
      <c r="BD1923">
        <v>100</v>
      </c>
      <c r="BE1923">
        <v>1</v>
      </c>
      <c r="BF1923">
        <v>15000</v>
      </c>
      <c r="BG1923">
        <v>1000</v>
      </c>
      <c r="BH1923" s="6">
        <f>Grandview_Inventory[[#This Row],[land_extract]]*Lookups!$B$3</f>
        <v>53837.239420408718</v>
      </c>
      <c r="BI1923" s="6">
        <f>IF(Grandview_Inventory[[#This Row],[bldg_style]]="",0,Lookups!$B$2)</f>
        <v>155833.95000000001</v>
      </c>
      <c r="BJ1923" s="6">
        <f>_xlfn.IFNA(VLOOKUP(Grandview_Inventory[[#This Row],[quality]],Lookups!$H$2:$J$14,3,FALSE),0)</f>
        <v>10733</v>
      </c>
      <c r="BK1923" s="6">
        <f>_xlfn.IFNA(VLOOKUP(Grandview_Inventory[[#This Row],[condition]],Lookups!$H$17:$J$24,3,FALSE),0)</f>
        <v>-45357</v>
      </c>
      <c r="BL1923" s="6">
        <f>Grandview_Inventory[[#This Row],[Eff_Age]]*Lookups!$B$14</f>
        <v>-10284.1638</v>
      </c>
      <c r="BM1923" s="6">
        <f>Grandview_Inventory[[#This Row],[living_area]]*Lookups!$B$15</f>
        <v>65874.180768000006</v>
      </c>
      <c r="BN1923" s="6">
        <f>Grandview_Inventory[[#This Row],[Fin BSMT]]*Lookups!$B$16</f>
        <v>0</v>
      </c>
      <c r="BO1923" s="6">
        <f>(Grandview_Inventory[[#This Row],[att_gar]]+Grandview_Inventory[[#This Row],[bltin_gar]])*Lookups!$B$17</f>
        <v>25205.885856000001</v>
      </c>
      <c r="BP1923" s="6">
        <f>Grandview_Inventory[[#This Row],[Plumbing Fixtures]]*Lookups!$B$18</f>
        <v>10052.209000000001</v>
      </c>
      <c r="BQ1923" s="6">
        <f>Grandview_Inventory[[#This Row],[detatched_value]]*Lookups!$B$19</f>
        <v>0</v>
      </c>
      <c r="BR1923" s="6">
        <f>SUM(Grandview_Inventory[[#This Row],[Intercept]:[det_value]])*Grandview_Inventory[[#This Row],[res_pct]]</f>
        <v>212058.06182400003</v>
      </c>
      <c r="BS1923" s="6">
        <f>Grandview_Inventory[[#This Row],[land_value]]</f>
        <v>53837.239420408718</v>
      </c>
      <c r="BT1923" s="4">
        <f>_xlfn.IFNA(VLOOKUP(Grandview_Inventory[[#This Row],[quality]],Lookups!$A$26:$C$33,3,FALSE),1)</f>
        <v>0.98079741117310582</v>
      </c>
      <c r="BU1923" s="4">
        <f>_xlfn.IFNA(VLOOKUP(Grandview_Inventory[[#This Row],[condition]],Lookups!$A$37:$C$44,3,FALSE),1)</f>
        <v>0.97161819570155394</v>
      </c>
      <c r="BV1923" s="4">
        <f>IF(Grandview_Inventory[[#This Row],[bldg_style]]="",1,_xlfn.IFNA(VLOOKUP(Grandview_Inventory[[#This Row],[decade]],Lookups!$F$29:$H$43,3,FALSE),1))</f>
        <v>0.9871940091910919</v>
      </c>
      <c r="BW1923" s="4">
        <f>_xlfn.IFNA(VLOOKUP(Grandview_Inventory[[#This Row],[living_area_range]],Lookups!$F$47:$H$56,3,FALSE),1)</f>
        <v>0.96135087979789358</v>
      </c>
      <c r="BX1923" s="4">
        <f>AVERAGE(Grandview_Inventory[[#This Row],[qual_adj]:[size_adj]])</f>
        <v>0.97524012396591131</v>
      </c>
      <c r="BY1923" s="6">
        <f>IF(Grandview_Inventory[[#This Row],[pre_res]]&lt;0,0,Grandview_Inventory[[#This Row],[pre_res]]*Grandview_Inventory[[#This Row],[overall_adj]])</f>
        <v>206807.53050120868</v>
      </c>
      <c r="BZ1923" s="6">
        <f>(Grandview_Inventory[[#This Row],[sum_land]]-IF(Grandview_Inventory[[#This Row],[no_utilities]]=1,12000,0))/IF(Grandview_Inventory[[#This Row],[unbuildable]]=1,2,1)</f>
        <v>53837.239420408718</v>
      </c>
      <c r="CA1923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1923">
        <f>ROUND(Grandview_Inventory[[#This Row],[det_value]]*Lookups!$M$28,-2)</f>
        <v>0</v>
      </c>
      <c r="CC1923">
        <f>IF(ROUND(Grandview_Inventory[[#This Row],[adj_res]]*Lookups!$M$28,-2)&lt;Grandview_Inventory[[#This Row],[min_res]],Grandview_Inventory[[#This Row],[min_res]],ROUND(Grandview_Inventory[[#This Row],[adj_res]]*Lookups!$M$28,-2))</f>
        <v>196500</v>
      </c>
      <c r="CD1923">
        <f>Grandview_Inventory[[#This Row],[final_det]]+Grandview_Inventory[[#This Row],[final_res]]</f>
        <v>196500</v>
      </c>
      <c r="CE1923">
        <f>Grandview_Inventory[[#This Row],[final_land]]+Grandview_Inventory[[#This Row],[final_imp]]+Grandview_Inventory[[#This Row],[crop_value]]</f>
        <v>247600</v>
      </c>
      <c r="CG1923" t="str">
        <f t="shared" ref="CG1923:CG1986" si="30">"update valuation set market_land ="&amp;CA1923&amp;", market_bldg="&amp;CD1923&amp;", market_total ="&amp;CE1923&amp;", market_mdno ="&amp;$CG$1&amp;", market_date ='"&amp;TEXT($CH$1,"m/d/yyyy")&amp;"' where link_id = (select link_id from parcel where parcel_year = '2024' and parcel_id = '"&amp;A1923&amp;"');"</f>
        <v>update valuation set market_land =51100, market_bldg=196500, market_total =247600, market_mdno =401, market_date ='9/10/2023' where link_id = (select link_id from parcel where parcel_year = '2024' and parcel_id = '23092342486');</v>
      </c>
    </row>
    <row r="1924" spans="1:85" x14ac:dyDescent="0.25">
      <c r="A1924">
        <v>23092342487</v>
      </c>
      <c r="B1924">
        <v>0.26</v>
      </c>
      <c r="C1924">
        <v>11347</v>
      </c>
      <c r="D1924" t="s">
        <v>129</v>
      </c>
      <c r="E1924" t="s">
        <v>53</v>
      </c>
      <c r="F1924" t="s">
        <v>53</v>
      </c>
      <c r="G1924">
        <v>4</v>
      </c>
      <c r="H1924" t="s">
        <v>54</v>
      </c>
      <c r="I1924">
        <v>164300</v>
      </c>
      <c r="J1924">
        <v>40700</v>
      </c>
      <c r="K1924">
        <v>0.26</v>
      </c>
      <c r="L1924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1924">
        <v>0</v>
      </c>
      <c r="N1924">
        <v>0</v>
      </c>
      <c r="O1924">
        <v>0</v>
      </c>
      <c r="P1924">
        <v>13398.7528</v>
      </c>
      <c r="Q1924">
        <v>63903</v>
      </c>
      <c r="R1924">
        <f>(Grandview_Inventory[[#This Row],[ln_acres]]*Grandview_Inventory[[#This Row],[coeff]])+Grandview_Inventory[[#This Row],[const]]</f>
        <v>45853.893187501177</v>
      </c>
      <c r="S1924" t="s">
        <v>61</v>
      </c>
      <c r="T1924">
        <v>1</v>
      </c>
      <c r="U1924" t="s">
        <v>70</v>
      </c>
      <c r="V1924" t="s">
        <v>69</v>
      </c>
      <c r="W1924">
        <v>0</v>
      </c>
      <c r="X1924">
        <v>0</v>
      </c>
      <c r="Y1924">
        <v>43</v>
      </c>
      <c r="Z1924">
        <v>43</v>
      </c>
      <c r="AA1924">
        <v>50</v>
      </c>
      <c r="AB1924">
        <v>1500</v>
      </c>
      <c r="AC1924">
        <v>1344</v>
      </c>
      <c r="AD1924">
        <v>1344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432</v>
      </c>
      <c r="AL1924">
        <v>0</v>
      </c>
      <c r="AM1924">
        <v>0</v>
      </c>
      <c r="AN1924">
        <v>0</v>
      </c>
      <c r="AO1924">
        <v>0</v>
      </c>
      <c r="AP1924">
        <v>8</v>
      </c>
      <c r="AQ1924">
        <v>0</v>
      </c>
      <c r="AR1924">
        <v>0</v>
      </c>
      <c r="AS1924" t="s">
        <v>58</v>
      </c>
      <c r="AT1924">
        <v>1</v>
      </c>
      <c r="AU1924" t="s">
        <v>75</v>
      </c>
      <c r="AV1924" t="s">
        <v>60</v>
      </c>
      <c r="AW1924">
        <v>0</v>
      </c>
      <c r="AX1924">
        <v>3</v>
      </c>
      <c r="AY1924">
        <v>0</v>
      </c>
      <c r="AZ1924">
        <v>0</v>
      </c>
      <c r="BA1924">
        <v>100</v>
      </c>
      <c r="BB1924">
        <v>100</v>
      </c>
      <c r="BC1924">
        <v>100</v>
      </c>
      <c r="BD1924">
        <v>100</v>
      </c>
      <c r="BE1924">
        <v>1</v>
      </c>
      <c r="BF1924">
        <v>15000</v>
      </c>
      <c r="BG1924">
        <v>1000</v>
      </c>
      <c r="BH1924" s="6">
        <f>Grandview_Inventory[[#This Row],[land_extract]]*Lookups!$B$3</f>
        <v>53250.00235313351</v>
      </c>
      <c r="BI1924" s="6">
        <f>IF(Grandview_Inventory[[#This Row],[bldg_style]]="",0,Lookups!$B$2)</f>
        <v>155833.95000000001</v>
      </c>
      <c r="BJ1924" s="6">
        <f>_xlfn.IFNA(VLOOKUP(Grandview_Inventory[[#This Row],[quality]],Lookups!$H$2:$J$14,3,FALSE),0)</f>
        <v>10733</v>
      </c>
      <c r="BK1924" s="6">
        <f>_xlfn.IFNA(VLOOKUP(Grandview_Inventory[[#This Row],[condition]],Lookups!$H$17:$J$24,3,FALSE),0)</f>
        <v>-4503</v>
      </c>
      <c r="BL1924" s="6">
        <f>Grandview_Inventory[[#This Row],[Eff_Age]]*Lookups!$B$14</f>
        <v>-10284.1638</v>
      </c>
      <c r="BM1924" s="6">
        <f>Grandview_Inventory[[#This Row],[living_area]]*Lookups!$B$15</f>
        <v>83839.86643200001</v>
      </c>
      <c r="BN1924" s="6">
        <f>Grandview_Inventory[[#This Row],[Fin BSMT]]*Lookups!$B$16</f>
        <v>0</v>
      </c>
      <c r="BO1924" s="6">
        <f>(Grandview_Inventory[[#This Row],[att_gar]]+Grandview_Inventory[[#This Row],[bltin_gar]])*Lookups!$B$17</f>
        <v>0</v>
      </c>
      <c r="BP1924" s="6">
        <f>Grandview_Inventory[[#This Row],[Plumbing Fixtures]]*Lookups!$B$18</f>
        <v>16083.5344</v>
      </c>
      <c r="BQ1924" s="6">
        <f>Grandview_Inventory[[#This Row],[detatched_value]]*Lookups!$B$19</f>
        <v>0</v>
      </c>
      <c r="BR1924" s="6">
        <f>SUM(Grandview_Inventory[[#This Row],[Intercept]:[det_value]])*Grandview_Inventory[[#This Row],[res_pct]]</f>
        <v>251703.18703200002</v>
      </c>
      <c r="BS1924" s="6">
        <f>Grandview_Inventory[[#This Row],[land_value]]</f>
        <v>53250.00235313351</v>
      </c>
      <c r="BT1924" s="4">
        <f>_xlfn.IFNA(VLOOKUP(Grandview_Inventory[[#This Row],[quality]],Lookups!$A$26:$C$33,3,FALSE),1)</f>
        <v>0.98079741117310582</v>
      </c>
      <c r="BU1924" s="4">
        <f>_xlfn.IFNA(VLOOKUP(Grandview_Inventory[[#This Row],[condition]],Lookups!$A$37:$C$44,3,FALSE),1)</f>
        <v>0.96469275950863709</v>
      </c>
      <c r="BV1924" s="4">
        <f>IF(Grandview_Inventory[[#This Row],[bldg_style]]="",1,_xlfn.IFNA(VLOOKUP(Grandview_Inventory[[#This Row],[decade]],Lookups!$F$29:$H$43,3,FALSE),1))</f>
        <v>0.9871940091910919</v>
      </c>
      <c r="BW1924" s="4">
        <f>_xlfn.IFNA(VLOOKUP(Grandview_Inventory[[#This Row],[living_area_range]],Lookups!$F$47:$H$56,3,FALSE),1)</f>
        <v>0.96135087979789358</v>
      </c>
      <c r="BX1924" s="4">
        <f>AVERAGE(Grandview_Inventory[[#This Row],[qual_adj]:[size_adj]])</f>
        <v>0.97350876491768212</v>
      </c>
      <c r="BY1924" s="6">
        <f>IF(Grandview_Inventory[[#This Row],[pre_res]]&lt;0,0,Grandview_Inventory[[#This Row],[pre_res]]*Grandview_Inventory[[#This Row],[overall_adj]])</f>
        <v>245035.25873336667</v>
      </c>
      <c r="BZ1924" s="6">
        <f>(Grandview_Inventory[[#This Row],[sum_land]]-IF(Grandview_Inventory[[#This Row],[no_utilities]]=1,12000,0))/IF(Grandview_Inventory[[#This Row],[unbuildable]]=1,2,1)</f>
        <v>53250.00235313351</v>
      </c>
      <c r="CA1924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1924">
        <f>ROUND(Grandview_Inventory[[#This Row],[det_value]]*Lookups!$M$28,-2)</f>
        <v>0</v>
      </c>
      <c r="CC1924">
        <f>IF(ROUND(Grandview_Inventory[[#This Row],[adj_res]]*Lookups!$M$28,-2)&lt;Grandview_Inventory[[#This Row],[min_res]],Grandview_Inventory[[#This Row],[min_res]],ROUND(Grandview_Inventory[[#This Row],[adj_res]]*Lookups!$M$28,-2))</f>
        <v>232800</v>
      </c>
      <c r="CD1924">
        <f>Grandview_Inventory[[#This Row],[final_det]]+Grandview_Inventory[[#This Row],[final_res]]</f>
        <v>232800</v>
      </c>
      <c r="CE1924">
        <f>Grandview_Inventory[[#This Row],[final_land]]+Grandview_Inventory[[#This Row],[final_imp]]+Grandview_Inventory[[#This Row],[crop_value]]</f>
        <v>283400</v>
      </c>
      <c r="CG1924" t="str">
        <f t="shared" si="30"/>
        <v>update valuation set market_land =50600, market_bldg=232800, market_total =283400, market_mdno =401, market_date ='9/10/2023' where link_id = (select link_id from parcel where parcel_year = '2024' and parcel_id = '23092342487');</v>
      </c>
    </row>
    <row r="1925" spans="1:85" x14ac:dyDescent="0.25">
      <c r="A1925">
        <v>23092342490</v>
      </c>
      <c r="B1925">
        <v>0.46</v>
      </c>
      <c r="C1925">
        <v>19821</v>
      </c>
      <c r="D1925" t="s">
        <v>129</v>
      </c>
      <c r="E1925" t="s">
        <v>53</v>
      </c>
      <c r="F1925" t="s">
        <v>53</v>
      </c>
      <c r="G1925">
        <v>4</v>
      </c>
      <c r="H1925" t="s">
        <v>54</v>
      </c>
      <c r="I1925">
        <v>108700</v>
      </c>
      <c r="J1925">
        <v>41900</v>
      </c>
      <c r="K1925">
        <v>0.46</v>
      </c>
      <c r="L1925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1925">
        <v>0</v>
      </c>
      <c r="N1925">
        <v>0</v>
      </c>
      <c r="O1925">
        <v>0</v>
      </c>
      <c r="P1925">
        <v>13398.7528</v>
      </c>
      <c r="Q1925">
        <v>63903</v>
      </c>
      <c r="R1925">
        <f>(Grandview_Inventory[[#This Row],[ln_acres]]*Grandview_Inventory[[#This Row],[coeff]])+Grandview_Inventory[[#This Row],[const]]</f>
        <v>53498.482707419709</v>
      </c>
      <c r="S1925" t="s">
        <v>61</v>
      </c>
      <c r="T1925">
        <v>1</v>
      </c>
      <c r="U1925" t="s">
        <v>65</v>
      </c>
      <c r="V1925" t="s">
        <v>78</v>
      </c>
      <c r="W1925">
        <v>0</v>
      </c>
      <c r="X1925">
        <v>0</v>
      </c>
      <c r="Y1925">
        <v>23</v>
      </c>
      <c r="Z1925">
        <v>23</v>
      </c>
      <c r="AA1925">
        <v>30</v>
      </c>
      <c r="AB1925">
        <v>1500</v>
      </c>
      <c r="AC1925">
        <v>1232</v>
      </c>
      <c r="AD1925">
        <v>1232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128</v>
      </c>
      <c r="AM1925">
        <v>0</v>
      </c>
      <c r="AN1925">
        <v>0</v>
      </c>
      <c r="AO1925">
        <v>0</v>
      </c>
      <c r="AP1925">
        <v>7</v>
      </c>
      <c r="AQ1925">
        <v>0</v>
      </c>
      <c r="AR1925">
        <v>0</v>
      </c>
      <c r="AS1925" t="s">
        <v>58</v>
      </c>
      <c r="AT1925">
        <v>1</v>
      </c>
      <c r="AU1925" t="s">
        <v>75</v>
      </c>
      <c r="AV1925" t="s">
        <v>60</v>
      </c>
      <c r="AW1925">
        <v>0</v>
      </c>
      <c r="AX1925">
        <v>3</v>
      </c>
      <c r="AY1925">
        <v>0</v>
      </c>
      <c r="AZ1925">
        <v>0</v>
      </c>
      <c r="BA1925">
        <v>100</v>
      </c>
      <c r="BB1925">
        <v>100</v>
      </c>
      <c r="BC1925">
        <v>100</v>
      </c>
      <c r="BD1925">
        <v>100</v>
      </c>
      <c r="BE1925">
        <v>1</v>
      </c>
      <c r="BF1925">
        <v>15000</v>
      </c>
      <c r="BG1925">
        <v>1000</v>
      </c>
      <c r="BH1925" s="6">
        <f>Grandview_Inventory[[#This Row],[land_extract]]*Lookups!$B$3</f>
        <v>62127.643522223196</v>
      </c>
      <c r="BI1925" s="6">
        <f>IF(Grandview_Inventory[[#This Row],[bldg_style]]="",0,Lookups!$B$2)</f>
        <v>155833.95000000001</v>
      </c>
      <c r="BJ1925" s="6">
        <f>_xlfn.IFNA(VLOOKUP(Grandview_Inventory[[#This Row],[quality]],Lookups!$H$2:$J$14,3,FALSE),0)</f>
        <v>2251</v>
      </c>
      <c r="BK1925" s="6">
        <f>_xlfn.IFNA(VLOOKUP(Grandview_Inventory[[#This Row],[condition]],Lookups!$H$17:$J$24,3,FALSE),0)</f>
        <v>-45357</v>
      </c>
      <c r="BL1925" s="6">
        <f>Grandview_Inventory[[#This Row],[Eff_Age]]*Lookups!$B$14</f>
        <v>-5500.8317999999999</v>
      </c>
      <c r="BM1925" s="6">
        <f>Grandview_Inventory[[#This Row],[living_area]]*Lookups!$B$15</f>
        <v>76853.210896000004</v>
      </c>
      <c r="BN1925" s="6">
        <f>Grandview_Inventory[[#This Row],[Fin BSMT]]*Lookups!$B$16</f>
        <v>0</v>
      </c>
      <c r="BO1925" s="6">
        <f>(Grandview_Inventory[[#This Row],[att_gar]]+Grandview_Inventory[[#This Row],[bltin_gar]])*Lookups!$B$17</f>
        <v>0</v>
      </c>
      <c r="BP1925" s="6">
        <f>Grandview_Inventory[[#This Row],[Plumbing Fixtures]]*Lookups!$B$18</f>
        <v>14073.0926</v>
      </c>
      <c r="BQ1925" s="6">
        <f>Grandview_Inventory[[#This Row],[detatched_value]]*Lookups!$B$19</f>
        <v>0</v>
      </c>
      <c r="BR1925" s="6">
        <f>SUM(Grandview_Inventory[[#This Row],[Intercept]:[det_value]])*Grandview_Inventory[[#This Row],[res_pct]]</f>
        <v>198153.421696</v>
      </c>
      <c r="BS1925" s="6">
        <f>Grandview_Inventory[[#This Row],[land_value]]</f>
        <v>62127.643522223196</v>
      </c>
      <c r="BT1925" s="4">
        <f>_xlfn.IFNA(VLOOKUP(Grandview_Inventory[[#This Row],[quality]],Lookups!$A$26:$C$33,3,FALSE),1)</f>
        <v>0.98763855981004833</v>
      </c>
      <c r="BU1925" s="4">
        <f>_xlfn.IFNA(VLOOKUP(Grandview_Inventory[[#This Row],[condition]],Lookups!$A$37:$C$44,3,FALSE),1)</f>
        <v>0.97161819570155394</v>
      </c>
      <c r="BV1925" s="4">
        <f>IF(Grandview_Inventory[[#This Row],[bldg_style]]="",1,_xlfn.IFNA(VLOOKUP(Grandview_Inventory[[#This Row],[decade]],Lookups!$F$29:$H$43,3,FALSE),1))</f>
        <v>0.98397821291089549</v>
      </c>
      <c r="BW1925" s="4">
        <f>_xlfn.IFNA(VLOOKUP(Grandview_Inventory[[#This Row],[living_area_range]],Lookups!$F$47:$H$56,3,FALSE),1)</f>
        <v>0.96135087979789358</v>
      </c>
      <c r="BX1925" s="4">
        <f>AVERAGE(Grandview_Inventory[[#This Row],[qual_adj]:[size_adj]])</f>
        <v>0.97614646205509781</v>
      </c>
      <c r="BY1925" s="6">
        <f>IF(Grandview_Inventory[[#This Row],[pre_res]]&lt;0,0,Grandview_Inventory[[#This Row],[pre_res]]*Grandview_Inventory[[#This Row],[overall_adj]])</f>
        <v>193426.76153266226</v>
      </c>
      <c r="BZ1925" s="6">
        <f>(Grandview_Inventory[[#This Row],[sum_land]]-IF(Grandview_Inventory[[#This Row],[no_utilities]]=1,12000,0))/IF(Grandview_Inventory[[#This Row],[unbuildable]]=1,2,1)</f>
        <v>62127.643522223196</v>
      </c>
      <c r="CA1925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1925">
        <f>ROUND(Grandview_Inventory[[#This Row],[det_value]]*Lookups!$M$28,-2)</f>
        <v>0</v>
      </c>
      <c r="CC1925">
        <f>IF(ROUND(Grandview_Inventory[[#This Row],[adj_res]]*Lookups!$M$28,-2)&lt;Grandview_Inventory[[#This Row],[min_res]],Grandview_Inventory[[#This Row],[min_res]],ROUND(Grandview_Inventory[[#This Row],[adj_res]]*Lookups!$M$28,-2))</f>
        <v>183800</v>
      </c>
      <c r="CD1925">
        <f>Grandview_Inventory[[#This Row],[final_det]]+Grandview_Inventory[[#This Row],[final_res]]</f>
        <v>183800</v>
      </c>
      <c r="CE1925">
        <f>Grandview_Inventory[[#This Row],[final_land]]+Grandview_Inventory[[#This Row],[final_imp]]+Grandview_Inventory[[#This Row],[crop_value]]</f>
        <v>242800</v>
      </c>
      <c r="CG1925" t="str">
        <f t="shared" si="30"/>
        <v>update valuation set market_land =59000, market_bldg=183800, market_total =242800, market_mdno =401, market_date ='9/10/2023' where link_id = (select link_id from parcel where parcel_year = '2024' and parcel_id = '23092342490');</v>
      </c>
    </row>
    <row r="1926" spans="1:85" x14ac:dyDescent="0.25">
      <c r="A1926">
        <v>23092342494</v>
      </c>
      <c r="B1926">
        <v>0.23</v>
      </c>
      <c r="C1926">
        <v>9892</v>
      </c>
      <c r="D1926" t="s">
        <v>129</v>
      </c>
      <c r="E1926" t="s">
        <v>53</v>
      </c>
      <c r="F1926" t="s">
        <v>53</v>
      </c>
      <c r="G1926">
        <v>4</v>
      </c>
      <c r="H1926" t="s">
        <v>54</v>
      </c>
      <c r="I1926">
        <v>225500</v>
      </c>
      <c r="J1926">
        <v>40000</v>
      </c>
      <c r="K1926">
        <v>0.23</v>
      </c>
      <c r="L192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926">
        <v>0</v>
      </c>
      <c r="N1926">
        <v>0</v>
      </c>
      <c r="O1926">
        <v>0</v>
      </c>
      <c r="P1926">
        <v>13398.7528</v>
      </c>
      <c r="Q1926">
        <v>63903</v>
      </c>
      <c r="R1926">
        <f>(Grandview_Inventory[[#This Row],[ln_acres]]*Grandview_Inventory[[#This Row],[coeff]])+Grandview_Inventory[[#This Row],[const]]</f>
        <v>44211.174981080039</v>
      </c>
      <c r="S1926" t="s">
        <v>68</v>
      </c>
      <c r="T1926">
        <v>1</v>
      </c>
      <c r="U1926" t="s">
        <v>65</v>
      </c>
      <c r="V1926" t="s">
        <v>57</v>
      </c>
      <c r="W1926">
        <v>0</v>
      </c>
      <c r="X1926">
        <v>0</v>
      </c>
      <c r="Y1926">
        <v>5</v>
      </c>
      <c r="Z1926">
        <v>5</v>
      </c>
      <c r="AA1926">
        <v>10</v>
      </c>
      <c r="AB1926">
        <v>1500</v>
      </c>
      <c r="AC1926">
        <v>1295</v>
      </c>
      <c r="AD1926">
        <v>1295</v>
      </c>
      <c r="AE1926">
        <v>0</v>
      </c>
      <c r="AF1926">
        <v>0</v>
      </c>
      <c r="AG1926">
        <v>0</v>
      </c>
      <c r="AH1926">
        <v>0</v>
      </c>
      <c r="AI1926">
        <v>400</v>
      </c>
      <c r="AJ1926">
        <v>0</v>
      </c>
      <c r="AK1926">
        <v>0</v>
      </c>
      <c r="AL1926">
        <v>0</v>
      </c>
      <c r="AM1926">
        <v>100</v>
      </c>
      <c r="AN1926">
        <v>45</v>
      </c>
      <c r="AO1926">
        <v>100</v>
      </c>
      <c r="AP1926">
        <v>8</v>
      </c>
      <c r="AQ1926">
        <v>0</v>
      </c>
      <c r="AR1926">
        <v>0</v>
      </c>
      <c r="AS1926" t="s">
        <v>58</v>
      </c>
      <c r="AT1926">
        <v>1</v>
      </c>
      <c r="AU1926" t="s">
        <v>59</v>
      </c>
      <c r="AV1926" t="s">
        <v>60</v>
      </c>
      <c r="AW1926">
        <v>1</v>
      </c>
      <c r="AX1926">
        <v>3</v>
      </c>
      <c r="AY1926">
        <v>0</v>
      </c>
      <c r="AZ1926">
        <v>0</v>
      </c>
      <c r="BA1926">
        <v>100</v>
      </c>
      <c r="BB1926">
        <v>100</v>
      </c>
      <c r="BC1926">
        <v>100</v>
      </c>
      <c r="BD1926">
        <v>100</v>
      </c>
      <c r="BE1926">
        <v>1</v>
      </c>
      <c r="BF1926">
        <v>15000</v>
      </c>
      <c r="BG1926">
        <v>1000</v>
      </c>
      <c r="BH1926" s="6">
        <f>Grandview_Inventory[[#This Row],[land_extract]]*Lookups!$B$3</f>
        <v>51342.318135355803</v>
      </c>
      <c r="BI1926" s="6">
        <f>IF(Grandview_Inventory[[#This Row],[bldg_style]]="",0,Lookups!$B$2)</f>
        <v>155833.95000000001</v>
      </c>
      <c r="BJ1926" s="6">
        <f>_xlfn.IFNA(VLOOKUP(Grandview_Inventory[[#This Row],[quality]],Lookups!$H$2:$J$14,3,FALSE),0)</f>
        <v>2251</v>
      </c>
      <c r="BK1926" s="6">
        <f>_xlfn.IFNA(VLOOKUP(Grandview_Inventory[[#This Row],[condition]],Lookups!$H$17:$J$24,3,FALSE),0)</f>
        <v>25780</v>
      </c>
      <c r="BL1926" s="6">
        <f>Grandview_Inventory[[#This Row],[Eff_Age]]*Lookups!$B$14</f>
        <v>-1195.8329999999999</v>
      </c>
      <c r="BM1926" s="6">
        <f>Grandview_Inventory[[#This Row],[living_area]]*Lookups!$B$15</f>
        <v>80783.204635000002</v>
      </c>
      <c r="BN1926" s="6">
        <f>Grandview_Inventory[[#This Row],[Fin BSMT]]*Lookups!$B$16</f>
        <v>0</v>
      </c>
      <c r="BO1926" s="6">
        <f>(Grandview_Inventory[[#This Row],[att_gar]]+Grandview_Inventory[[#This Row],[bltin_gar]])*Lookups!$B$17</f>
        <v>35008.174800000001</v>
      </c>
      <c r="BP1926" s="6">
        <f>Grandview_Inventory[[#This Row],[Plumbing Fixtures]]*Lookups!$B$18</f>
        <v>16083.5344</v>
      </c>
      <c r="BQ1926" s="6">
        <f>Grandview_Inventory[[#This Row],[detatched_value]]*Lookups!$B$19</f>
        <v>0</v>
      </c>
      <c r="BR1926" s="6">
        <f>SUM(Grandview_Inventory[[#This Row],[Intercept]:[det_value]])*Grandview_Inventory[[#This Row],[res_pct]]</f>
        <v>314544.03083499998</v>
      </c>
      <c r="BS1926" s="6">
        <f>Grandview_Inventory[[#This Row],[land_value]]</f>
        <v>51342.318135355803</v>
      </c>
      <c r="BT1926" s="4">
        <f>_xlfn.IFNA(VLOOKUP(Grandview_Inventory[[#This Row],[quality]],Lookups!$A$26:$C$33,3,FALSE),1)</f>
        <v>0.98763855981004833</v>
      </c>
      <c r="BU1926" s="4">
        <f>_xlfn.IFNA(VLOOKUP(Grandview_Inventory[[#This Row],[condition]],Lookups!$A$37:$C$44,3,FALSE),1)</f>
        <v>0.94347925387812148</v>
      </c>
      <c r="BV1926" s="4">
        <f>IF(Grandview_Inventory[[#This Row],[bldg_style]]="",1,_xlfn.IFNA(VLOOKUP(Grandview_Inventory[[#This Row],[decade]],Lookups!$F$29:$H$43,3,FALSE),1))</f>
        <v>0.94601966599150278</v>
      </c>
      <c r="BW1926" s="4">
        <f>_xlfn.IFNA(VLOOKUP(Grandview_Inventory[[#This Row],[living_area_range]],Lookups!$F$47:$H$56,3,FALSE),1)</f>
        <v>0.96135087979789358</v>
      </c>
      <c r="BX1926" s="4">
        <f>AVERAGE(Grandview_Inventory[[#This Row],[qual_adj]:[size_adj]])</f>
        <v>0.95962208986939146</v>
      </c>
      <c r="BY1926" s="6">
        <f>IF(Grandview_Inventory[[#This Row],[pre_res]]&lt;0,0,Grandview_Inventory[[#This Row],[pre_res]]*Grandview_Inventory[[#This Row],[overall_adj]])</f>
        <v>301843.40022582497</v>
      </c>
      <c r="BZ1926" s="6">
        <f>(Grandview_Inventory[[#This Row],[sum_land]]-IF(Grandview_Inventory[[#This Row],[no_utilities]]=1,12000,0))/IF(Grandview_Inventory[[#This Row],[unbuildable]]=1,2,1)</f>
        <v>51342.318135355803</v>
      </c>
      <c r="CA192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926">
        <f>ROUND(Grandview_Inventory[[#This Row],[det_value]]*Lookups!$M$28,-2)</f>
        <v>0</v>
      </c>
      <c r="CC1926">
        <f>IF(ROUND(Grandview_Inventory[[#This Row],[adj_res]]*Lookups!$M$28,-2)&lt;Grandview_Inventory[[#This Row],[min_res]],Grandview_Inventory[[#This Row],[min_res]],ROUND(Grandview_Inventory[[#This Row],[adj_res]]*Lookups!$M$28,-2))</f>
        <v>286800</v>
      </c>
      <c r="CD1926">
        <f>Grandview_Inventory[[#This Row],[final_det]]+Grandview_Inventory[[#This Row],[final_res]]</f>
        <v>286800</v>
      </c>
      <c r="CE1926">
        <f>Grandview_Inventory[[#This Row],[final_land]]+Grandview_Inventory[[#This Row],[final_imp]]+Grandview_Inventory[[#This Row],[crop_value]]</f>
        <v>335600</v>
      </c>
      <c r="CG1926" t="str">
        <f t="shared" si="30"/>
        <v>update valuation set market_land =48800, market_bldg=286800, market_total =335600, market_mdno =401, market_date ='9/10/2023' where link_id = (select link_id from parcel where parcel_year = '2024' and parcel_id = '23092342494');</v>
      </c>
    </row>
    <row r="1927" spans="1:85" x14ac:dyDescent="0.25">
      <c r="A1927">
        <v>23092342496</v>
      </c>
      <c r="B1927">
        <v>0.32</v>
      </c>
      <c r="C1927" t="s">
        <v>129</v>
      </c>
      <c r="D1927" t="s">
        <v>129</v>
      </c>
      <c r="E1927" t="s">
        <v>53</v>
      </c>
      <c r="F1927" t="s">
        <v>53</v>
      </c>
      <c r="G1927">
        <v>4</v>
      </c>
      <c r="H1927" t="s">
        <v>54</v>
      </c>
      <c r="I1927">
        <v>130500</v>
      </c>
      <c r="J1927">
        <v>41600</v>
      </c>
      <c r="K1927">
        <v>0.32</v>
      </c>
      <c r="L1927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1927">
        <v>0</v>
      </c>
      <c r="N1927">
        <v>0</v>
      </c>
      <c r="O1927">
        <v>0</v>
      </c>
      <c r="P1927">
        <v>13398.7528</v>
      </c>
      <c r="Q1927">
        <v>63903</v>
      </c>
      <c r="R1927">
        <f>(Grandview_Inventory[[#This Row],[ln_acres]]*Grandview_Inventory[[#This Row],[coeff]])+Grandview_Inventory[[#This Row],[const]]</f>
        <v>48636.001707713905</v>
      </c>
      <c r="S1927" t="s">
        <v>68</v>
      </c>
      <c r="T1927">
        <v>1</v>
      </c>
      <c r="U1927" t="s">
        <v>65</v>
      </c>
      <c r="V1927" t="s">
        <v>69</v>
      </c>
      <c r="W1927">
        <v>0</v>
      </c>
      <c r="X1927">
        <v>0</v>
      </c>
      <c r="Y1927">
        <v>52</v>
      </c>
      <c r="Z1927">
        <v>85</v>
      </c>
      <c r="AA1927">
        <v>90</v>
      </c>
      <c r="AB1927">
        <v>1500</v>
      </c>
      <c r="AC1927">
        <v>1116</v>
      </c>
      <c r="AD1927">
        <v>1116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240</v>
      </c>
      <c r="AN1927">
        <v>20</v>
      </c>
      <c r="AO1927">
        <v>240</v>
      </c>
      <c r="AP1927">
        <v>5</v>
      </c>
      <c r="AQ1927">
        <v>0</v>
      </c>
      <c r="AR1927">
        <v>0</v>
      </c>
      <c r="AS1927" t="s">
        <v>58</v>
      </c>
      <c r="AT1927">
        <v>1</v>
      </c>
      <c r="AU1927" t="s">
        <v>63</v>
      </c>
      <c r="AV1927" t="s">
        <v>60</v>
      </c>
      <c r="AW1927">
        <v>1</v>
      </c>
      <c r="AX1927">
        <v>2</v>
      </c>
      <c r="AY1927">
        <v>0</v>
      </c>
      <c r="AZ1927">
        <v>0</v>
      </c>
      <c r="BA1927">
        <v>100</v>
      </c>
      <c r="BB1927">
        <v>100</v>
      </c>
      <c r="BC1927">
        <v>100</v>
      </c>
      <c r="BD1927">
        <v>100</v>
      </c>
      <c r="BE1927">
        <v>1</v>
      </c>
      <c r="BF1927">
        <v>15000</v>
      </c>
      <c r="BG1927">
        <v>1000</v>
      </c>
      <c r="BH1927" s="6">
        <f>Grandview_Inventory[[#This Row],[land_extract]]*Lookups!$B$3</f>
        <v>56480.857465963549</v>
      </c>
      <c r="BI1927" s="6">
        <f>IF(Grandview_Inventory[[#This Row],[bldg_style]]="",0,Lookups!$B$2)</f>
        <v>155833.95000000001</v>
      </c>
      <c r="BJ1927" s="6">
        <f>_xlfn.IFNA(VLOOKUP(Grandview_Inventory[[#This Row],[quality]],Lookups!$H$2:$J$14,3,FALSE),0)</f>
        <v>2251</v>
      </c>
      <c r="BK1927" s="6">
        <f>_xlfn.IFNA(VLOOKUP(Grandview_Inventory[[#This Row],[condition]],Lookups!$H$17:$J$24,3,FALSE),0)</f>
        <v>-4503</v>
      </c>
      <c r="BL1927" s="6">
        <f>Grandview_Inventory[[#This Row],[Eff_Age]]*Lookups!$B$14</f>
        <v>-12436.663199999999</v>
      </c>
      <c r="BM1927" s="6">
        <f>Grandview_Inventory[[#This Row],[living_area]]*Lookups!$B$15</f>
        <v>69617.031948000003</v>
      </c>
      <c r="BN1927" s="6">
        <f>Grandview_Inventory[[#This Row],[Fin BSMT]]*Lookups!$B$16</f>
        <v>0</v>
      </c>
      <c r="BO1927" s="6">
        <f>(Grandview_Inventory[[#This Row],[att_gar]]+Grandview_Inventory[[#This Row],[bltin_gar]])*Lookups!$B$17</f>
        <v>0</v>
      </c>
      <c r="BP1927" s="6">
        <f>Grandview_Inventory[[#This Row],[Plumbing Fixtures]]*Lookups!$B$18</f>
        <v>10052.209000000001</v>
      </c>
      <c r="BQ1927" s="6">
        <f>Grandview_Inventory[[#This Row],[detatched_value]]*Lookups!$B$19</f>
        <v>0</v>
      </c>
      <c r="BR1927" s="6">
        <f>SUM(Grandview_Inventory[[#This Row],[Intercept]:[det_value]])*Grandview_Inventory[[#This Row],[res_pct]]</f>
        <v>220814.52774800002</v>
      </c>
      <c r="BS1927" s="6">
        <f>Grandview_Inventory[[#This Row],[land_value]]</f>
        <v>56480.857465963549</v>
      </c>
      <c r="BT1927" s="4">
        <f>_xlfn.IFNA(VLOOKUP(Grandview_Inventory[[#This Row],[quality]],Lookups!$A$26:$C$33,3,FALSE),1)</f>
        <v>0.98763855981004833</v>
      </c>
      <c r="BU1927" s="4">
        <f>_xlfn.IFNA(VLOOKUP(Grandview_Inventory[[#This Row],[condition]],Lookups!$A$37:$C$44,3,FALSE),1)</f>
        <v>0.96469275950863709</v>
      </c>
      <c r="BV1927" s="4">
        <f>IF(Grandview_Inventory[[#This Row],[bldg_style]]="",1,_xlfn.IFNA(VLOOKUP(Grandview_Inventory[[#This Row],[decade]],Lookups!$F$29:$H$43,3,FALSE),1))</f>
        <v>0.94161750052457416</v>
      </c>
      <c r="BW1927" s="4">
        <f>_xlfn.IFNA(VLOOKUP(Grandview_Inventory[[#This Row],[living_area_range]],Lookups!$F$47:$H$56,3,FALSE),1)</f>
        <v>0.96135087979789358</v>
      </c>
      <c r="BX1927" s="4">
        <f>AVERAGE(Grandview_Inventory[[#This Row],[qual_adj]:[size_adj]])</f>
        <v>0.96382492491028826</v>
      </c>
      <c r="BY1927" s="6">
        <f>IF(Grandview_Inventory[[#This Row],[pre_res]]&lt;0,0,Grandview_Inventory[[#This Row],[pre_res]]*Grandview_Inventory[[#This Row],[overall_adj]])</f>
        <v>212826.54562581689</v>
      </c>
      <c r="BZ1927" s="6">
        <f>(Grandview_Inventory[[#This Row],[sum_land]]-IF(Grandview_Inventory[[#This Row],[no_utilities]]=1,12000,0))/IF(Grandview_Inventory[[#This Row],[unbuildable]]=1,2,1)</f>
        <v>56480.857465963549</v>
      </c>
      <c r="CA1927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1927">
        <f>ROUND(Grandview_Inventory[[#This Row],[det_value]]*Lookups!$M$28,-2)</f>
        <v>0</v>
      </c>
      <c r="CC1927">
        <f>IF(ROUND(Grandview_Inventory[[#This Row],[adj_res]]*Lookups!$M$28,-2)&lt;Grandview_Inventory[[#This Row],[min_res]],Grandview_Inventory[[#This Row],[min_res]],ROUND(Grandview_Inventory[[#This Row],[adj_res]]*Lookups!$M$28,-2))</f>
        <v>202200</v>
      </c>
      <c r="CD1927">
        <f>Grandview_Inventory[[#This Row],[final_det]]+Grandview_Inventory[[#This Row],[final_res]]</f>
        <v>202200</v>
      </c>
      <c r="CE1927">
        <f>Grandview_Inventory[[#This Row],[final_land]]+Grandview_Inventory[[#This Row],[final_imp]]+Grandview_Inventory[[#This Row],[crop_value]]</f>
        <v>255900</v>
      </c>
      <c r="CG1927" t="str">
        <f t="shared" si="30"/>
        <v>update valuation set market_land =53700, market_bldg=202200, market_total =255900, market_mdno =401, market_date ='9/10/2023' where link_id = (select link_id from parcel where parcel_year = '2024' and parcel_id = '23092342496');</v>
      </c>
    </row>
    <row r="1928" spans="1:85" x14ac:dyDescent="0.25">
      <c r="A1928">
        <v>23092342500</v>
      </c>
      <c r="B1928">
        <v>0.28999999999999998</v>
      </c>
      <c r="C1928">
        <v>12435</v>
      </c>
      <c r="D1928" t="s">
        <v>129</v>
      </c>
      <c r="E1928" t="s">
        <v>53</v>
      </c>
      <c r="F1928" t="s">
        <v>53</v>
      </c>
      <c r="G1928">
        <v>4</v>
      </c>
      <c r="H1928" t="s">
        <v>54</v>
      </c>
      <c r="I1928">
        <v>36400</v>
      </c>
      <c r="J1928">
        <v>40900</v>
      </c>
      <c r="K1928">
        <v>0.28999999999999998</v>
      </c>
      <c r="L1928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1928">
        <v>0</v>
      </c>
      <c r="N1928">
        <v>0</v>
      </c>
      <c r="O1928">
        <v>0</v>
      </c>
      <c r="P1928">
        <v>13398.7528</v>
      </c>
      <c r="Q1928">
        <v>63903</v>
      </c>
      <c r="R1928">
        <f>(Grandview_Inventory[[#This Row],[ln_acres]]*Grandview_Inventory[[#This Row],[coeff]])+Grandview_Inventory[[#This Row],[const]]</f>
        <v>47317.027506475133</v>
      </c>
      <c r="S1928" t="s">
        <v>68</v>
      </c>
      <c r="T1928">
        <v>1</v>
      </c>
      <c r="U1928" t="s">
        <v>80</v>
      </c>
      <c r="V1928" t="s">
        <v>94</v>
      </c>
      <c r="W1928">
        <v>0</v>
      </c>
      <c r="X1928">
        <v>0</v>
      </c>
      <c r="Y1928">
        <v>50</v>
      </c>
      <c r="Z1928">
        <v>73</v>
      </c>
      <c r="AA1928">
        <v>80</v>
      </c>
      <c r="AB1928">
        <v>1000</v>
      </c>
      <c r="AC1928">
        <v>877</v>
      </c>
      <c r="AD1928">
        <v>877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5</v>
      </c>
      <c r="AQ1928">
        <v>0</v>
      </c>
      <c r="AR1928">
        <v>0</v>
      </c>
      <c r="AS1928" t="s">
        <v>58</v>
      </c>
      <c r="AT1928">
        <v>1</v>
      </c>
      <c r="AU1928" t="s">
        <v>75</v>
      </c>
      <c r="AV1928" t="s">
        <v>60</v>
      </c>
      <c r="AW1928">
        <v>0</v>
      </c>
      <c r="AX1928">
        <v>2</v>
      </c>
      <c r="AY1928">
        <v>0</v>
      </c>
      <c r="AZ1928">
        <v>14200</v>
      </c>
      <c r="BA1928">
        <v>60</v>
      </c>
      <c r="BB1928">
        <v>100</v>
      </c>
      <c r="BC1928">
        <v>100</v>
      </c>
      <c r="BD1928">
        <v>100</v>
      </c>
      <c r="BE1928">
        <v>0.6</v>
      </c>
      <c r="BF1928">
        <v>15000</v>
      </c>
      <c r="BG1928">
        <v>1000</v>
      </c>
      <c r="BH1928" s="6">
        <f>Grandview_Inventory[[#This Row],[land_extract]]*Lookups!$B$3</f>
        <v>54949.136287295303</v>
      </c>
      <c r="BI1928" s="6">
        <f>IF(Grandview_Inventory[[#This Row],[bldg_style]]="",0,Lookups!$B$2)</f>
        <v>155833.95000000001</v>
      </c>
      <c r="BJ1928" s="6">
        <f>_xlfn.IFNA(VLOOKUP(Grandview_Inventory[[#This Row],[quality]],Lookups!$H$2:$J$14,3,FALSE),0)</f>
        <v>-28558</v>
      </c>
      <c r="BK1928" s="6">
        <f>_xlfn.IFNA(VLOOKUP(Grandview_Inventory[[#This Row],[condition]],Lookups!$H$17:$J$24,3,FALSE),0)</f>
        <v>-77566.475205170951</v>
      </c>
      <c r="BL1928" s="6">
        <f>Grandview_Inventory[[#This Row],[Eff_Age]]*Lookups!$B$14</f>
        <v>-11958.33</v>
      </c>
      <c r="BM1928" s="6">
        <f>Grandview_Inventory[[#This Row],[living_area]]*Lookups!$B$15</f>
        <v>54708.008081</v>
      </c>
      <c r="BN1928" s="6">
        <f>Grandview_Inventory[[#This Row],[Fin BSMT]]*Lookups!$B$16</f>
        <v>0</v>
      </c>
      <c r="BO1928" s="6">
        <f>(Grandview_Inventory[[#This Row],[att_gar]]+Grandview_Inventory[[#This Row],[bltin_gar]])*Lookups!$B$17</f>
        <v>0</v>
      </c>
      <c r="BP1928" s="6">
        <f>Grandview_Inventory[[#This Row],[Plumbing Fixtures]]*Lookups!$B$18</f>
        <v>10052.209000000001</v>
      </c>
      <c r="BQ1928" s="6">
        <f>Grandview_Inventory[[#This Row],[detatched_value]]*Lookups!$B$19</f>
        <v>12024.63242</v>
      </c>
      <c r="BR1928" s="6">
        <f>SUM(Grandview_Inventory[[#This Row],[Intercept]:[det_value]])*Grandview_Inventory[[#This Row],[res_pct]]</f>
        <v>68721.596577497432</v>
      </c>
      <c r="BS1928" s="6">
        <f>Grandview_Inventory[[#This Row],[land_value]]</f>
        <v>54949.136287295303</v>
      </c>
      <c r="BT1928" s="4">
        <f>_xlfn.IFNA(VLOOKUP(Grandview_Inventory[[#This Row],[quality]],Lookups!$A$26:$C$33,3,FALSE),1)</f>
        <v>0.9690360070159818</v>
      </c>
      <c r="BU1928" s="4">
        <f>_xlfn.IFNA(VLOOKUP(Grandview_Inventory[[#This Row],[condition]],Lookups!$A$37:$C$44,3,FALSE),1)</f>
        <v>0.97161819570155394</v>
      </c>
      <c r="BV1928" s="4">
        <f>IF(Grandview_Inventory[[#This Row],[bldg_style]]="",1,_xlfn.IFNA(VLOOKUP(Grandview_Inventory[[#This Row],[decade]],Lookups!$F$29:$H$43,3,FALSE),1))</f>
        <v>0.98763256963907298</v>
      </c>
      <c r="BW1928" s="4">
        <f>_xlfn.IFNA(VLOOKUP(Grandview_Inventory[[#This Row],[living_area_range]],Lookups!$F$47:$H$56,3,FALSE),1)</f>
        <v>0.94306777142782894</v>
      </c>
      <c r="BX1928" s="4">
        <f>AVERAGE(Grandview_Inventory[[#This Row],[qual_adj]:[size_adj]])</f>
        <v>0.96783863594610942</v>
      </c>
      <c r="BY1928" s="6">
        <f>IF(Grandview_Inventory[[#This Row],[pre_res]]&lt;0,0,Grandview_Inventory[[#This Row],[pre_res]]*Grandview_Inventory[[#This Row],[overall_adj]])</f>
        <v>66511.416291603935</v>
      </c>
      <c r="BZ1928" s="6">
        <f>(Grandview_Inventory[[#This Row],[sum_land]]-IF(Grandview_Inventory[[#This Row],[no_utilities]]=1,12000,0))/IF(Grandview_Inventory[[#This Row],[unbuildable]]=1,2,1)</f>
        <v>54949.136287295303</v>
      </c>
      <c r="CA1928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1928">
        <f>ROUND(Grandview_Inventory[[#This Row],[det_value]]*Lookups!$M$28,-2)</f>
        <v>11400</v>
      </c>
      <c r="CC1928">
        <f>IF(ROUND(Grandview_Inventory[[#This Row],[adj_res]]*Lookups!$M$28,-2)&lt;Grandview_Inventory[[#This Row],[min_res]],Grandview_Inventory[[#This Row],[min_res]],ROUND(Grandview_Inventory[[#This Row],[adj_res]]*Lookups!$M$28,-2))</f>
        <v>63200</v>
      </c>
      <c r="CD1928">
        <f>Grandview_Inventory[[#This Row],[final_det]]+Grandview_Inventory[[#This Row],[final_res]]</f>
        <v>74600</v>
      </c>
      <c r="CE1928">
        <f>Grandview_Inventory[[#This Row],[final_land]]+Grandview_Inventory[[#This Row],[final_imp]]+Grandview_Inventory[[#This Row],[crop_value]]</f>
        <v>126800</v>
      </c>
      <c r="CG1928" t="str">
        <f t="shared" si="30"/>
        <v>update valuation set market_land =52200, market_bldg=74600, market_total =126800, market_mdno =401, market_date ='9/10/2023' where link_id = (select link_id from parcel where parcel_year = '2024' and parcel_id = '23092342500');</v>
      </c>
    </row>
    <row r="1929" spans="1:85" x14ac:dyDescent="0.25">
      <c r="A1929">
        <v>23092342501</v>
      </c>
      <c r="B1929">
        <v>0.13</v>
      </c>
      <c r="C1929">
        <v>5827</v>
      </c>
      <c r="D1929" t="s">
        <v>129</v>
      </c>
      <c r="E1929" t="s">
        <v>53</v>
      </c>
      <c r="F1929" t="s">
        <v>53</v>
      </c>
      <c r="G1929">
        <v>4</v>
      </c>
      <c r="H1929" t="s">
        <v>54</v>
      </c>
      <c r="I1929">
        <v>140700</v>
      </c>
      <c r="J1929">
        <v>38600</v>
      </c>
      <c r="K1929">
        <v>0.13</v>
      </c>
      <c r="L1929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1929">
        <v>0</v>
      </c>
      <c r="N1929">
        <v>0</v>
      </c>
      <c r="O1929">
        <v>0</v>
      </c>
      <c r="P1929">
        <v>13398.7528</v>
      </c>
      <c r="Q1929">
        <v>63903</v>
      </c>
      <c r="R1929">
        <f>(Grandview_Inventory[[#This Row],[ln_acres]]*Grandview_Inventory[[#This Row],[coeff]])+Grandview_Inventory[[#This Row],[const]]</f>
        <v>36566.585461161507</v>
      </c>
      <c r="S1929" t="s">
        <v>68</v>
      </c>
      <c r="T1929">
        <v>1</v>
      </c>
      <c r="U1929" t="s">
        <v>70</v>
      </c>
      <c r="V1929" t="s">
        <v>69</v>
      </c>
      <c r="W1929">
        <v>0</v>
      </c>
      <c r="X1929">
        <v>0</v>
      </c>
      <c r="Y1929">
        <v>31</v>
      </c>
      <c r="Z1929">
        <v>78</v>
      </c>
      <c r="AA1929">
        <v>80</v>
      </c>
      <c r="AB1929">
        <v>2000</v>
      </c>
      <c r="AC1929">
        <v>1584</v>
      </c>
      <c r="AD1929">
        <v>792</v>
      </c>
      <c r="AE1929">
        <v>0</v>
      </c>
      <c r="AF1929">
        <v>0</v>
      </c>
      <c r="AG1929">
        <v>792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24</v>
      </c>
      <c r="AO1929">
        <v>0</v>
      </c>
      <c r="AP1929">
        <v>7</v>
      </c>
      <c r="AQ1929">
        <v>0</v>
      </c>
      <c r="AR1929">
        <v>0</v>
      </c>
      <c r="AS1929" t="s">
        <v>58</v>
      </c>
      <c r="AT1929">
        <v>1</v>
      </c>
      <c r="AU1929" t="s">
        <v>63</v>
      </c>
      <c r="AV1929" t="s">
        <v>64</v>
      </c>
      <c r="AW1929">
        <v>0</v>
      </c>
      <c r="AX1929">
        <v>3</v>
      </c>
      <c r="AY1929">
        <v>0</v>
      </c>
      <c r="AZ1929">
        <v>0</v>
      </c>
      <c r="BA1929">
        <v>100</v>
      </c>
      <c r="BB1929">
        <v>100</v>
      </c>
      <c r="BC1929">
        <v>100</v>
      </c>
      <c r="BD1929">
        <v>100</v>
      </c>
      <c r="BE1929">
        <v>1</v>
      </c>
      <c r="BF1929">
        <v>15000</v>
      </c>
      <c r="BG1929">
        <v>1000</v>
      </c>
      <c r="BH1929" s="6">
        <f>Grandview_Inventory[[#This Row],[land_extract]]*Lookups!$B$3</f>
        <v>42464.67696626611</v>
      </c>
      <c r="BI1929" s="6">
        <f>IF(Grandview_Inventory[[#This Row],[bldg_style]]="",0,Lookups!$B$2)</f>
        <v>155833.95000000001</v>
      </c>
      <c r="BJ1929" s="6">
        <f>_xlfn.IFNA(VLOOKUP(Grandview_Inventory[[#This Row],[quality]],Lookups!$H$2:$J$14,3,FALSE),0)</f>
        <v>10733</v>
      </c>
      <c r="BK1929" s="6">
        <f>_xlfn.IFNA(VLOOKUP(Grandview_Inventory[[#This Row],[condition]],Lookups!$H$17:$J$24,3,FALSE),0)</f>
        <v>-4503</v>
      </c>
      <c r="BL1929" s="6">
        <f>Grandview_Inventory[[#This Row],[Eff_Age]]*Lookups!$B$14</f>
        <v>-7414.1646000000001</v>
      </c>
      <c r="BM1929" s="6">
        <f>Grandview_Inventory[[#This Row],[living_area]]*Lookups!$B$15</f>
        <v>98811.271152000001</v>
      </c>
      <c r="BN1929" s="6">
        <f>Grandview_Inventory[[#This Row],[Fin BSMT]]*Lookups!$B$16</f>
        <v>-21462.59808</v>
      </c>
      <c r="BO1929" s="6">
        <f>(Grandview_Inventory[[#This Row],[att_gar]]+Grandview_Inventory[[#This Row],[bltin_gar]])*Lookups!$B$17</f>
        <v>0</v>
      </c>
      <c r="BP1929" s="6">
        <f>Grandview_Inventory[[#This Row],[Plumbing Fixtures]]*Lookups!$B$18</f>
        <v>14073.0926</v>
      </c>
      <c r="BQ1929" s="6">
        <f>Grandview_Inventory[[#This Row],[detatched_value]]*Lookups!$B$19</f>
        <v>0</v>
      </c>
      <c r="BR1929" s="6">
        <f>SUM(Grandview_Inventory[[#This Row],[Intercept]:[det_value]])*Grandview_Inventory[[#This Row],[res_pct]]</f>
        <v>246071.55107200003</v>
      </c>
      <c r="BS1929" s="6">
        <f>Grandview_Inventory[[#This Row],[land_value]]</f>
        <v>42464.67696626611</v>
      </c>
      <c r="BT1929" s="4">
        <f>_xlfn.IFNA(VLOOKUP(Grandview_Inventory[[#This Row],[quality]],Lookups!$A$26:$C$33,3,FALSE),1)</f>
        <v>0.98079741117310582</v>
      </c>
      <c r="BU1929" s="4">
        <f>_xlfn.IFNA(VLOOKUP(Grandview_Inventory[[#This Row],[condition]],Lookups!$A$37:$C$44,3,FALSE),1)</f>
        <v>0.96469275950863709</v>
      </c>
      <c r="BV1929" s="4">
        <f>IF(Grandview_Inventory[[#This Row],[bldg_style]]="",1,_xlfn.IFNA(VLOOKUP(Grandview_Inventory[[#This Row],[decade]],Lookups!$F$29:$H$43,3,FALSE),1))</f>
        <v>0.98763256963907298</v>
      </c>
      <c r="BW1929" s="4">
        <f>_xlfn.IFNA(VLOOKUP(Grandview_Inventory[[#This Row],[living_area_range]],Lookups!$F$47:$H$56,3,FALSE),1)</f>
        <v>0.96120133463014379</v>
      </c>
      <c r="BX1929" s="4">
        <f>AVERAGE(Grandview_Inventory[[#This Row],[qual_adj]:[size_adj]])</f>
        <v>0.97358101873773983</v>
      </c>
      <c r="BY1929" s="6">
        <f>IF(Grandview_Inventory[[#This Row],[pre_res]]&lt;0,0,Grandview_Inventory[[#This Row],[pre_res]]*Grandview_Inventory[[#This Row],[overall_adj]])</f>
        <v>239570.59137505357</v>
      </c>
      <c r="BZ1929" s="6">
        <f>(Grandview_Inventory[[#This Row],[sum_land]]-IF(Grandview_Inventory[[#This Row],[no_utilities]]=1,12000,0))/IF(Grandview_Inventory[[#This Row],[unbuildable]]=1,2,1)</f>
        <v>42464.67696626611</v>
      </c>
      <c r="CA1929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1929">
        <f>ROUND(Grandview_Inventory[[#This Row],[det_value]]*Lookups!$M$28,-2)</f>
        <v>0</v>
      </c>
      <c r="CC1929">
        <f>IF(ROUND(Grandview_Inventory[[#This Row],[adj_res]]*Lookups!$M$28,-2)&lt;Grandview_Inventory[[#This Row],[min_res]],Grandview_Inventory[[#This Row],[min_res]],ROUND(Grandview_Inventory[[#This Row],[adj_res]]*Lookups!$M$28,-2))</f>
        <v>227600</v>
      </c>
      <c r="CD1929">
        <f>Grandview_Inventory[[#This Row],[final_det]]+Grandview_Inventory[[#This Row],[final_res]]</f>
        <v>227600</v>
      </c>
      <c r="CE1929">
        <f>Grandview_Inventory[[#This Row],[final_land]]+Grandview_Inventory[[#This Row],[final_imp]]+Grandview_Inventory[[#This Row],[crop_value]]</f>
        <v>267900</v>
      </c>
      <c r="CG1929" t="str">
        <f t="shared" si="30"/>
        <v>update valuation set market_land =40300, market_bldg=227600, market_total =267900, market_mdno =401, market_date ='9/10/2023' where link_id = (select link_id from parcel where parcel_year = '2024' and parcel_id = '23092342501');</v>
      </c>
    </row>
    <row r="1930" spans="1:85" x14ac:dyDescent="0.25">
      <c r="A1930">
        <v>23092343004</v>
      </c>
      <c r="B1930">
        <v>0.95</v>
      </c>
      <c r="C1930">
        <v>41545</v>
      </c>
      <c r="D1930" t="s">
        <v>129</v>
      </c>
      <c r="E1930" t="s">
        <v>53</v>
      </c>
      <c r="F1930" t="s">
        <v>53</v>
      </c>
      <c r="G1930">
        <v>4</v>
      </c>
      <c r="H1930" t="s">
        <v>54</v>
      </c>
      <c r="I1930">
        <v>299700</v>
      </c>
      <c r="J1930">
        <v>43700</v>
      </c>
      <c r="K1930">
        <v>0.95</v>
      </c>
      <c r="L1930">
        <f>IF(Grandview_Inventory[[#This Row],[parcel_acres]]-Grandview_Inventory[[#This Row],[non_valued_acres]] =0,0,LN(Grandview_Inventory[[#This Row],[parcel_acres]]-Grandview_Inventory[[#This Row],[non_valued_acres]]))</f>
        <v>-5.1293294387550578E-2</v>
      </c>
      <c r="M1930">
        <v>0</v>
      </c>
      <c r="N1930">
        <v>0</v>
      </c>
      <c r="O1930">
        <v>0</v>
      </c>
      <c r="P1930">
        <v>13398.7528</v>
      </c>
      <c r="Q1930">
        <v>63903</v>
      </c>
      <c r="R1930">
        <f>(Grandview_Inventory[[#This Row],[ln_acres]]*Grandview_Inventory[[#This Row],[coeff]])+Grandview_Inventory[[#This Row],[const]]</f>
        <v>63215.733828203585</v>
      </c>
      <c r="S1930" t="s">
        <v>74</v>
      </c>
      <c r="T1930">
        <v>1</v>
      </c>
      <c r="U1930" t="s">
        <v>70</v>
      </c>
      <c r="V1930" t="s">
        <v>67</v>
      </c>
      <c r="W1930">
        <v>0</v>
      </c>
      <c r="X1930">
        <v>0</v>
      </c>
      <c r="Y1930">
        <v>45</v>
      </c>
      <c r="Z1930">
        <v>113</v>
      </c>
      <c r="AA1930">
        <v>120</v>
      </c>
      <c r="AB1930">
        <v>3000</v>
      </c>
      <c r="AC1930">
        <v>2753</v>
      </c>
      <c r="AD1930">
        <v>2103</v>
      </c>
      <c r="AE1930">
        <v>0</v>
      </c>
      <c r="AF1930">
        <v>0</v>
      </c>
      <c r="AG1930">
        <v>650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312</v>
      </c>
      <c r="AN1930">
        <v>304</v>
      </c>
      <c r="AO1930">
        <v>312</v>
      </c>
      <c r="AP1930">
        <v>8</v>
      </c>
      <c r="AQ1930">
        <v>0</v>
      </c>
      <c r="AR1930">
        <v>0</v>
      </c>
      <c r="AS1930" t="s">
        <v>58</v>
      </c>
      <c r="AT1930">
        <v>1</v>
      </c>
      <c r="AU1930" t="s">
        <v>63</v>
      </c>
      <c r="AV1930" t="s">
        <v>60</v>
      </c>
      <c r="AW1930">
        <v>0</v>
      </c>
      <c r="AX1930">
        <v>5</v>
      </c>
      <c r="AY1930">
        <v>0</v>
      </c>
      <c r="AZ1930">
        <v>17200</v>
      </c>
      <c r="BA1930">
        <v>100</v>
      </c>
      <c r="BB1930">
        <v>100</v>
      </c>
      <c r="BC1930">
        <v>100</v>
      </c>
      <c r="BD1930">
        <v>100</v>
      </c>
      <c r="BE1930">
        <v>1</v>
      </c>
      <c r="BF1930">
        <v>15000</v>
      </c>
      <c r="BG1930">
        <v>1000</v>
      </c>
      <c r="BH1930" s="6">
        <f>Grandview_Inventory[[#This Row],[land_extract]]*Lookups!$B$3</f>
        <v>73412.261012211486</v>
      </c>
      <c r="BI1930" s="6">
        <f>IF(Grandview_Inventory[[#This Row],[bldg_style]]="",0,Lookups!$B$2)</f>
        <v>155833.95000000001</v>
      </c>
      <c r="BJ1930" s="6">
        <f>_xlfn.IFNA(VLOOKUP(Grandview_Inventory[[#This Row],[quality]],Lookups!$H$2:$J$14,3,FALSE),0)</f>
        <v>10733</v>
      </c>
      <c r="BK1930" s="6">
        <f>_xlfn.IFNA(VLOOKUP(Grandview_Inventory[[#This Row],[condition]],Lookups!$H$17:$J$24,3,FALSE),0)</f>
        <v>22342</v>
      </c>
      <c r="BL1930" s="6">
        <f>Grandview_Inventory[[#This Row],[Eff_Age]]*Lookups!$B$14</f>
        <v>-10762.496999999999</v>
      </c>
      <c r="BM1930" s="6">
        <f>Grandview_Inventory[[#This Row],[living_area]]*Lookups!$B$15</f>
        <v>171734.48830900001</v>
      </c>
      <c r="BN1930" s="6">
        <f>Grandview_Inventory[[#This Row],[Fin BSMT]]*Lookups!$B$16</f>
        <v>-17614.506000000001</v>
      </c>
      <c r="BO1930" s="6">
        <f>(Grandview_Inventory[[#This Row],[att_gar]]+Grandview_Inventory[[#This Row],[bltin_gar]])*Lookups!$B$17</f>
        <v>0</v>
      </c>
      <c r="BP1930" s="6">
        <f>Grandview_Inventory[[#This Row],[Plumbing Fixtures]]*Lookups!$B$18</f>
        <v>16083.5344</v>
      </c>
      <c r="BQ1930" s="6">
        <f>Grandview_Inventory[[#This Row],[detatched_value]]*Lookups!$B$19</f>
        <v>14565.04772</v>
      </c>
      <c r="BR1930" s="6">
        <f>SUM(Grandview_Inventory[[#This Row],[Intercept]:[det_value]])*Grandview_Inventory[[#This Row],[res_pct]]</f>
        <v>362915.017429</v>
      </c>
      <c r="BS1930" s="6">
        <f>Grandview_Inventory[[#This Row],[land_value]]</f>
        <v>73412.261012211486</v>
      </c>
      <c r="BT1930" s="4">
        <f>_xlfn.IFNA(VLOOKUP(Grandview_Inventory[[#This Row],[quality]],Lookups!$A$26:$C$33,3,FALSE),1)</f>
        <v>0.98079741117310582</v>
      </c>
      <c r="BU1930" s="4">
        <f>_xlfn.IFNA(VLOOKUP(Grandview_Inventory[[#This Row],[condition]],Lookups!$A$37:$C$44,3,FALSE),1)</f>
        <v>0.97383723671140243</v>
      </c>
      <c r="BV1930" s="4">
        <f>IF(Grandview_Inventory[[#This Row],[bldg_style]]="",1,_xlfn.IFNA(VLOOKUP(Grandview_Inventory[[#This Row],[decade]],Lookups!$F$29:$H$43,3,FALSE),1))</f>
        <v>0.9251738460551937</v>
      </c>
      <c r="BW1930" s="4">
        <f>_xlfn.IFNA(VLOOKUP(Grandview_Inventory[[#This Row],[living_area_range]],Lookups!$F$47:$H$56,3,FALSE),1)</f>
        <v>0.94224801443562123</v>
      </c>
      <c r="BX1930" s="4">
        <f>AVERAGE(Grandview_Inventory[[#This Row],[qual_adj]:[size_adj]])</f>
        <v>0.95551412709383088</v>
      </c>
      <c r="BY1930" s="6">
        <f>IF(Grandview_Inventory[[#This Row],[pre_res]]&lt;0,0,Grandview_Inventory[[#This Row],[pre_res]]*Grandview_Inventory[[#This Row],[overall_adj]])</f>
        <v>346770.42608791334</v>
      </c>
      <c r="BZ1930" s="6">
        <f>(Grandview_Inventory[[#This Row],[sum_land]]-IF(Grandview_Inventory[[#This Row],[no_utilities]]=1,12000,0))/IF(Grandview_Inventory[[#This Row],[unbuildable]]=1,2,1)</f>
        <v>73412.261012211486</v>
      </c>
      <c r="CA1930">
        <f>IF(ROUND(Grandview_Inventory[[#This Row],[adj_land]]*Lookups!$M$28,-2)&lt;Grandview_Inventory[[#This Row],[min_land]],Grandview_Inventory[[#This Row],[min_land]],ROUND(Grandview_Inventory[[#This Row],[adj_land]]*Lookups!$M$28,-2))</f>
        <v>69700</v>
      </c>
      <c r="CB1930">
        <f>ROUND(Grandview_Inventory[[#This Row],[det_value]]*Lookups!$M$28,-2)</f>
        <v>13800</v>
      </c>
      <c r="CC1930">
        <f>IF(ROUND(Grandview_Inventory[[#This Row],[adj_res]]*Lookups!$M$28,-2)&lt;Grandview_Inventory[[#This Row],[min_res]],Grandview_Inventory[[#This Row],[min_res]],ROUND(Grandview_Inventory[[#This Row],[adj_res]]*Lookups!$M$28,-2))</f>
        <v>329400</v>
      </c>
      <c r="CD1930">
        <f>Grandview_Inventory[[#This Row],[final_det]]+Grandview_Inventory[[#This Row],[final_res]]</f>
        <v>343200</v>
      </c>
      <c r="CE1930">
        <f>Grandview_Inventory[[#This Row],[final_land]]+Grandview_Inventory[[#This Row],[final_imp]]+Grandview_Inventory[[#This Row],[crop_value]]</f>
        <v>412900</v>
      </c>
      <c r="CG1930" t="str">
        <f t="shared" si="30"/>
        <v>update valuation set market_land =69700, market_bldg=343200, market_total =412900, market_mdno =401, market_date ='9/10/2023' where link_id = (select link_id from parcel where parcel_year = '2024' and parcel_id = '23092343004');</v>
      </c>
    </row>
    <row r="1931" spans="1:85" x14ac:dyDescent="0.25">
      <c r="A1931">
        <v>23092343007</v>
      </c>
      <c r="B1931">
        <v>1.02</v>
      </c>
      <c r="C1931" t="s">
        <v>129</v>
      </c>
      <c r="D1931" t="s">
        <v>129</v>
      </c>
      <c r="E1931" t="s">
        <v>53</v>
      </c>
      <c r="F1931" t="s">
        <v>53</v>
      </c>
      <c r="G1931">
        <v>4</v>
      </c>
      <c r="H1931" t="s">
        <v>54</v>
      </c>
      <c r="I1931">
        <v>305200</v>
      </c>
      <c r="J1931">
        <v>43800</v>
      </c>
      <c r="K1931">
        <v>1.02</v>
      </c>
      <c r="L1931">
        <f>IF(Grandview_Inventory[[#This Row],[parcel_acres]]-Grandview_Inventory[[#This Row],[non_valued_acres]] =0,0,LN(Grandview_Inventory[[#This Row],[parcel_acres]]-Grandview_Inventory[[#This Row],[non_valued_acres]]))</f>
        <v>1.980262729617973E-2</v>
      </c>
      <c r="M1931">
        <v>0</v>
      </c>
      <c r="N1931">
        <v>0</v>
      </c>
      <c r="O1931">
        <v>0</v>
      </c>
      <c r="P1931">
        <v>13398.7528</v>
      </c>
      <c r="Q1931">
        <v>63903</v>
      </c>
      <c r="R1931">
        <f>(Grandview_Inventory[[#This Row],[ln_acres]]*Grandview_Inventory[[#This Row],[coeff]])+Grandview_Inventory[[#This Row],[const]]</f>
        <v>64168.330507932042</v>
      </c>
      <c r="S1931" t="s">
        <v>55</v>
      </c>
      <c r="T1931">
        <v>2</v>
      </c>
      <c r="U1931" t="s">
        <v>65</v>
      </c>
      <c r="V1931" t="s">
        <v>69</v>
      </c>
      <c r="W1931">
        <v>0</v>
      </c>
      <c r="X1931">
        <v>0</v>
      </c>
      <c r="Y1931">
        <v>69</v>
      </c>
      <c r="Z1931">
        <v>117</v>
      </c>
      <c r="AA1931">
        <v>120</v>
      </c>
      <c r="AB1931">
        <v>3500</v>
      </c>
      <c r="AC1931">
        <v>3060</v>
      </c>
      <c r="AD1931">
        <v>2264</v>
      </c>
      <c r="AE1931">
        <v>378</v>
      </c>
      <c r="AF1931">
        <v>0</v>
      </c>
      <c r="AG1931">
        <v>418</v>
      </c>
      <c r="AH1931">
        <v>0</v>
      </c>
      <c r="AI1931">
        <v>0</v>
      </c>
      <c r="AJ1931">
        <v>0</v>
      </c>
      <c r="AK1931">
        <v>575</v>
      </c>
      <c r="AL1931">
        <v>350</v>
      </c>
      <c r="AM1931">
        <v>1050</v>
      </c>
      <c r="AN1931">
        <v>100</v>
      </c>
      <c r="AO1931">
        <v>0</v>
      </c>
      <c r="AP1931">
        <v>11</v>
      </c>
      <c r="AQ1931">
        <v>0</v>
      </c>
      <c r="AR1931">
        <v>2</v>
      </c>
      <c r="AS1931" t="s">
        <v>58</v>
      </c>
      <c r="AT1931">
        <v>1</v>
      </c>
      <c r="AU1931" t="s">
        <v>63</v>
      </c>
      <c r="AV1931" t="s">
        <v>64</v>
      </c>
      <c r="AW1931">
        <v>1</v>
      </c>
      <c r="AX1931">
        <v>4</v>
      </c>
      <c r="AY1931">
        <v>0</v>
      </c>
      <c r="AZ1931">
        <v>28200</v>
      </c>
      <c r="BA1931">
        <v>100</v>
      </c>
      <c r="BB1931">
        <v>100</v>
      </c>
      <c r="BC1931">
        <v>100</v>
      </c>
      <c r="BD1931">
        <v>100</v>
      </c>
      <c r="BE1931">
        <v>1</v>
      </c>
      <c r="BF1931">
        <v>15000</v>
      </c>
      <c r="BG1931">
        <v>1000</v>
      </c>
      <c r="BH1931" s="6">
        <f>Grandview_Inventory[[#This Row],[land_extract]]*Lookups!$B$3</f>
        <v>74518.508964369103</v>
      </c>
      <c r="BI1931" s="6">
        <f>IF(Grandview_Inventory[[#This Row],[bldg_style]]="",0,Lookups!$B$2)</f>
        <v>155833.95000000001</v>
      </c>
      <c r="BJ1931" s="6">
        <f>_xlfn.IFNA(VLOOKUP(Grandview_Inventory[[#This Row],[quality]],Lookups!$H$2:$J$14,3,FALSE),0)</f>
        <v>2251</v>
      </c>
      <c r="BK1931" s="6">
        <f>_xlfn.IFNA(VLOOKUP(Grandview_Inventory[[#This Row],[condition]],Lookups!$H$17:$J$24,3,FALSE),0)</f>
        <v>-4503</v>
      </c>
      <c r="BL1931" s="6">
        <f>Grandview_Inventory[[#This Row],[Eff_Age]]*Lookups!$B$14</f>
        <v>-16502.4954</v>
      </c>
      <c r="BM1931" s="6">
        <f>Grandview_Inventory[[#This Row],[living_area]]*Lookups!$B$15</f>
        <v>190885.41018000001</v>
      </c>
      <c r="BN1931" s="6">
        <f>Grandview_Inventory[[#This Row],[Fin BSMT]]*Lookups!$B$16</f>
        <v>-11327.482320000001</v>
      </c>
      <c r="BO1931" s="6">
        <f>(Grandview_Inventory[[#This Row],[att_gar]]+Grandview_Inventory[[#This Row],[bltin_gar]])*Lookups!$B$17</f>
        <v>0</v>
      </c>
      <c r="BP1931" s="6">
        <f>Grandview_Inventory[[#This Row],[Plumbing Fixtures]]*Lookups!$B$18</f>
        <v>22114.859800000002</v>
      </c>
      <c r="BQ1931" s="6">
        <f>Grandview_Inventory[[#This Row],[detatched_value]]*Lookups!$B$19</f>
        <v>23879.90382</v>
      </c>
      <c r="BR1931" s="6">
        <f>SUM(Grandview_Inventory[[#This Row],[Intercept]:[det_value]])*Grandview_Inventory[[#This Row],[res_pct]]</f>
        <v>362632.14607999998</v>
      </c>
      <c r="BS1931" s="6">
        <f>Grandview_Inventory[[#This Row],[land_value]]</f>
        <v>74518.508964369103</v>
      </c>
      <c r="BT1931" s="4">
        <f>_xlfn.IFNA(VLOOKUP(Grandview_Inventory[[#This Row],[quality]],Lookups!$A$26:$C$33,3,FALSE),1)</f>
        <v>0.98763855981004833</v>
      </c>
      <c r="BU1931" s="4">
        <f>_xlfn.IFNA(VLOOKUP(Grandview_Inventory[[#This Row],[condition]],Lookups!$A$37:$C$44,3,FALSE),1)</f>
        <v>0.96469275950863709</v>
      </c>
      <c r="BV1931" s="4">
        <f>IF(Grandview_Inventory[[#This Row],[bldg_style]]="",1,_xlfn.IFNA(VLOOKUP(Grandview_Inventory[[#This Row],[decade]],Lookups!$F$29:$H$43,3,FALSE),1))</f>
        <v>0.9251738460551937</v>
      </c>
      <c r="BW1931" s="4">
        <f>_xlfn.IFNA(VLOOKUP(Grandview_Inventory[[#This Row],[living_area_range]],Lookups!$F$47:$H$56,3,FALSE),1)</f>
        <v>1.0170112215140563</v>
      </c>
      <c r="BX1931" s="4">
        <f>AVERAGE(Grandview_Inventory[[#This Row],[qual_adj]:[size_adj]])</f>
        <v>0.97362909672198383</v>
      </c>
      <c r="BY1931" s="6">
        <f>IF(Grandview_Inventory[[#This Row],[pre_res]]&lt;0,0,Grandview_Inventory[[#This Row],[pre_res]]*Grandview_Inventory[[#This Row],[overall_adj]])</f>
        <v>353069.20883022487</v>
      </c>
      <c r="BZ1931" s="6">
        <f>(Grandview_Inventory[[#This Row],[sum_land]]-IF(Grandview_Inventory[[#This Row],[no_utilities]]=1,12000,0))/IF(Grandview_Inventory[[#This Row],[unbuildable]]=1,2,1)</f>
        <v>74518.508964369103</v>
      </c>
      <c r="CA1931">
        <f>IF(ROUND(Grandview_Inventory[[#This Row],[adj_land]]*Lookups!$M$28,-2)&lt;Grandview_Inventory[[#This Row],[min_land]],Grandview_Inventory[[#This Row],[min_land]],ROUND(Grandview_Inventory[[#This Row],[adj_land]]*Lookups!$M$28,-2))</f>
        <v>70800</v>
      </c>
      <c r="CB1931">
        <f>ROUND(Grandview_Inventory[[#This Row],[det_value]]*Lookups!$M$28,-2)</f>
        <v>22700</v>
      </c>
      <c r="CC1931">
        <f>IF(ROUND(Grandview_Inventory[[#This Row],[adj_res]]*Lookups!$M$28,-2)&lt;Grandview_Inventory[[#This Row],[min_res]],Grandview_Inventory[[#This Row],[min_res]],ROUND(Grandview_Inventory[[#This Row],[adj_res]]*Lookups!$M$28,-2))</f>
        <v>335400</v>
      </c>
      <c r="CD1931">
        <f>Grandview_Inventory[[#This Row],[final_det]]+Grandview_Inventory[[#This Row],[final_res]]</f>
        <v>358100</v>
      </c>
      <c r="CE1931">
        <f>Grandview_Inventory[[#This Row],[final_land]]+Grandview_Inventory[[#This Row],[final_imp]]+Grandview_Inventory[[#This Row],[crop_value]]</f>
        <v>428900</v>
      </c>
      <c r="CG1931" t="str">
        <f t="shared" si="30"/>
        <v>update valuation set market_land =70800, market_bldg=358100, market_total =428900, market_mdno =401, market_date ='9/10/2023' where link_id = (select link_id from parcel where parcel_year = '2024' and parcel_id = '23092343007');</v>
      </c>
    </row>
    <row r="1932" spans="1:85" x14ac:dyDescent="0.25">
      <c r="A1932">
        <v>23092343402</v>
      </c>
      <c r="B1932">
        <v>0.19</v>
      </c>
      <c r="C1932">
        <v>8128</v>
      </c>
      <c r="D1932" t="s">
        <v>129</v>
      </c>
      <c r="E1932" t="s">
        <v>53</v>
      </c>
      <c r="F1932" t="s">
        <v>53</v>
      </c>
      <c r="G1932">
        <v>4</v>
      </c>
      <c r="H1932" t="s">
        <v>54</v>
      </c>
      <c r="I1932">
        <v>148800</v>
      </c>
      <c r="J1932">
        <v>39000</v>
      </c>
      <c r="K1932">
        <v>0.19</v>
      </c>
      <c r="L193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932">
        <v>0</v>
      </c>
      <c r="N1932">
        <v>0</v>
      </c>
      <c r="O1932">
        <v>0</v>
      </c>
      <c r="P1932">
        <v>13398.7528</v>
      </c>
      <c r="Q1932">
        <v>63903</v>
      </c>
      <c r="R1932">
        <f>(Grandview_Inventory[[#This Row],[ln_acres]]*Grandview_Inventory[[#This Row],[coeff]])+Grandview_Inventory[[#This Row],[const]]</f>
        <v>41651.273092551026</v>
      </c>
      <c r="S1932" t="s">
        <v>61</v>
      </c>
      <c r="T1932">
        <v>1</v>
      </c>
      <c r="U1932" t="s">
        <v>70</v>
      </c>
      <c r="V1932" t="s">
        <v>69</v>
      </c>
      <c r="W1932">
        <v>0</v>
      </c>
      <c r="X1932">
        <v>0</v>
      </c>
      <c r="Y1932">
        <v>43</v>
      </c>
      <c r="Z1932">
        <v>43</v>
      </c>
      <c r="AA1932">
        <v>50</v>
      </c>
      <c r="AB1932">
        <v>1500</v>
      </c>
      <c r="AC1932">
        <v>1008</v>
      </c>
      <c r="AD1932">
        <v>1008</v>
      </c>
      <c r="AE1932">
        <v>0</v>
      </c>
      <c r="AF1932">
        <v>0</v>
      </c>
      <c r="AG1932">
        <v>0</v>
      </c>
      <c r="AH1932">
        <v>0</v>
      </c>
      <c r="AI1932">
        <v>288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5</v>
      </c>
      <c r="AQ1932">
        <v>0</v>
      </c>
      <c r="AR1932">
        <v>0</v>
      </c>
      <c r="AS1932" t="s">
        <v>58</v>
      </c>
      <c r="AT1932">
        <v>1</v>
      </c>
      <c r="AU1932" t="s">
        <v>63</v>
      </c>
      <c r="AV1932" t="s">
        <v>60</v>
      </c>
      <c r="AW1932">
        <v>0</v>
      </c>
      <c r="AX1932">
        <v>3</v>
      </c>
      <c r="AY1932">
        <v>0</v>
      </c>
      <c r="AZ1932">
        <v>0</v>
      </c>
      <c r="BA1932">
        <v>100</v>
      </c>
      <c r="BB1932">
        <v>100</v>
      </c>
      <c r="BC1932">
        <v>100</v>
      </c>
      <c r="BD1932">
        <v>100</v>
      </c>
      <c r="BE1932">
        <v>1</v>
      </c>
      <c r="BF1932">
        <v>15000</v>
      </c>
      <c r="BG1932">
        <v>1000</v>
      </c>
      <c r="BH1932" s="6">
        <f>Grandview_Inventory[[#This Row],[land_extract]]*Lookups!$B$3</f>
        <v>48369.510983942157</v>
      </c>
      <c r="BI1932" s="6">
        <f>IF(Grandview_Inventory[[#This Row],[bldg_style]]="",0,Lookups!$B$2)</f>
        <v>155833.95000000001</v>
      </c>
      <c r="BJ1932" s="6">
        <f>_xlfn.IFNA(VLOOKUP(Grandview_Inventory[[#This Row],[quality]],Lookups!$H$2:$J$14,3,FALSE),0)</f>
        <v>10733</v>
      </c>
      <c r="BK1932" s="6">
        <f>_xlfn.IFNA(VLOOKUP(Grandview_Inventory[[#This Row],[condition]],Lookups!$H$17:$J$24,3,FALSE),0)</f>
        <v>-4503</v>
      </c>
      <c r="BL1932" s="6">
        <f>Grandview_Inventory[[#This Row],[Eff_Age]]*Lookups!$B$14</f>
        <v>-10284.1638</v>
      </c>
      <c r="BM1932" s="6">
        <f>Grandview_Inventory[[#This Row],[living_area]]*Lookups!$B$15</f>
        <v>62879.899824</v>
      </c>
      <c r="BN1932" s="6">
        <f>Grandview_Inventory[[#This Row],[Fin BSMT]]*Lookups!$B$16</f>
        <v>0</v>
      </c>
      <c r="BO1932" s="6">
        <f>(Grandview_Inventory[[#This Row],[att_gar]]+Grandview_Inventory[[#This Row],[bltin_gar]])*Lookups!$B$17</f>
        <v>25205.885856000001</v>
      </c>
      <c r="BP1932" s="6">
        <f>Grandview_Inventory[[#This Row],[Plumbing Fixtures]]*Lookups!$B$18</f>
        <v>10052.209000000001</v>
      </c>
      <c r="BQ1932" s="6">
        <f>Grandview_Inventory[[#This Row],[detatched_value]]*Lookups!$B$19</f>
        <v>0</v>
      </c>
      <c r="BR1932" s="6">
        <f>SUM(Grandview_Inventory[[#This Row],[Intercept]:[det_value]])*Grandview_Inventory[[#This Row],[res_pct]]</f>
        <v>249917.78088000001</v>
      </c>
      <c r="BS1932" s="6">
        <f>Grandview_Inventory[[#This Row],[land_value]]</f>
        <v>48369.510983942157</v>
      </c>
      <c r="BT1932" s="4">
        <f>_xlfn.IFNA(VLOOKUP(Grandview_Inventory[[#This Row],[quality]],Lookups!$A$26:$C$33,3,FALSE),1)</f>
        <v>0.98079741117310582</v>
      </c>
      <c r="BU1932" s="4">
        <f>_xlfn.IFNA(VLOOKUP(Grandview_Inventory[[#This Row],[condition]],Lookups!$A$37:$C$44,3,FALSE),1)</f>
        <v>0.96469275950863709</v>
      </c>
      <c r="BV1932" s="4">
        <f>IF(Grandview_Inventory[[#This Row],[bldg_style]]="",1,_xlfn.IFNA(VLOOKUP(Grandview_Inventory[[#This Row],[decade]],Lookups!$F$29:$H$43,3,FALSE),1))</f>
        <v>0.9871940091910919</v>
      </c>
      <c r="BW1932" s="4">
        <f>_xlfn.IFNA(VLOOKUP(Grandview_Inventory[[#This Row],[living_area_range]],Lookups!$F$47:$H$56,3,FALSE),1)</f>
        <v>0.96135087979789358</v>
      </c>
      <c r="BX1932" s="4">
        <f>AVERAGE(Grandview_Inventory[[#This Row],[qual_adj]:[size_adj]])</f>
        <v>0.97350876491768212</v>
      </c>
      <c r="BY1932" s="6">
        <f>IF(Grandview_Inventory[[#This Row],[pre_res]]&lt;0,0,Grandview_Inventory[[#This Row],[pre_res]]*Grandview_Inventory[[#This Row],[overall_adj]])</f>
        <v>243297.15019545672</v>
      </c>
      <c r="BZ1932" s="6">
        <f>(Grandview_Inventory[[#This Row],[sum_land]]-IF(Grandview_Inventory[[#This Row],[no_utilities]]=1,12000,0))/IF(Grandview_Inventory[[#This Row],[unbuildable]]=1,2,1)</f>
        <v>48369.510983942157</v>
      </c>
      <c r="CA193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932">
        <f>ROUND(Grandview_Inventory[[#This Row],[det_value]]*Lookups!$M$28,-2)</f>
        <v>0</v>
      </c>
      <c r="CC1932">
        <f>IF(ROUND(Grandview_Inventory[[#This Row],[adj_res]]*Lookups!$M$28,-2)&lt;Grandview_Inventory[[#This Row],[min_res]],Grandview_Inventory[[#This Row],[min_res]],ROUND(Grandview_Inventory[[#This Row],[adj_res]]*Lookups!$M$28,-2))</f>
        <v>231100</v>
      </c>
      <c r="CD1932">
        <f>Grandview_Inventory[[#This Row],[final_det]]+Grandview_Inventory[[#This Row],[final_res]]</f>
        <v>231100</v>
      </c>
      <c r="CE1932">
        <f>Grandview_Inventory[[#This Row],[final_land]]+Grandview_Inventory[[#This Row],[final_imp]]+Grandview_Inventory[[#This Row],[crop_value]]</f>
        <v>277100</v>
      </c>
      <c r="CG1932" t="str">
        <f t="shared" si="30"/>
        <v>update valuation set market_land =46000, market_bldg=231100, market_total =277100, market_mdno =401, market_date ='9/10/2023' where link_id = (select link_id from parcel where parcel_year = '2024' and parcel_id = '23092343402');</v>
      </c>
    </row>
    <row r="1933" spans="1:85" x14ac:dyDescent="0.25">
      <c r="A1933">
        <v>23092343403</v>
      </c>
      <c r="B1933">
        <v>0.18</v>
      </c>
      <c r="C1933">
        <v>7735</v>
      </c>
      <c r="D1933" t="s">
        <v>129</v>
      </c>
      <c r="E1933" t="s">
        <v>53</v>
      </c>
      <c r="F1933" t="s">
        <v>53</v>
      </c>
      <c r="G1933">
        <v>4</v>
      </c>
      <c r="H1933" t="s">
        <v>54</v>
      </c>
      <c r="I1933">
        <v>155400</v>
      </c>
      <c r="J1933">
        <v>38800</v>
      </c>
      <c r="K1933">
        <v>0.18</v>
      </c>
      <c r="L193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33">
        <v>0</v>
      </c>
      <c r="N1933">
        <v>0</v>
      </c>
      <c r="O1933">
        <v>0</v>
      </c>
      <c r="P1933">
        <v>13398.7528</v>
      </c>
      <c r="Q1933">
        <v>63903</v>
      </c>
      <c r="R1933">
        <f>(Grandview_Inventory[[#This Row],[ln_acres]]*Grandview_Inventory[[#This Row],[coeff]])+Grandview_Inventory[[#This Row],[const]]</f>
        <v>40926.839760167699</v>
      </c>
      <c r="S1933" t="s">
        <v>61</v>
      </c>
      <c r="T1933">
        <v>1</v>
      </c>
      <c r="U1933" t="s">
        <v>70</v>
      </c>
      <c r="V1933" t="s">
        <v>69</v>
      </c>
      <c r="W1933">
        <v>0</v>
      </c>
      <c r="X1933">
        <v>0</v>
      </c>
      <c r="Y1933">
        <v>41</v>
      </c>
      <c r="Z1933">
        <v>41</v>
      </c>
      <c r="AA1933">
        <v>50</v>
      </c>
      <c r="AB1933">
        <v>1500</v>
      </c>
      <c r="AC1933">
        <v>1008</v>
      </c>
      <c r="AD1933">
        <v>1008</v>
      </c>
      <c r="AE1933">
        <v>0</v>
      </c>
      <c r="AF1933">
        <v>0</v>
      </c>
      <c r="AG1933">
        <v>0</v>
      </c>
      <c r="AH1933">
        <v>0</v>
      </c>
      <c r="AI1933">
        <v>336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7</v>
      </c>
      <c r="AQ1933">
        <v>0</v>
      </c>
      <c r="AR1933">
        <v>0</v>
      </c>
      <c r="AS1933" t="s">
        <v>58</v>
      </c>
      <c r="AT1933">
        <v>1</v>
      </c>
      <c r="AU1933" t="s">
        <v>63</v>
      </c>
      <c r="AV1933" t="s">
        <v>60</v>
      </c>
      <c r="AW1933">
        <v>0</v>
      </c>
      <c r="AX1933">
        <v>3</v>
      </c>
      <c r="AY1933">
        <v>0</v>
      </c>
      <c r="AZ1933">
        <v>0</v>
      </c>
      <c r="BA1933">
        <v>100</v>
      </c>
      <c r="BB1933">
        <v>100</v>
      </c>
      <c r="BC1933">
        <v>100</v>
      </c>
      <c r="BD1933">
        <v>100</v>
      </c>
      <c r="BE1933">
        <v>1</v>
      </c>
      <c r="BF1933">
        <v>15000</v>
      </c>
      <c r="BG1933">
        <v>1000</v>
      </c>
      <c r="BH1933" s="6">
        <f>Grandview_Inventory[[#This Row],[land_extract]]*Lookups!$B$3</f>
        <v>47528.228511015397</v>
      </c>
      <c r="BI1933" s="6">
        <f>IF(Grandview_Inventory[[#This Row],[bldg_style]]="",0,Lookups!$B$2)</f>
        <v>155833.95000000001</v>
      </c>
      <c r="BJ1933" s="6">
        <f>_xlfn.IFNA(VLOOKUP(Grandview_Inventory[[#This Row],[quality]],Lookups!$H$2:$J$14,3,FALSE),0)</f>
        <v>10733</v>
      </c>
      <c r="BK1933" s="6">
        <f>_xlfn.IFNA(VLOOKUP(Grandview_Inventory[[#This Row],[condition]],Lookups!$H$17:$J$24,3,FALSE),0)</f>
        <v>-4503</v>
      </c>
      <c r="BL1933" s="6">
        <f>Grandview_Inventory[[#This Row],[Eff_Age]]*Lookups!$B$14</f>
        <v>-9805.8305999999993</v>
      </c>
      <c r="BM1933" s="6">
        <f>Grandview_Inventory[[#This Row],[living_area]]*Lookups!$B$15</f>
        <v>62879.899824</v>
      </c>
      <c r="BN1933" s="6">
        <f>Grandview_Inventory[[#This Row],[Fin BSMT]]*Lookups!$B$16</f>
        <v>0</v>
      </c>
      <c r="BO1933" s="6">
        <f>(Grandview_Inventory[[#This Row],[att_gar]]+Grandview_Inventory[[#This Row],[bltin_gar]])*Lookups!$B$17</f>
        <v>29406.866832</v>
      </c>
      <c r="BP1933" s="6">
        <f>Grandview_Inventory[[#This Row],[Plumbing Fixtures]]*Lookups!$B$18</f>
        <v>14073.0926</v>
      </c>
      <c r="BQ1933" s="6">
        <f>Grandview_Inventory[[#This Row],[detatched_value]]*Lookups!$B$19</f>
        <v>0</v>
      </c>
      <c r="BR1933" s="6">
        <f>SUM(Grandview_Inventory[[#This Row],[Intercept]:[det_value]])*Grandview_Inventory[[#This Row],[res_pct]]</f>
        <v>258617.97865600002</v>
      </c>
      <c r="BS1933" s="6">
        <f>Grandview_Inventory[[#This Row],[land_value]]</f>
        <v>47528.228511015397</v>
      </c>
      <c r="BT1933" s="4">
        <f>_xlfn.IFNA(VLOOKUP(Grandview_Inventory[[#This Row],[quality]],Lookups!$A$26:$C$33,3,FALSE),1)</f>
        <v>0.98079741117310582</v>
      </c>
      <c r="BU1933" s="4">
        <f>_xlfn.IFNA(VLOOKUP(Grandview_Inventory[[#This Row],[condition]],Lookups!$A$37:$C$44,3,FALSE),1)</f>
        <v>0.96469275950863709</v>
      </c>
      <c r="BV1933" s="4">
        <f>IF(Grandview_Inventory[[#This Row],[bldg_style]]="",1,_xlfn.IFNA(VLOOKUP(Grandview_Inventory[[#This Row],[decade]],Lookups!$F$29:$H$43,3,FALSE),1))</f>
        <v>0.9871940091910919</v>
      </c>
      <c r="BW1933" s="4">
        <f>_xlfn.IFNA(VLOOKUP(Grandview_Inventory[[#This Row],[living_area_range]],Lookups!$F$47:$H$56,3,FALSE),1)</f>
        <v>0.96135087979789358</v>
      </c>
      <c r="BX1933" s="4">
        <f>AVERAGE(Grandview_Inventory[[#This Row],[qual_adj]:[size_adj]])</f>
        <v>0.97350876491768212</v>
      </c>
      <c r="BY1933" s="6">
        <f>IF(Grandview_Inventory[[#This Row],[pre_res]]&lt;0,0,Grandview_Inventory[[#This Row],[pre_res]]*Grandview_Inventory[[#This Row],[overall_adj]])</f>
        <v>251766.86898691006</v>
      </c>
      <c r="BZ1933" s="6">
        <f>(Grandview_Inventory[[#This Row],[sum_land]]-IF(Grandview_Inventory[[#This Row],[no_utilities]]=1,12000,0))/IF(Grandview_Inventory[[#This Row],[unbuildable]]=1,2,1)</f>
        <v>47528.228511015397</v>
      </c>
      <c r="CA193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33">
        <f>ROUND(Grandview_Inventory[[#This Row],[det_value]]*Lookups!$M$28,-2)</f>
        <v>0</v>
      </c>
      <c r="CC1933">
        <f>IF(ROUND(Grandview_Inventory[[#This Row],[adj_res]]*Lookups!$M$28,-2)&lt;Grandview_Inventory[[#This Row],[min_res]],Grandview_Inventory[[#This Row],[min_res]],ROUND(Grandview_Inventory[[#This Row],[adj_res]]*Lookups!$M$28,-2))</f>
        <v>239200</v>
      </c>
      <c r="CD1933">
        <f>Grandview_Inventory[[#This Row],[final_det]]+Grandview_Inventory[[#This Row],[final_res]]</f>
        <v>239200</v>
      </c>
      <c r="CE1933">
        <f>Grandview_Inventory[[#This Row],[final_land]]+Grandview_Inventory[[#This Row],[final_imp]]+Grandview_Inventory[[#This Row],[crop_value]]</f>
        <v>284400</v>
      </c>
      <c r="CG1933" t="str">
        <f t="shared" si="30"/>
        <v>update valuation set market_land =45200, market_bldg=239200, market_total =284400, market_mdno =401, market_date ='9/10/2023' where link_id = (select link_id from parcel where parcel_year = '2024' and parcel_id = '23092343403');</v>
      </c>
    </row>
    <row r="1934" spans="1:85" x14ac:dyDescent="0.25">
      <c r="A1934">
        <v>23092343404</v>
      </c>
      <c r="B1934">
        <v>0.18</v>
      </c>
      <c r="C1934">
        <v>7736</v>
      </c>
      <c r="D1934" t="s">
        <v>129</v>
      </c>
      <c r="E1934" t="s">
        <v>53</v>
      </c>
      <c r="F1934" t="s">
        <v>53</v>
      </c>
      <c r="G1934">
        <v>4</v>
      </c>
      <c r="H1934" t="s">
        <v>54</v>
      </c>
      <c r="I1934">
        <v>158100</v>
      </c>
      <c r="J1934">
        <v>39000</v>
      </c>
      <c r="K1934">
        <v>0.18</v>
      </c>
      <c r="L193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34">
        <v>0</v>
      </c>
      <c r="N1934">
        <v>0</v>
      </c>
      <c r="O1934">
        <v>0</v>
      </c>
      <c r="P1934">
        <v>13398.7528</v>
      </c>
      <c r="Q1934">
        <v>63903</v>
      </c>
      <c r="R1934">
        <f>(Grandview_Inventory[[#This Row],[ln_acres]]*Grandview_Inventory[[#This Row],[coeff]])+Grandview_Inventory[[#This Row],[const]]</f>
        <v>40926.839760167699</v>
      </c>
      <c r="S1934" t="s">
        <v>61</v>
      </c>
      <c r="T1934">
        <v>1</v>
      </c>
      <c r="U1934" t="s">
        <v>70</v>
      </c>
      <c r="V1934" t="s">
        <v>69</v>
      </c>
      <c r="W1934">
        <v>0</v>
      </c>
      <c r="X1934">
        <v>0</v>
      </c>
      <c r="Y1934">
        <v>43</v>
      </c>
      <c r="Z1934">
        <v>43</v>
      </c>
      <c r="AA1934">
        <v>50</v>
      </c>
      <c r="AB1934">
        <v>1500</v>
      </c>
      <c r="AC1934">
        <v>1032</v>
      </c>
      <c r="AD1934">
        <v>1032</v>
      </c>
      <c r="AE1934">
        <v>0</v>
      </c>
      <c r="AF1934">
        <v>0</v>
      </c>
      <c r="AG1934">
        <v>0</v>
      </c>
      <c r="AH1934">
        <v>0</v>
      </c>
      <c r="AI1934">
        <v>264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5</v>
      </c>
      <c r="AQ1934">
        <v>0</v>
      </c>
      <c r="AR1934">
        <v>0</v>
      </c>
      <c r="AS1934" t="s">
        <v>58</v>
      </c>
      <c r="AT1934">
        <v>1</v>
      </c>
      <c r="AU1934" t="s">
        <v>59</v>
      </c>
      <c r="AV1934" t="s">
        <v>60</v>
      </c>
      <c r="AW1934">
        <v>1</v>
      </c>
      <c r="AX1934">
        <v>2</v>
      </c>
      <c r="AY1934">
        <v>0</v>
      </c>
      <c r="AZ1934">
        <v>0</v>
      </c>
      <c r="BA1934">
        <v>100</v>
      </c>
      <c r="BB1934">
        <v>100</v>
      </c>
      <c r="BC1934">
        <v>100</v>
      </c>
      <c r="BD1934">
        <v>100</v>
      </c>
      <c r="BE1934">
        <v>1</v>
      </c>
      <c r="BF1934">
        <v>15000</v>
      </c>
      <c r="BG1934">
        <v>1000</v>
      </c>
      <c r="BH1934" s="6">
        <f>Grandview_Inventory[[#This Row],[land_extract]]*Lookups!$B$3</f>
        <v>47528.228511015397</v>
      </c>
      <c r="BI1934" s="6">
        <f>IF(Grandview_Inventory[[#This Row],[bldg_style]]="",0,Lookups!$B$2)</f>
        <v>155833.95000000001</v>
      </c>
      <c r="BJ1934" s="6">
        <f>_xlfn.IFNA(VLOOKUP(Grandview_Inventory[[#This Row],[quality]],Lookups!$H$2:$J$14,3,FALSE),0)</f>
        <v>10733</v>
      </c>
      <c r="BK1934" s="6">
        <f>_xlfn.IFNA(VLOOKUP(Grandview_Inventory[[#This Row],[condition]],Lookups!$H$17:$J$24,3,FALSE),0)</f>
        <v>-4503</v>
      </c>
      <c r="BL1934" s="6">
        <f>Grandview_Inventory[[#This Row],[Eff_Age]]*Lookups!$B$14</f>
        <v>-10284.1638</v>
      </c>
      <c r="BM1934" s="6">
        <f>Grandview_Inventory[[#This Row],[living_area]]*Lookups!$B$15</f>
        <v>64377.040295999999</v>
      </c>
      <c r="BN1934" s="6">
        <f>Grandview_Inventory[[#This Row],[Fin BSMT]]*Lookups!$B$16</f>
        <v>0</v>
      </c>
      <c r="BO1934" s="6">
        <f>(Grandview_Inventory[[#This Row],[att_gar]]+Grandview_Inventory[[#This Row],[bltin_gar]])*Lookups!$B$17</f>
        <v>23105.395368000001</v>
      </c>
      <c r="BP1934" s="6">
        <f>Grandview_Inventory[[#This Row],[Plumbing Fixtures]]*Lookups!$B$18</f>
        <v>10052.209000000001</v>
      </c>
      <c r="BQ1934" s="6">
        <f>Grandview_Inventory[[#This Row],[detatched_value]]*Lookups!$B$19</f>
        <v>0</v>
      </c>
      <c r="BR1934" s="6">
        <f>SUM(Grandview_Inventory[[#This Row],[Intercept]:[det_value]])*Grandview_Inventory[[#This Row],[res_pct]]</f>
        <v>249314.43086399999</v>
      </c>
      <c r="BS1934" s="6">
        <f>Grandview_Inventory[[#This Row],[land_value]]</f>
        <v>47528.228511015397</v>
      </c>
      <c r="BT1934" s="4">
        <f>_xlfn.IFNA(VLOOKUP(Grandview_Inventory[[#This Row],[quality]],Lookups!$A$26:$C$33,3,FALSE),1)</f>
        <v>0.98079741117310582</v>
      </c>
      <c r="BU1934" s="4">
        <f>_xlfn.IFNA(VLOOKUP(Grandview_Inventory[[#This Row],[condition]],Lookups!$A$37:$C$44,3,FALSE),1)</f>
        <v>0.96469275950863709</v>
      </c>
      <c r="BV1934" s="4">
        <f>IF(Grandview_Inventory[[#This Row],[bldg_style]]="",1,_xlfn.IFNA(VLOOKUP(Grandview_Inventory[[#This Row],[decade]],Lookups!$F$29:$H$43,3,FALSE),1))</f>
        <v>0.9871940091910919</v>
      </c>
      <c r="BW1934" s="4">
        <f>_xlfn.IFNA(VLOOKUP(Grandview_Inventory[[#This Row],[living_area_range]],Lookups!$F$47:$H$56,3,FALSE),1)</f>
        <v>0.96135087979789358</v>
      </c>
      <c r="BX1934" s="4">
        <f>AVERAGE(Grandview_Inventory[[#This Row],[qual_adj]:[size_adj]])</f>
        <v>0.97350876491768212</v>
      </c>
      <c r="BY1934" s="6">
        <f>IF(Grandview_Inventory[[#This Row],[pre_res]]&lt;0,0,Grandview_Inventory[[#This Row],[pre_res]]*Grandview_Inventory[[#This Row],[overall_adj]])</f>
        <v>242709.78366656747</v>
      </c>
      <c r="BZ1934" s="6">
        <f>(Grandview_Inventory[[#This Row],[sum_land]]-IF(Grandview_Inventory[[#This Row],[no_utilities]]=1,12000,0))/IF(Grandview_Inventory[[#This Row],[unbuildable]]=1,2,1)</f>
        <v>47528.228511015397</v>
      </c>
      <c r="CA193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34">
        <f>ROUND(Grandview_Inventory[[#This Row],[det_value]]*Lookups!$M$28,-2)</f>
        <v>0</v>
      </c>
      <c r="CC1934">
        <f>IF(ROUND(Grandview_Inventory[[#This Row],[adj_res]]*Lookups!$M$28,-2)&lt;Grandview_Inventory[[#This Row],[min_res]],Grandview_Inventory[[#This Row],[min_res]],ROUND(Grandview_Inventory[[#This Row],[adj_res]]*Lookups!$M$28,-2))</f>
        <v>230600</v>
      </c>
      <c r="CD1934">
        <f>Grandview_Inventory[[#This Row],[final_det]]+Grandview_Inventory[[#This Row],[final_res]]</f>
        <v>230600</v>
      </c>
      <c r="CE1934">
        <f>Grandview_Inventory[[#This Row],[final_land]]+Grandview_Inventory[[#This Row],[final_imp]]+Grandview_Inventory[[#This Row],[crop_value]]</f>
        <v>275800</v>
      </c>
      <c r="CG1934" t="str">
        <f t="shared" si="30"/>
        <v>update valuation set market_land =45200, market_bldg=230600, market_total =275800, market_mdno =401, market_date ='9/10/2023' where link_id = (select link_id from parcel where parcel_year = '2024' and parcel_id = '23092343404');</v>
      </c>
    </row>
    <row r="1935" spans="1:85" x14ac:dyDescent="0.25">
      <c r="A1935">
        <v>23092343405</v>
      </c>
      <c r="B1935">
        <v>0.18</v>
      </c>
      <c r="C1935">
        <v>7702</v>
      </c>
      <c r="D1935" t="s">
        <v>129</v>
      </c>
      <c r="E1935" t="s">
        <v>53</v>
      </c>
      <c r="F1935" t="s">
        <v>53</v>
      </c>
      <c r="G1935">
        <v>4</v>
      </c>
      <c r="H1935" t="s">
        <v>54</v>
      </c>
      <c r="I1935">
        <v>167900</v>
      </c>
      <c r="J1935">
        <v>39000</v>
      </c>
      <c r="K1935">
        <v>0.18</v>
      </c>
      <c r="L193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35">
        <v>0</v>
      </c>
      <c r="N1935">
        <v>0</v>
      </c>
      <c r="O1935">
        <v>0</v>
      </c>
      <c r="P1935">
        <v>13398.7528</v>
      </c>
      <c r="Q1935">
        <v>63903</v>
      </c>
      <c r="R1935">
        <f>(Grandview_Inventory[[#This Row],[ln_acres]]*Grandview_Inventory[[#This Row],[coeff]])+Grandview_Inventory[[#This Row],[const]]</f>
        <v>40926.839760167699</v>
      </c>
      <c r="S1935" t="s">
        <v>61</v>
      </c>
      <c r="T1935">
        <v>1</v>
      </c>
      <c r="U1935" t="s">
        <v>70</v>
      </c>
      <c r="V1935" t="s">
        <v>69</v>
      </c>
      <c r="W1935">
        <v>0</v>
      </c>
      <c r="X1935">
        <v>0</v>
      </c>
      <c r="Y1935">
        <v>42</v>
      </c>
      <c r="Z1935">
        <v>42</v>
      </c>
      <c r="AA1935">
        <v>50</v>
      </c>
      <c r="AB1935">
        <v>1500</v>
      </c>
      <c r="AC1935">
        <v>1064</v>
      </c>
      <c r="AD1935">
        <v>1064</v>
      </c>
      <c r="AE1935">
        <v>0</v>
      </c>
      <c r="AF1935">
        <v>0</v>
      </c>
      <c r="AG1935">
        <v>0</v>
      </c>
      <c r="AH1935">
        <v>0</v>
      </c>
      <c r="AI1935">
        <v>336</v>
      </c>
      <c r="AJ1935">
        <v>0</v>
      </c>
      <c r="AK1935">
        <v>0</v>
      </c>
      <c r="AL1935">
        <v>0</v>
      </c>
      <c r="AM1935">
        <v>72</v>
      </c>
      <c r="AN1935">
        <v>80</v>
      </c>
      <c r="AO1935">
        <v>0</v>
      </c>
      <c r="AP1935">
        <v>5</v>
      </c>
      <c r="AQ1935">
        <v>1</v>
      </c>
      <c r="AR1935">
        <v>0</v>
      </c>
      <c r="AS1935" t="s">
        <v>58</v>
      </c>
      <c r="AT1935">
        <v>1</v>
      </c>
      <c r="AU1935" t="s">
        <v>63</v>
      </c>
      <c r="AV1935" t="s">
        <v>60</v>
      </c>
      <c r="AW1935">
        <v>0</v>
      </c>
      <c r="AX1935">
        <v>3</v>
      </c>
      <c r="AY1935">
        <v>0</v>
      </c>
      <c r="AZ1935">
        <v>0</v>
      </c>
      <c r="BA1935">
        <v>100</v>
      </c>
      <c r="BB1935">
        <v>100</v>
      </c>
      <c r="BC1935">
        <v>100</v>
      </c>
      <c r="BD1935">
        <v>100</v>
      </c>
      <c r="BE1935">
        <v>1</v>
      </c>
      <c r="BF1935">
        <v>15000</v>
      </c>
      <c r="BG1935">
        <v>1000</v>
      </c>
      <c r="BH1935" s="6">
        <f>Grandview_Inventory[[#This Row],[land_extract]]*Lookups!$B$3</f>
        <v>47528.228511015397</v>
      </c>
      <c r="BI1935" s="6">
        <f>IF(Grandview_Inventory[[#This Row],[bldg_style]]="",0,Lookups!$B$2)</f>
        <v>155833.95000000001</v>
      </c>
      <c r="BJ1935" s="6">
        <f>_xlfn.IFNA(VLOOKUP(Grandview_Inventory[[#This Row],[quality]],Lookups!$H$2:$J$14,3,FALSE),0)</f>
        <v>10733</v>
      </c>
      <c r="BK1935" s="6">
        <f>_xlfn.IFNA(VLOOKUP(Grandview_Inventory[[#This Row],[condition]],Lookups!$H$17:$J$24,3,FALSE),0)</f>
        <v>-4503</v>
      </c>
      <c r="BL1935" s="6">
        <f>Grandview_Inventory[[#This Row],[Eff_Age]]*Lookups!$B$14</f>
        <v>-10044.9972</v>
      </c>
      <c r="BM1935" s="6">
        <f>Grandview_Inventory[[#This Row],[living_area]]*Lookups!$B$15</f>
        <v>66373.227591999996</v>
      </c>
      <c r="BN1935" s="6">
        <f>Grandview_Inventory[[#This Row],[Fin BSMT]]*Lookups!$B$16</f>
        <v>0</v>
      </c>
      <c r="BO1935" s="6">
        <f>(Grandview_Inventory[[#This Row],[att_gar]]+Grandview_Inventory[[#This Row],[bltin_gar]])*Lookups!$B$17</f>
        <v>29406.866832</v>
      </c>
      <c r="BP1935" s="6">
        <f>Grandview_Inventory[[#This Row],[Plumbing Fixtures]]*Lookups!$B$18</f>
        <v>10052.209000000001</v>
      </c>
      <c r="BQ1935" s="6">
        <f>Grandview_Inventory[[#This Row],[detatched_value]]*Lookups!$B$19</f>
        <v>0</v>
      </c>
      <c r="BR1935" s="6">
        <f>SUM(Grandview_Inventory[[#This Row],[Intercept]:[det_value]])*Grandview_Inventory[[#This Row],[res_pct]]</f>
        <v>257851.25622400001</v>
      </c>
      <c r="BS1935" s="6">
        <f>Grandview_Inventory[[#This Row],[land_value]]</f>
        <v>47528.228511015397</v>
      </c>
      <c r="BT1935" s="4">
        <f>_xlfn.IFNA(VLOOKUP(Grandview_Inventory[[#This Row],[quality]],Lookups!$A$26:$C$33,3,FALSE),1)</f>
        <v>0.98079741117310582</v>
      </c>
      <c r="BU1935" s="4">
        <f>_xlfn.IFNA(VLOOKUP(Grandview_Inventory[[#This Row],[condition]],Lookups!$A$37:$C$44,3,FALSE),1)</f>
        <v>0.96469275950863709</v>
      </c>
      <c r="BV1935" s="4">
        <f>IF(Grandview_Inventory[[#This Row],[bldg_style]]="",1,_xlfn.IFNA(VLOOKUP(Grandview_Inventory[[#This Row],[decade]],Lookups!$F$29:$H$43,3,FALSE),1))</f>
        <v>0.9871940091910919</v>
      </c>
      <c r="BW1935" s="4">
        <f>_xlfn.IFNA(VLOOKUP(Grandview_Inventory[[#This Row],[living_area_range]],Lookups!$F$47:$H$56,3,FALSE),1)</f>
        <v>0.96135087979789358</v>
      </c>
      <c r="BX1935" s="4">
        <f>AVERAGE(Grandview_Inventory[[#This Row],[qual_adj]:[size_adj]])</f>
        <v>0.97350876491768212</v>
      </c>
      <c r="BY1935" s="6">
        <f>IF(Grandview_Inventory[[#This Row],[pre_res]]&lt;0,0,Grandview_Inventory[[#This Row],[pre_res]]*Grandview_Inventory[[#This Row],[overall_adj]])</f>
        <v>251020.45797909904</v>
      </c>
      <c r="BZ1935" s="6">
        <f>(Grandview_Inventory[[#This Row],[sum_land]]-IF(Grandview_Inventory[[#This Row],[no_utilities]]=1,12000,0))/IF(Grandview_Inventory[[#This Row],[unbuildable]]=1,2,1)</f>
        <v>47528.228511015397</v>
      </c>
      <c r="CA193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35">
        <f>ROUND(Grandview_Inventory[[#This Row],[det_value]]*Lookups!$M$28,-2)</f>
        <v>0</v>
      </c>
      <c r="CC1935">
        <f>IF(ROUND(Grandview_Inventory[[#This Row],[adj_res]]*Lookups!$M$28,-2)&lt;Grandview_Inventory[[#This Row],[min_res]],Grandview_Inventory[[#This Row],[min_res]],ROUND(Grandview_Inventory[[#This Row],[adj_res]]*Lookups!$M$28,-2))</f>
        <v>238500</v>
      </c>
      <c r="CD1935">
        <f>Grandview_Inventory[[#This Row],[final_det]]+Grandview_Inventory[[#This Row],[final_res]]</f>
        <v>238500</v>
      </c>
      <c r="CE1935">
        <f>Grandview_Inventory[[#This Row],[final_land]]+Grandview_Inventory[[#This Row],[final_imp]]+Grandview_Inventory[[#This Row],[crop_value]]</f>
        <v>283700</v>
      </c>
      <c r="CG1935" t="str">
        <f t="shared" si="30"/>
        <v>update valuation set market_land =45200, market_bldg=238500, market_total =283700, market_mdno =401, market_date ='9/10/2023' where link_id = (select link_id from parcel where parcel_year = '2024' and parcel_id = '23092343405');</v>
      </c>
    </row>
    <row r="1936" spans="1:85" x14ac:dyDescent="0.25">
      <c r="A1936">
        <v>23092343406</v>
      </c>
      <c r="B1936">
        <v>0.18</v>
      </c>
      <c r="C1936">
        <v>7985</v>
      </c>
      <c r="D1936" t="s">
        <v>129</v>
      </c>
      <c r="E1936" t="s">
        <v>53</v>
      </c>
      <c r="F1936" t="s">
        <v>53</v>
      </c>
      <c r="G1936">
        <v>4</v>
      </c>
      <c r="H1936" t="s">
        <v>54</v>
      </c>
      <c r="I1936">
        <v>149500</v>
      </c>
      <c r="J1936">
        <v>39000</v>
      </c>
      <c r="K1936">
        <v>0.18</v>
      </c>
      <c r="L193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36">
        <v>0</v>
      </c>
      <c r="N1936">
        <v>0</v>
      </c>
      <c r="O1936">
        <v>0</v>
      </c>
      <c r="P1936">
        <v>13398.7528</v>
      </c>
      <c r="Q1936">
        <v>63903</v>
      </c>
      <c r="R1936">
        <f>(Grandview_Inventory[[#This Row],[ln_acres]]*Grandview_Inventory[[#This Row],[coeff]])+Grandview_Inventory[[#This Row],[const]]</f>
        <v>40926.839760167699</v>
      </c>
      <c r="S1936" t="s">
        <v>61</v>
      </c>
      <c r="T1936">
        <v>1</v>
      </c>
      <c r="U1936" t="s">
        <v>70</v>
      </c>
      <c r="V1936" t="s">
        <v>69</v>
      </c>
      <c r="W1936">
        <v>0</v>
      </c>
      <c r="X1936">
        <v>0</v>
      </c>
      <c r="Y1936">
        <v>43</v>
      </c>
      <c r="Z1936">
        <v>43</v>
      </c>
      <c r="AA1936">
        <v>50</v>
      </c>
      <c r="AB1936">
        <v>1500</v>
      </c>
      <c r="AC1936">
        <v>1376</v>
      </c>
      <c r="AD1936">
        <v>1376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5</v>
      </c>
      <c r="AQ1936">
        <v>0</v>
      </c>
      <c r="AR1936">
        <v>0</v>
      </c>
      <c r="AS1936" t="s">
        <v>58</v>
      </c>
      <c r="AT1936">
        <v>1</v>
      </c>
      <c r="AU1936" t="s">
        <v>63</v>
      </c>
      <c r="AV1936" t="s">
        <v>60</v>
      </c>
      <c r="AW1936">
        <v>0</v>
      </c>
      <c r="AX1936">
        <v>3</v>
      </c>
      <c r="AY1936">
        <v>0</v>
      </c>
      <c r="AZ1936">
        <v>0</v>
      </c>
      <c r="BA1936">
        <v>100</v>
      </c>
      <c r="BB1936">
        <v>100</v>
      </c>
      <c r="BC1936">
        <v>100</v>
      </c>
      <c r="BD1936">
        <v>100</v>
      </c>
      <c r="BE1936">
        <v>1</v>
      </c>
      <c r="BF1936">
        <v>15000</v>
      </c>
      <c r="BG1936">
        <v>1000</v>
      </c>
      <c r="BH1936" s="6">
        <f>Grandview_Inventory[[#This Row],[land_extract]]*Lookups!$B$3</f>
        <v>47528.228511015397</v>
      </c>
      <c r="BI1936" s="6">
        <f>IF(Grandview_Inventory[[#This Row],[bldg_style]]="",0,Lookups!$B$2)</f>
        <v>155833.95000000001</v>
      </c>
      <c r="BJ1936" s="6">
        <f>_xlfn.IFNA(VLOOKUP(Grandview_Inventory[[#This Row],[quality]],Lookups!$H$2:$J$14,3,FALSE),0)</f>
        <v>10733</v>
      </c>
      <c r="BK1936" s="6">
        <f>_xlfn.IFNA(VLOOKUP(Grandview_Inventory[[#This Row],[condition]],Lookups!$H$17:$J$24,3,FALSE),0)</f>
        <v>-4503</v>
      </c>
      <c r="BL1936" s="6">
        <f>Grandview_Inventory[[#This Row],[Eff_Age]]*Lookups!$B$14</f>
        <v>-10284.1638</v>
      </c>
      <c r="BM1936" s="6">
        <f>Grandview_Inventory[[#This Row],[living_area]]*Lookups!$B$15</f>
        <v>85836.053727999999</v>
      </c>
      <c r="BN1936" s="6">
        <f>Grandview_Inventory[[#This Row],[Fin BSMT]]*Lookups!$B$16</f>
        <v>0</v>
      </c>
      <c r="BO1936" s="6">
        <f>(Grandview_Inventory[[#This Row],[att_gar]]+Grandview_Inventory[[#This Row],[bltin_gar]])*Lookups!$B$17</f>
        <v>0</v>
      </c>
      <c r="BP1936" s="6">
        <f>Grandview_Inventory[[#This Row],[Plumbing Fixtures]]*Lookups!$B$18</f>
        <v>10052.209000000001</v>
      </c>
      <c r="BQ1936" s="6">
        <f>Grandview_Inventory[[#This Row],[detatched_value]]*Lookups!$B$19</f>
        <v>0</v>
      </c>
      <c r="BR1936" s="6">
        <f>SUM(Grandview_Inventory[[#This Row],[Intercept]:[det_value]])*Grandview_Inventory[[#This Row],[res_pct]]</f>
        <v>247668.048928</v>
      </c>
      <c r="BS1936" s="6">
        <f>Grandview_Inventory[[#This Row],[land_value]]</f>
        <v>47528.228511015397</v>
      </c>
      <c r="BT1936" s="4">
        <f>_xlfn.IFNA(VLOOKUP(Grandview_Inventory[[#This Row],[quality]],Lookups!$A$26:$C$33,3,FALSE),1)</f>
        <v>0.98079741117310582</v>
      </c>
      <c r="BU1936" s="4">
        <f>_xlfn.IFNA(VLOOKUP(Grandview_Inventory[[#This Row],[condition]],Lookups!$A$37:$C$44,3,FALSE),1)</f>
        <v>0.96469275950863709</v>
      </c>
      <c r="BV1936" s="4">
        <f>IF(Grandview_Inventory[[#This Row],[bldg_style]]="",1,_xlfn.IFNA(VLOOKUP(Grandview_Inventory[[#This Row],[decade]],Lookups!$F$29:$H$43,3,FALSE),1))</f>
        <v>0.9871940091910919</v>
      </c>
      <c r="BW1936" s="4">
        <f>_xlfn.IFNA(VLOOKUP(Grandview_Inventory[[#This Row],[living_area_range]],Lookups!$F$47:$H$56,3,FALSE),1)</f>
        <v>0.96135087979789358</v>
      </c>
      <c r="BX1936" s="4">
        <f>AVERAGE(Grandview_Inventory[[#This Row],[qual_adj]:[size_adj]])</f>
        <v>0.97350876491768212</v>
      </c>
      <c r="BY1936" s="6">
        <f>IF(Grandview_Inventory[[#This Row],[pre_res]]&lt;0,0,Grandview_Inventory[[#This Row],[pre_res]]*Grandview_Inventory[[#This Row],[overall_adj]])</f>
        <v>241107.01642146934</v>
      </c>
      <c r="BZ1936" s="6">
        <f>(Grandview_Inventory[[#This Row],[sum_land]]-IF(Grandview_Inventory[[#This Row],[no_utilities]]=1,12000,0))/IF(Grandview_Inventory[[#This Row],[unbuildable]]=1,2,1)</f>
        <v>47528.228511015397</v>
      </c>
      <c r="CA193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36">
        <f>ROUND(Grandview_Inventory[[#This Row],[det_value]]*Lookups!$M$28,-2)</f>
        <v>0</v>
      </c>
      <c r="CC1936">
        <f>IF(ROUND(Grandview_Inventory[[#This Row],[adj_res]]*Lookups!$M$28,-2)&lt;Grandview_Inventory[[#This Row],[min_res]],Grandview_Inventory[[#This Row],[min_res]],ROUND(Grandview_Inventory[[#This Row],[adj_res]]*Lookups!$M$28,-2))</f>
        <v>229100</v>
      </c>
      <c r="CD1936">
        <f>Grandview_Inventory[[#This Row],[final_det]]+Grandview_Inventory[[#This Row],[final_res]]</f>
        <v>229100</v>
      </c>
      <c r="CE1936">
        <f>Grandview_Inventory[[#This Row],[final_land]]+Grandview_Inventory[[#This Row],[final_imp]]+Grandview_Inventory[[#This Row],[crop_value]]</f>
        <v>274300</v>
      </c>
      <c r="CG1936" t="str">
        <f t="shared" si="30"/>
        <v>update valuation set market_land =45200, market_bldg=229100, market_total =274300, market_mdno =401, market_date ='9/10/2023' where link_id = (select link_id from parcel where parcel_year = '2024' and parcel_id = '23092343406');</v>
      </c>
    </row>
    <row r="1937" spans="1:85" x14ac:dyDescent="0.25">
      <c r="A1937">
        <v>23092343407</v>
      </c>
      <c r="B1937">
        <v>0.25</v>
      </c>
      <c r="C1937">
        <v>10848</v>
      </c>
      <c r="D1937" t="s">
        <v>129</v>
      </c>
      <c r="E1937" t="s">
        <v>53</v>
      </c>
      <c r="F1937" t="s">
        <v>53</v>
      </c>
      <c r="G1937">
        <v>4</v>
      </c>
      <c r="H1937" t="s">
        <v>54</v>
      </c>
      <c r="I1937">
        <v>149100</v>
      </c>
      <c r="J1937">
        <v>40000</v>
      </c>
      <c r="K1937">
        <v>0.25</v>
      </c>
      <c r="L193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937">
        <v>0</v>
      </c>
      <c r="N1937">
        <v>0</v>
      </c>
      <c r="O1937">
        <v>0</v>
      </c>
      <c r="P1937">
        <v>13398.7528</v>
      </c>
      <c r="Q1937">
        <v>63903</v>
      </c>
      <c r="R1937">
        <f>(Grandview_Inventory[[#This Row],[ln_acres]]*Grandview_Inventory[[#This Row],[coeff]])+Grandview_Inventory[[#This Row],[const]]</f>
        <v>45328.38454732066</v>
      </c>
      <c r="S1937" t="s">
        <v>61</v>
      </c>
      <c r="T1937">
        <v>1</v>
      </c>
      <c r="U1937" t="s">
        <v>70</v>
      </c>
      <c r="V1937" t="s">
        <v>69</v>
      </c>
      <c r="W1937">
        <v>0</v>
      </c>
      <c r="X1937">
        <v>0</v>
      </c>
      <c r="Y1937">
        <v>42</v>
      </c>
      <c r="Z1937">
        <v>42</v>
      </c>
      <c r="AA1937">
        <v>50</v>
      </c>
      <c r="AB1937">
        <v>1500</v>
      </c>
      <c r="AC1937">
        <v>1008</v>
      </c>
      <c r="AD1937">
        <v>1008</v>
      </c>
      <c r="AE1937">
        <v>0</v>
      </c>
      <c r="AF1937">
        <v>0</v>
      </c>
      <c r="AG1937">
        <v>0</v>
      </c>
      <c r="AH1937">
        <v>0</v>
      </c>
      <c r="AI1937">
        <v>288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5</v>
      </c>
      <c r="AQ1937">
        <v>0</v>
      </c>
      <c r="AR1937">
        <v>0</v>
      </c>
      <c r="AS1937" t="s">
        <v>58</v>
      </c>
      <c r="AT1937">
        <v>1</v>
      </c>
      <c r="AU1937" t="s">
        <v>63</v>
      </c>
      <c r="AV1937" t="s">
        <v>60</v>
      </c>
      <c r="AW1937">
        <v>0</v>
      </c>
      <c r="AX1937">
        <v>3</v>
      </c>
      <c r="AY1937">
        <v>0</v>
      </c>
      <c r="AZ1937">
        <v>0</v>
      </c>
      <c r="BA1937">
        <v>100</v>
      </c>
      <c r="BB1937">
        <v>100</v>
      </c>
      <c r="BC1937">
        <v>100</v>
      </c>
      <c r="BD1937">
        <v>100</v>
      </c>
      <c r="BE1937">
        <v>1</v>
      </c>
      <c r="BF1937">
        <v>15000</v>
      </c>
      <c r="BG1937">
        <v>1000</v>
      </c>
      <c r="BH1937" s="6">
        <f>Grandview_Inventory[[#This Row],[land_extract]]*Lookups!$B$3</f>
        <v>52639.730588165206</v>
      </c>
      <c r="BI1937" s="6">
        <f>IF(Grandview_Inventory[[#This Row],[bldg_style]]="",0,Lookups!$B$2)</f>
        <v>155833.95000000001</v>
      </c>
      <c r="BJ1937" s="6">
        <f>_xlfn.IFNA(VLOOKUP(Grandview_Inventory[[#This Row],[quality]],Lookups!$H$2:$J$14,3,FALSE),0)</f>
        <v>10733</v>
      </c>
      <c r="BK1937" s="6">
        <f>_xlfn.IFNA(VLOOKUP(Grandview_Inventory[[#This Row],[condition]],Lookups!$H$17:$J$24,3,FALSE),0)</f>
        <v>-4503</v>
      </c>
      <c r="BL1937" s="6">
        <f>Grandview_Inventory[[#This Row],[Eff_Age]]*Lookups!$B$14</f>
        <v>-10044.9972</v>
      </c>
      <c r="BM1937" s="6">
        <f>Grandview_Inventory[[#This Row],[living_area]]*Lookups!$B$15</f>
        <v>62879.899824</v>
      </c>
      <c r="BN1937" s="6">
        <f>Grandview_Inventory[[#This Row],[Fin BSMT]]*Lookups!$B$16</f>
        <v>0</v>
      </c>
      <c r="BO1937" s="6">
        <f>(Grandview_Inventory[[#This Row],[att_gar]]+Grandview_Inventory[[#This Row],[bltin_gar]])*Lookups!$B$17</f>
        <v>25205.885856000001</v>
      </c>
      <c r="BP1937" s="6">
        <f>Grandview_Inventory[[#This Row],[Plumbing Fixtures]]*Lookups!$B$18</f>
        <v>10052.209000000001</v>
      </c>
      <c r="BQ1937" s="6">
        <f>Grandview_Inventory[[#This Row],[detatched_value]]*Lookups!$B$19</f>
        <v>0</v>
      </c>
      <c r="BR1937" s="6">
        <f>SUM(Grandview_Inventory[[#This Row],[Intercept]:[det_value]])*Grandview_Inventory[[#This Row],[res_pct]]</f>
        <v>250156.94748</v>
      </c>
      <c r="BS1937" s="6">
        <f>Grandview_Inventory[[#This Row],[land_value]]</f>
        <v>52639.730588165206</v>
      </c>
      <c r="BT1937" s="4">
        <f>_xlfn.IFNA(VLOOKUP(Grandview_Inventory[[#This Row],[quality]],Lookups!$A$26:$C$33,3,FALSE),1)</f>
        <v>0.98079741117310582</v>
      </c>
      <c r="BU1937" s="4">
        <f>_xlfn.IFNA(VLOOKUP(Grandview_Inventory[[#This Row],[condition]],Lookups!$A$37:$C$44,3,FALSE),1)</f>
        <v>0.96469275950863709</v>
      </c>
      <c r="BV1937" s="4">
        <f>IF(Grandview_Inventory[[#This Row],[bldg_style]]="",1,_xlfn.IFNA(VLOOKUP(Grandview_Inventory[[#This Row],[decade]],Lookups!$F$29:$H$43,3,FALSE),1))</f>
        <v>0.9871940091910919</v>
      </c>
      <c r="BW1937" s="4">
        <f>_xlfn.IFNA(VLOOKUP(Grandview_Inventory[[#This Row],[living_area_range]],Lookups!$F$47:$H$56,3,FALSE),1)</f>
        <v>0.96135087979789358</v>
      </c>
      <c r="BX1937" s="4">
        <f>AVERAGE(Grandview_Inventory[[#This Row],[qual_adj]:[size_adj]])</f>
        <v>0.97350876491768212</v>
      </c>
      <c r="BY1937" s="6">
        <f>IF(Grandview_Inventory[[#This Row],[pre_res]]&lt;0,0,Grandview_Inventory[[#This Row],[pre_res]]*Grandview_Inventory[[#This Row],[overall_adj]])</f>
        <v>243529.98097683227</v>
      </c>
      <c r="BZ1937" s="6">
        <f>(Grandview_Inventory[[#This Row],[sum_land]]-IF(Grandview_Inventory[[#This Row],[no_utilities]]=1,12000,0))/IF(Grandview_Inventory[[#This Row],[unbuildable]]=1,2,1)</f>
        <v>52639.730588165206</v>
      </c>
      <c r="CA193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937">
        <f>ROUND(Grandview_Inventory[[#This Row],[det_value]]*Lookups!$M$28,-2)</f>
        <v>0</v>
      </c>
      <c r="CC1937">
        <f>IF(ROUND(Grandview_Inventory[[#This Row],[adj_res]]*Lookups!$M$28,-2)&lt;Grandview_Inventory[[#This Row],[min_res]],Grandview_Inventory[[#This Row],[min_res]],ROUND(Grandview_Inventory[[#This Row],[adj_res]]*Lookups!$M$28,-2))</f>
        <v>231400</v>
      </c>
      <c r="CD1937">
        <f>Grandview_Inventory[[#This Row],[final_det]]+Grandview_Inventory[[#This Row],[final_res]]</f>
        <v>231400</v>
      </c>
      <c r="CE1937">
        <f>Grandview_Inventory[[#This Row],[final_land]]+Grandview_Inventory[[#This Row],[final_imp]]+Grandview_Inventory[[#This Row],[crop_value]]</f>
        <v>281400</v>
      </c>
      <c r="CG1937" t="str">
        <f t="shared" si="30"/>
        <v>update valuation set market_land =50000, market_bldg=231400, market_total =281400, market_mdno =401, market_date ='9/10/2023' where link_id = (select link_id from parcel where parcel_year = '2024' and parcel_id = '23092343407');</v>
      </c>
    </row>
    <row r="1938" spans="1:85" x14ac:dyDescent="0.25">
      <c r="A1938">
        <v>23092343408</v>
      </c>
      <c r="B1938">
        <v>0.36</v>
      </c>
      <c r="C1938">
        <v>15478</v>
      </c>
      <c r="D1938" t="s">
        <v>129</v>
      </c>
      <c r="E1938" t="s">
        <v>53</v>
      </c>
      <c r="F1938" t="s">
        <v>53</v>
      </c>
      <c r="G1938">
        <v>4</v>
      </c>
      <c r="H1938" t="s">
        <v>54</v>
      </c>
      <c r="I1938">
        <v>172700</v>
      </c>
      <c r="J1938">
        <v>41100</v>
      </c>
      <c r="K1938">
        <v>0.36</v>
      </c>
      <c r="L1938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1938">
        <v>0</v>
      </c>
      <c r="N1938">
        <v>0</v>
      </c>
      <c r="O1938">
        <v>0</v>
      </c>
      <c r="P1938">
        <v>13398.7528</v>
      </c>
      <c r="Q1938">
        <v>63903</v>
      </c>
      <c r="R1938">
        <f>(Grandview_Inventory[[#This Row],[ln_acres]]*Grandview_Inventory[[#This Row],[coeff]])+Grandview_Inventory[[#This Row],[const]]</f>
        <v>50214.147486507369</v>
      </c>
      <c r="S1938" t="s">
        <v>61</v>
      </c>
      <c r="T1938">
        <v>1</v>
      </c>
      <c r="U1938" t="s">
        <v>70</v>
      </c>
      <c r="V1938" t="s">
        <v>69</v>
      </c>
      <c r="W1938">
        <v>0</v>
      </c>
      <c r="X1938">
        <v>0</v>
      </c>
      <c r="Y1938">
        <v>43</v>
      </c>
      <c r="Z1938">
        <v>43</v>
      </c>
      <c r="AA1938">
        <v>50</v>
      </c>
      <c r="AB1938">
        <v>1500</v>
      </c>
      <c r="AC1938">
        <v>1032</v>
      </c>
      <c r="AD1938">
        <v>1032</v>
      </c>
      <c r="AE1938">
        <v>0</v>
      </c>
      <c r="AF1938">
        <v>0</v>
      </c>
      <c r="AG1938">
        <v>0</v>
      </c>
      <c r="AH1938">
        <v>0</v>
      </c>
      <c r="AI1938">
        <v>264</v>
      </c>
      <c r="AJ1938">
        <v>0</v>
      </c>
      <c r="AK1938">
        <v>242</v>
      </c>
      <c r="AL1938">
        <v>0</v>
      </c>
      <c r="AM1938">
        <v>0</v>
      </c>
      <c r="AN1938">
        <v>0</v>
      </c>
      <c r="AO1938">
        <v>0</v>
      </c>
      <c r="AP1938">
        <v>6</v>
      </c>
      <c r="AQ1938">
        <v>0</v>
      </c>
      <c r="AR1938">
        <v>0</v>
      </c>
      <c r="AS1938" t="s">
        <v>58</v>
      </c>
      <c r="AT1938">
        <v>1</v>
      </c>
      <c r="AU1938" t="s">
        <v>63</v>
      </c>
      <c r="AV1938" t="s">
        <v>60</v>
      </c>
      <c r="AW1938">
        <v>1</v>
      </c>
      <c r="AX1938">
        <v>3</v>
      </c>
      <c r="AY1938">
        <v>0</v>
      </c>
      <c r="AZ1938">
        <v>0</v>
      </c>
      <c r="BA1938">
        <v>100</v>
      </c>
      <c r="BB1938">
        <v>100</v>
      </c>
      <c r="BC1938">
        <v>100</v>
      </c>
      <c r="BD1938">
        <v>100</v>
      </c>
      <c r="BE1938">
        <v>1</v>
      </c>
      <c r="BF1938">
        <v>15000</v>
      </c>
      <c r="BG1938">
        <v>1000</v>
      </c>
      <c r="BH1938" s="6">
        <f>Grandview_Inventory[[#This Row],[land_extract]]*Lookups!$B$3</f>
        <v>58313.55389788279</v>
      </c>
      <c r="BI1938" s="6">
        <f>IF(Grandview_Inventory[[#This Row],[bldg_style]]="",0,Lookups!$B$2)</f>
        <v>155833.95000000001</v>
      </c>
      <c r="BJ1938" s="6">
        <f>_xlfn.IFNA(VLOOKUP(Grandview_Inventory[[#This Row],[quality]],Lookups!$H$2:$J$14,3,FALSE),0)</f>
        <v>10733</v>
      </c>
      <c r="BK1938" s="6">
        <f>_xlfn.IFNA(VLOOKUP(Grandview_Inventory[[#This Row],[condition]],Lookups!$H$17:$J$24,3,FALSE),0)</f>
        <v>-4503</v>
      </c>
      <c r="BL1938" s="6">
        <f>Grandview_Inventory[[#This Row],[Eff_Age]]*Lookups!$B$14</f>
        <v>-10284.1638</v>
      </c>
      <c r="BM1938" s="6">
        <f>Grandview_Inventory[[#This Row],[living_area]]*Lookups!$B$15</f>
        <v>64377.040295999999</v>
      </c>
      <c r="BN1938" s="6">
        <f>Grandview_Inventory[[#This Row],[Fin BSMT]]*Lookups!$B$16</f>
        <v>0</v>
      </c>
      <c r="BO1938" s="6">
        <f>(Grandview_Inventory[[#This Row],[att_gar]]+Grandview_Inventory[[#This Row],[bltin_gar]])*Lookups!$B$17</f>
        <v>23105.395368000001</v>
      </c>
      <c r="BP1938" s="6">
        <f>Grandview_Inventory[[#This Row],[Plumbing Fixtures]]*Lookups!$B$18</f>
        <v>12062.650799999999</v>
      </c>
      <c r="BQ1938" s="6">
        <f>Grandview_Inventory[[#This Row],[detatched_value]]*Lookups!$B$19</f>
        <v>0</v>
      </c>
      <c r="BR1938" s="6">
        <f>SUM(Grandview_Inventory[[#This Row],[Intercept]:[det_value]])*Grandview_Inventory[[#This Row],[res_pct]]</f>
        <v>251324.87266399999</v>
      </c>
      <c r="BS1938" s="6">
        <f>Grandview_Inventory[[#This Row],[land_value]]</f>
        <v>58313.55389788279</v>
      </c>
      <c r="BT1938" s="4">
        <f>_xlfn.IFNA(VLOOKUP(Grandview_Inventory[[#This Row],[quality]],Lookups!$A$26:$C$33,3,FALSE),1)</f>
        <v>0.98079741117310582</v>
      </c>
      <c r="BU1938" s="4">
        <f>_xlfn.IFNA(VLOOKUP(Grandview_Inventory[[#This Row],[condition]],Lookups!$A$37:$C$44,3,FALSE),1)</f>
        <v>0.96469275950863709</v>
      </c>
      <c r="BV1938" s="4">
        <f>IF(Grandview_Inventory[[#This Row],[bldg_style]]="",1,_xlfn.IFNA(VLOOKUP(Grandview_Inventory[[#This Row],[decade]],Lookups!$F$29:$H$43,3,FALSE),1))</f>
        <v>0.9871940091910919</v>
      </c>
      <c r="BW1938" s="4">
        <f>_xlfn.IFNA(VLOOKUP(Grandview_Inventory[[#This Row],[living_area_range]],Lookups!$F$47:$H$56,3,FALSE),1)</f>
        <v>0.96135087979789358</v>
      </c>
      <c r="BX1938" s="4">
        <f>AVERAGE(Grandview_Inventory[[#This Row],[qual_adj]:[size_adj]])</f>
        <v>0.97350876491768212</v>
      </c>
      <c r="BY1938" s="6">
        <f>IF(Grandview_Inventory[[#This Row],[pre_res]]&lt;0,0,Grandview_Inventory[[#This Row],[pre_res]]*Grandview_Inventory[[#This Row],[overall_adj]])</f>
        <v>244666.96638022436</v>
      </c>
      <c r="BZ1938" s="6">
        <f>(Grandview_Inventory[[#This Row],[sum_land]]-IF(Grandview_Inventory[[#This Row],[no_utilities]]=1,12000,0))/IF(Grandview_Inventory[[#This Row],[unbuildable]]=1,2,1)</f>
        <v>58313.55389788279</v>
      </c>
      <c r="CA1938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1938">
        <f>ROUND(Grandview_Inventory[[#This Row],[det_value]]*Lookups!$M$28,-2)</f>
        <v>0</v>
      </c>
      <c r="CC1938">
        <f>IF(ROUND(Grandview_Inventory[[#This Row],[adj_res]]*Lookups!$M$28,-2)&lt;Grandview_Inventory[[#This Row],[min_res]],Grandview_Inventory[[#This Row],[min_res]],ROUND(Grandview_Inventory[[#This Row],[adj_res]]*Lookups!$M$28,-2))</f>
        <v>232400</v>
      </c>
      <c r="CD1938">
        <f>Grandview_Inventory[[#This Row],[final_det]]+Grandview_Inventory[[#This Row],[final_res]]</f>
        <v>232400</v>
      </c>
      <c r="CE1938">
        <f>Grandview_Inventory[[#This Row],[final_land]]+Grandview_Inventory[[#This Row],[final_imp]]+Grandview_Inventory[[#This Row],[crop_value]]</f>
        <v>287800</v>
      </c>
      <c r="CG1938" t="str">
        <f t="shared" si="30"/>
        <v>update valuation set market_land =55400, market_bldg=232400, market_total =287800, market_mdno =401, market_date ='9/10/2023' where link_id = (select link_id from parcel where parcel_year = '2024' and parcel_id = '23092343408');</v>
      </c>
    </row>
    <row r="1939" spans="1:85" x14ac:dyDescent="0.25">
      <c r="A1939">
        <v>23092343409</v>
      </c>
      <c r="B1939">
        <v>0.24</v>
      </c>
      <c r="C1939">
        <v>10244</v>
      </c>
      <c r="D1939" t="s">
        <v>129</v>
      </c>
      <c r="E1939" t="s">
        <v>53</v>
      </c>
      <c r="F1939" t="s">
        <v>53</v>
      </c>
      <c r="G1939">
        <v>4</v>
      </c>
      <c r="H1939" t="s">
        <v>54</v>
      </c>
      <c r="I1939">
        <v>152000</v>
      </c>
      <c r="J1939">
        <v>39700</v>
      </c>
      <c r="K1939">
        <v>0.24</v>
      </c>
      <c r="L193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1939">
        <v>0</v>
      </c>
      <c r="N1939">
        <v>0</v>
      </c>
      <c r="O1939">
        <v>0</v>
      </c>
      <c r="P1939">
        <v>13398.7528</v>
      </c>
      <c r="Q1939">
        <v>63903</v>
      </c>
      <c r="R1939">
        <f>(Grandview_Inventory[[#This Row],[ln_acres]]*Grandview_Inventory[[#This Row],[coeff]])+Grandview_Inventory[[#This Row],[const]]</f>
        <v>44781.420733940802</v>
      </c>
      <c r="S1939" t="s">
        <v>61</v>
      </c>
      <c r="T1939">
        <v>1</v>
      </c>
      <c r="U1939" t="s">
        <v>70</v>
      </c>
      <c r="V1939" t="s">
        <v>69</v>
      </c>
      <c r="W1939">
        <v>0</v>
      </c>
      <c r="X1939">
        <v>0</v>
      </c>
      <c r="Y1939">
        <v>43</v>
      </c>
      <c r="Z1939">
        <v>43</v>
      </c>
      <c r="AA1939">
        <v>50</v>
      </c>
      <c r="AB1939">
        <v>1500</v>
      </c>
      <c r="AC1939">
        <v>1088</v>
      </c>
      <c r="AD1939">
        <v>1088</v>
      </c>
      <c r="AE1939">
        <v>0</v>
      </c>
      <c r="AF1939">
        <v>0</v>
      </c>
      <c r="AG1939">
        <v>0</v>
      </c>
      <c r="AH1939">
        <v>0</v>
      </c>
      <c r="AI1939">
        <v>288</v>
      </c>
      <c r="AJ1939">
        <v>0</v>
      </c>
      <c r="AK1939">
        <v>0</v>
      </c>
      <c r="AL1939">
        <v>0</v>
      </c>
      <c r="AM1939">
        <v>560</v>
      </c>
      <c r="AN1939">
        <v>0</v>
      </c>
      <c r="AO1939">
        <v>560</v>
      </c>
      <c r="AP1939">
        <v>5</v>
      </c>
      <c r="AQ1939">
        <v>0</v>
      </c>
      <c r="AR1939">
        <v>0</v>
      </c>
      <c r="AS1939" t="s">
        <v>58</v>
      </c>
      <c r="AT1939">
        <v>1</v>
      </c>
      <c r="AU1939" t="s">
        <v>75</v>
      </c>
      <c r="AV1939" t="s">
        <v>60</v>
      </c>
      <c r="AW1939">
        <v>0</v>
      </c>
      <c r="AX1939">
        <v>3</v>
      </c>
      <c r="AY1939">
        <v>0</v>
      </c>
      <c r="AZ1939">
        <v>0</v>
      </c>
      <c r="BA1939">
        <v>100</v>
      </c>
      <c r="BB1939">
        <v>100</v>
      </c>
      <c r="BC1939">
        <v>100</v>
      </c>
      <c r="BD1939">
        <v>100</v>
      </c>
      <c r="BE1939">
        <v>1</v>
      </c>
      <c r="BF1939">
        <v>15000</v>
      </c>
      <c r="BG1939">
        <v>1000</v>
      </c>
      <c r="BH1939" s="6">
        <f>Grandview_Inventory[[#This Row],[land_extract]]*Lookups!$B$3</f>
        <v>52004.542988489469</v>
      </c>
      <c r="BI1939" s="6">
        <f>IF(Grandview_Inventory[[#This Row],[bldg_style]]="",0,Lookups!$B$2)</f>
        <v>155833.95000000001</v>
      </c>
      <c r="BJ1939" s="6">
        <f>_xlfn.IFNA(VLOOKUP(Grandview_Inventory[[#This Row],[quality]],Lookups!$H$2:$J$14,3,FALSE),0)</f>
        <v>10733</v>
      </c>
      <c r="BK1939" s="6">
        <f>_xlfn.IFNA(VLOOKUP(Grandview_Inventory[[#This Row],[condition]],Lookups!$H$17:$J$24,3,FALSE),0)</f>
        <v>-4503</v>
      </c>
      <c r="BL1939" s="6">
        <f>Grandview_Inventory[[#This Row],[Eff_Age]]*Lookups!$B$14</f>
        <v>-10284.1638</v>
      </c>
      <c r="BM1939" s="6">
        <f>Grandview_Inventory[[#This Row],[living_area]]*Lookups!$B$15</f>
        <v>67870.368064000009</v>
      </c>
      <c r="BN1939" s="6">
        <f>Grandview_Inventory[[#This Row],[Fin BSMT]]*Lookups!$B$16</f>
        <v>0</v>
      </c>
      <c r="BO1939" s="6">
        <f>(Grandview_Inventory[[#This Row],[att_gar]]+Grandview_Inventory[[#This Row],[bltin_gar]])*Lookups!$B$17</f>
        <v>25205.885856000001</v>
      </c>
      <c r="BP1939" s="6">
        <f>Grandview_Inventory[[#This Row],[Plumbing Fixtures]]*Lookups!$B$18</f>
        <v>10052.209000000001</v>
      </c>
      <c r="BQ1939" s="6">
        <f>Grandview_Inventory[[#This Row],[detatched_value]]*Lookups!$B$19</f>
        <v>0</v>
      </c>
      <c r="BR1939" s="6">
        <f>SUM(Grandview_Inventory[[#This Row],[Intercept]:[det_value]])*Grandview_Inventory[[#This Row],[res_pct]]</f>
        <v>254908.24912000002</v>
      </c>
      <c r="BS1939" s="6">
        <f>Grandview_Inventory[[#This Row],[land_value]]</f>
        <v>52004.542988489469</v>
      </c>
      <c r="BT1939" s="4">
        <f>_xlfn.IFNA(VLOOKUP(Grandview_Inventory[[#This Row],[quality]],Lookups!$A$26:$C$33,3,FALSE),1)</f>
        <v>0.98079741117310582</v>
      </c>
      <c r="BU1939" s="4">
        <f>_xlfn.IFNA(VLOOKUP(Grandview_Inventory[[#This Row],[condition]],Lookups!$A$37:$C$44,3,FALSE),1)</f>
        <v>0.96469275950863709</v>
      </c>
      <c r="BV1939" s="4">
        <f>IF(Grandview_Inventory[[#This Row],[bldg_style]]="",1,_xlfn.IFNA(VLOOKUP(Grandview_Inventory[[#This Row],[decade]],Lookups!$F$29:$H$43,3,FALSE),1))</f>
        <v>0.9871940091910919</v>
      </c>
      <c r="BW1939" s="4">
        <f>_xlfn.IFNA(VLOOKUP(Grandview_Inventory[[#This Row],[living_area_range]],Lookups!$F$47:$H$56,3,FALSE),1)</f>
        <v>0.96135087979789358</v>
      </c>
      <c r="BX1939" s="4">
        <f>AVERAGE(Grandview_Inventory[[#This Row],[qual_adj]:[size_adj]])</f>
        <v>0.97350876491768212</v>
      </c>
      <c r="BY1939" s="6">
        <f>IF(Grandview_Inventory[[#This Row],[pre_res]]&lt;0,0,Grandview_Inventory[[#This Row],[pre_res]]*Grandview_Inventory[[#This Row],[overall_adj]])</f>
        <v>248155.41476814006</v>
      </c>
      <c r="BZ1939" s="6">
        <f>(Grandview_Inventory[[#This Row],[sum_land]]-IF(Grandview_Inventory[[#This Row],[no_utilities]]=1,12000,0))/IF(Grandview_Inventory[[#This Row],[unbuildable]]=1,2,1)</f>
        <v>52004.542988489469</v>
      </c>
      <c r="CA193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1939">
        <f>ROUND(Grandview_Inventory[[#This Row],[det_value]]*Lookups!$M$28,-2)</f>
        <v>0</v>
      </c>
      <c r="CC1939">
        <f>IF(ROUND(Grandview_Inventory[[#This Row],[adj_res]]*Lookups!$M$28,-2)&lt;Grandview_Inventory[[#This Row],[min_res]],Grandview_Inventory[[#This Row],[min_res]],ROUND(Grandview_Inventory[[#This Row],[adj_res]]*Lookups!$M$28,-2))</f>
        <v>235700</v>
      </c>
      <c r="CD1939">
        <f>Grandview_Inventory[[#This Row],[final_det]]+Grandview_Inventory[[#This Row],[final_res]]</f>
        <v>235700</v>
      </c>
      <c r="CE1939">
        <f>Grandview_Inventory[[#This Row],[final_land]]+Grandview_Inventory[[#This Row],[final_imp]]+Grandview_Inventory[[#This Row],[crop_value]]</f>
        <v>285100</v>
      </c>
      <c r="CG1939" t="str">
        <f t="shared" si="30"/>
        <v>update valuation set market_land =49400, market_bldg=235700, market_total =285100, market_mdno =401, market_date ='9/10/2023' where link_id = (select link_id from parcel where parcel_year = '2024' and parcel_id = '23092343409');</v>
      </c>
    </row>
    <row r="1940" spans="1:85" x14ac:dyDescent="0.25">
      <c r="A1940">
        <v>23092343410</v>
      </c>
      <c r="B1940">
        <v>0.21</v>
      </c>
      <c r="C1940">
        <v>9307</v>
      </c>
      <c r="D1940" t="s">
        <v>129</v>
      </c>
      <c r="E1940" t="s">
        <v>53</v>
      </c>
      <c r="F1940" t="s">
        <v>53</v>
      </c>
      <c r="G1940">
        <v>4</v>
      </c>
      <c r="H1940" t="s">
        <v>54</v>
      </c>
      <c r="I1940">
        <v>144700</v>
      </c>
      <c r="J1940">
        <v>39500</v>
      </c>
      <c r="K1940">
        <v>0.21</v>
      </c>
      <c r="L194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940">
        <v>0</v>
      </c>
      <c r="N1940">
        <v>0</v>
      </c>
      <c r="O1940">
        <v>0</v>
      </c>
      <c r="P1940">
        <v>13398.7528</v>
      </c>
      <c r="Q1940">
        <v>63903</v>
      </c>
      <c r="R1940">
        <f>(Grandview_Inventory[[#This Row],[ln_acres]]*Grandview_Inventory[[#This Row],[coeff]])+Grandview_Inventory[[#This Row],[const]]</f>
        <v>42992.266613125081</v>
      </c>
      <c r="S1940" t="s">
        <v>61</v>
      </c>
      <c r="T1940">
        <v>1</v>
      </c>
      <c r="U1940" t="s">
        <v>70</v>
      </c>
      <c r="V1940" t="s">
        <v>69</v>
      </c>
      <c r="W1940">
        <v>0</v>
      </c>
      <c r="X1940">
        <v>0</v>
      </c>
      <c r="Y1940">
        <v>43</v>
      </c>
      <c r="Z1940">
        <v>43</v>
      </c>
      <c r="AA1940">
        <v>50</v>
      </c>
      <c r="AB1940">
        <v>1500</v>
      </c>
      <c r="AC1940">
        <v>1296</v>
      </c>
      <c r="AD1940">
        <v>1296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5</v>
      </c>
      <c r="AQ1940">
        <v>0</v>
      </c>
      <c r="AR1940">
        <v>0</v>
      </c>
      <c r="AS1940" t="s">
        <v>58</v>
      </c>
      <c r="AT1940">
        <v>1</v>
      </c>
      <c r="AU1940" t="s">
        <v>75</v>
      </c>
      <c r="AV1940" t="s">
        <v>60</v>
      </c>
      <c r="AW1940">
        <v>0</v>
      </c>
      <c r="AX1940">
        <v>3</v>
      </c>
      <c r="AY1940">
        <v>0</v>
      </c>
      <c r="AZ1940">
        <v>0</v>
      </c>
      <c r="BA1940">
        <v>100</v>
      </c>
      <c r="BB1940">
        <v>100</v>
      </c>
      <c r="BC1940">
        <v>100</v>
      </c>
      <c r="BD1940">
        <v>100</v>
      </c>
      <c r="BE1940">
        <v>1</v>
      </c>
      <c r="BF1940">
        <v>15000</v>
      </c>
      <c r="BG1940">
        <v>1000</v>
      </c>
      <c r="BH1940" s="6">
        <f>Grandview_Inventory[[#This Row],[land_extract]]*Lookups!$B$3</f>
        <v>49926.8031387023</v>
      </c>
      <c r="BI1940" s="6">
        <f>IF(Grandview_Inventory[[#This Row],[bldg_style]]="",0,Lookups!$B$2)</f>
        <v>155833.95000000001</v>
      </c>
      <c r="BJ1940" s="6">
        <f>_xlfn.IFNA(VLOOKUP(Grandview_Inventory[[#This Row],[quality]],Lookups!$H$2:$J$14,3,FALSE),0)</f>
        <v>10733</v>
      </c>
      <c r="BK1940" s="6">
        <f>_xlfn.IFNA(VLOOKUP(Grandview_Inventory[[#This Row],[condition]],Lookups!$H$17:$J$24,3,FALSE),0)</f>
        <v>-4503</v>
      </c>
      <c r="BL1940" s="6">
        <f>Grandview_Inventory[[#This Row],[Eff_Age]]*Lookups!$B$14</f>
        <v>-10284.1638</v>
      </c>
      <c r="BM1940" s="6">
        <f>Grandview_Inventory[[#This Row],[living_area]]*Lookups!$B$15</f>
        <v>80845.585487999997</v>
      </c>
      <c r="BN1940" s="6">
        <f>Grandview_Inventory[[#This Row],[Fin BSMT]]*Lookups!$B$16</f>
        <v>0</v>
      </c>
      <c r="BO1940" s="6">
        <f>(Grandview_Inventory[[#This Row],[att_gar]]+Grandview_Inventory[[#This Row],[bltin_gar]])*Lookups!$B$17</f>
        <v>0</v>
      </c>
      <c r="BP1940" s="6">
        <f>Grandview_Inventory[[#This Row],[Plumbing Fixtures]]*Lookups!$B$18</f>
        <v>10052.209000000001</v>
      </c>
      <c r="BQ1940" s="6">
        <f>Grandview_Inventory[[#This Row],[detatched_value]]*Lookups!$B$19</f>
        <v>0</v>
      </c>
      <c r="BR1940" s="6">
        <f>SUM(Grandview_Inventory[[#This Row],[Intercept]:[det_value]])*Grandview_Inventory[[#This Row],[res_pct]]</f>
        <v>242677.58068799999</v>
      </c>
      <c r="BS1940" s="6">
        <f>Grandview_Inventory[[#This Row],[land_value]]</f>
        <v>49926.8031387023</v>
      </c>
      <c r="BT1940" s="4">
        <f>_xlfn.IFNA(VLOOKUP(Grandview_Inventory[[#This Row],[quality]],Lookups!$A$26:$C$33,3,FALSE),1)</f>
        <v>0.98079741117310582</v>
      </c>
      <c r="BU1940" s="4">
        <f>_xlfn.IFNA(VLOOKUP(Grandview_Inventory[[#This Row],[condition]],Lookups!$A$37:$C$44,3,FALSE),1)</f>
        <v>0.96469275950863709</v>
      </c>
      <c r="BV1940" s="4">
        <f>IF(Grandview_Inventory[[#This Row],[bldg_style]]="",1,_xlfn.IFNA(VLOOKUP(Grandview_Inventory[[#This Row],[decade]],Lookups!$F$29:$H$43,3,FALSE),1))</f>
        <v>0.9871940091910919</v>
      </c>
      <c r="BW1940" s="4">
        <f>_xlfn.IFNA(VLOOKUP(Grandview_Inventory[[#This Row],[living_area_range]],Lookups!$F$47:$H$56,3,FALSE),1)</f>
        <v>0.96135087979789358</v>
      </c>
      <c r="BX1940" s="4">
        <f>AVERAGE(Grandview_Inventory[[#This Row],[qual_adj]:[size_adj]])</f>
        <v>0.97350876491768212</v>
      </c>
      <c r="BY1940" s="6">
        <f>IF(Grandview_Inventory[[#This Row],[pre_res]]&lt;0,0,Grandview_Inventory[[#This Row],[pre_res]]*Grandview_Inventory[[#This Row],[overall_adj]])</f>
        <v>236248.75184878602</v>
      </c>
      <c r="BZ1940" s="6">
        <f>(Grandview_Inventory[[#This Row],[sum_land]]-IF(Grandview_Inventory[[#This Row],[no_utilities]]=1,12000,0))/IF(Grandview_Inventory[[#This Row],[unbuildable]]=1,2,1)</f>
        <v>49926.8031387023</v>
      </c>
      <c r="CA194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940">
        <f>ROUND(Grandview_Inventory[[#This Row],[det_value]]*Lookups!$M$28,-2)</f>
        <v>0</v>
      </c>
      <c r="CC1940">
        <f>IF(ROUND(Grandview_Inventory[[#This Row],[adj_res]]*Lookups!$M$28,-2)&lt;Grandview_Inventory[[#This Row],[min_res]],Grandview_Inventory[[#This Row],[min_res]],ROUND(Grandview_Inventory[[#This Row],[adj_res]]*Lookups!$M$28,-2))</f>
        <v>224400</v>
      </c>
      <c r="CD1940">
        <f>Grandview_Inventory[[#This Row],[final_det]]+Grandview_Inventory[[#This Row],[final_res]]</f>
        <v>224400</v>
      </c>
      <c r="CE1940">
        <f>Grandview_Inventory[[#This Row],[final_land]]+Grandview_Inventory[[#This Row],[final_imp]]+Grandview_Inventory[[#This Row],[crop_value]]</f>
        <v>271800</v>
      </c>
      <c r="CG1940" t="str">
        <f t="shared" si="30"/>
        <v>update valuation set market_land =47400, market_bldg=224400, market_total =271800, market_mdno =401, market_date ='9/10/2023' where link_id = (select link_id from parcel where parcel_year = '2024' and parcel_id = '23092343410');</v>
      </c>
    </row>
    <row r="1941" spans="1:85" x14ac:dyDescent="0.25">
      <c r="A1941">
        <v>23092343412</v>
      </c>
      <c r="B1941">
        <v>0.17</v>
      </c>
      <c r="C1941">
        <v>7260</v>
      </c>
      <c r="D1941" t="s">
        <v>129</v>
      </c>
      <c r="E1941" t="s">
        <v>53</v>
      </c>
      <c r="F1941" t="s">
        <v>53</v>
      </c>
      <c r="G1941">
        <v>4</v>
      </c>
      <c r="H1941" t="s">
        <v>54</v>
      </c>
      <c r="I1941">
        <v>152800</v>
      </c>
      <c r="J1941">
        <v>38600</v>
      </c>
      <c r="K1941">
        <v>0.17</v>
      </c>
      <c r="L194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41">
        <v>0</v>
      </c>
      <c r="N1941">
        <v>0</v>
      </c>
      <c r="O1941">
        <v>0</v>
      </c>
      <c r="P1941">
        <v>13398.7528</v>
      </c>
      <c r="Q1941">
        <v>63903</v>
      </c>
      <c r="R1941">
        <f>(Grandview_Inventory[[#This Row],[ln_acres]]*Grandview_Inventory[[#This Row],[coeff]])+Grandview_Inventory[[#This Row],[const]]</f>
        <v>40160.988302686128</v>
      </c>
      <c r="S1941" t="s">
        <v>61</v>
      </c>
      <c r="T1941">
        <v>1</v>
      </c>
      <c r="U1941" t="s">
        <v>70</v>
      </c>
      <c r="V1941" t="s">
        <v>69</v>
      </c>
      <c r="W1941">
        <v>0</v>
      </c>
      <c r="X1941">
        <v>0</v>
      </c>
      <c r="Y1941">
        <v>42</v>
      </c>
      <c r="Z1941">
        <v>42</v>
      </c>
      <c r="AA1941">
        <v>50</v>
      </c>
      <c r="AB1941">
        <v>1500</v>
      </c>
      <c r="AC1941">
        <v>1024</v>
      </c>
      <c r="AD1941">
        <v>1024</v>
      </c>
      <c r="AE1941">
        <v>0</v>
      </c>
      <c r="AF1941">
        <v>0</v>
      </c>
      <c r="AG1941">
        <v>0</v>
      </c>
      <c r="AH1941">
        <v>0</v>
      </c>
      <c r="AI1941">
        <v>336</v>
      </c>
      <c r="AJ1941">
        <v>0</v>
      </c>
      <c r="AK1941">
        <v>0</v>
      </c>
      <c r="AL1941">
        <v>0</v>
      </c>
      <c r="AM1941">
        <v>0</v>
      </c>
      <c r="AN1941">
        <v>32</v>
      </c>
      <c r="AO1941">
        <v>0</v>
      </c>
      <c r="AP1941">
        <v>5</v>
      </c>
      <c r="AQ1941">
        <v>0</v>
      </c>
      <c r="AR1941">
        <v>0</v>
      </c>
      <c r="AS1941" t="s">
        <v>58</v>
      </c>
      <c r="AT1941">
        <v>1</v>
      </c>
      <c r="AU1941" t="s">
        <v>63</v>
      </c>
      <c r="AV1941" t="s">
        <v>60</v>
      </c>
      <c r="AW1941">
        <v>0</v>
      </c>
      <c r="AX1941">
        <v>3</v>
      </c>
      <c r="AY1941">
        <v>0</v>
      </c>
      <c r="AZ1941">
        <v>0</v>
      </c>
      <c r="BA1941">
        <v>100</v>
      </c>
      <c r="BB1941">
        <v>100</v>
      </c>
      <c r="BC1941">
        <v>100</v>
      </c>
      <c r="BD1941">
        <v>100</v>
      </c>
      <c r="BE1941">
        <v>1</v>
      </c>
      <c r="BF1941">
        <v>15000</v>
      </c>
      <c r="BG1941">
        <v>1000</v>
      </c>
      <c r="BH1941" s="6">
        <f>Grandview_Inventory[[#This Row],[land_extract]]*Lookups!$B$3</f>
        <v>46638.847281240982</v>
      </c>
      <c r="BI1941" s="6">
        <f>IF(Grandview_Inventory[[#This Row],[bldg_style]]="",0,Lookups!$B$2)</f>
        <v>155833.95000000001</v>
      </c>
      <c r="BJ1941" s="6">
        <f>_xlfn.IFNA(VLOOKUP(Grandview_Inventory[[#This Row],[quality]],Lookups!$H$2:$J$14,3,FALSE),0)</f>
        <v>10733</v>
      </c>
      <c r="BK1941" s="6">
        <f>_xlfn.IFNA(VLOOKUP(Grandview_Inventory[[#This Row],[condition]],Lookups!$H$17:$J$24,3,FALSE),0)</f>
        <v>-4503</v>
      </c>
      <c r="BL1941" s="6">
        <f>Grandview_Inventory[[#This Row],[Eff_Age]]*Lookups!$B$14</f>
        <v>-10044.9972</v>
      </c>
      <c r="BM1941" s="6">
        <f>Grandview_Inventory[[#This Row],[living_area]]*Lookups!$B$15</f>
        <v>63877.993472000002</v>
      </c>
      <c r="BN1941" s="6">
        <f>Grandview_Inventory[[#This Row],[Fin BSMT]]*Lookups!$B$16</f>
        <v>0</v>
      </c>
      <c r="BO1941" s="6">
        <f>(Grandview_Inventory[[#This Row],[att_gar]]+Grandview_Inventory[[#This Row],[bltin_gar]])*Lookups!$B$17</f>
        <v>29406.866832</v>
      </c>
      <c r="BP1941" s="6">
        <f>Grandview_Inventory[[#This Row],[Plumbing Fixtures]]*Lookups!$B$18</f>
        <v>10052.209000000001</v>
      </c>
      <c r="BQ1941" s="6">
        <f>Grandview_Inventory[[#This Row],[detatched_value]]*Lookups!$B$19</f>
        <v>0</v>
      </c>
      <c r="BR1941" s="6">
        <f>SUM(Grandview_Inventory[[#This Row],[Intercept]:[det_value]])*Grandview_Inventory[[#This Row],[res_pct]]</f>
        <v>255356.022104</v>
      </c>
      <c r="BS1941" s="6">
        <f>Grandview_Inventory[[#This Row],[land_value]]</f>
        <v>46638.847281240982</v>
      </c>
      <c r="BT1941" s="4">
        <f>_xlfn.IFNA(VLOOKUP(Grandview_Inventory[[#This Row],[quality]],Lookups!$A$26:$C$33,3,FALSE),1)</f>
        <v>0.98079741117310582</v>
      </c>
      <c r="BU1941" s="4">
        <f>_xlfn.IFNA(VLOOKUP(Grandview_Inventory[[#This Row],[condition]],Lookups!$A$37:$C$44,3,FALSE),1)</f>
        <v>0.96469275950863709</v>
      </c>
      <c r="BV1941" s="4">
        <f>IF(Grandview_Inventory[[#This Row],[bldg_style]]="",1,_xlfn.IFNA(VLOOKUP(Grandview_Inventory[[#This Row],[decade]],Lookups!$F$29:$H$43,3,FALSE),1))</f>
        <v>0.9871940091910919</v>
      </c>
      <c r="BW1941" s="4">
        <f>_xlfn.IFNA(VLOOKUP(Grandview_Inventory[[#This Row],[living_area_range]],Lookups!$F$47:$H$56,3,FALSE),1)</f>
        <v>0.96135087979789358</v>
      </c>
      <c r="BX1941" s="4">
        <f>AVERAGE(Grandview_Inventory[[#This Row],[qual_adj]:[size_adj]])</f>
        <v>0.97350876491768212</v>
      </c>
      <c r="BY1941" s="6">
        <f>IF(Grandview_Inventory[[#This Row],[pre_res]]&lt;0,0,Grandview_Inventory[[#This Row],[pre_res]]*Grandview_Inventory[[#This Row],[overall_adj]])</f>
        <v>248591.32569275738</v>
      </c>
      <c r="BZ1941" s="6">
        <f>(Grandview_Inventory[[#This Row],[sum_land]]-IF(Grandview_Inventory[[#This Row],[no_utilities]]=1,12000,0))/IF(Grandview_Inventory[[#This Row],[unbuildable]]=1,2,1)</f>
        <v>46638.847281240982</v>
      </c>
      <c r="CA194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41">
        <f>ROUND(Grandview_Inventory[[#This Row],[det_value]]*Lookups!$M$28,-2)</f>
        <v>0</v>
      </c>
      <c r="CC1941">
        <f>IF(ROUND(Grandview_Inventory[[#This Row],[adj_res]]*Lookups!$M$28,-2)&lt;Grandview_Inventory[[#This Row],[min_res]],Grandview_Inventory[[#This Row],[min_res]],ROUND(Grandview_Inventory[[#This Row],[adj_res]]*Lookups!$M$28,-2))</f>
        <v>236200</v>
      </c>
      <c r="CD1941">
        <f>Grandview_Inventory[[#This Row],[final_det]]+Grandview_Inventory[[#This Row],[final_res]]</f>
        <v>236200</v>
      </c>
      <c r="CE1941">
        <f>Grandview_Inventory[[#This Row],[final_land]]+Grandview_Inventory[[#This Row],[final_imp]]+Grandview_Inventory[[#This Row],[crop_value]]</f>
        <v>280500</v>
      </c>
      <c r="CG1941" t="str">
        <f t="shared" si="30"/>
        <v>update valuation set market_land =44300, market_bldg=236200, market_total =280500, market_mdno =401, market_date ='9/10/2023' where link_id = (select link_id from parcel where parcel_year = '2024' and parcel_id = '23092343412');</v>
      </c>
    </row>
    <row r="1942" spans="1:85" x14ac:dyDescent="0.25">
      <c r="A1942">
        <v>23092343413</v>
      </c>
      <c r="B1942">
        <v>0.16</v>
      </c>
      <c r="C1942">
        <v>7059</v>
      </c>
      <c r="D1942" t="s">
        <v>129</v>
      </c>
      <c r="E1942" t="s">
        <v>53</v>
      </c>
      <c r="F1942" t="s">
        <v>53</v>
      </c>
      <c r="G1942">
        <v>4</v>
      </c>
      <c r="H1942" t="s">
        <v>54</v>
      </c>
      <c r="I1942">
        <v>152800</v>
      </c>
      <c r="J1942">
        <v>38600</v>
      </c>
      <c r="K1942">
        <v>0.16</v>
      </c>
      <c r="L194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2">
        <v>0</v>
      </c>
      <c r="N1942">
        <v>0</v>
      </c>
      <c r="O1942">
        <v>0</v>
      </c>
      <c r="P1942">
        <v>13398.7528</v>
      </c>
      <c r="Q1942">
        <v>63903</v>
      </c>
      <c r="R1942">
        <f>(Grandview_Inventory[[#This Row],[ln_acres]]*Grandview_Inventory[[#This Row],[coeff]])+Grandview_Inventory[[#This Row],[const]]</f>
        <v>39348.693981374228</v>
      </c>
      <c r="S1942" t="s">
        <v>61</v>
      </c>
      <c r="T1942">
        <v>1</v>
      </c>
      <c r="U1942" t="s">
        <v>70</v>
      </c>
      <c r="V1942" t="s">
        <v>69</v>
      </c>
      <c r="W1942">
        <v>0</v>
      </c>
      <c r="X1942">
        <v>0</v>
      </c>
      <c r="Y1942">
        <v>42</v>
      </c>
      <c r="Z1942">
        <v>42</v>
      </c>
      <c r="AA1942">
        <v>50</v>
      </c>
      <c r="AB1942">
        <v>1500</v>
      </c>
      <c r="AC1942">
        <v>1024</v>
      </c>
      <c r="AD1942">
        <v>1024</v>
      </c>
      <c r="AE1942">
        <v>0</v>
      </c>
      <c r="AF1942">
        <v>0</v>
      </c>
      <c r="AG1942">
        <v>0</v>
      </c>
      <c r="AH1942">
        <v>0</v>
      </c>
      <c r="AI1942">
        <v>336</v>
      </c>
      <c r="AJ1942">
        <v>0</v>
      </c>
      <c r="AK1942">
        <v>0</v>
      </c>
      <c r="AL1942">
        <v>0</v>
      </c>
      <c r="AM1942">
        <v>0</v>
      </c>
      <c r="AN1942">
        <v>32</v>
      </c>
      <c r="AO1942">
        <v>0</v>
      </c>
      <c r="AP1942">
        <v>5</v>
      </c>
      <c r="AQ1942">
        <v>0</v>
      </c>
      <c r="AR1942">
        <v>0</v>
      </c>
      <c r="AS1942" t="s">
        <v>58</v>
      </c>
      <c r="AT1942">
        <v>1</v>
      </c>
      <c r="AU1942" t="s">
        <v>63</v>
      </c>
      <c r="AV1942" t="s">
        <v>60</v>
      </c>
      <c r="AW1942">
        <v>0</v>
      </c>
      <c r="AX1942">
        <v>3</v>
      </c>
      <c r="AY1942">
        <v>0</v>
      </c>
      <c r="AZ1942">
        <v>0</v>
      </c>
      <c r="BA1942">
        <v>100</v>
      </c>
      <c r="BB1942">
        <v>100</v>
      </c>
      <c r="BC1942">
        <v>100</v>
      </c>
      <c r="BD1942">
        <v>100</v>
      </c>
      <c r="BE1942">
        <v>1</v>
      </c>
      <c r="BF1942">
        <v>15000</v>
      </c>
      <c r="BG1942">
        <v>1000</v>
      </c>
      <c r="BH1942" s="6">
        <f>Grandview_Inventory[[#This Row],[land_extract]]*Lookups!$B$3</f>
        <v>45695.532079096141</v>
      </c>
      <c r="BI1942" s="6">
        <f>IF(Grandview_Inventory[[#This Row],[bldg_style]]="",0,Lookups!$B$2)</f>
        <v>155833.95000000001</v>
      </c>
      <c r="BJ1942" s="6">
        <f>_xlfn.IFNA(VLOOKUP(Grandview_Inventory[[#This Row],[quality]],Lookups!$H$2:$J$14,3,FALSE),0)</f>
        <v>10733</v>
      </c>
      <c r="BK1942" s="6">
        <f>_xlfn.IFNA(VLOOKUP(Grandview_Inventory[[#This Row],[condition]],Lookups!$H$17:$J$24,3,FALSE),0)</f>
        <v>-4503</v>
      </c>
      <c r="BL1942" s="6">
        <f>Grandview_Inventory[[#This Row],[Eff_Age]]*Lookups!$B$14</f>
        <v>-10044.9972</v>
      </c>
      <c r="BM1942" s="6">
        <f>Grandview_Inventory[[#This Row],[living_area]]*Lookups!$B$15</f>
        <v>63877.993472000002</v>
      </c>
      <c r="BN1942" s="6">
        <f>Grandview_Inventory[[#This Row],[Fin BSMT]]*Lookups!$B$16</f>
        <v>0</v>
      </c>
      <c r="BO1942" s="6">
        <f>(Grandview_Inventory[[#This Row],[att_gar]]+Grandview_Inventory[[#This Row],[bltin_gar]])*Lookups!$B$17</f>
        <v>29406.866832</v>
      </c>
      <c r="BP1942" s="6">
        <f>Grandview_Inventory[[#This Row],[Plumbing Fixtures]]*Lookups!$B$18</f>
        <v>10052.209000000001</v>
      </c>
      <c r="BQ1942" s="6">
        <f>Grandview_Inventory[[#This Row],[detatched_value]]*Lookups!$B$19</f>
        <v>0</v>
      </c>
      <c r="BR1942" s="6">
        <f>SUM(Grandview_Inventory[[#This Row],[Intercept]:[det_value]])*Grandview_Inventory[[#This Row],[res_pct]]</f>
        <v>255356.022104</v>
      </c>
      <c r="BS1942" s="6">
        <f>Grandview_Inventory[[#This Row],[land_value]]</f>
        <v>45695.532079096141</v>
      </c>
      <c r="BT1942" s="4">
        <f>_xlfn.IFNA(VLOOKUP(Grandview_Inventory[[#This Row],[quality]],Lookups!$A$26:$C$33,3,FALSE),1)</f>
        <v>0.98079741117310582</v>
      </c>
      <c r="BU1942" s="4">
        <f>_xlfn.IFNA(VLOOKUP(Grandview_Inventory[[#This Row],[condition]],Lookups!$A$37:$C$44,3,FALSE),1)</f>
        <v>0.96469275950863709</v>
      </c>
      <c r="BV1942" s="4">
        <f>IF(Grandview_Inventory[[#This Row],[bldg_style]]="",1,_xlfn.IFNA(VLOOKUP(Grandview_Inventory[[#This Row],[decade]],Lookups!$F$29:$H$43,3,FALSE),1))</f>
        <v>0.9871940091910919</v>
      </c>
      <c r="BW1942" s="4">
        <f>_xlfn.IFNA(VLOOKUP(Grandview_Inventory[[#This Row],[living_area_range]],Lookups!$F$47:$H$56,3,FALSE),1)</f>
        <v>0.96135087979789358</v>
      </c>
      <c r="BX1942" s="4">
        <f>AVERAGE(Grandview_Inventory[[#This Row],[qual_adj]:[size_adj]])</f>
        <v>0.97350876491768212</v>
      </c>
      <c r="BY1942" s="6">
        <f>IF(Grandview_Inventory[[#This Row],[pre_res]]&lt;0,0,Grandview_Inventory[[#This Row],[pre_res]]*Grandview_Inventory[[#This Row],[overall_adj]])</f>
        <v>248591.32569275738</v>
      </c>
      <c r="BZ1942" s="6">
        <f>(Grandview_Inventory[[#This Row],[sum_land]]-IF(Grandview_Inventory[[#This Row],[no_utilities]]=1,12000,0))/IF(Grandview_Inventory[[#This Row],[unbuildable]]=1,2,1)</f>
        <v>45695.532079096141</v>
      </c>
      <c r="CA194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2">
        <f>ROUND(Grandview_Inventory[[#This Row],[det_value]]*Lookups!$M$28,-2)</f>
        <v>0</v>
      </c>
      <c r="CC1942">
        <f>IF(ROUND(Grandview_Inventory[[#This Row],[adj_res]]*Lookups!$M$28,-2)&lt;Grandview_Inventory[[#This Row],[min_res]],Grandview_Inventory[[#This Row],[min_res]],ROUND(Grandview_Inventory[[#This Row],[adj_res]]*Lookups!$M$28,-2))</f>
        <v>236200</v>
      </c>
      <c r="CD1942">
        <f>Grandview_Inventory[[#This Row],[final_det]]+Grandview_Inventory[[#This Row],[final_res]]</f>
        <v>236200</v>
      </c>
      <c r="CE1942">
        <f>Grandview_Inventory[[#This Row],[final_land]]+Grandview_Inventory[[#This Row],[final_imp]]+Grandview_Inventory[[#This Row],[crop_value]]</f>
        <v>279600</v>
      </c>
      <c r="CG1942" t="str">
        <f t="shared" si="30"/>
        <v>update valuation set market_land =43400, market_bldg=236200, market_total =279600, market_mdno =401, market_date ='9/10/2023' where link_id = (select link_id from parcel where parcel_year = '2024' and parcel_id = '23092343413');</v>
      </c>
    </row>
    <row r="1943" spans="1:85" x14ac:dyDescent="0.25">
      <c r="A1943">
        <v>23092343414</v>
      </c>
      <c r="B1943">
        <v>0.16</v>
      </c>
      <c r="C1943">
        <v>7059</v>
      </c>
      <c r="D1943" t="s">
        <v>129</v>
      </c>
      <c r="E1943" t="s">
        <v>53</v>
      </c>
      <c r="F1943" t="s">
        <v>53</v>
      </c>
      <c r="G1943">
        <v>4</v>
      </c>
      <c r="H1943" t="s">
        <v>54</v>
      </c>
      <c r="I1943">
        <v>154200</v>
      </c>
      <c r="J1943">
        <v>38600</v>
      </c>
      <c r="K1943">
        <v>0.16</v>
      </c>
      <c r="L194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3">
        <v>0</v>
      </c>
      <c r="N1943">
        <v>0</v>
      </c>
      <c r="O1943">
        <v>0</v>
      </c>
      <c r="P1943">
        <v>13398.7528</v>
      </c>
      <c r="Q1943">
        <v>63903</v>
      </c>
      <c r="R1943">
        <f>(Grandview_Inventory[[#This Row],[ln_acres]]*Grandview_Inventory[[#This Row],[coeff]])+Grandview_Inventory[[#This Row],[const]]</f>
        <v>39348.693981374228</v>
      </c>
      <c r="S1943" t="s">
        <v>61</v>
      </c>
      <c r="T1943">
        <v>1</v>
      </c>
      <c r="U1943" t="s">
        <v>70</v>
      </c>
      <c r="V1943" t="s">
        <v>69</v>
      </c>
      <c r="W1943">
        <v>0</v>
      </c>
      <c r="X1943">
        <v>0</v>
      </c>
      <c r="Y1943">
        <v>42</v>
      </c>
      <c r="Z1943">
        <v>42</v>
      </c>
      <c r="AA1943">
        <v>50</v>
      </c>
      <c r="AB1943">
        <v>1500</v>
      </c>
      <c r="AC1943">
        <v>1050</v>
      </c>
      <c r="AD1943">
        <v>1050</v>
      </c>
      <c r="AE1943">
        <v>0</v>
      </c>
      <c r="AF1943">
        <v>0</v>
      </c>
      <c r="AG1943">
        <v>0</v>
      </c>
      <c r="AH1943">
        <v>0</v>
      </c>
      <c r="AI1943">
        <v>350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5</v>
      </c>
      <c r="AQ1943">
        <v>0</v>
      </c>
      <c r="AR1943">
        <v>0</v>
      </c>
      <c r="AS1943" t="s">
        <v>58</v>
      </c>
      <c r="AT1943">
        <v>1</v>
      </c>
      <c r="AU1943" t="s">
        <v>75</v>
      </c>
      <c r="AV1943" t="s">
        <v>60</v>
      </c>
      <c r="AW1943">
        <v>0</v>
      </c>
      <c r="AX1943">
        <v>3</v>
      </c>
      <c r="AY1943">
        <v>0</v>
      </c>
      <c r="AZ1943">
        <v>0</v>
      </c>
      <c r="BA1943">
        <v>100</v>
      </c>
      <c r="BB1943">
        <v>100</v>
      </c>
      <c r="BC1943">
        <v>100</v>
      </c>
      <c r="BD1943">
        <v>100</v>
      </c>
      <c r="BE1943">
        <v>1</v>
      </c>
      <c r="BF1943">
        <v>15000</v>
      </c>
      <c r="BG1943">
        <v>1000</v>
      </c>
      <c r="BH1943" s="6">
        <f>Grandview_Inventory[[#This Row],[land_extract]]*Lookups!$B$3</f>
        <v>45695.532079096141</v>
      </c>
      <c r="BI1943" s="6">
        <f>IF(Grandview_Inventory[[#This Row],[bldg_style]]="",0,Lookups!$B$2)</f>
        <v>155833.95000000001</v>
      </c>
      <c r="BJ1943" s="6">
        <f>_xlfn.IFNA(VLOOKUP(Grandview_Inventory[[#This Row],[quality]],Lookups!$H$2:$J$14,3,FALSE),0)</f>
        <v>10733</v>
      </c>
      <c r="BK1943" s="6">
        <f>_xlfn.IFNA(VLOOKUP(Grandview_Inventory[[#This Row],[condition]],Lookups!$H$17:$J$24,3,FALSE),0)</f>
        <v>-4503</v>
      </c>
      <c r="BL1943" s="6">
        <f>Grandview_Inventory[[#This Row],[Eff_Age]]*Lookups!$B$14</f>
        <v>-10044.9972</v>
      </c>
      <c r="BM1943" s="6">
        <f>Grandview_Inventory[[#This Row],[living_area]]*Lookups!$B$15</f>
        <v>65499.895649999999</v>
      </c>
      <c r="BN1943" s="6">
        <f>Grandview_Inventory[[#This Row],[Fin BSMT]]*Lookups!$B$16</f>
        <v>0</v>
      </c>
      <c r="BO1943" s="6">
        <f>(Grandview_Inventory[[#This Row],[att_gar]]+Grandview_Inventory[[#This Row],[bltin_gar]])*Lookups!$B$17</f>
        <v>30632.15295</v>
      </c>
      <c r="BP1943" s="6">
        <f>Grandview_Inventory[[#This Row],[Plumbing Fixtures]]*Lookups!$B$18</f>
        <v>10052.209000000001</v>
      </c>
      <c r="BQ1943" s="6">
        <f>Grandview_Inventory[[#This Row],[detatched_value]]*Lookups!$B$19</f>
        <v>0</v>
      </c>
      <c r="BR1943" s="6">
        <f>SUM(Grandview_Inventory[[#This Row],[Intercept]:[det_value]])*Grandview_Inventory[[#This Row],[res_pct]]</f>
        <v>258203.21039999998</v>
      </c>
      <c r="BS1943" s="6">
        <f>Grandview_Inventory[[#This Row],[land_value]]</f>
        <v>45695.532079096141</v>
      </c>
      <c r="BT1943" s="4">
        <f>_xlfn.IFNA(VLOOKUP(Grandview_Inventory[[#This Row],[quality]],Lookups!$A$26:$C$33,3,FALSE),1)</f>
        <v>0.98079741117310582</v>
      </c>
      <c r="BU1943" s="4">
        <f>_xlfn.IFNA(VLOOKUP(Grandview_Inventory[[#This Row],[condition]],Lookups!$A$37:$C$44,3,FALSE),1)</f>
        <v>0.96469275950863709</v>
      </c>
      <c r="BV1943" s="4">
        <f>IF(Grandview_Inventory[[#This Row],[bldg_style]]="",1,_xlfn.IFNA(VLOOKUP(Grandview_Inventory[[#This Row],[decade]],Lookups!$F$29:$H$43,3,FALSE),1))</f>
        <v>0.9871940091910919</v>
      </c>
      <c r="BW1943" s="4">
        <f>_xlfn.IFNA(VLOOKUP(Grandview_Inventory[[#This Row],[living_area_range]],Lookups!$F$47:$H$56,3,FALSE),1)</f>
        <v>0.96135087979789358</v>
      </c>
      <c r="BX1943" s="4">
        <f>AVERAGE(Grandview_Inventory[[#This Row],[qual_adj]:[size_adj]])</f>
        <v>0.97350876491768212</v>
      </c>
      <c r="BY1943" s="6">
        <f>IF(Grandview_Inventory[[#This Row],[pre_res]]&lt;0,0,Grandview_Inventory[[#This Row],[pre_res]]*Grandview_Inventory[[#This Row],[overall_adj]])</f>
        <v>251363.08845428439</v>
      </c>
      <c r="BZ1943" s="6">
        <f>(Grandview_Inventory[[#This Row],[sum_land]]-IF(Grandview_Inventory[[#This Row],[no_utilities]]=1,12000,0))/IF(Grandview_Inventory[[#This Row],[unbuildable]]=1,2,1)</f>
        <v>45695.532079096141</v>
      </c>
      <c r="CA194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3">
        <f>ROUND(Grandview_Inventory[[#This Row],[det_value]]*Lookups!$M$28,-2)</f>
        <v>0</v>
      </c>
      <c r="CC1943">
        <f>IF(ROUND(Grandview_Inventory[[#This Row],[adj_res]]*Lookups!$M$28,-2)&lt;Grandview_Inventory[[#This Row],[min_res]],Grandview_Inventory[[#This Row],[min_res]],ROUND(Grandview_Inventory[[#This Row],[adj_res]]*Lookups!$M$28,-2))</f>
        <v>238800</v>
      </c>
      <c r="CD1943">
        <f>Grandview_Inventory[[#This Row],[final_det]]+Grandview_Inventory[[#This Row],[final_res]]</f>
        <v>238800</v>
      </c>
      <c r="CE1943">
        <f>Grandview_Inventory[[#This Row],[final_land]]+Grandview_Inventory[[#This Row],[final_imp]]+Grandview_Inventory[[#This Row],[crop_value]]</f>
        <v>282200</v>
      </c>
      <c r="CG1943" t="str">
        <f t="shared" si="30"/>
        <v>update valuation set market_land =43400, market_bldg=238800, market_total =282200, market_mdno =401, market_date ='9/10/2023' where link_id = (select link_id from parcel where parcel_year = '2024' and parcel_id = '23092343414');</v>
      </c>
    </row>
    <row r="1944" spans="1:85" x14ac:dyDescent="0.25">
      <c r="A1944">
        <v>23092343415</v>
      </c>
      <c r="B1944">
        <v>0.16</v>
      </c>
      <c r="C1944">
        <v>7059</v>
      </c>
      <c r="D1944" t="s">
        <v>129</v>
      </c>
      <c r="E1944" t="s">
        <v>53</v>
      </c>
      <c r="F1944" t="s">
        <v>53</v>
      </c>
      <c r="G1944">
        <v>4</v>
      </c>
      <c r="H1944" t="s">
        <v>54</v>
      </c>
      <c r="I1944">
        <v>152700</v>
      </c>
      <c r="J1944">
        <v>38600</v>
      </c>
      <c r="K1944">
        <v>0.16</v>
      </c>
      <c r="L194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4">
        <v>0</v>
      </c>
      <c r="N1944">
        <v>0</v>
      </c>
      <c r="O1944">
        <v>0</v>
      </c>
      <c r="P1944">
        <v>13398.7528</v>
      </c>
      <c r="Q1944">
        <v>63903</v>
      </c>
      <c r="R1944">
        <f>(Grandview_Inventory[[#This Row],[ln_acres]]*Grandview_Inventory[[#This Row],[coeff]])+Grandview_Inventory[[#This Row],[const]]</f>
        <v>39348.693981374228</v>
      </c>
      <c r="S1944" t="s">
        <v>61</v>
      </c>
      <c r="T1944">
        <v>1</v>
      </c>
      <c r="U1944" t="s">
        <v>70</v>
      </c>
      <c r="V1944" t="s">
        <v>69</v>
      </c>
      <c r="W1944">
        <v>0</v>
      </c>
      <c r="X1944">
        <v>0</v>
      </c>
      <c r="Y1944">
        <v>42</v>
      </c>
      <c r="Z1944">
        <v>42</v>
      </c>
      <c r="AA1944">
        <v>50</v>
      </c>
      <c r="AB1944">
        <v>1500</v>
      </c>
      <c r="AC1944">
        <v>1400</v>
      </c>
      <c r="AD1944">
        <v>1400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5</v>
      </c>
      <c r="AQ1944">
        <v>0</v>
      </c>
      <c r="AR1944">
        <v>0</v>
      </c>
      <c r="AS1944" t="s">
        <v>58</v>
      </c>
      <c r="AT1944">
        <v>1</v>
      </c>
      <c r="AU1944" t="s">
        <v>63</v>
      </c>
      <c r="AV1944" t="s">
        <v>60</v>
      </c>
      <c r="AW1944">
        <v>0</v>
      </c>
      <c r="AX1944">
        <v>4</v>
      </c>
      <c r="AY1944">
        <v>0</v>
      </c>
      <c r="AZ1944">
        <v>0</v>
      </c>
      <c r="BA1944">
        <v>100</v>
      </c>
      <c r="BB1944">
        <v>100</v>
      </c>
      <c r="BC1944">
        <v>100</v>
      </c>
      <c r="BD1944">
        <v>100</v>
      </c>
      <c r="BE1944">
        <v>1</v>
      </c>
      <c r="BF1944">
        <v>15000</v>
      </c>
      <c r="BG1944">
        <v>1000</v>
      </c>
      <c r="BH1944" s="6">
        <f>Grandview_Inventory[[#This Row],[land_extract]]*Lookups!$B$3</f>
        <v>45695.532079096141</v>
      </c>
      <c r="BI1944" s="6">
        <f>IF(Grandview_Inventory[[#This Row],[bldg_style]]="",0,Lookups!$B$2)</f>
        <v>155833.95000000001</v>
      </c>
      <c r="BJ1944" s="6">
        <f>_xlfn.IFNA(VLOOKUP(Grandview_Inventory[[#This Row],[quality]],Lookups!$H$2:$J$14,3,FALSE),0)</f>
        <v>10733</v>
      </c>
      <c r="BK1944" s="6">
        <f>_xlfn.IFNA(VLOOKUP(Grandview_Inventory[[#This Row],[condition]],Lookups!$H$17:$J$24,3,FALSE),0)</f>
        <v>-4503</v>
      </c>
      <c r="BL1944" s="6">
        <f>Grandview_Inventory[[#This Row],[Eff_Age]]*Lookups!$B$14</f>
        <v>-10044.9972</v>
      </c>
      <c r="BM1944" s="6">
        <f>Grandview_Inventory[[#This Row],[living_area]]*Lookups!$B$15</f>
        <v>87333.194199999998</v>
      </c>
      <c r="BN1944" s="6">
        <f>Grandview_Inventory[[#This Row],[Fin BSMT]]*Lookups!$B$16</f>
        <v>0</v>
      </c>
      <c r="BO1944" s="6">
        <f>(Grandview_Inventory[[#This Row],[att_gar]]+Grandview_Inventory[[#This Row],[bltin_gar]])*Lookups!$B$17</f>
        <v>0</v>
      </c>
      <c r="BP1944" s="6">
        <f>Grandview_Inventory[[#This Row],[Plumbing Fixtures]]*Lookups!$B$18</f>
        <v>10052.209000000001</v>
      </c>
      <c r="BQ1944" s="6">
        <f>Grandview_Inventory[[#This Row],[detatched_value]]*Lookups!$B$19</f>
        <v>0</v>
      </c>
      <c r="BR1944" s="6">
        <f>SUM(Grandview_Inventory[[#This Row],[Intercept]:[det_value]])*Grandview_Inventory[[#This Row],[res_pct]]</f>
        <v>249404.356</v>
      </c>
      <c r="BS1944" s="6">
        <f>Grandview_Inventory[[#This Row],[land_value]]</f>
        <v>45695.532079096141</v>
      </c>
      <c r="BT1944" s="4">
        <f>_xlfn.IFNA(VLOOKUP(Grandview_Inventory[[#This Row],[quality]],Lookups!$A$26:$C$33,3,FALSE),1)</f>
        <v>0.98079741117310582</v>
      </c>
      <c r="BU1944" s="4">
        <f>_xlfn.IFNA(VLOOKUP(Grandview_Inventory[[#This Row],[condition]],Lookups!$A$37:$C$44,3,FALSE),1)</f>
        <v>0.96469275950863709</v>
      </c>
      <c r="BV1944" s="4">
        <f>IF(Grandview_Inventory[[#This Row],[bldg_style]]="",1,_xlfn.IFNA(VLOOKUP(Grandview_Inventory[[#This Row],[decade]],Lookups!$F$29:$H$43,3,FALSE),1))</f>
        <v>0.9871940091910919</v>
      </c>
      <c r="BW1944" s="4">
        <f>_xlfn.IFNA(VLOOKUP(Grandview_Inventory[[#This Row],[living_area_range]],Lookups!$F$47:$H$56,3,FALSE),1)</f>
        <v>0.96135087979789358</v>
      </c>
      <c r="BX1944" s="4">
        <f>AVERAGE(Grandview_Inventory[[#This Row],[qual_adj]:[size_adj]])</f>
        <v>0.97350876491768212</v>
      </c>
      <c r="BY1944" s="6">
        <f>IF(Grandview_Inventory[[#This Row],[pre_res]]&lt;0,0,Grandview_Inventory[[#This Row],[pre_res]]*Grandview_Inventory[[#This Row],[overall_adj]])</f>
        <v>242797.32657464989</v>
      </c>
      <c r="BZ1944" s="6">
        <f>(Grandview_Inventory[[#This Row],[sum_land]]-IF(Grandview_Inventory[[#This Row],[no_utilities]]=1,12000,0))/IF(Grandview_Inventory[[#This Row],[unbuildable]]=1,2,1)</f>
        <v>45695.532079096141</v>
      </c>
      <c r="CA194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4">
        <f>ROUND(Grandview_Inventory[[#This Row],[det_value]]*Lookups!$M$28,-2)</f>
        <v>0</v>
      </c>
      <c r="CC1944">
        <f>IF(ROUND(Grandview_Inventory[[#This Row],[adj_res]]*Lookups!$M$28,-2)&lt;Grandview_Inventory[[#This Row],[min_res]],Grandview_Inventory[[#This Row],[min_res]],ROUND(Grandview_Inventory[[#This Row],[adj_res]]*Lookups!$M$28,-2))</f>
        <v>230700</v>
      </c>
      <c r="CD1944">
        <f>Grandview_Inventory[[#This Row],[final_det]]+Grandview_Inventory[[#This Row],[final_res]]</f>
        <v>230700</v>
      </c>
      <c r="CE1944">
        <f>Grandview_Inventory[[#This Row],[final_land]]+Grandview_Inventory[[#This Row],[final_imp]]+Grandview_Inventory[[#This Row],[crop_value]]</f>
        <v>274100</v>
      </c>
      <c r="CG1944" t="str">
        <f t="shared" si="30"/>
        <v>update valuation set market_land =43400, market_bldg=230700, market_total =274100, market_mdno =401, market_date ='9/10/2023' where link_id = (select link_id from parcel where parcel_year = '2024' and parcel_id = '23092343415');</v>
      </c>
    </row>
    <row r="1945" spans="1:85" x14ac:dyDescent="0.25">
      <c r="A1945">
        <v>23092343416</v>
      </c>
      <c r="B1945">
        <v>0.16</v>
      </c>
      <c r="C1945">
        <v>7059</v>
      </c>
      <c r="D1945" t="s">
        <v>129</v>
      </c>
      <c r="E1945" t="s">
        <v>53</v>
      </c>
      <c r="F1945" t="s">
        <v>53</v>
      </c>
      <c r="G1945">
        <v>4</v>
      </c>
      <c r="H1945" t="s">
        <v>54</v>
      </c>
      <c r="I1945">
        <v>152000</v>
      </c>
      <c r="J1945">
        <v>38600</v>
      </c>
      <c r="K1945">
        <v>0.16</v>
      </c>
      <c r="L194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5">
        <v>0</v>
      </c>
      <c r="N1945">
        <v>0</v>
      </c>
      <c r="O1945">
        <v>0</v>
      </c>
      <c r="P1945">
        <v>13398.7528</v>
      </c>
      <c r="Q1945">
        <v>63903</v>
      </c>
      <c r="R1945">
        <f>(Grandview_Inventory[[#This Row],[ln_acres]]*Grandview_Inventory[[#This Row],[coeff]])+Grandview_Inventory[[#This Row],[const]]</f>
        <v>39348.693981374228</v>
      </c>
      <c r="S1945" t="s">
        <v>61</v>
      </c>
      <c r="T1945">
        <v>1</v>
      </c>
      <c r="U1945" t="s">
        <v>70</v>
      </c>
      <c r="V1945" t="s">
        <v>69</v>
      </c>
      <c r="W1945">
        <v>0</v>
      </c>
      <c r="X1945">
        <v>0</v>
      </c>
      <c r="Y1945">
        <v>42</v>
      </c>
      <c r="Z1945">
        <v>42</v>
      </c>
      <c r="AA1945">
        <v>50</v>
      </c>
      <c r="AB1945">
        <v>1500</v>
      </c>
      <c r="AC1945">
        <v>1008</v>
      </c>
      <c r="AD1945">
        <v>1008</v>
      </c>
      <c r="AE1945">
        <v>0</v>
      </c>
      <c r="AF1945">
        <v>0</v>
      </c>
      <c r="AG1945">
        <v>0</v>
      </c>
      <c r="AH1945">
        <v>0</v>
      </c>
      <c r="AI1945">
        <v>336</v>
      </c>
      <c r="AJ1945">
        <v>0</v>
      </c>
      <c r="AK1945">
        <v>0</v>
      </c>
      <c r="AL1945">
        <v>0</v>
      </c>
      <c r="AM1945">
        <v>0</v>
      </c>
      <c r="AN1945">
        <v>80</v>
      </c>
      <c r="AO1945">
        <v>0</v>
      </c>
      <c r="AP1945">
        <v>5</v>
      </c>
      <c r="AQ1945">
        <v>0</v>
      </c>
      <c r="AR1945">
        <v>0</v>
      </c>
      <c r="AS1945" t="s">
        <v>58</v>
      </c>
      <c r="AT1945">
        <v>1</v>
      </c>
      <c r="AU1945" t="s">
        <v>63</v>
      </c>
      <c r="AV1945" t="s">
        <v>60</v>
      </c>
      <c r="AW1945">
        <v>0</v>
      </c>
      <c r="AX1945">
        <v>3</v>
      </c>
      <c r="AY1945">
        <v>0</v>
      </c>
      <c r="AZ1945">
        <v>0</v>
      </c>
      <c r="BA1945">
        <v>100</v>
      </c>
      <c r="BB1945">
        <v>100</v>
      </c>
      <c r="BC1945">
        <v>100</v>
      </c>
      <c r="BD1945">
        <v>100</v>
      </c>
      <c r="BE1945">
        <v>1</v>
      </c>
      <c r="BF1945">
        <v>15000</v>
      </c>
      <c r="BG1945">
        <v>1000</v>
      </c>
      <c r="BH1945" s="6">
        <f>Grandview_Inventory[[#This Row],[land_extract]]*Lookups!$B$3</f>
        <v>45695.532079096141</v>
      </c>
      <c r="BI1945" s="6">
        <f>IF(Grandview_Inventory[[#This Row],[bldg_style]]="",0,Lookups!$B$2)</f>
        <v>155833.95000000001</v>
      </c>
      <c r="BJ1945" s="6">
        <f>_xlfn.IFNA(VLOOKUP(Grandview_Inventory[[#This Row],[quality]],Lookups!$H$2:$J$14,3,FALSE),0)</f>
        <v>10733</v>
      </c>
      <c r="BK1945" s="6">
        <f>_xlfn.IFNA(VLOOKUP(Grandview_Inventory[[#This Row],[condition]],Lookups!$H$17:$J$24,3,FALSE),0)</f>
        <v>-4503</v>
      </c>
      <c r="BL1945" s="6">
        <f>Grandview_Inventory[[#This Row],[Eff_Age]]*Lookups!$B$14</f>
        <v>-10044.9972</v>
      </c>
      <c r="BM1945" s="6">
        <f>Grandview_Inventory[[#This Row],[living_area]]*Lookups!$B$15</f>
        <v>62879.899824</v>
      </c>
      <c r="BN1945" s="6">
        <f>Grandview_Inventory[[#This Row],[Fin BSMT]]*Lookups!$B$16</f>
        <v>0</v>
      </c>
      <c r="BO1945" s="6">
        <f>(Grandview_Inventory[[#This Row],[att_gar]]+Grandview_Inventory[[#This Row],[bltin_gar]])*Lookups!$B$17</f>
        <v>29406.866832</v>
      </c>
      <c r="BP1945" s="6">
        <f>Grandview_Inventory[[#This Row],[Plumbing Fixtures]]*Lookups!$B$18</f>
        <v>10052.209000000001</v>
      </c>
      <c r="BQ1945" s="6">
        <f>Grandview_Inventory[[#This Row],[detatched_value]]*Lookups!$B$19</f>
        <v>0</v>
      </c>
      <c r="BR1945" s="6">
        <f>SUM(Grandview_Inventory[[#This Row],[Intercept]:[det_value]])*Grandview_Inventory[[#This Row],[res_pct]]</f>
        <v>254357.92845599999</v>
      </c>
      <c r="BS1945" s="6">
        <f>Grandview_Inventory[[#This Row],[land_value]]</f>
        <v>45695.532079096141</v>
      </c>
      <c r="BT1945" s="4">
        <f>_xlfn.IFNA(VLOOKUP(Grandview_Inventory[[#This Row],[quality]],Lookups!$A$26:$C$33,3,FALSE),1)</f>
        <v>0.98079741117310582</v>
      </c>
      <c r="BU1945" s="4">
        <f>_xlfn.IFNA(VLOOKUP(Grandview_Inventory[[#This Row],[condition]],Lookups!$A$37:$C$44,3,FALSE),1)</f>
        <v>0.96469275950863709</v>
      </c>
      <c r="BV1945" s="4">
        <f>IF(Grandview_Inventory[[#This Row],[bldg_style]]="",1,_xlfn.IFNA(VLOOKUP(Grandview_Inventory[[#This Row],[decade]],Lookups!$F$29:$H$43,3,FALSE),1))</f>
        <v>0.9871940091910919</v>
      </c>
      <c r="BW1945" s="4">
        <f>_xlfn.IFNA(VLOOKUP(Grandview_Inventory[[#This Row],[living_area_range]],Lookups!$F$47:$H$56,3,FALSE),1)</f>
        <v>0.96135087979789358</v>
      </c>
      <c r="BX1945" s="4">
        <f>AVERAGE(Grandview_Inventory[[#This Row],[qual_adj]:[size_adj]])</f>
        <v>0.97350876491768212</v>
      </c>
      <c r="BY1945" s="6">
        <f>IF(Grandview_Inventory[[#This Row],[pre_res]]&lt;0,0,Grandview_Inventory[[#This Row],[pre_res]]*Grandview_Inventory[[#This Row],[overall_adj]])</f>
        <v>247619.6727782207</v>
      </c>
      <c r="BZ1945" s="6">
        <f>(Grandview_Inventory[[#This Row],[sum_land]]-IF(Grandview_Inventory[[#This Row],[no_utilities]]=1,12000,0))/IF(Grandview_Inventory[[#This Row],[unbuildable]]=1,2,1)</f>
        <v>45695.532079096141</v>
      </c>
      <c r="CA194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5">
        <f>ROUND(Grandview_Inventory[[#This Row],[det_value]]*Lookups!$M$28,-2)</f>
        <v>0</v>
      </c>
      <c r="CC1945">
        <f>IF(ROUND(Grandview_Inventory[[#This Row],[adj_res]]*Lookups!$M$28,-2)&lt;Grandview_Inventory[[#This Row],[min_res]],Grandview_Inventory[[#This Row],[min_res]],ROUND(Grandview_Inventory[[#This Row],[adj_res]]*Lookups!$M$28,-2))</f>
        <v>235200</v>
      </c>
      <c r="CD1945">
        <f>Grandview_Inventory[[#This Row],[final_det]]+Grandview_Inventory[[#This Row],[final_res]]</f>
        <v>235200</v>
      </c>
      <c r="CE1945">
        <f>Grandview_Inventory[[#This Row],[final_land]]+Grandview_Inventory[[#This Row],[final_imp]]+Grandview_Inventory[[#This Row],[crop_value]]</f>
        <v>278600</v>
      </c>
      <c r="CG1945" t="str">
        <f t="shared" si="30"/>
        <v>update valuation set market_land =43400, market_bldg=235200, market_total =278600, market_mdno =401, market_date ='9/10/2023' where link_id = (select link_id from parcel where parcel_year = '2024' and parcel_id = '23092343416');</v>
      </c>
    </row>
    <row r="1946" spans="1:85" x14ac:dyDescent="0.25">
      <c r="A1946">
        <v>23092343417</v>
      </c>
      <c r="B1946">
        <v>0.18</v>
      </c>
      <c r="C1946">
        <v>7909</v>
      </c>
      <c r="D1946" t="s">
        <v>129</v>
      </c>
      <c r="E1946" t="s">
        <v>53</v>
      </c>
      <c r="F1946" t="s">
        <v>53</v>
      </c>
      <c r="G1946">
        <v>4</v>
      </c>
      <c r="H1946" t="s">
        <v>54</v>
      </c>
      <c r="I1946">
        <v>202400</v>
      </c>
      <c r="J1946">
        <v>39000</v>
      </c>
      <c r="K1946">
        <v>0.18</v>
      </c>
      <c r="L194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46">
        <v>0</v>
      </c>
      <c r="N1946">
        <v>0</v>
      </c>
      <c r="O1946">
        <v>0</v>
      </c>
      <c r="P1946">
        <v>13398.7528</v>
      </c>
      <c r="Q1946">
        <v>63903</v>
      </c>
      <c r="R1946">
        <f>(Grandview_Inventory[[#This Row],[ln_acres]]*Grandview_Inventory[[#This Row],[coeff]])+Grandview_Inventory[[#This Row],[const]]</f>
        <v>40926.839760167699</v>
      </c>
      <c r="S1946" t="s">
        <v>61</v>
      </c>
      <c r="T1946">
        <v>1</v>
      </c>
      <c r="U1946" t="s">
        <v>70</v>
      </c>
      <c r="V1946" t="s">
        <v>67</v>
      </c>
      <c r="W1946">
        <v>0</v>
      </c>
      <c r="X1946">
        <v>0</v>
      </c>
      <c r="Y1946">
        <v>43</v>
      </c>
      <c r="Z1946">
        <v>43</v>
      </c>
      <c r="AA1946">
        <v>50</v>
      </c>
      <c r="AB1946">
        <v>1500</v>
      </c>
      <c r="AC1946">
        <v>1296</v>
      </c>
      <c r="AD1946">
        <v>1296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8</v>
      </c>
      <c r="AQ1946">
        <v>0</v>
      </c>
      <c r="AR1946">
        <v>0</v>
      </c>
      <c r="AS1946" t="s">
        <v>58</v>
      </c>
      <c r="AT1946">
        <v>1</v>
      </c>
      <c r="AU1946" t="s">
        <v>63</v>
      </c>
      <c r="AV1946" t="s">
        <v>60</v>
      </c>
      <c r="AW1946">
        <v>1</v>
      </c>
      <c r="AX1946">
        <v>3</v>
      </c>
      <c r="AY1946">
        <v>0</v>
      </c>
      <c r="AZ1946">
        <v>0</v>
      </c>
      <c r="BA1946">
        <v>100</v>
      </c>
      <c r="BB1946">
        <v>100</v>
      </c>
      <c r="BC1946">
        <v>100</v>
      </c>
      <c r="BD1946">
        <v>100</v>
      </c>
      <c r="BE1946">
        <v>1</v>
      </c>
      <c r="BF1946">
        <v>15000</v>
      </c>
      <c r="BG1946">
        <v>1000</v>
      </c>
      <c r="BH1946" s="6">
        <f>Grandview_Inventory[[#This Row],[land_extract]]*Lookups!$B$3</f>
        <v>47528.228511015397</v>
      </c>
      <c r="BI1946" s="6">
        <f>IF(Grandview_Inventory[[#This Row],[bldg_style]]="",0,Lookups!$B$2)</f>
        <v>155833.95000000001</v>
      </c>
      <c r="BJ1946" s="6">
        <f>_xlfn.IFNA(VLOOKUP(Grandview_Inventory[[#This Row],[quality]],Lookups!$H$2:$J$14,3,FALSE),0)</f>
        <v>10733</v>
      </c>
      <c r="BK1946" s="6">
        <f>_xlfn.IFNA(VLOOKUP(Grandview_Inventory[[#This Row],[condition]],Lookups!$H$17:$J$24,3,FALSE),0)</f>
        <v>22342</v>
      </c>
      <c r="BL1946" s="6">
        <f>Grandview_Inventory[[#This Row],[Eff_Age]]*Lookups!$B$14</f>
        <v>-10284.1638</v>
      </c>
      <c r="BM1946" s="6">
        <f>Grandview_Inventory[[#This Row],[living_area]]*Lookups!$B$15</f>
        <v>80845.585487999997</v>
      </c>
      <c r="BN1946" s="6">
        <f>Grandview_Inventory[[#This Row],[Fin BSMT]]*Lookups!$B$16</f>
        <v>0</v>
      </c>
      <c r="BO1946" s="6">
        <f>(Grandview_Inventory[[#This Row],[att_gar]]+Grandview_Inventory[[#This Row],[bltin_gar]])*Lookups!$B$17</f>
        <v>0</v>
      </c>
      <c r="BP1946" s="6">
        <f>Grandview_Inventory[[#This Row],[Plumbing Fixtures]]*Lookups!$B$18</f>
        <v>16083.5344</v>
      </c>
      <c r="BQ1946" s="6">
        <f>Grandview_Inventory[[#This Row],[detatched_value]]*Lookups!$B$19</f>
        <v>0</v>
      </c>
      <c r="BR1946" s="6">
        <f>SUM(Grandview_Inventory[[#This Row],[Intercept]:[det_value]])*Grandview_Inventory[[#This Row],[res_pct]]</f>
        <v>275553.90608799999</v>
      </c>
      <c r="BS1946" s="6">
        <f>Grandview_Inventory[[#This Row],[land_value]]</f>
        <v>47528.228511015397</v>
      </c>
      <c r="BT1946" s="4">
        <f>_xlfn.IFNA(VLOOKUP(Grandview_Inventory[[#This Row],[quality]],Lookups!$A$26:$C$33,3,FALSE),1)</f>
        <v>0.98079741117310582</v>
      </c>
      <c r="BU1946" s="4">
        <f>_xlfn.IFNA(VLOOKUP(Grandview_Inventory[[#This Row],[condition]],Lookups!$A$37:$C$44,3,FALSE),1)</f>
        <v>0.97383723671140243</v>
      </c>
      <c r="BV1946" s="4">
        <f>IF(Grandview_Inventory[[#This Row],[bldg_style]]="",1,_xlfn.IFNA(VLOOKUP(Grandview_Inventory[[#This Row],[decade]],Lookups!$F$29:$H$43,3,FALSE),1))</f>
        <v>0.9871940091910919</v>
      </c>
      <c r="BW1946" s="4">
        <f>_xlfn.IFNA(VLOOKUP(Grandview_Inventory[[#This Row],[living_area_range]],Lookups!$F$47:$H$56,3,FALSE),1)</f>
        <v>0.96135087979789358</v>
      </c>
      <c r="BX1946" s="4">
        <f>AVERAGE(Grandview_Inventory[[#This Row],[qual_adj]:[size_adj]])</f>
        <v>0.97579488421837346</v>
      </c>
      <c r="BY1946" s="6">
        <f>IF(Grandview_Inventory[[#This Row],[pre_res]]&lt;0,0,Grandview_Inventory[[#This Row],[pre_res]]*Grandview_Inventory[[#This Row],[overall_adj]])</f>
        <v>268884.09188706049</v>
      </c>
      <c r="BZ1946" s="6">
        <f>(Grandview_Inventory[[#This Row],[sum_land]]-IF(Grandview_Inventory[[#This Row],[no_utilities]]=1,12000,0))/IF(Grandview_Inventory[[#This Row],[unbuildable]]=1,2,1)</f>
        <v>47528.228511015397</v>
      </c>
      <c r="CA194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46">
        <f>ROUND(Grandview_Inventory[[#This Row],[det_value]]*Lookups!$M$28,-2)</f>
        <v>0</v>
      </c>
      <c r="CC1946">
        <f>IF(ROUND(Grandview_Inventory[[#This Row],[adj_res]]*Lookups!$M$28,-2)&lt;Grandview_Inventory[[#This Row],[min_res]],Grandview_Inventory[[#This Row],[min_res]],ROUND(Grandview_Inventory[[#This Row],[adj_res]]*Lookups!$M$28,-2))</f>
        <v>255400</v>
      </c>
      <c r="CD1946">
        <f>Grandview_Inventory[[#This Row],[final_det]]+Grandview_Inventory[[#This Row],[final_res]]</f>
        <v>255400</v>
      </c>
      <c r="CE1946">
        <f>Grandview_Inventory[[#This Row],[final_land]]+Grandview_Inventory[[#This Row],[final_imp]]+Grandview_Inventory[[#This Row],[crop_value]]</f>
        <v>300600</v>
      </c>
      <c r="CG1946" t="str">
        <f t="shared" si="30"/>
        <v>update valuation set market_land =45200, market_bldg=255400, market_total =300600, market_mdno =401, market_date ='9/10/2023' where link_id = (select link_id from parcel where parcel_year = '2024' and parcel_id = '23092343417');</v>
      </c>
    </row>
    <row r="1947" spans="1:85" x14ac:dyDescent="0.25">
      <c r="A1947">
        <v>23092343418</v>
      </c>
      <c r="B1947">
        <v>0.18</v>
      </c>
      <c r="C1947">
        <v>7903</v>
      </c>
      <c r="D1947" t="s">
        <v>129</v>
      </c>
      <c r="E1947" t="s">
        <v>53</v>
      </c>
      <c r="F1947" t="s">
        <v>53</v>
      </c>
      <c r="G1947">
        <v>4</v>
      </c>
      <c r="H1947" t="s">
        <v>54</v>
      </c>
      <c r="I1947">
        <v>131900</v>
      </c>
      <c r="J1947">
        <v>39000</v>
      </c>
      <c r="K1947">
        <v>0.18</v>
      </c>
      <c r="L194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47">
        <v>0</v>
      </c>
      <c r="N1947">
        <v>0</v>
      </c>
      <c r="O1947">
        <v>0</v>
      </c>
      <c r="P1947">
        <v>13398.7528</v>
      </c>
      <c r="Q1947">
        <v>63903</v>
      </c>
      <c r="R1947">
        <f>(Grandview_Inventory[[#This Row],[ln_acres]]*Grandview_Inventory[[#This Row],[coeff]])+Grandview_Inventory[[#This Row],[const]]</f>
        <v>40926.839760167699</v>
      </c>
      <c r="S1947" t="s">
        <v>61</v>
      </c>
      <c r="T1947">
        <v>1</v>
      </c>
      <c r="U1947" t="s">
        <v>70</v>
      </c>
      <c r="V1947" t="s">
        <v>69</v>
      </c>
      <c r="W1947">
        <v>0</v>
      </c>
      <c r="X1947">
        <v>0</v>
      </c>
      <c r="Y1947">
        <v>43</v>
      </c>
      <c r="Z1947">
        <v>43</v>
      </c>
      <c r="AA1947">
        <v>50</v>
      </c>
      <c r="AB1947">
        <v>1500</v>
      </c>
      <c r="AC1947">
        <v>1008</v>
      </c>
      <c r="AD1947">
        <v>1008</v>
      </c>
      <c r="AE1947">
        <v>0</v>
      </c>
      <c r="AF1947">
        <v>0</v>
      </c>
      <c r="AG1947">
        <v>0</v>
      </c>
      <c r="AH1947">
        <v>0</v>
      </c>
      <c r="AI1947">
        <v>288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5</v>
      </c>
      <c r="AQ1947">
        <v>0</v>
      </c>
      <c r="AR1947">
        <v>0</v>
      </c>
      <c r="AS1947" t="s">
        <v>58</v>
      </c>
      <c r="AT1947">
        <v>1</v>
      </c>
      <c r="AU1947" t="s">
        <v>63</v>
      </c>
      <c r="AV1947" t="s">
        <v>60</v>
      </c>
      <c r="AW1947">
        <v>0</v>
      </c>
      <c r="AX1947">
        <v>3</v>
      </c>
      <c r="AY1947">
        <v>0</v>
      </c>
      <c r="AZ1947">
        <v>0</v>
      </c>
      <c r="BA1947">
        <v>100</v>
      </c>
      <c r="BB1947">
        <v>100</v>
      </c>
      <c r="BC1947">
        <v>100</v>
      </c>
      <c r="BD1947">
        <v>100</v>
      </c>
      <c r="BE1947">
        <v>1</v>
      </c>
      <c r="BF1947">
        <v>15000</v>
      </c>
      <c r="BG1947">
        <v>1000</v>
      </c>
      <c r="BH1947" s="6">
        <f>Grandview_Inventory[[#This Row],[land_extract]]*Lookups!$B$3</f>
        <v>47528.228511015397</v>
      </c>
      <c r="BI1947" s="6">
        <f>IF(Grandview_Inventory[[#This Row],[bldg_style]]="",0,Lookups!$B$2)</f>
        <v>155833.95000000001</v>
      </c>
      <c r="BJ1947" s="6">
        <f>_xlfn.IFNA(VLOOKUP(Grandview_Inventory[[#This Row],[quality]],Lookups!$H$2:$J$14,3,FALSE),0)</f>
        <v>10733</v>
      </c>
      <c r="BK1947" s="6">
        <f>_xlfn.IFNA(VLOOKUP(Grandview_Inventory[[#This Row],[condition]],Lookups!$H$17:$J$24,3,FALSE),0)</f>
        <v>-4503</v>
      </c>
      <c r="BL1947" s="6">
        <f>Grandview_Inventory[[#This Row],[Eff_Age]]*Lookups!$B$14</f>
        <v>-10284.1638</v>
      </c>
      <c r="BM1947" s="6">
        <f>Grandview_Inventory[[#This Row],[living_area]]*Lookups!$B$15</f>
        <v>62879.899824</v>
      </c>
      <c r="BN1947" s="6">
        <f>Grandview_Inventory[[#This Row],[Fin BSMT]]*Lookups!$B$16</f>
        <v>0</v>
      </c>
      <c r="BO1947" s="6">
        <f>(Grandview_Inventory[[#This Row],[att_gar]]+Grandview_Inventory[[#This Row],[bltin_gar]])*Lookups!$B$17</f>
        <v>25205.885856000001</v>
      </c>
      <c r="BP1947" s="6">
        <f>Grandview_Inventory[[#This Row],[Plumbing Fixtures]]*Lookups!$B$18</f>
        <v>10052.209000000001</v>
      </c>
      <c r="BQ1947" s="6">
        <f>Grandview_Inventory[[#This Row],[detatched_value]]*Lookups!$B$19</f>
        <v>0</v>
      </c>
      <c r="BR1947" s="6">
        <f>SUM(Grandview_Inventory[[#This Row],[Intercept]:[det_value]])*Grandview_Inventory[[#This Row],[res_pct]]</f>
        <v>249917.78088000001</v>
      </c>
      <c r="BS1947" s="6">
        <f>Grandview_Inventory[[#This Row],[land_value]]</f>
        <v>47528.228511015397</v>
      </c>
      <c r="BT1947" s="4">
        <f>_xlfn.IFNA(VLOOKUP(Grandview_Inventory[[#This Row],[quality]],Lookups!$A$26:$C$33,3,FALSE),1)</f>
        <v>0.98079741117310582</v>
      </c>
      <c r="BU1947" s="4">
        <f>_xlfn.IFNA(VLOOKUP(Grandview_Inventory[[#This Row],[condition]],Lookups!$A$37:$C$44,3,FALSE),1)</f>
        <v>0.96469275950863709</v>
      </c>
      <c r="BV1947" s="4">
        <f>IF(Grandview_Inventory[[#This Row],[bldg_style]]="",1,_xlfn.IFNA(VLOOKUP(Grandview_Inventory[[#This Row],[decade]],Lookups!$F$29:$H$43,3,FALSE),1))</f>
        <v>0.9871940091910919</v>
      </c>
      <c r="BW1947" s="4">
        <f>_xlfn.IFNA(VLOOKUP(Grandview_Inventory[[#This Row],[living_area_range]],Lookups!$F$47:$H$56,3,FALSE),1)</f>
        <v>0.96135087979789358</v>
      </c>
      <c r="BX1947" s="4">
        <f>AVERAGE(Grandview_Inventory[[#This Row],[qual_adj]:[size_adj]])</f>
        <v>0.97350876491768212</v>
      </c>
      <c r="BY1947" s="6">
        <f>IF(Grandview_Inventory[[#This Row],[pre_res]]&lt;0,0,Grandview_Inventory[[#This Row],[pre_res]]*Grandview_Inventory[[#This Row],[overall_adj]])</f>
        <v>243297.15019545672</v>
      </c>
      <c r="BZ1947" s="6">
        <f>(Grandview_Inventory[[#This Row],[sum_land]]-IF(Grandview_Inventory[[#This Row],[no_utilities]]=1,12000,0))/IF(Grandview_Inventory[[#This Row],[unbuildable]]=1,2,1)</f>
        <v>47528.228511015397</v>
      </c>
      <c r="CA194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47">
        <f>ROUND(Grandview_Inventory[[#This Row],[det_value]]*Lookups!$M$28,-2)</f>
        <v>0</v>
      </c>
      <c r="CC1947">
        <f>IF(ROUND(Grandview_Inventory[[#This Row],[adj_res]]*Lookups!$M$28,-2)&lt;Grandview_Inventory[[#This Row],[min_res]],Grandview_Inventory[[#This Row],[min_res]],ROUND(Grandview_Inventory[[#This Row],[adj_res]]*Lookups!$M$28,-2))</f>
        <v>231100</v>
      </c>
      <c r="CD1947">
        <f>Grandview_Inventory[[#This Row],[final_det]]+Grandview_Inventory[[#This Row],[final_res]]</f>
        <v>231100</v>
      </c>
      <c r="CE1947">
        <f>Grandview_Inventory[[#This Row],[final_land]]+Grandview_Inventory[[#This Row],[final_imp]]+Grandview_Inventory[[#This Row],[crop_value]]</f>
        <v>276300</v>
      </c>
      <c r="CG1947" t="str">
        <f t="shared" si="30"/>
        <v>update valuation set market_land =45200, market_bldg=231100, market_total =276300, market_mdno =401, market_date ='9/10/2023' where link_id = (select link_id from parcel where parcel_year = '2024' and parcel_id = '23092343418');</v>
      </c>
    </row>
    <row r="1948" spans="1:85" x14ac:dyDescent="0.25">
      <c r="A1948">
        <v>23092343419</v>
      </c>
      <c r="B1948">
        <v>0.16</v>
      </c>
      <c r="C1948">
        <v>7050</v>
      </c>
      <c r="D1948" t="s">
        <v>129</v>
      </c>
      <c r="E1948" t="s">
        <v>53</v>
      </c>
      <c r="F1948" t="s">
        <v>53</v>
      </c>
      <c r="G1948">
        <v>4</v>
      </c>
      <c r="H1948" t="s">
        <v>54</v>
      </c>
      <c r="I1948">
        <v>216700</v>
      </c>
      <c r="J1948">
        <v>38600</v>
      </c>
      <c r="K1948">
        <v>0.16</v>
      </c>
      <c r="L194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8">
        <v>0</v>
      </c>
      <c r="N1948">
        <v>0</v>
      </c>
      <c r="O1948">
        <v>0</v>
      </c>
      <c r="P1948">
        <v>13398.7528</v>
      </c>
      <c r="Q1948">
        <v>63903</v>
      </c>
      <c r="R1948">
        <f>(Grandview_Inventory[[#This Row],[ln_acres]]*Grandview_Inventory[[#This Row],[coeff]])+Grandview_Inventory[[#This Row],[const]]</f>
        <v>39348.693981374228</v>
      </c>
      <c r="S1948" t="s">
        <v>61</v>
      </c>
      <c r="T1948">
        <v>1</v>
      </c>
      <c r="U1948" t="s">
        <v>70</v>
      </c>
      <c r="V1948" t="s">
        <v>67</v>
      </c>
      <c r="W1948">
        <v>0</v>
      </c>
      <c r="X1948">
        <v>0</v>
      </c>
      <c r="Y1948">
        <v>42</v>
      </c>
      <c r="Z1948">
        <v>42</v>
      </c>
      <c r="AA1948">
        <v>50</v>
      </c>
      <c r="AB1948">
        <v>1500</v>
      </c>
      <c r="AC1948">
        <v>1344</v>
      </c>
      <c r="AD1948">
        <v>1344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384</v>
      </c>
      <c r="AL1948">
        <v>0</v>
      </c>
      <c r="AM1948">
        <v>0</v>
      </c>
      <c r="AN1948">
        <v>0</v>
      </c>
      <c r="AO1948">
        <v>0</v>
      </c>
      <c r="AP1948">
        <v>8</v>
      </c>
      <c r="AQ1948">
        <v>0</v>
      </c>
      <c r="AR1948">
        <v>0</v>
      </c>
      <c r="AS1948" t="s">
        <v>58</v>
      </c>
      <c r="AT1948">
        <v>1</v>
      </c>
      <c r="AU1948" t="s">
        <v>63</v>
      </c>
      <c r="AV1948" t="s">
        <v>60</v>
      </c>
      <c r="AW1948">
        <v>1</v>
      </c>
      <c r="AX1948">
        <v>3</v>
      </c>
      <c r="AY1948">
        <v>0</v>
      </c>
      <c r="AZ1948">
        <v>0</v>
      </c>
      <c r="BA1948">
        <v>100</v>
      </c>
      <c r="BB1948">
        <v>100</v>
      </c>
      <c r="BC1948">
        <v>100</v>
      </c>
      <c r="BD1948">
        <v>100</v>
      </c>
      <c r="BE1948">
        <v>1</v>
      </c>
      <c r="BF1948">
        <v>15000</v>
      </c>
      <c r="BG1948">
        <v>1000</v>
      </c>
      <c r="BH1948" s="6">
        <f>Grandview_Inventory[[#This Row],[land_extract]]*Lookups!$B$3</f>
        <v>45695.532079096141</v>
      </c>
      <c r="BI1948" s="6">
        <f>IF(Grandview_Inventory[[#This Row],[bldg_style]]="",0,Lookups!$B$2)</f>
        <v>155833.95000000001</v>
      </c>
      <c r="BJ1948" s="6">
        <f>_xlfn.IFNA(VLOOKUP(Grandview_Inventory[[#This Row],[quality]],Lookups!$H$2:$J$14,3,FALSE),0)</f>
        <v>10733</v>
      </c>
      <c r="BK1948" s="6">
        <f>_xlfn.IFNA(VLOOKUP(Grandview_Inventory[[#This Row],[condition]],Lookups!$H$17:$J$24,3,FALSE),0)</f>
        <v>22342</v>
      </c>
      <c r="BL1948" s="6">
        <f>Grandview_Inventory[[#This Row],[Eff_Age]]*Lookups!$B$14</f>
        <v>-10044.9972</v>
      </c>
      <c r="BM1948" s="6">
        <f>Grandview_Inventory[[#This Row],[living_area]]*Lookups!$B$15</f>
        <v>83839.86643200001</v>
      </c>
      <c r="BN1948" s="6">
        <f>Grandview_Inventory[[#This Row],[Fin BSMT]]*Lookups!$B$16</f>
        <v>0</v>
      </c>
      <c r="BO1948" s="6">
        <f>(Grandview_Inventory[[#This Row],[att_gar]]+Grandview_Inventory[[#This Row],[bltin_gar]])*Lookups!$B$17</f>
        <v>0</v>
      </c>
      <c r="BP1948" s="6">
        <f>Grandview_Inventory[[#This Row],[Plumbing Fixtures]]*Lookups!$B$18</f>
        <v>16083.5344</v>
      </c>
      <c r="BQ1948" s="6">
        <f>Grandview_Inventory[[#This Row],[detatched_value]]*Lookups!$B$19</f>
        <v>0</v>
      </c>
      <c r="BR1948" s="6">
        <f>SUM(Grandview_Inventory[[#This Row],[Intercept]:[det_value]])*Grandview_Inventory[[#This Row],[res_pct]]</f>
        <v>278787.35363200004</v>
      </c>
      <c r="BS1948" s="6">
        <f>Grandview_Inventory[[#This Row],[land_value]]</f>
        <v>45695.532079096141</v>
      </c>
      <c r="BT1948" s="4">
        <f>_xlfn.IFNA(VLOOKUP(Grandview_Inventory[[#This Row],[quality]],Lookups!$A$26:$C$33,3,FALSE),1)</f>
        <v>0.98079741117310582</v>
      </c>
      <c r="BU1948" s="4">
        <f>_xlfn.IFNA(VLOOKUP(Grandview_Inventory[[#This Row],[condition]],Lookups!$A$37:$C$44,3,FALSE),1)</f>
        <v>0.97383723671140243</v>
      </c>
      <c r="BV1948" s="4">
        <f>IF(Grandview_Inventory[[#This Row],[bldg_style]]="",1,_xlfn.IFNA(VLOOKUP(Grandview_Inventory[[#This Row],[decade]],Lookups!$F$29:$H$43,3,FALSE),1))</f>
        <v>0.9871940091910919</v>
      </c>
      <c r="BW1948" s="4">
        <f>_xlfn.IFNA(VLOOKUP(Grandview_Inventory[[#This Row],[living_area_range]],Lookups!$F$47:$H$56,3,FALSE),1)</f>
        <v>0.96135087979789358</v>
      </c>
      <c r="BX1948" s="4">
        <f>AVERAGE(Grandview_Inventory[[#This Row],[qual_adj]:[size_adj]])</f>
        <v>0.97579488421837346</v>
      </c>
      <c r="BY1948" s="6">
        <f>IF(Grandview_Inventory[[#This Row],[pre_res]]&lt;0,0,Grandview_Inventory[[#This Row],[pre_res]]*Grandview_Inventory[[#This Row],[overall_adj]])</f>
        <v>272039.27345888421</v>
      </c>
      <c r="BZ1948" s="6">
        <f>(Grandview_Inventory[[#This Row],[sum_land]]-IF(Grandview_Inventory[[#This Row],[no_utilities]]=1,12000,0))/IF(Grandview_Inventory[[#This Row],[unbuildable]]=1,2,1)</f>
        <v>45695.532079096141</v>
      </c>
      <c r="CA194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8">
        <f>ROUND(Grandview_Inventory[[#This Row],[det_value]]*Lookups!$M$28,-2)</f>
        <v>0</v>
      </c>
      <c r="CC1948">
        <f>IF(ROUND(Grandview_Inventory[[#This Row],[adj_res]]*Lookups!$M$28,-2)&lt;Grandview_Inventory[[#This Row],[min_res]],Grandview_Inventory[[#This Row],[min_res]],ROUND(Grandview_Inventory[[#This Row],[adj_res]]*Lookups!$M$28,-2))</f>
        <v>258400</v>
      </c>
      <c r="CD1948">
        <f>Grandview_Inventory[[#This Row],[final_det]]+Grandview_Inventory[[#This Row],[final_res]]</f>
        <v>258400</v>
      </c>
      <c r="CE1948">
        <f>Grandview_Inventory[[#This Row],[final_land]]+Grandview_Inventory[[#This Row],[final_imp]]+Grandview_Inventory[[#This Row],[crop_value]]</f>
        <v>301800</v>
      </c>
      <c r="CG1948" t="str">
        <f t="shared" si="30"/>
        <v>update valuation set market_land =43400, market_bldg=258400, market_total =301800, market_mdno =401, market_date ='9/10/2023' where link_id = (select link_id from parcel where parcel_year = '2024' and parcel_id = '23092343419');</v>
      </c>
    </row>
    <row r="1949" spans="1:85" x14ac:dyDescent="0.25">
      <c r="A1949">
        <v>23092343420</v>
      </c>
      <c r="B1949">
        <v>0.16</v>
      </c>
      <c r="C1949">
        <v>7050</v>
      </c>
      <c r="D1949" t="s">
        <v>129</v>
      </c>
      <c r="E1949" t="s">
        <v>53</v>
      </c>
      <c r="F1949" t="s">
        <v>53</v>
      </c>
      <c r="G1949">
        <v>4</v>
      </c>
      <c r="H1949" t="s">
        <v>54</v>
      </c>
      <c r="I1949">
        <v>150500</v>
      </c>
      <c r="J1949">
        <v>38600</v>
      </c>
      <c r="K1949">
        <v>0.16</v>
      </c>
      <c r="L194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49">
        <v>0</v>
      </c>
      <c r="N1949">
        <v>0</v>
      </c>
      <c r="O1949">
        <v>0</v>
      </c>
      <c r="P1949">
        <v>13398.7528</v>
      </c>
      <c r="Q1949">
        <v>63903</v>
      </c>
      <c r="R1949">
        <f>(Grandview_Inventory[[#This Row],[ln_acres]]*Grandview_Inventory[[#This Row],[coeff]])+Grandview_Inventory[[#This Row],[const]]</f>
        <v>39348.693981374228</v>
      </c>
      <c r="S1949" t="s">
        <v>61</v>
      </c>
      <c r="T1949">
        <v>1</v>
      </c>
      <c r="U1949" t="s">
        <v>70</v>
      </c>
      <c r="V1949" t="s">
        <v>69</v>
      </c>
      <c r="W1949">
        <v>0</v>
      </c>
      <c r="X1949">
        <v>0</v>
      </c>
      <c r="Y1949">
        <v>41</v>
      </c>
      <c r="Z1949">
        <v>41</v>
      </c>
      <c r="AA1949">
        <v>50</v>
      </c>
      <c r="AB1949">
        <v>1500</v>
      </c>
      <c r="AC1949">
        <v>1032</v>
      </c>
      <c r="AD1949">
        <v>1032</v>
      </c>
      <c r="AE1949">
        <v>0</v>
      </c>
      <c r="AF1949">
        <v>0</v>
      </c>
      <c r="AG1949">
        <v>0</v>
      </c>
      <c r="AH1949">
        <v>0</v>
      </c>
      <c r="AI1949">
        <v>288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5</v>
      </c>
      <c r="AQ1949">
        <v>0</v>
      </c>
      <c r="AR1949">
        <v>0</v>
      </c>
      <c r="AS1949" t="s">
        <v>58</v>
      </c>
      <c r="AT1949">
        <v>1</v>
      </c>
      <c r="AU1949" t="s">
        <v>63</v>
      </c>
      <c r="AV1949" t="s">
        <v>60</v>
      </c>
      <c r="AW1949">
        <v>0</v>
      </c>
      <c r="AX1949">
        <v>3</v>
      </c>
      <c r="AY1949">
        <v>0</v>
      </c>
      <c r="AZ1949">
        <v>0</v>
      </c>
      <c r="BA1949">
        <v>100</v>
      </c>
      <c r="BB1949">
        <v>100</v>
      </c>
      <c r="BC1949">
        <v>100</v>
      </c>
      <c r="BD1949">
        <v>100</v>
      </c>
      <c r="BE1949">
        <v>1</v>
      </c>
      <c r="BF1949">
        <v>15000</v>
      </c>
      <c r="BG1949">
        <v>1000</v>
      </c>
      <c r="BH1949" s="6">
        <f>Grandview_Inventory[[#This Row],[land_extract]]*Lookups!$B$3</f>
        <v>45695.532079096141</v>
      </c>
      <c r="BI1949" s="6">
        <f>IF(Grandview_Inventory[[#This Row],[bldg_style]]="",0,Lookups!$B$2)</f>
        <v>155833.95000000001</v>
      </c>
      <c r="BJ1949" s="6">
        <f>_xlfn.IFNA(VLOOKUP(Grandview_Inventory[[#This Row],[quality]],Lookups!$H$2:$J$14,3,FALSE),0)</f>
        <v>10733</v>
      </c>
      <c r="BK1949" s="6">
        <f>_xlfn.IFNA(VLOOKUP(Grandview_Inventory[[#This Row],[condition]],Lookups!$H$17:$J$24,3,FALSE),0)</f>
        <v>-4503</v>
      </c>
      <c r="BL1949" s="6">
        <f>Grandview_Inventory[[#This Row],[Eff_Age]]*Lookups!$B$14</f>
        <v>-9805.8305999999993</v>
      </c>
      <c r="BM1949" s="6">
        <f>Grandview_Inventory[[#This Row],[living_area]]*Lookups!$B$15</f>
        <v>64377.040295999999</v>
      </c>
      <c r="BN1949" s="6">
        <f>Grandview_Inventory[[#This Row],[Fin BSMT]]*Lookups!$B$16</f>
        <v>0</v>
      </c>
      <c r="BO1949" s="6">
        <f>(Grandview_Inventory[[#This Row],[att_gar]]+Grandview_Inventory[[#This Row],[bltin_gar]])*Lookups!$B$17</f>
        <v>25205.885856000001</v>
      </c>
      <c r="BP1949" s="6">
        <f>Grandview_Inventory[[#This Row],[Plumbing Fixtures]]*Lookups!$B$18</f>
        <v>10052.209000000001</v>
      </c>
      <c r="BQ1949" s="6">
        <f>Grandview_Inventory[[#This Row],[detatched_value]]*Lookups!$B$19</f>
        <v>0</v>
      </c>
      <c r="BR1949" s="6">
        <f>SUM(Grandview_Inventory[[#This Row],[Intercept]:[det_value]])*Grandview_Inventory[[#This Row],[res_pct]]</f>
        <v>251893.25455200003</v>
      </c>
      <c r="BS1949" s="6">
        <f>Grandview_Inventory[[#This Row],[land_value]]</f>
        <v>45695.532079096141</v>
      </c>
      <c r="BT1949" s="4">
        <f>_xlfn.IFNA(VLOOKUP(Grandview_Inventory[[#This Row],[quality]],Lookups!$A$26:$C$33,3,FALSE),1)</f>
        <v>0.98079741117310582</v>
      </c>
      <c r="BU1949" s="4">
        <f>_xlfn.IFNA(VLOOKUP(Grandview_Inventory[[#This Row],[condition]],Lookups!$A$37:$C$44,3,FALSE),1)</f>
        <v>0.96469275950863709</v>
      </c>
      <c r="BV1949" s="4">
        <f>IF(Grandview_Inventory[[#This Row],[bldg_style]]="",1,_xlfn.IFNA(VLOOKUP(Grandview_Inventory[[#This Row],[decade]],Lookups!$F$29:$H$43,3,FALSE),1))</f>
        <v>0.9871940091910919</v>
      </c>
      <c r="BW1949" s="4">
        <f>_xlfn.IFNA(VLOOKUP(Grandview_Inventory[[#This Row],[living_area_range]],Lookups!$F$47:$H$56,3,FALSE),1)</f>
        <v>0.96135087979789358</v>
      </c>
      <c r="BX1949" s="4">
        <f>AVERAGE(Grandview_Inventory[[#This Row],[qual_adj]:[size_adj]])</f>
        <v>0.97350876491768212</v>
      </c>
      <c r="BY1949" s="6">
        <f>IF(Grandview_Inventory[[#This Row],[pre_res]]&lt;0,0,Grandview_Inventory[[#This Row],[pre_res]]*Grandview_Inventory[[#This Row],[overall_adj]])</f>
        <v>245220.29113001286</v>
      </c>
      <c r="BZ1949" s="6">
        <f>(Grandview_Inventory[[#This Row],[sum_land]]-IF(Grandview_Inventory[[#This Row],[no_utilities]]=1,12000,0))/IF(Grandview_Inventory[[#This Row],[unbuildable]]=1,2,1)</f>
        <v>45695.532079096141</v>
      </c>
      <c r="CA194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49">
        <f>ROUND(Grandview_Inventory[[#This Row],[det_value]]*Lookups!$M$28,-2)</f>
        <v>0</v>
      </c>
      <c r="CC1949">
        <f>IF(ROUND(Grandview_Inventory[[#This Row],[adj_res]]*Lookups!$M$28,-2)&lt;Grandview_Inventory[[#This Row],[min_res]],Grandview_Inventory[[#This Row],[min_res]],ROUND(Grandview_Inventory[[#This Row],[adj_res]]*Lookups!$M$28,-2))</f>
        <v>233000</v>
      </c>
      <c r="CD1949">
        <f>Grandview_Inventory[[#This Row],[final_det]]+Grandview_Inventory[[#This Row],[final_res]]</f>
        <v>233000</v>
      </c>
      <c r="CE1949">
        <f>Grandview_Inventory[[#This Row],[final_land]]+Grandview_Inventory[[#This Row],[final_imp]]+Grandview_Inventory[[#This Row],[crop_value]]</f>
        <v>276400</v>
      </c>
      <c r="CG1949" t="str">
        <f t="shared" si="30"/>
        <v>update valuation set market_land =43400, market_bldg=233000, market_total =276400, market_mdno =401, market_date ='9/10/2023' where link_id = (select link_id from parcel where parcel_year = '2024' and parcel_id = '23092343420');</v>
      </c>
    </row>
    <row r="1950" spans="1:85" x14ac:dyDescent="0.25">
      <c r="A1950">
        <v>23092343421</v>
      </c>
      <c r="B1950">
        <v>0.16</v>
      </c>
      <c r="C1950">
        <v>7050</v>
      </c>
      <c r="D1950" t="s">
        <v>129</v>
      </c>
      <c r="E1950" t="s">
        <v>53</v>
      </c>
      <c r="F1950" t="s">
        <v>53</v>
      </c>
      <c r="G1950">
        <v>4</v>
      </c>
      <c r="H1950" t="s">
        <v>54</v>
      </c>
      <c r="I1950">
        <v>154800</v>
      </c>
      <c r="J1950">
        <v>38600</v>
      </c>
      <c r="K1950">
        <v>0.16</v>
      </c>
      <c r="L195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50">
        <v>0</v>
      </c>
      <c r="N1950">
        <v>0</v>
      </c>
      <c r="O1950">
        <v>0</v>
      </c>
      <c r="P1950">
        <v>13398.7528</v>
      </c>
      <c r="Q1950">
        <v>63903</v>
      </c>
      <c r="R1950">
        <f>(Grandview_Inventory[[#This Row],[ln_acres]]*Grandview_Inventory[[#This Row],[coeff]])+Grandview_Inventory[[#This Row],[const]]</f>
        <v>39348.693981374228</v>
      </c>
      <c r="S1950" t="s">
        <v>61</v>
      </c>
      <c r="T1950">
        <v>1</v>
      </c>
      <c r="U1950" t="s">
        <v>70</v>
      </c>
      <c r="V1950" t="s">
        <v>69</v>
      </c>
      <c r="W1950">
        <v>0</v>
      </c>
      <c r="X1950">
        <v>0</v>
      </c>
      <c r="Y1950">
        <v>42</v>
      </c>
      <c r="Z1950">
        <v>42</v>
      </c>
      <c r="AA1950">
        <v>50</v>
      </c>
      <c r="AB1950">
        <v>1500</v>
      </c>
      <c r="AC1950">
        <v>1064</v>
      </c>
      <c r="AD1950">
        <v>1064</v>
      </c>
      <c r="AE1950">
        <v>0</v>
      </c>
      <c r="AF1950">
        <v>0</v>
      </c>
      <c r="AG1950">
        <v>0</v>
      </c>
      <c r="AH1950">
        <v>0</v>
      </c>
      <c r="AI1950">
        <v>336</v>
      </c>
      <c r="AJ1950">
        <v>0</v>
      </c>
      <c r="AK1950">
        <v>0</v>
      </c>
      <c r="AL1950">
        <v>0</v>
      </c>
      <c r="AM1950">
        <v>0</v>
      </c>
      <c r="AN1950">
        <v>28</v>
      </c>
      <c r="AO1950">
        <v>0</v>
      </c>
      <c r="AP1950">
        <v>5</v>
      </c>
      <c r="AQ1950">
        <v>0</v>
      </c>
      <c r="AR1950">
        <v>0</v>
      </c>
      <c r="AS1950" t="s">
        <v>58</v>
      </c>
      <c r="AT1950">
        <v>1</v>
      </c>
      <c r="AU1950" t="s">
        <v>63</v>
      </c>
      <c r="AV1950" t="s">
        <v>60</v>
      </c>
      <c r="AW1950">
        <v>0</v>
      </c>
      <c r="AX1950">
        <v>3</v>
      </c>
      <c r="AY1950">
        <v>0</v>
      </c>
      <c r="AZ1950">
        <v>0</v>
      </c>
      <c r="BA1950">
        <v>100</v>
      </c>
      <c r="BB1950">
        <v>100</v>
      </c>
      <c r="BC1950">
        <v>100</v>
      </c>
      <c r="BD1950">
        <v>100</v>
      </c>
      <c r="BE1950">
        <v>1</v>
      </c>
      <c r="BF1950">
        <v>15000</v>
      </c>
      <c r="BG1950">
        <v>1000</v>
      </c>
      <c r="BH1950" s="6">
        <f>Grandview_Inventory[[#This Row],[land_extract]]*Lookups!$B$3</f>
        <v>45695.532079096141</v>
      </c>
      <c r="BI1950" s="6">
        <f>IF(Grandview_Inventory[[#This Row],[bldg_style]]="",0,Lookups!$B$2)</f>
        <v>155833.95000000001</v>
      </c>
      <c r="BJ1950" s="6">
        <f>_xlfn.IFNA(VLOOKUP(Grandview_Inventory[[#This Row],[quality]],Lookups!$H$2:$J$14,3,FALSE),0)</f>
        <v>10733</v>
      </c>
      <c r="BK1950" s="6">
        <f>_xlfn.IFNA(VLOOKUP(Grandview_Inventory[[#This Row],[condition]],Lookups!$H$17:$J$24,3,FALSE),0)</f>
        <v>-4503</v>
      </c>
      <c r="BL1950" s="6">
        <f>Grandview_Inventory[[#This Row],[Eff_Age]]*Lookups!$B$14</f>
        <v>-10044.9972</v>
      </c>
      <c r="BM1950" s="6">
        <f>Grandview_Inventory[[#This Row],[living_area]]*Lookups!$B$15</f>
        <v>66373.227591999996</v>
      </c>
      <c r="BN1950" s="6">
        <f>Grandview_Inventory[[#This Row],[Fin BSMT]]*Lookups!$B$16</f>
        <v>0</v>
      </c>
      <c r="BO1950" s="6">
        <f>(Grandview_Inventory[[#This Row],[att_gar]]+Grandview_Inventory[[#This Row],[bltin_gar]])*Lookups!$B$17</f>
        <v>29406.866832</v>
      </c>
      <c r="BP1950" s="6">
        <f>Grandview_Inventory[[#This Row],[Plumbing Fixtures]]*Lookups!$B$18</f>
        <v>10052.209000000001</v>
      </c>
      <c r="BQ1950" s="6">
        <f>Grandview_Inventory[[#This Row],[detatched_value]]*Lookups!$B$19</f>
        <v>0</v>
      </c>
      <c r="BR1950" s="6">
        <f>SUM(Grandview_Inventory[[#This Row],[Intercept]:[det_value]])*Grandview_Inventory[[#This Row],[res_pct]]</f>
        <v>257851.25622400001</v>
      </c>
      <c r="BS1950" s="6">
        <f>Grandview_Inventory[[#This Row],[land_value]]</f>
        <v>45695.532079096141</v>
      </c>
      <c r="BT1950" s="4">
        <f>_xlfn.IFNA(VLOOKUP(Grandview_Inventory[[#This Row],[quality]],Lookups!$A$26:$C$33,3,FALSE),1)</f>
        <v>0.98079741117310582</v>
      </c>
      <c r="BU1950" s="4">
        <f>_xlfn.IFNA(VLOOKUP(Grandview_Inventory[[#This Row],[condition]],Lookups!$A$37:$C$44,3,FALSE),1)</f>
        <v>0.96469275950863709</v>
      </c>
      <c r="BV1950" s="4">
        <f>IF(Grandview_Inventory[[#This Row],[bldg_style]]="",1,_xlfn.IFNA(VLOOKUP(Grandview_Inventory[[#This Row],[decade]],Lookups!$F$29:$H$43,3,FALSE),1))</f>
        <v>0.9871940091910919</v>
      </c>
      <c r="BW1950" s="4">
        <f>_xlfn.IFNA(VLOOKUP(Grandview_Inventory[[#This Row],[living_area_range]],Lookups!$F$47:$H$56,3,FALSE),1)</f>
        <v>0.96135087979789358</v>
      </c>
      <c r="BX1950" s="4">
        <f>AVERAGE(Grandview_Inventory[[#This Row],[qual_adj]:[size_adj]])</f>
        <v>0.97350876491768212</v>
      </c>
      <c r="BY1950" s="6">
        <f>IF(Grandview_Inventory[[#This Row],[pre_res]]&lt;0,0,Grandview_Inventory[[#This Row],[pre_res]]*Grandview_Inventory[[#This Row],[overall_adj]])</f>
        <v>251020.45797909904</v>
      </c>
      <c r="BZ1950" s="6">
        <f>(Grandview_Inventory[[#This Row],[sum_land]]-IF(Grandview_Inventory[[#This Row],[no_utilities]]=1,12000,0))/IF(Grandview_Inventory[[#This Row],[unbuildable]]=1,2,1)</f>
        <v>45695.532079096141</v>
      </c>
      <c r="CA195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50">
        <f>ROUND(Grandview_Inventory[[#This Row],[det_value]]*Lookups!$M$28,-2)</f>
        <v>0</v>
      </c>
      <c r="CC1950">
        <f>IF(ROUND(Grandview_Inventory[[#This Row],[adj_res]]*Lookups!$M$28,-2)&lt;Grandview_Inventory[[#This Row],[min_res]],Grandview_Inventory[[#This Row],[min_res]],ROUND(Grandview_Inventory[[#This Row],[adj_res]]*Lookups!$M$28,-2))</f>
        <v>238500</v>
      </c>
      <c r="CD1950">
        <f>Grandview_Inventory[[#This Row],[final_det]]+Grandview_Inventory[[#This Row],[final_res]]</f>
        <v>238500</v>
      </c>
      <c r="CE1950">
        <f>Grandview_Inventory[[#This Row],[final_land]]+Grandview_Inventory[[#This Row],[final_imp]]+Grandview_Inventory[[#This Row],[crop_value]]</f>
        <v>281900</v>
      </c>
      <c r="CG1950" t="str">
        <f t="shared" si="30"/>
        <v>update valuation set market_land =43400, market_bldg=238500, market_total =281900, market_mdno =401, market_date ='9/10/2023' where link_id = (select link_id from parcel where parcel_year = '2024' and parcel_id = '23092343421');</v>
      </c>
    </row>
    <row r="1951" spans="1:85" x14ac:dyDescent="0.25">
      <c r="A1951">
        <v>23092343422</v>
      </c>
      <c r="B1951">
        <v>0.16</v>
      </c>
      <c r="C1951">
        <v>7050</v>
      </c>
      <c r="D1951" t="s">
        <v>129</v>
      </c>
      <c r="E1951" t="s">
        <v>53</v>
      </c>
      <c r="F1951" t="s">
        <v>53</v>
      </c>
      <c r="G1951">
        <v>4</v>
      </c>
      <c r="H1951" t="s">
        <v>54</v>
      </c>
      <c r="I1951">
        <v>195200</v>
      </c>
      <c r="J1951">
        <v>38600</v>
      </c>
      <c r="K1951">
        <v>0.16</v>
      </c>
      <c r="L195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51">
        <v>0</v>
      </c>
      <c r="N1951">
        <v>0</v>
      </c>
      <c r="O1951">
        <v>0</v>
      </c>
      <c r="P1951">
        <v>13398.7528</v>
      </c>
      <c r="Q1951">
        <v>63903</v>
      </c>
      <c r="R1951">
        <f>(Grandview_Inventory[[#This Row],[ln_acres]]*Grandview_Inventory[[#This Row],[coeff]])+Grandview_Inventory[[#This Row],[const]]</f>
        <v>39348.693981374228</v>
      </c>
      <c r="S1951" t="s">
        <v>61</v>
      </c>
      <c r="T1951">
        <v>1</v>
      </c>
      <c r="U1951" t="s">
        <v>65</v>
      </c>
      <c r="V1951" t="s">
        <v>67</v>
      </c>
      <c r="W1951">
        <v>0</v>
      </c>
      <c r="X1951">
        <v>0</v>
      </c>
      <c r="Y1951">
        <v>40</v>
      </c>
      <c r="Z1951">
        <v>42</v>
      </c>
      <c r="AA1951">
        <v>50</v>
      </c>
      <c r="AB1951">
        <v>1500</v>
      </c>
      <c r="AC1951">
        <v>1024</v>
      </c>
      <c r="AD1951">
        <v>1024</v>
      </c>
      <c r="AE1951">
        <v>0</v>
      </c>
      <c r="AF1951">
        <v>0</v>
      </c>
      <c r="AG1951">
        <v>0</v>
      </c>
      <c r="AH1951">
        <v>0</v>
      </c>
      <c r="AI1951">
        <v>336</v>
      </c>
      <c r="AJ1951">
        <v>0</v>
      </c>
      <c r="AK1951">
        <v>0</v>
      </c>
      <c r="AL1951">
        <v>0</v>
      </c>
      <c r="AM1951">
        <v>0</v>
      </c>
      <c r="AN1951">
        <v>32</v>
      </c>
      <c r="AO1951">
        <v>0</v>
      </c>
      <c r="AP1951">
        <v>5</v>
      </c>
      <c r="AQ1951">
        <v>0</v>
      </c>
      <c r="AR1951">
        <v>0</v>
      </c>
      <c r="AS1951" t="s">
        <v>58</v>
      </c>
      <c r="AT1951">
        <v>1</v>
      </c>
      <c r="AU1951" t="s">
        <v>63</v>
      </c>
      <c r="AV1951" t="s">
        <v>60</v>
      </c>
      <c r="AW1951">
        <v>1</v>
      </c>
      <c r="AX1951">
        <v>3</v>
      </c>
      <c r="AY1951">
        <v>0</v>
      </c>
      <c r="AZ1951">
        <v>0</v>
      </c>
      <c r="BA1951">
        <v>100</v>
      </c>
      <c r="BB1951">
        <v>100</v>
      </c>
      <c r="BC1951">
        <v>100</v>
      </c>
      <c r="BD1951">
        <v>100</v>
      </c>
      <c r="BE1951">
        <v>1</v>
      </c>
      <c r="BF1951">
        <v>15000</v>
      </c>
      <c r="BG1951">
        <v>1000</v>
      </c>
      <c r="BH1951" s="6">
        <f>Grandview_Inventory[[#This Row],[land_extract]]*Lookups!$B$3</f>
        <v>45695.532079096141</v>
      </c>
      <c r="BI1951" s="6">
        <f>IF(Grandview_Inventory[[#This Row],[bldg_style]]="",0,Lookups!$B$2)</f>
        <v>155833.95000000001</v>
      </c>
      <c r="BJ1951" s="6">
        <f>_xlfn.IFNA(VLOOKUP(Grandview_Inventory[[#This Row],[quality]],Lookups!$H$2:$J$14,3,FALSE),0)</f>
        <v>2251</v>
      </c>
      <c r="BK1951" s="6">
        <f>_xlfn.IFNA(VLOOKUP(Grandview_Inventory[[#This Row],[condition]],Lookups!$H$17:$J$24,3,FALSE),0)</f>
        <v>22342</v>
      </c>
      <c r="BL1951" s="6">
        <f>Grandview_Inventory[[#This Row],[Eff_Age]]*Lookups!$B$14</f>
        <v>-9566.6639999999989</v>
      </c>
      <c r="BM1951" s="6">
        <f>Grandview_Inventory[[#This Row],[living_area]]*Lookups!$B$15</f>
        <v>63877.993472000002</v>
      </c>
      <c r="BN1951" s="6">
        <f>Grandview_Inventory[[#This Row],[Fin BSMT]]*Lookups!$B$16</f>
        <v>0</v>
      </c>
      <c r="BO1951" s="6">
        <f>(Grandview_Inventory[[#This Row],[att_gar]]+Grandview_Inventory[[#This Row],[bltin_gar]])*Lookups!$B$17</f>
        <v>29406.866832</v>
      </c>
      <c r="BP1951" s="6">
        <f>Grandview_Inventory[[#This Row],[Plumbing Fixtures]]*Lookups!$B$18</f>
        <v>10052.209000000001</v>
      </c>
      <c r="BQ1951" s="6">
        <f>Grandview_Inventory[[#This Row],[detatched_value]]*Lookups!$B$19</f>
        <v>0</v>
      </c>
      <c r="BR1951" s="6">
        <f>SUM(Grandview_Inventory[[#This Row],[Intercept]:[det_value]])*Grandview_Inventory[[#This Row],[res_pct]]</f>
        <v>274197.35530400003</v>
      </c>
      <c r="BS1951" s="6">
        <f>Grandview_Inventory[[#This Row],[land_value]]</f>
        <v>45695.532079096141</v>
      </c>
      <c r="BT1951" s="4">
        <f>_xlfn.IFNA(VLOOKUP(Grandview_Inventory[[#This Row],[quality]],Lookups!$A$26:$C$33,3,FALSE),1)</f>
        <v>0.98763855981004833</v>
      </c>
      <c r="BU1951" s="4">
        <f>_xlfn.IFNA(VLOOKUP(Grandview_Inventory[[#This Row],[condition]],Lookups!$A$37:$C$44,3,FALSE),1)</f>
        <v>0.97383723671140243</v>
      </c>
      <c r="BV1951" s="4">
        <f>IF(Grandview_Inventory[[#This Row],[bldg_style]]="",1,_xlfn.IFNA(VLOOKUP(Grandview_Inventory[[#This Row],[decade]],Lookups!$F$29:$H$43,3,FALSE),1))</f>
        <v>0.9871940091910919</v>
      </c>
      <c r="BW1951" s="4">
        <f>_xlfn.IFNA(VLOOKUP(Grandview_Inventory[[#This Row],[living_area_range]],Lookups!$F$47:$H$56,3,FALSE),1)</f>
        <v>0.96135087979789358</v>
      </c>
      <c r="BX1951" s="4">
        <f>AVERAGE(Grandview_Inventory[[#This Row],[qual_adj]:[size_adj]])</f>
        <v>0.97750517137760906</v>
      </c>
      <c r="BY1951" s="6">
        <f>IF(Grandview_Inventory[[#This Row],[pre_res]]&lt;0,0,Grandview_Inventory[[#This Row],[pre_res]]*Grandview_Inventory[[#This Row],[overall_adj]])</f>
        <v>268029.33278772369</v>
      </c>
      <c r="BZ1951" s="6">
        <f>(Grandview_Inventory[[#This Row],[sum_land]]-IF(Grandview_Inventory[[#This Row],[no_utilities]]=1,12000,0))/IF(Grandview_Inventory[[#This Row],[unbuildable]]=1,2,1)</f>
        <v>45695.532079096141</v>
      </c>
      <c r="CA195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51">
        <f>ROUND(Grandview_Inventory[[#This Row],[det_value]]*Lookups!$M$28,-2)</f>
        <v>0</v>
      </c>
      <c r="CC1951">
        <f>IF(ROUND(Grandview_Inventory[[#This Row],[adj_res]]*Lookups!$M$28,-2)&lt;Grandview_Inventory[[#This Row],[min_res]],Grandview_Inventory[[#This Row],[min_res]],ROUND(Grandview_Inventory[[#This Row],[adj_res]]*Lookups!$M$28,-2))</f>
        <v>254600</v>
      </c>
      <c r="CD1951">
        <f>Grandview_Inventory[[#This Row],[final_det]]+Grandview_Inventory[[#This Row],[final_res]]</f>
        <v>254600</v>
      </c>
      <c r="CE1951">
        <f>Grandview_Inventory[[#This Row],[final_land]]+Grandview_Inventory[[#This Row],[final_imp]]+Grandview_Inventory[[#This Row],[crop_value]]</f>
        <v>298000</v>
      </c>
      <c r="CG1951" t="str">
        <f t="shared" si="30"/>
        <v>update valuation set market_land =43400, market_bldg=254600, market_total =298000, market_mdno =401, market_date ='9/10/2023' where link_id = (select link_id from parcel where parcel_year = '2024' and parcel_id = '23092343422');</v>
      </c>
    </row>
    <row r="1952" spans="1:85" x14ac:dyDescent="0.25">
      <c r="A1952">
        <v>23092343423</v>
      </c>
      <c r="B1952">
        <v>0.19</v>
      </c>
      <c r="C1952">
        <v>8371</v>
      </c>
      <c r="D1952" t="s">
        <v>129</v>
      </c>
      <c r="E1952" t="s">
        <v>53</v>
      </c>
      <c r="F1952" t="s">
        <v>53</v>
      </c>
      <c r="G1952">
        <v>4</v>
      </c>
      <c r="H1952" t="s">
        <v>54</v>
      </c>
      <c r="I1952">
        <v>152000</v>
      </c>
      <c r="J1952">
        <v>39100</v>
      </c>
      <c r="K1952">
        <v>0.19</v>
      </c>
      <c r="L195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952">
        <v>0</v>
      </c>
      <c r="N1952">
        <v>0</v>
      </c>
      <c r="O1952">
        <v>0</v>
      </c>
      <c r="P1952">
        <v>13398.7528</v>
      </c>
      <c r="Q1952">
        <v>63903</v>
      </c>
      <c r="R1952">
        <f>(Grandview_Inventory[[#This Row],[ln_acres]]*Grandview_Inventory[[#This Row],[coeff]])+Grandview_Inventory[[#This Row],[const]]</f>
        <v>41651.273092551026</v>
      </c>
      <c r="S1952" t="s">
        <v>61</v>
      </c>
      <c r="T1952">
        <v>1</v>
      </c>
      <c r="U1952" t="s">
        <v>70</v>
      </c>
      <c r="V1952" t="s">
        <v>69</v>
      </c>
      <c r="W1952">
        <v>0</v>
      </c>
      <c r="X1952">
        <v>0</v>
      </c>
      <c r="Y1952">
        <v>42</v>
      </c>
      <c r="Z1952">
        <v>42</v>
      </c>
      <c r="AA1952">
        <v>50</v>
      </c>
      <c r="AB1952">
        <v>1500</v>
      </c>
      <c r="AC1952">
        <v>1008</v>
      </c>
      <c r="AD1952">
        <v>1008</v>
      </c>
      <c r="AE1952">
        <v>0</v>
      </c>
      <c r="AF1952">
        <v>0</v>
      </c>
      <c r="AG1952">
        <v>0</v>
      </c>
      <c r="AH1952">
        <v>0</v>
      </c>
      <c r="AI1952">
        <v>336</v>
      </c>
      <c r="AJ1952">
        <v>0</v>
      </c>
      <c r="AK1952">
        <v>0</v>
      </c>
      <c r="AL1952">
        <v>0</v>
      </c>
      <c r="AM1952">
        <v>0</v>
      </c>
      <c r="AN1952">
        <v>80</v>
      </c>
      <c r="AO1952">
        <v>0</v>
      </c>
      <c r="AP1952">
        <v>5</v>
      </c>
      <c r="AQ1952">
        <v>0</v>
      </c>
      <c r="AR1952">
        <v>0</v>
      </c>
      <c r="AS1952" t="s">
        <v>58</v>
      </c>
      <c r="AT1952">
        <v>1</v>
      </c>
      <c r="AU1952" t="s">
        <v>63</v>
      </c>
      <c r="AV1952" t="s">
        <v>60</v>
      </c>
      <c r="AW1952">
        <v>0</v>
      </c>
      <c r="AX1952">
        <v>3</v>
      </c>
      <c r="AY1952">
        <v>0</v>
      </c>
      <c r="AZ1952">
        <v>0</v>
      </c>
      <c r="BA1952">
        <v>100</v>
      </c>
      <c r="BB1952">
        <v>100</v>
      </c>
      <c r="BC1952">
        <v>100</v>
      </c>
      <c r="BD1952">
        <v>100</v>
      </c>
      <c r="BE1952">
        <v>1</v>
      </c>
      <c r="BF1952">
        <v>15000</v>
      </c>
      <c r="BG1952">
        <v>1000</v>
      </c>
      <c r="BH1952" s="6">
        <f>Grandview_Inventory[[#This Row],[land_extract]]*Lookups!$B$3</f>
        <v>48369.510983942157</v>
      </c>
      <c r="BI1952" s="6">
        <f>IF(Grandview_Inventory[[#This Row],[bldg_style]]="",0,Lookups!$B$2)</f>
        <v>155833.95000000001</v>
      </c>
      <c r="BJ1952" s="6">
        <f>_xlfn.IFNA(VLOOKUP(Grandview_Inventory[[#This Row],[quality]],Lookups!$H$2:$J$14,3,FALSE),0)</f>
        <v>10733</v>
      </c>
      <c r="BK1952" s="6">
        <f>_xlfn.IFNA(VLOOKUP(Grandview_Inventory[[#This Row],[condition]],Lookups!$H$17:$J$24,3,FALSE),0)</f>
        <v>-4503</v>
      </c>
      <c r="BL1952" s="6">
        <f>Grandview_Inventory[[#This Row],[Eff_Age]]*Lookups!$B$14</f>
        <v>-10044.9972</v>
      </c>
      <c r="BM1952" s="6">
        <f>Grandview_Inventory[[#This Row],[living_area]]*Lookups!$B$15</f>
        <v>62879.899824</v>
      </c>
      <c r="BN1952" s="6">
        <f>Grandview_Inventory[[#This Row],[Fin BSMT]]*Lookups!$B$16</f>
        <v>0</v>
      </c>
      <c r="BO1952" s="6">
        <f>(Grandview_Inventory[[#This Row],[att_gar]]+Grandview_Inventory[[#This Row],[bltin_gar]])*Lookups!$B$17</f>
        <v>29406.866832</v>
      </c>
      <c r="BP1952" s="6">
        <f>Grandview_Inventory[[#This Row],[Plumbing Fixtures]]*Lookups!$B$18</f>
        <v>10052.209000000001</v>
      </c>
      <c r="BQ1952" s="6">
        <f>Grandview_Inventory[[#This Row],[detatched_value]]*Lookups!$B$19</f>
        <v>0</v>
      </c>
      <c r="BR1952" s="6">
        <f>SUM(Grandview_Inventory[[#This Row],[Intercept]:[det_value]])*Grandview_Inventory[[#This Row],[res_pct]]</f>
        <v>254357.92845599999</v>
      </c>
      <c r="BS1952" s="6">
        <f>Grandview_Inventory[[#This Row],[land_value]]</f>
        <v>48369.510983942157</v>
      </c>
      <c r="BT1952" s="4">
        <f>_xlfn.IFNA(VLOOKUP(Grandview_Inventory[[#This Row],[quality]],Lookups!$A$26:$C$33,3,FALSE),1)</f>
        <v>0.98079741117310582</v>
      </c>
      <c r="BU1952" s="4">
        <f>_xlfn.IFNA(VLOOKUP(Grandview_Inventory[[#This Row],[condition]],Lookups!$A$37:$C$44,3,FALSE),1)</f>
        <v>0.96469275950863709</v>
      </c>
      <c r="BV1952" s="4">
        <f>IF(Grandview_Inventory[[#This Row],[bldg_style]]="",1,_xlfn.IFNA(VLOOKUP(Grandview_Inventory[[#This Row],[decade]],Lookups!$F$29:$H$43,3,FALSE),1))</f>
        <v>0.9871940091910919</v>
      </c>
      <c r="BW1952" s="4">
        <f>_xlfn.IFNA(VLOOKUP(Grandview_Inventory[[#This Row],[living_area_range]],Lookups!$F$47:$H$56,3,FALSE),1)</f>
        <v>0.96135087979789358</v>
      </c>
      <c r="BX1952" s="4">
        <f>AVERAGE(Grandview_Inventory[[#This Row],[qual_adj]:[size_adj]])</f>
        <v>0.97350876491768212</v>
      </c>
      <c r="BY1952" s="6">
        <f>IF(Grandview_Inventory[[#This Row],[pre_res]]&lt;0,0,Grandview_Inventory[[#This Row],[pre_res]]*Grandview_Inventory[[#This Row],[overall_adj]])</f>
        <v>247619.6727782207</v>
      </c>
      <c r="BZ1952" s="6">
        <f>(Grandview_Inventory[[#This Row],[sum_land]]-IF(Grandview_Inventory[[#This Row],[no_utilities]]=1,12000,0))/IF(Grandview_Inventory[[#This Row],[unbuildable]]=1,2,1)</f>
        <v>48369.510983942157</v>
      </c>
      <c r="CA195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952">
        <f>ROUND(Grandview_Inventory[[#This Row],[det_value]]*Lookups!$M$28,-2)</f>
        <v>0</v>
      </c>
      <c r="CC1952">
        <f>IF(ROUND(Grandview_Inventory[[#This Row],[adj_res]]*Lookups!$M$28,-2)&lt;Grandview_Inventory[[#This Row],[min_res]],Grandview_Inventory[[#This Row],[min_res]],ROUND(Grandview_Inventory[[#This Row],[adj_res]]*Lookups!$M$28,-2))</f>
        <v>235200</v>
      </c>
      <c r="CD1952">
        <f>Grandview_Inventory[[#This Row],[final_det]]+Grandview_Inventory[[#This Row],[final_res]]</f>
        <v>235200</v>
      </c>
      <c r="CE1952">
        <f>Grandview_Inventory[[#This Row],[final_land]]+Grandview_Inventory[[#This Row],[final_imp]]+Grandview_Inventory[[#This Row],[crop_value]]</f>
        <v>281200</v>
      </c>
      <c r="CG1952" t="str">
        <f t="shared" si="30"/>
        <v>update valuation set market_land =46000, market_bldg=235200, market_total =281200, market_mdno =401, market_date ='9/10/2023' where link_id = (select link_id from parcel where parcel_year = '2024' and parcel_id = '23092343423');</v>
      </c>
    </row>
    <row r="1953" spans="1:85" x14ac:dyDescent="0.25">
      <c r="A1953">
        <v>23092343424</v>
      </c>
      <c r="B1953">
        <v>0.18</v>
      </c>
      <c r="C1953">
        <v>8046</v>
      </c>
      <c r="D1953" t="s">
        <v>129</v>
      </c>
      <c r="E1953" t="s">
        <v>53</v>
      </c>
      <c r="F1953" t="s">
        <v>53</v>
      </c>
      <c r="G1953">
        <v>4</v>
      </c>
      <c r="H1953" t="s">
        <v>54</v>
      </c>
      <c r="I1953">
        <v>170000</v>
      </c>
      <c r="J1953">
        <v>39000</v>
      </c>
      <c r="K1953">
        <v>0.18</v>
      </c>
      <c r="L195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53">
        <v>0</v>
      </c>
      <c r="N1953">
        <v>0</v>
      </c>
      <c r="O1953">
        <v>0</v>
      </c>
      <c r="P1953">
        <v>13398.7528</v>
      </c>
      <c r="Q1953">
        <v>63903</v>
      </c>
      <c r="R1953">
        <f>(Grandview_Inventory[[#This Row],[ln_acres]]*Grandview_Inventory[[#This Row],[coeff]])+Grandview_Inventory[[#This Row],[const]]</f>
        <v>40926.839760167699</v>
      </c>
      <c r="S1953" t="s">
        <v>61</v>
      </c>
      <c r="T1953">
        <v>1</v>
      </c>
      <c r="U1953" t="s">
        <v>70</v>
      </c>
      <c r="V1953" t="s">
        <v>69</v>
      </c>
      <c r="W1953">
        <v>0</v>
      </c>
      <c r="X1953">
        <v>0</v>
      </c>
      <c r="Y1953">
        <v>42</v>
      </c>
      <c r="Z1953">
        <v>42</v>
      </c>
      <c r="AA1953">
        <v>50</v>
      </c>
      <c r="AB1953">
        <v>1500</v>
      </c>
      <c r="AC1953">
        <v>1024</v>
      </c>
      <c r="AD1953">
        <v>1024</v>
      </c>
      <c r="AE1953">
        <v>0</v>
      </c>
      <c r="AF1953">
        <v>0</v>
      </c>
      <c r="AG1953">
        <v>0</v>
      </c>
      <c r="AH1953">
        <v>0</v>
      </c>
      <c r="AI1953">
        <v>336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6</v>
      </c>
      <c r="AQ1953">
        <v>0</v>
      </c>
      <c r="AR1953">
        <v>0</v>
      </c>
      <c r="AS1953" t="s">
        <v>58</v>
      </c>
      <c r="AT1953">
        <v>1</v>
      </c>
      <c r="AU1953" t="s">
        <v>63</v>
      </c>
      <c r="AV1953" t="s">
        <v>60</v>
      </c>
      <c r="AW1953">
        <v>1</v>
      </c>
      <c r="AX1953">
        <v>3</v>
      </c>
      <c r="AY1953">
        <v>0</v>
      </c>
      <c r="AZ1953">
        <v>0</v>
      </c>
      <c r="BA1953">
        <v>100</v>
      </c>
      <c r="BB1953">
        <v>100</v>
      </c>
      <c r="BC1953">
        <v>100</v>
      </c>
      <c r="BD1953">
        <v>100</v>
      </c>
      <c r="BE1953">
        <v>1</v>
      </c>
      <c r="BF1953">
        <v>15000</v>
      </c>
      <c r="BG1953">
        <v>1000</v>
      </c>
      <c r="BH1953" s="6">
        <f>Grandview_Inventory[[#This Row],[land_extract]]*Lookups!$B$3</f>
        <v>47528.228511015397</v>
      </c>
      <c r="BI1953" s="6">
        <f>IF(Grandview_Inventory[[#This Row],[bldg_style]]="",0,Lookups!$B$2)</f>
        <v>155833.95000000001</v>
      </c>
      <c r="BJ1953" s="6">
        <f>_xlfn.IFNA(VLOOKUP(Grandview_Inventory[[#This Row],[quality]],Lookups!$H$2:$J$14,3,FALSE),0)</f>
        <v>10733</v>
      </c>
      <c r="BK1953" s="6">
        <f>_xlfn.IFNA(VLOOKUP(Grandview_Inventory[[#This Row],[condition]],Lookups!$H$17:$J$24,3,FALSE),0)</f>
        <v>-4503</v>
      </c>
      <c r="BL1953" s="6">
        <f>Grandview_Inventory[[#This Row],[Eff_Age]]*Lookups!$B$14</f>
        <v>-10044.9972</v>
      </c>
      <c r="BM1953" s="6">
        <f>Grandview_Inventory[[#This Row],[living_area]]*Lookups!$B$15</f>
        <v>63877.993472000002</v>
      </c>
      <c r="BN1953" s="6">
        <f>Grandview_Inventory[[#This Row],[Fin BSMT]]*Lookups!$B$16</f>
        <v>0</v>
      </c>
      <c r="BO1953" s="6">
        <f>(Grandview_Inventory[[#This Row],[att_gar]]+Grandview_Inventory[[#This Row],[bltin_gar]])*Lookups!$B$17</f>
        <v>29406.866832</v>
      </c>
      <c r="BP1953" s="6">
        <f>Grandview_Inventory[[#This Row],[Plumbing Fixtures]]*Lookups!$B$18</f>
        <v>12062.650799999999</v>
      </c>
      <c r="BQ1953" s="6">
        <f>Grandview_Inventory[[#This Row],[detatched_value]]*Lookups!$B$19</f>
        <v>0</v>
      </c>
      <c r="BR1953" s="6">
        <f>SUM(Grandview_Inventory[[#This Row],[Intercept]:[det_value]])*Grandview_Inventory[[#This Row],[res_pct]]</f>
        <v>257366.463904</v>
      </c>
      <c r="BS1953" s="6">
        <f>Grandview_Inventory[[#This Row],[land_value]]</f>
        <v>47528.228511015397</v>
      </c>
      <c r="BT1953" s="4">
        <f>_xlfn.IFNA(VLOOKUP(Grandview_Inventory[[#This Row],[quality]],Lookups!$A$26:$C$33,3,FALSE),1)</f>
        <v>0.98079741117310582</v>
      </c>
      <c r="BU1953" s="4">
        <f>_xlfn.IFNA(VLOOKUP(Grandview_Inventory[[#This Row],[condition]],Lookups!$A$37:$C$44,3,FALSE),1)</f>
        <v>0.96469275950863709</v>
      </c>
      <c r="BV1953" s="4">
        <f>IF(Grandview_Inventory[[#This Row],[bldg_style]]="",1,_xlfn.IFNA(VLOOKUP(Grandview_Inventory[[#This Row],[decade]],Lookups!$F$29:$H$43,3,FALSE),1))</f>
        <v>0.9871940091910919</v>
      </c>
      <c r="BW1953" s="4">
        <f>_xlfn.IFNA(VLOOKUP(Grandview_Inventory[[#This Row],[living_area_range]],Lookups!$F$47:$H$56,3,FALSE),1)</f>
        <v>0.96135087979789358</v>
      </c>
      <c r="BX1953" s="4">
        <f>AVERAGE(Grandview_Inventory[[#This Row],[qual_adj]:[size_adj]])</f>
        <v>0.97350876491768212</v>
      </c>
      <c r="BY1953" s="6">
        <f>IF(Grandview_Inventory[[#This Row],[pre_res]]&lt;0,0,Grandview_Inventory[[#This Row],[pre_res]]*Grandview_Inventory[[#This Row],[overall_adj]])</f>
        <v>250548.50840641427</v>
      </c>
      <c r="BZ1953" s="6">
        <f>(Grandview_Inventory[[#This Row],[sum_land]]-IF(Grandview_Inventory[[#This Row],[no_utilities]]=1,12000,0))/IF(Grandview_Inventory[[#This Row],[unbuildable]]=1,2,1)</f>
        <v>47528.228511015397</v>
      </c>
      <c r="CA195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53">
        <f>ROUND(Grandview_Inventory[[#This Row],[det_value]]*Lookups!$M$28,-2)</f>
        <v>0</v>
      </c>
      <c r="CC1953">
        <f>IF(ROUND(Grandview_Inventory[[#This Row],[adj_res]]*Lookups!$M$28,-2)&lt;Grandview_Inventory[[#This Row],[min_res]],Grandview_Inventory[[#This Row],[min_res]],ROUND(Grandview_Inventory[[#This Row],[adj_res]]*Lookups!$M$28,-2))</f>
        <v>238000</v>
      </c>
      <c r="CD1953">
        <f>Grandview_Inventory[[#This Row],[final_det]]+Grandview_Inventory[[#This Row],[final_res]]</f>
        <v>238000</v>
      </c>
      <c r="CE1953">
        <f>Grandview_Inventory[[#This Row],[final_land]]+Grandview_Inventory[[#This Row],[final_imp]]+Grandview_Inventory[[#This Row],[crop_value]]</f>
        <v>283200</v>
      </c>
      <c r="CG1953" t="str">
        <f t="shared" si="30"/>
        <v>update valuation set market_land =45200, market_bldg=238000, market_total =283200, market_mdno =401, market_date ='9/10/2023' where link_id = (select link_id from parcel where parcel_year = '2024' and parcel_id = '23092343424');</v>
      </c>
    </row>
    <row r="1954" spans="1:85" x14ac:dyDescent="0.25">
      <c r="A1954">
        <v>23092343425</v>
      </c>
      <c r="B1954">
        <v>0.17</v>
      </c>
      <c r="C1954">
        <v>7200</v>
      </c>
      <c r="D1954" t="s">
        <v>129</v>
      </c>
      <c r="E1954" t="s">
        <v>53</v>
      </c>
      <c r="F1954" t="s">
        <v>53</v>
      </c>
      <c r="G1954">
        <v>4</v>
      </c>
      <c r="H1954" t="s">
        <v>54</v>
      </c>
      <c r="I1954">
        <v>154700</v>
      </c>
      <c r="J1954">
        <v>38800</v>
      </c>
      <c r="K1954">
        <v>0.17</v>
      </c>
      <c r="L195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54">
        <v>0</v>
      </c>
      <c r="N1954">
        <v>0</v>
      </c>
      <c r="O1954">
        <v>0</v>
      </c>
      <c r="P1954">
        <v>13398.7528</v>
      </c>
      <c r="Q1954">
        <v>63903</v>
      </c>
      <c r="R1954">
        <f>(Grandview_Inventory[[#This Row],[ln_acres]]*Grandview_Inventory[[#This Row],[coeff]])+Grandview_Inventory[[#This Row],[const]]</f>
        <v>40160.988302686128</v>
      </c>
      <c r="S1954" t="s">
        <v>61</v>
      </c>
      <c r="T1954">
        <v>1</v>
      </c>
      <c r="U1954" t="s">
        <v>70</v>
      </c>
      <c r="V1954" t="s">
        <v>69</v>
      </c>
      <c r="W1954">
        <v>0</v>
      </c>
      <c r="X1954">
        <v>0</v>
      </c>
      <c r="Y1954">
        <v>43</v>
      </c>
      <c r="Z1954">
        <v>43</v>
      </c>
      <c r="AA1954">
        <v>50</v>
      </c>
      <c r="AB1954">
        <v>1500</v>
      </c>
      <c r="AC1954">
        <v>1050</v>
      </c>
      <c r="AD1954">
        <v>1050</v>
      </c>
      <c r="AE1954">
        <v>0</v>
      </c>
      <c r="AF1954">
        <v>0</v>
      </c>
      <c r="AG1954">
        <v>0</v>
      </c>
      <c r="AH1954">
        <v>0</v>
      </c>
      <c r="AI1954">
        <v>350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5</v>
      </c>
      <c r="AQ1954">
        <v>0</v>
      </c>
      <c r="AR1954">
        <v>0</v>
      </c>
      <c r="AS1954" t="s">
        <v>58</v>
      </c>
      <c r="AT1954">
        <v>1</v>
      </c>
      <c r="AU1954" t="s">
        <v>63</v>
      </c>
      <c r="AV1954" t="s">
        <v>60</v>
      </c>
      <c r="AW1954">
        <v>0</v>
      </c>
      <c r="AX1954">
        <v>3</v>
      </c>
      <c r="AY1954">
        <v>0</v>
      </c>
      <c r="AZ1954">
        <v>0</v>
      </c>
      <c r="BA1954">
        <v>100</v>
      </c>
      <c r="BB1954">
        <v>100</v>
      </c>
      <c r="BC1954">
        <v>100</v>
      </c>
      <c r="BD1954">
        <v>100</v>
      </c>
      <c r="BE1954">
        <v>1</v>
      </c>
      <c r="BF1954">
        <v>15000</v>
      </c>
      <c r="BG1954">
        <v>1000</v>
      </c>
      <c r="BH1954" s="6">
        <f>Grandview_Inventory[[#This Row],[land_extract]]*Lookups!$B$3</f>
        <v>46638.847281240982</v>
      </c>
      <c r="BI1954" s="6">
        <f>IF(Grandview_Inventory[[#This Row],[bldg_style]]="",0,Lookups!$B$2)</f>
        <v>155833.95000000001</v>
      </c>
      <c r="BJ1954" s="6">
        <f>_xlfn.IFNA(VLOOKUP(Grandview_Inventory[[#This Row],[quality]],Lookups!$H$2:$J$14,3,FALSE),0)</f>
        <v>10733</v>
      </c>
      <c r="BK1954" s="6">
        <f>_xlfn.IFNA(VLOOKUP(Grandview_Inventory[[#This Row],[condition]],Lookups!$H$17:$J$24,3,FALSE),0)</f>
        <v>-4503</v>
      </c>
      <c r="BL1954" s="6">
        <f>Grandview_Inventory[[#This Row],[Eff_Age]]*Lookups!$B$14</f>
        <v>-10284.1638</v>
      </c>
      <c r="BM1954" s="6">
        <f>Grandview_Inventory[[#This Row],[living_area]]*Lookups!$B$15</f>
        <v>65499.895649999999</v>
      </c>
      <c r="BN1954" s="6">
        <f>Grandview_Inventory[[#This Row],[Fin BSMT]]*Lookups!$B$16</f>
        <v>0</v>
      </c>
      <c r="BO1954" s="6">
        <f>(Grandview_Inventory[[#This Row],[att_gar]]+Grandview_Inventory[[#This Row],[bltin_gar]])*Lookups!$B$17</f>
        <v>30632.15295</v>
      </c>
      <c r="BP1954" s="6">
        <f>Grandview_Inventory[[#This Row],[Plumbing Fixtures]]*Lookups!$B$18</f>
        <v>10052.209000000001</v>
      </c>
      <c r="BQ1954" s="6">
        <f>Grandview_Inventory[[#This Row],[detatched_value]]*Lookups!$B$19</f>
        <v>0</v>
      </c>
      <c r="BR1954" s="6">
        <f>SUM(Grandview_Inventory[[#This Row],[Intercept]:[det_value]])*Grandview_Inventory[[#This Row],[res_pct]]</f>
        <v>257964.04379999998</v>
      </c>
      <c r="BS1954" s="6">
        <f>Grandview_Inventory[[#This Row],[land_value]]</f>
        <v>46638.847281240982</v>
      </c>
      <c r="BT1954" s="4">
        <f>_xlfn.IFNA(VLOOKUP(Grandview_Inventory[[#This Row],[quality]],Lookups!$A$26:$C$33,3,FALSE),1)</f>
        <v>0.98079741117310582</v>
      </c>
      <c r="BU1954" s="4">
        <f>_xlfn.IFNA(VLOOKUP(Grandview_Inventory[[#This Row],[condition]],Lookups!$A$37:$C$44,3,FALSE),1)</f>
        <v>0.96469275950863709</v>
      </c>
      <c r="BV1954" s="4">
        <f>IF(Grandview_Inventory[[#This Row],[bldg_style]]="",1,_xlfn.IFNA(VLOOKUP(Grandview_Inventory[[#This Row],[decade]],Lookups!$F$29:$H$43,3,FALSE),1))</f>
        <v>0.9871940091910919</v>
      </c>
      <c r="BW1954" s="4">
        <f>_xlfn.IFNA(VLOOKUP(Grandview_Inventory[[#This Row],[living_area_range]],Lookups!$F$47:$H$56,3,FALSE),1)</f>
        <v>0.96135087979789358</v>
      </c>
      <c r="BX1954" s="4">
        <f>AVERAGE(Grandview_Inventory[[#This Row],[qual_adj]:[size_adj]])</f>
        <v>0.97350876491768212</v>
      </c>
      <c r="BY1954" s="6">
        <f>IF(Grandview_Inventory[[#This Row],[pre_res]]&lt;0,0,Grandview_Inventory[[#This Row],[pre_res]]*Grandview_Inventory[[#This Row],[overall_adj]])</f>
        <v>251130.25767290883</v>
      </c>
      <c r="BZ1954" s="6">
        <f>(Grandview_Inventory[[#This Row],[sum_land]]-IF(Grandview_Inventory[[#This Row],[no_utilities]]=1,12000,0))/IF(Grandview_Inventory[[#This Row],[unbuildable]]=1,2,1)</f>
        <v>46638.847281240982</v>
      </c>
      <c r="CA195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54">
        <f>ROUND(Grandview_Inventory[[#This Row],[det_value]]*Lookups!$M$28,-2)</f>
        <v>0</v>
      </c>
      <c r="CC1954">
        <f>IF(ROUND(Grandview_Inventory[[#This Row],[adj_res]]*Lookups!$M$28,-2)&lt;Grandview_Inventory[[#This Row],[min_res]],Grandview_Inventory[[#This Row],[min_res]],ROUND(Grandview_Inventory[[#This Row],[adj_res]]*Lookups!$M$28,-2))</f>
        <v>238600</v>
      </c>
      <c r="CD1954">
        <f>Grandview_Inventory[[#This Row],[final_det]]+Grandview_Inventory[[#This Row],[final_res]]</f>
        <v>238600</v>
      </c>
      <c r="CE1954">
        <f>Grandview_Inventory[[#This Row],[final_land]]+Grandview_Inventory[[#This Row],[final_imp]]+Grandview_Inventory[[#This Row],[crop_value]]</f>
        <v>282900</v>
      </c>
      <c r="CG1954" t="str">
        <f t="shared" si="30"/>
        <v>update valuation set market_land =44300, market_bldg=238600, market_total =282900, market_mdno =401, market_date ='9/10/2023' where link_id = (select link_id from parcel where parcel_year = '2024' and parcel_id = '23092343425');</v>
      </c>
    </row>
    <row r="1955" spans="1:85" x14ac:dyDescent="0.25">
      <c r="A1955">
        <v>23092343426</v>
      </c>
      <c r="B1955">
        <v>0.17</v>
      </c>
      <c r="C1955">
        <v>7200</v>
      </c>
      <c r="D1955" t="s">
        <v>129</v>
      </c>
      <c r="E1955" t="s">
        <v>53</v>
      </c>
      <c r="F1955" t="s">
        <v>53</v>
      </c>
      <c r="G1955">
        <v>4</v>
      </c>
      <c r="H1955" t="s">
        <v>54</v>
      </c>
      <c r="I1955">
        <v>153400</v>
      </c>
      <c r="J1955">
        <v>38800</v>
      </c>
      <c r="K1955">
        <v>0.17</v>
      </c>
      <c r="L195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55">
        <v>0</v>
      </c>
      <c r="N1955">
        <v>0</v>
      </c>
      <c r="O1955">
        <v>0</v>
      </c>
      <c r="P1955">
        <v>13398.7528</v>
      </c>
      <c r="Q1955">
        <v>63903</v>
      </c>
      <c r="R1955">
        <f>(Grandview_Inventory[[#This Row],[ln_acres]]*Grandview_Inventory[[#This Row],[coeff]])+Grandview_Inventory[[#This Row],[const]]</f>
        <v>40160.988302686128</v>
      </c>
      <c r="S1955" t="s">
        <v>61</v>
      </c>
      <c r="T1955">
        <v>1</v>
      </c>
      <c r="U1955" t="s">
        <v>70</v>
      </c>
      <c r="V1955" t="s">
        <v>69</v>
      </c>
      <c r="W1955">
        <v>0</v>
      </c>
      <c r="X1955">
        <v>0</v>
      </c>
      <c r="Y1955">
        <v>43</v>
      </c>
      <c r="Z1955">
        <v>43</v>
      </c>
      <c r="AA1955">
        <v>50</v>
      </c>
      <c r="AB1955">
        <v>1500</v>
      </c>
      <c r="AC1955">
        <v>1092</v>
      </c>
      <c r="AD1955">
        <v>1092</v>
      </c>
      <c r="AE1955">
        <v>0</v>
      </c>
      <c r="AF1955">
        <v>0</v>
      </c>
      <c r="AG1955">
        <v>0</v>
      </c>
      <c r="AH1955">
        <v>0</v>
      </c>
      <c r="AI1955">
        <v>294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5</v>
      </c>
      <c r="AQ1955">
        <v>0</v>
      </c>
      <c r="AR1955">
        <v>0</v>
      </c>
      <c r="AS1955" t="s">
        <v>58</v>
      </c>
      <c r="AT1955">
        <v>1</v>
      </c>
      <c r="AU1955" t="s">
        <v>63</v>
      </c>
      <c r="AV1955" t="s">
        <v>60</v>
      </c>
      <c r="AW1955">
        <v>0</v>
      </c>
      <c r="AX1955">
        <v>3</v>
      </c>
      <c r="AY1955">
        <v>0</v>
      </c>
      <c r="AZ1955">
        <v>0</v>
      </c>
      <c r="BA1955">
        <v>100</v>
      </c>
      <c r="BB1955">
        <v>100</v>
      </c>
      <c r="BC1955">
        <v>100</v>
      </c>
      <c r="BD1955">
        <v>100</v>
      </c>
      <c r="BE1955">
        <v>1</v>
      </c>
      <c r="BF1955">
        <v>15000</v>
      </c>
      <c r="BG1955">
        <v>1000</v>
      </c>
      <c r="BH1955" s="6">
        <f>Grandview_Inventory[[#This Row],[land_extract]]*Lookups!$B$3</f>
        <v>46638.847281240982</v>
      </c>
      <c r="BI1955" s="6">
        <f>IF(Grandview_Inventory[[#This Row],[bldg_style]]="",0,Lookups!$B$2)</f>
        <v>155833.95000000001</v>
      </c>
      <c r="BJ1955" s="6">
        <f>_xlfn.IFNA(VLOOKUP(Grandview_Inventory[[#This Row],[quality]],Lookups!$H$2:$J$14,3,FALSE),0)</f>
        <v>10733</v>
      </c>
      <c r="BK1955" s="6">
        <f>_xlfn.IFNA(VLOOKUP(Grandview_Inventory[[#This Row],[condition]],Lookups!$H$17:$J$24,3,FALSE),0)</f>
        <v>-4503</v>
      </c>
      <c r="BL1955" s="6">
        <f>Grandview_Inventory[[#This Row],[Eff_Age]]*Lookups!$B$14</f>
        <v>-10284.1638</v>
      </c>
      <c r="BM1955" s="6">
        <f>Grandview_Inventory[[#This Row],[living_area]]*Lookups!$B$15</f>
        <v>68119.891476000004</v>
      </c>
      <c r="BN1955" s="6">
        <f>Grandview_Inventory[[#This Row],[Fin BSMT]]*Lookups!$B$16</f>
        <v>0</v>
      </c>
      <c r="BO1955" s="6">
        <f>(Grandview_Inventory[[#This Row],[att_gar]]+Grandview_Inventory[[#This Row],[bltin_gar]])*Lookups!$B$17</f>
        <v>25731.008478</v>
      </c>
      <c r="BP1955" s="6">
        <f>Grandview_Inventory[[#This Row],[Plumbing Fixtures]]*Lookups!$B$18</f>
        <v>10052.209000000001</v>
      </c>
      <c r="BQ1955" s="6">
        <f>Grandview_Inventory[[#This Row],[detatched_value]]*Lookups!$B$19</f>
        <v>0</v>
      </c>
      <c r="BR1955" s="6">
        <f>SUM(Grandview_Inventory[[#This Row],[Intercept]:[det_value]])*Grandview_Inventory[[#This Row],[res_pct]]</f>
        <v>255682.895154</v>
      </c>
      <c r="BS1955" s="6">
        <f>Grandview_Inventory[[#This Row],[land_value]]</f>
        <v>46638.847281240982</v>
      </c>
      <c r="BT1955" s="4">
        <f>_xlfn.IFNA(VLOOKUP(Grandview_Inventory[[#This Row],[quality]],Lookups!$A$26:$C$33,3,FALSE),1)</f>
        <v>0.98079741117310582</v>
      </c>
      <c r="BU1955" s="4">
        <f>_xlfn.IFNA(VLOOKUP(Grandview_Inventory[[#This Row],[condition]],Lookups!$A$37:$C$44,3,FALSE),1)</f>
        <v>0.96469275950863709</v>
      </c>
      <c r="BV1955" s="4">
        <f>IF(Grandview_Inventory[[#This Row],[bldg_style]]="",1,_xlfn.IFNA(VLOOKUP(Grandview_Inventory[[#This Row],[decade]],Lookups!$F$29:$H$43,3,FALSE),1))</f>
        <v>0.9871940091910919</v>
      </c>
      <c r="BW1955" s="4">
        <f>_xlfn.IFNA(VLOOKUP(Grandview_Inventory[[#This Row],[living_area_range]],Lookups!$F$47:$H$56,3,FALSE),1)</f>
        <v>0.96135087979789358</v>
      </c>
      <c r="BX1955" s="4">
        <f>AVERAGE(Grandview_Inventory[[#This Row],[qual_adj]:[size_adj]])</f>
        <v>0.97350876491768212</v>
      </c>
      <c r="BY1955" s="6">
        <f>IF(Grandview_Inventory[[#This Row],[pre_res]]&lt;0,0,Grandview_Inventory[[#This Row],[pre_res]]*Grandview_Inventory[[#This Row],[overall_adj]])</f>
        <v>248909.53947194776</v>
      </c>
      <c r="BZ1955" s="6">
        <f>(Grandview_Inventory[[#This Row],[sum_land]]-IF(Grandview_Inventory[[#This Row],[no_utilities]]=1,12000,0))/IF(Grandview_Inventory[[#This Row],[unbuildable]]=1,2,1)</f>
        <v>46638.847281240982</v>
      </c>
      <c r="CA195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55">
        <f>ROUND(Grandview_Inventory[[#This Row],[det_value]]*Lookups!$M$28,-2)</f>
        <v>0</v>
      </c>
      <c r="CC1955">
        <f>IF(ROUND(Grandview_Inventory[[#This Row],[adj_res]]*Lookups!$M$28,-2)&lt;Grandview_Inventory[[#This Row],[min_res]],Grandview_Inventory[[#This Row],[min_res]],ROUND(Grandview_Inventory[[#This Row],[adj_res]]*Lookups!$M$28,-2))</f>
        <v>236500</v>
      </c>
      <c r="CD1955">
        <f>Grandview_Inventory[[#This Row],[final_det]]+Grandview_Inventory[[#This Row],[final_res]]</f>
        <v>236500</v>
      </c>
      <c r="CE1955">
        <f>Grandview_Inventory[[#This Row],[final_land]]+Grandview_Inventory[[#This Row],[final_imp]]+Grandview_Inventory[[#This Row],[crop_value]]</f>
        <v>280800</v>
      </c>
      <c r="CG1955" t="str">
        <f t="shared" si="30"/>
        <v>update valuation set market_land =44300, market_bldg=236500, market_total =280800, market_mdno =401, market_date ='9/10/2023' where link_id = (select link_id from parcel where parcel_year = '2024' and parcel_id = '23092343426');</v>
      </c>
    </row>
    <row r="1956" spans="1:85" x14ac:dyDescent="0.25">
      <c r="A1956">
        <v>23092343427</v>
      </c>
      <c r="B1956">
        <v>0.17</v>
      </c>
      <c r="C1956">
        <v>7200</v>
      </c>
      <c r="D1956" t="s">
        <v>129</v>
      </c>
      <c r="E1956" t="s">
        <v>53</v>
      </c>
      <c r="F1956" t="s">
        <v>53</v>
      </c>
      <c r="G1956">
        <v>4</v>
      </c>
      <c r="H1956" t="s">
        <v>54</v>
      </c>
      <c r="I1956">
        <v>153400</v>
      </c>
      <c r="J1956">
        <v>38800</v>
      </c>
      <c r="K1956">
        <v>0.17</v>
      </c>
      <c r="L195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56">
        <v>0</v>
      </c>
      <c r="N1956">
        <v>0</v>
      </c>
      <c r="O1956">
        <v>0</v>
      </c>
      <c r="P1956">
        <v>13398.7528</v>
      </c>
      <c r="Q1956">
        <v>63903</v>
      </c>
      <c r="R1956">
        <f>(Grandview_Inventory[[#This Row],[ln_acres]]*Grandview_Inventory[[#This Row],[coeff]])+Grandview_Inventory[[#This Row],[const]]</f>
        <v>40160.988302686128</v>
      </c>
      <c r="S1956" t="s">
        <v>61</v>
      </c>
      <c r="T1956">
        <v>1</v>
      </c>
      <c r="U1956" t="s">
        <v>70</v>
      </c>
      <c r="V1956" t="s">
        <v>69</v>
      </c>
      <c r="W1956">
        <v>0</v>
      </c>
      <c r="X1956">
        <v>0</v>
      </c>
      <c r="Y1956">
        <v>43</v>
      </c>
      <c r="Z1956">
        <v>43</v>
      </c>
      <c r="AA1956">
        <v>50</v>
      </c>
      <c r="AB1956">
        <v>1500</v>
      </c>
      <c r="AC1956">
        <v>1092</v>
      </c>
      <c r="AD1956">
        <v>1092</v>
      </c>
      <c r="AE1956">
        <v>0</v>
      </c>
      <c r="AF1956">
        <v>0</v>
      </c>
      <c r="AG1956">
        <v>0</v>
      </c>
      <c r="AH1956">
        <v>0</v>
      </c>
      <c r="AI1956">
        <v>294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5</v>
      </c>
      <c r="AQ1956">
        <v>0</v>
      </c>
      <c r="AR1956">
        <v>0</v>
      </c>
      <c r="AS1956" t="s">
        <v>58</v>
      </c>
      <c r="AT1956">
        <v>1</v>
      </c>
      <c r="AU1956" t="s">
        <v>63</v>
      </c>
      <c r="AV1956" t="s">
        <v>60</v>
      </c>
      <c r="AW1956">
        <v>0</v>
      </c>
      <c r="AX1956">
        <v>3</v>
      </c>
      <c r="AY1956">
        <v>0</v>
      </c>
      <c r="AZ1956">
        <v>0</v>
      </c>
      <c r="BA1956">
        <v>100</v>
      </c>
      <c r="BB1956">
        <v>100</v>
      </c>
      <c r="BC1956">
        <v>100</v>
      </c>
      <c r="BD1956">
        <v>100</v>
      </c>
      <c r="BE1956">
        <v>1</v>
      </c>
      <c r="BF1956">
        <v>15000</v>
      </c>
      <c r="BG1956">
        <v>1000</v>
      </c>
      <c r="BH1956" s="6">
        <f>Grandview_Inventory[[#This Row],[land_extract]]*Lookups!$B$3</f>
        <v>46638.847281240982</v>
      </c>
      <c r="BI1956" s="6">
        <f>IF(Grandview_Inventory[[#This Row],[bldg_style]]="",0,Lookups!$B$2)</f>
        <v>155833.95000000001</v>
      </c>
      <c r="BJ1956" s="6">
        <f>_xlfn.IFNA(VLOOKUP(Grandview_Inventory[[#This Row],[quality]],Lookups!$H$2:$J$14,3,FALSE),0)</f>
        <v>10733</v>
      </c>
      <c r="BK1956" s="6">
        <f>_xlfn.IFNA(VLOOKUP(Grandview_Inventory[[#This Row],[condition]],Lookups!$H$17:$J$24,3,FALSE),0)</f>
        <v>-4503</v>
      </c>
      <c r="BL1956" s="6">
        <f>Grandview_Inventory[[#This Row],[Eff_Age]]*Lookups!$B$14</f>
        <v>-10284.1638</v>
      </c>
      <c r="BM1956" s="6">
        <f>Grandview_Inventory[[#This Row],[living_area]]*Lookups!$B$15</f>
        <v>68119.891476000004</v>
      </c>
      <c r="BN1956" s="6">
        <f>Grandview_Inventory[[#This Row],[Fin BSMT]]*Lookups!$B$16</f>
        <v>0</v>
      </c>
      <c r="BO1956" s="6">
        <f>(Grandview_Inventory[[#This Row],[att_gar]]+Grandview_Inventory[[#This Row],[bltin_gar]])*Lookups!$B$17</f>
        <v>25731.008478</v>
      </c>
      <c r="BP1956" s="6">
        <f>Grandview_Inventory[[#This Row],[Plumbing Fixtures]]*Lookups!$B$18</f>
        <v>10052.209000000001</v>
      </c>
      <c r="BQ1956" s="6">
        <f>Grandview_Inventory[[#This Row],[detatched_value]]*Lookups!$B$19</f>
        <v>0</v>
      </c>
      <c r="BR1956" s="6">
        <f>SUM(Grandview_Inventory[[#This Row],[Intercept]:[det_value]])*Grandview_Inventory[[#This Row],[res_pct]]</f>
        <v>255682.895154</v>
      </c>
      <c r="BS1956" s="6">
        <f>Grandview_Inventory[[#This Row],[land_value]]</f>
        <v>46638.847281240982</v>
      </c>
      <c r="BT1956" s="4">
        <f>_xlfn.IFNA(VLOOKUP(Grandview_Inventory[[#This Row],[quality]],Lookups!$A$26:$C$33,3,FALSE),1)</f>
        <v>0.98079741117310582</v>
      </c>
      <c r="BU1956" s="4">
        <f>_xlfn.IFNA(VLOOKUP(Grandview_Inventory[[#This Row],[condition]],Lookups!$A$37:$C$44,3,FALSE),1)</f>
        <v>0.96469275950863709</v>
      </c>
      <c r="BV1956" s="4">
        <f>IF(Grandview_Inventory[[#This Row],[bldg_style]]="",1,_xlfn.IFNA(VLOOKUP(Grandview_Inventory[[#This Row],[decade]],Lookups!$F$29:$H$43,3,FALSE),1))</f>
        <v>0.9871940091910919</v>
      </c>
      <c r="BW1956" s="4">
        <f>_xlfn.IFNA(VLOOKUP(Grandview_Inventory[[#This Row],[living_area_range]],Lookups!$F$47:$H$56,3,FALSE),1)</f>
        <v>0.96135087979789358</v>
      </c>
      <c r="BX1956" s="4">
        <f>AVERAGE(Grandview_Inventory[[#This Row],[qual_adj]:[size_adj]])</f>
        <v>0.97350876491768212</v>
      </c>
      <c r="BY1956" s="6">
        <f>IF(Grandview_Inventory[[#This Row],[pre_res]]&lt;0,0,Grandview_Inventory[[#This Row],[pre_res]]*Grandview_Inventory[[#This Row],[overall_adj]])</f>
        <v>248909.53947194776</v>
      </c>
      <c r="BZ1956" s="6">
        <f>(Grandview_Inventory[[#This Row],[sum_land]]-IF(Grandview_Inventory[[#This Row],[no_utilities]]=1,12000,0))/IF(Grandview_Inventory[[#This Row],[unbuildable]]=1,2,1)</f>
        <v>46638.847281240982</v>
      </c>
      <c r="CA195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56">
        <f>ROUND(Grandview_Inventory[[#This Row],[det_value]]*Lookups!$M$28,-2)</f>
        <v>0</v>
      </c>
      <c r="CC1956">
        <f>IF(ROUND(Grandview_Inventory[[#This Row],[adj_res]]*Lookups!$M$28,-2)&lt;Grandview_Inventory[[#This Row],[min_res]],Grandview_Inventory[[#This Row],[min_res]],ROUND(Grandview_Inventory[[#This Row],[adj_res]]*Lookups!$M$28,-2))</f>
        <v>236500</v>
      </c>
      <c r="CD1956">
        <f>Grandview_Inventory[[#This Row],[final_det]]+Grandview_Inventory[[#This Row],[final_res]]</f>
        <v>236500</v>
      </c>
      <c r="CE1956">
        <f>Grandview_Inventory[[#This Row],[final_land]]+Grandview_Inventory[[#This Row],[final_imp]]+Grandview_Inventory[[#This Row],[crop_value]]</f>
        <v>280800</v>
      </c>
      <c r="CG1956" t="str">
        <f t="shared" si="30"/>
        <v>update valuation set market_land =44300, market_bldg=236500, market_total =280800, market_mdno =401, market_date ='9/10/2023' where link_id = (select link_id from parcel where parcel_year = '2024' and parcel_id = '23092343427');</v>
      </c>
    </row>
    <row r="1957" spans="1:85" x14ac:dyDescent="0.25">
      <c r="A1957">
        <v>23092343428</v>
      </c>
      <c r="B1957">
        <v>0.17</v>
      </c>
      <c r="C1957">
        <v>7200</v>
      </c>
      <c r="D1957" t="s">
        <v>129</v>
      </c>
      <c r="E1957" t="s">
        <v>53</v>
      </c>
      <c r="F1957" t="s">
        <v>53</v>
      </c>
      <c r="G1957">
        <v>4</v>
      </c>
      <c r="H1957" t="s">
        <v>54</v>
      </c>
      <c r="I1957">
        <v>171700</v>
      </c>
      <c r="J1957">
        <v>38800</v>
      </c>
      <c r="K1957">
        <v>0.17</v>
      </c>
      <c r="L195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57">
        <v>0</v>
      </c>
      <c r="N1957">
        <v>0</v>
      </c>
      <c r="O1957">
        <v>0</v>
      </c>
      <c r="P1957">
        <v>13398.7528</v>
      </c>
      <c r="Q1957">
        <v>63903</v>
      </c>
      <c r="R1957">
        <f>(Grandview_Inventory[[#This Row],[ln_acres]]*Grandview_Inventory[[#This Row],[coeff]])+Grandview_Inventory[[#This Row],[const]]</f>
        <v>40160.988302686128</v>
      </c>
      <c r="S1957" t="s">
        <v>61</v>
      </c>
      <c r="T1957">
        <v>1</v>
      </c>
      <c r="U1957" t="s">
        <v>70</v>
      </c>
      <c r="V1957" t="s">
        <v>69</v>
      </c>
      <c r="W1957">
        <v>0</v>
      </c>
      <c r="X1957">
        <v>0</v>
      </c>
      <c r="Y1957">
        <v>42</v>
      </c>
      <c r="Z1957">
        <v>42</v>
      </c>
      <c r="AA1957">
        <v>50</v>
      </c>
      <c r="AB1957">
        <v>1500</v>
      </c>
      <c r="AC1957">
        <v>1386</v>
      </c>
      <c r="AD1957">
        <v>1386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207</v>
      </c>
      <c r="AL1957">
        <v>0</v>
      </c>
      <c r="AM1957">
        <v>96</v>
      </c>
      <c r="AN1957">
        <v>54</v>
      </c>
      <c r="AO1957">
        <v>96</v>
      </c>
      <c r="AP1957">
        <v>5</v>
      </c>
      <c r="AQ1957">
        <v>0</v>
      </c>
      <c r="AR1957">
        <v>0</v>
      </c>
      <c r="AS1957" t="s">
        <v>58</v>
      </c>
      <c r="AT1957">
        <v>1</v>
      </c>
      <c r="AU1957" t="s">
        <v>63</v>
      </c>
      <c r="AV1957" t="s">
        <v>60</v>
      </c>
      <c r="AW1957">
        <v>1</v>
      </c>
      <c r="AX1957">
        <v>3</v>
      </c>
      <c r="AY1957">
        <v>0</v>
      </c>
      <c r="AZ1957">
        <v>0</v>
      </c>
      <c r="BA1957">
        <v>100</v>
      </c>
      <c r="BB1957">
        <v>100</v>
      </c>
      <c r="BC1957">
        <v>100</v>
      </c>
      <c r="BD1957">
        <v>100</v>
      </c>
      <c r="BE1957">
        <v>1</v>
      </c>
      <c r="BF1957">
        <v>15000</v>
      </c>
      <c r="BG1957">
        <v>1000</v>
      </c>
      <c r="BH1957" s="6">
        <f>Grandview_Inventory[[#This Row],[land_extract]]*Lookups!$B$3</f>
        <v>46638.847281240982</v>
      </c>
      <c r="BI1957" s="6">
        <f>IF(Grandview_Inventory[[#This Row],[bldg_style]]="",0,Lookups!$B$2)</f>
        <v>155833.95000000001</v>
      </c>
      <c r="BJ1957" s="6">
        <f>_xlfn.IFNA(VLOOKUP(Grandview_Inventory[[#This Row],[quality]],Lookups!$H$2:$J$14,3,FALSE),0)</f>
        <v>10733</v>
      </c>
      <c r="BK1957" s="6">
        <f>_xlfn.IFNA(VLOOKUP(Grandview_Inventory[[#This Row],[condition]],Lookups!$H$17:$J$24,3,FALSE),0)</f>
        <v>-4503</v>
      </c>
      <c r="BL1957" s="6">
        <f>Grandview_Inventory[[#This Row],[Eff_Age]]*Lookups!$B$14</f>
        <v>-10044.9972</v>
      </c>
      <c r="BM1957" s="6">
        <f>Grandview_Inventory[[#This Row],[living_area]]*Lookups!$B$15</f>
        <v>86459.862258000008</v>
      </c>
      <c r="BN1957" s="6">
        <f>Grandview_Inventory[[#This Row],[Fin BSMT]]*Lookups!$B$16</f>
        <v>0</v>
      </c>
      <c r="BO1957" s="6">
        <f>(Grandview_Inventory[[#This Row],[att_gar]]+Grandview_Inventory[[#This Row],[bltin_gar]])*Lookups!$B$17</f>
        <v>0</v>
      </c>
      <c r="BP1957" s="6">
        <f>Grandview_Inventory[[#This Row],[Plumbing Fixtures]]*Lookups!$B$18</f>
        <v>10052.209000000001</v>
      </c>
      <c r="BQ1957" s="6">
        <f>Grandview_Inventory[[#This Row],[detatched_value]]*Lookups!$B$19</f>
        <v>0</v>
      </c>
      <c r="BR1957" s="6">
        <f>SUM(Grandview_Inventory[[#This Row],[Intercept]:[det_value]])*Grandview_Inventory[[#This Row],[res_pct]]</f>
        <v>248531.02405800001</v>
      </c>
      <c r="BS1957" s="6">
        <f>Grandview_Inventory[[#This Row],[land_value]]</f>
        <v>46638.847281240982</v>
      </c>
      <c r="BT1957" s="4">
        <f>_xlfn.IFNA(VLOOKUP(Grandview_Inventory[[#This Row],[quality]],Lookups!$A$26:$C$33,3,FALSE),1)</f>
        <v>0.98079741117310582</v>
      </c>
      <c r="BU1957" s="4">
        <f>_xlfn.IFNA(VLOOKUP(Grandview_Inventory[[#This Row],[condition]],Lookups!$A$37:$C$44,3,FALSE),1)</f>
        <v>0.96469275950863709</v>
      </c>
      <c r="BV1957" s="4">
        <f>IF(Grandview_Inventory[[#This Row],[bldg_style]]="",1,_xlfn.IFNA(VLOOKUP(Grandview_Inventory[[#This Row],[decade]],Lookups!$F$29:$H$43,3,FALSE),1))</f>
        <v>0.9871940091910919</v>
      </c>
      <c r="BW1957" s="4">
        <f>_xlfn.IFNA(VLOOKUP(Grandview_Inventory[[#This Row],[living_area_range]],Lookups!$F$47:$H$56,3,FALSE),1)</f>
        <v>0.96135087979789358</v>
      </c>
      <c r="BX1957" s="4">
        <f>AVERAGE(Grandview_Inventory[[#This Row],[qual_adj]:[size_adj]])</f>
        <v>0.97350876491768212</v>
      </c>
      <c r="BY1957" s="6">
        <f>IF(Grandview_Inventory[[#This Row],[pre_res]]&lt;0,0,Grandview_Inventory[[#This Row],[pre_res]]*Grandview_Inventory[[#This Row],[overall_adj]])</f>
        <v>241947.13027443032</v>
      </c>
      <c r="BZ1957" s="6">
        <f>(Grandview_Inventory[[#This Row],[sum_land]]-IF(Grandview_Inventory[[#This Row],[no_utilities]]=1,12000,0))/IF(Grandview_Inventory[[#This Row],[unbuildable]]=1,2,1)</f>
        <v>46638.847281240982</v>
      </c>
      <c r="CA195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57">
        <f>ROUND(Grandview_Inventory[[#This Row],[det_value]]*Lookups!$M$28,-2)</f>
        <v>0</v>
      </c>
      <c r="CC1957">
        <f>IF(ROUND(Grandview_Inventory[[#This Row],[adj_res]]*Lookups!$M$28,-2)&lt;Grandview_Inventory[[#This Row],[min_res]],Grandview_Inventory[[#This Row],[min_res]],ROUND(Grandview_Inventory[[#This Row],[adj_res]]*Lookups!$M$28,-2))</f>
        <v>229800</v>
      </c>
      <c r="CD1957">
        <f>Grandview_Inventory[[#This Row],[final_det]]+Grandview_Inventory[[#This Row],[final_res]]</f>
        <v>229800</v>
      </c>
      <c r="CE1957">
        <f>Grandview_Inventory[[#This Row],[final_land]]+Grandview_Inventory[[#This Row],[final_imp]]+Grandview_Inventory[[#This Row],[crop_value]]</f>
        <v>274100</v>
      </c>
      <c r="CG1957" t="str">
        <f t="shared" si="30"/>
        <v>update valuation set market_land =44300, market_bldg=229800, market_total =274100, market_mdno =401, market_date ='9/10/2023' where link_id = (select link_id from parcel where parcel_year = '2024' and parcel_id = '23092343428');</v>
      </c>
    </row>
    <row r="1958" spans="1:85" x14ac:dyDescent="0.25">
      <c r="A1958">
        <v>23092343429</v>
      </c>
      <c r="B1958">
        <v>0.17</v>
      </c>
      <c r="C1958">
        <v>7200</v>
      </c>
      <c r="D1958" t="s">
        <v>129</v>
      </c>
      <c r="E1958" t="s">
        <v>53</v>
      </c>
      <c r="F1958" t="s">
        <v>53</v>
      </c>
      <c r="G1958">
        <v>4</v>
      </c>
      <c r="H1958" t="s">
        <v>54</v>
      </c>
      <c r="I1958">
        <v>178900</v>
      </c>
      <c r="J1958">
        <v>38800</v>
      </c>
      <c r="K1958">
        <v>0.17</v>
      </c>
      <c r="L195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58">
        <v>0</v>
      </c>
      <c r="N1958">
        <v>0</v>
      </c>
      <c r="O1958">
        <v>0</v>
      </c>
      <c r="P1958">
        <v>13398.7528</v>
      </c>
      <c r="Q1958">
        <v>63903</v>
      </c>
      <c r="R1958">
        <f>(Grandview_Inventory[[#This Row],[ln_acres]]*Grandview_Inventory[[#This Row],[coeff]])+Grandview_Inventory[[#This Row],[const]]</f>
        <v>40160.988302686128</v>
      </c>
      <c r="S1958" t="s">
        <v>61</v>
      </c>
      <c r="T1958">
        <v>1</v>
      </c>
      <c r="U1958" t="s">
        <v>65</v>
      </c>
      <c r="V1958" t="s">
        <v>67</v>
      </c>
      <c r="W1958">
        <v>0</v>
      </c>
      <c r="X1958">
        <v>0</v>
      </c>
      <c r="Y1958">
        <v>42</v>
      </c>
      <c r="Z1958">
        <v>42</v>
      </c>
      <c r="AA1958">
        <v>50</v>
      </c>
      <c r="AB1958">
        <v>1500</v>
      </c>
      <c r="AC1958">
        <v>1092</v>
      </c>
      <c r="AD1958">
        <v>1092</v>
      </c>
      <c r="AE1958">
        <v>0</v>
      </c>
      <c r="AF1958">
        <v>0</v>
      </c>
      <c r="AG1958">
        <v>0</v>
      </c>
      <c r="AH1958">
        <v>0</v>
      </c>
      <c r="AI1958">
        <v>294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5</v>
      </c>
      <c r="AQ1958">
        <v>0</v>
      </c>
      <c r="AR1958">
        <v>0</v>
      </c>
      <c r="AS1958" t="s">
        <v>58</v>
      </c>
      <c r="AT1958">
        <v>1</v>
      </c>
      <c r="AU1958" t="s">
        <v>63</v>
      </c>
      <c r="AV1958" t="s">
        <v>60</v>
      </c>
      <c r="AW1958">
        <v>0</v>
      </c>
      <c r="AX1958">
        <v>3</v>
      </c>
      <c r="AY1958">
        <v>0</v>
      </c>
      <c r="AZ1958">
        <v>0</v>
      </c>
      <c r="BA1958">
        <v>100</v>
      </c>
      <c r="BB1958">
        <v>100</v>
      </c>
      <c r="BC1958">
        <v>100</v>
      </c>
      <c r="BD1958">
        <v>100</v>
      </c>
      <c r="BE1958">
        <v>1</v>
      </c>
      <c r="BF1958">
        <v>15000</v>
      </c>
      <c r="BG1958">
        <v>1000</v>
      </c>
      <c r="BH1958" s="6">
        <f>Grandview_Inventory[[#This Row],[land_extract]]*Lookups!$B$3</f>
        <v>46638.847281240982</v>
      </c>
      <c r="BI1958" s="6">
        <f>IF(Grandview_Inventory[[#This Row],[bldg_style]]="",0,Lookups!$B$2)</f>
        <v>155833.95000000001</v>
      </c>
      <c r="BJ1958" s="6">
        <f>_xlfn.IFNA(VLOOKUP(Grandview_Inventory[[#This Row],[quality]],Lookups!$H$2:$J$14,3,FALSE),0)</f>
        <v>2251</v>
      </c>
      <c r="BK1958" s="6">
        <f>_xlfn.IFNA(VLOOKUP(Grandview_Inventory[[#This Row],[condition]],Lookups!$H$17:$J$24,3,FALSE),0)</f>
        <v>22342</v>
      </c>
      <c r="BL1958" s="6">
        <f>Grandview_Inventory[[#This Row],[Eff_Age]]*Lookups!$B$14</f>
        <v>-10044.9972</v>
      </c>
      <c r="BM1958" s="6">
        <f>Grandview_Inventory[[#This Row],[living_area]]*Lookups!$B$15</f>
        <v>68119.891476000004</v>
      </c>
      <c r="BN1958" s="6">
        <f>Grandview_Inventory[[#This Row],[Fin BSMT]]*Lookups!$B$16</f>
        <v>0</v>
      </c>
      <c r="BO1958" s="6">
        <f>(Grandview_Inventory[[#This Row],[att_gar]]+Grandview_Inventory[[#This Row],[bltin_gar]])*Lookups!$B$17</f>
        <v>25731.008478</v>
      </c>
      <c r="BP1958" s="6">
        <f>Grandview_Inventory[[#This Row],[Plumbing Fixtures]]*Lookups!$B$18</f>
        <v>10052.209000000001</v>
      </c>
      <c r="BQ1958" s="6">
        <f>Grandview_Inventory[[#This Row],[detatched_value]]*Lookups!$B$19</f>
        <v>0</v>
      </c>
      <c r="BR1958" s="6">
        <f>SUM(Grandview_Inventory[[#This Row],[Intercept]:[det_value]])*Grandview_Inventory[[#This Row],[res_pct]]</f>
        <v>274285.06175399997</v>
      </c>
      <c r="BS1958" s="6">
        <f>Grandview_Inventory[[#This Row],[land_value]]</f>
        <v>46638.847281240982</v>
      </c>
      <c r="BT1958" s="4">
        <f>_xlfn.IFNA(VLOOKUP(Grandview_Inventory[[#This Row],[quality]],Lookups!$A$26:$C$33,3,FALSE),1)</f>
        <v>0.98763855981004833</v>
      </c>
      <c r="BU1958" s="4">
        <f>_xlfn.IFNA(VLOOKUP(Grandview_Inventory[[#This Row],[condition]],Lookups!$A$37:$C$44,3,FALSE),1)</f>
        <v>0.97383723671140243</v>
      </c>
      <c r="BV1958" s="4">
        <f>IF(Grandview_Inventory[[#This Row],[bldg_style]]="",1,_xlfn.IFNA(VLOOKUP(Grandview_Inventory[[#This Row],[decade]],Lookups!$F$29:$H$43,3,FALSE),1))</f>
        <v>0.9871940091910919</v>
      </c>
      <c r="BW1958" s="4">
        <f>_xlfn.IFNA(VLOOKUP(Grandview_Inventory[[#This Row],[living_area_range]],Lookups!$F$47:$H$56,3,FALSE),1)</f>
        <v>0.96135087979789358</v>
      </c>
      <c r="BX1958" s="4">
        <f>AVERAGE(Grandview_Inventory[[#This Row],[qual_adj]:[size_adj]])</f>
        <v>0.97750517137760906</v>
      </c>
      <c r="BY1958" s="6">
        <f>IF(Grandview_Inventory[[#This Row],[pre_res]]&lt;0,0,Grandview_Inventory[[#This Row],[pre_res]]*Grandview_Inventory[[#This Row],[overall_adj]])</f>
        <v>268115.06629616179</v>
      </c>
      <c r="BZ1958" s="6">
        <f>(Grandview_Inventory[[#This Row],[sum_land]]-IF(Grandview_Inventory[[#This Row],[no_utilities]]=1,12000,0))/IF(Grandview_Inventory[[#This Row],[unbuildable]]=1,2,1)</f>
        <v>46638.847281240982</v>
      </c>
      <c r="CA195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58">
        <f>ROUND(Grandview_Inventory[[#This Row],[det_value]]*Lookups!$M$28,-2)</f>
        <v>0</v>
      </c>
      <c r="CC1958">
        <f>IF(ROUND(Grandview_Inventory[[#This Row],[adj_res]]*Lookups!$M$28,-2)&lt;Grandview_Inventory[[#This Row],[min_res]],Grandview_Inventory[[#This Row],[min_res]],ROUND(Grandview_Inventory[[#This Row],[adj_res]]*Lookups!$M$28,-2))</f>
        <v>254700</v>
      </c>
      <c r="CD1958">
        <f>Grandview_Inventory[[#This Row],[final_det]]+Grandview_Inventory[[#This Row],[final_res]]</f>
        <v>254700</v>
      </c>
      <c r="CE1958">
        <f>Grandview_Inventory[[#This Row],[final_land]]+Grandview_Inventory[[#This Row],[final_imp]]+Grandview_Inventory[[#This Row],[crop_value]]</f>
        <v>299000</v>
      </c>
      <c r="CG1958" t="str">
        <f t="shared" si="30"/>
        <v>update valuation set market_land =44300, market_bldg=254700, market_total =299000, market_mdno =401, market_date ='9/10/2023' where link_id = (select link_id from parcel where parcel_year = '2024' and parcel_id = '23092343429');</v>
      </c>
    </row>
    <row r="1959" spans="1:85" x14ac:dyDescent="0.25">
      <c r="A1959">
        <v>23092343430</v>
      </c>
      <c r="B1959">
        <v>0.17</v>
      </c>
      <c r="C1959">
        <v>7200</v>
      </c>
      <c r="D1959" t="s">
        <v>129</v>
      </c>
      <c r="E1959" t="s">
        <v>53</v>
      </c>
      <c r="F1959" t="s">
        <v>53</v>
      </c>
      <c r="G1959">
        <v>4</v>
      </c>
      <c r="H1959" t="s">
        <v>54</v>
      </c>
      <c r="I1959">
        <v>153600</v>
      </c>
      <c r="J1959">
        <v>38800</v>
      </c>
      <c r="K1959">
        <v>0.17</v>
      </c>
      <c r="L195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59">
        <v>0</v>
      </c>
      <c r="N1959">
        <v>0</v>
      </c>
      <c r="O1959">
        <v>0</v>
      </c>
      <c r="P1959">
        <v>13398.7528</v>
      </c>
      <c r="Q1959">
        <v>63903</v>
      </c>
      <c r="R1959">
        <f>(Grandview_Inventory[[#This Row],[ln_acres]]*Grandview_Inventory[[#This Row],[coeff]])+Grandview_Inventory[[#This Row],[const]]</f>
        <v>40160.988302686128</v>
      </c>
      <c r="S1959" t="s">
        <v>61</v>
      </c>
      <c r="T1959">
        <v>1</v>
      </c>
      <c r="U1959" t="s">
        <v>70</v>
      </c>
      <c r="V1959" t="s">
        <v>69</v>
      </c>
      <c r="W1959">
        <v>0</v>
      </c>
      <c r="X1959">
        <v>0</v>
      </c>
      <c r="Y1959">
        <v>42</v>
      </c>
      <c r="Z1959">
        <v>42</v>
      </c>
      <c r="AA1959">
        <v>50</v>
      </c>
      <c r="AB1959">
        <v>1500</v>
      </c>
      <c r="AC1959">
        <v>1092</v>
      </c>
      <c r="AD1959">
        <v>1092</v>
      </c>
      <c r="AE1959">
        <v>0</v>
      </c>
      <c r="AF1959">
        <v>0</v>
      </c>
      <c r="AG1959">
        <v>0</v>
      </c>
      <c r="AH1959">
        <v>0</v>
      </c>
      <c r="AI1959">
        <v>294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5</v>
      </c>
      <c r="AQ1959">
        <v>0</v>
      </c>
      <c r="AR1959">
        <v>0</v>
      </c>
      <c r="AS1959" t="s">
        <v>58</v>
      </c>
      <c r="AT1959">
        <v>1</v>
      </c>
      <c r="AU1959" t="s">
        <v>63</v>
      </c>
      <c r="AV1959" t="s">
        <v>60</v>
      </c>
      <c r="AW1959">
        <v>0</v>
      </c>
      <c r="AX1959">
        <v>3</v>
      </c>
      <c r="AY1959">
        <v>0</v>
      </c>
      <c r="AZ1959">
        <v>0</v>
      </c>
      <c r="BA1959">
        <v>100</v>
      </c>
      <c r="BB1959">
        <v>100</v>
      </c>
      <c r="BC1959">
        <v>100</v>
      </c>
      <c r="BD1959">
        <v>100</v>
      </c>
      <c r="BE1959">
        <v>1</v>
      </c>
      <c r="BF1959">
        <v>15000</v>
      </c>
      <c r="BG1959">
        <v>1000</v>
      </c>
      <c r="BH1959" s="6">
        <f>Grandview_Inventory[[#This Row],[land_extract]]*Lookups!$B$3</f>
        <v>46638.847281240982</v>
      </c>
      <c r="BI1959" s="6">
        <f>IF(Grandview_Inventory[[#This Row],[bldg_style]]="",0,Lookups!$B$2)</f>
        <v>155833.95000000001</v>
      </c>
      <c r="BJ1959" s="6">
        <f>_xlfn.IFNA(VLOOKUP(Grandview_Inventory[[#This Row],[quality]],Lookups!$H$2:$J$14,3,FALSE),0)</f>
        <v>10733</v>
      </c>
      <c r="BK1959" s="6">
        <f>_xlfn.IFNA(VLOOKUP(Grandview_Inventory[[#This Row],[condition]],Lookups!$H$17:$J$24,3,FALSE),0)</f>
        <v>-4503</v>
      </c>
      <c r="BL1959" s="6">
        <f>Grandview_Inventory[[#This Row],[Eff_Age]]*Lookups!$B$14</f>
        <v>-10044.9972</v>
      </c>
      <c r="BM1959" s="6">
        <f>Grandview_Inventory[[#This Row],[living_area]]*Lookups!$B$15</f>
        <v>68119.891476000004</v>
      </c>
      <c r="BN1959" s="6">
        <f>Grandview_Inventory[[#This Row],[Fin BSMT]]*Lookups!$B$16</f>
        <v>0</v>
      </c>
      <c r="BO1959" s="6">
        <f>(Grandview_Inventory[[#This Row],[att_gar]]+Grandview_Inventory[[#This Row],[bltin_gar]])*Lookups!$B$17</f>
        <v>25731.008478</v>
      </c>
      <c r="BP1959" s="6">
        <f>Grandview_Inventory[[#This Row],[Plumbing Fixtures]]*Lookups!$B$18</f>
        <v>10052.209000000001</v>
      </c>
      <c r="BQ1959" s="6">
        <f>Grandview_Inventory[[#This Row],[detatched_value]]*Lookups!$B$19</f>
        <v>0</v>
      </c>
      <c r="BR1959" s="6">
        <f>SUM(Grandview_Inventory[[#This Row],[Intercept]:[det_value]])*Grandview_Inventory[[#This Row],[res_pct]]</f>
        <v>255922.06175399999</v>
      </c>
      <c r="BS1959" s="6">
        <f>Grandview_Inventory[[#This Row],[land_value]]</f>
        <v>46638.847281240982</v>
      </c>
      <c r="BT1959" s="4">
        <f>_xlfn.IFNA(VLOOKUP(Grandview_Inventory[[#This Row],[quality]],Lookups!$A$26:$C$33,3,FALSE),1)</f>
        <v>0.98079741117310582</v>
      </c>
      <c r="BU1959" s="4">
        <f>_xlfn.IFNA(VLOOKUP(Grandview_Inventory[[#This Row],[condition]],Lookups!$A$37:$C$44,3,FALSE),1)</f>
        <v>0.96469275950863709</v>
      </c>
      <c r="BV1959" s="4">
        <f>IF(Grandview_Inventory[[#This Row],[bldg_style]]="",1,_xlfn.IFNA(VLOOKUP(Grandview_Inventory[[#This Row],[decade]],Lookups!$F$29:$H$43,3,FALSE),1))</f>
        <v>0.9871940091910919</v>
      </c>
      <c r="BW1959" s="4">
        <f>_xlfn.IFNA(VLOOKUP(Grandview_Inventory[[#This Row],[living_area_range]],Lookups!$F$47:$H$56,3,FALSE),1)</f>
        <v>0.96135087979789358</v>
      </c>
      <c r="BX1959" s="4">
        <f>AVERAGE(Grandview_Inventory[[#This Row],[qual_adj]:[size_adj]])</f>
        <v>0.97350876491768212</v>
      </c>
      <c r="BY1959" s="6">
        <f>IF(Grandview_Inventory[[#This Row],[pre_res]]&lt;0,0,Grandview_Inventory[[#This Row],[pre_res]]*Grandview_Inventory[[#This Row],[overall_adj]])</f>
        <v>249142.37025332332</v>
      </c>
      <c r="BZ1959" s="6">
        <f>(Grandview_Inventory[[#This Row],[sum_land]]-IF(Grandview_Inventory[[#This Row],[no_utilities]]=1,12000,0))/IF(Grandview_Inventory[[#This Row],[unbuildable]]=1,2,1)</f>
        <v>46638.847281240982</v>
      </c>
      <c r="CA195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59">
        <f>ROUND(Grandview_Inventory[[#This Row],[det_value]]*Lookups!$M$28,-2)</f>
        <v>0</v>
      </c>
      <c r="CC1959">
        <f>IF(ROUND(Grandview_Inventory[[#This Row],[adj_res]]*Lookups!$M$28,-2)&lt;Grandview_Inventory[[#This Row],[min_res]],Grandview_Inventory[[#This Row],[min_res]],ROUND(Grandview_Inventory[[#This Row],[adj_res]]*Lookups!$M$28,-2))</f>
        <v>236700</v>
      </c>
      <c r="CD1959">
        <f>Grandview_Inventory[[#This Row],[final_det]]+Grandview_Inventory[[#This Row],[final_res]]</f>
        <v>236700</v>
      </c>
      <c r="CE1959">
        <f>Grandview_Inventory[[#This Row],[final_land]]+Grandview_Inventory[[#This Row],[final_imp]]+Grandview_Inventory[[#This Row],[crop_value]]</f>
        <v>281000</v>
      </c>
      <c r="CG1959" t="str">
        <f t="shared" si="30"/>
        <v>update valuation set market_land =44300, market_bldg=236700, market_total =281000, market_mdno =401, market_date ='9/10/2023' where link_id = (select link_id from parcel where parcel_year = '2024' and parcel_id = '23092343430');</v>
      </c>
    </row>
    <row r="1960" spans="1:85" x14ac:dyDescent="0.25">
      <c r="A1960">
        <v>23092343431</v>
      </c>
      <c r="B1960">
        <v>0.18</v>
      </c>
      <c r="C1960">
        <v>8041</v>
      </c>
      <c r="D1960" t="s">
        <v>129</v>
      </c>
      <c r="E1960" t="s">
        <v>53</v>
      </c>
      <c r="F1960" t="s">
        <v>53</v>
      </c>
      <c r="G1960">
        <v>4</v>
      </c>
      <c r="H1960" t="s">
        <v>54</v>
      </c>
      <c r="I1960">
        <v>150600</v>
      </c>
      <c r="J1960">
        <v>39000</v>
      </c>
      <c r="K1960">
        <v>0.18</v>
      </c>
      <c r="L196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60">
        <v>0</v>
      </c>
      <c r="N1960">
        <v>0</v>
      </c>
      <c r="O1960">
        <v>0</v>
      </c>
      <c r="P1960">
        <v>13398.7528</v>
      </c>
      <c r="Q1960">
        <v>63903</v>
      </c>
      <c r="R1960">
        <f>(Grandview_Inventory[[#This Row],[ln_acres]]*Grandview_Inventory[[#This Row],[coeff]])+Grandview_Inventory[[#This Row],[const]]</f>
        <v>40926.839760167699</v>
      </c>
      <c r="S1960" t="s">
        <v>61</v>
      </c>
      <c r="T1960">
        <v>1</v>
      </c>
      <c r="U1960" t="s">
        <v>70</v>
      </c>
      <c r="V1960" t="s">
        <v>69</v>
      </c>
      <c r="W1960">
        <v>0</v>
      </c>
      <c r="X1960">
        <v>0</v>
      </c>
      <c r="Y1960">
        <v>43</v>
      </c>
      <c r="Z1960">
        <v>43</v>
      </c>
      <c r="AA1960">
        <v>50</v>
      </c>
      <c r="AB1960">
        <v>1500</v>
      </c>
      <c r="AC1960">
        <v>1280</v>
      </c>
      <c r="AD1960">
        <v>1280</v>
      </c>
      <c r="AE1960">
        <v>0</v>
      </c>
      <c r="AF1960">
        <v>0</v>
      </c>
      <c r="AG1960">
        <v>0</v>
      </c>
      <c r="AH1960">
        <v>0</v>
      </c>
      <c r="AI1960">
        <v>96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5</v>
      </c>
      <c r="AQ1960">
        <v>0</v>
      </c>
      <c r="AR1960">
        <v>0</v>
      </c>
      <c r="AS1960" t="s">
        <v>58</v>
      </c>
      <c r="AT1960">
        <v>1</v>
      </c>
      <c r="AU1960" t="s">
        <v>63</v>
      </c>
      <c r="AV1960" t="s">
        <v>60</v>
      </c>
      <c r="AW1960">
        <v>0</v>
      </c>
      <c r="AX1960">
        <v>3</v>
      </c>
      <c r="AY1960">
        <v>0</v>
      </c>
      <c r="AZ1960">
        <v>0</v>
      </c>
      <c r="BA1960">
        <v>100</v>
      </c>
      <c r="BB1960">
        <v>100</v>
      </c>
      <c r="BC1960">
        <v>100</v>
      </c>
      <c r="BD1960">
        <v>100</v>
      </c>
      <c r="BE1960">
        <v>1</v>
      </c>
      <c r="BF1960">
        <v>15000</v>
      </c>
      <c r="BG1960">
        <v>1000</v>
      </c>
      <c r="BH1960" s="6">
        <f>Grandview_Inventory[[#This Row],[land_extract]]*Lookups!$B$3</f>
        <v>47528.228511015397</v>
      </c>
      <c r="BI1960" s="6">
        <f>IF(Grandview_Inventory[[#This Row],[bldg_style]]="",0,Lookups!$B$2)</f>
        <v>155833.95000000001</v>
      </c>
      <c r="BJ1960" s="6">
        <f>_xlfn.IFNA(VLOOKUP(Grandview_Inventory[[#This Row],[quality]],Lookups!$H$2:$J$14,3,FALSE),0)</f>
        <v>10733</v>
      </c>
      <c r="BK1960" s="6">
        <f>_xlfn.IFNA(VLOOKUP(Grandview_Inventory[[#This Row],[condition]],Lookups!$H$17:$J$24,3,FALSE),0)</f>
        <v>-4503</v>
      </c>
      <c r="BL1960" s="6">
        <f>Grandview_Inventory[[#This Row],[Eff_Age]]*Lookups!$B$14</f>
        <v>-10284.1638</v>
      </c>
      <c r="BM1960" s="6">
        <f>Grandview_Inventory[[#This Row],[living_area]]*Lookups!$B$15</f>
        <v>79847.491840000002</v>
      </c>
      <c r="BN1960" s="6">
        <f>Grandview_Inventory[[#This Row],[Fin BSMT]]*Lookups!$B$16</f>
        <v>0</v>
      </c>
      <c r="BO1960" s="6">
        <f>(Grandview_Inventory[[#This Row],[att_gar]]+Grandview_Inventory[[#This Row],[bltin_gar]])*Lookups!$B$17</f>
        <v>8401.9619519999997</v>
      </c>
      <c r="BP1960" s="6">
        <f>Grandview_Inventory[[#This Row],[Plumbing Fixtures]]*Lookups!$B$18</f>
        <v>10052.209000000001</v>
      </c>
      <c r="BQ1960" s="6">
        <f>Grandview_Inventory[[#This Row],[detatched_value]]*Lookups!$B$19</f>
        <v>0</v>
      </c>
      <c r="BR1960" s="6">
        <f>SUM(Grandview_Inventory[[#This Row],[Intercept]:[det_value]])*Grandview_Inventory[[#This Row],[res_pct]]</f>
        <v>250081.44899200002</v>
      </c>
      <c r="BS1960" s="6">
        <f>Grandview_Inventory[[#This Row],[land_value]]</f>
        <v>47528.228511015397</v>
      </c>
      <c r="BT1960" s="4">
        <f>_xlfn.IFNA(VLOOKUP(Grandview_Inventory[[#This Row],[quality]],Lookups!$A$26:$C$33,3,FALSE),1)</f>
        <v>0.98079741117310582</v>
      </c>
      <c r="BU1960" s="4">
        <f>_xlfn.IFNA(VLOOKUP(Grandview_Inventory[[#This Row],[condition]],Lookups!$A$37:$C$44,3,FALSE),1)</f>
        <v>0.96469275950863709</v>
      </c>
      <c r="BV1960" s="4">
        <f>IF(Grandview_Inventory[[#This Row],[bldg_style]]="",1,_xlfn.IFNA(VLOOKUP(Grandview_Inventory[[#This Row],[decade]],Lookups!$F$29:$H$43,3,FALSE),1))</f>
        <v>0.9871940091910919</v>
      </c>
      <c r="BW1960" s="4">
        <f>_xlfn.IFNA(VLOOKUP(Grandview_Inventory[[#This Row],[living_area_range]],Lookups!$F$47:$H$56,3,FALSE),1)</f>
        <v>0.96135087979789358</v>
      </c>
      <c r="BX1960" s="4">
        <f>AVERAGE(Grandview_Inventory[[#This Row],[qual_adj]:[size_adj]])</f>
        <v>0.97350876491768212</v>
      </c>
      <c r="BY1960" s="6">
        <f>IF(Grandview_Inventory[[#This Row],[pre_res]]&lt;0,0,Grandview_Inventory[[#This Row],[pre_res]]*Grandview_Inventory[[#This Row],[overall_adj]])</f>
        <v>243456.48253702626</v>
      </c>
      <c r="BZ1960" s="6">
        <f>(Grandview_Inventory[[#This Row],[sum_land]]-IF(Grandview_Inventory[[#This Row],[no_utilities]]=1,12000,0))/IF(Grandview_Inventory[[#This Row],[unbuildable]]=1,2,1)</f>
        <v>47528.228511015397</v>
      </c>
      <c r="CA196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60">
        <f>ROUND(Grandview_Inventory[[#This Row],[det_value]]*Lookups!$M$28,-2)</f>
        <v>0</v>
      </c>
      <c r="CC1960">
        <f>IF(ROUND(Grandview_Inventory[[#This Row],[adj_res]]*Lookups!$M$28,-2)&lt;Grandview_Inventory[[#This Row],[min_res]],Grandview_Inventory[[#This Row],[min_res]],ROUND(Grandview_Inventory[[#This Row],[adj_res]]*Lookups!$M$28,-2))</f>
        <v>231300</v>
      </c>
      <c r="CD1960">
        <f>Grandview_Inventory[[#This Row],[final_det]]+Grandview_Inventory[[#This Row],[final_res]]</f>
        <v>231300</v>
      </c>
      <c r="CE1960">
        <f>Grandview_Inventory[[#This Row],[final_land]]+Grandview_Inventory[[#This Row],[final_imp]]+Grandview_Inventory[[#This Row],[crop_value]]</f>
        <v>276500</v>
      </c>
      <c r="CG1960" t="str">
        <f t="shared" si="30"/>
        <v>update valuation set market_land =45200, market_bldg=231300, market_total =276500, market_mdno =401, market_date ='9/10/2023' where link_id = (select link_id from parcel where parcel_year = '2024' and parcel_id = '23092343431');</v>
      </c>
    </row>
    <row r="1961" spans="1:85" x14ac:dyDescent="0.25">
      <c r="A1961">
        <v>23092343432</v>
      </c>
      <c r="B1961">
        <v>0.19</v>
      </c>
      <c r="C1961">
        <v>8445</v>
      </c>
      <c r="D1961" t="s">
        <v>129</v>
      </c>
      <c r="E1961" t="s">
        <v>53</v>
      </c>
      <c r="F1961" t="s">
        <v>53</v>
      </c>
      <c r="G1961">
        <v>4</v>
      </c>
      <c r="H1961" t="s">
        <v>54</v>
      </c>
      <c r="I1961">
        <v>151700</v>
      </c>
      <c r="J1961">
        <v>39100</v>
      </c>
      <c r="K1961">
        <v>0.19</v>
      </c>
      <c r="L196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961">
        <v>0</v>
      </c>
      <c r="N1961">
        <v>0</v>
      </c>
      <c r="O1961">
        <v>0</v>
      </c>
      <c r="P1961">
        <v>13398.7528</v>
      </c>
      <c r="Q1961">
        <v>63903</v>
      </c>
      <c r="R1961">
        <f>(Grandview_Inventory[[#This Row],[ln_acres]]*Grandview_Inventory[[#This Row],[coeff]])+Grandview_Inventory[[#This Row],[const]]</f>
        <v>41651.273092551026</v>
      </c>
      <c r="S1961" t="s">
        <v>61</v>
      </c>
      <c r="T1961">
        <v>1</v>
      </c>
      <c r="U1961" t="s">
        <v>70</v>
      </c>
      <c r="V1961" t="s">
        <v>69</v>
      </c>
      <c r="W1961">
        <v>0</v>
      </c>
      <c r="X1961">
        <v>0</v>
      </c>
      <c r="Y1961">
        <v>41</v>
      </c>
      <c r="Z1961">
        <v>41</v>
      </c>
      <c r="AA1961">
        <v>50</v>
      </c>
      <c r="AB1961">
        <v>1500</v>
      </c>
      <c r="AC1961">
        <v>1376</v>
      </c>
      <c r="AD1961">
        <v>1376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5</v>
      </c>
      <c r="AQ1961">
        <v>0</v>
      </c>
      <c r="AR1961">
        <v>0</v>
      </c>
      <c r="AS1961" t="s">
        <v>58</v>
      </c>
      <c r="AT1961">
        <v>1</v>
      </c>
      <c r="AU1961" t="s">
        <v>63</v>
      </c>
      <c r="AV1961" t="s">
        <v>60</v>
      </c>
      <c r="AW1961">
        <v>0</v>
      </c>
      <c r="AX1961">
        <v>4</v>
      </c>
      <c r="AY1961">
        <v>0</v>
      </c>
      <c r="AZ1961">
        <v>0</v>
      </c>
      <c r="BA1961">
        <v>100</v>
      </c>
      <c r="BB1961">
        <v>100</v>
      </c>
      <c r="BC1961">
        <v>100</v>
      </c>
      <c r="BD1961">
        <v>100</v>
      </c>
      <c r="BE1961">
        <v>1</v>
      </c>
      <c r="BF1961">
        <v>15000</v>
      </c>
      <c r="BG1961">
        <v>1000</v>
      </c>
      <c r="BH1961" s="6">
        <f>Grandview_Inventory[[#This Row],[land_extract]]*Lookups!$B$3</f>
        <v>48369.510983942157</v>
      </c>
      <c r="BI1961" s="6">
        <f>IF(Grandview_Inventory[[#This Row],[bldg_style]]="",0,Lookups!$B$2)</f>
        <v>155833.95000000001</v>
      </c>
      <c r="BJ1961" s="6">
        <f>_xlfn.IFNA(VLOOKUP(Grandview_Inventory[[#This Row],[quality]],Lookups!$H$2:$J$14,3,FALSE),0)</f>
        <v>10733</v>
      </c>
      <c r="BK1961" s="6">
        <f>_xlfn.IFNA(VLOOKUP(Grandview_Inventory[[#This Row],[condition]],Lookups!$H$17:$J$24,3,FALSE),0)</f>
        <v>-4503</v>
      </c>
      <c r="BL1961" s="6">
        <f>Grandview_Inventory[[#This Row],[Eff_Age]]*Lookups!$B$14</f>
        <v>-9805.8305999999993</v>
      </c>
      <c r="BM1961" s="6">
        <f>Grandview_Inventory[[#This Row],[living_area]]*Lookups!$B$15</f>
        <v>85836.053727999999</v>
      </c>
      <c r="BN1961" s="6">
        <f>Grandview_Inventory[[#This Row],[Fin BSMT]]*Lookups!$B$16</f>
        <v>0</v>
      </c>
      <c r="BO1961" s="6">
        <f>(Grandview_Inventory[[#This Row],[att_gar]]+Grandview_Inventory[[#This Row],[bltin_gar]])*Lookups!$B$17</f>
        <v>0</v>
      </c>
      <c r="BP1961" s="6">
        <f>Grandview_Inventory[[#This Row],[Plumbing Fixtures]]*Lookups!$B$18</f>
        <v>10052.209000000001</v>
      </c>
      <c r="BQ1961" s="6">
        <f>Grandview_Inventory[[#This Row],[detatched_value]]*Lookups!$B$19</f>
        <v>0</v>
      </c>
      <c r="BR1961" s="6">
        <f>SUM(Grandview_Inventory[[#This Row],[Intercept]:[det_value]])*Grandview_Inventory[[#This Row],[res_pct]]</f>
        <v>248146.38212800003</v>
      </c>
      <c r="BS1961" s="6">
        <f>Grandview_Inventory[[#This Row],[land_value]]</f>
        <v>48369.510983942157</v>
      </c>
      <c r="BT1961" s="4">
        <f>_xlfn.IFNA(VLOOKUP(Grandview_Inventory[[#This Row],[quality]],Lookups!$A$26:$C$33,3,FALSE),1)</f>
        <v>0.98079741117310582</v>
      </c>
      <c r="BU1961" s="4">
        <f>_xlfn.IFNA(VLOOKUP(Grandview_Inventory[[#This Row],[condition]],Lookups!$A$37:$C$44,3,FALSE),1)</f>
        <v>0.96469275950863709</v>
      </c>
      <c r="BV1961" s="4">
        <f>IF(Grandview_Inventory[[#This Row],[bldg_style]]="",1,_xlfn.IFNA(VLOOKUP(Grandview_Inventory[[#This Row],[decade]],Lookups!$F$29:$H$43,3,FALSE),1))</f>
        <v>0.9871940091910919</v>
      </c>
      <c r="BW1961" s="4">
        <f>_xlfn.IFNA(VLOOKUP(Grandview_Inventory[[#This Row],[living_area_range]],Lookups!$F$47:$H$56,3,FALSE),1)</f>
        <v>0.96135087979789358</v>
      </c>
      <c r="BX1961" s="4">
        <f>AVERAGE(Grandview_Inventory[[#This Row],[qual_adj]:[size_adj]])</f>
        <v>0.97350876491768212</v>
      </c>
      <c r="BY1961" s="6">
        <f>IF(Grandview_Inventory[[#This Row],[pre_res]]&lt;0,0,Grandview_Inventory[[#This Row],[pre_res]]*Grandview_Inventory[[#This Row],[overall_adj]])</f>
        <v>241572.6779842205</v>
      </c>
      <c r="BZ1961" s="6">
        <f>(Grandview_Inventory[[#This Row],[sum_land]]-IF(Grandview_Inventory[[#This Row],[no_utilities]]=1,12000,0))/IF(Grandview_Inventory[[#This Row],[unbuildable]]=1,2,1)</f>
        <v>48369.510983942157</v>
      </c>
      <c r="CA196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961">
        <f>ROUND(Grandview_Inventory[[#This Row],[det_value]]*Lookups!$M$28,-2)</f>
        <v>0</v>
      </c>
      <c r="CC1961">
        <f>IF(ROUND(Grandview_Inventory[[#This Row],[adj_res]]*Lookups!$M$28,-2)&lt;Grandview_Inventory[[#This Row],[min_res]],Grandview_Inventory[[#This Row],[min_res]],ROUND(Grandview_Inventory[[#This Row],[adj_res]]*Lookups!$M$28,-2))</f>
        <v>229500</v>
      </c>
      <c r="CD1961">
        <f>Grandview_Inventory[[#This Row],[final_det]]+Grandview_Inventory[[#This Row],[final_res]]</f>
        <v>229500</v>
      </c>
      <c r="CE1961">
        <f>Grandview_Inventory[[#This Row],[final_land]]+Grandview_Inventory[[#This Row],[final_imp]]+Grandview_Inventory[[#This Row],[crop_value]]</f>
        <v>275500</v>
      </c>
      <c r="CG1961" t="str">
        <f t="shared" si="30"/>
        <v>update valuation set market_land =46000, market_bldg=229500, market_total =275500, market_mdno =401, market_date ='9/10/2023' where link_id = (select link_id from parcel where parcel_year = '2024' and parcel_id = '23092343432');</v>
      </c>
    </row>
    <row r="1962" spans="1:85" x14ac:dyDescent="0.25">
      <c r="A1962">
        <v>23092343434</v>
      </c>
      <c r="B1962">
        <v>0.21</v>
      </c>
      <c r="C1962">
        <v>8991</v>
      </c>
      <c r="D1962" t="s">
        <v>129</v>
      </c>
      <c r="E1962" t="s">
        <v>53</v>
      </c>
      <c r="F1962" t="s">
        <v>53</v>
      </c>
      <c r="G1962">
        <v>4</v>
      </c>
      <c r="H1962" t="s">
        <v>54</v>
      </c>
      <c r="I1962">
        <v>129600</v>
      </c>
      <c r="J1962">
        <v>39300</v>
      </c>
      <c r="K1962">
        <v>0.21</v>
      </c>
      <c r="L196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962">
        <v>0</v>
      </c>
      <c r="N1962">
        <v>0</v>
      </c>
      <c r="O1962">
        <v>0</v>
      </c>
      <c r="P1962">
        <v>13398.7528</v>
      </c>
      <c r="Q1962">
        <v>63903</v>
      </c>
      <c r="R1962">
        <f>(Grandview_Inventory[[#This Row],[ln_acres]]*Grandview_Inventory[[#This Row],[coeff]])+Grandview_Inventory[[#This Row],[const]]</f>
        <v>42992.266613125081</v>
      </c>
      <c r="S1962" t="s">
        <v>61</v>
      </c>
      <c r="T1962">
        <v>1</v>
      </c>
      <c r="U1962" t="s">
        <v>70</v>
      </c>
      <c r="V1962" t="s">
        <v>78</v>
      </c>
      <c r="W1962">
        <v>0</v>
      </c>
      <c r="X1962">
        <v>0</v>
      </c>
      <c r="Y1962">
        <v>41</v>
      </c>
      <c r="Z1962">
        <v>41</v>
      </c>
      <c r="AA1962">
        <v>50</v>
      </c>
      <c r="AB1962">
        <v>1500</v>
      </c>
      <c r="AC1962">
        <v>1092</v>
      </c>
      <c r="AD1962">
        <v>1092</v>
      </c>
      <c r="AE1962">
        <v>0</v>
      </c>
      <c r="AF1962">
        <v>0</v>
      </c>
      <c r="AG1962">
        <v>0</v>
      </c>
      <c r="AH1962">
        <v>0</v>
      </c>
      <c r="AI1962">
        <v>294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5</v>
      </c>
      <c r="AQ1962">
        <v>0</v>
      </c>
      <c r="AR1962">
        <v>0</v>
      </c>
      <c r="AS1962" t="s">
        <v>71</v>
      </c>
      <c r="AT1962">
        <v>1</v>
      </c>
      <c r="AU1962" t="s">
        <v>75</v>
      </c>
      <c r="AV1962" t="s">
        <v>60</v>
      </c>
      <c r="AW1962">
        <v>0</v>
      </c>
      <c r="AX1962">
        <v>3</v>
      </c>
      <c r="AY1962">
        <v>0</v>
      </c>
      <c r="AZ1962">
        <v>0</v>
      </c>
      <c r="BA1962">
        <v>100</v>
      </c>
      <c r="BB1962">
        <v>100</v>
      </c>
      <c r="BC1962">
        <v>100</v>
      </c>
      <c r="BD1962">
        <v>100</v>
      </c>
      <c r="BE1962">
        <v>1</v>
      </c>
      <c r="BF1962">
        <v>15000</v>
      </c>
      <c r="BG1962">
        <v>1000</v>
      </c>
      <c r="BH1962" s="6">
        <f>Grandview_Inventory[[#This Row],[land_extract]]*Lookups!$B$3</f>
        <v>49926.8031387023</v>
      </c>
      <c r="BI1962" s="6">
        <f>IF(Grandview_Inventory[[#This Row],[bldg_style]]="",0,Lookups!$B$2)</f>
        <v>155833.95000000001</v>
      </c>
      <c r="BJ1962" s="6">
        <f>_xlfn.IFNA(VLOOKUP(Grandview_Inventory[[#This Row],[quality]],Lookups!$H$2:$J$14,3,FALSE),0)</f>
        <v>10733</v>
      </c>
      <c r="BK1962" s="6">
        <f>_xlfn.IFNA(VLOOKUP(Grandview_Inventory[[#This Row],[condition]],Lookups!$H$17:$J$24,3,FALSE),0)</f>
        <v>-45357</v>
      </c>
      <c r="BL1962" s="6">
        <f>Grandview_Inventory[[#This Row],[Eff_Age]]*Lookups!$B$14</f>
        <v>-9805.8305999999993</v>
      </c>
      <c r="BM1962" s="6">
        <f>Grandview_Inventory[[#This Row],[living_area]]*Lookups!$B$15</f>
        <v>68119.891476000004</v>
      </c>
      <c r="BN1962" s="6">
        <f>Grandview_Inventory[[#This Row],[Fin BSMT]]*Lookups!$B$16</f>
        <v>0</v>
      </c>
      <c r="BO1962" s="6">
        <f>(Grandview_Inventory[[#This Row],[att_gar]]+Grandview_Inventory[[#This Row],[bltin_gar]])*Lookups!$B$17</f>
        <v>25731.008478</v>
      </c>
      <c r="BP1962" s="6">
        <f>Grandview_Inventory[[#This Row],[Plumbing Fixtures]]*Lookups!$B$18</f>
        <v>10052.209000000001</v>
      </c>
      <c r="BQ1962" s="6">
        <f>Grandview_Inventory[[#This Row],[detatched_value]]*Lookups!$B$19</f>
        <v>0</v>
      </c>
      <c r="BR1962" s="6">
        <f>SUM(Grandview_Inventory[[#This Row],[Intercept]:[det_value]])*Grandview_Inventory[[#This Row],[res_pct]]</f>
        <v>215307.22835400002</v>
      </c>
      <c r="BS1962" s="6">
        <f>Grandview_Inventory[[#This Row],[land_value]]</f>
        <v>49926.8031387023</v>
      </c>
      <c r="BT1962" s="4">
        <f>_xlfn.IFNA(VLOOKUP(Grandview_Inventory[[#This Row],[quality]],Lookups!$A$26:$C$33,3,FALSE),1)</f>
        <v>0.98079741117310582</v>
      </c>
      <c r="BU1962" s="4">
        <f>_xlfn.IFNA(VLOOKUP(Grandview_Inventory[[#This Row],[condition]],Lookups!$A$37:$C$44,3,FALSE),1)</f>
        <v>0.97161819570155394</v>
      </c>
      <c r="BV1962" s="4">
        <f>IF(Grandview_Inventory[[#This Row],[bldg_style]]="",1,_xlfn.IFNA(VLOOKUP(Grandview_Inventory[[#This Row],[decade]],Lookups!$F$29:$H$43,3,FALSE),1))</f>
        <v>0.9871940091910919</v>
      </c>
      <c r="BW1962" s="4">
        <f>_xlfn.IFNA(VLOOKUP(Grandview_Inventory[[#This Row],[living_area_range]],Lookups!$F$47:$H$56,3,FALSE),1)</f>
        <v>0.96135087979789358</v>
      </c>
      <c r="BX1962" s="4">
        <f>AVERAGE(Grandview_Inventory[[#This Row],[qual_adj]:[size_adj]])</f>
        <v>0.97524012396591131</v>
      </c>
      <c r="BY1962" s="6">
        <f>IF(Grandview_Inventory[[#This Row],[pre_res]]&lt;0,0,Grandview_Inventory[[#This Row],[pre_res]]*Grandview_Inventory[[#This Row],[overall_adj]])</f>
        <v>209976.24807071176</v>
      </c>
      <c r="BZ1962" s="6">
        <f>(Grandview_Inventory[[#This Row],[sum_land]]-IF(Grandview_Inventory[[#This Row],[no_utilities]]=1,12000,0))/IF(Grandview_Inventory[[#This Row],[unbuildable]]=1,2,1)</f>
        <v>49926.8031387023</v>
      </c>
      <c r="CA196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962">
        <f>ROUND(Grandview_Inventory[[#This Row],[det_value]]*Lookups!$M$28,-2)</f>
        <v>0</v>
      </c>
      <c r="CC1962">
        <f>IF(ROUND(Grandview_Inventory[[#This Row],[adj_res]]*Lookups!$M$28,-2)&lt;Grandview_Inventory[[#This Row],[min_res]],Grandview_Inventory[[#This Row],[min_res]],ROUND(Grandview_Inventory[[#This Row],[adj_res]]*Lookups!$M$28,-2))</f>
        <v>199500</v>
      </c>
      <c r="CD1962">
        <f>Grandview_Inventory[[#This Row],[final_det]]+Grandview_Inventory[[#This Row],[final_res]]</f>
        <v>199500</v>
      </c>
      <c r="CE1962">
        <f>Grandview_Inventory[[#This Row],[final_land]]+Grandview_Inventory[[#This Row],[final_imp]]+Grandview_Inventory[[#This Row],[crop_value]]</f>
        <v>246900</v>
      </c>
      <c r="CG1962" t="str">
        <f t="shared" si="30"/>
        <v>update valuation set market_land =47400, market_bldg=199500, market_total =246900, market_mdno =401, market_date ='9/10/2023' where link_id = (select link_id from parcel where parcel_year = '2024' and parcel_id = '23092343434');</v>
      </c>
    </row>
    <row r="1963" spans="1:85" x14ac:dyDescent="0.25">
      <c r="A1963">
        <v>23092343435</v>
      </c>
      <c r="B1963">
        <v>0.21</v>
      </c>
      <c r="C1963">
        <v>9072</v>
      </c>
      <c r="D1963" t="s">
        <v>129</v>
      </c>
      <c r="E1963" t="s">
        <v>53</v>
      </c>
      <c r="F1963" t="s">
        <v>53</v>
      </c>
      <c r="G1963">
        <v>4</v>
      </c>
      <c r="H1963" t="s">
        <v>54</v>
      </c>
      <c r="I1963">
        <v>176800</v>
      </c>
      <c r="J1963">
        <v>39300</v>
      </c>
      <c r="K1963">
        <v>0.21</v>
      </c>
      <c r="L196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963">
        <v>0</v>
      </c>
      <c r="N1963">
        <v>0</v>
      </c>
      <c r="O1963">
        <v>0</v>
      </c>
      <c r="P1963">
        <v>13398.7528</v>
      </c>
      <c r="Q1963">
        <v>63903</v>
      </c>
      <c r="R1963">
        <f>(Grandview_Inventory[[#This Row],[ln_acres]]*Grandview_Inventory[[#This Row],[coeff]])+Grandview_Inventory[[#This Row],[const]]</f>
        <v>42992.266613125081</v>
      </c>
      <c r="S1963" t="s">
        <v>61</v>
      </c>
      <c r="T1963">
        <v>1</v>
      </c>
      <c r="U1963" t="s">
        <v>65</v>
      </c>
      <c r="V1963" t="s">
        <v>67</v>
      </c>
      <c r="W1963">
        <v>0</v>
      </c>
      <c r="X1963">
        <v>0</v>
      </c>
      <c r="Y1963">
        <v>41</v>
      </c>
      <c r="Z1963">
        <v>41</v>
      </c>
      <c r="AA1963">
        <v>50</v>
      </c>
      <c r="AB1963">
        <v>1500</v>
      </c>
      <c r="AC1963">
        <v>1056</v>
      </c>
      <c r="AD1963">
        <v>1056</v>
      </c>
      <c r="AE1963">
        <v>0</v>
      </c>
      <c r="AF1963">
        <v>0</v>
      </c>
      <c r="AG1963">
        <v>0</v>
      </c>
      <c r="AH1963">
        <v>0</v>
      </c>
      <c r="AI1963">
        <v>288</v>
      </c>
      <c r="AJ1963">
        <v>0</v>
      </c>
      <c r="AK1963">
        <v>0</v>
      </c>
      <c r="AL1963">
        <v>0</v>
      </c>
      <c r="AM1963">
        <v>390</v>
      </c>
      <c r="AN1963">
        <v>0</v>
      </c>
      <c r="AO1963">
        <v>0</v>
      </c>
      <c r="AP1963">
        <v>5</v>
      </c>
      <c r="AQ1963">
        <v>0</v>
      </c>
      <c r="AR1963">
        <v>0</v>
      </c>
      <c r="AS1963" t="s">
        <v>58</v>
      </c>
      <c r="AT1963">
        <v>1</v>
      </c>
      <c r="AU1963" t="s">
        <v>63</v>
      </c>
      <c r="AV1963" t="s">
        <v>60</v>
      </c>
      <c r="AW1963">
        <v>0</v>
      </c>
      <c r="AX1963">
        <v>3</v>
      </c>
      <c r="AY1963">
        <v>0</v>
      </c>
      <c r="AZ1963">
        <v>0</v>
      </c>
      <c r="BA1963">
        <v>100</v>
      </c>
      <c r="BB1963">
        <v>100</v>
      </c>
      <c r="BC1963">
        <v>100</v>
      </c>
      <c r="BD1963">
        <v>100</v>
      </c>
      <c r="BE1963">
        <v>1</v>
      </c>
      <c r="BF1963">
        <v>15000</v>
      </c>
      <c r="BG1963">
        <v>1000</v>
      </c>
      <c r="BH1963" s="6">
        <f>Grandview_Inventory[[#This Row],[land_extract]]*Lookups!$B$3</f>
        <v>49926.8031387023</v>
      </c>
      <c r="BI1963" s="6">
        <f>IF(Grandview_Inventory[[#This Row],[bldg_style]]="",0,Lookups!$B$2)</f>
        <v>155833.95000000001</v>
      </c>
      <c r="BJ1963" s="6">
        <f>_xlfn.IFNA(VLOOKUP(Grandview_Inventory[[#This Row],[quality]],Lookups!$H$2:$J$14,3,FALSE),0)</f>
        <v>2251</v>
      </c>
      <c r="BK1963" s="6">
        <f>_xlfn.IFNA(VLOOKUP(Grandview_Inventory[[#This Row],[condition]],Lookups!$H$17:$J$24,3,FALSE),0)</f>
        <v>22342</v>
      </c>
      <c r="BL1963" s="6">
        <f>Grandview_Inventory[[#This Row],[Eff_Age]]*Lookups!$B$14</f>
        <v>-9805.8305999999993</v>
      </c>
      <c r="BM1963" s="6">
        <f>Grandview_Inventory[[#This Row],[living_area]]*Lookups!$B$15</f>
        <v>65874.180768000006</v>
      </c>
      <c r="BN1963" s="6">
        <f>Grandview_Inventory[[#This Row],[Fin BSMT]]*Lookups!$B$16</f>
        <v>0</v>
      </c>
      <c r="BO1963" s="6">
        <f>(Grandview_Inventory[[#This Row],[att_gar]]+Grandview_Inventory[[#This Row],[bltin_gar]])*Lookups!$B$17</f>
        <v>25205.885856000001</v>
      </c>
      <c r="BP1963" s="6">
        <f>Grandview_Inventory[[#This Row],[Plumbing Fixtures]]*Lookups!$B$18</f>
        <v>10052.209000000001</v>
      </c>
      <c r="BQ1963" s="6">
        <f>Grandview_Inventory[[#This Row],[detatched_value]]*Lookups!$B$19</f>
        <v>0</v>
      </c>
      <c r="BR1963" s="6">
        <f>SUM(Grandview_Inventory[[#This Row],[Intercept]:[det_value]])*Grandview_Inventory[[#This Row],[res_pct]]</f>
        <v>271753.39502400003</v>
      </c>
      <c r="BS1963" s="6">
        <f>Grandview_Inventory[[#This Row],[land_value]]</f>
        <v>49926.8031387023</v>
      </c>
      <c r="BT1963" s="4">
        <f>_xlfn.IFNA(VLOOKUP(Grandview_Inventory[[#This Row],[quality]],Lookups!$A$26:$C$33,3,FALSE),1)</f>
        <v>0.98763855981004833</v>
      </c>
      <c r="BU1963" s="4">
        <f>_xlfn.IFNA(VLOOKUP(Grandview_Inventory[[#This Row],[condition]],Lookups!$A$37:$C$44,3,FALSE),1)</f>
        <v>0.97383723671140243</v>
      </c>
      <c r="BV1963" s="4">
        <f>IF(Grandview_Inventory[[#This Row],[bldg_style]]="",1,_xlfn.IFNA(VLOOKUP(Grandview_Inventory[[#This Row],[decade]],Lookups!$F$29:$H$43,3,FALSE),1))</f>
        <v>0.9871940091910919</v>
      </c>
      <c r="BW1963" s="4">
        <f>_xlfn.IFNA(VLOOKUP(Grandview_Inventory[[#This Row],[living_area_range]],Lookups!$F$47:$H$56,3,FALSE),1)</f>
        <v>0.96135087979789358</v>
      </c>
      <c r="BX1963" s="4">
        <f>AVERAGE(Grandview_Inventory[[#This Row],[qual_adj]:[size_adj]])</f>
        <v>0.97750517137760906</v>
      </c>
      <c r="BY1963" s="6">
        <f>IF(Grandview_Inventory[[#This Row],[pre_res]]&lt;0,0,Grandview_Inventory[[#This Row],[pre_res]]*Grandview_Inventory[[#This Row],[overall_adj]])</f>
        <v>265640.34897538222</v>
      </c>
      <c r="BZ1963" s="6">
        <f>(Grandview_Inventory[[#This Row],[sum_land]]-IF(Grandview_Inventory[[#This Row],[no_utilities]]=1,12000,0))/IF(Grandview_Inventory[[#This Row],[unbuildable]]=1,2,1)</f>
        <v>49926.8031387023</v>
      </c>
      <c r="CA196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963">
        <f>ROUND(Grandview_Inventory[[#This Row],[det_value]]*Lookups!$M$28,-2)</f>
        <v>0</v>
      </c>
      <c r="CC1963">
        <f>IF(ROUND(Grandview_Inventory[[#This Row],[adj_res]]*Lookups!$M$28,-2)&lt;Grandview_Inventory[[#This Row],[min_res]],Grandview_Inventory[[#This Row],[min_res]],ROUND(Grandview_Inventory[[#This Row],[adj_res]]*Lookups!$M$28,-2))</f>
        <v>252400</v>
      </c>
      <c r="CD1963">
        <f>Grandview_Inventory[[#This Row],[final_det]]+Grandview_Inventory[[#This Row],[final_res]]</f>
        <v>252400</v>
      </c>
      <c r="CE1963">
        <f>Grandview_Inventory[[#This Row],[final_land]]+Grandview_Inventory[[#This Row],[final_imp]]+Grandview_Inventory[[#This Row],[crop_value]]</f>
        <v>299800</v>
      </c>
      <c r="CG1963" t="str">
        <f t="shared" si="30"/>
        <v>update valuation set market_land =47400, market_bldg=252400, market_total =299800, market_mdno =401, market_date ='9/10/2023' where link_id = (select link_id from parcel where parcel_year = '2024' and parcel_id = '23092343435');</v>
      </c>
    </row>
    <row r="1964" spans="1:85" x14ac:dyDescent="0.25">
      <c r="A1964">
        <v>23092343436</v>
      </c>
      <c r="B1964">
        <v>0.21</v>
      </c>
      <c r="C1964">
        <v>9072</v>
      </c>
      <c r="D1964" t="s">
        <v>129</v>
      </c>
      <c r="E1964" t="s">
        <v>53</v>
      </c>
      <c r="F1964" t="s">
        <v>53</v>
      </c>
      <c r="G1964">
        <v>4</v>
      </c>
      <c r="H1964" t="s">
        <v>54</v>
      </c>
      <c r="I1964">
        <v>192500</v>
      </c>
      <c r="J1964">
        <v>39300</v>
      </c>
      <c r="K1964">
        <v>0.21</v>
      </c>
      <c r="L1964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964">
        <v>0</v>
      </c>
      <c r="N1964">
        <v>0</v>
      </c>
      <c r="O1964">
        <v>0</v>
      </c>
      <c r="P1964">
        <v>13398.7528</v>
      </c>
      <c r="Q1964">
        <v>63903</v>
      </c>
      <c r="R1964">
        <f>(Grandview_Inventory[[#This Row],[ln_acres]]*Grandview_Inventory[[#This Row],[coeff]])+Grandview_Inventory[[#This Row],[const]]</f>
        <v>42992.266613125081</v>
      </c>
      <c r="S1964" t="s">
        <v>61</v>
      </c>
      <c r="T1964">
        <v>1</v>
      </c>
      <c r="U1964" t="s">
        <v>65</v>
      </c>
      <c r="V1964" t="s">
        <v>67</v>
      </c>
      <c r="W1964">
        <v>0</v>
      </c>
      <c r="X1964">
        <v>0</v>
      </c>
      <c r="Y1964">
        <v>41</v>
      </c>
      <c r="Z1964">
        <v>41</v>
      </c>
      <c r="AA1964">
        <v>50</v>
      </c>
      <c r="AB1964">
        <v>1500</v>
      </c>
      <c r="AC1964">
        <v>1232</v>
      </c>
      <c r="AD1964">
        <v>1232</v>
      </c>
      <c r="AE1964">
        <v>0</v>
      </c>
      <c r="AF1964">
        <v>0</v>
      </c>
      <c r="AG1964">
        <v>0</v>
      </c>
      <c r="AH1964">
        <v>0</v>
      </c>
      <c r="AI1964">
        <v>280</v>
      </c>
      <c r="AJ1964">
        <v>0</v>
      </c>
      <c r="AK1964">
        <v>0</v>
      </c>
      <c r="AL1964">
        <v>0</v>
      </c>
      <c r="AM1964">
        <v>288</v>
      </c>
      <c r="AN1964">
        <v>0</v>
      </c>
      <c r="AO1964">
        <v>60</v>
      </c>
      <c r="AP1964">
        <v>9</v>
      </c>
      <c r="AQ1964">
        <v>0</v>
      </c>
      <c r="AR1964">
        <v>0</v>
      </c>
      <c r="AS1964" t="s">
        <v>58</v>
      </c>
      <c r="AT1964">
        <v>1</v>
      </c>
      <c r="AU1964" t="s">
        <v>63</v>
      </c>
      <c r="AV1964" t="s">
        <v>60</v>
      </c>
      <c r="AW1964">
        <v>0</v>
      </c>
      <c r="AX1964">
        <v>3</v>
      </c>
      <c r="AY1964">
        <v>0</v>
      </c>
      <c r="AZ1964">
        <v>0</v>
      </c>
      <c r="BA1964">
        <v>100</v>
      </c>
      <c r="BB1964">
        <v>100</v>
      </c>
      <c r="BC1964">
        <v>100</v>
      </c>
      <c r="BD1964">
        <v>100</v>
      </c>
      <c r="BE1964">
        <v>1</v>
      </c>
      <c r="BF1964">
        <v>15000</v>
      </c>
      <c r="BG1964">
        <v>1000</v>
      </c>
      <c r="BH1964" s="6">
        <f>Grandview_Inventory[[#This Row],[land_extract]]*Lookups!$B$3</f>
        <v>49926.8031387023</v>
      </c>
      <c r="BI1964" s="6">
        <f>IF(Grandview_Inventory[[#This Row],[bldg_style]]="",0,Lookups!$B$2)</f>
        <v>155833.95000000001</v>
      </c>
      <c r="BJ1964" s="6">
        <f>_xlfn.IFNA(VLOOKUP(Grandview_Inventory[[#This Row],[quality]],Lookups!$H$2:$J$14,3,FALSE),0)</f>
        <v>2251</v>
      </c>
      <c r="BK1964" s="6">
        <f>_xlfn.IFNA(VLOOKUP(Grandview_Inventory[[#This Row],[condition]],Lookups!$H$17:$J$24,3,FALSE),0)</f>
        <v>22342</v>
      </c>
      <c r="BL1964" s="6">
        <f>Grandview_Inventory[[#This Row],[Eff_Age]]*Lookups!$B$14</f>
        <v>-9805.8305999999993</v>
      </c>
      <c r="BM1964" s="6">
        <f>Grandview_Inventory[[#This Row],[living_area]]*Lookups!$B$15</f>
        <v>76853.210896000004</v>
      </c>
      <c r="BN1964" s="6">
        <f>Grandview_Inventory[[#This Row],[Fin BSMT]]*Lookups!$B$16</f>
        <v>0</v>
      </c>
      <c r="BO1964" s="6">
        <f>(Grandview_Inventory[[#This Row],[att_gar]]+Grandview_Inventory[[#This Row],[bltin_gar]])*Lookups!$B$17</f>
        <v>24505.72236</v>
      </c>
      <c r="BP1964" s="6">
        <f>Grandview_Inventory[[#This Row],[Plumbing Fixtures]]*Lookups!$B$18</f>
        <v>18093.976200000001</v>
      </c>
      <c r="BQ1964" s="6">
        <f>Grandview_Inventory[[#This Row],[detatched_value]]*Lookups!$B$19</f>
        <v>0</v>
      </c>
      <c r="BR1964" s="6">
        <f>SUM(Grandview_Inventory[[#This Row],[Intercept]:[det_value]])*Grandview_Inventory[[#This Row],[res_pct]]</f>
        <v>290074.02885599999</v>
      </c>
      <c r="BS1964" s="6">
        <f>Grandview_Inventory[[#This Row],[land_value]]</f>
        <v>49926.8031387023</v>
      </c>
      <c r="BT1964" s="4">
        <f>_xlfn.IFNA(VLOOKUP(Grandview_Inventory[[#This Row],[quality]],Lookups!$A$26:$C$33,3,FALSE),1)</f>
        <v>0.98763855981004833</v>
      </c>
      <c r="BU1964" s="4">
        <f>_xlfn.IFNA(VLOOKUP(Grandview_Inventory[[#This Row],[condition]],Lookups!$A$37:$C$44,3,FALSE),1)</f>
        <v>0.97383723671140243</v>
      </c>
      <c r="BV1964" s="4">
        <f>IF(Grandview_Inventory[[#This Row],[bldg_style]]="",1,_xlfn.IFNA(VLOOKUP(Grandview_Inventory[[#This Row],[decade]],Lookups!$F$29:$H$43,3,FALSE),1))</f>
        <v>0.9871940091910919</v>
      </c>
      <c r="BW1964" s="4">
        <f>_xlfn.IFNA(VLOOKUP(Grandview_Inventory[[#This Row],[living_area_range]],Lookups!$F$47:$H$56,3,FALSE),1)</f>
        <v>0.96135087979789358</v>
      </c>
      <c r="BX1964" s="4">
        <f>AVERAGE(Grandview_Inventory[[#This Row],[qual_adj]:[size_adj]])</f>
        <v>0.97750517137760906</v>
      </c>
      <c r="BY1964" s="6">
        <f>IF(Grandview_Inventory[[#This Row],[pre_res]]&lt;0,0,Grandview_Inventory[[#This Row],[pre_res]]*Grandview_Inventory[[#This Row],[overall_adj]])</f>
        <v>283548.86328907777</v>
      </c>
      <c r="BZ1964" s="6">
        <f>(Grandview_Inventory[[#This Row],[sum_land]]-IF(Grandview_Inventory[[#This Row],[no_utilities]]=1,12000,0))/IF(Grandview_Inventory[[#This Row],[unbuildable]]=1,2,1)</f>
        <v>49926.8031387023</v>
      </c>
      <c r="CA1964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964">
        <f>ROUND(Grandview_Inventory[[#This Row],[det_value]]*Lookups!$M$28,-2)</f>
        <v>0</v>
      </c>
      <c r="CC1964">
        <f>IF(ROUND(Grandview_Inventory[[#This Row],[adj_res]]*Lookups!$M$28,-2)&lt;Grandview_Inventory[[#This Row],[min_res]],Grandview_Inventory[[#This Row],[min_res]],ROUND(Grandview_Inventory[[#This Row],[adj_res]]*Lookups!$M$28,-2))</f>
        <v>269400</v>
      </c>
      <c r="CD1964">
        <f>Grandview_Inventory[[#This Row],[final_det]]+Grandview_Inventory[[#This Row],[final_res]]</f>
        <v>269400</v>
      </c>
      <c r="CE1964">
        <f>Grandview_Inventory[[#This Row],[final_land]]+Grandview_Inventory[[#This Row],[final_imp]]+Grandview_Inventory[[#This Row],[crop_value]]</f>
        <v>316800</v>
      </c>
      <c r="CG1964" t="str">
        <f t="shared" si="30"/>
        <v>update valuation set market_land =47400, market_bldg=269400, market_total =316800, market_mdno =401, market_date ='9/10/2023' where link_id = (select link_id from parcel where parcel_year = '2024' and parcel_id = '23092343436');</v>
      </c>
    </row>
    <row r="1965" spans="1:85" x14ac:dyDescent="0.25">
      <c r="A1965">
        <v>23092343437</v>
      </c>
      <c r="B1965">
        <v>0.21</v>
      </c>
      <c r="C1965">
        <v>9072</v>
      </c>
      <c r="D1965" t="s">
        <v>129</v>
      </c>
      <c r="E1965" t="s">
        <v>53</v>
      </c>
      <c r="F1965" t="s">
        <v>53</v>
      </c>
      <c r="G1965">
        <v>4</v>
      </c>
      <c r="H1965" t="s">
        <v>54</v>
      </c>
      <c r="I1965">
        <v>201600</v>
      </c>
      <c r="J1965">
        <v>39300</v>
      </c>
      <c r="K1965">
        <v>0.21</v>
      </c>
      <c r="L196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1965">
        <v>0</v>
      </c>
      <c r="N1965">
        <v>0</v>
      </c>
      <c r="O1965">
        <v>0</v>
      </c>
      <c r="P1965">
        <v>13398.7528</v>
      </c>
      <c r="Q1965">
        <v>63903</v>
      </c>
      <c r="R1965">
        <f>(Grandview_Inventory[[#This Row],[ln_acres]]*Grandview_Inventory[[#This Row],[coeff]])+Grandview_Inventory[[#This Row],[const]]</f>
        <v>42992.266613125081</v>
      </c>
      <c r="S1965" t="s">
        <v>61</v>
      </c>
      <c r="T1965">
        <v>1</v>
      </c>
      <c r="U1965" t="s">
        <v>65</v>
      </c>
      <c r="V1965" t="s">
        <v>67</v>
      </c>
      <c r="W1965">
        <v>0</v>
      </c>
      <c r="X1965">
        <v>0</v>
      </c>
      <c r="Y1965">
        <v>34</v>
      </c>
      <c r="Z1965">
        <v>41</v>
      </c>
      <c r="AA1965">
        <v>50</v>
      </c>
      <c r="AB1965">
        <v>2000</v>
      </c>
      <c r="AC1965">
        <v>1648</v>
      </c>
      <c r="AD1965">
        <v>1648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774</v>
      </c>
      <c r="AN1965">
        <v>0</v>
      </c>
      <c r="AO1965">
        <v>774</v>
      </c>
      <c r="AP1965">
        <v>10</v>
      </c>
      <c r="AQ1965">
        <v>0</v>
      </c>
      <c r="AR1965">
        <v>0</v>
      </c>
      <c r="AS1965" t="s">
        <v>58</v>
      </c>
      <c r="AT1965">
        <v>1</v>
      </c>
      <c r="AU1965" t="s">
        <v>63</v>
      </c>
      <c r="AV1965" t="s">
        <v>60</v>
      </c>
      <c r="AW1965">
        <v>0</v>
      </c>
      <c r="AX1965">
        <v>4</v>
      </c>
      <c r="AY1965">
        <v>0</v>
      </c>
      <c r="AZ1965">
        <v>0</v>
      </c>
      <c r="BA1965">
        <v>100</v>
      </c>
      <c r="BB1965">
        <v>100</v>
      </c>
      <c r="BC1965">
        <v>100</v>
      </c>
      <c r="BD1965">
        <v>100</v>
      </c>
      <c r="BE1965">
        <v>1</v>
      </c>
      <c r="BF1965">
        <v>15000</v>
      </c>
      <c r="BG1965">
        <v>1000</v>
      </c>
      <c r="BH1965" s="6">
        <f>Grandview_Inventory[[#This Row],[land_extract]]*Lookups!$B$3</f>
        <v>49926.8031387023</v>
      </c>
      <c r="BI1965" s="6">
        <f>IF(Grandview_Inventory[[#This Row],[bldg_style]]="",0,Lookups!$B$2)</f>
        <v>155833.95000000001</v>
      </c>
      <c r="BJ1965" s="6">
        <f>_xlfn.IFNA(VLOOKUP(Grandview_Inventory[[#This Row],[quality]],Lookups!$H$2:$J$14,3,FALSE),0)</f>
        <v>2251</v>
      </c>
      <c r="BK1965" s="6">
        <f>_xlfn.IFNA(VLOOKUP(Grandview_Inventory[[#This Row],[condition]],Lookups!$H$17:$J$24,3,FALSE),0)</f>
        <v>22342</v>
      </c>
      <c r="BL1965" s="6">
        <f>Grandview_Inventory[[#This Row],[Eff_Age]]*Lookups!$B$14</f>
        <v>-8131.6643999999997</v>
      </c>
      <c r="BM1965" s="6">
        <f>Grandview_Inventory[[#This Row],[living_area]]*Lookups!$B$15</f>
        <v>102803.64574400001</v>
      </c>
      <c r="BN1965" s="6">
        <f>Grandview_Inventory[[#This Row],[Fin BSMT]]*Lookups!$B$16</f>
        <v>0</v>
      </c>
      <c r="BO1965" s="6">
        <f>(Grandview_Inventory[[#This Row],[att_gar]]+Grandview_Inventory[[#This Row],[bltin_gar]])*Lookups!$B$17</f>
        <v>0</v>
      </c>
      <c r="BP1965" s="6">
        <f>Grandview_Inventory[[#This Row],[Plumbing Fixtures]]*Lookups!$B$18</f>
        <v>20104.418000000001</v>
      </c>
      <c r="BQ1965" s="6">
        <f>Grandview_Inventory[[#This Row],[detatched_value]]*Lookups!$B$19</f>
        <v>0</v>
      </c>
      <c r="BR1965" s="6">
        <f>SUM(Grandview_Inventory[[#This Row],[Intercept]:[det_value]])*Grandview_Inventory[[#This Row],[res_pct]]</f>
        <v>295203.34934400005</v>
      </c>
      <c r="BS1965" s="6">
        <f>Grandview_Inventory[[#This Row],[land_value]]</f>
        <v>49926.8031387023</v>
      </c>
      <c r="BT1965" s="4">
        <f>_xlfn.IFNA(VLOOKUP(Grandview_Inventory[[#This Row],[quality]],Lookups!$A$26:$C$33,3,FALSE),1)</f>
        <v>0.98763855981004833</v>
      </c>
      <c r="BU1965" s="4">
        <f>_xlfn.IFNA(VLOOKUP(Grandview_Inventory[[#This Row],[condition]],Lookups!$A$37:$C$44,3,FALSE),1)</f>
        <v>0.97383723671140243</v>
      </c>
      <c r="BV1965" s="4">
        <f>IF(Grandview_Inventory[[#This Row],[bldg_style]]="",1,_xlfn.IFNA(VLOOKUP(Grandview_Inventory[[#This Row],[decade]],Lookups!$F$29:$H$43,3,FALSE),1))</f>
        <v>0.9871940091910919</v>
      </c>
      <c r="BW1965" s="4">
        <f>_xlfn.IFNA(VLOOKUP(Grandview_Inventory[[#This Row],[living_area_range]],Lookups!$F$47:$H$56,3,FALSE),1)</f>
        <v>0.96120133463014379</v>
      </c>
      <c r="BX1965" s="4">
        <f>AVERAGE(Grandview_Inventory[[#This Row],[qual_adj]:[size_adj]])</f>
        <v>0.97746778508567167</v>
      </c>
      <c r="BY1965" s="6">
        <f>IF(Grandview_Inventory[[#This Row],[pre_res]]&lt;0,0,Grandview_Inventory[[#This Row],[pre_res]]*Grandview_Inventory[[#This Row],[overall_adj]])</f>
        <v>288551.7640331515</v>
      </c>
      <c r="BZ1965" s="6">
        <f>(Grandview_Inventory[[#This Row],[sum_land]]-IF(Grandview_Inventory[[#This Row],[no_utilities]]=1,12000,0))/IF(Grandview_Inventory[[#This Row],[unbuildable]]=1,2,1)</f>
        <v>49926.8031387023</v>
      </c>
      <c r="CA196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1965">
        <f>ROUND(Grandview_Inventory[[#This Row],[det_value]]*Lookups!$M$28,-2)</f>
        <v>0</v>
      </c>
      <c r="CC1965">
        <f>IF(ROUND(Grandview_Inventory[[#This Row],[adj_res]]*Lookups!$M$28,-2)&lt;Grandview_Inventory[[#This Row],[min_res]],Grandview_Inventory[[#This Row],[min_res]],ROUND(Grandview_Inventory[[#This Row],[adj_res]]*Lookups!$M$28,-2))</f>
        <v>274100</v>
      </c>
      <c r="CD1965">
        <f>Grandview_Inventory[[#This Row],[final_det]]+Grandview_Inventory[[#This Row],[final_res]]</f>
        <v>274100</v>
      </c>
      <c r="CE1965">
        <f>Grandview_Inventory[[#This Row],[final_land]]+Grandview_Inventory[[#This Row],[final_imp]]+Grandview_Inventory[[#This Row],[crop_value]]</f>
        <v>321500</v>
      </c>
      <c r="CG1965" t="str">
        <f t="shared" si="30"/>
        <v>update valuation set market_land =47400, market_bldg=274100, market_total =321500, market_mdno =401, market_date ='9/10/2023' where link_id = (select link_id from parcel where parcel_year = '2024' and parcel_id = '23092343437');</v>
      </c>
    </row>
    <row r="1966" spans="1:85" x14ac:dyDescent="0.25">
      <c r="A1966">
        <v>23092343438</v>
      </c>
      <c r="B1966">
        <v>0.19</v>
      </c>
      <c r="C1966">
        <v>8463</v>
      </c>
      <c r="D1966" t="s">
        <v>129</v>
      </c>
      <c r="E1966" t="s">
        <v>53</v>
      </c>
      <c r="F1966" t="s">
        <v>53</v>
      </c>
      <c r="G1966">
        <v>4</v>
      </c>
      <c r="H1966" t="s">
        <v>54</v>
      </c>
      <c r="I1966">
        <v>150900</v>
      </c>
      <c r="J1966">
        <v>39100</v>
      </c>
      <c r="K1966">
        <v>0.19</v>
      </c>
      <c r="L196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1966">
        <v>0</v>
      </c>
      <c r="N1966">
        <v>0</v>
      </c>
      <c r="O1966">
        <v>0</v>
      </c>
      <c r="P1966">
        <v>13398.7528</v>
      </c>
      <c r="Q1966">
        <v>63903</v>
      </c>
      <c r="R1966">
        <f>(Grandview_Inventory[[#This Row],[ln_acres]]*Grandview_Inventory[[#This Row],[coeff]])+Grandview_Inventory[[#This Row],[const]]</f>
        <v>41651.273092551026</v>
      </c>
      <c r="S1966" t="s">
        <v>61</v>
      </c>
      <c r="T1966">
        <v>1</v>
      </c>
      <c r="U1966" t="s">
        <v>70</v>
      </c>
      <c r="V1966" t="s">
        <v>69</v>
      </c>
      <c r="W1966">
        <v>0</v>
      </c>
      <c r="X1966">
        <v>0</v>
      </c>
      <c r="Y1966">
        <v>41</v>
      </c>
      <c r="Z1966">
        <v>41</v>
      </c>
      <c r="AA1966">
        <v>50</v>
      </c>
      <c r="AB1966">
        <v>1500</v>
      </c>
      <c r="AC1966">
        <v>1360</v>
      </c>
      <c r="AD1966">
        <v>1360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32</v>
      </c>
      <c r="AO1966">
        <v>0</v>
      </c>
      <c r="AP1966">
        <v>5</v>
      </c>
      <c r="AQ1966">
        <v>0</v>
      </c>
      <c r="AR1966">
        <v>0</v>
      </c>
      <c r="AS1966" t="s">
        <v>58</v>
      </c>
      <c r="AT1966">
        <v>1</v>
      </c>
      <c r="AU1966" t="s">
        <v>63</v>
      </c>
      <c r="AV1966" t="s">
        <v>60</v>
      </c>
      <c r="AW1966">
        <v>0</v>
      </c>
      <c r="AX1966">
        <v>4</v>
      </c>
      <c r="AY1966">
        <v>0</v>
      </c>
      <c r="AZ1966">
        <v>0</v>
      </c>
      <c r="BA1966">
        <v>100</v>
      </c>
      <c r="BB1966">
        <v>100</v>
      </c>
      <c r="BC1966">
        <v>100</v>
      </c>
      <c r="BD1966">
        <v>100</v>
      </c>
      <c r="BE1966">
        <v>1</v>
      </c>
      <c r="BF1966">
        <v>15000</v>
      </c>
      <c r="BG1966">
        <v>1000</v>
      </c>
      <c r="BH1966" s="6">
        <f>Grandview_Inventory[[#This Row],[land_extract]]*Lookups!$B$3</f>
        <v>48369.510983942157</v>
      </c>
      <c r="BI1966" s="6">
        <f>IF(Grandview_Inventory[[#This Row],[bldg_style]]="",0,Lookups!$B$2)</f>
        <v>155833.95000000001</v>
      </c>
      <c r="BJ1966" s="6">
        <f>_xlfn.IFNA(VLOOKUP(Grandview_Inventory[[#This Row],[quality]],Lookups!$H$2:$J$14,3,FALSE),0)</f>
        <v>10733</v>
      </c>
      <c r="BK1966" s="6">
        <f>_xlfn.IFNA(VLOOKUP(Grandview_Inventory[[#This Row],[condition]],Lookups!$H$17:$J$24,3,FALSE),0)</f>
        <v>-4503</v>
      </c>
      <c r="BL1966" s="6">
        <f>Grandview_Inventory[[#This Row],[Eff_Age]]*Lookups!$B$14</f>
        <v>-9805.8305999999993</v>
      </c>
      <c r="BM1966" s="6">
        <f>Grandview_Inventory[[#This Row],[living_area]]*Lookups!$B$15</f>
        <v>84837.960080000004</v>
      </c>
      <c r="BN1966" s="6">
        <f>Grandview_Inventory[[#This Row],[Fin BSMT]]*Lookups!$B$16</f>
        <v>0</v>
      </c>
      <c r="BO1966" s="6">
        <f>(Grandview_Inventory[[#This Row],[att_gar]]+Grandview_Inventory[[#This Row],[bltin_gar]])*Lookups!$B$17</f>
        <v>0</v>
      </c>
      <c r="BP1966" s="6">
        <f>Grandview_Inventory[[#This Row],[Plumbing Fixtures]]*Lookups!$B$18</f>
        <v>10052.209000000001</v>
      </c>
      <c r="BQ1966" s="6">
        <f>Grandview_Inventory[[#This Row],[detatched_value]]*Lookups!$B$19</f>
        <v>0</v>
      </c>
      <c r="BR1966" s="6">
        <f>SUM(Grandview_Inventory[[#This Row],[Intercept]:[det_value]])*Grandview_Inventory[[#This Row],[res_pct]]</f>
        <v>247148.28848000002</v>
      </c>
      <c r="BS1966" s="6">
        <f>Grandview_Inventory[[#This Row],[land_value]]</f>
        <v>48369.510983942157</v>
      </c>
      <c r="BT1966" s="4">
        <f>_xlfn.IFNA(VLOOKUP(Grandview_Inventory[[#This Row],[quality]],Lookups!$A$26:$C$33,3,FALSE),1)</f>
        <v>0.98079741117310582</v>
      </c>
      <c r="BU1966" s="4">
        <f>_xlfn.IFNA(VLOOKUP(Grandview_Inventory[[#This Row],[condition]],Lookups!$A$37:$C$44,3,FALSE),1)</f>
        <v>0.96469275950863709</v>
      </c>
      <c r="BV1966" s="4">
        <f>IF(Grandview_Inventory[[#This Row],[bldg_style]]="",1,_xlfn.IFNA(VLOOKUP(Grandview_Inventory[[#This Row],[decade]],Lookups!$F$29:$H$43,3,FALSE),1))</f>
        <v>0.9871940091910919</v>
      </c>
      <c r="BW1966" s="4">
        <f>_xlfn.IFNA(VLOOKUP(Grandview_Inventory[[#This Row],[living_area_range]],Lookups!$F$47:$H$56,3,FALSE),1)</f>
        <v>0.96135087979789358</v>
      </c>
      <c r="BX1966" s="4">
        <f>AVERAGE(Grandview_Inventory[[#This Row],[qual_adj]:[size_adj]])</f>
        <v>0.97350876491768212</v>
      </c>
      <c r="BY1966" s="6">
        <f>IF(Grandview_Inventory[[#This Row],[pre_res]]&lt;0,0,Grandview_Inventory[[#This Row],[pre_res]]*Grandview_Inventory[[#This Row],[overall_adj]])</f>
        <v>240601.02506968382</v>
      </c>
      <c r="BZ1966" s="6">
        <f>(Grandview_Inventory[[#This Row],[sum_land]]-IF(Grandview_Inventory[[#This Row],[no_utilities]]=1,12000,0))/IF(Grandview_Inventory[[#This Row],[unbuildable]]=1,2,1)</f>
        <v>48369.510983942157</v>
      </c>
      <c r="CA196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1966">
        <f>ROUND(Grandview_Inventory[[#This Row],[det_value]]*Lookups!$M$28,-2)</f>
        <v>0</v>
      </c>
      <c r="CC1966">
        <f>IF(ROUND(Grandview_Inventory[[#This Row],[adj_res]]*Lookups!$M$28,-2)&lt;Grandview_Inventory[[#This Row],[min_res]],Grandview_Inventory[[#This Row],[min_res]],ROUND(Grandview_Inventory[[#This Row],[adj_res]]*Lookups!$M$28,-2))</f>
        <v>228600</v>
      </c>
      <c r="CD1966">
        <f>Grandview_Inventory[[#This Row],[final_det]]+Grandview_Inventory[[#This Row],[final_res]]</f>
        <v>228600</v>
      </c>
      <c r="CE1966">
        <f>Grandview_Inventory[[#This Row],[final_land]]+Grandview_Inventory[[#This Row],[final_imp]]+Grandview_Inventory[[#This Row],[crop_value]]</f>
        <v>274600</v>
      </c>
      <c r="CG1966" t="str">
        <f t="shared" si="30"/>
        <v>update valuation set market_land =46000, market_bldg=228600, market_total =274600, market_mdno =401, market_date ='9/10/2023' where link_id = (select link_id from parcel where parcel_year = '2024' and parcel_id = '23092343438');</v>
      </c>
    </row>
    <row r="1967" spans="1:85" x14ac:dyDescent="0.25">
      <c r="A1967">
        <v>23092343439</v>
      </c>
      <c r="B1967">
        <v>0.22</v>
      </c>
      <c r="C1967">
        <v>9560</v>
      </c>
      <c r="D1967" t="s">
        <v>129</v>
      </c>
      <c r="E1967" t="s">
        <v>53</v>
      </c>
      <c r="F1967" t="s">
        <v>53</v>
      </c>
      <c r="G1967">
        <v>4</v>
      </c>
      <c r="H1967" t="s">
        <v>54</v>
      </c>
      <c r="I1967">
        <v>167800</v>
      </c>
      <c r="J1967">
        <v>39500</v>
      </c>
      <c r="K1967">
        <v>0.22</v>
      </c>
      <c r="L196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967">
        <v>0</v>
      </c>
      <c r="N1967">
        <v>0</v>
      </c>
      <c r="O1967">
        <v>0</v>
      </c>
      <c r="P1967">
        <v>13398.7528</v>
      </c>
      <c r="Q1967">
        <v>63903</v>
      </c>
      <c r="R1967">
        <f>(Grandview_Inventory[[#This Row],[ln_acres]]*Grandview_Inventory[[#This Row],[coeff]])+Grandview_Inventory[[#This Row],[const]]</f>
        <v>43615.576802869145</v>
      </c>
      <c r="S1967" t="s">
        <v>61</v>
      </c>
      <c r="T1967">
        <v>1</v>
      </c>
      <c r="U1967" t="s">
        <v>70</v>
      </c>
      <c r="V1967" t="s">
        <v>69</v>
      </c>
      <c r="W1967">
        <v>0</v>
      </c>
      <c r="X1967">
        <v>0</v>
      </c>
      <c r="Y1967">
        <v>41</v>
      </c>
      <c r="Z1967">
        <v>41</v>
      </c>
      <c r="AA1967">
        <v>50</v>
      </c>
      <c r="AB1967">
        <v>1500</v>
      </c>
      <c r="AC1967">
        <v>1008</v>
      </c>
      <c r="AD1967">
        <v>1008</v>
      </c>
      <c r="AE1967">
        <v>0</v>
      </c>
      <c r="AF1967">
        <v>0</v>
      </c>
      <c r="AG1967">
        <v>0</v>
      </c>
      <c r="AH1967">
        <v>0</v>
      </c>
      <c r="AI1967">
        <v>336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5</v>
      </c>
      <c r="AQ1967">
        <v>0</v>
      </c>
      <c r="AR1967">
        <v>0</v>
      </c>
      <c r="AS1967" t="s">
        <v>58</v>
      </c>
      <c r="AT1967">
        <v>1</v>
      </c>
      <c r="AU1967" t="s">
        <v>63</v>
      </c>
      <c r="AV1967" t="s">
        <v>60</v>
      </c>
      <c r="AW1967">
        <v>1</v>
      </c>
      <c r="AX1967">
        <v>3</v>
      </c>
      <c r="AY1967">
        <v>0</v>
      </c>
      <c r="AZ1967">
        <v>0</v>
      </c>
      <c r="BA1967">
        <v>100</v>
      </c>
      <c r="BB1967">
        <v>100</v>
      </c>
      <c r="BC1967">
        <v>100</v>
      </c>
      <c r="BD1967">
        <v>100</v>
      </c>
      <c r="BE1967">
        <v>1</v>
      </c>
      <c r="BF1967">
        <v>15000</v>
      </c>
      <c r="BG1967">
        <v>1000</v>
      </c>
      <c r="BH1967" s="6">
        <f>Grandview_Inventory[[#This Row],[land_extract]]*Lookups!$B$3</f>
        <v>50650.651579114572</v>
      </c>
      <c r="BI1967" s="6">
        <f>IF(Grandview_Inventory[[#This Row],[bldg_style]]="",0,Lookups!$B$2)</f>
        <v>155833.95000000001</v>
      </c>
      <c r="BJ1967" s="6">
        <f>_xlfn.IFNA(VLOOKUP(Grandview_Inventory[[#This Row],[quality]],Lookups!$H$2:$J$14,3,FALSE),0)</f>
        <v>10733</v>
      </c>
      <c r="BK1967" s="6">
        <f>_xlfn.IFNA(VLOOKUP(Grandview_Inventory[[#This Row],[condition]],Lookups!$H$17:$J$24,3,FALSE),0)</f>
        <v>-4503</v>
      </c>
      <c r="BL1967" s="6">
        <f>Grandview_Inventory[[#This Row],[Eff_Age]]*Lookups!$B$14</f>
        <v>-9805.8305999999993</v>
      </c>
      <c r="BM1967" s="6">
        <f>Grandview_Inventory[[#This Row],[living_area]]*Lookups!$B$15</f>
        <v>62879.899824</v>
      </c>
      <c r="BN1967" s="6">
        <f>Grandview_Inventory[[#This Row],[Fin BSMT]]*Lookups!$B$16</f>
        <v>0</v>
      </c>
      <c r="BO1967" s="6">
        <f>(Grandview_Inventory[[#This Row],[att_gar]]+Grandview_Inventory[[#This Row],[bltin_gar]])*Lookups!$B$17</f>
        <v>29406.866832</v>
      </c>
      <c r="BP1967" s="6">
        <f>Grandview_Inventory[[#This Row],[Plumbing Fixtures]]*Lookups!$B$18</f>
        <v>10052.209000000001</v>
      </c>
      <c r="BQ1967" s="6">
        <f>Grandview_Inventory[[#This Row],[detatched_value]]*Lookups!$B$19</f>
        <v>0</v>
      </c>
      <c r="BR1967" s="6">
        <f>SUM(Grandview_Inventory[[#This Row],[Intercept]:[det_value]])*Grandview_Inventory[[#This Row],[res_pct]]</f>
        <v>254597.09505600002</v>
      </c>
      <c r="BS1967" s="6">
        <f>Grandview_Inventory[[#This Row],[land_value]]</f>
        <v>50650.651579114572</v>
      </c>
      <c r="BT1967" s="4">
        <f>_xlfn.IFNA(VLOOKUP(Grandview_Inventory[[#This Row],[quality]],Lookups!$A$26:$C$33,3,FALSE),1)</f>
        <v>0.98079741117310582</v>
      </c>
      <c r="BU1967" s="4">
        <f>_xlfn.IFNA(VLOOKUP(Grandview_Inventory[[#This Row],[condition]],Lookups!$A$37:$C$44,3,FALSE),1)</f>
        <v>0.96469275950863709</v>
      </c>
      <c r="BV1967" s="4">
        <f>IF(Grandview_Inventory[[#This Row],[bldg_style]]="",1,_xlfn.IFNA(VLOOKUP(Grandview_Inventory[[#This Row],[decade]],Lookups!$F$29:$H$43,3,FALSE),1))</f>
        <v>0.9871940091910919</v>
      </c>
      <c r="BW1967" s="4">
        <f>_xlfn.IFNA(VLOOKUP(Grandview_Inventory[[#This Row],[living_area_range]],Lookups!$F$47:$H$56,3,FALSE),1)</f>
        <v>0.96135087979789358</v>
      </c>
      <c r="BX1967" s="4">
        <f>AVERAGE(Grandview_Inventory[[#This Row],[qual_adj]:[size_adj]])</f>
        <v>0.97350876491768212</v>
      </c>
      <c r="BY1967" s="6">
        <f>IF(Grandview_Inventory[[#This Row],[pre_res]]&lt;0,0,Grandview_Inventory[[#This Row],[pre_res]]*Grandview_Inventory[[#This Row],[overall_adj]])</f>
        <v>247852.50355959628</v>
      </c>
      <c r="BZ1967" s="6">
        <f>(Grandview_Inventory[[#This Row],[sum_land]]-IF(Grandview_Inventory[[#This Row],[no_utilities]]=1,12000,0))/IF(Grandview_Inventory[[#This Row],[unbuildable]]=1,2,1)</f>
        <v>50650.651579114572</v>
      </c>
      <c r="CA196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967">
        <f>ROUND(Grandview_Inventory[[#This Row],[det_value]]*Lookups!$M$28,-2)</f>
        <v>0</v>
      </c>
      <c r="CC1967">
        <f>IF(ROUND(Grandview_Inventory[[#This Row],[adj_res]]*Lookups!$M$28,-2)&lt;Grandview_Inventory[[#This Row],[min_res]],Grandview_Inventory[[#This Row],[min_res]],ROUND(Grandview_Inventory[[#This Row],[adj_res]]*Lookups!$M$28,-2))</f>
        <v>235500</v>
      </c>
      <c r="CD1967">
        <f>Grandview_Inventory[[#This Row],[final_det]]+Grandview_Inventory[[#This Row],[final_res]]</f>
        <v>235500</v>
      </c>
      <c r="CE1967">
        <f>Grandview_Inventory[[#This Row],[final_land]]+Grandview_Inventory[[#This Row],[final_imp]]+Grandview_Inventory[[#This Row],[crop_value]]</f>
        <v>283600</v>
      </c>
      <c r="CG1967" t="str">
        <f t="shared" si="30"/>
        <v>update valuation set market_land =48100, market_bldg=235500, market_total =283600, market_mdno =401, market_date ='9/10/2023' where link_id = (select link_id from parcel where parcel_year = '2024' and parcel_id = '23092343439');</v>
      </c>
    </row>
    <row r="1968" spans="1:85" x14ac:dyDescent="0.25">
      <c r="A1968">
        <v>23092343440</v>
      </c>
      <c r="B1968">
        <v>0.16</v>
      </c>
      <c r="C1968">
        <v>7108</v>
      </c>
      <c r="D1968" t="s">
        <v>129</v>
      </c>
      <c r="E1968" t="s">
        <v>53</v>
      </c>
      <c r="F1968" t="s">
        <v>53</v>
      </c>
      <c r="G1968">
        <v>4</v>
      </c>
      <c r="H1968" t="s">
        <v>54</v>
      </c>
      <c r="I1968">
        <v>138200</v>
      </c>
      <c r="J1968">
        <v>38800</v>
      </c>
      <c r="K1968">
        <v>0.16</v>
      </c>
      <c r="L196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68">
        <v>0</v>
      </c>
      <c r="N1968">
        <v>0</v>
      </c>
      <c r="O1968">
        <v>0</v>
      </c>
      <c r="P1968">
        <v>13398.7528</v>
      </c>
      <c r="Q1968">
        <v>63903</v>
      </c>
      <c r="R1968">
        <f>(Grandview_Inventory[[#This Row],[ln_acres]]*Grandview_Inventory[[#This Row],[coeff]])+Grandview_Inventory[[#This Row],[const]]</f>
        <v>39348.693981374228</v>
      </c>
      <c r="S1968" t="s">
        <v>61</v>
      </c>
      <c r="T1968">
        <v>1</v>
      </c>
      <c r="U1968" t="s">
        <v>70</v>
      </c>
      <c r="V1968" t="s">
        <v>78</v>
      </c>
      <c r="W1968">
        <v>0</v>
      </c>
      <c r="X1968">
        <v>0</v>
      </c>
      <c r="Y1968">
        <v>31</v>
      </c>
      <c r="Z1968">
        <v>31</v>
      </c>
      <c r="AA1968">
        <v>40</v>
      </c>
      <c r="AB1968">
        <v>1500</v>
      </c>
      <c r="AC1968">
        <v>1248</v>
      </c>
      <c r="AD1968">
        <v>1248</v>
      </c>
      <c r="AE1968">
        <v>0</v>
      </c>
      <c r="AF1968">
        <v>0</v>
      </c>
      <c r="AG1968">
        <v>0</v>
      </c>
      <c r="AH1968">
        <v>0</v>
      </c>
      <c r="AI1968">
        <v>276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8</v>
      </c>
      <c r="AQ1968">
        <v>0</v>
      </c>
      <c r="AR1968">
        <v>0</v>
      </c>
      <c r="AS1968" t="s">
        <v>58</v>
      </c>
      <c r="AT1968">
        <v>1</v>
      </c>
      <c r="AU1968" t="s">
        <v>75</v>
      </c>
      <c r="AV1968" t="s">
        <v>60</v>
      </c>
      <c r="AW1968">
        <v>0</v>
      </c>
      <c r="AX1968">
        <v>4</v>
      </c>
      <c r="AY1968">
        <v>0</v>
      </c>
      <c r="AZ1968">
        <v>0</v>
      </c>
      <c r="BA1968">
        <v>100</v>
      </c>
      <c r="BB1968">
        <v>100</v>
      </c>
      <c r="BC1968">
        <v>100</v>
      </c>
      <c r="BD1968">
        <v>100</v>
      </c>
      <c r="BE1968">
        <v>1</v>
      </c>
      <c r="BF1968">
        <v>15000</v>
      </c>
      <c r="BG1968">
        <v>1000</v>
      </c>
      <c r="BH1968" s="6">
        <f>Grandview_Inventory[[#This Row],[land_extract]]*Lookups!$B$3</f>
        <v>45695.532079096141</v>
      </c>
      <c r="BI1968" s="6">
        <f>IF(Grandview_Inventory[[#This Row],[bldg_style]]="",0,Lookups!$B$2)</f>
        <v>155833.95000000001</v>
      </c>
      <c r="BJ1968" s="6">
        <f>_xlfn.IFNA(VLOOKUP(Grandview_Inventory[[#This Row],[quality]],Lookups!$H$2:$J$14,3,FALSE),0)</f>
        <v>10733</v>
      </c>
      <c r="BK1968" s="6">
        <f>_xlfn.IFNA(VLOOKUP(Grandview_Inventory[[#This Row],[condition]],Lookups!$H$17:$J$24,3,FALSE),0)</f>
        <v>-45357</v>
      </c>
      <c r="BL1968" s="6">
        <f>Grandview_Inventory[[#This Row],[Eff_Age]]*Lookups!$B$14</f>
        <v>-7414.1646000000001</v>
      </c>
      <c r="BM1968" s="6">
        <f>Grandview_Inventory[[#This Row],[living_area]]*Lookups!$B$15</f>
        <v>77851.304543999999</v>
      </c>
      <c r="BN1968" s="6">
        <f>Grandview_Inventory[[#This Row],[Fin BSMT]]*Lookups!$B$16</f>
        <v>0</v>
      </c>
      <c r="BO1968" s="6">
        <f>(Grandview_Inventory[[#This Row],[att_gar]]+Grandview_Inventory[[#This Row],[bltin_gar]])*Lookups!$B$17</f>
        <v>24155.640611999999</v>
      </c>
      <c r="BP1968" s="6">
        <f>Grandview_Inventory[[#This Row],[Plumbing Fixtures]]*Lookups!$B$18</f>
        <v>16083.5344</v>
      </c>
      <c r="BQ1968" s="6">
        <f>Grandview_Inventory[[#This Row],[detatched_value]]*Lookups!$B$19</f>
        <v>0</v>
      </c>
      <c r="BR1968" s="6">
        <f>SUM(Grandview_Inventory[[#This Row],[Intercept]:[det_value]])*Grandview_Inventory[[#This Row],[res_pct]]</f>
        <v>231886.264956</v>
      </c>
      <c r="BS1968" s="6">
        <f>Grandview_Inventory[[#This Row],[land_value]]</f>
        <v>45695.532079096141</v>
      </c>
      <c r="BT1968" s="4">
        <f>_xlfn.IFNA(VLOOKUP(Grandview_Inventory[[#This Row],[quality]],Lookups!$A$26:$C$33,3,FALSE),1)</f>
        <v>0.98079741117310582</v>
      </c>
      <c r="BU1968" s="4">
        <f>_xlfn.IFNA(VLOOKUP(Grandview_Inventory[[#This Row],[condition]],Lookups!$A$37:$C$44,3,FALSE),1)</f>
        <v>0.97161819570155394</v>
      </c>
      <c r="BV1968" s="4">
        <f>IF(Grandview_Inventory[[#This Row],[bldg_style]]="",1,_xlfn.IFNA(VLOOKUP(Grandview_Inventory[[#This Row],[decade]],Lookups!$F$29:$H$43,3,FALSE),1))</f>
        <v>0.98031878267063854</v>
      </c>
      <c r="BW1968" s="4">
        <f>_xlfn.IFNA(VLOOKUP(Grandview_Inventory[[#This Row],[living_area_range]],Lookups!$F$47:$H$56,3,FALSE),1)</f>
        <v>0.96135087979789358</v>
      </c>
      <c r="BX1968" s="4">
        <f>AVERAGE(Grandview_Inventory[[#This Row],[qual_adj]:[size_adj]])</f>
        <v>0.97352131733579794</v>
      </c>
      <c r="BY1968" s="6">
        <f>IF(Grandview_Inventory[[#This Row],[pre_res]]&lt;0,0,Grandview_Inventory[[#This Row],[pre_res]]*Grandview_Inventory[[#This Row],[overall_adj]])</f>
        <v>225746.22213204301</v>
      </c>
      <c r="BZ1968" s="6">
        <f>(Grandview_Inventory[[#This Row],[sum_land]]-IF(Grandview_Inventory[[#This Row],[no_utilities]]=1,12000,0))/IF(Grandview_Inventory[[#This Row],[unbuildable]]=1,2,1)</f>
        <v>45695.532079096141</v>
      </c>
      <c r="CA196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68">
        <f>ROUND(Grandview_Inventory[[#This Row],[det_value]]*Lookups!$M$28,-2)</f>
        <v>0</v>
      </c>
      <c r="CC1968">
        <f>IF(ROUND(Grandview_Inventory[[#This Row],[adj_res]]*Lookups!$M$28,-2)&lt;Grandview_Inventory[[#This Row],[min_res]],Grandview_Inventory[[#This Row],[min_res]],ROUND(Grandview_Inventory[[#This Row],[adj_res]]*Lookups!$M$28,-2))</f>
        <v>214500</v>
      </c>
      <c r="CD1968">
        <f>Grandview_Inventory[[#This Row],[final_det]]+Grandview_Inventory[[#This Row],[final_res]]</f>
        <v>214500</v>
      </c>
      <c r="CE1968">
        <f>Grandview_Inventory[[#This Row],[final_land]]+Grandview_Inventory[[#This Row],[final_imp]]+Grandview_Inventory[[#This Row],[crop_value]]</f>
        <v>257900</v>
      </c>
      <c r="CG1968" t="str">
        <f t="shared" si="30"/>
        <v>update valuation set market_land =43400, market_bldg=214500, market_total =257900, market_mdno =401, market_date ='9/10/2023' where link_id = (select link_id from parcel where parcel_year = '2024' and parcel_id = '23092343440');</v>
      </c>
    </row>
    <row r="1969" spans="1:85" x14ac:dyDescent="0.25">
      <c r="A1969">
        <v>23092343441</v>
      </c>
      <c r="B1969">
        <v>0.2</v>
      </c>
      <c r="C1969">
        <v>8826</v>
      </c>
      <c r="D1969" t="s">
        <v>129</v>
      </c>
      <c r="E1969" t="s">
        <v>53</v>
      </c>
      <c r="F1969" t="s">
        <v>53</v>
      </c>
      <c r="G1969">
        <v>4</v>
      </c>
      <c r="H1969" t="s">
        <v>54</v>
      </c>
      <c r="I1969">
        <v>186400</v>
      </c>
      <c r="J1969">
        <v>39300</v>
      </c>
      <c r="K1969">
        <v>0.2</v>
      </c>
      <c r="L196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969">
        <v>0</v>
      </c>
      <c r="N1969">
        <v>0</v>
      </c>
      <c r="O1969">
        <v>0</v>
      </c>
      <c r="P1969">
        <v>13398.7528</v>
      </c>
      <c r="Q1969">
        <v>63903</v>
      </c>
      <c r="R1969">
        <f>(Grandview_Inventory[[#This Row],[ln_acres]]*Grandview_Inventory[[#This Row],[coeff]])+Grandview_Inventory[[#This Row],[const]]</f>
        <v>42338.539264347448</v>
      </c>
      <c r="S1969" t="s">
        <v>61</v>
      </c>
      <c r="T1969">
        <v>1</v>
      </c>
      <c r="U1969" t="s">
        <v>65</v>
      </c>
      <c r="V1969" t="s">
        <v>69</v>
      </c>
      <c r="W1969">
        <v>0</v>
      </c>
      <c r="X1969">
        <v>0</v>
      </c>
      <c r="Y1969">
        <v>27</v>
      </c>
      <c r="Z1969">
        <v>27</v>
      </c>
      <c r="AA1969">
        <v>30</v>
      </c>
      <c r="AB1969">
        <v>2000</v>
      </c>
      <c r="AC1969">
        <v>1648</v>
      </c>
      <c r="AD1969">
        <v>1648</v>
      </c>
      <c r="AE1969">
        <v>0</v>
      </c>
      <c r="AF1969">
        <v>0</v>
      </c>
      <c r="AG1969">
        <v>0</v>
      </c>
      <c r="AH1969">
        <v>0</v>
      </c>
      <c r="AI1969">
        <v>308</v>
      </c>
      <c r="AJ1969">
        <v>0</v>
      </c>
      <c r="AK1969">
        <v>0</v>
      </c>
      <c r="AL1969">
        <v>0</v>
      </c>
      <c r="AM1969">
        <v>0</v>
      </c>
      <c r="AN1969">
        <v>216</v>
      </c>
      <c r="AO1969">
        <v>0</v>
      </c>
      <c r="AP1969">
        <v>10</v>
      </c>
      <c r="AQ1969">
        <v>0</v>
      </c>
      <c r="AR1969">
        <v>0</v>
      </c>
      <c r="AS1969" t="s">
        <v>58</v>
      </c>
      <c r="AT1969">
        <v>1</v>
      </c>
      <c r="AU1969" t="s">
        <v>75</v>
      </c>
      <c r="AV1969" t="s">
        <v>60</v>
      </c>
      <c r="AW1969">
        <v>0</v>
      </c>
      <c r="AX1969">
        <v>5</v>
      </c>
      <c r="AY1969">
        <v>0</v>
      </c>
      <c r="AZ1969">
        <v>0</v>
      </c>
      <c r="BA1969">
        <v>100</v>
      </c>
      <c r="BB1969">
        <v>100</v>
      </c>
      <c r="BC1969">
        <v>100</v>
      </c>
      <c r="BD1969">
        <v>100</v>
      </c>
      <c r="BE1969">
        <v>1</v>
      </c>
      <c r="BF1969">
        <v>15000</v>
      </c>
      <c r="BG1969">
        <v>1000</v>
      </c>
      <c r="BH1969" s="6">
        <f>Grandview_Inventory[[#This Row],[land_extract]]*Lookups!$B$3</f>
        <v>49167.631333630678</v>
      </c>
      <c r="BI1969" s="6">
        <f>IF(Grandview_Inventory[[#This Row],[bldg_style]]="",0,Lookups!$B$2)</f>
        <v>155833.95000000001</v>
      </c>
      <c r="BJ1969" s="6">
        <f>_xlfn.IFNA(VLOOKUP(Grandview_Inventory[[#This Row],[quality]],Lookups!$H$2:$J$14,3,FALSE),0)</f>
        <v>2251</v>
      </c>
      <c r="BK1969" s="6">
        <f>_xlfn.IFNA(VLOOKUP(Grandview_Inventory[[#This Row],[condition]],Lookups!$H$17:$J$24,3,FALSE),0)</f>
        <v>-4503</v>
      </c>
      <c r="BL1969" s="6">
        <f>Grandview_Inventory[[#This Row],[Eff_Age]]*Lookups!$B$14</f>
        <v>-6457.4982</v>
      </c>
      <c r="BM1969" s="6">
        <f>Grandview_Inventory[[#This Row],[living_area]]*Lookups!$B$15</f>
        <v>102803.64574400001</v>
      </c>
      <c r="BN1969" s="6">
        <f>Grandview_Inventory[[#This Row],[Fin BSMT]]*Lookups!$B$16</f>
        <v>0</v>
      </c>
      <c r="BO1969" s="6">
        <f>(Grandview_Inventory[[#This Row],[att_gar]]+Grandview_Inventory[[#This Row],[bltin_gar]])*Lookups!$B$17</f>
        <v>26956.294596</v>
      </c>
      <c r="BP1969" s="6">
        <f>Grandview_Inventory[[#This Row],[Plumbing Fixtures]]*Lookups!$B$18</f>
        <v>20104.418000000001</v>
      </c>
      <c r="BQ1969" s="6">
        <f>Grandview_Inventory[[#This Row],[detatched_value]]*Lookups!$B$19</f>
        <v>0</v>
      </c>
      <c r="BR1969" s="6">
        <f>SUM(Grandview_Inventory[[#This Row],[Intercept]:[det_value]])*Grandview_Inventory[[#This Row],[res_pct]]</f>
        <v>296988.81014000002</v>
      </c>
      <c r="BS1969" s="6">
        <f>Grandview_Inventory[[#This Row],[land_value]]</f>
        <v>49167.631333630678</v>
      </c>
      <c r="BT1969" s="4">
        <f>_xlfn.IFNA(VLOOKUP(Grandview_Inventory[[#This Row],[quality]],Lookups!$A$26:$C$33,3,FALSE),1)</f>
        <v>0.98763855981004833</v>
      </c>
      <c r="BU1969" s="4">
        <f>_xlfn.IFNA(VLOOKUP(Grandview_Inventory[[#This Row],[condition]],Lookups!$A$37:$C$44,3,FALSE),1)</f>
        <v>0.96469275950863709</v>
      </c>
      <c r="BV1969" s="4">
        <f>IF(Grandview_Inventory[[#This Row],[bldg_style]]="",1,_xlfn.IFNA(VLOOKUP(Grandview_Inventory[[#This Row],[decade]],Lookups!$F$29:$H$43,3,FALSE),1))</f>
        <v>0.98397821291089549</v>
      </c>
      <c r="BW1969" s="4">
        <f>_xlfn.IFNA(VLOOKUP(Grandview_Inventory[[#This Row],[living_area_range]],Lookups!$F$47:$H$56,3,FALSE),1)</f>
        <v>0.96120133463014379</v>
      </c>
      <c r="BX1969" s="4">
        <f>AVERAGE(Grandview_Inventory[[#This Row],[qual_adj]:[size_adj]])</f>
        <v>0.97437771671493123</v>
      </c>
      <c r="BY1969" s="6">
        <f>IF(Grandview_Inventory[[#This Row],[pre_res]]&lt;0,0,Grandview_Inventory[[#This Row],[pre_res]]*Grandview_Inventory[[#This Row],[overall_adj]])</f>
        <v>289379.27871409745</v>
      </c>
      <c r="BZ1969" s="6">
        <f>(Grandview_Inventory[[#This Row],[sum_land]]-IF(Grandview_Inventory[[#This Row],[no_utilities]]=1,12000,0))/IF(Grandview_Inventory[[#This Row],[unbuildable]]=1,2,1)</f>
        <v>49167.631333630678</v>
      </c>
      <c r="CA196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969">
        <f>ROUND(Grandview_Inventory[[#This Row],[det_value]]*Lookups!$M$28,-2)</f>
        <v>0</v>
      </c>
      <c r="CC1969">
        <f>IF(ROUND(Grandview_Inventory[[#This Row],[adj_res]]*Lookups!$M$28,-2)&lt;Grandview_Inventory[[#This Row],[min_res]],Grandview_Inventory[[#This Row],[min_res]],ROUND(Grandview_Inventory[[#This Row],[adj_res]]*Lookups!$M$28,-2))</f>
        <v>274900</v>
      </c>
      <c r="CD1969">
        <f>Grandview_Inventory[[#This Row],[final_det]]+Grandview_Inventory[[#This Row],[final_res]]</f>
        <v>274900</v>
      </c>
      <c r="CE1969">
        <f>Grandview_Inventory[[#This Row],[final_land]]+Grandview_Inventory[[#This Row],[final_imp]]+Grandview_Inventory[[#This Row],[crop_value]]</f>
        <v>321600</v>
      </c>
      <c r="CG1969" t="str">
        <f t="shared" si="30"/>
        <v>update valuation set market_land =46700, market_bldg=274900, market_total =321600, market_mdno =401, market_date ='9/10/2023' where link_id = (select link_id from parcel where parcel_year = '2024' and parcel_id = '23092343441');</v>
      </c>
    </row>
    <row r="1970" spans="1:85" x14ac:dyDescent="0.25">
      <c r="A1970">
        <v>23092343442</v>
      </c>
      <c r="B1970">
        <v>0.17</v>
      </c>
      <c r="C1970">
        <v>7211</v>
      </c>
      <c r="D1970" t="s">
        <v>129</v>
      </c>
      <c r="E1970" t="s">
        <v>53</v>
      </c>
      <c r="F1970" t="s">
        <v>53</v>
      </c>
      <c r="G1970">
        <v>4</v>
      </c>
      <c r="H1970" t="s">
        <v>54</v>
      </c>
      <c r="I1970">
        <v>139200</v>
      </c>
      <c r="J1970">
        <v>38600</v>
      </c>
      <c r="K1970">
        <v>0.17</v>
      </c>
      <c r="L197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70">
        <v>0</v>
      </c>
      <c r="N1970">
        <v>0</v>
      </c>
      <c r="O1970">
        <v>0</v>
      </c>
      <c r="P1970">
        <v>13398.7528</v>
      </c>
      <c r="Q1970">
        <v>63903</v>
      </c>
      <c r="R1970">
        <f>(Grandview_Inventory[[#This Row],[ln_acres]]*Grandview_Inventory[[#This Row],[coeff]])+Grandview_Inventory[[#This Row],[const]]</f>
        <v>40160.988302686128</v>
      </c>
      <c r="S1970" t="s">
        <v>61</v>
      </c>
      <c r="T1970">
        <v>1</v>
      </c>
      <c r="U1970" t="s">
        <v>70</v>
      </c>
      <c r="V1970" t="s">
        <v>78</v>
      </c>
      <c r="W1970">
        <v>0</v>
      </c>
      <c r="X1970">
        <v>0</v>
      </c>
      <c r="Y1970">
        <v>30</v>
      </c>
      <c r="Z1970">
        <v>30</v>
      </c>
      <c r="AA1970">
        <v>30</v>
      </c>
      <c r="AB1970">
        <v>1500</v>
      </c>
      <c r="AC1970">
        <v>1296</v>
      </c>
      <c r="AD1970">
        <v>1296</v>
      </c>
      <c r="AE1970">
        <v>0</v>
      </c>
      <c r="AF1970">
        <v>0</v>
      </c>
      <c r="AG1970">
        <v>0</v>
      </c>
      <c r="AH1970">
        <v>0</v>
      </c>
      <c r="AI1970">
        <v>252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8</v>
      </c>
      <c r="AQ1970">
        <v>0</v>
      </c>
      <c r="AR1970">
        <v>0</v>
      </c>
      <c r="AS1970" t="s">
        <v>58</v>
      </c>
      <c r="AT1970">
        <v>1</v>
      </c>
      <c r="AU1970" t="s">
        <v>75</v>
      </c>
      <c r="AV1970" t="s">
        <v>60</v>
      </c>
      <c r="AW1970">
        <v>0</v>
      </c>
      <c r="AX1970">
        <v>4</v>
      </c>
      <c r="AY1970">
        <v>0</v>
      </c>
      <c r="AZ1970">
        <v>0</v>
      </c>
      <c r="BA1970">
        <v>100</v>
      </c>
      <c r="BB1970">
        <v>100</v>
      </c>
      <c r="BC1970">
        <v>100</v>
      </c>
      <c r="BD1970">
        <v>100</v>
      </c>
      <c r="BE1970">
        <v>1</v>
      </c>
      <c r="BF1970">
        <v>15000</v>
      </c>
      <c r="BG1970">
        <v>1000</v>
      </c>
      <c r="BH1970" s="6">
        <f>Grandview_Inventory[[#This Row],[land_extract]]*Lookups!$B$3</f>
        <v>46638.847281240982</v>
      </c>
      <c r="BI1970" s="6">
        <f>IF(Grandview_Inventory[[#This Row],[bldg_style]]="",0,Lookups!$B$2)</f>
        <v>155833.95000000001</v>
      </c>
      <c r="BJ1970" s="6">
        <f>_xlfn.IFNA(VLOOKUP(Grandview_Inventory[[#This Row],[quality]],Lookups!$H$2:$J$14,3,FALSE),0)</f>
        <v>10733</v>
      </c>
      <c r="BK1970" s="6">
        <f>_xlfn.IFNA(VLOOKUP(Grandview_Inventory[[#This Row],[condition]],Lookups!$H$17:$J$24,3,FALSE),0)</f>
        <v>-45357</v>
      </c>
      <c r="BL1970" s="6">
        <f>Grandview_Inventory[[#This Row],[Eff_Age]]*Lookups!$B$14</f>
        <v>-7174.9979999999996</v>
      </c>
      <c r="BM1970" s="6">
        <f>Grandview_Inventory[[#This Row],[living_area]]*Lookups!$B$15</f>
        <v>80845.585487999997</v>
      </c>
      <c r="BN1970" s="6">
        <f>Grandview_Inventory[[#This Row],[Fin BSMT]]*Lookups!$B$16</f>
        <v>0</v>
      </c>
      <c r="BO1970" s="6">
        <f>(Grandview_Inventory[[#This Row],[att_gar]]+Grandview_Inventory[[#This Row],[bltin_gar]])*Lookups!$B$17</f>
        <v>22055.150124</v>
      </c>
      <c r="BP1970" s="6">
        <f>Grandview_Inventory[[#This Row],[Plumbing Fixtures]]*Lookups!$B$18</f>
        <v>16083.5344</v>
      </c>
      <c r="BQ1970" s="6">
        <f>Grandview_Inventory[[#This Row],[detatched_value]]*Lookups!$B$19</f>
        <v>0</v>
      </c>
      <c r="BR1970" s="6">
        <f>SUM(Grandview_Inventory[[#This Row],[Intercept]:[det_value]])*Grandview_Inventory[[#This Row],[res_pct]]</f>
        <v>233019.22201200001</v>
      </c>
      <c r="BS1970" s="6">
        <f>Grandview_Inventory[[#This Row],[land_value]]</f>
        <v>46638.847281240982</v>
      </c>
      <c r="BT1970" s="4">
        <f>_xlfn.IFNA(VLOOKUP(Grandview_Inventory[[#This Row],[quality]],Lookups!$A$26:$C$33,3,FALSE),1)</f>
        <v>0.98079741117310582</v>
      </c>
      <c r="BU1970" s="4">
        <f>_xlfn.IFNA(VLOOKUP(Grandview_Inventory[[#This Row],[condition]],Lookups!$A$37:$C$44,3,FALSE),1)</f>
        <v>0.97161819570155394</v>
      </c>
      <c r="BV1970" s="4">
        <f>IF(Grandview_Inventory[[#This Row],[bldg_style]]="",1,_xlfn.IFNA(VLOOKUP(Grandview_Inventory[[#This Row],[decade]],Lookups!$F$29:$H$43,3,FALSE),1))</f>
        <v>0.98397821291089549</v>
      </c>
      <c r="BW1970" s="4">
        <f>_xlfn.IFNA(VLOOKUP(Grandview_Inventory[[#This Row],[living_area_range]],Lookups!$F$47:$H$56,3,FALSE),1)</f>
        <v>0.96135087979789358</v>
      </c>
      <c r="BX1970" s="4">
        <f>AVERAGE(Grandview_Inventory[[#This Row],[qual_adj]:[size_adj]])</f>
        <v>0.97443617489586221</v>
      </c>
      <c r="BY1970" s="6">
        <f>IF(Grandview_Inventory[[#This Row],[pre_res]]&lt;0,0,Grandview_Inventory[[#This Row],[pre_res]]*Grandview_Inventory[[#This Row],[overall_adj]])</f>
        <v>227062.359374583</v>
      </c>
      <c r="BZ1970" s="6">
        <f>(Grandview_Inventory[[#This Row],[sum_land]]-IF(Grandview_Inventory[[#This Row],[no_utilities]]=1,12000,0))/IF(Grandview_Inventory[[#This Row],[unbuildable]]=1,2,1)</f>
        <v>46638.847281240982</v>
      </c>
      <c r="CA197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70">
        <f>ROUND(Grandview_Inventory[[#This Row],[det_value]]*Lookups!$M$28,-2)</f>
        <v>0</v>
      </c>
      <c r="CC1970">
        <f>IF(ROUND(Grandview_Inventory[[#This Row],[adj_res]]*Lookups!$M$28,-2)&lt;Grandview_Inventory[[#This Row],[min_res]],Grandview_Inventory[[#This Row],[min_res]],ROUND(Grandview_Inventory[[#This Row],[adj_res]]*Lookups!$M$28,-2))</f>
        <v>215700</v>
      </c>
      <c r="CD1970">
        <f>Grandview_Inventory[[#This Row],[final_det]]+Grandview_Inventory[[#This Row],[final_res]]</f>
        <v>215700</v>
      </c>
      <c r="CE1970">
        <f>Grandview_Inventory[[#This Row],[final_land]]+Grandview_Inventory[[#This Row],[final_imp]]+Grandview_Inventory[[#This Row],[crop_value]]</f>
        <v>260000</v>
      </c>
      <c r="CG1970" t="str">
        <f t="shared" si="30"/>
        <v>update valuation set market_land =44300, market_bldg=215700, market_total =260000, market_mdno =401, market_date ='9/10/2023' where link_id = (select link_id from parcel where parcel_year = '2024' and parcel_id = '23092343442');</v>
      </c>
    </row>
    <row r="1971" spans="1:85" x14ac:dyDescent="0.25">
      <c r="A1971">
        <v>23092343443</v>
      </c>
      <c r="B1971">
        <v>0.16</v>
      </c>
      <c r="C1971">
        <v>7055</v>
      </c>
      <c r="D1971" t="s">
        <v>129</v>
      </c>
      <c r="E1971" t="s">
        <v>53</v>
      </c>
      <c r="F1971" t="s">
        <v>53</v>
      </c>
      <c r="G1971">
        <v>4</v>
      </c>
      <c r="H1971" t="s">
        <v>54</v>
      </c>
      <c r="I1971">
        <v>155900</v>
      </c>
      <c r="J1971">
        <v>38600</v>
      </c>
      <c r="K1971">
        <v>0.16</v>
      </c>
      <c r="L197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71">
        <v>0</v>
      </c>
      <c r="N1971">
        <v>0</v>
      </c>
      <c r="O1971">
        <v>0</v>
      </c>
      <c r="P1971">
        <v>13398.7528</v>
      </c>
      <c r="Q1971">
        <v>63903</v>
      </c>
      <c r="R1971">
        <f>(Grandview_Inventory[[#This Row],[ln_acres]]*Grandview_Inventory[[#This Row],[coeff]])+Grandview_Inventory[[#This Row],[const]]</f>
        <v>39348.693981374228</v>
      </c>
      <c r="S1971" t="s">
        <v>61</v>
      </c>
      <c r="T1971">
        <v>1</v>
      </c>
      <c r="U1971" t="s">
        <v>70</v>
      </c>
      <c r="V1971" t="s">
        <v>69</v>
      </c>
      <c r="W1971">
        <v>0</v>
      </c>
      <c r="X1971">
        <v>0</v>
      </c>
      <c r="Y1971">
        <v>41</v>
      </c>
      <c r="Z1971">
        <v>41</v>
      </c>
      <c r="AA1971">
        <v>50</v>
      </c>
      <c r="AB1971">
        <v>1500</v>
      </c>
      <c r="AC1971">
        <v>1050</v>
      </c>
      <c r="AD1971">
        <v>1050</v>
      </c>
      <c r="AE1971">
        <v>0</v>
      </c>
      <c r="AF1971">
        <v>0</v>
      </c>
      <c r="AG1971">
        <v>0</v>
      </c>
      <c r="AH1971">
        <v>0</v>
      </c>
      <c r="AI1971">
        <v>375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5</v>
      </c>
      <c r="AQ1971">
        <v>0</v>
      </c>
      <c r="AR1971">
        <v>0</v>
      </c>
      <c r="AS1971" t="s">
        <v>58</v>
      </c>
      <c r="AT1971">
        <v>1</v>
      </c>
      <c r="AU1971" t="s">
        <v>75</v>
      </c>
      <c r="AV1971" t="s">
        <v>60</v>
      </c>
      <c r="AW1971">
        <v>0</v>
      </c>
      <c r="AX1971">
        <v>3</v>
      </c>
      <c r="AY1971">
        <v>0</v>
      </c>
      <c r="AZ1971">
        <v>0</v>
      </c>
      <c r="BA1971">
        <v>100</v>
      </c>
      <c r="BB1971">
        <v>100</v>
      </c>
      <c r="BC1971">
        <v>100</v>
      </c>
      <c r="BD1971">
        <v>100</v>
      </c>
      <c r="BE1971">
        <v>1</v>
      </c>
      <c r="BF1971">
        <v>15000</v>
      </c>
      <c r="BG1971">
        <v>1000</v>
      </c>
      <c r="BH1971" s="6">
        <f>Grandview_Inventory[[#This Row],[land_extract]]*Lookups!$B$3</f>
        <v>45695.532079096141</v>
      </c>
      <c r="BI1971" s="6">
        <f>IF(Grandview_Inventory[[#This Row],[bldg_style]]="",0,Lookups!$B$2)</f>
        <v>155833.95000000001</v>
      </c>
      <c r="BJ1971" s="6">
        <f>_xlfn.IFNA(VLOOKUP(Grandview_Inventory[[#This Row],[quality]],Lookups!$H$2:$J$14,3,FALSE),0)</f>
        <v>10733</v>
      </c>
      <c r="BK1971" s="6">
        <f>_xlfn.IFNA(VLOOKUP(Grandview_Inventory[[#This Row],[condition]],Lookups!$H$17:$J$24,3,FALSE),0)</f>
        <v>-4503</v>
      </c>
      <c r="BL1971" s="6">
        <f>Grandview_Inventory[[#This Row],[Eff_Age]]*Lookups!$B$14</f>
        <v>-9805.8305999999993</v>
      </c>
      <c r="BM1971" s="6">
        <f>Grandview_Inventory[[#This Row],[living_area]]*Lookups!$B$15</f>
        <v>65499.895649999999</v>
      </c>
      <c r="BN1971" s="6">
        <f>Grandview_Inventory[[#This Row],[Fin BSMT]]*Lookups!$B$16</f>
        <v>0</v>
      </c>
      <c r="BO1971" s="6">
        <f>(Grandview_Inventory[[#This Row],[att_gar]]+Grandview_Inventory[[#This Row],[bltin_gar]])*Lookups!$B$17</f>
        <v>32820.163874999998</v>
      </c>
      <c r="BP1971" s="6">
        <f>Grandview_Inventory[[#This Row],[Plumbing Fixtures]]*Lookups!$B$18</f>
        <v>10052.209000000001</v>
      </c>
      <c r="BQ1971" s="6">
        <f>Grandview_Inventory[[#This Row],[detatched_value]]*Lookups!$B$19</f>
        <v>0</v>
      </c>
      <c r="BR1971" s="6">
        <f>SUM(Grandview_Inventory[[#This Row],[Intercept]:[det_value]])*Grandview_Inventory[[#This Row],[res_pct]]</f>
        <v>260630.38792500002</v>
      </c>
      <c r="BS1971" s="6">
        <f>Grandview_Inventory[[#This Row],[land_value]]</f>
        <v>45695.532079096141</v>
      </c>
      <c r="BT1971" s="4">
        <f>_xlfn.IFNA(VLOOKUP(Grandview_Inventory[[#This Row],[quality]],Lookups!$A$26:$C$33,3,FALSE),1)</f>
        <v>0.98079741117310582</v>
      </c>
      <c r="BU1971" s="4">
        <f>_xlfn.IFNA(VLOOKUP(Grandview_Inventory[[#This Row],[condition]],Lookups!$A$37:$C$44,3,FALSE),1)</f>
        <v>0.96469275950863709</v>
      </c>
      <c r="BV1971" s="4">
        <f>IF(Grandview_Inventory[[#This Row],[bldg_style]]="",1,_xlfn.IFNA(VLOOKUP(Grandview_Inventory[[#This Row],[decade]],Lookups!$F$29:$H$43,3,FALSE),1))</f>
        <v>0.9871940091910919</v>
      </c>
      <c r="BW1971" s="4">
        <f>_xlfn.IFNA(VLOOKUP(Grandview_Inventory[[#This Row],[living_area_range]],Lookups!$F$47:$H$56,3,FALSE),1)</f>
        <v>0.96135087979789358</v>
      </c>
      <c r="BX1971" s="4">
        <f>AVERAGE(Grandview_Inventory[[#This Row],[qual_adj]:[size_adj]])</f>
        <v>0.97350876491768212</v>
      </c>
      <c r="BY1971" s="6">
        <f>IF(Grandview_Inventory[[#This Row],[pre_res]]&lt;0,0,Grandview_Inventory[[#This Row],[pre_res]]*Grandview_Inventory[[#This Row],[overall_adj]])</f>
        <v>253725.96704888315</v>
      </c>
      <c r="BZ1971" s="6">
        <f>(Grandview_Inventory[[#This Row],[sum_land]]-IF(Grandview_Inventory[[#This Row],[no_utilities]]=1,12000,0))/IF(Grandview_Inventory[[#This Row],[unbuildable]]=1,2,1)</f>
        <v>45695.532079096141</v>
      </c>
      <c r="CA197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71">
        <f>ROUND(Grandview_Inventory[[#This Row],[det_value]]*Lookups!$M$28,-2)</f>
        <v>0</v>
      </c>
      <c r="CC1971">
        <f>IF(ROUND(Grandview_Inventory[[#This Row],[adj_res]]*Lookups!$M$28,-2)&lt;Grandview_Inventory[[#This Row],[min_res]],Grandview_Inventory[[#This Row],[min_res]],ROUND(Grandview_Inventory[[#This Row],[adj_res]]*Lookups!$M$28,-2))</f>
        <v>241000</v>
      </c>
      <c r="CD1971">
        <f>Grandview_Inventory[[#This Row],[final_det]]+Grandview_Inventory[[#This Row],[final_res]]</f>
        <v>241000</v>
      </c>
      <c r="CE1971">
        <f>Grandview_Inventory[[#This Row],[final_land]]+Grandview_Inventory[[#This Row],[final_imp]]+Grandview_Inventory[[#This Row],[crop_value]]</f>
        <v>284400</v>
      </c>
      <c r="CG1971" t="str">
        <f t="shared" si="30"/>
        <v>update valuation set market_land =43400, market_bldg=241000, market_total =284400, market_mdno =401, market_date ='9/10/2023' where link_id = (select link_id from parcel where parcel_year = '2024' and parcel_id = '23092343443');</v>
      </c>
    </row>
    <row r="1972" spans="1:85" x14ac:dyDescent="0.25">
      <c r="A1972">
        <v>23092343444</v>
      </c>
      <c r="B1972">
        <v>0.16</v>
      </c>
      <c r="C1972">
        <v>6999</v>
      </c>
      <c r="D1972" t="s">
        <v>129</v>
      </c>
      <c r="E1972" t="s">
        <v>53</v>
      </c>
      <c r="F1972" t="s">
        <v>53</v>
      </c>
      <c r="G1972">
        <v>4</v>
      </c>
      <c r="H1972" t="s">
        <v>54</v>
      </c>
      <c r="I1972">
        <v>152900</v>
      </c>
      <c r="J1972">
        <v>38600</v>
      </c>
      <c r="K1972">
        <v>0.16</v>
      </c>
      <c r="L197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72">
        <v>0</v>
      </c>
      <c r="N1972">
        <v>0</v>
      </c>
      <c r="O1972">
        <v>0</v>
      </c>
      <c r="P1972">
        <v>13398.7528</v>
      </c>
      <c r="Q1972">
        <v>63903</v>
      </c>
      <c r="R1972">
        <f>(Grandview_Inventory[[#This Row],[ln_acres]]*Grandview_Inventory[[#This Row],[coeff]])+Grandview_Inventory[[#This Row],[const]]</f>
        <v>39348.693981374228</v>
      </c>
      <c r="S1972" t="s">
        <v>61</v>
      </c>
      <c r="T1972">
        <v>1</v>
      </c>
      <c r="U1972" t="s">
        <v>65</v>
      </c>
      <c r="V1972" t="s">
        <v>69</v>
      </c>
      <c r="W1972">
        <v>0</v>
      </c>
      <c r="X1972">
        <v>0</v>
      </c>
      <c r="Y1972">
        <v>41</v>
      </c>
      <c r="Z1972">
        <v>41</v>
      </c>
      <c r="AA1972">
        <v>50</v>
      </c>
      <c r="AB1972">
        <v>1500</v>
      </c>
      <c r="AC1972">
        <v>1080</v>
      </c>
      <c r="AD1972">
        <v>1080</v>
      </c>
      <c r="AE1972">
        <v>0</v>
      </c>
      <c r="AF1972">
        <v>0</v>
      </c>
      <c r="AG1972">
        <v>0</v>
      </c>
      <c r="AH1972">
        <v>0</v>
      </c>
      <c r="AI1972">
        <v>288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5</v>
      </c>
      <c r="AQ1972">
        <v>0</v>
      </c>
      <c r="AR1972">
        <v>0</v>
      </c>
      <c r="AS1972" t="s">
        <v>58</v>
      </c>
      <c r="AT1972">
        <v>1</v>
      </c>
      <c r="AU1972" t="s">
        <v>63</v>
      </c>
      <c r="AV1972" t="s">
        <v>60</v>
      </c>
      <c r="AW1972">
        <v>1</v>
      </c>
      <c r="AX1972">
        <v>3</v>
      </c>
      <c r="AY1972">
        <v>0</v>
      </c>
      <c r="AZ1972">
        <v>0</v>
      </c>
      <c r="BA1972">
        <v>100</v>
      </c>
      <c r="BB1972">
        <v>100</v>
      </c>
      <c r="BC1972">
        <v>100</v>
      </c>
      <c r="BD1972">
        <v>100</v>
      </c>
      <c r="BE1972">
        <v>1</v>
      </c>
      <c r="BF1972">
        <v>15000</v>
      </c>
      <c r="BG1972">
        <v>1000</v>
      </c>
      <c r="BH1972" s="6">
        <f>Grandview_Inventory[[#This Row],[land_extract]]*Lookups!$B$3</f>
        <v>45695.532079096141</v>
      </c>
      <c r="BI1972" s="6">
        <f>IF(Grandview_Inventory[[#This Row],[bldg_style]]="",0,Lookups!$B$2)</f>
        <v>155833.95000000001</v>
      </c>
      <c r="BJ1972" s="6">
        <f>_xlfn.IFNA(VLOOKUP(Grandview_Inventory[[#This Row],[quality]],Lookups!$H$2:$J$14,3,FALSE),0)</f>
        <v>2251</v>
      </c>
      <c r="BK1972" s="6">
        <f>_xlfn.IFNA(VLOOKUP(Grandview_Inventory[[#This Row],[condition]],Lookups!$H$17:$J$24,3,FALSE),0)</f>
        <v>-4503</v>
      </c>
      <c r="BL1972" s="6">
        <f>Grandview_Inventory[[#This Row],[Eff_Age]]*Lookups!$B$14</f>
        <v>-9805.8305999999993</v>
      </c>
      <c r="BM1972" s="6">
        <f>Grandview_Inventory[[#This Row],[living_area]]*Lookups!$B$15</f>
        <v>67371.321240000005</v>
      </c>
      <c r="BN1972" s="6">
        <f>Grandview_Inventory[[#This Row],[Fin BSMT]]*Lookups!$B$16</f>
        <v>0</v>
      </c>
      <c r="BO1972" s="6">
        <f>(Grandview_Inventory[[#This Row],[att_gar]]+Grandview_Inventory[[#This Row],[bltin_gar]])*Lookups!$B$17</f>
        <v>25205.885856000001</v>
      </c>
      <c r="BP1972" s="6">
        <f>Grandview_Inventory[[#This Row],[Plumbing Fixtures]]*Lookups!$B$18</f>
        <v>10052.209000000001</v>
      </c>
      <c r="BQ1972" s="6">
        <f>Grandview_Inventory[[#This Row],[detatched_value]]*Lookups!$B$19</f>
        <v>0</v>
      </c>
      <c r="BR1972" s="6">
        <f>SUM(Grandview_Inventory[[#This Row],[Intercept]:[det_value]])*Grandview_Inventory[[#This Row],[res_pct]]</f>
        <v>246405.53549600005</v>
      </c>
      <c r="BS1972" s="6">
        <f>Grandview_Inventory[[#This Row],[land_value]]</f>
        <v>45695.532079096141</v>
      </c>
      <c r="BT1972" s="4">
        <f>_xlfn.IFNA(VLOOKUP(Grandview_Inventory[[#This Row],[quality]],Lookups!$A$26:$C$33,3,FALSE),1)</f>
        <v>0.98763855981004833</v>
      </c>
      <c r="BU1972" s="4">
        <f>_xlfn.IFNA(VLOOKUP(Grandview_Inventory[[#This Row],[condition]],Lookups!$A$37:$C$44,3,FALSE),1)</f>
        <v>0.96469275950863709</v>
      </c>
      <c r="BV1972" s="4">
        <f>IF(Grandview_Inventory[[#This Row],[bldg_style]]="",1,_xlfn.IFNA(VLOOKUP(Grandview_Inventory[[#This Row],[decade]],Lookups!$F$29:$H$43,3,FALSE),1))</f>
        <v>0.9871940091910919</v>
      </c>
      <c r="BW1972" s="4">
        <f>_xlfn.IFNA(VLOOKUP(Grandview_Inventory[[#This Row],[living_area_range]],Lookups!$F$47:$H$56,3,FALSE),1)</f>
        <v>0.96135087979789358</v>
      </c>
      <c r="BX1972" s="4">
        <f>AVERAGE(Grandview_Inventory[[#This Row],[qual_adj]:[size_adj]])</f>
        <v>0.97521905207691773</v>
      </c>
      <c r="BY1972" s="6">
        <f>IF(Grandview_Inventory[[#This Row],[pre_res]]&lt;0,0,Grandview_Inventory[[#This Row],[pre_res]]*Grandview_Inventory[[#This Row],[overall_adj]])</f>
        <v>240299.37275291447</v>
      </c>
      <c r="BZ1972" s="6">
        <f>(Grandview_Inventory[[#This Row],[sum_land]]-IF(Grandview_Inventory[[#This Row],[no_utilities]]=1,12000,0))/IF(Grandview_Inventory[[#This Row],[unbuildable]]=1,2,1)</f>
        <v>45695.532079096141</v>
      </c>
      <c r="CA197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72">
        <f>ROUND(Grandview_Inventory[[#This Row],[det_value]]*Lookups!$M$28,-2)</f>
        <v>0</v>
      </c>
      <c r="CC1972">
        <f>IF(ROUND(Grandview_Inventory[[#This Row],[adj_res]]*Lookups!$M$28,-2)&lt;Grandview_Inventory[[#This Row],[min_res]],Grandview_Inventory[[#This Row],[min_res]],ROUND(Grandview_Inventory[[#This Row],[adj_res]]*Lookups!$M$28,-2))</f>
        <v>228300</v>
      </c>
      <c r="CD1972">
        <f>Grandview_Inventory[[#This Row],[final_det]]+Grandview_Inventory[[#This Row],[final_res]]</f>
        <v>228300</v>
      </c>
      <c r="CE1972">
        <f>Grandview_Inventory[[#This Row],[final_land]]+Grandview_Inventory[[#This Row],[final_imp]]+Grandview_Inventory[[#This Row],[crop_value]]</f>
        <v>271700</v>
      </c>
      <c r="CG1972" t="str">
        <f t="shared" si="30"/>
        <v>update valuation set market_land =43400, market_bldg=228300, market_total =271700, market_mdno =401, market_date ='9/10/2023' where link_id = (select link_id from parcel where parcel_year = '2024' and parcel_id = '23092343444');</v>
      </c>
    </row>
    <row r="1973" spans="1:85" x14ac:dyDescent="0.25">
      <c r="A1973">
        <v>23092343445</v>
      </c>
      <c r="B1973">
        <v>0.16</v>
      </c>
      <c r="C1973">
        <v>6999</v>
      </c>
      <c r="D1973" t="s">
        <v>129</v>
      </c>
      <c r="E1973" t="s">
        <v>53</v>
      </c>
      <c r="F1973" t="s">
        <v>53</v>
      </c>
      <c r="G1973">
        <v>4</v>
      </c>
      <c r="H1973" t="s">
        <v>54</v>
      </c>
      <c r="I1973">
        <v>165000</v>
      </c>
      <c r="J1973">
        <v>38600</v>
      </c>
      <c r="K1973">
        <v>0.16</v>
      </c>
      <c r="L197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73">
        <v>0</v>
      </c>
      <c r="N1973">
        <v>0</v>
      </c>
      <c r="O1973">
        <v>0</v>
      </c>
      <c r="P1973">
        <v>13398.7528</v>
      </c>
      <c r="Q1973">
        <v>63903</v>
      </c>
      <c r="R1973">
        <f>(Grandview_Inventory[[#This Row],[ln_acres]]*Grandview_Inventory[[#This Row],[coeff]])+Grandview_Inventory[[#This Row],[const]]</f>
        <v>39348.693981374228</v>
      </c>
      <c r="S1973" t="s">
        <v>61</v>
      </c>
      <c r="T1973">
        <v>1</v>
      </c>
      <c r="U1973" t="s">
        <v>70</v>
      </c>
      <c r="V1973" t="s">
        <v>69</v>
      </c>
      <c r="W1973">
        <v>0</v>
      </c>
      <c r="X1973">
        <v>0</v>
      </c>
      <c r="Y1973">
        <v>39</v>
      </c>
      <c r="Z1973">
        <v>41</v>
      </c>
      <c r="AA1973">
        <v>50</v>
      </c>
      <c r="AB1973">
        <v>1500</v>
      </c>
      <c r="AC1973">
        <v>1368</v>
      </c>
      <c r="AD1973">
        <v>1368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8</v>
      </c>
      <c r="AQ1973">
        <v>0</v>
      </c>
      <c r="AR1973">
        <v>0</v>
      </c>
      <c r="AS1973" t="s">
        <v>58</v>
      </c>
      <c r="AT1973">
        <v>1</v>
      </c>
      <c r="AU1973" t="s">
        <v>79</v>
      </c>
      <c r="AV1973" t="s">
        <v>60</v>
      </c>
      <c r="AW1973">
        <v>0</v>
      </c>
      <c r="AX1973">
        <v>4</v>
      </c>
      <c r="AY1973">
        <v>0</v>
      </c>
      <c r="AZ1973">
        <v>0</v>
      </c>
      <c r="BA1973">
        <v>100</v>
      </c>
      <c r="BB1973">
        <v>100</v>
      </c>
      <c r="BC1973">
        <v>100</v>
      </c>
      <c r="BD1973">
        <v>100</v>
      </c>
      <c r="BE1973">
        <v>1</v>
      </c>
      <c r="BF1973">
        <v>15000</v>
      </c>
      <c r="BG1973">
        <v>1000</v>
      </c>
      <c r="BH1973" s="6">
        <f>Grandview_Inventory[[#This Row],[land_extract]]*Lookups!$B$3</f>
        <v>45695.532079096141</v>
      </c>
      <c r="BI1973" s="6">
        <f>IF(Grandview_Inventory[[#This Row],[bldg_style]]="",0,Lookups!$B$2)</f>
        <v>155833.95000000001</v>
      </c>
      <c r="BJ1973" s="6">
        <f>_xlfn.IFNA(VLOOKUP(Grandview_Inventory[[#This Row],[quality]],Lookups!$H$2:$J$14,3,FALSE),0)</f>
        <v>10733</v>
      </c>
      <c r="BK1973" s="6">
        <f>_xlfn.IFNA(VLOOKUP(Grandview_Inventory[[#This Row],[condition]],Lookups!$H$17:$J$24,3,FALSE),0)</f>
        <v>-4503</v>
      </c>
      <c r="BL1973" s="6">
        <f>Grandview_Inventory[[#This Row],[Eff_Age]]*Lookups!$B$14</f>
        <v>-9327.4974000000002</v>
      </c>
      <c r="BM1973" s="6">
        <f>Grandview_Inventory[[#This Row],[living_area]]*Lookups!$B$15</f>
        <v>85337.006904000009</v>
      </c>
      <c r="BN1973" s="6">
        <f>Grandview_Inventory[[#This Row],[Fin BSMT]]*Lookups!$B$16</f>
        <v>0</v>
      </c>
      <c r="BO1973" s="6">
        <f>(Grandview_Inventory[[#This Row],[att_gar]]+Grandview_Inventory[[#This Row],[bltin_gar]])*Lookups!$B$17</f>
        <v>0</v>
      </c>
      <c r="BP1973" s="6">
        <f>Grandview_Inventory[[#This Row],[Plumbing Fixtures]]*Lookups!$B$18</f>
        <v>16083.5344</v>
      </c>
      <c r="BQ1973" s="6">
        <f>Grandview_Inventory[[#This Row],[detatched_value]]*Lookups!$B$19</f>
        <v>0</v>
      </c>
      <c r="BR1973" s="6">
        <f>SUM(Grandview_Inventory[[#This Row],[Intercept]:[det_value]])*Grandview_Inventory[[#This Row],[res_pct]]</f>
        <v>254156.99390400003</v>
      </c>
      <c r="BS1973" s="6">
        <f>Grandview_Inventory[[#This Row],[land_value]]</f>
        <v>45695.532079096141</v>
      </c>
      <c r="BT1973" s="4">
        <f>_xlfn.IFNA(VLOOKUP(Grandview_Inventory[[#This Row],[quality]],Lookups!$A$26:$C$33,3,FALSE),1)</f>
        <v>0.98079741117310582</v>
      </c>
      <c r="BU1973" s="4">
        <f>_xlfn.IFNA(VLOOKUP(Grandview_Inventory[[#This Row],[condition]],Lookups!$A$37:$C$44,3,FALSE),1)</f>
        <v>0.96469275950863709</v>
      </c>
      <c r="BV1973" s="4">
        <f>IF(Grandview_Inventory[[#This Row],[bldg_style]]="",1,_xlfn.IFNA(VLOOKUP(Grandview_Inventory[[#This Row],[decade]],Lookups!$F$29:$H$43,3,FALSE),1))</f>
        <v>0.9871940091910919</v>
      </c>
      <c r="BW1973" s="4">
        <f>_xlfn.IFNA(VLOOKUP(Grandview_Inventory[[#This Row],[living_area_range]],Lookups!$F$47:$H$56,3,FALSE),1)</f>
        <v>0.96135087979789358</v>
      </c>
      <c r="BX1973" s="4">
        <f>AVERAGE(Grandview_Inventory[[#This Row],[qual_adj]:[size_adj]])</f>
        <v>0.97350876491768212</v>
      </c>
      <c r="BY1973" s="6">
        <f>IF(Grandview_Inventory[[#This Row],[pre_res]]&lt;0,0,Grandview_Inventory[[#This Row],[pre_res]]*Grandview_Inventory[[#This Row],[overall_adj]])</f>
        <v>247424.06123067395</v>
      </c>
      <c r="BZ1973" s="6">
        <f>(Grandview_Inventory[[#This Row],[sum_land]]-IF(Grandview_Inventory[[#This Row],[no_utilities]]=1,12000,0))/IF(Grandview_Inventory[[#This Row],[unbuildable]]=1,2,1)</f>
        <v>45695.532079096141</v>
      </c>
      <c r="CA197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73">
        <f>ROUND(Grandview_Inventory[[#This Row],[det_value]]*Lookups!$M$28,-2)</f>
        <v>0</v>
      </c>
      <c r="CC1973">
        <f>IF(ROUND(Grandview_Inventory[[#This Row],[adj_res]]*Lookups!$M$28,-2)&lt;Grandview_Inventory[[#This Row],[min_res]],Grandview_Inventory[[#This Row],[min_res]],ROUND(Grandview_Inventory[[#This Row],[adj_res]]*Lookups!$M$28,-2))</f>
        <v>235100</v>
      </c>
      <c r="CD1973">
        <f>Grandview_Inventory[[#This Row],[final_det]]+Grandview_Inventory[[#This Row],[final_res]]</f>
        <v>235100</v>
      </c>
      <c r="CE1973">
        <f>Grandview_Inventory[[#This Row],[final_land]]+Grandview_Inventory[[#This Row],[final_imp]]+Grandview_Inventory[[#This Row],[crop_value]]</f>
        <v>278500</v>
      </c>
      <c r="CG1973" t="str">
        <f t="shared" si="30"/>
        <v>update valuation set market_land =43400, market_bldg=235100, market_total =278500, market_mdno =401, market_date ='9/10/2023' where link_id = (select link_id from parcel where parcel_year = '2024' and parcel_id = '23092343445');</v>
      </c>
    </row>
    <row r="1974" spans="1:85" x14ac:dyDescent="0.25">
      <c r="A1974">
        <v>23092343446</v>
      </c>
      <c r="B1974">
        <v>0.16</v>
      </c>
      <c r="C1974">
        <v>6999</v>
      </c>
      <c r="D1974" t="s">
        <v>129</v>
      </c>
      <c r="E1974" t="s">
        <v>53</v>
      </c>
      <c r="F1974" t="s">
        <v>53</v>
      </c>
      <c r="G1974">
        <v>4</v>
      </c>
      <c r="H1974" t="s">
        <v>54</v>
      </c>
      <c r="I1974">
        <v>161900</v>
      </c>
      <c r="J1974">
        <v>38600</v>
      </c>
      <c r="K1974">
        <v>0.16</v>
      </c>
      <c r="L197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74">
        <v>0</v>
      </c>
      <c r="N1974">
        <v>0</v>
      </c>
      <c r="O1974">
        <v>0</v>
      </c>
      <c r="P1974">
        <v>13398.7528</v>
      </c>
      <c r="Q1974">
        <v>63903</v>
      </c>
      <c r="R1974">
        <f>(Grandview_Inventory[[#This Row],[ln_acres]]*Grandview_Inventory[[#This Row],[coeff]])+Grandview_Inventory[[#This Row],[const]]</f>
        <v>39348.693981374228</v>
      </c>
      <c r="S1974" t="s">
        <v>61</v>
      </c>
      <c r="T1974">
        <v>1</v>
      </c>
      <c r="U1974" t="s">
        <v>70</v>
      </c>
      <c r="V1974" t="s">
        <v>69</v>
      </c>
      <c r="W1974">
        <v>0</v>
      </c>
      <c r="X1974">
        <v>0</v>
      </c>
      <c r="Y1974">
        <v>41</v>
      </c>
      <c r="Z1974">
        <v>41</v>
      </c>
      <c r="AA1974">
        <v>50</v>
      </c>
      <c r="AB1974">
        <v>1500</v>
      </c>
      <c r="AC1974">
        <v>1032</v>
      </c>
      <c r="AD1974">
        <v>1032</v>
      </c>
      <c r="AE1974">
        <v>0</v>
      </c>
      <c r="AF1974">
        <v>0</v>
      </c>
      <c r="AG1974">
        <v>0</v>
      </c>
      <c r="AH1974">
        <v>0</v>
      </c>
      <c r="AI1974">
        <v>336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5</v>
      </c>
      <c r="AQ1974">
        <v>0</v>
      </c>
      <c r="AR1974">
        <v>0</v>
      </c>
      <c r="AS1974" t="s">
        <v>58</v>
      </c>
      <c r="AT1974">
        <v>1</v>
      </c>
      <c r="AU1974" t="s">
        <v>79</v>
      </c>
      <c r="AV1974" t="s">
        <v>60</v>
      </c>
      <c r="AW1974">
        <v>0</v>
      </c>
      <c r="AX1974">
        <v>3</v>
      </c>
      <c r="AY1974">
        <v>0</v>
      </c>
      <c r="AZ1974">
        <v>0</v>
      </c>
      <c r="BA1974">
        <v>100</v>
      </c>
      <c r="BB1974">
        <v>100</v>
      </c>
      <c r="BC1974">
        <v>100</v>
      </c>
      <c r="BD1974">
        <v>100</v>
      </c>
      <c r="BE1974">
        <v>1</v>
      </c>
      <c r="BF1974">
        <v>15000</v>
      </c>
      <c r="BG1974">
        <v>1000</v>
      </c>
      <c r="BH1974" s="6">
        <f>Grandview_Inventory[[#This Row],[land_extract]]*Lookups!$B$3</f>
        <v>45695.532079096141</v>
      </c>
      <c r="BI1974" s="6">
        <f>IF(Grandview_Inventory[[#This Row],[bldg_style]]="",0,Lookups!$B$2)</f>
        <v>155833.95000000001</v>
      </c>
      <c r="BJ1974" s="6">
        <f>_xlfn.IFNA(VLOOKUP(Grandview_Inventory[[#This Row],[quality]],Lookups!$H$2:$J$14,3,FALSE),0)</f>
        <v>10733</v>
      </c>
      <c r="BK1974" s="6">
        <f>_xlfn.IFNA(VLOOKUP(Grandview_Inventory[[#This Row],[condition]],Lookups!$H$17:$J$24,3,FALSE),0)</f>
        <v>-4503</v>
      </c>
      <c r="BL1974" s="6">
        <f>Grandview_Inventory[[#This Row],[Eff_Age]]*Lookups!$B$14</f>
        <v>-9805.8305999999993</v>
      </c>
      <c r="BM1974" s="6">
        <f>Grandview_Inventory[[#This Row],[living_area]]*Lookups!$B$15</f>
        <v>64377.040295999999</v>
      </c>
      <c r="BN1974" s="6">
        <f>Grandview_Inventory[[#This Row],[Fin BSMT]]*Lookups!$B$16</f>
        <v>0</v>
      </c>
      <c r="BO1974" s="6">
        <f>(Grandview_Inventory[[#This Row],[att_gar]]+Grandview_Inventory[[#This Row],[bltin_gar]])*Lookups!$B$17</f>
        <v>29406.866832</v>
      </c>
      <c r="BP1974" s="6">
        <f>Grandview_Inventory[[#This Row],[Plumbing Fixtures]]*Lookups!$B$18</f>
        <v>10052.209000000001</v>
      </c>
      <c r="BQ1974" s="6">
        <f>Grandview_Inventory[[#This Row],[detatched_value]]*Lookups!$B$19</f>
        <v>0</v>
      </c>
      <c r="BR1974" s="6">
        <f>SUM(Grandview_Inventory[[#This Row],[Intercept]:[det_value]])*Grandview_Inventory[[#This Row],[res_pct]]</f>
        <v>256094.23552800002</v>
      </c>
      <c r="BS1974" s="6">
        <f>Grandview_Inventory[[#This Row],[land_value]]</f>
        <v>45695.532079096141</v>
      </c>
      <c r="BT1974" s="4">
        <f>_xlfn.IFNA(VLOOKUP(Grandview_Inventory[[#This Row],[quality]],Lookups!$A$26:$C$33,3,FALSE),1)</f>
        <v>0.98079741117310582</v>
      </c>
      <c r="BU1974" s="4">
        <f>_xlfn.IFNA(VLOOKUP(Grandview_Inventory[[#This Row],[condition]],Lookups!$A$37:$C$44,3,FALSE),1)</f>
        <v>0.96469275950863709</v>
      </c>
      <c r="BV1974" s="4">
        <f>IF(Grandview_Inventory[[#This Row],[bldg_style]]="",1,_xlfn.IFNA(VLOOKUP(Grandview_Inventory[[#This Row],[decade]],Lookups!$F$29:$H$43,3,FALSE),1))</f>
        <v>0.9871940091910919</v>
      </c>
      <c r="BW1974" s="4">
        <f>_xlfn.IFNA(VLOOKUP(Grandview_Inventory[[#This Row],[living_area_range]],Lookups!$F$47:$H$56,3,FALSE),1)</f>
        <v>0.96135087979789358</v>
      </c>
      <c r="BX1974" s="4">
        <f>AVERAGE(Grandview_Inventory[[#This Row],[qual_adj]:[size_adj]])</f>
        <v>0.97350876491768212</v>
      </c>
      <c r="BY1974" s="6">
        <f>IF(Grandview_Inventory[[#This Row],[pre_res]]&lt;0,0,Grandview_Inventory[[#This Row],[pre_res]]*Grandview_Inventory[[#This Row],[overall_adj]])</f>
        <v>249309.98293140129</v>
      </c>
      <c r="BZ1974" s="6">
        <f>(Grandview_Inventory[[#This Row],[sum_land]]-IF(Grandview_Inventory[[#This Row],[no_utilities]]=1,12000,0))/IF(Grandview_Inventory[[#This Row],[unbuildable]]=1,2,1)</f>
        <v>45695.532079096141</v>
      </c>
      <c r="CA197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74">
        <f>ROUND(Grandview_Inventory[[#This Row],[det_value]]*Lookups!$M$28,-2)</f>
        <v>0</v>
      </c>
      <c r="CC1974">
        <f>IF(ROUND(Grandview_Inventory[[#This Row],[adj_res]]*Lookups!$M$28,-2)&lt;Grandview_Inventory[[#This Row],[min_res]],Grandview_Inventory[[#This Row],[min_res]],ROUND(Grandview_Inventory[[#This Row],[adj_res]]*Lookups!$M$28,-2))</f>
        <v>236800</v>
      </c>
      <c r="CD1974">
        <f>Grandview_Inventory[[#This Row],[final_det]]+Grandview_Inventory[[#This Row],[final_res]]</f>
        <v>236800</v>
      </c>
      <c r="CE1974">
        <f>Grandview_Inventory[[#This Row],[final_land]]+Grandview_Inventory[[#This Row],[final_imp]]+Grandview_Inventory[[#This Row],[crop_value]]</f>
        <v>280200</v>
      </c>
      <c r="CG1974" t="str">
        <f t="shared" si="30"/>
        <v>update valuation set market_land =43400, market_bldg=236800, market_total =280200, market_mdno =401, market_date ='9/10/2023' where link_id = (select link_id from parcel where parcel_year = '2024' and parcel_id = '23092343446');</v>
      </c>
    </row>
    <row r="1975" spans="1:85" x14ac:dyDescent="0.25">
      <c r="A1975">
        <v>23092343447</v>
      </c>
      <c r="B1975">
        <v>0.17</v>
      </c>
      <c r="C1975">
        <v>7242</v>
      </c>
      <c r="D1975" t="s">
        <v>129</v>
      </c>
      <c r="E1975" t="s">
        <v>53</v>
      </c>
      <c r="F1975" t="s">
        <v>53</v>
      </c>
      <c r="G1975">
        <v>4</v>
      </c>
      <c r="H1975" t="s">
        <v>54</v>
      </c>
      <c r="I1975">
        <v>168600</v>
      </c>
      <c r="J1975">
        <v>38800</v>
      </c>
      <c r="K1975">
        <v>0.17</v>
      </c>
      <c r="L197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75">
        <v>0</v>
      </c>
      <c r="N1975">
        <v>0</v>
      </c>
      <c r="O1975">
        <v>0</v>
      </c>
      <c r="P1975">
        <v>13398.7528</v>
      </c>
      <c r="Q1975">
        <v>63903</v>
      </c>
      <c r="R1975">
        <f>(Grandview_Inventory[[#This Row],[ln_acres]]*Grandview_Inventory[[#This Row],[coeff]])+Grandview_Inventory[[#This Row],[const]]</f>
        <v>40160.988302686128</v>
      </c>
      <c r="S1975" t="s">
        <v>61</v>
      </c>
      <c r="T1975">
        <v>1</v>
      </c>
      <c r="U1975" t="s">
        <v>70</v>
      </c>
      <c r="V1975" t="s">
        <v>69</v>
      </c>
      <c r="W1975">
        <v>0</v>
      </c>
      <c r="X1975">
        <v>0</v>
      </c>
      <c r="Y1975">
        <v>41</v>
      </c>
      <c r="Z1975">
        <v>41</v>
      </c>
      <c r="AA1975">
        <v>50</v>
      </c>
      <c r="AB1975">
        <v>1500</v>
      </c>
      <c r="AC1975">
        <v>1024</v>
      </c>
      <c r="AD1975">
        <v>1024</v>
      </c>
      <c r="AE1975">
        <v>0</v>
      </c>
      <c r="AF1975">
        <v>0</v>
      </c>
      <c r="AG1975">
        <v>0</v>
      </c>
      <c r="AH1975">
        <v>0</v>
      </c>
      <c r="AI1975">
        <v>336</v>
      </c>
      <c r="AJ1975">
        <v>0</v>
      </c>
      <c r="AK1975">
        <v>0</v>
      </c>
      <c r="AL1975">
        <v>0</v>
      </c>
      <c r="AM1975">
        <v>0</v>
      </c>
      <c r="AN1975">
        <v>32</v>
      </c>
      <c r="AO1975">
        <v>0</v>
      </c>
      <c r="AP1975">
        <v>5</v>
      </c>
      <c r="AQ1975">
        <v>0</v>
      </c>
      <c r="AR1975">
        <v>0</v>
      </c>
      <c r="AS1975" t="s">
        <v>58</v>
      </c>
      <c r="AT1975">
        <v>1</v>
      </c>
      <c r="AU1975" t="s">
        <v>63</v>
      </c>
      <c r="AV1975" t="s">
        <v>60</v>
      </c>
      <c r="AW1975">
        <v>1</v>
      </c>
      <c r="AX1975">
        <v>3</v>
      </c>
      <c r="AY1975">
        <v>0</v>
      </c>
      <c r="AZ1975">
        <v>0</v>
      </c>
      <c r="BA1975">
        <v>100</v>
      </c>
      <c r="BB1975">
        <v>100</v>
      </c>
      <c r="BC1975">
        <v>100</v>
      </c>
      <c r="BD1975">
        <v>100</v>
      </c>
      <c r="BE1975">
        <v>1</v>
      </c>
      <c r="BF1975">
        <v>15000</v>
      </c>
      <c r="BG1975">
        <v>1000</v>
      </c>
      <c r="BH1975" s="6">
        <f>Grandview_Inventory[[#This Row],[land_extract]]*Lookups!$B$3</f>
        <v>46638.847281240982</v>
      </c>
      <c r="BI1975" s="6">
        <f>IF(Grandview_Inventory[[#This Row],[bldg_style]]="",0,Lookups!$B$2)</f>
        <v>155833.95000000001</v>
      </c>
      <c r="BJ1975" s="6">
        <f>_xlfn.IFNA(VLOOKUP(Grandview_Inventory[[#This Row],[quality]],Lookups!$H$2:$J$14,3,FALSE),0)</f>
        <v>10733</v>
      </c>
      <c r="BK1975" s="6">
        <f>_xlfn.IFNA(VLOOKUP(Grandview_Inventory[[#This Row],[condition]],Lookups!$H$17:$J$24,3,FALSE),0)</f>
        <v>-4503</v>
      </c>
      <c r="BL1975" s="6">
        <f>Grandview_Inventory[[#This Row],[Eff_Age]]*Lookups!$B$14</f>
        <v>-9805.8305999999993</v>
      </c>
      <c r="BM1975" s="6">
        <f>Grandview_Inventory[[#This Row],[living_area]]*Lookups!$B$15</f>
        <v>63877.993472000002</v>
      </c>
      <c r="BN1975" s="6">
        <f>Grandview_Inventory[[#This Row],[Fin BSMT]]*Lookups!$B$16</f>
        <v>0</v>
      </c>
      <c r="BO1975" s="6">
        <f>(Grandview_Inventory[[#This Row],[att_gar]]+Grandview_Inventory[[#This Row],[bltin_gar]])*Lookups!$B$17</f>
        <v>29406.866832</v>
      </c>
      <c r="BP1975" s="6">
        <f>Grandview_Inventory[[#This Row],[Plumbing Fixtures]]*Lookups!$B$18</f>
        <v>10052.209000000001</v>
      </c>
      <c r="BQ1975" s="6">
        <f>Grandview_Inventory[[#This Row],[detatched_value]]*Lookups!$B$19</f>
        <v>0</v>
      </c>
      <c r="BR1975" s="6">
        <f>SUM(Grandview_Inventory[[#This Row],[Intercept]:[det_value]])*Grandview_Inventory[[#This Row],[res_pct]]</f>
        <v>255595.18870400003</v>
      </c>
      <c r="BS1975" s="6">
        <f>Grandview_Inventory[[#This Row],[land_value]]</f>
        <v>46638.847281240982</v>
      </c>
      <c r="BT1975" s="4">
        <f>_xlfn.IFNA(VLOOKUP(Grandview_Inventory[[#This Row],[quality]],Lookups!$A$26:$C$33,3,FALSE),1)</f>
        <v>0.98079741117310582</v>
      </c>
      <c r="BU1975" s="4">
        <f>_xlfn.IFNA(VLOOKUP(Grandview_Inventory[[#This Row],[condition]],Lookups!$A$37:$C$44,3,FALSE),1)</f>
        <v>0.96469275950863709</v>
      </c>
      <c r="BV1975" s="4">
        <f>IF(Grandview_Inventory[[#This Row],[bldg_style]]="",1,_xlfn.IFNA(VLOOKUP(Grandview_Inventory[[#This Row],[decade]],Lookups!$F$29:$H$43,3,FALSE),1))</f>
        <v>0.9871940091910919</v>
      </c>
      <c r="BW1975" s="4">
        <f>_xlfn.IFNA(VLOOKUP(Grandview_Inventory[[#This Row],[living_area_range]],Lookups!$F$47:$H$56,3,FALSE),1)</f>
        <v>0.96135087979789358</v>
      </c>
      <c r="BX1975" s="4">
        <f>AVERAGE(Grandview_Inventory[[#This Row],[qual_adj]:[size_adj]])</f>
        <v>0.97350876491768212</v>
      </c>
      <c r="BY1975" s="6">
        <f>IF(Grandview_Inventory[[#This Row],[pre_res]]&lt;0,0,Grandview_Inventory[[#This Row],[pre_res]]*Grandview_Inventory[[#This Row],[overall_adj]])</f>
        <v>248824.15647413296</v>
      </c>
      <c r="BZ1975" s="6">
        <f>(Grandview_Inventory[[#This Row],[sum_land]]-IF(Grandview_Inventory[[#This Row],[no_utilities]]=1,12000,0))/IF(Grandview_Inventory[[#This Row],[unbuildable]]=1,2,1)</f>
        <v>46638.847281240982</v>
      </c>
      <c r="CA197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75">
        <f>ROUND(Grandview_Inventory[[#This Row],[det_value]]*Lookups!$M$28,-2)</f>
        <v>0</v>
      </c>
      <c r="CC1975">
        <f>IF(ROUND(Grandview_Inventory[[#This Row],[adj_res]]*Lookups!$M$28,-2)&lt;Grandview_Inventory[[#This Row],[min_res]],Grandview_Inventory[[#This Row],[min_res]],ROUND(Grandview_Inventory[[#This Row],[adj_res]]*Lookups!$M$28,-2))</f>
        <v>236400</v>
      </c>
      <c r="CD1975">
        <f>Grandview_Inventory[[#This Row],[final_det]]+Grandview_Inventory[[#This Row],[final_res]]</f>
        <v>236400</v>
      </c>
      <c r="CE1975">
        <f>Grandview_Inventory[[#This Row],[final_land]]+Grandview_Inventory[[#This Row],[final_imp]]+Grandview_Inventory[[#This Row],[crop_value]]</f>
        <v>280700</v>
      </c>
      <c r="CG1975" t="str">
        <f t="shared" si="30"/>
        <v>update valuation set market_land =44300, market_bldg=236400, market_total =280700, market_mdno =401, market_date ='9/10/2023' where link_id = (select link_id from parcel where parcel_year = '2024' and parcel_id = '23092343447');</v>
      </c>
    </row>
    <row r="1976" spans="1:85" x14ac:dyDescent="0.25">
      <c r="A1976">
        <v>23092343448</v>
      </c>
      <c r="B1976">
        <v>0.16</v>
      </c>
      <c r="C1976">
        <v>7107</v>
      </c>
      <c r="D1976" t="s">
        <v>129</v>
      </c>
      <c r="E1976" t="s">
        <v>53</v>
      </c>
      <c r="F1976" t="s">
        <v>53</v>
      </c>
      <c r="G1976">
        <v>4</v>
      </c>
      <c r="H1976" t="s">
        <v>54</v>
      </c>
      <c r="I1976">
        <v>154300</v>
      </c>
      <c r="J1976">
        <v>38600</v>
      </c>
      <c r="K1976">
        <v>0.16</v>
      </c>
      <c r="L197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76">
        <v>0</v>
      </c>
      <c r="N1976">
        <v>0</v>
      </c>
      <c r="O1976">
        <v>0</v>
      </c>
      <c r="P1976">
        <v>13398.7528</v>
      </c>
      <c r="Q1976">
        <v>63903</v>
      </c>
      <c r="R1976">
        <f>(Grandview_Inventory[[#This Row],[ln_acres]]*Grandview_Inventory[[#This Row],[coeff]])+Grandview_Inventory[[#This Row],[const]]</f>
        <v>39348.693981374228</v>
      </c>
      <c r="S1976" t="s">
        <v>61</v>
      </c>
      <c r="T1976">
        <v>1</v>
      </c>
      <c r="U1976" t="s">
        <v>70</v>
      </c>
      <c r="V1976" t="s">
        <v>69</v>
      </c>
      <c r="W1976">
        <v>0</v>
      </c>
      <c r="X1976">
        <v>0</v>
      </c>
      <c r="Y1976">
        <v>41</v>
      </c>
      <c r="Z1976">
        <v>41</v>
      </c>
      <c r="AA1976">
        <v>50</v>
      </c>
      <c r="AB1976">
        <v>1500</v>
      </c>
      <c r="AC1976">
        <v>1064</v>
      </c>
      <c r="AD1976">
        <v>1064</v>
      </c>
      <c r="AE1976">
        <v>0</v>
      </c>
      <c r="AF1976">
        <v>0</v>
      </c>
      <c r="AG1976">
        <v>0</v>
      </c>
      <c r="AH1976">
        <v>0</v>
      </c>
      <c r="AI1976">
        <v>336</v>
      </c>
      <c r="AJ1976">
        <v>0</v>
      </c>
      <c r="AK1976">
        <v>0</v>
      </c>
      <c r="AL1976">
        <v>0</v>
      </c>
      <c r="AM1976">
        <v>0</v>
      </c>
      <c r="AN1976">
        <v>72</v>
      </c>
      <c r="AO1976">
        <v>0</v>
      </c>
      <c r="AP1976">
        <v>5</v>
      </c>
      <c r="AQ1976">
        <v>0</v>
      </c>
      <c r="AR1976">
        <v>0</v>
      </c>
      <c r="AS1976" t="s">
        <v>58</v>
      </c>
      <c r="AT1976">
        <v>1</v>
      </c>
      <c r="AU1976" t="s">
        <v>75</v>
      </c>
      <c r="AV1976" t="s">
        <v>60</v>
      </c>
      <c r="AW1976">
        <v>0</v>
      </c>
      <c r="AX1976">
        <v>3</v>
      </c>
      <c r="AY1976">
        <v>0</v>
      </c>
      <c r="AZ1976">
        <v>0</v>
      </c>
      <c r="BA1976">
        <v>100</v>
      </c>
      <c r="BB1976">
        <v>100</v>
      </c>
      <c r="BC1976">
        <v>100</v>
      </c>
      <c r="BD1976">
        <v>100</v>
      </c>
      <c r="BE1976">
        <v>1</v>
      </c>
      <c r="BF1976">
        <v>15000</v>
      </c>
      <c r="BG1976">
        <v>1000</v>
      </c>
      <c r="BH1976" s="6">
        <f>Grandview_Inventory[[#This Row],[land_extract]]*Lookups!$B$3</f>
        <v>45695.532079096141</v>
      </c>
      <c r="BI1976" s="6">
        <f>IF(Grandview_Inventory[[#This Row],[bldg_style]]="",0,Lookups!$B$2)</f>
        <v>155833.95000000001</v>
      </c>
      <c r="BJ1976" s="6">
        <f>_xlfn.IFNA(VLOOKUP(Grandview_Inventory[[#This Row],[quality]],Lookups!$H$2:$J$14,3,FALSE),0)</f>
        <v>10733</v>
      </c>
      <c r="BK1976" s="6">
        <f>_xlfn.IFNA(VLOOKUP(Grandview_Inventory[[#This Row],[condition]],Lookups!$H$17:$J$24,3,FALSE),0)</f>
        <v>-4503</v>
      </c>
      <c r="BL1976" s="6">
        <f>Grandview_Inventory[[#This Row],[Eff_Age]]*Lookups!$B$14</f>
        <v>-9805.8305999999993</v>
      </c>
      <c r="BM1976" s="6">
        <f>Grandview_Inventory[[#This Row],[living_area]]*Lookups!$B$15</f>
        <v>66373.227591999996</v>
      </c>
      <c r="BN1976" s="6">
        <f>Grandview_Inventory[[#This Row],[Fin BSMT]]*Lookups!$B$16</f>
        <v>0</v>
      </c>
      <c r="BO1976" s="6">
        <f>(Grandview_Inventory[[#This Row],[att_gar]]+Grandview_Inventory[[#This Row],[bltin_gar]])*Lookups!$B$17</f>
        <v>29406.866832</v>
      </c>
      <c r="BP1976" s="6">
        <f>Grandview_Inventory[[#This Row],[Plumbing Fixtures]]*Lookups!$B$18</f>
        <v>10052.209000000001</v>
      </c>
      <c r="BQ1976" s="6">
        <f>Grandview_Inventory[[#This Row],[detatched_value]]*Lookups!$B$19</f>
        <v>0</v>
      </c>
      <c r="BR1976" s="6">
        <f>SUM(Grandview_Inventory[[#This Row],[Intercept]:[det_value]])*Grandview_Inventory[[#This Row],[res_pct]]</f>
        <v>258090.42282400001</v>
      </c>
      <c r="BS1976" s="6">
        <f>Grandview_Inventory[[#This Row],[land_value]]</f>
        <v>45695.532079096141</v>
      </c>
      <c r="BT1976" s="4">
        <f>_xlfn.IFNA(VLOOKUP(Grandview_Inventory[[#This Row],[quality]],Lookups!$A$26:$C$33,3,FALSE),1)</f>
        <v>0.98079741117310582</v>
      </c>
      <c r="BU1976" s="4">
        <f>_xlfn.IFNA(VLOOKUP(Grandview_Inventory[[#This Row],[condition]],Lookups!$A$37:$C$44,3,FALSE),1)</f>
        <v>0.96469275950863709</v>
      </c>
      <c r="BV1976" s="4">
        <f>IF(Grandview_Inventory[[#This Row],[bldg_style]]="",1,_xlfn.IFNA(VLOOKUP(Grandview_Inventory[[#This Row],[decade]],Lookups!$F$29:$H$43,3,FALSE),1))</f>
        <v>0.9871940091910919</v>
      </c>
      <c r="BW1976" s="4">
        <f>_xlfn.IFNA(VLOOKUP(Grandview_Inventory[[#This Row],[living_area_range]],Lookups!$F$47:$H$56,3,FALSE),1)</f>
        <v>0.96135087979789358</v>
      </c>
      <c r="BX1976" s="4">
        <f>AVERAGE(Grandview_Inventory[[#This Row],[qual_adj]:[size_adj]])</f>
        <v>0.97350876491768212</v>
      </c>
      <c r="BY1976" s="6">
        <f>IF(Grandview_Inventory[[#This Row],[pre_res]]&lt;0,0,Grandview_Inventory[[#This Row],[pre_res]]*Grandview_Inventory[[#This Row],[overall_adj]])</f>
        <v>251253.28876047459</v>
      </c>
      <c r="BZ1976" s="6">
        <f>(Grandview_Inventory[[#This Row],[sum_land]]-IF(Grandview_Inventory[[#This Row],[no_utilities]]=1,12000,0))/IF(Grandview_Inventory[[#This Row],[unbuildable]]=1,2,1)</f>
        <v>45695.532079096141</v>
      </c>
      <c r="CA197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76">
        <f>ROUND(Grandview_Inventory[[#This Row],[det_value]]*Lookups!$M$28,-2)</f>
        <v>0</v>
      </c>
      <c r="CC1976">
        <f>IF(ROUND(Grandview_Inventory[[#This Row],[adj_res]]*Lookups!$M$28,-2)&lt;Grandview_Inventory[[#This Row],[min_res]],Grandview_Inventory[[#This Row],[min_res]],ROUND(Grandview_Inventory[[#This Row],[adj_res]]*Lookups!$M$28,-2))</f>
        <v>238700</v>
      </c>
      <c r="CD1976">
        <f>Grandview_Inventory[[#This Row],[final_det]]+Grandview_Inventory[[#This Row],[final_res]]</f>
        <v>238700</v>
      </c>
      <c r="CE1976">
        <f>Grandview_Inventory[[#This Row],[final_land]]+Grandview_Inventory[[#This Row],[final_imp]]+Grandview_Inventory[[#This Row],[crop_value]]</f>
        <v>282100</v>
      </c>
      <c r="CG1976" t="str">
        <f t="shared" si="30"/>
        <v>update valuation set market_land =43400, market_bldg=238700, market_total =282100, market_mdno =401, market_date ='9/10/2023' where link_id = (select link_id from parcel where parcel_year = '2024' and parcel_id = '23092343448');</v>
      </c>
    </row>
    <row r="1977" spans="1:85" x14ac:dyDescent="0.25">
      <c r="A1977">
        <v>23092343449</v>
      </c>
      <c r="B1977">
        <v>0.16</v>
      </c>
      <c r="C1977">
        <v>7048</v>
      </c>
      <c r="D1977" t="s">
        <v>129</v>
      </c>
      <c r="E1977" t="s">
        <v>53</v>
      </c>
      <c r="F1977" t="s">
        <v>53</v>
      </c>
      <c r="G1977">
        <v>4</v>
      </c>
      <c r="H1977" t="s">
        <v>54</v>
      </c>
      <c r="I1977">
        <v>163500</v>
      </c>
      <c r="J1977">
        <v>38600</v>
      </c>
      <c r="K1977">
        <v>0.16</v>
      </c>
      <c r="L197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77">
        <v>0</v>
      </c>
      <c r="N1977">
        <v>0</v>
      </c>
      <c r="O1977">
        <v>0</v>
      </c>
      <c r="P1977">
        <v>13398.7528</v>
      </c>
      <c r="Q1977">
        <v>63903</v>
      </c>
      <c r="R1977">
        <f>(Grandview_Inventory[[#This Row],[ln_acres]]*Grandview_Inventory[[#This Row],[coeff]])+Grandview_Inventory[[#This Row],[const]]</f>
        <v>39348.693981374228</v>
      </c>
      <c r="S1977" t="s">
        <v>61</v>
      </c>
      <c r="T1977">
        <v>1</v>
      </c>
      <c r="U1977" t="s">
        <v>65</v>
      </c>
      <c r="V1977" t="s">
        <v>69</v>
      </c>
      <c r="W1977">
        <v>0</v>
      </c>
      <c r="X1977">
        <v>0</v>
      </c>
      <c r="Y1977">
        <v>41</v>
      </c>
      <c r="Z1977">
        <v>41</v>
      </c>
      <c r="AA1977">
        <v>50</v>
      </c>
      <c r="AB1977">
        <v>1500</v>
      </c>
      <c r="AC1977">
        <v>1400</v>
      </c>
      <c r="AD1977">
        <v>1400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5</v>
      </c>
      <c r="AQ1977">
        <v>1</v>
      </c>
      <c r="AR1977">
        <v>0</v>
      </c>
      <c r="AS1977" t="s">
        <v>58</v>
      </c>
      <c r="AT1977">
        <v>1</v>
      </c>
      <c r="AU1977" t="s">
        <v>59</v>
      </c>
      <c r="AV1977" t="s">
        <v>60</v>
      </c>
      <c r="AW1977">
        <v>1</v>
      </c>
      <c r="AX1977">
        <v>3</v>
      </c>
      <c r="AY1977">
        <v>0</v>
      </c>
      <c r="AZ1977">
        <v>0</v>
      </c>
      <c r="BA1977">
        <v>100</v>
      </c>
      <c r="BB1977">
        <v>100</v>
      </c>
      <c r="BC1977">
        <v>100</v>
      </c>
      <c r="BD1977">
        <v>100</v>
      </c>
      <c r="BE1977">
        <v>1</v>
      </c>
      <c r="BF1977">
        <v>15000</v>
      </c>
      <c r="BG1977">
        <v>1000</v>
      </c>
      <c r="BH1977" s="6">
        <f>Grandview_Inventory[[#This Row],[land_extract]]*Lookups!$B$3</f>
        <v>45695.532079096141</v>
      </c>
      <c r="BI1977" s="6">
        <f>IF(Grandview_Inventory[[#This Row],[bldg_style]]="",0,Lookups!$B$2)</f>
        <v>155833.95000000001</v>
      </c>
      <c r="BJ1977" s="6">
        <f>_xlfn.IFNA(VLOOKUP(Grandview_Inventory[[#This Row],[quality]],Lookups!$H$2:$J$14,3,FALSE),0)</f>
        <v>2251</v>
      </c>
      <c r="BK1977" s="6">
        <f>_xlfn.IFNA(VLOOKUP(Grandview_Inventory[[#This Row],[condition]],Lookups!$H$17:$J$24,3,FALSE),0)</f>
        <v>-4503</v>
      </c>
      <c r="BL1977" s="6">
        <f>Grandview_Inventory[[#This Row],[Eff_Age]]*Lookups!$B$14</f>
        <v>-9805.8305999999993</v>
      </c>
      <c r="BM1977" s="6">
        <f>Grandview_Inventory[[#This Row],[living_area]]*Lookups!$B$15</f>
        <v>87333.194199999998</v>
      </c>
      <c r="BN1977" s="6">
        <f>Grandview_Inventory[[#This Row],[Fin BSMT]]*Lookups!$B$16</f>
        <v>0</v>
      </c>
      <c r="BO1977" s="6">
        <f>(Grandview_Inventory[[#This Row],[att_gar]]+Grandview_Inventory[[#This Row],[bltin_gar]])*Lookups!$B$17</f>
        <v>0</v>
      </c>
      <c r="BP1977" s="6">
        <f>Grandview_Inventory[[#This Row],[Plumbing Fixtures]]*Lookups!$B$18</f>
        <v>10052.209000000001</v>
      </c>
      <c r="BQ1977" s="6">
        <f>Grandview_Inventory[[#This Row],[detatched_value]]*Lookups!$B$19</f>
        <v>0</v>
      </c>
      <c r="BR1977" s="6">
        <f>SUM(Grandview_Inventory[[#This Row],[Intercept]:[det_value]])*Grandview_Inventory[[#This Row],[res_pct]]</f>
        <v>241161.52260000003</v>
      </c>
      <c r="BS1977" s="6">
        <f>Grandview_Inventory[[#This Row],[land_value]]</f>
        <v>45695.532079096141</v>
      </c>
      <c r="BT1977" s="4">
        <f>_xlfn.IFNA(VLOOKUP(Grandview_Inventory[[#This Row],[quality]],Lookups!$A$26:$C$33,3,FALSE),1)</f>
        <v>0.98763855981004833</v>
      </c>
      <c r="BU1977" s="4">
        <f>_xlfn.IFNA(VLOOKUP(Grandview_Inventory[[#This Row],[condition]],Lookups!$A$37:$C$44,3,FALSE),1)</f>
        <v>0.96469275950863709</v>
      </c>
      <c r="BV1977" s="4">
        <f>IF(Grandview_Inventory[[#This Row],[bldg_style]]="",1,_xlfn.IFNA(VLOOKUP(Grandview_Inventory[[#This Row],[decade]],Lookups!$F$29:$H$43,3,FALSE),1))</f>
        <v>0.9871940091910919</v>
      </c>
      <c r="BW1977" s="4">
        <f>_xlfn.IFNA(VLOOKUP(Grandview_Inventory[[#This Row],[living_area_range]],Lookups!$F$47:$H$56,3,FALSE),1)</f>
        <v>0.96135087979789358</v>
      </c>
      <c r="BX1977" s="4">
        <f>AVERAGE(Grandview_Inventory[[#This Row],[qual_adj]:[size_adj]])</f>
        <v>0.97521905207691773</v>
      </c>
      <c r="BY1977" s="6">
        <f>IF(Grandview_Inventory[[#This Row],[pre_res]]&lt;0,0,Grandview_Inventory[[#This Row],[pre_res]]*Grandview_Inventory[[#This Row],[overall_adj]])</f>
        <v>235185.31146739819</v>
      </c>
      <c r="BZ1977" s="6">
        <f>(Grandview_Inventory[[#This Row],[sum_land]]-IF(Grandview_Inventory[[#This Row],[no_utilities]]=1,12000,0))/IF(Grandview_Inventory[[#This Row],[unbuildable]]=1,2,1)</f>
        <v>45695.532079096141</v>
      </c>
      <c r="CA197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77">
        <f>ROUND(Grandview_Inventory[[#This Row],[det_value]]*Lookups!$M$28,-2)</f>
        <v>0</v>
      </c>
      <c r="CC1977">
        <f>IF(ROUND(Grandview_Inventory[[#This Row],[adj_res]]*Lookups!$M$28,-2)&lt;Grandview_Inventory[[#This Row],[min_res]],Grandview_Inventory[[#This Row],[min_res]],ROUND(Grandview_Inventory[[#This Row],[adj_res]]*Lookups!$M$28,-2))</f>
        <v>223400</v>
      </c>
      <c r="CD1977">
        <f>Grandview_Inventory[[#This Row],[final_det]]+Grandview_Inventory[[#This Row],[final_res]]</f>
        <v>223400</v>
      </c>
      <c r="CE1977">
        <f>Grandview_Inventory[[#This Row],[final_land]]+Grandview_Inventory[[#This Row],[final_imp]]+Grandview_Inventory[[#This Row],[crop_value]]</f>
        <v>266800</v>
      </c>
      <c r="CG1977" t="str">
        <f t="shared" si="30"/>
        <v>update valuation set market_land =43400, market_bldg=223400, market_total =266800, market_mdno =401, market_date ='9/10/2023' where link_id = (select link_id from parcel where parcel_year = '2024' and parcel_id = '23092343449');</v>
      </c>
    </row>
    <row r="1978" spans="1:85" x14ac:dyDescent="0.25">
      <c r="A1978">
        <v>23092343450</v>
      </c>
      <c r="B1978">
        <v>0.2</v>
      </c>
      <c r="C1978">
        <v>8791</v>
      </c>
      <c r="D1978" t="s">
        <v>129</v>
      </c>
      <c r="E1978" t="s">
        <v>53</v>
      </c>
      <c r="F1978" t="s">
        <v>53</v>
      </c>
      <c r="G1978">
        <v>4</v>
      </c>
      <c r="H1978" t="s">
        <v>54</v>
      </c>
      <c r="I1978">
        <v>209200</v>
      </c>
      <c r="J1978">
        <v>39300</v>
      </c>
      <c r="K1978">
        <v>0.2</v>
      </c>
      <c r="L197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1978">
        <v>0</v>
      </c>
      <c r="N1978">
        <v>0</v>
      </c>
      <c r="O1978">
        <v>0</v>
      </c>
      <c r="P1978">
        <v>13398.7528</v>
      </c>
      <c r="Q1978">
        <v>63903</v>
      </c>
      <c r="R1978">
        <f>(Grandview_Inventory[[#This Row],[ln_acres]]*Grandview_Inventory[[#This Row],[coeff]])+Grandview_Inventory[[#This Row],[const]]</f>
        <v>42338.539264347448</v>
      </c>
      <c r="S1978" t="s">
        <v>61</v>
      </c>
      <c r="T1978">
        <v>1</v>
      </c>
      <c r="U1978" t="s">
        <v>70</v>
      </c>
      <c r="V1978" t="s">
        <v>67</v>
      </c>
      <c r="W1978">
        <v>0</v>
      </c>
      <c r="X1978">
        <v>0</v>
      </c>
      <c r="Y1978">
        <v>28</v>
      </c>
      <c r="Z1978">
        <v>28</v>
      </c>
      <c r="AA1978">
        <v>30</v>
      </c>
      <c r="AB1978">
        <v>1500</v>
      </c>
      <c r="AC1978">
        <v>1248</v>
      </c>
      <c r="AD1978">
        <v>1248</v>
      </c>
      <c r="AE1978">
        <v>0</v>
      </c>
      <c r="AF1978">
        <v>0</v>
      </c>
      <c r="AG1978">
        <v>0</v>
      </c>
      <c r="AH1978">
        <v>0</v>
      </c>
      <c r="AI1978">
        <v>276</v>
      </c>
      <c r="AJ1978">
        <v>0</v>
      </c>
      <c r="AK1978">
        <v>168</v>
      </c>
      <c r="AL1978">
        <v>0</v>
      </c>
      <c r="AM1978">
        <v>0</v>
      </c>
      <c r="AN1978">
        <v>240</v>
      </c>
      <c r="AO1978">
        <v>0</v>
      </c>
      <c r="AP1978">
        <v>8</v>
      </c>
      <c r="AQ1978">
        <v>0</v>
      </c>
      <c r="AR1978">
        <v>0</v>
      </c>
      <c r="AS1978" t="s">
        <v>58</v>
      </c>
      <c r="AT1978">
        <v>1</v>
      </c>
      <c r="AU1978" t="s">
        <v>75</v>
      </c>
      <c r="AV1978" t="s">
        <v>60</v>
      </c>
      <c r="AW1978">
        <v>0</v>
      </c>
      <c r="AX1978">
        <v>3</v>
      </c>
      <c r="AY1978">
        <v>0</v>
      </c>
      <c r="AZ1978">
        <v>0</v>
      </c>
      <c r="BA1978">
        <v>100</v>
      </c>
      <c r="BB1978">
        <v>100</v>
      </c>
      <c r="BC1978">
        <v>100</v>
      </c>
      <c r="BD1978">
        <v>100</v>
      </c>
      <c r="BE1978">
        <v>1</v>
      </c>
      <c r="BF1978">
        <v>15000</v>
      </c>
      <c r="BG1978">
        <v>1000</v>
      </c>
      <c r="BH1978" s="6">
        <f>Grandview_Inventory[[#This Row],[land_extract]]*Lookups!$B$3</f>
        <v>49167.631333630678</v>
      </c>
      <c r="BI1978" s="6">
        <f>IF(Grandview_Inventory[[#This Row],[bldg_style]]="",0,Lookups!$B$2)</f>
        <v>155833.95000000001</v>
      </c>
      <c r="BJ1978" s="6">
        <f>_xlfn.IFNA(VLOOKUP(Grandview_Inventory[[#This Row],[quality]],Lookups!$H$2:$J$14,3,FALSE),0)</f>
        <v>10733</v>
      </c>
      <c r="BK1978" s="6">
        <f>_xlfn.IFNA(VLOOKUP(Grandview_Inventory[[#This Row],[condition]],Lookups!$H$17:$J$24,3,FALSE),0)</f>
        <v>22342</v>
      </c>
      <c r="BL1978" s="6">
        <f>Grandview_Inventory[[#This Row],[Eff_Age]]*Lookups!$B$14</f>
        <v>-6696.6647999999996</v>
      </c>
      <c r="BM1978" s="6">
        <f>Grandview_Inventory[[#This Row],[living_area]]*Lookups!$B$15</f>
        <v>77851.304543999999</v>
      </c>
      <c r="BN1978" s="6">
        <f>Grandview_Inventory[[#This Row],[Fin BSMT]]*Lookups!$B$16</f>
        <v>0</v>
      </c>
      <c r="BO1978" s="6">
        <f>(Grandview_Inventory[[#This Row],[att_gar]]+Grandview_Inventory[[#This Row],[bltin_gar]])*Lookups!$B$17</f>
        <v>24155.640611999999</v>
      </c>
      <c r="BP1978" s="6">
        <f>Grandview_Inventory[[#This Row],[Plumbing Fixtures]]*Lookups!$B$18</f>
        <v>16083.5344</v>
      </c>
      <c r="BQ1978" s="6">
        <f>Grandview_Inventory[[#This Row],[detatched_value]]*Lookups!$B$19</f>
        <v>0</v>
      </c>
      <c r="BR1978" s="6">
        <f>SUM(Grandview_Inventory[[#This Row],[Intercept]:[det_value]])*Grandview_Inventory[[#This Row],[res_pct]]</f>
        <v>300302.76475600002</v>
      </c>
      <c r="BS1978" s="6">
        <f>Grandview_Inventory[[#This Row],[land_value]]</f>
        <v>49167.631333630678</v>
      </c>
      <c r="BT1978" s="4">
        <f>_xlfn.IFNA(VLOOKUP(Grandview_Inventory[[#This Row],[quality]],Lookups!$A$26:$C$33,3,FALSE),1)</f>
        <v>0.98079741117310582</v>
      </c>
      <c r="BU1978" s="4">
        <f>_xlfn.IFNA(VLOOKUP(Grandview_Inventory[[#This Row],[condition]],Lookups!$A$37:$C$44,3,FALSE),1)</f>
        <v>0.97383723671140243</v>
      </c>
      <c r="BV1978" s="4">
        <f>IF(Grandview_Inventory[[#This Row],[bldg_style]]="",1,_xlfn.IFNA(VLOOKUP(Grandview_Inventory[[#This Row],[decade]],Lookups!$F$29:$H$43,3,FALSE),1))</f>
        <v>0.98397821291089549</v>
      </c>
      <c r="BW1978" s="4">
        <f>_xlfn.IFNA(VLOOKUP(Grandview_Inventory[[#This Row],[living_area_range]],Lookups!$F$47:$H$56,3,FALSE),1)</f>
        <v>0.96135087979789358</v>
      </c>
      <c r="BX1978" s="4">
        <f>AVERAGE(Grandview_Inventory[[#This Row],[qual_adj]:[size_adj]])</f>
        <v>0.97499093514832436</v>
      </c>
      <c r="BY1978" s="6">
        <f>IF(Grandview_Inventory[[#This Row],[pre_res]]&lt;0,0,Grandview_Inventory[[#This Row],[pre_res]]*Grandview_Inventory[[#This Row],[overall_adj]])</f>
        <v>292792.47343707969</v>
      </c>
      <c r="BZ1978" s="6">
        <f>(Grandview_Inventory[[#This Row],[sum_land]]-IF(Grandview_Inventory[[#This Row],[no_utilities]]=1,12000,0))/IF(Grandview_Inventory[[#This Row],[unbuildable]]=1,2,1)</f>
        <v>49167.631333630678</v>
      </c>
      <c r="CA197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1978">
        <f>ROUND(Grandview_Inventory[[#This Row],[det_value]]*Lookups!$M$28,-2)</f>
        <v>0</v>
      </c>
      <c r="CC1978">
        <f>IF(ROUND(Grandview_Inventory[[#This Row],[adj_res]]*Lookups!$M$28,-2)&lt;Grandview_Inventory[[#This Row],[min_res]],Grandview_Inventory[[#This Row],[min_res]],ROUND(Grandview_Inventory[[#This Row],[adj_res]]*Lookups!$M$28,-2))</f>
        <v>278200</v>
      </c>
      <c r="CD1978">
        <f>Grandview_Inventory[[#This Row],[final_det]]+Grandview_Inventory[[#This Row],[final_res]]</f>
        <v>278200</v>
      </c>
      <c r="CE1978">
        <f>Grandview_Inventory[[#This Row],[final_land]]+Grandview_Inventory[[#This Row],[final_imp]]+Grandview_Inventory[[#This Row],[crop_value]]</f>
        <v>324900</v>
      </c>
      <c r="CG1978" t="str">
        <f t="shared" si="30"/>
        <v>update valuation set market_land =46700, market_bldg=278200, market_total =324900, market_mdno =401, market_date ='9/10/2023' where link_id = (select link_id from parcel where parcel_year = '2024' and parcel_id = '23092343450');</v>
      </c>
    </row>
    <row r="1979" spans="1:85" x14ac:dyDescent="0.25">
      <c r="A1979">
        <v>23092343451</v>
      </c>
      <c r="B1979">
        <v>0.18</v>
      </c>
      <c r="C1979">
        <v>7635</v>
      </c>
      <c r="D1979" t="s">
        <v>129</v>
      </c>
      <c r="E1979" t="s">
        <v>53</v>
      </c>
      <c r="F1979" t="s">
        <v>53</v>
      </c>
      <c r="G1979">
        <v>4</v>
      </c>
      <c r="H1979" t="s">
        <v>54</v>
      </c>
      <c r="I1979">
        <v>201500</v>
      </c>
      <c r="J1979">
        <v>38800</v>
      </c>
      <c r="K1979">
        <v>0.18</v>
      </c>
      <c r="L197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79">
        <v>0</v>
      </c>
      <c r="N1979">
        <v>0</v>
      </c>
      <c r="O1979">
        <v>0</v>
      </c>
      <c r="P1979">
        <v>13398.7528</v>
      </c>
      <c r="Q1979">
        <v>63903</v>
      </c>
      <c r="R1979">
        <f>(Grandview_Inventory[[#This Row],[ln_acres]]*Grandview_Inventory[[#This Row],[coeff]])+Grandview_Inventory[[#This Row],[const]]</f>
        <v>40926.839760167699</v>
      </c>
      <c r="S1979" t="s">
        <v>61</v>
      </c>
      <c r="T1979">
        <v>1</v>
      </c>
      <c r="U1979" t="s">
        <v>70</v>
      </c>
      <c r="V1979" t="s">
        <v>67</v>
      </c>
      <c r="W1979">
        <v>0</v>
      </c>
      <c r="X1979">
        <v>0</v>
      </c>
      <c r="Y1979">
        <v>30</v>
      </c>
      <c r="Z1979">
        <v>30</v>
      </c>
      <c r="AA1979">
        <v>30</v>
      </c>
      <c r="AB1979">
        <v>1500</v>
      </c>
      <c r="AC1979">
        <v>1204</v>
      </c>
      <c r="AD1979">
        <v>1204</v>
      </c>
      <c r="AE1979">
        <v>0</v>
      </c>
      <c r="AF1979">
        <v>0</v>
      </c>
      <c r="AG1979">
        <v>0</v>
      </c>
      <c r="AH1979">
        <v>0</v>
      </c>
      <c r="AI1979">
        <v>228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7</v>
      </c>
      <c r="AQ1979">
        <v>0</v>
      </c>
      <c r="AR1979">
        <v>0</v>
      </c>
      <c r="AS1979" t="s">
        <v>58</v>
      </c>
      <c r="AT1979">
        <v>1</v>
      </c>
      <c r="AU1979" t="s">
        <v>63</v>
      </c>
      <c r="AV1979" t="s">
        <v>60</v>
      </c>
      <c r="AW1979">
        <v>0</v>
      </c>
      <c r="AX1979">
        <v>3</v>
      </c>
      <c r="AY1979">
        <v>0</v>
      </c>
      <c r="AZ1979">
        <v>3700</v>
      </c>
      <c r="BA1979">
        <v>100</v>
      </c>
      <c r="BB1979">
        <v>100</v>
      </c>
      <c r="BC1979">
        <v>100</v>
      </c>
      <c r="BD1979">
        <v>100</v>
      </c>
      <c r="BE1979">
        <v>1</v>
      </c>
      <c r="BF1979">
        <v>15000</v>
      </c>
      <c r="BG1979">
        <v>1000</v>
      </c>
      <c r="BH1979" s="6">
        <f>Grandview_Inventory[[#This Row],[land_extract]]*Lookups!$B$3</f>
        <v>47528.228511015397</v>
      </c>
      <c r="BI1979" s="6">
        <f>IF(Grandview_Inventory[[#This Row],[bldg_style]]="",0,Lookups!$B$2)</f>
        <v>155833.95000000001</v>
      </c>
      <c r="BJ1979" s="6">
        <f>_xlfn.IFNA(VLOOKUP(Grandview_Inventory[[#This Row],[quality]],Lookups!$H$2:$J$14,3,FALSE),0)</f>
        <v>10733</v>
      </c>
      <c r="BK1979" s="6">
        <f>_xlfn.IFNA(VLOOKUP(Grandview_Inventory[[#This Row],[condition]],Lookups!$H$17:$J$24,3,FALSE),0)</f>
        <v>22342</v>
      </c>
      <c r="BL1979" s="6">
        <f>Grandview_Inventory[[#This Row],[Eff_Age]]*Lookups!$B$14</f>
        <v>-7174.9979999999996</v>
      </c>
      <c r="BM1979" s="6">
        <f>Grandview_Inventory[[#This Row],[living_area]]*Lookups!$B$15</f>
        <v>75106.547011999995</v>
      </c>
      <c r="BN1979" s="6">
        <f>Grandview_Inventory[[#This Row],[Fin BSMT]]*Lookups!$B$16</f>
        <v>0</v>
      </c>
      <c r="BO1979" s="6">
        <f>(Grandview_Inventory[[#This Row],[att_gar]]+Grandview_Inventory[[#This Row],[bltin_gar]])*Lookups!$B$17</f>
        <v>19954.659636</v>
      </c>
      <c r="BP1979" s="6">
        <f>Grandview_Inventory[[#This Row],[Plumbing Fixtures]]*Lookups!$B$18</f>
        <v>14073.0926</v>
      </c>
      <c r="BQ1979" s="6">
        <f>Grandview_Inventory[[#This Row],[detatched_value]]*Lookups!$B$19</f>
        <v>3133.1788699999997</v>
      </c>
      <c r="BR1979" s="6">
        <f>SUM(Grandview_Inventory[[#This Row],[Intercept]:[det_value]])*Grandview_Inventory[[#This Row],[res_pct]]</f>
        <v>294001.43011800002</v>
      </c>
      <c r="BS1979" s="6">
        <f>Grandview_Inventory[[#This Row],[land_value]]</f>
        <v>47528.228511015397</v>
      </c>
      <c r="BT1979" s="4">
        <f>_xlfn.IFNA(VLOOKUP(Grandview_Inventory[[#This Row],[quality]],Lookups!$A$26:$C$33,3,FALSE),1)</f>
        <v>0.98079741117310582</v>
      </c>
      <c r="BU1979" s="4">
        <f>_xlfn.IFNA(VLOOKUP(Grandview_Inventory[[#This Row],[condition]],Lookups!$A$37:$C$44,3,FALSE),1)</f>
        <v>0.97383723671140243</v>
      </c>
      <c r="BV1979" s="4">
        <f>IF(Grandview_Inventory[[#This Row],[bldg_style]]="",1,_xlfn.IFNA(VLOOKUP(Grandview_Inventory[[#This Row],[decade]],Lookups!$F$29:$H$43,3,FALSE),1))</f>
        <v>0.98397821291089549</v>
      </c>
      <c r="BW1979" s="4">
        <f>_xlfn.IFNA(VLOOKUP(Grandview_Inventory[[#This Row],[living_area_range]],Lookups!$F$47:$H$56,3,FALSE),1)</f>
        <v>0.96135087979789358</v>
      </c>
      <c r="BX1979" s="4">
        <f>AVERAGE(Grandview_Inventory[[#This Row],[qual_adj]:[size_adj]])</f>
        <v>0.97499093514832436</v>
      </c>
      <c r="BY1979" s="6">
        <f>IF(Grandview_Inventory[[#This Row],[pre_res]]&lt;0,0,Grandview_Inventory[[#This Row],[pre_res]]*Grandview_Inventory[[#This Row],[overall_adj]])</f>
        <v>286648.72928569355</v>
      </c>
      <c r="BZ1979" s="6">
        <f>(Grandview_Inventory[[#This Row],[sum_land]]-IF(Grandview_Inventory[[#This Row],[no_utilities]]=1,12000,0))/IF(Grandview_Inventory[[#This Row],[unbuildable]]=1,2,1)</f>
        <v>47528.228511015397</v>
      </c>
      <c r="CA197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79">
        <f>ROUND(Grandview_Inventory[[#This Row],[det_value]]*Lookups!$M$28,-2)</f>
        <v>3000</v>
      </c>
      <c r="CC1979">
        <f>IF(ROUND(Grandview_Inventory[[#This Row],[adj_res]]*Lookups!$M$28,-2)&lt;Grandview_Inventory[[#This Row],[min_res]],Grandview_Inventory[[#This Row],[min_res]],ROUND(Grandview_Inventory[[#This Row],[adj_res]]*Lookups!$M$28,-2))</f>
        <v>272300</v>
      </c>
      <c r="CD1979">
        <f>Grandview_Inventory[[#This Row],[final_det]]+Grandview_Inventory[[#This Row],[final_res]]</f>
        <v>275300</v>
      </c>
      <c r="CE1979">
        <f>Grandview_Inventory[[#This Row],[final_land]]+Grandview_Inventory[[#This Row],[final_imp]]+Grandview_Inventory[[#This Row],[crop_value]]</f>
        <v>320500</v>
      </c>
      <c r="CG1979" t="str">
        <f t="shared" si="30"/>
        <v>update valuation set market_land =45200, market_bldg=275300, market_total =320500, market_mdno =401, market_date ='9/10/2023' where link_id = (select link_id from parcel where parcel_year = '2024' and parcel_id = '23092343451');</v>
      </c>
    </row>
    <row r="1980" spans="1:85" x14ac:dyDescent="0.25">
      <c r="A1980">
        <v>23092343452</v>
      </c>
      <c r="B1980">
        <v>0.18</v>
      </c>
      <c r="C1980">
        <v>7717</v>
      </c>
      <c r="D1980" t="s">
        <v>129</v>
      </c>
      <c r="E1980" t="s">
        <v>53</v>
      </c>
      <c r="F1980" t="s">
        <v>53</v>
      </c>
      <c r="G1980">
        <v>4</v>
      </c>
      <c r="H1980" t="s">
        <v>54</v>
      </c>
      <c r="I1980">
        <v>169300</v>
      </c>
      <c r="J1980">
        <v>39000</v>
      </c>
      <c r="K1980">
        <v>0.18</v>
      </c>
      <c r="L198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80">
        <v>0</v>
      </c>
      <c r="N1980">
        <v>0</v>
      </c>
      <c r="O1980">
        <v>0</v>
      </c>
      <c r="P1980">
        <v>13398.7528</v>
      </c>
      <c r="Q1980">
        <v>63903</v>
      </c>
      <c r="R1980">
        <f>(Grandview_Inventory[[#This Row],[ln_acres]]*Grandview_Inventory[[#This Row],[coeff]])+Grandview_Inventory[[#This Row],[const]]</f>
        <v>40926.839760167699</v>
      </c>
      <c r="S1980" t="s">
        <v>61</v>
      </c>
      <c r="T1980">
        <v>1</v>
      </c>
      <c r="U1980" t="s">
        <v>70</v>
      </c>
      <c r="V1980" t="s">
        <v>69</v>
      </c>
      <c r="W1980">
        <v>0</v>
      </c>
      <c r="X1980">
        <v>0</v>
      </c>
      <c r="Y1980">
        <v>31</v>
      </c>
      <c r="Z1980">
        <v>31</v>
      </c>
      <c r="AA1980">
        <v>40</v>
      </c>
      <c r="AB1980">
        <v>1500</v>
      </c>
      <c r="AC1980">
        <v>1248</v>
      </c>
      <c r="AD1980">
        <v>1248</v>
      </c>
      <c r="AE1980">
        <v>0</v>
      </c>
      <c r="AF1980">
        <v>0</v>
      </c>
      <c r="AG1980">
        <v>0</v>
      </c>
      <c r="AH1980">
        <v>0</v>
      </c>
      <c r="AI1980">
        <v>276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8</v>
      </c>
      <c r="AQ1980">
        <v>0</v>
      </c>
      <c r="AR1980">
        <v>0</v>
      </c>
      <c r="AS1980" t="s">
        <v>58</v>
      </c>
      <c r="AT1980">
        <v>1</v>
      </c>
      <c r="AU1980" t="s">
        <v>63</v>
      </c>
      <c r="AV1980" t="s">
        <v>60</v>
      </c>
      <c r="AW1980">
        <v>0</v>
      </c>
      <c r="AX1980">
        <v>4</v>
      </c>
      <c r="AY1980">
        <v>0</v>
      </c>
      <c r="AZ1980">
        <v>0</v>
      </c>
      <c r="BA1980">
        <v>100</v>
      </c>
      <c r="BB1980">
        <v>100</v>
      </c>
      <c r="BC1980">
        <v>100</v>
      </c>
      <c r="BD1980">
        <v>100</v>
      </c>
      <c r="BE1980">
        <v>1</v>
      </c>
      <c r="BF1980">
        <v>15000</v>
      </c>
      <c r="BG1980">
        <v>1000</v>
      </c>
      <c r="BH1980" s="6">
        <f>Grandview_Inventory[[#This Row],[land_extract]]*Lookups!$B$3</f>
        <v>47528.228511015397</v>
      </c>
      <c r="BI1980" s="6">
        <f>IF(Grandview_Inventory[[#This Row],[bldg_style]]="",0,Lookups!$B$2)</f>
        <v>155833.95000000001</v>
      </c>
      <c r="BJ1980" s="6">
        <f>_xlfn.IFNA(VLOOKUP(Grandview_Inventory[[#This Row],[quality]],Lookups!$H$2:$J$14,3,FALSE),0)</f>
        <v>10733</v>
      </c>
      <c r="BK1980" s="6">
        <f>_xlfn.IFNA(VLOOKUP(Grandview_Inventory[[#This Row],[condition]],Lookups!$H$17:$J$24,3,FALSE),0)</f>
        <v>-4503</v>
      </c>
      <c r="BL1980" s="6">
        <f>Grandview_Inventory[[#This Row],[Eff_Age]]*Lookups!$B$14</f>
        <v>-7414.1646000000001</v>
      </c>
      <c r="BM1980" s="6">
        <f>Grandview_Inventory[[#This Row],[living_area]]*Lookups!$B$15</f>
        <v>77851.304543999999</v>
      </c>
      <c r="BN1980" s="6">
        <f>Grandview_Inventory[[#This Row],[Fin BSMT]]*Lookups!$B$16</f>
        <v>0</v>
      </c>
      <c r="BO1980" s="6">
        <f>(Grandview_Inventory[[#This Row],[att_gar]]+Grandview_Inventory[[#This Row],[bltin_gar]])*Lookups!$B$17</f>
        <v>24155.640611999999</v>
      </c>
      <c r="BP1980" s="6">
        <f>Grandview_Inventory[[#This Row],[Plumbing Fixtures]]*Lookups!$B$18</f>
        <v>16083.5344</v>
      </c>
      <c r="BQ1980" s="6">
        <f>Grandview_Inventory[[#This Row],[detatched_value]]*Lookups!$B$19</f>
        <v>0</v>
      </c>
      <c r="BR1980" s="6">
        <f>SUM(Grandview_Inventory[[#This Row],[Intercept]:[det_value]])*Grandview_Inventory[[#This Row],[res_pct]]</f>
        <v>272740.26495599997</v>
      </c>
      <c r="BS1980" s="6">
        <f>Grandview_Inventory[[#This Row],[land_value]]</f>
        <v>47528.228511015397</v>
      </c>
      <c r="BT1980" s="4">
        <f>_xlfn.IFNA(VLOOKUP(Grandview_Inventory[[#This Row],[quality]],Lookups!$A$26:$C$33,3,FALSE),1)</f>
        <v>0.98079741117310582</v>
      </c>
      <c r="BU1980" s="4">
        <f>_xlfn.IFNA(VLOOKUP(Grandview_Inventory[[#This Row],[condition]],Lookups!$A$37:$C$44,3,FALSE),1)</f>
        <v>0.96469275950863709</v>
      </c>
      <c r="BV1980" s="4">
        <f>IF(Grandview_Inventory[[#This Row],[bldg_style]]="",1,_xlfn.IFNA(VLOOKUP(Grandview_Inventory[[#This Row],[decade]],Lookups!$F$29:$H$43,3,FALSE),1))</f>
        <v>0.98031878267063854</v>
      </c>
      <c r="BW1980" s="4">
        <f>_xlfn.IFNA(VLOOKUP(Grandview_Inventory[[#This Row],[living_area_range]],Lookups!$F$47:$H$56,3,FALSE),1)</f>
        <v>0.96135087979789358</v>
      </c>
      <c r="BX1980" s="4">
        <f>AVERAGE(Grandview_Inventory[[#This Row],[qual_adj]:[size_adj]])</f>
        <v>0.97178995828756876</v>
      </c>
      <c r="BY1980" s="6">
        <f>IF(Grandview_Inventory[[#This Row],[pre_res]]&lt;0,0,Grandview_Inventory[[#This Row],[pre_res]]*Grandview_Inventory[[#This Row],[overall_adj]])</f>
        <v>265046.25070493168</v>
      </c>
      <c r="BZ1980" s="6">
        <f>(Grandview_Inventory[[#This Row],[sum_land]]-IF(Grandview_Inventory[[#This Row],[no_utilities]]=1,12000,0))/IF(Grandview_Inventory[[#This Row],[unbuildable]]=1,2,1)</f>
        <v>47528.228511015397</v>
      </c>
      <c r="CA198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80">
        <f>ROUND(Grandview_Inventory[[#This Row],[det_value]]*Lookups!$M$28,-2)</f>
        <v>0</v>
      </c>
      <c r="CC1980">
        <f>IF(ROUND(Grandview_Inventory[[#This Row],[adj_res]]*Lookups!$M$28,-2)&lt;Grandview_Inventory[[#This Row],[min_res]],Grandview_Inventory[[#This Row],[min_res]],ROUND(Grandview_Inventory[[#This Row],[adj_res]]*Lookups!$M$28,-2))</f>
        <v>251800</v>
      </c>
      <c r="CD1980">
        <f>Grandview_Inventory[[#This Row],[final_det]]+Grandview_Inventory[[#This Row],[final_res]]</f>
        <v>251800</v>
      </c>
      <c r="CE1980">
        <f>Grandview_Inventory[[#This Row],[final_land]]+Grandview_Inventory[[#This Row],[final_imp]]+Grandview_Inventory[[#This Row],[crop_value]]</f>
        <v>297000</v>
      </c>
      <c r="CG1980" t="str">
        <f t="shared" si="30"/>
        <v>update valuation set market_land =45200, market_bldg=251800, market_total =297000, market_mdno =401, market_date ='9/10/2023' where link_id = (select link_id from parcel where parcel_year = '2024' and parcel_id = '23092343452');</v>
      </c>
    </row>
    <row r="1981" spans="1:85" x14ac:dyDescent="0.25">
      <c r="A1981">
        <v>23092343453</v>
      </c>
      <c r="B1981">
        <v>0.18</v>
      </c>
      <c r="C1981">
        <v>8054</v>
      </c>
      <c r="D1981" t="s">
        <v>129</v>
      </c>
      <c r="E1981" t="s">
        <v>53</v>
      </c>
      <c r="F1981" t="s">
        <v>53</v>
      </c>
      <c r="G1981">
        <v>4</v>
      </c>
      <c r="H1981" t="s">
        <v>54</v>
      </c>
      <c r="I1981">
        <v>169300</v>
      </c>
      <c r="J1981">
        <v>39000</v>
      </c>
      <c r="K1981">
        <v>0.18</v>
      </c>
      <c r="L198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81">
        <v>0</v>
      </c>
      <c r="N1981">
        <v>0</v>
      </c>
      <c r="O1981">
        <v>0</v>
      </c>
      <c r="P1981">
        <v>13398.7528</v>
      </c>
      <c r="Q1981">
        <v>63903</v>
      </c>
      <c r="R1981">
        <f>(Grandview_Inventory[[#This Row],[ln_acres]]*Grandview_Inventory[[#This Row],[coeff]])+Grandview_Inventory[[#This Row],[const]]</f>
        <v>40926.839760167699</v>
      </c>
      <c r="S1981" t="s">
        <v>61</v>
      </c>
      <c r="T1981">
        <v>1</v>
      </c>
      <c r="U1981" t="s">
        <v>70</v>
      </c>
      <c r="V1981" t="s">
        <v>69</v>
      </c>
      <c r="W1981">
        <v>0</v>
      </c>
      <c r="X1981">
        <v>0</v>
      </c>
      <c r="Y1981">
        <v>31</v>
      </c>
      <c r="Z1981">
        <v>31</v>
      </c>
      <c r="AA1981">
        <v>40</v>
      </c>
      <c r="AB1981">
        <v>1500</v>
      </c>
      <c r="AC1981">
        <v>1248</v>
      </c>
      <c r="AD1981">
        <v>1248</v>
      </c>
      <c r="AE1981">
        <v>0</v>
      </c>
      <c r="AF1981">
        <v>0</v>
      </c>
      <c r="AG1981">
        <v>0</v>
      </c>
      <c r="AH1981">
        <v>0</v>
      </c>
      <c r="AI1981">
        <v>276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8</v>
      </c>
      <c r="AQ1981">
        <v>0</v>
      </c>
      <c r="AR1981">
        <v>0</v>
      </c>
      <c r="AS1981" t="s">
        <v>58</v>
      </c>
      <c r="AT1981">
        <v>1</v>
      </c>
      <c r="AU1981" t="s">
        <v>63</v>
      </c>
      <c r="AV1981" t="s">
        <v>60</v>
      </c>
      <c r="AW1981">
        <v>0</v>
      </c>
      <c r="AX1981">
        <v>4</v>
      </c>
      <c r="AY1981">
        <v>0</v>
      </c>
      <c r="AZ1981">
        <v>0</v>
      </c>
      <c r="BA1981">
        <v>100</v>
      </c>
      <c r="BB1981">
        <v>100</v>
      </c>
      <c r="BC1981">
        <v>100</v>
      </c>
      <c r="BD1981">
        <v>100</v>
      </c>
      <c r="BE1981">
        <v>1</v>
      </c>
      <c r="BF1981">
        <v>15000</v>
      </c>
      <c r="BG1981">
        <v>1000</v>
      </c>
      <c r="BH1981" s="6">
        <f>Grandview_Inventory[[#This Row],[land_extract]]*Lookups!$B$3</f>
        <v>47528.228511015397</v>
      </c>
      <c r="BI1981" s="6">
        <f>IF(Grandview_Inventory[[#This Row],[bldg_style]]="",0,Lookups!$B$2)</f>
        <v>155833.95000000001</v>
      </c>
      <c r="BJ1981" s="6">
        <f>_xlfn.IFNA(VLOOKUP(Grandview_Inventory[[#This Row],[quality]],Lookups!$H$2:$J$14,3,FALSE),0)</f>
        <v>10733</v>
      </c>
      <c r="BK1981" s="6">
        <f>_xlfn.IFNA(VLOOKUP(Grandview_Inventory[[#This Row],[condition]],Lookups!$H$17:$J$24,3,FALSE),0)</f>
        <v>-4503</v>
      </c>
      <c r="BL1981" s="6">
        <f>Grandview_Inventory[[#This Row],[Eff_Age]]*Lookups!$B$14</f>
        <v>-7414.1646000000001</v>
      </c>
      <c r="BM1981" s="6">
        <f>Grandview_Inventory[[#This Row],[living_area]]*Lookups!$B$15</f>
        <v>77851.304543999999</v>
      </c>
      <c r="BN1981" s="6">
        <f>Grandview_Inventory[[#This Row],[Fin BSMT]]*Lookups!$B$16</f>
        <v>0</v>
      </c>
      <c r="BO1981" s="6">
        <f>(Grandview_Inventory[[#This Row],[att_gar]]+Grandview_Inventory[[#This Row],[bltin_gar]])*Lookups!$B$17</f>
        <v>24155.640611999999</v>
      </c>
      <c r="BP1981" s="6">
        <f>Grandview_Inventory[[#This Row],[Plumbing Fixtures]]*Lookups!$B$18</f>
        <v>16083.5344</v>
      </c>
      <c r="BQ1981" s="6">
        <f>Grandview_Inventory[[#This Row],[detatched_value]]*Lookups!$B$19</f>
        <v>0</v>
      </c>
      <c r="BR1981" s="6">
        <f>SUM(Grandview_Inventory[[#This Row],[Intercept]:[det_value]])*Grandview_Inventory[[#This Row],[res_pct]]</f>
        <v>272740.26495599997</v>
      </c>
      <c r="BS1981" s="6">
        <f>Grandview_Inventory[[#This Row],[land_value]]</f>
        <v>47528.228511015397</v>
      </c>
      <c r="BT1981" s="4">
        <f>_xlfn.IFNA(VLOOKUP(Grandview_Inventory[[#This Row],[quality]],Lookups!$A$26:$C$33,3,FALSE),1)</f>
        <v>0.98079741117310582</v>
      </c>
      <c r="BU1981" s="4">
        <f>_xlfn.IFNA(VLOOKUP(Grandview_Inventory[[#This Row],[condition]],Lookups!$A$37:$C$44,3,FALSE),1)</f>
        <v>0.96469275950863709</v>
      </c>
      <c r="BV1981" s="4">
        <f>IF(Grandview_Inventory[[#This Row],[bldg_style]]="",1,_xlfn.IFNA(VLOOKUP(Grandview_Inventory[[#This Row],[decade]],Lookups!$F$29:$H$43,3,FALSE),1))</f>
        <v>0.98031878267063854</v>
      </c>
      <c r="BW1981" s="4">
        <f>_xlfn.IFNA(VLOOKUP(Grandview_Inventory[[#This Row],[living_area_range]],Lookups!$F$47:$H$56,3,FALSE),1)</f>
        <v>0.96135087979789358</v>
      </c>
      <c r="BX1981" s="4">
        <f>AVERAGE(Grandview_Inventory[[#This Row],[qual_adj]:[size_adj]])</f>
        <v>0.97178995828756876</v>
      </c>
      <c r="BY1981" s="6">
        <f>IF(Grandview_Inventory[[#This Row],[pre_res]]&lt;0,0,Grandview_Inventory[[#This Row],[pre_res]]*Grandview_Inventory[[#This Row],[overall_adj]])</f>
        <v>265046.25070493168</v>
      </c>
      <c r="BZ1981" s="6">
        <f>(Grandview_Inventory[[#This Row],[sum_land]]-IF(Grandview_Inventory[[#This Row],[no_utilities]]=1,12000,0))/IF(Grandview_Inventory[[#This Row],[unbuildable]]=1,2,1)</f>
        <v>47528.228511015397</v>
      </c>
      <c r="CA198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81">
        <f>ROUND(Grandview_Inventory[[#This Row],[det_value]]*Lookups!$M$28,-2)</f>
        <v>0</v>
      </c>
      <c r="CC1981">
        <f>IF(ROUND(Grandview_Inventory[[#This Row],[adj_res]]*Lookups!$M$28,-2)&lt;Grandview_Inventory[[#This Row],[min_res]],Grandview_Inventory[[#This Row],[min_res]],ROUND(Grandview_Inventory[[#This Row],[adj_res]]*Lookups!$M$28,-2))</f>
        <v>251800</v>
      </c>
      <c r="CD1981">
        <f>Grandview_Inventory[[#This Row],[final_det]]+Grandview_Inventory[[#This Row],[final_res]]</f>
        <v>251800</v>
      </c>
      <c r="CE1981">
        <f>Grandview_Inventory[[#This Row],[final_land]]+Grandview_Inventory[[#This Row],[final_imp]]+Grandview_Inventory[[#This Row],[crop_value]]</f>
        <v>297000</v>
      </c>
      <c r="CG1981" t="str">
        <f t="shared" si="30"/>
        <v>update valuation set market_land =45200, market_bldg=251800, market_total =297000, market_mdno =401, market_date ='9/10/2023' where link_id = (select link_id from parcel where parcel_year = '2024' and parcel_id = '23092343453');</v>
      </c>
    </row>
    <row r="1982" spans="1:85" x14ac:dyDescent="0.25">
      <c r="A1982">
        <v>23092343454</v>
      </c>
      <c r="B1982">
        <v>0.23</v>
      </c>
      <c r="C1982">
        <v>9837</v>
      </c>
      <c r="D1982" t="s">
        <v>129</v>
      </c>
      <c r="E1982" t="s">
        <v>53</v>
      </c>
      <c r="F1982" t="s">
        <v>53</v>
      </c>
      <c r="G1982">
        <v>4</v>
      </c>
      <c r="H1982" t="s">
        <v>54</v>
      </c>
      <c r="I1982">
        <v>178800</v>
      </c>
      <c r="J1982">
        <v>39500</v>
      </c>
      <c r="K1982">
        <v>0.23</v>
      </c>
      <c r="L198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982">
        <v>0</v>
      </c>
      <c r="N1982">
        <v>0</v>
      </c>
      <c r="O1982">
        <v>0</v>
      </c>
      <c r="P1982">
        <v>13398.7528</v>
      </c>
      <c r="Q1982">
        <v>63903</v>
      </c>
      <c r="R1982">
        <f>(Grandview_Inventory[[#This Row],[ln_acres]]*Grandview_Inventory[[#This Row],[coeff]])+Grandview_Inventory[[#This Row],[const]]</f>
        <v>44211.174981080039</v>
      </c>
      <c r="S1982" t="s">
        <v>61</v>
      </c>
      <c r="T1982">
        <v>1</v>
      </c>
      <c r="U1982" t="s">
        <v>70</v>
      </c>
      <c r="V1982" t="s">
        <v>69</v>
      </c>
      <c r="W1982">
        <v>0</v>
      </c>
      <c r="X1982">
        <v>0</v>
      </c>
      <c r="Y1982">
        <v>41</v>
      </c>
      <c r="Z1982">
        <v>41</v>
      </c>
      <c r="AA1982">
        <v>50</v>
      </c>
      <c r="AB1982">
        <v>1500</v>
      </c>
      <c r="AC1982">
        <v>1376</v>
      </c>
      <c r="AD1982">
        <v>1376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288</v>
      </c>
      <c r="AL1982">
        <v>0</v>
      </c>
      <c r="AM1982">
        <v>0</v>
      </c>
      <c r="AN1982">
        <v>32</v>
      </c>
      <c r="AO1982">
        <v>0</v>
      </c>
      <c r="AP1982">
        <v>7</v>
      </c>
      <c r="AQ1982">
        <v>0</v>
      </c>
      <c r="AR1982">
        <v>0</v>
      </c>
      <c r="AS1982" t="s">
        <v>58</v>
      </c>
      <c r="AT1982">
        <v>1</v>
      </c>
      <c r="AU1982" t="s">
        <v>63</v>
      </c>
      <c r="AV1982" t="s">
        <v>60</v>
      </c>
      <c r="AW1982">
        <v>1</v>
      </c>
      <c r="AX1982">
        <v>4</v>
      </c>
      <c r="AY1982">
        <v>0</v>
      </c>
      <c r="AZ1982">
        <v>0</v>
      </c>
      <c r="BA1982">
        <v>100</v>
      </c>
      <c r="BB1982">
        <v>100</v>
      </c>
      <c r="BC1982">
        <v>100</v>
      </c>
      <c r="BD1982">
        <v>100</v>
      </c>
      <c r="BE1982">
        <v>1</v>
      </c>
      <c r="BF1982">
        <v>15000</v>
      </c>
      <c r="BG1982">
        <v>1000</v>
      </c>
      <c r="BH1982" s="6">
        <f>Grandview_Inventory[[#This Row],[land_extract]]*Lookups!$B$3</f>
        <v>51342.318135355803</v>
      </c>
      <c r="BI1982" s="6">
        <f>IF(Grandview_Inventory[[#This Row],[bldg_style]]="",0,Lookups!$B$2)</f>
        <v>155833.95000000001</v>
      </c>
      <c r="BJ1982" s="6">
        <f>_xlfn.IFNA(VLOOKUP(Grandview_Inventory[[#This Row],[quality]],Lookups!$H$2:$J$14,3,FALSE),0)</f>
        <v>10733</v>
      </c>
      <c r="BK1982" s="6">
        <f>_xlfn.IFNA(VLOOKUP(Grandview_Inventory[[#This Row],[condition]],Lookups!$H$17:$J$24,3,FALSE),0)</f>
        <v>-4503</v>
      </c>
      <c r="BL1982" s="6">
        <f>Grandview_Inventory[[#This Row],[Eff_Age]]*Lookups!$B$14</f>
        <v>-9805.8305999999993</v>
      </c>
      <c r="BM1982" s="6">
        <f>Grandview_Inventory[[#This Row],[living_area]]*Lookups!$B$15</f>
        <v>85836.053727999999</v>
      </c>
      <c r="BN1982" s="6">
        <f>Grandview_Inventory[[#This Row],[Fin BSMT]]*Lookups!$B$16</f>
        <v>0</v>
      </c>
      <c r="BO1982" s="6">
        <f>(Grandview_Inventory[[#This Row],[att_gar]]+Grandview_Inventory[[#This Row],[bltin_gar]])*Lookups!$B$17</f>
        <v>0</v>
      </c>
      <c r="BP1982" s="6">
        <f>Grandview_Inventory[[#This Row],[Plumbing Fixtures]]*Lookups!$B$18</f>
        <v>14073.0926</v>
      </c>
      <c r="BQ1982" s="6">
        <f>Grandview_Inventory[[#This Row],[detatched_value]]*Lookups!$B$19</f>
        <v>0</v>
      </c>
      <c r="BR1982" s="6">
        <f>SUM(Grandview_Inventory[[#This Row],[Intercept]:[det_value]])*Grandview_Inventory[[#This Row],[res_pct]]</f>
        <v>252167.26572800003</v>
      </c>
      <c r="BS1982" s="6">
        <f>Grandview_Inventory[[#This Row],[land_value]]</f>
        <v>51342.318135355803</v>
      </c>
      <c r="BT1982" s="4">
        <f>_xlfn.IFNA(VLOOKUP(Grandview_Inventory[[#This Row],[quality]],Lookups!$A$26:$C$33,3,FALSE),1)</f>
        <v>0.98079741117310582</v>
      </c>
      <c r="BU1982" s="4">
        <f>_xlfn.IFNA(VLOOKUP(Grandview_Inventory[[#This Row],[condition]],Lookups!$A$37:$C$44,3,FALSE),1)</f>
        <v>0.96469275950863709</v>
      </c>
      <c r="BV1982" s="4">
        <f>IF(Grandview_Inventory[[#This Row],[bldg_style]]="",1,_xlfn.IFNA(VLOOKUP(Grandview_Inventory[[#This Row],[decade]],Lookups!$F$29:$H$43,3,FALSE),1))</f>
        <v>0.9871940091910919</v>
      </c>
      <c r="BW1982" s="4">
        <f>_xlfn.IFNA(VLOOKUP(Grandview_Inventory[[#This Row],[living_area_range]],Lookups!$F$47:$H$56,3,FALSE),1)</f>
        <v>0.96135087979789358</v>
      </c>
      <c r="BX1982" s="4">
        <f>AVERAGE(Grandview_Inventory[[#This Row],[qual_adj]:[size_adj]])</f>
        <v>0.97350876491768212</v>
      </c>
      <c r="BY1982" s="6">
        <f>IF(Grandview_Inventory[[#This Row],[pre_res]]&lt;0,0,Grandview_Inventory[[#This Row],[pre_res]]*Grandview_Inventory[[#This Row],[overall_adj]])</f>
        <v>245487.04341153425</v>
      </c>
      <c r="BZ1982" s="6">
        <f>(Grandview_Inventory[[#This Row],[sum_land]]-IF(Grandview_Inventory[[#This Row],[no_utilities]]=1,12000,0))/IF(Grandview_Inventory[[#This Row],[unbuildable]]=1,2,1)</f>
        <v>51342.318135355803</v>
      </c>
      <c r="CA198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982">
        <f>ROUND(Grandview_Inventory[[#This Row],[det_value]]*Lookups!$M$28,-2)</f>
        <v>0</v>
      </c>
      <c r="CC1982">
        <f>IF(ROUND(Grandview_Inventory[[#This Row],[adj_res]]*Lookups!$M$28,-2)&lt;Grandview_Inventory[[#This Row],[min_res]],Grandview_Inventory[[#This Row],[min_res]],ROUND(Grandview_Inventory[[#This Row],[adj_res]]*Lookups!$M$28,-2))</f>
        <v>233200</v>
      </c>
      <c r="CD1982">
        <f>Grandview_Inventory[[#This Row],[final_det]]+Grandview_Inventory[[#This Row],[final_res]]</f>
        <v>233200</v>
      </c>
      <c r="CE1982">
        <f>Grandview_Inventory[[#This Row],[final_land]]+Grandview_Inventory[[#This Row],[final_imp]]+Grandview_Inventory[[#This Row],[crop_value]]</f>
        <v>282000</v>
      </c>
      <c r="CG1982" t="str">
        <f t="shared" si="30"/>
        <v>update valuation set market_land =48800, market_bldg=233200, market_total =282000, market_mdno =401, market_date ='9/10/2023' where link_id = (select link_id from parcel where parcel_year = '2024' and parcel_id = '23092343454');</v>
      </c>
    </row>
    <row r="1983" spans="1:85" x14ac:dyDescent="0.25">
      <c r="A1983">
        <v>23092343462</v>
      </c>
      <c r="B1983">
        <v>0.16</v>
      </c>
      <c r="C1983">
        <v>7020</v>
      </c>
      <c r="D1983" t="s">
        <v>129</v>
      </c>
      <c r="E1983" t="s">
        <v>53</v>
      </c>
      <c r="F1983" t="s">
        <v>53</v>
      </c>
      <c r="G1983">
        <v>4</v>
      </c>
      <c r="H1983" t="s">
        <v>54</v>
      </c>
      <c r="I1983">
        <v>226100</v>
      </c>
      <c r="J1983">
        <v>38600</v>
      </c>
      <c r="K1983">
        <v>0.16</v>
      </c>
      <c r="L198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83">
        <v>0</v>
      </c>
      <c r="N1983">
        <v>0</v>
      </c>
      <c r="O1983">
        <v>0</v>
      </c>
      <c r="P1983">
        <v>13398.7528</v>
      </c>
      <c r="Q1983">
        <v>63903</v>
      </c>
      <c r="R1983">
        <f>(Grandview_Inventory[[#This Row],[ln_acres]]*Grandview_Inventory[[#This Row],[coeff]])+Grandview_Inventory[[#This Row],[const]]</f>
        <v>39348.693981374228</v>
      </c>
      <c r="S1983" t="s">
        <v>61</v>
      </c>
      <c r="T1983">
        <v>1</v>
      </c>
      <c r="U1983" t="s">
        <v>65</v>
      </c>
      <c r="V1983" t="s">
        <v>67</v>
      </c>
      <c r="W1983">
        <v>0</v>
      </c>
      <c r="X1983">
        <v>0</v>
      </c>
      <c r="Y1983">
        <v>25</v>
      </c>
      <c r="Z1983">
        <v>25</v>
      </c>
      <c r="AA1983">
        <v>30</v>
      </c>
      <c r="AB1983">
        <v>1500</v>
      </c>
      <c r="AC1983">
        <v>1248</v>
      </c>
      <c r="AD1983">
        <v>1248</v>
      </c>
      <c r="AE1983">
        <v>0</v>
      </c>
      <c r="AF1983">
        <v>0</v>
      </c>
      <c r="AG1983">
        <v>0</v>
      </c>
      <c r="AH1983">
        <v>0</v>
      </c>
      <c r="AI1983">
        <v>460</v>
      </c>
      <c r="AJ1983">
        <v>0</v>
      </c>
      <c r="AK1983">
        <v>0</v>
      </c>
      <c r="AL1983">
        <v>0</v>
      </c>
      <c r="AM1983">
        <v>350</v>
      </c>
      <c r="AN1983">
        <v>72</v>
      </c>
      <c r="AO1983">
        <v>350</v>
      </c>
      <c r="AP1983">
        <v>8</v>
      </c>
      <c r="AQ1983">
        <v>0</v>
      </c>
      <c r="AR1983">
        <v>0</v>
      </c>
      <c r="AS1983" t="s">
        <v>58</v>
      </c>
      <c r="AT1983">
        <v>1</v>
      </c>
      <c r="AU1983" t="s">
        <v>63</v>
      </c>
      <c r="AV1983" t="s">
        <v>60</v>
      </c>
      <c r="AW1983">
        <v>1</v>
      </c>
      <c r="AX1983">
        <v>4</v>
      </c>
      <c r="AY1983">
        <v>0</v>
      </c>
      <c r="AZ1983">
        <v>0</v>
      </c>
      <c r="BA1983">
        <v>100</v>
      </c>
      <c r="BB1983">
        <v>100</v>
      </c>
      <c r="BC1983">
        <v>100</v>
      </c>
      <c r="BD1983">
        <v>100</v>
      </c>
      <c r="BE1983">
        <v>1</v>
      </c>
      <c r="BF1983">
        <v>15000</v>
      </c>
      <c r="BG1983">
        <v>1000</v>
      </c>
      <c r="BH1983" s="6">
        <f>Grandview_Inventory[[#This Row],[land_extract]]*Lookups!$B$3</f>
        <v>45695.532079096141</v>
      </c>
      <c r="BI1983" s="6">
        <f>IF(Grandview_Inventory[[#This Row],[bldg_style]]="",0,Lookups!$B$2)</f>
        <v>155833.95000000001</v>
      </c>
      <c r="BJ1983" s="6">
        <f>_xlfn.IFNA(VLOOKUP(Grandview_Inventory[[#This Row],[quality]],Lookups!$H$2:$J$14,3,FALSE),0)</f>
        <v>2251</v>
      </c>
      <c r="BK1983" s="6">
        <f>_xlfn.IFNA(VLOOKUP(Grandview_Inventory[[#This Row],[condition]],Lookups!$H$17:$J$24,3,FALSE),0)</f>
        <v>22342</v>
      </c>
      <c r="BL1983" s="6">
        <f>Grandview_Inventory[[#This Row],[Eff_Age]]*Lookups!$B$14</f>
        <v>-5979.165</v>
      </c>
      <c r="BM1983" s="6">
        <f>Grandview_Inventory[[#This Row],[living_area]]*Lookups!$B$15</f>
        <v>77851.304543999999</v>
      </c>
      <c r="BN1983" s="6">
        <f>Grandview_Inventory[[#This Row],[Fin BSMT]]*Lookups!$B$16</f>
        <v>0</v>
      </c>
      <c r="BO1983" s="6">
        <f>(Grandview_Inventory[[#This Row],[att_gar]]+Grandview_Inventory[[#This Row],[bltin_gar]])*Lookups!$B$17</f>
        <v>40259.401019999998</v>
      </c>
      <c r="BP1983" s="6">
        <f>Grandview_Inventory[[#This Row],[Plumbing Fixtures]]*Lookups!$B$18</f>
        <v>16083.5344</v>
      </c>
      <c r="BQ1983" s="6">
        <f>Grandview_Inventory[[#This Row],[detatched_value]]*Lookups!$B$19</f>
        <v>0</v>
      </c>
      <c r="BR1983" s="6">
        <f>SUM(Grandview_Inventory[[#This Row],[Intercept]:[det_value]])*Grandview_Inventory[[#This Row],[res_pct]]</f>
        <v>308642.02496399998</v>
      </c>
      <c r="BS1983" s="6">
        <f>Grandview_Inventory[[#This Row],[land_value]]</f>
        <v>45695.532079096141</v>
      </c>
      <c r="BT1983" s="4">
        <f>_xlfn.IFNA(VLOOKUP(Grandview_Inventory[[#This Row],[quality]],Lookups!$A$26:$C$33,3,FALSE),1)</f>
        <v>0.98763855981004833</v>
      </c>
      <c r="BU1983" s="4">
        <f>_xlfn.IFNA(VLOOKUP(Grandview_Inventory[[#This Row],[condition]],Lookups!$A$37:$C$44,3,FALSE),1)</f>
        <v>0.97383723671140243</v>
      </c>
      <c r="BV1983" s="4">
        <f>IF(Grandview_Inventory[[#This Row],[bldg_style]]="",1,_xlfn.IFNA(VLOOKUP(Grandview_Inventory[[#This Row],[decade]],Lookups!$F$29:$H$43,3,FALSE),1))</f>
        <v>0.98397821291089549</v>
      </c>
      <c r="BW1983" s="4">
        <f>_xlfn.IFNA(VLOOKUP(Grandview_Inventory[[#This Row],[living_area_range]],Lookups!$F$47:$H$56,3,FALSE),1)</f>
        <v>0.96135087979789358</v>
      </c>
      <c r="BX1983" s="4">
        <f>AVERAGE(Grandview_Inventory[[#This Row],[qual_adj]:[size_adj]])</f>
        <v>0.97670122230755996</v>
      </c>
      <c r="BY1983" s="6">
        <f>IF(Grandview_Inventory[[#This Row],[pre_res]]&lt;0,0,Grandview_Inventory[[#This Row],[pre_res]]*Grandview_Inventory[[#This Row],[overall_adj]])</f>
        <v>301451.04303781921</v>
      </c>
      <c r="BZ1983" s="6">
        <f>(Grandview_Inventory[[#This Row],[sum_land]]-IF(Grandview_Inventory[[#This Row],[no_utilities]]=1,12000,0))/IF(Grandview_Inventory[[#This Row],[unbuildable]]=1,2,1)</f>
        <v>45695.532079096141</v>
      </c>
      <c r="CA198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83">
        <f>ROUND(Grandview_Inventory[[#This Row],[det_value]]*Lookups!$M$28,-2)</f>
        <v>0</v>
      </c>
      <c r="CC1983">
        <f>IF(ROUND(Grandview_Inventory[[#This Row],[adj_res]]*Lookups!$M$28,-2)&lt;Grandview_Inventory[[#This Row],[min_res]],Grandview_Inventory[[#This Row],[min_res]],ROUND(Grandview_Inventory[[#This Row],[adj_res]]*Lookups!$M$28,-2))</f>
        <v>286400</v>
      </c>
      <c r="CD1983">
        <f>Grandview_Inventory[[#This Row],[final_det]]+Grandview_Inventory[[#This Row],[final_res]]</f>
        <v>286400</v>
      </c>
      <c r="CE1983">
        <f>Grandview_Inventory[[#This Row],[final_land]]+Grandview_Inventory[[#This Row],[final_imp]]+Grandview_Inventory[[#This Row],[crop_value]]</f>
        <v>329800</v>
      </c>
      <c r="CG1983" t="str">
        <f t="shared" si="30"/>
        <v>update valuation set market_land =43400, market_bldg=286400, market_total =329800, market_mdno =401, market_date ='9/10/2023' where link_id = (select link_id from parcel where parcel_year = '2024' and parcel_id = '23092343462');</v>
      </c>
    </row>
    <row r="1984" spans="1:85" x14ac:dyDescent="0.25">
      <c r="A1984">
        <v>23092343463</v>
      </c>
      <c r="B1984">
        <v>0.25</v>
      </c>
      <c r="C1984">
        <v>10859</v>
      </c>
      <c r="D1984" t="s">
        <v>129</v>
      </c>
      <c r="E1984" t="s">
        <v>53</v>
      </c>
      <c r="F1984" t="s">
        <v>53</v>
      </c>
      <c r="G1984">
        <v>4</v>
      </c>
      <c r="H1984" t="s">
        <v>54</v>
      </c>
      <c r="I1984">
        <v>187900</v>
      </c>
      <c r="J1984">
        <v>40000</v>
      </c>
      <c r="K1984">
        <v>0.25</v>
      </c>
      <c r="L198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1984">
        <v>0</v>
      </c>
      <c r="N1984">
        <v>0</v>
      </c>
      <c r="O1984">
        <v>0</v>
      </c>
      <c r="P1984">
        <v>13398.7528</v>
      </c>
      <c r="Q1984">
        <v>63903</v>
      </c>
      <c r="R1984">
        <f>(Grandview_Inventory[[#This Row],[ln_acres]]*Grandview_Inventory[[#This Row],[coeff]])+Grandview_Inventory[[#This Row],[const]]</f>
        <v>45328.38454732066</v>
      </c>
      <c r="S1984" t="s">
        <v>61</v>
      </c>
      <c r="T1984">
        <v>1</v>
      </c>
      <c r="U1984" t="s">
        <v>65</v>
      </c>
      <c r="V1984" t="s">
        <v>69</v>
      </c>
      <c r="W1984">
        <v>0</v>
      </c>
      <c r="X1984">
        <v>0</v>
      </c>
      <c r="Y1984">
        <v>24</v>
      </c>
      <c r="Z1984">
        <v>24</v>
      </c>
      <c r="AA1984">
        <v>30</v>
      </c>
      <c r="AB1984">
        <v>1500</v>
      </c>
      <c r="AC1984">
        <v>1248</v>
      </c>
      <c r="AD1984">
        <v>1248</v>
      </c>
      <c r="AE1984">
        <v>0</v>
      </c>
      <c r="AF1984">
        <v>0</v>
      </c>
      <c r="AG1984">
        <v>0</v>
      </c>
      <c r="AH1984">
        <v>0</v>
      </c>
      <c r="AI1984">
        <v>460</v>
      </c>
      <c r="AJ1984">
        <v>0</v>
      </c>
      <c r="AK1984">
        <v>0</v>
      </c>
      <c r="AL1984">
        <v>72</v>
      </c>
      <c r="AM1984">
        <v>96</v>
      </c>
      <c r="AN1984">
        <v>72</v>
      </c>
      <c r="AO1984">
        <v>72</v>
      </c>
      <c r="AP1984">
        <v>8</v>
      </c>
      <c r="AQ1984">
        <v>0</v>
      </c>
      <c r="AR1984">
        <v>0</v>
      </c>
      <c r="AS1984" t="s">
        <v>58</v>
      </c>
      <c r="AT1984">
        <v>1</v>
      </c>
      <c r="AU1984" t="s">
        <v>63</v>
      </c>
      <c r="AV1984" t="s">
        <v>60</v>
      </c>
      <c r="AW1984">
        <v>1</v>
      </c>
      <c r="AX1984">
        <v>4</v>
      </c>
      <c r="AY1984">
        <v>0</v>
      </c>
      <c r="AZ1984">
        <v>0</v>
      </c>
      <c r="BA1984">
        <v>100</v>
      </c>
      <c r="BB1984">
        <v>100</v>
      </c>
      <c r="BC1984">
        <v>100</v>
      </c>
      <c r="BD1984">
        <v>100</v>
      </c>
      <c r="BE1984">
        <v>1</v>
      </c>
      <c r="BF1984">
        <v>15000</v>
      </c>
      <c r="BG1984">
        <v>1000</v>
      </c>
      <c r="BH1984" s="6">
        <f>Grandview_Inventory[[#This Row],[land_extract]]*Lookups!$B$3</f>
        <v>52639.730588165206</v>
      </c>
      <c r="BI1984" s="6">
        <f>IF(Grandview_Inventory[[#This Row],[bldg_style]]="",0,Lookups!$B$2)</f>
        <v>155833.95000000001</v>
      </c>
      <c r="BJ1984" s="6">
        <f>_xlfn.IFNA(VLOOKUP(Grandview_Inventory[[#This Row],[quality]],Lookups!$H$2:$J$14,3,FALSE),0)</f>
        <v>2251</v>
      </c>
      <c r="BK1984" s="6">
        <f>_xlfn.IFNA(VLOOKUP(Grandview_Inventory[[#This Row],[condition]],Lookups!$H$17:$J$24,3,FALSE),0)</f>
        <v>-4503</v>
      </c>
      <c r="BL1984" s="6">
        <f>Grandview_Inventory[[#This Row],[Eff_Age]]*Lookups!$B$14</f>
        <v>-5739.9983999999995</v>
      </c>
      <c r="BM1984" s="6">
        <f>Grandview_Inventory[[#This Row],[living_area]]*Lookups!$B$15</f>
        <v>77851.304543999999</v>
      </c>
      <c r="BN1984" s="6">
        <f>Grandview_Inventory[[#This Row],[Fin BSMT]]*Lookups!$B$16</f>
        <v>0</v>
      </c>
      <c r="BO1984" s="6">
        <f>(Grandview_Inventory[[#This Row],[att_gar]]+Grandview_Inventory[[#This Row],[bltin_gar]])*Lookups!$B$17</f>
        <v>40259.401019999998</v>
      </c>
      <c r="BP1984" s="6">
        <f>Grandview_Inventory[[#This Row],[Plumbing Fixtures]]*Lookups!$B$18</f>
        <v>16083.5344</v>
      </c>
      <c r="BQ1984" s="6">
        <f>Grandview_Inventory[[#This Row],[detatched_value]]*Lookups!$B$19</f>
        <v>0</v>
      </c>
      <c r="BR1984" s="6">
        <f>SUM(Grandview_Inventory[[#This Row],[Intercept]:[det_value]])*Grandview_Inventory[[#This Row],[res_pct]]</f>
        <v>282036.19156399998</v>
      </c>
      <c r="BS1984" s="6">
        <f>Grandview_Inventory[[#This Row],[land_value]]</f>
        <v>52639.730588165206</v>
      </c>
      <c r="BT1984" s="4">
        <f>_xlfn.IFNA(VLOOKUP(Grandview_Inventory[[#This Row],[quality]],Lookups!$A$26:$C$33,3,FALSE),1)</f>
        <v>0.98763855981004833</v>
      </c>
      <c r="BU1984" s="4">
        <f>_xlfn.IFNA(VLOOKUP(Grandview_Inventory[[#This Row],[condition]],Lookups!$A$37:$C$44,3,FALSE),1)</f>
        <v>0.96469275950863709</v>
      </c>
      <c r="BV1984" s="4">
        <f>IF(Grandview_Inventory[[#This Row],[bldg_style]]="",1,_xlfn.IFNA(VLOOKUP(Grandview_Inventory[[#This Row],[decade]],Lookups!$F$29:$H$43,3,FALSE),1))</f>
        <v>0.98397821291089549</v>
      </c>
      <c r="BW1984" s="4">
        <f>_xlfn.IFNA(VLOOKUP(Grandview_Inventory[[#This Row],[living_area_range]],Lookups!$F$47:$H$56,3,FALSE),1)</f>
        <v>0.96135087979789358</v>
      </c>
      <c r="BX1984" s="4">
        <f>AVERAGE(Grandview_Inventory[[#This Row],[qual_adj]:[size_adj]])</f>
        <v>0.97441510300686862</v>
      </c>
      <c r="BY1984" s="6">
        <f>IF(Grandview_Inventory[[#This Row],[pre_res]]&lt;0,0,Grandview_Inventory[[#This Row],[pre_res]]*Grandview_Inventory[[#This Row],[overall_adj]])</f>
        <v>274820.32465449994</v>
      </c>
      <c r="BZ1984" s="6">
        <f>(Grandview_Inventory[[#This Row],[sum_land]]-IF(Grandview_Inventory[[#This Row],[no_utilities]]=1,12000,0))/IF(Grandview_Inventory[[#This Row],[unbuildable]]=1,2,1)</f>
        <v>52639.730588165206</v>
      </c>
      <c r="CA198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1984">
        <f>ROUND(Grandview_Inventory[[#This Row],[det_value]]*Lookups!$M$28,-2)</f>
        <v>0</v>
      </c>
      <c r="CC1984">
        <f>IF(ROUND(Grandview_Inventory[[#This Row],[adj_res]]*Lookups!$M$28,-2)&lt;Grandview_Inventory[[#This Row],[min_res]],Grandview_Inventory[[#This Row],[min_res]],ROUND(Grandview_Inventory[[#This Row],[adj_res]]*Lookups!$M$28,-2))</f>
        <v>261100</v>
      </c>
      <c r="CD1984">
        <f>Grandview_Inventory[[#This Row],[final_det]]+Grandview_Inventory[[#This Row],[final_res]]</f>
        <v>261100</v>
      </c>
      <c r="CE1984">
        <f>Grandview_Inventory[[#This Row],[final_land]]+Grandview_Inventory[[#This Row],[final_imp]]+Grandview_Inventory[[#This Row],[crop_value]]</f>
        <v>311100</v>
      </c>
      <c r="CG1984" t="str">
        <f t="shared" si="30"/>
        <v>update valuation set market_land =50000, market_bldg=261100, market_total =311100, market_mdno =401, market_date ='9/10/2023' where link_id = (select link_id from parcel where parcel_year = '2024' and parcel_id = '23092343463');</v>
      </c>
    </row>
    <row r="1985" spans="1:85" x14ac:dyDescent="0.25">
      <c r="A1985">
        <v>23092343464</v>
      </c>
      <c r="B1985">
        <v>0.18</v>
      </c>
      <c r="C1985">
        <v>7648</v>
      </c>
      <c r="D1985" t="s">
        <v>129</v>
      </c>
      <c r="E1985" t="s">
        <v>53</v>
      </c>
      <c r="F1985" t="s">
        <v>53</v>
      </c>
      <c r="G1985">
        <v>4</v>
      </c>
      <c r="H1985" t="s">
        <v>54</v>
      </c>
      <c r="I1985">
        <v>171900</v>
      </c>
      <c r="J1985">
        <v>38800</v>
      </c>
      <c r="K1985">
        <v>0.18</v>
      </c>
      <c r="L198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1985">
        <v>0</v>
      </c>
      <c r="N1985">
        <v>0</v>
      </c>
      <c r="O1985">
        <v>0</v>
      </c>
      <c r="P1985">
        <v>13398.7528</v>
      </c>
      <c r="Q1985">
        <v>63903</v>
      </c>
      <c r="R1985">
        <f>(Grandview_Inventory[[#This Row],[ln_acres]]*Grandview_Inventory[[#This Row],[coeff]])+Grandview_Inventory[[#This Row],[const]]</f>
        <v>40926.839760167699</v>
      </c>
      <c r="S1985" t="s">
        <v>61</v>
      </c>
      <c r="T1985">
        <v>1</v>
      </c>
      <c r="U1985" t="s">
        <v>65</v>
      </c>
      <c r="V1985" t="s">
        <v>69</v>
      </c>
      <c r="W1985">
        <v>0</v>
      </c>
      <c r="X1985">
        <v>0</v>
      </c>
      <c r="Y1985">
        <v>24</v>
      </c>
      <c r="Z1985">
        <v>24</v>
      </c>
      <c r="AA1985">
        <v>30</v>
      </c>
      <c r="AB1985">
        <v>1500</v>
      </c>
      <c r="AC1985">
        <v>1248</v>
      </c>
      <c r="AD1985">
        <v>1248</v>
      </c>
      <c r="AE1985">
        <v>0</v>
      </c>
      <c r="AF1985">
        <v>0</v>
      </c>
      <c r="AG1985">
        <v>0</v>
      </c>
      <c r="AH1985">
        <v>0</v>
      </c>
      <c r="AI1985">
        <v>460</v>
      </c>
      <c r="AJ1985">
        <v>0</v>
      </c>
      <c r="AK1985">
        <v>0</v>
      </c>
      <c r="AL1985">
        <v>0</v>
      </c>
      <c r="AM1985">
        <v>96</v>
      </c>
      <c r="AN1985">
        <v>72</v>
      </c>
      <c r="AO1985">
        <v>0</v>
      </c>
      <c r="AP1985">
        <v>8</v>
      </c>
      <c r="AQ1985">
        <v>0</v>
      </c>
      <c r="AR1985">
        <v>0</v>
      </c>
      <c r="AS1985" t="s">
        <v>58</v>
      </c>
      <c r="AT1985">
        <v>1</v>
      </c>
      <c r="AU1985" t="s">
        <v>63</v>
      </c>
      <c r="AV1985" t="s">
        <v>60</v>
      </c>
      <c r="AW1985">
        <v>0</v>
      </c>
      <c r="AX1985">
        <v>4</v>
      </c>
      <c r="AY1985">
        <v>0</v>
      </c>
      <c r="AZ1985">
        <v>0</v>
      </c>
      <c r="BA1985">
        <v>100</v>
      </c>
      <c r="BB1985">
        <v>100</v>
      </c>
      <c r="BC1985">
        <v>100</v>
      </c>
      <c r="BD1985">
        <v>100</v>
      </c>
      <c r="BE1985">
        <v>1</v>
      </c>
      <c r="BF1985">
        <v>15000</v>
      </c>
      <c r="BG1985">
        <v>1000</v>
      </c>
      <c r="BH1985" s="6">
        <f>Grandview_Inventory[[#This Row],[land_extract]]*Lookups!$B$3</f>
        <v>47528.228511015397</v>
      </c>
      <c r="BI1985" s="6">
        <f>IF(Grandview_Inventory[[#This Row],[bldg_style]]="",0,Lookups!$B$2)</f>
        <v>155833.95000000001</v>
      </c>
      <c r="BJ1985" s="6">
        <f>_xlfn.IFNA(VLOOKUP(Grandview_Inventory[[#This Row],[quality]],Lookups!$H$2:$J$14,3,FALSE),0)</f>
        <v>2251</v>
      </c>
      <c r="BK1985" s="6">
        <f>_xlfn.IFNA(VLOOKUP(Grandview_Inventory[[#This Row],[condition]],Lookups!$H$17:$J$24,3,FALSE),0)</f>
        <v>-4503</v>
      </c>
      <c r="BL1985" s="6">
        <f>Grandview_Inventory[[#This Row],[Eff_Age]]*Lookups!$B$14</f>
        <v>-5739.9983999999995</v>
      </c>
      <c r="BM1985" s="6">
        <f>Grandview_Inventory[[#This Row],[living_area]]*Lookups!$B$15</f>
        <v>77851.304543999999</v>
      </c>
      <c r="BN1985" s="6">
        <f>Grandview_Inventory[[#This Row],[Fin BSMT]]*Lookups!$B$16</f>
        <v>0</v>
      </c>
      <c r="BO1985" s="6">
        <f>(Grandview_Inventory[[#This Row],[att_gar]]+Grandview_Inventory[[#This Row],[bltin_gar]])*Lookups!$B$17</f>
        <v>40259.401019999998</v>
      </c>
      <c r="BP1985" s="6">
        <f>Grandview_Inventory[[#This Row],[Plumbing Fixtures]]*Lookups!$B$18</f>
        <v>16083.5344</v>
      </c>
      <c r="BQ1985" s="6">
        <f>Grandview_Inventory[[#This Row],[detatched_value]]*Lookups!$B$19</f>
        <v>0</v>
      </c>
      <c r="BR1985" s="6">
        <f>SUM(Grandview_Inventory[[#This Row],[Intercept]:[det_value]])*Grandview_Inventory[[#This Row],[res_pct]]</f>
        <v>282036.19156399998</v>
      </c>
      <c r="BS1985" s="6">
        <f>Grandview_Inventory[[#This Row],[land_value]]</f>
        <v>47528.228511015397</v>
      </c>
      <c r="BT1985" s="4">
        <f>_xlfn.IFNA(VLOOKUP(Grandview_Inventory[[#This Row],[quality]],Lookups!$A$26:$C$33,3,FALSE),1)</f>
        <v>0.98763855981004833</v>
      </c>
      <c r="BU1985" s="4">
        <f>_xlfn.IFNA(VLOOKUP(Grandview_Inventory[[#This Row],[condition]],Lookups!$A$37:$C$44,3,FALSE),1)</f>
        <v>0.96469275950863709</v>
      </c>
      <c r="BV1985" s="4">
        <f>IF(Grandview_Inventory[[#This Row],[bldg_style]]="",1,_xlfn.IFNA(VLOOKUP(Grandview_Inventory[[#This Row],[decade]],Lookups!$F$29:$H$43,3,FALSE),1))</f>
        <v>0.98397821291089549</v>
      </c>
      <c r="BW1985" s="4">
        <f>_xlfn.IFNA(VLOOKUP(Grandview_Inventory[[#This Row],[living_area_range]],Lookups!$F$47:$H$56,3,FALSE),1)</f>
        <v>0.96135087979789358</v>
      </c>
      <c r="BX1985" s="4">
        <f>AVERAGE(Grandview_Inventory[[#This Row],[qual_adj]:[size_adj]])</f>
        <v>0.97441510300686862</v>
      </c>
      <c r="BY1985" s="6">
        <f>IF(Grandview_Inventory[[#This Row],[pre_res]]&lt;0,0,Grandview_Inventory[[#This Row],[pre_res]]*Grandview_Inventory[[#This Row],[overall_adj]])</f>
        <v>274820.32465449994</v>
      </c>
      <c r="BZ1985" s="6">
        <f>(Grandview_Inventory[[#This Row],[sum_land]]-IF(Grandview_Inventory[[#This Row],[no_utilities]]=1,12000,0))/IF(Grandview_Inventory[[#This Row],[unbuildable]]=1,2,1)</f>
        <v>47528.228511015397</v>
      </c>
      <c r="CA198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1985">
        <f>ROUND(Grandview_Inventory[[#This Row],[det_value]]*Lookups!$M$28,-2)</f>
        <v>0</v>
      </c>
      <c r="CC1985">
        <f>IF(ROUND(Grandview_Inventory[[#This Row],[adj_res]]*Lookups!$M$28,-2)&lt;Grandview_Inventory[[#This Row],[min_res]],Grandview_Inventory[[#This Row],[min_res]],ROUND(Grandview_Inventory[[#This Row],[adj_res]]*Lookups!$M$28,-2))</f>
        <v>261100</v>
      </c>
      <c r="CD1985">
        <f>Grandview_Inventory[[#This Row],[final_det]]+Grandview_Inventory[[#This Row],[final_res]]</f>
        <v>261100</v>
      </c>
      <c r="CE1985">
        <f>Grandview_Inventory[[#This Row],[final_land]]+Grandview_Inventory[[#This Row],[final_imp]]+Grandview_Inventory[[#This Row],[crop_value]]</f>
        <v>306300</v>
      </c>
      <c r="CG1985" t="str">
        <f t="shared" si="30"/>
        <v>update valuation set market_land =45200, market_bldg=261100, market_total =306300, market_mdno =401, market_date ='9/10/2023' where link_id = (select link_id from parcel where parcel_year = '2024' and parcel_id = '23092343464');</v>
      </c>
    </row>
    <row r="1986" spans="1:85" x14ac:dyDescent="0.25">
      <c r="A1986">
        <v>23092343465</v>
      </c>
      <c r="B1986">
        <v>0.16</v>
      </c>
      <c r="C1986">
        <v>7036</v>
      </c>
      <c r="D1986" t="s">
        <v>129</v>
      </c>
      <c r="E1986" t="s">
        <v>53</v>
      </c>
      <c r="F1986" t="s">
        <v>53</v>
      </c>
      <c r="G1986">
        <v>4</v>
      </c>
      <c r="H1986" t="s">
        <v>54</v>
      </c>
      <c r="I1986">
        <v>171900</v>
      </c>
      <c r="J1986">
        <v>38600</v>
      </c>
      <c r="K1986">
        <v>0.16</v>
      </c>
      <c r="L198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86">
        <v>0</v>
      </c>
      <c r="N1986">
        <v>0</v>
      </c>
      <c r="O1986">
        <v>0</v>
      </c>
      <c r="P1986">
        <v>13398.7528</v>
      </c>
      <c r="Q1986">
        <v>63903</v>
      </c>
      <c r="R1986">
        <f>(Grandview_Inventory[[#This Row],[ln_acres]]*Grandview_Inventory[[#This Row],[coeff]])+Grandview_Inventory[[#This Row],[const]]</f>
        <v>39348.693981374228</v>
      </c>
      <c r="S1986" t="s">
        <v>61</v>
      </c>
      <c r="T1986">
        <v>1</v>
      </c>
      <c r="U1986" t="s">
        <v>65</v>
      </c>
      <c r="V1986" t="s">
        <v>69</v>
      </c>
      <c r="W1986">
        <v>0</v>
      </c>
      <c r="X1986">
        <v>0</v>
      </c>
      <c r="Y1986">
        <v>24</v>
      </c>
      <c r="Z1986">
        <v>24</v>
      </c>
      <c r="AA1986">
        <v>30</v>
      </c>
      <c r="AB1986">
        <v>1500</v>
      </c>
      <c r="AC1986">
        <v>1248</v>
      </c>
      <c r="AD1986">
        <v>1248</v>
      </c>
      <c r="AE1986">
        <v>0</v>
      </c>
      <c r="AF1986">
        <v>0</v>
      </c>
      <c r="AG1986">
        <v>0</v>
      </c>
      <c r="AH1986">
        <v>0</v>
      </c>
      <c r="AI1986">
        <v>460</v>
      </c>
      <c r="AJ1986">
        <v>0</v>
      </c>
      <c r="AK1986">
        <v>0</v>
      </c>
      <c r="AL1986">
        <v>0</v>
      </c>
      <c r="AM1986">
        <v>96</v>
      </c>
      <c r="AN1986">
        <v>72</v>
      </c>
      <c r="AO1986">
        <v>0</v>
      </c>
      <c r="AP1986">
        <v>8</v>
      </c>
      <c r="AQ1986">
        <v>0</v>
      </c>
      <c r="AR1986">
        <v>0</v>
      </c>
      <c r="AS1986" t="s">
        <v>58</v>
      </c>
      <c r="AT1986">
        <v>1</v>
      </c>
      <c r="AU1986" t="s">
        <v>63</v>
      </c>
      <c r="AV1986" t="s">
        <v>60</v>
      </c>
      <c r="AW1986">
        <v>0</v>
      </c>
      <c r="AX1986">
        <v>4</v>
      </c>
      <c r="AY1986">
        <v>0</v>
      </c>
      <c r="AZ1986">
        <v>0</v>
      </c>
      <c r="BA1986">
        <v>100</v>
      </c>
      <c r="BB1986">
        <v>100</v>
      </c>
      <c r="BC1986">
        <v>100</v>
      </c>
      <c r="BD1986">
        <v>100</v>
      </c>
      <c r="BE1986">
        <v>1</v>
      </c>
      <c r="BF1986">
        <v>15000</v>
      </c>
      <c r="BG1986">
        <v>1000</v>
      </c>
      <c r="BH1986" s="6">
        <f>Grandview_Inventory[[#This Row],[land_extract]]*Lookups!$B$3</f>
        <v>45695.532079096141</v>
      </c>
      <c r="BI1986" s="6">
        <f>IF(Grandview_Inventory[[#This Row],[bldg_style]]="",0,Lookups!$B$2)</f>
        <v>155833.95000000001</v>
      </c>
      <c r="BJ1986" s="6">
        <f>_xlfn.IFNA(VLOOKUP(Grandview_Inventory[[#This Row],[quality]],Lookups!$H$2:$J$14,3,FALSE),0)</f>
        <v>2251</v>
      </c>
      <c r="BK1986" s="6">
        <f>_xlfn.IFNA(VLOOKUP(Grandview_Inventory[[#This Row],[condition]],Lookups!$H$17:$J$24,3,FALSE),0)</f>
        <v>-4503</v>
      </c>
      <c r="BL1986" s="6">
        <f>Grandview_Inventory[[#This Row],[Eff_Age]]*Lookups!$B$14</f>
        <v>-5739.9983999999995</v>
      </c>
      <c r="BM1986" s="6">
        <f>Grandview_Inventory[[#This Row],[living_area]]*Lookups!$B$15</f>
        <v>77851.304543999999</v>
      </c>
      <c r="BN1986" s="6">
        <f>Grandview_Inventory[[#This Row],[Fin BSMT]]*Lookups!$B$16</f>
        <v>0</v>
      </c>
      <c r="BO1986" s="6">
        <f>(Grandview_Inventory[[#This Row],[att_gar]]+Grandview_Inventory[[#This Row],[bltin_gar]])*Lookups!$B$17</f>
        <v>40259.401019999998</v>
      </c>
      <c r="BP1986" s="6">
        <f>Grandview_Inventory[[#This Row],[Plumbing Fixtures]]*Lookups!$B$18</f>
        <v>16083.5344</v>
      </c>
      <c r="BQ1986" s="6">
        <f>Grandview_Inventory[[#This Row],[detatched_value]]*Lookups!$B$19</f>
        <v>0</v>
      </c>
      <c r="BR1986" s="6">
        <f>SUM(Grandview_Inventory[[#This Row],[Intercept]:[det_value]])*Grandview_Inventory[[#This Row],[res_pct]]</f>
        <v>282036.19156399998</v>
      </c>
      <c r="BS1986" s="6">
        <f>Grandview_Inventory[[#This Row],[land_value]]</f>
        <v>45695.532079096141</v>
      </c>
      <c r="BT1986" s="4">
        <f>_xlfn.IFNA(VLOOKUP(Grandview_Inventory[[#This Row],[quality]],Lookups!$A$26:$C$33,3,FALSE),1)</f>
        <v>0.98763855981004833</v>
      </c>
      <c r="BU1986" s="4">
        <f>_xlfn.IFNA(VLOOKUP(Grandview_Inventory[[#This Row],[condition]],Lookups!$A$37:$C$44,3,FALSE),1)</f>
        <v>0.96469275950863709</v>
      </c>
      <c r="BV1986" s="4">
        <f>IF(Grandview_Inventory[[#This Row],[bldg_style]]="",1,_xlfn.IFNA(VLOOKUP(Grandview_Inventory[[#This Row],[decade]],Lookups!$F$29:$H$43,3,FALSE),1))</f>
        <v>0.98397821291089549</v>
      </c>
      <c r="BW1986" s="4">
        <f>_xlfn.IFNA(VLOOKUP(Grandview_Inventory[[#This Row],[living_area_range]],Lookups!$F$47:$H$56,3,FALSE),1)</f>
        <v>0.96135087979789358</v>
      </c>
      <c r="BX1986" s="4">
        <f>AVERAGE(Grandview_Inventory[[#This Row],[qual_adj]:[size_adj]])</f>
        <v>0.97441510300686862</v>
      </c>
      <c r="BY1986" s="6">
        <f>IF(Grandview_Inventory[[#This Row],[pre_res]]&lt;0,0,Grandview_Inventory[[#This Row],[pre_res]]*Grandview_Inventory[[#This Row],[overall_adj]])</f>
        <v>274820.32465449994</v>
      </c>
      <c r="BZ1986" s="6">
        <f>(Grandview_Inventory[[#This Row],[sum_land]]-IF(Grandview_Inventory[[#This Row],[no_utilities]]=1,12000,0))/IF(Grandview_Inventory[[#This Row],[unbuildable]]=1,2,1)</f>
        <v>45695.532079096141</v>
      </c>
      <c r="CA198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86">
        <f>ROUND(Grandview_Inventory[[#This Row],[det_value]]*Lookups!$M$28,-2)</f>
        <v>0</v>
      </c>
      <c r="CC1986">
        <f>IF(ROUND(Grandview_Inventory[[#This Row],[adj_res]]*Lookups!$M$28,-2)&lt;Grandview_Inventory[[#This Row],[min_res]],Grandview_Inventory[[#This Row],[min_res]],ROUND(Grandview_Inventory[[#This Row],[adj_res]]*Lookups!$M$28,-2))</f>
        <v>261100</v>
      </c>
      <c r="CD1986">
        <f>Grandview_Inventory[[#This Row],[final_det]]+Grandview_Inventory[[#This Row],[final_res]]</f>
        <v>261100</v>
      </c>
      <c r="CE1986">
        <f>Grandview_Inventory[[#This Row],[final_land]]+Grandview_Inventory[[#This Row],[final_imp]]+Grandview_Inventory[[#This Row],[crop_value]]</f>
        <v>304500</v>
      </c>
      <c r="CG1986" t="str">
        <f t="shared" si="30"/>
        <v>update valuation set market_land =43400, market_bldg=261100, market_total =304500, market_mdno =401, market_date ='9/10/2023' where link_id = (select link_id from parcel where parcel_year = '2024' and parcel_id = '23092343465');</v>
      </c>
    </row>
    <row r="1987" spans="1:85" x14ac:dyDescent="0.25">
      <c r="A1987">
        <v>23092343466</v>
      </c>
      <c r="B1987">
        <v>0.22</v>
      </c>
      <c r="C1987">
        <v>9540</v>
      </c>
      <c r="D1987" t="s">
        <v>129</v>
      </c>
      <c r="E1987" t="s">
        <v>53</v>
      </c>
      <c r="F1987" t="s">
        <v>53</v>
      </c>
      <c r="G1987">
        <v>4</v>
      </c>
      <c r="H1987" t="s">
        <v>54</v>
      </c>
      <c r="I1987">
        <v>197400</v>
      </c>
      <c r="J1987">
        <v>39500</v>
      </c>
      <c r="K1987">
        <v>0.22</v>
      </c>
      <c r="L1987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1987">
        <v>0</v>
      </c>
      <c r="N1987">
        <v>0</v>
      </c>
      <c r="O1987">
        <v>0</v>
      </c>
      <c r="P1987">
        <v>13398.7528</v>
      </c>
      <c r="Q1987">
        <v>63903</v>
      </c>
      <c r="R1987">
        <f>(Grandview_Inventory[[#This Row],[ln_acres]]*Grandview_Inventory[[#This Row],[coeff]])+Grandview_Inventory[[#This Row],[const]]</f>
        <v>43615.576802869145</v>
      </c>
      <c r="S1987" t="s">
        <v>61</v>
      </c>
      <c r="T1987">
        <v>1</v>
      </c>
      <c r="U1987" t="s">
        <v>65</v>
      </c>
      <c r="V1987" t="s">
        <v>67</v>
      </c>
      <c r="W1987">
        <v>0</v>
      </c>
      <c r="X1987">
        <v>0</v>
      </c>
      <c r="Y1987">
        <v>24</v>
      </c>
      <c r="Z1987">
        <v>24</v>
      </c>
      <c r="AA1987">
        <v>30</v>
      </c>
      <c r="AB1987">
        <v>1500</v>
      </c>
      <c r="AC1987">
        <v>1112</v>
      </c>
      <c r="AD1987">
        <v>1112</v>
      </c>
      <c r="AE1987">
        <v>0</v>
      </c>
      <c r="AF1987">
        <v>0</v>
      </c>
      <c r="AG1987">
        <v>0</v>
      </c>
      <c r="AH1987">
        <v>0</v>
      </c>
      <c r="AI1987">
        <v>440</v>
      </c>
      <c r="AJ1987">
        <v>0</v>
      </c>
      <c r="AK1987">
        <v>0</v>
      </c>
      <c r="AL1987">
        <v>0</v>
      </c>
      <c r="AM1987">
        <v>0</v>
      </c>
      <c r="AN1987">
        <v>64</v>
      </c>
      <c r="AO1987">
        <v>0</v>
      </c>
      <c r="AP1987">
        <v>7</v>
      </c>
      <c r="AQ1987">
        <v>0</v>
      </c>
      <c r="AR1987">
        <v>0</v>
      </c>
      <c r="AS1987" t="s">
        <v>58</v>
      </c>
      <c r="AT1987">
        <v>1</v>
      </c>
      <c r="AU1987" t="s">
        <v>63</v>
      </c>
      <c r="AV1987" t="s">
        <v>60</v>
      </c>
      <c r="AW1987">
        <v>0</v>
      </c>
      <c r="AX1987">
        <v>3</v>
      </c>
      <c r="AY1987">
        <v>0</v>
      </c>
      <c r="AZ1987">
        <v>0</v>
      </c>
      <c r="BA1987">
        <v>100</v>
      </c>
      <c r="BB1987">
        <v>100</v>
      </c>
      <c r="BC1987">
        <v>100</v>
      </c>
      <c r="BD1987">
        <v>100</v>
      </c>
      <c r="BE1987">
        <v>1</v>
      </c>
      <c r="BF1987">
        <v>15000</v>
      </c>
      <c r="BG1987">
        <v>1000</v>
      </c>
      <c r="BH1987" s="6">
        <f>Grandview_Inventory[[#This Row],[land_extract]]*Lookups!$B$3</f>
        <v>50650.651579114572</v>
      </c>
      <c r="BI1987" s="6">
        <f>IF(Grandview_Inventory[[#This Row],[bldg_style]]="",0,Lookups!$B$2)</f>
        <v>155833.95000000001</v>
      </c>
      <c r="BJ1987" s="6">
        <f>_xlfn.IFNA(VLOOKUP(Grandview_Inventory[[#This Row],[quality]],Lookups!$H$2:$J$14,3,FALSE),0)</f>
        <v>2251</v>
      </c>
      <c r="BK1987" s="6">
        <f>_xlfn.IFNA(VLOOKUP(Grandview_Inventory[[#This Row],[condition]],Lookups!$H$17:$J$24,3,FALSE),0)</f>
        <v>22342</v>
      </c>
      <c r="BL1987" s="6">
        <f>Grandview_Inventory[[#This Row],[Eff_Age]]*Lookups!$B$14</f>
        <v>-5739.9983999999995</v>
      </c>
      <c r="BM1987" s="6">
        <f>Grandview_Inventory[[#This Row],[living_area]]*Lookups!$B$15</f>
        <v>69367.508536000008</v>
      </c>
      <c r="BN1987" s="6">
        <f>Grandview_Inventory[[#This Row],[Fin BSMT]]*Lookups!$B$16</f>
        <v>0</v>
      </c>
      <c r="BO1987" s="6">
        <f>(Grandview_Inventory[[#This Row],[att_gar]]+Grandview_Inventory[[#This Row],[bltin_gar]])*Lookups!$B$17</f>
        <v>38508.992279999999</v>
      </c>
      <c r="BP1987" s="6">
        <f>Grandview_Inventory[[#This Row],[Plumbing Fixtures]]*Lookups!$B$18</f>
        <v>14073.0926</v>
      </c>
      <c r="BQ1987" s="6">
        <f>Grandview_Inventory[[#This Row],[detatched_value]]*Lookups!$B$19</f>
        <v>0</v>
      </c>
      <c r="BR1987" s="6">
        <f>SUM(Grandview_Inventory[[#This Row],[Intercept]:[det_value]])*Grandview_Inventory[[#This Row],[res_pct]]</f>
        <v>296636.54501599999</v>
      </c>
      <c r="BS1987" s="6">
        <f>Grandview_Inventory[[#This Row],[land_value]]</f>
        <v>50650.651579114572</v>
      </c>
      <c r="BT1987" s="4">
        <f>_xlfn.IFNA(VLOOKUP(Grandview_Inventory[[#This Row],[quality]],Lookups!$A$26:$C$33,3,FALSE),1)</f>
        <v>0.98763855981004833</v>
      </c>
      <c r="BU1987" s="4">
        <f>_xlfn.IFNA(VLOOKUP(Grandview_Inventory[[#This Row],[condition]],Lookups!$A$37:$C$44,3,FALSE),1)</f>
        <v>0.97383723671140243</v>
      </c>
      <c r="BV1987" s="4">
        <f>IF(Grandview_Inventory[[#This Row],[bldg_style]]="",1,_xlfn.IFNA(VLOOKUP(Grandview_Inventory[[#This Row],[decade]],Lookups!$F$29:$H$43,3,FALSE),1))</f>
        <v>0.98397821291089549</v>
      </c>
      <c r="BW1987" s="4">
        <f>_xlfn.IFNA(VLOOKUP(Grandview_Inventory[[#This Row],[living_area_range]],Lookups!$F$47:$H$56,3,FALSE),1)</f>
        <v>0.96135087979789358</v>
      </c>
      <c r="BX1987" s="4">
        <f>AVERAGE(Grandview_Inventory[[#This Row],[qual_adj]:[size_adj]])</f>
        <v>0.97670122230755996</v>
      </c>
      <c r="BY1987" s="6">
        <f>IF(Grandview_Inventory[[#This Row],[pre_res]]&lt;0,0,Grandview_Inventory[[#This Row],[pre_res]]*Grandview_Inventory[[#This Row],[overall_adj]])</f>
        <v>289725.27609821875</v>
      </c>
      <c r="BZ1987" s="6">
        <f>(Grandview_Inventory[[#This Row],[sum_land]]-IF(Grandview_Inventory[[#This Row],[no_utilities]]=1,12000,0))/IF(Grandview_Inventory[[#This Row],[unbuildable]]=1,2,1)</f>
        <v>50650.651579114572</v>
      </c>
      <c r="CA1987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1987">
        <f>ROUND(Grandview_Inventory[[#This Row],[det_value]]*Lookups!$M$28,-2)</f>
        <v>0</v>
      </c>
      <c r="CC1987">
        <f>IF(ROUND(Grandview_Inventory[[#This Row],[adj_res]]*Lookups!$M$28,-2)&lt;Grandview_Inventory[[#This Row],[min_res]],Grandview_Inventory[[#This Row],[min_res]],ROUND(Grandview_Inventory[[#This Row],[adj_res]]*Lookups!$M$28,-2))</f>
        <v>275200</v>
      </c>
      <c r="CD1987">
        <f>Grandview_Inventory[[#This Row],[final_det]]+Grandview_Inventory[[#This Row],[final_res]]</f>
        <v>275200</v>
      </c>
      <c r="CE1987">
        <f>Grandview_Inventory[[#This Row],[final_land]]+Grandview_Inventory[[#This Row],[final_imp]]+Grandview_Inventory[[#This Row],[crop_value]]</f>
        <v>323300</v>
      </c>
      <c r="CG1987" t="str">
        <f t="shared" ref="CG1987:CG2050" si="31">"update valuation set market_land ="&amp;CA1987&amp;", market_bldg="&amp;CD1987&amp;", market_total ="&amp;CE1987&amp;", market_mdno ="&amp;$CG$1&amp;", market_date ='"&amp;TEXT($CH$1,"m/d/yyyy")&amp;"' where link_id = (select link_id from parcel where parcel_year = '2024' and parcel_id = '"&amp;A1987&amp;"');"</f>
        <v>update valuation set market_land =48100, market_bldg=275200, market_total =323300, market_mdno =401, market_date ='9/10/2023' where link_id = (select link_id from parcel where parcel_year = '2024' and parcel_id = '23092343466');</v>
      </c>
    </row>
    <row r="1988" spans="1:85" x14ac:dyDescent="0.25">
      <c r="A1988">
        <v>23092343467</v>
      </c>
      <c r="B1988">
        <v>0.23</v>
      </c>
      <c r="C1988">
        <v>10193</v>
      </c>
      <c r="D1988" t="s">
        <v>129</v>
      </c>
      <c r="E1988" t="s">
        <v>53</v>
      </c>
      <c r="F1988" t="s">
        <v>53</v>
      </c>
      <c r="G1988">
        <v>4</v>
      </c>
      <c r="H1988" t="s">
        <v>54</v>
      </c>
      <c r="I1988">
        <v>171900</v>
      </c>
      <c r="J1988">
        <v>39700</v>
      </c>
      <c r="K1988">
        <v>0.23</v>
      </c>
      <c r="L198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1988">
        <v>0</v>
      </c>
      <c r="N1988">
        <v>0</v>
      </c>
      <c r="O1988">
        <v>0</v>
      </c>
      <c r="P1988">
        <v>13398.7528</v>
      </c>
      <c r="Q1988">
        <v>63903</v>
      </c>
      <c r="R1988">
        <f>(Grandview_Inventory[[#This Row],[ln_acres]]*Grandview_Inventory[[#This Row],[coeff]])+Grandview_Inventory[[#This Row],[const]]</f>
        <v>44211.174981080039</v>
      </c>
      <c r="S1988" t="s">
        <v>61</v>
      </c>
      <c r="T1988">
        <v>1</v>
      </c>
      <c r="U1988" t="s">
        <v>65</v>
      </c>
      <c r="V1988" t="s">
        <v>69</v>
      </c>
      <c r="W1988">
        <v>0</v>
      </c>
      <c r="X1988">
        <v>0</v>
      </c>
      <c r="Y1988">
        <v>24</v>
      </c>
      <c r="Z1988">
        <v>24</v>
      </c>
      <c r="AA1988">
        <v>30</v>
      </c>
      <c r="AB1988">
        <v>1500</v>
      </c>
      <c r="AC1988">
        <v>1248</v>
      </c>
      <c r="AD1988">
        <v>1248</v>
      </c>
      <c r="AE1988">
        <v>0</v>
      </c>
      <c r="AF1988">
        <v>0</v>
      </c>
      <c r="AG1988">
        <v>0</v>
      </c>
      <c r="AH1988">
        <v>0</v>
      </c>
      <c r="AI1988">
        <v>460</v>
      </c>
      <c r="AJ1988">
        <v>0</v>
      </c>
      <c r="AK1988">
        <v>0</v>
      </c>
      <c r="AL1988">
        <v>0</v>
      </c>
      <c r="AM1988">
        <v>210</v>
      </c>
      <c r="AN1988">
        <v>72</v>
      </c>
      <c r="AO1988">
        <v>210</v>
      </c>
      <c r="AP1988">
        <v>8</v>
      </c>
      <c r="AQ1988">
        <v>0</v>
      </c>
      <c r="AR1988">
        <v>0</v>
      </c>
      <c r="AS1988" t="s">
        <v>58</v>
      </c>
      <c r="AT1988">
        <v>1</v>
      </c>
      <c r="AU1988" t="s">
        <v>63</v>
      </c>
      <c r="AV1988" t="s">
        <v>60</v>
      </c>
      <c r="AW1988">
        <v>0</v>
      </c>
      <c r="AX1988">
        <v>4</v>
      </c>
      <c r="AY1988">
        <v>0</v>
      </c>
      <c r="AZ1988">
        <v>0</v>
      </c>
      <c r="BA1988">
        <v>100</v>
      </c>
      <c r="BB1988">
        <v>100</v>
      </c>
      <c r="BC1988">
        <v>100</v>
      </c>
      <c r="BD1988">
        <v>100</v>
      </c>
      <c r="BE1988">
        <v>1</v>
      </c>
      <c r="BF1988">
        <v>15000</v>
      </c>
      <c r="BG1988">
        <v>1000</v>
      </c>
      <c r="BH1988" s="6">
        <f>Grandview_Inventory[[#This Row],[land_extract]]*Lookups!$B$3</f>
        <v>51342.318135355803</v>
      </c>
      <c r="BI1988" s="6">
        <f>IF(Grandview_Inventory[[#This Row],[bldg_style]]="",0,Lookups!$B$2)</f>
        <v>155833.95000000001</v>
      </c>
      <c r="BJ1988" s="6">
        <f>_xlfn.IFNA(VLOOKUP(Grandview_Inventory[[#This Row],[quality]],Lookups!$H$2:$J$14,3,FALSE),0)</f>
        <v>2251</v>
      </c>
      <c r="BK1988" s="6">
        <f>_xlfn.IFNA(VLOOKUP(Grandview_Inventory[[#This Row],[condition]],Lookups!$H$17:$J$24,3,FALSE),0)</f>
        <v>-4503</v>
      </c>
      <c r="BL1988" s="6">
        <f>Grandview_Inventory[[#This Row],[Eff_Age]]*Lookups!$B$14</f>
        <v>-5739.9983999999995</v>
      </c>
      <c r="BM1988" s="6">
        <f>Grandview_Inventory[[#This Row],[living_area]]*Lookups!$B$15</f>
        <v>77851.304543999999</v>
      </c>
      <c r="BN1988" s="6">
        <f>Grandview_Inventory[[#This Row],[Fin BSMT]]*Lookups!$B$16</f>
        <v>0</v>
      </c>
      <c r="BO1988" s="6">
        <f>(Grandview_Inventory[[#This Row],[att_gar]]+Grandview_Inventory[[#This Row],[bltin_gar]])*Lookups!$B$17</f>
        <v>40259.401019999998</v>
      </c>
      <c r="BP1988" s="6">
        <f>Grandview_Inventory[[#This Row],[Plumbing Fixtures]]*Lookups!$B$18</f>
        <v>16083.5344</v>
      </c>
      <c r="BQ1988" s="6">
        <f>Grandview_Inventory[[#This Row],[detatched_value]]*Lookups!$B$19</f>
        <v>0</v>
      </c>
      <c r="BR1988" s="6">
        <f>SUM(Grandview_Inventory[[#This Row],[Intercept]:[det_value]])*Grandview_Inventory[[#This Row],[res_pct]]</f>
        <v>282036.19156399998</v>
      </c>
      <c r="BS1988" s="6">
        <f>Grandview_Inventory[[#This Row],[land_value]]</f>
        <v>51342.318135355803</v>
      </c>
      <c r="BT1988" s="4">
        <f>_xlfn.IFNA(VLOOKUP(Grandview_Inventory[[#This Row],[quality]],Lookups!$A$26:$C$33,3,FALSE),1)</f>
        <v>0.98763855981004833</v>
      </c>
      <c r="BU1988" s="4">
        <f>_xlfn.IFNA(VLOOKUP(Grandview_Inventory[[#This Row],[condition]],Lookups!$A$37:$C$44,3,FALSE),1)</f>
        <v>0.96469275950863709</v>
      </c>
      <c r="BV1988" s="4">
        <f>IF(Grandview_Inventory[[#This Row],[bldg_style]]="",1,_xlfn.IFNA(VLOOKUP(Grandview_Inventory[[#This Row],[decade]],Lookups!$F$29:$H$43,3,FALSE),1))</f>
        <v>0.98397821291089549</v>
      </c>
      <c r="BW1988" s="4">
        <f>_xlfn.IFNA(VLOOKUP(Grandview_Inventory[[#This Row],[living_area_range]],Lookups!$F$47:$H$56,3,FALSE),1)</f>
        <v>0.96135087979789358</v>
      </c>
      <c r="BX1988" s="4">
        <f>AVERAGE(Grandview_Inventory[[#This Row],[qual_adj]:[size_adj]])</f>
        <v>0.97441510300686862</v>
      </c>
      <c r="BY1988" s="6">
        <f>IF(Grandview_Inventory[[#This Row],[pre_res]]&lt;0,0,Grandview_Inventory[[#This Row],[pre_res]]*Grandview_Inventory[[#This Row],[overall_adj]])</f>
        <v>274820.32465449994</v>
      </c>
      <c r="BZ1988" s="6">
        <f>(Grandview_Inventory[[#This Row],[sum_land]]-IF(Grandview_Inventory[[#This Row],[no_utilities]]=1,12000,0))/IF(Grandview_Inventory[[#This Row],[unbuildable]]=1,2,1)</f>
        <v>51342.318135355803</v>
      </c>
      <c r="CA198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1988">
        <f>ROUND(Grandview_Inventory[[#This Row],[det_value]]*Lookups!$M$28,-2)</f>
        <v>0</v>
      </c>
      <c r="CC1988">
        <f>IF(ROUND(Grandview_Inventory[[#This Row],[adj_res]]*Lookups!$M$28,-2)&lt;Grandview_Inventory[[#This Row],[min_res]],Grandview_Inventory[[#This Row],[min_res]],ROUND(Grandview_Inventory[[#This Row],[adj_res]]*Lookups!$M$28,-2))</f>
        <v>261100</v>
      </c>
      <c r="CD1988">
        <f>Grandview_Inventory[[#This Row],[final_det]]+Grandview_Inventory[[#This Row],[final_res]]</f>
        <v>261100</v>
      </c>
      <c r="CE1988">
        <f>Grandview_Inventory[[#This Row],[final_land]]+Grandview_Inventory[[#This Row],[final_imp]]+Grandview_Inventory[[#This Row],[crop_value]]</f>
        <v>309900</v>
      </c>
      <c r="CG1988" t="str">
        <f t="shared" si="31"/>
        <v>update valuation set market_land =48800, market_bldg=261100, market_total =309900, market_mdno =401, market_date ='9/10/2023' where link_id = (select link_id from parcel where parcel_year = '2024' and parcel_id = '23092343467');</v>
      </c>
    </row>
    <row r="1989" spans="1:85" x14ac:dyDescent="0.25">
      <c r="A1989">
        <v>23092343468</v>
      </c>
      <c r="B1989">
        <v>0.17</v>
      </c>
      <c r="C1989">
        <v>7192</v>
      </c>
      <c r="D1989" t="s">
        <v>129</v>
      </c>
      <c r="E1989" t="s">
        <v>53</v>
      </c>
      <c r="F1989" t="s">
        <v>53</v>
      </c>
      <c r="G1989">
        <v>4</v>
      </c>
      <c r="H1989" t="s">
        <v>54</v>
      </c>
      <c r="I1989">
        <v>180000</v>
      </c>
      <c r="J1989">
        <v>43000</v>
      </c>
      <c r="K1989">
        <v>0.17</v>
      </c>
      <c r="L198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1989">
        <v>0</v>
      </c>
      <c r="N1989">
        <v>0</v>
      </c>
      <c r="O1989">
        <v>0</v>
      </c>
      <c r="P1989">
        <v>13398.7528</v>
      </c>
      <c r="Q1989">
        <v>63903</v>
      </c>
      <c r="R1989">
        <f>(Grandview_Inventory[[#This Row],[ln_acres]]*Grandview_Inventory[[#This Row],[coeff]])+Grandview_Inventory[[#This Row],[const]]</f>
        <v>40160.988302686128</v>
      </c>
      <c r="S1989" t="s">
        <v>61</v>
      </c>
      <c r="T1989">
        <v>1</v>
      </c>
      <c r="U1989" t="s">
        <v>65</v>
      </c>
      <c r="V1989" t="s">
        <v>69</v>
      </c>
      <c r="W1989">
        <v>0</v>
      </c>
      <c r="X1989">
        <v>0</v>
      </c>
      <c r="Y1989">
        <v>23</v>
      </c>
      <c r="Z1989">
        <v>23</v>
      </c>
      <c r="AA1989">
        <v>30</v>
      </c>
      <c r="AB1989">
        <v>1500</v>
      </c>
      <c r="AC1989">
        <v>1112</v>
      </c>
      <c r="AD1989">
        <v>1112</v>
      </c>
      <c r="AE1989">
        <v>0</v>
      </c>
      <c r="AF1989">
        <v>0</v>
      </c>
      <c r="AG1989">
        <v>0</v>
      </c>
      <c r="AH1989">
        <v>0</v>
      </c>
      <c r="AI1989">
        <v>440</v>
      </c>
      <c r="AJ1989">
        <v>0</v>
      </c>
      <c r="AK1989">
        <v>0</v>
      </c>
      <c r="AL1989">
        <v>0</v>
      </c>
      <c r="AM1989">
        <v>0</v>
      </c>
      <c r="AN1989">
        <v>64</v>
      </c>
      <c r="AO1989">
        <v>0</v>
      </c>
      <c r="AP1989">
        <v>8</v>
      </c>
      <c r="AQ1989">
        <v>0</v>
      </c>
      <c r="AR1989">
        <v>0</v>
      </c>
      <c r="AS1989" t="s">
        <v>58</v>
      </c>
      <c r="AT1989">
        <v>1</v>
      </c>
      <c r="AU1989" t="s">
        <v>63</v>
      </c>
      <c r="AV1989" t="s">
        <v>60</v>
      </c>
      <c r="AW1989">
        <v>1</v>
      </c>
      <c r="AX1989">
        <v>4</v>
      </c>
      <c r="AY1989">
        <v>0</v>
      </c>
      <c r="AZ1989">
        <v>0</v>
      </c>
      <c r="BA1989">
        <v>100</v>
      </c>
      <c r="BB1989">
        <v>100</v>
      </c>
      <c r="BC1989">
        <v>100</v>
      </c>
      <c r="BD1989">
        <v>100</v>
      </c>
      <c r="BE1989">
        <v>1</v>
      </c>
      <c r="BF1989">
        <v>15000</v>
      </c>
      <c r="BG1989">
        <v>1000</v>
      </c>
      <c r="BH1989" s="6">
        <f>Grandview_Inventory[[#This Row],[land_extract]]*Lookups!$B$3</f>
        <v>46638.847281240982</v>
      </c>
      <c r="BI1989" s="6">
        <f>IF(Grandview_Inventory[[#This Row],[bldg_style]]="",0,Lookups!$B$2)</f>
        <v>155833.95000000001</v>
      </c>
      <c r="BJ1989" s="6">
        <f>_xlfn.IFNA(VLOOKUP(Grandview_Inventory[[#This Row],[quality]],Lookups!$H$2:$J$14,3,FALSE),0)</f>
        <v>2251</v>
      </c>
      <c r="BK1989" s="6">
        <f>_xlfn.IFNA(VLOOKUP(Grandview_Inventory[[#This Row],[condition]],Lookups!$H$17:$J$24,3,FALSE),0)</f>
        <v>-4503</v>
      </c>
      <c r="BL1989" s="6">
        <f>Grandview_Inventory[[#This Row],[Eff_Age]]*Lookups!$B$14</f>
        <v>-5500.8317999999999</v>
      </c>
      <c r="BM1989" s="6">
        <f>Grandview_Inventory[[#This Row],[living_area]]*Lookups!$B$15</f>
        <v>69367.508536000008</v>
      </c>
      <c r="BN1989" s="6">
        <f>Grandview_Inventory[[#This Row],[Fin BSMT]]*Lookups!$B$16</f>
        <v>0</v>
      </c>
      <c r="BO1989" s="6">
        <f>(Grandview_Inventory[[#This Row],[att_gar]]+Grandview_Inventory[[#This Row],[bltin_gar]])*Lookups!$B$17</f>
        <v>38508.992279999999</v>
      </c>
      <c r="BP1989" s="6">
        <f>Grandview_Inventory[[#This Row],[Plumbing Fixtures]]*Lookups!$B$18</f>
        <v>16083.5344</v>
      </c>
      <c r="BQ1989" s="6">
        <f>Grandview_Inventory[[#This Row],[detatched_value]]*Lookups!$B$19</f>
        <v>0</v>
      </c>
      <c r="BR1989" s="6">
        <f>SUM(Grandview_Inventory[[#This Row],[Intercept]:[det_value]])*Grandview_Inventory[[#This Row],[res_pct]]</f>
        <v>272041.15341600002</v>
      </c>
      <c r="BS1989" s="6">
        <f>Grandview_Inventory[[#This Row],[land_value]]</f>
        <v>46638.847281240982</v>
      </c>
      <c r="BT1989" s="4">
        <f>_xlfn.IFNA(VLOOKUP(Grandview_Inventory[[#This Row],[quality]],Lookups!$A$26:$C$33,3,FALSE),1)</f>
        <v>0.98763855981004833</v>
      </c>
      <c r="BU1989" s="4">
        <f>_xlfn.IFNA(VLOOKUP(Grandview_Inventory[[#This Row],[condition]],Lookups!$A$37:$C$44,3,FALSE),1)</f>
        <v>0.96469275950863709</v>
      </c>
      <c r="BV1989" s="4">
        <f>IF(Grandview_Inventory[[#This Row],[bldg_style]]="",1,_xlfn.IFNA(VLOOKUP(Grandview_Inventory[[#This Row],[decade]],Lookups!$F$29:$H$43,3,FALSE),1))</f>
        <v>0.98397821291089549</v>
      </c>
      <c r="BW1989" s="4">
        <f>_xlfn.IFNA(VLOOKUP(Grandview_Inventory[[#This Row],[living_area_range]],Lookups!$F$47:$H$56,3,FALSE),1)</f>
        <v>0.96135087979789358</v>
      </c>
      <c r="BX1989" s="4">
        <f>AVERAGE(Grandview_Inventory[[#This Row],[qual_adj]:[size_adj]])</f>
        <v>0.97441510300686862</v>
      </c>
      <c r="BY1989" s="6">
        <f>IF(Grandview_Inventory[[#This Row],[pre_res]]&lt;0,0,Grandview_Inventory[[#This Row],[pre_res]]*Grandview_Inventory[[#This Row],[overall_adj]])</f>
        <v>265081.008527959</v>
      </c>
      <c r="BZ1989" s="6">
        <f>(Grandview_Inventory[[#This Row],[sum_land]]-IF(Grandview_Inventory[[#This Row],[no_utilities]]=1,12000,0))/IF(Grandview_Inventory[[#This Row],[unbuildable]]=1,2,1)</f>
        <v>46638.847281240982</v>
      </c>
      <c r="CA198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1989">
        <f>ROUND(Grandview_Inventory[[#This Row],[det_value]]*Lookups!$M$28,-2)</f>
        <v>0</v>
      </c>
      <c r="CC1989">
        <f>IF(ROUND(Grandview_Inventory[[#This Row],[adj_res]]*Lookups!$M$28,-2)&lt;Grandview_Inventory[[#This Row],[min_res]],Grandview_Inventory[[#This Row],[min_res]],ROUND(Grandview_Inventory[[#This Row],[adj_res]]*Lookups!$M$28,-2))</f>
        <v>251800</v>
      </c>
      <c r="CD1989">
        <f>Grandview_Inventory[[#This Row],[final_det]]+Grandview_Inventory[[#This Row],[final_res]]</f>
        <v>251800</v>
      </c>
      <c r="CE1989">
        <f>Grandview_Inventory[[#This Row],[final_land]]+Grandview_Inventory[[#This Row],[final_imp]]+Grandview_Inventory[[#This Row],[crop_value]]</f>
        <v>296100</v>
      </c>
      <c r="CG1989" t="str">
        <f t="shared" si="31"/>
        <v>update valuation set market_land =44300, market_bldg=251800, market_total =296100, market_mdno =401, market_date ='9/10/2023' where link_id = (select link_id from parcel where parcel_year = '2024' and parcel_id = '23092343468');</v>
      </c>
    </row>
    <row r="1990" spans="1:85" x14ac:dyDescent="0.25">
      <c r="A1990">
        <v>23092343469</v>
      </c>
      <c r="B1990">
        <v>0.16</v>
      </c>
      <c r="C1990">
        <v>7035</v>
      </c>
      <c r="D1990" t="s">
        <v>129</v>
      </c>
      <c r="E1990" t="s">
        <v>53</v>
      </c>
      <c r="F1990" t="s">
        <v>53</v>
      </c>
      <c r="G1990">
        <v>4</v>
      </c>
      <c r="H1990" t="s">
        <v>54</v>
      </c>
      <c r="I1990">
        <v>197400</v>
      </c>
      <c r="J1990">
        <v>38600</v>
      </c>
      <c r="K1990">
        <v>0.16</v>
      </c>
      <c r="L199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1990">
        <v>0</v>
      </c>
      <c r="N1990">
        <v>0</v>
      </c>
      <c r="O1990">
        <v>0</v>
      </c>
      <c r="P1990">
        <v>13398.7528</v>
      </c>
      <c r="Q1990">
        <v>63903</v>
      </c>
      <c r="R1990">
        <f>(Grandview_Inventory[[#This Row],[ln_acres]]*Grandview_Inventory[[#This Row],[coeff]])+Grandview_Inventory[[#This Row],[const]]</f>
        <v>39348.693981374228</v>
      </c>
      <c r="S1990" t="s">
        <v>61</v>
      </c>
      <c r="T1990">
        <v>1</v>
      </c>
      <c r="U1990" t="s">
        <v>65</v>
      </c>
      <c r="V1990" t="s">
        <v>67</v>
      </c>
      <c r="W1990">
        <v>0</v>
      </c>
      <c r="X1990">
        <v>0</v>
      </c>
      <c r="Y1990">
        <v>24</v>
      </c>
      <c r="Z1990">
        <v>24</v>
      </c>
      <c r="AA1990">
        <v>30</v>
      </c>
      <c r="AB1990">
        <v>1500</v>
      </c>
      <c r="AC1990">
        <v>1112</v>
      </c>
      <c r="AD1990">
        <v>1112</v>
      </c>
      <c r="AE1990">
        <v>0</v>
      </c>
      <c r="AF1990">
        <v>0</v>
      </c>
      <c r="AG1990">
        <v>0</v>
      </c>
      <c r="AH1990">
        <v>0</v>
      </c>
      <c r="AI1990">
        <v>440</v>
      </c>
      <c r="AJ1990">
        <v>0</v>
      </c>
      <c r="AK1990">
        <v>0</v>
      </c>
      <c r="AL1990">
        <v>0</v>
      </c>
      <c r="AM1990">
        <v>0</v>
      </c>
      <c r="AN1990">
        <v>64</v>
      </c>
      <c r="AO1990">
        <v>0</v>
      </c>
      <c r="AP1990">
        <v>7</v>
      </c>
      <c r="AQ1990">
        <v>0</v>
      </c>
      <c r="AR1990">
        <v>0</v>
      </c>
      <c r="AS1990" t="s">
        <v>58</v>
      </c>
      <c r="AT1990">
        <v>1</v>
      </c>
      <c r="AU1990" t="s">
        <v>63</v>
      </c>
      <c r="AV1990" t="s">
        <v>60</v>
      </c>
      <c r="AW1990">
        <v>0</v>
      </c>
      <c r="AX1990">
        <v>3</v>
      </c>
      <c r="AY1990">
        <v>0</v>
      </c>
      <c r="AZ1990">
        <v>0</v>
      </c>
      <c r="BA1990">
        <v>100</v>
      </c>
      <c r="BB1990">
        <v>100</v>
      </c>
      <c r="BC1990">
        <v>100</v>
      </c>
      <c r="BD1990">
        <v>100</v>
      </c>
      <c r="BE1990">
        <v>1</v>
      </c>
      <c r="BF1990">
        <v>15000</v>
      </c>
      <c r="BG1990">
        <v>1000</v>
      </c>
      <c r="BH1990" s="6">
        <f>Grandview_Inventory[[#This Row],[land_extract]]*Lookups!$B$3</f>
        <v>45695.532079096141</v>
      </c>
      <c r="BI1990" s="6">
        <f>IF(Grandview_Inventory[[#This Row],[bldg_style]]="",0,Lookups!$B$2)</f>
        <v>155833.95000000001</v>
      </c>
      <c r="BJ1990" s="6">
        <f>_xlfn.IFNA(VLOOKUP(Grandview_Inventory[[#This Row],[quality]],Lookups!$H$2:$J$14,3,FALSE),0)</f>
        <v>2251</v>
      </c>
      <c r="BK1990" s="6">
        <f>_xlfn.IFNA(VLOOKUP(Grandview_Inventory[[#This Row],[condition]],Lookups!$H$17:$J$24,3,FALSE),0)</f>
        <v>22342</v>
      </c>
      <c r="BL1990" s="6">
        <f>Grandview_Inventory[[#This Row],[Eff_Age]]*Lookups!$B$14</f>
        <v>-5739.9983999999995</v>
      </c>
      <c r="BM1990" s="6">
        <f>Grandview_Inventory[[#This Row],[living_area]]*Lookups!$B$15</f>
        <v>69367.508536000008</v>
      </c>
      <c r="BN1990" s="6">
        <f>Grandview_Inventory[[#This Row],[Fin BSMT]]*Lookups!$B$16</f>
        <v>0</v>
      </c>
      <c r="BO1990" s="6">
        <f>(Grandview_Inventory[[#This Row],[att_gar]]+Grandview_Inventory[[#This Row],[bltin_gar]])*Lookups!$B$17</f>
        <v>38508.992279999999</v>
      </c>
      <c r="BP1990" s="6">
        <f>Grandview_Inventory[[#This Row],[Plumbing Fixtures]]*Lookups!$B$18</f>
        <v>14073.0926</v>
      </c>
      <c r="BQ1990" s="6">
        <f>Grandview_Inventory[[#This Row],[detatched_value]]*Lookups!$B$19</f>
        <v>0</v>
      </c>
      <c r="BR1990" s="6">
        <f>SUM(Grandview_Inventory[[#This Row],[Intercept]:[det_value]])*Grandview_Inventory[[#This Row],[res_pct]]</f>
        <v>296636.54501599999</v>
      </c>
      <c r="BS1990" s="6">
        <f>Grandview_Inventory[[#This Row],[land_value]]</f>
        <v>45695.532079096141</v>
      </c>
      <c r="BT1990" s="4">
        <f>_xlfn.IFNA(VLOOKUP(Grandview_Inventory[[#This Row],[quality]],Lookups!$A$26:$C$33,3,FALSE),1)</f>
        <v>0.98763855981004833</v>
      </c>
      <c r="BU1990" s="4">
        <f>_xlfn.IFNA(VLOOKUP(Grandview_Inventory[[#This Row],[condition]],Lookups!$A$37:$C$44,3,FALSE),1)</f>
        <v>0.97383723671140243</v>
      </c>
      <c r="BV1990" s="4">
        <f>IF(Grandview_Inventory[[#This Row],[bldg_style]]="",1,_xlfn.IFNA(VLOOKUP(Grandview_Inventory[[#This Row],[decade]],Lookups!$F$29:$H$43,3,FALSE),1))</f>
        <v>0.98397821291089549</v>
      </c>
      <c r="BW1990" s="4">
        <f>_xlfn.IFNA(VLOOKUP(Grandview_Inventory[[#This Row],[living_area_range]],Lookups!$F$47:$H$56,3,FALSE),1)</f>
        <v>0.96135087979789358</v>
      </c>
      <c r="BX1990" s="4">
        <f>AVERAGE(Grandview_Inventory[[#This Row],[qual_adj]:[size_adj]])</f>
        <v>0.97670122230755996</v>
      </c>
      <c r="BY1990" s="6">
        <f>IF(Grandview_Inventory[[#This Row],[pre_res]]&lt;0,0,Grandview_Inventory[[#This Row],[pre_res]]*Grandview_Inventory[[#This Row],[overall_adj]])</f>
        <v>289725.27609821875</v>
      </c>
      <c r="BZ1990" s="6">
        <f>(Grandview_Inventory[[#This Row],[sum_land]]-IF(Grandview_Inventory[[#This Row],[no_utilities]]=1,12000,0))/IF(Grandview_Inventory[[#This Row],[unbuildable]]=1,2,1)</f>
        <v>45695.532079096141</v>
      </c>
      <c r="CA199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1990">
        <f>ROUND(Grandview_Inventory[[#This Row],[det_value]]*Lookups!$M$28,-2)</f>
        <v>0</v>
      </c>
      <c r="CC1990">
        <f>IF(ROUND(Grandview_Inventory[[#This Row],[adj_res]]*Lookups!$M$28,-2)&lt;Grandview_Inventory[[#This Row],[min_res]],Grandview_Inventory[[#This Row],[min_res]],ROUND(Grandview_Inventory[[#This Row],[adj_res]]*Lookups!$M$28,-2))</f>
        <v>275200</v>
      </c>
      <c r="CD1990">
        <f>Grandview_Inventory[[#This Row],[final_det]]+Grandview_Inventory[[#This Row],[final_res]]</f>
        <v>275200</v>
      </c>
      <c r="CE1990">
        <f>Grandview_Inventory[[#This Row],[final_land]]+Grandview_Inventory[[#This Row],[final_imp]]+Grandview_Inventory[[#This Row],[crop_value]]</f>
        <v>318600</v>
      </c>
      <c r="CG1990" t="str">
        <f t="shared" si="31"/>
        <v>update valuation set market_land =43400, market_bldg=275200, market_total =318600, market_mdno =401, market_date ='9/10/2023' where link_id = (select link_id from parcel where parcel_year = '2024' and parcel_id = '23092343469');</v>
      </c>
    </row>
    <row r="1991" spans="1:85" x14ac:dyDescent="0.25">
      <c r="A1991">
        <v>23092343475</v>
      </c>
      <c r="B1991">
        <v>0.86</v>
      </c>
      <c r="C1991">
        <v>37394</v>
      </c>
      <c r="D1991" t="s">
        <v>129</v>
      </c>
      <c r="E1991" t="s">
        <v>53</v>
      </c>
      <c r="F1991" t="s">
        <v>53</v>
      </c>
      <c r="G1991">
        <v>4</v>
      </c>
      <c r="H1991" t="s">
        <v>54</v>
      </c>
      <c r="I1991">
        <v>207500</v>
      </c>
      <c r="J1991">
        <v>43500</v>
      </c>
      <c r="K1991">
        <v>0.86</v>
      </c>
      <c r="L1991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1991">
        <v>0</v>
      </c>
      <c r="N1991">
        <v>0</v>
      </c>
      <c r="O1991">
        <v>0</v>
      </c>
      <c r="P1991">
        <v>13398.7528</v>
      </c>
      <c r="Q1991">
        <v>63903</v>
      </c>
      <c r="R1991">
        <f>(Grandview_Inventory[[#This Row],[ln_acres]]*Grandview_Inventory[[#This Row],[coeff]])+Grandview_Inventory[[#This Row],[const]]</f>
        <v>61882.161383864659</v>
      </c>
      <c r="S1991" t="s">
        <v>68</v>
      </c>
      <c r="T1991">
        <v>1</v>
      </c>
      <c r="U1991" t="s">
        <v>70</v>
      </c>
      <c r="V1991" t="s">
        <v>69</v>
      </c>
      <c r="W1991">
        <v>0</v>
      </c>
      <c r="X1991">
        <v>0</v>
      </c>
      <c r="Y1991">
        <v>69</v>
      </c>
      <c r="Z1991">
        <v>117</v>
      </c>
      <c r="AA1991">
        <v>120</v>
      </c>
      <c r="AB1991">
        <v>2500</v>
      </c>
      <c r="AC1991">
        <v>2024</v>
      </c>
      <c r="AD1991">
        <v>1784</v>
      </c>
      <c r="AE1991">
        <v>0</v>
      </c>
      <c r="AF1991">
        <v>0</v>
      </c>
      <c r="AG1991">
        <v>240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300</v>
      </c>
      <c r="AN1991">
        <v>0</v>
      </c>
      <c r="AO1991">
        <v>480</v>
      </c>
      <c r="AP1991">
        <v>8</v>
      </c>
      <c r="AQ1991">
        <v>0</v>
      </c>
      <c r="AR1991">
        <v>1</v>
      </c>
      <c r="AS1991" t="s">
        <v>58</v>
      </c>
      <c r="AT1991">
        <v>1</v>
      </c>
      <c r="AU1991" t="s">
        <v>63</v>
      </c>
      <c r="AV1991" t="s">
        <v>81</v>
      </c>
      <c r="AW1991">
        <v>1</v>
      </c>
      <c r="AX1991">
        <v>3</v>
      </c>
      <c r="AY1991">
        <v>0</v>
      </c>
      <c r="AZ1991">
        <v>25700</v>
      </c>
      <c r="BA1991">
        <v>100</v>
      </c>
      <c r="BB1991">
        <v>100</v>
      </c>
      <c r="BC1991">
        <v>100</v>
      </c>
      <c r="BD1991">
        <v>100</v>
      </c>
      <c r="BE1991">
        <v>1</v>
      </c>
      <c r="BF1991">
        <v>15000</v>
      </c>
      <c r="BG1991">
        <v>1000</v>
      </c>
      <c r="BH1991" s="6">
        <f>Grandview_Inventory[[#This Row],[land_extract]]*Lookups!$B$3</f>
        <v>71863.58693324629</v>
      </c>
      <c r="BI1991" s="6">
        <f>IF(Grandview_Inventory[[#This Row],[bldg_style]]="",0,Lookups!$B$2)</f>
        <v>155833.95000000001</v>
      </c>
      <c r="BJ1991" s="6">
        <f>_xlfn.IFNA(VLOOKUP(Grandview_Inventory[[#This Row],[quality]],Lookups!$H$2:$J$14,3,FALSE),0)</f>
        <v>10733</v>
      </c>
      <c r="BK1991" s="6">
        <f>_xlfn.IFNA(VLOOKUP(Grandview_Inventory[[#This Row],[condition]],Lookups!$H$17:$J$24,3,FALSE),0)</f>
        <v>-4503</v>
      </c>
      <c r="BL1991" s="6">
        <f>Grandview_Inventory[[#This Row],[Eff_Age]]*Lookups!$B$14</f>
        <v>-16502.4954</v>
      </c>
      <c r="BM1991" s="6">
        <f>Grandview_Inventory[[#This Row],[living_area]]*Lookups!$B$15</f>
        <v>126258.846472</v>
      </c>
      <c r="BN1991" s="6">
        <f>Grandview_Inventory[[#This Row],[Fin BSMT]]*Lookups!$B$16</f>
        <v>-6503.8176000000003</v>
      </c>
      <c r="BO1991" s="6">
        <f>(Grandview_Inventory[[#This Row],[att_gar]]+Grandview_Inventory[[#This Row],[bltin_gar]])*Lookups!$B$17</f>
        <v>0</v>
      </c>
      <c r="BP1991" s="6">
        <f>Grandview_Inventory[[#This Row],[Plumbing Fixtures]]*Lookups!$B$18</f>
        <v>16083.5344</v>
      </c>
      <c r="BQ1991" s="6">
        <f>Grandview_Inventory[[#This Row],[detatched_value]]*Lookups!$B$19</f>
        <v>21762.891069999998</v>
      </c>
      <c r="BR1991" s="6">
        <f>SUM(Grandview_Inventory[[#This Row],[Intercept]:[det_value]])*Grandview_Inventory[[#This Row],[res_pct]]</f>
        <v>303162.90894200001</v>
      </c>
      <c r="BS1991" s="6">
        <f>Grandview_Inventory[[#This Row],[land_value]]</f>
        <v>71863.58693324629</v>
      </c>
      <c r="BT1991" s="4">
        <f>_xlfn.IFNA(VLOOKUP(Grandview_Inventory[[#This Row],[quality]],Lookups!$A$26:$C$33,3,FALSE),1)</f>
        <v>0.98079741117310582</v>
      </c>
      <c r="BU1991" s="4">
        <f>_xlfn.IFNA(VLOOKUP(Grandview_Inventory[[#This Row],[condition]],Lookups!$A$37:$C$44,3,FALSE),1)</f>
        <v>0.96469275950863709</v>
      </c>
      <c r="BV1991" s="4">
        <f>IF(Grandview_Inventory[[#This Row],[bldg_style]]="",1,_xlfn.IFNA(VLOOKUP(Grandview_Inventory[[#This Row],[decade]],Lookups!$F$29:$H$43,3,FALSE),1))</f>
        <v>0.9251738460551937</v>
      </c>
      <c r="BW1991" s="4">
        <f>_xlfn.IFNA(VLOOKUP(Grandview_Inventory[[#This Row],[living_area_range]],Lookups!$F$47:$H$56,3,FALSE),1)</f>
        <v>0.95799442568048754</v>
      </c>
      <c r="BX1991" s="4">
        <f>AVERAGE(Grandview_Inventory[[#This Row],[qual_adj]:[size_adj]])</f>
        <v>0.95716461060435609</v>
      </c>
      <c r="BY1991" s="6">
        <f>IF(Grandview_Inventory[[#This Row],[pre_res]]&lt;0,0,Grandview_Inventory[[#This Row],[pre_res]]*Grandview_Inventory[[#This Row],[overall_adj]])</f>
        <v>290176.80768715328</v>
      </c>
      <c r="BZ1991" s="6">
        <f>(Grandview_Inventory[[#This Row],[sum_land]]-IF(Grandview_Inventory[[#This Row],[no_utilities]]=1,12000,0))/IF(Grandview_Inventory[[#This Row],[unbuildable]]=1,2,1)</f>
        <v>71863.58693324629</v>
      </c>
      <c r="CA1991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1991">
        <f>ROUND(Grandview_Inventory[[#This Row],[det_value]]*Lookups!$M$28,-2)</f>
        <v>20700</v>
      </c>
      <c r="CC1991">
        <f>IF(ROUND(Grandview_Inventory[[#This Row],[adj_res]]*Lookups!$M$28,-2)&lt;Grandview_Inventory[[#This Row],[min_res]],Grandview_Inventory[[#This Row],[min_res]],ROUND(Grandview_Inventory[[#This Row],[adj_res]]*Lookups!$M$28,-2))</f>
        <v>275700</v>
      </c>
      <c r="CD1991">
        <f>Grandview_Inventory[[#This Row],[final_det]]+Grandview_Inventory[[#This Row],[final_res]]</f>
        <v>296400</v>
      </c>
      <c r="CE1991">
        <f>Grandview_Inventory[[#This Row],[final_land]]+Grandview_Inventory[[#This Row],[final_imp]]+Grandview_Inventory[[#This Row],[crop_value]]</f>
        <v>364700</v>
      </c>
      <c r="CG1991" t="str">
        <f t="shared" si="31"/>
        <v>update valuation set market_land =68300, market_bldg=296400, market_total =364700, market_mdno =401, market_date ='9/10/2023' where link_id = (select link_id from parcel where parcel_year = '2024' and parcel_id = '23092343475');</v>
      </c>
    </row>
    <row r="1992" spans="1:85" x14ac:dyDescent="0.25">
      <c r="A1992">
        <v>23092344005</v>
      </c>
      <c r="B1992">
        <v>10.26</v>
      </c>
      <c r="C1992">
        <v>446873</v>
      </c>
      <c r="D1992" t="s">
        <v>129</v>
      </c>
      <c r="E1992" t="s">
        <v>53</v>
      </c>
      <c r="F1992" t="s">
        <v>53</v>
      </c>
      <c r="G1992">
        <v>4</v>
      </c>
      <c r="H1992" t="s">
        <v>54</v>
      </c>
      <c r="I1992">
        <v>174200</v>
      </c>
      <c r="J1992">
        <v>84700</v>
      </c>
      <c r="K1992">
        <v>10.26</v>
      </c>
      <c r="L1992">
        <f>IF(Grandview_Inventory[[#This Row],[parcel_acres]]-Grandview_Inventory[[#This Row],[non_valued_acres]] =0,0,LN(Grandview_Inventory[[#This Row],[parcel_acres]]-Grandview_Inventory[[#This Row],[non_valued_acres]]))</f>
        <v>2.3282528397426234</v>
      </c>
      <c r="M1992">
        <v>0</v>
      </c>
      <c r="N1992">
        <v>0</v>
      </c>
      <c r="O1992">
        <v>0</v>
      </c>
      <c r="P1992">
        <v>13398.7528</v>
      </c>
      <c r="Q1992">
        <v>63903</v>
      </c>
      <c r="R1992">
        <f>(Grandview_Inventory[[#This Row],[ln_acres]]*Grandview_Inventory[[#This Row],[coeff]])+Grandview_Inventory[[#This Row],[const]]</f>
        <v>95098.684255609434</v>
      </c>
      <c r="S1992" t="s">
        <v>55</v>
      </c>
      <c r="T1992">
        <v>2</v>
      </c>
      <c r="U1992" t="s">
        <v>65</v>
      </c>
      <c r="V1992" t="s">
        <v>69</v>
      </c>
      <c r="W1992">
        <v>0</v>
      </c>
      <c r="X1992">
        <v>0</v>
      </c>
      <c r="Y1992">
        <v>65</v>
      </c>
      <c r="Z1992">
        <v>113</v>
      </c>
      <c r="AA1992">
        <v>120</v>
      </c>
      <c r="AB1992">
        <v>1500</v>
      </c>
      <c r="AC1992">
        <v>1328</v>
      </c>
      <c r="AD1992">
        <v>896</v>
      </c>
      <c r="AE1992">
        <v>432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112</v>
      </c>
      <c r="AM1992">
        <v>0</v>
      </c>
      <c r="AN1992">
        <v>112</v>
      </c>
      <c r="AO1992">
        <v>0</v>
      </c>
      <c r="AP1992">
        <v>5</v>
      </c>
      <c r="AQ1992">
        <v>0</v>
      </c>
      <c r="AR1992">
        <v>0</v>
      </c>
      <c r="AS1992" t="s">
        <v>71</v>
      </c>
      <c r="AT1992">
        <v>1</v>
      </c>
      <c r="AU1992" t="s">
        <v>63</v>
      </c>
      <c r="AV1992" t="s">
        <v>60</v>
      </c>
      <c r="AW1992">
        <v>0</v>
      </c>
      <c r="AX1992">
        <v>4</v>
      </c>
      <c r="AY1992">
        <v>5600</v>
      </c>
      <c r="AZ1992">
        <v>19100</v>
      </c>
      <c r="BA1992">
        <v>100</v>
      </c>
      <c r="BB1992">
        <v>100</v>
      </c>
      <c r="BC1992">
        <v>100</v>
      </c>
      <c r="BD1992">
        <v>100</v>
      </c>
      <c r="BE1992">
        <v>1</v>
      </c>
      <c r="BF1992">
        <v>15000</v>
      </c>
      <c r="BG1992">
        <v>1000</v>
      </c>
      <c r="BH1992" s="6">
        <f>Grandview_Inventory[[#This Row],[land_extract]]*Lookups!$B$3</f>
        <v>110437.84525959175</v>
      </c>
      <c r="BI1992" s="6">
        <f>IF(Grandview_Inventory[[#This Row],[bldg_style]]="",0,Lookups!$B$2)</f>
        <v>155833.95000000001</v>
      </c>
      <c r="BJ1992" s="6">
        <f>_xlfn.IFNA(VLOOKUP(Grandview_Inventory[[#This Row],[quality]],Lookups!$H$2:$J$14,3,FALSE),0)</f>
        <v>2251</v>
      </c>
      <c r="BK1992" s="6">
        <f>_xlfn.IFNA(VLOOKUP(Grandview_Inventory[[#This Row],[condition]],Lookups!$H$17:$J$24,3,FALSE),0)</f>
        <v>-4503</v>
      </c>
      <c r="BL1992" s="6">
        <f>Grandview_Inventory[[#This Row],[Eff_Age]]*Lookups!$B$14</f>
        <v>-15545.829</v>
      </c>
      <c r="BM1992" s="6">
        <f>Grandview_Inventory[[#This Row],[living_area]]*Lookups!$B$15</f>
        <v>82841.772784000001</v>
      </c>
      <c r="BN1992" s="6">
        <f>Grandview_Inventory[[#This Row],[Fin BSMT]]*Lookups!$B$16</f>
        <v>0</v>
      </c>
      <c r="BO1992" s="6">
        <f>(Grandview_Inventory[[#This Row],[att_gar]]+Grandview_Inventory[[#This Row],[bltin_gar]])*Lookups!$B$17</f>
        <v>0</v>
      </c>
      <c r="BP1992" s="6">
        <f>Grandview_Inventory[[#This Row],[Plumbing Fixtures]]*Lookups!$B$18</f>
        <v>10052.209000000001</v>
      </c>
      <c r="BQ1992" s="6">
        <f>Grandview_Inventory[[#This Row],[detatched_value]]*Lookups!$B$19</f>
        <v>16173.97741</v>
      </c>
      <c r="BR1992" s="6">
        <f>SUM(Grandview_Inventory[[#This Row],[Intercept]:[det_value]])*Grandview_Inventory[[#This Row],[res_pct]]</f>
        <v>247104.08019400001</v>
      </c>
      <c r="BS1992" s="6">
        <f>Grandview_Inventory[[#This Row],[land_value]]</f>
        <v>110437.84525959175</v>
      </c>
      <c r="BT1992" s="4">
        <f>_xlfn.IFNA(VLOOKUP(Grandview_Inventory[[#This Row],[quality]],Lookups!$A$26:$C$33,3,FALSE),1)</f>
        <v>0.98763855981004833</v>
      </c>
      <c r="BU1992" s="4">
        <f>_xlfn.IFNA(VLOOKUP(Grandview_Inventory[[#This Row],[condition]],Lookups!$A$37:$C$44,3,FALSE),1)</f>
        <v>0.96469275950863709</v>
      </c>
      <c r="BV1992" s="4">
        <f>IF(Grandview_Inventory[[#This Row],[bldg_style]]="",1,_xlfn.IFNA(VLOOKUP(Grandview_Inventory[[#This Row],[decade]],Lookups!$F$29:$H$43,3,FALSE),1))</f>
        <v>0.9251738460551937</v>
      </c>
      <c r="BW1992" s="4">
        <f>_xlfn.IFNA(VLOOKUP(Grandview_Inventory[[#This Row],[living_area_range]],Lookups!$F$47:$H$56,3,FALSE),1)</f>
        <v>0.96135087979789358</v>
      </c>
      <c r="BX1992" s="4">
        <f>AVERAGE(Grandview_Inventory[[#This Row],[qual_adj]:[size_adj]])</f>
        <v>0.9597140112929432</v>
      </c>
      <c r="BY1992" s="6">
        <f>IF(Grandview_Inventory[[#This Row],[pre_res]]&lt;0,0,Grandview_Inventory[[#This Row],[pre_res]]*Grandview_Inventory[[#This Row],[overall_adj]])</f>
        <v>237149.24800983685</v>
      </c>
      <c r="BZ1992" s="6">
        <f>(Grandview_Inventory[[#This Row],[sum_land]]-IF(Grandview_Inventory[[#This Row],[no_utilities]]=1,12000,0))/IF(Grandview_Inventory[[#This Row],[unbuildable]]=1,2,1)</f>
        <v>110437.84525959175</v>
      </c>
      <c r="CA1992">
        <f>IF(ROUND(Grandview_Inventory[[#This Row],[adj_land]]*Lookups!$M$28,-2)&lt;Grandview_Inventory[[#This Row],[min_land]],Grandview_Inventory[[#This Row],[min_land]],ROUND(Grandview_Inventory[[#This Row],[adj_land]]*Lookups!$M$28,-2))</f>
        <v>104900</v>
      </c>
      <c r="CB1992">
        <f>ROUND(Grandview_Inventory[[#This Row],[det_value]]*Lookups!$M$28,-2)</f>
        <v>15400</v>
      </c>
      <c r="CC1992">
        <f>IF(ROUND(Grandview_Inventory[[#This Row],[adj_res]]*Lookups!$M$28,-2)&lt;Grandview_Inventory[[#This Row],[min_res]],Grandview_Inventory[[#This Row],[min_res]],ROUND(Grandview_Inventory[[#This Row],[adj_res]]*Lookups!$M$28,-2))</f>
        <v>225300</v>
      </c>
      <c r="CD1992">
        <f>Grandview_Inventory[[#This Row],[final_det]]+Grandview_Inventory[[#This Row],[final_res]]</f>
        <v>240700</v>
      </c>
      <c r="CE1992">
        <f>Grandview_Inventory[[#This Row],[final_land]]+Grandview_Inventory[[#This Row],[final_imp]]+Grandview_Inventory[[#This Row],[crop_value]]</f>
        <v>351200</v>
      </c>
      <c r="CG1992" t="str">
        <f t="shared" si="31"/>
        <v>update valuation set market_land =104900, market_bldg=240700, market_total =351200, market_mdno =401, market_date ='9/10/2023' where link_id = (select link_id from parcel where parcel_year = '2024' and parcel_id = '23092344005');</v>
      </c>
    </row>
    <row r="1993" spans="1:85" x14ac:dyDescent="0.25">
      <c r="A1993">
        <v>23092344007</v>
      </c>
      <c r="B1993">
        <v>0.83</v>
      </c>
      <c r="C1993">
        <v>36188</v>
      </c>
      <c r="D1993" t="s">
        <v>129</v>
      </c>
      <c r="E1993" t="s">
        <v>53</v>
      </c>
      <c r="F1993" t="s">
        <v>53</v>
      </c>
      <c r="G1993">
        <v>4</v>
      </c>
      <c r="H1993" t="s">
        <v>54</v>
      </c>
      <c r="I1993">
        <v>309900</v>
      </c>
      <c r="J1993">
        <v>43300</v>
      </c>
      <c r="K1993">
        <v>0.83</v>
      </c>
      <c r="L1993">
        <f>IF(Grandview_Inventory[[#This Row],[parcel_acres]]-Grandview_Inventory[[#This Row],[non_valued_acres]] =0,0,LN(Grandview_Inventory[[#This Row],[parcel_acres]]-Grandview_Inventory[[#This Row],[non_valued_acres]]))</f>
        <v>-0.18632957819149348</v>
      </c>
      <c r="M1993">
        <v>0</v>
      </c>
      <c r="N1993">
        <v>0</v>
      </c>
      <c r="O1993">
        <v>0</v>
      </c>
      <c r="P1993">
        <v>13398.7528</v>
      </c>
      <c r="Q1993">
        <v>63903</v>
      </c>
      <c r="R1993">
        <f>(Grandview_Inventory[[#This Row],[ln_acres]]*Grandview_Inventory[[#This Row],[coeff]])+Grandview_Inventory[[#This Row],[const]]</f>
        <v>61406.416042483906</v>
      </c>
      <c r="S1993" t="s">
        <v>61</v>
      </c>
      <c r="T1993">
        <v>1</v>
      </c>
      <c r="U1993" t="s">
        <v>65</v>
      </c>
      <c r="V1993" t="s">
        <v>67</v>
      </c>
      <c r="W1993">
        <v>0</v>
      </c>
      <c r="X1993">
        <v>0</v>
      </c>
      <c r="Y1993">
        <v>48</v>
      </c>
      <c r="Z1993">
        <v>62</v>
      </c>
      <c r="AA1993">
        <v>70</v>
      </c>
      <c r="AB1993">
        <v>2500</v>
      </c>
      <c r="AC1993">
        <v>2448</v>
      </c>
      <c r="AD1993">
        <v>1440</v>
      </c>
      <c r="AE1993">
        <v>0</v>
      </c>
      <c r="AF1993">
        <v>0</v>
      </c>
      <c r="AG1993">
        <v>1008</v>
      </c>
      <c r="AH1993">
        <v>432</v>
      </c>
      <c r="AI1993">
        <v>0</v>
      </c>
      <c r="AJ1993">
        <v>0</v>
      </c>
      <c r="AK1993">
        <v>0</v>
      </c>
      <c r="AL1993">
        <v>0</v>
      </c>
      <c r="AM1993">
        <v>540</v>
      </c>
      <c r="AN1993">
        <v>20</v>
      </c>
      <c r="AO1993">
        <v>0</v>
      </c>
      <c r="AP1993">
        <v>7</v>
      </c>
      <c r="AQ1993">
        <v>0</v>
      </c>
      <c r="AR1993">
        <v>2</v>
      </c>
      <c r="AS1993" t="s">
        <v>58</v>
      </c>
      <c r="AT1993">
        <v>1</v>
      </c>
      <c r="AU1993" t="s">
        <v>63</v>
      </c>
      <c r="AV1993" t="s">
        <v>60</v>
      </c>
      <c r="AW1993">
        <v>1</v>
      </c>
      <c r="AX1993">
        <v>4</v>
      </c>
      <c r="AY1993">
        <v>0</v>
      </c>
      <c r="AZ1993">
        <v>54100</v>
      </c>
      <c r="BA1993">
        <v>100</v>
      </c>
      <c r="BB1993">
        <v>100</v>
      </c>
      <c r="BC1993">
        <v>100</v>
      </c>
      <c r="BD1993">
        <v>100</v>
      </c>
      <c r="BE1993">
        <v>1</v>
      </c>
      <c r="BF1993">
        <v>15000</v>
      </c>
      <c r="BG1993">
        <v>1000</v>
      </c>
      <c r="BH1993" s="6">
        <f>Grandview_Inventory[[#This Row],[land_extract]]*Lookups!$B$3</f>
        <v>71311.105152813238</v>
      </c>
      <c r="BI1993" s="6">
        <f>IF(Grandview_Inventory[[#This Row],[bldg_style]]="",0,Lookups!$B$2)</f>
        <v>155833.95000000001</v>
      </c>
      <c r="BJ1993" s="6">
        <f>_xlfn.IFNA(VLOOKUP(Grandview_Inventory[[#This Row],[quality]],Lookups!$H$2:$J$14,3,FALSE),0)</f>
        <v>2251</v>
      </c>
      <c r="BK1993" s="6">
        <f>_xlfn.IFNA(VLOOKUP(Grandview_Inventory[[#This Row],[condition]],Lookups!$H$17:$J$24,3,FALSE),0)</f>
        <v>22342</v>
      </c>
      <c r="BL1993" s="6">
        <f>Grandview_Inventory[[#This Row],[Eff_Age]]*Lookups!$B$14</f>
        <v>-11479.996799999999</v>
      </c>
      <c r="BM1993" s="6">
        <f>Grandview_Inventory[[#This Row],[living_area]]*Lookups!$B$15</f>
        <v>152708.328144</v>
      </c>
      <c r="BN1993" s="6">
        <f>Grandview_Inventory[[#This Row],[Fin BSMT]]*Lookups!$B$16</f>
        <v>-27316.033920000002</v>
      </c>
      <c r="BO1993" s="6">
        <f>(Grandview_Inventory[[#This Row],[att_gar]]+Grandview_Inventory[[#This Row],[bltin_gar]])*Lookups!$B$17</f>
        <v>0</v>
      </c>
      <c r="BP1993" s="6">
        <f>Grandview_Inventory[[#This Row],[Plumbing Fixtures]]*Lookups!$B$18</f>
        <v>14073.0926</v>
      </c>
      <c r="BQ1993" s="6">
        <f>Grandview_Inventory[[#This Row],[detatched_value]]*Lookups!$B$19</f>
        <v>45812.155910000001</v>
      </c>
      <c r="BR1993" s="6">
        <f>SUM(Grandview_Inventory[[#This Row],[Intercept]:[det_value]])*Grandview_Inventory[[#This Row],[res_pct]]</f>
        <v>354224.49593400001</v>
      </c>
      <c r="BS1993" s="6">
        <f>Grandview_Inventory[[#This Row],[land_value]]</f>
        <v>71311.105152813238</v>
      </c>
      <c r="BT1993" s="4">
        <f>_xlfn.IFNA(VLOOKUP(Grandview_Inventory[[#This Row],[quality]],Lookups!$A$26:$C$33,3,FALSE),1)</f>
        <v>0.98763855981004833</v>
      </c>
      <c r="BU1993" s="4">
        <f>_xlfn.IFNA(VLOOKUP(Grandview_Inventory[[#This Row],[condition]],Lookups!$A$37:$C$44,3,FALSE),1)</f>
        <v>0.97383723671140243</v>
      </c>
      <c r="BV1993" s="4">
        <f>IF(Grandview_Inventory[[#This Row],[bldg_style]]="",1,_xlfn.IFNA(VLOOKUP(Grandview_Inventory[[#This Row],[decade]],Lookups!$F$29:$H$43,3,FALSE),1))</f>
        <v>0.99472141305414818</v>
      </c>
      <c r="BW1993" s="4">
        <f>_xlfn.IFNA(VLOOKUP(Grandview_Inventory[[#This Row],[living_area_range]],Lookups!$F$47:$H$56,3,FALSE),1)</f>
        <v>0.95799442568048754</v>
      </c>
      <c r="BX1993" s="4">
        <f>AVERAGE(Grandview_Inventory[[#This Row],[qual_adj]:[size_adj]])</f>
        <v>0.97854790881402165</v>
      </c>
      <c r="BY1993" s="6">
        <f>IF(Grandview_Inventory[[#This Row],[pre_res]]&lt;0,0,Grandview_Inventory[[#This Row],[pre_res]]*Grandview_Inventory[[#This Row],[overall_adj]])</f>
        <v>346625.6397469166</v>
      </c>
      <c r="BZ1993" s="6">
        <f>(Grandview_Inventory[[#This Row],[sum_land]]-IF(Grandview_Inventory[[#This Row],[no_utilities]]=1,12000,0))/IF(Grandview_Inventory[[#This Row],[unbuildable]]=1,2,1)</f>
        <v>71311.105152813238</v>
      </c>
      <c r="CA1993">
        <f>IF(ROUND(Grandview_Inventory[[#This Row],[adj_land]]*Lookups!$M$28,-2)&lt;Grandview_Inventory[[#This Row],[min_land]],Grandview_Inventory[[#This Row],[min_land]],ROUND(Grandview_Inventory[[#This Row],[adj_land]]*Lookups!$M$28,-2))</f>
        <v>67700</v>
      </c>
      <c r="CB1993">
        <f>ROUND(Grandview_Inventory[[#This Row],[det_value]]*Lookups!$M$28,-2)</f>
        <v>43500</v>
      </c>
      <c r="CC1993">
        <f>IF(ROUND(Grandview_Inventory[[#This Row],[adj_res]]*Lookups!$M$28,-2)&lt;Grandview_Inventory[[#This Row],[min_res]],Grandview_Inventory[[#This Row],[min_res]],ROUND(Grandview_Inventory[[#This Row],[adj_res]]*Lookups!$M$28,-2))</f>
        <v>329300</v>
      </c>
      <c r="CD1993">
        <f>Grandview_Inventory[[#This Row],[final_det]]+Grandview_Inventory[[#This Row],[final_res]]</f>
        <v>372800</v>
      </c>
      <c r="CE1993">
        <f>Grandview_Inventory[[#This Row],[final_land]]+Grandview_Inventory[[#This Row],[final_imp]]+Grandview_Inventory[[#This Row],[crop_value]]</f>
        <v>440500</v>
      </c>
      <c r="CG1993" t="str">
        <f t="shared" si="31"/>
        <v>update valuation set market_land =67700, market_bldg=372800, market_total =440500, market_mdno =401, market_date ='9/10/2023' where link_id = (select link_id from parcel where parcel_year = '2024' and parcel_id = '23092344007');</v>
      </c>
    </row>
    <row r="1994" spans="1:85" x14ac:dyDescent="0.25">
      <c r="A1994">
        <v>23092344008</v>
      </c>
      <c r="B1994">
        <v>0.55000000000000004</v>
      </c>
      <c r="C1994">
        <v>23844</v>
      </c>
      <c r="D1994" t="s">
        <v>129</v>
      </c>
      <c r="E1994" t="s">
        <v>53</v>
      </c>
      <c r="F1994" t="s">
        <v>53</v>
      </c>
      <c r="G1994">
        <v>4</v>
      </c>
      <c r="H1994" t="s">
        <v>54</v>
      </c>
      <c r="I1994">
        <v>213200</v>
      </c>
      <c r="J1994">
        <v>43700</v>
      </c>
      <c r="K1994">
        <v>0.55000000000000004</v>
      </c>
      <c r="L1994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1994">
        <v>0</v>
      </c>
      <c r="N1994">
        <v>0</v>
      </c>
      <c r="O1994">
        <v>0</v>
      </c>
      <c r="P1994">
        <v>13398.7528</v>
      </c>
      <c r="Q1994">
        <v>63903</v>
      </c>
      <c r="R1994">
        <f>(Grandview_Inventory[[#This Row],[ln_acres]]*Grandview_Inventory[[#This Row],[coeff]])+Grandview_Inventory[[#This Row],[const]]</f>
        <v>55892.729812182028</v>
      </c>
      <c r="S1994" t="s">
        <v>61</v>
      </c>
      <c r="T1994">
        <v>1</v>
      </c>
      <c r="U1994" t="s">
        <v>65</v>
      </c>
      <c r="V1994" t="s">
        <v>69</v>
      </c>
      <c r="W1994">
        <v>0</v>
      </c>
      <c r="X1994">
        <v>0</v>
      </c>
      <c r="Y1994">
        <v>48</v>
      </c>
      <c r="Z1994">
        <v>62</v>
      </c>
      <c r="AA1994">
        <v>70</v>
      </c>
      <c r="AB1994">
        <v>2000</v>
      </c>
      <c r="AC1994">
        <v>1521</v>
      </c>
      <c r="AD1994">
        <v>1521</v>
      </c>
      <c r="AE1994">
        <v>0</v>
      </c>
      <c r="AF1994">
        <v>0</v>
      </c>
      <c r="AG1994">
        <v>0</v>
      </c>
      <c r="AH1994">
        <v>0</v>
      </c>
      <c r="AI1994">
        <v>856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7</v>
      </c>
      <c r="AQ1994">
        <v>0</v>
      </c>
      <c r="AR1994">
        <v>1</v>
      </c>
      <c r="AS1994" t="s">
        <v>58</v>
      </c>
      <c r="AT1994">
        <v>1</v>
      </c>
      <c r="AU1994" t="s">
        <v>75</v>
      </c>
      <c r="AV1994" t="s">
        <v>60</v>
      </c>
      <c r="AW1994">
        <v>0</v>
      </c>
      <c r="AX1994">
        <v>3</v>
      </c>
      <c r="AY1994">
        <v>0</v>
      </c>
      <c r="AZ1994">
        <v>0</v>
      </c>
      <c r="BA1994">
        <v>100</v>
      </c>
      <c r="BB1994">
        <v>100</v>
      </c>
      <c r="BC1994">
        <v>100</v>
      </c>
      <c r="BD1994">
        <v>100</v>
      </c>
      <c r="BE1994">
        <v>1</v>
      </c>
      <c r="BF1994">
        <v>15000</v>
      </c>
      <c r="BG1994">
        <v>1000</v>
      </c>
      <c r="BH1994" s="6">
        <f>Grandview_Inventory[[#This Row],[land_extract]]*Lookups!$B$3</f>
        <v>64908.076220516494</v>
      </c>
      <c r="BI1994" s="6">
        <f>IF(Grandview_Inventory[[#This Row],[bldg_style]]="",0,Lookups!$B$2)</f>
        <v>155833.95000000001</v>
      </c>
      <c r="BJ1994" s="6">
        <f>_xlfn.IFNA(VLOOKUP(Grandview_Inventory[[#This Row],[quality]],Lookups!$H$2:$J$14,3,FALSE),0)</f>
        <v>2251</v>
      </c>
      <c r="BK1994" s="6">
        <f>_xlfn.IFNA(VLOOKUP(Grandview_Inventory[[#This Row],[condition]],Lookups!$H$17:$J$24,3,FALSE),0)</f>
        <v>-4503</v>
      </c>
      <c r="BL1994" s="6">
        <f>Grandview_Inventory[[#This Row],[Eff_Age]]*Lookups!$B$14</f>
        <v>-11479.996799999999</v>
      </c>
      <c r="BM1994" s="6">
        <f>Grandview_Inventory[[#This Row],[living_area]]*Lookups!$B$15</f>
        <v>94881.277413000003</v>
      </c>
      <c r="BN1994" s="6">
        <f>Grandview_Inventory[[#This Row],[Fin BSMT]]*Lookups!$B$16</f>
        <v>0</v>
      </c>
      <c r="BO1994" s="6">
        <f>(Grandview_Inventory[[#This Row],[att_gar]]+Grandview_Inventory[[#This Row],[bltin_gar]])*Lookups!$B$17</f>
        <v>74917.494072000001</v>
      </c>
      <c r="BP1994" s="6">
        <f>Grandview_Inventory[[#This Row],[Plumbing Fixtures]]*Lookups!$B$18</f>
        <v>14073.0926</v>
      </c>
      <c r="BQ1994" s="6">
        <f>Grandview_Inventory[[#This Row],[detatched_value]]*Lookups!$B$19</f>
        <v>0</v>
      </c>
      <c r="BR1994" s="6">
        <f>SUM(Grandview_Inventory[[#This Row],[Intercept]:[det_value]])*Grandview_Inventory[[#This Row],[res_pct]]</f>
        <v>325973.817285</v>
      </c>
      <c r="BS1994" s="6">
        <f>Grandview_Inventory[[#This Row],[land_value]]</f>
        <v>64908.076220516494</v>
      </c>
      <c r="BT1994" s="4">
        <f>_xlfn.IFNA(VLOOKUP(Grandview_Inventory[[#This Row],[quality]],Lookups!$A$26:$C$33,3,FALSE),1)</f>
        <v>0.98763855981004833</v>
      </c>
      <c r="BU1994" s="4">
        <f>_xlfn.IFNA(VLOOKUP(Grandview_Inventory[[#This Row],[condition]],Lookups!$A$37:$C$44,3,FALSE),1)</f>
        <v>0.96469275950863709</v>
      </c>
      <c r="BV1994" s="4">
        <f>IF(Grandview_Inventory[[#This Row],[bldg_style]]="",1,_xlfn.IFNA(VLOOKUP(Grandview_Inventory[[#This Row],[decade]],Lookups!$F$29:$H$43,3,FALSE),1))</f>
        <v>0.99472141305414818</v>
      </c>
      <c r="BW1994" s="4">
        <f>_xlfn.IFNA(VLOOKUP(Grandview_Inventory[[#This Row],[living_area_range]],Lookups!$F$47:$H$56,3,FALSE),1)</f>
        <v>0.96120133463014379</v>
      </c>
      <c r="BX1994" s="4">
        <f>AVERAGE(Grandview_Inventory[[#This Row],[qual_adj]:[size_adj]])</f>
        <v>0.97706351675074443</v>
      </c>
      <c r="BY1994" s="6">
        <f>IF(Grandview_Inventory[[#This Row],[pre_res]]&lt;0,0,Grandview_Inventory[[#This Row],[pre_res]]*Grandview_Inventory[[#This Row],[overall_adj]])</f>
        <v>318497.12428514671</v>
      </c>
      <c r="BZ1994" s="6">
        <f>(Grandview_Inventory[[#This Row],[sum_land]]-IF(Grandview_Inventory[[#This Row],[no_utilities]]=1,12000,0))/IF(Grandview_Inventory[[#This Row],[unbuildable]]=1,2,1)</f>
        <v>64908.076220516494</v>
      </c>
      <c r="CA1994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1994">
        <f>ROUND(Grandview_Inventory[[#This Row],[det_value]]*Lookups!$M$28,-2)</f>
        <v>0</v>
      </c>
      <c r="CC1994">
        <f>IF(ROUND(Grandview_Inventory[[#This Row],[adj_res]]*Lookups!$M$28,-2)&lt;Grandview_Inventory[[#This Row],[min_res]],Grandview_Inventory[[#This Row],[min_res]],ROUND(Grandview_Inventory[[#This Row],[adj_res]]*Lookups!$M$28,-2))</f>
        <v>302600</v>
      </c>
      <c r="CD1994">
        <f>Grandview_Inventory[[#This Row],[final_det]]+Grandview_Inventory[[#This Row],[final_res]]</f>
        <v>302600</v>
      </c>
      <c r="CE1994">
        <f>Grandview_Inventory[[#This Row],[final_land]]+Grandview_Inventory[[#This Row],[final_imp]]+Grandview_Inventory[[#This Row],[crop_value]]</f>
        <v>364300</v>
      </c>
      <c r="CG1994" t="str">
        <f t="shared" si="31"/>
        <v>update valuation set market_land =61700, market_bldg=302600, market_total =364300, market_mdno =401, market_date ='9/10/2023' where link_id = (select link_id from parcel where parcel_year = '2024' and parcel_id = '23092344008');</v>
      </c>
    </row>
    <row r="1995" spans="1:85" x14ac:dyDescent="0.25">
      <c r="A1995">
        <v>23092344009</v>
      </c>
      <c r="B1995">
        <v>0.88</v>
      </c>
      <c r="C1995">
        <v>38167</v>
      </c>
      <c r="D1995" t="s">
        <v>129</v>
      </c>
      <c r="E1995" t="s">
        <v>53</v>
      </c>
      <c r="F1995" t="s">
        <v>53</v>
      </c>
      <c r="G1995">
        <v>4</v>
      </c>
      <c r="H1995" t="s">
        <v>54</v>
      </c>
      <c r="I1995">
        <v>182300</v>
      </c>
      <c r="J1995">
        <v>45400</v>
      </c>
      <c r="K1995">
        <v>0.88</v>
      </c>
      <c r="L1995">
        <f>IF(Grandview_Inventory[[#This Row],[parcel_acres]]-Grandview_Inventory[[#This Row],[non_valued_acres]] =0,0,LN(Grandview_Inventory[[#This Row],[parcel_acres]]-Grandview_Inventory[[#This Row],[non_valued_acres]]))</f>
        <v>-0.12783337150988489</v>
      </c>
      <c r="M1995">
        <v>0</v>
      </c>
      <c r="N1995">
        <v>0</v>
      </c>
      <c r="O1995">
        <v>0</v>
      </c>
      <c r="P1995">
        <v>13398.7528</v>
      </c>
      <c r="Q1995">
        <v>63903</v>
      </c>
      <c r="R1995">
        <f>(Grandview_Inventory[[#This Row],[ln_acres]]*Grandview_Inventory[[#This Row],[coeff]])+Grandview_Inventory[[#This Row],[const]]</f>
        <v>62190.192255548493</v>
      </c>
      <c r="S1995" t="s">
        <v>61</v>
      </c>
      <c r="T1995">
        <v>1</v>
      </c>
      <c r="U1995" t="s">
        <v>65</v>
      </c>
      <c r="V1995" t="s">
        <v>69</v>
      </c>
      <c r="W1995">
        <v>0</v>
      </c>
      <c r="X1995">
        <v>0</v>
      </c>
      <c r="Y1995">
        <v>48</v>
      </c>
      <c r="Z1995">
        <v>60</v>
      </c>
      <c r="AA1995">
        <v>60</v>
      </c>
      <c r="AB1995">
        <v>1500</v>
      </c>
      <c r="AC1995">
        <v>1305</v>
      </c>
      <c r="AD1995">
        <v>1305</v>
      </c>
      <c r="AE1995">
        <v>0</v>
      </c>
      <c r="AF1995">
        <v>0</v>
      </c>
      <c r="AG1995">
        <v>0</v>
      </c>
      <c r="AH1995">
        <v>0</v>
      </c>
      <c r="AI1995">
        <v>322</v>
      </c>
      <c r="AJ1995">
        <v>0</v>
      </c>
      <c r="AK1995">
        <v>0</v>
      </c>
      <c r="AL1995">
        <v>0</v>
      </c>
      <c r="AM1995">
        <v>0</v>
      </c>
      <c r="AN1995">
        <v>15</v>
      </c>
      <c r="AO1995">
        <v>0</v>
      </c>
      <c r="AP1995">
        <v>6</v>
      </c>
      <c r="AQ1995">
        <v>0</v>
      </c>
      <c r="AR1995">
        <v>0</v>
      </c>
      <c r="AS1995" t="s">
        <v>58</v>
      </c>
      <c r="AT1995">
        <v>1</v>
      </c>
      <c r="AU1995" t="s">
        <v>63</v>
      </c>
      <c r="AV1995" t="s">
        <v>60</v>
      </c>
      <c r="AW1995">
        <v>1</v>
      </c>
      <c r="AX1995">
        <v>3</v>
      </c>
      <c r="AY1995">
        <v>0</v>
      </c>
      <c r="AZ1995">
        <v>9700</v>
      </c>
      <c r="BA1995">
        <v>100</v>
      </c>
      <c r="BB1995">
        <v>100</v>
      </c>
      <c r="BC1995">
        <v>100</v>
      </c>
      <c r="BD1995">
        <v>100</v>
      </c>
      <c r="BE1995">
        <v>1</v>
      </c>
      <c r="BF1995">
        <v>15000</v>
      </c>
      <c r="BG1995">
        <v>1000</v>
      </c>
      <c r="BH1995" s="6">
        <f>Grandview_Inventory[[#This Row],[land_extract]]*Lookups!$B$3</f>
        <v>72221.30235284938</v>
      </c>
      <c r="BI1995" s="6">
        <f>IF(Grandview_Inventory[[#This Row],[bldg_style]]="",0,Lookups!$B$2)</f>
        <v>155833.95000000001</v>
      </c>
      <c r="BJ1995" s="6">
        <f>_xlfn.IFNA(VLOOKUP(Grandview_Inventory[[#This Row],[quality]],Lookups!$H$2:$J$14,3,FALSE),0)</f>
        <v>2251</v>
      </c>
      <c r="BK1995" s="6">
        <f>_xlfn.IFNA(VLOOKUP(Grandview_Inventory[[#This Row],[condition]],Lookups!$H$17:$J$24,3,FALSE),0)</f>
        <v>-4503</v>
      </c>
      <c r="BL1995" s="6">
        <f>Grandview_Inventory[[#This Row],[Eff_Age]]*Lookups!$B$14</f>
        <v>-11479.996799999999</v>
      </c>
      <c r="BM1995" s="6">
        <f>Grandview_Inventory[[#This Row],[living_area]]*Lookups!$B$15</f>
        <v>81407.013164999997</v>
      </c>
      <c r="BN1995" s="6">
        <f>Grandview_Inventory[[#This Row],[Fin BSMT]]*Lookups!$B$16</f>
        <v>0</v>
      </c>
      <c r="BO1995" s="6">
        <f>(Grandview_Inventory[[#This Row],[att_gar]]+Grandview_Inventory[[#This Row],[bltin_gar]])*Lookups!$B$17</f>
        <v>28181.580714</v>
      </c>
      <c r="BP1995" s="6">
        <f>Grandview_Inventory[[#This Row],[Plumbing Fixtures]]*Lookups!$B$18</f>
        <v>12062.650799999999</v>
      </c>
      <c r="BQ1995" s="6">
        <f>Grandview_Inventory[[#This Row],[detatched_value]]*Lookups!$B$19</f>
        <v>8214.0094699999991</v>
      </c>
      <c r="BR1995" s="6">
        <f>SUM(Grandview_Inventory[[#This Row],[Intercept]:[det_value]])*Grandview_Inventory[[#This Row],[res_pct]]</f>
        <v>271967.20734899997</v>
      </c>
      <c r="BS1995" s="6">
        <f>Grandview_Inventory[[#This Row],[land_value]]</f>
        <v>72221.30235284938</v>
      </c>
      <c r="BT1995" s="4">
        <f>_xlfn.IFNA(VLOOKUP(Grandview_Inventory[[#This Row],[quality]],Lookups!$A$26:$C$33,3,FALSE),1)</f>
        <v>0.98763855981004833</v>
      </c>
      <c r="BU1995" s="4">
        <f>_xlfn.IFNA(VLOOKUP(Grandview_Inventory[[#This Row],[condition]],Lookups!$A$37:$C$44,3,FALSE),1)</f>
        <v>0.96469275950863709</v>
      </c>
      <c r="BV1995" s="4">
        <f>IF(Grandview_Inventory[[#This Row],[bldg_style]]="",1,_xlfn.IFNA(VLOOKUP(Grandview_Inventory[[#This Row],[decade]],Lookups!$F$29:$H$43,3,FALSE),1))</f>
        <v>0.95268620544463312</v>
      </c>
      <c r="BW1995" s="4">
        <f>_xlfn.IFNA(VLOOKUP(Grandview_Inventory[[#This Row],[living_area_range]],Lookups!$F$47:$H$56,3,FALSE),1)</f>
        <v>0.96135087979789358</v>
      </c>
      <c r="BX1995" s="4">
        <f>AVERAGE(Grandview_Inventory[[#This Row],[qual_adj]:[size_adj]])</f>
        <v>0.96659210114030303</v>
      </c>
      <c r="BY1995" s="6">
        <f>IF(Grandview_Inventory[[#This Row],[pre_res]]&lt;0,0,Grandview_Inventory[[#This Row],[pre_res]]*Grandview_Inventory[[#This Row],[overall_adj]])</f>
        <v>262881.35439273034</v>
      </c>
      <c r="BZ1995" s="6">
        <f>(Grandview_Inventory[[#This Row],[sum_land]]-IF(Grandview_Inventory[[#This Row],[no_utilities]]=1,12000,0))/IF(Grandview_Inventory[[#This Row],[unbuildable]]=1,2,1)</f>
        <v>72221.30235284938</v>
      </c>
      <c r="CA1995">
        <f>IF(ROUND(Grandview_Inventory[[#This Row],[adj_land]]*Lookups!$M$28,-2)&lt;Grandview_Inventory[[#This Row],[min_land]],Grandview_Inventory[[#This Row],[min_land]],ROUND(Grandview_Inventory[[#This Row],[adj_land]]*Lookups!$M$28,-2))</f>
        <v>68600</v>
      </c>
      <c r="CB1995">
        <f>ROUND(Grandview_Inventory[[#This Row],[det_value]]*Lookups!$M$28,-2)</f>
        <v>7800</v>
      </c>
      <c r="CC1995">
        <f>IF(ROUND(Grandview_Inventory[[#This Row],[adj_res]]*Lookups!$M$28,-2)&lt;Grandview_Inventory[[#This Row],[min_res]],Grandview_Inventory[[#This Row],[min_res]],ROUND(Grandview_Inventory[[#This Row],[adj_res]]*Lookups!$M$28,-2))</f>
        <v>249700</v>
      </c>
      <c r="CD1995">
        <f>Grandview_Inventory[[#This Row],[final_det]]+Grandview_Inventory[[#This Row],[final_res]]</f>
        <v>257500</v>
      </c>
      <c r="CE1995">
        <f>Grandview_Inventory[[#This Row],[final_land]]+Grandview_Inventory[[#This Row],[final_imp]]+Grandview_Inventory[[#This Row],[crop_value]]</f>
        <v>326100</v>
      </c>
      <c r="CG1995" t="str">
        <f t="shared" si="31"/>
        <v>update valuation set market_land =68600, market_bldg=257500, market_total =326100, market_mdno =401, market_date ='9/10/2023' where link_id = (select link_id from parcel where parcel_year = '2024' and parcel_id = '23092344009');</v>
      </c>
    </row>
    <row r="1996" spans="1:85" x14ac:dyDescent="0.25">
      <c r="A1996">
        <v>23092412008</v>
      </c>
      <c r="B1996">
        <v>2.4</v>
      </c>
      <c r="C1996">
        <v>104607</v>
      </c>
      <c r="D1996" t="s">
        <v>129</v>
      </c>
      <c r="E1996" t="s">
        <v>53</v>
      </c>
      <c r="F1996" t="s">
        <v>53</v>
      </c>
      <c r="G1996">
        <v>4</v>
      </c>
      <c r="H1996" t="s">
        <v>54</v>
      </c>
      <c r="I1996">
        <v>182400</v>
      </c>
      <c r="J1996">
        <v>61500</v>
      </c>
      <c r="K1996">
        <v>2.4</v>
      </c>
      <c r="L1996">
        <f>IF(Grandview_Inventory[[#This Row],[parcel_acres]]-Grandview_Inventory[[#This Row],[non_valued_acres]] =0,0,LN(Grandview_Inventory[[#This Row],[parcel_acres]]-Grandview_Inventory[[#This Row],[non_valued_acres]]))</f>
        <v>0.87546873735389985</v>
      </c>
      <c r="M1996">
        <v>0</v>
      </c>
      <c r="N1996">
        <v>0</v>
      </c>
      <c r="O1996">
        <v>0</v>
      </c>
      <c r="P1996">
        <v>13398.7528</v>
      </c>
      <c r="Q1996">
        <v>63903</v>
      </c>
      <c r="R1996">
        <f>(Grandview_Inventory[[#This Row],[ln_acres]]*Grandview_Inventory[[#This Row],[coeff]])+Grandview_Inventory[[#This Row],[const]]</f>
        <v>75633.189195933024</v>
      </c>
      <c r="S1996" t="s">
        <v>61</v>
      </c>
      <c r="T1996">
        <v>1</v>
      </c>
      <c r="U1996" t="s">
        <v>65</v>
      </c>
      <c r="V1996" t="s">
        <v>69</v>
      </c>
      <c r="W1996">
        <v>0</v>
      </c>
      <c r="X1996">
        <v>0</v>
      </c>
      <c r="Y1996">
        <v>53</v>
      </c>
      <c r="Z1996">
        <v>93</v>
      </c>
      <c r="AA1996">
        <v>100</v>
      </c>
      <c r="AB1996">
        <v>2000</v>
      </c>
      <c r="AC1996">
        <v>1802</v>
      </c>
      <c r="AD1996">
        <v>1802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468</v>
      </c>
      <c r="AN1996">
        <v>48</v>
      </c>
      <c r="AO1996">
        <v>0</v>
      </c>
      <c r="AP1996">
        <v>10</v>
      </c>
      <c r="AQ1996">
        <v>1</v>
      </c>
      <c r="AR1996">
        <v>0</v>
      </c>
      <c r="AS1996" t="s">
        <v>58</v>
      </c>
      <c r="AT1996">
        <v>1</v>
      </c>
      <c r="AU1996" t="s">
        <v>75</v>
      </c>
      <c r="AV1996" t="s">
        <v>60</v>
      </c>
      <c r="AW1996">
        <v>0</v>
      </c>
      <c r="AX1996">
        <v>3</v>
      </c>
      <c r="AY1996">
        <v>0</v>
      </c>
      <c r="AZ1996">
        <v>3600</v>
      </c>
      <c r="BA1996">
        <v>100</v>
      </c>
      <c r="BB1996">
        <v>100</v>
      </c>
      <c r="BC1996">
        <v>100</v>
      </c>
      <c r="BD1996">
        <v>100</v>
      </c>
      <c r="BE1996">
        <v>1</v>
      </c>
      <c r="BF1996">
        <v>15000</v>
      </c>
      <c r="BG1996">
        <v>1000</v>
      </c>
      <c r="BH1996" s="6">
        <f>Grandview_Inventory[[#This Row],[land_extract]]*Lookups!$B$3</f>
        <v>87832.618403626184</v>
      </c>
      <c r="BI1996" s="6">
        <f>IF(Grandview_Inventory[[#This Row],[bldg_style]]="",0,Lookups!$B$2)</f>
        <v>155833.95000000001</v>
      </c>
      <c r="BJ1996" s="6">
        <f>_xlfn.IFNA(VLOOKUP(Grandview_Inventory[[#This Row],[quality]],Lookups!$H$2:$J$14,3,FALSE),0)</f>
        <v>2251</v>
      </c>
      <c r="BK1996" s="6">
        <f>_xlfn.IFNA(VLOOKUP(Grandview_Inventory[[#This Row],[condition]],Lookups!$H$17:$J$24,3,FALSE),0)</f>
        <v>-4503</v>
      </c>
      <c r="BL1996" s="6">
        <f>Grandview_Inventory[[#This Row],[Eff_Age]]*Lookups!$B$14</f>
        <v>-12675.8298</v>
      </c>
      <c r="BM1996" s="6">
        <f>Grandview_Inventory[[#This Row],[living_area]]*Lookups!$B$15</f>
        <v>112410.297106</v>
      </c>
      <c r="BN1996" s="6">
        <f>Grandview_Inventory[[#This Row],[Fin BSMT]]*Lookups!$B$16</f>
        <v>0</v>
      </c>
      <c r="BO1996" s="6">
        <f>(Grandview_Inventory[[#This Row],[att_gar]]+Grandview_Inventory[[#This Row],[bltin_gar]])*Lookups!$B$17</f>
        <v>0</v>
      </c>
      <c r="BP1996" s="6">
        <f>Grandview_Inventory[[#This Row],[Plumbing Fixtures]]*Lookups!$B$18</f>
        <v>20104.418000000001</v>
      </c>
      <c r="BQ1996" s="6">
        <f>Grandview_Inventory[[#This Row],[detatched_value]]*Lookups!$B$19</f>
        <v>3048.49836</v>
      </c>
      <c r="BR1996" s="6">
        <f>SUM(Grandview_Inventory[[#This Row],[Intercept]:[det_value]])*Grandview_Inventory[[#This Row],[res_pct]]</f>
        <v>276469.33366600005</v>
      </c>
      <c r="BS1996" s="6">
        <f>Grandview_Inventory[[#This Row],[land_value]]</f>
        <v>87832.618403626184</v>
      </c>
      <c r="BT1996" s="4">
        <f>_xlfn.IFNA(VLOOKUP(Grandview_Inventory[[#This Row],[quality]],Lookups!$A$26:$C$33,3,FALSE),1)</f>
        <v>0.98763855981004833</v>
      </c>
      <c r="BU1996" s="4">
        <f>_xlfn.IFNA(VLOOKUP(Grandview_Inventory[[#This Row],[condition]],Lookups!$A$37:$C$44,3,FALSE),1)</f>
        <v>0.96469275950863709</v>
      </c>
      <c r="BV1996" s="4">
        <f>IF(Grandview_Inventory[[#This Row],[bldg_style]]="",1,_xlfn.IFNA(VLOOKUP(Grandview_Inventory[[#This Row],[decade]],Lookups!$F$29:$H$43,3,FALSE),1))</f>
        <v>0.95244691841736806</v>
      </c>
      <c r="BW1996" s="4">
        <f>_xlfn.IFNA(VLOOKUP(Grandview_Inventory[[#This Row],[living_area_range]],Lookups!$F$47:$H$56,3,FALSE),1)</f>
        <v>0.96120133463014379</v>
      </c>
      <c r="BX1996" s="4">
        <f>AVERAGE(Grandview_Inventory[[#This Row],[qual_adj]:[size_adj]])</f>
        <v>0.96649489309154935</v>
      </c>
      <c r="BY1996" s="6">
        <f>IF(Grandview_Inventory[[#This Row],[pre_res]]&lt;0,0,Grandview_Inventory[[#This Row],[pre_res]]*Grandview_Inventory[[#This Row],[overall_adj]])</f>
        <v>267206.1990846126</v>
      </c>
      <c r="BZ1996" s="6">
        <f>(Grandview_Inventory[[#This Row],[sum_land]]-IF(Grandview_Inventory[[#This Row],[no_utilities]]=1,12000,0))/IF(Grandview_Inventory[[#This Row],[unbuildable]]=1,2,1)</f>
        <v>87832.618403626184</v>
      </c>
      <c r="CA1996">
        <f>IF(ROUND(Grandview_Inventory[[#This Row],[adj_land]]*Lookups!$M$28,-2)&lt;Grandview_Inventory[[#This Row],[min_land]],Grandview_Inventory[[#This Row],[min_land]],ROUND(Grandview_Inventory[[#This Row],[adj_land]]*Lookups!$M$28,-2))</f>
        <v>83400</v>
      </c>
      <c r="CB1996">
        <f>ROUND(Grandview_Inventory[[#This Row],[det_value]]*Lookups!$M$28,-2)</f>
        <v>2900</v>
      </c>
      <c r="CC1996">
        <f>IF(ROUND(Grandview_Inventory[[#This Row],[adj_res]]*Lookups!$M$28,-2)&lt;Grandview_Inventory[[#This Row],[min_res]],Grandview_Inventory[[#This Row],[min_res]],ROUND(Grandview_Inventory[[#This Row],[adj_res]]*Lookups!$M$28,-2))</f>
        <v>253800</v>
      </c>
      <c r="CD1996">
        <f>Grandview_Inventory[[#This Row],[final_det]]+Grandview_Inventory[[#This Row],[final_res]]</f>
        <v>256700</v>
      </c>
      <c r="CE1996">
        <f>Grandview_Inventory[[#This Row],[final_land]]+Grandview_Inventory[[#This Row],[final_imp]]+Grandview_Inventory[[#This Row],[crop_value]]</f>
        <v>340100</v>
      </c>
      <c r="CG1996" t="str">
        <f t="shared" si="31"/>
        <v>update valuation set market_land =83400, market_bldg=256700, market_total =340100, market_mdno =401, market_date ='9/10/2023' where link_id = (select link_id from parcel where parcel_year = '2024' and parcel_id = '23092412008');</v>
      </c>
    </row>
    <row r="1997" spans="1:85" x14ac:dyDescent="0.25">
      <c r="A1997">
        <v>23092412011</v>
      </c>
      <c r="B1997">
        <v>1.36</v>
      </c>
      <c r="C1997">
        <v>59030</v>
      </c>
      <c r="D1997" t="s">
        <v>129</v>
      </c>
      <c r="E1997" t="s">
        <v>53</v>
      </c>
      <c r="F1997" t="s">
        <v>53</v>
      </c>
      <c r="G1997">
        <v>4</v>
      </c>
      <c r="H1997" t="s">
        <v>54</v>
      </c>
      <c r="I1997">
        <v>193800</v>
      </c>
      <c r="J1997">
        <v>54300</v>
      </c>
      <c r="K1997">
        <v>1.36</v>
      </c>
      <c r="L1997">
        <f>IF(Grandview_Inventory[[#This Row],[parcel_acres]]-Grandview_Inventory[[#This Row],[non_valued_acres]] =0,0,LN(Grandview_Inventory[[#This Row],[parcel_acres]]-Grandview_Inventory[[#This Row],[non_valued_acres]]))</f>
        <v>0.30748469974796072</v>
      </c>
      <c r="M1997">
        <v>0</v>
      </c>
      <c r="N1997">
        <v>0</v>
      </c>
      <c r="O1997">
        <v>0</v>
      </c>
      <c r="P1997">
        <v>13398.7528</v>
      </c>
      <c r="Q1997">
        <v>63903</v>
      </c>
      <c r="R1997">
        <f>(Grandview_Inventory[[#This Row],[ln_acres]]*Grandview_Inventory[[#This Row],[coeff]])+Grandview_Inventory[[#This Row],[const]]</f>
        <v>68022.911481705145</v>
      </c>
      <c r="S1997" t="s">
        <v>61</v>
      </c>
      <c r="T1997">
        <v>1</v>
      </c>
      <c r="U1997" t="s">
        <v>70</v>
      </c>
      <c r="V1997" t="s">
        <v>78</v>
      </c>
      <c r="W1997">
        <v>0</v>
      </c>
      <c r="X1997">
        <v>0</v>
      </c>
      <c r="Y1997">
        <v>50</v>
      </c>
      <c r="Z1997">
        <v>73</v>
      </c>
      <c r="AA1997">
        <v>80</v>
      </c>
      <c r="AB1997">
        <v>2000</v>
      </c>
      <c r="AC1997">
        <v>1724</v>
      </c>
      <c r="AD1997">
        <v>1294</v>
      </c>
      <c r="AE1997">
        <v>0</v>
      </c>
      <c r="AF1997">
        <v>0</v>
      </c>
      <c r="AG1997">
        <v>430</v>
      </c>
      <c r="AH1997">
        <v>0</v>
      </c>
      <c r="AI1997">
        <v>528</v>
      </c>
      <c r="AJ1997">
        <v>0</v>
      </c>
      <c r="AK1997">
        <v>240</v>
      </c>
      <c r="AL1997">
        <v>604</v>
      </c>
      <c r="AM1997">
        <v>0</v>
      </c>
      <c r="AN1997">
        <v>0</v>
      </c>
      <c r="AO1997">
        <v>604</v>
      </c>
      <c r="AP1997">
        <v>5</v>
      </c>
      <c r="AQ1997">
        <v>0</v>
      </c>
      <c r="AR1997">
        <v>1</v>
      </c>
      <c r="AS1997" t="s">
        <v>58</v>
      </c>
      <c r="AT1997">
        <v>1</v>
      </c>
      <c r="AU1997" t="s">
        <v>63</v>
      </c>
      <c r="AV1997" t="s">
        <v>60</v>
      </c>
      <c r="AW1997">
        <v>1</v>
      </c>
      <c r="AX1997">
        <v>2</v>
      </c>
      <c r="AY1997">
        <v>0</v>
      </c>
      <c r="AZ1997">
        <v>7600</v>
      </c>
      <c r="BA1997">
        <v>100</v>
      </c>
      <c r="BB1997">
        <v>100</v>
      </c>
      <c r="BC1997">
        <v>100</v>
      </c>
      <c r="BD1997">
        <v>100</v>
      </c>
      <c r="BE1997">
        <v>1</v>
      </c>
      <c r="BF1997">
        <v>15000</v>
      </c>
      <c r="BG1997">
        <v>1000</v>
      </c>
      <c r="BH1997" s="6">
        <f>Grandview_Inventory[[#This Row],[land_extract]]*Lookups!$B$3</f>
        <v>78994.823441843182</v>
      </c>
      <c r="BI1997" s="6">
        <f>IF(Grandview_Inventory[[#This Row],[bldg_style]]="",0,Lookups!$B$2)</f>
        <v>155833.95000000001</v>
      </c>
      <c r="BJ1997" s="6">
        <f>_xlfn.IFNA(VLOOKUP(Grandview_Inventory[[#This Row],[quality]],Lookups!$H$2:$J$14,3,FALSE),0)</f>
        <v>10733</v>
      </c>
      <c r="BK1997" s="6">
        <f>_xlfn.IFNA(VLOOKUP(Grandview_Inventory[[#This Row],[condition]],Lookups!$H$17:$J$24,3,FALSE),0)</f>
        <v>-45357</v>
      </c>
      <c r="BL1997" s="6">
        <f>Grandview_Inventory[[#This Row],[Eff_Age]]*Lookups!$B$14</f>
        <v>-11958.33</v>
      </c>
      <c r="BM1997" s="6">
        <f>Grandview_Inventory[[#This Row],[living_area]]*Lookups!$B$15</f>
        <v>107544.590572</v>
      </c>
      <c r="BN1997" s="6">
        <f>Grandview_Inventory[[#This Row],[Fin BSMT]]*Lookups!$B$16</f>
        <v>-11652.673200000001</v>
      </c>
      <c r="BO1997" s="6">
        <f>(Grandview_Inventory[[#This Row],[att_gar]]+Grandview_Inventory[[#This Row],[bltin_gar]])*Lookups!$B$17</f>
        <v>46210.790736000003</v>
      </c>
      <c r="BP1997" s="6">
        <f>Grandview_Inventory[[#This Row],[Plumbing Fixtures]]*Lookups!$B$18</f>
        <v>10052.209000000001</v>
      </c>
      <c r="BQ1997" s="6">
        <f>Grandview_Inventory[[#This Row],[detatched_value]]*Lookups!$B$19</f>
        <v>6435.7187599999997</v>
      </c>
      <c r="BR1997" s="6">
        <f>SUM(Grandview_Inventory[[#This Row],[Intercept]:[det_value]])*Grandview_Inventory[[#This Row],[res_pct]]</f>
        <v>267842.25586800004</v>
      </c>
      <c r="BS1997" s="6">
        <f>Grandview_Inventory[[#This Row],[land_value]]</f>
        <v>78994.823441843182</v>
      </c>
      <c r="BT1997" s="4">
        <f>_xlfn.IFNA(VLOOKUP(Grandview_Inventory[[#This Row],[quality]],Lookups!$A$26:$C$33,3,FALSE),1)</f>
        <v>0.98079741117310582</v>
      </c>
      <c r="BU1997" s="4">
        <f>_xlfn.IFNA(VLOOKUP(Grandview_Inventory[[#This Row],[condition]],Lookups!$A$37:$C$44,3,FALSE),1)</f>
        <v>0.97161819570155394</v>
      </c>
      <c r="BV1997" s="4">
        <f>IF(Grandview_Inventory[[#This Row],[bldg_style]]="",1,_xlfn.IFNA(VLOOKUP(Grandview_Inventory[[#This Row],[decade]],Lookups!$F$29:$H$43,3,FALSE),1))</f>
        <v>0.98763256963907298</v>
      </c>
      <c r="BW1997" s="4">
        <f>_xlfn.IFNA(VLOOKUP(Grandview_Inventory[[#This Row],[living_area_range]],Lookups!$F$47:$H$56,3,FALSE),1)</f>
        <v>0.96120133463014379</v>
      </c>
      <c r="BX1997" s="4">
        <f>AVERAGE(Grandview_Inventory[[#This Row],[qual_adj]:[size_adj]])</f>
        <v>0.97531237778596913</v>
      </c>
      <c r="BY1997" s="6">
        <f>IF(Grandview_Inventory[[#This Row],[pre_res]]&lt;0,0,Grandview_Inventory[[#This Row],[pre_res]]*Grandview_Inventory[[#This Row],[overall_adj]])</f>
        <v>261229.86744217706</v>
      </c>
      <c r="BZ1997" s="6">
        <f>(Grandview_Inventory[[#This Row],[sum_land]]-IF(Grandview_Inventory[[#This Row],[no_utilities]]=1,12000,0))/IF(Grandview_Inventory[[#This Row],[unbuildable]]=1,2,1)</f>
        <v>78994.823441843182</v>
      </c>
      <c r="CA1997">
        <f>IF(ROUND(Grandview_Inventory[[#This Row],[adj_land]]*Lookups!$M$28,-2)&lt;Grandview_Inventory[[#This Row],[min_land]],Grandview_Inventory[[#This Row],[min_land]],ROUND(Grandview_Inventory[[#This Row],[adj_land]]*Lookups!$M$28,-2))</f>
        <v>75000</v>
      </c>
      <c r="CB1997">
        <f>ROUND(Grandview_Inventory[[#This Row],[det_value]]*Lookups!$M$28,-2)</f>
        <v>6100</v>
      </c>
      <c r="CC1997">
        <f>IF(ROUND(Grandview_Inventory[[#This Row],[adj_res]]*Lookups!$M$28,-2)&lt;Grandview_Inventory[[#This Row],[min_res]],Grandview_Inventory[[#This Row],[min_res]],ROUND(Grandview_Inventory[[#This Row],[adj_res]]*Lookups!$M$28,-2))</f>
        <v>248200</v>
      </c>
      <c r="CD1997">
        <f>Grandview_Inventory[[#This Row],[final_det]]+Grandview_Inventory[[#This Row],[final_res]]</f>
        <v>254300</v>
      </c>
      <c r="CE1997">
        <f>Grandview_Inventory[[#This Row],[final_land]]+Grandview_Inventory[[#This Row],[final_imp]]+Grandview_Inventory[[#This Row],[crop_value]]</f>
        <v>329300</v>
      </c>
      <c r="CG1997" t="str">
        <f t="shared" si="31"/>
        <v>update valuation set market_land =75000, market_bldg=254300, market_total =329300, market_mdno =401, market_date ='9/10/2023' where link_id = (select link_id from parcel where parcel_year = '2024' and parcel_id = '23092412011');</v>
      </c>
    </row>
    <row r="1998" spans="1:85" x14ac:dyDescent="0.25">
      <c r="A1998">
        <v>23092413006</v>
      </c>
      <c r="B1998">
        <v>0.65</v>
      </c>
      <c r="C1998">
        <v>28311</v>
      </c>
      <c r="D1998" t="s">
        <v>129</v>
      </c>
      <c r="E1998" t="s">
        <v>53</v>
      </c>
      <c r="F1998" t="s">
        <v>53</v>
      </c>
      <c r="G1998">
        <v>4</v>
      </c>
      <c r="H1998" t="s">
        <v>54</v>
      </c>
      <c r="I1998">
        <v>355900</v>
      </c>
      <c r="J1998">
        <v>46100</v>
      </c>
      <c r="K1998">
        <v>0.65</v>
      </c>
      <c r="L1998">
        <f>IF(Grandview_Inventory[[#This Row],[parcel_acres]]-Grandview_Inventory[[#This Row],[non_valued_acres]] =0,0,LN(Grandview_Inventory[[#This Row],[parcel_acres]]-Grandview_Inventory[[#This Row],[non_valued_acres]]))</f>
        <v>-0.43078291609245423</v>
      </c>
      <c r="M1998">
        <v>0</v>
      </c>
      <c r="N1998">
        <v>0</v>
      </c>
      <c r="O1998">
        <v>0</v>
      </c>
      <c r="P1998">
        <v>13398.7528</v>
      </c>
      <c r="Q1998">
        <v>63903</v>
      </c>
      <c r="R1998">
        <f>(Grandview_Inventory[[#This Row],[ln_acres]]*Grandview_Inventory[[#This Row],[coeff]])+Grandview_Inventory[[#This Row],[const]]</f>
        <v>58131.046196814066</v>
      </c>
      <c r="S1998" t="s">
        <v>68</v>
      </c>
      <c r="T1998">
        <v>1</v>
      </c>
      <c r="U1998" t="s">
        <v>65</v>
      </c>
      <c r="V1998" t="s">
        <v>67</v>
      </c>
      <c r="W1998">
        <v>0</v>
      </c>
      <c r="X1998">
        <v>0</v>
      </c>
      <c r="Y1998">
        <v>43</v>
      </c>
      <c r="Z1998">
        <v>93</v>
      </c>
      <c r="AA1998">
        <v>100</v>
      </c>
      <c r="AB1998">
        <v>4000</v>
      </c>
      <c r="AC1998">
        <v>3780</v>
      </c>
      <c r="AD1998">
        <v>3780</v>
      </c>
      <c r="AE1998">
        <v>0</v>
      </c>
      <c r="AF1998">
        <v>0</v>
      </c>
      <c r="AG1998">
        <v>0</v>
      </c>
      <c r="AH1998">
        <v>0</v>
      </c>
      <c r="AI1998">
        <v>880</v>
      </c>
      <c r="AJ1998">
        <v>0</v>
      </c>
      <c r="AK1998">
        <v>0</v>
      </c>
      <c r="AL1998">
        <v>0</v>
      </c>
      <c r="AM1998">
        <v>0</v>
      </c>
      <c r="AN1998">
        <v>236</v>
      </c>
      <c r="AO1998">
        <v>0</v>
      </c>
      <c r="AP1998">
        <v>12</v>
      </c>
      <c r="AQ1998">
        <v>0</v>
      </c>
      <c r="AR1998">
        <v>0</v>
      </c>
      <c r="AS1998" t="s">
        <v>58</v>
      </c>
      <c r="AT1998">
        <v>1</v>
      </c>
      <c r="AU1998" t="s">
        <v>75</v>
      </c>
      <c r="AV1998" t="s">
        <v>60</v>
      </c>
      <c r="AW1998">
        <v>0</v>
      </c>
      <c r="AX1998">
        <v>6</v>
      </c>
      <c r="AY1998">
        <v>0</v>
      </c>
      <c r="AZ1998">
        <v>3900</v>
      </c>
      <c r="BA1998">
        <v>100</v>
      </c>
      <c r="BB1998">
        <v>100</v>
      </c>
      <c r="BC1998">
        <v>100</v>
      </c>
      <c r="BD1998">
        <v>100</v>
      </c>
      <c r="BE1998">
        <v>1</v>
      </c>
      <c r="BF1998">
        <v>15000</v>
      </c>
      <c r="BG1998">
        <v>1000</v>
      </c>
      <c r="BH1998" s="6">
        <f>Grandview_Inventory[[#This Row],[land_extract]]*Lookups!$B$3</f>
        <v>67507.426994535446</v>
      </c>
      <c r="BI1998" s="6">
        <f>IF(Grandview_Inventory[[#This Row],[bldg_style]]="",0,Lookups!$B$2)</f>
        <v>155833.95000000001</v>
      </c>
      <c r="BJ1998" s="6">
        <f>_xlfn.IFNA(VLOOKUP(Grandview_Inventory[[#This Row],[quality]],Lookups!$H$2:$J$14,3,FALSE),0)</f>
        <v>2251</v>
      </c>
      <c r="BK1998" s="6">
        <f>_xlfn.IFNA(VLOOKUP(Grandview_Inventory[[#This Row],[condition]],Lookups!$H$17:$J$24,3,FALSE),0)</f>
        <v>22342</v>
      </c>
      <c r="BL1998" s="6">
        <f>Grandview_Inventory[[#This Row],[Eff_Age]]*Lookups!$B$14</f>
        <v>-10284.1638</v>
      </c>
      <c r="BM1998" s="6">
        <f>Grandview_Inventory[[#This Row],[living_area]]*Lookups!$B$15</f>
        <v>235799.62434000001</v>
      </c>
      <c r="BN1998" s="6">
        <f>Grandview_Inventory[[#This Row],[Fin BSMT]]*Lookups!$B$16</f>
        <v>0</v>
      </c>
      <c r="BO1998" s="6">
        <f>(Grandview_Inventory[[#This Row],[att_gar]]+Grandview_Inventory[[#This Row],[bltin_gar]])*Lookups!$B$17</f>
        <v>77017.984559999997</v>
      </c>
      <c r="BP1998" s="6">
        <f>Grandview_Inventory[[#This Row],[Plumbing Fixtures]]*Lookups!$B$18</f>
        <v>24125.301599999999</v>
      </c>
      <c r="BQ1998" s="6">
        <f>Grandview_Inventory[[#This Row],[detatched_value]]*Lookups!$B$19</f>
        <v>3302.53989</v>
      </c>
      <c r="BR1998" s="6">
        <f>SUM(Grandview_Inventory[[#This Row],[Intercept]:[det_value]])*Grandview_Inventory[[#This Row],[res_pct]]</f>
        <v>510388.23659000004</v>
      </c>
      <c r="BS1998" s="6">
        <f>Grandview_Inventory[[#This Row],[land_value]]</f>
        <v>67507.426994535446</v>
      </c>
      <c r="BT1998" s="4">
        <f>_xlfn.IFNA(VLOOKUP(Grandview_Inventory[[#This Row],[quality]],Lookups!$A$26:$C$33,3,FALSE),1)</f>
        <v>0.98763855981004833</v>
      </c>
      <c r="BU1998" s="4">
        <f>_xlfn.IFNA(VLOOKUP(Grandview_Inventory[[#This Row],[condition]],Lookups!$A$37:$C$44,3,FALSE),1)</f>
        <v>0.97383723671140243</v>
      </c>
      <c r="BV1998" s="4">
        <f>IF(Grandview_Inventory[[#This Row],[bldg_style]]="",1,_xlfn.IFNA(VLOOKUP(Grandview_Inventory[[#This Row],[decade]],Lookups!$F$29:$H$43,3,FALSE),1))</f>
        <v>0.95244691841736806</v>
      </c>
      <c r="BW1998" s="4">
        <f>_xlfn.IFNA(VLOOKUP(Grandview_Inventory[[#This Row],[living_area_range]],Lookups!$F$47:$H$56,3,FALSE),1)</f>
        <v>0.90089875105039252</v>
      </c>
      <c r="BX1998" s="4">
        <f>AVERAGE(Grandview_Inventory[[#This Row],[qual_adj]:[size_adj]])</f>
        <v>0.95370536649730275</v>
      </c>
      <c r="BY1998" s="6">
        <f>IF(Grandview_Inventory[[#This Row],[pre_res]]&lt;0,0,Grandview_Inventory[[#This Row],[pre_res]]*Grandview_Inventory[[#This Row],[overall_adj]])</f>
        <v>486760.00023297808</v>
      </c>
      <c r="BZ1998" s="6">
        <f>(Grandview_Inventory[[#This Row],[sum_land]]-IF(Grandview_Inventory[[#This Row],[no_utilities]]=1,12000,0))/IF(Grandview_Inventory[[#This Row],[unbuildable]]=1,2,1)</f>
        <v>67507.426994535446</v>
      </c>
      <c r="CA1998">
        <f>IF(ROUND(Grandview_Inventory[[#This Row],[adj_land]]*Lookups!$M$28,-2)&lt;Grandview_Inventory[[#This Row],[min_land]],Grandview_Inventory[[#This Row],[min_land]],ROUND(Grandview_Inventory[[#This Row],[adj_land]]*Lookups!$M$28,-2))</f>
        <v>64100</v>
      </c>
      <c r="CB1998">
        <f>ROUND(Grandview_Inventory[[#This Row],[det_value]]*Lookups!$M$28,-2)</f>
        <v>3100</v>
      </c>
      <c r="CC1998">
        <f>IF(ROUND(Grandview_Inventory[[#This Row],[adj_res]]*Lookups!$M$28,-2)&lt;Grandview_Inventory[[#This Row],[min_res]],Grandview_Inventory[[#This Row],[min_res]],ROUND(Grandview_Inventory[[#This Row],[adj_res]]*Lookups!$M$28,-2))</f>
        <v>462400</v>
      </c>
      <c r="CD1998">
        <f>Grandview_Inventory[[#This Row],[final_det]]+Grandview_Inventory[[#This Row],[final_res]]</f>
        <v>465500</v>
      </c>
      <c r="CE1998">
        <f>Grandview_Inventory[[#This Row],[final_land]]+Grandview_Inventory[[#This Row],[final_imp]]+Grandview_Inventory[[#This Row],[crop_value]]</f>
        <v>529600</v>
      </c>
      <c r="CG1998" t="str">
        <f t="shared" si="31"/>
        <v>update valuation set market_land =64100, market_bldg=465500, market_total =529600, market_mdno =401, market_date ='9/10/2023' where link_id = (select link_id from parcel where parcel_year = '2024' and parcel_id = '23092413006');</v>
      </c>
    </row>
    <row r="1999" spans="1:85" x14ac:dyDescent="0.25">
      <c r="A1999">
        <v>23092413403</v>
      </c>
      <c r="B1999">
        <v>1.8</v>
      </c>
      <c r="C1999">
        <v>78610</v>
      </c>
      <c r="D1999" t="s">
        <v>129</v>
      </c>
      <c r="E1999" t="s">
        <v>53</v>
      </c>
      <c r="F1999" t="s">
        <v>53</v>
      </c>
      <c r="G1999">
        <v>4</v>
      </c>
      <c r="H1999" t="s">
        <v>54</v>
      </c>
      <c r="I1999">
        <v>297400</v>
      </c>
      <c r="J1999">
        <v>57800</v>
      </c>
      <c r="K1999">
        <v>1.8</v>
      </c>
      <c r="L1999">
        <f>IF(Grandview_Inventory[[#This Row],[parcel_acres]]-Grandview_Inventory[[#This Row],[non_valued_acres]] =0,0,LN(Grandview_Inventory[[#This Row],[parcel_acres]]-Grandview_Inventory[[#This Row],[non_valued_acres]]))</f>
        <v>0.58778666490211906</v>
      </c>
      <c r="M1999">
        <v>0</v>
      </c>
      <c r="N1999">
        <v>0</v>
      </c>
      <c r="O1999">
        <v>0</v>
      </c>
      <c r="P1999">
        <v>13398.7528</v>
      </c>
      <c r="Q1999">
        <v>63903</v>
      </c>
      <c r="R1999">
        <f>(Grandview_Inventory[[#This Row],[ln_acres]]*Grandview_Inventory[[#This Row],[coeff]])+Grandview_Inventory[[#This Row],[const]]</f>
        <v>71778.608222159935</v>
      </c>
      <c r="S1999" t="s">
        <v>61</v>
      </c>
      <c r="T1999">
        <v>1</v>
      </c>
      <c r="U1999" t="s">
        <v>65</v>
      </c>
      <c r="V1999" t="s">
        <v>67</v>
      </c>
      <c r="W1999">
        <v>0</v>
      </c>
      <c r="X1999">
        <v>0</v>
      </c>
      <c r="Y1999">
        <v>44</v>
      </c>
      <c r="Z1999">
        <v>46</v>
      </c>
      <c r="AA1999">
        <v>50</v>
      </c>
      <c r="AB1999">
        <v>2000</v>
      </c>
      <c r="AC1999">
        <v>1936</v>
      </c>
      <c r="AD1999">
        <v>1936</v>
      </c>
      <c r="AE1999">
        <v>0</v>
      </c>
      <c r="AF1999">
        <v>0</v>
      </c>
      <c r="AG1999">
        <v>0</v>
      </c>
      <c r="AH1999">
        <v>0</v>
      </c>
      <c r="AI1999">
        <v>576</v>
      </c>
      <c r="AJ1999">
        <v>0</v>
      </c>
      <c r="AK1999">
        <v>0</v>
      </c>
      <c r="AL1999">
        <v>176</v>
      </c>
      <c r="AM1999">
        <v>0</v>
      </c>
      <c r="AN1999">
        <v>70</v>
      </c>
      <c r="AO1999">
        <v>0</v>
      </c>
      <c r="AP1999">
        <v>9</v>
      </c>
      <c r="AQ1999">
        <v>1</v>
      </c>
      <c r="AR1999">
        <v>0</v>
      </c>
      <c r="AS1999" t="s">
        <v>76</v>
      </c>
      <c r="AT1999">
        <v>1</v>
      </c>
      <c r="AU1999" t="s">
        <v>59</v>
      </c>
      <c r="AV1999" t="s">
        <v>60</v>
      </c>
      <c r="AW1999">
        <v>1</v>
      </c>
      <c r="AX1999">
        <v>4</v>
      </c>
      <c r="AY1999">
        <v>0</v>
      </c>
      <c r="AZ1999">
        <v>5800</v>
      </c>
      <c r="BA1999">
        <v>100</v>
      </c>
      <c r="BB1999">
        <v>100</v>
      </c>
      <c r="BC1999">
        <v>100</v>
      </c>
      <c r="BD1999">
        <v>100</v>
      </c>
      <c r="BE1999">
        <v>1</v>
      </c>
      <c r="BF1999">
        <v>15000</v>
      </c>
      <c r="BG1999">
        <v>1000</v>
      </c>
      <c r="BH1999" s="6">
        <f>Grandview_Inventory[[#This Row],[land_extract]]*Lookups!$B$3</f>
        <v>83356.303926152133</v>
      </c>
      <c r="BI1999" s="6">
        <f>IF(Grandview_Inventory[[#This Row],[bldg_style]]="",0,Lookups!$B$2)</f>
        <v>155833.95000000001</v>
      </c>
      <c r="BJ1999" s="6">
        <f>_xlfn.IFNA(VLOOKUP(Grandview_Inventory[[#This Row],[quality]],Lookups!$H$2:$J$14,3,FALSE),0)</f>
        <v>2251</v>
      </c>
      <c r="BK1999" s="6">
        <f>_xlfn.IFNA(VLOOKUP(Grandview_Inventory[[#This Row],[condition]],Lookups!$H$17:$J$24,3,FALSE),0)</f>
        <v>22342</v>
      </c>
      <c r="BL1999" s="6">
        <f>Grandview_Inventory[[#This Row],[Eff_Age]]*Lookups!$B$14</f>
        <v>-10523.330399999999</v>
      </c>
      <c r="BM1999" s="6">
        <f>Grandview_Inventory[[#This Row],[living_area]]*Lookups!$B$15</f>
        <v>120769.331408</v>
      </c>
      <c r="BN1999" s="6">
        <f>Grandview_Inventory[[#This Row],[Fin BSMT]]*Lookups!$B$16</f>
        <v>0</v>
      </c>
      <c r="BO1999" s="6">
        <f>(Grandview_Inventory[[#This Row],[att_gar]]+Grandview_Inventory[[#This Row],[bltin_gar]])*Lookups!$B$17</f>
        <v>50411.771712000002</v>
      </c>
      <c r="BP1999" s="6">
        <f>Grandview_Inventory[[#This Row],[Plumbing Fixtures]]*Lookups!$B$18</f>
        <v>18093.976200000001</v>
      </c>
      <c r="BQ1999" s="6">
        <f>Grandview_Inventory[[#This Row],[detatched_value]]*Lookups!$B$19</f>
        <v>4911.46958</v>
      </c>
      <c r="BR1999" s="6">
        <f>SUM(Grandview_Inventory[[#This Row],[Intercept]:[det_value]])*Grandview_Inventory[[#This Row],[res_pct]]</f>
        <v>364090.16849999997</v>
      </c>
      <c r="BS1999" s="6">
        <f>Grandview_Inventory[[#This Row],[land_value]]</f>
        <v>83356.303926152133</v>
      </c>
      <c r="BT1999" s="4">
        <f>_xlfn.IFNA(VLOOKUP(Grandview_Inventory[[#This Row],[quality]],Lookups!$A$26:$C$33,3,FALSE),1)</f>
        <v>0.98763855981004833</v>
      </c>
      <c r="BU1999" s="4">
        <f>_xlfn.IFNA(VLOOKUP(Grandview_Inventory[[#This Row],[condition]],Lookups!$A$37:$C$44,3,FALSE),1)</f>
        <v>0.97383723671140243</v>
      </c>
      <c r="BV1999" s="4">
        <f>IF(Grandview_Inventory[[#This Row],[bldg_style]]="",1,_xlfn.IFNA(VLOOKUP(Grandview_Inventory[[#This Row],[decade]],Lookups!$F$29:$H$43,3,FALSE),1))</f>
        <v>0.9871940091910919</v>
      </c>
      <c r="BW1999" s="4">
        <f>_xlfn.IFNA(VLOOKUP(Grandview_Inventory[[#This Row],[living_area_range]],Lookups!$F$47:$H$56,3,FALSE),1)</f>
        <v>0.96120133463014379</v>
      </c>
      <c r="BX1999" s="4">
        <f>AVERAGE(Grandview_Inventory[[#This Row],[qual_adj]:[size_adj]])</f>
        <v>0.97746778508567167</v>
      </c>
      <c r="BY1999" s="6">
        <f>IF(Grandview_Inventory[[#This Row],[pre_res]]&lt;0,0,Grandview_Inventory[[#This Row],[pre_res]]*Grandview_Inventory[[#This Row],[overall_adj]])</f>
        <v>355886.41057516396</v>
      </c>
      <c r="BZ1999" s="6">
        <f>(Grandview_Inventory[[#This Row],[sum_land]]-IF(Grandview_Inventory[[#This Row],[no_utilities]]=1,12000,0))/IF(Grandview_Inventory[[#This Row],[unbuildable]]=1,2,1)</f>
        <v>83356.303926152133</v>
      </c>
      <c r="CA1999">
        <f>IF(ROUND(Grandview_Inventory[[#This Row],[adj_land]]*Lookups!$M$28,-2)&lt;Grandview_Inventory[[#This Row],[min_land]],Grandview_Inventory[[#This Row],[min_land]],ROUND(Grandview_Inventory[[#This Row],[adj_land]]*Lookups!$M$28,-2))</f>
        <v>79200</v>
      </c>
      <c r="CB1999">
        <f>ROUND(Grandview_Inventory[[#This Row],[det_value]]*Lookups!$M$28,-2)</f>
        <v>4700</v>
      </c>
      <c r="CC1999">
        <f>IF(ROUND(Grandview_Inventory[[#This Row],[adj_res]]*Lookups!$M$28,-2)&lt;Grandview_Inventory[[#This Row],[min_res]],Grandview_Inventory[[#This Row],[min_res]],ROUND(Grandview_Inventory[[#This Row],[adj_res]]*Lookups!$M$28,-2))</f>
        <v>338100</v>
      </c>
      <c r="CD1999">
        <f>Grandview_Inventory[[#This Row],[final_det]]+Grandview_Inventory[[#This Row],[final_res]]</f>
        <v>342800</v>
      </c>
      <c r="CE1999">
        <f>Grandview_Inventory[[#This Row],[final_land]]+Grandview_Inventory[[#This Row],[final_imp]]+Grandview_Inventory[[#This Row],[crop_value]]</f>
        <v>422000</v>
      </c>
      <c r="CG1999" t="str">
        <f t="shared" si="31"/>
        <v>update valuation set market_land =79200, market_bldg=342800, market_total =422000, market_mdno =401, market_date ='9/10/2023' where link_id = (select link_id from parcel where parcel_year = '2024' and parcel_id = '23092413403');</v>
      </c>
    </row>
    <row r="2000" spans="1:85" x14ac:dyDescent="0.25">
      <c r="A2000">
        <v>23092413404</v>
      </c>
      <c r="B2000">
        <v>1.58</v>
      </c>
      <c r="C2000">
        <v>68722</v>
      </c>
      <c r="D2000" t="s">
        <v>129</v>
      </c>
      <c r="E2000" t="s">
        <v>53</v>
      </c>
      <c r="F2000" t="s">
        <v>53</v>
      </c>
      <c r="G2000">
        <v>4</v>
      </c>
      <c r="H2000" t="s">
        <v>54</v>
      </c>
      <c r="I2000">
        <v>223600</v>
      </c>
      <c r="J2000">
        <v>64500</v>
      </c>
      <c r="K2000">
        <v>1.58</v>
      </c>
      <c r="L2000">
        <f>IF(Grandview_Inventory[[#This Row],[parcel_acres]]-Grandview_Inventory[[#This Row],[non_valued_acres]] =0,0,LN(Grandview_Inventory[[#This Row],[parcel_acres]]-Grandview_Inventory[[#This Row],[non_valued_acres]]))</f>
        <v>0.45742484703887548</v>
      </c>
      <c r="M2000">
        <v>0</v>
      </c>
      <c r="N2000">
        <v>0</v>
      </c>
      <c r="O2000">
        <v>0</v>
      </c>
      <c r="P2000">
        <v>13398.7528</v>
      </c>
      <c r="Q2000">
        <v>63903</v>
      </c>
      <c r="R2000">
        <f>(Grandview_Inventory[[#This Row],[ln_acres]]*Grandview_Inventory[[#This Row],[coeff]])+Grandview_Inventory[[#This Row],[const]]</f>
        <v>70031.922450051701</v>
      </c>
      <c r="S2000" t="s">
        <v>61</v>
      </c>
      <c r="T2000">
        <v>1</v>
      </c>
      <c r="U2000" t="s">
        <v>62</v>
      </c>
      <c r="V2000" t="s">
        <v>69</v>
      </c>
      <c r="W2000">
        <v>0</v>
      </c>
      <c r="X2000">
        <v>0</v>
      </c>
      <c r="Y2000">
        <v>43</v>
      </c>
      <c r="Z2000">
        <v>44</v>
      </c>
      <c r="AA2000">
        <v>50</v>
      </c>
      <c r="AB2000">
        <v>1500</v>
      </c>
      <c r="AC2000">
        <v>1500</v>
      </c>
      <c r="AD2000">
        <v>1500</v>
      </c>
      <c r="AE2000">
        <v>0</v>
      </c>
      <c r="AF2000">
        <v>0</v>
      </c>
      <c r="AG2000">
        <v>0</v>
      </c>
      <c r="AH2000">
        <v>0</v>
      </c>
      <c r="AI2000">
        <v>528</v>
      </c>
      <c r="AJ2000">
        <v>0</v>
      </c>
      <c r="AK2000">
        <v>0</v>
      </c>
      <c r="AL2000">
        <v>0</v>
      </c>
      <c r="AM2000">
        <v>170</v>
      </c>
      <c r="AN2000">
        <v>0</v>
      </c>
      <c r="AO2000">
        <v>170</v>
      </c>
      <c r="AP2000">
        <v>8</v>
      </c>
      <c r="AQ2000">
        <v>0</v>
      </c>
      <c r="AR2000">
        <v>1</v>
      </c>
      <c r="AS2000" t="s">
        <v>58</v>
      </c>
      <c r="AT2000">
        <v>1</v>
      </c>
      <c r="AU2000" t="s">
        <v>63</v>
      </c>
      <c r="AV2000" t="s">
        <v>60</v>
      </c>
      <c r="AW2000">
        <v>1</v>
      </c>
      <c r="AX2000">
        <v>3</v>
      </c>
      <c r="AY2000">
        <v>0</v>
      </c>
      <c r="AZ2000">
        <v>13300</v>
      </c>
      <c r="BA2000">
        <v>100</v>
      </c>
      <c r="BB2000">
        <v>100</v>
      </c>
      <c r="BC2000">
        <v>100</v>
      </c>
      <c r="BD2000">
        <v>100</v>
      </c>
      <c r="BE2000">
        <v>1</v>
      </c>
      <c r="BF2000">
        <v>15000</v>
      </c>
      <c r="BG2000">
        <v>1000</v>
      </c>
      <c r="BH2000" s="6">
        <f>Grandview_Inventory[[#This Row],[land_extract]]*Lookups!$B$3</f>
        <v>81327.882455054423</v>
      </c>
      <c r="BI2000" s="6">
        <f>IF(Grandview_Inventory[[#This Row],[bldg_style]]="",0,Lookups!$B$2)</f>
        <v>155833.95000000001</v>
      </c>
      <c r="BJ2000" s="6">
        <f>_xlfn.IFNA(VLOOKUP(Grandview_Inventory[[#This Row],[quality]],Lookups!$H$2:$J$14,3,FALSE),0)</f>
        <v>9808</v>
      </c>
      <c r="BK2000" s="6">
        <f>_xlfn.IFNA(VLOOKUP(Grandview_Inventory[[#This Row],[condition]],Lookups!$H$17:$J$24,3,FALSE),0)</f>
        <v>-4503</v>
      </c>
      <c r="BL2000" s="6">
        <f>Grandview_Inventory[[#This Row],[Eff_Age]]*Lookups!$B$14</f>
        <v>-10284.1638</v>
      </c>
      <c r="BM2000" s="6">
        <f>Grandview_Inventory[[#This Row],[living_area]]*Lookups!$B$15</f>
        <v>93571.279500000004</v>
      </c>
      <c r="BN2000" s="6">
        <f>Grandview_Inventory[[#This Row],[Fin BSMT]]*Lookups!$B$16</f>
        <v>0</v>
      </c>
      <c r="BO2000" s="6">
        <f>(Grandview_Inventory[[#This Row],[att_gar]]+Grandview_Inventory[[#This Row],[bltin_gar]])*Lookups!$B$17</f>
        <v>46210.790736000003</v>
      </c>
      <c r="BP2000" s="6">
        <f>Grandview_Inventory[[#This Row],[Plumbing Fixtures]]*Lookups!$B$18</f>
        <v>16083.5344</v>
      </c>
      <c r="BQ2000" s="6">
        <f>Grandview_Inventory[[#This Row],[detatched_value]]*Lookups!$B$19</f>
        <v>11262.50783</v>
      </c>
      <c r="BR2000" s="6">
        <f>SUM(Grandview_Inventory[[#This Row],[Intercept]:[det_value]])*Grandview_Inventory[[#This Row],[res_pct]]</f>
        <v>317982.89866600005</v>
      </c>
      <c r="BS2000" s="6">
        <f>Grandview_Inventory[[#This Row],[land_value]]</f>
        <v>81327.882455054423</v>
      </c>
      <c r="BT2000" s="4">
        <f>_xlfn.IFNA(VLOOKUP(Grandview_Inventory[[#This Row],[quality]],Lookups!$A$26:$C$33,3,FALSE),1)</f>
        <v>0.94295468617355149</v>
      </c>
      <c r="BU2000" s="4">
        <f>_xlfn.IFNA(VLOOKUP(Grandview_Inventory[[#This Row],[condition]],Lookups!$A$37:$C$44,3,FALSE),1)</f>
        <v>0.96469275950863709</v>
      </c>
      <c r="BV2000" s="4">
        <f>IF(Grandview_Inventory[[#This Row],[bldg_style]]="",1,_xlfn.IFNA(VLOOKUP(Grandview_Inventory[[#This Row],[decade]],Lookups!$F$29:$H$43,3,FALSE),1))</f>
        <v>0.9871940091910919</v>
      </c>
      <c r="BW2000" s="4">
        <f>_xlfn.IFNA(VLOOKUP(Grandview_Inventory[[#This Row],[living_area_range]],Lookups!$F$47:$H$56,3,FALSE),1)</f>
        <v>0.96135087979789358</v>
      </c>
      <c r="BX2000" s="4">
        <f>AVERAGE(Grandview_Inventory[[#This Row],[qual_adj]:[size_adj]])</f>
        <v>0.96404808366779349</v>
      </c>
      <c r="BY2000" s="6">
        <f>IF(Grandview_Inventory[[#This Row],[pre_res]]&lt;0,0,Grandview_Inventory[[#This Row],[pre_res]]*Grandview_Inventory[[#This Row],[overall_adj]])</f>
        <v>306550.80409808754</v>
      </c>
      <c r="BZ2000" s="6">
        <f>(Grandview_Inventory[[#This Row],[sum_land]]-IF(Grandview_Inventory[[#This Row],[no_utilities]]=1,12000,0))/IF(Grandview_Inventory[[#This Row],[unbuildable]]=1,2,1)</f>
        <v>81327.882455054423</v>
      </c>
      <c r="CA2000">
        <f>IF(ROUND(Grandview_Inventory[[#This Row],[adj_land]]*Lookups!$M$28,-2)&lt;Grandview_Inventory[[#This Row],[min_land]],Grandview_Inventory[[#This Row],[min_land]],ROUND(Grandview_Inventory[[#This Row],[adj_land]]*Lookups!$M$28,-2))</f>
        <v>77300</v>
      </c>
      <c r="CB2000">
        <f>ROUND(Grandview_Inventory[[#This Row],[det_value]]*Lookups!$M$28,-2)</f>
        <v>10700</v>
      </c>
      <c r="CC2000">
        <f>IF(ROUND(Grandview_Inventory[[#This Row],[adj_res]]*Lookups!$M$28,-2)&lt;Grandview_Inventory[[#This Row],[min_res]],Grandview_Inventory[[#This Row],[min_res]],ROUND(Grandview_Inventory[[#This Row],[adj_res]]*Lookups!$M$28,-2))</f>
        <v>291200</v>
      </c>
      <c r="CD2000">
        <f>Grandview_Inventory[[#This Row],[final_det]]+Grandview_Inventory[[#This Row],[final_res]]</f>
        <v>301900</v>
      </c>
      <c r="CE2000">
        <f>Grandview_Inventory[[#This Row],[final_land]]+Grandview_Inventory[[#This Row],[final_imp]]+Grandview_Inventory[[#This Row],[crop_value]]</f>
        <v>379200</v>
      </c>
      <c r="CG2000" t="str">
        <f t="shared" si="31"/>
        <v>update valuation set market_land =77300, market_bldg=301900, market_total =379200, market_mdno =401, market_date ='9/10/2023' where link_id = (select link_id from parcel where parcel_year = '2024' and parcel_id = '23092413404');</v>
      </c>
    </row>
    <row r="2001" spans="1:85" x14ac:dyDescent="0.25">
      <c r="A2001">
        <v>23092414002</v>
      </c>
      <c r="B2001">
        <v>1.27</v>
      </c>
      <c r="C2001">
        <v>55106</v>
      </c>
      <c r="D2001" t="s">
        <v>129</v>
      </c>
      <c r="E2001" t="s">
        <v>53</v>
      </c>
      <c r="F2001" t="s">
        <v>53</v>
      </c>
      <c r="G2001">
        <v>4</v>
      </c>
      <c r="H2001" t="s">
        <v>54</v>
      </c>
      <c r="I2001">
        <v>498100</v>
      </c>
      <c r="J2001">
        <v>61300</v>
      </c>
      <c r="K2001">
        <v>1.27</v>
      </c>
      <c r="L2001">
        <f>IF(Grandview_Inventory[[#This Row],[parcel_acres]]-Grandview_Inventory[[#This Row],[non_valued_acres]] =0,0,LN(Grandview_Inventory[[#This Row],[parcel_acres]]-Grandview_Inventory[[#This Row],[non_valued_acres]]))</f>
        <v>0.23901690047049992</v>
      </c>
      <c r="M2001">
        <v>0</v>
      </c>
      <c r="N2001">
        <v>0</v>
      </c>
      <c r="O2001">
        <v>0</v>
      </c>
      <c r="P2001">
        <v>13398.7528</v>
      </c>
      <c r="Q2001">
        <v>63903</v>
      </c>
      <c r="R2001">
        <f>(Grandview_Inventory[[#This Row],[ln_acres]]*Grandview_Inventory[[#This Row],[coeff]])+Grandview_Inventory[[#This Row],[const]]</f>
        <v>67105.528364426427</v>
      </c>
      <c r="S2001" t="s">
        <v>58</v>
      </c>
      <c r="T2001">
        <v>1</v>
      </c>
      <c r="U2001" t="s">
        <v>62</v>
      </c>
      <c r="V2001" t="s">
        <v>69</v>
      </c>
      <c r="W2001">
        <v>0</v>
      </c>
      <c r="X2001">
        <v>0</v>
      </c>
      <c r="Y2001">
        <v>48</v>
      </c>
      <c r="Z2001">
        <v>60</v>
      </c>
      <c r="AA2001">
        <v>60</v>
      </c>
      <c r="AB2001">
        <v>2500</v>
      </c>
      <c r="AC2001">
        <v>2237</v>
      </c>
      <c r="AD2001">
        <v>1812</v>
      </c>
      <c r="AE2001">
        <v>0</v>
      </c>
      <c r="AF2001">
        <v>0</v>
      </c>
      <c r="AG2001">
        <v>425</v>
      </c>
      <c r="AH2001">
        <v>863</v>
      </c>
      <c r="AI2001">
        <v>1423</v>
      </c>
      <c r="AJ2001">
        <v>0</v>
      </c>
      <c r="AK2001">
        <v>448</v>
      </c>
      <c r="AL2001">
        <v>0</v>
      </c>
      <c r="AM2001">
        <v>394</v>
      </c>
      <c r="AN2001">
        <v>0</v>
      </c>
      <c r="AO2001">
        <v>394</v>
      </c>
      <c r="AP2001">
        <v>10</v>
      </c>
      <c r="AQ2001">
        <v>0</v>
      </c>
      <c r="AR2001">
        <v>2</v>
      </c>
      <c r="AS2001" t="s">
        <v>71</v>
      </c>
      <c r="AT2001">
        <v>1</v>
      </c>
      <c r="AU2001" t="s">
        <v>59</v>
      </c>
      <c r="AV2001" t="s">
        <v>60</v>
      </c>
      <c r="AW2001">
        <v>1</v>
      </c>
      <c r="AX2001">
        <v>3</v>
      </c>
      <c r="AY2001">
        <v>0</v>
      </c>
      <c r="AZ2001">
        <v>151000</v>
      </c>
      <c r="BA2001">
        <v>100</v>
      </c>
      <c r="BB2001">
        <v>100</v>
      </c>
      <c r="BC2001">
        <v>100</v>
      </c>
      <c r="BD2001">
        <v>100</v>
      </c>
      <c r="BE2001">
        <v>1</v>
      </c>
      <c r="BF2001">
        <v>15000</v>
      </c>
      <c r="BG2001">
        <v>1000</v>
      </c>
      <c r="BH2001" s="6">
        <f>Grandview_Inventory[[#This Row],[land_extract]]*Lookups!$B$3</f>
        <v>77929.468904681824</v>
      </c>
      <c r="BI2001" s="6">
        <f>IF(Grandview_Inventory[[#This Row],[bldg_style]]="",0,Lookups!$B$2)</f>
        <v>155833.95000000001</v>
      </c>
      <c r="BJ2001" s="6">
        <f>_xlfn.IFNA(VLOOKUP(Grandview_Inventory[[#This Row],[quality]],Lookups!$H$2:$J$14,3,FALSE),0)</f>
        <v>9808</v>
      </c>
      <c r="BK2001" s="6">
        <f>_xlfn.IFNA(VLOOKUP(Grandview_Inventory[[#This Row],[condition]],Lookups!$H$17:$J$24,3,FALSE),0)</f>
        <v>-4503</v>
      </c>
      <c r="BL2001" s="6">
        <f>Grandview_Inventory[[#This Row],[Eff_Age]]*Lookups!$B$14</f>
        <v>-11479.996799999999</v>
      </c>
      <c r="BM2001" s="6">
        <f>Grandview_Inventory[[#This Row],[living_area]]*Lookups!$B$15</f>
        <v>139545.968161</v>
      </c>
      <c r="BN2001" s="6">
        <f>Grandview_Inventory[[#This Row],[Fin BSMT]]*Lookups!$B$16</f>
        <v>-11517.177000000001</v>
      </c>
      <c r="BO2001" s="6">
        <f>(Grandview_Inventory[[#This Row],[att_gar]]+Grandview_Inventory[[#This Row],[bltin_gar]])*Lookups!$B$17</f>
        <v>124541.581851</v>
      </c>
      <c r="BP2001" s="6">
        <f>Grandview_Inventory[[#This Row],[Plumbing Fixtures]]*Lookups!$B$18</f>
        <v>20104.418000000001</v>
      </c>
      <c r="BQ2001" s="6">
        <f>Grandview_Inventory[[#This Row],[detatched_value]]*Lookups!$B$19</f>
        <v>127867.5701</v>
      </c>
      <c r="BR2001" s="6">
        <f>SUM(Grandview_Inventory[[#This Row],[Intercept]:[det_value]])*Grandview_Inventory[[#This Row],[res_pct]]</f>
        <v>550201.31431199994</v>
      </c>
      <c r="BS2001" s="6">
        <f>Grandview_Inventory[[#This Row],[land_value]]</f>
        <v>77929.468904681824</v>
      </c>
      <c r="BT2001" s="4">
        <f>_xlfn.IFNA(VLOOKUP(Grandview_Inventory[[#This Row],[quality]],Lookups!$A$26:$C$33,3,FALSE),1)</f>
        <v>0.94295468617355149</v>
      </c>
      <c r="BU2001" s="4">
        <f>_xlfn.IFNA(VLOOKUP(Grandview_Inventory[[#This Row],[condition]],Lookups!$A$37:$C$44,3,FALSE),1)</f>
        <v>0.96469275950863709</v>
      </c>
      <c r="BV2001" s="4">
        <f>IF(Grandview_Inventory[[#This Row],[bldg_style]]="",1,_xlfn.IFNA(VLOOKUP(Grandview_Inventory[[#This Row],[decade]],Lookups!$F$29:$H$43,3,FALSE),1))</f>
        <v>0.95268620544463312</v>
      </c>
      <c r="BW2001" s="4">
        <f>_xlfn.IFNA(VLOOKUP(Grandview_Inventory[[#This Row],[living_area_range]],Lookups!$F$47:$H$56,3,FALSE),1)</f>
        <v>0.95799442568048754</v>
      </c>
      <c r="BX2001" s="4">
        <f>AVERAGE(Grandview_Inventory[[#This Row],[qual_adj]:[size_adj]])</f>
        <v>0.95458201920182728</v>
      </c>
      <c r="BY2001" s="6">
        <f>IF(Grandview_Inventory[[#This Row],[pre_res]]&lt;0,0,Grandview_Inventory[[#This Row],[pre_res]]*Grandview_Inventory[[#This Row],[overall_adj]])</f>
        <v>525212.28158344817</v>
      </c>
      <c r="BZ2001" s="6">
        <f>(Grandview_Inventory[[#This Row],[sum_land]]-IF(Grandview_Inventory[[#This Row],[no_utilities]]=1,12000,0))/IF(Grandview_Inventory[[#This Row],[unbuildable]]=1,2,1)</f>
        <v>77929.468904681824</v>
      </c>
      <c r="CA2001">
        <f>IF(ROUND(Grandview_Inventory[[#This Row],[adj_land]]*Lookups!$M$28,-2)&lt;Grandview_Inventory[[#This Row],[min_land]],Grandview_Inventory[[#This Row],[min_land]],ROUND(Grandview_Inventory[[#This Row],[adj_land]]*Lookups!$M$28,-2))</f>
        <v>74000</v>
      </c>
      <c r="CB2001">
        <f>ROUND(Grandview_Inventory[[#This Row],[det_value]]*Lookups!$M$28,-2)</f>
        <v>121500</v>
      </c>
      <c r="CC2001">
        <f>IF(ROUND(Grandview_Inventory[[#This Row],[adj_res]]*Lookups!$M$28,-2)&lt;Grandview_Inventory[[#This Row],[min_res]],Grandview_Inventory[[#This Row],[min_res]],ROUND(Grandview_Inventory[[#This Row],[adj_res]]*Lookups!$M$28,-2))</f>
        <v>499000</v>
      </c>
      <c r="CD2001">
        <f>Grandview_Inventory[[#This Row],[final_det]]+Grandview_Inventory[[#This Row],[final_res]]</f>
        <v>620500</v>
      </c>
      <c r="CE2001">
        <f>Grandview_Inventory[[#This Row],[final_land]]+Grandview_Inventory[[#This Row],[final_imp]]+Grandview_Inventory[[#This Row],[crop_value]]</f>
        <v>694500</v>
      </c>
      <c r="CG2001" t="str">
        <f t="shared" si="31"/>
        <v>update valuation set market_land =74000, market_bldg=620500, market_total =694500, market_mdno =401, market_date ='9/10/2023' where link_id = (select link_id from parcel where parcel_year = '2024' and parcel_id = '23092414002');</v>
      </c>
    </row>
    <row r="2002" spans="1:85" x14ac:dyDescent="0.25">
      <c r="A2002">
        <v>23092414409</v>
      </c>
      <c r="B2002">
        <v>0.37</v>
      </c>
      <c r="C2002">
        <v>16295</v>
      </c>
      <c r="D2002" t="s">
        <v>129</v>
      </c>
      <c r="E2002" t="s">
        <v>53</v>
      </c>
      <c r="F2002" t="s">
        <v>53</v>
      </c>
      <c r="G2002">
        <v>4</v>
      </c>
      <c r="H2002" t="s">
        <v>54</v>
      </c>
      <c r="I2002">
        <v>201700</v>
      </c>
      <c r="J2002">
        <v>40900</v>
      </c>
      <c r="K2002">
        <v>0.37</v>
      </c>
      <c r="L2002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2002">
        <v>0</v>
      </c>
      <c r="N2002">
        <v>0</v>
      </c>
      <c r="O2002">
        <v>0</v>
      </c>
      <c r="P2002">
        <v>13398.7528</v>
      </c>
      <c r="Q2002">
        <v>63903</v>
      </c>
      <c r="R2002">
        <f>(Grandview_Inventory[[#This Row],[ln_acres]]*Grandview_Inventory[[#This Row],[coeff]])+Grandview_Inventory[[#This Row],[const]]</f>
        <v>50581.259568627502</v>
      </c>
      <c r="S2002" t="s">
        <v>61</v>
      </c>
      <c r="T2002">
        <v>1</v>
      </c>
      <c r="U2002" t="s">
        <v>65</v>
      </c>
      <c r="V2002" t="s">
        <v>69</v>
      </c>
      <c r="W2002">
        <v>0</v>
      </c>
      <c r="X2002">
        <v>0</v>
      </c>
      <c r="Y2002">
        <v>25</v>
      </c>
      <c r="Z2002">
        <v>25</v>
      </c>
      <c r="AA2002">
        <v>30</v>
      </c>
      <c r="AB2002">
        <v>2000</v>
      </c>
      <c r="AC2002">
        <v>1528</v>
      </c>
      <c r="AD2002">
        <v>1528</v>
      </c>
      <c r="AE2002">
        <v>0</v>
      </c>
      <c r="AF2002">
        <v>0</v>
      </c>
      <c r="AG2002">
        <v>0</v>
      </c>
      <c r="AH2002">
        <v>0</v>
      </c>
      <c r="AI2002">
        <v>484</v>
      </c>
      <c r="AJ2002">
        <v>0</v>
      </c>
      <c r="AK2002">
        <v>0</v>
      </c>
      <c r="AL2002">
        <v>0</v>
      </c>
      <c r="AM2002">
        <v>110</v>
      </c>
      <c r="AN2002">
        <v>108</v>
      </c>
      <c r="AO2002">
        <v>110</v>
      </c>
      <c r="AP2002">
        <v>8</v>
      </c>
      <c r="AQ2002">
        <v>0</v>
      </c>
      <c r="AR2002">
        <v>0</v>
      </c>
      <c r="AS2002" t="s">
        <v>58</v>
      </c>
      <c r="AT2002">
        <v>1</v>
      </c>
      <c r="AU2002" t="s">
        <v>63</v>
      </c>
      <c r="AV2002" t="s">
        <v>60</v>
      </c>
      <c r="AW2002">
        <v>1</v>
      </c>
      <c r="AX2002">
        <v>3</v>
      </c>
      <c r="AY2002">
        <v>0</v>
      </c>
      <c r="AZ2002">
        <v>0</v>
      </c>
      <c r="BA2002">
        <v>100</v>
      </c>
      <c r="BB2002">
        <v>100</v>
      </c>
      <c r="BC2002">
        <v>100</v>
      </c>
      <c r="BD2002">
        <v>100</v>
      </c>
      <c r="BE2002">
        <v>1</v>
      </c>
      <c r="BF2002">
        <v>15000</v>
      </c>
      <c r="BG2002">
        <v>1000</v>
      </c>
      <c r="BH2002" s="6">
        <f>Grandview_Inventory[[#This Row],[land_extract]]*Lookups!$B$3</f>
        <v>58739.880167646283</v>
      </c>
      <c r="BI2002" s="6">
        <f>IF(Grandview_Inventory[[#This Row],[bldg_style]]="",0,Lookups!$B$2)</f>
        <v>155833.95000000001</v>
      </c>
      <c r="BJ2002" s="6">
        <f>_xlfn.IFNA(VLOOKUP(Grandview_Inventory[[#This Row],[quality]],Lookups!$H$2:$J$14,3,FALSE),0)</f>
        <v>2251</v>
      </c>
      <c r="BK2002" s="6">
        <f>_xlfn.IFNA(VLOOKUP(Grandview_Inventory[[#This Row],[condition]],Lookups!$H$17:$J$24,3,FALSE),0)</f>
        <v>-4503</v>
      </c>
      <c r="BL2002" s="6">
        <f>Grandview_Inventory[[#This Row],[Eff_Age]]*Lookups!$B$14</f>
        <v>-5979.165</v>
      </c>
      <c r="BM2002" s="6">
        <f>Grandview_Inventory[[#This Row],[living_area]]*Lookups!$B$15</f>
        <v>95317.943383999998</v>
      </c>
      <c r="BN2002" s="6">
        <f>Grandview_Inventory[[#This Row],[Fin BSMT]]*Lookups!$B$16</f>
        <v>0</v>
      </c>
      <c r="BO2002" s="6">
        <f>(Grandview_Inventory[[#This Row],[att_gar]]+Grandview_Inventory[[#This Row],[bltin_gar]])*Lookups!$B$17</f>
        <v>42359.891508000001</v>
      </c>
      <c r="BP2002" s="6">
        <f>Grandview_Inventory[[#This Row],[Plumbing Fixtures]]*Lookups!$B$18</f>
        <v>16083.5344</v>
      </c>
      <c r="BQ2002" s="6">
        <f>Grandview_Inventory[[#This Row],[detatched_value]]*Lookups!$B$19</f>
        <v>0</v>
      </c>
      <c r="BR2002" s="6">
        <f>SUM(Grandview_Inventory[[#This Row],[Intercept]:[det_value]])*Grandview_Inventory[[#This Row],[res_pct]]</f>
        <v>301364.15429199999</v>
      </c>
      <c r="BS2002" s="6">
        <f>Grandview_Inventory[[#This Row],[land_value]]</f>
        <v>58739.880167646283</v>
      </c>
      <c r="BT2002" s="4">
        <f>_xlfn.IFNA(VLOOKUP(Grandview_Inventory[[#This Row],[quality]],Lookups!$A$26:$C$33,3,FALSE),1)</f>
        <v>0.98763855981004833</v>
      </c>
      <c r="BU2002" s="4">
        <f>_xlfn.IFNA(VLOOKUP(Grandview_Inventory[[#This Row],[condition]],Lookups!$A$37:$C$44,3,FALSE),1)</f>
        <v>0.96469275950863709</v>
      </c>
      <c r="BV2002" s="4">
        <f>IF(Grandview_Inventory[[#This Row],[bldg_style]]="",1,_xlfn.IFNA(VLOOKUP(Grandview_Inventory[[#This Row],[decade]],Lookups!$F$29:$H$43,3,FALSE),1))</f>
        <v>0.98397821291089549</v>
      </c>
      <c r="BW2002" s="4">
        <f>_xlfn.IFNA(VLOOKUP(Grandview_Inventory[[#This Row],[living_area_range]],Lookups!$F$47:$H$56,3,FALSE),1)</f>
        <v>0.96120133463014379</v>
      </c>
      <c r="BX2002" s="4">
        <f>AVERAGE(Grandview_Inventory[[#This Row],[qual_adj]:[size_adj]])</f>
        <v>0.97437771671493123</v>
      </c>
      <c r="BY2002" s="6">
        <f>IF(Grandview_Inventory[[#This Row],[pre_res]]&lt;0,0,Grandview_Inventory[[#This Row],[pre_res]]*Grandview_Inventory[[#This Row],[overall_adj]])</f>
        <v>293642.5165587652</v>
      </c>
      <c r="BZ2002" s="6">
        <f>(Grandview_Inventory[[#This Row],[sum_land]]-IF(Grandview_Inventory[[#This Row],[no_utilities]]=1,12000,0))/IF(Grandview_Inventory[[#This Row],[unbuildable]]=1,2,1)</f>
        <v>58739.880167646283</v>
      </c>
      <c r="CA2002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2002">
        <f>ROUND(Grandview_Inventory[[#This Row],[det_value]]*Lookups!$M$28,-2)</f>
        <v>0</v>
      </c>
      <c r="CC2002">
        <f>IF(ROUND(Grandview_Inventory[[#This Row],[adj_res]]*Lookups!$M$28,-2)&lt;Grandview_Inventory[[#This Row],[min_res]],Grandview_Inventory[[#This Row],[min_res]],ROUND(Grandview_Inventory[[#This Row],[adj_res]]*Lookups!$M$28,-2))</f>
        <v>279000</v>
      </c>
      <c r="CD2002">
        <f>Grandview_Inventory[[#This Row],[final_det]]+Grandview_Inventory[[#This Row],[final_res]]</f>
        <v>279000</v>
      </c>
      <c r="CE2002">
        <f>Grandview_Inventory[[#This Row],[final_land]]+Grandview_Inventory[[#This Row],[final_imp]]+Grandview_Inventory[[#This Row],[crop_value]]</f>
        <v>334800</v>
      </c>
      <c r="CG2002" t="str">
        <f t="shared" si="31"/>
        <v>update valuation set market_land =55800, market_bldg=279000, market_total =334800, market_mdno =401, market_date ='9/10/2023' where link_id = (select link_id from parcel where parcel_year = '2024' and parcel_id = '23092414409');</v>
      </c>
    </row>
    <row r="2003" spans="1:85" x14ac:dyDescent="0.25">
      <c r="A2003">
        <v>23092414410</v>
      </c>
      <c r="B2003">
        <v>1</v>
      </c>
      <c r="C2003" t="s">
        <v>129</v>
      </c>
      <c r="D2003" t="s">
        <v>129</v>
      </c>
      <c r="E2003" t="s">
        <v>53</v>
      </c>
      <c r="F2003" t="s">
        <v>53</v>
      </c>
      <c r="G2003">
        <v>4</v>
      </c>
      <c r="H2003" t="s">
        <v>54</v>
      </c>
      <c r="I2003">
        <v>73800</v>
      </c>
      <c r="J2003">
        <v>50700</v>
      </c>
      <c r="K2003">
        <v>1</v>
      </c>
      <c r="L2003">
        <f>IF(Grandview_Inventory[[#This Row],[parcel_acres]]-Grandview_Inventory[[#This Row],[non_valued_acres]] =0,0,LN(Grandview_Inventory[[#This Row],[parcel_acres]]-Grandview_Inventory[[#This Row],[non_valued_acres]]))</f>
        <v>0</v>
      </c>
      <c r="M2003">
        <v>0</v>
      </c>
      <c r="N2003">
        <v>0</v>
      </c>
      <c r="O2003">
        <v>0</v>
      </c>
      <c r="P2003">
        <v>13398.7528</v>
      </c>
      <c r="Q2003">
        <v>63903</v>
      </c>
      <c r="R2003">
        <f>(Grandview_Inventory[[#This Row],[ln_acres]]*Grandview_Inventory[[#This Row],[coeff]])+Grandview_Inventory[[#This Row],[const]]</f>
        <v>63903</v>
      </c>
      <c r="S2003" t="s">
        <v>68</v>
      </c>
      <c r="T2003">
        <v>1</v>
      </c>
      <c r="U2003" t="s">
        <v>80</v>
      </c>
      <c r="V2003" t="s">
        <v>78</v>
      </c>
      <c r="W2003">
        <v>0</v>
      </c>
      <c r="X2003">
        <v>0</v>
      </c>
      <c r="Y2003">
        <v>53</v>
      </c>
      <c r="Z2003">
        <v>93</v>
      </c>
      <c r="AA2003">
        <v>100</v>
      </c>
      <c r="AB2003">
        <v>1000</v>
      </c>
      <c r="AC2003">
        <v>908</v>
      </c>
      <c r="AD2003">
        <v>908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72</v>
      </c>
      <c r="AO2003">
        <v>0</v>
      </c>
      <c r="AP2003">
        <v>5</v>
      </c>
      <c r="AQ2003">
        <v>0</v>
      </c>
      <c r="AR2003">
        <v>0</v>
      </c>
      <c r="AS2003" t="s">
        <v>58</v>
      </c>
      <c r="AT2003">
        <v>1</v>
      </c>
      <c r="AU2003" t="s">
        <v>75</v>
      </c>
      <c r="AV2003" t="s">
        <v>60</v>
      </c>
      <c r="AW2003">
        <v>0</v>
      </c>
      <c r="AX2003">
        <v>2</v>
      </c>
      <c r="AY2003">
        <v>0</v>
      </c>
      <c r="AZ2003">
        <v>0</v>
      </c>
      <c r="BA2003">
        <v>100</v>
      </c>
      <c r="BB2003">
        <v>100</v>
      </c>
      <c r="BC2003">
        <v>100</v>
      </c>
      <c r="BD2003">
        <v>100</v>
      </c>
      <c r="BE2003">
        <v>1</v>
      </c>
      <c r="BF2003">
        <v>15000</v>
      </c>
      <c r="BG2003">
        <v>1000</v>
      </c>
      <c r="BH2003" s="6">
        <f>Grandview_Inventory[[#This Row],[land_extract]]*Lookups!$B$3</f>
        <v>74210.381361899999</v>
      </c>
      <c r="BI2003" s="6">
        <f>IF(Grandview_Inventory[[#This Row],[bldg_style]]="",0,Lookups!$B$2)</f>
        <v>155833.95000000001</v>
      </c>
      <c r="BJ2003" s="6">
        <f>_xlfn.IFNA(VLOOKUP(Grandview_Inventory[[#This Row],[quality]],Lookups!$H$2:$J$14,3,FALSE),0)</f>
        <v>-28558</v>
      </c>
      <c r="BK2003" s="6">
        <f>_xlfn.IFNA(VLOOKUP(Grandview_Inventory[[#This Row],[condition]],Lookups!$H$17:$J$24,3,FALSE),0)</f>
        <v>-45357</v>
      </c>
      <c r="BL2003" s="6">
        <f>Grandview_Inventory[[#This Row],[Eff_Age]]*Lookups!$B$14</f>
        <v>-12675.8298</v>
      </c>
      <c r="BM2003" s="6">
        <f>Grandview_Inventory[[#This Row],[living_area]]*Lookups!$B$15</f>
        <v>56641.814524000001</v>
      </c>
      <c r="BN2003" s="6">
        <f>Grandview_Inventory[[#This Row],[Fin BSMT]]*Lookups!$B$16</f>
        <v>0</v>
      </c>
      <c r="BO2003" s="6">
        <f>(Grandview_Inventory[[#This Row],[att_gar]]+Grandview_Inventory[[#This Row],[bltin_gar]])*Lookups!$B$17</f>
        <v>0</v>
      </c>
      <c r="BP2003" s="6">
        <f>Grandview_Inventory[[#This Row],[Plumbing Fixtures]]*Lookups!$B$18</f>
        <v>10052.209000000001</v>
      </c>
      <c r="BQ2003" s="6">
        <f>Grandview_Inventory[[#This Row],[detatched_value]]*Lookups!$B$19</f>
        <v>0</v>
      </c>
      <c r="BR2003" s="6">
        <f>SUM(Grandview_Inventory[[#This Row],[Intercept]:[det_value]])*Grandview_Inventory[[#This Row],[res_pct]]</f>
        <v>135937.14372399999</v>
      </c>
      <c r="BS2003" s="6">
        <f>Grandview_Inventory[[#This Row],[land_value]]</f>
        <v>74210.381361899999</v>
      </c>
      <c r="BT2003" s="4">
        <f>_xlfn.IFNA(VLOOKUP(Grandview_Inventory[[#This Row],[quality]],Lookups!$A$26:$C$33,3,FALSE),1)</f>
        <v>0.9690360070159818</v>
      </c>
      <c r="BU2003" s="4">
        <f>_xlfn.IFNA(VLOOKUP(Grandview_Inventory[[#This Row],[condition]],Lookups!$A$37:$C$44,3,FALSE),1)</f>
        <v>0.97161819570155394</v>
      </c>
      <c r="BV2003" s="4">
        <f>IF(Grandview_Inventory[[#This Row],[bldg_style]]="",1,_xlfn.IFNA(VLOOKUP(Grandview_Inventory[[#This Row],[decade]],Lookups!$F$29:$H$43,3,FALSE),1))</f>
        <v>0.95244691841736806</v>
      </c>
      <c r="BW2003" s="4">
        <f>_xlfn.IFNA(VLOOKUP(Grandview_Inventory[[#This Row],[living_area_range]],Lookups!$F$47:$H$56,3,FALSE),1)</f>
        <v>0.94306777142782894</v>
      </c>
      <c r="BX2003" s="4">
        <f>AVERAGE(Grandview_Inventory[[#This Row],[qual_adj]:[size_adj]])</f>
        <v>0.9590422231406831</v>
      </c>
      <c r="BY2003" s="6">
        <f>IF(Grandview_Inventory[[#This Row],[pre_res]]&lt;0,0,Grandview_Inventory[[#This Row],[pre_res]]*Grandview_Inventory[[#This Row],[overall_adj]])</f>
        <v>130369.46052445951</v>
      </c>
      <c r="BZ2003" s="6">
        <f>(Grandview_Inventory[[#This Row],[sum_land]]-IF(Grandview_Inventory[[#This Row],[no_utilities]]=1,12000,0))/IF(Grandview_Inventory[[#This Row],[unbuildable]]=1,2,1)</f>
        <v>74210.381361899999</v>
      </c>
      <c r="CA2003">
        <f>IF(ROUND(Grandview_Inventory[[#This Row],[adj_land]]*Lookups!$M$28,-2)&lt;Grandview_Inventory[[#This Row],[min_land]],Grandview_Inventory[[#This Row],[min_land]],ROUND(Grandview_Inventory[[#This Row],[adj_land]]*Lookups!$M$28,-2))</f>
        <v>70500</v>
      </c>
      <c r="CB2003">
        <f>ROUND(Grandview_Inventory[[#This Row],[det_value]]*Lookups!$M$28,-2)</f>
        <v>0</v>
      </c>
      <c r="CC2003">
        <f>IF(ROUND(Grandview_Inventory[[#This Row],[adj_res]]*Lookups!$M$28,-2)&lt;Grandview_Inventory[[#This Row],[min_res]],Grandview_Inventory[[#This Row],[min_res]],ROUND(Grandview_Inventory[[#This Row],[adj_res]]*Lookups!$M$28,-2))</f>
        <v>123900</v>
      </c>
      <c r="CD2003">
        <f>Grandview_Inventory[[#This Row],[final_det]]+Grandview_Inventory[[#This Row],[final_res]]</f>
        <v>123900</v>
      </c>
      <c r="CE2003">
        <f>Grandview_Inventory[[#This Row],[final_land]]+Grandview_Inventory[[#This Row],[final_imp]]+Grandview_Inventory[[#This Row],[crop_value]]</f>
        <v>194400</v>
      </c>
      <c r="CG2003" t="str">
        <f t="shared" si="31"/>
        <v>update valuation set market_land =70500, market_bldg=123900, market_total =194400, market_mdno =401, market_date ='9/10/2023' where link_id = (select link_id from parcel where parcel_year = '2024' and parcel_id = '23092414410');</v>
      </c>
    </row>
    <row r="2004" spans="1:85" x14ac:dyDescent="0.25">
      <c r="A2004">
        <v>23092421003</v>
      </c>
      <c r="B2004">
        <v>0.5</v>
      </c>
      <c r="C2004">
        <v>21896</v>
      </c>
      <c r="D2004" t="s">
        <v>129</v>
      </c>
      <c r="E2004" t="s">
        <v>53</v>
      </c>
      <c r="F2004" t="s">
        <v>53</v>
      </c>
      <c r="G2004">
        <v>4</v>
      </c>
      <c r="H2004" t="s">
        <v>54</v>
      </c>
      <c r="I2004">
        <v>281400</v>
      </c>
      <c r="J2004">
        <v>43800</v>
      </c>
      <c r="K2004">
        <v>0.5</v>
      </c>
      <c r="L2004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2004">
        <v>0</v>
      </c>
      <c r="N2004">
        <v>0</v>
      </c>
      <c r="O2004">
        <v>0</v>
      </c>
      <c r="P2004">
        <v>13398.7528</v>
      </c>
      <c r="Q2004">
        <v>63903</v>
      </c>
      <c r="R2004">
        <f>(Grandview_Inventory[[#This Row],[ln_acres]]*Grandview_Inventory[[#This Row],[coeff]])+Grandview_Inventory[[#This Row],[const]]</f>
        <v>54615.69227366033</v>
      </c>
      <c r="S2004" t="s">
        <v>61</v>
      </c>
      <c r="T2004">
        <v>1</v>
      </c>
      <c r="U2004" t="s">
        <v>62</v>
      </c>
      <c r="V2004" t="s">
        <v>69</v>
      </c>
      <c r="W2004">
        <v>0</v>
      </c>
      <c r="X2004">
        <v>0</v>
      </c>
      <c r="Y2004">
        <v>50</v>
      </c>
      <c r="Z2004">
        <v>72</v>
      </c>
      <c r="AA2004">
        <v>80</v>
      </c>
      <c r="AB2004">
        <v>4000</v>
      </c>
      <c r="AC2004">
        <v>3521</v>
      </c>
      <c r="AD2004">
        <v>1885</v>
      </c>
      <c r="AE2004">
        <v>0</v>
      </c>
      <c r="AF2004">
        <v>0</v>
      </c>
      <c r="AG2004">
        <v>1636</v>
      </c>
      <c r="AH2004">
        <v>0</v>
      </c>
      <c r="AI2004">
        <v>600</v>
      </c>
      <c r="AJ2004">
        <v>0</v>
      </c>
      <c r="AK2004">
        <v>0</v>
      </c>
      <c r="AL2004">
        <v>0</v>
      </c>
      <c r="AM2004">
        <v>250</v>
      </c>
      <c r="AN2004">
        <v>108</v>
      </c>
      <c r="AO2004">
        <v>0</v>
      </c>
      <c r="AP2004">
        <v>8</v>
      </c>
      <c r="AQ2004">
        <v>0</v>
      </c>
      <c r="AR2004">
        <v>1</v>
      </c>
      <c r="AS2004" t="s">
        <v>76</v>
      </c>
      <c r="AT2004">
        <v>1</v>
      </c>
      <c r="AU2004" t="s">
        <v>63</v>
      </c>
      <c r="AV2004" t="s">
        <v>60</v>
      </c>
      <c r="AW2004">
        <v>1</v>
      </c>
      <c r="AX2004">
        <v>3</v>
      </c>
      <c r="AY2004">
        <v>0</v>
      </c>
      <c r="AZ2004">
        <v>0</v>
      </c>
      <c r="BA2004">
        <v>100</v>
      </c>
      <c r="BB2004">
        <v>100</v>
      </c>
      <c r="BC2004">
        <v>100</v>
      </c>
      <c r="BD2004">
        <v>100</v>
      </c>
      <c r="BE2004">
        <v>1</v>
      </c>
      <c r="BF2004">
        <v>15000</v>
      </c>
      <c r="BG2004">
        <v>1000</v>
      </c>
      <c r="BH2004" s="6">
        <f>Grandview_Inventory[[#This Row],[land_extract]]*Lookups!$B$3</f>
        <v>63425.055975032599</v>
      </c>
      <c r="BI2004" s="6">
        <f>IF(Grandview_Inventory[[#This Row],[bldg_style]]="",0,Lookups!$B$2)</f>
        <v>155833.95000000001</v>
      </c>
      <c r="BJ2004" s="6">
        <f>_xlfn.IFNA(VLOOKUP(Grandview_Inventory[[#This Row],[quality]],Lookups!$H$2:$J$14,3,FALSE),0)</f>
        <v>9808</v>
      </c>
      <c r="BK2004" s="6">
        <f>_xlfn.IFNA(VLOOKUP(Grandview_Inventory[[#This Row],[condition]],Lookups!$H$17:$J$24,3,FALSE),0)</f>
        <v>-4503</v>
      </c>
      <c r="BL2004" s="6">
        <f>Grandview_Inventory[[#This Row],[Eff_Age]]*Lookups!$B$14</f>
        <v>-11958.33</v>
      </c>
      <c r="BM2004" s="6">
        <f>Grandview_Inventory[[#This Row],[living_area]]*Lookups!$B$15</f>
        <v>219642.98341300001</v>
      </c>
      <c r="BN2004" s="6">
        <f>Grandview_Inventory[[#This Row],[Fin BSMT]]*Lookups!$B$16</f>
        <v>-44334.356640000005</v>
      </c>
      <c r="BO2004" s="6">
        <f>(Grandview_Inventory[[#This Row],[att_gar]]+Grandview_Inventory[[#This Row],[bltin_gar]])*Lookups!$B$17</f>
        <v>52512.262199999997</v>
      </c>
      <c r="BP2004" s="6">
        <f>Grandview_Inventory[[#This Row],[Plumbing Fixtures]]*Lookups!$B$18</f>
        <v>16083.5344</v>
      </c>
      <c r="BQ2004" s="6">
        <f>Grandview_Inventory[[#This Row],[detatched_value]]*Lookups!$B$19</f>
        <v>0</v>
      </c>
      <c r="BR2004" s="6">
        <f>SUM(Grandview_Inventory[[#This Row],[Intercept]:[det_value]])*Grandview_Inventory[[#This Row],[res_pct]]</f>
        <v>393085.04337299999</v>
      </c>
      <c r="BS2004" s="6">
        <f>Grandview_Inventory[[#This Row],[land_value]]</f>
        <v>63425.055975032599</v>
      </c>
      <c r="BT2004" s="4">
        <f>_xlfn.IFNA(VLOOKUP(Grandview_Inventory[[#This Row],[quality]],Lookups!$A$26:$C$33,3,FALSE),1)</f>
        <v>0.94295468617355149</v>
      </c>
      <c r="BU2004" s="4">
        <f>_xlfn.IFNA(VLOOKUP(Grandview_Inventory[[#This Row],[condition]],Lookups!$A$37:$C$44,3,FALSE),1)</f>
        <v>0.96469275950863709</v>
      </c>
      <c r="BV2004" s="4">
        <f>IF(Grandview_Inventory[[#This Row],[bldg_style]]="",1,_xlfn.IFNA(VLOOKUP(Grandview_Inventory[[#This Row],[decade]],Lookups!$F$29:$H$43,3,FALSE),1))</f>
        <v>0.98763256963907298</v>
      </c>
      <c r="BW2004" s="4">
        <f>_xlfn.IFNA(VLOOKUP(Grandview_Inventory[[#This Row],[living_area_range]],Lookups!$F$47:$H$56,3,FALSE),1)</f>
        <v>0.90089875105039252</v>
      </c>
      <c r="BX2004" s="4">
        <f>AVERAGE(Grandview_Inventory[[#This Row],[qual_adj]:[size_adj]])</f>
        <v>0.9490446915929136</v>
      </c>
      <c r="BY2004" s="6">
        <f>IF(Grandview_Inventory[[#This Row],[pre_res]]&lt;0,0,Grandview_Inventory[[#This Row],[pre_res]]*Grandview_Inventory[[#This Row],[overall_adj]])</f>
        <v>373055.27375771583</v>
      </c>
      <c r="BZ2004" s="6">
        <f>(Grandview_Inventory[[#This Row],[sum_land]]-IF(Grandview_Inventory[[#This Row],[no_utilities]]=1,12000,0))/IF(Grandview_Inventory[[#This Row],[unbuildable]]=1,2,1)</f>
        <v>63425.055975032599</v>
      </c>
      <c r="CA2004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2004">
        <f>ROUND(Grandview_Inventory[[#This Row],[det_value]]*Lookups!$M$28,-2)</f>
        <v>0</v>
      </c>
      <c r="CC2004">
        <f>IF(ROUND(Grandview_Inventory[[#This Row],[adj_res]]*Lookups!$M$28,-2)&lt;Grandview_Inventory[[#This Row],[min_res]],Grandview_Inventory[[#This Row],[min_res]],ROUND(Grandview_Inventory[[#This Row],[adj_res]]*Lookups!$M$28,-2))</f>
        <v>354400</v>
      </c>
      <c r="CD2004">
        <f>Grandview_Inventory[[#This Row],[final_det]]+Grandview_Inventory[[#This Row],[final_res]]</f>
        <v>354400</v>
      </c>
      <c r="CE2004">
        <f>Grandview_Inventory[[#This Row],[final_land]]+Grandview_Inventory[[#This Row],[final_imp]]+Grandview_Inventory[[#This Row],[crop_value]]</f>
        <v>414700</v>
      </c>
      <c r="CG2004" t="str">
        <f t="shared" si="31"/>
        <v>update valuation set market_land =60300, market_bldg=354400, market_total =414700, market_mdno =401, market_date ='9/10/2023' where link_id = (select link_id from parcel where parcel_year = '2024' and parcel_id = '23092421003');</v>
      </c>
    </row>
    <row r="2005" spans="1:85" x14ac:dyDescent="0.25">
      <c r="A2005">
        <v>23092421004</v>
      </c>
      <c r="B2005">
        <v>0.7</v>
      </c>
      <c r="C2005">
        <v>30687</v>
      </c>
      <c r="D2005" t="s">
        <v>129</v>
      </c>
      <c r="E2005" t="s">
        <v>53</v>
      </c>
      <c r="F2005" t="s">
        <v>53</v>
      </c>
      <c r="G2005">
        <v>4</v>
      </c>
      <c r="H2005" t="s">
        <v>54</v>
      </c>
      <c r="I2005">
        <v>316100</v>
      </c>
      <c r="J2005">
        <v>47000</v>
      </c>
      <c r="K2005">
        <v>0.7</v>
      </c>
      <c r="L2005">
        <f>IF(Grandview_Inventory[[#This Row],[parcel_acres]]-Grandview_Inventory[[#This Row],[non_valued_acres]] =0,0,LN(Grandview_Inventory[[#This Row],[parcel_acres]]-Grandview_Inventory[[#This Row],[non_valued_acres]]))</f>
        <v>-0.35667494393873245</v>
      </c>
      <c r="M2005">
        <v>0</v>
      </c>
      <c r="N2005">
        <v>0</v>
      </c>
      <c r="O2005">
        <v>0</v>
      </c>
      <c r="P2005">
        <v>13398.7528</v>
      </c>
      <c r="Q2005">
        <v>63903</v>
      </c>
      <c r="R2005">
        <f>(Grandview_Inventory[[#This Row],[ln_acres]]*Grandview_Inventory[[#This Row],[coeff]])+Grandview_Inventory[[#This Row],[const]]</f>
        <v>59124.000596211066</v>
      </c>
      <c r="S2005" t="s">
        <v>61</v>
      </c>
      <c r="T2005">
        <v>1</v>
      </c>
      <c r="U2005" t="s">
        <v>62</v>
      </c>
      <c r="V2005" t="s">
        <v>69</v>
      </c>
      <c r="W2005">
        <v>0</v>
      </c>
      <c r="X2005">
        <v>0</v>
      </c>
      <c r="Y2005">
        <v>49</v>
      </c>
      <c r="Z2005">
        <v>65</v>
      </c>
      <c r="AA2005">
        <v>70</v>
      </c>
      <c r="AB2005">
        <v>3000</v>
      </c>
      <c r="AC2005">
        <v>2520</v>
      </c>
      <c r="AD2005">
        <v>1920</v>
      </c>
      <c r="AE2005">
        <v>0</v>
      </c>
      <c r="AF2005">
        <v>0</v>
      </c>
      <c r="AG2005">
        <v>600</v>
      </c>
      <c r="AH2005">
        <v>0</v>
      </c>
      <c r="AI2005">
        <v>716</v>
      </c>
      <c r="AJ2005">
        <v>0</v>
      </c>
      <c r="AK2005">
        <v>0</v>
      </c>
      <c r="AL2005">
        <v>0</v>
      </c>
      <c r="AM2005">
        <v>264</v>
      </c>
      <c r="AN2005">
        <v>30</v>
      </c>
      <c r="AO2005">
        <v>216</v>
      </c>
      <c r="AP2005">
        <v>11</v>
      </c>
      <c r="AQ2005">
        <v>0</v>
      </c>
      <c r="AR2005">
        <v>3</v>
      </c>
      <c r="AS2005" t="s">
        <v>76</v>
      </c>
      <c r="AT2005">
        <v>1</v>
      </c>
      <c r="AU2005" t="s">
        <v>59</v>
      </c>
      <c r="AV2005" t="s">
        <v>60</v>
      </c>
      <c r="AW2005">
        <v>1</v>
      </c>
      <c r="AX2005">
        <v>3</v>
      </c>
      <c r="AY2005">
        <v>0</v>
      </c>
      <c r="AZ2005">
        <v>20800</v>
      </c>
      <c r="BA2005">
        <v>100</v>
      </c>
      <c r="BB2005">
        <v>100</v>
      </c>
      <c r="BC2005">
        <v>100</v>
      </c>
      <c r="BD2005">
        <v>100</v>
      </c>
      <c r="BE2005">
        <v>1</v>
      </c>
      <c r="BF2005">
        <v>15000</v>
      </c>
      <c r="BG2005">
        <v>1000</v>
      </c>
      <c r="BH2005" s="6">
        <f>Grandview_Inventory[[#This Row],[land_extract]]*Lookups!$B$3</f>
        <v>68660.542257578301</v>
      </c>
      <c r="BI2005" s="6">
        <f>IF(Grandview_Inventory[[#This Row],[bldg_style]]="",0,Lookups!$B$2)</f>
        <v>155833.95000000001</v>
      </c>
      <c r="BJ2005" s="6">
        <f>_xlfn.IFNA(VLOOKUP(Grandview_Inventory[[#This Row],[quality]],Lookups!$H$2:$J$14,3,FALSE),0)</f>
        <v>9808</v>
      </c>
      <c r="BK2005" s="6">
        <f>_xlfn.IFNA(VLOOKUP(Grandview_Inventory[[#This Row],[condition]],Lookups!$H$17:$J$24,3,FALSE),0)</f>
        <v>-4503</v>
      </c>
      <c r="BL2005" s="6">
        <f>Grandview_Inventory[[#This Row],[Eff_Age]]*Lookups!$B$14</f>
        <v>-11719.163399999999</v>
      </c>
      <c r="BM2005" s="6">
        <f>Grandview_Inventory[[#This Row],[living_area]]*Lookups!$B$15</f>
        <v>157199.74956</v>
      </c>
      <c r="BN2005" s="6">
        <f>Grandview_Inventory[[#This Row],[Fin BSMT]]*Lookups!$B$16</f>
        <v>-16259.544000000002</v>
      </c>
      <c r="BO2005" s="6">
        <f>(Grandview_Inventory[[#This Row],[att_gar]]+Grandview_Inventory[[#This Row],[bltin_gar]])*Lookups!$B$17</f>
        <v>62664.632892000001</v>
      </c>
      <c r="BP2005" s="6">
        <f>Grandview_Inventory[[#This Row],[Plumbing Fixtures]]*Lookups!$B$18</f>
        <v>22114.859800000002</v>
      </c>
      <c r="BQ2005" s="6">
        <f>Grandview_Inventory[[#This Row],[detatched_value]]*Lookups!$B$19</f>
        <v>17613.54608</v>
      </c>
      <c r="BR2005" s="6">
        <f>SUM(Grandview_Inventory[[#This Row],[Intercept]:[det_value]])*Grandview_Inventory[[#This Row],[res_pct]]</f>
        <v>392753.03093200002</v>
      </c>
      <c r="BS2005" s="6">
        <f>Grandview_Inventory[[#This Row],[land_value]]</f>
        <v>68660.542257578301</v>
      </c>
      <c r="BT2005" s="4">
        <f>_xlfn.IFNA(VLOOKUP(Grandview_Inventory[[#This Row],[quality]],Lookups!$A$26:$C$33,3,FALSE),1)</f>
        <v>0.94295468617355149</v>
      </c>
      <c r="BU2005" s="4">
        <f>_xlfn.IFNA(VLOOKUP(Grandview_Inventory[[#This Row],[condition]],Lookups!$A$37:$C$44,3,FALSE),1)</f>
        <v>0.96469275950863709</v>
      </c>
      <c r="BV2005" s="4">
        <f>IF(Grandview_Inventory[[#This Row],[bldg_style]]="",1,_xlfn.IFNA(VLOOKUP(Grandview_Inventory[[#This Row],[decade]],Lookups!$F$29:$H$43,3,FALSE),1))</f>
        <v>0.99472141305414818</v>
      </c>
      <c r="BW2005" s="4">
        <f>_xlfn.IFNA(VLOOKUP(Grandview_Inventory[[#This Row],[living_area_range]],Lookups!$F$47:$H$56,3,FALSE),1)</f>
        <v>0.94224801443562123</v>
      </c>
      <c r="BX2005" s="4">
        <f>AVERAGE(Grandview_Inventory[[#This Row],[qual_adj]:[size_adj]])</f>
        <v>0.96115421829298953</v>
      </c>
      <c r="BY2005" s="6">
        <f>IF(Grandview_Inventory[[#This Row],[pre_res]]&lt;0,0,Grandview_Inventory[[#This Row],[pre_res]]*Grandview_Inventory[[#This Row],[overall_adj]])</f>
        <v>377496.23242764879</v>
      </c>
      <c r="BZ2005" s="6">
        <f>(Grandview_Inventory[[#This Row],[sum_land]]-IF(Grandview_Inventory[[#This Row],[no_utilities]]=1,12000,0))/IF(Grandview_Inventory[[#This Row],[unbuildable]]=1,2,1)</f>
        <v>68660.542257578301</v>
      </c>
      <c r="CA2005">
        <f>IF(ROUND(Grandview_Inventory[[#This Row],[adj_land]]*Lookups!$M$28,-2)&lt;Grandview_Inventory[[#This Row],[min_land]],Grandview_Inventory[[#This Row],[min_land]],ROUND(Grandview_Inventory[[#This Row],[adj_land]]*Lookups!$M$28,-2))</f>
        <v>65200</v>
      </c>
      <c r="CB2005">
        <f>ROUND(Grandview_Inventory[[#This Row],[det_value]]*Lookups!$M$28,-2)</f>
        <v>16700</v>
      </c>
      <c r="CC2005">
        <f>IF(ROUND(Grandview_Inventory[[#This Row],[adj_res]]*Lookups!$M$28,-2)&lt;Grandview_Inventory[[#This Row],[min_res]],Grandview_Inventory[[#This Row],[min_res]],ROUND(Grandview_Inventory[[#This Row],[adj_res]]*Lookups!$M$28,-2))</f>
        <v>358600</v>
      </c>
      <c r="CD2005">
        <f>Grandview_Inventory[[#This Row],[final_det]]+Grandview_Inventory[[#This Row],[final_res]]</f>
        <v>375300</v>
      </c>
      <c r="CE2005">
        <f>Grandview_Inventory[[#This Row],[final_land]]+Grandview_Inventory[[#This Row],[final_imp]]+Grandview_Inventory[[#This Row],[crop_value]]</f>
        <v>440500</v>
      </c>
      <c r="CG2005" t="str">
        <f t="shared" si="31"/>
        <v>update valuation set market_land =65200, market_bldg=375300, market_total =440500, market_mdno =401, market_date ='9/10/2023' where link_id = (select link_id from parcel where parcel_year = '2024' and parcel_id = '23092421004');</v>
      </c>
    </row>
    <row r="2006" spans="1:85" x14ac:dyDescent="0.25">
      <c r="A2006">
        <v>23092421005</v>
      </c>
      <c r="B2006">
        <v>0.99</v>
      </c>
      <c r="C2006">
        <v>43319</v>
      </c>
      <c r="D2006" t="s">
        <v>129</v>
      </c>
      <c r="E2006" t="s">
        <v>53</v>
      </c>
      <c r="F2006" t="s">
        <v>53</v>
      </c>
      <c r="G2006">
        <v>4</v>
      </c>
      <c r="H2006" t="s">
        <v>54</v>
      </c>
      <c r="I2006">
        <v>281400</v>
      </c>
      <c r="J2006">
        <v>50700</v>
      </c>
      <c r="K2006">
        <v>0.99</v>
      </c>
      <c r="L2006">
        <f>IF(Grandview_Inventory[[#This Row],[parcel_acres]]-Grandview_Inventory[[#This Row],[non_valued_acres]] =0,0,LN(Grandview_Inventory[[#This Row],[parcel_acres]]-Grandview_Inventory[[#This Row],[non_valued_acres]]))</f>
        <v>-1.0050335853501451E-2</v>
      </c>
      <c r="M2006">
        <v>0</v>
      </c>
      <c r="N2006">
        <v>0</v>
      </c>
      <c r="O2006">
        <v>0</v>
      </c>
      <c r="P2006">
        <v>13398.7528</v>
      </c>
      <c r="Q2006">
        <v>63903</v>
      </c>
      <c r="R2006">
        <f>(Grandview_Inventory[[#This Row],[ln_acres]]*Grandview_Inventory[[#This Row],[coeff]])+Grandview_Inventory[[#This Row],[const]]</f>
        <v>63768.338034341956</v>
      </c>
      <c r="S2006" t="s">
        <v>61</v>
      </c>
      <c r="T2006">
        <v>1</v>
      </c>
      <c r="U2006" t="s">
        <v>65</v>
      </c>
      <c r="V2006" t="s">
        <v>67</v>
      </c>
      <c r="W2006">
        <v>0</v>
      </c>
      <c r="X2006">
        <v>0</v>
      </c>
      <c r="Y2006">
        <v>48</v>
      </c>
      <c r="Z2006">
        <v>63</v>
      </c>
      <c r="AA2006">
        <v>70</v>
      </c>
      <c r="AB2006">
        <v>2500</v>
      </c>
      <c r="AC2006">
        <v>2034</v>
      </c>
      <c r="AD2006">
        <v>2034</v>
      </c>
      <c r="AE2006">
        <v>0</v>
      </c>
      <c r="AF2006">
        <v>0</v>
      </c>
      <c r="AG2006">
        <v>0</v>
      </c>
      <c r="AH2006">
        <v>0</v>
      </c>
      <c r="AI2006">
        <v>336</v>
      </c>
      <c r="AJ2006">
        <v>0</v>
      </c>
      <c r="AK2006">
        <v>0</v>
      </c>
      <c r="AL2006">
        <v>0</v>
      </c>
      <c r="AM2006">
        <v>308</v>
      </c>
      <c r="AN2006">
        <v>30</v>
      </c>
      <c r="AO2006">
        <v>308</v>
      </c>
      <c r="AP2006">
        <v>12</v>
      </c>
      <c r="AQ2006">
        <v>0</v>
      </c>
      <c r="AR2006">
        <v>1</v>
      </c>
      <c r="AS2006" t="s">
        <v>58</v>
      </c>
      <c r="AT2006">
        <v>1</v>
      </c>
      <c r="AU2006" t="s">
        <v>59</v>
      </c>
      <c r="AV2006" t="s">
        <v>60</v>
      </c>
      <c r="AW2006">
        <v>1</v>
      </c>
      <c r="AX2006">
        <v>3</v>
      </c>
      <c r="AY2006">
        <v>0</v>
      </c>
      <c r="AZ2006">
        <v>13100</v>
      </c>
      <c r="BA2006">
        <v>100</v>
      </c>
      <c r="BB2006">
        <v>100</v>
      </c>
      <c r="BC2006">
        <v>100</v>
      </c>
      <c r="BD2006">
        <v>100</v>
      </c>
      <c r="BE2006">
        <v>1</v>
      </c>
      <c r="BF2006">
        <v>15000</v>
      </c>
      <c r="BG2006">
        <v>1000</v>
      </c>
      <c r="BH2006" s="6">
        <f>Grandview_Inventory[[#This Row],[land_extract]]*Lookups!$B$3</f>
        <v>74053.998784768613</v>
      </c>
      <c r="BI2006" s="6">
        <f>IF(Grandview_Inventory[[#This Row],[bldg_style]]="",0,Lookups!$B$2)</f>
        <v>155833.95000000001</v>
      </c>
      <c r="BJ2006" s="6">
        <f>_xlfn.IFNA(VLOOKUP(Grandview_Inventory[[#This Row],[quality]],Lookups!$H$2:$J$14,3,FALSE),0)</f>
        <v>2251</v>
      </c>
      <c r="BK2006" s="6">
        <f>_xlfn.IFNA(VLOOKUP(Grandview_Inventory[[#This Row],[condition]],Lookups!$H$17:$J$24,3,FALSE),0)</f>
        <v>22342</v>
      </c>
      <c r="BL2006" s="6">
        <f>Grandview_Inventory[[#This Row],[Eff_Age]]*Lookups!$B$14</f>
        <v>-11479.996799999999</v>
      </c>
      <c r="BM2006" s="6">
        <f>Grandview_Inventory[[#This Row],[living_area]]*Lookups!$B$15</f>
        <v>126882.655002</v>
      </c>
      <c r="BN2006" s="6">
        <f>Grandview_Inventory[[#This Row],[Fin BSMT]]*Lookups!$B$16</f>
        <v>0</v>
      </c>
      <c r="BO2006" s="6">
        <f>(Grandview_Inventory[[#This Row],[att_gar]]+Grandview_Inventory[[#This Row],[bltin_gar]])*Lookups!$B$17</f>
        <v>29406.866832</v>
      </c>
      <c r="BP2006" s="6">
        <f>Grandview_Inventory[[#This Row],[Plumbing Fixtures]]*Lookups!$B$18</f>
        <v>24125.301599999999</v>
      </c>
      <c r="BQ2006" s="6">
        <f>Grandview_Inventory[[#This Row],[detatched_value]]*Lookups!$B$19</f>
        <v>11093.14681</v>
      </c>
      <c r="BR2006" s="6">
        <f>SUM(Grandview_Inventory[[#This Row],[Intercept]:[det_value]])*Grandview_Inventory[[#This Row],[res_pct]]</f>
        <v>360454.92344400001</v>
      </c>
      <c r="BS2006" s="6">
        <f>Grandview_Inventory[[#This Row],[land_value]]</f>
        <v>74053.998784768613</v>
      </c>
      <c r="BT2006" s="4">
        <f>_xlfn.IFNA(VLOOKUP(Grandview_Inventory[[#This Row],[quality]],Lookups!$A$26:$C$33,3,FALSE),1)</f>
        <v>0.98763855981004833</v>
      </c>
      <c r="BU2006" s="4">
        <f>_xlfn.IFNA(VLOOKUP(Grandview_Inventory[[#This Row],[condition]],Lookups!$A$37:$C$44,3,FALSE),1)</f>
        <v>0.97383723671140243</v>
      </c>
      <c r="BV2006" s="4">
        <f>IF(Grandview_Inventory[[#This Row],[bldg_style]]="",1,_xlfn.IFNA(VLOOKUP(Grandview_Inventory[[#This Row],[decade]],Lookups!$F$29:$H$43,3,FALSE),1))</f>
        <v>0.99472141305414818</v>
      </c>
      <c r="BW2006" s="4">
        <f>_xlfn.IFNA(VLOOKUP(Grandview_Inventory[[#This Row],[living_area_range]],Lookups!$F$47:$H$56,3,FALSE),1)</f>
        <v>0.95799442568048754</v>
      </c>
      <c r="BX2006" s="4">
        <f>AVERAGE(Grandview_Inventory[[#This Row],[qual_adj]:[size_adj]])</f>
        <v>0.97854790881402165</v>
      </c>
      <c r="BY2006" s="6">
        <f>IF(Grandview_Inventory[[#This Row],[pre_res]]&lt;0,0,Grandview_Inventory[[#This Row],[pre_res]]*Grandview_Inventory[[#This Row],[overall_adj]])</f>
        <v>352722.41155784449</v>
      </c>
      <c r="BZ2006" s="6">
        <f>(Grandview_Inventory[[#This Row],[sum_land]]-IF(Grandview_Inventory[[#This Row],[no_utilities]]=1,12000,0))/IF(Grandview_Inventory[[#This Row],[unbuildable]]=1,2,1)</f>
        <v>74053.998784768613</v>
      </c>
      <c r="CA2006">
        <f>IF(ROUND(Grandview_Inventory[[#This Row],[adj_land]]*Lookups!$M$28,-2)&lt;Grandview_Inventory[[#This Row],[min_land]],Grandview_Inventory[[#This Row],[min_land]],ROUND(Grandview_Inventory[[#This Row],[adj_land]]*Lookups!$M$28,-2))</f>
        <v>70400</v>
      </c>
      <c r="CB2006">
        <f>ROUND(Grandview_Inventory[[#This Row],[det_value]]*Lookups!$M$28,-2)</f>
        <v>10500</v>
      </c>
      <c r="CC2006">
        <f>IF(ROUND(Grandview_Inventory[[#This Row],[adj_res]]*Lookups!$M$28,-2)&lt;Grandview_Inventory[[#This Row],[min_res]],Grandview_Inventory[[#This Row],[min_res]],ROUND(Grandview_Inventory[[#This Row],[adj_res]]*Lookups!$M$28,-2))</f>
        <v>335100</v>
      </c>
      <c r="CD2006">
        <f>Grandview_Inventory[[#This Row],[final_det]]+Grandview_Inventory[[#This Row],[final_res]]</f>
        <v>345600</v>
      </c>
      <c r="CE2006">
        <f>Grandview_Inventory[[#This Row],[final_land]]+Grandview_Inventory[[#This Row],[final_imp]]+Grandview_Inventory[[#This Row],[crop_value]]</f>
        <v>416000</v>
      </c>
      <c r="CG2006" t="str">
        <f t="shared" si="31"/>
        <v>update valuation set market_land =70400, market_bldg=345600, market_total =416000, market_mdno =401, market_date ='9/10/2023' where link_id = (select link_id from parcel where parcel_year = '2024' and parcel_id = '23092421005');</v>
      </c>
    </row>
    <row r="2007" spans="1:85" x14ac:dyDescent="0.25">
      <c r="A2007">
        <v>23092421010</v>
      </c>
      <c r="B2007">
        <v>0.19</v>
      </c>
      <c r="C2007">
        <v>8276</v>
      </c>
      <c r="D2007" t="s">
        <v>129</v>
      </c>
      <c r="E2007" t="s">
        <v>53</v>
      </c>
      <c r="F2007" t="s">
        <v>53</v>
      </c>
      <c r="G2007">
        <v>4</v>
      </c>
      <c r="H2007" t="s">
        <v>54</v>
      </c>
      <c r="I2007">
        <v>179800</v>
      </c>
      <c r="J2007">
        <v>40400</v>
      </c>
      <c r="K2007">
        <v>0.19</v>
      </c>
      <c r="L200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007">
        <v>0</v>
      </c>
      <c r="N2007">
        <v>0</v>
      </c>
      <c r="O2007">
        <v>0</v>
      </c>
      <c r="P2007">
        <v>13398.7528</v>
      </c>
      <c r="Q2007">
        <v>63903</v>
      </c>
      <c r="R2007">
        <f>(Grandview_Inventory[[#This Row],[ln_acres]]*Grandview_Inventory[[#This Row],[coeff]])+Grandview_Inventory[[#This Row],[const]]</f>
        <v>41651.273092551026</v>
      </c>
      <c r="S2007" t="s">
        <v>61</v>
      </c>
      <c r="T2007">
        <v>1</v>
      </c>
      <c r="U2007" t="s">
        <v>70</v>
      </c>
      <c r="V2007" t="s">
        <v>69</v>
      </c>
      <c r="W2007">
        <v>0</v>
      </c>
      <c r="X2007">
        <v>0</v>
      </c>
      <c r="Y2007">
        <v>49</v>
      </c>
      <c r="Z2007">
        <v>68</v>
      </c>
      <c r="AA2007">
        <v>70</v>
      </c>
      <c r="AB2007">
        <v>1500</v>
      </c>
      <c r="AC2007">
        <v>1300</v>
      </c>
      <c r="AD2007">
        <v>1300</v>
      </c>
      <c r="AE2007">
        <v>0</v>
      </c>
      <c r="AF2007">
        <v>0</v>
      </c>
      <c r="AG2007">
        <v>0</v>
      </c>
      <c r="AH2007">
        <v>0</v>
      </c>
      <c r="AI2007">
        <v>396</v>
      </c>
      <c r="AJ2007">
        <v>0</v>
      </c>
      <c r="AK2007">
        <v>0</v>
      </c>
      <c r="AL2007">
        <v>0</v>
      </c>
      <c r="AM2007">
        <v>520</v>
      </c>
      <c r="AN2007">
        <v>0</v>
      </c>
      <c r="AO2007">
        <v>712</v>
      </c>
      <c r="AP2007">
        <v>5</v>
      </c>
      <c r="AQ2007">
        <v>0</v>
      </c>
      <c r="AR2007">
        <v>1</v>
      </c>
      <c r="AS2007" t="s">
        <v>58</v>
      </c>
      <c r="AT2007">
        <v>1</v>
      </c>
      <c r="AU2007" t="s">
        <v>75</v>
      </c>
      <c r="AV2007" t="s">
        <v>60</v>
      </c>
      <c r="AW2007">
        <v>0</v>
      </c>
      <c r="AX2007">
        <v>3</v>
      </c>
      <c r="AY2007">
        <v>0</v>
      </c>
      <c r="AZ2007">
        <v>0</v>
      </c>
      <c r="BA2007">
        <v>100</v>
      </c>
      <c r="BB2007">
        <v>100</v>
      </c>
      <c r="BC2007">
        <v>100</v>
      </c>
      <c r="BD2007">
        <v>100</v>
      </c>
      <c r="BE2007">
        <v>1</v>
      </c>
      <c r="BF2007">
        <v>15000</v>
      </c>
      <c r="BG2007">
        <v>1000</v>
      </c>
      <c r="BH2007" s="6">
        <f>Grandview_Inventory[[#This Row],[land_extract]]*Lookups!$B$3</f>
        <v>48369.510983942157</v>
      </c>
      <c r="BI2007" s="6">
        <f>IF(Grandview_Inventory[[#This Row],[bldg_style]]="",0,Lookups!$B$2)</f>
        <v>155833.95000000001</v>
      </c>
      <c r="BJ2007" s="6">
        <f>_xlfn.IFNA(VLOOKUP(Grandview_Inventory[[#This Row],[quality]],Lookups!$H$2:$J$14,3,FALSE),0)</f>
        <v>10733</v>
      </c>
      <c r="BK2007" s="6">
        <f>_xlfn.IFNA(VLOOKUP(Grandview_Inventory[[#This Row],[condition]],Lookups!$H$17:$J$24,3,FALSE),0)</f>
        <v>-4503</v>
      </c>
      <c r="BL2007" s="6">
        <f>Grandview_Inventory[[#This Row],[Eff_Age]]*Lookups!$B$14</f>
        <v>-11719.163399999999</v>
      </c>
      <c r="BM2007" s="6">
        <f>Grandview_Inventory[[#This Row],[living_area]]*Lookups!$B$15</f>
        <v>81095.108900000007</v>
      </c>
      <c r="BN2007" s="6">
        <f>Grandview_Inventory[[#This Row],[Fin BSMT]]*Lookups!$B$16</f>
        <v>0</v>
      </c>
      <c r="BO2007" s="6">
        <f>(Grandview_Inventory[[#This Row],[att_gar]]+Grandview_Inventory[[#This Row],[bltin_gar]])*Lookups!$B$17</f>
        <v>34658.093052000004</v>
      </c>
      <c r="BP2007" s="6">
        <f>Grandview_Inventory[[#This Row],[Plumbing Fixtures]]*Lookups!$B$18</f>
        <v>10052.209000000001</v>
      </c>
      <c r="BQ2007" s="6">
        <f>Grandview_Inventory[[#This Row],[detatched_value]]*Lookups!$B$19</f>
        <v>0</v>
      </c>
      <c r="BR2007" s="6">
        <f>SUM(Grandview_Inventory[[#This Row],[Intercept]:[det_value]])*Grandview_Inventory[[#This Row],[res_pct]]</f>
        <v>276150.197552</v>
      </c>
      <c r="BS2007" s="6">
        <f>Grandview_Inventory[[#This Row],[land_value]]</f>
        <v>48369.510983942157</v>
      </c>
      <c r="BT2007" s="4">
        <f>_xlfn.IFNA(VLOOKUP(Grandview_Inventory[[#This Row],[quality]],Lookups!$A$26:$C$33,3,FALSE),1)</f>
        <v>0.98079741117310582</v>
      </c>
      <c r="BU2007" s="4">
        <f>_xlfn.IFNA(VLOOKUP(Grandview_Inventory[[#This Row],[condition]],Lookups!$A$37:$C$44,3,FALSE),1)</f>
        <v>0.96469275950863709</v>
      </c>
      <c r="BV2007" s="4">
        <f>IF(Grandview_Inventory[[#This Row],[bldg_style]]="",1,_xlfn.IFNA(VLOOKUP(Grandview_Inventory[[#This Row],[decade]],Lookups!$F$29:$H$43,3,FALSE),1))</f>
        <v>0.99472141305414818</v>
      </c>
      <c r="BW2007" s="4">
        <f>_xlfn.IFNA(VLOOKUP(Grandview_Inventory[[#This Row],[living_area_range]],Lookups!$F$47:$H$56,3,FALSE),1)</f>
        <v>0.96135087979789358</v>
      </c>
      <c r="BX2007" s="4">
        <f>AVERAGE(Grandview_Inventory[[#This Row],[qual_adj]:[size_adj]])</f>
        <v>0.97539061588344622</v>
      </c>
      <c r="BY2007" s="6">
        <f>IF(Grandview_Inventory[[#This Row],[pre_res]]&lt;0,0,Grandview_Inventory[[#This Row],[pre_res]]*Grandview_Inventory[[#This Row],[overall_adj]])</f>
        <v>269354.3112665806</v>
      </c>
      <c r="BZ2007" s="6">
        <f>(Grandview_Inventory[[#This Row],[sum_land]]-IF(Grandview_Inventory[[#This Row],[no_utilities]]=1,12000,0))/IF(Grandview_Inventory[[#This Row],[unbuildable]]=1,2,1)</f>
        <v>48369.510983942157</v>
      </c>
      <c r="CA200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007">
        <f>ROUND(Grandview_Inventory[[#This Row],[det_value]]*Lookups!$M$28,-2)</f>
        <v>0</v>
      </c>
      <c r="CC2007">
        <f>IF(ROUND(Grandview_Inventory[[#This Row],[adj_res]]*Lookups!$M$28,-2)&lt;Grandview_Inventory[[#This Row],[min_res]],Grandview_Inventory[[#This Row],[min_res]],ROUND(Grandview_Inventory[[#This Row],[adj_res]]*Lookups!$M$28,-2))</f>
        <v>255900</v>
      </c>
      <c r="CD2007">
        <f>Grandview_Inventory[[#This Row],[final_det]]+Grandview_Inventory[[#This Row],[final_res]]</f>
        <v>255900</v>
      </c>
      <c r="CE2007">
        <f>Grandview_Inventory[[#This Row],[final_land]]+Grandview_Inventory[[#This Row],[final_imp]]+Grandview_Inventory[[#This Row],[crop_value]]</f>
        <v>301900</v>
      </c>
      <c r="CG2007" t="str">
        <f t="shared" si="31"/>
        <v>update valuation set market_land =46000, market_bldg=255900, market_total =301900, market_mdno =401, market_date ='9/10/2023' where link_id = (select link_id from parcel where parcel_year = '2024' and parcel_id = '23092421010');</v>
      </c>
    </row>
    <row r="2008" spans="1:85" x14ac:dyDescent="0.25">
      <c r="A2008">
        <v>23092421021</v>
      </c>
      <c r="B2008">
        <v>9.6199999999999992</v>
      </c>
      <c r="C2008">
        <v>418854</v>
      </c>
      <c r="D2008" t="s">
        <v>129</v>
      </c>
      <c r="E2008" t="s">
        <v>53</v>
      </c>
      <c r="F2008" t="s">
        <v>53</v>
      </c>
      <c r="G2008">
        <v>4</v>
      </c>
      <c r="H2008" t="s">
        <v>54</v>
      </c>
      <c r="I2008">
        <v>220300</v>
      </c>
      <c r="J2008">
        <v>83300</v>
      </c>
      <c r="K2008">
        <v>9.6199999999999992</v>
      </c>
      <c r="L2008">
        <f>IF(Grandview_Inventory[[#This Row],[parcel_acres]]-Grandview_Inventory[[#This Row],[non_valued_acres]] =0,0,LN(Grandview_Inventory[[#This Row],[parcel_acres]]-Grandview_Inventory[[#This Row],[non_valued_acres]]))</f>
        <v>2.2638442646776151</v>
      </c>
      <c r="M2008">
        <v>0</v>
      </c>
      <c r="N2008">
        <v>0</v>
      </c>
      <c r="O2008">
        <v>0</v>
      </c>
      <c r="P2008">
        <v>13398.7528</v>
      </c>
      <c r="Q2008">
        <v>63903</v>
      </c>
      <c r="R2008">
        <f>(Grandview_Inventory[[#This Row],[ln_acres]]*Grandview_Inventory[[#This Row],[coeff]])+Grandview_Inventory[[#This Row],[const]]</f>
        <v>94235.689680113137</v>
      </c>
      <c r="S2008" t="s">
        <v>61</v>
      </c>
      <c r="T2008">
        <v>1</v>
      </c>
      <c r="U2008" t="s">
        <v>65</v>
      </c>
      <c r="V2008" t="s">
        <v>69</v>
      </c>
      <c r="W2008">
        <v>0</v>
      </c>
      <c r="X2008">
        <v>0</v>
      </c>
      <c r="Y2008">
        <v>44</v>
      </c>
      <c r="Z2008">
        <v>46</v>
      </c>
      <c r="AA2008">
        <v>50</v>
      </c>
      <c r="AB2008">
        <v>2000</v>
      </c>
      <c r="AC2008">
        <v>1602</v>
      </c>
      <c r="AD2008">
        <v>1602</v>
      </c>
      <c r="AE2008">
        <v>0</v>
      </c>
      <c r="AF2008">
        <v>0</v>
      </c>
      <c r="AG2008">
        <v>0</v>
      </c>
      <c r="AH2008">
        <v>0</v>
      </c>
      <c r="AI2008">
        <v>336</v>
      </c>
      <c r="AJ2008">
        <v>0</v>
      </c>
      <c r="AK2008">
        <v>0</v>
      </c>
      <c r="AL2008">
        <v>0</v>
      </c>
      <c r="AM2008">
        <v>0</v>
      </c>
      <c r="AN2008">
        <v>208</v>
      </c>
      <c r="AO2008">
        <v>0</v>
      </c>
      <c r="AP2008">
        <v>7</v>
      </c>
      <c r="AQ2008">
        <v>0</v>
      </c>
      <c r="AR2008">
        <v>1</v>
      </c>
      <c r="AS2008" t="s">
        <v>58</v>
      </c>
      <c r="AT2008">
        <v>1</v>
      </c>
      <c r="AU2008" t="s">
        <v>63</v>
      </c>
      <c r="AV2008" t="s">
        <v>60</v>
      </c>
      <c r="AW2008">
        <v>1</v>
      </c>
      <c r="AX2008">
        <v>3</v>
      </c>
      <c r="AY2008">
        <v>0</v>
      </c>
      <c r="AZ2008">
        <v>15200</v>
      </c>
      <c r="BA2008">
        <v>100</v>
      </c>
      <c r="BB2008">
        <v>100</v>
      </c>
      <c r="BC2008">
        <v>100</v>
      </c>
      <c r="BD2008">
        <v>100</v>
      </c>
      <c r="BE2008">
        <v>1</v>
      </c>
      <c r="BF2008">
        <v>15000</v>
      </c>
      <c r="BG2008">
        <v>1000</v>
      </c>
      <c r="BH2008" s="6">
        <f>Grandview_Inventory[[#This Row],[land_extract]]*Lookups!$B$3</f>
        <v>109435.65198915325</v>
      </c>
      <c r="BI2008" s="6">
        <f>IF(Grandview_Inventory[[#This Row],[bldg_style]]="",0,Lookups!$B$2)</f>
        <v>155833.95000000001</v>
      </c>
      <c r="BJ2008" s="6">
        <f>_xlfn.IFNA(VLOOKUP(Grandview_Inventory[[#This Row],[quality]],Lookups!$H$2:$J$14,3,FALSE),0)</f>
        <v>2251</v>
      </c>
      <c r="BK2008" s="6">
        <f>_xlfn.IFNA(VLOOKUP(Grandview_Inventory[[#This Row],[condition]],Lookups!$H$17:$J$24,3,FALSE),0)</f>
        <v>-4503</v>
      </c>
      <c r="BL2008" s="6">
        <f>Grandview_Inventory[[#This Row],[Eff_Age]]*Lookups!$B$14</f>
        <v>-10523.330399999999</v>
      </c>
      <c r="BM2008" s="6">
        <f>Grandview_Inventory[[#This Row],[living_area]]*Lookups!$B$15</f>
        <v>99934.126506000001</v>
      </c>
      <c r="BN2008" s="6">
        <f>Grandview_Inventory[[#This Row],[Fin BSMT]]*Lookups!$B$16</f>
        <v>0</v>
      </c>
      <c r="BO2008" s="6">
        <f>(Grandview_Inventory[[#This Row],[att_gar]]+Grandview_Inventory[[#This Row],[bltin_gar]])*Lookups!$B$17</f>
        <v>29406.866832</v>
      </c>
      <c r="BP2008" s="6">
        <f>Grandview_Inventory[[#This Row],[Plumbing Fixtures]]*Lookups!$B$18</f>
        <v>14073.0926</v>
      </c>
      <c r="BQ2008" s="6">
        <f>Grandview_Inventory[[#This Row],[detatched_value]]*Lookups!$B$19</f>
        <v>12871.437519999999</v>
      </c>
      <c r="BR2008" s="6">
        <f>SUM(Grandview_Inventory[[#This Row],[Intercept]:[det_value]])*Grandview_Inventory[[#This Row],[res_pct]]</f>
        <v>299344.14305799996</v>
      </c>
      <c r="BS2008" s="6">
        <f>Grandview_Inventory[[#This Row],[land_value]]</f>
        <v>109435.65198915325</v>
      </c>
      <c r="BT2008" s="4">
        <f>_xlfn.IFNA(VLOOKUP(Grandview_Inventory[[#This Row],[quality]],Lookups!$A$26:$C$33,3,FALSE),1)</f>
        <v>0.98763855981004833</v>
      </c>
      <c r="BU2008" s="4">
        <f>_xlfn.IFNA(VLOOKUP(Grandview_Inventory[[#This Row],[condition]],Lookups!$A$37:$C$44,3,FALSE),1)</f>
        <v>0.96469275950863709</v>
      </c>
      <c r="BV2008" s="4">
        <f>IF(Grandview_Inventory[[#This Row],[bldg_style]]="",1,_xlfn.IFNA(VLOOKUP(Grandview_Inventory[[#This Row],[decade]],Lookups!$F$29:$H$43,3,FALSE),1))</f>
        <v>0.9871940091910919</v>
      </c>
      <c r="BW2008" s="4">
        <f>_xlfn.IFNA(VLOOKUP(Grandview_Inventory[[#This Row],[living_area_range]],Lookups!$F$47:$H$56,3,FALSE),1)</f>
        <v>0.96120133463014379</v>
      </c>
      <c r="BX2008" s="4">
        <f>AVERAGE(Grandview_Inventory[[#This Row],[qual_adj]:[size_adj]])</f>
        <v>0.97518166578498033</v>
      </c>
      <c r="BY2008" s="6">
        <f>IF(Grandview_Inventory[[#This Row],[pre_res]]&lt;0,0,Grandview_Inventory[[#This Row],[pre_res]]*Grandview_Inventory[[#This Row],[overall_adj]])</f>
        <v>291914.92007027788</v>
      </c>
      <c r="BZ2008" s="6">
        <f>(Grandview_Inventory[[#This Row],[sum_land]]-IF(Grandview_Inventory[[#This Row],[no_utilities]]=1,12000,0))/IF(Grandview_Inventory[[#This Row],[unbuildable]]=1,2,1)</f>
        <v>109435.65198915325</v>
      </c>
      <c r="CA2008">
        <f>IF(ROUND(Grandview_Inventory[[#This Row],[adj_land]]*Lookups!$M$28,-2)&lt;Grandview_Inventory[[#This Row],[min_land]],Grandview_Inventory[[#This Row],[min_land]],ROUND(Grandview_Inventory[[#This Row],[adj_land]]*Lookups!$M$28,-2))</f>
        <v>104000</v>
      </c>
      <c r="CB2008">
        <f>ROUND(Grandview_Inventory[[#This Row],[det_value]]*Lookups!$M$28,-2)</f>
        <v>12200</v>
      </c>
      <c r="CC2008">
        <f>IF(ROUND(Grandview_Inventory[[#This Row],[adj_res]]*Lookups!$M$28,-2)&lt;Grandview_Inventory[[#This Row],[min_res]],Grandview_Inventory[[#This Row],[min_res]],ROUND(Grandview_Inventory[[#This Row],[adj_res]]*Lookups!$M$28,-2))</f>
        <v>277300</v>
      </c>
      <c r="CD2008">
        <f>Grandview_Inventory[[#This Row],[final_det]]+Grandview_Inventory[[#This Row],[final_res]]</f>
        <v>289500</v>
      </c>
      <c r="CE2008">
        <f>Grandview_Inventory[[#This Row],[final_land]]+Grandview_Inventory[[#This Row],[final_imp]]+Grandview_Inventory[[#This Row],[crop_value]]</f>
        <v>393500</v>
      </c>
      <c r="CG2008" t="str">
        <f t="shared" si="31"/>
        <v>update valuation set market_land =104000, market_bldg=289500, market_total =393500, market_mdno =401, market_date ='9/10/2023' where link_id = (select link_id from parcel where parcel_year = '2024' and parcel_id = '23092421021');</v>
      </c>
    </row>
    <row r="2009" spans="1:85" x14ac:dyDescent="0.25">
      <c r="A2009">
        <v>23092421028</v>
      </c>
      <c r="B2009">
        <v>1.54</v>
      </c>
      <c r="C2009">
        <v>66890</v>
      </c>
      <c r="D2009" t="s">
        <v>129</v>
      </c>
      <c r="E2009" t="s">
        <v>53</v>
      </c>
      <c r="F2009" t="s">
        <v>53</v>
      </c>
      <c r="G2009">
        <v>4</v>
      </c>
      <c r="H2009" t="s">
        <v>54</v>
      </c>
      <c r="I2009">
        <v>215700</v>
      </c>
      <c r="J2009">
        <v>68800</v>
      </c>
      <c r="K2009">
        <v>1.54</v>
      </c>
      <c r="L2009">
        <f>IF(Grandview_Inventory[[#This Row],[parcel_acres]]-Grandview_Inventory[[#This Row],[non_valued_acres]] =0,0,LN(Grandview_Inventory[[#This Row],[parcel_acres]]-Grandview_Inventory[[#This Row],[non_valued_acres]]))</f>
        <v>0.43178241642553783</v>
      </c>
      <c r="M2009">
        <v>0</v>
      </c>
      <c r="N2009">
        <v>0</v>
      </c>
      <c r="O2009">
        <v>0</v>
      </c>
      <c r="P2009">
        <v>13398.7528</v>
      </c>
      <c r="Q2009">
        <v>63903</v>
      </c>
      <c r="R2009">
        <f>(Grandview_Inventory[[#This Row],[ln_acres]]*Grandview_Inventory[[#This Row],[coeff]])+Grandview_Inventory[[#This Row],[const]]</f>
        <v>69688.345861072448</v>
      </c>
      <c r="S2009" t="s">
        <v>68</v>
      </c>
      <c r="T2009">
        <v>1</v>
      </c>
      <c r="U2009" t="s">
        <v>80</v>
      </c>
      <c r="V2009" t="s">
        <v>69</v>
      </c>
      <c r="W2009">
        <v>0</v>
      </c>
      <c r="X2009">
        <v>0</v>
      </c>
      <c r="Y2009">
        <v>52</v>
      </c>
      <c r="Z2009">
        <v>88</v>
      </c>
      <c r="AA2009">
        <v>90</v>
      </c>
      <c r="AB2009">
        <v>2000</v>
      </c>
      <c r="AC2009">
        <v>1552</v>
      </c>
      <c r="AD2009">
        <v>1552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7</v>
      </c>
      <c r="AQ2009">
        <v>0</v>
      </c>
      <c r="AR2009">
        <v>0</v>
      </c>
      <c r="AS2009" t="s">
        <v>58</v>
      </c>
      <c r="AT2009">
        <v>1</v>
      </c>
      <c r="AU2009" t="s">
        <v>75</v>
      </c>
      <c r="AV2009" t="s">
        <v>60</v>
      </c>
      <c r="AW2009">
        <v>0</v>
      </c>
      <c r="AX2009">
        <v>4</v>
      </c>
      <c r="AY2009">
        <v>0</v>
      </c>
      <c r="AZ2009">
        <v>47100</v>
      </c>
      <c r="BA2009">
        <v>100</v>
      </c>
      <c r="BB2009">
        <v>100</v>
      </c>
      <c r="BC2009">
        <v>100</v>
      </c>
      <c r="BD2009">
        <v>100</v>
      </c>
      <c r="BE2009">
        <v>1</v>
      </c>
      <c r="BF2009">
        <v>15000</v>
      </c>
      <c r="BG2009">
        <v>1000</v>
      </c>
      <c r="BH2009" s="6">
        <f>Grandview_Inventory[[#This Row],[land_extract]]*Lookups!$B$3</f>
        <v>80928.887889929611</v>
      </c>
      <c r="BI2009" s="6">
        <f>IF(Grandview_Inventory[[#This Row],[bldg_style]]="",0,Lookups!$B$2)</f>
        <v>155833.95000000001</v>
      </c>
      <c r="BJ2009" s="6">
        <f>_xlfn.IFNA(VLOOKUP(Grandview_Inventory[[#This Row],[quality]],Lookups!$H$2:$J$14,3,FALSE),0)</f>
        <v>-28558</v>
      </c>
      <c r="BK2009" s="6">
        <f>_xlfn.IFNA(VLOOKUP(Grandview_Inventory[[#This Row],[condition]],Lookups!$H$17:$J$24,3,FALSE),0)</f>
        <v>-4503</v>
      </c>
      <c r="BL2009" s="6">
        <f>Grandview_Inventory[[#This Row],[Eff_Age]]*Lookups!$B$14</f>
        <v>-12436.663199999999</v>
      </c>
      <c r="BM2009" s="6">
        <f>Grandview_Inventory[[#This Row],[living_area]]*Lookups!$B$15</f>
        <v>96815.083855999997</v>
      </c>
      <c r="BN2009" s="6">
        <f>Grandview_Inventory[[#This Row],[Fin BSMT]]*Lookups!$B$16</f>
        <v>0</v>
      </c>
      <c r="BO2009" s="6">
        <f>(Grandview_Inventory[[#This Row],[att_gar]]+Grandview_Inventory[[#This Row],[bltin_gar]])*Lookups!$B$17</f>
        <v>0</v>
      </c>
      <c r="BP2009" s="6">
        <f>Grandview_Inventory[[#This Row],[Plumbing Fixtures]]*Lookups!$B$18</f>
        <v>14073.0926</v>
      </c>
      <c r="BQ2009" s="6">
        <f>Grandview_Inventory[[#This Row],[detatched_value]]*Lookups!$B$19</f>
        <v>39884.520210000002</v>
      </c>
      <c r="BR2009" s="6">
        <f>SUM(Grandview_Inventory[[#This Row],[Intercept]:[det_value]])*Grandview_Inventory[[#This Row],[res_pct]]</f>
        <v>261108.98346600001</v>
      </c>
      <c r="BS2009" s="6">
        <f>Grandview_Inventory[[#This Row],[land_value]]</f>
        <v>80928.887889929611</v>
      </c>
      <c r="BT2009" s="4">
        <f>_xlfn.IFNA(VLOOKUP(Grandview_Inventory[[#This Row],[quality]],Lookups!$A$26:$C$33,3,FALSE),1)</f>
        <v>0.9690360070159818</v>
      </c>
      <c r="BU2009" s="4">
        <f>_xlfn.IFNA(VLOOKUP(Grandview_Inventory[[#This Row],[condition]],Lookups!$A$37:$C$44,3,FALSE),1)</f>
        <v>0.96469275950863709</v>
      </c>
      <c r="BV2009" s="4">
        <f>IF(Grandview_Inventory[[#This Row],[bldg_style]]="",1,_xlfn.IFNA(VLOOKUP(Grandview_Inventory[[#This Row],[decade]],Lookups!$F$29:$H$43,3,FALSE),1))</f>
        <v>0.94161750052457416</v>
      </c>
      <c r="BW2009" s="4">
        <f>_xlfn.IFNA(VLOOKUP(Grandview_Inventory[[#This Row],[living_area_range]],Lookups!$F$47:$H$56,3,FALSE),1)</f>
        <v>0.96120133463014379</v>
      </c>
      <c r="BX2009" s="4">
        <f>AVERAGE(Grandview_Inventory[[#This Row],[qual_adj]:[size_adj]])</f>
        <v>0.95913690041983424</v>
      </c>
      <c r="BY2009" s="6">
        <f>IF(Grandview_Inventory[[#This Row],[pre_res]]&lt;0,0,Grandview_Inventory[[#This Row],[pre_res]]*Grandview_Inventory[[#This Row],[overall_adj]])</f>
        <v>250439.261073353</v>
      </c>
      <c r="BZ2009" s="6">
        <f>(Grandview_Inventory[[#This Row],[sum_land]]-IF(Grandview_Inventory[[#This Row],[no_utilities]]=1,12000,0))/IF(Grandview_Inventory[[#This Row],[unbuildable]]=1,2,1)</f>
        <v>80928.887889929611</v>
      </c>
      <c r="CA2009">
        <f>IF(ROUND(Grandview_Inventory[[#This Row],[adj_land]]*Lookups!$M$28,-2)&lt;Grandview_Inventory[[#This Row],[min_land]],Grandview_Inventory[[#This Row],[min_land]],ROUND(Grandview_Inventory[[#This Row],[adj_land]]*Lookups!$M$28,-2))</f>
        <v>76900</v>
      </c>
      <c r="CB2009">
        <f>ROUND(Grandview_Inventory[[#This Row],[det_value]]*Lookups!$M$28,-2)</f>
        <v>37900</v>
      </c>
      <c r="CC2009">
        <f>IF(ROUND(Grandview_Inventory[[#This Row],[adj_res]]*Lookups!$M$28,-2)&lt;Grandview_Inventory[[#This Row],[min_res]],Grandview_Inventory[[#This Row],[min_res]],ROUND(Grandview_Inventory[[#This Row],[adj_res]]*Lookups!$M$28,-2))</f>
        <v>237900</v>
      </c>
      <c r="CD2009">
        <f>Grandview_Inventory[[#This Row],[final_det]]+Grandview_Inventory[[#This Row],[final_res]]</f>
        <v>275800</v>
      </c>
      <c r="CE2009">
        <f>Grandview_Inventory[[#This Row],[final_land]]+Grandview_Inventory[[#This Row],[final_imp]]+Grandview_Inventory[[#This Row],[crop_value]]</f>
        <v>352700</v>
      </c>
      <c r="CG2009" t="str">
        <f t="shared" si="31"/>
        <v>update valuation set market_land =76900, market_bldg=275800, market_total =352700, market_mdno =401, market_date ='9/10/2023' where link_id = (select link_id from parcel where parcel_year = '2024' and parcel_id = '23092421028');</v>
      </c>
    </row>
    <row r="2010" spans="1:85" x14ac:dyDescent="0.25">
      <c r="A2010">
        <v>23092422009</v>
      </c>
      <c r="B2010">
        <v>0.55000000000000004</v>
      </c>
      <c r="C2010">
        <v>24065</v>
      </c>
      <c r="D2010" t="s">
        <v>129</v>
      </c>
      <c r="E2010" t="s">
        <v>53</v>
      </c>
      <c r="F2010" t="s">
        <v>53</v>
      </c>
      <c r="G2010">
        <v>4</v>
      </c>
      <c r="H2010" t="s">
        <v>54</v>
      </c>
      <c r="I2010">
        <v>123300</v>
      </c>
      <c r="J2010">
        <v>42100</v>
      </c>
      <c r="K2010">
        <v>0.55000000000000004</v>
      </c>
      <c r="L2010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2010">
        <v>0</v>
      </c>
      <c r="N2010">
        <v>0</v>
      </c>
      <c r="O2010">
        <v>0</v>
      </c>
      <c r="P2010">
        <v>13398.7528</v>
      </c>
      <c r="Q2010">
        <v>63903</v>
      </c>
      <c r="R2010">
        <f>(Grandview_Inventory[[#This Row],[ln_acres]]*Grandview_Inventory[[#This Row],[coeff]])+Grandview_Inventory[[#This Row],[const]]</f>
        <v>55892.729812182028</v>
      </c>
      <c r="S2010" t="s">
        <v>68</v>
      </c>
      <c r="T2010">
        <v>1</v>
      </c>
      <c r="U2010" t="s">
        <v>70</v>
      </c>
      <c r="V2010" t="s">
        <v>78</v>
      </c>
      <c r="W2010">
        <v>0</v>
      </c>
      <c r="X2010">
        <v>0</v>
      </c>
      <c r="Y2010">
        <v>52</v>
      </c>
      <c r="Z2010">
        <v>88</v>
      </c>
      <c r="AA2010">
        <v>90</v>
      </c>
      <c r="AB2010">
        <v>1500</v>
      </c>
      <c r="AC2010">
        <v>1344</v>
      </c>
      <c r="AD2010">
        <v>1344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480</v>
      </c>
      <c r="AL2010">
        <v>144</v>
      </c>
      <c r="AM2010">
        <v>0</v>
      </c>
      <c r="AN2010">
        <v>0</v>
      </c>
      <c r="AO2010">
        <v>0</v>
      </c>
      <c r="AP2010">
        <v>5</v>
      </c>
      <c r="AQ2010">
        <v>0</v>
      </c>
      <c r="AR2010">
        <v>0</v>
      </c>
      <c r="AS2010" t="s">
        <v>58</v>
      </c>
      <c r="AT2010">
        <v>1</v>
      </c>
      <c r="AU2010" t="s">
        <v>63</v>
      </c>
      <c r="AV2010" t="s">
        <v>60</v>
      </c>
      <c r="AW2010">
        <v>0</v>
      </c>
      <c r="AX2010">
        <v>3</v>
      </c>
      <c r="AY2010">
        <v>0</v>
      </c>
      <c r="AZ2010">
        <v>0</v>
      </c>
      <c r="BA2010">
        <v>100</v>
      </c>
      <c r="BB2010">
        <v>100</v>
      </c>
      <c r="BC2010">
        <v>100</v>
      </c>
      <c r="BD2010">
        <v>100</v>
      </c>
      <c r="BE2010">
        <v>1</v>
      </c>
      <c r="BF2010">
        <v>15000</v>
      </c>
      <c r="BG2010">
        <v>1000</v>
      </c>
      <c r="BH2010" s="6">
        <f>Grandview_Inventory[[#This Row],[land_extract]]*Lookups!$B$3</f>
        <v>64908.076220516494</v>
      </c>
      <c r="BI2010" s="6">
        <f>IF(Grandview_Inventory[[#This Row],[bldg_style]]="",0,Lookups!$B$2)</f>
        <v>155833.95000000001</v>
      </c>
      <c r="BJ2010" s="6">
        <f>_xlfn.IFNA(VLOOKUP(Grandview_Inventory[[#This Row],[quality]],Lookups!$H$2:$J$14,3,FALSE),0)</f>
        <v>10733</v>
      </c>
      <c r="BK2010" s="6">
        <f>_xlfn.IFNA(VLOOKUP(Grandview_Inventory[[#This Row],[condition]],Lookups!$H$17:$J$24,3,FALSE),0)</f>
        <v>-45357</v>
      </c>
      <c r="BL2010" s="6">
        <f>Grandview_Inventory[[#This Row],[Eff_Age]]*Lookups!$B$14</f>
        <v>-12436.663199999999</v>
      </c>
      <c r="BM2010" s="6">
        <f>Grandview_Inventory[[#This Row],[living_area]]*Lookups!$B$15</f>
        <v>83839.86643200001</v>
      </c>
      <c r="BN2010" s="6">
        <f>Grandview_Inventory[[#This Row],[Fin BSMT]]*Lookups!$B$16</f>
        <v>0</v>
      </c>
      <c r="BO2010" s="6">
        <f>(Grandview_Inventory[[#This Row],[att_gar]]+Grandview_Inventory[[#This Row],[bltin_gar]])*Lookups!$B$17</f>
        <v>0</v>
      </c>
      <c r="BP2010" s="6">
        <f>Grandview_Inventory[[#This Row],[Plumbing Fixtures]]*Lookups!$B$18</f>
        <v>10052.209000000001</v>
      </c>
      <c r="BQ2010" s="6">
        <f>Grandview_Inventory[[#This Row],[detatched_value]]*Lookups!$B$19</f>
        <v>0</v>
      </c>
      <c r="BR2010" s="6">
        <f>SUM(Grandview_Inventory[[#This Row],[Intercept]:[det_value]])*Grandview_Inventory[[#This Row],[res_pct]]</f>
        <v>202665.36223200001</v>
      </c>
      <c r="BS2010" s="6">
        <f>Grandview_Inventory[[#This Row],[land_value]]</f>
        <v>64908.076220516494</v>
      </c>
      <c r="BT2010" s="4">
        <f>_xlfn.IFNA(VLOOKUP(Grandview_Inventory[[#This Row],[quality]],Lookups!$A$26:$C$33,3,FALSE),1)</f>
        <v>0.98079741117310582</v>
      </c>
      <c r="BU2010" s="4">
        <f>_xlfn.IFNA(VLOOKUP(Grandview_Inventory[[#This Row],[condition]],Lookups!$A$37:$C$44,3,FALSE),1)</f>
        <v>0.97161819570155394</v>
      </c>
      <c r="BV2010" s="4">
        <f>IF(Grandview_Inventory[[#This Row],[bldg_style]]="",1,_xlfn.IFNA(VLOOKUP(Grandview_Inventory[[#This Row],[decade]],Lookups!$F$29:$H$43,3,FALSE),1))</f>
        <v>0.94161750052457416</v>
      </c>
      <c r="BW2010" s="4">
        <f>_xlfn.IFNA(VLOOKUP(Grandview_Inventory[[#This Row],[living_area_range]],Lookups!$F$47:$H$56,3,FALSE),1)</f>
        <v>0.96135087979789358</v>
      </c>
      <c r="BX2010" s="4">
        <f>AVERAGE(Grandview_Inventory[[#This Row],[qual_adj]:[size_adj]])</f>
        <v>0.96384599679928185</v>
      </c>
      <c r="BY2010" s="6">
        <f>IF(Grandview_Inventory[[#This Row],[pre_res]]&lt;0,0,Grandview_Inventory[[#This Row],[pre_res]]*Grandview_Inventory[[#This Row],[overall_adj]])</f>
        <v>195338.19807718959</v>
      </c>
      <c r="BZ2010" s="6">
        <f>(Grandview_Inventory[[#This Row],[sum_land]]-IF(Grandview_Inventory[[#This Row],[no_utilities]]=1,12000,0))/IF(Grandview_Inventory[[#This Row],[unbuildable]]=1,2,1)</f>
        <v>64908.076220516494</v>
      </c>
      <c r="CA2010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2010">
        <f>ROUND(Grandview_Inventory[[#This Row],[det_value]]*Lookups!$M$28,-2)</f>
        <v>0</v>
      </c>
      <c r="CC2010">
        <f>IF(ROUND(Grandview_Inventory[[#This Row],[adj_res]]*Lookups!$M$28,-2)&lt;Grandview_Inventory[[#This Row],[min_res]],Grandview_Inventory[[#This Row],[min_res]],ROUND(Grandview_Inventory[[#This Row],[adj_res]]*Lookups!$M$28,-2))</f>
        <v>185600</v>
      </c>
      <c r="CD2010">
        <f>Grandview_Inventory[[#This Row],[final_det]]+Grandview_Inventory[[#This Row],[final_res]]</f>
        <v>185600</v>
      </c>
      <c r="CE2010">
        <f>Grandview_Inventory[[#This Row],[final_land]]+Grandview_Inventory[[#This Row],[final_imp]]+Grandview_Inventory[[#This Row],[crop_value]]</f>
        <v>247300</v>
      </c>
      <c r="CG2010" t="str">
        <f t="shared" si="31"/>
        <v>update valuation set market_land =61700, market_bldg=185600, market_total =247300, market_mdno =401, market_date ='9/10/2023' where link_id = (select link_id from parcel where parcel_year = '2024' and parcel_id = '23092422009');</v>
      </c>
    </row>
    <row r="2011" spans="1:85" x14ac:dyDescent="0.25">
      <c r="A2011">
        <v>23092422014</v>
      </c>
      <c r="B2011">
        <v>0.81</v>
      </c>
      <c r="C2011">
        <v>35344</v>
      </c>
      <c r="D2011" t="s">
        <v>129</v>
      </c>
      <c r="E2011" t="s">
        <v>53</v>
      </c>
      <c r="F2011" t="s">
        <v>53</v>
      </c>
      <c r="G2011">
        <v>4</v>
      </c>
      <c r="H2011" t="s">
        <v>54</v>
      </c>
      <c r="I2011">
        <v>359500</v>
      </c>
      <c r="J2011">
        <v>43100</v>
      </c>
      <c r="K2011">
        <v>0.81</v>
      </c>
      <c r="L2011">
        <f>IF(Grandview_Inventory[[#This Row],[parcel_acres]]-Grandview_Inventory[[#This Row],[non_valued_acres]] =0,0,LN(Grandview_Inventory[[#This Row],[parcel_acres]]-Grandview_Inventory[[#This Row],[non_valued_acres]]))</f>
        <v>-0.21072103131565253</v>
      </c>
      <c r="M2011">
        <v>0</v>
      </c>
      <c r="N2011">
        <v>0</v>
      </c>
      <c r="O2011">
        <v>0</v>
      </c>
      <c r="P2011">
        <v>13398.7528</v>
      </c>
      <c r="Q2011">
        <v>63903</v>
      </c>
      <c r="R2011">
        <f>(Grandview_Inventory[[#This Row],[ln_acres]]*Grandview_Inventory[[#This Row],[coeff]])+Grandview_Inventory[[#This Row],[const]]</f>
        <v>61079.600991640516</v>
      </c>
      <c r="S2011" t="s">
        <v>74</v>
      </c>
      <c r="T2011">
        <v>1</v>
      </c>
      <c r="U2011" t="s">
        <v>65</v>
      </c>
      <c r="V2011" t="s">
        <v>69</v>
      </c>
      <c r="W2011">
        <v>0</v>
      </c>
      <c r="X2011">
        <v>0</v>
      </c>
      <c r="Y2011">
        <v>46</v>
      </c>
      <c r="Z2011">
        <v>55</v>
      </c>
      <c r="AA2011">
        <v>60</v>
      </c>
      <c r="AB2011">
        <v>3000</v>
      </c>
      <c r="AC2011">
        <v>2813</v>
      </c>
      <c r="AD2011">
        <v>2111</v>
      </c>
      <c r="AE2011">
        <v>0</v>
      </c>
      <c r="AF2011">
        <v>0</v>
      </c>
      <c r="AG2011">
        <v>702</v>
      </c>
      <c r="AH2011">
        <v>0</v>
      </c>
      <c r="AI2011">
        <v>759</v>
      </c>
      <c r="AJ2011">
        <v>0</v>
      </c>
      <c r="AK2011">
        <v>0</v>
      </c>
      <c r="AL2011">
        <v>120</v>
      </c>
      <c r="AM2011">
        <v>500</v>
      </c>
      <c r="AN2011">
        <v>0</v>
      </c>
      <c r="AO2011">
        <v>0</v>
      </c>
      <c r="AP2011">
        <v>12</v>
      </c>
      <c r="AQ2011">
        <v>0</v>
      </c>
      <c r="AR2011">
        <v>2</v>
      </c>
      <c r="AS2011" t="s">
        <v>76</v>
      </c>
      <c r="AT2011">
        <v>1</v>
      </c>
      <c r="AU2011" t="s">
        <v>63</v>
      </c>
      <c r="AV2011" t="s">
        <v>60</v>
      </c>
      <c r="AW2011">
        <v>1</v>
      </c>
      <c r="AX2011">
        <v>4</v>
      </c>
      <c r="AY2011">
        <v>0</v>
      </c>
      <c r="AZ2011">
        <v>18700</v>
      </c>
      <c r="BA2011">
        <v>100</v>
      </c>
      <c r="BB2011">
        <v>100</v>
      </c>
      <c r="BC2011">
        <v>100</v>
      </c>
      <c r="BD2011">
        <v>100</v>
      </c>
      <c r="BE2011">
        <v>1</v>
      </c>
      <c r="BF2011">
        <v>15000</v>
      </c>
      <c r="BG2011">
        <v>1000</v>
      </c>
      <c r="BH2011" s="6">
        <f>Grandview_Inventory[[#This Row],[land_extract]]*Lookups!$B$3</f>
        <v>70931.575716669453</v>
      </c>
      <c r="BI2011" s="6">
        <f>IF(Grandview_Inventory[[#This Row],[bldg_style]]="",0,Lookups!$B$2)</f>
        <v>155833.95000000001</v>
      </c>
      <c r="BJ2011" s="6">
        <f>_xlfn.IFNA(VLOOKUP(Grandview_Inventory[[#This Row],[quality]],Lookups!$H$2:$J$14,3,FALSE),0)</f>
        <v>2251</v>
      </c>
      <c r="BK2011" s="6">
        <f>_xlfn.IFNA(VLOOKUP(Grandview_Inventory[[#This Row],[condition]],Lookups!$H$17:$J$24,3,FALSE),0)</f>
        <v>-4503</v>
      </c>
      <c r="BL2011" s="6">
        <f>Grandview_Inventory[[#This Row],[Eff_Age]]*Lookups!$B$14</f>
        <v>-11001.6636</v>
      </c>
      <c r="BM2011" s="6">
        <f>Grandview_Inventory[[#This Row],[living_area]]*Lookups!$B$15</f>
        <v>175477.33948900001</v>
      </c>
      <c r="BN2011" s="6">
        <f>Grandview_Inventory[[#This Row],[Fin BSMT]]*Lookups!$B$16</f>
        <v>-19023.66648</v>
      </c>
      <c r="BO2011" s="6">
        <f>(Grandview_Inventory[[#This Row],[att_gar]]+Grandview_Inventory[[#This Row],[bltin_gar]])*Lookups!$B$17</f>
        <v>66428.011683000004</v>
      </c>
      <c r="BP2011" s="6">
        <f>Grandview_Inventory[[#This Row],[Plumbing Fixtures]]*Lookups!$B$18</f>
        <v>24125.301599999999</v>
      </c>
      <c r="BQ2011" s="6">
        <f>Grandview_Inventory[[#This Row],[detatched_value]]*Lookups!$B$19</f>
        <v>15835.255369999999</v>
      </c>
      <c r="BR2011" s="6">
        <f>SUM(Grandview_Inventory[[#This Row],[Intercept]:[det_value]])*Grandview_Inventory[[#This Row],[res_pct]]</f>
        <v>405422.52806200006</v>
      </c>
      <c r="BS2011" s="6">
        <f>Grandview_Inventory[[#This Row],[land_value]]</f>
        <v>70931.575716669453</v>
      </c>
      <c r="BT2011" s="4">
        <f>_xlfn.IFNA(VLOOKUP(Grandview_Inventory[[#This Row],[quality]],Lookups!$A$26:$C$33,3,FALSE),1)</f>
        <v>0.98763855981004833</v>
      </c>
      <c r="BU2011" s="4">
        <f>_xlfn.IFNA(VLOOKUP(Grandview_Inventory[[#This Row],[condition]],Lookups!$A$37:$C$44,3,FALSE),1)</f>
        <v>0.96469275950863709</v>
      </c>
      <c r="BV2011" s="4">
        <f>IF(Grandview_Inventory[[#This Row],[bldg_style]]="",1,_xlfn.IFNA(VLOOKUP(Grandview_Inventory[[#This Row],[decade]],Lookups!$F$29:$H$43,3,FALSE),1))</f>
        <v>0.95268620544463312</v>
      </c>
      <c r="BW2011" s="4">
        <f>_xlfn.IFNA(VLOOKUP(Grandview_Inventory[[#This Row],[living_area_range]],Lookups!$F$47:$H$56,3,FALSE),1)</f>
        <v>0.94224801443562123</v>
      </c>
      <c r="BX2011" s="4">
        <f>AVERAGE(Grandview_Inventory[[#This Row],[qual_adj]:[size_adj]])</f>
        <v>0.96181638479973497</v>
      </c>
      <c r="BY2011" s="6">
        <f>IF(Grandview_Inventory[[#This Row],[pre_res]]&lt;0,0,Grandview_Inventory[[#This Row],[pre_res]]*Grandview_Inventory[[#This Row],[overall_adj]])</f>
        <v>389942.030256962</v>
      </c>
      <c r="BZ2011" s="6">
        <f>(Grandview_Inventory[[#This Row],[sum_land]]-IF(Grandview_Inventory[[#This Row],[no_utilities]]=1,12000,0))/IF(Grandview_Inventory[[#This Row],[unbuildable]]=1,2,1)</f>
        <v>70931.575716669453</v>
      </c>
      <c r="CA2011">
        <f>IF(ROUND(Grandview_Inventory[[#This Row],[adj_land]]*Lookups!$M$28,-2)&lt;Grandview_Inventory[[#This Row],[min_land]],Grandview_Inventory[[#This Row],[min_land]],ROUND(Grandview_Inventory[[#This Row],[adj_land]]*Lookups!$M$28,-2))</f>
        <v>67400</v>
      </c>
      <c r="CB2011">
        <f>ROUND(Grandview_Inventory[[#This Row],[det_value]]*Lookups!$M$28,-2)</f>
        <v>15000</v>
      </c>
      <c r="CC2011">
        <f>IF(ROUND(Grandview_Inventory[[#This Row],[adj_res]]*Lookups!$M$28,-2)&lt;Grandview_Inventory[[#This Row],[min_res]],Grandview_Inventory[[#This Row],[min_res]],ROUND(Grandview_Inventory[[#This Row],[adj_res]]*Lookups!$M$28,-2))</f>
        <v>370400</v>
      </c>
      <c r="CD2011">
        <f>Grandview_Inventory[[#This Row],[final_det]]+Grandview_Inventory[[#This Row],[final_res]]</f>
        <v>385400</v>
      </c>
      <c r="CE2011">
        <f>Grandview_Inventory[[#This Row],[final_land]]+Grandview_Inventory[[#This Row],[final_imp]]+Grandview_Inventory[[#This Row],[crop_value]]</f>
        <v>452800</v>
      </c>
      <c r="CG2011" t="str">
        <f t="shared" si="31"/>
        <v>update valuation set market_land =67400, market_bldg=385400, market_total =452800, market_mdno =401, market_date ='9/10/2023' where link_id = (select link_id from parcel where parcel_year = '2024' and parcel_id = '23092422014');</v>
      </c>
    </row>
    <row r="2012" spans="1:85" x14ac:dyDescent="0.25">
      <c r="A2012">
        <v>23092422020</v>
      </c>
      <c r="B2012">
        <v>3.71</v>
      </c>
      <c r="C2012">
        <v>161752</v>
      </c>
      <c r="D2012" t="s">
        <v>129</v>
      </c>
      <c r="E2012" t="s">
        <v>53</v>
      </c>
      <c r="F2012" t="s">
        <v>53</v>
      </c>
      <c r="G2012">
        <v>4</v>
      </c>
      <c r="H2012" t="s">
        <v>54</v>
      </c>
      <c r="I2012">
        <v>229000</v>
      </c>
      <c r="J2012">
        <v>47900</v>
      </c>
      <c r="K2012">
        <v>3.71</v>
      </c>
      <c r="L2012">
        <f>IF(Grandview_Inventory[[#This Row],[parcel_acres]]-Grandview_Inventory[[#This Row],[non_valued_acres]] =0,0,LN(Grandview_Inventory[[#This Row],[parcel_acres]]-Grandview_Inventory[[#This Row],[non_valued_acres]]))</f>
        <v>1.3110318766193438</v>
      </c>
      <c r="M2012">
        <v>0</v>
      </c>
      <c r="N2012">
        <v>0</v>
      </c>
      <c r="O2012">
        <v>0</v>
      </c>
      <c r="P2012">
        <v>13398.7528</v>
      </c>
      <c r="Q2012">
        <v>63903</v>
      </c>
      <c r="R2012">
        <f>(Grandview_Inventory[[#This Row],[ln_acres]]*Grandview_Inventory[[#This Row],[coeff]])+Grandview_Inventory[[#This Row],[const]]</f>
        <v>81469.192027742683</v>
      </c>
      <c r="S2012" t="s">
        <v>58</v>
      </c>
      <c r="T2012">
        <v>2</v>
      </c>
      <c r="U2012" t="s">
        <v>65</v>
      </c>
      <c r="V2012" t="s">
        <v>69</v>
      </c>
      <c r="W2012">
        <v>0</v>
      </c>
      <c r="X2012">
        <v>0</v>
      </c>
      <c r="Y2012">
        <v>72</v>
      </c>
      <c r="Z2012">
        <v>120</v>
      </c>
      <c r="AA2012">
        <v>120</v>
      </c>
      <c r="AB2012">
        <v>3000</v>
      </c>
      <c r="AC2012">
        <v>2572</v>
      </c>
      <c r="AD2012">
        <v>2108</v>
      </c>
      <c r="AE2012">
        <v>464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762</v>
      </c>
      <c r="AN2012">
        <v>0</v>
      </c>
      <c r="AO2012">
        <v>762</v>
      </c>
      <c r="AP2012">
        <v>8</v>
      </c>
      <c r="AQ2012">
        <v>0</v>
      </c>
      <c r="AR2012">
        <v>1</v>
      </c>
      <c r="AS2012" t="s">
        <v>58</v>
      </c>
      <c r="AT2012">
        <v>1</v>
      </c>
      <c r="AU2012" t="s">
        <v>75</v>
      </c>
      <c r="AV2012" t="s">
        <v>60</v>
      </c>
      <c r="AW2012">
        <v>0</v>
      </c>
      <c r="AX2012">
        <v>3</v>
      </c>
      <c r="AY2012">
        <v>0</v>
      </c>
      <c r="AZ2012">
        <v>13300</v>
      </c>
      <c r="BA2012">
        <v>100</v>
      </c>
      <c r="BB2012">
        <v>100</v>
      </c>
      <c r="BC2012">
        <v>100</v>
      </c>
      <c r="BD2012">
        <v>100</v>
      </c>
      <c r="BE2012">
        <v>1</v>
      </c>
      <c r="BF2012">
        <v>15000</v>
      </c>
      <c r="BG2012">
        <v>1000</v>
      </c>
      <c r="BH2012" s="6">
        <f>Grandview_Inventory[[#This Row],[land_extract]]*Lookups!$B$3</f>
        <v>94609.952734999097</v>
      </c>
      <c r="BI2012" s="6">
        <f>IF(Grandview_Inventory[[#This Row],[bldg_style]]="",0,Lookups!$B$2)</f>
        <v>155833.95000000001</v>
      </c>
      <c r="BJ2012" s="6">
        <f>_xlfn.IFNA(VLOOKUP(Grandview_Inventory[[#This Row],[quality]],Lookups!$H$2:$J$14,3,FALSE),0)</f>
        <v>2251</v>
      </c>
      <c r="BK2012" s="6">
        <f>_xlfn.IFNA(VLOOKUP(Grandview_Inventory[[#This Row],[condition]],Lookups!$H$17:$J$24,3,FALSE),0)</f>
        <v>-4503</v>
      </c>
      <c r="BL2012" s="6">
        <f>Grandview_Inventory[[#This Row],[Eff_Age]]*Lookups!$B$14</f>
        <v>-17219.995199999998</v>
      </c>
      <c r="BM2012" s="6">
        <f>Grandview_Inventory[[#This Row],[living_area]]*Lookups!$B$15</f>
        <v>160443.553916</v>
      </c>
      <c r="BN2012" s="6">
        <f>Grandview_Inventory[[#This Row],[Fin BSMT]]*Lookups!$B$16</f>
        <v>0</v>
      </c>
      <c r="BO2012" s="6">
        <f>(Grandview_Inventory[[#This Row],[att_gar]]+Grandview_Inventory[[#This Row],[bltin_gar]])*Lookups!$B$17</f>
        <v>0</v>
      </c>
      <c r="BP2012" s="6">
        <f>Grandview_Inventory[[#This Row],[Plumbing Fixtures]]*Lookups!$B$18</f>
        <v>16083.5344</v>
      </c>
      <c r="BQ2012" s="6">
        <f>Grandview_Inventory[[#This Row],[detatched_value]]*Lookups!$B$19</f>
        <v>11262.50783</v>
      </c>
      <c r="BR2012" s="6">
        <f>SUM(Grandview_Inventory[[#This Row],[Intercept]:[det_value]])*Grandview_Inventory[[#This Row],[res_pct]]</f>
        <v>324151.55094600003</v>
      </c>
      <c r="BS2012" s="6">
        <f>Grandview_Inventory[[#This Row],[land_value]]</f>
        <v>94609.952734999097</v>
      </c>
      <c r="BT2012" s="4">
        <f>_xlfn.IFNA(VLOOKUP(Grandview_Inventory[[#This Row],[quality]],Lookups!$A$26:$C$33,3,FALSE),1)</f>
        <v>0.98763855981004833</v>
      </c>
      <c r="BU2012" s="4">
        <f>_xlfn.IFNA(VLOOKUP(Grandview_Inventory[[#This Row],[condition]],Lookups!$A$37:$C$44,3,FALSE),1)</f>
        <v>0.96469275950863709</v>
      </c>
      <c r="BV2012" s="4">
        <f>IF(Grandview_Inventory[[#This Row],[bldg_style]]="",1,_xlfn.IFNA(VLOOKUP(Grandview_Inventory[[#This Row],[decade]],Lookups!$F$29:$H$43,3,FALSE),1))</f>
        <v>0.9251738460551937</v>
      </c>
      <c r="BW2012" s="4">
        <f>_xlfn.IFNA(VLOOKUP(Grandview_Inventory[[#This Row],[living_area_range]],Lookups!$F$47:$H$56,3,FALSE),1)</f>
        <v>0.94224801443562123</v>
      </c>
      <c r="BX2012" s="4">
        <f>AVERAGE(Grandview_Inventory[[#This Row],[qual_adj]:[size_adj]])</f>
        <v>0.95493829495237514</v>
      </c>
      <c r="BY2012" s="6">
        <f>IF(Grandview_Inventory[[#This Row],[pre_res]]&lt;0,0,Grandview_Inventory[[#This Row],[pre_res]]*Grandview_Inventory[[#This Row],[overall_adj]])</f>
        <v>309544.72936654126</v>
      </c>
      <c r="BZ2012" s="6">
        <f>(Grandview_Inventory[[#This Row],[sum_land]]-IF(Grandview_Inventory[[#This Row],[no_utilities]]=1,12000,0))/IF(Grandview_Inventory[[#This Row],[unbuildable]]=1,2,1)</f>
        <v>94609.952734999097</v>
      </c>
      <c r="CA2012">
        <f>IF(ROUND(Grandview_Inventory[[#This Row],[adj_land]]*Lookups!$M$28,-2)&lt;Grandview_Inventory[[#This Row],[min_land]],Grandview_Inventory[[#This Row],[min_land]],ROUND(Grandview_Inventory[[#This Row],[adj_land]]*Lookups!$M$28,-2))</f>
        <v>89900</v>
      </c>
      <c r="CB2012">
        <f>ROUND(Grandview_Inventory[[#This Row],[det_value]]*Lookups!$M$28,-2)</f>
        <v>10700</v>
      </c>
      <c r="CC2012">
        <f>IF(ROUND(Grandview_Inventory[[#This Row],[adj_res]]*Lookups!$M$28,-2)&lt;Grandview_Inventory[[#This Row],[min_res]],Grandview_Inventory[[#This Row],[min_res]],ROUND(Grandview_Inventory[[#This Row],[adj_res]]*Lookups!$M$28,-2))</f>
        <v>294100</v>
      </c>
      <c r="CD2012">
        <f>Grandview_Inventory[[#This Row],[final_det]]+Grandview_Inventory[[#This Row],[final_res]]</f>
        <v>304800</v>
      </c>
      <c r="CE2012">
        <f>Grandview_Inventory[[#This Row],[final_land]]+Grandview_Inventory[[#This Row],[final_imp]]+Grandview_Inventory[[#This Row],[crop_value]]</f>
        <v>394700</v>
      </c>
      <c r="CG2012" t="str">
        <f t="shared" si="31"/>
        <v>update valuation set market_land =89900, market_bldg=304800, market_total =394700, market_mdno =401, market_date ='9/10/2023' where link_id = (select link_id from parcel where parcel_year = '2024' and parcel_id = '23092422020');</v>
      </c>
    </row>
    <row r="2013" spans="1:85" x14ac:dyDescent="0.25">
      <c r="A2013">
        <v>23092422400</v>
      </c>
      <c r="B2013">
        <v>0.28999999999999998</v>
      </c>
      <c r="C2013">
        <v>12600</v>
      </c>
      <c r="D2013" t="s">
        <v>129</v>
      </c>
      <c r="E2013" t="s">
        <v>53</v>
      </c>
      <c r="F2013" t="s">
        <v>53</v>
      </c>
      <c r="G2013">
        <v>4</v>
      </c>
      <c r="H2013" t="s">
        <v>54</v>
      </c>
      <c r="I2013">
        <v>197500</v>
      </c>
      <c r="J2013">
        <v>40500</v>
      </c>
      <c r="K2013">
        <v>0.28999999999999998</v>
      </c>
      <c r="L2013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2013">
        <v>0</v>
      </c>
      <c r="N2013">
        <v>0</v>
      </c>
      <c r="O2013">
        <v>0</v>
      </c>
      <c r="P2013">
        <v>13398.7528</v>
      </c>
      <c r="Q2013">
        <v>63903</v>
      </c>
      <c r="R2013">
        <f>(Grandview_Inventory[[#This Row],[ln_acres]]*Grandview_Inventory[[#This Row],[coeff]])+Grandview_Inventory[[#This Row],[const]]</f>
        <v>47317.027506475133</v>
      </c>
      <c r="S2013" t="s">
        <v>68</v>
      </c>
      <c r="T2013">
        <v>1</v>
      </c>
      <c r="U2013" t="s">
        <v>70</v>
      </c>
      <c r="V2013" t="s">
        <v>69</v>
      </c>
      <c r="W2013">
        <v>0</v>
      </c>
      <c r="X2013">
        <v>0</v>
      </c>
      <c r="Y2013">
        <v>51</v>
      </c>
      <c r="Z2013">
        <v>78</v>
      </c>
      <c r="AA2013">
        <v>80</v>
      </c>
      <c r="AB2013">
        <v>2500</v>
      </c>
      <c r="AC2013">
        <v>2404</v>
      </c>
      <c r="AD2013">
        <v>1312</v>
      </c>
      <c r="AE2013">
        <v>0</v>
      </c>
      <c r="AF2013">
        <v>0</v>
      </c>
      <c r="AG2013">
        <v>1092</v>
      </c>
      <c r="AH2013">
        <v>220</v>
      </c>
      <c r="AI2013">
        <v>0</v>
      </c>
      <c r="AJ2013">
        <v>0</v>
      </c>
      <c r="AK2013">
        <v>0</v>
      </c>
      <c r="AL2013">
        <v>288</v>
      </c>
      <c r="AM2013">
        <v>0</v>
      </c>
      <c r="AN2013">
        <v>0</v>
      </c>
      <c r="AO2013">
        <v>688</v>
      </c>
      <c r="AP2013">
        <v>9</v>
      </c>
      <c r="AQ2013">
        <v>1</v>
      </c>
      <c r="AR2013">
        <v>0</v>
      </c>
      <c r="AS2013" t="s">
        <v>58</v>
      </c>
      <c r="AT2013">
        <v>1</v>
      </c>
      <c r="AU2013" t="s">
        <v>59</v>
      </c>
      <c r="AV2013" t="s">
        <v>60</v>
      </c>
      <c r="AW2013">
        <v>1</v>
      </c>
      <c r="AX2013">
        <v>4</v>
      </c>
      <c r="AY2013">
        <v>0</v>
      </c>
      <c r="AZ2013">
        <v>8700</v>
      </c>
      <c r="BA2013">
        <v>100</v>
      </c>
      <c r="BB2013">
        <v>100</v>
      </c>
      <c r="BC2013">
        <v>100</v>
      </c>
      <c r="BD2013">
        <v>100</v>
      </c>
      <c r="BE2013">
        <v>1</v>
      </c>
      <c r="BF2013">
        <v>15000</v>
      </c>
      <c r="BG2013">
        <v>1000</v>
      </c>
      <c r="BH2013" s="6">
        <f>Grandview_Inventory[[#This Row],[land_extract]]*Lookups!$B$3</f>
        <v>54949.136287295303</v>
      </c>
      <c r="BI2013" s="6">
        <f>IF(Grandview_Inventory[[#This Row],[bldg_style]]="",0,Lookups!$B$2)</f>
        <v>155833.95000000001</v>
      </c>
      <c r="BJ2013" s="6">
        <f>_xlfn.IFNA(VLOOKUP(Grandview_Inventory[[#This Row],[quality]],Lookups!$H$2:$J$14,3,FALSE),0)</f>
        <v>10733</v>
      </c>
      <c r="BK2013" s="6">
        <f>_xlfn.IFNA(VLOOKUP(Grandview_Inventory[[#This Row],[condition]],Lookups!$H$17:$J$24,3,FALSE),0)</f>
        <v>-4503</v>
      </c>
      <c r="BL2013" s="6">
        <f>Grandview_Inventory[[#This Row],[Eff_Age]]*Lookups!$B$14</f>
        <v>-12197.496599999999</v>
      </c>
      <c r="BM2013" s="6">
        <f>Grandview_Inventory[[#This Row],[living_area]]*Lookups!$B$15</f>
        <v>149963.57061200001</v>
      </c>
      <c r="BN2013" s="6">
        <f>Grandview_Inventory[[#This Row],[Fin BSMT]]*Lookups!$B$16</f>
        <v>-29592.370080000001</v>
      </c>
      <c r="BO2013" s="6">
        <f>(Grandview_Inventory[[#This Row],[att_gar]]+Grandview_Inventory[[#This Row],[bltin_gar]])*Lookups!$B$17</f>
        <v>0</v>
      </c>
      <c r="BP2013" s="6">
        <f>Grandview_Inventory[[#This Row],[Plumbing Fixtures]]*Lookups!$B$18</f>
        <v>18093.976200000001</v>
      </c>
      <c r="BQ2013" s="6">
        <f>Grandview_Inventory[[#This Row],[detatched_value]]*Lookups!$B$19</f>
        <v>7367.2043699999995</v>
      </c>
      <c r="BR2013" s="6">
        <f>SUM(Grandview_Inventory[[#This Row],[Intercept]:[det_value]])*Grandview_Inventory[[#This Row],[res_pct]]</f>
        <v>295698.83450199995</v>
      </c>
      <c r="BS2013" s="6">
        <f>Grandview_Inventory[[#This Row],[land_value]]</f>
        <v>54949.136287295303</v>
      </c>
      <c r="BT2013" s="4">
        <f>_xlfn.IFNA(VLOOKUP(Grandview_Inventory[[#This Row],[quality]],Lookups!$A$26:$C$33,3,FALSE),1)</f>
        <v>0.98079741117310582</v>
      </c>
      <c r="BU2013" s="4">
        <f>_xlfn.IFNA(VLOOKUP(Grandview_Inventory[[#This Row],[condition]],Lookups!$A$37:$C$44,3,FALSE),1)</f>
        <v>0.96469275950863709</v>
      </c>
      <c r="BV2013" s="4">
        <f>IF(Grandview_Inventory[[#This Row],[bldg_style]]="",1,_xlfn.IFNA(VLOOKUP(Grandview_Inventory[[#This Row],[decade]],Lookups!$F$29:$H$43,3,FALSE),1))</f>
        <v>0.98763256963907298</v>
      </c>
      <c r="BW2013" s="4">
        <f>_xlfn.IFNA(VLOOKUP(Grandview_Inventory[[#This Row],[living_area_range]],Lookups!$F$47:$H$56,3,FALSE),1)</f>
        <v>0.95799442568048754</v>
      </c>
      <c r="BX2013" s="4">
        <f>AVERAGE(Grandview_Inventory[[#This Row],[qual_adj]:[size_adj]])</f>
        <v>0.97277929150032583</v>
      </c>
      <c r="BY2013" s="6">
        <f>IF(Grandview_Inventory[[#This Row],[pre_res]]&lt;0,0,Grandview_Inventory[[#This Row],[pre_res]]*Grandview_Inventory[[#This Row],[overall_adj]])</f>
        <v>287649.70272432762</v>
      </c>
      <c r="BZ2013" s="6">
        <f>(Grandview_Inventory[[#This Row],[sum_land]]-IF(Grandview_Inventory[[#This Row],[no_utilities]]=1,12000,0))/IF(Grandview_Inventory[[#This Row],[unbuildable]]=1,2,1)</f>
        <v>54949.136287295303</v>
      </c>
      <c r="CA2013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2013">
        <f>ROUND(Grandview_Inventory[[#This Row],[det_value]]*Lookups!$M$28,-2)</f>
        <v>7000</v>
      </c>
      <c r="CC2013">
        <f>IF(ROUND(Grandview_Inventory[[#This Row],[adj_res]]*Lookups!$M$28,-2)&lt;Grandview_Inventory[[#This Row],[min_res]],Grandview_Inventory[[#This Row],[min_res]],ROUND(Grandview_Inventory[[#This Row],[adj_res]]*Lookups!$M$28,-2))</f>
        <v>273300</v>
      </c>
      <c r="CD2013">
        <f>Grandview_Inventory[[#This Row],[final_det]]+Grandview_Inventory[[#This Row],[final_res]]</f>
        <v>280300</v>
      </c>
      <c r="CE2013">
        <f>Grandview_Inventory[[#This Row],[final_land]]+Grandview_Inventory[[#This Row],[final_imp]]+Grandview_Inventory[[#This Row],[crop_value]]</f>
        <v>332500</v>
      </c>
      <c r="CG2013" t="str">
        <f t="shared" si="31"/>
        <v>update valuation set market_land =52200, market_bldg=280300, market_total =332500, market_mdno =401, market_date ='9/10/2023' where link_id = (select link_id from parcel where parcel_year = '2024' and parcel_id = '23092422400');</v>
      </c>
    </row>
    <row r="2014" spans="1:85" x14ac:dyDescent="0.25">
      <c r="A2014">
        <v>23092422403</v>
      </c>
      <c r="B2014">
        <v>0.17</v>
      </c>
      <c r="C2014">
        <v>7505</v>
      </c>
      <c r="D2014" t="s">
        <v>129</v>
      </c>
      <c r="E2014" t="s">
        <v>53</v>
      </c>
      <c r="F2014" t="s">
        <v>53</v>
      </c>
      <c r="G2014">
        <v>4</v>
      </c>
      <c r="H2014" t="s">
        <v>54</v>
      </c>
      <c r="I2014">
        <v>182500</v>
      </c>
      <c r="J2014">
        <v>38800</v>
      </c>
      <c r="K2014">
        <v>0.17</v>
      </c>
      <c r="L201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014">
        <v>0</v>
      </c>
      <c r="N2014">
        <v>0</v>
      </c>
      <c r="O2014">
        <v>0</v>
      </c>
      <c r="P2014">
        <v>13398.7528</v>
      </c>
      <c r="Q2014">
        <v>63903</v>
      </c>
      <c r="R2014">
        <f>(Grandview_Inventory[[#This Row],[ln_acres]]*Grandview_Inventory[[#This Row],[coeff]])+Grandview_Inventory[[#This Row],[const]]</f>
        <v>40160.988302686128</v>
      </c>
      <c r="S2014" t="s">
        <v>61</v>
      </c>
      <c r="T2014">
        <v>1</v>
      </c>
      <c r="U2014" t="s">
        <v>65</v>
      </c>
      <c r="V2014" t="s">
        <v>69</v>
      </c>
      <c r="W2014">
        <v>0</v>
      </c>
      <c r="X2014">
        <v>0</v>
      </c>
      <c r="Y2014">
        <v>50</v>
      </c>
      <c r="Z2014">
        <v>73</v>
      </c>
      <c r="AA2014">
        <v>80</v>
      </c>
      <c r="AB2014">
        <v>1500</v>
      </c>
      <c r="AC2014">
        <v>1357</v>
      </c>
      <c r="AD2014">
        <v>1357</v>
      </c>
      <c r="AE2014">
        <v>0</v>
      </c>
      <c r="AF2014">
        <v>0</v>
      </c>
      <c r="AG2014">
        <v>0</v>
      </c>
      <c r="AH2014">
        <v>0</v>
      </c>
      <c r="AI2014">
        <v>294</v>
      </c>
      <c r="AJ2014">
        <v>0</v>
      </c>
      <c r="AK2014">
        <v>0</v>
      </c>
      <c r="AL2014">
        <v>0</v>
      </c>
      <c r="AM2014">
        <v>0</v>
      </c>
      <c r="AN2014">
        <v>100</v>
      </c>
      <c r="AO2014">
        <v>0</v>
      </c>
      <c r="AP2014">
        <v>5</v>
      </c>
      <c r="AQ2014">
        <v>0</v>
      </c>
      <c r="AR2014">
        <v>1</v>
      </c>
      <c r="AS2014" t="s">
        <v>58</v>
      </c>
      <c r="AT2014">
        <v>1</v>
      </c>
      <c r="AU2014" t="s">
        <v>63</v>
      </c>
      <c r="AV2014" t="s">
        <v>60</v>
      </c>
      <c r="AW2014">
        <v>1</v>
      </c>
      <c r="AX2014">
        <v>3</v>
      </c>
      <c r="AY2014">
        <v>0</v>
      </c>
      <c r="AZ2014">
        <v>0</v>
      </c>
      <c r="BA2014">
        <v>100</v>
      </c>
      <c r="BB2014">
        <v>100</v>
      </c>
      <c r="BC2014">
        <v>100</v>
      </c>
      <c r="BD2014">
        <v>100</v>
      </c>
      <c r="BE2014">
        <v>1</v>
      </c>
      <c r="BF2014">
        <v>15000</v>
      </c>
      <c r="BG2014">
        <v>1000</v>
      </c>
      <c r="BH2014" s="6">
        <f>Grandview_Inventory[[#This Row],[land_extract]]*Lookups!$B$3</f>
        <v>46638.847281240982</v>
      </c>
      <c r="BI2014" s="6">
        <f>IF(Grandview_Inventory[[#This Row],[bldg_style]]="",0,Lookups!$B$2)</f>
        <v>155833.95000000001</v>
      </c>
      <c r="BJ2014" s="6">
        <f>_xlfn.IFNA(VLOOKUP(Grandview_Inventory[[#This Row],[quality]],Lookups!$H$2:$J$14,3,FALSE),0)</f>
        <v>2251</v>
      </c>
      <c r="BK2014" s="6">
        <f>_xlfn.IFNA(VLOOKUP(Grandview_Inventory[[#This Row],[condition]],Lookups!$H$17:$J$24,3,FALSE),0)</f>
        <v>-4503</v>
      </c>
      <c r="BL2014" s="6">
        <f>Grandview_Inventory[[#This Row],[Eff_Age]]*Lookups!$B$14</f>
        <v>-11958.33</v>
      </c>
      <c r="BM2014" s="6">
        <f>Grandview_Inventory[[#This Row],[living_area]]*Lookups!$B$15</f>
        <v>84650.817521000004</v>
      </c>
      <c r="BN2014" s="6">
        <f>Grandview_Inventory[[#This Row],[Fin BSMT]]*Lookups!$B$16</f>
        <v>0</v>
      </c>
      <c r="BO2014" s="6">
        <f>(Grandview_Inventory[[#This Row],[att_gar]]+Grandview_Inventory[[#This Row],[bltin_gar]])*Lookups!$B$17</f>
        <v>25731.008478</v>
      </c>
      <c r="BP2014" s="6">
        <f>Grandview_Inventory[[#This Row],[Plumbing Fixtures]]*Lookups!$B$18</f>
        <v>10052.209000000001</v>
      </c>
      <c r="BQ2014" s="6">
        <f>Grandview_Inventory[[#This Row],[detatched_value]]*Lookups!$B$19</f>
        <v>0</v>
      </c>
      <c r="BR2014" s="6">
        <f>SUM(Grandview_Inventory[[#This Row],[Intercept]:[det_value]])*Grandview_Inventory[[#This Row],[res_pct]]</f>
        <v>262057.65499900005</v>
      </c>
      <c r="BS2014" s="6">
        <f>Grandview_Inventory[[#This Row],[land_value]]</f>
        <v>46638.847281240982</v>
      </c>
      <c r="BT2014" s="4">
        <f>_xlfn.IFNA(VLOOKUP(Grandview_Inventory[[#This Row],[quality]],Lookups!$A$26:$C$33,3,FALSE),1)</f>
        <v>0.98763855981004833</v>
      </c>
      <c r="BU2014" s="4">
        <f>_xlfn.IFNA(VLOOKUP(Grandview_Inventory[[#This Row],[condition]],Lookups!$A$37:$C$44,3,FALSE),1)</f>
        <v>0.96469275950863709</v>
      </c>
      <c r="BV2014" s="4">
        <f>IF(Grandview_Inventory[[#This Row],[bldg_style]]="",1,_xlfn.IFNA(VLOOKUP(Grandview_Inventory[[#This Row],[decade]],Lookups!$F$29:$H$43,3,FALSE),1))</f>
        <v>0.98763256963907298</v>
      </c>
      <c r="BW2014" s="4">
        <f>_xlfn.IFNA(VLOOKUP(Grandview_Inventory[[#This Row],[living_area_range]],Lookups!$F$47:$H$56,3,FALSE),1)</f>
        <v>0.96135087979789358</v>
      </c>
      <c r="BX2014" s="4">
        <f>AVERAGE(Grandview_Inventory[[#This Row],[qual_adj]:[size_adj]])</f>
        <v>0.97532869218891294</v>
      </c>
      <c r="BY2014" s="6">
        <f>IF(Grandview_Inventory[[#This Row],[pre_res]]&lt;0,0,Grandview_Inventory[[#This Row],[pre_res]]*Grandview_Inventory[[#This Row],[overall_adj]])</f>
        <v>255592.34992826806</v>
      </c>
      <c r="BZ2014" s="6">
        <f>(Grandview_Inventory[[#This Row],[sum_land]]-IF(Grandview_Inventory[[#This Row],[no_utilities]]=1,12000,0))/IF(Grandview_Inventory[[#This Row],[unbuildable]]=1,2,1)</f>
        <v>46638.847281240982</v>
      </c>
      <c r="CA201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014">
        <f>ROUND(Grandview_Inventory[[#This Row],[det_value]]*Lookups!$M$28,-2)</f>
        <v>0</v>
      </c>
      <c r="CC2014">
        <f>IF(ROUND(Grandview_Inventory[[#This Row],[adj_res]]*Lookups!$M$28,-2)&lt;Grandview_Inventory[[#This Row],[min_res]],Grandview_Inventory[[#This Row],[min_res]],ROUND(Grandview_Inventory[[#This Row],[adj_res]]*Lookups!$M$28,-2))</f>
        <v>242800</v>
      </c>
      <c r="CD2014">
        <f>Grandview_Inventory[[#This Row],[final_det]]+Grandview_Inventory[[#This Row],[final_res]]</f>
        <v>242800</v>
      </c>
      <c r="CE2014">
        <f>Grandview_Inventory[[#This Row],[final_land]]+Grandview_Inventory[[#This Row],[final_imp]]+Grandview_Inventory[[#This Row],[crop_value]]</f>
        <v>287100</v>
      </c>
      <c r="CG2014" t="str">
        <f t="shared" si="31"/>
        <v>update valuation set market_land =44300, market_bldg=242800, market_total =287100, market_mdno =401, market_date ='9/10/2023' where link_id = (select link_id from parcel where parcel_year = '2024' and parcel_id = '23092422403');</v>
      </c>
    </row>
    <row r="2015" spans="1:85" x14ac:dyDescent="0.25">
      <c r="A2015">
        <v>23092422404</v>
      </c>
      <c r="B2015">
        <v>0.13</v>
      </c>
      <c r="C2015">
        <v>5490</v>
      </c>
      <c r="D2015" t="s">
        <v>129</v>
      </c>
      <c r="E2015" t="s">
        <v>53</v>
      </c>
      <c r="F2015" t="s">
        <v>53</v>
      </c>
      <c r="G2015">
        <v>4</v>
      </c>
      <c r="H2015" t="s">
        <v>54</v>
      </c>
      <c r="I2015">
        <v>170100</v>
      </c>
      <c r="J2015">
        <v>38100</v>
      </c>
      <c r="K2015">
        <v>0.13</v>
      </c>
      <c r="L2015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015">
        <v>0</v>
      </c>
      <c r="N2015">
        <v>0</v>
      </c>
      <c r="O2015">
        <v>0</v>
      </c>
      <c r="P2015">
        <v>13398.7528</v>
      </c>
      <c r="Q2015">
        <v>63903</v>
      </c>
      <c r="R2015">
        <f>(Grandview_Inventory[[#This Row],[ln_acres]]*Grandview_Inventory[[#This Row],[coeff]])+Grandview_Inventory[[#This Row],[const]]</f>
        <v>36566.585461161507</v>
      </c>
      <c r="S2015" t="s">
        <v>68</v>
      </c>
      <c r="T2015">
        <v>1</v>
      </c>
      <c r="U2015" t="s">
        <v>80</v>
      </c>
      <c r="V2015" t="s">
        <v>67</v>
      </c>
      <c r="W2015">
        <v>0</v>
      </c>
      <c r="X2015">
        <v>0</v>
      </c>
      <c r="Y2015">
        <v>48</v>
      </c>
      <c r="Z2015">
        <v>59</v>
      </c>
      <c r="AA2015">
        <v>60</v>
      </c>
      <c r="AB2015">
        <v>1500</v>
      </c>
      <c r="AC2015">
        <v>1053</v>
      </c>
      <c r="AD2015">
        <v>1053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855</v>
      </c>
      <c r="AL2015">
        <v>0</v>
      </c>
      <c r="AM2015">
        <v>0</v>
      </c>
      <c r="AN2015">
        <v>0</v>
      </c>
      <c r="AO2015">
        <v>0</v>
      </c>
      <c r="AP2015">
        <v>5</v>
      </c>
      <c r="AQ2015">
        <v>0</v>
      </c>
      <c r="AR2015">
        <v>1</v>
      </c>
      <c r="AS2015" t="s">
        <v>58</v>
      </c>
      <c r="AT2015">
        <v>1</v>
      </c>
      <c r="AU2015" t="s">
        <v>63</v>
      </c>
      <c r="AV2015" t="s">
        <v>60</v>
      </c>
      <c r="AW2015">
        <v>0</v>
      </c>
      <c r="AX2015">
        <v>3</v>
      </c>
      <c r="AY2015">
        <v>0</v>
      </c>
      <c r="AZ2015">
        <v>0</v>
      </c>
      <c r="BA2015">
        <v>100</v>
      </c>
      <c r="BB2015">
        <v>100</v>
      </c>
      <c r="BC2015">
        <v>100</v>
      </c>
      <c r="BD2015">
        <v>100</v>
      </c>
      <c r="BE2015">
        <v>1</v>
      </c>
      <c r="BF2015">
        <v>15000</v>
      </c>
      <c r="BG2015">
        <v>1000</v>
      </c>
      <c r="BH2015" s="6">
        <f>Grandview_Inventory[[#This Row],[land_extract]]*Lookups!$B$3</f>
        <v>42464.67696626611</v>
      </c>
      <c r="BI2015" s="6">
        <f>IF(Grandview_Inventory[[#This Row],[bldg_style]]="",0,Lookups!$B$2)</f>
        <v>155833.95000000001</v>
      </c>
      <c r="BJ2015" s="6">
        <f>_xlfn.IFNA(VLOOKUP(Grandview_Inventory[[#This Row],[quality]],Lookups!$H$2:$J$14,3,FALSE),0)</f>
        <v>-28558</v>
      </c>
      <c r="BK2015" s="6">
        <f>_xlfn.IFNA(VLOOKUP(Grandview_Inventory[[#This Row],[condition]],Lookups!$H$17:$J$24,3,FALSE),0)</f>
        <v>22342</v>
      </c>
      <c r="BL2015" s="6">
        <f>Grandview_Inventory[[#This Row],[Eff_Age]]*Lookups!$B$14</f>
        <v>-11479.996799999999</v>
      </c>
      <c r="BM2015" s="6">
        <f>Grandview_Inventory[[#This Row],[living_area]]*Lookups!$B$15</f>
        <v>65687.038209000006</v>
      </c>
      <c r="BN2015" s="6">
        <f>Grandview_Inventory[[#This Row],[Fin BSMT]]*Lookups!$B$16</f>
        <v>0</v>
      </c>
      <c r="BO2015" s="6">
        <f>(Grandview_Inventory[[#This Row],[att_gar]]+Grandview_Inventory[[#This Row],[bltin_gar]])*Lookups!$B$17</f>
        <v>0</v>
      </c>
      <c r="BP2015" s="6">
        <f>Grandview_Inventory[[#This Row],[Plumbing Fixtures]]*Lookups!$B$18</f>
        <v>10052.209000000001</v>
      </c>
      <c r="BQ2015" s="6">
        <f>Grandview_Inventory[[#This Row],[detatched_value]]*Lookups!$B$19</f>
        <v>0</v>
      </c>
      <c r="BR2015" s="6">
        <f>SUM(Grandview_Inventory[[#This Row],[Intercept]:[det_value]])*Grandview_Inventory[[#This Row],[res_pct]]</f>
        <v>213877.20040900001</v>
      </c>
      <c r="BS2015" s="6">
        <f>Grandview_Inventory[[#This Row],[land_value]]</f>
        <v>42464.67696626611</v>
      </c>
      <c r="BT2015" s="4">
        <f>_xlfn.IFNA(VLOOKUP(Grandview_Inventory[[#This Row],[quality]],Lookups!$A$26:$C$33,3,FALSE),1)</f>
        <v>0.9690360070159818</v>
      </c>
      <c r="BU2015" s="4">
        <f>_xlfn.IFNA(VLOOKUP(Grandview_Inventory[[#This Row],[condition]],Lookups!$A$37:$C$44,3,FALSE),1)</f>
        <v>0.97383723671140243</v>
      </c>
      <c r="BV2015" s="4">
        <f>IF(Grandview_Inventory[[#This Row],[bldg_style]]="",1,_xlfn.IFNA(VLOOKUP(Grandview_Inventory[[#This Row],[decade]],Lookups!$F$29:$H$43,3,FALSE),1))</f>
        <v>0.95268620544463312</v>
      </c>
      <c r="BW2015" s="4">
        <f>_xlfn.IFNA(VLOOKUP(Grandview_Inventory[[#This Row],[living_area_range]],Lookups!$F$47:$H$56,3,FALSE),1)</f>
        <v>0.96135087979789358</v>
      </c>
      <c r="BX2015" s="4">
        <f>AVERAGE(Grandview_Inventory[[#This Row],[qual_adj]:[size_adj]])</f>
        <v>0.96422758224247773</v>
      </c>
      <c r="BY2015" s="6">
        <f>IF(Grandview_Inventory[[#This Row],[pre_res]]&lt;0,0,Grandview_Inventory[[#This Row],[pre_res]]*Grandview_Inventory[[#This Row],[overall_adj]])</f>
        <v>206226.29584715996</v>
      </c>
      <c r="BZ2015" s="6">
        <f>(Grandview_Inventory[[#This Row],[sum_land]]-IF(Grandview_Inventory[[#This Row],[no_utilities]]=1,12000,0))/IF(Grandview_Inventory[[#This Row],[unbuildable]]=1,2,1)</f>
        <v>42464.67696626611</v>
      </c>
      <c r="CA2015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015">
        <f>ROUND(Grandview_Inventory[[#This Row],[det_value]]*Lookups!$M$28,-2)</f>
        <v>0</v>
      </c>
      <c r="CC2015">
        <f>IF(ROUND(Grandview_Inventory[[#This Row],[adj_res]]*Lookups!$M$28,-2)&lt;Grandview_Inventory[[#This Row],[min_res]],Grandview_Inventory[[#This Row],[min_res]],ROUND(Grandview_Inventory[[#This Row],[adj_res]]*Lookups!$M$28,-2))</f>
        <v>195900</v>
      </c>
      <c r="CD2015">
        <f>Grandview_Inventory[[#This Row],[final_det]]+Grandview_Inventory[[#This Row],[final_res]]</f>
        <v>195900</v>
      </c>
      <c r="CE2015">
        <f>Grandview_Inventory[[#This Row],[final_land]]+Grandview_Inventory[[#This Row],[final_imp]]+Grandview_Inventory[[#This Row],[crop_value]]</f>
        <v>236200</v>
      </c>
      <c r="CG2015" t="str">
        <f t="shared" si="31"/>
        <v>update valuation set market_land =40300, market_bldg=195900, market_total =236200, market_mdno =401, market_date ='9/10/2023' where link_id = (select link_id from parcel where parcel_year = '2024' and parcel_id = '23092422404');</v>
      </c>
    </row>
    <row r="2016" spans="1:85" x14ac:dyDescent="0.25">
      <c r="A2016">
        <v>23092422405</v>
      </c>
      <c r="B2016">
        <v>0.23</v>
      </c>
      <c r="C2016">
        <v>9874</v>
      </c>
      <c r="D2016" t="s">
        <v>129</v>
      </c>
      <c r="E2016" t="s">
        <v>53</v>
      </c>
      <c r="F2016" t="s">
        <v>53</v>
      </c>
      <c r="G2016">
        <v>4</v>
      </c>
      <c r="H2016" t="s">
        <v>54</v>
      </c>
      <c r="I2016">
        <v>148000</v>
      </c>
      <c r="J2016">
        <v>39500</v>
      </c>
      <c r="K2016">
        <v>0.23</v>
      </c>
      <c r="L201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16">
        <v>0</v>
      </c>
      <c r="N2016">
        <v>0</v>
      </c>
      <c r="O2016">
        <v>0</v>
      </c>
      <c r="P2016">
        <v>13398.7528</v>
      </c>
      <c r="Q2016">
        <v>63903</v>
      </c>
      <c r="R2016">
        <f>(Grandview_Inventory[[#This Row],[ln_acres]]*Grandview_Inventory[[#This Row],[coeff]])+Grandview_Inventory[[#This Row],[const]]</f>
        <v>44211.174981080039</v>
      </c>
      <c r="S2016" t="s">
        <v>68</v>
      </c>
      <c r="T2016">
        <v>1</v>
      </c>
      <c r="U2016" t="s">
        <v>70</v>
      </c>
      <c r="V2016" t="s">
        <v>69</v>
      </c>
      <c r="W2016">
        <v>0</v>
      </c>
      <c r="X2016">
        <v>0</v>
      </c>
      <c r="Y2016">
        <v>53</v>
      </c>
      <c r="Z2016">
        <v>93</v>
      </c>
      <c r="AA2016">
        <v>100</v>
      </c>
      <c r="AB2016">
        <v>1500</v>
      </c>
      <c r="AC2016">
        <v>1120</v>
      </c>
      <c r="AD2016">
        <v>1120</v>
      </c>
      <c r="AE2016">
        <v>0</v>
      </c>
      <c r="AF2016">
        <v>0</v>
      </c>
      <c r="AG2016">
        <v>0</v>
      </c>
      <c r="AH2016">
        <v>0</v>
      </c>
      <c r="AI2016">
        <v>200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5</v>
      </c>
      <c r="AQ2016">
        <v>0</v>
      </c>
      <c r="AR2016">
        <v>0</v>
      </c>
      <c r="AS2016" t="s">
        <v>58</v>
      </c>
      <c r="AT2016">
        <v>1</v>
      </c>
      <c r="AU2016" t="s">
        <v>59</v>
      </c>
      <c r="AV2016" t="s">
        <v>60</v>
      </c>
      <c r="AW2016">
        <v>1</v>
      </c>
      <c r="AX2016">
        <v>2</v>
      </c>
      <c r="AY2016">
        <v>0</v>
      </c>
      <c r="AZ2016">
        <v>0</v>
      </c>
      <c r="BA2016">
        <v>100</v>
      </c>
      <c r="BB2016">
        <v>100</v>
      </c>
      <c r="BC2016">
        <v>100</v>
      </c>
      <c r="BD2016">
        <v>100</v>
      </c>
      <c r="BE2016">
        <v>1</v>
      </c>
      <c r="BF2016">
        <v>15000</v>
      </c>
      <c r="BG2016">
        <v>1000</v>
      </c>
      <c r="BH2016" s="6">
        <f>Grandview_Inventory[[#This Row],[land_extract]]*Lookups!$B$3</f>
        <v>51342.318135355803</v>
      </c>
      <c r="BI2016" s="6">
        <f>IF(Grandview_Inventory[[#This Row],[bldg_style]]="",0,Lookups!$B$2)</f>
        <v>155833.95000000001</v>
      </c>
      <c r="BJ2016" s="6">
        <f>_xlfn.IFNA(VLOOKUP(Grandview_Inventory[[#This Row],[quality]],Lookups!$H$2:$J$14,3,FALSE),0)</f>
        <v>10733</v>
      </c>
      <c r="BK2016" s="6">
        <f>_xlfn.IFNA(VLOOKUP(Grandview_Inventory[[#This Row],[condition]],Lookups!$H$17:$J$24,3,FALSE),0)</f>
        <v>-4503</v>
      </c>
      <c r="BL2016" s="6">
        <f>Grandview_Inventory[[#This Row],[Eff_Age]]*Lookups!$B$14</f>
        <v>-12675.8298</v>
      </c>
      <c r="BM2016" s="6">
        <f>Grandview_Inventory[[#This Row],[living_area]]*Lookups!$B$15</f>
        <v>69866.555359999998</v>
      </c>
      <c r="BN2016" s="6">
        <f>Grandview_Inventory[[#This Row],[Fin BSMT]]*Lookups!$B$16</f>
        <v>0</v>
      </c>
      <c r="BO2016" s="6">
        <f>(Grandview_Inventory[[#This Row],[att_gar]]+Grandview_Inventory[[#This Row],[bltin_gar]])*Lookups!$B$17</f>
        <v>17504.0874</v>
      </c>
      <c r="BP2016" s="6">
        <f>Grandview_Inventory[[#This Row],[Plumbing Fixtures]]*Lookups!$B$18</f>
        <v>10052.209000000001</v>
      </c>
      <c r="BQ2016" s="6">
        <f>Grandview_Inventory[[#This Row],[detatched_value]]*Lookups!$B$19</f>
        <v>0</v>
      </c>
      <c r="BR2016" s="6">
        <f>SUM(Grandview_Inventory[[#This Row],[Intercept]:[det_value]])*Grandview_Inventory[[#This Row],[res_pct]]</f>
        <v>246810.97196</v>
      </c>
      <c r="BS2016" s="6">
        <f>Grandview_Inventory[[#This Row],[land_value]]</f>
        <v>51342.318135355803</v>
      </c>
      <c r="BT2016" s="4">
        <f>_xlfn.IFNA(VLOOKUP(Grandview_Inventory[[#This Row],[quality]],Lookups!$A$26:$C$33,3,FALSE),1)</f>
        <v>0.98079741117310582</v>
      </c>
      <c r="BU2016" s="4">
        <f>_xlfn.IFNA(VLOOKUP(Grandview_Inventory[[#This Row],[condition]],Lookups!$A$37:$C$44,3,FALSE),1)</f>
        <v>0.96469275950863709</v>
      </c>
      <c r="BV2016" s="4">
        <f>IF(Grandview_Inventory[[#This Row],[bldg_style]]="",1,_xlfn.IFNA(VLOOKUP(Grandview_Inventory[[#This Row],[decade]],Lookups!$F$29:$H$43,3,FALSE),1))</f>
        <v>0.95244691841736806</v>
      </c>
      <c r="BW2016" s="4">
        <f>_xlfn.IFNA(VLOOKUP(Grandview_Inventory[[#This Row],[living_area_range]],Lookups!$F$47:$H$56,3,FALSE),1)</f>
        <v>0.96135087979789358</v>
      </c>
      <c r="BX2016" s="4">
        <f>AVERAGE(Grandview_Inventory[[#This Row],[qual_adj]:[size_adj]])</f>
        <v>0.96482199222425113</v>
      </c>
      <c r="BY2016" s="6">
        <f>IF(Grandview_Inventory[[#This Row],[pre_res]]&lt;0,0,Grandview_Inventory[[#This Row],[pre_res]]*Grandview_Inventory[[#This Row],[overall_adj]])</f>
        <v>238128.65366925098</v>
      </c>
      <c r="BZ2016" s="6">
        <f>(Grandview_Inventory[[#This Row],[sum_land]]-IF(Grandview_Inventory[[#This Row],[no_utilities]]=1,12000,0))/IF(Grandview_Inventory[[#This Row],[unbuildable]]=1,2,1)</f>
        <v>51342.318135355803</v>
      </c>
      <c r="CA201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16">
        <f>ROUND(Grandview_Inventory[[#This Row],[det_value]]*Lookups!$M$28,-2)</f>
        <v>0</v>
      </c>
      <c r="CC2016">
        <f>IF(ROUND(Grandview_Inventory[[#This Row],[adj_res]]*Lookups!$M$28,-2)&lt;Grandview_Inventory[[#This Row],[min_res]],Grandview_Inventory[[#This Row],[min_res]],ROUND(Grandview_Inventory[[#This Row],[adj_res]]*Lookups!$M$28,-2))</f>
        <v>226200</v>
      </c>
      <c r="CD2016">
        <f>Grandview_Inventory[[#This Row],[final_det]]+Grandview_Inventory[[#This Row],[final_res]]</f>
        <v>226200</v>
      </c>
      <c r="CE2016">
        <f>Grandview_Inventory[[#This Row],[final_land]]+Grandview_Inventory[[#This Row],[final_imp]]+Grandview_Inventory[[#This Row],[crop_value]]</f>
        <v>275000</v>
      </c>
      <c r="CG2016" t="str">
        <f t="shared" si="31"/>
        <v>update valuation set market_land =48800, market_bldg=226200, market_total =275000, market_mdno =401, market_date ='9/10/2023' where link_id = (select link_id from parcel where parcel_year = '2024' and parcel_id = '23092422405');</v>
      </c>
    </row>
    <row r="2017" spans="1:85" x14ac:dyDescent="0.25">
      <c r="A2017">
        <v>23092422407</v>
      </c>
      <c r="B2017">
        <v>0.39</v>
      </c>
      <c r="C2017">
        <v>17100</v>
      </c>
      <c r="D2017" t="s">
        <v>129</v>
      </c>
      <c r="E2017" t="s">
        <v>53</v>
      </c>
      <c r="F2017" t="s">
        <v>53</v>
      </c>
      <c r="G2017">
        <v>4</v>
      </c>
      <c r="H2017" t="s">
        <v>54</v>
      </c>
      <c r="I2017">
        <v>84400</v>
      </c>
      <c r="J2017">
        <v>41100</v>
      </c>
      <c r="K2017">
        <v>0.39</v>
      </c>
      <c r="L2017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2017">
        <v>0</v>
      </c>
      <c r="N2017">
        <v>0</v>
      </c>
      <c r="O2017">
        <v>0</v>
      </c>
      <c r="P2017">
        <v>13398.7528</v>
      </c>
      <c r="Q2017">
        <v>63903</v>
      </c>
      <c r="R2017">
        <f>(Grandview_Inventory[[#This Row],[ln_acres]]*Grandview_Inventory[[#This Row],[coeff]])+Grandview_Inventory[[#This Row],[const]]</f>
        <v>51286.619940067751</v>
      </c>
      <c r="S2017" t="s">
        <v>68</v>
      </c>
      <c r="T2017">
        <v>1</v>
      </c>
      <c r="U2017" t="s">
        <v>80</v>
      </c>
      <c r="V2017" t="s">
        <v>69</v>
      </c>
      <c r="W2017">
        <v>0</v>
      </c>
      <c r="X2017">
        <v>0</v>
      </c>
      <c r="Y2017">
        <v>51</v>
      </c>
      <c r="Z2017">
        <v>83</v>
      </c>
      <c r="AA2017">
        <v>90</v>
      </c>
      <c r="AB2017">
        <v>1000</v>
      </c>
      <c r="AC2017">
        <v>528</v>
      </c>
      <c r="AD2017">
        <v>528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5</v>
      </c>
      <c r="AQ2017">
        <v>0</v>
      </c>
      <c r="AR2017">
        <v>0</v>
      </c>
      <c r="AS2017" t="s">
        <v>58</v>
      </c>
      <c r="AT2017">
        <v>0</v>
      </c>
      <c r="AU2017" t="s">
        <v>82</v>
      </c>
      <c r="AV2017" t="s">
        <v>60</v>
      </c>
      <c r="AW2017">
        <v>0</v>
      </c>
      <c r="AX2017">
        <v>1</v>
      </c>
      <c r="AY2017">
        <v>0</v>
      </c>
      <c r="AZ2017">
        <v>5600</v>
      </c>
      <c r="BA2017">
        <v>100</v>
      </c>
      <c r="BB2017">
        <v>100</v>
      </c>
      <c r="BC2017">
        <v>100</v>
      </c>
      <c r="BD2017">
        <v>100</v>
      </c>
      <c r="BE2017">
        <v>1</v>
      </c>
      <c r="BF2017">
        <v>15000</v>
      </c>
      <c r="BG2017">
        <v>1000</v>
      </c>
      <c r="BH2017" s="6">
        <f>Grandview_Inventory[[#This Row],[land_extract]]*Lookups!$B$3</f>
        <v>59559.013262526838</v>
      </c>
      <c r="BI2017" s="6">
        <f>IF(Grandview_Inventory[[#This Row],[bldg_style]]="",0,Lookups!$B$2)</f>
        <v>155833.95000000001</v>
      </c>
      <c r="BJ2017" s="6">
        <f>_xlfn.IFNA(VLOOKUP(Grandview_Inventory[[#This Row],[quality]],Lookups!$H$2:$J$14,3,FALSE),0)</f>
        <v>-28558</v>
      </c>
      <c r="BK2017" s="6">
        <f>_xlfn.IFNA(VLOOKUP(Grandview_Inventory[[#This Row],[condition]],Lookups!$H$17:$J$24,3,FALSE),0)</f>
        <v>-4503</v>
      </c>
      <c r="BL2017" s="6">
        <f>Grandview_Inventory[[#This Row],[Eff_Age]]*Lookups!$B$14</f>
        <v>-12197.496599999999</v>
      </c>
      <c r="BM2017" s="6">
        <f>Grandview_Inventory[[#This Row],[living_area]]*Lookups!$B$15</f>
        <v>32937.090384000003</v>
      </c>
      <c r="BN2017" s="6">
        <f>Grandview_Inventory[[#This Row],[Fin BSMT]]*Lookups!$B$16</f>
        <v>0</v>
      </c>
      <c r="BO2017" s="6">
        <f>(Grandview_Inventory[[#This Row],[att_gar]]+Grandview_Inventory[[#This Row],[bltin_gar]])*Lookups!$B$17</f>
        <v>0</v>
      </c>
      <c r="BP2017" s="6">
        <f>Grandview_Inventory[[#This Row],[Plumbing Fixtures]]*Lookups!$B$18</f>
        <v>10052.209000000001</v>
      </c>
      <c r="BQ2017" s="6">
        <f>Grandview_Inventory[[#This Row],[detatched_value]]*Lookups!$B$19</f>
        <v>4742.1085599999997</v>
      </c>
      <c r="BR2017" s="6">
        <f>SUM(Grandview_Inventory[[#This Row],[Intercept]:[det_value]])*Grandview_Inventory[[#This Row],[res_pct]]</f>
        <v>158306.861344</v>
      </c>
      <c r="BS2017" s="6">
        <f>Grandview_Inventory[[#This Row],[land_value]]</f>
        <v>59559.013262526838</v>
      </c>
      <c r="BT2017" s="4">
        <f>_xlfn.IFNA(VLOOKUP(Grandview_Inventory[[#This Row],[quality]],Lookups!$A$26:$C$33,3,FALSE),1)</f>
        <v>0.9690360070159818</v>
      </c>
      <c r="BU2017" s="4">
        <f>_xlfn.IFNA(VLOOKUP(Grandview_Inventory[[#This Row],[condition]],Lookups!$A$37:$C$44,3,FALSE),1)</f>
        <v>0.96469275950863709</v>
      </c>
      <c r="BV2017" s="4">
        <f>IF(Grandview_Inventory[[#This Row],[bldg_style]]="",1,_xlfn.IFNA(VLOOKUP(Grandview_Inventory[[#This Row],[decade]],Lookups!$F$29:$H$43,3,FALSE),1))</f>
        <v>0.94161750052457416</v>
      </c>
      <c r="BW2017" s="4">
        <f>_xlfn.IFNA(VLOOKUP(Grandview_Inventory[[#This Row],[living_area_range]],Lookups!$F$47:$H$56,3,FALSE),1)</f>
        <v>0.94306777142782894</v>
      </c>
      <c r="BX2017" s="4">
        <f>AVERAGE(Grandview_Inventory[[#This Row],[qual_adj]:[size_adj]])</f>
        <v>0.95460350961925544</v>
      </c>
      <c r="BY2017" s="6">
        <f>IF(Grandview_Inventory[[#This Row],[pre_res]]&lt;0,0,Grandview_Inventory[[#This Row],[pre_res]]*Grandview_Inventory[[#This Row],[overall_adj]])</f>
        <v>151120.28543579124</v>
      </c>
      <c r="BZ2017" s="6">
        <f>(Grandview_Inventory[[#This Row],[sum_land]]-IF(Grandview_Inventory[[#This Row],[no_utilities]]=1,12000,0))/IF(Grandview_Inventory[[#This Row],[unbuildable]]=1,2,1)</f>
        <v>59559.013262526838</v>
      </c>
      <c r="CA2017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2017">
        <f>ROUND(Grandview_Inventory[[#This Row],[det_value]]*Lookups!$M$28,-2)</f>
        <v>4500</v>
      </c>
      <c r="CC2017">
        <f>IF(ROUND(Grandview_Inventory[[#This Row],[adj_res]]*Lookups!$M$28,-2)&lt;Grandview_Inventory[[#This Row],[min_res]],Grandview_Inventory[[#This Row],[min_res]],ROUND(Grandview_Inventory[[#This Row],[adj_res]]*Lookups!$M$28,-2))</f>
        <v>143600</v>
      </c>
      <c r="CD2017">
        <f>Grandview_Inventory[[#This Row],[final_det]]+Grandview_Inventory[[#This Row],[final_res]]</f>
        <v>148100</v>
      </c>
      <c r="CE2017">
        <f>Grandview_Inventory[[#This Row],[final_land]]+Grandview_Inventory[[#This Row],[final_imp]]+Grandview_Inventory[[#This Row],[crop_value]]</f>
        <v>204700</v>
      </c>
      <c r="CG2017" t="str">
        <f t="shared" si="31"/>
        <v>update valuation set market_land =56600, market_bldg=148100, market_total =204700, market_mdno =401, market_date ='9/10/2023' where link_id = (select link_id from parcel where parcel_year = '2024' and parcel_id = '23092422407');</v>
      </c>
    </row>
    <row r="2018" spans="1:85" x14ac:dyDescent="0.25">
      <c r="A2018">
        <v>23092422408</v>
      </c>
      <c r="B2018">
        <v>0.55000000000000004</v>
      </c>
      <c r="C2018">
        <v>23758</v>
      </c>
      <c r="D2018" t="s">
        <v>129</v>
      </c>
      <c r="E2018" t="s">
        <v>53</v>
      </c>
      <c r="F2018" t="s">
        <v>53</v>
      </c>
      <c r="G2018">
        <v>4</v>
      </c>
      <c r="H2018" t="s">
        <v>54</v>
      </c>
      <c r="I2018">
        <v>218600</v>
      </c>
      <c r="J2018">
        <v>41900</v>
      </c>
      <c r="K2018">
        <v>0.55000000000000004</v>
      </c>
      <c r="L2018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2018">
        <v>0</v>
      </c>
      <c r="N2018">
        <v>0</v>
      </c>
      <c r="O2018">
        <v>0</v>
      </c>
      <c r="P2018">
        <v>13398.7528</v>
      </c>
      <c r="Q2018">
        <v>63903</v>
      </c>
      <c r="R2018">
        <f>(Grandview_Inventory[[#This Row],[ln_acres]]*Grandview_Inventory[[#This Row],[coeff]])+Grandview_Inventory[[#This Row],[const]]</f>
        <v>55892.729812182028</v>
      </c>
      <c r="S2018" t="s">
        <v>61</v>
      </c>
      <c r="T2018">
        <v>1</v>
      </c>
      <c r="U2018" t="s">
        <v>62</v>
      </c>
      <c r="V2018" t="s">
        <v>69</v>
      </c>
      <c r="W2018">
        <v>0</v>
      </c>
      <c r="X2018">
        <v>0</v>
      </c>
      <c r="Y2018">
        <v>51</v>
      </c>
      <c r="Z2018">
        <v>77</v>
      </c>
      <c r="AA2018">
        <v>80</v>
      </c>
      <c r="AB2018">
        <v>3000</v>
      </c>
      <c r="AC2018">
        <v>2832</v>
      </c>
      <c r="AD2018">
        <v>1416</v>
      </c>
      <c r="AE2018">
        <v>0</v>
      </c>
      <c r="AF2018">
        <v>0</v>
      </c>
      <c r="AG2018">
        <v>1416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520</v>
      </c>
      <c r="AN2018">
        <v>18</v>
      </c>
      <c r="AO2018">
        <v>520</v>
      </c>
      <c r="AP2018">
        <v>10</v>
      </c>
      <c r="AQ2018">
        <v>0</v>
      </c>
      <c r="AR2018">
        <v>1</v>
      </c>
      <c r="AS2018" t="s">
        <v>58</v>
      </c>
      <c r="AT2018">
        <v>1</v>
      </c>
      <c r="AU2018" t="s">
        <v>63</v>
      </c>
      <c r="AV2018" t="s">
        <v>64</v>
      </c>
      <c r="AW2018">
        <v>1</v>
      </c>
      <c r="AX2018">
        <v>4</v>
      </c>
      <c r="AY2018">
        <v>0</v>
      </c>
      <c r="AZ2018">
        <v>19900</v>
      </c>
      <c r="BA2018">
        <v>100</v>
      </c>
      <c r="BB2018">
        <v>100</v>
      </c>
      <c r="BC2018">
        <v>100</v>
      </c>
      <c r="BD2018">
        <v>100</v>
      </c>
      <c r="BE2018">
        <v>1</v>
      </c>
      <c r="BF2018">
        <v>15000</v>
      </c>
      <c r="BG2018">
        <v>1000</v>
      </c>
      <c r="BH2018" s="6">
        <f>Grandview_Inventory[[#This Row],[land_extract]]*Lookups!$B$3</f>
        <v>64908.076220516494</v>
      </c>
      <c r="BI2018" s="6">
        <f>IF(Grandview_Inventory[[#This Row],[bldg_style]]="",0,Lookups!$B$2)</f>
        <v>155833.95000000001</v>
      </c>
      <c r="BJ2018" s="6">
        <f>_xlfn.IFNA(VLOOKUP(Grandview_Inventory[[#This Row],[quality]],Lookups!$H$2:$J$14,3,FALSE),0)</f>
        <v>9808</v>
      </c>
      <c r="BK2018" s="6">
        <f>_xlfn.IFNA(VLOOKUP(Grandview_Inventory[[#This Row],[condition]],Lookups!$H$17:$J$24,3,FALSE),0)</f>
        <v>-4503</v>
      </c>
      <c r="BL2018" s="6">
        <f>Grandview_Inventory[[#This Row],[Eff_Age]]*Lookups!$B$14</f>
        <v>-12197.496599999999</v>
      </c>
      <c r="BM2018" s="6">
        <f>Grandview_Inventory[[#This Row],[living_area]]*Lookups!$B$15</f>
        <v>176662.57569600001</v>
      </c>
      <c r="BN2018" s="6">
        <f>Grandview_Inventory[[#This Row],[Fin BSMT]]*Lookups!$B$16</f>
        <v>-38372.523840000002</v>
      </c>
      <c r="BO2018" s="6">
        <f>(Grandview_Inventory[[#This Row],[att_gar]]+Grandview_Inventory[[#This Row],[bltin_gar]])*Lookups!$B$17</f>
        <v>0</v>
      </c>
      <c r="BP2018" s="6">
        <f>Grandview_Inventory[[#This Row],[Plumbing Fixtures]]*Lookups!$B$18</f>
        <v>20104.418000000001</v>
      </c>
      <c r="BQ2018" s="6">
        <f>Grandview_Inventory[[#This Row],[detatched_value]]*Lookups!$B$19</f>
        <v>16851.421490000001</v>
      </c>
      <c r="BR2018" s="6">
        <f>SUM(Grandview_Inventory[[#This Row],[Intercept]:[det_value]])*Grandview_Inventory[[#This Row],[res_pct]]</f>
        <v>324187.34474600002</v>
      </c>
      <c r="BS2018" s="6">
        <f>Grandview_Inventory[[#This Row],[land_value]]</f>
        <v>64908.076220516494</v>
      </c>
      <c r="BT2018" s="4">
        <f>_xlfn.IFNA(VLOOKUP(Grandview_Inventory[[#This Row],[quality]],Lookups!$A$26:$C$33,3,FALSE),1)</f>
        <v>0.94295468617355149</v>
      </c>
      <c r="BU2018" s="4">
        <f>_xlfn.IFNA(VLOOKUP(Grandview_Inventory[[#This Row],[condition]],Lookups!$A$37:$C$44,3,FALSE),1)</f>
        <v>0.96469275950863709</v>
      </c>
      <c r="BV2018" s="4">
        <f>IF(Grandview_Inventory[[#This Row],[bldg_style]]="",1,_xlfn.IFNA(VLOOKUP(Grandview_Inventory[[#This Row],[decade]],Lookups!$F$29:$H$43,3,FALSE),1))</f>
        <v>0.98763256963907298</v>
      </c>
      <c r="BW2018" s="4">
        <f>_xlfn.IFNA(VLOOKUP(Grandview_Inventory[[#This Row],[living_area_range]],Lookups!$F$47:$H$56,3,FALSE),1)</f>
        <v>0.94224801443562123</v>
      </c>
      <c r="BX2018" s="4">
        <f>AVERAGE(Grandview_Inventory[[#This Row],[qual_adj]:[size_adj]])</f>
        <v>0.95938200743922075</v>
      </c>
      <c r="BY2018" s="6">
        <f>IF(Grandview_Inventory[[#This Row],[pre_res]]&lt;0,0,Grandview_Inventory[[#This Row],[pre_res]]*Grandview_Inventory[[#This Row],[overall_adj]])</f>
        <v>311019.50558880821</v>
      </c>
      <c r="BZ2018" s="6">
        <f>(Grandview_Inventory[[#This Row],[sum_land]]-IF(Grandview_Inventory[[#This Row],[no_utilities]]=1,12000,0))/IF(Grandview_Inventory[[#This Row],[unbuildable]]=1,2,1)</f>
        <v>64908.076220516494</v>
      </c>
      <c r="CA2018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2018">
        <f>ROUND(Grandview_Inventory[[#This Row],[det_value]]*Lookups!$M$28,-2)</f>
        <v>16000</v>
      </c>
      <c r="CC2018">
        <f>IF(ROUND(Grandview_Inventory[[#This Row],[adj_res]]*Lookups!$M$28,-2)&lt;Grandview_Inventory[[#This Row],[min_res]],Grandview_Inventory[[#This Row],[min_res]],ROUND(Grandview_Inventory[[#This Row],[adj_res]]*Lookups!$M$28,-2))</f>
        <v>295500</v>
      </c>
      <c r="CD2018">
        <f>Grandview_Inventory[[#This Row],[final_det]]+Grandview_Inventory[[#This Row],[final_res]]</f>
        <v>311500</v>
      </c>
      <c r="CE2018">
        <f>Grandview_Inventory[[#This Row],[final_land]]+Grandview_Inventory[[#This Row],[final_imp]]+Grandview_Inventory[[#This Row],[crop_value]]</f>
        <v>373200</v>
      </c>
      <c r="CG2018" t="str">
        <f t="shared" si="31"/>
        <v>update valuation set market_land =61700, market_bldg=311500, market_total =373200, market_mdno =401, market_date ='9/10/2023' where link_id = (select link_id from parcel where parcel_year = '2024' and parcel_id = '23092422408');</v>
      </c>
    </row>
    <row r="2019" spans="1:85" x14ac:dyDescent="0.25">
      <c r="A2019">
        <v>23092422410</v>
      </c>
      <c r="B2019">
        <v>0.33</v>
      </c>
      <c r="C2019">
        <v>14523</v>
      </c>
      <c r="D2019" t="s">
        <v>129</v>
      </c>
      <c r="E2019" t="s">
        <v>53</v>
      </c>
      <c r="F2019" t="s">
        <v>53</v>
      </c>
      <c r="G2019">
        <v>4</v>
      </c>
      <c r="H2019" t="s">
        <v>54</v>
      </c>
      <c r="I2019">
        <v>144200</v>
      </c>
      <c r="J2019">
        <v>41200</v>
      </c>
      <c r="K2019">
        <v>0.33</v>
      </c>
      <c r="L2019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2019">
        <v>0</v>
      </c>
      <c r="N2019">
        <v>0</v>
      </c>
      <c r="O2019">
        <v>0</v>
      </c>
      <c r="P2019">
        <v>13398.7528</v>
      </c>
      <c r="Q2019">
        <v>63903</v>
      </c>
      <c r="R2019">
        <f>(Grandview_Inventory[[#This Row],[ln_acres]]*Grandview_Inventory[[#This Row],[coeff]])+Grandview_Inventory[[#This Row],[const]]</f>
        <v>49048.303555435712</v>
      </c>
      <c r="S2019" t="s">
        <v>68</v>
      </c>
      <c r="T2019">
        <v>1</v>
      </c>
      <c r="U2019" t="s">
        <v>70</v>
      </c>
      <c r="V2019" t="s">
        <v>69</v>
      </c>
      <c r="W2019">
        <v>0</v>
      </c>
      <c r="X2019">
        <v>0</v>
      </c>
      <c r="Y2019">
        <v>53</v>
      </c>
      <c r="Z2019">
        <v>93</v>
      </c>
      <c r="AA2019">
        <v>100</v>
      </c>
      <c r="AB2019">
        <v>1500</v>
      </c>
      <c r="AC2019">
        <v>1376</v>
      </c>
      <c r="AD2019">
        <v>926</v>
      </c>
      <c r="AE2019">
        <v>0</v>
      </c>
      <c r="AF2019">
        <v>0</v>
      </c>
      <c r="AG2019">
        <v>450</v>
      </c>
      <c r="AH2019">
        <v>476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35</v>
      </c>
      <c r="AO2019">
        <v>0</v>
      </c>
      <c r="AP2019">
        <v>8</v>
      </c>
      <c r="AQ2019">
        <v>1</v>
      </c>
      <c r="AR2019">
        <v>0</v>
      </c>
      <c r="AS2019" t="s">
        <v>58</v>
      </c>
      <c r="AT2019">
        <v>1</v>
      </c>
      <c r="AU2019" t="s">
        <v>63</v>
      </c>
      <c r="AV2019" t="s">
        <v>60</v>
      </c>
      <c r="AW2019">
        <v>0</v>
      </c>
      <c r="AX2019">
        <v>3</v>
      </c>
      <c r="AY2019">
        <v>0</v>
      </c>
      <c r="AZ2019">
        <v>0</v>
      </c>
      <c r="BA2019">
        <v>100</v>
      </c>
      <c r="BB2019">
        <v>100</v>
      </c>
      <c r="BC2019">
        <v>100</v>
      </c>
      <c r="BD2019">
        <v>100</v>
      </c>
      <c r="BE2019">
        <v>1</v>
      </c>
      <c r="BF2019">
        <v>15000</v>
      </c>
      <c r="BG2019">
        <v>1000</v>
      </c>
      <c r="BH2019" s="6">
        <f>Grandview_Inventory[[#This Row],[land_extract]]*Lookups!$B$3</f>
        <v>56959.662488507893</v>
      </c>
      <c r="BI2019" s="6">
        <f>IF(Grandview_Inventory[[#This Row],[bldg_style]]="",0,Lookups!$B$2)</f>
        <v>155833.95000000001</v>
      </c>
      <c r="BJ2019" s="6">
        <f>_xlfn.IFNA(VLOOKUP(Grandview_Inventory[[#This Row],[quality]],Lookups!$H$2:$J$14,3,FALSE),0)</f>
        <v>10733</v>
      </c>
      <c r="BK2019" s="6">
        <f>_xlfn.IFNA(VLOOKUP(Grandview_Inventory[[#This Row],[condition]],Lookups!$H$17:$J$24,3,FALSE),0)</f>
        <v>-4503</v>
      </c>
      <c r="BL2019" s="6">
        <f>Grandview_Inventory[[#This Row],[Eff_Age]]*Lookups!$B$14</f>
        <v>-12675.8298</v>
      </c>
      <c r="BM2019" s="6">
        <f>Grandview_Inventory[[#This Row],[living_area]]*Lookups!$B$15</f>
        <v>85836.053727999999</v>
      </c>
      <c r="BN2019" s="6">
        <f>Grandview_Inventory[[#This Row],[Fin BSMT]]*Lookups!$B$16</f>
        <v>-12194.658000000001</v>
      </c>
      <c r="BO2019" s="6">
        <f>(Grandview_Inventory[[#This Row],[att_gar]]+Grandview_Inventory[[#This Row],[bltin_gar]])*Lookups!$B$17</f>
        <v>0</v>
      </c>
      <c r="BP2019" s="6">
        <f>Grandview_Inventory[[#This Row],[Plumbing Fixtures]]*Lookups!$B$18</f>
        <v>16083.5344</v>
      </c>
      <c r="BQ2019" s="6">
        <f>Grandview_Inventory[[#This Row],[detatched_value]]*Lookups!$B$19</f>
        <v>0</v>
      </c>
      <c r="BR2019" s="6">
        <f>SUM(Grandview_Inventory[[#This Row],[Intercept]:[det_value]])*Grandview_Inventory[[#This Row],[res_pct]]</f>
        <v>239113.05032800001</v>
      </c>
      <c r="BS2019" s="6">
        <f>Grandview_Inventory[[#This Row],[land_value]]</f>
        <v>56959.662488507893</v>
      </c>
      <c r="BT2019" s="4">
        <f>_xlfn.IFNA(VLOOKUP(Grandview_Inventory[[#This Row],[quality]],Lookups!$A$26:$C$33,3,FALSE),1)</f>
        <v>0.98079741117310582</v>
      </c>
      <c r="BU2019" s="4">
        <f>_xlfn.IFNA(VLOOKUP(Grandview_Inventory[[#This Row],[condition]],Lookups!$A$37:$C$44,3,FALSE),1)</f>
        <v>0.96469275950863709</v>
      </c>
      <c r="BV2019" s="4">
        <f>IF(Grandview_Inventory[[#This Row],[bldg_style]]="",1,_xlfn.IFNA(VLOOKUP(Grandview_Inventory[[#This Row],[decade]],Lookups!$F$29:$H$43,3,FALSE),1))</f>
        <v>0.95244691841736806</v>
      </c>
      <c r="BW2019" s="4">
        <f>_xlfn.IFNA(VLOOKUP(Grandview_Inventory[[#This Row],[living_area_range]],Lookups!$F$47:$H$56,3,FALSE),1)</f>
        <v>0.96135087979789358</v>
      </c>
      <c r="BX2019" s="4">
        <f>AVERAGE(Grandview_Inventory[[#This Row],[qual_adj]:[size_adj]])</f>
        <v>0.96482199222425113</v>
      </c>
      <c r="BY2019" s="6">
        <f>IF(Grandview_Inventory[[#This Row],[pre_res]]&lt;0,0,Grandview_Inventory[[#This Row],[pre_res]]*Grandview_Inventory[[#This Row],[overall_adj]])</f>
        <v>230701.52958427859</v>
      </c>
      <c r="BZ2019" s="6">
        <f>(Grandview_Inventory[[#This Row],[sum_land]]-IF(Grandview_Inventory[[#This Row],[no_utilities]]=1,12000,0))/IF(Grandview_Inventory[[#This Row],[unbuildable]]=1,2,1)</f>
        <v>56959.662488507893</v>
      </c>
      <c r="CA2019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2019">
        <f>ROUND(Grandview_Inventory[[#This Row],[det_value]]*Lookups!$M$28,-2)</f>
        <v>0</v>
      </c>
      <c r="CC2019">
        <f>IF(ROUND(Grandview_Inventory[[#This Row],[adj_res]]*Lookups!$M$28,-2)&lt;Grandview_Inventory[[#This Row],[min_res]],Grandview_Inventory[[#This Row],[min_res]],ROUND(Grandview_Inventory[[#This Row],[adj_res]]*Lookups!$M$28,-2))</f>
        <v>219200</v>
      </c>
      <c r="CD2019">
        <f>Grandview_Inventory[[#This Row],[final_det]]+Grandview_Inventory[[#This Row],[final_res]]</f>
        <v>219200</v>
      </c>
      <c r="CE2019">
        <f>Grandview_Inventory[[#This Row],[final_land]]+Grandview_Inventory[[#This Row],[final_imp]]+Grandview_Inventory[[#This Row],[crop_value]]</f>
        <v>273300</v>
      </c>
      <c r="CG2019" t="str">
        <f t="shared" si="31"/>
        <v>update valuation set market_land =54100, market_bldg=219200, market_total =273300, market_mdno =401, market_date ='9/10/2023' where link_id = (select link_id from parcel where parcel_year = '2024' and parcel_id = '23092422410');</v>
      </c>
    </row>
    <row r="2020" spans="1:85" x14ac:dyDescent="0.25">
      <c r="A2020">
        <v>23092422412</v>
      </c>
      <c r="B2020">
        <v>0.23</v>
      </c>
      <c r="C2020">
        <v>9808</v>
      </c>
      <c r="D2020" t="s">
        <v>129</v>
      </c>
      <c r="E2020" t="s">
        <v>53</v>
      </c>
      <c r="F2020" t="s">
        <v>53</v>
      </c>
      <c r="G2020">
        <v>4</v>
      </c>
      <c r="H2020" t="s">
        <v>54</v>
      </c>
      <c r="I2020">
        <v>192100</v>
      </c>
      <c r="J2020">
        <v>39500</v>
      </c>
      <c r="K2020">
        <v>0.23</v>
      </c>
      <c r="L202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20">
        <v>0</v>
      </c>
      <c r="N2020">
        <v>0</v>
      </c>
      <c r="O2020">
        <v>0</v>
      </c>
      <c r="P2020">
        <v>13398.7528</v>
      </c>
      <c r="Q2020">
        <v>63903</v>
      </c>
      <c r="R2020">
        <f>(Grandview_Inventory[[#This Row],[ln_acres]]*Grandview_Inventory[[#This Row],[coeff]])+Grandview_Inventory[[#This Row],[const]]</f>
        <v>44211.174981080039</v>
      </c>
      <c r="S2020" t="s">
        <v>68</v>
      </c>
      <c r="T2020">
        <v>1</v>
      </c>
      <c r="U2020" t="s">
        <v>62</v>
      </c>
      <c r="V2020" t="s">
        <v>69</v>
      </c>
      <c r="W2020">
        <v>0</v>
      </c>
      <c r="X2020">
        <v>0</v>
      </c>
      <c r="Y2020">
        <v>40</v>
      </c>
      <c r="Z2020">
        <v>72</v>
      </c>
      <c r="AA2020">
        <v>80</v>
      </c>
      <c r="AB2020">
        <v>2000</v>
      </c>
      <c r="AC2020">
        <v>1841</v>
      </c>
      <c r="AD2020">
        <v>1841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821</v>
      </c>
      <c r="AL2020">
        <v>0</v>
      </c>
      <c r="AM2020">
        <v>0</v>
      </c>
      <c r="AN2020">
        <v>20</v>
      </c>
      <c r="AO2020">
        <v>0</v>
      </c>
      <c r="AP2020">
        <v>8</v>
      </c>
      <c r="AQ2020">
        <v>0</v>
      </c>
      <c r="AR2020">
        <v>1</v>
      </c>
      <c r="AS2020" t="s">
        <v>58</v>
      </c>
      <c r="AT2020">
        <v>1</v>
      </c>
      <c r="AU2020" t="s">
        <v>63</v>
      </c>
      <c r="AV2020" t="s">
        <v>60</v>
      </c>
      <c r="AW2020">
        <v>0</v>
      </c>
      <c r="AX2020">
        <v>4</v>
      </c>
      <c r="AY2020">
        <v>0</v>
      </c>
      <c r="AZ2020">
        <v>0</v>
      </c>
      <c r="BA2020">
        <v>100</v>
      </c>
      <c r="BB2020">
        <v>100</v>
      </c>
      <c r="BC2020">
        <v>100</v>
      </c>
      <c r="BD2020">
        <v>100</v>
      </c>
      <c r="BE2020">
        <v>1</v>
      </c>
      <c r="BF2020">
        <v>15000</v>
      </c>
      <c r="BG2020">
        <v>1000</v>
      </c>
      <c r="BH2020" s="6">
        <f>Grandview_Inventory[[#This Row],[land_extract]]*Lookups!$B$3</f>
        <v>51342.318135355803</v>
      </c>
      <c r="BI2020" s="6">
        <f>IF(Grandview_Inventory[[#This Row],[bldg_style]]="",0,Lookups!$B$2)</f>
        <v>155833.95000000001</v>
      </c>
      <c r="BJ2020" s="6">
        <f>_xlfn.IFNA(VLOOKUP(Grandview_Inventory[[#This Row],[quality]],Lookups!$H$2:$J$14,3,FALSE),0)</f>
        <v>9808</v>
      </c>
      <c r="BK2020" s="6">
        <f>_xlfn.IFNA(VLOOKUP(Grandview_Inventory[[#This Row],[condition]],Lookups!$H$17:$J$24,3,FALSE),0)</f>
        <v>-4503</v>
      </c>
      <c r="BL2020" s="6">
        <f>Grandview_Inventory[[#This Row],[Eff_Age]]*Lookups!$B$14</f>
        <v>-9566.6639999999989</v>
      </c>
      <c r="BM2020" s="6">
        <f>Grandview_Inventory[[#This Row],[living_area]]*Lookups!$B$15</f>
        <v>114843.150373</v>
      </c>
      <c r="BN2020" s="6">
        <f>Grandview_Inventory[[#This Row],[Fin BSMT]]*Lookups!$B$16</f>
        <v>0</v>
      </c>
      <c r="BO2020" s="6">
        <f>(Grandview_Inventory[[#This Row],[att_gar]]+Grandview_Inventory[[#This Row],[bltin_gar]])*Lookups!$B$17</f>
        <v>0</v>
      </c>
      <c r="BP2020" s="6">
        <f>Grandview_Inventory[[#This Row],[Plumbing Fixtures]]*Lookups!$B$18</f>
        <v>16083.5344</v>
      </c>
      <c r="BQ2020" s="6">
        <f>Grandview_Inventory[[#This Row],[detatched_value]]*Lookups!$B$19</f>
        <v>0</v>
      </c>
      <c r="BR2020" s="6">
        <f>SUM(Grandview_Inventory[[#This Row],[Intercept]:[det_value]])*Grandview_Inventory[[#This Row],[res_pct]]</f>
        <v>282498.97077300004</v>
      </c>
      <c r="BS2020" s="6">
        <f>Grandview_Inventory[[#This Row],[land_value]]</f>
        <v>51342.318135355803</v>
      </c>
      <c r="BT2020" s="4">
        <f>_xlfn.IFNA(VLOOKUP(Grandview_Inventory[[#This Row],[quality]],Lookups!$A$26:$C$33,3,FALSE),1)</f>
        <v>0.94295468617355149</v>
      </c>
      <c r="BU2020" s="4">
        <f>_xlfn.IFNA(VLOOKUP(Grandview_Inventory[[#This Row],[condition]],Lookups!$A$37:$C$44,3,FALSE),1)</f>
        <v>0.96469275950863709</v>
      </c>
      <c r="BV2020" s="4">
        <f>IF(Grandview_Inventory[[#This Row],[bldg_style]]="",1,_xlfn.IFNA(VLOOKUP(Grandview_Inventory[[#This Row],[decade]],Lookups!$F$29:$H$43,3,FALSE),1))</f>
        <v>0.98763256963907298</v>
      </c>
      <c r="BW2020" s="4">
        <f>_xlfn.IFNA(VLOOKUP(Grandview_Inventory[[#This Row],[living_area_range]],Lookups!$F$47:$H$56,3,FALSE),1)</f>
        <v>0.96120133463014379</v>
      </c>
      <c r="BX2020" s="4">
        <f>AVERAGE(Grandview_Inventory[[#This Row],[qual_adj]:[size_adj]])</f>
        <v>0.96412033748785131</v>
      </c>
      <c r="BY2020" s="6">
        <f>IF(Grandview_Inventory[[#This Row],[pre_res]]&lt;0,0,Grandview_Inventory[[#This Row],[pre_res]]*Grandview_Inventory[[#This Row],[overall_adj]])</f>
        <v>272363.00304163544</v>
      </c>
      <c r="BZ2020" s="6">
        <f>(Grandview_Inventory[[#This Row],[sum_land]]-IF(Grandview_Inventory[[#This Row],[no_utilities]]=1,12000,0))/IF(Grandview_Inventory[[#This Row],[unbuildable]]=1,2,1)</f>
        <v>51342.318135355803</v>
      </c>
      <c r="CA202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20">
        <f>ROUND(Grandview_Inventory[[#This Row],[det_value]]*Lookups!$M$28,-2)</f>
        <v>0</v>
      </c>
      <c r="CC2020">
        <f>IF(ROUND(Grandview_Inventory[[#This Row],[adj_res]]*Lookups!$M$28,-2)&lt;Grandview_Inventory[[#This Row],[min_res]],Grandview_Inventory[[#This Row],[min_res]],ROUND(Grandview_Inventory[[#This Row],[adj_res]]*Lookups!$M$28,-2))</f>
        <v>258700</v>
      </c>
      <c r="CD2020">
        <f>Grandview_Inventory[[#This Row],[final_det]]+Grandview_Inventory[[#This Row],[final_res]]</f>
        <v>258700</v>
      </c>
      <c r="CE2020">
        <f>Grandview_Inventory[[#This Row],[final_land]]+Grandview_Inventory[[#This Row],[final_imp]]+Grandview_Inventory[[#This Row],[crop_value]]</f>
        <v>307500</v>
      </c>
      <c r="CG2020" t="str">
        <f t="shared" si="31"/>
        <v>update valuation set market_land =48800, market_bldg=258700, market_total =307500, market_mdno =401, market_date ='9/10/2023' where link_id = (select link_id from parcel where parcel_year = '2024' and parcel_id = '23092422412');</v>
      </c>
    </row>
    <row r="2021" spans="1:85" x14ac:dyDescent="0.25">
      <c r="A2021">
        <v>23092422415</v>
      </c>
      <c r="B2021">
        <v>0.39</v>
      </c>
      <c r="C2021">
        <v>17100</v>
      </c>
      <c r="D2021" t="s">
        <v>129</v>
      </c>
      <c r="E2021" t="s">
        <v>53</v>
      </c>
      <c r="F2021" t="s">
        <v>53</v>
      </c>
      <c r="G2021">
        <v>4</v>
      </c>
      <c r="H2021" t="s">
        <v>54</v>
      </c>
      <c r="I2021">
        <v>274300</v>
      </c>
      <c r="J2021">
        <v>41100</v>
      </c>
      <c r="K2021">
        <v>0.39</v>
      </c>
      <c r="L2021">
        <f>IF(Grandview_Inventory[[#This Row],[parcel_acres]]-Grandview_Inventory[[#This Row],[non_valued_acres]] =0,0,LN(Grandview_Inventory[[#This Row],[parcel_acres]]-Grandview_Inventory[[#This Row],[non_valued_acres]]))</f>
        <v>-0.94160853985844495</v>
      </c>
      <c r="M2021">
        <v>0</v>
      </c>
      <c r="N2021">
        <v>0</v>
      </c>
      <c r="O2021">
        <v>0</v>
      </c>
      <c r="P2021">
        <v>13398.7528</v>
      </c>
      <c r="Q2021">
        <v>63903</v>
      </c>
      <c r="R2021">
        <f>(Grandview_Inventory[[#This Row],[ln_acres]]*Grandview_Inventory[[#This Row],[coeff]])+Grandview_Inventory[[#This Row],[const]]</f>
        <v>51286.619940067751</v>
      </c>
      <c r="S2021" t="s">
        <v>58</v>
      </c>
      <c r="T2021">
        <v>1</v>
      </c>
      <c r="U2021" t="s">
        <v>65</v>
      </c>
      <c r="V2021" t="s">
        <v>67</v>
      </c>
      <c r="W2021">
        <v>0</v>
      </c>
      <c r="X2021">
        <v>0</v>
      </c>
      <c r="Y2021">
        <v>41</v>
      </c>
      <c r="Z2021">
        <v>78</v>
      </c>
      <c r="AA2021">
        <v>80</v>
      </c>
      <c r="AB2021">
        <v>2500</v>
      </c>
      <c r="AC2021">
        <v>2110</v>
      </c>
      <c r="AD2021">
        <v>2110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544</v>
      </c>
      <c r="AM2021">
        <v>0</v>
      </c>
      <c r="AN2021">
        <v>40</v>
      </c>
      <c r="AO2021">
        <v>352</v>
      </c>
      <c r="AP2021">
        <v>7</v>
      </c>
      <c r="AQ2021">
        <v>0</v>
      </c>
      <c r="AR2021">
        <v>0</v>
      </c>
      <c r="AS2021" t="s">
        <v>58</v>
      </c>
      <c r="AT2021">
        <v>1</v>
      </c>
      <c r="AU2021" t="s">
        <v>59</v>
      </c>
      <c r="AV2021" t="s">
        <v>60</v>
      </c>
      <c r="AW2021">
        <v>1</v>
      </c>
      <c r="AX2021">
        <v>3</v>
      </c>
      <c r="AY2021">
        <v>0</v>
      </c>
      <c r="AZ2021">
        <v>31800</v>
      </c>
      <c r="BA2021">
        <v>100</v>
      </c>
      <c r="BB2021">
        <v>100</v>
      </c>
      <c r="BC2021">
        <v>100</v>
      </c>
      <c r="BD2021">
        <v>100</v>
      </c>
      <c r="BE2021">
        <v>1</v>
      </c>
      <c r="BF2021">
        <v>15000</v>
      </c>
      <c r="BG2021">
        <v>1000</v>
      </c>
      <c r="BH2021" s="6">
        <f>Grandview_Inventory[[#This Row],[land_extract]]*Lookups!$B$3</f>
        <v>59559.013262526838</v>
      </c>
      <c r="BI2021" s="6">
        <f>IF(Grandview_Inventory[[#This Row],[bldg_style]]="",0,Lookups!$B$2)</f>
        <v>155833.95000000001</v>
      </c>
      <c r="BJ2021" s="6">
        <f>_xlfn.IFNA(VLOOKUP(Grandview_Inventory[[#This Row],[quality]],Lookups!$H$2:$J$14,3,FALSE),0)</f>
        <v>2251</v>
      </c>
      <c r="BK2021" s="6">
        <f>_xlfn.IFNA(VLOOKUP(Grandview_Inventory[[#This Row],[condition]],Lookups!$H$17:$J$24,3,FALSE),0)</f>
        <v>22342</v>
      </c>
      <c r="BL2021" s="6">
        <f>Grandview_Inventory[[#This Row],[Eff_Age]]*Lookups!$B$14</f>
        <v>-9805.8305999999993</v>
      </c>
      <c r="BM2021" s="6">
        <f>Grandview_Inventory[[#This Row],[living_area]]*Lookups!$B$15</f>
        <v>131623.59982999999</v>
      </c>
      <c r="BN2021" s="6">
        <f>Grandview_Inventory[[#This Row],[Fin BSMT]]*Lookups!$B$16</f>
        <v>0</v>
      </c>
      <c r="BO2021" s="6">
        <f>(Grandview_Inventory[[#This Row],[att_gar]]+Grandview_Inventory[[#This Row],[bltin_gar]])*Lookups!$B$17</f>
        <v>0</v>
      </c>
      <c r="BP2021" s="6">
        <f>Grandview_Inventory[[#This Row],[Plumbing Fixtures]]*Lookups!$B$18</f>
        <v>14073.0926</v>
      </c>
      <c r="BQ2021" s="6">
        <f>Grandview_Inventory[[#This Row],[detatched_value]]*Lookups!$B$19</f>
        <v>26928.402180000001</v>
      </c>
      <c r="BR2021" s="6">
        <f>SUM(Grandview_Inventory[[#This Row],[Intercept]:[det_value]])*Grandview_Inventory[[#This Row],[res_pct]]</f>
        <v>343246.21401</v>
      </c>
      <c r="BS2021" s="6">
        <f>Grandview_Inventory[[#This Row],[land_value]]</f>
        <v>59559.013262526838</v>
      </c>
      <c r="BT2021" s="4">
        <f>_xlfn.IFNA(VLOOKUP(Grandview_Inventory[[#This Row],[quality]],Lookups!$A$26:$C$33,3,FALSE),1)</f>
        <v>0.98763855981004833</v>
      </c>
      <c r="BU2021" s="4">
        <f>_xlfn.IFNA(VLOOKUP(Grandview_Inventory[[#This Row],[condition]],Lookups!$A$37:$C$44,3,FALSE),1)</f>
        <v>0.97383723671140243</v>
      </c>
      <c r="BV2021" s="4">
        <f>IF(Grandview_Inventory[[#This Row],[bldg_style]]="",1,_xlfn.IFNA(VLOOKUP(Grandview_Inventory[[#This Row],[decade]],Lookups!$F$29:$H$43,3,FALSE),1))</f>
        <v>0.98763256963907298</v>
      </c>
      <c r="BW2021" s="4">
        <f>_xlfn.IFNA(VLOOKUP(Grandview_Inventory[[#This Row],[living_area_range]],Lookups!$F$47:$H$56,3,FALSE),1)</f>
        <v>0.95799442568048754</v>
      </c>
      <c r="BX2021" s="4">
        <f>AVERAGE(Grandview_Inventory[[#This Row],[qual_adj]:[size_adj]])</f>
        <v>0.97677569796025276</v>
      </c>
      <c r="BY2021" s="6">
        <f>IF(Grandview_Inventory[[#This Row],[pre_res]]&lt;0,0,Grandview_Inventory[[#This Row],[pre_res]]*Grandview_Inventory[[#This Row],[overall_adj]])</f>
        <v>335274.56026183203</v>
      </c>
      <c r="BZ2021" s="6">
        <f>(Grandview_Inventory[[#This Row],[sum_land]]-IF(Grandview_Inventory[[#This Row],[no_utilities]]=1,12000,0))/IF(Grandview_Inventory[[#This Row],[unbuildable]]=1,2,1)</f>
        <v>59559.013262526838</v>
      </c>
      <c r="CA2021">
        <f>IF(ROUND(Grandview_Inventory[[#This Row],[adj_land]]*Lookups!$M$28,-2)&lt;Grandview_Inventory[[#This Row],[min_land]],Grandview_Inventory[[#This Row],[min_land]],ROUND(Grandview_Inventory[[#This Row],[adj_land]]*Lookups!$M$28,-2))</f>
        <v>56600</v>
      </c>
      <c r="CB2021">
        <f>ROUND(Grandview_Inventory[[#This Row],[det_value]]*Lookups!$M$28,-2)</f>
        <v>25600</v>
      </c>
      <c r="CC2021">
        <f>IF(ROUND(Grandview_Inventory[[#This Row],[adj_res]]*Lookups!$M$28,-2)&lt;Grandview_Inventory[[#This Row],[min_res]],Grandview_Inventory[[#This Row],[min_res]],ROUND(Grandview_Inventory[[#This Row],[adj_res]]*Lookups!$M$28,-2))</f>
        <v>318500</v>
      </c>
      <c r="CD2021">
        <f>Grandview_Inventory[[#This Row],[final_det]]+Grandview_Inventory[[#This Row],[final_res]]</f>
        <v>344100</v>
      </c>
      <c r="CE2021">
        <f>Grandview_Inventory[[#This Row],[final_land]]+Grandview_Inventory[[#This Row],[final_imp]]+Grandview_Inventory[[#This Row],[crop_value]]</f>
        <v>400700</v>
      </c>
      <c r="CG2021" t="str">
        <f t="shared" si="31"/>
        <v>update valuation set market_land =56600, market_bldg=344100, market_total =400700, market_mdno =401, market_date ='9/10/2023' where link_id = (select link_id from parcel where parcel_year = '2024' and parcel_id = '23092422415');</v>
      </c>
    </row>
    <row r="2022" spans="1:85" x14ac:dyDescent="0.25">
      <c r="A2022">
        <v>23092423002</v>
      </c>
      <c r="B2022">
        <v>0.43</v>
      </c>
      <c r="C2022">
        <v>18636</v>
      </c>
      <c r="D2022" t="s">
        <v>129</v>
      </c>
      <c r="E2022" t="s">
        <v>53</v>
      </c>
      <c r="F2022" t="s">
        <v>53</v>
      </c>
      <c r="G2022">
        <v>4</v>
      </c>
      <c r="H2022" t="s">
        <v>54</v>
      </c>
      <c r="I2022">
        <v>123500</v>
      </c>
      <c r="J2022">
        <v>41400</v>
      </c>
      <c r="K2022">
        <v>0.43</v>
      </c>
      <c r="L2022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2022">
        <v>0</v>
      </c>
      <c r="N2022">
        <v>0</v>
      </c>
      <c r="O2022">
        <v>0</v>
      </c>
      <c r="P2022">
        <v>13398.7528</v>
      </c>
      <c r="Q2022">
        <v>63903</v>
      </c>
      <c r="R2022">
        <f>(Grandview_Inventory[[#This Row],[ln_acres]]*Grandview_Inventory[[#This Row],[coeff]])+Grandview_Inventory[[#This Row],[const]]</f>
        <v>52594.853657524982</v>
      </c>
      <c r="S2022" t="s">
        <v>85</v>
      </c>
      <c r="T2022">
        <v>1</v>
      </c>
      <c r="U2022" t="s">
        <v>80</v>
      </c>
      <c r="V2022" t="s">
        <v>69</v>
      </c>
      <c r="W2022">
        <v>0</v>
      </c>
      <c r="X2022">
        <v>0</v>
      </c>
      <c r="Y2022">
        <v>53</v>
      </c>
      <c r="Z2022">
        <v>103</v>
      </c>
      <c r="AA2022">
        <v>110</v>
      </c>
      <c r="AB2022">
        <v>1500</v>
      </c>
      <c r="AC2022">
        <v>1094</v>
      </c>
      <c r="AD2022">
        <v>1094</v>
      </c>
      <c r="AE2022">
        <v>0</v>
      </c>
      <c r="AF2022">
        <v>0</v>
      </c>
      <c r="AG2022">
        <v>0</v>
      </c>
      <c r="AH2022">
        <v>132</v>
      </c>
      <c r="AI2022">
        <v>0</v>
      </c>
      <c r="AJ2022">
        <v>0</v>
      </c>
      <c r="AK2022">
        <v>0</v>
      </c>
      <c r="AL2022">
        <v>0</v>
      </c>
      <c r="AM2022">
        <v>195</v>
      </c>
      <c r="AN2022">
        <v>16</v>
      </c>
      <c r="AO2022">
        <v>195</v>
      </c>
      <c r="AP2022">
        <v>5</v>
      </c>
      <c r="AQ2022">
        <v>1</v>
      </c>
      <c r="AR2022">
        <v>0</v>
      </c>
      <c r="AS2022" t="s">
        <v>58</v>
      </c>
      <c r="AT2022">
        <v>1</v>
      </c>
      <c r="AU2022" t="s">
        <v>63</v>
      </c>
      <c r="AV2022" t="s">
        <v>60</v>
      </c>
      <c r="AW2022">
        <v>0</v>
      </c>
      <c r="AX2022">
        <v>2</v>
      </c>
      <c r="AY2022">
        <v>0</v>
      </c>
      <c r="AZ2022">
        <v>5500</v>
      </c>
      <c r="BA2022">
        <v>100</v>
      </c>
      <c r="BB2022">
        <v>100</v>
      </c>
      <c r="BC2022">
        <v>100</v>
      </c>
      <c r="BD2022">
        <v>100</v>
      </c>
      <c r="BE2022">
        <v>1</v>
      </c>
      <c r="BF2022">
        <v>15000</v>
      </c>
      <c r="BG2022">
        <v>1000</v>
      </c>
      <c r="BH2022" s="6">
        <f>Grandview_Inventory[[#This Row],[land_extract]]*Lookups!$B$3</f>
        <v>61078.261546378882</v>
      </c>
      <c r="BI2022" s="6">
        <f>IF(Grandview_Inventory[[#This Row],[bldg_style]]="",0,Lookups!$B$2)</f>
        <v>155833.95000000001</v>
      </c>
      <c r="BJ2022" s="6">
        <f>_xlfn.IFNA(VLOOKUP(Grandview_Inventory[[#This Row],[quality]],Lookups!$H$2:$J$14,3,FALSE),0)</f>
        <v>-28558</v>
      </c>
      <c r="BK2022" s="6">
        <f>_xlfn.IFNA(VLOOKUP(Grandview_Inventory[[#This Row],[condition]],Lookups!$H$17:$J$24,3,FALSE),0)</f>
        <v>-4503</v>
      </c>
      <c r="BL2022" s="6">
        <f>Grandview_Inventory[[#This Row],[Eff_Age]]*Lookups!$B$14</f>
        <v>-12675.8298</v>
      </c>
      <c r="BM2022" s="6">
        <f>Grandview_Inventory[[#This Row],[living_area]]*Lookups!$B$15</f>
        <v>68244.653182000009</v>
      </c>
      <c r="BN2022" s="6">
        <f>Grandview_Inventory[[#This Row],[Fin BSMT]]*Lookups!$B$16</f>
        <v>0</v>
      </c>
      <c r="BO2022" s="6">
        <f>(Grandview_Inventory[[#This Row],[att_gar]]+Grandview_Inventory[[#This Row],[bltin_gar]])*Lookups!$B$17</f>
        <v>0</v>
      </c>
      <c r="BP2022" s="6">
        <f>Grandview_Inventory[[#This Row],[Plumbing Fixtures]]*Lookups!$B$18</f>
        <v>10052.209000000001</v>
      </c>
      <c r="BQ2022" s="6">
        <f>Grandview_Inventory[[#This Row],[detatched_value]]*Lookups!$B$19</f>
        <v>4657.4280499999995</v>
      </c>
      <c r="BR2022" s="6">
        <f>SUM(Grandview_Inventory[[#This Row],[Intercept]:[det_value]])*Grandview_Inventory[[#This Row],[res_pct]]</f>
        <v>193051.410432</v>
      </c>
      <c r="BS2022" s="6">
        <f>Grandview_Inventory[[#This Row],[land_value]]</f>
        <v>61078.261546378882</v>
      </c>
      <c r="BT2022" s="4">
        <f>_xlfn.IFNA(VLOOKUP(Grandview_Inventory[[#This Row],[quality]],Lookups!$A$26:$C$33,3,FALSE),1)</f>
        <v>0.9690360070159818</v>
      </c>
      <c r="BU2022" s="4">
        <f>_xlfn.IFNA(VLOOKUP(Grandview_Inventory[[#This Row],[condition]],Lookups!$A$37:$C$44,3,FALSE),1)</f>
        <v>0.96469275950863709</v>
      </c>
      <c r="BV2022" s="4">
        <f>IF(Grandview_Inventory[[#This Row],[bldg_style]]="",1,_xlfn.IFNA(VLOOKUP(Grandview_Inventory[[#This Row],[decade]],Lookups!$F$29:$H$43,3,FALSE),1))</f>
        <v>0.92255236374249616</v>
      </c>
      <c r="BW2022" s="4">
        <f>_xlfn.IFNA(VLOOKUP(Grandview_Inventory[[#This Row],[living_area_range]],Lookups!$F$47:$H$56,3,FALSE),1)</f>
        <v>0.96135087979789358</v>
      </c>
      <c r="BX2022" s="4">
        <f>AVERAGE(Grandview_Inventory[[#This Row],[qual_adj]:[size_adj]])</f>
        <v>0.95440800251625213</v>
      </c>
      <c r="BY2022" s="6">
        <f>IF(Grandview_Inventory[[#This Row],[pre_res]]&lt;0,0,Grandview_Inventory[[#This Row],[pre_res]]*Grandview_Inventory[[#This Row],[overall_adj]])</f>
        <v>184249.81101335029</v>
      </c>
      <c r="BZ2022" s="6">
        <f>(Grandview_Inventory[[#This Row],[sum_land]]-IF(Grandview_Inventory[[#This Row],[no_utilities]]=1,12000,0))/IF(Grandview_Inventory[[#This Row],[unbuildable]]=1,2,1)</f>
        <v>61078.261546378882</v>
      </c>
      <c r="CA2022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2022">
        <f>ROUND(Grandview_Inventory[[#This Row],[det_value]]*Lookups!$M$28,-2)</f>
        <v>4400</v>
      </c>
      <c r="CC2022">
        <f>IF(ROUND(Grandview_Inventory[[#This Row],[adj_res]]*Lookups!$M$28,-2)&lt;Grandview_Inventory[[#This Row],[min_res]],Grandview_Inventory[[#This Row],[min_res]],ROUND(Grandview_Inventory[[#This Row],[adj_res]]*Lookups!$M$28,-2))</f>
        <v>175000</v>
      </c>
      <c r="CD2022">
        <f>Grandview_Inventory[[#This Row],[final_det]]+Grandview_Inventory[[#This Row],[final_res]]</f>
        <v>179400</v>
      </c>
      <c r="CE2022">
        <f>Grandview_Inventory[[#This Row],[final_land]]+Grandview_Inventory[[#This Row],[final_imp]]+Grandview_Inventory[[#This Row],[crop_value]]</f>
        <v>237400</v>
      </c>
      <c r="CG2022" t="str">
        <f t="shared" si="31"/>
        <v>update valuation set market_land =58000, market_bldg=179400, market_total =237400, market_mdno =401, market_date ='9/10/2023' where link_id = (select link_id from parcel where parcel_year = '2024' and parcel_id = '23092423002');</v>
      </c>
    </row>
    <row r="2023" spans="1:85" x14ac:dyDescent="0.25">
      <c r="A2023">
        <v>23092423005</v>
      </c>
      <c r="B2023">
        <v>0.64</v>
      </c>
      <c r="C2023">
        <v>27869</v>
      </c>
      <c r="D2023" t="s">
        <v>129</v>
      </c>
      <c r="E2023" t="s">
        <v>53</v>
      </c>
      <c r="F2023" t="s">
        <v>53</v>
      </c>
      <c r="G2023">
        <v>4</v>
      </c>
      <c r="H2023" t="s">
        <v>54</v>
      </c>
      <c r="I2023">
        <v>338100</v>
      </c>
      <c r="J2023">
        <v>47200</v>
      </c>
      <c r="K2023">
        <v>0.64</v>
      </c>
      <c r="L2023">
        <f>IF(Grandview_Inventory[[#This Row],[parcel_acres]]-Grandview_Inventory[[#This Row],[non_valued_acres]] =0,0,LN(Grandview_Inventory[[#This Row],[parcel_acres]]-Grandview_Inventory[[#This Row],[non_valued_acres]]))</f>
        <v>-0.44628710262841947</v>
      </c>
      <c r="M2023">
        <v>0</v>
      </c>
      <c r="N2023">
        <v>0</v>
      </c>
      <c r="O2023">
        <v>0</v>
      </c>
      <c r="P2023">
        <v>13398.7528</v>
      </c>
      <c r="Q2023">
        <v>63903</v>
      </c>
      <c r="R2023">
        <f>(Grandview_Inventory[[#This Row],[ln_acres]]*Grandview_Inventory[[#This Row],[coeff]])+Grandview_Inventory[[#This Row],[const]]</f>
        <v>57923.309434053575</v>
      </c>
      <c r="S2023" t="s">
        <v>84</v>
      </c>
      <c r="T2023">
        <v>2</v>
      </c>
      <c r="U2023" t="s">
        <v>62</v>
      </c>
      <c r="V2023" t="s">
        <v>69</v>
      </c>
      <c r="W2023">
        <v>0</v>
      </c>
      <c r="X2023">
        <v>0</v>
      </c>
      <c r="Y2023">
        <v>53</v>
      </c>
      <c r="Z2023">
        <v>92</v>
      </c>
      <c r="AA2023">
        <v>100</v>
      </c>
      <c r="AB2023">
        <v>3500</v>
      </c>
      <c r="AC2023">
        <v>3194</v>
      </c>
      <c r="AD2023">
        <v>1938</v>
      </c>
      <c r="AE2023">
        <v>1256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252</v>
      </c>
      <c r="AN2023">
        <v>124</v>
      </c>
      <c r="AO2023">
        <v>0</v>
      </c>
      <c r="AP2023">
        <v>10</v>
      </c>
      <c r="AQ2023">
        <v>0</v>
      </c>
      <c r="AR2023">
        <v>1</v>
      </c>
      <c r="AS2023" t="s">
        <v>58</v>
      </c>
      <c r="AT2023">
        <v>1</v>
      </c>
      <c r="AU2023" t="s">
        <v>63</v>
      </c>
      <c r="AV2023" t="s">
        <v>64</v>
      </c>
      <c r="AW2023">
        <v>0</v>
      </c>
      <c r="AX2023">
        <v>6</v>
      </c>
      <c r="AY2023">
        <v>0</v>
      </c>
      <c r="AZ2023">
        <v>7700</v>
      </c>
      <c r="BA2023">
        <v>100</v>
      </c>
      <c r="BB2023">
        <v>100</v>
      </c>
      <c r="BC2023">
        <v>100</v>
      </c>
      <c r="BD2023">
        <v>100</v>
      </c>
      <c r="BE2023">
        <v>1</v>
      </c>
      <c r="BF2023">
        <v>15000</v>
      </c>
      <c r="BG2023">
        <v>1000</v>
      </c>
      <c r="BH2023" s="6">
        <f>Grandview_Inventory[[#This Row],[land_extract]]*Lookups!$B$3</f>
        <v>67266.182852830942</v>
      </c>
      <c r="BI2023" s="6">
        <f>IF(Grandview_Inventory[[#This Row],[bldg_style]]="",0,Lookups!$B$2)</f>
        <v>155833.95000000001</v>
      </c>
      <c r="BJ2023" s="6">
        <f>_xlfn.IFNA(VLOOKUP(Grandview_Inventory[[#This Row],[quality]],Lookups!$H$2:$J$14,3,FALSE),0)</f>
        <v>9808</v>
      </c>
      <c r="BK2023" s="6">
        <f>_xlfn.IFNA(VLOOKUP(Grandview_Inventory[[#This Row],[condition]],Lookups!$H$17:$J$24,3,FALSE),0)</f>
        <v>-4503</v>
      </c>
      <c r="BL2023" s="6">
        <f>Grandview_Inventory[[#This Row],[Eff_Age]]*Lookups!$B$14</f>
        <v>-12675.8298</v>
      </c>
      <c r="BM2023" s="6">
        <f>Grandview_Inventory[[#This Row],[living_area]]*Lookups!$B$15</f>
        <v>199244.44448199999</v>
      </c>
      <c r="BN2023" s="6">
        <f>Grandview_Inventory[[#This Row],[Fin BSMT]]*Lookups!$B$16</f>
        <v>0</v>
      </c>
      <c r="BO2023" s="6">
        <f>(Grandview_Inventory[[#This Row],[att_gar]]+Grandview_Inventory[[#This Row],[bltin_gar]])*Lookups!$B$17</f>
        <v>0</v>
      </c>
      <c r="BP2023" s="6">
        <f>Grandview_Inventory[[#This Row],[Plumbing Fixtures]]*Lookups!$B$18</f>
        <v>20104.418000000001</v>
      </c>
      <c r="BQ2023" s="6">
        <f>Grandview_Inventory[[#This Row],[detatched_value]]*Lookups!$B$19</f>
        <v>6520.3992699999999</v>
      </c>
      <c r="BR2023" s="6">
        <f>SUM(Grandview_Inventory[[#This Row],[Intercept]:[det_value]])*Grandview_Inventory[[#This Row],[res_pct]]</f>
        <v>374332.38195199997</v>
      </c>
      <c r="BS2023" s="6">
        <f>Grandview_Inventory[[#This Row],[land_value]]</f>
        <v>67266.182852830942</v>
      </c>
      <c r="BT2023" s="4">
        <f>_xlfn.IFNA(VLOOKUP(Grandview_Inventory[[#This Row],[quality]],Lookups!$A$26:$C$33,3,FALSE),1)</f>
        <v>0.94295468617355149</v>
      </c>
      <c r="BU2023" s="4">
        <f>_xlfn.IFNA(VLOOKUP(Grandview_Inventory[[#This Row],[condition]],Lookups!$A$37:$C$44,3,FALSE),1)</f>
        <v>0.96469275950863709</v>
      </c>
      <c r="BV2023" s="4">
        <f>IF(Grandview_Inventory[[#This Row],[bldg_style]]="",1,_xlfn.IFNA(VLOOKUP(Grandview_Inventory[[#This Row],[decade]],Lookups!$F$29:$H$43,3,FALSE),1))</f>
        <v>0.95244691841736806</v>
      </c>
      <c r="BW2023" s="4">
        <f>_xlfn.IFNA(VLOOKUP(Grandview_Inventory[[#This Row],[living_area_range]],Lookups!$F$47:$H$56,3,FALSE),1)</f>
        <v>1.0170112215140563</v>
      </c>
      <c r="BX2023" s="4">
        <f>AVERAGE(Grandview_Inventory[[#This Row],[qual_adj]:[size_adj]])</f>
        <v>0.96927639640340324</v>
      </c>
      <c r="BY2023" s="6">
        <f>IF(Grandview_Inventory[[#This Row],[pre_res]]&lt;0,0,Grandview_Inventory[[#This Row],[pre_res]]*Grandview_Inventory[[#This Row],[overall_adj]])</f>
        <v>362831.54223553685</v>
      </c>
      <c r="BZ2023" s="6">
        <f>(Grandview_Inventory[[#This Row],[sum_land]]-IF(Grandview_Inventory[[#This Row],[no_utilities]]=1,12000,0))/IF(Grandview_Inventory[[#This Row],[unbuildable]]=1,2,1)</f>
        <v>67266.182852830942</v>
      </c>
      <c r="CA2023">
        <f>IF(ROUND(Grandview_Inventory[[#This Row],[adj_land]]*Lookups!$M$28,-2)&lt;Grandview_Inventory[[#This Row],[min_land]],Grandview_Inventory[[#This Row],[min_land]],ROUND(Grandview_Inventory[[#This Row],[adj_land]]*Lookups!$M$28,-2))</f>
        <v>63900</v>
      </c>
      <c r="CB2023">
        <f>ROUND(Grandview_Inventory[[#This Row],[det_value]]*Lookups!$M$28,-2)</f>
        <v>6200</v>
      </c>
      <c r="CC2023">
        <f>IF(ROUND(Grandview_Inventory[[#This Row],[adj_res]]*Lookups!$M$28,-2)&lt;Grandview_Inventory[[#This Row],[min_res]],Grandview_Inventory[[#This Row],[min_res]],ROUND(Grandview_Inventory[[#This Row],[adj_res]]*Lookups!$M$28,-2))</f>
        <v>344700</v>
      </c>
      <c r="CD2023">
        <f>Grandview_Inventory[[#This Row],[final_det]]+Grandview_Inventory[[#This Row],[final_res]]</f>
        <v>350900</v>
      </c>
      <c r="CE2023">
        <f>Grandview_Inventory[[#This Row],[final_land]]+Grandview_Inventory[[#This Row],[final_imp]]+Grandview_Inventory[[#This Row],[crop_value]]</f>
        <v>414800</v>
      </c>
      <c r="CG2023" t="str">
        <f t="shared" si="31"/>
        <v>update valuation set market_land =63900, market_bldg=350900, market_total =414800, market_mdno =401, market_date ='9/10/2023' where link_id = (select link_id from parcel where parcel_year = '2024' and parcel_id = '23092423005');</v>
      </c>
    </row>
    <row r="2024" spans="1:85" x14ac:dyDescent="0.25">
      <c r="A2024">
        <v>23092423008</v>
      </c>
      <c r="B2024">
        <v>0.25</v>
      </c>
      <c r="C2024">
        <v>10816</v>
      </c>
      <c r="D2024" t="s">
        <v>129</v>
      </c>
      <c r="E2024" t="s">
        <v>53</v>
      </c>
      <c r="F2024" t="s">
        <v>53</v>
      </c>
      <c r="G2024">
        <v>4</v>
      </c>
      <c r="H2024" t="s">
        <v>54</v>
      </c>
      <c r="I2024">
        <v>198900</v>
      </c>
      <c r="J2024">
        <v>40000</v>
      </c>
      <c r="K2024">
        <v>0.25</v>
      </c>
      <c r="L2024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024">
        <v>0</v>
      </c>
      <c r="N2024">
        <v>0</v>
      </c>
      <c r="O2024">
        <v>0</v>
      </c>
      <c r="P2024">
        <v>13398.7528</v>
      </c>
      <c r="Q2024">
        <v>63903</v>
      </c>
      <c r="R2024">
        <f>(Grandview_Inventory[[#This Row],[ln_acres]]*Grandview_Inventory[[#This Row],[coeff]])+Grandview_Inventory[[#This Row],[const]]</f>
        <v>45328.38454732066</v>
      </c>
      <c r="S2024" t="s">
        <v>61</v>
      </c>
      <c r="T2024">
        <v>1</v>
      </c>
      <c r="U2024" t="s">
        <v>65</v>
      </c>
      <c r="V2024" t="s">
        <v>69</v>
      </c>
      <c r="W2024">
        <v>0</v>
      </c>
      <c r="X2024">
        <v>0</v>
      </c>
      <c r="Y2024">
        <v>49</v>
      </c>
      <c r="Z2024">
        <v>65</v>
      </c>
      <c r="AA2024">
        <v>70</v>
      </c>
      <c r="AB2024">
        <v>2500</v>
      </c>
      <c r="AC2024">
        <v>2424</v>
      </c>
      <c r="AD2024">
        <v>1224</v>
      </c>
      <c r="AE2024">
        <v>0</v>
      </c>
      <c r="AF2024">
        <v>0</v>
      </c>
      <c r="AG2024">
        <v>1200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16</v>
      </c>
      <c r="AO2024">
        <v>0</v>
      </c>
      <c r="AP2024">
        <v>8</v>
      </c>
      <c r="AQ2024">
        <v>0</v>
      </c>
      <c r="AR2024">
        <v>1</v>
      </c>
      <c r="AS2024" t="s">
        <v>58</v>
      </c>
      <c r="AT2024">
        <v>1</v>
      </c>
      <c r="AU2024" t="s">
        <v>63</v>
      </c>
      <c r="AV2024" t="s">
        <v>60</v>
      </c>
      <c r="AW2024">
        <v>1</v>
      </c>
      <c r="AX2024">
        <v>3</v>
      </c>
      <c r="AY2024">
        <v>0</v>
      </c>
      <c r="AZ2024">
        <v>10000</v>
      </c>
      <c r="BA2024">
        <v>100</v>
      </c>
      <c r="BB2024">
        <v>100</v>
      </c>
      <c r="BC2024">
        <v>100</v>
      </c>
      <c r="BD2024">
        <v>100</v>
      </c>
      <c r="BE2024">
        <v>1</v>
      </c>
      <c r="BF2024">
        <v>15000</v>
      </c>
      <c r="BG2024">
        <v>1000</v>
      </c>
      <c r="BH2024" s="6">
        <f>Grandview_Inventory[[#This Row],[land_extract]]*Lookups!$B$3</f>
        <v>52639.730588165206</v>
      </c>
      <c r="BI2024" s="6">
        <f>IF(Grandview_Inventory[[#This Row],[bldg_style]]="",0,Lookups!$B$2)</f>
        <v>155833.95000000001</v>
      </c>
      <c r="BJ2024" s="6">
        <f>_xlfn.IFNA(VLOOKUP(Grandview_Inventory[[#This Row],[quality]],Lookups!$H$2:$J$14,3,FALSE),0)</f>
        <v>2251</v>
      </c>
      <c r="BK2024" s="6">
        <f>_xlfn.IFNA(VLOOKUP(Grandview_Inventory[[#This Row],[condition]],Lookups!$H$17:$J$24,3,FALSE),0)</f>
        <v>-4503</v>
      </c>
      <c r="BL2024" s="6">
        <f>Grandview_Inventory[[#This Row],[Eff_Age]]*Lookups!$B$14</f>
        <v>-11719.163399999999</v>
      </c>
      <c r="BM2024" s="6">
        <f>Grandview_Inventory[[#This Row],[living_area]]*Lookups!$B$15</f>
        <v>151211.187672</v>
      </c>
      <c r="BN2024" s="6">
        <f>Grandview_Inventory[[#This Row],[Fin BSMT]]*Lookups!$B$16</f>
        <v>-32519.088000000003</v>
      </c>
      <c r="BO2024" s="6">
        <f>(Grandview_Inventory[[#This Row],[att_gar]]+Grandview_Inventory[[#This Row],[bltin_gar]])*Lookups!$B$17</f>
        <v>0</v>
      </c>
      <c r="BP2024" s="6">
        <f>Grandview_Inventory[[#This Row],[Plumbing Fixtures]]*Lookups!$B$18</f>
        <v>16083.5344</v>
      </c>
      <c r="BQ2024" s="6">
        <f>Grandview_Inventory[[#This Row],[detatched_value]]*Lookups!$B$19</f>
        <v>8468.0509999999995</v>
      </c>
      <c r="BR2024" s="6">
        <f>SUM(Grandview_Inventory[[#This Row],[Intercept]:[det_value]])*Grandview_Inventory[[#This Row],[res_pct]]</f>
        <v>285106.47167200001</v>
      </c>
      <c r="BS2024" s="6">
        <f>Grandview_Inventory[[#This Row],[land_value]]</f>
        <v>52639.730588165206</v>
      </c>
      <c r="BT2024" s="4">
        <f>_xlfn.IFNA(VLOOKUP(Grandview_Inventory[[#This Row],[quality]],Lookups!$A$26:$C$33,3,FALSE),1)</f>
        <v>0.98763855981004833</v>
      </c>
      <c r="BU2024" s="4">
        <f>_xlfn.IFNA(VLOOKUP(Grandview_Inventory[[#This Row],[condition]],Lookups!$A$37:$C$44,3,FALSE),1)</f>
        <v>0.96469275950863709</v>
      </c>
      <c r="BV2024" s="4">
        <f>IF(Grandview_Inventory[[#This Row],[bldg_style]]="",1,_xlfn.IFNA(VLOOKUP(Grandview_Inventory[[#This Row],[decade]],Lookups!$F$29:$H$43,3,FALSE),1))</f>
        <v>0.99472141305414818</v>
      </c>
      <c r="BW2024" s="4">
        <f>_xlfn.IFNA(VLOOKUP(Grandview_Inventory[[#This Row],[living_area_range]],Lookups!$F$47:$H$56,3,FALSE),1)</f>
        <v>0.95799442568048754</v>
      </c>
      <c r="BX2024" s="4">
        <f>AVERAGE(Grandview_Inventory[[#This Row],[qual_adj]:[size_adj]])</f>
        <v>0.97626178951333031</v>
      </c>
      <c r="BY2024" s="6">
        <f>IF(Grandview_Inventory[[#This Row],[pre_res]]&lt;0,0,Grandview_Inventory[[#This Row],[pre_res]]*Grandview_Inventory[[#This Row],[overall_adj]])</f>
        <v>278338.55423633836</v>
      </c>
      <c r="BZ2024" s="6">
        <f>(Grandview_Inventory[[#This Row],[sum_land]]-IF(Grandview_Inventory[[#This Row],[no_utilities]]=1,12000,0))/IF(Grandview_Inventory[[#This Row],[unbuildable]]=1,2,1)</f>
        <v>52639.730588165206</v>
      </c>
      <c r="CA2024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024">
        <f>ROUND(Grandview_Inventory[[#This Row],[det_value]]*Lookups!$M$28,-2)</f>
        <v>8000</v>
      </c>
      <c r="CC2024">
        <f>IF(ROUND(Grandview_Inventory[[#This Row],[adj_res]]*Lookups!$M$28,-2)&lt;Grandview_Inventory[[#This Row],[min_res]],Grandview_Inventory[[#This Row],[min_res]],ROUND(Grandview_Inventory[[#This Row],[adj_res]]*Lookups!$M$28,-2))</f>
        <v>264400</v>
      </c>
      <c r="CD2024">
        <f>Grandview_Inventory[[#This Row],[final_det]]+Grandview_Inventory[[#This Row],[final_res]]</f>
        <v>272400</v>
      </c>
      <c r="CE2024">
        <f>Grandview_Inventory[[#This Row],[final_land]]+Grandview_Inventory[[#This Row],[final_imp]]+Grandview_Inventory[[#This Row],[crop_value]]</f>
        <v>322400</v>
      </c>
      <c r="CG2024" t="str">
        <f t="shared" si="31"/>
        <v>update valuation set market_land =50000, market_bldg=272400, market_total =322400, market_mdno =401, market_date ='9/10/2023' where link_id = (select link_id from parcel where parcel_year = '2024' and parcel_id = '23092423008');</v>
      </c>
    </row>
    <row r="2025" spans="1:85" x14ac:dyDescent="0.25">
      <c r="A2025">
        <v>23092423009</v>
      </c>
      <c r="B2025">
        <v>0.31</v>
      </c>
      <c r="C2025">
        <v>13670</v>
      </c>
      <c r="D2025" t="s">
        <v>129</v>
      </c>
      <c r="E2025" t="s">
        <v>53</v>
      </c>
      <c r="F2025" t="s">
        <v>53</v>
      </c>
      <c r="G2025">
        <v>4</v>
      </c>
      <c r="H2025" t="s">
        <v>54</v>
      </c>
      <c r="I2025">
        <v>204300</v>
      </c>
      <c r="J2025">
        <v>41100</v>
      </c>
      <c r="K2025">
        <v>0.31</v>
      </c>
      <c r="L2025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2025">
        <v>0</v>
      </c>
      <c r="N2025">
        <v>0</v>
      </c>
      <c r="O2025">
        <v>0</v>
      </c>
      <c r="P2025">
        <v>13398.7528</v>
      </c>
      <c r="Q2025">
        <v>63903</v>
      </c>
      <c r="R2025">
        <f>(Grandview_Inventory[[#This Row],[ln_acres]]*Grandview_Inventory[[#This Row],[coeff]])+Grandview_Inventory[[#This Row],[const]]</f>
        <v>48210.608747275066</v>
      </c>
      <c r="S2025" t="s">
        <v>61</v>
      </c>
      <c r="T2025">
        <v>1</v>
      </c>
      <c r="U2025" t="s">
        <v>65</v>
      </c>
      <c r="V2025" t="s">
        <v>67</v>
      </c>
      <c r="W2025">
        <v>0</v>
      </c>
      <c r="X2025">
        <v>0</v>
      </c>
      <c r="Y2025">
        <v>50</v>
      </c>
      <c r="Z2025">
        <v>72</v>
      </c>
      <c r="AA2025">
        <v>80</v>
      </c>
      <c r="AB2025">
        <v>2000</v>
      </c>
      <c r="AC2025">
        <v>1613</v>
      </c>
      <c r="AD2025">
        <v>1153</v>
      </c>
      <c r="AE2025">
        <v>0</v>
      </c>
      <c r="AF2025">
        <v>0</v>
      </c>
      <c r="AG2025">
        <v>460</v>
      </c>
      <c r="AH2025">
        <v>0</v>
      </c>
      <c r="AI2025">
        <v>350</v>
      </c>
      <c r="AJ2025">
        <v>0</v>
      </c>
      <c r="AK2025">
        <v>0</v>
      </c>
      <c r="AL2025">
        <v>0</v>
      </c>
      <c r="AM2025">
        <v>200</v>
      </c>
      <c r="AN2025">
        <v>0</v>
      </c>
      <c r="AO2025">
        <v>200</v>
      </c>
      <c r="AP2025">
        <v>5</v>
      </c>
      <c r="AQ2025">
        <v>0</v>
      </c>
      <c r="AR2025">
        <v>1</v>
      </c>
      <c r="AS2025" t="s">
        <v>58</v>
      </c>
      <c r="AT2025">
        <v>1</v>
      </c>
      <c r="AU2025" t="s">
        <v>75</v>
      </c>
      <c r="AV2025" t="s">
        <v>60</v>
      </c>
      <c r="AW2025">
        <v>0</v>
      </c>
      <c r="AX2025">
        <v>2</v>
      </c>
      <c r="AY2025">
        <v>0</v>
      </c>
      <c r="AZ2025">
        <v>0</v>
      </c>
      <c r="BA2025">
        <v>100</v>
      </c>
      <c r="BB2025">
        <v>100</v>
      </c>
      <c r="BC2025">
        <v>100</v>
      </c>
      <c r="BD2025">
        <v>100</v>
      </c>
      <c r="BE2025">
        <v>1</v>
      </c>
      <c r="BF2025">
        <v>15000</v>
      </c>
      <c r="BG2025">
        <v>1000</v>
      </c>
      <c r="BH2025" s="6">
        <f>Grandview_Inventory[[#This Row],[land_extract]]*Lookups!$B$3</f>
        <v>55986.849769566914</v>
      </c>
      <c r="BI2025" s="6">
        <f>IF(Grandview_Inventory[[#This Row],[bldg_style]]="",0,Lookups!$B$2)</f>
        <v>155833.95000000001</v>
      </c>
      <c r="BJ2025" s="6">
        <f>_xlfn.IFNA(VLOOKUP(Grandview_Inventory[[#This Row],[quality]],Lookups!$H$2:$J$14,3,FALSE),0)</f>
        <v>2251</v>
      </c>
      <c r="BK2025" s="6">
        <f>_xlfn.IFNA(VLOOKUP(Grandview_Inventory[[#This Row],[condition]],Lookups!$H$17:$J$24,3,FALSE),0)</f>
        <v>22342</v>
      </c>
      <c r="BL2025" s="6">
        <f>Grandview_Inventory[[#This Row],[Eff_Age]]*Lookups!$B$14</f>
        <v>-11958.33</v>
      </c>
      <c r="BM2025" s="6">
        <f>Grandview_Inventory[[#This Row],[living_area]]*Lookups!$B$15</f>
        <v>100620.315889</v>
      </c>
      <c r="BN2025" s="6">
        <f>Grandview_Inventory[[#This Row],[Fin BSMT]]*Lookups!$B$16</f>
        <v>-12465.6504</v>
      </c>
      <c r="BO2025" s="6">
        <f>(Grandview_Inventory[[#This Row],[att_gar]]+Grandview_Inventory[[#This Row],[bltin_gar]])*Lookups!$B$17</f>
        <v>30632.15295</v>
      </c>
      <c r="BP2025" s="6">
        <f>Grandview_Inventory[[#This Row],[Plumbing Fixtures]]*Lookups!$B$18</f>
        <v>10052.209000000001</v>
      </c>
      <c r="BQ2025" s="6">
        <f>Grandview_Inventory[[#This Row],[detatched_value]]*Lookups!$B$19</f>
        <v>0</v>
      </c>
      <c r="BR2025" s="6">
        <f>SUM(Grandview_Inventory[[#This Row],[Intercept]:[det_value]])*Grandview_Inventory[[#This Row],[res_pct]]</f>
        <v>297307.64743899996</v>
      </c>
      <c r="BS2025" s="6">
        <f>Grandview_Inventory[[#This Row],[land_value]]</f>
        <v>55986.849769566914</v>
      </c>
      <c r="BT2025" s="4">
        <f>_xlfn.IFNA(VLOOKUP(Grandview_Inventory[[#This Row],[quality]],Lookups!$A$26:$C$33,3,FALSE),1)</f>
        <v>0.98763855981004833</v>
      </c>
      <c r="BU2025" s="4">
        <f>_xlfn.IFNA(VLOOKUP(Grandview_Inventory[[#This Row],[condition]],Lookups!$A$37:$C$44,3,FALSE),1)</f>
        <v>0.97383723671140243</v>
      </c>
      <c r="BV2025" s="4">
        <f>IF(Grandview_Inventory[[#This Row],[bldg_style]]="",1,_xlfn.IFNA(VLOOKUP(Grandview_Inventory[[#This Row],[decade]],Lookups!$F$29:$H$43,3,FALSE),1))</f>
        <v>0.98763256963907298</v>
      </c>
      <c r="BW2025" s="4">
        <f>_xlfn.IFNA(VLOOKUP(Grandview_Inventory[[#This Row],[living_area_range]],Lookups!$F$47:$H$56,3,FALSE),1)</f>
        <v>0.96120133463014379</v>
      </c>
      <c r="BX2025" s="4">
        <f>AVERAGE(Grandview_Inventory[[#This Row],[qual_adj]:[size_adj]])</f>
        <v>0.97757742519766677</v>
      </c>
      <c r="BY2025" s="6">
        <f>IF(Grandview_Inventory[[#This Row],[pre_res]]&lt;0,0,Grandview_Inventory[[#This Row],[pre_res]]*Grandview_Inventory[[#This Row],[overall_adj]])</f>
        <v>290641.24447499326</v>
      </c>
      <c r="BZ2025" s="6">
        <f>(Grandview_Inventory[[#This Row],[sum_land]]-IF(Grandview_Inventory[[#This Row],[no_utilities]]=1,12000,0))/IF(Grandview_Inventory[[#This Row],[unbuildable]]=1,2,1)</f>
        <v>55986.849769566914</v>
      </c>
      <c r="CA2025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2025">
        <f>ROUND(Grandview_Inventory[[#This Row],[det_value]]*Lookups!$M$28,-2)</f>
        <v>0</v>
      </c>
      <c r="CC2025">
        <f>IF(ROUND(Grandview_Inventory[[#This Row],[adj_res]]*Lookups!$M$28,-2)&lt;Grandview_Inventory[[#This Row],[min_res]],Grandview_Inventory[[#This Row],[min_res]],ROUND(Grandview_Inventory[[#This Row],[adj_res]]*Lookups!$M$28,-2))</f>
        <v>276100</v>
      </c>
      <c r="CD2025">
        <f>Grandview_Inventory[[#This Row],[final_det]]+Grandview_Inventory[[#This Row],[final_res]]</f>
        <v>276100</v>
      </c>
      <c r="CE2025">
        <f>Grandview_Inventory[[#This Row],[final_land]]+Grandview_Inventory[[#This Row],[final_imp]]+Grandview_Inventory[[#This Row],[crop_value]]</f>
        <v>329300</v>
      </c>
      <c r="CG2025" t="str">
        <f t="shared" si="31"/>
        <v>update valuation set market_land =53200, market_bldg=276100, market_total =329300, market_mdno =401, market_date ='9/10/2023' where link_id = (select link_id from parcel where parcel_year = '2024' and parcel_id = '23092423009');</v>
      </c>
    </row>
    <row r="2026" spans="1:85" x14ac:dyDescent="0.25">
      <c r="A2026">
        <v>23092423010</v>
      </c>
      <c r="B2026">
        <v>0.48</v>
      </c>
      <c r="C2026">
        <v>20958</v>
      </c>
      <c r="D2026" t="s">
        <v>129</v>
      </c>
      <c r="E2026" t="s">
        <v>53</v>
      </c>
      <c r="F2026" t="s">
        <v>53</v>
      </c>
      <c r="G2026">
        <v>4</v>
      </c>
      <c r="H2026" t="s">
        <v>54</v>
      </c>
      <c r="I2026">
        <v>135100</v>
      </c>
      <c r="J2026">
        <v>41800</v>
      </c>
      <c r="K2026">
        <v>0.48</v>
      </c>
      <c r="L2026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2026">
        <v>0</v>
      </c>
      <c r="N2026">
        <v>0</v>
      </c>
      <c r="O2026">
        <v>0</v>
      </c>
      <c r="P2026">
        <v>13398.7528</v>
      </c>
      <c r="Q2026">
        <v>63903</v>
      </c>
      <c r="R2026">
        <f>(Grandview_Inventory[[#This Row],[ln_acres]]*Grandview_Inventory[[#This Row],[coeff]])+Grandview_Inventory[[#This Row],[const]]</f>
        <v>54068.728460280472</v>
      </c>
      <c r="S2026" t="s">
        <v>68</v>
      </c>
      <c r="T2026">
        <v>1</v>
      </c>
      <c r="U2026" t="s">
        <v>80</v>
      </c>
      <c r="V2026" t="s">
        <v>69</v>
      </c>
      <c r="W2026">
        <v>0</v>
      </c>
      <c r="X2026">
        <v>0</v>
      </c>
      <c r="Y2026">
        <v>51</v>
      </c>
      <c r="Z2026">
        <v>80</v>
      </c>
      <c r="AA2026">
        <v>80</v>
      </c>
      <c r="AB2026">
        <v>1500</v>
      </c>
      <c r="AC2026">
        <v>1186</v>
      </c>
      <c r="AD2026">
        <v>1186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20</v>
      </c>
      <c r="AO2026">
        <v>128</v>
      </c>
      <c r="AP2026">
        <v>5</v>
      </c>
      <c r="AQ2026">
        <v>0</v>
      </c>
      <c r="AR2026">
        <v>1</v>
      </c>
      <c r="AS2026" t="s">
        <v>58</v>
      </c>
      <c r="AT2026">
        <v>1</v>
      </c>
      <c r="AU2026" t="s">
        <v>59</v>
      </c>
      <c r="AV2026" t="s">
        <v>60</v>
      </c>
      <c r="AW2026">
        <v>1</v>
      </c>
      <c r="AX2026">
        <v>3</v>
      </c>
      <c r="AY2026">
        <v>0</v>
      </c>
      <c r="AZ2026">
        <v>2600</v>
      </c>
      <c r="BA2026">
        <v>100</v>
      </c>
      <c r="BB2026">
        <v>100</v>
      </c>
      <c r="BC2026">
        <v>100</v>
      </c>
      <c r="BD2026">
        <v>100</v>
      </c>
      <c r="BE2026">
        <v>1</v>
      </c>
      <c r="BF2026">
        <v>15000</v>
      </c>
      <c r="BG2026">
        <v>1000</v>
      </c>
      <c r="BH2026" s="6">
        <f>Grandview_Inventory[[#This Row],[land_extract]]*Lookups!$B$3</f>
        <v>62789.868375356869</v>
      </c>
      <c r="BI2026" s="6">
        <f>IF(Grandview_Inventory[[#This Row],[bldg_style]]="",0,Lookups!$B$2)</f>
        <v>155833.95000000001</v>
      </c>
      <c r="BJ2026" s="6">
        <f>_xlfn.IFNA(VLOOKUP(Grandview_Inventory[[#This Row],[quality]],Lookups!$H$2:$J$14,3,FALSE),0)</f>
        <v>-28558</v>
      </c>
      <c r="BK2026" s="6">
        <f>_xlfn.IFNA(VLOOKUP(Grandview_Inventory[[#This Row],[condition]],Lookups!$H$17:$J$24,3,FALSE),0)</f>
        <v>-4503</v>
      </c>
      <c r="BL2026" s="6">
        <f>Grandview_Inventory[[#This Row],[Eff_Age]]*Lookups!$B$14</f>
        <v>-12197.496599999999</v>
      </c>
      <c r="BM2026" s="6">
        <f>Grandview_Inventory[[#This Row],[living_area]]*Lookups!$B$15</f>
        <v>73983.691657999996</v>
      </c>
      <c r="BN2026" s="6">
        <f>Grandview_Inventory[[#This Row],[Fin BSMT]]*Lookups!$B$16</f>
        <v>0</v>
      </c>
      <c r="BO2026" s="6">
        <f>(Grandview_Inventory[[#This Row],[att_gar]]+Grandview_Inventory[[#This Row],[bltin_gar]])*Lookups!$B$17</f>
        <v>0</v>
      </c>
      <c r="BP2026" s="6">
        <f>Grandview_Inventory[[#This Row],[Plumbing Fixtures]]*Lookups!$B$18</f>
        <v>10052.209000000001</v>
      </c>
      <c r="BQ2026" s="6">
        <f>Grandview_Inventory[[#This Row],[detatched_value]]*Lookups!$B$19</f>
        <v>2201.69326</v>
      </c>
      <c r="BR2026" s="6">
        <f>SUM(Grandview_Inventory[[#This Row],[Intercept]:[det_value]])*Grandview_Inventory[[#This Row],[res_pct]]</f>
        <v>196813.047318</v>
      </c>
      <c r="BS2026" s="6">
        <f>Grandview_Inventory[[#This Row],[land_value]]</f>
        <v>62789.868375356869</v>
      </c>
      <c r="BT2026" s="4">
        <f>_xlfn.IFNA(VLOOKUP(Grandview_Inventory[[#This Row],[quality]],Lookups!$A$26:$C$33,3,FALSE),1)</f>
        <v>0.9690360070159818</v>
      </c>
      <c r="BU2026" s="4">
        <f>_xlfn.IFNA(VLOOKUP(Grandview_Inventory[[#This Row],[condition]],Lookups!$A$37:$C$44,3,FALSE),1)</f>
        <v>0.96469275950863709</v>
      </c>
      <c r="BV2026" s="4">
        <f>IF(Grandview_Inventory[[#This Row],[bldg_style]]="",1,_xlfn.IFNA(VLOOKUP(Grandview_Inventory[[#This Row],[decade]],Lookups!$F$29:$H$43,3,FALSE),1))</f>
        <v>0.98763256963907298</v>
      </c>
      <c r="BW2026" s="4">
        <f>_xlfn.IFNA(VLOOKUP(Grandview_Inventory[[#This Row],[living_area_range]],Lookups!$F$47:$H$56,3,FALSE),1)</f>
        <v>0.96135087979789358</v>
      </c>
      <c r="BX2026" s="4">
        <f>AVERAGE(Grandview_Inventory[[#This Row],[qual_adj]:[size_adj]])</f>
        <v>0.97067805399039631</v>
      </c>
      <c r="BY2026" s="6">
        <f>IF(Grandview_Inventory[[#This Row],[pre_res]]&lt;0,0,Grandview_Inventory[[#This Row],[pre_res]]*Grandview_Inventory[[#This Row],[overall_adj]])</f>
        <v>191042.10577055602</v>
      </c>
      <c r="BZ2026" s="6">
        <f>(Grandview_Inventory[[#This Row],[sum_land]]-IF(Grandview_Inventory[[#This Row],[no_utilities]]=1,12000,0))/IF(Grandview_Inventory[[#This Row],[unbuildable]]=1,2,1)</f>
        <v>62789.868375356869</v>
      </c>
      <c r="CA2026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2026">
        <f>ROUND(Grandview_Inventory[[#This Row],[det_value]]*Lookups!$M$28,-2)</f>
        <v>2100</v>
      </c>
      <c r="CC2026">
        <f>IF(ROUND(Grandview_Inventory[[#This Row],[adj_res]]*Lookups!$M$28,-2)&lt;Grandview_Inventory[[#This Row],[min_res]],Grandview_Inventory[[#This Row],[min_res]],ROUND(Grandview_Inventory[[#This Row],[adj_res]]*Lookups!$M$28,-2))</f>
        <v>181500</v>
      </c>
      <c r="CD2026">
        <f>Grandview_Inventory[[#This Row],[final_det]]+Grandview_Inventory[[#This Row],[final_res]]</f>
        <v>183600</v>
      </c>
      <c r="CE2026">
        <f>Grandview_Inventory[[#This Row],[final_land]]+Grandview_Inventory[[#This Row],[final_imp]]+Grandview_Inventory[[#This Row],[crop_value]]</f>
        <v>243300</v>
      </c>
      <c r="CG2026" t="str">
        <f t="shared" si="31"/>
        <v>update valuation set market_land =59700, market_bldg=183600, market_total =243300, market_mdno =401, market_date ='9/10/2023' where link_id = (select link_id from parcel where parcel_year = '2024' and parcel_id = '23092423010');</v>
      </c>
    </row>
    <row r="2027" spans="1:85" x14ac:dyDescent="0.25">
      <c r="A2027">
        <v>23092423400</v>
      </c>
      <c r="B2027">
        <v>0.18</v>
      </c>
      <c r="C2027">
        <v>7841</v>
      </c>
      <c r="D2027" t="s">
        <v>129</v>
      </c>
      <c r="E2027" t="s">
        <v>53</v>
      </c>
      <c r="F2027" t="s">
        <v>53</v>
      </c>
      <c r="G2027">
        <v>4</v>
      </c>
      <c r="H2027" t="s">
        <v>54</v>
      </c>
      <c r="I2027">
        <v>109500</v>
      </c>
      <c r="J2027">
        <v>39000</v>
      </c>
      <c r="K2027">
        <v>0.18</v>
      </c>
      <c r="L202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27">
        <v>0</v>
      </c>
      <c r="N2027">
        <v>0</v>
      </c>
      <c r="O2027">
        <v>0</v>
      </c>
      <c r="P2027">
        <v>13398.7528</v>
      </c>
      <c r="Q2027">
        <v>63903</v>
      </c>
      <c r="R2027">
        <f>(Grandview_Inventory[[#This Row],[ln_acres]]*Grandview_Inventory[[#This Row],[coeff]])+Grandview_Inventory[[#This Row],[const]]</f>
        <v>40926.839760167699</v>
      </c>
      <c r="S2027" t="s">
        <v>68</v>
      </c>
      <c r="T2027">
        <v>1</v>
      </c>
      <c r="U2027" t="s">
        <v>80</v>
      </c>
      <c r="V2027" t="s">
        <v>69</v>
      </c>
      <c r="W2027">
        <v>0</v>
      </c>
      <c r="X2027">
        <v>0</v>
      </c>
      <c r="Y2027">
        <v>50</v>
      </c>
      <c r="Z2027">
        <v>72</v>
      </c>
      <c r="AA2027">
        <v>80</v>
      </c>
      <c r="AB2027">
        <v>2000</v>
      </c>
      <c r="AC2027">
        <v>1602</v>
      </c>
      <c r="AD2027">
        <v>1039</v>
      </c>
      <c r="AE2027">
        <v>0</v>
      </c>
      <c r="AF2027">
        <v>0</v>
      </c>
      <c r="AG2027">
        <v>563</v>
      </c>
      <c r="AH2027">
        <v>124</v>
      </c>
      <c r="AI2027">
        <v>0</v>
      </c>
      <c r="AJ2027">
        <v>0</v>
      </c>
      <c r="AK2027">
        <v>0</v>
      </c>
      <c r="AL2027">
        <v>0</v>
      </c>
      <c r="AM2027">
        <v>200</v>
      </c>
      <c r="AN2027">
        <v>0</v>
      </c>
      <c r="AO2027">
        <v>400</v>
      </c>
      <c r="AP2027">
        <v>5</v>
      </c>
      <c r="AQ2027">
        <v>0</v>
      </c>
      <c r="AR2027">
        <v>0</v>
      </c>
      <c r="AS2027" t="s">
        <v>58</v>
      </c>
      <c r="AT2027">
        <v>1</v>
      </c>
      <c r="AU2027" t="s">
        <v>63</v>
      </c>
      <c r="AV2027" t="s">
        <v>64</v>
      </c>
      <c r="AW2027">
        <v>0</v>
      </c>
      <c r="AX2027">
        <v>3</v>
      </c>
      <c r="AY2027">
        <v>0</v>
      </c>
      <c r="AZ2027">
        <v>0</v>
      </c>
      <c r="BA2027">
        <v>100</v>
      </c>
      <c r="BB2027">
        <v>100</v>
      </c>
      <c r="BC2027">
        <v>100</v>
      </c>
      <c r="BD2027">
        <v>100</v>
      </c>
      <c r="BE2027">
        <v>1</v>
      </c>
      <c r="BF2027">
        <v>15000</v>
      </c>
      <c r="BG2027">
        <v>1000</v>
      </c>
      <c r="BH2027" s="6">
        <f>Grandview_Inventory[[#This Row],[land_extract]]*Lookups!$B$3</f>
        <v>47528.228511015397</v>
      </c>
      <c r="BI2027" s="6">
        <f>IF(Grandview_Inventory[[#This Row],[bldg_style]]="",0,Lookups!$B$2)</f>
        <v>155833.95000000001</v>
      </c>
      <c r="BJ2027" s="6">
        <f>_xlfn.IFNA(VLOOKUP(Grandview_Inventory[[#This Row],[quality]],Lookups!$H$2:$J$14,3,FALSE),0)</f>
        <v>-28558</v>
      </c>
      <c r="BK2027" s="6">
        <f>_xlfn.IFNA(VLOOKUP(Grandview_Inventory[[#This Row],[condition]],Lookups!$H$17:$J$24,3,FALSE),0)</f>
        <v>-4503</v>
      </c>
      <c r="BL2027" s="6">
        <f>Grandview_Inventory[[#This Row],[Eff_Age]]*Lookups!$B$14</f>
        <v>-11958.33</v>
      </c>
      <c r="BM2027" s="6">
        <f>Grandview_Inventory[[#This Row],[living_area]]*Lookups!$B$15</f>
        <v>99934.126506000001</v>
      </c>
      <c r="BN2027" s="6">
        <f>Grandview_Inventory[[#This Row],[Fin BSMT]]*Lookups!$B$16</f>
        <v>-15256.872120000002</v>
      </c>
      <c r="BO2027" s="6">
        <f>(Grandview_Inventory[[#This Row],[att_gar]]+Grandview_Inventory[[#This Row],[bltin_gar]])*Lookups!$B$17</f>
        <v>0</v>
      </c>
      <c r="BP2027" s="6">
        <f>Grandview_Inventory[[#This Row],[Plumbing Fixtures]]*Lookups!$B$18</f>
        <v>10052.209000000001</v>
      </c>
      <c r="BQ2027" s="6">
        <f>Grandview_Inventory[[#This Row],[detatched_value]]*Lookups!$B$19</f>
        <v>0</v>
      </c>
      <c r="BR2027" s="6">
        <f>SUM(Grandview_Inventory[[#This Row],[Intercept]:[det_value]])*Grandview_Inventory[[#This Row],[res_pct]]</f>
        <v>205544.08338599998</v>
      </c>
      <c r="BS2027" s="6">
        <f>Grandview_Inventory[[#This Row],[land_value]]</f>
        <v>47528.228511015397</v>
      </c>
      <c r="BT2027" s="4">
        <f>_xlfn.IFNA(VLOOKUP(Grandview_Inventory[[#This Row],[quality]],Lookups!$A$26:$C$33,3,FALSE),1)</f>
        <v>0.9690360070159818</v>
      </c>
      <c r="BU2027" s="4">
        <f>_xlfn.IFNA(VLOOKUP(Grandview_Inventory[[#This Row],[condition]],Lookups!$A$37:$C$44,3,FALSE),1)</f>
        <v>0.96469275950863709</v>
      </c>
      <c r="BV2027" s="4">
        <f>IF(Grandview_Inventory[[#This Row],[bldg_style]]="",1,_xlfn.IFNA(VLOOKUP(Grandview_Inventory[[#This Row],[decade]],Lookups!$F$29:$H$43,3,FALSE),1))</f>
        <v>0.98763256963907298</v>
      </c>
      <c r="BW2027" s="4">
        <f>_xlfn.IFNA(VLOOKUP(Grandview_Inventory[[#This Row],[living_area_range]],Lookups!$F$47:$H$56,3,FALSE),1)</f>
        <v>0.96120133463014379</v>
      </c>
      <c r="BX2027" s="4">
        <f>AVERAGE(Grandview_Inventory[[#This Row],[qual_adj]:[size_adj]])</f>
        <v>0.97064066769845891</v>
      </c>
      <c r="BY2027" s="6">
        <f>IF(Grandview_Inventory[[#This Row],[pre_res]]&lt;0,0,Grandview_Inventory[[#This Row],[pre_res]]*Grandview_Inventory[[#This Row],[overall_adj]])</f>
        <v>199509.44633925473</v>
      </c>
      <c r="BZ2027" s="6">
        <f>(Grandview_Inventory[[#This Row],[sum_land]]-IF(Grandview_Inventory[[#This Row],[no_utilities]]=1,12000,0))/IF(Grandview_Inventory[[#This Row],[unbuildable]]=1,2,1)</f>
        <v>47528.228511015397</v>
      </c>
      <c r="CA202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27">
        <f>ROUND(Grandview_Inventory[[#This Row],[det_value]]*Lookups!$M$28,-2)</f>
        <v>0</v>
      </c>
      <c r="CC2027">
        <f>IF(ROUND(Grandview_Inventory[[#This Row],[adj_res]]*Lookups!$M$28,-2)&lt;Grandview_Inventory[[#This Row],[min_res]],Grandview_Inventory[[#This Row],[min_res]],ROUND(Grandview_Inventory[[#This Row],[adj_res]]*Lookups!$M$28,-2))</f>
        <v>189500</v>
      </c>
      <c r="CD2027">
        <f>Grandview_Inventory[[#This Row],[final_det]]+Grandview_Inventory[[#This Row],[final_res]]</f>
        <v>189500</v>
      </c>
      <c r="CE2027">
        <f>Grandview_Inventory[[#This Row],[final_land]]+Grandview_Inventory[[#This Row],[final_imp]]+Grandview_Inventory[[#This Row],[crop_value]]</f>
        <v>234700</v>
      </c>
      <c r="CG2027" t="str">
        <f t="shared" si="31"/>
        <v>update valuation set market_land =45200, market_bldg=189500, market_total =234700, market_mdno =401, market_date ='9/10/2023' where link_id = (select link_id from parcel where parcel_year = '2024' and parcel_id = '23092423400');</v>
      </c>
    </row>
    <row r="2028" spans="1:85" x14ac:dyDescent="0.25">
      <c r="A2028">
        <v>23092423401</v>
      </c>
      <c r="B2028">
        <v>0.2</v>
      </c>
      <c r="C2028">
        <v>8841</v>
      </c>
      <c r="D2028" t="s">
        <v>129</v>
      </c>
      <c r="E2028" t="s">
        <v>53</v>
      </c>
      <c r="F2028" t="s">
        <v>53</v>
      </c>
      <c r="G2028">
        <v>4</v>
      </c>
      <c r="H2028" t="s">
        <v>54</v>
      </c>
      <c r="I2028">
        <v>194300</v>
      </c>
      <c r="J2028">
        <v>39300</v>
      </c>
      <c r="K2028">
        <v>0.2</v>
      </c>
      <c r="L202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28">
        <v>0</v>
      </c>
      <c r="N2028">
        <v>0</v>
      </c>
      <c r="O2028">
        <v>0</v>
      </c>
      <c r="P2028">
        <v>13398.7528</v>
      </c>
      <c r="Q2028">
        <v>63903</v>
      </c>
      <c r="R2028">
        <f>(Grandview_Inventory[[#This Row],[ln_acres]]*Grandview_Inventory[[#This Row],[coeff]])+Grandview_Inventory[[#This Row],[const]]</f>
        <v>42338.539264347448</v>
      </c>
      <c r="S2028" t="s">
        <v>68</v>
      </c>
      <c r="T2028">
        <v>1</v>
      </c>
      <c r="U2028" t="s">
        <v>65</v>
      </c>
      <c r="V2028" t="s">
        <v>57</v>
      </c>
      <c r="W2028">
        <v>0</v>
      </c>
      <c r="X2028">
        <v>0</v>
      </c>
      <c r="Y2028">
        <v>11</v>
      </c>
      <c r="Z2028">
        <v>11</v>
      </c>
      <c r="AA2028">
        <v>20</v>
      </c>
      <c r="AB2028">
        <v>1500</v>
      </c>
      <c r="AC2028">
        <v>1088</v>
      </c>
      <c r="AD2028">
        <v>1088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8</v>
      </c>
      <c r="AQ2028">
        <v>0</v>
      </c>
      <c r="AR2028">
        <v>0</v>
      </c>
      <c r="AS2028" t="s">
        <v>58</v>
      </c>
      <c r="AT2028">
        <v>1</v>
      </c>
      <c r="AU2028" t="s">
        <v>63</v>
      </c>
      <c r="AV2028" t="s">
        <v>60</v>
      </c>
      <c r="AW2028">
        <v>1</v>
      </c>
      <c r="AX2028">
        <v>3</v>
      </c>
      <c r="AY2028">
        <v>0</v>
      </c>
      <c r="AZ2028">
        <v>0</v>
      </c>
      <c r="BA2028">
        <v>100</v>
      </c>
      <c r="BB2028">
        <v>100</v>
      </c>
      <c r="BC2028">
        <v>100</v>
      </c>
      <c r="BD2028">
        <v>100</v>
      </c>
      <c r="BE2028">
        <v>1</v>
      </c>
      <c r="BF2028">
        <v>15000</v>
      </c>
      <c r="BG2028">
        <v>1000</v>
      </c>
      <c r="BH2028" s="6">
        <f>Grandview_Inventory[[#This Row],[land_extract]]*Lookups!$B$3</f>
        <v>49167.631333630678</v>
      </c>
      <c r="BI2028" s="6">
        <f>IF(Grandview_Inventory[[#This Row],[bldg_style]]="",0,Lookups!$B$2)</f>
        <v>155833.95000000001</v>
      </c>
      <c r="BJ2028" s="6">
        <f>_xlfn.IFNA(VLOOKUP(Grandview_Inventory[[#This Row],[quality]],Lookups!$H$2:$J$14,3,FALSE),0)</f>
        <v>2251</v>
      </c>
      <c r="BK2028" s="6">
        <f>_xlfn.IFNA(VLOOKUP(Grandview_Inventory[[#This Row],[condition]],Lookups!$H$17:$J$24,3,FALSE),0)</f>
        <v>25780</v>
      </c>
      <c r="BL2028" s="6">
        <f>Grandview_Inventory[[#This Row],[Eff_Age]]*Lookups!$B$14</f>
        <v>-2630.8325999999997</v>
      </c>
      <c r="BM2028" s="6">
        <f>Grandview_Inventory[[#This Row],[living_area]]*Lookups!$B$15</f>
        <v>67870.368064000009</v>
      </c>
      <c r="BN2028" s="6">
        <f>Grandview_Inventory[[#This Row],[Fin BSMT]]*Lookups!$B$16</f>
        <v>0</v>
      </c>
      <c r="BO2028" s="6">
        <f>(Grandview_Inventory[[#This Row],[att_gar]]+Grandview_Inventory[[#This Row],[bltin_gar]])*Lookups!$B$17</f>
        <v>0</v>
      </c>
      <c r="BP2028" s="6">
        <f>Grandview_Inventory[[#This Row],[Plumbing Fixtures]]*Lookups!$B$18</f>
        <v>16083.5344</v>
      </c>
      <c r="BQ2028" s="6">
        <f>Grandview_Inventory[[#This Row],[detatched_value]]*Lookups!$B$19</f>
        <v>0</v>
      </c>
      <c r="BR2028" s="6">
        <f>SUM(Grandview_Inventory[[#This Row],[Intercept]:[det_value]])*Grandview_Inventory[[#This Row],[res_pct]]</f>
        <v>265188.01986400003</v>
      </c>
      <c r="BS2028" s="6">
        <f>Grandview_Inventory[[#This Row],[land_value]]</f>
        <v>49167.631333630678</v>
      </c>
      <c r="BT2028" s="4">
        <f>_xlfn.IFNA(VLOOKUP(Grandview_Inventory[[#This Row],[quality]],Lookups!$A$26:$C$33,3,FALSE),1)</f>
        <v>0.98763855981004833</v>
      </c>
      <c r="BU2028" s="4">
        <f>_xlfn.IFNA(VLOOKUP(Grandview_Inventory[[#This Row],[condition]],Lookups!$A$37:$C$44,3,FALSE),1)</f>
        <v>0.94347925387812148</v>
      </c>
      <c r="BV2028" s="4">
        <f>IF(Grandview_Inventory[[#This Row],[bldg_style]]="",1,_xlfn.IFNA(VLOOKUP(Grandview_Inventory[[#This Row],[decade]],Lookups!$F$29:$H$43,3,FALSE),1))</f>
        <v>0.96737494181490646</v>
      </c>
      <c r="BW2028" s="4">
        <f>_xlfn.IFNA(VLOOKUP(Grandview_Inventory[[#This Row],[living_area_range]],Lookups!$F$47:$H$56,3,FALSE),1)</f>
        <v>0.96135087979789358</v>
      </c>
      <c r="BX2028" s="4">
        <f>AVERAGE(Grandview_Inventory[[#This Row],[qual_adj]:[size_adj]])</f>
        <v>0.96496090882524244</v>
      </c>
      <c r="BY2028" s="6">
        <f>IF(Grandview_Inventory[[#This Row],[pre_res]]&lt;0,0,Grandview_Inventory[[#This Row],[pre_res]]*Grandview_Inventory[[#This Row],[overall_adj]])</f>
        <v>255896.07265753191</v>
      </c>
      <c r="BZ2028" s="6">
        <f>(Grandview_Inventory[[#This Row],[sum_land]]-IF(Grandview_Inventory[[#This Row],[no_utilities]]=1,12000,0))/IF(Grandview_Inventory[[#This Row],[unbuildable]]=1,2,1)</f>
        <v>49167.631333630678</v>
      </c>
      <c r="CA202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28">
        <f>ROUND(Grandview_Inventory[[#This Row],[det_value]]*Lookups!$M$28,-2)</f>
        <v>0</v>
      </c>
      <c r="CC2028">
        <f>IF(ROUND(Grandview_Inventory[[#This Row],[adj_res]]*Lookups!$M$28,-2)&lt;Grandview_Inventory[[#This Row],[min_res]],Grandview_Inventory[[#This Row],[min_res]],ROUND(Grandview_Inventory[[#This Row],[adj_res]]*Lookups!$M$28,-2))</f>
        <v>243100</v>
      </c>
      <c r="CD2028">
        <f>Grandview_Inventory[[#This Row],[final_det]]+Grandview_Inventory[[#This Row],[final_res]]</f>
        <v>243100</v>
      </c>
      <c r="CE2028">
        <f>Grandview_Inventory[[#This Row],[final_land]]+Grandview_Inventory[[#This Row],[final_imp]]+Grandview_Inventory[[#This Row],[crop_value]]</f>
        <v>289800</v>
      </c>
      <c r="CG2028" t="str">
        <f t="shared" si="31"/>
        <v>update valuation set market_land =46700, market_bldg=243100, market_total =289800, market_mdno =401, market_date ='9/10/2023' where link_id = (select link_id from parcel where parcel_year = '2024' and parcel_id = '23092423401');</v>
      </c>
    </row>
    <row r="2029" spans="1:85" x14ac:dyDescent="0.25">
      <c r="A2029">
        <v>23092423402</v>
      </c>
      <c r="B2029">
        <v>0.18</v>
      </c>
      <c r="C2029">
        <v>7895</v>
      </c>
      <c r="D2029" t="s">
        <v>129</v>
      </c>
      <c r="E2029" t="s">
        <v>53</v>
      </c>
      <c r="F2029" t="s">
        <v>53</v>
      </c>
      <c r="G2029">
        <v>4</v>
      </c>
      <c r="H2029" t="s">
        <v>54</v>
      </c>
      <c r="I2029">
        <v>64800</v>
      </c>
      <c r="J2029">
        <v>39000</v>
      </c>
      <c r="K2029">
        <v>0.18</v>
      </c>
      <c r="L202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29">
        <v>0</v>
      </c>
      <c r="N2029">
        <v>0</v>
      </c>
      <c r="O2029">
        <v>0</v>
      </c>
      <c r="P2029">
        <v>13398.7528</v>
      </c>
      <c r="Q2029">
        <v>63903</v>
      </c>
      <c r="R2029">
        <f>(Grandview_Inventory[[#This Row],[ln_acres]]*Grandview_Inventory[[#This Row],[coeff]])+Grandview_Inventory[[#This Row],[const]]</f>
        <v>40926.839760167699</v>
      </c>
      <c r="S2029" t="s">
        <v>142</v>
      </c>
      <c r="T2029">
        <v>1</v>
      </c>
      <c r="U2029" t="s">
        <v>83</v>
      </c>
      <c r="V2029" t="s">
        <v>78</v>
      </c>
      <c r="W2029">
        <v>0</v>
      </c>
      <c r="X2029">
        <v>0</v>
      </c>
      <c r="Y2029">
        <v>56</v>
      </c>
      <c r="Z2029">
        <v>78</v>
      </c>
      <c r="AA2029">
        <v>80</v>
      </c>
      <c r="AB2029">
        <v>1000</v>
      </c>
      <c r="AC2029">
        <v>520</v>
      </c>
      <c r="AD2029">
        <v>520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16</v>
      </c>
      <c r="AO2029">
        <v>0</v>
      </c>
      <c r="AP2029">
        <v>5</v>
      </c>
      <c r="AQ2029">
        <v>0</v>
      </c>
      <c r="AR2029">
        <v>0</v>
      </c>
      <c r="AS2029" t="s">
        <v>58</v>
      </c>
      <c r="AT2029">
        <v>0</v>
      </c>
      <c r="AU2029" t="s">
        <v>82</v>
      </c>
      <c r="AV2029" t="s">
        <v>64</v>
      </c>
      <c r="AW2029">
        <v>0</v>
      </c>
      <c r="AX2029">
        <v>2</v>
      </c>
      <c r="AY2029">
        <v>0</v>
      </c>
      <c r="AZ2029">
        <v>0</v>
      </c>
      <c r="BA2029">
        <v>100</v>
      </c>
      <c r="BB2029">
        <v>100</v>
      </c>
      <c r="BC2029">
        <v>100</v>
      </c>
      <c r="BD2029">
        <v>100</v>
      </c>
      <c r="BE2029">
        <v>1</v>
      </c>
      <c r="BF2029">
        <v>15000</v>
      </c>
      <c r="BG2029">
        <v>1000</v>
      </c>
      <c r="BH2029" s="6">
        <f>Grandview_Inventory[[#This Row],[land_extract]]*Lookups!$B$3</f>
        <v>47528.228511015397</v>
      </c>
      <c r="BI2029" s="6">
        <f>IF(Grandview_Inventory[[#This Row],[bldg_style]]="",0,Lookups!$B$2)</f>
        <v>155833.95000000001</v>
      </c>
      <c r="BJ2029" s="6">
        <f>_xlfn.IFNA(VLOOKUP(Grandview_Inventory[[#This Row],[quality]],Lookups!$H$2:$J$14,3,FALSE),0)</f>
        <v>-28558</v>
      </c>
      <c r="BK2029" s="6">
        <f>_xlfn.IFNA(VLOOKUP(Grandview_Inventory[[#This Row],[condition]],Lookups!$H$17:$J$24,3,FALSE),0)</f>
        <v>-45357</v>
      </c>
      <c r="BL2029" s="6">
        <f>Grandview_Inventory[[#This Row],[Eff_Age]]*Lookups!$B$14</f>
        <v>-13393.329599999999</v>
      </c>
      <c r="BM2029" s="6">
        <f>Grandview_Inventory[[#This Row],[living_area]]*Lookups!$B$15</f>
        <v>32438.043560000002</v>
      </c>
      <c r="BN2029" s="6">
        <f>Grandview_Inventory[[#This Row],[Fin BSMT]]*Lookups!$B$16</f>
        <v>0</v>
      </c>
      <c r="BO2029" s="6">
        <f>(Grandview_Inventory[[#This Row],[att_gar]]+Grandview_Inventory[[#This Row],[bltin_gar]])*Lookups!$B$17</f>
        <v>0</v>
      </c>
      <c r="BP2029" s="6">
        <f>Grandview_Inventory[[#This Row],[Plumbing Fixtures]]*Lookups!$B$18</f>
        <v>10052.209000000001</v>
      </c>
      <c r="BQ2029" s="6">
        <f>Grandview_Inventory[[#This Row],[detatched_value]]*Lookups!$B$19</f>
        <v>0</v>
      </c>
      <c r="BR2029" s="6">
        <f>SUM(Grandview_Inventory[[#This Row],[Intercept]:[det_value]])*Grandview_Inventory[[#This Row],[res_pct]]</f>
        <v>111015.87296000002</v>
      </c>
      <c r="BS2029" s="6">
        <f>Grandview_Inventory[[#This Row],[land_value]]</f>
        <v>47528.228511015397</v>
      </c>
      <c r="BT2029" s="4">
        <f>_xlfn.IFNA(VLOOKUP(Grandview_Inventory[[#This Row],[quality]],Lookups!$A$26:$C$33,3,FALSE),1)</f>
        <v>0.96329552998502799</v>
      </c>
      <c r="BU2029" s="4">
        <f>_xlfn.IFNA(VLOOKUP(Grandview_Inventory[[#This Row],[condition]],Lookups!$A$37:$C$44,3,FALSE),1)</f>
        <v>0.97161819570155394</v>
      </c>
      <c r="BV2029" s="4">
        <f>IF(Grandview_Inventory[[#This Row],[bldg_style]]="",1,_xlfn.IFNA(VLOOKUP(Grandview_Inventory[[#This Row],[decade]],Lookups!$F$29:$H$43,3,FALSE),1))</f>
        <v>0.98763256963907298</v>
      </c>
      <c r="BW2029" s="4">
        <f>_xlfn.IFNA(VLOOKUP(Grandview_Inventory[[#This Row],[living_area_range]],Lookups!$F$47:$H$56,3,FALSE),1)</f>
        <v>0.94306777142782894</v>
      </c>
      <c r="BX2029" s="4">
        <f>AVERAGE(Grandview_Inventory[[#This Row],[qual_adj]:[size_adj]])</f>
        <v>0.96640351668837088</v>
      </c>
      <c r="BY2029" s="6">
        <f>IF(Grandview_Inventory[[#This Row],[pre_res]]&lt;0,0,Grandview_Inventory[[#This Row],[pre_res]]*Grandview_Inventory[[#This Row],[overall_adj]])</f>
        <v>107286.13003677344</v>
      </c>
      <c r="BZ2029" s="6">
        <f>(Grandview_Inventory[[#This Row],[sum_land]]-IF(Grandview_Inventory[[#This Row],[no_utilities]]=1,12000,0))/IF(Grandview_Inventory[[#This Row],[unbuildable]]=1,2,1)</f>
        <v>47528.228511015397</v>
      </c>
      <c r="CA202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29">
        <f>ROUND(Grandview_Inventory[[#This Row],[det_value]]*Lookups!$M$28,-2)</f>
        <v>0</v>
      </c>
      <c r="CC2029">
        <f>IF(ROUND(Grandview_Inventory[[#This Row],[adj_res]]*Lookups!$M$28,-2)&lt;Grandview_Inventory[[#This Row],[min_res]],Grandview_Inventory[[#This Row],[min_res]],ROUND(Grandview_Inventory[[#This Row],[adj_res]]*Lookups!$M$28,-2))</f>
        <v>101900</v>
      </c>
      <c r="CD2029">
        <f>Grandview_Inventory[[#This Row],[final_det]]+Grandview_Inventory[[#This Row],[final_res]]</f>
        <v>101900</v>
      </c>
      <c r="CE2029">
        <f>Grandview_Inventory[[#This Row],[final_land]]+Grandview_Inventory[[#This Row],[final_imp]]+Grandview_Inventory[[#This Row],[crop_value]]</f>
        <v>147100</v>
      </c>
      <c r="CG2029" t="str">
        <f t="shared" si="31"/>
        <v>update valuation set market_land =45200, market_bldg=101900, market_total =147100, market_mdno =401, market_date ='9/10/2023' where link_id = (select link_id from parcel where parcel_year = '2024' and parcel_id = '23092423402');</v>
      </c>
    </row>
    <row r="2030" spans="1:85" x14ac:dyDescent="0.25">
      <c r="A2030">
        <v>23092423403</v>
      </c>
      <c r="B2030">
        <v>0.19</v>
      </c>
      <c r="C2030">
        <v>8154</v>
      </c>
      <c r="D2030" t="s">
        <v>129</v>
      </c>
      <c r="E2030" t="s">
        <v>53</v>
      </c>
      <c r="F2030" t="s">
        <v>53</v>
      </c>
      <c r="G2030">
        <v>4</v>
      </c>
      <c r="H2030" t="s">
        <v>54</v>
      </c>
      <c r="I2030">
        <v>201200</v>
      </c>
      <c r="J2030">
        <v>39000</v>
      </c>
      <c r="K2030">
        <v>0.19</v>
      </c>
      <c r="L203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030">
        <v>0</v>
      </c>
      <c r="N2030">
        <v>0</v>
      </c>
      <c r="O2030">
        <v>0</v>
      </c>
      <c r="P2030">
        <v>13398.7528</v>
      </c>
      <c r="Q2030">
        <v>63903</v>
      </c>
      <c r="R2030">
        <f>(Grandview_Inventory[[#This Row],[ln_acres]]*Grandview_Inventory[[#This Row],[coeff]])+Grandview_Inventory[[#This Row],[const]]</f>
        <v>41651.273092551026</v>
      </c>
      <c r="S2030" t="s">
        <v>61</v>
      </c>
      <c r="T2030">
        <v>1</v>
      </c>
      <c r="U2030" t="s">
        <v>65</v>
      </c>
      <c r="V2030" t="s">
        <v>69</v>
      </c>
      <c r="W2030">
        <v>0</v>
      </c>
      <c r="X2030">
        <v>0</v>
      </c>
      <c r="Y2030">
        <v>51</v>
      </c>
      <c r="Z2030">
        <v>82</v>
      </c>
      <c r="AA2030">
        <v>90</v>
      </c>
      <c r="AB2030">
        <v>1500</v>
      </c>
      <c r="AC2030">
        <v>1388</v>
      </c>
      <c r="AD2030">
        <v>1388</v>
      </c>
      <c r="AE2030">
        <v>0</v>
      </c>
      <c r="AF2030">
        <v>0</v>
      </c>
      <c r="AG2030">
        <v>0</v>
      </c>
      <c r="AH2030">
        <v>0</v>
      </c>
      <c r="AI2030">
        <v>660</v>
      </c>
      <c r="AJ2030">
        <v>0</v>
      </c>
      <c r="AK2030">
        <v>0</v>
      </c>
      <c r="AL2030">
        <v>0</v>
      </c>
      <c r="AM2030">
        <v>264</v>
      </c>
      <c r="AN2030">
        <v>25</v>
      </c>
      <c r="AO2030">
        <v>264</v>
      </c>
      <c r="AP2030">
        <v>5</v>
      </c>
      <c r="AQ2030">
        <v>0</v>
      </c>
      <c r="AR2030">
        <v>0</v>
      </c>
      <c r="AS2030" t="s">
        <v>71</v>
      </c>
      <c r="AT2030">
        <v>1</v>
      </c>
      <c r="AU2030" t="s">
        <v>63</v>
      </c>
      <c r="AV2030" t="s">
        <v>60</v>
      </c>
      <c r="AW2030">
        <v>1</v>
      </c>
      <c r="AX2030">
        <v>3</v>
      </c>
      <c r="AY2030">
        <v>0</v>
      </c>
      <c r="AZ2030">
        <v>0</v>
      </c>
      <c r="BA2030">
        <v>100</v>
      </c>
      <c r="BB2030">
        <v>100</v>
      </c>
      <c r="BC2030">
        <v>100</v>
      </c>
      <c r="BD2030">
        <v>100</v>
      </c>
      <c r="BE2030">
        <v>1</v>
      </c>
      <c r="BF2030">
        <v>15000</v>
      </c>
      <c r="BG2030">
        <v>1000</v>
      </c>
      <c r="BH2030" s="6">
        <f>Grandview_Inventory[[#This Row],[land_extract]]*Lookups!$B$3</f>
        <v>48369.510983942157</v>
      </c>
      <c r="BI2030" s="6">
        <f>IF(Grandview_Inventory[[#This Row],[bldg_style]]="",0,Lookups!$B$2)</f>
        <v>155833.95000000001</v>
      </c>
      <c r="BJ2030" s="6">
        <f>_xlfn.IFNA(VLOOKUP(Grandview_Inventory[[#This Row],[quality]],Lookups!$H$2:$J$14,3,FALSE),0)</f>
        <v>2251</v>
      </c>
      <c r="BK2030" s="6">
        <f>_xlfn.IFNA(VLOOKUP(Grandview_Inventory[[#This Row],[condition]],Lookups!$H$17:$J$24,3,FALSE),0)</f>
        <v>-4503</v>
      </c>
      <c r="BL2030" s="6">
        <f>Grandview_Inventory[[#This Row],[Eff_Age]]*Lookups!$B$14</f>
        <v>-12197.496599999999</v>
      </c>
      <c r="BM2030" s="6">
        <f>Grandview_Inventory[[#This Row],[living_area]]*Lookups!$B$15</f>
        <v>86584.623963999999</v>
      </c>
      <c r="BN2030" s="6">
        <f>Grandview_Inventory[[#This Row],[Fin BSMT]]*Lookups!$B$16</f>
        <v>0</v>
      </c>
      <c r="BO2030" s="6">
        <f>(Grandview_Inventory[[#This Row],[att_gar]]+Grandview_Inventory[[#This Row],[bltin_gar]])*Lookups!$B$17</f>
        <v>57763.488420000001</v>
      </c>
      <c r="BP2030" s="6">
        <f>Grandview_Inventory[[#This Row],[Plumbing Fixtures]]*Lookups!$B$18</f>
        <v>10052.209000000001</v>
      </c>
      <c r="BQ2030" s="6">
        <f>Grandview_Inventory[[#This Row],[detatched_value]]*Lookups!$B$19</f>
        <v>0</v>
      </c>
      <c r="BR2030" s="6">
        <f>SUM(Grandview_Inventory[[#This Row],[Intercept]:[det_value]])*Grandview_Inventory[[#This Row],[res_pct]]</f>
        <v>295784.77478399995</v>
      </c>
      <c r="BS2030" s="6">
        <f>Grandview_Inventory[[#This Row],[land_value]]</f>
        <v>48369.510983942157</v>
      </c>
      <c r="BT2030" s="4">
        <f>_xlfn.IFNA(VLOOKUP(Grandview_Inventory[[#This Row],[quality]],Lookups!$A$26:$C$33,3,FALSE),1)</f>
        <v>0.98763855981004833</v>
      </c>
      <c r="BU2030" s="4">
        <f>_xlfn.IFNA(VLOOKUP(Grandview_Inventory[[#This Row],[condition]],Lookups!$A$37:$C$44,3,FALSE),1)</f>
        <v>0.96469275950863709</v>
      </c>
      <c r="BV2030" s="4">
        <f>IF(Grandview_Inventory[[#This Row],[bldg_style]]="",1,_xlfn.IFNA(VLOOKUP(Grandview_Inventory[[#This Row],[decade]],Lookups!$F$29:$H$43,3,FALSE),1))</f>
        <v>0.94161750052457416</v>
      </c>
      <c r="BW2030" s="4">
        <f>_xlfn.IFNA(VLOOKUP(Grandview_Inventory[[#This Row],[living_area_range]],Lookups!$F$47:$H$56,3,FALSE),1)</f>
        <v>0.96135087979789358</v>
      </c>
      <c r="BX2030" s="4">
        <f>AVERAGE(Grandview_Inventory[[#This Row],[qual_adj]:[size_adj]])</f>
        <v>0.96382492491028826</v>
      </c>
      <c r="BY2030" s="6">
        <f>IF(Grandview_Inventory[[#This Row],[pre_res]]&lt;0,0,Grandview_Inventory[[#This Row],[pre_res]]*Grandview_Inventory[[#This Row],[overall_adj]])</f>
        <v>285084.73834579525</v>
      </c>
      <c r="BZ2030" s="6">
        <f>(Grandview_Inventory[[#This Row],[sum_land]]-IF(Grandview_Inventory[[#This Row],[no_utilities]]=1,12000,0))/IF(Grandview_Inventory[[#This Row],[unbuildable]]=1,2,1)</f>
        <v>48369.510983942157</v>
      </c>
      <c r="CA203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030">
        <f>ROUND(Grandview_Inventory[[#This Row],[det_value]]*Lookups!$M$28,-2)</f>
        <v>0</v>
      </c>
      <c r="CC2030">
        <f>IF(ROUND(Grandview_Inventory[[#This Row],[adj_res]]*Lookups!$M$28,-2)&lt;Grandview_Inventory[[#This Row],[min_res]],Grandview_Inventory[[#This Row],[min_res]],ROUND(Grandview_Inventory[[#This Row],[adj_res]]*Lookups!$M$28,-2))</f>
        <v>270800</v>
      </c>
      <c r="CD2030">
        <f>Grandview_Inventory[[#This Row],[final_det]]+Grandview_Inventory[[#This Row],[final_res]]</f>
        <v>270800</v>
      </c>
      <c r="CE2030">
        <f>Grandview_Inventory[[#This Row],[final_land]]+Grandview_Inventory[[#This Row],[final_imp]]+Grandview_Inventory[[#This Row],[crop_value]]</f>
        <v>316800</v>
      </c>
      <c r="CG2030" t="str">
        <f t="shared" si="31"/>
        <v>update valuation set market_land =46000, market_bldg=270800, market_total =316800, market_mdno =401, market_date ='9/10/2023' where link_id = (select link_id from parcel where parcel_year = '2024' and parcel_id = '23092423403');</v>
      </c>
    </row>
    <row r="2031" spans="1:85" x14ac:dyDescent="0.25">
      <c r="A2031">
        <v>23092423405</v>
      </c>
      <c r="B2031">
        <v>0.44</v>
      </c>
      <c r="C2031">
        <v>19094</v>
      </c>
      <c r="D2031" t="s">
        <v>129</v>
      </c>
      <c r="E2031" t="s">
        <v>53</v>
      </c>
      <c r="F2031" t="s">
        <v>53</v>
      </c>
      <c r="G2031">
        <v>4</v>
      </c>
      <c r="H2031" t="s">
        <v>54</v>
      </c>
      <c r="I2031">
        <v>86800</v>
      </c>
      <c r="J2031">
        <v>29200</v>
      </c>
      <c r="K2031">
        <v>0.44</v>
      </c>
      <c r="L2031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2031">
        <v>0</v>
      </c>
      <c r="N2031">
        <v>0</v>
      </c>
      <c r="O2031">
        <v>0</v>
      </c>
      <c r="P2031">
        <v>13398.7528</v>
      </c>
      <c r="Q2031">
        <v>63903</v>
      </c>
      <c r="R2031">
        <f>(Grandview_Inventory[[#This Row],[ln_acres]]*Grandview_Inventory[[#This Row],[coeff]])+Grandview_Inventory[[#This Row],[const]]</f>
        <v>52902.884529208815</v>
      </c>
      <c r="S2031" t="s">
        <v>68</v>
      </c>
      <c r="T2031">
        <v>1</v>
      </c>
      <c r="U2031" t="s">
        <v>83</v>
      </c>
      <c r="V2031" t="s">
        <v>78</v>
      </c>
      <c r="W2031">
        <v>0</v>
      </c>
      <c r="X2031">
        <v>0</v>
      </c>
      <c r="Y2031">
        <v>51</v>
      </c>
      <c r="Z2031">
        <v>78</v>
      </c>
      <c r="AA2031">
        <v>80</v>
      </c>
      <c r="AB2031">
        <v>1000</v>
      </c>
      <c r="AC2031">
        <v>780</v>
      </c>
      <c r="AD2031">
        <v>780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312</v>
      </c>
      <c r="AL2031">
        <v>0</v>
      </c>
      <c r="AM2031">
        <v>0</v>
      </c>
      <c r="AN2031">
        <v>0</v>
      </c>
      <c r="AO2031">
        <v>0</v>
      </c>
      <c r="AP2031">
        <v>5</v>
      </c>
      <c r="AQ2031">
        <v>0</v>
      </c>
      <c r="AR2031">
        <v>0</v>
      </c>
      <c r="AS2031" t="s">
        <v>58</v>
      </c>
      <c r="AT2031">
        <v>1</v>
      </c>
      <c r="AU2031" t="s">
        <v>63</v>
      </c>
      <c r="AV2031" t="s">
        <v>64</v>
      </c>
      <c r="AW2031">
        <v>0</v>
      </c>
      <c r="AX2031">
        <v>2</v>
      </c>
      <c r="AY2031">
        <v>0</v>
      </c>
      <c r="AZ2031">
        <v>0</v>
      </c>
      <c r="BA2031">
        <v>100</v>
      </c>
      <c r="BB2031">
        <v>100</v>
      </c>
      <c r="BC2031">
        <v>100</v>
      </c>
      <c r="BD2031">
        <v>100</v>
      </c>
      <c r="BE2031">
        <v>1</v>
      </c>
      <c r="BF2031">
        <v>15000</v>
      </c>
      <c r="BG2031">
        <v>1000</v>
      </c>
      <c r="BH2031" s="6">
        <f>Grandview_Inventory[[#This Row],[land_extract]]*Lookups!$B$3</f>
        <v>61435.976965981965</v>
      </c>
      <c r="BI2031" s="6">
        <f>IF(Grandview_Inventory[[#This Row],[bldg_style]]="",0,Lookups!$B$2)</f>
        <v>155833.95000000001</v>
      </c>
      <c r="BJ2031" s="6">
        <f>_xlfn.IFNA(VLOOKUP(Grandview_Inventory[[#This Row],[quality]],Lookups!$H$2:$J$14,3,FALSE),0)</f>
        <v>-28558</v>
      </c>
      <c r="BK2031" s="6">
        <f>_xlfn.IFNA(VLOOKUP(Grandview_Inventory[[#This Row],[condition]],Lookups!$H$17:$J$24,3,FALSE),0)</f>
        <v>-45357</v>
      </c>
      <c r="BL2031" s="6">
        <f>Grandview_Inventory[[#This Row],[Eff_Age]]*Lookups!$B$14</f>
        <v>-12197.496599999999</v>
      </c>
      <c r="BM2031" s="6">
        <f>Grandview_Inventory[[#This Row],[living_area]]*Lookups!$B$15</f>
        <v>48657.065340000001</v>
      </c>
      <c r="BN2031" s="6">
        <f>Grandview_Inventory[[#This Row],[Fin BSMT]]*Lookups!$B$16</f>
        <v>0</v>
      </c>
      <c r="BO2031" s="6">
        <f>(Grandview_Inventory[[#This Row],[att_gar]]+Grandview_Inventory[[#This Row],[bltin_gar]])*Lookups!$B$17</f>
        <v>0</v>
      </c>
      <c r="BP2031" s="6">
        <f>Grandview_Inventory[[#This Row],[Plumbing Fixtures]]*Lookups!$B$18</f>
        <v>10052.209000000001</v>
      </c>
      <c r="BQ2031" s="6">
        <f>Grandview_Inventory[[#This Row],[detatched_value]]*Lookups!$B$19</f>
        <v>0</v>
      </c>
      <c r="BR2031" s="6">
        <f>SUM(Grandview_Inventory[[#This Row],[Intercept]:[det_value]])*Grandview_Inventory[[#This Row],[res_pct]]</f>
        <v>128430.72774000002</v>
      </c>
      <c r="BS2031" s="6">
        <f>Grandview_Inventory[[#This Row],[land_value]]</f>
        <v>61435.976965981965</v>
      </c>
      <c r="BT2031" s="4">
        <f>_xlfn.IFNA(VLOOKUP(Grandview_Inventory[[#This Row],[quality]],Lookups!$A$26:$C$33,3,FALSE),1)</f>
        <v>0.96329552998502799</v>
      </c>
      <c r="BU2031" s="4">
        <f>_xlfn.IFNA(VLOOKUP(Grandview_Inventory[[#This Row],[condition]],Lookups!$A$37:$C$44,3,FALSE),1)</f>
        <v>0.97161819570155394</v>
      </c>
      <c r="BV2031" s="4">
        <f>IF(Grandview_Inventory[[#This Row],[bldg_style]]="",1,_xlfn.IFNA(VLOOKUP(Grandview_Inventory[[#This Row],[decade]],Lookups!$F$29:$H$43,3,FALSE),1))</f>
        <v>0.98763256963907298</v>
      </c>
      <c r="BW2031" s="4">
        <f>_xlfn.IFNA(VLOOKUP(Grandview_Inventory[[#This Row],[living_area_range]],Lookups!$F$47:$H$56,3,FALSE),1)</f>
        <v>0.94306777142782894</v>
      </c>
      <c r="BX2031" s="4">
        <f>AVERAGE(Grandview_Inventory[[#This Row],[qual_adj]:[size_adj]])</f>
        <v>0.96640351668837088</v>
      </c>
      <c r="BY2031" s="6">
        <f>IF(Grandview_Inventory[[#This Row],[pre_res]]&lt;0,0,Grandview_Inventory[[#This Row],[pre_res]]*Grandview_Inventory[[#This Row],[overall_adj]])</f>
        <v>124115.90693878272</v>
      </c>
      <c r="BZ2031" s="6">
        <f>(Grandview_Inventory[[#This Row],[sum_land]]-IF(Grandview_Inventory[[#This Row],[no_utilities]]=1,12000,0))/IF(Grandview_Inventory[[#This Row],[unbuildable]]=1,2,1)</f>
        <v>61435.976965981965</v>
      </c>
      <c r="CA2031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2031">
        <f>ROUND(Grandview_Inventory[[#This Row],[det_value]]*Lookups!$M$28,-2)</f>
        <v>0</v>
      </c>
      <c r="CC2031">
        <f>IF(ROUND(Grandview_Inventory[[#This Row],[adj_res]]*Lookups!$M$28,-2)&lt;Grandview_Inventory[[#This Row],[min_res]],Grandview_Inventory[[#This Row],[min_res]],ROUND(Grandview_Inventory[[#This Row],[adj_res]]*Lookups!$M$28,-2))</f>
        <v>117900</v>
      </c>
      <c r="CD2031">
        <f>Grandview_Inventory[[#This Row],[final_det]]+Grandview_Inventory[[#This Row],[final_res]]</f>
        <v>117900</v>
      </c>
      <c r="CE2031">
        <f>Grandview_Inventory[[#This Row],[final_land]]+Grandview_Inventory[[#This Row],[final_imp]]+Grandview_Inventory[[#This Row],[crop_value]]</f>
        <v>176300</v>
      </c>
      <c r="CG2031" t="str">
        <f t="shared" si="31"/>
        <v>update valuation set market_land =58400, market_bldg=117900, market_total =176300, market_mdno =401, market_date ='9/10/2023' where link_id = (select link_id from parcel where parcel_year = '2024' and parcel_id = '23092423405');</v>
      </c>
    </row>
    <row r="2032" spans="1:85" x14ac:dyDescent="0.25">
      <c r="A2032">
        <v>23092423406</v>
      </c>
      <c r="B2032">
        <v>0.23</v>
      </c>
      <c r="C2032">
        <v>10026</v>
      </c>
      <c r="D2032" t="s">
        <v>129</v>
      </c>
      <c r="E2032" t="s">
        <v>53</v>
      </c>
      <c r="F2032" t="s">
        <v>53</v>
      </c>
      <c r="G2032">
        <v>4</v>
      </c>
      <c r="H2032" t="s">
        <v>54</v>
      </c>
      <c r="I2032">
        <v>204300</v>
      </c>
      <c r="J2032">
        <v>39500</v>
      </c>
      <c r="K2032">
        <v>0.23</v>
      </c>
      <c r="L203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32">
        <v>0</v>
      </c>
      <c r="N2032">
        <v>0</v>
      </c>
      <c r="O2032">
        <v>0</v>
      </c>
      <c r="P2032">
        <v>13398.7528</v>
      </c>
      <c r="Q2032">
        <v>63903</v>
      </c>
      <c r="R2032">
        <f>(Grandview_Inventory[[#This Row],[ln_acres]]*Grandview_Inventory[[#This Row],[coeff]])+Grandview_Inventory[[#This Row],[const]]</f>
        <v>44211.174981080039</v>
      </c>
      <c r="S2032" t="s">
        <v>55</v>
      </c>
      <c r="T2032">
        <v>1</v>
      </c>
      <c r="U2032" t="s">
        <v>65</v>
      </c>
      <c r="V2032" t="s">
        <v>69</v>
      </c>
      <c r="W2032">
        <v>0</v>
      </c>
      <c r="X2032">
        <v>0</v>
      </c>
      <c r="Y2032">
        <v>52</v>
      </c>
      <c r="Z2032">
        <v>88</v>
      </c>
      <c r="AA2032">
        <v>90</v>
      </c>
      <c r="AB2032">
        <v>1500</v>
      </c>
      <c r="AC2032">
        <v>1421</v>
      </c>
      <c r="AD2032">
        <v>1421</v>
      </c>
      <c r="AE2032">
        <v>0</v>
      </c>
      <c r="AF2032">
        <v>0</v>
      </c>
      <c r="AG2032">
        <v>0</v>
      </c>
      <c r="AH2032">
        <v>0</v>
      </c>
      <c r="AI2032">
        <v>572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8</v>
      </c>
      <c r="AQ2032">
        <v>0</v>
      </c>
      <c r="AR2032">
        <v>0</v>
      </c>
      <c r="AS2032" t="s">
        <v>71</v>
      </c>
      <c r="AT2032">
        <v>1</v>
      </c>
      <c r="AU2032" t="s">
        <v>63</v>
      </c>
      <c r="AV2032" t="s">
        <v>64</v>
      </c>
      <c r="AW2032">
        <v>1</v>
      </c>
      <c r="AX2032">
        <v>2</v>
      </c>
      <c r="AY2032">
        <v>0</v>
      </c>
      <c r="AZ2032">
        <v>0</v>
      </c>
      <c r="BA2032">
        <v>100</v>
      </c>
      <c r="BB2032">
        <v>100</v>
      </c>
      <c r="BC2032">
        <v>100</v>
      </c>
      <c r="BD2032">
        <v>100</v>
      </c>
      <c r="BE2032">
        <v>1</v>
      </c>
      <c r="BF2032">
        <v>15000</v>
      </c>
      <c r="BG2032">
        <v>1000</v>
      </c>
      <c r="BH2032" s="6">
        <f>Grandview_Inventory[[#This Row],[land_extract]]*Lookups!$B$3</f>
        <v>51342.318135355803</v>
      </c>
      <c r="BI2032" s="6">
        <f>IF(Grandview_Inventory[[#This Row],[bldg_style]]="",0,Lookups!$B$2)</f>
        <v>155833.95000000001</v>
      </c>
      <c r="BJ2032" s="6">
        <f>_xlfn.IFNA(VLOOKUP(Grandview_Inventory[[#This Row],[quality]],Lookups!$H$2:$J$14,3,FALSE),0)</f>
        <v>2251</v>
      </c>
      <c r="BK2032" s="6">
        <f>_xlfn.IFNA(VLOOKUP(Grandview_Inventory[[#This Row],[condition]],Lookups!$H$17:$J$24,3,FALSE),0)</f>
        <v>-4503</v>
      </c>
      <c r="BL2032" s="6">
        <f>Grandview_Inventory[[#This Row],[Eff_Age]]*Lookups!$B$14</f>
        <v>-12436.663199999999</v>
      </c>
      <c r="BM2032" s="6">
        <f>Grandview_Inventory[[#This Row],[living_area]]*Lookups!$B$15</f>
        <v>88643.192112999997</v>
      </c>
      <c r="BN2032" s="6">
        <f>Grandview_Inventory[[#This Row],[Fin BSMT]]*Lookups!$B$16</f>
        <v>0</v>
      </c>
      <c r="BO2032" s="6">
        <f>(Grandview_Inventory[[#This Row],[att_gar]]+Grandview_Inventory[[#This Row],[bltin_gar]])*Lookups!$B$17</f>
        <v>50061.689963999997</v>
      </c>
      <c r="BP2032" s="6">
        <f>Grandview_Inventory[[#This Row],[Plumbing Fixtures]]*Lookups!$B$18</f>
        <v>16083.5344</v>
      </c>
      <c r="BQ2032" s="6">
        <f>Grandview_Inventory[[#This Row],[detatched_value]]*Lookups!$B$19</f>
        <v>0</v>
      </c>
      <c r="BR2032" s="6">
        <f>SUM(Grandview_Inventory[[#This Row],[Intercept]:[det_value]])*Grandview_Inventory[[#This Row],[res_pct]]</f>
        <v>295933.70327699999</v>
      </c>
      <c r="BS2032" s="6">
        <f>Grandview_Inventory[[#This Row],[land_value]]</f>
        <v>51342.318135355803</v>
      </c>
      <c r="BT2032" s="4">
        <f>_xlfn.IFNA(VLOOKUP(Grandview_Inventory[[#This Row],[quality]],Lookups!$A$26:$C$33,3,FALSE),1)</f>
        <v>0.98763855981004833</v>
      </c>
      <c r="BU2032" s="4">
        <f>_xlfn.IFNA(VLOOKUP(Grandview_Inventory[[#This Row],[condition]],Lookups!$A$37:$C$44,3,FALSE),1)</f>
        <v>0.96469275950863709</v>
      </c>
      <c r="BV2032" s="4">
        <f>IF(Grandview_Inventory[[#This Row],[bldg_style]]="",1,_xlfn.IFNA(VLOOKUP(Grandview_Inventory[[#This Row],[decade]],Lookups!$F$29:$H$43,3,FALSE),1))</f>
        <v>0.94161750052457416</v>
      </c>
      <c r="BW2032" s="4">
        <f>_xlfn.IFNA(VLOOKUP(Grandview_Inventory[[#This Row],[living_area_range]],Lookups!$F$47:$H$56,3,FALSE),1)</f>
        <v>0.96135087979789358</v>
      </c>
      <c r="BX2032" s="4">
        <f>AVERAGE(Grandview_Inventory[[#This Row],[qual_adj]:[size_adj]])</f>
        <v>0.96382492491028826</v>
      </c>
      <c r="BY2032" s="6">
        <f>IF(Grandview_Inventory[[#This Row],[pre_res]]&lt;0,0,Grandview_Inventory[[#This Row],[pre_res]]*Grandview_Inventory[[#This Row],[overall_adj]])</f>
        <v>285228.27933937806</v>
      </c>
      <c r="BZ2032" s="6">
        <f>(Grandview_Inventory[[#This Row],[sum_land]]-IF(Grandview_Inventory[[#This Row],[no_utilities]]=1,12000,0))/IF(Grandview_Inventory[[#This Row],[unbuildable]]=1,2,1)</f>
        <v>51342.318135355803</v>
      </c>
      <c r="CA203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32">
        <f>ROUND(Grandview_Inventory[[#This Row],[det_value]]*Lookups!$M$28,-2)</f>
        <v>0</v>
      </c>
      <c r="CC2032">
        <f>IF(ROUND(Grandview_Inventory[[#This Row],[adj_res]]*Lookups!$M$28,-2)&lt;Grandview_Inventory[[#This Row],[min_res]],Grandview_Inventory[[#This Row],[min_res]],ROUND(Grandview_Inventory[[#This Row],[adj_res]]*Lookups!$M$28,-2))</f>
        <v>271000</v>
      </c>
      <c r="CD2032">
        <f>Grandview_Inventory[[#This Row],[final_det]]+Grandview_Inventory[[#This Row],[final_res]]</f>
        <v>271000</v>
      </c>
      <c r="CE2032">
        <f>Grandview_Inventory[[#This Row],[final_land]]+Grandview_Inventory[[#This Row],[final_imp]]+Grandview_Inventory[[#This Row],[crop_value]]</f>
        <v>319800</v>
      </c>
      <c r="CG2032" t="str">
        <f t="shared" si="31"/>
        <v>update valuation set market_land =48800, market_bldg=271000, market_total =319800, market_mdno =401, market_date ='9/10/2023' where link_id = (select link_id from parcel where parcel_year = '2024' and parcel_id = '23092423406');</v>
      </c>
    </row>
    <row r="2033" spans="1:85" x14ac:dyDescent="0.25">
      <c r="A2033">
        <v>23092423407</v>
      </c>
      <c r="B2033">
        <v>0.27</v>
      </c>
      <c r="C2033">
        <v>11681</v>
      </c>
      <c r="D2033" t="s">
        <v>129</v>
      </c>
      <c r="E2033" t="s">
        <v>53</v>
      </c>
      <c r="F2033" t="s">
        <v>53</v>
      </c>
      <c r="G2033">
        <v>4</v>
      </c>
      <c r="H2033" t="s">
        <v>54</v>
      </c>
      <c r="I2033">
        <v>120000</v>
      </c>
      <c r="J2033">
        <v>44500</v>
      </c>
      <c r="K2033">
        <v>0.27</v>
      </c>
      <c r="L2033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033">
        <v>0</v>
      </c>
      <c r="N2033">
        <v>0</v>
      </c>
      <c r="O2033">
        <v>0</v>
      </c>
      <c r="P2033">
        <v>13398.7528</v>
      </c>
      <c r="Q2033">
        <v>63903</v>
      </c>
      <c r="R2033">
        <f>(Grandview_Inventory[[#This Row],[ln_acres]]*Grandview_Inventory[[#This Row],[coeff]])+Grandview_Inventory[[#This Row],[const]]</f>
        <v>46359.566512734265</v>
      </c>
      <c r="S2033" t="s">
        <v>142</v>
      </c>
      <c r="T2033">
        <v>1</v>
      </c>
      <c r="U2033" t="s">
        <v>83</v>
      </c>
      <c r="V2033" t="s">
        <v>69</v>
      </c>
      <c r="W2033">
        <v>0</v>
      </c>
      <c r="X2033">
        <v>0</v>
      </c>
      <c r="Y2033">
        <v>63</v>
      </c>
      <c r="Z2033">
        <v>78</v>
      </c>
      <c r="AA2033">
        <v>80</v>
      </c>
      <c r="AB2033">
        <v>1000</v>
      </c>
      <c r="AC2033">
        <v>770</v>
      </c>
      <c r="AD2033">
        <v>770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546</v>
      </c>
      <c r="AL2033">
        <v>0</v>
      </c>
      <c r="AM2033">
        <v>0</v>
      </c>
      <c r="AN2033">
        <v>0</v>
      </c>
      <c r="AO2033">
        <v>40</v>
      </c>
      <c r="AP2033">
        <v>5</v>
      </c>
      <c r="AQ2033">
        <v>0</v>
      </c>
      <c r="AR2033">
        <v>0</v>
      </c>
      <c r="AS2033" t="s">
        <v>58</v>
      </c>
      <c r="AT2033">
        <v>0</v>
      </c>
      <c r="AU2033" t="s">
        <v>82</v>
      </c>
      <c r="AV2033" t="s">
        <v>60</v>
      </c>
      <c r="AW2033">
        <v>0</v>
      </c>
      <c r="AX2033">
        <v>2</v>
      </c>
      <c r="AY2033">
        <v>0</v>
      </c>
      <c r="AZ2033">
        <v>0</v>
      </c>
      <c r="BA2033">
        <v>100</v>
      </c>
      <c r="BB2033">
        <v>100</v>
      </c>
      <c r="BC2033">
        <v>100</v>
      </c>
      <c r="BD2033">
        <v>100</v>
      </c>
      <c r="BE2033">
        <v>1</v>
      </c>
      <c r="BF2033">
        <v>15000</v>
      </c>
      <c r="BG2033">
        <v>1000</v>
      </c>
      <c r="BH2033" s="6">
        <f>Grandview_Inventory[[#This Row],[land_extract]]*Lookups!$B$3</f>
        <v>53837.239420408718</v>
      </c>
      <c r="BI2033" s="6">
        <f>IF(Grandview_Inventory[[#This Row],[bldg_style]]="",0,Lookups!$B$2)</f>
        <v>155833.95000000001</v>
      </c>
      <c r="BJ2033" s="6">
        <f>_xlfn.IFNA(VLOOKUP(Grandview_Inventory[[#This Row],[quality]],Lookups!$H$2:$J$14,3,FALSE),0)</f>
        <v>-28558</v>
      </c>
      <c r="BK2033" s="6">
        <f>_xlfn.IFNA(VLOOKUP(Grandview_Inventory[[#This Row],[condition]],Lookups!$H$17:$J$24,3,FALSE),0)</f>
        <v>-4503</v>
      </c>
      <c r="BL2033" s="6">
        <f>Grandview_Inventory[[#This Row],[Eff_Age]]*Lookups!$B$14</f>
        <v>-15067.495799999999</v>
      </c>
      <c r="BM2033" s="6">
        <f>Grandview_Inventory[[#This Row],[living_area]]*Lookups!$B$15</f>
        <v>48033.256809999999</v>
      </c>
      <c r="BN2033" s="6">
        <f>Grandview_Inventory[[#This Row],[Fin BSMT]]*Lookups!$B$16</f>
        <v>0</v>
      </c>
      <c r="BO2033" s="6">
        <f>(Grandview_Inventory[[#This Row],[att_gar]]+Grandview_Inventory[[#This Row],[bltin_gar]])*Lookups!$B$17</f>
        <v>0</v>
      </c>
      <c r="BP2033" s="6">
        <f>Grandview_Inventory[[#This Row],[Plumbing Fixtures]]*Lookups!$B$18</f>
        <v>10052.209000000001</v>
      </c>
      <c r="BQ2033" s="6">
        <f>Grandview_Inventory[[#This Row],[detatched_value]]*Lookups!$B$19</f>
        <v>0</v>
      </c>
      <c r="BR2033" s="6">
        <f>SUM(Grandview_Inventory[[#This Row],[Intercept]:[det_value]])*Grandview_Inventory[[#This Row],[res_pct]]</f>
        <v>165790.92001</v>
      </c>
      <c r="BS2033" s="6">
        <f>Grandview_Inventory[[#This Row],[land_value]]</f>
        <v>53837.239420408718</v>
      </c>
      <c r="BT2033" s="4">
        <f>_xlfn.IFNA(VLOOKUP(Grandview_Inventory[[#This Row],[quality]],Lookups!$A$26:$C$33,3,FALSE),1)</f>
        <v>0.96329552998502799</v>
      </c>
      <c r="BU2033" s="4">
        <f>_xlfn.IFNA(VLOOKUP(Grandview_Inventory[[#This Row],[condition]],Lookups!$A$37:$C$44,3,FALSE),1)</f>
        <v>0.96469275950863709</v>
      </c>
      <c r="BV2033" s="4">
        <f>IF(Grandview_Inventory[[#This Row],[bldg_style]]="",1,_xlfn.IFNA(VLOOKUP(Grandview_Inventory[[#This Row],[decade]],Lookups!$F$29:$H$43,3,FALSE),1))</f>
        <v>0.98763256963907298</v>
      </c>
      <c r="BW2033" s="4">
        <f>_xlfn.IFNA(VLOOKUP(Grandview_Inventory[[#This Row],[living_area_range]],Lookups!$F$47:$H$56,3,FALSE),1)</f>
        <v>0.94306777142782894</v>
      </c>
      <c r="BX2033" s="4">
        <f>AVERAGE(Grandview_Inventory[[#This Row],[qual_adj]:[size_adj]])</f>
        <v>0.96467215764014169</v>
      </c>
      <c r="BY2033" s="6">
        <f>IF(Grandview_Inventory[[#This Row],[pre_res]]&lt;0,0,Grandview_Inventory[[#This Row],[pre_res]]*Grandview_Inventory[[#This Row],[overall_adj]])</f>
        <v>159933.88452319085</v>
      </c>
      <c r="BZ2033" s="6">
        <f>(Grandview_Inventory[[#This Row],[sum_land]]-IF(Grandview_Inventory[[#This Row],[no_utilities]]=1,12000,0))/IF(Grandview_Inventory[[#This Row],[unbuildable]]=1,2,1)</f>
        <v>53837.239420408718</v>
      </c>
      <c r="CA2033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033">
        <f>ROUND(Grandview_Inventory[[#This Row],[det_value]]*Lookups!$M$28,-2)</f>
        <v>0</v>
      </c>
      <c r="CC2033">
        <f>IF(ROUND(Grandview_Inventory[[#This Row],[adj_res]]*Lookups!$M$28,-2)&lt;Grandview_Inventory[[#This Row],[min_res]],Grandview_Inventory[[#This Row],[min_res]],ROUND(Grandview_Inventory[[#This Row],[adj_res]]*Lookups!$M$28,-2))</f>
        <v>151900</v>
      </c>
      <c r="CD2033">
        <f>Grandview_Inventory[[#This Row],[final_det]]+Grandview_Inventory[[#This Row],[final_res]]</f>
        <v>151900</v>
      </c>
      <c r="CE2033">
        <f>Grandview_Inventory[[#This Row],[final_land]]+Grandview_Inventory[[#This Row],[final_imp]]+Grandview_Inventory[[#This Row],[crop_value]]</f>
        <v>203000</v>
      </c>
      <c r="CG2033" t="str">
        <f t="shared" si="31"/>
        <v>update valuation set market_land =51100, market_bldg=151900, market_total =203000, market_mdno =401, market_date ='9/10/2023' where link_id = (select link_id from parcel where parcel_year = '2024' and parcel_id = '23092423407');</v>
      </c>
    </row>
    <row r="2034" spans="1:85" x14ac:dyDescent="0.25">
      <c r="A2034">
        <v>23092423408</v>
      </c>
      <c r="B2034">
        <v>0.51</v>
      </c>
      <c r="C2034">
        <v>22396</v>
      </c>
      <c r="D2034" t="s">
        <v>129</v>
      </c>
      <c r="E2034" t="s">
        <v>53</v>
      </c>
      <c r="F2034" t="s">
        <v>53</v>
      </c>
      <c r="G2034">
        <v>4</v>
      </c>
      <c r="H2034" t="s">
        <v>54</v>
      </c>
      <c r="I2034">
        <v>114500</v>
      </c>
      <c r="J2034">
        <v>41900</v>
      </c>
      <c r="K2034">
        <v>0.51</v>
      </c>
      <c r="L2034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2034">
        <v>0</v>
      </c>
      <c r="N2034">
        <v>0</v>
      </c>
      <c r="O2034">
        <v>0</v>
      </c>
      <c r="P2034">
        <v>13398.7528</v>
      </c>
      <c r="Q2034">
        <v>63903</v>
      </c>
      <c r="R2034">
        <f>(Grandview_Inventory[[#This Row],[ln_acres]]*Grandview_Inventory[[#This Row],[coeff]])+Grandview_Inventory[[#This Row],[const]]</f>
        <v>54881.022781592372</v>
      </c>
      <c r="S2034" t="s">
        <v>68</v>
      </c>
      <c r="T2034">
        <v>1</v>
      </c>
      <c r="U2034" t="s">
        <v>83</v>
      </c>
      <c r="V2034" t="s">
        <v>78</v>
      </c>
      <c r="W2034">
        <v>0</v>
      </c>
      <c r="X2034">
        <v>0</v>
      </c>
      <c r="Y2034">
        <v>51</v>
      </c>
      <c r="Z2034">
        <v>81</v>
      </c>
      <c r="AA2034">
        <v>90</v>
      </c>
      <c r="AB2034">
        <v>1500</v>
      </c>
      <c r="AC2034">
        <v>1188</v>
      </c>
      <c r="AD2034">
        <v>1188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256</v>
      </c>
      <c r="AO2034">
        <v>0</v>
      </c>
      <c r="AP2034">
        <v>5</v>
      </c>
      <c r="AQ2034">
        <v>0</v>
      </c>
      <c r="AR2034">
        <v>1</v>
      </c>
      <c r="AS2034" t="s">
        <v>58</v>
      </c>
      <c r="AT2034">
        <v>0</v>
      </c>
      <c r="AU2034" t="s">
        <v>82</v>
      </c>
      <c r="AV2034" t="s">
        <v>64</v>
      </c>
      <c r="AW2034">
        <v>0</v>
      </c>
      <c r="AX2034">
        <v>3</v>
      </c>
      <c r="AY2034">
        <v>0</v>
      </c>
      <c r="AZ2034">
        <v>7900</v>
      </c>
      <c r="BA2034">
        <v>100</v>
      </c>
      <c r="BB2034">
        <v>100</v>
      </c>
      <c r="BC2034">
        <v>100</v>
      </c>
      <c r="BD2034">
        <v>100</v>
      </c>
      <c r="BE2034">
        <v>1</v>
      </c>
      <c r="BF2034">
        <v>15000</v>
      </c>
      <c r="BG2034">
        <v>1000</v>
      </c>
      <c r="BH2034" s="6">
        <f>Grandview_Inventory[[#This Row],[land_extract]]*Lookups!$B$3</f>
        <v>63733.18357750171</v>
      </c>
      <c r="BI2034" s="6">
        <f>IF(Grandview_Inventory[[#This Row],[bldg_style]]="",0,Lookups!$B$2)</f>
        <v>155833.95000000001</v>
      </c>
      <c r="BJ2034" s="6">
        <f>_xlfn.IFNA(VLOOKUP(Grandview_Inventory[[#This Row],[quality]],Lookups!$H$2:$J$14,3,FALSE),0)</f>
        <v>-28558</v>
      </c>
      <c r="BK2034" s="6">
        <f>_xlfn.IFNA(VLOOKUP(Grandview_Inventory[[#This Row],[condition]],Lookups!$H$17:$J$24,3,FALSE),0)</f>
        <v>-45357</v>
      </c>
      <c r="BL2034" s="6">
        <f>Grandview_Inventory[[#This Row],[Eff_Age]]*Lookups!$B$14</f>
        <v>-12197.496599999999</v>
      </c>
      <c r="BM2034" s="6">
        <f>Grandview_Inventory[[#This Row],[living_area]]*Lookups!$B$15</f>
        <v>74108.453364000001</v>
      </c>
      <c r="BN2034" s="6">
        <f>Grandview_Inventory[[#This Row],[Fin BSMT]]*Lookups!$B$16</f>
        <v>0</v>
      </c>
      <c r="BO2034" s="6">
        <f>(Grandview_Inventory[[#This Row],[att_gar]]+Grandview_Inventory[[#This Row],[bltin_gar]])*Lookups!$B$17</f>
        <v>0</v>
      </c>
      <c r="BP2034" s="6">
        <f>Grandview_Inventory[[#This Row],[Plumbing Fixtures]]*Lookups!$B$18</f>
        <v>10052.209000000001</v>
      </c>
      <c r="BQ2034" s="6">
        <f>Grandview_Inventory[[#This Row],[detatched_value]]*Lookups!$B$19</f>
        <v>6689.7602900000002</v>
      </c>
      <c r="BR2034" s="6">
        <f>SUM(Grandview_Inventory[[#This Row],[Intercept]:[det_value]])*Grandview_Inventory[[#This Row],[res_pct]]</f>
        <v>160571.87605400002</v>
      </c>
      <c r="BS2034" s="6">
        <f>Grandview_Inventory[[#This Row],[land_value]]</f>
        <v>63733.18357750171</v>
      </c>
      <c r="BT2034" s="4">
        <f>_xlfn.IFNA(VLOOKUP(Grandview_Inventory[[#This Row],[quality]],Lookups!$A$26:$C$33,3,FALSE),1)</f>
        <v>0.96329552998502799</v>
      </c>
      <c r="BU2034" s="4">
        <f>_xlfn.IFNA(VLOOKUP(Grandview_Inventory[[#This Row],[condition]],Lookups!$A$37:$C$44,3,FALSE),1)</f>
        <v>0.97161819570155394</v>
      </c>
      <c r="BV2034" s="4">
        <f>IF(Grandview_Inventory[[#This Row],[bldg_style]]="",1,_xlfn.IFNA(VLOOKUP(Grandview_Inventory[[#This Row],[decade]],Lookups!$F$29:$H$43,3,FALSE),1))</f>
        <v>0.94161750052457416</v>
      </c>
      <c r="BW2034" s="4">
        <f>_xlfn.IFNA(VLOOKUP(Grandview_Inventory[[#This Row],[living_area_range]],Lookups!$F$47:$H$56,3,FALSE),1)</f>
        <v>0.96135087979789358</v>
      </c>
      <c r="BX2034" s="4">
        <f>AVERAGE(Grandview_Inventory[[#This Row],[qual_adj]:[size_adj]])</f>
        <v>0.95947052650226239</v>
      </c>
      <c r="BY2034" s="6">
        <f>IF(Grandview_Inventory[[#This Row],[pre_res]]&lt;0,0,Grandview_Inventory[[#This Row],[pre_res]]*Grandview_Inventory[[#This Row],[overall_adj]])</f>
        <v>154063.98245898742</v>
      </c>
      <c r="BZ2034" s="6">
        <f>(Grandview_Inventory[[#This Row],[sum_land]]-IF(Grandview_Inventory[[#This Row],[no_utilities]]=1,12000,0))/IF(Grandview_Inventory[[#This Row],[unbuildable]]=1,2,1)</f>
        <v>63733.18357750171</v>
      </c>
      <c r="CA2034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2034">
        <f>ROUND(Grandview_Inventory[[#This Row],[det_value]]*Lookups!$M$28,-2)</f>
        <v>6400</v>
      </c>
      <c r="CC2034">
        <f>IF(ROUND(Grandview_Inventory[[#This Row],[adj_res]]*Lookups!$M$28,-2)&lt;Grandview_Inventory[[#This Row],[min_res]],Grandview_Inventory[[#This Row],[min_res]],ROUND(Grandview_Inventory[[#This Row],[adj_res]]*Lookups!$M$28,-2))</f>
        <v>146400</v>
      </c>
      <c r="CD2034">
        <f>Grandview_Inventory[[#This Row],[final_det]]+Grandview_Inventory[[#This Row],[final_res]]</f>
        <v>152800</v>
      </c>
      <c r="CE2034">
        <f>Grandview_Inventory[[#This Row],[final_land]]+Grandview_Inventory[[#This Row],[final_imp]]+Grandview_Inventory[[#This Row],[crop_value]]</f>
        <v>213300</v>
      </c>
      <c r="CG2034" t="str">
        <f t="shared" si="31"/>
        <v>update valuation set market_land =60500, market_bldg=152800, market_total =213300, market_mdno =401, market_date ='9/10/2023' where link_id = (select link_id from parcel where parcel_year = '2024' and parcel_id = '23092423408');</v>
      </c>
    </row>
    <row r="2035" spans="1:85" x14ac:dyDescent="0.25">
      <c r="A2035">
        <v>23092423409</v>
      </c>
      <c r="B2035">
        <v>0.25</v>
      </c>
      <c r="C2035" t="s">
        <v>129</v>
      </c>
      <c r="D2035" t="s">
        <v>129</v>
      </c>
      <c r="E2035" t="s">
        <v>53</v>
      </c>
      <c r="F2035" t="s">
        <v>53</v>
      </c>
      <c r="G2035">
        <v>4</v>
      </c>
      <c r="H2035" t="s">
        <v>54</v>
      </c>
      <c r="I2035">
        <v>98600</v>
      </c>
      <c r="J2035">
        <v>40000</v>
      </c>
      <c r="K2035">
        <v>0.25</v>
      </c>
      <c r="L203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035">
        <v>0</v>
      </c>
      <c r="N2035">
        <v>0</v>
      </c>
      <c r="O2035">
        <v>0</v>
      </c>
      <c r="P2035">
        <v>13398.7528</v>
      </c>
      <c r="Q2035">
        <v>63903</v>
      </c>
      <c r="R2035">
        <f>(Grandview_Inventory[[#This Row],[ln_acres]]*Grandview_Inventory[[#This Row],[coeff]])+Grandview_Inventory[[#This Row],[const]]</f>
        <v>45328.38454732066</v>
      </c>
      <c r="S2035" t="s">
        <v>68</v>
      </c>
      <c r="T2035">
        <v>1</v>
      </c>
      <c r="U2035" t="s">
        <v>80</v>
      </c>
      <c r="V2035" t="s">
        <v>69</v>
      </c>
      <c r="W2035">
        <v>0</v>
      </c>
      <c r="X2035">
        <v>0</v>
      </c>
      <c r="Y2035">
        <v>52</v>
      </c>
      <c r="Z2035">
        <v>88</v>
      </c>
      <c r="AA2035">
        <v>90</v>
      </c>
      <c r="AB2035">
        <v>1000</v>
      </c>
      <c r="AC2035">
        <v>892</v>
      </c>
      <c r="AD2035">
        <v>892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5</v>
      </c>
      <c r="AQ2035">
        <v>0</v>
      </c>
      <c r="AR2035">
        <v>0</v>
      </c>
      <c r="AS2035" t="s">
        <v>58</v>
      </c>
      <c r="AT2035">
        <v>1</v>
      </c>
      <c r="AU2035" t="s">
        <v>75</v>
      </c>
      <c r="AV2035" t="s">
        <v>60</v>
      </c>
      <c r="AW2035">
        <v>0</v>
      </c>
      <c r="AX2035">
        <v>3</v>
      </c>
      <c r="AY2035">
        <v>0</v>
      </c>
      <c r="AZ2035">
        <v>0</v>
      </c>
      <c r="BA2035">
        <v>100</v>
      </c>
      <c r="BB2035">
        <v>100</v>
      </c>
      <c r="BC2035">
        <v>100</v>
      </c>
      <c r="BD2035">
        <v>100</v>
      </c>
      <c r="BE2035">
        <v>1</v>
      </c>
      <c r="BF2035">
        <v>15000</v>
      </c>
      <c r="BG2035">
        <v>1000</v>
      </c>
      <c r="BH2035" s="6">
        <f>Grandview_Inventory[[#This Row],[land_extract]]*Lookups!$B$3</f>
        <v>52639.730588165206</v>
      </c>
      <c r="BI2035" s="6">
        <f>IF(Grandview_Inventory[[#This Row],[bldg_style]]="",0,Lookups!$B$2)</f>
        <v>155833.95000000001</v>
      </c>
      <c r="BJ2035" s="6">
        <f>_xlfn.IFNA(VLOOKUP(Grandview_Inventory[[#This Row],[quality]],Lookups!$H$2:$J$14,3,FALSE),0)</f>
        <v>-28558</v>
      </c>
      <c r="BK2035" s="6">
        <f>_xlfn.IFNA(VLOOKUP(Grandview_Inventory[[#This Row],[condition]],Lookups!$H$17:$J$24,3,FALSE),0)</f>
        <v>-4503</v>
      </c>
      <c r="BL2035" s="6">
        <f>Grandview_Inventory[[#This Row],[Eff_Age]]*Lookups!$B$14</f>
        <v>-12436.663199999999</v>
      </c>
      <c r="BM2035" s="6">
        <f>Grandview_Inventory[[#This Row],[living_area]]*Lookups!$B$15</f>
        <v>55643.720875999999</v>
      </c>
      <c r="BN2035" s="6">
        <f>Grandview_Inventory[[#This Row],[Fin BSMT]]*Lookups!$B$16</f>
        <v>0</v>
      </c>
      <c r="BO2035" s="6">
        <f>(Grandview_Inventory[[#This Row],[att_gar]]+Grandview_Inventory[[#This Row],[bltin_gar]])*Lookups!$B$17</f>
        <v>0</v>
      </c>
      <c r="BP2035" s="6">
        <f>Grandview_Inventory[[#This Row],[Plumbing Fixtures]]*Lookups!$B$18</f>
        <v>10052.209000000001</v>
      </c>
      <c r="BQ2035" s="6">
        <f>Grandview_Inventory[[#This Row],[detatched_value]]*Lookups!$B$19</f>
        <v>0</v>
      </c>
      <c r="BR2035" s="6">
        <f>SUM(Grandview_Inventory[[#This Row],[Intercept]:[det_value]])*Grandview_Inventory[[#This Row],[res_pct]]</f>
        <v>176032.21667600001</v>
      </c>
      <c r="BS2035" s="6">
        <f>Grandview_Inventory[[#This Row],[land_value]]</f>
        <v>52639.730588165206</v>
      </c>
      <c r="BT2035" s="4">
        <f>_xlfn.IFNA(VLOOKUP(Grandview_Inventory[[#This Row],[quality]],Lookups!$A$26:$C$33,3,FALSE),1)</f>
        <v>0.9690360070159818</v>
      </c>
      <c r="BU2035" s="4">
        <f>_xlfn.IFNA(VLOOKUP(Grandview_Inventory[[#This Row],[condition]],Lookups!$A$37:$C$44,3,FALSE),1)</f>
        <v>0.96469275950863709</v>
      </c>
      <c r="BV2035" s="4">
        <f>IF(Grandview_Inventory[[#This Row],[bldg_style]]="",1,_xlfn.IFNA(VLOOKUP(Grandview_Inventory[[#This Row],[decade]],Lookups!$F$29:$H$43,3,FALSE),1))</f>
        <v>0.94161750052457416</v>
      </c>
      <c r="BW2035" s="4">
        <f>_xlfn.IFNA(VLOOKUP(Grandview_Inventory[[#This Row],[living_area_range]],Lookups!$F$47:$H$56,3,FALSE),1)</f>
        <v>0.94306777142782894</v>
      </c>
      <c r="BX2035" s="4">
        <f>AVERAGE(Grandview_Inventory[[#This Row],[qual_adj]:[size_adj]])</f>
        <v>0.95460350961925544</v>
      </c>
      <c r="BY2035" s="6">
        <f>IF(Grandview_Inventory[[#This Row],[pre_res]]&lt;0,0,Grandview_Inventory[[#This Row],[pre_res]]*Grandview_Inventory[[#This Row],[overall_adj]])</f>
        <v>168040.97184496684</v>
      </c>
      <c r="BZ2035" s="6">
        <f>(Grandview_Inventory[[#This Row],[sum_land]]-IF(Grandview_Inventory[[#This Row],[no_utilities]]=1,12000,0))/IF(Grandview_Inventory[[#This Row],[unbuildable]]=1,2,1)</f>
        <v>52639.730588165206</v>
      </c>
      <c r="CA203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035">
        <f>ROUND(Grandview_Inventory[[#This Row],[det_value]]*Lookups!$M$28,-2)</f>
        <v>0</v>
      </c>
      <c r="CC2035">
        <f>IF(ROUND(Grandview_Inventory[[#This Row],[adj_res]]*Lookups!$M$28,-2)&lt;Grandview_Inventory[[#This Row],[min_res]],Grandview_Inventory[[#This Row],[min_res]],ROUND(Grandview_Inventory[[#This Row],[adj_res]]*Lookups!$M$28,-2))</f>
        <v>159600</v>
      </c>
      <c r="CD2035">
        <f>Grandview_Inventory[[#This Row],[final_det]]+Grandview_Inventory[[#This Row],[final_res]]</f>
        <v>159600</v>
      </c>
      <c r="CE2035">
        <f>Grandview_Inventory[[#This Row],[final_land]]+Grandview_Inventory[[#This Row],[final_imp]]+Grandview_Inventory[[#This Row],[crop_value]]</f>
        <v>209600</v>
      </c>
      <c r="CG2035" t="str">
        <f t="shared" si="31"/>
        <v>update valuation set market_land =50000, market_bldg=159600, market_total =209600, market_mdno =401, market_date ='9/10/2023' where link_id = (select link_id from parcel where parcel_year = '2024' and parcel_id = '23092423409');</v>
      </c>
    </row>
    <row r="2036" spans="1:85" x14ac:dyDescent="0.25">
      <c r="A2036">
        <v>23092423410</v>
      </c>
      <c r="B2036">
        <v>0.26</v>
      </c>
      <c r="C2036">
        <v>11195</v>
      </c>
      <c r="D2036" t="s">
        <v>129</v>
      </c>
      <c r="E2036" t="s">
        <v>53</v>
      </c>
      <c r="F2036" t="s">
        <v>53</v>
      </c>
      <c r="G2036">
        <v>4</v>
      </c>
      <c r="H2036" t="s">
        <v>54</v>
      </c>
      <c r="I2036">
        <v>146900</v>
      </c>
      <c r="J2036">
        <v>40200</v>
      </c>
      <c r="K2036">
        <v>0.26</v>
      </c>
      <c r="L2036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036">
        <v>0</v>
      </c>
      <c r="N2036">
        <v>0</v>
      </c>
      <c r="O2036">
        <v>0</v>
      </c>
      <c r="P2036">
        <v>13398.7528</v>
      </c>
      <c r="Q2036">
        <v>63903</v>
      </c>
      <c r="R2036">
        <f>(Grandview_Inventory[[#This Row],[ln_acres]]*Grandview_Inventory[[#This Row],[coeff]])+Grandview_Inventory[[#This Row],[const]]</f>
        <v>45853.893187501177</v>
      </c>
      <c r="S2036" t="s">
        <v>61</v>
      </c>
      <c r="T2036">
        <v>1</v>
      </c>
      <c r="U2036" t="s">
        <v>70</v>
      </c>
      <c r="V2036" t="s">
        <v>69</v>
      </c>
      <c r="W2036">
        <v>0</v>
      </c>
      <c r="X2036">
        <v>0</v>
      </c>
      <c r="Y2036">
        <v>44</v>
      </c>
      <c r="Z2036">
        <v>48</v>
      </c>
      <c r="AA2036">
        <v>50</v>
      </c>
      <c r="AB2036">
        <v>1500</v>
      </c>
      <c r="AC2036">
        <v>1344</v>
      </c>
      <c r="AD2036">
        <v>1344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5</v>
      </c>
      <c r="AQ2036">
        <v>0</v>
      </c>
      <c r="AR2036">
        <v>0</v>
      </c>
      <c r="AS2036" t="s">
        <v>58</v>
      </c>
      <c r="AT2036">
        <v>1</v>
      </c>
      <c r="AU2036" t="s">
        <v>75</v>
      </c>
      <c r="AV2036" t="s">
        <v>60</v>
      </c>
      <c r="AW2036">
        <v>0</v>
      </c>
      <c r="AX2036">
        <v>3</v>
      </c>
      <c r="AY2036">
        <v>0</v>
      </c>
      <c r="AZ2036">
        <v>0</v>
      </c>
      <c r="BA2036">
        <v>100</v>
      </c>
      <c r="BB2036">
        <v>100</v>
      </c>
      <c r="BC2036">
        <v>100</v>
      </c>
      <c r="BD2036">
        <v>100</v>
      </c>
      <c r="BE2036">
        <v>1</v>
      </c>
      <c r="BF2036">
        <v>15000</v>
      </c>
      <c r="BG2036">
        <v>1000</v>
      </c>
      <c r="BH2036" s="6">
        <f>Grandview_Inventory[[#This Row],[land_extract]]*Lookups!$B$3</f>
        <v>53250.00235313351</v>
      </c>
      <c r="BI2036" s="6">
        <f>IF(Grandview_Inventory[[#This Row],[bldg_style]]="",0,Lookups!$B$2)</f>
        <v>155833.95000000001</v>
      </c>
      <c r="BJ2036" s="6">
        <f>_xlfn.IFNA(VLOOKUP(Grandview_Inventory[[#This Row],[quality]],Lookups!$H$2:$J$14,3,FALSE),0)</f>
        <v>10733</v>
      </c>
      <c r="BK2036" s="6">
        <f>_xlfn.IFNA(VLOOKUP(Grandview_Inventory[[#This Row],[condition]],Lookups!$H$17:$J$24,3,FALSE),0)</f>
        <v>-4503</v>
      </c>
      <c r="BL2036" s="6">
        <f>Grandview_Inventory[[#This Row],[Eff_Age]]*Lookups!$B$14</f>
        <v>-10523.330399999999</v>
      </c>
      <c r="BM2036" s="6">
        <f>Grandview_Inventory[[#This Row],[living_area]]*Lookups!$B$15</f>
        <v>83839.86643200001</v>
      </c>
      <c r="BN2036" s="6">
        <f>Grandview_Inventory[[#This Row],[Fin BSMT]]*Lookups!$B$16</f>
        <v>0</v>
      </c>
      <c r="BO2036" s="6">
        <f>(Grandview_Inventory[[#This Row],[att_gar]]+Grandview_Inventory[[#This Row],[bltin_gar]])*Lookups!$B$17</f>
        <v>0</v>
      </c>
      <c r="BP2036" s="6">
        <f>Grandview_Inventory[[#This Row],[Plumbing Fixtures]]*Lookups!$B$18</f>
        <v>10052.209000000001</v>
      </c>
      <c r="BQ2036" s="6">
        <f>Grandview_Inventory[[#This Row],[detatched_value]]*Lookups!$B$19</f>
        <v>0</v>
      </c>
      <c r="BR2036" s="6">
        <f>SUM(Grandview_Inventory[[#This Row],[Intercept]:[det_value]])*Grandview_Inventory[[#This Row],[res_pct]]</f>
        <v>245432.69503200002</v>
      </c>
      <c r="BS2036" s="6">
        <f>Grandview_Inventory[[#This Row],[land_value]]</f>
        <v>53250.00235313351</v>
      </c>
      <c r="BT2036" s="4">
        <f>_xlfn.IFNA(VLOOKUP(Grandview_Inventory[[#This Row],[quality]],Lookups!$A$26:$C$33,3,FALSE),1)</f>
        <v>0.98079741117310582</v>
      </c>
      <c r="BU2036" s="4">
        <f>_xlfn.IFNA(VLOOKUP(Grandview_Inventory[[#This Row],[condition]],Lookups!$A$37:$C$44,3,FALSE),1)</f>
        <v>0.96469275950863709</v>
      </c>
      <c r="BV2036" s="4">
        <f>IF(Grandview_Inventory[[#This Row],[bldg_style]]="",1,_xlfn.IFNA(VLOOKUP(Grandview_Inventory[[#This Row],[decade]],Lookups!$F$29:$H$43,3,FALSE),1))</f>
        <v>0.9871940091910919</v>
      </c>
      <c r="BW2036" s="4">
        <f>_xlfn.IFNA(VLOOKUP(Grandview_Inventory[[#This Row],[living_area_range]],Lookups!$F$47:$H$56,3,FALSE),1)</f>
        <v>0.96135087979789358</v>
      </c>
      <c r="BX2036" s="4">
        <f>AVERAGE(Grandview_Inventory[[#This Row],[qual_adj]:[size_adj]])</f>
        <v>0.97350876491768212</v>
      </c>
      <c r="BY2036" s="6">
        <f>IF(Grandview_Inventory[[#This Row],[pre_res]]&lt;0,0,Grandview_Inventory[[#This Row],[pre_res]]*Grandview_Inventory[[#This Row],[overall_adj]])</f>
        <v>238930.87981102048</v>
      </c>
      <c r="BZ2036" s="6">
        <f>(Grandview_Inventory[[#This Row],[sum_land]]-IF(Grandview_Inventory[[#This Row],[no_utilities]]=1,12000,0))/IF(Grandview_Inventory[[#This Row],[unbuildable]]=1,2,1)</f>
        <v>53250.00235313351</v>
      </c>
      <c r="CA2036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036">
        <f>ROUND(Grandview_Inventory[[#This Row],[det_value]]*Lookups!$M$28,-2)</f>
        <v>0</v>
      </c>
      <c r="CC2036">
        <f>IF(ROUND(Grandview_Inventory[[#This Row],[adj_res]]*Lookups!$M$28,-2)&lt;Grandview_Inventory[[#This Row],[min_res]],Grandview_Inventory[[#This Row],[min_res]],ROUND(Grandview_Inventory[[#This Row],[adj_res]]*Lookups!$M$28,-2))</f>
        <v>227000</v>
      </c>
      <c r="CD2036">
        <f>Grandview_Inventory[[#This Row],[final_det]]+Grandview_Inventory[[#This Row],[final_res]]</f>
        <v>227000</v>
      </c>
      <c r="CE2036">
        <f>Grandview_Inventory[[#This Row],[final_land]]+Grandview_Inventory[[#This Row],[final_imp]]+Grandview_Inventory[[#This Row],[crop_value]]</f>
        <v>277600</v>
      </c>
      <c r="CG2036" t="str">
        <f t="shared" si="31"/>
        <v>update valuation set market_land =50600, market_bldg=227000, market_total =277600, market_mdno =401, market_date ='9/10/2023' where link_id = (select link_id from parcel where parcel_year = '2024' and parcel_id = '23092423410');</v>
      </c>
    </row>
    <row r="2037" spans="1:85" x14ac:dyDescent="0.25">
      <c r="A2037">
        <v>23092423411</v>
      </c>
      <c r="B2037">
        <v>0.28000000000000003</v>
      </c>
      <c r="C2037">
        <v>12052</v>
      </c>
      <c r="D2037" t="s">
        <v>129</v>
      </c>
      <c r="E2037" t="s">
        <v>53</v>
      </c>
      <c r="F2037" t="s">
        <v>53</v>
      </c>
      <c r="G2037">
        <v>4</v>
      </c>
      <c r="H2037" t="s">
        <v>54</v>
      </c>
      <c r="I2037">
        <v>82600</v>
      </c>
      <c r="J2037">
        <v>40200</v>
      </c>
      <c r="K2037">
        <v>0.28000000000000003</v>
      </c>
      <c r="L2037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2037">
        <v>0</v>
      </c>
      <c r="N2037">
        <v>0</v>
      </c>
      <c r="O2037">
        <v>0</v>
      </c>
      <c r="P2037">
        <v>13398.7528</v>
      </c>
      <c r="Q2037">
        <v>63903</v>
      </c>
      <c r="R2037">
        <f>(Grandview_Inventory[[#This Row],[ln_acres]]*Grandview_Inventory[[#This Row],[coeff]])+Grandview_Inventory[[#This Row],[const]]</f>
        <v>46846.847586898184</v>
      </c>
      <c r="S2037" t="s">
        <v>68</v>
      </c>
      <c r="T2037">
        <v>1</v>
      </c>
      <c r="U2037" t="s">
        <v>70</v>
      </c>
      <c r="V2037" t="s">
        <v>78</v>
      </c>
      <c r="W2037">
        <v>0</v>
      </c>
      <c r="X2037">
        <v>0</v>
      </c>
      <c r="Y2037">
        <v>52</v>
      </c>
      <c r="Z2037">
        <v>88</v>
      </c>
      <c r="AA2037">
        <v>90</v>
      </c>
      <c r="AB2037">
        <v>1000</v>
      </c>
      <c r="AC2037">
        <v>840</v>
      </c>
      <c r="AD2037">
        <v>840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6</v>
      </c>
      <c r="AQ2037">
        <v>0</v>
      </c>
      <c r="AR2037">
        <v>0</v>
      </c>
      <c r="AS2037" t="s">
        <v>58</v>
      </c>
      <c r="AT2037">
        <v>1</v>
      </c>
      <c r="AU2037" t="s">
        <v>63</v>
      </c>
      <c r="AV2037" t="s">
        <v>64</v>
      </c>
      <c r="AW2037">
        <v>0</v>
      </c>
      <c r="AX2037">
        <v>2</v>
      </c>
      <c r="AY2037">
        <v>0</v>
      </c>
      <c r="AZ2037">
        <v>0</v>
      </c>
      <c r="BA2037">
        <v>100</v>
      </c>
      <c r="BB2037">
        <v>100</v>
      </c>
      <c r="BC2037">
        <v>100</v>
      </c>
      <c r="BD2037">
        <v>100</v>
      </c>
      <c r="BE2037">
        <v>1</v>
      </c>
      <c r="BF2037">
        <v>15000</v>
      </c>
      <c r="BG2037">
        <v>1000</v>
      </c>
      <c r="BH2037" s="6">
        <f>Grandview_Inventory[[#This Row],[land_extract]]*Lookups!$B$3</f>
        <v>54403.117616176372</v>
      </c>
      <c r="BI2037" s="6">
        <f>IF(Grandview_Inventory[[#This Row],[bldg_style]]="",0,Lookups!$B$2)</f>
        <v>155833.95000000001</v>
      </c>
      <c r="BJ2037" s="6">
        <f>_xlfn.IFNA(VLOOKUP(Grandview_Inventory[[#This Row],[quality]],Lookups!$H$2:$J$14,3,FALSE),0)</f>
        <v>10733</v>
      </c>
      <c r="BK2037" s="6">
        <f>_xlfn.IFNA(VLOOKUP(Grandview_Inventory[[#This Row],[condition]],Lookups!$H$17:$J$24,3,FALSE),0)</f>
        <v>-45357</v>
      </c>
      <c r="BL2037" s="6">
        <f>Grandview_Inventory[[#This Row],[Eff_Age]]*Lookups!$B$14</f>
        <v>-12436.663199999999</v>
      </c>
      <c r="BM2037" s="6">
        <f>Grandview_Inventory[[#This Row],[living_area]]*Lookups!$B$15</f>
        <v>52399.916519999999</v>
      </c>
      <c r="BN2037" s="6">
        <f>Grandview_Inventory[[#This Row],[Fin BSMT]]*Lookups!$B$16</f>
        <v>0</v>
      </c>
      <c r="BO2037" s="6">
        <f>(Grandview_Inventory[[#This Row],[att_gar]]+Grandview_Inventory[[#This Row],[bltin_gar]])*Lookups!$B$17</f>
        <v>0</v>
      </c>
      <c r="BP2037" s="6">
        <f>Grandview_Inventory[[#This Row],[Plumbing Fixtures]]*Lookups!$B$18</f>
        <v>12062.650799999999</v>
      </c>
      <c r="BQ2037" s="6">
        <f>Grandview_Inventory[[#This Row],[detatched_value]]*Lookups!$B$19</f>
        <v>0</v>
      </c>
      <c r="BR2037" s="6">
        <f>SUM(Grandview_Inventory[[#This Row],[Intercept]:[det_value]])*Grandview_Inventory[[#This Row],[res_pct]]</f>
        <v>173235.85412000003</v>
      </c>
      <c r="BS2037" s="6">
        <f>Grandview_Inventory[[#This Row],[land_value]]</f>
        <v>54403.117616176372</v>
      </c>
      <c r="BT2037" s="4">
        <f>_xlfn.IFNA(VLOOKUP(Grandview_Inventory[[#This Row],[quality]],Lookups!$A$26:$C$33,3,FALSE),1)</f>
        <v>0.98079741117310582</v>
      </c>
      <c r="BU2037" s="4">
        <f>_xlfn.IFNA(VLOOKUP(Grandview_Inventory[[#This Row],[condition]],Lookups!$A$37:$C$44,3,FALSE),1)</f>
        <v>0.97161819570155394</v>
      </c>
      <c r="BV2037" s="4">
        <f>IF(Grandview_Inventory[[#This Row],[bldg_style]]="",1,_xlfn.IFNA(VLOOKUP(Grandview_Inventory[[#This Row],[decade]],Lookups!$F$29:$H$43,3,FALSE),1))</f>
        <v>0.94161750052457416</v>
      </c>
      <c r="BW2037" s="4">
        <f>_xlfn.IFNA(VLOOKUP(Grandview_Inventory[[#This Row],[living_area_range]],Lookups!$F$47:$H$56,3,FALSE),1)</f>
        <v>0.94306777142782894</v>
      </c>
      <c r="BX2037" s="4">
        <f>AVERAGE(Grandview_Inventory[[#This Row],[qual_adj]:[size_adj]])</f>
        <v>0.95927521970676566</v>
      </c>
      <c r="BY2037" s="6">
        <f>IF(Grandview_Inventory[[#This Row],[pre_res]]&lt;0,0,Grandview_Inventory[[#This Row],[pre_res]]*Grandview_Inventory[[#This Row],[overall_adj]])</f>
        <v>166180.86202205223</v>
      </c>
      <c r="BZ2037" s="6">
        <f>(Grandview_Inventory[[#This Row],[sum_land]]-IF(Grandview_Inventory[[#This Row],[no_utilities]]=1,12000,0))/IF(Grandview_Inventory[[#This Row],[unbuildable]]=1,2,1)</f>
        <v>54403.117616176372</v>
      </c>
      <c r="CA2037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2037">
        <f>ROUND(Grandview_Inventory[[#This Row],[det_value]]*Lookups!$M$28,-2)</f>
        <v>0</v>
      </c>
      <c r="CC2037">
        <f>IF(ROUND(Grandview_Inventory[[#This Row],[adj_res]]*Lookups!$M$28,-2)&lt;Grandview_Inventory[[#This Row],[min_res]],Grandview_Inventory[[#This Row],[min_res]],ROUND(Grandview_Inventory[[#This Row],[adj_res]]*Lookups!$M$28,-2))</f>
        <v>157900</v>
      </c>
      <c r="CD2037">
        <f>Grandview_Inventory[[#This Row],[final_det]]+Grandview_Inventory[[#This Row],[final_res]]</f>
        <v>157900</v>
      </c>
      <c r="CE2037">
        <f>Grandview_Inventory[[#This Row],[final_land]]+Grandview_Inventory[[#This Row],[final_imp]]+Grandview_Inventory[[#This Row],[crop_value]]</f>
        <v>209600</v>
      </c>
      <c r="CG2037" t="str">
        <f t="shared" si="31"/>
        <v>update valuation set market_land =51700, market_bldg=157900, market_total =209600, market_mdno =401, market_date ='9/10/2023' where link_id = (select link_id from parcel where parcel_year = '2024' and parcel_id = '23092423411');</v>
      </c>
    </row>
    <row r="2038" spans="1:85" x14ac:dyDescent="0.25">
      <c r="A2038">
        <v>23092423412</v>
      </c>
      <c r="B2038">
        <v>0.26</v>
      </c>
      <c r="C2038">
        <v>11350</v>
      </c>
      <c r="D2038" t="s">
        <v>129</v>
      </c>
      <c r="E2038" t="s">
        <v>53</v>
      </c>
      <c r="F2038" t="s">
        <v>53</v>
      </c>
      <c r="G2038">
        <v>4</v>
      </c>
      <c r="H2038" t="s">
        <v>54</v>
      </c>
      <c r="I2038">
        <v>167400</v>
      </c>
      <c r="J2038">
        <v>40000</v>
      </c>
      <c r="K2038">
        <v>0.26</v>
      </c>
      <c r="L2038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038">
        <v>0</v>
      </c>
      <c r="N2038">
        <v>0</v>
      </c>
      <c r="O2038">
        <v>0</v>
      </c>
      <c r="P2038">
        <v>13398.7528</v>
      </c>
      <c r="Q2038">
        <v>63903</v>
      </c>
      <c r="R2038">
        <f>(Grandview_Inventory[[#This Row],[ln_acres]]*Grandview_Inventory[[#This Row],[coeff]])+Grandview_Inventory[[#This Row],[const]]</f>
        <v>45853.893187501177</v>
      </c>
      <c r="S2038" t="s">
        <v>61</v>
      </c>
      <c r="T2038">
        <v>1</v>
      </c>
      <c r="U2038" t="s">
        <v>70</v>
      </c>
      <c r="V2038" t="s">
        <v>69</v>
      </c>
      <c r="W2038">
        <v>0</v>
      </c>
      <c r="X2038">
        <v>0</v>
      </c>
      <c r="Y2038">
        <v>22</v>
      </c>
      <c r="Z2038">
        <v>22</v>
      </c>
      <c r="AA2038">
        <v>30</v>
      </c>
      <c r="AB2038">
        <v>1500</v>
      </c>
      <c r="AC2038">
        <v>1230</v>
      </c>
      <c r="AD2038">
        <v>1230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90</v>
      </c>
      <c r="AO2038">
        <v>0</v>
      </c>
      <c r="AP2038">
        <v>8</v>
      </c>
      <c r="AQ2038">
        <v>0</v>
      </c>
      <c r="AR2038">
        <v>0</v>
      </c>
      <c r="AS2038" t="s">
        <v>58</v>
      </c>
      <c r="AT2038">
        <v>1</v>
      </c>
      <c r="AU2038" t="s">
        <v>63</v>
      </c>
      <c r="AV2038" t="s">
        <v>60</v>
      </c>
      <c r="AW2038">
        <v>1</v>
      </c>
      <c r="AX2038">
        <v>3</v>
      </c>
      <c r="AY2038">
        <v>0</v>
      </c>
      <c r="AZ2038">
        <v>0</v>
      </c>
      <c r="BA2038">
        <v>100</v>
      </c>
      <c r="BB2038">
        <v>100</v>
      </c>
      <c r="BC2038">
        <v>100</v>
      </c>
      <c r="BD2038">
        <v>100</v>
      </c>
      <c r="BE2038">
        <v>1</v>
      </c>
      <c r="BF2038">
        <v>15000</v>
      </c>
      <c r="BG2038">
        <v>1000</v>
      </c>
      <c r="BH2038" s="6">
        <f>Grandview_Inventory[[#This Row],[land_extract]]*Lookups!$B$3</f>
        <v>53250.00235313351</v>
      </c>
      <c r="BI2038" s="6">
        <f>IF(Grandview_Inventory[[#This Row],[bldg_style]]="",0,Lookups!$B$2)</f>
        <v>155833.95000000001</v>
      </c>
      <c r="BJ2038" s="6">
        <f>_xlfn.IFNA(VLOOKUP(Grandview_Inventory[[#This Row],[quality]],Lookups!$H$2:$J$14,3,FALSE),0)</f>
        <v>10733</v>
      </c>
      <c r="BK2038" s="6">
        <f>_xlfn.IFNA(VLOOKUP(Grandview_Inventory[[#This Row],[condition]],Lookups!$H$17:$J$24,3,FALSE),0)</f>
        <v>-4503</v>
      </c>
      <c r="BL2038" s="6">
        <f>Grandview_Inventory[[#This Row],[Eff_Age]]*Lookups!$B$14</f>
        <v>-5261.6651999999995</v>
      </c>
      <c r="BM2038" s="6">
        <f>Grandview_Inventory[[#This Row],[living_area]]*Lookups!$B$15</f>
        <v>76728.449189999999</v>
      </c>
      <c r="BN2038" s="6">
        <f>Grandview_Inventory[[#This Row],[Fin BSMT]]*Lookups!$B$16</f>
        <v>0</v>
      </c>
      <c r="BO2038" s="6">
        <f>(Grandview_Inventory[[#This Row],[att_gar]]+Grandview_Inventory[[#This Row],[bltin_gar]])*Lookups!$B$17</f>
        <v>0</v>
      </c>
      <c r="BP2038" s="6">
        <f>Grandview_Inventory[[#This Row],[Plumbing Fixtures]]*Lookups!$B$18</f>
        <v>16083.5344</v>
      </c>
      <c r="BQ2038" s="6">
        <f>Grandview_Inventory[[#This Row],[detatched_value]]*Lookups!$B$19</f>
        <v>0</v>
      </c>
      <c r="BR2038" s="6">
        <f>SUM(Grandview_Inventory[[#This Row],[Intercept]:[det_value]])*Grandview_Inventory[[#This Row],[res_pct]]</f>
        <v>249614.26839000004</v>
      </c>
      <c r="BS2038" s="6">
        <f>Grandview_Inventory[[#This Row],[land_value]]</f>
        <v>53250.00235313351</v>
      </c>
      <c r="BT2038" s="4">
        <f>_xlfn.IFNA(VLOOKUP(Grandview_Inventory[[#This Row],[quality]],Lookups!$A$26:$C$33,3,FALSE),1)</f>
        <v>0.98079741117310582</v>
      </c>
      <c r="BU2038" s="4">
        <f>_xlfn.IFNA(VLOOKUP(Grandview_Inventory[[#This Row],[condition]],Lookups!$A$37:$C$44,3,FALSE),1)</f>
        <v>0.96469275950863709</v>
      </c>
      <c r="BV2038" s="4">
        <f>IF(Grandview_Inventory[[#This Row],[bldg_style]]="",1,_xlfn.IFNA(VLOOKUP(Grandview_Inventory[[#This Row],[decade]],Lookups!$F$29:$H$43,3,FALSE),1))</f>
        <v>0.98397821291089549</v>
      </c>
      <c r="BW2038" s="4">
        <f>_xlfn.IFNA(VLOOKUP(Grandview_Inventory[[#This Row],[living_area_range]],Lookups!$F$47:$H$56,3,FALSE),1)</f>
        <v>0.96135087979789358</v>
      </c>
      <c r="BX2038" s="4">
        <f>AVERAGE(Grandview_Inventory[[#This Row],[qual_adj]:[size_adj]])</f>
        <v>0.97270481584763302</v>
      </c>
      <c r="BY2038" s="6">
        <f>IF(Grandview_Inventory[[#This Row],[pre_res]]&lt;0,0,Grandview_Inventory[[#This Row],[pre_res]]*Grandview_Inventory[[#This Row],[overall_adj]])</f>
        <v>242801.00096723664</v>
      </c>
      <c r="BZ2038" s="6">
        <f>(Grandview_Inventory[[#This Row],[sum_land]]-IF(Grandview_Inventory[[#This Row],[no_utilities]]=1,12000,0))/IF(Grandview_Inventory[[#This Row],[unbuildable]]=1,2,1)</f>
        <v>53250.00235313351</v>
      </c>
      <c r="CA2038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038">
        <f>ROUND(Grandview_Inventory[[#This Row],[det_value]]*Lookups!$M$28,-2)</f>
        <v>0</v>
      </c>
      <c r="CC2038">
        <f>IF(ROUND(Grandview_Inventory[[#This Row],[adj_res]]*Lookups!$M$28,-2)&lt;Grandview_Inventory[[#This Row],[min_res]],Grandview_Inventory[[#This Row],[min_res]],ROUND(Grandview_Inventory[[#This Row],[adj_res]]*Lookups!$M$28,-2))</f>
        <v>230700</v>
      </c>
      <c r="CD2038">
        <f>Grandview_Inventory[[#This Row],[final_det]]+Grandview_Inventory[[#This Row],[final_res]]</f>
        <v>230700</v>
      </c>
      <c r="CE2038">
        <f>Grandview_Inventory[[#This Row],[final_land]]+Grandview_Inventory[[#This Row],[final_imp]]+Grandview_Inventory[[#This Row],[crop_value]]</f>
        <v>281300</v>
      </c>
      <c r="CG2038" t="str">
        <f t="shared" si="31"/>
        <v>update valuation set market_land =50600, market_bldg=230700, market_total =281300, market_mdno =401, market_date ='9/10/2023' where link_id = (select link_id from parcel where parcel_year = '2024' and parcel_id = '23092423412');</v>
      </c>
    </row>
    <row r="2039" spans="1:85" x14ac:dyDescent="0.25">
      <c r="A2039">
        <v>23092423413</v>
      </c>
      <c r="B2039">
        <v>0.28000000000000003</v>
      </c>
      <c r="C2039">
        <v>12254</v>
      </c>
      <c r="D2039" t="s">
        <v>129</v>
      </c>
      <c r="E2039" t="s">
        <v>53</v>
      </c>
      <c r="F2039" t="s">
        <v>53</v>
      </c>
      <c r="G2039">
        <v>4</v>
      </c>
      <c r="H2039" t="s">
        <v>54</v>
      </c>
      <c r="I2039">
        <v>143700</v>
      </c>
      <c r="J2039">
        <v>40200</v>
      </c>
      <c r="K2039">
        <v>0.28000000000000003</v>
      </c>
      <c r="L2039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2039">
        <v>0</v>
      </c>
      <c r="N2039">
        <v>0</v>
      </c>
      <c r="O2039">
        <v>0</v>
      </c>
      <c r="P2039">
        <v>13398.7528</v>
      </c>
      <c r="Q2039">
        <v>63903</v>
      </c>
      <c r="R2039">
        <f>(Grandview_Inventory[[#This Row],[ln_acres]]*Grandview_Inventory[[#This Row],[coeff]])+Grandview_Inventory[[#This Row],[const]]</f>
        <v>46846.847586898184</v>
      </c>
      <c r="S2039" t="s">
        <v>68</v>
      </c>
      <c r="T2039">
        <v>1</v>
      </c>
      <c r="U2039" t="s">
        <v>83</v>
      </c>
      <c r="V2039" t="s">
        <v>69</v>
      </c>
      <c r="W2039">
        <v>0</v>
      </c>
      <c r="X2039">
        <v>0</v>
      </c>
      <c r="Y2039">
        <v>50</v>
      </c>
      <c r="Z2039">
        <v>73</v>
      </c>
      <c r="AA2039">
        <v>80</v>
      </c>
      <c r="AB2039">
        <v>1500</v>
      </c>
      <c r="AC2039">
        <v>1160</v>
      </c>
      <c r="AD2039">
        <v>1160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612</v>
      </c>
      <c r="AL2039">
        <v>0</v>
      </c>
      <c r="AM2039">
        <v>0</v>
      </c>
      <c r="AN2039">
        <v>0</v>
      </c>
      <c r="AO2039">
        <v>0</v>
      </c>
      <c r="AP2039">
        <v>5</v>
      </c>
      <c r="AQ2039">
        <v>0</v>
      </c>
      <c r="AR2039">
        <v>0</v>
      </c>
      <c r="AS2039" t="s">
        <v>58</v>
      </c>
      <c r="AT2039">
        <v>1</v>
      </c>
      <c r="AU2039" t="s">
        <v>75</v>
      </c>
      <c r="AV2039" t="s">
        <v>60</v>
      </c>
      <c r="AW2039">
        <v>0</v>
      </c>
      <c r="AX2039">
        <v>2</v>
      </c>
      <c r="AY2039">
        <v>0</v>
      </c>
      <c r="AZ2039">
        <v>0</v>
      </c>
      <c r="BA2039">
        <v>100</v>
      </c>
      <c r="BB2039">
        <v>100</v>
      </c>
      <c r="BC2039">
        <v>100</v>
      </c>
      <c r="BD2039">
        <v>100</v>
      </c>
      <c r="BE2039">
        <v>1</v>
      </c>
      <c r="BF2039">
        <v>15000</v>
      </c>
      <c r="BG2039">
        <v>1000</v>
      </c>
      <c r="BH2039" s="6">
        <f>Grandview_Inventory[[#This Row],[land_extract]]*Lookups!$B$3</f>
        <v>54403.117616176372</v>
      </c>
      <c r="BI2039" s="6">
        <f>IF(Grandview_Inventory[[#This Row],[bldg_style]]="",0,Lookups!$B$2)</f>
        <v>155833.95000000001</v>
      </c>
      <c r="BJ2039" s="6">
        <f>_xlfn.IFNA(VLOOKUP(Grandview_Inventory[[#This Row],[quality]],Lookups!$H$2:$J$14,3,FALSE),0)</f>
        <v>-28558</v>
      </c>
      <c r="BK2039" s="6">
        <f>_xlfn.IFNA(VLOOKUP(Grandview_Inventory[[#This Row],[condition]],Lookups!$H$17:$J$24,3,FALSE),0)</f>
        <v>-4503</v>
      </c>
      <c r="BL2039" s="6">
        <f>Grandview_Inventory[[#This Row],[Eff_Age]]*Lookups!$B$14</f>
        <v>-11958.33</v>
      </c>
      <c r="BM2039" s="6">
        <f>Grandview_Inventory[[#This Row],[living_area]]*Lookups!$B$15</f>
        <v>72361.789480000007</v>
      </c>
      <c r="BN2039" s="6">
        <f>Grandview_Inventory[[#This Row],[Fin BSMT]]*Lookups!$B$16</f>
        <v>0</v>
      </c>
      <c r="BO2039" s="6">
        <f>(Grandview_Inventory[[#This Row],[att_gar]]+Grandview_Inventory[[#This Row],[bltin_gar]])*Lookups!$B$17</f>
        <v>0</v>
      </c>
      <c r="BP2039" s="6">
        <f>Grandview_Inventory[[#This Row],[Plumbing Fixtures]]*Lookups!$B$18</f>
        <v>10052.209000000001</v>
      </c>
      <c r="BQ2039" s="6">
        <f>Grandview_Inventory[[#This Row],[detatched_value]]*Lookups!$B$19</f>
        <v>0</v>
      </c>
      <c r="BR2039" s="6">
        <f>SUM(Grandview_Inventory[[#This Row],[Intercept]:[det_value]])*Grandview_Inventory[[#This Row],[res_pct]]</f>
        <v>193228.61848000003</v>
      </c>
      <c r="BS2039" s="6">
        <f>Grandview_Inventory[[#This Row],[land_value]]</f>
        <v>54403.117616176372</v>
      </c>
      <c r="BT2039" s="4">
        <f>_xlfn.IFNA(VLOOKUP(Grandview_Inventory[[#This Row],[quality]],Lookups!$A$26:$C$33,3,FALSE),1)</f>
        <v>0.96329552998502799</v>
      </c>
      <c r="BU2039" s="4">
        <f>_xlfn.IFNA(VLOOKUP(Grandview_Inventory[[#This Row],[condition]],Lookups!$A$37:$C$44,3,FALSE),1)</f>
        <v>0.96469275950863709</v>
      </c>
      <c r="BV2039" s="4">
        <f>IF(Grandview_Inventory[[#This Row],[bldg_style]]="",1,_xlfn.IFNA(VLOOKUP(Grandview_Inventory[[#This Row],[decade]],Lookups!$F$29:$H$43,3,FALSE),1))</f>
        <v>0.98763256963907298</v>
      </c>
      <c r="BW2039" s="4">
        <f>_xlfn.IFNA(VLOOKUP(Grandview_Inventory[[#This Row],[living_area_range]],Lookups!$F$47:$H$56,3,FALSE),1)</f>
        <v>0.96135087979789358</v>
      </c>
      <c r="BX2039" s="4">
        <f>AVERAGE(Grandview_Inventory[[#This Row],[qual_adj]:[size_adj]])</f>
        <v>0.96924293473265788</v>
      </c>
      <c r="BY2039" s="6">
        <f>IF(Grandview_Inventory[[#This Row],[pre_res]]&lt;0,0,Grandview_Inventory[[#This Row],[pre_res]]*Grandview_Inventory[[#This Row],[overall_adj]])</f>
        <v>187285.47324989233</v>
      </c>
      <c r="BZ2039" s="6">
        <f>(Grandview_Inventory[[#This Row],[sum_land]]-IF(Grandview_Inventory[[#This Row],[no_utilities]]=1,12000,0))/IF(Grandview_Inventory[[#This Row],[unbuildable]]=1,2,1)</f>
        <v>54403.117616176372</v>
      </c>
      <c r="CA2039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2039">
        <f>ROUND(Grandview_Inventory[[#This Row],[det_value]]*Lookups!$M$28,-2)</f>
        <v>0</v>
      </c>
      <c r="CC2039">
        <f>IF(ROUND(Grandview_Inventory[[#This Row],[adj_res]]*Lookups!$M$28,-2)&lt;Grandview_Inventory[[#This Row],[min_res]],Grandview_Inventory[[#This Row],[min_res]],ROUND(Grandview_Inventory[[#This Row],[adj_res]]*Lookups!$M$28,-2))</f>
        <v>177900</v>
      </c>
      <c r="CD2039">
        <f>Grandview_Inventory[[#This Row],[final_det]]+Grandview_Inventory[[#This Row],[final_res]]</f>
        <v>177900</v>
      </c>
      <c r="CE2039">
        <f>Grandview_Inventory[[#This Row],[final_land]]+Grandview_Inventory[[#This Row],[final_imp]]+Grandview_Inventory[[#This Row],[crop_value]]</f>
        <v>229600</v>
      </c>
      <c r="CG2039" t="str">
        <f t="shared" si="31"/>
        <v>update valuation set market_land =51700, market_bldg=177900, market_total =229600, market_mdno =401, market_date ='9/10/2023' where link_id = (select link_id from parcel where parcel_year = '2024' and parcel_id = '23092423413');</v>
      </c>
    </row>
    <row r="2040" spans="1:85" x14ac:dyDescent="0.25">
      <c r="A2040">
        <v>23092423414</v>
      </c>
      <c r="B2040">
        <v>0.24</v>
      </c>
      <c r="C2040">
        <v>10575</v>
      </c>
      <c r="D2040" t="s">
        <v>129</v>
      </c>
      <c r="E2040" t="s">
        <v>53</v>
      </c>
      <c r="F2040" t="s">
        <v>53</v>
      </c>
      <c r="G2040">
        <v>4</v>
      </c>
      <c r="H2040" t="s">
        <v>54</v>
      </c>
      <c r="I2040">
        <v>202400</v>
      </c>
      <c r="J2040">
        <v>44200</v>
      </c>
      <c r="K2040">
        <v>0.24</v>
      </c>
      <c r="L204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040">
        <v>0</v>
      </c>
      <c r="N2040">
        <v>0</v>
      </c>
      <c r="O2040">
        <v>0</v>
      </c>
      <c r="P2040">
        <v>13398.7528</v>
      </c>
      <c r="Q2040">
        <v>63903</v>
      </c>
      <c r="R2040">
        <f>(Grandview_Inventory[[#This Row],[ln_acres]]*Grandview_Inventory[[#This Row],[coeff]])+Grandview_Inventory[[#This Row],[const]]</f>
        <v>44781.420733940802</v>
      </c>
      <c r="S2040" t="s">
        <v>61</v>
      </c>
      <c r="T2040">
        <v>1</v>
      </c>
      <c r="U2040" t="s">
        <v>70</v>
      </c>
      <c r="V2040" t="s">
        <v>67</v>
      </c>
      <c r="W2040">
        <v>0</v>
      </c>
      <c r="X2040">
        <v>0</v>
      </c>
      <c r="Y2040">
        <v>21</v>
      </c>
      <c r="Z2040">
        <v>21</v>
      </c>
      <c r="AA2040">
        <v>30</v>
      </c>
      <c r="AB2040">
        <v>1500</v>
      </c>
      <c r="AC2040">
        <v>1080</v>
      </c>
      <c r="AD2040">
        <v>1080</v>
      </c>
      <c r="AE2040">
        <v>0</v>
      </c>
      <c r="AF2040">
        <v>0</v>
      </c>
      <c r="AG2040">
        <v>0</v>
      </c>
      <c r="AH2040">
        <v>0</v>
      </c>
      <c r="AI2040">
        <v>240</v>
      </c>
      <c r="AJ2040">
        <v>0</v>
      </c>
      <c r="AK2040">
        <v>0</v>
      </c>
      <c r="AL2040">
        <v>0</v>
      </c>
      <c r="AM2040">
        <v>300</v>
      </c>
      <c r="AN2040">
        <v>0</v>
      </c>
      <c r="AO2040">
        <v>300</v>
      </c>
      <c r="AP2040">
        <v>5</v>
      </c>
      <c r="AQ2040">
        <v>0</v>
      </c>
      <c r="AR2040">
        <v>0</v>
      </c>
      <c r="AS2040" t="s">
        <v>58</v>
      </c>
      <c r="AT2040">
        <v>1</v>
      </c>
      <c r="AU2040" t="s">
        <v>59</v>
      </c>
      <c r="AV2040" t="s">
        <v>60</v>
      </c>
      <c r="AW2040">
        <v>1</v>
      </c>
      <c r="AX2040">
        <v>3</v>
      </c>
      <c r="AY2040">
        <v>0</v>
      </c>
      <c r="AZ2040">
        <v>0</v>
      </c>
      <c r="BA2040">
        <v>100</v>
      </c>
      <c r="BB2040">
        <v>100</v>
      </c>
      <c r="BC2040">
        <v>100</v>
      </c>
      <c r="BD2040">
        <v>100</v>
      </c>
      <c r="BE2040">
        <v>1</v>
      </c>
      <c r="BF2040">
        <v>15000</v>
      </c>
      <c r="BG2040">
        <v>1000</v>
      </c>
      <c r="BH2040" s="6">
        <f>Grandview_Inventory[[#This Row],[land_extract]]*Lookups!$B$3</f>
        <v>52004.542988489469</v>
      </c>
      <c r="BI2040" s="6">
        <f>IF(Grandview_Inventory[[#This Row],[bldg_style]]="",0,Lookups!$B$2)</f>
        <v>155833.95000000001</v>
      </c>
      <c r="BJ2040" s="6">
        <f>_xlfn.IFNA(VLOOKUP(Grandview_Inventory[[#This Row],[quality]],Lookups!$H$2:$J$14,3,FALSE),0)</f>
        <v>10733</v>
      </c>
      <c r="BK2040" s="6">
        <f>_xlfn.IFNA(VLOOKUP(Grandview_Inventory[[#This Row],[condition]],Lookups!$H$17:$J$24,3,FALSE),0)</f>
        <v>22342</v>
      </c>
      <c r="BL2040" s="6">
        <f>Grandview_Inventory[[#This Row],[Eff_Age]]*Lookups!$B$14</f>
        <v>-5022.4985999999999</v>
      </c>
      <c r="BM2040" s="6">
        <f>Grandview_Inventory[[#This Row],[living_area]]*Lookups!$B$15</f>
        <v>67371.321240000005</v>
      </c>
      <c r="BN2040" s="6">
        <f>Grandview_Inventory[[#This Row],[Fin BSMT]]*Lookups!$B$16</f>
        <v>0</v>
      </c>
      <c r="BO2040" s="6">
        <f>(Grandview_Inventory[[#This Row],[att_gar]]+Grandview_Inventory[[#This Row],[bltin_gar]])*Lookups!$B$17</f>
        <v>21004.904880000002</v>
      </c>
      <c r="BP2040" s="6">
        <f>Grandview_Inventory[[#This Row],[Plumbing Fixtures]]*Lookups!$B$18</f>
        <v>10052.209000000001</v>
      </c>
      <c r="BQ2040" s="6">
        <f>Grandview_Inventory[[#This Row],[detatched_value]]*Lookups!$B$19</f>
        <v>0</v>
      </c>
      <c r="BR2040" s="6">
        <f>SUM(Grandview_Inventory[[#This Row],[Intercept]:[det_value]])*Grandview_Inventory[[#This Row],[res_pct]]</f>
        <v>282314.88652</v>
      </c>
      <c r="BS2040" s="6">
        <f>Grandview_Inventory[[#This Row],[land_value]]</f>
        <v>52004.542988489469</v>
      </c>
      <c r="BT2040" s="4">
        <f>_xlfn.IFNA(VLOOKUP(Grandview_Inventory[[#This Row],[quality]],Lookups!$A$26:$C$33,3,FALSE),1)</f>
        <v>0.98079741117310582</v>
      </c>
      <c r="BU2040" s="4">
        <f>_xlfn.IFNA(VLOOKUP(Grandview_Inventory[[#This Row],[condition]],Lookups!$A$37:$C$44,3,FALSE),1)</f>
        <v>0.97383723671140243</v>
      </c>
      <c r="BV2040" s="4">
        <f>IF(Grandview_Inventory[[#This Row],[bldg_style]]="",1,_xlfn.IFNA(VLOOKUP(Grandview_Inventory[[#This Row],[decade]],Lookups!$F$29:$H$43,3,FALSE),1))</f>
        <v>0.98397821291089549</v>
      </c>
      <c r="BW2040" s="4">
        <f>_xlfn.IFNA(VLOOKUP(Grandview_Inventory[[#This Row],[living_area_range]],Lookups!$F$47:$H$56,3,FALSE),1)</f>
        <v>0.96135087979789358</v>
      </c>
      <c r="BX2040" s="4">
        <f>AVERAGE(Grandview_Inventory[[#This Row],[qual_adj]:[size_adj]])</f>
        <v>0.97499093514832436</v>
      </c>
      <c r="BY2040" s="6">
        <f>IF(Grandview_Inventory[[#This Row],[pre_res]]&lt;0,0,Grandview_Inventory[[#This Row],[pre_res]]*Grandview_Inventory[[#This Row],[overall_adj]])</f>
        <v>275254.45521442784</v>
      </c>
      <c r="BZ2040" s="6">
        <f>(Grandview_Inventory[[#This Row],[sum_land]]-IF(Grandview_Inventory[[#This Row],[no_utilities]]=1,12000,0))/IF(Grandview_Inventory[[#This Row],[unbuildable]]=1,2,1)</f>
        <v>52004.542988489469</v>
      </c>
      <c r="CA204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040">
        <f>ROUND(Grandview_Inventory[[#This Row],[det_value]]*Lookups!$M$28,-2)</f>
        <v>0</v>
      </c>
      <c r="CC2040">
        <f>IF(ROUND(Grandview_Inventory[[#This Row],[adj_res]]*Lookups!$M$28,-2)&lt;Grandview_Inventory[[#This Row],[min_res]],Grandview_Inventory[[#This Row],[min_res]],ROUND(Grandview_Inventory[[#This Row],[adj_res]]*Lookups!$M$28,-2))</f>
        <v>261500</v>
      </c>
      <c r="CD2040">
        <f>Grandview_Inventory[[#This Row],[final_det]]+Grandview_Inventory[[#This Row],[final_res]]</f>
        <v>261500</v>
      </c>
      <c r="CE2040">
        <f>Grandview_Inventory[[#This Row],[final_land]]+Grandview_Inventory[[#This Row],[final_imp]]+Grandview_Inventory[[#This Row],[crop_value]]</f>
        <v>310900</v>
      </c>
      <c r="CG2040" t="str">
        <f t="shared" si="31"/>
        <v>update valuation set market_land =49400, market_bldg=261500, market_total =310900, market_mdno =401, market_date ='9/10/2023' where link_id = (select link_id from parcel where parcel_year = '2024' and parcel_id = '23092423414');</v>
      </c>
    </row>
    <row r="2041" spans="1:85" x14ac:dyDescent="0.25">
      <c r="A2041">
        <v>23092423415</v>
      </c>
      <c r="B2041">
        <v>0.46</v>
      </c>
      <c r="C2041">
        <v>19925</v>
      </c>
      <c r="D2041" t="s">
        <v>129</v>
      </c>
      <c r="E2041" t="s">
        <v>53</v>
      </c>
      <c r="F2041" t="s">
        <v>53</v>
      </c>
      <c r="G2041">
        <v>4</v>
      </c>
      <c r="H2041" t="s">
        <v>54</v>
      </c>
      <c r="I2041">
        <v>170400</v>
      </c>
      <c r="J2041">
        <v>41400</v>
      </c>
      <c r="K2041">
        <v>0.46</v>
      </c>
      <c r="L2041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2041">
        <v>0</v>
      </c>
      <c r="N2041">
        <v>0</v>
      </c>
      <c r="O2041">
        <v>0</v>
      </c>
      <c r="P2041">
        <v>13398.7528</v>
      </c>
      <c r="Q2041">
        <v>63903</v>
      </c>
      <c r="R2041">
        <f>(Grandview_Inventory[[#This Row],[ln_acres]]*Grandview_Inventory[[#This Row],[coeff]])+Grandview_Inventory[[#This Row],[const]]</f>
        <v>53498.482707419709</v>
      </c>
      <c r="S2041" t="s">
        <v>68</v>
      </c>
      <c r="T2041">
        <v>1</v>
      </c>
      <c r="U2041" t="s">
        <v>70</v>
      </c>
      <c r="V2041" t="s">
        <v>67</v>
      </c>
      <c r="W2041">
        <v>0</v>
      </c>
      <c r="X2041">
        <v>0</v>
      </c>
      <c r="Y2041">
        <v>49</v>
      </c>
      <c r="Z2041">
        <v>68</v>
      </c>
      <c r="AA2041">
        <v>70</v>
      </c>
      <c r="AB2041">
        <v>1500</v>
      </c>
      <c r="AC2041">
        <v>1328</v>
      </c>
      <c r="AD2041">
        <v>1328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140</v>
      </c>
      <c r="AO2041">
        <v>0</v>
      </c>
      <c r="AP2041">
        <v>5</v>
      </c>
      <c r="AQ2041">
        <v>0</v>
      </c>
      <c r="AR2041">
        <v>0</v>
      </c>
      <c r="AS2041" t="s">
        <v>58</v>
      </c>
      <c r="AT2041">
        <v>1</v>
      </c>
      <c r="AU2041" t="s">
        <v>63</v>
      </c>
      <c r="AV2041" t="s">
        <v>64</v>
      </c>
      <c r="AW2041">
        <v>0</v>
      </c>
      <c r="AX2041">
        <v>3</v>
      </c>
      <c r="AY2041">
        <v>0</v>
      </c>
      <c r="AZ2041">
        <v>5900</v>
      </c>
      <c r="BA2041">
        <v>100</v>
      </c>
      <c r="BB2041">
        <v>100</v>
      </c>
      <c r="BC2041">
        <v>100</v>
      </c>
      <c r="BD2041">
        <v>100</v>
      </c>
      <c r="BE2041">
        <v>1</v>
      </c>
      <c r="BF2041">
        <v>15000</v>
      </c>
      <c r="BG2041">
        <v>1000</v>
      </c>
      <c r="BH2041" s="6">
        <f>Grandview_Inventory[[#This Row],[land_extract]]*Lookups!$B$3</f>
        <v>62127.643522223196</v>
      </c>
      <c r="BI2041" s="6">
        <f>IF(Grandview_Inventory[[#This Row],[bldg_style]]="",0,Lookups!$B$2)</f>
        <v>155833.95000000001</v>
      </c>
      <c r="BJ2041" s="6">
        <f>_xlfn.IFNA(VLOOKUP(Grandview_Inventory[[#This Row],[quality]],Lookups!$H$2:$J$14,3,FALSE),0)</f>
        <v>10733</v>
      </c>
      <c r="BK2041" s="6">
        <f>_xlfn.IFNA(VLOOKUP(Grandview_Inventory[[#This Row],[condition]],Lookups!$H$17:$J$24,3,FALSE),0)</f>
        <v>22342</v>
      </c>
      <c r="BL2041" s="6">
        <f>Grandview_Inventory[[#This Row],[Eff_Age]]*Lookups!$B$14</f>
        <v>-11719.163399999999</v>
      </c>
      <c r="BM2041" s="6">
        <f>Grandview_Inventory[[#This Row],[living_area]]*Lookups!$B$15</f>
        <v>82841.772784000001</v>
      </c>
      <c r="BN2041" s="6">
        <f>Grandview_Inventory[[#This Row],[Fin BSMT]]*Lookups!$B$16</f>
        <v>0</v>
      </c>
      <c r="BO2041" s="6">
        <f>(Grandview_Inventory[[#This Row],[att_gar]]+Grandview_Inventory[[#This Row],[bltin_gar]])*Lookups!$B$17</f>
        <v>0</v>
      </c>
      <c r="BP2041" s="6">
        <f>Grandview_Inventory[[#This Row],[Plumbing Fixtures]]*Lookups!$B$18</f>
        <v>10052.209000000001</v>
      </c>
      <c r="BQ2041" s="6">
        <f>Grandview_Inventory[[#This Row],[detatched_value]]*Lookups!$B$19</f>
        <v>4996.1500900000001</v>
      </c>
      <c r="BR2041" s="6">
        <f>SUM(Grandview_Inventory[[#This Row],[Intercept]:[det_value]])*Grandview_Inventory[[#This Row],[res_pct]]</f>
        <v>275079.91847400001</v>
      </c>
      <c r="BS2041" s="6">
        <f>Grandview_Inventory[[#This Row],[land_value]]</f>
        <v>62127.643522223196</v>
      </c>
      <c r="BT2041" s="4">
        <f>_xlfn.IFNA(VLOOKUP(Grandview_Inventory[[#This Row],[quality]],Lookups!$A$26:$C$33,3,FALSE),1)</f>
        <v>0.98079741117310582</v>
      </c>
      <c r="BU2041" s="4">
        <f>_xlfn.IFNA(VLOOKUP(Grandview_Inventory[[#This Row],[condition]],Lookups!$A$37:$C$44,3,FALSE),1)</f>
        <v>0.97383723671140243</v>
      </c>
      <c r="BV2041" s="4">
        <f>IF(Grandview_Inventory[[#This Row],[bldg_style]]="",1,_xlfn.IFNA(VLOOKUP(Grandview_Inventory[[#This Row],[decade]],Lookups!$F$29:$H$43,3,FALSE),1))</f>
        <v>0.99472141305414818</v>
      </c>
      <c r="BW2041" s="4">
        <f>_xlfn.IFNA(VLOOKUP(Grandview_Inventory[[#This Row],[living_area_range]],Lookups!$F$47:$H$56,3,FALSE),1)</f>
        <v>0.96135087979789358</v>
      </c>
      <c r="BX2041" s="4">
        <f>AVERAGE(Grandview_Inventory[[#This Row],[qual_adj]:[size_adj]])</f>
        <v>0.97767673518413756</v>
      </c>
      <c r="BY2041" s="6">
        <f>IF(Grandview_Inventory[[#This Row],[pre_res]]&lt;0,0,Grandview_Inventory[[#This Row],[pre_res]]*Grandview_Inventory[[#This Row],[overall_adj]])</f>
        <v>268939.23660837905</v>
      </c>
      <c r="BZ2041" s="6">
        <f>(Grandview_Inventory[[#This Row],[sum_land]]-IF(Grandview_Inventory[[#This Row],[no_utilities]]=1,12000,0))/IF(Grandview_Inventory[[#This Row],[unbuildable]]=1,2,1)</f>
        <v>62127.643522223196</v>
      </c>
      <c r="CA2041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2041">
        <f>ROUND(Grandview_Inventory[[#This Row],[det_value]]*Lookups!$M$28,-2)</f>
        <v>4700</v>
      </c>
      <c r="CC2041">
        <f>IF(ROUND(Grandview_Inventory[[#This Row],[adj_res]]*Lookups!$M$28,-2)&lt;Grandview_Inventory[[#This Row],[min_res]],Grandview_Inventory[[#This Row],[min_res]],ROUND(Grandview_Inventory[[#This Row],[adj_res]]*Lookups!$M$28,-2))</f>
        <v>255500</v>
      </c>
      <c r="CD2041">
        <f>Grandview_Inventory[[#This Row],[final_det]]+Grandview_Inventory[[#This Row],[final_res]]</f>
        <v>260200</v>
      </c>
      <c r="CE2041">
        <f>Grandview_Inventory[[#This Row],[final_land]]+Grandview_Inventory[[#This Row],[final_imp]]+Grandview_Inventory[[#This Row],[crop_value]]</f>
        <v>319200</v>
      </c>
      <c r="CG2041" t="str">
        <f t="shared" si="31"/>
        <v>update valuation set market_land =59000, market_bldg=260200, market_total =319200, market_mdno =401, market_date ='9/10/2023' where link_id = (select link_id from parcel where parcel_year = '2024' and parcel_id = '23092423415');</v>
      </c>
    </row>
    <row r="2042" spans="1:85" x14ac:dyDescent="0.25">
      <c r="A2042">
        <v>23092423418</v>
      </c>
      <c r="B2042">
        <v>0.3</v>
      </c>
      <c r="C2042">
        <v>12891</v>
      </c>
      <c r="D2042" t="s">
        <v>129</v>
      </c>
      <c r="E2042" t="s">
        <v>53</v>
      </c>
      <c r="F2042" t="s">
        <v>53</v>
      </c>
      <c r="G2042">
        <v>4</v>
      </c>
      <c r="H2042" t="s">
        <v>54</v>
      </c>
      <c r="I2042">
        <v>207000</v>
      </c>
      <c r="J2042">
        <v>40700</v>
      </c>
      <c r="K2042">
        <v>0.3</v>
      </c>
      <c r="L2042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2042">
        <v>0</v>
      </c>
      <c r="N2042">
        <v>0</v>
      </c>
      <c r="O2042">
        <v>0</v>
      </c>
      <c r="P2042">
        <v>13398.7528</v>
      </c>
      <c r="Q2042">
        <v>63903</v>
      </c>
      <c r="R2042">
        <f>(Grandview_Inventory[[#This Row],[ln_acres]]*Grandview_Inventory[[#This Row],[coeff]])+Grandview_Inventory[[#This Row],[const]]</f>
        <v>47771.266016914014</v>
      </c>
      <c r="S2042" t="s">
        <v>61</v>
      </c>
      <c r="T2042">
        <v>1</v>
      </c>
      <c r="U2042" t="s">
        <v>70</v>
      </c>
      <c r="V2042" t="s">
        <v>67</v>
      </c>
      <c r="W2042">
        <v>0</v>
      </c>
      <c r="X2042">
        <v>0</v>
      </c>
      <c r="Y2042">
        <v>48</v>
      </c>
      <c r="Z2042">
        <v>59</v>
      </c>
      <c r="AA2042">
        <v>60</v>
      </c>
      <c r="AB2042">
        <v>1500</v>
      </c>
      <c r="AC2042">
        <v>1408</v>
      </c>
      <c r="AD2042">
        <v>1408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436</v>
      </c>
      <c r="AO2042">
        <v>0</v>
      </c>
      <c r="AP2042">
        <v>8</v>
      </c>
      <c r="AQ2042">
        <v>0</v>
      </c>
      <c r="AR2042">
        <v>0</v>
      </c>
      <c r="AS2042" t="s">
        <v>58</v>
      </c>
      <c r="AT2042">
        <v>1</v>
      </c>
      <c r="AU2042" t="s">
        <v>63</v>
      </c>
      <c r="AV2042" t="s">
        <v>60</v>
      </c>
      <c r="AW2042">
        <v>1</v>
      </c>
      <c r="AX2042">
        <v>3</v>
      </c>
      <c r="AY2042">
        <v>0</v>
      </c>
      <c r="AZ2042">
        <v>0</v>
      </c>
      <c r="BA2042">
        <v>100</v>
      </c>
      <c r="BB2042">
        <v>100</v>
      </c>
      <c r="BC2042">
        <v>100</v>
      </c>
      <c r="BD2042">
        <v>100</v>
      </c>
      <c r="BE2042">
        <v>1</v>
      </c>
      <c r="BF2042">
        <v>15000</v>
      </c>
      <c r="BG2042">
        <v>1000</v>
      </c>
      <c r="BH2042" s="6">
        <f>Grandview_Inventory[[#This Row],[land_extract]]*Lookups!$B$3</f>
        <v>55476.642243023998</v>
      </c>
      <c r="BI2042" s="6">
        <f>IF(Grandview_Inventory[[#This Row],[bldg_style]]="",0,Lookups!$B$2)</f>
        <v>155833.95000000001</v>
      </c>
      <c r="BJ2042" s="6">
        <f>_xlfn.IFNA(VLOOKUP(Grandview_Inventory[[#This Row],[quality]],Lookups!$H$2:$J$14,3,FALSE),0)</f>
        <v>10733</v>
      </c>
      <c r="BK2042" s="6">
        <f>_xlfn.IFNA(VLOOKUP(Grandview_Inventory[[#This Row],[condition]],Lookups!$H$17:$J$24,3,FALSE),0)</f>
        <v>22342</v>
      </c>
      <c r="BL2042" s="6">
        <f>Grandview_Inventory[[#This Row],[Eff_Age]]*Lookups!$B$14</f>
        <v>-11479.996799999999</v>
      </c>
      <c r="BM2042" s="6">
        <f>Grandview_Inventory[[#This Row],[living_area]]*Lookups!$B$15</f>
        <v>87832.241024000003</v>
      </c>
      <c r="BN2042" s="6">
        <f>Grandview_Inventory[[#This Row],[Fin BSMT]]*Lookups!$B$16</f>
        <v>0</v>
      </c>
      <c r="BO2042" s="6">
        <f>(Grandview_Inventory[[#This Row],[att_gar]]+Grandview_Inventory[[#This Row],[bltin_gar]])*Lookups!$B$17</f>
        <v>0</v>
      </c>
      <c r="BP2042" s="6">
        <f>Grandview_Inventory[[#This Row],[Plumbing Fixtures]]*Lookups!$B$18</f>
        <v>16083.5344</v>
      </c>
      <c r="BQ2042" s="6">
        <f>Grandview_Inventory[[#This Row],[detatched_value]]*Lookups!$B$19</f>
        <v>0</v>
      </c>
      <c r="BR2042" s="6">
        <f>SUM(Grandview_Inventory[[#This Row],[Intercept]:[det_value]])*Grandview_Inventory[[#This Row],[res_pct]]</f>
        <v>281344.72862400004</v>
      </c>
      <c r="BS2042" s="6">
        <f>Grandview_Inventory[[#This Row],[land_value]]</f>
        <v>55476.642243023998</v>
      </c>
      <c r="BT2042" s="4">
        <f>_xlfn.IFNA(VLOOKUP(Grandview_Inventory[[#This Row],[quality]],Lookups!$A$26:$C$33,3,FALSE),1)</f>
        <v>0.98079741117310582</v>
      </c>
      <c r="BU2042" s="4">
        <f>_xlfn.IFNA(VLOOKUP(Grandview_Inventory[[#This Row],[condition]],Lookups!$A$37:$C$44,3,FALSE),1)</f>
        <v>0.97383723671140243</v>
      </c>
      <c r="BV2042" s="4">
        <f>IF(Grandview_Inventory[[#This Row],[bldg_style]]="",1,_xlfn.IFNA(VLOOKUP(Grandview_Inventory[[#This Row],[decade]],Lookups!$F$29:$H$43,3,FALSE),1))</f>
        <v>0.95268620544463312</v>
      </c>
      <c r="BW2042" s="4">
        <f>_xlfn.IFNA(VLOOKUP(Grandview_Inventory[[#This Row],[living_area_range]],Lookups!$F$47:$H$56,3,FALSE),1)</f>
        <v>0.96135087979789358</v>
      </c>
      <c r="BX2042" s="4">
        <f>AVERAGE(Grandview_Inventory[[#This Row],[qual_adj]:[size_adj]])</f>
        <v>0.96716793328175876</v>
      </c>
      <c r="BY2042" s="6">
        <f>IF(Grandview_Inventory[[#This Row],[pre_res]]&lt;0,0,Grandview_Inventory[[#This Row],[pre_res]]*Grandview_Inventory[[#This Row],[overall_adj]])</f>
        <v>272107.59972299141</v>
      </c>
      <c r="BZ2042" s="6">
        <f>(Grandview_Inventory[[#This Row],[sum_land]]-IF(Grandview_Inventory[[#This Row],[no_utilities]]=1,12000,0))/IF(Grandview_Inventory[[#This Row],[unbuildable]]=1,2,1)</f>
        <v>55476.642243023998</v>
      </c>
      <c r="CA2042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2042">
        <f>ROUND(Grandview_Inventory[[#This Row],[det_value]]*Lookups!$M$28,-2)</f>
        <v>0</v>
      </c>
      <c r="CC2042">
        <f>IF(ROUND(Grandview_Inventory[[#This Row],[adj_res]]*Lookups!$M$28,-2)&lt;Grandview_Inventory[[#This Row],[min_res]],Grandview_Inventory[[#This Row],[min_res]],ROUND(Grandview_Inventory[[#This Row],[adj_res]]*Lookups!$M$28,-2))</f>
        <v>258500</v>
      </c>
      <c r="CD2042">
        <f>Grandview_Inventory[[#This Row],[final_det]]+Grandview_Inventory[[#This Row],[final_res]]</f>
        <v>258500</v>
      </c>
      <c r="CE2042">
        <f>Grandview_Inventory[[#This Row],[final_land]]+Grandview_Inventory[[#This Row],[final_imp]]+Grandview_Inventory[[#This Row],[crop_value]]</f>
        <v>311200</v>
      </c>
      <c r="CG2042" t="str">
        <f t="shared" si="31"/>
        <v>update valuation set market_land =52700, market_bldg=258500, market_total =311200, market_mdno =401, market_date ='9/10/2023' where link_id = (select link_id from parcel where parcel_year = '2024' and parcel_id = '23092423418');</v>
      </c>
    </row>
    <row r="2043" spans="1:85" x14ac:dyDescent="0.25">
      <c r="A2043">
        <v>23092423421</v>
      </c>
      <c r="B2043">
        <v>0.19</v>
      </c>
      <c r="C2043">
        <v>8161</v>
      </c>
      <c r="D2043" t="s">
        <v>129</v>
      </c>
      <c r="E2043" t="s">
        <v>53</v>
      </c>
      <c r="F2043" t="s">
        <v>53</v>
      </c>
      <c r="G2043">
        <v>4</v>
      </c>
      <c r="H2043" t="s">
        <v>54</v>
      </c>
      <c r="I2043">
        <v>153500</v>
      </c>
      <c r="J2043">
        <v>39100</v>
      </c>
      <c r="K2043">
        <v>0.19</v>
      </c>
      <c r="L204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043">
        <v>0</v>
      </c>
      <c r="N2043">
        <v>0</v>
      </c>
      <c r="O2043">
        <v>0</v>
      </c>
      <c r="P2043">
        <v>13398.7528</v>
      </c>
      <c r="Q2043">
        <v>63903</v>
      </c>
      <c r="R2043">
        <f>(Grandview_Inventory[[#This Row],[ln_acres]]*Grandview_Inventory[[#This Row],[coeff]])+Grandview_Inventory[[#This Row],[const]]</f>
        <v>41651.273092551026</v>
      </c>
      <c r="S2043" t="s">
        <v>68</v>
      </c>
      <c r="T2043">
        <v>1</v>
      </c>
      <c r="U2043" t="s">
        <v>70</v>
      </c>
      <c r="V2043" t="s">
        <v>69</v>
      </c>
      <c r="W2043">
        <v>0</v>
      </c>
      <c r="X2043">
        <v>0</v>
      </c>
      <c r="Y2043">
        <v>50</v>
      </c>
      <c r="Z2043">
        <v>73</v>
      </c>
      <c r="AA2043">
        <v>80</v>
      </c>
      <c r="AB2043">
        <v>1500</v>
      </c>
      <c r="AC2043">
        <v>1070</v>
      </c>
      <c r="AD2043">
        <v>1070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288</v>
      </c>
      <c r="AN2043">
        <v>0</v>
      </c>
      <c r="AO2043">
        <v>288</v>
      </c>
      <c r="AP2043">
        <v>5</v>
      </c>
      <c r="AQ2043">
        <v>0</v>
      </c>
      <c r="AR2043">
        <v>0</v>
      </c>
      <c r="AS2043" t="s">
        <v>58</v>
      </c>
      <c r="AT2043">
        <v>1</v>
      </c>
      <c r="AU2043" t="s">
        <v>63</v>
      </c>
      <c r="AV2043" t="s">
        <v>64</v>
      </c>
      <c r="AW2043">
        <v>1</v>
      </c>
      <c r="AX2043">
        <v>3</v>
      </c>
      <c r="AY2043">
        <v>0</v>
      </c>
      <c r="AZ2043">
        <v>18100</v>
      </c>
      <c r="BA2043">
        <v>100</v>
      </c>
      <c r="BB2043">
        <v>100</v>
      </c>
      <c r="BC2043">
        <v>100</v>
      </c>
      <c r="BD2043">
        <v>100</v>
      </c>
      <c r="BE2043">
        <v>1</v>
      </c>
      <c r="BF2043">
        <v>15000</v>
      </c>
      <c r="BG2043">
        <v>1000</v>
      </c>
      <c r="BH2043" s="6">
        <f>Grandview_Inventory[[#This Row],[land_extract]]*Lookups!$B$3</f>
        <v>48369.510983942157</v>
      </c>
      <c r="BI2043" s="6">
        <f>IF(Grandview_Inventory[[#This Row],[bldg_style]]="",0,Lookups!$B$2)</f>
        <v>155833.95000000001</v>
      </c>
      <c r="BJ2043" s="6">
        <f>_xlfn.IFNA(VLOOKUP(Grandview_Inventory[[#This Row],[quality]],Lookups!$H$2:$J$14,3,FALSE),0)</f>
        <v>10733</v>
      </c>
      <c r="BK2043" s="6">
        <f>_xlfn.IFNA(VLOOKUP(Grandview_Inventory[[#This Row],[condition]],Lookups!$H$17:$J$24,3,FALSE),0)</f>
        <v>-4503</v>
      </c>
      <c r="BL2043" s="6">
        <f>Grandview_Inventory[[#This Row],[Eff_Age]]*Lookups!$B$14</f>
        <v>-11958.33</v>
      </c>
      <c r="BM2043" s="6">
        <f>Grandview_Inventory[[#This Row],[living_area]]*Lookups!$B$15</f>
        <v>66747.512709999995</v>
      </c>
      <c r="BN2043" s="6">
        <f>Grandview_Inventory[[#This Row],[Fin BSMT]]*Lookups!$B$16</f>
        <v>0</v>
      </c>
      <c r="BO2043" s="6">
        <f>(Grandview_Inventory[[#This Row],[att_gar]]+Grandview_Inventory[[#This Row],[bltin_gar]])*Lookups!$B$17</f>
        <v>0</v>
      </c>
      <c r="BP2043" s="6">
        <f>Grandview_Inventory[[#This Row],[Plumbing Fixtures]]*Lookups!$B$18</f>
        <v>10052.209000000001</v>
      </c>
      <c r="BQ2043" s="6">
        <f>Grandview_Inventory[[#This Row],[detatched_value]]*Lookups!$B$19</f>
        <v>15327.17231</v>
      </c>
      <c r="BR2043" s="6">
        <f>SUM(Grandview_Inventory[[#This Row],[Intercept]:[det_value]])*Grandview_Inventory[[#This Row],[res_pct]]</f>
        <v>242232.51402000003</v>
      </c>
      <c r="BS2043" s="6">
        <f>Grandview_Inventory[[#This Row],[land_value]]</f>
        <v>48369.510983942157</v>
      </c>
      <c r="BT2043" s="4">
        <f>_xlfn.IFNA(VLOOKUP(Grandview_Inventory[[#This Row],[quality]],Lookups!$A$26:$C$33,3,FALSE),1)</f>
        <v>0.98079741117310582</v>
      </c>
      <c r="BU2043" s="4">
        <f>_xlfn.IFNA(VLOOKUP(Grandview_Inventory[[#This Row],[condition]],Lookups!$A$37:$C$44,3,FALSE),1)</f>
        <v>0.96469275950863709</v>
      </c>
      <c r="BV2043" s="4">
        <f>IF(Grandview_Inventory[[#This Row],[bldg_style]]="",1,_xlfn.IFNA(VLOOKUP(Grandview_Inventory[[#This Row],[decade]],Lookups!$F$29:$H$43,3,FALSE),1))</f>
        <v>0.98763256963907298</v>
      </c>
      <c r="BW2043" s="4">
        <f>_xlfn.IFNA(VLOOKUP(Grandview_Inventory[[#This Row],[living_area_range]],Lookups!$F$47:$H$56,3,FALSE),1)</f>
        <v>0.96135087979789358</v>
      </c>
      <c r="BX2043" s="4">
        <f>AVERAGE(Grandview_Inventory[[#This Row],[qual_adj]:[size_adj]])</f>
        <v>0.97361840502967734</v>
      </c>
      <c r="BY2043" s="6">
        <f>IF(Grandview_Inventory[[#This Row],[pre_res]]&lt;0,0,Grandview_Inventory[[#This Row],[pre_res]]*Grandview_Inventory[[#This Row],[overall_adj]])</f>
        <v>235842.03394648139</v>
      </c>
      <c r="BZ2043" s="6">
        <f>(Grandview_Inventory[[#This Row],[sum_land]]-IF(Grandview_Inventory[[#This Row],[no_utilities]]=1,12000,0))/IF(Grandview_Inventory[[#This Row],[unbuildable]]=1,2,1)</f>
        <v>48369.510983942157</v>
      </c>
      <c r="CA204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043">
        <f>ROUND(Grandview_Inventory[[#This Row],[det_value]]*Lookups!$M$28,-2)</f>
        <v>14600</v>
      </c>
      <c r="CC2043">
        <f>IF(ROUND(Grandview_Inventory[[#This Row],[adj_res]]*Lookups!$M$28,-2)&lt;Grandview_Inventory[[#This Row],[min_res]],Grandview_Inventory[[#This Row],[min_res]],ROUND(Grandview_Inventory[[#This Row],[adj_res]]*Lookups!$M$28,-2))</f>
        <v>224000</v>
      </c>
      <c r="CD2043">
        <f>Grandview_Inventory[[#This Row],[final_det]]+Grandview_Inventory[[#This Row],[final_res]]</f>
        <v>238600</v>
      </c>
      <c r="CE2043">
        <f>Grandview_Inventory[[#This Row],[final_land]]+Grandview_Inventory[[#This Row],[final_imp]]+Grandview_Inventory[[#This Row],[crop_value]]</f>
        <v>284600</v>
      </c>
      <c r="CG2043" t="str">
        <f t="shared" si="31"/>
        <v>update valuation set market_land =46000, market_bldg=238600, market_total =284600, market_mdno =401, market_date ='9/10/2023' where link_id = (select link_id from parcel where parcel_year = '2024' and parcel_id = '23092423421');</v>
      </c>
    </row>
    <row r="2044" spans="1:85" x14ac:dyDescent="0.25">
      <c r="A2044">
        <v>23092423422</v>
      </c>
      <c r="B2044">
        <v>0.2</v>
      </c>
      <c r="C2044">
        <v>8778</v>
      </c>
      <c r="D2044" t="s">
        <v>129</v>
      </c>
      <c r="E2044" t="s">
        <v>53</v>
      </c>
      <c r="F2044" t="s">
        <v>53</v>
      </c>
      <c r="G2044">
        <v>4</v>
      </c>
      <c r="H2044" t="s">
        <v>54</v>
      </c>
      <c r="I2044">
        <v>140700</v>
      </c>
      <c r="J2044">
        <v>39300</v>
      </c>
      <c r="K2044">
        <v>0.2</v>
      </c>
      <c r="L204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44">
        <v>0</v>
      </c>
      <c r="N2044">
        <v>0</v>
      </c>
      <c r="O2044">
        <v>0</v>
      </c>
      <c r="P2044">
        <v>13398.7528</v>
      </c>
      <c r="Q2044">
        <v>63903</v>
      </c>
      <c r="R2044">
        <f>(Grandview_Inventory[[#This Row],[ln_acres]]*Grandview_Inventory[[#This Row],[coeff]])+Grandview_Inventory[[#This Row],[const]]</f>
        <v>42338.539264347448</v>
      </c>
      <c r="S2044" t="s">
        <v>68</v>
      </c>
      <c r="T2044">
        <v>1</v>
      </c>
      <c r="U2044" t="s">
        <v>70</v>
      </c>
      <c r="V2044" t="s">
        <v>69</v>
      </c>
      <c r="W2044">
        <v>0</v>
      </c>
      <c r="X2044">
        <v>0</v>
      </c>
      <c r="Y2044">
        <v>50</v>
      </c>
      <c r="Z2044">
        <v>73</v>
      </c>
      <c r="AA2044">
        <v>80</v>
      </c>
      <c r="AB2044">
        <v>1500</v>
      </c>
      <c r="AC2044">
        <v>1268</v>
      </c>
      <c r="AD2044">
        <v>1268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110</v>
      </c>
      <c r="AN2044">
        <v>20</v>
      </c>
      <c r="AO2044">
        <v>110</v>
      </c>
      <c r="AP2044">
        <v>8</v>
      </c>
      <c r="AQ2044">
        <v>0</v>
      </c>
      <c r="AR2044">
        <v>0</v>
      </c>
      <c r="AS2044" t="s">
        <v>58</v>
      </c>
      <c r="AT2044">
        <v>1</v>
      </c>
      <c r="AU2044" t="s">
        <v>75</v>
      </c>
      <c r="AV2044" t="s">
        <v>60</v>
      </c>
      <c r="AW2044">
        <v>0</v>
      </c>
      <c r="AX2044">
        <v>4</v>
      </c>
      <c r="AY2044">
        <v>0</v>
      </c>
      <c r="AZ2044">
        <v>0</v>
      </c>
      <c r="BA2044">
        <v>100</v>
      </c>
      <c r="BB2044">
        <v>100</v>
      </c>
      <c r="BC2044">
        <v>100</v>
      </c>
      <c r="BD2044">
        <v>100</v>
      </c>
      <c r="BE2044">
        <v>1</v>
      </c>
      <c r="BF2044">
        <v>15000</v>
      </c>
      <c r="BG2044">
        <v>1000</v>
      </c>
      <c r="BH2044" s="6">
        <f>Grandview_Inventory[[#This Row],[land_extract]]*Lookups!$B$3</f>
        <v>49167.631333630678</v>
      </c>
      <c r="BI2044" s="6">
        <f>IF(Grandview_Inventory[[#This Row],[bldg_style]]="",0,Lookups!$B$2)</f>
        <v>155833.95000000001</v>
      </c>
      <c r="BJ2044" s="6">
        <f>_xlfn.IFNA(VLOOKUP(Grandview_Inventory[[#This Row],[quality]],Lookups!$H$2:$J$14,3,FALSE),0)</f>
        <v>10733</v>
      </c>
      <c r="BK2044" s="6">
        <f>_xlfn.IFNA(VLOOKUP(Grandview_Inventory[[#This Row],[condition]],Lookups!$H$17:$J$24,3,FALSE),0)</f>
        <v>-4503</v>
      </c>
      <c r="BL2044" s="6">
        <f>Grandview_Inventory[[#This Row],[Eff_Age]]*Lookups!$B$14</f>
        <v>-11958.33</v>
      </c>
      <c r="BM2044" s="6">
        <f>Grandview_Inventory[[#This Row],[living_area]]*Lookups!$B$15</f>
        <v>79098.921604000003</v>
      </c>
      <c r="BN2044" s="6">
        <f>Grandview_Inventory[[#This Row],[Fin BSMT]]*Lookups!$B$16</f>
        <v>0</v>
      </c>
      <c r="BO2044" s="6">
        <f>(Grandview_Inventory[[#This Row],[att_gar]]+Grandview_Inventory[[#This Row],[bltin_gar]])*Lookups!$B$17</f>
        <v>0</v>
      </c>
      <c r="BP2044" s="6">
        <f>Grandview_Inventory[[#This Row],[Plumbing Fixtures]]*Lookups!$B$18</f>
        <v>16083.5344</v>
      </c>
      <c r="BQ2044" s="6">
        <f>Grandview_Inventory[[#This Row],[detatched_value]]*Lookups!$B$19</f>
        <v>0</v>
      </c>
      <c r="BR2044" s="6">
        <f>SUM(Grandview_Inventory[[#This Row],[Intercept]:[det_value]])*Grandview_Inventory[[#This Row],[res_pct]]</f>
        <v>245288.07600400003</v>
      </c>
      <c r="BS2044" s="6">
        <f>Grandview_Inventory[[#This Row],[land_value]]</f>
        <v>49167.631333630678</v>
      </c>
      <c r="BT2044" s="4">
        <f>_xlfn.IFNA(VLOOKUP(Grandview_Inventory[[#This Row],[quality]],Lookups!$A$26:$C$33,3,FALSE),1)</f>
        <v>0.98079741117310582</v>
      </c>
      <c r="BU2044" s="4">
        <f>_xlfn.IFNA(VLOOKUP(Grandview_Inventory[[#This Row],[condition]],Lookups!$A$37:$C$44,3,FALSE),1)</f>
        <v>0.96469275950863709</v>
      </c>
      <c r="BV2044" s="4">
        <f>IF(Grandview_Inventory[[#This Row],[bldg_style]]="",1,_xlfn.IFNA(VLOOKUP(Grandview_Inventory[[#This Row],[decade]],Lookups!$F$29:$H$43,3,FALSE),1))</f>
        <v>0.98763256963907298</v>
      </c>
      <c r="BW2044" s="4">
        <f>_xlfn.IFNA(VLOOKUP(Grandview_Inventory[[#This Row],[living_area_range]],Lookups!$F$47:$H$56,3,FALSE),1)</f>
        <v>0.96135087979789358</v>
      </c>
      <c r="BX2044" s="4">
        <f>AVERAGE(Grandview_Inventory[[#This Row],[qual_adj]:[size_adj]])</f>
        <v>0.97361840502967734</v>
      </c>
      <c r="BY2044" s="6">
        <f>IF(Grandview_Inventory[[#This Row],[pre_res]]&lt;0,0,Grandview_Inventory[[#This Row],[pre_res]]*Grandview_Inventory[[#This Row],[overall_adj]])</f>
        <v>238816.98533181279</v>
      </c>
      <c r="BZ2044" s="6">
        <f>(Grandview_Inventory[[#This Row],[sum_land]]-IF(Grandview_Inventory[[#This Row],[no_utilities]]=1,12000,0))/IF(Grandview_Inventory[[#This Row],[unbuildable]]=1,2,1)</f>
        <v>49167.631333630678</v>
      </c>
      <c r="CA204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44">
        <f>ROUND(Grandview_Inventory[[#This Row],[det_value]]*Lookups!$M$28,-2)</f>
        <v>0</v>
      </c>
      <c r="CC2044">
        <f>IF(ROUND(Grandview_Inventory[[#This Row],[adj_res]]*Lookups!$M$28,-2)&lt;Grandview_Inventory[[#This Row],[min_res]],Grandview_Inventory[[#This Row],[min_res]],ROUND(Grandview_Inventory[[#This Row],[adj_res]]*Lookups!$M$28,-2))</f>
        <v>226900</v>
      </c>
      <c r="CD2044">
        <f>Grandview_Inventory[[#This Row],[final_det]]+Grandview_Inventory[[#This Row],[final_res]]</f>
        <v>226900</v>
      </c>
      <c r="CE2044">
        <f>Grandview_Inventory[[#This Row],[final_land]]+Grandview_Inventory[[#This Row],[final_imp]]+Grandview_Inventory[[#This Row],[crop_value]]</f>
        <v>273600</v>
      </c>
      <c r="CG2044" t="str">
        <f t="shared" si="31"/>
        <v>update valuation set market_land =46700, market_bldg=226900, market_total =273600, market_mdno =401, market_date ='9/10/2023' where link_id = (select link_id from parcel where parcel_year = '2024' and parcel_id = '23092423422');</v>
      </c>
    </row>
    <row r="2045" spans="1:85" x14ac:dyDescent="0.25">
      <c r="A2045">
        <v>23092423423</v>
      </c>
      <c r="B2045">
        <v>0.23</v>
      </c>
      <c r="C2045">
        <v>10116</v>
      </c>
      <c r="D2045" t="s">
        <v>129</v>
      </c>
      <c r="E2045" t="s">
        <v>53</v>
      </c>
      <c r="F2045" t="s">
        <v>53</v>
      </c>
      <c r="G2045">
        <v>4</v>
      </c>
      <c r="H2045" t="s">
        <v>54</v>
      </c>
      <c r="I2045">
        <v>172500</v>
      </c>
      <c r="J2045">
        <v>39700</v>
      </c>
      <c r="K2045">
        <v>0.23</v>
      </c>
      <c r="L204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45">
        <v>0</v>
      </c>
      <c r="N2045">
        <v>0</v>
      </c>
      <c r="O2045">
        <v>0</v>
      </c>
      <c r="P2045">
        <v>13398.7528</v>
      </c>
      <c r="Q2045">
        <v>63903</v>
      </c>
      <c r="R2045">
        <f>(Grandview_Inventory[[#This Row],[ln_acres]]*Grandview_Inventory[[#This Row],[coeff]])+Grandview_Inventory[[#This Row],[const]]</f>
        <v>44211.174981080039</v>
      </c>
      <c r="S2045" t="s">
        <v>68</v>
      </c>
      <c r="T2045">
        <v>1</v>
      </c>
      <c r="U2045" t="s">
        <v>70</v>
      </c>
      <c r="V2045" t="s">
        <v>67</v>
      </c>
      <c r="W2045">
        <v>0</v>
      </c>
      <c r="X2045">
        <v>0</v>
      </c>
      <c r="Y2045">
        <v>50</v>
      </c>
      <c r="Z2045">
        <v>73</v>
      </c>
      <c r="AA2045">
        <v>80</v>
      </c>
      <c r="AB2045">
        <v>1500</v>
      </c>
      <c r="AC2045">
        <v>1368</v>
      </c>
      <c r="AD2045">
        <v>1368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160</v>
      </c>
      <c r="AO2045">
        <v>0</v>
      </c>
      <c r="AP2045">
        <v>5</v>
      </c>
      <c r="AQ2045">
        <v>0</v>
      </c>
      <c r="AR2045">
        <v>0</v>
      </c>
      <c r="AS2045" t="s">
        <v>58</v>
      </c>
      <c r="AT2045">
        <v>1</v>
      </c>
      <c r="AU2045" t="s">
        <v>63</v>
      </c>
      <c r="AV2045" t="s">
        <v>64</v>
      </c>
      <c r="AW2045">
        <v>0</v>
      </c>
      <c r="AX2045">
        <v>3</v>
      </c>
      <c r="AY2045">
        <v>0</v>
      </c>
      <c r="AZ2045">
        <v>6400</v>
      </c>
      <c r="BA2045">
        <v>100</v>
      </c>
      <c r="BB2045">
        <v>100</v>
      </c>
      <c r="BC2045">
        <v>100</v>
      </c>
      <c r="BD2045">
        <v>100</v>
      </c>
      <c r="BE2045">
        <v>1</v>
      </c>
      <c r="BF2045">
        <v>15000</v>
      </c>
      <c r="BG2045">
        <v>1000</v>
      </c>
      <c r="BH2045" s="6">
        <f>Grandview_Inventory[[#This Row],[land_extract]]*Lookups!$B$3</f>
        <v>51342.318135355803</v>
      </c>
      <c r="BI2045" s="6">
        <f>IF(Grandview_Inventory[[#This Row],[bldg_style]]="",0,Lookups!$B$2)</f>
        <v>155833.95000000001</v>
      </c>
      <c r="BJ2045" s="6">
        <f>_xlfn.IFNA(VLOOKUP(Grandview_Inventory[[#This Row],[quality]],Lookups!$H$2:$J$14,3,FALSE),0)</f>
        <v>10733</v>
      </c>
      <c r="BK2045" s="6">
        <f>_xlfn.IFNA(VLOOKUP(Grandview_Inventory[[#This Row],[condition]],Lookups!$H$17:$J$24,3,FALSE),0)</f>
        <v>22342</v>
      </c>
      <c r="BL2045" s="6">
        <f>Grandview_Inventory[[#This Row],[Eff_Age]]*Lookups!$B$14</f>
        <v>-11958.33</v>
      </c>
      <c r="BM2045" s="6">
        <f>Grandview_Inventory[[#This Row],[living_area]]*Lookups!$B$15</f>
        <v>85337.006904000009</v>
      </c>
      <c r="BN2045" s="6">
        <f>Grandview_Inventory[[#This Row],[Fin BSMT]]*Lookups!$B$16</f>
        <v>0</v>
      </c>
      <c r="BO2045" s="6">
        <f>(Grandview_Inventory[[#This Row],[att_gar]]+Grandview_Inventory[[#This Row],[bltin_gar]])*Lookups!$B$17</f>
        <v>0</v>
      </c>
      <c r="BP2045" s="6">
        <f>Grandview_Inventory[[#This Row],[Plumbing Fixtures]]*Lookups!$B$18</f>
        <v>10052.209000000001</v>
      </c>
      <c r="BQ2045" s="6">
        <f>Grandview_Inventory[[#This Row],[detatched_value]]*Lookups!$B$19</f>
        <v>5419.5526399999999</v>
      </c>
      <c r="BR2045" s="6">
        <f>SUM(Grandview_Inventory[[#This Row],[Intercept]:[det_value]])*Grandview_Inventory[[#This Row],[res_pct]]</f>
        <v>277759.38854400004</v>
      </c>
      <c r="BS2045" s="6">
        <f>Grandview_Inventory[[#This Row],[land_value]]</f>
        <v>51342.318135355803</v>
      </c>
      <c r="BT2045" s="4">
        <f>_xlfn.IFNA(VLOOKUP(Grandview_Inventory[[#This Row],[quality]],Lookups!$A$26:$C$33,3,FALSE),1)</f>
        <v>0.98079741117310582</v>
      </c>
      <c r="BU2045" s="4">
        <f>_xlfn.IFNA(VLOOKUP(Grandview_Inventory[[#This Row],[condition]],Lookups!$A$37:$C$44,3,FALSE),1)</f>
        <v>0.97383723671140243</v>
      </c>
      <c r="BV2045" s="4">
        <f>IF(Grandview_Inventory[[#This Row],[bldg_style]]="",1,_xlfn.IFNA(VLOOKUP(Grandview_Inventory[[#This Row],[decade]],Lookups!$F$29:$H$43,3,FALSE),1))</f>
        <v>0.98763256963907298</v>
      </c>
      <c r="BW2045" s="4">
        <f>_xlfn.IFNA(VLOOKUP(Grandview_Inventory[[#This Row],[living_area_range]],Lookups!$F$47:$H$56,3,FALSE),1)</f>
        <v>0.96135087979789358</v>
      </c>
      <c r="BX2045" s="4">
        <f>AVERAGE(Grandview_Inventory[[#This Row],[qual_adj]:[size_adj]])</f>
        <v>0.97590452433036867</v>
      </c>
      <c r="BY2045" s="6">
        <f>IF(Grandview_Inventory[[#This Row],[pre_res]]&lt;0,0,Grandview_Inventory[[#This Row],[pre_res]]*Grandview_Inventory[[#This Row],[overall_adj]])</f>
        <v>271066.64395532641</v>
      </c>
      <c r="BZ2045" s="6">
        <f>(Grandview_Inventory[[#This Row],[sum_land]]-IF(Grandview_Inventory[[#This Row],[no_utilities]]=1,12000,0))/IF(Grandview_Inventory[[#This Row],[unbuildable]]=1,2,1)</f>
        <v>51342.318135355803</v>
      </c>
      <c r="CA204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45">
        <f>ROUND(Grandview_Inventory[[#This Row],[det_value]]*Lookups!$M$28,-2)</f>
        <v>5100</v>
      </c>
      <c r="CC2045">
        <f>IF(ROUND(Grandview_Inventory[[#This Row],[adj_res]]*Lookups!$M$28,-2)&lt;Grandview_Inventory[[#This Row],[min_res]],Grandview_Inventory[[#This Row],[min_res]],ROUND(Grandview_Inventory[[#This Row],[adj_res]]*Lookups!$M$28,-2))</f>
        <v>257500</v>
      </c>
      <c r="CD2045">
        <f>Grandview_Inventory[[#This Row],[final_det]]+Grandview_Inventory[[#This Row],[final_res]]</f>
        <v>262600</v>
      </c>
      <c r="CE2045">
        <f>Grandview_Inventory[[#This Row],[final_land]]+Grandview_Inventory[[#This Row],[final_imp]]+Grandview_Inventory[[#This Row],[crop_value]]</f>
        <v>311400</v>
      </c>
      <c r="CG2045" t="str">
        <f t="shared" si="31"/>
        <v>update valuation set market_land =48800, market_bldg=262600, market_total =311400, market_mdno =401, market_date ='9/10/2023' where link_id = (select link_id from parcel where parcel_year = '2024' and parcel_id = '23092423423');</v>
      </c>
    </row>
    <row r="2046" spans="1:85" x14ac:dyDescent="0.25">
      <c r="A2046">
        <v>23092423424</v>
      </c>
      <c r="B2046">
        <v>0.28000000000000003</v>
      </c>
      <c r="C2046">
        <v>11990</v>
      </c>
      <c r="D2046" t="s">
        <v>129</v>
      </c>
      <c r="E2046" t="s">
        <v>53</v>
      </c>
      <c r="F2046" t="s">
        <v>53</v>
      </c>
      <c r="G2046">
        <v>4</v>
      </c>
      <c r="H2046" t="s">
        <v>54</v>
      </c>
      <c r="I2046">
        <v>124800</v>
      </c>
      <c r="J2046">
        <v>40000</v>
      </c>
      <c r="K2046">
        <v>0.28000000000000003</v>
      </c>
      <c r="L2046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2046">
        <v>0</v>
      </c>
      <c r="N2046">
        <v>0</v>
      </c>
      <c r="O2046">
        <v>0</v>
      </c>
      <c r="P2046">
        <v>13398.7528</v>
      </c>
      <c r="Q2046">
        <v>63903</v>
      </c>
      <c r="R2046">
        <f>(Grandview_Inventory[[#This Row],[ln_acres]]*Grandview_Inventory[[#This Row],[coeff]])+Grandview_Inventory[[#This Row],[const]]</f>
        <v>46846.847586898184</v>
      </c>
      <c r="S2046" t="s">
        <v>68</v>
      </c>
      <c r="T2046">
        <v>1</v>
      </c>
      <c r="U2046" t="s">
        <v>70</v>
      </c>
      <c r="V2046" t="s">
        <v>69</v>
      </c>
      <c r="W2046">
        <v>0</v>
      </c>
      <c r="X2046">
        <v>0</v>
      </c>
      <c r="Y2046">
        <v>50</v>
      </c>
      <c r="Z2046">
        <v>73</v>
      </c>
      <c r="AA2046">
        <v>80</v>
      </c>
      <c r="AB2046">
        <v>1500</v>
      </c>
      <c r="AC2046">
        <v>1070</v>
      </c>
      <c r="AD2046">
        <v>1070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558</v>
      </c>
      <c r="AN2046">
        <v>28</v>
      </c>
      <c r="AO2046">
        <v>558</v>
      </c>
      <c r="AP2046">
        <v>5</v>
      </c>
      <c r="AQ2046">
        <v>0</v>
      </c>
      <c r="AR2046">
        <v>0</v>
      </c>
      <c r="AS2046" t="s">
        <v>58</v>
      </c>
      <c r="AT2046">
        <v>1</v>
      </c>
      <c r="AU2046" t="s">
        <v>63</v>
      </c>
      <c r="AV2046" t="s">
        <v>64</v>
      </c>
      <c r="AW2046">
        <v>0</v>
      </c>
      <c r="AX2046">
        <v>3</v>
      </c>
      <c r="AY2046">
        <v>0</v>
      </c>
      <c r="AZ2046">
        <v>5200</v>
      </c>
      <c r="BA2046">
        <v>100</v>
      </c>
      <c r="BB2046">
        <v>100</v>
      </c>
      <c r="BC2046">
        <v>100</v>
      </c>
      <c r="BD2046">
        <v>100</v>
      </c>
      <c r="BE2046">
        <v>1</v>
      </c>
      <c r="BF2046">
        <v>15000</v>
      </c>
      <c r="BG2046">
        <v>1000</v>
      </c>
      <c r="BH2046" s="6">
        <f>Grandview_Inventory[[#This Row],[land_extract]]*Lookups!$B$3</f>
        <v>54403.117616176372</v>
      </c>
      <c r="BI2046" s="6">
        <f>IF(Grandview_Inventory[[#This Row],[bldg_style]]="",0,Lookups!$B$2)</f>
        <v>155833.95000000001</v>
      </c>
      <c r="BJ2046" s="6">
        <f>_xlfn.IFNA(VLOOKUP(Grandview_Inventory[[#This Row],[quality]],Lookups!$H$2:$J$14,3,FALSE),0)</f>
        <v>10733</v>
      </c>
      <c r="BK2046" s="6">
        <f>_xlfn.IFNA(VLOOKUP(Grandview_Inventory[[#This Row],[condition]],Lookups!$H$17:$J$24,3,FALSE),0)</f>
        <v>-4503</v>
      </c>
      <c r="BL2046" s="6">
        <f>Grandview_Inventory[[#This Row],[Eff_Age]]*Lookups!$B$14</f>
        <v>-11958.33</v>
      </c>
      <c r="BM2046" s="6">
        <f>Grandview_Inventory[[#This Row],[living_area]]*Lookups!$B$15</f>
        <v>66747.512709999995</v>
      </c>
      <c r="BN2046" s="6">
        <f>Grandview_Inventory[[#This Row],[Fin BSMT]]*Lookups!$B$16</f>
        <v>0</v>
      </c>
      <c r="BO2046" s="6">
        <f>(Grandview_Inventory[[#This Row],[att_gar]]+Grandview_Inventory[[#This Row],[bltin_gar]])*Lookups!$B$17</f>
        <v>0</v>
      </c>
      <c r="BP2046" s="6">
        <f>Grandview_Inventory[[#This Row],[Plumbing Fixtures]]*Lookups!$B$18</f>
        <v>10052.209000000001</v>
      </c>
      <c r="BQ2046" s="6">
        <f>Grandview_Inventory[[#This Row],[detatched_value]]*Lookups!$B$19</f>
        <v>4403.38652</v>
      </c>
      <c r="BR2046" s="6">
        <f>SUM(Grandview_Inventory[[#This Row],[Intercept]:[det_value]])*Grandview_Inventory[[#This Row],[res_pct]]</f>
        <v>231308.72823000004</v>
      </c>
      <c r="BS2046" s="6">
        <f>Grandview_Inventory[[#This Row],[land_value]]</f>
        <v>54403.117616176372</v>
      </c>
      <c r="BT2046" s="4">
        <f>_xlfn.IFNA(VLOOKUP(Grandview_Inventory[[#This Row],[quality]],Lookups!$A$26:$C$33,3,FALSE),1)</f>
        <v>0.98079741117310582</v>
      </c>
      <c r="BU2046" s="4">
        <f>_xlfn.IFNA(VLOOKUP(Grandview_Inventory[[#This Row],[condition]],Lookups!$A$37:$C$44,3,FALSE),1)</f>
        <v>0.96469275950863709</v>
      </c>
      <c r="BV2046" s="4">
        <f>IF(Grandview_Inventory[[#This Row],[bldg_style]]="",1,_xlfn.IFNA(VLOOKUP(Grandview_Inventory[[#This Row],[decade]],Lookups!$F$29:$H$43,3,FALSE),1))</f>
        <v>0.98763256963907298</v>
      </c>
      <c r="BW2046" s="4">
        <f>_xlfn.IFNA(VLOOKUP(Grandview_Inventory[[#This Row],[living_area_range]],Lookups!$F$47:$H$56,3,FALSE),1)</f>
        <v>0.96135087979789358</v>
      </c>
      <c r="BX2046" s="4">
        <f>AVERAGE(Grandview_Inventory[[#This Row],[qual_adj]:[size_adj]])</f>
        <v>0.97361840502967734</v>
      </c>
      <c r="BY2046" s="6">
        <f>IF(Grandview_Inventory[[#This Row],[pre_res]]&lt;0,0,Grandview_Inventory[[#This Row],[pre_res]]*Grandview_Inventory[[#This Row],[overall_adj]])</f>
        <v>225206.43504873573</v>
      </c>
      <c r="BZ2046" s="6">
        <f>(Grandview_Inventory[[#This Row],[sum_land]]-IF(Grandview_Inventory[[#This Row],[no_utilities]]=1,12000,0))/IF(Grandview_Inventory[[#This Row],[unbuildable]]=1,2,1)</f>
        <v>54403.117616176372</v>
      </c>
      <c r="CA2046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2046">
        <f>ROUND(Grandview_Inventory[[#This Row],[det_value]]*Lookups!$M$28,-2)</f>
        <v>4200</v>
      </c>
      <c r="CC2046">
        <f>IF(ROUND(Grandview_Inventory[[#This Row],[adj_res]]*Lookups!$M$28,-2)&lt;Grandview_Inventory[[#This Row],[min_res]],Grandview_Inventory[[#This Row],[min_res]],ROUND(Grandview_Inventory[[#This Row],[adj_res]]*Lookups!$M$28,-2))</f>
        <v>213900</v>
      </c>
      <c r="CD2046">
        <f>Grandview_Inventory[[#This Row],[final_det]]+Grandview_Inventory[[#This Row],[final_res]]</f>
        <v>218100</v>
      </c>
      <c r="CE2046">
        <f>Grandview_Inventory[[#This Row],[final_land]]+Grandview_Inventory[[#This Row],[final_imp]]+Grandview_Inventory[[#This Row],[crop_value]]</f>
        <v>269800</v>
      </c>
      <c r="CG2046" t="str">
        <f t="shared" si="31"/>
        <v>update valuation set market_land =51700, market_bldg=218100, market_total =269800, market_mdno =401, market_date ='9/10/2023' where link_id = (select link_id from parcel where parcel_year = '2024' and parcel_id = '23092423424');</v>
      </c>
    </row>
    <row r="2047" spans="1:85" x14ac:dyDescent="0.25">
      <c r="A2047">
        <v>23092423425</v>
      </c>
      <c r="B2047">
        <v>0.25</v>
      </c>
      <c r="C2047">
        <v>10870</v>
      </c>
      <c r="D2047" t="s">
        <v>129</v>
      </c>
      <c r="E2047" t="s">
        <v>53</v>
      </c>
      <c r="F2047" t="s">
        <v>53</v>
      </c>
      <c r="G2047">
        <v>4</v>
      </c>
      <c r="H2047" t="s">
        <v>54</v>
      </c>
      <c r="I2047">
        <v>196700</v>
      </c>
      <c r="J2047">
        <v>40000</v>
      </c>
      <c r="K2047">
        <v>0.25</v>
      </c>
      <c r="L2047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047">
        <v>0</v>
      </c>
      <c r="N2047">
        <v>0</v>
      </c>
      <c r="O2047">
        <v>0</v>
      </c>
      <c r="P2047">
        <v>13398.7528</v>
      </c>
      <c r="Q2047">
        <v>63903</v>
      </c>
      <c r="R2047">
        <f>(Grandview_Inventory[[#This Row],[ln_acres]]*Grandview_Inventory[[#This Row],[coeff]])+Grandview_Inventory[[#This Row],[const]]</f>
        <v>45328.38454732066</v>
      </c>
      <c r="S2047" t="s">
        <v>68</v>
      </c>
      <c r="T2047">
        <v>1</v>
      </c>
      <c r="U2047" t="s">
        <v>70</v>
      </c>
      <c r="V2047" t="s">
        <v>69</v>
      </c>
      <c r="W2047">
        <v>0</v>
      </c>
      <c r="X2047">
        <v>0</v>
      </c>
      <c r="Y2047">
        <v>50</v>
      </c>
      <c r="Z2047">
        <v>73</v>
      </c>
      <c r="AA2047">
        <v>80</v>
      </c>
      <c r="AB2047">
        <v>2000</v>
      </c>
      <c r="AC2047">
        <v>1977</v>
      </c>
      <c r="AD2047">
        <v>1689</v>
      </c>
      <c r="AE2047">
        <v>0</v>
      </c>
      <c r="AF2047">
        <v>0</v>
      </c>
      <c r="AG2047">
        <v>288</v>
      </c>
      <c r="AH2047">
        <v>0</v>
      </c>
      <c r="AI2047">
        <v>0</v>
      </c>
      <c r="AJ2047">
        <v>0</v>
      </c>
      <c r="AK2047">
        <v>480</v>
      </c>
      <c r="AL2047">
        <v>0</v>
      </c>
      <c r="AM2047">
        <v>189</v>
      </c>
      <c r="AN2047">
        <v>0</v>
      </c>
      <c r="AO2047">
        <v>0</v>
      </c>
      <c r="AP2047">
        <v>5</v>
      </c>
      <c r="AQ2047">
        <v>0</v>
      </c>
      <c r="AR2047">
        <v>0</v>
      </c>
      <c r="AS2047" t="s">
        <v>58</v>
      </c>
      <c r="AT2047">
        <v>1</v>
      </c>
      <c r="AU2047" t="s">
        <v>63</v>
      </c>
      <c r="AV2047" t="s">
        <v>64</v>
      </c>
      <c r="AW2047">
        <v>1</v>
      </c>
      <c r="AX2047">
        <v>3</v>
      </c>
      <c r="AY2047">
        <v>0</v>
      </c>
      <c r="AZ2047">
        <v>14700</v>
      </c>
      <c r="BA2047">
        <v>100</v>
      </c>
      <c r="BB2047">
        <v>100</v>
      </c>
      <c r="BC2047">
        <v>100</v>
      </c>
      <c r="BD2047">
        <v>100</v>
      </c>
      <c r="BE2047">
        <v>1</v>
      </c>
      <c r="BF2047">
        <v>15000</v>
      </c>
      <c r="BG2047">
        <v>1000</v>
      </c>
      <c r="BH2047" s="6">
        <f>Grandview_Inventory[[#This Row],[land_extract]]*Lookups!$B$3</f>
        <v>52639.730588165206</v>
      </c>
      <c r="BI2047" s="6">
        <f>IF(Grandview_Inventory[[#This Row],[bldg_style]]="",0,Lookups!$B$2)</f>
        <v>155833.95000000001</v>
      </c>
      <c r="BJ2047" s="6">
        <f>_xlfn.IFNA(VLOOKUP(Grandview_Inventory[[#This Row],[quality]],Lookups!$H$2:$J$14,3,FALSE),0)</f>
        <v>10733</v>
      </c>
      <c r="BK2047" s="6">
        <f>_xlfn.IFNA(VLOOKUP(Grandview_Inventory[[#This Row],[condition]],Lookups!$H$17:$J$24,3,FALSE),0)</f>
        <v>-4503</v>
      </c>
      <c r="BL2047" s="6">
        <f>Grandview_Inventory[[#This Row],[Eff_Age]]*Lookups!$B$14</f>
        <v>-11958.33</v>
      </c>
      <c r="BM2047" s="6">
        <f>Grandview_Inventory[[#This Row],[living_area]]*Lookups!$B$15</f>
        <v>123326.946381</v>
      </c>
      <c r="BN2047" s="6">
        <f>Grandview_Inventory[[#This Row],[Fin BSMT]]*Lookups!$B$16</f>
        <v>-7804.5811200000007</v>
      </c>
      <c r="BO2047" s="6">
        <f>(Grandview_Inventory[[#This Row],[att_gar]]+Grandview_Inventory[[#This Row],[bltin_gar]])*Lookups!$B$17</f>
        <v>0</v>
      </c>
      <c r="BP2047" s="6">
        <f>Grandview_Inventory[[#This Row],[Plumbing Fixtures]]*Lookups!$B$18</f>
        <v>10052.209000000001</v>
      </c>
      <c r="BQ2047" s="6">
        <f>Grandview_Inventory[[#This Row],[detatched_value]]*Lookups!$B$19</f>
        <v>12448.034969999999</v>
      </c>
      <c r="BR2047" s="6">
        <f>SUM(Grandview_Inventory[[#This Row],[Intercept]:[det_value]])*Grandview_Inventory[[#This Row],[res_pct]]</f>
        <v>288128.229231</v>
      </c>
      <c r="BS2047" s="6">
        <f>Grandview_Inventory[[#This Row],[land_value]]</f>
        <v>52639.730588165206</v>
      </c>
      <c r="BT2047" s="4">
        <f>_xlfn.IFNA(VLOOKUP(Grandview_Inventory[[#This Row],[quality]],Lookups!$A$26:$C$33,3,FALSE),1)</f>
        <v>0.98079741117310582</v>
      </c>
      <c r="BU2047" s="4">
        <f>_xlfn.IFNA(VLOOKUP(Grandview_Inventory[[#This Row],[condition]],Lookups!$A$37:$C$44,3,FALSE),1)</f>
        <v>0.96469275950863709</v>
      </c>
      <c r="BV2047" s="4">
        <f>IF(Grandview_Inventory[[#This Row],[bldg_style]]="",1,_xlfn.IFNA(VLOOKUP(Grandview_Inventory[[#This Row],[decade]],Lookups!$F$29:$H$43,3,FALSE),1))</f>
        <v>0.98763256963907298</v>
      </c>
      <c r="BW2047" s="4">
        <f>_xlfn.IFNA(VLOOKUP(Grandview_Inventory[[#This Row],[living_area_range]],Lookups!$F$47:$H$56,3,FALSE),1)</f>
        <v>0.96120133463014379</v>
      </c>
      <c r="BX2047" s="4">
        <f>AVERAGE(Grandview_Inventory[[#This Row],[qual_adj]:[size_adj]])</f>
        <v>0.97358101873773983</v>
      </c>
      <c r="BY2047" s="6">
        <f>IF(Grandview_Inventory[[#This Row],[pre_res]]&lt;0,0,Grandview_Inventory[[#This Row],[pre_res]]*Grandview_Inventory[[#This Row],[overall_adj]])</f>
        <v>280516.174941818</v>
      </c>
      <c r="BZ2047" s="6">
        <f>(Grandview_Inventory[[#This Row],[sum_land]]-IF(Grandview_Inventory[[#This Row],[no_utilities]]=1,12000,0))/IF(Grandview_Inventory[[#This Row],[unbuildable]]=1,2,1)</f>
        <v>52639.730588165206</v>
      </c>
      <c r="CA2047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047">
        <f>ROUND(Grandview_Inventory[[#This Row],[det_value]]*Lookups!$M$28,-2)</f>
        <v>11800</v>
      </c>
      <c r="CC2047">
        <f>IF(ROUND(Grandview_Inventory[[#This Row],[adj_res]]*Lookups!$M$28,-2)&lt;Grandview_Inventory[[#This Row],[min_res]],Grandview_Inventory[[#This Row],[min_res]],ROUND(Grandview_Inventory[[#This Row],[adj_res]]*Lookups!$M$28,-2))</f>
        <v>266500</v>
      </c>
      <c r="CD2047">
        <f>Grandview_Inventory[[#This Row],[final_det]]+Grandview_Inventory[[#This Row],[final_res]]</f>
        <v>278300</v>
      </c>
      <c r="CE2047">
        <f>Grandview_Inventory[[#This Row],[final_land]]+Grandview_Inventory[[#This Row],[final_imp]]+Grandview_Inventory[[#This Row],[crop_value]]</f>
        <v>328300</v>
      </c>
      <c r="CG2047" t="str">
        <f t="shared" si="31"/>
        <v>update valuation set market_land =50000, market_bldg=278300, market_total =328300, market_mdno =401, market_date ='9/10/2023' where link_id = (select link_id from parcel where parcel_year = '2024' and parcel_id = '23092423425');</v>
      </c>
    </row>
    <row r="2048" spans="1:85" x14ac:dyDescent="0.25">
      <c r="A2048">
        <v>23092423426</v>
      </c>
      <c r="B2048">
        <v>0.27</v>
      </c>
      <c r="C2048">
        <v>11873</v>
      </c>
      <c r="D2048" t="s">
        <v>129</v>
      </c>
      <c r="E2048" t="s">
        <v>53</v>
      </c>
      <c r="F2048" t="s">
        <v>53</v>
      </c>
      <c r="G2048">
        <v>4</v>
      </c>
      <c r="H2048" t="s">
        <v>54</v>
      </c>
      <c r="I2048">
        <v>165200</v>
      </c>
      <c r="J2048">
        <v>40000</v>
      </c>
      <c r="K2048">
        <v>0.27</v>
      </c>
      <c r="L204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048">
        <v>0</v>
      </c>
      <c r="N2048">
        <v>0</v>
      </c>
      <c r="O2048">
        <v>0</v>
      </c>
      <c r="P2048">
        <v>13398.7528</v>
      </c>
      <c r="Q2048">
        <v>63903</v>
      </c>
      <c r="R2048">
        <f>(Grandview_Inventory[[#This Row],[ln_acres]]*Grandview_Inventory[[#This Row],[coeff]])+Grandview_Inventory[[#This Row],[const]]</f>
        <v>46359.566512734265</v>
      </c>
      <c r="S2048" t="s">
        <v>68</v>
      </c>
      <c r="T2048">
        <v>1</v>
      </c>
      <c r="U2048" t="s">
        <v>70</v>
      </c>
      <c r="V2048" t="s">
        <v>67</v>
      </c>
      <c r="W2048">
        <v>0</v>
      </c>
      <c r="X2048">
        <v>0</v>
      </c>
      <c r="Y2048">
        <v>50</v>
      </c>
      <c r="Z2048">
        <v>73</v>
      </c>
      <c r="AA2048">
        <v>80</v>
      </c>
      <c r="AB2048">
        <v>1500</v>
      </c>
      <c r="AC2048">
        <v>1047</v>
      </c>
      <c r="AD2048">
        <v>1047</v>
      </c>
      <c r="AE2048">
        <v>0</v>
      </c>
      <c r="AF2048">
        <v>0</v>
      </c>
      <c r="AG2048">
        <v>0</v>
      </c>
      <c r="AH2048">
        <v>490</v>
      </c>
      <c r="AI2048">
        <v>0</v>
      </c>
      <c r="AJ2048">
        <v>0</v>
      </c>
      <c r="AK2048">
        <v>0</v>
      </c>
      <c r="AL2048">
        <v>0</v>
      </c>
      <c r="AM2048">
        <v>953</v>
      </c>
      <c r="AN2048">
        <v>0</v>
      </c>
      <c r="AO2048">
        <v>161</v>
      </c>
      <c r="AP2048">
        <v>5</v>
      </c>
      <c r="AQ2048">
        <v>0</v>
      </c>
      <c r="AR2048">
        <v>0</v>
      </c>
      <c r="AS2048" t="s">
        <v>58</v>
      </c>
      <c r="AT2048">
        <v>1</v>
      </c>
      <c r="AU2048" t="s">
        <v>63</v>
      </c>
      <c r="AV2048" t="s">
        <v>64</v>
      </c>
      <c r="AW2048">
        <v>1</v>
      </c>
      <c r="AX2048">
        <v>3</v>
      </c>
      <c r="AY2048">
        <v>0</v>
      </c>
      <c r="AZ2048">
        <v>0</v>
      </c>
      <c r="BA2048">
        <v>100</v>
      </c>
      <c r="BB2048">
        <v>100</v>
      </c>
      <c r="BC2048">
        <v>100</v>
      </c>
      <c r="BD2048">
        <v>100</v>
      </c>
      <c r="BE2048">
        <v>1</v>
      </c>
      <c r="BF2048">
        <v>15000</v>
      </c>
      <c r="BG2048">
        <v>1000</v>
      </c>
      <c r="BH2048" s="6">
        <f>Grandview_Inventory[[#This Row],[land_extract]]*Lookups!$B$3</f>
        <v>53837.239420408718</v>
      </c>
      <c r="BI2048" s="6">
        <f>IF(Grandview_Inventory[[#This Row],[bldg_style]]="",0,Lookups!$B$2)</f>
        <v>155833.95000000001</v>
      </c>
      <c r="BJ2048" s="6">
        <f>_xlfn.IFNA(VLOOKUP(Grandview_Inventory[[#This Row],[quality]],Lookups!$H$2:$J$14,3,FALSE),0)</f>
        <v>10733</v>
      </c>
      <c r="BK2048" s="6">
        <f>_xlfn.IFNA(VLOOKUP(Grandview_Inventory[[#This Row],[condition]],Lookups!$H$17:$J$24,3,FALSE),0)</f>
        <v>22342</v>
      </c>
      <c r="BL2048" s="6">
        <f>Grandview_Inventory[[#This Row],[Eff_Age]]*Lookups!$B$14</f>
        <v>-11958.33</v>
      </c>
      <c r="BM2048" s="6">
        <f>Grandview_Inventory[[#This Row],[living_area]]*Lookups!$B$15</f>
        <v>65312.753090999999</v>
      </c>
      <c r="BN2048" s="6">
        <f>Grandview_Inventory[[#This Row],[Fin BSMT]]*Lookups!$B$16</f>
        <v>0</v>
      </c>
      <c r="BO2048" s="6">
        <f>(Grandview_Inventory[[#This Row],[att_gar]]+Grandview_Inventory[[#This Row],[bltin_gar]])*Lookups!$B$17</f>
        <v>0</v>
      </c>
      <c r="BP2048" s="6">
        <f>Grandview_Inventory[[#This Row],[Plumbing Fixtures]]*Lookups!$B$18</f>
        <v>10052.209000000001</v>
      </c>
      <c r="BQ2048" s="6">
        <f>Grandview_Inventory[[#This Row],[detatched_value]]*Lookups!$B$19</f>
        <v>0</v>
      </c>
      <c r="BR2048" s="6">
        <f>SUM(Grandview_Inventory[[#This Row],[Intercept]:[det_value]])*Grandview_Inventory[[#This Row],[res_pct]]</f>
        <v>252315.58209100002</v>
      </c>
      <c r="BS2048" s="6">
        <f>Grandview_Inventory[[#This Row],[land_value]]</f>
        <v>53837.239420408718</v>
      </c>
      <c r="BT2048" s="4">
        <f>_xlfn.IFNA(VLOOKUP(Grandview_Inventory[[#This Row],[quality]],Lookups!$A$26:$C$33,3,FALSE),1)</f>
        <v>0.98079741117310582</v>
      </c>
      <c r="BU2048" s="4">
        <f>_xlfn.IFNA(VLOOKUP(Grandview_Inventory[[#This Row],[condition]],Lookups!$A$37:$C$44,3,FALSE),1)</f>
        <v>0.97383723671140243</v>
      </c>
      <c r="BV2048" s="4">
        <f>IF(Grandview_Inventory[[#This Row],[bldg_style]]="",1,_xlfn.IFNA(VLOOKUP(Grandview_Inventory[[#This Row],[decade]],Lookups!$F$29:$H$43,3,FALSE),1))</f>
        <v>0.98763256963907298</v>
      </c>
      <c r="BW2048" s="4">
        <f>_xlfn.IFNA(VLOOKUP(Grandview_Inventory[[#This Row],[living_area_range]],Lookups!$F$47:$H$56,3,FALSE),1)</f>
        <v>0.96135087979789358</v>
      </c>
      <c r="BX2048" s="4">
        <f>AVERAGE(Grandview_Inventory[[#This Row],[qual_adj]:[size_adj]])</f>
        <v>0.97590452433036867</v>
      </c>
      <c r="BY2048" s="6">
        <f>IF(Grandview_Inventory[[#This Row],[pre_res]]&lt;0,0,Grandview_Inventory[[#This Row],[pre_res]]*Grandview_Inventory[[#This Row],[overall_adj]])</f>
        <v>246235.91812165745</v>
      </c>
      <c r="BZ2048" s="6">
        <f>(Grandview_Inventory[[#This Row],[sum_land]]-IF(Grandview_Inventory[[#This Row],[no_utilities]]=1,12000,0))/IF(Grandview_Inventory[[#This Row],[unbuildable]]=1,2,1)</f>
        <v>53837.239420408718</v>
      </c>
      <c r="CA204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048">
        <f>ROUND(Grandview_Inventory[[#This Row],[det_value]]*Lookups!$M$28,-2)</f>
        <v>0</v>
      </c>
      <c r="CC2048">
        <f>IF(ROUND(Grandview_Inventory[[#This Row],[adj_res]]*Lookups!$M$28,-2)&lt;Grandview_Inventory[[#This Row],[min_res]],Grandview_Inventory[[#This Row],[min_res]],ROUND(Grandview_Inventory[[#This Row],[adj_res]]*Lookups!$M$28,-2))</f>
        <v>233900</v>
      </c>
      <c r="CD2048">
        <f>Grandview_Inventory[[#This Row],[final_det]]+Grandview_Inventory[[#This Row],[final_res]]</f>
        <v>233900</v>
      </c>
      <c r="CE2048">
        <f>Grandview_Inventory[[#This Row],[final_land]]+Grandview_Inventory[[#This Row],[final_imp]]+Grandview_Inventory[[#This Row],[crop_value]]</f>
        <v>285000</v>
      </c>
      <c r="CG2048" t="str">
        <f t="shared" si="31"/>
        <v>update valuation set market_land =51100, market_bldg=233900, market_total =285000, market_mdno =401, market_date ='9/10/2023' where link_id = (select link_id from parcel where parcel_year = '2024' and parcel_id = '23092423426');</v>
      </c>
    </row>
    <row r="2049" spans="1:85" x14ac:dyDescent="0.25">
      <c r="A2049">
        <v>23092423427</v>
      </c>
      <c r="B2049">
        <v>0.2</v>
      </c>
      <c r="C2049">
        <v>8617</v>
      </c>
      <c r="D2049" t="s">
        <v>129</v>
      </c>
      <c r="E2049" t="s">
        <v>53</v>
      </c>
      <c r="F2049" t="s">
        <v>53</v>
      </c>
      <c r="G2049">
        <v>4</v>
      </c>
      <c r="H2049" t="s">
        <v>54</v>
      </c>
      <c r="I2049">
        <v>187900</v>
      </c>
      <c r="J2049">
        <v>39300</v>
      </c>
      <c r="K2049">
        <v>0.2</v>
      </c>
      <c r="L204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49">
        <v>0</v>
      </c>
      <c r="N2049">
        <v>0</v>
      </c>
      <c r="O2049">
        <v>0</v>
      </c>
      <c r="P2049">
        <v>13398.7528</v>
      </c>
      <c r="Q2049">
        <v>63903</v>
      </c>
      <c r="R2049">
        <f>(Grandview_Inventory[[#This Row],[ln_acres]]*Grandview_Inventory[[#This Row],[coeff]])+Grandview_Inventory[[#This Row],[const]]</f>
        <v>42338.539264347448</v>
      </c>
      <c r="S2049" t="s">
        <v>68</v>
      </c>
      <c r="T2049">
        <v>1</v>
      </c>
      <c r="U2049" t="s">
        <v>70</v>
      </c>
      <c r="V2049" t="s">
        <v>67</v>
      </c>
      <c r="W2049">
        <v>0</v>
      </c>
      <c r="X2049">
        <v>0</v>
      </c>
      <c r="Y2049">
        <v>50</v>
      </c>
      <c r="Z2049">
        <v>73</v>
      </c>
      <c r="AA2049">
        <v>80</v>
      </c>
      <c r="AB2049">
        <v>1500</v>
      </c>
      <c r="AC2049">
        <v>1132</v>
      </c>
      <c r="AD2049">
        <v>1132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154</v>
      </c>
      <c r="AN2049">
        <v>0</v>
      </c>
      <c r="AO2049">
        <v>154</v>
      </c>
      <c r="AP2049">
        <v>5</v>
      </c>
      <c r="AQ2049">
        <v>0</v>
      </c>
      <c r="AR2049">
        <v>0</v>
      </c>
      <c r="AS2049" t="s">
        <v>58</v>
      </c>
      <c r="AT2049">
        <v>1</v>
      </c>
      <c r="AU2049" t="s">
        <v>63</v>
      </c>
      <c r="AV2049" t="s">
        <v>64</v>
      </c>
      <c r="AW2049">
        <v>1</v>
      </c>
      <c r="AX2049">
        <v>3</v>
      </c>
      <c r="AY2049">
        <v>0</v>
      </c>
      <c r="AZ2049">
        <v>17000</v>
      </c>
      <c r="BA2049">
        <v>100</v>
      </c>
      <c r="BB2049">
        <v>100</v>
      </c>
      <c r="BC2049">
        <v>100</v>
      </c>
      <c r="BD2049">
        <v>100</v>
      </c>
      <c r="BE2049">
        <v>1</v>
      </c>
      <c r="BF2049">
        <v>15000</v>
      </c>
      <c r="BG2049">
        <v>1000</v>
      </c>
      <c r="BH2049" s="6">
        <f>Grandview_Inventory[[#This Row],[land_extract]]*Lookups!$B$3</f>
        <v>49167.631333630678</v>
      </c>
      <c r="BI2049" s="6">
        <f>IF(Grandview_Inventory[[#This Row],[bldg_style]]="",0,Lookups!$B$2)</f>
        <v>155833.95000000001</v>
      </c>
      <c r="BJ2049" s="6">
        <f>_xlfn.IFNA(VLOOKUP(Grandview_Inventory[[#This Row],[quality]],Lookups!$H$2:$J$14,3,FALSE),0)</f>
        <v>10733</v>
      </c>
      <c r="BK2049" s="6">
        <f>_xlfn.IFNA(VLOOKUP(Grandview_Inventory[[#This Row],[condition]],Lookups!$H$17:$J$24,3,FALSE),0)</f>
        <v>22342</v>
      </c>
      <c r="BL2049" s="6">
        <f>Grandview_Inventory[[#This Row],[Eff_Age]]*Lookups!$B$14</f>
        <v>-11958.33</v>
      </c>
      <c r="BM2049" s="6">
        <f>Grandview_Inventory[[#This Row],[living_area]]*Lookups!$B$15</f>
        <v>70615.125595999998</v>
      </c>
      <c r="BN2049" s="6">
        <f>Grandview_Inventory[[#This Row],[Fin BSMT]]*Lookups!$B$16</f>
        <v>0</v>
      </c>
      <c r="BO2049" s="6">
        <f>(Grandview_Inventory[[#This Row],[att_gar]]+Grandview_Inventory[[#This Row],[bltin_gar]])*Lookups!$B$17</f>
        <v>0</v>
      </c>
      <c r="BP2049" s="6">
        <f>Grandview_Inventory[[#This Row],[Plumbing Fixtures]]*Lookups!$B$18</f>
        <v>10052.209000000001</v>
      </c>
      <c r="BQ2049" s="6">
        <f>Grandview_Inventory[[#This Row],[detatched_value]]*Lookups!$B$19</f>
        <v>14395.6867</v>
      </c>
      <c r="BR2049" s="6">
        <f>SUM(Grandview_Inventory[[#This Row],[Intercept]:[det_value]])*Grandview_Inventory[[#This Row],[res_pct]]</f>
        <v>272013.64129600005</v>
      </c>
      <c r="BS2049" s="6">
        <f>Grandview_Inventory[[#This Row],[land_value]]</f>
        <v>49167.631333630678</v>
      </c>
      <c r="BT2049" s="4">
        <f>_xlfn.IFNA(VLOOKUP(Grandview_Inventory[[#This Row],[quality]],Lookups!$A$26:$C$33,3,FALSE),1)</f>
        <v>0.98079741117310582</v>
      </c>
      <c r="BU2049" s="4">
        <f>_xlfn.IFNA(VLOOKUP(Grandview_Inventory[[#This Row],[condition]],Lookups!$A$37:$C$44,3,FALSE),1)</f>
        <v>0.97383723671140243</v>
      </c>
      <c r="BV2049" s="4">
        <f>IF(Grandview_Inventory[[#This Row],[bldg_style]]="",1,_xlfn.IFNA(VLOOKUP(Grandview_Inventory[[#This Row],[decade]],Lookups!$F$29:$H$43,3,FALSE),1))</f>
        <v>0.98763256963907298</v>
      </c>
      <c r="BW2049" s="4">
        <f>_xlfn.IFNA(VLOOKUP(Grandview_Inventory[[#This Row],[living_area_range]],Lookups!$F$47:$H$56,3,FALSE),1)</f>
        <v>0.96135087979789358</v>
      </c>
      <c r="BX2049" s="4">
        <f>AVERAGE(Grandview_Inventory[[#This Row],[qual_adj]:[size_adj]])</f>
        <v>0.97590452433036867</v>
      </c>
      <c r="BY2049" s="6">
        <f>IF(Grandview_Inventory[[#This Row],[pre_res]]&lt;0,0,Grandview_Inventory[[#This Row],[pre_res]]*Grandview_Inventory[[#This Row],[overall_adj]])</f>
        <v>265459.34322034445</v>
      </c>
      <c r="BZ2049" s="6">
        <f>(Grandview_Inventory[[#This Row],[sum_land]]-IF(Grandview_Inventory[[#This Row],[no_utilities]]=1,12000,0))/IF(Grandview_Inventory[[#This Row],[unbuildable]]=1,2,1)</f>
        <v>49167.631333630678</v>
      </c>
      <c r="CA204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49">
        <f>ROUND(Grandview_Inventory[[#This Row],[det_value]]*Lookups!$M$28,-2)</f>
        <v>13700</v>
      </c>
      <c r="CC2049">
        <f>IF(ROUND(Grandview_Inventory[[#This Row],[adj_res]]*Lookups!$M$28,-2)&lt;Grandview_Inventory[[#This Row],[min_res]],Grandview_Inventory[[#This Row],[min_res]],ROUND(Grandview_Inventory[[#This Row],[adj_res]]*Lookups!$M$28,-2))</f>
        <v>252200</v>
      </c>
      <c r="CD2049">
        <f>Grandview_Inventory[[#This Row],[final_det]]+Grandview_Inventory[[#This Row],[final_res]]</f>
        <v>265900</v>
      </c>
      <c r="CE2049">
        <f>Grandview_Inventory[[#This Row],[final_land]]+Grandview_Inventory[[#This Row],[final_imp]]+Grandview_Inventory[[#This Row],[crop_value]]</f>
        <v>312600</v>
      </c>
      <c r="CG2049" t="str">
        <f t="shared" si="31"/>
        <v>update valuation set market_land =46700, market_bldg=265900, market_total =312600, market_mdno =401, market_date ='9/10/2023' where link_id = (select link_id from parcel where parcel_year = '2024' and parcel_id = '23092423427');</v>
      </c>
    </row>
    <row r="2050" spans="1:85" x14ac:dyDescent="0.25">
      <c r="A2050">
        <v>23092423428</v>
      </c>
      <c r="B2050">
        <v>0.21</v>
      </c>
      <c r="C2050">
        <v>9124</v>
      </c>
      <c r="D2050" t="s">
        <v>129</v>
      </c>
      <c r="E2050" t="s">
        <v>53</v>
      </c>
      <c r="F2050" t="s">
        <v>53</v>
      </c>
      <c r="G2050">
        <v>4</v>
      </c>
      <c r="H2050" t="s">
        <v>54</v>
      </c>
      <c r="I2050">
        <v>192400</v>
      </c>
      <c r="J2050">
        <v>39300</v>
      </c>
      <c r="K2050">
        <v>0.21</v>
      </c>
      <c r="L2050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50">
        <v>0</v>
      </c>
      <c r="N2050">
        <v>0</v>
      </c>
      <c r="O2050">
        <v>0</v>
      </c>
      <c r="P2050">
        <v>13398.7528</v>
      </c>
      <c r="Q2050">
        <v>63903</v>
      </c>
      <c r="R2050">
        <f>(Grandview_Inventory[[#This Row],[ln_acres]]*Grandview_Inventory[[#This Row],[coeff]])+Grandview_Inventory[[#This Row],[const]]</f>
        <v>42992.266613125081</v>
      </c>
      <c r="S2050" t="s">
        <v>68</v>
      </c>
      <c r="T2050">
        <v>1</v>
      </c>
      <c r="U2050" t="s">
        <v>70</v>
      </c>
      <c r="V2050" t="s">
        <v>67</v>
      </c>
      <c r="W2050">
        <v>0</v>
      </c>
      <c r="X2050">
        <v>0</v>
      </c>
      <c r="Y2050">
        <v>50</v>
      </c>
      <c r="Z2050">
        <v>73</v>
      </c>
      <c r="AA2050">
        <v>80</v>
      </c>
      <c r="AB2050">
        <v>2000</v>
      </c>
      <c r="AC2050">
        <v>1750</v>
      </c>
      <c r="AD2050">
        <v>1350</v>
      </c>
      <c r="AE2050">
        <v>0</v>
      </c>
      <c r="AF2050">
        <v>0</v>
      </c>
      <c r="AG2050">
        <v>400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270</v>
      </c>
      <c r="AN2050">
        <v>0</v>
      </c>
      <c r="AO2050">
        <v>0</v>
      </c>
      <c r="AP2050">
        <v>7</v>
      </c>
      <c r="AQ2050">
        <v>0</v>
      </c>
      <c r="AR2050">
        <v>0</v>
      </c>
      <c r="AS2050" t="s">
        <v>58</v>
      </c>
      <c r="AT2050">
        <v>1</v>
      </c>
      <c r="AU2050" t="s">
        <v>59</v>
      </c>
      <c r="AV2050" t="s">
        <v>60</v>
      </c>
      <c r="AW2050">
        <v>1</v>
      </c>
      <c r="AX2050">
        <v>2</v>
      </c>
      <c r="AY2050">
        <v>0</v>
      </c>
      <c r="AZ2050">
        <v>0</v>
      </c>
      <c r="BA2050">
        <v>100</v>
      </c>
      <c r="BB2050">
        <v>100</v>
      </c>
      <c r="BC2050">
        <v>100</v>
      </c>
      <c r="BD2050">
        <v>100</v>
      </c>
      <c r="BE2050">
        <v>1</v>
      </c>
      <c r="BF2050">
        <v>15000</v>
      </c>
      <c r="BG2050">
        <v>1000</v>
      </c>
      <c r="BH2050" s="6">
        <f>Grandview_Inventory[[#This Row],[land_extract]]*Lookups!$B$3</f>
        <v>49926.8031387023</v>
      </c>
      <c r="BI2050" s="6">
        <f>IF(Grandview_Inventory[[#This Row],[bldg_style]]="",0,Lookups!$B$2)</f>
        <v>155833.95000000001</v>
      </c>
      <c r="BJ2050" s="6">
        <f>_xlfn.IFNA(VLOOKUP(Grandview_Inventory[[#This Row],[quality]],Lookups!$H$2:$J$14,3,FALSE),0)</f>
        <v>10733</v>
      </c>
      <c r="BK2050" s="6">
        <f>_xlfn.IFNA(VLOOKUP(Grandview_Inventory[[#This Row],[condition]],Lookups!$H$17:$J$24,3,FALSE),0)</f>
        <v>22342</v>
      </c>
      <c r="BL2050" s="6">
        <f>Grandview_Inventory[[#This Row],[Eff_Age]]*Lookups!$B$14</f>
        <v>-11958.33</v>
      </c>
      <c r="BM2050" s="6">
        <f>Grandview_Inventory[[#This Row],[living_area]]*Lookups!$B$15</f>
        <v>109166.49275</v>
      </c>
      <c r="BN2050" s="6">
        <f>Grandview_Inventory[[#This Row],[Fin BSMT]]*Lookups!$B$16</f>
        <v>-10839.696</v>
      </c>
      <c r="BO2050" s="6">
        <f>(Grandview_Inventory[[#This Row],[att_gar]]+Grandview_Inventory[[#This Row],[bltin_gar]])*Lookups!$B$17</f>
        <v>0</v>
      </c>
      <c r="BP2050" s="6">
        <f>Grandview_Inventory[[#This Row],[Plumbing Fixtures]]*Lookups!$B$18</f>
        <v>14073.0926</v>
      </c>
      <c r="BQ2050" s="6">
        <f>Grandview_Inventory[[#This Row],[detatched_value]]*Lookups!$B$19</f>
        <v>0</v>
      </c>
      <c r="BR2050" s="6">
        <f>SUM(Grandview_Inventory[[#This Row],[Intercept]:[det_value]])*Grandview_Inventory[[#This Row],[res_pct]]</f>
        <v>289350.50935000001</v>
      </c>
      <c r="BS2050" s="6">
        <f>Grandview_Inventory[[#This Row],[land_value]]</f>
        <v>49926.8031387023</v>
      </c>
      <c r="BT2050" s="4">
        <f>_xlfn.IFNA(VLOOKUP(Grandview_Inventory[[#This Row],[quality]],Lookups!$A$26:$C$33,3,FALSE),1)</f>
        <v>0.98079741117310582</v>
      </c>
      <c r="BU2050" s="4">
        <f>_xlfn.IFNA(VLOOKUP(Grandview_Inventory[[#This Row],[condition]],Lookups!$A$37:$C$44,3,FALSE),1)</f>
        <v>0.97383723671140243</v>
      </c>
      <c r="BV2050" s="4">
        <f>IF(Grandview_Inventory[[#This Row],[bldg_style]]="",1,_xlfn.IFNA(VLOOKUP(Grandview_Inventory[[#This Row],[decade]],Lookups!$F$29:$H$43,3,FALSE),1))</f>
        <v>0.98763256963907298</v>
      </c>
      <c r="BW2050" s="4">
        <f>_xlfn.IFNA(VLOOKUP(Grandview_Inventory[[#This Row],[living_area_range]],Lookups!$F$47:$H$56,3,FALSE),1)</f>
        <v>0.96120133463014379</v>
      </c>
      <c r="BX2050" s="4">
        <f>AVERAGE(Grandview_Inventory[[#This Row],[qual_adj]:[size_adj]])</f>
        <v>0.97586713803843117</v>
      </c>
      <c r="BY2050" s="6">
        <f>IF(Grandview_Inventory[[#This Row],[pre_res]]&lt;0,0,Grandview_Inventory[[#This Row],[pre_res]]*Grandview_Inventory[[#This Row],[overall_adj]])</f>
        <v>282367.65344934684</v>
      </c>
      <c r="BZ2050" s="6">
        <f>(Grandview_Inventory[[#This Row],[sum_land]]-IF(Grandview_Inventory[[#This Row],[no_utilities]]=1,12000,0))/IF(Grandview_Inventory[[#This Row],[unbuildable]]=1,2,1)</f>
        <v>49926.8031387023</v>
      </c>
      <c r="CA2050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50">
        <f>ROUND(Grandview_Inventory[[#This Row],[det_value]]*Lookups!$M$28,-2)</f>
        <v>0</v>
      </c>
      <c r="CC2050">
        <f>IF(ROUND(Grandview_Inventory[[#This Row],[adj_res]]*Lookups!$M$28,-2)&lt;Grandview_Inventory[[#This Row],[min_res]],Grandview_Inventory[[#This Row],[min_res]],ROUND(Grandview_Inventory[[#This Row],[adj_res]]*Lookups!$M$28,-2))</f>
        <v>268200</v>
      </c>
      <c r="CD2050">
        <f>Grandview_Inventory[[#This Row],[final_det]]+Grandview_Inventory[[#This Row],[final_res]]</f>
        <v>268200</v>
      </c>
      <c r="CE2050">
        <f>Grandview_Inventory[[#This Row],[final_land]]+Grandview_Inventory[[#This Row],[final_imp]]+Grandview_Inventory[[#This Row],[crop_value]]</f>
        <v>315600</v>
      </c>
      <c r="CG2050" t="str">
        <f t="shared" si="31"/>
        <v>update valuation set market_land =47400, market_bldg=268200, market_total =315600, market_mdno =401, market_date ='9/10/2023' where link_id = (select link_id from parcel where parcel_year = '2024' and parcel_id = '23092423428');</v>
      </c>
    </row>
    <row r="2051" spans="1:85" x14ac:dyDescent="0.25">
      <c r="A2051">
        <v>23092423429</v>
      </c>
      <c r="B2051">
        <v>0.19</v>
      </c>
      <c r="C2051">
        <v>8414</v>
      </c>
      <c r="D2051" t="s">
        <v>129</v>
      </c>
      <c r="E2051" t="s">
        <v>53</v>
      </c>
      <c r="F2051" t="s">
        <v>53</v>
      </c>
      <c r="G2051">
        <v>4</v>
      </c>
      <c r="H2051" t="s">
        <v>54</v>
      </c>
      <c r="I2051">
        <v>122000</v>
      </c>
      <c r="J2051">
        <v>43500</v>
      </c>
      <c r="K2051">
        <v>0.19</v>
      </c>
      <c r="L205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051">
        <v>0</v>
      </c>
      <c r="N2051">
        <v>0</v>
      </c>
      <c r="O2051">
        <v>0</v>
      </c>
      <c r="P2051">
        <v>13398.7528</v>
      </c>
      <c r="Q2051">
        <v>63903</v>
      </c>
      <c r="R2051">
        <f>(Grandview_Inventory[[#This Row],[ln_acres]]*Grandview_Inventory[[#This Row],[coeff]])+Grandview_Inventory[[#This Row],[const]]</f>
        <v>41651.273092551026</v>
      </c>
      <c r="S2051" t="s">
        <v>68</v>
      </c>
      <c r="T2051">
        <v>1</v>
      </c>
      <c r="U2051" t="s">
        <v>65</v>
      </c>
      <c r="V2051" t="s">
        <v>69</v>
      </c>
      <c r="W2051">
        <v>0</v>
      </c>
      <c r="X2051">
        <v>0</v>
      </c>
      <c r="Y2051">
        <v>50</v>
      </c>
      <c r="Z2051">
        <v>73</v>
      </c>
      <c r="AA2051">
        <v>80</v>
      </c>
      <c r="AB2051">
        <v>1500</v>
      </c>
      <c r="AC2051">
        <v>1047</v>
      </c>
      <c r="AD2051">
        <v>1047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276</v>
      </c>
      <c r="AN2051">
        <v>0</v>
      </c>
      <c r="AO2051">
        <v>276</v>
      </c>
      <c r="AP2051">
        <v>5</v>
      </c>
      <c r="AQ2051">
        <v>0</v>
      </c>
      <c r="AR2051">
        <v>0</v>
      </c>
      <c r="AS2051" t="s">
        <v>58</v>
      </c>
      <c r="AT2051">
        <v>1</v>
      </c>
      <c r="AU2051" t="s">
        <v>63</v>
      </c>
      <c r="AV2051" t="s">
        <v>64</v>
      </c>
      <c r="AW2051">
        <v>1</v>
      </c>
      <c r="AX2051">
        <v>3</v>
      </c>
      <c r="AY2051">
        <v>0</v>
      </c>
      <c r="AZ2051">
        <v>0</v>
      </c>
      <c r="BA2051">
        <v>100</v>
      </c>
      <c r="BB2051">
        <v>100</v>
      </c>
      <c r="BC2051">
        <v>100</v>
      </c>
      <c r="BD2051">
        <v>100</v>
      </c>
      <c r="BE2051">
        <v>1</v>
      </c>
      <c r="BF2051">
        <v>15000</v>
      </c>
      <c r="BG2051">
        <v>1000</v>
      </c>
      <c r="BH2051" s="6">
        <f>Grandview_Inventory[[#This Row],[land_extract]]*Lookups!$B$3</f>
        <v>48369.510983942157</v>
      </c>
      <c r="BI2051" s="6">
        <f>IF(Grandview_Inventory[[#This Row],[bldg_style]]="",0,Lookups!$B$2)</f>
        <v>155833.95000000001</v>
      </c>
      <c r="BJ2051" s="6">
        <f>_xlfn.IFNA(VLOOKUP(Grandview_Inventory[[#This Row],[quality]],Lookups!$H$2:$J$14,3,FALSE),0)</f>
        <v>2251</v>
      </c>
      <c r="BK2051" s="6">
        <f>_xlfn.IFNA(VLOOKUP(Grandview_Inventory[[#This Row],[condition]],Lookups!$H$17:$J$24,3,FALSE),0)</f>
        <v>-4503</v>
      </c>
      <c r="BL2051" s="6">
        <f>Grandview_Inventory[[#This Row],[Eff_Age]]*Lookups!$B$14</f>
        <v>-11958.33</v>
      </c>
      <c r="BM2051" s="6">
        <f>Grandview_Inventory[[#This Row],[living_area]]*Lookups!$B$15</f>
        <v>65312.753090999999</v>
      </c>
      <c r="BN2051" s="6">
        <f>Grandview_Inventory[[#This Row],[Fin BSMT]]*Lookups!$B$16</f>
        <v>0</v>
      </c>
      <c r="BO2051" s="6">
        <f>(Grandview_Inventory[[#This Row],[att_gar]]+Grandview_Inventory[[#This Row],[bltin_gar]])*Lookups!$B$17</f>
        <v>0</v>
      </c>
      <c r="BP2051" s="6">
        <f>Grandview_Inventory[[#This Row],[Plumbing Fixtures]]*Lookups!$B$18</f>
        <v>10052.209000000001</v>
      </c>
      <c r="BQ2051" s="6">
        <f>Grandview_Inventory[[#This Row],[detatched_value]]*Lookups!$B$19</f>
        <v>0</v>
      </c>
      <c r="BR2051" s="6">
        <f>SUM(Grandview_Inventory[[#This Row],[Intercept]:[det_value]])*Grandview_Inventory[[#This Row],[res_pct]]</f>
        <v>216988.58209100002</v>
      </c>
      <c r="BS2051" s="6">
        <f>Grandview_Inventory[[#This Row],[land_value]]</f>
        <v>48369.510983942157</v>
      </c>
      <c r="BT2051" s="4">
        <f>_xlfn.IFNA(VLOOKUP(Grandview_Inventory[[#This Row],[quality]],Lookups!$A$26:$C$33,3,FALSE),1)</f>
        <v>0.98763855981004833</v>
      </c>
      <c r="BU2051" s="4">
        <f>_xlfn.IFNA(VLOOKUP(Grandview_Inventory[[#This Row],[condition]],Lookups!$A$37:$C$44,3,FALSE),1)</f>
        <v>0.96469275950863709</v>
      </c>
      <c r="BV2051" s="4">
        <f>IF(Grandview_Inventory[[#This Row],[bldg_style]]="",1,_xlfn.IFNA(VLOOKUP(Grandview_Inventory[[#This Row],[decade]],Lookups!$F$29:$H$43,3,FALSE),1))</f>
        <v>0.98763256963907298</v>
      </c>
      <c r="BW2051" s="4">
        <f>_xlfn.IFNA(VLOOKUP(Grandview_Inventory[[#This Row],[living_area_range]],Lookups!$F$47:$H$56,3,FALSE),1)</f>
        <v>0.96135087979789358</v>
      </c>
      <c r="BX2051" s="4">
        <f>AVERAGE(Grandview_Inventory[[#This Row],[qual_adj]:[size_adj]])</f>
        <v>0.97532869218891294</v>
      </c>
      <c r="BY2051" s="6">
        <f>IF(Grandview_Inventory[[#This Row],[pre_res]]&lt;0,0,Grandview_Inventory[[#This Row],[pre_res]]*Grandview_Inventory[[#This Row],[overall_adj]])</f>
        <v>211635.18999074164</v>
      </c>
      <c r="BZ2051" s="6">
        <f>(Grandview_Inventory[[#This Row],[sum_land]]-IF(Grandview_Inventory[[#This Row],[no_utilities]]=1,12000,0))/IF(Grandview_Inventory[[#This Row],[unbuildable]]=1,2,1)</f>
        <v>48369.510983942157</v>
      </c>
      <c r="CA205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051">
        <f>ROUND(Grandview_Inventory[[#This Row],[det_value]]*Lookups!$M$28,-2)</f>
        <v>0</v>
      </c>
      <c r="CC2051">
        <f>IF(ROUND(Grandview_Inventory[[#This Row],[adj_res]]*Lookups!$M$28,-2)&lt;Grandview_Inventory[[#This Row],[min_res]],Grandview_Inventory[[#This Row],[min_res]],ROUND(Grandview_Inventory[[#This Row],[adj_res]]*Lookups!$M$28,-2))</f>
        <v>201100</v>
      </c>
      <c r="CD2051">
        <f>Grandview_Inventory[[#This Row],[final_det]]+Grandview_Inventory[[#This Row],[final_res]]</f>
        <v>201100</v>
      </c>
      <c r="CE2051">
        <f>Grandview_Inventory[[#This Row],[final_land]]+Grandview_Inventory[[#This Row],[final_imp]]+Grandview_Inventory[[#This Row],[crop_value]]</f>
        <v>247100</v>
      </c>
      <c r="CG2051" t="str">
        <f t="shared" ref="CG2051:CG2114" si="32">"update valuation set market_land ="&amp;CA2051&amp;", market_bldg="&amp;CD2051&amp;", market_total ="&amp;CE2051&amp;", market_mdno ="&amp;$CG$1&amp;", market_date ='"&amp;TEXT($CH$1,"m/d/yyyy")&amp;"' where link_id = (select link_id from parcel where parcel_year = '2024' and parcel_id = '"&amp;A2051&amp;"');"</f>
        <v>update valuation set market_land =46000, market_bldg=201100, market_total =247100, market_mdno =401, market_date ='9/10/2023' where link_id = (select link_id from parcel where parcel_year = '2024' and parcel_id = '23092423429');</v>
      </c>
    </row>
    <row r="2052" spans="1:85" x14ac:dyDescent="0.25">
      <c r="A2052">
        <v>23092423430</v>
      </c>
      <c r="B2052">
        <v>0.22</v>
      </c>
      <c r="C2052">
        <v>9681</v>
      </c>
      <c r="D2052" t="s">
        <v>129</v>
      </c>
      <c r="E2052" t="s">
        <v>53</v>
      </c>
      <c r="F2052" t="s">
        <v>53</v>
      </c>
      <c r="G2052">
        <v>4</v>
      </c>
      <c r="H2052" t="s">
        <v>54</v>
      </c>
      <c r="I2052">
        <v>209400</v>
      </c>
      <c r="J2052">
        <v>39500</v>
      </c>
      <c r="K2052">
        <v>0.22</v>
      </c>
      <c r="L205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052">
        <v>0</v>
      </c>
      <c r="N2052">
        <v>0</v>
      </c>
      <c r="O2052">
        <v>0</v>
      </c>
      <c r="P2052">
        <v>13398.7528</v>
      </c>
      <c r="Q2052">
        <v>63903</v>
      </c>
      <c r="R2052">
        <f>(Grandview_Inventory[[#This Row],[ln_acres]]*Grandview_Inventory[[#This Row],[coeff]])+Grandview_Inventory[[#This Row],[const]]</f>
        <v>43615.576802869145</v>
      </c>
      <c r="S2052" t="s">
        <v>68</v>
      </c>
      <c r="T2052">
        <v>1</v>
      </c>
      <c r="U2052" t="s">
        <v>70</v>
      </c>
      <c r="V2052" t="s">
        <v>67</v>
      </c>
      <c r="W2052">
        <v>0</v>
      </c>
      <c r="X2052">
        <v>0</v>
      </c>
      <c r="Y2052">
        <v>40</v>
      </c>
      <c r="Z2052">
        <v>73</v>
      </c>
      <c r="AA2052">
        <v>80</v>
      </c>
      <c r="AB2052">
        <v>2000</v>
      </c>
      <c r="AC2052">
        <v>1937</v>
      </c>
      <c r="AD2052">
        <v>1937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300</v>
      </c>
      <c r="AN2052">
        <v>48</v>
      </c>
      <c r="AO2052">
        <v>0</v>
      </c>
      <c r="AP2052">
        <v>7</v>
      </c>
      <c r="AQ2052">
        <v>0</v>
      </c>
      <c r="AR2052">
        <v>1</v>
      </c>
      <c r="AS2052" t="s">
        <v>58</v>
      </c>
      <c r="AT2052">
        <v>1</v>
      </c>
      <c r="AU2052" t="s">
        <v>63</v>
      </c>
      <c r="AV2052" t="s">
        <v>64</v>
      </c>
      <c r="AW2052">
        <v>0</v>
      </c>
      <c r="AX2052">
        <v>3</v>
      </c>
      <c r="AY2052">
        <v>0</v>
      </c>
      <c r="AZ2052">
        <v>0</v>
      </c>
      <c r="BA2052">
        <v>100</v>
      </c>
      <c r="BB2052">
        <v>100</v>
      </c>
      <c r="BC2052">
        <v>100</v>
      </c>
      <c r="BD2052">
        <v>100</v>
      </c>
      <c r="BE2052">
        <v>1</v>
      </c>
      <c r="BF2052">
        <v>15000</v>
      </c>
      <c r="BG2052">
        <v>1000</v>
      </c>
      <c r="BH2052" s="6">
        <f>Grandview_Inventory[[#This Row],[land_extract]]*Lookups!$B$3</f>
        <v>50650.651579114572</v>
      </c>
      <c r="BI2052" s="6">
        <f>IF(Grandview_Inventory[[#This Row],[bldg_style]]="",0,Lookups!$B$2)</f>
        <v>155833.95000000001</v>
      </c>
      <c r="BJ2052" s="6">
        <f>_xlfn.IFNA(VLOOKUP(Grandview_Inventory[[#This Row],[quality]],Lookups!$H$2:$J$14,3,FALSE),0)</f>
        <v>10733</v>
      </c>
      <c r="BK2052" s="6">
        <f>_xlfn.IFNA(VLOOKUP(Grandview_Inventory[[#This Row],[condition]],Lookups!$H$17:$J$24,3,FALSE),0)</f>
        <v>22342</v>
      </c>
      <c r="BL2052" s="6">
        <f>Grandview_Inventory[[#This Row],[Eff_Age]]*Lookups!$B$14</f>
        <v>-9566.6639999999989</v>
      </c>
      <c r="BM2052" s="6">
        <f>Grandview_Inventory[[#This Row],[living_area]]*Lookups!$B$15</f>
        <v>120831.71226100001</v>
      </c>
      <c r="BN2052" s="6">
        <f>Grandview_Inventory[[#This Row],[Fin BSMT]]*Lookups!$B$16</f>
        <v>0</v>
      </c>
      <c r="BO2052" s="6">
        <f>(Grandview_Inventory[[#This Row],[att_gar]]+Grandview_Inventory[[#This Row],[bltin_gar]])*Lookups!$B$17</f>
        <v>0</v>
      </c>
      <c r="BP2052" s="6">
        <f>Grandview_Inventory[[#This Row],[Plumbing Fixtures]]*Lookups!$B$18</f>
        <v>14073.0926</v>
      </c>
      <c r="BQ2052" s="6">
        <f>Grandview_Inventory[[#This Row],[detatched_value]]*Lookups!$B$19</f>
        <v>0</v>
      </c>
      <c r="BR2052" s="6">
        <f>SUM(Grandview_Inventory[[#This Row],[Intercept]:[det_value]])*Grandview_Inventory[[#This Row],[res_pct]]</f>
        <v>314247.090861</v>
      </c>
      <c r="BS2052" s="6">
        <f>Grandview_Inventory[[#This Row],[land_value]]</f>
        <v>50650.651579114572</v>
      </c>
      <c r="BT2052" s="4">
        <f>_xlfn.IFNA(VLOOKUP(Grandview_Inventory[[#This Row],[quality]],Lookups!$A$26:$C$33,3,FALSE),1)</f>
        <v>0.98079741117310582</v>
      </c>
      <c r="BU2052" s="4">
        <f>_xlfn.IFNA(VLOOKUP(Grandview_Inventory[[#This Row],[condition]],Lookups!$A$37:$C$44,3,FALSE),1)</f>
        <v>0.97383723671140243</v>
      </c>
      <c r="BV2052" s="4">
        <f>IF(Grandview_Inventory[[#This Row],[bldg_style]]="",1,_xlfn.IFNA(VLOOKUP(Grandview_Inventory[[#This Row],[decade]],Lookups!$F$29:$H$43,3,FALSE),1))</f>
        <v>0.98763256963907298</v>
      </c>
      <c r="BW2052" s="4">
        <f>_xlfn.IFNA(VLOOKUP(Grandview_Inventory[[#This Row],[living_area_range]],Lookups!$F$47:$H$56,3,FALSE),1)</f>
        <v>0.96120133463014379</v>
      </c>
      <c r="BX2052" s="4">
        <f>AVERAGE(Grandview_Inventory[[#This Row],[qual_adj]:[size_adj]])</f>
        <v>0.97586713803843117</v>
      </c>
      <c r="BY2052" s="6">
        <f>IF(Grandview_Inventory[[#This Row],[pre_res]]&lt;0,0,Grandview_Inventory[[#This Row],[pre_res]]*Grandview_Inventory[[#This Row],[overall_adj]])</f>
        <v>306663.40919542691</v>
      </c>
      <c r="BZ2052" s="6">
        <f>(Grandview_Inventory[[#This Row],[sum_land]]-IF(Grandview_Inventory[[#This Row],[no_utilities]]=1,12000,0))/IF(Grandview_Inventory[[#This Row],[unbuildable]]=1,2,1)</f>
        <v>50650.651579114572</v>
      </c>
      <c r="CA205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052">
        <f>ROUND(Grandview_Inventory[[#This Row],[det_value]]*Lookups!$M$28,-2)</f>
        <v>0</v>
      </c>
      <c r="CC2052">
        <f>IF(ROUND(Grandview_Inventory[[#This Row],[adj_res]]*Lookups!$M$28,-2)&lt;Grandview_Inventory[[#This Row],[min_res]],Grandview_Inventory[[#This Row],[min_res]],ROUND(Grandview_Inventory[[#This Row],[adj_res]]*Lookups!$M$28,-2))</f>
        <v>291300</v>
      </c>
      <c r="CD2052">
        <f>Grandview_Inventory[[#This Row],[final_det]]+Grandview_Inventory[[#This Row],[final_res]]</f>
        <v>291300</v>
      </c>
      <c r="CE2052">
        <f>Grandview_Inventory[[#This Row],[final_land]]+Grandview_Inventory[[#This Row],[final_imp]]+Grandview_Inventory[[#This Row],[crop_value]]</f>
        <v>339400</v>
      </c>
      <c r="CG2052" t="str">
        <f t="shared" si="32"/>
        <v>update valuation set market_land =48100, market_bldg=291300, market_total =339400, market_mdno =401, market_date ='9/10/2023' where link_id = (select link_id from parcel where parcel_year = '2024' and parcel_id = '23092423430');</v>
      </c>
    </row>
    <row r="2053" spans="1:85" x14ac:dyDescent="0.25">
      <c r="A2053">
        <v>23092423431</v>
      </c>
      <c r="B2053">
        <v>0.22</v>
      </c>
      <c r="C2053">
        <v>9487</v>
      </c>
      <c r="D2053" t="s">
        <v>129</v>
      </c>
      <c r="E2053" t="s">
        <v>53</v>
      </c>
      <c r="F2053" t="s">
        <v>53</v>
      </c>
      <c r="G2053">
        <v>4</v>
      </c>
      <c r="H2053" t="s">
        <v>54</v>
      </c>
      <c r="I2053">
        <v>151100</v>
      </c>
      <c r="J2053">
        <v>39500</v>
      </c>
      <c r="K2053">
        <v>0.22</v>
      </c>
      <c r="L205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053">
        <v>0</v>
      </c>
      <c r="N2053">
        <v>0</v>
      </c>
      <c r="O2053">
        <v>0</v>
      </c>
      <c r="P2053">
        <v>13398.7528</v>
      </c>
      <c r="Q2053">
        <v>63903</v>
      </c>
      <c r="R2053">
        <f>(Grandview_Inventory[[#This Row],[ln_acres]]*Grandview_Inventory[[#This Row],[coeff]])+Grandview_Inventory[[#This Row],[const]]</f>
        <v>43615.576802869145</v>
      </c>
      <c r="S2053" t="s">
        <v>68</v>
      </c>
      <c r="T2053">
        <v>1</v>
      </c>
      <c r="U2053" t="s">
        <v>70</v>
      </c>
      <c r="V2053" t="s">
        <v>69</v>
      </c>
      <c r="W2053">
        <v>0</v>
      </c>
      <c r="X2053">
        <v>0</v>
      </c>
      <c r="Y2053">
        <v>50</v>
      </c>
      <c r="Z2053">
        <v>71</v>
      </c>
      <c r="AA2053">
        <v>80</v>
      </c>
      <c r="AB2053">
        <v>1500</v>
      </c>
      <c r="AC2053">
        <v>1309</v>
      </c>
      <c r="AD2053">
        <v>1309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360</v>
      </c>
      <c r="AL2053">
        <v>0</v>
      </c>
      <c r="AM2053">
        <v>0</v>
      </c>
      <c r="AN2053">
        <v>0</v>
      </c>
      <c r="AO2053">
        <v>0</v>
      </c>
      <c r="AP2053">
        <v>8</v>
      </c>
      <c r="AQ2053">
        <v>0</v>
      </c>
      <c r="AR2053">
        <v>0</v>
      </c>
      <c r="AS2053" t="s">
        <v>58</v>
      </c>
      <c r="AT2053">
        <v>1</v>
      </c>
      <c r="AU2053" t="s">
        <v>63</v>
      </c>
      <c r="AV2053" t="s">
        <v>60</v>
      </c>
      <c r="AW2053">
        <v>0</v>
      </c>
      <c r="AX2053">
        <v>3</v>
      </c>
      <c r="AY2053">
        <v>0</v>
      </c>
      <c r="AZ2053">
        <v>0</v>
      </c>
      <c r="BA2053">
        <v>100</v>
      </c>
      <c r="BB2053">
        <v>100</v>
      </c>
      <c r="BC2053">
        <v>100</v>
      </c>
      <c r="BD2053">
        <v>100</v>
      </c>
      <c r="BE2053">
        <v>1</v>
      </c>
      <c r="BF2053">
        <v>15000</v>
      </c>
      <c r="BG2053">
        <v>1000</v>
      </c>
      <c r="BH2053" s="6">
        <f>Grandview_Inventory[[#This Row],[land_extract]]*Lookups!$B$3</f>
        <v>50650.651579114572</v>
      </c>
      <c r="BI2053" s="6">
        <f>IF(Grandview_Inventory[[#This Row],[bldg_style]]="",0,Lookups!$B$2)</f>
        <v>155833.95000000001</v>
      </c>
      <c r="BJ2053" s="6">
        <f>_xlfn.IFNA(VLOOKUP(Grandview_Inventory[[#This Row],[quality]],Lookups!$H$2:$J$14,3,FALSE),0)</f>
        <v>10733</v>
      </c>
      <c r="BK2053" s="6">
        <f>_xlfn.IFNA(VLOOKUP(Grandview_Inventory[[#This Row],[condition]],Lookups!$H$17:$J$24,3,FALSE),0)</f>
        <v>-4503</v>
      </c>
      <c r="BL2053" s="6">
        <f>Grandview_Inventory[[#This Row],[Eff_Age]]*Lookups!$B$14</f>
        <v>-11958.33</v>
      </c>
      <c r="BM2053" s="6">
        <f>Grandview_Inventory[[#This Row],[living_area]]*Lookups!$B$15</f>
        <v>81656.536577000006</v>
      </c>
      <c r="BN2053" s="6">
        <f>Grandview_Inventory[[#This Row],[Fin BSMT]]*Lookups!$B$16</f>
        <v>0</v>
      </c>
      <c r="BO2053" s="6">
        <f>(Grandview_Inventory[[#This Row],[att_gar]]+Grandview_Inventory[[#This Row],[bltin_gar]])*Lookups!$B$17</f>
        <v>0</v>
      </c>
      <c r="BP2053" s="6">
        <f>Grandview_Inventory[[#This Row],[Plumbing Fixtures]]*Lookups!$B$18</f>
        <v>16083.5344</v>
      </c>
      <c r="BQ2053" s="6">
        <f>Grandview_Inventory[[#This Row],[detatched_value]]*Lookups!$B$19</f>
        <v>0</v>
      </c>
      <c r="BR2053" s="6">
        <f>SUM(Grandview_Inventory[[#This Row],[Intercept]:[det_value]])*Grandview_Inventory[[#This Row],[res_pct]]</f>
        <v>247845.69097700005</v>
      </c>
      <c r="BS2053" s="6">
        <f>Grandview_Inventory[[#This Row],[land_value]]</f>
        <v>50650.651579114572</v>
      </c>
      <c r="BT2053" s="4">
        <f>_xlfn.IFNA(VLOOKUP(Grandview_Inventory[[#This Row],[quality]],Lookups!$A$26:$C$33,3,FALSE),1)</f>
        <v>0.98079741117310582</v>
      </c>
      <c r="BU2053" s="4">
        <f>_xlfn.IFNA(VLOOKUP(Grandview_Inventory[[#This Row],[condition]],Lookups!$A$37:$C$44,3,FALSE),1)</f>
        <v>0.96469275950863709</v>
      </c>
      <c r="BV2053" s="4">
        <f>IF(Grandview_Inventory[[#This Row],[bldg_style]]="",1,_xlfn.IFNA(VLOOKUP(Grandview_Inventory[[#This Row],[decade]],Lookups!$F$29:$H$43,3,FALSE),1))</f>
        <v>0.98763256963907298</v>
      </c>
      <c r="BW2053" s="4">
        <f>_xlfn.IFNA(VLOOKUP(Grandview_Inventory[[#This Row],[living_area_range]],Lookups!$F$47:$H$56,3,FALSE),1)</f>
        <v>0.96135087979789358</v>
      </c>
      <c r="BX2053" s="4">
        <f>AVERAGE(Grandview_Inventory[[#This Row],[qual_adj]:[size_adj]])</f>
        <v>0.97361840502967734</v>
      </c>
      <c r="BY2053" s="6">
        <f>IF(Grandview_Inventory[[#This Row],[pre_res]]&lt;0,0,Grandview_Inventory[[#This Row],[pre_res]]*Grandview_Inventory[[#This Row],[overall_adj]])</f>
        <v>241307.12634250507</v>
      </c>
      <c r="BZ2053" s="6">
        <f>(Grandview_Inventory[[#This Row],[sum_land]]-IF(Grandview_Inventory[[#This Row],[no_utilities]]=1,12000,0))/IF(Grandview_Inventory[[#This Row],[unbuildable]]=1,2,1)</f>
        <v>50650.651579114572</v>
      </c>
      <c r="CA205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053">
        <f>ROUND(Grandview_Inventory[[#This Row],[det_value]]*Lookups!$M$28,-2)</f>
        <v>0</v>
      </c>
      <c r="CC2053">
        <f>IF(ROUND(Grandview_Inventory[[#This Row],[adj_res]]*Lookups!$M$28,-2)&lt;Grandview_Inventory[[#This Row],[min_res]],Grandview_Inventory[[#This Row],[min_res]],ROUND(Grandview_Inventory[[#This Row],[adj_res]]*Lookups!$M$28,-2))</f>
        <v>229200</v>
      </c>
      <c r="CD2053">
        <f>Grandview_Inventory[[#This Row],[final_det]]+Grandview_Inventory[[#This Row],[final_res]]</f>
        <v>229200</v>
      </c>
      <c r="CE2053">
        <f>Grandview_Inventory[[#This Row],[final_land]]+Grandview_Inventory[[#This Row],[final_imp]]+Grandview_Inventory[[#This Row],[crop_value]]</f>
        <v>277300</v>
      </c>
      <c r="CG2053" t="str">
        <f t="shared" si="32"/>
        <v>update valuation set market_land =48100, market_bldg=229200, market_total =277300, market_mdno =401, market_date ='9/10/2023' where link_id = (select link_id from parcel where parcel_year = '2024' and parcel_id = '23092423431');</v>
      </c>
    </row>
    <row r="2054" spans="1:85" x14ac:dyDescent="0.25">
      <c r="A2054">
        <v>23092423432</v>
      </c>
      <c r="B2054">
        <v>0.18</v>
      </c>
      <c r="C2054">
        <v>7844</v>
      </c>
      <c r="D2054" t="s">
        <v>129</v>
      </c>
      <c r="E2054" t="s">
        <v>53</v>
      </c>
      <c r="F2054" t="s">
        <v>53</v>
      </c>
      <c r="G2054">
        <v>4</v>
      </c>
      <c r="H2054" t="s">
        <v>54</v>
      </c>
      <c r="I2054">
        <v>115200</v>
      </c>
      <c r="J2054">
        <v>39000</v>
      </c>
      <c r="K2054">
        <v>0.18</v>
      </c>
      <c r="L205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54">
        <v>0</v>
      </c>
      <c r="N2054">
        <v>0</v>
      </c>
      <c r="O2054">
        <v>0</v>
      </c>
      <c r="P2054">
        <v>13398.7528</v>
      </c>
      <c r="Q2054">
        <v>63903</v>
      </c>
      <c r="R2054">
        <f>(Grandview_Inventory[[#This Row],[ln_acres]]*Grandview_Inventory[[#This Row],[coeff]])+Grandview_Inventory[[#This Row],[const]]</f>
        <v>40926.839760167699</v>
      </c>
      <c r="S2054" t="s">
        <v>68</v>
      </c>
      <c r="T2054">
        <v>1</v>
      </c>
      <c r="U2054" t="s">
        <v>70</v>
      </c>
      <c r="V2054" t="s">
        <v>69</v>
      </c>
      <c r="W2054">
        <v>0</v>
      </c>
      <c r="X2054">
        <v>0</v>
      </c>
      <c r="Y2054">
        <v>50</v>
      </c>
      <c r="Z2054">
        <v>71</v>
      </c>
      <c r="AA2054">
        <v>80</v>
      </c>
      <c r="AB2054">
        <v>1000</v>
      </c>
      <c r="AC2054">
        <v>864</v>
      </c>
      <c r="AD2054">
        <v>864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16</v>
      </c>
      <c r="AO2054">
        <v>0</v>
      </c>
      <c r="AP2054">
        <v>5</v>
      </c>
      <c r="AQ2054">
        <v>0</v>
      </c>
      <c r="AR2054">
        <v>0</v>
      </c>
      <c r="AS2054" t="s">
        <v>58</v>
      </c>
      <c r="AT2054">
        <v>1</v>
      </c>
      <c r="AU2054" t="s">
        <v>63</v>
      </c>
      <c r="AV2054" t="s">
        <v>60</v>
      </c>
      <c r="AW2054">
        <v>0</v>
      </c>
      <c r="AX2054">
        <v>2</v>
      </c>
      <c r="AY2054">
        <v>0</v>
      </c>
      <c r="AZ2054">
        <v>0</v>
      </c>
      <c r="BA2054">
        <v>100</v>
      </c>
      <c r="BB2054">
        <v>100</v>
      </c>
      <c r="BC2054">
        <v>100</v>
      </c>
      <c r="BD2054">
        <v>100</v>
      </c>
      <c r="BE2054">
        <v>1</v>
      </c>
      <c r="BF2054">
        <v>15000</v>
      </c>
      <c r="BG2054">
        <v>1000</v>
      </c>
      <c r="BH2054" s="6">
        <f>Grandview_Inventory[[#This Row],[land_extract]]*Lookups!$B$3</f>
        <v>47528.228511015397</v>
      </c>
      <c r="BI2054" s="6">
        <f>IF(Grandview_Inventory[[#This Row],[bldg_style]]="",0,Lookups!$B$2)</f>
        <v>155833.95000000001</v>
      </c>
      <c r="BJ2054" s="6">
        <f>_xlfn.IFNA(VLOOKUP(Grandview_Inventory[[#This Row],[quality]],Lookups!$H$2:$J$14,3,FALSE),0)</f>
        <v>10733</v>
      </c>
      <c r="BK2054" s="6">
        <f>_xlfn.IFNA(VLOOKUP(Grandview_Inventory[[#This Row],[condition]],Lookups!$H$17:$J$24,3,FALSE),0)</f>
        <v>-4503</v>
      </c>
      <c r="BL2054" s="6">
        <f>Grandview_Inventory[[#This Row],[Eff_Age]]*Lookups!$B$14</f>
        <v>-11958.33</v>
      </c>
      <c r="BM2054" s="6">
        <f>Grandview_Inventory[[#This Row],[living_area]]*Lookups!$B$15</f>
        <v>53897.056991999998</v>
      </c>
      <c r="BN2054" s="6">
        <f>Grandview_Inventory[[#This Row],[Fin BSMT]]*Lookups!$B$16</f>
        <v>0</v>
      </c>
      <c r="BO2054" s="6">
        <f>(Grandview_Inventory[[#This Row],[att_gar]]+Grandview_Inventory[[#This Row],[bltin_gar]])*Lookups!$B$17</f>
        <v>0</v>
      </c>
      <c r="BP2054" s="6">
        <f>Grandview_Inventory[[#This Row],[Plumbing Fixtures]]*Lookups!$B$18</f>
        <v>10052.209000000001</v>
      </c>
      <c r="BQ2054" s="6">
        <f>Grandview_Inventory[[#This Row],[detatched_value]]*Lookups!$B$19</f>
        <v>0</v>
      </c>
      <c r="BR2054" s="6">
        <f>SUM(Grandview_Inventory[[#This Row],[Intercept]:[det_value]])*Grandview_Inventory[[#This Row],[res_pct]]</f>
        <v>214054.88599200002</v>
      </c>
      <c r="BS2054" s="6">
        <f>Grandview_Inventory[[#This Row],[land_value]]</f>
        <v>47528.228511015397</v>
      </c>
      <c r="BT2054" s="4">
        <f>_xlfn.IFNA(VLOOKUP(Grandview_Inventory[[#This Row],[quality]],Lookups!$A$26:$C$33,3,FALSE),1)</f>
        <v>0.98079741117310582</v>
      </c>
      <c r="BU2054" s="4">
        <f>_xlfn.IFNA(VLOOKUP(Grandview_Inventory[[#This Row],[condition]],Lookups!$A$37:$C$44,3,FALSE),1)</f>
        <v>0.96469275950863709</v>
      </c>
      <c r="BV2054" s="4">
        <f>IF(Grandview_Inventory[[#This Row],[bldg_style]]="",1,_xlfn.IFNA(VLOOKUP(Grandview_Inventory[[#This Row],[decade]],Lookups!$F$29:$H$43,3,FALSE),1))</f>
        <v>0.98763256963907298</v>
      </c>
      <c r="BW2054" s="4">
        <f>_xlfn.IFNA(VLOOKUP(Grandview_Inventory[[#This Row],[living_area_range]],Lookups!$F$47:$H$56,3,FALSE),1)</f>
        <v>0.94306777142782894</v>
      </c>
      <c r="BX2054" s="4">
        <f>AVERAGE(Grandview_Inventory[[#This Row],[qual_adj]:[size_adj]])</f>
        <v>0.96904762793716115</v>
      </c>
      <c r="BY2054" s="6">
        <f>IF(Grandview_Inventory[[#This Row],[pre_res]]&lt;0,0,Grandview_Inventory[[#This Row],[pre_res]]*Grandview_Inventory[[#This Row],[overall_adj]])</f>
        <v>207429.37951890708</v>
      </c>
      <c r="BZ2054" s="6">
        <f>(Grandview_Inventory[[#This Row],[sum_land]]-IF(Grandview_Inventory[[#This Row],[no_utilities]]=1,12000,0))/IF(Grandview_Inventory[[#This Row],[unbuildable]]=1,2,1)</f>
        <v>47528.228511015397</v>
      </c>
      <c r="CA205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54">
        <f>ROUND(Grandview_Inventory[[#This Row],[det_value]]*Lookups!$M$28,-2)</f>
        <v>0</v>
      </c>
      <c r="CC2054">
        <f>IF(ROUND(Grandview_Inventory[[#This Row],[adj_res]]*Lookups!$M$28,-2)&lt;Grandview_Inventory[[#This Row],[min_res]],Grandview_Inventory[[#This Row],[min_res]],ROUND(Grandview_Inventory[[#This Row],[adj_res]]*Lookups!$M$28,-2))</f>
        <v>197100</v>
      </c>
      <c r="CD2054">
        <f>Grandview_Inventory[[#This Row],[final_det]]+Grandview_Inventory[[#This Row],[final_res]]</f>
        <v>197100</v>
      </c>
      <c r="CE2054">
        <f>Grandview_Inventory[[#This Row],[final_land]]+Grandview_Inventory[[#This Row],[final_imp]]+Grandview_Inventory[[#This Row],[crop_value]]</f>
        <v>242300</v>
      </c>
      <c r="CG2054" t="str">
        <f t="shared" si="32"/>
        <v>update valuation set market_land =45200, market_bldg=197100, market_total =242300, market_mdno =401, market_date ='9/10/2023' where link_id = (select link_id from parcel where parcel_year = '2024' and parcel_id = '23092423432');</v>
      </c>
    </row>
    <row r="2055" spans="1:85" x14ac:dyDescent="0.25">
      <c r="A2055">
        <v>23092423433</v>
      </c>
      <c r="B2055">
        <v>0.21</v>
      </c>
      <c r="C2055">
        <v>9044</v>
      </c>
      <c r="D2055" t="s">
        <v>129</v>
      </c>
      <c r="E2055" t="s">
        <v>53</v>
      </c>
      <c r="F2055" t="s">
        <v>53</v>
      </c>
      <c r="G2055">
        <v>4</v>
      </c>
      <c r="H2055" t="s">
        <v>54</v>
      </c>
      <c r="I2055">
        <v>156300</v>
      </c>
      <c r="J2055">
        <v>39300</v>
      </c>
      <c r="K2055">
        <v>0.21</v>
      </c>
      <c r="L2055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55">
        <v>0</v>
      </c>
      <c r="N2055">
        <v>0</v>
      </c>
      <c r="O2055">
        <v>0</v>
      </c>
      <c r="P2055">
        <v>13398.7528</v>
      </c>
      <c r="Q2055">
        <v>63903</v>
      </c>
      <c r="R2055">
        <f>(Grandview_Inventory[[#This Row],[ln_acres]]*Grandview_Inventory[[#This Row],[coeff]])+Grandview_Inventory[[#This Row],[const]]</f>
        <v>42992.266613125081</v>
      </c>
      <c r="S2055" t="s">
        <v>68</v>
      </c>
      <c r="T2055">
        <v>1</v>
      </c>
      <c r="U2055" t="s">
        <v>70</v>
      </c>
      <c r="V2055" t="s">
        <v>69</v>
      </c>
      <c r="W2055">
        <v>0</v>
      </c>
      <c r="X2055">
        <v>0</v>
      </c>
      <c r="Y2055">
        <v>50</v>
      </c>
      <c r="Z2055">
        <v>73</v>
      </c>
      <c r="AA2055">
        <v>80</v>
      </c>
      <c r="AB2055">
        <v>2000</v>
      </c>
      <c r="AC2055">
        <v>1523</v>
      </c>
      <c r="AD2055">
        <v>1523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8</v>
      </c>
      <c r="AQ2055">
        <v>0</v>
      </c>
      <c r="AR2055">
        <v>0</v>
      </c>
      <c r="AS2055" t="s">
        <v>58</v>
      </c>
      <c r="AT2055">
        <v>1</v>
      </c>
      <c r="AU2055" t="s">
        <v>59</v>
      </c>
      <c r="AV2055" t="s">
        <v>64</v>
      </c>
      <c r="AW2055">
        <v>1</v>
      </c>
      <c r="AX2055">
        <v>4</v>
      </c>
      <c r="AY2055">
        <v>0</v>
      </c>
      <c r="AZ2055">
        <v>0</v>
      </c>
      <c r="BA2055">
        <v>100</v>
      </c>
      <c r="BB2055">
        <v>100</v>
      </c>
      <c r="BC2055">
        <v>100</v>
      </c>
      <c r="BD2055">
        <v>100</v>
      </c>
      <c r="BE2055">
        <v>1</v>
      </c>
      <c r="BF2055">
        <v>15000</v>
      </c>
      <c r="BG2055">
        <v>1000</v>
      </c>
      <c r="BH2055" s="6">
        <f>Grandview_Inventory[[#This Row],[land_extract]]*Lookups!$B$3</f>
        <v>49926.8031387023</v>
      </c>
      <c r="BI2055" s="6">
        <f>IF(Grandview_Inventory[[#This Row],[bldg_style]]="",0,Lookups!$B$2)</f>
        <v>155833.95000000001</v>
      </c>
      <c r="BJ2055" s="6">
        <f>_xlfn.IFNA(VLOOKUP(Grandview_Inventory[[#This Row],[quality]],Lookups!$H$2:$J$14,3,FALSE),0)</f>
        <v>10733</v>
      </c>
      <c r="BK2055" s="6">
        <f>_xlfn.IFNA(VLOOKUP(Grandview_Inventory[[#This Row],[condition]],Lookups!$H$17:$J$24,3,FALSE),0)</f>
        <v>-4503</v>
      </c>
      <c r="BL2055" s="6">
        <f>Grandview_Inventory[[#This Row],[Eff_Age]]*Lookups!$B$14</f>
        <v>-11958.33</v>
      </c>
      <c r="BM2055" s="6">
        <f>Grandview_Inventory[[#This Row],[living_area]]*Lookups!$B$15</f>
        <v>95006.039119000008</v>
      </c>
      <c r="BN2055" s="6">
        <f>Grandview_Inventory[[#This Row],[Fin BSMT]]*Lookups!$B$16</f>
        <v>0</v>
      </c>
      <c r="BO2055" s="6">
        <f>(Grandview_Inventory[[#This Row],[att_gar]]+Grandview_Inventory[[#This Row],[bltin_gar]])*Lookups!$B$17</f>
        <v>0</v>
      </c>
      <c r="BP2055" s="6">
        <f>Grandview_Inventory[[#This Row],[Plumbing Fixtures]]*Lookups!$B$18</f>
        <v>16083.5344</v>
      </c>
      <c r="BQ2055" s="6">
        <f>Grandview_Inventory[[#This Row],[detatched_value]]*Lookups!$B$19</f>
        <v>0</v>
      </c>
      <c r="BR2055" s="6">
        <f>SUM(Grandview_Inventory[[#This Row],[Intercept]:[det_value]])*Grandview_Inventory[[#This Row],[res_pct]]</f>
        <v>261195.19351900002</v>
      </c>
      <c r="BS2055" s="6">
        <f>Grandview_Inventory[[#This Row],[land_value]]</f>
        <v>49926.8031387023</v>
      </c>
      <c r="BT2055" s="4">
        <f>_xlfn.IFNA(VLOOKUP(Grandview_Inventory[[#This Row],[quality]],Lookups!$A$26:$C$33,3,FALSE),1)</f>
        <v>0.98079741117310582</v>
      </c>
      <c r="BU2055" s="4">
        <f>_xlfn.IFNA(VLOOKUP(Grandview_Inventory[[#This Row],[condition]],Lookups!$A$37:$C$44,3,FALSE),1)</f>
        <v>0.96469275950863709</v>
      </c>
      <c r="BV2055" s="4">
        <f>IF(Grandview_Inventory[[#This Row],[bldg_style]]="",1,_xlfn.IFNA(VLOOKUP(Grandview_Inventory[[#This Row],[decade]],Lookups!$F$29:$H$43,3,FALSE),1))</f>
        <v>0.98763256963907298</v>
      </c>
      <c r="BW2055" s="4">
        <f>_xlfn.IFNA(VLOOKUP(Grandview_Inventory[[#This Row],[living_area_range]],Lookups!$F$47:$H$56,3,FALSE),1)</f>
        <v>0.96120133463014379</v>
      </c>
      <c r="BX2055" s="4">
        <f>AVERAGE(Grandview_Inventory[[#This Row],[qual_adj]:[size_adj]])</f>
        <v>0.97358101873773983</v>
      </c>
      <c r="BY2055" s="6">
        <f>IF(Grandview_Inventory[[#This Row],[pre_res]]&lt;0,0,Grandview_Inventory[[#This Row],[pre_res]]*Grandview_Inventory[[#This Row],[overall_adj]])</f>
        <v>254294.68259562913</v>
      </c>
      <c r="BZ2055" s="6">
        <f>(Grandview_Inventory[[#This Row],[sum_land]]-IF(Grandview_Inventory[[#This Row],[no_utilities]]=1,12000,0))/IF(Grandview_Inventory[[#This Row],[unbuildable]]=1,2,1)</f>
        <v>49926.8031387023</v>
      </c>
      <c r="CA2055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55">
        <f>ROUND(Grandview_Inventory[[#This Row],[det_value]]*Lookups!$M$28,-2)</f>
        <v>0</v>
      </c>
      <c r="CC2055">
        <f>IF(ROUND(Grandview_Inventory[[#This Row],[adj_res]]*Lookups!$M$28,-2)&lt;Grandview_Inventory[[#This Row],[min_res]],Grandview_Inventory[[#This Row],[min_res]],ROUND(Grandview_Inventory[[#This Row],[adj_res]]*Lookups!$M$28,-2))</f>
        <v>241600</v>
      </c>
      <c r="CD2055">
        <f>Grandview_Inventory[[#This Row],[final_det]]+Grandview_Inventory[[#This Row],[final_res]]</f>
        <v>241600</v>
      </c>
      <c r="CE2055">
        <f>Grandview_Inventory[[#This Row],[final_land]]+Grandview_Inventory[[#This Row],[final_imp]]+Grandview_Inventory[[#This Row],[crop_value]]</f>
        <v>289000</v>
      </c>
      <c r="CG2055" t="str">
        <f t="shared" si="32"/>
        <v>update valuation set market_land =47400, market_bldg=241600, market_total =289000, market_mdno =401, market_date ='9/10/2023' where link_id = (select link_id from parcel where parcel_year = '2024' and parcel_id = '23092423433');</v>
      </c>
    </row>
    <row r="2056" spans="1:85" x14ac:dyDescent="0.25">
      <c r="A2056">
        <v>23092423434</v>
      </c>
      <c r="B2056">
        <v>0.2</v>
      </c>
      <c r="C2056">
        <v>8859</v>
      </c>
      <c r="D2056" t="s">
        <v>129</v>
      </c>
      <c r="E2056" t="s">
        <v>53</v>
      </c>
      <c r="F2056" t="s">
        <v>53</v>
      </c>
      <c r="G2056">
        <v>4</v>
      </c>
      <c r="H2056" t="s">
        <v>54</v>
      </c>
      <c r="I2056">
        <v>115300</v>
      </c>
      <c r="J2056">
        <v>39300</v>
      </c>
      <c r="K2056">
        <v>0.2</v>
      </c>
      <c r="L205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56">
        <v>0</v>
      </c>
      <c r="N2056">
        <v>0</v>
      </c>
      <c r="O2056">
        <v>0</v>
      </c>
      <c r="P2056">
        <v>13398.7528</v>
      </c>
      <c r="Q2056">
        <v>63903</v>
      </c>
      <c r="R2056">
        <f>(Grandview_Inventory[[#This Row],[ln_acres]]*Grandview_Inventory[[#This Row],[coeff]])+Grandview_Inventory[[#This Row],[const]]</f>
        <v>42338.539264347448</v>
      </c>
      <c r="S2056" t="s">
        <v>61</v>
      </c>
      <c r="T2056">
        <v>1</v>
      </c>
      <c r="U2056" t="s">
        <v>70</v>
      </c>
      <c r="V2056" t="s">
        <v>69</v>
      </c>
      <c r="W2056">
        <v>0</v>
      </c>
      <c r="X2056">
        <v>0</v>
      </c>
      <c r="Y2056">
        <v>50</v>
      </c>
      <c r="Z2056">
        <v>73</v>
      </c>
      <c r="AA2056">
        <v>80</v>
      </c>
      <c r="AB2056">
        <v>1000</v>
      </c>
      <c r="AC2056">
        <v>877</v>
      </c>
      <c r="AD2056">
        <v>877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32</v>
      </c>
      <c r="AO2056">
        <v>0</v>
      </c>
      <c r="AP2056">
        <v>5</v>
      </c>
      <c r="AQ2056">
        <v>0</v>
      </c>
      <c r="AR2056">
        <v>0</v>
      </c>
      <c r="AS2056" t="s">
        <v>58</v>
      </c>
      <c r="AT2056">
        <v>1</v>
      </c>
      <c r="AU2056" t="s">
        <v>63</v>
      </c>
      <c r="AV2056" t="s">
        <v>64</v>
      </c>
      <c r="AW2056">
        <v>0</v>
      </c>
      <c r="AX2056">
        <v>3</v>
      </c>
      <c r="AY2056">
        <v>0</v>
      </c>
      <c r="AZ2056">
        <v>0</v>
      </c>
      <c r="BA2056">
        <v>100</v>
      </c>
      <c r="BB2056">
        <v>100</v>
      </c>
      <c r="BC2056">
        <v>100</v>
      </c>
      <c r="BD2056">
        <v>100</v>
      </c>
      <c r="BE2056">
        <v>1</v>
      </c>
      <c r="BF2056">
        <v>15000</v>
      </c>
      <c r="BG2056">
        <v>1000</v>
      </c>
      <c r="BH2056" s="6">
        <f>Grandview_Inventory[[#This Row],[land_extract]]*Lookups!$B$3</f>
        <v>49167.631333630678</v>
      </c>
      <c r="BI2056" s="6">
        <f>IF(Grandview_Inventory[[#This Row],[bldg_style]]="",0,Lookups!$B$2)</f>
        <v>155833.95000000001</v>
      </c>
      <c r="BJ2056" s="6">
        <f>_xlfn.IFNA(VLOOKUP(Grandview_Inventory[[#This Row],[quality]],Lookups!$H$2:$J$14,3,FALSE),0)</f>
        <v>10733</v>
      </c>
      <c r="BK2056" s="6">
        <f>_xlfn.IFNA(VLOOKUP(Grandview_Inventory[[#This Row],[condition]],Lookups!$H$17:$J$24,3,FALSE),0)</f>
        <v>-4503</v>
      </c>
      <c r="BL2056" s="6">
        <f>Grandview_Inventory[[#This Row],[Eff_Age]]*Lookups!$B$14</f>
        <v>-11958.33</v>
      </c>
      <c r="BM2056" s="6">
        <f>Grandview_Inventory[[#This Row],[living_area]]*Lookups!$B$15</f>
        <v>54708.008081</v>
      </c>
      <c r="BN2056" s="6">
        <f>Grandview_Inventory[[#This Row],[Fin BSMT]]*Lookups!$B$16</f>
        <v>0</v>
      </c>
      <c r="BO2056" s="6">
        <f>(Grandview_Inventory[[#This Row],[att_gar]]+Grandview_Inventory[[#This Row],[bltin_gar]])*Lookups!$B$17</f>
        <v>0</v>
      </c>
      <c r="BP2056" s="6">
        <f>Grandview_Inventory[[#This Row],[Plumbing Fixtures]]*Lookups!$B$18</f>
        <v>10052.209000000001</v>
      </c>
      <c r="BQ2056" s="6">
        <f>Grandview_Inventory[[#This Row],[detatched_value]]*Lookups!$B$19</f>
        <v>0</v>
      </c>
      <c r="BR2056" s="6">
        <f>SUM(Grandview_Inventory[[#This Row],[Intercept]:[det_value]])*Grandview_Inventory[[#This Row],[res_pct]]</f>
        <v>214865.83708100003</v>
      </c>
      <c r="BS2056" s="6">
        <f>Grandview_Inventory[[#This Row],[land_value]]</f>
        <v>49167.631333630678</v>
      </c>
      <c r="BT2056" s="4">
        <f>_xlfn.IFNA(VLOOKUP(Grandview_Inventory[[#This Row],[quality]],Lookups!$A$26:$C$33,3,FALSE),1)</f>
        <v>0.98079741117310582</v>
      </c>
      <c r="BU2056" s="4">
        <f>_xlfn.IFNA(VLOOKUP(Grandview_Inventory[[#This Row],[condition]],Lookups!$A$37:$C$44,3,FALSE),1)</f>
        <v>0.96469275950863709</v>
      </c>
      <c r="BV2056" s="4">
        <f>IF(Grandview_Inventory[[#This Row],[bldg_style]]="",1,_xlfn.IFNA(VLOOKUP(Grandview_Inventory[[#This Row],[decade]],Lookups!$F$29:$H$43,3,FALSE),1))</f>
        <v>0.98763256963907298</v>
      </c>
      <c r="BW2056" s="4">
        <f>_xlfn.IFNA(VLOOKUP(Grandview_Inventory[[#This Row],[living_area_range]],Lookups!$F$47:$H$56,3,FALSE),1)</f>
        <v>0.94306777142782894</v>
      </c>
      <c r="BX2056" s="4">
        <f>AVERAGE(Grandview_Inventory[[#This Row],[qual_adj]:[size_adj]])</f>
        <v>0.96904762793716115</v>
      </c>
      <c r="BY2056" s="6">
        <f>IF(Grandview_Inventory[[#This Row],[pre_res]]&lt;0,0,Grandview_Inventory[[#This Row],[pre_res]]*Grandview_Inventory[[#This Row],[overall_adj]])</f>
        <v>208215.2297480756</v>
      </c>
      <c r="BZ2056" s="6">
        <f>(Grandview_Inventory[[#This Row],[sum_land]]-IF(Grandview_Inventory[[#This Row],[no_utilities]]=1,12000,0))/IF(Grandview_Inventory[[#This Row],[unbuildable]]=1,2,1)</f>
        <v>49167.631333630678</v>
      </c>
      <c r="CA205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56">
        <f>ROUND(Grandview_Inventory[[#This Row],[det_value]]*Lookups!$M$28,-2)</f>
        <v>0</v>
      </c>
      <c r="CC2056">
        <f>IF(ROUND(Grandview_Inventory[[#This Row],[adj_res]]*Lookups!$M$28,-2)&lt;Grandview_Inventory[[#This Row],[min_res]],Grandview_Inventory[[#This Row],[min_res]],ROUND(Grandview_Inventory[[#This Row],[adj_res]]*Lookups!$M$28,-2))</f>
        <v>197800</v>
      </c>
      <c r="CD2056">
        <f>Grandview_Inventory[[#This Row],[final_det]]+Grandview_Inventory[[#This Row],[final_res]]</f>
        <v>197800</v>
      </c>
      <c r="CE2056">
        <f>Grandview_Inventory[[#This Row],[final_land]]+Grandview_Inventory[[#This Row],[final_imp]]+Grandview_Inventory[[#This Row],[crop_value]]</f>
        <v>244500</v>
      </c>
      <c r="CG2056" t="str">
        <f t="shared" si="32"/>
        <v>update valuation set market_land =46700, market_bldg=197800, market_total =244500, market_mdno =401, market_date ='9/10/2023' where link_id = (select link_id from parcel where parcel_year = '2024' and parcel_id = '23092423434');</v>
      </c>
    </row>
    <row r="2057" spans="1:85" x14ac:dyDescent="0.25">
      <c r="A2057">
        <v>23092423435</v>
      </c>
      <c r="B2057">
        <v>0.2</v>
      </c>
      <c r="C2057">
        <v>8675</v>
      </c>
      <c r="D2057" t="s">
        <v>129</v>
      </c>
      <c r="E2057" t="s">
        <v>53</v>
      </c>
      <c r="F2057" t="s">
        <v>53</v>
      </c>
      <c r="G2057">
        <v>4</v>
      </c>
      <c r="H2057" t="s">
        <v>54</v>
      </c>
      <c r="I2057">
        <v>108500</v>
      </c>
      <c r="J2057">
        <v>39300</v>
      </c>
      <c r="K2057">
        <v>0.2</v>
      </c>
      <c r="L205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57">
        <v>0</v>
      </c>
      <c r="N2057">
        <v>0</v>
      </c>
      <c r="O2057">
        <v>0</v>
      </c>
      <c r="P2057">
        <v>13398.7528</v>
      </c>
      <c r="Q2057">
        <v>63903</v>
      </c>
      <c r="R2057">
        <f>(Grandview_Inventory[[#This Row],[ln_acres]]*Grandview_Inventory[[#This Row],[coeff]])+Grandview_Inventory[[#This Row],[const]]</f>
        <v>42338.539264347448</v>
      </c>
      <c r="S2057" t="s">
        <v>68</v>
      </c>
      <c r="T2057">
        <v>1</v>
      </c>
      <c r="U2057" t="s">
        <v>70</v>
      </c>
      <c r="V2057" t="s">
        <v>69</v>
      </c>
      <c r="W2057">
        <v>0</v>
      </c>
      <c r="X2057">
        <v>0</v>
      </c>
      <c r="Y2057">
        <v>50</v>
      </c>
      <c r="Z2057">
        <v>73</v>
      </c>
      <c r="AA2057">
        <v>80</v>
      </c>
      <c r="AB2057">
        <v>1000</v>
      </c>
      <c r="AC2057">
        <v>748</v>
      </c>
      <c r="AD2057">
        <v>748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216</v>
      </c>
      <c r="AL2057">
        <v>0</v>
      </c>
      <c r="AM2057">
        <v>147</v>
      </c>
      <c r="AN2057">
        <v>0</v>
      </c>
      <c r="AO2057">
        <v>147</v>
      </c>
      <c r="AP2057">
        <v>5</v>
      </c>
      <c r="AQ2057">
        <v>0</v>
      </c>
      <c r="AR2057">
        <v>0</v>
      </c>
      <c r="AS2057" t="s">
        <v>58</v>
      </c>
      <c r="AT2057">
        <v>1</v>
      </c>
      <c r="AU2057" t="s">
        <v>63</v>
      </c>
      <c r="AV2057" t="s">
        <v>64</v>
      </c>
      <c r="AW2057">
        <v>0</v>
      </c>
      <c r="AX2057">
        <v>2</v>
      </c>
      <c r="AY2057">
        <v>0</v>
      </c>
      <c r="AZ2057">
        <v>0</v>
      </c>
      <c r="BA2057">
        <v>100</v>
      </c>
      <c r="BB2057">
        <v>100</v>
      </c>
      <c r="BC2057">
        <v>100</v>
      </c>
      <c r="BD2057">
        <v>100</v>
      </c>
      <c r="BE2057">
        <v>1</v>
      </c>
      <c r="BF2057">
        <v>15000</v>
      </c>
      <c r="BG2057">
        <v>1000</v>
      </c>
      <c r="BH2057" s="6">
        <f>Grandview_Inventory[[#This Row],[land_extract]]*Lookups!$B$3</f>
        <v>49167.631333630678</v>
      </c>
      <c r="BI2057" s="6">
        <f>IF(Grandview_Inventory[[#This Row],[bldg_style]]="",0,Lookups!$B$2)</f>
        <v>155833.95000000001</v>
      </c>
      <c r="BJ2057" s="6">
        <f>_xlfn.IFNA(VLOOKUP(Grandview_Inventory[[#This Row],[quality]],Lookups!$H$2:$J$14,3,FALSE),0)</f>
        <v>10733</v>
      </c>
      <c r="BK2057" s="6">
        <f>_xlfn.IFNA(VLOOKUP(Grandview_Inventory[[#This Row],[condition]],Lookups!$H$17:$J$24,3,FALSE),0)</f>
        <v>-4503</v>
      </c>
      <c r="BL2057" s="6">
        <f>Grandview_Inventory[[#This Row],[Eff_Age]]*Lookups!$B$14</f>
        <v>-11958.33</v>
      </c>
      <c r="BM2057" s="6">
        <f>Grandview_Inventory[[#This Row],[living_area]]*Lookups!$B$15</f>
        <v>46660.878044000005</v>
      </c>
      <c r="BN2057" s="6">
        <f>Grandview_Inventory[[#This Row],[Fin BSMT]]*Lookups!$B$16</f>
        <v>0</v>
      </c>
      <c r="BO2057" s="6">
        <f>(Grandview_Inventory[[#This Row],[att_gar]]+Grandview_Inventory[[#This Row],[bltin_gar]])*Lookups!$B$17</f>
        <v>0</v>
      </c>
      <c r="BP2057" s="6">
        <f>Grandview_Inventory[[#This Row],[Plumbing Fixtures]]*Lookups!$B$18</f>
        <v>10052.209000000001</v>
      </c>
      <c r="BQ2057" s="6">
        <f>Grandview_Inventory[[#This Row],[detatched_value]]*Lookups!$B$19</f>
        <v>0</v>
      </c>
      <c r="BR2057" s="6">
        <f>SUM(Grandview_Inventory[[#This Row],[Intercept]:[det_value]])*Grandview_Inventory[[#This Row],[res_pct]]</f>
        <v>206818.70704400004</v>
      </c>
      <c r="BS2057" s="6">
        <f>Grandview_Inventory[[#This Row],[land_value]]</f>
        <v>49167.631333630678</v>
      </c>
      <c r="BT2057" s="4">
        <f>_xlfn.IFNA(VLOOKUP(Grandview_Inventory[[#This Row],[quality]],Lookups!$A$26:$C$33,3,FALSE),1)</f>
        <v>0.98079741117310582</v>
      </c>
      <c r="BU2057" s="4">
        <f>_xlfn.IFNA(VLOOKUP(Grandview_Inventory[[#This Row],[condition]],Lookups!$A$37:$C$44,3,FALSE),1)</f>
        <v>0.96469275950863709</v>
      </c>
      <c r="BV2057" s="4">
        <f>IF(Grandview_Inventory[[#This Row],[bldg_style]]="",1,_xlfn.IFNA(VLOOKUP(Grandview_Inventory[[#This Row],[decade]],Lookups!$F$29:$H$43,3,FALSE),1))</f>
        <v>0.98763256963907298</v>
      </c>
      <c r="BW2057" s="4">
        <f>_xlfn.IFNA(VLOOKUP(Grandview_Inventory[[#This Row],[living_area_range]],Lookups!$F$47:$H$56,3,FALSE),1)</f>
        <v>0.94306777142782894</v>
      </c>
      <c r="BX2057" s="4">
        <f>AVERAGE(Grandview_Inventory[[#This Row],[qual_adj]:[size_adj]])</f>
        <v>0.96904762793716115</v>
      </c>
      <c r="BY2057" s="6">
        <f>IF(Grandview_Inventory[[#This Row],[pre_res]]&lt;0,0,Grandview_Inventory[[#This Row],[pre_res]]*Grandview_Inventory[[#This Row],[overall_adj]])</f>
        <v>200417.17747401888</v>
      </c>
      <c r="BZ2057" s="6">
        <f>(Grandview_Inventory[[#This Row],[sum_land]]-IF(Grandview_Inventory[[#This Row],[no_utilities]]=1,12000,0))/IF(Grandview_Inventory[[#This Row],[unbuildable]]=1,2,1)</f>
        <v>49167.631333630678</v>
      </c>
      <c r="CA205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57">
        <f>ROUND(Grandview_Inventory[[#This Row],[det_value]]*Lookups!$M$28,-2)</f>
        <v>0</v>
      </c>
      <c r="CC2057">
        <f>IF(ROUND(Grandview_Inventory[[#This Row],[adj_res]]*Lookups!$M$28,-2)&lt;Grandview_Inventory[[#This Row],[min_res]],Grandview_Inventory[[#This Row],[min_res]],ROUND(Grandview_Inventory[[#This Row],[adj_res]]*Lookups!$M$28,-2))</f>
        <v>190400</v>
      </c>
      <c r="CD2057">
        <f>Grandview_Inventory[[#This Row],[final_det]]+Grandview_Inventory[[#This Row],[final_res]]</f>
        <v>190400</v>
      </c>
      <c r="CE2057">
        <f>Grandview_Inventory[[#This Row],[final_land]]+Grandview_Inventory[[#This Row],[final_imp]]+Grandview_Inventory[[#This Row],[crop_value]]</f>
        <v>237100</v>
      </c>
      <c r="CG2057" t="str">
        <f t="shared" si="32"/>
        <v>update valuation set market_land =46700, market_bldg=190400, market_total =237100, market_mdno =401, market_date ='9/10/2023' where link_id = (select link_id from parcel where parcel_year = '2024' and parcel_id = '23092423435');</v>
      </c>
    </row>
    <row r="2058" spans="1:85" x14ac:dyDescent="0.25">
      <c r="A2058">
        <v>23092423436</v>
      </c>
      <c r="B2058">
        <v>0.2</v>
      </c>
      <c r="C2058">
        <v>8817</v>
      </c>
      <c r="D2058" t="s">
        <v>129</v>
      </c>
      <c r="E2058" t="s">
        <v>53</v>
      </c>
      <c r="F2058" t="s">
        <v>53</v>
      </c>
      <c r="G2058">
        <v>4</v>
      </c>
      <c r="H2058" t="s">
        <v>54</v>
      </c>
      <c r="I2058">
        <v>121100</v>
      </c>
      <c r="J2058">
        <v>43700</v>
      </c>
      <c r="K2058">
        <v>0.2</v>
      </c>
      <c r="L205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58">
        <v>0</v>
      </c>
      <c r="N2058">
        <v>0</v>
      </c>
      <c r="O2058">
        <v>0</v>
      </c>
      <c r="P2058">
        <v>13398.7528</v>
      </c>
      <c r="Q2058">
        <v>63903</v>
      </c>
      <c r="R2058">
        <f>(Grandview_Inventory[[#This Row],[ln_acres]]*Grandview_Inventory[[#This Row],[coeff]])+Grandview_Inventory[[#This Row],[const]]</f>
        <v>42338.539264347448</v>
      </c>
      <c r="S2058" t="s">
        <v>68</v>
      </c>
      <c r="T2058">
        <v>1</v>
      </c>
      <c r="U2058" t="s">
        <v>65</v>
      </c>
      <c r="V2058" t="s">
        <v>69</v>
      </c>
      <c r="W2058">
        <v>0</v>
      </c>
      <c r="X2058">
        <v>0</v>
      </c>
      <c r="Y2058">
        <v>50</v>
      </c>
      <c r="Z2058">
        <v>72</v>
      </c>
      <c r="AA2058">
        <v>80</v>
      </c>
      <c r="AB2058">
        <v>1500</v>
      </c>
      <c r="AC2058">
        <v>1043</v>
      </c>
      <c r="AD2058">
        <v>1043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5</v>
      </c>
      <c r="AQ2058">
        <v>0</v>
      </c>
      <c r="AR2058">
        <v>0</v>
      </c>
      <c r="AS2058" t="s">
        <v>58</v>
      </c>
      <c r="AT2058">
        <v>1</v>
      </c>
      <c r="AU2058" t="s">
        <v>63</v>
      </c>
      <c r="AV2058" t="s">
        <v>64</v>
      </c>
      <c r="AW2058">
        <v>0</v>
      </c>
      <c r="AX2058">
        <v>3</v>
      </c>
      <c r="AY2058">
        <v>0</v>
      </c>
      <c r="AZ2058">
        <v>12900</v>
      </c>
      <c r="BA2058">
        <v>100</v>
      </c>
      <c r="BB2058">
        <v>100</v>
      </c>
      <c r="BC2058">
        <v>100</v>
      </c>
      <c r="BD2058">
        <v>100</v>
      </c>
      <c r="BE2058">
        <v>1</v>
      </c>
      <c r="BF2058">
        <v>15000</v>
      </c>
      <c r="BG2058">
        <v>1000</v>
      </c>
      <c r="BH2058" s="6">
        <f>Grandview_Inventory[[#This Row],[land_extract]]*Lookups!$B$3</f>
        <v>49167.631333630678</v>
      </c>
      <c r="BI2058" s="6">
        <f>IF(Grandview_Inventory[[#This Row],[bldg_style]]="",0,Lookups!$B$2)</f>
        <v>155833.95000000001</v>
      </c>
      <c r="BJ2058" s="6">
        <f>_xlfn.IFNA(VLOOKUP(Grandview_Inventory[[#This Row],[quality]],Lookups!$H$2:$J$14,3,FALSE),0)</f>
        <v>2251</v>
      </c>
      <c r="BK2058" s="6">
        <f>_xlfn.IFNA(VLOOKUP(Grandview_Inventory[[#This Row],[condition]],Lookups!$H$17:$J$24,3,FALSE),0)</f>
        <v>-4503</v>
      </c>
      <c r="BL2058" s="6">
        <f>Grandview_Inventory[[#This Row],[Eff_Age]]*Lookups!$B$14</f>
        <v>-11958.33</v>
      </c>
      <c r="BM2058" s="6">
        <f>Grandview_Inventory[[#This Row],[living_area]]*Lookups!$B$15</f>
        <v>65063.229679000004</v>
      </c>
      <c r="BN2058" s="6">
        <f>Grandview_Inventory[[#This Row],[Fin BSMT]]*Lookups!$B$16</f>
        <v>0</v>
      </c>
      <c r="BO2058" s="6">
        <f>(Grandview_Inventory[[#This Row],[att_gar]]+Grandview_Inventory[[#This Row],[bltin_gar]])*Lookups!$B$17</f>
        <v>0</v>
      </c>
      <c r="BP2058" s="6">
        <f>Grandview_Inventory[[#This Row],[Plumbing Fixtures]]*Lookups!$B$18</f>
        <v>10052.209000000001</v>
      </c>
      <c r="BQ2058" s="6">
        <f>Grandview_Inventory[[#This Row],[detatched_value]]*Lookups!$B$19</f>
        <v>10923.78579</v>
      </c>
      <c r="BR2058" s="6">
        <f>SUM(Grandview_Inventory[[#This Row],[Intercept]:[det_value]])*Grandview_Inventory[[#This Row],[res_pct]]</f>
        <v>227662.84446900003</v>
      </c>
      <c r="BS2058" s="6">
        <f>Grandview_Inventory[[#This Row],[land_value]]</f>
        <v>49167.631333630678</v>
      </c>
      <c r="BT2058" s="4">
        <f>_xlfn.IFNA(VLOOKUP(Grandview_Inventory[[#This Row],[quality]],Lookups!$A$26:$C$33,3,FALSE),1)</f>
        <v>0.98763855981004833</v>
      </c>
      <c r="BU2058" s="4">
        <f>_xlfn.IFNA(VLOOKUP(Grandview_Inventory[[#This Row],[condition]],Lookups!$A$37:$C$44,3,FALSE),1)</f>
        <v>0.96469275950863709</v>
      </c>
      <c r="BV2058" s="4">
        <f>IF(Grandview_Inventory[[#This Row],[bldg_style]]="",1,_xlfn.IFNA(VLOOKUP(Grandview_Inventory[[#This Row],[decade]],Lookups!$F$29:$H$43,3,FALSE),1))</f>
        <v>0.98763256963907298</v>
      </c>
      <c r="BW2058" s="4">
        <f>_xlfn.IFNA(VLOOKUP(Grandview_Inventory[[#This Row],[living_area_range]],Lookups!$F$47:$H$56,3,FALSE),1)</f>
        <v>0.96135087979789358</v>
      </c>
      <c r="BX2058" s="4">
        <f>AVERAGE(Grandview_Inventory[[#This Row],[qual_adj]:[size_adj]])</f>
        <v>0.97532869218891294</v>
      </c>
      <c r="BY2058" s="6">
        <f>IF(Grandview_Inventory[[#This Row],[pre_res]]&lt;0,0,Grandview_Inventory[[#This Row],[pre_res]]*Grandview_Inventory[[#This Row],[overall_adj]])</f>
        <v>222046.10435595768</v>
      </c>
      <c r="BZ2058" s="6">
        <f>(Grandview_Inventory[[#This Row],[sum_land]]-IF(Grandview_Inventory[[#This Row],[no_utilities]]=1,12000,0))/IF(Grandview_Inventory[[#This Row],[unbuildable]]=1,2,1)</f>
        <v>49167.631333630678</v>
      </c>
      <c r="CA205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58">
        <f>ROUND(Grandview_Inventory[[#This Row],[det_value]]*Lookups!$M$28,-2)</f>
        <v>10400</v>
      </c>
      <c r="CC2058">
        <f>IF(ROUND(Grandview_Inventory[[#This Row],[adj_res]]*Lookups!$M$28,-2)&lt;Grandview_Inventory[[#This Row],[min_res]],Grandview_Inventory[[#This Row],[min_res]],ROUND(Grandview_Inventory[[#This Row],[adj_res]]*Lookups!$M$28,-2))</f>
        <v>210900</v>
      </c>
      <c r="CD2058">
        <f>Grandview_Inventory[[#This Row],[final_det]]+Grandview_Inventory[[#This Row],[final_res]]</f>
        <v>221300</v>
      </c>
      <c r="CE2058">
        <f>Grandview_Inventory[[#This Row],[final_land]]+Grandview_Inventory[[#This Row],[final_imp]]+Grandview_Inventory[[#This Row],[crop_value]]</f>
        <v>268000</v>
      </c>
      <c r="CG2058" t="str">
        <f t="shared" si="32"/>
        <v>update valuation set market_land =46700, market_bldg=221300, market_total =268000, market_mdno =401, market_date ='9/10/2023' where link_id = (select link_id from parcel where parcel_year = '2024' and parcel_id = '23092423436');</v>
      </c>
    </row>
    <row r="2059" spans="1:85" x14ac:dyDescent="0.25">
      <c r="A2059">
        <v>23092423437</v>
      </c>
      <c r="B2059">
        <v>0.21</v>
      </c>
      <c r="C2059">
        <v>9250</v>
      </c>
      <c r="D2059" t="s">
        <v>129</v>
      </c>
      <c r="E2059" t="s">
        <v>53</v>
      </c>
      <c r="F2059" t="s">
        <v>53</v>
      </c>
      <c r="G2059">
        <v>4</v>
      </c>
      <c r="H2059" t="s">
        <v>54</v>
      </c>
      <c r="I2059">
        <v>110900</v>
      </c>
      <c r="J2059">
        <v>39500</v>
      </c>
      <c r="K2059">
        <v>0.21</v>
      </c>
      <c r="L205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59">
        <v>0</v>
      </c>
      <c r="N2059">
        <v>0</v>
      </c>
      <c r="O2059">
        <v>0</v>
      </c>
      <c r="P2059">
        <v>13398.7528</v>
      </c>
      <c r="Q2059">
        <v>63903</v>
      </c>
      <c r="R2059">
        <f>(Grandview_Inventory[[#This Row],[ln_acres]]*Grandview_Inventory[[#This Row],[coeff]])+Grandview_Inventory[[#This Row],[const]]</f>
        <v>42992.266613125081</v>
      </c>
      <c r="S2059" t="s">
        <v>68</v>
      </c>
      <c r="T2059">
        <v>1</v>
      </c>
      <c r="U2059" t="s">
        <v>70</v>
      </c>
      <c r="V2059" t="s">
        <v>69</v>
      </c>
      <c r="W2059">
        <v>0</v>
      </c>
      <c r="X2059">
        <v>0</v>
      </c>
      <c r="Y2059">
        <v>50</v>
      </c>
      <c r="Z2059">
        <v>73</v>
      </c>
      <c r="AA2059">
        <v>80</v>
      </c>
      <c r="AB2059">
        <v>1000</v>
      </c>
      <c r="AC2059">
        <v>888</v>
      </c>
      <c r="AD2059">
        <v>888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238</v>
      </c>
      <c r="AN2059">
        <v>0</v>
      </c>
      <c r="AO2059">
        <v>238</v>
      </c>
      <c r="AP2059">
        <v>5</v>
      </c>
      <c r="AQ2059">
        <v>0</v>
      </c>
      <c r="AR2059">
        <v>0</v>
      </c>
      <c r="AS2059" t="s">
        <v>58</v>
      </c>
      <c r="AT2059">
        <v>1</v>
      </c>
      <c r="AU2059" t="s">
        <v>63</v>
      </c>
      <c r="AV2059" t="s">
        <v>64</v>
      </c>
      <c r="AW2059">
        <v>0</v>
      </c>
      <c r="AX2059">
        <v>3</v>
      </c>
      <c r="AY2059">
        <v>0</v>
      </c>
      <c r="AZ2059">
        <v>0</v>
      </c>
      <c r="BA2059">
        <v>100</v>
      </c>
      <c r="BB2059">
        <v>100</v>
      </c>
      <c r="BC2059">
        <v>100</v>
      </c>
      <c r="BD2059">
        <v>100</v>
      </c>
      <c r="BE2059">
        <v>1</v>
      </c>
      <c r="BF2059">
        <v>15000</v>
      </c>
      <c r="BG2059">
        <v>1000</v>
      </c>
      <c r="BH2059" s="6">
        <f>Grandview_Inventory[[#This Row],[land_extract]]*Lookups!$B$3</f>
        <v>49926.8031387023</v>
      </c>
      <c r="BI2059" s="6">
        <f>IF(Grandview_Inventory[[#This Row],[bldg_style]]="",0,Lookups!$B$2)</f>
        <v>155833.95000000001</v>
      </c>
      <c r="BJ2059" s="6">
        <f>_xlfn.IFNA(VLOOKUP(Grandview_Inventory[[#This Row],[quality]],Lookups!$H$2:$J$14,3,FALSE),0)</f>
        <v>10733</v>
      </c>
      <c r="BK2059" s="6">
        <f>_xlfn.IFNA(VLOOKUP(Grandview_Inventory[[#This Row],[condition]],Lookups!$H$17:$J$24,3,FALSE),0)</f>
        <v>-4503</v>
      </c>
      <c r="BL2059" s="6">
        <f>Grandview_Inventory[[#This Row],[Eff_Age]]*Lookups!$B$14</f>
        <v>-11958.33</v>
      </c>
      <c r="BM2059" s="6">
        <f>Grandview_Inventory[[#This Row],[living_area]]*Lookups!$B$15</f>
        <v>55394.197464000004</v>
      </c>
      <c r="BN2059" s="6">
        <f>Grandview_Inventory[[#This Row],[Fin BSMT]]*Lookups!$B$16</f>
        <v>0</v>
      </c>
      <c r="BO2059" s="6">
        <f>(Grandview_Inventory[[#This Row],[att_gar]]+Grandview_Inventory[[#This Row],[bltin_gar]])*Lookups!$B$17</f>
        <v>0</v>
      </c>
      <c r="BP2059" s="6">
        <f>Grandview_Inventory[[#This Row],[Plumbing Fixtures]]*Lookups!$B$18</f>
        <v>10052.209000000001</v>
      </c>
      <c r="BQ2059" s="6">
        <f>Grandview_Inventory[[#This Row],[detatched_value]]*Lookups!$B$19</f>
        <v>0</v>
      </c>
      <c r="BR2059" s="6">
        <f>SUM(Grandview_Inventory[[#This Row],[Intercept]:[det_value]])*Grandview_Inventory[[#This Row],[res_pct]]</f>
        <v>215552.02646400002</v>
      </c>
      <c r="BS2059" s="6">
        <f>Grandview_Inventory[[#This Row],[land_value]]</f>
        <v>49926.8031387023</v>
      </c>
      <c r="BT2059" s="4">
        <f>_xlfn.IFNA(VLOOKUP(Grandview_Inventory[[#This Row],[quality]],Lookups!$A$26:$C$33,3,FALSE),1)</f>
        <v>0.98079741117310582</v>
      </c>
      <c r="BU2059" s="4">
        <f>_xlfn.IFNA(VLOOKUP(Grandview_Inventory[[#This Row],[condition]],Lookups!$A$37:$C$44,3,FALSE),1)</f>
        <v>0.96469275950863709</v>
      </c>
      <c r="BV2059" s="4">
        <f>IF(Grandview_Inventory[[#This Row],[bldg_style]]="",1,_xlfn.IFNA(VLOOKUP(Grandview_Inventory[[#This Row],[decade]],Lookups!$F$29:$H$43,3,FALSE),1))</f>
        <v>0.98763256963907298</v>
      </c>
      <c r="BW2059" s="4">
        <f>_xlfn.IFNA(VLOOKUP(Grandview_Inventory[[#This Row],[living_area_range]],Lookups!$F$47:$H$56,3,FALSE),1)</f>
        <v>0.94306777142782894</v>
      </c>
      <c r="BX2059" s="4">
        <f>AVERAGE(Grandview_Inventory[[#This Row],[qual_adj]:[size_adj]])</f>
        <v>0.96904762793716115</v>
      </c>
      <c r="BY2059" s="6">
        <f>IF(Grandview_Inventory[[#This Row],[pre_res]]&lt;0,0,Grandview_Inventory[[#This Row],[pre_res]]*Grandview_Inventory[[#This Row],[overall_adj]])</f>
        <v>208880.17994198742</v>
      </c>
      <c r="BZ2059" s="6">
        <f>(Grandview_Inventory[[#This Row],[sum_land]]-IF(Grandview_Inventory[[#This Row],[no_utilities]]=1,12000,0))/IF(Grandview_Inventory[[#This Row],[unbuildable]]=1,2,1)</f>
        <v>49926.8031387023</v>
      </c>
      <c r="CA205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59">
        <f>ROUND(Grandview_Inventory[[#This Row],[det_value]]*Lookups!$M$28,-2)</f>
        <v>0</v>
      </c>
      <c r="CC2059">
        <f>IF(ROUND(Grandview_Inventory[[#This Row],[adj_res]]*Lookups!$M$28,-2)&lt;Grandview_Inventory[[#This Row],[min_res]],Grandview_Inventory[[#This Row],[min_res]],ROUND(Grandview_Inventory[[#This Row],[adj_res]]*Lookups!$M$28,-2))</f>
        <v>198400</v>
      </c>
      <c r="CD2059">
        <f>Grandview_Inventory[[#This Row],[final_det]]+Grandview_Inventory[[#This Row],[final_res]]</f>
        <v>198400</v>
      </c>
      <c r="CE2059">
        <f>Grandview_Inventory[[#This Row],[final_land]]+Grandview_Inventory[[#This Row],[final_imp]]+Grandview_Inventory[[#This Row],[crop_value]]</f>
        <v>245800</v>
      </c>
      <c r="CG2059" t="str">
        <f t="shared" si="32"/>
        <v>update valuation set market_land =47400, market_bldg=198400, market_total =245800, market_mdno =401, market_date ='9/10/2023' where link_id = (select link_id from parcel where parcel_year = '2024' and parcel_id = '23092423437');</v>
      </c>
    </row>
    <row r="2060" spans="1:85" x14ac:dyDescent="0.25">
      <c r="A2060">
        <v>23092423438</v>
      </c>
      <c r="B2060">
        <v>0.2</v>
      </c>
      <c r="C2060">
        <v>8606</v>
      </c>
      <c r="D2060" t="s">
        <v>129</v>
      </c>
      <c r="E2060" t="s">
        <v>53</v>
      </c>
      <c r="F2060" t="s">
        <v>53</v>
      </c>
      <c r="G2060">
        <v>4</v>
      </c>
      <c r="H2060" t="s">
        <v>54</v>
      </c>
      <c r="I2060">
        <v>112800</v>
      </c>
      <c r="J2060">
        <v>39300</v>
      </c>
      <c r="K2060">
        <v>0.2</v>
      </c>
      <c r="L206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60">
        <v>0</v>
      </c>
      <c r="N2060">
        <v>0</v>
      </c>
      <c r="O2060">
        <v>0</v>
      </c>
      <c r="P2060">
        <v>13398.7528</v>
      </c>
      <c r="Q2060">
        <v>63903</v>
      </c>
      <c r="R2060">
        <f>(Grandview_Inventory[[#This Row],[ln_acres]]*Grandview_Inventory[[#This Row],[coeff]])+Grandview_Inventory[[#This Row],[const]]</f>
        <v>42338.539264347448</v>
      </c>
      <c r="S2060" t="s">
        <v>68</v>
      </c>
      <c r="T2060">
        <v>1</v>
      </c>
      <c r="U2060" t="s">
        <v>70</v>
      </c>
      <c r="V2060" t="s">
        <v>69</v>
      </c>
      <c r="W2060">
        <v>0</v>
      </c>
      <c r="X2060">
        <v>0</v>
      </c>
      <c r="Y2060">
        <v>50</v>
      </c>
      <c r="Z2060">
        <v>73</v>
      </c>
      <c r="AA2060">
        <v>80</v>
      </c>
      <c r="AB2060">
        <v>1000</v>
      </c>
      <c r="AC2060">
        <v>825</v>
      </c>
      <c r="AD2060">
        <v>825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5</v>
      </c>
      <c r="AQ2060">
        <v>0</v>
      </c>
      <c r="AR2060">
        <v>0</v>
      </c>
      <c r="AS2060" t="s">
        <v>58</v>
      </c>
      <c r="AT2060">
        <v>1</v>
      </c>
      <c r="AU2060" t="s">
        <v>75</v>
      </c>
      <c r="AV2060" t="s">
        <v>60</v>
      </c>
      <c r="AW2060">
        <v>0</v>
      </c>
      <c r="AX2060">
        <v>2</v>
      </c>
      <c r="AY2060">
        <v>0</v>
      </c>
      <c r="AZ2060">
        <v>0</v>
      </c>
      <c r="BA2060">
        <v>100</v>
      </c>
      <c r="BB2060">
        <v>100</v>
      </c>
      <c r="BC2060">
        <v>100</v>
      </c>
      <c r="BD2060">
        <v>100</v>
      </c>
      <c r="BE2060">
        <v>1</v>
      </c>
      <c r="BF2060">
        <v>15000</v>
      </c>
      <c r="BG2060">
        <v>1000</v>
      </c>
      <c r="BH2060" s="6">
        <f>Grandview_Inventory[[#This Row],[land_extract]]*Lookups!$B$3</f>
        <v>49167.631333630678</v>
      </c>
      <c r="BI2060" s="6">
        <f>IF(Grandview_Inventory[[#This Row],[bldg_style]]="",0,Lookups!$B$2)</f>
        <v>155833.95000000001</v>
      </c>
      <c r="BJ2060" s="6">
        <f>_xlfn.IFNA(VLOOKUP(Grandview_Inventory[[#This Row],[quality]],Lookups!$H$2:$J$14,3,FALSE),0)</f>
        <v>10733</v>
      </c>
      <c r="BK2060" s="6">
        <f>_xlfn.IFNA(VLOOKUP(Grandview_Inventory[[#This Row],[condition]],Lookups!$H$17:$J$24,3,FALSE),0)</f>
        <v>-4503</v>
      </c>
      <c r="BL2060" s="6">
        <f>Grandview_Inventory[[#This Row],[Eff_Age]]*Lookups!$B$14</f>
        <v>-11958.33</v>
      </c>
      <c r="BM2060" s="6">
        <f>Grandview_Inventory[[#This Row],[living_area]]*Lookups!$B$15</f>
        <v>51464.203724999999</v>
      </c>
      <c r="BN2060" s="6">
        <f>Grandview_Inventory[[#This Row],[Fin BSMT]]*Lookups!$B$16</f>
        <v>0</v>
      </c>
      <c r="BO2060" s="6">
        <f>(Grandview_Inventory[[#This Row],[att_gar]]+Grandview_Inventory[[#This Row],[bltin_gar]])*Lookups!$B$17</f>
        <v>0</v>
      </c>
      <c r="BP2060" s="6">
        <f>Grandview_Inventory[[#This Row],[Plumbing Fixtures]]*Lookups!$B$18</f>
        <v>10052.209000000001</v>
      </c>
      <c r="BQ2060" s="6">
        <f>Grandview_Inventory[[#This Row],[detatched_value]]*Lookups!$B$19</f>
        <v>0</v>
      </c>
      <c r="BR2060" s="6">
        <f>SUM(Grandview_Inventory[[#This Row],[Intercept]:[det_value]])*Grandview_Inventory[[#This Row],[res_pct]]</f>
        <v>211622.03272500003</v>
      </c>
      <c r="BS2060" s="6">
        <f>Grandview_Inventory[[#This Row],[land_value]]</f>
        <v>49167.631333630678</v>
      </c>
      <c r="BT2060" s="4">
        <f>_xlfn.IFNA(VLOOKUP(Grandview_Inventory[[#This Row],[quality]],Lookups!$A$26:$C$33,3,FALSE),1)</f>
        <v>0.98079741117310582</v>
      </c>
      <c r="BU2060" s="4">
        <f>_xlfn.IFNA(VLOOKUP(Grandview_Inventory[[#This Row],[condition]],Lookups!$A$37:$C$44,3,FALSE),1)</f>
        <v>0.96469275950863709</v>
      </c>
      <c r="BV2060" s="4">
        <f>IF(Grandview_Inventory[[#This Row],[bldg_style]]="",1,_xlfn.IFNA(VLOOKUP(Grandview_Inventory[[#This Row],[decade]],Lookups!$F$29:$H$43,3,FALSE),1))</f>
        <v>0.98763256963907298</v>
      </c>
      <c r="BW2060" s="4">
        <f>_xlfn.IFNA(VLOOKUP(Grandview_Inventory[[#This Row],[living_area_range]],Lookups!$F$47:$H$56,3,FALSE),1)</f>
        <v>0.94306777142782894</v>
      </c>
      <c r="BX2060" s="4">
        <f>AVERAGE(Grandview_Inventory[[#This Row],[qual_adj]:[size_adj]])</f>
        <v>0.96904762793716115</v>
      </c>
      <c r="BY2060" s="6">
        <f>IF(Grandview_Inventory[[#This Row],[pre_res]]&lt;0,0,Grandview_Inventory[[#This Row],[pre_res]]*Grandview_Inventory[[#This Row],[overall_adj]])</f>
        <v>205071.82883140157</v>
      </c>
      <c r="BZ2060" s="6">
        <f>(Grandview_Inventory[[#This Row],[sum_land]]-IF(Grandview_Inventory[[#This Row],[no_utilities]]=1,12000,0))/IF(Grandview_Inventory[[#This Row],[unbuildable]]=1,2,1)</f>
        <v>49167.631333630678</v>
      </c>
      <c r="CA206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60">
        <f>ROUND(Grandview_Inventory[[#This Row],[det_value]]*Lookups!$M$28,-2)</f>
        <v>0</v>
      </c>
      <c r="CC2060">
        <f>IF(ROUND(Grandview_Inventory[[#This Row],[adj_res]]*Lookups!$M$28,-2)&lt;Grandview_Inventory[[#This Row],[min_res]],Grandview_Inventory[[#This Row],[min_res]],ROUND(Grandview_Inventory[[#This Row],[adj_res]]*Lookups!$M$28,-2))</f>
        <v>194800</v>
      </c>
      <c r="CD2060">
        <f>Grandview_Inventory[[#This Row],[final_det]]+Grandview_Inventory[[#This Row],[final_res]]</f>
        <v>194800</v>
      </c>
      <c r="CE2060">
        <f>Grandview_Inventory[[#This Row],[final_land]]+Grandview_Inventory[[#This Row],[final_imp]]+Grandview_Inventory[[#This Row],[crop_value]]</f>
        <v>241500</v>
      </c>
      <c r="CG2060" t="str">
        <f t="shared" si="32"/>
        <v>update valuation set market_land =46700, market_bldg=194800, market_total =241500, market_mdno =401, market_date ='9/10/2023' where link_id = (select link_id from parcel where parcel_year = '2024' and parcel_id = '23092423438');</v>
      </c>
    </row>
    <row r="2061" spans="1:85" x14ac:dyDescent="0.25">
      <c r="A2061">
        <v>23092423439</v>
      </c>
      <c r="B2061">
        <v>0.28999999999999998</v>
      </c>
      <c r="C2061">
        <v>12698</v>
      </c>
      <c r="D2061" t="s">
        <v>129</v>
      </c>
      <c r="E2061" t="s">
        <v>53</v>
      </c>
      <c r="F2061" t="s">
        <v>53</v>
      </c>
      <c r="G2061">
        <v>4</v>
      </c>
      <c r="H2061" t="s">
        <v>54</v>
      </c>
      <c r="I2061">
        <v>163400</v>
      </c>
      <c r="J2061">
        <v>40500</v>
      </c>
      <c r="K2061">
        <v>0.28999999999999998</v>
      </c>
      <c r="L2061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2061">
        <v>0</v>
      </c>
      <c r="N2061">
        <v>0</v>
      </c>
      <c r="O2061">
        <v>0</v>
      </c>
      <c r="P2061">
        <v>13398.7528</v>
      </c>
      <c r="Q2061">
        <v>63903</v>
      </c>
      <c r="R2061">
        <f>(Grandview_Inventory[[#This Row],[ln_acres]]*Grandview_Inventory[[#This Row],[coeff]])+Grandview_Inventory[[#This Row],[const]]</f>
        <v>47317.027506475133</v>
      </c>
      <c r="S2061" t="s">
        <v>61</v>
      </c>
      <c r="T2061">
        <v>1</v>
      </c>
      <c r="U2061" t="s">
        <v>70</v>
      </c>
      <c r="V2061" t="s">
        <v>69</v>
      </c>
      <c r="W2061">
        <v>0</v>
      </c>
      <c r="X2061">
        <v>0</v>
      </c>
      <c r="Y2061">
        <v>50</v>
      </c>
      <c r="Z2061">
        <v>73</v>
      </c>
      <c r="AA2061">
        <v>80</v>
      </c>
      <c r="AB2061">
        <v>1500</v>
      </c>
      <c r="AC2061">
        <v>1369</v>
      </c>
      <c r="AD2061">
        <v>1369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240</v>
      </c>
      <c r="AL2061">
        <v>0</v>
      </c>
      <c r="AM2061">
        <v>204</v>
      </c>
      <c r="AN2061">
        <v>158</v>
      </c>
      <c r="AO2061">
        <v>204</v>
      </c>
      <c r="AP2061">
        <v>8</v>
      </c>
      <c r="AQ2061">
        <v>0</v>
      </c>
      <c r="AR2061">
        <v>1</v>
      </c>
      <c r="AS2061" t="s">
        <v>58</v>
      </c>
      <c r="AT2061">
        <v>1</v>
      </c>
      <c r="AU2061" t="s">
        <v>63</v>
      </c>
      <c r="AV2061" t="s">
        <v>64</v>
      </c>
      <c r="AW2061">
        <v>0</v>
      </c>
      <c r="AX2061">
        <v>3</v>
      </c>
      <c r="AY2061">
        <v>0</v>
      </c>
      <c r="AZ2061">
        <v>0</v>
      </c>
      <c r="BA2061">
        <v>100</v>
      </c>
      <c r="BB2061">
        <v>100</v>
      </c>
      <c r="BC2061">
        <v>100</v>
      </c>
      <c r="BD2061">
        <v>100</v>
      </c>
      <c r="BE2061">
        <v>1</v>
      </c>
      <c r="BF2061">
        <v>15000</v>
      </c>
      <c r="BG2061">
        <v>1000</v>
      </c>
      <c r="BH2061" s="6">
        <f>Grandview_Inventory[[#This Row],[land_extract]]*Lookups!$B$3</f>
        <v>54949.136287295303</v>
      </c>
      <c r="BI2061" s="6">
        <f>IF(Grandview_Inventory[[#This Row],[bldg_style]]="",0,Lookups!$B$2)</f>
        <v>155833.95000000001</v>
      </c>
      <c r="BJ2061" s="6">
        <f>_xlfn.IFNA(VLOOKUP(Grandview_Inventory[[#This Row],[quality]],Lookups!$H$2:$J$14,3,FALSE),0)</f>
        <v>10733</v>
      </c>
      <c r="BK2061" s="6">
        <f>_xlfn.IFNA(VLOOKUP(Grandview_Inventory[[#This Row],[condition]],Lookups!$H$17:$J$24,3,FALSE),0)</f>
        <v>-4503</v>
      </c>
      <c r="BL2061" s="6">
        <f>Grandview_Inventory[[#This Row],[Eff_Age]]*Lookups!$B$14</f>
        <v>-11958.33</v>
      </c>
      <c r="BM2061" s="6">
        <f>Grandview_Inventory[[#This Row],[living_area]]*Lookups!$B$15</f>
        <v>85399.387757000004</v>
      </c>
      <c r="BN2061" s="6">
        <f>Grandview_Inventory[[#This Row],[Fin BSMT]]*Lookups!$B$16</f>
        <v>0</v>
      </c>
      <c r="BO2061" s="6">
        <f>(Grandview_Inventory[[#This Row],[att_gar]]+Grandview_Inventory[[#This Row],[bltin_gar]])*Lookups!$B$17</f>
        <v>0</v>
      </c>
      <c r="BP2061" s="6">
        <f>Grandview_Inventory[[#This Row],[Plumbing Fixtures]]*Lookups!$B$18</f>
        <v>16083.5344</v>
      </c>
      <c r="BQ2061" s="6">
        <f>Grandview_Inventory[[#This Row],[detatched_value]]*Lookups!$B$19</f>
        <v>0</v>
      </c>
      <c r="BR2061" s="6">
        <f>SUM(Grandview_Inventory[[#This Row],[Intercept]:[det_value]])*Grandview_Inventory[[#This Row],[res_pct]]</f>
        <v>251588.54215700005</v>
      </c>
      <c r="BS2061" s="6">
        <f>Grandview_Inventory[[#This Row],[land_value]]</f>
        <v>54949.136287295303</v>
      </c>
      <c r="BT2061" s="4">
        <f>_xlfn.IFNA(VLOOKUP(Grandview_Inventory[[#This Row],[quality]],Lookups!$A$26:$C$33,3,FALSE),1)</f>
        <v>0.98079741117310582</v>
      </c>
      <c r="BU2061" s="4">
        <f>_xlfn.IFNA(VLOOKUP(Grandview_Inventory[[#This Row],[condition]],Lookups!$A$37:$C$44,3,FALSE),1)</f>
        <v>0.96469275950863709</v>
      </c>
      <c r="BV2061" s="4">
        <f>IF(Grandview_Inventory[[#This Row],[bldg_style]]="",1,_xlfn.IFNA(VLOOKUP(Grandview_Inventory[[#This Row],[decade]],Lookups!$F$29:$H$43,3,FALSE),1))</f>
        <v>0.98763256963907298</v>
      </c>
      <c r="BW2061" s="4">
        <f>_xlfn.IFNA(VLOOKUP(Grandview_Inventory[[#This Row],[living_area_range]],Lookups!$F$47:$H$56,3,FALSE),1)</f>
        <v>0.96135087979789358</v>
      </c>
      <c r="BX2061" s="4">
        <f>AVERAGE(Grandview_Inventory[[#This Row],[qual_adj]:[size_adj]])</f>
        <v>0.97361840502967734</v>
      </c>
      <c r="BY2061" s="6">
        <f>IF(Grandview_Inventory[[#This Row],[pre_res]]&lt;0,0,Grandview_Inventory[[#This Row],[pre_res]]*Grandview_Inventory[[#This Row],[overall_adj]])</f>
        <v>244951.23513864013</v>
      </c>
      <c r="BZ2061" s="6">
        <f>(Grandview_Inventory[[#This Row],[sum_land]]-IF(Grandview_Inventory[[#This Row],[no_utilities]]=1,12000,0))/IF(Grandview_Inventory[[#This Row],[unbuildable]]=1,2,1)</f>
        <v>54949.136287295303</v>
      </c>
      <c r="CA2061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2061">
        <f>ROUND(Grandview_Inventory[[#This Row],[det_value]]*Lookups!$M$28,-2)</f>
        <v>0</v>
      </c>
      <c r="CC2061">
        <f>IF(ROUND(Grandview_Inventory[[#This Row],[adj_res]]*Lookups!$M$28,-2)&lt;Grandview_Inventory[[#This Row],[min_res]],Grandview_Inventory[[#This Row],[min_res]],ROUND(Grandview_Inventory[[#This Row],[adj_res]]*Lookups!$M$28,-2))</f>
        <v>232700</v>
      </c>
      <c r="CD2061">
        <f>Grandview_Inventory[[#This Row],[final_det]]+Grandview_Inventory[[#This Row],[final_res]]</f>
        <v>232700</v>
      </c>
      <c r="CE2061">
        <f>Grandview_Inventory[[#This Row],[final_land]]+Grandview_Inventory[[#This Row],[final_imp]]+Grandview_Inventory[[#This Row],[crop_value]]</f>
        <v>284900</v>
      </c>
      <c r="CG2061" t="str">
        <f t="shared" si="32"/>
        <v>update valuation set market_land =52200, market_bldg=232700, market_total =284900, market_mdno =401, market_date ='9/10/2023' where link_id = (select link_id from parcel where parcel_year = '2024' and parcel_id = '23092423439');</v>
      </c>
    </row>
    <row r="2062" spans="1:85" x14ac:dyDescent="0.25">
      <c r="A2062">
        <v>23092423440</v>
      </c>
      <c r="B2062">
        <v>0.19</v>
      </c>
      <c r="C2062">
        <v>8353</v>
      </c>
      <c r="D2062" t="s">
        <v>129</v>
      </c>
      <c r="E2062" t="s">
        <v>53</v>
      </c>
      <c r="F2062" t="s">
        <v>53</v>
      </c>
      <c r="G2062">
        <v>4</v>
      </c>
      <c r="H2062" t="s">
        <v>54</v>
      </c>
      <c r="I2062">
        <v>126400</v>
      </c>
      <c r="J2062">
        <v>39100</v>
      </c>
      <c r="K2062">
        <v>0.19</v>
      </c>
      <c r="L206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062">
        <v>0</v>
      </c>
      <c r="N2062">
        <v>0</v>
      </c>
      <c r="O2062">
        <v>0</v>
      </c>
      <c r="P2062">
        <v>13398.7528</v>
      </c>
      <c r="Q2062">
        <v>63903</v>
      </c>
      <c r="R2062">
        <f>(Grandview_Inventory[[#This Row],[ln_acres]]*Grandview_Inventory[[#This Row],[coeff]])+Grandview_Inventory[[#This Row],[const]]</f>
        <v>41651.273092551026</v>
      </c>
      <c r="S2062" t="s">
        <v>68</v>
      </c>
      <c r="T2062">
        <v>1</v>
      </c>
      <c r="U2062" t="s">
        <v>65</v>
      </c>
      <c r="V2062" t="s">
        <v>69</v>
      </c>
      <c r="W2062">
        <v>0</v>
      </c>
      <c r="X2062">
        <v>0</v>
      </c>
      <c r="Y2062">
        <v>50</v>
      </c>
      <c r="Z2062">
        <v>73</v>
      </c>
      <c r="AA2062">
        <v>80</v>
      </c>
      <c r="AB2062">
        <v>1500</v>
      </c>
      <c r="AC2062">
        <v>1070</v>
      </c>
      <c r="AD2062">
        <v>1070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5</v>
      </c>
      <c r="AQ2062">
        <v>0</v>
      </c>
      <c r="AR2062">
        <v>0</v>
      </c>
      <c r="AS2062" t="s">
        <v>58</v>
      </c>
      <c r="AT2062">
        <v>1</v>
      </c>
      <c r="AU2062" t="s">
        <v>59</v>
      </c>
      <c r="AV2062" t="s">
        <v>60</v>
      </c>
      <c r="AW2062">
        <v>1</v>
      </c>
      <c r="AX2062">
        <v>3</v>
      </c>
      <c r="AY2062">
        <v>0</v>
      </c>
      <c r="AZ2062">
        <v>0</v>
      </c>
      <c r="BA2062">
        <v>100</v>
      </c>
      <c r="BB2062">
        <v>100</v>
      </c>
      <c r="BC2062">
        <v>100</v>
      </c>
      <c r="BD2062">
        <v>100</v>
      </c>
      <c r="BE2062">
        <v>1</v>
      </c>
      <c r="BF2062">
        <v>15000</v>
      </c>
      <c r="BG2062">
        <v>1000</v>
      </c>
      <c r="BH2062" s="6">
        <f>Grandview_Inventory[[#This Row],[land_extract]]*Lookups!$B$3</f>
        <v>48369.510983942157</v>
      </c>
      <c r="BI2062" s="6">
        <f>IF(Grandview_Inventory[[#This Row],[bldg_style]]="",0,Lookups!$B$2)</f>
        <v>155833.95000000001</v>
      </c>
      <c r="BJ2062" s="6">
        <f>_xlfn.IFNA(VLOOKUP(Grandview_Inventory[[#This Row],[quality]],Lookups!$H$2:$J$14,3,FALSE),0)</f>
        <v>2251</v>
      </c>
      <c r="BK2062" s="6">
        <f>_xlfn.IFNA(VLOOKUP(Grandview_Inventory[[#This Row],[condition]],Lookups!$H$17:$J$24,3,FALSE),0)</f>
        <v>-4503</v>
      </c>
      <c r="BL2062" s="6">
        <f>Grandview_Inventory[[#This Row],[Eff_Age]]*Lookups!$B$14</f>
        <v>-11958.33</v>
      </c>
      <c r="BM2062" s="6">
        <f>Grandview_Inventory[[#This Row],[living_area]]*Lookups!$B$15</f>
        <v>66747.512709999995</v>
      </c>
      <c r="BN2062" s="6">
        <f>Grandview_Inventory[[#This Row],[Fin BSMT]]*Lookups!$B$16</f>
        <v>0</v>
      </c>
      <c r="BO2062" s="6">
        <f>(Grandview_Inventory[[#This Row],[att_gar]]+Grandview_Inventory[[#This Row],[bltin_gar]])*Lookups!$B$17</f>
        <v>0</v>
      </c>
      <c r="BP2062" s="6">
        <f>Grandview_Inventory[[#This Row],[Plumbing Fixtures]]*Lookups!$B$18</f>
        <v>10052.209000000001</v>
      </c>
      <c r="BQ2062" s="6">
        <f>Grandview_Inventory[[#This Row],[detatched_value]]*Lookups!$B$19</f>
        <v>0</v>
      </c>
      <c r="BR2062" s="6">
        <f>SUM(Grandview_Inventory[[#This Row],[Intercept]:[det_value]])*Grandview_Inventory[[#This Row],[res_pct]]</f>
        <v>218423.34171000004</v>
      </c>
      <c r="BS2062" s="6">
        <f>Grandview_Inventory[[#This Row],[land_value]]</f>
        <v>48369.510983942157</v>
      </c>
      <c r="BT2062" s="4">
        <f>_xlfn.IFNA(VLOOKUP(Grandview_Inventory[[#This Row],[quality]],Lookups!$A$26:$C$33,3,FALSE),1)</f>
        <v>0.98763855981004833</v>
      </c>
      <c r="BU2062" s="4">
        <f>_xlfn.IFNA(VLOOKUP(Grandview_Inventory[[#This Row],[condition]],Lookups!$A$37:$C$44,3,FALSE),1)</f>
        <v>0.96469275950863709</v>
      </c>
      <c r="BV2062" s="4">
        <f>IF(Grandview_Inventory[[#This Row],[bldg_style]]="",1,_xlfn.IFNA(VLOOKUP(Grandview_Inventory[[#This Row],[decade]],Lookups!$F$29:$H$43,3,FALSE),1))</f>
        <v>0.98763256963907298</v>
      </c>
      <c r="BW2062" s="4">
        <f>_xlfn.IFNA(VLOOKUP(Grandview_Inventory[[#This Row],[living_area_range]],Lookups!$F$47:$H$56,3,FALSE),1)</f>
        <v>0.96135087979789358</v>
      </c>
      <c r="BX2062" s="4">
        <f>AVERAGE(Grandview_Inventory[[#This Row],[qual_adj]:[size_adj]])</f>
        <v>0.97532869218891294</v>
      </c>
      <c r="BY2062" s="6">
        <f>IF(Grandview_Inventory[[#This Row],[pre_res]]&lt;0,0,Grandview_Inventory[[#This Row],[pre_res]]*Grandview_Inventory[[#This Row],[overall_adj]])</f>
        <v>213034.55221354638</v>
      </c>
      <c r="BZ2062" s="6">
        <f>(Grandview_Inventory[[#This Row],[sum_land]]-IF(Grandview_Inventory[[#This Row],[no_utilities]]=1,12000,0))/IF(Grandview_Inventory[[#This Row],[unbuildable]]=1,2,1)</f>
        <v>48369.510983942157</v>
      </c>
      <c r="CA206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062">
        <f>ROUND(Grandview_Inventory[[#This Row],[det_value]]*Lookups!$M$28,-2)</f>
        <v>0</v>
      </c>
      <c r="CC2062">
        <f>IF(ROUND(Grandview_Inventory[[#This Row],[adj_res]]*Lookups!$M$28,-2)&lt;Grandview_Inventory[[#This Row],[min_res]],Grandview_Inventory[[#This Row],[min_res]],ROUND(Grandview_Inventory[[#This Row],[adj_res]]*Lookups!$M$28,-2))</f>
        <v>202400</v>
      </c>
      <c r="CD2062">
        <f>Grandview_Inventory[[#This Row],[final_det]]+Grandview_Inventory[[#This Row],[final_res]]</f>
        <v>202400</v>
      </c>
      <c r="CE2062">
        <f>Grandview_Inventory[[#This Row],[final_land]]+Grandview_Inventory[[#This Row],[final_imp]]+Grandview_Inventory[[#This Row],[crop_value]]</f>
        <v>248400</v>
      </c>
      <c r="CG2062" t="str">
        <f t="shared" si="32"/>
        <v>update valuation set market_land =46000, market_bldg=202400, market_total =248400, market_mdno =401, market_date ='9/10/2023' where link_id = (select link_id from parcel where parcel_year = '2024' and parcel_id = '23092423440');</v>
      </c>
    </row>
    <row r="2063" spans="1:85" x14ac:dyDescent="0.25">
      <c r="A2063">
        <v>23092423441</v>
      </c>
      <c r="B2063">
        <v>0.23</v>
      </c>
      <c r="C2063">
        <v>10096</v>
      </c>
      <c r="D2063" t="s">
        <v>129</v>
      </c>
      <c r="E2063" t="s">
        <v>53</v>
      </c>
      <c r="F2063" t="s">
        <v>53</v>
      </c>
      <c r="G2063">
        <v>4</v>
      </c>
      <c r="H2063" t="s">
        <v>54</v>
      </c>
      <c r="I2063">
        <v>157100</v>
      </c>
      <c r="J2063">
        <v>44000</v>
      </c>
      <c r="K2063">
        <v>0.23</v>
      </c>
      <c r="L206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63">
        <v>0</v>
      </c>
      <c r="N2063">
        <v>0</v>
      </c>
      <c r="O2063">
        <v>0</v>
      </c>
      <c r="P2063">
        <v>13398.7528</v>
      </c>
      <c r="Q2063">
        <v>63903</v>
      </c>
      <c r="R2063">
        <f>(Grandview_Inventory[[#This Row],[ln_acres]]*Grandview_Inventory[[#This Row],[coeff]])+Grandview_Inventory[[#This Row],[const]]</f>
        <v>44211.174981080039</v>
      </c>
      <c r="S2063" t="s">
        <v>61</v>
      </c>
      <c r="T2063">
        <v>1</v>
      </c>
      <c r="U2063" t="s">
        <v>70</v>
      </c>
      <c r="V2063" t="s">
        <v>69</v>
      </c>
      <c r="W2063">
        <v>0</v>
      </c>
      <c r="X2063">
        <v>0</v>
      </c>
      <c r="Y2063">
        <v>50</v>
      </c>
      <c r="Z2063">
        <v>73</v>
      </c>
      <c r="AA2063">
        <v>80</v>
      </c>
      <c r="AB2063">
        <v>1500</v>
      </c>
      <c r="AC2063">
        <v>1070</v>
      </c>
      <c r="AD2063">
        <v>1070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5</v>
      </c>
      <c r="AQ2063">
        <v>1</v>
      </c>
      <c r="AR2063">
        <v>0</v>
      </c>
      <c r="AS2063" t="s">
        <v>58</v>
      </c>
      <c r="AT2063">
        <v>1</v>
      </c>
      <c r="AU2063" t="s">
        <v>59</v>
      </c>
      <c r="AV2063" t="s">
        <v>60</v>
      </c>
      <c r="AW2063">
        <v>1</v>
      </c>
      <c r="AX2063">
        <v>3</v>
      </c>
      <c r="AY2063">
        <v>0</v>
      </c>
      <c r="AZ2063">
        <v>0</v>
      </c>
      <c r="BA2063">
        <v>100</v>
      </c>
      <c r="BB2063">
        <v>100</v>
      </c>
      <c r="BC2063">
        <v>100</v>
      </c>
      <c r="BD2063">
        <v>100</v>
      </c>
      <c r="BE2063">
        <v>1</v>
      </c>
      <c r="BF2063">
        <v>15000</v>
      </c>
      <c r="BG2063">
        <v>1000</v>
      </c>
      <c r="BH2063" s="6">
        <f>Grandview_Inventory[[#This Row],[land_extract]]*Lookups!$B$3</f>
        <v>51342.318135355803</v>
      </c>
      <c r="BI2063" s="6">
        <f>IF(Grandview_Inventory[[#This Row],[bldg_style]]="",0,Lookups!$B$2)</f>
        <v>155833.95000000001</v>
      </c>
      <c r="BJ2063" s="6">
        <f>_xlfn.IFNA(VLOOKUP(Grandview_Inventory[[#This Row],[quality]],Lookups!$H$2:$J$14,3,FALSE),0)</f>
        <v>10733</v>
      </c>
      <c r="BK2063" s="6">
        <f>_xlfn.IFNA(VLOOKUP(Grandview_Inventory[[#This Row],[condition]],Lookups!$H$17:$J$24,3,FALSE),0)</f>
        <v>-4503</v>
      </c>
      <c r="BL2063" s="6">
        <f>Grandview_Inventory[[#This Row],[Eff_Age]]*Lookups!$B$14</f>
        <v>-11958.33</v>
      </c>
      <c r="BM2063" s="6">
        <f>Grandview_Inventory[[#This Row],[living_area]]*Lookups!$B$15</f>
        <v>66747.512709999995</v>
      </c>
      <c r="BN2063" s="6">
        <f>Grandview_Inventory[[#This Row],[Fin BSMT]]*Lookups!$B$16</f>
        <v>0</v>
      </c>
      <c r="BO2063" s="6">
        <f>(Grandview_Inventory[[#This Row],[att_gar]]+Grandview_Inventory[[#This Row],[bltin_gar]])*Lookups!$B$17</f>
        <v>0</v>
      </c>
      <c r="BP2063" s="6">
        <f>Grandview_Inventory[[#This Row],[Plumbing Fixtures]]*Lookups!$B$18</f>
        <v>10052.209000000001</v>
      </c>
      <c r="BQ2063" s="6">
        <f>Grandview_Inventory[[#This Row],[detatched_value]]*Lookups!$B$19</f>
        <v>0</v>
      </c>
      <c r="BR2063" s="6">
        <f>SUM(Grandview_Inventory[[#This Row],[Intercept]:[det_value]])*Grandview_Inventory[[#This Row],[res_pct]]</f>
        <v>226905.34171000004</v>
      </c>
      <c r="BS2063" s="6">
        <f>Grandview_Inventory[[#This Row],[land_value]]</f>
        <v>51342.318135355803</v>
      </c>
      <c r="BT2063" s="4">
        <f>_xlfn.IFNA(VLOOKUP(Grandview_Inventory[[#This Row],[quality]],Lookups!$A$26:$C$33,3,FALSE),1)</f>
        <v>0.98079741117310582</v>
      </c>
      <c r="BU2063" s="4">
        <f>_xlfn.IFNA(VLOOKUP(Grandview_Inventory[[#This Row],[condition]],Lookups!$A$37:$C$44,3,FALSE),1)</f>
        <v>0.96469275950863709</v>
      </c>
      <c r="BV2063" s="4">
        <f>IF(Grandview_Inventory[[#This Row],[bldg_style]]="",1,_xlfn.IFNA(VLOOKUP(Grandview_Inventory[[#This Row],[decade]],Lookups!$F$29:$H$43,3,FALSE),1))</f>
        <v>0.98763256963907298</v>
      </c>
      <c r="BW2063" s="4">
        <f>_xlfn.IFNA(VLOOKUP(Grandview_Inventory[[#This Row],[living_area_range]],Lookups!$F$47:$H$56,3,FALSE),1)</f>
        <v>0.96135087979789358</v>
      </c>
      <c r="BX2063" s="4">
        <f>AVERAGE(Grandview_Inventory[[#This Row],[qual_adj]:[size_adj]])</f>
        <v>0.97361840502967734</v>
      </c>
      <c r="BY2063" s="6">
        <f>IF(Grandview_Inventory[[#This Row],[pre_res]]&lt;0,0,Grandview_Inventory[[#This Row],[pre_res]]*Grandview_Inventory[[#This Row],[overall_adj]])</f>
        <v>220919.21688840416</v>
      </c>
      <c r="BZ2063" s="6">
        <f>(Grandview_Inventory[[#This Row],[sum_land]]-IF(Grandview_Inventory[[#This Row],[no_utilities]]=1,12000,0))/IF(Grandview_Inventory[[#This Row],[unbuildable]]=1,2,1)</f>
        <v>51342.318135355803</v>
      </c>
      <c r="CA206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63">
        <f>ROUND(Grandview_Inventory[[#This Row],[det_value]]*Lookups!$M$28,-2)</f>
        <v>0</v>
      </c>
      <c r="CC2063">
        <f>IF(ROUND(Grandview_Inventory[[#This Row],[adj_res]]*Lookups!$M$28,-2)&lt;Grandview_Inventory[[#This Row],[min_res]],Grandview_Inventory[[#This Row],[min_res]],ROUND(Grandview_Inventory[[#This Row],[adj_res]]*Lookups!$M$28,-2))</f>
        <v>209900</v>
      </c>
      <c r="CD2063">
        <f>Grandview_Inventory[[#This Row],[final_det]]+Grandview_Inventory[[#This Row],[final_res]]</f>
        <v>209900</v>
      </c>
      <c r="CE2063">
        <f>Grandview_Inventory[[#This Row],[final_land]]+Grandview_Inventory[[#This Row],[final_imp]]+Grandview_Inventory[[#This Row],[crop_value]]</f>
        <v>258700</v>
      </c>
      <c r="CG2063" t="str">
        <f t="shared" si="32"/>
        <v>update valuation set market_land =48800, market_bldg=209900, market_total =258700, market_mdno =401, market_date ='9/10/2023' where link_id = (select link_id from parcel where parcel_year = '2024' and parcel_id = '23092423441');</v>
      </c>
    </row>
    <row r="2064" spans="1:85" x14ac:dyDescent="0.25">
      <c r="A2064">
        <v>23092423442</v>
      </c>
      <c r="B2064">
        <v>0.23</v>
      </c>
      <c r="C2064">
        <v>10203</v>
      </c>
      <c r="D2064" t="s">
        <v>129</v>
      </c>
      <c r="E2064" t="s">
        <v>53</v>
      </c>
      <c r="F2064" t="s">
        <v>53</v>
      </c>
      <c r="G2064">
        <v>4</v>
      </c>
      <c r="H2064" t="s">
        <v>54</v>
      </c>
      <c r="I2064">
        <v>128400</v>
      </c>
      <c r="J2064">
        <v>39700</v>
      </c>
      <c r="K2064">
        <v>0.23</v>
      </c>
      <c r="L206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64">
        <v>0</v>
      </c>
      <c r="N2064">
        <v>0</v>
      </c>
      <c r="O2064">
        <v>0</v>
      </c>
      <c r="P2064">
        <v>13398.7528</v>
      </c>
      <c r="Q2064">
        <v>63903</v>
      </c>
      <c r="R2064">
        <f>(Grandview_Inventory[[#This Row],[ln_acres]]*Grandview_Inventory[[#This Row],[coeff]])+Grandview_Inventory[[#This Row],[const]]</f>
        <v>44211.174981080039</v>
      </c>
      <c r="S2064" t="s">
        <v>68</v>
      </c>
      <c r="T2064">
        <v>1</v>
      </c>
      <c r="U2064" t="s">
        <v>70</v>
      </c>
      <c r="V2064" t="s">
        <v>78</v>
      </c>
      <c r="W2064">
        <v>0</v>
      </c>
      <c r="X2064">
        <v>0</v>
      </c>
      <c r="Y2064">
        <v>50</v>
      </c>
      <c r="Z2064">
        <v>73</v>
      </c>
      <c r="AA2064">
        <v>80</v>
      </c>
      <c r="AB2064">
        <v>1500</v>
      </c>
      <c r="AC2064">
        <v>1172</v>
      </c>
      <c r="AD2064">
        <v>1172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518</v>
      </c>
      <c r="AL2064">
        <v>0</v>
      </c>
      <c r="AM2064">
        <v>126</v>
      </c>
      <c r="AN2064">
        <v>0</v>
      </c>
      <c r="AO2064">
        <v>0</v>
      </c>
      <c r="AP2064">
        <v>5</v>
      </c>
      <c r="AQ2064">
        <v>1</v>
      </c>
      <c r="AR2064">
        <v>0</v>
      </c>
      <c r="AS2064" t="s">
        <v>58</v>
      </c>
      <c r="AT2064">
        <v>1</v>
      </c>
      <c r="AU2064" t="s">
        <v>63</v>
      </c>
      <c r="AV2064" t="s">
        <v>64</v>
      </c>
      <c r="AW2064">
        <v>0</v>
      </c>
      <c r="AX2064">
        <v>3</v>
      </c>
      <c r="AY2064">
        <v>0</v>
      </c>
      <c r="AZ2064">
        <v>6000</v>
      </c>
      <c r="BA2064">
        <v>100</v>
      </c>
      <c r="BB2064">
        <v>100</v>
      </c>
      <c r="BC2064">
        <v>100</v>
      </c>
      <c r="BD2064">
        <v>100</v>
      </c>
      <c r="BE2064">
        <v>1</v>
      </c>
      <c r="BF2064">
        <v>15000</v>
      </c>
      <c r="BG2064">
        <v>1000</v>
      </c>
      <c r="BH2064" s="6">
        <f>Grandview_Inventory[[#This Row],[land_extract]]*Lookups!$B$3</f>
        <v>51342.318135355803</v>
      </c>
      <c r="BI2064" s="6">
        <f>IF(Grandview_Inventory[[#This Row],[bldg_style]]="",0,Lookups!$B$2)</f>
        <v>155833.95000000001</v>
      </c>
      <c r="BJ2064" s="6">
        <f>_xlfn.IFNA(VLOOKUP(Grandview_Inventory[[#This Row],[quality]],Lookups!$H$2:$J$14,3,FALSE),0)</f>
        <v>10733</v>
      </c>
      <c r="BK2064" s="6">
        <f>_xlfn.IFNA(VLOOKUP(Grandview_Inventory[[#This Row],[condition]],Lookups!$H$17:$J$24,3,FALSE),0)</f>
        <v>-45357</v>
      </c>
      <c r="BL2064" s="6">
        <f>Grandview_Inventory[[#This Row],[Eff_Age]]*Lookups!$B$14</f>
        <v>-11958.33</v>
      </c>
      <c r="BM2064" s="6">
        <f>Grandview_Inventory[[#This Row],[living_area]]*Lookups!$B$15</f>
        <v>73110.359716000006</v>
      </c>
      <c r="BN2064" s="6">
        <f>Grandview_Inventory[[#This Row],[Fin BSMT]]*Lookups!$B$16</f>
        <v>0</v>
      </c>
      <c r="BO2064" s="6">
        <f>(Grandview_Inventory[[#This Row],[att_gar]]+Grandview_Inventory[[#This Row],[bltin_gar]])*Lookups!$B$17</f>
        <v>0</v>
      </c>
      <c r="BP2064" s="6">
        <f>Grandview_Inventory[[#This Row],[Plumbing Fixtures]]*Lookups!$B$18</f>
        <v>10052.209000000001</v>
      </c>
      <c r="BQ2064" s="6">
        <f>Grandview_Inventory[[#This Row],[detatched_value]]*Lookups!$B$19</f>
        <v>5080.8306000000002</v>
      </c>
      <c r="BR2064" s="6">
        <f>SUM(Grandview_Inventory[[#This Row],[Intercept]:[det_value]])*Grandview_Inventory[[#This Row],[res_pct]]</f>
        <v>197495.01931600002</v>
      </c>
      <c r="BS2064" s="6">
        <f>Grandview_Inventory[[#This Row],[land_value]]</f>
        <v>51342.318135355803</v>
      </c>
      <c r="BT2064" s="4">
        <f>_xlfn.IFNA(VLOOKUP(Grandview_Inventory[[#This Row],[quality]],Lookups!$A$26:$C$33,3,FALSE),1)</f>
        <v>0.98079741117310582</v>
      </c>
      <c r="BU2064" s="4">
        <f>_xlfn.IFNA(VLOOKUP(Grandview_Inventory[[#This Row],[condition]],Lookups!$A$37:$C$44,3,FALSE),1)</f>
        <v>0.97161819570155394</v>
      </c>
      <c r="BV2064" s="4">
        <f>IF(Grandview_Inventory[[#This Row],[bldg_style]]="",1,_xlfn.IFNA(VLOOKUP(Grandview_Inventory[[#This Row],[decade]],Lookups!$F$29:$H$43,3,FALSE),1))</f>
        <v>0.98763256963907298</v>
      </c>
      <c r="BW2064" s="4">
        <f>_xlfn.IFNA(VLOOKUP(Grandview_Inventory[[#This Row],[living_area_range]],Lookups!$F$47:$H$56,3,FALSE),1)</f>
        <v>0.96135087979789358</v>
      </c>
      <c r="BX2064" s="4">
        <f>AVERAGE(Grandview_Inventory[[#This Row],[qual_adj]:[size_adj]])</f>
        <v>0.97534976407790652</v>
      </c>
      <c r="BY2064" s="6">
        <f>IF(Grandview_Inventory[[#This Row],[pre_res]]&lt;0,0,Grandview_Inventory[[#This Row],[pre_res]]*Grandview_Inventory[[#This Row],[overall_adj]])</f>
        <v>192626.7204964222</v>
      </c>
      <c r="BZ2064" s="6">
        <f>(Grandview_Inventory[[#This Row],[sum_land]]-IF(Grandview_Inventory[[#This Row],[no_utilities]]=1,12000,0))/IF(Grandview_Inventory[[#This Row],[unbuildable]]=1,2,1)</f>
        <v>51342.318135355803</v>
      </c>
      <c r="CA206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64">
        <f>ROUND(Grandview_Inventory[[#This Row],[det_value]]*Lookups!$M$28,-2)</f>
        <v>4800</v>
      </c>
      <c r="CC2064">
        <f>IF(ROUND(Grandview_Inventory[[#This Row],[adj_res]]*Lookups!$M$28,-2)&lt;Grandview_Inventory[[#This Row],[min_res]],Grandview_Inventory[[#This Row],[min_res]],ROUND(Grandview_Inventory[[#This Row],[adj_res]]*Lookups!$M$28,-2))</f>
        <v>183000</v>
      </c>
      <c r="CD2064">
        <f>Grandview_Inventory[[#This Row],[final_det]]+Grandview_Inventory[[#This Row],[final_res]]</f>
        <v>187800</v>
      </c>
      <c r="CE2064">
        <f>Grandview_Inventory[[#This Row],[final_land]]+Grandview_Inventory[[#This Row],[final_imp]]+Grandview_Inventory[[#This Row],[crop_value]]</f>
        <v>236600</v>
      </c>
      <c r="CG2064" t="str">
        <f t="shared" si="32"/>
        <v>update valuation set market_land =48800, market_bldg=187800, market_total =236600, market_mdno =401, market_date ='9/10/2023' where link_id = (select link_id from parcel where parcel_year = '2024' and parcel_id = '23092423442');</v>
      </c>
    </row>
    <row r="2065" spans="1:85" x14ac:dyDescent="0.25">
      <c r="A2065">
        <v>23092423443</v>
      </c>
      <c r="B2065">
        <v>0.17</v>
      </c>
      <c r="C2065">
        <v>7558</v>
      </c>
      <c r="D2065" t="s">
        <v>129</v>
      </c>
      <c r="E2065" t="s">
        <v>53</v>
      </c>
      <c r="F2065" t="s">
        <v>53</v>
      </c>
      <c r="G2065">
        <v>4</v>
      </c>
      <c r="H2065" t="s">
        <v>54</v>
      </c>
      <c r="I2065">
        <v>141500</v>
      </c>
      <c r="J2065">
        <v>38800</v>
      </c>
      <c r="K2065">
        <v>0.17</v>
      </c>
      <c r="L206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065">
        <v>0</v>
      </c>
      <c r="N2065">
        <v>0</v>
      </c>
      <c r="O2065">
        <v>0</v>
      </c>
      <c r="P2065">
        <v>13398.7528</v>
      </c>
      <c r="Q2065">
        <v>63903</v>
      </c>
      <c r="R2065">
        <f>(Grandview_Inventory[[#This Row],[ln_acres]]*Grandview_Inventory[[#This Row],[coeff]])+Grandview_Inventory[[#This Row],[const]]</f>
        <v>40160.988302686128</v>
      </c>
      <c r="S2065" t="s">
        <v>68</v>
      </c>
      <c r="T2065">
        <v>1</v>
      </c>
      <c r="U2065" t="s">
        <v>70</v>
      </c>
      <c r="V2065" t="s">
        <v>67</v>
      </c>
      <c r="W2065">
        <v>0</v>
      </c>
      <c r="X2065">
        <v>0</v>
      </c>
      <c r="Y2065">
        <v>50</v>
      </c>
      <c r="Z2065">
        <v>73</v>
      </c>
      <c r="AA2065">
        <v>80</v>
      </c>
      <c r="AB2065">
        <v>1000</v>
      </c>
      <c r="AC2065">
        <v>864</v>
      </c>
      <c r="AD2065">
        <v>864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16</v>
      </c>
      <c r="AO2065">
        <v>0</v>
      </c>
      <c r="AP2065">
        <v>5</v>
      </c>
      <c r="AQ2065">
        <v>0</v>
      </c>
      <c r="AR2065">
        <v>0</v>
      </c>
      <c r="AS2065" t="s">
        <v>58</v>
      </c>
      <c r="AT2065">
        <v>1</v>
      </c>
      <c r="AU2065" t="s">
        <v>63</v>
      </c>
      <c r="AV2065" t="s">
        <v>64</v>
      </c>
      <c r="AW2065">
        <v>0</v>
      </c>
      <c r="AX2065">
        <v>3</v>
      </c>
      <c r="AY2065">
        <v>0</v>
      </c>
      <c r="AZ2065">
        <v>0</v>
      </c>
      <c r="BA2065">
        <v>100</v>
      </c>
      <c r="BB2065">
        <v>100</v>
      </c>
      <c r="BC2065">
        <v>100</v>
      </c>
      <c r="BD2065">
        <v>100</v>
      </c>
      <c r="BE2065">
        <v>1</v>
      </c>
      <c r="BF2065">
        <v>15000</v>
      </c>
      <c r="BG2065">
        <v>1000</v>
      </c>
      <c r="BH2065" s="6">
        <f>Grandview_Inventory[[#This Row],[land_extract]]*Lookups!$B$3</f>
        <v>46638.847281240982</v>
      </c>
      <c r="BI2065" s="6">
        <f>IF(Grandview_Inventory[[#This Row],[bldg_style]]="",0,Lookups!$B$2)</f>
        <v>155833.95000000001</v>
      </c>
      <c r="BJ2065" s="6">
        <f>_xlfn.IFNA(VLOOKUP(Grandview_Inventory[[#This Row],[quality]],Lookups!$H$2:$J$14,3,FALSE),0)</f>
        <v>10733</v>
      </c>
      <c r="BK2065" s="6">
        <f>_xlfn.IFNA(VLOOKUP(Grandview_Inventory[[#This Row],[condition]],Lookups!$H$17:$J$24,3,FALSE),0)</f>
        <v>22342</v>
      </c>
      <c r="BL2065" s="6">
        <f>Grandview_Inventory[[#This Row],[Eff_Age]]*Lookups!$B$14</f>
        <v>-11958.33</v>
      </c>
      <c r="BM2065" s="6">
        <f>Grandview_Inventory[[#This Row],[living_area]]*Lookups!$B$15</f>
        <v>53897.056991999998</v>
      </c>
      <c r="BN2065" s="6">
        <f>Grandview_Inventory[[#This Row],[Fin BSMT]]*Lookups!$B$16</f>
        <v>0</v>
      </c>
      <c r="BO2065" s="6">
        <f>(Grandview_Inventory[[#This Row],[att_gar]]+Grandview_Inventory[[#This Row],[bltin_gar]])*Lookups!$B$17</f>
        <v>0</v>
      </c>
      <c r="BP2065" s="6">
        <f>Grandview_Inventory[[#This Row],[Plumbing Fixtures]]*Lookups!$B$18</f>
        <v>10052.209000000001</v>
      </c>
      <c r="BQ2065" s="6">
        <f>Grandview_Inventory[[#This Row],[detatched_value]]*Lookups!$B$19</f>
        <v>0</v>
      </c>
      <c r="BR2065" s="6">
        <f>SUM(Grandview_Inventory[[#This Row],[Intercept]:[det_value]])*Grandview_Inventory[[#This Row],[res_pct]]</f>
        <v>240899.88599200002</v>
      </c>
      <c r="BS2065" s="6">
        <f>Grandview_Inventory[[#This Row],[land_value]]</f>
        <v>46638.847281240982</v>
      </c>
      <c r="BT2065" s="4">
        <f>_xlfn.IFNA(VLOOKUP(Grandview_Inventory[[#This Row],[quality]],Lookups!$A$26:$C$33,3,FALSE),1)</f>
        <v>0.98079741117310582</v>
      </c>
      <c r="BU2065" s="4">
        <f>_xlfn.IFNA(VLOOKUP(Grandview_Inventory[[#This Row],[condition]],Lookups!$A$37:$C$44,3,FALSE),1)</f>
        <v>0.97383723671140243</v>
      </c>
      <c r="BV2065" s="4">
        <f>IF(Grandview_Inventory[[#This Row],[bldg_style]]="",1,_xlfn.IFNA(VLOOKUP(Grandview_Inventory[[#This Row],[decade]],Lookups!$F$29:$H$43,3,FALSE),1))</f>
        <v>0.98763256963907298</v>
      </c>
      <c r="BW2065" s="4">
        <f>_xlfn.IFNA(VLOOKUP(Grandview_Inventory[[#This Row],[living_area_range]],Lookups!$F$47:$H$56,3,FALSE),1)</f>
        <v>0.94306777142782894</v>
      </c>
      <c r="BX2065" s="4">
        <f>AVERAGE(Grandview_Inventory[[#This Row],[qual_adj]:[size_adj]])</f>
        <v>0.97133374723785249</v>
      </c>
      <c r="BY2065" s="6">
        <f>IF(Grandview_Inventory[[#This Row],[pre_res]]&lt;0,0,Grandview_Inventory[[#This Row],[pre_res]]*Grandview_Inventory[[#This Row],[overall_adj]])</f>
        <v>233994.18896978084</v>
      </c>
      <c r="BZ2065" s="6">
        <f>(Grandview_Inventory[[#This Row],[sum_land]]-IF(Grandview_Inventory[[#This Row],[no_utilities]]=1,12000,0))/IF(Grandview_Inventory[[#This Row],[unbuildable]]=1,2,1)</f>
        <v>46638.847281240982</v>
      </c>
      <c r="CA206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065">
        <f>ROUND(Grandview_Inventory[[#This Row],[det_value]]*Lookups!$M$28,-2)</f>
        <v>0</v>
      </c>
      <c r="CC2065">
        <f>IF(ROUND(Grandview_Inventory[[#This Row],[adj_res]]*Lookups!$M$28,-2)&lt;Grandview_Inventory[[#This Row],[min_res]],Grandview_Inventory[[#This Row],[min_res]],ROUND(Grandview_Inventory[[#This Row],[adj_res]]*Lookups!$M$28,-2))</f>
        <v>222300</v>
      </c>
      <c r="CD2065">
        <f>Grandview_Inventory[[#This Row],[final_det]]+Grandview_Inventory[[#This Row],[final_res]]</f>
        <v>222300</v>
      </c>
      <c r="CE2065">
        <f>Grandview_Inventory[[#This Row],[final_land]]+Grandview_Inventory[[#This Row],[final_imp]]+Grandview_Inventory[[#This Row],[crop_value]]</f>
        <v>266600</v>
      </c>
      <c r="CG2065" t="str">
        <f t="shared" si="32"/>
        <v>update valuation set market_land =44300, market_bldg=222300, market_total =266600, market_mdno =401, market_date ='9/10/2023' where link_id = (select link_id from parcel where parcel_year = '2024' and parcel_id = '23092423443');</v>
      </c>
    </row>
    <row r="2066" spans="1:85" x14ac:dyDescent="0.25">
      <c r="A2066">
        <v>23092423444</v>
      </c>
      <c r="B2066">
        <v>0.21</v>
      </c>
      <c r="C2066">
        <v>9050</v>
      </c>
      <c r="D2066" t="s">
        <v>129</v>
      </c>
      <c r="E2066" t="s">
        <v>53</v>
      </c>
      <c r="F2066" t="s">
        <v>53</v>
      </c>
      <c r="G2066">
        <v>4</v>
      </c>
      <c r="H2066" t="s">
        <v>54</v>
      </c>
      <c r="I2066">
        <v>91000</v>
      </c>
      <c r="J2066">
        <v>39300</v>
      </c>
      <c r="K2066">
        <v>0.21</v>
      </c>
      <c r="L206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66">
        <v>0</v>
      </c>
      <c r="N2066">
        <v>0</v>
      </c>
      <c r="O2066">
        <v>0</v>
      </c>
      <c r="P2066">
        <v>13398.7528</v>
      </c>
      <c r="Q2066">
        <v>63903</v>
      </c>
      <c r="R2066">
        <f>(Grandview_Inventory[[#This Row],[ln_acres]]*Grandview_Inventory[[#This Row],[coeff]])+Grandview_Inventory[[#This Row],[const]]</f>
        <v>42992.266613125081</v>
      </c>
      <c r="S2066" t="s">
        <v>68</v>
      </c>
      <c r="T2066">
        <v>1</v>
      </c>
      <c r="U2066" t="s">
        <v>70</v>
      </c>
      <c r="V2066" t="s">
        <v>78</v>
      </c>
      <c r="W2066">
        <v>0</v>
      </c>
      <c r="X2066">
        <v>0</v>
      </c>
      <c r="Y2066">
        <v>50</v>
      </c>
      <c r="Z2066">
        <v>73</v>
      </c>
      <c r="AA2066">
        <v>80</v>
      </c>
      <c r="AB2066">
        <v>1000</v>
      </c>
      <c r="AC2066">
        <v>877</v>
      </c>
      <c r="AD2066">
        <v>877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312</v>
      </c>
      <c r="AL2066">
        <v>0</v>
      </c>
      <c r="AM2066">
        <v>195</v>
      </c>
      <c r="AN2066">
        <v>20</v>
      </c>
      <c r="AO2066">
        <v>195</v>
      </c>
      <c r="AP2066">
        <v>5</v>
      </c>
      <c r="AQ2066">
        <v>0</v>
      </c>
      <c r="AR2066">
        <v>0</v>
      </c>
      <c r="AS2066" t="s">
        <v>58</v>
      </c>
      <c r="AT2066">
        <v>1</v>
      </c>
      <c r="AU2066" t="s">
        <v>63</v>
      </c>
      <c r="AV2066" t="s">
        <v>64</v>
      </c>
      <c r="AW2066">
        <v>0</v>
      </c>
      <c r="AX2066">
        <v>2</v>
      </c>
      <c r="AY2066">
        <v>0</v>
      </c>
      <c r="AZ2066">
        <v>0</v>
      </c>
      <c r="BA2066">
        <v>100</v>
      </c>
      <c r="BB2066">
        <v>100</v>
      </c>
      <c r="BC2066">
        <v>100</v>
      </c>
      <c r="BD2066">
        <v>100</v>
      </c>
      <c r="BE2066">
        <v>1</v>
      </c>
      <c r="BF2066">
        <v>15000</v>
      </c>
      <c r="BG2066">
        <v>1000</v>
      </c>
      <c r="BH2066" s="6">
        <f>Grandview_Inventory[[#This Row],[land_extract]]*Lookups!$B$3</f>
        <v>49926.8031387023</v>
      </c>
      <c r="BI2066" s="6">
        <f>IF(Grandview_Inventory[[#This Row],[bldg_style]]="",0,Lookups!$B$2)</f>
        <v>155833.95000000001</v>
      </c>
      <c r="BJ2066" s="6">
        <f>_xlfn.IFNA(VLOOKUP(Grandview_Inventory[[#This Row],[quality]],Lookups!$H$2:$J$14,3,FALSE),0)</f>
        <v>10733</v>
      </c>
      <c r="BK2066" s="6">
        <f>_xlfn.IFNA(VLOOKUP(Grandview_Inventory[[#This Row],[condition]],Lookups!$H$17:$J$24,3,FALSE),0)</f>
        <v>-45357</v>
      </c>
      <c r="BL2066" s="6">
        <f>Grandview_Inventory[[#This Row],[Eff_Age]]*Lookups!$B$14</f>
        <v>-11958.33</v>
      </c>
      <c r="BM2066" s="6">
        <f>Grandview_Inventory[[#This Row],[living_area]]*Lookups!$B$15</f>
        <v>54708.008081</v>
      </c>
      <c r="BN2066" s="6">
        <f>Grandview_Inventory[[#This Row],[Fin BSMT]]*Lookups!$B$16</f>
        <v>0</v>
      </c>
      <c r="BO2066" s="6">
        <f>(Grandview_Inventory[[#This Row],[att_gar]]+Grandview_Inventory[[#This Row],[bltin_gar]])*Lookups!$B$17</f>
        <v>0</v>
      </c>
      <c r="BP2066" s="6">
        <f>Grandview_Inventory[[#This Row],[Plumbing Fixtures]]*Lookups!$B$18</f>
        <v>10052.209000000001</v>
      </c>
      <c r="BQ2066" s="6">
        <f>Grandview_Inventory[[#This Row],[detatched_value]]*Lookups!$B$19</f>
        <v>0</v>
      </c>
      <c r="BR2066" s="6">
        <f>SUM(Grandview_Inventory[[#This Row],[Intercept]:[det_value]])*Grandview_Inventory[[#This Row],[res_pct]]</f>
        <v>174011.83708100001</v>
      </c>
      <c r="BS2066" s="6">
        <f>Grandview_Inventory[[#This Row],[land_value]]</f>
        <v>49926.8031387023</v>
      </c>
      <c r="BT2066" s="4">
        <f>_xlfn.IFNA(VLOOKUP(Grandview_Inventory[[#This Row],[quality]],Lookups!$A$26:$C$33,3,FALSE),1)</f>
        <v>0.98079741117310582</v>
      </c>
      <c r="BU2066" s="4">
        <f>_xlfn.IFNA(VLOOKUP(Grandview_Inventory[[#This Row],[condition]],Lookups!$A$37:$C$44,3,FALSE),1)</f>
        <v>0.97161819570155394</v>
      </c>
      <c r="BV2066" s="4">
        <f>IF(Grandview_Inventory[[#This Row],[bldg_style]]="",1,_xlfn.IFNA(VLOOKUP(Grandview_Inventory[[#This Row],[decade]],Lookups!$F$29:$H$43,3,FALSE),1))</f>
        <v>0.98763256963907298</v>
      </c>
      <c r="BW2066" s="4">
        <f>_xlfn.IFNA(VLOOKUP(Grandview_Inventory[[#This Row],[living_area_range]],Lookups!$F$47:$H$56,3,FALSE),1)</f>
        <v>0.94306777142782894</v>
      </c>
      <c r="BX2066" s="4">
        <f>AVERAGE(Grandview_Inventory[[#This Row],[qual_adj]:[size_adj]])</f>
        <v>0.97077898698539034</v>
      </c>
      <c r="BY2066" s="6">
        <f>IF(Grandview_Inventory[[#This Row],[pre_res]]&lt;0,0,Grandview_Inventory[[#This Row],[pre_res]]*Grandview_Inventory[[#This Row],[overall_adj]])</f>
        <v>168927.03492495997</v>
      </c>
      <c r="BZ2066" s="6">
        <f>(Grandview_Inventory[[#This Row],[sum_land]]-IF(Grandview_Inventory[[#This Row],[no_utilities]]=1,12000,0))/IF(Grandview_Inventory[[#This Row],[unbuildable]]=1,2,1)</f>
        <v>49926.8031387023</v>
      </c>
      <c r="CA206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66">
        <f>ROUND(Grandview_Inventory[[#This Row],[det_value]]*Lookups!$M$28,-2)</f>
        <v>0</v>
      </c>
      <c r="CC2066">
        <f>IF(ROUND(Grandview_Inventory[[#This Row],[adj_res]]*Lookups!$M$28,-2)&lt;Grandview_Inventory[[#This Row],[min_res]],Grandview_Inventory[[#This Row],[min_res]],ROUND(Grandview_Inventory[[#This Row],[adj_res]]*Lookups!$M$28,-2))</f>
        <v>160500</v>
      </c>
      <c r="CD2066">
        <f>Grandview_Inventory[[#This Row],[final_det]]+Grandview_Inventory[[#This Row],[final_res]]</f>
        <v>160500</v>
      </c>
      <c r="CE2066">
        <f>Grandview_Inventory[[#This Row],[final_land]]+Grandview_Inventory[[#This Row],[final_imp]]+Grandview_Inventory[[#This Row],[crop_value]]</f>
        <v>207900</v>
      </c>
      <c r="CG2066" t="str">
        <f t="shared" si="32"/>
        <v>update valuation set market_land =47400, market_bldg=160500, market_total =207900, market_mdno =401, market_date ='9/10/2023' where link_id = (select link_id from parcel where parcel_year = '2024' and parcel_id = '23092423444');</v>
      </c>
    </row>
    <row r="2067" spans="1:85" x14ac:dyDescent="0.25">
      <c r="A2067">
        <v>23092423445</v>
      </c>
      <c r="B2067">
        <v>0.23</v>
      </c>
      <c r="C2067">
        <v>10014</v>
      </c>
      <c r="D2067" t="s">
        <v>129</v>
      </c>
      <c r="E2067" t="s">
        <v>53</v>
      </c>
      <c r="F2067" t="s">
        <v>53</v>
      </c>
      <c r="G2067">
        <v>4</v>
      </c>
      <c r="H2067" t="s">
        <v>54</v>
      </c>
      <c r="I2067">
        <v>167500</v>
      </c>
      <c r="J2067">
        <v>39500</v>
      </c>
      <c r="K2067">
        <v>0.23</v>
      </c>
      <c r="L206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67">
        <v>0</v>
      </c>
      <c r="N2067">
        <v>0</v>
      </c>
      <c r="O2067">
        <v>0</v>
      </c>
      <c r="P2067">
        <v>13398.7528</v>
      </c>
      <c r="Q2067">
        <v>63903</v>
      </c>
      <c r="R2067">
        <f>(Grandview_Inventory[[#This Row],[ln_acres]]*Grandview_Inventory[[#This Row],[coeff]])+Grandview_Inventory[[#This Row],[const]]</f>
        <v>44211.174981080039</v>
      </c>
      <c r="S2067" t="s">
        <v>85</v>
      </c>
      <c r="T2067">
        <v>1</v>
      </c>
      <c r="U2067" t="s">
        <v>70</v>
      </c>
      <c r="V2067" t="s">
        <v>67</v>
      </c>
      <c r="W2067">
        <v>0</v>
      </c>
      <c r="X2067">
        <v>0</v>
      </c>
      <c r="Y2067">
        <v>50</v>
      </c>
      <c r="Z2067">
        <v>73</v>
      </c>
      <c r="AA2067">
        <v>80</v>
      </c>
      <c r="AB2067">
        <v>1500</v>
      </c>
      <c r="AC2067">
        <v>1037</v>
      </c>
      <c r="AD2067">
        <v>1037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574</v>
      </c>
      <c r="AN2067">
        <v>36</v>
      </c>
      <c r="AO2067">
        <v>774</v>
      </c>
      <c r="AP2067">
        <v>5</v>
      </c>
      <c r="AQ2067">
        <v>0</v>
      </c>
      <c r="AR2067">
        <v>0</v>
      </c>
      <c r="AS2067" t="s">
        <v>58</v>
      </c>
      <c r="AT2067">
        <v>1</v>
      </c>
      <c r="AU2067" t="s">
        <v>75</v>
      </c>
      <c r="AV2067" t="s">
        <v>60</v>
      </c>
      <c r="AW2067">
        <v>0</v>
      </c>
      <c r="AX2067">
        <v>3</v>
      </c>
      <c r="AY2067">
        <v>0</v>
      </c>
      <c r="AZ2067">
        <v>8300</v>
      </c>
      <c r="BA2067">
        <v>100</v>
      </c>
      <c r="BB2067">
        <v>100</v>
      </c>
      <c r="BC2067">
        <v>100</v>
      </c>
      <c r="BD2067">
        <v>100</v>
      </c>
      <c r="BE2067">
        <v>1</v>
      </c>
      <c r="BF2067">
        <v>15000</v>
      </c>
      <c r="BG2067">
        <v>1000</v>
      </c>
      <c r="BH2067" s="6">
        <f>Grandview_Inventory[[#This Row],[land_extract]]*Lookups!$B$3</f>
        <v>51342.318135355803</v>
      </c>
      <c r="BI2067" s="6">
        <f>IF(Grandview_Inventory[[#This Row],[bldg_style]]="",0,Lookups!$B$2)</f>
        <v>155833.95000000001</v>
      </c>
      <c r="BJ2067" s="6">
        <f>_xlfn.IFNA(VLOOKUP(Grandview_Inventory[[#This Row],[quality]],Lookups!$H$2:$J$14,3,FALSE),0)</f>
        <v>10733</v>
      </c>
      <c r="BK2067" s="6">
        <f>_xlfn.IFNA(VLOOKUP(Grandview_Inventory[[#This Row],[condition]],Lookups!$H$17:$J$24,3,FALSE),0)</f>
        <v>22342</v>
      </c>
      <c r="BL2067" s="6">
        <f>Grandview_Inventory[[#This Row],[Eff_Age]]*Lookups!$B$14</f>
        <v>-11958.33</v>
      </c>
      <c r="BM2067" s="6">
        <f>Grandview_Inventory[[#This Row],[living_area]]*Lookups!$B$15</f>
        <v>64688.944561000004</v>
      </c>
      <c r="BN2067" s="6">
        <f>Grandview_Inventory[[#This Row],[Fin BSMT]]*Lookups!$B$16</f>
        <v>0</v>
      </c>
      <c r="BO2067" s="6">
        <f>(Grandview_Inventory[[#This Row],[att_gar]]+Grandview_Inventory[[#This Row],[bltin_gar]])*Lookups!$B$17</f>
        <v>0</v>
      </c>
      <c r="BP2067" s="6">
        <f>Grandview_Inventory[[#This Row],[Plumbing Fixtures]]*Lookups!$B$18</f>
        <v>10052.209000000001</v>
      </c>
      <c r="BQ2067" s="6">
        <f>Grandview_Inventory[[#This Row],[detatched_value]]*Lookups!$B$19</f>
        <v>7028.4823299999998</v>
      </c>
      <c r="BR2067" s="6">
        <f>SUM(Grandview_Inventory[[#This Row],[Intercept]:[det_value]])*Grandview_Inventory[[#This Row],[res_pct]]</f>
        <v>258720.25589100004</v>
      </c>
      <c r="BS2067" s="6">
        <f>Grandview_Inventory[[#This Row],[land_value]]</f>
        <v>51342.318135355803</v>
      </c>
      <c r="BT2067" s="4">
        <f>_xlfn.IFNA(VLOOKUP(Grandview_Inventory[[#This Row],[quality]],Lookups!$A$26:$C$33,3,FALSE),1)</f>
        <v>0.98079741117310582</v>
      </c>
      <c r="BU2067" s="4">
        <f>_xlfn.IFNA(VLOOKUP(Grandview_Inventory[[#This Row],[condition]],Lookups!$A$37:$C$44,3,FALSE),1)</f>
        <v>0.97383723671140243</v>
      </c>
      <c r="BV2067" s="4">
        <f>IF(Grandview_Inventory[[#This Row],[bldg_style]]="",1,_xlfn.IFNA(VLOOKUP(Grandview_Inventory[[#This Row],[decade]],Lookups!$F$29:$H$43,3,FALSE),1))</f>
        <v>0.98763256963907298</v>
      </c>
      <c r="BW2067" s="4">
        <f>_xlfn.IFNA(VLOOKUP(Grandview_Inventory[[#This Row],[living_area_range]],Lookups!$F$47:$H$56,3,FALSE),1)</f>
        <v>0.96135087979789358</v>
      </c>
      <c r="BX2067" s="4">
        <f>AVERAGE(Grandview_Inventory[[#This Row],[qual_adj]:[size_adj]])</f>
        <v>0.97590452433036867</v>
      </c>
      <c r="BY2067" s="6">
        <f>IF(Grandview_Inventory[[#This Row],[pre_res]]&lt;0,0,Grandview_Inventory[[#This Row],[pre_res]]*Grandview_Inventory[[#This Row],[overall_adj]])</f>
        <v>252486.26825993764</v>
      </c>
      <c r="BZ2067" s="6">
        <f>(Grandview_Inventory[[#This Row],[sum_land]]-IF(Grandview_Inventory[[#This Row],[no_utilities]]=1,12000,0))/IF(Grandview_Inventory[[#This Row],[unbuildable]]=1,2,1)</f>
        <v>51342.318135355803</v>
      </c>
      <c r="CA206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67">
        <f>ROUND(Grandview_Inventory[[#This Row],[det_value]]*Lookups!$M$28,-2)</f>
        <v>6700</v>
      </c>
      <c r="CC2067">
        <f>IF(ROUND(Grandview_Inventory[[#This Row],[adj_res]]*Lookups!$M$28,-2)&lt;Grandview_Inventory[[#This Row],[min_res]],Grandview_Inventory[[#This Row],[min_res]],ROUND(Grandview_Inventory[[#This Row],[adj_res]]*Lookups!$M$28,-2))</f>
        <v>239900</v>
      </c>
      <c r="CD2067">
        <f>Grandview_Inventory[[#This Row],[final_det]]+Grandview_Inventory[[#This Row],[final_res]]</f>
        <v>246600</v>
      </c>
      <c r="CE2067">
        <f>Grandview_Inventory[[#This Row],[final_land]]+Grandview_Inventory[[#This Row],[final_imp]]+Grandview_Inventory[[#This Row],[crop_value]]</f>
        <v>295400</v>
      </c>
      <c r="CG2067" t="str">
        <f t="shared" si="32"/>
        <v>update valuation set market_land =48800, market_bldg=246600, market_total =295400, market_mdno =401, market_date ='9/10/2023' where link_id = (select link_id from parcel where parcel_year = '2024' and parcel_id = '23092423445');</v>
      </c>
    </row>
    <row r="2068" spans="1:85" x14ac:dyDescent="0.25">
      <c r="A2068">
        <v>23092423446</v>
      </c>
      <c r="B2068">
        <v>0.18</v>
      </c>
      <c r="C2068">
        <v>7936</v>
      </c>
      <c r="D2068" t="s">
        <v>129</v>
      </c>
      <c r="E2068" t="s">
        <v>53</v>
      </c>
      <c r="F2068" t="s">
        <v>53</v>
      </c>
      <c r="G2068">
        <v>4</v>
      </c>
      <c r="H2068" t="s">
        <v>54</v>
      </c>
      <c r="I2068">
        <v>155100</v>
      </c>
      <c r="J2068">
        <v>43300</v>
      </c>
      <c r="K2068">
        <v>0.18</v>
      </c>
      <c r="L206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68">
        <v>0</v>
      </c>
      <c r="N2068">
        <v>0</v>
      </c>
      <c r="O2068">
        <v>0</v>
      </c>
      <c r="P2068">
        <v>13398.7528</v>
      </c>
      <c r="Q2068">
        <v>63903</v>
      </c>
      <c r="R2068">
        <f>(Grandview_Inventory[[#This Row],[ln_acres]]*Grandview_Inventory[[#This Row],[coeff]])+Grandview_Inventory[[#This Row],[const]]</f>
        <v>40926.839760167699</v>
      </c>
      <c r="S2068" t="s">
        <v>68</v>
      </c>
      <c r="T2068">
        <v>1</v>
      </c>
      <c r="U2068" t="s">
        <v>70</v>
      </c>
      <c r="V2068" t="s">
        <v>67</v>
      </c>
      <c r="W2068">
        <v>0</v>
      </c>
      <c r="X2068">
        <v>0</v>
      </c>
      <c r="Y2068">
        <v>50</v>
      </c>
      <c r="Z2068">
        <v>73</v>
      </c>
      <c r="AA2068">
        <v>80</v>
      </c>
      <c r="AB2068">
        <v>1000</v>
      </c>
      <c r="AC2068">
        <v>970</v>
      </c>
      <c r="AD2068">
        <v>970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462</v>
      </c>
      <c r="AN2068">
        <v>20</v>
      </c>
      <c r="AO2068">
        <v>462</v>
      </c>
      <c r="AP2068">
        <v>5</v>
      </c>
      <c r="AQ2068">
        <v>0</v>
      </c>
      <c r="AR2068">
        <v>0</v>
      </c>
      <c r="AS2068" t="s">
        <v>58</v>
      </c>
      <c r="AT2068">
        <v>1</v>
      </c>
      <c r="AU2068" t="s">
        <v>63</v>
      </c>
      <c r="AV2068" t="s">
        <v>64</v>
      </c>
      <c r="AW2068">
        <v>0</v>
      </c>
      <c r="AX2068">
        <v>3</v>
      </c>
      <c r="AY2068">
        <v>0</v>
      </c>
      <c r="AZ2068">
        <v>7900</v>
      </c>
      <c r="BA2068">
        <v>100</v>
      </c>
      <c r="BB2068">
        <v>100</v>
      </c>
      <c r="BC2068">
        <v>100</v>
      </c>
      <c r="BD2068">
        <v>100</v>
      </c>
      <c r="BE2068">
        <v>1</v>
      </c>
      <c r="BF2068">
        <v>15000</v>
      </c>
      <c r="BG2068">
        <v>1000</v>
      </c>
      <c r="BH2068" s="6">
        <f>Grandview_Inventory[[#This Row],[land_extract]]*Lookups!$B$3</f>
        <v>47528.228511015397</v>
      </c>
      <c r="BI2068" s="6">
        <f>IF(Grandview_Inventory[[#This Row],[bldg_style]]="",0,Lookups!$B$2)</f>
        <v>155833.95000000001</v>
      </c>
      <c r="BJ2068" s="6">
        <f>_xlfn.IFNA(VLOOKUP(Grandview_Inventory[[#This Row],[quality]],Lookups!$H$2:$J$14,3,FALSE),0)</f>
        <v>10733</v>
      </c>
      <c r="BK2068" s="6">
        <f>_xlfn.IFNA(VLOOKUP(Grandview_Inventory[[#This Row],[condition]],Lookups!$H$17:$J$24,3,FALSE),0)</f>
        <v>22342</v>
      </c>
      <c r="BL2068" s="6">
        <f>Grandview_Inventory[[#This Row],[Eff_Age]]*Lookups!$B$14</f>
        <v>-11958.33</v>
      </c>
      <c r="BM2068" s="6">
        <f>Grandview_Inventory[[#This Row],[living_area]]*Lookups!$B$15</f>
        <v>60509.427410000004</v>
      </c>
      <c r="BN2068" s="6">
        <f>Grandview_Inventory[[#This Row],[Fin BSMT]]*Lookups!$B$16</f>
        <v>0</v>
      </c>
      <c r="BO2068" s="6">
        <f>(Grandview_Inventory[[#This Row],[att_gar]]+Grandview_Inventory[[#This Row],[bltin_gar]])*Lookups!$B$17</f>
        <v>0</v>
      </c>
      <c r="BP2068" s="6">
        <f>Grandview_Inventory[[#This Row],[Plumbing Fixtures]]*Lookups!$B$18</f>
        <v>10052.209000000001</v>
      </c>
      <c r="BQ2068" s="6">
        <f>Grandview_Inventory[[#This Row],[detatched_value]]*Lookups!$B$19</f>
        <v>6689.7602900000002</v>
      </c>
      <c r="BR2068" s="6">
        <f>SUM(Grandview_Inventory[[#This Row],[Intercept]:[det_value]])*Grandview_Inventory[[#This Row],[res_pct]]</f>
        <v>254202.01670000004</v>
      </c>
      <c r="BS2068" s="6">
        <f>Grandview_Inventory[[#This Row],[land_value]]</f>
        <v>47528.228511015397</v>
      </c>
      <c r="BT2068" s="4">
        <f>_xlfn.IFNA(VLOOKUP(Grandview_Inventory[[#This Row],[quality]],Lookups!$A$26:$C$33,3,FALSE),1)</f>
        <v>0.98079741117310582</v>
      </c>
      <c r="BU2068" s="4">
        <f>_xlfn.IFNA(VLOOKUP(Grandview_Inventory[[#This Row],[condition]],Lookups!$A$37:$C$44,3,FALSE),1)</f>
        <v>0.97383723671140243</v>
      </c>
      <c r="BV2068" s="4">
        <f>IF(Grandview_Inventory[[#This Row],[bldg_style]]="",1,_xlfn.IFNA(VLOOKUP(Grandview_Inventory[[#This Row],[decade]],Lookups!$F$29:$H$43,3,FALSE),1))</f>
        <v>0.98763256963907298</v>
      </c>
      <c r="BW2068" s="4">
        <f>_xlfn.IFNA(VLOOKUP(Grandview_Inventory[[#This Row],[living_area_range]],Lookups!$F$47:$H$56,3,FALSE),1)</f>
        <v>0.94306777142782894</v>
      </c>
      <c r="BX2068" s="4">
        <f>AVERAGE(Grandview_Inventory[[#This Row],[qual_adj]:[size_adj]])</f>
        <v>0.97133374723785249</v>
      </c>
      <c r="BY2068" s="6">
        <f>IF(Grandview_Inventory[[#This Row],[pre_res]]&lt;0,0,Grandview_Inventory[[#This Row],[pre_res]]*Grandview_Inventory[[#This Row],[overall_adj]])</f>
        <v>246914.99743663019</v>
      </c>
      <c r="BZ2068" s="6">
        <f>(Grandview_Inventory[[#This Row],[sum_land]]-IF(Grandview_Inventory[[#This Row],[no_utilities]]=1,12000,0))/IF(Grandview_Inventory[[#This Row],[unbuildable]]=1,2,1)</f>
        <v>47528.228511015397</v>
      </c>
      <c r="CA206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68">
        <f>ROUND(Grandview_Inventory[[#This Row],[det_value]]*Lookups!$M$28,-2)</f>
        <v>6400</v>
      </c>
      <c r="CC2068">
        <f>IF(ROUND(Grandview_Inventory[[#This Row],[adj_res]]*Lookups!$M$28,-2)&lt;Grandview_Inventory[[#This Row],[min_res]],Grandview_Inventory[[#This Row],[min_res]],ROUND(Grandview_Inventory[[#This Row],[adj_res]]*Lookups!$M$28,-2))</f>
        <v>234600</v>
      </c>
      <c r="CD2068">
        <f>Grandview_Inventory[[#This Row],[final_det]]+Grandview_Inventory[[#This Row],[final_res]]</f>
        <v>241000</v>
      </c>
      <c r="CE2068">
        <f>Grandview_Inventory[[#This Row],[final_land]]+Grandview_Inventory[[#This Row],[final_imp]]+Grandview_Inventory[[#This Row],[crop_value]]</f>
        <v>286200</v>
      </c>
      <c r="CG2068" t="str">
        <f t="shared" si="32"/>
        <v>update valuation set market_land =45200, market_bldg=241000, market_total =286200, market_mdno =401, market_date ='9/10/2023' where link_id = (select link_id from parcel where parcel_year = '2024' and parcel_id = '23092423446');</v>
      </c>
    </row>
    <row r="2069" spans="1:85" x14ac:dyDescent="0.25">
      <c r="A2069">
        <v>23092423447</v>
      </c>
      <c r="B2069">
        <v>0.24</v>
      </c>
      <c r="C2069">
        <v>10477</v>
      </c>
      <c r="D2069" t="s">
        <v>129</v>
      </c>
      <c r="E2069" t="s">
        <v>53</v>
      </c>
      <c r="F2069" t="s">
        <v>53</v>
      </c>
      <c r="G2069">
        <v>4</v>
      </c>
      <c r="H2069" t="s">
        <v>54</v>
      </c>
      <c r="I2069">
        <v>127900</v>
      </c>
      <c r="J2069">
        <v>39800</v>
      </c>
      <c r="K2069">
        <v>0.24</v>
      </c>
      <c r="L2069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069">
        <v>0</v>
      </c>
      <c r="N2069">
        <v>0</v>
      </c>
      <c r="O2069">
        <v>0</v>
      </c>
      <c r="P2069">
        <v>13398.7528</v>
      </c>
      <c r="Q2069">
        <v>63903</v>
      </c>
      <c r="R2069">
        <f>(Grandview_Inventory[[#This Row],[ln_acres]]*Grandview_Inventory[[#This Row],[coeff]])+Grandview_Inventory[[#This Row],[const]]</f>
        <v>44781.420733940802</v>
      </c>
      <c r="S2069" t="s">
        <v>68</v>
      </c>
      <c r="T2069">
        <v>1</v>
      </c>
      <c r="U2069" t="s">
        <v>65</v>
      </c>
      <c r="V2069" t="s">
        <v>67</v>
      </c>
      <c r="W2069">
        <v>0</v>
      </c>
      <c r="X2069">
        <v>0</v>
      </c>
      <c r="Y2069">
        <v>50</v>
      </c>
      <c r="Z2069">
        <v>72</v>
      </c>
      <c r="AA2069">
        <v>80</v>
      </c>
      <c r="AB2069">
        <v>1500</v>
      </c>
      <c r="AC2069">
        <v>1367</v>
      </c>
      <c r="AD2069">
        <v>1367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475</v>
      </c>
      <c r="AN2069">
        <v>20</v>
      </c>
      <c r="AO2069">
        <v>288</v>
      </c>
      <c r="AP2069">
        <v>8</v>
      </c>
      <c r="AQ2069">
        <v>0</v>
      </c>
      <c r="AR2069">
        <v>0</v>
      </c>
      <c r="AS2069" t="s">
        <v>58</v>
      </c>
      <c r="AT2069">
        <v>1</v>
      </c>
      <c r="AU2069" t="s">
        <v>59</v>
      </c>
      <c r="AV2069" t="s">
        <v>60</v>
      </c>
      <c r="AW2069">
        <v>1</v>
      </c>
      <c r="AX2069">
        <v>3</v>
      </c>
      <c r="AY2069">
        <v>0</v>
      </c>
      <c r="AZ2069">
        <v>7100</v>
      </c>
      <c r="BA2069">
        <v>100</v>
      </c>
      <c r="BB2069">
        <v>100</v>
      </c>
      <c r="BC2069">
        <v>100</v>
      </c>
      <c r="BD2069">
        <v>100</v>
      </c>
      <c r="BE2069">
        <v>1</v>
      </c>
      <c r="BF2069">
        <v>15000</v>
      </c>
      <c r="BG2069">
        <v>1000</v>
      </c>
      <c r="BH2069" s="6">
        <f>Grandview_Inventory[[#This Row],[land_extract]]*Lookups!$B$3</f>
        <v>52004.542988489469</v>
      </c>
      <c r="BI2069" s="6">
        <f>IF(Grandview_Inventory[[#This Row],[bldg_style]]="",0,Lookups!$B$2)</f>
        <v>155833.95000000001</v>
      </c>
      <c r="BJ2069" s="6">
        <f>_xlfn.IFNA(VLOOKUP(Grandview_Inventory[[#This Row],[quality]],Lookups!$H$2:$J$14,3,FALSE),0)</f>
        <v>2251</v>
      </c>
      <c r="BK2069" s="6">
        <f>_xlfn.IFNA(VLOOKUP(Grandview_Inventory[[#This Row],[condition]],Lookups!$H$17:$J$24,3,FALSE),0)</f>
        <v>22342</v>
      </c>
      <c r="BL2069" s="6">
        <f>Grandview_Inventory[[#This Row],[Eff_Age]]*Lookups!$B$14</f>
        <v>-11958.33</v>
      </c>
      <c r="BM2069" s="6">
        <f>Grandview_Inventory[[#This Row],[living_area]]*Lookups!$B$15</f>
        <v>85274.626050999999</v>
      </c>
      <c r="BN2069" s="6">
        <f>Grandview_Inventory[[#This Row],[Fin BSMT]]*Lookups!$B$16</f>
        <v>0</v>
      </c>
      <c r="BO2069" s="6">
        <f>(Grandview_Inventory[[#This Row],[att_gar]]+Grandview_Inventory[[#This Row],[bltin_gar]])*Lookups!$B$17</f>
        <v>0</v>
      </c>
      <c r="BP2069" s="6">
        <f>Grandview_Inventory[[#This Row],[Plumbing Fixtures]]*Lookups!$B$18</f>
        <v>16083.5344</v>
      </c>
      <c r="BQ2069" s="6">
        <f>Grandview_Inventory[[#This Row],[detatched_value]]*Lookups!$B$19</f>
        <v>6012.31621</v>
      </c>
      <c r="BR2069" s="6">
        <f>SUM(Grandview_Inventory[[#This Row],[Intercept]:[det_value]])*Grandview_Inventory[[#This Row],[res_pct]]</f>
        <v>275839.09666100005</v>
      </c>
      <c r="BS2069" s="6">
        <f>Grandview_Inventory[[#This Row],[land_value]]</f>
        <v>52004.542988489469</v>
      </c>
      <c r="BT2069" s="4">
        <f>_xlfn.IFNA(VLOOKUP(Grandview_Inventory[[#This Row],[quality]],Lookups!$A$26:$C$33,3,FALSE),1)</f>
        <v>0.98763855981004833</v>
      </c>
      <c r="BU2069" s="4">
        <f>_xlfn.IFNA(VLOOKUP(Grandview_Inventory[[#This Row],[condition]],Lookups!$A$37:$C$44,3,FALSE),1)</f>
        <v>0.97383723671140243</v>
      </c>
      <c r="BV2069" s="4">
        <f>IF(Grandview_Inventory[[#This Row],[bldg_style]]="",1,_xlfn.IFNA(VLOOKUP(Grandview_Inventory[[#This Row],[decade]],Lookups!$F$29:$H$43,3,FALSE),1))</f>
        <v>0.98763256963907298</v>
      </c>
      <c r="BW2069" s="4">
        <f>_xlfn.IFNA(VLOOKUP(Grandview_Inventory[[#This Row],[living_area_range]],Lookups!$F$47:$H$56,3,FALSE),1)</f>
        <v>0.96135087979789358</v>
      </c>
      <c r="BX2069" s="4">
        <f>AVERAGE(Grandview_Inventory[[#This Row],[qual_adj]:[size_adj]])</f>
        <v>0.97761481148960427</v>
      </c>
      <c r="BY2069" s="6">
        <f>IF(Grandview_Inventory[[#This Row],[pre_res]]&lt;0,0,Grandview_Inventory[[#This Row],[pre_res]]*Grandview_Inventory[[#This Row],[overall_adj]])</f>
        <v>269664.3864837063</v>
      </c>
      <c r="BZ2069" s="6">
        <f>(Grandview_Inventory[[#This Row],[sum_land]]-IF(Grandview_Inventory[[#This Row],[no_utilities]]=1,12000,0))/IF(Grandview_Inventory[[#This Row],[unbuildable]]=1,2,1)</f>
        <v>52004.542988489469</v>
      </c>
      <c r="CA2069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069">
        <f>ROUND(Grandview_Inventory[[#This Row],[det_value]]*Lookups!$M$28,-2)</f>
        <v>5700</v>
      </c>
      <c r="CC2069">
        <f>IF(ROUND(Grandview_Inventory[[#This Row],[adj_res]]*Lookups!$M$28,-2)&lt;Grandview_Inventory[[#This Row],[min_res]],Grandview_Inventory[[#This Row],[min_res]],ROUND(Grandview_Inventory[[#This Row],[adj_res]]*Lookups!$M$28,-2))</f>
        <v>256200</v>
      </c>
      <c r="CD2069">
        <f>Grandview_Inventory[[#This Row],[final_det]]+Grandview_Inventory[[#This Row],[final_res]]</f>
        <v>261900</v>
      </c>
      <c r="CE2069">
        <f>Grandview_Inventory[[#This Row],[final_land]]+Grandview_Inventory[[#This Row],[final_imp]]+Grandview_Inventory[[#This Row],[crop_value]]</f>
        <v>311300</v>
      </c>
      <c r="CG2069" t="str">
        <f t="shared" si="32"/>
        <v>update valuation set market_land =49400, market_bldg=261900, market_total =311300, market_mdno =401, market_date ='9/10/2023' where link_id = (select link_id from parcel where parcel_year = '2024' and parcel_id = '23092423447');</v>
      </c>
    </row>
    <row r="2070" spans="1:85" x14ac:dyDescent="0.25">
      <c r="A2070">
        <v>23092423448</v>
      </c>
      <c r="B2070">
        <v>0.2</v>
      </c>
      <c r="C2070">
        <v>8588</v>
      </c>
      <c r="D2070" t="s">
        <v>129</v>
      </c>
      <c r="E2070" t="s">
        <v>53</v>
      </c>
      <c r="F2070" t="s">
        <v>53</v>
      </c>
      <c r="G2070">
        <v>4</v>
      </c>
      <c r="H2070" t="s">
        <v>54</v>
      </c>
      <c r="I2070">
        <v>150400</v>
      </c>
      <c r="J2070">
        <v>39300</v>
      </c>
      <c r="K2070">
        <v>0.2</v>
      </c>
      <c r="L207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70">
        <v>0</v>
      </c>
      <c r="N2070">
        <v>0</v>
      </c>
      <c r="O2070">
        <v>0</v>
      </c>
      <c r="P2070">
        <v>13398.7528</v>
      </c>
      <c r="Q2070">
        <v>63903</v>
      </c>
      <c r="R2070">
        <f>(Grandview_Inventory[[#This Row],[ln_acres]]*Grandview_Inventory[[#This Row],[coeff]])+Grandview_Inventory[[#This Row],[const]]</f>
        <v>42338.539264347448</v>
      </c>
      <c r="S2070" t="s">
        <v>68</v>
      </c>
      <c r="T2070">
        <v>1</v>
      </c>
      <c r="U2070" t="s">
        <v>70</v>
      </c>
      <c r="V2070" t="s">
        <v>67</v>
      </c>
      <c r="W2070">
        <v>0</v>
      </c>
      <c r="X2070">
        <v>0</v>
      </c>
      <c r="Y2070">
        <v>50</v>
      </c>
      <c r="Z2070">
        <v>73</v>
      </c>
      <c r="AA2070">
        <v>80</v>
      </c>
      <c r="AB2070">
        <v>1000</v>
      </c>
      <c r="AC2070">
        <v>827</v>
      </c>
      <c r="AD2070">
        <v>827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5</v>
      </c>
      <c r="AQ2070">
        <v>0</v>
      </c>
      <c r="AR2070">
        <v>0</v>
      </c>
      <c r="AS2070" t="s">
        <v>58</v>
      </c>
      <c r="AT2070">
        <v>1</v>
      </c>
      <c r="AU2070" t="s">
        <v>75</v>
      </c>
      <c r="AV2070" t="s">
        <v>60</v>
      </c>
      <c r="AW2070">
        <v>0</v>
      </c>
      <c r="AX2070">
        <v>2</v>
      </c>
      <c r="AY2070">
        <v>0</v>
      </c>
      <c r="AZ2070">
        <v>5200</v>
      </c>
      <c r="BA2070">
        <v>100</v>
      </c>
      <c r="BB2070">
        <v>100</v>
      </c>
      <c r="BC2070">
        <v>100</v>
      </c>
      <c r="BD2070">
        <v>100</v>
      </c>
      <c r="BE2070">
        <v>1</v>
      </c>
      <c r="BF2070">
        <v>15000</v>
      </c>
      <c r="BG2070">
        <v>1000</v>
      </c>
      <c r="BH2070" s="6">
        <f>Grandview_Inventory[[#This Row],[land_extract]]*Lookups!$B$3</f>
        <v>49167.631333630678</v>
      </c>
      <c r="BI2070" s="6">
        <f>IF(Grandview_Inventory[[#This Row],[bldg_style]]="",0,Lookups!$B$2)</f>
        <v>155833.95000000001</v>
      </c>
      <c r="BJ2070" s="6">
        <f>_xlfn.IFNA(VLOOKUP(Grandview_Inventory[[#This Row],[quality]],Lookups!$H$2:$J$14,3,FALSE),0)</f>
        <v>10733</v>
      </c>
      <c r="BK2070" s="6">
        <f>_xlfn.IFNA(VLOOKUP(Grandview_Inventory[[#This Row],[condition]],Lookups!$H$17:$J$24,3,FALSE),0)</f>
        <v>22342</v>
      </c>
      <c r="BL2070" s="6">
        <f>Grandview_Inventory[[#This Row],[Eff_Age]]*Lookups!$B$14</f>
        <v>-11958.33</v>
      </c>
      <c r="BM2070" s="6">
        <f>Grandview_Inventory[[#This Row],[living_area]]*Lookups!$B$15</f>
        <v>51588.965431000004</v>
      </c>
      <c r="BN2070" s="6">
        <f>Grandview_Inventory[[#This Row],[Fin BSMT]]*Lookups!$B$16</f>
        <v>0</v>
      </c>
      <c r="BO2070" s="6">
        <f>(Grandview_Inventory[[#This Row],[att_gar]]+Grandview_Inventory[[#This Row],[bltin_gar]])*Lookups!$B$17</f>
        <v>0</v>
      </c>
      <c r="BP2070" s="6">
        <f>Grandview_Inventory[[#This Row],[Plumbing Fixtures]]*Lookups!$B$18</f>
        <v>10052.209000000001</v>
      </c>
      <c r="BQ2070" s="6">
        <f>Grandview_Inventory[[#This Row],[detatched_value]]*Lookups!$B$19</f>
        <v>4403.38652</v>
      </c>
      <c r="BR2070" s="6">
        <f>SUM(Grandview_Inventory[[#This Row],[Intercept]:[det_value]])*Grandview_Inventory[[#This Row],[res_pct]]</f>
        <v>242995.18095100005</v>
      </c>
      <c r="BS2070" s="6">
        <f>Grandview_Inventory[[#This Row],[land_value]]</f>
        <v>49167.631333630678</v>
      </c>
      <c r="BT2070" s="4">
        <f>_xlfn.IFNA(VLOOKUP(Grandview_Inventory[[#This Row],[quality]],Lookups!$A$26:$C$33,3,FALSE),1)</f>
        <v>0.98079741117310582</v>
      </c>
      <c r="BU2070" s="4">
        <f>_xlfn.IFNA(VLOOKUP(Grandview_Inventory[[#This Row],[condition]],Lookups!$A$37:$C$44,3,FALSE),1)</f>
        <v>0.97383723671140243</v>
      </c>
      <c r="BV2070" s="4">
        <f>IF(Grandview_Inventory[[#This Row],[bldg_style]]="",1,_xlfn.IFNA(VLOOKUP(Grandview_Inventory[[#This Row],[decade]],Lookups!$F$29:$H$43,3,FALSE),1))</f>
        <v>0.98763256963907298</v>
      </c>
      <c r="BW2070" s="4">
        <f>_xlfn.IFNA(VLOOKUP(Grandview_Inventory[[#This Row],[living_area_range]],Lookups!$F$47:$H$56,3,FALSE),1)</f>
        <v>0.94306777142782894</v>
      </c>
      <c r="BX2070" s="4">
        <f>AVERAGE(Grandview_Inventory[[#This Row],[qual_adj]:[size_adj]])</f>
        <v>0.97133374723785249</v>
      </c>
      <c r="BY2070" s="6">
        <f>IF(Grandview_Inventory[[#This Row],[pre_res]]&lt;0,0,Grandview_Inventory[[#This Row],[pre_res]]*Grandview_Inventory[[#This Row],[overall_adj]])</f>
        <v>236029.41967387492</v>
      </c>
      <c r="BZ2070" s="6">
        <f>(Grandview_Inventory[[#This Row],[sum_land]]-IF(Grandview_Inventory[[#This Row],[no_utilities]]=1,12000,0))/IF(Grandview_Inventory[[#This Row],[unbuildable]]=1,2,1)</f>
        <v>49167.631333630678</v>
      </c>
      <c r="CA207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70">
        <f>ROUND(Grandview_Inventory[[#This Row],[det_value]]*Lookups!$M$28,-2)</f>
        <v>4200</v>
      </c>
      <c r="CC2070">
        <f>IF(ROUND(Grandview_Inventory[[#This Row],[adj_res]]*Lookups!$M$28,-2)&lt;Grandview_Inventory[[#This Row],[min_res]],Grandview_Inventory[[#This Row],[min_res]],ROUND(Grandview_Inventory[[#This Row],[adj_res]]*Lookups!$M$28,-2))</f>
        <v>224200</v>
      </c>
      <c r="CD2070">
        <f>Grandview_Inventory[[#This Row],[final_det]]+Grandview_Inventory[[#This Row],[final_res]]</f>
        <v>228400</v>
      </c>
      <c r="CE2070">
        <f>Grandview_Inventory[[#This Row],[final_land]]+Grandview_Inventory[[#This Row],[final_imp]]+Grandview_Inventory[[#This Row],[crop_value]]</f>
        <v>275100</v>
      </c>
      <c r="CG2070" t="str">
        <f t="shared" si="32"/>
        <v>update valuation set market_land =46700, market_bldg=228400, market_total =275100, market_mdno =401, market_date ='9/10/2023' where link_id = (select link_id from parcel where parcel_year = '2024' and parcel_id = '23092423448');</v>
      </c>
    </row>
    <row r="2071" spans="1:85" x14ac:dyDescent="0.25">
      <c r="A2071">
        <v>23092423449</v>
      </c>
      <c r="B2071">
        <v>0.2</v>
      </c>
      <c r="C2071">
        <v>8751</v>
      </c>
      <c r="D2071" t="s">
        <v>129</v>
      </c>
      <c r="E2071" t="s">
        <v>53</v>
      </c>
      <c r="F2071" t="s">
        <v>53</v>
      </c>
      <c r="G2071">
        <v>4</v>
      </c>
      <c r="H2071" t="s">
        <v>54</v>
      </c>
      <c r="I2071">
        <v>96200</v>
      </c>
      <c r="J2071">
        <v>39300</v>
      </c>
      <c r="K2071">
        <v>0.2</v>
      </c>
      <c r="L207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71">
        <v>0</v>
      </c>
      <c r="N2071">
        <v>0</v>
      </c>
      <c r="O2071">
        <v>0</v>
      </c>
      <c r="P2071">
        <v>13398.7528</v>
      </c>
      <c r="Q2071">
        <v>63903</v>
      </c>
      <c r="R2071">
        <f>(Grandview_Inventory[[#This Row],[ln_acres]]*Grandview_Inventory[[#This Row],[coeff]])+Grandview_Inventory[[#This Row],[const]]</f>
        <v>42338.539264347448</v>
      </c>
      <c r="S2071" t="s">
        <v>68</v>
      </c>
      <c r="T2071">
        <v>1</v>
      </c>
      <c r="U2071" t="s">
        <v>70</v>
      </c>
      <c r="V2071" t="s">
        <v>78</v>
      </c>
      <c r="W2071">
        <v>0</v>
      </c>
      <c r="X2071">
        <v>0</v>
      </c>
      <c r="Y2071">
        <v>50</v>
      </c>
      <c r="Z2071">
        <v>73</v>
      </c>
      <c r="AA2071">
        <v>80</v>
      </c>
      <c r="AB2071">
        <v>1000</v>
      </c>
      <c r="AC2071">
        <v>827</v>
      </c>
      <c r="AD2071">
        <v>827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360</v>
      </c>
      <c r="AL2071">
        <v>0</v>
      </c>
      <c r="AM2071">
        <v>133</v>
      </c>
      <c r="AN2071">
        <v>0</v>
      </c>
      <c r="AO2071">
        <v>133</v>
      </c>
      <c r="AP2071">
        <v>5</v>
      </c>
      <c r="AQ2071">
        <v>0</v>
      </c>
      <c r="AR2071">
        <v>0</v>
      </c>
      <c r="AS2071" t="s">
        <v>58</v>
      </c>
      <c r="AT2071">
        <v>1</v>
      </c>
      <c r="AU2071" t="s">
        <v>75</v>
      </c>
      <c r="AV2071" t="s">
        <v>60</v>
      </c>
      <c r="AW2071">
        <v>0</v>
      </c>
      <c r="AX2071">
        <v>2</v>
      </c>
      <c r="AY2071">
        <v>0</v>
      </c>
      <c r="AZ2071">
        <v>0</v>
      </c>
      <c r="BA2071">
        <v>100</v>
      </c>
      <c r="BB2071">
        <v>100</v>
      </c>
      <c r="BC2071">
        <v>100</v>
      </c>
      <c r="BD2071">
        <v>100</v>
      </c>
      <c r="BE2071">
        <v>1</v>
      </c>
      <c r="BF2071">
        <v>15000</v>
      </c>
      <c r="BG2071">
        <v>1000</v>
      </c>
      <c r="BH2071" s="6">
        <f>Grandview_Inventory[[#This Row],[land_extract]]*Lookups!$B$3</f>
        <v>49167.631333630678</v>
      </c>
      <c r="BI2071" s="6">
        <f>IF(Grandview_Inventory[[#This Row],[bldg_style]]="",0,Lookups!$B$2)</f>
        <v>155833.95000000001</v>
      </c>
      <c r="BJ2071" s="6">
        <f>_xlfn.IFNA(VLOOKUP(Grandview_Inventory[[#This Row],[quality]],Lookups!$H$2:$J$14,3,FALSE),0)</f>
        <v>10733</v>
      </c>
      <c r="BK2071" s="6">
        <f>_xlfn.IFNA(VLOOKUP(Grandview_Inventory[[#This Row],[condition]],Lookups!$H$17:$J$24,3,FALSE),0)</f>
        <v>-45357</v>
      </c>
      <c r="BL2071" s="6">
        <f>Grandview_Inventory[[#This Row],[Eff_Age]]*Lookups!$B$14</f>
        <v>-11958.33</v>
      </c>
      <c r="BM2071" s="6">
        <f>Grandview_Inventory[[#This Row],[living_area]]*Lookups!$B$15</f>
        <v>51588.965431000004</v>
      </c>
      <c r="BN2071" s="6">
        <f>Grandview_Inventory[[#This Row],[Fin BSMT]]*Lookups!$B$16</f>
        <v>0</v>
      </c>
      <c r="BO2071" s="6">
        <f>(Grandview_Inventory[[#This Row],[att_gar]]+Grandview_Inventory[[#This Row],[bltin_gar]])*Lookups!$B$17</f>
        <v>0</v>
      </c>
      <c r="BP2071" s="6">
        <f>Grandview_Inventory[[#This Row],[Plumbing Fixtures]]*Lookups!$B$18</f>
        <v>10052.209000000001</v>
      </c>
      <c r="BQ2071" s="6">
        <f>Grandview_Inventory[[#This Row],[detatched_value]]*Lookups!$B$19</f>
        <v>0</v>
      </c>
      <c r="BR2071" s="6">
        <f>SUM(Grandview_Inventory[[#This Row],[Intercept]:[det_value]])*Grandview_Inventory[[#This Row],[res_pct]]</f>
        <v>170892.79443100002</v>
      </c>
      <c r="BS2071" s="6">
        <f>Grandview_Inventory[[#This Row],[land_value]]</f>
        <v>49167.631333630678</v>
      </c>
      <c r="BT2071" s="4">
        <f>_xlfn.IFNA(VLOOKUP(Grandview_Inventory[[#This Row],[quality]],Lookups!$A$26:$C$33,3,FALSE),1)</f>
        <v>0.98079741117310582</v>
      </c>
      <c r="BU2071" s="4">
        <f>_xlfn.IFNA(VLOOKUP(Grandview_Inventory[[#This Row],[condition]],Lookups!$A$37:$C$44,3,FALSE),1)</f>
        <v>0.97161819570155394</v>
      </c>
      <c r="BV2071" s="4">
        <f>IF(Grandview_Inventory[[#This Row],[bldg_style]]="",1,_xlfn.IFNA(VLOOKUP(Grandview_Inventory[[#This Row],[decade]],Lookups!$F$29:$H$43,3,FALSE),1))</f>
        <v>0.98763256963907298</v>
      </c>
      <c r="BW2071" s="4">
        <f>_xlfn.IFNA(VLOOKUP(Grandview_Inventory[[#This Row],[living_area_range]],Lookups!$F$47:$H$56,3,FALSE),1)</f>
        <v>0.94306777142782894</v>
      </c>
      <c r="BX2071" s="4">
        <f>AVERAGE(Grandview_Inventory[[#This Row],[qual_adj]:[size_adj]])</f>
        <v>0.97077898698539034</v>
      </c>
      <c r="BY2071" s="6">
        <f>IF(Grandview_Inventory[[#This Row],[pre_res]]&lt;0,0,Grandview_Inventory[[#This Row],[pre_res]]*Grandview_Inventory[[#This Row],[overall_adj]])</f>
        <v>165899.13386082876</v>
      </c>
      <c r="BZ2071" s="6">
        <f>(Grandview_Inventory[[#This Row],[sum_land]]-IF(Grandview_Inventory[[#This Row],[no_utilities]]=1,12000,0))/IF(Grandview_Inventory[[#This Row],[unbuildable]]=1,2,1)</f>
        <v>49167.631333630678</v>
      </c>
      <c r="CA207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71">
        <f>ROUND(Grandview_Inventory[[#This Row],[det_value]]*Lookups!$M$28,-2)</f>
        <v>0</v>
      </c>
      <c r="CC2071">
        <f>IF(ROUND(Grandview_Inventory[[#This Row],[adj_res]]*Lookups!$M$28,-2)&lt;Grandview_Inventory[[#This Row],[min_res]],Grandview_Inventory[[#This Row],[min_res]],ROUND(Grandview_Inventory[[#This Row],[adj_res]]*Lookups!$M$28,-2))</f>
        <v>157600</v>
      </c>
      <c r="CD2071">
        <f>Grandview_Inventory[[#This Row],[final_det]]+Grandview_Inventory[[#This Row],[final_res]]</f>
        <v>157600</v>
      </c>
      <c r="CE2071">
        <f>Grandview_Inventory[[#This Row],[final_land]]+Grandview_Inventory[[#This Row],[final_imp]]+Grandview_Inventory[[#This Row],[crop_value]]</f>
        <v>204300</v>
      </c>
      <c r="CG2071" t="str">
        <f t="shared" si="32"/>
        <v>update valuation set market_land =46700, market_bldg=157600, market_total =204300, market_mdno =401, market_date ='9/10/2023' where link_id = (select link_id from parcel where parcel_year = '2024' and parcel_id = '23092423449');</v>
      </c>
    </row>
    <row r="2072" spans="1:85" x14ac:dyDescent="0.25">
      <c r="A2072">
        <v>23092423450</v>
      </c>
      <c r="B2072">
        <v>0.22</v>
      </c>
      <c r="C2072">
        <v>9766</v>
      </c>
      <c r="D2072" t="s">
        <v>129</v>
      </c>
      <c r="E2072" t="s">
        <v>53</v>
      </c>
      <c r="F2072" t="s">
        <v>53</v>
      </c>
      <c r="G2072">
        <v>4</v>
      </c>
      <c r="H2072" t="s">
        <v>54</v>
      </c>
      <c r="I2072">
        <v>175200</v>
      </c>
      <c r="J2072">
        <v>39500</v>
      </c>
      <c r="K2072">
        <v>0.22</v>
      </c>
      <c r="L2072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072">
        <v>0</v>
      </c>
      <c r="N2072">
        <v>0</v>
      </c>
      <c r="O2072">
        <v>0</v>
      </c>
      <c r="P2072">
        <v>13398.7528</v>
      </c>
      <c r="Q2072">
        <v>63903</v>
      </c>
      <c r="R2072">
        <f>(Grandview_Inventory[[#This Row],[ln_acres]]*Grandview_Inventory[[#This Row],[coeff]])+Grandview_Inventory[[#This Row],[const]]</f>
        <v>43615.576802869145</v>
      </c>
      <c r="S2072" t="s">
        <v>68</v>
      </c>
      <c r="T2072">
        <v>1</v>
      </c>
      <c r="U2072" t="s">
        <v>70</v>
      </c>
      <c r="V2072" t="s">
        <v>69</v>
      </c>
      <c r="W2072">
        <v>0</v>
      </c>
      <c r="X2072">
        <v>0</v>
      </c>
      <c r="Y2072">
        <v>50</v>
      </c>
      <c r="Z2072">
        <v>72</v>
      </c>
      <c r="AA2072">
        <v>80</v>
      </c>
      <c r="AB2072">
        <v>1500</v>
      </c>
      <c r="AC2072">
        <v>1357</v>
      </c>
      <c r="AD2072">
        <v>1357</v>
      </c>
      <c r="AE2072">
        <v>0</v>
      </c>
      <c r="AF2072">
        <v>0</v>
      </c>
      <c r="AG2072">
        <v>0</v>
      </c>
      <c r="AH2072">
        <v>0</v>
      </c>
      <c r="AI2072">
        <v>480</v>
      </c>
      <c r="AJ2072">
        <v>0</v>
      </c>
      <c r="AK2072">
        <v>598</v>
      </c>
      <c r="AL2072">
        <v>0</v>
      </c>
      <c r="AM2072">
        <v>0</v>
      </c>
      <c r="AN2072">
        <v>0</v>
      </c>
      <c r="AO2072">
        <v>0</v>
      </c>
      <c r="AP2072">
        <v>5</v>
      </c>
      <c r="AQ2072">
        <v>0</v>
      </c>
      <c r="AR2072">
        <v>0</v>
      </c>
      <c r="AS2072" t="s">
        <v>58</v>
      </c>
      <c r="AT2072">
        <v>1</v>
      </c>
      <c r="AU2072" t="s">
        <v>63</v>
      </c>
      <c r="AV2072" t="s">
        <v>64</v>
      </c>
      <c r="AW2072">
        <v>0</v>
      </c>
      <c r="AX2072">
        <v>3</v>
      </c>
      <c r="AY2072">
        <v>0</v>
      </c>
      <c r="AZ2072">
        <v>0</v>
      </c>
      <c r="BA2072">
        <v>100</v>
      </c>
      <c r="BB2072">
        <v>100</v>
      </c>
      <c r="BC2072">
        <v>100</v>
      </c>
      <c r="BD2072">
        <v>100</v>
      </c>
      <c r="BE2072">
        <v>1</v>
      </c>
      <c r="BF2072">
        <v>15000</v>
      </c>
      <c r="BG2072">
        <v>1000</v>
      </c>
      <c r="BH2072" s="6">
        <f>Grandview_Inventory[[#This Row],[land_extract]]*Lookups!$B$3</f>
        <v>50650.651579114572</v>
      </c>
      <c r="BI2072" s="6">
        <f>IF(Grandview_Inventory[[#This Row],[bldg_style]]="",0,Lookups!$B$2)</f>
        <v>155833.95000000001</v>
      </c>
      <c r="BJ2072" s="6">
        <f>_xlfn.IFNA(VLOOKUP(Grandview_Inventory[[#This Row],[quality]],Lookups!$H$2:$J$14,3,FALSE),0)</f>
        <v>10733</v>
      </c>
      <c r="BK2072" s="6">
        <f>_xlfn.IFNA(VLOOKUP(Grandview_Inventory[[#This Row],[condition]],Lookups!$H$17:$J$24,3,FALSE),0)</f>
        <v>-4503</v>
      </c>
      <c r="BL2072" s="6">
        <f>Grandview_Inventory[[#This Row],[Eff_Age]]*Lookups!$B$14</f>
        <v>-11958.33</v>
      </c>
      <c r="BM2072" s="6">
        <f>Grandview_Inventory[[#This Row],[living_area]]*Lookups!$B$15</f>
        <v>84650.817521000004</v>
      </c>
      <c r="BN2072" s="6">
        <f>Grandview_Inventory[[#This Row],[Fin BSMT]]*Lookups!$B$16</f>
        <v>0</v>
      </c>
      <c r="BO2072" s="6">
        <f>(Grandview_Inventory[[#This Row],[att_gar]]+Grandview_Inventory[[#This Row],[bltin_gar]])*Lookups!$B$17</f>
        <v>42009.809760000004</v>
      </c>
      <c r="BP2072" s="6">
        <f>Grandview_Inventory[[#This Row],[Plumbing Fixtures]]*Lookups!$B$18</f>
        <v>10052.209000000001</v>
      </c>
      <c r="BQ2072" s="6">
        <f>Grandview_Inventory[[#This Row],[detatched_value]]*Lookups!$B$19</f>
        <v>0</v>
      </c>
      <c r="BR2072" s="6">
        <f>SUM(Grandview_Inventory[[#This Row],[Intercept]:[det_value]])*Grandview_Inventory[[#This Row],[res_pct]]</f>
        <v>286818.45628099999</v>
      </c>
      <c r="BS2072" s="6">
        <f>Grandview_Inventory[[#This Row],[land_value]]</f>
        <v>50650.651579114572</v>
      </c>
      <c r="BT2072" s="4">
        <f>_xlfn.IFNA(VLOOKUP(Grandview_Inventory[[#This Row],[quality]],Lookups!$A$26:$C$33,3,FALSE),1)</f>
        <v>0.98079741117310582</v>
      </c>
      <c r="BU2072" s="4">
        <f>_xlfn.IFNA(VLOOKUP(Grandview_Inventory[[#This Row],[condition]],Lookups!$A$37:$C$44,3,FALSE),1)</f>
        <v>0.96469275950863709</v>
      </c>
      <c r="BV2072" s="4">
        <f>IF(Grandview_Inventory[[#This Row],[bldg_style]]="",1,_xlfn.IFNA(VLOOKUP(Grandview_Inventory[[#This Row],[decade]],Lookups!$F$29:$H$43,3,FALSE),1))</f>
        <v>0.98763256963907298</v>
      </c>
      <c r="BW2072" s="4">
        <f>_xlfn.IFNA(VLOOKUP(Grandview_Inventory[[#This Row],[living_area_range]],Lookups!$F$47:$H$56,3,FALSE),1)</f>
        <v>0.96135087979789358</v>
      </c>
      <c r="BX2072" s="4">
        <f>AVERAGE(Grandview_Inventory[[#This Row],[qual_adj]:[size_adj]])</f>
        <v>0.97361840502967734</v>
      </c>
      <c r="BY2072" s="6">
        <f>IF(Grandview_Inventory[[#This Row],[pre_res]]&lt;0,0,Grandview_Inventory[[#This Row],[pre_res]]*Grandview_Inventory[[#This Row],[overall_adj]])</f>
        <v>279251.72793738142</v>
      </c>
      <c r="BZ2072" s="6">
        <f>(Grandview_Inventory[[#This Row],[sum_land]]-IF(Grandview_Inventory[[#This Row],[no_utilities]]=1,12000,0))/IF(Grandview_Inventory[[#This Row],[unbuildable]]=1,2,1)</f>
        <v>50650.651579114572</v>
      </c>
      <c r="CA2072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072">
        <f>ROUND(Grandview_Inventory[[#This Row],[det_value]]*Lookups!$M$28,-2)</f>
        <v>0</v>
      </c>
      <c r="CC2072">
        <f>IF(ROUND(Grandview_Inventory[[#This Row],[adj_res]]*Lookups!$M$28,-2)&lt;Grandview_Inventory[[#This Row],[min_res]],Grandview_Inventory[[#This Row],[min_res]],ROUND(Grandview_Inventory[[#This Row],[adj_res]]*Lookups!$M$28,-2))</f>
        <v>265300</v>
      </c>
      <c r="CD2072">
        <f>Grandview_Inventory[[#This Row],[final_det]]+Grandview_Inventory[[#This Row],[final_res]]</f>
        <v>265300</v>
      </c>
      <c r="CE2072">
        <f>Grandview_Inventory[[#This Row],[final_land]]+Grandview_Inventory[[#This Row],[final_imp]]+Grandview_Inventory[[#This Row],[crop_value]]</f>
        <v>313400</v>
      </c>
      <c r="CG2072" t="str">
        <f t="shared" si="32"/>
        <v>update valuation set market_land =48100, market_bldg=265300, market_total =313400, market_mdno =401, market_date ='9/10/2023' where link_id = (select link_id from parcel where parcel_year = '2024' and parcel_id = '23092423450');</v>
      </c>
    </row>
    <row r="2073" spans="1:85" x14ac:dyDescent="0.25">
      <c r="A2073">
        <v>23092423451</v>
      </c>
      <c r="B2073">
        <v>0.2</v>
      </c>
      <c r="C2073">
        <v>8721</v>
      </c>
      <c r="D2073" t="s">
        <v>129</v>
      </c>
      <c r="E2073" t="s">
        <v>53</v>
      </c>
      <c r="F2073" t="s">
        <v>53</v>
      </c>
      <c r="G2073">
        <v>4</v>
      </c>
      <c r="H2073" t="s">
        <v>54</v>
      </c>
      <c r="I2073">
        <v>110300</v>
      </c>
      <c r="J2073">
        <v>39300</v>
      </c>
      <c r="K2073">
        <v>0.2</v>
      </c>
      <c r="L207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73">
        <v>0</v>
      </c>
      <c r="N2073">
        <v>0</v>
      </c>
      <c r="O2073">
        <v>0</v>
      </c>
      <c r="P2073">
        <v>13398.7528</v>
      </c>
      <c r="Q2073">
        <v>63903</v>
      </c>
      <c r="R2073">
        <f>(Grandview_Inventory[[#This Row],[ln_acres]]*Grandview_Inventory[[#This Row],[coeff]])+Grandview_Inventory[[#This Row],[const]]</f>
        <v>42338.539264347448</v>
      </c>
      <c r="S2073" t="s">
        <v>68</v>
      </c>
      <c r="T2073">
        <v>1</v>
      </c>
      <c r="U2073" t="s">
        <v>70</v>
      </c>
      <c r="V2073" t="s">
        <v>69</v>
      </c>
      <c r="W2073">
        <v>0</v>
      </c>
      <c r="X2073">
        <v>0</v>
      </c>
      <c r="Y2073">
        <v>50</v>
      </c>
      <c r="Z2073">
        <v>73</v>
      </c>
      <c r="AA2073">
        <v>80</v>
      </c>
      <c r="AB2073">
        <v>1000</v>
      </c>
      <c r="AC2073">
        <v>797</v>
      </c>
      <c r="AD2073">
        <v>797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288</v>
      </c>
      <c r="AL2073">
        <v>0</v>
      </c>
      <c r="AM2073">
        <v>133</v>
      </c>
      <c r="AN2073">
        <v>0</v>
      </c>
      <c r="AO2073">
        <v>133</v>
      </c>
      <c r="AP2073">
        <v>5</v>
      </c>
      <c r="AQ2073">
        <v>0</v>
      </c>
      <c r="AR2073">
        <v>0</v>
      </c>
      <c r="AS2073" t="s">
        <v>58</v>
      </c>
      <c r="AT2073">
        <v>0</v>
      </c>
      <c r="AU2073" t="s">
        <v>82</v>
      </c>
      <c r="AV2073" t="s">
        <v>64</v>
      </c>
      <c r="AW2073">
        <v>0</v>
      </c>
      <c r="AX2073">
        <v>2</v>
      </c>
      <c r="AY2073">
        <v>0</v>
      </c>
      <c r="AZ2073">
        <v>0</v>
      </c>
      <c r="BA2073">
        <v>100</v>
      </c>
      <c r="BB2073">
        <v>100</v>
      </c>
      <c r="BC2073">
        <v>100</v>
      </c>
      <c r="BD2073">
        <v>100</v>
      </c>
      <c r="BE2073">
        <v>1</v>
      </c>
      <c r="BF2073">
        <v>15000</v>
      </c>
      <c r="BG2073">
        <v>1000</v>
      </c>
      <c r="BH2073" s="6">
        <f>Grandview_Inventory[[#This Row],[land_extract]]*Lookups!$B$3</f>
        <v>49167.631333630678</v>
      </c>
      <c r="BI2073" s="6">
        <f>IF(Grandview_Inventory[[#This Row],[bldg_style]]="",0,Lookups!$B$2)</f>
        <v>155833.95000000001</v>
      </c>
      <c r="BJ2073" s="6">
        <f>_xlfn.IFNA(VLOOKUP(Grandview_Inventory[[#This Row],[quality]],Lookups!$H$2:$J$14,3,FALSE),0)</f>
        <v>10733</v>
      </c>
      <c r="BK2073" s="6">
        <f>_xlfn.IFNA(VLOOKUP(Grandview_Inventory[[#This Row],[condition]],Lookups!$H$17:$J$24,3,FALSE),0)</f>
        <v>-4503</v>
      </c>
      <c r="BL2073" s="6">
        <f>Grandview_Inventory[[#This Row],[Eff_Age]]*Lookups!$B$14</f>
        <v>-11958.33</v>
      </c>
      <c r="BM2073" s="6">
        <f>Grandview_Inventory[[#This Row],[living_area]]*Lookups!$B$15</f>
        <v>49717.539840999998</v>
      </c>
      <c r="BN2073" s="6">
        <f>Grandview_Inventory[[#This Row],[Fin BSMT]]*Lookups!$B$16</f>
        <v>0</v>
      </c>
      <c r="BO2073" s="6">
        <f>(Grandview_Inventory[[#This Row],[att_gar]]+Grandview_Inventory[[#This Row],[bltin_gar]])*Lookups!$B$17</f>
        <v>0</v>
      </c>
      <c r="BP2073" s="6">
        <f>Grandview_Inventory[[#This Row],[Plumbing Fixtures]]*Lookups!$B$18</f>
        <v>10052.209000000001</v>
      </c>
      <c r="BQ2073" s="6">
        <f>Grandview_Inventory[[#This Row],[detatched_value]]*Lookups!$B$19</f>
        <v>0</v>
      </c>
      <c r="BR2073" s="6">
        <f>SUM(Grandview_Inventory[[#This Row],[Intercept]:[det_value]])*Grandview_Inventory[[#This Row],[res_pct]]</f>
        <v>209875.36884100002</v>
      </c>
      <c r="BS2073" s="6">
        <f>Grandview_Inventory[[#This Row],[land_value]]</f>
        <v>49167.631333630678</v>
      </c>
      <c r="BT2073" s="4">
        <f>_xlfn.IFNA(VLOOKUP(Grandview_Inventory[[#This Row],[quality]],Lookups!$A$26:$C$33,3,FALSE),1)</f>
        <v>0.98079741117310582</v>
      </c>
      <c r="BU2073" s="4">
        <f>_xlfn.IFNA(VLOOKUP(Grandview_Inventory[[#This Row],[condition]],Lookups!$A$37:$C$44,3,FALSE),1)</f>
        <v>0.96469275950863709</v>
      </c>
      <c r="BV2073" s="4">
        <f>IF(Grandview_Inventory[[#This Row],[bldg_style]]="",1,_xlfn.IFNA(VLOOKUP(Grandview_Inventory[[#This Row],[decade]],Lookups!$F$29:$H$43,3,FALSE),1))</f>
        <v>0.98763256963907298</v>
      </c>
      <c r="BW2073" s="4">
        <f>_xlfn.IFNA(VLOOKUP(Grandview_Inventory[[#This Row],[living_area_range]],Lookups!$F$47:$H$56,3,FALSE),1)</f>
        <v>0.94306777142782894</v>
      </c>
      <c r="BX2073" s="4">
        <f>AVERAGE(Grandview_Inventory[[#This Row],[qual_adj]:[size_adj]])</f>
        <v>0.96904762793716115</v>
      </c>
      <c r="BY2073" s="6">
        <f>IF(Grandview_Inventory[[#This Row],[pre_res]]&lt;0,0,Grandview_Inventory[[#This Row],[pre_res]]*Grandview_Inventory[[#This Row],[overall_adj]])</f>
        <v>203379.22833780784</v>
      </c>
      <c r="BZ2073" s="6">
        <f>(Grandview_Inventory[[#This Row],[sum_land]]-IF(Grandview_Inventory[[#This Row],[no_utilities]]=1,12000,0))/IF(Grandview_Inventory[[#This Row],[unbuildable]]=1,2,1)</f>
        <v>49167.631333630678</v>
      </c>
      <c r="CA2073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73">
        <f>ROUND(Grandview_Inventory[[#This Row],[det_value]]*Lookups!$M$28,-2)</f>
        <v>0</v>
      </c>
      <c r="CC2073">
        <f>IF(ROUND(Grandview_Inventory[[#This Row],[adj_res]]*Lookups!$M$28,-2)&lt;Grandview_Inventory[[#This Row],[min_res]],Grandview_Inventory[[#This Row],[min_res]],ROUND(Grandview_Inventory[[#This Row],[adj_res]]*Lookups!$M$28,-2))</f>
        <v>193200</v>
      </c>
      <c r="CD2073">
        <f>Grandview_Inventory[[#This Row],[final_det]]+Grandview_Inventory[[#This Row],[final_res]]</f>
        <v>193200</v>
      </c>
      <c r="CE2073">
        <f>Grandview_Inventory[[#This Row],[final_land]]+Grandview_Inventory[[#This Row],[final_imp]]+Grandview_Inventory[[#This Row],[crop_value]]</f>
        <v>239900</v>
      </c>
      <c r="CG2073" t="str">
        <f t="shared" si="32"/>
        <v>update valuation set market_land =46700, market_bldg=193200, market_total =239900, market_mdno =401, market_date ='9/10/2023' where link_id = (select link_id from parcel where parcel_year = '2024' and parcel_id = '23092423451');</v>
      </c>
    </row>
    <row r="2074" spans="1:85" x14ac:dyDescent="0.25">
      <c r="A2074">
        <v>23092423452</v>
      </c>
      <c r="B2074">
        <v>0.22</v>
      </c>
      <c r="C2074">
        <v>9756</v>
      </c>
      <c r="D2074" t="s">
        <v>129</v>
      </c>
      <c r="E2074" t="s">
        <v>53</v>
      </c>
      <c r="F2074" t="s">
        <v>53</v>
      </c>
      <c r="G2074">
        <v>4</v>
      </c>
      <c r="H2074" t="s">
        <v>54</v>
      </c>
      <c r="I2074">
        <v>201700</v>
      </c>
      <c r="J2074">
        <v>39500</v>
      </c>
      <c r="K2074">
        <v>0.22</v>
      </c>
      <c r="L207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074">
        <v>0</v>
      </c>
      <c r="N2074">
        <v>0</v>
      </c>
      <c r="O2074">
        <v>0</v>
      </c>
      <c r="P2074">
        <v>13398.7528</v>
      </c>
      <c r="Q2074">
        <v>63903</v>
      </c>
      <c r="R2074">
        <f>(Grandview_Inventory[[#This Row],[ln_acres]]*Grandview_Inventory[[#This Row],[coeff]])+Grandview_Inventory[[#This Row],[const]]</f>
        <v>43615.576802869145</v>
      </c>
      <c r="S2074" t="s">
        <v>68</v>
      </c>
      <c r="T2074">
        <v>1</v>
      </c>
      <c r="U2074" t="s">
        <v>70</v>
      </c>
      <c r="V2074" t="s">
        <v>69</v>
      </c>
      <c r="W2074">
        <v>0</v>
      </c>
      <c r="X2074">
        <v>0</v>
      </c>
      <c r="Y2074">
        <v>50</v>
      </c>
      <c r="Z2074">
        <v>73</v>
      </c>
      <c r="AA2074">
        <v>80</v>
      </c>
      <c r="AB2074">
        <v>1000</v>
      </c>
      <c r="AC2074">
        <v>877</v>
      </c>
      <c r="AD2074">
        <v>877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20</v>
      </c>
      <c r="AO2074">
        <v>0</v>
      </c>
      <c r="AP2074">
        <v>5</v>
      </c>
      <c r="AQ2074">
        <v>0</v>
      </c>
      <c r="AR2074">
        <v>0</v>
      </c>
      <c r="AS2074" t="s">
        <v>58</v>
      </c>
      <c r="AT2074">
        <v>1</v>
      </c>
      <c r="AU2074" t="s">
        <v>63</v>
      </c>
      <c r="AV2074" t="s">
        <v>64</v>
      </c>
      <c r="AW2074">
        <v>0</v>
      </c>
      <c r="AX2074">
        <v>2</v>
      </c>
      <c r="AY2074">
        <v>0</v>
      </c>
      <c r="AZ2074">
        <v>33000</v>
      </c>
      <c r="BA2074">
        <v>100</v>
      </c>
      <c r="BB2074">
        <v>100</v>
      </c>
      <c r="BC2074">
        <v>100</v>
      </c>
      <c r="BD2074">
        <v>100</v>
      </c>
      <c r="BE2074">
        <v>1</v>
      </c>
      <c r="BF2074">
        <v>15000</v>
      </c>
      <c r="BG2074">
        <v>1000</v>
      </c>
      <c r="BH2074" s="6">
        <f>Grandview_Inventory[[#This Row],[land_extract]]*Lookups!$B$3</f>
        <v>50650.651579114572</v>
      </c>
      <c r="BI2074" s="6">
        <f>IF(Grandview_Inventory[[#This Row],[bldg_style]]="",0,Lookups!$B$2)</f>
        <v>155833.95000000001</v>
      </c>
      <c r="BJ2074" s="6">
        <f>_xlfn.IFNA(VLOOKUP(Grandview_Inventory[[#This Row],[quality]],Lookups!$H$2:$J$14,3,FALSE),0)</f>
        <v>10733</v>
      </c>
      <c r="BK2074" s="6">
        <f>_xlfn.IFNA(VLOOKUP(Grandview_Inventory[[#This Row],[condition]],Lookups!$H$17:$J$24,3,FALSE),0)</f>
        <v>-4503</v>
      </c>
      <c r="BL2074" s="6">
        <f>Grandview_Inventory[[#This Row],[Eff_Age]]*Lookups!$B$14</f>
        <v>-11958.33</v>
      </c>
      <c r="BM2074" s="6">
        <f>Grandview_Inventory[[#This Row],[living_area]]*Lookups!$B$15</f>
        <v>54708.008081</v>
      </c>
      <c r="BN2074" s="6">
        <f>Grandview_Inventory[[#This Row],[Fin BSMT]]*Lookups!$B$16</f>
        <v>0</v>
      </c>
      <c r="BO2074" s="6">
        <f>(Grandview_Inventory[[#This Row],[att_gar]]+Grandview_Inventory[[#This Row],[bltin_gar]])*Lookups!$B$17</f>
        <v>0</v>
      </c>
      <c r="BP2074" s="6">
        <f>Grandview_Inventory[[#This Row],[Plumbing Fixtures]]*Lookups!$B$18</f>
        <v>10052.209000000001</v>
      </c>
      <c r="BQ2074" s="6">
        <f>Grandview_Inventory[[#This Row],[detatched_value]]*Lookups!$B$19</f>
        <v>27944.568299999999</v>
      </c>
      <c r="BR2074" s="6">
        <f>SUM(Grandview_Inventory[[#This Row],[Intercept]:[det_value]])*Grandview_Inventory[[#This Row],[res_pct]]</f>
        <v>242810.40538100002</v>
      </c>
      <c r="BS2074" s="6">
        <f>Grandview_Inventory[[#This Row],[land_value]]</f>
        <v>50650.651579114572</v>
      </c>
      <c r="BT2074" s="4">
        <f>_xlfn.IFNA(VLOOKUP(Grandview_Inventory[[#This Row],[quality]],Lookups!$A$26:$C$33,3,FALSE),1)</f>
        <v>0.98079741117310582</v>
      </c>
      <c r="BU2074" s="4">
        <f>_xlfn.IFNA(VLOOKUP(Grandview_Inventory[[#This Row],[condition]],Lookups!$A$37:$C$44,3,FALSE),1)</f>
        <v>0.96469275950863709</v>
      </c>
      <c r="BV2074" s="4">
        <f>IF(Grandview_Inventory[[#This Row],[bldg_style]]="",1,_xlfn.IFNA(VLOOKUP(Grandview_Inventory[[#This Row],[decade]],Lookups!$F$29:$H$43,3,FALSE),1))</f>
        <v>0.98763256963907298</v>
      </c>
      <c r="BW2074" s="4">
        <f>_xlfn.IFNA(VLOOKUP(Grandview_Inventory[[#This Row],[living_area_range]],Lookups!$F$47:$H$56,3,FALSE),1)</f>
        <v>0.94306777142782894</v>
      </c>
      <c r="BX2074" s="4">
        <f>AVERAGE(Grandview_Inventory[[#This Row],[qual_adj]:[size_adj]])</f>
        <v>0.96904762793716115</v>
      </c>
      <c r="BY2074" s="6">
        <f>IF(Grandview_Inventory[[#This Row],[pre_res]]&lt;0,0,Grandview_Inventory[[#This Row],[pre_res]]*Grandview_Inventory[[#This Row],[overall_adj]])</f>
        <v>235294.84737291856</v>
      </c>
      <c r="BZ2074" s="6">
        <f>(Grandview_Inventory[[#This Row],[sum_land]]-IF(Grandview_Inventory[[#This Row],[no_utilities]]=1,12000,0))/IF(Grandview_Inventory[[#This Row],[unbuildable]]=1,2,1)</f>
        <v>50650.651579114572</v>
      </c>
      <c r="CA207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074">
        <f>ROUND(Grandview_Inventory[[#This Row],[det_value]]*Lookups!$M$28,-2)</f>
        <v>26500</v>
      </c>
      <c r="CC2074">
        <f>IF(ROUND(Grandview_Inventory[[#This Row],[adj_res]]*Lookups!$M$28,-2)&lt;Grandview_Inventory[[#This Row],[min_res]],Grandview_Inventory[[#This Row],[min_res]],ROUND(Grandview_Inventory[[#This Row],[adj_res]]*Lookups!$M$28,-2))</f>
        <v>223500</v>
      </c>
      <c r="CD2074">
        <f>Grandview_Inventory[[#This Row],[final_det]]+Grandview_Inventory[[#This Row],[final_res]]</f>
        <v>250000</v>
      </c>
      <c r="CE2074">
        <f>Grandview_Inventory[[#This Row],[final_land]]+Grandview_Inventory[[#This Row],[final_imp]]+Grandview_Inventory[[#This Row],[crop_value]]</f>
        <v>298100</v>
      </c>
      <c r="CG2074" t="str">
        <f t="shared" si="32"/>
        <v>update valuation set market_land =48100, market_bldg=250000, market_total =298100, market_mdno =401, market_date ='9/10/2023' where link_id = (select link_id from parcel where parcel_year = '2024' and parcel_id = '23092423452');</v>
      </c>
    </row>
    <row r="2075" spans="1:85" x14ac:dyDescent="0.25">
      <c r="A2075">
        <v>23092423455</v>
      </c>
      <c r="B2075">
        <v>0.2</v>
      </c>
      <c r="C2075">
        <v>8807</v>
      </c>
      <c r="D2075" t="s">
        <v>129</v>
      </c>
      <c r="E2075" t="s">
        <v>53</v>
      </c>
      <c r="F2075" t="s">
        <v>53</v>
      </c>
      <c r="G2075">
        <v>4</v>
      </c>
      <c r="H2075" t="s">
        <v>54</v>
      </c>
      <c r="I2075">
        <v>149800</v>
      </c>
      <c r="J2075">
        <v>39300</v>
      </c>
      <c r="K2075">
        <v>0.2</v>
      </c>
      <c r="L2075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75">
        <v>0</v>
      </c>
      <c r="N2075">
        <v>0</v>
      </c>
      <c r="O2075">
        <v>0</v>
      </c>
      <c r="P2075">
        <v>13398.7528</v>
      </c>
      <c r="Q2075">
        <v>63903</v>
      </c>
      <c r="R2075">
        <f>(Grandview_Inventory[[#This Row],[ln_acres]]*Grandview_Inventory[[#This Row],[coeff]])+Grandview_Inventory[[#This Row],[const]]</f>
        <v>42338.539264347448</v>
      </c>
      <c r="S2075" t="s">
        <v>68</v>
      </c>
      <c r="T2075">
        <v>1</v>
      </c>
      <c r="U2075" t="s">
        <v>70</v>
      </c>
      <c r="V2075" t="s">
        <v>69</v>
      </c>
      <c r="W2075">
        <v>0</v>
      </c>
      <c r="X2075">
        <v>0</v>
      </c>
      <c r="Y2075">
        <v>50</v>
      </c>
      <c r="Z2075">
        <v>70</v>
      </c>
      <c r="AA2075">
        <v>70</v>
      </c>
      <c r="AB2075">
        <v>2000</v>
      </c>
      <c r="AC2075">
        <v>1516</v>
      </c>
      <c r="AD2075">
        <v>1516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408</v>
      </c>
      <c r="AN2075">
        <v>0</v>
      </c>
      <c r="AO2075">
        <v>408</v>
      </c>
      <c r="AP2075">
        <v>5</v>
      </c>
      <c r="AQ2075">
        <v>0</v>
      </c>
      <c r="AR2075">
        <v>1</v>
      </c>
      <c r="AS2075" t="s">
        <v>58</v>
      </c>
      <c r="AT2075">
        <v>1</v>
      </c>
      <c r="AU2075" t="s">
        <v>75</v>
      </c>
      <c r="AV2075" t="s">
        <v>64</v>
      </c>
      <c r="AW2075">
        <v>0</v>
      </c>
      <c r="AX2075">
        <v>3</v>
      </c>
      <c r="AY2075">
        <v>0</v>
      </c>
      <c r="AZ2075">
        <v>0</v>
      </c>
      <c r="BA2075">
        <v>100</v>
      </c>
      <c r="BB2075">
        <v>100</v>
      </c>
      <c r="BC2075">
        <v>100</v>
      </c>
      <c r="BD2075">
        <v>100</v>
      </c>
      <c r="BE2075">
        <v>1</v>
      </c>
      <c r="BF2075">
        <v>15000</v>
      </c>
      <c r="BG2075">
        <v>1000</v>
      </c>
      <c r="BH2075" s="6">
        <f>Grandview_Inventory[[#This Row],[land_extract]]*Lookups!$B$3</f>
        <v>49167.631333630678</v>
      </c>
      <c r="BI2075" s="6">
        <f>IF(Grandview_Inventory[[#This Row],[bldg_style]]="",0,Lookups!$B$2)</f>
        <v>155833.95000000001</v>
      </c>
      <c r="BJ2075" s="6">
        <f>_xlfn.IFNA(VLOOKUP(Grandview_Inventory[[#This Row],[quality]],Lookups!$H$2:$J$14,3,FALSE),0)</f>
        <v>10733</v>
      </c>
      <c r="BK2075" s="6">
        <f>_xlfn.IFNA(VLOOKUP(Grandview_Inventory[[#This Row],[condition]],Lookups!$H$17:$J$24,3,FALSE),0)</f>
        <v>-4503</v>
      </c>
      <c r="BL2075" s="6">
        <f>Grandview_Inventory[[#This Row],[Eff_Age]]*Lookups!$B$14</f>
        <v>-11958.33</v>
      </c>
      <c r="BM2075" s="6">
        <f>Grandview_Inventory[[#This Row],[living_area]]*Lookups!$B$15</f>
        <v>94569.373147999999</v>
      </c>
      <c r="BN2075" s="6">
        <f>Grandview_Inventory[[#This Row],[Fin BSMT]]*Lookups!$B$16</f>
        <v>0</v>
      </c>
      <c r="BO2075" s="6">
        <f>(Grandview_Inventory[[#This Row],[att_gar]]+Grandview_Inventory[[#This Row],[bltin_gar]])*Lookups!$B$17</f>
        <v>0</v>
      </c>
      <c r="BP2075" s="6">
        <f>Grandview_Inventory[[#This Row],[Plumbing Fixtures]]*Lookups!$B$18</f>
        <v>10052.209000000001</v>
      </c>
      <c r="BQ2075" s="6">
        <f>Grandview_Inventory[[#This Row],[detatched_value]]*Lookups!$B$19</f>
        <v>0</v>
      </c>
      <c r="BR2075" s="6">
        <f>SUM(Grandview_Inventory[[#This Row],[Intercept]:[det_value]])*Grandview_Inventory[[#This Row],[res_pct]]</f>
        <v>254727.20214800004</v>
      </c>
      <c r="BS2075" s="6">
        <f>Grandview_Inventory[[#This Row],[land_value]]</f>
        <v>49167.631333630678</v>
      </c>
      <c r="BT2075" s="4">
        <f>_xlfn.IFNA(VLOOKUP(Grandview_Inventory[[#This Row],[quality]],Lookups!$A$26:$C$33,3,FALSE),1)</f>
        <v>0.98079741117310582</v>
      </c>
      <c r="BU2075" s="4">
        <f>_xlfn.IFNA(VLOOKUP(Grandview_Inventory[[#This Row],[condition]],Lookups!$A$37:$C$44,3,FALSE),1)</f>
        <v>0.96469275950863709</v>
      </c>
      <c r="BV2075" s="4">
        <f>IF(Grandview_Inventory[[#This Row],[bldg_style]]="",1,_xlfn.IFNA(VLOOKUP(Grandview_Inventory[[#This Row],[decade]],Lookups!$F$29:$H$43,3,FALSE),1))</f>
        <v>0.99472141305414818</v>
      </c>
      <c r="BW2075" s="4">
        <f>_xlfn.IFNA(VLOOKUP(Grandview_Inventory[[#This Row],[living_area_range]],Lookups!$F$47:$H$56,3,FALSE),1)</f>
        <v>0.96120133463014379</v>
      </c>
      <c r="BX2075" s="4">
        <f>AVERAGE(Grandview_Inventory[[#This Row],[qual_adj]:[size_adj]])</f>
        <v>0.97535322959150883</v>
      </c>
      <c r="BY2075" s="6">
        <f>IF(Grandview_Inventory[[#This Row],[pre_res]]&lt;0,0,Grandview_Inventory[[#This Row],[pre_res]]*Grandview_Inventory[[#This Row],[overall_adj]])</f>
        <v>248448.99927986096</v>
      </c>
      <c r="BZ2075" s="6">
        <f>(Grandview_Inventory[[#This Row],[sum_land]]-IF(Grandview_Inventory[[#This Row],[no_utilities]]=1,12000,0))/IF(Grandview_Inventory[[#This Row],[unbuildable]]=1,2,1)</f>
        <v>49167.631333630678</v>
      </c>
      <c r="CA2075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75">
        <f>ROUND(Grandview_Inventory[[#This Row],[det_value]]*Lookups!$M$28,-2)</f>
        <v>0</v>
      </c>
      <c r="CC2075">
        <f>IF(ROUND(Grandview_Inventory[[#This Row],[adj_res]]*Lookups!$M$28,-2)&lt;Grandview_Inventory[[#This Row],[min_res]],Grandview_Inventory[[#This Row],[min_res]],ROUND(Grandview_Inventory[[#This Row],[adj_res]]*Lookups!$M$28,-2))</f>
        <v>236000</v>
      </c>
      <c r="CD2075">
        <f>Grandview_Inventory[[#This Row],[final_det]]+Grandview_Inventory[[#This Row],[final_res]]</f>
        <v>236000</v>
      </c>
      <c r="CE2075">
        <f>Grandview_Inventory[[#This Row],[final_land]]+Grandview_Inventory[[#This Row],[final_imp]]+Grandview_Inventory[[#This Row],[crop_value]]</f>
        <v>282700</v>
      </c>
      <c r="CG2075" t="str">
        <f t="shared" si="32"/>
        <v>update valuation set market_land =46700, market_bldg=236000, market_total =282700, market_mdno =401, market_date ='9/10/2023' where link_id = (select link_id from parcel where parcel_year = '2024' and parcel_id = '23092423455');</v>
      </c>
    </row>
    <row r="2076" spans="1:85" x14ac:dyDescent="0.25">
      <c r="A2076">
        <v>23092423456</v>
      </c>
      <c r="B2076">
        <v>0.18</v>
      </c>
      <c r="C2076" t="s">
        <v>129</v>
      </c>
      <c r="D2076" t="s">
        <v>129</v>
      </c>
      <c r="E2076" t="s">
        <v>53</v>
      </c>
      <c r="F2076" t="s">
        <v>53</v>
      </c>
      <c r="G2076">
        <v>4</v>
      </c>
      <c r="H2076" t="s">
        <v>54</v>
      </c>
      <c r="I2076">
        <v>81600</v>
      </c>
      <c r="J2076">
        <v>39000</v>
      </c>
      <c r="K2076">
        <v>0.18</v>
      </c>
      <c r="L207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76">
        <v>0</v>
      </c>
      <c r="N2076">
        <v>0</v>
      </c>
      <c r="O2076">
        <v>0</v>
      </c>
      <c r="P2076">
        <v>13398.7528</v>
      </c>
      <c r="Q2076">
        <v>63903</v>
      </c>
      <c r="R2076">
        <f>(Grandview_Inventory[[#This Row],[ln_acres]]*Grandview_Inventory[[#This Row],[coeff]])+Grandview_Inventory[[#This Row],[const]]</f>
        <v>40926.839760167699</v>
      </c>
      <c r="S2076" t="s">
        <v>68</v>
      </c>
      <c r="T2076">
        <v>1</v>
      </c>
      <c r="U2076" t="s">
        <v>70</v>
      </c>
      <c r="V2076" t="s">
        <v>78</v>
      </c>
      <c r="W2076">
        <v>0</v>
      </c>
      <c r="X2076">
        <v>0</v>
      </c>
      <c r="Y2076">
        <v>49</v>
      </c>
      <c r="Z2076">
        <v>68</v>
      </c>
      <c r="AA2076">
        <v>70</v>
      </c>
      <c r="AB2076">
        <v>1000</v>
      </c>
      <c r="AC2076">
        <v>836</v>
      </c>
      <c r="AD2076">
        <v>836</v>
      </c>
      <c r="AE2076">
        <v>0</v>
      </c>
      <c r="AF2076">
        <v>0</v>
      </c>
      <c r="AG2076">
        <v>0</v>
      </c>
      <c r="AH2076">
        <v>324</v>
      </c>
      <c r="AI2076">
        <v>0</v>
      </c>
      <c r="AJ2076">
        <v>0</v>
      </c>
      <c r="AK2076">
        <v>0</v>
      </c>
      <c r="AL2076">
        <v>0</v>
      </c>
      <c r="AM2076">
        <v>276</v>
      </c>
      <c r="AN2076">
        <v>0</v>
      </c>
      <c r="AO2076">
        <v>276</v>
      </c>
      <c r="AP2076">
        <v>5</v>
      </c>
      <c r="AQ2076">
        <v>0</v>
      </c>
      <c r="AR2076">
        <v>0</v>
      </c>
      <c r="AS2076" t="s">
        <v>58</v>
      </c>
      <c r="AT2076">
        <v>1</v>
      </c>
      <c r="AU2076" t="s">
        <v>63</v>
      </c>
      <c r="AV2076" t="s">
        <v>64</v>
      </c>
      <c r="AW2076">
        <v>0</v>
      </c>
      <c r="AX2076">
        <v>2</v>
      </c>
      <c r="AY2076">
        <v>0</v>
      </c>
      <c r="AZ2076">
        <v>0</v>
      </c>
      <c r="BA2076">
        <v>100</v>
      </c>
      <c r="BB2076">
        <v>100</v>
      </c>
      <c r="BC2076">
        <v>100</v>
      </c>
      <c r="BD2076">
        <v>100</v>
      </c>
      <c r="BE2076">
        <v>1</v>
      </c>
      <c r="BF2076">
        <v>15000</v>
      </c>
      <c r="BG2076">
        <v>1000</v>
      </c>
      <c r="BH2076" s="6">
        <f>Grandview_Inventory[[#This Row],[land_extract]]*Lookups!$B$3</f>
        <v>47528.228511015397</v>
      </c>
      <c r="BI2076" s="6">
        <f>IF(Grandview_Inventory[[#This Row],[bldg_style]]="",0,Lookups!$B$2)</f>
        <v>155833.95000000001</v>
      </c>
      <c r="BJ2076" s="6">
        <f>_xlfn.IFNA(VLOOKUP(Grandview_Inventory[[#This Row],[quality]],Lookups!$H$2:$J$14,3,FALSE),0)</f>
        <v>10733</v>
      </c>
      <c r="BK2076" s="6">
        <f>_xlfn.IFNA(VLOOKUP(Grandview_Inventory[[#This Row],[condition]],Lookups!$H$17:$J$24,3,FALSE),0)</f>
        <v>-45357</v>
      </c>
      <c r="BL2076" s="6">
        <f>Grandview_Inventory[[#This Row],[Eff_Age]]*Lookups!$B$14</f>
        <v>-11719.163399999999</v>
      </c>
      <c r="BM2076" s="6">
        <f>Grandview_Inventory[[#This Row],[living_area]]*Lookups!$B$15</f>
        <v>52150.393108000004</v>
      </c>
      <c r="BN2076" s="6">
        <f>Grandview_Inventory[[#This Row],[Fin BSMT]]*Lookups!$B$16</f>
        <v>0</v>
      </c>
      <c r="BO2076" s="6">
        <f>(Grandview_Inventory[[#This Row],[att_gar]]+Grandview_Inventory[[#This Row],[bltin_gar]])*Lookups!$B$17</f>
        <v>0</v>
      </c>
      <c r="BP2076" s="6">
        <f>Grandview_Inventory[[#This Row],[Plumbing Fixtures]]*Lookups!$B$18</f>
        <v>10052.209000000001</v>
      </c>
      <c r="BQ2076" s="6">
        <f>Grandview_Inventory[[#This Row],[detatched_value]]*Lookups!$B$19</f>
        <v>0</v>
      </c>
      <c r="BR2076" s="6">
        <f>SUM(Grandview_Inventory[[#This Row],[Intercept]:[det_value]])*Grandview_Inventory[[#This Row],[res_pct]]</f>
        <v>171693.38870800001</v>
      </c>
      <c r="BS2076" s="6">
        <f>Grandview_Inventory[[#This Row],[land_value]]</f>
        <v>47528.228511015397</v>
      </c>
      <c r="BT2076" s="4">
        <f>_xlfn.IFNA(VLOOKUP(Grandview_Inventory[[#This Row],[quality]],Lookups!$A$26:$C$33,3,FALSE),1)</f>
        <v>0.98079741117310582</v>
      </c>
      <c r="BU2076" s="4">
        <f>_xlfn.IFNA(VLOOKUP(Grandview_Inventory[[#This Row],[condition]],Lookups!$A$37:$C$44,3,FALSE),1)</f>
        <v>0.97161819570155394</v>
      </c>
      <c r="BV2076" s="4">
        <f>IF(Grandview_Inventory[[#This Row],[bldg_style]]="",1,_xlfn.IFNA(VLOOKUP(Grandview_Inventory[[#This Row],[decade]],Lookups!$F$29:$H$43,3,FALSE),1))</f>
        <v>0.99472141305414818</v>
      </c>
      <c r="BW2076" s="4">
        <f>_xlfn.IFNA(VLOOKUP(Grandview_Inventory[[#This Row],[living_area_range]],Lookups!$F$47:$H$56,3,FALSE),1)</f>
        <v>0.94306777142782894</v>
      </c>
      <c r="BX2076" s="4">
        <f>AVERAGE(Grandview_Inventory[[#This Row],[qual_adj]:[size_adj]])</f>
        <v>0.97255119783915911</v>
      </c>
      <c r="BY2076" s="6">
        <f>IF(Grandview_Inventory[[#This Row],[pre_res]]&lt;0,0,Grandview_Inventory[[#This Row],[pre_res]]*Grandview_Inventory[[#This Row],[overall_adj]])</f>
        <v>166980.61084902976</v>
      </c>
      <c r="BZ2076" s="6">
        <f>(Grandview_Inventory[[#This Row],[sum_land]]-IF(Grandview_Inventory[[#This Row],[no_utilities]]=1,12000,0))/IF(Grandview_Inventory[[#This Row],[unbuildable]]=1,2,1)</f>
        <v>47528.228511015397</v>
      </c>
      <c r="CA207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76">
        <f>ROUND(Grandview_Inventory[[#This Row],[det_value]]*Lookups!$M$28,-2)</f>
        <v>0</v>
      </c>
      <c r="CC2076">
        <f>IF(ROUND(Grandview_Inventory[[#This Row],[adj_res]]*Lookups!$M$28,-2)&lt;Grandview_Inventory[[#This Row],[min_res]],Grandview_Inventory[[#This Row],[min_res]],ROUND(Grandview_Inventory[[#This Row],[adj_res]]*Lookups!$M$28,-2))</f>
        <v>158600</v>
      </c>
      <c r="CD2076">
        <f>Grandview_Inventory[[#This Row],[final_det]]+Grandview_Inventory[[#This Row],[final_res]]</f>
        <v>158600</v>
      </c>
      <c r="CE2076">
        <f>Grandview_Inventory[[#This Row],[final_land]]+Grandview_Inventory[[#This Row],[final_imp]]+Grandview_Inventory[[#This Row],[crop_value]]</f>
        <v>203800</v>
      </c>
      <c r="CG2076" t="str">
        <f t="shared" si="32"/>
        <v>update valuation set market_land =45200, market_bldg=158600, market_total =203800, market_mdno =401, market_date ='9/10/2023' where link_id = (select link_id from parcel where parcel_year = '2024' and parcel_id = '23092423456');</v>
      </c>
    </row>
    <row r="2077" spans="1:85" x14ac:dyDescent="0.25">
      <c r="A2077">
        <v>23092423457</v>
      </c>
      <c r="B2077">
        <v>0.21</v>
      </c>
      <c r="C2077">
        <v>9210</v>
      </c>
      <c r="D2077" t="s">
        <v>129</v>
      </c>
      <c r="E2077" t="s">
        <v>53</v>
      </c>
      <c r="F2077" t="s">
        <v>53</v>
      </c>
      <c r="G2077">
        <v>4</v>
      </c>
      <c r="H2077" t="s">
        <v>54</v>
      </c>
      <c r="I2077">
        <v>211000</v>
      </c>
      <c r="J2077">
        <v>39300</v>
      </c>
      <c r="K2077">
        <v>0.21</v>
      </c>
      <c r="L207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77">
        <v>0</v>
      </c>
      <c r="N2077">
        <v>0</v>
      </c>
      <c r="O2077">
        <v>0</v>
      </c>
      <c r="P2077">
        <v>13398.7528</v>
      </c>
      <c r="Q2077">
        <v>63903</v>
      </c>
      <c r="R2077">
        <f>(Grandview_Inventory[[#This Row],[ln_acres]]*Grandview_Inventory[[#This Row],[coeff]])+Grandview_Inventory[[#This Row],[const]]</f>
        <v>42992.266613125081</v>
      </c>
      <c r="S2077" t="s">
        <v>61</v>
      </c>
      <c r="T2077">
        <v>1</v>
      </c>
      <c r="U2077" t="s">
        <v>65</v>
      </c>
      <c r="V2077" t="s">
        <v>69</v>
      </c>
      <c r="W2077">
        <v>0</v>
      </c>
      <c r="X2077">
        <v>0</v>
      </c>
      <c r="Y2077">
        <v>49</v>
      </c>
      <c r="Z2077">
        <v>68</v>
      </c>
      <c r="AA2077">
        <v>70</v>
      </c>
      <c r="AB2077">
        <v>1500</v>
      </c>
      <c r="AC2077">
        <v>1012</v>
      </c>
      <c r="AD2077">
        <v>1012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672</v>
      </c>
      <c r="AL2077">
        <v>0</v>
      </c>
      <c r="AM2077">
        <v>0</v>
      </c>
      <c r="AN2077">
        <v>0</v>
      </c>
      <c r="AO2077">
        <v>0</v>
      </c>
      <c r="AP2077">
        <v>5</v>
      </c>
      <c r="AQ2077">
        <v>0</v>
      </c>
      <c r="AR2077">
        <v>0</v>
      </c>
      <c r="AS2077" t="s">
        <v>58</v>
      </c>
      <c r="AT2077">
        <v>1</v>
      </c>
      <c r="AU2077" t="s">
        <v>59</v>
      </c>
      <c r="AV2077" t="s">
        <v>60</v>
      </c>
      <c r="AW2077">
        <v>1</v>
      </c>
      <c r="AX2077">
        <v>3</v>
      </c>
      <c r="AY2077">
        <v>0</v>
      </c>
      <c r="AZ2077">
        <v>44100</v>
      </c>
      <c r="BA2077">
        <v>100</v>
      </c>
      <c r="BB2077">
        <v>100</v>
      </c>
      <c r="BC2077">
        <v>100</v>
      </c>
      <c r="BD2077">
        <v>100</v>
      </c>
      <c r="BE2077">
        <v>1</v>
      </c>
      <c r="BF2077">
        <v>15000</v>
      </c>
      <c r="BG2077">
        <v>1000</v>
      </c>
      <c r="BH2077" s="6">
        <f>Grandview_Inventory[[#This Row],[land_extract]]*Lookups!$B$3</f>
        <v>49926.8031387023</v>
      </c>
      <c r="BI2077" s="6">
        <f>IF(Grandview_Inventory[[#This Row],[bldg_style]]="",0,Lookups!$B$2)</f>
        <v>155833.95000000001</v>
      </c>
      <c r="BJ2077" s="6">
        <f>_xlfn.IFNA(VLOOKUP(Grandview_Inventory[[#This Row],[quality]],Lookups!$H$2:$J$14,3,FALSE),0)</f>
        <v>2251</v>
      </c>
      <c r="BK2077" s="6">
        <f>_xlfn.IFNA(VLOOKUP(Grandview_Inventory[[#This Row],[condition]],Lookups!$H$17:$J$24,3,FALSE),0)</f>
        <v>-4503</v>
      </c>
      <c r="BL2077" s="6">
        <f>Grandview_Inventory[[#This Row],[Eff_Age]]*Lookups!$B$14</f>
        <v>-11719.163399999999</v>
      </c>
      <c r="BM2077" s="6">
        <f>Grandview_Inventory[[#This Row],[living_area]]*Lookups!$B$15</f>
        <v>63129.423236000002</v>
      </c>
      <c r="BN2077" s="6">
        <f>Grandview_Inventory[[#This Row],[Fin BSMT]]*Lookups!$B$16</f>
        <v>0</v>
      </c>
      <c r="BO2077" s="6">
        <f>(Grandview_Inventory[[#This Row],[att_gar]]+Grandview_Inventory[[#This Row],[bltin_gar]])*Lookups!$B$17</f>
        <v>0</v>
      </c>
      <c r="BP2077" s="6">
        <f>Grandview_Inventory[[#This Row],[Plumbing Fixtures]]*Lookups!$B$18</f>
        <v>10052.209000000001</v>
      </c>
      <c r="BQ2077" s="6">
        <f>Grandview_Inventory[[#This Row],[detatched_value]]*Lookups!$B$19</f>
        <v>37344.104910000002</v>
      </c>
      <c r="BR2077" s="6">
        <f>SUM(Grandview_Inventory[[#This Row],[Intercept]:[det_value]])*Grandview_Inventory[[#This Row],[res_pct]]</f>
        <v>252388.52374600002</v>
      </c>
      <c r="BS2077" s="6">
        <f>Grandview_Inventory[[#This Row],[land_value]]</f>
        <v>49926.8031387023</v>
      </c>
      <c r="BT2077" s="4">
        <f>_xlfn.IFNA(VLOOKUP(Grandview_Inventory[[#This Row],[quality]],Lookups!$A$26:$C$33,3,FALSE),1)</f>
        <v>0.98763855981004833</v>
      </c>
      <c r="BU2077" s="4">
        <f>_xlfn.IFNA(VLOOKUP(Grandview_Inventory[[#This Row],[condition]],Lookups!$A$37:$C$44,3,FALSE),1)</f>
        <v>0.96469275950863709</v>
      </c>
      <c r="BV2077" s="4">
        <f>IF(Grandview_Inventory[[#This Row],[bldg_style]]="",1,_xlfn.IFNA(VLOOKUP(Grandview_Inventory[[#This Row],[decade]],Lookups!$F$29:$H$43,3,FALSE),1))</f>
        <v>0.99472141305414818</v>
      </c>
      <c r="BW2077" s="4">
        <f>_xlfn.IFNA(VLOOKUP(Grandview_Inventory[[#This Row],[living_area_range]],Lookups!$F$47:$H$56,3,FALSE),1)</f>
        <v>0.96135087979789358</v>
      </c>
      <c r="BX2077" s="4">
        <f>AVERAGE(Grandview_Inventory[[#This Row],[qual_adj]:[size_adj]])</f>
        <v>0.97710090304268182</v>
      </c>
      <c r="BY2077" s="6">
        <f>IF(Grandview_Inventory[[#This Row],[pre_res]]&lt;0,0,Grandview_Inventory[[#This Row],[pre_res]]*Grandview_Inventory[[#This Row],[overall_adj]])</f>
        <v>246609.05446982596</v>
      </c>
      <c r="BZ2077" s="6">
        <f>(Grandview_Inventory[[#This Row],[sum_land]]-IF(Grandview_Inventory[[#This Row],[no_utilities]]=1,12000,0))/IF(Grandview_Inventory[[#This Row],[unbuildable]]=1,2,1)</f>
        <v>49926.8031387023</v>
      </c>
      <c r="CA207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77">
        <f>ROUND(Grandview_Inventory[[#This Row],[det_value]]*Lookups!$M$28,-2)</f>
        <v>35500</v>
      </c>
      <c r="CC2077">
        <f>IF(ROUND(Grandview_Inventory[[#This Row],[adj_res]]*Lookups!$M$28,-2)&lt;Grandview_Inventory[[#This Row],[min_res]],Grandview_Inventory[[#This Row],[min_res]],ROUND(Grandview_Inventory[[#This Row],[adj_res]]*Lookups!$M$28,-2))</f>
        <v>234300</v>
      </c>
      <c r="CD2077">
        <f>Grandview_Inventory[[#This Row],[final_det]]+Grandview_Inventory[[#This Row],[final_res]]</f>
        <v>269800</v>
      </c>
      <c r="CE2077">
        <f>Grandview_Inventory[[#This Row],[final_land]]+Grandview_Inventory[[#This Row],[final_imp]]+Grandview_Inventory[[#This Row],[crop_value]]</f>
        <v>317200</v>
      </c>
      <c r="CG2077" t="str">
        <f t="shared" si="32"/>
        <v>update valuation set market_land =47400, market_bldg=269800, market_total =317200, market_mdno =401, market_date ='9/10/2023' where link_id = (select link_id from parcel where parcel_year = '2024' and parcel_id = '23092423457');</v>
      </c>
    </row>
    <row r="2078" spans="1:85" x14ac:dyDescent="0.25">
      <c r="A2078">
        <v>23092423458</v>
      </c>
      <c r="B2078">
        <v>0.21</v>
      </c>
      <c r="C2078">
        <v>9165</v>
      </c>
      <c r="D2078" t="s">
        <v>129</v>
      </c>
      <c r="E2078" t="s">
        <v>53</v>
      </c>
      <c r="F2078" t="s">
        <v>53</v>
      </c>
      <c r="G2078">
        <v>4</v>
      </c>
      <c r="H2078" t="s">
        <v>54</v>
      </c>
      <c r="I2078">
        <v>135700</v>
      </c>
      <c r="J2078">
        <v>39300</v>
      </c>
      <c r="K2078">
        <v>0.21</v>
      </c>
      <c r="L207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78">
        <v>0</v>
      </c>
      <c r="N2078">
        <v>0</v>
      </c>
      <c r="O2078">
        <v>0</v>
      </c>
      <c r="P2078">
        <v>13398.7528</v>
      </c>
      <c r="Q2078">
        <v>63903</v>
      </c>
      <c r="R2078">
        <f>(Grandview_Inventory[[#This Row],[ln_acres]]*Grandview_Inventory[[#This Row],[coeff]])+Grandview_Inventory[[#This Row],[const]]</f>
        <v>42992.266613125081</v>
      </c>
      <c r="S2078" t="s">
        <v>68</v>
      </c>
      <c r="T2078">
        <v>1</v>
      </c>
      <c r="U2078" t="s">
        <v>65</v>
      </c>
      <c r="V2078" t="s">
        <v>69</v>
      </c>
      <c r="W2078">
        <v>0</v>
      </c>
      <c r="X2078">
        <v>0</v>
      </c>
      <c r="Y2078">
        <v>50</v>
      </c>
      <c r="Z2078">
        <v>73</v>
      </c>
      <c r="AA2078">
        <v>80</v>
      </c>
      <c r="AB2078">
        <v>1500</v>
      </c>
      <c r="AC2078">
        <v>1370</v>
      </c>
      <c r="AD2078">
        <v>1370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305</v>
      </c>
      <c r="AN2078">
        <v>0</v>
      </c>
      <c r="AO2078">
        <v>161</v>
      </c>
      <c r="AP2078">
        <v>7</v>
      </c>
      <c r="AQ2078">
        <v>0</v>
      </c>
      <c r="AR2078">
        <v>0</v>
      </c>
      <c r="AS2078" t="s">
        <v>58</v>
      </c>
      <c r="AT2078">
        <v>1</v>
      </c>
      <c r="AU2078" t="s">
        <v>63</v>
      </c>
      <c r="AV2078" t="s">
        <v>64</v>
      </c>
      <c r="AW2078">
        <v>0</v>
      </c>
      <c r="AX2078">
        <v>4</v>
      </c>
      <c r="AY2078">
        <v>0</v>
      </c>
      <c r="AZ2078">
        <v>8100</v>
      </c>
      <c r="BA2078">
        <v>100</v>
      </c>
      <c r="BB2078">
        <v>100</v>
      </c>
      <c r="BC2078">
        <v>100</v>
      </c>
      <c r="BD2078">
        <v>100</v>
      </c>
      <c r="BE2078">
        <v>1</v>
      </c>
      <c r="BF2078">
        <v>15000</v>
      </c>
      <c r="BG2078">
        <v>1000</v>
      </c>
      <c r="BH2078" s="6">
        <f>Grandview_Inventory[[#This Row],[land_extract]]*Lookups!$B$3</f>
        <v>49926.8031387023</v>
      </c>
      <c r="BI2078" s="6">
        <f>IF(Grandview_Inventory[[#This Row],[bldg_style]]="",0,Lookups!$B$2)</f>
        <v>155833.95000000001</v>
      </c>
      <c r="BJ2078" s="6">
        <f>_xlfn.IFNA(VLOOKUP(Grandview_Inventory[[#This Row],[quality]],Lookups!$H$2:$J$14,3,FALSE),0)</f>
        <v>2251</v>
      </c>
      <c r="BK2078" s="6">
        <f>_xlfn.IFNA(VLOOKUP(Grandview_Inventory[[#This Row],[condition]],Lookups!$H$17:$J$24,3,FALSE),0)</f>
        <v>-4503</v>
      </c>
      <c r="BL2078" s="6">
        <f>Grandview_Inventory[[#This Row],[Eff_Age]]*Lookups!$B$14</f>
        <v>-11958.33</v>
      </c>
      <c r="BM2078" s="6">
        <f>Grandview_Inventory[[#This Row],[living_area]]*Lookups!$B$15</f>
        <v>85461.768609999999</v>
      </c>
      <c r="BN2078" s="6">
        <f>Grandview_Inventory[[#This Row],[Fin BSMT]]*Lookups!$B$16</f>
        <v>0</v>
      </c>
      <c r="BO2078" s="6">
        <f>(Grandview_Inventory[[#This Row],[att_gar]]+Grandview_Inventory[[#This Row],[bltin_gar]])*Lookups!$B$17</f>
        <v>0</v>
      </c>
      <c r="BP2078" s="6">
        <f>Grandview_Inventory[[#This Row],[Plumbing Fixtures]]*Lookups!$B$18</f>
        <v>14073.0926</v>
      </c>
      <c r="BQ2078" s="6">
        <f>Grandview_Inventory[[#This Row],[detatched_value]]*Lookups!$B$19</f>
        <v>6859.1213099999995</v>
      </c>
      <c r="BR2078" s="6">
        <f>SUM(Grandview_Inventory[[#This Row],[Intercept]:[det_value]])*Grandview_Inventory[[#This Row],[res_pct]]</f>
        <v>248017.60252000001</v>
      </c>
      <c r="BS2078" s="6">
        <f>Grandview_Inventory[[#This Row],[land_value]]</f>
        <v>49926.8031387023</v>
      </c>
      <c r="BT2078" s="4">
        <f>_xlfn.IFNA(VLOOKUP(Grandview_Inventory[[#This Row],[quality]],Lookups!$A$26:$C$33,3,FALSE),1)</f>
        <v>0.98763855981004833</v>
      </c>
      <c r="BU2078" s="4">
        <f>_xlfn.IFNA(VLOOKUP(Grandview_Inventory[[#This Row],[condition]],Lookups!$A$37:$C$44,3,FALSE),1)</f>
        <v>0.96469275950863709</v>
      </c>
      <c r="BV2078" s="4">
        <f>IF(Grandview_Inventory[[#This Row],[bldg_style]]="",1,_xlfn.IFNA(VLOOKUP(Grandview_Inventory[[#This Row],[decade]],Lookups!$F$29:$H$43,3,FALSE),1))</f>
        <v>0.98763256963907298</v>
      </c>
      <c r="BW2078" s="4">
        <f>_xlfn.IFNA(VLOOKUP(Grandview_Inventory[[#This Row],[living_area_range]],Lookups!$F$47:$H$56,3,FALSE),1)</f>
        <v>0.96135087979789358</v>
      </c>
      <c r="BX2078" s="4">
        <f>AVERAGE(Grandview_Inventory[[#This Row],[qual_adj]:[size_adj]])</f>
        <v>0.97532869218891294</v>
      </c>
      <c r="BY2078" s="6">
        <f>IF(Grandview_Inventory[[#This Row],[pre_res]]&lt;0,0,Grandview_Inventory[[#This Row],[pre_res]]*Grandview_Inventory[[#This Row],[overall_adj]])</f>
        <v>241898.68390566125</v>
      </c>
      <c r="BZ2078" s="6">
        <f>(Grandview_Inventory[[#This Row],[sum_land]]-IF(Grandview_Inventory[[#This Row],[no_utilities]]=1,12000,0))/IF(Grandview_Inventory[[#This Row],[unbuildable]]=1,2,1)</f>
        <v>49926.8031387023</v>
      </c>
      <c r="CA207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78">
        <f>ROUND(Grandview_Inventory[[#This Row],[det_value]]*Lookups!$M$28,-2)</f>
        <v>6500</v>
      </c>
      <c r="CC2078">
        <f>IF(ROUND(Grandview_Inventory[[#This Row],[adj_res]]*Lookups!$M$28,-2)&lt;Grandview_Inventory[[#This Row],[min_res]],Grandview_Inventory[[#This Row],[min_res]],ROUND(Grandview_Inventory[[#This Row],[adj_res]]*Lookups!$M$28,-2))</f>
        <v>229800</v>
      </c>
      <c r="CD2078">
        <f>Grandview_Inventory[[#This Row],[final_det]]+Grandview_Inventory[[#This Row],[final_res]]</f>
        <v>236300</v>
      </c>
      <c r="CE2078">
        <f>Grandview_Inventory[[#This Row],[final_land]]+Grandview_Inventory[[#This Row],[final_imp]]+Grandview_Inventory[[#This Row],[crop_value]]</f>
        <v>283700</v>
      </c>
      <c r="CG2078" t="str">
        <f t="shared" si="32"/>
        <v>update valuation set market_land =47400, market_bldg=236300, market_total =283700, market_mdno =401, market_date ='9/10/2023' where link_id = (select link_id from parcel where parcel_year = '2024' and parcel_id = '23092423458');</v>
      </c>
    </row>
    <row r="2079" spans="1:85" x14ac:dyDescent="0.25">
      <c r="A2079">
        <v>23092423459</v>
      </c>
      <c r="B2079">
        <v>0.2</v>
      </c>
      <c r="C2079">
        <v>8544</v>
      </c>
      <c r="D2079" t="s">
        <v>129</v>
      </c>
      <c r="E2079" t="s">
        <v>53</v>
      </c>
      <c r="F2079" t="s">
        <v>53</v>
      </c>
      <c r="G2079">
        <v>4</v>
      </c>
      <c r="H2079" t="s">
        <v>54</v>
      </c>
      <c r="I2079">
        <v>139900</v>
      </c>
      <c r="J2079">
        <v>39300</v>
      </c>
      <c r="K2079">
        <v>0.2</v>
      </c>
      <c r="L207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79">
        <v>0</v>
      </c>
      <c r="N2079">
        <v>0</v>
      </c>
      <c r="O2079">
        <v>0</v>
      </c>
      <c r="P2079">
        <v>13398.7528</v>
      </c>
      <c r="Q2079">
        <v>63903</v>
      </c>
      <c r="R2079">
        <f>(Grandview_Inventory[[#This Row],[ln_acres]]*Grandview_Inventory[[#This Row],[coeff]])+Grandview_Inventory[[#This Row],[const]]</f>
        <v>42338.539264347448</v>
      </c>
      <c r="S2079" t="s">
        <v>68</v>
      </c>
      <c r="T2079">
        <v>1</v>
      </c>
      <c r="U2079" t="s">
        <v>65</v>
      </c>
      <c r="V2079" t="s">
        <v>69</v>
      </c>
      <c r="W2079">
        <v>0</v>
      </c>
      <c r="X2079">
        <v>0</v>
      </c>
      <c r="Y2079">
        <v>49</v>
      </c>
      <c r="Z2079">
        <v>68</v>
      </c>
      <c r="AA2079">
        <v>70</v>
      </c>
      <c r="AB2079">
        <v>1500</v>
      </c>
      <c r="AC2079">
        <v>1024</v>
      </c>
      <c r="AD2079">
        <v>1024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312</v>
      </c>
      <c r="AL2079">
        <v>422</v>
      </c>
      <c r="AM2079">
        <v>0</v>
      </c>
      <c r="AN2079">
        <v>0</v>
      </c>
      <c r="AO2079">
        <v>0</v>
      </c>
      <c r="AP2079">
        <v>5</v>
      </c>
      <c r="AQ2079">
        <v>0</v>
      </c>
      <c r="AR2079">
        <v>0</v>
      </c>
      <c r="AS2079" t="s">
        <v>58</v>
      </c>
      <c r="AT2079">
        <v>1</v>
      </c>
      <c r="AU2079" t="s">
        <v>63</v>
      </c>
      <c r="AV2079" t="s">
        <v>64</v>
      </c>
      <c r="AW2079">
        <v>1</v>
      </c>
      <c r="AX2079">
        <v>3</v>
      </c>
      <c r="AY2079">
        <v>0</v>
      </c>
      <c r="AZ2079">
        <v>0</v>
      </c>
      <c r="BA2079">
        <v>100</v>
      </c>
      <c r="BB2079">
        <v>100</v>
      </c>
      <c r="BC2079">
        <v>100</v>
      </c>
      <c r="BD2079">
        <v>100</v>
      </c>
      <c r="BE2079">
        <v>1</v>
      </c>
      <c r="BF2079">
        <v>15000</v>
      </c>
      <c r="BG2079">
        <v>1000</v>
      </c>
      <c r="BH2079" s="6">
        <f>Grandview_Inventory[[#This Row],[land_extract]]*Lookups!$B$3</f>
        <v>49167.631333630678</v>
      </c>
      <c r="BI2079" s="6">
        <f>IF(Grandview_Inventory[[#This Row],[bldg_style]]="",0,Lookups!$B$2)</f>
        <v>155833.95000000001</v>
      </c>
      <c r="BJ2079" s="6">
        <f>_xlfn.IFNA(VLOOKUP(Grandview_Inventory[[#This Row],[quality]],Lookups!$H$2:$J$14,3,FALSE),0)</f>
        <v>2251</v>
      </c>
      <c r="BK2079" s="6">
        <f>_xlfn.IFNA(VLOOKUP(Grandview_Inventory[[#This Row],[condition]],Lookups!$H$17:$J$24,3,FALSE),0)</f>
        <v>-4503</v>
      </c>
      <c r="BL2079" s="6">
        <f>Grandview_Inventory[[#This Row],[Eff_Age]]*Lookups!$B$14</f>
        <v>-11719.163399999999</v>
      </c>
      <c r="BM2079" s="6">
        <f>Grandview_Inventory[[#This Row],[living_area]]*Lookups!$B$15</f>
        <v>63877.993472000002</v>
      </c>
      <c r="BN2079" s="6">
        <f>Grandview_Inventory[[#This Row],[Fin BSMT]]*Lookups!$B$16</f>
        <v>0</v>
      </c>
      <c r="BO2079" s="6">
        <f>(Grandview_Inventory[[#This Row],[att_gar]]+Grandview_Inventory[[#This Row],[bltin_gar]])*Lookups!$B$17</f>
        <v>0</v>
      </c>
      <c r="BP2079" s="6">
        <f>Grandview_Inventory[[#This Row],[Plumbing Fixtures]]*Lookups!$B$18</f>
        <v>10052.209000000001</v>
      </c>
      <c r="BQ2079" s="6">
        <f>Grandview_Inventory[[#This Row],[detatched_value]]*Lookups!$B$19</f>
        <v>0</v>
      </c>
      <c r="BR2079" s="6">
        <f>SUM(Grandview_Inventory[[#This Row],[Intercept]:[det_value]])*Grandview_Inventory[[#This Row],[res_pct]]</f>
        <v>215792.98907200003</v>
      </c>
      <c r="BS2079" s="6">
        <f>Grandview_Inventory[[#This Row],[land_value]]</f>
        <v>49167.631333630678</v>
      </c>
      <c r="BT2079" s="4">
        <f>_xlfn.IFNA(VLOOKUP(Grandview_Inventory[[#This Row],[quality]],Lookups!$A$26:$C$33,3,FALSE),1)</f>
        <v>0.98763855981004833</v>
      </c>
      <c r="BU2079" s="4">
        <f>_xlfn.IFNA(VLOOKUP(Grandview_Inventory[[#This Row],[condition]],Lookups!$A$37:$C$44,3,FALSE),1)</f>
        <v>0.96469275950863709</v>
      </c>
      <c r="BV2079" s="4">
        <f>IF(Grandview_Inventory[[#This Row],[bldg_style]]="",1,_xlfn.IFNA(VLOOKUP(Grandview_Inventory[[#This Row],[decade]],Lookups!$F$29:$H$43,3,FALSE),1))</f>
        <v>0.99472141305414818</v>
      </c>
      <c r="BW2079" s="4">
        <f>_xlfn.IFNA(VLOOKUP(Grandview_Inventory[[#This Row],[living_area_range]],Lookups!$F$47:$H$56,3,FALSE),1)</f>
        <v>0.96135087979789358</v>
      </c>
      <c r="BX2079" s="4">
        <f>AVERAGE(Grandview_Inventory[[#This Row],[qual_adj]:[size_adj]])</f>
        <v>0.97710090304268182</v>
      </c>
      <c r="BY2079" s="6">
        <f>IF(Grandview_Inventory[[#This Row],[pre_res]]&lt;0,0,Grandview_Inventory[[#This Row],[pre_res]]*Grandview_Inventory[[#This Row],[overall_adj]])</f>
        <v>210851.52449253079</v>
      </c>
      <c r="BZ2079" s="6">
        <f>(Grandview_Inventory[[#This Row],[sum_land]]-IF(Grandview_Inventory[[#This Row],[no_utilities]]=1,12000,0))/IF(Grandview_Inventory[[#This Row],[unbuildable]]=1,2,1)</f>
        <v>49167.631333630678</v>
      </c>
      <c r="CA207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79">
        <f>ROUND(Grandview_Inventory[[#This Row],[det_value]]*Lookups!$M$28,-2)</f>
        <v>0</v>
      </c>
      <c r="CC2079">
        <f>IF(ROUND(Grandview_Inventory[[#This Row],[adj_res]]*Lookups!$M$28,-2)&lt;Grandview_Inventory[[#This Row],[min_res]],Grandview_Inventory[[#This Row],[min_res]],ROUND(Grandview_Inventory[[#This Row],[adj_res]]*Lookups!$M$28,-2))</f>
        <v>200300</v>
      </c>
      <c r="CD2079">
        <f>Grandview_Inventory[[#This Row],[final_det]]+Grandview_Inventory[[#This Row],[final_res]]</f>
        <v>200300</v>
      </c>
      <c r="CE2079">
        <f>Grandview_Inventory[[#This Row],[final_land]]+Grandview_Inventory[[#This Row],[final_imp]]+Grandview_Inventory[[#This Row],[crop_value]]</f>
        <v>247000</v>
      </c>
      <c r="CG2079" t="str">
        <f t="shared" si="32"/>
        <v>update valuation set market_land =46700, market_bldg=200300, market_total =247000, market_mdno =401, market_date ='9/10/2023' where link_id = (select link_id from parcel where parcel_year = '2024' and parcel_id = '23092423459');</v>
      </c>
    </row>
    <row r="2080" spans="1:85" x14ac:dyDescent="0.25">
      <c r="A2080">
        <v>23092423460</v>
      </c>
      <c r="B2080">
        <v>0.18</v>
      </c>
      <c r="C2080" t="s">
        <v>129</v>
      </c>
      <c r="D2080" t="s">
        <v>129</v>
      </c>
      <c r="E2080" t="s">
        <v>53</v>
      </c>
      <c r="F2080" t="s">
        <v>53</v>
      </c>
      <c r="G2080">
        <v>4</v>
      </c>
      <c r="H2080" t="s">
        <v>54</v>
      </c>
      <c r="I2080">
        <v>116800</v>
      </c>
      <c r="J2080">
        <v>39000</v>
      </c>
      <c r="K2080">
        <v>0.18</v>
      </c>
      <c r="L208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80">
        <v>0</v>
      </c>
      <c r="N2080">
        <v>0</v>
      </c>
      <c r="O2080">
        <v>0</v>
      </c>
      <c r="P2080">
        <v>13398.7528</v>
      </c>
      <c r="Q2080">
        <v>63903</v>
      </c>
      <c r="R2080">
        <f>(Grandview_Inventory[[#This Row],[ln_acres]]*Grandview_Inventory[[#This Row],[coeff]])+Grandview_Inventory[[#This Row],[const]]</f>
        <v>40926.839760167699</v>
      </c>
      <c r="S2080" t="s">
        <v>68</v>
      </c>
      <c r="T2080">
        <v>1</v>
      </c>
      <c r="U2080" t="s">
        <v>70</v>
      </c>
      <c r="V2080" t="s">
        <v>69</v>
      </c>
      <c r="W2080">
        <v>0</v>
      </c>
      <c r="X2080">
        <v>0</v>
      </c>
      <c r="Y2080">
        <v>50</v>
      </c>
      <c r="Z2080">
        <v>71</v>
      </c>
      <c r="AA2080">
        <v>80</v>
      </c>
      <c r="AB2080">
        <v>1000</v>
      </c>
      <c r="AC2080">
        <v>748</v>
      </c>
      <c r="AD2080">
        <v>748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5</v>
      </c>
      <c r="AQ2080">
        <v>0</v>
      </c>
      <c r="AR2080">
        <v>0</v>
      </c>
      <c r="AS2080" t="s">
        <v>58</v>
      </c>
      <c r="AT2080">
        <v>1</v>
      </c>
      <c r="AU2080" t="s">
        <v>75</v>
      </c>
      <c r="AV2080" t="s">
        <v>60</v>
      </c>
      <c r="AW2080">
        <v>0</v>
      </c>
      <c r="AX2080">
        <v>2</v>
      </c>
      <c r="AY2080">
        <v>0</v>
      </c>
      <c r="AZ2080">
        <v>6900</v>
      </c>
      <c r="BA2080">
        <v>100</v>
      </c>
      <c r="BB2080">
        <v>100</v>
      </c>
      <c r="BC2080">
        <v>100</v>
      </c>
      <c r="BD2080">
        <v>100</v>
      </c>
      <c r="BE2080">
        <v>1</v>
      </c>
      <c r="BF2080">
        <v>15000</v>
      </c>
      <c r="BG2080">
        <v>1000</v>
      </c>
      <c r="BH2080" s="6">
        <f>Grandview_Inventory[[#This Row],[land_extract]]*Lookups!$B$3</f>
        <v>47528.228511015397</v>
      </c>
      <c r="BI2080" s="6">
        <f>IF(Grandview_Inventory[[#This Row],[bldg_style]]="",0,Lookups!$B$2)</f>
        <v>155833.95000000001</v>
      </c>
      <c r="BJ2080" s="6">
        <f>_xlfn.IFNA(VLOOKUP(Grandview_Inventory[[#This Row],[quality]],Lookups!$H$2:$J$14,3,FALSE),0)</f>
        <v>10733</v>
      </c>
      <c r="BK2080" s="6">
        <f>_xlfn.IFNA(VLOOKUP(Grandview_Inventory[[#This Row],[condition]],Lookups!$H$17:$J$24,3,FALSE),0)</f>
        <v>-4503</v>
      </c>
      <c r="BL2080" s="6">
        <f>Grandview_Inventory[[#This Row],[Eff_Age]]*Lookups!$B$14</f>
        <v>-11958.33</v>
      </c>
      <c r="BM2080" s="6">
        <f>Grandview_Inventory[[#This Row],[living_area]]*Lookups!$B$15</f>
        <v>46660.878044000005</v>
      </c>
      <c r="BN2080" s="6">
        <f>Grandview_Inventory[[#This Row],[Fin BSMT]]*Lookups!$B$16</f>
        <v>0</v>
      </c>
      <c r="BO2080" s="6">
        <f>(Grandview_Inventory[[#This Row],[att_gar]]+Grandview_Inventory[[#This Row],[bltin_gar]])*Lookups!$B$17</f>
        <v>0</v>
      </c>
      <c r="BP2080" s="6">
        <f>Grandview_Inventory[[#This Row],[Plumbing Fixtures]]*Lookups!$B$18</f>
        <v>10052.209000000001</v>
      </c>
      <c r="BQ2080" s="6">
        <f>Grandview_Inventory[[#This Row],[detatched_value]]*Lookups!$B$19</f>
        <v>5842.9551899999997</v>
      </c>
      <c r="BR2080" s="6">
        <f>SUM(Grandview_Inventory[[#This Row],[Intercept]:[det_value]])*Grandview_Inventory[[#This Row],[res_pct]]</f>
        <v>212661.66223400005</v>
      </c>
      <c r="BS2080" s="6">
        <f>Grandview_Inventory[[#This Row],[land_value]]</f>
        <v>47528.228511015397</v>
      </c>
      <c r="BT2080" s="4">
        <f>_xlfn.IFNA(VLOOKUP(Grandview_Inventory[[#This Row],[quality]],Lookups!$A$26:$C$33,3,FALSE),1)</f>
        <v>0.98079741117310582</v>
      </c>
      <c r="BU2080" s="4">
        <f>_xlfn.IFNA(VLOOKUP(Grandview_Inventory[[#This Row],[condition]],Lookups!$A$37:$C$44,3,FALSE),1)</f>
        <v>0.96469275950863709</v>
      </c>
      <c r="BV2080" s="4">
        <f>IF(Grandview_Inventory[[#This Row],[bldg_style]]="",1,_xlfn.IFNA(VLOOKUP(Grandview_Inventory[[#This Row],[decade]],Lookups!$F$29:$H$43,3,FALSE),1))</f>
        <v>0.98763256963907298</v>
      </c>
      <c r="BW2080" s="4">
        <f>_xlfn.IFNA(VLOOKUP(Grandview_Inventory[[#This Row],[living_area_range]],Lookups!$F$47:$H$56,3,FALSE),1)</f>
        <v>0.94306777142782894</v>
      </c>
      <c r="BX2080" s="4">
        <f>AVERAGE(Grandview_Inventory[[#This Row],[qual_adj]:[size_adj]])</f>
        <v>0.96904762793716115</v>
      </c>
      <c r="BY2080" s="6">
        <f>IF(Grandview_Inventory[[#This Row],[pre_res]]&lt;0,0,Grandview_Inventory[[#This Row],[pre_res]]*Grandview_Inventory[[#This Row],[overall_adj]])</f>
        <v>206079.27934103151</v>
      </c>
      <c r="BZ2080" s="6">
        <f>(Grandview_Inventory[[#This Row],[sum_land]]-IF(Grandview_Inventory[[#This Row],[no_utilities]]=1,12000,0))/IF(Grandview_Inventory[[#This Row],[unbuildable]]=1,2,1)</f>
        <v>47528.228511015397</v>
      </c>
      <c r="CA208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80">
        <f>ROUND(Grandview_Inventory[[#This Row],[det_value]]*Lookups!$M$28,-2)</f>
        <v>5600</v>
      </c>
      <c r="CC2080">
        <f>IF(ROUND(Grandview_Inventory[[#This Row],[adj_res]]*Lookups!$M$28,-2)&lt;Grandview_Inventory[[#This Row],[min_res]],Grandview_Inventory[[#This Row],[min_res]],ROUND(Grandview_Inventory[[#This Row],[adj_res]]*Lookups!$M$28,-2))</f>
        <v>195800</v>
      </c>
      <c r="CD2080">
        <f>Grandview_Inventory[[#This Row],[final_det]]+Grandview_Inventory[[#This Row],[final_res]]</f>
        <v>201400</v>
      </c>
      <c r="CE2080">
        <f>Grandview_Inventory[[#This Row],[final_land]]+Grandview_Inventory[[#This Row],[final_imp]]+Grandview_Inventory[[#This Row],[crop_value]]</f>
        <v>246600</v>
      </c>
      <c r="CG2080" t="str">
        <f t="shared" si="32"/>
        <v>update valuation set market_land =45200, market_bldg=201400, market_total =246600, market_mdno =401, market_date ='9/10/2023' where link_id = (select link_id from parcel where parcel_year = '2024' and parcel_id = '23092423460');</v>
      </c>
    </row>
    <row r="2081" spans="1:85" x14ac:dyDescent="0.25">
      <c r="A2081">
        <v>23092423461</v>
      </c>
      <c r="B2081">
        <v>0.21</v>
      </c>
      <c r="C2081">
        <v>8977</v>
      </c>
      <c r="D2081" t="s">
        <v>129</v>
      </c>
      <c r="E2081" t="s">
        <v>53</v>
      </c>
      <c r="F2081" t="s">
        <v>53</v>
      </c>
      <c r="G2081">
        <v>4</v>
      </c>
      <c r="H2081" t="s">
        <v>54</v>
      </c>
      <c r="I2081">
        <v>141300</v>
      </c>
      <c r="J2081">
        <v>39300</v>
      </c>
      <c r="K2081">
        <v>0.21</v>
      </c>
      <c r="L208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81">
        <v>0</v>
      </c>
      <c r="N2081">
        <v>0</v>
      </c>
      <c r="O2081">
        <v>0</v>
      </c>
      <c r="P2081">
        <v>13398.7528</v>
      </c>
      <c r="Q2081">
        <v>63903</v>
      </c>
      <c r="R2081">
        <f>(Grandview_Inventory[[#This Row],[ln_acres]]*Grandview_Inventory[[#This Row],[coeff]])+Grandview_Inventory[[#This Row],[const]]</f>
        <v>42992.266613125081</v>
      </c>
      <c r="S2081" t="s">
        <v>68</v>
      </c>
      <c r="T2081">
        <v>1</v>
      </c>
      <c r="U2081" t="s">
        <v>70</v>
      </c>
      <c r="V2081" t="s">
        <v>69</v>
      </c>
      <c r="W2081">
        <v>0</v>
      </c>
      <c r="X2081">
        <v>0</v>
      </c>
      <c r="Y2081">
        <v>50</v>
      </c>
      <c r="Z2081">
        <v>73</v>
      </c>
      <c r="AA2081">
        <v>80</v>
      </c>
      <c r="AB2081">
        <v>1500</v>
      </c>
      <c r="AC2081">
        <v>1239</v>
      </c>
      <c r="AD2081">
        <v>1239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330</v>
      </c>
      <c r="AN2081">
        <v>0</v>
      </c>
      <c r="AO2081">
        <v>228</v>
      </c>
      <c r="AP2081">
        <v>5</v>
      </c>
      <c r="AQ2081">
        <v>0</v>
      </c>
      <c r="AR2081">
        <v>0</v>
      </c>
      <c r="AS2081" t="s">
        <v>58</v>
      </c>
      <c r="AT2081">
        <v>1</v>
      </c>
      <c r="AU2081" t="s">
        <v>75</v>
      </c>
      <c r="AV2081" t="s">
        <v>60</v>
      </c>
      <c r="AW2081">
        <v>0</v>
      </c>
      <c r="AX2081">
        <v>3</v>
      </c>
      <c r="AY2081">
        <v>0</v>
      </c>
      <c r="AZ2081">
        <v>7400</v>
      </c>
      <c r="BA2081">
        <v>100</v>
      </c>
      <c r="BB2081">
        <v>100</v>
      </c>
      <c r="BC2081">
        <v>100</v>
      </c>
      <c r="BD2081">
        <v>100</v>
      </c>
      <c r="BE2081">
        <v>1</v>
      </c>
      <c r="BF2081">
        <v>15000</v>
      </c>
      <c r="BG2081">
        <v>1000</v>
      </c>
      <c r="BH2081" s="6">
        <f>Grandview_Inventory[[#This Row],[land_extract]]*Lookups!$B$3</f>
        <v>49926.8031387023</v>
      </c>
      <c r="BI2081" s="6">
        <f>IF(Grandview_Inventory[[#This Row],[bldg_style]]="",0,Lookups!$B$2)</f>
        <v>155833.95000000001</v>
      </c>
      <c r="BJ2081" s="6">
        <f>_xlfn.IFNA(VLOOKUP(Grandview_Inventory[[#This Row],[quality]],Lookups!$H$2:$J$14,3,FALSE),0)</f>
        <v>10733</v>
      </c>
      <c r="BK2081" s="6">
        <f>_xlfn.IFNA(VLOOKUP(Grandview_Inventory[[#This Row],[condition]],Lookups!$H$17:$J$24,3,FALSE),0)</f>
        <v>-4503</v>
      </c>
      <c r="BL2081" s="6">
        <f>Grandview_Inventory[[#This Row],[Eff_Age]]*Lookups!$B$14</f>
        <v>-11958.33</v>
      </c>
      <c r="BM2081" s="6">
        <f>Grandview_Inventory[[#This Row],[living_area]]*Lookups!$B$15</f>
        <v>77289.876866999999</v>
      </c>
      <c r="BN2081" s="6">
        <f>Grandview_Inventory[[#This Row],[Fin BSMT]]*Lookups!$B$16</f>
        <v>0</v>
      </c>
      <c r="BO2081" s="6">
        <f>(Grandview_Inventory[[#This Row],[att_gar]]+Grandview_Inventory[[#This Row],[bltin_gar]])*Lookups!$B$17</f>
        <v>0</v>
      </c>
      <c r="BP2081" s="6">
        <f>Grandview_Inventory[[#This Row],[Plumbing Fixtures]]*Lookups!$B$18</f>
        <v>10052.209000000001</v>
      </c>
      <c r="BQ2081" s="6">
        <f>Grandview_Inventory[[#This Row],[detatched_value]]*Lookups!$B$19</f>
        <v>6266.3577399999995</v>
      </c>
      <c r="BR2081" s="6">
        <f>SUM(Grandview_Inventory[[#This Row],[Intercept]:[det_value]])*Grandview_Inventory[[#This Row],[res_pct]]</f>
        <v>243714.06360700002</v>
      </c>
      <c r="BS2081" s="6">
        <f>Grandview_Inventory[[#This Row],[land_value]]</f>
        <v>49926.8031387023</v>
      </c>
      <c r="BT2081" s="4">
        <f>_xlfn.IFNA(VLOOKUP(Grandview_Inventory[[#This Row],[quality]],Lookups!$A$26:$C$33,3,FALSE),1)</f>
        <v>0.98079741117310582</v>
      </c>
      <c r="BU2081" s="4">
        <f>_xlfn.IFNA(VLOOKUP(Grandview_Inventory[[#This Row],[condition]],Lookups!$A$37:$C$44,3,FALSE),1)</f>
        <v>0.96469275950863709</v>
      </c>
      <c r="BV2081" s="4">
        <f>IF(Grandview_Inventory[[#This Row],[bldg_style]]="",1,_xlfn.IFNA(VLOOKUP(Grandview_Inventory[[#This Row],[decade]],Lookups!$F$29:$H$43,3,FALSE),1))</f>
        <v>0.98763256963907298</v>
      </c>
      <c r="BW2081" s="4">
        <f>_xlfn.IFNA(VLOOKUP(Grandview_Inventory[[#This Row],[living_area_range]],Lookups!$F$47:$H$56,3,FALSE),1)</f>
        <v>0.96135087979789358</v>
      </c>
      <c r="BX2081" s="4">
        <f>AVERAGE(Grandview_Inventory[[#This Row],[qual_adj]:[size_adj]])</f>
        <v>0.97361840502967734</v>
      </c>
      <c r="BY2081" s="6">
        <f>IF(Grandview_Inventory[[#This Row],[pre_res]]&lt;0,0,Grandview_Inventory[[#This Row],[pre_res]]*Grandview_Inventory[[#This Row],[overall_adj]])</f>
        <v>237284.49789234868</v>
      </c>
      <c r="BZ2081" s="6">
        <f>(Grandview_Inventory[[#This Row],[sum_land]]-IF(Grandview_Inventory[[#This Row],[no_utilities]]=1,12000,0))/IF(Grandview_Inventory[[#This Row],[unbuildable]]=1,2,1)</f>
        <v>49926.8031387023</v>
      </c>
      <c r="CA208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81">
        <f>ROUND(Grandview_Inventory[[#This Row],[det_value]]*Lookups!$M$28,-2)</f>
        <v>6000</v>
      </c>
      <c r="CC2081">
        <f>IF(ROUND(Grandview_Inventory[[#This Row],[adj_res]]*Lookups!$M$28,-2)&lt;Grandview_Inventory[[#This Row],[min_res]],Grandview_Inventory[[#This Row],[min_res]],ROUND(Grandview_Inventory[[#This Row],[adj_res]]*Lookups!$M$28,-2))</f>
        <v>225400</v>
      </c>
      <c r="CD2081">
        <f>Grandview_Inventory[[#This Row],[final_det]]+Grandview_Inventory[[#This Row],[final_res]]</f>
        <v>231400</v>
      </c>
      <c r="CE2081">
        <f>Grandview_Inventory[[#This Row],[final_land]]+Grandview_Inventory[[#This Row],[final_imp]]+Grandview_Inventory[[#This Row],[crop_value]]</f>
        <v>278800</v>
      </c>
      <c r="CG2081" t="str">
        <f t="shared" si="32"/>
        <v>update valuation set market_land =47400, market_bldg=231400, market_total =278800, market_mdno =401, market_date ='9/10/2023' where link_id = (select link_id from parcel where parcel_year = '2024' and parcel_id = '23092423461');</v>
      </c>
    </row>
    <row r="2082" spans="1:85" x14ac:dyDescent="0.25">
      <c r="A2082">
        <v>23092423462</v>
      </c>
      <c r="B2082">
        <v>0.18</v>
      </c>
      <c r="C2082" t="s">
        <v>129</v>
      </c>
      <c r="D2082" t="s">
        <v>129</v>
      </c>
      <c r="E2082" t="s">
        <v>53</v>
      </c>
      <c r="F2082" t="s">
        <v>53</v>
      </c>
      <c r="G2082">
        <v>4</v>
      </c>
      <c r="H2082" t="s">
        <v>54</v>
      </c>
      <c r="I2082">
        <v>122000</v>
      </c>
      <c r="J2082">
        <v>39000</v>
      </c>
      <c r="K2082">
        <v>0.18</v>
      </c>
      <c r="L208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82">
        <v>0</v>
      </c>
      <c r="N2082">
        <v>0</v>
      </c>
      <c r="O2082">
        <v>0</v>
      </c>
      <c r="P2082">
        <v>13398.7528</v>
      </c>
      <c r="Q2082">
        <v>63903</v>
      </c>
      <c r="R2082">
        <f>(Grandview_Inventory[[#This Row],[ln_acres]]*Grandview_Inventory[[#This Row],[coeff]])+Grandview_Inventory[[#This Row],[const]]</f>
        <v>40926.839760167699</v>
      </c>
      <c r="S2082" t="s">
        <v>68</v>
      </c>
      <c r="T2082">
        <v>1</v>
      </c>
      <c r="U2082" t="s">
        <v>70</v>
      </c>
      <c r="V2082" t="s">
        <v>69</v>
      </c>
      <c r="W2082">
        <v>0</v>
      </c>
      <c r="X2082">
        <v>0</v>
      </c>
      <c r="Y2082">
        <v>49</v>
      </c>
      <c r="Z2082">
        <v>68</v>
      </c>
      <c r="AA2082">
        <v>70</v>
      </c>
      <c r="AB2082">
        <v>1000</v>
      </c>
      <c r="AC2082">
        <v>836</v>
      </c>
      <c r="AD2082">
        <v>836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168</v>
      </c>
      <c r="AN2082">
        <v>0</v>
      </c>
      <c r="AO2082">
        <v>168</v>
      </c>
      <c r="AP2082">
        <v>5</v>
      </c>
      <c r="AQ2082">
        <v>0</v>
      </c>
      <c r="AR2082">
        <v>0</v>
      </c>
      <c r="AS2082" t="s">
        <v>58</v>
      </c>
      <c r="AT2082">
        <v>1</v>
      </c>
      <c r="AU2082" t="s">
        <v>75</v>
      </c>
      <c r="AV2082" t="s">
        <v>60</v>
      </c>
      <c r="AW2082">
        <v>0</v>
      </c>
      <c r="AX2082">
        <v>2</v>
      </c>
      <c r="AY2082">
        <v>0</v>
      </c>
      <c r="AZ2082">
        <v>7900</v>
      </c>
      <c r="BA2082">
        <v>100</v>
      </c>
      <c r="BB2082">
        <v>100</v>
      </c>
      <c r="BC2082">
        <v>100</v>
      </c>
      <c r="BD2082">
        <v>100</v>
      </c>
      <c r="BE2082">
        <v>1</v>
      </c>
      <c r="BF2082">
        <v>15000</v>
      </c>
      <c r="BG2082">
        <v>1000</v>
      </c>
      <c r="BH2082" s="6">
        <f>Grandview_Inventory[[#This Row],[land_extract]]*Lookups!$B$3</f>
        <v>47528.228511015397</v>
      </c>
      <c r="BI2082" s="6">
        <f>IF(Grandview_Inventory[[#This Row],[bldg_style]]="",0,Lookups!$B$2)</f>
        <v>155833.95000000001</v>
      </c>
      <c r="BJ2082" s="6">
        <f>_xlfn.IFNA(VLOOKUP(Grandview_Inventory[[#This Row],[quality]],Lookups!$H$2:$J$14,3,FALSE),0)</f>
        <v>10733</v>
      </c>
      <c r="BK2082" s="6">
        <f>_xlfn.IFNA(VLOOKUP(Grandview_Inventory[[#This Row],[condition]],Lookups!$H$17:$J$24,3,FALSE),0)</f>
        <v>-4503</v>
      </c>
      <c r="BL2082" s="6">
        <f>Grandview_Inventory[[#This Row],[Eff_Age]]*Lookups!$B$14</f>
        <v>-11719.163399999999</v>
      </c>
      <c r="BM2082" s="6">
        <f>Grandview_Inventory[[#This Row],[living_area]]*Lookups!$B$15</f>
        <v>52150.393108000004</v>
      </c>
      <c r="BN2082" s="6">
        <f>Grandview_Inventory[[#This Row],[Fin BSMT]]*Lookups!$B$16</f>
        <v>0</v>
      </c>
      <c r="BO2082" s="6">
        <f>(Grandview_Inventory[[#This Row],[att_gar]]+Grandview_Inventory[[#This Row],[bltin_gar]])*Lookups!$B$17</f>
        <v>0</v>
      </c>
      <c r="BP2082" s="6">
        <f>Grandview_Inventory[[#This Row],[Plumbing Fixtures]]*Lookups!$B$18</f>
        <v>10052.209000000001</v>
      </c>
      <c r="BQ2082" s="6">
        <f>Grandview_Inventory[[#This Row],[detatched_value]]*Lookups!$B$19</f>
        <v>6689.7602900000002</v>
      </c>
      <c r="BR2082" s="6">
        <f>SUM(Grandview_Inventory[[#This Row],[Intercept]:[det_value]])*Grandview_Inventory[[#This Row],[res_pct]]</f>
        <v>219237.14899800005</v>
      </c>
      <c r="BS2082" s="6">
        <f>Grandview_Inventory[[#This Row],[land_value]]</f>
        <v>47528.228511015397</v>
      </c>
      <c r="BT2082" s="4">
        <f>_xlfn.IFNA(VLOOKUP(Grandview_Inventory[[#This Row],[quality]],Lookups!$A$26:$C$33,3,FALSE),1)</f>
        <v>0.98079741117310582</v>
      </c>
      <c r="BU2082" s="4">
        <f>_xlfn.IFNA(VLOOKUP(Grandview_Inventory[[#This Row],[condition]],Lookups!$A$37:$C$44,3,FALSE),1)</f>
        <v>0.96469275950863709</v>
      </c>
      <c r="BV2082" s="4">
        <f>IF(Grandview_Inventory[[#This Row],[bldg_style]]="",1,_xlfn.IFNA(VLOOKUP(Grandview_Inventory[[#This Row],[decade]],Lookups!$F$29:$H$43,3,FALSE),1))</f>
        <v>0.99472141305414818</v>
      </c>
      <c r="BW2082" s="4">
        <f>_xlfn.IFNA(VLOOKUP(Grandview_Inventory[[#This Row],[living_area_range]],Lookups!$F$47:$H$56,3,FALSE),1)</f>
        <v>0.94306777142782894</v>
      </c>
      <c r="BX2082" s="4">
        <f>AVERAGE(Grandview_Inventory[[#This Row],[qual_adj]:[size_adj]])</f>
        <v>0.97081983879093003</v>
      </c>
      <c r="BY2082" s="6">
        <f>IF(Grandview_Inventory[[#This Row],[pre_res]]&lt;0,0,Grandview_Inventory[[#This Row],[pre_res]]*Grandview_Inventory[[#This Row],[overall_adj]])</f>
        <v>212839.7736472215</v>
      </c>
      <c r="BZ2082" s="6">
        <f>(Grandview_Inventory[[#This Row],[sum_land]]-IF(Grandview_Inventory[[#This Row],[no_utilities]]=1,12000,0))/IF(Grandview_Inventory[[#This Row],[unbuildable]]=1,2,1)</f>
        <v>47528.228511015397</v>
      </c>
      <c r="CA208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82">
        <f>ROUND(Grandview_Inventory[[#This Row],[det_value]]*Lookups!$M$28,-2)</f>
        <v>6400</v>
      </c>
      <c r="CC2082">
        <f>IF(ROUND(Grandview_Inventory[[#This Row],[adj_res]]*Lookups!$M$28,-2)&lt;Grandview_Inventory[[#This Row],[min_res]],Grandview_Inventory[[#This Row],[min_res]],ROUND(Grandview_Inventory[[#This Row],[adj_res]]*Lookups!$M$28,-2))</f>
        <v>202200</v>
      </c>
      <c r="CD2082">
        <f>Grandview_Inventory[[#This Row],[final_det]]+Grandview_Inventory[[#This Row],[final_res]]</f>
        <v>208600</v>
      </c>
      <c r="CE2082">
        <f>Grandview_Inventory[[#This Row],[final_land]]+Grandview_Inventory[[#This Row],[final_imp]]+Grandview_Inventory[[#This Row],[crop_value]]</f>
        <v>253800</v>
      </c>
      <c r="CG2082" t="str">
        <f t="shared" si="32"/>
        <v>update valuation set market_land =45200, market_bldg=208600, market_total =253800, market_mdno =401, market_date ='9/10/2023' where link_id = (select link_id from parcel where parcel_year = '2024' and parcel_id = '23092423462');</v>
      </c>
    </row>
    <row r="2083" spans="1:85" x14ac:dyDescent="0.25">
      <c r="A2083">
        <v>23092423463</v>
      </c>
      <c r="B2083">
        <v>0.22</v>
      </c>
      <c r="C2083">
        <v>9723</v>
      </c>
      <c r="D2083" t="s">
        <v>129</v>
      </c>
      <c r="E2083" t="s">
        <v>53</v>
      </c>
      <c r="F2083" t="s">
        <v>53</v>
      </c>
      <c r="G2083">
        <v>4</v>
      </c>
      <c r="H2083" t="s">
        <v>54</v>
      </c>
      <c r="I2083">
        <v>187100</v>
      </c>
      <c r="J2083">
        <v>39500</v>
      </c>
      <c r="K2083">
        <v>0.22</v>
      </c>
      <c r="L208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083">
        <v>0</v>
      </c>
      <c r="N2083">
        <v>0</v>
      </c>
      <c r="O2083">
        <v>0</v>
      </c>
      <c r="P2083">
        <v>13398.7528</v>
      </c>
      <c r="Q2083">
        <v>63903</v>
      </c>
      <c r="R2083">
        <f>(Grandview_Inventory[[#This Row],[ln_acres]]*Grandview_Inventory[[#This Row],[coeff]])+Grandview_Inventory[[#This Row],[const]]</f>
        <v>43615.576802869145</v>
      </c>
      <c r="S2083" t="s">
        <v>61</v>
      </c>
      <c r="T2083">
        <v>1</v>
      </c>
      <c r="U2083" t="s">
        <v>65</v>
      </c>
      <c r="V2083" t="s">
        <v>67</v>
      </c>
      <c r="W2083">
        <v>0</v>
      </c>
      <c r="X2083">
        <v>0</v>
      </c>
      <c r="Y2083">
        <v>49</v>
      </c>
      <c r="Z2083">
        <v>68</v>
      </c>
      <c r="AA2083">
        <v>70</v>
      </c>
      <c r="AB2083">
        <v>1500</v>
      </c>
      <c r="AC2083">
        <v>1176</v>
      </c>
      <c r="AD2083">
        <v>1176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192</v>
      </c>
      <c r="AN2083">
        <v>0</v>
      </c>
      <c r="AO2083">
        <v>192</v>
      </c>
      <c r="AP2083">
        <v>7</v>
      </c>
      <c r="AQ2083">
        <v>0</v>
      </c>
      <c r="AR2083">
        <v>1</v>
      </c>
      <c r="AS2083" t="s">
        <v>58</v>
      </c>
      <c r="AT2083">
        <v>1</v>
      </c>
      <c r="AU2083" t="s">
        <v>63</v>
      </c>
      <c r="AV2083" t="s">
        <v>60</v>
      </c>
      <c r="AW2083">
        <v>0</v>
      </c>
      <c r="AX2083">
        <v>3</v>
      </c>
      <c r="AY2083">
        <v>0</v>
      </c>
      <c r="AZ2083">
        <v>8100</v>
      </c>
      <c r="BA2083">
        <v>100</v>
      </c>
      <c r="BB2083">
        <v>100</v>
      </c>
      <c r="BC2083">
        <v>100</v>
      </c>
      <c r="BD2083">
        <v>100</v>
      </c>
      <c r="BE2083">
        <v>1</v>
      </c>
      <c r="BF2083">
        <v>15000</v>
      </c>
      <c r="BG2083">
        <v>1000</v>
      </c>
      <c r="BH2083" s="6">
        <f>Grandview_Inventory[[#This Row],[land_extract]]*Lookups!$B$3</f>
        <v>50650.651579114572</v>
      </c>
      <c r="BI2083" s="6">
        <f>IF(Grandview_Inventory[[#This Row],[bldg_style]]="",0,Lookups!$B$2)</f>
        <v>155833.95000000001</v>
      </c>
      <c r="BJ2083" s="6">
        <f>_xlfn.IFNA(VLOOKUP(Grandview_Inventory[[#This Row],[quality]],Lookups!$H$2:$J$14,3,FALSE),0)</f>
        <v>2251</v>
      </c>
      <c r="BK2083" s="6">
        <f>_xlfn.IFNA(VLOOKUP(Grandview_Inventory[[#This Row],[condition]],Lookups!$H$17:$J$24,3,FALSE),0)</f>
        <v>22342</v>
      </c>
      <c r="BL2083" s="6">
        <f>Grandview_Inventory[[#This Row],[Eff_Age]]*Lookups!$B$14</f>
        <v>-11719.163399999999</v>
      </c>
      <c r="BM2083" s="6">
        <f>Grandview_Inventory[[#This Row],[living_area]]*Lookups!$B$15</f>
        <v>73359.883128000001</v>
      </c>
      <c r="BN2083" s="6">
        <f>Grandview_Inventory[[#This Row],[Fin BSMT]]*Lookups!$B$16</f>
        <v>0</v>
      </c>
      <c r="BO2083" s="6">
        <f>(Grandview_Inventory[[#This Row],[att_gar]]+Grandview_Inventory[[#This Row],[bltin_gar]])*Lookups!$B$17</f>
        <v>0</v>
      </c>
      <c r="BP2083" s="6">
        <f>Grandview_Inventory[[#This Row],[Plumbing Fixtures]]*Lookups!$B$18</f>
        <v>14073.0926</v>
      </c>
      <c r="BQ2083" s="6">
        <f>Grandview_Inventory[[#This Row],[detatched_value]]*Lookups!$B$19</f>
        <v>6859.1213099999995</v>
      </c>
      <c r="BR2083" s="6">
        <f>SUM(Grandview_Inventory[[#This Row],[Intercept]:[det_value]])*Grandview_Inventory[[#This Row],[res_pct]]</f>
        <v>262999.883638</v>
      </c>
      <c r="BS2083" s="6">
        <f>Grandview_Inventory[[#This Row],[land_value]]</f>
        <v>50650.651579114572</v>
      </c>
      <c r="BT2083" s="4">
        <f>_xlfn.IFNA(VLOOKUP(Grandview_Inventory[[#This Row],[quality]],Lookups!$A$26:$C$33,3,FALSE),1)</f>
        <v>0.98763855981004833</v>
      </c>
      <c r="BU2083" s="4">
        <f>_xlfn.IFNA(VLOOKUP(Grandview_Inventory[[#This Row],[condition]],Lookups!$A$37:$C$44,3,FALSE),1)</f>
        <v>0.97383723671140243</v>
      </c>
      <c r="BV2083" s="4">
        <f>IF(Grandview_Inventory[[#This Row],[bldg_style]]="",1,_xlfn.IFNA(VLOOKUP(Grandview_Inventory[[#This Row],[decade]],Lookups!$F$29:$H$43,3,FALSE),1))</f>
        <v>0.99472141305414818</v>
      </c>
      <c r="BW2083" s="4">
        <f>_xlfn.IFNA(VLOOKUP(Grandview_Inventory[[#This Row],[living_area_range]],Lookups!$F$47:$H$56,3,FALSE),1)</f>
        <v>0.96135087979789358</v>
      </c>
      <c r="BX2083" s="4">
        <f>AVERAGE(Grandview_Inventory[[#This Row],[qual_adj]:[size_adj]])</f>
        <v>0.97938702234337316</v>
      </c>
      <c r="BY2083" s="6">
        <f>IF(Grandview_Inventory[[#This Row],[pre_res]]&lt;0,0,Grandview_Inventory[[#This Row],[pre_res]]*Grandview_Inventory[[#This Row],[overall_adj]])</f>
        <v>257578.67291287443</v>
      </c>
      <c r="BZ2083" s="6">
        <f>(Grandview_Inventory[[#This Row],[sum_land]]-IF(Grandview_Inventory[[#This Row],[no_utilities]]=1,12000,0))/IF(Grandview_Inventory[[#This Row],[unbuildable]]=1,2,1)</f>
        <v>50650.651579114572</v>
      </c>
      <c r="CA208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083">
        <f>ROUND(Grandview_Inventory[[#This Row],[det_value]]*Lookups!$M$28,-2)</f>
        <v>6500</v>
      </c>
      <c r="CC2083">
        <f>IF(ROUND(Grandview_Inventory[[#This Row],[adj_res]]*Lookups!$M$28,-2)&lt;Grandview_Inventory[[#This Row],[min_res]],Grandview_Inventory[[#This Row],[min_res]],ROUND(Grandview_Inventory[[#This Row],[adj_res]]*Lookups!$M$28,-2))</f>
        <v>244700</v>
      </c>
      <c r="CD2083">
        <f>Grandview_Inventory[[#This Row],[final_det]]+Grandview_Inventory[[#This Row],[final_res]]</f>
        <v>251200</v>
      </c>
      <c r="CE2083">
        <f>Grandview_Inventory[[#This Row],[final_land]]+Grandview_Inventory[[#This Row],[final_imp]]+Grandview_Inventory[[#This Row],[crop_value]]</f>
        <v>299300</v>
      </c>
      <c r="CG2083" t="str">
        <f t="shared" si="32"/>
        <v>update valuation set market_land =48100, market_bldg=251200, market_total =299300, market_mdno =401, market_date ='9/10/2023' where link_id = (select link_id from parcel where parcel_year = '2024' and parcel_id = '23092423463');</v>
      </c>
    </row>
    <row r="2084" spans="1:85" x14ac:dyDescent="0.25">
      <c r="A2084">
        <v>23092423464</v>
      </c>
      <c r="B2084">
        <v>0.2</v>
      </c>
      <c r="C2084">
        <v>8680</v>
      </c>
      <c r="D2084" t="s">
        <v>129</v>
      </c>
      <c r="E2084" t="s">
        <v>53</v>
      </c>
      <c r="F2084" t="s">
        <v>53</v>
      </c>
      <c r="G2084">
        <v>4</v>
      </c>
      <c r="H2084" t="s">
        <v>54</v>
      </c>
      <c r="I2084">
        <v>123500</v>
      </c>
      <c r="J2084">
        <v>39300</v>
      </c>
      <c r="K2084">
        <v>0.2</v>
      </c>
      <c r="L208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84">
        <v>0</v>
      </c>
      <c r="N2084">
        <v>0</v>
      </c>
      <c r="O2084">
        <v>0</v>
      </c>
      <c r="P2084">
        <v>13398.7528</v>
      </c>
      <c r="Q2084">
        <v>63903</v>
      </c>
      <c r="R2084">
        <f>(Grandview_Inventory[[#This Row],[ln_acres]]*Grandview_Inventory[[#This Row],[coeff]])+Grandview_Inventory[[#This Row],[const]]</f>
        <v>42338.539264347448</v>
      </c>
      <c r="S2084" t="s">
        <v>68</v>
      </c>
      <c r="T2084">
        <v>1</v>
      </c>
      <c r="U2084" t="s">
        <v>70</v>
      </c>
      <c r="V2084" t="s">
        <v>69</v>
      </c>
      <c r="W2084">
        <v>0</v>
      </c>
      <c r="X2084">
        <v>0</v>
      </c>
      <c r="Y2084">
        <v>50</v>
      </c>
      <c r="Z2084">
        <v>73</v>
      </c>
      <c r="AA2084">
        <v>80</v>
      </c>
      <c r="AB2084">
        <v>1500</v>
      </c>
      <c r="AC2084">
        <v>1024</v>
      </c>
      <c r="AD2084">
        <v>1024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242</v>
      </c>
      <c r="AL2084">
        <v>0</v>
      </c>
      <c r="AM2084">
        <v>230</v>
      </c>
      <c r="AN2084">
        <v>0</v>
      </c>
      <c r="AO2084">
        <v>0</v>
      </c>
      <c r="AP2084">
        <v>5</v>
      </c>
      <c r="AQ2084">
        <v>0</v>
      </c>
      <c r="AR2084">
        <v>0</v>
      </c>
      <c r="AS2084" t="s">
        <v>58</v>
      </c>
      <c r="AT2084">
        <v>1</v>
      </c>
      <c r="AU2084" t="s">
        <v>63</v>
      </c>
      <c r="AV2084" t="s">
        <v>64</v>
      </c>
      <c r="AW2084">
        <v>0</v>
      </c>
      <c r="AX2084">
        <v>3</v>
      </c>
      <c r="AY2084">
        <v>0</v>
      </c>
      <c r="AZ2084">
        <v>0</v>
      </c>
      <c r="BA2084">
        <v>100</v>
      </c>
      <c r="BB2084">
        <v>100</v>
      </c>
      <c r="BC2084">
        <v>100</v>
      </c>
      <c r="BD2084">
        <v>100</v>
      </c>
      <c r="BE2084">
        <v>1</v>
      </c>
      <c r="BF2084">
        <v>15000</v>
      </c>
      <c r="BG2084">
        <v>1000</v>
      </c>
      <c r="BH2084" s="6">
        <f>Grandview_Inventory[[#This Row],[land_extract]]*Lookups!$B$3</f>
        <v>49167.631333630678</v>
      </c>
      <c r="BI2084" s="6">
        <f>IF(Grandview_Inventory[[#This Row],[bldg_style]]="",0,Lookups!$B$2)</f>
        <v>155833.95000000001</v>
      </c>
      <c r="BJ2084" s="6">
        <f>_xlfn.IFNA(VLOOKUP(Grandview_Inventory[[#This Row],[quality]],Lookups!$H$2:$J$14,3,FALSE),0)</f>
        <v>10733</v>
      </c>
      <c r="BK2084" s="6">
        <f>_xlfn.IFNA(VLOOKUP(Grandview_Inventory[[#This Row],[condition]],Lookups!$H$17:$J$24,3,FALSE),0)</f>
        <v>-4503</v>
      </c>
      <c r="BL2084" s="6">
        <f>Grandview_Inventory[[#This Row],[Eff_Age]]*Lookups!$B$14</f>
        <v>-11958.33</v>
      </c>
      <c r="BM2084" s="6">
        <f>Grandview_Inventory[[#This Row],[living_area]]*Lookups!$B$15</f>
        <v>63877.993472000002</v>
      </c>
      <c r="BN2084" s="6">
        <f>Grandview_Inventory[[#This Row],[Fin BSMT]]*Lookups!$B$16</f>
        <v>0</v>
      </c>
      <c r="BO2084" s="6">
        <f>(Grandview_Inventory[[#This Row],[att_gar]]+Grandview_Inventory[[#This Row],[bltin_gar]])*Lookups!$B$17</f>
        <v>0</v>
      </c>
      <c r="BP2084" s="6">
        <f>Grandview_Inventory[[#This Row],[Plumbing Fixtures]]*Lookups!$B$18</f>
        <v>10052.209000000001</v>
      </c>
      <c r="BQ2084" s="6">
        <f>Grandview_Inventory[[#This Row],[detatched_value]]*Lookups!$B$19</f>
        <v>0</v>
      </c>
      <c r="BR2084" s="6">
        <f>SUM(Grandview_Inventory[[#This Row],[Intercept]:[det_value]])*Grandview_Inventory[[#This Row],[res_pct]]</f>
        <v>224035.82247200003</v>
      </c>
      <c r="BS2084" s="6">
        <f>Grandview_Inventory[[#This Row],[land_value]]</f>
        <v>49167.631333630678</v>
      </c>
      <c r="BT2084" s="4">
        <f>_xlfn.IFNA(VLOOKUP(Grandview_Inventory[[#This Row],[quality]],Lookups!$A$26:$C$33,3,FALSE),1)</f>
        <v>0.98079741117310582</v>
      </c>
      <c r="BU2084" s="4">
        <f>_xlfn.IFNA(VLOOKUP(Grandview_Inventory[[#This Row],[condition]],Lookups!$A$37:$C$44,3,FALSE),1)</f>
        <v>0.96469275950863709</v>
      </c>
      <c r="BV2084" s="4">
        <f>IF(Grandview_Inventory[[#This Row],[bldg_style]]="",1,_xlfn.IFNA(VLOOKUP(Grandview_Inventory[[#This Row],[decade]],Lookups!$F$29:$H$43,3,FALSE),1))</f>
        <v>0.98763256963907298</v>
      </c>
      <c r="BW2084" s="4">
        <f>_xlfn.IFNA(VLOOKUP(Grandview_Inventory[[#This Row],[living_area_range]],Lookups!$F$47:$H$56,3,FALSE),1)</f>
        <v>0.96135087979789358</v>
      </c>
      <c r="BX2084" s="4">
        <f>AVERAGE(Grandview_Inventory[[#This Row],[qual_adj]:[size_adj]])</f>
        <v>0.97361840502967734</v>
      </c>
      <c r="BY2084" s="6">
        <f>IF(Grandview_Inventory[[#This Row],[pre_res]]&lt;0,0,Grandview_Inventory[[#This Row],[pre_res]]*Grandview_Inventory[[#This Row],[overall_adj]])</f>
        <v>218125.4001447006</v>
      </c>
      <c r="BZ2084" s="6">
        <f>(Grandview_Inventory[[#This Row],[sum_land]]-IF(Grandview_Inventory[[#This Row],[no_utilities]]=1,12000,0))/IF(Grandview_Inventory[[#This Row],[unbuildable]]=1,2,1)</f>
        <v>49167.631333630678</v>
      </c>
      <c r="CA208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84">
        <f>ROUND(Grandview_Inventory[[#This Row],[det_value]]*Lookups!$M$28,-2)</f>
        <v>0</v>
      </c>
      <c r="CC2084">
        <f>IF(ROUND(Grandview_Inventory[[#This Row],[adj_res]]*Lookups!$M$28,-2)&lt;Grandview_Inventory[[#This Row],[min_res]],Grandview_Inventory[[#This Row],[min_res]],ROUND(Grandview_Inventory[[#This Row],[adj_res]]*Lookups!$M$28,-2))</f>
        <v>207200</v>
      </c>
      <c r="CD2084">
        <f>Grandview_Inventory[[#This Row],[final_det]]+Grandview_Inventory[[#This Row],[final_res]]</f>
        <v>207200</v>
      </c>
      <c r="CE2084">
        <f>Grandview_Inventory[[#This Row],[final_land]]+Grandview_Inventory[[#This Row],[final_imp]]+Grandview_Inventory[[#This Row],[crop_value]]</f>
        <v>253900</v>
      </c>
      <c r="CG2084" t="str">
        <f t="shared" si="32"/>
        <v>update valuation set market_land =46700, market_bldg=207200, market_total =253900, market_mdno =401, market_date ='9/10/2023' where link_id = (select link_id from parcel where parcel_year = '2024' and parcel_id = '23092423464');</v>
      </c>
    </row>
    <row r="2085" spans="1:85" x14ac:dyDescent="0.25">
      <c r="A2085">
        <v>23092423465</v>
      </c>
      <c r="B2085">
        <v>0.18</v>
      </c>
      <c r="C2085" t="s">
        <v>129</v>
      </c>
      <c r="D2085" t="s">
        <v>129</v>
      </c>
      <c r="E2085" t="s">
        <v>53</v>
      </c>
      <c r="F2085" t="s">
        <v>53</v>
      </c>
      <c r="G2085">
        <v>4</v>
      </c>
      <c r="H2085" t="s">
        <v>54</v>
      </c>
      <c r="I2085">
        <v>119600</v>
      </c>
      <c r="J2085">
        <v>39000</v>
      </c>
      <c r="K2085">
        <v>0.18</v>
      </c>
      <c r="L208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085">
        <v>0</v>
      </c>
      <c r="N2085">
        <v>0</v>
      </c>
      <c r="O2085">
        <v>0</v>
      </c>
      <c r="P2085">
        <v>13398.7528</v>
      </c>
      <c r="Q2085">
        <v>63903</v>
      </c>
      <c r="R2085">
        <f>(Grandview_Inventory[[#This Row],[ln_acres]]*Grandview_Inventory[[#This Row],[coeff]])+Grandview_Inventory[[#This Row],[const]]</f>
        <v>40926.839760167699</v>
      </c>
      <c r="S2085" t="s">
        <v>68</v>
      </c>
      <c r="T2085">
        <v>1</v>
      </c>
      <c r="U2085" t="s">
        <v>70</v>
      </c>
      <c r="V2085" t="s">
        <v>69</v>
      </c>
      <c r="W2085">
        <v>0</v>
      </c>
      <c r="X2085">
        <v>0</v>
      </c>
      <c r="Y2085">
        <v>50</v>
      </c>
      <c r="Z2085">
        <v>73</v>
      </c>
      <c r="AA2085">
        <v>80</v>
      </c>
      <c r="AB2085">
        <v>1000</v>
      </c>
      <c r="AC2085">
        <v>780</v>
      </c>
      <c r="AD2085">
        <v>780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336</v>
      </c>
      <c r="AL2085">
        <v>0</v>
      </c>
      <c r="AM2085">
        <v>231</v>
      </c>
      <c r="AN2085">
        <v>0</v>
      </c>
      <c r="AO2085">
        <v>0</v>
      </c>
      <c r="AP2085">
        <v>5</v>
      </c>
      <c r="AQ2085">
        <v>0</v>
      </c>
      <c r="AR2085">
        <v>0</v>
      </c>
      <c r="AS2085" t="s">
        <v>58</v>
      </c>
      <c r="AT2085">
        <v>1</v>
      </c>
      <c r="AU2085" t="s">
        <v>75</v>
      </c>
      <c r="AV2085" t="s">
        <v>60</v>
      </c>
      <c r="AW2085">
        <v>0</v>
      </c>
      <c r="AX2085">
        <v>2</v>
      </c>
      <c r="AY2085">
        <v>0</v>
      </c>
      <c r="AZ2085">
        <v>0</v>
      </c>
      <c r="BA2085">
        <v>100</v>
      </c>
      <c r="BB2085">
        <v>100</v>
      </c>
      <c r="BC2085">
        <v>100</v>
      </c>
      <c r="BD2085">
        <v>100</v>
      </c>
      <c r="BE2085">
        <v>1</v>
      </c>
      <c r="BF2085">
        <v>15000</v>
      </c>
      <c r="BG2085">
        <v>1000</v>
      </c>
      <c r="BH2085" s="6">
        <f>Grandview_Inventory[[#This Row],[land_extract]]*Lookups!$B$3</f>
        <v>47528.228511015397</v>
      </c>
      <c r="BI2085" s="6">
        <f>IF(Grandview_Inventory[[#This Row],[bldg_style]]="",0,Lookups!$B$2)</f>
        <v>155833.95000000001</v>
      </c>
      <c r="BJ2085" s="6">
        <f>_xlfn.IFNA(VLOOKUP(Grandview_Inventory[[#This Row],[quality]],Lookups!$H$2:$J$14,3,FALSE),0)</f>
        <v>10733</v>
      </c>
      <c r="BK2085" s="6">
        <f>_xlfn.IFNA(VLOOKUP(Grandview_Inventory[[#This Row],[condition]],Lookups!$H$17:$J$24,3,FALSE),0)</f>
        <v>-4503</v>
      </c>
      <c r="BL2085" s="6">
        <f>Grandview_Inventory[[#This Row],[Eff_Age]]*Lookups!$B$14</f>
        <v>-11958.33</v>
      </c>
      <c r="BM2085" s="6">
        <f>Grandview_Inventory[[#This Row],[living_area]]*Lookups!$B$15</f>
        <v>48657.065340000001</v>
      </c>
      <c r="BN2085" s="6">
        <f>Grandview_Inventory[[#This Row],[Fin BSMT]]*Lookups!$B$16</f>
        <v>0</v>
      </c>
      <c r="BO2085" s="6">
        <f>(Grandview_Inventory[[#This Row],[att_gar]]+Grandview_Inventory[[#This Row],[bltin_gar]])*Lookups!$B$17</f>
        <v>0</v>
      </c>
      <c r="BP2085" s="6">
        <f>Grandview_Inventory[[#This Row],[Plumbing Fixtures]]*Lookups!$B$18</f>
        <v>10052.209000000001</v>
      </c>
      <c r="BQ2085" s="6">
        <f>Grandview_Inventory[[#This Row],[detatched_value]]*Lookups!$B$19</f>
        <v>0</v>
      </c>
      <c r="BR2085" s="6">
        <f>SUM(Grandview_Inventory[[#This Row],[Intercept]:[det_value]])*Grandview_Inventory[[#This Row],[res_pct]]</f>
        <v>208814.89434000003</v>
      </c>
      <c r="BS2085" s="6">
        <f>Grandview_Inventory[[#This Row],[land_value]]</f>
        <v>47528.228511015397</v>
      </c>
      <c r="BT2085" s="4">
        <f>_xlfn.IFNA(VLOOKUP(Grandview_Inventory[[#This Row],[quality]],Lookups!$A$26:$C$33,3,FALSE),1)</f>
        <v>0.98079741117310582</v>
      </c>
      <c r="BU2085" s="4">
        <f>_xlfn.IFNA(VLOOKUP(Grandview_Inventory[[#This Row],[condition]],Lookups!$A$37:$C$44,3,FALSE),1)</f>
        <v>0.96469275950863709</v>
      </c>
      <c r="BV2085" s="4">
        <f>IF(Grandview_Inventory[[#This Row],[bldg_style]]="",1,_xlfn.IFNA(VLOOKUP(Grandview_Inventory[[#This Row],[decade]],Lookups!$F$29:$H$43,3,FALSE),1))</f>
        <v>0.98763256963907298</v>
      </c>
      <c r="BW2085" s="4">
        <f>_xlfn.IFNA(VLOOKUP(Grandview_Inventory[[#This Row],[living_area_range]],Lookups!$F$47:$H$56,3,FALSE),1)</f>
        <v>0.94306777142782894</v>
      </c>
      <c r="BX2085" s="4">
        <f>AVERAGE(Grandview_Inventory[[#This Row],[qual_adj]:[size_adj]])</f>
        <v>0.96904762793716115</v>
      </c>
      <c r="BY2085" s="6">
        <f>IF(Grandview_Inventory[[#This Row],[pre_res]]&lt;0,0,Grandview_Inventory[[#This Row],[pre_res]]*Grandview_Inventory[[#This Row],[overall_adj]])</f>
        <v>202351.57803812597</v>
      </c>
      <c r="BZ2085" s="6">
        <f>(Grandview_Inventory[[#This Row],[sum_land]]-IF(Grandview_Inventory[[#This Row],[no_utilities]]=1,12000,0))/IF(Grandview_Inventory[[#This Row],[unbuildable]]=1,2,1)</f>
        <v>47528.228511015397</v>
      </c>
      <c r="CA208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085">
        <f>ROUND(Grandview_Inventory[[#This Row],[det_value]]*Lookups!$M$28,-2)</f>
        <v>0</v>
      </c>
      <c r="CC2085">
        <f>IF(ROUND(Grandview_Inventory[[#This Row],[adj_res]]*Lookups!$M$28,-2)&lt;Grandview_Inventory[[#This Row],[min_res]],Grandview_Inventory[[#This Row],[min_res]],ROUND(Grandview_Inventory[[#This Row],[adj_res]]*Lookups!$M$28,-2))</f>
        <v>192200</v>
      </c>
      <c r="CD2085">
        <f>Grandview_Inventory[[#This Row],[final_det]]+Grandview_Inventory[[#This Row],[final_res]]</f>
        <v>192200</v>
      </c>
      <c r="CE2085">
        <f>Grandview_Inventory[[#This Row],[final_land]]+Grandview_Inventory[[#This Row],[final_imp]]+Grandview_Inventory[[#This Row],[crop_value]]</f>
        <v>237400</v>
      </c>
      <c r="CG2085" t="str">
        <f t="shared" si="32"/>
        <v>update valuation set market_land =45200, market_bldg=192200, market_total =237400, market_mdno =401, market_date ='9/10/2023' where link_id = (select link_id from parcel where parcel_year = '2024' and parcel_id = '23092423465');</v>
      </c>
    </row>
    <row r="2086" spans="1:85" x14ac:dyDescent="0.25">
      <c r="A2086">
        <v>23092423466</v>
      </c>
      <c r="B2086">
        <v>0.21</v>
      </c>
      <c r="C2086">
        <v>8984</v>
      </c>
      <c r="D2086" t="s">
        <v>129</v>
      </c>
      <c r="E2086" t="s">
        <v>53</v>
      </c>
      <c r="F2086" t="s">
        <v>53</v>
      </c>
      <c r="G2086">
        <v>4</v>
      </c>
      <c r="H2086" t="s">
        <v>54</v>
      </c>
      <c r="I2086">
        <v>114700</v>
      </c>
      <c r="J2086">
        <v>39300</v>
      </c>
      <c r="K2086">
        <v>0.21</v>
      </c>
      <c r="L208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86">
        <v>0</v>
      </c>
      <c r="N2086">
        <v>0</v>
      </c>
      <c r="O2086">
        <v>0</v>
      </c>
      <c r="P2086">
        <v>13398.7528</v>
      </c>
      <c r="Q2086">
        <v>63903</v>
      </c>
      <c r="R2086">
        <f>(Grandview_Inventory[[#This Row],[ln_acres]]*Grandview_Inventory[[#This Row],[coeff]])+Grandview_Inventory[[#This Row],[const]]</f>
        <v>42992.266613125081</v>
      </c>
      <c r="S2086" t="s">
        <v>68</v>
      </c>
      <c r="T2086">
        <v>1</v>
      </c>
      <c r="U2086" t="s">
        <v>70</v>
      </c>
      <c r="V2086" t="s">
        <v>69</v>
      </c>
      <c r="W2086">
        <v>0</v>
      </c>
      <c r="X2086">
        <v>0</v>
      </c>
      <c r="Y2086">
        <v>50</v>
      </c>
      <c r="Z2086">
        <v>73</v>
      </c>
      <c r="AA2086">
        <v>80</v>
      </c>
      <c r="AB2086">
        <v>1000</v>
      </c>
      <c r="AC2086">
        <v>761</v>
      </c>
      <c r="AD2086">
        <v>761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84</v>
      </c>
      <c r="AN2086">
        <v>0</v>
      </c>
      <c r="AO2086">
        <v>84</v>
      </c>
      <c r="AP2086">
        <v>5</v>
      </c>
      <c r="AQ2086">
        <v>0</v>
      </c>
      <c r="AR2086">
        <v>0</v>
      </c>
      <c r="AS2086" t="s">
        <v>58</v>
      </c>
      <c r="AT2086">
        <v>0</v>
      </c>
      <c r="AU2086" t="s">
        <v>82</v>
      </c>
      <c r="AV2086" t="s">
        <v>64</v>
      </c>
      <c r="AW2086">
        <v>0</v>
      </c>
      <c r="AX2086">
        <v>2</v>
      </c>
      <c r="AY2086">
        <v>0</v>
      </c>
      <c r="AZ2086">
        <v>12700</v>
      </c>
      <c r="BA2086">
        <v>100</v>
      </c>
      <c r="BB2086">
        <v>100</v>
      </c>
      <c r="BC2086">
        <v>100</v>
      </c>
      <c r="BD2086">
        <v>100</v>
      </c>
      <c r="BE2086">
        <v>1</v>
      </c>
      <c r="BF2086">
        <v>15000</v>
      </c>
      <c r="BG2086">
        <v>1000</v>
      </c>
      <c r="BH2086" s="6">
        <f>Grandview_Inventory[[#This Row],[land_extract]]*Lookups!$B$3</f>
        <v>49926.8031387023</v>
      </c>
      <c r="BI2086" s="6">
        <f>IF(Grandview_Inventory[[#This Row],[bldg_style]]="",0,Lookups!$B$2)</f>
        <v>155833.95000000001</v>
      </c>
      <c r="BJ2086" s="6">
        <f>_xlfn.IFNA(VLOOKUP(Grandview_Inventory[[#This Row],[quality]],Lookups!$H$2:$J$14,3,FALSE),0)</f>
        <v>10733</v>
      </c>
      <c r="BK2086" s="6">
        <f>_xlfn.IFNA(VLOOKUP(Grandview_Inventory[[#This Row],[condition]],Lookups!$H$17:$J$24,3,FALSE),0)</f>
        <v>-4503</v>
      </c>
      <c r="BL2086" s="6">
        <f>Grandview_Inventory[[#This Row],[Eff_Age]]*Lookups!$B$14</f>
        <v>-11958.33</v>
      </c>
      <c r="BM2086" s="6">
        <f>Grandview_Inventory[[#This Row],[living_area]]*Lookups!$B$15</f>
        <v>47471.829132999999</v>
      </c>
      <c r="BN2086" s="6">
        <f>Grandview_Inventory[[#This Row],[Fin BSMT]]*Lookups!$B$16</f>
        <v>0</v>
      </c>
      <c r="BO2086" s="6">
        <f>(Grandview_Inventory[[#This Row],[att_gar]]+Grandview_Inventory[[#This Row],[bltin_gar]])*Lookups!$B$17</f>
        <v>0</v>
      </c>
      <c r="BP2086" s="6">
        <f>Grandview_Inventory[[#This Row],[Plumbing Fixtures]]*Lookups!$B$18</f>
        <v>10052.209000000001</v>
      </c>
      <c r="BQ2086" s="6">
        <f>Grandview_Inventory[[#This Row],[detatched_value]]*Lookups!$B$19</f>
        <v>10754.42477</v>
      </c>
      <c r="BR2086" s="6">
        <f>SUM(Grandview_Inventory[[#This Row],[Intercept]:[det_value]])*Grandview_Inventory[[#This Row],[res_pct]]</f>
        <v>218384.08290300003</v>
      </c>
      <c r="BS2086" s="6">
        <f>Grandview_Inventory[[#This Row],[land_value]]</f>
        <v>49926.8031387023</v>
      </c>
      <c r="BT2086" s="4">
        <f>_xlfn.IFNA(VLOOKUP(Grandview_Inventory[[#This Row],[quality]],Lookups!$A$26:$C$33,3,FALSE),1)</f>
        <v>0.98079741117310582</v>
      </c>
      <c r="BU2086" s="4">
        <f>_xlfn.IFNA(VLOOKUP(Grandview_Inventory[[#This Row],[condition]],Lookups!$A$37:$C$44,3,FALSE),1)</f>
        <v>0.96469275950863709</v>
      </c>
      <c r="BV2086" s="4">
        <f>IF(Grandview_Inventory[[#This Row],[bldg_style]]="",1,_xlfn.IFNA(VLOOKUP(Grandview_Inventory[[#This Row],[decade]],Lookups!$F$29:$H$43,3,FALSE),1))</f>
        <v>0.98763256963907298</v>
      </c>
      <c r="BW2086" s="4">
        <f>_xlfn.IFNA(VLOOKUP(Grandview_Inventory[[#This Row],[living_area_range]],Lookups!$F$47:$H$56,3,FALSE),1)</f>
        <v>0.94306777142782894</v>
      </c>
      <c r="BX2086" s="4">
        <f>AVERAGE(Grandview_Inventory[[#This Row],[qual_adj]:[size_adj]])</f>
        <v>0.96904762793716115</v>
      </c>
      <c r="BY2086" s="6">
        <f>IF(Grandview_Inventory[[#This Row],[pre_res]]&lt;0,0,Grandview_Inventory[[#This Row],[pre_res]]*Grandview_Inventory[[#This Row],[overall_adj]])</f>
        <v>211624.57751638454</v>
      </c>
      <c r="BZ2086" s="6">
        <f>(Grandview_Inventory[[#This Row],[sum_land]]-IF(Grandview_Inventory[[#This Row],[no_utilities]]=1,12000,0))/IF(Grandview_Inventory[[#This Row],[unbuildable]]=1,2,1)</f>
        <v>49926.8031387023</v>
      </c>
      <c r="CA208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86">
        <f>ROUND(Grandview_Inventory[[#This Row],[det_value]]*Lookups!$M$28,-2)</f>
        <v>10200</v>
      </c>
      <c r="CC2086">
        <f>IF(ROUND(Grandview_Inventory[[#This Row],[adj_res]]*Lookups!$M$28,-2)&lt;Grandview_Inventory[[#This Row],[min_res]],Grandview_Inventory[[#This Row],[min_res]],ROUND(Grandview_Inventory[[#This Row],[adj_res]]*Lookups!$M$28,-2))</f>
        <v>201000</v>
      </c>
      <c r="CD2086">
        <f>Grandview_Inventory[[#This Row],[final_det]]+Grandview_Inventory[[#This Row],[final_res]]</f>
        <v>211200</v>
      </c>
      <c r="CE2086">
        <f>Grandview_Inventory[[#This Row],[final_land]]+Grandview_Inventory[[#This Row],[final_imp]]+Grandview_Inventory[[#This Row],[crop_value]]</f>
        <v>258600</v>
      </c>
      <c r="CG2086" t="str">
        <f t="shared" si="32"/>
        <v>update valuation set market_land =47400, market_bldg=211200, market_total =258600, market_mdno =401, market_date ='9/10/2023' where link_id = (select link_id from parcel where parcel_year = '2024' and parcel_id = '23092423466');</v>
      </c>
    </row>
    <row r="2087" spans="1:85" x14ac:dyDescent="0.25">
      <c r="A2087">
        <v>23092423467</v>
      </c>
      <c r="B2087">
        <v>0.21</v>
      </c>
      <c r="C2087">
        <v>9007</v>
      </c>
      <c r="D2087" t="s">
        <v>129</v>
      </c>
      <c r="E2087" t="s">
        <v>53</v>
      </c>
      <c r="F2087" t="s">
        <v>53</v>
      </c>
      <c r="G2087">
        <v>4</v>
      </c>
      <c r="H2087" t="s">
        <v>54</v>
      </c>
      <c r="I2087">
        <v>131300</v>
      </c>
      <c r="J2087">
        <v>39300</v>
      </c>
      <c r="K2087">
        <v>0.21</v>
      </c>
      <c r="L208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87">
        <v>0</v>
      </c>
      <c r="N2087">
        <v>0</v>
      </c>
      <c r="O2087">
        <v>0</v>
      </c>
      <c r="P2087">
        <v>13398.7528</v>
      </c>
      <c r="Q2087">
        <v>63903</v>
      </c>
      <c r="R2087">
        <f>(Grandview_Inventory[[#This Row],[ln_acres]]*Grandview_Inventory[[#This Row],[coeff]])+Grandview_Inventory[[#This Row],[const]]</f>
        <v>42992.266613125081</v>
      </c>
      <c r="S2087" t="s">
        <v>68</v>
      </c>
      <c r="T2087">
        <v>1</v>
      </c>
      <c r="U2087" t="s">
        <v>65</v>
      </c>
      <c r="V2087" t="s">
        <v>69</v>
      </c>
      <c r="W2087">
        <v>0</v>
      </c>
      <c r="X2087">
        <v>0</v>
      </c>
      <c r="Y2087">
        <v>50</v>
      </c>
      <c r="Z2087">
        <v>73</v>
      </c>
      <c r="AA2087">
        <v>80</v>
      </c>
      <c r="AB2087">
        <v>1500</v>
      </c>
      <c r="AC2087">
        <v>1024</v>
      </c>
      <c r="AD2087">
        <v>1024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420</v>
      </c>
      <c r="AL2087">
        <v>0</v>
      </c>
      <c r="AM2087">
        <v>0</v>
      </c>
      <c r="AN2087">
        <v>20</v>
      </c>
      <c r="AO2087">
        <v>0</v>
      </c>
      <c r="AP2087">
        <v>5</v>
      </c>
      <c r="AQ2087">
        <v>0</v>
      </c>
      <c r="AR2087">
        <v>0</v>
      </c>
      <c r="AS2087" t="s">
        <v>58</v>
      </c>
      <c r="AT2087">
        <v>1</v>
      </c>
      <c r="AU2087" t="s">
        <v>63</v>
      </c>
      <c r="AV2087" t="s">
        <v>60</v>
      </c>
      <c r="AW2087">
        <v>0</v>
      </c>
      <c r="AX2087">
        <v>2</v>
      </c>
      <c r="AY2087">
        <v>0</v>
      </c>
      <c r="AZ2087">
        <v>7400</v>
      </c>
      <c r="BA2087">
        <v>100</v>
      </c>
      <c r="BB2087">
        <v>100</v>
      </c>
      <c r="BC2087">
        <v>100</v>
      </c>
      <c r="BD2087">
        <v>100</v>
      </c>
      <c r="BE2087">
        <v>1</v>
      </c>
      <c r="BF2087">
        <v>15000</v>
      </c>
      <c r="BG2087">
        <v>1000</v>
      </c>
      <c r="BH2087" s="6">
        <f>Grandview_Inventory[[#This Row],[land_extract]]*Lookups!$B$3</f>
        <v>49926.8031387023</v>
      </c>
      <c r="BI2087" s="6">
        <f>IF(Grandview_Inventory[[#This Row],[bldg_style]]="",0,Lookups!$B$2)</f>
        <v>155833.95000000001</v>
      </c>
      <c r="BJ2087" s="6">
        <f>_xlfn.IFNA(VLOOKUP(Grandview_Inventory[[#This Row],[quality]],Lookups!$H$2:$J$14,3,FALSE),0)</f>
        <v>2251</v>
      </c>
      <c r="BK2087" s="6">
        <f>_xlfn.IFNA(VLOOKUP(Grandview_Inventory[[#This Row],[condition]],Lookups!$H$17:$J$24,3,FALSE),0)</f>
        <v>-4503</v>
      </c>
      <c r="BL2087" s="6">
        <f>Grandview_Inventory[[#This Row],[Eff_Age]]*Lookups!$B$14</f>
        <v>-11958.33</v>
      </c>
      <c r="BM2087" s="6">
        <f>Grandview_Inventory[[#This Row],[living_area]]*Lookups!$B$15</f>
        <v>63877.993472000002</v>
      </c>
      <c r="BN2087" s="6">
        <f>Grandview_Inventory[[#This Row],[Fin BSMT]]*Lookups!$B$16</f>
        <v>0</v>
      </c>
      <c r="BO2087" s="6">
        <f>(Grandview_Inventory[[#This Row],[att_gar]]+Grandview_Inventory[[#This Row],[bltin_gar]])*Lookups!$B$17</f>
        <v>0</v>
      </c>
      <c r="BP2087" s="6">
        <f>Grandview_Inventory[[#This Row],[Plumbing Fixtures]]*Lookups!$B$18</f>
        <v>10052.209000000001</v>
      </c>
      <c r="BQ2087" s="6">
        <f>Grandview_Inventory[[#This Row],[detatched_value]]*Lookups!$B$19</f>
        <v>6266.3577399999995</v>
      </c>
      <c r="BR2087" s="6">
        <f>SUM(Grandview_Inventory[[#This Row],[Intercept]:[det_value]])*Grandview_Inventory[[#This Row],[res_pct]]</f>
        <v>221820.18021200004</v>
      </c>
      <c r="BS2087" s="6">
        <f>Grandview_Inventory[[#This Row],[land_value]]</f>
        <v>49926.8031387023</v>
      </c>
      <c r="BT2087" s="4">
        <f>_xlfn.IFNA(VLOOKUP(Grandview_Inventory[[#This Row],[quality]],Lookups!$A$26:$C$33,3,FALSE),1)</f>
        <v>0.98763855981004833</v>
      </c>
      <c r="BU2087" s="4">
        <f>_xlfn.IFNA(VLOOKUP(Grandview_Inventory[[#This Row],[condition]],Lookups!$A$37:$C$44,3,FALSE),1)</f>
        <v>0.96469275950863709</v>
      </c>
      <c r="BV2087" s="4">
        <f>IF(Grandview_Inventory[[#This Row],[bldg_style]]="",1,_xlfn.IFNA(VLOOKUP(Grandview_Inventory[[#This Row],[decade]],Lookups!$F$29:$H$43,3,FALSE),1))</f>
        <v>0.98763256963907298</v>
      </c>
      <c r="BW2087" s="4">
        <f>_xlfn.IFNA(VLOOKUP(Grandview_Inventory[[#This Row],[living_area_range]],Lookups!$F$47:$H$56,3,FALSE),1)</f>
        <v>0.96135087979789358</v>
      </c>
      <c r="BX2087" s="4">
        <f>AVERAGE(Grandview_Inventory[[#This Row],[qual_adj]:[size_adj]])</f>
        <v>0.97532869218891294</v>
      </c>
      <c r="BY2087" s="6">
        <f>IF(Grandview_Inventory[[#This Row],[pre_res]]&lt;0,0,Grandview_Inventory[[#This Row],[pre_res]]*Grandview_Inventory[[#This Row],[overall_adj]])</f>
        <v>216347.58626727897</v>
      </c>
      <c r="BZ2087" s="6">
        <f>(Grandview_Inventory[[#This Row],[sum_land]]-IF(Grandview_Inventory[[#This Row],[no_utilities]]=1,12000,0))/IF(Grandview_Inventory[[#This Row],[unbuildable]]=1,2,1)</f>
        <v>49926.8031387023</v>
      </c>
      <c r="CA208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87">
        <f>ROUND(Grandview_Inventory[[#This Row],[det_value]]*Lookups!$M$28,-2)</f>
        <v>6000</v>
      </c>
      <c r="CC2087">
        <f>IF(ROUND(Grandview_Inventory[[#This Row],[adj_res]]*Lookups!$M$28,-2)&lt;Grandview_Inventory[[#This Row],[min_res]],Grandview_Inventory[[#This Row],[min_res]],ROUND(Grandview_Inventory[[#This Row],[adj_res]]*Lookups!$M$28,-2))</f>
        <v>205500</v>
      </c>
      <c r="CD2087">
        <f>Grandview_Inventory[[#This Row],[final_det]]+Grandview_Inventory[[#This Row],[final_res]]</f>
        <v>211500</v>
      </c>
      <c r="CE2087">
        <f>Grandview_Inventory[[#This Row],[final_land]]+Grandview_Inventory[[#This Row],[final_imp]]+Grandview_Inventory[[#This Row],[crop_value]]</f>
        <v>258900</v>
      </c>
      <c r="CG2087" t="str">
        <f t="shared" si="32"/>
        <v>update valuation set market_land =47400, market_bldg=211500, market_total =258900, market_mdno =401, market_date ='9/10/2023' where link_id = (select link_id from parcel where parcel_year = '2024' and parcel_id = '23092423467');</v>
      </c>
    </row>
    <row r="2088" spans="1:85" x14ac:dyDescent="0.25">
      <c r="A2088">
        <v>23092423468</v>
      </c>
      <c r="B2088">
        <v>0.2</v>
      </c>
      <c r="C2088">
        <v>8770</v>
      </c>
      <c r="D2088" t="s">
        <v>129</v>
      </c>
      <c r="E2088" t="s">
        <v>53</v>
      </c>
      <c r="F2088" t="s">
        <v>53</v>
      </c>
      <c r="G2088">
        <v>4</v>
      </c>
      <c r="H2088" t="s">
        <v>54</v>
      </c>
      <c r="I2088">
        <v>164300</v>
      </c>
      <c r="J2088">
        <v>39300</v>
      </c>
      <c r="K2088">
        <v>0.2</v>
      </c>
      <c r="L208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88">
        <v>0</v>
      </c>
      <c r="N2088">
        <v>0</v>
      </c>
      <c r="O2088">
        <v>0</v>
      </c>
      <c r="P2088">
        <v>13398.7528</v>
      </c>
      <c r="Q2088">
        <v>63903</v>
      </c>
      <c r="R2088">
        <f>(Grandview_Inventory[[#This Row],[ln_acres]]*Grandview_Inventory[[#This Row],[coeff]])+Grandview_Inventory[[#This Row],[const]]</f>
        <v>42338.539264347448</v>
      </c>
      <c r="S2088" t="s">
        <v>68</v>
      </c>
      <c r="T2088">
        <v>1</v>
      </c>
      <c r="U2088" t="s">
        <v>70</v>
      </c>
      <c r="V2088" t="s">
        <v>67</v>
      </c>
      <c r="W2088">
        <v>0</v>
      </c>
      <c r="X2088">
        <v>0</v>
      </c>
      <c r="Y2088">
        <v>50</v>
      </c>
      <c r="Z2088">
        <v>73</v>
      </c>
      <c r="AA2088">
        <v>80</v>
      </c>
      <c r="AB2088">
        <v>1500</v>
      </c>
      <c r="AC2088">
        <v>1106</v>
      </c>
      <c r="AD2088">
        <v>1106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178</v>
      </c>
      <c r="AN2088">
        <v>0</v>
      </c>
      <c r="AO2088">
        <v>64</v>
      </c>
      <c r="AP2088">
        <v>8</v>
      </c>
      <c r="AQ2088">
        <v>0</v>
      </c>
      <c r="AR2088">
        <v>0</v>
      </c>
      <c r="AS2088" t="s">
        <v>58</v>
      </c>
      <c r="AT2088">
        <v>1</v>
      </c>
      <c r="AU2088" t="s">
        <v>63</v>
      </c>
      <c r="AV2088" t="s">
        <v>64</v>
      </c>
      <c r="AW2088">
        <v>0</v>
      </c>
      <c r="AX2088">
        <v>3</v>
      </c>
      <c r="AY2088">
        <v>0</v>
      </c>
      <c r="AZ2088">
        <v>6200</v>
      </c>
      <c r="BA2088">
        <v>100</v>
      </c>
      <c r="BB2088">
        <v>100</v>
      </c>
      <c r="BC2088">
        <v>100</v>
      </c>
      <c r="BD2088">
        <v>100</v>
      </c>
      <c r="BE2088">
        <v>1</v>
      </c>
      <c r="BF2088">
        <v>15000</v>
      </c>
      <c r="BG2088">
        <v>1000</v>
      </c>
      <c r="BH2088" s="6">
        <f>Grandview_Inventory[[#This Row],[land_extract]]*Lookups!$B$3</f>
        <v>49167.631333630678</v>
      </c>
      <c r="BI2088" s="6">
        <f>IF(Grandview_Inventory[[#This Row],[bldg_style]]="",0,Lookups!$B$2)</f>
        <v>155833.95000000001</v>
      </c>
      <c r="BJ2088" s="6">
        <f>_xlfn.IFNA(VLOOKUP(Grandview_Inventory[[#This Row],[quality]],Lookups!$H$2:$J$14,3,FALSE),0)</f>
        <v>10733</v>
      </c>
      <c r="BK2088" s="6">
        <f>_xlfn.IFNA(VLOOKUP(Grandview_Inventory[[#This Row],[condition]],Lookups!$H$17:$J$24,3,FALSE),0)</f>
        <v>22342</v>
      </c>
      <c r="BL2088" s="6">
        <f>Grandview_Inventory[[#This Row],[Eff_Age]]*Lookups!$B$14</f>
        <v>-11958.33</v>
      </c>
      <c r="BM2088" s="6">
        <f>Grandview_Inventory[[#This Row],[living_area]]*Lookups!$B$15</f>
        <v>68993.223418000009</v>
      </c>
      <c r="BN2088" s="6">
        <f>Grandview_Inventory[[#This Row],[Fin BSMT]]*Lookups!$B$16</f>
        <v>0</v>
      </c>
      <c r="BO2088" s="6">
        <f>(Grandview_Inventory[[#This Row],[att_gar]]+Grandview_Inventory[[#This Row],[bltin_gar]])*Lookups!$B$17</f>
        <v>0</v>
      </c>
      <c r="BP2088" s="6">
        <f>Grandview_Inventory[[#This Row],[Plumbing Fixtures]]*Lookups!$B$18</f>
        <v>16083.5344</v>
      </c>
      <c r="BQ2088" s="6">
        <f>Grandview_Inventory[[#This Row],[detatched_value]]*Lookups!$B$19</f>
        <v>5250.1916199999996</v>
      </c>
      <c r="BR2088" s="6">
        <f>SUM(Grandview_Inventory[[#This Row],[Intercept]:[det_value]])*Grandview_Inventory[[#This Row],[res_pct]]</f>
        <v>267277.56943800004</v>
      </c>
      <c r="BS2088" s="6">
        <f>Grandview_Inventory[[#This Row],[land_value]]</f>
        <v>49167.631333630678</v>
      </c>
      <c r="BT2088" s="4">
        <f>_xlfn.IFNA(VLOOKUP(Grandview_Inventory[[#This Row],[quality]],Lookups!$A$26:$C$33,3,FALSE),1)</f>
        <v>0.98079741117310582</v>
      </c>
      <c r="BU2088" s="4">
        <f>_xlfn.IFNA(VLOOKUP(Grandview_Inventory[[#This Row],[condition]],Lookups!$A$37:$C$44,3,FALSE),1)</f>
        <v>0.97383723671140243</v>
      </c>
      <c r="BV2088" s="4">
        <f>IF(Grandview_Inventory[[#This Row],[bldg_style]]="",1,_xlfn.IFNA(VLOOKUP(Grandview_Inventory[[#This Row],[decade]],Lookups!$F$29:$H$43,3,FALSE),1))</f>
        <v>0.98763256963907298</v>
      </c>
      <c r="BW2088" s="4">
        <f>_xlfn.IFNA(VLOOKUP(Grandview_Inventory[[#This Row],[living_area_range]],Lookups!$F$47:$H$56,3,FALSE),1)</f>
        <v>0.96135087979789358</v>
      </c>
      <c r="BX2088" s="4">
        <f>AVERAGE(Grandview_Inventory[[#This Row],[qual_adj]:[size_adj]])</f>
        <v>0.97590452433036867</v>
      </c>
      <c r="BY2088" s="6">
        <f>IF(Grandview_Inventory[[#This Row],[pre_res]]&lt;0,0,Grandview_Inventory[[#This Row],[pre_res]]*Grandview_Inventory[[#This Row],[overall_adj]])</f>
        <v>260837.3892665685</v>
      </c>
      <c r="BZ2088" s="6">
        <f>(Grandview_Inventory[[#This Row],[sum_land]]-IF(Grandview_Inventory[[#This Row],[no_utilities]]=1,12000,0))/IF(Grandview_Inventory[[#This Row],[unbuildable]]=1,2,1)</f>
        <v>49167.631333630678</v>
      </c>
      <c r="CA208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88">
        <f>ROUND(Grandview_Inventory[[#This Row],[det_value]]*Lookups!$M$28,-2)</f>
        <v>5000</v>
      </c>
      <c r="CC2088">
        <f>IF(ROUND(Grandview_Inventory[[#This Row],[adj_res]]*Lookups!$M$28,-2)&lt;Grandview_Inventory[[#This Row],[min_res]],Grandview_Inventory[[#This Row],[min_res]],ROUND(Grandview_Inventory[[#This Row],[adj_res]]*Lookups!$M$28,-2))</f>
        <v>247800</v>
      </c>
      <c r="CD2088">
        <f>Grandview_Inventory[[#This Row],[final_det]]+Grandview_Inventory[[#This Row],[final_res]]</f>
        <v>252800</v>
      </c>
      <c r="CE2088">
        <f>Grandview_Inventory[[#This Row],[final_land]]+Grandview_Inventory[[#This Row],[final_imp]]+Grandview_Inventory[[#This Row],[crop_value]]</f>
        <v>299500</v>
      </c>
      <c r="CG2088" t="str">
        <f t="shared" si="32"/>
        <v>update valuation set market_land =46700, market_bldg=252800, market_total =299500, market_mdno =401, market_date ='9/10/2023' where link_id = (select link_id from parcel where parcel_year = '2024' and parcel_id = '23092423468');</v>
      </c>
    </row>
    <row r="2089" spans="1:85" x14ac:dyDescent="0.25">
      <c r="A2089">
        <v>23092423469</v>
      </c>
      <c r="B2089">
        <v>0.21</v>
      </c>
      <c r="C2089">
        <v>9063</v>
      </c>
      <c r="D2089" t="s">
        <v>129</v>
      </c>
      <c r="E2089" t="s">
        <v>53</v>
      </c>
      <c r="F2089" t="s">
        <v>53</v>
      </c>
      <c r="G2089">
        <v>4</v>
      </c>
      <c r="H2089" t="s">
        <v>54</v>
      </c>
      <c r="I2089">
        <v>122400</v>
      </c>
      <c r="J2089">
        <v>39300</v>
      </c>
      <c r="K2089">
        <v>0.21</v>
      </c>
      <c r="L208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89">
        <v>0</v>
      </c>
      <c r="N2089">
        <v>0</v>
      </c>
      <c r="O2089">
        <v>0</v>
      </c>
      <c r="P2089">
        <v>13398.7528</v>
      </c>
      <c r="Q2089">
        <v>63903</v>
      </c>
      <c r="R2089">
        <f>(Grandview_Inventory[[#This Row],[ln_acres]]*Grandview_Inventory[[#This Row],[coeff]])+Grandview_Inventory[[#This Row],[const]]</f>
        <v>42992.266613125081</v>
      </c>
      <c r="S2089" t="s">
        <v>68</v>
      </c>
      <c r="T2089">
        <v>1</v>
      </c>
      <c r="U2089" t="s">
        <v>70</v>
      </c>
      <c r="V2089" t="s">
        <v>69</v>
      </c>
      <c r="W2089">
        <v>0</v>
      </c>
      <c r="X2089">
        <v>0</v>
      </c>
      <c r="Y2089">
        <v>49</v>
      </c>
      <c r="Z2089">
        <v>68</v>
      </c>
      <c r="AA2089">
        <v>70</v>
      </c>
      <c r="AB2089">
        <v>1000</v>
      </c>
      <c r="AC2089">
        <v>836</v>
      </c>
      <c r="AD2089">
        <v>836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336</v>
      </c>
      <c r="AL2089">
        <v>0</v>
      </c>
      <c r="AM2089">
        <v>0</v>
      </c>
      <c r="AN2089">
        <v>0</v>
      </c>
      <c r="AO2089">
        <v>210</v>
      </c>
      <c r="AP2089">
        <v>5</v>
      </c>
      <c r="AQ2089">
        <v>0</v>
      </c>
      <c r="AR2089">
        <v>0</v>
      </c>
      <c r="AS2089" t="s">
        <v>58</v>
      </c>
      <c r="AT2089">
        <v>1</v>
      </c>
      <c r="AU2089" t="s">
        <v>75</v>
      </c>
      <c r="AV2089" t="s">
        <v>60</v>
      </c>
      <c r="AW2089">
        <v>0</v>
      </c>
      <c r="AX2089">
        <v>2</v>
      </c>
      <c r="AY2089">
        <v>0</v>
      </c>
      <c r="AZ2089">
        <v>0</v>
      </c>
      <c r="BA2089">
        <v>100</v>
      </c>
      <c r="BB2089">
        <v>100</v>
      </c>
      <c r="BC2089">
        <v>100</v>
      </c>
      <c r="BD2089">
        <v>100</v>
      </c>
      <c r="BE2089">
        <v>1</v>
      </c>
      <c r="BF2089">
        <v>15000</v>
      </c>
      <c r="BG2089">
        <v>1000</v>
      </c>
      <c r="BH2089" s="6">
        <f>Grandview_Inventory[[#This Row],[land_extract]]*Lookups!$B$3</f>
        <v>49926.8031387023</v>
      </c>
      <c r="BI2089" s="6">
        <f>IF(Grandview_Inventory[[#This Row],[bldg_style]]="",0,Lookups!$B$2)</f>
        <v>155833.95000000001</v>
      </c>
      <c r="BJ2089" s="6">
        <f>_xlfn.IFNA(VLOOKUP(Grandview_Inventory[[#This Row],[quality]],Lookups!$H$2:$J$14,3,FALSE),0)</f>
        <v>10733</v>
      </c>
      <c r="BK2089" s="6">
        <f>_xlfn.IFNA(VLOOKUP(Grandview_Inventory[[#This Row],[condition]],Lookups!$H$17:$J$24,3,FALSE),0)</f>
        <v>-4503</v>
      </c>
      <c r="BL2089" s="6">
        <f>Grandview_Inventory[[#This Row],[Eff_Age]]*Lookups!$B$14</f>
        <v>-11719.163399999999</v>
      </c>
      <c r="BM2089" s="6">
        <f>Grandview_Inventory[[#This Row],[living_area]]*Lookups!$B$15</f>
        <v>52150.393108000004</v>
      </c>
      <c r="BN2089" s="6">
        <f>Grandview_Inventory[[#This Row],[Fin BSMT]]*Lookups!$B$16</f>
        <v>0</v>
      </c>
      <c r="BO2089" s="6">
        <f>(Grandview_Inventory[[#This Row],[att_gar]]+Grandview_Inventory[[#This Row],[bltin_gar]])*Lookups!$B$17</f>
        <v>0</v>
      </c>
      <c r="BP2089" s="6">
        <f>Grandview_Inventory[[#This Row],[Plumbing Fixtures]]*Lookups!$B$18</f>
        <v>10052.209000000001</v>
      </c>
      <c r="BQ2089" s="6">
        <f>Grandview_Inventory[[#This Row],[detatched_value]]*Lookups!$B$19</f>
        <v>0</v>
      </c>
      <c r="BR2089" s="6">
        <f>SUM(Grandview_Inventory[[#This Row],[Intercept]:[det_value]])*Grandview_Inventory[[#This Row],[res_pct]]</f>
        <v>212547.38870800004</v>
      </c>
      <c r="BS2089" s="6">
        <f>Grandview_Inventory[[#This Row],[land_value]]</f>
        <v>49926.8031387023</v>
      </c>
      <c r="BT2089" s="4">
        <f>_xlfn.IFNA(VLOOKUP(Grandview_Inventory[[#This Row],[quality]],Lookups!$A$26:$C$33,3,FALSE),1)</f>
        <v>0.98079741117310582</v>
      </c>
      <c r="BU2089" s="4">
        <f>_xlfn.IFNA(VLOOKUP(Grandview_Inventory[[#This Row],[condition]],Lookups!$A$37:$C$44,3,FALSE),1)</f>
        <v>0.96469275950863709</v>
      </c>
      <c r="BV2089" s="4">
        <f>IF(Grandview_Inventory[[#This Row],[bldg_style]]="",1,_xlfn.IFNA(VLOOKUP(Grandview_Inventory[[#This Row],[decade]],Lookups!$F$29:$H$43,3,FALSE),1))</f>
        <v>0.99472141305414818</v>
      </c>
      <c r="BW2089" s="4">
        <f>_xlfn.IFNA(VLOOKUP(Grandview_Inventory[[#This Row],[living_area_range]],Lookups!$F$47:$H$56,3,FALSE),1)</f>
        <v>0.94306777142782894</v>
      </c>
      <c r="BX2089" s="4">
        <f>AVERAGE(Grandview_Inventory[[#This Row],[qual_adj]:[size_adj]])</f>
        <v>0.97081983879093003</v>
      </c>
      <c r="BY2089" s="6">
        <f>IF(Grandview_Inventory[[#This Row],[pre_res]]&lt;0,0,Grandview_Inventory[[#This Row],[pre_res]]*Grandview_Inventory[[#This Row],[overall_adj]])</f>
        <v>206345.22164093374</v>
      </c>
      <c r="BZ2089" s="6">
        <f>(Grandview_Inventory[[#This Row],[sum_land]]-IF(Grandview_Inventory[[#This Row],[no_utilities]]=1,12000,0))/IF(Grandview_Inventory[[#This Row],[unbuildable]]=1,2,1)</f>
        <v>49926.8031387023</v>
      </c>
      <c r="CA208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89">
        <f>ROUND(Grandview_Inventory[[#This Row],[det_value]]*Lookups!$M$28,-2)</f>
        <v>0</v>
      </c>
      <c r="CC2089">
        <f>IF(ROUND(Grandview_Inventory[[#This Row],[adj_res]]*Lookups!$M$28,-2)&lt;Grandview_Inventory[[#This Row],[min_res]],Grandview_Inventory[[#This Row],[min_res]],ROUND(Grandview_Inventory[[#This Row],[adj_res]]*Lookups!$M$28,-2))</f>
        <v>196000</v>
      </c>
      <c r="CD2089">
        <f>Grandview_Inventory[[#This Row],[final_det]]+Grandview_Inventory[[#This Row],[final_res]]</f>
        <v>196000</v>
      </c>
      <c r="CE2089">
        <f>Grandview_Inventory[[#This Row],[final_land]]+Grandview_Inventory[[#This Row],[final_imp]]+Grandview_Inventory[[#This Row],[crop_value]]</f>
        <v>243400</v>
      </c>
      <c r="CG2089" t="str">
        <f t="shared" si="32"/>
        <v>update valuation set market_land =47400, market_bldg=196000, market_total =243400, market_mdno =401, market_date ='9/10/2023' where link_id = (select link_id from parcel where parcel_year = '2024' and parcel_id = '23092423469');</v>
      </c>
    </row>
    <row r="2090" spans="1:85" x14ac:dyDescent="0.25">
      <c r="A2090">
        <v>23092423470</v>
      </c>
      <c r="B2090">
        <v>0.27</v>
      </c>
      <c r="C2090">
        <v>11669</v>
      </c>
      <c r="D2090" t="s">
        <v>129</v>
      </c>
      <c r="E2090" t="s">
        <v>53</v>
      </c>
      <c r="F2090" t="s">
        <v>53</v>
      </c>
      <c r="G2090">
        <v>4</v>
      </c>
      <c r="H2090" t="s">
        <v>54</v>
      </c>
      <c r="I2090">
        <v>246900</v>
      </c>
      <c r="J2090">
        <v>44500</v>
      </c>
      <c r="K2090">
        <v>0.27</v>
      </c>
      <c r="L2090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090">
        <v>0</v>
      </c>
      <c r="N2090">
        <v>0</v>
      </c>
      <c r="O2090">
        <v>0</v>
      </c>
      <c r="P2090">
        <v>13398.7528</v>
      </c>
      <c r="Q2090">
        <v>63903</v>
      </c>
      <c r="R2090">
        <f>(Grandview_Inventory[[#This Row],[ln_acres]]*Grandview_Inventory[[#This Row],[coeff]])+Grandview_Inventory[[#This Row],[const]]</f>
        <v>46359.566512734265</v>
      </c>
      <c r="S2090" t="s">
        <v>61</v>
      </c>
      <c r="T2090">
        <v>1</v>
      </c>
      <c r="U2090" t="s">
        <v>65</v>
      </c>
      <c r="V2090" t="s">
        <v>69</v>
      </c>
      <c r="W2090">
        <v>0</v>
      </c>
      <c r="X2090">
        <v>0</v>
      </c>
      <c r="Y2090">
        <v>50</v>
      </c>
      <c r="Z2090">
        <v>73</v>
      </c>
      <c r="AA2090">
        <v>80</v>
      </c>
      <c r="AB2090">
        <v>1500</v>
      </c>
      <c r="AC2090">
        <v>1258</v>
      </c>
      <c r="AD2090">
        <v>1258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420</v>
      </c>
      <c r="AL2090">
        <v>0</v>
      </c>
      <c r="AM2090">
        <v>0</v>
      </c>
      <c r="AN2090">
        <v>0</v>
      </c>
      <c r="AO2090">
        <v>0</v>
      </c>
      <c r="AP2090">
        <v>5</v>
      </c>
      <c r="AQ2090">
        <v>1</v>
      </c>
      <c r="AR2090">
        <v>0</v>
      </c>
      <c r="AS2090" t="s">
        <v>58</v>
      </c>
      <c r="AT2090">
        <v>1</v>
      </c>
      <c r="AU2090" t="s">
        <v>75</v>
      </c>
      <c r="AV2090" t="s">
        <v>60</v>
      </c>
      <c r="AW2090">
        <v>0</v>
      </c>
      <c r="AX2090">
        <v>3</v>
      </c>
      <c r="AY2090">
        <v>0</v>
      </c>
      <c r="AZ2090">
        <v>28300</v>
      </c>
      <c r="BA2090">
        <v>100</v>
      </c>
      <c r="BB2090">
        <v>100</v>
      </c>
      <c r="BC2090">
        <v>100</v>
      </c>
      <c r="BD2090">
        <v>100</v>
      </c>
      <c r="BE2090">
        <v>1</v>
      </c>
      <c r="BF2090">
        <v>15000</v>
      </c>
      <c r="BG2090">
        <v>1000</v>
      </c>
      <c r="BH2090" s="6">
        <f>Grandview_Inventory[[#This Row],[land_extract]]*Lookups!$B$3</f>
        <v>53837.239420408718</v>
      </c>
      <c r="BI2090" s="6">
        <f>IF(Grandview_Inventory[[#This Row],[bldg_style]]="",0,Lookups!$B$2)</f>
        <v>155833.95000000001</v>
      </c>
      <c r="BJ2090" s="6">
        <f>_xlfn.IFNA(VLOOKUP(Grandview_Inventory[[#This Row],[quality]],Lookups!$H$2:$J$14,3,FALSE),0)</f>
        <v>2251</v>
      </c>
      <c r="BK2090" s="6">
        <f>_xlfn.IFNA(VLOOKUP(Grandview_Inventory[[#This Row],[condition]],Lookups!$H$17:$J$24,3,FALSE),0)</f>
        <v>-4503</v>
      </c>
      <c r="BL2090" s="6">
        <f>Grandview_Inventory[[#This Row],[Eff_Age]]*Lookups!$B$14</f>
        <v>-11958.33</v>
      </c>
      <c r="BM2090" s="6">
        <f>Grandview_Inventory[[#This Row],[living_area]]*Lookups!$B$15</f>
        <v>78475.113074000008</v>
      </c>
      <c r="BN2090" s="6">
        <f>Grandview_Inventory[[#This Row],[Fin BSMT]]*Lookups!$B$16</f>
        <v>0</v>
      </c>
      <c r="BO2090" s="6">
        <f>(Grandview_Inventory[[#This Row],[att_gar]]+Grandview_Inventory[[#This Row],[bltin_gar]])*Lookups!$B$17</f>
        <v>0</v>
      </c>
      <c r="BP2090" s="6">
        <f>Grandview_Inventory[[#This Row],[Plumbing Fixtures]]*Lookups!$B$18</f>
        <v>10052.209000000001</v>
      </c>
      <c r="BQ2090" s="6">
        <f>Grandview_Inventory[[#This Row],[detatched_value]]*Lookups!$B$19</f>
        <v>23964.584329999998</v>
      </c>
      <c r="BR2090" s="6">
        <f>SUM(Grandview_Inventory[[#This Row],[Intercept]:[det_value]])*Grandview_Inventory[[#This Row],[res_pct]]</f>
        <v>254115.52640400006</v>
      </c>
      <c r="BS2090" s="6">
        <f>Grandview_Inventory[[#This Row],[land_value]]</f>
        <v>53837.239420408718</v>
      </c>
      <c r="BT2090" s="4">
        <f>_xlfn.IFNA(VLOOKUP(Grandview_Inventory[[#This Row],[quality]],Lookups!$A$26:$C$33,3,FALSE),1)</f>
        <v>0.98763855981004833</v>
      </c>
      <c r="BU2090" s="4">
        <f>_xlfn.IFNA(VLOOKUP(Grandview_Inventory[[#This Row],[condition]],Lookups!$A$37:$C$44,3,FALSE),1)</f>
        <v>0.96469275950863709</v>
      </c>
      <c r="BV2090" s="4">
        <f>IF(Grandview_Inventory[[#This Row],[bldg_style]]="",1,_xlfn.IFNA(VLOOKUP(Grandview_Inventory[[#This Row],[decade]],Lookups!$F$29:$H$43,3,FALSE),1))</f>
        <v>0.98763256963907298</v>
      </c>
      <c r="BW2090" s="4">
        <f>_xlfn.IFNA(VLOOKUP(Grandview_Inventory[[#This Row],[living_area_range]],Lookups!$F$47:$H$56,3,FALSE),1)</f>
        <v>0.96135087979789358</v>
      </c>
      <c r="BX2090" s="4">
        <f>AVERAGE(Grandview_Inventory[[#This Row],[qual_adj]:[size_adj]])</f>
        <v>0.97532869218891294</v>
      </c>
      <c r="BY2090" s="6">
        <f>IF(Grandview_Inventory[[#This Row],[pre_res]]&lt;0,0,Grandview_Inventory[[#This Row],[pre_res]]*Grandview_Inventory[[#This Row],[overall_adj]])</f>
        <v>247846.16403251057</v>
      </c>
      <c r="BZ2090" s="6">
        <f>(Grandview_Inventory[[#This Row],[sum_land]]-IF(Grandview_Inventory[[#This Row],[no_utilities]]=1,12000,0))/IF(Grandview_Inventory[[#This Row],[unbuildable]]=1,2,1)</f>
        <v>53837.239420408718</v>
      </c>
      <c r="CA2090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090">
        <f>ROUND(Grandview_Inventory[[#This Row],[det_value]]*Lookups!$M$28,-2)</f>
        <v>22800</v>
      </c>
      <c r="CC2090">
        <f>IF(ROUND(Grandview_Inventory[[#This Row],[adj_res]]*Lookups!$M$28,-2)&lt;Grandview_Inventory[[#This Row],[min_res]],Grandview_Inventory[[#This Row],[min_res]],ROUND(Grandview_Inventory[[#This Row],[adj_res]]*Lookups!$M$28,-2))</f>
        <v>235500</v>
      </c>
      <c r="CD2090">
        <f>Grandview_Inventory[[#This Row],[final_det]]+Grandview_Inventory[[#This Row],[final_res]]</f>
        <v>258300</v>
      </c>
      <c r="CE2090">
        <f>Grandview_Inventory[[#This Row],[final_land]]+Grandview_Inventory[[#This Row],[final_imp]]+Grandview_Inventory[[#This Row],[crop_value]]</f>
        <v>309400</v>
      </c>
      <c r="CG2090" t="str">
        <f t="shared" si="32"/>
        <v>update valuation set market_land =51100, market_bldg=258300, market_total =309400, market_mdno =401, market_date ='9/10/2023' where link_id = (select link_id from parcel where parcel_year = '2024' and parcel_id = '23092423470');</v>
      </c>
    </row>
    <row r="2091" spans="1:85" x14ac:dyDescent="0.25">
      <c r="A2091">
        <v>23092423471</v>
      </c>
      <c r="B2091">
        <v>0.24</v>
      </c>
      <c r="C2091">
        <v>10432</v>
      </c>
      <c r="D2091" t="s">
        <v>129</v>
      </c>
      <c r="E2091" t="s">
        <v>53</v>
      </c>
      <c r="F2091" t="s">
        <v>53</v>
      </c>
      <c r="G2091">
        <v>4</v>
      </c>
      <c r="H2091" t="s">
        <v>54</v>
      </c>
      <c r="I2091">
        <v>141600</v>
      </c>
      <c r="J2091">
        <v>39800</v>
      </c>
      <c r="K2091">
        <v>0.24</v>
      </c>
      <c r="L209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091">
        <v>0</v>
      </c>
      <c r="N2091">
        <v>0</v>
      </c>
      <c r="O2091">
        <v>0</v>
      </c>
      <c r="P2091">
        <v>13398.7528</v>
      </c>
      <c r="Q2091">
        <v>63903</v>
      </c>
      <c r="R2091">
        <f>(Grandview_Inventory[[#This Row],[ln_acres]]*Grandview_Inventory[[#This Row],[coeff]])+Grandview_Inventory[[#This Row],[const]]</f>
        <v>44781.420733940802</v>
      </c>
      <c r="S2091" t="s">
        <v>61</v>
      </c>
      <c r="T2091">
        <v>1</v>
      </c>
      <c r="U2091" t="s">
        <v>65</v>
      </c>
      <c r="V2091" t="s">
        <v>69</v>
      </c>
      <c r="W2091">
        <v>0</v>
      </c>
      <c r="X2091">
        <v>0</v>
      </c>
      <c r="Y2091">
        <v>49</v>
      </c>
      <c r="Z2091">
        <v>68</v>
      </c>
      <c r="AA2091">
        <v>70</v>
      </c>
      <c r="AB2091">
        <v>1500</v>
      </c>
      <c r="AC2091">
        <v>1147</v>
      </c>
      <c r="AD2091">
        <v>1147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264</v>
      </c>
      <c r="AL2091">
        <v>0</v>
      </c>
      <c r="AM2091">
        <v>368</v>
      </c>
      <c r="AN2091">
        <v>0</v>
      </c>
      <c r="AO2091">
        <v>368</v>
      </c>
      <c r="AP2091">
        <v>5</v>
      </c>
      <c r="AQ2091">
        <v>0</v>
      </c>
      <c r="AR2091">
        <v>0</v>
      </c>
      <c r="AS2091" t="s">
        <v>58</v>
      </c>
      <c r="AT2091">
        <v>1</v>
      </c>
      <c r="AU2091" t="s">
        <v>63</v>
      </c>
      <c r="AV2091" t="s">
        <v>60</v>
      </c>
      <c r="AW2091">
        <v>0</v>
      </c>
      <c r="AX2091">
        <v>3</v>
      </c>
      <c r="AY2091">
        <v>0</v>
      </c>
      <c r="AZ2091">
        <v>8100</v>
      </c>
      <c r="BA2091">
        <v>100</v>
      </c>
      <c r="BB2091">
        <v>100</v>
      </c>
      <c r="BC2091">
        <v>100</v>
      </c>
      <c r="BD2091">
        <v>100</v>
      </c>
      <c r="BE2091">
        <v>1</v>
      </c>
      <c r="BF2091">
        <v>15000</v>
      </c>
      <c r="BG2091">
        <v>1000</v>
      </c>
      <c r="BH2091" s="6">
        <f>Grandview_Inventory[[#This Row],[land_extract]]*Lookups!$B$3</f>
        <v>52004.542988489469</v>
      </c>
      <c r="BI2091" s="6">
        <f>IF(Grandview_Inventory[[#This Row],[bldg_style]]="",0,Lookups!$B$2)</f>
        <v>155833.95000000001</v>
      </c>
      <c r="BJ2091" s="6">
        <f>_xlfn.IFNA(VLOOKUP(Grandview_Inventory[[#This Row],[quality]],Lookups!$H$2:$J$14,3,FALSE),0)</f>
        <v>2251</v>
      </c>
      <c r="BK2091" s="6">
        <f>_xlfn.IFNA(VLOOKUP(Grandview_Inventory[[#This Row],[condition]],Lookups!$H$17:$J$24,3,FALSE),0)</f>
        <v>-4503</v>
      </c>
      <c r="BL2091" s="6">
        <f>Grandview_Inventory[[#This Row],[Eff_Age]]*Lookups!$B$14</f>
        <v>-11719.163399999999</v>
      </c>
      <c r="BM2091" s="6">
        <f>Grandview_Inventory[[#This Row],[living_area]]*Lookups!$B$15</f>
        <v>71550.838390999998</v>
      </c>
      <c r="BN2091" s="6">
        <f>Grandview_Inventory[[#This Row],[Fin BSMT]]*Lookups!$B$16</f>
        <v>0</v>
      </c>
      <c r="BO2091" s="6">
        <f>(Grandview_Inventory[[#This Row],[att_gar]]+Grandview_Inventory[[#This Row],[bltin_gar]])*Lookups!$B$17</f>
        <v>0</v>
      </c>
      <c r="BP2091" s="6">
        <f>Grandview_Inventory[[#This Row],[Plumbing Fixtures]]*Lookups!$B$18</f>
        <v>10052.209000000001</v>
      </c>
      <c r="BQ2091" s="6">
        <f>Grandview_Inventory[[#This Row],[detatched_value]]*Lookups!$B$19</f>
        <v>6859.1213099999995</v>
      </c>
      <c r="BR2091" s="6">
        <f>SUM(Grandview_Inventory[[#This Row],[Intercept]:[det_value]])*Grandview_Inventory[[#This Row],[res_pct]]</f>
        <v>230324.95530100001</v>
      </c>
      <c r="BS2091" s="6">
        <f>Grandview_Inventory[[#This Row],[land_value]]</f>
        <v>52004.542988489469</v>
      </c>
      <c r="BT2091" s="4">
        <f>_xlfn.IFNA(VLOOKUP(Grandview_Inventory[[#This Row],[quality]],Lookups!$A$26:$C$33,3,FALSE),1)</f>
        <v>0.98763855981004833</v>
      </c>
      <c r="BU2091" s="4">
        <f>_xlfn.IFNA(VLOOKUP(Grandview_Inventory[[#This Row],[condition]],Lookups!$A$37:$C$44,3,FALSE),1)</f>
        <v>0.96469275950863709</v>
      </c>
      <c r="BV2091" s="4">
        <f>IF(Grandview_Inventory[[#This Row],[bldg_style]]="",1,_xlfn.IFNA(VLOOKUP(Grandview_Inventory[[#This Row],[decade]],Lookups!$F$29:$H$43,3,FALSE),1))</f>
        <v>0.99472141305414818</v>
      </c>
      <c r="BW2091" s="4">
        <f>_xlfn.IFNA(VLOOKUP(Grandview_Inventory[[#This Row],[living_area_range]],Lookups!$F$47:$H$56,3,FALSE),1)</f>
        <v>0.96135087979789358</v>
      </c>
      <c r="BX2091" s="4">
        <f>AVERAGE(Grandview_Inventory[[#This Row],[qual_adj]:[size_adj]])</f>
        <v>0.97710090304268182</v>
      </c>
      <c r="BY2091" s="6">
        <f>IF(Grandview_Inventory[[#This Row],[pre_res]]&lt;0,0,Grandview_Inventory[[#This Row],[pre_res]]*Grandview_Inventory[[#This Row],[overall_adj]])</f>
        <v>225050.72181787243</v>
      </c>
      <c r="BZ2091" s="6">
        <f>(Grandview_Inventory[[#This Row],[sum_land]]-IF(Grandview_Inventory[[#This Row],[no_utilities]]=1,12000,0))/IF(Grandview_Inventory[[#This Row],[unbuildable]]=1,2,1)</f>
        <v>52004.542988489469</v>
      </c>
      <c r="CA209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091">
        <f>ROUND(Grandview_Inventory[[#This Row],[det_value]]*Lookups!$M$28,-2)</f>
        <v>6500</v>
      </c>
      <c r="CC2091">
        <f>IF(ROUND(Grandview_Inventory[[#This Row],[adj_res]]*Lookups!$M$28,-2)&lt;Grandview_Inventory[[#This Row],[min_res]],Grandview_Inventory[[#This Row],[min_res]],ROUND(Grandview_Inventory[[#This Row],[adj_res]]*Lookups!$M$28,-2))</f>
        <v>213800</v>
      </c>
      <c r="CD2091">
        <f>Grandview_Inventory[[#This Row],[final_det]]+Grandview_Inventory[[#This Row],[final_res]]</f>
        <v>220300</v>
      </c>
      <c r="CE2091">
        <f>Grandview_Inventory[[#This Row],[final_land]]+Grandview_Inventory[[#This Row],[final_imp]]+Grandview_Inventory[[#This Row],[crop_value]]</f>
        <v>269700</v>
      </c>
      <c r="CG2091" t="str">
        <f t="shared" si="32"/>
        <v>update valuation set market_land =49400, market_bldg=220300, market_total =269700, market_mdno =401, market_date ='9/10/2023' where link_id = (select link_id from parcel where parcel_year = '2024' and parcel_id = '23092423471');</v>
      </c>
    </row>
    <row r="2092" spans="1:85" x14ac:dyDescent="0.25">
      <c r="A2092">
        <v>23092423472</v>
      </c>
      <c r="B2092">
        <v>0.2</v>
      </c>
      <c r="C2092">
        <v>8735</v>
      </c>
      <c r="D2092" t="s">
        <v>129</v>
      </c>
      <c r="E2092" t="s">
        <v>53</v>
      </c>
      <c r="F2092" t="s">
        <v>53</v>
      </c>
      <c r="G2092">
        <v>4</v>
      </c>
      <c r="H2092" t="s">
        <v>54</v>
      </c>
      <c r="I2092">
        <v>141700</v>
      </c>
      <c r="J2092">
        <v>39300</v>
      </c>
      <c r="K2092">
        <v>0.2</v>
      </c>
      <c r="L209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092">
        <v>0</v>
      </c>
      <c r="N2092">
        <v>0</v>
      </c>
      <c r="O2092">
        <v>0</v>
      </c>
      <c r="P2092">
        <v>13398.7528</v>
      </c>
      <c r="Q2092">
        <v>63903</v>
      </c>
      <c r="R2092">
        <f>(Grandview_Inventory[[#This Row],[ln_acres]]*Grandview_Inventory[[#This Row],[coeff]])+Grandview_Inventory[[#This Row],[const]]</f>
        <v>42338.539264347448</v>
      </c>
      <c r="S2092" t="s">
        <v>68</v>
      </c>
      <c r="T2092">
        <v>1</v>
      </c>
      <c r="U2092" t="s">
        <v>70</v>
      </c>
      <c r="V2092" t="s">
        <v>69</v>
      </c>
      <c r="W2092">
        <v>0</v>
      </c>
      <c r="X2092">
        <v>0</v>
      </c>
      <c r="Y2092">
        <v>49</v>
      </c>
      <c r="Z2092">
        <v>68</v>
      </c>
      <c r="AA2092">
        <v>70</v>
      </c>
      <c r="AB2092">
        <v>1500</v>
      </c>
      <c r="AC2092">
        <v>1090</v>
      </c>
      <c r="AD2092">
        <v>1090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448</v>
      </c>
      <c r="AN2092">
        <v>0</v>
      </c>
      <c r="AO2092">
        <v>448</v>
      </c>
      <c r="AP2092">
        <v>5</v>
      </c>
      <c r="AQ2092">
        <v>0</v>
      </c>
      <c r="AR2092">
        <v>0</v>
      </c>
      <c r="AS2092" t="s">
        <v>58</v>
      </c>
      <c r="AT2092">
        <v>1</v>
      </c>
      <c r="AU2092" t="s">
        <v>63</v>
      </c>
      <c r="AV2092" t="s">
        <v>64</v>
      </c>
      <c r="AW2092">
        <v>1</v>
      </c>
      <c r="AX2092">
        <v>3</v>
      </c>
      <c r="AY2092">
        <v>0</v>
      </c>
      <c r="AZ2092">
        <v>6600</v>
      </c>
      <c r="BA2092">
        <v>100</v>
      </c>
      <c r="BB2092">
        <v>100</v>
      </c>
      <c r="BC2092">
        <v>100</v>
      </c>
      <c r="BD2092">
        <v>100</v>
      </c>
      <c r="BE2092">
        <v>1</v>
      </c>
      <c r="BF2092">
        <v>15000</v>
      </c>
      <c r="BG2092">
        <v>1000</v>
      </c>
      <c r="BH2092" s="6">
        <f>Grandview_Inventory[[#This Row],[land_extract]]*Lookups!$B$3</f>
        <v>49167.631333630678</v>
      </c>
      <c r="BI2092" s="6">
        <f>IF(Grandview_Inventory[[#This Row],[bldg_style]]="",0,Lookups!$B$2)</f>
        <v>155833.95000000001</v>
      </c>
      <c r="BJ2092" s="6">
        <f>_xlfn.IFNA(VLOOKUP(Grandview_Inventory[[#This Row],[quality]],Lookups!$H$2:$J$14,3,FALSE),0)</f>
        <v>10733</v>
      </c>
      <c r="BK2092" s="6">
        <f>_xlfn.IFNA(VLOOKUP(Grandview_Inventory[[#This Row],[condition]],Lookups!$H$17:$J$24,3,FALSE),0)</f>
        <v>-4503</v>
      </c>
      <c r="BL2092" s="6">
        <f>Grandview_Inventory[[#This Row],[Eff_Age]]*Lookups!$B$14</f>
        <v>-11719.163399999999</v>
      </c>
      <c r="BM2092" s="6">
        <f>Grandview_Inventory[[#This Row],[living_area]]*Lookups!$B$15</f>
        <v>67995.12977</v>
      </c>
      <c r="BN2092" s="6">
        <f>Grandview_Inventory[[#This Row],[Fin BSMT]]*Lookups!$B$16</f>
        <v>0</v>
      </c>
      <c r="BO2092" s="6">
        <f>(Grandview_Inventory[[#This Row],[att_gar]]+Grandview_Inventory[[#This Row],[bltin_gar]])*Lookups!$B$17</f>
        <v>0</v>
      </c>
      <c r="BP2092" s="6">
        <f>Grandview_Inventory[[#This Row],[Plumbing Fixtures]]*Lookups!$B$18</f>
        <v>10052.209000000001</v>
      </c>
      <c r="BQ2092" s="6">
        <f>Grandview_Inventory[[#This Row],[detatched_value]]*Lookups!$B$19</f>
        <v>5588.9136600000002</v>
      </c>
      <c r="BR2092" s="6">
        <f>SUM(Grandview_Inventory[[#This Row],[Intercept]:[det_value]])*Grandview_Inventory[[#This Row],[res_pct]]</f>
        <v>233981.03903000001</v>
      </c>
      <c r="BS2092" s="6">
        <f>Grandview_Inventory[[#This Row],[land_value]]</f>
        <v>49167.631333630678</v>
      </c>
      <c r="BT2092" s="4">
        <f>_xlfn.IFNA(VLOOKUP(Grandview_Inventory[[#This Row],[quality]],Lookups!$A$26:$C$33,3,FALSE),1)</f>
        <v>0.98079741117310582</v>
      </c>
      <c r="BU2092" s="4">
        <f>_xlfn.IFNA(VLOOKUP(Grandview_Inventory[[#This Row],[condition]],Lookups!$A$37:$C$44,3,FALSE),1)</f>
        <v>0.96469275950863709</v>
      </c>
      <c r="BV2092" s="4">
        <f>IF(Grandview_Inventory[[#This Row],[bldg_style]]="",1,_xlfn.IFNA(VLOOKUP(Grandview_Inventory[[#This Row],[decade]],Lookups!$F$29:$H$43,3,FALSE),1))</f>
        <v>0.99472141305414818</v>
      </c>
      <c r="BW2092" s="4">
        <f>_xlfn.IFNA(VLOOKUP(Grandview_Inventory[[#This Row],[living_area_range]],Lookups!$F$47:$H$56,3,FALSE),1)</f>
        <v>0.96135087979789358</v>
      </c>
      <c r="BX2092" s="4">
        <f>AVERAGE(Grandview_Inventory[[#This Row],[qual_adj]:[size_adj]])</f>
        <v>0.97539061588344622</v>
      </c>
      <c r="BY2092" s="6">
        <f>IF(Grandview_Inventory[[#This Row],[pre_res]]&lt;0,0,Grandview_Inventory[[#This Row],[pre_res]]*Grandview_Inventory[[#This Row],[overall_adj]])</f>
        <v>228222.90976452039</v>
      </c>
      <c r="BZ2092" s="6">
        <f>(Grandview_Inventory[[#This Row],[sum_land]]-IF(Grandview_Inventory[[#This Row],[no_utilities]]=1,12000,0))/IF(Grandview_Inventory[[#This Row],[unbuildable]]=1,2,1)</f>
        <v>49167.631333630678</v>
      </c>
      <c r="CA209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092">
        <f>ROUND(Grandview_Inventory[[#This Row],[det_value]]*Lookups!$M$28,-2)</f>
        <v>5300</v>
      </c>
      <c r="CC2092">
        <f>IF(ROUND(Grandview_Inventory[[#This Row],[adj_res]]*Lookups!$M$28,-2)&lt;Grandview_Inventory[[#This Row],[min_res]],Grandview_Inventory[[#This Row],[min_res]],ROUND(Grandview_Inventory[[#This Row],[adj_res]]*Lookups!$M$28,-2))</f>
        <v>216800</v>
      </c>
      <c r="CD2092">
        <f>Grandview_Inventory[[#This Row],[final_det]]+Grandview_Inventory[[#This Row],[final_res]]</f>
        <v>222100</v>
      </c>
      <c r="CE2092">
        <f>Grandview_Inventory[[#This Row],[final_land]]+Grandview_Inventory[[#This Row],[final_imp]]+Grandview_Inventory[[#This Row],[crop_value]]</f>
        <v>268800</v>
      </c>
      <c r="CG2092" t="str">
        <f t="shared" si="32"/>
        <v>update valuation set market_land =46700, market_bldg=222100, market_total =268800, market_mdno =401, market_date ='9/10/2023' where link_id = (select link_id from parcel where parcel_year = '2024' and parcel_id = '23092423472');</v>
      </c>
    </row>
    <row r="2093" spans="1:85" x14ac:dyDescent="0.25">
      <c r="A2093">
        <v>23092423473</v>
      </c>
      <c r="B2093">
        <v>0.27</v>
      </c>
      <c r="C2093">
        <v>11920</v>
      </c>
      <c r="D2093" t="s">
        <v>129</v>
      </c>
      <c r="E2093" t="s">
        <v>53</v>
      </c>
      <c r="F2093" t="s">
        <v>53</v>
      </c>
      <c r="G2093">
        <v>4</v>
      </c>
      <c r="H2093" t="s">
        <v>54</v>
      </c>
      <c r="I2093">
        <v>124500</v>
      </c>
      <c r="J2093">
        <v>40000</v>
      </c>
      <c r="K2093">
        <v>0.27</v>
      </c>
      <c r="L2093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093">
        <v>0</v>
      </c>
      <c r="N2093">
        <v>0</v>
      </c>
      <c r="O2093">
        <v>0</v>
      </c>
      <c r="P2093">
        <v>13398.7528</v>
      </c>
      <c r="Q2093">
        <v>63903</v>
      </c>
      <c r="R2093">
        <f>(Grandview_Inventory[[#This Row],[ln_acres]]*Grandview_Inventory[[#This Row],[coeff]])+Grandview_Inventory[[#This Row],[const]]</f>
        <v>46359.566512734265</v>
      </c>
      <c r="S2093" t="s">
        <v>68</v>
      </c>
      <c r="T2093">
        <v>1</v>
      </c>
      <c r="U2093" t="s">
        <v>70</v>
      </c>
      <c r="V2093" t="s">
        <v>69</v>
      </c>
      <c r="W2093">
        <v>0</v>
      </c>
      <c r="X2093">
        <v>0</v>
      </c>
      <c r="Y2093">
        <v>50</v>
      </c>
      <c r="Z2093">
        <v>73</v>
      </c>
      <c r="AA2093">
        <v>80</v>
      </c>
      <c r="AB2093">
        <v>1500</v>
      </c>
      <c r="AC2093">
        <v>1024</v>
      </c>
      <c r="AD2093">
        <v>1024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99</v>
      </c>
      <c r="AN2093">
        <v>0</v>
      </c>
      <c r="AO2093">
        <v>99</v>
      </c>
      <c r="AP2093">
        <v>5</v>
      </c>
      <c r="AQ2093">
        <v>0</v>
      </c>
      <c r="AR2093">
        <v>0</v>
      </c>
      <c r="AS2093" t="s">
        <v>58</v>
      </c>
      <c r="AT2093">
        <v>1</v>
      </c>
      <c r="AU2093" t="s">
        <v>63</v>
      </c>
      <c r="AV2093" t="s">
        <v>64</v>
      </c>
      <c r="AW2093">
        <v>0</v>
      </c>
      <c r="AX2093">
        <v>3</v>
      </c>
      <c r="AY2093">
        <v>0</v>
      </c>
      <c r="AZ2093">
        <v>6900</v>
      </c>
      <c r="BA2093">
        <v>100</v>
      </c>
      <c r="BB2093">
        <v>100</v>
      </c>
      <c r="BC2093">
        <v>100</v>
      </c>
      <c r="BD2093">
        <v>100</v>
      </c>
      <c r="BE2093">
        <v>1</v>
      </c>
      <c r="BF2093">
        <v>15000</v>
      </c>
      <c r="BG2093">
        <v>1000</v>
      </c>
      <c r="BH2093" s="6">
        <f>Grandview_Inventory[[#This Row],[land_extract]]*Lookups!$B$3</f>
        <v>53837.239420408718</v>
      </c>
      <c r="BI2093" s="6">
        <f>IF(Grandview_Inventory[[#This Row],[bldg_style]]="",0,Lookups!$B$2)</f>
        <v>155833.95000000001</v>
      </c>
      <c r="BJ2093" s="6">
        <f>_xlfn.IFNA(VLOOKUP(Grandview_Inventory[[#This Row],[quality]],Lookups!$H$2:$J$14,3,FALSE),0)</f>
        <v>10733</v>
      </c>
      <c r="BK2093" s="6">
        <f>_xlfn.IFNA(VLOOKUP(Grandview_Inventory[[#This Row],[condition]],Lookups!$H$17:$J$24,3,FALSE),0)</f>
        <v>-4503</v>
      </c>
      <c r="BL2093" s="6">
        <f>Grandview_Inventory[[#This Row],[Eff_Age]]*Lookups!$B$14</f>
        <v>-11958.33</v>
      </c>
      <c r="BM2093" s="6">
        <f>Grandview_Inventory[[#This Row],[living_area]]*Lookups!$B$15</f>
        <v>63877.993472000002</v>
      </c>
      <c r="BN2093" s="6">
        <f>Grandview_Inventory[[#This Row],[Fin BSMT]]*Lookups!$B$16</f>
        <v>0</v>
      </c>
      <c r="BO2093" s="6">
        <f>(Grandview_Inventory[[#This Row],[att_gar]]+Grandview_Inventory[[#This Row],[bltin_gar]])*Lookups!$B$17</f>
        <v>0</v>
      </c>
      <c r="BP2093" s="6">
        <f>Grandview_Inventory[[#This Row],[Plumbing Fixtures]]*Lookups!$B$18</f>
        <v>10052.209000000001</v>
      </c>
      <c r="BQ2093" s="6">
        <f>Grandview_Inventory[[#This Row],[detatched_value]]*Lookups!$B$19</f>
        <v>5842.9551899999997</v>
      </c>
      <c r="BR2093" s="6">
        <f>SUM(Grandview_Inventory[[#This Row],[Intercept]:[det_value]])*Grandview_Inventory[[#This Row],[res_pct]]</f>
        <v>229878.77766200004</v>
      </c>
      <c r="BS2093" s="6">
        <f>Grandview_Inventory[[#This Row],[land_value]]</f>
        <v>53837.239420408718</v>
      </c>
      <c r="BT2093" s="4">
        <f>_xlfn.IFNA(VLOOKUP(Grandview_Inventory[[#This Row],[quality]],Lookups!$A$26:$C$33,3,FALSE),1)</f>
        <v>0.98079741117310582</v>
      </c>
      <c r="BU2093" s="4">
        <f>_xlfn.IFNA(VLOOKUP(Grandview_Inventory[[#This Row],[condition]],Lookups!$A$37:$C$44,3,FALSE),1)</f>
        <v>0.96469275950863709</v>
      </c>
      <c r="BV2093" s="4">
        <f>IF(Grandview_Inventory[[#This Row],[bldg_style]]="",1,_xlfn.IFNA(VLOOKUP(Grandview_Inventory[[#This Row],[decade]],Lookups!$F$29:$H$43,3,FALSE),1))</f>
        <v>0.98763256963907298</v>
      </c>
      <c r="BW2093" s="4">
        <f>_xlfn.IFNA(VLOOKUP(Grandview_Inventory[[#This Row],[living_area_range]],Lookups!$F$47:$H$56,3,FALSE),1)</f>
        <v>0.96135087979789358</v>
      </c>
      <c r="BX2093" s="4">
        <f>AVERAGE(Grandview_Inventory[[#This Row],[qual_adj]:[size_adj]])</f>
        <v>0.97361840502967734</v>
      </c>
      <c r="BY2093" s="6">
        <f>IF(Grandview_Inventory[[#This Row],[pre_res]]&lt;0,0,Grandview_Inventory[[#This Row],[pre_res]]*Grandview_Inventory[[#This Row],[overall_adj]])</f>
        <v>223814.20885744831</v>
      </c>
      <c r="BZ2093" s="6">
        <f>(Grandview_Inventory[[#This Row],[sum_land]]-IF(Grandview_Inventory[[#This Row],[no_utilities]]=1,12000,0))/IF(Grandview_Inventory[[#This Row],[unbuildable]]=1,2,1)</f>
        <v>53837.239420408718</v>
      </c>
      <c r="CA2093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093">
        <f>ROUND(Grandview_Inventory[[#This Row],[det_value]]*Lookups!$M$28,-2)</f>
        <v>5600</v>
      </c>
      <c r="CC2093">
        <f>IF(ROUND(Grandview_Inventory[[#This Row],[adj_res]]*Lookups!$M$28,-2)&lt;Grandview_Inventory[[#This Row],[min_res]],Grandview_Inventory[[#This Row],[min_res]],ROUND(Grandview_Inventory[[#This Row],[adj_res]]*Lookups!$M$28,-2))</f>
        <v>212600</v>
      </c>
      <c r="CD2093">
        <f>Grandview_Inventory[[#This Row],[final_det]]+Grandview_Inventory[[#This Row],[final_res]]</f>
        <v>218200</v>
      </c>
      <c r="CE2093">
        <f>Grandview_Inventory[[#This Row],[final_land]]+Grandview_Inventory[[#This Row],[final_imp]]+Grandview_Inventory[[#This Row],[crop_value]]</f>
        <v>269300</v>
      </c>
      <c r="CG2093" t="str">
        <f t="shared" si="32"/>
        <v>update valuation set market_land =51100, market_bldg=218200, market_total =269300, market_mdno =401, market_date ='9/10/2023' where link_id = (select link_id from parcel where parcel_year = '2024' and parcel_id = '23092423473');</v>
      </c>
    </row>
    <row r="2094" spans="1:85" x14ac:dyDescent="0.25">
      <c r="A2094">
        <v>23092423474</v>
      </c>
      <c r="B2094">
        <v>0.19</v>
      </c>
      <c r="C2094">
        <v>8302</v>
      </c>
      <c r="D2094" t="s">
        <v>129</v>
      </c>
      <c r="E2094" t="s">
        <v>53</v>
      </c>
      <c r="F2094" t="s">
        <v>53</v>
      </c>
      <c r="G2094">
        <v>4</v>
      </c>
      <c r="H2094" t="s">
        <v>54</v>
      </c>
      <c r="I2094">
        <v>130100</v>
      </c>
      <c r="J2094">
        <v>39100</v>
      </c>
      <c r="K2094">
        <v>0.19</v>
      </c>
      <c r="L209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094">
        <v>0</v>
      </c>
      <c r="N2094">
        <v>0</v>
      </c>
      <c r="O2094">
        <v>0</v>
      </c>
      <c r="P2094">
        <v>13398.7528</v>
      </c>
      <c r="Q2094">
        <v>63903</v>
      </c>
      <c r="R2094">
        <f>(Grandview_Inventory[[#This Row],[ln_acres]]*Grandview_Inventory[[#This Row],[coeff]])+Grandview_Inventory[[#This Row],[const]]</f>
        <v>41651.273092551026</v>
      </c>
      <c r="S2094" t="s">
        <v>68</v>
      </c>
      <c r="T2094">
        <v>1</v>
      </c>
      <c r="U2094" t="s">
        <v>70</v>
      </c>
      <c r="V2094" t="s">
        <v>69</v>
      </c>
      <c r="W2094">
        <v>0</v>
      </c>
      <c r="X2094">
        <v>0</v>
      </c>
      <c r="Y2094">
        <v>50</v>
      </c>
      <c r="Z2094">
        <v>73</v>
      </c>
      <c r="AA2094">
        <v>80</v>
      </c>
      <c r="AB2094">
        <v>1000</v>
      </c>
      <c r="AC2094">
        <v>836</v>
      </c>
      <c r="AD2094">
        <v>836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5</v>
      </c>
      <c r="AQ2094">
        <v>0</v>
      </c>
      <c r="AR2094">
        <v>0</v>
      </c>
      <c r="AS2094" t="s">
        <v>58</v>
      </c>
      <c r="AT2094">
        <v>1</v>
      </c>
      <c r="AU2094" t="s">
        <v>63</v>
      </c>
      <c r="AV2094" t="s">
        <v>64</v>
      </c>
      <c r="AW2094">
        <v>1</v>
      </c>
      <c r="AX2094">
        <v>2</v>
      </c>
      <c r="AY2094">
        <v>0</v>
      </c>
      <c r="AZ2094">
        <v>8300</v>
      </c>
      <c r="BA2094">
        <v>100</v>
      </c>
      <c r="BB2094">
        <v>100</v>
      </c>
      <c r="BC2094">
        <v>100</v>
      </c>
      <c r="BD2094">
        <v>100</v>
      </c>
      <c r="BE2094">
        <v>1</v>
      </c>
      <c r="BF2094">
        <v>15000</v>
      </c>
      <c r="BG2094">
        <v>1000</v>
      </c>
      <c r="BH2094" s="6">
        <f>Grandview_Inventory[[#This Row],[land_extract]]*Lookups!$B$3</f>
        <v>48369.510983942157</v>
      </c>
      <c r="BI2094" s="6">
        <f>IF(Grandview_Inventory[[#This Row],[bldg_style]]="",0,Lookups!$B$2)</f>
        <v>155833.95000000001</v>
      </c>
      <c r="BJ2094" s="6">
        <f>_xlfn.IFNA(VLOOKUP(Grandview_Inventory[[#This Row],[quality]],Lookups!$H$2:$J$14,3,FALSE),0)</f>
        <v>10733</v>
      </c>
      <c r="BK2094" s="6">
        <f>_xlfn.IFNA(VLOOKUP(Grandview_Inventory[[#This Row],[condition]],Lookups!$H$17:$J$24,3,FALSE),0)</f>
        <v>-4503</v>
      </c>
      <c r="BL2094" s="6">
        <f>Grandview_Inventory[[#This Row],[Eff_Age]]*Lookups!$B$14</f>
        <v>-11958.33</v>
      </c>
      <c r="BM2094" s="6">
        <f>Grandview_Inventory[[#This Row],[living_area]]*Lookups!$B$15</f>
        <v>52150.393108000004</v>
      </c>
      <c r="BN2094" s="6">
        <f>Grandview_Inventory[[#This Row],[Fin BSMT]]*Lookups!$B$16</f>
        <v>0</v>
      </c>
      <c r="BO2094" s="6">
        <f>(Grandview_Inventory[[#This Row],[att_gar]]+Grandview_Inventory[[#This Row],[bltin_gar]])*Lookups!$B$17</f>
        <v>0</v>
      </c>
      <c r="BP2094" s="6">
        <f>Grandview_Inventory[[#This Row],[Plumbing Fixtures]]*Lookups!$B$18</f>
        <v>10052.209000000001</v>
      </c>
      <c r="BQ2094" s="6">
        <f>Grandview_Inventory[[#This Row],[detatched_value]]*Lookups!$B$19</f>
        <v>7028.4823299999998</v>
      </c>
      <c r="BR2094" s="6">
        <f>SUM(Grandview_Inventory[[#This Row],[Intercept]:[det_value]])*Grandview_Inventory[[#This Row],[res_pct]]</f>
        <v>219336.70443800004</v>
      </c>
      <c r="BS2094" s="6">
        <f>Grandview_Inventory[[#This Row],[land_value]]</f>
        <v>48369.510983942157</v>
      </c>
      <c r="BT2094" s="4">
        <f>_xlfn.IFNA(VLOOKUP(Grandview_Inventory[[#This Row],[quality]],Lookups!$A$26:$C$33,3,FALSE),1)</f>
        <v>0.98079741117310582</v>
      </c>
      <c r="BU2094" s="4">
        <f>_xlfn.IFNA(VLOOKUP(Grandview_Inventory[[#This Row],[condition]],Lookups!$A$37:$C$44,3,FALSE),1)</f>
        <v>0.96469275950863709</v>
      </c>
      <c r="BV2094" s="4">
        <f>IF(Grandview_Inventory[[#This Row],[bldg_style]]="",1,_xlfn.IFNA(VLOOKUP(Grandview_Inventory[[#This Row],[decade]],Lookups!$F$29:$H$43,3,FALSE),1))</f>
        <v>0.98763256963907298</v>
      </c>
      <c r="BW2094" s="4">
        <f>_xlfn.IFNA(VLOOKUP(Grandview_Inventory[[#This Row],[living_area_range]],Lookups!$F$47:$H$56,3,FALSE),1)</f>
        <v>0.94306777142782894</v>
      </c>
      <c r="BX2094" s="4">
        <f>AVERAGE(Grandview_Inventory[[#This Row],[qual_adj]:[size_adj]])</f>
        <v>0.96904762793716115</v>
      </c>
      <c r="BY2094" s="6">
        <f>IF(Grandview_Inventory[[#This Row],[pre_res]]&lt;0,0,Grandview_Inventory[[#This Row],[pre_res]]*Grandview_Inventory[[#This Row],[overall_adj]])</f>
        <v>212547.71315519814</v>
      </c>
      <c r="BZ2094" s="6">
        <f>(Grandview_Inventory[[#This Row],[sum_land]]-IF(Grandview_Inventory[[#This Row],[no_utilities]]=1,12000,0))/IF(Grandview_Inventory[[#This Row],[unbuildable]]=1,2,1)</f>
        <v>48369.510983942157</v>
      </c>
      <c r="CA209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094">
        <f>ROUND(Grandview_Inventory[[#This Row],[det_value]]*Lookups!$M$28,-2)</f>
        <v>6700</v>
      </c>
      <c r="CC2094">
        <f>IF(ROUND(Grandview_Inventory[[#This Row],[adj_res]]*Lookups!$M$28,-2)&lt;Grandview_Inventory[[#This Row],[min_res]],Grandview_Inventory[[#This Row],[min_res]],ROUND(Grandview_Inventory[[#This Row],[adj_res]]*Lookups!$M$28,-2))</f>
        <v>201900</v>
      </c>
      <c r="CD2094">
        <f>Grandview_Inventory[[#This Row],[final_det]]+Grandview_Inventory[[#This Row],[final_res]]</f>
        <v>208600</v>
      </c>
      <c r="CE2094">
        <f>Grandview_Inventory[[#This Row],[final_land]]+Grandview_Inventory[[#This Row],[final_imp]]+Grandview_Inventory[[#This Row],[crop_value]]</f>
        <v>254600</v>
      </c>
      <c r="CG2094" t="str">
        <f t="shared" si="32"/>
        <v>update valuation set market_land =46000, market_bldg=208600, market_total =254600, market_mdno =401, market_date ='9/10/2023' where link_id = (select link_id from parcel where parcel_year = '2024' and parcel_id = '23092423474');</v>
      </c>
    </row>
    <row r="2095" spans="1:85" x14ac:dyDescent="0.25">
      <c r="A2095">
        <v>23092423475</v>
      </c>
      <c r="B2095">
        <v>0.24</v>
      </c>
      <c r="C2095">
        <v>10530</v>
      </c>
      <c r="D2095" t="s">
        <v>129</v>
      </c>
      <c r="E2095" t="s">
        <v>53</v>
      </c>
      <c r="F2095" t="s">
        <v>53</v>
      </c>
      <c r="G2095">
        <v>4</v>
      </c>
      <c r="H2095" t="s">
        <v>54</v>
      </c>
      <c r="I2095">
        <v>150600</v>
      </c>
      <c r="J2095">
        <v>44200</v>
      </c>
      <c r="K2095">
        <v>0.24</v>
      </c>
      <c r="L209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095">
        <v>0</v>
      </c>
      <c r="N2095">
        <v>0</v>
      </c>
      <c r="O2095">
        <v>0</v>
      </c>
      <c r="P2095">
        <v>13398.7528</v>
      </c>
      <c r="Q2095">
        <v>63903</v>
      </c>
      <c r="R2095">
        <f>(Grandview_Inventory[[#This Row],[ln_acres]]*Grandview_Inventory[[#This Row],[coeff]])+Grandview_Inventory[[#This Row],[const]]</f>
        <v>44781.420733940802</v>
      </c>
      <c r="S2095" t="s">
        <v>68</v>
      </c>
      <c r="T2095">
        <v>1</v>
      </c>
      <c r="U2095" t="s">
        <v>70</v>
      </c>
      <c r="V2095" t="s">
        <v>69</v>
      </c>
      <c r="W2095">
        <v>0</v>
      </c>
      <c r="X2095">
        <v>0</v>
      </c>
      <c r="Y2095">
        <v>50</v>
      </c>
      <c r="Z2095">
        <v>73</v>
      </c>
      <c r="AA2095">
        <v>80</v>
      </c>
      <c r="AB2095">
        <v>1500</v>
      </c>
      <c r="AC2095">
        <v>1026</v>
      </c>
      <c r="AD2095">
        <v>1026</v>
      </c>
      <c r="AE2095">
        <v>0</v>
      </c>
      <c r="AF2095">
        <v>0</v>
      </c>
      <c r="AG2095">
        <v>0</v>
      </c>
      <c r="AH2095">
        <v>513</v>
      </c>
      <c r="AI2095">
        <v>0</v>
      </c>
      <c r="AJ2095">
        <v>0</v>
      </c>
      <c r="AK2095">
        <v>384</v>
      </c>
      <c r="AL2095">
        <v>0</v>
      </c>
      <c r="AM2095">
        <v>184</v>
      </c>
      <c r="AN2095">
        <v>0</v>
      </c>
      <c r="AO2095">
        <v>368</v>
      </c>
      <c r="AP2095">
        <v>5</v>
      </c>
      <c r="AQ2095">
        <v>0</v>
      </c>
      <c r="AR2095">
        <v>0</v>
      </c>
      <c r="AS2095" t="s">
        <v>58</v>
      </c>
      <c r="AT2095">
        <v>1</v>
      </c>
      <c r="AU2095" t="s">
        <v>63</v>
      </c>
      <c r="AV2095" t="s">
        <v>64</v>
      </c>
      <c r="AW2095">
        <v>1</v>
      </c>
      <c r="AX2095">
        <v>3</v>
      </c>
      <c r="AY2095">
        <v>0</v>
      </c>
      <c r="AZ2095">
        <v>8300</v>
      </c>
      <c r="BA2095">
        <v>100</v>
      </c>
      <c r="BB2095">
        <v>100</v>
      </c>
      <c r="BC2095">
        <v>100</v>
      </c>
      <c r="BD2095">
        <v>100</v>
      </c>
      <c r="BE2095">
        <v>1</v>
      </c>
      <c r="BF2095">
        <v>15000</v>
      </c>
      <c r="BG2095">
        <v>1000</v>
      </c>
      <c r="BH2095" s="6">
        <f>Grandview_Inventory[[#This Row],[land_extract]]*Lookups!$B$3</f>
        <v>52004.542988489469</v>
      </c>
      <c r="BI2095" s="6">
        <f>IF(Grandview_Inventory[[#This Row],[bldg_style]]="",0,Lookups!$B$2)</f>
        <v>155833.95000000001</v>
      </c>
      <c r="BJ2095" s="6">
        <f>_xlfn.IFNA(VLOOKUP(Grandview_Inventory[[#This Row],[quality]],Lookups!$H$2:$J$14,3,FALSE),0)</f>
        <v>10733</v>
      </c>
      <c r="BK2095" s="6">
        <f>_xlfn.IFNA(VLOOKUP(Grandview_Inventory[[#This Row],[condition]],Lookups!$H$17:$J$24,3,FALSE),0)</f>
        <v>-4503</v>
      </c>
      <c r="BL2095" s="6">
        <f>Grandview_Inventory[[#This Row],[Eff_Age]]*Lookups!$B$14</f>
        <v>-11958.33</v>
      </c>
      <c r="BM2095" s="6">
        <f>Grandview_Inventory[[#This Row],[living_area]]*Lookups!$B$15</f>
        <v>64002.755177999999</v>
      </c>
      <c r="BN2095" s="6">
        <f>Grandview_Inventory[[#This Row],[Fin BSMT]]*Lookups!$B$16</f>
        <v>0</v>
      </c>
      <c r="BO2095" s="6">
        <f>(Grandview_Inventory[[#This Row],[att_gar]]+Grandview_Inventory[[#This Row],[bltin_gar]])*Lookups!$B$17</f>
        <v>0</v>
      </c>
      <c r="BP2095" s="6">
        <f>Grandview_Inventory[[#This Row],[Plumbing Fixtures]]*Lookups!$B$18</f>
        <v>10052.209000000001</v>
      </c>
      <c r="BQ2095" s="6">
        <f>Grandview_Inventory[[#This Row],[detatched_value]]*Lookups!$B$19</f>
        <v>7028.4823299999998</v>
      </c>
      <c r="BR2095" s="6">
        <f>SUM(Grandview_Inventory[[#This Row],[Intercept]:[det_value]])*Grandview_Inventory[[#This Row],[res_pct]]</f>
        <v>231189.06650800002</v>
      </c>
      <c r="BS2095" s="6">
        <f>Grandview_Inventory[[#This Row],[land_value]]</f>
        <v>52004.542988489469</v>
      </c>
      <c r="BT2095" s="4">
        <f>_xlfn.IFNA(VLOOKUP(Grandview_Inventory[[#This Row],[quality]],Lookups!$A$26:$C$33,3,FALSE),1)</f>
        <v>0.98079741117310582</v>
      </c>
      <c r="BU2095" s="4">
        <f>_xlfn.IFNA(VLOOKUP(Grandview_Inventory[[#This Row],[condition]],Lookups!$A$37:$C$44,3,FALSE),1)</f>
        <v>0.96469275950863709</v>
      </c>
      <c r="BV2095" s="4">
        <f>IF(Grandview_Inventory[[#This Row],[bldg_style]]="",1,_xlfn.IFNA(VLOOKUP(Grandview_Inventory[[#This Row],[decade]],Lookups!$F$29:$H$43,3,FALSE),1))</f>
        <v>0.98763256963907298</v>
      </c>
      <c r="BW2095" s="4">
        <f>_xlfn.IFNA(VLOOKUP(Grandview_Inventory[[#This Row],[living_area_range]],Lookups!$F$47:$H$56,3,FALSE),1)</f>
        <v>0.96135087979789358</v>
      </c>
      <c r="BX2095" s="4">
        <f>AVERAGE(Grandview_Inventory[[#This Row],[qual_adj]:[size_adj]])</f>
        <v>0.97361840502967734</v>
      </c>
      <c r="BY2095" s="6">
        <f>IF(Grandview_Inventory[[#This Row],[pre_res]]&lt;0,0,Grandview_Inventory[[#This Row],[pre_res]]*Grandview_Inventory[[#This Row],[overall_adj]])</f>
        <v>225089.93019381896</v>
      </c>
      <c r="BZ2095" s="6">
        <f>(Grandview_Inventory[[#This Row],[sum_land]]-IF(Grandview_Inventory[[#This Row],[no_utilities]]=1,12000,0))/IF(Grandview_Inventory[[#This Row],[unbuildable]]=1,2,1)</f>
        <v>52004.542988489469</v>
      </c>
      <c r="CA209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095">
        <f>ROUND(Grandview_Inventory[[#This Row],[det_value]]*Lookups!$M$28,-2)</f>
        <v>6700</v>
      </c>
      <c r="CC2095">
        <f>IF(ROUND(Grandview_Inventory[[#This Row],[adj_res]]*Lookups!$M$28,-2)&lt;Grandview_Inventory[[#This Row],[min_res]],Grandview_Inventory[[#This Row],[min_res]],ROUND(Grandview_Inventory[[#This Row],[adj_res]]*Lookups!$M$28,-2))</f>
        <v>213800</v>
      </c>
      <c r="CD2095">
        <f>Grandview_Inventory[[#This Row],[final_det]]+Grandview_Inventory[[#This Row],[final_res]]</f>
        <v>220500</v>
      </c>
      <c r="CE2095">
        <f>Grandview_Inventory[[#This Row],[final_land]]+Grandview_Inventory[[#This Row],[final_imp]]+Grandview_Inventory[[#This Row],[crop_value]]</f>
        <v>269900</v>
      </c>
      <c r="CG2095" t="str">
        <f t="shared" si="32"/>
        <v>update valuation set market_land =49400, market_bldg=220500, market_total =269900, market_mdno =401, market_date ='9/10/2023' where link_id = (select link_id from parcel where parcel_year = '2024' and parcel_id = '23092423475');</v>
      </c>
    </row>
    <row r="2096" spans="1:85" x14ac:dyDescent="0.25">
      <c r="A2096">
        <v>23092423476</v>
      </c>
      <c r="B2096">
        <v>0.23</v>
      </c>
      <c r="C2096">
        <v>10214</v>
      </c>
      <c r="D2096" t="s">
        <v>129</v>
      </c>
      <c r="E2096" t="s">
        <v>53</v>
      </c>
      <c r="F2096" t="s">
        <v>53</v>
      </c>
      <c r="G2096">
        <v>4</v>
      </c>
      <c r="H2096" t="s">
        <v>54</v>
      </c>
      <c r="I2096">
        <v>161200</v>
      </c>
      <c r="J2096">
        <v>39700</v>
      </c>
      <c r="K2096">
        <v>0.23</v>
      </c>
      <c r="L209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96">
        <v>0</v>
      </c>
      <c r="N2096">
        <v>0</v>
      </c>
      <c r="O2096">
        <v>0</v>
      </c>
      <c r="P2096">
        <v>13398.7528</v>
      </c>
      <c r="Q2096">
        <v>63903</v>
      </c>
      <c r="R2096">
        <f>(Grandview_Inventory[[#This Row],[ln_acres]]*Grandview_Inventory[[#This Row],[coeff]])+Grandview_Inventory[[#This Row],[const]]</f>
        <v>44211.174981080039</v>
      </c>
      <c r="S2096" t="s">
        <v>68</v>
      </c>
      <c r="T2096">
        <v>1</v>
      </c>
      <c r="U2096" t="s">
        <v>70</v>
      </c>
      <c r="V2096" t="s">
        <v>69</v>
      </c>
      <c r="W2096">
        <v>0</v>
      </c>
      <c r="X2096">
        <v>0</v>
      </c>
      <c r="Y2096">
        <v>49</v>
      </c>
      <c r="Z2096">
        <v>68</v>
      </c>
      <c r="AA2096">
        <v>70</v>
      </c>
      <c r="AB2096">
        <v>2000</v>
      </c>
      <c r="AC2096">
        <v>1636</v>
      </c>
      <c r="AD2096">
        <v>1636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497</v>
      </c>
      <c r="AN2096">
        <v>0</v>
      </c>
      <c r="AO2096">
        <v>0</v>
      </c>
      <c r="AP2096">
        <v>5</v>
      </c>
      <c r="AQ2096">
        <v>0</v>
      </c>
      <c r="AR2096">
        <v>0</v>
      </c>
      <c r="AS2096" t="s">
        <v>58</v>
      </c>
      <c r="AT2096">
        <v>1</v>
      </c>
      <c r="AU2096" t="s">
        <v>63</v>
      </c>
      <c r="AV2096" t="s">
        <v>64</v>
      </c>
      <c r="AW2096">
        <v>1</v>
      </c>
      <c r="AX2096">
        <v>4</v>
      </c>
      <c r="AY2096">
        <v>0</v>
      </c>
      <c r="AZ2096">
        <v>0</v>
      </c>
      <c r="BA2096">
        <v>100</v>
      </c>
      <c r="BB2096">
        <v>100</v>
      </c>
      <c r="BC2096">
        <v>100</v>
      </c>
      <c r="BD2096">
        <v>100</v>
      </c>
      <c r="BE2096">
        <v>1</v>
      </c>
      <c r="BF2096">
        <v>15000</v>
      </c>
      <c r="BG2096">
        <v>1000</v>
      </c>
      <c r="BH2096" s="6">
        <f>Grandview_Inventory[[#This Row],[land_extract]]*Lookups!$B$3</f>
        <v>51342.318135355803</v>
      </c>
      <c r="BI2096" s="6">
        <f>IF(Grandview_Inventory[[#This Row],[bldg_style]]="",0,Lookups!$B$2)</f>
        <v>155833.95000000001</v>
      </c>
      <c r="BJ2096" s="6">
        <f>_xlfn.IFNA(VLOOKUP(Grandview_Inventory[[#This Row],[quality]],Lookups!$H$2:$J$14,3,FALSE),0)</f>
        <v>10733</v>
      </c>
      <c r="BK2096" s="6">
        <f>_xlfn.IFNA(VLOOKUP(Grandview_Inventory[[#This Row],[condition]],Lookups!$H$17:$J$24,3,FALSE),0)</f>
        <v>-4503</v>
      </c>
      <c r="BL2096" s="6">
        <f>Grandview_Inventory[[#This Row],[Eff_Age]]*Lookups!$B$14</f>
        <v>-11719.163399999999</v>
      </c>
      <c r="BM2096" s="6">
        <f>Grandview_Inventory[[#This Row],[living_area]]*Lookups!$B$15</f>
        <v>102055.07550800001</v>
      </c>
      <c r="BN2096" s="6">
        <f>Grandview_Inventory[[#This Row],[Fin BSMT]]*Lookups!$B$16</f>
        <v>0</v>
      </c>
      <c r="BO2096" s="6">
        <f>(Grandview_Inventory[[#This Row],[att_gar]]+Grandview_Inventory[[#This Row],[bltin_gar]])*Lookups!$B$17</f>
        <v>0</v>
      </c>
      <c r="BP2096" s="6">
        <f>Grandview_Inventory[[#This Row],[Plumbing Fixtures]]*Lookups!$B$18</f>
        <v>10052.209000000001</v>
      </c>
      <c r="BQ2096" s="6">
        <f>Grandview_Inventory[[#This Row],[detatched_value]]*Lookups!$B$19</f>
        <v>0</v>
      </c>
      <c r="BR2096" s="6">
        <f>SUM(Grandview_Inventory[[#This Row],[Intercept]:[det_value]])*Grandview_Inventory[[#This Row],[res_pct]]</f>
        <v>262452.071108</v>
      </c>
      <c r="BS2096" s="6">
        <f>Grandview_Inventory[[#This Row],[land_value]]</f>
        <v>51342.318135355803</v>
      </c>
      <c r="BT2096" s="4">
        <f>_xlfn.IFNA(VLOOKUP(Grandview_Inventory[[#This Row],[quality]],Lookups!$A$26:$C$33,3,FALSE),1)</f>
        <v>0.98079741117310582</v>
      </c>
      <c r="BU2096" s="4">
        <f>_xlfn.IFNA(VLOOKUP(Grandview_Inventory[[#This Row],[condition]],Lookups!$A$37:$C$44,3,FALSE),1)</f>
        <v>0.96469275950863709</v>
      </c>
      <c r="BV2096" s="4">
        <f>IF(Grandview_Inventory[[#This Row],[bldg_style]]="",1,_xlfn.IFNA(VLOOKUP(Grandview_Inventory[[#This Row],[decade]],Lookups!$F$29:$H$43,3,FALSE),1))</f>
        <v>0.99472141305414818</v>
      </c>
      <c r="BW2096" s="4">
        <f>_xlfn.IFNA(VLOOKUP(Grandview_Inventory[[#This Row],[living_area_range]],Lookups!$F$47:$H$56,3,FALSE),1)</f>
        <v>0.96120133463014379</v>
      </c>
      <c r="BX2096" s="4">
        <f>AVERAGE(Grandview_Inventory[[#This Row],[qual_adj]:[size_adj]])</f>
        <v>0.97535322959150883</v>
      </c>
      <c r="BY2096" s="6">
        <f>IF(Grandview_Inventory[[#This Row],[pre_res]]&lt;0,0,Grandview_Inventory[[#This Row],[pre_res]]*Grandview_Inventory[[#This Row],[overall_adj]])</f>
        <v>255983.47516816814</v>
      </c>
      <c r="BZ2096" s="6">
        <f>(Grandview_Inventory[[#This Row],[sum_land]]-IF(Grandview_Inventory[[#This Row],[no_utilities]]=1,12000,0))/IF(Grandview_Inventory[[#This Row],[unbuildable]]=1,2,1)</f>
        <v>51342.318135355803</v>
      </c>
      <c r="CA209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96">
        <f>ROUND(Grandview_Inventory[[#This Row],[det_value]]*Lookups!$M$28,-2)</f>
        <v>0</v>
      </c>
      <c r="CC2096">
        <f>IF(ROUND(Grandview_Inventory[[#This Row],[adj_res]]*Lookups!$M$28,-2)&lt;Grandview_Inventory[[#This Row],[min_res]],Grandview_Inventory[[#This Row],[min_res]],ROUND(Grandview_Inventory[[#This Row],[adj_res]]*Lookups!$M$28,-2))</f>
        <v>243200</v>
      </c>
      <c r="CD2096">
        <f>Grandview_Inventory[[#This Row],[final_det]]+Grandview_Inventory[[#This Row],[final_res]]</f>
        <v>243200</v>
      </c>
      <c r="CE2096">
        <f>Grandview_Inventory[[#This Row],[final_land]]+Grandview_Inventory[[#This Row],[final_imp]]+Grandview_Inventory[[#This Row],[crop_value]]</f>
        <v>292000</v>
      </c>
      <c r="CG2096" t="str">
        <f t="shared" si="32"/>
        <v>update valuation set market_land =48800, market_bldg=243200, market_total =292000, market_mdno =401, market_date ='9/10/2023' where link_id = (select link_id from parcel where parcel_year = '2024' and parcel_id = '23092423476');</v>
      </c>
    </row>
    <row r="2097" spans="1:85" x14ac:dyDescent="0.25">
      <c r="A2097">
        <v>23092423477</v>
      </c>
      <c r="B2097">
        <v>0.23</v>
      </c>
      <c r="C2097">
        <v>9840</v>
      </c>
      <c r="D2097" t="s">
        <v>129</v>
      </c>
      <c r="E2097" t="s">
        <v>53</v>
      </c>
      <c r="F2097" t="s">
        <v>53</v>
      </c>
      <c r="G2097">
        <v>4</v>
      </c>
      <c r="H2097" t="s">
        <v>54</v>
      </c>
      <c r="I2097">
        <v>282700</v>
      </c>
      <c r="J2097">
        <v>39500</v>
      </c>
      <c r="K2097">
        <v>0.23</v>
      </c>
      <c r="L209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097">
        <v>0</v>
      </c>
      <c r="N2097">
        <v>0</v>
      </c>
      <c r="O2097">
        <v>0</v>
      </c>
      <c r="P2097">
        <v>13398.7528</v>
      </c>
      <c r="Q2097">
        <v>63903</v>
      </c>
      <c r="R2097">
        <f>(Grandview_Inventory[[#This Row],[ln_acres]]*Grandview_Inventory[[#This Row],[coeff]])+Grandview_Inventory[[#This Row],[const]]</f>
        <v>44211.174981080039</v>
      </c>
      <c r="S2097" t="s">
        <v>61</v>
      </c>
      <c r="T2097">
        <v>1</v>
      </c>
      <c r="U2097" t="s">
        <v>62</v>
      </c>
      <c r="V2097" t="s">
        <v>57</v>
      </c>
      <c r="W2097">
        <v>0</v>
      </c>
      <c r="X2097">
        <v>0</v>
      </c>
      <c r="Y2097">
        <v>8</v>
      </c>
      <c r="Z2097">
        <v>8</v>
      </c>
      <c r="AA2097">
        <v>10</v>
      </c>
      <c r="AB2097">
        <v>2500</v>
      </c>
      <c r="AC2097">
        <v>2050</v>
      </c>
      <c r="AD2097">
        <v>2050</v>
      </c>
      <c r="AE2097">
        <v>0</v>
      </c>
      <c r="AF2097">
        <v>0</v>
      </c>
      <c r="AG2097">
        <v>0</v>
      </c>
      <c r="AH2097">
        <v>0</v>
      </c>
      <c r="AI2097">
        <v>308</v>
      </c>
      <c r="AJ2097">
        <v>0</v>
      </c>
      <c r="AK2097">
        <v>0</v>
      </c>
      <c r="AL2097">
        <v>0</v>
      </c>
      <c r="AM2097">
        <v>0</v>
      </c>
      <c r="AN2097">
        <v>168</v>
      </c>
      <c r="AO2097">
        <v>0</v>
      </c>
      <c r="AP2097">
        <v>13</v>
      </c>
      <c r="AQ2097">
        <v>0</v>
      </c>
      <c r="AR2097">
        <v>0</v>
      </c>
      <c r="AS2097" t="s">
        <v>58</v>
      </c>
      <c r="AT2097">
        <v>1</v>
      </c>
      <c r="AU2097" t="s">
        <v>59</v>
      </c>
      <c r="AV2097" t="s">
        <v>60</v>
      </c>
      <c r="AW2097">
        <v>1</v>
      </c>
      <c r="AX2097">
        <v>4</v>
      </c>
      <c r="AY2097">
        <v>0</v>
      </c>
      <c r="AZ2097">
        <v>0</v>
      </c>
      <c r="BA2097">
        <v>100</v>
      </c>
      <c r="BB2097">
        <v>100</v>
      </c>
      <c r="BC2097">
        <v>100</v>
      </c>
      <c r="BD2097">
        <v>100</v>
      </c>
      <c r="BE2097">
        <v>1</v>
      </c>
      <c r="BF2097">
        <v>15000</v>
      </c>
      <c r="BG2097">
        <v>1000</v>
      </c>
      <c r="BH2097" s="6">
        <f>Grandview_Inventory[[#This Row],[land_extract]]*Lookups!$B$3</f>
        <v>51342.318135355803</v>
      </c>
      <c r="BI2097" s="6">
        <f>IF(Grandview_Inventory[[#This Row],[bldg_style]]="",0,Lookups!$B$2)</f>
        <v>155833.95000000001</v>
      </c>
      <c r="BJ2097" s="6">
        <f>_xlfn.IFNA(VLOOKUP(Grandview_Inventory[[#This Row],[quality]],Lookups!$H$2:$J$14,3,FALSE),0)</f>
        <v>9808</v>
      </c>
      <c r="BK2097" s="6">
        <f>_xlfn.IFNA(VLOOKUP(Grandview_Inventory[[#This Row],[condition]],Lookups!$H$17:$J$24,3,FALSE),0)</f>
        <v>25780</v>
      </c>
      <c r="BL2097" s="6">
        <f>Grandview_Inventory[[#This Row],[Eff_Age]]*Lookups!$B$14</f>
        <v>-1913.3327999999999</v>
      </c>
      <c r="BM2097" s="6">
        <f>Grandview_Inventory[[#This Row],[living_area]]*Lookups!$B$15</f>
        <v>127880.74865000001</v>
      </c>
      <c r="BN2097" s="6">
        <f>Grandview_Inventory[[#This Row],[Fin BSMT]]*Lookups!$B$16</f>
        <v>0</v>
      </c>
      <c r="BO2097" s="6">
        <f>(Grandview_Inventory[[#This Row],[att_gar]]+Grandview_Inventory[[#This Row],[bltin_gar]])*Lookups!$B$17</f>
        <v>26956.294596</v>
      </c>
      <c r="BP2097" s="6">
        <f>Grandview_Inventory[[#This Row],[Plumbing Fixtures]]*Lookups!$B$18</f>
        <v>26135.743399999999</v>
      </c>
      <c r="BQ2097" s="6">
        <f>Grandview_Inventory[[#This Row],[detatched_value]]*Lookups!$B$19</f>
        <v>0</v>
      </c>
      <c r="BR2097" s="6">
        <f>SUM(Grandview_Inventory[[#This Row],[Intercept]:[det_value]])*Grandview_Inventory[[#This Row],[res_pct]]</f>
        <v>370481.40384599997</v>
      </c>
      <c r="BS2097" s="6">
        <f>Grandview_Inventory[[#This Row],[land_value]]</f>
        <v>51342.318135355803</v>
      </c>
      <c r="BT2097" s="4">
        <f>_xlfn.IFNA(VLOOKUP(Grandview_Inventory[[#This Row],[quality]],Lookups!$A$26:$C$33,3,FALSE),1)</f>
        <v>0.94295468617355149</v>
      </c>
      <c r="BU2097" s="4">
        <f>_xlfn.IFNA(VLOOKUP(Grandview_Inventory[[#This Row],[condition]],Lookups!$A$37:$C$44,3,FALSE),1)</f>
        <v>0.94347925387812148</v>
      </c>
      <c r="BV2097" s="4">
        <f>IF(Grandview_Inventory[[#This Row],[bldg_style]]="",1,_xlfn.IFNA(VLOOKUP(Grandview_Inventory[[#This Row],[decade]],Lookups!$F$29:$H$43,3,FALSE),1))</f>
        <v>0.94601966599150278</v>
      </c>
      <c r="BW2097" s="4">
        <f>_xlfn.IFNA(VLOOKUP(Grandview_Inventory[[#This Row],[living_area_range]],Lookups!$F$47:$H$56,3,FALSE),1)</f>
        <v>0.95799442568048754</v>
      </c>
      <c r="BX2097" s="4">
        <f>AVERAGE(Grandview_Inventory[[#This Row],[qual_adj]:[size_adj]])</f>
        <v>0.94761200793091582</v>
      </c>
      <c r="BY2097" s="6">
        <f>IF(Grandview_Inventory[[#This Row],[pre_res]]&lt;0,0,Grandview_Inventory[[#This Row],[pre_res]]*Grandview_Inventory[[#This Row],[overall_adj]])</f>
        <v>351072.62699957256</v>
      </c>
      <c r="BZ2097" s="6">
        <f>(Grandview_Inventory[[#This Row],[sum_land]]-IF(Grandview_Inventory[[#This Row],[no_utilities]]=1,12000,0))/IF(Grandview_Inventory[[#This Row],[unbuildable]]=1,2,1)</f>
        <v>51342.318135355803</v>
      </c>
      <c r="CA209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097">
        <f>ROUND(Grandview_Inventory[[#This Row],[det_value]]*Lookups!$M$28,-2)</f>
        <v>0</v>
      </c>
      <c r="CC2097">
        <f>IF(ROUND(Grandview_Inventory[[#This Row],[adj_res]]*Lookups!$M$28,-2)&lt;Grandview_Inventory[[#This Row],[min_res]],Grandview_Inventory[[#This Row],[min_res]],ROUND(Grandview_Inventory[[#This Row],[adj_res]]*Lookups!$M$28,-2))</f>
        <v>333500</v>
      </c>
      <c r="CD2097">
        <f>Grandview_Inventory[[#This Row],[final_det]]+Grandview_Inventory[[#This Row],[final_res]]</f>
        <v>333500</v>
      </c>
      <c r="CE2097">
        <f>Grandview_Inventory[[#This Row],[final_land]]+Grandview_Inventory[[#This Row],[final_imp]]+Grandview_Inventory[[#This Row],[crop_value]]</f>
        <v>382300</v>
      </c>
      <c r="CG2097" t="str">
        <f t="shared" si="32"/>
        <v>update valuation set market_land =48800, market_bldg=333500, market_total =382300, market_mdno =401, market_date ='9/10/2023' where link_id = (select link_id from parcel where parcel_year = '2024' and parcel_id = '23092423477');</v>
      </c>
    </row>
    <row r="2098" spans="1:85" x14ac:dyDescent="0.25">
      <c r="A2098">
        <v>23092423478</v>
      </c>
      <c r="B2098">
        <v>0.21</v>
      </c>
      <c r="C2098">
        <v>9327</v>
      </c>
      <c r="D2098" t="s">
        <v>129</v>
      </c>
      <c r="E2098" t="s">
        <v>53</v>
      </c>
      <c r="F2098" t="s">
        <v>53</v>
      </c>
      <c r="G2098">
        <v>4</v>
      </c>
      <c r="H2098" t="s">
        <v>54</v>
      </c>
      <c r="I2098">
        <v>123200</v>
      </c>
      <c r="J2098">
        <v>39500</v>
      </c>
      <c r="K2098">
        <v>0.21</v>
      </c>
      <c r="L209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098">
        <v>0</v>
      </c>
      <c r="N2098">
        <v>0</v>
      </c>
      <c r="O2098">
        <v>0</v>
      </c>
      <c r="P2098">
        <v>13398.7528</v>
      </c>
      <c r="Q2098">
        <v>63903</v>
      </c>
      <c r="R2098">
        <f>(Grandview_Inventory[[#This Row],[ln_acres]]*Grandview_Inventory[[#This Row],[coeff]])+Grandview_Inventory[[#This Row],[const]]</f>
        <v>42992.266613125081</v>
      </c>
      <c r="S2098" t="s">
        <v>68</v>
      </c>
      <c r="T2098">
        <v>1</v>
      </c>
      <c r="U2098" t="s">
        <v>70</v>
      </c>
      <c r="V2098" t="s">
        <v>69</v>
      </c>
      <c r="W2098">
        <v>0</v>
      </c>
      <c r="X2098">
        <v>0</v>
      </c>
      <c r="Y2098">
        <v>50</v>
      </c>
      <c r="Z2098">
        <v>73</v>
      </c>
      <c r="AA2098">
        <v>80</v>
      </c>
      <c r="AB2098">
        <v>1000</v>
      </c>
      <c r="AC2098">
        <v>868</v>
      </c>
      <c r="AD2098">
        <v>868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264</v>
      </c>
      <c r="AN2098">
        <v>20</v>
      </c>
      <c r="AO2098">
        <v>264</v>
      </c>
      <c r="AP2098">
        <v>5</v>
      </c>
      <c r="AQ2098">
        <v>0</v>
      </c>
      <c r="AR2098">
        <v>0</v>
      </c>
      <c r="AS2098" t="s">
        <v>58</v>
      </c>
      <c r="AT2098">
        <v>1</v>
      </c>
      <c r="AU2098" t="s">
        <v>63</v>
      </c>
      <c r="AV2098" t="s">
        <v>60</v>
      </c>
      <c r="AW2098">
        <v>0</v>
      </c>
      <c r="AX2098">
        <v>2</v>
      </c>
      <c r="AY2098">
        <v>0</v>
      </c>
      <c r="AZ2098">
        <v>7200</v>
      </c>
      <c r="BA2098">
        <v>100</v>
      </c>
      <c r="BB2098">
        <v>100</v>
      </c>
      <c r="BC2098">
        <v>100</v>
      </c>
      <c r="BD2098">
        <v>100</v>
      </c>
      <c r="BE2098">
        <v>1</v>
      </c>
      <c r="BF2098">
        <v>15000</v>
      </c>
      <c r="BG2098">
        <v>1000</v>
      </c>
      <c r="BH2098" s="6">
        <f>Grandview_Inventory[[#This Row],[land_extract]]*Lookups!$B$3</f>
        <v>49926.8031387023</v>
      </c>
      <c r="BI2098" s="6">
        <f>IF(Grandview_Inventory[[#This Row],[bldg_style]]="",0,Lookups!$B$2)</f>
        <v>155833.95000000001</v>
      </c>
      <c r="BJ2098" s="6">
        <f>_xlfn.IFNA(VLOOKUP(Grandview_Inventory[[#This Row],[quality]],Lookups!$H$2:$J$14,3,FALSE),0)</f>
        <v>10733</v>
      </c>
      <c r="BK2098" s="6">
        <f>_xlfn.IFNA(VLOOKUP(Grandview_Inventory[[#This Row],[condition]],Lookups!$H$17:$J$24,3,FALSE),0)</f>
        <v>-4503</v>
      </c>
      <c r="BL2098" s="6">
        <f>Grandview_Inventory[[#This Row],[Eff_Age]]*Lookups!$B$14</f>
        <v>-11958.33</v>
      </c>
      <c r="BM2098" s="6">
        <f>Grandview_Inventory[[#This Row],[living_area]]*Lookups!$B$15</f>
        <v>54146.580404</v>
      </c>
      <c r="BN2098" s="6">
        <f>Grandview_Inventory[[#This Row],[Fin BSMT]]*Lookups!$B$16</f>
        <v>0</v>
      </c>
      <c r="BO2098" s="6">
        <f>(Grandview_Inventory[[#This Row],[att_gar]]+Grandview_Inventory[[#This Row],[bltin_gar]])*Lookups!$B$17</f>
        <v>0</v>
      </c>
      <c r="BP2098" s="6">
        <f>Grandview_Inventory[[#This Row],[Plumbing Fixtures]]*Lookups!$B$18</f>
        <v>10052.209000000001</v>
      </c>
      <c r="BQ2098" s="6">
        <f>Grandview_Inventory[[#This Row],[detatched_value]]*Lookups!$B$19</f>
        <v>6096.9967200000001</v>
      </c>
      <c r="BR2098" s="6">
        <f>SUM(Grandview_Inventory[[#This Row],[Intercept]:[det_value]])*Grandview_Inventory[[#This Row],[res_pct]]</f>
        <v>220401.40612400003</v>
      </c>
      <c r="BS2098" s="6">
        <f>Grandview_Inventory[[#This Row],[land_value]]</f>
        <v>49926.8031387023</v>
      </c>
      <c r="BT2098" s="4">
        <f>_xlfn.IFNA(VLOOKUP(Grandview_Inventory[[#This Row],[quality]],Lookups!$A$26:$C$33,3,FALSE),1)</f>
        <v>0.98079741117310582</v>
      </c>
      <c r="BU2098" s="4">
        <f>_xlfn.IFNA(VLOOKUP(Grandview_Inventory[[#This Row],[condition]],Lookups!$A$37:$C$44,3,FALSE),1)</f>
        <v>0.96469275950863709</v>
      </c>
      <c r="BV2098" s="4">
        <f>IF(Grandview_Inventory[[#This Row],[bldg_style]]="",1,_xlfn.IFNA(VLOOKUP(Grandview_Inventory[[#This Row],[decade]],Lookups!$F$29:$H$43,3,FALSE),1))</f>
        <v>0.98763256963907298</v>
      </c>
      <c r="BW2098" s="4">
        <f>_xlfn.IFNA(VLOOKUP(Grandview_Inventory[[#This Row],[living_area_range]],Lookups!$F$47:$H$56,3,FALSE),1)</f>
        <v>0.94306777142782894</v>
      </c>
      <c r="BX2098" s="4">
        <f>AVERAGE(Grandview_Inventory[[#This Row],[qual_adj]:[size_adj]])</f>
        <v>0.96904762793716115</v>
      </c>
      <c r="BY2098" s="6">
        <f>IF(Grandview_Inventory[[#This Row],[pre_res]]&lt;0,0,Grandview_Inventory[[#This Row],[pre_res]]*Grandview_Inventory[[#This Row],[overall_adj]])</f>
        <v>213579.45979847712</v>
      </c>
      <c r="BZ2098" s="6">
        <f>(Grandview_Inventory[[#This Row],[sum_land]]-IF(Grandview_Inventory[[#This Row],[no_utilities]]=1,12000,0))/IF(Grandview_Inventory[[#This Row],[unbuildable]]=1,2,1)</f>
        <v>49926.8031387023</v>
      </c>
      <c r="CA209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098">
        <f>ROUND(Grandview_Inventory[[#This Row],[det_value]]*Lookups!$M$28,-2)</f>
        <v>5800</v>
      </c>
      <c r="CC2098">
        <f>IF(ROUND(Grandview_Inventory[[#This Row],[adj_res]]*Lookups!$M$28,-2)&lt;Grandview_Inventory[[#This Row],[min_res]],Grandview_Inventory[[#This Row],[min_res]],ROUND(Grandview_Inventory[[#This Row],[adj_res]]*Lookups!$M$28,-2))</f>
        <v>202900</v>
      </c>
      <c r="CD2098">
        <f>Grandview_Inventory[[#This Row],[final_det]]+Grandview_Inventory[[#This Row],[final_res]]</f>
        <v>208700</v>
      </c>
      <c r="CE2098">
        <f>Grandview_Inventory[[#This Row],[final_land]]+Grandview_Inventory[[#This Row],[final_imp]]+Grandview_Inventory[[#This Row],[crop_value]]</f>
        <v>256100</v>
      </c>
      <c r="CG2098" t="str">
        <f t="shared" si="32"/>
        <v>update valuation set market_land =47400, market_bldg=208700, market_total =256100, market_mdno =401, market_date ='9/10/2023' where link_id = (select link_id from parcel where parcel_year = '2024' and parcel_id = '23092423478');</v>
      </c>
    </row>
    <row r="2099" spans="1:85" x14ac:dyDescent="0.25">
      <c r="A2099">
        <v>23092423479</v>
      </c>
      <c r="B2099">
        <v>0.25</v>
      </c>
      <c r="C2099">
        <v>10727</v>
      </c>
      <c r="D2099" t="s">
        <v>129</v>
      </c>
      <c r="E2099" t="s">
        <v>53</v>
      </c>
      <c r="F2099" t="s">
        <v>53</v>
      </c>
      <c r="G2099">
        <v>4</v>
      </c>
      <c r="H2099" t="s">
        <v>54</v>
      </c>
      <c r="I2099">
        <v>153600</v>
      </c>
      <c r="J2099">
        <v>44400</v>
      </c>
      <c r="K2099">
        <v>0.25</v>
      </c>
      <c r="L2099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099">
        <v>0</v>
      </c>
      <c r="N2099">
        <v>0</v>
      </c>
      <c r="O2099">
        <v>0</v>
      </c>
      <c r="P2099">
        <v>13398.7528</v>
      </c>
      <c r="Q2099">
        <v>63903</v>
      </c>
      <c r="R2099">
        <f>(Grandview_Inventory[[#This Row],[ln_acres]]*Grandview_Inventory[[#This Row],[coeff]])+Grandview_Inventory[[#This Row],[const]]</f>
        <v>45328.38454732066</v>
      </c>
      <c r="S2099" t="s">
        <v>68</v>
      </c>
      <c r="T2099">
        <v>1</v>
      </c>
      <c r="U2099" t="s">
        <v>70</v>
      </c>
      <c r="V2099" t="s">
        <v>69</v>
      </c>
      <c r="W2099">
        <v>0</v>
      </c>
      <c r="X2099">
        <v>0</v>
      </c>
      <c r="Y2099">
        <v>50</v>
      </c>
      <c r="Z2099">
        <v>73</v>
      </c>
      <c r="AA2099">
        <v>80</v>
      </c>
      <c r="AB2099">
        <v>1500</v>
      </c>
      <c r="AC2099">
        <v>1368</v>
      </c>
      <c r="AD2099">
        <v>1368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506</v>
      </c>
      <c r="AN2099">
        <v>20</v>
      </c>
      <c r="AO2099">
        <v>0</v>
      </c>
      <c r="AP2099">
        <v>8</v>
      </c>
      <c r="AQ2099">
        <v>0</v>
      </c>
      <c r="AR2099">
        <v>1</v>
      </c>
      <c r="AS2099" t="s">
        <v>58</v>
      </c>
      <c r="AT2099">
        <v>1</v>
      </c>
      <c r="AU2099" t="s">
        <v>63</v>
      </c>
      <c r="AV2099" t="s">
        <v>60</v>
      </c>
      <c r="AW2099">
        <v>0</v>
      </c>
      <c r="AX2099">
        <v>2</v>
      </c>
      <c r="AY2099">
        <v>0</v>
      </c>
      <c r="AZ2099">
        <v>0</v>
      </c>
      <c r="BA2099">
        <v>100</v>
      </c>
      <c r="BB2099">
        <v>100</v>
      </c>
      <c r="BC2099">
        <v>100</v>
      </c>
      <c r="BD2099">
        <v>100</v>
      </c>
      <c r="BE2099">
        <v>1</v>
      </c>
      <c r="BF2099">
        <v>15000</v>
      </c>
      <c r="BG2099">
        <v>1000</v>
      </c>
      <c r="BH2099" s="6">
        <f>Grandview_Inventory[[#This Row],[land_extract]]*Lookups!$B$3</f>
        <v>52639.730588165206</v>
      </c>
      <c r="BI2099" s="6">
        <f>IF(Grandview_Inventory[[#This Row],[bldg_style]]="",0,Lookups!$B$2)</f>
        <v>155833.95000000001</v>
      </c>
      <c r="BJ2099" s="6">
        <f>_xlfn.IFNA(VLOOKUP(Grandview_Inventory[[#This Row],[quality]],Lookups!$H$2:$J$14,3,FALSE),0)</f>
        <v>10733</v>
      </c>
      <c r="BK2099" s="6">
        <f>_xlfn.IFNA(VLOOKUP(Grandview_Inventory[[#This Row],[condition]],Lookups!$H$17:$J$24,3,FALSE),0)</f>
        <v>-4503</v>
      </c>
      <c r="BL2099" s="6">
        <f>Grandview_Inventory[[#This Row],[Eff_Age]]*Lookups!$B$14</f>
        <v>-11958.33</v>
      </c>
      <c r="BM2099" s="6">
        <f>Grandview_Inventory[[#This Row],[living_area]]*Lookups!$B$15</f>
        <v>85337.006904000009</v>
      </c>
      <c r="BN2099" s="6">
        <f>Grandview_Inventory[[#This Row],[Fin BSMT]]*Lookups!$B$16</f>
        <v>0</v>
      </c>
      <c r="BO2099" s="6">
        <f>(Grandview_Inventory[[#This Row],[att_gar]]+Grandview_Inventory[[#This Row],[bltin_gar]])*Lookups!$B$17</f>
        <v>0</v>
      </c>
      <c r="BP2099" s="6">
        <f>Grandview_Inventory[[#This Row],[Plumbing Fixtures]]*Lookups!$B$18</f>
        <v>16083.5344</v>
      </c>
      <c r="BQ2099" s="6">
        <f>Grandview_Inventory[[#This Row],[detatched_value]]*Lookups!$B$19</f>
        <v>0</v>
      </c>
      <c r="BR2099" s="6">
        <f>SUM(Grandview_Inventory[[#This Row],[Intercept]:[det_value]])*Grandview_Inventory[[#This Row],[res_pct]]</f>
        <v>251526.16130400004</v>
      </c>
      <c r="BS2099" s="6">
        <f>Grandview_Inventory[[#This Row],[land_value]]</f>
        <v>52639.730588165206</v>
      </c>
      <c r="BT2099" s="4">
        <f>_xlfn.IFNA(VLOOKUP(Grandview_Inventory[[#This Row],[quality]],Lookups!$A$26:$C$33,3,FALSE),1)</f>
        <v>0.98079741117310582</v>
      </c>
      <c r="BU2099" s="4">
        <f>_xlfn.IFNA(VLOOKUP(Grandview_Inventory[[#This Row],[condition]],Lookups!$A$37:$C$44,3,FALSE),1)</f>
        <v>0.96469275950863709</v>
      </c>
      <c r="BV2099" s="4">
        <f>IF(Grandview_Inventory[[#This Row],[bldg_style]]="",1,_xlfn.IFNA(VLOOKUP(Grandview_Inventory[[#This Row],[decade]],Lookups!$F$29:$H$43,3,FALSE),1))</f>
        <v>0.98763256963907298</v>
      </c>
      <c r="BW2099" s="4">
        <f>_xlfn.IFNA(VLOOKUP(Grandview_Inventory[[#This Row],[living_area_range]],Lookups!$F$47:$H$56,3,FALSE),1)</f>
        <v>0.96135087979789358</v>
      </c>
      <c r="BX2099" s="4">
        <f>AVERAGE(Grandview_Inventory[[#This Row],[qual_adj]:[size_adj]])</f>
        <v>0.97361840502967734</v>
      </c>
      <c r="BY2099" s="6">
        <f>IF(Grandview_Inventory[[#This Row],[pre_res]]&lt;0,0,Grandview_Inventory[[#This Row],[pre_res]]*Grandview_Inventory[[#This Row],[overall_adj]])</f>
        <v>244890.49999203786</v>
      </c>
      <c r="BZ2099" s="6">
        <f>(Grandview_Inventory[[#This Row],[sum_land]]-IF(Grandview_Inventory[[#This Row],[no_utilities]]=1,12000,0))/IF(Grandview_Inventory[[#This Row],[unbuildable]]=1,2,1)</f>
        <v>52639.730588165206</v>
      </c>
      <c r="CA2099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099">
        <f>ROUND(Grandview_Inventory[[#This Row],[det_value]]*Lookups!$M$28,-2)</f>
        <v>0</v>
      </c>
      <c r="CC2099">
        <f>IF(ROUND(Grandview_Inventory[[#This Row],[adj_res]]*Lookups!$M$28,-2)&lt;Grandview_Inventory[[#This Row],[min_res]],Grandview_Inventory[[#This Row],[min_res]],ROUND(Grandview_Inventory[[#This Row],[adj_res]]*Lookups!$M$28,-2))</f>
        <v>232600</v>
      </c>
      <c r="CD2099">
        <f>Grandview_Inventory[[#This Row],[final_det]]+Grandview_Inventory[[#This Row],[final_res]]</f>
        <v>232600</v>
      </c>
      <c r="CE2099">
        <f>Grandview_Inventory[[#This Row],[final_land]]+Grandview_Inventory[[#This Row],[final_imp]]+Grandview_Inventory[[#This Row],[crop_value]]</f>
        <v>282600</v>
      </c>
      <c r="CG2099" t="str">
        <f t="shared" si="32"/>
        <v>update valuation set market_land =50000, market_bldg=232600, market_total =282600, market_mdno =401, market_date ='9/10/2023' where link_id = (select link_id from parcel where parcel_year = '2024' and parcel_id = '23092423479');</v>
      </c>
    </row>
    <row r="2100" spans="1:85" x14ac:dyDescent="0.25">
      <c r="A2100">
        <v>23092423480</v>
      </c>
      <c r="B2100">
        <v>0.24</v>
      </c>
      <c r="C2100">
        <v>10550</v>
      </c>
      <c r="D2100" t="s">
        <v>129</v>
      </c>
      <c r="E2100" t="s">
        <v>53</v>
      </c>
      <c r="F2100" t="s">
        <v>53</v>
      </c>
      <c r="G2100">
        <v>4</v>
      </c>
      <c r="H2100" t="s">
        <v>54</v>
      </c>
      <c r="I2100">
        <v>166700</v>
      </c>
      <c r="J2100">
        <v>44200</v>
      </c>
      <c r="K2100">
        <v>0.24</v>
      </c>
      <c r="L210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100">
        <v>0</v>
      </c>
      <c r="N2100">
        <v>0</v>
      </c>
      <c r="O2100">
        <v>0</v>
      </c>
      <c r="P2100">
        <v>13398.7528</v>
      </c>
      <c r="Q2100">
        <v>63903</v>
      </c>
      <c r="R2100">
        <f>(Grandview_Inventory[[#This Row],[ln_acres]]*Grandview_Inventory[[#This Row],[coeff]])+Grandview_Inventory[[#This Row],[const]]</f>
        <v>44781.420733940802</v>
      </c>
      <c r="S2100" t="s">
        <v>61</v>
      </c>
      <c r="T2100">
        <v>1</v>
      </c>
      <c r="U2100" t="s">
        <v>65</v>
      </c>
      <c r="V2100" t="s">
        <v>69</v>
      </c>
      <c r="W2100">
        <v>0</v>
      </c>
      <c r="X2100">
        <v>0</v>
      </c>
      <c r="Y2100">
        <v>50</v>
      </c>
      <c r="Z2100">
        <v>73</v>
      </c>
      <c r="AA2100">
        <v>80</v>
      </c>
      <c r="AB2100">
        <v>1500</v>
      </c>
      <c r="AC2100">
        <v>1012</v>
      </c>
      <c r="AD2100">
        <v>1012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240</v>
      </c>
      <c r="AN2100">
        <v>20</v>
      </c>
      <c r="AO2100">
        <v>240</v>
      </c>
      <c r="AP2100">
        <v>5</v>
      </c>
      <c r="AQ2100">
        <v>0</v>
      </c>
      <c r="AR2100">
        <v>0</v>
      </c>
      <c r="AS2100" t="s">
        <v>58</v>
      </c>
      <c r="AT2100">
        <v>1</v>
      </c>
      <c r="AU2100" t="s">
        <v>63</v>
      </c>
      <c r="AV2100" t="s">
        <v>60</v>
      </c>
      <c r="AW2100">
        <v>1</v>
      </c>
      <c r="AX2100">
        <v>3</v>
      </c>
      <c r="AY2100">
        <v>0</v>
      </c>
      <c r="AZ2100">
        <v>29200</v>
      </c>
      <c r="BA2100">
        <v>100</v>
      </c>
      <c r="BB2100">
        <v>100</v>
      </c>
      <c r="BC2100">
        <v>100</v>
      </c>
      <c r="BD2100">
        <v>100</v>
      </c>
      <c r="BE2100">
        <v>1</v>
      </c>
      <c r="BF2100">
        <v>15000</v>
      </c>
      <c r="BG2100">
        <v>1000</v>
      </c>
      <c r="BH2100" s="6">
        <f>Grandview_Inventory[[#This Row],[land_extract]]*Lookups!$B$3</f>
        <v>52004.542988489469</v>
      </c>
      <c r="BI2100" s="6">
        <f>IF(Grandview_Inventory[[#This Row],[bldg_style]]="",0,Lookups!$B$2)</f>
        <v>155833.95000000001</v>
      </c>
      <c r="BJ2100" s="6">
        <f>_xlfn.IFNA(VLOOKUP(Grandview_Inventory[[#This Row],[quality]],Lookups!$H$2:$J$14,3,FALSE),0)</f>
        <v>2251</v>
      </c>
      <c r="BK2100" s="6">
        <f>_xlfn.IFNA(VLOOKUP(Grandview_Inventory[[#This Row],[condition]],Lookups!$H$17:$J$24,3,FALSE),0)</f>
        <v>-4503</v>
      </c>
      <c r="BL2100" s="6">
        <f>Grandview_Inventory[[#This Row],[Eff_Age]]*Lookups!$B$14</f>
        <v>-11958.33</v>
      </c>
      <c r="BM2100" s="6">
        <f>Grandview_Inventory[[#This Row],[living_area]]*Lookups!$B$15</f>
        <v>63129.423236000002</v>
      </c>
      <c r="BN2100" s="6">
        <f>Grandview_Inventory[[#This Row],[Fin BSMT]]*Lookups!$B$16</f>
        <v>0</v>
      </c>
      <c r="BO2100" s="6">
        <f>(Grandview_Inventory[[#This Row],[att_gar]]+Grandview_Inventory[[#This Row],[bltin_gar]])*Lookups!$B$17</f>
        <v>0</v>
      </c>
      <c r="BP2100" s="6">
        <f>Grandview_Inventory[[#This Row],[Plumbing Fixtures]]*Lookups!$B$18</f>
        <v>10052.209000000001</v>
      </c>
      <c r="BQ2100" s="6">
        <f>Grandview_Inventory[[#This Row],[detatched_value]]*Lookups!$B$19</f>
        <v>24726.708920000001</v>
      </c>
      <c r="BR2100" s="6">
        <f>SUM(Grandview_Inventory[[#This Row],[Intercept]:[det_value]])*Grandview_Inventory[[#This Row],[res_pct]]</f>
        <v>239531.96115600003</v>
      </c>
      <c r="BS2100" s="6">
        <f>Grandview_Inventory[[#This Row],[land_value]]</f>
        <v>52004.542988489469</v>
      </c>
      <c r="BT2100" s="4">
        <f>_xlfn.IFNA(VLOOKUP(Grandview_Inventory[[#This Row],[quality]],Lookups!$A$26:$C$33,3,FALSE),1)</f>
        <v>0.98763855981004833</v>
      </c>
      <c r="BU2100" s="4">
        <f>_xlfn.IFNA(VLOOKUP(Grandview_Inventory[[#This Row],[condition]],Lookups!$A$37:$C$44,3,FALSE),1)</f>
        <v>0.96469275950863709</v>
      </c>
      <c r="BV2100" s="4">
        <f>IF(Grandview_Inventory[[#This Row],[bldg_style]]="",1,_xlfn.IFNA(VLOOKUP(Grandview_Inventory[[#This Row],[decade]],Lookups!$F$29:$H$43,3,FALSE),1))</f>
        <v>0.98763256963907298</v>
      </c>
      <c r="BW2100" s="4">
        <f>_xlfn.IFNA(VLOOKUP(Grandview_Inventory[[#This Row],[living_area_range]],Lookups!$F$47:$H$56,3,FALSE),1)</f>
        <v>0.96135087979789358</v>
      </c>
      <c r="BX2100" s="4">
        <f>AVERAGE(Grandview_Inventory[[#This Row],[qual_adj]:[size_adj]])</f>
        <v>0.97532869218891294</v>
      </c>
      <c r="BY2100" s="6">
        <f>IF(Grandview_Inventory[[#This Row],[pre_res]]&lt;0,0,Grandview_Inventory[[#This Row],[pre_res]]*Grandview_Inventory[[#This Row],[overall_adj]])</f>
        <v>233622.394411727</v>
      </c>
      <c r="BZ2100" s="6">
        <f>(Grandview_Inventory[[#This Row],[sum_land]]-IF(Grandview_Inventory[[#This Row],[no_utilities]]=1,12000,0))/IF(Grandview_Inventory[[#This Row],[unbuildable]]=1,2,1)</f>
        <v>52004.542988489469</v>
      </c>
      <c r="CA210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100">
        <f>ROUND(Grandview_Inventory[[#This Row],[det_value]]*Lookups!$M$28,-2)</f>
        <v>23500</v>
      </c>
      <c r="CC2100">
        <f>IF(ROUND(Grandview_Inventory[[#This Row],[adj_res]]*Lookups!$M$28,-2)&lt;Grandview_Inventory[[#This Row],[min_res]],Grandview_Inventory[[#This Row],[min_res]],ROUND(Grandview_Inventory[[#This Row],[adj_res]]*Lookups!$M$28,-2))</f>
        <v>221900</v>
      </c>
      <c r="CD2100">
        <f>Grandview_Inventory[[#This Row],[final_det]]+Grandview_Inventory[[#This Row],[final_res]]</f>
        <v>245400</v>
      </c>
      <c r="CE2100">
        <f>Grandview_Inventory[[#This Row],[final_land]]+Grandview_Inventory[[#This Row],[final_imp]]+Grandview_Inventory[[#This Row],[crop_value]]</f>
        <v>294800</v>
      </c>
      <c r="CG2100" t="str">
        <f t="shared" si="32"/>
        <v>update valuation set market_land =49400, market_bldg=245400, market_total =294800, market_mdno =401, market_date ='9/10/2023' where link_id = (select link_id from parcel where parcel_year = '2024' and parcel_id = '23092423480');</v>
      </c>
    </row>
    <row r="2101" spans="1:85" x14ac:dyDescent="0.25">
      <c r="A2101">
        <v>23092423481</v>
      </c>
      <c r="B2101">
        <v>0.18</v>
      </c>
      <c r="C2101">
        <v>8026</v>
      </c>
      <c r="D2101" t="s">
        <v>129</v>
      </c>
      <c r="E2101" t="s">
        <v>53</v>
      </c>
      <c r="F2101" t="s">
        <v>53</v>
      </c>
      <c r="G2101">
        <v>4</v>
      </c>
      <c r="H2101" t="s">
        <v>54</v>
      </c>
      <c r="I2101">
        <v>120000</v>
      </c>
      <c r="J2101">
        <v>39000</v>
      </c>
      <c r="K2101">
        <v>0.18</v>
      </c>
      <c r="L210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101">
        <v>0</v>
      </c>
      <c r="N2101">
        <v>0</v>
      </c>
      <c r="O2101">
        <v>0</v>
      </c>
      <c r="P2101">
        <v>13398.7528</v>
      </c>
      <c r="Q2101">
        <v>63903</v>
      </c>
      <c r="R2101">
        <f>(Grandview_Inventory[[#This Row],[ln_acres]]*Grandview_Inventory[[#This Row],[coeff]])+Grandview_Inventory[[#This Row],[const]]</f>
        <v>40926.839760167699</v>
      </c>
      <c r="S2101" t="s">
        <v>68</v>
      </c>
      <c r="T2101">
        <v>1</v>
      </c>
      <c r="U2101" t="s">
        <v>70</v>
      </c>
      <c r="V2101" t="s">
        <v>78</v>
      </c>
      <c r="W2101">
        <v>0</v>
      </c>
      <c r="X2101">
        <v>0</v>
      </c>
      <c r="Y2101">
        <v>50</v>
      </c>
      <c r="Z2101">
        <v>73</v>
      </c>
      <c r="AA2101">
        <v>80</v>
      </c>
      <c r="AB2101">
        <v>1500</v>
      </c>
      <c r="AC2101">
        <v>1389</v>
      </c>
      <c r="AD2101">
        <v>1389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5</v>
      </c>
      <c r="AQ2101">
        <v>0</v>
      </c>
      <c r="AR2101">
        <v>0</v>
      </c>
      <c r="AS2101" t="s">
        <v>58</v>
      </c>
      <c r="AT2101">
        <v>1</v>
      </c>
      <c r="AU2101" t="s">
        <v>63</v>
      </c>
      <c r="AV2101" t="s">
        <v>60</v>
      </c>
      <c r="AW2101">
        <v>0</v>
      </c>
      <c r="AX2101">
        <v>4</v>
      </c>
      <c r="AY2101">
        <v>0</v>
      </c>
      <c r="AZ2101">
        <v>4400</v>
      </c>
      <c r="BA2101">
        <v>100</v>
      </c>
      <c r="BB2101">
        <v>100</v>
      </c>
      <c r="BC2101">
        <v>100</v>
      </c>
      <c r="BD2101">
        <v>100</v>
      </c>
      <c r="BE2101">
        <v>1</v>
      </c>
      <c r="BF2101">
        <v>15000</v>
      </c>
      <c r="BG2101">
        <v>1000</v>
      </c>
      <c r="BH2101" s="6">
        <f>Grandview_Inventory[[#This Row],[land_extract]]*Lookups!$B$3</f>
        <v>47528.228511015397</v>
      </c>
      <c r="BI2101" s="6">
        <f>IF(Grandview_Inventory[[#This Row],[bldg_style]]="",0,Lookups!$B$2)</f>
        <v>155833.95000000001</v>
      </c>
      <c r="BJ2101" s="6">
        <f>_xlfn.IFNA(VLOOKUP(Grandview_Inventory[[#This Row],[quality]],Lookups!$H$2:$J$14,3,FALSE),0)</f>
        <v>10733</v>
      </c>
      <c r="BK2101" s="6">
        <f>_xlfn.IFNA(VLOOKUP(Grandview_Inventory[[#This Row],[condition]],Lookups!$H$17:$J$24,3,FALSE),0)</f>
        <v>-45357</v>
      </c>
      <c r="BL2101" s="6">
        <f>Grandview_Inventory[[#This Row],[Eff_Age]]*Lookups!$B$14</f>
        <v>-11958.33</v>
      </c>
      <c r="BM2101" s="6">
        <f>Grandview_Inventory[[#This Row],[living_area]]*Lookups!$B$15</f>
        <v>86647.004817000008</v>
      </c>
      <c r="BN2101" s="6">
        <f>Grandview_Inventory[[#This Row],[Fin BSMT]]*Lookups!$B$16</f>
        <v>0</v>
      </c>
      <c r="BO2101" s="6">
        <f>(Grandview_Inventory[[#This Row],[att_gar]]+Grandview_Inventory[[#This Row],[bltin_gar]])*Lookups!$B$17</f>
        <v>0</v>
      </c>
      <c r="BP2101" s="6">
        <f>Grandview_Inventory[[#This Row],[Plumbing Fixtures]]*Lookups!$B$18</f>
        <v>10052.209000000001</v>
      </c>
      <c r="BQ2101" s="6">
        <f>Grandview_Inventory[[#This Row],[detatched_value]]*Lookups!$B$19</f>
        <v>3725.9424399999998</v>
      </c>
      <c r="BR2101" s="6">
        <f>SUM(Grandview_Inventory[[#This Row],[Intercept]:[det_value]])*Grandview_Inventory[[#This Row],[res_pct]]</f>
        <v>209676.77625700002</v>
      </c>
      <c r="BS2101" s="6">
        <f>Grandview_Inventory[[#This Row],[land_value]]</f>
        <v>47528.228511015397</v>
      </c>
      <c r="BT2101" s="4">
        <f>_xlfn.IFNA(VLOOKUP(Grandview_Inventory[[#This Row],[quality]],Lookups!$A$26:$C$33,3,FALSE),1)</f>
        <v>0.98079741117310582</v>
      </c>
      <c r="BU2101" s="4">
        <f>_xlfn.IFNA(VLOOKUP(Grandview_Inventory[[#This Row],[condition]],Lookups!$A$37:$C$44,3,FALSE),1)</f>
        <v>0.97161819570155394</v>
      </c>
      <c r="BV2101" s="4">
        <f>IF(Grandview_Inventory[[#This Row],[bldg_style]]="",1,_xlfn.IFNA(VLOOKUP(Grandview_Inventory[[#This Row],[decade]],Lookups!$F$29:$H$43,3,FALSE),1))</f>
        <v>0.98763256963907298</v>
      </c>
      <c r="BW2101" s="4">
        <f>_xlfn.IFNA(VLOOKUP(Grandview_Inventory[[#This Row],[living_area_range]],Lookups!$F$47:$H$56,3,FALSE),1)</f>
        <v>0.96135087979789358</v>
      </c>
      <c r="BX2101" s="4">
        <f>AVERAGE(Grandview_Inventory[[#This Row],[qual_adj]:[size_adj]])</f>
        <v>0.97534976407790652</v>
      </c>
      <c r="BY2101" s="6">
        <f>IF(Grandview_Inventory[[#This Row],[pre_res]]&lt;0,0,Grandview_Inventory[[#This Row],[pre_res]]*Grandview_Inventory[[#This Row],[overall_adj]])</f>
        <v>204508.19425488097</v>
      </c>
      <c r="BZ2101" s="6">
        <f>(Grandview_Inventory[[#This Row],[sum_land]]-IF(Grandview_Inventory[[#This Row],[no_utilities]]=1,12000,0))/IF(Grandview_Inventory[[#This Row],[unbuildable]]=1,2,1)</f>
        <v>47528.228511015397</v>
      </c>
      <c r="CA210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101">
        <f>ROUND(Grandview_Inventory[[#This Row],[det_value]]*Lookups!$M$28,-2)</f>
        <v>3500</v>
      </c>
      <c r="CC2101">
        <f>IF(ROUND(Grandview_Inventory[[#This Row],[adj_res]]*Lookups!$M$28,-2)&lt;Grandview_Inventory[[#This Row],[min_res]],Grandview_Inventory[[#This Row],[min_res]],ROUND(Grandview_Inventory[[#This Row],[adj_res]]*Lookups!$M$28,-2))</f>
        <v>194300</v>
      </c>
      <c r="CD2101">
        <f>Grandview_Inventory[[#This Row],[final_det]]+Grandview_Inventory[[#This Row],[final_res]]</f>
        <v>197800</v>
      </c>
      <c r="CE2101">
        <f>Grandview_Inventory[[#This Row],[final_land]]+Grandview_Inventory[[#This Row],[final_imp]]+Grandview_Inventory[[#This Row],[crop_value]]</f>
        <v>243000</v>
      </c>
      <c r="CG2101" t="str">
        <f t="shared" si="32"/>
        <v>update valuation set market_land =45200, market_bldg=197800, market_total =243000, market_mdno =401, market_date ='9/10/2023' where link_id = (select link_id from parcel where parcel_year = '2024' and parcel_id = '23092423481');</v>
      </c>
    </row>
    <row r="2102" spans="1:85" x14ac:dyDescent="0.25">
      <c r="A2102">
        <v>23092423482</v>
      </c>
      <c r="B2102">
        <v>0.21</v>
      </c>
      <c r="C2102">
        <v>9239</v>
      </c>
      <c r="D2102" t="s">
        <v>129</v>
      </c>
      <c r="E2102" t="s">
        <v>53</v>
      </c>
      <c r="F2102" t="s">
        <v>53</v>
      </c>
      <c r="G2102">
        <v>4</v>
      </c>
      <c r="H2102" t="s">
        <v>54</v>
      </c>
      <c r="I2102">
        <v>118600</v>
      </c>
      <c r="J2102">
        <v>39300</v>
      </c>
      <c r="K2102">
        <v>0.21</v>
      </c>
      <c r="L210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102">
        <v>0</v>
      </c>
      <c r="N2102">
        <v>0</v>
      </c>
      <c r="O2102">
        <v>0</v>
      </c>
      <c r="P2102">
        <v>13398.7528</v>
      </c>
      <c r="Q2102">
        <v>63903</v>
      </c>
      <c r="R2102">
        <f>(Grandview_Inventory[[#This Row],[ln_acres]]*Grandview_Inventory[[#This Row],[coeff]])+Grandview_Inventory[[#This Row],[const]]</f>
        <v>42992.266613125081</v>
      </c>
      <c r="S2102" t="s">
        <v>68</v>
      </c>
      <c r="T2102">
        <v>1</v>
      </c>
      <c r="U2102" t="s">
        <v>70</v>
      </c>
      <c r="V2102" t="s">
        <v>69</v>
      </c>
      <c r="W2102">
        <v>0</v>
      </c>
      <c r="X2102">
        <v>0</v>
      </c>
      <c r="Y2102">
        <v>50</v>
      </c>
      <c r="Z2102">
        <v>73</v>
      </c>
      <c r="AA2102">
        <v>80</v>
      </c>
      <c r="AB2102">
        <v>1000</v>
      </c>
      <c r="AC2102">
        <v>780</v>
      </c>
      <c r="AD2102">
        <v>780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5</v>
      </c>
      <c r="AQ2102">
        <v>0</v>
      </c>
      <c r="AR2102">
        <v>0</v>
      </c>
      <c r="AS2102" t="s">
        <v>58</v>
      </c>
      <c r="AT2102">
        <v>1</v>
      </c>
      <c r="AU2102" t="s">
        <v>63</v>
      </c>
      <c r="AV2102" t="s">
        <v>60</v>
      </c>
      <c r="AW2102">
        <v>0</v>
      </c>
      <c r="AX2102">
        <v>2</v>
      </c>
      <c r="AY2102">
        <v>0</v>
      </c>
      <c r="AZ2102">
        <v>6700</v>
      </c>
      <c r="BA2102">
        <v>100</v>
      </c>
      <c r="BB2102">
        <v>100</v>
      </c>
      <c r="BC2102">
        <v>100</v>
      </c>
      <c r="BD2102">
        <v>100</v>
      </c>
      <c r="BE2102">
        <v>1</v>
      </c>
      <c r="BF2102">
        <v>15000</v>
      </c>
      <c r="BG2102">
        <v>1000</v>
      </c>
      <c r="BH2102" s="6">
        <f>Grandview_Inventory[[#This Row],[land_extract]]*Lookups!$B$3</f>
        <v>49926.8031387023</v>
      </c>
      <c r="BI2102" s="6">
        <f>IF(Grandview_Inventory[[#This Row],[bldg_style]]="",0,Lookups!$B$2)</f>
        <v>155833.95000000001</v>
      </c>
      <c r="BJ2102" s="6">
        <f>_xlfn.IFNA(VLOOKUP(Grandview_Inventory[[#This Row],[quality]],Lookups!$H$2:$J$14,3,FALSE),0)</f>
        <v>10733</v>
      </c>
      <c r="BK2102" s="6">
        <f>_xlfn.IFNA(VLOOKUP(Grandview_Inventory[[#This Row],[condition]],Lookups!$H$17:$J$24,3,FALSE),0)</f>
        <v>-4503</v>
      </c>
      <c r="BL2102" s="6">
        <f>Grandview_Inventory[[#This Row],[Eff_Age]]*Lookups!$B$14</f>
        <v>-11958.33</v>
      </c>
      <c r="BM2102" s="6">
        <f>Grandview_Inventory[[#This Row],[living_area]]*Lookups!$B$15</f>
        <v>48657.065340000001</v>
      </c>
      <c r="BN2102" s="6">
        <f>Grandview_Inventory[[#This Row],[Fin BSMT]]*Lookups!$B$16</f>
        <v>0</v>
      </c>
      <c r="BO2102" s="6">
        <f>(Grandview_Inventory[[#This Row],[att_gar]]+Grandview_Inventory[[#This Row],[bltin_gar]])*Lookups!$B$17</f>
        <v>0</v>
      </c>
      <c r="BP2102" s="6">
        <f>Grandview_Inventory[[#This Row],[Plumbing Fixtures]]*Lookups!$B$18</f>
        <v>10052.209000000001</v>
      </c>
      <c r="BQ2102" s="6">
        <f>Grandview_Inventory[[#This Row],[detatched_value]]*Lookups!$B$19</f>
        <v>5673.5941699999994</v>
      </c>
      <c r="BR2102" s="6">
        <f>SUM(Grandview_Inventory[[#This Row],[Intercept]:[det_value]])*Grandview_Inventory[[#This Row],[res_pct]]</f>
        <v>214488.48851000002</v>
      </c>
      <c r="BS2102" s="6">
        <f>Grandview_Inventory[[#This Row],[land_value]]</f>
        <v>49926.8031387023</v>
      </c>
      <c r="BT2102" s="4">
        <f>_xlfn.IFNA(VLOOKUP(Grandview_Inventory[[#This Row],[quality]],Lookups!$A$26:$C$33,3,FALSE),1)</f>
        <v>0.98079741117310582</v>
      </c>
      <c r="BU2102" s="4">
        <f>_xlfn.IFNA(VLOOKUP(Grandview_Inventory[[#This Row],[condition]],Lookups!$A$37:$C$44,3,FALSE),1)</f>
        <v>0.96469275950863709</v>
      </c>
      <c r="BV2102" s="4">
        <f>IF(Grandview_Inventory[[#This Row],[bldg_style]]="",1,_xlfn.IFNA(VLOOKUP(Grandview_Inventory[[#This Row],[decade]],Lookups!$F$29:$H$43,3,FALSE),1))</f>
        <v>0.98763256963907298</v>
      </c>
      <c r="BW2102" s="4">
        <f>_xlfn.IFNA(VLOOKUP(Grandview_Inventory[[#This Row],[living_area_range]],Lookups!$F$47:$H$56,3,FALSE),1)</f>
        <v>0.94306777142782894</v>
      </c>
      <c r="BX2102" s="4">
        <f>AVERAGE(Grandview_Inventory[[#This Row],[qual_adj]:[size_adj]])</f>
        <v>0.96904762793716115</v>
      </c>
      <c r="BY2102" s="6">
        <f>IF(Grandview_Inventory[[#This Row],[pre_res]]&lt;0,0,Grandview_Inventory[[#This Row],[pre_res]]*Grandview_Inventory[[#This Row],[overall_adj]])</f>
        <v>207849.56101044256</v>
      </c>
      <c r="BZ2102" s="6">
        <f>(Grandview_Inventory[[#This Row],[sum_land]]-IF(Grandview_Inventory[[#This Row],[no_utilities]]=1,12000,0))/IF(Grandview_Inventory[[#This Row],[unbuildable]]=1,2,1)</f>
        <v>49926.8031387023</v>
      </c>
      <c r="CA210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102">
        <f>ROUND(Grandview_Inventory[[#This Row],[det_value]]*Lookups!$M$28,-2)</f>
        <v>5400</v>
      </c>
      <c r="CC2102">
        <f>IF(ROUND(Grandview_Inventory[[#This Row],[adj_res]]*Lookups!$M$28,-2)&lt;Grandview_Inventory[[#This Row],[min_res]],Grandview_Inventory[[#This Row],[min_res]],ROUND(Grandview_Inventory[[#This Row],[adj_res]]*Lookups!$M$28,-2))</f>
        <v>197500</v>
      </c>
      <c r="CD2102">
        <f>Grandview_Inventory[[#This Row],[final_det]]+Grandview_Inventory[[#This Row],[final_res]]</f>
        <v>202900</v>
      </c>
      <c r="CE2102">
        <f>Grandview_Inventory[[#This Row],[final_land]]+Grandview_Inventory[[#This Row],[final_imp]]+Grandview_Inventory[[#This Row],[crop_value]]</f>
        <v>250300</v>
      </c>
      <c r="CG2102" t="str">
        <f t="shared" si="32"/>
        <v>update valuation set market_land =47400, market_bldg=202900, market_total =250300, market_mdno =401, market_date ='9/10/2023' where link_id = (select link_id from parcel where parcel_year = '2024' and parcel_id = '23092423482');</v>
      </c>
    </row>
    <row r="2103" spans="1:85" x14ac:dyDescent="0.25">
      <c r="A2103">
        <v>23092423483</v>
      </c>
      <c r="B2103">
        <v>0.22</v>
      </c>
      <c r="C2103">
        <v>9459</v>
      </c>
      <c r="D2103" t="s">
        <v>129</v>
      </c>
      <c r="E2103" t="s">
        <v>53</v>
      </c>
      <c r="F2103" t="s">
        <v>53</v>
      </c>
      <c r="G2103">
        <v>4</v>
      </c>
      <c r="H2103" t="s">
        <v>54</v>
      </c>
      <c r="I2103">
        <v>106900</v>
      </c>
      <c r="J2103">
        <v>39500</v>
      </c>
      <c r="K2103">
        <v>0.22</v>
      </c>
      <c r="L210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103">
        <v>0</v>
      </c>
      <c r="N2103">
        <v>0</v>
      </c>
      <c r="O2103">
        <v>0</v>
      </c>
      <c r="P2103">
        <v>13398.7528</v>
      </c>
      <c r="Q2103">
        <v>63903</v>
      </c>
      <c r="R2103">
        <f>(Grandview_Inventory[[#This Row],[ln_acres]]*Grandview_Inventory[[#This Row],[coeff]])+Grandview_Inventory[[#This Row],[const]]</f>
        <v>43615.576802869145</v>
      </c>
      <c r="S2103" t="s">
        <v>68</v>
      </c>
      <c r="T2103">
        <v>1</v>
      </c>
      <c r="U2103" t="s">
        <v>70</v>
      </c>
      <c r="V2103" t="s">
        <v>69</v>
      </c>
      <c r="W2103">
        <v>0</v>
      </c>
      <c r="X2103">
        <v>0</v>
      </c>
      <c r="Y2103">
        <v>50</v>
      </c>
      <c r="Z2103">
        <v>73</v>
      </c>
      <c r="AA2103">
        <v>80</v>
      </c>
      <c r="AB2103">
        <v>1000</v>
      </c>
      <c r="AC2103">
        <v>808</v>
      </c>
      <c r="AD2103">
        <v>808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5</v>
      </c>
      <c r="AQ2103">
        <v>0</v>
      </c>
      <c r="AR2103">
        <v>0</v>
      </c>
      <c r="AS2103" t="s">
        <v>58</v>
      </c>
      <c r="AT2103">
        <v>1</v>
      </c>
      <c r="AU2103" t="s">
        <v>63</v>
      </c>
      <c r="AV2103" t="s">
        <v>64</v>
      </c>
      <c r="AW2103">
        <v>0</v>
      </c>
      <c r="AX2103">
        <v>2</v>
      </c>
      <c r="AY2103">
        <v>0</v>
      </c>
      <c r="AZ2103">
        <v>1100</v>
      </c>
      <c r="BA2103">
        <v>100</v>
      </c>
      <c r="BB2103">
        <v>100</v>
      </c>
      <c r="BC2103">
        <v>100</v>
      </c>
      <c r="BD2103">
        <v>100</v>
      </c>
      <c r="BE2103">
        <v>1</v>
      </c>
      <c r="BF2103">
        <v>15000</v>
      </c>
      <c r="BG2103">
        <v>1000</v>
      </c>
      <c r="BH2103" s="6">
        <f>Grandview_Inventory[[#This Row],[land_extract]]*Lookups!$B$3</f>
        <v>50650.651579114572</v>
      </c>
      <c r="BI2103" s="6">
        <f>IF(Grandview_Inventory[[#This Row],[bldg_style]]="",0,Lookups!$B$2)</f>
        <v>155833.95000000001</v>
      </c>
      <c r="BJ2103" s="6">
        <f>_xlfn.IFNA(VLOOKUP(Grandview_Inventory[[#This Row],[quality]],Lookups!$H$2:$J$14,3,FALSE),0)</f>
        <v>10733</v>
      </c>
      <c r="BK2103" s="6">
        <f>_xlfn.IFNA(VLOOKUP(Grandview_Inventory[[#This Row],[condition]],Lookups!$H$17:$J$24,3,FALSE),0)</f>
        <v>-4503</v>
      </c>
      <c r="BL2103" s="6">
        <f>Grandview_Inventory[[#This Row],[Eff_Age]]*Lookups!$B$14</f>
        <v>-11958.33</v>
      </c>
      <c r="BM2103" s="6">
        <f>Grandview_Inventory[[#This Row],[living_area]]*Lookups!$B$15</f>
        <v>50403.729224000002</v>
      </c>
      <c r="BN2103" s="6">
        <f>Grandview_Inventory[[#This Row],[Fin BSMT]]*Lookups!$B$16</f>
        <v>0</v>
      </c>
      <c r="BO2103" s="6">
        <f>(Grandview_Inventory[[#This Row],[att_gar]]+Grandview_Inventory[[#This Row],[bltin_gar]])*Lookups!$B$17</f>
        <v>0</v>
      </c>
      <c r="BP2103" s="6">
        <f>Grandview_Inventory[[#This Row],[Plumbing Fixtures]]*Lookups!$B$18</f>
        <v>10052.209000000001</v>
      </c>
      <c r="BQ2103" s="6">
        <f>Grandview_Inventory[[#This Row],[detatched_value]]*Lookups!$B$19</f>
        <v>931.48560999999995</v>
      </c>
      <c r="BR2103" s="6">
        <f>SUM(Grandview_Inventory[[#This Row],[Intercept]:[det_value]])*Grandview_Inventory[[#This Row],[res_pct]]</f>
        <v>211493.04383400004</v>
      </c>
      <c r="BS2103" s="6">
        <f>Grandview_Inventory[[#This Row],[land_value]]</f>
        <v>50650.651579114572</v>
      </c>
      <c r="BT2103" s="4">
        <f>_xlfn.IFNA(VLOOKUP(Grandview_Inventory[[#This Row],[quality]],Lookups!$A$26:$C$33,3,FALSE),1)</f>
        <v>0.98079741117310582</v>
      </c>
      <c r="BU2103" s="4">
        <f>_xlfn.IFNA(VLOOKUP(Grandview_Inventory[[#This Row],[condition]],Lookups!$A$37:$C$44,3,FALSE),1)</f>
        <v>0.96469275950863709</v>
      </c>
      <c r="BV2103" s="4">
        <f>IF(Grandview_Inventory[[#This Row],[bldg_style]]="",1,_xlfn.IFNA(VLOOKUP(Grandview_Inventory[[#This Row],[decade]],Lookups!$F$29:$H$43,3,FALSE),1))</f>
        <v>0.98763256963907298</v>
      </c>
      <c r="BW2103" s="4">
        <f>_xlfn.IFNA(VLOOKUP(Grandview_Inventory[[#This Row],[living_area_range]],Lookups!$F$47:$H$56,3,FALSE),1)</f>
        <v>0.94306777142782894</v>
      </c>
      <c r="BX2103" s="4">
        <f>AVERAGE(Grandview_Inventory[[#This Row],[qual_adj]:[size_adj]])</f>
        <v>0.96904762793716115</v>
      </c>
      <c r="BY2103" s="6">
        <f>IF(Grandview_Inventory[[#This Row],[pre_res]]&lt;0,0,Grandview_Inventory[[#This Row],[pre_res]]*Grandview_Inventory[[#This Row],[overall_adj]])</f>
        <v>204946.83245254779</v>
      </c>
      <c r="BZ2103" s="6">
        <f>(Grandview_Inventory[[#This Row],[sum_land]]-IF(Grandview_Inventory[[#This Row],[no_utilities]]=1,12000,0))/IF(Grandview_Inventory[[#This Row],[unbuildable]]=1,2,1)</f>
        <v>50650.651579114572</v>
      </c>
      <c r="CA210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103">
        <f>ROUND(Grandview_Inventory[[#This Row],[det_value]]*Lookups!$M$28,-2)</f>
        <v>900</v>
      </c>
      <c r="CC2103">
        <f>IF(ROUND(Grandview_Inventory[[#This Row],[adj_res]]*Lookups!$M$28,-2)&lt;Grandview_Inventory[[#This Row],[min_res]],Grandview_Inventory[[#This Row],[min_res]],ROUND(Grandview_Inventory[[#This Row],[adj_res]]*Lookups!$M$28,-2))</f>
        <v>194700</v>
      </c>
      <c r="CD2103">
        <f>Grandview_Inventory[[#This Row],[final_det]]+Grandview_Inventory[[#This Row],[final_res]]</f>
        <v>195600</v>
      </c>
      <c r="CE2103">
        <f>Grandview_Inventory[[#This Row],[final_land]]+Grandview_Inventory[[#This Row],[final_imp]]+Grandview_Inventory[[#This Row],[crop_value]]</f>
        <v>243700</v>
      </c>
      <c r="CG2103" t="str">
        <f t="shared" si="32"/>
        <v>update valuation set market_land =48100, market_bldg=195600, market_total =243700, market_mdno =401, market_date ='9/10/2023' where link_id = (select link_id from parcel where parcel_year = '2024' and parcel_id = '23092423483');</v>
      </c>
    </row>
    <row r="2104" spans="1:85" x14ac:dyDescent="0.25">
      <c r="A2104">
        <v>23092423484</v>
      </c>
      <c r="B2104">
        <v>0.22</v>
      </c>
      <c r="C2104">
        <v>9773</v>
      </c>
      <c r="D2104" t="s">
        <v>129</v>
      </c>
      <c r="E2104" t="s">
        <v>53</v>
      </c>
      <c r="F2104" t="s">
        <v>53</v>
      </c>
      <c r="G2104">
        <v>4</v>
      </c>
      <c r="H2104" t="s">
        <v>54</v>
      </c>
      <c r="I2104">
        <v>159400</v>
      </c>
      <c r="J2104">
        <v>44000</v>
      </c>
      <c r="K2104">
        <v>0.22</v>
      </c>
      <c r="L210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104">
        <v>0</v>
      </c>
      <c r="N2104">
        <v>0</v>
      </c>
      <c r="O2104">
        <v>0</v>
      </c>
      <c r="P2104">
        <v>13398.7528</v>
      </c>
      <c r="Q2104">
        <v>63903</v>
      </c>
      <c r="R2104">
        <f>(Grandview_Inventory[[#This Row],[ln_acres]]*Grandview_Inventory[[#This Row],[coeff]])+Grandview_Inventory[[#This Row],[const]]</f>
        <v>43615.576802869145</v>
      </c>
      <c r="S2104" t="s">
        <v>61</v>
      </c>
      <c r="T2104">
        <v>1</v>
      </c>
      <c r="U2104" t="s">
        <v>65</v>
      </c>
      <c r="V2104" t="s">
        <v>69</v>
      </c>
      <c r="W2104">
        <v>0</v>
      </c>
      <c r="X2104">
        <v>0</v>
      </c>
      <c r="Y2104">
        <v>49</v>
      </c>
      <c r="Z2104">
        <v>68</v>
      </c>
      <c r="AA2104">
        <v>70</v>
      </c>
      <c r="AB2104">
        <v>1500</v>
      </c>
      <c r="AC2104">
        <v>1275</v>
      </c>
      <c r="AD2104">
        <v>1275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705</v>
      </c>
      <c r="AN2104">
        <v>160</v>
      </c>
      <c r="AO2104">
        <v>705</v>
      </c>
      <c r="AP2104">
        <v>5</v>
      </c>
      <c r="AQ2104">
        <v>0</v>
      </c>
      <c r="AR2104">
        <v>1</v>
      </c>
      <c r="AS2104" t="s">
        <v>58</v>
      </c>
      <c r="AT2104">
        <v>1</v>
      </c>
      <c r="AU2104" t="s">
        <v>63</v>
      </c>
      <c r="AV2104" t="s">
        <v>64</v>
      </c>
      <c r="AW2104">
        <v>1</v>
      </c>
      <c r="AX2104">
        <v>3</v>
      </c>
      <c r="AY2104">
        <v>0</v>
      </c>
      <c r="AZ2104">
        <v>6900</v>
      </c>
      <c r="BA2104">
        <v>100</v>
      </c>
      <c r="BB2104">
        <v>100</v>
      </c>
      <c r="BC2104">
        <v>100</v>
      </c>
      <c r="BD2104">
        <v>100</v>
      </c>
      <c r="BE2104">
        <v>1</v>
      </c>
      <c r="BF2104">
        <v>15000</v>
      </c>
      <c r="BG2104">
        <v>1000</v>
      </c>
      <c r="BH2104" s="6">
        <f>Grandview_Inventory[[#This Row],[land_extract]]*Lookups!$B$3</f>
        <v>50650.651579114572</v>
      </c>
      <c r="BI2104" s="6">
        <f>IF(Grandview_Inventory[[#This Row],[bldg_style]]="",0,Lookups!$B$2)</f>
        <v>155833.95000000001</v>
      </c>
      <c r="BJ2104" s="6">
        <f>_xlfn.IFNA(VLOOKUP(Grandview_Inventory[[#This Row],[quality]],Lookups!$H$2:$J$14,3,FALSE),0)</f>
        <v>2251</v>
      </c>
      <c r="BK2104" s="6">
        <f>_xlfn.IFNA(VLOOKUP(Grandview_Inventory[[#This Row],[condition]],Lookups!$H$17:$J$24,3,FALSE),0)</f>
        <v>-4503</v>
      </c>
      <c r="BL2104" s="6">
        <f>Grandview_Inventory[[#This Row],[Eff_Age]]*Lookups!$B$14</f>
        <v>-11719.163399999999</v>
      </c>
      <c r="BM2104" s="6">
        <f>Grandview_Inventory[[#This Row],[living_area]]*Lookups!$B$15</f>
        <v>79535.587574999998</v>
      </c>
      <c r="BN2104" s="6">
        <f>Grandview_Inventory[[#This Row],[Fin BSMT]]*Lookups!$B$16</f>
        <v>0</v>
      </c>
      <c r="BO2104" s="6">
        <f>(Grandview_Inventory[[#This Row],[att_gar]]+Grandview_Inventory[[#This Row],[bltin_gar]])*Lookups!$B$17</f>
        <v>0</v>
      </c>
      <c r="BP2104" s="6">
        <f>Grandview_Inventory[[#This Row],[Plumbing Fixtures]]*Lookups!$B$18</f>
        <v>10052.209000000001</v>
      </c>
      <c r="BQ2104" s="6">
        <f>Grandview_Inventory[[#This Row],[detatched_value]]*Lookups!$B$19</f>
        <v>5842.9551899999997</v>
      </c>
      <c r="BR2104" s="6">
        <f>SUM(Grandview_Inventory[[#This Row],[Intercept]:[det_value]])*Grandview_Inventory[[#This Row],[res_pct]]</f>
        <v>237293.53836500001</v>
      </c>
      <c r="BS2104" s="6">
        <f>Grandview_Inventory[[#This Row],[land_value]]</f>
        <v>50650.651579114572</v>
      </c>
      <c r="BT2104" s="4">
        <f>_xlfn.IFNA(VLOOKUP(Grandview_Inventory[[#This Row],[quality]],Lookups!$A$26:$C$33,3,FALSE),1)</f>
        <v>0.98763855981004833</v>
      </c>
      <c r="BU2104" s="4">
        <f>_xlfn.IFNA(VLOOKUP(Grandview_Inventory[[#This Row],[condition]],Lookups!$A$37:$C$44,3,FALSE),1)</f>
        <v>0.96469275950863709</v>
      </c>
      <c r="BV2104" s="4">
        <f>IF(Grandview_Inventory[[#This Row],[bldg_style]]="",1,_xlfn.IFNA(VLOOKUP(Grandview_Inventory[[#This Row],[decade]],Lookups!$F$29:$H$43,3,FALSE),1))</f>
        <v>0.99472141305414818</v>
      </c>
      <c r="BW2104" s="4">
        <f>_xlfn.IFNA(VLOOKUP(Grandview_Inventory[[#This Row],[living_area_range]],Lookups!$F$47:$H$56,3,FALSE),1)</f>
        <v>0.96135087979789358</v>
      </c>
      <c r="BX2104" s="4">
        <f>AVERAGE(Grandview_Inventory[[#This Row],[qual_adj]:[size_adj]])</f>
        <v>0.97710090304268182</v>
      </c>
      <c r="BY2104" s="6">
        <f>IF(Grandview_Inventory[[#This Row],[pre_res]]&lt;0,0,Grandview_Inventory[[#This Row],[pre_res]]*Grandview_Inventory[[#This Row],[overall_adj]])</f>
        <v>231859.73062263479</v>
      </c>
      <c r="BZ2104" s="6">
        <f>(Grandview_Inventory[[#This Row],[sum_land]]-IF(Grandview_Inventory[[#This Row],[no_utilities]]=1,12000,0))/IF(Grandview_Inventory[[#This Row],[unbuildable]]=1,2,1)</f>
        <v>50650.651579114572</v>
      </c>
      <c r="CA210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104">
        <f>ROUND(Grandview_Inventory[[#This Row],[det_value]]*Lookups!$M$28,-2)</f>
        <v>5600</v>
      </c>
      <c r="CC2104">
        <f>IF(ROUND(Grandview_Inventory[[#This Row],[adj_res]]*Lookups!$M$28,-2)&lt;Grandview_Inventory[[#This Row],[min_res]],Grandview_Inventory[[#This Row],[min_res]],ROUND(Grandview_Inventory[[#This Row],[adj_res]]*Lookups!$M$28,-2))</f>
        <v>220300</v>
      </c>
      <c r="CD2104">
        <f>Grandview_Inventory[[#This Row],[final_det]]+Grandview_Inventory[[#This Row],[final_res]]</f>
        <v>225900</v>
      </c>
      <c r="CE2104">
        <f>Grandview_Inventory[[#This Row],[final_land]]+Grandview_Inventory[[#This Row],[final_imp]]+Grandview_Inventory[[#This Row],[crop_value]]</f>
        <v>274000</v>
      </c>
      <c r="CG2104" t="str">
        <f t="shared" si="32"/>
        <v>update valuation set market_land =48100, market_bldg=225900, market_total =274000, market_mdno =401, market_date ='9/10/2023' where link_id = (select link_id from parcel where parcel_year = '2024' and parcel_id = '23092423484');</v>
      </c>
    </row>
    <row r="2105" spans="1:85" x14ac:dyDescent="0.25">
      <c r="A2105">
        <v>23092423485</v>
      </c>
      <c r="B2105">
        <v>0.26</v>
      </c>
      <c r="C2105">
        <v>11345</v>
      </c>
      <c r="D2105" t="s">
        <v>129</v>
      </c>
      <c r="E2105" t="s">
        <v>53</v>
      </c>
      <c r="F2105" t="s">
        <v>53</v>
      </c>
      <c r="G2105">
        <v>4</v>
      </c>
      <c r="H2105" t="s">
        <v>54</v>
      </c>
      <c r="I2105">
        <v>117300</v>
      </c>
      <c r="J2105">
        <v>40200</v>
      </c>
      <c r="K2105">
        <v>0.26</v>
      </c>
      <c r="L2105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105">
        <v>0</v>
      </c>
      <c r="N2105">
        <v>0</v>
      </c>
      <c r="O2105">
        <v>0</v>
      </c>
      <c r="P2105">
        <v>13398.7528</v>
      </c>
      <c r="Q2105">
        <v>63903</v>
      </c>
      <c r="R2105">
        <f>(Grandview_Inventory[[#This Row],[ln_acres]]*Grandview_Inventory[[#This Row],[coeff]])+Grandview_Inventory[[#This Row],[const]]</f>
        <v>45853.893187501177</v>
      </c>
      <c r="S2105" t="s">
        <v>68</v>
      </c>
      <c r="T2105">
        <v>1</v>
      </c>
      <c r="U2105" t="s">
        <v>70</v>
      </c>
      <c r="V2105" t="s">
        <v>69</v>
      </c>
      <c r="W2105">
        <v>0</v>
      </c>
      <c r="X2105">
        <v>0</v>
      </c>
      <c r="Y2105">
        <v>50</v>
      </c>
      <c r="Z2105">
        <v>73</v>
      </c>
      <c r="AA2105">
        <v>80</v>
      </c>
      <c r="AB2105">
        <v>1000</v>
      </c>
      <c r="AC2105">
        <v>748</v>
      </c>
      <c r="AD2105">
        <v>748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5</v>
      </c>
      <c r="AQ2105">
        <v>0</v>
      </c>
      <c r="AR2105">
        <v>0</v>
      </c>
      <c r="AS2105" t="s">
        <v>58</v>
      </c>
      <c r="AT2105">
        <v>1</v>
      </c>
      <c r="AU2105" t="s">
        <v>63</v>
      </c>
      <c r="AV2105" t="s">
        <v>60</v>
      </c>
      <c r="AW2105">
        <v>0</v>
      </c>
      <c r="AX2105">
        <v>2</v>
      </c>
      <c r="AY2105">
        <v>0</v>
      </c>
      <c r="AZ2105">
        <v>6900</v>
      </c>
      <c r="BA2105">
        <v>100</v>
      </c>
      <c r="BB2105">
        <v>100</v>
      </c>
      <c r="BC2105">
        <v>100</v>
      </c>
      <c r="BD2105">
        <v>100</v>
      </c>
      <c r="BE2105">
        <v>1</v>
      </c>
      <c r="BF2105">
        <v>15000</v>
      </c>
      <c r="BG2105">
        <v>1000</v>
      </c>
      <c r="BH2105" s="6">
        <f>Grandview_Inventory[[#This Row],[land_extract]]*Lookups!$B$3</f>
        <v>53250.00235313351</v>
      </c>
      <c r="BI2105" s="6">
        <f>IF(Grandview_Inventory[[#This Row],[bldg_style]]="",0,Lookups!$B$2)</f>
        <v>155833.95000000001</v>
      </c>
      <c r="BJ2105" s="6">
        <f>_xlfn.IFNA(VLOOKUP(Grandview_Inventory[[#This Row],[quality]],Lookups!$H$2:$J$14,3,FALSE),0)</f>
        <v>10733</v>
      </c>
      <c r="BK2105" s="6">
        <f>_xlfn.IFNA(VLOOKUP(Grandview_Inventory[[#This Row],[condition]],Lookups!$H$17:$J$24,3,FALSE),0)</f>
        <v>-4503</v>
      </c>
      <c r="BL2105" s="6">
        <f>Grandview_Inventory[[#This Row],[Eff_Age]]*Lookups!$B$14</f>
        <v>-11958.33</v>
      </c>
      <c r="BM2105" s="6">
        <f>Grandview_Inventory[[#This Row],[living_area]]*Lookups!$B$15</f>
        <v>46660.878044000005</v>
      </c>
      <c r="BN2105" s="6">
        <f>Grandview_Inventory[[#This Row],[Fin BSMT]]*Lookups!$B$16</f>
        <v>0</v>
      </c>
      <c r="BO2105" s="6">
        <f>(Grandview_Inventory[[#This Row],[att_gar]]+Grandview_Inventory[[#This Row],[bltin_gar]])*Lookups!$B$17</f>
        <v>0</v>
      </c>
      <c r="BP2105" s="6">
        <f>Grandview_Inventory[[#This Row],[Plumbing Fixtures]]*Lookups!$B$18</f>
        <v>10052.209000000001</v>
      </c>
      <c r="BQ2105" s="6">
        <f>Grandview_Inventory[[#This Row],[detatched_value]]*Lookups!$B$19</f>
        <v>5842.9551899999997</v>
      </c>
      <c r="BR2105" s="6">
        <f>SUM(Grandview_Inventory[[#This Row],[Intercept]:[det_value]])*Grandview_Inventory[[#This Row],[res_pct]]</f>
        <v>212661.66223400005</v>
      </c>
      <c r="BS2105" s="6">
        <f>Grandview_Inventory[[#This Row],[land_value]]</f>
        <v>53250.00235313351</v>
      </c>
      <c r="BT2105" s="4">
        <f>_xlfn.IFNA(VLOOKUP(Grandview_Inventory[[#This Row],[quality]],Lookups!$A$26:$C$33,3,FALSE),1)</f>
        <v>0.98079741117310582</v>
      </c>
      <c r="BU2105" s="4">
        <f>_xlfn.IFNA(VLOOKUP(Grandview_Inventory[[#This Row],[condition]],Lookups!$A$37:$C$44,3,FALSE),1)</f>
        <v>0.96469275950863709</v>
      </c>
      <c r="BV2105" s="4">
        <f>IF(Grandview_Inventory[[#This Row],[bldg_style]]="",1,_xlfn.IFNA(VLOOKUP(Grandview_Inventory[[#This Row],[decade]],Lookups!$F$29:$H$43,3,FALSE),1))</f>
        <v>0.98763256963907298</v>
      </c>
      <c r="BW2105" s="4">
        <f>_xlfn.IFNA(VLOOKUP(Grandview_Inventory[[#This Row],[living_area_range]],Lookups!$F$47:$H$56,3,FALSE),1)</f>
        <v>0.94306777142782894</v>
      </c>
      <c r="BX2105" s="4">
        <f>AVERAGE(Grandview_Inventory[[#This Row],[qual_adj]:[size_adj]])</f>
        <v>0.96904762793716115</v>
      </c>
      <c r="BY2105" s="6">
        <f>IF(Grandview_Inventory[[#This Row],[pre_res]]&lt;0,0,Grandview_Inventory[[#This Row],[pre_res]]*Grandview_Inventory[[#This Row],[overall_adj]])</f>
        <v>206079.27934103151</v>
      </c>
      <c r="BZ2105" s="6">
        <f>(Grandview_Inventory[[#This Row],[sum_land]]-IF(Grandview_Inventory[[#This Row],[no_utilities]]=1,12000,0))/IF(Grandview_Inventory[[#This Row],[unbuildable]]=1,2,1)</f>
        <v>53250.00235313351</v>
      </c>
      <c r="CA2105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105">
        <f>ROUND(Grandview_Inventory[[#This Row],[det_value]]*Lookups!$M$28,-2)</f>
        <v>5600</v>
      </c>
      <c r="CC2105">
        <f>IF(ROUND(Grandview_Inventory[[#This Row],[adj_res]]*Lookups!$M$28,-2)&lt;Grandview_Inventory[[#This Row],[min_res]],Grandview_Inventory[[#This Row],[min_res]],ROUND(Grandview_Inventory[[#This Row],[adj_res]]*Lookups!$M$28,-2))</f>
        <v>195800</v>
      </c>
      <c r="CD2105">
        <f>Grandview_Inventory[[#This Row],[final_det]]+Grandview_Inventory[[#This Row],[final_res]]</f>
        <v>201400</v>
      </c>
      <c r="CE2105">
        <f>Grandview_Inventory[[#This Row],[final_land]]+Grandview_Inventory[[#This Row],[final_imp]]+Grandview_Inventory[[#This Row],[crop_value]]</f>
        <v>252000</v>
      </c>
      <c r="CG2105" t="str">
        <f t="shared" si="32"/>
        <v>update valuation set market_land =50600, market_bldg=201400, market_total =252000, market_mdno =401, market_date ='9/10/2023' where link_id = (select link_id from parcel where parcel_year = '2024' and parcel_id = '23092423485');</v>
      </c>
    </row>
    <row r="2106" spans="1:85" x14ac:dyDescent="0.25">
      <c r="A2106">
        <v>23092423486</v>
      </c>
      <c r="B2106">
        <v>0.22</v>
      </c>
      <c r="C2106">
        <v>9667</v>
      </c>
      <c r="D2106" t="s">
        <v>129</v>
      </c>
      <c r="E2106" t="s">
        <v>53</v>
      </c>
      <c r="F2106" t="s">
        <v>53</v>
      </c>
      <c r="G2106">
        <v>4</v>
      </c>
      <c r="H2106" t="s">
        <v>54</v>
      </c>
      <c r="I2106">
        <v>84000</v>
      </c>
      <c r="J2106">
        <v>39500</v>
      </c>
      <c r="K2106">
        <v>0.22</v>
      </c>
      <c r="L2106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106">
        <v>0</v>
      </c>
      <c r="N2106">
        <v>0</v>
      </c>
      <c r="O2106">
        <v>0</v>
      </c>
      <c r="P2106">
        <v>13398.7528</v>
      </c>
      <c r="Q2106">
        <v>63903</v>
      </c>
      <c r="R2106">
        <f>(Grandview_Inventory[[#This Row],[ln_acres]]*Grandview_Inventory[[#This Row],[coeff]])+Grandview_Inventory[[#This Row],[const]]</f>
        <v>43615.576802869145</v>
      </c>
      <c r="S2106" t="s">
        <v>68</v>
      </c>
      <c r="T2106">
        <v>1</v>
      </c>
      <c r="U2106" t="s">
        <v>70</v>
      </c>
      <c r="V2106" t="s">
        <v>78</v>
      </c>
      <c r="W2106">
        <v>0</v>
      </c>
      <c r="X2106">
        <v>0</v>
      </c>
      <c r="Y2106">
        <v>50</v>
      </c>
      <c r="Z2106">
        <v>73</v>
      </c>
      <c r="AA2106">
        <v>80</v>
      </c>
      <c r="AB2106">
        <v>1000</v>
      </c>
      <c r="AC2106">
        <v>780</v>
      </c>
      <c r="AD2106">
        <v>780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320</v>
      </c>
      <c r="AN2106">
        <v>0</v>
      </c>
      <c r="AO2106">
        <v>320</v>
      </c>
      <c r="AP2106">
        <v>5</v>
      </c>
      <c r="AQ2106">
        <v>0</v>
      </c>
      <c r="AR2106">
        <v>0</v>
      </c>
      <c r="AS2106" t="s">
        <v>58</v>
      </c>
      <c r="AT2106">
        <v>1</v>
      </c>
      <c r="AU2106" t="s">
        <v>63</v>
      </c>
      <c r="AV2106" t="s">
        <v>81</v>
      </c>
      <c r="AW2106">
        <v>0</v>
      </c>
      <c r="AX2106">
        <v>2</v>
      </c>
      <c r="AY2106">
        <v>0</v>
      </c>
      <c r="AZ2106">
        <v>6800</v>
      </c>
      <c r="BA2106">
        <v>100</v>
      </c>
      <c r="BB2106">
        <v>100</v>
      </c>
      <c r="BC2106">
        <v>100</v>
      </c>
      <c r="BD2106">
        <v>100</v>
      </c>
      <c r="BE2106">
        <v>1</v>
      </c>
      <c r="BF2106">
        <v>15000</v>
      </c>
      <c r="BG2106">
        <v>1000</v>
      </c>
      <c r="BH2106" s="6">
        <f>Grandview_Inventory[[#This Row],[land_extract]]*Lookups!$B$3</f>
        <v>50650.651579114572</v>
      </c>
      <c r="BI2106" s="6">
        <f>IF(Grandview_Inventory[[#This Row],[bldg_style]]="",0,Lookups!$B$2)</f>
        <v>155833.95000000001</v>
      </c>
      <c r="BJ2106" s="6">
        <f>_xlfn.IFNA(VLOOKUP(Grandview_Inventory[[#This Row],[quality]],Lookups!$H$2:$J$14,3,FALSE),0)</f>
        <v>10733</v>
      </c>
      <c r="BK2106" s="6">
        <f>_xlfn.IFNA(VLOOKUP(Grandview_Inventory[[#This Row],[condition]],Lookups!$H$17:$J$24,3,FALSE),0)</f>
        <v>-45357</v>
      </c>
      <c r="BL2106" s="6">
        <f>Grandview_Inventory[[#This Row],[Eff_Age]]*Lookups!$B$14</f>
        <v>-11958.33</v>
      </c>
      <c r="BM2106" s="6">
        <f>Grandview_Inventory[[#This Row],[living_area]]*Lookups!$B$15</f>
        <v>48657.065340000001</v>
      </c>
      <c r="BN2106" s="6">
        <f>Grandview_Inventory[[#This Row],[Fin BSMT]]*Lookups!$B$16</f>
        <v>0</v>
      </c>
      <c r="BO2106" s="6">
        <f>(Grandview_Inventory[[#This Row],[att_gar]]+Grandview_Inventory[[#This Row],[bltin_gar]])*Lookups!$B$17</f>
        <v>0</v>
      </c>
      <c r="BP2106" s="6">
        <f>Grandview_Inventory[[#This Row],[Plumbing Fixtures]]*Lookups!$B$18</f>
        <v>10052.209000000001</v>
      </c>
      <c r="BQ2106" s="6">
        <f>Grandview_Inventory[[#This Row],[detatched_value]]*Lookups!$B$19</f>
        <v>5758.2746799999995</v>
      </c>
      <c r="BR2106" s="6">
        <f>SUM(Grandview_Inventory[[#This Row],[Intercept]:[det_value]])*Grandview_Inventory[[#This Row],[res_pct]]</f>
        <v>173719.16902000003</v>
      </c>
      <c r="BS2106" s="6">
        <f>Grandview_Inventory[[#This Row],[land_value]]</f>
        <v>50650.651579114572</v>
      </c>
      <c r="BT2106" s="4">
        <f>_xlfn.IFNA(VLOOKUP(Grandview_Inventory[[#This Row],[quality]],Lookups!$A$26:$C$33,3,FALSE),1)</f>
        <v>0.98079741117310582</v>
      </c>
      <c r="BU2106" s="4">
        <f>_xlfn.IFNA(VLOOKUP(Grandview_Inventory[[#This Row],[condition]],Lookups!$A$37:$C$44,3,FALSE),1)</f>
        <v>0.97161819570155394</v>
      </c>
      <c r="BV2106" s="4">
        <f>IF(Grandview_Inventory[[#This Row],[bldg_style]]="",1,_xlfn.IFNA(VLOOKUP(Grandview_Inventory[[#This Row],[decade]],Lookups!$F$29:$H$43,3,FALSE),1))</f>
        <v>0.98763256963907298</v>
      </c>
      <c r="BW2106" s="4">
        <f>_xlfn.IFNA(VLOOKUP(Grandview_Inventory[[#This Row],[living_area_range]],Lookups!$F$47:$H$56,3,FALSE),1)</f>
        <v>0.94306777142782894</v>
      </c>
      <c r="BX2106" s="4">
        <f>AVERAGE(Grandview_Inventory[[#This Row],[qual_adj]:[size_adj]])</f>
        <v>0.97077898698539034</v>
      </c>
      <c r="BY2106" s="6">
        <f>IF(Grandview_Inventory[[#This Row],[pre_res]]&lt;0,0,Grandview_Inventory[[#This Row],[pre_res]]*Grandview_Inventory[[#This Row],[overall_adj]])</f>
        <v>168642.91892117943</v>
      </c>
      <c r="BZ2106" s="6">
        <f>(Grandview_Inventory[[#This Row],[sum_land]]-IF(Grandview_Inventory[[#This Row],[no_utilities]]=1,12000,0))/IF(Grandview_Inventory[[#This Row],[unbuildable]]=1,2,1)</f>
        <v>50650.651579114572</v>
      </c>
      <c r="CA2106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106">
        <f>ROUND(Grandview_Inventory[[#This Row],[det_value]]*Lookups!$M$28,-2)</f>
        <v>5500</v>
      </c>
      <c r="CC2106">
        <f>IF(ROUND(Grandview_Inventory[[#This Row],[adj_res]]*Lookups!$M$28,-2)&lt;Grandview_Inventory[[#This Row],[min_res]],Grandview_Inventory[[#This Row],[min_res]],ROUND(Grandview_Inventory[[#This Row],[adj_res]]*Lookups!$M$28,-2))</f>
        <v>160200</v>
      </c>
      <c r="CD2106">
        <f>Grandview_Inventory[[#This Row],[final_det]]+Grandview_Inventory[[#This Row],[final_res]]</f>
        <v>165700</v>
      </c>
      <c r="CE2106">
        <f>Grandview_Inventory[[#This Row],[final_land]]+Grandview_Inventory[[#This Row],[final_imp]]+Grandview_Inventory[[#This Row],[crop_value]]</f>
        <v>213800</v>
      </c>
      <c r="CG2106" t="str">
        <f t="shared" si="32"/>
        <v>update valuation set market_land =48100, market_bldg=165700, market_total =213800, market_mdno =401, market_date ='9/10/2023' where link_id = (select link_id from parcel where parcel_year = '2024' and parcel_id = '23092423486');</v>
      </c>
    </row>
    <row r="2107" spans="1:85" x14ac:dyDescent="0.25">
      <c r="A2107">
        <v>23092423487</v>
      </c>
      <c r="B2107">
        <v>0.21</v>
      </c>
      <c r="C2107">
        <v>9309</v>
      </c>
      <c r="D2107" t="s">
        <v>129</v>
      </c>
      <c r="E2107" t="s">
        <v>53</v>
      </c>
      <c r="F2107" t="s">
        <v>53</v>
      </c>
      <c r="G2107">
        <v>4</v>
      </c>
      <c r="H2107" t="s">
        <v>54</v>
      </c>
      <c r="I2107">
        <v>115500</v>
      </c>
      <c r="J2107">
        <v>39500</v>
      </c>
      <c r="K2107">
        <v>0.21</v>
      </c>
      <c r="L210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107">
        <v>0</v>
      </c>
      <c r="N2107">
        <v>0</v>
      </c>
      <c r="O2107">
        <v>0</v>
      </c>
      <c r="P2107">
        <v>13398.7528</v>
      </c>
      <c r="Q2107">
        <v>63903</v>
      </c>
      <c r="R2107">
        <f>(Grandview_Inventory[[#This Row],[ln_acres]]*Grandview_Inventory[[#This Row],[coeff]])+Grandview_Inventory[[#This Row],[const]]</f>
        <v>42992.266613125081</v>
      </c>
      <c r="S2107" t="s">
        <v>68</v>
      </c>
      <c r="T2107">
        <v>1</v>
      </c>
      <c r="U2107" t="s">
        <v>70</v>
      </c>
      <c r="V2107" t="s">
        <v>69</v>
      </c>
      <c r="W2107">
        <v>0</v>
      </c>
      <c r="X2107">
        <v>0</v>
      </c>
      <c r="Y2107">
        <v>50</v>
      </c>
      <c r="Z2107">
        <v>73</v>
      </c>
      <c r="AA2107">
        <v>80</v>
      </c>
      <c r="AB2107">
        <v>1000</v>
      </c>
      <c r="AC2107">
        <v>720</v>
      </c>
      <c r="AD2107">
        <v>720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380</v>
      </c>
      <c r="AN2107">
        <v>20</v>
      </c>
      <c r="AO2107">
        <v>380</v>
      </c>
      <c r="AP2107">
        <v>5</v>
      </c>
      <c r="AQ2107">
        <v>0</v>
      </c>
      <c r="AR2107">
        <v>0</v>
      </c>
      <c r="AS2107" t="s">
        <v>58</v>
      </c>
      <c r="AT2107">
        <v>1</v>
      </c>
      <c r="AU2107" t="s">
        <v>75</v>
      </c>
      <c r="AV2107" t="s">
        <v>60</v>
      </c>
      <c r="AW2107">
        <v>0</v>
      </c>
      <c r="AX2107">
        <v>2</v>
      </c>
      <c r="AY2107">
        <v>0</v>
      </c>
      <c r="AZ2107">
        <v>6900</v>
      </c>
      <c r="BA2107">
        <v>100</v>
      </c>
      <c r="BB2107">
        <v>100</v>
      </c>
      <c r="BC2107">
        <v>100</v>
      </c>
      <c r="BD2107">
        <v>100</v>
      </c>
      <c r="BE2107">
        <v>1</v>
      </c>
      <c r="BF2107">
        <v>15000</v>
      </c>
      <c r="BG2107">
        <v>1000</v>
      </c>
      <c r="BH2107" s="6">
        <f>Grandview_Inventory[[#This Row],[land_extract]]*Lookups!$B$3</f>
        <v>49926.8031387023</v>
      </c>
      <c r="BI2107" s="6">
        <f>IF(Grandview_Inventory[[#This Row],[bldg_style]]="",0,Lookups!$B$2)</f>
        <v>155833.95000000001</v>
      </c>
      <c r="BJ2107" s="6">
        <f>_xlfn.IFNA(VLOOKUP(Grandview_Inventory[[#This Row],[quality]],Lookups!$H$2:$J$14,3,FALSE),0)</f>
        <v>10733</v>
      </c>
      <c r="BK2107" s="6">
        <f>_xlfn.IFNA(VLOOKUP(Grandview_Inventory[[#This Row],[condition]],Lookups!$H$17:$J$24,3,FALSE),0)</f>
        <v>-4503</v>
      </c>
      <c r="BL2107" s="6">
        <f>Grandview_Inventory[[#This Row],[Eff_Age]]*Lookups!$B$14</f>
        <v>-11958.33</v>
      </c>
      <c r="BM2107" s="6">
        <f>Grandview_Inventory[[#This Row],[living_area]]*Lookups!$B$15</f>
        <v>44914.214160000003</v>
      </c>
      <c r="BN2107" s="6">
        <f>Grandview_Inventory[[#This Row],[Fin BSMT]]*Lookups!$B$16</f>
        <v>0</v>
      </c>
      <c r="BO2107" s="6">
        <f>(Grandview_Inventory[[#This Row],[att_gar]]+Grandview_Inventory[[#This Row],[bltin_gar]])*Lookups!$B$17</f>
        <v>0</v>
      </c>
      <c r="BP2107" s="6">
        <f>Grandview_Inventory[[#This Row],[Plumbing Fixtures]]*Lookups!$B$18</f>
        <v>10052.209000000001</v>
      </c>
      <c r="BQ2107" s="6">
        <f>Grandview_Inventory[[#This Row],[detatched_value]]*Lookups!$B$19</f>
        <v>5842.9551899999997</v>
      </c>
      <c r="BR2107" s="6">
        <f>SUM(Grandview_Inventory[[#This Row],[Intercept]:[det_value]])*Grandview_Inventory[[#This Row],[res_pct]]</f>
        <v>210914.99835000004</v>
      </c>
      <c r="BS2107" s="6">
        <f>Grandview_Inventory[[#This Row],[land_value]]</f>
        <v>49926.8031387023</v>
      </c>
      <c r="BT2107" s="4">
        <f>_xlfn.IFNA(VLOOKUP(Grandview_Inventory[[#This Row],[quality]],Lookups!$A$26:$C$33,3,FALSE),1)</f>
        <v>0.98079741117310582</v>
      </c>
      <c r="BU2107" s="4">
        <f>_xlfn.IFNA(VLOOKUP(Grandview_Inventory[[#This Row],[condition]],Lookups!$A$37:$C$44,3,FALSE),1)</f>
        <v>0.96469275950863709</v>
      </c>
      <c r="BV2107" s="4">
        <f>IF(Grandview_Inventory[[#This Row],[bldg_style]]="",1,_xlfn.IFNA(VLOOKUP(Grandview_Inventory[[#This Row],[decade]],Lookups!$F$29:$H$43,3,FALSE),1))</f>
        <v>0.98763256963907298</v>
      </c>
      <c r="BW2107" s="4">
        <f>_xlfn.IFNA(VLOOKUP(Grandview_Inventory[[#This Row],[living_area_range]],Lookups!$F$47:$H$56,3,FALSE),1)</f>
        <v>0.94306777142782894</v>
      </c>
      <c r="BX2107" s="4">
        <f>AVERAGE(Grandview_Inventory[[#This Row],[qual_adj]:[size_adj]])</f>
        <v>0.96904762793716115</v>
      </c>
      <c r="BY2107" s="6">
        <f>IF(Grandview_Inventory[[#This Row],[pre_res]]&lt;0,0,Grandview_Inventory[[#This Row],[pre_res]]*Grandview_Inventory[[#This Row],[overall_adj]])</f>
        <v>204386.67884743778</v>
      </c>
      <c r="BZ2107" s="6">
        <f>(Grandview_Inventory[[#This Row],[sum_land]]-IF(Grandview_Inventory[[#This Row],[no_utilities]]=1,12000,0))/IF(Grandview_Inventory[[#This Row],[unbuildable]]=1,2,1)</f>
        <v>49926.8031387023</v>
      </c>
      <c r="CA210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107">
        <f>ROUND(Grandview_Inventory[[#This Row],[det_value]]*Lookups!$M$28,-2)</f>
        <v>5600</v>
      </c>
      <c r="CC2107">
        <f>IF(ROUND(Grandview_Inventory[[#This Row],[adj_res]]*Lookups!$M$28,-2)&lt;Grandview_Inventory[[#This Row],[min_res]],Grandview_Inventory[[#This Row],[min_res]],ROUND(Grandview_Inventory[[#This Row],[adj_res]]*Lookups!$M$28,-2))</f>
        <v>194200</v>
      </c>
      <c r="CD2107">
        <f>Grandview_Inventory[[#This Row],[final_det]]+Grandview_Inventory[[#This Row],[final_res]]</f>
        <v>199800</v>
      </c>
      <c r="CE2107">
        <f>Grandview_Inventory[[#This Row],[final_land]]+Grandview_Inventory[[#This Row],[final_imp]]+Grandview_Inventory[[#This Row],[crop_value]]</f>
        <v>247200</v>
      </c>
      <c r="CG2107" t="str">
        <f t="shared" si="32"/>
        <v>update valuation set market_land =47400, market_bldg=199800, market_total =247200, market_mdno =401, market_date ='9/10/2023' where link_id = (select link_id from parcel where parcel_year = '2024' and parcel_id = '23092423487');</v>
      </c>
    </row>
    <row r="2108" spans="1:85" x14ac:dyDescent="0.25">
      <c r="A2108">
        <v>23092423488</v>
      </c>
      <c r="B2108">
        <v>0.23</v>
      </c>
      <c r="C2108">
        <v>10087</v>
      </c>
      <c r="D2108" t="s">
        <v>129</v>
      </c>
      <c r="E2108" t="s">
        <v>53</v>
      </c>
      <c r="F2108" t="s">
        <v>53</v>
      </c>
      <c r="G2108">
        <v>4</v>
      </c>
      <c r="H2108" t="s">
        <v>54</v>
      </c>
      <c r="I2108">
        <v>111400</v>
      </c>
      <c r="J2108">
        <v>39700</v>
      </c>
      <c r="K2108">
        <v>0.23</v>
      </c>
      <c r="L210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08">
        <v>0</v>
      </c>
      <c r="N2108">
        <v>0</v>
      </c>
      <c r="O2108">
        <v>0</v>
      </c>
      <c r="P2108">
        <v>13398.7528</v>
      </c>
      <c r="Q2108">
        <v>63903</v>
      </c>
      <c r="R2108">
        <f>(Grandview_Inventory[[#This Row],[ln_acres]]*Grandview_Inventory[[#This Row],[coeff]])+Grandview_Inventory[[#This Row],[const]]</f>
        <v>44211.174981080039</v>
      </c>
      <c r="S2108" t="s">
        <v>68</v>
      </c>
      <c r="T2108">
        <v>1</v>
      </c>
      <c r="U2108" t="s">
        <v>70</v>
      </c>
      <c r="V2108" t="s">
        <v>78</v>
      </c>
      <c r="W2108">
        <v>0</v>
      </c>
      <c r="X2108">
        <v>0</v>
      </c>
      <c r="Y2108">
        <v>50</v>
      </c>
      <c r="Z2108">
        <v>73</v>
      </c>
      <c r="AA2108">
        <v>80</v>
      </c>
      <c r="AB2108">
        <v>1000</v>
      </c>
      <c r="AC2108">
        <v>936</v>
      </c>
      <c r="AD2108">
        <v>936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600</v>
      </c>
      <c r="AN2108">
        <v>0</v>
      </c>
      <c r="AO2108">
        <v>276</v>
      </c>
      <c r="AP2108">
        <v>5</v>
      </c>
      <c r="AQ2108">
        <v>0</v>
      </c>
      <c r="AR2108">
        <v>0</v>
      </c>
      <c r="AS2108" t="s">
        <v>58</v>
      </c>
      <c r="AT2108">
        <v>1</v>
      </c>
      <c r="AU2108" t="s">
        <v>59</v>
      </c>
      <c r="AV2108" t="s">
        <v>60</v>
      </c>
      <c r="AW2108">
        <v>1</v>
      </c>
      <c r="AX2108">
        <v>3</v>
      </c>
      <c r="AY2108">
        <v>0</v>
      </c>
      <c r="AZ2108">
        <v>6900</v>
      </c>
      <c r="BA2108">
        <v>100</v>
      </c>
      <c r="BB2108">
        <v>100</v>
      </c>
      <c r="BC2108">
        <v>100</v>
      </c>
      <c r="BD2108">
        <v>100</v>
      </c>
      <c r="BE2108">
        <v>1</v>
      </c>
      <c r="BF2108">
        <v>15000</v>
      </c>
      <c r="BG2108">
        <v>1000</v>
      </c>
      <c r="BH2108" s="6">
        <f>Grandview_Inventory[[#This Row],[land_extract]]*Lookups!$B$3</f>
        <v>51342.318135355803</v>
      </c>
      <c r="BI2108" s="6">
        <f>IF(Grandview_Inventory[[#This Row],[bldg_style]]="",0,Lookups!$B$2)</f>
        <v>155833.95000000001</v>
      </c>
      <c r="BJ2108" s="6">
        <f>_xlfn.IFNA(VLOOKUP(Grandview_Inventory[[#This Row],[quality]],Lookups!$H$2:$J$14,3,FALSE),0)</f>
        <v>10733</v>
      </c>
      <c r="BK2108" s="6">
        <f>_xlfn.IFNA(VLOOKUP(Grandview_Inventory[[#This Row],[condition]],Lookups!$H$17:$J$24,3,FALSE),0)</f>
        <v>-45357</v>
      </c>
      <c r="BL2108" s="6">
        <f>Grandview_Inventory[[#This Row],[Eff_Age]]*Lookups!$B$14</f>
        <v>-11958.33</v>
      </c>
      <c r="BM2108" s="6">
        <f>Grandview_Inventory[[#This Row],[living_area]]*Lookups!$B$15</f>
        <v>58388.478408000003</v>
      </c>
      <c r="BN2108" s="6">
        <f>Grandview_Inventory[[#This Row],[Fin BSMT]]*Lookups!$B$16</f>
        <v>0</v>
      </c>
      <c r="BO2108" s="6">
        <f>(Grandview_Inventory[[#This Row],[att_gar]]+Grandview_Inventory[[#This Row],[bltin_gar]])*Lookups!$B$17</f>
        <v>0</v>
      </c>
      <c r="BP2108" s="6">
        <f>Grandview_Inventory[[#This Row],[Plumbing Fixtures]]*Lookups!$B$18</f>
        <v>10052.209000000001</v>
      </c>
      <c r="BQ2108" s="6">
        <f>Grandview_Inventory[[#This Row],[detatched_value]]*Lookups!$B$19</f>
        <v>5842.9551899999997</v>
      </c>
      <c r="BR2108" s="6">
        <f>SUM(Grandview_Inventory[[#This Row],[Intercept]:[det_value]])*Grandview_Inventory[[#This Row],[res_pct]]</f>
        <v>183535.26259800003</v>
      </c>
      <c r="BS2108" s="6">
        <f>Grandview_Inventory[[#This Row],[land_value]]</f>
        <v>51342.318135355803</v>
      </c>
      <c r="BT2108" s="4">
        <f>_xlfn.IFNA(VLOOKUP(Grandview_Inventory[[#This Row],[quality]],Lookups!$A$26:$C$33,3,FALSE),1)</f>
        <v>0.98079741117310582</v>
      </c>
      <c r="BU2108" s="4">
        <f>_xlfn.IFNA(VLOOKUP(Grandview_Inventory[[#This Row],[condition]],Lookups!$A$37:$C$44,3,FALSE),1)</f>
        <v>0.97161819570155394</v>
      </c>
      <c r="BV2108" s="4">
        <f>IF(Grandview_Inventory[[#This Row],[bldg_style]]="",1,_xlfn.IFNA(VLOOKUP(Grandview_Inventory[[#This Row],[decade]],Lookups!$F$29:$H$43,3,FALSE),1))</f>
        <v>0.98763256963907298</v>
      </c>
      <c r="BW2108" s="4">
        <f>_xlfn.IFNA(VLOOKUP(Grandview_Inventory[[#This Row],[living_area_range]],Lookups!$F$47:$H$56,3,FALSE),1)</f>
        <v>0.94306777142782894</v>
      </c>
      <c r="BX2108" s="4">
        <f>AVERAGE(Grandview_Inventory[[#This Row],[qual_adj]:[size_adj]])</f>
        <v>0.97077898698539034</v>
      </c>
      <c r="BY2108" s="6">
        <f>IF(Grandview_Inventory[[#This Row],[pre_res]]&lt;0,0,Grandview_Inventory[[#This Row],[pre_res]]*Grandview_Inventory[[#This Row],[overall_adj]])</f>
        <v>178172.17630098408</v>
      </c>
      <c r="BZ2108" s="6">
        <f>(Grandview_Inventory[[#This Row],[sum_land]]-IF(Grandview_Inventory[[#This Row],[no_utilities]]=1,12000,0))/IF(Grandview_Inventory[[#This Row],[unbuildable]]=1,2,1)</f>
        <v>51342.318135355803</v>
      </c>
      <c r="CA210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08">
        <f>ROUND(Grandview_Inventory[[#This Row],[det_value]]*Lookups!$M$28,-2)</f>
        <v>5600</v>
      </c>
      <c r="CC2108">
        <f>IF(ROUND(Grandview_Inventory[[#This Row],[adj_res]]*Lookups!$M$28,-2)&lt;Grandview_Inventory[[#This Row],[min_res]],Grandview_Inventory[[#This Row],[min_res]],ROUND(Grandview_Inventory[[#This Row],[adj_res]]*Lookups!$M$28,-2))</f>
        <v>169300</v>
      </c>
      <c r="CD2108">
        <f>Grandview_Inventory[[#This Row],[final_det]]+Grandview_Inventory[[#This Row],[final_res]]</f>
        <v>174900</v>
      </c>
      <c r="CE2108">
        <f>Grandview_Inventory[[#This Row],[final_land]]+Grandview_Inventory[[#This Row],[final_imp]]+Grandview_Inventory[[#This Row],[crop_value]]</f>
        <v>223700</v>
      </c>
      <c r="CG2108" t="str">
        <f t="shared" si="32"/>
        <v>update valuation set market_land =48800, market_bldg=174900, market_total =223700, market_mdno =401, market_date ='9/10/2023' where link_id = (select link_id from parcel where parcel_year = '2024' and parcel_id = '23092423488');</v>
      </c>
    </row>
    <row r="2109" spans="1:85" x14ac:dyDescent="0.25">
      <c r="A2109">
        <v>23092423490</v>
      </c>
      <c r="B2109">
        <v>0.18</v>
      </c>
      <c r="C2109">
        <v>7798</v>
      </c>
      <c r="D2109" t="s">
        <v>129</v>
      </c>
      <c r="E2109" t="s">
        <v>53</v>
      </c>
      <c r="F2109" t="s">
        <v>53</v>
      </c>
      <c r="G2109">
        <v>4</v>
      </c>
      <c r="H2109" t="s">
        <v>54</v>
      </c>
      <c r="I2109">
        <v>139600</v>
      </c>
      <c r="J2109">
        <v>38800</v>
      </c>
      <c r="K2109">
        <v>0.18</v>
      </c>
      <c r="L210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109">
        <v>0</v>
      </c>
      <c r="N2109">
        <v>0</v>
      </c>
      <c r="O2109">
        <v>0</v>
      </c>
      <c r="P2109">
        <v>13398.7528</v>
      </c>
      <c r="Q2109">
        <v>63903</v>
      </c>
      <c r="R2109">
        <f>(Grandview_Inventory[[#This Row],[ln_acres]]*Grandview_Inventory[[#This Row],[coeff]])+Grandview_Inventory[[#This Row],[const]]</f>
        <v>40926.839760167699</v>
      </c>
      <c r="S2109" t="s">
        <v>68</v>
      </c>
      <c r="T2109">
        <v>1</v>
      </c>
      <c r="U2109" t="s">
        <v>70</v>
      </c>
      <c r="V2109" t="s">
        <v>69</v>
      </c>
      <c r="W2109">
        <v>0</v>
      </c>
      <c r="X2109">
        <v>0</v>
      </c>
      <c r="Y2109">
        <v>51</v>
      </c>
      <c r="Z2109">
        <v>83</v>
      </c>
      <c r="AA2109">
        <v>90</v>
      </c>
      <c r="AB2109">
        <v>2000</v>
      </c>
      <c r="AC2109">
        <v>1694</v>
      </c>
      <c r="AD2109">
        <v>1232</v>
      </c>
      <c r="AE2109">
        <v>0</v>
      </c>
      <c r="AF2109">
        <v>0</v>
      </c>
      <c r="AG2109">
        <v>462</v>
      </c>
      <c r="AH2109">
        <v>462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25</v>
      </c>
      <c r="AO2109">
        <v>0</v>
      </c>
      <c r="AP2109">
        <v>8</v>
      </c>
      <c r="AQ2109">
        <v>0</v>
      </c>
      <c r="AR2109">
        <v>0</v>
      </c>
      <c r="AS2109" t="s">
        <v>58</v>
      </c>
      <c r="AT2109">
        <v>1</v>
      </c>
      <c r="AU2109" t="s">
        <v>63</v>
      </c>
      <c r="AV2109" t="s">
        <v>64</v>
      </c>
      <c r="AW2109">
        <v>0</v>
      </c>
      <c r="AX2109">
        <v>3</v>
      </c>
      <c r="AY2109">
        <v>0</v>
      </c>
      <c r="AZ2109">
        <v>0</v>
      </c>
      <c r="BA2109">
        <v>100</v>
      </c>
      <c r="BB2109">
        <v>100</v>
      </c>
      <c r="BC2109">
        <v>100</v>
      </c>
      <c r="BD2109">
        <v>100</v>
      </c>
      <c r="BE2109">
        <v>1</v>
      </c>
      <c r="BF2109">
        <v>15000</v>
      </c>
      <c r="BG2109">
        <v>1000</v>
      </c>
      <c r="BH2109" s="6">
        <f>Grandview_Inventory[[#This Row],[land_extract]]*Lookups!$B$3</f>
        <v>47528.228511015397</v>
      </c>
      <c r="BI2109" s="6">
        <f>IF(Grandview_Inventory[[#This Row],[bldg_style]]="",0,Lookups!$B$2)</f>
        <v>155833.95000000001</v>
      </c>
      <c r="BJ2109" s="6">
        <f>_xlfn.IFNA(VLOOKUP(Grandview_Inventory[[#This Row],[quality]],Lookups!$H$2:$J$14,3,FALSE),0)</f>
        <v>10733</v>
      </c>
      <c r="BK2109" s="6">
        <f>_xlfn.IFNA(VLOOKUP(Grandview_Inventory[[#This Row],[condition]],Lookups!$H$17:$J$24,3,FALSE),0)</f>
        <v>-4503</v>
      </c>
      <c r="BL2109" s="6">
        <f>Grandview_Inventory[[#This Row],[Eff_Age]]*Lookups!$B$14</f>
        <v>-12197.496599999999</v>
      </c>
      <c r="BM2109" s="6">
        <f>Grandview_Inventory[[#This Row],[living_area]]*Lookups!$B$15</f>
        <v>105673.164982</v>
      </c>
      <c r="BN2109" s="6">
        <f>Grandview_Inventory[[#This Row],[Fin BSMT]]*Lookups!$B$16</f>
        <v>-12519.848880000001</v>
      </c>
      <c r="BO2109" s="6">
        <f>(Grandview_Inventory[[#This Row],[att_gar]]+Grandview_Inventory[[#This Row],[bltin_gar]])*Lookups!$B$17</f>
        <v>0</v>
      </c>
      <c r="BP2109" s="6">
        <f>Grandview_Inventory[[#This Row],[Plumbing Fixtures]]*Lookups!$B$18</f>
        <v>16083.5344</v>
      </c>
      <c r="BQ2109" s="6">
        <f>Grandview_Inventory[[#This Row],[detatched_value]]*Lookups!$B$19</f>
        <v>0</v>
      </c>
      <c r="BR2109" s="6">
        <f>SUM(Grandview_Inventory[[#This Row],[Intercept]:[det_value]])*Grandview_Inventory[[#This Row],[res_pct]]</f>
        <v>259103.30390200001</v>
      </c>
      <c r="BS2109" s="6">
        <f>Grandview_Inventory[[#This Row],[land_value]]</f>
        <v>47528.228511015397</v>
      </c>
      <c r="BT2109" s="4">
        <f>_xlfn.IFNA(VLOOKUP(Grandview_Inventory[[#This Row],[quality]],Lookups!$A$26:$C$33,3,FALSE),1)</f>
        <v>0.98079741117310582</v>
      </c>
      <c r="BU2109" s="4">
        <f>_xlfn.IFNA(VLOOKUP(Grandview_Inventory[[#This Row],[condition]],Lookups!$A$37:$C$44,3,FALSE),1)</f>
        <v>0.96469275950863709</v>
      </c>
      <c r="BV2109" s="4">
        <f>IF(Grandview_Inventory[[#This Row],[bldg_style]]="",1,_xlfn.IFNA(VLOOKUP(Grandview_Inventory[[#This Row],[decade]],Lookups!$F$29:$H$43,3,FALSE),1))</f>
        <v>0.94161750052457416</v>
      </c>
      <c r="BW2109" s="4">
        <f>_xlfn.IFNA(VLOOKUP(Grandview_Inventory[[#This Row],[living_area_range]],Lookups!$F$47:$H$56,3,FALSE),1)</f>
        <v>0.96120133463014379</v>
      </c>
      <c r="BX2109" s="4">
        <f>AVERAGE(Grandview_Inventory[[#This Row],[qual_adj]:[size_adj]])</f>
        <v>0.96207725145911516</v>
      </c>
      <c r="BY2109" s="6">
        <f>IF(Grandview_Inventory[[#This Row],[pre_res]]&lt;0,0,Grandview_Inventory[[#This Row],[pre_res]]*Grandview_Inventory[[#This Row],[overall_adj]])</f>
        <v>249277.39446201199</v>
      </c>
      <c r="BZ2109" s="6">
        <f>(Grandview_Inventory[[#This Row],[sum_land]]-IF(Grandview_Inventory[[#This Row],[no_utilities]]=1,12000,0))/IF(Grandview_Inventory[[#This Row],[unbuildable]]=1,2,1)</f>
        <v>47528.228511015397</v>
      </c>
      <c r="CA210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109">
        <f>ROUND(Grandview_Inventory[[#This Row],[det_value]]*Lookups!$M$28,-2)</f>
        <v>0</v>
      </c>
      <c r="CC2109">
        <f>IF(ROUND(Grandview_Inventory[[#This Row],[adj_res]]*Lookups!$M$28,-2)&lt;Grandview_Inventory[[#This Row],[min_res]],Grandview_Inventory[[#This Row],[min_res]],ROUND(Grandview_Inventory[[#This Row],[adj_res]]*Lookups!$M$28,-2))</f>
        <v>236800</v>
      </c>
      <c r="CD2109">
        <f>Grandview_Inventory[[#This Row],[final_det]]+Grandview_Inventory[[#This Row],[final_res]]</f>
        <v>236800</v>
      </c>
      <c r="CE2109">
        <f>Grandview_Inventory[[#This Row],[final_land]]+Grandview_Inventory[[#This Row],[final_imp]]+Grandview_Inventory[[#This Row],[crop_value]]</f>
        <v>282000</v>
      </c>
      <c r="CG2109" t="str">
        <f t="shared" si="32"/>
        <v>update valuation set market_land =45200, market_bldg=236800, market_total =282000, market_mdno =401, market_date ='9/10/2023' where link_id = (select link_id from parcel where parcel_year = '2024' and parcel_id = '23092423490');</v>
      </c>
    </row>
    <row r="2110" spans="1:85" x14ac:dyDescent="0.25">
      <c r="A2110">
        <v>23092423491</v>
      </c>
      <c r="B2110">
        <v>0.17</v>
      </c>
      <c r="C2110" t="s">
        <v>129</v>
      </c>
      <c r="D2110" t="s">
        <v>129</v>
      </c>
      <c r="E2110" t="s">
        <v>53</v>
      </c>
      <c r="F2110" t="s">
        <v>53</v>
      </c>
      <c r="G2110">
        <v>4</v>
      </c>
      <c r="H2110" t="s">
        <v>54</v>
      </c>
      <c r="I2110">
        <v>240900</v>
      </c>
      <c r="J2110">
        <v>38800</v>
      </c>
      <c r="K2110">
        <v>0.17</v>
      </c>
      <c r="L211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10">
        <v>0</v>
      </c>
      <c r="N2110">
        <v>0</v>
      </c>
      <c r="O2110">
        <v>0</v>
      </c>
      <c r="P2110">
        <v>13398.7528</v>
      </c>
      <c r="Q2110">
        <v>63903</v>
      </c>
      <c r="R2110">
        <f>(Grandview_Inventory[[#This Row],[ln_acres]]*Grandview_Inventory[[#This Row],[coeff]])+Grandview_Inventory[[#This Row],[const]]</f>
        <v>40160.988302686128</v>
      </c>
      <c r="S2110" t="s">
        <v>77</v>
      </c>
      <c r="T2110">
        <v>1</v>
      </c>
      <c r="U2110" t="s">
        <v>65</v>
      </c>
      <c r="V2110" t="s">
        <v>67</v>
      </c>
      <c r="W2110">
        <v>0</v>
      </c>
      <c r="X2110">
        <v>0</v>
      </c>
      <c r="Y2110">
        <v>51</v>
      </c>
      <c r="Z2110">
        <v>78</v>
      </c>
      <c r="AA2110">
        <v>80</v>
      </c>
      <c r="AB2110">
        <v>2500</v>
      </c>
      <c r="AC2110">
        <v>2292</v>
      </c>
      <c r="AD2110">
        <v>1146</v>
      </c>
      <c r="AE2110">
        <v>0</v>
      </c>
      <c r="AF2110">
        <v>0</v>
      </c>
      <c r="AG2110">
        <v>1146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336</v>
      </c>
      <c r="AN2110">
        <v>0</v>
      </c>
      <c r="AO2110">
        <v>970</v>
      </c>
      <c r="AP2110">
        <v>8</v>
      </c>
      <c r="AQ2110">
        <v>0</v>
      </c>
      <c r="AR2110">
        <v>0</v>
      </c>
      <c r="AS2110" t="s">
        <v>71</v>
      </c>
      <c r="AT2110">
        <v>1</v>
      </c>
      <c r="AU2110" t="s">
        <v>59</v>
      </c>
      <c r="AV2110" t="s">
        <v>60</v>
      </c>
      <c r="AW2110">
        <v>1</v>
      </c>
      <c r="AX2110">
        <v>3</v>
      </c>
      <c r="AY2110">
        <v>0</v>
      </c>
      <c r="AZ2110">
        <v>21700</v>
      </c>
      <c r="BA2110">
        <v>100</v>
      </c>
      <c r="BB2110">
        <v>100</v>
      </c>
      <c r="BC2110">
        <v>100</v>
      </c>
      <c r="BD2110">
        <v>100</v>
      </c>
      <c r="BE2110">
        <v>1</v>
      </c>
      <c r="BF2110">
        <v>15000</v>
      </c>
      <c r="BG2110">
        <v>1000</v>
      </c>
      <c r="BH2110" s="6">
        <f>Grandview_Inventory[[#This Row],[land_extract]]*Lookups!$B$3</f>
        <v>46638.847281240982</v>
      </c>
      <c r="BI2110" s="6">
        <f>IF(Grandview_Inventory[[#This Row],[bldg_style]]="",0,Lookups!$B$2)</f>
        <v>155833.95000000001</v>
      </c>
      <c r="BJ2110" s="6">
        <f>_xlfn.IFNA(VLOOKUP(Grandview_Inventory[[#This Row],[quality]],Lookups!$H$2:$J$14,3,FALSE),0)</f>
        <v>2251</v>
      </c>
      <c r="BK2110" s="6">
        <f>_xlfn.IFNA(VLOOKUP(Grandview_Inventory[[#This Row],[condition]],Lookups!$H$17:$J$24,3,FALSE),0)</f>
        <v>22342</v>
      </c>
      <c r="BL2110" s="6">
        <f>Grandview_Inventory[[#This Row],[Eff_Age]]*Lookups!$B$14</f>
        <v>-12197.496599999999</v>
      </c>
      <c r="BM2110" s="6">
        <f>Grandview_Inventory[[#This Row],[living_area]]*Lookups!$B$15</f>
        <v>142976.915076</v>
      </c>
      <c r="BN2110" s="6">
        <f>Grandview_Inventory[[#This Row],[Fin BSMT]]*Lookups!$B$16</f>
        <v>-31055.729040000002</v>
      </c>
      <c r="BO2110" s="6">
        <f>(Grandview_Inventory[[#This Row],[att_gar]]+Grandview_Inventory[[#This Row],[bltin_gar]])*Lookups!$B$17</f>
        <v>0</v>
      </c>
      <c r="BP2110" s="6">
        <f>Grandview_Inventory[[#This Row],[Plumbing Fixtures]]*Lookups!$B$18</f>
        <v>16083.5344</v>
      </c>
      <c r="BQ2110" s="6">
        <f>Grandview_Inventory[[#This Row],[detatched_value]]*Lookups!$B$19</f>
        <v>18375.67067</v>
      </c>
      <c r="BR2110" s="6">
        <f>SUM(Grandview_Inventory[[#This Row],[Intercept]:[det_value]])*Grandview_Inventory[[#This Row],[res_pct]]</f>
        <v>314609.84450600005</v>
      </c>
      <c r="BS2110" s="6">
        <f>Grandview_Inventory[[#This Row],[land_value]]</f>
        <v>46638.847281240982</v>
      </c>
      <c r="BT2110" s="4">
        <f>_xlfn.IFNA(VLOOKUP(Grandview_Inventory[[#This Row],[quality]],Lookups!$A$26:$C$33,3,FALSE),1)</f>
        <v>0.98763855981004833</v>
      </c>
      <c r="BU2110" s="4">
        <f>_xlfn.IFNA(VLOOKUP(Grandview_Inventory[[#This Row],[condition]],Lookups!$A$37:$C$44,3,FALSE),1)</f>
        <v>0.97383723671140243</v>
      </c>
      <c r="BV2110" s="4">
        <f>IF(Grandview_Inventory[[#This Row],[bldg_style]]="",1,_xlfn.IFNA(VLOOKUP(Grandview_Inventory[[#This Row],[decade]],Lookups!$F$29:$H$43,3,FALSE),1))</f>
        <v>0.98763256963907298</v>
      </c>
      <c r="BW2110" s="4">
        <f>_xlfn.IFNA(VLOOKUP(Grandview_Inventory[[#This Row],[living_area_range]],Lookups!$F$47:$H$56,3,FALSE),1)</f>
        <v>0.95799442568048754</v>
      </c>
      <c r="BX2110" s="4">
        <f>AVERAGE(Grandview_Inventory[[#This Row],[qual_adj]:[size_adj]])</f>
        <v>0.97677569796025276</v>
      </c>
      <c r="BY2110" s="6">
        <f>IF(Grandview_Inventory[[#This Row],[pre_res]]&lt;0,0,Grandview_Inventory[[#This Row],[pre_res]]*Grandview_Inventory[[#This Row],[overall_adj]])</f>
        <v>307303.2504525148</v>
      </c>
      <c r="BZ2110" s="6">
        <f>(Grandview_Inventory[[#This Row],[sum_land]]-IF(Grandview_Inventory[[#This Row],[no_utilities]]=1,12000,0))/IF(Grandview_Inventory[[#This Row],[unbuildable]]=1,2,1)</f>
        <v>46638.847281240982</v>
      </c>
      <c r="CA211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10">
        <f>ROUND(Grandview_Inventory[[#This Row],[det_value]]*Lookups!$M$28,-2)</f>
        <v>17500</v>
      </c>
      <c r="CC2110">
        <f>IF(ROUND(Grandview_Inventory[[#This Row],[adj_res]]*Lookups!$M$28,-2)&lt;Grandview_Inventory[[#This Row],[min_res]],Grandview_Inventory[[#This Row],[min_res]],ROUND(Grandview_Inventory[[#This Row],[adj_res]]*Lookups!$M$28,-2))</f>
        <v>291900</v>
      </c>
      <c r="CD2110">
        <f>Grandview_Inventory[[#This Row],[final_det]]+Grandview_Inventory[[#This Row],[final_res]]</f>
        <v>309400</v>
      </c>
      <c r="CE2110">
        <f>Grandview_Inventory[[#This Row],[final_land]]+Grandview_Inventory[[#This Row],[final_imp]]+Grandview_Inventory[[#This Row],[crop_value]]</f>
        <v>353700</v>
      </c>
      <c r="CG2110" t="str">
        <f t="shared" si="32"/>
        <v>update valuation set market_land =44300, market_bldg=309400, market_total =353700, market_mdno =401, market_date ='9/10/2023' where link_id = (select link_id from parcel where parcel_year = '2024' and parcel_id = '23092423491');</v>
      </c>
    </row>
    <row r="2111" spans="1:85" x14ac:dyDescent="0.25">
      <c r="A2111">
        <v>23092423492</v>
      </c>
      <c r="B2111">
        <v>0.16</v>
      </c>
      <c r="C2111">
        <v>6960</v>
      </c>
      <c r="D2111" t="s">
        <v>129</v>
      </c>
      <c r="E2111" t="s">
        <v>53</v>
      </c>
      <c r="F2111" t="s">
        <v>53</v>
      </c>
      <c r="G2111">
        <v>4</v>
      </c>
      <c r="H2111" t="s">
        <v>54</v>
      </c>
      <c r="I2111">
        <v>122500</v>
      </c>
      <c r="J2111">
        <v>42800</v>
      </c>
      <c r="K2111">
        <v>0.16</v>
      </c>
      <c r="L211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11">
        <v>0</v>
      </c>
      <c r="N2111">
        <v>0</v>
      </c>
      <c r="O2111">
        <v>0</v>
      </c>
      <c r="P2111">
        <v>13398.7528</v>
      </c>
      <c r="Q2111">
        <v>63903</v>
      </c>
      <c r="R2111">
        <f>(Grandview_Inventory[[#This Row],[ln_acres]]*Grandview_Inventory[[#This Row],[coeff]])+Grandview_Inventory[[#This Row],[const]]</f>
        <v>39348.693981374228</v>
      </c>
      <c r="S2111" t="s">
        <v>68</v>
      </c>
      <c r="T2111">
        <v>1</v>
      </c>
      <c r="U2111" t="s">
        <v>70</v>
      </c>
      <c r="V2111" t="s">
        <v>69</v>
      </c>
      <c r="W2111">
        <v>0</v>
      </c>
      <c r="X2111">
        <v>0</v>
      </c>
      <c r="Y2111">
        <v>51</v>
      </c>
      <c r="Z2111">
        <v>78</v>
      </c>
      <c r="AA2111">
        <v>80</v>
      </c>
      <c r="AB2111">
        <v>1000</v>
      </c>
      <c r="AC2111">
        <v>994</v>
      </c>
      <c r="AD2111">
        <v>994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224</v>
      </c>
      <c r="AN2111">
        <v>16</v>
      </c>
      <c r="AO2111">
        <v>224</v>
      </c>
      <c r="AP2111">
        <v>5</v>
      </c>
      <c r="AQ2111">
        <v>0</v>
      </c>
      <c r="AR2111">
        <v>1</v>
      </c>
      <c r="AS2111" t="s">
        <v>58</v>
      </c>
      <c r="AT2111">
        <v>1</v>
      </c>
      <c r="AU2111" t="s">
        <v>63</v>
      </c>
      <c r="AV2111" t="s">
        <v>81</v>
      </c>
      <c r="AW2111">
        <v>0</v>
      </c>
      <c r="AX2111">
        <v>2</v>
      </c>
      <c r="AY2111">
        <v>0</v>
      </c>
      <c r="AZ2111">
        <v>0</v>
      </c>
      <c r="BA2111">
        <v>100</v>
      </c>
      <c r="BB2111">
        <v>100</v>
      </c>
      <c r="BC2111">
        <v>100</v>
      </c>
      <c r="BD2111">
        <v>100</v>
      </c>
      <c r="BE2111">
        <v>1</v>
      </c>
      <c r="BF2111">
        <v>15000</v>
      </c>
      <c r="BG2111">
        <v>1000</v>
      </c>
      <c r="BH2111" s="6">
        <f>Grandview_Inventory[[#This Row],[land_extract]]*Lookups!$B$3</f>
        <v>45695.532079096141</v>
      </c>
      <c r="BI2111" s="6">
        <f>IF(Grandview_Inventory[[#This Row],[bldg_style]]="",0,Lookups!$B$2)</f>
        <v>155833.95000000001</v>
      </c>
      <c r="BJ2111" s="6">
        <f>_xlfn.IFNA(VLOOKUP(Grandview_Inventory[[#This Row],[quality]],Lookups!$H$2:$J$14,3,FALSE),0)</f>
        <v>10733</v>
      </c>
      <c r="BK2111" s="6">
        <f>_xlfn.IFNA(VLOOKUP(Grandview_Inventory[[#This Row],[condition]],Lookups!$H$17:$J$24,3,FALSE),0)</f>
        <v>-4503</v>
      </c>
      <c r="BL2111" s="6">
        <f>Grandview_Inventory[[#This Row],[Eff_Age]]*Lookups!$B$14</f>
        <v>-12197.496599999999</v>
      </c>
      <c r="BM2111" s="6">
        <f>Grandview_Inventory[[#This Row],[living_area]]*Lookups!$B$15</f>
        <v>62006.567882000003</v>
      </c>
      <c r="BN2111" s="6">
        <f>Grandview_Inventory[[#This Row],[Fin BSMT]]*Lookups!$B$16</f>
        <v>0</v>
      </c>
      <c r="BO2111" s="6">
        <f>(Grandview_Inventory[[#This Row],[att_gar]]+Grandview_Inventory[[#This Row],[bltin_gar]])*Lookups!$B$17</f>
        <v>0</v>
      </c>
      <c r="BP2111" s="6">
        <f>Grandview_Inventory[[#This Row],[Plumbing Fixtures]]*Lookups!$B$18</f>
        <v>10052.209000000001</v>
      </c>
      <c r="BQ2111" s="6">
        <f>Grandview_Inventory[[#This Row],[detatched_value]]*Lookups!$B$19</f>
        <v>0</v>
      </c>
      <c r="BR2111" s="6">
        <f>SUM(Grandview_Inventory[[#This Row],[Intercept]:[det_value]])*Grandview_Inventory[[#This Row],[res_pct]]</f>
        <v>221925.230282</v>
      </c>
      <c r="BS2111" s="6">
        <f>Grandview_Inventory[[#This Row],[land_value]]</f>
        <v>45695.532079096141</v>
      </c>
      <c r="BT2111" s="4">
        <f>_xlfn.IFNA(VLOOKUP(Grandview_Inventory[[#This Row],[quality]],Lookups!$A$26:$C$33,3,FALSE),1)</f>
        <v>0.98079741117310582</v>
      </c>
      <c r="BU2111" s="4">
        <f>_xlfn.IFNA(VLOOKUP(Grandview_Inventory[[#This Row],[condition]],Lookups!$A$37:$C$44,3,FALSE),1)</f>
        <v>0.96469275950863709</v>
      </c>
      <c r="BV2111" s="4">
        <f>IF(Grandview_Inventory[[#This Row],[bldg_style]]="",1,_xlfn.IFNA(VLOOKUP(Grandview_Inventory[[#This Row],[decade]],Lookups!$F$29:$H$43,3,FALSE),1))</f>
        <v>0.98763256963907298</v>
      </c>
      <c r="BW2111" s="4">
        <f>_xlfn.IFNA(VLOOKUP(Grandview_Inventory[[#This Row],[living_area_range]],Lookups!$F$47:$H$56,3,FALSE),1)</f>
        <v>0.94306777142782894</v>
      </c>
      <c r="BX2111" s="4">
        <f>AVERAGE(Grandview_Inventory[[#This Row],[qual_adj]:[size_adj]])</f>
        <v>0.96904762793716115</v>
      </c>
      <c r="BY2111" s="6">
        <f>IF(Grandview_Inventory[[#This Row],[pre_res]]&lt;0,0,Grandview_Inventory[[#This Row],[pre_res]]*Grandview_Inventory[[#This Row],[overall_adj]])</f>
        <v>215056.11798418034</v>
      </c>
      <c r="BZ2111" s="6">
        <f>(Grandview_Inventory[[#This Row],[sum_land]]-IF(Grandview_Inventory[[#This Row],[no_utilities]]=1,12000,0))/IF(Grandview_Inventory[[#This Row],[unbuildable]]=1,2,1)</f>
        <v>45695.532079096141</v>
      </c>
      <c r="CA211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11">
        <f>ROUND(Grandview_Inventory[[#This Row],[det_value]]*Lookups!$M$28,-2)</f>
        <v>0</v>
      </c>
      <c r="CC2111">
        <f>IF(ROUND(Grandview_Inventory[[#This Row],[adj_res]]*Lookups!$M$28,-2)&lt;Grandview_Inventory[[#This Row],[min_res]],Grandview_Inventory[[#This Row],[min_res]],ROUND(Grandview_Inventory[[#This Row],[adj_res]]*Lookups!$M$28,-2))</f>
        <v>204300</v>
      </c>
      <c r="CD2111">
        <f>Grandview_Inventory[[#This Row],[final_det]]+Grandview_Inventory[[#This Row],[final_res]]</f>
        <v>204300</v>
      </c>
      <c r="CE2111">
        <f>Grandview_Inventory[[#This Row],[final_land]]+Grandview_Inventory[[#This Row],[final_imp]]+Grandview_Inventory[[#This Row],[crop_value]]</f>
        <v>247700</v>
      </c>
      <c r="CG2111" t="str">
        <f t="shared" si="32"/>
        <v>update valuation set market_land =43400, market_bldg=204300, market_total =247700, market_mdno =401, market_date ='9/10/2023' where link_id = (select link_id from parcel where parcel_year = '2024' and parcel_id = '23092423492');</v>
      </c>
    </row>
    <row r="2112" spans="1:85" x14ac:dyDescent="0.25">
      <c r="A2112">
        <v>23092423493</v>
      </c>
      <c r="B2112">
        <v>0.21</v>
      </c>
      <c r="C2112">
        <v>9106</v>
      </c>
      <c r="D2112" t="s">
        <v>129</v>
      </c>
      <c r="E2112" t="s">
        <v>53</v>
      </c>
      <c r="F2112" t="s">
        <v>53</v>
      </c>
      <c r="G2112">
        <v>4</v>
      </c>
      <c r="H2112" t="s">
        <v>54</v>
      </c>
      <c r="I2112">
        <v>162000</v>
      </c>
      <c r="J2112">
        <v>39300</v>
      </c>
      <c r="K2112">
        <v>0.21</v>
      </c>
      <c r="L211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112">
        <v>0</v>
      </c>
      <c r="N2112">
        <v>0</v>
      </c>
      <c r="O2112">
        <v>0</v>
      </c>
      <c r="P2112">
        <v>13398.7528</v>
      </c>
      <c r="Q2112">
        <v>63903</v>
      </c>
      <c r="R2112">
        <f>(Grandview_Inventory[[#This Row],[ln_acres]]*Grandview_Inventory[[#This Row],[coeff]])+Grandview_Inventory[[#This Row],[const]]</f>
        <v>42992.266613125081</v>
      </c>
      <c r="S2112" t="s">
        <v>61</v>
      </c>
      <c r="T2112">
        <v>1</v>
      </c>
      <c r="U2112" t="s">
        <v>80</v>
      </c>
      <c r="V2112" t="s">
        <v>69</v>
      </c>
      <c r="W2112">
        <v>0</v>
      </c>
      <c r="X2112">
        <v>0</v>
      </c>
      <c r="Y2112">
        <v>50</v>
      </c>
      <c r="Z2112">
        <v>73</v>
      </c>
      <c r="AA2112">
        <v>80</v>
      </c>
      <c r="AB2112">
        <v>1500</v>
      </c>
      <c r="AC2112">
        <v>1398</v>
      </c>
      <c r="AD2112">
        <v>1398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465</v>
      </c>
      <c r="AL2112">
        <v>0</v>
      </c>
      <c r="AM2112">
        <v>0</v>
      </c>
      <c r="AN2112">
        <v>28</v>
      </c>
      <c r="AO2112">
        <v>0</v>
      </c>
      <c r="AP2112">
        <v>5</v>
      </c>
      <c r="AQ2112">
        <v>0</v>
      </c>
      <c r="AR2112">
        <v>1</v>
      </c>
      <c r="AS2112" t="s">
        <v>71</v>
      </c>
      <c r="AT2112">
        <v>1</v>
      </c>
      <c r="AU2112" t="s">
        <v>63</v>
      </c>
      <c r="AV2112" t="s">
        <v>64</v>
      </c>
      <c r="AW2112">
        <v>0</v>
      </c>
      <c r="AX2112">
        <v>3</v>
      </c>
      <c r="AY2112">
        <v>0</v>
      </c>
      <c r="AZ2112">
        <v>10800</v>
      </c>
      <c r="BA2112">
        <v>100</v>
      </c>
      <c r="BB2112">
        <v>100</v>
      </c>
      <c r="BC2112">
        <v>100</v>
      </c>
      <c r="BD2112">
        <v>100</v>
      </c>
      <c r="BE2112">
        <v>1</v>
      </c>
      <c r="BF2112">
        <v>15000</v>
      </c>
      <c r="BG2112">
        <v>1000</v>
      </c>
      <c r="BH2112" s="6">
        <f>Grandview_Inventory[[#This Row],[land_extract]]*Lookups!$B$3</f>
        <v>49926.8031387023</v>
      </c>
      <c r="BI2112" s="6">
        <f>IF(Grandview_Inventory[[#This Row],[bldg_style]]="",0,Lookups!$B$2)</f>
        <v>155833.95000000001</v>
      </c>
      <c r="BJ2112" s="6">
        <f>_xlfn.IFNA(VLOOKUP(Grandview_Inventory[[#This Row],[quality]],Lookups!$H$2:$J$14,3,FALSE),0)</f>
        <v>-28558</v>
      </c>
      <c r="BK2112" s="6">
        <f>_xlfn.IFNA(VLOOKUP(Grandview_Inventory[[#This Row],[condition]],Lookups!$H$17:$J$24,3,FALSE),0)</f>
        <v>-4503</v>
      </c>
      <c r="BL2112" s="6">
        <f>Grandview_Inventory[[#This Row],[Eff_Age]]*Lookups!$B$14</f>
        <v>-11958.33</v>
      </c>
      <c r="BM2112" s="6">
        <f>Grandview_Inventory[[#This Row],[living_area]]*Lookups!$B$15</f>
        <v>87208.432494000008</v>
      </c>
      <c r="BN2112" s="6">
        <f>Grandview_Inventory[[#This Row],[Fin BSMT]]*Lookups!$B$16</f>
        <v>0</v>
      </c>
      <c r="BO2112" s="6">
        <f>(Grandview_Inventory[[#This Row],[att_gar]]+Grandview_Inventory[[#This Row],[bltin_gar]])*Lookups!$B$17</f>
        <v>0</v>
      </c>
      <c r="BP2112" s="6">
        <f>Grandview_Inventory[[#This Row],[Plumbing Fixtures]]*Lookups!$B$18</f>
        <v>10052.209000000001</v>
      </c>
      <c r="BQ2112" s="6">
        <f>Grandview_Inventory[[#This Row],[detatched_value]]*Lookups!$B$19</f>
        <v>9145.4950800000006</v>
      </c>
      <c r="BR2112" s="6">
        <f>SUM(Grandview_Inventory[[#This Row],[Intercept]:[det_value]])*Grandview_Inventory[[#This Row],[res_pct]]</f>
        <v>217220.756574</v>
      </c>
      <c r="BS2112" s="6">
        <f>Grandview_Inventory[[#This Row],[land_value]]</f>
        <v>49926.8031387023</v>
      </c>
      <c r="BT2112" s="4">
        <f>_xlfn.IFNA(VLOOKUP(Grandview_Inventory[[#This Row],[quality]],Lookups!$A$26:$C$33,3,FALSE),1)</f>
        <v>0.9690360070159818</v>
      </c>
      <c r="BU2112" s="4">
        <f>_xlfn.IFNA(VLOOKUP(Grandview_Inventory[[#This Row],[condition]],Lookups!$A$37:$C$44,3,FALSE),1)</f>
        <v>0.96469275950863709</v>
      </c>
      <c r="BV2112" s="4">
        <f>IF(Grandview_Inventory[[#This Row],[bldg_style]]="",1,_xlfn.IFNA(VLOOKUP(Grandview_Inventory[[#This Row],[decade]],Lookups!$F$29:$H$43,3,FALSE),1))</f>
        <v>0.98763256963907298</v>
      </c>
      <c r="BW2112" s="4">
        <f>_xlfn.IFNA(VLOOKUP(Grandview_Inventory[[#This Row],[living_area_range]],Lookups!$F$47:$H$56,3,FALSE),1)</f>
        <v>0.96135087979789358</v>
      </c>
      <c r="BX2112" s="4">
        <f>AVERAGE(Grandview_Inventory[[#This Row],[qual_adj]:[size_adj]])</f>
        <v>0.97067805399039631</v>
      </c>
      <c r="BY2112" s="6">
        <f>IF(Grandview_Inventory[[#This Row],[pre_res]]&lt;0,0,Grandview_Inventory[[#This Row],[pre_res]]*Grandview_Inventory[[#This Row],[overall_adj]])</f>
        <v>210851.42127757191</v>
      </c>
      <c r="BZ2112" s="6">
        <f>(Grandview_Inventory[[#This Row],[sum_land]]-IF(Grandview_Inventory[[#This Row],[no_utilities]]=1,12000,0))/IF(Grandview_Inventory[[#This Row],[unbuildable]]=1,2,1)</f>
        <v>49926.8031387023</v>
      </c>
      <c r="CA211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112">
        <f>ROUND(Grandview_Inventory[[#This Row],[det_value]]*Lookups!$M$28,-2)</f>
        <v>8700</v>
      </c>
      <c r="CC2112">
        <f>IF(ROUND(Grandview_Inventory[[#This Row],[adj_res]]*Lookups!$M$28,-2)&lt;Grandview_Inventory[[#This Row],[min_res]],Grandview_Inventory[[#This Row],[min_res]],ROUND(Grandview_Inventory[[#This Row],[adj_res]]*Lookups!$M$28,-2))</f>
        <v>200300</v>
      </c>
      <c r="CD2112">
        <f>Grandview_Inventory[[#This Row],[final_det]]+Grandview_Inventory[[#This Row],[final_res]]</f>
        <v>209000</v>
      </c>
      <c r="CE2112">
        <f>Grandview_Inventory[[#This Row],[final_land]]+Grandview_Inventory[[#This Row],[final_imp]]+Grandview_Inventory[[#This Row],[crop_value]]</f>
        <v>256400</v>
      </c>
      <c r="CG2112" t="str">
        <f t="shared" si="32"/>
        <v>update valuation set market_land =47400, market_bldg=209000, market_total =256400, market_mdno =401, market_date ='9/10/2023' where link_id = (select link_id from parcel where parcel_year = '2024' and parcel_id = '23092423493');</v>
      </c>
    </row>
    <row r="2113" spans="1:85" x14ac:dyDescent="0.25">
      <c r="A2113">
        <v>23092423494</v>
      </c>
      <c r="B2113">
        <v>0.55000000000000004</v>
      </c>
      <c r="C2113">
        <v>23995</v>
      </c>
      <c r="D2113" t="s">
        <v>129</v>
      </c>
      <c r="E2113" t="s">
        <v>53</v>
      </c>
      <c r="F2113" t="s">
        <v>53</v>
      </c>
      <c r="G2113">
        <v>4</v>
      </c>
      <c r="H2113" t="s">
        <v>54</v>
      </c>
      <c r="I2113">
        <v>134300</v>
      </c>
      <c r="J2113">
        <v>42100</v>
      </c>
      <c r="K2113">
        <v>0.55000000000000004</v>
      </c>
      <c r="L2113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2113">
        <v>0</v>
      </c>
      <c r="N2113">
        <v>0</v>
      </c>
      <c r="O2113">
        <v>0</v>
      </c>
      <c r="P2113">
        <v>13398.7528</v>
      </c>
      <c r="Q2113">
        <v>63903</v>
      </c>
      <c r="R2113">
        <f>(Grandview_Inventory[[#This Row],[ln_acres]]*Grandview_Inventory[[#This Row],[coeff]])+Grandview_Inventory[[#This Row],[const]]</f>
        <v>55892.729812182028</v>
      </c>
      <c r="S2113" t="s">
        <v>68</v>
      </c>
      <c r="T2113">
        <v>1</v>
      </c>
      <c r="U2113" t="s">
        <v>65</v>
      </c>
      <c r="V2113" t="s">
        <v>69</v>
      </c>
      <c r="W2113">
        <v>0</v>
      </c>
      <c r="X2113">
        <v>0</v>
      </c>
      <c r="Y2113">
        <v>50</v>
      </c>
      <c r="Z2113">
        <v>73</v>
      </c>
      <c r="AA2113">
        <v>80</v>
      </c>
      <c r="AB2113">
        <v>2000</v>
      </c>
      <c r="AC2113">
        <v>1676</v>
      </c>
      <c r="AD2113">
        <v>1104</v>
      </c>
      <c r="AE2113">
        <v>0</v>
      </c>
      <c r="AF2113">
        <v>0</v>
      </c>
      <c r="AG2113">
        <v>572</v>
      </c>
      <c r="AH2113">
        <v>190</v>
      </c>
      <c r="AI2113">
        <v>0</v>
      </c>
      <c r="AJ2113">
        <v>0</v>
      </c>
      <c r="AK2113">
        <v>0</v>
      </c>
      <c r="AL2113">
        <v>98</v>
      </c>
      <c r="AM2113">
        <v>0</v>
      </c>
      <c r="AN2113">
        <v>28</v>
      </c>
      <c r="AO2113">
        <v>0</v>
      </c>
      <c r="AP2113">
        <v>5</v>
      </c>
      <c r="AQ2113">
        <v>1</v>
      </c>
      <c r="AR2113">
        <v>0</v>
      </c>
      <c r="AS2113" t="s">
        <v>58</v>
      </c>
      <c r="AT2113">
        <v>1</v>
      </c>
      <c r="AU2113" t="s">
        <v>63</v>
      </c>
      <c r="AV2113" t="s">
        <v>64</v>
      </c>
      <c r="AW2113">
        <v>0</v>
      </c>
      <c r="AX2113">
        <v>2</v>
      </c>
      <c r="AY2113">
        <v>0</v>
      </c>
      <c r="AZ2113">
        <v>2100</v>
      </c>
      <c r="BA2113">
        <v>100</v>
      </c>
      <c r="BB2113">
        <v>100</v>
      </c>
      <c r="BC2113">
        <v>100</v>
      </c>
      <c r="BD2113">
        <v>100</v>
      </c>
      <c r="BE2113">
        <v>1</v>
      </c>
      <c r="BF2113">
        <v>15000</v>
      </c>
      <c r="BG2113">
        <v>1000</v>
      </c>
      <c r="BH2113" s="6">
        <f>Grandview_Inventory[[#This Row],[land_extract]]*Lookups!$B$3</f>
        <v>64908.076220516494</v>
      </c>
      <c r="BI2113" s="6">
        <f>IF(Grandview_Inventory[[#This Row],[bldg_style]]="",0,Lookups!$B$2)</f>
        <v>155833.95000000001</v>
      </c>
      <c r="BJ2113" s="6">
        <f>_xlfn.IFNA(VLOOKUP(Grandview_Inventory[[#This Row],[quality]],Lookups!$H$2:$J$14,3,FALSE),0)</f>
        <v>2251</v>
      </c>
      <c r="BK2113" s="6">
        <f>_xlfn.IFNA(VLOOKUP(Grandview_Inventory[[#This Row],[condition]],Lookups!$H$17:$J$24,3,FALSE),0)</f>
        <v>-4503</v>
      </c>
      <c r="BL2113" s="6">
        <f>Grandview_Inventory[[#This Row],[Eff_Age]]*Lookups!$B$14</f>
        <v>-11958.33</v>
      </c>
      <c r="BM2113" s="6">
        <f>Grandview_Inventory[[#This Row],[living_area]]*Lookups!$B$15</f>
        <v>104550.309628</v>
      </c>
      <c r="BN2113" s="6">
        <f>Grandview_Inventory[[#This Row],[Fin BSMT]]*Lookups!$B$16</f>
        <v>-15500.765280000001</v>
      </c>
      <c r="BO2113" s="6">
        <f>(Grandview_Inventory[[#This Row],[att_gar]]+Grandview_Inventory[[#This Row],[bltin_gar]])*Lookups!$B$17</f>
        <v>0</v>
      </c>
      <c r="BP2113" s="6">
        <f>Grandview_Inventory[[#This Row],[Plumbing Fixtures]]*Lookups!$B$18</f>
        <v>10052.209000000001</v>
      </c>
      <c r="BQ2113" s="6">
        <f>Grandview_Inventory[[#This Row],[detatched_value]]*Lookups!$B$19</f>
        <v>1778.29071</v>
      </c>
      <c r="BR2113" s="6">
        <f>SUM(Grandview_Inventory[[#This Row],[Intercept]:[det_value]])*Grandview_Inventory[[#This Row],[res_pct]]</f>
        <v>242503.66405800002</v>
      </c>
      <c r="BS2113" s="6">
        <f>Grandview_Inventory[[#This Row],[land_value]]</f>
        <v>64908.076220516494</v>
      </c>
      <c r="BT2113" s="4">
        <f>_xlfn.IFNA(VLOOKUP(Grandview_Inventory[[#This Row],[quality]],Lookups!$A$26:$C$33,3,FALSE),1)</f>
        <v>0.98763855981004833</v>
      </c>
      <c r="BU2113" s="4">
        <f>_xlfn.IFNA(VLOOKUP(Grandview_Inventory[[#This Row],[condition]],Lookups!$A$37:$C$44,3,FALSE),1)</f>
        <v>0.96469275950863709</v>
      </c>
      <c r="BV2113" s="4">
        <f>IF(Grandview_Inventory[[#This Row],[bldg_style]]="",1,_xlfn.IFNA(VLOOKUP(Grandview_Inventory[[#This Row],[decade]],Lookups!$F$29:$H$43,3,FALSE),1))</f>
        <v>0.98763256963907298</v>
      </c>
      <c r="BW2113" s="4">
        <f>_xlfn.IFNA(VLOOKUP(Grandview_Inventory[[#This Row],[living_area_range]],Lookups!$F$47:$H$56,3,FALSE),1)</f>
        <v>0.96120133463014379</v>
      </c>
      <c r="BX2113" s="4">
        <f>AVERAGE(Grandview_Inventory[[#This Row],[qual_adj]:[size_adj]])</f>
        <v>0.97529130589697544</v>
      </c>
      <c r="BY2113" s="6">
        <f>IF(Grandview_Inventory[[#This Row],[pre_res]]&lt;0,0,Grandview_Inventory[[#This Row],[pre_res]]*Grandview_Inventory[[#This Row],[overall_adj]])</f>
        <v>236511.71520392827</v>
      </c>
      <c r="BZ2113" s="6">
        <f>(Grandview_Inventory[[#This Row],[sum_land]]-IF(Grandview_Inventory[[#This Row],[no_utilities]]=1,12000,0))/IF(Grandview_Inventory[[#This Row],[unbuildable]]=1,2,1)</f>
        <v>64908.076220516494</v>
      </c>
      <c r="CA2113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2113">
        <f>ROUND(Grandview_Inventory[[#This Row],[det_value]]*Lookups!$M$28,-2)</f>
        <v>1700</v>
      </c>
      <c r="CC2113">
        <f>IF(ROUND(Grandview_Inventory[[#This Row],[adj_res]]*Lookups!$M$28,-2)&lt;Grandview_Inventory[[#This Row],[min_res]],Grandview_Inventory[[#This Row],[min_res]],ROUND(Grandview_Inventory[[#This Row],[adj_res]]*Lookups!$M$28,-2))</f>
        <v>224700</v>
      </c>
      <c r="CD2113">
        <f>Grandview_Inventory[[#This Row],[final_det]]+Grandview_Inventory[[#This Row],[final_res]]</f>
        <v>226400</v>
      </c>
      <c r="CE2113">
        <f>Grandview_Inventory[[#This Row],[final_land]]+Grandview_Inventory[[#This Row],[final_imp]]+Grandview_Inventory[[#This Row],[crop_value]]</f>
        <v>288100</v>
      </c>
      <c r="CG2113" t="str">
        <f t="shared" si="32"/>
        <v>update valuation set market_land =61700, market_bldg=226400, market_total =288100, market_mdno =401, market_date ='9/10/2023' where link_id = (select link_id from parcel where parcel_year = '2024' and parcel_id = '23092423494');</v>
      </c>
    </row>
    <row r="2114" spans="1:85" x14ac:dyDescent="0.25">
      <c r="A2114">
        <v>23092423496</v>
      </c>
      <c r="B2114">
        <v>0.27</v>
      </c>
      <c r="C2114">
        <v>11863</v>
      </c>
      <c r="D2114" t="s">
        <v>129</v>
      </c>
      <c r="E2114" t="s">
        <v>53</v>
      </c>
      <c r="F2114" t="s">
        <v>53</v>
      </c>
      <c r="G2114">
        <v>4</v>
      </c>
      <c r="H2114" t="s">
        <v>54</v>
      </c>
      <c r="I2114">
        <v>103500</v>
      </c>
      <c r="J2114">
        <v>44500</v>
      </c>
      <c r="K2114">
        <v>0.27</v>
      </c>
      <c r="L2114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114">
        <v>0</v>
      </c>
      <c r="N2114">
        <v>0</v>
      </c>
      <c r="O2114">
        <v>0</v>
      </c>
      <c r="P2114">
        <v>13398.7528</v>
      </c>
      <c r="Q2114">
        <v>63903</v>
      </c>
      <c r="R2114">
        <f>(Grandview_Inventory[[#This Row],[ln_acres]]*Grandview_Inventory[[#This Row],[coeff]])+Grandview_Inventory[[#This Row],[const]]</f>
        <v>46359.566512734265</v>
      </c>
      <c r="S2114" t="s">
        <v>68</v>
      </c>
      <c r="T2114">
        <v>1</v>
      </c>
      <c r="U2114" t="s">
        <v>83</v>
      </c>
      <c r="V2114" t="s">
        <v>78</v>
      </c>
      <c r="W2114">
        <v>0</v>
      </c>
      <c r="X2114">
        <v>0</v>
      </c>
      <c r="Y2114">
        <v>51</v>
      </c>
      <c r="Z2114">
        <v>78</v>
      </c>
      <c r="AA2114">
        <v>80</v>
      </c>
      <c r="AB2114">
        <v>1000</v>
      </c>
      <c r="AC2114">
        <v>864</v>
      </c>
      <c r="AD2114">
        <v>864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120</v>
      </c>
      <c r="AL2114">
        <v>0</v>
      </c>
      <c r="AM2114">
        <v>0</v>
      </c>
      <c r="AN2114">
        <v>0</v>
      </c>
      <c r="AO2114">
        <v>258</v>
      </c>
      <c r="AP2114">
        <v>5</v>
      </c>
      <c r="AQ2114">
        <v>0</v>
      </c>
      <c r="AR2114">
        <v>0</v>
      </c>
      <c r="AS2114" t="s">
        <v>141</v>
      </c>
      <c r="AT2114">
        <v>1</v>
      </c>
      <c r="AU2114" t="s">
        <v>63</v>
      </c>
      <c r="AV2114" t="s">
        <v>60</v>
      </c>
      <c r="AW2114">
        <v>0</v>
      </c>
      <c r="AX2114">
        <v>2</v>
      </c>
      <c r="AY2114">
        <v>0</v>
      </c>
      <c r="AZ2114">
        <v>0</v>
      </c>
      <c r="BA2114">
        <v>100</v>
      </c>
      <c r="BB2114">
        <v>100</v>
      </c>
      <c r="BC2114">
        <v>100</v>
      </c>
      <c r="BD2114">
        <v>100</v>
      </c>
      <c r="BE2114">
        <v>1</v>
      </c>
      <c r="BF2114">
        <v>15000</v>
      </c>
      <c r="BG2114">
        <v>1000</v>
      </c>
      <c r="BH2114" s="6">
        <f>Grandview_Inventory[[#This Row],[land_extract]]*Lookups!$B$3</f>
        <v>53837.239420408718</v>
      </c>
      <c r="BI2114" s="6">
        <f>IF(Grandview_Inventory[[#This Row],[bldg_style]]="",0,Lookups!$B$2)</f>
        <v>155833.95000000001</v>
      </c>
      <c r="BJ2114" s="6">
        <f>_xlfn.IFNA(VLOOKUP(Grandview_Inventory[[#This Row],[quality]],Lookups!$H$2:$J$14,3,FALSE),0)</f>
        <v>-28558</v>
      </c>
      <c r="BK2114" s="6">
        <f>_xlfn.IFNA(VLOOKUP(Grandview_Inventory[[#This Row],[condition]],Lookups!$H$17:$J$24,3,FALSE),0)</f>
        <v>-45357</v>
      </c>
      <c r="BL2114" s="6">
        <f>Grandview_Inventory[[#This Row],[Eff_Age]]*Lookups!$B$14</f>
        <v>-12197.496599999999</v>
      </c>
      <c r="BM2114" s="6">
        <f>Grandview_Inventory[[#This Row],[living_area]]*Lookups!$B$15</f>
        <v>53897.056991999998</v>
      </c>
      <c r="BN2114" s="6">
        <f>Grandview_Inventory[[#This Row],[Fin BSMT]]*Lookups!$B$16</f>
        <v>0</v>
      </c>
      <c r="BO2114" s="6">
        <f>(Grandview_Inventory[[#This Row],[att_gar]]+Grandview_Inventory[[#This Row],[bltin_gar]])*Lookups!$B$17</f>
        <v>0</v>
      </c>
      <c r="BP2114" s="6">
        <f>Grandview_Inventory[[#This Row],[Plumbing Fixtures]]*Lookups!$B$18</f>
        <v>10052.209000000001</v>
      </c>
      <c r="BQ2114" s="6">
        <f>Grandview_Inventory[[#This Row],[detatched_value]]*Lookups!$B$19</f>
        <v>0</v>
      </c>
      <c r="BR2114" s="6">
        <f>SUM(Grandview_Inventory[[#This Row],[Intercept]:[det_value]])*Grandview_Inventory[[#This Row],[res_pct]]</f>
        <v>133670.719392</v>
      </c>
      <c r="BS2114" s="6">
        <f>Grandview_Inventory[[#This Row],[land_value]]</f>
        <v>53837.239420408718</v>
      </c>
      <c r="BT2114" s="4">
        <f>_xlfn.IFNA(VLOOKUP(Grandview_Inventory[[#This Row],[quality]],Lookups!$A$26:$C$33,3,FALSE),1)</f>
        <v>0.96329552998502799</v>
      </c>
      <c r="BU2114" s="4">
        <f>_xlfn.IFNA(VLOOKUP(Grandview_Inventory[[#This Row],[condition]],Lookups!$A$37:$C$44,3,FALSE),1)</f>
        <v>0.97161819570155394</v>
      </c>
      <c r="BV2114" s="4">
        <f>IF(Grandview_Inventory[[#This Row],[bldg_style]]="",1,_xlfn.IFNA(VLOOKUP(Grandview_Inventory[[#This Row],[decade]],Lookups!$F$29:$H$43,3,FALSE),1))</f>
        <v>0.98763256963907298</v>
      </c>
      <c r="BW2114" s="4">
        <f>_xlfn.IFNA(VLOOKUP(Grandview_Inventory[[#This Row],[living_area_range]],Lookups!$F$47:$H$56,3,FALSE),1)</f>
        <v>0.94306777142782894</v>
      </c>
      <c r="BX2114" s="4">
        <f>AVERAGE(Grandview_Inventory[[#This Row],[qual_adj]:[size_adj]])</f>
        <v>0.96640351668837088</v>
      </c>
      <c r="BY2114" s="6">
        <f>IF(Grandview_Inventory[[#This Row],[pre_res]]&lt;0,0,Grandview_Inventory[[#This Row],[pre_res]]*Grandview_Inventory[[#This Row],[overall_adj]])</f>
        <v>129179.85329869321</v>
      </c>
      <c r="BZ2114" s="6">
        <f>(Grandview_Inventory[[#This Row],[sum_land]]-IF(Grandview_Inventory[[#This Row],[no_utilities]]=1,12000,0))/IF(Grandview_Inventory[[#This Row],[unbuildable]]=1,2,1)</f>
        <v>53837.239420408718</v>
      </c>
      <c r="CA2114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114">
        <f>ROUND(Grandview_Inventory[[#This Row],[det_value]]*Lookups!$M$28,-2)</f>
        <v>0</v>
      </c>
      <c r="CC2114">
        <f>IF(ROUND(Grandview_Inventory[[#This Row],[adj_res]]*Lookups!$M$28,-2)&lt;Grandview_Inventory[[#This Row],[min_res]],Grandview_Inventory[[#This Row],[min_res]],ROUND(Grandview_Inventory[[#This Row],[adj_res]]*Lookups!$M$28,-2))</f>
        <v>122700</v>
      </c>
      <c r="CD2114">
        <f>Grandview_Inventory[[#This Row],[final_det]]+Grandview_Inventory[[#This Row],[final_res]]</f>
        <v>122700</v>
      </c>
      <c r="CE2114">
        <f>Grandview_Inventory[[#This Row],[final_land]]+Grandview_Inventory[[#This Row],[final_imp]]+Grandview_Inventory[[#This Row],[crop_value]]</f>
        <v>173800</v>
      </c>
      <c r="CG2114" t="str">
        <f t="shared" si="32"/>
        <v>update valuation set market_land =51100, market_bldg=122700, market_total =173800, market_mdno =401, market_date ='9/10/2023' where link_id = (select link_id from parcel where parcel_year = '2024' and parcel_id = '23092423496');</v>
      </c>
    </row>
    <row r="2115" spans="1:85" x14ac:dyDescent="0.25">
      <c r="A2115">
        <v>23092423497</v>
      </c>
      <c r="B2115">
        <v>0.23</v>
      </c>
      <c r="C2115">
        <v>10007</v>
      </c>
      <c r="D2115" t="s">
        <v>129</v>
      </c>
      <c r="E2115" t="s">
        <v>53</v>
      </c>
      <c r="F2115" t="s">
        <v>53</v>
      </c>
      <c r="G2115">
        <v>4</v>
      </c>
      <c r="H2115" t="s">
        <v>54</v>
      </c>
      <c r="I2115">
        <v>82600</v>
      </c>
      <c r="J2115">
        <v>39500</v>
      </c>
      <c r="K2115">
        <v>0.23</v>
      </c>
      <c r="L211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15">
        <v>0</v>
      </c>
      <c r="N2115">
        <v>0</v>
      </c>
      <c r="O2115">
        <v>0</v>
      </c>
      <c r="P2115">
        <v>13398.7528</v>
      </c>
      <c r="Q2115">
        <v>63903</v>
      </c>
      <c r="R2115">
        <f>(Grandview_Inventory[[#This Row],[ln_acres]]*Grandview_Inventory[[#This Row],[coeff]])+Grandview_Inventory[[#This Row],[const]]</f>
        <v>44211.174981080039</v>
      </c>
      <c r="S2115" t="s">
        <v>68</v>
      </c>
      <c r="T2115">
        <v>1</v>
      </c>
      <c r="U2115" t="s">
        <v>83</v>
      </c>
      <c r="V2115" t="s">
        <v>78</v>
      </c>
      <c r="W2115">
        <v>0</v>
      </c>
      <c r="X2115">
        <v>0</v>
      </c>
      <c r="Y2115">
        <v>50</v>
      </c>
      <c r="Z2115">
        <v>76</v>
      </c>
      <c r="AA2115">
        <v>80</v>
      </c>
      <c r="AB2115">
        <v>1000</v>
      </c>
      <c r="AC2115">
        <v>680</v>
      </c>
      <c r="AD2115">
        <v>680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5</v>
      </c>
      <c r="AQ2115">
        <v>0</v>
      </c>
      <c r="AR2115">
        <v>0</v>
      </c>
      <c r="AS2115" t="s">
        <v>58</v>
      </c>
      <c r="AT2115">
        <v>0</v>
      </c>
      <c r="AU2115" t="s">
        <v>82</v>
      </c>
      <c r="AV2115" t="s">
        <v>60</v>
      </c>
      <c r="AW2115">
        <v>0</v>
      </c>
      <c r="AX2115">
        <v>1</v>
      </c>
      <c r="AY2115">
        <v>0</v>
      </c>
      <c r="AZ2115">
        <v>4300</v>
      </c>
      <c r="BA2115">
        <v>100</v>
      </c>
      <c r="BB2115">
        <v>100</v>
      </c>
      <c r="BC2115">
        <v>100</v>
      </c>
      <c r="BD2115">
        <v>100</v>
      </c>
      <c r="BE2115">
        <v>1</v>
      </c>
      <c r="BF2115">
        <v>15000</v>
      </c>
      <c r="BG2115">
        <v>1000</v>
      </c>
      <c r="BH2115" s="6">
        <f>Grandview_Inventory[[#This Row],[land_extract]]*Lookups!$B$3</f>
        <v>51342.318135355803</v>
      </c>
      <c r="BI2115" s="6">
        <f>IF(Grandview_Inventory[[#This Row],[bldg_style]]="",0,Lookups!$B$2)</f>
        <v>155833.95000000001</v>
      </c>
      <c r="BJ2115" s="6">
        <f>_xlfn.IFNA(VLOOKUP(Grandview_Inventory[[#This Row],[quality]],Lookups!$H$2:$J$14,3,FALSE),0)</f>
        <v>-28558</v>
      </c>
      <c r="BK2115" s="6">
        <f>_xlfn.IFNA(VLOOKUP(Grandview_Inventory[[#This Row],[condition]],Lookups!$H$17:$J$24,3,FALSE),0)</f>
        <v>-45357</v>
      </c>
      <c r="BL2115" s="6">
        <f>Grandview_Inventory[[#This Row],[Eff_Age]]*Lookups!$B$14</f>
        <v>-11958.33</v>
      </c>
      <c r="BM2115" s="6">
        <f>Grandview_Inventory[[#This Row],[living_area]]*Lookups!$B$15</f>
        <v>42418.980040000002</v>
      </c>
      <c r="BN2115" s="6">
        <f>Grandview_Inventory[[#This Row],[Fin BSMT]]*Lookups!$B$16</f>
        <v>0</v>
      </c>
      <c r="BO2115" s="6">
        <f>(Grandview_Inventory[[#This Row],[att_gar]]+Grandview_Inventory[[#This Row],[bltin_gar]])*Lookups!$B$17</f>
        <v>0</v>
      </c>
      <c r="BP2115" s="6">
        <f>Grandview_Inventory[[#This Row],[Plumbing Fixtures]]*Lookups!$B$18</f>
        <v>10052.209000000001</v>
      </c>
      <c r="BQ2115" s="6">
        <f>Grandview_Inventory[[#This Row],[detatched_value]]*Lookups!$B$19</f>
        <v>3641.2619300000001</v>
      </c>
      <c r="BR2115" s="6">
        <f>SUM(Grandview_Inventory[[#This Row],[Intercept]:[det_value]])*Grandview_Inventory[[#This Row],[res_pct]]</f>
        <v>126073.07097000002</v>
      </c>
      <c r="BS2115" s="6">
        <f>Grandview_Inventory[[#This Row],[land_value]]</f>
        <v>51342.318135355803</v>
      </c>
      <c r="BT2115" s="4">
        <f>_xlfn.IFNA(VLOOKUP(Grandview_Inventory[[#This Row],[quality]],Lookups!$A$26:$C$33,3,FALSE),1)</f>
        <v>0.96329552998502799</v>
      </c>
      <c r="BU2115" s="4">
        <f>_xlfn.IFNA(VLOOKUP(Grandview_Inventory[[#This Row],[condition]],Lookups!$A$37:$C$44,3,FALSE),1)</f>
        <v>0.97161819570155394</v>
      </c>
      <c r="BV2115" s="4">
        <f>IF(Grandview_Inventory[[#This Row],[bldg_style]]="",1,_xlfn.IFNA(VLOOKUP(Grandview_Inventory[[#This Row],[decade]],Lookups!$F$29:$H$43,3,FALSE),1))</f>
        <v>0.98763256963907298</v>
      </c>
      <c r="BW2115" s="4">
        <f>_xlfn.IFNA(VLOOKUP(Grandview_Inventory[[#This Row],[living_area_range]],Lookups!$F$47:$H$56,3,FALSE),1)</f>
        <v>0.94306777142782894</v>
      </c>
      <c r="BX2115" s="4">
        <f>AVERAGE(Grandview_Inventory[[#This Row],[qual_adj]:[size_adj]])</f>
        <v>0.96640351668837088</v>
      </c>
      <c r="BY2115" s="6">
        <f>IF(Grandview_Inventory[[#This Row],[pre_res]]&lt;0,0,Grandview_Inventory[[#This Row],[pre_res]]*Grandview_Inventory[[#This Row],[overall_adj]])</f>
        <v>121837.45914511058</v>
      </c>
      <c r="BZ2115" s="6">
        <f>(Grandview_Inventory[[#This Row],[sum_land]]-IF(Grandview_Inventory[[#This Row],[no_utilities]]=1,12000,0))/IF(Grandview_Inventory[[#This Row],[unbuildable]]=1,2,1)</f>
        <v>51342.318135355803</v>
      </c>
      <c r="CA211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15">
        <f>ROUND(Grandview_Inventory[[#This Row],[det_value]]*Lookups!$M$28,-2)</f>
        <v>3500</v>
      </c>
      <c r="CC2115">
        <f>IF(ROUND(Grandview_Inventory[[#This Row],[adj_res]]*Lookups!$M$28,-2)&lt;Grandview_Inventory[[#This Row],[min_res]],Grandview_Inventory[[#This Row],[min_res]],ROUND(Grandview_Inventory[[#This Row],[adj_res]]*Lookups!$M$28,-2))</f>
        <v>115700</v>
      </c>
      <c r="CD2115">
        <f>Grandview_Inventory[[#This Row],[final_det]]+Grandview_Inventory[[#This Row],[final_res]]</f>
        <v>119200</v>
      </c>
      <c r="CE2115">
        <f>Grandview_Inventory[[#This Row],[final_land]]+Grandview_Inventory[[#This Row],[final_imp]]+Grandview_Inventory[[#This Row],[crop_value]]</f>
        <v>168000</v>
      </c>
      <c r="CG2115" t="str">
        <f t="shared" ref="CG2115:CG2178" si="33">"update valuation set market_land ="&amp;CA2115&amp;", market_bldg="&amp;CD2115&amp;", market_total ="&amp;CE2115&amp;", market_mdno ="&amp;$CG$1&amp;", market_date ='"&amp;TEXT($CH$1,"m/d/yyyy")&amp;"' where link_id = (select link_id from parcel where parcel_year = '2024' and parcel_id = '"&amp;A2115&amp;"');"</f>
        <v>update valuation set market_land =48800, market_bldg=119200, market_total =168000, market_mdno =401, market_date ='9/10/2023' where link_id = (select link_id from parcel where parcel_year = '2024' and parcel_id = '23092423497');</v>
      </c>
    </row>
    <row r="2116" spans="1:85" x14ac:dyDescent="0.25">
      <c r="A2116">
        <v>23092423498</v>
      </c>
      <c r="B2116">
        <v>0.32</v>
      </c>
      <c r="C2116">
        <v>13866</v>
      </c>
      <c r="D2116" t="s">
        <v>129</v>
      </c>
      <c r="E2116" t="s">
        <v>53</v>
      </c>
      <c r="F2116" t="s">
        <v>53</v>
      </c>
      <c r="G2116">
        <v>4</v>
      </c>
      <c r="H2116" t="s">
        <v>54</v>
      </c>
      <c r="I2116">
        <v>108300</v>
      </c>
      <c r="J2116">
        <v>41200</v>
      </c>
      <c r="K2116">
        <v>0.32</v>
      </c>
      <c r="L2116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2116">
        <v>0</v>
      </c>
      <c r="N2116">
        <v>0</v>
      </c>
      <c r="O2116">
        <v>0</v>
      </c>
      <c r="P2116">
        <v>13398.7528</v>
      </c>
      <c r="Q2116">
        <v>63903</v>
      </c>
      <c r="R2116">
        <f>(Grandview_Inventory[[#This Row],[ln_acres]]*Grandview_Inventory[[#This Row],[coeff]])+Grandview_Inventory[[#This Row],[const]]</f>
        <v>48636.001707713905</v>
      </c>
      <c r="S2116" t="s">
        <v>142</v>
      </c>
      <c r="T2116">
        <v>1</v>
      </c>
      <c r="U2116" t="s">
        <v>83</v>
      </c>
      <c r="V2116" t="s">
        <v>69</v>
      </c>
      <c r="W2116">
        <v>0</v>
      </c>
      <c r="X2116">
        <v>0</v>
      </c>
      <c r="Y2116">
        <v>55</v>
      </c>
      <c r="Z2116">
        <v>76</v>
      </c>
      <c r="AA2116">
        <v>80</v>
      </c>
      <c r="AB2116">
        <v>1000</v>
      </c>
      <c r="AC2116">
        <v>720</v>
      </c>
      <c r="AD2116">
        <v>720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5</v>
      </c>
      <c r="AQ2116">
        <v>0</v>
      </c>
      <c r="AR2116">
        <v>0</v>
      </c>
      <c r="AS2116" t="s">
        <v>58</v>
      </c>
      <c r="AT2116">
        <v>1</v>
      </c>
      <c r="AU2116" t="s">
        <v>75</v>
      </c>
      <c r="AV2116" t="s">
        <v>60</v>
      </c>
      <c r="AW2116">
        <v>0</v>
      </c>
      <c r="AX2116">
        <v>2</v>
      </c>
      <c r="AY2116">
        <v>0</v>
      </c>
      <c r="AZ2116">
        <v>1300</v>
      </c>
      <c r="BA2116">
        <v>100</v>
      </c>
      <c r="BB2116">
        <v>100</v>
      </c>
      <c r="BC2116">
        <v>100</v>
      </c>
      <c r="BD2116">
        <v>100</v>
      </c>
      <c r="BE2116">
        <v>1</v>
      </c>
      <c r="BF2116">
        <v>15000</v>
      </c>
      <c r="BG2116">
        <v>1000</v>
      </c>
      <c r="BH2116" s="6">
        <f>Grandview_Inventory[[#This Row],[land_extract]]*Lookups!$B$3</f>
        <v>56480.857465963549</v>
      </c>
      <c r="BI2116" s="6">
        <f>IF(Grandview_Inventory[[#This Row],[bldg_style]]="",0,Lookups!$B$2)</f>
        <v>155833.95000000001</v>
      </c>
      <c r="BJ2116" s="6">
        <f>_xlfn.IFNA(VLOOKUP(Grandview_Inventory[[#This Row],[quality]],Lookups!$H$2:$J$14,3,FALSE),0)</f>
        <v>-28558</v>
      </c>
      <c r="BK2116" s="6">
        <f>_xlfn.IFNA(VLOOKUP(Grandview_Inventory[[#This Row],[condition]],Lookups!$H$17:$J$24,3,FALSE),0)</f>
        <v>-4503</v>
      </c>
      <c r="BL2116" s="6">
        <f>Grandview_Inventory[[#This Row],[Eff_Age]]*Lookups!$B$14</f>
        <v>-13154.162999999999</v>
      </c>
      <c r="BM2116" s="6">
        <f>Grandview_Inventory[[#This Row],[living_area]]*Lookups!$B$15</f>
        <v>44914.214160000003</v>
      </c>
      <c r="BN2116" s="6">
        <f>Grandview_Inventory[[#This Row],[Fin BSMT]]*Lookups!$B$16</f>
        <v>0</v>
      </c>
      <c r="BO2116" s="6">
        <f>(Grandview_Inventory[[#This Row],[att_gar]]+Grandview_Inventory[[#This Row],[bltin_gar]])*Lookups!$B$17</f>
        <v>0</v>
      </c>
      <c r="BP2116" s="6">
        <f>Grandview_Inventory[[#This Row],[Plumbing Fixtures]]*Lookups!$B$18</f>
        <v>10052.209000000001</v>
      </c>
      <c r="BQ2116" s="6">
        <f>Grandview_Inventory[[#This Row],[detatched_value]]*Lookups!$B$19</f>
        <v>1100.84663</v>
      </c>
      <c r="BR2116" s="6">
        <f>SUM(Grandview_Inventory[[#This Row],[Intercept]:[det_value]])*Grandview_Inventory[[#This Row],[res_pct]]</f>
        <v>165686.05679</v>
      </c>
      <c r="BS2116" s="6">
        <f>Grandview_Inventory[[#This Row],[land_value]]</f>
        <v>56480.857465963549</v>
      </c>
      <c r="BT2116" s="4">
        <f>_xlfn.IFNA(VLOOKUP(Grandview_Inventory[[#This Row],[quality]],Lookups!$A$26:$C$33,3,FALSE),1)</f>
        <v>0.96329552998502799</v>
      </c>
      <c r="BU2116" s="4">
        <f>_xlfn.IFNA(VLOOKUP(Grandview_Inventory[[#This Row],[condition]],Lookups!$A$37:$C$44,3,FALSE),1)</f>
        <v>0.96469275950863709</v>
      </c>
      <c r="BV2116" s="4">
        <f>IF(Grandview_Inventory[[#This Row],[bldg_style]]="",1,_xlfn.IFNA(VLOOKUP(Grandview_Inventory[[#This Row],[decade]],Lookups!$F$29:$H$43,3,FALSE),1))</f>
        <v>0.98763256963907298</v>
      </c>
      <c r="BW2116" s="4">
        <f>_xlfn.IFNA(VLOOKUP(Grandview_Inventory[[#This Row],[living_area_range]],Lookups!$F$47:$H$56,3,FALSE),1)</f>
        <v>0.94306777142782894</v>
      </c>
      <c r="BX2116" s="4">
        <f>AVERAGE(Grandview_Inventory[[#This Row],[qual_adj]:[size_adj]])</f>
        <v>0.96467215764014169</v>
      </c>
      <c r="BY2116" s="6">
        <f>IF(Grandview_Inventory[[#This Row],[pre_res]]&lt;0,0,Grandview_Inventory[[#This Row],[pre_res]]*Grandview_Inventory[[#This Row],[overall_adj]])</f>
        <v>159832.72589449634</v>
      </c>
      <c r="BZ2116" s="6">
        <f>(Grandview_Inventory[[#This Row],[sum_land]]-IF(Grandview_Inventory[[#This Row],[no_utilities]]=1,12000,0))/IF(Grandview_Inventory[[#This Row],[unbuildable]]=1,2,1)</f>
        <v>56480.857465963549</v>
      </c>
      <c r="CA2116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2116">
        <f>ROUND(Grandview_Inventory[[#This Row],[det_value]]*Lookups!$M$28,-2)</f>
        <v>1000</v>
      </c>
      <c r="CC2116">
        <f>IF(ROUND(Grandview_Inventory[[#This Row],[adj_res]]*Lookups!$M$28,-2)&lt;Grandview_Inventory[[#This Row],[min_res]],Grandview_Inventory[[#This Row],[min_res]],ROUND(Grandview_Inventory[[#This Row],[adj_res]]*Lookups!$M$28,-2))</f>
        <v>151800</v>
      </c>
      <c r="CD2116">
        <f>Grandview_Inventory[[#This Row],[final_det]]+Grandview_Inventory[[#This Row],[final_res]]</f>
        <v>152800</v>
      </c>
      <c r="CE2116">
        <f>Grandview_Inventory[[#This Row],[final_land]]+Grandview_Inventory[[#This Row],[final_imp]]+Grandview_Inventory[[#This Row],[crop_value]]</f>
        <v>206500</v>
      </c>
      <c r="CG2116" t="str">
        <f t="shared" si="33"/>
        <v>update valuation set market_land =53700, market_bldg=152800, market_total =206500, market_mdno =401, market_date ='9/10/2023' where link_id = (select link_id from parcel where parcel_year = '2024' and parcel_id = '23092423498');</v>
      </c>
    </row>
    <row r="2117" spans="1:85" x14ac:dyDescent="0.25">
      <c r="A2117">
        <v>23092423499</v>
      </c>
      <c r="B2117">
        <v>0.26</v>
      </c>
      <c r="C2117">
        <v>11429</v>
      </c>
      <c r="D2117" t="s">
        <v>129</v>
      </c>
      <c r="E2117" t="s">
        <v>53</v>
      </c>
      <c r="F2117" t="s">
        <v>53</v>
      </c>
      <c r="G2117">
        <v>4</v>
      </c>
      <c r="H2117" t="s">
        <v>54</v>
      </c>
      <c r="I2117">
        <v>146700</v>
      </c>
      <c r="J2117">
        <v>41800</v>
      </c>
      <c r="K2117">
        <v>0.26</v>
      </c>
      <c r="L211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117">
        <v>0</v>
      </c>
      <c r="N2117">
        <v>0</v>
      </c>
      <c r="O2117">
        <v>0</v>
      </c>
      <c r="P2117">
        <v>13398.7528</v>
      </c>
      <c r="Q2117">
        <v>63903</v>
      </c>
      <c r="R2117">
        <f>(Grandview_Inventory[[#This Row],[ln_acres]]*Grandview_Inventory[[#This Row],[coeff]])+Grandview_Inventory[[#This Row],[const]]</f>
        <v>45853.893187501177</v>
      </c>
      <c r="S2117" t="s">
        <v>68</v>
      </c>
      <c r="T2117">
        <v>1</v>
      </c>
      <c r="U2117" t="s">
        <v>70</v>
      </c>
      <c r="V2117" t="s">
        <v>67</v>
      </c>
      <c r="W2117">
        <v>0</v>
      </c>
      <c r="X2117">
        <v>0</v>
      </c>
      <c r="Y2117">
        <v>51</v>
      </c>
      <c r="Z2117">
        <v>78</v>
      </c>
      <c r="AA2117">
        <v>80</v>
      </c>
      <c r="AB2117">
        <v>1000</v>
      </c>
      <c r="AC2117">
        <v>872</v>
      </c>
      <c r="AD2117">
        <v>872</v>
      </c>
      <c r="AE2117">
        <v>0</v>
      </c>
      <c r="AF2117">
        <v>0</v>
      </c>
      <c r="AG2117">
        <v>0</v>
      </c>
      <c r="AH2117">
        <v>100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16</v>
      </c>
      <c r="AO2117">
        <v>0</v>
      </c>
      <c r="AP2117">
        <v>5</v>
      </c>
      <c r="AQ2117">
        <v>0</v>
      </c>
      <c r="AR2117">
        <v>0</v>
      </c>
      <c r="AS2117" t="s">
        <v>58</v>
      </c>
      <c r="AT2117">
        <v>1</v>
      </c>
      <c r="AU2117" t="s">
        <v>75</v>
      </c>
      <c r="AV2117" t="s">
        <v>60</v>
      </c>
      <c r="AW2117">
        <v>0</v>
      </c>
      <c r="AX2117">
        <v>2</v>
      </c>
      <c r="AY2117">
        <v>0</v>
      </c>
      <c r="AZ2117">
        <v>0</v>
      </c>
      <c r="BA2117">
        <v>100</v>
      </c>
      <c r="BB2117">
        <v>100</v>
      </c>
      <c r="BC2117">
        <v>100</v>
      </c>
      <c r="BD2117">
        <v>100</v>
      </c>
      <c r="BE2117">
        <v>1</v>
      </c>
      <c r="BF2117">
        <v>15000</v>
      </c>
      <c r="BG2117">
        <v>1000</v>
      </c>
      <c r="BH2117" s="6">
        <f>Grandview_Inventory[[#This Row],[land_extract]]*Lookups!$B$3</f>
        <v>53250.00235313351</v>
      </c>
      <c r="BI2117" s="6">
        <f>IF(Grandview_Inventory[[#This Row],[bldg_style]]="",0,Lookups!$B$2)</f>
        <v>155833.95000000001</v>
      </c>
      <c r="BJ2117" s="6">
        <f>_xlfn.IFNA(VLOOKUP(Grandview_Inventory[[#This Row],[quality]],Lookups!$H$2:$J$14,3,FALSE),0)</f>
        <v>10733</v>
      </c>
      <c r="BK2117" s="6">
        <f>_xlfn.IFNA(VLOOKUP(Grandview_Inventory[[#This Row],[condition]],Lookups!$H$17:$J$24,3,FALSE),0)</f>
        <v>22342</v>
      </c>
      <c r="BL2117" s="6">
        <f>Grandview_Inventory[[#This Row],[Eff_Age]]*Lookups!$B$14</f>
        <v>-12197.496599999999</v>
      </c>
      <c r="BM2117" s="6">
        <f>Grandview_Inventory[[#This Row],[living_area]]*Lookups!$B$15</f>
        <v>54396.103816000003</v>
      </c>
      <c r="BN2117" s="6">
        <f>Grandview_Inventory[[#This Row],[Fin BSMT]]*Lookups!$B$16</f>
        <v>0</v>
      </c>
      <c r="BO2117" s="6">
        <f>(Grandview_Inventory[[#This Row],[att_gar]]+Grandview_Inventory[[#This Row],[bltin_gar]])*Lookups!$B$17</f>
        <v>0</v>
      </c>
      <c r="BP2117" s="6">
        <f>Grandview_Inventory[[#This Row],[Plumbing Fixtures]]*Lookups!$B$18</f>
        <v>10052.209000000001</v>
      </c>
      <c r="BQ2117" s="6">
        <f>Grandview_Inventory[[#This Row],[detatched_value]]*Lookups!$B$19</f>
        <v>0</v>
      </c>
      <c r="BR2117" s="6">
        <f>SUM(Grandview_Inventory[[#This Row],[Intercept]:[det_value]])*Grandview_Inventory[[#This Row],[res_pct]]</f>
        <v>241159.76621599999</v>
      </c>
      <c r="BS2117" s="6">
        <f>Grandview_Inventory[[#This Row],[land_value]]</f>
        <v>53250.00235313351</v>
      </c>
      <c r="BT2117" s="4">
        <f>_xlfn.IFNA(VLOOKUP(Grandview_Inventory[[#This Row],[quality]],Lookups!$A$26:$C$33,3,FALSE),1)</f>
        <v>0.98079741117310582</v>
      </c>
      <c r="BU2117" s="4">
        <f>_xlfn.IFNA(VLOOKUP(Grandview_Inventory[[#This Row],[condition]],Lookups!$A$37:$C$44,3,FALSE),1)</f>
        <v>0.97383723671140243</v>
      </c>
      <c r="BV2117" s="4">
        <f>IF(Grandview_Inventory[[#This Row],[bldg_style]]="",1,_xlfn.IFNA(VLOOKUP(Grandview_Inventory[[#This Row],[decade]],Lookups!$F$29:$H$43,3,FALSE),1))</f>
        <v>0.98763256963907298</v>
      </c>
      <c r="BW2117" s="4">
        <f>_xlfn.IFNA(VLOOKUP(Grandview_Inventory[[#This Row],[living_area_range]],Lookups!$F$47:$H$56,3,FALSE),1)</f>
        <v>0.94306777142782894</v>
      </c>
      <c r="BX2117" s="4">
        <f>AVERAGE(Grandview_Inventory[[#This Row],[qual_adj]:[size_adj]])</f>
        <v>0.97133374723785249</v>
      </c>
      <c r="BY2117" s="6">
        <f>IF(Grandview_Inventory[[#This Row],[pre_res]]&lt;0,0,Grandview_Inventory[[#This Row],[pre_res]]*Grandview_Inventory[[#This Row],[overall_adj]])</f>
        <v>234246.61940159174</v>
      </c>
      <c r="BZ2117" s="6">
        <f>(Grandview_Inventory[[#This Row],[sum_land]]-IF(Grandview_Inventory[[#This Row],[no_utilities]]=1,12000,0))/IF(Grandview_Inventory[[#This Row],[unbuildable]]=1,2,1)</f>
        <v>53250.00235313351</v>
      </c>
      <c r="CA211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117">
        <f>ROUND(Grandview_Inventory[[#This Row],[det_value]]*Lookups!$M$28,-2)</f>
        <v>0</v>
      </c>
      <c r="CC2117">
        <f>IF(ROUND(Grandview_Inventory[[#This Row],[adj_res]]*Lookups!$M$28,-2)&lt;Grandview_Inventory[[#This Row],[min_res]],Grandview_Inventory[[#This Row],[min_res]],ROUND(Grandview_Inventory[[#This Row],[adj_res]]*Lookups!$M$28,-2))</f>
        <v>222500</v>
      </c>
      <c r="CD2117">
        <f>Grandview_Inventory[[#This Row],[final_det]]+Grandview_Inventory[[#This Row],[final_res]]</f>
        <v>222500</v>
      </c>
      <c r="CE2117">
        <f>Grandview_Inventory[[#This Row],[final_land]]+Grandview_Inventory[[#This Row],[final_imp]]+Grandview_Inventory[[#This Row],[crop_value]]</f>
        <v>273100</v>
      </c>
      <c r="CG2117" t="str">
        <f t="shared" si="33"/>
        <v>update valuation set market_land =50600, market_bldg=222500, market_total =273100, market_mdno =401, market_date ='9/10/2023' where link_id = (select link_id from parcel where parcel_year = '2024' and parcel_id = '23092423499');</v>
      </c>
    </row>
    <row r="2118" spans="1:85" x14ac:dyDescent="0.25">
      <c r="A2118">
        <v>23092423500</v>
      </c>
      <c r="B2118">
        <v>0.27</v>
      </c>
      <c r="C2118">
        <v>11848</v>
      </c>
      <c r="D2118" t="s">
        <v>129</v>
      </c>
      <c r="E2118" t="s">
        <v>53</v>
      </c>
      <c r="F2118" t="s">
        <v>53</v>
      </c>
      <c r="G2118">
        <v>4</v>
      </c>
      <c r="H2118" t="s">
        <v>54</v>
      </c>
      <c r="I2118">
        <v>118800</v>
      </c>
      <c r="J2118">
        <v>41600</v>
      </c>
      <c r="K2118">
        <v>0.27</v>
      </c>
      <c r="L211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118">
        <v>0</v>
      </c>
      <c r="N2118">
        <v>0</v>
      </c>
      <c r="O2118">
        <v>0</v>
      </c>
      <c r="P2118">
        <v>13398.7528</v>
      </c>
      <c r="Q2118">
        <v>63903</v>
      </c>
      <c r="R2118">
        <f>(Grandview_Inventory[[#This Row],[ln_acres]]*Grandview_Inventory[[#This Row],[coeff]])+Grandview_Inventory[[#This Row],[const]]</f>
        <v>46359.566512734265</v>
      </c>
      <c r="S2118" t="s">
        <v>68</v>
      </c>
      <c r="T2118">
        <v>1</v>
      </c>
      <c r="U2118" t="s">
        <v>80</v>
      </c>
      <c r="V2118" t="s">
        <v>69</v>
      </c>
      <c r="W2118">
        <v>0</v>
      </c>
      <c r="X2118">
        <v>0</v>
      </c>
      <c r="Y2118">
        <v>51</v>
      </c>
      <c r="Z2118">
        <v>78</v>
      </c>
      <c r="AA2118">
        <v>80</v>
      </c>
      <c r="AB2118">
        <v>1500</v>
      </c>
      <c r="AC2118">
        <v>1376</v>
      </c>
      <c r="AD2118">
        <v>1376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16</v>
      </c>
      <c r="AO2118">
        <v>0</v>
      </c>
      <c r="AP2118">
        <v>5</v>
      </c>
      <c r="AQ2118">
        <v>0</v>
      </c>
      <c r="AR2118">
        <v>0</v>
      </c>
      <c r="AS2118" t="s">
        <v>58</v>
      </c>
      <c r="AT2118">
        <v>1</v>
      </c>
      <c r="AU2118" t="s">
        <v>63</v>
      </c>
      <c r="AV2118" t="s">
        <v>60</v>
      </c>
      <c r="AW2118">
        <v>0</v>
      </c>
      <c r="AX2118">
        <v>2</v>
      </c>
      <c r="AY2118">
        <v>0</v>
      </c>
      <c r="AZ2118">
        <v>0</v>
      </c>
      <c r="BA2118">
        <v>100</v>
      </c>
      <c r="BB2118">
        <v>100</v>
      </c>
      <c r="BC2118">
        <v>100</v>
      </c>
      <c r="BD2118">
        <v>100</v>
      </c>
      <c r="BE2118">
        <v>1</v>
      </c>
      <c r="BF2118">
        <v>15000</v>
      </c>
      <c r="BG2118">
        <v>1000</v>
      </c>
      <c r="BH2118" s="6">
        <f>Grandview_Inventory[[#This Row],[land_extract]]*Lookups!$B$3</f>
        <v>53837.239420408718</v>
      </c>
      <c r="BI2118" s="6">
        <f>IF(Grandview_Inventory[[#This Row],[bldg_style]]="",0,Lookups!$B$2)</f>
        <v>155833.95000000001</v>
      </c>
      <c r="BJ2118" s="6">
        <f>_xlfn.IFNA(VLOOKUP(Grandview_Inventory[[#This Row],[quality]],Lookups!$H$2:$J$14,3,FALSE),0)</f>
        <v>-28558</v>
      </c>
      <c r="BK2118" s="6">
        <f>_xlfn.IFNA(VLOOKUP(Grandview_Inventory[[#This Row],[condition]],Lookups!$H$17:$J$24,3,FALSE),0)</f>
        <v>-4503</v>
      </c>
      <c r="BL2118" s="6">
        <f>Grandview_Inventory[[#This Row],[Eff_Age]]*Lookups!$B$14</f>
        <v>-12197.496599999999</v>
      </c>
      <c r="BM2118" s="6">
        <f>Grandview_Inventory[[#This Row],[living_area]]*Lookups!$B$15</f>
        <v>85836.053727999999</v>
      </c>
      <c r="BN2118" s="6">
        <f>Grandview_Inventory[[#This Row],[Fin BSMT]]*Lookups!$B$16</f>
        <v>0</v>
      </c>
      <c r="BO2118" s="6">
        <f>(Grandview_Inventory[[#This Row],[att_gar]]+Grandview_Inventory[[#This Row],[bltin_gar]])*Lookups!$B$17</f>
        <v>0</v>
      </c>
      <c r="BP2118" s="6">
        <f>Grandview_Inventory[[#This Row],[Plumbing Fixtures]]*Lookups!$B$18</f>
        <v>10052.209000000001</v>
      </c>
      <c r="BQ2118" s="6">
        <f>Grandview_Inventory[[#This Row],[detatched_value]]*Lookups!$B$19</f>
        <v>0</v>
      </c>
      <c r="BR2118" s="6">
        <f>SUM(Grandview_Inventory[[#This Row],[Intercept]:[det_value]])*Grandview_Inventory[[#This Row],[res_pct]]</f>
        <v>206463.71612800003</v>
      </c>
      <c r="BS2118" s="6">
        <f>Grandview_Inventory[[#This Row],[land_value]]</f>
        <v>53837.239420408718</v>
      </c>
      <c r="BT2118" s="4">
        <f>_xlfn.IFNA(VLOOKUP(Grandview_Inventory[[#This Row],[quality]],Lookups!$A$26:$C$33,3,FALSE),1)</f>
        <v>0.9690360070159818</v>
      </c>
      <c r="BU2118" s="4">
        <f>_xlfn.IFNA(VLOOKUP(Grandview_Inventory[[#This Row],[condition]],Lookups!$A$37:$C$44,3,FALSE),1)</f>
        <v>0.96469275950863709</v>
      </c>
      <c r="BV2118" s="4">
        <f>IF(Grandview_Inventory[[#This Row],[bldg_style]]="",1,_xlfn.IFNA(VLOOKUP(Grandview_Inventory[[#This Row],[decade]],Lookups!$F$29:$H$43,3,FALSE),1))</f>
        <v>0.98763256963907298</v>
      </c>
      <c r="BW2118" s="4">
        <f>_xlfn.IFNA(VLOOKUP(Grandview_Inventory[[#This Row],[living_area_range]],Lookups!$F$47:$H$56,3,FALSE),1)</f>
        <v>0.96135087979789358</v>
      </c>
      <c r="BX2118" s="4">
        <f>AVERAGE(Grandview_Inventory[[#This Row],[qual_adj]:[size_adj]])</f>
        <v>0.97067805399039631</v>
      </c>
      <c r="BY2118" s="6">
        <f>IF(Grandview_Inventory[[#This Row],[pre_res]]&lt;0,0,Grandview_Inventory[[#This Row],[pre_res]]*Grandview_Inventory[[#This Row],[overall_adj]])</f>
        <v>200409.79819075266</v>
      </c>
      <c r="BZ2118" s="6">
        <f>(Grandview_Inventory[[#This Row],[sum_land]]-IF(Grandview_Inventory[[#This Row],[no_utilities]]=1,12000,0))/IF(Grandview_Inventory[[#This Row],[unbuildable]]=1,2,1)</f>
        <v>53837.239420408718</v>
      </c>
      <c r="CA2118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118">
        <f>ROUND(Grandview_Inventory[[#This Row],[det_value]]*Lookups!$M$28,-2)</f>
        <v>0</v>
      </c>
      <c r="CC2118">
        <f>IF(ROUND(Grandview_Inventory[[#This Row],[adj_res]]*Lookups!$M$28,-2)&lt;Grandview_Inventory[[#This Row],[min_res]],Grandview_Inventory[[#This Row],[min_res]],ROUND(Grandview_Inventory[[#This Row],[adj_res]]*Lookups!$M$28,-2))</f>
        <v>190400</v>
      </c>
      <c r="CD2118">
        <f>Grandview_Inventory[[#This Row],[final_det]]+Grandview_Inventory[[#This Row],[final_res]]</f>
        <v>190400</v>
      </c>
      <c r="CE2118">
        <f>Grandview_Inventory[[#This Row],[final_land]]+Grandview_Inventory[[#This Row],[final_imp]]+Grandview_Inventory[[#This Row],[crop_value]]</f>
        <v>241500</v>
      </c>
      <c r="CG2118" t="str">
        <f t="shared" si="33"/>
        <v>update valuation set market_land =51100, market_bldg=190400, market_total =241500, market_mdno =401, market_date ='9/10/2023' where link_id = (select link_id from parcel where parcel_year = '2024' and parcel_id = '23092423500');</v>
      </c>
    </row>
    <row r="2119" spans="1:85" x14ac:dyDescent="0.25">
      <c r="A2119">
        <v>23092423501</v>
      </c>
      <c r="B2119">
        <v>0.28000000000000003</v>
      </c>
      <c r="C2119">
        <v>12353</v>
      </c>
      <c r="D2119" t="s">
        <v>129</v>
      </c>
      <c r="E2119" t="s">
        <v>53</v>
      </c>
      <c r="F2119" t="s">
        <v>53</v>
      </c>
      <c r="G2119">
        <v>4</v>
      </c>
      <c r="H2119" t="s">
        <v>54</v>
      </c>
      <c r="I2119">
        <v>178700</v>
      </c>
      <c r="J2119">
        <v>41900</v>
      </c>
      <c r="K2119">
        <v>0.28000000000000003</v>
      </c>
      <c r="L2119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2119">
        <v>0</v>
      </c>
      <c r="N2119">
        <v>0</v>
      </c>
      <c r="O2119">
        <v>0</v>
      </c>
      <c r="P2119">
        <v>13398.7528</v>
      </c>
      <c r="Q2119">
        <v>63903</v>
      </c>
      <c r="R2119">
        <f>(Grandview_Inventory[[#This Row],[ln_acres]]*Grandview_Inventory[[#This Row],[coeff]])+Grandview_Inventory[[#This Row],[const]]</f>
        <v>46846.847586898184</v>
      </c>
      <c r="S2119" t="s">
        <v>68</v>
      </c>
      <c r="T2119">
        <v>1</v>
      </c>
      <c r="U2119" t="s">
        <v>70</v>
      </c>
      <c r="V2119" t="s">
        <v>67</v>
      </c>
      <c r="W2119">
        <v>0</v>
      </c>
      <c r="X2119">
        <v>0</v>
      </c>
      <c r="Y2119">
        <v>50</v>
      </c>
      <c r="Z2119">
        <v>73</v>
      </c>
      <c r="AA2119">
        <v>80</v>
      </c>
      <c r="AB2119">
        <v>1500</v>
      </c>
      <c r="AC2119">
        <v>1392</v>
      </c>
      <c r="AD2119">
        <v>1392</v>
      </c>
      <c r="AE2119">
        <v>0</v>
      </c>
      <c r="AF2119">
        <v>0</v>
      </c>
      <c r="AG2119">
        <v>0</v>
      </c>
      <c r="AH2119">
        <v>108</v>
      </c>
      <c r="AI2119">
        <v>0</v>
      </c>
      <c r="AJ2119">
        <v>0</v>
      </c>
      <c r="AK2119">
        <v>0</v>
      </c>
      <c r="AL2119">
        <v>98</v>
      </c>
      <c r="AM2119">
        <v>0</v>
      </c>
      <c r="AN2119">
        <v>25</v>
      </c>
      <c r="AO2119">
        <v>0</v>
      </c>
      <c r="AP2119">
        <v>8</v>
      </c>
      <c r="AQ2119">
        <v>0</v>
      </c>
      <c r="AR2119">
        <v>0</v>
      </c>
      <c r="AS2119" t="s">
        <v>58</v>
      </c>
      <c r="AT2119">
        <v>1</v>
      </c>
      <c r="AU2119" t="s">
        <v>63</v>
      </c>
      <c r="AV2119" t="s">
        <v>60</v>
      </c>
      <c r="AW2119">
        <v>0</v>
      </c>
      <c r="AX2119">
        <v>3</v>
      </c>
      <c r="AY2119">
        <v>0</v>
      </c>
      <c r="AZ2119">
        <v>0</v>
      </c>
      <c r="BA2119">
        <v>100</v>
      </c>
      <c r="BB2119">
        <v>100</v>
      </c>
      <c r="BC2119">
        <v>100</v>
      </c>
      <c r="BD2119">
        <v>100</v>
      </c>
      <c r="BE2119">
        <v>1</v>
      </c>
      <c r="BF2119">
        <v>15000</v>
      </c>
      <c r="BG2119">
        <v>1000</v>
      </c>
      <c r="BH2119" s="6">
        <f>Grandview_Inventory[[#This Row],[land_extract]]*Lookups!$B$3</f>
        <v>54403.117616176372</v>
      </c>
      <c r="BI2119" s="6">
        <f>IF(Grandview_Inventory[[#This Row],[bldg_style]]="",0,Lookups!$B$2)</f>
        <v>155833.95000000001</v>
      </c>
      <c r="BJ2119" s="6">
        <f>_xlfn.IFNA(VLOOKUP(Grandview_Inventory[[#This Row],[quality]],Lookups!$H$2:$J$14,3,FALSE),0)</f>
        <v>10733</v>
      </c>
      <c r="BK2119" s="6">
        <f>_xlfn.IFNA(VLOOKUP(Grandview_Inventory[[#This Row],[condition]],Lookups!$H$17:$J$24,3,FALSE),0)</f>
        <v>22342</v>
      </c>
      <c r="BL2119" s="6">
        <f>Grandview_Inventory[[#This Row],[Eff_Age]]*Lookups!$B$14</f>
        <v>-11958.33</v>
      </c>
      <c r="BM2119" s="6">
        <f>Grandview_Inventory[[#This Row],[living_area]]*Lookups!$B$15</f>
        <v>86834.147376000008</v>
      </c>
      <c r="BN2119" s="6">
        <f>Grandview_Inventory[[#This Row],[Fin BSMT]]*Lookups!$B$16</f>
        <v>0</v>
      </c>
      <c r="BO2119" s="6">
        <f>(Grandview_Inventory[[#This Row],[att_gar]]+Grandview_Inventory[[#This Row],[bltin_gar]])*Lookups!$B$17</f>
        <v>0</v>
      </c>
      <c r="BP2119" s="6">
        <f>Grandview_Inventory[[#This Row],[Plumbing Fixtures]]*Lookups!$B$18</f>
        <v>16083.5344</v>
      </c>
      <c r="BQ2119" s="6">
        <f>Grandview_Inventory[[#This Row],[detatched_value]]*Lookups!$B$19</f>
        <v>0</v>
      </c>
      <c r="BR2119" s="6">
        <f>SUM(Grandview_Inventory[[#This Row],[Intercept]:[det_value]])*Grandview_Inventory[[#This Row],[res_pct]]</f>
        <v>279868.30177600007</v>
      </c>
      <c r="BS2119" s="6">
        <f>Grandview_Inventory[[#This Row],[land_value]]</f>
        <v>54403.117616176372</v>
      </c>
      <c r="BT2119" s="4">
        <f>_xlfn.IFNA(VLOOKUP(Grandview_Inventory[[#This Row],[quality]],Lookups!$A$26:$C$33,3,FALSE),1)</f>
        <v>0.98079741117310582</v>
      </c>
      <c r="BU2119" s="4">
        <f>_xlfn.IFNA(VLOOKUP(Grandview_Inventory[[#This Row],[condition]],Lookups!$A$37:$C$44,3,FALSE),1)</f>
        <v>0.97383723671140243</v>
      </c>
      <c r="BV2119" s="4">
        <f>IF(Grandview_Inventory[[#This Row],[bldg_style]]="",1,_xlfn.IFNA(VLOOKUP(Grandview_Inventory[[#This Row],[decade]],Lookups!$F$29:$H$43,3,FALSE),1))</f>
        <v>0.98763256963907298</v>
      </c>
      <c r="BW2119" s="4">
        <f>_xlfn.IFNA(VLOOKUP(Grandview_Inventory[[#This Row],[living_area_range]],Lookups!$F$47:$H$56,3,FALSE),1)</f>
        <v>0.96135087979789358</v>
      </c>
      <c r="BX2119" s="4">
        <f>AVERAGE(Grandview_Inventory[[#This Row],[qual_adj]:[size_adj]])</f>
        <v>0.97590452433036867</v>
      </c>
      <c r="BY2119" s="6">
        <f>IF(Grandview_Inventory[[#This Row],[pre_res]]&lt;0,0,Grandview_Inventory[[#This Row],[pre_res]]*Grandview_Inventory[[#This Row],[overall_adj]])</f>
        <v>273124.74191985541</v>
      </c>
      <c r="BZ2119" s="6">
        <f>(Grandview_Inventory[[#This Row],[sum_land]]-IF(Grandview_Inventory[[#This Row],[no_utilities]]=1,12000,0))/IF(Grandview_Inventory[[#This Row],[unbuildable]]=1,2,1)</f>
        <v>54403.117616176372</v>
      </c>
      <c r="CA2119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2119">
        <f>ROUND(Grandview_Inventory[[#This Row],[det_value]]*Lookups!$M$28,-2)</f>
        <v>0</v>
      </c>
      <c r="CC2119">
        <f>IF(ROUND(Grandview_Inventory[[#This Row],[adj_res]]*Lookups!$M$28,-2)&lt;Grandview_Inventory[[#This Row],[min_res]],Grandview_Inventory[[#This Row],[min_res]],ROUND(Grandview_Inventory[[#This Row],[adj_res]]*Lookups!$M$28,-2))</f>
        <v>259500</v>
      </c>
      <c r="CD2119">
        <f>Grandview_Inventory[[#This Row],[final_det]]+Grandview_Inventory[[#This Row],[final_res]]</f>
        <v>259500</v>
      </c>
      <c r="CE2119">
        <f>Grandview_Inventory[[#This Row],[final_land]]+Grandview_Inventory[[#This Row],[final_imp]]+Grandview_Inventory[[#This Row],[crop_value]]</f>
        <v>311200</v>
      </c>
      <c r="CG2119" t="str">
        <f t="shared" si="33"/>
        <v>update valuation set market_land =51700, market_bldg=259500, market_total =311200, market_mdno =401, market_date ='9/10/2023' where link_id = (select link_id from parcel where parcel_year = '2024' and parcel_id = '23092423501');</v>
      </c>
    </row>
    <row r="2120" spans="1:85" x14ac:dyDescent="0.25">
      <c r="A2120">
        <v>23092423502</v>
      </c>
      <c r="B2120">
        <v>0.56999999999999995</v>
      </c>
      <c r="C2120">
        <v>24800</v>
      </c>
      <c r="D2120" t="s">
        <v>129</v>
      </c>
      <c r="E2120" t="s">
        <v>53</v>
      </c>
      <c r="F2120" t="s">
        <v>53</v>
      </c>
      <c r="G2120">
        <v>4</v>
      </c>
      <c r="H2120" t="s">
        <v>54</v>
      </c>
      <c r="I2120">
        <v>154900</v>
      </c>
      <c r="J2120">
        <v>48700</v>
      </c>
      <c r="K2120">
        <v>0.56999999999999995</v>
      </c>
      <c r="L2120">
        <f>IF(Grandview_Inventory[[#This Row],[parcel_acres]]-Grandview_Inventory[[#This Row],[non_valued_acres]] =0,0,LN(Grandview_Inventory[[#This Row],[parcel_acres]]-Grandview_Inventory[[#This Row],[non_valued_acres]]))</f>
        <v>-0.56211891815354131</v>
      </c>
      <c r="M2120">
        <v>0</v>
      </c>
      <c r="N2120">
        <v>0</v>
      </c>
      <c r="O2120">
        <v>0</v>
      </c>
      <c r="P2120">
        <v>13398.7528</v>
      </c>
      <c r="Q2120">
        <v>63903</v>
      </c>
      <c r="R2120">
        <f>(Grandview_Inventory[[#This Row],[ln_acres]]*Grandview_Inventory[[#This Row],[coeff]])+Grandview_Inventory[[#This Row],[const]]</f>
        <v>56371.30757145727</v>
      </c>
      <c r="S2120" t="s">
        <v>68</v>
      </c>
      <c r="T2120">
        <v>1</v>
      </c>
      <c r="U2120" t="s">
        <v>70</v>
      </c>
      <c r="V2120" t="s">
        <v>69</v>
      </c>
      <c r="W2120">
        <v>0</v>
      </c>
      <c r="X2120">
        <v>0</v>
      </c>
      <c r="Y2120">
        <v>51</v>
      </c>
      <c r="Z2120">
        <v>78</v>
      </c>
      <c r="AA2120">
        <v>80</v>
      </c>
      <c r="AB2120">
        <v>2000</v>
      </c>
      <c r="AC2120">
        <v>1547</v>
      </c>
      <c r="AD2120">
        <v>1467</v>
      </c>
      <c r="AE2120">
        <v>0</v>
      </c>
      <c r="AF2120">
        <v>80</v>
      </c>
      <c r="AG2120">
        <v>0</v>
      </c>
      <c r="AH2120">
        <v>100</v>
      </c>
      <c r="AI2120">
        <v>0</v>
      </c>
      <c r="AJ2120">
        <v>0</v>
      </c>
      <c r="AK2120">
        <v>220</v>
      </c>
      <c r="AL2120">
        <v>0</v>
      </c>
      <c r="AM2120">
        <v>192</v>
      </c>
      <c r="AN2120">
        <v>0</v>
      </c>
      <c r="AO2120">
        <v>382</v>
      </c>
      <c r="AP2120">
        <v>5</v>
      </c>
      <c r="AQ2120">
        <v>0</v>
      </c>
      <c r="AR2120">
        <v>0</v>
      </c>
      <c r="AS2120" t="s">
        <v>58</v>
      </c>
      <c r="AT2120">
        <v>1</v>
      </c>
      <c r="AU2120" t="s">
        <v>63</v>
      </c>
      <c r="AV2120" t="s">
        <v>60</v>
      </c>
      <c r="AW2120">
        <v>0</v>
      </c>
      <c r="AX2120">
        <v>3</v>
      </c>
      <c r="AY2120">
        <v>0</v>
      </c>
      <c r="AZ2120">
        <v>4500</v>
      </c>
      <c r="BA2120">
        <v>100</v>
      </c>
      <c r="BB2120">
        <v>100</v>
      </c>
      <c r="BC2120">
        <v>100</v>
      </c>
      <c r="BD2120">
        <v>100</v>
      </c>
      <c r="BE2120">
        <v>1</v>
      </c>
      <c r="BF2120">
        <v>15000</v>
      </c>
      <c r="BG2120">
        <v>1000</v>
      </c>
      <c r="BH2120" s="6">
        <f>Grandview_Inventory[[#This Row],[land_extract]]*Lookups!$B$3</f>
        <v>65463.847280202885</v>
      </c>
      <c r="BI2120" s="6">
        <f>IF(Grandview_Inventory[[#This Row],[bldg_style]]="",0,Lookups!$B$2)</f>
        <v>155833.95000000001</v>
      </c>
      <c r="BJ2120" s="6">
        <f>_xlfn.IFNA(VLOOKUP(Grandview_Inventory[[#This Row],[quality]],Lookups!$H$2:$J$14,3,FALSE),0)</f>
        <v>10733</v>
      </c>
      <c r="BK2120" s="6">
        <f>_xlfn.IFNA(VLOOKUP(Grandview_Inventory[[#This Row],[condition]],Lookups!$H$17:$J$24,3,FALSE),0)</f>
        <v>-4503</v>
      </c>
      <c r="BL2120" s="6">
        <f>Grandview_Inventory[[#This Row],[Eff_Age]]*Lookups!$B$14</f>
        <v>-12197.496599999999</v>
      </c>
      <c r="BM2120" s="6">
        <f>Grandview_Inventory[[#This Row],[living_area]]*Lookups!$B$15</f>
        <v>96503.179591000007</v>
      </c>
      <c r="BN2120" s="6">
        <f>Grandview_Inventory[[#This Row],[Fin BSMT]]*Lookups!$B$16</f>
        <v>0</v>
      </c>
      <c r="BO2120" s="6">
        <f>(Grandview_Inventory[[#This Row],[att_gar]]+Grandview_Inventory[[#This Row],[bltin_gar]])*Lookups!$B$17</f>
        <v>0</v>
      </c>
      <c r="BP2120" s="6">
        <f>Grandview_Inventory[[#This Row],[Plumbing Fixtures]]*Lookups!$B$18</f>
        <v>10052.209000000001</v>
      </c>
      <c r="BQ2120" s="6">
        <f>Grandview_Inventory[[#This Row],[detatched_value]]*Lookups!$B$19</f>
        <v>3810.6229499999999</v>
      </c>
      <c r="BR2120" s="6">
        <f>SUM(Grandview_Inventory[[#This Row],[Intercept]:[det_value]])*Grandview_Inventory[[#This Row],[res_pct]]</f>
        <v>260232.46494100001</v>
      </c>
      <c r="BS2120" s="6">
        <f>Grandview_Inventory[[#This Row],[land_value]]</f>
        <v>65463.847280202885</v>
      </c>
      <c r="BT2120" s="4">
        <f>_xlfn.IFNA(VLOOKUP(Grandview_Inventory[[#This Row],[quality]],Lookups!$A$26:$C$33,3,FALSE),1)</f>
        <v>0.98079741117310582</v>
      </c>
      <c r="BU2120" s="4">
        <f>_xlfn.IFNA(VLOOKUP(Grandview_Inventory[[#This Row],[condition]],Lookups!$A$37:$C$44,3,FALSE),1)</f>
        <v>0.96469275950863709</v>
      </c>
      <c r="BV2120" s="4">
        <f>IF(Grandview_Inventory[[#This Row],[bldg_style]]="",1,_xlfn.IFNA(VLOOKUP(Grandview_Inventory[[#This Row],[decade]],Lookups!$F$29:$H$43,3,FALSE),1))</f>
        <v>0.98763256963907298</v>
      </c>
      <c r="BW2120" s="4">
        <f>_xlfn.IFNA(VLOOKUP(Grandview_Inventory[[#This Row],[living_area_range]],Lookups!$F$47:$H$56,3,FALSE),1)</f>
        <v>0.96120133463014379</v>
      </c>
      <c r="BX2120" s="4">
        <f>AVERAGE(Grandview_Inventory[[#This Row],[qual_adj]:[size_adj]])</f>
        <v>0.97358101873773983</v>
      </c>
      <c r="BY2120" s="6">
        <f>IF(Grandview_Inventory[[#This Row],[pre_res]]&lt;0,0,Grandview_Inventory[[#This Row],[pre_res]]*Grandview_Inventory[[#This Row],[overall_adj]])</f>
        <v>253357.38832589195</v>
      </c>
      <c r="BZ2120" s="6">
        <f>(Grandview_Inventory[[#This Row],[sum_land]]-IF(Grandview_Inventory[[#This Row],[no_utilities]]=1,12000,0))/IF(Grandview_Inventory[[#This Row],[unbuildable]]=1,2,1)</f>
        <v>65463.847280202885</v>
      </c>
      <c r="CA2120">
        <f>IF(ROUND(Grandview_Inventory[[#This Row],[adj_land]]*Lookups!$M$28,-2)&lt;Grandview_Inventory[[#This Row],[min_land]],Grandview_Inventory[[#This Row],[min_land]],ROUND(Grandview_Inventory[[#This Row],[adj_land]]*Lookups!$M$28,-2))</f>
        <v>62200</v>
      </c>
      <c r="CB2120">
        <f>ROUND(Grandview_Inventory[[#This Row],[det_value]]*Lookups!$M$28,-2)</f>
        <v>3600</v>
      </c>
      <c r="CC2120">
        <f>IF(ROUND(Grandview_Inventory[[#This Row],[adj_res]]*Lookups!$M$28,-2)&lt;Grandview_Inventory[[#This Row],[min_res]],Grandview_Inventory[[#This Row],[min_res]],ROUND(Grandview_Inventory[[#This Row],[adj_res]]*Lookups!$M$28,-2))</f>
        <v>240700</v>
      </c>
      <c r="CD2120">
        <f>Grandview_Inventory[[#This Row],[final_det]]+Grandview_Inventory[[#This Row],[final_res]]</f>
        <v>244300</v>
      </c>
      <c r="CE2120">
        <f>Grandview_Inventory[[#This Row],[final_land]]+Grandview_Inventory[[#This Row],[final_imp]]+Grandview_Inventory[[#This Row],[crop_value]]</f>
        <v>306500</v>
      </c>
      <c r="CG2120" t="str">
        <f t="shared" si="33"/>
        <v>update valuation set market_land =62200, market_bldg=244300, market_total =306500, market_mdno =401, market_date ='9/10/2023' where link_id = (select link_id from parcel where parcel_year = '2024' and parcel_id = '23092423502');</v>
      </c>
    </row>
    <row r="2121" spans="1:85" x14ac:dyDescent="0.25">
      <c r="A2121">
        <v>23092423503</v>
      </c>
      <c r="B2121">
        <v>0.52</v>
      </c>
      <c r="C2121">
        <v>22645</v>
      </c>
      <c r="D2121" t="s">
        <v>129</v>
      </c>
      <c r="E2121" t="s">
        <v>53</v>
      </c>
      <c r="F2121" t="s">
        <v>53</v>
      </c>
      <c r="G2121">
        <v>4</v>
      </c>
      <c r="H2121" t="s">
        <v>54</v>
      </c>
      <c r="I2121">
        <v>169700</v>
      </c>
      <c r="J2121">
        <v>48400</v>
      </c>
      <c r="K2121">
        <v>0.52</v>
      </c>
      <c r="L2121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2121">
        <v>0</v>
      </c>
      <c r="N2121">
        <v>0</v>
      </c>
      <c r="O2121">
        <v>0</v>
      </c>
      <c r="P2121">
        <v>13398.7528</v>
      </c>
      <c r="Q2121">
        <v>63903</v>
      </c>
      <c r="R2121">
        <f>(Grandview_Inventory[[#This Row],[ln_acres]]*Grandview_Inventory[[#This Row],[coeff]])+Grandview_Inventory[[#This Row],[const]]</f>
        <v>55141.200913840854</v>
      </c>
      <c r="S2121" t="s">
        <v>68</v>
      </c>
      <c r="T2121">
        <v>1</v>
      </c>
      <c r="U2121" t="s">
        <v>65</v>
      </c>
      <c r="V2121" t="s">
        <v>69</v>
      </c>
      <c r="W2121">
        <v>0</v>
      </c>
      <c r="X2121">
        <v>0</v>
      </c>
      <c r="Y2121">
        <v>50</v>
      </c>
      <c r="Z2121">
        <v>73</v>
      </c>
      <c r="AA2121">
        <v>80</v>
      </c>
      <c r="AB2121">
        <v>1500</v>
      </c>
      <c r="AC2121">
        <v>1411</v>
      </c>
      <c r="AD2121">
        <v>1411</v>
      </c>
      <c r="AE2121">
        <v>0</v>
      </c>
      <c r="AF2121">
        <v>0</v>
      </c>
      <c r="AG2121">
        <v>0</v>
      </c>
      <c r="AH2121">
        <v>120</v>
      </c>
      <c r="AI2121">
        <v>0</v>
      </c>
      <c r="AJ2121">
        <v>0</v>
      </c>
      <c r="AK2121">
        <v>0</v>
      </c>
      <c r="AL2121">
        <v>0</v>
      </c>
      <c r="AM2121">
        <v>252</v>
      </c>
      <c r="AN2121">
        <v>56</v>
      </c>
      <c r="AO2121">
        <v>252</v>
      </c>
      <c r="AP2121">
        <v>5</v>
      </c>
      <c r="AQ2121">
        <v>0</v>
      </c>
      <c r="AR2121">
        <v>0</v>
      </c>
      <c r="AS2121" t="s">
        <v>58</v>
      </c>
      <c r="AT2121">
        <v>1</v>
      </c>
      <c r="AU2121" t="s">
        <v>63</v>
      </c>
      <c r="AV2121" t="s">
        <v>64</v>
      </c>
      <c r="AW2121">
        <v>1</v>
      </c>
      <c r="AX2121">
        <v>2</v>
      </c>
      <c r="AY2121">
        <v>0</v>
      </c>
      <c r="AZ2121">
        <v>26600</v>
      </c>
      <c r="BA2121">
        <v>100</v>
      </c>
      <c r="BB2121">
        <v>100</v>
      </c>
      <c r="BC2121">
        <v>100</v>
      </c>
      <c r="BD2121">
        <v>100</v>
      </c>
      <c r="BE2121">
        <v>1</v>
      </c>
      <c r="BF2121">
        <v>15000</v>
      </c>
      <c r="BG2121">
        <v>1000</v>
      </c>
      <c r="BH2121" s="6">
        <f>Grandview_Inventory[[#This Row],[land_extract]]*Lookups!$B$3</f>
        <v>64035.327740000917</v>
      </c>
      <c r="BI2121" s="6">
        <f>IF(Grandview_Inventory[[#This Row],[bldg_style]]="",0,Lookups!$B$2)</f>
        <v>155833.95000000001</v>
      </c>
      <c r="BJ2121" s="6">
        <f>_xlfn.IFNA(VLOOKUP(Grandview_Inventory[[#This Row],[quality]],Lookups!$H$2:$J$14,3,FALSE),0)</f>
        <v>2251</v>
      </c>
      <c r="BK2121" s="6">
        <f>_xlfn.IFNA(VLOOKUP(Grandview_Inventory[[#This Row],[condition]],Lookups!$H$17:$J$24,3,FALSE),0)</f>
        <v>-4503</v>
      </c>
      <c r="BL2121" s="6">
        <f>Grandview_Inventory[[#This Row],[Eff_Age]]*Lookups!$B$14</f>
        <v>-11958.33</v>
      </c>
      <c r="BM2121" s="6">
        <f>Grandview_Inventory[[#This Row],[living_area]]*Lookups!$B$15</f>
        <v>88019.383583000003</v>
      </c>
      <c r="BN2121" s="6">
        <f>Grandview_Inventory[[#This Row],[Fin BSMT]]*Lookups!$B$16</f>
        <v>0</v>
      </c>
      <c r="BO2121" s="6">
        <f>(Grandview_Inventory[[#This Row],[att_gar]]+Grandview_Inventory[[#This Row],[bltin_gar]])*Lookups!$B$17</f>
        <v>0</v>
      </c>
      <c r="BP2121" s="6">
        <f>Grandview_Inventory[[#This Row],[Plumbing Fixtures]]*Lookups!$B$18</f>
        <v>10052.209000000001</v>
      </c>
      <c r="BQ2121" s="6">
        <f>Grandview_Inventory[[#This Row],[detatched_value]]*Lookups!$B$19</f>
        <v>22525.015660000001</v>
      </c>
      <c r="BR2121" s="6">
        <f>SUM(Grandview_Inventory[[#This Row],[Intercept]:[det_value]])*Grandview_Inventory[[#This Row],[res_pct]]</f>
        <v>262220.22824300005</v>
      </c>
      <c r="BS2121" s="6">
        <f>Grandview_Inventory[[#This Row],[land_value]]</f>
        <v>64035.327740000917</v>
      </c>
      <c r="BT2121" s="4">
        <f>_xlfn.IFNA(VLOOKUP(Grandview_Inventory[[#This Row],[quality]],Lookups!$A$26:$C$33,3,FALSE),1)</f>
        <v>0.98763855981004833</v>
      </c>
      <c r="BU2121" s="4">
        <f>_xlfn.IFNA(VLOOKUP(Grandview_Inventory[[#This Row],[condition]],Lookups!$A$37:$C$44,3,FALSE),1)</f>
        <v>0.96469275950863709</v>
      </c>
      <c r="BV2121" s="4">
        <f>IF(Grandview_Inventory[[#This Row],[bldg_style]]="",1,_xlfn.IFNA(VLOOKUP(Grandview_Inventory[[#This Row],[decade]],Lookups!$F$29:$H$43,3,FALSE),1))</f>
        <v>0.98763256963907298</v>
      </c>
      <c r="BW2121" s="4">
        <f>_xlfn.IFNA(VLOOKUP(Grandview_Inventory[[#This Row],[living_area_range]],Lookups!$F$47:$H$56,3,FALSE),1)</f>
        <v>0.96135087979789358</v>
      </c>
      <c r="BX2121" s="4">
        <f>AVERAGE(Grandview_Inventory[[#This Row],[qual_adj]:[size_adj]])</f>
        <v>0.97532869218891294</v>
      </c>
      <c r="BY2121" s="6">
        <f>IF(Grandview_Inventory[[#This Row],[pre_res]]&lt;0,0,Grandview_Inventory[[#This Row],[pre_res]]*Grandview_Inventory[[#This Row],[overall_adj]])</f>
        <v>255750.91227772349</v>
      </c>
      <c r="BZ2121" s="6">
        <f>(Grandview_Inventory[[#This Row],[sum_land]]-IF(Grandview_Inventory[[#This Row],[no_utilities]]=1,12000,0))/IF(Grandview_Inventory[[#This Row],[unbuildable]]=1,2,1)</f>
        <v>64035.327740000917</v>
      </c>
      <c r="CA2121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2121">
        <f>ROUND(Grandview_Inventory[[#This Row],[det_value]]*Lookups!$M$28,-2)</f>
        <v>21400</v>
      </c>
      <c r="CC2121">
        <f>IF(ROUND(Grandview_Inventory[[#This Row],[adj_res]]*Lookups!$M$28,-2)&lt;Grandview_Inventory[[#This Row],[min_res]],Grandview_Inventory[[#This Row],[min_res]],ROUND(Grandview_Inventory[[#This Row],[adj_res]]*Lookups!$M$28,-2))</f>
        <v>243000</v>
      </c>
      <c r="CD2121">
        <f>Grandview_Inventory[[#This Row],[final_det]]+Grandview_Inventory[[#This Row],[final_res]]</f>
        <v>264400</v>
      </c>
      <c r="CE2121">
        <f>Grandview_Inventory[[#This Row],[final_land]]+Grandview_Inventory[[#This Row],[final_imp]]+Grandview_Inventory[[#This Row],[crop_value]]</f>
        <v>325200</v>
      </c>
      <c r="CG2121" t="str">
        <f t="shared" si="33"/>
        <v>update valuation set market_land =60800, market_bldg=264400, market_total =325200, market_mdno =401, market_date ='9/10/2023' where link_id = (select link_id from parcel where parcel_year = '2024' and parcel_id = '23092423503');</v>
      </c>
    </row>
    <row r="2122" spans="1:85" x14ac:dyDescent="0.25">
      <c r="A2122">
        <v>23092423504</v>
      </c>
      <c r="B2122">
        <v>0.43</v>
      </c>
      <c r="C2122">
        <v>18783</v>
      </c>
      <c r="D2122" t="s">
        <v>129</v>
      </c>
      <c r="E2122" t="s">
        <v>53</v>
      </c>
      <c r="F2122" t="s">
        <v>53</v>
      </c>
      <c r="G2122">
        <v>4</v>
      </c>
      <c r="H2122" t="s">
        <v>54</v>
      </c>
      <c r="I2122">
        <v>173600</v>
      </c>
      <c r="J2122">
        <v>43000</v>
      </c>
      <c r="K2122">
        <v>0.43</v>
      </c>
      <c r="L2122">
        <f>IF(Grandview_Inventory[[#This Row],[parcel_acres]]-Grandview_Inventory[[#This Row],[non_valued_acres]] =0,0,LN(Grandview_Inventory[[#This Row],[parcel_acres]]-Grandview_Inventory[[#This Row],[non_valued_acres]]))</f>
        <v>-0.84397007029452897</v>
      </c>
      <c r="M2122">
        <v>0</v>
      </c>
      <c r="N2122">
        <v>0</v>
      </c>
      <c r="O2122">
        <v>0</v>
      </c>
      <c r="P2122">
        <v>13398.7528</v>
      </c>
      <c r="Q2122">
        <v>63903</v>
      </c>
      <c r="R2122">
        <f>(Grandview_Inventory[[#This Row],[ln_acres]]*Grandview_Inventory[[#This Row],[coeff]])+Grandview_Inventory[[#This Row],[const]]</f>
        <v>52594.853657524982</v>
      </c>
      <c r="S2122" t="s">
        <v>85</v>
      </c>
      <c r="T2122">
        <v>1</v>
      </c>
      <c r="U2122" t="s">
        <v>62</v>
      </c>
      <c r="V2122" t="s">
        <v>69</v>
      </c>
      <c r="W2122">
        <v>0</v>
      </c>
      <c r="X2122">
        <v>0</v>
      </c>
      <c r="Y2122">
        <v>49</v>
      </c>
      <c r="Z2122">
        <v>77</v>
      </c>
      <c r="AA2122">
        <v>80</v>
      </c>
      <c r="AB2122">
        <v>2000</v>
      </c>
      <c r="AC2122">
        <v>1956</v>
      </c>
      <c r="AD2122">
        <v>1956</v>
      </c>
      <c r="AE2122">
        <v>0</v>
      </c>
      <c r="AF2122">
        <v>0</v>
      </c>
      <c r="AG2122">
        <v>0</v>
      </c>
      <c r="AH2122">
        <v>240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64</v>
      </c>
      <c r="AO2122">
        <v>0</v>
      </c>
      <c r="AP2122">
        <v>8</v>
      </c>
      <c r="AQ2122">
        <v>0</v>
      </c>
      <c r="AR2122">
        <v>0</v>
      </c>
      <c r="AS2122" t="s">
        <v>58</v>
      </c>
      <c r="AT2122">
        <v>1</v>
      </c>
      <c r="AU2122" t="s">
        <v>59</v>
      </c>
      <c r="AV2122" t="s">
        <v>64</v>
      </c>
      <c r="AW2122">
        <v>1</v>
      </c>
      <c r="AX2122">
        <v>2</v>
      </c>
      <c r="AY2122">
        <v>0</v>
      </c>
      <c r="AZ2122">
        <v>8800</v>
      </c>
      <c r="BA2122">
        <v>100</v>
      </c>
      <c r="BB2122">
        <v>100</v>
      </c>
      <c r="BC2122">
        <v>100</v>
      </c>
      <c r="BD2122">
        <v>100</v>
      </c>
      <c r="BE2122">
        <v>1</v>
      </c>
      <c r="BF2122">
        <v>15000</v>
      </c>
      <c r="BG2122">
        <v>1000</v>
      </c>
      <c r="BH2122" s="6">
        <f>Grandview_Inventory[[#This Row],[land_extract]]*Lookups!$B$3</f>
        <v>61078.261546378882</v>
      </c>
      <c r="BI2122" s="6">
        <f>IF(Grandview_Inventory[[#This Row],[bldg_style]]="",0,Lookups!$B$2)</f>
        <v>155833.95000000001</v>
      </c>
      <c r="BJ2122" s="6">
        <f>_xlfn.IFNA(VLOOKUP(Grandview_Inventory[[#This Row],[quality]],Lookups!$H$2:$J$14,3,FALSE),0)</f>
        <v>9808</v>
      </c>
      <c r="BK2122" s="6">
        <f>_xlfn.IFNA(VLOOKUP(Grandview_Inventory[[#This Row],[condition]],Lookups!$H$17:$J$24,3,FALSE),0)</f>
        <v>-4503</v>
      </c>
      <c r="BL2122" s="6">
        <f>Grandview_Inventory[[#This Row],[Eff_Age]]*Lookups!$B$14</f>
        <v>-11719.163399999999</v>
      </c>
      <c r="BM2122" s="6">
        <f>Grandview_Inventory[[#This Row],[living_area]]*Lookups!$B$15</f>
        <v>122016.948468</v>
      </c>
      <c r="BN2122" s="6">
        <f>Grandview_Inventory[[#This Row],[Fin BSMT]]*Lookups!$B$16</f>
        <v>0</v>
      </c>
      <c r="BO2122" s="6">
        <f>(Grandview_Inventory[[#This Row],[att_gar]]+Grandview_Inventory[[#This Row],[bltin_gar]])*Lookups!$B$17</f>
        <v>0</v>
      </c>
      <c r="BP2122" s="6">
        <f>Grandview_Inventory[[#This Row],[Plumbing Fixtures]]*Lookups!$B$18</f>
        <v>16083.5344</v>
      </c>
      <c r="BQ2122" s="6">
        <f>Grandview_Inventory[[#This Row],[detatched_value]]*Lookups!$B$19</f>
        <v>7451.8848799999996</v>
      </c>
      <c r="BR2122" s="6">
        <f>SUM(Grandview_Inventory[[#This Row],[Intercept]:[det_value]])*Grandview_Inventory[[#This Row],[res_pct]]</f>
        <v>294972.15434800007</v>
      </c>
      <c r="BS2122" s="6">
        <f>Grandview_Inventory[[#This Row],[land_value]]</f>
        <v>61078.261546378882</v>
      </c>
      <c r="BT2122" s="4">
        <f>_xlfn.IFNA(VLOOKUP(Grandview_Inventory[[#This Row],[quality]],Lookups!$A$26:$C$33,3,FALSE),1)</f>
        <v>0.94295468617355149</v>
      </c>
      <c r="BU2122" s="4">
        <f>_xlfn.IFNA(VLOOKUP(Grandview_Inventory[[#This Row],[condition]],Lookups!$A$37:$C$44,3,FALSE),1)</f>
        <v>0.96469275950863709</v>
      </c>
      <c r="BV2122" s="4">
        <f>IF(Grandview_Inventory[[#This Row],[bldg_style]]="",1,_xlfn.IFNA(VLOOKUP(Grandview_Inventory[[#This Row],[decade]],Lookups!$F$29:$H$43,3,FALSE),1))</f>
        <v>0.98763256963907298</v>
      </c>
      <c r="BW2122" s="4">
        <f>_xlfn.IFNA(VLOOKUP(Grandview_Inventory[[#This Row],[living_area_range]],Lookups!$F$47:$H$56,3,FALSE),1)</f>
        <v>0.96120133463014379</v>
      </c>
      <c r="BX2122" s="4">
        <f>AVERAGE(Grandview_Inventory[[#This Row],[qual_adj]:[size_adj]])</f>
        <v>0.96412033748785131</v>
      </c>
      <c r="BY2122" s="6">
        <f>IF(Grandview_Inventory[[#This Row],[pre_res]]&lt;0,0,Grandview_Inventory[[#This Row],[pre_res]]*Grandview_Inventory[[#This Row],[overall_adj]])</f>
        <v>284388.65299951239</v>
      </c>
      <c r="BZ2122" s="6">
        <f>(Grandview_Inventory[[#This Row],[sum_land]]-IF(Grandview_Inventory[[#This Row],[no_utilities]]=1,12000,0))/IF(Grandview_Inventory[[#This Row],[unbuildable]]=1,2,1)</f>
        <v>61078.261546378882</v>
      </c>
      <c r="CA2122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2122">
        <f>ROUND(Grandview_Inventory[[#This Row],[det_value]]*Lookups!$M$28,-2)</f>
        <v>7100</v>
      </c>
      <c r="CC2122">
        <f>IF(ROUND(Grandview_Inventory[[#This Row],[adj_res]]*Lookups!$M$28,-2)&lt;Grandview_Inventory[[#This Row],[min_res]],Grandview_Inventory[[#This Row],[min_res]],ROUND(Grandview_Inventory[[#This Row],[adj_res]]*Lookups!$M$28,-2))</f>
        <v>270200</v>
      </c>
      <c r="CD2122">
        <f>Grandview_Inventory[[#This Row],[final_det]]+Grandview_Inventory[[#This Row],[final_res]]</f>
        <v>277300</v>
      </c>
      <c r="CE2122">
        <f>Grandview_Inventory[[#This Row],[final_land]]+Grandview_Inventory[[#This Row],[final_imp]]+Grandview_Inventory[[#This Row],[crop_value]]</f>
        <v>335300</v>
      </c>
      <c r="CG2122" t="str">
        <f t="shared" si="33"/>
        <v>update valuation set market_land =58000, market_bldg=277300, market_total =335300, market_mdno =401, market_date ='9/10/2023' where link_id = (select link_id from parcel where parcel_year = '2024' and parcel_id = '23092423504');</v>
      </c>
    </row>
    <row r="2123" spans="1:85" x14ac:dyDescent="0.25">
      <c r="A2123">
        <v>23092423506</v>
      </c>
      <c r="B2123">
        <v>0.28000000000000003</v>
      </c>
      <c r="C2123">
        <v>11996</v>
      </c>
      <c r="D2123" t="s">
        <v>129</v>
      </c>
      <c r="E2123" t="s">
        <v>53</v>
      </c>
      <c r="F2123" t="s">
        <v>53</v>
      </c>
      <c r="G2123">
        <v>4</v>
      </c>
      <c r="H2123" t="s">
        <v>54</v>
      </c>
      <c r="I2123">
        <v>136700</v>
      </c>
      <c r="J2123">
        <v>41600</v>
      </c>
      <c r="K2123">
        <v>0.28000000000000003</v>
      </c>
      <c r="L2123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2123">
        <v>0</v>
      </c>
      <c r="N2123">
        <v>0</v>
      </c>
      <c r="O2123">
        <v>0</v>
      </c>
      <c r="P2123">
        <v>13398.7528</v>
      </c>
      <c r="Q2123">
        <v>63903</v>
      </c>
      <c r="R2123">
        <f>(Grandview_Inventory[[#This Row],[ln_acres]]*Grandview_Inventory[[#This Row],[coeff]])+Grandview_Inventory[[#This Row],[const]]</f>
        <v>46846.847586898184</v>
      </c>
      <c r="S2123" t="s">
        <v>68</v>
      </c>
      <c r="T2123">
        <v>1</v>
      </c>
      <c r="U2123" t="s">
        <v>80</v>
      </c>
      <c r="V2123" t="s">
        <v>67</v>
      </c>
      <c r="W2123">
        <v>0</v>
      </c>
      <c r="X2123">
        <v>0</v>
      </c>
      <c r="Y2123">
        <v>42</v>
      </c>
      <c r="Z2123">
        <v>78</v>
      </c>
      <c r="AA2123">
        <v>80</v>
      </c>
      <c r="AB2123">
        <v>1000</v>
      </c>
      <c r="AC2123">
        <v>896</v>
      </c>
      <c r="AD2123">
        <v>896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384</v>
      </c>
      <c r="AN2123">
        <v>0</v>
      </c>
      <c r="AO2123">
        <v>384</v>
      </c>
      <c r="AP2123">
        <v>5</v>
      </c>
      <c r="AQ2123">
        <v>0</v>
      </c>
      <c r="AR2123">
        <v>0</v>
      </c>
      <c r="AS2123" t="s">
        <v>58</v>
      </c>
      <c r="AT2123">
        <v>1</v>
      </c>
      <c r="AU2123" t="s">
        <v>63</v>
      </c>
      <c r="AV2123" t="s">
        <v>64</v>
      </c>
      <c r="AW2123">
        <v>1</v>
      </c>
      <c r="AX2123">
        <v>2</v>
      </c>
      <c r="AY2123">
        <v>0</v>
      </c>
      <c r="AZ2123">
        <v>0</v>
      </c>
      <c r="BA2123">
        <v>100</v>
      </c>
      <c r="BB2123">
        <v>100</v>
      </c>
      <c r="BC2123">
        <v>100</v>
      </c>
      <c r="BD2123">
        <v>100</v>
      </c>
      <c r="BE2123">
        <v>1</v>
      </c>
      <c r="BF2123">
        <v>15000</v>
      </c>
      <c r="BG2123">
        <v>1000</v>
      </c>
      <c r="BH2123" s="6">
        <f>Grandview_Inventory[[#This Row],[land_extract]]*Lookups!$B$3</f>
        <v>54403.117616176372</v>
      </c>
      <c r="BI2123" s="6">
        <f>IF(Grandview_Inventory[[#This Row],[bldg_style]]="",0,Lookups!$B$2)</f>
        <v>155833.95000000001</v>
      </c>
      <c r="BJ2123" s="6">
        <f>_xlfn.IFNA(VLOOKUP(Grandview_Inventory[[#This Row],[quality]],Lookups!$H$2:$J$14,3,FALSE),0)</f>
        <v>-28558</v>
      </c>
      <c r="BK2123" s="6">
        <f>_xlfn.IFNA(VLOOKUP(Grandview_Inventory[[#This Row],[condition]],Lookups!$H$17:$J$24,3,FALSE),0)</f>
        <v>22342</v>
      </c>
      <c r="BL2123" s="6">
        <f>Grandview_Inventory[[#This Row],[Eff_Age]]*Lookups!$B$14</f>
        <v>-10044.9972</v>
      </c>
      <c r="BM2123" s="6">
        <f>Grandview_Inventory[[#This Row],[living_area]]*Lookups!$B$15</f>
        <v>55893.244288000002</v>
      </c>
      <c r="BN2123" s="6">
        <f>Grandview_Inventory[[#This Row],[Fin BSMT]]*Lookups!$B$16</f>
        <v>0</v>
      </c>
      <c r="BO2123" s="6">
        <f>(Grandview_Inventory[[#This Row],[att_gar]]+Grandview_Inventory[[#This Row],[bltin_gar]])*Lookups!$B$17</f>
        <v>0</v>
      </c>
      <c r="BP2123" s="6">
        <f>Grandview_Inventory[[#This Row],[Plumbing Fixtures]]*Lookups!$B$18</f>
        <v>10052.209000000001</v>
      </c>
      <c r="BQ2123" s="6">
        <f>Grandview_Inventory[[#This Row],[detatched_value]]*Lookups!$B$19</f>
        <v>0</v>
      </c>
      <c r="BR2123" s="6">
        <f>SUM(Grandview_Inventory[[#This Row],[Intercept]:[det_value]])*Grandview_Inventory[[#This Row],[res_pct]]</f>
        <v>205518.40608800002</v>
      </c>
      <c r="BS2123" s="6">
        <f>Grandview_Inventory[[#This Row],[land_value]]</f>
        <v>54403.117616176372</v>
      </c>
      <c r="BT2123" s="4">
        <f>_xlfn.IFNA(VLOOKUP(Grandview_Inventory[[#This Row],[quality]],Lookups!$A$26:$C$33,3,FALSE),1)</f>
        <v>0.9690360070159818</v>
      </c>
      <c r="BU2123" s="4">
        <f>_xlfn.IFNA(VLOOKUP(Grandview_Inventory[[#This Row],[condition]],Lookups!$A$37:$C$44,3,FALSE),1)</f>
        <v>0.97383723671140243</v>
      </c>
      <c r="BV2123" s="4">
        <f>IF(Grandview_Inventory[[#This Row],[bldg_style]]="",1,_xlfn.IFNA(VLOOKUP(Grandview_Inventory[[#This Row],[decade]],Lookups!$F$29:$H$43,3,FALSE),1))</f>
        <v>0.98763256963907298</v>
      </c>
      <c r="BW2123" s="4">
        <f>_xlfn.IFNA(VLOOKUP(Grandview_Inventory[[#This Row],[living_area_range]],Lookups!$F$47:$H$56,3,FALSE),1)</f>
        <v>0.94306777142782894</v>
      </c>
      <c r="BX2123" s="4">
        <f>AVERAGE(Grandview_Inventory[[#This Row],[qual_adj]:[size_adj]])</f>
        <v>0.96839339619857145</v>
      </c>
      <c r="BY2123" s="6">
        <f>IF(Grandview_Inventory[[#This Row],[pre_res]]&lt;0,0,Grandview_Inventory[[#This Row],[pre_res]]*Grandview_Inventory[[#This Row],[overall_adj]])</f>
        <v>199022.66725287552</v>
      </c>
      <c r="BZ2123" s="6">
        <f>(Grandview_Inventory[[#This Row],[sum_land]]-IF(Grandview_Inventory[[#This Row],[no_utilities]]=1,12000,0))/IF(Grandview_Inventory[[#This Row],[unbuildable]]=1,2,1)</f>
        <v>54403.117616176372</v>
      </c>
      <c r="CA2123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2123">
        <f>ROUND(Grandview_Inventory[[#This Row],[det_value]]*Lookups!$M$28,-2)</f>
        <v>0</v>
      </c>
      <c r="CC2123">
        <f>IF(ROUND(Grandview_Inventory[[#This Row],[adj_res]]*Lookups!$M$28,-2)&lt;Grandview_Inventory[[#This Row],[min_res]],Grandview_Inventory[[#This Row],[min_res]],ROUND(Grandview_Inventory[[#This Row],[adj_res]]*Lookups!$M$28,-2))</f>
        <v>189100</v>
      </c>
      <c r="CD2123">
        <f>Grandview_Inventory[[#This Row],[final_det]]+Grandview_Inventory[[#This Row],[final_res]]</f>
        <v>189100</v>
      </c>
      <c r="CE2123">
        <f>Grandview_Inventory[[#This Row],[final_land]]+Grandview_Inventory[[#This Row],[final_imp]]+Grandview_Inventory[[#This Row],[crop_value]]</f>
        <v>240800</v>
      </c>
      <c r="CG2123" t="str">
        <f t="shared" si="33"/>
        <v>update valuation set market_land =51700, market_bldg=189100, market_total =240800, market_mdno =401, market_date ='9/10/2023' where link_id = (select link_id from parcel where parcel_year = '2024' and parcel_id = '23092423506');</v>
      </c>
    </row>
    <row r="2124" spans="1:85" x14ac:dyDescent="0.25">
      <c r="A2124">
        <v>23092423507</v>
      </c>
      <c r="B2124">
        <v>0.22</v>
      </c>
      <c r="C2124">
        <v>9702</v>
      </c>
      <c r="D2124" t="s">
        <v>129</v>
      </c>
      <c r="E2124" t="s">
        <v>53</v>
      </c>
      <c r="F2124" t="s">
        <v>53</v>
      </c>
      <c r="G2124">
        <v>4</v>
      </c>
      <c r="H2124" t="s">
        <v>54</v>
      </c>
      <c r="I2124">
        <v>118500</v>
      </c>
      <c r="J2124">
        <v>41200</v>
      </c>
      <c r="K2124">
        <v>0.22</v>
      </c>
      <c r="L212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124">
        <v>0</v>
      </c>
      <c r="N2124">
        <v>0</v>
      </c>
      <c r="O2124">
        <v>0</v>
      </c>
      <c r="P2124">
        <v>13398.7528</v>
      </c>
      <c r="Q2124">
        <v>63903</v>
      </c>
      <c r="R2124">
        <f>(Grandview_Inventory[[#This Row],[ln_acres]]*Grandview_Inventory[[#This Row],[coeff]])+Grandview_Inventory[[#This Row],[const]]</f>
        <v>43615.576802869145</v>
      </c>
      <c r="S2124" t="s">
        <v>68</v>
      </c>
      <c r="T2124">
        <v>1</v>
      </c>
      <c r="U2124" t="s">
        <v>83</v>
      </c>
      <c r="V2124" t="s">
        <v>95</v>
      </c>
      <c r="W2124">
        <v>0</v>
      </c>
      <c r="X2124">
        <v>0</v>
      </c>
      <c r="Y2124">
        <v>51</v>
      </c>
      <c r="Z2124">
        <v>78</v>
      </c>
      <c r="AA2124">
        <v>80</v>
      </c>
      <c r="AB2124">
        <v>1000</v>
      </c>
      <c r="AC2124">
        <v>700</v>
      </c>
      <c r="AD2124">
        <v>700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16</v>
      </c>
      <c r="AO2124">
        <v>0</v>
      </c>
      <c r="AP2124">
        <v>5</v>
      </c>
      <c r="AQ2124">
        <v>0</v>
      </c>
      <c r="AR2124">
        <v>0</v>
      </c>
      <c r="AS2124" t="s">
        <v>58</v>
      </c>
      <c r="AT2124">
        <v>0</v>
      </c>
      <c r="AU2124" t="s">
        <v>82</v>
      </c>
      <c r="AV2124" t="s">
        <v>64</v>
      </c>
      <c r="AW2124">
        <v>0</v>
      </c>
      <c r="AX2124">
        <v>2</v>
      </c>
      <c r="AY2124">
        <v>0</v>
      </c>
      <c r="AZ2124">
        <v>11400</v>
      </c>
      <c r="BA2124">
        <v>100</v>
      </c>
      <c r="BB2124">
        <v>100</v>
      </c>
      <c r="BC2124">
        <v>100</v>
      </c>
      <c r="BD2124">
        <v>100</v>
      </c>
      <c r="BE2124">
        <v>1</v>
      </c>
      <c r="BF2124">
        <v>15000</v>
      </c>
      <c r="BG2124">
        <v>1000</v>
      </c>
      <c r="BH2124" s="6">
        <f>Grandview_Inventory[[#This Row],[land_extract]]*Lookups!$B$3</f>
        <v>50650.651579114572</v>
      </c>
      <c r="BI2124" s="6">
        <f>IF(Grandview_Inventory[[#This Row],[bldg_style]]="",0,Lookups!$B$2)</f>
        <v>155833.95000000001</v>
      </c>
      <c r="BJ2124" s="6">
        <f>_xlfn.IFNA(VLOOKUP(Grandview_Inventory[[#This Row],[quality]],Lookups!$H$2:$J$14,3,FALSE),0)</f>
        <v>-28558</v>
      </c>
      <c r="BK2124" s="6">
        <f>_xlfn.IFNA(VLOOKUP(Grandview_Inventory[[#This Row],[condition]],Lookups!$H$17:$J$24,3,FALSE),0)</f>
        <v>-131057.86505744865</v>
      </c>
      <c r="BL2124" s="6">
        <f>Grandview_Inventory[[#This Row],[Eff_Age]]*Lookups!$B$14</f>
        <v>-12197.496599999999</v>
      </c>
      <c r="BM2124" s="6">
        <f>Grandview_Inventory[[#This Row],[living_area]]*Lookups!$B$15</f>
        <v>43666.597099999999</v>
      </c>
      <c r="BN2124" s="6">
        <f>Grandview_Inventory[[#This Row],[Fin BSMT]]*Lookups!$B$16</f>
        <v>0</v>
      </c>
      <c r="BO2124" s="6">
        <f>(Grandview_Inventory[[#This Row],[att_gar]]+Grandview_Inventory[[#This Row],[bltin_gar]])*Lookups!$B$17</f>
        <v>0</v>
      </c>
      <c r="BP2124" s="6">
        <f>Grandview_Inventory[[#This Row],[Plumbing Fixtures]]*Lookups!$B$18</f>
        <v>10052.209000000001</v>
      </c>
      <c r="BQ2124" s="6">
        <f>Grandview_Inventory[[#This Row],[detatched_value]]*Lookups!$B$19</f>
        <v>9653.5781399999996</v>
      </c>
      <c r="BR2124" s="6">
        <f>SUM(Grandview_Inventory[[#This Row],[Intercept]:[det_value]])*Grandview_Inventory[[#This Row],[res_pct]]</f>
        <v>47392.97258255136</v>
      </c>
      <c r="BS2124" s="6">
        <f>Grandview_Inventory[[#This Row],[land_value]]</f>
        <v>50650.651579114572</v>
      </c>
      <c r="BT2124" s="4">
        <f>_xlfn.IFNA(VLOOKUP(Grandview_Inventory[[#This Row],[quality]],Lookups!$A$26:$C$33,3,FALSE),1)</f>
        <v>0.96329552998502799</v>
      </c>
      <c r="BU2124" s="4">
        <f>_xlfn.IFNA(VLOOKUP(Grandview_Inventory[[#This Row],[condition]],Lookups!$A$37:$C$44,3,FALSE),1)</f>
        <v>0.97161819570155394</v>
      </c>
      <c r="BV2124" s="4">
        <f>IF(Grandview_Inventory[[#This Row],[bldg_style]]="",1,_xlfn.IFNA(VLOOKUP(Grandview_Inventory[[#This Row],[decade]],Lookups!$F$29:$H$43,3,FALSE),1))</f>
        <v>0.98763256963907298</v>
      </c>
      <c r="BW2124" s="4">
        <f>_xlfn.IFNA(VLOOKUP(Grandview_Inventory[[#This Row],[living_area_range]],Lookups!$F$47:$H$56,3,FALSE),1)</f>
        <v>0.94306777142782894</v>
      </c>
      <c r="BX2124" s="4">
        <f>AVERAGE(Grandview_Inventory[[#This Row],[qual_adj]:[size_adj]])</f>
        <v>0.96640351668837088</v>
      </c>
      <c r="BY2124" s="6">
        <f>IF(Grandview_Inventory[[#This Row],[pre_res]]&lt;0,0,Grandview_Inventory[[#This Row],[pre_res]]*Grandview_Inventory[[#This Row],[overall_adj]])</f>
        <v>45800.735370093178</v>
      </c>
      <c r="BZ2124" s="6">
        <f>(Grandview_Inventory[[#This Row],[sum_land]]-IF(Grandview_Inventory[[#This Row],[no_utilities]]=1,12000,0))/IF(Grandview_Inventory[[#This Row],[unbuildable]]=1,2,1)</f>
        <v>50650.651579114572</v>
      </c>
      <c r="CA212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124">
        <f>ROUND(Grandview_Inventory[[#This Row],[det_value]]*Lookups!$M$28,-2)</f>
        <v>9200</v>
      </c>
      <c r="CC2124">
        <f>IF(ROUND(Grandview_Inventory[[#This Row],[adj_res]]*Lookups!$M$28,-2)&lt;Grandview_Inventory[[#This Row],[min_res]],Grandview_Inventory[[#This Row],[min_res]],ROUND(Grandview_Inventory[[#This Row],[adj_res]]*Lookups!$M$28,-2))</f>
        <v>43500</v>
      </c>
      <c r="CD2124">
        <f>Grandview_Inventory[[#This Row],[final_det]]+Grandview_Inventory[[#This Row],[final_res]]</f>
        <v>52700</v>
      </c>
      <c r="CE2124">
        <f>Grandview_Inventory[[#This Row],[final_land]]+Grandview_Inventory[[#This Row],[final_imp]]+Grandview_Inventory[[#This Row],[crop_value]]</f>
        <v>100800</v>
      </c>
      <c r="CG2124" t="str">
        <f t="shared" si="33"/>
        <v>update valuation set market_land =48100, market_bldg=52700, market_total =100800, market_mdno =401, market_date ='9/10/2023' where link_id = (select link_id from parcel where parcel_year = '2024' and parcel_id = '23092423507');</v>
      </c>
    </row>
    <row r="2125" spans="1:85" x14ac:dyDescent="0.25">
      <c r="A2125">
        <v>23092423508</v>
      </c>
      <c r="B2125">
        <v>0.47</v>
      </c>
      <c r="C2125">
        <v>20302</v>
      </c>
      <c r="D2125" t="s">
        <v>129</v>
      </c>
      <c r="E2125" t="s">
        <v>53</v>
      </c>
      <c r="F2125" t="s">
        <v>53</v>
      </c>
      <c r="G2125">
        <v>4</v>
      </c>
      <c r="H2125" t="s">
        <v>54</v>
      </c>
      <c r="I2125">
        <v>203800</v>
      </c>
      <c r="J2125">
        <v>43100</v>
      </c>
      <c r="K2125">
        <v>0.47</v>
      </c>
      <c r="L2125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2125">
        <v>0</v>
      </c>
      <c r="N2125">
        <v>0</v>
      </c>
      <c r="O2125">
        <v>0</v>
      </c>
      <c r="P2125">
        <v>13398.7528</v>
      </c>
      <c r="Q2125">
        <v>63903</v>
      </c>
      <c r="R2125">
        <f>(Grandview_Inventory[[#This Row],[ln_acres]]*Grandview_Inventory[[#This Row],[coeff]])+Grandview_Inventory[[#This Row],[const]]</f>
        <v>53786.639034841472</v>
      </c>
      <c r="S2125" t="s">
        <v>68</v>
      </c>
      <c r="T2125">
        <v>1</v>
      </c>
      <c r="U2125" t="s">
        <v>70</v>
      </c>
      <c r="V2125" t="s">
        <v>67</v>
      </c>
      <c r="W2125">
        <v>0</v>
      </c>
      <c r="X2125">
        <v>0</v>
      </c>
      <c r="Y2125">
        <v>57</v>
      </c>
      <c r="Z2125">
        <v>103</v>
      </c>
      <c r="AA2125">
        <v>110</v>
      </c>
      <c r="AB2125">
        <v>2500</v>
      </c>
      <c r="AC2125">
        <v>2066</v>
      </c>
      <c r="AD2125">
        <v>1342</v>
      </c>
      <c r="AE2125">
        <v>0</v>
      </c>
      <c r="AF2125">
        <v>0</v>
      </c>
      <c r="AG2125">
        <v>724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16</v>
      </c>
      <c r="AO2125">
        <v>0</v>
      </c>
      <c r="AP2125">
        <v>8</v>
      </c>
      <c r="AQ2125">
        <v>0</v>
      </c>
      <c r="AR2125">
        <v>0</v>
      </c>
      <c r="AS2125" t="s">
        <v>58</v>
      </c>
      <c r="AT2125">
        <v>1</v>
      </c>
      <c r="AU2125" t="s">
        <v>59</v>
      </c>
      <c r="AV2125" t="s">
        <v>60</v>
      </c>
      <c r="AW2125">
        <v>1</v>
      </c>
      <c r="AX2125">
        <v>3</v>
      </c>
      <c r="AY2125">
        <v>0</v>
      </c>
      <c r="AZ2125">
        <v>3300</v>
      </c>
      <c r="BA2125">
        <v>100</v>
      </c>
      <c r="BB2125">
        <v>100</v>
      </c>
      <c r="BC2125">
        <v>100</v>
      </c>
      <c r="BD2125">
        <v>100</v>
      </c>
      <c r="BE2125">
        <v>1</v>
      </c>
      <c r="BF2125">
        <v>15000</v>
      </c>
      <c r="BG2125">
        <v>1000</v>
      </c>
      <c r="BH2125" s="6">
        <f>Grandview_Inventory[[#This Row],[land_extract]]*Lookups!$B$3</f>
        <v>62462.278687236008</v>
      </c>
      <c r="BI2125" s="6">
        <f>IF(Grandview_Inventory[[#This Row],[bldg_style]]="",0,Lookups!$B$2)</f>
        <v>155833.95000000001</v>
      </c>
      <c r="BJ2125" s="6">
        <f>_xlfn.IFNA(VLOOKUP(Grandview_Inventory[[#This Row],[quality]],Lookups!$H$2:$J$14,3,FALSE),0)</f>
        <v>10733</v>
      </c>
      <c r="BK2125" s="6">
        <f>_xlfn.IFNA(VLOOKUP(Grandview_Inventory[[#This Row],[condition]],Lookups!$H$17:$J$24,3,FALSE),0)</f>
        <v>22342</v>
      </c>
      <c r="BL2125" s="6">
        <f>Grandview_Inventory[[#This Row],[Eff_Age]]*Lookups!$B$14</f>
        <v>-13632.4962</v>
      </c>
      <c r="BM2125" s="6">
        <f>Grandview_Inventory[[#This Row],[living_area]]*Lookups!$B$15</f>
        <v>128878.842298</v>
      </c>
      <c r="BN2125" s="6">
        <f>Grandview_Inventory[[#This Row],[Fin BSMT]]*Lookups!$B$16</f>
        <v>-19619.849760000001</v>
      </c>
      <c r="BO2125" s="6">
        <f>(Grandview_Inventory[[#This Row],[att_gar]]+Grandview_Inventory[[#This Row],[bltin_gar]])*Lookups!$B$17</f>
        <v>0</v>
      </c>
      <c r="BP2125" s="6">
        <f>Grandview_Inventory[[#This Row],[Plumbing Fixtures]]*Lookups!$B$18</f>
        <v>16083.5344</v>
      </c>
      <c r="BQ2125" s="6">
        <f>Grandview_Inventory[[#This Row],[detatched_value]]*Lookups!$B$19</f>
        <v>2794.4568300000001</v>
      </c>
      <c r="BR2125" s="6">
        <f>SUM(Grandview_Inventory[[#This Row],[Intercept]:[det_value]])*Grandview_Inventory[[#This Row],[res_pct]]</f>
        <v>303413.43756799999</v>
      </c>
      <c r="BS2125" s="6">
        <f>Grandview_Inventory[[#This Row],[land_value]]</f>
        <v>62462.278687236008</v>
      </c>
      <c r="BT2125" s="4">
        <f>_xlfn.IFNA(VLOOKUP(Grandview_Inventory[[#This Row],[quality]],Lookups!$A$26:$C$33,3,FALSE),1)</f>
        <v>0.98079741117310582</v>
      </c>
      <c r="BU2125" s="4">
        <f>_xlfn.IFNA(VLOOKUP(Grandview_Inventory[[#This Row],[condition]],Lookups!$A$37:$C$44,3,FALSE),1)</f>
        <v>0.97383723671140243</v>
      </c>
      <c r="BV2125" s="4">
        <f>IF(Grandview_Inventory[[#This Row],[bldg_style]]="",1,_xlfn.IFNA(VLOOKUP(Grandview_Inventory[[#This Row],[decade]],Lookups!$F$29:$H$43,3,FALSE),1))</f>
        <v>0.92255236374249616</v>
      </c>
      <c r="BW2125" s="4">
        <f>_xlfn.IFNA(VLOOKUP(Grandview_Inventory[[#This Row],[living_area_range]],Lookups!$F$47:$H$56,3,FALSE),1)</f>
        <v>0.95799442568048754</v>
      </c>
      <c r="BX2125" s="4">
        <f>AVERAGE(Grandview_Inventory[[#This Row],[qual_adj]:[size_adj]])</f>
        <v>0.95879535932687299</v>
      </c>
      <c r="BY2125" s="6">
        <f>IF(Grandview_Inventory[[#This Row],[pre_res]]&lt;0,0,Grandview_Inventory[[#This Row],[pre_res]]*Grandview_Inventory[[#This Row],[overall_adj]])</f>
        <v>290911.39589761232</v>
      </c>
      <c r="BZ2125" s="6">
        <f>(Grandview_Inventory[[#This Row],[sum_land]]-IF(Grandview_Inventory[[#This Row],[no_utilities]]=1,12000,0))/IF(Grandview_Inventory[[#This Row],[unbuildable]]=1,2,1)</f>
        <v>62462.278687236008</v>
      </c>
      <c r="CA2125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2125">
        <f>ROUND(Grandview_Inventory[[#This Row],[det_value]]*Lookups!$M$28,-2)</f>
        <v>2700</v>
      </c>
      <c r="CC2125">
        <f>IF(ROUND(Grandview_Inventory[[#This Row],[adj_res]]*Lookups!$M$28,-2)&lt;Grandview_Inventory[[#This Row],[min_res]],Grandview_Inventory[[#This Row],[min_res]],ROUND(Grandview_Inventory[[#This Row],[adj_res]]*Lookups!$M$28,-2))</f>
        <v>276400</v>
      </c>
      <c r="CD2125">
        <f>Grandview_Inventory[[#This Row],[final_det]]+Grandview_Inventory[[#This Row],[final_res]]</f>
        <v>279100</v>
      </c>
      <c r="CE2125">
        <f>Grandview_Inventory[[#This Row],[final_land]]+Grandview_Inventory[[#This Row],[final_imp]]+Grandview_Inventory[[#This Row],[crop_value]]</f>
        <v>338400</v>
      </c>
      <c r="CG2125" t="str">
        <f t="shared" si="33"/>
        <v>update valuation set market_land =59300, market_bldg=279100, market_total =338400, market_mdno =401, market_date ='9/10/2023' where link_id = (select link_id from parcel where parcel_year = '2024' and parcel_id = '23092423508');</v>
      </c>
    </row>
    <row r="2126" spans="1:85" x14ac:dyDescent="0.25">
      <c r="A2126">
        <v>23092423512</v>
      </c>
      <c r="B2126">
        <v>0.23</v>
      </c>
      <c r="C2126" t="s">
        <v>129</v>
      </c>
      <c r="D2126" t="s">
        <v>129</v>
      </c>
      <c r="E2126" t="s">
        <v>53</v>
      </c>
      <c r="F2126" t="s">
        <v>53</v>
      </c>
      <c r="G2126">
        <v>4</v>
      </c>
      <c r="H2126" t="s">
        <v>54</v>
      </c>
      <c r="I2126">
        <v>126600</v>
      </c>
      <c r="J2126">
        <v>39500</v>
      </c>
      <c r="K2126">
        <v>0.23</v>
      </c>
      <c r="L212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26">
        <v>0</v>
      </c>
      <c r="N2126">
        <v>0</v>
      </c>
      <c r="O2126">
        <v>0</v>
      </c>
      <c r="P2126">
        <v>13398.7528</v>
      </c>
      <c r="Q2126">
        <v>63903</v>
      </c>
      <c r="R2126">
        <f>(Grandview_Inventory[[#This Row],[ln_acres]]*Grandview_Inventory[[#This Row],[coeff]])+Grandview_Inventory[[#This Row],[const]]</f>
        <v>44211.174981080039</v>
      </c>
      <c r="S2126" t="s">
        <v>68</v>
      </c>
      <c r="T2126">
        <v>1</v>
      </c>
      <c r="U2126" t="s">
        <v>80</v>
      </c>
      <c r="V2126" t="s">
        <v>67</v>
      </c>
      <c r="W2126">
        <v>0</v>
      </c>
      <c r="X2126">
        <v>0</v>
      </c>
      <c r="Y2126">
        <v>50</v>
      </c>
      <c r="Z2126">
        <v>73</v>
      </c>
      <c r="AA2126">
        <v>80</v>
      </c>
      <c r="AB2126">
        <v>1000</v>
      </c>
      <c r="AC2126">
        <v>742</v>
      </c>
      <c r="AD2126">
        <v>742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180</v>
      </c>
      <c r="AL2126">
        <v>0</v>
      </c>
      <c r="AM2126">
        <v>0</v>
      </c>
      <c r="AN2126">
        <v>0</v>
      </c>
      <c r="AO2126">
        <v>0</v>
      </c>
      <c r="AP2126">
        <v>5</v>
      </c>
      <c r="AQ2126">
        <v>0</v>
      </c>
      <c r="AR2126">
        <v>0</v>
      </c>
      <c r="AS2126" t="s">
        <v>58</v>
      </c>
      <c r="AT2126">
        <v>1</v>
      </c>
      <c r="AU2126" t="s">
        <v>75</v>
      </c>
      <c r="AV2126" t="s">
        <v>60</v>
      </c>
      <c r="AW2126">
        <v>0</v>
      </c>
      <c r="AX2126">
        <v>2</v>
      </c>
      <c r="AY2126">
        <v>0</v>
      </c>
      <c r="AZ2126">
        <v>1400</v>
      </c>
      <c r="BA2126">
        <v>100</v>
      </c>
      <c r="BB2126">
        <v>100</v>
      </c>
      <c r="BC2126">
        <v>100</v>
      </c>
      <c r="BD2126">
        <v>100</v>
      </c>
      <c r="BE2126">
        <v>1</v>
      </c>
      <c r="BF2126">
        <v>15000</v>
      </c>
      <c r="BG2126">
        <v>1000</v>
      </c>
      <c r="BH2126" s="6">
        <f>Grandview_Inventory[[#This Row],[land_extract]]*Lookups!$B$3</f>
        <v>51342.318135355803</v>
      </c>
      <c r="BI2126" s="6">
        <f>IF(Grandview_Inventory[[#This Row],[bldg_style]]="",0,Lookups!$B$2)</f>
        <v>155833.95000000001</v>
      </c>
      <c r="BJ2126" s="6">
        <f>_xlfn.IFNA(VLOOKUP(Grandview_Inventory[[#This Row],[quality]],Lookups!$H$2:$J$14,3,FALSE),0)</f>
        <v>-28558</v>
      </c>
      <c r="BK2126" s="6">
        <f>_xlfn.IFNA(VLOOKUP(Grandview_Inventory[[#This Row],[condition]],Lookups!$H$17:$J$24,3,FALSE),0)</f>
        <v>22342</v>
      </c>
      <c r="BL2126" s="6">
        <f>Grandview_Inventory[[#This Row],[Eff_Age]]*Lookups!$B$14</f>
        <v>-11958.33</v>
      </c>
      <c r="BM2126" s="6">
        <f>Grandview_Inventory[[#This Row],[living_area]]*Lookups!$B$15</f>
        <v>46286.592926000005</v>
      </c>
      <c r="BN2126" s="6">
        <f>Grandview_Inventory[[#This Row],[Fin BSMT]]*Lookups!$B$16</f>
        <v>0</v>
      </c>
      <c r="BO2126" s="6">
        <f>(Grandview_Inventory[[#This Row],[att_gar]]+Grandview_Inventory[[#This Row],[bltin_gar]])*Lookups!$B$17</f>
        <v>0</v>
      </c>
      <c r="BP2126" s="6">
        <f>Grandview_Inventory[[#This Row],[Plumbing Fixtures]]*Lookups!$B$18</f>
        <v>10052.209000000001</v>
      </c>
      <c r="BQ2126" s="6">
        <f>Grandview_Inventory[[#This Row],[detatched_value]]*Lookups!$B$19</f>
        <v>1185.5271399999999</v>
      </c>
      <c r="BR2126" s="6">
        <f>SUM(Grandview_Inventory[[#This Row],[Intercept]:[det_value]])*Grandview_Inventory[[#This Row],[res_pct]]</f>
        <v>195183.94906600003</v>
      </c>
      <c r="BS2126" s="6">
        <f>Grandview_Inventory[[#This Row],[land_value]]</f>
        <v>51342.318135355803</v>
      </c>
      <c r="BT2126" s="4">
        <f>_xlfn.IFNA(VLOOKUP(Grandview_Inventory[[#This Row],[quality]],Lookups!$A$26:$C$33,3,FALSE),1)</f>
        <v>0.9690360070159818</v>
      </c>
      <c r="BU2126" s="4">
        <f>_xlfn.IFNA(VLOOKUP(Grandview_Inventory[[#This Row],[condition]],Lookups!$A$37:$C$44,3,FALSE),1)</f>
        <v>0.97383723671140243</v>
      </c>
      <c r="BV2126" s="4">
        <f>IF(Grandview_Inventory[[#This Row],[bldg_style]]="",1,_xlfn.IFNA(VLOOKUP(Grandview_Inventory[[#This Row],[decade]],Lookups!$F$29:$H$43,3,FALSE),1))</f>
        <v>0.98763256963907298</v>
      </c>
      <c r="BW2126" s="4">
        <f>_xlfn.IFNA(VLOOKUP(Grandview_Inventory[[#This Row],[living_area_range]],Lookups!$F$47:$H$56,3,FALSE),1)</f>
        <v>0.94306777142782894</v>
      </c>
      <c r="BX2126" s="4">
        <f>AVERAGE(Grandview_Inventory[[#This Row],[qual_adj]:[size_adj]])</f>
        <v>0.96839339619857145</v>
      </c>
      <c r="BY2126" s="6">
        <f>IF(Grandview_Inventory[[#This Row],[pre_res]]&lt;0,0,Grandview_Inventory[[#This Row],[pre_res]]*Grandview_Inventory[[#This Row],[overall_adj]])</f>
        <v>189014.84731947276</v>
      </c>
      <c r="BZ2126" s="6">
        <f>(Grandview_Inventory[[#This Row],[sum_land]]-IF(Grandview_Inventory[[#This Row],[no_utilities]]=1,12000,0))/IF(Grandview_Inventory[[#This Row],[unbuildable]]=1,2,1)</f>
        <v>51342.318135355803</v>
      </c>
      <c r="CA212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26">
        <f>ROUND(Grandview_Inventory[[#This Row],[det_value]]*Lookups!$M$28,-2)</f>
        <v>1100</v>
      </c>
      <c r="CC2126">
        <f>IF(ROUND(Grandview_Inventory[[#This Row],[adj_res]]*Lookups!$M$28,-2)&lt;Grandview_Inventory[[#This Row],[min_res]],Grandview_Inventory[[#This Row],[min_res]],ROUND(Grandview_Inventory[[#This Row],[adj_res]]*Lookups!$M$28,-2))</f>
        <v>179600</v>
      </c>
      <c r="CD2126">
        <f>Grandview_Inventory[[#This Row],[final_det]]+Grandview_Inventory[[#This Row],[final_res]]</f>
        <v>180700</v>
      </c>
      <c r="CE2126">
        <f>Grandview_Inventory[[#This Row],[final_land]]+Grandview_Inventory[[#This Row],[final_imp]]+Grandview_Inventory[[#This Row],[crop_value]]</f>
        <v>229500</v>
      </c>
      <c r="CG2126" t="str">
        <f t="shared" si="33"/>
        <v>update valuation set market_land =48800, market_bldg=180700, market_total =229500, market_mdno =401, market_date ='9/10/2023' where link_id = (select link_id from parcel where parcel_year = '2024' and parcel_id = '23092423512');</v>
      </c>
    </row>
    <row r="2127" spans="1:85" x14ac:dyDescent="0.25">
      <c r="A2127">
        <v>23092423515</v>
      </c>
      <c r="B2127">
        <v>0.23</v>
      </c>
      <c r="C2127">
        <v>10105</v>
      </c>
      <c r="D2127" t="s">
        <v>129</v>
      </c>
      <c r="E2127" t="s">
        <v>53</v>
      </c>
      <c r="F2127" t="s">
        <v>53</v>
      </c>
      <c r="G2127">
        <v>4</v>
      </c>
      <c r="H2127" t="s">
        <v>54</v>
      </c>
      <c r="I2127">
        <v>170500</v>
      </c>
      <c r="J2127">
        <v>43800</v>
      </c>
      <c r="K2127">
        <v>0.23</v>
      </c>
      <c r="L212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27">
        <v>0</v>
      </c>
      <c r="N2127">
        <v>0</v>
      </c>
      <c r="O2127">
        <v>0</v>
      </c>
      <c r="P2127">
        <v>13398.7528</v>
      </c>
      <c r="Q2127">
        <v>63903</v>
      </c>
      <c r="R2127">
        <f>(Grandview_Inventory[[#This Row],[ln_acres]]*Grandview_Inventory[[#This Row],[coeff]])+Grandview_Inventory[[#This Row],[const]]</f>
        <v>44211.174981080039</v>
      </c>
      <c r="S2127" t="s">
        <v>61</v>
      </c>
      <c r="T2127">
        <v>1</v>
      </c>
      <c r="U2127" t="s">
        <v>65</v>
      </c>
      <c r="V2127" t="s">
        <v>67</v>
      </c>
      <c r="W2127">
        <v>0</v>
      </c>
      <c r="X2127">
        <v>0</v>
      </c>
      <c r="Y2127">
        <v>48</v>
      </c>
      <c r="Z2127">
        <v>63</v>
      </c>
      <c r="AA2127">
        <v>70</v>
      </c>
      <c r="AB2127">
        <v>1500</v>
      </c>
      <c r="AC2127">
        <v>1176</v>
      </c>
      <c r="AD2127">
        <v>1176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588</v>
      </c>
      <c r="AL2127">
        <v>0</v>
      </c>
      <c r="AM2127">
        <v>0</v>
      </c>
      <c r="AN2127">
        <v>0</v>
      </c>
      <c r="AO2127">
        <v>0</v>
      </c>
      <c r="AP2127">
        <v>5</v>
      </c>
      <c r="AQ2127">
        <v>0</v>
      </c>
      <c r="AR2127">
        <v>0</v>
      </c>
      <c r="AS2127" t="s">
        <v>58</v>
      </c>
      <c r="AT2127">
        <v>1</v>
      </c>
      <c r="AU2127" t="s">
        <v>63</v>
      </c>
      <c r="AV2127" t="s">
        <v>64</v>
      </c>
      <c r="AW2127">
        <v>0</v>
      </c>
      <c r="AX2127">
        <v>2</v>
      </c>
      <c r="AY2127">
        <v>0</v>
      </c>
      <c r="AZ2127">
        <v>0</v>
      </c>
      <c r="BA2127">
        <v>100</v>
      </c>
      <c r="BB2127">
        <v>100</v>
      </c>
      <c r="BC2127">
        <v>100</v>
      </c>
      <c r="BD2127">
        <v>100</v>
      </c>
      <c r="BE2127">
        <v>1</v>
      </c>
      <c r="BF2127">
        <v>15000</v>
      </c>
      <c r="BG2127">
        <v>1000</v>
      </c>
      <c r="BH2127" s="6">
        <f>Grandview_Inventory[[#This Row],[land_extract]]*Lookups!$B$3</f>
        <v>51342.318135355803</v>
      </c>
      <c r="BI2127" s="6">
        <f>IF(Grandview_Inventory[[#This Row],[bldg_style]]="",0,Lookups!$B$2)</f>
        <v>155833.95000000001</v>
      </c>
      <c r="BJ2127" s="6">
        <f>_xlfn.IFNA(VLOOKUP(Grandview_Inventory[[#This Row],[quality]],Lookups!$H$2:$J$14,3,FALSE),0)</f>
        <v>2251</v>
      </c>
      <c r="BK2127" s="6">
        <f>_xlfn.IFNA(VLOOKUP(Grandview_Inventory[[#This Row],[condition]],Lookups!$H$17:$J$24,3,FALSE),0)</f>
        <v>22342</v>
      </c>
      <c r="BL2127" s="6">
        <f>Grandview_Inventory[[#This Row],[Eff_Age]]*Lookups!$B$14</f>
        <v>-11479.996799999999</v>
      </c>
      <c r="BM2127" s="6">
        <f>Grandview_Inventory[[#This Row],[living_area]]*Lookups!$B$15</f>
        <v>73359.883128000001</v>
      </c>
      <c r="BN2127" s="6">
        <f>Grandview_Inventory[[#This Row],[Fin BSMT]]*Lookups!$B$16</f>
        <v>0</v>
      </c>
      <c r="BO2127" s="6">
        <f>(Grandview_Inventory[[#This Row],[att_gar]]+Grandview_Inventory[[#This Row],[bltin_gar]])*Lookups!$B$17</f>
        <v>0</v>
      </c>
      <c r="BP2127" s="6">
        <f>Grandview_Inventory[[#This Row],[Plumbing Fixtures]]*Lookups!$B$18</f>
        <v>10052.209000000001</v>
      </c>
      <c r="BQ2127" s="6">
        <f>Grandview_Inventory[[#This Row],[detatched_value]]*Lookups!$B$19</f>
        <v>0</v>
      </c>
      <c r="BR2127" s="6">
        <f>SUM(Grandview_Inventory[[#This Row],[Intercept]:[det_value]])*Grandview_Inventory[[#This Row],[res_pct]]</f>
        <v>252359.04532800001</v>
      </c>
      <c r="BS2127" s="6">
        <f>Grandview_Inventory[[#This Row],[land_value]]</f>
        <v>51342.318135355803</v>
      </c>
      <c r="BT2127" s="4">
        <f>_xlfn.IFNA(VLOOKUP(Grandview_Inventory[[#This Row],[quality]],Lookups!$A$26:$C$33,3,FALSE),1)</f>
        <v>0.98763855981004833</v>
      </c>
      <c r="BU2127" s="4">
        <f>_xlfn.IFNA(VLOOKUP(Grandview_Inventory[[#This Row],[condition]],Lookups!$A$37:$C$44,3,FALSE),1)</f>
        <v>0.97383723671140243</v>
      </c>
      <c r="BV2127" s="4">
        <f>IF(Grandview_Inventory[[#This Row],[bldg_style]]="",1,_xlfn.IFNA(VLOOKUP(Grandview_Inventory[[#This Row],[decade]],Lookups!$F$29:$H$43,3,FALSE),1))</f>
        <v>0.99472141305414818</v>
      </c>
      <c r="BW2127" s="4">
        <f>_xlfn.IFNA(VLOOKUP(Grandview_Inventory[[#This Row],[living_area_range]],Lookups!$F$47:$H$56,3,FALSE),1)</f>
        <v>0.96135087979789358</v>
      </c>
      <c r="BX2127" s="4">
        <f>AVERAGE(Grandview_Inventory[[#This Row],[qual_adj]:[size_adj]])</f>
        <v>0.97938702234337316</v>
      </c>
      <c r="BY2127" s="6">
        <f>IF(Grandview_Inventory[[#This Row],[pre_res]]&lt;0,0,Grandview_Inventory[[#This Row],[pre_res]]*Grandview_Inventory[[#This Row],[overall_adj]])</f>
        <v>247157.17396520625</v>
      </c>
      <c r="BZ2127" s="6">
        <f>(Grandview_Inventory[[#This Row],[sum_land]]-IF(Grandview_Inventory[[#This Row],[no_utilities]]=1,12000,0))/IF(Grandview_Inventory[[#This Row],[unbuildable]]=1,2,1)</f>
        <v>51342.318135355803</v>
      </c>
      <c r="CA212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27">
        <f>ROUND(Grandview_Inventory[[#This Row],[det_value]]*Lookups!$M$28,-2)</f>
        <v>0</v>
      </c>
      <c r="CC2127">
        <f>IF(ROUND(Grandview_Inventory[[#This Row],[adj_res]]*Lookups!$M$28,-2)&lt;Grandview_Inventory[[#This Row],[min_res]],Grandview_Inventory[[#This Row],[min_res]],ROUND(Grandview_Inventory[[#This Row],[adj_res]]*Lookups!$M$28,-2))</f>
        <v>234800</v>
      </c>
      <c r="CD2127">
        <f>Grandview_Inventory[[#This Row],[final_det]]+Grandview_Inventory[[#This Row],[final_res]]</f>
        <v>234800</v>
      </c>
      <c r="CE2127">
        <f>Grandview_Inventory[[#This Row],[final_land]]+Grandview_Inventory[[#This Row],[final_imp]]+Grandview_Inventory[[#This Row],[crop_value]]</f>
        <v>283600</v>
      </c>
      <c r="CG2127" t="str">
        <f t="shared" si="33"/>
        <v>update valuation set market_land =48800, market_bldg=234800, market_total =283600, market_mdno =401, market_date ='9/10/2023' where link_id = (select link_id from parcel where parcel_year = '2024' and parcel_id = '23092423515');</v>
      </c>
    </row>
    <row r="2128" spans="1:85" x14ac:dyDescent="0.25">
      <c r="A2128">
        <v>23092423516</v>
      </c>
      <c r="B2128">
        <v>0.25</v>
      </c>
      <c r="C2128">
        <v>11067</v>
      </c>
      <c r="D2128" t="s">
        <v>129</v>
      </c>
      <c r="E2128" t="s">
        <v>53</v>
      </c>
      <c r="F2128" t="s">
        <v>53</v>
      </c>
      <c r="G2128">
        <v>4</v>
      </c>
      <c r="H2128" t="s">
        <v>54</v>
      </c>
      <c r="I2128">
        <v>103000</v>
      </c>
      <c r="J2128">
        <v>40200</v>
      </c>
      <c r="K2128">
        <v>0.25</v>
      </c>
      <c r="L2128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128">
        <v>0</v>
      </c>
      <c r="N2128">
        <v>0</v>
      </c>
      <c r="O2128">
        <v>0</v>
      </c>
      <c r="P2128">
        <v>13398.7528</v>
      </c>
      <c r="Q2128">
        <v>63903</v>
      </c>
      <c r="R2128">
        <f>(Grandview_Inventory[[#This Row],[ln_acres]]*Grandview_Inventory[[#This Row],[coeff]])+Grandview_Inventory[[#This Row],[const]]</f>
        <v>45328.38454732066</v>
      </c>
      <c r="S2128" t="s">
        <v>68</v>
      </c>
      <c r="T2128">
        <v>1</v>
      </c>
      <c r="U2128" t="s">
        <v>70</v>
      </c>
      <c r="V2128" t="s">
        <v>78</v>
      </c>
      <c r="W2128">
        <v>0</v>
      </c>
      <c r="X2128">
        <v>0</v>
      </c>
      <c r="Y2128">
        <v>49</v>
      </c>
      <c r="Z2128">
        <v>69</v>
      </c>
      <c r="AA2128">
        <v>70</v>
      </c>
      <c r="AB2128">
        <v>1000</v>
      </c>
      <c r="AC2128">
        <v>780</v>
      </c>
      <c r="AD2128">
        <v>780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16</v>
      </c>
      <c r="AO2128">
        <v>0</v>
      </c>
      <c r="AP2128">
        <v>5</v>
      </c>
      <c r="AQ2128">
        <v>1</v>
      </c>
      <c r="AR2128">
        <v>0</v>
      </c>
      <c r="AS2128" t="s">
        <v>58</v>
      </c>
      <c r="AT2128">
        <v>1</v>
      </c>
      <c r="AU2128" t="s">
        <v>132</v>
      </c>
      <c r="AV2128" t="s">
        <v>60</v>
      </c>
      <c r="AW2128">
        <v>1</v>
      </c>
      <c r="AX2128">
        <v>2</v>
      </c>
      <c r="AY2128">
        <v>0</v>
      </c>
      <c r="AZ2128">
        <v>7300</v>
      </c>
      <c r="BA2128">
        <v>100</v>
      </c>
      <c r="BB2128">
        <v>100</v>
      </c>
      <c r="BC2128">
        <v>100</v>
      </c>
      <c r="BD2128">
        <v>100</v>
      </c>
      <c r="BE2128">
        <v>1</v>
      </c>
      <c r="BF2128">
        <v>15000</v>
      </c>
      <c r="BG2128">
        <v>1000</v>
      </c>
      <c r="BH2128" s="6">
        <f>Grandview_Inventory[[#This Row],[land_extract]]*Lookups!$B$3</f>
        <v>52639.730588165206</v>
      </c>
      <c r="BI2128" s="6">
        <f>IF(Grandview_Inventory[[#This Row],[bldg_style]]="",0,Lookups!$B$2)</f>
        <v>155833.95000000001</v>
      </c>
      <c r="BJ2128" s="6">
        <f>_xlfn.IFNA(VLOOKUP(Grandview_Inventory[[#This Row],[quality]],Lookups!$H$2:$J$14,3,FALSE),0)</f>
        <v>10733</v>
      </c>
      <c r="BK2128" s="6">
        <f>_xlfn.IFNA(VLOOKUP(Grandview_Inventory[[#This Row],[condition]],Lookups!$H$17:$J$24,3,FALSE),0)</f>
        <v>-45357</v>
      </c>
      <c r="BL2128" s="6">
        <f>Grandview_Inventory[[#This Row],[Eff_Age]]*Lookups!$B$14</f>
        <v>-11719.163399999999</v>
      </c>
      <c r="BM2128" s="6">
        <f>Grandview_Inventory[[#This Row],[living_area]]*Lookups!$B$15</f>
        <v>48657.065340000001</v>
      </c>
      <c r="BN2128" s="6">
        <f>Grandview_Inventory[[#This Row],[Fin BSMT]]*Lookups!$B$16</f>
        <v>0</v>
      </c>
      <c r="BO2128" s="6">
        <f>(Grandview_Inventory[[#This Row],[att_gar]]+Grandview_Inventory[[#This Row],[bltin_gar]])*Lookups!$B$17</f>
        <v>0</v>
      </c>
      <c r="BP2128" s="6">
        <f>Grandview_Inventory[[#This Row],[Plumbing Fixtures]]*Lookups!$B$18</f>
        <v>10052.209000000001</v>
      </c>
      <c r="BQ2128" s="6">
        <f>Grandview_Inventory[[#This Row],[detatched_value]]*Lookups!$B$19</f>
        <v>6181.6772300000002</v>
      </c>
      <c r="BR2128" s="6">
        <f>SUM(Grandview_Inventory[[#This Row],[Intercept]:[det_value]])*Grandview_Inventory[[#This Row],[res_pct]]</f>
        <v>174381.73817000003</v>
      </c>
      <c r="BS2128" s="6">
        <f>Grandview_Inventory[[#This Row],[land_value]]</f>
        <v>52639.730588165206</v>
      </c>
      <c r="BT2128" s="4">
        <f>_xlfn.IFNA(VLOOKUP(Grandview_Inventory[[#This Row],[quality]],Lookups!$A$26:$C$33,3,FALSE),1)</f>
        <v>0.98079741117310582</v>
      </c>
      <c r="BU2128" s="4">
        <f>_xlfn.IFNA(VLOOKUP(Grandview_Inventory[[#This Row],[condition]],Lookups!$A$37:$C$44,3,FALSE),1)</f>
        <v>0.97161819570155394</v>
      </c>
      <c r="BV2128" s="4">
        <f>IF(Grandview_Inventory[[#This Row],[bldg_style]]="",1,_xlfn.IFNA(VLOOKUP(Grandview_Inventory[[#This Row],[decade]],Lookups!$F$29:$H$43,3,FALSE),1))</f>
        <v>0.99472141305414818</v>
      </c>
      <c r="BW2128" s="4">
        <f>_xlfn.IFNA(VLOOKUP(Grandview_Inventory[[#This Row],[living_area_range]],Lookups!$F$47:$H$56,3,FALSE),1)</f>
        <v>0.94306777142782894</v>
      </c>
      <c r="BX2128" s="4">
        <f>AVERAGE(Grandview_Inventory[[#This Row],[qual_adj]:[size_adj]])</f>
        <v>0.97255119783915911</v>
      </c>
      <c r="BY2128" s="6">
        <f>IF(Grandview_Inventory[[#This Row],[pre_res]]&lt;0,0,Grandview_Inventory[[#This Row],[pre_res]]*Grandview_Inventory[[#This Row],[overall_adj]])</f>
        <v>169595.16833850814</v>
      </c>
      <c r="BZ2128" s="6">
        <f>(Grandview_Inventory[[#This Row],[sum_land]]-IF(Grandview_Inventory[[#This Row],[no_utilities]]=1,12000,0))/IF(Grandview_Inventory[[#This Row],[unbuildable]]=1,2,1)</f>
        <v>52639.730588165206</v>
      </c>
      <c r="CA2128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128">
        <f>ROUND(Grandview_Inventory[[#This Row],[det_value]]*Lookups!$M$28,-2)</f>
        <v>5900</v>
      </c>
      <c r="CC2128">
        <f>IF(ROUND(Grandview_Inventory[[#This Row],[adj_res]]*Lookups!$M$28,-2)&lt;Grandview_Inventory[[#This Row],[min_res]],Grandview_Inventory[[#This Row],[min_res]],ROUND(Grandview_Inventory[[#This Row],[adj_res]]*Lookups!$M$28,-2))</f>
        <v>161100</v>
      </c>
      <c r="CD2128">
        <f>Grandview_Inventory[[#This Row],[final_det]]+Grandview_Inventory[[#This Row],[final_res]]</f>
        <v>167000</v>
      </c>
      <c r="CE2128">
        <f>Grandview_Inventory[[#This Row],[final_land]]+Grandview_Inventory[[#This Row],[final_imp]]+Grandview_Inventory[[#This Row],[crop_value]]</f>
        <v>217000</v>
      </c>
      <c r="CG2128" t="str">
        <f t="shared" si="33"/>
        <v>update valuation set market_land =50000, market_bldg=167000, market_total =217000, market_mdno =401, market_date ='9/10/2023' where link_id = (select link_id from parcel where parcel_year = '2024' and parcel_id = '23092423516');</v>
      </c>
    </row>
    <row r="2129" spans="1:85" x14ac:dyDescent="0.25">
      <c r="A2129">
        <v>23092423517</v>
      </c>
      <c r="B2129">
        <v>0.41</v>
      </c>
      <c r="C2129">
        <v>17799</v>
      </c>
      <c r="D2129" t="s">
        <v>129</v>
      </c>
      <c r="E2129" t="s">
        <v>53</v>
      </c>
      <c r="F2129" t="s">
        <v>53</v>
      </c>
      <c r="G2129">
        <v>4</v>
      </c>
      <c r="H2129" t="s">
        <v>54</v>
      </c>
      <c r="I2129">
        <v>117900</v>
      </c>
      <c r="J2129">
        <v>41100</v>
      </c>
      <c r="K2129">
        <v>0.41</v>
      </c>
      <c r="L2129">
        <f>IF(Grandview_Inventory[[#This Row],[parcel_acres]]-Grandview_Inventory[[#This Row],[non_valued_acres]] =0,0,LN(Grandview_Inventory[[#This Row],[parcel_acres]]-Grandview_Inventory[[#This Row],[non_valued_acres]]))</f>
        <v>-0.89159811928378363</v>
      </c>
      <c r="M2129">
        <v>0</v>
      </c>
      <c r="N2129">
        <v>0</v>
      </c>
      <c r="O2129">
        <v>0</v>
      </c>
      <c r="P2129">
        <v>13398.7528</v>
      </c>
      <c r="Q2129">
        <v>63903</v>
      </c>
      <c r="R2129">
        <f>(Grandview_Inventory[[#This Row],[ln_acres]]*Grandview_Inventory[[#This Row],[coeff]])+Grandview_Inventory[[#This Row],[const]]</f>
        <v>51956.697202771669</v>
      </c>
      <c r="S2129" t="s">
        <v>68</v>
      </c>
      <c r="T2129">
        <v>1</v>
      </c>
      <c r="U2129" t="s">
        <v>70</v>
      </c>
      <c r="V2129" t="s">
        <v>78</v>
      </c>
      <c r="W2129">
        <v>0</v>
      </c>
      <c r="X2129">
        <v>0</v>
      </c>
      <c r="Y2129">
        <v>51</v>
      </c>
      <c r="Z2129">
        <v>78</v>
      </c>
      <c r="AA2129">
        <v>80</v>
      </c>
      <c r="AB2129">
        <v>1500</v>
      </c>
      <c r="AC2129">
        <v>1080</v>
      </c>
      <c r="AD2129">
        <v>1080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25</v>
      </c>
      <c r="AO2129">
        <v>0</v>
      </c>
      <c r="AP2129">
        <v>5</v>
      </c>
      <c r="AQ2129">
        <v>1</v>
      </c>
      <c r="AR2129">
        <v>0</v>
      </c>
      <c r="AS2129" t="s">
        <v>58</v>
      </c>
      <c r="AT2129">
        <v>1</v>
      </c>
      <c r="AU2129" t="s">
        <v>63</v>
      </c>
      <c r="AV2129" t="s">
        <v>64</v>
      </c>
      <c r="AW2129">
        <v>0</v>
      </c>
      <c r="AX2129">
        <v>2</v>
      </c>
      <c r="AY2129">
        <v>0</v>
      </c>
      <c r="AZ2129">
        <v>13600</v>
      </c>
      <c r="BA2129">
        <v>100</v>
      </c>
      <c r="BB2129">
        <v>100</v>
      </c>
      <c r="BC2129">
        <v>100</v>
      </c>
      <c r="BD2129">
        <v>100</v>
      </c>
      <c r="BE2129">
        <v>1</v>
      </c>
      <c r="BF2129">
        <v>15000</v>
      </c>
      <c r="BG2129">
        <v>1000</v>
      </c>
      <c r="BH2129" s="6">
        <f>Grandview_Inventory[[#This Row],[land_extract]]*Lookups!$B$3</f>
        <v>60337.172178496294</v>
      </c>
      <c r="BI2129" s="6">
        <f>IF(Grandview_Inventory[[#This Row],[bldg_style]]="",0,Lookups!$B$2)</f>
        <v>155833.95000000001</v>
      </c>
      <c r="BJ2129" s="6">
        <f>_xlfn.IFNA(VLOOKUP(Grandview_Inventory[[#This Row],[quality]],Lookups!$H$2:$J$14,3,FALSE),0)</f>
        <v>10733</v>
      </c>
      <c r="BK2129" s="6">
        <f>_xlfn.IFNA(VLOOKUP(Grandview_Inventory[[#This Row],[condition]],Lookups!$H$17:$J$24,3,FALSE),0)</f>
        <v>-45357</v>
      </c>
      <c r="BL2129" s="6">
        <f>Grandview_Inventory[[#This Row],[Eff_Age]]*Lookups!$B$14</f>
        <v>-12197.496599999999</v>
      </c>
      <c r="BM2129" s="6">
        <f>Grandview_Inventory[[#This Row],[living_area]]*Lookups!$B$15</f>
        <v>67371.321240000005</v>
      </c>
      <c r="BN2129" s="6">
        <f>Grandview_Inventory[[#This Row],[Fin BSMT]]*Lookups!$B$16</f>
        <v>0</v>
      </c>
      <c r="BO2129" s="6">
        <f>(Grandview_Inventory[[#This Row],[att_gar]]+Grandview_Inventory[[#This Row],[bltin_gar]])*Lookups!$B$17</f>
        <v>0</v>
      </c>
      <c r="BP2129" s="6">
        <f>Grandview_Inventory[[#This Row],[Plumbing Fixtures]]*Lookups!$B$18</f>
        <v>10052.209000000001</v>
      </c>
      <c r="BQ2129" s="6">
        <f>Grandview_Inventory[[#This Row],[detatched_value]]*Lookups!$B$19</f>
        <v>11516.549359999999</v>
      </c>
      <c r="BR2129" s="6">
        <f>SUM(Grandview_Inventory[[#This Row],[Intercept]:[det_value]])*Grandview_Inventory[[#This Row],[res_pct]]</f>
        <v>197952.53300000002</v>
      </c>
      <c r="BS2129" s="6">
        <f>Grandview_Inventory[[#This Row],[land_value]]</f>
        <v>60337.172178496294</v>
      </c>
      <c r="BT2129" s="4">
        <f>_xlfn.IFNA(VLOOKUP(Grandview_Inventory[[#This Row],[quality]],Lookups!$A$26:$C$33,3,FALSE),1)</f>
        <v>0.98079741117310582</v>
      </c>
      <c r="BU2129" s="4">
        <f>_xlfn.IFNA(VLOOKUP(Grandview_Inventory[[#This Row],[condition]],Lookups!$A$37:$C$44,3,FALSE),1)</f>
        <v>0.97161819570155394</v>
      </c>
      <c r="BV2129" s="4">
        <f>IF(Grandview_Inventory[[#This Row],[bldg_style]]="",1,_xlfn.IFNA(VLOOKUP(Grandview_Inventory[[#This Row],[decade]],Lookups!$F$29:$H$43,3,FALSE),1))</f>
        <v>0.98763256963907298</v>
      </c>
      <c r="BW2129" s="4">
        <f>_xlfn.IFNA(VLOOKUP(Grandview_Inventory[[#This Row],[living_area_range]],Lookups!$F$47:$H$56,3,FALSE),1)</f>
        <v>0.96135087979789358</v>
      </c>
      <c r="BX2129" s="4">
        <f>AVERAGE(Grandview_Inventory[[#This Row],[qual_adj]:[size_adj]])</f>
        <v>0.97534976407790652</v>
      </c>
      <c r="BY2129" s="6">
        <f>IF(Grandview_Inventory[[#This Row],[pre_res]]&lt;0,0,Grandview_Inventory[[#This Row],[pre_res]]*Grandview_Inventory[[#This Row],[overall_adj]])</f>
        <v>193072.95636017402</v>
      </c>
      <c r="BZ2129" s="6">
        <f>(Grandview_Inventory[[#This Row],[sum_land]]-IF(Grandview_Inventory[[#This Row],[no_utilities]]=1,12000,0))/IF(Grandview_Inventory[[#This Row],[unbuildable]]=1,2,1)</f>
        <v>60337.172178496294</v>
      </c>
      <c r="CA2129">
        <f>IF(ROUND(Grandview_Inventory[[#This Row],[adj_land]]*Lookups!$M$28,-2)&lt;Grandview_Inventory[[#This Row],[min_land]],Grandview_Inventory[[#This Row],[min_land]],ROUND(Grandview_Inventory[[#This Row],[adj_land]]*Lookups!$M$28,-2))</f>
        <v>57300</v>
      </c>
      <c r="CB2129">
        <f>ROUND(Grandview_Inventory[[#This Row],[det_value]]*Lookups!$M$28,-2)</f>
        <v>10900</v>
      </c>
      <c r="CC2129">
        <f>IF(ROUND(Grandview_Inventory[[#This Row],[adj_res]]*Lookups!$M$28,-2)&lt;Grandview_Inventory[[#This Row],[min_res]],Grandview_Inventory[[#This Row],[min_res]],ROUND(Grandview_Inventory[[#This Row],[adj_res]]*Lookups!$M$28,-2))</f>
        <v>183400</v>
      </c>
      <c r="CD2129">
        <f>Grandview_Inventory[[#This Row],[final_det]]+Grandview_Inventory[[#This Row],[final_res]]</f>
        <v>194300</v>
      </c>
      <c r="CE2129">
        <f>Grandview_Inventory[[#This Row],[final_land]]+Grandview_Inventory[[#This Row],[final_imp]]+Grandview_Inventory[[#This Row],[crop_value]]</f>
        <v>251600</v>
      </c>
      <c r="CG2129" t="str">
        <f t="shared" si="33"/>
        <v>update valuation set market_land =57300, market_bldg=194300, market_total =251600, market_mdno =401, market_date ='9/10/2023' where link_id = (select link_id from parcel where parcel_year = '2024' and parcel_id = '23092423517');</v>
      </c>
    </row>
    <row r="2130" spans="1:85" x14ac:dyDescent="0.25">
      <c r="A2130">
        <v>23092423518</v>
      </c>
      <c r="B2130">
        <v>0.44</v>
      </c>
      <c r="C2130">
        <v>19297</v>
      </c>
      <c r="D2130" t="s">
        <v>129</v>
      </c>
      <c r="E2130" t="s">
        <v>53</v>
      </c>
      <c r="F2130" t="s">
        <v>53</v>
      </c>
      <c r="G2130">
        <v>4</v>
      </c>
      <c r="H2130" t="s">
        <v>54</v>
      </c>
      <c r="I2130">
        <v>178500</v>
      </c>
      <c r="J2130">
        <v>41400</v>
      </c>
      <c r="K2130">
        <v>0.44</v>
      </c>
      <c r="L2130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2130">
        <v>0</v>
      </c>
      <c r="N2130">
        <v>0</v>
      </c>
      <c r="O2130">
        <v>0</v>
      </c>
      <c r="P2130">
        <v>13398.7528</v>
      </c>
      <c r="Q2130">
        <v>63903</v>
      </c>
      <c r="R2130">
        <f>(Grandview_Inventory[[#This Row],[ln_acres]]*Grandview_Inventory[[#This Row],[coeff]])+Grandview_Inventory[[#This Row],[const]]</f>
        <v>52902.884529208815</v>
      </c>
      <c r="S2130" t="s">
        <v>61</v>
      </c>
      <c r="T2130">
        <v>1</v>
      </c>
      <c r="U2130" t="s">
        <v>65</v>
      </c>
      <c r="V2130" t="s">
        <v>69</v>
      </c>
      <c r="W2130">
        <v>0</v>
      </c>
      <c r="X2130">
        <v>0</v>
      </c>
      <c r="Y2130">
        <v>36</v>
      </c>
      <c r="Z2130">
        <v>36</v>
      </c>
      <c r="AA2130">
        <v>40</v>
      </c>
      <c r="AB2130">
        <v>1500</v>
      </c>
      <c r="AC2130">
        <v>1304</v>
      </c>
      <c r="AD2130">
        <v>1304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378</v>
      </c>
      <c r="AN2130">
        <v>20</v>
      </c>
      <c r="AO2130">
        <v>378</v>
      </c>
      <c r="AP2130">
        <v>8</v>
      </c>
      <c r="AQ2130">
        <v>0</v>
      </c>
      <c r="AR2130">
        <v>0</v>
      </c>
      <c r="AS2130" t="s">
        <v>58</v>
      </c>
      <c r="AT2130">
        <v>1</v>
      </c>
      <c r="AU2130" t="s">
        <v>59</v>
      </c>
      <c r="AV2130" t="s">
        <v>60</v>
      </c>
      <c r="AW2130">
        <v>1</v>
      </c>
      <c r="AX2130">
        <v>3</v>
      </c>
      <c r="AY2130">
        <v>0</v>
      </c>
      <c r="AZ2130">
        <v>21500</v>
      </c>
      <c r="BA2130">
        <v>100</v>
      </c>
      <c r="BB2130">
        <v>100</v>
      </c>
      <c r="BC2130">
        <v>100</v>
      </c>
      <c r="BD2130">
        <v>100</v>
      </c>
      <c r="BE2130">
        <v>1</v>
      </c>
      <c r="BF2130">
        <v>15000</v>
      </c>
      <c r="BG2130">
        <v>1000</v>
      </c>
      <c r="BH2130" s="6">
        <f>Grandview_Inventory[[#This Row],[land_extract]]*Lookups!$B$3</f>
        <v>61435.976965981965</v>
      </c>
      <c r="BI2130" s="6">
        <f>IF(Grandview_Inventory[[#This Row],[bldg_style]]="",0,Lookups!$B$2)</f>
        <v>155833.95000000001</v>
      </c>
      <c r="BJ2130" s="6">
        <f>_xlfn.IFNA(VLOOKUP(Grandview_Inventory[[#This Row],[quality]],Lookups!$H$2:$J$14,3,FALSE),0)</f>
        <v>2251</v>
      </c>
      <c r="BK2130" s="6">
        <f>_xlfn.IFNA(VLOOKUP(Grandview_Inventory[[#This Row],[condition]],Lookups!$H$17:$J$24,3,FALSE),0)</f>
        <v>-4503</v>
      </c>
      <c r="BL2130" s="6">
        <f>Grandview_Inventory[[#This Row],[Eff_Age]]*Lookups!$B$14</f>
        <v>-8609.9975999999988</v>
      </c>
      <c r="BM2130" s="6">
        <f>Grandview_Inventory[[#This Row],[living_area]]*Lookups!$B$15</f>
        <v>81344.632312000002</v>
      </c>
      <c r="BN2130" s="6">
        <f>Grandview_Inventory[[#This Row],[Fin BSMT]]*Lookups!$B$16</f>
        <v>0</v>
      </c>
      <c r="BO2130" s="6">
        <f>(Grandview_Inventory[[#This Row],[att_gar]]+Grandview_Inventory[[#This Row],[bltin_gar]])*Lookups!$B$17</f>
        <v>0</v>
      </c>
      <c r="BP2130" s="6">
        <f>Grandview_Inventory[[#This Row],[Plumbing Fixtures]]*Lookups!$B$18</f>
        <v>16083.5344</v>
      </c>
      <c r="BQ2130" s="6">
        <f>Grandview_Inventory[[#This Row],[detatched_value]]*Lookups!$B$19</f>
        <v>18206.309649999999</v>
      </c>
      <c r="BR2130" s="6">
        <f>SUM(Grandview_Inventory[[#This Row],[Intercept]:[det_value]])*Grandview_Inventory[[#This Row],[res_pct]]</f>
        <v>260606.42876200003</v>
      </c>
      <c r="BS2130" s="6">
        <f>Grandview_Inventory[[#This Row],[land_value]]</f>
        <v>61435.976965981965</v>
      </c>
      <c r="BT2130" s="4">
        <f>_xlfn.IFNA(VLOOKUP(Grandview_Inventory[[#This Row],[quality]],Lookups!$A$26:$C$33,3,FALSE),1)</f>
        <v>0.98763855981004833</v>
      </c>
      <c r="BU2130" s="4">
        <f>_xlfn.IFNA(VLOOKUP(Grandview_Inventory[[#This Row],[condition]],Lookups!$A$37:$C$44,3,FALSE),1)</f>
        <v>0.96469275950863709</v>
      </c>
      <c r="BV2130" s="4">
        <f>IF(Grandview_Inventory[[#This Row],[bldg_style]]="",1,_xlfn.IFNA(VLOOKUP(Grandview_Inventory[[#This Row],[decade]],Lookups!$F$29:$H$43,3,FALSE),1))</f>
        <v>0.98031878267063854</v>
      </c>
      <c r="BW2130" s="4">
        <f>_xlfn.IFNA(VLOOKUP(Grandview_Inventory[[#This Row],[living_area_range]],Lookups!$F$47:$H$56,3,FALSE),1)</f>
        <v>0.96135087979789358</v>
      </c>
      <c r="BX2130" s="4">
        <f>AVERAGE(Grandview_Inventory[[#This Row],[qual_adj]:[size_adj]])</f>
        <v>0.97350024544680436</v>
      </c>
      <c r="BY2130" s="6">
        <f>IF(Grandview_Inventory[[#This Row],[pre_res]]&lt;0,0,Grandview_Inventory[[#This Row],[pre_res]]*Grandview_Inventory[[#This Row],[overall_adj]])</f>
        <v>253700.42236482215</v>
      </c>
      <c r="BZ2130" s="6">
        <f>(Grandview_Inventory[[#This Row],[sum_land]]-IF(Grandview_Inventory[[#This Row],[no_utilities]]=1,12000,0))/IF(Grandview_Inventory[[#This Row],[unbuildable]]=1,2,1)</f>
        <v>61435.976965981965</v>
      </c>
      <c r="CA2130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2130">
        <f>ROUND(Grandview_Inventory[[#This Row],[det_value]]*Lookups!$M$28,-2)</f>
        <v>17300</v>
      </c>
      <c r="CC2130">
        <f>IF(ROUND(Grandview_Inventory[[#This Row],[adj_res]]*Lookups!$M$28,-2)&lt;Grandview_Inventory[[#This Row],[min_res]],Grandview_Inventory[[#This Row],[min_res]],ROUND(Grandview_Inventory[[#This Row],[adj_res]]*Lookups!$M$28,-2))</f>
        <v>241000</v>
      </c>
      <c r="CD2130">
        <f>Grandview_Inventory[[#This Row],[final_det]]+Grandview_Inventory[[#This Row],[final_res]]</f>
        <v>258300</v>
      </c>
      <c r="CE2130">
        <f>Grandview_Inventory[[#This Row],[final_land]]+Grandview_Inventory[[#This Row],[final_imp]]+Grandview_Inventory[[#This Row],[crop_value]]</f>
        <v>316700</v>
      </c>
      <c r="CG2130" t="str">
        <f t="shared" si="33"/>
        <v>update valuation set market_land =58400, market_bldg=258300, market_total =316700, market_mdno =401, market_date ='9/10/2023' where link_id = (select link_id from parcel where parcel_year = '2024' and parcel_id = '23092423518');</v>
      </c>
    </row>
    <row r="2131" spans="1:85" x14ac:dyDescent="0.25">
      <c r="A2131">
        <v>23092423519</v>
      </c>
      <c r="B2131">
        <v>0.44</v>
      </c>
      <c r="C2131">
        <v>19134</v>
      </c>
      <c r="D2131" t="s">
        <v>129</v>
      </c>
      <c r="E2131" t="s">
        <v>53</v>
      </c>
      <c r="F2131" t="s">
        <v>53</v>
      </c>
      <c r="G2131">
        <v>4</v>
      </c>
      <c r="H2131" t="s">
        <v>54</v>
      </c>
      <c r="I2131">
        <v>209100</v>
      </c>
      <c r="J2131">
        <v>41400</v>
      </c>
      <c r="K2131">
        <v>0.44</v>
      </c>
      <c r="L2131">
        <f>IF(Grandview_Inventory[[#This Row],[parcel_acres]]-Grandview_Inventory[[#This Row],[non_valued_acres]] =0,0,LN(Grandview_Inventory[[#This Row],[parcel_acres]]-Grandview_Inventory[[#This Row],[non_valued_acres]]))</f>
        <v>-0.82098055206983023</v>
      </c>
      <c r="M2131">
        <v>0</v>
      </c>
      <c r="N2131">
        <v>0</v>
      </c>
      <c r="O2131">
        <v>0</v>
      </c>
      <c r="P2131">
        <v>13398.7528</v>
      </c>
      <c r="Q2131">
        <v>63903</v>
      </c>
      <c r="R2131">
        <f>(Grandview_Inventory[[#This Row],[ln_acres]]*Grandview_Inventory[[#This Row],[coeff]])+Grandview_Inventory[[#This Row],[const]]</f>
        <v>52902.884529208815</v>
      </c>
      <c r="S2131" t="s">
        <v>61</v>
      </c>
      <c r="T2131">
        <v>1</v>
      </c>
      <c r="U2131" t="s">
        <v>70</v>
      </c>
      <c r="V2131" t="s">
        <v>69</v>
      </c>
      <c r="W2131">
        <v>0</v>
      </c>
      <c r="X2131">
        <v>0</v>
      </c>
      <c r="Y2131">
        <v>50</v>
      </c>
      <c r="Z2131">
        <v>73</v>
      </c>
      <c r="AA2131">
        <v>80</v>
      </c>
      <c r="AB2131">
        <v>1000</v>
      </c>
      <c r="AC2131">
        <v>936</v>
      </c>
      <c r="AD2131">
        <v>936</v>
      </c>
      <c r="AE2131">
        <v>0</v>
      </c>
      <c r="AF2131">
        <v>0</v>
      </c>
      <c r="AG2131">
        <v>0</v>
      </c>
      <c r="AH2131">
        <v>936</v>
      </c>
      <c r="AI2131">
        <v>0</v>
      </c>
      <c r="AJ2131">
        <v>0</v>
      </c>
      <c r="AK2131">
        <v>0</v>
      </c>
      <c r="AL2131">
        <v>0</v>
      </c>
      <c r="AM2131">
        <v>240</v>
      </c>
      <c r="AN2131">
        <v>25</v>
      </c>
      <c r="AO2131">
        <v>240</v>
      </c>
      <c r="AP2131">
        <v>5</v>
      </c>
      <c r="AQ2131">
        <v>0</v>
      </c>
      <c r="AR2131">
        <v>0</v>
      </c>
      <c r="AS2131" t="s">
        <v>58</v>
      </c>
      <c r="AT2131">
        <v>1</v>
      </c>
      <c r="AU2131" t="s">
        <v>63</v>
      </c>
      <c r="AV2131" t="s">
        <v>64</v>
      </c>
      <c r="AW2131">
        <v>0</v>
      </c>
      <c r="AX2131">
        <v>3</v>
      </c>
      <c r="AY2131">
        <v>0</v>
      </c>
      <c r="AZ2131">
        <v>30700</v>
      </c>
      <c r="BA2131">
        <v>100</v>
      </c>
      <c r="BB2131">
        <v>100</v>
      </c>
      <c r="BC2131">
        <v>100</v>
      </c>
      <c r="BD2131">
        <v>100</v>
      </c>
      <c r="BE2131">
        <v>1</v>
      </c>
      <c r="BF2131">
        <v>15000</v>
      </c>
      <c r="BG2131">
        <v>1000</v>
      </c>
      <c r="BH2131" s="6">
        <f>Grandview_Inventory[[#This Row],[land_extract]]*Lookups!$B$3</f>
        <v>61435.976965981965</v>
      </c>
      <c r="BI2131" s="6">
        <f>IF(Grandview_Inventory[[#This Row],[bldg_style]]="",0,Lookups!$B$2)</f>
        <v>155833.95000000001</v>
      </c>
      <c r="BJ2131" s="6">
        <f>_xlfn.IFNA(VLOOKUP(Grandview_Inventory[[#This Row],[quality]],Lookups!$H$2:$J$14,3,FALSE),0)</f>
        <v>10733</v>
      </c>
      <c r="BK2131" s="6">
        <f>_xlfn.IFNA(VLOOKUP(Grandview_Inventory[[#This Row],[condition]],Lookups!$H$17:$J$24,3,FALSE),0)</f>
        <v>-4503</v>
      </c>
      <c r="BL2131" s="6">
        <f>Grandview_Inventory[[#This Row],[Eff_Age]]*Lookups!$B$14</f>
        <v>-11958.33</v>
      </c>
      <c r="BM2131" s="6">
        <f>Grandview_Inventory[[#This Row],[living_area]]*Lookups!$B$15</f>
        <v>58388.478408000003</v>
      </c>
      <c r="BN2131" s="6">
        <f>Grandview_Inventory[[#This Row],[Fin BSMT]]*Lookups!$B$16</f>
        <v>0</v>
      </c>
      <c r="BO2131" s="6">
        <f>(Grandview_Inventory[[#This Row],[att_gar]]+Grandview_Inventory[[#This Row],[bltin_gar]])*Lookups!$B$17</f>
        <v>0</v>
      </c>
      <c r="BP2131" s="6">
        <f>Grandview_Inventory[[#This Row],[Plumbing Fixtures]]*Lookups!$B$18</f>
        <v>10052.209000000001</v>
      </c>
      <c r="BQ2131" s="6">
        <f>Grandview_Inventory[[#This Row],[detatched_value]]*Lookups!$B$19</f>
        <v>25996.916569999998</v>
      </c>
      <c r="BR2131" s="6">
        <f>SUM(Grandview_Inventory[[#This Row],[Intercept]:[det_value]])*Grandview_Inventory[[#This Row],[res_pct]]</f>
        <v>244543.22397800002</v>
      </c>
      <c r="BS2131" s="6">
        <f>Grandview_Inventory[[#This Row],[land_value]]</f>
        <v>61435.976965981965</v>
      </c>
      <c r="BT2131" s="4">
        <f>_xlfn.IFNA(VLOOKUP(Grandview_Inventory[[#This Row],[quality]],Lookups!$A$26:$C$33,3,FALSE),1)</f>
        <v>0.98079741117310582</v>
      </c>
      <c r="BU2131" s="4">
        <f>_xlfn.IFNA(VLOOKUP(Grandview_Inventory[[#This Row],[condition]],Lookups!$A$37:$C$44,3,FALSE),1)</f>
        <v>0.96469275950863709</v>
      </c>
      <c r="BV2131" s="4">
        <f>IF(Grandview_Inventory[[#This Row],[bldg_style]]="",1,_xlfn.IFNA(VLOOKUP(Grandview_Inventory[[#This Row],[decade]],Lookups!$F$29:$H$43,3,FALSE),1))</f>
        <v>0.98763256963907298</v>
      </c>
      <c r="BW2131" s="4">
        <f>_xlfn.IFNA(VLOOKUP(Grandview_Inventory[[#This Row],[living_area_range]],Lookups!$F$47:$H$56,3,FALSE),1)</f>
        <v>0.94306777142782894</v>
      </c>
      <c r="BX2131" s="4">
        <f>AVERAGE(Grandview_Inventory[[#This Row],[qual_adj]:[size_adj]])</f>
        <v>0.96904762793716115</v>
      </c>
      <c r="BY2131" s="6">
        <f>IF(Grandview_Inventory[[#This Row],[pre_res]]&lt;0,0,Grandview_Inventory[[#This Row],[pre_res]]*Grandview_Inventory[[#This Row],[overall_adj]])</f>
        <v>236974.03112398685</v>
      </c>
      <c r="BZ2131" s="6">
        <f>(Grandview_Inventory[[#This Row],[sum_land]]-IF(Grandview_Inventory[[#This Row],[no_utilities]]=1,12000,0))/IF(Grandview_Inventory[[#This Row],[unbuildable]]=1,2,1)</f>
        <v>61435.976965981965</v>
      </c>
      <c r="CA2131">
        <f>IF(ROUND(Grandview_Inventory[[#This Row],[adj_land]]*Lookups!$M$28,-2)&lt;Grandview_Inventory[[#This Row],[min_land]],Grandview_Inventory[[#This Row],[min_land]],ROUND(Grandview_Inventory[[#This Row],[adj_land]]*Lookups!$M$28,-2))</f>
        <v>58400</v>
      </c>
      <c r="CB2131">
        <f>ROUND(Grandview_Inventory[[#This Row],[det_value]]*Lookups!$M$28,-2)</f>
        <v>24700</v>
      </c>
      <c r="CC2131">
        <f>IF(ROUND(Grandview_Inventory[[#This Row],[adj_res]]*Lookups!$M$28,-2)&lt;Grandview_Inventory[[#This Row],[min_res]],Grandview_Inventory[[#This Row],[min_res]],ROUND(Grandview_Inventory[[#This Row],[adj_res]]*Lookups!$M$28,-2))</f>
        <v>225100</v>
      </c>
      <c r="CD2131">
        <f>Grandview_Inventory[[#This Row],[final_det]]+Grandview_Inventory[[#This Row],[final_res]]</f>
        <v>249800</v>
      </c>
      <c r="CE2131">
        <f>Grandview_Inventory[[#This Row],[final_land]]+Grandview_Inventory[[#This Row],[final_imp]]+Grandview_Inventory[[#This Row],[crop_value]]</f>
        <v>308200</v>
      </c>
      <c r="CG2131" t="str">
        <f t="shared" si="33"/>
        <v>update valuation set market_land =58400, market_bldg=249800, market_total =308200, market_mdno =401, market_date ='9/10/2023' where link_id = (select link_id from parcel where parcel_year = '2024' and parcel_id = '23092423519');</v>
      </c>
    </row>
    <row r="2132" spans="1:85" x14ac:dyDescent="0.25">
      <c r="A2132">
        <v>23092423521</v>
      </c>
      <c r="B2132">
        <v>0.21</v>
      </c>
      <c r="C2132">
        <v>9127</v>
      </c>
      <c r="D2132" t="s">
        <v>129</v>
      </c>
      <c r="E2132" t="s">
        <v>53</v>
      </c>
      <c r="F2132" t="s">
        <v>53</v>
      </c>
      <c r="G2132">
        <v>4</v>
      </c>
      <c r="H2132" t="s">
        <v>54</v>
      </c>
      <c r="I2132">
        <v>135100</v>
      </c>
      <c r="J2132">
        <v>40900</v>
      </c>
      <c r="K2132">
        <v>0.21</v>
      </c>
      <c r="L213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132">
        <v>0</v>
      </c>
      <c r="N2132">
        <v>0</v>
      </c>
      <c r="O2132">
        <v>0</v>
      </c>
      <c r="P2132">
        <v>13398.7528</v>
      </c>
      <c r="Q2132">
        <v>63903</v>
      </c>
      <c r="R2132">
        <f>(Grandview_Inventory[[#This Row],[ln_acres]]*Grandview_Inventory[[#This Row],[coeff]])+Grandview_Inventory[[#This Row],[const]]</f>
        <v>42992.266613125081</v>
      </c>
      <c r="S2132" t="s">
        <v>68</v>
      </c>
      <c r="T2132">
        <v>1</v>
      </c>
      <c r="U2132" t="s">
        <v>70</v>
      </c>
      <c r="V2132" t="s">
        <v>69</v>
      </c>
      <c r="W2132">
        <v>0</v>
      </c>
      <c r="X2132">
        <v>0</v>
      </c>
      <c r="Y2132">
        <v>51</v>
      </c>
      <c r="Z2132">
        <v>78</v>
      </c>
      <c r="AA2132">
        <v>80</v>
      </c>
      <c r="AB2132">
        <v>1500</v>
      </c>
      <c r="AC2132">
        <v>1098</v>
      </c>
      <c r="AD2132">
        <v>1098</v>
      </c>
      <c r="AE2132">
        <v>0</v>
      </c>
      <c r="AF2132">
        <v>0</v>
      </c>
      <c r="AG2132">
        <v>0</v>
      </c>
      <c r="AH2132">
        <v>549</v>
      </c>
      <c r="AI2132">
        <v>0</v>
      </c>
      <c r="AJ2132">
        <v>0</v>
      </c>
      <c r="AK2132">
        <v>200</v>
      </c>
      <c r="AL2132">
        <v>150</v>
      </c>
      <c r="AM2132">
        <v>0</v>
      </c>
      <c r="AN2132">
        <v>32</v>
      </c>
      <c r="AO2132">
        <v>0</v>
      </c>
      <c r="AP2132">
        <v>5</v>
      </c>
      <c r="AQ2132">
        <v>0</v>
      </c>
      <c r="AR2132">
        <v>0</v>
      </c>
      <c r="AS2132" t="s">
        <v>58</v>
      </c>
      <c r="AT2132">
        <v>1</v>
      </c>
      <c r="AU2132" t="s">
        <v>75</v>
      </c>
      <c r="AV2132" t="s">
        <v>60</v>
      </c>
      <c r="AW2132">
        <v>0</v>
      </c>
      <c r="AX2132">
        <v>2</v>
      </c>
      <c r="AY2132">
        <v>0</v>
      </c>
      <c r="AZ2132">
        <v>4400</v>
      </c>
      <c r="BA2132">
        <v>100</v>
      </c>
      <c r="BB2132">
        <v>100</v>
      </c>
      <c r="BC2132">
        <v>100</v>
      </c>
      <c r="BD2132">
        <v>100</v>
      </c>
      <c r="BE2132">
        <v>1</v>
      </c>
      <c r="BF2132">
        <v>15000</v>
      </c>
      <c r="BG2132">
        <v>1000</v>
      </c>
      <c r="BH2132" s="6">
        <f>Grandview_Inventory[[#This Row],[land_extract]]*Lookups!$B$3</f>
        <v>49926.8031387023</v>
      </c>
      <c r="BI2132" s="6">
        <f>IF(Grandview_Inventory[[#This Row],[bldg_style]]="",0,Lookups!$B$2)</f>
        <v>155833.95000000001</v>
      </c>
      <c r="BJ2132" s="6">
        <f>_xlfn.IFNA(VLOOKUP(Grandview_Inventory[[#This Row],[quality]],Lookups!$H$2:$J$14,3,FALSE),0)</f>
        <v>10733</v>
      </c>
      <c r="BK2132" s="6">
        <f>_xlfn.IFNA(VLOOKUP(Grandview_Inventory[[#This Row],[condition]],Lookups!$H$17:$J$24,3,FALSE),0)</f>
        <v>-4503</v>
      </c>
      <c r="BL2132" s="6">
        <f>Grandview_Inventory[[#This Row],[Eff_Age]]*Lookups!$B$14</f>
        <v>-12197.496599999999</v>
      </c>
      <c r="BM2132" s="6">
        <f>Grandview_Inventory[[#This Row],[living_area]]*Lookups!$B$15</f>
        <v>68494.176594000004</v>
      </c>
      <c r="BN2132" s="6">
        <f>Grandview_Inventory[[#This Row],[Fin BSMT]]*Lookups!$B$16</f>
        <v>0</v>
      </c>
      <c r="BO2132" s="6">
        <f>(Grandview_Inventory[[#This Row],[att_gar]]+Grandview_Inventory[[#This Row],[bltin_gar]])*Lookups!$B$17</f>
        <v>0</v>
      </c>
      <c r="BP2132" s="6">
        <f>Grandview_Inventory[[#This Row],[Plumbing Fixtures]]*Lookups!$B$18</f>
        <v>10052.209000000001</v>
      </c>
      <c r="BQ2132" s="6">
        <f>Grandview_Inventory[[#This Row],[detatched_value]]*Lookups!$B$19</f>
        <v>3725.9424399999998</v>
      </c>
      <c r="BR2132" s="6">
        <f>SUM(Grandview_Inventory[[#This Row],[Intercept]:[det_value]])*Grandview_Inventory[[#This Row],[res_pct]]</f>
        <v>232138.78143400003</v>
      </c>
      <c r="BS2132" s="6">
        <f>Grandview_Inventory[[#This Row],[land_value]]</f>
        <v>49926.8031387023</v>
      </c>
      <c r="BT2132" s="4">
        <f>_xlfn.IFNA(VLOOKUP(Grandview_Inventory[[#This Row],[quality]],Lookups!$A$26:$C$33,3,FALSE),1)</f>
        <v>0.98079741117310582</v>
      </c>
      <c r="BU2132" s="4">
        <f>_xlfn.IFNA(VLOOKUP(Grandview_Inventory[[#This Row],[condition]],Lookups!$A$37:$C$44,3,FALSE),1)</f>
        <v>0.96469275950863709</v>
      </c>
      <c r="BV2132" s="4">
        <f>IF(Grandview_Inventory[[#This Row],[bldg_style]]="",1,_xlfn.IFNA(VLOOKUP(Grandview_Inventory[[#This Row],[decade]],Lookups!$F$29:$H$43,3,FALSE),1))</f>
        <v>0.98763256963907298</v>
      </c>
      <c r="BW2132" s="4">
        <f>_xlfn.IFNA(VLOOKUP(Grandview_Inventory[[#This Row],[living_area_range]],Lookups!$F$47:$H$56,3,FALSE),1)</f>
        <v>0.96135087979789358</v>
      </c>
      <c r="BX2132" s="4">
        <f>AVERAGE(Grandview_Inventory[[#This Row],[qual_adj]:[size_adj]])</f>
        <v>0.97361840502967734</v>
      </c>
      <c r="BY2132" s="6">
        <f>IF(Grandview_Inventory[[#This Row],[pre_res]]&lt;0,0,Grandview_Inventory[[#This Row],[pre_res]]*Grandview_Inventory[[#This Row],[overall_adj]])</f>
        <v>226014.59012530398</v>
      </c>
      <c r="BZ2132" s="6">
        <f>(Grandview_Inventory[[#This Row],[sum_land]]-IF(Grandview_Inventory[[#This Row],[no_utilities]]=1,12000,0))/IF(Grandview_Inventory[[#This Row],[unbuildable]]=1,2,1)</f>
        <v>49926.8031387023</v>
      </c>
      <c r="CA213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132">
        <f>ROUND(Grandview_Inventory[[#This Row],[det_value]]*Lookups!$M$28,-2)</f>
        <v>3500</v>
      </c>
      <c r="CC2132">
        <f>IF(ROUND(Grandview_Inventory[[#This Row],[adj_res]]*Lookups!$M$28,-2)&lt;Grandview_Inventory[[#This Row],[min_res]],Grandview_Inventory[[#This Row],[min_res]],ROUND(Grandview_Inventory[[#This Row],[adj_res]]*Lookups!$M$28,-2))</f>
        <v>214700</v>
      </c>
      <c r="CD2132">
        <f>Grandview_Inventory[[#This Row],[final_det]]+Grandview_Inventory[[#This Row],[final_res]]</f>
        <v>218200</v>
      </c>
      <c r="CE2132">
        <f>Grandview_Inventory[[#This Row],[final_land]]+Grandview_Inventory[[#This Row],[final_imp]]+Grandview_Inventory[[#This Row],[crop_value]]</f>
        <v>265600</v>
      </c>
      <c r="CG2132" t="str">
        <f t="shared" si="33"/>
        <v>update valuation set market_land =47400, market_bldg=218200, market_total =265600, market_mdno =401, market_date ='9/10/2023' where link_id = (select link_id from parcel where parcel_year = '2024' and parcel_id = '23092423521');</v>
      </c>
    </row>
    <row r="2133" spans="1:85" x14ac:dyDescent="0.25">
      <c r="A2133">
        <v>23092423522</v>
      </c>
      <c r="B2133">
        <v>0.64</v>
      </c>
      <c r="C2133">
        <v>27718</v>
      </c>
      <c r="D2133" t="s">
        <v>129</v>
      </c>
      <c r="E2133" t="s">
        <v>53</v>
      </c>
      <c r="F2133" t="s">
        <v>53</v>
      </c>
      <c r="G2133">
        <v>4</v>
      </c>
      <c r="H2133" t="s">
        <v>54</v>
      </c>
      <c r="I2133">
        <v>145700</v>
      </c>
      <c r="J2133">
        <v>42400</v>
      </c>
      <c r="K2133">
        <v>0.64</v>
      </c>
      <c r="L2133">
        <f>IF(Grandview_Inventory[[#This Row],[parcel_acres]]-Grandview_Inventory[[#This Row],[non_valued_acres]] =0,0,LN(Grandview_Inventory[[#This Row],[parcel_acres]]-Grandview_Inventory[[#This Row],[non_valued_acres]]))</f>
        <v>-0.44628710262841947</v>
      </c>
      <c r="M2133">
        <v>0</v>
      </c>
      <c r="N2133">
        <v>0</v>
      </c>
      <c r="O2133">
        <v>0</v>
      </c>
      <c r="P2133">
        <v>13398.7528</v>
      </c>
      <c r="Q2133">
        <v>63903</v>
      </c>
      <c r="R2133">
        <f>(Grandview_Inventory[[#This Row],[ln_acres]]*Grandview_Inventory[[#This Row],[coeff]])+Grandview_Inventory[[#This Row],[const]]</f>
        <v>57923.309434053575</v>
      </c>
      <c r="S2133" t="s">
        <v>55</v>
      </c>
      <c r="T2133">
        <v>2</v>
      </c>
      <c r="U2133" t="s">
        <v>80</v>
      </c>
      <c r="V2133" t="s">
        <v>69</v>
      </c>
      <c r="W2133">
        <v>0</v>
      </c>
      <c r="X2133">
        <v>0</v>
      </c>
      <c r="Y2133">
        <v>55</v>
      </c>
      <c r="Z2133">
        <v>98</v>
      </c>
      <c r="AA2133">
        <v>100</v>
      </c>
      <c r="AB2133">
        <v>1500</v>
      </c>
      <c r="AC2133">
        <v>1440</v>
      </c>
      <c r="AD2133">
        <v>960</v>
      </c>
      <c r="AE2133">
        <v>480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128</v>
      </c>
      <c r="AM2133">
        <v>0</v>
      </c>
      <c r="AN2133">
        <v>0</v>
      </c>
      <c r="AO2133">
        <v>368</v>
      </c>
      <c r="AP2133">
        <v>5</v>
      </c>
      <c r="AQ2133">
        <v>0</v>
      </c>
      <c r="AR2133">
        <v>0</v>
      </c>
      <c r="AS2133" t="s">
        <v>58</v>
      </c>
      <c r="AT2133">
        <v>1</v>
      </c>
      <c r="AU2133" t="s">
        <v>75</v>
      </c>
      <c r="AV2133" t="s">
        <v>60</v>
      </c>
      <c r="AW2133">
        <v>0</v>
      </c>
      <c r="AX2133">
        <v>2</v>
      </c>
      <c r="AY2133">
        <v>0</v>
      </c>
      <c r="AZ2133">
        <v>10300</v>
      </c>
      <c r="BA2133">
        <v>100</v>
      </c>
      <c r="BB2133">
        <v>100</v>
      </c>
      <c r="BC2133">
        <v>100</v>
      </c>
      <c r="BD2133">
        <v>100</v>
      </c>
      <c r="BE2133">
        <v>1</v>
      </c>
      <c r="BF2133">
        <v>15000</v>
      </c>
      <c r="BG2133">
        <v>1000</v>
      </c>
      <c r="BH2133" s="6">
        <f>Grandview_Inventory[[#This Row],[land_extract]]*Lookups!$B$3</f>
        <v>67266.182852830942</v>
      </c>
      <c r="BI2133" s="6">
        <f>IF(Grandview_Inventory[[#This Row],[bldg_style]]="",0,Lookups!$B$2)</f>
        <v>155833.95000000001</v>
      </c>
      <c r="BJ2133" s="6">
        <f>_xlfn.IFNA(VLOOKUP(Grandview_Inventory[[#This Row],[quality]],Lookups!$H$2:$J$14,3,FALSE),0)</f>
        <v>-28558</v>
      </c>
      <c r="BK2133" s="6">
        <f>_xlfn.IFNA(VLOOKUP(Grandview_Inventory[[#This Row],[condition]],Lookups!$H$17:$J$24,3,FALSE),0)</f>
        <v>-4503</v>
      </c>
      <c r="BL2133" s="6">
        <f>Grandview_Inventory[[#This Row],[Eff_Age]]*Lookups!$B$14</f>
        <v>-13154.162999999999</v>
      </c>
      <c r="BM2133" s="6">
        <f>Grandview_Inventory[[#This Row],[living_area]]*Lookups!$B$15</f>
        <v>89828.428320000006</v>
      </c>
      <c r="BN2133" s="6">
        <f>Grandview_Inventory[[#This Row],[Fin BSMT]]*Lookups!$B$16</f>
        <v>0</v>
      </c>
      <c r="BO2133" s="6">
        <f>(Grandview_Inventory[[#This Row],[att_gar]]+Grandview_Inventory[[#This Row],[bltin_gar]])*Lookups!$B$17</f>
        <v>0</v>
      </c>
      <c r="BP2133" s="6">
        <f>Grandview_Inventory[[#This Row],[Plumbing Fixtures]]*Lookups!$B$18</f>
        <v>10052.209000000001</v>
      </c>
      <c r="BQ2133" s="6">
        <f>Grandview_Inventory[[#This Row],[detatched_value]]*Lookups!$B$19</f>
        <v>8722.0925299999999</v>
      </c>
      <c r="BR2133" s="6">
        <f>SUM(Grandview_Inventory[[#This Row],[Intercept]:[det_value]])*Grandview_Inventory[[#This Row],[res_pct]]</f>
        <v>218221.51685000001</v>
      </c>
      <c r="BS2133" s="6">
        <f>Grandview_Inventory[[#This Row],[land_value]]</f>
        <v>67266.182852830942</v>
      </c>
      <c r="BT2133" s="4">
        <f>_xlfn.IFNA(VLOOKUP(Grandview_Inventory[[#This Row],[quality]],Lookups!$A$26:$C$33,3,FALSE),1)</f>
        <v>0.9690360070159818</v>
      </c>
      <c r="BU2133" s="4">
        <f>_xlfn.IFNA(VLOOKUP(Grandview_Inventory[[#This Row],[condition]],Lookups!$A$37:$C$44,3,FALSE),1)</f>
        <v>0.96469275950863709</v>
      </c>
      <c r="BV2133" s="4">
        <f>IF(Grandview_Inventory[[#This Row],[bldg_style]]="",1,_xlfn.IFNA(VLOOKUP(Grandview_Inventory[[#This Row],[decade]],Lookups!$F$29:$H$43,3,FALSE),1))</f>
        <v>0.95244691841736806</v>
      </c>
      <c r="BW2133" s="4">
        <f>_xlfn.IFNA(VLOOKUP(Grandview_Inventory[[#This Row],[living_area_range]],Lookups!$F$47:$H$56,3,FALSE),1)</f>
        <v>0.96135087979789358</v>
      </c>
      <c r="BX2133" s="4">
        <f>AVERAGE(Grandview_Inventory[[#This Row],[qual_adj]:[size_adj]])</f>
        <v>0.9618816411849701</v>
      </c>
      <c r="BY2133" s="6">
        <f>IF(Grandview_Inventory[[#This Row],[pre_res]]&lt;0,0,Grandview_Inventory[[#This Row],[pre_res]]*Grandview_Inventory[[#This Row],[overall_adj]])</f>
        <v>209903.27076955163</v>
      </c>
      <c r="BZ2133" s="6">
        <f>(Grandview_Inventory[[#This Row],[sum_land]]-IF(Grandview_Inventory[[#This Row],[no_utilities]]=1,12000,0))/IF(Grandview_Inventory[[#This Row],[unbuildable]]=1,2,1)</f>
        <v>67266.182852830942</v>
      </c>
      <c r="CA2133">
        <f>IF(ROUND(Grandview_Inventory[[#This Row],[adj_land]]*Lookups!$M$28,-2)&lt;Grandview_Inventory[[#This Row],[min_land]],Grandview_Inventory[[#This Row],[min_land]],ROUND(Grandview_Inventory[[#This Row],[adj_land]]*Lookups!$M$28,-2))</f>
        <v>63900</v>
      </c>
      <c r="CB2133">
        <f>ROUND(Grandview_Inventory[[#This Row],[det_value]]*Lookups!$M$28,-2)</f>
        <v>8300</v>
      </c>
      <c r="CC2133">
        <f>IF(ROUND(Grandview_Inventory[[#This Row],[adj_res]]*Lookups!$M$28,-2)&lt;Grandview_Inventory[[#This Row],[min_res]],Grandview_Inventory[[#This Row],[min_res]],ROUND(Grandview_Inventory[[#This Row],[adj_res]]*Lookups!$M$28,-2))</f>
        <v>199400</v>
      </c>
      <c r="CD2133">
        <f>Grandview_Inventory[[#This Row],[final_det]]+Grandview_Inventory[[#This Row],[final_res]]</f>
        <v>207700</v>
      </c>
      <c r="CE2133">
        <f>Grandview_Inventory[[#This Row],[final_land]]+Grandview_Inventory[[#This Row],[final_imp]]+Grandview_Inventory[[#This Row],[crop_value]]</f>
        <v>271600</v>
      </c>
      <c r="CG2133" t="str">
        <f t="shared" si="33"/>
        <v>update valuation set market_land =63900, market_bldg=207700, market_total =271600, market_mdno =401, market_date ='9/10/2023' where link_id = (select link_id from parcel where parcel_year = '2024' and parcel_id = '23092423522');</v>
      </c>
    </row>
    <row r="2134" spans="1:85" x14ac:dyDescent="0.25">
      <c r="A2134">
        <v>23092423527</v>
      </c>
      <c r="B2134">
        <v>0.22</v>
      </c>
      <c r="C2134">
        <v>9642</v>
      </c>
      <c r="D2134" t="s">
        <v>129</v>
      </c>
      <c r="E2134" t="s">
        <v>53</v>
      </c>
      <c r="F2134" t="s">
        <v>53</v>
      </c>
      <c r="G2134">
        <v>4</v>
      </c>
      <c r="H2134" t="s">
        <v>54</v>
      </c>
      <c r="I2134">
        <v>107700</v>
      </c>
      <c r="J2134">
        <v>39500</v>
      </c>
      <c r="K2134">
        <v>0.22</v>
      </c>
      <c r="L2134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134">
        <v>0</v>
      </c>
      <c r="N2134">
        <v>0</v>
      </c>
      <c r="O2134">
        <v>0</v>
      </c>
      <c r="P2134">
        <v>13398.7528</v>
      </c>
      <c r="Q2134">
        <v>63903</v>
      </c>
      <c r="R2134">
        <f>(Grandview_Inventory[[#This Row],[ln_acres]]*Grandview_Inventory[[#This Row],[coeff]])+Grandview_Inventory[[#This Row],[const]]</f>
        <v>43615.576802869145</v>
      </c>
      <c r="S2134" t="s">
        <v>68</v>
      </c>
      <c r="T2134">
        <v>1</v>
      </c>
      <c r="U2134" t="s">
        <v>83</v>
      </c>
      <c r="V2134" t="s">
        <v>69</v>
      </c>
      <c r="W2134">
        <v>0</v>
      </c>
      <c r="X2134">
        <v>0</v>
      </c>
      <c r="Y2134">
        <v>51</v>
      </c>
      <c r="Z2134">
        <v>83</v>
      </c>
      <c r="AA2134">
        <v>90</v>
      </c>
      <c r="AB2134">
        <v>1000</v>
      </c>
      <c r="AC2134">
        <v>629</v>
      </c>
      <c r="AD2134">
        <v>629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5</v>
      </c>
      <c r="AQ2134">
        <v>0</v>
      </c>
      <c r="AR2134">
        <v>0</v>
      </c>
      <c r="AS2134" t="s">
        <v>58</v>
      </c>
      <c r="AT2134">
        <v>0</v>
      </c>
      <c r="AU2134" t="s">
        <v>82</v>
      </c>
      <c r="AV2134" t="s">
        <v>60</v>
      </c>
      <c r="AW2134">
        <v>0</v>
      </c>
      <c r="AX2134">
        <v>1</v>
      </c>
      <c r="AY2134">
        <v>0</v>
      </c>
      <c r="AZ2134">
        <v>6800</v>
      </c>
      <c r="BA2134">
        <v>100</v>
      </c>
      <c r="BB2134">
        <v>100</v>
      </c>
      <c r="BC2134">
        <v>100</v>
      </c>
      <c r="BD2134">
        <v>100</v>
      </c>
      <c r="BE2134">
        <v>1</v>
      </c>
      <c r="BF2134">
        <v>15000</v>
      </c>
      <c r="BG2134">
        <v>1000</v>
      </c>
      <c r="BH2134" s="6">
        <f>Grandview_Inventory[[#This Row],[land_extract]]*Lookups!$B$3</f>
        <v>50650.651579114572</v>
      </c>
      <c r="BI2134" s="6">
        <f>IF(Grandview_Inventory[[#This Row],[bldg_style]]="",0,Lookups!$B$2)</f>
        <v>155833.95000000001</v>
      </c>
      <c r="BJ2134" s="6">
        <f>_xlfn.IFNA(VLOOKUP(Grandview_Inventory[[#This Row],[quality]],Lookups!$H$2:$J$14,3,FALSE),0)</f>
        <v>-28558</v>
      </c>
      <c r="BK2134" s="6">
        <f>_xlfn.IFNA(VLOOKUP(Grandview_Inventory[[#This Row],[condition]],Lookups!$H$17:$J$24,3,FALSE),0)</f>
        <v>-4503</v>
      </c>
      <c r="BL2134" s="6">
        <f>Grandview_Inventory[[#This Row],[Eff_Age]]*Lookups!$B$14</f>
        <v>-12197.496599999999</v>
      </c>
      <c r="BM2134" s="6">
        <f>Grandview_Inventory[[#This Row],[living_area]]*Lookups!$B$15</f>
        <v>39237.556537000004</v>
      </c>
      <c r="BN2134" s="6">
        <f>Grandview_Inventory[[#This Row],[Fin BSMT]]*Lookups!$B$16</f>
        <v>0</v>
      </c>
      <c r="BO2134" s="6">
        <f>(Grandview_Inventory[[#This Row],[att_gar]]+Grandview_Inventory[[#This Row],[bltin_gar]])*Lookups!$B$17</f>
        <v>0</v>
      </c>
      <c r="BP2134" s="6">
        <f>Grandview_Inventory[[#This Row],[Plumbing Fixtures]]*Lookups!$B$18</f>
        <v>10052.209000000001</v>
      </c>
      <c r="BQ2134" s="6">
        <f>Grandview_Inventory[[#This Row],[detatched_value]]*Lookups!$B$19</f>
        <v>5758.2746799999995</v>
      </c>
      <c r="BR2134" s="6">
        <f>SUM(Grandview_Inventory[[#This Row],[Intercept]:[det_value]])*Grandview_Inventory[[#This Row],[res_pct]]</f>
        <v>165623.49361700003</v>
      </c>
      <c r="BS2134" s="6">
        <f>Grandview_Inventory[[#This Row],[land_value]]</f>
        <v>50650.651579114572</v>
      </c>
      <c r="BT2134" s="4">
        <f>_xlfn.IFNA(VLOOKUP(Grandview_Inventory[[#This Row],[quality]],Lookups!$A$26:$C$33,3,FALSE),1)</f>
        <v>0.96329552998502799</v>
      </c>
      <c r="BU2134" s="4">
        <f>_xlfn.IFNA(VLOOKUP(Grandview_Inventory[[#This Row],[condition]],Lookups!$A$37:$C$44,3,FALSE),1)</f>
        <v>0.96469275950863709</v>
      </c>
      <c r="BV2134" s="4">
        <f>IF(Grandview_Inventory[[#This Row],[bldg_style]]="",1,_xlfn.IFNA(VLOOKUP(Grandview_Inventory[[#This Row],[decade]],Lookups!$F$29:$H$43,3,FALSE),1))</f>
        <v>0.94161750052457416</v>
      </c>
      <c r="BW2134" s="4">
        <f>_xlfn.IFNA(VLOOKUP(Grandview_Inventory[[#This Row],[living_area_range]],Lookups!$F$47:$H$56,3,FALSE),1)</f>
        <v>0.94306777142782894</v>
      </c>
      <c r="BX2134" s="4">
        <f>AVERAGE(Grandview_Inventory[[#This Row],[qual_adj]:[size_adj]])</f>
        <v>0.95316839036151702</v>
      </c>
      <c r="BY2134" s="6">
        <f>IF(Grandview_Inventory[[#This Row],[pre_res]]&lt;0,0,Grandview_Inventory[[#This Row],[pre_res]]*Grandview_Inventory[[#This Row],[overall_adj]])</f>
        <v>157867.07881696691</v>
      </c>
      <c r="BZ2134" s="6">
        <f>(Grandview_Inventory[[#This Row],[sum_land]]-IF(Grandview_Inventory[[#This Row],[no_utilities]]=1,12000,0))/IF(Grandview_Inventory[[#This Row],[unbuildable]]=1,2,1)</f>
        <v>50650.651579114572</v>
      </c>
      <c r="CA2134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134">
        <f>ROUND(Grandview_Inventory[[#This Row],[det_value]]*Lookups!$M$28,-2)</f>
        <v>5500</v>
      </c>
      <c r="CC2134">
        <f>IF(ROUND(Grandview_Inventory[[#This Row],[adj_res]]*Lookups!$M$28,-2)&lt;Grandview_Inventory[[#This Row],[min_res]],Grandview_Inventory[[#This Row],[min_res]],ROUND(Grandview_Inventory[[#This Row],[adj_res]]*Lookups!$M$28,-2))</f>
        <v>150000</v>
      </c>
      <c r="CD2134">
        <f>Grandview_Inventory[[#This Row],[final_det]]+Grandview_Inventory[[#This Row],[final_res]]</f>
        <v>155500</v>
      </c>
      <c r="CE2134">
        <f>Grandview_Inventory[[#This Row],[final_land]]+Grandview_Inventory[[#This Row],[final_imp]]+Grandview_Inventory[[#This Row],[crop_value]]</f>
        <v>203600</v>
      </c>
      <c r="CG2134" t="str">
        <f t="shared" si="33"/>
        <v>update valuation set market_land =48100, market_bldg=155500, market_total =203600, market_mdno =401, market_date ='9/10/2023' where link_id = (select link_id from parcel where parcel_year = '2024' and parcel_id = '23092423527');</v>
      </c>
    </row>
    <row r="2135" spans="1:85" x14ac:dyDescent="0.25">
      <c r="A2135">
        <v>23092423528</v>
      </c>
      <c r="B2135">
        <v>0.33</v>
      </c>
      <c r="C2135">
        <v>14329</v>
      </c>
      <c r="D2135" t="s">
        <v>129</v>
      </c>
      <c r="E2135" t="s">
        <v>53</v>
      </c>
      <c r="F2135" t="s">
        <v>53</v>
      </c>
      <c r="G2135">
        <v>4</v>
      </c>
      <c r="H2135" t="s">
        <v>54</v>
      </c>
      <c r="I2135">
        <v>106800</v>
      </c>
      <c r="J2135">
        <v>41200</v>
      </c>
      <c r="K2135">
        <v>0.33</v>
      </c>
      <c r="L2135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2135">
        <v>0</v>
      </c>
      <c r="N2135">
        <v>0</v>
      </c>
      <c r="O2135">
        <v>0</v>
      </c>
      <c r="P2135">
        <v>13398.7528</v>
      </c>
      <c r="Q2135">
        <v>63903</v>
      </c>
      <c r="R2135">
        <f>(Grandview_Inventory[[#This Row],[ln_acres]]*Grandview_Inventory[[#This Row],[coeff]])+Grandview_Inventory[[#This Row],[const]]</f>
        <v>49048.303555435712</v>
      </c>
      <c r="S2135" t="s">
        <v>68</v>
      </c>
      <c r="T2135">
        <v>1</v>
      </c>
      <c r="U2135" t="s">
        <v>80</v>
      </c>
      <c r="V2135" t="s">
        <v>69</v>
      </c>
      <c r="W2135">
        <v>0</v>
      </c>
      <c r="X2135">
        <v>0</v>
      </c>
      <c r="Y2135">
        <v>49</v>
      </c>
      <c r="Z2135">
        <v>68</v>
      </c>
      <c r="AA2135">
        <v>70</v>
      </c>
      <c r="AB2135">
        <v>1000</v>
      </c>
      <c r="AC2135">
        <v>864</v>
      </c>
      <c r="AD2135">
        <v>864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16</v>
      </c>
      <c r="AO2135">
        <v>0</v>
      </c>
      <c r="AP2135">
        <v>5</v>
      </c>
      <c r="AQ2135">
        <v>0</v>
      </c>
      <c r="AR2135">
        <v>0</v>
      </c>
      <c r="AS2135" t="s">
        <v>58</v>
      </c>
      <c r="AT2135">
        <v>1</v>
      </c>
      <c r="AU2135" t="s">
        <v>75</v>
      </c>
      <c r="AV2135" t="s">
        <v>60</v>
      </c>
      <c r="AW2135">
        <v>0</v>
      </c>
      <c r="AX2135">
        <v>2</v>
      </c>
      <c r="AY2135">
        <v>0</v>
      </c>
      <c r="AZ2135">
        <v>9600</v>
      </c>
      <c r="BA2135">
        <v>100</v>
      </c>
      <c r="BB2135">
        <v>100</v>
      </c>
      <c r="BC2135">
        <v>100</v>
      </c>
      <c r="BD2135">
        <v>100</v>
      </c>
      <c r="BE2135">
        <v>1</v>
      </c>
      <c r="BF2135">
        <v>15000</v>
      </c>
      <c r="BG2135">
        <v>1000</v>
      </c>
      <c r="BH2135" s="6">
        <f>Grandview_Inventory[[#This Row],[land_extract]]*Lookups!$B$3</f>
        <v>56959.662488507893</v>
      </c>
      <c r="BI2135" s="6">
        <f>IF(Grandview_Inventory[[#This Row],[bldg_style]]="",0,Lookups!$B$2)</f>
        <v>155833.95000000001</v>
      </c>
      <c r="BJ2135" s="6">
        <f>_xlfn.IFNA(VLOOKUP(Grandview_Inventory[[#This Row],[quality]],Lookups!$H$2:$J$14,3,FALSE),0)</f>
        <v>-28558</v>
      </c>
      <c r="BK2135" s="6">
        <f>_xlfn.IFNA(VLOOKUP(Grandview_Inventory[[#This Row],[condition]],Lookups!$H$17:$J$24,3,FALSE),0)</f>
        <v>-4503</v>
      </c>
      <c r="BL2135" s="6">
        <f>Grandview_Inventory[[#This Row],[Eff_Age]]*Lookups!$B$14</f>
        <v>-11719.163399999999</v>
      </c>
      <c r="BM2135" s="6">
        <f>Grandview_Inventory[[#This Row],[living_area]]*Lookups!$B$15</f>
        <v>53897.056991999998</v>
      </c>
      <c r="BN2135" s="6">
        <f>Grandview_Inventory[[#This Row],[Fin BSMT]]*Lookups!$B$16</f>
        <v>0</v>
      </c>
      <c r="BO2135" s="6">
        <f>(Grandview_Inventory[[#This Row],[att_gar]]+Grandview_Inventory[[#This Row],[bltin_gar]])*Lookups!$B$17</f>
        <v>0</v>
      </c>
      <c r="BP2135" s="6">
        <f>Grandview_Inventory[[#This Row],[Plumbing Fixtures]]*Lookups!$B$18</f>
        <v>10052.209000000001</v>
      </c>
      <c r="BQ2135" s="6">
        <f>Grandview_Inventory[[#This Row],[detatched_value]]*Lookups!$B$19</f>
        <v>8129.3289599999998</v>
      </c>
      <c r="BR2135" s="6">
        <f>SUM(Grandview_Inventory[[#This Row],[Intercept]:[det_value]])*Grandview_Inventory[[#This Row],[res_pct]]</f>
        <v>183132.38155200004</v>
      </c>
      <c r="BS2135" s="6">
        <f>Grandview_Inventory[[#This Row],[land_value]]</f>
        <v>56959.662488507893</v>
      </c>
      <c r="BT2135" s="4">
        <f>_xlfn.IFNA(VLOOKUP(Grandview_Inventory[[#This Row],[quality]],Lookups!$A$26:$C$33,3,FALSE),1)</f>
        <v>0.9690360070159818</v>
      </c>
      <c r="BU2135" s="4">
        <f>_xlfn.IFNA(VLOOKUP(Grandview_Inventory[[#This Row],[condition]],Lookups!$A$37:$C$44,3,FALSE),1)</f>
        <v>0.96469275950863709</v>
      </c>
      <c r="BV2135" s="4">
        <f>IF(Grandview_Inventory[[#This Row],[bldg_style]]="",1,_xlfn.IFNA(VLOOKUP(Grandview_Inventory[[#This Row],[decade]],Lookups!$F$29:$H$43,3,FALSE),1))</f>
        <v>0.99472141305414818</v>
      </c>
      <c r="BW2135" s="4">
        <f>_xlfn.IFNA(VLOOKUP(Grandview_Inventory[[#This Row],[living_area_range]],Lookups!$F$47:$H$56,3,FALSE),1)</f>
        <v>0.94306777142782894</v>
      </c>
      <c r="BX2135" s="4">
        <f>AVERAGE(Grandview_Inventory[[#This Row],[qual_adj]:[size_adj]])</f>
        <v>0.96787948775164889</v>
      </c>
      <c r="BY2135" s="6">
        <f>IF(Grandview_Inventory[[#This Row],[pre_res]]&lt;0,0,Grandview_Inventory[[#This Row],[pre_res]]*Grandview_Inventory[[#This Row],[overall_adj]])</f>
        <v>177250.07564728931</v>
      </c>
      <c r="BZ2135" s="6">
        <f>(Grandview_Inventory[[#This Row],[sum_land]]-IF(Grandview_Inventory[[#This Row],[no_utilities]]=1,12000,0))/IF(Grandview_Inventory[[#This Row],[unbuildable]]=1,2,1)</f>
        <v>56959.662488507893</v>
      </c>
      <c r="CA2135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2135">
        <f>ROUND(Grandview_Inventory[[#This Row],[det_value]]*Lookups!$M$28,-2)</f>
        <v>7700</v>
      </c>
      <c r="CC2135">
        <f>IF(ROUND(Grandview_Inventory[[#This Row],[adj_res]]*Lookups!$M$28,-2)&lt;Grandview_Inventory[[#This Row],[min_res]],Grandview_Inventory[[#This Row],[min_res]],ROUND(Grandview_Inventory[[#This Row],[adj_res]]*Lookups!$M$28,-2))</f>
        <v>168400</v>
      </c>
      <c r="CD2135">
        <f>Grandview_Inventory[[#This Row],[final_det]]+Grandview_Inventory[[#This Row],[final_res]]</f>
        <v>176100</v>
      </c>
      <c r="CE2135">
        <f>Grandview_Inventory[[#This Row],[final_land]]+Grandview_Inventory[[#This Row],[final_imp]]+Grandview_Inventory[[#This Row],[crop_value]]</f>
        <v>230200</v>
      </c>
      <c r="CG2135" t="str">
        <f t="shared" si="33"/>
        <v>update valuation set market_land =54100, market_bldg=176100, market_total =230200, market_mdno =401, market_date ='9/10/2023' where link_id = (select link_id from parcel where parcel_year = '2024' and parcel_id = '23092423528');</v>
      </c>
    </row>
    <row r="2136" spans="1:85" x14ac:dyDescent="0.25">
      <c r="A2136">
        <v>23092423529</v>
      </c>
      <c r="B2136">
        <v>0.23</v>
      </c>
      <c r="C2136">
        <v>9828</v>
      </c>
      <c r="D2136" t="s">
        <v>129</v>
      </c>
      <c r="E2136" t="s">
        <v>53</v>
      </c>
      <c r="F2136" t="s">
        <v>53</v>
      </c>
      <c r="G2136">
        <v>4</v>
      </c>
      <c r="H2136" t="s">
        <v>54</v>
      </c>
      <c r="I2136">
        <v>114600</v>
      </c>
      <c r="J2136">
        <v>43800</v>
      </c>
      <c r="K2136">
        <v>0.23</v>
      </c>
      <c r="L213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36">
        <v>0</v>
      </c>
      <c r="N2136">
        <v>0</v>
      </c>
      <c r="O2136">
        <v>0</v>
      </c>
      <c r="P2136">
        <v>13398.7528</v>
      </c>
      <c r="Q2136">
        <v>63903</v>
      </c>
      <c r="R2136">
        <f>(Grandview_Inventory[[#This Row],[ln_acres]]*Grandview_Inventory[[#This Row],[coeff]])+Grandview_Inventory[[#This Row],[const]]</f>
        <v>44211.174981080039</v>
      </c>
      <c r="S2136" t="s">
        <v>68</v>
      </c>
      <c r="T2136">
        <v>1</v>
      </c>
      <c r="U2136" t="s">
        <v>80</v>
      </c>
      <c r="V2136" t="s">
        <v>69</v>
      </c>
      <c r="W2136">
        <v>0</v>
      </c>
      <c r="X2136">
        <v>0</v>
      </c>
      <c r="Y2136">
        <v>53</v>
      </c>
      <c r="Z2136">
        <v>93</v>
      </c>
      <c r="AA2136">
        <v>100</v>
      </c>
      <c r="AB2136">
        <v>1500</v>
      </c>
      <c r="AC2136">
        <v>1152</v>
      </c>
      <c r="AD2136">
        <v>1152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506</v>
      </c>
      <c r="AL2136">
        <v>0</v>
      </c>
      <c r="AM2136">
        <v>0</v>
      </c>
      <c r="AN2136">
        <v>0</v>
      </c>
      <c r="AO2136">
        <v>60</v>
      </c>
      <c r="AP2136">
        <v>5</v>
      </c>
      <c r="AQ2136">
        <v>0</v>
      </c>
      <c r="AR2136">
        <v>0</v>
      </c>
      <c r="AS2136" t="s">
        <v>58</v>
      </c>
      <c r="AT2136">
        <v>1</v>
      </c>
      <c r="AU2136" t="s">
        <v>63</v>
      </c>
      <c r="AV2136" t="s">
        <v>64</v>
      </c>
      <c r="AW2136">
        <v>0</v>
      </c>
      <c r="AX2136">
        <v>2</v>
      </c>
      <c r="AY2136">
        <v>0</v>
      </c>
      <c r="AZ2136">
        <v>0</v>
      </c>
      <c r="BA2136">
        <v>100</v>
      </c>
      <c r="BB2136">
        <v>100</v>
      </c>
      <c r="BC2136">
        <v>100</v>
      </c>
      <c r="BD2136">
        <v>100</v>
      </c>
      <c r="BE2136">
        <v>1</v>
      </c>
      <c r="BF2136">
        <v>15000</v>
      </c>
      <c r="BG2136">
        <v>1000</v>
      </c>
      <c r="BH2136" s="6">
        <f>Grandview_Inventory[[#This Row],[land_extract]]*Lookups!$B$3</f>
        <v>51342.318135355803</v>
      </c>
      <c r="BI2136" s="6">
        <f>IF(Grandview_Inventory[[#This Row],[bldg_style]]="",0,Lookups!$B$2)</f>
        <v>155833.95000000001</v>
      </c>
      <c r="BJ2136" s="6">
        <f>_xlfn.IFNA(VLOOKUP(Grandview_Inventory[[#This Row],[quality]],Lookups!$H$2:$J$14,3,FALSE),0)</f>
        <v>-28558</v>
      </c>
      <c r="BK2136" s="6">
        <f>_xlfn.IFNA(VLOOKUP(Grandview_Inventory[[#This Row],[condition]],Lookups!$H$17:$J$24,3,FALSE),0)</f>
        <v>-4503</v>
      </c>
      <c r="BL2136" s="6">
        <f>Grandview_Inventory[[#This Row],[Eff_Age]]*Lookups!$B$14</f>
        <v>-12675.8298</v>
      </c>
      <c r="BM2136" s="6">
        <f>Grandview_Inventory[[#This Row],[living_area]]*Lookups!$B$15</f>
        <v>71862.742656000002</v>
      </c>
      <c r="BN2136" s="6">
        <f>Grandview_Inventory[[#This Row],[Fin BSMT]]*Lookups!$B$16</f>
        <v>0</v>
      </c>
      <c r="BO2136" s="6">
        <f>(Grandview_Inventory[[#This Row],[att_gar]]+Grandview_Inventory[[#This Row],[bltin_gar]])*Lookups!$B$17</f>
        <v>0</v>
      </c>
      <c r="BP2136" s="6">
        <f>Grandview_Inventory[[#This Row],[Plumbing Fixtures]]*Lookups!$B$18</f>
        <v>10052.209000000001</v>
      </c>
      <c r="BQ2136" s="6">
        <f>Grandview_Inventory[[#This Row],[detatched_value]]*Lookups!$B$19</f>
        <v>0</v>
      </c>
      <c r="BR2136" s="6">
        <f>SUM(Grandview_Inventory[[#This Row],[Intercept]:[det_value]])*Grandview_Inventory[[#This Row],[res_pct]]</f>
        <v>192012.07185600002</v>
      </c>
      <c r="BS2136" s="6">
        <f>Grandview_Inventory[[#This Row],[land_value]]</f>
        <v>51342.318135355803</v>
      </c>
      <c r="BT2136" s="4">
        <f>_xlfn.IFNA(VLOOKUP(Grandview_Inventory[[#This Row],[quality]],Lookups!$A$26:$C$33,3,FALSE),1)</f>
        <v>0.9690360070159818</v>
      </c>
      <c r="BU2136" s="4">
        <f>_xlfn.IFNA(VLOOKUP(Grandview_Inventory[[#This Row],[condition]],Lookups!$A$37:$C$44,3,FALSE),1)</f>
        <v>0.96469275950863709</v>
      </c>
      <c r="BV2136" s="4">
        <f>IF(Grandview_Inventory[[#This Row],[bldg_style]]="",1,_xlfn.IFNA(VLOOKUP(Grandview_Inventory[[#This Row],[decade]],Lookups!$F$29:$H$43,3,FALSE),1))</f>
        <v>0.95244691841736806</v>
      </c>
      <c r="BW2136" s="4">
        <f>_xlfn.IFNA(VLOOKUP(Grandview_Inventory[[#This Row],[living_area_range]],Lookups!$F$47:$H$56,3,FALSE),1)</f>
        <v>0.96135087979789358</v>
      </c>
      <c r="BX2136" s="4">
        <f>AVERAGE(Grandview_Inventory[[#This Row],[qual_adj]:[size_adj]])</f>
        <v>0.9618816411849701</v>
      </c>
      <c r="BY2136" s="6">
        <f>IF(Grandview_Inventory[[#This Row],[pre_res]]&lt;0,0,Grandview_Inventory[[#This Row],[pre_res]]*Grandview_Inventory[[#This Row],[overall_adj]])</f>
        <v>184692.88680417571</v>
      </c>
      <c r="BZ2136" s="6">
        <f>(Grandview_Inventory[[#This Row],[sum_land]]-IF(Grandview_Inventory[[#This Row],[no_utilities]]=1,12000,0))/IF(Grandview_Inventory[[#This Row],[unbuildable]]=1,2,1)</f>
        <v>51342.318135355803</v>
      </c>
      <c r="CA213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36">
        <f>ROUND(Grandview_Inventory[[#This Row],[det_value]]*Lookups!$M$28,-2)</f>
        <v>0</v>
      </c>
      <c r="CC2136">
        <f>IF(ROUND(Grandview_Inventory[[#This Row],[adj_res]]*Lookups!$M$28,-2)&lt;Grandview_Inventory[[#This Row],[min_res]],Grandview_Inventory[[#This Row],[min_res]],ROUND(Grandview_Inventory[[#This Row],[adj_res]]*Lookups!$M$28,-2))</f>
        <v>175500</v>
      </c>
      <c r="CD2136">
        <f>Grandview_Inventory[[#This Row],[final_det]]+Grandview_Inventory[[#This Row],[final_res]]</f>
        <v>175500</v>
      </c>
      <c r="CE2136">
        <f>Grandview_Inventory[[#This Row],[final_land]]+Grandview_Inventory[[#This Row],[final_imp]]+Grandview_Inventory[[#This Row],[crop_value]]</f>
        <v>224300</v>
      </c>
      <c r="CG2136" t="str">
        <f t="shared" si="33"/>
        <v>update valuation set market_land =48800, market_bldg=175500, market_total =224300, market_mdno =401, market_date ='9/10/2023' where link_id = (select link_id from parcel where parcel_year = '2024' and parcel_id = '23092423529');</v>
      </c>
    </row>
    <row r="2137" spans="1:85" x14ac:dyDescent="0.25">
      <c r="A2137">
        <v>23092423530</v>
      </c>
      <c r="B2137">
        <v>0.26</v>
      </c>
      <c r="C2137">
        <v>11205</v>
      </c>
      <c r="D2137" t="s">
        <v>129</v>
      </c>
      <c r="E2137" t="s">
        <v>53</v>
      </c>
      <c r="F2137" t="s">
        <v>53</v>
      </c>
      <c r="G2137">
        <v>4</v>
      </c>
      <c r="H2137" t="s">
        <v>54</v>
      </c>
      <c r="I2137">
        <v>130400</v>
      </c>
      <c r="J2137">
        <v>40200</v>
      </c>
      <c r="K2137">
        <v>0.26</v>
      </c>
      <c r="L213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137">
        <v>0</v>
      </c>
      <c r="N2137">
        <v>0</v>
      </c>
      <c r="O2137">
        <v>0</v>
      </c>
      <c r="P2137">
        <v>13398.7528</v>
      </c>
      <c r="Q2137">
        <v>63903</v>
      </c>
      <c r="R2137">
        <f>(Grandview_Inventory[[#This Row],[ln_acres]]*Grandview_Inventory[[#This Row],[coeff]])+Grandview_Inventory[[#This Row],[const]]</f>
        <v>45853.893187501177</v>
      </c>
      <c r="S2137" t="s">
        <v>68</v>
      </c>
      <c r="T2137">
        <v>1</v>
      </c>
      <c r="U2137" t="s">
        <v>70</v>
      </c>
      <c r="V2137" t="s">
        <v>69</v>
      </c>
      <c r="W2137">
        <v>0</v>
      </c>
      <c r="X2137">
        <v>0</v>
      </c>
      <c r="Y2137">
        <v>51</v>
      </c>
      <c r="Z2137">
        <v>78</v>
      </c>
      <c r="AA2137">
        <v>80</v>
      </c>
      <c r="AB2137">
        <v>1500</v>
      </c>
      <c r="AC2137">
        <v>1064</v>
      </c>
      <c r="AD2137">
        <v>1064</v>
      </c>
      <c r="AE2137">
        <v>0</v>
      </c>
      <c r="AF2137">
        <v>0</v>
      </c>
      <c r="AG2137">
        <v>0</v>
      </c>
      <c r="AH2137">
        <v>523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133</v>
      </c>
      <c r="AO2137">
        <v>0</v>
      </c>
      <c r="AP2137">
        <v>8</v>
      </c>
      <c r="AQ2137">
        <v>0</v>
      </c>
      <c r="AR2137">
        <v>0</v>
      </c>
      <c r="AS2137" t="s">
        <v>58</v>
      </c>
      <c r="AT2137">
        <v>1</v>
      </c>
      <c r="AU2137" t="s">
        <v>63</v>
      </c>
      <c r="AV2137" t="s">
        <v>64</v>
      </c>
      <c r="AW2137">
        <v>0</v>
      </c>
      <c r="AX2137">
        <v>2</v>
      </c>
      <c r="AY2137">
        <v>0</v>
      </c>
      <c r="AZ2137">
        <v>8400</v>
      </c>
      <c r="BA2137">
        <v>100</v>
      </c>
      <c r="BB2137">
        <v>100</v>
      </c>
      <c r="BC2137">
        <v>100</v>
      </c>
      <c r="BD2137">
        <v>100</v>
      </c>
      <c r="BE2137">
        <v>1</v>
      </c>
      <c r="BF2137">
        <v>15000</v>
      </c>
      <c r="BG2137">
        <v>1000</v>
      </c>
      <c r="BH2137" s="6">
        <f>Grandview_Inventory[[#This Row],[land_extract]]*Lookups!$B$3</f>
        <v>53250.00235313351</v>
      </c>
      <c r="BI2137" s="6">
        <f>IF(Grandview_Inventory[[#This Row],[bldg_style]]="",0,Lookups!$B$2)</f>
        <v>155833.95000000001</v>
      </c>
      <c r="BJ2137" s="6">
        <f>_xlfn.IFNA(VLOOKUP(Grandview_Inventory[[#This Row],[quality]],Lookups!$H$2:$J$14,3,FALSE),0)</f>
        <v>10733</v>
      </c>
      <c r="BK2137" s="6">
        <f>_xlfn.IFNA(VLOOKUP(Grandview_Inventory[[#This Row],[condition]],Lookups!$H$17:$J$24,3,FALSE),0)</f>
        <v>-4503</v>
      </c>
      <c r="BL2137" s="6">
        <f>Grandview_Inventory[[#This Row],[Eff_Age]]*Lookups!$B$14</f>
        <v>-12197.496599999999</v>
      </c>
      <c r="BM2137" s="6">
        <f>Grandview_Inventory[[#This Row],[living_area]]*Lookups!$B$15</f>
        <v>66373.227591999996</v>
      </c>
      <c r="BN2137" s="6">
        <f>Grandview_Inventory[[#This Row],[Fin BSMT]]*Lookups!$B$16</f>
        <v>0</v>
      </c>
      <c r="BO2137" s="6">
        <f>(Grandview_Inventory[[#This Row],[att_gar]]+Grandview_Inventory[[#This Row],[bltin_gar]])*Lookups!$B$17</f>
        <v>0</v>
      </c>
      <c r="BP2137" s="6">
        <f>Grandview_Inventory[[#This Row],[Plumbing Fixtures]]*Lookups!$B$18</f>
        <v>16083.5344</v>
      </c>
      <c r="BQ2137" s="6">
        <f>Grandview_Inventory[[#This Row],[detatched_value]]*Lookups!$B$19</f>
        <v>7113.16284</v>
      </c>
      <c r="BR2137" s="6">
        <f>SUM(Grandview_Inventory[[#This Row],[Intercept]:[det_value]])*Grandview_Inventory[[#This Row],[res_pct]]</f>
        <v>239436.37823199999</v>
      </c>
      <c r="BS2137" s="6">
        <f>Grandview_Inventory[[#This Row],[land_value]]</f>
        <v>53250.00235313351</v>
      </c>
      <c r="BT2137" s="4">
        <f>_xlfn.IFNA(VLOOKUP(Grandview_Inventory[[#This Row],[quality]],Lookups!$A$26:$C$33,3,FALSE),1)</f>
        <v>0.98079741117310582</v>
      </c>
      <c r="BU2137" s="4">
        <f>_xlfn.IFNA(VLOOKUP(Grandview_Inventory[[#This Row],[condition]],Lookups!$A$37:$C$44,3,FALSE),1)</f>
        <v>0.96469275950863709</v>
      </c>
      <c r="BV2137" s="4">
        <f>IF(Grandview_Inventory[[#This Row],[bldg_style]]="",1,_xlfn.IFNA(VLOOKUP(Grandview_Inventory[[#This Row],[decade]],Lookups!$F$29:$H$43,3,FALSE),1))</f>
        <v>0.98763256963907298</v>
      </c>
      <c r="BW2137" s="4">
        <f>_xlfn.IFNA(VLOOKUP(Grandview_Inventory[[#This Row],[living_area_range]],Lookups!$F$47:$H$56,3,FALSE),1)</f>
        <v>0.96135087979789358</v>
      </c>
      <c r="BX2137" s="4">
        <f>AVERAGE(Grandview_Inventory[[#This Row],[qual_adj]:[size_adj]])</f>
        <v>0.97361840502967734</v>
      </c>
      <c r="BY2137" s="6">
        <f>IF(Grandview_Inventory[[#This Row],[pre_res]]&lt;0,0,Grandview_Inventory[[#This Row],[pre_res]]*Grandview_Inventory[[#This Row],[overall_adj]])</f>
        <v>233119.66468032237</v>
      </c>
      <c r="BZ2137" s="6">
        <f>(Grandview_Inventory[[#This Row],[sum_land]]-IF(Grandview_Inventory[[#This Row],[no_utilities]]=1,12000,0))/IF(Grandview_Inventory[[#This Row],[unbuildable]]=1,2,1)</f>
        <v>53250.00235313351</v>
      </c>
      <c r="CA2137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137">
        <f>ROUND(Grandview_Inventory[[#This Row],[det_value]]*Lookups!$M$28,-2)</f>
        <v>6800</v>
      </c>
      <c r="CC2137">
        <f>IF(ROUND(Grandview_Inventory[[#This Row],[adj_res]]*Lookups!$M$28,-2)&lt;Grandview_Inventory[[#This Row],[min_res]],Grandview_Inventory[[#This Row],[min_res]],ROUND(Grandview_Inventory[[#This Row],[adj_res]]*Lookups!$M$28,-2))</f>
        <v>221500</v>
      </c>
      <c r="CD2137">
        <f>Grandview_Inventory[[#This Row],[final_det]]+Grandview_Inventory[[#This Row],[final_res]]</f>
        <v>228300</v>
      </c>
      <c r="CE2137">
        <f>Grandview_Inventory[[#This Row],[final_land]]+Grandview_Inventory[[#This Row],[final_imp]]+Grandview_Inventory[[#This Row],[crop_value]]</f>
        <v>278900</v>
      </c>
      <c r="CG2137" t="str">
        <f t="shared" si="33"/>
        <v>update valuation set market_land =50600, market_bldg=228300, market_total =278900, market_mdno =401, market_date ='9/10/2023' where link_id = (select link_id from parcel where parcel_year = '2024' and parcel_id = '23092423530');</v>
      </c>
    </row>
    <row r="2138" spans="1:85" x14ac:dyDescent="0.25">
      <c r="A2138">
        <v>23092423531</v>
      </c>
      <c r="B2138">
        <v>0.3</v>
      </c>
      <c r="C2138">
        <v>13245</v>
      </c>
      <c r="D2138" t="s">
        <v>129</v>
      </c>
      <c r="E2138" t="s">
        <v>53</v>
      </c>
      <c r="F2138" t="s">
        <v>53</v>
      </c>
      <c r="G2138">
        <v>4</v>
      </c>
      <c r="H2138" t="s">
        <v>54</v>
      </c>
      <c r="I2138">
        <v>160600</v>
      </c>
      <c r="J2138">
        <v>40900</v>
      </c>
      <c r="K2138">
        <v>0.3</v>
      </c>
      <c r="L2138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2138">
        <v>0</v>
      </c>
      <c r="N2138">
        <v>0</v>
      </c>
      <c r="O2138">
        <v>0</v>
      </c>
      <c r="P2138">
        <v>13398.7528</v>
      </c>
      <c r="Q2138">
        <v>63903</v>
      </c>
      <c r="R2138">
        <f>(Grandview_Inventory[[#This Row],[ln_acres]]*Grandview_Inventory[[#This Row],[coeff]])+Grandview_Inventory[[#This Row],[const]]</f>
        <v>47771.266016914014</v>
      </c>
      <c r="S2138" t="s">
        <v>68</v>
      </c>
      <c r="T2138">
        <v>1</v>
      </c>
      <c r="U2138" t="s">
        <v>70</v>
      </c>
      <c r="V2138" t="s">
        <v>66</v>
      </c>
      <c r="W2138">
        <v>0</v>
      </c>
      <c r="X2138">
        <v>0</v>
      </c>
      <c r="Y2138">
        <v>51</v>
      </c>
      <c r="Z2138">
        <v>82</v>
      </c>
      <c r="AA2138">
        <v>90</v>
      </c>
      <c r="AB2138">
        <v>1000</v>
      </c>
      <c r="AC2138">
        <v>705</v>
      </c>
      <c r="AD2138">
        <v>705</v>
      </c>
      <c r="AE2138">
        <v>0</v>
      </c>
      <c r="AF2138">
        <v>0</v>
      </c>
      <c r="AG2138">
        <v>0</v>
      </c>
      <c r="AH2138">
        <v>200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5</v>
      </c>
      <c r="AQ2138">
        <v>0</v>
      </c>
      <c r="AR2138">
        <v>0</v>
      </c>
      <c r="AS2138" t="s">
        <v>58</v>
      </c>
      <c r="AT2138">
        <v>1</v>
      </c>
      <c r="AU2138" t="s">
        <v>63</v>
      </c>
      <c r="AV2138" t="s">
        <v>64</v>
      </c>
      <c r="AW2138">
        <v>1</v>
      </c>
      <c r="AX2138">
        <v>2</v>
      </c>
      <c r="AY2138">
        <v>0</v>
      </c>
      <c r="AZ2138">
        <v>9500</v>
      </c>
      <c r="BA2138">
        <v>100</v>
      </c>
      <c r="BB2138">
        <v>100</v>
      </c>
      <c r="BC2138">
        <v>100</v>
      </c>
      <c r="BD2138">
        <v>100</v>
      </c>
      <c r="BE2138">
        <v>1</v>
      </c>
      <c r="BF2138">
        <v>15000</v>
      </c>
      <c r="BG2138">
        <v>1000</v>
      </c>
      <c r="BH2138" s="6">
        <f>Grandview_Inventory[[#This Row],[land_extract]]*Lookups!$B$3</f>
        <v>55476.642243023998</v>
      </c>
      <c r="BI2138" s="6">
        <f>IF(Grandview_Inventory[[#This Row],[bldg_style]]="",0,Lookups!$B$2)</f>
        <v>155833.95000000001</v>
      </c>
      <c r="BJ2138" s="6">
        <f>_xlfn.IFNA(VLOOKUP(Grandview_Inventory[[#This Row],[quality]],Lookups!$H$2:$J$14,3,FALSE),0)</f>
        <v>10733</v>
      </c>
      <c r="BK2138" s="6">
        <f>_xlfn.IFNA(VLOOKUP(Grandview_Inventory[[#This Row],[condition]],Lookups!$H$17:$J$24,3,FALSE),0)</f>
        <v>25818</v>
      </c>
      <c r="BL2138" s="6">
        <f>Grandview_Inventory[[#This Row],[Eff_Age]]*Lookups!$B$14</f>
        <v>-12197.496599999999</v>
      </c>
      <c r="BM2138" s="6">
        <f>Grandview_Inventory[[#This Row],[living_area]]*Lookups!$B$15</f>
        <v>43978.501365000004</v>
      </c>
      <c r="BN2138" s="6">
        <f>Grandview_Inventory[[#This Row],[Fin BSMT]]*Lookups!$B$16</f>
        <v>0</v>
      </c>
      <c r="BO2138" s="6">
        <f>(Grandview_Inventory[[#This Row],[att_gar]]+Grandview_Inventory[[#This Row],[bltin_gar]])*Lookups!$B$17</f>
        <v>0</v>
      </c>
      <c r="BP2138" s="6">
        <f>Grandview_Inventory[[#This Row],[Plumbing Fixtures]]*Lookups!$B$18</f>
        <v>10052.209000000001</v>
      </c>
      <c r="BQ2138" s="6">
        <f>Grandview_Inventory[[#This Row],[detatched_value]]*Lookups!$B$19</f>
        <v>8044.6484499999997</v>
      </c>
      <c r="BR2138" s="6">
        <f>SUM(Grandview_Inventory[[#This Row],[Intercept]:[det_value]])*Grandview_Inventory[[#This Row],[res_pct]]</f>
        <v>242262.81221500001</v>
      </c>
      <c r="BS2138" s="6">
        <f>Grandview_Inventory[[#This Row],[land_value]]</f>
        <v>55476.642243023998</v>
      </c>
      <c r="BT2138" s="4">
        <f>_xlfn.IFNA(VLOOKUP(Grandview_Inventory[[#This Row],[quality]],Lookups!$A$26:$C$33,3,FALSE),1)</f>
        <v>0.98079741117310582</v>
      </c>
      <c r="BU2138" s="4">
        <f>_xlfn.IFNA(VLOOKUP(Grandview_Inventory[[#This Row],[condition]],Lookups!$A$37:$C$44,3,FALSE),1)</f>
        <v>0.96661476234146892</v>
      </c>
      <c r="BV2138" s="4">
        <f>IF(Grandview_Inventory[[#This Row],[bldg_style]]="",1,_xlfn.IFNA(VLOOKUP(Grandview_Inventory[[#This Row],[decade]],Lookups!$F$29:$H$43,3,FALSE),1))</f>
        <v>0.94161750052457416</v>
      </c>
      <c r="BW2138" s="4">
        <f>_xlfn.IFNA(VLOOKUP(Grandview_Inventory[[#This Row],[living_area_range]],Lookups!$F$47:$H$56,3,FALSE),1)</f>
        <v>0.94306777142782894</v>
      </c>
      <c r="BX2138" s="4">
        <f>AVERAGE(Grandview_Inventory[[#This Row],[qual_adj]:[size_adj]])</f>
        <v>0.9580243613667444</v>
      </c>
      <c r="BY2138" s="6">
        <f>IF(Grandview_Inventory[[#This Row],[pre_res]]&lt;0,0,Grandview_Inventory[[#This Row],[pre_res]]*Grandview_Inventory[[#This Row],[overall_adj]])</f>
        <v>232093.67595518692</v>
      </c>
      <c r="BZ2138" s="6">
        <f>(Grandview_Inventory[[#This Row],[sum_land]]-IF(Grandview_Inventory[[#This Row],[no_utilities]]=1,12000,0))/IF(Grandview_Inventory[[#This Row],[unbuildable]]=1,2,1)</f>
        <v>55476.642243023998</v>
      </c>
      <c r="CA2138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2138">
        <f>ROUND(Grandview_Inventory[[#This Row],[det_value]]*Lookups!$M$28,-2)</f>
        <v>7600</v>
      </c>
      <c r="CC2138">
        <f>IF(ROUND(Grandview_Inventory[[#This Row],[adj_res]]*Lookups!$M$28,-2)&lt;Grandview_Inventory[[#This Row],[min_res]],Grandview_Inventory[[#This Row],[min_res]],ROUND(Grandview_Inventory[[#This Row],[adj_res]]*Lookups!$M$28,-2))</f>
        <v>220500</v>
      </c>
      <c r="CD2138">
        <f>Grandview_Inventory[[#This Row],[final_det]]+Grandview_Inventory[[#This Row],[final_res]]</f>
        <v>228100</v>
      </c>
      <c r="CE2138">
        <f>Grandview_Inventory[[#This Row],[final_land]]+Grandview_Inventory[[#This Row],[final_imp]]+Grandview_Inventory[[#This Row],[crop_value]]</f>
        <v>280800</v>
      </c>
      <c r="CG2138" t="str">
        <f t="shared" si="33"/>
        <v>update valuation set market_land =52700, market_bldg=228100, market_total =280800, market_mdno =401, market_date ='9/10/2023' where link_id = (select link_id from parcel where parcel_year = '2024' and parcel_id = '23092423531');</v>
      </c>
    </row>
    <row r="2139" spans="1:85" x14ac:dyDescent="0.25">
      <c r="A2139">
        <v>23092423532</v>
      </c>
      <c r="B2139">
        <v>0.45</v>
      </c>
      <c r="C2139">
        <v>19705</v>
      </c>
      <c r="D2139" t="s">
        <v>129</v>
      </c>
      <c r="E2139" t="s">
        <v>53</v>
      </c>
      <c r="F2139" t="s">
        <v>53</v>
      </c>
      <c r="G2139">
        <v>4</v>
      </c>
      <c r="H2139" t="s">
        <v>54</v>
      </c>
      <c r="I2139">
        <v>152700</v>
      </c>
      <c r="J2139">
        <v>41400</v>
      </c>
      <c r="K2139">
        <v>0.45</v>
      </c>
      <c r="L2139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2139">
        <v>0</v>
      </c>
      <c r="N2139">
        <v>0</v>
      </c>
      <c r="O2139">
        <v>0</v>
      </c>
      <c r="P2139">
        <v>13398.7528</v>
      </c>
      <c r="Q2139">
        <v>63903</v>
      </c>
      <c r="R2139">
        <f>(Grandview_Inventory[[#This Row],[ln_acres]]*Grandview_Inventory[[#This Row],[coeff]])+Grandview_Inventory[[#This Row],[const]]</f>
        <v>53203.992769480581</v>
      </c>
      <c r="S2139" t="s">
        <v>68</v>
      </c>
      <c r="T2139">
        <v>1</v>
      </c>
      <c r="U2139" t="s">
        <v>70</v>
      </c>
      <c r="V2139" t="s">
        <v>69</v>
      </c>
      <c r="W2139">
        <v>0</v>
      </c>
      <c r="X2139">
        <v>0</v>
      </c>
      <c r="Y2139">
        <v>49</v>
      </c>
      <c r="Z2139">
        <v>67</v>
      </c>
      <c r="AA2139">
        <v>70</v>
      </c>
      <c r="AB2139">
        <v>1500</v>
      </c>
      <c r="AC2139">
        <v>1060</v>
      </c>
      <c r="AD2139">
        <v>1060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16</v>
      </c>
      <c r="AO2139">
        <v>0</v>
      </c>
      <c r="AP2139">
        <v>5</v>
      </c>
      <c r="AQ2139">
        <v>0</v>
      </c>
      <c r="AR2139">
        <v>1</v>
      </c>
      <c r="AS2139" t="s">
        <v>58</v>
      </c>
      <c r="AT2139">
        <v>1</v>
      </c>
      <c r="AU2139" t="s">
        <v>59</v>
      </c>
      <c r="AV2139" t="s">
        <v>60</v>
      </c>
      <c r="AW2139">
        <v>1</v>
      </c>
      <c r="AX2139">
        <v>2</v>
      </c>
      <c r="AY2139">
        <v>0</v>
      </c>
      <c r="AZ2139">
        <v>6400</v>
      </c>
      <c r="BA2139">
        <v>100</v>
      </c>
      <c r="BB2139">
        <v>100</v>
      </c>
      <c r="BC2139">
        <v>100</v>
      </c>
      <c r="BD2139">
        <v>100</v>
      </c>
      <c r="BE2139">
        <v>1</v>
      </c>
      <c r="BF2139">
        <v>15000</v>
      </c>
      <c r="BG2139">
        <v>1000</v>
      </c>
      <c r="BH2139" s="6">
        <f>Grandview_Inventory[[#This Row],[land_extract]]*Lookups!$B$3</f>
        <v>61785.653152417319</v>
      </c>
      <c r="BI2139" s="6">
        <f>IF(Grandview_Inventory[[#This Row],[bldg_style]]="",0,Lookups!$B$2)</f>
        <v>155833.95000000001</v>
      </c>
      <c r="BJ2139" s="6">
        <f>_xlfn.IFNA(VLOOKUP(Grandview_Inventory[[#This Row],[quality]],Lookups!$H$2:$J$14,3,FALSE),0)</f>
        <v>10733</v>
      </c>
      <c r="BK2139" s="6">
        <f>_xlfn.IFNA(VLOOKUP(Grandview_Inventory[[#This Row],[condition]],Lookups!$H$17:$J$24,3,FALSE),0)</f>
        <v>-4503</v>
      </c>
      <c r="BL2139" s="6">
        <f>Grandview_Inventory[[#This Row],[Eff_Age]]*Lookups!$B$14</f>
        <v>-11719.163399999999</v>
      </c>
      <c r="BM2139" s="6">
        <f>Grandview_Inventory[[#This Row],[living_area]]*Lookups!$B$15</f>
        <v>66123.704180000001</v>
      </c>
      <c r="BN2139" s="6">
        <f>Grandview_Inventory[[#This Row],[Fin BSMT]]*Lookups!$B$16</f>
        <v>0</v>
      </c>
      <c r="BO2139" s="6">
        <f>(Grandview_Inventory[[#This Row],[att_gar]]+Grandview_Inventory[[#This Row],[bltin_gar]])*Lookups!$B$17</f>
        <v>0</v>
      </c>
      <c r="BP2139" s="6">
        <f>Grandview_Inventory[[#This Row],[Plumbing Fixtures]]*Lookups!$B$18</f>
        <v>10052.209000000001</v>
      </c>
      <c r="BQ2139" s="6">
        <f>Grandview_Inventory[[#This Row],[detatched_value]]*Lookups!$B$19</f>
        <v>5419.5526399999999</v>
      </c>
      <c r="BR2139" s="6">
        <f>SUM(Grandview_Inventory[[#This Row],[Intercept]:[det_value]])*Grandview_Inventory[[#This Row],[res_pct]]</f>
        <v>231940.25242000003</v>
      </c>
      <c r="BS2139" s="6">
        <f>Grandview_Inventory[[#This Row],[land_value]]</f>
        <v>61785.653152417319</v>
      </c>
      <c r="BT2139" s="4">
        <f>_xlfn.IFNA(VLOOKUP(Grandview_Inventory[[#This Row],[quality]],Lookups!$A$26:$C$33,3,FALSE),1)</f>
        <v>0.98079741117310582</v>
      </c>
      <c r="BU2139" s="4">
        <f>_xlfn.IFNA(VLOOKUP(Grandview_Inventory[[#This Row],[condition]],Lookups!$A$37:$C$44,3,FALSE),1)</f>
        <v>0.96469275950863709</v>
      </c>
      <c r="BV2139" s="4">
        <f>IF(Grandview_Inventory[[#This Row],[bldg_style]]="",1,_xlfn.IFNA(VLOOKUP(Grandview_Inventory[[#This Row],[decade]],Lookups!$F$29:$H$43,3,FALSE),1))</f>
        <v>0.99472141305414818</v>
      </c>
      <c r="BW2139" s="4">
        <f>_xlfn.IFNA(VLOOKUP(Grandview_Inventory[[#This Row],[living_area_range]],Lookups!$F$47:$H$56,3,FALSE),1)</f>
        <v>0.96135087979789358</v>
      </c>
      <c r="BX2139" s="4">
        <f>AVERAGE(Grandview_Inventory[[#This Row],[qual_adj]:[size_adj]])</f>
        <v>0.97539061588344622</v>
      </c>
      <c r="BY2139" s="6">
        <f>IF(Grandview_Inventory[[#This Row],[pre_res]]&lt;0,0,Grandview_Inventory[[#This Row],[pre_res]]*Grandview_Inventory[[#This Row],[overall_adj]])</f>
        <v>226232.34565610581</v>
      </c>
      <c r="BZ2139" s="6">
        <f>(Grandview_Inventory[[#This Row],[sum_land]]-IF(Grandview_Inventory[[#This Row],[no_utilities]]=1,12000,0))/IF(Grandview_Inventory[[#This Row],[unbuildable]]=1,2,1)</f>
        <v>61785.653152417319</v>
      </c>
      <c r="CA2139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2139">
        <f>ROUND(Grandview_Inventory[[#This Row],[det_value]]*Lookups!$M$28,-2)</f>
        <v>5100</v>
      </c>
      <c r="CC2139">
        <f>IF(ROUND(Grandview_Inventory[[#This Row],[adj_res]]*Lookups!$M$28,-2)&lt;Grandview_Inventory[[#This Row],[min_res]],Grandview_Inventory[[#This Row],[min_res]],ROUND(Grandview_Inventory[[#This Row],[adj_res]]*Lookups!$M$28,-2))</f>
        <v>214900</v>
      </c>
      <c r="CD2139">
        <f>Grandview_Inventory[[#This Row],[final_det]]+Grandview_Inventory[[#This Row],[final_res]]</f>
        <v>220000</v>
      </c>
      <c r="CE2139">
        <f>Grandview_Inventory[[#This Row],[final_land]]+Grandview_Inventory[[#This Row],[final_imp]]+Grandview_Inventory[[#This Row],[crop_value]]</f>
        <v>278700</v>
      </c>
      <c r="CG2139" t="str">
        <f t="shared" si="33"/>
        <v>update valuation set market_land =58700, market_bldg=220000, market_total =278700, market_mdno =401, market_date ='9/10/2023' where link_id = (select link_id from parcel where parcel_year = '2024' and parcel_id = '23092423532');</v>
      </c>
    </row>
    <row r="2140" spans="1:85" x14ac:dyDescent="0.25">
      <c r="A2140">
        <v>23092423533</v>
      </c>
      <c r="B2140" t="s">
        <v>129</v>
      </c>
      <c r="C2140">
        <v>9994</v>
      </c>
      <c r="D2140" t="s">
        <v>129</v>
      </c>
      <c r="E2140" t="s">
        <v>53</v>
      </c>
      <c r="F2140" t="s">
        <v>53</v>
      </c>
      <c r="G2140">
        <v>4</v>
      </c>
      <c r="H2140" t="s">
        <v>54</v>
      </c>
      <c r="I2140">
        <v>250200</v>
      </c>
      <c r="J2140">
        <v>39500</v>
      </c>
      <c r="K2140">
        <v>0.23</v>
      </c>
      <c r="L214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40">
        <v>0</v>
      </c>
      <c r="N2140">
        <v>0</v>
      </c>
      <c r="O2140">
        <v>0</v>
      </c>
      <c r="P2140">
        <v>13398.7528</v>
      </c>
      <c r="Q2140">
        <v>63903</v>
      </c>
      <c r="R2140">
        <f>(Grandview_Inventory[[#This Row],[ln_acres]]*Grandview_Inventory[[#This Row],[coeff]])+Grandview_Inventory[[#This Row],[const]]</f>
        <v>44211.174981080039</v>
      </c>
      <c r="S2140" t="s">
        <v>55</v>
      </c>
      <c r="T2140">
        <v>1</v>
      </c>
      <c r="U2140" t="s">
        <v>65</v>
      </c>
      <c r="V2140" t="s">
        <v>57</v>
      </c>
      <c r="W2140">
        <v>0</v>
      </c>
      <c r="X2140">
        <v>0</v>
      </c>
      <c r="Y2140">
        <v>3</v>
      </c>
      <c r="Z2140">
        <v>3</v>
      </c>
      <c r="AA2140">
        <v>10</v>
      </c>
      <c r="AB2140">
        <v>1500</v>
      </c>
      <c r="AC2140">
        <v>1224</v>
      </c>
      <c r="AD2140">
        <v>1224</v>
      </c>
      <c r="AE2140">
        <v>0</v>
      </c>
      <c r="AF2140">
        <v>0</v>
      </c>
      <c r="AG2140">
        <v>0</v>
      </c>
      <c r="AH2140">
        <v>0</v>
      </c>
      <c r="AI2140">
        <v>420</v>
      </c>
      <c r="AJ2140">
        <v>0</v>
      </c>
      <c r="AK2140">
        <v>0</v>
      </c>
      <c r="AL2140">
        <v>0</v>
      </c>
      <c r="AM2140">
        <v>0</v>
      </c>
      <c r="AN2140">
        <v>160</v>
      </c>
      <c r="AO2140">
        <v>0</v>
      </c>
      <c r="AP2140">
        <v>8</v>
      </c>
      <c r="AQ2140">
        <v>0</v>
      </c>
      <c r="AR2140">
        <v>0</v>
      </c>
      <c r="AS2140" t="s">
        <v>58</v>
      </c>
      <c r="AT2140">
        <v>1</v>
      </c>
      <c r="AU2140" t="s">
        <v>59</v>
      </c>
      <c r="AV2140" t="s">
        <v>60</v>
      </c>
      <c r="AW2140">
        <v>1</v>
      </c>
      <c r="AX2140">
        <v>3</v>
      </c>
      <c r="AY2140">
        <v>0</v>
      </c>
      <c r="AZ2140">
        <v>0</v>
      </c>
      <c r="BA2140">
        <v>100</v>
      </c>
      <c r="BB2140">
        <v>100</v>
      </c>
      <c r="BC2140">
        <v>100</v>
      </c>
      <c r="BD2140">
        <v>100</v>
      </c>
      <c r="BE2140">
        <v>1</v>
      </c>
      <c r="BF2140">
        <v>15000</v>
      </c>
      <c r="BG2140">
        <v>1000</v>
      </c>
      <c r="BH2140" s="6">
        <f>Grandview_Inventory[[#This Row],[land_extract]]*Lookups!$B$3</f>
        <v>51342.318135355803</v>
      </c>
      <c r="BI2140" s="6">
        <f>IF(Grandview_Inventory[[#This Row],[bldg_style]]="",0,Lookups!$B$2)</f>
        <v>155833.95000000001</v>
      </c>
      <c r="BJ2140" s="6">
        <f>_xlfn.IFNA(VLOOKUP(Grandview_Inventory[[#This Row],[quality]],Lookups!$H$2:$J$14,3,FALSE),0)</f>
        <v>2251</v>
      </c>
      <c r="BK2140" s="6">
        <f>_xlfn.IFNA(VLOOKUP(Grandview_Inventory[[#This Row],[condition]],Lookups!$H$17:$J$24,3,FALSE),0)</f>
        <v>25780</v>
      </c>
      <c r="BL2140" s="6">
        <f>Grandview_Inventory[[#This Row],[Eff_Age]]*Lookups!$B$14</f>
        <v>-717.49979999999994</v>
      </c>
      <c r="BM2140" s="6">
        <f>Grandview_Inventory[[#This Row],[living_area]]*Lookups!$B$15</f>
        <v>76354.164072</v>
      </c>
      <c r="BN2140" s="6">
        <f>Grandview_Inventory[[#This Row],[Fin BSMT]]*Lookups!$B$16</f>
        <v>0</v>
      </c>
      <c r="BO2140" s="6">
        <f>(Grandview_Inventory[[#This Row],[att_gar]]+Grandview_Inventory[[#This Row],[bltin_gar]])*Lookups!$B$17</f>
        <v>36758.58354</v>
      </c>
      <c r="BP2140" s="6">
        <f>Grandview_Inventory[[#This Row],[Plumbing Fixtures]]*Lookups!$B$18</f>
        <v>16083.5344</v>
      </c>
      <c r="BQ2140" s="6">
        <f>Grandview_Inventory[[#This Row],[detatched_value]]*Lookups!$B$19</f>
        <v>0</v>
      </c>
      <c r="BR2140" s="6">
        <f>SUM(Grandview_Inventory[[#This Row],[Intercept]:[det_value]])*Grandview_Inventory[[#This Row],[res_pct]]</f>
        <v>312343.73221200006</v>
      </c>
      <c r="BS2140" s="6">
        <f>Grandview_Inventory[[#This Row],[land_value]]</f>
        <v>51342.318135355803</v>
      </c>
      <c r="BT2140" s="4">
        <f>_xlfn.IFNA(VLOOKUP(Grandview_Inventory[[#This Row],[quality]],Lookups!$A$26:$C$33,3,FALSE),1)</f>
        <v>0.98763855981004833</v>
      </c>
      <c r="BU2140" s="4">
        <f>_xlfn.IFNA(VLOOKUP(Grandview_Inventory[[#This Row],[condition]],Lookups!$A$37:$C$44,3,FALSE),1)</f>
        <v>0.94347925387812148</v>
      </c>
      <c r="BV2140" s="4">
        <f>IF(Grandview_Inventory[[#This Row],[bldg_style]]="",1,_xlfn.IFNA(VLOOKUP(Grandview_Inventory[[#This Row],[decade]],Lookups!$F$29:$H$43,3,FALSE),1))</f>
        <v>0.94601966599150278</v>
      </c>
      <c r="BW2140" s="4">
        <f>_xlfn.IFNA(VLOOKUP(Grandview_Inventory[[#This Row],[living_area_range]],Lookups!$F$47:$H$56,3,FALSE),1)</f>
        <v>0.96135087979789358</v>
      </c>
      <c r="BX2140" s="4">
        <f>AVERAGE(Grandview_Inventory[[#This Row],[qual_adj]:[size_adj]])</f>
        <v>0.95962208986939146</v>
      </c>
      <c r="BY2140" s="6">
        <f>IF(Grandview_Inventory[[#This Row],[pre_res]]&lt;0,0,Grandview_Inventory[[#This Row],[pre_res]]*Grandview_Inventory[[#This Row],[overall_adj]])</f>
        <v>299731.94506288506</v>
      </c>
      <c r="BZ2140" s="6">
        <f>(Grandview_Inventory[[#This Row],[sum_land]]-IF(Grandview_Inventory[[#This Row],[no_utilities]]=1,12000,0))/IF(Grandview_Inventory[[#This Row],[unbuildable]]=1,2,1)</f>
        <v>51342.318135355803</v>
      </c>
      <c r="CA214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40">
        <f>ROUND(Grandview_Inventory[[#This Row],[det_value]]*Lookups!$M$28,-2)</f>
        <v>0</v>
      </c>
      <c r="CC2140">
        <f>IF(ROUND(Grandview_Inventory[[#This Row],[adj_res]]*Lookups!$M$28,-2)&lt;Grandview_Inventory[[#This Row],[min_res]],Grandview_Inventory[[#This Row],[min_res]],ROUND(Grandview_Inventory[[#This Row],[adj_res]]*Lookups!$M$28,-2))</f>
        <v>284700</v>
      </c>
      <c r="CD2140">
        <f>Grandview_Inventory[[#This Row],[final_det]]+Grandview_Inventory[[#This Row],[final_res]]</f>
        <v>284700</v>
      </c>
      <c r="CE2140">
        <f>Grandview_Inventory[[#This Row],[final_land]]+Grandview_Inventory[[#This Row],[final_imp]]+Grandview_Inventory[[#This Row],[crop_value]]</f>
        <v>333500</v>
      </c>
      <c r="CG2140" t="str">
        <f t="shared" si="33"/>
        <v>update valuation set market_land =48800, market_bldg=284700, market_total =333500, market_mdno =401, market_date ='9/10/2023' where link_id = (select link_id from parcel where parcel_year = '2024' and parcel_id = '23092423533');</v>
      </c>
    </row>
    <row r="2141" spans="1:85" x14ac:dyDescent="0.25">
      <c r="A2141">
        <v>23092423534</v>
      </c>
      <c r="B2141" t="s">
        <v>129</v>
      </c>
      <c r="C2141">
        <v>9992</v>
      </c>
      <c r="D2141" t="s">
        <v>129</v>
      </c>
      <c r="E2141" t="s">
        <v>53</v>
      </c>
      <c r="F2141" t="s">
        <v>53</v>
      </c>
      <c r="G2141">
        <v>4</v>
      </c>
      <c r="H2141" t="s">
        <v>54</v>
      </c>
      <c r="I2141">
        <v>239300</v>
      </c>
      <c r="J2141">
        <v>39500</v>
      </c>
      <c r="K2141">
        <v>0.23</v>
      </c>
      <c r="L214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41">
        <v>0</v>
      </c>
      <c r="N2141">
        <v>0</v>
      </c>
      <c r="O2141">
        <v>0</v>
      </c>
      <c r="P2141">
        <v>13398.7528</v>
      </c>
      <c r="Q2141">
        <v>63903</v>
      </c>
      <c r="R2141">
        <f>(Grandview_Inventory[[#This Row],[ln_acres]]*Grandview_Inventory[[#This Row],[coeff]])+Grandview_Inventory[[#This Row],[const]]</f>
        <v>44211.174981080039</v>
      </c>
      <c r="S2141" t="s">
        <v>61</v>
      </c>
      <c r="T2141">
        <v>1</v>
      </c>
      <c r="U2141" t="s">
        <v>62</v>
      </c>
      <c r="V2141" t="s">
        <v>57</v>
      </c>
      <c r="W2141">
        <v>0</v>
      </c>
      <c r="X2141">
        <v>0</v>
      </c>
      <c r="Y2141">
        <v>3</v>
      </c>
      <c r="Z2141">
        <v>3</v>
      </c>
      <c r="AA2141">
        <v>10</v>
      </c>
      <c r="AB2141">
        <v>1500</v>
      </c>
      <c r="AC2141">
        <v>1300</v>
      </c>
      <c r="AD2141">
        <v>1300</v>
      </c>
      <c r="AE2141">
        <v>0</v>
      </c>
      <c r="AF2141">
        <v>0</v>
      </c>
      <c r="AG2141">
        <v>0</v>
      </c>
      <c r="AH2141">
        <v>0</v>
      </c>
      <c r="AI2141">
        <v>400</v>
      </c>
      <c r="AJ2141">
        <v>0</v>
      </c>
      <c r="AK2141">
        <v>0</v>
      </c>
      <c r="AL2141">
        <v>0</v>
      </c>
      <c r="AM2141">
        <v>0</v>
      </c>
      <c r="AN2141">
        <v>140</v>
      </c>
      <c r="AO2141">
        <v>0</v>
      </c>
      <c r="AP2141">
        <v>8</v>
      </c>
      <c r="AQ2141">
        <v>0</v>
      </c>
      <c r="AR2141">
        <v>0</v>
      </c>
      <c r="AS2141" t="s">
        <v>58</v>
      </c>
      <c r="AT2141">
        <v>1</v>
      </c>
      <c r="AU2141" t="s">
        <v>59</v>
      </c>
      <c r="AV2141" t="s">
        <v>60</v>
      </c>
      <c r="AW2141">
        <v>1</v>
      </c>
      <c r="AX2141">
        <v>3</v>
      </c>
      <c r="AY2141">
        <v>0</v>
      </c>
      <c r="AZ2141">
        <v>0</v>
      </c>
      <c r="BA2141">
        <v>100</v>
      </c>
      <c r="BB2141">
        <v>100</v>
      </c>
      <c r="BC2141">
        <v>100</v>
      </c>
      <c r="BD2141">
        <v>100</v>
      </c>
      <c r="BE2141">
        <v>1</v>
      </c>
      <c r="BF2141">
        <v>15000</v>
      </c>
      <c r="BG2141">
        <v>1000</v>
      </c>
      <c r="BH2141" s="6">
        <f>Grandview_Inventory[[#This Row],[land_extract]]*Lookups!$B$3</f>
        <v>51342.318135355803</v>
      </c>
      <c r="BI2141" s="6">
        <f>IF(Grandview_Inventory[[#This Row],[bldg_style]]="",0,Lookups!$B$2)</f>
        <v>155833.95000000001</v>
      </c>
      <c r="BJ2141" s="6">
        <f>_xlfn.IFNA(VLOOKUP(Grandview_Inventory[[#This Row],[quality]],Lookups!$H$2:$J$14,3,FALSE),0)</f>
        <v>9808</v>
      </c>
      <c r="BK2141" s="6">
        <f>_xlfn.IFNA(VLOOKUP(Grandview_Inventory[[#This Row],[condition]],Lookups!$H$17:$J$24,3,FALSE),0)</f>
        <v>25780</v>
      </c>
      <c r="BL2141" s="6">
        <f>Grandview_Inventory[[#This Row],[Eff_Age]]*Lookups!$B$14</f>
        <v>-717.49979999999994</v>
      </c>
      <c r="BM2141" s="6">
        <f>Grandview_Inventory[[#This Row],[living_area]]*Lookups!$B$15</f>
        <v>81095.108900000007</v>
      </c>
      <c r="BN2141" s="6">
        <f>Grandview_Inventory[[#This Row],[Fin BSMT]]*Lookups!$B$16</f>
        <v>0</v>
      </c>
      <c r="BO2141" s="6">
        <f>(Grandview_Inventory[[#This Row],[att_gar]]+Grandview_Inventory[[#This Row],[bltin_gar]])*Lookups!$B$17</f>
        <v>35008.174800000001</v>
      </c>
      <c r="BP2141" s="6">
        <f>Grandview_Inventory[[#This Row],[Plumbing Fixtures]]*Lookups!$B$18</f>
        <v>16083.5344</v>
      </c>
      <c r="BQ2141" s="6">
        <f>Grandview_Inventory[[#This Row],[detatched_value]]*Lookups!$B$19</f>
        <v>0</v>
      </c>
      <c r="BR2141" s="6">
        <f>SUM(Grandview_Inventory[[#This Row],[Intercept]:[det_value]])*Grandview_Inventory[[#This Row],[res_pct]]</f>
        <v>322891.2683</v>
      </c>
      <c r="BS2141" s="6">
        <f>Grandview_Inventory[[#This Row],[land_value]]</f>
        <v>51342.318135355803</v>
      </c>
      <c r="BT2141" s="4">
        <f>_xlfn.IFNA(VLOOKUP(Grandview_Inventory[[#This Row],[quality]],Lookups!$A$26:$C$33,3,FALSE),1)</f>
        <v>0.94295468617355149</v>
      </c>
      <c r="BU2141" s="4">
        <f>_xlfn.IFNA(VLOOKUP(Grandview_Inventory[[#This Row],[condition]],Lookups!$A$37:$C$44,3,FALSE),1)</f>
        <v>0.94347925387812148</v>
      </c>
      <c r="BV2141" s="4">
        <f>IF(Grandview_Inventory[[#This Row],[bldg_style]]="",1,_xlfn.IFNA(VLOOKUP(Grandview_Inventory[[#This Row],[decade]],Lookups!$F$29:$H$43,3,FALSE),1))</f>
        <v>0.94601966599150278</v>
      </c>
      <c r="BW2141" s="4">
        <f>_xlfn.IFNA(VLOOKUP(Grandview_Inventory[[#This Row],[living_area_range]],Lookups!$F$47:$H$56,3,FALSE),1)</f>
        <v>0.96135087979789358</v>
      </c>
      <c r="BX2141" s="4">
        <f>AVERAGE(Grandview_Inventory[[#This Row],[qual_adj]:[size_adj]])</f>
        <v>0.94845112146026733</v>
      </c>
      <c r="BY2141" s="6">
        <f>IF(Grandview_Inventory[[#This Row],[pre_res]]&lt;0,0,Grandview_Inventory[[#This Row],[pre_res]]*Grandview_Inventory[[#This Row],[overall_adj]])</f>
        <v>306246.58552886307</v>
      </c>
      <c r="BZ2141" s="6">
        <f>(Grandview_Inventory[[#This Row],[sum_land]]-IF(Grandview_Inventory[[#This Row],[no_utilities]]=1,12000,0))/IF(Grandview_Inventory[[#This Row],[unbuildable]]=1,2,1)</f>
        <v>51342.318135355803</v>
      </c>
      <c r="CA214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41">
        <f>ROUND(Grandview_Inventory[[#This Row],[det_value]]*Lookups!$M$28,-2)</f>
        <v>0</v>
      </c>
      <c r="CC2141">
        <f>IF(ROUND(Grandview_Inventory[[#This Row],[adj_res]]*Lookups!$M$28,-2)&lt;Grandview_Inventory[[#This Row],[min_res]],Grandview_Inventory[[#This Row],[min_res]],ROUND(Grandview_Inventory[[#This Row],[adj_res]]*Lookups!$M$28,-2))</f>
        <v>290900</v>
      </c>
      <c r="CD2141">
        <f>Grandview_Inventory[[#This Row],[final_det]]+Grandview_Inventory[[#This Row],[final_res]]</f>
        <v>290900</v>
      </c>
      <c r="CE2141">
        <f>Grandview_Inventory[[#This Row],[final_land]]+Grandview_Inventory[[#This Row],[final_imp]]+Grandview_Inventory[[#This Row],[crop_value]]</f>
        <v>339700</v>
      </c>
      <c r="CG2141" t="str">
        <f t="shared" si="33"/>
        <v>update valuation set market_land =48800, market_bldg=290900, market_total =339700, market_mdno =401, market_date ='9/10/2023' where link_id = (select link_id from parcel where parcel_year = '2024' and parcel_id = '23092423534');</v>
      </c>
    </row>
    <row r="2142" spans="1:85" x14ac:dyDescent="0.25">
      <c r="A2142">
        <v>23092423535</v>
      </c>
      <c r="B2142" t="s">
        <v>129</v>
      </c>
      <c r="C2142">
        <v>9990</v>
      </c>
      <c r="D2142" t="s">
        <v>129</v>
      </c>
      <c r="E2142" t="s">
        <v>53</v>
      </c>
      <c r="F2142" t="s">
        <v>53</v>
      </c>
      <c r="G2142">
        <v>4</v>
      </c>
      <c r="H2142" t="s">
        <v>54</v>
      </c>
      <c r="I2142">
        <v>258600</v>
      </c>
      <c r="J2142">
        <v>39500</v>
      </c>
      <c r="K2142">
        <v>0.23</v>
      </c>
      <c r="L214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42">
        <v>0</v>
      </c>
      <c r="N2142">
        <v>0</v>
      </c>
      <c r="O2142">
        <v>0</v>
      </c>
      <c r="P2142">
        <v>13398.7528</v>
      </c>
      <c r="Q2142">
        <v>63903</v>
      </c>
      <c r="R2142">
        <f>(Grandview_Inventory[[#This Row],[ln_acres]]*Grandview_Inventory[[#This Row],[coeff]])+Grandview_Inventory[[#This Row],[const]]</f>
        <v>44211.174981080039</v>
      </c>
      <c r="S2142" t="s">
        <v>55</v>
      </c>
      <c r="T2142">
        <v>1</v>
      </c>
      <c r="U2142" t="s">
        <v>62</v>
      </c>
      <c r="V2142" t="s">
        <v>57</v>
      </c>
      <c r="W2142">
        <v>0</v>
      </c>
      <c r="X2142">
        <v>0</v>
      </c>
      <c r="Y2142">
        <v>3</v>
      </c>
      <c r="Z2142">
        <v>3</v>
      </c>
      <c r="AA2142">
        <v>10</v>
      </c>
      <c r="AB2142">
        <v>2000</v>
      </c>
      <c r="AC2142">
        <v>1548</v>
      </c>
      <c r="AD2142">
        <v>1548</v>
      </c>
      <c r="AE2142">
        <v>0</v>
      </c>
      <c r="AF2142">
        <v>0</v>
      </c>
      <c r="AG2142">
        <v>0</v>
      </c>
      <c r="AH2142">
        <v>0</v>
      </c>
      <c r="AI2142">
        <v>280</v>
      </c>
      <c r="AJ2142">
        <v>0</v>
      </c>
      <c r="AK2142">
        <v>0</v>
      </c>
      <c r="AL2142">
        <v>0</v>
      </c>
      <c r="AM2142">
        <v>0</v>
      </c>
      <c r="AN2142">
        <v>200</v>
      </c>
      <c r="AO2142">
        <v>0</v>
      </c>
      <c r="AP2142">
        <v>8</v>
      </c>
      <c r="AQ2142">
        <v>0</v>
      </c>
      <c r="AR2142">
        <v>0</v>
      </c>
      <c r="AS2142" t="s">
        <v>58</v>
      </c>
      <c r="AT2142">
        <v>1</v>
      </c>
      <c r="AU2142" t="s">
        <v>59</v>
      </c>
      <c r="AV2142" t="s">
        <v>60</v>
      </c>
      <c r="AW2142">
        <v>1</v>
      </c>
      <c r="AX2142">
        <v>4</v>
      </c>
      <c r="AY2142">
        <v>0</v>
      </c>
      <c r="AZ2142">
        <v>0</v>
      </c>
      <c r="BA2142">
        <v>100</v>
      </c>
      <c r="BB2142">
        <v>100</v>
      </c>
      <c r="BC2142">
        <v>100</v>
      </c>
      <c r="BD2142">
        <v>100</v>
      </c>
      <c r="BE2142">
        <v>1</v>
      </c>
      <c r="BF2142">
        <v>15000</v>
      </c>
      <c r="BG2142">
        <v>1000</v>
      </c>
      <c r="BH2142" s="6">
        <f>Grandview_Inventory[[#This Row],[land_extract]]*Lookups!$B$3</f>
        <v>51342.318135355803</v>
      </c>
      <c r="BI2142" s="6">
        <f>IF(Grandview_Inventory[[#This Row],[bldg_style]]="",0,Lookups!$B$2)</f>
        <v>155833.95000000001</v>
      </c>
      <c r="BJ2142" s="6">
        <f>_xlfn.IFNA(VLOOKUP(Grandview_Inventory[[#This Row],[quality]],Lookups!$H$2:$J$14,3,FALSE),0)</f>
        <v>9808</v>
      </c>
      <c r="BK2142" s="6">
        <f>_xlfn.IFNA(VLOOKUP(Grandview_Inventory[[#This Row],[condition]],Lookups!$H$17:$J$24,3,FALSE),0)</f>
        <v>25780</v>
      </c>
      <c r="BL2142" s="6">
        <f>Grandview_Inventory[[#This Row],[Eff_Age]]*Lookups!$B$14</f>
        <v>-717.49979999999994</v>
      </c>
      <c r="BM2142" s="6">
        <f>Grandview_Inventory[[#This Row],[living_area]]*Lookups!$B$15</f>
        <v>96565.560444000002</v>
      </c>
      <c r="BN2142" s="6">
        <f>Grandview_Inventory[[#This Row],[Fin BSMT]]*Lookups!$B$16</f>
        <v>0</v>
      </c>
      <c r="BO2142" s="6">
        <f>(Grandview_Inventory[[#This Row],[att_gar]]+Grandview_Inventory[[#This Row],[bltin_gar]])*Lookups!$B$17</f>
        <v>24505.72236</v>
      </c>
      <c r="BP2142" s="6">
        <f>Grandview_Inventory[[#This Row],[Plumbing Fixtures]]*Lookups!$B$18</f>
        <v>16083.5344</v>
      </c>
      <c r="BQ2142" s="6">
        <f>Grandview_Inventory[[#This Row],[detatched_value]]*Lookups!$B$19</f>
        <v>0</v>
      </c>
      <c r="BR2142" s="6">
        <f>SUM(Grandview_Inventory[[#This Row],[Intercept]:[det_value]])*Grandview_Inventory[[#This Row],[res_pct]]</f>
        <v>327859.26740400004</v>
      </c>
      <c r="BS2142" s="6">
        <f>Grandview_Inventory[[#This Row],[land_value]]</f>
        <v>51342.318135355803</v>
      </c>
      <c r="BT2142" s="4">
        <f>_xlfn.IFNA(VLOOKUP(Grandview_Inventory[[#This Row],[quality]],Lookups!$A$26:$C$33,3,FALSE),1)</f>
        <v>0.94295468617355149</v>
      </c>
      <c r="BU2142" s="4">
        <f>_xlfn.IFNA(VLOOKUP(Grandview_Inventory[[#This Row],[condition]],Lookups!$A$37:$C$44,3,FALSE),1)</f>
        <v>0.94347925387812148</v>
      </c>
      <c r="BV2142" s="4">
        <f>IF(Grandview_Inventory[[#This Row],[bldg_style]]="",1,_xlfn.IFNA(VLOOKUP(Grandview_Inventory[[#This Row],[decade]],Lookups!$F$29:$H$43,3,FALSE),1))</f>
        <v>0.94601966599150278</v>
      </c>
      <c r="BW2142" s="4">
        <f>_xlfn.IFNA(VLOOKUP(Grandview_Inventory[[#This Row],[living_area_range]],Lookups!$F$47:$H$56,3,FALSE),1)</f>
        <v>0.96120133463014379</v>
      </c>
      <c r="BX2142" s="4">
        <f>AVERAGE(Grandview_Inventory[[#This Row],[qual_adj]:[size_adj]])</f>
        <v>0.94841373516832994</v>
      </c>
      <c r="BY2142" s="6">
        <f>IF(Grandview_Inventory[[#This Row],[pre_res]]&lt;0,0,Grandview_Inventory[[#This Row],[pre_res]]*Grandview_Inventory[[#This Row],[overall_adj]])</f>
        <v>310946.23240817996</v>
      </c>
      <c r="BZ2142" s="6">
        <f>(Grandview_Inventory[[#This Row],[sum_land]]-IF(Grandview_Inventory[[#This Row],[no_utilities]]=1,12000,0))/IF(Grandview_Inventory[[#This Row],[unbuildable]]=1,2,1)</f>
        <v>51342.318135355803</v>
      </c>
      <c r="CA214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42">
        <f>ROUND(Grandview_Inventory[[#This Row],[det_value]]*Lookups!$M$28,-2)</f>
        <v>0</v>
      </c>
      <c r="CC2142">
        <f>IF(ROUND(Grandview_Inventory[[#This Row],[adj_res]]*Lookups!$M$28,-2)&lt;Grandview_Inventory[[#This Row],[min_res]],Grandview_Inventory[[#This Row],[min_res]],ROUND(Grandview_Inventory[[#This Row],[adj_res]]*Lookups!$M$28,-2))</f>
        <v>295400</v>
      </c>
      <c r="CD2142">
        <f>Grandview_Inventory[[#This Row],[final_det]]+Grandview_Inventory[[#This Row],[final_res]]</f>
        <v>295400</v>
      </c>
      <c r="CE2142">
        <f>Grandview_Inventory[[#This Row],[final_land]]+Grandview_Inventory[[#This Row],[final_imp]]+Grandview_Inventory[[#This Row],[crop_value]]</f>
        <v>344200</v>
      </c>
      <c r="CG2142" t="str">
        <f t="shared" si="33"/>
        <v>update valuation set market_land =48800, market_bldg=295400, market_total =344200, market_mdno =401, market_date ='9/10/2023' where link_id = (select link_id from parcel where parcel_year = '2024' and parcel_id = '23092423535');</v>
      </c>
    </row>
    <row r="2143" spans="1:85" x14ac:dyDescent="0.25">
      <c r="A2143">
        <v>23092423536</v>
      </c>
      <c r="B2143" t="s">
        <v>129</v>
      </c>
      <c r="C2143">
        <v>9989</v>
      </c>
      <c r="D2143" t="s">
        <v>129</v>
      </c>
      <c r="E2143" t="s">
        <v>53</v>
      </c>
      <c r="F2143" t="s">
        <v>53</v>
      </c>
      <c r="G2143">
        <v>4</v>
      </c>
      <c r="H2143" t="s">
        <v>54</v>
      </c>
      <c r="I2143">
        <v>239300</v>
      </c>
      <c r="J2143">
        <v>39500</v>
      </c>
      <c r="K2143">
        <v>0.23</v>
      </c>
      <c r="L214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43">
        <v>0</v>
      </c>
      <c r="N2143">
        <v>0</v>
      </c>
      <c r="O2143">
        <v>0</v>
      </c>
      <c r="P2143">
        <v>13398.7528</v>
      </c>
      <c r="Q2143">
        <v>63903</v>
      </c>
      <c r="R2143">
        <f>(Grandview_Inventory[[#This Row],[ln_acres]]*Grandview_Inventory[[#This Row],[coeff]])+Grandview_Inventory[[#This Row],[const]]</f>
        <v>44211.174981080039</v>
      </c>
      <c r="S2143" t="s">
        <v>61</v>
      </c>
      <c r="T2143">
        <v>1</v>
      </c>
      <c r="U2143" t="s">
        <v>62</v>
      </c>
      <c r="V2143" t="s">
        <v>57</v>
      </c>
      <c r="W2143">
        <v>0</v>
      </c>
      <c r="X2143">
        <v>0</v>
      </c>
      <c r="Y2143">
        <v>3</v>
      </c>
      <c r="Z2143">
        <v>3</v>
      </c>
      <c r="AA2143">
        <v>10</v>
      </c>
      <c r="AB2143">
        <v>1500</v>
      </c>
      <c r="AC2143">
        <v>1300</v>
      </c>
      <c r="AD2143">
        <v>1300</v>
      </c>
      <c r="AE2143">
        <v>0</v>
      </c>
      <c r="AF2143">
        <v>0</v>
      </c>
      <c r="AG2143">
        <v>0</v>
      </c>
      <c r="AH2143">
        <v>0</v>
      </c>
      <c r="AI2143">
        <v>400</v>
      </c>
      <c r="AJ2143">
        <v>0</v>
      </c>
      <c r="AK2143">
        <v>0</v>
      </c>
      <c r="AL2143">
        <v>0</v>
      </c>
      <c r="AM2143">
        <v>0</v>
      </c>
      <c r="AN2143">
        <v>140</v>
      </c>
      <c r="AO2143">
        <v>0</v>
      </c>
      <c r="AP2143">
        <v>8</v>
      </c>
      <c r="AQ2143">
        <v>0</v>
      </c>
      <c r="AR2143">
        <v>0</v>
      </c>
      <c r="AS2143" t="s">
        <v>58</v>
      </c>
      <c r="AT2143">
        <v>1</v>
      </c>
      <c r="AU2143" t="s">
        <v>59</v>
      </c>
      <c r="AV2143" t="s">
        <v>60</v>
      </c>
      <c r="AW2143">
        <v>1</v>
      </c>
      <c r="AX2143">
        <v>3</v>
      </c>
      <c r="AY2143">
        <v>0</v>
      </c>
      <c r="AZ2143">
        <v>0</v>
      </c>
      <c r="BA2143">
        <v>100</v>
      </c>
      <c r="BB2143">
        <v>100</v>
      </c>
      <c r="BC2143">
        <v>100</v>
      </c>
      <c r="BD2143">
        <v>100</v>
      </c>
      <c r="BE2143">
        <v>1</v>
      </c>
      <c r="BF2143">
        <v>15000</v>
      </c>
      <c r="BG2143">
        <v>1000</v>
      </c>
      <c r="BH2143" s="6">
        <f>Grandview_Inventory[[#This Row],[land_extract]]*Lookups!$B$3</f>
        <v>51342.318135355803</v>
      </c>
      <c r="BI2143" s="6">
        <f>IF(Grandview_Inventory[[#This Row],[bldg_style]]="",0,Lookups!$B$2)</f>
        <v>155833.95000000001</v>
      </c>
      <c r="BJ2143" s="6">
        <f>_xlfn.IFNA(VLOOKUP(Grandview_Inventory[[#This Row],[quality]],Lookups!$H$2:$J$14,3,FALSE),0)</f>
        <v>9808</v>
      </c>
      <c r="BK2143" s="6">
        <f>_xlfn.IFNA(VLOOKUP(Grandview_Inventory[[#This Row],[condition]],Lookups!$H$17:$J$24,3,FALSE),0)</f>
        <v>25780</v>
      </c>
      <c r="BL2143" s="6">
        <f>Grandview_Inventory[[#This Row],[Eff_Age]]*Lookups!$B$14</f>
        <v>-717.49979999999994</v>
      </c>
      <c r="BM2143" s="6">
        <f>Grandview_Inventory[[#This Row],[living_area]]*Lookups!$B$15</f>
        <v>81095.108900000007</v>
      </c>
      <c r="BN2143" s="6">
        <f>Grandview_Inventory[[#This Row],[Fin BSMT]]*Lookups!$B$16</f>
        <v>0</v>
      </c>
      <c r="BO2143" s="6">
        <f>(Grandview_Inventory[[#This Row],[att_gar]]+Grandview_Inventory[[#This Row],[bltin_gar]])*Lookups!$B$17</f>
        <v>35008.174800000001</v>
      </c>
      <c r="BP2143" s="6">
        <f>Grandview_Inventory[[#This Row],[Plumbing Fixtures]]*Lookups!$B$18</f>
        <v>16083.5344</v>
      </c>
      <c r="BQ2143" s="6">
        <f>Grandview_Inventory[[#This Row],[detatched_value]]*Lookups!$B$19</f>
        <v>0</v>
      </c>
      <c r="BR2143" s="6">
        <f>SUM(Grandview_Inventory[[#This Row],[Intercept]:[det_value]])*Grandview_Inventory[[#This Row],[res_pct]]</f>
        <v>322891.2683</v>
      </c>
      <c r="BS2143" s="6">
        <f>Grandview_Inventory[[#This Row],[land_value]]</f>
        <v>51342.318135355803</v>
      </c>
      <c r="BT2143" s="4">
        <f>_xlfn.IFNA(VLOOKUP(Grandview_Inventory[[#This Row],[quality]],Lookups!$A$26:$C$33,3,FALSE),1)</f>
        <v>0.94295468617355149</v>
      </c>
      <c r="BU2143" s="4">
        <f>_xlfn.IFNA(VLOOKUP(Grandview_Inventory[[#This Row],[condition]],Lookups!$A$37:$C$44,3,FALSE),1)</f>
        <v>0.94347925387812148</v>
      </c>
      <c r="BV2143" s="4">
        <f>IF(Grandview_Inventory[[#This Row],[bldg_style]]="",1,_xlfn.IFNA(VLOOKUP(Grandview_Inventory[[#This Row],[decade]],Lookups!$F$29:$H$43,3,FALSE),1))</f>
        <v>0.94601966599150278</v>
      </c>
      <c r="BW2143" s="4">
        <f>_xlfn.IFNA(VLOOKUP(Grandview_Inventory[[#This Row],[living_area_range]],Lookups!$F$47:$H$56,3,FALSE),1)</f>
        <v>0.96135087979789358</v>
      </c>
      <c r="BX2143" s="4">
        <f>AVERAGE(Grandview_Inventory[[#This Row],[qual_adj]:[size_adj]])</f>
        <v>0.94845112146026733</v>
      </c>
      <c r="BY2143" s="6">
        <f>IF(Grandview_Inventory[[#This Row],[pre_res]]&lt;0,0,Grandview_Inventory[[#This Row],[pre_res]]*Grandview_Inventory[[#This Row],[overall_adj]])</f>
        <v>306246.58552886307</v>
      </c>
      <c r="BZ2143" s="6">
        <f>(Grandview_Inventory[[#This Row],[sum_land]]-IF(Grandview_Inventory[[#This Row],[no_utilities]]=1,12000,0))/IF(Grandview_Inventory[[#This Row],[unbuildable]]=1,2,1)</f>
        <v>51342.318135355803</v>
      </c>
      <c r="CA214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43">
        <f>ROUND(Grandview_Inventory[[#This Row],[det_value]]*Lookups!$M$28,-2)</f>
        <v>0</v>
      </c>
      <c r="CC2143">
        <f>IF(ROUND(Grandview_Inventory[[#This Row],[adj_res]]*Lookups!$M$28,-2)&lt;Grandview_Inventory[[#This Row],[min_res]],Grandview_Inventory[[#This Row],[min_res]],ROUND(Grandview_Inventory[[#This Row],[adj_res]]*Lookups!$M$28,-2))</f>
        <v>290900</v>
      </c>
      <c r="CD2143">
        <f>Grandview_Inventory[[#This Row],[final_det]]+Grandview_Inventory[[#This Row],[final_res]]</f>
        <v>290900</v>
      </c>
      <c r="CE2143">
        <f>Grandview_Inventory[[#This Row],[final_land]]+Grandview_Inventory[[#This Row],[final_imp]]+Grandview_Inventory[[#This Row],[crop_value]]</f>
        <v>339700</v>
      </c>
      <c r="CG2143" t="str">
        <f t="shared" si="33"/>
        <v>update valuation set market_land =48800, market_bldg=290900, market_total =339700, market_mdno =401, market_date ='9/10/2023' where link_id = (select link_id from parcel where parcel_year = '2024' and parcel_id = '23092423536');</v>
      </c>
    </row>
    <row r="2144" spans="1:85" x14ac:dyDescent="0.25">
      <c r="A2144">
        <v>23092423537</v>
      </c>
      <c r="B2144" t="s">
        <v>129</v>
      </c>
      <c r="C2144">
        <v>9987</v>
      </c>
      <c r="D2144" t="s">
        <v>129</v>
      </c>
      <c r="E2144" t="s">
        <v>53</v>
      </c>
      <c r="F2144" t="s">
        <v>53</v>
      </c>
      <c r="G2144">
        <v>4</v>
      </c>
      <c r="H2144" t="s">
        <v>54</v>
      </c>
      <c r="I2144">
        <v>251700</v>
      </c>
      <c r="J2144">
        <v>39500</v>
      </c>
      <c r="K2144">
        <v>0.23</v>
      </c>
      <c r="L214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44">
        <v>0</v>
      </c>
      <c r="N2144">
        <v>0</v>
      </c>
      <c r="O2144">
        <v>0</v>
      </c>
      <c r="P2144">
        <v>13398.7528</v>
      </c>
      <c r="Q2144">
        <v>63903</v>
      </c>
      <c r="R2144">
        <f>(Grandview_Inventory[[#This Row],[ln_acres]]*Grandview_Inventory[[#This Row],[coeff]])+Grandview_Inventory[[#This Row],[const]]</f>
        <v>44211.174981080039</v>
      </c>
      <c r="S2144" t="s">
        <v>61</v>
      </c>
      <c r="T2144">
        <v>1</v>
      </c>
      <c r="U2144" t="s">
        <v>64</v>
      </c>
      <c r="V2144" t="s">
        <v>57</v>
      </c>
      <c r="W2144">
        <v>0</v>
      </c>
      <c r="X2144">
        <v>0</v>
      </c>
      <c r="Y2144">
        <v>3</v>
      </c>
      <c r="Z2144">
        <v>3</v>
      </c>
      <c r="AA2144">
        <v>10</v>
      </c>
      <c r="AB2144">
        <v>1500</v>
      </c>
      <c r="AC2144">
        <v>1300</v>
      </c>
      <c r="AD2144">
        <v>1300</v>
      </c>
      <c r="AE2144">
        <v>0</v>
      </c>
      <c r="AF2144">
        <v>0</v>
      </c>
      <c r="AG2144">
        <v>0</v>
      </c>
      <c r="AH2144">
        <v>0</v>
      </c>
      <c r="AI2144">
        <v>400</v>
      </c>
      <c r="AJ2144">
        <v>0</v>
      </c>
      <c r="AK2144">
        <v>0</v>
      </c>
      <c r="AL2144">
        <v>0</v>
      </c>
      <c r="AM2144">
        <v>0</v>
      </c>
      <c r="AN2144">
        <v>140</v>
      </c>
      <c r="AO2144">
        <v>0</v>
      </c>
      <c r="AP2144">
        <v>8</v>
      </c>
      <c r="AQ2144">
        <v>0</v>
      </c>
      <c r="AR2144">
        <v>0</v>
      </c>
      <c r="AS2144" t="s">
        <v>58</v>
      </c>
      <c r="AT2144">
        <v>1</v>
      </c>
      <c r="AU2144" t="s">
        <v>59</v>
      </c>
      <c r="AV2144" t="s">
        <v>60</v>
      </c>
      <c r="AW2144">
        <v>1</v>
      </c>
      <c r="AX2144">
        <v>3</v>
      </c>
      <c r="AY2144">
        <v>0</v>
      </c>
      <c r="AZ2144">
        <v>0</v>
      </c>
      <c r="BA2144">
        <v>100</v>
      </c>
      <c r="BB2144">
        <v>100</v>
      </c>
      <c r="BC2144">
        <v>100</v>
      </c>
      <c r="BD2144">
        <v>100</v>
      </c>
      <c r="BE2144">
        <v>1</v>
      </c>
      <c r="BF2144">
        <v>15000</v>
      </c>
      <c r="BG2144">
        <v>1000</v>
      </c>
      <c r="BH2144" s="6">
        <f>Grandview_Inventory[[#This Row],[land_extract]]*Lookups!$B$3</f>
        <v>51342.318135355803</v>
      </c>
      <c r="BI2144" s="6">
        <f>IF(Grandview_Inventory[[#This Row],[bldg_style]]="",0,Lookups!$B$2)</f>
        <v>155833.95000000001</v>
      </c>
      <c r="BJ2144" s="6">
        <f>_xlfn.IFNA(VLOOKUP(Grandview_Inventory[[#This Row],[quality]],Lookups!$H$2:$J$14,3,FALSE),0)</f>
        <v>20768</v>
      </c>
      <c r="BK2144" s="6">
        <f>_xlfn.IFNA(VLOOKUP(Grandview_Inventory[[#This Row],[condition]],Lookups!$H$17:$J$24,3,FALSE),0)</f>
        <v>25780</v>
      </c>
      <c r="BL2144" s="6">
        <f>Grandview_Inventory[[#This Row],[Eff_Age]]*Lookups!$B$14</f>
        <v>-717.49979999999994</v>
      </c>
      <c r="BM2144" s="6">
        <f>Grandview_Inventory[[#This Row],[living_area]]*Lookups!$B$15</f>
        <v>81095.108900000007</v>
      </c>
      <c r="BN2144" s="6">
        <f>Grandview_Inventory[[#This Row],[Fin BSMT]]*Lookups!$B$16</f>
        <v>0</v>
      </c>
      <c r="BO2144" s="6">
        <f>(Grandview_Inventory[[#This Row],[att_gar]]+Grandview_Inventory[[#This Row],[bltin_gar]])*Lookups!$B$17</f>
        <v>35008.174800000001</v>
      </c>
      <c r="BP2144" s="6">
        <f>Grandview_Inventory[[#This Row],[Plumbing Fixtures]]*Lookups!$B$18</f>
        <v>16083.5344</v>
      </c>
      <c r="BQ2144" s="6">
        <f>Grandview_Inventory[[#This Row],[detatched_value]]*Lookups!$B$19</f>
        <v>0</v>
      </c>
      <c r="BR2144" s="6">
        <f>SUM(Grandview_Inventory[[#This Row],[Intercept]:[det_value]])*Grandview_Inventory[[#This Row],[res_pct]]</f>
        <v>333851.2683</v>
      </c>
      <c r="BS2144" s="6">
        <f>Grandview_Inventory[[#This Row],[land_value]]</f>
        <v>51342.318135355803</v>
      </c>
      <c r="BT2144" s="4">
        <f>_xlfn.IFNA(VLOOKUP(Grandview_Inventory[[#This Row],[quality]],Lookups!$A$26:$C$33,3,FALSE),1)</f>
        <v>0.94960540378902636</v>
      </c>
      <c r="BU2144" s="4">
        <f>_xlfn.IFNA(VLOOKUP(Grandview_Inventory[[#This Row],[condition]],Lookups!$A$37:$C$44,3,FALSE),1)</f>
        <v>0.94347925387812148</v>
      </c>
      <c r="BV2144" s="4">
        <f>IF(Grandview_Inventory[[#This Row],[bldg_style]]="",1,_xlfn.IFNA(VLOOKUP(Grandview_Inventory[[#This Row],[decade]],Lookups!$F$29:$H$43,3,FALSE),1))</f>
        <v>0.94601966599150278</v>
      </c>
      <c r="BW2144" s="4">
        <f>_xlfn.IFNA(VLOOKUP(Grandview_Inventory[[#This Row],[living_area_range]],Lookups!$F$47:$H$56,3,FALSE),1)</f>
        <v>0.96135087979789358</v>
      </c>
      <c r="BX2144" s="4">
        <f>AVERAGE(Grandview_Inventory[[#This Row],[qual_adj]:[size_adj]])</f>
        <v>0.9501138008641361</v>
      </c>
      <c r="BY2144" s="6">
        <f>IF(Grandview_Inventory[[#This Row],[pre_res]]&lt;0,0,Grandview_Inventory[[#This Row],[pre_res]]*Grandview_Inventory[[#This Row],[overall_adj]])</f>
        <v>317196.69744782546</v>
      </c>
      <c r="BZ2144" s="6">
        <f>(Grandview_Inventory[[#This Row],[sum_land]]-IF(Grandview_Inventory[[#This Row],[no_utilities]]=1,12000,0))/IF(Grandview_Inventory[[#This Row],[unbuildable]]=1,2,1)</f>
        <v>51342.318135355803</v>
      </c>
      <c r="CA214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44">
        <f>ROUND(Grandview_Inventory[[#This Row],[det_value]]*Lookups!$M$28,-2)</f>
        <v>0</v>
      </c>
      <c r="CC2144">
        <f>IF(ROUND(Grandview_Inventory[[#This Row],[adj_res]]*Lookups!$M$28,-2)&lt;Grandview_Inventory[[#This Row],[min_res]],Grandview_Inventory[[#This Row],[min_res]],ROUND(Grandview_Inventory[[#This Row],[adj_res]]*Lookups!$M$28,-2))</f>
        <v>301300</v>
      </c>
      <c r="CD2144">
        <f>Grandview_Inventory[[#This Row],[final_det]]+Grandview_Inventory[[#This Row],[final_res]]</f>
        <v>301300</v>
      </c>
      <c r="CE2144">
        <f>Grandview_Inventory[[#This Row],[final_land]]+Grandview_Inventory[[#This Row],[final_imp]]+Grandview_Inventory[[#This Row],[crop_value]]</f>
        <v>350100</v>
      </c>
      <c r="CG2144" t="str">
        <f t="shared" si="33"/>
        <v>update valuation set market_land =48800, market_bldg=301300, market_total =350100, market_mdno =401, market_date ='9/10/2023' where link_id = (select link_id from parcel where parcel_year = '2024' and parcel_id = '23092423537');</v>
      </c>
    </row>
    <row r="2145" spans="1:85" x14ac:dyDescent="0.25">
      <c r="A2145">
        <v>23092423538</v>
      </c>
      <c r="B2145" t="s">
        <v>129</v>
      </c>
      <c r="C2145">
        <v>9985</v>
      </c>
      <c r="D2145" t="s">
        <v>129</v>
      </c>
      <c r="E2145" t="s">
        <v>53</v>
      </c>
      <c r="F2145" t="s">
        <v>53</v>
      </c>
      <c r="G2145">
        <v>4</v>
      </c>
      <c r="H2145" t="s">
        <v>54</v>
      </c>
      <c r="I2145">
        <v>251700</v>
      </c>
      <c r="J2145">
        <v>39500</v>
      </c>
      <c r="K2145">
        <v>0.23</v>
      </c>
      <c r="L214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145">
        <v>0</v>
      </c>
      <c r="N2145">
        <v>0</v>
      </c>
      <c r="O2145">
        <v>0</v>
      </c>
      <c r="P2145">
        <v>13398.7528</v>
      </c>
      <c r="Q2145">
        <v>63903</v>
      </c>
      <c r="R2145">
        <f>(Grandview_Inventory[[#This Row],[ln_acres]]*Grandview_Inventory[[#This Row],[coeff]])+Grandview_Inventory[[#This Row],[const]]</f>
        <v>44211.174981080039</v>
      </c>
      <c r="S2145" t="s">
        <v>61</v>
      </c>
      <c r="T2145">
        <v>1</v>
      </c>
      <c r="U2145" t="s">
        <v>64</v>
      </c>
      <c r="V2145" t="s">
        <v>57</v>
      </c>
      <c r="W2145">
        <v>0</v>
      </c>
      <c r="X2145">
        <v>0</v>
      </c>
      <c r="Y2145">
        <v>3</v>
      </c>
      <c r="Z2145">
        <v>3</v>
      </c>
      <c r="AA2145">
        <v>10</v>
      </c>
      <c r="AB2145">
        <v>1500</v>
      </c>
      <c r="AC2145">
        <v>1300</v>
      </c>
      <c r="AD2145">
        <v>1300</v>
      </c>
      <c r="AE2145">
        <v>0</v>
      </c>
      <c r="AF2145">
        <v>0</v>
      </c>
      <c r="AG2145">
        <v>0</v>
      </c>
      <c r="AH2145">
        <v>0</v>
      </c>
      <c r="AI2145">
        <v>400</v>
      </c>
      <c r="AJ2145">
        <v>0</v>
      </c>
      <c r="AK2145">
        <v>0</v>
      </c>
      <c r="AL2145">
        <v>0</v>
      </c>
      <c r="AM2145">
        <v>0</v>
      </c>
      <c r="AN2145">
        <v>140</v>
      </c>
      <c r="AO2145">
        <v>0</v>
      </c>
      <c r="AP2145">
        <v>8</v>
      </c>
      <c r="AQ2145">
        <v>0</v>
      </c>
      <c r="AR2145">
        <v>0</v>
      </c>
      <c r="AS2145" t="s">
        <v>58</v>
      </c>
      <c r="AT2145">
        <v>1</v>
      </c>
      <c r="AU2145" t="s">
        <v>59</v>
      </c>
      <c r="AV2145" t="s">
        <v>60</v>
      </c>
      <c r="AW2145">
        <v>1</v>
      </c>
      <c r="AX2145">
        <v>3</v>
      </c>
      <c r="AY2145">
        <v>0</v>
      </c>
      <c r="AZ2145">
        <v>0</v>
      </c>
      <c r="BA2145">
        <v>100</v>
      </c>
      <c r="BB2145">
        <v>100</v>
      </c>
      <c r="BC2145">
        <v>100</v>
      </c>
      <c r="BD2145">
        <v>100</v>
      </c>
      <c r="BE2145">
        <v>1</v>
      </c>
      <c r="BF2145">
        <v>15000</v>
      </c>
      <c r="BG2145">
        <v>1000</v>
      </c>
      <c r="BH2145" s="6">
        <f>Grandview_Inventory[[#This Row],[land_extract]]*Lookups!$B$3</f>
        <v>51342.318135355803</v>
      </c>
      <c r="BI2145" s="6">
        <f>IF(Grandview_Inventory[[#This Row],[bldg_style]]="",0,Lookups!$B$2)</f>
        <v>155833.95000000001</v>
      </c>
      <c r="BJ2145" s="6">
        <f>_xlfn.IFNA(VLOOKUP(Grandview_Inventory[[#This Row],[quality]],Lookups!$H$2:$J$14,3,FALSE),0)</f>
        <v>20768</v>
      </c>
      <c r="BK2145" s="6">
        <f>_xlfn.IFNA(VLOOKUP(Grandview_Inventory[[#This Row],[condition]],Lookups!$H$17:$J$24,3,FALSE),0)</f>
        <v>25780</v>
      </c>
      <c r="BL2145" s="6">
        <f>Grandview_Inventory[[#This Row],[Eff_Age]]*Lookups!$B$14</f>
        <v>-717.49979999999994</v>
      </c>
      <c r="BM2145" s="6">
        <f>Grandview_Inventory[[#This Row],[living_area]]*Lookups!$B$15</f>
        <v>81095.108900000007</v>
      </c>
      <c r="BN2145" s="6">
        <f>Grandview_Inventory[[#This Row],[Fin BSMT]]*Lookups!$B$16</f>
        <v>0</v>
      </c>
      <c r="BO2145" s="6">
        <f>(Grandview_Inventory[[#This Row],[att_gar]]+Grandview_Inventory[[#This Row],[bltin_gar]])*Lookups!$B$17</f>
        <v>35008.174800000001</v>
      </c>
      <c r="BP2145" s="6">
        <f>Grandview_Inventory[[#This Row],[Plumbing Fixtures]]*Lookups!$B$18</f>
        <v>16083.5344</v>
      </c>
      <c r="BQ2145" s="6">
        <f>Grandview_Inventory[[#This Row],[detatched_value]]*Lookups!$B$19</f>
        <v>0</v>
      </c>
      <c r="BR2145" s="6">
        <f>SUM(Grandview_Inventory[[#This Row],[Intercept]:[det_value]])*Grandview_Inventory[[#This Row],[res_pct]]</f>
        <v>333851.2683</v>
      </c>
      <c r="BS2145" s="6">
        <f>Grandview_Inventory[[#This Row],[land_value]]</f>
        <v>51342.318135355803</v>
      </c>
      <c r="BT2145" s="4">
        <f>_xlfn.IFNA(VLOOKUP(Grandview_Inventory[[#This Row],[quality]],Lookups!$A$26:$C$33,3,FALSE),1)</f>
        <v>0.94960540378902636</v>
      </c>
      <c r="BU2145" s="4">
        <f>_xlfn.IFNA(VLOOKUP(Grandview_Inventory[[#This Row],[condition]],Lookups!$A$37:$C$44,3,FALSE),1)</f>
        <v>0.94347925387812148</v>
      </c>
      <c r="BV2145" s="4">
        <f>IF(Grandview_Inventory[[#This Row],[bldg_style]]="",1,_xlfn.IFNA(VLOOKUP(Grandview_Inventory[[#This Row],[decade]],Lookups!$F$29:$H$43,3,FALSE),1))</f>
        <v>0.94601966599150278</v>
      </c>
      <c r="BW2145" s="4">
        <f>_xlfn.IFNA(VLOOKUP(Grandview_Inventory[[#This Row],[living_area_range]],Lookups!$F$47:$H$56,3,FALSE),1)</f>
        <v>0.96135087979789358</v>
      </c>
      <c r="BX2145" s="4">
        <f>AVERAGE(Grandview_Inventory[[#This Row],[qual_adj]:[size_adj]])</f>
        <v>0.9501138008641361</v>
      </c>
      <c r="BY2145" s="6">
        <f>IF(Grandview_Inventory[[#This Row],[pre_res]]&lt;0,0,Grandview_Inventory[[#This Row],[pre_res]]*Grandview_Inventory[[#This Row],[overall_adj]])</f>
        <v>317196.69744782546</v>
      </c>
      <c r="BZ2145" s="6">
        <f>(Grandview_Inventory[[#This Row],[sum_land]]-IF(Grandview_Inventory[[#This Row],[no_utilities]]=1,12000,0))/IF(Grandview_Inventory[[#This Row],[unbuildable]]=1,2,1)</f>
        <v>51342.318135355803</v>
      </c>
      <c r="CA214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145">
        <f>ROUND(Grandview_Inventory[[#This Row],[det_value]]*Lookups!$M$28,-2)</f>
        <v>0</v>
      </c>
      <c r="CC2145">
        <f>IF(ROUND(Grandview_Inventory[[#This Row],[adj_res]]*Lookups!$M$28,-2)&lt;Grandview_Inventory[[#This Row],[min_res]],Grandview_Inventory[[#This Row],[min_res]],ROUND(Grandview_Inventory[[#This Row],[adj_res]]*Lookups!$M$28,-2))</f>
        <v>301300</v>
      </c>
      <c r="CD2145">
        <f>Grandview_Inventory[[#This Row],[final_det]]+Grandview_Inventory[[#This Row],[final_res]]</f>
        <v>301300</v>
      </c>
      <c r="CE2145">
        <f>Grandview_Inventory[[#This Row],[final_land]]+Grandview_Inventory[[#This Row],[final_imp]]+Grandview_Inventory[[#This Row],[crop_value]]</f>
        <v>350100</v>
      </c>
      <c r="CG2145" t="str">
        <f t="shared" si="33"/>
        <v>update valuation set market_land =48800, market_bldg=301300, market_total =350100, market_mdno =401, market_date ='9/10/2023' where link_id = (select link_id from parcel where parcel_year = '2024' and parcel_id = '23092423538');</v>
      </c>
    </row>
    <row r="2146" spans="1:85" x14ac:dyDescent="0.25">
      <c r="A2146">
        <v>23092423542</v>
      </c>
      <c r="B2146" t="s">
        <v>129</v>
      </c>
      <c r="C2146">
        <v>19465</v>
      </c>
      <c r="D2146" t="s">
        <v>129</v>
      </c>
      <c r="E2146" t="s">
        <v>53</v>
      </c>
      <c r="F2146" t="s">
        <v>53</v>
      </c>
      <c r="G2146">
        <v>4</v>
      </c>
      <c r="H2146" t="s">
        <v>54</v>
      </c>
      <c r="I2146">
        <v>191500</v>
      </c>
      <c r="J2146">
        <v>41400</v>
      </c>
      <c r="K2146">
        <v>0.45</v>
      </c>
      <c r="L2146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2146">
        <v>0</v>
      </c>
      <c r="N2146">
        <v>0</v>
      </c>
      <c r="O2146">
        <v>0</v>
      </c>
      <c r="P2146">
        <v>13398.7528</v>
      </c>
      <c r="Q2146">
        <v>63903</v>
      </c>
      <c r="R2146">
        <f>(Grandview_Inventory[[#This Row],[ln_acres]]*Grandview_Inventory[[#This Row],[coeff]])+Grandview_Inventory[[#This Row],[const]]</f>
        <v>53203.992769480581</v>
      </c>
      <c r="S2146" t="s">
        <v>61</v>
      </c>
      <c r="T2146">
        <v>1</v>
      </c>
      <c r="U2146" t="s">
        <v>70</v>
      </c>
      <c r="V2146" t="s">
        <v>69</v>
      </c>
      <c r="W2146">
        <v>0</v>
      </c>
      <c r="X2146">
        <v>0</v>
      </c>
      <c r="Y2146">
        <v>49</v>
      </c>
      <c r="Z2146">
        <v>68</v>
      </c>
      <c r="AA2146">
        <v>70</v>
      </c>
      <c r="AB2146">
        <v>1500</v>
      </c>
      <c r="AC2146">
        <v>1186</v>
      </c>
      <c r="AD2146">
        <v>1186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5</v>
      </c>
      <c r="AQ2146">
        <v>1</v>
      </c>
      <c r="AR2146">
        <v>0</v>
      </c>
      <c r="AS2146" t="s">
        <v>76</v>
      </c>
      <c r="AT2146">
        <v>1</v>
      </c>
      <c r="AU2146" t="s">
        <v>59</v>
      </c>
      <c r="AV2146" t="s">
        <v>60</v>
      </c>
      <c r="AW2146">
        <v>1</v>
      </c>
      <c r="AX2146">
        <v>3</v>
      </c>
      <c r="AY2146">
        <v>0</v>
      </c>
      <c r="AZ2146">
        <v>13900</v>
      </c>
      <c r="BA2146">
        <v>100</v>
      </c>
      <c r="BB2146">
        <v>100</v>
      </c>
      <c r="BC2146">
        <v>100</v>
      </c>
      <c r="BD2146">
        <v>100</v>
      </c>
      <c r="BE2146">
        <v>1</v>
      </c>
      <c r="BF2146">
        <v>15000</v>
      </c>
      <c r="BG2146">
        <v>1000</v>
      </c>
      <c r="BH2146" s="6">
        <f>Grandview_Inventory[[#This Row],[land_extract]]*Lookups!$B$3</f>
        <v>61785.653152417319</v>
      </c>
      <c r="BI2146" s="6">
        <f>IF(Grandview_Inventory[[#This Row],[bldg_style]]="",0,Lookups!$B$2)</f>
        <v>155833.95000000001</v>
      </c>
      <c r="BJ2146" s="6">
        <f>_xlfn.IFNA(VLOOKUP(Grandview_Inventory[[#This Row],[quality]],Lookups!$H$2:$J$14,3,FALSE),0)</f>
        <v>10733</v>
      </c>
      <c r="BK2146" s="6">
        <f>_xlfn.IFNA(VLOOKUP(Grandview_Inventory[[#This Row],[condition]],Lookups!$H$17:$J$24,3,FALSE),0)</f>
        <v>-4503</v>
      </c>
      <c r="BL2146" s="6">
        <f>Grandview_Inventory[[#This Row],[Eff_Age]]*Lookups!$B$14</f>
        <v>-11719.163399999999</v>
      </c>
      <c r="BM2146" s="6">
        <f>Grandview_Inventory[[#This Row],[living_area]]*Lookups!$B$15</f>
        <v>73983.691657999996</v>
      </c>
      <c r="BN2146" s="6">
        <f>Grandview_Inventory[[#This Row],[Fin BSMT]]*Lookups!$B$16</f>
        <v>0</v>
      </c>
      <c r="BO2146" s="6">
        <f>(Grandview_Inventory[[#This Row],[att_gar]]+Grandview_Inventory[[#This Row],[bltin_gar]])*Lookups!$B$17</f>
        <v>0</v>
      </c>
      <c r="BP2146" s="6">
        <f>Grandview_Inventory[[#This Row],[Plumbing Fixtures]]*Lookups!$B$18</f>
        <v>10052.209000000001</v>
      </c>
      <c r="BQ2146" s="6">
        <f>Grandview_Inventory[[#This Row],[detatched_value]]*Lookups!$B$19</f>
        <v>11770.590889999999</v>
      </c>
      <c r="BR2146" s="6">
        <f>SUM(Grandview_Inventory[[#This Row],[Intercept]:[det_value]])*Grandview_Inventory[[#This Row],[res_pct]]</f>
        <v>246151.27814800001</v>
      </c>
      <c r="BS2146" s="6">
        <f>Grandview_Inventory[[#This Row],[land_value]]</f>
        <v>61785.653152417319</v>
      </c>
      <c r="BT2146" s="4">
        <f>_xlfn.IFNA(VLOOKUP(Grandview_Inventory[[#This Row],[quality]],Lookups!$A$26:$C$33,3,FALSE),1)</f>
        <v>0.98079741117310582</v>
      </c>
      <c r="BU2146" s="4">
        <f>_xlfn.IFNA(VLOOKUP(Grandview_Inventory[[#This Row],[condition]],Lookups!$A$37:$C$44,3,FALSE),1)</f>
        <v>0.96469275950863709</v>
      </c>
      <c r="BV2146" s="4">
        <f>IF(Grandview_Inventory[[#This Row],[bldg_style]]="",1,_xlfn.IFNA(VLOOKUP(Grandview_Inventory[[#This Row],[decade]],Lookups!$F$29:$H$43,3,FALSE),1))</f>
        <v>0.99472141305414818</v>
      </c>
      <c r="BW2146" s="4">
        <f>_xlfn.IFNA(VLOOKUP(Grandview_Inventory[[#This Row],[living_area_range]],Lookups!$F$47:$H$56,3,FALSE),1)</f>
        <v>0.96135087979789358</v>
      </c>
      <c r="BX2146" s="4">
        <f>AVERAGE(Grandview_Inventory[[#This Row],[qual_adj]:[size_adj]])</f>
        <v>0.97539061588344622</v>
      </c>
      <c r="BY2146" s="6">
        <f>IF(Grandview_Inventory[[#This Row],[pre_res]]&lt;0,0,Grandview_Inventory[[#This Row],[pre_res]]*Grandview_Inventory[[#This Row],[overall_adj]])</f>
        <v>240093.6467932752</v>
      </c>
      <c r="BZ2146" s="6">
        <f>(Grandview_Inventory[[#This Row],[sum_land]]-IF(Grandview_Inventory[[#This Row],[no_utilities]]=1,12000,0))/IF(Grandview_Inventory[[#This Row],[unbuildable]]=1,2,1)</f>
        <v>61785.653152417319</v>
      </c>
      <c r="CA2146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2146">
        <f>ROUND(Grandview_Inventory[[#This Row],[det_value]]*Lookups!$M$28,-2)</f>
        <v>11200</v>
      </c>
      <c r="CC2146">
        <f>IF(ROUND(Grandview_Inventory[[#This Row],[adj_res]]*Lookups!$M$28,-2)&lt;Grandview_Inventory[[#This Row],[min_res]],Grandview_Inventory[[#This Row],[min_res]],ROUND(Grandview_Inventory[[#This Row],[adj_res]]*Lookups!$M$28,-2))</f>
        <v>228100</v>
      </c>
      <c r="CD2146">
        <f>Grandview_Inventory[[#This Row],[final_det]]+Grandview_Inventory[[#This Row],[final_res]]</f>
        <v>239300</v>
      </c>
      <c r="CE2146">
        <f>Grandview_Inventory[[#This Row],[final_land]]+Grandview_Inventory[[#This Row],[final_imp]]+Grandview_Inventory[[#This Row],[crop_value]]</f>
        <v>298000</v>
      </c>
      <c r="CG2146" t="str">
        <f t="shared" si="33"/>
        <v>update valuation set market_land =58700, market_bldg=239300, market_total =298000, market_mdno =401, market_date ='9/10/2023' where link_id = (select link_id from parcel where parcel_year = '2024' and parcel_id = '23092423542');</v>
      </c>
    </row>
    <row r="2147" spans="1:85" x14ac:dyDescent="0.25">
      <c r="A2147">
        <v>23092424401</v>
      </c>
      <c r="B2147">
        <v>0.17</v>
      </c>
      <c r="C2147">
        <v>7305</v>
      </c>
      <c r="D2147" t="s">
        <v>129</v>
      </c>
      <c r="E2147" t="s">
        <v>53</v>
      </c>
      <c r="F2147" t="s">
        <v>53</v>
      </c>
      <c r="G2147">
        <v>4</v>
      </c>
      <c r="H2147" t="s">
        <v>54</v>
      </c>
      <c r="I2147">
        <v>217600</v>
      </c>
      <c r="J2147">
        <v>43000</v>
      </c>
      <c r="K2147">
        <v>0.17</v>
      </c>
      <c r="L214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47">
        <v>0</v>
      </c>
      <c r="N2147">
        <v>0</v>
      </c>
      <c r="O2147">
        <v>0</v>
      </c>
      <c r="P2147">
        <v>13398.7528</v>
      </c>
      <c r="Q2147">
        <v>63903</v>
      </c>
      <c r="R2147">
        <f>(Grandview_Inventory[[#This Row],[ln_acres]]*Grandview_Inventory[[#This Row],[coeff]])+Grandview_Inventory[[#This Row],[const]]</f>
        <v>40160.988302686128</v>
      </c>
      <c r="S2147" t="s">
        <v>61</v>
      </c>
      <c r="T2147">
        <v>1</v>
      </c>
      <c r="U2147" t="s">
        <v>62</v>
      </c>
      <c r="V2147" t="s">
        <v>67</v>
      </c>
      <c r="W2147">
        <v>0</v>
      </c>
      <c r="X2147">
        <v>0</v>
      </c>
      <c r="Y2147">
        <v>19</v>
      </c>
      <c r="Z2147">
        <v>19</v>
      </c>
      <c r="AA2147">
        <v>20</v>
      </c>
      <c r="AB2147">
        <v>1500</v>
      </c>
      <c r="AC2147">
        <v>1169</v>
      </c>
      <c r="AD2147">
        <v>1169</v>
      </c>
      <c r="AE2147">
        <v>0</v>
      </c>
      <c r="AF2147">
        <v>0</v>
      </c>
      <c r="AG2147">
        <v>0</v>
      </c>
      <c r="AH2147">
        <v>0</v>
      </c>
      <c r="AI2147">
        <v>504</v>
      </c>
      <c r="AJ2147">
        <v>0</v>
      </c>
      <c r="AK2147">
        <v>0</v>
      </c>
      <c r="AL2147">
        <v>0</v>
      </c>
      <c r="AM2147">
        <v>420</v>
      </c>
      <c r="AN2147">
        <v>90</v>
      </c>
      <c r="AO2147">
        <v>288</v>
      </c>
      <c r="AP2147">
        <v>9</v>
      </c>
      <c r="AQ2147">
        <v>0</v>
      </c>
      <c r="AR2147">
        <v>0</v>
      </c>
      <c r="AS2147" t="s">
        <v>58</v>
      </c>
      <c r="AT2147">
        <v>1</v>
      </c>
      <c r="AU2147" t="s">
        <v>63</v>
      </c>
      <c r="AV2147" t="s">
        <v>64</v>
      </c>
      <c r="AW2147">
        <v>1</v>
      </c>
      <c r="AX2147">
        <v>4</v>
      </c>
      <c r="AY2147">
        <v>0</v>
      </c>
      <c r="AZ2147">
        <v>0</v>
      </c>
      <c r="BA2147">
        <v>100</v>
      </c>
      <c r="BB2147">
        <v>100</v>
      </c>
      <c r="BC2147">
        <v>100</v>
      </c>
      <c r="BD2147">
        <v>100</v>
      </c>
      <c r="BE2147">
        <v>1</v>
      </c>
      <c r="BF2147">
        <v>15000</v>
      </c>
      <c r="BG2147">
        <v>1000</v>
      </c>
      <c r="BH2147" s="6">
        <f>Grandview_Inventory[[#This Row],[land_extract]]*Lookups!$B$3</f>
        <v>46638.847281240982</v>
      </c>
      <c r="BI2147" s="6">
        <f>IF(Grandview_Inventory[[#This Row],[bldg_style]]="",0,Lookups!$B$2)</f>
        <v>155833.95000000001</v>
      </c>
      <c r="BJ2147" s="6">
        <f>_xlfn.IFNA(VLOOKUP(Grandview_Inventory[[#This Row],[quality]],Lookups!$H$2:$J$14,3,FALSE),0)</f>
        <v>9808</v>
      </c>
      <c r="BK2147" s="6">
        <f>_xlfn.IFNA(VLOOKUP(Grandview_Inventory[[#This Row],[condition]],Lookups!$H$17:$J$24,3,FALSE),0)</f>
        <v>22342</v>
      </c>
      <c r="BL2147" s="6">
        <f>Grandview_Inventory[[#This Row],[Eff_Age]]*Lookups!$B$14</f>
        <v>-4544.1653999999999</v>
      </c>
      <c r="BM2147" s="6">
        <f>Grandview_Inventory[[#This Row],[living_area]]*Lookups!$B$15</f>
        <v>72923.217157000006</v>
      </c>
      <c r="BN2147" s="6">
        <f>Grandview_Inventory[[#This Row],[Fin BSMT]]*Lookups!$B$16</f>
        <v>0</v>
      </c>
      <c r="BO2147" s="6">
        <f>(Grandview_Inventory[[#This Row],[att_gar]]+Grandview_Inventory[[#This Row],[bltin_gar]])*Lookups!$B$17</f>
        <v>44110.300248</v>
      </c>
      <c r="BP2147" s="6">
        <f>Grandview_Inventory[[#This Row],[Plumbing Fixtures]]*Lookups!$B$18</f>
        <v>18093.976200000001</v>
      </c>
      <c r="BQ2147" s="6">
        <f>Grandview_Inventory[[#This Row],[detatched_value]]*Lookups!$B$19</f>
        <v>0</v>
      </c>
      <c r="BR2147" s="6">
        <f>SUM(Grandview_Inventory[[#This Row],[Intercept]:[det_value]])*Grandview_Inventory[[#This Row],[res_pct]]</f>
        <v>318567.27820499998</v>
      </c>
      <c r="BS2147" s="6">
        <f>Grandview_Inventory[[#This Row],[land_value]]</f>
        <v>46638.847281240982</v>
      </c>
      <c r="BT2147" s="4">
        <f>_xlfn.IFNA(VLOOKUP(Grandview_Inventory[[#This Row],[quality]],Lookups!$A$26:$C$33,3,FALSE),1)</f>
        <v>0.94295468617355149</v>
      </c>
      <c r="BU2147" s="4">
        <f>_xlfn.IFNA(VLOOKUP(Grandview_Inventory[[#This Row],[condition]],Lookups!$A$37:$C$44,3,FALSE),1)</f>
        <v>0.97383723671140243</v>
      </c>
      <c r="BV2147" s="4">
        <f>IF(Grandview_Inventory[[#This Row],[bldg_style]]="",1,_xlfn.IFNA(VLOOKUP(Grandview_Inventory[[#This Row],[decade]],Lookups!$F$29:$H$43,3,FALSE),1))</f>
        <v>0.96737494181490646</v>
      </c>
      <c r="BW2147" s="4">
        <f>_xlfn.IFNA(VLOOKUP(Grandview_Inventory[[#This Row],[living_area_range]],Lookups!$F$47:$H$56,3,FALSE),1)</f>
        <v>0.96135087979789358</v>
      </c>
      <c r="BX2147" s="4">
        <f>AVERAGE(Grandview_Inventory[[#This Row],[qual_adj]:[size_adj]])</f>
        <v>0.96137943612443855</v>
      </c>
      <c r="BY2147" s="6">
        <f>IF(Grandview_Inventory[[#This Row],[pre_res]]&lt;0,0,Grandview_Inventory[[#This Row],[pre_res]]*Grandview_Inventory[[#This Row],[overall_adj]])</f>
        <v>306264.03028842004</v>
      </c>
      <c r="BZ2147" s="6">
        <f>(Grandview_Inventory[[#This Row],[sum_land]]-IF(Grandview_Inventory[[#This Row],[no_utilities]]=1,12000,0))/IF(Grandview_Inventory[[#This Row],[unbuildable]]=1,2,1)</f>
        <v>46638.847281240982</v>
      </c>
      <c r="CA214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47">
        <f>ROUND(Grandview_Inventory[[#This Row],[det_value]]*Lookups!$M$28,-2)</f>
        <v>0</v>
      </c>
      <c r="CC2147">
        <f>IF(ROUND(Grandview_Inventory[[#This Row],[adj_res]]*Lookups!$M$28,-2)&lt;Grandview_Inventory[[#This Row],[min_res]],Grandview_Inventory[[#This Row],[min_res]],ROUND(Grandview_Inventory[[#This Row],[adj_res]]*Lookups!$M$28,-2))</f>
        <v>291000</v>
      </c>
      <c r="CD2147">
        <f>Grandview_Inventory[[#This Row],[final_det]]+Grandview_Inventory[[#This Row],[final_res]]</f>
        <v>291000</v>
      </c>
      <c r="CE2147">
        <f>Grandview_Inventory[[#This Row],[final_land]]+Grandview_Inventory[[#This Row],[final_imp]]+Grandview_Inventory[[#This Row],[crop_value]]</f>
        <v>335300</v>
      </c>
      <c r="CG2147" t="str">
        <f t="shared" si="33"/>
        <v>update valuation set market_land =44300, market_bldg=291000, market_total =335300, market_mdno =401, market_date ='9/10/2023' where link_id = (select link_id from parcel where parcel_year = '2024' and parcel_id = '23092424401');</v>
      </c>
    </row>
    <row r="2148" spans="1:85" x14ac:dyDescent="0.25">
      <c r="A2148">
        <v>23092424402</v>
      </c>
      <c r="B2148">
        <v>0.16</v>
      </c>
      <c r="C2148">
        <v>7173</v>
      </c>
      <c r="D2148" t="s">
        <v>129</v>
      </c>
      <c r="E2148" t="s">
        <v>53</v>
      </c>
      <c r="F2148" t="s">
        <v>53</v>
      </c>
      <c r="G2148">
        <v>4</v>
      </c>
      <c r="H2148" t="s">
        <v>54</v>
      </c>
      <c r="I2148">
        <v>206000</v>
      </c>
      <c r="J2148">
        <v>40200</v>
      </c>
      <c r="K2148">
        <v>0.16</v>
      </c>
      <c r="L214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48">
        <v>0</v>
      </c>
      <c r="N2148">
        <v>0</v>
      </c>
      <c r="O2148">
        <v>0</v>
      </c>
      <c r="P2148">
        <v>13398.7528</v>
      </c>
      <c r="Q2148">
        <v>63903</v>
      </c>
      <c r="R2148">
        <f>(Grandview_Inventory[[#This Row],[ln_acres]]*Grandview_Inventory[[#This Row],[coeff]])+Grandview_Inventory[[#This Row],[const]]</f>
        <v>39348.693981374228</v>
      </c>
      <c r="S2148" t="s">
        <v>61</v>
      </c>
      <c r="T2148">
        <v>1</v>
      </c>
      <c r="U2148" t="s">
        <v>62</v>
      </c>
      <c r="V2148" t="s">
        <v>67</v>
      </c>
      <c r="W2148">
        <v>0</v>
      </c>
      <c r="X2148">
        <v>0</v>
      </c>
      <c r="Y2148">
        <v>19</v>
      </c>
      <c r="Z2148">
        <v>19</v>
      </c>
      <c r="AA2148">
        <v>20</v>
      </c>
      <c r="AB2148">
        <v>1500</v>
      </c>
      <c r="AC2148">
        <v>1002</v>
      </c>
      <c r="AD2148">
        <v>1002</v>
      </c>
      <c r="AE2148">
        <v>0</v>
      </c>
      <c r="AF2148">
        <v>0</v>
      </c>
      <c r="AG2148">
        <v>0</v>
      </c>
      <c r="AH2148">
        <v>0</v>
      </c>
      <c r="AI2148">
        <v>520</v>
      </c>
      <c r="AJ2148">
        <v>0</v>
      </c>
      <c r="AK2148">
        <v>0</v>
      </c>
      <c r="AL2148">
        <v>0</v>
      </c>
      <c r="AM2148">
        <v>120</v>
      </c>
      <c r="AN2148">
        <v>60</v>
      </c>
      <c r="AO2148">
        <v>0</v>
      </c>
      <c r="AP2148">
        <v>8</v>
      </c>
      <c r="AQ2148">
        <v>0</v>
      </c>
      <c r="AR2148">
        <v>0</v>
      </c>
      <c r="AS2148" t="s">
        <v>58</v>
      </c>
      <c r="AT2148">
        <v>1</v>
      </c>
      <c r="AU2148" t="s">
        <v>63</v>
      </c>
      <c r="AV2148" t="s">
        <v>64</v>
      </c>
      <c r="AW2148">
        <v>1</v>
      </c>
      <c r="AX2148">
        <v>3</v>
      </c>
      <c r="AY2148">
        <v>0</v>
      </c>
      <c r="AZ2148">
        <v>0</v>
      </c>
      <c r="BA2148">
        <v>100</v>
      </c>
      <c r="BB2148">
        <v>100</v>
      </c>
      <c r="BC2148">
        <v>100</v>
      </c>
      <c r="BD2148">
        <v>100</v>
      </c>
      <c r="BE2148">
        <v>1</v>
      </c>
      <c r="BF2148">
        <v>15000</v>
      </c>
      <c r="BG2148">
        <v>1000</v>
      </c>
      <c r="BH2148" s="6">
        <f>Grandview_Inventory[[#This Row],[land_extract]]*Lookups!$B$3</f>
        <v>45695.532079096141</v>
      </c>
      <c r="BI2148" s="6">
        <f>IF(Grandview_Inventory[[#This Row],[bldg_style]]="",0,Lookups!$B$2)</f>
        <v>155833.95000000001</v>
      </c>
      <c r="BJ2148" s="6">
        <f>_xlfn.IFNA(VLOOKUP(Grandview_Inventory[[#This Row],[quality]],Lookups!$H$2:$J$14,3,FALSE),0)</f>
        <v>9808</v>
      </c>
      <c r="BK2148" s="6">
        <f>_xlfn.IFNA(VLOOKUP(Grandview_Inventory[[#This Row],[condition]],Lookups!$H$17:$J$24,3,FALSE),0)</f>
        <v>22342</v>
      </c>
      <c r="BL2148" s="6">
        <f>Grandview_Inventory[[#This Row],[Eff_Age]]*Lookups!$B$14</f>
        <v>-4544.1653999999999</v>
      </c>
      <c r="BM2148" s="6">
        <f>Grandview_Inventory[[#This Row],[living_area]]*Lookups!$B$15</f>
        <v>62505.614706</v>
      </c>
      <c r="BN2148" s="6">
        <f>Grandview_Inventory[[#This Row],[Fin BSMT]]*Lookups!$B$16</f>
        <v>0</v>
      </c>
      <c r="BO2148" s="6">
        <f>(Grandview_Inventory[[#This Row],[att_gar]]+Grandview_Inventory[[#This Row],[bltin_gar]])*Lookups!$B$17</f>
        <v>45510.627240000002</v>
      </c>
      <c r="BP2148" s="6">
        <f>Grandview_Inventory[[#This Row],[Plumbing Fixtures]]*Lookups!$B$18</f>
        <v>16083.5344</v>
      </c>
      <c r="BQ2148" s="6">
        <f>Grandview_Inventory[[#This Row],[detatched_value]]*Lookups!$B$19</f>
        <v>0</v>
      </c>
      <c r="BR2148" s="6">
        <f>SUM(Grandview_Inventory[[#This Row],[Intercept]:[det_value]])*Grandview_Inventory[[#This Row],[res_pct]]</f>
        <v>307539.56094600004</v>
      </c>
      <c r="BS2148" s="6">
        <f>Grandview_Inventory[[#This Row],[land_value]]</f>
        <v>45695.532079096141</v>
      </c>
      <c r="BT2148" s="4">
        <f>_xlfn.IFNA(VLOOKUP(Grandview_Inventory[[#This Row],[quality]],Lookups!$A$26:$C$33,3,FALSE),1)</f>
        <v>0.94295468617355149</v>
      </c>
      <c r="BU2148" s="4">
        <f>_xlfn.IFNA(VLOOKUP(Grandview_Inventory[[#This Row],[condition]],Lookups!$A$37:$C$44,3,FALSE),1)</f>
        <v>0.97383723671140243</v>
      </c>
      <c r="BV2148" s="4">
        <f>IF(Grandview_Inventory[[#This Row],[bldg_style]]="",1,_xlfn.IFNA(VLOOKUP(Grandview_Inventory[[#This Row],[decade]],Lookups!$F$29:$H$43,3,FALSE),1))</f>
        <v>0.96737494181490646</v>
      </c>
      <c r="BW2148" s="4">
        <f>_xlfn.IFNA(VLOOKUP(Grandview_Inventory[[#This Row],[living_area_range]],Lookups!$F$47:$H$56,3,FALSE),1)</f>
        <v>0.96135087979789358</v>
      </c>
      <c r="BX2148" s="4">
        <f>AVERAGE(Grandview_Inventory[[#This Row],[qual_adj]:[size_adj]])</f>
        <v>0.96137943612443855</v>
      </c>
      <c r="BY2148" s="6">
        <f>IF(Grandview_Inventory[[#This Row],[pre_res]]&lt;0,0,Grandview_Inventory[[#This Row],[pre_res]]*Grandview_Inventory[[#This Row],[overall_adj]])</f>
        <v>295662.20968822291</v>
      </c>
      <c r="BZ2148" s="6">
        <f>(Grandview_Inventory[[#This Row],[sum_land]]-IF(Grandview_Inventory[[#This Row],[no_utilities]]=1,12000,0))/IF(Grandview_Inventory[[#This Row],[unbuildable]]=1,2,1)</f>
        <v>45695.532079096141</v>
      </c>
      <c r="CA214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48">
        <f>ROUND(Grandview_Inventory[[#This Row],[det_value]]*Lookups!$M$28,-2)</f>
        <v>0</v>
      </c>
      <c r="CC2148">
        <f>IF(ROUND(Grandview_Inventory[[#This Row],[adj_res]]*Lookups!$M$28,-2)&lt;Grandview_Inventory[[#This Row],[min_res]],Grandview_Inventory[[#This Row],[min_res]],ROUND(Grandview_Inventory[[#This Row],[adj_res]]*Lookups!$M$28,-2))</f>
        <v>280900</v>
      </c>
      <c r="CD2148">
        <f>Grandview_Inventory[[#This Row],[final_det]]+Grandview_Inventory[[#This Row],[final_res]]</f>
        <v>280900</v>
      </c>
      <c r="CE2148">
        <f>Grandview_Inventory[[#This Row],[final_land]]+Grandview_Inventory[[#This Row],[final_imp]]+Grandview_Inventory[[#This Row],[crop_value]]</f>
        <v>324300</v>
      </c>
      <c r="CG2148" t="str">
        <f t="shared" si="33"/>
        <v>update valuation set market_land =43400, market_bldg=280900, market_total =324300, market_mdno =401, market_date ='9/10/2023' where link_id = (select link_id from parcel where parcel_year = '2024' and parcel_id = '23092424402');</v>
      </c>
    </row>
    <row r="2149" spans="1:85" x14ac:dyDescent="0.25">
      <c r="A2149">
        <v>23092424403</v>
      </c>
      <c r="B2149">
        <v>0.16</v>
      </c>
      <c r="C2149">
        <v>7050</v>
      </c>
      <c r="D2149" t="s">
        <v>129</v>
      </c>
      <c r="E2149" t="s">
        <v>53</v>
      </c>
      <c r="F2149" t="s">
        <v>53</v>
      </c>
      <c r="G2149">
        <v>4</v>
      </c>
      <c r="H2149" t="s">
        <v>54</v>
      </c>
      <c r="I2149">
        <v>206000</v>
      </c>
      <c r="J2149">
        <v>40200</v>
      </c>
      <c r="K2149">
        <v>0.16</v>
      </c>
      <c r="L214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49">
        <v>0</v>
      </c>
      <c r="N2149">
        <v>0</v>
      </c>
      <c r="O2149">
        <v>0</v>
      </c>
      <c r="P2149">
        <v>13398.7528</v>
      </c>
      <c r="Q2149">
        <v>63903</v>
      </c>
      <c r="R2149">
        <f>(Grandview_Inventory[[#This Row],[ln_acres]]*Grandview_Inventory[[#This Row],[coeff]])+Grandview_Inventory[[#This Row],[const]]</f>
        <v>39348.693981374228</v>
      </c>
      <c r="S2149" t="s">
        <v>61</v>
      </c>
      <c r="T2149">
        <v>1</v>
      </c>
      <c r="U2149" t="s">
        <v>62</v>
      </c>
      <c r="V2149" t="s">
        <v>67</v>
      </c>
      <c r="W2149">
        <v>0</v>
      </c>
      <c r="X2149">
        <v>0</v>
      </c>
      <c r="Y2149">
        <v>19</v>
      </c>
      <c r="Z2149">
        <v>19</v>
      </c>
      <c r="AA2149">
        <v>20</v>
      </c>
      <c r="AB2149">
        <v>1500</v>
      </c>
      <c r="AC2149">
        <v>1002</v>
      </c>
      <c r="AD2149">
        <v>1002</v>
      </c>
      <c r="AE2149">
        <v>0</v>
      </c>
      <c r="AF2149">
        <v>0</v>
      </c>
      <c r="AG2149">
        <v>0</v>
      </c>
      <c r="AH2149">
        <v>0</v>
      </c>
      <c r="AI2149">
        <v>520</v>
      </c>
      <c r="AJ2149">
        <v>0</v>
      </c>
      <c r="AK2149">
        <v>0</v>
      </c>
      <c r="AL2149">
        <v>0</v>
      </c>
      <c r="AM2149">
        <v>120</v>
      </c>
      <c r="AN2149">
        <v>60</v>
      </c>
      <c r="AO2149">
        <v>0</v>
      </c>
      <c r="AP2149">
        <v>8</v>
      </c>
      <c r="AQ2149">
        <v>0</v>
      </c>
      <c r="AR2149">
        <v>0</v>
      </c>
      <c r="AS2149" t="s">
        <v>58</v>
      </c>
      <c r="AT2149">
        <v>1</v>
      </c>
      <c r="AU2149" t="s">
        <v>63</v>
      </c>
      <c r="AV2149" t="s">
        <v>64</v>
      </c>
      <c r="AW2149">
        <v>1</v>
      </c>
      <c r="AX2149">
        <v>3</v>
      </c>
      <c r="AY2149">
        <v>0</v>
      </c>
      <c r="AZ2149">
        <v>0</v>
      </c>
      <c r="BA2149">
        <v>100</v>
      </c>
      <c r="BB2149">
        <v>100</v>
      </c>
      <c r="BC2149">
        <v>100</v>
      </c>
      <c r="BD2149">
        <v>100</v>
      </c>
      <c r="BE2149">
        <v>1</v>
      </c>
      <c r="BF2149">
        <v>15000</v>
      </c>
      <c r="BG2149">
        <v>1000</v>
      </c>
      <c r="BH2149" s="6">
        <f>Grandview_Inventory[[#This Row],[land_extract]]*Lookups!$B$3</f>
        <v>45695.532079096141</v>
      </c>
      <c r="BI2149" s="6">
        <f>IF(Grandview_Inventory[[#This Row],[bldg_style]]="",0,Lookups!$B$2)</f>
        <v>155833.95000000001</v>
      </c>
      <c r="BJ2149" s="6">
        <f>_xlfn.IFNA(VLOOKUP(Grandview_Inventory[[#This Row],[quality]],Lookups!$H$2:$J$14,3,FALSE),0)</f>
        <v>9808</v>
      </c>
      <c r="BK2149" s="6">
        <f>_xlfn.IFNA(VLOOKUP(Grandview_Inventory[[#This Row],[condition]],Lookups!$H$17:$J$24,3,FALSE),0)</f>
        <v>22342</v>
      </c>
      <c r="BL2149" s="6">
        <f>Grandview_Inventory[[#This Row],[Eff_Age]]*Lookups!$B$14</f>
        <v>-4544.1653999999999</v>
      </c>
      <c r="BM2149" s="6">
        <f>Grandview_Inventory[[#This Row],[living_area]]*Lookups!$B$15</f>
        <v>62505.614706</v>
      </c>
      <c r="BN2149" s="6">
        <f>Grandview_Inventory[[#This Row],[Fin BSMT]]*Lookups!$B$16</f>
        <v>0</v>
      </c>
      <c r="BO2149" s="6">
        <f>(Grandview_Inventory[[#This Row],[att_gar]]+Grandview_Inventory[[#This Row],[bltin_gar]])*Lookups!$B$17</f>
        <v>45510.627240000002</v>
      </c>
      <c r="BP2149" s="6">
        <f>Grandview_Inventory[[#This Row],[Plumbing Fixtures]]*Lookups!$B$18</f>
        <v>16083.5344</v>
      </c>
      <c r="BQ2149" s="6">
        <f>Grandview_Inventory[[#This Row],[detatched_value]]*Lookups!$B$19</f>
        <v>0</v>
      </c>
      <c r="BR2149" s="6">
        <f>SUM(Grandview_Inventory[[#This Row],[Intercept]:[det_value]])*Grandview_Inventory[[#This Row],[res_pct]]</f>
        <v>307539.56094600004</v>
      </c>
      <c r="BS2149" s="6">
        <f>Grandview_Inventory[[#This Row],[land_value]]</f>
        <v>45695.532079096141</v>
      </c>
      <c r="BT2149" s="4">
        <f>_xlfn.IFNA(VLOOKUP(Grandview_Inventory[[#This Row],[quality]],Lookups!$A$26:$C$33,3,FALSE),1)</f>
        <v>0.94295468617355149</v>
      </c>
      <c r="BU2149" s="4">
        <f>_xlfn.IFNA(VLOOKUP(Grandview_Inventory[[#This Row],[condition]],Lookups!$A$37:$C$44,3,FALSE),1)</f>
        <v>0.97383723671140243</v>
      </c>
      <c r="BV2149" s="4">
        <f>IF(Grandview_Inventory[[#This Row],[bldg_style]]="",1,_xlfn.IFNA(VLOOKUP(Grandview_Inventory[[#This Row],[decade]],Lookups!$F$29:$H$43,3,FALSE),1))</f>
        <v>0.96737494181490646</v>
      </c>
      <c r="BW2149" s="4">
        <f>_xlfn.IFNA(VLOOKUP(Grandview_Inventory[[#This Row],[living_area_range]],Lookups!$F$47:$H$56,3,FALSE),1)</f>
        <v>0.96135087979789358</v>
      </c>
      <c r="BX2149" s="4">
        <f>AVERAGE(Grandview_Inventory[[#This Row],[qual_adj]:[size_adj]])</f>
        <v>0.96137943612443855</v>
      </c>
      <c r="BY2149" s="6">
        <f>IF(Grandview_Inventory[[#This Row],[pre_res]]&lt;0,0,Grandview_Inventory[[#This Row],[pre_res]]*Grandview_Inventory[[#This Row],[overall_adj]])</f>
        <v>295662.20968822291</v>
      </c>
      <c r="BZ2149" s="6">
        <f>(Grandview_Inventory[[#This Row],[sum_land]]-IF(Grandview_Inventory[[#This Row],[no_utilities]]=1,12000,0))/IF(Grandview_Inventory[[#This Row],[unbuildable]]=1,2,1)</f>
        <v>45695.532079096141</v>
      </c>
      <c r="CA214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49">
        <f>ROUND(Grandview_Inventory[[#This Row],[det_value]]*Lookups!$M$28,-2)</f>
        <v>0</v>
      </c>
      <c r="CC2149">
        <f>IF(ROUND(Grandview_Inventory[[#This Row],[adj_res]]*Lookups!$M$28,-2)&lt;Grandview_Inventory[[#This Row],[min_res]],Grandview_Inventory[[#This Row],[min_res]],ROUND(Grandview_Inventory[[#This Row],[adj_res]]*Lookups!$M$28,-2))</f>
        <v>280900</v>
      </c>
      <c r="CD2149">
        <f>Grandview_Inventory[[#This Row],[final_det]]+Grandview_Inventory[[#This Row],[final_res]]</f>
        <v>280900</v>
      </c>
      <c r="CE2149">
        <f>Grandview_Inventory[[#This Row],[final_land]]+Grandview_Inventory[[#This Row],[final_imp]]+Grandview_Inventory[[#This Row],[crop_value]]</f>
        <v>324300</v>
      </c>
      <c r="CG2149" t="str">
        <f t="shared" si="33"/>
        <v>update valuation set market_land =43400, market_bldg=280900, market_total =324300, market_mdno =401, market_date ='9/10/2023' where link_id = (select link_id from parcel where parcel_year = '2024' and parcel_id = '23092424403');</v>
      </c>
    </row>
    <row r="2150" spans="1:85" x14ac:dyDescent="0.25">
      <c r="A2150">
        <v>23092424404</v>
      </c>
      <c r="B2150">
        <v>0.16</v>
      </c>
      <c r="C2150">
        <v>7009</v>
      </c>
      <c r="D2150" t="s">
        <v>129</v>
      </c>
      <c r="E2150" t="s">
        <v>53</v>
      </c>
      <c r="F2150" t="s">
        <v>53</v>
      </c>
      <c r="G2150">
        <v>4</v>
      </c>
      <c r="H2150" t="s">
        <v>54</v>
      </c>
      <c r="I2150">
        <v>206000</v>
      </c>
      <c r="J2150">
        <v>40200</v>
      </c>
      <c r="K2150">
        <v>0.16</v>
      </c>
      <c r="L215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50">
        <v>0</v>
      </c>
      <c r="N2150">
        <v>0</v>
      </c>
      <c r="O2150">
        <v>0</v>
      </c>
      <c r="P2150">
        <v>13398.7528</v>
      </c>
      <c r="Q2150">
        <v>63903</v>
      </c>
      <c r="R2150">
        <f>(Grandview_Inventory[[#This Row],[ln_acres]]*Grandview_Inventory[[#This Row],[coeff]])+Grandview_Inventory[[#This Row],[const]]</f>
        <v>39348.693981374228</v>
      </c>
      <c r="S2150" t="s">
        <v>61</v>
      </c>
      <c r="T2150">
        <v>1</v>
      </c>
      <c r="U2150" t="s">
        <v>62</v>
      </c>
      <c r="V2150" t="s">
        <v>67</v>
      </c>
      <c r="W2150">
        <v>0</v>
      </c>
      <c r="X2150">
        <v>0</v>
      </c>
      <c r="Y2150">
        <v>19</v>
      </c>
      <c r="Z2150">
        <v>19</v>
      </c>
      <c r="AA2150">
        <v>20</v>
      </c>
      <c r="AB2150">
        <v>1500</v>
      </c>
      <c r="AC2150">
        <v>1002</v>
      </c>
      <c r="AD2150">
        <v>1002</v>
      </c>
      <c r="AE2150">
        <v>0</v>
      </c>
      <c r="AF2150">
        <v>0</v>
      </c>
      <c r="AG2150">
        <v>0</v>
      </c>
      <c r="AH2150">
        <v>0</v>
      </c>
      <c r="AI2150">
        <v>520</v>
      </c>
      <c r="AJ2150">
        <v>0</v>
      </c>
      <c r="AK2150">
        <v>0</v>
      </c>
      <c r="AL2150">
        <v>0</v>
      </c>
      <c r="AM2150">
        <v>120</v>
      </c>
      <c r="AN2150">
        <v>60</v>
      </c>
      <c r="AO2150">
        <v>0</v>
      </c>
      <c r="AP2150">
        <v>8</v>
      </c>
      <c r="AQ2150">
        <v>0</v>
      </c>
      <c r="AR2150">
        <v>0</v>
      </c>
      <c r="AS2150" t="s">
        <v>58</v>
      </c>
      <c r="AT2150">
        <v>1</v>
      </c>
      <c r="AU2150" t="s">
        <v>63</v>
      </c>
      <c r="AV2150" t="s">
        <v>64</v>
      </c>
      <c r="AW2150">
        <v>1</v>
      </c>
      <c r="AX2150">
        <v>3</v>
      </c>
      <c r="AY2150">
        <v>0</v>
      </c>
      <c r="AZ2150">
        <v>0</v>
      </c>
      <c r="BA2150">
        <v>100</v>
      </c>
      <c r="BB2150">
        <v>100</v>
      </c>
      <c r="BC2150">
        <v>100</v>
      </c>
      <c r="BD2150">
        <v>100</v>
      </c>
      <c r="BE2150">
        <v>1</v>
      </c>
      <c r="BF2150">
        <v>15000</v>
      </c>
      <c r="BG2150">
        <v>1000</v>
      </c>
      <c r="BH2150" s="6">
        <f>Grandview_Inventory[[#This Row],[land_extract]]*Lookups!$B$3</f>
        <v>45695.532079096141</v>
      </c>
      <c r="BI2150" s="6">
        <f>IF(Grandview_Inventory[[#This Row],[bldg_style]]="",0,Lookups!$B$2)</f>
        <v>155833.95000000001</v>
      </c>
      <c r="BJ2150" s="6">
        <f>_xlfn.IFNA(VLOOKUP(Grandview_Inventory[[#This Row],[quality]],Lookups!$H$2:$J$14,3,FALSE),0)</f>
        <v>9808</v>
      </c>
      <c r="BK2150" s="6">
        <f>_xlfn.IFNA(VLOOKUP(Grandview_Inventory[[#This Row],[condition]],Lookups!$H$17:$J$24,3,FALSE),0)</f>
        <v>22342</v>
      </c>
      <c r="BL2150" s="6">
        <f>Grandview_Inventory[[#This Row],[Eff_Age]]*Lookups!$B$14</f>
        <v>-4544.1653999999999</v>
      </c>
      <c r="BM2150" s="6">
        <f>Grandview_Inventory[[#This Row],[living_area]]*Lookups!$B$15</f>
        <v>62505.614706</v>
      </c>
      <c r="BN2150" s="6">
        <f>Grandview_Inventory[[#This Row],[Fin BSMT]]*Lookups!$B$16</f>
        <v>0</v>
      </c>
      <c r="BO2150" s="6">
        <f>(Grandview_Inventory[[#This Row],[att_gar]]+Grandview_Inventory[[#This Row],[bltin_gar]])*Lookups!$B$17</f>
        <v>45510.627240000002</v>
      </c>
      <c r="BP2150" s="6">
        <f>Grandview_Inventory[[#This Row],[Plumbing Fixtures]]*Lookups!$B$18</f>
        <v>16083.5344</v>
      </c>
      <c r="BQ2150" s="6">
        <f>Grandview_Inventory[[#This Row],[detatched_value]]*Lookups!$B$19</f>
        <v>0</v>
      </c>
      <c r="BR2150" s="6">
        <f>SUM(Grandview_Inventory[[#This Row],[Intercept]:[det_value]])*Grandview_Inventory[[#This Row],[res_pct]]</f>
        <v>307539.56094600004</v>
      </c>
      <c r="BS2150" s="6">
        <f>Grandview_Inventory[[#This Row],[land_value]]</f>
        <v>45695.532079096141</v>
      </c>
      <c r="BT2150" s="4">
        <f>_xlfn.IFNA(VLOOKUP(Grandview_Inventory[[#This Row],[quality]],Lookups!$A$26:$C$33,3,FALSE),1)</f>
        <v>0.94295468617355149</v>
      </c>
      <c r="BU2150" s="4">
        <f>_xlfn.IFNA(VLOOKUP(Grandview_Inventory[[#This Row],[condition]],Lookups!$A$37:$C$44,3,FALSE),1)</f>
        <v>0.97383723671140243</v>
      </c>
      <c r="BV2150" s="4">
        <f>IF(Grandview_Inventory[[#This Row],[bldg_style]]="",1,_xlfn.IFNA(VLOOKUP(Grandview_Inventory[[#This Row],[decade]],Lookups!$F$29:$H$43,3,FALSE),1))</f>
        <v>0.96737494181490646</v>
      </c>
      <c r="BW2150" s="4">
        <f>_xlfn.IFNA(VLOOKUP(Grandview_Inventory[[#This Row],[living_area_range]],Lookups!$F$47:$H$56,3,FALSE),1)</f>
        <v>0.96135087979789358</v>
      </c>
      <c r="BX2150" s="4">
        <f>AVERAGE(Grandview_Inventory[[#This Row],[qual_adj]:[size_adj]])</f>
        <v>0.96137943612443855</v>
      </c>
      <c r="BY2150" s="6">
        <f>IF(Grandview_Inventory[[#This Row],[pre_res]]&lt;0,0,Grandview_Inventory[[#This Row],[pre_res]]*Grandview_Inventory[[#This Row],[overall_adj]])</f>
        <v>295662.20968822291</v>
      </c>
      <c r="BZ2150" s="6">
        <f>(Grandview_Inventory[[#This Row],[sum_land]]-IF(Grandview_Inventory[[#This Row],[no_utilities]]=1,12000,0))/IF(Grandview_Inventory[[#This Row],[unbuildable]]=1,2,1)</f>
        <v>45695.532079096141</v>
      </c>
      <c r="CA215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50">
        <f>ROUND(Grandview_Inventory[[#This Row],[det_value]]*Lookups!$M$28,-2)</f>
        <v>0</v>
      </c>
      <c r="CC2150">
        <f>IF(ROUND(Grandview_Inventory[[#This Row],[adj_res]]*Lookups!$M$28,-2)&lt;Grandview_Inventory[[#This Row],[min_res]],Grandview_Inventory[[#This Row],[min_res]],ROUND(Grandview_Inventory[[#This Row],[adj_res]]*Lookups!$M$28,-2))</f>
        <v>280900</v>
      </c>
      <c r="CD2150">
        <f>Grandview_Inventory[[#This Row],[final_det]]+Grandview_Inventory[[#This Row],[final_res]]</f>
        <v>280900</v>
      </c>
      <c r="CE2150">
        <f>Grandview_Inventory[[#This Row],[final_land]]+Grandview_Inventory[[#This Row],[final_imp]]+Grandview_Inventory[[#This Row],[crop_value]]</f>
        <v>324300</v>
      </c>
      <c r="CG2150" t="str">
        <f t="shared" si="33"/>
        <v>update valuation set market_land =43400, market_bldg=280900, market_total =324300, market_mdno =401, market_date ='9/10/2023' where link_id = (select link_id from parcel where parcel_year = '2024' and parcel_id = '23092424404');</v>
      </c>
    </row>
    <row r="2151" spans="1:85" x14ac:dyDescent="0.25">
      <c r="A2151">
        <v>23092424405</v>
      </c>
      <c r="B2151">
        <v>0.16</v>
      </c>
      <c r="C2151">
        <v>7009</v>
      </c>
      <c r="D2151" t="s">
        <v>129</v>
      </c>
      <c r="E2151" t="s">
        <v>53</v>
      </c>
      <c r="F2151" t="s">
        <v>53</v>
      </c>
      <c r="G2151">
        <v>4</v>
      </c>
      <c r="H2151" t="s">
        <v>54</v>
      </c>
      <c r="I2151">
        <v>206000</v>
      </c>
      <c r="J2151">
        <v>40200</v>
      </c>
      <c r="K2151">
        <v>0.16</v>
      </c>
      <c r="L215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51">
        <v>0</v>
      </c>
      <c r="N2151">
        <v>0</v>
      </c>
      <c r="O2151">
        <v>0</v>
      </c>
      <c r="P2151">
        <v>13398.7528</v>
      </c>
      <c r="Q2151">
        <v>63903</v>
      </c>
      <c r="R2151">
        <f>(Grandview_Inventory[[#This Row],[ln_acres]]*Grandview_Inventory[[#This Row],[coeff]])+Grandview_Inventory[[#This Row],[const]]</f>
        <v>39348.693981374228</v>
      </c>
      <c r="S2151" t="s">
        <v>61</v>
      </c>
      <c r="T2151">
        <v>1</v>
      </c>
      <c r="U2151" t="s">
        <v>62</v>
      </c>
      <c r="V2151" t="s">
        <v>67</v>
      </c>
      <c r="W2151">
        <v>0</v>
      </c>
      <c r="X2151">
        <v>0</v>
      </c>
      <c r="Y2151">
        <v>19</v>
      </c>
      <c r="Z2151">
        <v>19</v>
      </c>
      <c r="AA2151">
        <v>20</v>
      </c>
      <c r="AB2151">
        <v>1500</v>
      </c>
      <c r="AC2151">
        <v>1002</v>
      </c>
      <c r="AD2151">
        <v>1002</v>
      </c>
      <c r="AE2151">
        <v>0</v>
      </c>
      <c r="AF2151">
        <v>0</v>
      </c>
      <c r="AG2151">
        <v>0</v>
      </c>
      <c r="AH2151">
        <v>0</v>
      </c>
      <c r="AI2151">
        <v>520</v>
      </c>
      <c r="AJ2151">
        <v>0</v>
      </c>
      <c r="AK2151">
        <v>0</v>
      </c>
      <c r="AL2151">
        <v>0</v>
      </c>
      <c r="AM2151">
        <v>240</v>
      </c>
      <c r="AN2151">
        <v>60</v>
      </c>
      <c r="AO2151">
        <v>240</v>
      </c>
      <c r="AP2151">
        <v>8</v>
      </c>
      <c r="AQ2151">
        <v>0</v>
      </c>
      <c r="AR2151">
        <v>0</v>
      </c>
      <c r="AS2151" t="s">
        <v>58</v>
      </c>
      <c r="AT2151">
        <v>1</v>
      </c>
      <c r="AU2151" t="s">
        <v>63</v>
      </c>
      <c r="AV2151" t="s">
        <v>64</v>
      </c>
      <c r="AW2151">
        <v>1</v>
      </c>
      <c r="AX2151">
        <v>3</v>
      </c>
      <c r="AY2151">
        <v>0</v>
      </c>
      <c r="AZ2151">
        <v>0</v>
      </c>
      <c r="BA2151">
        <v>100</v>
      </c>
      <c r="BB2151">
        <v>100</v>
      </c>
      <c r="BC2151">
        <v>100</v>
      </c>
      <c r="BD2151">
        <v>100</v>
      </c>
      <c r="BE2151">
        <v>1</v>
      </c>
      <c r="BF2151">
        <v>15000</v>
      </c>
      <c r="BG2151">
        <v>1000</v>
      </c>
      <c r="BH2151" s="6">
        <f>Grandview_Inventory[[#This Row],[land_extract]]*Lookups!$B$3</f>
        <v>45695.532079096141</v>
      </c>
      <c r="BI2151" s="6">
        <f>IF(Grandview_Inventory[[#This Row],[bldg_style]]="",0,Lookups!$B$2)</f>
        <v>155833.95000000001</v>
      </c>
      <c r="BJ2151" s="6">
        <f>_xlfn.IFNA(VLOOKUP(Grandview_Inventory[[#This Row],[quality]],Lookups!$H$2:$J$14,3,FALSE),0)</f>
        <v>9808</v>
      </c>
      <c r="BK2151" s="6">
        <f>_xlfn.IFNA(VLOOKUP(Grandview_Inventory[[#This Row],[condition]],Lookups!$H$17:$J$24,3,FALSE),0)</f>
        <v>22342</v>
      </c>
      <c r="BL2151" s="6">
        <f>Grandview_Inventory[[#This Row],[Eff_Age]]*Lookups!$B$14</f>
        <v>-4544.1653999999999</v>
      </c>
      <c r="BM2151" s="6">
        <f>Grandview_Inventory[[#This Row],[living_area]]*Lookups!$B$15</f>
        <v>62505.614706</v>
      </c>
      <c r="BN2151" s="6">
        <f>Grandview_Inventory[[#This Row],[Fin BSMT]]*Lookups!$B$16</f>
        <v>0</v>
      </c>
      <c r="BO2151" s="6">
        <f>(Grandview_Inventory[[#This Row],[att_gar]]+Grandview_Inventory[[#This Row],[bltin_gar]])*Lookups!$B$17</f>
        <v>45510.627240000002</v>
      </c>
      <c r="BP2151" s="6">
        <f>Grandview_Inventory[[#This Row],[Plumbing Fixtures]]*Lookups!$B$18</f>
        <v>16083.5344</v>
      </c>
      <c r="BQ2151" s="6">
        <f>Grandview_Inventory[[#This Row],[detatched_value]]*Lookups!$B$19</f>
        <v>0</v>
      </c>
      <c r="BR2151" s="6">
        <f>SUM(Grandview_Inventory[[#This Row],[Intercept]:[det_value]])*Grandview_Inventory[[#This Row],[res_pct]]</f>
        <v>307539.56094600004</v>
      </c>
      <c r="BS2151" s="6">
        <f>Grandview_Inventory[[#This Row],[land_value]]</f>
        <v>45695.532079096141</v>
      </c>
      <c r="BT2151" s="4">
        <f>_xlfn.IFNA(VLOOKUP(Grandview_Inventory[[#This Row],[quality]],Lookups!$A$26:$C$33,3,FALSE),1)</f>
        <v>0.94295468617355149</v>
      </c>
      <c r="BU2151" s="4">
        <f>_xlfn.IFNA(VLOOKUP(Grandview_Inventory[[#This Row],[condition]],Lookups!$A$37:$C$44,3,FALSE),1)</f>
        <v>0.97383723671140243</v>
      </c>
      <c r="BV2151" s="4">
        <f>IF(Grandview_Inventory[[#This Row],[bldg_style]]="",1,_xlfn.IFNA(VLOOKUP(Grandview_Inventory[[#This Row],[decade]],Lookups!$F$29:$H$43,3,FALSE),1))</f>
        <v>0.96737494181490646</v>
      </c>
      <c r="BW2151" s="4">
        <f>_xlfn.IFNA(VLOOKUP(Grandview_Inventory[[#This Row],[living_area_range]],Lookups!$F$47:$H$56,3,FALSE),1)</f>
        <v>0.96135087979789358</v>
      </c>
      <c r="BX2151" s="4">
        <f>AVERAGE(Grandview_Inventory[[#This Row],[qual_adj]:[size_adj]])</f>
        <v>0.96137943612443855</v>
      </c>
      <c r="BY2151" s="6">
        <f>IF(Grandview_Inventory[[#This Row],[pre_res]]&lt;0,0,Grandview_Inventory[[#This Row],[pre_res]]*Grandview_Inventory[[#This Row],[overall_adj]])</f>
        <v>295662.20968822291</v>
      </c>
      <c r="BZ2151" s="6">
        <f>(Grandview_Inventory[[#This Row],[sum_land]]-IF(Grandview_Inventory[[#This Row],[no_utilities]]=1,12000,0))/IF(Grandview_Inventory[[#This Row],[unbuildable]]=1,2,1)</f>
        <v>45695.532079096141</v>
      </c>
      <c r="CA215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51">
        <f>ROUND(Grandview_Inventory[[#This Row],[det_value]]*Lookups!$M$28,-2)</f>
        <v>0</v>
      </c>
      <c r="CC2151">
        <f>IF(ROUND(Grandview_Inventory[[#This Row],[adj_res]]*Lookups!$M$28,-2)&lt;Grandview_Inventory[[#This Row],[min_res]],Grandview_Inventory[[#This Row],[min_res]],ROUND(Grandview_Inventory[[#This Row],[adj_res]]*Lookups!$M$28,-2))</f>
        <v>280900</v>
      </c>
      <c r="CD2151">
        <f>Grandview_Inventory[[#This Row],[final_det]]+Grandview_Inventory[[#This Row],[final_res]]</f>
        <v>280900</v>
      </c>
      <c r="CE2151">
        <f>Grandview_Inventory[[#This Row],[final_land]]+Grandview_Inventory[[#This Row],[final_imp]]+Grandview_Inventory[[#This Row],[crop_value]]</f>
        <v>324300</v>
      </c>
      <c r="CG2151" t="str">
        <f t="shared" si="33"/>
        <v>update valuation set market_land =43400, market_bldg=280900, market_total =324300, market_mdno =401, market_date ='9/10/2023' where link_id = (select link_id from parcel where parcel_year = '2024' and parcel_id = '23092424405');</v>
      </c>
    </row>
    <row r="2152" spans="1:85" x14ac:dyDescent="0.25">
      <c r="A2152">
        <v>23092424406</v>
      </c>
      <c r="B2152">
        <v>0.16</v>
      </c>
      <c r="C2152">
        <v>7009</v>
      </c>
      <c r="D2152" t="s">
        <v>129</v>
      </c>
      <c r="E2152" t="s">
        <v>53</v>
      </c>
      <c r="F2152" t="s">
        <v>53</v>
      </c>
      <c r="G2152">
        <v>4</v>
      </c>
      <c r="H2152" t="s">
        <v>54</v>
      </c>
      <c r="I2152">
        <v>205700</v>
      </c>
      <c r="J2152">
        <v>44500</v>
      </c>
      <c r="K2152">
        <v>0.16</v>
      </c>
      <c r="L215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52">
        <v>0</v>
      </c>
      <c r="N2152">
        <v>0</v>
      </c>
      <c r="O2152">
        <v>0</v>
      </c>
      <c r="P2152">
        <v>13398.7528</v>
      </c>
      <c r="Q2152">
        <v>63903</v>
      </c>
      <c r="R2152">
        <f>(Grandview_Inventory[[#This Row],[ln_acres]]*Grandview_Inventory[[#This Row],[coeff]])+Grandview_Inventory[[#This Row],[const]]</f>
        <v>39348.693981374228</v>
      </c>
      <c r="S2152" t="s">
        <v>61</v>
      </c>
      <c r="T2152">
        <v>1</v>
      </c>
      <c r="U2152" t="s">
        <v>62</v>
      </c>
      <c r="V2152" t="s">
        <v>67</v>
      </c>
      <c r="W2152">
        <v>0</v>
      </c>
      <c r="X2152">
        <v>0</v>
      </c>
      <c r="Y2152">
        <v>20</v>
      </c>
      <c r="Z2152">
        <v>20</v>
      </c>
      <c r="AA2152">
        <v>20</v>
      </c>
      <c r="AB2152">
        <v>1500</v>
      </c>
      <c r="AC2152">
        <v>1002</v>
      </c>
      <c r="AD2152">
        <v>1002</v>
      </c>
      <c r="AE2152">
        <v>0</v>
      </c>
      <c r="AF2152">
        <v>0</v>
      </c>
      <c r="AG2152">
        <v>0</v>
      </c>
      <c r="AH2152">
        <v>0</v>
      </c>
      <c r="AI2152">
        <v>520</v>
      </c>
      <c r="AJ2152">
        <v>0</v>
      </c>
      <c r="AK2152">
        <v>0</v>
      </c>
      <c r="AL2152">
        <v>0</v>
      </c>
      <c r="AM2152">
        <v>120</v>
      </c>
      <c r="AN2152">
        <v>60</v>
      </c>
      <c r="AO2152">
        <v>0</v>
      </c>
      <c r="AP2152">
        <v>8</v>
      </c>
      <c r="AQ2152">
        <v>0</v>
      </c>
      <c r="AR2152">
        <v>0</v>
      </c>
      <c r="AS2152" t="s">
        <v>58</v>
      </c>
      <c r="AT2152">
        <v>1</v>
      </c>
      <c r="AU2152" t="s">
        <v>63</v>
      </c>
      <c r="AV2152" t="s">
        <v>64</v>
      </c>
      <c r="AW2152">
        <v>1</v>
      </c>
      <c r="AX2152">
        <v>3</v>
      </c>
      <c r="AY2152">
        <v>0</v>
      </c>
      <c r="AZ2152">
        <v>0</v>
      </c>
      <c r="BA2152">
        <v>100</v>
      </c>
      <c r="BB2152">
        <v>100</v>
      </c>
      <c r="BC2152">
        <v>100</v>
      </c>
      <c r="BD2152">
        <v>100</v>
      </c>
      <c r="BE2152">
        <v>1</v>
      </c>
      <c r="BF2152">
        <v>15000</v>
      </c>
      <c r="BG2152">
        <v>1000</v>
      </c>
      <c r="BH2152" s="6">
        <f>Grandview_Inventory[[#This Row],[land_extract]]*Lookups!$B$3</f>
        <v>45695.532079096141</v>
      </c>
      <c r="BI2152" s="6">
        <f>IF(Grandview_Inventory[[#This Row],[bldg_style]]="",0,Lookups!$B$2)</f>
        <v>155833.95000000001</v>
      </c>
      <c r="BJ2152" s="6">
        <f>_xlfn.IFNA(VLOOKUP(Grandview_Inventory[[#This Row],[quality]],Lookups!$H$2:$J$14,3,FALSE),0)</f>
        <v>9808</v>
      </c>
      <c r="BK2152" s="6">
        <f>_xlfn.IFNA(VLOOKUP(Grandview_Inventory[[#This Row],[condition]],Lookups!$H$17:$J$24,3,FALSE),0)</f>
        <v>22342</v>
      </c>
      <c r="BL2152" s="6">
        <f>Grandview_Inventory[[#This Row],[Eff_Age]]*Lookups!$B$14</f>
        <v>-4783.3319999999994</v>
      </c>
      <c r="BM2152" s="6">
        <f>Grandview_Inventory[[#This Row],[living_area]]*Lookups!$B$15</f>
        <v>62505.614706</v>
      </c>
      <c r="BN2152" s="6">
        <f>Grandview_Inventory[[#This Row],[Fin BSMT]]*Lookups!$B$16</f>
        <v>0</v>
      </c>
      <c r="BO2152" s="6">
        <f>(Grandview_Inventory[[#This Row],[att_gar]]+Grandview_Inventory[[#This Row],[bltin_gar]])*Lookups!$B$17</f>
        <v>45510.627240000002</v>
      </c>
      <c r="BP2152" s="6">
        <f>Grandview_Inventory[[#This Row],[Plumbing Fixtures]]*Lookups!$B$18</f>
        <v>16083.5344</v>
      </c>
      <c r="BQ2152" s="6">
        <f>Grandview_Inventory[[#This Row],[detatched_value]]*Lookups!$B$19</f>
        <v>0</v>
      </c>
      <c r="BR2152" s="6">
        <f>SUM(Grandview_Inventory[[#This Row],[Intercept]:[det_value]])*Grandview_Inventory[[#This Row],[res_pct]]</f>
        <v>307300.39434600004</v>
      </c>
      <c r="BS2152" s="6">
        <f>Grandview_Inventory[[#This Row],[land_value]]</f>
        <v>45695.532079096141</v>
      </c>
      <c r="BT2152" s="4">
        <f>_xlfn.IFNA(VLOOKUP(Grandview_Inventory[[#This Row],[quality]],Lookups!$A$26:$C$33,3,FALSE),1)</f>
        <v>0.94295468617355149</v>
      </c>
      <c r="BU2152" s="4">
        <f>_xlfn.IFNA(VLOOKUP(Grandview_Inventory[[#This Row],[condition]],Lookups!$A$37:$C$44,3,FALSE),1)</f>
        <v>0.97383723671140243</v>
      </c>
      <c r="BV2152" s="4">
        <f>IF(Grandview_Inventory[[#This Row],[bldg_style]]="",1,_xlfn.IFNA(VLOOKUP(Grandview_Inventory[[#This Row],[decade]],Lookups!$F$29:$H$43,3,FALSE),1))</f>
        <v>0.96737494181490646</v>
      </c>
      <c r="BW2152" s="4">
        <f>_xlfn.IFNA(VLOOKUP(Grandview_Inventory[[#This Row],[living_area_range]],Lookups!$F$47:$H$56,3,FALSE),1)</f>
        <v>0.96135087979789358</v>
      </c>
      <c r="BX2152" s="4">
        <f>AVERAGE(Grandview_Inventory[[#This Row],[qual_adj]:[size_adj]])</f>
        <v>0.96137943612443855</v>
      </c>
      <c r="BY2152" s="6">
        <f>IF(Grandview_Inventory[[#This Row],[pre_res]]&lt;0,0,Grandview_Inventory[[#This Row],[pre_res]]*Grandview_Inventory[[#This Row],[overall_adj]])</f>
        <v>295432.2798371751</v>
      </c>
      <c r="BZ2152" s="6">
        <f>(Grandview_Inventory[[#This Row],[sum_land]]-IF(Grandview_Inventory[[#This Row],[no_utilities]]=1,12000,0))/IF(Grandview_Inventory[[#This Row],[unbuildable]]=1,2,1)</f>
        <v>45695.532079096141</v>
      </c>
      <c r="CA215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52">
        <f>ROUND(Grandview_Inventory[[#This Row],[det_value]]*Lookups!$M$28,-2)</f>
        <v>0</v>
      </c>
      <c r="CC2152">
        <f>IF(ROUND(Grandview_Inventory[[#This Row],[adj_res]]*Lookups!$M$28,-2)&lt;Grandview_Inventory[[#This Row],[min_res]],Grandview_Inventory[[#This Row],[min_res]],ROUND(Grandview_Inventory[[#This Row],[adj_res]]*Lookups!$M$28,-2))</f>
        <v>280700</v>
      </c>
      <c r="CD2152">
        <f>Grandview_Inventory[[#This Row],[final_det]]+Grandview_Inventory[[#This Row],[final_res]]</f>
        <v>280700</v>
      </c>
      <c r="CE2152">
        <f>Grandview_Inventory[[#This Row],[final_land]]+Grandview_Inventory[[#This Row],[final_imp]]+Grandview_Inventory[[#This Row],[crop_value]]</f>
        <v>324100</v>
      </c>
      <c r="CG2152" t="str">
        <f t="shared" si="33"/>
        <v>update valuation set market_land =43400, market_bldg=280700, market_total =324100, market_mdno =401, market_date ='9/10/2023' where link_id = (select link_id from parcel where parcel_year = '2024' and parcel_id = '23092424406');</v>
      </c>
    </row>
    <row r="2153" spans="1:85" x14ac:dyDescent="0.25">
      <c r="A2153">
        <v>23092424407</v>
      </c>
      <c r="B2153">
        <v>0.17</v>
      </c>
      <c r="C2153">
        <v>7200</v>
      </c>
      <c r="D2153" t="s">
        <v>129</v>
      </c>
      <c r="E2153" t="s">
        <v>53</v>
      </c>
      <c r="F2153" t="s">
        <v>53</v>
      </c>
      <c r="G2153">
        <v>4</v>
      </c>
      <c r="H2153" t="s">
        <v>54</v>
      </c>
      <c r="I2153">
        <v>213400</v>
      </c>
      <c r="J2153">
        <v>44700</v>
      </c>
      <c r="K2153">
        <v>0.17</v>
      </c>
      <c r="L215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53">
        <v>0</v>
      </c>
      <c r="N2153">
        <v>0</v>
      </c>
      <c r="O2153">
        <v>0</v>
      </c>
      <c r="P2153">
        <v>13398.7528</v>
      </c>
      <c r="Q2153">
        <v>63903</v>
      </c>
      <c r="R2153">
        <f>(Grandview_Inventory[[#This Row],[ln_acres]]*Grandview_Inventory[[#This Row],[coeff]])+Grandview_Inventory[[#This Row],[const]]</f>
        <v>40160.988302686128</v>
      </c>
      <c r="S2153" t="s">
        <v>61</v>
      </c>
      <c r="T2153">
        <v>1</v>
      </c>
      <c r="U2153" t="s">
        <v>62</v>
      </c>
      <c r="V2153" t="s">
        <v>67</v>
      </c>
      <c r="W2153">
        <v>0</v>
      </c>
      <c r="X2153">
        <v>0</v>
      </c>
      <c r="Y2153">
        <v>19</v>
      </c>
      <c r="Z2153">
        <v>19</v>
      </c>
      <c r="AA2153">
        <v>20</v>
      </c>
      <c r="AB2153">
        <v>1500</v>
      </c>
      <c r="AC2153">
        <v>1140</v>
      </c>
      <c r="AD2153">
        <v>1140</v>
      </c>
      <c r="AE2153">
        <v>0</v>
      </c>
      <c r="AF2153">
        <v>0</v>
      </c>
      <c r="AG2153">
        <v>0</v>
      </c>
      <c r="AH2153">
        <v>0</v>
      </c>
      <c r="AI2153">
        <v>520</v>
      </c>
      <c r="AJ2153">
        <v>0</v>
      </c>
      <c r="AK2153">
        <v>0</v>
      </c>
      <c r="AL2153">
        <v>0</v>
      </c>
      <c r="AM2153">
        <v>120</v>
      </c>
      <c r="AN2153">
        <v>60</v>
      </c>
      <c r="AO2153">
        <v>0</v>
      </c>
      <c r="AP2153">
        <v>8</v>
      </c>
      <c r="AQ2153">
        <v>0</v>
      </c>
      <c r="AR2153">
        <v>0</v>
      </c>
      <c r="AS2153" t="s">
        <v>58</v>
      </c>
      <c r="AT2153">
        <v>1</v>
      </c>
      <c r="AU2153" t="s">
        <v>63</v>
      </c>
      <c r="AV2153" t="s">
        <v>64</v>
      </c>
      <c r="AW2153">
        <v>1</v>
      </c>
      <c r="AX2153">
        <v>3</v>
      </c>
      <c r="AY2153">
        <v>0</v>
      </c>
      <c r="AZ2153">
        <v>0</v>
      </c>
      <c r="BA2153">
        <v>100</v>
      </c>
      <c r="BB2153">
        <v>100</v>
      </c>
      <c r="BC2153">
        <v>100</v>
      </c>
      <c r="BD2153">
        <v>100</v>
      </c>
      <c r="BE2153">
        <v>1</v>
      </c>
      <c r="BF2153">
        <v>15000</v>
      </c>
      <c r="BG2153">
        <v>1000</v>
      </c>
      <c r="BH2153" s="6">
        <f>Grandview_Inventory[[#This Row],[land_extract]]*Lookups!$B$3</f>
        <v>46638.847281240982</v>
      </c>
      <c r="BI2153" s="6">
        <f>IF(Grandview_Inventory[[#This Row],[bldg_style]]="",0,Lookups!$B$2)</f>
        <v>155833.95000000001</v>
      </c>
      <c r="BJ2153" s="6">
        <f>_xlfn.IFNA(VLOOKUP(Grandview_Inventory[[#This Row],[quality]],Lookups!$H$2:$J$14,3,FALSE),0)</f>
        <v>9808</v>
      </c>
      <c r="BK2153" s="6">
        <f>_xlfn.IFNA(VLOOKUP(Grandview_Inventory[[#This Row],[condition]],Lookups!$H$17:$J$24,3,FALSE),0)</f>
        <v>22342</v>
      </c>
      <c r="BL2153" s="6">
        <f>Grandview_Inventory[[#This Row],[Eff_Age]]*Lookups!$B$14</f>
        <v>-4544.1653999999999</v>
      </c>
      <c r="BM2153" s="6">
        <f>Grandview_Inventory[[#This Row],[living_area]]*Lookups!$B$15</f>
        <v>71114.172420000003</v>
      </c>
      <c r="BN2153" s="6">
        <f>Grandview_Inventory[[#This Row],[Fin BSMT]]*Lookups!$B$16</f>
        <v>0</v>
      </c>
      <c r="BO2153" s="6">
        <f>(Grandview_Inventory[[#This Row],[att_gar]]+Grandview_Inventory[[#This Row],[bltin_gar]])*Lookups!$B$17</f>
        <v>45510.627240000002</v>
      </c>
      <c r="BP2153" s="6">
        <f>Grandview_Inventory[[#This Row],[Plumbing Fixtures]]*Lookups!$B$18</f>
        <v>16083.5344</v>
      </c>
      <c r="BQ2153" s="6">
        <f>Grandview_Inventory[[#This Row],[detatched_value]]*Lookups!$B$19</f>
        <v>0</v>
      </c>
      <c r="BR2153" s="6">
        <f>SUM(Grandview_Inventory[[#This Row],[Intercept]:[det_value]])*Grandview_Inventory[[#This Row],[res_pct]]</f>
        <v>316148.11866000004</v>
      </c>
      <c r="BS2153" s="6">
        <f>Grandview_Inventory[[#This Row],[land_value]]</f>
        <v>46638.847281240982</v>
      </c>
      <c r="BT2153" s="4">
        <f>_xlfn.IFNA(VLOOKUP(Grandview_Inventory[[#This Row],[quality]],Lookups!$A$26:$C$33,3,FALSE),1)</f>
        <v>0.94295468617355149</v>
      </c>
      <c r="BU2153" s="4">
        <f>_xlfn.IFNA(VLOOKUP(Grandview_Inventory[[#This Row],[condition]],Lookups!$A$37:$C$44,3,FALSE),1)</f>
        <v>0.97383723671140243</v>
      </c>
      <c r="BV2153" s="4">
        <f>IF(Grandview_Inventory[[#This Row],[bldg_style]]="",1,_xlfn.IFNA(VLOOKUP(Grandview_Inventory[[#This Row],[decade]],Lookups!$F$29:$H$43,3,FALSE),1))</f>
        <v>0.96737494181490646</v>
      </c>
      <c r="BW2153" s="4">
        <f>_xlfn.IFNA(VLOOKUP(Grandview_Inventory[[#This Row],[living_area_range]],Lookups!$F$47:$H$56,3,FALSE),1)</f>
        <v>0.96135087979789358</v>
      </c>
      <c r="BX2153" s="4">
        <f>AVERAGE(Grandview_Inventory[[#This Row],[qual_adj]:[size_adj]])</f>
        <v>0.96137943612443855</v>
      </c>
      <c r="BY2153" s="6">
        <f>IF(Grandview_Inventory[[#This Row],[pre_res]]&lt;0,0,Grandview_Inventory[[#This Row],[pre_res]]*Grandview_Inventory[[#This Row],[overall_adj]])</f>
        <v>303938.30004915292</v>
      </c>
      <c r="BZ2153" s="6">
        <f>(Grandview_Inventory[[#This Row],[sum_land]]-IF(Grandview_Inventory[[#This Row],[no_utilities]]=1,12000,0))/IF(Grandview_Inventory[[#This Row],[unbuildable]]=1,2,1)</f>
        <v>46638.847281240982</v>
      </c>
      <c r="CA215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53">
        <f>ROUND(Grandview_Inventory[[#This Row],[det_value]]*Lookups!$M$28,-2)</f>
        <v>0</v>
      </c>
      <c r="CC2153">
        <f>IF(ROUND(Grandview_Inventory[[#This Row],[adj_res]]*Lookups!$M$28,-2)&lt;Grandview_Inventory[[#This Row],[min_res]],Grandview_Inventory[[#This Row],[min_res]],ROUND(Grandview_Inventory[[#This Row],[adj_res]]*Lookups!$M$28,-2))</f>
        <v>288700</v>
      </c>
      <c r="CD2153">
        <f>Grandview_Inventory[[#This Row],[final_det]]+Grandview_Inventory[[#This Row],[final_res]]</f>
        <v>288700</v>
      </c>
      <c r="CE2153">
        <f>Grandview_Inventory[[#This Row],[final_land]]+Grandview_Inventory[[#This Row],[final_imp]]+Grandview_Inventory[[#This Row],[crop_value]]</f>
        <v>333000</v>
      </c>
      <c r="CG2153" t="str">
        <f t="shared" si="33"/>
        <v>update valuation set market_land =44300, market_bldg=288700, market_total =333000, market_mdno =401, market_date ='9/10/2023' where link_id = (select link_id from parcel where parcel_year = '2024' and parcel_id = '23092424407');</v>
      </c>
    </row>
    <row r="2154" spans="1:85" x14ac:dyDescent="0.25">
      <c r="A2154">
        <v>23092424410</v>
      </c>
      <c r="B2154">
        <v>0.17</v>
      </c>
      <c r="C2154">
        <v>7334</v>
      </c>
      <c r="D2154" t="s">
        <v>129</v>
      </c>
      <c r="E2154" t="s">
        <v>53</v>
      </c>
      <c r="F2154" t="s">
        <v>53</v>
      </c>
      <c r="G2154">
        <v>4</v>
      </c>
      <c r="H2154" t="s">
        <v>54</v>
      </c>
      <c r="I2154">
        <v>229300</v>
      </c>
      <c r="J2154">
        <v>43000</v>
      </c>
      <c r="K2154">
        <v>0.17</v>
      </c>
      <c r="L215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54">
        <v>0</v>
      </c>
      <c r="N2154">
        <v>0</v>
      </c>
      <c r="O2154">
        <v>0</v>
      </c>
      <c r="P2154">
        <v>13398.7528</v>
      </c>
      <c r="Q2154">
        <v>63903</v>
      </c>
      <c r="R2154">
        <f>(Grandview_Inventory[[#This Row],[ln_acres]]*Grandview_Inventory[[#This Row],[coeff]])+Grandview_Inventory[[#This Row],[const]]</f>
        <v>40160.988302686128</v>
      </c>
      <c r="S2154" t="s">
        <v>61</v>
      </c>
      <c r="T2154">
        <v>1</v>
      </c>
      <c r="U2154" t="s">
        <v>62</v>
      </c>
      <c r="V2154" t="s">
        <v>67</v>
      </c>
      <c r="W2154">
        <v>0</v>
      </c>
      <c r="X2154">
        <v>0</v>
      </c>
      <c r="Y2154">
        <v>19</v>
      </c>
      <c r="Z2154">
        <v>19</v>
      </c>
      <c r="AA2154">
        <v>20</v>
      </c>
      <c r="AB2154">
        <v>2000</v>
      </c>
      <c r="AC2154">
        <v>1660</v>
      </c>
      <c r="AD2154">
        <v>1228</v>
      </c>
      <c r="AE2154">
        <v>0</v>
      </c>
      <c r="AF2154">
        <v>432</v>
      </c>
      <c r="AG2154">
        <v>0</v>
      </c>
      <c r="AH2154">
        <v>0</v>
      </c>
      <c r="AI2154">
        <v>632</v>
      </c>
      <c r="AJ2154">
        <v>0</v>
      </c>
      <c r="AK2154">
        <v>0</v>
      </c>
      <c r="AL2154">
        <v>0</v>
      </c>
      <c r="AM2154">
        <v>204</v>
      </c>
      <c r="AN2154">
        <v>40</v>
      </c>
      <c r="AO2154">
        <v>204</v>
      </c>
      <c r="AP2154">
        <v>9</v>
      </c>
      <c r="AQ2154">
        <v>0</v>
      </c>
      <c r="AR2154">
        <v>0</v>
      </c>
      <c r="AS2154" t="s">
        <v>58</v>
      </c>
      <c r="AT2154">
        <v>1</v>
      </c>
      <c r="AU2154" t="s">
        <v>63</v>
      </c>
      <c r="AV2154" t="s">
        <v>64</v>
      </c>
      <c r="AW2154">
        <v>1</v>
      </c>
      <c r="AX2154">
        <v>4</v>
      </c>
      <c r="AY2154">
        <v>0</v>
      </c>
      <c r="AZ2154">
        <v>0</v>
      </c>
      <c r="BA2154">
        <v>100</v>
      </c>
      <c r="BB2154">
        <v>100</v>
      </c>
      <c r="BC2154">
        <v>100</v>
      </c>
      <c r="BD2154">
        <v>100</v>
      </c>
      <c r="BE2154">
        <v>1</v>
      </c>
      <c r="BF2154">
        <v>15000</v>
      </c>
      <c r="BG2154">
        <v>1000</v>
      </c>
      <c r="BH2154" s="6">
        <f>Grandview_Inventory[[#This Row],[land_extract]]*Lookups!$B$3</f>
        <v>46638.847281240982</v>
      </c>
      <c r="BI2154" s="6">
        <f>IF(Grandview_Inventory[[#This Row],[bldg_style]]="",0,Lookups!$B$2)</f>
        <v>155833.95000000001</v>
      </c>
      <c r="BJ2154" s="6">
        <f>_xlfn.IFNA(VLOOKUP(Grandview_Inventory[[#This Row],[quality]],Lookups!$H$2:$J$14,3,FALSE),0)</f>
        <v>9808</v>
      </c>
      <c r="BK2154" s="6">
        <f>_xlfn.IFNA(VLOOKUP(Grandview_Inventory[[#This Row],[condition]],Lookups!$H$17:$J$24,3,FALSE),0)</f>
        <v>22342</v>
      </c>
      <c r="BL2154" s="6">
        <f>Grandview_Inventory[[#This Row],[Eff_Age]]*Lookups!$B$14</f>
        <v>-4544.1653999999999</v>
      </c>
      <c r="BM2154" s="6">
        <f>Grandview_Inventory[[#This Row],[living_area]]*Lookups!$B$15</f>
        <v>103552.21598000001</v>
      </c>
      <c r="BN2154" s="6">
        <f>Grandview_Inventory[[#This Row],[Fin BSMT]]*Lookups!$B$16</f>
        <v>0</v>
      </c>
      <c r="BO2154" s="6">
        <f>(Grandview_Inventory[[#This Row],[att_gar]]+Grandview_Inventory[[#This Row],[bltin_gar]])*Lookups!$B$17</f>
        <v>55312.916184000002</v>
      </c>
      <c r="BP2154" s="6">
        <f>Grandview_Inventory[[#This Row],[Plumbing Fixtures]]*Lookups!$B$18</f>
        <v>18093.976200000001</v>
      </c>
      <c r="BQ2154" s="6">
        <f>Grandview_Inventory[[#This Row],[detatched_value]]*Lookups!$B$19</f>
        <v>0</v>
      </c>
      <c r="BR2154" s="6">
        <f>SUM(Grandview_Inventory[[#This Row],[Intercept]:[det_value]])*Grandview_Inventory[[#This Row],[res_pct]]</f>
        <v>360398.89296399994</v>
      </c>
      <c r="BS2154" s="6">
        <f>Grandview_Inventory[[#This Row],[land_value]]</f>
        <v>46638.847281240982</v>
      </c>
      <c r="BT2154" s="4">
        <f>_xlfn.IFNA(VLOOKUP(Grandview_Inventory[[#This Row],[quality]],Lookups!$A$26:$C$33,3,FALSE),1)</f>
        <v>0.94295468617355149</v>
      </c>
      <c r="BU2154" s="4">
        <f>_xlfn.IFNA(VLOOKUP(Grandview_Inventory[[#This Row],[condition]],Lookups!$A$37:$C$44,3,FALSE),1)</f>
        <v>0.97383723671140243</v>
      </c>
      <c r="BV2154" s="4">
        <f>IF(Grandview_Inventory[[#This Row],[bldg_style]]="",1,_xlfn.IFNA(VLOOKUP(Grandview_Inventory[[#This Row],[decade]],Lookups!$F$29:$H$43,3,FALSE),1))</f>
        <v>0.96737494181490646</v>
      </c>
      <c r="BW2154" s="4">
        <f>_xlfn.IFNA(VLOOKUP(Grandview_Inventory[[#This Row],[living_area_range]],Lookups!$F$47:$H$56,3,FALSE),1)</f>
        <v>0.96120133463014379</v>
      </c>
      <c r="BX2154" s="4">
        <f>AVERAGE(Grandview_Inventory[[#This Row],[qual_adj]:[size_adj]])</f>
        <v>0.96134204983250116</v>
      </c>
      <c r="BY2154" s="6">
        <f>IF(Grandview_Inventory[[#This Row],[pre_res]]&lt;0,0,Grandview_Inventory[[#This Row],[pre_res]]*Grandview_Inventory[[#This Row],[overall_adj]])</f>
        <v>346466.61051937588</v>
      </c>
      <c r="BZ2154" s="6">
        <f>(Grandview_Inventory[[#This Row],[sum_land]]-IF(Grandview_Inventory[[#This Row],[no_utilities]]=1,12000,0))/IF(Grandview_Inventory[[#This Row],[unbuildable]]=1,2,1)</f>
        <v>46638.847281240982</v>
      </c>
      <c r="CA215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54">
        <f>ROUND(Grandview_Inventory[[#This Row],[det_value]]*Lookups!$M$28,-2)</f>
        <v>0</v>
      </c>
      <c r="CC2154">
        <f>IF(ROUND(Grandview_Inventory[[#This Row],[adj_res]]*Lookups!$M$28,-2)&lt;Grandview_Inventory[[#This Row],[min_res]],Grandview_Inventory[[#This Row],[min_res]],ROUND(Grandview_Inventory[[#This Row],[adj_res]]*Lookups!$M$28,-2))</f>
        <v>329100</v>
      </c>
      <c r="CD2154">
        <f>Grandview_Inventory[[#This Row],[final_det]]+Grandview_Inventory[[#This Row],[final_res]]</f>
        <v>329100</v>
      </c>
      <c r="CE2154">
        <f>Grandview_Inventory[[#This Row],[final_land]]+Grandview_Inventory[[#This Row],[final_imp]]+Grandview_Inventory[[#This Row],[crop_value]]</f>
        <v>373400</v>
      </c>
      <c r="CG2154" t="str">
        <f t="shared" si="33"/>
        <v>update valuation set market_land =44300, market_bldg=329100, market_total =373400, market_mdno =401, market_date ='9/10/2023' where link_id = (select link_id from parcel where parcel_year = '2024' and parcel_id = '23092424410');</v>
      </c>
    </row>
    <row r="2155" spans="1:85" x14ac:dyDescent="0.25">
      <c r="A2155">
        <v>23092424411</v>
      </c>
      <c r="B2155">
        <v>0.17</v>
      </c>
      <c r="C2155">
        <v>7334</v>
      </c>
      <c r="D2155" t="s">
        <v>129</v>
      </c>
      <c r="E2155" t="s">
        <v>53</v>
      </c>
      <c r="F2155" t="s">
        <v>53</v>
      </c>
      <c r="G2155">
        <v>4</v>
      </c>
      <c r="H2155" t="s">
        <v>54</v>
      </c>
      <c r="I2155">
        <v>210100</v>
      </c>
      <c r="J2155">
        <v>43000</v>
      </c>
      <c r="K2155">
        <v>0.17</v>
      </c>
      <c r="L215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55">
        <v>0</v>
      </c>
      <c r="N2155">
        <v>0</v>
      </c>
      <c r="O2155">
        <v>0</v>
      </c>
      <c r="P2155">
        <v>13398.7528</v>
      </c>
      <c r="Q2155">
        <v>63903</v>
      </c>
      <c r="R2155">
        <f>(Grandview_Inventory[[#This Row],[ln_acres]]*Grandview_Inventory[[#This Row],[coeff]])+Grandview_Inventory[[#This Row],[const]]</f>
        <v>40160.988302686128</v>
      </c>
      <c r="S2155" t="s">
        <v>61</v>
      </c>
      <c r="T2155">
        <v>1</v>
      </c>
      <c r="U2155" t="s">
        <v>62</v>
      </c>
      <c r="V2155" t="s">
        <v>67</v>
      </c>
      <c r="W2155">
        <v>0</v>
      </c>
      <c r="X2155">
        <v>0</v>
      </c>
      <c r="Y2155">
        <v>19</v>
      </c>
      <c r="Z2155">
        <v>19</v>
      </c>
      <c r="AA2155">
        <v>20</v>
      </c>
      <c r="AB2155">
        <v>1500</v>
      </c>
      <c r="AC2155">
        <v>1079</v>
      </c>
      <c r="AD2155">
        <v>1079</v>
      </c>
      <c r="AE2155">
        <v>0</v>
      </c>
      <c r="AF2155">
        <v>0</v>
      </c>
      <c r="AG2155">
        <v>0</v>
      </c>
      <c r="AH2155">
        <v>0</v>
      </c>
      <c r="AI2155">
        <v>520</v>
      </c>
      <c r="AJ2155">
        <v>0</v>
      </c>
      <c r="AK2155">
        <v>0</v>
      </c>
      <c r="AL2155">
        <v>0</v>
      </c>
      <c r="AM2155">
        <v>100</v>
      </c>
      <c r="AN2155">
        <v>40</v>
      </c>
      <c r="AO2155">
        <v>0</v>
      </c>
      <c r="AP2155">
        <v>8</v>
      </c>
      <c r="AQ2155">
        <v>0</v>
      </c>
      <c r="AR2155">
        <v>0</v>
      </c>
      <c r="AS2155" t="s">
        <v>58</v>
      </c>
      <c r="AT2155">
        <v>1</v>
      </c>
      <c r="AU2155" t="s">
        <v>63</v>
      </c>
      <c r="AV2155" t="s">
        <v>64</v>
      </c>
      <c r="AW2155">
        <v>1</v>
      </c>
      <c r="AX2155">
        <v>3</v>
      </c>
      <c r="AY2155">
        <v>0</v>
      </c>
      <c r="AZ2155">
        <v>0</v>
      </c>
      <c r="BA2155">
        <v>100</v>
      </c>
      <c r="BB2155">
        <v>100</v>
      </c>
      <c r="BC2155">
        <v>100</v>
      </c>
      <c r="BD2155">
        <v>100</v>
      </c>
      <c r="BE2155">
        <v>1</v>
      </c>
      <c r="BF2155">
        <v>15000</v>
      </c>
      <c r="BG2155">
        <v>1000</v>
      </c>
      <c r="BH2155" s="6">
        <f>Grandview_Inventory[[#This Row],[land_extract]]*Lookups!$B$3</f>
        <v>46638.847281240982</v>
      </c>
      <c r="BI2155" s="6">
        <f>IF(Grandview_Inventory[[#This Row],[bldg_style]]="",0,Lookups!$B$2)</f>
        <v>155833.95000000001</v>
      </c>
      <c r="BJ2155" s="6">
        <f>_xlfn.IFNA(VLOOKUP(Grandview_Inventory[[#This Row],[quality]],Lookups!$H$2:$J$14,3,FALSE),0)</f>
        <v>9808</v>
      </c>
      <c r="BK2155" s="6">
        <f>_xlfn.IFNA(VLOOKUP(Grandview_Inventory[[#This Row],[condition]],Lookups!$H$17:$J$24,3,FALSE),0)</f>
        <v>22342</v>
      </c>
      <c r="BL2155" s="6">
        <f>Grandview_Inventory[[#This Row],[Eff_Age]]*Lookups!$B$14</f>
        <v>-4544.1653999999999</v>
      </c>
      <c r="BM2155" s="6">
        <f>Grandview_Inventory[[#This Row],[living_area]]*Lookups!$B$15</f>
        <v>67308.940386999995</v>
      </c>
      <c r="BN2155" s="6">
        <f>Grandview_Inventory[[#This Row],[Fin BSMT]]*Lookups!$B$16</f>
        <v>0</v>
      </c>
      <c r="BO2155" s="6">
        <f>(Grandview_Inventory[[#This Row],[att_gar]]+Grandview_Inventory[[#This Row],[bltin_gar]])*Lookups!$B$17</f>
        <v>45510.627240000002</v>
      </c>
      <c r="BP2155" s="6">
        <f>Grandview_Inventory[[#This Row],[Plumbing Fixtures]]*Lookups!$B$18</f>
        <v>16083.5344</v>
      </c>
      <c r="BQ2155" s="6">
        <f>Grandview_Inventory[[#This Row],[detatched_value]]*Lookups!$B$19</f>
        <v>0</v>
      </c>
      <c r="BR2155" s="6">
        <f>SUM(Grandview_Inventory[[#This Row],[Intercept]:[det_value]])*Grandview_Inventory[[#This Row],[res_pct]]</f>
        <v>312342.886627</v>
      </c>
      <c r="BS2155" s="6">
        <f>Grandview_Inventory[[#This Row],[land_value]]</f>
        <v>46638.847281240982</v>
      </c>
      <c r="BT2155" s="4">
        <f>_xlfn.IFNA(VLOOKUP(Grandview_Inventory[[#This Row],[quality]],Lookups!$A$26:$C$33,3,FALSE),1)</f>
        <v>0.94295468617355149</v>
      </c>
      <c r="BU2155" s="4">
        <f>_xlfn.IFNA(VLOOKUP(Grandview_Inventory[[#This Row],[condition]],Lookups!$A$37:$C$44,3,FALSE),1)</f>
        <v>0.97383723671140243</v>
      </c>
      <c r="BV2155" s="4">
        <f>IF(Grandview_Inventory[[#This Row],[bldg_style]]="",1,_xlfn.IFNA(VLOOKUP(Grandview_Inventory[[#This Row],[decade]],Lookups!$F$29:$H$43,3,FALSE),1))</f>
        <v>0.96737494181490646</v>
      </c>
      <c r="BW2155" s="4">
        <f>_xlfn.IFNA(VLOOKUP(Grandview_Inventory[[#This Row],[living_area_range]],Lookups!$F$47:$H$56,3,FALSE),1)</f>
        <v>0.96135087979789358</v>
      </c>
      <c r="BX2155" s="4">
        <f>AVERAGE(Grandview_Inventory[[#This Row],[qual_adj]:[size_adj]])</f>
        <v>0.96137943612443855</v>
      </c>
      <c r="BY2155" s="6">
        <f>IF(Grandview_Inventory[[#This Row],[pre_res]]&lt;0,0,Grandview_Inventory[[#This Row],[pre_res]]*Grandview_Inventory[[#This Row],[overall_adj]])</f>
        <v>300280.0282229447</v>
      </c>
      <c r="BZ2155" s="6">
        <f>(Grandview_Inventory[[#This Row],[sum_land]]-IF(Grandview_Inventory[[#This Row],[no_utilities]]=1,12000,0))/IF(Grandview_Inventory[[#This Row],[unbuildable]]=1,2,1)</f>
        <v>46638.847281240982</v>
      </c>
      <c r="CA215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55">
        <f>ROUND(Grandview_Inventory[[#This Row],[det_value]]*Lookups!$M$28,-2)</f>
        <v>0</v>
      </c>
      <c r="CC2155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55">
        <f>Grandview_Inventory[[#This Row],[final_det]]+Grandview_Inventory[[#This Row],[final_res]]</f>
        <v>285300</v>
      </c>
      <c r="CE2155">
        <f>Grandview_Inventory[[#This Row],[final_land]]+Grandview_Inventory[[#This Row],[final_imp]]+Grandview_Inventory[[#This Row],[crop_value]]</f>
        <v>329600</v>
      </c>
      <c r="CG2155" t="str">
        <f t="shared" si="33"/>
        <v>update valuation set market_land =44300, market_bldg=285300, market_total =329600, market_mdno =401, market_date ='9/10/2023' where link_id = (select link_id from parcel where parcel_year = '2024' and parcel_id = '23092424411');</v>
      </c>
    </row>
    <row r="2156" spans="1:85" x14ac:dyDescent="0.25">
      <c r="A2156">
        <v>23092424412</v>
      </c>
      <c r="B2156">
        <v>0.17</v>
      </c>
      <c r="C2156">
        <v>7415</v>
      </c>
      <c r="D2156" t="s">
        <v>129</v>
      </c>
      <c r="E2156" t="s">
        <v>53</v>
      </c>
      <c r="F2156" t="s">
        <v>53</v>
      </c>
      <c r="G2156">
        <v>4</v>
      </c>
      <c r="H2156" t="s">
        <v>54</v>
      </c>
      <c r="I2156">
        <v>179200</v>
      </c>
      <c r="J2156">
        <v>38800</v>
      </c>
      <c r="K2156">
        <v>0.17</v>
      </c>
      <c r="L215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56">
        <v>0</v>
      </c>
      <c r="N2156">
        <v>0</v>
      </c>
      <c r="O2156">
        <v>0</v>
      </c>
      <c r="P2156">
        <v>13398.7528</v>
      </c>
      <c r="Q2156">
        <v>63903</v>
      </c>
      <c r="R2156">
        <f>(Grandview_Inventory[[#This Row],[ln_acres]]*Grandview_Inventory[[#This Row],[coeff]])+Grandview_Inventory[[#This Row],[const]]</f>
        <v>40160.988302686128</v>
      </c>
      <c r="S2156" t="s">
        <v>61</v>
      </c>
      <c r="T2156">
        <v>1</v>
      </c>
      <c r="U2156" t="s">
        <v>62</v>
      </c>
      <c r="V2156" t="s">
        <v>69</v>
      </c>
      <c r="W2156">
        <v>0</v>
      </c>
      <c r="X2156">
        <v>0</v>
      </c>
      <c r="Y2156">
        <v>19</v>
      </c>
      <c r="Z2156">
        <v>19</v>
      </c>
      <c r="AA2156">
        <v>20</v>
      </c>
      <c r="AB2156">
        <v>1500</v>
      </c>
      <c r="AC2156">
        <v>1169</v>
      </c>
      <c r="AD2156">
        <v>1169</v>
      </c>
      <c r="AE2156">
        <v>0</v>
      </c>
      <c r="AF2156">
        <v>0</v>
      </c>
      <c r="AG2156">
        <v>0</v>
      </c>
      <c r="AH2156">
        <v>0</v>
      </c>
      <c r="AI2156">
        <v>504</v>
      </c>
      <c r="AJ2156">
        <v>0</v>
      </c>
      <c r="AK2156">
        <v>0</v>
      </c>
      <c r="AL2156">
        <v>0</v>
      </c>
      <c r="AM2156">
        <v>72</v>
      </c>
      <c r="AN2156">
        <v>90</v>
      </c>
      <c r="AO2156">
        <v>0</v>
      </c>
      <c r="AP2156">
        <v>9</v>
      </c>
      <c r="AQ2156">
        <v>0</v>
      </c>
      <c r="AR2156">
        <v>0</v>
      </c>
      <c r="AS2156" t="s">
        <v>58</v>
      </c>
      <c r="AT2156">
        <v>1</v>
      </c>
      <c r="AU2156" t="s">
        <v>63</v>
      </c>
      <c r="AV2156" t="s">
        <v>64</v>
      </c>
      <c r="AW2156">
        <v>1</v>
      </c>
      <c r="AX2156">
        <v>4</v>
      </c>
      <c r="AY2156">
        <v>0</v>
      </c>
      <c r="AZ2156">
        <v>0</v>
      </c>
      <c r="BA2156">
        <v>100</v>
      </c>
      <c r="BB2156">
        <v>100</v>
      </c>
      <c r="BC2156">
        <v>100</v>
      </c>
      <c r="BD2156">
        <v>100</v>
      </c>
      <c r="BE2156">
        <v>1</v>
      </c>
      <c r="BF2156">
        <v>15000</v>
      </c>
      <c r="BG2156">
        <v>1000</v>
      </c>
      <c r="BH2156" s="6">
        <f>Grandview_Inventory[[#This Row],[land_extract]]*Lookups!$B$3</f>
        <v>46638.847281240982</v>
      </c>
      <c r="BI2156" s="6">
        <f>IF(Grandview_Inventory[[#This Row],[bldg_style]]="",0,Lookups!$B$2)</f>
        <v>155833.95000000001</v>
      </c>
      <c r="BJ2156" s="6">
        <f>_xlfn.IFNA(VLOOKUP(Grandview_Inventory[[#This Row],[quality]],Lookups!$H$2:$J$14,3,FALSE),0)</f>
        <v>9808</v>
      </c>
      <c r="BK2156" s="6">
        <f>_xlfn.IFNA(VLOOKUP(Grandview_Inventory[[#This Row],[condition]],Lookups!$H$17:$J$24,3,FALSE),0)</f>
        <v>-4503</v>
      </c>
      <c r="BL2156" s="6">
        <f>Grandview_Inventory[[#This Row],[Eff_Age]]*Lookups!$B$14</f>
        <v>-4544.1653999999999</v>
      </c>
      <c r="BM2156" s="6">
        <f>Grandview_Inventory[[#This Row],[living_area]]*Lookups!$B$15</f>
        <v>72923.217157000006</v>
      </c>
      <c r="BN2156" s="6">
        <f>Grandview_Inventory[[#This Row],[Fin BSMT]]*Lookups!$B$16</f>
        <v>0</v>
      </c>
      <c r="BO2156" s="6">
        <f>(Grandview_Inventory[[#This Row],[att_gar]]+Grandview_Inventory[[#This Row],[bltin_gar]])*Lookups!$B$17</f>
        <v>44110.300248</v>
      </c>
      <c r="BP2156" s="6">
        <f>Grandview_Inventory[[#This Row],[Plumbing Fixtures]]*Lookups!$B$18</f>
        <v>18093.976200000001</v>
      </c>
      <c r="BQ2156" s="6">
        <f>Grandview_Inventory[[#This Row],[detatched_value]]*Lookups!$B$19</f>
        <v>0</v>
      </c>
      <c r="BR2156" s="6">
        <f>SUM(Grandview_Inventory[[#This Row],[Intercept]:[det_value]])*Grandview_Inventory[[#This Row],[res_pct]]</f>
        <v>291722.27820499998</v>
      </c>
      <c r="BS2156" s="6">
        <f>Grandview_Inventory[[#This Row],[land_value]]</f>
        <v>46638.847281240982</v>
      </c>
      <c r="BT2156" s="4">
        <f>_xlfn.IFNA(VLOOKUP(Grandview_Inventory[[#This Row],[quality]],Lookups!$A$26:$C$33,3,FALSE),1)</f>
        <v>0.94295468617355149</v>
      </c>
      <c r="BU2156" s="4">
        <f>_xlfn.IFNA(VLOOKUP(Grandview_Inventory[[#This Row],[condition]],Lookups!$A$37:$C$44,3,FALSE),1)</f>
        <v>0.96469275950863709</v>
      </c>
      <c r="BV2156" s="4">
        <f>IF(Grandview_Inventory[[#This Row],[bldg_style]]="",1,_xlfn.IFNA(VLOOKUP(Grandview_Inventory[[#This Row],[decade]],Lookups!$F$29:$H$43,3,FALSE),1))</f>
        <v>0.96737494181490646</v>
      </c>
      <c r="BW2156" s="4">
        <f>_xlfn.IFNA(VLOOKUP(Grandview_Inventory[[#This Row],[living_area_range]],Lookups!$F$47:$H$56,3,FALSE),1)</f>
        <v>0.96135087979789358</v>
      </c>
      <c r="BX2156" s="4">
        <f>AVERAGE(Grandview_Inventory[[#This Row],[qual_adj]:[size_adj]])</f>
        <v>0.95909331682374721</v>
      </c>
      <c r="BY2156" s="6">
        <f>IF(Grandview_Inventory[[#This Row],[pre_res]]&lt;0,0,Grandview_Inventory[[#This Row],[pre_res]]*Grandview_Inventory[[#This Row],[overall_adj]])</f>
        <v>279788.88739501336</v>
      </c>
      <c r="BZ2156" s="6">
        <f>(Grandview_Inventory[[#This Row],[sum_land]]-IF(Grandview_Inventory[[#This Row],[no_utilities]]=1,12000,0))/IF(Grandview_Inventory[[#This Row],[unbuildable]]=1,2,1)</f>
        <v>46638.847281240982</v>
      </c>
      <c r="CA215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56">
        <f>ROUND(Grandview_Inventory[[#This Row],[det_value]]*Lookups!$M$28,-2)</f>
        <v>0</v>
      </c>
      <c r="CC2156">
        <f>IF(ROUND(Grandview_Inventory[[#This Row],[adj_res]]*Lookups!$M$28,-2)&lt;Grandview_Inventory[[#This Row],[min_res]],Grandview_Inventory[[#This Row],[min_res]],ROUND(Grandview_Inventory[[#This Row],[adj_res]]*Lookups!$M$28,-2))</f>
        <v>265800</v>
      </c>
      <c r="CD2156">
        <f>Grandview_Inventory[[#This Row],[final_det]]+Grandview_Inventory[[#This Row],[final_res]]</f>
        <v>265800</v>
      </c>
      <c r="CE2156">
        <f>Grandview_Inventory[[#This Row],[final_land]]+Grandview_Inventory[[#This Row],[final_imp]]+Grandview_Inventory[[#This Row],[crop_value]]</f>
        <v>310100</v>
      </c>
      <c r="CG2156" t="str">
        <f t="shared" si="33"/>
        <v>update valuation set market_land =44300, market_bldg=265800, market_total =310100, market_mdno =401, market_date ='9/10/2023' where link_id = (select link_id from parcel where parcel_year = '2024' and parcel_id = '23092424412');</v>
      </c>
    </row>
    <row r="2157" spans="1:85" x14ac:dyDescent="0.25">
      <c r="A2157">
        <v>23092424416</v>
      </c>
      <c r="B2157">
        <v>0.16</v>
      </c>
      <c r="C2157">
        <v>7182</v>
      </c>
      <c r="D2157" t="s">
        <v>129</v>
      </c>
      <c r="E2157" t="s">
        <v>53</v>
      </c>
      <c r="F2157" t="s">
        <v>53</v>
      </c>
      <c r="G2157">
        <v>4</v>
      </c>
      <c r="H2157" t="s">
        <v>54</v>
      </c>
      <c r="I2157">
        <v>210100</v>
      </c>
      <c r="J2157">
        <v>38800</v>
      </c>
      <c r="K2157">
        <v>0.16</v>
      </c>
      <c r="L215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57">
        <v>0</v>
      </c>
      <c r="N2157">
        <v>0</v>
      </c>
      <c r="O2157">
        <v>0</v>
      </c>
      <c r="P2157">
        <v>13398.7528</v>
      </c>
      <c r="Q2157">
        <v>63903</v>
      </c>
      <c r="R2157">
        <f>(Grandview_Inventory[[#This Row],[ln_acres]]*Grandview_Inventory[[#This Row],[coeff]])+Grandview_Inventory[[#This Row],[const]]</f>
        <v>39348.693981374228</v>
      </c>
      <c r="S2157" t="s">
        <v>61</v>
      </c>
      <c r="T2157">
        <v>1</v>
      </c>
      <c r="U2157" t="s">
        <v>62</v>
      </c>
      <c r="V2157" t="s">
        <v>67</v>
      </c>
      <c r="W2157">
        <v>0</v>
      </c>
      <c r="X2157">
        <v>0</v>
      </c>
      <c r="Y2157">
        <v>19</v>
      </c>
      <c r="Z2157">
        <v>19</v>
      </c>
      <c r="AA2157">
        <v>20</v>
      </c>
      <c r="AB2157">
        <v>1500</v>
      </c>
      <c r="AC2157">
        <v>1079</v>
      </c>
      <c r="AD2157">
        <v>1079</v>
      </c>
      <c r="AE2157">
        <v>0</v>
      </c>
      <c r="AF2157">
        <v>0</v>
      </c>
      <c r="AG2157">
        <v>0</v>
      </c>
      <c r="AH2157">
        <v>0</v>
      </c>
      <c r="AI2157">
        <v>520</v>
      </c>
      <c r="AJ2157">
        <v>0</v>
      </c>
      <c r="AK2157">
        <v>0</v>
      </c>
      <c r="AL2157">
        <v>0</v>
      </c>
      <c r="AM2157">
        <v>120</v>
      </c>
      <c r="AN2157">
        <v>40</v>
      </c>
      <c r="AO2157">
        <v>0</v>
      </c>
      <c r="AP2157">
        <v>8</v>
      </c>
      <c r="AQ2157">
        <v>0</v>
      </c>
      <c r="AR2157">
        <v>0</v>
      </c>
      <c r="AS2157" t="s">
        <v>58</v>
      </c>
      <c r="AT2157">
        <v>1</v>
      </c>
      <c r="AU2157" t="s">
        <v>63</v>
      </c>
      <c r="AV2157" t="s">
        <v>64</v>
      </c>
      <c r="AW2157">
        <v>1</v>
      </c>
      <c r="AX2157">
        <v>3</v>
      </c>
      <c r="AY2157">
        <v>0</v>
      </c>
      <c r="AZ2157">
        <v>0</v>
      </c>
      <c r="BA2157">
        <v>100</v>
      </c>
      <c r="BB2157">
        <v>100</v>
      </c>
      <c r="BC2157">
        <v>100</v>
      </c>
      <c r="BD2157">
        <v>100</v>
      </c>
      <c r="BE2157">
        <v>1</v>
      </c>
      <c r="BF2157">
        <v>15000</v>
      </c>
      <c r="BG2157">
        <v>1000</v>
      </c>
      <c r="BH2157" s="6">
        <f>Grandview_Inventory[[#This Row],[land_extract]]*Lookups!$B$3</f>
        <v>45695.532079096141</v>
      </c>
      <c r="BI2157" s="6">
        <f>IF(Grandview_Inventory[[#This Row],[bldg_style]]="",0,Lookups!$B$2)</f>
        <v>155833.95000000001</v>
      </c>
      <c r="BJ2157" s="6">
        <f>_xlfn.IFNA(VLOOKUP(Grandview_Inventory[[#This Row],[quality]],Lookups!$H$2:$J$14,3,FALSE),0)</f>
        <v>9808</v>
      </c>
      <c r="BK2157" s="6">
        <f>_xlfn.IFNA(VLOOKUP(Grandview_Inventory[[#This Row],[condition]],Lookups!$H$17:$J$24,3,FALSE),0)</f>
        <v>22342</v>
      </c>
      <c r="BL2157" s="6">
        <f>Grandview_Inventory[[#This Row],[Eff_Age]]*Lookups!$B$14</f>
        <v>-4544.1653999999999</v>
      </c>
      <c r="BM2157" s="6">
        <f>Grandview_Inventory[[#This Row],[living_area]]*Lookups!$B$15</f>
        <v>67308.940386999995</v>
      </c>
      <c r="BN2157" s="6">
        <f>Grandview_Inventory[[#This Row],[Fin BSMT]]*Lookups!$B$16</f>
        <v>0</v>
      </c>
      <c r="BO2157" s="6">
        <f>(Grandview_Inventory[[#This Row],[att_gar]]+Grandview_Inventory[[#This Row],[bltin_gar]])*Lookups!$B$17</f>
        <v>45510.627240000002</v>
      </c>
      <c r="BP2157" s="6">
        <f>Grandview_Inventory[[#This Row],[Plumbing Fixtures]]*Lookups!$B$18</f>
        <v>16083.5344</v>
      </c>
      <c r="BQ2157" s="6">
        <f>Grandview_Inventory[[#This Row],[detatched_value]]*Lookups!$B$19</f>
        <v>0</v>
      </c>
      <c r="BR2157" s="6">
        <f>SUM(Grandview_Inventory[[#This Row],[Intercept]:[det_value]])*Grandview_Inventory[[#This Row],[res_pct]]</f>
        <v>312342.886627</v>
      </c>
      <c r="BS2157" s="6">
        <f>Grandview_Inventory[[#This Row],[land_value]]</f>
        <v>45695.532079096141</v>
      </c>
      <c r="BT2157" s="4">
        <f>_xlfn.IFNA(VLOOKUP(Grandview_Inventory[[#This Row],[quality]],Lookups!$A$26:$C$33,3,FALSE),1)</f>
        <v>0.94295468617355149</v>
      </c>
      <c r="BU2157" s="4">
        <f>_xlfn.IFNA(VLOOKUP(Grandview_Inventory[[#This Row],[condition]],Lookups!$A$37:$C$44,3,FALSE),1)</f>
        <v>0.97383723671140243</v>
      </c>
      <c r="BV2157" s="4">
        <f>IF(Grandview_Inventory[[#This Row],[bldg_style]]="",1,_xlfn.IFNA(VLOOKUP(Grandview_Inventory[[#This Row],[decade]],Lookups!$F$29:$H$43,3,FALSE),1))</f>
        <v>0.96737494181490646</v>
      </c>
      <c r="BW2157" s="4">
        <f>_xlfn.IFNA(VLOOKUP(Grandview_Inventory[[#This Row],[living_area_range]],Lookups!$F$47:$H$56,3,FALSE),1)</f>
        <v>0.96135087979789358</v>
      </c>
      <c r="BX2157" s="4">
        <f>AVERAGE(Grandview_Inventory[[#This Row],[qual_adj]:[size_adj]])</f>
        <v>0.96137943612443855</v>
      </c>
      <c r="BY2157" s="6">
        <f>IF(Grandview_Inventory[[#This Row],[pre_res]]&lt;0,0,Grandview_Inventory[[#This Row],[pre_res]]*Grandview_Inventory[[#This Row],[overall_adj]])</f>
        <v>300280.0282229447</v>
      </c>
      <c r="BZ2157" s="6">
        <f>(Grandview_Inventory[[#This Row],[sum_land]]-IF(Grandview_Inventory[[#This Row],[no_utilities]]=1,12000,0))/IF(Grandview_Inventory[[#This Row],[unbuildable]]=1,2,1)</f>
        <v>45695.532079096141</v>
      </c>
      <c r="CA215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57">
        <f>ROUND(Grandview_Inventory[[#This Row],[det_value]]*Lookups!$M$28,-2)</f>
        <v>0</v>
      </c>
      <c r="CC2157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57">
        <f>Grandview_Inventory[[#This Row],[final_det]]+Grandview_Inventory[[#This Row],[final_res]]</f>
        <v>285300</v>
      </c>
      <c r="CE2157">
        <f>Grandview_Inventory[[#This Row],[final_land]]+Grandview_Inventory[[#This Row],[final_imp]]+Grandview_Inventory[[#This Row],[crop_value]]</f>
        <v>328700</v>
      </c>
      <c r="CG2157" t="str">
        <f t="shared" si="33"/>
        <v>update valuation set market_land =43400, market_bldg=285300, market_total =328700, market_mdno =401, market_date ='9/10/2023' where link_id = (select link_id from parcel where parcel_year = '2024' and parcel_id = '23092424416');</v>
      </c>
    </row>
    <row r="2158" spans="1:85" x14ac:dyDescent="0.25">
      <c r="A2158">
        <v>23092424417</v>
      </c>
      <c r="B2158">
        <v>0.16</v>
      </c>
      <c r="C2158">
        <v>7009</v>
      </c>
      <c r="D2158" t="s">
        <v>129</v>
      </c>
      <c r="E2158" t="s">
        <v>53</v>
      </c>
      <c r="F2158" t="s">
        <v>53</v>
      </c>
      <c r="G2158">
        <v>4</v>
      </c>
      <c r="H2158" t="s">
        <v>54</v>
      </c>
      <c r="I2158">
        <v>217600</v>
      </c>
      <c r="J2158">
        <v>38600</v>
      </c>
      <c r="K2158">
        <v>0.16</v>
      </c>
      <c r="L215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58">
        <v>0</v>
      </c>
      <c r="N2158">
        <v>0</v>
      </c>
      <c r="O2158">
        <v>0</v>
      </c>
      <c r="P2158">
        <v>13398.7528</v>
      </c>
      <c r="Q2158">
        <v>63903</v>
      </c>
      <c r="R2158">
        <f>(Grandview_Inventory[[#This Row],[ln_acres]]*Grandview_Inventory[[#This Row],[coeff]])+Grandview_Inventory[[#This Row],[const]]</f>
        <v>39348.693981374228</v>
      </c>
      <c r="S2158" t="s">
        <v>61</v>
      </c>
      <c r="T2158">
        <v>1</v>
      </c>
      <c r="U2158" t="s">
        <v>62</v>
      </c>
      <c r="V2158" t="s">
        <v>67</v>
      </c>
      <c r="W2158">
        <v>0</v>
      </c>
      <c r="X2158">
        <v>0</v>
      </c>
      <c r="Y2158">
        <v>19</v>
      </c>
      <c r="Z2158">
        <v>19</v>
      </c>
      <c r="AA2158">
        <v>20</v>
      </c>
      <c r="AB2158">
        <v>1500</v>
      </c>
      <c r="AC2158">
        <v>1169</v>
      </c>
      <c r="AD2158">
        <v>1169</v>
      </c>
      <c r="AE2158">
        <v>0</v>
      </c>
      <c r="AF2158">
        <v>0</v>
      </c>
      <c r="AG2158">
        <v>0</v>
      </c>
      <c r="AH2158">
        <v>0</v>
      </c>
      <c r="AI2158">
        <v>504</v>
      </c>
      <c r="AJ2158">
        <v>0</v>
      </c>
      <c r="AK2158">
        <v>0</v>
      </c>
      <c r="AL2158">
        <v>0</v>
      </c>
      <c r="AM2158">
        <v>420</v>
      </c>
      <c r="AN2158">
        <v>90</v>
      </c>
      <c r="AO2158">
        <v>420</v>
      </c>
      <c r="AP2158">
        <v>9</v>
      </c>
      <c r="AQ2158">
        <v>0</v>
      </c>
      <c r="AR2158">
        <v>0</v>
      </c>
      <c r="AS2158" t="s">
        <v>58</v>
      </c>
      <c r="AT2158">
        <v>1</v>
      </c>
      <c r="AU2158" t="s">
        <v>63</v>
      </c>
      <c r="AV2158" t="s">
        <v>64</v>
      </c>
      <c r="AW2158">
        <v>1</v>
      </c>
      <c r="AX2158">
        <v>4</v>
      </c>
      <c r="AY2158">
        <v>0</v>
      </c>
      <c r="AZ2158">
        <v>0</v>
      </c>
      <c r="BA2158">
        <v>100</v>
      </c>
      <c r="BB2158">
        <v>100</v>
      </c>
      <c r="BC2158">
        <v>100</v>
      </c>
      <c r="BD2158">
        <v>100</v>
      </c>
      <c r="BE2158">
        <v>1</v>
      </c>
      <c r="BF2158">
        <v>15000</v>
      </c>
      <c r="BG2158">
        <v>1000</v>
      </c>
      <c r="BH2158" s="6">
        <f>Grandview_Inventory[[#This Row],[land_extract]]*Lookups!$B$3</f>
        <v>45695.532079096141</v>
      </c>
      <c r="BI2158" s="6">
        <f>IF(Grandview_Inventory[[#This Row],[bldg_style]]="",0,Lookups!$B$2)</f>
        <v>155833.95000000001</v>
      </c>
      <c r="BJ2158" s="6">
        <f>_xlfn.IFNA(VLOOKUP(Grandview_Inventory[[#This Row],[quality]],Lookups!$H$2:$J$14,3,FALSE),0)</f>
        <v>9808</v>
      </c>
      <c r="BK2158" s="6">
        <f>_xlfn.IFNA(VLOOKUP(Grandview_Inventory[[#This Row],[condition]],Lookups!$H$17:$J$24,3,FALSE),0)</f>
        <v>22342</v>
      </c>
      <c r="BL2158" s="6">
        <f>Grandview_Inventory[[#This Row],[Eff_Age]]*Lookups!$B$14</f>
        <v>-4544.1653999999999</v>
      </c>
      <c r="BM2158" s="6">
        <f>Grandview_Inventory[[#This Row],[living_area]]*Lookups!$B$15</f>
        <v>72923.217157000006</v>
      </c>
      <c r="BN2158" s="6">
        <f>Grandview_Inventory[[#This Row],[Fin BSMT]]*Lookups!$B$16</f>
        <v>0</v>
      </c>
      <c r="BO2158" s="6">
        <f>(Grandview_Inventory[[#This Row],[att_gar]]+Grandview_Inventory[[#This Row],[bltin_gar]])*Lookups!$B$17</f>
        <v>44110.300248</v>
      </c>
      <c r="BP2158" s="6">
        <f>Grandview_Inventory[[#This Row],[Plumbing Fixtures]]*Lookups!$B$18</f>
        <v>18093.976200000001</v>
      </c>
      <c r="BQ2158" s="6">
        <f>Grandview_Inventory[[#This Row],[detatched_value]]*Lookups!$B$19</f>
        <v>0</v>
      </c>
      <c r="BR2158" s="6">
        <f>SUM(Grandview_Inventory[[#This Row],[Intercept]:[det_value]])*Grandview_Inventory[[#This Row],[res_pct]]</f>
        <v>318567.27820499998</v>
      </c>
      <c r="BS2158" s="6">
        <f>Grandview_Inventory[[#This Row],[land_value]]</f>
        <v>45695.532079096141</v>
      </c>
      <c r="BT2158" s="4">
        <f>_xlfn.IFNA(VLOOKUP(Grandview_Inventory[[#This Row],[quality]],Lookups!$A$26:$C$33,3,FALSE),1)</f>
        <v>0.94295468617355149</v>
      </c>
      <c r="BU2158" s="4">
        <f>_xlfn.IFNA(VLOOKUP(Grandview_Inventory[[#This Row],[condition]],Lookups!$A$37:$C$44,3,FALSE),1)</f>
        <v>0.97383723671140243</v>
      </c>
      <c r="BV2158" s="4">
        <f>IF(Grandview_Inventory[[#This Row],[bldg_style]]="",1,_xlfn.IFNA(VLOOKUP(Grandview_Inventory[[#This Row],[decade]],Lookups!$F$29:$H$43,3,FALSE),1))</f>
        <v>0.96737494181490646</v>
      </c>
      <c r="BW2158" s="4">
        <f>_xlfn.IFNA(VLOOKUP(Grandview_Inventory[[#This Row],[living_area_range]],Lookups!$F$47:$H$56,3,FALSE),1)</f>
        <v>0.96135087979789358</v>
      </c>
      <c r="BX2158" s="4">
        <f>AVERAGE(Grandview_Inventory[[#This Row],[qual_adj]:[size_adj]])</f>
        <v>0.96137943612443855</v>
      </c>
      <c r="BY2158" s="6">
        <f>IF(Grandview_Inventory[[#This Row],[pre_res]]&lt;0,0,Grandview_Inventory[[#This Row],[pre_res]]*Grandview_Inventory[[#This Row],[overall_adj]])</f>
        <v>306264.03028842004</v>
      </c>
      <c r="BZ2158" s="6">
        <f>(Grandview_Inventory[[#This Row],[sum_land]]-IF(Grandview_Inventory[[#This Row],[no_utilities]]=1,12000,0))/IF(Grandview_Inventory[[#This Row],[unbuildable]]=1,2,1)</f>
        <v>45695.532079096141</v>
      </c>
      <c r="CA215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58">
        <f>ROUND(Grandview_Inventory[[#This Row],[det_value]]*Lookups!$M$28,-2)</f>
        <v>0</v>
      </c>
      <c r="CC2158">
        <f>IF(ROUND(Grandview_Inventory[[#This Row],[adj_res]]*Lookups!$M$28,-2)&lt;Grandview_Inventory[[#This Row],[min_res]],Grandview_Inventory[[#This Row],[min_res]],ROUND(Grandview_Inventory[[#This Row],[adj_res]]*Lookups!$M$28,-2))</f>
        <v>291000</v>
      </c>
      <c r="CD2158">
        <f>Grandview_Inventory[[#This Row],[final_det]]+Grandview_Inventory[[#This Row],[final_res]]</f>
        <v>291000</v>
      </c>
      <c r="CE2158">
        <f>Grandview_Inventory[[#This Row],[final_land]]+Grandview_Inventory[[#This Row],[final_imp]]+Grandview_Inventory[[#This Row],[crop_value]]</f>
        <v>334400</v>
      </c>
      <c r="CG2158" t="str">
        <f t="shared" si="33"/>
        <v>update valuation set market_land =43400, market_bldg=291000, market_total =334400, market_mdno =401, market_date ='9/10/2023' where link_id = (select link_id from parcel where parcel_year = '2024' and parcel_id = '23092424417');</v>
      </c>
    </row>
    <row r="2159" spans="1:85" x14ac:dyDescent="0.25">
      <c r="A2159">
        <v>23092424418</v>
      </c>
      <c r="B2159">
        <v>0.16</v>
      </c>
      <c r="C2159">
        <v>7009</v>
      </c>
      <c r="D2159" t="s">
        <v>129</v>
      </c>
      <c r="E2159" t="s">
        <v>53</v>
      </c>
      <c r="F2159" t="s">
        <v>53</v>
      </c>
      <c r="G2159">
        <v>4</v>
      </c>
      <c r="H2159" t="s">
        <v>54</v>
      </c>
      <c r="I2159">
        <v>221400</v>
      </c>
      <c r="J2159">
        <v>38600</v>
      </c>
      <c r="K2159">
        <v>0.16</v>
      </c>
      <c r="L215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59">
        <v>0</v>
      </c>
      <c r="N2159">
        <v>0</v>
      </c>
      <c r="O2159">
        <v>0</v>
      </c>
      <c r="P2159">
        <v>13398.7528</v>
      </c>
      <c r="Q2159">
        <v>63903</v>
      </c>
      <c r="R2159">
        <f>(Grandview_Inventory[[#This Row],[ln_acres]]*Grandview_Inventory[[#This Row],[coeff]])+Grandview_Inventory[[#This Row],[const]]</f>
        <v>39348.693981374228</v>
      </c>
      <c r="S2159" t="s">
        <v>61</v>
      </c>
      <c r="T2159">
        <v>1</v>
      </c>
      <c r="U2159" t="s">
        <v>62</v>
      </c>
      <c r="V2159" t="s">
        <v>67</v>
      </c>
      <c r="W2159">
        <v>0</v>
      </c>
      <c r="X2159">
        <v>0</v>
      </c>
      <c r="Y2159">
        <v>19</v>
      </c>
      <c r="Z2159">
        <v>19</v>
      </c>
      <c r="AA2159">
        <v>20</v>
      </c>
      <c r="AB2159">
        <v>1500</v>
      </c>
      <c r="AC2159">
        <v>1288</v>
      </c>
      <c r="AD2159">
        <v>1288</v>
      </c>
      <c r="AE2159">
        <v>0</v>
      </c>
      <c r="AF2159">
        <v>0</v>
      </c>
      <c r="AG2159">
        <v>0</v>
      </c>
      <c r="AH2159">
        <v>0</v>
      </c>
      <c r="AI2159">
        <v>520</v>
      </c>
      <c r="AJ2159">
        <v>0</v>
      </c>
      <c r="AK2159">
        <v>0</v>
      </c>
      <c r="AL2159">
        <v>0</v>
      </c>
      <c r="AM2159">
        <v>524</v>
      </c>
      <c r="AN2159">
        <v>128</v>
      </c>
      <c r="AO2159">
        <v>0</v>
      </c>
      <c r="AP2159">
        <v>8</v>
      </c>
      <c r="AQ2159">
        <v>0</v>
      </c>
      <c r="AR2159">
        <v>0</v>
      </c>
      <c r="AS2159" t="s">
        <v>58</v>
      </c>
      <c r="AT2159">
        <v>1</v>
      </c>
      <c r="AU2159" t="s">
        <v>63</v>
      </c>
      <c r="AV2159" t="s">
        <v>64</v>
      </c>
      <c r="AW2159">
        <v>1</v>
      </c>
      <c r="AX2159">
        <v>3</v>
      </c>
      <c r="AY2159">
        <v>0</v>
      </c>
      <c r="AZ2159">
        <v>0</v>
      </c>
      <c r="BA2159">
        <v>100</v>
      </c>
      <c r="BB2159">
        <v>100</v>
      </c>
      <c r="BC2159">
        <v>100</v>
      </c>
      <c r="BD2159">
        <v>100</v>
      </c>
      <c r="BE2159">
        <v>1</v>
      </c>
      <c r="BF2159">
        <v>15000</v>
      </c>
      <c r="BG2159">
        <v>1000</v>
      </c>
      <c r="BH2159" s="6">
        <f>Grandview_Inventory[[#This Row],[land_extract]]*Lookups!$B$3</f>
        <v>45695.532079096141</v>
      </c>
      <c r="BI2159" s="6">
        <f>IF(Grandview_Inventory[[#This Row],[bldg_style]]="",0,Lookups!$B$2)</f>
        <v>155833.95000000001</v>
      </c>
      <c r="BJ2159" s="6">
        <f>_xlfn.IFNA(VLOOKUP(Grandview_Inventory[[#This Row],[quality]],Lookups!$H$2:$J$14,3,FALSE),0)</f>
        <v>9808</v>
      </c>
      <c r="BK2159" s="6">
        <f>_xlfn.IFNA(VLOOKUP(Grandview_Inventory[[#This Row],[condition]],Lookups!$H$17:$J$24,3,FALSE),0)</f>
        <v>22342</v>
      </c>
      <c r="BL2159" s="6">
        <f>Grandview_Inventory[[#This Row],[Eff_Age]]*Lookups!$B$14</f>
        <v>-4544.1653999999999</v>
      </c>
      <c r="BM2159" s="6">
        <f>Grandview_Inventory[[#This Row],[living_area]]*Lookups!$B$15</f>
        <v>80346.538664000007</v>
      </c>
      <c r="BN2159" s="6">
        <f>Grandview_Inventory[[#This Row],[Fin BSMT]]*Lookups!$B$16</f>
        <v>0</v>
      </c>
      <c r="BO2159" s="6">
        <f>(Grandview_Inventory[[#This Row],[att_gar]]+Grandview_Inventory[[#This Row],[bltin_gar]])*Lookups!$B$17</f>
        <v>45510.627240000002</v>
      </c>
      <c r="BP2159" s="6">
        <f>Grandview_Inventory[[#This Row],[Plumbing Fixtures]]*Lookups!$B$18</f>
        <v>16083.5344</v>
      </c>
      <c r="BQ2159" s="6">
        <f>Grandview_Inventory[[#This Row],[detatched_value]]*Lookups!$B$19</f>
        <v>0</v>
      </c>
      <c r="BR2159" s="6">
        <f>SUM(Grandview_Inventory[[#This Row],[Intercept]:[det_value]])*Grandview_Inventory[[#This Row],[res_pct]]</f>
        <v>325380.48490400001</v>
      </c>
      <c r="BS2159" s="6">
        <f>Grandview_Inventory[[#This Row],[land_value]]</f>
        <v>45695.532079096141</v>
      </c>
      <c r="BT2159" s="4">
        <f>_xlfn.IFNA(VLOOKUP(Grandview_Inventory[[#This Row],[quality]],Lookups!$A$26:$C$33,3,FALSE),1)</f>
        <v>0.94295468617355149</v>
      </c>
      <c r="BU2159" s="4">
        <f>_xlfn.IFNA(VLOOKUP(Grandview_Inventory[[#This Row],[condition]],Lookups!$A$37:$C$44,3,FALSE),1)</f>
        <v>0.97383723671140243</v>
      </c>
      <c r="BV2159" s="4">
        <f>IF(Grandview_Inventory[[#This Row],[bldg_style]]="",1,_xlfn.IFNA(VLOOKUP(Grandview_Inventory[[#This Row],[decade]],Lookups!$F$29:$H$43,3,FALSE),1))</f>
        <v>0.96737494181490646</v>
      </c>
      <c r="BW2159" s="4">
        <f>_xlfn.IFNA(VLOOKUP(Grandview_Inventory[[#This Row],[living_area_range]],Lookups!$F$47:$H$56,3,FALSE),1)</f>
        <v>0.96135087979789358</v>
      </c>
      <c r="BX2159" s="4">
        <f>AVERAGE(Grandview_Inventory[[#This Row],[qual_adj]:[size_adj]])</f>
        <v>0.96137943612443855</v>
      </c>
      <c r="BY2159" s="6">
        <f>IF(Grandview_Inventory[[#This Row],[pre_res]]&lt;0,0,Grandview_Inventory[[#This Row],[pre_res]]*Grandview_Inventory[[#This Row],[overall_adj]])</f>
        <v>312814.10710290394</v>
      </c>
      <c r="BZ2159" s="6">
        <f>(Grandview_Inventory[[#This Row],[sum_land]]-IF(Grandview_Inventory[[#This Row],[no_utilities]]=1,12000,0))/IF(Grandview_Inventory[[#This Row],[unbuildable]]=1,2,1)</f>
        <v>45695.532079096141</v>
      </c>
      <c r="CA215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59">
        <f>ROUND(Grandview_Inventory[[#This Row],[det_value]]*Lookups!$M$28,-2)</f>
        <v>0</v>
      </c>
      <c r="CC2159">
        <f>IF(ROUND(Grandview_Inventory[[#This Row],[adj_res]]*Lookups!$M$28,-2)&lt;Grandview_Inventory[[#This Row],[min_res]],Grandview_Inventory[[#This Row],[min_res]],ROUND(Grandview_Inventory[[#This Row],[adj_res]]*Lookups!$M$28,-2))</f>
        <v>297200</v>
      </c>
      <c r="CD2159">
        <f>Grandview_Inventory[[#This Row],[final_det]]+Grandview_Inventory[[#This Row],[final_res]]</f>
        <v>297200</v>
      </c>
      <c r="CE2159">
        <f>Grandview_Inventory[[#This Row],[final_land]]+Grandview_Inventory[[#This Row],[final_imp]]+Grandview_Inventory[[#This Row],[crop_value]]</f>
        <v>340600</v>
      </c>
      <c r="CG2159" t="str">
        <f t="shared" si="33"/>
        <v>update valuation set market_land =43400, market_bldg=297200, market_total =340600, market_mdno =401, market_date ='9/10/2023' where link_id = (select link_id from parcel where parcel_year = '2024' and parcel_id = '23092424418');</v>
      </c>
    </row>
    <row r="2160" spans="1:85" x14ac:dyDescent="0.25">
      <c r="A2160">
        <v>23092424419</v>
      </c>
      <c r="B2160">
        <v>0.16</v>
      </c>
      <c r="C2160">
        <v>7009</v>
      </c>
      <c r="D2160" t="s">
        <v>129</v>
      </c>
      <c r="E2160" t="s">
        <v>53</v>
      </c>
      <c r="F2160" t="s">
        <v>53</v>
      </c>
      <c r="G2160">
        <v>4</v>
      </c>
      <c r="H2160" t="s">
        <v>54</v>
      </c>
      <c r="I2160">
        <v>218600</v>
      </c>
      <c r="J2160">
        <v>38600</v>
      </c>
      <c r="K2160">
        <v>0.16</v>
      </c>
      <c r="L216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60">
        <v>0</v>
      </c>
      <c r="N2160">
        <v>0</v>
      </c>
      <c r="O2160">
        <v>0</v>
      </c>
      <c r="P2160">
        <v>13398.7528</v>
      </c>
      <c r="Q2160">
        <v>63903</v>
      </c>
      <c r="R2160">
        <f>(Grandview_Inventory[[#This Row],[ln_acres]]*Grandview_Inventory[[#This Row],[coeff]])+Grandview_Inventory[[#This Row],[const]]</f>
        <v>39348.693981374228</v>
      </c>
      <c r="S2160" t="s">
        <v>61</v>
      </c>
      <c r="T2160">
        <v>1</v>
      </c>
      <c r="U2160" t="s">
        <v>65</v>
      </c>
      <c r="V2160" t="s">
        <v>67</v>
      </c>
      <c r="W2160">
        <v>0</v>
      </c>
      <c r="X2160">
        <v>0</v>
      </c>
      <c r="Y2160">
        <v>19</v>
      </c>
      <c r="Z2160">
        <v>19</v>
      </c>
      <c r="AA2160">
        <v>20</v>
      </c>
      <c r="AB2160">
        <v>2000</v>
      </c>
      <c r="AC2160">
        <v>1808</v>
      </c>
      <c r="AD2160">
        <v>1808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600</v>
      </c>
      <c r="AN2160">
        <v>136</v>
      </c>
      <c r="AO2160">
        <v>600</v>
      </c>
      <c r="AP2160">
        <v>9</v>
      </c>
      <c r="AQ2160">
        <v>0</v>
      </c>
      <c r="AR2160">
        <v>0</v>
      </c>
      <c r="AS2160" t="s">
        <v>58</v>
      </c>
      <c r="AT2160">
        <v>1</v>
      </c>
      <c r="AU2160" t="s">
        <v>63</v>
      </c>
      <c r="AV2160" t="s">
        <v>64</v>
      </c>
      <c r="AW2160">
        <v>1</v>
      </c>
      <c r="AX2160">
        <v>3</v>
      </c>
      <c r="AY2160">
        <v>0</v>
      </c>
      <c r="AZ2160">
        <v>0</v>
      </c>
      <c r="BA2160">
        <v>100</v>
      </c>
      <c r="BB2160">
        <v>100</v>
      </c>
      <c r="BC2160">
        <v>100</v>
      </c>
      <c r="BD2160">
        <v>100</v>
      </c>
      <c r="BE2160">
        <v>1</v>
      </c>
      <c r="BF2160">
        <v>15000</v>
      </c>
      <c r="BG2160">
        <v>1000</v>
      </c>
      <c r="BH2160" s="6">
        <f>Grandview_Inventory[[#This Row],[land_extract]]*Lookups!$B$3</f>
        <v>45695.532079096141</v>
      </c>
      <c r="BI2160" s="6">
        <f>IF(Grandview_Inventory[[#This Row],[bldg_style]]="",0,Lookups!$B$2)</f>
        <v>155833.95000000001</v>
      </c>
      <c r="BJ2160" s="6">
        <f>_xlfn.IFNA(VLOOKUP(Grandview_Inventory[[#This Row],[quality]],Lookups!$H$2:$J$14,3,FALSE),0)</f>
        <v>2251</v>
      </c>
      <c r="BK2160" s="6">
        <f>_xlfn.IFNA(VLOOKUP(Grandview_Inventory[[#This Row],[condition]],Lookups!$H$17:$J$24,3,FALSE),0)</f>
        <v>22342</v>
      </c>
      <c r="BL2160" s="6">
        <f>Grandview_Inventory[[#This Row],[Eff_Age]]*Lookups!$B$14</f>
        <v>-4544.1653999999999</v>
      </c>
      <c r="BM2160" s="6">
        <f>Grandview_Inventory[[#This Row],[living_area]]*Lookups!$B$15</f>
        <v>112784.582224</v>
      </c>
      <c r="BN2160" s="6">
        <f>Grandview_Inventory[[#This Row],[Fin BSMT]]*Lookups!$B$16</f>
        <v>0</v>
      </c>
      <c r="BO2160" s="6">
        <f>(Grandview_Inventory[[#This Row],[att_gar]]+Grandview_Inventory[[#This Row],[bltin_gar]])*Lookups!$B$17</f>
        <v>0</v>
      </c>
      <c r="BP2160" s="6">
        <f>Grandview_Inventory[[#This Row],[Plumbing Fixtures]]*Lookups!$B$18</f>
        <v>18093.976200000001</v>
      </c>
      <c r="BQ2160" s="6">
        <f>Grandview_Inventory[[#This Row],[detatched_value]]*Lookups!$B$19</f>
        <v>0</v>
      </c>
      <c r="BR2160" s="6">
        <f>SUM(Grandview_Inventory[[#This Row],[Intercept]:[det_value]])*Grandview_Inventory[[#This Row],[res_pct]]</f>
        <v>306761.343024</v>
      </c>
      <c r="BS2160" s="6">
        <f>Grandview_Inventory[[#This Row],[land_value]]</f>
        <v>45695.532079096141</v>
      </c>
      <c r="BT2160" s="4">
        <f>_xlfn.IFNA(VLOOKUP(Grandview_Inventory[[#This Row],[quality]],Lookups!$A$26:$C$33,3,FALSE),1)</f>
        <v>0.98763855981004833</v>
      </c>
      <c r="BU2160" s="4">
        <f>_xlfn.IFNA(VLOOKUP(Grandview_Inventory[[#This Row],[condition]],Lookups!$A$37:$C$44,3,FALSE),1)</f>
        <v>0.97383723671140243</v>
      </c>
      <c r="BV2160" s="4">
        <f>IF(Grandview_Inventory[[#This Row],[bldg_style]]="",1,_xlfn.IFNA(VLOOKUP(Grandview_Inventory[[#This Row],[decade]],Lookups!$F$29:$H$43,3,FALSE),1))</f>
        <v>0.96737494181490646</v>
      </c>
      <c r="BW2160" s="4">
        <f>_xlfn.IFNA(VLOOKUP(Grandview_Inventory[[#This Row],[living_area_range]],Lookups!$F$47:$H$56,3,FALSE),1)</f>
        <v>0.96120133463014379</v>
      </c>
      <c r="BX2160" s="4">
        <f>AVERAGE(Grandview_Inventory[[#This Row],[qual_adj]:[size_adj]])</f>
        <v>0.97251301824162528</v>
      </c>
      <c r="BY2160" s="6">
        <f>IF(Grandview_Inventory[[#This Row],[pre_res]]&lt;0,0,Grandview_Inventory[[#This Row],[pre_res]]*Grandview_Inventory[[#This Row],[overall_adj]])</f>
        <v>298329.3995841248</v>
      </c>
      <c r="BZ2160" s="6">
        <f>(Grandview_Inventory[[#This Row],[sum_land]]-IF(Grandview_Inventory[[#This Row],[no_utilities]]=1,12000,0))/IF(Grandview_Inventory[[#This Row],[unbuildable]]=1,2,1)</f>
        <v>45695.532079096141</v>
      </c>
      <c r="CA216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60">
        <f>ROUND(Grandview_Inventory[[#This Row],[det_value]]*Lookups!$M$28,-2)</f>
        <v>0</v>
      </c>
      <c r="CC2160">
        <f>IF(ROUND(Grandview_Inventory[[#This Row],[adj_res]]*Lookups!$M$28,-2)&lt;Grandview_Inventory[[#This Row],[min_res]],Grandview_Inventory[[#This Row],[min_res]],ROUND(Grandview_Inventory[[#This Row],[adj_res]]*Lookups!$M$28,-2))</f>
        <v>283400</v>
      </c>
      <c r="CD2160">
        <f>Grandview_Inventory[[#This Row],[final_det]]+Grandview_Inventory[[#This Row],[final_res]]</f>
        <v>283400</v>
      </c>
      <c r="CE2160">
        <f>Grandview_Inventory[[#This Row],[final_land]]+Grandview_Inventory[[#This Row],[final_imp]]+Grandview_Inventory[[#This Row],[crop_value]]</f>
        <v>326800</v>
      </c>
      <c r="CG2160" t="str">
        <f t="shared" si="33"/>
        <v>update valuation set market_land =43400, market_bldg=283400, market_total =326800, market_mdno =401, market_date ='9/10/2023' where link_id = (select link_id from parcel where parcel_year = '2024' and parcel_id = '23092424419');</v>
      </c>
    </row>
    <row r="2161" spans="1:85" x14ac:dyDescent="0.25">
      <c r="A2161">
        <v>23092424420</v>
      </c>
      <c r="B2161">
        <v>0.16</v>
      </c>
      <c r="C2161">
        <v>7009</v>
      </c>
      <c r="D2161" t="s">
        <v>129</v>
      </c>
      <c r="E2161" t="s">
        <v>53</v>
      </c>
      <c r="F2161" t="s">
        <v>53</v>
      </c>
      <c r="G2161">
        <v>4</v>
      </c>
      <c r="H2161" t="s">
        <v>54</v>
      </c>
      <c r="I2161">
        <v>210100</v>
      </c>
      <c r="J2161">
        <v>38600</v>
      </c>
      <c r="K2161">
        <v>0.16</v>
      </c>
      <c r="L216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61">
        <v>0</v>
      </c>
      <c r="N2161">
        <v>0</v>
      </c>
      <c r="O2161">
        <v>0</v>
      </c>
      <c r="P2161">
        <v>13398.7528</v>
      </c>
      <c r="Q2161">
        <v>63903</v>
      </c>
      <c r="R2161">
        <f>(Grandview_Inventory[[#This Row],[ln_acres]]*Grandview_Inventory[[#This Row],[coeff]])+Grandview_Inventory[[#This Row],[const]]</f>
        <v>39348.693981374228</v>
      </c>
      <c r="S2161" t="s">
        <v>61</v>
      </c>
      <c r="T2161">
        <v>1</v>
      </c>
      <c r="U2161" t="s">
        <v>62</v>
      </c>
      <c r="V2161" t="s">
        <v>67</v>
      </c>
      <c r="W2161">
        <v>0</v>
      </c>
      <c r="X2161">
        <v>0</v>
      </c>
      <c r="Y2161">
        <v>19</v>
      </c>
      <c r="Z2161">
        <v>19</v>
      </c>
      <c r="AA2161">
        <v>20</v>
      </c>
      <c r="AB2161">
        <v>1500</v>
      </c>
      <c r="AC2161">
        <v>1079</v>
      </c>
      <c r="AD2161">
        <v>1079</v>
      </c>
      <c r="AE2161">
        <v>0</v>
      </c>
      <c r="AF2161">
        <v>0</v>
      </c>
      <c r="AG2161">
        <v>0</v>
      </c>
      <c r="AH2161">
        <v>0</v>
      </c>
      <c r="AI2161">
        <v>520</v>
      </c>
      <c r="AJ2161">
        <v>0</v>
      </c>
      <c r="AK2161">
        <v>0</v>
      </c>
      <c r="AL2161">
        <v>0</v>
      </c>
      <c r="AM2161">
        <v>440</v>
      </c>
      <c r="AN2161">
        <v>40</v>
      </c>
      <c r="AO2161">
        <v>440</v>
      </c>
      <c r="AP2161">
        <v>8</v>
      </c>
      <c r="AQ2161">
        <v>0</v>
      </c>
      <c r="AR2161">
        <v>0</v>
      </c>
      <c r="AS2161" t="s">
        <v>58</v>
      </c>
      <c r="AT2161">
        <v>1</v>
      </c>
      <c r="AU2161" t="s">
        <v>63</v>
      </c>
      <c r="AV2161" t="s">
        <v>64</v>
      </c>
      <c r="AW2161">
        <v>1</v>
      </c>
      <c r="AX2161">
        <v>3</v>
      </c>
      <c r="AY2161">
        <v>0</v>
      </c>
      <c r="AZ2161">
        <v>0</v>
      </c>
      <c r="BA2161">
        <v>100</v>
      </c>
      <c r="BB2161">
        <v>100</v>
      </c>
      <c r="BC2161">
        <v>100</v>
      </c>
      <c r="BD2161">
        <v>100</v>
      </c>
      <c r="BE2161">
        <v>1</v>
      </c>
      <c r="BF2161">
        <v>15000</v>
      </c>
      <c r="BG2161">
        <v>1000</v>
      </c>
      <c r="BH2161" s="6">
        <f>Grandview_Inventory[[#This Row],[land_extract]]*Lookups!$B$3</f>
        <v>45695.532079096141</v>
      </c>
      <c r="BI2161" s="6">
        <f>IF(Grandview_Inventory[[#This Row],[bldg_style]]="",0,Lookups!$B$2)</f>
        <v>155833.95000000001</v>
      </c>
      <c r="BJ2161" s="6">
        <f>_xlfn.IFNA(VLOOKUP(Grandview_Inventory[[#This Row],[quality]],Lookups!$H$2:$J$14,3,FALSE),0)</f>
        <v>9808</v>
      </c>
      <c r="BK2161" s="6">
        <f>_xlfn.IFNA(VLOOKUP(Grandview_Inventory[[#This Row],[condition]],Lookups!$H$17:$J$24,3,FALSE),0)</f>
        <v>22342</v>
      </c>
      <c r="BL2161" s="6">
        <f>Grandview_Inventory[[#This Row],[Eff_Age]]*Lookups!$B$14</f>
        <v>-4544.1653999999999</v>
      </c>
      <c r="BM2161" s="6">
        <f>Grandview_Inventory[[#This Row],[living_area]]*Lookups!$B$15</f>
        <v>67308.940386999995</v>
      </c>
      <c r="BN2161" s="6">
        <f>Grandview_Inventory[[#This Row],[Fin BSMT]]*Lookups!$B$16</f>
        <v>0</v>
      </c>
      <c r="BO2161" s="6">
        <f>(Grandview_Inventory[[#This Row],[att_gar]]+Grandview_Inventory[[#This Row],[bltin_gar]])*Lookups!$B$17</f>
        <v>45510.627240000002</v>
      </c>
      <c r="BP2161" s="6">
        <f>Grandview_Inventory[[#This Row],[Plumbing Fixtures]]*Lookups!$B$18</f>
        <v>16083.5344</v>
      </c>
      <c r="BQ2161" s="6">
        <f>Grandview_Inventory[[#This Row],[detatched_value]]*Lookups!$B$19</f>
        <v>0</v>
      </c>
      <c r="BR2161" s="6">
        <f>SUM(Grandview_Inventory[[#This Row],[Intercept]:[det_value]])*Grandview_Inventory[[#This Row],[res_pct]]</f>
        <v>312342.886627</v>
      </c>
      <c r="BS2161" s="6">
        <f>Grandview_Inventory[[#This Row],[land_value]]</f>
        <v>45695.532079096141</v>
      </c>
      <c r="BT2161" s="4">
        <f>_xlfn.IFNA(VLOOKUP(Grandview_Inventory[[#This Row],[quality]],Lookups!$A$26:$C$33,3,FALSE),1)</f>
        <v>0.94295468617355149</v>
      </c>
      <c r="BU2161" s="4">
        <f>_xlfn.IFNA(VLOOKUP(Grandview_Inventory[[#This Row],[condition]],Lookups!$A$37:$C$44,3,FALSE),1)</f>
        <v>0.97383723671140243</v>
      </c>
      <c r="BV2161" s="4">
        <f>IF(Grandview_Inventory[[#This Row],[bldg_style]]="",1,_xlfn.IFNA(VLOOKUP(Grandview_Inventory[[#This Row],[decade]],Lookups!$F$29:$H$43,3,FALSE),1))</f>
        <v>0.96737494181490646</v>
      </c>
      <c r="BW2161" s="4">
        <f>_xlfn.IFNA(VLOOKUP(Grandview_Inventory[[#This Row],[living_area_range]],Lookups!$F$47:$H$56,3,FALSE),1)</f>
        <v>0.96135087979789358</v>
      </c>
      <c r="BX2161" s="4">
        <f>AVERAGE(Grandview_Inventory[[#This Row],[qual_adj]:[size_adj]])</f>
        <v>0.96137943612443855</v>
      </c>
      <c r="BY2161" s="6">
        <f>IF(Grandview_Inventory[[#This Row],[pre_res]]&lt;0,0,Grandview_Inventory[[#This Row],[pre_res]]*Grandview_Inventory[[#This Row],[overall_adj]])</f>
        <v>300280.0282229447</v>
      </c>
      <c r="BZ2161" s="6">
        <f>(Grandview_Inventory[[#This Row],[sum_land]]-IF(Grandview_Inventory[[#This Row],[no_utilities]]=1,12000,0))/IF(Grandview_Inventory[[#This Row],[unbuildable]]=1,2,1)</f>
        <v>45695.532079096141</v>
      </c>
      <c r="CA216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61">
        <f>ROUND(Grandview_Inventory[[#This Row],[det_value]]*Lookups!$M$28,-2)</f>
        <v>0</v>
      </c>
      <c r="CC2161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61">
        <f>Grandview_Inventory[[#This Row],[final_det]]+Grandview_Inventory[[#This Row],[final_res]]</f>
        <v>285300</v>
      </c>
      <c r="CE2161">
        <f>Grandview_Inventory[[#This Row],[final_land]]+Grandview_Inventory[[#This Row],[final_imp]]+Grandview_Inventory[[#This Row],[crop_value]]</f>
        <v>328700</v>
      </c>
      <c r="CG2161" t="str">
        <f t="shared" si="33"/>
        <v>update valuation set market_land =43400, market_bldg=285300, market_total =328700, market_mdno =401, market_date ='9/10/2023' where link_id = (select link_id from parcel where parcel_year = '2024' and parcel_id = '23092424420');</v>
      </c>
    </row>
    <row r="2162" spans="1:85" x14ac:dyDescent="0.25">
      <c r="A2162">
        <v>23092424421</v>
      </c>
      <c r="B2162">
        <v>0.17</v>
      </c>
      <c r="C2162">
        <v>7200</v>
      </c>
      <c r="D2162" t="s">
        <v>129</v>
      </c>
      <c r="E2162" t="s">
        <v>53</v>
      </c>
      <c r="F2162" t="s">
        <v>53</v>
      </c>
      <c r="G2162">
        <v>4</v>
      </c>
      <c r="H2162" t="s">
        <v>54</v>
      </c>
      <c r="I2162">
        <v>210100</v>
      </c>
      <c r="J2162">
        <v>38800</v>
      </c>
      <c r="K2162">
        <v>0.17</v>
      </c>
      <c r="L216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62">
        <v>0</v>
      </c>
      <c r="N2162">
        <v>0</v>
      </c>
      <c r="O2162">
        <v>0</v>
      </c>
      <c r="P2162">
        <v>13398.7528</v>
      </c>
      <c r="Q2162">
        <v>63903</v>
      </c>
      <c r="R2162">
        <f>(Grandview_Inventory[[#This Row],[ln_acres]]*Grandview_Inventory[[#This Row],[coeff]])+Grandview_Inventory[[#This Row],[const]]</f>
        <v>40160.988302686128</v>
      </c>
      <c r="S2162" t="s">
        <v>61</v>
      </c>
      <c r="T2162">
        <v>1</v>
      </c>
      <c r="U2162" t="s">
        <v>62</v>
      </c>
      <c r="V2162" t="s">
        <v>67</v>
      </c>
      <c r="W2162">
        <v>0</v>
      </c>
      <c r="X2162">
        <v>0</v>
      </c>
      <c r="Y2162">
        <v>19</v>
      </c>
      <c r="Z2162">
        <v>19</v>
      </c>
      <c r="AA2162">
        <v>20</v>
      </c>
      <c r="AB2162">
        <v>1500</v>
      </c>
      <c r="AC2162">
        <v>1079</v>
      </c>
      <c r="AD2162">
        <v>1079</v>
      </c>
      <c r="AE2162">
        <v>0</v>
      </c>
      <c r="AF2162">
        <v>0</v>
      </c>
      <c r="AG2162">
        <v>0</v>
      </c>
      <c r="AH2162">
        <v>0</v>
      </c>
      <c r="AI2162">
        <v>520</v>
      </c>
      <c r="AJ2162">
        <v>0</v>
      </c>
      <c r="AK2162">
        <v>0</v>
      </c>
      <c r="AL2162">
        <v>0</v>
      </c>
      <c r="AM2162">
        <v>200</v>
      </c>
      <c r="AN2162">
        <v>40</v>
      </c>
      <c r="AO2162">
        <v>0</v>
      </c>
      <c r="AP2162">
        <v>8</v>
      </c>
      <c r="AQ2162">
        <v>0</v>
      </c>
      <c r="AR2162">
        <v>0</v>
      </c>
      <c r="AS2162" t="s">
        <v>58</v>
      </c>
      <c r="AT2162">
        <v>1</v>
      </c>
      <c r="AU2162" t="s">
        <v>63</v>
      </c>
      <c r="AV2162" t="s">
        <v>64</v>
      </c>
      <c r="AW2162">
        <v>1</v>
      </c>
      <c r="AX2162">
        <v>3</v>
      </c>
      <c r="AY2162">
        <v>0</v>
      </c>
      <c r="AZ2162">
        <v>0</v>
      </c>
      <c r="BA2162">
        <v>100</v>
      </c>
      <c r="BB2162">
        <v>100</v>
      </c>
      <c r="BC2162">
        <v>100</v>
      </c>
      <c r="BD2162">
        <v>100</v>
      </c>
      <c r="BE2162">
        <v>1</v>
      </c>
      <c r="BF2162">
        <v>15000</v>
      </c>
      <c r="BG2162">
        <v>1000</v>
      </c>
      <c r="BH2162" s="6">
        <f>Grandview_Inventory[[#This Row],[land_extract]]*Lookups!$B$3</f>
        <v>46638.847281240982</v>
      </c>
      <c r="BI2162" s="6">
        <f>IF(Grandview_Inventory[[#This Row],[bldg_style]]="",0,Lookups!$B$2)</f>
        <v>155833.95000000001</v>
      </c>
      <c r="BJ2162" s="6">
        <f>_xlfn.IFNA(VLOOKUP(Grandview_Inventory[[#This Row],[quality]],Lookups!$H$2:$J$14,3,FALSE),0)</f>
        <v>9808</v>
      </c>
      <c r="BK2162" s="6">
        <f>_xlfn.IFNA(VLOOKUP(Grandview_Inventory[[#This Row],[condition]],Lookups!$H$17:$J$24,3,FALSE),0)</f>
        <v>22342</v>
      </c>
      <c r="BL2162" s="6">
        <f>Grandview_Inventory[[#This Row],[Eff_Age]]*Lookups!$B$14</f>
        <v>-4544.1653999999999</v>
      </c>
      <c r="BM2162" s="6">
        <f>Grandview_Inventory[[#This Row],[living_area]]*Lookups!$B$15</f>
        <v>67308.940386999995</v>
      </c>
      <c r="BN2162" s="6">
        <f>Grandview_Inventory[[#This Row],[Fin BSMT]]*Lookups!$B$16</f>
        <v>0</v>
      </c>
      <c r="BO2162" s="6">
        <f>(Grandview_Inventory[[#This Row],[att_gar]]+Grandview_Inventory[[#This Row],[bltin_gar]])*Lookups!$B$17</f>
        <v>45510.627240000002</v>
      </c>
      <c r="BP2162" s="6">
        <f>Grandview_Inventory[[#This Row],[Plumbing Fixtures]]*Lookups!$B$18</f>
        <v>16083.5344</v>
      </c>
      <c r="BQ2162" s="6">
        <f>Grandview_Inventory[[#This Row],[detatched_value]]*Lookups!$B$19</f>
        <v>0</v>
      </c>
      <c r="BR2162" s="6">
        <f>SUM(Grandview_Inventory[[#This Row],[Intercept]:[det_value]])*Grandview_Inventory[[#This Row],[res_pct]]</f>
        <v>312342.886627</v>
      </c>
      <c r="BS2162" s="6">
        <f>Grandview_Inventory[[#This Row],[land_value]]</f>
        <v>46638.847281240982</v>
      </c>
      <c r="BT2162" s="4">
        <f>_xlfn.IFNA(VLOOKUP(Grandview_Inventory[[#This Row],[quality]],Lookups!$A$26:$C$33,3,FALSE),1)</f>
        <v>0.94295468617355149</v>
      </c>
      <c r="BU2162" s="4">
        <f>_xlfn.IFNA(VLOOKUP(Grandview_Inventory[[#This Row],[condition]],Lookups!$A$37:$C$44,3,FALSE),1)</f>
        <v>0.97383723671140243</v>
      </c>
      <c r="BV2162" s="4">
        <f>IF(Grandview_Inventory[[#This Row],[bldg_style]]="",1,_xlfn.IFNA(VLOOKUP(Grandview_Inventory[[#This Row],[decade]],Lookups!$F$29:$H$43,3,FALSE),1))</f>
        <v>0.96737494181490646</v>
      </c>
      <c r="BW2162" s="4">
        <f>_xlfn.IFNA(VLOOKUP(Grandview_Inventory[[#This Row],[living_area_range]],Lookups!$F$47:$H$56,3,FALSE),1)</f>
        <v>0.96135087979789358</v>
      </c>
      <c r="BX2162" s="4">
        <f>AVERAGE(Grandview_Inventory[[#This Row],[qual_adj]:[size_adj]])</f>
        <v>0.96137943612443855</v>
      </c>
      <c r="BY2162" s="6">
        <f>IF(Grandview_Inventory[[#This Row],[pre_res]]&lt;0,0,Grandview_Inventory[[#This Row],[pre_res]]*Grandview_Inventory[[#This Row],[overall_adj]])</f>
        <v>300280.0282229447</v>
      </c>
      <c r="BZ2162" s="6">
        <f>(Grandview_Inventory[[#This Row],[sum_land]]-IF(Grandview_Inventory[[#This Row],[no_utilities]]=1,12000,0))/IF(Grandview_Inventory[[#This Row],[unbuildable]]=1,2,1)</f>
        <v>46638.847281240982</v>
      </c>
      <c r="CA216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62">
        <f>ROUND(Grandview_Inventory[[#This Row],[det_value]]*Lookups!$M$28,-2)</f>
        <v>0</v>
      </c>
      <c r="CC2162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62">
        <f>Grandview_Inventory[[#This Row],[final_det]]+Grandview_Inventory[[#This Row],[final_res]]</f>
        <v>285300</v>
      </c>
      <c r="CE2162">
        <f>Grandview_Inventory[[#This Row],[final_land]]+Grandview_Inventory[[#This Row],[final_imp]]+Grandview_Inventory[[#This Row],[crop_value]]</f>
        <v>329600</v>
      </c>
      <c r="CG2162" t="str">
        <f t="shared" si="33"/>
        <v>update valuation set market_land =44300, market_bldg=285300, market_total =329600, market_mdno =401, market_date ='9/10/2023' where link_id = (select link_id from parcel where parcel_year = '2024' and parcel_id = '23092424421');</v>
      </c>
    </row>
    <row r="2163" spans="1:85" x14ac:dyDescent="0.25">
      <c r="A2163">
        <v>23092424422</v>
      </c>
      <c r="B2163">
        <v>0.17</v>
      </c>
      <c r="C2163">
        <v>7200</v>
      </c>
      <c r="D2163" t="s">
        <v>129</v>
      </c>
      <c r="E2163" t="s">
        <v>53</v>
      </c>
      <c r="F2163" t="s">
        <v>53</v>
      </c>
      <c r="G2163">
        <v>4</v>
      </c>
      <c r="H2163" t="s">
        <v>54</v>
      </c>
      <c r="I2163">
        <v>221400</v>
      </c>
      <c r="J2163">
        <v>38800</v>
      </c>
      <c r="K2163">
        <v>0.17</v>
      </c>
      <c r="L216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63">
        <v>0</v>
      </c>
      <c r="N2163">
        <v>0</v>
      </c>
      <c r="O2163">
        <v>0</v>
      </c>
      <c r="P2163">
        <v>13398.7528</v>
      </c>
      <c r="Q2163">
        <v>63903</v>
      </c>
      <c r="R2163">
        <f>(Grandview_Inventory[[#This Row],[ln_acres]]*Grandview_Inventory[[#This Row],[coeff]])+Grandview_Inventory[[#This Row],[const]]</f>
        <v>40160.988302686128</v>
      </c>
      <c r="S2163" t="s">
        <v>61</v>
      </c>
      <c r="T2163">
        <v>1</v>
      </c>
      <c r="U2163" t="s">
        <v>62</v>
      </c>
      <c r="V2163" t="s">
        <v>67</v>
      </c>
      <c r="W2163">
        <v>0</v>
      </c>
      <c r="X2163">
        <v>0</v>
      </c>
      <c r="Y2163">
        <v>19</v>
      </c>
      <c r="Z2163">
        <v>19</v>
      </c>
      <c r="AA2163">
        <v>20</v>
      </c>
      <c r="AB2163">
        <v>1500</v>
      </c>
      <c r="AC2163">
        <v>1288</v>
      </c>
      <c r="AD2163">
        <v>1288</v>
      </c>
      <c r="AE2163">
        <v>0</v>
      </c>
      <c r="AF2163">
        <v>0</v>
      </c>
      <c r="AG2163">
        <v>0</v>
      </c>
      <c r="AH2163">
        <v>0</v>
      </c>
      <c r="AI2163">
        <v>520</v>
      </c>
      <c r="AJ2163">
        <v>0</v>
      </c>
      <c r="AK2163">
        <v>0</v>
      </c>
      <c r="AL2163">
        <v>0</v>
      </c>
      <c r="AM2163">
        <v>200</v>
      </c>
      <c r="AN2163">
        <v>128</v>
      </c>
      <c r="AO2163">
        <v>0</v>
      </c>
      <c r="AP2163">
        <v>8</v>
      </c>
      <c r="AQ2163">
        <v>0</v>
      </c>
      <c r="AR2163">
        <v>0</v>
      </c>
      <c r="AS2163" t="s">
        <v>58</v>
      </c>
      <c r="AT2163">
        <v>1</v>
      </c>
      <c r="AU2163" t="s">
        <v>63</v>
      </c>
      <c r="AV2163" t="s">
        <v>64</v>
      </c>
      <c r="AW2163">
        <v>1</v>
      </c>
      <c r="AX2163">
        <v>3</v>
      </c>
      <c r="AY2163">
        <v>0</v>
      </c>
      <c r="AZ2163">
        <v>0</v>
      </c>
      <c r="BA2163">
        <v>100</v>
      </c>
      <c r="BB2163">
        <v>100</v>
      </c>
      <c r="BC2163">
        <v>100</v>
      </c>
      <c r="BD2163">
        <v>100</v>
      </c>
      <c r="BE2163">
        <v>1</v>
      </c>
      <c r="BF2163">
        <v>15000</v>
      </c>
      <c r="BG2163">
        <v>1000</v>
      </c>
      <c r="BH2163" s="6">
        <f>Grandview_Inventory[[#This Row],[land_extract]]*Lookups!$B$3</f>
        <v>46638.847281240982</v>
      </c>
      <c r="BI2163" s="6">
        <f>IF(Grandview_Inventory[[#This Row],[bldg_style]]="",0,Lookups!$B$2)</f>
        <v>155833.95000000001</v>
      </c>
      <c r="BJ2163" s="6">
        <f>_xlfn.IFNA(VLOOKUP(Grandview_Inventory[[#This Row],[quality]],Lookups!$H$2:$J$14,3,FALSE),0)</f>
        <v>9808</v>
      </c>
      <c r="BK2163" s="6">
        <f>_xlfn.IFNA(VLOOKUP(Grandview_Inventory[[#This Row],[condition]],Lookups!$H$17:$J$24,3,FALSE),0)</f>
        <v>22342</v>
      </c>
      <c r="BL2163" s="6">
        <f>Grandview_Inventory[[#This Row],[Eff_Age]]*Lookups!$B$14</f>
        <v>-4544.1653999999999</v>
      </c>
      <c r="BM2163" s="6">
        <f>Grandview_Inventory[[#This Row],[living_area]]*Lookups!$B$15</f>
        <v>80346.538664000007</v>
      </c>
      <c r="BN2163" s="6">
        <f>Grandview_Inventory[[#This Row],[Fin BSMT]]*Lookups!$B$16</f>
        <v>0</v>
      </c>
      <c r="BO2163" s="6">
        <f>(Grandview_Inventory[[#This Row],[att_gar]]+Grandview_Inventory[[#This Row],[bltin_gar]])*Lookups!$B$17</f>
        <v>45510.627240000002</v>
      </c>
      <c r="BP2163" s="6">
        <f>Grandview_Inventory[[#This Row],[Plumbing Fixtures]]*Lookups!$B$18</f>
        <v>16083.5344</v>
      </c>
      <c r="BQ2163" s="6">
        <f>Grandview_Inventory[[#This Row],[detatched_value]]*Lookups!$B$19</f>
        <v>0</v>
      </c>
      <c r="BR2163" s="6">
        <f>SUM(Grandview_Inventory[[#This Row],[Intercept]:[det_value]])*Grandview_Inventory[[#This Row],[res_pct]]</f>
        <v>325380.48490400001</v>
      </c>
      <c r="BS2163" s="6">
        <f>Grandview_Inventory[[#This Row],[land_value]]</f>
        <v>46638.847281240982</v>
      </c>
      <c r="BT2163" s="4">
        <f>_xlfn.IFNA(VLOOKUP(Grandview_Inventory[[#This Row],[quality]],Lookups!$A$26:$C$33,3,FALSE),1)</f>
        <v>0.94295468617355149</v>
      </c>
      <c r="BU2163" s="4">
        <f>_xlfn.IFNA(VLOOKUP(Grandview_Inventory[[#This Row],[condition]],Lookups!$A$37:$C$44,3,FALSE),1)</f>
        <v>0.97383723671140243</v>
      </c>
      <c r="BV2163" s="4">
        <f>IF(Grandview_Inventory[[#This Row],[bldg_style]]="",1,_xlfn.IFNA(VLOOKUP(Grandview_Inventory[[#This Row],[decade]],Lookups!$F$29:$H$43,3,FALSE),1))</f>
        <v>0.96737494181490646</v>
      </c>
      <c r="BW2163" s="4">
        <f>_xlfn.IFNA(VLOOKUP(Grandview_Inventory[[#This Row],[living_area_range]],Lookups!$F$47:$H$56,3,FALSE),1)</f>
        <v>0.96135087979789358</v>
      </c>
      <c r="BX2163" s="4">
        <f>AVERAGE(Grandview_Inventory[[#This Row],[qual_adj]:[size_adj]])</f>
        <v>0.96137943612443855</v>
      </c>
      <c r="BY2163" s="6">
        <f>IF(Grandview_Inventory[[#This Row],[pre_res]]&lt;0,0,Grandview_Inventory[[#This Row],[pre_res]]*Grandview_Inventory[[#This Row],[overall_adj]])</f>
        <v>312814.10710290394</v>
      </c>
      <c r="BZ2163" s="6">
        <f>(Grandview_Inventory[[#This Row],[sum_land]]-IF(Grandview_Inventory[[#This Row],[no_utilities]]=1,12000,0))/IF(Grandview_Inventory[[#This Row],[unbuildable]]=1,2,1)</f>
        <v>46638.847281240982</v>
      </c>
      <c r="CA216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63">
        <f>ROUND(Grandview_Inventory[[#This Row],[det_value]]*Lookups!$M$28,-2)</f>
        <v>0</v>
      </c>
      <c r="CC2163">
        <f>IF(ROUND(Grandview_Inventory[[#This Row],[adj_res]]*Lookups!$M$28,-2)&lt;Grandview_Inventory[[#This Row],[min_res]],Grandview_Inventory[[#This Row],[min_res]],ROUND(Grandview_Inventory[[#This Row],[adj_res]]*Lookups!$M$28,-2))</f>
        <v>297200</v>
      </c>
      <c r="CD2163">
        <f>Grandview_Inventory[[#This Row],[final_det]]+Grandview_Inventory[[#This Row],[final_res]]</f>
        <v>297200</v>
      </c>
      <c r="CE2163">
        <f>Grandview_Inventory[[#This Row],[final_land]]+Grandview_Inventory[[#This Row],[final_imp]]+Grandview_Inventory[[#This Row],[crop_value]]</f>
        <v>341500</v>
      </c>
      <c r="CG2163" t="str">
        <f t="shared" si="33"/>
        <v>update valuation set market_land =44300, market_bldg=297200, market_total =341500, market_mdno =401, market_date ='9/10/2023' where link_id = (select link_id from parcel where parcel_year = '2024' and parcel_id = '23092424422');</v>
      </c>
    </row>
    <row r="2164" spans="1:85" x14ac:dyDescent="0.25">
      <c r="A2164">
        <v>23092424423</v>
      </c>
      <c r="B2164">
        <v>0.16</v>
      </c>
      <c r="C2164">
        <v>7009</v>
      </c>
      <c r="D2164" t="s">
        <v>129</v>
      </c>
      <c r="E2164" t="s">
        <v>53</v>
      </c>
      <c r="F2164" t="s">
        <v>53</v>
      </c>
      <c r="G2164">
        <v>4</v>
      </c>
      <c r="H2164" t="s">
        <v>54</v>
      </c>
      <c r="I2164">
        <v>214900</v>
      </c>
      <c r="J2164">
        <v>38600</v>
      </c>
      <c r="K2164">
        <v>0.16</v>
      </c>
      <c r="L216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64">
        <v>0</v>
      </c>
      <c r="N2164">
        <v>0</v>
      </c>
      <c r="O2164">
        <v>0</v>
      </c>
      <c r="P2164">
        <v>13398.7528</v>
      </c>
      <c r="Q2164">
        <v>63903</v>
      </c>
      <c r="R2164">
        <f>(Grandview_Inventory[[#This Row],[ln_acres]]*Grandview_Inventory[[#This Row],[coeff]])+Grandview_Inventory[[#This Row],[const]]</f>
        <v>39348.693981374228</v>
      </c>
      <c r="S2164" t="s">
        <v>61</v>
      </c>
      <c r="T2164">
        <v>1</v>
      </c>
      <c r="U2164" t="s">
        <v>62</v>
      </c>
      <c r="V2164" t="s">
        <v>67</v>
      </c>
      <c r="W2164">
        <v>0</v>
      </c>
      <c r="X2164">
        <v>0</v>
      </c>
      <c r="Y2164">
        <v>19</v>
      </c>
      <c r="Z2164">
        <v>19</v>
      </c>
      <c r="AA2164">
        <v>20</v>
      </c>
      <c r="AB2164">
        <v>1500</v>
      </c>
      <c r="AC2164">
        <v>1168</v>
      </c>
      <c r="AD2164">
        <v>1168</v>
      </c>
      <c r="AE2164">
        <v>0</v>
      </c>
      <c r="AF2164">
        <v>0</v>
      </c>
      <c r="AG2164">
        <v>0</v>
      </c>
      <c r="AH2164">
        <v>0</v>
      </c>
      <c r="AI2164">
        <v>520</v>
      </c>
      <c r="AJ2164">
        <v>0</v>
      </c>
      <c r="AK2164">
        <v>0</v>
      </c>
      <c r="AL2164">
        <v>0</v>
      </c>
      <c r="AM2164">
        <v>240</v>
      </c>
      <c r="AN2164">
        <v>56</v>
      </c>
      <c r="AO2164">
        <v>240</v>
      </c>
      <c r="AP2164">
        <v>8</v>
      </c>
      <c r="AQ2164">
        <v>0</v>
      </c>
      <c r="AR2164">
        <v>0</v>
      </c>
      <c r="AS2164" t="s">
        <v>58</v>
      </c>
      <c r="AT2164">
        <v>1</v>
      </c>
      <c r="AU2164" t="s">
        <v>63</v>
      </c>
      <c r="AV2164" t="s">
        <v>64</v>
      </c>
      <c r="AW2164">
        <v>1</v>
      </c>
      <c r="AX2164">
        <v>3</v>
      </c>
      <c r="AY2164">
        <v>0</v>
      </c>
      <c r="AZ2164">
        <v>0</v>
      </c>
      <c r="BA2164">
        <v>100</v>
      </c>
      <c r="BB2164">
        <v>100</v>
      </c>
      <c r="BC2164">
        <v>100</v>
      </c>
      <c r="BD2164">
        <v>100</v>
      </c>
      <c r="BE2164">
        <v>1</v>
      </c>
      <c r="BF2164">
        <v>15000</v>
      </c>
      <c r="BG2164">
        <v>1000</v>
      </c>
      <c r="BH2164" s="6">
        <f>Grandview_Inventory[[#This Row],[land_extract]]*Lookups!$B$3</f>
        <v>45695.532079096141</v>
      </c>
      <c r="BI2164" s="6">
        <f>IF(Grandview_Inventory[[#This Row],[bldg_style]]="",0,Lookups!$B$2)</f>
        <v>155833.95000000001</v>
      </c>
      <c r="BJ2164" s="6">
        <f>_xlfn.IFNA(VLOOKUP(Grandview_Inventory[[#This Row],[quality]],Lookups!$H$2:$J$14,3,FALSE),0)</f>
        <v>9808</v>
      </c>
      <c r="BK2164" s="6">
        <f>_xlfn.IFNA(VLOOKUP(Grandview_Inventory[[#This Row],[condition]],Lookups!$H$17:$J$24,3,FALSE),0)</f>
        <v>22342</v>
      </c>
      <c r="BL2164" s="6">
        <f>Grandview_Inventory[[#This Row],[Eff_Age]]*Lookups!$B$14</f>
        <v>-4544.1653999999999</v>
      </c>
      <c r="BM2164" s="6">
        <f>Grandview_Inventory[[#This Row],[living_area]]*Lookups!$B$15</f>
        <v>72860.836303999997</v>
      </c>
      <c r="BN2164" s="6">
        <f>Grandview_Inventory[[#This Row],[Fin BSMT]]*Lookups!$B$16</f>
        <v>0</v>
      </c>
      <c r="BO2164" s="6">
        <f>(Grandview_Inventory[[#This Row],[att_gar]]+Grandview_Inventory[[#This Row],[bltin_gar]])*Lookups!$B$17</f>
        <v>45510.627240000002</v>
      </c>
      <c r="BP2164" s="6">
        <f>Grandview_Inventory[[#This Row],[Plumbing Fixtures]]*Lookups!$B$18</f>
        <v>16083.5344</v>
      </c>
      <c r="BQ2164" s="6">
        <f>Grandview_Inventory[[#This Row],[detatched_value]]*Lookups!$B$19</f>
        <v>0</v>
      </c>
      <c r="BR2164" s="6">
        <f>SUM(Grandview_Inventory[[#This Row],[Intercept]:[det_value]])*Grandview_Inventory[[#This Row],[res_pct]]</f>
        <v>317894.78254400002</v>
      </c>
      <c r="BS2164" s="6">
        <f>Grandview_Inventory[[#This Row],[land_value]]</f>
        <v>45695.532079096141</v>
      </c>
      <c r="BT2164" s="4">
        <f>_xlfn.IFNA(VLOOKUP(Grandview_Inventory[[#This Row],[quality]],Lookups!$A$26:$C$33,3,FALSE),1)</f>
        <v>0.94295468617355149</v>
      </c>
      <c r="BU2164" s="4">
        <f>_xlfn.IFNA(VLOOKUP(Grandview_Inventory[[#This Row],[condition]],Lookups!$A$37:$C$44,3,FALSE),1)</f>
        <v>0.97383723671140243</v>
      </c>
      <c r="BV2164" s="4">
        <f>IF(Grandview_Inventory[[#This Row],[bldg_style]]="",1,_xlfn.IFNA(VLOOKUP(Grandview_Inventory[[#This Row],[decade]],Lookups!$F$29:$H$43,3,FALSE),1))</f>
        <v>0.96737494181490646</v>
      </c>
      <c r="BW2164" s="4">
        <f>_xlfn.IFNA(VLOOKUP(Grandview_Inventory[[#This Row],[living_area_range]],Lookups!$F$47:$H$56,3,FALSE),1)</f>
        <v>0.96135087979789358</v>
      </c>
      <c r="BX2164" s="4">
        <f>AVERAGE(Grandview_Inventory[[#This Row],[qual_adj]:[size_adj]])</f>
        <v>0.96137943612443855</v>
      </c>
      <c r="BY2164" s="6">
        <f>IF(Grandview_Inventory[[#This Row],[pre_res]]&lt;0,0,Grandview_Inventory[[#This Row],[pre_res]]*Grandview_Inventory[[#This Row],[overall_adj]])</f>
        <v>305617.50678905175</v>
      </c>
      <c r="BZ2164" s="6">
        <f>(Grandview_Inventory[[#This Row],[sum_land]]-IF(Grandview_Inventory[[#This Row],[no_utilities]]=1,12000,0))/IF(Grandview_Inventory[[#This Row],[unbuildable]]=1,2,1)</f>
        <v>45695.532079096141</v>
      </c>
      <c r="CA216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64">
        <f>ROUND(Grandview_Inventory[[#This Row],[det_value]]*Lookups!$M$28,-2)</f>
        <v>0</v>
      </c>
      <c r="CC2164">
        <f>IF(ROUND(Grandview_Inventory[[#This Row],[adj_res]]*Lookups!$M$28,-2)&lt;Grandview_Inventory[[#This Row],[min_res]],Grandview_Inventory[[#This Row],[min_res]],ROUND(Grandview_Inventory[[#This Row],[adj_res]]*Lookups!$M$28,-2))</f>
        <v>290300</v>
      </c>
      <c r="CD2164">
        <f>Grandview_Inventory[[#This Row],[final_det]]+Grandview_Inventory[[#This Row],[final_res]]</f>
        <v>290300</v>
      </c>
      <c r="CE2164">
        <f>Grandview_Inventory[[#This Row],[final_land]]+Grandview_Inventory[[#This Row],[final_imp]]+Grandview_Inventory[[#This Row],[crop_value]]</f>
        <v>333700</v>
      </c>
      <c r="CG2164" t="str">
        <f t="shared" si="33"/>
        <v>update valuation set market_land =43400, market_bldg=290300, market_total =333700, market_mdno =401, market_date ='9/10/2023' where link_id = (select link_id from parcel where parcel_year = '2024' and parcel_id = '23092424423');</v>
      </c>
    </row>
    <row r="2165" spans="1:85" x14ac:dyDescent="0.25">
      <c r="A2165">
        <v>23092424424</v>
      </c>
      <c r="B2165">
        <v>0.16</v>
      </c>
      <c r="C2165">
        <v>7009</v>
      </c>
      <c r="D2165" t="s">
        <v>129</v>
      </c>
      <c r="E2165" t="s">
        <v>53</v>
      </c>
      <c r="F2165" t="s">
        <v>53</v>
      </c>
      <c r="G2165">
        <v>4</v>
      </c>
      <c r="H2165" t="s">
        <v>54</v>
      </c>
      <c r="I2165">
        <v>210100</v>
      </c>
      <c r="J2165">
        <v>38600</v>
      </c>
      <c r="K2165">
        <v>0.16</v>
      </c>
      <c r="L216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65">
        <v>0</v>
      </c>
      <c r="N2165">
        <v>0</v>
      </c>
      <c r="O2165">
        <v>0</v>
      </c>
      <c r="P2165">
        <v>13398.7528</v>
      </c>
      <c r="Q2165">
        <v>63903</v>
      </c>
      <c r="R2165">
        <f>(Grandview_Inventory[[#This Row],[ln_acres]]*Grandview_Inventory[[#This Row],[coeff]])+Grandview_Inventory[[#This Row],[const]]</f>
        <v>39348.693981374228</v>
      </c>
      <c r="S2165" t="s">
        <v>61</v>
      </c>
      <c r="T2165">
        <v>1</v>
      </c>
      <c r="U2165" t="s">
        <v>62</v>
      </c>
      <c r="V2165" t="s">
        <v>67</v>
      </c>
      <c r="W2165">
        <v>0</v>
      </c>
      <c r="X2165">
        <v>0</v>
      </c>
      <c r="Y2165">
        <v>19</v>
      </c>
      <c r="Z2165">
        <v>19</v>
      </c>
      <c r="AA2165">
        <v>20</v>
      </c>
      <c r="AB2165">
        <v>1500</v>
      </c>
      <c r="AC2165">
        <v>1079</v>
      </c>
      <c r="AD2165">
        <v>1079</v>
      </c>
      <c r="AE2165">
        <v>0</v>
      </c>
      <c r="AF2165">
        <v>0</v>
      </c>
      <c r="AG2165">
        <v>0</v>
      </c>
      <c r="AH2165">
        <v>0</v>
      </c>
      <c r="AI2165">
        <v>520</v>
      </c>
      <c r="AJ2165">
        <v>0</v>
      </c>
      <c r="AK2165">
        <v>0</v>
      </c>
      <c r="AL2165">
        <v>0</v>
      </c>
      <c r="AM2165">
        <v>200</v>
      </c>
      <c r="AN2165">
        <v>40</v>
      </c>
      <c r="AO2165">
        <v>0</v>
      </c>
      <c r="AP2165">
        <v>8</v>
      </c>
      <c r="AQ2165">
        <v>0</v>
      </c>
      <c r="AR2165">
        <v>0</v>
      </c>
      <c r="AS2165" t="s">
        <v>58</v>
      </c>
      <c r="AT2165">
        <v>1</v>
      </c>
      <c r="AU2165" t="s">
        <v>63</v>
      </c>
      <c r="AV2165" t="s">
        <v>64</v>
      </c>
      <c r="AW2165">
        <v>1</v>
      </c>
      <c r="AX2165">
        <v>3</v>
      </c>
      <c r="AY2165">
        <v>0</v>
      </c>
      <c r="AZ2165">
        <v>0</v>
      </c>
      <c r="BA2165">
        <v>100</v>
      </c>
      <c r="BB2165">
        <v>100</v>
      </c>
      <c r="BC2165">
        <v>100</v>
      </c>
      <c r="BD2165">
        <v>100</v>
      </c>
      <c r="BE2165">
        <v>1</v>
      </c>
      <c r="BF2165">
        <v>15000</v>
      </c>
      <c r="BG2165">
        <v>1000</v>
      </c>
      <c r="BH2165" s="6">
        <f>Grandview_Inventory[[#This Row],[land_extract]]*Lookups!$B$3</f>
        <v>45695.532079096141</v>
      </c>
      <c r="BI2165" s="6">
        <f>IF(Grandview_Inventory[[#This Row],[bldg_style]]="",0,Lookups!$B$2)</f>
        <v>155833.95000000001</v>
      </c>
      <c r="BJ2165" s="6">
        <f>_xlfn.IFNA(VLOOKUP(Grandview_Inventory[[#This Row],[quality]],Lookups!$H$2:$J$14,3,FALSE),0)</f>
        <v>9808</v>
      </c>
      <c r="BK2165" s="6">
        <f>_xlfn.IFNA(VLOOKUP(Grandview_Inventory[[#This Row],[condition]],Lookups!$H$17:$J$24,3,FALSE),0)</f>
        <v>22342</v>
      </c>
      <c r="BL2165" s="6">
        <f>Grandview_Inventory[[#This Row],[Eff_Age]]*Lookups!$B$14</f>
        <v>-4544.1653999999999</v>
      </c>
      <c r="BM2165" s="6">
        <f>Grandview_Inventory[[#This Row],[living_area]]*Lookups!$B$15</f>
        <v>67308.940386999995</v>
      </c>
      <c r="BN2165" s="6">
        <f>Grandview_Inventory[[#This Row],[Fin BSMT]]*Lookups!$B$16</f>
        <v>0</v>
      </c>
      <c r="BO2165" s="6">
        <f>(Grandview_Inventory[[#This Row],[att_gar]]+Grandview_Inventory[[#This Row],[bltin_gar]])*Lookups!$B$17</f>
        <v>45510.627240000002</v>
      </c>
      <c r="BP2165" s="6">
        <f>Grandview_Inventory[[#This Row],[Plumbing Fixtures]]*Lookups!$B$18</f>
        <v>16083.5344</v>
      </c>
      <c r="BQ2165" s="6">
        <f>Grandview_Inventory[[#This Row],[detatched_value]]*Lookups!$B$19</f>
        <v>0</v>
      </c>
      <c r="BR2165" s="6">
        <f>SUM(Grandview_Inventory[[#This Row],[Intercept]:[det_value]])*Grandview_Inventory[[#This Row],[res_pct]]</f>
        <v>312342.886627</v>
      </c>
      <c r="BS2165" s="6">
        <f>Grandview_Inventory[[#This Row],[land_value]]</f>
        <v>45695.532079096141</v>
      </c>
      <c r="BT2165" s="4">
        <f>_xlfn.IFNA(VLOOKUP(Grandview_Inventory[[#This Row],[quality]],Lookups!$A$26:$C$33,3,FALSE),1)</f>
        <v>0.94295468617355149</v>
      </c>
      <c r="BU2165" s="4">
        <f>_xlfn.IFNA(VLOOKUP(Grandview_Inventory[[#This Row],[condition]],Lookups!$A$37:$C$44,3,FALSE),1)</f>
        <v>0.97383723671140243</v>
      </c>
      <c r="BV2165" s="4">
        <f>IF(Grandview_Inventory[[#This Row],[bldg_style]]="",1,_xlfn.IFNA(VLOOKUP(Grandview_Inventory[[#This Row],[decade]],Lookups!$F$29:$H$43,3,FALSE),1))</f>
        <v>0.96737494181490646</v>
      </c>
      <c r="BW2165" s="4">
        <f>_xlfn.IFNA(VLOOKUP(Grandview_Inventory[[#This Row],[living_area_range]],Lookups!$F$47:$H$56,3,FALSE),1)</f>
        <v>0.96135087979789358</v>
      </c>
      <c r="BX2165" s="4">
        <f>AVERAGE(Grandview_Inventory[[#This Row],[qual_adj]:[size_adj]])</f>
        <v>0.96137943612443855</v>
      </c>
      <c r="BY2165" s="6">
        <f>IF(Grandview_Inventory[[#This Row],[pre_res]]&lt;0,0,Grandview_Inventory[[#This Row],[pre_res]]*Grandview_Inventory[[#This Row],[overall_adj]])</f>
        <v>300280.0282229447</v>
      </c>
      <c r="BZ2165" s="6">
        <f>(Grandview_Inventory[[#This Row],[sum_land]]-IF(Grandview_Inventory[[#This Row],[no_utilities]]=1,12000,0))/IF(Grandview_Inventory[[#This Row],[unbuildable]]=1,2,1)</f>
        <v>45695.532079096141</v>
      </c>
      <c r="CA216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65">
        <f>ROUND(Grandview_Inventory[[#This Row],[det_value]]*Lookups!$M$28,-2)</f>
        <v>0</v>
      </c>
      <c r="CC2165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65">
        <f>Grandview_Inventory[[#This Row],[final_det]]+Grandview_Inventory[[#This Row],[final_res]]</f>
        <v>285300</v>
      </c>
      <c r="CE2165">
        <f>Grandview_Inventory[[#This Row],[final_land]]+Grandview_Inventory[[#This Row],[final_imp]]+Grandview_Inventory[[#This Row],[crop_value]]</f>
        <v>328700</v>
      </c>
      <c r="CG2165" t="str">
        <f t="shared" si="33"/>
        <v>update valuation set market_land =43400, market_bldg=285300, market_total =328700, market_mdno =401, market_date ='9/10/2023' where link_id = (select link_id from parcel where parcel_year = '2024' and parcel_id = '23092424424');</v>
      </c>
    </row>
    <row r="2166" spans="1:85" x14ac:dyDescent="0.25">
      <c r="A2166">
        <v>23092424425</v>
      </c>
      <c r="B2166">
        <v>0.16</v>
      </c>
      <c r="C2166">
        <v>7009</v>
      </c>
      <c r="D2166" t="s">
        <v>129</v>
      </c>
      <c r="E2166" t="s">
        <v>53</v>
      </c>
      <c r="F2166" t="s">
        <v>53</v>
      </c>
      <c r="G2166">
        <v>4</v>
      </c>
      <c r="H2166" t="s">
        <v>54</v>
      </c>
      <c r="I2166">
        <v>210100</v>
      </c>
      <c r="J2166">
        <v>38600</v>
      </c>
      <c r="K2166">
        <v>0.16</v>
      </c>
      <c r="L216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66">
        <v>0</v>
      </c>
      <c r="N2166">
        <v>0</v>
      </c>
      <c r="O2166">
        <v>0</v>
      </c>
      <c r="P2166">
        <v>13398.7528</v>
      </c>
      <c r="Q2166">
        <v>63903</v>
      </c>
      <c r="R2166">
        <f>(Grandview_Inventory[[#This Row],[ln_acres]]*Grandview_Inventory[[#This Row],[coeff]])+Grandview_Inventory[[#This Row],[const]]</f>
        <v>39348.693981374228</v>
      </c>
      <c r="S2166" t="s">
        <v>61</v>
      </c>
      <c r="T2166">
        <v>1</v>
      </c>
      <c r="U2166" t="s">
        <v>62</v>
      </c>
      <c r="V2166" t="s">
        <v>67</v>
      </c>
      <c r="W2166">
        <v>0</v>
      </c>
      <c r="X2166">
        <v>0</v>
      </c>
      <c r="Y2166">
        <v>19</v>
      </c>
      <c r="Z2166">
        <v>19</v>
      </c>
      <c r="AA2166">
        <v>20</v>
      </c>
      <c r="AB2166">
        <v>1500</v>
      </c>
      <c r="AC2166">
        <v>1079</v>
      </c>
      <c r="AD2166">
        <v>1079</v>
      </c>
      <c r="AE2166">
        <v>0</v>
      </c>
      <c r="AF2166">
        <v>0</v>
      </c>
      <c r="AG2166">
        <v>0</v>
      </c>
      <c r="AH2166">
        <v>0</v>
      </c>
      <c r="AI2166">
        <v>520</v>
      </c>
      <c r="AJ2166">
        <v>0</v>
      </c>
      <c r="AK2166">
        <v>0</v>
      </c>
      <c r="AL2166">
        <v>0</v>
      </c>
      <c r="AM2166">
        <v>200</v>
      </c>
      <c r="AN2166">
        <v>40</v>
      </c>
      <c r="AO2166">
        <v>0</v>
      </c>
      <c r="AP2166">
        <v>8</v>
      </c>
      <c r="AQ2166">
        <v>0</v>
      </c>
      <c r="AR2166">
        <v>0</v>
      </c>
      <c r="AS2166" t="s">
        <v>58</v>
      </c>
      <c r="AT2166">
        <v>1</v>
      </c>
      <c r="AU2166" t="s">
        <v>63</v>
      </c>
      <c r="AV2166" t="s">
        <v>64</v>
      </c>
      <c r="AW2166">
        <v>1</v>
      </c>
      <c r="AX2166">
        <v>3</v>
      </c>
      <c r="AY2166">
        <v>0</v>
      </c>
      <c r="AZ2166">
        <v>0</v>
      </c>
      <c r="BA2166">
        <v>100</v>
      </c>
      <c r="BB2166">
        <v>100</v>
      </c>
      <c r="BC2166">
        <v>100</v>
      </c>
      <c r="BD2166">
        <v>100</v>
      </c>
      <c r="BE2166">
        <v>1</v>
      </c>
      <c r="BF2166">
        <v>15000</v>
      </c>
      <c r="BG2166">
        <v>1000</v>
      </c>
      <c r="BH2166" s="6">
        <f>Grandview_Inventory[[#This Row],[land_extract]]*Lookups!$B$3</f>
        <v>45695.532079096141</v>
      </c>
      <c r="BI2166" s="6">
        <f>IF(Grandview_Inventory[[#This Row],[bldg_style]]="",0,Lookups!$B$2)</f>
        <v>155833.95000000001</v>
      </c>
      <c r="BJ2166" s="6">
        <f>_xlfn.IFNA(VLOOKUP(Grandview_Inventory[[#This Row],[quality]],Lookups!$H$2:$J$14,3,FALSE),0)</f>
        <v>9808</v>
      </c>
      <c r="BK2166" s="6">
        <f>_xlfn.IFNA(VLOOKUP(Grandview_Inventory[[#This Row],[condition]],Lookups!$H$17:$J$24,3,FALSE),0)</f>
        <v>22342</v>
      </c>
      <c r="BL2166" s="6">
        <f>Grandview_Inventory[[#This Row],[Eff_Age]]*Lookups!$B$14</f>
        <v>-4544.1653999999999</v>
      </c>
      <c r="BM2166" s="6">
        <f>Grandview_Inventory[[#This Row],[living_area]]*Lookups!$B$15</f>
        <v>67308.940386999995</v>
      </c>
      <c r="BN2166" s="6">
        <f>Grandview_Inventory[[#This Row],[Fin BSMT]]*Lookups!$B$16</f>
        <v>0</v>
      </c>
      <c r="BO2166" s="6">
        <f>(Grandview_Inventory[[#This Row],[att_gar]]+Grandview_Inventory[[#This Row],[bltin_gar]])*Lookups!$B$17</f>
        <v>45510.627240000002</v>
      </c>
      <c r="BP2166" s="6">
        <f>Grandview_Inventory[[#This Row],[Plumbing Fixtures]]*Lookups!$B$18</f>
        <v>16083.5344</v>
      </c>
      <c r="BQ2166" s="6">
        <f>Grandview_Inventory[[#This Row],[detatched_value]]*Lookups!$B$19</f>
        <v>0</v>
      </c>
      <c r="BR2166" s="6">
        <f>SUM(Grandview_Inventory[[#This Row],[Intercept]:[det_value]])*Grandview_Inventory[[#This Row],[res_pct]]</f>
        <v>312342.886627</v>
      </c>
      <c r="BS2166" s="6">
        <f>Grandview_Inventory[[#This Row],[land_value]]</f>
        <v>45695.532079096141</v>
      </c>
      <c r="BT2166" s="4">
        <f>_xlfn.IFNA(VLOOKUP(Grandview_Inventory[[#This Row],[quality]],Lookups!$A$26:$C$33,3,FALSE),1)</f>
        <v>0.94295468617355149</v>
      </c>
      <c r="BU2166" s="4">
        <f>_xlfn.IFNA(VLOOKUP(Grandview_Inventory[[#This Row],[condition]],Lookups!$A$37:$C$44,3,FALSE),1)</f>
        <v>0.97383723671140243</v>
      </c>
      <c r="BV2166" s="4">
        <f>IF(Grandview_Inventory[[#This Row],[bldg_style]]="",1,_xlfn.IFNA(VLOOKUP(Grandview_Inventory[[#This Row],[decade]],Lookups!$F$29:$H$43,3,FALSE),1))</f>
        <v>0.96737494181490646</v>
      </c>
      <c r="BW2166" s="4">
        <f>_xlfn.IFNA(VLOOKUP(Grandview_Inventory[[#This Row],[living_area_range]],Lookups!$F$47:$H$56,3,FALSE),1)</f>
        <v>0.96135087979789358</v>
      </c>
      <c r="BX2166" s="4">
        <f>AVERAGE(Grandview_Inventory[[#This Row],[qual_adj]:[size_adj]])</f>
        <v>0.96137943612443855</v>
      </c>
      <c r="BY2166" s="6">
        <f>IF(Grandview_Inventory[[#This Row],[pre_res]]&lt;0,0,Grandview_Inventory[[#This Row],[pre_res]]*Grandview_Inventory[[#This Row],[overall_adj]])</f>
        <v>300280.0282229447</v>
      </c>
      <c r="BZ2166" s="6">
        <f>(Grandview_Inventory[[#This Row],[sum_land]]-IF(Grandview_Inventory[[#This Row],[no_utilities]]=1,12000,0))/IF(Grandview_Inventory[[#This Row],[unbuildable]]=1,2,1)</f>
        <v>45695.532079096141</v>
      </c>
      <c r="CA216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66">
        <f>ROUND(Grandview_Inventory[[#This Row],[det_value]]*Lookups!$M$28,-2)</f>
        <v>0</v>
      </c>
      <c r="CC2166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66">
        <f>Grandview_Inventory[[#This Row],[final_det]]+Grandview_Inventory[[#This Row],[final_res]]</f>
        <v>285300</v>
      </c>
      <c r="CE2166">
        <f>Grandview_Inventory[[#This Row],[final_land]]+Grandview_Inventory[[#This Row],[final_imp]]+Grandview_Inventory[[#This Row],[crop_value]]</f>
        <v>328700</v>
      </c>
      <c r="CG2166" t="str">
        <f t="shared" si="33"/>
        <v>update valuation set market_land =43400, market_bldg=285300, market_total =328700, market_mdno =401, market_date ='9/10/2023' where link_id = (select link_id from parcel where parcel_year = '2024' and parcel_id = '23092424425');</v>
      </c>
    </row>
    <row r="2167" spans="1:85" x14ac:dyDescent="0.25">
      <c r="A2167">
        <v>23092424426</v>
      </c>
      <c r="B2167">
        <v>0.16</v>
      </c>
      <c r="C2167">
        <v>7091</v>
      </c>
      <c r="D2167" t="s">
        <v>129</v>
      </c>
      <c r="E2167" t="s">
        <v>53</v>
      </c>
      <c r="F2167" t="s">
        <v>53</v>
      </c>
      <c r="G2167">
        <v>4</v>
      </c>
      <c r="H2167" t="s">
        <v>54</v>
      </c>
      <c r="I2167">
        <v>211400</v>
      </c>
      <c r="J2167">
        <v>38800</v>
      </c>
      <c r="K2167">
        <v>0.16</v>
      </c>
      <c r="L216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67">
        <v>0</v>
      </c>
      <c r="N2167">
        <v>0</v>
      </c>
      <c r="O2167">
        <v>0</v>
      </c>
      <c r="P2167">
        <v>13398.7528</v>
      </c>
      <c r="Q2167">
        <v>63903</v>
      </c>
      <c r="R2167">
        <f>(Grandview_Inventory[[#This Row],[ln_acres]]*Grandview_Inventory[[#This Row],[coeff]])+Grandview_Inventory[[#This Row],[const]]</f>
        <v>39348.693981374228</v>
      </c>
      <c r="S2167" t="s">
        <v>61</v>
      </c>
      <c r="T2167">
        <v>1</v>
      </c>
      <c r="U2167" t="s">
        <v>62</v>
      </c>
      <c r="V2167" t="s">
        <v>67</v>
      </c>
      <c r="W2167">
        <v>0</v>
      </c>
      <c r="X2167">
        <v>0</v>
      </c>
      <c r="Y2167">
        <v>19</v>
      </c>
      <c r="Z2167">
        <v>19</v>
      </c>
      <c r="AA2167">
        <v>20</v>
      </c>
      <c r="AB2167">
        <v>1500</v>
      </c>
      <c r="AC2167">
        <v>1102</v>
      </c>
      <c r="AD2167">
        <v>1102</v>
      </c>
      <c r="AE2167">
        <v>0</v>
      </c>
      <c r="AF2167">
        <v>0</v>
      </c>
      <c r="AG2167">
        <v>0</v>
      </c>
      <c r="AH2167">
        <v>0</v>
      </c>
      <c r="AI2167">
        <v>520</v>
      </c>
      <c r="AJ2167">
        <v>0</v>
      </c>
      <c r="AK2167">
        <v>0</v>
      </c>
      <c r="AL2167">
        <v>0</v>
      </c>
      <c r="AM2167">
        <v>264</v>
      </c>
      <c r="AN2167">
        <v>60</v>
      </c>
      <c r="AO2167">
        <v>0</v>
      </c>
      <c r="AP2167">
        <v>8</v>
      </c>
      <c r="AQ2167">
        <v>0</v>
      </c>
      <c r="AR2167">
        <v>0</v>
      </c>
      <c r="AS2167" t="s">
        <v>58</v>
      </c>
      <c r="AT2167">
        <v>1</v>
      </c>
      <c r="AU2167" t="s">
        <v>63</v>
      </c>
      <c r="AV2167" t="s">
        <v>64</v>
      </c>
      <c r="AW2167">
        <v>1</v>
      </c>
      <c r="AX2167">
        <v>3</v>
      </c>
      <c r="AY2167">
        <v>0</v>
      </c>
      <c r="AZ2167">
        <v>0</v>
      </c>
      <c r="BA2167">
        <v>100</v>
      </c>
      <c r="BB2167">
        <v>100</v>
      </c>
      <c r="BC2167">
        <v>100</v>
      </c>
      <c r="BD2167">
        <v>100</v>
      </c>
      <c r="BE2167">
        <v>1</v>
      </c>
      <c r="BF2167">
        <v>15000</v>
      </c>
      <c r="BG2167">
        <v>1000</v>
      </c>
      <c r="BH2167" s="6">
        <f>Grandview_Inventory[[#This Row],[land_extract]]*Lookups!$B$3</f>
        <v>45695.532079096141</v>
      </c>
      <c r="BI2167" s="6">
        <f>IF(Grandview_Inventory[[#This Row],[bldg_style]]="",0,Lookups!$B$2)</f>
        <v>155833.95000000001</v>
      </c>
      <c r="BJ2167" s="6">
        <f>_xlfn.IFNA(VLOOKUP(Grandview_Inventory[[#This Row],[quality]],Lookups!$H$2:$J$14,3,FALSE),0)</f>
        <v>9808</v>
      </c>
      <c r="BK2167" s="6">
        <f>_xlfn.IFNA(VLOOKUP(Grandview_Inventory[[#This Row],[condition]],Lookups!$H$17:$J$24,3,FALSE),0)</f>
        <v>22342</v>
      </c>
      <c r="BL2167" s="6">
        <f>Grandview_Inventory[[#This Row],[Eff_Age]]*Lookups!$B$14</f>
        <v>-4544.1653999999999</v>
      </c>
      <c r="BM2167" s="6">
        <f>Grandview_Inventory[[#This Row],[living_area]]*Lookups!$B$15</f>
        <v>68743.700005999999</v>
      </c>
      <c r="BN2167" s="6">
        <f>Grandview_Inventory[[#This Row],[Fin BSMT]]*Lookups!$B$16</f>
        <v>0</v>
      </c>
      <c r="BO2167" s="6">
        <f>(Grandview_Inventory[[#This Row],[att_gar]]+Grandview_Inventory[[#This Row],[bltin_gar]])*Lookups!$B$17</f>
        <v>45510.627240000002</v>
      </c>
      <c r="BP2167" s="6">
        <f>Grandview_Inventory[[#This Row],[Plumbing Fixtures]]*Lookups!$B$18</f>
        <v>16083.5344</v>
      </c>
      <c r="BQ2167" s="6">
        <f>Grandview_Inventory[[#This Row],[detatched_value]]*Lookups!$B$19</f>
        <v>0</v>
      </c>
      <c r="BR2167" s="6">
        <f>SUM(Grandview_Inventory[[#This Row],[Intercept]:[det_value]])*Grandview_Inventory[[#This Row],[res_pct]]</f>
        <v>313777.64624600002</v>
      </c>
      <c r="BS2167" s="6">
        <f>Grandview_Inventory[[#This Row],[land_value]]</f>
        <v>45695.532079096141</v>
      </c>
      <c r="BT2167" s="4">
        <f>_xlfn.IFNA(VLOOKUP(Grandview_Inventory[[#This Row],[quality]],Lookups!$A$26:$C$33,3,FALSE),1)</f>
        <v>0.94295468617355149</v>
      </c>
      <c r="BU2167" s="4">
        <f>_xlfn.IFNA(VLOOKUP(Grandview_Inventory[[#This Row],[condition]],Lookups!$A$37:$C$44,3,FALSE),1)</f>
        <v>0.97383723671140243</v>
      </c>
      <c r="BV2167" s="4">
        <f>IF(Grandview_Inventory[[#This Row],[bldg_style]]="",1,_xlfn.IFNA(VLOOKUP(Grandview_Inventory[[#This Row],[decade]],Lookups!$F$29:$H$43,3,FALSE),1))</f>
        <v>0.96737494181490646</v>
      </c>
      <c r="BW2167" s="4">
        <f>_xlfn.IFNA(VLOOKUP(Grandview_Inventory[[#This Row],[living_area_range]],Lookups!$F$47:$H$56,3,FALSE),1)</f>
        <v>0.96135087979789358</v>
      </c>
      <c r="BX2167" s="4">
        <f>AVERAGE(Grandview_Inventory[[#This Row],[qual_adj]:[size_adj]])</f>
        <v>0.96137943612443855</v>
      </c>
      <c r="BY2167" s="6">
        <f>IF(Grandview_Inventory[[#This Row],[pre_res]]&lt;0,0,Grandview_Inventory[[#This Row],[pre_res]]*Grandview_Inventory[[#This Row],[overall_adj]])</f>
        <v>301659.37661643303</v>
      </c>
      <c r="BZ2167" s="6">
        <f>(Grandview_Inventory[[#This Row],[sum_land]]-IF(Grandview_Inventory[[#This Row],[no_utilities]]=1,12000,0))/IF(Grandview_Inventory[[#This Row],[unbuildable]]=1,2,1)</f>
        <v>45695.532079096141</v>
      </c>
      <c r="CA216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67">
        <f>ROUND(Grandview_Inventory[[#This Row],[det_value]]*Lookups!$M$28,-2)</f>
        <v>0</v>
      </c>
      <c r="CC2167">
        <f>IF(ROUND(Grandview_Inventory[[#This Row],[adj_res]]*Lookups!$M$28,-2)&lt;Grandview_Inventory[[#This Row],[min_res]],Grandview_Inventory[[#This Row],[min_res]],ROUND(Grandview_Inventory[[#This Row],[adj_res]]*Lookups!$M$28,-2))</f>
        <v>286600</v>
      </c>
      <c r="CD2167">
        <f>Grandview_Inventory[[#This Row],[final_det]]+Grandview_Inventory[[#This Row],[final_res]]</f>
        <v>286600</v>
      </c>
      <c r="CE2167">
        <f>Grandview_Inventory[[#This Row],[final_land]]+Grandview_Inventory[[#This Row],[final_imp]]+Grandview_Inventory[[#This Row],[crop_value]]</f>
        <v>330000</v>
      </c>
      <c r="CG2167" t="str">
        <f t="shared" si="33"/>
        <v>update valuation set market_land =43400, market_bldg=286600, market_total =330000, market_mdno =401, market_date ='9/10/2023' where link_id = (select link_id from parcel where parcel_year = '2024' and parcel_id = '23092424426');</v>
      </c>
    </row>
    <row r="2168" spans="1:85" x14ac:dyDescent="0.25">
      <c r="A2168">
        <v>23092424427</v>
      </c>
      <c r="B2168">
        <v>0.17</v>
      </c>
      <c r="C2168">
        <v>7200</v>
      </c>
      <c r="D2168" t="s">
        <v>129</v>
      </c>
      <c r="E2168" t="s">
        <v>53</v>
      </c>
      <c r="F2168" t="s">
        <v>53</v>
      </c>
      <c r="G2168">
        <v>4</v>
      </c>
      <c r="H2168" t="s">
        <v>54</v>
      </c>
      <c r="I2168">
        <v>206000</v>
      </c>
      <c r="J2168">
        <v>38800</v>
      </c>
      <c r="K2168">
        <v>0.17</v>
      </c>
      <c r="L216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68">
        <v>0</v>
      </c>
      <c r="N2168">
        <v>0</v>
      </c>
      <c r="O2168">
        <v>0</v>
      </c>
      <c r="P2168">
        <v>13398.7528</v>
      </c>
      <c r="Q2168">
        <v>63903</v>
      </c>
      <c r="R2168">
        <f>(Grandview_Inventory[[#This Row],[ln_acres]]*Grandview_Inventory[[#This Row],[coeff]])+Grandview_Inventory[[#This Row],[const]]</f>
        <v>40160.988302686128</v>
      </c>
      <c r="S2168" t="s">
        <v>61</v>
      </c>
      <c r="T2168">
        <v>1</v>
      </c>
      <c r="U2168" t="s">
        <v>62</v>
      </c>
      <c r="V2168" t="s">
        <v>67</v>
      </c>
      <c r="W2168">
        <v>0</v>
      </c>
      <c r="X2168">
        <v>0</v>
      </c>
      <c r="Y2168">
        <v>19</v>
      </c>
      <c r="Z2168">
        <v>19</v>
      </c>
      <c r="AA2168">
        <v>20</v>
      </c>
      <c r="AB2168">
        <v>1500</v>
      </c>
      <c r="AC2168">
        <v>1002</v>
      </c>
      <c r="AD2168">
        <v>1002</v>
      </c>
      <c r="AE2168">
        <v>0</v>
      </c>
      <c r="AF2168">
        <v>0</v>
      </c>
      <c r="AG2168">
        <v>0</v>
      </c>
      <c r="AH2168">
        <v>0</v>
      </c>
      <c r="AI2168">
        <v>520</v>
      </c>
      <c r="AJ2168">
        <v>0</v>
      </c>
      <c r="AK2168">
        <v>0</v>
      </c>
      <c r="AL2168">
        <v>0</v>
      </c>
      <c r="AM2168">
        <v>120</v>
      </c>
      <c r="AN2168">
        <v>60</v>
      </c>
      <c r="AO2168">
        <v>0</v>
      </c>
      <c r="AP2168">
        <v>8</v>
      </c>
      <c r="AQ2168">
        <v>0</v>
      </c>
      <c r="AR2168">
        <v>0</v>
      </c>
      <c r="AS2168" t="s">
        <v>58</v>
      </c>
      <c r="AT2168">
        <v>1</v>
      </c>
      <c r="AU2168" t="s">
        <v>63</v>
      </c>
      <c r="AV2168" t="s">
        <v>64</v>
      </c>
      <c r="AW2168">
        <v>1</v>
      </c>
      <c r="AX2168">
        <v>3</v>
      </c>
      <c r="AY2168">
        <v>0</v>
      </c>
      <c r="AZ2168">
        <v>0</v>
      </c>
      <c r="BA2168">
        <v>100</v>
      </c>
      <c r="BB2168">
        <v>100</v>
      </c>
      <c r="BC2168">
        <v>100</v>
      </c>
      <c r="BD2168">
        <v>100</v>
      </c>
      <c r="BE2168">
        <v>1</v>
      </c>
      <c r="BF2168">
        <v>15000</v>
      </c>
      <c r="BG2168">
        <v>1000</v>
      </c>
      <c r="BH2168" s="6">
        <f>Grandview_Inventory[[#This Row],[land_extract]]*Lookups!$B$3</f>
        <v>46638.847281240982</v>
      </c>
      <c r="BI2168" s="6">
        <f>IF(Grandview_Inventory[[#This Row],[bldg_style]]="",0,Lookups!$B$2)</f>
        <v>155833.95000000001</v>
      </c>
      <c r="BJ2168" s="6">
        <f>_xlfn.IFNA(VLOOKUP(Grandview_Inventory[[#This Row],[quality]],Lookups!$H$2:$J$14,3,FALSE),0)</f>
        <v>9808</v>
      </c>
      <c r="BK2168" s="6">
        <f>_xlfn.IFNA(VLOOKUP(Grandview_Inventory[[#This Row],[condition]],Lookups!$H$17:$J$24,3,FALSE),0)</f>
        <v>22342</v>
      </c>
      <c r="BL2168" s="6">
        <f>Grandview_Inventory[[#This Row],[Eff_Age]]*Lookups!$B$14</f>
        <v>-4544.1653999999999</v>
      </c>
      <c r="BM2168" s="6">
        <f>Grandview_Inventory[[#This Row],[living_area]]*Lookups!$B$15</f>
        <v>62505.614706</v>
      </c>
      <c r="BN2168" s="6">
        <f>Grandview_Inventory[[#This Row],[Fin BSMT]]*Lookups!$B$16</f>
        <v>0</v>
      </c>
      <c r="BO2168" s="6">
        <f>(Grandview_Inventory[[#This Row],[att_gar]]+Grandview_Inventory[[#This Row],[bltin_gar]])*Lookups!$B$17</f>
        <v>45510.627240000002</v>
      </c>
      <c r="BP2168" s="6">
        <f>Grandview_Inventory[[#This Row],[Plumbing Fixtures]]*Lookups!$B$18</f>
        <v>16083.5344</v>
      </c>
      <c r="BQ2168" s="6">
        <f>Grandview_Inventory[[#This Row],[detatched_value]]*Lookups!$B$19</f>
        <v>0</v>
      </c>
      <c r="BR2168" s="6">
        <f>SUM(Grandview_Inventory[[#This Row],[Intercept]:[det_value]])*Grandview_Inventory[[#This Row],[res_pct]]</f>
        <v>307539.56094600004</v>
      </c>
      <c r="BS2168" s="6">
        <f>Grandview_Inventory[[#This Row],[land_value]]</f>
        <v>46638.847281240982</v>
      </c>
      <c r="BT2168" s="4">
        <f>_xlfn.IFNA(VLOOKUP(Grandview_Inventory[[#This Row],[quality]],Lookups!$A$26:$C$33,3,FALSE),1)</f>
        <v>0.94295468617355149</v>
      </c>
      <c r="BU2168" s="4">
        <f>_xlfn.IFNA(VLOOKUP(Grandview_Inventory[[#This Row],[condition]],Lookups!$A$37:$C$44,3,FALSE),1)</f>
        <v>0.97383723671140243</v>
      </c>
      <c r="BV2168" s="4">
        <f>IF(Grandview_Inventory[[#This Row],[bldg_style]]="",1,_xlfn.IFNA(VLOOKUP(Grandview_Inventory[[#This Row],[decade]],Lookups!$F$29:$H$43,3,FALSE),1))</f>
        <v>0.96737494181490646</v>
      </c>
      <c r="BW2168" s="4">
        <f>_xlfn.IFNA(VLOOKUP(Grandview_Inventory[[#This Row],[living_area_range]],Lookups!$F$47:$H$56,3,FALSE),1)</f>
        <v>0.96135087979789358</v>
      </c>
      <c r="BX2168" s="4">
        <f>AVERAGE(Grandview_Inventory[[#This Row],[qual_adj]:[size_adj]])</f>
        <v>0.96137943612443855</v>
      </c>
      <c r="BY2168" s="6">
        <f>IF(Grandview_Inventory[[#This Row],[pre_res]]&lt;0,0,Grandview_Inventory[[#This Row],[pre_res]]*Grandview_Inventory[[#This Row],[overall_adj]])</f>
        <v>295662.20968822291</v>
      </c>
      <c r="BZ2168" s="6">
        <f>(Grandview_Inventory[[#This Row],[sum_land]]-IF(Grandview_Inventory[[#This Row],[no_utilities]]=1,12000,0))/IF(Grandview_Inventory[[#This Row],[unbuildable]]=1,2,1)</f>
        <v>46638.847281240982</v>
      </c>
      <c r="CA216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68">
        <f>ROUND(Grandview_Inventory[[#This Row],[det_value]]*Lookups!$M$28,-2)</f>
        <v>0</v>
      </c>
      <c r="CC2168">
        <f>IF(ROUND(Grandview_Inventory[[#This Row],[adj_res]]*Lookups!$M$28,-2)&lt;Grandview_Inventory[[#This Row],[min_res]],Grandview_Inventory[[#This Row],[min_res]],ROUND(Grandview_Inventory[[#This Row],[adj_res]]*Lookups!$M$28,-2))</f>
        <v>280900</v>
      </c>
      <c r="CD2168">
        <f>Grandview_Inventory[[#This Row],[final_det]]+Grandview_Inventory[[#This Row],[final_res]]</f>
        <v>280900</v>
      </c>
      <c r="CE2168">
        <f>Grandview_Inventory[[#This Row],[final_land]]+Grandview_Inventory[[#This Row],[final_imp]]+Grandview_Inventory[[#This Row],[crop_value]]</f>
        <v>325200</v>
      </c>
      <c r="CG2168" t="str">
        <f t="shared" si="33"/>
        <v>update valuation set market_land =44300, market_bldg=280900, market_total =325200, market_mdno =401, market_date ='9/10/2023' where link_id = (select link_id from parcel where parcel_year = '2024' and parcel_id = '23092424427');</v>
      </c>
    </row>
    <row r="2169" spans="1:85" x14ac:dyDescent="0.25">
      <c r="A2169">
        <v>23092424429</v>
      </c>
      <c r="B2169">
        <v>0.17</v>
      </c>
      <c r="C2169">
        <v>7337</v>
      </c>
      <c r="D2169" t="s">
        <v>129</v>
      </c>
      <c r="E2169" t="s">
        <v>53</v>
      </c>
      <c r="F2169" t="s">
        <v>53</v>
      </c>
      <c r="G2169">
        <v>4</v>
      </c>
      <c r="H2169" t="s">
        <v>54</v>
      </c>
      <c r="I2169">
        <v>208200</v>
      </c>
      <c r="J2169">
        <v>38800</v>
      </c>
      <c r="K2169">
        <v>0.17</v>
      </c>
      <c r="L216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69">
        <v>0</v>
      </c>
      <c r="N2169">
        <v>0</v>
      </c>
      <c r="O2169">
        <v>0</v>
      </c>
      <c r="P2169">
        <v>13398.7528</v>
      </c>
      <c r="Q2169">
        <v>63903</v>
      </c>
      <c r="R2169">
        <f>(Grandview_Inventory[[#This Row],[ln_acres]]*Grandview_Inventory[[#This Row],[coeff]])+Grandview_Inventory[[#This Row],[const]]</f>
        <v>40160.988302686128</v>
      </c>
      <c r="S2169" t="s">
        <v>61</v>
      </c>
      <c r="T2169">
        <v>1</v>
      </c>
      <c r="U2169" t="s">
        <v>62</v>
      </c>
      <c r="V2169" t="s">
        <v>67</v>
      </c>
      <c r="W2169">
        <v>0</v>
      </c>
      <c r="X2169">
        <v>0</v>
      </c>
      <c r="Y2169">
        <v>19</v>
      </c>
      <c r="Z2169">
        <v>19</v>
      </c>
      <c r="AA2169">
        <v>20</v>
      </c>
      <c r="AB2169">
        <v>1500</v>
      </c>
      <c r="AC2169">
        <v>1044</v>
      </c>
      <c r="AD2169">
        <v>1044</v>
      </c>
      <c r="AE2169">
        <v>0</v>
      </c>
      <c r="AF2169">
        <v>0</v>
      </c>
      <c r="AG2169">
        <v>0</v>
      </c>
      <c r="AH2169">
        <v>0</v>
      </c>
      <c r="AI2169">
        <v>520</v>
      </c>
      <c r="AJ2169">
        <v>0</v>
      </c>
      <c r="AK2169">
        <v>0</v>
      </c>
      <c r="AL2169">
        <v>0</v>
      </c>
      <c r="AM2169">
        <v>350</v>
      </c>
      <c r="AN2169">
        <v>40</v>
      </c>
      <c r="AO2169">
        <v>0</v>
      </c>
      <c r="AP2169">
        <v>8</v>
      </c>
      <c r="AQ2169">
        <v>0</v>
      </c>
      <c r="AR2169">
        <v>0</v>
      </c>
      <c r="AS2169" t="s">
        <v>58</v>
      </c>
      <c r="AT2169">
        <v>1</v>
      </c>
      <c r="AU2169" t="s">
        <v>63</v>
      </c>
      <c r="AV2169" t="s">
        <v>64</v>
      </c>
      <c r="AW2169">
        <v>1</v>
      </c>
      <c r="AX2169">
        <v>3</v>
      </c>
      <c r="AY2169">
        <v>0</v>
      </c>
      <c r="AZ2169">
        <v>0</v>
      </c>
      <c r="BA2169">
        <v>100</v>
      </c>
      <c r="BB2169">
        <v>100</v>
      </c>
      <c r="BC2169">
        <v>100</v>
      </c>
      <c r="BD2169">
        <v>100</v>
      </c>
      <c r="BE2169">
        <v>1</v>
      </c>
      <c r="BF2169">
        <v>15000</v>
      </c>
      <c r="BG2169">
        <v>1000</v>
      </c>
      <c r="BH2169" s="6">
        <f>Grandview_Inventory[[#This Row],[land_extract]]*Lookups!$B$3</f>
        <v>46638.847281240982</v>
      </c>
      <c r="BI2169" s="6">
        <f>IF(Grandview_Inventory[[#This Row],[bldg_style]]="",0,Lookups!$B$2)</f>
        <v>155833.95000000001</v>
      </c>
      <c r="BJ2169" s="6">
        <f>_xlfn.IFNA(VLOOKUP(Grandview_Inventory[[#This Row],[quality]],Lookups!$H$2:$J$14,3,FALSE),0)</f>
        <v>9808</v>
      </c>
      <c r="BK2169" s="6">
        <f>_xlfn.IFNA(VLOOKUP(Grandview_Inventory[[#This Row],[condition]],Lookups!$H$17:$J$24,3,FALSE),0)</f>
        <v>22342</v>
      </c>
      <c r="BL2169" s="6">
        <f>Grandview_Inventory[[#This Row],[Eff_Age]]*Lookups!$B$14</f>
        <v>-4544.1653999999999</v>
      </c>
      <c r="BM2169" s="6">
        <f>Grandview_Inventory[[#This Row],[living_area]]*Lookups!$B$15</f>
        <v>65125.610531999999</v>
      </c>
      <c r="BN2169" s="6">
        <f>Grandview_Inventory[[#This Row],[Fin BSMT]]*Lookups!$B$16</f>
        <v>0</v>
      </c>
      <c r="BO2169" s="6">
        <f>(Grandview_Inventory[[#This Row],[att_gar]]+Grandview_Inventory[[#This Row],[bltin_gar]])*Lookups!$B$17</f>
        <v>45510.627240000002</v>
      </c>
      <c r="BP2169" s="6">
        <f>Grandview_Inventory[[#This Row],[Plumbing Fixtures]]*Lookups!$B$18</f>
        <v>16083.5344</v>
      </c>
      <c r="BQ2169" s="6">
        <f>Grandview_Inventory[[#This Row],[detatched_value]]*Lookups!$B$19</f>
        <v>0</v>
      </c>
      <c r="BR2169" s="6">
        <f>SUM(Grandview_Inventory[[#This Row],[Intercept]:[det_value]])*Grandview_Inventory[[#This Row],[res_pct]]</f>
        <v>310159.55677200004</v>
      </c>
      <c r="BS2169" s="6">
        <f>Grandview_Inventory[[#This Row],[land_value]]</f>
        <v>46638.847281240982</v>
      </c>
      <c r="BT2169" s="4">
        <f>_xlfn.IFNA(VLOOKUP(Grandview_Inventory[[#This Row],[quality]],Lookups!$A$26:$C$33,3,FALSE),1)</f>
        <v>0.94295468617355149</v>
      </c>
      <c r="BU2169" s="4">
        <f>_xlfn.IFNA(VLOOKUP(Grandview_Inventory[[#This Row],[condition]],Lookups!$A$37:$C$44,3,FALSE),1)</f>
        <v>0.97383723671140243</v>
      </c>
      <c r="BV2169" s="4">
        <f>IF(Grandview_Inventory[[#This Row],[bldg_style]]="",1,_xlfn.IFNA(VLOOKUP(Grandview_Inventory[[#This Row],[decade]],Lookups!$F$29:$H$43,3,FALSE),1))</f>
        <v>0.96737494181490646</v>
      </c>
      <c r="BW2169" s="4">
        <f>_xlfn.IFNA(VLOOKUP(Grandview_Inventory[[#This Row],[living_area_range]],Lookups!$F$47:$H$56,3,FALSE),1)</f>
        <v>0.96135087979789358</v>
      </c>
      <c r="BX2169" s="4">
        <f>AVERAGE(Grandview_Inventory[[#This Row],[qual_adj]:[size_adj]])</f>
        <v>0.96137943612443855</v>
      </c>
      <c r="BY2169" s="6">
        <f>IF(Grandview_Inventory[[#This Row],[pre_res]]&lt;0,0,Grandview_Inventory[[#This Row],[pre_res]]*Grandview_Inventory[[#This Row],[overall_adj]])</f>
        <v>298181.01979807118</v>
      </c>
      <c r="BZ2169" s="6">
        <f>(Grandview_Inventory[[#This Row],[sum_land]]-IF(Grandview_Inventory[[#This Row],[no_utilities]]=1,12000,0))/IF(Grandview_Inventory[[#This Row],[unbuildable]]=1,2,1)</f>
        <v>46638.847281240982</v>
      </c>
      <c r="CA216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69">
        <f>ROUND(Grandview_Inventory[[#This Row],[det_value]]*Lookups!$M$28,-2)</f>
        <v>0</v>
      </c>
      <c r="CC2169">
        <f>IF(ROUND(Grandview_Inventory[[#This Row],[adj_res]]*Lookups!$M$28,-2)&lt;Grandview_Inventory[[#This Row],[min_res]],Grandview_Inventory[[#This Row],[min_res]],ROUND(Grandview_Inventory[[#This Row],[adj_res]]*Lookups!$M$28,-2))</f>
        <v>283300</v>
      </c>
      <c r="CD2169">
        <f>Grandview_Inventory[[#This Row],[final_det]]+Grandview_Inventory[[#This Row],[final_res]]</f>
        <v>283300</v>
      </c>
      <c r="CE2169">
        <f>Grandview_Inventory[[#This Row],[final_land]]+Grandview_Inventory[[#This Row],[final_imp]]+Grandview_Inventory[[#This Row],[crop_value]]</f>
        <v>327600</v>
      </c>
      <c r="CG2169" t="str">
        <f t="shared" si="33"/>
        <v>update valuation set market_land =44300, market_bldg=283300, market_total =327600, market_mdno =401, market_date ='9/10/2023' where link_id = (select link_id from parcel where parcel_year = '2024' and parcel_id = '23092424429');</v>
      </c>
    </row>
    <row r="2170" spans="1:85" x14ac:dyDescent="0.25">
      <c r="A2170">
        <v>23092424430</v>
      </c>
      <c r="B2170">
        <v>0.17</v>
      </c>
      <c r="C2170">
        <v>7345</v>
      </c>
      <c r="D2170" t="s">
        <v>129</v>
      </c>
      <c r="E2170" t="s">
        <v>53</v>
      </c>
      <c r="F2170" t="s">
        <v>53</v>
      </c>
      <c r="G2170">
        <v>4</v>
      </c>
      <c r="H2170" t="s">
        <v>54</v>
      </c>
      <c r="I2170">
        <v>214900</v>
      </c>
      <c r="J2170">
        <v>43000</v>
      </c>
      <c r="K2170">
        <v>0.17</v>
      </c>
      <c r="L217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70">
        <v>0</v>
      </c>
      <c r="N2170">
        <v>0</v>
      </c>
      <c r="O2170">
        <v>0</v>
      </c>
      <c r="P2170">
        <v>13398.7528</v>
      </c>
      <c r="Q2170">
        <v>63903</v>
      </c>
      <c r="R2170">
        <f>(Grandview_Inventory[[#This Row],[ln_acres]]*Grandview_Inventory[[#This Row],[coeff]])+Grandview_Inventory[[#This Row],[const]]</f>
        <v>40160.988302686128</v>
      </c>
      <c r="S2170" t="s">
        <v>61</v>
      </c>
      <c r="T2170">
        <v>1</v>
      </c>
      <c r="U2170" t="s">
        <v>62</v>
      </c>
      <c r="V2170" t="s">
        <v>67</v>
      </c>
      <c r="W2170">
        <v>0</v>
      </c>
      <c r="X2170">
        <v>0</v>
      </c>
      <c r="Y2170">
        <v>19</v>
      </c>
      <c r="Z2170">
        <v>19</v>
      </c>
      <c r="AA2170">
        <v>20</v>
      </c>
      <c r="AB2170">
        <v>1500</v>
      </c>
      <c r="AC2170">
        <v>1168</v>
      </c>
      <c r="AD2170">
        <v>1168</v>
      </c>
      <c r="AE2170">
        <v>0</v>
      </c>
      <c r="AF2170">
        <v>0</v>
      </c>
      <c r="AG2170">
        <v>0</v>
      </c>
      <c r="AH2170">
        <v>0</v>
      </c>
      <c r="AI2170">
        <v>520</v>
      </c>
      <c r="AJ2170">
        <v>0</v>
      </c>
      <c r="AK2170">
        <v>0</v>
      </c>
      <c r="AL2170">
        <v>0</v>
      </c>
      <c r="AM2170">
        <v>120</v>
      </c>
      <c r="AN2170">
        <v>56</v>
      </c>
      <c r="AO2170">
        <v>0</v>
      </c>
      <c r="AP2170">
        <v>8</v>
      </c>
      <c r="AQ2170">
        <v>0</v>
      </c>
      <c r="AR2170">
        <v>0</v>
      </c>
      <c r="AS2170" t="s">
        <v>58</v>
      </c>
      <c r="AT2170">
        <v>1</v>
      </c>
      <c r="AU2170" t="s">
        <v>63</v>
      </c>
      <c r="AV2170" t="s">
        <v>64</v>
      </c>
      <c r="AW2170">
        <v>1</v>
      </c>
      <c r="AX2170">
        <v>3</v>
      </c>
      <c r="AY2170">
        <v>0</v>
      </c>
      <c r="AZ2170">
        <v>0</v>
      </c>
      <c r="BA2170">
        <v>100</v>
      </c>
      <c r="BB2170">
        <v>100</v>
      </c>
      <c r="BC2170">
        <v>100</v>
      </c>
      <c r="BD2170">
        <v>100</v>
      </c>
      <c r="BE2170">
        <v>1</v>
      </c>
      <c r="BF2170">
        <v>15000</v>
      </c>
      <c r="BG2170">
        <v>1000</v>
      </c>
      <c r="BH2170" s="6">
        <f>Grandview_Inventory[[#This Row],[land_extract]]*Lookups!$B$3</f>
        <v>46638.847281240982</v>
      </c>
      <c r="BI2170" s="6">
        <f>IF(Grandview_Inventory[[#This Row],[bldg_style]]="",0,Lookups!$B$2)</f>
        <v>155833.95000000001</v>
      </c>
      <c r="BJ2170" s="6">
        <f>_xlfn.IFNA(VLOOKUP(Grandview_Inventory[[#This Row],[quality]],Lookups!$H$2:$J$14,3,FALSE),0)</f>
        <v>9808</v>
      </c>
      <c r="BK2170" s="6">
        <f>_xlfn.IFNA(VLOOKUP(Grandview_Inventory[[#This Row],[condition]],Lookups!$H$17:$J$24,3,FALSE),0)</f>
        <v>22342</v>
      </c>
      <c r="BL2170" s="6">
        <f>Grandview_Inventory[[#This Row],[Eff_Age]]*Lookups!$B$14</f>
        <v>-4544.1653999999999</v>
      </c>
      <c r="BM2170" s="6">
        <f>Grandview_Inventory[[#This Row],[living_area]]*Lookups!$B$15</f>
        <v>72860.836303999997</v>
      </c>
      <c r="BN2170" s="6">
        <f>Grandview_Inventory[[#This Row],[Fin BSMT]]*Lookups!$B$16</f>
        <v>0</v>
      </c>
      <c r="BO2170" s="6">
        <f>(Grandview_Inventory[[#This Row],[att_gar]]+Grandview_Inventory[[#This Row],[bltin_gar]])*Lookups!$B$17</f>
        <v>45510.627240000002</v>
      </c>
      <c r="BP2170" s="6">
        <f>Grandview_Inventory[[#This Row],[Plumbing Fixtures]]*Lookups!$B$18</f>
        <v>16083.5344</v>
      </c>
      <c r="BQ2170" s="6">
        <f>Grandview_Inventory[[#This Row],[detatched_value]]*Lookups!$B$19</f>
        <v>0</v>
      </c>
      <c r="BR2170" s="6">
        <f>SUM(Grandview_Inventory[[#This Row],[Intercept]:[det_value]])*Grandview_Inventory[[#This Row],[res_pct]]</f>
        <v>317894.78254400002</v>
      </c>
      <c r="BS2170" s="6">
        <f>Grandview_Inventory[[#This Row],[land_value]]</f>
        <v>46638.847281240982</v>
      </c>
      <c r="BT2170" s="4">
        <f>_xlfn.IFNA(VLOOKUP(Grandview_Inventory[[#This Row],[quality]],Lookups!$A$26:$C$33,3,FALSE),1)</f>
        <v>0.94295468617355149</v>
      </c>
      <c r="BU2170" s="4">
        <f>_xlfn.IFNA(VLOOKUP(Grandview_Inventory[[#This Row],[condition]],Lookups!$A$37:$C$44,3,FALSE),1)</f>
        <v>0.97383723671140243</v>
      </c>
      <c r="BV2170" s="4">
        <f>IF(Grandview_Inventory[[#This Row],[bldg_style]]="",1,_xlfn.IFNA(VLOOKUP(Grandview_Inventory[[#This Row],[decade]],Lookups!$F$29:$H$43,3,FALSE),1))</f>
        <v>0.96737494181490646</v>
      </c>
      <c r="BW2170" s="4">
        <f>_xlfn.IFNA(VLOOKUP(Grandview_Inventory[[#This Row],[living_area_range]],Lookups!$F$47:$H$56,3,FALSE),1)</f>
        <v>0.96135087979789358</v>
      </c>
      <c r="BX2170" s="4">
        <f>AVERAGE(Grandview_Inventory[[#This Row],[qual_adj]:[size_adj]])</f>
        <v>0.96137943612443855</v>
      </c>
      <c r="BY2170" s="6">
        <f>IF(Grandview_Inventory[[#This Row],[pre_res]]&lt;0,0,Grandview_Inventory[[#This Row],[pre_res]]*Grandview_Inventory[[#This Row],[overall_adj]])</f>
        <v>305617.50678905175</v>
      </c>
      <c r="BZ2170" s="6">
        <f>(Grandview_Inventory[[#This Row],[sum_land]]-IF(Grandview_Inventory[[#This Row],[no_utilities]]=1,12000,0))/IF(Grandview_Inventory[[#This Row],[unbuildable]]=1,2,1)</f>
        <v>46638.847281240982</v>
      </c>
      <c r="CA217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70">
        <f>ROUND(Grandview_Inventory[[#This Row],[det_value]]*Lookups!$M$28,-2)</f>
        <v>0</v>
      </c>
      <c r="CC2170">
        <f>IF(ROUND(Grandview_Inventory[[#This Row],[adj_res]]*Lookups!$M$28,-2)&lt;Grandview_Inventory[[#This Row],[min_res]],Grandview_Inventory[[#This Row],[min_res]],ROUND(Grandview_Inventory[[#This Row],[adj_res]]*Lookups!$M$28,-2))</f>
        <v>290300</v>
      </c>
      <c r="CD2170">
        <f>Grandview_Inventory[[#This Row],[final_det]]+Grandview_Inventory[[#This Row],[final_res]]</f>
        <v>290300</v>
      </c>
      <c r="CE2170">
        <f>Grandview_Inventory[[#This Row],[final_land]]+Grandview_Inventory[[#This Row],[final_imp]]+Grandview_Inventory[[#This Row],[crop_value]]</f>
        <v>334600</v>
      </c>
      <c r="CG2170" t="str">
        <f t="shared" si="33"/>
        <v>update valuation set market_land =44300, market_bldg=290300, market_total =334600, market_mdno =401, market_date ='9/10/2023' where link_id = (select link_id from parcel where parcel_year = '2024' and parcel_id = '23092424430');</v>
      </c>
    </row>
    <row r="2171" spans="1:85" x14ac:dyDescent="0.25">
      <c r="A2171">
        <v>23092424431</v>
      </c>
      <c r="B2171">
        <v>0.18</v>
      </c>
      <c r="C2171">
        <v>7757</v>
      </c>
      <c r="D2171" t="s">
        <v>129</v>
      </c>
      <c r="E2171" t="s">
        <v>53</v>
      </c>
      <c r="F2171" t="s">
        <v>53</v>
      </c>
      <c r="G2171">
        <v>4</v>
      </c>
      <c r="H2171" t="s">
        <v>54</v>
      </c>
      <c r="I2171">
        <v>212300</v>
      </c>
      <c r="J2171">
        <v>38800</v>
      </c>
      <c r="K2171">
        <v>0.18</v>
      </c>
      <c r="L217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171">
        <v>0</v>
      </c>
      <c r="N2171">
        <v>0</v>
      </c>
      <c r="O2171">
        <v>0</v>
      </c>
      <c r="P2171">
        <v>13398.7528</v>
      </c>
      <c r="Q2171">
        <v>63903</v>
      </c>
      <c r="R2171">
        <f>(Grandview_Inventory[[#This Row],[ln_acres]]*Grandview_Inventory[[#This Row],[coeff]])+Grandview_Inventory[[#This Row],[const]]</f>
        <v>40926.839760167699</v>
      </c>
      <c r="S2171" t="s">
        <v>61</v>
      </c>
      <c r="T2171">
        <v>1</v>
      </c>
      <c r="U2171" t="s">
        <v>62</v>
      </c>
      <c r="V2171" t="s">
        <v>67</v>
      </c>
      <c r="W2171">
        <v>0</v>
      </c>
      <c r="X2171">
        <v>0</v>
      </c>
      <c r="Y2171">
        <v>19</v>
      </c>
      <c r="Z2171">
        <v>19</v>
      </c>
      <c r="AA2171">
        <v>20</v>
      </c>
      <c r="AB2171">
        <v>1500</v>
      </c>
      <c r="AC2171">
        <v>1119</v>
      </c>
      <c r="AD2171">
        <v>1119</v>
      </c>
      <c r="AE2171">
        <v>0</v>
      </c>
      <c r="AF2171">
        <v>0</v>
      </c>
      <c r="AG2171">
        <v>0</v>
      </c>
      <c r="AH2171">
        <v>0</v>
      </c>
      <c r="AI2171">
        <v>520</v>
      </c>
      <c r="AJ2171">
        <v>0</v>
      </c>
      <c r="AK2171">
        <v>0</v>
      </c>
      <c r="AL2171">
        <v>0</v>
      </c>
      <c r="AM2171">
        <v>300</v>
      </c>
      <c r="AN2171">
        <v>40</v>
      </c>
      <c r="AO2171">
        <v>300</v>
      </c>
      <c r="AP2171">
        <v>8</v>
      </c>
      <c r="AQ2171">
        <v>0</v>
      </c>
      <c r="AR2171">
        <v>0</v>
      </c>
      <c r="AS2171" t="s">
        <v>58</v>
      </c>
      <c r="AT2171">
        <v>1</v>
      </c>
      <c r="AU2171" t="s">
        <v>63</v>
      </c>
      <c r="AV2171" t="s">
        <v>64</v>
      </c>
      <c r="AW2171">
        <v>1</v>
      </c>
      <c r="AX2171">
        <v>3</v>
      </c>
      <c r="AY2171">
        <v>0</v>
      </c>
      <c r="AZ2171">
        <v>0</v>
      </c>
      <c r="BA2171">
        <v>100</v>
      </c>
      <c r="BB2171">
        <v>100</v>
      </c>
      <c r="BC2171">
        <v>100</v>
      </c>
      <c r="BD2171">
        <v>100</v>
      </c>
      <c r="BE2171">
        <v>1</v>
      </c>
      <c r="BF2171">
        <v>15000</v>
      </c>
      <c r="BG2171">
        <v>1000</v>
      </c>
      <c r="BH2171" s="6">
        <f>Grandview_Inventory[[#This Row],[land_extract]]*Lookups!$B$3</f>
        <v>47528.228511015397</v>
      </c>
      <c r="BI2171" s="6">
        <f>IF(Grandview_Inventory[[#This Row],[bldg_style]]="",0,Lookups!$B$2)</f>
        <v>155833.95000000001</v>
      </c>
      <c r="BJ2171" s="6">
        <f>_xlfn.IFNA(VLOOKUP(Grandview_Inventory[[#This Row],[quality]],Lookups!$H$2:$J$14,3,FALSE),0)</f>
        <v>9808</v>
      </c>
      <c r="BK2171" s="6">
        <f>_xlfn.IFNA(VLOOKUP(Grandview_Inventory[[#This Row],[condition]],Lookups!$H$17:$J$24,3,FALSE),0)</f>
        <v>22342</v>
      </c>
      <c r="BL2171" s="6">
        <f>Grandview_Inventory[[#This Row],[Eff_Age]]*Lookups!$B$14</f>
        <v>-4544.1653999999999</v>
      </c>
      <c r="BM2171" s="6">
        <f>Grandview_Inventory[[#This Row],[living_area]]*Lookups!$B$15</f>
        <v>69804.174507000003</v>
      </c>
      <c r="BN2171" s="6">
        <f>Grandview_Inventory[[#This Row],[Fin BSMT]]*Lookups!$B$16</f>
        <v>0</v>
      </c>
      <c r="BO2171" s="6">
        <f>(Grandview_Inventory[[#This Row],[att_gar]]+Grandview_Inventory[[#This Row],[bltin_gar]])*Lookups!$B$17</f>
        <v>45510.627240000002</v>
      </c>
      <c r="BP2171" s="6">
        <f>Grandview_Inventory[[#This Row],[Plumbing Fixtures]]*Lookups!$B$18</f>
        <v>16083.5344</v>
      </c>
      <c r="BQ2171" s="6">
        <f>Grandview_Inventory[[#This Row],[detatched_value]]*Lookups!$B$19</f>
        <v>0</v>
      </c>
      <c r="BR2171" s="6">
        <f>SUM(Grandview_Inventory[[#This Row],[Intercept]:[det_value]])*Grandview_Inventory[[#This Row],[res_pct]]</f>
        <v>314838.12074700004</v>
      </c>
      <c r="BS2171" s="6">
        <f>Grandview_Inventory[[#This Row],[land_value]]</f>
        <v>47528.228511015397</v>
      </c>
      <c r="BT2171" s="4">
        <f>_xlfn.IFNA(VLOOKUP(Grandview_Inventory[[#This Row],[quality]],Lookups!$A$26:$C$33,3,FALSE),1)</f>
        <v>0.94295468617355149</v>
      </c>
      <c r="BU2171" s="4">
        <f>_xlfn.IFNA(VLOOKUP(Grandview_Inventory[[#This Row],[condition]],Lookups!$A$37:$C$44,3,FALSE),1)</f>
        <v>0.97383723671140243</v>
      </c>
      <c r="BV2171" s="4">
        <f>IF(Grandview_Inventory[[#This Row],[bldg_style]]="",1,_xlfn.IFNA(VLOOKUP(Grandview_Inventory[[#This Row],[decade]],Lookups!$F$29:$H$43,3,FALSE),1))</f>
        <v>0.96737494181490646</v>
      </c>
      <c r="BW2171" s="4">
        <f>_xlfn.IFNA(VLOOKUP(Grandview_Inventory[[#This Row],[living_area_range]],Lookups!$F$47:$H$56,3,FALSE),1)</f>
        <v>0.96135087979789358</v>
      </c>
      <c r="BX2171" s="4">
        <f>AVERAGE(Grandview_Inventory[[#This Row],[qual_adj]:[size_adj]])</f>
        <v>0.96137943612443855</v>
      </c>
      <c r="BY2171" s="6">
        <f>IF(Grandview_Inventory[[#This Row],[pre_res]]&lt;0,0,Grandview_Inventory[[#This Row],[pre_res]]*Grandview_Inventory[[#This Row],[overall_adj]])</f>
        <v>302678.89499422879</v>
      </c>
      <c r="BZ2171" s="6">
        <f>(Grandview_Inventory[[#This Row],[sum_land]]-IF(Grandview_Inventory[[#This Row],[no_utilities]]=1,12000,0))/IF(Grandview_Inventory[[#This Row],[unbuildable]]=1,2,1)</f>
        <v>47528.228511015397</v>
      </c>
      <c r="CA217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171">
        <f>ROUND(Grandview_Inventory[[#This Row],[det_value]]*Lookups!$M$28,-2)</f>
        <v>0</v>
      </c>
      <c r="CC2171">
        <f>IF(ROUND(Grandview_Inventory[[#This Row],[adj_res]]*Lookups!$M$28,-2)&lt;Grandview_Inventory[[#This Row],[min_res]],Grandview_Inventory[[#This Row],[min_res]],ROUND(Grandview_Inventory[[#This Row],[adj_res]]*Lookups!$M$28,-2))</f>
        <v>287500</v>
      </c>
      <c r="CD2171">
        <f>Grandview_Inventory[[#This Row],[final_det]]+Grandview_Inventory[[#This Row],[final_res]]</f>
        <v>287500</v>
      </c>
      <c r="CE2171">
        <f>Grandview_Inventory[[#This Row],[final_land]]+Grandview_Inventory[[#This Row],[final_imp]]+Grandview_Inventory[[#This Row],[crop_value]]</f>
        <v>332700</v>
      </c>
      <c r="CG2171" t="str">
        <f t="shared" si="33"/>
        <v>update valuation set market_land =45200, market_bldg=287500, market_total =332700, market_mdno =401, market_date ='9/10/2023' where link_id = (select link_id from parcel where parcel_year = '2024' and parcel_id = '23092424431');</v>
      </c>
    </row>
    <row r="2172" spans="1:85" x14ac:dyDescent="0.25">
      <c r="A2172">
        <v>23092424432</v>
      </c>
      <c r="B2172">
        <v>0.19</v>
      </c>
      <c r="C2172">
        <v>8097</v>
      </c>
      <c r="D2172" t="s">
        <v>129</v>
      </c>
      <c r="E2172" t="s">
        <v>53</v>
      </c>
      <c r="F2172" t="s">
        <v>53</v>
      </c>
      <c r="G2172">
        <v>4</v>
      </c>
      <c r="H2172" t="s">
        <v>54</v>
      </c>
      <c r="I2172">
        <v>225600</v>
      </c>
      <c r="J2172">
        <v>39000</v>
      </c>
      <c r="K2172">
        <v>0.19</v>
      </c>
      <c r="L217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72">
        <v>0</v>
      </c>
      <c r="N2172">
        <v>0</v>
      </c>
      <c r="O2172">
        <v>0</v>
      </c>
      <c r="P2172">
        <v>13398.7528</v>
      </c>
      <c r="Q2172">
        <v>63903</v>
      </c>
      <c r="R2172">
        <f>(Grandview_Inventory[[#This Row],[ln_acres]]*Grandview_Inventory[[#This Row],[coeff]])+Grandview_Inventory[[#This Row],[const]]</f>
        <v>41651.273092551026</v>
      </c>
      <c r="S2172" t="s">
        <v>61</v>
      </c>
      <c r="T2172">
        <v>1</v>
      </c>
      <c r="U2172" t="s">
        <v>62</v>
      </c>
      <c r="V2172" t="s">
        <v>67</v>
      </c>
      <c r="W2172">
        <v>0</v>
      </c>
      <c r="X2172">
        <v>0</v>
      </c>
      <c r="Y2172">
        <v>19</v>
      </c>
      <c r="Z2172">
        <v>19</v>
      </c>
      <c r="AA2172">
        <v>20</v>
      </c>
      <c r="AB2172">
        <v>2000</v>
      </c>
      <c r="AC2172">
        <v>1660</v>
      </c>
      <c r="AD2172">
        <v>1228</v>
      </c>
      <c r="AE2172">
        <v>0</v>
      </c>
      <c r="AF2172">
        <v>432</v>
      </c>
      <c r="AG2172">
        <v>0</v>
      </c>
      <c r="AH2172">
        <v>0</v>
      </c>
      <c r="AI2172">
        <v>632</v>
      </c>
      <c r="AJ2172">
        <v>0</v>
      </c>
      <c r="AK2172">
        <v>0</v>
      </c>
      <c r="AL2172">
        <v>0</v>
      </c>
      <c r="AM2172">
        <v>0</v>
      </c>
      <c r="AN2172">
        <v>40</v>
      </c>
      <c r="AO2172">
        <v>0</v>
      </c>
      <c r="AP2172">
        <v>8</v>
      </c>
      <c r="AQ2172">
        <v>0</v>
      </c>
      <c r="AR2172">
        <v>0</v>
      </c>
      <c r="AS2172" t="s">
        <v>58</v>
      </c>
      <c r="AT2172">
        <v>1</v>
      </c>
      <c r="AU2172" t="s">
        <v>63</v>
      </c>
      <c r="AV2172" t="s">
        <v>64</v>
      </c>
      <c r="AW2172">
        <v>1</v>
      </c>
      <c r="AX2172">
        <v>3</v>
      </c>
      <c r="AY2172">
        <v>0</v>
      </c>
      <c r="AZ2172">
        <v>0</v>
      </c>
      <c r="BA2172">
        <v>100</v>
      </c>
      <c r="BB2172">
        <v>100</v>
      </c>
      <c r="BC2172">
        <v>100</v>
      </c>
      <c r="BD2172">
        <v>100</v>
      </c>
      <c r="BE2172">
        <v>1</v>
      </c>
      <c r="BF2172">
        <v>15000</v>
      </c>
      <c r="BG2172">
        <v>1000</v>
      </c>
      <c r="BH2172" s="6">
        <f>Grandview_Inventory[[#This Row],[land_extract]]*Lookups!$B$3</f>
        <v>48369.510983942157</v>
      </c>
      <c r="BI2172" s="6">
        <f>IF(Grandview_Inventory[[#This Row],[bldg_style]]="",0,Lookups!$B$2)</f>
        <v>155833.95000000001</v>
      </c>
      <c r="BJ2172" s="6">
        <f>_xlfn.IFNA(VLOOKUP(Grandview_Inventory[[#This Row],[quality]],Lookups!$H$2:$J$14,3,FALSE),0)</f>
        <v>9808</v>
      </c>
      <c r="BK2172" s="6">
        <f>_xlfn.IFNA(VLOOKUP(Grandview_Inventory[[#This Row],[condition]],Lookups!$H$17:$J$24,3,FALSE),0)</f>
        <v>22342</v>
      </c>
      <c r="BL2172" s="6">
        <f>Grandview_Inventory[[#This Row],[Eff_Age]]*Lookups!$B$14</f>
        <v>-4544.1653999999999</v>
      </c>
      <c r="BM2172" s="6">
        <f>Grandview_Inventory[[#This Row],[living_area]]*Lookups!$B$15</f>
        <v>103552.21598000001</v>
      </c>
      <c r="BN2172" s="6">
        <f>Grandview_Inventory[[#This Row],[Fin BSMT]]*Lookups!$B$16</f>
        <v>0</v>
      </c>
      <c r="BO2172" s="6">
        <f>(Grandview_Inventory[[#This Row],[att_gar]]+Grandview_Inventory[[#This Row],[bltin_gar]])*Lookups!$B$17</f>
        <v>55312.916184000002</v>
      </c>
      <c r="BP2172" s="6">
        <f>Grandview_Inventory[[#This Row],[Plumbing Fixtures]]*Lookups!$B$18</f>
        <v>16083.5344</v>
      </c>
      <c r="BQ2172" s="6">
        <f>Grandview_Inventory[[#This Row],[detatched_value]]*Lookups!$B$19</f>
        <v>0</v>
      </c>
      <c r="BR2172" s="6">
        <f>SUM(Grandview_Inventory[[#This Row],[Intercept]:[det_value]])*Grandview_Inventory[[#This Row],[res_pct]]</f>
        <v>358388.45116399997</v>
      </c>
      <c r="BS2172" s="6">
        <f>Grandview_Inventory[[#This Row],[land_value]]</f>
        <v>48369.510983942157</v>
      </c>
      <c r="BT2172" s="4">
        <f>_xlfn.IFNA(VLOOKUP(Grandview_Inventory[[#This Row],[quality]],Lookups!$A$26:$C$33,3,FALSE),1)</f>
        <v>0.94295468617355149</v>
      </c>
      <c r="BU2172" s="4">
        <f>_xlfn.IFNA(VLOOKUP(Grandview_Inventory[[#This Row],[condition]],Lookups!$A$37:$C$44,3,FALSE),1)</f>
        <v>0.97383723671140243</v>
      </c>
      <c r="BV2172" s="4">
        <f>IF(Grandview_Inventory[[#This Row],[bldg_style]]="",1,_xlfn.IFNA(VLOOKUP(Grandview_Inventory[[#This Row],[decade]],Lookups!$F$29:$H$43,3,FALSE),1))</f>
        <v>0.96737494181490646</v>
      </c>
      <c r="BW2172" s="4">
        <f>_xlfn.IFNA(VLOOKUP(Grandview_Inventory[[#This Row],[living_area_range]],Lookups!$F$47:$H$56,3,FALSE),1)</f>
        <v>0.96120133463014379</v>
      </c>
      <c r="BX2172" s="4">
        <f>AVERAGE(Grandview_Inventory[[#This Row],[qual_adj]:[size_adj]])</f>
        <v>0.96134204983250116</v>
      </c>
      <c r="BY2172" s="6">
        <f>IF(Grandview_Inventory[[#This Row],[pre_res]]&lt;0,0,Grandview_Inventory[[#This Row],[pre_res]]*Grandview_Inventory[[#This Row],[overall_adj]])</f>
        <v>344533.88827829494</v>
      </c>
      <c r="BZ2172" s="6">
        <f>(Grandview_Inventory[[#This Row],[sum_land]]-IF(Grandview_Inventory[[#This Row],[no_utilities]]=1,12000,0))/IF(Grandview_Inventory[[#This Row],[unbuildable]]=1,2,1)</f>
        <v>48369.510983942157</v>
      </c>
      <c r="CA217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72">
        <f>ROUND(Grandview_Inventory[[#This Row],[det_value]]*Lookups!$M$28,-2)</f>
        <v>0</v>
      </c>
      <c r="CC2172">
        <f>IF(ROUND(Grandview_Inventory[[#This Row],[adj_res]]*Lookups!$M$28,-2)&lt;Grandview_Inventory[[#This Row],[min_res]],Grandview_Inventory[[#This Row],[min_res]],ROUND(Grandview_Inventory[[#This Row],[adj_res]]*Lookups!$M$28,-2))</f>
        <v>327300</v>
      </c>
      <c r="CD2172">
        <f>Grandview_Inventory[[#This Row],[final_det]]+Grandview_Inventory[[#This Row],[final_res]]</f>
        <v>327300</v>
      </c>
      <c r="CE2172">
        <f>Grandview_Inventory[[#This Row],[final_land]]+Grandview_Inventory[[#This Row],[final_imp]]+Grandview_Inventory[[#This Row],[crop_value]]</f>
        <v>373300</v>
      </c>
      <c r="CG2172" t="str">
        <f t="shared" si="33"/>
        <v>update valuation set market_land =46000, market_bldg=327300, market_total =373300, market_mdno =401, market_date ='9/10/2023' where link_id = (select link_id from parcel where parcel_year = '2024' and parcel_id = '23092424432');</v>
      </c>
    </row>
    <row r="2173" spans="1:85" x14ac:dyDescent="0.25">
      <c r="A2173">
        <v>23092424433</v>
      </c>
      <c r="B2173">
        <v>0.24</v>
      </c>
      <c r="C2173">
        <v>10440</v>
      </c>
      <c r="D2173" t="s">
        <v>129</v>
      </c>
      <c r="E2173" t="s">
        <v>53</v>
      </c>
      <c r="F2173" t="s">
        <v>53</v>
      </c>
      <c r="G2173">
        <v>4</v>
      </c>
      <c r="H2173" t="s">
        <v>54</v>
      </c>
      <c r="I2173">
        <v>182900</v>
      </c>
      <c r="J2173">
        <v>39800</v>
      </c>
      <c r="K2173">
        <v>0.24</v>
      </c>
      <c r="L2173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173">
        <v>0</v>
      </c>
      <c r="N2173">
        <v>0</v>
      </c>
      <c r="O2173">
        <v>0</v>
      </c>
      <c r="P2173">
        <v>13398.7528</v>
      </c>
      <c r="Q2173">
        <v>63903</v>
      </c>
      <c r="R2173">
        <f>(Grandview_Inventory[[#This Row],[ln_acres]]*Grandview_Inventory[[#This Row],[coeff]])+Grandview_Inventory[[#This Row],[const]]</f>
        <v>44781.420733940802</v>
      </c>
      <c r="S2173" t="s">
        <v>61</v>
      </c>
      <c r="T2173">
        <v>1</v>
      </c>
      <c r="U2173" t="s">
        <v>62</v>
      </c>
      <c r="V2173" t="s">
        <v>69</v>
      </c>
      <c r="W2173">
        <v>0</v>
      </c>
      <c r="X2173">
        <v>0</v>
      </c>
      <c r="Y2173">
        <v>19</v>
      </c>
      <c r="Z2173">
        <v>19</v>
      </c>
      <c r="AA2173">
        <v>20</v>
      </c>
      <c r="AB2173">
        <v>1500</v>
      </c>
      <c r="AC2173">
        <v>1288</v>
      </c>
      <c r="AD2173">
        <v>1288</v>
      </c>
      <c r="AE2173">
        <v>0</v>
      </c>
      <c r="AF2173">
        <v>0</v>
      </c>
      <c r="AG2173">
        <v>0</v>
      </c>
      <c r="AH2173">
        <v>0</v>
      </c>
      <c r="AI2173">
        <v>520</v>
      </c>
      <c r="AJ2173">
        <v>0</v>
      </c>
      <c r="AK2173">
        <v>0</v>
      </c>
      <c r="AL2173">
        <v>0</v>
      </c>
      <c r="AM2173">
        <v>200</v>
      </c>
      <c r="AN2173">
        <v>136</v>
      </c>
      <c r="AO2173">
        <v>0</v>
      </c>
      <c r="AP2173">
        <v>8</v>
      </c>
      <c r="AQ2173">
        <v>0</v>
      </c>
      <c r="AR2173">
        <v>0</v>
      </c>
      <c r="AS2173" t="s">
        <v>58</v>
      </c>
      <c r="AT2173">
        <v>1</v>
      </c>
      <c r="AU2173" t="s">
        <v>63</v>
      </c>
      <c r="AV2173" t="s">
        <v>64</v>
      </c>
      <c r="AW2173">
        <v>1</v>
      </c>
      <c r="AX2173">
        <v>3</v>
      </c>
      <c r="AY2173">
        <v>0</v>
      </c>
      <c r="AZ2173">
        <v>0</v>
      </c>
      <c r="BA2173">
        <v>100</v>
      </c>
      <c r="BB2173">
        <v>100</v>
      </c>
      <c r="BC2173">
        <v>100</v>
      </c>
      <c r="BD2173">
        <v>100</v>
      </c>
      <c r="BE2173">
        <v>1</v>
      </c>
      <c r="BF2173">
        <v>15000</v>
      </c>
      <c r="BG2173">
        <v>1000</v>
      </c>
      <c r="BH2173" s="6">
        <f>Grandview_Inventory[[#This Row],[land_extract]]*Lookups!$B$3</f>
        <v>52004.542988489469</v>
      </c>
      <c r="BI2173" s="6">
        <f>IF(Grandview_Inventory[[#This Row],[bldg_style]]="",0,Lookups!$B$2)</f>
        <v>155833.95000000001</v>
      </c>
      <c r="BJ2173" s="6">
        <f>_xlfn.IFNA(VLOOKUP(Grandview_Inventory[[#This Row],[quality]],Lookups!$H$2:$J$14,3,FALSE),0)</f>
        <v>9808</v>
      </c>
      <c r="BK2173" s="6">
        <f>_xlfn.IFNA(VLOOKUP(Grandview_Inventory[[#This Row],[condition]],Lookups!$H$17:$J$24,3,FALSE),0)</f>
        <v>-4503</v>
      </c>
      <c r="BL2173" s="6">
        <f>Grandview_Inventory[[#This Row],[Eff_Age]]*Lookups!$B$14</f>
        <v>-4544.1653999999999</v>
      </c>
      <c r="BM2173" s="6">
        <f>Grandview_Inventory[[#This Row],[living_area]]*Lookups!$B$15</f>
        <v>80346.538664000007</v>
      </c>
      <c r="BN2173" s="6">
        <f>Grandview_Inventory[[#This Row],[Fin BSMT]]*Lookups!$B$16</f>
        <v>0</v>
      </c>
      <c r="BO2173" s="6">
        <f>(Grandview_Inventory[[#This Row],[att_gar]]+Grandview_Inventory[[#This Row],[bltin_gar]])*Lookups!$B$17</f>
        <v>45510.627240000002</v>
      </c>
      <c r="BP2173" s="6">
        <f>Grandview_Inventory[[#This Row],[Plumbing Fixtures]]*Lookups!$B$18</f>
        <v>16083.5344</v>
      </c>
      <c r="BQ2173" s="6">
        <f>Grandview_Inventory[[#This Row],[detatched_value]]*Lookups!$B$19</f>
        <v>0</v>
      </c>
      <c r="BR2173" s="6">
        <f>SUM(Grandview_Inventory[[#This Row],[Intercept]:[det_value]])*Grandview_Inventory[[#This Row],[res_pct]]</f>
        <v>298535.48490400001</v>
      </c>
      <c r="BS2173" s="6">
        <f>Grandview_Inventory[[#This Row],[land_value]]</f>
        <v>52004.542988489469</v>
      </c>
      <c r="BT2173" s="4">
        <f>_xlfn.IFNA(VLOOKUP(Grandview_Inventory[[#This Row],[quality]],Lookups!$A$26:$C$33,3,FALSE),1)</f>
        <v>0.94295468617355149</v>
      </c>
      <c r="BU2173" s="4">
        <f>_xlfn.IFNA(VLOOKUP(Grandview_Inventory[[#This Row],[condition]],Lookups!$A$37:$C$44,3,FALSE),1)</f>
        <v>0.96469275950863709</v>
      </c>
      <c r="BV2173" s="4">
        <f>IF(Grandview_Inventory[[#This Row],[bldg_style]]="",1,_xlfn.IFNA(VLOOKUP(Grandview_Inventory[[#This Row],[decade]],Lookups!$F$29:$H$43,3,FALSE),1))</f>
        <v>0.96737494181490646</v>
      </c>
      <c r="BW2173" s="4">
        <f>_xlfn.IFNA(VLOOKUP(Grandview_Inventory[[#This Row],[living_area_range]],Lookups!$F$47:$H$56,3,FALSE),1)</f>
        <v>0.96135087979789358</v>
      </c>
      <c r="BX2173" s="4">
        <f>AVERAGE(Grandview_Inventory[[#This Row],[qual_adj]:[size_adj]])</f>
        <v>0.95909331682374721</v>
      </c>
      <c r="BY2173" s="6">
        <f>IF(Grandview_Inventory[[#This Row],[pre_res]]&lt;0,0,Grandview_Inventory[[#This Row],[pre_res]]*Grandview_Inventory[[#This Row],[overall_adj]])</f>
        <v>286323.38840616308</v>
      </c>
      <c r="BZ2173" s="6">
        <f>(Grandview_Inventory[[#This Row],[sum_land]]-IF(Grandview_Inventory[[#This Row],[no_utilities]]=1,12000,0))/IF(Grandview_Inventory[[#This Row],[unbuildable]]=1,2,1)</f>
        <v>52004.542988489469</v>
      </c>
      <c r="CA2173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173">
        <f>ROUND(Grandview_Inventory[[#This Row],[det_value]]*Lookups!$M$28,-2)</f>
        <v>0</v>
      </c>
      <c r="CC2173">
        <f>IF(ROUND(Grandview_Inventory[[#This Row],[adj_res]]*Lookups!$M$28,-2)&lt;Grandview_Inventory[[#This Row],[min_res]],Grandview_Inventory[[#This Row],[min_res]],ROUND(Grandview_Inventory[[#This Row],[adj_res]]*Lookups!$M$28,-2))</f>
        <v>272000</v>
      </c>
      <c r="CD2173">
        <f>Grandview_Inventory[[#This Row],[final_det]]+Grandview_Inventory[[#This Row],[final_res]]</f>
        <v>272000</v>
      </c>
      <c r="CE2173">
        <f>Grandview_Inventory[[#This Row],[final_land]]+Grandview_Inventory[[#This Row],[final_imp]]+Grandview_Inventory[[#This Row],[crop_value]]</f>
        <v>321400</v>
      </c>
      <c r="CG2173" t="str">
        <f t="shared" si="33"/>
        <v>update valuation set market_land =49400, market_bldg=272000, market_total =321400, market_mdno =401, market_date ='9/10/2023' where link_id = (select link_id from parcel where parcel_year = '2024' and parcel_id = '23092424433');</v>
      </c>
    </row>
    <row r="2174" spans="1:85" x14ac:dyDescent="0.25">
      <c r="A2174">
        <v>23092424434</v>
      </c>
      <c r="B2174">
        <v>0.2</v>
      </c>
      <c r="C2174">
        <v>8628</v>
      </c>
      <c r="D2174" t="s">
        <v>129</v>
      </c>
      <c r="E2174" t="s">
        <v>53</v>
      </c>
      <c r="F2174" t="s">
        <v>53</v>
      </c>
      <c r="G2174">
        <v>4</v>
      </c>
      <c r="H2174" t="s">
        <v>54</v>
      </c>
      <c r="I2174">
        <v>227200</v>
      </c>
      <c r="J2174">
        <v>39300</v>
      </c>
      <c r="K2174">
        <v>0.2</v>
      </c>
      <c r="L217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174">
        <v>0</v>
      </c>
      <c r="N2174">
        <v>0</v>
      </c>
      <c r="O2174">
        <v>0</v>
      </c>
      <c r="P2174">
        <v>13398.7528</v>
      </c>
      <c r="Q2174">
        <v>63903</v>
      </c>
      <c r="R2174">
        <f>(Grandview_Inventory[[#This Row],[ln_acres]]*Grandview_Inventory[[#This Row],[coeff]])+Grandview_Inventory[[#This Row],[const]]</f>
        <v>42338.539264347448</v>
      </c>
      <c r="S2174" t="s">
        <v>61</v>
      </c>
      <c r="T2174">
        <v>1</v>
      </c>
      <c r="U2174" t="s">
        <v>62</v>
      </c>
      <c r="V2174" t="s">
        <v>67</v>
      </c>
      <c r="W2174">
        <v>0</v>
      </c>
      <c r="X2174">
        <v>0</v>
      </c>
      <c r="Y2174">
        <v>18</v>
      </c>
      <c r="Z2174">
        <v>18</v>
      </c>
      <c r="AA2174">
        <v>20</v>
      </c>
      <c r="AB2174">
        <v>1500</v>
      </c>
      <c r="AC2174">
        <v>1288</v>
      </c>
      <c r="AD2174">
        <v>1288</v>
      </c>
      <c r="AE2174">
        <v>0</v>
      </c>
      <c r="AF2174">
        <v>0</v>
      </c>
      <c r="AG2174">
        <v>0</v>
      </c>
      <c r="AH2174">
        <v>0</v>
      </c>
      <c r="AI2174">
        <v>520</v>
      </c>
      <c r="AJ2174">
        <v>0</v>
      </c>
      <c r="AK2174">
        <v>0</v>
      </c>
      <c r="AL2174">
        <v>0</v>
      </c>
      <c r="AM2174">
        <v>100</v>
      </c>
      <c r="AN2174">
        <v>130</v>
      </c>
      <c r="AO2174">
        <v>0</v>
      </c>
      <c r="AP2174">
        <v>9</v>
      </c>
      <c r="AQ2174">
        <v>0</v>
      </c>
      <c r="AR2174">
        <v>0</v>
      </c>
      <c r="AS2174" t="s">
        <v>58</v>
      </c>
      <c r="AT2174">
        <v>1</v>
      </c>
      <c r="AU2174" t="s">
        <v>59</v>
      </c>
      <c r="AV2174" t="s">
        <v>60</v>
      </c>
      <c r="AW2174">
        <v>1</v>
      </c>
      <c r="AX2174">
        <v>3</v>
      </c>
      <c r="AY2174">
        <v>0</v>
      </c>
      <c r="AZ2174">
        <v>0</v>
      </c>
      <c r="BA2174">
        <v>100</v>
      </c>
      <c r="BB2174">
        <v>100</v>
      </c>
      <c r="BC2174">
        <v>100</v>
      </c>
      <c r="BD2174">
        <v>100</v>
      </c>
      <c r="BE2174">
        <v>1</v>
      </c>
      <c r="BF2174">
        <v>15000</v>
      </c>
      <c r="BG2174">
        <v>1000</v>
      </c>
      <c r="BH2174" s="6">
        <f>Grandview_Inventory[[#This Row],[land_extract]]*Lookups!$B$3</f>
        <v>49167.631333630678</v>
      </c>
      <c r="BI2174" s="6">
        <f>IF(Grandview_Inventory[[#This Row],[bldg_style]]="",0,Lookups!$B$2)</f>
        <v>155833.95000000001</v>
      </c>
      <c r="BJ2174" s="6">
        <f>_xlfn.IFNA(VLOOKUP(Grandview_Inventory[[#This Row],[quality]],Lookups!$H$2:$J$14,3,FALSE),0)</f>
        <v>9808</v>
      </c>
      <c r="BK2174" s="6">
        <f>_xlfn.IFNA(VLOOKUP(Grandview_Inventory[[#This Row],[condition]],Lookups!$H$17:$J$24,3,FALSE),0)</f>
        <v>22342</v>
      </c>
      <c r="BL2174" s="6">
        <f>Grandview_Inventory[[#This Row],[Eff_Age]]*Lookups!$B$14</f>
        <v>-4304.9987999999994</v>
      </c>
      <c r="BM2174" s="6">
        <f>Grandview_Inventory[[#This Row],[living_area]]*Lookups!$B$15</f>
        <v>80346.538664000007</v>
      </c>
      <c r="BN2174" s="6">
        <f>Grandview_Inventory[[#This Row],[Fin BSMT]]*Lookups!$B$16</f>
        <v>0</v>
      </c>
      <c r="BO2174" s="6">
        <f>(Grandview_Inventory[[#This Row],[att_gar]]+Grandview_Inventory[[#This Row],[bltin_gar]])*Lookups!$B$17</f>
        <v>45510.627240000002</v>
      </c>
      <c r="BP2174" s="6">
        <f>Grandview_Inventory[[#This Row],[Plumbing Fixtures]]*Lookups!$B$18</f>
        <v>18093.976200000001</v>
      </c>
      <c r="BQ2174" s="6">
        <f>Grandview_Inventory[[#This Row],[detatched_value]]*Lookups!$B$19</f>
        <v>0</v>
      </c>
      <c r="BR2174" s="6">
        <f>SUM(Grandview_Inventory[[#This Row],[Intercept]:[det_value]])*Grandview_Inventory[[#This Row],[res_pct]]</f>
        <v>327630.09330399998</v>
      </c>
      <c r="BS2174" s="6">
        <f>Grandview_Inventory[[#This Row],[land_value]]</f>
        <v>49167.631333630678</v>
      </c>
      <c r="BT2174" s="4">
        <f>_xlfn.IFNA(VLOOKUP(Grandview_Inventory[[#This Row],[quality]],Lookups!$A$26:$C$33,3,FALSE),1)</f>
        <v>0.94295468617355149</v>
      </c>
      <c r="BU2174" s="4">
        <f>_xlfn.IFNA(VLOOKUP(Grandview_Inventory[[#This Row],[condition]],Lookups!$A$37:$C$44,3,FALSE),1)</f>
        <v>0.97383723671140243</v>
      </c>
      <c r="BV2174" s="4">
        <f>IF(Grandview_Inventory[[#This Row],[bldg_style]]="",1,_xlfn.IFNA(VLOOKUP(Grandview_Inventory[[#This Row],[decade]],Lookups!$F$29:$H$43,3,FALSE),1))</f>
        <v>0.96737494181490646</v>
      </c>
      <c r="BW2174" s="4">
        <f>_xlfn.IFNA(VLOOKUP(Grandview_Inventory[[#This Row],[living_area_range]],Lookups!$F$47:$H$56,3,FALSE),1)</f>
        <v>0.96135087979789358</v>
      </c>
      <c r="BX2174" s="4">
        <f>AVERAGE(Grandview_Inventory[[#This Row],[qual_adj]:[size_adj]])</f>
        <v>0.96137943612443855</v>
      </c>
      <c r="BY2174" s="6">
        <f>IF(Grandview_Inventory[[#This Row],[pre_res]]&lt;0,0,Grandview_Inventory[[#This Row],[pre_res]]*Grandview_Inventory[[#This Row],[overall_adj]])</f>
        <v>314976.8343579967</v>
      </c>
      <c r="BZ2174" s="6">
        <f>(Grandview_Inventory[[#This Row],[sum_land]]-IF(Grandview_Inventory[[#This Row],[no_utilities]]=1,12000,0))/IF(Grandview_Inventory[[#This Row],[unbuildable]]=1,2,1)</f>
        <v>49167.631333630678</v>
      </c>
      <c r="CA217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174">
        <f>ROUND(Grandview_Inventory[[#This Row],[det_value]]*Lookups!$M$28,-2)</f>
        <v>0</v>
      </c>
      <c r="CC2174">
        <f>IF(ROUND(Grandview_Inventory[[#This Row],[adj_res]]*Lookups!$M$28,-2)&lt;Grandview_Inventory[[#This Row],[min_res]],Grandview_Inventory[[#This Row],[min_res]],ROUND(Grandview_Inventory[[#This Row],[adj_res]]*Lookups!$M$28,-2))</f>
        <v>299200</v>
      </c>
      <c r="CD2174">
        <f>Grandview_Inventory[[#This Row],[final_det]]+Grandview_Inventory[[#This Row],[final_res]]</f>
        <v>299200</v>
      </c>
      <c r="CE2174">
        <f>Grandview_Inventory[[#This Row],[final_land]]+Grandview_Inventory[[#This Row],[final_imp]]+Grandview_Inventory[[#This Row],[crop_value]]</f>
        <v>345900</v>
      </c>
      <c r="CG2174" t="str">
        <f t="shared" si="33"/>
        <v>update valuation set market_land =46700, market_bldg=299200, market_total =345900, market_mdno =401, market_date ='9/10/2023' where link_id = (select link_id from parcel where parcel_year = '2024' and parcel_id = '23092424434');</v>
      </c>
    </row>
    <row r="2175" spans="1:85" x14ac:dyDescent="0.25">
      <c r="A2175">
        <v>23092424435</v>
      </c>
      <c r="B2175">
        <v>0.19</v>
      </c>
      <c r="C2175">
        <v>8349</v>
      </c>
      <c r="D2175" t="s">
        <v>129</v>
      </c>
      <c r="E2175" t="s">
        <v>53</v>
      </c>
      <c r="F2175" t="s">
        <v>53</v>
      </c>
      <c r="G2175">
        <v>4</v>
      </c>
      <c r="H2175" t="s">
        <v>54</v>
      </c>
      <c r="I2175">
        <v>214900</v>
      </c>
      <c r="J2175">
        <v>39100</v>
      </c>
      <c r="K2175">
        <v>0.19</v>
      </c>
      <c r="L21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75">
        <v>0</v>
      </c>
      <c r="N2175">
        <v>0</v>
      </c>
      <c r="O2175">
        <v>0</v>
      </c>
      <c r="P2175">
        <v>13398.7528</v>
      </c>
      <c r="Q2175">
        <v>63903</v>
      </c>
      <c r="R2175">
        <f>(Grandview_Inventory[[#This Row],[ln_acres]]*Grandview_Inventory[[#This Row],[coeff]])+Grandview_Inventory[[#This Row],[const]]</f>
        <v>41651.273092551026</v>
      </c>
      <c r="S2175" t="s">
        <v>61</v>
      </c>
      <c r="T2175">
        <v>1</v>
      </c>
      <c r="U2175" t="s">
        <v>62</v>
      </c>
      <c r="V2175" t="s">
        <v>67</v>
      </c>
      <c r="W2175">
        <v>0</v>
      </c>
      <c r="X2175">
        <v>0</v>
      </c>
      <c r="Y2175">
        <v>19</v>
      </c>
      <c r="Z2175">
        <v>19</v>
      </c>
      <c r="AA2175">
        <v>20</v>
      </c>
      <c r="AB2175">
        <v>1500</v>
      </c>
      <c r="AC2175">
        <v>1168</v>
      </c>
      <c r="AD2175">
        <v>1168</v>
      </c>
      <c r="AE2175">
        <v>0</v>
      </c>
      <c r="AF2175">
        <v>0</v>
      </c>
      <c r="AG2175">
        <v>0</v>
      </c>
      <c r="AH2175">
        <v>0</v>
      </c>
      <c r="AI2175">
        <v>520</v>
      </c>
      <c r="AJ2175">
        <v>0</v>
      </c>
      <c r="AK2175">
        <v>0</v>
      </c>
      <c r="AL2175">
        <v>0</v>
      </c>
      <c r="AM2175">
        <v>120</v>
      </c>
      <c r="AN2175">
        <v>56</v>
      </c>
      <c r="AO2175">
        <v>0</v>
      </c>
      <c r="AP2175">
        <v>8</v>
      </c>
      <c r="AQ2175">
        <v>0</v>
      </c>
      <c r="AR2175">
        <v>0</v>
      </c>
      <c r="AS2175" t="s">
        <v>58</v>
      </c>
      <c r="AT2175">
        <v>1</v>
      </c>
      <c r="AU2175" t="s">
        <v>63</v>
      </c>
      <c r="AV2175" t="s">
        <v>64</v>
      </c>
      <c r="AW2175">
        <v>1</v>
      </c>
      <c r="AX2175">
        <v>3</v>
      </c>
      <c r="AY2175">
        <v>0</v>
      </c>
      <c r="AZ2175">
        <v>0</v>
      </c>
      <c r="BA2175">
        <v>100</v>
      </c>
      <c r="BB2175">
        <v>100</v>
      </c>
      <c r="BC2175">
        <v>100</v>
      </c>
      <c r="BD2175">
        <v>100</v>
      </c>
      <c r="BE2175">
        <v>1</v>
      </c>
      <c r="BF2175">
        <v>15000</v>
      </c>
      <c r="BG2175">
        <v>1000</v>
      </c>
      <c r="BH2175" s="6">
        <f>Grandview_Inventory[[#This Row],[land_extract]]*Lookups!$B$3</f>
        <v>48369.510983942157</v>
      </c>
      <c r="BI2175" s="6">
        <f>IF(Grandview_Inventory[[#This Row],[bldg_style]]="",0,Lookups!$B$2)</f>
        <v>155833.95000000001</v>
      </c>
      <c r="BJ2175" s="6">
        <f>_xlfn.IFNA(VLOOKUP(Grandview_Inventory[[#This Row],[quality]],Lookups!$H$2:$J$14,3,FALSE),0)</f>
        <v>9808</v>
      </c>
      <c r="BK2175" s="6">
        <f>_xlfn.IFNA(VLOOKUP(Grandview_Inventory[[#This Row],[condition]],Lookups!$H$17:$J$24,3,FALSE),0)</f>
        <v>22342</v>
      </c>
      <c r="BL2175" s="6">
        <f>Grandview_Inventory[[#This Row],[Eff_Age]]*Lookups!$B$14</f>
        <v>-4544.1653999999999</v>
      </c>
      <c r="BM2175" s="6">
        <f>Grandview_Inventory[[#This Row],[living_area]]*Lookups!$B$15</f>
        <v>72860.836303999997</v>
      </c>
      <c r="BN2175" s="6">
        <f>Grandview_Inventory[[#This Row],[Fin BSMT]]*Lookups!$B$16</f>
        <v>0</v>
      </c>
      <c r="BO2175" s="6">
        <f>(Grandview_Inventory[[#This Row],[att_gar]]+Grandview_Inventory[[#This Row],[bltin_gar]])*Lookups!$B$17</f>
        <v>45510.627240000002</v>
      </c>
      <c r="BP2175" s="6">
        <f>Grandview_Inventory[[#This Row],[Plumbing Fixtures]]*Lookups!$B$18</f>
        <v>16083.5344</v>
      </c>
      <c r="BQ2175" s="6">
        <f>Grandview_Inventory[[#This Row],[detatched_value]]*Lookups!$B$19</f>
        <v>0</v>
      </c>
      <c r="BR2175" s="6">
        <f>SUM(Grandview_Inventory[[#This Row],[Intercept]:[det_value]])*Grandview_Inventory[[#This Row],[res_pct]]</f>
        <v>317894.78254400002</v>
      </c>
      <c r="BS2175" s="6">
        <f>Grandview_Inventory[[#This Row],[land_value]]</f>
        <v>48369.510983942157</v>
      </c>
      <c r="BT2175" s="4">
        <f>_xlfn.IFNA(VLOOKUP(Grandview_Inventory[[#This Row],[quality]],Lookups!$A$26:$C$33,3,FALSE),1)</f>
        <v>0.94295468617355149</v>
      </c>
      <c r="BU2175" s="4">
        <f>_xlfn.IFNA(VLOOKUP(Grandview_Inventory[[#This Row],[condition]],Lookups!$A$37:$C$44,3,FALSE),1)</f>
        <v>0.97383723671140243</v>
      </c>
      <c r="BV2175" s="4">
        <f>IF(Grandview_Inventory[[#This Row],[bldg_style]]="",1,_xlfn.IFNA(VLOOKUP(Grandview_Inventory[[#This Row],[decade]],Lookups!$F$29:$H$43,3,FALSE),1))</f>
        <v>0.96737494181490646</v>
      </c>
      <c r="BW2175" s="4">
        <f>_xlfn.IFNA(VLOOKUP(Grandview_Inventory[[#This Row],[living_area_range]],Lookups!$F$47:$H$56,3,FALSE),1)</f>
        <v>0.96135087979789358</v>
      </c>
      <c r="BX2175" s="4">
        <f>AVERAGE(Grandview_Inventory[[#This Row],[qual_adj]:[size_adj]])</f>
        <v>0.96137943612443855</v>
      </c>
      <c r="BY2175" s="6">
        <f>IF(Grandview_Inventory[[#This Row],[pre_res]]&lt;0,0,Grandview_Inventory[[#This Row],[pre_res]]*Grandview_Inventory[[#This Row],[overall_adj]])</f>
        <v>305617.50678905175</v>
      </c>
      <c r="BZ2175" s="6">
        <f>(Grandview_Inventory[[#This Row],[sum_land]]-IF(Grandview_Inventory[[#This Row],[no_utilities]]=1,12000,0))/IF(Grandview_Inventory[[#This Row],[unbuildable]]=1,2,1)</f>
        <v>48369.510983942157</v>
      </c>
      <c r="CA21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75">
        <f>ROUND(Grandview_Inventory[[#This Row],[det_value]]*Lookups!$M$28,-2)</f>
        <v>0</v>
      </c>
      <c r="CC2175">
        <f>IF(ROUND(Grandview_Inventory[[#This Row],[adj_res]]*Lookups!$M$28,-2)&lt;Grandview_Inventory[[#This Row],[min_res]],Grandview_Inventory[[#This Row],[min_res]],ROUND(Grandview_Inventory[[#This Row],[adj_res]]*Lookups!$M$28,-2))</f>
        <v>290300</v>
      </c>
      <c r="CD2175">
        <f>Grandview_Inventory[[#This Row],[final_det]]+Grandview_Inventory[[#This Row],[final_res]]</f>
        <v>290300</v>
      </c>
      <c r="CE2175">
        <f>Grandview_Inventory[[#This Row],[final_land]]+Grandview_Inventory[[#This Row],[final_imp]]+Grandview_Inventory[[#This Row],[crop_value]]</f>
        <v>336300</v>
      </c>
      <c r="CG2175" t="str">
        <f t="shared" si="33"/>
        <v>update valuation set market_land =46000, market_bldg=290300, market_total =336300, market_mdno =401, market_date ='9/10/2023' where link_id = (select link_id from parcel where parcel_year = '2024' and parcel_id = '23092424435');</v>
      </c>
    </row>
    <row r="2176" spans="1:85" x14ac:dyDescent="0.25">
      <c r="A2176">
        <v>23092424436</v>
      </c>
      <c r="B2176">
        <v>0.19</v>
      </c>
      <c r="C2176">
        <v>8198</v>
      </c>
      <c r="D2176" t="s">
        <v>129</v>
      </c>
      <c r="E2176" t="s">
        <v>53</v>
      </c>
      <c r="F2176" t="s">
        <v>53</v>
      </c>
      <c r="G2176">
        <v>4</v>
      </c>
      <c r="H2176" t="s">
        <v>54</v>
      </c>
      <c r="I2176">
        <v>220800</v>
      </c>
      <c r="J2176">
        <v>39000</v>
      </c>
      <c r="K2176">
        <v>0.19</v>
      </c>
      <c r="L217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76">
        <v>0</v>
      </c>
      <c r="N2176">
        <v>0</v>
      </c>
      <c r="O2176">
        <v>0</v>
      </c>
      <c r="P2176">
        <v>13398.7528</v>
      </c>
      <c r="Q2176">
        <v>63903</v>
      </c>
      <c r="R2176">
        <f>(Grandview_Inventory[[#This Row],[ln_acres]]*Grandview_Inventory[[#This Row],[coeff]])+Grandview_Inventory[[#This Row],[const]]</f>
        <v>41651.273092551026</v>
      </c>
      <c r="S2176" t="s">
        <v>61</v>
      </c>
      <c r="T2176">
        <v>1</v>
      </c>
      <c r="U2176" t="s">
        <v>62</v>
      </c>
      <c r="V2176" t="s">
        <v>67</v>
      </c>
      <c r="W2176">
        <v>0</v>
      </c>
      <c r="X2176">
        <v>0</v>
      </c>
      <c r="Y2176">
        <v>19</v>
      </c>
      <c r="Z2176">
        <v>19</v>
      </c>
      <c r="AA2176">
        <v>20</v>
      </c>
      <c r="AB2176">
        <v>1500</v>
      </c>
      <c r="AC2176">
        <v>1228</v>
      </c>
      <c r="AD2176">
        <v>1228</v>
      </c>
      <c r="AE2176">
        <v>0</v>
      </c>
      <c r="AF2176">
        <v>0</v>
      </c>
      <c r="AG2176">
        <v>0</v>
      </c>
      <c r="AH2176">
        <v>0</v>
      </c>
      <c r="AI2176">
        <v>504</v>
      </c>
      <c r="AJ2176">
        <v>0</v>
      </c>
      <c r="AK2176">
        <v>0</v>
      </c>
      <c r="AL2176">
        <v>0</v>
      </c>
      <c r="AM2176">
        <v>100</v>
      </c>
      <c r="AN2176">
        <v>40</v>
      </c>
      <c r="AO2176">
        <v>0</v>
      </c>
      <c r="AP2176">
        <v>9</v>
      </c>
      <c r="AQ2176">
        <v>0</v>
      </c>
      <c r="AR2176">
        <v>0</v>
      </c>
      <c r="AS2176" t="s">
        <v>58</v>
      </c>
      <c r="AT2176">
        <v>1</v>
      </c>
      <c r="AU2176" t="s">
        <v>63</v>
      </c>
      <c r="AV2176" t="s">
        <v>64</v>
      </c>
      <c r="AW2176">
        <v>1</v>
      </c>
      <c r="AX2176">
        <v>4</v>
      </c>
      <c r="AY2176">
        <v>0</v>
      </c>
      <c r="AZ2176">
        <v>0</v>
      </c>
      <c r="BA2176">
        <v>100</v>
      </c>
      <c r="BB2176">
        <v>100</v>
      </c>
      <c r="BC2176">
        <v>100</v>
      </c>
      <c r="BD2176">
        <v>100</v>
      </c>
      <c r="BE2176">
        <v>1</v>
      </c>
      <c r="BF2176">
        <v>15000</v>
      </c>
      <c r="BG2176">
        <v>1000</v>
      </c>
      <c r="BH2176" s="6">
        <f>Grandview_Inventory[[#This Row],[land_extract]]*Lookups!$B$3</f>
        <v>48369.510983942157</v>
      </c>
      <c r="BI2176" s="6">
        <f>IF(Grandview_Inventory[[#This Row],[bldg_style]]="",0,Lookups!$B$2)</f>
        <v>155833.95000000001</v>
      </c>
      <c r="BJ2176" s="6">
        <f>_xlfn.IFNA(VLOOKUP(Grandview_Inventory[[#This Row],[quality]],Lookups!$H$2:$J$14,3,FALSE),0)</f>
        <v>9808</v>
      </c>
      <c r="BK2176" s="6">
        <f>_xlfn.IFNA(VLOOKUP(Grandview_Inventory[[#This Row],[condition]],Lookups!$H$17:$J$24,3,FALSE),0)</f>
        <v>22342</v>
      </c>
      <c r="BL2176" s="6">
        <f>Grandview_Inventory[[#This Row],[Eff_Age]]*Lookups!$B$14</f>
        <v>-4544.1653999999999</v>
      </c>
      <c r="BM2176" s="6">
        <f>Grandview_Inventory[[#This Row],[living_area]]*Lookups!$B$15</f>
        <v>76603.687484000009</v>
      </c>
      <c r="BN2176" s="6">
        <f>Grandview_Inventory[[#This Row],[Fin BSMT]]*Lookups!$B$16</f>
        <v>0</v>
      </c>
      <c r="BO2176" s="6">
        <f>(Grandview_Inventory[[#This Row],[att_gar]]+Grandview_Inventory[[#This Row],[bltin_gar]])*Lookups!$B$17</f>
        <v>44110.300248</v>
      </c>
      <c r="BP2176" s="6">
        <f>Grandview_Inventory[[#This Row],[Plumbing Fixtures]]*Lookups!$B$18</f>
        <v>18093.976200000001</v>
      </c>
      <c r="BQ2176" s="6">
        <f>Grandview_Inventory[[#This Row],[detatched_value]]*Lookups!$B$19</f>
        <v>0</v>
      </c>
      <c r="BR2176" s="6">
        <f>SUM(Grandview_Inventory[[#This Row],[Intercept]:[det_value]])*Grandview_Inventory[[#This Row],[res_pct]]</f>
        <v>322247.748532</v>
      </c>
      <c r="BS2176" s="6">
        <f>Grandview_Inventory[[#This Row],[land_value]]</f>
        <v>48369.510983942157</v>
      </c>
      <c r="BT2176" s="4">
        <f>_xlfn.IFNA(VLOOKUP(Grandview_Inventory[[#This Row],[quality]],Lookups!$A$26:$C$33,3,FALSE),1)</f>
        <v>0.94295468617355149</v>
      </c>
      <c r="BU2176" s="4">
        <f>_xlfn.IFNA(VLOOKUP(Grandview_Inventory[[#This Row],[condition]],Lookups!$A$37:$C$44,3,FALSE),1)</f>
        <v>0.97383723671140243</v>
      </c>
      <c r="BV2176" s="4">
        <f>IF(Grandview_Inventory[[#This Row],[bldg_style]]="",1,_xlfn.IFNA(VLOOKUP(Grandview_Inventory[[#This Row],[decade]],Lookups!$F$29:$H$43,3,FALSE),1))</f>
        <v>0.96737494181490646</v>
      </c>
      <c r="BW2176" s="4">
        <f>_xlfn.IFNA(VLOOKUP(Grandview_Inventory[[#This Row],[living_area_range]],Lookups!$F$47:$H$56,3,FALSE),1)</f>
        <v>0.96135087979789358</v>
      </c>
      <c r="BX2176" s="4">
        <f>AVERAGE(Grandview_Inventory[[#This Row],[qual_adj]:[size_adj]])</f>
        <v>0.96137943612443855</v>
      </c>
      <c r="BY2176" s="6">
        <f>IF(Grandview_Inventory[[#This Row],[pre_res]]&lt;0,0,Grandview_Inventory[[#This Row],[pre_res]]*Grandview_Inventory[[#This Row],[overall_adj]])</f>
        <v>309802.35877606401</v>
      </c>
      <c r="BZ2176" s="6">
        <f>(Grandview_Inventory[[#This Row],[sum_land]]-IF(Grandview_Inventory[[#This Row],[no_utilities]]=1,12000,0))/IF(Grandview_Inventory[[#This Row],[unbuildable]]=1,2,1)</f>
        <v>48369.510983942157</v>
      </c>
      <c r="CA217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76">
        <f>ROUND(Grandview_Inventory[[#This Row],[det_value]]*Lookups!$M$28,-2)</f>
        <v>0</v>
      </c>
      <c r="CC2176">
        <f>IF(ROUND(Grandview_Inventory[[#This Row],[adj_res]]*Lookups!$M$28,-2)&lt;Grandview_Inventory[[#This Row],[min_res]],Grandview_Inventory[[#This Row],[min_res]],ROUND(Grandview_Inventory[[#This Row],[adj_res]]*Lookups!$M$28,-2))</f>
        <v>294300</v>
      </c>
      <c r="CD2176">
        <f>Grandview_Inventory[[#This Row],[final_det]]+Grandview_Inventory[[#This Row],[final_res]]</f>
        <v>294300</v>
      </c>
      <c r="CE2176">
        <f>Grandview_Inventory[[#This Row],[final_land]]+Grandview_Inventory[[#This Row],[final_imp]]+Grandview_Inventory[[#This Row],[crop_value]]</f>
        <v>340300</v>
      </c>
      <c r="CG2176" t="str">
        <f t="shared" si="33"/>
        <v>update valuation set market_land =46000, market_bldg=294300, market_total =340300, market_mdno =401, market_date ='9/10/2023' where link_id = (select link_id from parcel where parcel_year = '2024' and parcel_id = '23092424436');</v>
      </c>
    </row>
    <row r="2177" spans="1:85" x14ac:dyDescent="0.25">
      <c r="A2177">
        <v>23092424437</v>
      </c>
      <c r="B2177">
        <v>0.19</v>
      </c>
      <c r="C2177">
        <v>8199</v>
      </c>
      <c r="D2177" t="s">
        <v>129</v>
      </c>
      <c r="E2177" t="s">
        <v>53</v>
      </c>
      <c r="F2177" t="s">
        <v>53</v>
      </c>
      <c r="G2177">
        <v>4</v>
      </c>
      <c r="H2177" t="s">
        <v>54</v>
      </c>
      <c r="I2177">
        <v>210400</v>
      </c>
      <c r="J2177">
        <v>39000</v>
      </c>
      <c r="K2177">
        <v>0.19</v>
      </c>
      <c r="L217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77">
        <v>0</v>
      </c>
      <c r="N2177">
        <v>0</v>
      </c>
      <c r="O2177">
        <v>0</v>
      </c>
      <c r="P2177">
        <v>13398.7528</v>
      </c>
      <c r="Q2177">
        <v>63903</v>
      </c>
      <c r="R2177">
        <f>(Grandview_Inventory[[#This Row],[ln_acres]]*Grandview_Inventory[[#This Row],[coeff]])+Grandview_Inventory[[#This Row],[const]]</f>
        <v>41651.273092551026</v>
      </c>
      <c r="S2177" t="s">
        <v>61</v>
      </c>
      <c r="T2177">
        <v>1</v>
      </c>
      <c r="U2177" t="s">
        <v>62</v>
      </c>
      <c r="V2177" t="s">
        <v>67</v>
      </c>
      <c r="W2177">
        <v>0</v>
      </c>
      <c r="X2177">
        <v>0</v>
      </c>
      <c r="Y2177">
        <v>18</v>
      </c>
      <c r="Z2177">
        <v>18</v>
      </c>
      <c r="AA2177">
        <v>20</v>
      </c>
      <c r="AB2177">
        <v>1500</v>
      </c>
      <c r="AC2177">
        <v>1079</v>
      </c>
      <c r="AD2177">
        <v>1079</v>
      </c>
      <c r="AE2177">
        <v>0</v>
      </c>
      <c r="AF2177">
        <v>0</v>
      </c>
      <c r="AG2177">
        <v>0</v>
      </c>
      <c r="AH2177">
        <v>0</v>
      </c>
      <c r="AI2177">
        <v>520</v>
      </c>
      <c r="AJ2177">
        <v>0</v>
      </c>
      <c r="AK2177">
        <v>0</v>
      </c>
      <c r="AL2177">
        <v>0</v>
      </c>
      <c r="AM2177">
        <v>120</v>
      </c>
      <c r="AN2177">
        <v>40</v>
      </c>
      <c r="AO2177">
        <v>0</v>
      </c>
      <c r="AP2177">
        <v>8</v>
      </c>
      <c r="AQ2177">
        <v>0</v>
      </c>
      <c r="AR2177">
        <v>0</v>
      </c>
      <c r="AS2177" t="s">
        <v>58</v>
      </c>
      <c r="AT2177">
        <v>1</v>
      </c>
      <c r="AU2177" t="s">
        <v>63</v>
      </c>
      <c r="AV2177" t="s">
        <v>64</v>
      </c>
      <c r="AW2177">
        <v>1</v>
      </c>
      <c r="AX2177">
        <v>3</v>
      </c>
      <c r="AY2177">
        <v>0</v>
      </c>
      <c r="AZ2177">
        <v>0</v>
      </c>
      <c r="BA2177">
        <v>100</v>
      </c>
      <c r="BB2177">
        <v>100</v>
      </c>
      <c r="BC2177">
        <v>100</v>
      </c>
      <c r="BD2177">
        <v>100</v>
      </c>
      <c r="BE2177">
        <v>1</v>
      </c>
      <c r="BF2177">
        <v>15000</v>
      </c>
      <c r="BG2177">
        <v>1000</v>
      </c>
      <c r="BH2177" s="6">
        <f>Grandview_Inventory[[#This Row],[land_extract]]*Lookups!$B$3</f>
        <v>48369.510983942157</v>
      </c>
      <c r="BI2177" s="6">
        <f>IF(Grandview_Inventory[[#This Row],[bldg_style]]="",0,Lookups!$B$2)</f>
        <v>155833.95000000001</v>
      </c>
      <c r="BJ2177" s="6">
        <f>_xlfn.IFNA(VLOOKUP(Grandview_Inventory[[#This Row],[quality]],Lookups!$H$2:$J$14,3,FALSE),0)</f>
        <v>9808</v>
      </c>
      <c r="BK2177" s="6">
        <f>_xlfn.IFNA(VLOOKUP(Grandview_Inventory[[#This Row],[condition]],Lookups!$H$17:$J$24,3,FALSE),0)</f>
        <v>22342</v>
      </c>
      <c r="BL2177" s="6">
        <f>Grandview_Inventory[[#This Row],[Eff_Age]]*Lookups!$B$14</f>
        <v>-4304.9987999999994</v>
      </c>
      <c r="BM2177" s="6">
        <f>Grandview_Inventory[[#This Row],[living_area]]*Lookups!$B$15</f>
        <v>67308.940386999995</v>
      </c>
      <c r="BN2177" s="6">
        <f>Grandview_Inventory[[#This Row],[Fin BSMT]]*Lookups!$B$16</f>
        <v>0</v>
      </c>
      <c r="BO2177" s="6">
        <f>(Grandview_Inventory[[#This Row],[att_gar]]+Grandview_Inventory[[#This Row],[bltin_gar]])*Lookups!$B$17</f>
        <v>45510.627240000002</v>
      </c>
      <c r="BP2177" s="6">
        <f>Grandview_Inventory[[#This Row],[Plumbing Fixtures]]*Lookups!$B$18</f>
        <v>16083.5344</v>
      </c>
      <c r="BQ2177" s="6">
        <f>Grandview_Inventory[[#This Row],[detatched_value]]*Lookups!$B$19</f>
        <v>0</v>
      </c>
      <c r="BR2177" s="6">
        <f>SUM(Grandview_Inventory[[#This Row],[Intercept]:[det_value]])*Grandview_Inventory[[#This Row],[res_pct]]</f>
        <v>312582.053227</v>
      </c>
      <c r="BS2177" s="6">
        <f>Grandview_Inventory[[#This Row],[land_value]]</f>
        <v>48369.510983942157</v>
      </c>
      <c r="BT2177" s="4">
        <f>_xlfn.IFNA(VLOOKUP(Grandview_Inventory[[#This Row],[quality]],Lookups!$A$26:$C$33,3,FALSE),1)</f>
        <v>0.94295468617355149</v>
      </c>
      <c r="BU2177" s="4">
        <f>_xlfn.IFNA(VLOOKUP(Grandview_Inventory[[#This Row],[condition]],Lookups!$A$37:$C$44,3,FALSE),1)</f>
        <v>0.97383723671140243</v>
      </c>
      <c r="BV2177" s="4">
        <f>IF(Grandview_Inventory[[#This Row],[bldg_style]]="",1,_xlfn.IFNA(VLOOKUP(Grandview_Inventory[[#This Row],[decade]],Lookups!$F$29:$H$43,3,FALSE),1))</f>
        <v>0.96737494181490646</v>
      </c>
      <c r="BW2177" s="4">
        <f>_xlfn.IFNA(VLOOKUP(Grandview_Inventory[[#This Row],[living_area_range]],Lookups!$F$47:$H$56,3,FALSE),1)</f>
        <v>0.96135087979789358</v>
      </c>
      <c r="BX2177" s="4">
        <f>AVERAGE(Grandview_Inventory[[#This Row],[qual_adj]:[size_adj]])</f>
        <v>0.96137943612443855</v>
      </c>
      <c r="BY2177" s="6">
        <f>IF(Grandview_Inventory[[#This Row],[pre_res]]&lt;0,0,Grandview_Inventory[[#This Row],[pre_res]]*Grandview_Inventory[[#This Row],[overall_adj]])</f>
        <v>300509.95807399251</v>
      </c>
      <c r="BZ2177" s="6">
        <f>(Grandview_Inventory[[#This Row],[sum_land]]-IF(Grandview_Inventory[[#This Row],[no_utilities]]=1,12000,0))/IF(Grandview_Inventory[[#This Row],[unbuildable]]=1,2,1)</f>
        <v>48369.510983942157</v>
      </c>
      <c r="CA217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77">
        <f>ROUND(Grandview_Inventory[[#This Row],[det_value]]*Lookups!$M$28,-2)</f>
        <v>0</v>
      </c>
      <c r="CC2177">
        <f>IF(ROUND(Grandview_Inventory[[#This Row],[adj_res]]*Lookups!$M$28,-2)&lt;Grandview_Inventory[[#This Row],[min_res]],Grandview_Inventory[[#This Row],[min_res]],ROUND(Grandview_Inventory[[#This Row],[adj_res]]*Lookups!$M$28,-2))</f>
        <v>285500</v>
      </c>
      <c r="CD2177">
        <f>Grandview_Inventory[[#This Row],[final_det]]+Grandview_Inventory[[#This Row],[final_res]]</f>
        <v>285500</v>
      </c>
      <c r="CE2177">
        <f>Grandview_Inventory[[#This Row],[final_land]]+Grandview_Inventory[[#This Row],[final_imp]]+Grandview_Inventory[[#This Row],[crop_value]]</f>
        <v>331500</v>
      </c>
      <c r="CG2177" t="str">
        <f t="shared" si="33"/>
        <v>update valuation set market_land =46000, market_bldg=285500, market_total =331500, market_mdno =401, market_date ='9/10/2023' where link_id = (select link_id from parcel where parcel_year = '2024' and parcel_id = '23092424437');</v>
      </c>
    </row>
    <row r="2178" spans="1:85" x14ac:dyDescent="0.25">
      <c r="A2178">
        <v>23092424438</v>
      </c>
      <c r="B2178">
        <v>0.19</v>
      </c>
      <c r="C2178">
        <v>8202</v>
      </c>
      <c r="D2178" t="s">
        <v>129</v>
      </c>
      <c r="E2178" t="s">
        <v>53</v>
      </c>
      <c r="F2178" t="s">
        <v>53</v>
      </c>
      <c r="G2178">
        <v>4</v>
      </c>
      <c r="H2178" t="s">
        <v>54</v>
      </c>
      <c r="I2178">
        <v>219300</v>
      </c>
      <c r="J2178">
        <v>39100</v>
      </c>
      <c r="K2178">
        <v>0.19</v>
      </c>
      <c r="L217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78">
        <v>0</v>
      </c>
      <c r="N2178">
        <v>0</v>
      </c>
      <c r="O2178">
        <v>0</v>
      </c>
      <c r="P2178">
        <v>13398.7528</v>
      </c>
      <c r="Q2178">
        <v>63903</v>
      </c>
      <c r="R2178">
        <f>(Grandview_Inventory[[#This Row],[ln_acres]]*Grandview_Inventory[[#This Row],[coeff]])+Grandview_Inventory[[#This Row],[const]]</f>
        <v>41651.273092551026</v>
      </c>
      <c r="S2178" t="s">
        <v>61</v>
      </c>
      <c r="T2178">
        <v>1</v>
      </c>
      <c r="U2178" t="s">
        <v>62</v>
      </c>
      <c r="V2178" t="s">
        <v>67</v>
      </c>
      <c r="W2178">
        <v>0</v>
      </c>
      <c r="X2178">
        <v>0</v>
      </c>
      <c r="Y2178">
        <v>18</v>
      </c>
      <c r="Z2178">
        <v>18</v>
      </c>
      <c r="AA2178">
        <v>20</v>
      </c>
      <c r="AB2178">
        <v>1500</v>
      </c>
      <c r="AC2178">
        <v>1228</v>
      </c>
      <c r="AD2178">
        <v>1228</v>
      </c>
      <c r="AE2178">
        <v>0</v>
      </c>
      <c r="AF2178">
        <v>0</v>
      </c>
      <c r="AG2178">
        <v>0</v>
      </c>
      <c r="AH2178">
        <v>0</v>
      </c>
      <c r="AI2178">
        <v>504</v>
      </c>
      <c r="AJ2178">
        <v>0</v>
      </c>
      <c r="AK2178">
        <v>0</v>
      </c>
      <c r="AL2178">
        <v>0</v>
      </c>
      <c r="AM2178">
        <v>200</v>
      </c>
      <c r="AN2178">
        <v>40</v>
      </c>
      <c r="AO2178">
        <v>200</v>
      </c>
      <c r="AP2178">
        <v>8</v>
      </c>
      <c r="AQ2178">
        <v>0</v>
      </c>
      <c r="AR2178">
        <v>0</v>
      </c>
      <c r="AS2178" t="s">
        <v>58</v>
      </c>
      <c r="AT2178">
        <v>1</v>
      </c>
      <c r="AU2178" t="s">
        <v>63</v>
      </c>
      <c r="AV2178" t="s">
        <v>64</v>
      </c>
      <c r="AW2178">
        <v>1</v>
      </c>
      <c r="AX2178">
        <v>4</v>
      </c>
      <c r="AY2178">
        <v>0</v>
      </c>
      <c r="AZ2178">
        <v>0</v>
      </c>
      <c r="BA2178">
        <v>100</v>
      </c>
      <c r="BB2178">
        <v>100</v>
      </c>
      <c r="BC2178">
        <v>100</v>
      </c>
      <c r="BD2178">
        <v>100</v>
      </c>
      <c r="BE2178">
        <v>1</v>
      </c>
      <c r="BF2178">
        <v>15000</v>
      </c>
      <c r="BG2178">
        <v>1000</v>
      </c>
      <c r="BH2178" s="6">
        <f>Grandview_Inventory[[#This Row],[land_extract]]*Lookups!$B$3</f>
        <v>48369.510983942157</v>
      </c>
      <c r="BI2178" s="6">
        <f>IF(Grandview_Inventory[[#This Row],[bldg_style]]="",0,Lookups!$B$2)</f>
        <v>155833.95000000001</v>
      </c>
      <c r="BJ2178" s="6">
        <f>_xlfn.IFNA(VLOOKUP(Grandview_Inventory[[#This Row],[quality]],Lookups!$H$2:$J$14,3,FALSE),0)</f>
        <v>9808</v>
      </c>
      <c r="BK2178" s="6">
        <f>_xlfn.IFNA(VLOOKUP(Grandview_Inventory[[#This Row],[condition]],Lookups!$H$17:$J$24,3,FALSE),0)</f>
        <v>22342</v>
      </c>
      <c r="BL2178" s="6">
        <f>Grandview_Inventory[[#This Row],[Eff_Age]]*Lookups!$B$14</f>
        <v>-4304.9987999999994</v>
      </c>
      <c r="BM2178" s="6">
        <f>Grandview_Inventory[[#This Row],[living_area]]*Lookups!$B$15</f>
        <v>76603.687484000009</v>
      </c>
      <c r="BN2178" s="6">
        <f>Grandview_Inventory[[#This Row],[Fin BSMT]]*Lookups!$B$16</f>
        <v>0</v>
      </c>
      <c r="BO2178" s="6">
        <f>(Grandview_Inventory[[#This Row],[att_gar]]+Grandview_Inventory[[#This Row],[bltin_gar]])*Lookups!$B$17</f>
        <v>44110.300248</v>
      </c>
      <c r="BP2178" s="6">
        <f>Grandview_Inventory[[#This Row],[Plumbing Fixtures]]*Lookups!$B$18</f>
        <v>16083.5344</v>
      </c>
      <c r="BQ2178" s="6">
        <f>Grandview_Inventory[[#This Row],[detatched_value]]*Lookups!$B$19</f>
        <v>0</v>
      </c>
      <c r="BR2178" s="6">
        <f>SUM(Grandview_Inventory[[#This Row],[Intercept]:[det_value]])*Grandview_Inventory[[#This Row],[res_pct]]</f>
        <v>320476.47333200002</v>
      </c>
      <c r="BS2178" s="6">
        <f>Grandview_Inventory[[#This Row],[land_value]]</f>
        <v>48369.510983942157</v>
      </c>
      <c r="BT2178" s="4">
        <f>_xlfn.IFNA(VLOOKUP(Grandview_Inventory[[#This Row],[quality]],Lookups!$A$26:$C$33,3,FALSE),1)</f>
        <v>0.94295468617355149</v>
      </c>
      <c r="BU2178" s="4">
        <f>_xlfn.IFNA(VLOOKUP(Grandview_Inventory[[#This Row],[condition]],Lookups!$A$37:$C$44,3,FALSE),1)</f>
        <v>0.97383723671140243</v>
      </c>
      <c r="BV2178" s="4">
        <f>IF(Grandview_Inventory[[#This Row],[bldg_style]]="",1,_xlfn.IFNA(VLOOKUP(Grandview_Inventory[[#This Row],[decade]],Lookups!$F$29:$H$43,3,FALSE),1))</f>
        <v>0.96737494181490646</v>
      </c>
      <c r="BW2178" s="4">
        <f>_xlfn.IFNA(VLOOKUP(Grandview_Inventory[[#This Row],[living_area_range]],Lookups!$F$47:$H$56,3,FALSE),1)</f>
        <v>0.96135087979789358</v>
      </c>
      <c r="BX2178" s="4">
        <f>AVERAGE(Grandview_Inventory[[#This Row],[qual_adj]:[size_adj]])</f>
        <v>0.96137943612443855</v>
      </c>
      <c r="BY2178" s="6">
        <f>IF(Grandview_Inventory[[#This Row],[pre_res]]&lt;0,0,Grandview_Inventory[[#This Row],[pre_res]]*Grandview_Inventory[[#This Row],[overall_adj]])</f>
        <v>308099.49122306687</v>
      </c>
      <c r="BZ2178" s="6">
        <f>(Grandview_Inventory[[#This Row],[sum_land]]-IF(Grandview_Inventory[[#This Row],[no_utilities]]=1,12000,0))/IF(Grandview_Inventory[[#This Row],[unbuildable]]=1,2,1)</f>
        <v>48369.510983942157</v>
      </c>
      <c r="CA217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78">
        <f>ROUND(Grandview_Inventory[[#This Row],[det_value]]*Lookups!$M$28,-2)</f>
        <v>0</v>
      </c>
      <c r="CC2178">
        <f>IF(ROUND(Grandview_Inventory[[#This Row],[adj_res]]*Lookups!$M$28,-2)&lt;Grandview_Inventory[[#This Row],[min_res]],Grandview_Inventory[[#This Row],[min_res]],ROUND(Grandview_Inventory[[#This Row],[adj_res]]*Lookups!$M$28,-2))</f>
        <v>292700</v>
      </c>
      <c r="CD2178">
        <f>Grandview_Inventory[[#This Row],[final_det]]+Grandview_Inventory[[#This Row],[final_res]]</f>
        <v>292700</v>
      </c>
      <c r="CE2178">
        <f>Grandview_Inventory[[#This Row],[final_land]]+Grandview_Inventory[[#This Row],[final_imp]]+Grandview_Inventory[[#This Row],[crop_value]]</f>
        <v>338700</v>
      </c>
      <c r="CG2178" t="str">
        <f t="shared" si="33"/>
        <v>update valuation set market_land =46000, market_bldg=292700, market_total =338700, market_mdno =401, market_date ='9/10/2023' where link_id = (select link_id from parcel where parcel_year = '2024' and parcel_id = '23092424438');</v>
      </c>
    </row>
    <row r="2179" spans="1:85" x14ac:dyDescent="0.25">
      <c r="A2179">
        <v>23092424439</v>
      </c>
      <c r="B2179">
        <v>0.19</v>
      </c>
      <c r="C2179">
        <v>8202</v>
      </c>
      <c r="D2179" t="s">
        <v>129</v>
      </c>
      <c r="E2179" t="s">
        <v>53</v>
      </c>
      <c r="F2179" t="s">
        <v>53</v>
      </c>
      <c r="G2179">
        <v>4</v>
      </c>
      <c r="H2179" t="s">
        <v>54</v>
      </c>
      <c r="I2179">
        <v>221700</v>
      </c>
      <c r="J2179">
        <v>39100</v>
      </c>
      <c r="K2179">
        <v>0.19</v>
      </c>
      <c r="L21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79">
        <v>0</v>
      </c>
      <c r="N2179">
        <v>0</v>
      </c>
      <c r="O2179">
        <v>0</v>
      </c>
      <c r="P2179">
        <v>13398.7528</v>
      </c>
      <c r="Q2179">
        <v>63903</v>
      </c>
      <c r="R2179">
        <f>(Grandview_Inventory[[#This Row],[ln_acres]]*Grandview_Inventory[[#This Row],[coeff]])+Grandview_Inventory[[#This Row],[const]]</f>
        <v>41651.273092551026</v>
      </c>
      <c r="S2179" t="s">
        <v>61</v>
      </c>
      <c r="T2179">
        <v>1</v>
      </c>
      <c r="U2179" t="s">
        <v>62</v>
      </c>
      <c r="V2179" t="s">
        <v>67</v>
      </c>
      <c r="W2179">
        <v>0</v>
      </c>
      <c r="X2179">
        <v>0</v>
      </c>
      <c r="Y2179">
        <v>18</v>
      </c>
      <c r="Z2179">
        <v>18</v>
      </c>
      <c r="AA2179">
        <v>20</v>
      </c>
      <c r="AB2179">
        <v>1500</v>
      </c>
      <c r="AC2179">
        <v>1288</v>
      </c>
      <c r="AD2179">
        <v>1288</v>
      </c>
      <c r="AE2179">
        <v>0</v>
      </c>
      <c r="AF2179">
        <v>0</v>
      </c>
      <c r="AG2179">
        <v>0</v>
      </c>
      <c r="AH2179">
        <v>0</v>
      </c>
      <c r="AI2179">
        <v>520</v>
      </c>
      <c r="AJ2179">
        <v>0</v>
      </c>
      <c r="AK2179">
        <v>0</v>
      </c>
      <c r="AL2179">
        <v>0</v>
      </c>
      <c r="AM2179">
        <v>200</v>
      </c>
      <c r="AN2179">
        <v>128</v>
      </c>
      <c r="AO2179">
        <v>200</v>
      </c>
      <c r="AP2179">
        <v>8</v>
      </c>
      <c r="AQ2179">
        <v>0</v>
      </c>
      <c r="AR2179">
        <v>0</v>
      </c>
      <c r="AS2179" t="s">
        <v>58</v>
      </c>
      <c r="AT2179">
        <v>1</v>
      </c>
      <c r="AU2179" t="s">
        <v>63</v>
      </c>
      <c r="AV2179" t="s">
        <v>64</v>
      </c>
      <c r="AW2179">
        <v>1</v>
      </c>
      <c r="AX2179">
        <v>3</v>
      </c>
      <c r="AY2179">
        <v>0</v>
      </c>
      <c r="AZ2179">
        <v>0</v>
      </c>
      <c r="BA2179">
        <v>100</v>
      </c>
      <c r="BB2179">
        <v>100</v>
      </c>
      <c r="BC2179">
        <v>100</v>
      </c>
      <c r="BD2179">
        <v>100</v>
      </c>
      <c r="BE2179">
        <v>1</v>
      </c>
      <c r="BF2179">
        <v>15000</v>
      </c>
      <c r="BG2179">
        <v>1000</v>
      </c>
      <c r="BH2179" s="6">
        <f>Grandview_Inventory[[#This Row],[land_extract]]*Lookups!$B$3</f>
        <v>48369.510983942157</v>
      </c>
      <c r="BI2179" s="6">
        <f>IF(Grandview_Inventory[[#This Row],[bldg_style]]="",0,Lookups!$B$2)</f>
        <v>155833.95000000001</v>
      </c>
      <c r="BJ2179" s="6">
        <f>_xlfn.IFNA(VLOOKUP(Grandview_Inventory[[#This Row],[quality]],Lookups!$H$2:$J$14,3,FALSE),0)</f>
        <v>9808</v>
      </c>
      <c r="BK2179" s="6">
        <f>_xlfn.IFNA(VLOOKUP(Grandview_Inventory[[#This Row],[condition]],Lookups!$H$17:$J$24,3,FALSE),0)</f>
        <v>22342</v>
      </c>
      <c r="BL2179" s="6">
        <f>Grandview_Inventory[[#This Row],[Eff_Age]]*Lookups!$B$14</f>
        <v>-4304.9987999999994</v>
      </c>
      <c r="BM2179" s="6">
        <f>Grandview_Inventory[[#This Row],[living_area]]*Lookups!$B$15</f>
        <v>80346.538664000007</v>
      </c>
      <c r="BN2179" s="6">
        <f>Grandview_Inventory[[#This Row],[Fin BSMT]]*Lookups!$B$16</f>
        <v>0</v>
      </c>
      <c r="BO2179" s="6">
        <f>(Grandview_Inventory[[#This Row],[att_gar]]+Grandview_Inventory[[#This Row],[bltin_gar]])*Lookups!$B$17</f>
        <v>45510.627240000002</v>
      </c>
      <c r="BP2179" s="6">
        <f>Grandview_Inventory[[#This Row],[Plumbing Fixtures]]*Lookups!$B$18</f>
        <v>16083.5344</v>
      </c>
      <c r="BQ2179" s="6">
        <f>Grandview_Inventory[[#This Row],[detatched_value]]*Lookups!$B$19</f>
        <v>0</v>
      </c>
      <c r="BR2179" s="6">
        <f>SUM(Grandview_Inventory[[#This Row],[Intercept]:[det_value]])*Grandview_Inventory[[#This Row],[res_pct]]</f>
        <v>325619.65150400001</v>
      </c>
      <c r="BS2179" s="6">
        <f>Grandview_Inventory[[#This Row],[land_value]]</f>
        <v>48369.510983942157</v>
      </c>
      <c r="BT2179" s="4">
        <f>_xlfn.IFNA(VLOOKUP(Grandview_Inventory[[#This Row],[quality]],Lookups!$A$26:$C$33,3,FALSE),1)</f>
        <v>0.94295468617355149</v>
      </c>
      <c r="BU2179" s="4">
        <f>_xlfn.IFNA(VLOOKUP(Grandview_Inventory[[#This Row],[condition]],Lookups!$A$37:$C$44,3,FALSE),1)</f>
        <v>0.97383723671140243</v>
      </c>
      <c r="BV2179" s="4">
        <f>IF(Grandview_Inventory[[#This Row],[bldg_style]]="",1,_xlfn.IFNA(VLOOKUP(Grandview_Inventory[[#This Row],[decade]],Lookups!$F$29:$H$43,3,FALSE),1))</f>
        <v>0.96737494181490646</v>
      </c>
      <c r="BW2179" s="4">
        <f>_xlfn.IFNA(VLOOKUP(Grandview_Inventory[[#This Row],[living_area_range]],Lookups!$F$47:$H$56,3,FALSE),1)</f>
        <v>0.96135087979789358</v>
      </c>
      <c r="BX2179" s="4">
        <f>AVERAGE(Grandview_Inventory[[#This Row],[qual_adj]:[size_adj]])</f>
        <v>0.96137943612443855</v>
      </c>
      <c r="BY2179" s="6">
        <f>IF(Grandview_Inventory[[#This Row],[pre_res]]&lt;0,0,Grandview_Inventory[[#This Row],[pre_res]]*Grandview_Inventory[[#This Row],[overall_adj]])</f>
        <v>313044.0369539517</v>
      </c>
      <c r="BZ2179" s="6">
        <f>(Grandview_Inventory[[#This Row],[sum_land]]-IF(Grandview_Inventory[[#This Row],[no_utilities]]=1,12000,0))/IF(Grandview_Inventory[[#This Row],[unbuildable]]=1,2,1)</f>
        <v>48369.510983942157</v>
      </c>
      <c r="CA21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79">
        <f>ROUND(Grandview_Inventory[[#This Row],[det_value]]*Lookups!$M$28,-2)</f>
        <v>0</v>
      </c>
      <c r="CC2179">
        <f>IF(ROUND(Grandview_Inventory[[#This Row],[adj_res]]*Lookups!$M$28,-2)&lt;Grandview_Inventory[[#This Row],[min_res]],Grandview_Inventory[[#This Row],[min_res]],ROUND(Grandview_Inventory[[#This Row],[adj_res]]*Lookups!$M$28,-2))</f>
        <v>297400</v>
      </c>
      <c r="CD2179">
        <f>Grandview_Inventory[[#This Row],[final_det]]+Grandview_Inventory[[#This Row],[final_res]]</f>
        <v>297400</v>
      </c>
      <c r="CE2179">
        <f>Grandview_Inventory[[#This Row],[final_land]]+Grandview_Inventory[[#This Row],[final_imp]]+Grandview_Inventory[[#This Row],[crop_value]]</f>
        <v>343400</v>
      </c>
      <c r="CG2179" t="str">
        <f t="shared" ref="CG2179:CG2242" si="34">"update valuation set market_land ="&amp;CA2179&amp;", market_bldg="&amp;CD2179&amp;", market_total ="&amp;CE2179&amp;", market_mdno ="&amp;$CG$1&amp;", market_date ='"&amp;TEXT($CH$1,"m/d/yyyy")&amp;"' where link_id = (select link_id from parcel where parcel_year = '2024' and parcel_id = '"&amp;A2179&amp;"');"</f>
        <v>update valuation set market_land =46000, market_bldg=297400, market_total =343400, market_mdno =401, market_date ='9/10/2023' where link_id = (select link_id from parcel where parcel_year = '2024' and parcel_id = '23092424439');</v>
      </c>
    </row>
    <row r="2180" spans="1:85" x14ac:dyDescent="0.25">
      <c r="A2180">
        <v>23092424440</v>
      </c>
      <c r="B2180">
        <v>0.17</v>
      </c>
      <c r="C2180">
        <v>7200</v>
      </c>
      <c r="D2180" t="s">
        <v>129</v>
      </c>
      <c r="E2180" t="s">
        <v>53</v>
      </c>
      <c r="F2180" t="s">
        <v>53</v>
      </c>
      <c r="G2180">
        <v>4</v>
      </c>
      <c r="H2180" t="s">
        <v>54</v>
      </c>
      <c r="I2180">
        <v>210100</v>
      </c>
      <c r="J2180">
        <v>38800</v>
      </c>
      <c r="K2180">
        <v>0.17</v>
      </c>
      <c r="L218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80">
        <v>0</v>
      </c>
      <c r="N2180">
        <v>0</v>
      </c>
      <c r="O2180">
        <v>0</v>
      </c>
      <c r="P2180">
        <v>13398.7528</v>
      </c>
      <c r="Q2180">
        <v>63903</v>
      </c>
      <c r="R2180">
        <f>(Grandview_Inventory[[#This Row],[ln_acres]]*Grandview_Inventory[[#This Row],[coeff]])+Grandview_Inventory[[#This Row],[const]]</f>
        <v>40160.988302686128</v>
      </c>
      <c r="S2180" t="s">
        <v>61</v>
      </c>
      <c r="T2180">
        <v>1</v>
      </c>
      <c r="U2180" t="s">
        <v>62</v>
      </c>
      <c r="V2180" t="s">
        <v>67</v>
      </c>
      <c r="W2180">
        <v>0</v>
      </c>
      <c r="X2180">
        <v>0</v>
      </c>
      <c r="Y2180">
        <v>19</v>
      </c>
      <c r="Z2180">
        <v>19</v>
      </c>
      <c r="AA2180">
        <v>20</v>
      </c>
      <c r="AB2180">
        <v>1500</v>
      </c>
      <c r="AC2180">
        <v>1079</v>
      </c>
      <c r="AD2180">
        <v>1079</v>
      </c>
      <c r="AE2180">
        <v>0</v>
      </c>
      <c r="AF2180">
        <v>0</v>
      </c>
      <c r="AG2180">
        <v>0</v>
      </c>
      <c r="AH2180">
        <v>0</v>
      </c>
      <c r="AI2180">
        <v>520</v>
      </c>
      <c r="AJ2180">
        <v>0</v>
      </c>
      <c r="AK2180">
        <v>0</v>
      </c>
      <c r="AL2180">
        <v>0</v>
      </c>
      <c r="AM2180">
        <v>120</v>
      </c>
      <c r="AN2180">
        <v>40</v>
      </c>
      <c r="AO2180">
        <v>0</v>
      </c>
      <c r="AP2180">
        <v>8</v>
      </c>
      <c r="AQ2180">
        <v>0</v>
      </c>
      <c r="AR2180">
        <v>0</v>
      </c>
      <c r="AS2180" t="s">
        <v>58</v>
      </c>
      <c r="AT2180">
        <v>1</v>
      </c>
      <c r="AU2180" t="s">
        <v>63</v>
      </c>
      <c r="AV2180" t="s">
        <v>64</v>
      </c>
      <c r="AW2180">
        <v>1</v>
      </c>
      <c r="AX2180">
        <v>3</v>
      </c>
      <c r="AY2180">
        <v>0</v>
      </c>
      <c r="AZ2180">
        <v>0</v>
      </c>
      <c r="BA2180">
        <v>100</v>
      </c>
      <c r="BB2180">
        <v>100</v>
      </c>
      <c r="BC2180">
        <v>100</v>
      </c>
      <c r="BD2180">
        <v>100</v>
      </c>
      <c r="BE2180">
        <v>1</v>
      </c>
      <c r="BF2180">
        <v>15000</v>
      </c>
      <c r="BG2180">
        <v>1000</v>
      </c>
      <c r="BH2180" s="6">
        <f>Grandview_Inventory[[#This Row],[land_extract]]*Lookups!$B$3</f>
        <v>46638.847281240982</v>
      </c>
      <c r="BI2180" s="6">
        <f>IF(Grandview_Inventory[[#This Row],[bldg_style]]="",0,Lookups!$B$2)</f>
        <v>155833.95000000001</v>
      </c>
      <c r="BJ2180" s="6">
        <f>_xlfn.IFNA(VLOOKUP(Grandview_Inventory[[#This Row],[quality]],Lookups!$H$2:$J$14,3,FALSE),0)</f>
        <v>9808</v>
      </c>
      <c r="BK2180" s="6">
        <f>_xlfn.IFNA(VLOOKUP(Grandview_Inventory[[#This Row],[condition]],Lookups!$H$17:$J$24,3,FALSE),0)</f>
        <v>22342</v>
      </c>
      <c r="BL2180" s="6">
        <f>Grandview_Inventory[[#This Row],[Eff_Age]]*Lookups!$B$14</f>
        <v>-4544.1653999999999</v>
      </c>
      <c r="BM2180" s="6">
        <f>Grandview_Inventory[[#This Row],[living_area]]*Lookups!$B$15</f>
        <v>67308.940386999995</v>
      </c>
      <c r="BN2180" s="6">
        <f>Grandview_Inventory[[#This Row],[Fin BSMT]]*Lookups!$B$16</f>
        <v>0</v>
      </c>
      <c r="BO2180" s="6">
        <f>(Grandview_Inventory[[#This Row],[att_gar]]+Grandview_Inventory[[#This Row],[bltin_gar]])*Lookups!$B$17</f>
        <v>45510.627240000002</v>
      </c>
      <c r="BP2180" s="6">
        <f>Grandview_Inventory[[#This Row],[Plumbing Fixtures]]*Lookups!$B$18</f>
        <v>16083.5344</v>
      </c>
      <c r="BQ2180" s="6">
        <f>Grandview_Inventory[[#This Row],[detatched_value]]*Lookups!$B$19</f>
        <v>0</v>
      </c>
      <c r="BR2180" s="6">
        <f>SUM(Grandview_Inventory[[#This Row],[Intercept]:[det_value]])*Grandview_Inventory[[#This Row],[res_pct]]</f>
        <v>312342.886627</v>
      </c>
      <c r="BS2180" s="6">
        <f>Grandview_Inventory[[#This Row],[land_value]]</f>
        <v>46638.847281240982</v>
      </c>
      <c r="BT2180" s="4">
        <f>_xlfn.IFNA(VLOOKUP(Grandview_Inventory[[#This Row],[quality]],Lookups!$A$26:$C$33,3,FALSE),1)</f>
        <v>0.94295468617355149</v>
      </c>
      <c r="BU2180" s="4">
        <f>_xlfn.IFNA(VLOOKUP(Grandview_Inventory[[#This Row],[condition]],Lookups!$A$37:$C$44,3,FALSE),1)</f>
        <v>0.97383723671140243</v>
      </c>
      <c r="BV2180" s="4">
        <f>IF(Grandview_Inventory[[#This Row],[bldg_style]]="",1,_xlfn.IFNA(VLOOKUP(Grandview_Inventory[[#This Row],[decade]],Lookups!$F$29:$H$43,3,FALSE),1))</f>
        <v>0.96737494181490646</v>
      </c>
      <c r="BW2180" s="4">
        <f>_xlfn.IFNA(VLOOKUP(Grandview_Inventory[[#This Row],[living_area_range]],Lookups!$F$47:$H$56,3,FALSE),1)</f>
        <v>0.96135087979789358</v>
      </c>
      <c r="BX2180" s="4">
        <f>AVERAGE(Grandview_Inventory[[#This Row],[qual_adj]:[size_adj]])</f>
        <v>0.96137943612443855</v>
      </c>
      <c r="BY2180" s="6">
        <f>IF(Grandview_Inventory[[#This Row],[pre_res]]&lt;0,0,Grandview_Inventory[[#This Row],[pre_res]]*Grandview_Inventory[[#This Row],[overall_adj]])</f>
        <v>300280.0282229447</v>
      </c>
      <c r="BZ2180" s="6">
        <f>(Grandview_Inventory[[#This Row],[sum_land]]-IF(Grandview_Inventory[[#This Row],[no_utilities]]=1,12000,0))/IF(Grandview_Inventory[[#This Row],[unbuildable]]=1,2,1)</f>
        <v>46638.847281240982</v>
      </c>
      <c r="CA218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80">
        <f>ROUND(Grandview_Inventory[[#This Row],[det_value]]*Lookups!$M$28,-2)</f>
        <v>0</v>
      </c>
      <c r="CC2180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80">
        <f>Grandview_Inventory[[#This Row],[final_det]]+Grandview_Inventory[[#This Row],[final_res]]</f>
        <v>285300</v>
      </c>
      <c r="CE2180">
        <f>Grandview_Inventory[[#This Row],[final_land]]+Grandview_Inventory[[#This Row],[final_imp]]+Grandview_Inventory[[#This Row],[crop_value]]</f>
        <v>329600</v>
      </c>
      <c r="CG2180" t="str">
        <f t="shared" si="34"/>
        <v>update valuation set market_land =44300, market_bldg=285300, market_total =329600, market_mdno =401, market_date ='9/10/2023' where link_id = (select link_id from parcel where parcel_year = '2024' and parcel_id = '23092424440');</v>
      </c>
    </row>
    <row r="2181" spans="1:85" x14ac:dyDescent="0.25">
      <c r="A2181">
        <v>23092424441</v>
      </c>
      <c r="B2181">
        <v>0.16</v>
      </c>
      <c r="C2181">
        <v>7009</v>
      </c>
      <c r="D2181" t="s">
        <v>129</v>
      </c>
      <c r="E2181" t="s">
        <v>53</v>
      </c>
      <c r="F2181" t="s">
        <v>53</v>
      </c>
      <c r="G2181">
        <v>4</v>
      </c>
      <c r="H2181" t="s">
        <v>54</v>
      </c>
      <c r="I2181">
        <v>210100</v>
      </c>
      <c r="J2181">
        <v>38600</v>
      </c>
      <c r="K2181">
        <v>0.16</v>
      </c>
      <c r="L218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1">
        <v>0</v>
      </c>
      <c r="N2181">
        <v>0</v>
      </c>
      <c r="O2181">
        <v>0</v>
      </c>
      <c r="P2181">
        <v>13398.7528</v>
      </c>
      <c r="Q2181">
        <v>63903</v>
      </c>
      <c r="R2181">
        <f>(Grandview_Inventory[[#This Row],[ln_acres]]*Grandview_Inventory[[#This Row],[coeff]])+Grandview_Inventory[[#This Row],[const]]</f>
        <v>39348.693981374228</v>
      </c>
      <c r="S2181" t="s">
        <v>61</v>
      </c>
      <c r="T2181">
        <v>1</v>
      </c>
      <c r="U2181" t="s">
        <v>62</v>
      </c>
      <c r="V2181" t="s">
        <v>67</v>
      </c>
      <c r="W2181">
        <v>0</v>
      </c>
      <c r="X2181">
        <v>0</v>
      </c>
      <c r="Y2181">
        <v>19</v>
      </c>
      <c r="Z2181">
        <v>19</v>
      </c>
      <c r="AA2181">
        <v>20</v>
      </c>
      <c r="AB2181">
        <v>1500</v>
      </c>
      <c r="AC2181">
        <v>1079</v>
      </c>
      <c r="AD2181">
        <v>1079</v>
      </c>
      <c r="AE2181">
        <v>0</v>
      </c>
      <c r="AF2181">
        <v>0</v>
      </c>
      <c r="AG2181">
        <v>0</v>
      </c>
      <c r="AH2181">
        <v>0</v>
      </c>
      <c r="AI2181">
        <v>520</v>
      </c>
      <c r="AJ2181">
        <v>0</v>
      </c>
      <c r="AK2181">
        <v>0</v>
      </c>
      <c r="AL2181">
        <v>0</v>
      </c>
      <c r="AM2181">
        <v>120</v>
      </c>
      <c r="AN2181">
        <v>40</v>
      </c>
      <c r="AO2181">
        <v>0</v>
      </c>
      <c r="AP2181">
        <v>8</v>
      </c>
      <c r="AQ2181">
        <v>0</v>
      </c>
      <c r="AR2181">
        <v>0</v>
      </c>
      <c r="AS2181" t="s">
        <v>58</v>
      </c>
      <c r="AT2181">
        <v>1</v>
      </c>
      <c r="AU2181" t="s">
        <v>63</v>
      </c>
      <c r="AV2181" t="s">
        <v>64</v>
      </c>
      <c r="AW2181">
        <v>1</v>
      </c>
      <c r="AX2181">
        <v>3</v>
      </c>
      <c r="AY2181">
        <v>0</v>
      </c>
      <c r="AZ2181">
        <v>0</v>
      </c>
      <c r="BA2181">
        <v>100</v>
      </c>
      <c r="BB2181">
        <v>100</v>
      </c>
      <c r="BC2181">
        <v>100</v>
      </c>
      <c r="BD2181">
        <v>100</v>
      </c>
      <c r="BE2181">
        <v>1</v>
      </c>
      <c r="BF2181">
        <v>15000</v>
      </c>
      <c r="BG2181">
        <v>1000</v>
      </c>
      <c r="BH2181" s="6">
        <f>Grandview_Inventory[[#This Row],[land_extract]]*Lookups!$B$3</f>
        <v>45695.532079096141</v>
      </c>
      <c r="BI2181" s="6">
        <f>IF(Grandview_Inventory[[#This Row],[bldg_style]]="",0,Lookups!$B$2)</f>
        <v>155833.95000000001</v>
      </c>
      <c r="BJ2181" s="6">
        <f>_xlfn.IFNA(VLOOKUP(Grandview_Inventory[[#This Row],[quality]],Lookups!$H$2:$J$14,3,FALSE),0)</f>
        <v>9808</v>
      </c>
      <c r="BK2181" s="6">
        <f>_xlfn.IFNA(VLOOKUP(Grandview_Inventory[[#This Row],[condition]],Lookups!$H$17:$J$24,3,FALSE),0)</f>
        <v>22342</v>
      </c>
      <c r="BL2181" s="6">
        <f>Grandview_Inventory[[#This Row],[Eff_Age]]*Lookups!$B$14</f>
        <v>-4544.1653999999999</v>
      </c>
      <c r="BM2181" s="6">
        <f>Grandview_Inventory[[#This Row],[living_area]]*Lookups!$B$15</f>
        <v>67308.940386999995</v>
      </c>
      <c r="BN2181" s="6">
        <f>Grandview_Inventory[[#This Row],[Fin BSMT]]*Lookups!$B$16</f>
        <v>0</v>
      </c>
      <c r="BO2181" s="6">
        <f>(Grandview_Inventory[[#This Row],[att_gar]]+Grandview_Inventory[[#This Row],[bltin_gar]])*Lookups!$B$17</f>
        <v>45510.627240000002</v>
      </c>
      <c r="BP2181" s="6">
        <f>Grandview_Inventory[[#This Row],[Plumbing Fixtures]]*Lookups!$B$18</f>
        <v>16083.5344</v>
      </c>
      <c r="BQ2181" s="6">
        <f>Grandview_Inventory[[#This Row],[detatched_value]]*Lookups!$B$19</f>
        <v>0</v>
      </c>
      <c r="BR2181" s="6">
        <f>SUM(Grandview_Inventory[[#This Row],[Intercept]:[det_value]])*Grandview_Inventory[[#This Row],[res_pct]]</f>
        <v>312342.886627</v>
      </c>
      <c r="BS2181" s="6">
        <f>Grandview_Inventory[[#This Row],[land_value]]</f>
        <v>45695.532079096141</v>
      </c>
      <c r="BT2181" s="4">
        <f>_xlfn.IFNA(VLOOKUP(Grandview_Inventory[[#This Row],[quality]],Lookups!$A$26:$C$33,3,FALSE),1)</f>
        <v>0.94295468617355149</v>
      </c>
      <c r="BU2181" s="4">
        <f>_xlfn.IFNA(VLOOKUP(Grandview_Inventory[[#This Row],[condition]],Lookups!$A$37:$C$44,3,FALSE),1)</f>
        <v>0.97383723671140243</v>
      </c>
      <c r="BV2181" s="4">
        <f>IF(Grandview_Inventory[[#This Row],[bldg_style]]="",1,_xlfn.IFNA(VLOOKUP(Grandview_Inventory[[#This Row],[decade]],Lookups!$F$29:$H$43,3,FALSE),1))</f>
        <v>0.96737494181490646</v>
      </c>
      <c r="BW2181" s="4">
        <f>_xlfn.IFNA(VLOOKUP(Grandview_Inventory[[#This Row],[living_area_range]],Lookups!$F$47:$H$56,3,FALSE),1)</f>
        <v>0.96135087979789358</v>
      </c>
      <c r="BX2181" s="4">
        <f>AVERAGE(Grandview_Inventory[[#This Row],[qual_adj]:[size_adj]])</f>
        <v>0.96137943612443855</v>
      </c>
      <c r="BY2181" s="6">
        <f>IF(Grandview_Inventory[[#This Row],[pre_res]]&lt;0,0,Grandview_Inventory[[#This Row],[pre_res]]*Grandview_Inventory[[#This Row],[overall_adj]])</f>
        <v>300280.0282229447</v>
      </c>
      <c r="BZ2181" s="6">
        <f>(Grandview_Inventory[[#This Row],[sum_land]]-IF(Grandview_Inventory[[#This Row],[no_utilities]]=1,12000,0))/IF(Grandview_Inventory[[#This Row],[unbuildable]]=1,2,1)</f>
        <v>45695.532079096141</v>
      </c>
      <c r="CA218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1">
        <f>ROUND(Grandview_Inventory[[#This Row],[det_value]]*Lookups!$M$28,-2)</f>
        <v>0</v>
      </c>
      <c r="CC2181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81">
        <f>Grandview_Inventory[[#This Row],[final_det]]+Grandview_Inventory[[#This Row],[final_res]]</f>
        <v>285300</v>
      </c>
      <c r="CE2181">
        <f>Grandview_Inventory[[#This Row],[final_land]]+Grandview_Inventory[[#This Row],[final_imp]]+Grandview_Inventory[[#This Row],[crop_value]]</f>
        <v>328700</v>
      </c>
      <c r="CG2181" t="str">
        <f t="shared" si="34"/>
        <v>update valuation set market_land =43400, market_bldg=285300, market_total =328700, market_mdno =401, market_date ='9/10/2023' where link_id = (select link_id from parcel where parcel_year = '2024' and parcel_id = '23092424441');</v>
      </c>
    </row>
    <row r="2182" spans="1:85" x14ac:dyDescent="0.25">
      <c r="A2182">
        <v>23092424442</v>
      </c>
      <c r="B2182">
        <v>0.16</v>
      </c>
      <c r="C2182">
        <v>7009</v>
      </c>
      <c r="D2182" t="s">
        <v>129</v>
      </c>
      <c r="E2182" t="s">
        <v>53</v>
      </c>
      <c r="F2182" t="s">
        <v>53</v>
      </c>
      <c r="G2182">
        <v>4</v>
      </c>
      <c r="H2182" t="s">
        <v>54</v>
      </c>
      <c r="I2182">
        <v>210100</v>
      </c>
      <c r="J2182">
        <v>38600</v>
      </c>
      <c r="K2182">
        <v>0.16</v>
      </c>
      <c r="L218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2">
        <v>0</v>
      </c>
      <c r="N2182">
        <v>0</v>
      </c>
      <c r="O2182">
        <v>0</v>
      </c>
      <c r="P2182">
        <v>13398.7528</v>
      </c>
      <c r="Q2182">
        <v>63903</v>
      </c>
      <c r="R2182">
        <f>(Grandview_Inventory[[#This Row],[ln_acres]]*Grandview_Inventory[[#This Row],[coeff]])+Grandview_Inventory[[#This Row],[const]]</f>
        <v>39348.693981374228</v>
      </c>
      <c r="S2182" t="s">
        <v>61</v>
      </c>
      <c r="T2182">
        <v>1</v>
      </c>
      <c r="U2182" t="s">
        <v>62</v>
      </c>
      <c r="V2182" t="s">
        <v>67</v>
      </c>
      <c r="W2182">
        <v>0</v>
      </c>
      <c r="X2182">
        <v>0</v>
      </c>
      <c r="Y2182">
        <v>19</v>
      </c>
      <c r="Z2182">
        <v>19</v>
      </c>
      <c r="AA2182">
        <v>20</v>
      </c>
      <c r="AB2182">
        <v>1500</v>
      </c>
      <c r="AC2182">
        <v>1079</v>
      </c>
      <c r="AD2182">
        <v>1079</v>
      </c>
      <c r="AE2182">
        <v>0</v>
      </c>
      <c r="AF2182">
        <v>0</v>
      </c>
      <c r="AG2182">
        <v>0</v>
      </c>
      <c r="AH2182">
        <v>0</v>
      </c>
      <c r="AI2182">
        <v>520</v>
      </c>
      <c r="AJ2182">
        <v>0</v>
      </c>
      <c r="AK2182">
        <v>0</v>
      </c>
      <c r="AL2182">
        <v>0</v>
      </c>
      <c r="AM2182">
        <v>120</v>
      </c>
      <c r="AN2182">
        <v>40</v>
      </c>
      <c r="AO2182">
        <v>0</v>
      </c>
      <c r="AP2182">
        <v>8</v>
      </c>
      <c r="AQ2182">
        <v>0</v>
      </c>
      <c r="AR2182">
        <v>0</v>
      </c>
      <c r="AS2182" t="s">
        <v>58</v>
      </c>
      <c r="AT2182">
        <v>1</v>
      </c>
      <c r="AU2182" t="s">
        <v>63</v>
      </c>
      <c r="AV2182" t="s">
        <v>64</v>
      </c>
      <c r="AW2182">
        <v>1</v>
      </c>
      <c r="AX2182">
        <v>3</v>
      </c>
      <c r="AY2182">
        <v>0</v>
      </c>
      <c r="AZ2182">
        <v>0</v>
      </c>
      <c r="BA2182">
        <v>100</v>
      </c>
      <c r="BB2182">
        <v>100</v>
      </c>
      <c r="BC2182">
        <v>100</v>
      </c>
      <c r="BD2182">
        <v>100</v>
      </c>
      <c r="BE2182">
        <v>1</v>
      </c>
      <c r="BF2182">
        <v>15000</v>
      </c>
      <c r="BG2182">
        <v>1000</v>
      </c>
      <c r="BH2182" s="6">
        <f>Grandview_Inventory[[#This Row],[land_extract]]*Lookups!$B$3</f>
        <v>45695.532079096141</v>
      </c>
      <c r="BI2182" s="6">
        <f>IF(Grandview_Inventory[[#This Row],[bldg_style]]="",0,Lookups!$B$2)</f>
        <v>155833.95000000001</v>
      </c>
      <c r="BJ2182" s="6">
        <f>_xlfn.IFNA(VLOOKUP(Grandview_Inventory[[#This Row],[quality]],Lookups!$H$2:$J$14,3,FALSE),0)</f>
        <v>9808</v>
      </c>
      <c r="BK2182" s="6">
        <f>_xlfn.IFNA(VLOOKUP(Grandview_Inventory[[#This Row],[condition]],Lookups!$H$17:$J$24,3,FALSE),0)</f>
        <v>22342</v>
      </c>
      <c r="BL2182" s="6">
        <f>Grandview_Inventory[[#This Row],[Eff_Age]]*Lookups!$B$14</f>
        <v>-4544.1653999999999</v>
      </c>
      <c r="BM2182" s="6">
        <f>Grandview_Inventory[[#This Row],[living_area]]*Lookups!$B$15</f>
        <v>67308.940386999995</v>
      </c>
      <c r="BN2182" s="6">
        <f>Grandview_Inventory[[#This Row],[Fin BSMT]]*Lookups!$B$16</f>
        <v>0</v>
      </c>
      <c r="BO2182" s="6">
        <f>(Grandview_Inventory[[#This Row],[att_gar]]+Grandview_Inventory[[#This Row],[bltin_gar]])*Lookups!$B$17</f>
        <v>45510.627240000002</v>
      </c>
      <c r="BP2182" s="6">
        <f>Grandview_Inventory[[#This Row],[Plumbing Fixtures]]*Lookups!$B$18</f>
        <v>16083.5344</v>
      </c>
      <c r="BQ2182" s="6">
        <f>Grandview_Inventory[[#This Row],[detatched_value]]*Lookups!$B$19</f>
        <v>0</v>
      </c>
      <c r="BR2182" s="6">
        <f>SUM(Grandview_Inventory[[#This Row],[Intercept]:[det_value]])*Grandview_Inventory[[#This Row],[res_pct]]</f>
        <v>312342.886627</v>
      </c>
      <c r="BS2182" s="6">
        <f>Grandview_Inventory[[#This Row],[land_value]]</f>
        <v>45695.532079096141</v>
      </c>
      <c r="BT2182" s="4">
        <f>_xlfn.IFNA(VLOOKUP(Grandview_Inventory[[#This Row],[quality]],Lookups!$A$26:$C$33,3,FALSE),1)</f>
        <v>0.94295468617355149</v>
      </c>
      <c r="BU2182" s="4">
        <f>_xlfn.IFNA(VLOOKUP(Grandview_Inventory[[#This Row],[condition]],Lookups!$A$37:$C$44,3,FALSE),1)</f>
        <v>0.97383723671140243</v>
      </c>
      <c r="BV2182" s="4">
        <f>IF(Grandview_Inventory[[#This Row],[bldg_style]]="",1,_xlfn.IFNA(VLOOKUP(Grandview_Inventory[[#This Row],[decade]],Lookups!$F$29:$H$43,3,FALSE),1))</f>
        <v>0.96737494181490646</v>
      </c>
      <c r="BW2182" s="4">
        <f>_xlfn.IFNA(VLOOKUP(Grandview_Inventory[[#This Row],[living_area_range]],Lookups!$F$47:$H$56,3,FALSE),1)</f>
        <v>0.96135087979789358</v>
      </c>
      <c r="BX2182" s="4">
        <f>AVERAGE(Grandview_Inventory[[#This Row],[qual_adj]:[size_adj]])</f>
        <v>0.96137943612443855</v>
      </c>
      <c r="BY2182" s="6">
        <f>IF(Grandview_Inventory[[#This Row],[pre_res]]&lt;0,0,Grandview_Inventory[[#This Row],[pre_res]]*Grandview_Inventory[[#This Row],[overall_adj]])</f>
        <v>300280.0282229447</v>
      </c>
      <c r="BZ2182" s="6">
        <f>(Grandview_Inventory[[#This Row],[sum_land]]-IF(Grandview_Inventory[[#This Row],[no_utilities]]=1,12000,0))/IF(Grandview_Inventory[[#This Row],[unbuildable]]=1,2,1)</f>
        <v>45695.532079096141</v>
      </c>
      <c r="CA218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2">
        <f>ROUND(Grandview_Inventory[[#This Row],[det_value]]*Lookups!$M$28,-2)</f>
        <v>0</v>
      </c>
      <c r="CC2182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82">
        <f>Grandview_Inventory[[#This Row],[final_det]]+Grandview_Inventory[[#This Row],[final_res]]</f>
        <v>285300</v>
      </c>
      <c r="CE2182">
        <f>Grandview_Inventory[[#This Row],[final_land]]+Grandview_Inventory[[#This Row],[final_imp]]+Grandview_Inventory[[#This Row],[crop_value]]</f>
        <v>328700</v>
      </c>
      <c r="CG2182" t="str">
        <f t="shared" si="34"/>
        <v>update valuation set market_land =43400, market_bldg=285300, market_total =328700, market_mdno =401, market_date ='9/10/2023' where link_id = (select link_id from parcel where parcel_year = '2024' and parcel_id = '23092424442');</v>
      </c>
    </row>
    <row r="2183" spans="1:85" x14ac:dyDescent="0.25">
      <c r="A2183">
        <v>23092424443</v>
      </c>
      <c r="B2183">
        <v>0.16</v>
      </c>
      <c r="C2183">
        <v>7009</v>
      </c>
      <c r="D2183" t="s">
        <v>129</v>
      </c>
      <c r="E2183" t="s">
        <v>53</v>
      </c>
      <c r="F2183" t="s">
        <v>53</v>
      </c>
      <c r="G2183">
        <v>4</v>
      </c>
      <c r="H2183" t="s">
        <v>54</v>
      </c>
      <c r="I2183">
        <v>207400</v>
      </c>
      <c r="J2183">
        <v>38600</v>
      </c>
      <c r="K2183">
        <v>0.16</v>
      </c>
      <c r="L218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3">
        <v>0</v>
      </c>
      <c r="N2183">
        <v>0</v>
      </c>
      <c r="O2183">
        <v>0</v>
      </c>
      <c r="P2183">
        <v>13398.7528</v>
      </c>
      <c r="Q2183">
        <v>63903</v>
      </c>
      <c r="R2183">
        <f>(Grandview_Inventory[[#This Row],[ln_acres]]*Grandview_Inventory[[#This Row],[coeff]])+Grandview_Inventory[[#This Row],[const]]</f>
        <v>39348.693981374228</v>
      </c>
      <c r="S2183" t="s">
        <v>61</v>
      </c>
      <c r="T2183">
        <v>1</v>
      </c>
      <c r="U2183" t="s">
        <v>62</v>
      </c>
      <c r="V2183" t="s">
        <v>67</v>
      </c>
      <c r="W2183">
        <v>0</v>
      </c>
      <c r="X2183">
        <v>0</v>
      </c>
      <c r="Y2183">
        <v>19</v>
      </c>
      <c r="Z2183">
        <v>19</v>
      </c>
      <c r="AA2183">
        <v>20</v>
      </c>
      <c r="AB2183">
        <v>1500</v>
      </c>
      <c r="AC2183">
        <v>1029</v>
      </c>
      <c r="AD2183">
        <v>1029</v>
      </c>
      <c r="AE2183">
        <v>0</v>
      </c>
      <c r="AF2183">
        <v>0</v>
      </c>
      <c r="AG2183">
        <v>0</v>
      </c>
      <c r="AH2183">
        <v>0</v>
      </c>
      <c r="AI2183">
        <v>520</v>
      </c>
      <c r="AJ2183">
        <v>0</v>
      </c>
      <c r="AK2183">
        <v>0</v>
      </c>
      <c r="AL2183">
        <v>0</v>
      </c>
      <c r="AM2183">
        <v>120</v>
      </c>
      <c r="AN2183">
        <v>60</v>
      </c>
      <c r="AO2183">
        <v>0</v>
      </c>
      <c r="AP2183">
        <v>8</v>
      </c>
      <c r="AQ2183">
        <v>0</v>
      </c>
      <c r="AR2183">
        <v>0</v>
      </c>
      <c r="AS2183" t="s">
        <v>58</v>
      </c>
      <c r="AT2183">
        <v>1</v>
      </c>
      <c r="AU2183" t="s">
        <v>63</v>
      </c>
      <c r="AV2183" t="s">
        <v>64</v>
      </c>
      <c r="AW2183">
        <v>1</v>
      </c>
      <c r="AX2183">
        <v>3</v>
      </c>
      <c r="AY2183">
        <v>0</v>
      </c>
      <c r="AZ2183">
        <v>0</v>
      </c>
      <c r="BA2183">
        <v>100</v>
      </c>
      <c r="BB2183">
        <v>100</v>
      </c>
      <c r="BC2183">
        <v>100</v>
      </c>
      <c r="BD2183">
        <v>100</v>
      </c>
      <c r="BE2183">
        <v>1</v>
      </c>
      <c r="BF2183">
        <v>15000</v>
      </c>
      <c r="BG2183">
        <v>1000</v>
      </c>
      <c r="BH2183" s="6">
        <f>Grandview_Inventory[[#This Row],[land_extract]]*Lookups!$B$3</f>
        <v>45695.532079096141</v>
      </c>
      <c r="BI2183" s="6">
        <f>IF(Grandview_Inventory[[#This Row],[bldg_style]]="",0,Lookups!$B$2)</f>
        <v>155833.95000000001</v>
      </c>
      <c r="BJ2183" s="6">
        <f>_xlfn.IFNA(VLOOKUP(Grandview_Inventory[[#This Row],[quality]],Lookups!$H$2:$J$14,3,FALSE),0)</f>
        <v>9808</v>
      </c>
      <c r="BK2183" s="6">
        <f>_xlfn.IFNA(VLOOKUP(Grandview_Inventory[[#This Row],[condition]],Lookups!$H$17:$J$24,3,FALSE),0)</f>
        <v>22342</v>
      </c>
      <c r="BL2183" s="6">
        <f>Grandview_Inventory[[#This Row],[Eff_Age]]*Lookups!$B$14</f>
        <v>-4544.1653999999999</v>
      </c>
      <c r="BM2183" s="6">
        <f>Grandview_Inventory[[#This Row],[living_area]]*Lookups!$B$15</f>
        <v>64189.897736999999</v>
      </c>
      <c r="BN2183" s="6">
        <f>Grandview_Inventory[[#This Row],[Fin BSMT]]*Lookups!$B$16</f>
        <v>0</v>
      </c>
      <c r="BO2183" s="6">
        <f>(Grandview_Inventory[[#This Row],[att_gar]]+Grandview_Inventory[[#This Row],[bltin_gar]])*Lookups!$B$17</f>
        <v>45510.627240000002</v>
      </c>
      <c r="BP2183" s="6">
        <f>Grandview_Inventory[[#This Row],[Plumbing Fixtures]]*Lookups!$B$18</f>
        <v>16083.5344</v>
      </c>
      <c r="BQ2183" s="6">
        <f>Grandview_Inventory[[#This Row],[detatched_value]]*Lookups!$B$19</f>
        <v>0</v>
      </c>
      <c r="BR2183" s="6">
        <f>SUM(Grandview_Inventory[[#This Row],[Intercept]:[det_value]])*Grandview_Inventory[[#This Row],[res_pct]]</f>
        <v>309223.84397699998</v>
      </c>
      <c r="BS2183" s="6">
        <f>Grandview_Inventory[[#This Row],[land_value]]</f>
        <v>45695.532079096141</v>
      </c>
      <c r="BT2183" s="4">
        <f>_xlfn.IFNA(VLOOKUP(Grandview_Inventory[[#This Row],[quality]],Lookups!$A$26:$C$33,3,FALSE),1)</f>
        <v>0.94295468617355149</v>
      </c>
      <c r="BU2183" s="4">
        <f>_xlfn.IFNA(VLOOKUP(Grandview_Inventory[[#This Row],[condition]],Lookups!$A$37:$C$44,3,FALSE),1)</f>
        <v>0.97383723671140243</v>
      </c>
      <c r="BV2183" s="4">
        <f>IF(Grandview_Inventory[[#This Row],[bldg_style]]="",1,_xlfn.IFNA(VLOOKUP(Grandview_Inventory[[#This Row],[decade]],Lookups!$F$29:$H$43,3,FALSE),1))</f>
        <v>0.96737494181490646</v>
      </c>
      <c r="BW2183" s="4">
        <f>_xlfn.IFNA(VLOOKUP(Grandview_Inventory[[#This Row],[living_area_range]],Lookups!$F$47:$H$56,3,FALSE),1)</f>
        <v>0.96135087979789358</v>
      </c>
      <c r="BX2183" s="4">
        <f>AVERAGE(Grandview_Inventory[[#This Row],[qual_adj]:[size_adj]])</f>
        <v>0.96137943612443855</v>
      </c>
      <c r="BY2183" s="6">
        <f>IF(Grandview_Inventory[[#This Row],[pre_res]]&lt;0,0,Grandview_Inventory[[#This Row],[pre_res]]*Grandview_Inventory[[#This Row],[overall_adj]])</f>
        <v>297281.44475883961</v>
      </c>
      <c r="BZ2183" s="6">
        <f>(Grandview_Inventory[[#This Row],[sum_land]]-IF(Grandview_Inventory[[#This Row],[no_utilities]]=1,12000,0))/IF(Grandview_Inventory[[#This Row],[unbuildable]]=1,2,1)</f>
        <v>45695.532079096141</v>
      </c>
      <c r="CA218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3">
        <f>ROUND(Grandview_Inventory[[#This Row],[det_value]]*Lookups!$M$28,-2)</f>
        <v>0</v>
      </c>
      <c r="CC2183">
        <f>IF(ROUND(Grandview_Inventory[[#This Row],[adj_res]]*Lookups!$M$28,-2)&lt;Grandview_Inventory[[#This Row],[min_res]],Grandview_Inventory[[#This Row],[min_res]],ROUND(Grandview_Inventory[[#This Row],[adj_res]]*Lookups!$M$28,-2))</f>
        <v>282400</v>
      </c>
      <c r="CD2183">
        <f>Grandview_Inventory[[#This Row],[final_det]]+Grandview_Inventory[[#This Row],[final_res]]</f>
        <v>282400</v>
      </c>
      <c r="CE2183">
        <f>Grandview_Inventory[[#This Row],[final_land]]+Grandview_Inventory[[#This Row],[final_imp]]+Grandview_Inventory[[#This Row],[crop_value]]</f>
        <v>325800</v>
      </c>
      <c r="CG2183" t="str">
        <f t="shared" si="34"/>
        <v>update valuation set market_land =43400, market_bldg=282400, market_total =325800, market_mdno =401, market_date ='9/10/2023' where link_id = (select link_id from parcel where parcel_year = '2024' and parcel_id = '23092424443');</v>
      </c>
    </row>
    <row r="2184" spans="1:85" x14ac:dyDescent="0.25">
      <c r="A2184">
        <v>23092424444</v>
      </c>
      <c r="B2184">
        <v>0.16</v>
      </c>
      <c r="C2184">
        <v>7009</v>
      </c>
      <c r="D2184" t="s">
        <v>129</v>
      </c>
      <c r="E2184" t="s">
        <v>53</v>
      </c>
      <c r="F2184" t="s">
        <v>53</v>
      </c>
      <c r="G2184">
        <v>4</v>
      </c>
      <c r="H2184" t="s">
        <v>54</v>
      </c>
      <c r="I2184">
        <v>210100</v>
      </c>
      <c r="J2184">
        <v>38600</v>
      </c>
      <c r="K2184">
        <v>0.16</v>
      </c>
      <c r="L218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4">
        <v>0</v>
      </c>
      <c r="N2184">
        <v>0</v>
      </c>
      <c r="O2184">
        <v>0</v>
      </c>
      <c r="P2184">
        <v>13398.7528</v>
      </c>
      <c r="Q2184">
        <v>63903</v>
      </c>
      <c r="R2184">
        <f>(Grandview_Inventory[[#This Row],[ln_acres]]*Grandview_Inventory[[#This Row],[coeff]])+Grandview_Inventory[[#This Row],[const]]</f>
        <v>39348.693981374228</v>
      </c>
      <c r="S2184" t="s">
        <v>61</v>
      </c>
      <c r="T2184">
        <v>1</v>
      </c>
      <c r="U2184" t="s">
        <v>62</v>
      </c>
      <c r="V2184" t="s">
        <v>67</v>
      </c>
      <c r="W2184">
        <v>0</v>
      </c>
      <c r="X2184">
        <v>0</v>
      </c>
      <c r="Y2184">
        <v>19</v>
      </c>
      <c r="Z2184">
        <v>19</v>
      </c>
      <c r="AA2184">
        <v>20</v>
      </c>
      <c r="AB2184">
        <v>1500</v>
      </c>
      <c r="AC2184">
        <v>1079</v>
      </c>
      <c r="AD2184">
        <v>1079</v>
      </c>
      <c r="AE2184">
        <v>0</v>
      </c>
      <c r="AF2184">
        <v>0</v>
      </c>
      <c r="AG2184">
        <v>0</v>
      </c>
      <c r="AH2184">
        <v>0</v>
      </c>
      <c r="AI2184">
        <v>520</v>
      </c>
      <c r="AJ2184">
        <v>0</v>
      </c>
      <c r="AK2184">
        <v>0</v>
      </c>
      <c r="AL2184">
        <v>0</v>
      </c>
      <c r="AM2184">
        <v>120</v>
      </c>
      <c r="AN2184">
        <v>40</v>
      </c>
      <c r="AO2184">
        <v>0</v>
      </c>
      <c r="AP2184">
        <v>8</v>
      </c>
      <c r="AQ2184">
        <v>0</v>
      </c>
      <c r="AR2184">
        <v>0</v>
      </c>
      <c r="AS2184" t="s">
        <v>58</v>
      </c>
      <c r="AT2184">
        <v>1</v>
      </c>
      <c r="AU2184" t="s">
        <v>63</v>
      </c>
      <c r="AV2184" t="s">
        <v>64</v>
      </c>
      <c r="AW2184">
        <v>1</v>
      </c>
      <c r="AX2184">
        <v>3</v>
      </c>
      <c r="AY2184">
        <v>0</v>
      </c>
      <c r="AZ2184">
        <v>0</v>
      </c>
      <c r="BA2184">
        <v>100</v>
      </c>
      <c r="BB2184">
        <v>100</v>
      </c>
      <c r="BC2184">
        <v>100</v>
      </c>
      <c r="BD2184">
        <v>100</v>
      </c>
      <c r="BE2184">
        <v>1</v>
      </c>
      <c r="BF2184">
        <v>15000</v>
      </c>
      <c r="BG2184">
        <v>1000</v>
      </c>
      <c r="BH2184" s="6">
        <f>Grandview_Inventory[[#This Row],[land_extract]]*Lookups!$B$3</f>
        <v>45695.532079096141</v>
      </c>
      <c r="BI2184" s="6">
        <f>IF(Grandview_Inventory[[#This Row],[bldg_style]]="",0,Lookups!$B$2)</f>
        <v>155833.95000000001</v>
      </c>
      <c r="BJ2184" s="6">
        <f>_xlfn.IFNA(VLOOKUP(Grandview_Inventory[[#This Row],[quality]],Lookups!$H$2:$J$14,3,FALSE),0)</f>
        <v>9808</v>
      </c>
      <c r="BK2184" s="6">
        <f>_xlfn.IFNA(VLOOKUP(Grandview_Inventory[[#This Row],[condition]],Lookups!$H$17:$J$24,3,FALSE),0)</f>
        <v>22342</v>
      </c>
      <c r="BL2184" s="6">
        <f>Grandview_Inventory[[#This Row],[Eff_Age]]*Lookups!$B$14</f>
        <v>-4544.1653999999999</v>
      </c>
      <c r="BM2184" s="6">
        <f>Grandview_Inventory[[#This Row],[living_area]]*Lookups!$B$15</f>
        <v>67308.940386999995</v>
      </c>
      <c r="BN2184" s="6">
        <f>Grandview_Inventory[[#This Row],[Fin BSMT]]*Lookups!$B$16</f>
        <v>0</v>
      </c>
      <c r="BO2184" s="6">
        <f>(Grandview_Inventory[[#This Row],[att_gar]]+Grandview_Inventory[[#This Row],[bltin_gar]])*Lookups!$B$17</f>
        <v>45510.627240000002</v>
      </c>
      <c r="BP2184" s="6">
        <f>Grandview_Inventory[[#This Row],[Plumbing Fixtures]]*Lookups!$B$18</f>
        <v>16083.5344</v>
      </c>
      <c r="BQ2184" s="6">
        <f>Grandview_Inventory[[#This Row],[detatched_value]]*Lookups!$B$19</f>
        <v>0</v>
      </c>
      <c r="BR2184" s="6">
        <f>SUM(Grandview_Inventory[[#This Row],[Intercept]:[det_value]])*Grandview_Inventory[[#This Row],[res_pct]]</f>
        <v>312342.886627</v>
      </c>
      <c r="BS2184" s="6">
        <f>Grandview_Inventory[[#This Row],[land_value]]</f>
        <v>45695.532079096141</v>
      </c>
      <c r="BT2184" s="4">
        <f>_xlfn.IFNA(VLOOKUP(Grandview_Inventory[[#This Row],[quality]],Lookups!$A$26:$C$33,3,FALSE),1)</f>
        <v>0.94295468617355149</v>
      </c>
      <c r="BU2184" s="4">
        <f>_xlfn.IFNA(VLOOKUP(Grandview_Inventory[[#This Row],[condition]],Lookups!$A$37:$C$44,3,FALSE),1)</f>
        <v>0.97383723671140243</v>
      </c>
      <c r="BV2184" s="4">
        <f>IF(Grandview_Inventory[[#This Row],[bldg_style]]="",1,_xlfn.IFNA(VLOOKUP(Grandview_Inventory[[#This Row],[decade]],Lookups!$F$29:$H$43,3,FALSE),1))</f>
        <v>0.96737494181490646</v>
      </c>
      <c r="BW2184" s="4">
        <f>_xlfn.IFNA(VLOOKUP(Grandview_Inventory[[#This Row],[living_area_range]],Lookups!$F$47:$H$56,3,FALSE),1)</f>
        <v>0.96135087979789358</v>
      </c>
      <c r="BX2184" s="4">
        <f>AVERAGE(Grandview_Inventory[[#This Row],[qual_adj]:[size_adj]])</f>
        <v>0.96137943612443855</v>
      </c>
      <c r="BY2184" s="6">
        <f>IF(Grandview_Inventory[[#This Row],[pre_res]]&lt;0,0,Grandview_Inventory[[#This Row],[pre_res]]*Grandview_Inventory[[#This Row],[overall_adj]])</f>
        <v>300280.0282229447</v>
      </c>
      <c r="BZ2184" s="6">
        <f>(Grandview_Inventory[[#This Row],[sum_land]]-IF(Grandview_Inventory[[#This Row],[no_utilities]]=1,12000,0))/IF(Grandview_Inventory[[#This Row],[unbuildable]]=1,2,1)</f>
        <v>45695.532079096141</v>
      </c>
      <c r="CA218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4">
        <f>ROUND(Grandview_Inventory[[#This Row],[det_value]]*Lookups!$M$28,-2)</f>
        <v>0</v>
      </c>
      <c r="CC2184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84">
        <f>Grandview_Inventory[[#This Row],[final_det]]+Grandview_Inventory[[#This Row],[final_res]]</f>
        <v>285300</v>
      </c>
      <c r="CE2184">
        <f>Grandview_Inventory[[#This Row],[final_land]]+Grandview_Inventory[[#This Row],[final_imp]]+Grandview_Inventory[[#This Row],[crop_value]]</f>
        <v>328700</v>
      </c>
      <c r="CG2184" t="str">
        <f t="shared" si="34"/>
        <v>update valuation set market_land =43400, market_bldg=285300, market_total =328700, market_mdno =401, market_date ='9/10/2023' where link_id = (select link_id from parcel where parcel_year = '2024' and parcel_id = '23092424444');</v>
      </c>
    </row>
    <row r="2185" spans="1:85" x14ac:dyDescent="0.25">
      <c r="A2185">
        <v>23092424445</v>
      </c>
      <c r="B2185">
        <v>0.17</v>
      </c>
      <c r="C2185">
        <v>7200</v>
      </c>
      <c r="D2185" t="s">
        <v>129</v>
      </c>
      <c r="E2185" t="s">
        <v>53</v>
      </c>
      <c r="F2185" t="s">
        <v>53</v>
      </c>
      <c r="G2185">
        <v>4</v>
      </c>
      <c r="H2185" t="s">
        <v>54</v>
      </c>
      <c r="I2185">
        <v>210100</v>
      </c>
      <c r="J2185">
        <v>38800</v>
      </c>
      <c r="K2185">
        <v>0.17</v>
      </c>
      <c r="L218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85">
        <v>0</v>
      </c>
      <c r="N2185">
        <v>0</v>
      </c>
      <c r="O2185">
        <v>0</v>
      </c>
      <c r="P2185">
        <v>13398.7528</v>
      </c>
      <c r="Q2185">
        <v>63903</v>
      </c>
      <c r="R2185">
        <f>(Grandview_Inventory[[#This Row],[ln_acres]]*Grandview_Inventory[[#This Row],[coeff]])+Grandview_Inventory[[#This Row],[const]]</f>
        <v>40160.988302686128</v>
      </c>
      <c r="S2185" t="s">
        <v>61</v>
      </c>
      <c r="T2185">
        <v>1</v>
      </c>
      <c r="U2185" t="s">
        <v>62</v>
      </c>
      <c r="V2185" t="s">
        <v>67</v>
      </c>
      <c r="W2185">
        <v>0</v>
      </c>
      <c r="X2185">
        <v>0</v>
      </c>
      <c r="Y2185">
        <v>19</v>
      </c>
      <c r="Z2185">
        <v>19</v>
      </c>
      <c r="AA2185">
        <v>20</v>
      </c>
      <c r="AB2185">
        <v>1500</v>
      </c>
      <c r="AC2185">
        <v>1079</v>
      </c>
      <c r="AD2185">
        <v>1079</v>
      </c>
      <c r="AE2185">
        <v>0</v>
      </c>
      <c r="AF2185">
        <v>0</v>
      </c>
      <c r="AG2185">
        <v>0</v>
      </c>
      <c r="AH2185">
        <v>0</v>
      </c>
      <c r="AI2185">
        <v>520</v>
      </c>
      <c r="AJ2185">
        <v>0</v>
      </c>
      <c r="AK2185">
        <v>0</v>
      </c>
      <c r="AL2185">
        <v>0</v>
      </c>
      <c r="AM2185">
        <v>200</v>
      </c>
      <c r="AN2185">
        <v>40</v>
      </c>
      <c r="AO2185">
        <v>0</v>
      </c>
      <c r="AP2185">
        <v>8</v>
      </c>
      <c r="AQ2185">
        <v>0</v>
      </c>
      <c r="AR2185">
        <v>0</v>
      </c>
      <c r="AS2185" t="s">
        <v>58</v>
      </c>
      <c r="AT2185">
        <v>1</v>
      </c>
      <c r="AU2185" t="s">
        <v>63</v>
      </c>
      <c r="AV2185" t="s">
        <v>64</v>
      </c>
      <c r="AW2185">
        <v>1</v>
      </c>
      <c r="AX2185">
        <v>3</v>
      </c>
      <c r="AY2185">
        <v>0</v>
      </c>
      <c r="AZ2185">
        <v>0</v>
      </c>
      <c r="BA2185">
        <v>100</v>
      </c>
      <c r="BB2185">
        <v>100</v>
      </c>
      <c r="BC2185">
        <v>100</v>
      </c>
      <c r="BD2185">
        <v>100</v>
      </c>
      <c r="BE2185">
        <v>1</v>
      </c>
      <c r="BF2185">
        <v>15000</v>
      </c>
      <c r="BG2185">
        <v>1000</v>
      </c>
      <c r="BH2185" s="6">
        <f>Grandview_Inventory[[#This Row],[land_extract]]*Lookups!$B$3</f>
        <v>46638.847281240982</v>
      </c>
      <c r="BI2185" s="6">
        <f>IF(Grandview_Inventory[[#This Row],[bldg_style]]="",0,Lookups!$B$2)</f>
        <v>155833.95000000001</v>
      </c>
      <c r="BJ2185" s="6">
        <f>_xlfn.IFNA(VLOOKUP(Grandview_Inventory[[#This Row],[quality]],Lookups!$H$2:$J$14,3,FALSE),0)</f>
        <v>9808</v>
      </c>
      <c r="BK2185" s="6">
        <f>_xlfn.IFNA(VLOOKUP(Grandview_Inventory[[#This Row],[condition]],Lookups!$H$17:$J$24,3,FALSE),0)</f>
        <v>22342</v>
      </c>
      <c r="BL2185" s="6">
        <f>Grandview_Inventory[[#This Row],[Eff_Age]]*Lookups!$B$14</f>
        <v>-4544.1653999999999</v>
      </c>
      <c r="BM2185" s="6">
        <f>Grandview_Inventory[[#This Row],[living_area]]*Lookups!$B$15</f>
        <v>67308.940386999995</v>
      </c>
      <c r="BN2185" s="6">
        <f>Grandview_Inventory[[#This Row],[Fin BSMT]]*Lookups!$B$16</f>
        <v>0</v>
      </c>
      <c r="BO2185" s="6">
        <f>(Grandview_Inventory[[#This Row],[att_gar]]+Grandview_Inventory[[#This Row],[bltin_gar]])*Lookups!$B$17</f>
        <v>45510.627240000002</v>
      </c>
      <c r="BP2185" s="6">
        <f>Grandview_Inventory[[#This Row],[Plumbing Fixtures]]*Lookups!$B$18</f>
        <v>16083.5344</v>
      </c>
      <c r="BQ2185" s="6">
        <f>Grandview_Inventory[[#This Row],[detatched_value]]*Lookups!$B$19</f>
        <v>0</v>
      </c>
      <c r="BR2185" s="6">
        <f>SUM(Grandview_Inventory[[#This Row],[Intercept]:[det_value]])*Grandview_Inventory[[#This Row],[res_pct]]</f>
        <v>312342.886627</v>
      </c>
      <c r="BS2185" s="6">
        <f>Grandview_Inventory[[#This Row],[land_value]]</f>
        <v>46638.847281240982</v>
      </c>
      <c r="BT2185" s="4">
        <f>_xlfn.IFNA(VLOOKUP(Grandview_Inventory[[#This Row],[quality]],Lookups!$A$26:$C$33,3,FALSE),1)</f>
        <v>0.94295468617355149</v>
      </c>
      <c r="BU2185" s="4">
        <f>_xlfn.IFNA(VLOOKUP(Grandview_Inventory[[#This Row],[condition]],Lookups!$A$37:$C$44,3,FALSE),1)</f>
        <v>0.97383723671140243</v>
      </c>
      <c r="BV2185" s="4">
        <f>IF(Grandview_Inventory[[#This Row],[bldg_style]]="",1,_xlfn.IFNA(VLOOKUP(Grandview_Inventory[[#This Row],[decade]],Lookups!$F$29:$H$43,3,FALSE),1))</f>
        <v>0.96737494181490646</v>
      </c>
      <c r="BW2185" s="4">
        <f>_xlfn.IFNA(VLOOKUP(Grandview_Inventory[[#This Row],[living_area_range]],Lookups!$F$47:$H$56,3,FALSE),1)</f>
        <v>0.96135087979789358</v>
      </c>
      <c r="BX2185" s="4">
        <f>AVERAGE(Grandview_Inventory[[#This Row],[qual_adj]:[size_adj]])</f>
        <v>0.96137943612443855</v>
      </c>
      <c r="BY2185" s="6">
        <f>IF(Grandview_Inventory[[#This Row],[pre_res]]&lt;0,0,Grandview_Inventory[[#This Row],[pre_res]]*Grandview_Inventory[[#This Row],[overall_adj]])</f>
        <v>300280.0282229447</v>
      </c>
      <c r="BZ2185" s="6">
        <f>(Grandview_Inventory[[#This Row],[sum_land]]-IF(Grandview_Inventory[[#This Row],[no_utilities]]=1,12000,0))/IF(Grandview_Inventory[[#This Row],[unbuildable]]=1,2,1)</f>
        <v>46638.847281240982</v>
      </c>
      <c r="CA218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85">
        <f>ROUND(Grandview_Inventory[[#This Row],[det_value]]*Lookups!$M$28,-2)</f>
        <v>0</v>
      </c>
      <c r="CC2185">
        <f>IF(ROUND(Grandview_Inventory[[#This Row],[adj_res]]*Lookups!$M$28,-2)&lt;Grandview_Inventory[[#This Row],[min_res]],Grandview_Inventory[[#This Row],[min_res]],ROUND(Grandview_Inventory[[#This Row],[adj_res]]*Lookups!$M$28,-2))</f>
        <v>285300</v>
      </c>
      <c r="CD2185">
        <f>Grandview_Inventory[[#This Row],[final_det]]+Grandview_Inventory[[#This Row],[final_res]]</f>
        <v>285300</v>
      </c>
      <c r="CE2185">
        <f>Grandview_Inventory[[#This Row],[final_land]]+Grandview_Inventory[[#This Row],[final_imp]]+Grandview_Inventory[[#This Row],[crop_value]]</f>
        <v>329600</v>
      </c>
      <c r="CG2185" t="str">
        <f t="shared" si="34"/>
        <v>update valuation set market_land =44300, market_bldg=285300, market_total =329600, market_mdno =401, market_date ='9/10/2023' where link_id = (select link_id from parcel where parcel_year = '2024' and parcel_id = '23092424445');</v>
      </c>
    </row>
    <row r="2186" spans="1:85" x14ac:dyDescent="0.25">
      <c r="A2186">
        <v>23092424461</v>
      </c>
      <c r="B2186">
        <v>0.17</v>
      </c>
      <c r="C2186">
        <v>7200</v>
      </c>
      <c r="D2186" t="s">
        <v>129</v>
      </c>
      <c r="E2186" t="s">
        <v>53</v>
      </c>
      <c r="F2186" t="s">
        <v>53</v>
      </c>
      <c r="G2186">
        <v>4</v>
      </c>
      <c r="H2186" t="s">
        <v>54</v>
      </c>
      <c r="I2186">
        <v>210800</v>
      </c>
      <c r="J2186">
        <v>38800</v>
      </c>
      <c r="K2186">
        <v>0.17</v>
      </c>
      <c r="L218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86">
        <v>0</v>
      </c>
      <c r="N2186">
        <v>0</v>
      </c>
      <c r="O2186">
        <v>0</v>
      </c>
      <c r="P2186">
        <v>13398.7528</v>
      </c>
      <c r="Q2186">
        <v>63903</v>
      </c>
      <c r="R2186">
        <f>(Grandview_Inventory[[#This Row],[ln_acres]]*Grandview_Inventory[[#This Row],[coeff]])+Grandview_Inventory[[#This Row],[const]]</f>
        <v>40160.988302686128</v>
      </c>
      <c r="S2186" t="s">
        <v>61</v>
      </c>
      <c r="T2186">
        <v>1</v>
      </c>
      <c r="U2186" t="s">
        <v>65</v>
      </c>
      <c r="V2186" t="s">
        <v>67</v>
      </c>
      <c r="W2186">
        <v>0</v>
      </c>
      <c r="X2186">
        <v>0</v>
      </c>
      <c r="Y2186">
        <v>18</v>
      </c>
      <c r="Z2186">
        <v>18</v>
      </c>
      <c r="AA2186">
        <v>20</v>
      </c>
      <c r="AB2186">
        <v>1500</v>
      </c>
      <c r="AC2186">
        <v>1096</v>
      </c>
      <c r="AD2186">
        <v>1096</v>
      </c>
      <c r="AE2186">
        <v>0</v>
      </c>
      <c r="AF2186">
        <v>0</v>
      </c>
      <c r="AG2186">
        <v>0</v>
      </c>
      <c r="AH2186">
        <v>0</v>
      </c>
      <c r="AI2186">
        <v>480</v>
      </c>
      <c r="AJ2186">
        <v>0</v>
      </c>
      <c r="AK2186">
        <v>0</v>
      </c>
      <c r="AL2186">
        <v>0</v>
      </c>
      <c r="AM2186">
        <v>200</v>
      </c>
      <c r="AN2186">
        <v>60</v>
      </c>
      <c r="AO2186">
        <v>200</v>
      </c>
      <c r="AP2186">
        <v>8</v>
      </c>
      <c r="AQ2186">
        <v>0</v>
      </c>
      <c r="AR2186">
        <v>0</v>
      </c>
      <c r="AS2186" t="s">
        <v>58</v>
      </c>
      <c r="AT2186">
        <v>1</v>
      </c>
      <c r="AU2186" t="s">
        <v>63</v>
      </c>
      <c r="AV2186" t="s">
        <v>64</v>
      </c>
      <c r="AW2186">
        <v>1</v>
      </c>
      <c r="AX2186">
        <v>3</v>
      </c>
      <c r="AY2186">
        <v>0</v>
      </c>
      <c r="AZ2186">
        <v>0</v>
      </c>
      <c r="BA2186">
        <v>100</v>
      </c>
      <c r="BB2186">
        <v>100</v>
      </c>
      <c r="BC2186">
        <v>100</v>
      </c>
      <c r="BD2186">
        <v>100</v>
      </c>
      <c r="BE2186">
        <v>1</v>
      </c>
      <c r="BF2186">
        <v>15000</v>
      </c>
      <c r="BG2186">
        <v>1000</v>
      </c>
      <c r="BH2186" s="6">
        <f>Grandview_Inventory[[#This Row],[land_extract]]*Lookups!$B$3</f>
        <v>46638.847281240982</v>
      </c>
      <c r="BI2186" s="6">
        <f>IF(Grandview_Inventory[[#This Row],[bldg_style]]="",0,Lookups!$B$2)</f>
        <v>155833.95000000001</v>
      </c>
      <c r="BJ2186" s="6">
        <f>_xlfn.IFNA(VLOOKUP(Grandview_Inventory[[#This Row],[quality]],Lookups!$H$2:$J$14,3,FALSE),0)</f>
        <v>2251</v>
      </c>
      <c r="BK2186" s="6">
        <f>_xlfn.IFNA(VLOOKUP(Grandview_Inventory[[#This Row],[condition]],Lookups!$H$17:$J$24,3,FALSE),0)</f>
        <v>22342</v>
      </c>
      <c r="BL2186" s="6">
        <f>Grandview_Inventory[[#This Row],[Eff_Age]]*Lookups!$B$14</f>
        <v>-4304.9987999999994</v>
      </c>
      <c r="BM2186" s="6">
        <f>Grandview_Inventory[[#This Row],[living_area]]*Lookups!$B$15</f>
        <v>68369.414887999999</v>
      </c>
      <c r="BN2186" s="6">
        <f>Grandview_Inventory[[#This Row],[Fin BSMT]]*Lookups!$B$16</f>
        <v>0</v>
      </c>
      <c r="BO2186" s="6">
        <f>(Grandview_Inventory[[#This Row],[att_gar]]+Grandview_Inventory[[#This Row],[bltin_gar]])*Lookups!$B$17</f>
        <v>42009.809760000004</v>
      </c>
      <c r="BP2186" s="6">
        <f>Grandview_Inventory[[#This Row],[Plumbing Fixtures]]*Lookups!$B$18</f>
        <v>16083.5344</v>
      </c>
      <c r="BQ2186" s="6">
        <f>Grandview_Inventory[[#This Row],[detatched_value]]*Lookups!$B$19</f>
        <v>0</v>
      </c>
      <c r="BR2186" s="6">
        <f>SUM(Grandview_Inventory[[#This Row],[Intercept]:[det_value]])*Grandview_Inventory[[#This Row],[res_pct]]</f>
        <v>302584.71024799999</v>
      </c>
      <c r="BS2186" s="6">
        <f>Grandview_Inventory[[#This Row],[land_value]]</f>
        <v>46638.847281240982</v>
      </c>
      <c r="BT2186" s="4">
        <f>_xlfn.IFNA(VLOOKUP(Grandview_Inventory[[#This Row],[quality]],Lookups!$A$26:$C$33,3,FALSE),1)</f>
        <v>0.98763855981004833</v>
      </c>
      <c r="BU2186" s="4">
        <f>_xlfn.IFNA(VLOOKUP(Grandview_Inventory[[#This Row],[condition]],Lookups!$A$37:$C$44,3,FALSE),1)</f>
        <v>0.97383723671140243</v>
      </c>
      <c r="BV2186" s="4">
        <f>IF(Grandview_Inventory[[#This Row],[bldg_style]]="",1,_xlfn.IFNA(VLOOKUP(Grandview_Inventory[[#This Row],[decade]],Lookups!$F$29:$H$43,3,FALSE),1))</f>
        <v>0.96737494181490646</v>
      </c>
      <c r="BW2186" s="4">
        <f>_xlfn.IFNA(VLOOKUP(Grandview_Inventory[[#This Row],[living_area_range]],Lookups!$F$47:$H$56,3,FALSE),1)</f>
        <v>0.96135087979789358</v>
      </c>
      <c r="BX2186" s="4">
        <f>AVERAGE(Grandview_Inventory[[#This Row],[qual_adj]:[size_adj]])</f>
        <v>0.97255040453356267</v>
      </c>
      <c r="BY2186" s="6">
        <f>IF(Grandview_Inventory[[#This Row],[pre_res]]&lt;0,0,Grandview_Inventory[[#This Row],[pre_res]]*Grandview_Inventory[[#This Row],[overall_adj]])</f>
        <v>294278.88235736324</v>
      </c>
      <c r="BZ2186" s="6">
        <f>(Grandview_Inventory[[#This Row],[sum_land]]-IF(Grandview_Inventory[[#This Row],[no_utilities]]=1,12000,0))/IF(Grandview_Inventory[[#This Row],[unbuildable]]=1,2,1)</f>
        <v>46638.847281240982</v>
      </c>
      <c r="CA218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86">
        <f>ROUND(Grandview_Inventory[[#This Row],[det_value]]*Lookups!$M$28,-2)</f>
        <v>0</v>
      </c>
      <c r="CC2186">
        <f>IF(ROUND(Grandview_Inventory[[#This Row],[adj_res]]*Lookups!$M$28,-2)&lt;Grandview_Inventory[[#This Row],[min_res]],Grandview_Inventory[[#This Row],[min_res]],ROUND(Grandview_Inventory[[#This Row],[adj_res]]*Lookups!$M$28,-2))</f>
        <v>279600</v>
      </c>
      <c r="CD2186">
        <f>Grandview_Inventory[[#This Row],[final_det]]+Grandview_Inventory[[#This Row],[final_res]]</f>
        <v>279600</v>
      </c>
      <c r="CE2186">
        <f>Grandview_Inventory[[#This Row],[final_land]]+Grandview_Inventory[[#This Row],[final_imp]]+Grandview_Inventory[[#This Row],[crop_value]]</f>
        <v>323900</v>
      </c>
      <c r="CG2186" t="str">
        <f t="shared" si="34"/>
        <v>update valuation set market_land =44300, market_bldg=279600, market_total =323900, market_mdno =401, market_date ='9/10/2023' where link_id = (select link_id from parcel where parcel_year = '2024' and parcel_id = '23092424461');</v>
      </c>
    </row>
    <row r="2187" spans="1:85" x14ac:dyDescent="0.25">
      <c r="A2187">
        <v>23092424462</v>
      </c>
      <c r="B2187">
        <v>0.16</v>
      </c>
      <c r="C2187">
        <v>7001</v>
      </c>
      <c r="D2187" t="s">
        <v>129</v>
      </c>
      <c r="E2187" t="s">
        <v>53</v>
      </c>
      <c r="F2187" t="s">
        <v>53</v>
      </c>
      <c r="G2187">
        <v>4</v>
      </c>
      <c r="H2187" t="s">
        <v>54</v>
      </c>
      <c r="I2187">
        <v>230200</v>
      </c>
      <c r="J2187">
        <v>38600</v>
      </c>
      <c r="K2187">
        <v>0.16</v>
      </c>
      <c r="L218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7">
        <v>0</v>
      </c>
      <c r="N2187">
        <v>0</v>
      </c>
      <c r="O2187">
        <v>0</v>
      </c>
      <c r="P2187">
        <v>13398.7528</v>
      </c>
      <c r="Q2187">
        <v>63903</v>
      </c>
      <c r="R2187">
        <f>(Grandview_Inventory[[#This Row],[ln_acres]]*Grandview_Inventory[[#This Row],[coeff]])+Grandview_Inventory[[#This Row],[const]]</f>
        <v>39348.693981374228</v>
      </c>
      <c r="S2187" t="s">
        <v>61</v>
      </c>
      <c r="T2187">
        <v>1</v>
      </c>
      <c r="U2187" t="s">
        <v>65</v>
      </c>
      <c r="V2187" t="s">
        <v>67</v>
      </c>
      <c r="W2187">
        <v>0</v>
      </c>
      <c r="X2187">
        <v>0</v>
      </c>
      <c r="Y2187">
        <v>18</v>
      </c>
      <c r="Z2187">
        <v>18</v>
      </c>
      <c r="AA2187">
        <v>20</v>
      </c>
      <c r="AB2187">
        <v>2000</v>
      </c>
      <c r="AC2187">
        <v>1686</v>
      </c>
      <c r="AD2187">
        <v>1254</v>
      </c>
      <c r="AE2187">
        <v>0</v>
      </c>
      <c r="AF2187">
        <v>432</v>
      </c>
      <c r="AG2187">
        <v>0</v>
      </c>
      <c r="AH2187">
        <v>0</v>
      </c>
      <c r="AI2187">
        <v>648</v>
      </c>
      <c r="AJ2187">
        <v>0</v>
      </c>
      <c r="AK2187">
        <v>0</v>
      </c>
      <c r="AL2187">
        <v>0</v>
      </c>
      <c r="AM2187">
        <v>100</v>
      </c>
      <c r="AN2187">
        <v>40</v>
      </c>
      <c r="AO2187">
        <v>0</v>
      </c>
      <c r="AP2187">
        <v>8</v>
      </c>
      <c r="AQ2187">
        <v>0</v>
      </c>
      <c r="AR2187">
        <v>0</v>
      </c>
      <c r="AS2187" t="s">
        <v>58</v>
      </c>
      <c r="AT2187">
        <v>1</v>
      </c>
      <c r="AU2187" t="s">
        <v>63</v>
      </c>
      <c r="AV2187" t="s">
        <v>64</v>
      </c>
      <c r="AW2187">
        <v>1</v>
      </c>
      <c r="AX2187">
        <v>3</v>
      </c>
      <c r="AY2187">
        <v>0</v>
      </c>
      <c r="AZ2187">
        <v>0</v>
      </c>
      <c r="BA2187">
        <v>100</v>
      </c>
      <c r="BB2187">
        <v>100</v>
      </c>
      <c r="BC2187">
        <v>100</v>
      </c>
      <c r="BD2187">
        <v>100</v>
      </c>
      <c r="BE2187">
        <v>1</v>
      </c>
      <c r="BF2187">
        <v>15000</v>
      </c>
      <c r="BG2187">
        <v>1000</v>
      </c>
      <c r="BH2187" s="6">
        <f>Grandview_Inventory[[#This Row],[land_extract]]*Lookups!$B$3</f>
        <v>45695.532079096141</v>
      </c>
      <c r="BI2187" s="6">
        <f>IF(Grandview_Inventory[[#This Row],[bldg_style]]="",0,Lookups!$B$2)</f>
        <v>155833.95000000001</v>
      </c>
      <c r="BJ2187" s="6">
        <f>_xlfn.IFNA(VLOOKUP(Grandview_Inventory[[#This Row],[quality]],Lookups!$H$2:$J$14,3,FALSE),0)</f>
        <v>2251</v>
      </c>
      <c r="BK2187" s="6">
        <f>_xlfn.IFNA(VLOOKUP(Grandview_Inventory[[#This Row],[condition]],Lookups!$H$17:$J$24,3,FALSE),0)</f>
        <v>22342</v>
      </c>
      <c r="BL2187" s="6">
        <f>Grandview_Inventory[[#This Row],[Eff_Age]]*Lookups!$B$14</f>
        <v>-4304.9987999999994</v>
      </c>
      <c r="BM2187" s="6">
        <f>Grandview_Inventory[[#This Row],[living_area]]*Lookups!$B$15</f>
        <v>105174.118158</v>
      </c>
      <c r="BN2187" s="6">
        <f>Grandview_Inventory[[#This Row],[Fin BSMT]]*Lookups!$B$16</f>
        <v>0</v>
      </c>
      <c r="BO2187" s="6">
        <f>(Grandview_Inventory[[#This Row],[att_gar]]+Grandview_Inventory[[#This Row],[bltin_gar]])*Lookups!$B$17</f>
        <v>56713.243176000004</v>
      </c>
      <c r="BP2187" s="6">
        <f>Grandview_Inventory[[#This Row],[Plumbing Fixtures]]*Lookups!$B$18</f>
        <v>16083.5344</v>
      </c>
      <c r="BQ2187" s="6">
        <f>Grandview_Inventory[[#This Row],[detatched_value]]*Lookups!$B$19</f>
        <v>0</v>
      </c>
      <c r="BR2187" s="6">
        <f>SUM(Grandview_Inventory[[#This Row],[Intercept]:[det_value]])*Grandview_Inventory[[#This Row],[res_pct]]</f>
        <v>354092.84693400003</v>
      </c>
      <c r="BS2187" s="6">
        <f>Grandview_Inventory[[#This Row],[land_value]]</f>
        <v>45695.532079096141</v>
      </c>
      <c r="BT2187" s="4">
        <f>_xlfn.IFNA(VLOOKUP(Grandview_Inventory[[#This Row],[quality]],Lookups!$A$26:$C$33,3,FALSE),1)</f>
        <v>0.98763855981004833</v>
      </c>
      <c r="BU2187" s="4">
        <f>_xlfn.IFNA(VLOOKUP(Grandview_Inventory[[#This Row],[condition]],Lookups!$A$37:$C$44,3,FALSE),1)</f>
        <v>0.97383723671140243</v>
      </c>
      <c r="BV2187" s="4">
        <f>IF(Grandview_Inventory[[#This Row],[bldg_style]]="",1,_xlfn.IFNA(VLOOKUP(Grandview_Inventory[[#This Row],[decade]],Lookups!$F$29:$H$43,3,FALSE),1))</f>
        <v>0.96737494181490646</v>
      </c>
      <c r="BW2187" s="4">
        <f>_xlfn.IFNA(VLOOKUP(Grandview_Inventory[[#This Row],[living_area_range]],Lookups!$F$47:$H$56,3,FALSE),1)</f>
        <v>0.96120133463014379</v>
      </c>
      <c r="BX2187" s="4">
        <f>AVERAGE(Grandview_Inventory[[#This Row],[qual_adj]:[size_adj]])</f>
        <v>0.97251301824162528</v>
      </c>
      <c r="BY2187" s="6">
        <f>IF(Grandview_Inventory[[#This Row],[pre_res]]&lt;0,0,Grandview_Inventory[[#This Row],[pre_res]]*Grandview_Inventory[[#This Row],[overall_adj]])</f>
        <v>344359.90330955421</v>
      </c>
      <c r="BZ2187" s="6">
        <f>(Grandview_Inventory[[#This Row],[sum_land]]-IF(Grandview_Inventory[[#This Row],[no_utilities]]=1,12000,0))/IF(Grandview_Inventory[[#This Row],[unbuildable]]=1,2,1)</f>
        <v>45695.532079096141</v>
      </c>
      <c r="CA218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7">
        <f>ROUND(Grandview_Inventory[[#This Row],[det_value]]*Lookups!$M$28,-2)</f>
        <v>0</v>
      </c>
      <c r="CC2187">
        <f>IF(ROUND(Grandview_Inventory[[#This Row],[adj_res]]*Lookups!$M$28,-2)&lt;Grandview_Inventory[[#This Row],[min_res]],Grandview_Inventory[[#This Row],[min_res]],ROUND(Grandview_Inventory[[#This Row],[adj_res]]*Lookups!$M$28,-2))</f>
        <v>327100</v>
      </c>
      <c r="CD2187">
        <f>Grandview_Inventory[[#This Row],[final_det]]+Grandview_Inventory[[#This Row],[final_res]]</f>
        <v>327100</v>
      </c>
      <c r="CE2187">
        <f>Grandview_Inventory[[#This Row],[final_land]]+Grandview_Inventory[[#This Row],[final_imp]]+Grandview_Inventory[[#This Row],[crop_value]]</f>
        <v>370500</v>
      </c>
      <c r="CG2187" t="str">
        <f t="shared" si="34"/>
        <v>update valuation set market_land =43400, market_bldg=327100, market_total =370500, market_mdno =401, market_date ='9/10/2023' where link_id = (select link_id from parcel where parcel_year = '2024' and parcel_id = '23092424462');</v>
      </c>
    </row>
    <row r="2188" spans="1:85" x14ac:dyDescent="0.25">
      <c r="A2188">
        <v>23092424463</v>
      </c>
      <c r="B2188">
        <v>0.16</v>
      </c>
      <c r="C2188">
        <v>7001</v>
      </c>
      <c r="D2188" t="s">
        <v>129</v>
      </c>
      <c r="E2188" t="s">
        <v>53</v>
      </c>
      <c r="F2188" t="s">
        <v>53</v>
      </c>
      <c r="G2188">
        <v>4</v>
      </c>
      <c r="H2188" t="s">
        <v>54</v>
      </c>
      <c r="I2188">
        <v>228800</v>
      </c>
      <c r="J2188">
        <v>42800</v>
      </c>
      <c r="K2188">
        <v>0.16</v>
      </c>
      <c r="L218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8">
        <v>0</v>
      </c>
      <c r="N2188">
        <v>0</v>
      </c>
      <c r="O2188">
        <v>0</v>
      </c>
      <c r="P2188">
        <v>13398.7528</v>
      </c>
      <c r="Q2188">
        <v>63903</v>
      </c>
      <c r="R2188">
        <f>(Grandview_Inventory[[#This Row],[ln_acres]]*Grandview_Inventory[[#This Row],[coeff]])+Grandview_Inventory[[#This Row],[const]]</f>
        <v>39348.693981374228</v>
      </c>
      <c r="S2188" t="s">
        <v>61</v>
      </c>
      <c r="T2188">
        <v>1</v>
      </c>
      <c r="U2188" t="s">
        <v>65</v>
      </c>
      <c r="V2188" t="s">
        <v>67</v>
      </c>
      <c r="W2188">
        <v>0</v>
      </c>
      <c r="X2188">
        <v>0</v>
      </c>
      <c r="Y2188">
        <v>18</v>
      </c>
      <c r="Z2188">
        <v>18</v>
      </c>
      <c r="AA2188">
        <v>20</v>
      </c>
      <c r="AB2188">
        <v>1500</v>
      </c>
      <c r="AC2188">
        <v>1320</v>
      </c>
      <c r="AD2188">
        <v>1320</v>
      </c>
      <c r="AE2188">
        <v>0</v>
      </c>
      <c r="AF2188">
        <v>0</v>
      </c>
      <c r="AG2188">
        <v>0</v>
      </c>
      <c r="AH2188">
        <v>0</v>
      </c>
      <c r="AI2188">
        <v>546</v>
      </c>
      <c r="AJ2188">
        <v>0</v>
      </c>
      <c r="AK2188">
        <v>0</v>
      </c>
      <c r="AL2188">
        <v>492</v>
      </c>
      <c r="AM2188">
        <v>0</v>
      </c>
      <c r="AN2188">
        <v>148</v>
      </c>
      <c r="AO2188">
        <v>0</v>
      </c>
      <c r="AP2188">
        <v>9</v>
      </c>
      <c r="AQ2188">
        <v>0</v>
      </c>
      <c r="AR2188">
        <v>0</v>
      </c>
      <c r="AS2188" t="s">
        <v>58</v>
      </c>
      <c r="AT2188">
        <v>1</v>
      </c>
      <c r="AU2188" t="s">
        <v>63</v>
      </c>
      <c r="AV2188" t="s">
        <v>64</v>
      </c>
      <c r="AW2188">
        <v>1</v>
      </c>
      <c r="AX2188">
        <v>3</v>
      </c>
      <c r="AY2188">
        <v>0</v>
      </c>
      <c r="AZ2188">
        <v>0</v>
      </c>
      <c r="BA2188">
        <v>100</v>
      </c>
      <c r="BB2188">
        <v>100</v>
      </c>
      <c r="BC2188">
        <v>100</v>
      </c>
      <c r="BD2188">
        <v>100</v>
      </c>
      <c r="BE2188">
        <v>1</v>
      </c>
      <c r="BF2188">
        <v>15000</v>
      </c>
      <c r="BG2188">
        <v>1000</v>
      </c>
      <c r="BH2188" s="6">
        <f>Grandview_Inventory[[#This Row],[land_extract]]*Lookups!$B$3</f>
        <v>45695.532079096141</v>
      </c>
      <c r="BI2188" s="6">
        <f>IF(Grandview_Inventory[[#This Row],[bldg_style]]="",0,Lookups!$B$2)</f>
        <v>155833.95000000001</v>
      </c>
      <c r="BJ2188" s="6">
        <f>_xlfn.IFNA(VLOOKUP(Grandview_Inventory[[#This Row],[quality]],Lookups!$H$2:$J$14,3,FALSE),0)</f>
        <v>2251</v>
      </c>
      <c r="BK2188" s="6">
        <f>_xlfn.IFNA(VLOOKUP(Grandview_Inventory[[#This Row],[condition]],Lookups!$H$17:$J$24,3,FALSE),0)</f>
        <v>22342</v>
      </c>
      <c r="BL2188" s="6">
        <f>Grandview_Inventory[[#This Row],[Eff_Age]]*Lookups!$B$14</f>
        <v>-4304.9987999999994</v>
      </c>
      <c r="BM2188" s="6">
        <f>Grandview_Inventory[[#This Row],[living_area]]*Lookups!$B$15</f>
        <v>82342.725959999996</v>
      </c>
      <c r="BN2188" s="6">
        <f>Grandview_Inventory[[#This Row],[Fin BSMT]]*Lookups!$B$16</f>
        <v>0</v>
      </c>
      <c r="BO2188" s="6">
        <f>(Grandview_Inventory[[#This Row],[att_gar]]+Grandview_Inventory[[#This Row],[bltin_gar]])*Lookups!$B$17</f>
        <v>47786.158602000003</v>
      </c>
      <c r="BP2188" s="6">
        <f>Grandview_Inventory[[#This Row],[Plumbing Fixtures]]*Lookups!$B$18</f>
        <v>18093.976200000001</v>
      </c>
      <c r="BQ2188" s="6">
        <f>Grandview_Inventory[[#This Row],[detatched_value]]*Lookups!$B$19</f>
        <v>0</v>
      </c>
      <c r="BR2188" s="6">
        <f>SUM(Grandview_Inventory[[#This Row],[Intercept]:[det_value]])*Grandview_Inventory[[#This Row],[res_pct]]</f>
        <v>324344.81196199998</v>
      </c>
      <c r="BS2188" s="6">
        <f>Grandview_Inventory[[#This Row],[land_value]]</f>
        <v>45695.532079096141</v>
      </c>
      <c r="BT2188" s="4">
        <f>_xlfn.IFNA(VLOOKUP(Grandview_Inventory[[#This Row],[quality]],Lookups!$A$26:$C$33,3,FALSE),1)</f>
        <v>0.98763855981004833</v>
      </c>
      <c r="BU2188" s="4">
        <f>_xlfn.IFNA(VLOOKUP(Grandview_Inventory[[#This Row],[condition]],Lookups!$A$37:$C$44,3,FALSE),1)</f>
        <v>0.97383723671140243</v>
      </c>
      <c r="BV2188" s="4">
        <f>IF(Grandview_Inventory[[#This Row],[bldg_style]]="",1,_xlfn.IFNA(VLOOKUP(Grandview_Inventory[[#This Row],[decade]],Lookups!$F$29:$H$43,3,FALSE),1))</f>
        <v>0.96737494181490646</v>
      </c>
      <c r="BW2188" s="4">
        <f>_xlfn.IFNA(VLOOKUP(Grandview_Inventory[[#This Row],[living_area_range]],Lookups!$F$47:$H$56,3,FALSE),1)</f>
        <v>0.96135087979789358</v>
      </c>
      <c r="BX2188" s="4">
        <f>AVERAGE(Grandview_Inventory[[#This Row],[qual_adj]:[size_adj]])</f>
        <v>0.97255040453356267</v>
      </c>
      <c r="BY2188" s="6">
        <f>IF(Grandview_Inventory[[#This Row],[pre_res]]&lt;0,0,Grandview_Inventory[[#This Row],[pre_res]]*Grandview_Inventory[[#This Row],[overall_adj]])</f>
        <v>315441.67808200541</v>
      </c>
      <c r="BZ2188" s="6">
        <f>(Grandview_Inventory[[#This Row],[sum_land]]-IF(Grandview_Inventory[[#This Row],[no_utilities]]=1,12000,0))/IF(Grandview_Inventory[[#This Row],[unbuildable]]=1,2,1)</f>
        <v>45695.532079096141</v>
      </c>
      <c r="CA218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8">
        <f>ROUND(Grandview_Inventory[[#This Row],[det_value]]*Lookups!$M$28,-2)</f>
        <v>0</v>
      </c>
      <c r="CC2188">
        <f>IF(ROUND(Grandview_Inventory[[#This Row],[adj_res]]*Lookups!$M$28,-2)&lt;Grandview_Inventory[[#This Row],[min_res]],Grandview_Inventory[[#This Row],[min_res]],ROUND(Grandview_Inventory[[#This Row],[adj_res]]*Lookups!$M$28,-2))</f>
        <v>299700</v>
      </c>
      <c r="CD2188">
        <f>Grandview_Inventory[[#This Row],[final_det]]+Grandview_Inventory[[#This Row],[final_res]]</f>
        <v>299700</v>
      </c>
      <c r="CE2188">
        <f>Grandview_Inventory[[#This Row],[final_land]]+Grandview_Inventory[[#This Row],[final_imp]]+Grandview_Inventory[[#This Row],[crop_value]]</f>
        <v>343100</v>
      </c>
      <c r="CG2188" t="str">
        <f t="shared" si="34"/>
        <v>update valuation set market_land =43400, market_bldg=299700, market_total =343100, market_mdno =401, market_date ='9/10/2023' where link_id = (select link_id from parcel where parcel_year = '2024' and parcel_id = '23092424463');</v>
      </c>
    </row>
    <row r="2189" spans="1:85" x14ac:dyDescent="0.25">
      <c r="A2189">
        <v>23092424464</v>
      </c>
      <c r="B2189">
        <v>0.16</v>
      </c>
      <c r="C2189">
        <v>7001</v>
      </c>
      <c r="D2189" t="s">
        <v>129</v>
      </c>
      <c r="E2189" t="s">
        <v>53</v>
      </c>
      <c r="F2189" t="s">
        <v>53</v>
      </c>
      <c r="G2189">
        <v>4</v>
      </c>
      <c r="H2189" t="s">
        <v>54</v>
      </c>
      <c r="I2189">
        <v>212400</v>
      </c>
      <c r="J2189">
        <v>38600</v>
      </c>
      <c r="K2189">
        <v>0.16</v>
      </c>
      <c r="L218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89">
        <v>0</v>
      </c>
      <c r="N2189">
        <v>0</v>
      </c>
      <c r="O2189">
        <v>0</v>
      </c>
      <c r="P2189">
        <v>13398.7528</v>
      </c>
      <c r="Q2189">
        <v>63903</v>
      </c>
      <c r="R2189">
        <f>(Grandview_Inventory[[#This Row],[ln_acres]]*Grandview_Inventory[[#This Row],[coeff]])+Grandview_Inventory[[#This Row],[const]]</f>
        <v>39348.693981374228</v>
      </c>
      <c r="S2189" t="s">
        <v>61</v>
      </c>
      <c r="T2189">
        <v>1</v>
      </c>
      <c r="U2189" t="s">
        <v>62</v>
      </c>
      <c r="V2189" t="s">
        <v>67</v>
      </c>
      <c r="W2189">
        <v>0</v>
      </c>
      <c r="X2189">
        <v>0</v>
      </c>
      <c r="Y2189">
        <v>18</v>
      </c>
      <c r="Z2189">
        <v>18</v>
      </c>
      <c r="AA2189">
        <v>20</v>
      </c>
      <c r="AB2189">
        <v>1500</v>
      </c>
      <c r="AC2189">
        <v>1166</v>
      </c>
      <c r="AD2189">
        <v>1166</v>
      </c>
      <c r="AE2189">
        <v>0</v>
      </c>
      <c r="AF2189">
        <v>0</v>
      </c>
      <c r="AG2189">
        <v>0</v>
      </c>
      <c r="AH2189">
        <v>0</v>
      </c>
      <c r="AI2189">
        <v>480</v>
      </c>
      <c r="AJ2189">
        <v>0</v>
      </c>
      <c r="AK2189">
        <v>0</v>
      </c>
      <c r="AL2189">
        <v>0</v>
      </c>
      <c r="AM2189">
        <v>100</v>
      </c>
      <c r="AN2189">
        <v>40</v>
      </c>
      <c r="AO2189">
        <v>0</v>
      </c>
      <c r="AP2189">
        <v>8</v>
      </c>
      <c r="AQ2189">
        <v>0</v>
      </c>
      <c r="AR2189">
        <v>0</v>
      </c>
      <c r="AS2189" t="s">
        <v>58</v>
      </c>
      <c r="AT2189">
        <v>1</v>
      </c>
      <c r="AU2189" t="s">
        <v>63</v>
      </c>
      <c r="AV2189" t="s">
        <v>64</v>
      </c>
      <c r="AW2189">
        <v>1</v>
      </c>
      <c r="AX2189">
        <v>3</v>
      </c>
      <c r="AY2189">
        <v>0</v>
      </c>
      <c r="AZ2189">
        <v>0</v>
      </c>
      <c r="BA2189">
        <v>100</v>
      </c>
      <c r="BB2189">
        <v>100</v>
      </c>
      <c r="BC2189">
        <v>100</v>
      </c>
      <c r="BD2189">
        <v>100</v>
      </c>
      <c r="BE2189">
        <v>1</v>
      </c>
      <c r="BF2189">
        <v>15000</v>
      </c>
      <c r="BG2189">
        <v>1000</v>
      </c>
      <c r="BH2189" s="6">
        <f>Grandview_Inventory[[#This Row],[land_extract]]*Lookups!$B$3</f>
        <v>45695.532079096141</v>
      </c>
      <c r="BI2189" s="6">
        <f>IF(Grandview_Inventory[[#This Row],[bldg_style]]="",0,Lookups!$B$2)</f>
        <v>155833.95000000001</v>
      </c>
      <c r="BJ2189" s="6">
        <f>_xlfn.IFNA(VLOOKUP(Grandview_Inventory[[#This Row],[quality]],Lookups!$H$2:$J$14,3,FALSE),0)</f>
        <v>9808</v>
      </c>
      <c r="BK2189" s="6">
        <f>_xlfn.IFNA(VLOOKUP(Grandview_Inventory[[#This Row],[condition]],Lookups!$H$17:$J$24,3,FALSE),0)</f>
        <v>22342</v>
      </c>
      <c r="BL2189" s="6">
        <f>Grandview_Inventory[[#This Row],[Eff_Age]]*Lookups!$B$14</f>
        <v>-4304.9987999999994</v>
      </c>
      <c r="BM2189" s="6">
        <f>Grandview_Inventory[[#This Row],[living_area]]*Lookups!$B$15</f>
        <v>72736.074598000007</v>
      </c>
      <c r="BN2189" s="6">
        <f>Grandview_Inventory[[#This Row],[Fin BSMT]]*Lookups!$B$16</f>
        <v>0</v>
      </c>
      <c r="BO2189" s="6">
        <f>(Grandview_Inventory[[#This Row],[att_gar]]+Grandview_Inventory[[#This Row],[bltin_gar]])*Lookups!$B$17</f>
        <v>42009.809760000004</v>
      </c>
      <c r="BP2189" s="6">
        <f>Grandview_Inventory[[#This Row],[Plumbing Fixtures]]*Lookups!$B$18</f>
        <v>16083.5344</v>
      </c>
      <c r="BQ2189" s="6">
        <f>Grandview_Inventory[[#This Row],[detatched_value]]*Lookups!$B$19</f>
        <v>0</v>
      </c>
      <c r="BR2189" s="6">
        <f>SUM(Grandview_Inventory[[#This Row],[Intercept]:[det_value]])*Grandview_Inventory[[#This Row],[res_pct]]</f>
        <v>314508.36995800002</v>
      </c>
      <c r="BS2189" s="6">
        <f>Grandview_Inventory[[#This Row],[land_value]]</f>
        <v>45695.532079096141</v>
      </c>
      <c r="BT2189" s="4">
        <f>_xlfn.IFNA(VLOOKUP(Grandview_Inventory[[#This Row],[quality]],Lookups!$A$26:$C$33,3,FALSE),1)</f>
        <v>0.94295468617355149</v>
      </c>
      <c r="BU2189" s="4">
        <f>_xlfn.IFNA(VLOOKUP(Grandview_Inventory[[#This Row],[condition]],Lookups!$A$37:$C$44,3,FALSE),1)</f>
        <v>0.97383723671140243</v>
      </c>
      <c r="BV2189" s="4">
        <f>IF(Grandview_Inventory[[#This Row],[bldg_style]]="",1,_xlfn.IFNA(VLOOKUP(Grandview_Inventory[[#This Row],[decade]],Lookups!$F$29:$H$43,3,FALSE),1))</f>
        <v>0.96737494181490646</v>
      </c>
      <c r="BW2189" s="4">
        <f>_xlfn.IFNA(VLOOKUP(Grandview_Inventory[[#This Row],[living_area_range]],Lookups!$F$47:$H$56,3,FALSE),1)</f>
        <v>0.96135087979789358</v>
      </c>
      <c r="BX2189" s="4">
        <f>AVERAGE(Grandview_Inventory[[#This Row],[qual_adj]:[size_adj]])</f>
        <v>0.96137943612443855</v>
      </c>
      <c r="BY2189" s="6">
        <f>IF(Grandview_Inventory[[#This Row],[pre_res]]&lt;0,0,Grandview_Inventory[[#This Row],[pre_res]]*Grandview_Inventory[[#This Row],[overall_adj]])</f>
        <v>302361.87936663837</v>
      </c>
      <c r="BZ2189" s="6">
        <f>(Grandview_Inventory[[#This Row],[sum_land]]-IF(Grandview_Inventory[[#This Row],[no_utilities]]=1,12000,0))/IF(Grandview_Inventory[[#This Row],[unbuildable]]=1,2,1)</f>
        <v>45695.532079096141</v>
      </c>
      <c r="CA218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89">
        <f>ROUND(Grandview_Inventory[[#This Row],[det_value]]*Lookups!$M$28,-2)</f>
        <v>0</v>
      </c>
      <c r="CC2189">
        <f>IF(ROUND(Grandview_Inventory[[#This Row],[adj_res]]*Lookups!$M$28,-2)&lt;Grandview_Inventory[[#This Row],[min_res]],Grandview_Inventory[[#This Row],[min_res]],ROUND(Grandview_Inventory[[#This Row],[adj_res]]*Lookups!$M$28,-2))</f>
        <v>287200</v>
      </c>
      <c r="CD2189">
        <f>Grandview_Inventory[[#This Row],[final_det]]+Grandview_Inventory[[#This Row],[final_res]]</f>
        <v>287200</v>
      </c>
      <c r="CE2189">
        <f>Grandview_Inventory[[#This Row],[final_land]]+Grandview_Inventory[[#This Row],[final_imp]]+Grandview_Inventory[[#This Row],[crop_value]]</f>
        <v>330600</v>
      </c>
      <c r="CG2189" t="str">
        <f t="shared" si="34"/>
        <v>update valuation set market_land =43400, market_bldg=287200, market_total =330600, market_mdno =401, market_date ='9/10/2023' where link_id = (select link_id from parcel where parcel_year = '2024' and parcel_id = '23092424464');</v>
      </c>
    </row>
    <row r="2190" spans="1:85" x14ac:dyDescent="0.25">
      <c r="A2190">
        <v>23092424465</v>
      </c>
      <c r="B2190">
        <v>0.16</v>
      </c>
      <c r="C2190">
        <v>7001</v>
      </c>
      <c r="D2190" t="s">
        <v>129</v>
      </c>
      <c r="E2190" t="s">
        <v>53</v>
      </c>
      <c r="F2190" t="s">
        <v>53</v>
      </c>
      <c r="G2190">
        <v>4</v>
      </c>
      <c r="H2190" t="s">
        <v>54</v>
      </c>
      <c r="I2190">
        <v>227200</v>
      </c>
      <c r="J2190">
        <v>38600</v>
      </c>
      <c r="K2190">
        <v>0.16</v>
      </c>
      <c r="L219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90">
        <v>0</v>
      </c>
      <c r="N2190">
        <v>0</v>
      </c>
      <c r="O2190">
        <v>0</v>
      </c>
      <c r="P2190">
        <v>13398.7528</v>
      </c>
      <c r="Q2190">
        <v>63903</v>
      </c>
      <c r="R2190">
        <f>(Grandview_Inventory[[#This Row],[ln_acres]]*Grandview_Inventory[[#This Row],[coeff]])+Grandview_Inventory[[#This Row],[const]]</f>
        <v>39348.693981374228</v>
      </c>
      <c r="S2190" t="s">
        <v>61</v>
      </c>
      <c r="T2190">
        <v>1</v>
      </c>
      <c r="U2190" t="s">
        <v>65</v>
      </c>
      <c r="V2190" t="s">
        <v>67</v>
      </c>
      <c r="W2190">
        <v>0</v>
      </c>
      <c r="X2190">
        <v>0</v>
      </c>
      <c r="Y2190">
        <v>18</v>
      </c>
      <c r="Z2190">
        <v>18</v>
      </c>
      <c r="AA2190">
        <v>20</v>
      </c>
      <c r="AB2190">
        <v>1500</v>
      </c>
      <c r="AC2190">
        <v>1339</v>
      </c>
      <c r="AD2190">
        <v>1339</v>
      </c>
      <c r="AE2190">
        <v>0</v>
      </c>
      <c r="AF2190">
        <v>0</v>
      </c>
      <c r="AG2190">
        <v>0</v>
      </c>
      <c r="AH2190">
        <v>0</v>
      </c>
      <c r="AI2190">
        <v>504</v>
      </c>
      <c r="AJ2190">
        <v>0</v>
      </c>
      <c r="AK2190">
        <v>0</v>
      </c>
      <c r="AL2190">
        <v>0</v>
      </c>
      <c r="AM2190">
        <v>100</v>
      </c>
      <c r="AN2190">
        <v>40</v>
      </c>
      <c r="AO2190">
        <v>0</v>
      </c>
      <c r="AP2190">
        <v>8</v>
      </c>
      <c r="AQ2190">
        <v>0</v>
      </c>
      <c r="AR2190">
        <v>0</v>
      </c>
      <c r="AS2190" t="s">
        <v>58</v>
      </c>
      <c r="AT2190">
        <v>1</v>
      </c>
      <c r="AU2190" t="s">
        <v>63</v>
      </c>
      <c r="AV2190" t="s">
        <v>64</v>
      </c>
      <c r="AW2190">
        <v>1</v>
      </c>
      <c r="AX2190">
        <v>4</v>
      </c>
      <c r="AY2190">
        <v>0</v>
      </c>
      <c r="AZ2190">
        <v>0</v>
      </c>
      <c r="BA2190">
        <v>100</v>
      </c>
      <c r="BB2190">
        <v>100</v>
      </c>
      <c r="BC2190">
        <v>100</v>
      </c>
      <c r="BD2190">
        <v>100</v>
      </c>
      <c r="BE2190">
        <v>1</v>
      </c>
      <c r="BF2190">
        <v>15000</v>
      </c>
      <c r="BG2190">
        <v>1000</v>
      </c>
      <c r="BH2190" s="6">
        <f>Grandview_Inventory[[#This Row],[land_extract]]*Lookups!$B$3</f>
        <v>45695.532079096141</v>
      </c>
      <c r="BI2190" s="6">
        <f>IF(Grandview_Inventory[[#This Row],[bldg_style]]="",0,Lookups!$B$2)</f>
        <v>155833.95000000001</v>
      </c>
      <c r="BJ2190" s="6">
        <f>_xlfn.IFNA(VLOOKUP(Grandview_Inventory[[#This Row],[quality]],Lookups!$H$2:$J$14,3,FALSE),0)</f>
        <v>2251</v>
      </c>
      <c r="BK2190" s="6">
        <f>_xlfn.IFNA(VLOOKUP(Grandview_Inventory[[#This Row],[condition]],Lookups!$H$17:$J$24,3,FALSE),0)</f>
        <v>22342</v>
      </c>
      <c r="BL2190" s="6">
        <f>Grandview_Inventory[[#This Row],[Eff_Age]]*Lookups!$B$14</f>
        <v>-4304.9987999999994</v>
      </c>
      <c r="BM2190" s="6">
        <f>Grandview_Inventory[[#This Row],[living_area]]*Lookups!$B$15</f>
        <v>83527.962167000005</v>
      </c>
      <c r="BN2190" s="6">
        <f>Grandview_Inventory[[#This Row],[Fin BSMT]]*Lookups!$B$16</f>
        <v>0</v>
      </c>
      <c r="BO2190" s="6">
        <f>(Grandview_Inventory[[#This Row],[att_gar]]+Grandview_Inventory[[#This Row],[bltin_gar]])*Lookups!$B$17</f>
        <v>44110.300248</v>
      </c>
      <c r="BP2190" s="6">
        <f>Grandview_Inventory[[#This Row],[Plumbing Fixtures]]*Lookups!$B$18</f>
        <v>16083.5344</v>
      </c>
      <c r="BQ2190" s="6">
        <f>Grandview_Inventory[[#This Row],[detatched_value]]*Lookups!$B$19</f>
        <v>0</v>
      </c>
      <c r="BR2190" s="6">
        <f>SUM(Grandview_Inventory[[#This Row],[Intercept]:[det_value]])*Grandview_Inventory[[#This Row],[res_pct]]</f>
        <v>319843.74801500002</v>
      </c>
      <c r="BS2190" s="6">
        <f>Grandview_Inventory[[#This Row],[land_value]]</f>
        <v>45695.532079096141</v>
      </c>
      <c r="BT2190" s="4">
        <f>_xlfn.IFNA(VLOOKUP(Grandview_Inventory[[#This Row],[quality]],Lookups!$A$26:$C$33,3,FALSE),1)</f>
        <v>0.98763855981004833</v>
      </c>
      <c r="BU2190" s="4">
        <f>_xlfn.IFNA(VLOOKUP(Grandview_Inventory[[#This Row],[condition]],Lookups!$A$37:$C$44,3,FALSE),1)</f>
        <v>0.97383723671140243</v>
      </c>
      <c r="BV2190" s="4">
        <f>IF(Grandview_Inventory[[#This Row],[bldg_style]]="",1,_xlfn.IFNA(VLOOKUP(Grandview_Inventory[[#This Row],[decade]],Lookups!$F$29:$H$43,3,FALSE),1))</f>
        <v>0.96737494181490646</v>
      </c>
      <c r="BW2190" s="4">
        <f>_xlfn.IFNA(VLOOKUP(Grandview_Inventory[[#This Row],[living_area_range]],Lookups!$F$47:$H$56,3,FALSE),1)</f>
        <v>0.96135087979789358</v>
      </c>
      <c r="BX2190" s="4">
        <f>AVERAGE(Grandview_Inventory[[#This Row],[qual_adj]:[size_adj]])</f>
        <v>0.97255040453356267</v>
      </c>
      <c r="BY2190" s="6">
        <f>IF(Grandview_Inventory[[#This Row],[pre_res]]&lt;0,0,Grandview_Inventory[[#This Row],[pre_res]]*Grandview_Inventory[[#This Row],[overall_adj]])</f>
        <v>311064.16651951917</v>
      </c>
      <c r="BZ2190" s="6">
        <f>(Grandview_Inventory[[#This Row],[sum_land]]-IF(Grandview_Inventory[[#This Row],[no_utilities]]=1,12000,0))/IF(Grandview_Inventory[[#This Row],[unbuildable]]=1,2,1)</f>
        <v>45695.532079096141</v>
      </c>
      <c r="CA219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90">
        <f>ROUND(Grandview_Inventory[[#This Row],[det_value]]*Lookups!$M$28,-2)</f>
        <v>0</v>
      </c>
      <c r="CC2190">
        <f>IF(ROUND(Grandview_Inventory[[#This Row],[adj_res]]*Lookups!$M$28,-2)&lt;Grandview_Inventory[[#This Row],[min_res]],Grandview_Inventory[[#This Row],[min_res]],ROUND(Grandview_Inventory[[#This Row],[adj_res]]*Lookups!$M$28,-2))</f>
        <v>295500</v>
      </c>
      <c r="CD2190">
        <f>Grandview_Inventory[[#This Row],[final_det]]+Grandview_Inventory[[#This Row],[final_res]]</f>
        <v>295500</v>
      </c>
      <c r="CE2190">
        <f>Grandview_Inventory[[#This Row],[final_land]]+Grandview_Inventory[[#This Row],[final_imp]]+Grandview_Inventory[[#This Row],[crop_value]]</f>
        <v>338900</v>
      </c>
      <c r="CG2190" t="str">
        <f t="shared" si="34"/>
        <v>update valuation set market_land =43400, market_bldg=295500, market_total =338900, market_mdno =401, market_date ='9/10/2023' where link_id = (select link_id from parcel where parcel_year = '2024' and parcel_id = '23092424465');</v>
      </c>
    </row>
    <row r="2191" spans="1:85" x14ac:dyDescent="0.25">
      <c r="A2191">
        <v>23092424466</v>
      </c>
      <c r="B2191">
        <v>0.16</v>
      </c>
      <c r="C2191">
        <v>7001</v>
      </c>
      <c r="D2191" t="s">
        <v>129</v>
      </c>
      <c r="E2191" t="s">
        <v>53</v>
      </c>
      <c r="F2191" t="s">
        <v>53</v>
      </c>
      <c r="G2191">
        <v>4</v>
      </c>
      <c r="H2191" t="s">
        <v>54</v>
      </c>
      <c r="I2191">
        <v>234800</v>
      </c>
      <c r="J2191">
        <v>38600</v>
      </c>
      <c r="K2191">
        <v>0.16</v>
      </c>
      <c r="L219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91">
        <v>0</v>
      </c>
      <c r="N2191">
        <v>0</v>
      </c>
      <c r="O2191">
        <v>0</v>
      </c>
      <c r="P2191">
        <v>13398.7528</v>
      </c>
      <c r="Q2191">
        <v>63903</v>
      </c>
      <c r="R2191">
        <f>(Grandview_Inventory[[#This Row],[ln_acres]]*Grandview_Inventory[[#This Row],[coeff]])+Grandview_Inventory[[#This Row],[const]]</f>
        <v>39348.693981374228</v>
      </c>
      <c r="S2191" t="s">
        <v>61</v>
      </c>
      <c r="T2191">
        <v>1</v>
      </c>
      <c r="U2191" t="s">
        <v>62</v>
      </c>
      <c r="V2191" t="s">
        <v>67</v>
      </c>
      <c r="W2191">
        <v>0</v>
      </c>
      <c r="X2191">
        <v>0</v>
      </c>
      <c r="Y2191">
        <v>17</v>
      </c>
      <c r="Z2191">
        <v>17</v>
      </c>
      <c r="AA2191">
        <v>20</v>
      </c>
      <c r="AB2191">
        <v>2000</v>
      </c>
      <c r="AC2191">
        <v>1764</v>
      </c>
      <c r="AD2191">
        <v>1332</v>
      </c>
      <c r="AE2191">
        <v>0</v>
      </c>
      <c r="AF2191">
        <v>432</v>
      </c>
      <c r="AG2191">
        <v>0</v>
      </c>
      <c r="AH2191">
        <v>0</v>
      </c>
      <c r="AI2191">
        <v>648</v>
      </c>
      <c r="AJ2191">
        <v>0</v>
      </c>
      <c r="AK2191">
        <v>0</v>
      </c>
      <c r="AL2191">
        <v>0</v>
      </c>
      <c r="AM2191">
        <v>100</v>
      </c>
      <c r="AN2191">
        <v>48</v>
      </c>
      <c r="AO2191">
        <v>0</v>
      </c>
      <c r="AP2191">
        <v>8</v>
      </c>
      <c r="AQ2191">
        <v>0</v>
      </c>
      <c r="AR2191">
        <v>0</v>
      </c>
      <c r="AS2191" t="s">
        <v>58</v>
      </c>
      <c r="AT2191">
        <v>1</v>
      </c>
      <c r="AU2191" t="s">
        <v>63</v>
      </c>
      <c r="AV2191" t="s">
        <v>64</v>
      </c>
      <c r="AW2191">
        <v>1</v>
      </c>
      <c r="AX2191">
        <v>4</v>
      </c>
      <c r="AY2191">
        <v>0</v>
      </c>
      <c r="AZ2191">
        <v>0</v>
      </c>
      <c r="BA2191">
        <v>100</v>
      </c>
      <c r="BB2191">
        <v>100</v>
      </c>
      <c r="BC2191">
        <v>100</v>
      </c>
      <c r="BD2191">
        <v>100</v>
      </c>
      <c r="BE2191">
        <v>1</v>
      </c>
      <c r="BF2191">
        <v>15000</v>
      </c>
      <c r="BG2191">
        <v>1000</v>
      </c>
      <c r="BH2191" s="6">
        <f>Grandview_Inventory[[#This Row],[land_extract]]*Lookups!$B$3</f>
        <v>45695.532079096141</v>
      </c>
      <c r="BI2191" s="6">
        <f>IF(Grandview_Inventory[[#This Row],[bldg_style]]="",0,Lookups!$B$2)</f>
        <v>155833.95000000001</v>
      </c>
      <c r="BJ2191" s="6">
        <f>_xlfn.IFNA(VLOOKUP(Grandview_Inventory[[#This Row],[quality]],Lookups!$H$2:$J$14,3,FALSE),0)</f>
        <v>9808</v>
      </c>
      <c r="BK2191" s="6">
        <f>_xlfn.IFNA(VLOOKUP(Grandview_Inventory[[#This Row],[condition]],Lookups!$H$17:$J$24,3,FALSE),0)</f>
        <v>22342</v>
      </c>
      <c r="BL2191" s="6">
        <f>Grandview_Inventory[[#This Row],[Eff_Age]]*Lookups!$B$14</f>
        <v>-4065.8321999999998</v>
      </c>
      <c r="BM2191" s="6">
        <f>Grandview_Inventory[[#This Row],[living_area]]*Lookups!$B$15</f>
        <v>110039.82469200001</v>
      </c>
      <c r="BN2191" s="6">
        <f>Grandview_Inventory[[#This Row],[Fin BSMT]]*Lookups!$B$16</f>
        <v>0</v>
      </c>
      <c r="BO2191" s="6">
        <f>(Grandview_Inventory[[#This Row],[att_gar]]+Grandview_Inventory[[#This Row],[bltin_gar]])*Lookups!$B$17</f>
        <v>56713.243176000004</v>
      </c>
      <c r="BP2191" s="6">
        <f>Grandview_Inventory[[#This Row],[Plumbing Fixtures]]*Lookups!$B$18</f>
        <v>16083.5344</v>
      </c>
      <c r="BQ2191" s="6">
        <f>Grandview_Inventory[[#This Row],[detatched_value]]*Lookups!$B$19</f>
        <v>0</v>
      </c>
      <c r="BR2191" s="6">
        <f>SUM(Grandview_Inventory[[#This Row],[Intercept]:[det_value]])*Grandview_Inventory[[#This Row],[res_pct]]</f>
        <v>366754.72006800002</v>
      </c>
      <c r="BS2191" s="6">
        <f>Grandview_Inventory[[#This Row],[land_value]]</f>
        <v>45695.532079096141</v>
      </c>
      <c r="BT2191" s="4">
        <f>_xlfn.IFNA(VLOOKUP(Grandview_Inventory[[#This Row],[quality]],Lookups!$A$26:$C$33,3,FALSE),1)</f>
        <v>0.94295468617355149</v>
      </c>
      <c r="BU2191" s="4">
        <f>_xlfn.IFNA(VLOOKUP(Grandview_Inventory[[#This Row],[condition]],Lookups!$A$37:$C$44,3,FALSE),1)</f>
        <v>0.97383723671140243</v>
      </c>
      <c r="BV2191" s="4">
        <f>IF(Grandview_Inventory[[#This Row],[bldg_style]]="",1,_xlfn.IFNA(VLOOKUP(Grandview_Inventory[[#This Row],[decade]],Lookups!$F$29:$H$43,3,FALSE),1))</f>
        <v>0.96737494181490646</v>
      </c>
      <c r="BW2191" s="4">
        <f>_xlfn.IFNA(VLOOKUP(Grandview_Inventory[[#This Row],[living_area_range]],Lookups!$F$47:$H$56,3,FALSE),1)</f>
        <v>0.96120133463014379</v>
      </c>
      <c r="BX2191" s="4">
        <f>AVERAGE(Grandview_Inventory[[#This Row],[qual_adj]:[size_adj]])</f>
        <v>0.96134204983250116</v>
      </c>
      <c r="BY2191" s="6">
        <f>IF(Grandview_Inventory[[#This Row],[pre_res]]&lt;0,0,Grandview_Inventory[[#This Row],[pre_res]]*Grandview_Inventory[[#This Row],[overall_adj]])</f>
        <v>352576.7343759163</v>
      </c>
      <c r="BZ2191" s="6">
        <f>(Grandview_Inventory[[#This Row],[sum_land]]-IF(Grandview_Inventory[[#This Row],[no_utilities]]=1,12000,0))/IF(Grandview_Inventory[[#This Row],[unbuildable]]=1,2,1)</f>
        <v>45695.532079096141</v>
      </c>
      <c r="CA219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91">
        <f>ROUND(Grandview_Inventory[[#This Row],[det_value]]*Lookups!$M$28,-2)</f>
        <v>0</v>
      </c>
      <c r="CC2191">
        <f>IF(ROUND(Grandview_Inventory[[#This Row],[adj_res]]*Lookups!$M$28,-2)&lt;Grandview_Inventory[[#This Row],[min_res]],Grandview_Inventory[[#This Row],[min_res]],ROUND(Grandview_Inventory[[#This Row],[adj_res]]*Lookups!$M$28,-2))</f>
        <v>334900</v>
      </c>
      <c r="CD2191">
        <f>Grandview_Inventory[[#This Row],[final_det]]+Grandview_Inventory[[#This Row],[final_res]]</f>
        <v>334900</v>
      </c>
      <c r="CE2191">
        <f>Grandview_Inventory[[#This Row],[final_land]]+Grandview_Inventory[[#This Row],[final_imp]]+Grandview_Inventory[[#This Row],[crop_value]]</f>
        <v>378300</v>
      </c>
      <c r="CG2191" t="str">
        <f t="shared" si="34"/>
        <v>update valuation set market_land =43400, market_bldg=334900, market_total =378300, market_mdno =401, market_date ='9/10/2023' where link_id = (select link_id from parcel where parcel_year = '2024' and parcel_id = '23092424466');</v>
      </c>
    </row>
    <row r="2192" spans="1:85" x14ac:dyDescent="0.25">
      <c r="A2192">
        <v>23092424467</v>
      </c>
      <c r="B2192">
        <v>0.16</v>
      </c>
      <c r="C2192">
        <v>7001</v>
      </c>
      <c r="D2192" t="s">
        <v>129</v>
      </c>
      <c r="E2192" t="s">
        <v>53</v>
      </c>
      <c r="F2192" t="s">
        <v>53</v>
      </c>
      <c r="G2192">
        <v>4</v>
      </c>
      <c r="H2192" t="s">
        <v>54</v>
      </c>
      <c r="I2192">
        <v>231300</v>
      </c>
      <c r="J2192">
        <v>38600</v>
      </c>
      <c r="K2192">
        <v>0.16</v>
      </c>
      <c r="L219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92">
        <v>0</v>
      </c>
      <c r="N2192">
        <v>0</v>
      </c>
      <c r="O2192">
        <v>0</v>
      </c>
      <c r="P2192">
        <v>13398.7528</v>
      </c>
      <c r="Q2192">
        <v>63903</v>
      </c>
      <c r="R2192">
        <f>(Grandview_Inventory[[#This Row],[ln_acres]]*Grandview_Inventory[[#This Row],[coeff]])+Grandview_Inventory[[#This Row],[const]]</f>
        <v>39348.693981374228</v>
      </c>
      <c r="S2192" t="s">
        <v>61</v>
      </c>
      <c r="T2192">
        <v>1</v>
      </c>
      <c r="U2192" t="s">
        <v>65</v>
      </c>
      <c r="V2192" t="s">
        <v>67</v>
      </c>
      <c r="W2192">
        <v>0</v>
      </c>
      <c r="X2192">
        <v>0</v>
      </c>
      <c r="Y2192">
        <v>17</v>
      </c>
      <c r="Z2192">
        <v>17</v>
      </c>
      <c r="AA2192">
        <v>20</v>
      </c>
      <c r="AB2192">
        <v>1500</v>
      </c>
      <c r="AC2192">
        <v>1379</v>
      </c>
      <c r="AD2192">
        <v>1379</v>
      </c>
      <c r="AE2192">
        <v>0</v>
      </c>
      <c r="AF2192">
        <v>0</v>
      </c>
      <c r="AG2192">
        <v>0</v>
      </c>
      <c r="AH2192">
        <v>0</v>
      </c>
      <c r="AI2192">
        <v>504</v>
      </c>
      <c r="AJ2192">
        <v>0</v>
      </c>
      <c r="AK2192">
        <v>0</v>
      </c>
      <c r="AL2192">
        <v>0</v>
      </c>
      <c r="AM2192">
        <v>350</v>
      </c>
      <c r="AN2192">
        <v>40</v>
      </c>
      <c r="AO2192">
        <v>350</v>
      </c>
      <c r="AP2192">
        <v>9</v>
      </c>
      <c r="AQ2192">
        <v>0</v>
      </c>
      <c r="AR2192">
        <v>0</v>
      </c>
      <c r="AS2192" t="s">
        <v>58</v>
      </c>
      <c r="AT2192">
        <v>1</v>
      </c>
      <c r="AU2192" t="s">
        <v>63</v>
      </c>
      <c r="AV2192" t="s">
        <v>64</v>
      </c>
      <c r="AW2192">
        <v>1</v>
      </c>
      <c r="AX2192">
        <v>4</v>
      </c>
      <c r="AY2192">
        <v>0</v>
      </c>
      <c r="AZ2192">
        <v>0</v>
      </c>
      <c r="BA2192">
        <v>100</v>
      </c>
      <c r="BB2192">
        <v>100</v>
      </c>
      <c r="BC2192">
        <v>100</v>
      </c>
      <c r="BD2192">
        <v>100</v>
      </c>
      <c r="BE2192">
        <v>1</v>
      </c>
      <c r="BF2192">
        <v>15000</v>
      </c>
      <c r="BG2192">
        <v>1000</v>
      </c>
      <c r="BH2192" s="6">
        <f>Grandview_Inventory[[#This Row],[land_extract]]*Lookups!$B$3</f>
        <v>45695.532079096141</v>
      </c>
      <c r="BI2192" s="6">
        <f>IF(Grandview_Inventory[[#This Row],[bldg_style]]="",0,Lookups!$B$2)</f>
        <v>155833.95000000001</v>
      </c>
      <c r="BJ2192" s="6">
        <f>_xlfn.IFNA(VLOOKUP(Grandview_Inventory[[#This Row],[quality]],Lookups!$H$2:$J$14,3,FALSE),0)</f>
        <v>2251</v>
      </c>
      <c r="BK2192" s="6">
        <f>_xlfn.IFNA(VLOOKUP(Grandview_Inventory[[#This Row],[condition]],Lookups!$H$17:$J$24,3,FALSE),0)</f>
        <v>22342</v>
      </c>
      <c r="BL2192" s="6">
        <f>Grandview_Inventory[[#This Row],[Eff_Age]]*Lookups!$B$14</f>
        <v>-4065.8321999999998</v>
      </c>
      <c r="BM2192" s="6">
        <f>Grandview_Inventory[[#This Row],[living_area]]*Lookups!$B$15</f>
        <v>86023.196286999999</v>
      </c>
      <c r="BN2192" s="6">
        <f>Grandview_Inventory[[#This Row],[Fin BSMT]]*Lookups!$B$16</f>
        <v>0</v>
      </c>
      <c r="BO2192" s="6">
        <f>(Grandview_Inventory[[#This Row],[att_gar]]+Grandview_Inventory[[#This Row],[bltin_gar]])*Lookups!$B$17</f>
        <v>44110.300248</v>
      </c>
      <c r="BP2192" s="6">
        <f>Grandview_Inventory[[#This Row],[Plumbing Fixtures]]*Lookups!$B$18</f>
        <v>18093.976200000001</v>
      </c>
      <c r="BQ2192" s="6">
        <f>Grandview_Inventory[[#This Row],[detatched_value]]*Lookups!$B$19</f>
        <v>0</v>
      </c>
      <c r="BR2192" s="6">
        <f>SUM(Grandview_Inventory[[#This Row],[Intercept]:[det_value]])*Grandview_Inventory[[#This Row],[res_pct]]</f>
        <v>324588.59053499997</v>
      </c>
      <c r="BS2192" s="6">
        <f>Grandview_Inventory[[#This Row],[land_value]]</f>
        <v>45695.532079096141</v>
      </c>
      <c r="BT2192" s="4">
        <f>_xlfn.IFNA(VLOOKUP(Grandview_Inventory[[#This Row],[quality]],Lookups!$A$26:$C$33,3,FALSE),1)</f>
        <v>0.98763855981004833</v>
      </c>
      <c r="BU2192" s="4">
        <f>_xlfn.IFNA(VLOOKUP(Grandview_Inventory[[#This Row],[condition]],Lookups!$A$37:$C$44,3,FALSE),1)</f>
        <v>0.97383723671140243</v>
      </c>
      <c r="BV2192" s="4">
        <f>IF(Grandview_Inventory[[#This Row],[bldg_style]]="",1,_xlfn.IFNA(VLOOKUP(Grandview_Inventory[[#This Row],[decade]],Lookups!$F$29:$H$43,3,FALSE),1))</f>
        <v>0.96737494181490646</v>
      </c>
      <c r="BW2192" s="4">
        <f>_xlfn.IFNA(VLOOKUP(Grandview_Inventory[[#This Row],[living_area_range]],Lookups!$F$47:$H$56,3,FALSE),1)</f>
        <v>0.96135087979789358</v>
      </c>
      <c r="BX2192" s="4">
        <f>AVERAGE(Grandview_Inventory[[#This Row],[qual_adj]:[size_adj]])</f>
        <v>0.97255040453356267</v>
      </c>
      <c r="BY2192" s="6">
        <f>IF(Grandview_Inventory[[#This Row],[pre_res]]&lt;0,0,Grandview_Inventory[[#This Row],[pre_res]]*Grandview_Inventory[[#This Row],[overall_adj]])</f>
        <v>315678.76503179315</v>
      </c>
      <c r="BZ2192" s="6">
        <f>(Grandview_Inventory[[#This Row],[sum_land]]-IF(Grandview_Inventory[[#This Row],[no_utilities]]=1,12000,0))/IF(Grandview_Inventory[[#This Row],[unbuildable]]=1,2,1)</f>
        <v>45695.532079096141</v>
      </c>
      <c r="CA219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92">
        <f>ROUND(Grandview_Inventory[[#This Row],[det_value]]*Lookups!$M$28,-2)</f>
        <v>0</v>
      </c>
      <c r="CC2192">
        <f>IF(ROUND(Grandview_Inventory[[#This Row],[adj_res]]*Lookups!$M$28,-2)&lt;Grandview_Inventory[[#This Row],[min_res]],Grandview_Inventory[[#This Row],[min_res]],ROUND(Grandview_Inventory[[#This Row],[adj_res]]*Lookups!$M$28,-2))</f>
        <v>299900</v>
      </c>
      <c r="CD2192">
        <f>Grandview_Inventory[[#This Row],[final_det]]+Grandview_Inventory[[#This Row],[final_res]]</f>
        <v>299900</v>
      </c>
      <c r="CE2192">
        <f>Grandview_Inventory[[#This Row],[final_land]]+Grandview_Inventory[[#This Row],[final_imp]]+Grandview_Inventory[[#This Row],[crop_value]]</f>
        <v>343300</v>
      </c>
      <c r="CG2192" t="str">
        <f t="shared" si="34"/>
        <v>update valuation set market_land =43400, market_bldg=299900, market_total =343300, market_mdno =401, market_date ='9/10/2023' where link_id = (select link_id from parcel where parcel_year = '2024' and parcel_id = '23092424467');</v>
      </c>
    </row>
    <row r="2193" spans="1:85" x14ac:dyDescent="0.25">
      <c r="A2193">
        <v>23092424468</v>
      </c>
      <c r="B2193">
        <v>0.16</v>
      </c>
      <c r="C2193">
        <v>7065</v>
      </c>
      <c r="D2193" t="s">
        <v>129</v>
      </c>
      <c r="E2193" t="s">
        <v>53</v>
      </c>
      <c r="F2193" t="s">
        <v>53</v>
      </c>
      <c r="G2193">
        <v>4</v>
      </c>
      <c r="H2193" t="s">
        <v>54</v>
      </c>
      <c r="I2193">
        <v>220500</v>
      </c>
      <c r="J2193">
        <v>38800</v>
      </c>
      <c r="K2193">
        <v>0.16</v>
      </c>
      <c r="L219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193">
        <v>0</v>
      </c>
      <c r="N2193">
        <v>0</v>
      </c>
      <c r="O2193">
        <v>0</v>
      </c>
      <c r="P2193">
        <v>13398.7528</v>
      </c>
      <c r="Q2193">
        <v>63903</v>
      </c>
      <c r="R2193">
        <f>(Grandview_Inventory[[#This Row],[ln_acres]]*Grandview_Inventory[[#This Row],[coeff]])+Grandview_Inventory[[#This Row],[const]]</f>
        <v>39348.693981374228</v>
      </c>
      <c r="S2193" t="s">
        <v>61</v>
      </c>
      <c r="T2193">
        <v>1</v>
      </c>
      <c r="U2193" t="s">
        <v>65</v>
      </c>
      <c r="V2193" t="s">
        <v>67</v>
      </c>
      <c r="W2193">
        <v>0</v>
      </c>
      <c r="X2193">
        <v>0</v>
      </c>
      <c r="Y2193">
        <v>17</v>
      </c>
      <c r="Z2193">
        <v>17</v>
      </c>
      <c r="AA2193">
        <v>20</v>
      </c>
      <c r="AB2193">
        <v>1500</v>
      </c>
      <c r="AC2193">
        <v>1224</v>
      </c>
      <c r="AD2193">
        <v>1224</v>
      </c>
      <c r="AE2193">
        <v>0</v>
      </c>
      <c r="AF2193">
        <v>0</v>
      </c>
      <c r="AG2193">
        <v>0</v>
      </c>
      <c r="AH2193">
        <v>0</v>
      </c>
      <c r="AI2193">
        <v>520</v>
      </c>
      <c r="AJ2193">
        <v>0</v>
      </c>
      <c r="AK2193">
        <v>0</v>
      </c>
      <c r="AL2193">
        <v>0</v>
      </c>
      <c r="AM2193">
        <v>100</v>
      </c>
      <c r="AN2193">
        <v>126</v>
      </c>
      <c r="AO2193">
        <v>0</v>
      </c>
      <c r="AP2193">
        <v>8</v>
      </c>
      <c r="AQ2193">
        <v>0</v>
      </c>
      <c r="AR2193">
        <v>0</v>
      </c>
      <c r="AS2193" t="s">
        <v>58</v>
      </c>
      <c r="AT2193">
        <v>1</v>
      </c>
      <c r="AU2193" t="s">
        <v>63</v>
      </c>
      <c r="AV2193" t="s">
        <v>64</v>
      </c>
      <c r="AW2193">
        <v>1</v>
      </c>
      <c r="AX2193">
        <v>3</v>
      </c>
      <c r="AY2193">
        <v>0</v>
      </c>
      <c r="AZ2193">
        <v>0</v>
      </c>
      <c r="BA2193">
        <v>100</v>
      </c>
      <c r="BB2193">
        <v>100</v>
      </c>
      <c r="BC2193">
        <v>100</v>
      </c>
      <c r="BD2193">
        <v>100</v>
      </c>
      <c r="BE2193">
        <v>1</v>
      </c>
      <c r="BF2193">
        <v>15000</v>
      </c>
      <c r="BG2193">
        <v>1000</v>
      </c>
      <c r="BH2193" s="6">
        <f>Grandview_Inventory[[#This Row],[land_extract]]*Lookups!$B$3</f>
        <v>45695.532079096141</v>
      </c>
      <c r="BI2193" s="6">
        <f>IF(Grandview_Inventory[[#This Row],[bldg_style]]="",0,Lookups!$B$2)</f>
        <v>155833.95000000001</v>
      </c>
      <c r="BJ2193" s="6">
        <f>_xlfn.IFNA(VLOOKUP(Grandview_Inventory[[#This Row],[quality]],Lookups!$H$2:$J$14,3,FALSE),0)</f>
        <v>2251</v>
      </c>
      <c r="BK2193" s="6">
        <f>_xlfn.IFNA(VLOOKUP(Grandview_Inventory[[#This Row],[condition]],Lookups!$H$17:$J$24,3,FALSE),0)</f>
        <v>22342</v>
      </c>
      <c r="BL2193" s="6">
        <f>Grandview_Inventory[[#This Row],[Eff_Age]]*Lookups!$B$14</f>
        <v>-4065.8321999999998</v>
      </c>
      <c r="BM2193" s="6">
        <f>Grandview_Inventory[[#This Row],[living_area]]*Lookups!$B$15</f>
        <v>76354.164072</v>
      </c>
      <c r="BN2193" s="6">
        <f>Grandview_Inventory[[#This Row],[Fin BSMT]]*Lookups!$B$16</f>
        <v>0</v>
      </c>
      <c r="BO2193" s="6">
        <f>(Grandview_Inventory[[#This Row],[att_gar]]+Grandview_Inventory[[#This Row],[bltin_gar]])*Lookups!$B$17</f>
        <v>45510.627240000002</v>
      </c>
      <c r="BP2193" s="6">
        <f>Grandview_Inventory[[#This Row],[Plumbing Fixtures]]*Lookups!$B$18</f>
        <v>16083.5344</v>
      </c>
      <c r="BQ2193" s="6">
        <f>Grandview_Inventory[[#This Row],[detatched_value]]*Lookups!$B$19</f>
        <v>0</v>
      </c>
      <c r="BR2193" s="6">
        <f>SUM(Grandview_Inventory[[#This Row],[Intercept]:[det_value]])*Grandview_Inventory[[#This Row],[res_pct]]</f>
        <v>314309.44351200003</v>
      </c>
      <c r="BS2193" s="6">
        <f>Grandview_Inventory[[#This Row],[land_value]]</f>
        <v>45695.532079096141</v>
      </c>
      <c r="BT2193" s="4">
        <f>_xlfn.IFNA(VLOOKUP(Grandview_Inventory[[#This Row],[quality]],Lookups!$A$26:$C$33,3,FALSE),1)</f>
        <v>0.98763855981004833</v>
      </c>
      <c r="BU2193" s="4">
        <f>_xlfn.IFNA(VLOOKUP(Grandview_Inventory[[#This Row],[condition]],Lookups!$A$37:$C$44,3,FALSE),1)</f>
        <v>0.97383723671140243</v>
      </c>
      <c r="BV2193" s="4">
        <f>IF(Grandview_Inventory[[#This Row],[bldg_style]]="",1,_xlfn.IFNA(VLOOKUP(Grandview_Inventory[[#This Row],[decade]],Lookups!$F$29:$H$43,3,FALSE),1))</f>
        <v>0.96737494181490646</v>
      </c>
      <c r="BW2193" s="4">
        <f>_xlfn.IFNA(VLOOKUP(Grandview_Inventory[[#This Row],[living_area_range]],Lookups!$F$47:$H$56,3,FALSE),1)</f>
        <v>0.96135087979789358</v>
      </c>
      <c r="BX2193" s="4">
        <f>AVERAGE(Grandview_Inventory[[#This Row],[qual_adj]:[size_adj]])</f>
        <v>0.97255040453356267</v>
      </c>
      <c r="BY2193" s="6">
        <f>IF(Grandview_Inventory[[#This Row],[pre_res]]&lt;0,0,Grandview_Inventory[[#This Row],[pre_res]]*Grandview_Inventory[[#This Row],[overall_adj]])</f>
        <v>305681.77643631457</v>
      </c>
      <c r="BZ2193" s="6">
        <f>(Grandview_Inventory[[#This Row],[sum_land]]-IF(Grandview_Inventory[[#This Row],[no_utilities]]=1,12000,0))/IF(Grandview_Inventory[[#This Row],[unbuildable]]=1,2,1)</f>
        <v>45695.532079096141</v>
      </c>
      <c r="CA219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193">
        <f>ROUND(Grandview_Inventory[[#This Row],[det_value]]*Lookups!$M$28,-2)</f>
        <v>0</v>
      </c>
      <c r="CC2193">
        <f>IF(ROUND(Grandview_Inventory[[#This Row],[adj_res]]*Lookups!$M$28,-2)&lt;Grandview_Inventory[[#This Row],[min_res]],Grandview_Inventory[[#This Row],[min_res]],ROUND(Grandview_Inventory[[#This Row],[adj_res]]*Lookups!$M$28,-2))</f>
        <v>290400</v>
      </c>
      <c r="CD2193">
        <f>Grandview_Inventory[[#This Row],[final_det]]+Grandview_Inventory[[#This Row],[final_res]]</f>
        <v>290400</v>
      </c>
      <c r="CE2193">
        <f>Grandview_Inventory[[#This Row],[final_land]]+Grandview_Inventory[[#This Row],[final_imp]]+Grandview_Inventory[[#This Row],[crop_value]]</f>
        <v>333800</v>
      </c>
      <c r="CG2193" t="str">
        <f t="shared" si="34"/>
        <v>update valuation set market_land =43400, market_bldg=290400, market_total =333800, market_mdno =401, market_date ='9/10/2023' where link_id = (select link_id from parcel where parcel_year = '2024' and parcel_id = '23092424468');</v>
      </c>
    </row>
    <row r="2194" spans="1:85" x14ac:dyDescent="0.25">
      <c r="A2194">
        <v>23092424469</v>
      </c>
      <c r="B2194">
        <v>0.17</v>
      </c>
      <c r="C2194">
        <v>7328</v>
      </c>
      <c r="D2194" t="s">
        <v>129</v>
      </c>
      <c r="E2194" t="s">
        <v>53</v>
      </c>
      <c r="F2194" t="s">
        <v>53</v>
      </c>
      <c r="G2194">
        <v>4</v>
      </c>
      <c r="H2194" t="s">
        <v>54</v>
      </c>
      <c r="I2194">
        <v>212100</v>
      </c>
      <c r="J2194">
        <v>38800</v>
      </c>
      <c r="K2194">
        <v>0.17</v>
      </c>
      <c r="L219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194">
        <v>0</v>
      </c>
      <c r="N2194">
        <v>0</v>
      </c>
      <c r="O2194">
        <v>0</v>
      </c>
      <c r="P2194">
        <v>13398.7528</v>
      </c>
      <c r="Q2194">
        <v>63903</v>
      </c>
      <c r="R2194">
        <f>(Grandview_Inventory[[#This Row],[ln_acres]]*Grandview_Inventory[[#This Row],[coeff]])+Grandview_Inventory[[#This Row],[const]]</f>
        <v>40160.988302686128</v>
      </c>
      <c r="S2194" t="s">
        <v>61</v>
      </c>
      <c r="T2194">
        <v>1</v>
      </c>
      <c r="U2194" t="s">
        <v>65</v>
      </c>
      <c r="V2194" t="s">
        <v>67</v>
      </c>
      <c r="W2194">
        <v>0</v>
      </c>
      <c r="X2194">
        <v>0</v>
      </c>
      <c r="Y2194">
        <v>17</v>
      </c>
      <c r="Z2194">
        <v>17</v>
      </c>
      <c r="AA2194">
        <v>20</v>
      </c>
      <c r="AB2194">
        <v>1500</v>
      </c>
      <c r="AC2194">
        <v>1117</v>
      </c>
      <c r="AD2194">
        <v>1117</v>
      </c>
      <c r="AE2194">
        <v>0</v>
      </c>
      <c r="AF2194">
        <v>0</v>
      </c>
      <c r="AG2194">
        <v>0</v>
      </c>
      <c r="AH2194">
        <v>0</v>
      </c>
      <c r="AI2194">
        <v>480</v>
      </c>
      <c r="AJ2194">
        <v>0</v>
      </c>
      <c r="AK2194">
        <v>0</v>
      </c>
      <c r="AL2194">
        <v>0</v>
      </c>
      <c r="AM2194">
        <v>240</v>
      </c>
      <c r="AN2194">
        <v>40</v>
      </c>
      <c r="AO2194">
        <v>240</v>
      </c>
      <c r="AP2194">
        <v>8</v>
      </c>
      <c r="AQ2194">
        <v>0</v>
      </c>
      <c r="AR2194">
        <v>0</v>
      </c>
      <c r="AS2194" t="s">
        <v>58</v>
      </c>
      <c r="AT2194">
        <v>1</v>
      </c>
      <c r="AU2194" t="s">
        <v>63</v>
      </c>
      <c r="AV2194" t="s">
        <v>64</v>
      </c>
      <c r="AW2194">
        <v>1</v>
      </c>
      <c r="AX2194">
        <v>3</v>
      </c>
      <c r="AY2194">
        <v>0</v>
      </c>
      <c r="AZ2194">
        <v>0</v>
      </c>
      <c r="BA2194">
        <v>100</v>
      </c>
      <c r="BB2194">
        <v>100</v>
      </c>
      <c r="BC2194">
        <v>100</v>
      </c>
      <c r="BD2194">
        <v>100</v>
      </c>
      <c r="BE2194">
        <v>1</v>
      </c>
      <c r="BF2194">
        <v>15000</v>
      </c>
      <c r="BG2194">
        <v>1000</v>
      </c>
      <c r="BH2194" s="6">
        <f>Grandview_Inventory[[#This Row],[land_extract]]*Lookups!$B$3</f>
        <v>46638.847281240982</v>
      </c>
      <c r="BI2194" s="6">
        <f>IF(Grandview_Inventory[[#This Row],[bldg_style]]="",0,Lookups!$B$2)</f>
        <v>155833.95000000001</v>
      </c>
      <c r="BJ2194" s="6">
        <f>_xlfn.IFNA(VLOOKUP(Grandview_Inventory[[#This Row],[quality]],Lookups!$H$2:$J$14,3,FALSE),0)</f>
        <v>2251</v>
      </c>
      <c r="BK2194" s="6">
        <f>_xlfn.IFNA(VLOOKUP(Grandview_Inventory[[#This Row],[condition]],Lookups!$H$17:$J$24,3,FALSE),0)</f>
        <v>22342</v>
      </c>
      <c r="BL2194" s="6">
        <f>Grandview_Inventory[[#This Row],[Eff_Age]]*Lookups!$B$14</f>
        <v>-4065.8321999999998</v>
      </c>
      <c r="BM2194" s="6">
        <f>Grandview_Inventory[[#This Row],[living_area]]*Lookups!$B$15</f>
        <v>69679.412800999999</v>
      </c>
      <c r="BN2194" s="6">
        <f>Grandview_Inventory[[#This Row],[Fin BSMT]]*Lookups!$B$16</f>
        <v>0</v>
      </c>
      <c r="BO2194" s="6">
        <f>(Grandview_Inventory[[#This Row],[att_gar]]+Grandview_Inventory[[#This Row],[bltin_gar]])*Lookups!$B$17</f>
        <v>42009.809760000004</v>
      </c>
      <c r="BP2194" s="6">
        <f>Grandview_Inventory[[#This Row],[Plumbing Fixtures]]*Lookups!$B$18</f>
        <v>16083.5344</v>
      </c>
      <c r="BQ2194" s="6">
        <f>Grandview_Inventory[[#This Row],[detatched_value]]*Lookups!$B$19</f>
        <v>0</v>
      </c>
      <c r="BR2194" s="6">
        <f>SUM(Grandview_Inventory[[#This Row],[Intercept]:[det_value]])*Grandview_Inventory[[#This Row],[res_pct]]</f>
        <v>304133.87476100004</v>
      </c>
      <c r="BS2194" s="6">
        <f>Grandview_Inventory[[#This Row],[land_value]]</f>
        <v>46638.847281240982</v>
      </c>
      <c r="BT2194" s="4">
        <f>_xlfn.IFNA(VLOOKUP(Grandview_Inventory[[#This Row],[quality]],Lookups!$A$26:$C$33,3,FALSE),1)</f>
        <v>0.98763855981004833</v>
      </c>
      <c r="BU2194" s="4">
        <f>_xlfn.IFNA(VLOOKUP(Grandview_Inventory[[#This Row],[condition]],Lookups!$A$37:$C$44,3,FALSE),1)</f>
        <v>0.97383723671140243</v>
      </c>
      <c r="BV2194" s="4">
        <f>IF(Grandview_Inventory[[#This Row],[bldg_style]]="",1,_xlfn.IFNA(VLOOKUP(Grandview_Inventory[[#This Row],[decade]],Lookups!$F$29:$H$43,3,FALSE),1))</f>
        <v>0.96737494181490646</v>
      </c>
      <c r="BW2194" s="4">
        <f>_xlfn.IFNA(VLOOKUP(Grandview_Inventory[[#This Row],[living_area_range]],Lookups!$F$47:$H$56,3,FALSE),1)</f>
        <v>0.96135087979789358</v>
      </c>
      <c r="BX2194" s="4">
        <f>AVERAGE(Grandview_Inventory[[#This Row],[qual_adj]:[size_adj]])</f>
        <v>0.97255040453356267</v>
      </c>
      <c r="BY2194" s="6">
        <f>IF(Grandview_Inventory[[#This Row],[pre_res]]&lt;0,0,Grandview_Inventory[[#This Row],[pre_res]]*Grandview_Inventory[[#This Row],[overall_adj]])</f>
        <v>295785.52293117048</v>
      </c>
      <c r="BZ2194" s="6">
        <f>(Grandview_Inventory[[#This Row],[sum_land]]-IF(Grandview_Inventory[[#This Row],[no_utilities]]=1,12000,0))/IF(Grandview_Inventory[[#This Row],[unbuildable]]=1,2,1)</f>
        <v>46638.847281240982</v>
      </c>
      <c r="CA219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194">
        <f>ROUND(Grandview_Inventory[[#This Row],[det_value]]*Lookups!$M$28,-2)</f>
        <v>0</v>
      </c>
      <c r="CC2194">
        <f>IF(ROUND(Grandview_Inventory[[#This Row],[adj_res]]*Lookups!$M$28,-2)&lt;Grandview_Inventory[[#This Row],[min_res]],Grandview_Inventory[[#This Row],[min_res]],ROUND(Grandview_Inventory[[#This Row],[adj_res]]*Lookups!$M$28,-2))</f>
        <v>281000</v>
      </c>
      <c r="CD2194">
        <f>Grandview_Inventory[[#This Row],[final_det]]+Grandview_Inventory[[#This Row],[final_res]]</f>
        <v>281000</v>
      </c>
      <c r="CE2194">
        <f>Grandview_Inventory[[#This Row],[final_land]]+Grandview_Inventory[[#This Row],[final_imp]]+Grandview_Inventory[[#This Row],[crop_value]]</f>
        <v>325300</v>
      </c>
      <c r="CG2194" t="str">
        <f t="shared" si="34"/>
        <v>update valuation set market_land =44300, market_bldg=281000, market_total =325300, market_mdno =401, market_date ='9/10/2023' where link_id = (select link_id from parcel where parcel_year = '2024' and parcel_id = '23092424469');</v>
      </c>
    </row>
    <row r="2195" spans="1:85" x14ac:dyDescent="0.25">
      <c r="A2195">
        <v>23092424470</v>
      </c>
      <c r="B2195">
        <v>0.25</v>
      </c>
      <c r="C2195">
        <v>10730</v>
      </c>
      <c r="D2195" t="s">
        <v>129</v>
      </c>
      <c r="E2195" t="s">
        <v>53</v>
      </c>
      <c r="F2195" t="s">
        <v>53</v>
      </c>
      <c r="G2195">
        <v>4</v>
      </c>
      <c r="H2195" t="s">
        <v>54</v>
      </c>
      <c r="I2195">
        <v>234200</v>
      </c>
      <c r="J2195">
        <v>40000</v>
      </c>
      <c r="K2195">
        <v>0.25</v>
      </c>
      <c r="L219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195">
        <v>0</v>
      </c>
      <c r="N2195">
        <v>0</v>
      </c>
      <c r="O2195">
        <v>0</v>
      </c>
      <c r="P2195">
        <v>13398.7528</v>
      </c>
      <c r="Q2195">
        <v>63903</v>
      </c>
      <c r="R2195">
        <f>(Grandview_Inventory[[#This Row],[ln_acres]]*Grandview_Inventory[[#This Row],[coeff]])+Grandview_Inventory[[#This Row],[const]]</f>
        <v>45328.38454732066</v>
      </c>
      <c r="S2195" t="s">
        <v>61</v>
      </c>
      <c r="T2195">
        <v>1</v>
      </c>
      <c r="U2195" t="s">
        <v>65</v>
      </c>
      <c r="V2195" t="s">
        <v>67</v>
      </c>
      <c r="W2195">
        <v>0</v>
      </c>
      <c r="X2195">
        <v>0</v>
      </c>
      <c r="Y2195">
        <v>18</v>
      </c>
      <c r="Z2195">
        <v>18</v>
      </c>
      <c r="AA2195">
        <v>20</v>
      </c>
      <c r="AB2195">
        <v>2000</v>
      </c>
      <c r="AC2195">
        <v>1734</v>
      </c>
      <c r="AD2195">
        <v>1350</v>
      </c>
      <c r="AE2195">
        <v>0</v>
      </c>
      <c r="AF2195">
        <v>384</v>
      </c>
      <c r="AG2195">
        <v>0</v>
      </c>
      <c r="AH2195">
        <v>0</v>
      </c>
      <c r="AI2195">
        <v>576</v>
      </c>
      <c r="AJ2195">
        <v>0</v>
      </c>
      <c r="AK2195">
        <v>0</v>
      </c>
      <c r="AL2195">
        <v>0</v>
      </c>
      <c r="AM2195">
        <v>100</v>
      </c>
      <c r="AN2195">
        <v>40</v>
      </c>
      <c r="AO2195">
        <v>0</v>
      </c>
      <c r="AP2195">
        <v>9</v>
      </c>
      <c r="AQ2195">
        <v>0</v>
      </c>
      <c r="AR2195">
        <v>0</v>
      </c>
      <c r="AS2195" t="s">
        <v>58</v>
      </c>
      <c r="AT2195">
        <v>1</v>
      </c>
      <c r="AU2195" t="s">
        <v>63</v>
      </c>
      <c r="AV2195" t="s">
        <v>64</v>
      </c>
      <c r="AW2195">
        <v>1</v>
      </c>
      <c r="AX2195">
        <v>4</v>
      </c>
      <c r="AY2195">
        <v>0</v>
      </c>
      <c r="AZ2195">
        <v>0</v>
      </c>
      <c r="BA2195">
        <v>100</v>
      </c>
      <c r="BB2195">
        <v>100</v>
      </c>
      <c r="BC2195">
        <v>100</v>
      </c>
      <c r="BD2195">
        <v>100</v>
      </c>
      <c r="BE2195">
        <v>1</v>
      </c>
      <c r="BF2195">
        <v>15000</v>
      </c>
      <c r="BG2195">
        <v>1000</v>
      </c>
      <c r="BH2195" s="6">
        <f>Grandview_Inventory[[#This Row],[land_extract]]*Lookups!$B$3</f>
        <v>52639.730588165206</v>
      </c>
      <c r="BI2195" s="6">
        <f>IF(Grandview_Inventory[[#This Row],[bldg_style]]="",0,Lookups!$B$2)</f>
        <v>155833.95000000001</v>
      </c>
      <c r="BJ2195" s="6">
        <f>_xlfn.IFNA(VLOOKUP(Grandview_Inventory[[#This Row],[quality]],Lookups!$H$2:$J$14,3,FALSE),0)</f>
        <v>2251</v>
      </c>
      <c r="BK2195" s="6">
        <f>_xlfn.IFNA(VLOOKUP(Grandview_Inventory[[#This Row],[condition]],Lookups!$H$17:$J$24,3,FALSE),0)</f>
        <v>22342</v>
      </c>
      <c r="BL2195" s="6">
        <f>Grandview_Inventory[[#This Row],[Eff_Age]]*Lookups!$B$14</f>
        <v>-4304.9987999999994</v>
      </c>
      <c r="BM2195" s="6">
        <f>Grandview_Inventory[[#This Row],[living_area]]*Lookups!$B$15</f>
        <v>108168.39910200001</v>
      </c>
      <c r="BN2195" s="6">
        <f>Grandview_Inventory[[#This Row],[Fin BSMT]]*Lookups!$B$16</f>
        <v>0</v>
      </c>
      <c r="BO2195" s="6">
        <f>(Grandview_Inventory[[#This Row],[att_gar]]+Grandview_Inventory[[#This Row],[bltin_gar]])*Lookups!$B$17</f>
        <v>50411.771712000002</v>
      </c>
      <c r="BP2195" s="6">
        <f>Grandview_Inventory[[#This Row],[Plumbing Fixtures]]*Lookups!$B$18</f>
        <v>18093.976200000001</v>
      </c>
      <c r="BQ2195" s="6">
        <f>Grandview_Inventory[[#This Row],[detatched_value]]*Lookups!$B$19</f>
        <v>0</v>
      </c>
      <c r="BR2195" s="6">
        <f>SUM(Grandview_Inventory[[#This Row],[Intercept]:[det_value]])*Grandview_Inventory[[#This Row],[res_pct]]</f>
        <v>352796.098214</v>
      </c>
      <c r="BS2195" s="6">
        <f>Grandview_Inventory[[#This Row],[land_value]]</f>
        <v>52639.730588165206</v>
      </c>
      <c r="BT2195" s="4">
        <f>_xlfn.IFNA(VLOOKUP(Grandview_Inventory[[#This Row],[quality]],Lookups!$A$26:$C$33,3,FALSE),1)</f>
        <v>0.98763855981004833</v>
      </c>
      <c r="BU2195" s="4">
        <f>_xlfn.IFNA(VLOOKUP(Grandview_Inventory[[#This Row],[condition]],Lookups!$A$37:$C$44,3,FALSE),1)</f>
        <v>0.97383723671140243</v>
      </c>
      <c r="BV2195" s="4">
        <f>IF(Grandview_Inventory[[#This Row],[bldg_style]]="",1,_xlfn.IFNA(VLOOKUP(Grandview_Inventory[[#This Row],[decade]],Lookups!$F$29:$H$43,3,FALSE),1))</f>
        <v>0.96737494181490646</v>
      </c>
      <c r="BW2195" s="4">
        <f>_xlfn.IFNA(VLOOKUP(Grandview_Inventory[[#This Row],[living_area_range]],Lookups!$F$47:$H$56,3,FALSE),1)</f>
        <v>0.96120133463014379</v>
      </c>
      <c r="BX2195" s="4">
        <f>AVERAGE(Grandview_Inventory[[#This Row],[qual_adj]:[size_adj]])</f>
        <v>0.97251301824162528</v>
      </c>
      <c r="BY2195" s="6">
        <f>IF(Grandview_Inventory[[#This Row],[pre_res]]&lt;0,0,Grandview_Inventory[[#This Row],[pre_res]]*Grandview_Inventory[[#This Row],[overall_adj]])</f>
        <v>343098.79829796602</v>
      </c>
      <c r="BZ2195" s="6">
        <f>(Grandview_Inventory[[#This Row],[sum_land]]-IF(Grandview_Inventory[[#This Row],[no_utilities]]=1,12000,0))/IF(Grandview_Inventory[[#This Row],[unbuildable]]=1,2,1)</f>
        <v>52639.730588165206</v>
      </c>
      <c r="CA219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195">
        <f>ROUND(Grandview_Inventory[[#This Row],[det_value]]*Lookups!$M$28,-2)</f>
        <v>0</v>
      </c>
      <c r="CC2195">
        <f>IF(ROUND(Grandview_Inventory[[#This Row],[adj_res]]*Lookups!$M$28,-2)&lt;Grandview_Inventory[[#This Row],[min_res]],Grandview_Inventory[[#This Row],[min_res]],ROUND(Grandview_Inventory[[#This Row],[adj_res]]*Lookups!$M$28,-2))</f>
        <v>325900</v>
      </c>
      <c r="CD2195">
        <f>Grandview_Inventory[[#This Row],[final_det]]+Grandview_Inventory[[#This Row],[final_res]]</f>
        <v>325900</v>
      </c>
      <c r="CE2195">
        <f>Grandview_Inventory[[#This Row],[final_land]]+Grandview_Inventory[[#This Row],[final_imp]]+Grandview_Inventory[[#This Row],[crop_value]]</f>
        <v>375900</v>
      </c>
      <c r="CG2195" t="str">
        <f t="shared" si="34"/>
        <v>update valuation set market_land =50000, market_bldg=325900, market_total =375900, market_mdno =401, market_date ='9/10/2023' where link_id = (select link_id from parcel where parcel_year = '2024' and parcel_id = '23092424470');</v>
      </c>
    </row>
    <row r="2196" spans="1:85" x14ac:dyDescent="0.25">
      <c r="A2196">
        <v>23092424471</v>
      </c>
      <c r="B2196">
        <v>0.2</v>
      </c>
      <c r="C2196">
        <v>8726</v>
      </c>
      <c r="D2196" t="s">
        <v>129</v>
      </c>
      <c r="E2196" t="s">
        <v>53</v>
      </c>
      <c r="F2196" t="s">
        <v>53</v>
      </c>
      <c r="G2196">
        <v>4</v>
      </c>
      <c r="H2196" t="s">
        <v>54</v>
      </c>
      <c r="I2196">
        <v>225600</v>
      </c>
      <c r="J2196">
        <v>39300</v>
      </c>
      <c r="K2196">
        <v>0.2</v>
      </c>
      <c r="L219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196">
        <v>0</v>
      </c>
      <c r="N2196">
        <v>0</v>
      </c>
      <c r="O2196">
        <v>0</v>
      </c>
      <c r="P2196">
        <v>13398.7528</v>
      </c>
      <c r="Q2196">
        <v>63903</v>
      </c>
      <c r="R2196">
        <f>(Grandview_Inventory[[#This Row],[ln_acres]]*Grandview_Inventory[[#This Row],[coeff]])+Grandview_Inventory[[#This Row],[const]]</f>
        <v>42338.539264347448</v>
      </c>
      <c r="S2196" t="s">
        <v>61</v>
      </c>
      <c r="T2196">
        <v>1</v>
      </c>
      <c r="U2196" t="s">
        <v>65</v>
      </c>
      <c r="V2196" t="s">
        <v>67</v>
      </c>
      <c r="W2196">
        <v>0</v>
      </c>
      <c r="X2196">
        <v>0</v>
      </c>
      <c r="Y2196">
        <v>17</v>
      </c>
      <c r="Z2196">
        <v>17</v>
      </c>
      <c r="AA2196">
        <v>20</v>
      </c>
      <c r="AB2196">
        <v>1500</v>
      </c>
      <c r="AC2196">
        <v>1288</v>
      </c>
      <c r="AD2196">
        <v>1288</v>
      </c>
      <c r="AE2196">
        <v>0</v>
      </c>
      <c r="AF2196">
        <v>0</v>
      </c>
      <c r="AG2196">
        <v>0</v>
      </c>
      <c r="AH2196">
        <v>0</v>
      </c>
      <c r="AI2196">
        <v>520</v>
      </c>
      <c r="AJ2196">
        <v>0</v>
      </c>
      <c r="AK2196">
        <v>0</v>
      </c>
      <c r="AL2196">
        <v>0</v>
      </c>
      <c r="AM2196">
        <v>400</v>
      </c>
      <c r="AN2196">
        <v>48</v>
      </c>
      <c r="AO2196">
        <v>0</v>
      </c>
      <c r="AP2196">
        <v>9</v>
      </c>
      <c r="AQ2196">
        <v>0</v>
      </c>
      <c r="AR2196">
        <v>0</v>
      </c>
      <c r="AS2196" t="s">
        <v>58</v>
      </c>
      <c r="AT2196">
        <v>1</v>
      </c>
      <c r="AU2196" t="s">
        <v>63</v>
      </c>
      <c r="AV2196" t="s">
        <v>64</v>
      </c>
      <c r="AW2196">
        <v>1</v>
      </c>
      <c r="AX2196">
        <v>3</v>
      </c>
      <c r="AY2196">
        <v>0</v>
      </c>
      <c r="AZ2196">
        <v>0</v>
      </c>
      <c r="BA2196">
        <v>100</v>
      </c>
      <c r="BB2196">
        <v>100</v>
      </c>
      <c r="BC2196">
        <v>100</v>
      </c>
      <c r="BD2196">
        <v>100</v>
      </c>
      <c r="BE2196">
        <v>1</v>
      </c>
      <c r="BF2196">
        <v>15000</v>
      </c>
      <c r="BG2196">
        <v>1000</v>
      </c>
      <c r="BH2196" s="6">
        <f>Grandview_Inventory[[#This Row],[land_extract]]*Lookups!$B$3</f>
        <v>49167.631333630678</v>
      </c>
      <c r="BI2196" s="6">
        <f>IF(Grandview_Inventory[[#This Row],[bldg_style]]="",0,Lookups!$B$2)</f>
        <v>155833.95000000001</v>
      </c>
      <c r="BJ2196" s="6">
        <f>_xlfn.IFNA(VLOOKUP(Grandview_Inventory[[#This Row],[quality]],Lookups!$H$2:$J$14,3,FALSE),0)</f>
        <v>2251</v>
      </c>
      <c r="BK2196" s="6">
        <f>_xlfn.IFNA(VLOOKUP(Grandview_Inventory[[#This Row],[condition]],Lookups!$H$17:$J$24,3,FALSE),0)</f>
        <v>22342</v>
      </c>
      <c r="BL2196" s="6">
        <f>Grandview_Inventory[[#This Row],[Eff_Age]]*Lookups!$B$14</f>
        <v>-4065.8321999999998</v>
      </c>
      <c r="BM2196" s="6">
        <f>Grandview_Inventory[[#This Row],[living_area]]*Lookups!$B$15</f>
        <v>80346.538664000007</v>
      </c>
      <c r="BN2196" s="6">
        <f>Grandview_Inventory[[#This Row],[Fin BSMT]]*Lookups!$B$16</f>
        <v>0</v>
      </c>
      <c r="BO2196" s="6">
        <f>(Grandview_Inventory[[#This Row],[att_gar]]+Grandview_Inventory[[#This Row],[bltin_gar]])*Lookups!$B$17</f>
        <v>45510.627240000002</v>
      </c>
      <c r="BP2196" s="6">
        <f>Grandview_Inventory[[#This Row],[Plumbing Fixtures]]*Lookups!$B$18</f>
        <v>18093.976200000001</v>
      </c>
      <c r="BQ2196" s="6">
        <f>Grandview_Inventory[[#This Row],[detatched_value]]*Lookups!$B$19</f>
        <v>0</v>
      </c>
      <c r="BR2196" s="6">
        <f>SUM(Grandview_Inventory[[#This Row],[Intercept]:[det_value]])*Grandview_Inventory[[#This Row],[res_pct]]</f>
        <v>320312.25990399998</v>
      </c>
      <c r="BS2196" s="6">
        <f>Grandview_Inventory[[#This Row],[land_value]]</f>
        <v>49167.631333630678</v>
      </c>
      <c r="BT2196" s="4">
        <f>_xlfn.IFNA(VLOOKUP(Grandview_Inventory[[#This Row],[quality]],Lookups!$A$26:$C$33,3,FALSE),1)</f>
        <v>0.98763855981004833</v>
      </c>
      <c r="BU2196" s="4">
        <f>_xlfn.IFNA(VLOOKUP(Grandview_Inventory[[#This Row],[condition]],Lookups!$A$37:$C$44,3,FALSE),1)</f>
        <v>0.97383723671140243</v>
      </c>
      <c r="BV2196" s="4">
        <f>IF(Grandview_Inventory[[#This Row],[bldg_style]]="",1,_xlfn.IFNA(VLOOKUP(Grandview_Inventory[[#This Row],[decade]],Lookups!$F$29:$H$43,3,FALSE),1))</f>
        <v>0.96737494181490646</v>
      </c>
      <c r="BW2196" s="4">
        <f>_xlfn.IFNA(VLOOKUP(Grandview_Inventory[[#This Row],[living_area_range]],Lookups!$F$47:$H$56,3,FALSE),1)</f>
        <v>0.96135087979789358</v>
      </c>
      <c r="BX2196" s="4">
        <f>AVERAGE(Grandview_Inventory[[#This Row],[qual_adj]:[size_adj]])</f>
        <v>0.97255040453356267</v>
      </c>
      <c r="BY2196" s="6">
        <f>IF(Grandview_Inventory[[#This Row],[pre_res]]&lt;0,0,Grandview_Inventory[[#This Row],[pre_res]]*Grandview_Inventory[[#This Row],[overall_adj]])</f>
        <v>311519.81794669485</v>
      </c>
      <c r="BZ2196" s="6">
        <f>(Grandview_Inventory[[#This Row],[sum_land]]-IF(Grandview_Inventory[[#This Row],[no_utilities]]=1,12000,0))/IF(Grandview_Inventory[[#This Row],[unbuildable]]=1,2,1)</f>
        <v>49167.631333630678</v>
      </c>
      <c r="CA219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196">
        <f>ROUND(Grandview_Inventory[[#This Row],[det_value]]*Lookups!$M$28,-2)</f>
        <v>0</v>
      </c>
      <c r="CC2196">
        <f>IF(ROUND(Grandview_Inventory[[#This Row],[adj_res]]*Lookups!$M$28,-2)&lt;Grandview_Inventory[[#This Row],[min_res]],Grandview_Inventory[[#This Row],[min_res]],ROUND(Grandview_Inventory[[#This Row],[adj_res]]*Lookups!$M$28,-2))</f>
        <v>295900</v>
      </c>
      <c r="CD2196">
        <f>Grandview_Inventory[[#This Row],[final_det]]+Grandview_Inventory[[#This Row],[final_res]]</f>
        <v>295900</v>
      </c>
      <c r="CE2196">
        <f>Grandview_Inventory[[#This Row],[final_land]]+Grandview_Inventory[[#This Row],[final_imp]]+Grandview_Inventory[[#This Row],[crop_value]]</f>
        <v>342600</v>
      </c>
      <c r="CG2196" t="str">
        <f t="shared" si="34"/>
        <v>update valuation set market_land =46700, market_bldg=295900, market_total =342600, market_mdno =401, market_date ='9/10/2023' where link_id = (select link_id from parcel where parcel_year = '2024' and parcel_id = '23092424471');</v>
      </c>
    </row>
    <row r="2197" spans="1:85" x14ac:dyDescent="0.25">
      <c r="A2197">
        <v>23092424472</v>
      </c>
      <c r="B2197">
        <v>0.21</v>
      </c>
      <c r="C2197">
        <v>9240</v>
      </c>
      <c r="D2197" t="s">
        <v>129</v>
      </c>
      <c r="E2197" t="s">
        <v>53</v>
      </c>
      <c r="F2197" t="s">
        <v>53</v>
      </c>
      <c r="G2197">
        <v>4</v>
      </c>
      <c r="H2197" t="s">
        <v>54</v>
      </c>
      <c r="I2197">
        <v>210400</v>
      </c>
      <c r="J2197">
        <v>39300</v>
      </c>
      <c r="K2197">
        <v>0.21</v>
      </c>
      <c r="L219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197">
        <v>0</v>
      </c>
      <c r="N2197">
        <v>0</v>
      </c>
      <c r="O2197">
        <v>0</v>
      </c>
      <c r="P2197">
        <v>13398.7528</v>
      </c>
      <c r="Q2197">
        <v>63903</v>
      </c>
      <c r="R2197">
        <f>(Grandview_Inventory[[#This Row],[ln_acres]]*Grandview_Inventory[[#This Row],[coeff]])+Grandview_Inventory[[#This Row],[const]]</f>
        <v>42992.266613125081</v>
      </c>
      <c r="S2197" t="s">
        <v>61</v>
      </c>
      <c r="T2197">
        <v>1</v>
      </c>
      <c r="U2197" t="s">
        <v>62</v>
      </c>
      <c r="V2197" t="s">
        <v>67</v>
      </c>
      <c r="W2197">
        <v>0</v>
      </c>
      <c r="X2197">
        <v>0</v>
      </c>
      <c r="Y2197">
        <v>17</v>
      </c>
      <c r="Z2197">
        <v>17</v>
      </c>
      <c r="AA2197">
        <v>20</v>
      </c>
      <c r="AB2197">
        <v>1500</v>
      </c>
      <c r="AC2197">
        <v>1075</v>
      </c>
      <c r="AD2197">
        <v>1075</v>
      </c>
      <c r="AE2197">
        <v>0</v>
      </c>
      <c r="AF2197">
        <v>0</v>
      </c>
      <c r="AG2197">
        <v>0</v>
      </c>
      <c r="AH2197">
        <v>0</v>
      </c>
      <c r="AI2197">
        <v>520</v>
      </c>
      <c r="AJ2197">
        <v>0</v>
      </c>
      <c r="AK2197">
        <v>0</v>
      </c>
      <c r="AL2197">
        <v>0</v>
      </c>
      <c r="AM2197">
        <v>200</v>
      </c>
      <c r="AN2197">
        <v>44</v>
      </c>
      <c r="AO2197">
        <v>0</v>
      </c>
      <c r="AP2197">
        <v>8</v>
      </c>
      <c r="AQ2197">
        <v>0</v>
      </c>
      <c r="AR2197">
        <v>0</v>
      </c>
      <c r="AS2197" t="s">
        <v>58</v>
      </c>
      <c r="AT2197">
        <v>1</v>
      </c>
      <c r="AU2197" t="s">
        <v>63</v>
      </c>
      <c r="AV2197" t="s">
        <v>64</v>
      </c>
      <c r="AW2197">
        <v>1</v>
      </c>
      <c r="AX2197">
        <v>3</v>
      </c>
      <c r="AY2197">
        <v>0</v>
      </c>
      <c r="AZ2197">
        <v>0</v>
      </c>
      <c r="BA2197">
        <v>100</v>
      </c>
      <c r="BB2197">
        <v>100</v>
      </c>
      <c r="BC2197">
        <v>100</v>
      </c>
      <c r="BD2197">
        <v>100</v>
      </c>
      <c r="BE2197">
        <v>1</v>
      </c>
      <c r="BF2197">
        <v>15000</v>
      </c>
      <c r="BG2197">
        <v>1000</v>
      </c>
      <c r="BH2197" s="6">
        <f>Grandview_Inventory[[#This Row],[land_extract]]*Lookups!$B$3</f>
        <v>49926.8031387023</v>
      </c>
      <c r="BI2197" s="6">
        <f>IF(Grandview_Inventory[[#This Row],[bldg_style]]="",0,Lookups!$B$2)</f>
        <v>155833.95000000001</v>
      </c>
      <c r="BJ2197" s="6">
        <f>_xlfn.IFNA(VLOOKUP(Grandview_Inventory[[#This Row],[quality]],Lookups!$H$2:$J$14,3,FALSE),0)</f>
        <v>9808</v>
      </c>
      <c r="BK2197" s="6">
        <f>_xlfn.IFNA(VLOOKUP(Grandview_Inventory[[#This Row],[condition]],Lookups!$H$17:$J$24,3,FALSE),0)</f>
        <v>22342</v>
      </c>
      <c r="BL2197" s="6">
        <f>Grandview_Inventory[[#This Row],[Eff_Age]]*Lookups!$B$14</f>
        <v>-4065.8321999999998</v>
      </c>
      <c r="BM2197" s="6">
        <f>Grandview_Inventory[[#This Row],[living_area]]*Lookups!$B$15</f>
        <v>67059.416975</v>
      </c>
      <c r="BN2197" s="6">
        <f>Grandview_Inventory[[#This Row],[Fin BSMT]]*Lookups!$B$16</f>
        <v>0</v>
      </c>
      <c r="BO2197" s="6">
        <f>(Grandview_Inventory[[#This Row],[att_gar]]+Grandview_Inventory[[#This Row],[bltin_gar]])*Lookups!$B$17</f>
        <v>45510.627240000002</v>
      </c>
      <c r="BP2197" s="6">
        <f>Grandview_Inventory[[#This Row],[Plumbing Fixtures]]*Lookups!$B$18</f>
        <v>16083.5344</v>
      </c>
      <c r="BQ2197" s="6">
        <f>Grandview_Inventory[[#This Row],[detatched_value]]*Lookups!$B$19</f>
        <v>0</v>
      </c>
      <c r="BR2197" s="6">
        <f>SUM(Grandview_Inventory[[#This Row],[Intercept]:[det_value]])*Grandview_Inventory[[#This Row],[res_pct]]</f>
        <v>312571.69641500001</v>
      </c>
      <c r="BS2197" s="6">
        <f>Grandview_Inventory[[#This Row],[land_value]]</f>
        <v>49926.8031387023</v>
      </c>
      <c r="BT2197" s="4">
        <f>_xlfn.IFNA(VLOOKUP(Grandview_Inventory[[#This Row],[quality]],Lookups!$A$26:$C$33,3,FALSE),1)</f>
        <v>0.94295468617355149</v>
      </c>
      <c r="BU2197" s="4">
        <f>_xlfn.IFNA(VLOOKUP(Grandview_Inventory[[#This Row],[condition]],Lookups!$A$37:$C$44,3,FALSE),1)</f>
        <v>0.97383723671140243</v>
      </c>
      <c r="BV2197" s="4">
        <f>IF(Grandview_Inventory[[#This Row],[bldg_style]]="",1,_xlfn.IFNA(VLOOKUP(Grandview_Inventory[[#This Row],[decade]],Lookups!$F$29:$H$43,3,FALSE),1))</f>
        <v>0.96737494181490646</v>
      </c>
      <c r="BW2197" s="4">
        <f>_xlfn.IFNA(VLOOKUP(Grandview_Inventory[[#This Row],[living_area_range]],Lookups!$F$47:$H$56,3,FALSE),1)</f>
        <v>0.96135087979789358</v>
      </c>
      <c r="BX2197" s="4">
        <f>AVERAGE(Grandview_Inventory[[#This Row],[qual_adj]:[size_adj]])</f>
        <v>0.96137943612443855</v>
      </c>
      <c r="BY2197" s="6">
        <f>IF(Grandview_Inventory[[#This Row],[pre_res]]&lt;0,0,Grandview_Inventory[[#This Row],[pre_res]]*Grandview_Inventory[[#This Row],[overall_adj]])</f>
        <v>300500.00124791189</v>
      </c>
      <c r="BZ2197" s="6">
        <f>(Grandview_Inventory[[#This Row],[sum_land]]-IF(Grandview_Inventory[[#This Row],[no_utilities]]=1,12000,0))/IF(Grandview_Inventory[[#This Row],[unbuildable]]=1,2,1)</f>
        <v>49926.8031387023</v>
      </c>
      <c r="CA219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197">
        <f>ROUND(Grandview_Inventory[[#This Row],[det_value]]*Lookups!$M$28,-2)</f>
        <v>0</v>
      </c>
      <c r="CC2197">
        <f>IF(ROUND(Grandview_Inventory[[#This Row],[adj_res]]*Lookups!$M$28,-2)&lt;Grandview_Inventory[[#This Row],[min_res]],Grandview_Inventory[[#This Row],[min_res]],ROUND(Grandview_Inventory[[#This Row],[adj_res]]*Lookups!$M$28,-2))</f>
        <v>285500</v>
      </c>
      <c r="CD2197">
        <f>Grandview_Inventory[[#This Row],[final_det]]+Grandview_Inventory[[#This Row],[final_res]]</f>
        <v>285500</v>
      </c>
      <c r="CE2197">
        <f>Grandview_Inventory[[#This Row],[final_land]]+Grandview_Inventory[[#This Row],[final_imp]]+Grandview_Inventory[[#This Row],[crop_value]]</f>
        <v>332900</v>
      </c>
      <c r="CG2197" t="str">
        <f t="shared" si="34"/>
        <v>update valuation set market_land =47400, market_bldg=285500, market_total =332900, market_mdno =401, market_date ='9/10/2023' where link_id = (select link_id from parcel where parcel_year = '2024' and parcel_id = '23092424472');</v>
      </c>
    </row>
    <row r="2198" spans="1:85" x14ac:dyDescent="0.25">
      <c r="A2198">
        <v>23092424473</v>
      </c>
      <c r="B2198">
        <v>0.19</v>
      </c>
      <c r="C2198">
        <v>8434</v>
      </c>
      <c r="D2198" t="s">
        <v>129</v>
      </c>
      <c r="E2198" t="s">
        <v>53</v>
      </c>
      <c r="F2198" t="s">
        <v>53</v>
      </c>
      <c r="G2198">
        <v>4</v>
      </c>
      <c r="H2198" t="s">
        <v>54</v>
      </c>
      <c r="I2198">
        <v>211900</v>
      </c>
      <c r="J2198">
        <v>43500</v>
      </c>
      <c r="K2198">
        <v>0.19</v>
      </c>
      <c r="L219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98">
        <v>0</v>
      </c>
      <c r="N2198">
        <v>0</v>
      </c>
      <c r="O2198">
        <v>0</v>
      </c>
      <c r="P2198">
        <v>13398.7528</v>
      </c>
      <c r="Q2198">
        <v>63903</v>
      </c>
      <c r="R2198">
        <f>(Grandview_Inventory[[#This Row],[ln_acres]]*Grandview_Inventory[[#This Row],[coeff]])+Grandview_Inventory[[#This Row],[const]]</f>
        <v>41651.273092551026</v>
      </c>
      <c r="S2198" t="s">
        <v>61</v>
      </c>
      <c r="T2198">
        <v>1</v>
      </c>
      <c r="U2198" t="s">
        <v>65</v>
      </c>
      <c r="V2198" t="s">
        <v>67</v>
      </c>
      <c r="W2198">
        <v>0</v>
      </c>
      <c r="X2198">
        <v>0</v>
      </c>
      <c r="Y2198">
        <v>18</v>
      </c>
      <c r="Z2198">
        <v>18</v>
      </c>
      <c r="AA2198">
        <v>20</v>
      </c>
      <c r="AB2198">
        <v>1500</v>
      </c>
      <c r="AC2198">
        <v>1117</v>
      </c>
      <c r="AD2198">
        <v>1117</v>
      </c>
      <c r="AE2198">
        <v>0</v>
      </c>
      <c r="AF2198">
        <v>0</v>
      </c>
      <c r="AG2198">
        <v>0</v>
      </c>
      <c r="AH2198">
        <v>0</v>
      </c>
      <c r="AI2198">
        <v>480</v>
      </c>
      <c r="AJ2198">
        <v>0</v>
      </c>
      <c r="AK2198">
        <v>0</v>
      </c>
      <c r="AL2198">
        <v>0</v>
      </c>
      <c r="AM2198">
        <v>100</v>
      </c>
      <c r="AN2198">
        <v>40</v>
      </c>
      <c r="AO2198">
        <v>0</v>
      </c>
      <c r="AP2198">
        <v>8</v>
      </c>
      <c r="AQ2198">
        <v>0</v>
      </c>
      <c r="AR2198">
        <v>0</v>
      </c>
      <c r="AS2198" t="s">
        <v>58</v>
      </c>
      <c r="AT2198">
        <v>1</v>
      </c>
      <c r="AU2198" t="s">
        <v>63</v>
      </c>
      <c r="AV2198" t="s">
        <v>64</v>
      </c>
      <c r="AW2198">
        <v>1</v>
      </c>
      <c r="AX2198">
        <v>3</v>
      </c>
      <c r="AY2198">
        <v>0</v>
      </c>
      <c r="AZ2198">
        <v>0</v>
      </c>
      <c r="BA2198">
        <v>100</v>
      </c>
      <c r="BB2198">
        <v>100</v>
      </c>
      <c r="BC2198">
        <v>100</v>
      </c>
      <c r="BD2198">
        <v>100</v>
      </c>
      <c r="BE2198">
        <v>1</v>
      </c>
      <c r="BF2198">
        <v>15000</v>
      </c>
      <c r="BG2198">
        <v>1000</v>
      </c>
      <c r="BH2198" s="6">
        <f>Grandview_Inventory[[#This Row],[land_extract]]*Lookups!$B$3</f>
        <v>48369.510983942157</v>
      </c>
      <c r="BI2198" s="6">
        <f>IF(Grandview_Inventory[[#This Row],[bldg_style]]="",0,Lookups!$B$2)</f>
        <v>155833.95000000001</v>
      </c>
      <c r="BJ2198" s="6">
        <f>_xlfn.IFNA(VLOOKUP(Grandview_Inventory[[#This Row],[quality]],Lookups!$H$2:$J$14,3,FALSE),0)</f>
        <v>2251</v>
      </c>
      <c r="BK2198" s="6">
        <f>_xlfn.IFNA(VLOOKUP(Grandview_Inventory[[#This Row],[condition]],Lookups!$H$17:$J$24,3,FALSE),0)</f>
        <v>22342</v>
      </c>
      <c r="BL2198" s="6">
        <f>Grandview_Inventory[[#This Row],[Eff_Age]]*Lookups!$B$14</f>
        <v>-4304.9987999999994</v>
      </c>
      <c r="BM2198" s="6">
        <f>Grandview_Inventory[[#This Row],[living_area]]*Lookups!$B$15</f>
        <v>69679.412800999999</v>
      </c>
      <c r="BN2198" s="6">
        <f>Grandview_Inventory[[#This Row],[Fin BSMT]]*Lookups!$B$16</f>
        <v>0</v>
      </c>
      <c r="BO2198" s="6">
        <f>(Grandview_Inventory[[#This Row],[att_gar]]+Grandview_Inventory[[#This Row],[bltin_gar]])*Lookups!$B$17</f>
        <v>42009.809760000004</v>
      </c>
      <c r="BP2198" s="6">
        <f>Grandview_Inventory[[#This Row],[Plumbing Fixtures]]*Lookups!$B$18</f>
        <v>16083.5344</v>
      </c>
      <c r="BQ2198" s="6">
        <f>Grandview_Inventory[[#This Row],[detatched_value]]*Lookups!$B$19</f>
        <v>0</v>
      </c>
      <c r="BR2198" s="6">
        <f>SUM(Grandview_Inventory[[#This Row],[Intercept]:[det_value]])*Grandview_Inventory[[#This Row],[res_pct]]</f>
        <v>303894.70816100005</v>
      </c>
      <c r="BS2198" s="6">
        <f>Grandview_Inventory[[#This Row],[land_value]]</f>
        <v>48369.510983942157</v>
      </c>
      <c r="BT2198" s="4">
        <f>_xlfn.IFNA(VLOOKUP(Grandview_Inventory[[#This Row],[quality]],Lookups!$A$26:$C$33,3,FALSE),1)</f>
        <v>0.98763855981004833</v>
      </c>
      <c r="BU2198" s="4">
        <f>_xlfn.IFNA(VLOOKUP(Grandview_Inventory[[#This Row],[condition]],Lookups!$A$37:$C$44,3,FALSE),1)</f>
        <v>0.97383723671140243</v>
      </c>
      <c r="BV2198" s="4">
        <f>IF(Grandview_Inventory[[#This Row],[bldg_style]]="",1,_xlfn.IFNA(VLOOKUP(Grandview_Inventory[[#This Row],[decade]],Lookups!$F$29:$H$43,3,FALSE),1))</f>
        <v>0.96737494181490646</v>
      </c>
      <c r="BW2198" s="4">
        <f>_xlfn.IFNA(VLOOKUP(Grandview_Inventory[[#This Row],[living_area_range]],Lookups!$F$47:$H$56,3,FALSE),1)</f>
        <v>0.96135087979789358</v>
      </c>
      <c r="BX2198" s="4">
        <f>AVERAGE(Grandview_Inventory[[#This Row],[qual_adj]:[size_adj]])</f>
        <v>0.97255040453356267</v>
      </c>
      <c r="BY2198" s="6">
        <f>IF(Grandview_Inventory[[#This Row],[pre_res]]&lt;0,0,Grandview_Inventory[[#This Row],[pre_res]]*Grandview_Inventory[[#This Row],[overall_adj]])</f>
        <v>295552.92135758954</v>
      </c>
      <c r="BZ2198" s="6">
        <f>(Grandview_Inventory[[#This Row],[sum_land]]-IF(Grandview_Inventory[[#This Row],[no_utilities]]=1,12000,0))/IF(Grandview_Inventory[[#This Row],[unbuildable]]=1,2,1)</f>
        <v>48369.510983942157</v>
      </c>
      <c r="CA219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98">
        <f>ROUND(Grandview_Inventory[[#This Row],[det_value]]*Lookups!$M$28,-2)</f>
        <v>0</v>
      </c>
      <c r="CC2198">
        <f>IF(ROUND(Grandview_Inventory[[#This Row],[adj_res]]*Lookups!$M$28,-2)&lt;Grandview_Inventory[[#This Row],[min_res]],Grandview_Inventory[[#This Row],[min_res]],ROUND(Grandview_Inventory[[#This Row],[adj_res]]*Lookups!$M$28,-2))</f>
        <v>280800</v>
      </c>
      <c r="CD2198">
        <f>Grandview_Inventory[[#This Row],[final_det]]+Grandview_Inventory[[#This Row],[final_res]]</f>
        <v>280800</v>
      </c>
      <c r="CE2198">
        <f>Grandview_Inventory[[#This Row],[final_land]]+Grandview_Inventory[[#This Row],[final_imp]]+Grandview_Inventory[[#This Row],[crop_value]]</f>
        <v>326800</v>
      </c>
      <c r="CG2198" t="str">
        <f t="shared" si="34"/>
        <v>update valuation set market_land =46000, market_bldg=280800, market_total =326800, market_mdno =401, market_date ='9/10/2023' where link_id = (select link_id from parcel where parcel_year = '2024' and parcel_id = '23092424473');</v>
      </c>
    </row>
    <row r="2199" spans="1:85" x14ac:dyDescent="0.25">
      <c r="A2199">
        <v>23092424474</v>
      </c>
      <c r="B2199">
        <v>0.19</v>
      </c>
      <c r="C2199">
        <v>8162</v>
      </c>
      <c r="D2199" t="s">
        <v>129</v>
      </c>
      <c r="E2199" t="s">
        <v>53</v>
      </c>
      <c r="F2199" t="s">
        <v>53</v>
      </c>
      <c r="G2199">
        <v>4</v>
      </c>
      <c r="H2199" t="s">
        <v>54</v>
      </c>
      <c r="I2199">
        <v>207300</v>
      </c>
      <c r="J2199">
        <v>39100</v>
      </c>
      <c r="K2199">
        <v>0.19</v>
      </c>
      <c r="L219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199">
        <v>0</v>
      </c>
      <c r="N2199">
        <v>0</v>
      </c>
      <c r="O2199">
        <v>0</v>
      </c>
      <c r="P2199">
        <v>13398.7528</v>
      </c>
      <c r="Q2199">
        <v>63903</v>
      </c>
      <c r="R2199">
        <f>(Grandview_Inventory[[#This Row],[ln_acres]]*Grandview_Inventory[[#This Row],[coeff]])+Grandview_Inventory[[#This Row],[const]]</f>
        <v>41651.273092551026</v>
      </c>
      <c r="S2199" t="s">
        <v>61</v>
      </c>
      <c r="T2199">
        <v>1</v>
      </c>
      <c r="U2199" t="s">
        <v>65</v>
      </c>
      <c r="V2199" t="s">
        <v>67</v>
      </c>
      <c r="W2199">
        <v>0</v>
      </c>
      <c r="X2199">
        <v>0</v>
      </c>
      <c r="Y2199">
        <v>18</v>
      </c>
      <c r="Z2199">
        <v>18</v>
      </c>
      <c r="AA2199">
        <v>20</v>
      </c>
      <c r="AB2199">
        <v>1000</v>
      </c>
      <c r="AC2199">
        <v>982</v>
      </c>
      <c r="AD2199">
        <v>982</v>
      </c>
      <c r="AE2199">
        <v>0</v>
      </c>
      <c r="AF2199">
        <v>0</v>
      </c>
      <c r="AG2199">
        <v>0</v>
      </c>
      <c r="AH2199">
        <v>0</v>
      </c>
      <c r="AI2199">
        <v>520</v>
      </c>
      <c r="AJ2199">
        <v>0</v>
      </c>
      <c r="AK2199">
        <v>0</v>
      </c>
      <c r="AL2199">
        <v>0</v>
      </c>
      <c r="AM2199">
        <v>144</v>
      </c>
      <c r="AN2199">
        <v>60</v>
      </c>
      <c r="AO2199">
        <v>0</v>
      </c>
      <c r="AP2199">
        <v>8</v>
      </c>
      <c r="AQ2199">
        <v>0</v>
      </c>
      <c r="AR2199">
        <v>0</v>
      </c>
      <c r="AS2199" t="s">
        <v>58</v>
      </c>
      <c r="AT2199">
        <v>1</v>
      </c>
      <c r="AU2199" t="s">
        <v>63</v>
      </c>
      <c r="AV2199" t="s">
        <v>64</v>
      </c>
      <c r="AW2199">
        <v>1</v>
      </c>
      <c r="AX2199">
        <v>3</v>
      </c>
      <c r="AY2199">
        <v>0</v>
      </c>
      <c r="AZ2199">
        <v>0</v>
      </c>
      <c r="BA2199">
        <v>100</v>
      </c>
      <c r="BB2199">
        <v>100</v>
      </c>
      <c r="BC2199">
        <v>100</v>
      </c>
      <c r="BD2199">
        <v>100</v>
      </c>
      <c r="BE2199">
        <v>1</v>
      </c>
      <c r="BF2199">
        <v>15000</v>
      </c>
      <c r="BG2199">
        <v>1000</v>
      </c>
      <c r="BH2199" s="6">
        <f>Grandview_Inventory[[#This Row],[land_extract]]*Lookups!$B$3</f>
        <v>48369.510983942157</v>
      </c>
      <c r="BI2199" s="6">
        <f>IF(Grandview_Inventory[[#This Row],[bldg_style]]="",0,Lookups!$B$2)</f>
        <v>155833.95000000001</v>
      </c>
      <c r="BJ2199" s="6">
        <f>_xlfn.IFNA(VLOOKUP(Grandview_Inventory[[#This Row],[quality]],Lookups!$H$2:$J$14,3,FALSE),0)</f>
        <v>2251</v>
      </c>
      <c r="BK2199" s="6">
        <f>_xlfn.IFNA(VLOOKUP(Grandview_Inventory[[#This Row],[condition]],Lookups!$H$17:$J$24,3,FALSE),0)</f>
        <v>22342</v>
      </c>
      <c r="BL2199" s="6">
        <f>Grandview_Inventory[[#This Row],[Eff_Age]]*Lookups!$B$14</f>
        <v>-4304.9987999999994</v>
      </c>
      <c r="BM2199" s="6">
        <f>Grandview_Inventory[[#This Row],[living_area]]*Lookups!$B$15</f>
        <v>61257.997646000003</v>
      </c>
      <c r="BN2199" s="6">
        <f>Grandview_Inventory[[#This Row],[Fin BSMT]]*Lookups!$B$16</f>
        <v>0</v>
      </c>
      <c r="BO2199" s="6">
        <f>(Grandview_Inventory[[#This Row],[att_gar]]+Grandview_Inventory[[#This Row],[bltin_gar]])*Lookups!$B$17</f>
        <v>45510.627240000002</v>
      </c>
      <c r="BP2199" s="6">
        <f>Grandview_Inventory[[#This Row],[Plumbing Fixtures]]*Lookups!$B$18</f>
        <v>16083.5344</v>
      </c>
      <c r="BQ2199" s="6">
        <f>Grandview_Inventory[[#This Row],[detatched_value]]*Lookups!$B$19</f>
        <v>0</v>
      </c>
      <c r="BR2199" s="6">
        <f>SUM(Grandview_Inventory[[#This Row],[Intercept]:[det_value]])*Grandview_Inventory[[#This Row],[res_pct]]</f>
        <v>298974.11048600002</v>
      </c>
      <c r="BS2199" s="6">
        <f>Grandview_Inventory[[#This Row],[land_value]]</f>
        <v>48369.510983942157</v>
      </c>
      <c r="BT2199" s="4">
        <f>_xlfn.IFNA(VLOOKUP(Grandview_Inventory[[#This Row],[quality]],Lookups!$A$26:$C$33,3,FALSE),1)</f>
        <v>0.98763855981004833</v>
      </c>
      <c r="BU2199" s="4">
        <f>_xlfn.IFNA(VLOOKUP(Grandview_Inventory[[#This Row],[condition]],Lookups!$A$37:$C$44,3,FALSE),1)</f>
        <v>0.97383723671140243</v>
      </c>
      <c r="BV2199" s="4">
        <f>IF(Grandview_Inventory[[#This Row],[bldg_style]]="",1,_xlfn.IFNA(VLOOKUP(Grandview_Inventory[[#This Row],[decade]],Lookups!$F$29:$H$43,3,FALSE),1))</f>
        <v>0.96737494181490646</v>
      </c>
      <c r="BW2199" s="4">
        <f>_xlfn.IFNA(VLOOKUP(Grandview_Inventory[[#This Row],[living_area_range]],Lookups!$F$47:$H$56,3,FALSE),1)</f>
        <v>0.94306777142782894</v>
      </c>
      <c r="BX2199" s="4">
        <f>AVERAGE(Grandview_Inventory[[#This Row],[qual_adj]:[size_adj]])</f>
        <v>0.96797962744104649</v>
      </c>
      <c r="BY2199" s="6">
        <f>IF(Grandview_Inventory[[#This Row],[pre_res]]&lt;0,0,Grandview_Inventory[[#This Row],[pre_res]]*Grandview_Inventory[[#This Row],[overall_adj]])</f>
        <v>289400.84808275657</v>
      </c>
      <c r="BZ2199" s="6">
        <f>(Grandview_Inventory[[#This Row],[sum_land]]-IF(Grandview_Inventory[[#This Row],[no_utilities]]=1,12000,0))/IF(Grandview_Inventory[[#This Row],[unbuildable]]=1,2,1)</f>
        <v>48369.510983942157</v>
      </c>
      <c r="CA219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199">
        <f>ROUND(Grandview_Inventory[[#This Row],[det_value]]*Lookups!$M$28,-2)</f>
        <v>0</v>
      </c>
      <c r="CC2199">
        <f>IF(ROUND(Grandview_Inventory[[#This Row],[adj_res]]*Lookups!$M$28,-2)&lt;Grandview_Inventory[[#This Row],[min_res]],Grandview_Inventory[[#This Row],[min_res]],ROUND(Grandview_Inventory[[#This Row],[adj_res]]*Lookups!$M$28,-2))</f>
        <v>274900</v>
      </c>
      <c r="CD2199">
        <f>Grandview_Inventory[[#This Row],[final_det]]+Grandview_Inventory[[#This Row],[final_res]]</f>
        <v>274900</v>
      </c>
      <c r="CE2199">
        <f>Grandview_Inventory[[#This Row],[final_land]]+Grandview_Inventory[[#This Row],[final_imp]]+Grandview_Inventory[[#This Row],[crop_value]]</f>
        <v>320900</v>
      </c>
      <c r="CG2199" t="str">
        <f t="shared" si="34"/>
        <v>update valuation set market_land =46000, market_bldg=274900, market_total =320900, market_mdno =401, market_date ='9/10/2023' where link_id = (select link_id from parcel where parcel_year = '2024' and parcel_id = '23092424474');</v>
      </c>
    </row>
    <row r="2200" spans="1:85" x14ac:dyDescent="0.25">
      <c r="A2200">
        <v>23092424475</v>
      </c>
      <c r="B2200">
        <v>0.19</v>
      </c>
      <c r="C2200">
        <v>8153</v>
      </c>
      <c r="D2200" t="s">
        <v>129</v>
      </c>
      <c r="E2200" t="s">
        <v>53</v>
      </c>
      <c r="F2200" t="s">
        <v>53</v>
      </c>
      <c r="G2200">
        <v>4</v>
      </c>
      <c r="H2200" t="s">
        <v>54</v>
      </c>
      <c r="I2200">
        <v>211900</v>
      </c>
      <c r="J2200">
        <v>39000</v>
      </c>
      <c r="K2200">
        <v>0.19</v>
      </c>
      <c r="L22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00">
        <v>0</v>
      </c>
      <c r="N2200">
        <v>0</v>
      </c>
      <c r="O2200">
        <v>0</v>
      </c>
      <c r="P2200">
        <v>13398.7528</v>
      </c>
      <c r="Q2200">
        <v>63903</v>
      </c>
      <c r="R2200">
        <f>(Grandview_Inventory[[#This Row],[ln_acres]]*Grandview_Inventory[[#This Row],[coeff]])+Grandview_Inventory[[#This Row],[const]]</f>
        <v>41651.273092551026</v>
      </c>
      <c r="S2200" t="s">
        <v>61</v>
      </c>
      <c r="T2200">
        <v>1</v>
      </c>
      <c r="U2200" t="s">
        <v>65</v>
      </c>
      <c r="V2200" t="s">
        <v>67</v>
      </c>
      <c r="W2200">
        <v>0</v>
      </c>
      <c r="X2200">
        <v>0</v>
      </c>
      <c r="Y2200">
        <v>18</v>
      </c>
      <c r="Z2200">
        <v>18</v>
      </c>
      <c r="AA2200">
        <v>20</v>
      </c>
      <c r="AB2200">
        <v>1500</v>
      </c>
      <c r="AC2200">
        <v>1117</v>
      </c>
      <c r="AD2200">
        <v>1117</v>
      </c>
      <c r="AE2200">
        <v>0</v>
      </c>
      <c r="AF2200">
        <v>0</v>
      </c>
      <c r="AG2200">
        <v>0</v>
      </c>
      <c r="AH2200">
        <v>0</v>
      </c>
      <c r="AI2200">
        <v>480</v>
      </c>
      <c r="AJ2200">
        <v>0</v>
      </c>
      <c r="AK2200">
        <v>0</v>
      </c>
      <c r="AL2200">
        <v>0</v>
      </c>
      <c r="AM2200">
        <v>100</v>
      </c>
      <c r="AN2200">
        <v>40</v>
      </c>
      <c r="AO2200">
        <v>0</v>
      </c>
      <c r="AP2200">
        <v>8</v>
      </c>
      <c r="AQ2200">
        <v>0</v>
      </c>
      <c r="AR2200">
        <v>0</v>
      </c>
      <c r="AS2200" t="s">
        <v>58</v>
      </c>
      <c r="AT2200">
        <v>1</v>
      </c>
      <c r="AU2200" t="s">
        <v>63</v>
      </c>
      <c r="AV2200" t="s">
        <v>64</v>
      </c>
      <c r="AW2200">
        <v>1</v>
      </c>
      <c r="AX2200">
        <v>3</v>
      </c>
      <c r="AY2200">
        <v>0</v>
      </c>
      <c r="AZ2200">
        <v>0</v>
      </c>
      <c r="BA2200">
        <v>100</v>
      </c>
      <c r="BB2200">
        <v>100</v>
      </c>
      <c r="BC2200">
        <v>100</v>
      </c>
      <c r="BD2200">
        <v>100</v>
      </c>
      <c r="BE2200">
        <v>1</v>
      </c>
      <c r="BF2200">
        <v>15000</v>
      </c>
      <c r="BG2200">
        <v>1000</v>
      </c>
      <c r="BH2200" s="6">
        <f>Grandview_Inventory[[#This Row],[land_extract]]*Lookups!$B$3</f>
        <v>48369.510983942157</v>
      </c>
      <c r="BI2200" s="6">
        <f>IF(Grandview_Inventory[[#This Row],[bldg_style]]="",0,Lookups!$B$2)</f>
        <v>155833.95000000001</v>
      </c>
      <c r="BJ2200" s="6">
        <f>_xlfn.IFNA(VLOOKUP(Grandview_Inventory[[#This Row],[quality]],Lookups!$H$2:$J$14,3,FALSE),0)</f>
        <v>2251</v>
      </c>
      <c r="BK2200" s="6">
        <f>_xlfn.IFNA(VLOOKUP(Grandview_Inventory[[#This Row],[condition]],Lookups!$H$17:$J$24,3,FALSE),0)</f>
        <v>22342</v>
      </c>
      <c r="BL2200" s="6">
        <f>Grandview_Inventory[[#This Row],[Eff_Age]]*Lookups!$B$14</f>
        <v>-4304.9987999999994</v>
      </c>
      <c r="BM2200" s="6">
        <f>Grandview_Inventory[[#This Row],[living_area]]*Lookups!$B$15</f>
        <v>69679.412800999999</v>
      </c>
      <c r="BN2200" s="6">
        <f>Grandview_Inventory[[#This Row],[Fin BSMT]]*Lookups!$B$16</f>
        <v>0</v>
      </c>
      <c r="BO2200" s="6">
        <f>(Grandview_Inventory[[#This Row],[att_gar]]+Grandview_Inventory[[#This Row],[bltin_gar]])*Lookups!$B$17</f>
        <v>42009.809760000004</v>
      </c>
      <c r="BP2200" s="6">
        <f>Grandview_Inventory[[#This Row],[Plumbing Fixtures]]*Lookups!$B$18</f>
        <v>16083.5344</v>
      </c>
      <c r="BQ2200" s="6">
        <f>Grandview_Inventory[[#This Row],[detatched_value]]*Lookups!$B$19</f>
        <v>0</v>
      </c>
      <c r="BR2200" s="6">
        <f>SUM(Grandview_Inventory[[#This Row],[Intercept]:[det_value]])*Grandview_Inventory[[#This Row],[res_pct]]</f>
        <v>303894.70816100005</v>
      </c>
      <c r="BS2200" s="6">
        <f>Grandview_Inventory[[#This Row],[land_value]]</f>
        <v>48369.510983942157</v>
      </c>
      <c r="BT2200" s="4">
        <f>_xlfn.IFNA(VLOOKUP(Grandview_Inventory[[#This Row],[quality]],Lookups!$A$26:$C$33,3,FALSE),1)</f>
        <v>0.98763855981004833</v>
      </c>
      <c r="BU2200" s="4">
        <f>_xlfn.IFNA(VLOOKUP(Grandview_Inventory[[#This Row],[condition]],Lookups!$A$37:$C$44,3,FALSE),1)</f>
        <v>0.97383723671140243</v>
      </c>
      <c r="BV2200" s="4">
        <f>IF(Grandview_Inventory[[#This Row],[bldg_style]]="",1,_xlfn.IFNA(VLOOKUP(Grandview_Inventory[[#This Row],[decade]],Lookups!$F$29:$H$43,3,FALSE),1))</f>
        <v>0.96737494181490646</v>
      </c>
      <c r="BW2200" s="4">
        <f>_xlfn.IFNA(VLOOKUP(Grandview_Inventory[[#This Row],[living_area_range]],Lookups!$F$47:$H$56,3,FALSE),1)</f>
        <v>0.96135087979789358</v>
      </c>
      <c r="BX2200" s="4">
        <f>AVERAGE(Grandview_Inventory[[#This Row],[qual_adj]:[size_adj]])</f>
        <v>0.97255040453356267</v>
      </c>
      <c r="BY2200" s="6">
        <f>IF(Grandview_Inventory[[#This Row],[pre_res]]&lt;0,0,Grandview_Inventory[[#This Row],[pre_res]]*Grandview_Inventory[[#This Row],[overall_adj]])</f>
        <v>295552.92135758954</v>
      </c>
      <c r="BZ2200" s="6">
        <f>(Grandview_Inventory[[#This Row],[sum_land]]-IF(Grandview_Inventory[[#This Row],[no_utilities]]=1,12000,0))/IF(Grandview_Inventory[[#This Row],[unbuildable]]=1,2,1)</f>
        <v>48369.510983942157</v>
      </c>
      <c r="CA220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00">
        <f>ROUND(Grandview_Inventory[[#This Row],[det_value]]*Lookups!$M$28,-2)</f>
        <v>0</v>
      </c>
      <c r="CC2200">
        <f>IF(ROUND(Grandview_Inventory[[#This Row],[adj_res]]*Lookups!$M$28,-2)&lt;Grandview_Inventory[[#This Row],[min_res]],Grandview_Inventory[[#This Row],[min_res]],ROUND(Grandview_Inventory[[#This Row],[adj_res]]*Lookups!$M$28,-2))</f>
        <v>280800</v>
      </c>
      <c r="CD2200">
        <f>Grandview_Inventory[[#This Row],[final_det]]+Grandview_Inventory[[#This Row],[final_res]]</f>
        <v>280800</v>
      </c>
      <c r="CE2200">
        <f>Grandview_Inventory[[#This Row],[final_land]]+Grandview_Inventory[[#This Row],[final_imp]]+Grandview_Inventory[[#This Row],[crop_value]]</f>
        <v>326800</v>
      </c>
      <c r="CG2200" t="str">
        <f t="shared" si="34"/>
        <v>update valuation set market_land =46000, market_bldg=280800, market_total =326800, market_mdno =401, market_date ='9/10/2023' where link_id = (select link_id from parcel where parcel_year = '2024' and parcel_id = '23092424475');</v>
      </c>
    </row>
    <row r="2201" spans="1:85" x14ac:dyDescent="0.25">
      <c r="A2201">
        <v>23092424476</v>
      </c>
      <c r="B2201">
        <v>0.19</v>
      </c>
      <c r="C2201">
        <v>8148</v>
      </c>
      <c r="D2201" t="s">
        <v>129</v>
      </c>
      <c r="E2201" t="s">
        <v>53</v>
      </c>
      <c r="F2201" t="s">
        <v>53</v>
      </c>
      <c r="G2201">
        <v>4</v>
      </c>
      <c r="H2201" t="s">
        <v>54</v>
      </c>
      <c r="I2201">
        <v>171700</v>
      </c>
      <c r="J2201">
        <v>39100</v>
      </c>
      <c r="K2201">
        <v>0.19</v>
      </c>
      <c r="L220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01">
        <v>0</v>
      </c>
      <c r="N2201">
        <v>0</v>
      </c>
      <c r="O2201">
        <v>0</v>
      </c>
      <c r="P2201">
        <v>13398.7528</v>
      </c>
      <c r="Q2201">
        <v>63903</v>
      </c>
      <c r="R2201">
        <f>(Grandview_Inventory[[#This Row],[ln_acres]]*Grandview_Inventory[[#This Row],[coeff]])+Grandview_Inventory[[#This Row],[const]]</f>
        <v>41651.273092551026</v>
      </c>
      <c r="S2201" t="s">
        <v>61</v>
      </c>
      <c r="T2201">
        <v>1</v>
      </c>
      <c r="U2201" t="s">
        <v>62</v>
      </c>
      <c r="V2201" t="s">
        <v>69</v>
      </c>
      <c r="W2201">
        <v>0</v>
      </c>
      <c r="X2201">
        <v>0</v>
      </c>
      <c r="Y2201">
        <v>18</v>
      </c>
      <c r="Z2201">
        <v>18</v>
      </c>
      <c r="AA2201">
        <v>20</v>
      </c>
      <c r="AB2201">
        <v>1500</v>
      </c>
      <c r="AC2201">
        <v>1117</v>
      </c>
      <c r="AD2201">
        <v>1117</v>
      </c>
      <c r="AE2201">
        <v>0</v>
      </c>
      <c r="AF2201">
        <v>0</v>
      </c>
      <c r="AG2201">
        <v>0</v>
      </c>
      <c r="AH2201">
        <v>0</v>
      </c>
      <c r="AI2201">
        <v>480</v>
      </c>
      <c r="AJ2201">
        <v>0</v>
      </c>
      <c r="AK2201">
        <v>0</v>
      </c>
      <c r="AL2201">
        <v>0</v>
      </c>
      <c r="AM2201">
        <v>705</v>
      </c>
      <c r="AN2201">
        <v>40</v>
      </c>
      <c r="AO2201">
        <v>0</v>
      </c>
      <c r="AP2201">
        <v>8</v>
      </c>
      <c r="AQ2201">
        <v>0</v>
      </c>
      <c r="AR2201">
        <v>0</v>
      </c>
      <c r="AS2201" t="s">
        <v>58</v>
      </c>
      <c r="AT2201">
        <v>1</v>
      </c>
      <c r="AU2201" t="s">
        <v>63</v>
      </c>
      <c r="AV2201" t="s">
        <v>64</v>
      </c>
      <c r="AW2201">
        <v>1</v>
      </c>
      <c r="AX2201">
        <v>3</v>
      </c>
      <c r="AY2201">
        <v>0</v>
      </c>
      <c r="AZ2201">
        <v>0</v>
      </c>
      <c r="BA2201">
        <v>100</v>
      </c>
      <c r="BB2201">
        <v>100</v>
      </c>
      <c r="BC2201">
        <v>100</v>
      </c>
      <c r="BD2201">
        <v>100</v>
      </c>
      <c r="BE2201">
        <v>1</v>
      </c>
      <c r="BF2201">
        <v>15000</v>
      </c>
      <c r="BG2201">
        <v>1000</v>
      </c>
      <c r="BH2201" s="6">
        <f>Grandview_Inventory[[#This Row],[land_extract]]*Lookups!$B$3</f>
        <v>48369.510983942157</v>
      </c>
      <c r="BI2201" s="6">
        <f>IF(Grandview_Inventory[[#This Row],[bldg_style]]="",0,Lookups!$B$2)</f>
        <v>155833.95000000001</v>
      </c>
      <c r="BJ2201" s="6">
        <f>_xlfn.IFNA(VLOOKUP(Grandview_Inventory[[#This Row],[quality]],Lookups!$H$2:$J$14,3,FALSE),0)</f>
        <v>9808</v>
      </c>
      <c r="BK2201" s="6">
        <f>_xlfn.IFNA(VLOOKUP(Grandview_Inventory[[#This Row],[condition]],Lookups!$H$17:$J$24,3,FALSE),0)</f>
        <v>-4503</v>
      </c>
      <c r="BL2201" s="6">
        <f>Grandview_Inventory[[#This Row],[Eff_Age]]*Lookups!$B$14</f>
        <v>-4304.9987999999994</v>
      </c>
      <c r="BM2201" s="6">
        <f>Grandview_Inventory[[#This Row],[living_area]]*Lookups!$B$15</f>
        <v>69679.412800999999</v>
      </c>
      <c r="BN2201" s="6">
        <f>Grandview_Inventory[[#This Row],[Fin BSMT]]*Lookups!$B$16</f>
        <v>0</v>
      </c>
      <c r="BO2201" s="6">
        <f>(Grandview_Inventory[[#This Row],[att_gar]]+Grandview_Inventory[[#This Row],[bltin_gar]])*Lookups!$B$17</f>
        <v>42009.809760000004</v>
      </c>
      <c r="BP2201" s="6">
        <f>Grandview_Inventory[[#This Row],[Plumbing Fixtures]]*Lookups!$B$18</f>
        <v>16083.5344</v>
      </c>
      <c r="BQ2201" s="6">
        <f>Grandview_Inventory[[#This Row],[detatched_value]]*Lookups!$B$19</f>
        <v>0</v>
      </c>
      <c r="BR2201" s="6">
        <f>SUM(Grandview_Inventory[[#This Row],[Intercept]:[det_value]])*Grandview_Inventory[[#This Row],[res_pct]]</f>
        <v>284606.70816100005</v>
      </c>
      <c r="BS2201" s="6">
        <f>Grandview_Inventory[[#This Row],[land_value]]</f>
        <v>48369.510983942157</v>
      </c>
      <c r="BT2201" s="4">
        <f>_xlfn.IFNA(VLOOKUP(Grandview_Inventory[[#This Row],[quality]],Lookups!$A$26:$C$33,3,FALSE),1)</f>
        <v>0.94295468617355149</v>
      </c>
      <c r="BU2201" s="4">
        <f>_xlfn.IFNA(VLOOKUP(Grandview_Inventory[[#This Row],[condition]],Lookups!$A$37:$C$44,3,FALSE),1)</f>
        <v>0.96469275950863709</v>
      </c>
      <c r="BV2201" s="4">
        <f>IF(Grandview_Inventory[[#This Row],[bldg_style]]="",1,_xlfn.IFNA(VLOOKUP(Grandview_Inventory[[#This Row],[decade]],Lookups!$F$29:$H$43,3,FALSE),1))</f>
        <v>0.96737494181490646</v>
      </c>
      <c r="BW2201" s="4">
        <f>_xlfn.IFNA(VLOOKUP(Grandview_Inventory[[#This Row],[living_area_range]],Lookups!$F$47:$H$56,3,FALSE),1)</f>
        <v>0.96135087979789358</v>
      </c>
      <c r="BX2201" s="4">
        <f>AVERAGE(Grandview_Inventory[[#This Row],[qual_adj]:[size_adj]])</f>
        <v>0.95909331682374721</v>
      </c>
      <c r="BY2201" s="6">
        <f>IF(Grandview_Inventory[[#This Row],[pre_res]]&lt;0,0,Grandview_Inventory[[#This Row],[pre_res]]*Grandview_Inventory[[#This Row],[overall_adj]])</f>
        <v>272964.39172042179</v>
      </c>
      <c r="BZ2201" s="6">
        <f>(Grandview_Inventory[[#This Row],[sum_land]]-IF(Grandview_Inventory[[#This Row],[no_utilities]]=1,12000,0))/IF(Grandview_Inventory[[#This Row],[unbuildable]]=1,2,1)</f>
        <v>48369.510983942157</v>
      </c>
      <c r="CA220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01">
        <f>ROUND(Grandview_Inventory[[#This Row],[det_value]]*Lookups!$M$28,-2)</f>
        <v>0</v>
      </c>
      <c r="CC2201">
        <f>IF(ROUND(Grandview_Inventory[[#This Row],[adj_res]]*Lookups!$M$28,-2)&lt;Grandview_Inventory[[#This Row],[min_res]],Grandview_Inventory[[#This Row],[min_res]],ROUND(Grandview_Inventory[[#This Row],[adj_res]]*Lookups!$M$28,-2))</f>
        <v>259300</v>
      </c>
      <c r="CD2201">
        <f>Grandview_Inventory[[#This Row],[final_det]]+Grandview_Inventory[[#This Row],[final_res]]</f>
        <v>259300</v>
      </c>
      <c r="CE2201">
        <f>Grandview_Inventory[[#This Row],[final_land]]+Grandview_Inventory[[#This Row],[final_imp]]+Grandview_Inventory[[#This Row],[crop_value]]</f>
        <v>305300</v>
      </c>
      <c r="CG2201" t="str">
        <f t="shared" si="34"/>
        <v>update valuation set market_land =46000, market_bldg=259300, market_total =305300, market_mdno =401, market_date ='9/10/2023' where link_id = (select link_id from parcel where parcel_year = '2024' and parcel_id = '23092424476');</v>
      </c>
    </row>
    <row r="2202" spans="1:85" x14ac:dyDescent="0.25">
      <c r="A2202">
        <v>23092424477</v>
      </c>
      <c r="B2202">
        <v>0.21</v>
      </c>
      <c r="C2202">
        <v>9274</v>
      </c>
      <c r="D2202" t="s">
        <v>129</v>
      </c>
      <c r="E2202" t="s">
        <v>53</v>
      </c>
      <c r="F2202" t="s">
        <v>53</v>
      </c>
      <c r="G2202">
        <v>4</v>
      </c>
      <c r="H2202" t="s">
        <v>54</v>
      </c>
      <c r="I2202">
        <v>219200</v>
      </c>
      <c r="J2202">
        <v>43800</v>
      </c>
      <c r="K2202">
        <v>0.21</v>
      </c>
      <c r="L2202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202">
        <v>0</v>
      </c>
      <c r="N2202">
        <v>0</v>
      </c>
      <c r="O2202">
        <v>0</v>
      </c>
      <c r="P2202">
        <v>13398.7528</v>
      </c>
      <c r="Q2202">
        <v>63903</v>
      </c>
      <c r="R2202">
        <f>(Grandview_Inventory[[#This Row],[ln_acres]]*Grandview_Inventory[[#This Row],[coeff]])+Grandview_Inventory[[#This Row],[const]]</f>
        <v>42992.266613125081</v>
      </c>
      <c r="S2202" t="s">
        <v>61</v>
      </c>
      <c r="T2202">
        <v>1</v>
      </c>
      <c r="U2202" t="s">
        <v>65</v>
      </c>
      <c r="V2202" t="s">
        <v>67</v>
      </c>
      <c r="W2202">
        <v>0</v>
      </c>
      <c r="X2202">
        <v>0</v>
      </c>
      <c r="Y2202">
        <v>18</v>
      </c>
      <c r="Z2202">
        <v>18</v>
      </c>
      <c r="AA2202">
        <v>20</v>
      </c>
      <c r="AB2202">
        <v>1500</v>
      </c>
      <c r="AC2202">
        <v>1255</v>
      </c>
      <c r="AD2202">
        <v>1255</v>
      </c>
      <c r="AE2202">
        <v>0</v>
      </c>
      <c r="AF2202">
        <v>0</v>
      </c>
      <c r="AG2202">
        <v>0</v>
      </c>
      <c r="AH2202">
        <v>0</v>
      </c>
      <c r="AI2202">
        <v>480</v>
      </c>
      <c r="AJ2202">
        <v>0</v>
      </c>
      <c r="AK2202">
        <v>0</v>
      </c>
      <c r="AL2202">
        <v>0</v>
      </c>
      <c r="AM2202">
        <v>350</v>
      </c>
      <c r="AN2202">
        <v>40</v>
      </c>
      <c r="AO2202">
        <v>0</v>
      </c>
      <c r="AP2202">
        <v>8</v>
      </c>
      <c r="AQ2202">
        <v>0</v>
      </c>
      <c r="AR2202">
        <v>0</v>
      </c>
      <c r="AS2202" t="s">
        <v>58</v>
      </c>
      <c r="AT2202">
        <v>1</v>
      </c>
      <c r="AU2202" t="s">
        <v>63</v>
      </c>
      <c r="AV2202" t="s">
        <v>64</v>
      </c>
      <c r="AW2202">
        <v>1</v>
      </c>
      <c r="AX2202">
        <v>3</v>
      </c>
      <c r="AY2202">
        <v>0</v>
      </c>
      <c r="AZ2202">
        <v>0</v>
      </c>
      <c r="BA2202">
        <v>100</v>
      </c>
      <c r="BB2202">
        <v>100</v>
      </c>
      <c r="BC2202">
        <v>100</v>
      </c>
      <c r="BD2202">
        <v>100</v>
      </c>
      <c r="BE2202">
        <v>1</v>
      </c>
      <c r="BF2202">
        <v>15000</v>
      </c>
      <c r="BG2202">
        <v>1000</v>
      </c>
      <c r="BH2202" s="6">
        <f>Grandview_Inventory[[#This Row],[land_extract]]*Lookups!$B$3</f>
        <v>49926.8031387023</v>
      </c>
      <c r="BI2202" s="6">
        <f>IF(Grandview_Inventory[[#This Row],[bldg_style]]="",0,Lookups!$B$2)</f>
        <v>155833.95000000001</v>
      </c>
      <c r="BJ2202" s="6">
        <f>_xlfn.IFNA(VLOOKUP(Grandview_Inventory[[#This Row],[quality]],Lookups!$H$2:$J$14,3,FALSE),0)</f>
        <v>2251</v>
      </c>
      <c r="BK2202" s="6">
        <f>_xlfn.IFNA(VLOOKUP(Grandview_Inventory[[#This Row],[condition]],Lookups!$H$17:$J$24,3,FALSE),0)</f>
        <v>22342</v>
      </c>
      <c r="BL2202" s="6">
        <f>Grandview_Inventory[[#This Row],[Eff_Age]]*Lookups!$B$14</f>
        <v>-4304.9987999999994</v>
      </c>
      <c r="BM2202" s="6">
        <f>Grandview_Inventory[[#This Row],[living_area]]*Lookups!$B$15</f>
        <v>78287.970515000008</v>
      </c>
      <c r="BN2202" s="6">
        <f>Grandview_Inventory[[#This Row],[Fin BSMT]]*Lookups!$B$16</f>
        <v>0</v>
      </c>
      <c r="BO2202" s="6">
        <f>(Grandview_Inventory[[#This Row],[att_gar]]+Grandview_Inventory[[#This Row],[bltin_gar]])*Lookups!$B$17</f>
        <v>42009.809760000004</v>
      </c>
      <c r="BP2202" s="6">
        <f>Grandview_Inventory[[#This Row],[Plumbing Fixtures]]*Lookups!$B$18</f>
        <v>16083.5344</v>
      </c>
      <c r="BQ2202" s="6">
        <f>Grandview_Inventory[[#This Row],[detatched_value]]*Lookups!$B$19</f>
        <v>0</v>
      </c>
      <c r="BR2202" s="6">
        <f>SUM(Grandview_Inventory[[#This Row],[Intercept]:[det_value]])*Grandview_Inventory[[#This Row],[res_pct]]</f>
        <v>312503.26587500004</v>
      </c>
      <c r="BS2202" s="6">
        <f>Grandview_Inventory[[#This Row],[land_value]]</f>
        <v>49926.8031387023</v>
      </c>
      <c r="BT2202" s="4">
        <f>_xlfn.IFNA(VLOOKUP(Grandview_Inventory[[#This Row],[quality]],Lookups!$A$26:$C$33,3,FALSE),1)</f>
        <v>0.98763855981004833</v>
      </c>
      <c r="BU2202" s="4">
        <f>_xlfn.IFNA(VLOOKUP(Grandview_Inventory[[#This Row],[condition]],Lookups!$A$37:$C$44,3,FALSE),1)</f>
        <v>0.97383723671140243</v>
      </c>
      <c r="BV2202" s="4">
        <f>IF(Grandview_Inventory[[#This Row],[bldg_style]]="",1,_xlfn.IFNA(VLOOKUP(Grandview_Inventory[[#This Row],[decade]],Lookups!$F$29:$H$43,3,FALSE),1))</f>
        <v>0.96737494181490646</v>
      </c>
      <c r="BW2202" s="4">
        <f>_xlfn.IFNA(VLOOKUP(Grandview_Inventory[[#This Row],[living_area_range]],Lookups!$F$47:$H$56,3,FALSE),1)</f>
        <v>0.96135087979789358</v>
      </c>
      <c r="BX2202" s="4">
        <f>AVERAGE(Grandview_Inventory[[#This Row],[qual_adj]:[size_adj]])</f>
        <v>0.97255040453356267</v>
      </c>
      <c r="BY2202" s="6">
        <f>IF(Grandview_Inventory[[#This Row],[pre_res]]&lt;0,0,Grandview_Inventory[[#This Row],[pre_res]]*Grandview_Inventory[[#This Row],[overall_adj]])</f>
        <v>303925.17764479079</v>
      </c>
      <c r="BZ2202" s="6">
        <f>(Grandview_Inventory[[#This Row],[sum_land]]-IF(Grandview_Inventory[[#This Row],[no_utilities]]=1,12000,0))/IF(Grandview_Inventory[[#This Row],[unbuildable]]=1,2,1)</f>
        <v>49926.8031387023</v>
      </c>
      <c r="CA2202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202">
        <f>ROUND(Grandview_Inventory[[#This Row],[det_value]]*Lookups!$M$28,-2)</f>
        <v>0</v>
      </c>
      <c r="CC2202">
        <f>IF(ROUND(Grandview_Inventory[[#This Row],[adj_res]]*Lookups!$M$28,-2)&lt;Grandview_Inventory[[#This Row],[min_res]],Grandview_Inventory[[#This Row],[min_res]],ROUND(Grandview_Inventory[[#This Row],[adj_res]]*Lookups!$M$28,-2))</f>
        <v>288700</v>
      </c>
      <c r="CD2202">
        <f>Grandview_Inventory[[#This Row],[final_det]]+Grandview_Inventory[[#This Row],[final_res]]</f>
        <v>288700</v>
      </c>
      <c r="CE2202">
        <f>Grandview_Inventory[[#This Row],[final_land]]+Grandview_Inventory[[#This Row],[final_imp]]+Grandview_Inventory[[#This Row],[crop_value]]</f>
        <v>336100</v>
      </c>
      <c r="CG2202" t="str">
        <f t="shared" si="34"/>
        <v>update valuation set market_land =47400, market_bldg=288700, market_total =336100, market_mdno =401, market_date ='9/10/2023' where link_id = (select link_id from parcel where parcel_year = '2024' and parcel_id = '23092424477');</v>
      </c>
    </row>
    <row r="2203" spans="1:85" x14ac:dyDescent="0.25">
      <c r="A2203">
        <v>23092424478</v>
      </c>
      <c r="B2203">
        <v>0.21</v>
      </c>
      <c r="C2203">
        <v>9274</v>
      </c>
      <c r="D2203" t="s">
        <v>129</v>
      </c>
      <c r="E2203" t="s">
        <v>53</v>
      </c>
      <c r="F2203" t="s">
        <v>53</v>
      </c>
      <c r="G2203">
        <v>4</v>
      </c>
      <c r="H2203" t="s">
        <v>54</v>
      </c>
      <c r="I2203">
        <v>219800</v>
      </c>
      <c r="J2203">
        <v>39500</v>
      </c>
      <c r="K2203">
        <v>0.21</v>
      </c>
      <c r="L220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203">
        <v>0</v>
      </c>
      <c r="N2203">
        <v>0</v>
      </c>
      <c r="O2203">
        <v>0</v>
      </c>
      <c r="P2203">
        <v>13398.7528</v>
      </c>
      <c r="Q2203">
        <v>63903</v>
      </c>
      <c r="R2203">
        <f>(Grandview_Inventory[[#This Row],[ln_acres]]*Grandview_Inventory[[#This Row],[coeff]])+Grandview_Inventory[[#This Row],[const]]</f>
        <v>42992.266613125081</v>
      </c>
      <c r="S2203" t="s">
        <v>61</v>
      </c>
      <c r="T2203">
        <v>1</v>
      </c>
      <c r="U2203" t="s">
        <v>65</v>
      </c>
      <c r="V2203" t="s">
        <v>67</v>
      </c>
      <c r="W2203">
        <v>0</v>
      </c>
      <c r="X2203">
        <v>0</v>
      </c>
      <c r="Y2203">
        <v>18</v>
      </c>
      <c r="Z2203">
        <v>18</v>
      </c>
      <c r="AA2203">
        <v>20</v>
      </c>
      <c r="AB2203">
        <v>1500</v>
      </c>
      <c r="AC2203">
        <v>1216</v>
      </c>
      <c r="AD2203">
        <v>1216</v>
      </c>
      <c r="AE2203">
        <v>0</v>
      </c>
      <c r="AF2203">
        <v>0</v>
      </c>
      <c r="AG2203">
        <v>0</v>
      </c>
      <c r="AH2203">
        <v>0</v>
      </c>
      <c r="AI2203">
        <v>520</v>
      </c>
      <c r="AJ2203">
        <v>0</v>
      </c>
      <c r="AK2203">
        <v>0</v>
      </c>
      <c r="AL2203">
        <v>0</v>
      </c>
      <c r="AM2203">
        <v>100</v>
      </c>
      <c r="AN2203">
        <v>44</v>
      </c>
      <c r="AO2203">
        <v>0</v>
      </c>
      <c r="AP2203">
        <v>8</v>
      </c>
      <c r="AQ2203">
        <v>0</v>
      </c>
      <c r="AR2203">
        <v>0</v>
      </c>
      <c r="AS2203" t="s">
        <v>58</v>
      </c>
      <c r="AT2203">
        <v>1</v>
      </c>
      <c r="AU2203" t="s">
        <v>63</v>
      </c>
      <c r="AV2203" t="s">
        <v>64</v>
      </c>
      <c r="AW2203">
        <v>1</v>
      </c>
      <c r="AX2203">
        <v>3</v>
      </c>
      <c r="AY2203">
        <v>0</v>
      </c>
      <c r="AZ2203">
        <v>0</v>
      </c>
      <c r="BA2203">
        <v>100</v>
      </c>
      <c r="BB2203">
        <v>100</v>
      </c>
      <c r="BC2203">
        <v>100</v>
      </c>
      <c r="BD2203">
        <v>100</v>
      </c>
      <c r="BE2203">
        <v>1</v>
      </c>
      <c r="BF2203">
        <v>15000</v>
      </c>
      <c r="BG2203">
        <v>1000</v>
      </c>
      <c r="BH2203" s="6">
        <f>Grandview_Inventory[[#This Row],[land_extract]]*Lookups!$B$3</f>
        <v>49926.8031387023</v>
      </c>
      <c r="BI2203" s="6">
        <f>IF(Grandview_Inventory[[#This Row],[bldg_style]]="",0,Lookups!$B$2)</f>
        <v>155833.95000000001</v>
      </c>
      <c r="BJ2203" s="6">
        <f>_xlfn.IFNA(VLOOKUP(Grandview_Inventory[[#This Row],[quality]],Lookups!$H$2:$J$14,3,FALSE),0)</f>
        <v>2251</v>
      </c>
      <c r="BK2203" s="6">
        <f>_xlfn.IFNA(VLOOKUP(Grandview_Inventory[[#This Row],[condition]],Lookups!$H$17:$J$24,3,FALSE),0)</f>
        <v>22342</v>
      </c>
      <c r="BL2203" s="6">
        <f>Grandview_Inventory[[#This Row],[Eff_Age]]*Lookups!$B$14</f>
        <v>-4304.9987999999994</v>
      </c>
      <c r="BM2203" s="6">
        <f>Grandview_Inventory[[#This Row],[living_area]]*Lookups!$B$15</f>
        <v>75855.117247999995</v>
      </c>
      <c r="BN2203" s="6">
        <f>Grandview_Inventory[[#This Row],[Fin BSMT]]*Lookups!$B$16</f>
        <v>0</v>
      </c>
      <c r="BO2203" s="6">
        <f>(Grandview_Inventory[[#This Row],[att_gar]]+Grandview_Inventory[[#This Row],[bltin_gar]])*Lookups!$B$17</f>
        <v>45510.627240000002</v>
      </c>
      <c r="BP2203" s="6">
        <f>Grandview_Inventory[[#This Row],[Plumbing Fixtures]]*Lookups!$B$18</f>
        <v>16083.5344</v>
      </c>
      <c r="BQ2203" s="6">
        <f>Grandview_Inventory[[#This Row],[detatched_value]]*Lookups!$B$19</f>
        <v>0</v>
      </c>
      <c r="BR2203" s="6">
        <f>SUM(Grandview_Inventory[[#This Row],[Intercept]:[det_value]])*Grandview_Inventory[[#This Row],[res_pct]]</f>
        <v>313571.23008800001</v>
      </c>
      <c r="BS2203" s="6">
        <f>Grandview_Inventory[[#This Row],[land_value]]</f>
        <v>49926.8031387023</v>
      </c>
      <c r="BT2203" s="4">
        <f>_xlfn.IFNA(VLOOKUP(Grandview_Inventory[[#This Row],[quality]],Lookups!$A$26:$C$33,3,FALSE),1)</f>
        <v>0.98763855981004833</v>
      </c>
      <c r="BU2203" s="4">
        <f>_xlfn.IFNA(VLOOKUP(Grandview_Inventory[[#This Row],[condition]],Lookups!$A$37:$C$44,3,FALSE),1)</f>
        <v>0.97383723671140243</v>
      </c>
      <c r="BV2203" s="4">
        <f>IF(Grandview_Inventory[[#This Row],[bldg_style]]="",1,_xlfn.IFNA(VLOOKUP(Grandview_Inventory[[#This Row],[decade]],Lookups!$F$29:$H$43,3,FALSE),1))</f>
        <v>0.96737494181490646</v>
      </c>
      <c r="BW2203" s="4">
        <f>_xlfn.IFNA(VLOOKUP(Grandview_Inventory[[#This Row],[living_area_range]],Lookups!$F$47:$H$56,3,FALSE),1)</f>
        <v>0.96135087979789358</v>
      </c>
      <c r="BX2203" s="4">
        <f>AVERAGE(Grandview_Inventory[[#This Row],[qual_adj]:[size_adj]])</f>
        <v>0.97255040453356267</v>
      </c>
      <c r="BY2203" s="6">
        <f>IF(Grandview_Inventory[[#This Row],[pre_res]]&lt;0,0,Grandview_Inventory[[#This Row],[pre_res]]*Grandview_Inventory[[#This Row],[overall_adj]])</f>
        <v>304963.82667217124</v>
      </c>
      <c r="BZ2203" s="6">
        <f>(Grandview_Inventory[[#This Row],[sum_land]]-IF(Grandview_Inventory[[#This Row],[no_utilities]]=1,12000,0))/IF(Grandview_Inventory[[#This Row],[unbuildable]]=1,2,1)</f>
        <v>49926.8031387023</v>
      </c>
      <c r="CA220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203">
        <f>ROUND(Grandview_Inventory[[#This Row],[det_value]]*Lookups!$M$28,-2)</f>
        <v>0</v>
      </c>
      <c r="CC2203">
        <f>IF(ROUND(Grandview_Inventory[[#This Row],[adj_res]]*Lookups!$M$28,-2)&lt;Grandview_Inventory[[#This Row],[min_res]],Grandview_Inventory[[#This Row],[min_res]],ROUND(Grandview_Inventory[[#This Row],[adj_res]]*Lookups!$M$28,-2))</f>
        <v>289700</v>
      </c>
      <c r="CD2203">
        <f>Grandview_Inventory[[#This Row],[final_det]]+Grandview_Inventory[[#This Row],[final_res]]</f>
        <v>289700</v>
      </c>
      <c r="CE2203">
        <f>Grandview_Inventory[[#This Row],[final_land]]+Grandview_Inventory[[#This Row],[final_imp]]+Grandview_Inventory[[#This Row],[crop_value]]</f>
        <v>337100</v>
      </c>
      <c r="CG2203" t="str">
        <f t="shared" si="34"/>
        <v>update valuation set market_land =47400, market_bldg=289700, market_total =337100, market_mdno =401, market_date ='9/10/2023' where link_id = (select link_id from parcel where parcel_year = '2024' and parcel_id = '23092424478');</v>
      </c>
    </row>
    <row r="2204" spans="1:85" x14ac:dyDescent="0.25">
      <c r="A2204">
        <v>23092424479</v>
      </c>
      <c r="B2204">
        <v>0.18</v>
      </c>
      <c r="C2204">
        <v>7829</v>
      </c>
      <c r="D2204" t="s">
        <v>129</v>
      </c>
      <c r="E2204" t="s">
        <v>53</v>
      </c>
      <c r="F2204" t="s">
        <v>53</v>
      </c>
      <c r="G2204">
        <v>4</v>
      </c>
      <c r="H2204" t="s">
        <v>54</v>
      </c>
      <c r="I2204">
        <v>184600</v>
      </c>
      <c r="J2204">
        <v>43100</v>
      </c>
      <c r="K2204">
        <v>0.18</v>
      </c>
      <c r="L220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204">
        <v>0</v>
      </c>
      <c r="N2204">
        <v>0</v>
      </c>
      <c r="O2204">
        <v>0</v>
      </c>
      <c r="P2204">
        <v>13398.7528</v>
      </c>
      <c r="Q2204">
        <v>63903</v>
      </c>
      <c r="R2204">
        <f>(Grandview_Inventory[[#This Row],[ln_acres]]*Grandview_Inventory[[#This Row],[coeff]])+Grandview_Inventory[[#This Row],[const]]</f>
        <v>40926.839760167699</v>
      </c>
      <c r="S2204" t="s">
        <v>61</v>
      </c>
      <c r="T2204">
        <v>1</v>
      </c>
      <c r="U2204" t="s">
        <v>65</v>
      </c>
      <c r="V2204" t="s">
        <v>69</v>
      </c>
      <c r="W2204">
        <v>0</v>
      </c>
      <c r="X2204">
        <v>0</v>
      </c>
      <c r="Y2204">
        <v>17</v>
      </c>
      <c r="Z2204">
        <v>17</v>
      </c>
      <c r="AA2204">
        <v>20</v>
      </c>
      <c r="AB2204">
        <v>1500</v>
      </c>
      <c r="AC2204">
        <v>1318</v>
      </c>
      <c r="AD2204">
        <v>1318</v>
      </c>
      <c r="AE2204">
        <v>0</v>
      </c>
      <c r="AF2204">
        <v>0</v>
      </c>
      <c r="AG2204">
        <v>0</v>
      </c>
      <c r="AH2204">
        <v>0</v>
      </c>
      <c r="AI2204">
        <v>480</v>
      </c>
      <c r="AJ2204">
        <v>0</v>
      </c>
      <c r="AK2204">
        <v>0</v>
      </c>
      <c r="AL2204">
        <v>0</v>
      </c>
      <c r="AM2204">
        <v>300</v>
      </c>
      <c r="AN2204">
        <v>40</v>
      </c>
      <c r="AO2204">
        <v>0</v>
      </c>
      <c r="AP2204">
        <v>8</v>
      </c>
      <c r="AQ2204">
        <v>0</v>
      </c>
      <c r="AR2204">
        <v>0</v>
      </c>
      <c r="AS2204" t="s">
        <v>58</v>
      </c>
      <c r="AT2204">
        <v>1</v>
      </c>
      <c r="AU2204" t="s">
        <v>63</v>
      </c>
      <c r="AV2204" t="s">
        <v>64</v>
      </c>
      <c r="AW2204">
        <v>1</v>
      </c>
      <c r="AX2204">
        <v>3</v>
      </c>
      <c r="AY2204">
        <v>0</v>
      </c>
      <c r="AZ2204">
        <v>0</v>
      </c>
      <c r="BA2204">
        <v>100</v>
      </c>
      <c r="BB2204">
        <v>100</v>
      </c>
      <c r="BC2204">
        <v>100</v>
      </c>
      <c r="BD2204">
        <v>100</v>
      </c>
      <c r="BE2204">
        <v>1</v>
      </c>
      <c r="BF2204">
        <v>15000</v>
      </c>
      <c r="BG2204">
        <v>1000</v>
      </c>
      <c r="BH2204" s="6">
        <f>Grandview_Inventory[[#This Row],[land_extract]]*Lookups!$B$3</f>
        <v>47528.228511015397</v>
      </c>
      <c r="BI2204" s="6">
        <f>IF(Grandview_Inventory[[#This Row],[bldg_style]]="",0,Lookups!$B$2)</f>
        <v>155833.95000000001</v>
      </c>
      <c r="BJ2204" s="6">
        <f>_xlfn.IFNA(VLOOKUP(Grandview_Inventory[[#This Row],[quality]],Lookups!$H$2:$J$14,3,FALSE),0)</f>
        <v>2251</v>
      </c>
      <c r="BK2204" s="6">
        <f>_xlfn.IFNA(VLOOKUP(Grandview_Inventory[[#This Row],[condition]],Lookups!$H$17:$J$24,3,FALSE),0)</f>
        <v>-4503</v>
      </c>
      <c r="BL2204" s="6">
        <f>Grandview_Inventory[[#This Row],[Eff_Age]]*Lookups!$B$14</f>
        <v>-4065.8321999999998</v>
      </c>
      <c r="BM2204" s="6">
        <f>Grandview_Inventory[[#This Row],[living_area]]*Lookups!$B$15</f>
        <v>82217.964254000006</v>
      </c>
      <c r="BN2204" s="6">
        <f>Grandview_Inventory[[#This Row],[Fin BSMT]]*Lookups!$B$16</f>
        <v>0</v>
      </c>
      <c r="BO2204" s="6">
        <f>(Grandview_Inventory[[#This Row],[att_gar]]+Grandview_Inventory[[#This Row],[bltin_gar]])*Lookups!$B$17</f>
        <v>42009.809760000004</v>
      </c>
      <c r="BP2204" s="6">
        <f>Grandview_Inventory[[#This Row],[Plumbing Fixtures]]*Lookups!$B$18</f>
        <v>16083.5344</v>
      </c>
      <c r="BQ2204" s="6">
        <f>Grandview_Inventory[[#This Row],[detatched_value]]*Lookups!$B$19</f>
        <v>0</v>
      </c>
      <c r="BR2204" s="6">
        <f>SUM(Grandview_Inventory[[#This Row],[Intercept]:[det_value]])*Grandview_Inventory[[#This Row],[res_pct]]</f>
        <v>289827.42621399998</v>
      </c>
      <c r="BS2204" s="6">
        <f>Grandview_Inventory[[#This Row],[land_value]]</f>
        <v>47528.228511015397</v>
      </c>
      <c r="BT2204" s="4">
        <f>_xlfn.IFNA(VLOOKUP(Grandview_Inventory[[#This Row],[quality]],Lookups!$A$26:$C$33,3,FALSE),1)</f>
        <v>0.98763855981004833</v>
      </c>
      <c r="BU2204" s="4">
        <f>_xlfn.IFNA(VLOOKUP(Grandview_Inventory[[#This Row],[condition]],Lookups!$A$37:$C$44,3,FALSE),1)</f>
        <v>0.96469275950863709</v>
      </c>
      <c r="BV2204" s="4">
        <f>IF(Grandview_Inventory[[#This Row],[bldg_style]]="",1,_xlfn.IFNA(VLOOKUP(Grandview_Inventory[[#This Row],[decade]],Lookups!$F$29:$H$43,3,FALSE),1))</f>
        <v>0.96737494181490646</v>
      </c>
      <c r="BW2204" s="4">
        <f>_xlfn.IFNA(VLOOKUP(Grandview_Inventory[[#This Row],[living_area_range]],Lookups!$F$47:$H$56,3,FALSE),1)</f>
        <v>0.96135087979789358</v>
      </c>
      <c r="BX2204" s="4">
        <f>AVERAGE(Grandview_Inventory[[#This Row],[qual_adj]:[size_adj]])</f>
        <v>0.97026428523287134</v>
      </c>
      <c r="BY2204" s="6">
        <f>IF(Grandview_Inventory[[#This Row],[pre_res]]&lt;0,0,Grandview_Inventory[[#This Row],[pre_res]]*Grandview_Inventory[[#This Row],[overall_adj]])</f>
        <v>281209.20053640945</v>
      </c>
      <c r="BZ2204" s="6">
        <f>(Grandview_Inventory[[#This Row],[sum_land]]-IF(Grandview_Inventory[[#This Row],[no_utilities]]=1,12000,0))/IF(Grandview_Inventory[[#This Row],[unbuildable]]=1,2,1)</f>
        <v>47528.228511015397</v>
      </c>
      <c r="CA220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204">
        <f>ROUND(Grandview_Inventory[[#This Row],[det_value]]*Lookups!$M$28,-2)</f>
        <v>0</v>
      </c>
      <c r="CC2204">
        <f>IF(ROUND(Grandview_Inventory[[#This Row],[adj_res]]*Lookups!$M$28,-2)&lt;Grandview_Inventory[[#This Row],[min_res]],Grandview_Inventory[[#This Row],[min_res]],ROUND(Grandview_Inventory[[#This Row],[adj_res]]*Lookups!$M$28,-2))</f>
        <v>267100</v>
      </c>
      <c r="CD2204">
        <f>Grandview_Inventory[[#This Row],[final_det]]+Grandview_Inventory[[#This Row],[final_res]]</f>
        <v>267100</v>
      </c>
      <c r="CE2204">
        <f>Grandview_Inventory[[#This Row],[final_land]]+Grandview_Inventory[[#This Row],[final_imp]]+Grandview_Inventory[[#This Row],[crop_value]]</f>
        <v>312300</v>
      </c>
      <c r="CG2204" t="str">
        <f t="shared" si="34"/>
        <v>update valuation set market_land =45200, market_bldg=267100, market_total =312300, market_mdno =401, market_date ='9/10/2023' where link_id = (select link_id from parcel where parcel_year = '2024' and parcel_id = '23092424479');</v>
      </c>
    </row>
    <row r="2205" spans="1:85" x14ac:dyDescent="0.25">
      <c r="A2205">
        <v>23092424480</v>
      </c>
      <c r="B2205">
        <v>0.19</v>
      </c>
      <c r="C2205">
        <v>8124</v>
      </c>
      <c r="D2205" t="s">
        <v>129</v>
      </c>
      <c r="E2205" t="s">
        <v>53</v>
      </c>
      <c r="F2205" t="s">
        <v>53</v>
      </c>
      <c r="G2205">
        <v>4</v>
      </c>
      <c r="H2205" t="s">
        <v>54</v>
      </c>
      <c r="I2205">
        <v>207100</v>
      </c>
      <c r="J2205">
        <v>39100</v>
      </c>
      <c r="K2205">
        <v>0.19</v>
      </c>
      <c r="L22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05">
        <v>0</v>
      </c>
      <c r="N2205">
        <v>0</v>
      </c>
      <c r="O2205">
        <v>0</v>
      </c>
      <c r="P2205">
        <v>13398.7528</v>
      </c>
      <c r="Q2205">
        <v>63903</v>
      </c>
      <c r="R2205">
        <f>(Grandview_Inventory[[#This Row],[ln_acres]]*Grandview_Inventory[[#This Row],[coeff]])+Grandview_Inventory[[#This Row],[const]]</f>
        <v>41651.273092551026</v>
      </c>
      <c r="S2205" t="s">
        <v>61</v>
      </c>
      <c r="T2205">
        <v>1</v>
      </c>
      <c r="U2205" t="s">
        <v>65</v>
      </c>
      <c r="V2205" t="s">
        <v>67</v>
      </c>
      <c r="W2205">
        <v>0</v>
      </c>
      <c r="X2205">
        <v>0</v>
      </c>
      <c r="Y2205">
        <v>18</v>
      </c>
      <c r="Z2205">
        <v>18</v>
      </c>
      <c r="AA2205">
        <v>20</v>
      </c>
      <c r="AB2205">
        <v>1500</v>
      </c>
      <c r="AC2205">
        <v>1102</v>
      </c>
      <c r="AD2205">
        <v>1102</v>
      </c>
      <c r="AE2205">
        <v>0</v>
      </c>
      <c r="AF2205">
        <v>0</v>
      </c>
      <c r="AG2205">
        <v>0</v>
      </c>
      <c r="AH2205">
        <v>0</v>
      </c>
      <c r="AI2205">
        <v>420</v>
      </c>
      <c r="AJ2205">
        <v>0</v>
      </c>
      <c r="AK2205">
        <v>0</v>
      </c>
      <c r="AL2205">
        <v>0</v>
      </c>
      <c r="AM2205">
        <v>100</v>
      </c>
      <c r="AN2205">
        <v>60</v>
      </c>
      <c r="AO2205">
        <v>0</v>
      </c>
      <c r="AP2205">
        <v>8</v>
      </c>
      <c r="AQ2205">
        <v>0</v>
      </c>
      <c r="AR2205">
        <v>0</v>
      </c>
      <c r="AS2205" t="s">
        <v>58</v>
      </c>
      <c r="AT2205">
        <v>1</v>
      </c>
      <c r="AU2205" t="s">
        <v>63</v>
      </c>
      <c r="AV2205" t="s">
        <v>64</v>
      </c>
      <c r="AW2205">
        <v>1</v>
      </c>
      <c r="AX2205">
        <v>3</v>
      </c>
      <c r="AY2205">
        <v>0</v>
      </c>
      <c r="AZ2205">
        <v>0</v>
      </c>
      <c r="BA2205">
        <v>100</v>
      </c>
      <c r="BB2205">
        <v>100</v>
      </c>
      <c r="BC2205">
        <v>100</v>
      </c>
      <c r="BD2205">
        <v>100</v>
      </c>
      <c r="BE2205">
        <v>1</v>
      </c>
      <c r="BF2205">
        <v>15000</v>
      </c>
      <c r="BG2205">
        <v>1000</v>
      </c>
      <c r="BH2205" s="6">
        <f>Grandview_Inventory[[#This Row],[land_extract]]*Lookups!$B$3</f>
        <v>48369.510983942157</v>
      </c>
      <c r="BI2205" s="6">
        <f>IF(Grandview_Inventory[[#This Row],[bldg_style]]="",0,Lookups!$B$2)</f>
        <v>155833.95000000001</v>
      </c>
      <c r="BJ2205" s="6">
        <f>_xlfn.IFNA(VLOOKUP(Grandview_Inventory[[#This Row],[quality]],Lookups!$H$2:$J$14,3,FALSE),0)</f>
        <v>2251</v>
      </c>
      <c r="BK2205" s="6">
        <f>_xlfn.IFNA(VLOOKUP(Grandview_Inventory[[#This Row],[condition]],Lookups!$H$17:$J$24,3,FALSE),0)</f>
        <v>22342</v>
      </c>
      <c r="BL2205" s="6">
        <f>Grandview_Inventory[[#This Row],[Eff_Age]]*Lookups!$B$14</f>
        <v>-4304.9987999999994</v>
      </c>
      <c r="BM2205" s="6">
        <f>Grandview_Inventory[[#This Row],[living_area]]*Lookups!$B$15</f>
        <v>68743.700005999999</v>
      </c>
      <c r="BN2205" s="6">
        <f>Grandview_Inventory[[#This Row],[Fin BSMT]]*Lookups!$B$16</f>
        <v>0</v>
      </c>
      <c r="BO2205" s="6">
        <f>(Grandview_Inventory[[#This Row],[att_gar]]+Grandview_Inventory[[#This Row],[bltin_gar]])*Lookups!$B$17</f>
        <v>36758.58354</v>
      </c>
      <c r="BP2205" s="6">
        <f>Grandview_Inventory[[#This Row],[Plumbing Fixtures]]*Lookups!$B$18</f>
        <v>16083.5344</v>
      </c>
      <c r="BQ2205" s="6">
        <f>Grandview_Inventory[[#This Row],[detatched_value]]*Lookups!$B$19</f>
        <v>0</v>
      </c>
      <c r="BR2205" s="6">
        <f>SUM(Grandview_Inventory[[#This Row],[Intercept]:[det_value]])*Grandview_Inventory[[#This Row],[res_pct]]</f>
        <v>297707.76914600004</v>
      </c>
      <c r="BS2205" s="6">
        <f>Grandview_Inventory[[#This Row],[land_value]]</f>
        <v>48369.510983942157</v>
      </c>
      <c r="BT2205" s="4">
        <f>_xlfn.IFNA(VLOOKUP(Grandview_Inventory[[#This Row],[quality]],Lookups!$A$26:$C$33,3,FALSE),1)</f>
        <v>0.98763855981004833</v>
      </c>
      <c r="BU2205" s="4">
        <f>_xlfn.IFNA(VLOOKUP(Grandview_Inventory[[#This Row],[condition]],Lookups!$A$37:$C$44,3,FALSE),1)</f>
        <v>0.97383723671140243</v>
      </c>
      <c r="BV2205" s="4">
        <f>IF(Grandview_Inventory[[#This Row],[bldg_style]]="",1,_xlfn.IFNA(VLOOKUP(Grandview_Inventory[[#This Row],[decade]],Lookups!$F$29:$H$43,3,FALSE),1))</f>
        <v>0.96737494181490646</v>
      </c>
      <c r="BW2205" s="4">
        <f>_xlfn.IFNA(VLOOKUP(Grandview_Inventory[[#This Row],[living_area_range]],Lookups!$F$47:$H$56,3,FALSE),1)</f>
        <v>0.96135087979789358</v>
      </c>
      <c r="BX2205" s="4">
        <f>AVERAGE(Grandview_Inventory[[#This Row],[qual_adj]:[size_adj]])</f>
        <v>0.97255040453356267</v>
      </c>
      <c r="BY2205" s="6">
        <f>IF(Grandview_Inventory[[#This Row],[pre_res]]&lt;0,0,Grandview_Inventory[[#This Row],[pre_res]]*Grandview_Inventory[[#This Row],[overall_adj]])</f>
        <v>289535.81131572684</v>
      </c>
      <c r="BZ2205" s="6">
        <f>(Grandview_Inventory[[#This Row],[sum_land]]-IF(Grandview_Inventory[[#This Row],[no_utilities]]=1,12000,0))/IF(Grandview_Inventory[[#This Row],[unbuildable]]=1,2,1)</f>
        <v>48369.510983942157</v>
      </c>
      <c r="CA22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05">
        <f>ROUND(Grandview_Inventory[[#This Row],[det_value]]*Lookups!$M$28,-2)</f>
        <v>0</v>
      </c>
      <c r="CC2205">
        <f>IF(ROUND(Grandview_Inventory[[#This Row],[adj_res]]*Lookups!$M$28,-2)&lt;Grandview_Inventory[[#This Row],[min_res]],Grandview_Inventory[[#This Row],[min_res]],ROUND(Grandview_Inventory[[#This Row],[adj_res]]*Lookups!$M$28,-2))</f>
        <v>275100</v>
      </c>
      <c r="CD2205">
        <f>Grandview_Inventory[[#This Row],[final_det]]+Grandview_Inventory[[#This Row],[final_res]]</f>
        <v>275100</v>
      </c>
      <c r="CE2205">
        <f>Grandview_Inventory[[#This Row],[final_land]]+Grandview_Inventory[[#This Row],[final_imp]]+Grandview_Inventory[[#This Row],[crop_value]]</f>
        <v>321100</v>
      </c>
      <c r="CG2205" t="str">
        <f t="shared" si="34"/>
        <v>update valuation set market_land =46000, market_bldg=275100, market_total =321100, market_mdno =401, market_date ='9/10/2023' where link_id = (select link_id from parcel where parcel_year = '2024' and parcel_id = '23092424480');</v>
      </c>
    </row>
    <row r="2206" spans="1:85" x14ac:dyDescent="0.25">
      <c r="A2206">
        <v>23092424481</v>
      </c>
      <c r="B2206">
        <v>0.19</v>
      </c>
      <c r="C2206">
        <v>8124</v>
      </c>
      <c r="D2206" t="s">
        <v>129</v>
      </c>
      <c r="E2206" t="s">
        <v>53</v>
      </c>
      <c r="F2206" t="s">
        <v>53</v>
      </c>
      <c r="G2206">
        <v>4</v>
      </c>
      <c r="H2206" t="s">
        <v>54</v>
      </c>
      <c r="I2206">
        <v>212300</v>
      </c>
      <c r="J2206">
        <v>39100</v>
      </c>
      <c r="K2206">
        <v>0.19</v>
      </c>
      <c r="L220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06">
        <v>0</v>
      </c>
      <c r="N2206">
        <v>0</v>
      </c>
      <c r="O2206">
        <v>0</v>
      </c>
      <c r="P2206">
        <v>13398.7528</v>
      </c>
      <c r="Q2206">
        <v>63903</v>
      </c>
      <c r="R2206">
        <f>(Grandview_Inventory[[#This Row],[ln_acres]]*Grandview_Inventory[[#This Row],[coeff]])+Grandview_Inventory[[#This Row],[const]]</f>
        <v>41651.273092551026</v>
      </c>
      <c r="S2206" t="s">
        <v>61</v>
      </c>
      <c r="T2206">
        <v>1</v>
      </c>
      <c r="U2206" t="s">
        <v>65</v>
      </c>
      <c r="V2206" t="s">
        <v>67</v>
      </c>
      <c r="W2206">
        <v>0</v>
      </c>
      <c r="X2206">
        <v>0</v>
      </c>
      <c r="Y2206">
        <v>18</v>
      </c>
      <c r="Z2206">
        <v>18</v>
      </c>
      <c r="AA2206">
        <v>20</v>
      </c>
      <c r="AB2206">
        <v>1500</v>
      </c>
      <c r="AC2206">
        <v>1075</v>
      </c>
      <c r="AD2206">
        <v>1075</v>
      </c>
      <c r="AE2206">
        <v>0</v>
      </c>
      <c r="AF2206">
        <v>0</v>
      </c>
      <c r="AG2206">
        <v>0</v>
      </c>
      <c r="AH2206">
        <v>0</v>
      </c>
      <c r="AI2206">
        <v>520</v>
      </c>
      <c r="AJ2206">
        <v>0</v>
      </c>
      <c r="AK2206">
        <v>0</v>
      </c>
      <c r="AL2206">
        <v>0</v>
      </c>
      <c r="AM2206">
        <v>100</v>
      </c>
      <c r="AN2206">
        <v>44</v>
      </c>
      <c r="AO2206">
        <v>0</v>
      </c>
      <c r="AP2206">
        <v>8</v>
      </c>
      <c r="AQ2206">
        <v>0</v>
      </c>
      <c r="AR2206">
        <v>0</v>
      </c>
      <c r="AS2206" t="s">
        <v>58</v>
      </c>
      <c r="AT2206">
        <v>1</v>
      </c>
      <c r="AU2206" t="s">
        <v>63</v>
      </c>
      <c r="AV2206" t="s">
        <v>64</v>
      </c>
      <c r="AW2206">
        <v>1</v>
      </c>
      <c r="AX2206">
        <v>3</v>
      </c>
      <c r="AY2206">
        <v>0</v>
      </c>
      <c r="AZ2206">
        <v>0</v>
      </c>
      <c r="BA2206">
        <v>100</v>
      </c>
      <c r="BB2206">
        <v>100</v>
      </c>
      <c r="BC2206">
        <v>100</v>
      </c>
      <c r="BD2206">
        <v>100</v>
      </c>
      <c r="BE2206">
        <v>1</v>
      </c>
      <c r="BF2206">
        <v>15000</v>
      </c>
      <c r="BG2206">
        <v>1000</v>
      </c>
      <c r="BH2206" s="6">
        <f>Grandview_Inventory[[#This Row],[land_extract]]*Lookups!$B$3</f>
        <v>48369.510983942157</v>
      </c>
      <c r="BI2206" s="6">
        <f>IF(Grandview_Inventory[[#This Row],[bldg_style]]="",0,Lookups!$B$2)</f>
        <v>155833.95000000001</v>
      </c>
      <c r="BJ2206" s="6">
        <f>_xlfn.IFNA(VLOOKUP(Grandview_Inventory[[#This Row],[quality]],Lookups!$H$2:$J$14,3,FALSE),0)</f>
        <v>2251</v>
      </c>
      <c r="BK2206" s="6">
        <f>_xlfn.IFNA(VLOOKUP(Grandview_Inventory[[#This Row],[condition]],Lookups!$H$17:$J$24,3,FALSE),0)</f>
        <v>22342</v>
      </c>
      <c r="BL2206" s="6">
        <f>Grandview_Inventory[[#This Row],[Eff_Age]]*Lookups!$B$14</f>
        <v>-4304.9987999999994</v>
      </c>
      <c r="BM2206" s="6">
        <f>Grandview_Inventory[[#This Row],[living_area]]*Lookups!$B$15</f>
        <v>67059.416975</v>
      </c>
      <c r="BN2206" s="6">
        <f>Grandview_Inventory[[#This Row],[Fin BSMT]]*Lookups!$B$16</f>
        <v>0</v>
      </c>
      <c r="BO2206" s="6">
        <f>(Grandview_Inventory[[#This Row],[att_gar]]+Grandview_Inventory[[#This Row],[bltin_gar]])*Lookups!$B$17</f>
        <v>45510.627240000002</v>
      </c>
      <c r="BP2206" s="6">
        <f>Grandview_Inventory[[#This Row],[Plumbing Fixtures]]*Lookups!$B$18</f>
        <v>16083.5344</v>
      </c>
      <c r="BQ2206" s="6">
        <f>Grandview_Inventory[[#This Row],[detatched_value]]*Lookups!$B$19</f>
        <v>0</v>
      </c>
      <c r="BR2206" s="6">
        <f>SUM(Grandview_Inventory[[#This Row],[Intercept]:[det_value]])*Grandview_Inventory[[#This Row],[res_pct]]</f>
        <v>304775.52981500002</v>
      </c>
      <c r="BS2206" s="6">
        <f>Grandview_Inventory[[#This Row],[land_value]]</f>
        <v>48369.510983942157</v>
      </c>
      <c r="BT2206" s="4">
        <f>_xlfn.IFNA(VLOOKUP(Grandview_Inventory[[#This Row],[quality]],Lookups!$A$26:$C$33,3,FALSE),1)</f>
        <v>0.98763855981004833</v>
      </c>
      <c r="BU2206" s="4">
        <f>_xlfn.IFNA(VLOOKUP(Grandview_Inventory[[#This Row],[condition]],Lookups!$A$37:$C$44,3,FALSE),1)</f>
        <v>0.97383723671140243</v>
      </c>
      <c r="BV2206" s="4">
        <f>IF(Grandview_Inventory[[#This Row],[bldg_style]]="",1,_xlfn.IFNA(VLOOKUP(Grandview_Inventory[[#This Row],[decade]],Lookups!$F$29:$H$43,3,FALSE),1))</f>
        <v>0.96737494181490646</v>
      </c>
      <c r="BW2206" s="4">
        <f>_xlfn.IFNA(VLOOKUP(Grandview_Inventory[[#This Row],[living_area_range]],Lookups!$F$47:$H$56,3,FALSE),1)</f>
        <v>0.96135087979789358</v>
      </c>
      <c r="BX2206" s="4">
        <f>AVERAGE(Grandview_Inventory[[#This Row],[qual_adj]:[size_adj]])</f>
        <v>0.97255040453356267</v>
      </c>
      <c r="BY2206" s="6">
        <f>IF(Grandview_Inventory[[#This Row],[pre_res]]&lt;0,0,Grandview_Inventory[[#This Row],[pre_res]]*Grandview_Inventory[[#This Row],[overall_adj]])</f>
        <v>296409.56481350918</v>
      </c>
      <c r="BZ2206" s="6">
        <f>(Grandview_Inventory[[#This Row],[sum_land]]-IF(Grandview_Inventory[[#This Row],[no_utilities]]=1,12000,0))/IF(Grandview_Inventory[[#This Row],[unbuildable]]=1,2,1)</f>
        <v>48369.510983942157</v>
      </c>
      <c r="CA220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06">
        <f>ROUND(Grandview_Inventory[[#This Row],[det_value]]*Lookups!$M$28,-2)</f>
        <v>0</v>
      </c>
      <c r="CC2206">
        <f>IF(ROUND(Grandview_Inventory[[#This Row],[adj_res]]*Lookups!$M$28,-2)&lt;Grandview_Inventory[[#This Row],[min_res]],Grandview_Inventory[[#This Row],[min_res]],ROUND(Grandview_Inventory[[#This Row],[adj_res]]*Lookups!$M$28,-2))</f>
        <v>281600</v>
      </c>
      <c r="CD2206">
        <f>Grandview_Inventory[[#This Row],[final_det]]+Grandview_Inventory[[#This Row],[final_res]]</f>
        <v>281600</v>
      </c>
      <c r="CE2206">
        <f>Grandview_Inventory[[#This Row],[final_land]]+Grandview_Inventory[[#This Row],[final_imp]]+Grandview_Inventory[[#This Row],[crop_value]]</f>
        <v>327600</v>
      </c>
      <c r="CG2206" t="str">
        <f t="shared" si="34"/>
        <v>update valuation set market_land =46000, market_bldg=281600, market_total =327600, market_mdno =401, market_date ='9/10/2023' where link_id = (select link_id from parcel where parcel_year = '2024' and parcel_id = '23092424481');</v>
      </c>
    </row>
    <row r="2207" spans="1:85" x14ac:dyDescent="0.25">
      <c r="A2207">
        <v>23092424482</v>
      </c>
      <c r="B2207">
        <v>0.17</v>
      </c>
      <c r="C2207">
        <v>7187</v>
      </c>
      <c r="D2207" t="s">
        <v>129</v>
      </c>
      <c r="E2207" t="s">
        <v>53</v>
      </c>
      <c r="F2207" t="s">
        <v>53</v>
      </c>
      <c r="G2207">
        <v>4</v>
      </c>
      <c r="H2207" t="s">
        <v>54</v>
      </c>
      <c r="I2207">
        <v>210100</v>
      </c>
      <c r="J2207">
        <v>38600</v>
      </c>
      <c r="K2207">
        <v>0.17</v>
      </c>
      <c r="L220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07">
        <v>0</v>
      </c>
      <c r="N2207">
        <v>0</v>
      </c>
      <c r="O2207">
        <v>0</v>
      </c>
      <c r="P2207">
        <v>13398.7528</v>
      </c>
      <c r="Q2207">
        <v>63903</v>
      </c>
      <c r="R2207">
        <f>(Grandview_Inventory[[#This Row],[ln_acres]]*Grandview_Inventory[[#This Row],[coeff]])+Grandview_Inventory[[#This Row],[const]]</f>
        <v>40160.988302686128</v>
      </c>
      <c r="S2207" t="s">
        <v>61</v>
      </c>
      <c r="T2207">
        <v>1</v>
      </c>
      <c r="U2207" t="s">
        <v>65</v>
      </c>
      <c r="V2207" t="s">
        <v>67</v>
      </c>
      <c r="W2207">
        <v>0</v>
      </c>
      <c r="X2207">
        <v>0</v>
      </c>
      <c r="Y2207">
        <v>17</v>
      </c>
      <c r="Z2207">
        <v>17</v>
      </c>
      <c r="AA2207">
        <v>20</v>
      </c>
      <c r="AB2207">
        <v>1500</v>
      </c>
      <c r="AC2207">
        <v>1029</v>
      </c>
      <c r="AD2207">
        <v>1029</v>
      </c>
      <c r="AE2207">
        <v>0</v>
      </c>
      <c r="AF2207">
        <v>0</v>
      </c>
      <c r="AG2207">
        <v>0</v>
      </c>
      <c r="AH2207">
        <v>0</v>
      </c>
      <c r="AI2207">
        <v>520</v>
      </c>
      <c r="AJ2207">
        <v>0</v>
      </c>
      <c r="AK2207">
        <v>0</v>
      </c>
      <c r="AL2207">
        <v>0</v>
      </c>
      <c r="AM2207">
        <v>100</v>
      </c>
      <c r="AN2207">
        <v>60</v>
      </c>
      <c r="AO2207">
        <v>0</v>
      </c>
      <c r="AP2207">
        <v>8</v>
      </c>
      <c r="AQ2207">
        <v>0</v>
      </c>
      <c r="AR2207">
        <v>0</v>
      </c>
      <c r="AS2207" t="s">
        <v>58</v>
      </c>
      <c r="AT2207">
        <v>1</v>
      </c>
      <c r="AU2207" t="s">
        <v>63</v>
      </c>
      <c r="AV2207" t="s">
        <v>64</v>
      </c>
      <c r="AW2207">
        <v>1</v>
      </c>
      <c r="AX2207">
        <v>3</v>
      </c>
      <c r="AY2207">
        <v>0</v>
      </c>
      <c r="AZ2207">
        <v>0</v>
      </c>
      <c r="BA2207">
        <v>100</v>
      </c>
      <c r="BB2207">
        <v>100</v>
      </c>
      <c r="BC2207">
        <v>100</v>
      </c>
      <c r="BD2207">
        <v>100</v>
      </c>
      <c r="BE2207">
        <v>1</v>
      </c>
      <c r="BF2207">
        <v>15000</v>
      </c>
      <c r="BG2207">
        <v>1000</v>
      </c>
      <c r="BH2207" s="6">
        <f>Grandview_Inventory[[#This Row],[land_extract]]*Lookups!$B$3</f>
        <v>46638.847281240982</v>
      </c>
      <c r="BI2207" s="6">
        <f>IF(Grandview_Inventory[[#This Row],[bldg_style]]="",0,Lookups!$B$2)</f>
        <v>155833.95000000001</v>
      </c>
      <c r="BJ2207" s="6">
        <f>_xlfn.IFNA(VLOOKUP(Grandview_Inventory[[#This Row],[quality]],Lookups!$H$2:$J$14,3,FALSE),0)</f>
        <v>2251</v>
      </c>
      <c r="BK2207" s="6">
        <f>_xlfn.IFNA(VLOOKUP(Grandview_Inventory[[#This Row],[condition]],Lookups!$H$17:$J$24,3,FALSE),0)</f>
        <v>22342</v>
      </c>
      <c r="BL2207" s="6">
        <f>Grandview_Inventory[[#This Row],[Eff_Age]]*Lookups!$B$14</f>
        <v>-4065.8321999999998</v>
      </c>
      <c r="BM2207" s="6">
        <f>Grandview_Inventory[[#This Row],[living_area]]*Lookups!$B$15</f>
        <v>64189.897736999999</v>
      </c>
      <c r="BN2207" s="6">
        <f>Grandview_Inventory[[#This Row],[Fin BSMT]]*Lookups!$B$16</f>
        <v>0</v>
      </c>
      <c r="BO2207" s="6">
        <f>(Grandview_Inventory[[#This Row],[att_gar]]+Grandview_Inventory[[#This Row],[bltin_gar]])*Lookups!$B$17</f>
        <v>45510.627240000002</v>
      </c>
      <c r="BP2207" s="6">
        <f>Grandview_Inventory[[#This Row],[Plumbing Fixtures]]*Lookups!$B$18</f>
        <v>16083.5344</v>
      </c>
      <c r="BQ2207" s="6">
        <f>Grandview_Inventory[[#This Row],[detatched_value]]*Lookups!$B$19</f>
        <v>0</v>
      </c>
      <c r="BR2207" s="6">
        <f>SUM(Grandview_Inventory[[#This Row],[Intercept]:[det_value]])*Grandview_Inventory[[#This Row],[res_pct]]</f>
        <v>302145.17717699998</v>
      </c>
      <c r="BS2207" s="6">
        <f>Grandview_Inventory[[#This Row],[land_value]]</f>
        <v>46638.847281240982</v>
      </c>
      <c r="BT2207" s="4">
        <f>_xlfn.IFNA(VLOOKUP(Grandview_Inventory[[#This Row],[quality]],Lookups!$A$26:$C$33,3,FALSE),1)</f>
        <v>0.98763855981004833</v>
      </c>
      <c r="BU2207" s="4">
        <f>_xlfn.IFNA(VLOOKUP(Grandview_Inventory[[#This Row],[condition]],Lookups!$A$37:$C$44,3,FALSE),1)</f>
        <v>0.97383723671140243</v>
      </c>
      <c r="BV2207" s="4">
        <f>IF(Grandview_Inventory[[#This Row],[bldg_style]]="",1,_xlfn.IFNA(VLOOKUP(Grandview_Inventory[[#This Row],[decade]],Lookups!$F$29:$H$43,3,FALSE),1))</f>
        <v>0.96737494181490646</v>
      </c>
      <c r="BW2207" s="4">
        <f>_xlfn.IFNA(VLOOKUP(Grandview_Inventory[[#This Row],[living_area_range]],Lookups!$F$47:$H$56,3,FALSE),1)</f>
        <v>0.96135087979789358</v>
      </c>
      <c r="BX2207" s="4">
        <f>AVERAGE(Grandview_Inventory[[#This Row],[qual_adj]:[size_adj]])</f>
        <v>0.97255040453356267</v>
      </c>
      <c r="BY2207" s="6">
        <f>IF(Grandview_Inventory[[#This Row],[pre_res]]&lt;0,0,Grandview_Inventory[[#This Row],[pre_res]]*Grandview_Inventory[[#This Row],[overall_adj]])</f>
        <v>293851.41429135628</v>
      </c>
      <c r="BZ2207" s="6">
        <f>(Grandview_Inventory[[#This Row],[sum_land]]-IF(Grandview_Inventory[[#This Row],[no_utilities]]=1,12000,0))/IF(Grandview_Inventory[[#This Row],[unbuildable]]=1,2,1)</f>
        <v>46638.847281240982</v>
      </c>
      <c r="CA220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07">
        <f>ROUND(Grandview_Inventory[[#This Row],[det_value]]*Lookups!$M$28,-2)</f>
        <v>0</v>
      </c>
      <c r="CC2207">
        <f>IF(ROUND(Grandview_Inventory[[#This Row],[adj_res]]*Lookups!$M$28,-2)&lt;Grandview_Inventory[[#This Row],[min_res]],Grandview_Inventory[[#This Row],[min_res]],ROUND(Grandview_Inventory[[#This Row],[adj_res]]*Lookups!$M$28,-2))</f>
        <v>279200</v>
      </c>
      <c r="CD2207">
        <f>Grandview_Inventory[[#This Row],[final_det]]+Grandview_Inventory[[#This Row],[final_res]]</f>
        <v>279200</v>
      </c>
      <c r="CE2207">
        <f>Grandview_Inventory[[#This Row],[final_land]]+Grandview_Inventory[[#This Row],[final_imp]]+Grandview_Inventory[[#This Row],[crop_value]]</f>
        <v>323500</v>
      </c>
      <c r="CG2207" t="str">
        <f t="shared" si="34"/>
        <v>update valuation set market_land =44300, market_bldg=279200, market_total =323500, market_mdno =401, market_date ='9/10/2023' where link_id = (select link_id from parcel where parcel_year = '2024' and parcel_id = '23092424482');</v>
      </c>
    </row>
    <row r="2208" spans="1:85" x14ac:dyDescent="0.25">
      <c r="A2208">
        <v>23092424483</v>
      </c>
      <c r="B2208">
        <v>0.2</v>
      </c>
      <c r="C2208">
        <v>8737</v>
      </c>
      <c r="D2208" t="s">
        <v>129</v>
      </c>
      <c r="E2208" t="s">
        <v>53</v>
      </c>
      <c r="F2208" t="s">
        <v>53</v>
      </c>
      <c r="G2208">
        <v>4</v>
      </c>
      <c r="H2208" t="s">
        <v>54</v>
      </c>
      <c r="I2208">
        <v>220700</v>
      </c>
      <c r="J2208">
        <v>45400</v>
      </c>
      <c r="K2208">
        <v>0.2</v>
      </c>
      <c r="L220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208">
        <v>0</v>
      </c>
      <c r="N2208">
        <v>0</v>
      </c>
      <c r="O2208">
        <v>0</v>
      </c>
      <c r="P2208">
        <v>13398.7528</v>
      </c>
      <c r="Q2208">
        <v>63903</v>
      </c>
      <c r="R2208">
        <f>(Grandview_Inventory[[#This Row],[ln_acres]]*Grandview_Inventory[[#This Row],[coeff]])+Grandview_Inventory[[#This Row],[const]]</f>
        <v>42338.539264347448</v>
      </c>
      <c r="S2208" t="s">
        <v>61</v>
      </c>
      <c r="T2208">
        <v>1</v>
      </c>
      <c r="U2208" t="s">
        <v>62</v>
      </c>
      <c r="V2208" t="s">
        <v>67</v>
      </c>
      <c r="W2208">
        <v>0</v>
      </c>
      <c r="X2208">
        <v>0</v>
      </c>
      <c r="Y2208">
        <v>16</v>
      </c>
      <c r="Z2208">
        <v>16</v>
      </c>
      <c r="AA2208">
        <v>20</v>
      </c>
      <c r="AB2208">
        <v>1500</v>
      </c>
      <c r="AC2208">
        <v>1293</v>
      </c>
      <c r="AD2208">
        <v>1293</v>
      </c>
      <c r="AE2208">
        <v>0</v>
      </c>
      <c r="AF2208">
        <v>0</v>
      </c>
      <c r="AG2208">
        <v>0</v>
      </c>
      <c r="AH2208">
        <v>0</v>
      </c>
      <c r="AI2208">
        <v>494</v>
      </c>
      <c r="AJ2208">
        <v>0</v>
      </c>
      <c r="AK2208">
        <v>0</v>
      </c>
      <c r="AL2208">
        <v>0</v>
      </c>
      <c r="AM2208">
        <v>100</v>
      </c>
      <c r="AN2208">
        <v>0</v>
      </c>
      <c r="AO2208">
        <v>0</v>
      </c>
      <c r="AP2208">
        <v>8</v>
      </c>
      <c r="AQ2208">
        <v>0</v>
      </c>
      <c r="AR2208">
        <v>0</v>
      </c>
      <c r="AS2208" t="s">
        <v>58</v>
      </c>
      <c r="AT2208">
        <v>1</v>
      </c>
      <c r="AU2208" t="s">
        <v>63</v>
      </c>
      <c r="AV2208" t="s">
        <v>64</v>
      </c>
      <c r="AW2208">
        <v>1</v>
      </c>
      <c r="AX2208">
        <v>3</v>
      </c>
      <c r="AY2208">
        <v>0</v>
      </c>
      <c r="AZ2208">
        <v>0</v>
      </c>
      <c r="BA2208">
        <v>100</v>
      </c>
      <c r="BB2208">
        <v>100</v>
      </c>
      <c r="BC2208">
        <v>100</v>
      </c>
      <c r="BD2208">
        <v>100</v>
      </c>
      <c r="BE2208">
        <v>1</v>
      </c>
      <c r="BF2208">
        <v>15000</v>
      </c>
      <c r="BG2208">
        <v>1000</v>
      </c>
      <c r="BH2208" s="6">
        <f>Grandview_Inventory[[#This Row],[land_extract]]*Lookups!$B$3</f>
        <v>49167.631333630678</v>
      </c>
      <c r="BI2208" s="6">
        <f>IF(Grandview_Inventory[[#This Row],[bldg_style]]="",0,Lookups!$B$2)</f>
        <v>155833.95000000001</v>
      </c>
      <c r="BJ2208" s="6">
        <f>_xlfn.IFNA(VLOOKUP(Grandview_Inventory[[#This Row],[quality]],Lookups!$H$2:$J$14,3,FALSE),0)</f>
        <v>9808</v>
      </c>
      <c r="BK2208" s="6">
        <f>_xlfn.IFNA(VLOOKUP(Grandview_Inventory[[#This Row],[condition]],Lookups!$H$17:$J$24,3,FALSE),0)</f>
        <v>22342</v>
      </c>
      <c r="BL2208" s="6">
        <f>Grandview_Inventory[[#This Row],[Eff_Age]]*Lookups!$B$14</f>
        <v>-3826.6655999999998</v>
      </c>
      <c r="BM2208" s="6">
        <f>Grandview_Inventory[[#This Row],[living_area]]*Lookups!$B$15</f>
        <v>80658.442928999997</v>
      </c>
      <c r="BN2208" s="6">
        <f>Grandview_Inventory[[#This Row],[Fin BSMT]]*Lookups!$B$16</f>
        <v>0</v>
      </c>
      <c r="BO2208" s="6">
        <f>(Grandview_Inventory[[#This Row],[att_gar]]+Grandview_Inventory[[#This Row],[bltin_gar]])*Lookups!$B$17</f>
        <v>43235.095878</v>
      </c>
      <c r="BP2208" s="6">
        <f>Grandview_Inventory[[#This Row],[Plumbing Fixtures]]*Lookups!$B$18</f>
        <v>16083.5344</v>
      </c>
      <c r="BQ2208" s="6">
        <f>Grandview_Inventory[[#This Row],[detatched_value]]*Lookups!$B$19</f>
        <v>0</v>
      </c>
      <c r="BR2208" s="6">
        <f>SUM(Grandview_Inventory[[#This Row],[Intercept]:[det_value]])*Grandview_Inventory[[#This Row],[res_pct]]</f>
        <v>324134.35760700004</v>
      </c>
      <c r="BS2208" s="6">
        <f>Grandview_Inventory[[#This Row],[land_value]]</f>
        <v>49167.631333630678</v>
      </c>
      <c r="BT2208" s="4">
        <f>_xlfn.IFNA(VLOOKUP(Grandview_Inventory[[#This Row],[quality]],Lookups!$A$26:$C$33,3,FALSE),1)</f>
        <v>0.94295468617355149</v>
      </c>
      <c r="BU2208" s="4">
        <f>_xlfn.IFNA(VLOOKUP(Grandview_Inventory[[#This Row],[condition]],Lookups!$A$37:$C$44,3,FALSE),1)</f>
        <v>0.97383723671140243</v>
      </c>
      <c r="BV2208" s="4">
        <f>IF(Grandview_Inventory[[#This Row],[bldg_style]]="",1,_xlfn.IFNA(VLOOKUP(Grandview_Inventory[[#This Row],[decade]],Lookups!$F$29:$H$43,3,FALSE),1))</f>
        <v>0.96737494181490646</v>
      </c>
      <c r="BW2208" s="4">
        <f>_xlfn.IFNA(VLOOKUP(Grandview_Inventory[[#This Row],[living_area_range]],Lookups!$F$47:$H$56,3,FALSE),1)</f>
        <v>0.96135087979789358</v>
      </c>
      <c r="BX2208" s="4">
        <f>AVERAGE(Grandview_Inventory[[#This Row],[qual_adj]:[size_adj]])</f>
        <v>0.96137943612443855</v>
      </c>
      <c r="BY2208" s="6">
        <f>IF(Grandview_Inventory[[#This Row],[pre_res]]&lt;0,0,Grandview_Inventory[[#This Row],[pre_res]]*Grandview_Inventory[[#This Row],[overall_adj]])</f>
        <v>311616.10594477481</v>
      </c>
      <c r="BZ2208" s="6">
        <f>(Grandview_Inventory[[#This Row],[sum_land]]-IF(Grandview_Inventory[[#This Row],[no_utilities]]=1,12000,0))/IF(Grandview_Inventory[[#This Row],[unbuildable]]=1,2,1)</f>
        <v>49167.631333630678</v>
      </c>
      <c r="CA220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208">
        <f>ROUND(Grandview_Inventory[[#This Row],[det_value]]*Lookups!$M$28,-2)</f>
        <v>0</v>
      </c>
      <c r="CC2208">
        <f>IF(ROUND(Grandview_Inventory[[#This Row],[adj_res]]*Lookups!$M$28,-2)&lt;Grandview_Inventory[[#This Row],[min_res]],Grandview_Inventory[[#This Row],[min_res]],ROUND(Grandview_Inventory[[#This Row],[adj_res]]*Lookups!$M$28,-2))</f>
        <v>296000</v>
      </c>
      <c r="CD2208">
        <f>Grandview_Inventory[[#This Row],[final_det]]+Grandview_Inventory[[#This Row],[final_res]]</f>
        <v>296000</v>
      </c>
      <c r="CE2208">
        <f>Grandview_Inventory[[#This Row],[final_land]]+Grandview_Inventory[[#This Row],[final_imp]]+Grandview_Inventory[[#This Row],[crop_value]]</f>
        <v>342700</v>
      </c>
      <c r="CG2208" t="str">
        <f t="shared" si="34"/>
        <v>update valuation set market_land =46700, market_bldg=296000, market_total =342700, market_mdno =401, market_date ='9/10/2023' where link_id = (select link_id from parcel where parcel_year = '2024' and parcel_id = '23092424483');</v>
      </c>
    </row>
    <row r="2209" spans="1:85" x14ac:dyDescent="0.25">
      <c r="A2209">
        <v>23092424484</v>
      </c>
      <c r="B2209">
        <v>0.2</v>
      </c>
      <c r="C2209">
        <v>8737</v>
      </c>
      <c r="D2209" t="s">
        <v>129</v>
      </c>
      <c r="E2209" t="s">
        <v>53</v>
      </c>
      <c r="F2209" t="s">
        <v>53</v>
      </c>
      <c r="G2209">
        <v>4</v>
      </c>
      <c r="H2209" t="s">
        <v>54</v>
      </c>
      <c r="I2209">
        <v>220500</v>
      </c>
      <c r="J2209">
        <v>45400</v>
      </c>
      <c r="K2209">
        <v>0.2</v>
      </c>
      <c r="L220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209">
        <v>0</v>
      </c>
      <c r="N2209">
        <v>0</v>
      </c>
      <c r="O2209">
        <v>0</v>
      </c>
      <c r="P2209">
        <v>13398.7528</v>
      </c>
      <c r="Q2209">
        <v>63903</v>
      </c>
      <c r="R2209">
        <f>(Grandview_Inventory[[#This Row],[ln_acres]]*Grandview_Inventory[[#This Row],[coeff]])+Grandview_Inventory[[#This Row],[const]]</f>
        <v>42338.539264347448</v>
      </c>
      <c r="S2209" t="s">
        <v>61</v>
      </c>
      <c r="T2209">
        <v>1</v>
      </c>
      <c r="U2209" t="s">
        <v>62</v>
      </c>
      <c r="V2209" t="s">
        <v>67</v>
      </c>
      <c r="W2209">
        <v>0</v>
      </c>
      <c r="X2209">
        <v>0</v>
      </c>
      <c r="Y2209">
        <v>16</v>
      </c>
      <c r="Z2209">
        <v>16</v>
      </c>
      <c r="AA2209">
        <v>20</v>
      </c>
      <c r="AB2209">
        <v>1500</v>
      </c>
      <c r="AC2209">
        <v>1253</v>
      </c>
      <c r="AD2209">
        <v>1253</v>
      </c>
      <c r="AE2209">
        <v>0</v>
      </c>
      <c r="AF2209">
        <v>0</v>
      </c>
      <c r="AG2209">
        <v>0</v>
      </c>
      <c r="AH2209">
        <v>0</v>
      </c>
      <c r="AI2209">
        <v>494</v>
      </c>
      <c r="AJ2209">
        <v>0</v>
      </c>
      <c r="AK2209">
        <v>0</v>
      </c>
      <c r="AL2209">
        <v>0</v>
      </c>
      <c r="AM2209">
        <v>100</v>
      </c>
      <c r="AN2209">
        <v>40</v>
      </c>
      <c r="AO2209">
        <v>0</v>
      </c>
      <c r="AP2209">
        <v>8</v>
      </c>
      <c r="AQ2209">
        <v>0</v>
      </c>
      <c r="AR2209">
        <v>0</v>
      </c>
      <c r="AS2209" t="s">
        <v>58</v>
      </c>
      <c r="AT2209">
        <v>1</v>
      </c>
      <c r="AU2209" t="s">
        <v>63</v>
      </c>
      <c r="AV2209" t="s">
        <v>64</v>
      </c>
      <c r="AW2209">
        <v>1</v>
      </c>
      <c r="AX2209">
        <v>4</v>
      </c>
      <c r="AY2209">
        <v>0</v>
      </c>
      <c r="AZ2209">
        <v>0</v>
      </c>
      <c r="BA2209">
        <v>100</v>
      </c>
      <c r="BB2209">
        <v>100</v>
      </c>
      <c r="BC2209">
        <v>100</v>
      </c>
      <c r="BD2209">
        <v>100</v>
      </c>
      <c r="BE2209">
        <v>1</v>
      </c>
      <c r="BF2209">
        <v>15000</v>
      </c>
      <c r="BG2209">
        <v>1000</v>
      </c>
      <c r="BH2209" s="6">
        <f>Grandview_Inventory[[#This Row],[land_extract]]*Lookups!$B$3</f>
        <v>49167.631333630678</v>
      </c>
      <c r="BI2209" s="6">
        <f>IF(Grandview_Inventory[[#This Row],[bldg_style]]="",0,Lookups!$B$2)</f>
        <v>155833.95000000001</v>
      </c>
      <c r="BJ2209" s="6">
        <f>_xlfn.IFNA(VLOOKUP(Grandview_Inventory[[#This Row],[quality]],Lookups!$H$2:$J$14,3,FALSE),0)</f>
        <v>9808</v>
      </c>
      <c r="BK2209" s="6">
        <f>_xlfn.IFNA(VLOOKUP(Grandview_Inventory[[#This Row],[condition]],Lookups!$H$17:$J$24,3,FALSE),0)</f>
        <v>22342</v>
      </c>
      <c r="BL2209" s="6">
        <f>Grandview_Inventory[[#This Row],[Eff_Age]]*Lookups!$B$14</f>
        <v>-3826.6655999999998</v>
      </c>
      <c r="BM2209" s="6">
        <f>Grandview_Inventory[[#This Row],[living_area]]*Lookups!$B$15</f>
        <v>78163.208809000003</v>
      </c>
      <c r="BN2209" s="6">
        <f>Grandview_Inventory[[#This Row],[Fin BSMT]]*Lookups!$B$16</f>
        <v>0</v>
      </c>
      <c r="BO2209" s="6">
        <f>(Grandview_Inventory[[#This Row],[att_gar]]+Grandview_Inventory[[#This Row],[bltin_gar]])*Lookups!$B$17</f>
        <v>43235.095878</v>
      </c>
      <c r="BP2209" s="6">
        <f>Grandview_Inventory[[#This Row],[Plumbing Fixtures]]*Lookups!$B$18</f>
        <v>16083.5344</v>
      </c>
      <c r="BQ2209" s="6">
        <f>Grandview_Inventory[[#This Row],[detatched_value]]*Lookups!$B$19</f>
        <v>0</v>
      </c>
      <c r="BR2209" s="6">
        <f>SUM(Grandview_Inventory[[#This Row],[Intercept]:[det_value]])*Grandview_Inventory[[#This Row],[res_pct]]</f>
        <v>321639.123487</v>
      </c>
      <c r="BS2209" s="6">
        <f>Grandview_Inventory[[#This Row],[land_value]]</f>
        <v>49167.631333630678</v>
      </c>
      <c r="BT2209" s="4">
        <f>_xlfn.IFNA(VLOOKUP(Grandview_Inventory[[#This Row],[quality]],Lookups!$A$26:$C$33,3,FALSE),1)</f>
        <v>0.94295468617355149</v>
      </c>
      <c r="BU2209" s="4">
        <f>_xlfn.IFNA(VLOOKUP(Grandview_Inventory[[#This Row],[condition]],Lookups!$A$37:$C$44,3,FALSE),1)</f>
        <v>0.97383723671140243</v>
      </c>
      <c r="BV2209" s="4">
        <f>IF(Grandview_Inventory[[#This Row],[bldg_style]]="",1,_xlfn.IFNA(VLOOKUP(Grandview_Inventory[[#This Row],[decade]],Lookups!$F$29:$H$43,3,FALSE),1))</f>
        <v>0.96737494181490646</v>
      </c>
      <c r="BW2209" s="4">
        <f>_xlfn.IFNA(VLOOKUP(Grandview_Inventory[[#This Row],[living_area_range]],Lookups!$F$47:$H$56,3,FALSE),1)</f>
        <v>0.96135087979789358</v>
      </c>
      <c r="BX2209" s="4">
        <f>AVERAGE(Grandview_Inventory[[#This Row],[qual_adj]:[size_adj]])</f>
        <v>0.96137943612443855</v>
      </c>
      <c r="BY2209" s="6">
        <f>IF(Grandview_Inventory[[#This Row],[pre_res]]&lt;0,0,Grandview_Inventory[[#This Row],[pre_res]]*Grandview_Inventory[[#This Row],[overall_adj]])</f>
        <v>309217.23917349073</v>
      </c>
      <c r="BZ2209" s="6">
        <f>(Grandview_Inventory[[#This Row],[sum_land]]-IF(Grandview_Inventory[[#This Row],[no_utilities]]=1,12000,0))/IF(Grandview_Inventory[[#This Row],[unbuildable]]=1,2,1)</f>
        <v>49167.631333630678</v>
      </c>
      <c r="CA220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209">
        <f>ROUND(Grandview_Inventory[[#This Row],[det_value]]*Lookups!$M$28,-2)</f>
        <v>0</v>
      </c>
      <c r="CC2209">
        <f>IF(ROUND(Grandview_Inventory[[#This Row],[adj_res]]*Lookups!$M$28,-2)&lt;Grandview_Inventory[[#This Row],[min_res]],Grandview_Inventory[[#This Row],[min_res]],ROUND(Grandview_Inventory[[#This Row],[adj_res]]*Lookups!$M$28,-2))</f>
        <v>293800</v>
      </c>
      <c r="CD2209">
        <f>Grandview_Inventory[[#This Row],[final_det]]+Grandview_Inventory[[#This Row],[final_res]]</f>
        <v>293800</v>
      </c>
      <c r="CE2209">
        <f>Grandview_Inventory[[#This Row],[final_land]]+Grandview_Inventory[[#This Row],[final_imp]]+Grandview_Inventory[[#This Row],[crop_value]]</f>
        <v>340500</v>
      </c>
      <c r="CG2209" t="str">
        <f t="shared" si="34"/>
        <v>update valuation set market_land =46700, market_bldg=293800, market_total =340500, market_mdno =401, market_date ='9/10/2023' where link_id = (select link_id from parcel where parcel_year = '2024' and parcel_id = '23092424484');</v>
      </c>
    </row>
    <row r="2210" spans="1:85" x14ac:dyDescent="0.25">
      <c r="A2210">
        <v>23092424485</v>
      </c>
      <c r="B2210">
        <v>0.2</v>
      </c>
      <c r="C2210">
        <v>8730</v>
      </c>
      <c r="D2210" t="s">
        <v>129</v>
      </c>
      <c r="E2210" t="s">
        <v>53</v>
      </c>
      <c r="F2210" t="s">
        <v>53</v>
      </c>
      <c r="G2210">
        <v>4</v>
      </c>
      <c r="H2210" t="s">
        <v>54</v>
      </c>
      <c r="I2210">
        <v>228300</v>
      </c>
      <c r="J2210">
        <v>45400</v>
      </c>
      <c r="K2210">
        <v>0.2</v>
      </c>
      <c r="L221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210">
        <v>0</v>
      </c>
      <c r="N2210">
        <v>0</v>
      </c>
      <c r="O2210">
        <v>0</v>
      </c>
      <c r="P2210">
        <v>13398.7528</v>
      </c>
      <c r="Q2210">
        <v>63903</v>
      </c>
      <c r="R2210">
        <f>(Grandview_Inventory[[#This Row],[ln_acres]]*Grandview_Inventory[[#This Row],[coeff]])+Grandview_Inventory[[#This Row],[const]]</f>
        <v>42338.539264347448</v>
      </c>
      <c r="S2210" t="s">
        <v>61</v>
      </c>
      <c r="T2210">
        <v>1</v>
      </c>
      <c r="U2210" t="s">
        <v>62</v>
      </c>
      <c r="V2210" t="s">
        <v>67</v>
      </c>
      <c r="W2210">
        <v>0</v>
      </c>
      <c r="X2210">
        <v>0</v>
      </c>
      <c r="Y2210">
        <v>16</v>
      </c>
      <c r="Z2210">
        <v>16</v>
      </c>
      <c r="AA2210">
        <v>20</v>
      </c>
      <c r="AB2210">
        <v>2000</v>
      </c>
      <c r="AC2210">
        <v>1695</v>
      </c>
      <c r="AD2210">
        <v>1263</v>
      </c>
      <c r="AE2210">
        <v>0</v>
      </c>
      <c r="AF2210">
        <v>432</v>
      </c>
      <c r="AG2210">
        <v>0</v>
      </c>
      <c r="AH2210">
        <v>0</v>
      </c>
      <c r="AI2210">
        <v>632</v>
      </c>
      <c r="AJ2210">
        <v>0</v>
      </c>
      <c r="AK2210">
        <v>0</v>
      </c>
      <c r="AL2210">
        <v>0</v>
      </c>
      <c r="AM2210">
        <v>100</v>
      </c>
      <c r="AN2210">
        <v>44</v>
      </c>
      <c r="AO2210">
        <v>0</v>
      </c>
      <c r="AP2210">
        <v>8</v>
      </c>
      <c r="AQ2210">
        <v>0</v>
      </c>
      <c r="AR2210">
        <v>0</v>
      </c>
      <c r="AS2210" t="s">
        <v>58</v>
      </c>
      <c r="AT2210">
        <v>1</v>
      </c>
      <c r="AU2210" t="s">
        <v>63</v>
      </c>
      <c r="AV2210" t="s">
        <v>64</v>
      </c>
      <c r="AW2210">
        <v>1</v>
      </c>
      <c r="AX2210">
        <v>3</v>
      </c>
      <c r="AY2210">
        <v>0</v>
      </c>
      <c r="AZ2210">
        <v>0</v>
      </c>
      <c r="BA2210">
        <v>100</v>
      </c>
      <c r="BB2210">
        <v>100</v>
      </c>
      <c r="BC2210">
        <v>100</v>
      </c>
      <c r="BD2210">
        <v>100</v>
      </c>
      <c r="BE2210">
        <v>1</v>
      </c>
      <c r="BF2210">
        <v>15000</v>
      </c>
      <c r="BG2210">
        <v>1000</v>
      </c>
      <c r="BH2210" s="6">
        <f>Grandview_Inventory[[#This Row],[land_extract]]*Lookups!$B$3</f>
        <v>49167.631333630678</v>
      </c>
      <c r="BI2210" s="6">
        <f>IF(Grandview_Inventory[[#This Row],[bldg_style]]="",0,Lookups!$B$2)</f>
        <v>155833.95000000001</v>
      </c>
      <c r="BJ2210" s="6">
        <f>_xlfn.IFNA(VLOOKUP(Grandview_Inventory[[#This Row],[quality]],Lookups!$H$2:$J$14,3,FALSE),0)</f>
        <v>9808</v>
      </c>
      <c r="BK2210" s="6">
        <f>_xlfn.IFNA(VLOOKUP(Grandview_Inventory[[#This Row],[condition]],Lookups!$H$17:$J$24,3,FALSE),0)</f>
        <v>22342</v>
      </c>
      <c r="BL2210" s="6">
        <f>Grandview_Inventory[[#This Row],[Eff_Age]]*Lookups!$B$14</f>
        <v>-3826.6655999999998</v>
      </c>
      <c r="BM2210" s="6">
        <f>Grandview_Inventory[[#This Row],[living_area]]*Lookups!$B$15</f>
        <v>105735.545835</v>
      </c>
      <c r="BN2210" s="6">
        <f>Grandview_Inventory[[#This Row],[Fin BSMT]]*Lookups!$B$16</f>
        <v>0</v>
      </c>
      <c r="BO2210" s="6">
        <f>(Grandview_Inventory[[#This Row],[att_gar]]+Grandview_Inventory[[#This Row],[bltin_gar]])*Lookups!$B$17</f>
        <v>55312.916184000002</v>
      </c>
      <c r="BP2210" s="6">
        <f>Grandview_Inventory[[#This Row],[Plumbing Fixtures]]*Lookups!$B$18</f>
        <v>16083.5344</v>
      </c>
      <c r="BQ2210" s="6">
        <f>Grandview_Inventory[[#This Row],[detatched_value]]*Lookups!$B$19</f>
        <v>0</v>
      </c>
      <c r="BR2210" s="6">
        <f>SUM(Grandview_Inventory[[#This Row],[Intercept]:[det_value]])*Grandview_Inventory[[#This Row],[res_pct]]</f>
        <v>361289.28081899998</v>
      </c>
      <c r="BS2210" s="6">
        <f>Grandview_Inventory[[#This Row],[land_value]]</f>
        <v>49167.631333630678</v>
      </c>
      <c r="BT2210" s="4">
        <f>_xlfn.IFNA(VLOOKUP(Grandview_Inventory[[#This Row],[quality]],Lookups!$A$26:$C$33,3,FALSE),1)</f>
        <v>0.94295468617355149</v>
      </c>
      <c r="BU2210" s="4">
        <f>_xlfn.IFNA(VLOOKUP(Grandview_Inventory[[#This Row],[condition]],Lookups!$A$37:$C$44,3,FALSE),1)</f>
        <v>0.97383723671140243</v>
      </c>
      <c r="BV2210" s="4">
        <f>IF(Grandview_Inventory[[#This Row],[bldg_style]]="",1,_xlfn.IFNA(VLOOKUP(Grandview_Inventory[[#This Row],[decade]],Lookups!$F$29:$H$43,3,FALSE),1))</f>
        <v>0.96737494181490646</v>
      </c>
      <c r="BW2210" s="4">
        <f>_xlfn.IFNA(VLOOKUP(Grandview_Inventory[[#This Row],[living_area_range]],Lookups!$F$47:$H$56,3,FALSE),1)</f>
        <v>0.96120133463014379</v>
      </c>
      <c r="BX2210" s="4">
        <f>AVERAGE(Grandview_Inventory[[#This Row],[qual_adj]:[size_adj]])</f>
        <v>0.96134204983250116</v>
      </c>
      <c r="BY2210" s="6">
        <f>IF(Grandview_Inventory[[#This Row],[pre_res]]&lt;0,0,Grandview_Inventory[[#This Row],[pre_res]]*Grandview_Inventory[[#This Row],[overall_adj]])</f>
        <v>347322.57780504756</v>
      </c>
      <c r="BZ2210" s="6">
        <f>(Grandview_Inventory[[#This Row],[sum_land]]-IF(Grandview_Inventory[[#This Row],[no_utilities]]=1,12000,0))/IF(Grandview_Inventory[[#This Row],[unbuildable]]=1,2,1)</f>
        <v>49167.631333630678</v>
      </c>
      <c r="CA221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210">
        <f>ROUND(Grandview_Inventory[[#This Row],[det_value]]*Lookups!$M$28,-2)</f>
        <v>0</v>
      </c>
      <c r="CC2210">
        <f>IF(ROUND(Grandview_Inventory[[#This Row],[adj_res]]*Lookups!$M$28,-2)&lt;Grandview_Inventory[[#This Row],[min_res]],Grandview_Inventory[[#This Row],[min_res]],ROUND(Grandview_Inventory[[#This Row],[adj_res]]*Lookups!$M$28,-2))</f>
        <v>330000</v>
      </c>
      <c r="CD2210">
        <f>Grandview_Inventory[[#This Row],[final_det]]+Grandview_Inventory[[#This Row],[final_res]]</f>
        <v>330000</v>
      </c>
      <c r="CE2210">
        <f>Grandview_Inventory[[#This Row],[final_land]]+Grandview_Inventory[[#This Row],[final_imp]]+Grandview_Inventory[[#This Row],[crop_value]]</f>
        <v>376700</v>
      </c>
      <c r="CG2210" t="str">
        <f t="shared" si="34"/>
        <v>update valuation set market_land =46700, market_bldg=330000, market_total =376700, market_mdno =401, market_date ='9/10/2023' where link_id = (select link_id from parcel where parcel_year = '2024' and parcel_id = '23092424485');</v>
      </c>
    </row>
    <row r="2211" spans="1:85" x14ac:dyDescent="0.25">
      <c r="A2211">
        <v>23092424486</v>
      </c>
      <c r="B2211">
        <v>0.16</v>
      </c>
      <c r="C2211">
        <v>7002</v>
      </c>
      <c r="D2211" t="s">
        <v>129</v>
      </c>
      <c r="E2211" t="s">
        <v>53</v>
      </c>
      <c r="F2211" t="s">
        <v>53</v>
      </c>
      <c r="G2211">
        <v>4</v>
      </c>
      <c r="H2211" t="s">
        <v>54</v>
      </c>
      <c r="I2211">
        <v>224200</v>
      </c>
      <c r="J2211">
        <v>40200</v>
      </c>
      <c r="K2211">
        <v>0.16</v>
      </c>
      <c r="L221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1">
        <v>0</v>
      </c>
      <c r="N2211">
        <v>0</v>
      </c>
      <c r="O2211">
        <v>0</v>
      </c>
      <c r="P2211">
        <v>13398.7528</v>
      </c>
      <c r="Q2211">
        <v>63903</v>
      </c>
      <c r="R2211">
        <f>(Grandview_Inventory[[#This Row],[ln_acres]]*Grandview_Inventory[[#This Row],[coeff]])+Grandview_Inventory[[#This Row],[const]]</f>
        <v>39348.693981374228</v>
      </c>
      <c r="S2211" t="s">
        <v>61</v>
      </c>
      <c r="T2211">
        <v>1</v>
      </c>
      <c r="U2211" t="s">
        <v>65</v>
      </c>
      <c r="V2211" t="s">
        <v>67</v>
      </c>
      <c r="W2211">
        <v>0</v>
      </c>
      <c r="X2211">
        <v>0</v>
      </c>
      <c r="Y2211">
        <v>16</v>
      </c>
      <c r="Z2211">
        <v>16</v>
      </c>
      <c r="AA2211">
        <v>20</v>
      </c>
      <c r="AB2211">
        <v>1500</v>
      </c>
      <c r="AC2211">
        <v>1253</v>
      </c>
      <c r="AD2211">
        <v>1253</v>
      </c>
      <c r="AE2211">
        <v>0</v>
      </c>
      <c r="AF2211">
        <v>0</v>
      </c>
      <c r="AG2211">
        <v>0</v>
      </c>
      <c r="AH2211">
        <v>0</v>
      </c>
      <c r="AI2211">
        <v>494</v>
      </c>
      <c r="AJ2211">
        <v>0</v>
      </c>
      <c r="AK2211">
        <v>0</v>
      </c>
      <c r="AL2211">
        <v>0</v>
      </c>
      <c r="AM2211">
        <v>100</v>
      </c>
      <c r="AN2211">
        <v>40</v>
      </c>
      <c r="AO2211">
        <v>0</v>
      </c>
      <c r="AP2211">
        <v>9</v>
      </c>
      <c r="AQ2211">
        <v>0</v>
      </c>
      <c r="AR2211">
        <v>0</v>
      </c>
      <c r="AS2211" t="s">
        <v>58</v>
      </c>
      <c r="AT2211">
        <v>1</v>
      </c>
      <c r="AU2211" t="s">
        <v>63</v>
      </c>
      <c r="AV2211" t="s">
        <v>64</v>
      </c>
      <c r="AW2211">
        <v>1</v>
      </c>
      <c r="AX2211">
        <v>4</v>
      </c>
      <c r="AY2211">
        <v>0</v>
      </c>
      <c r="AZ2211">
        <v>0</v>
      </c>
      <c r="BA2211">
        <v>100</v>
      </c>
      <c r="BB2211">
        <v>100</v>
      </c>
      <c r="BC2211">
        <v>100</v>
      </c>
      <c r="BD2211">
        <v>100</v>
      </c>
      <c r="BE2211">
        <v>1</v>
      </c>
      <c r="BF2211">
        <v>15000</v>
      </c>
      <c r="BG2211">
        <v>1000</v>
      </c>
      <c r="BH2211" s="6">
        <f>Grandview_Inventory[[#This Row],[land_extract]]*Lookups!$B$3</f>
        <v>45695.532079096141</v>
      </c>
      <c r="BI2211" s="6">
        <f>IF(Grandview_Inventory[[#This Row],[bldg_style]]="",0,Lookups!$B$2)</f>
        <v>155833.95000000001</v>
      </c>
      <c r="BJ2211" s="6">
        <f>_xlfn.IFNA(VLOOKUP(Grandview_Inventory[[#This Row],[quality]],Lookups!$H$2:$J$14,3,FALSE),0)</f>
        <v>2251</v>
      </c>
      <c r="BK2211" s="6">
        <f>_xlfn.IFNA(VLOOKUP(Grandview_Inventory[[#This Row],[condition]],Lookups!$H$17:$J$24,3,FALSE),0)</f>
        <v>22342</v>
      </c>
      <c r="BL2211" s="6">
        <f>Grandview_Inventory[[#This Row],[Eff_Age]]*Lookups!$B$14</f>
        <v>-3826.6655999999998</v>
      </c>
      <c r="BM2211" s="6">
        <f>Grandview_Inventory[[#This Row],[living_area]]*Lookups!$B$15</f>
        <v>78163.208809000003</v>
      </c>
      <c r="BN2211" s="6">
        <f>Grandview_Inventory[[#This Row],[Fin BSMT]]*Lookups!$B$16</f>
        <v>0</v>
      </c>
      <c r="BO2211" s="6">
        <f>(Grandview_Inventory[[#This Row],[att_gar]]+Grandview_Inventory[[#This Row],[bltin_gar]])*Lookups!$B$17</f>
        <v>43235.095878</v>
      </c>
      <c r="BP2211" s="6">
        <f>Grandview_Inventory[[#This Row],[Plumbing Fixtures]]*Lookups!$B$18</f>
        <v>18093.976200000001</v>
      </c>
      <c r="BQ2211" s="6">
        <f>Grandview_Inventory[[#This Row],[detatched_value]]*Lookups!$B$19</f>
        <v>0</v>
      </c>
      <c r="BR2211" s="6">
        <f>SUM(Grandview_Inventory[[#This Row],[Intercept]:[det_value]])*Grandview_Inventory[[#This Row],[res_pct]]</f>
        <v>316092.56528699998</v>
      </c>
      <c r="BS2211" s="6">
        <f>Grandview_Inventory[[#This Row],[land_value]]</f>
        <v>45695.532079096141</v>
      </c>
      <c r="BT2211" s="4">
        <f>_xlfn.IFNA(VLOOKUP(Grandview_Inventory[[#This Row],[quality]],Lookups!$A$26:$C$33,3,FALSE),1)</f>
        <v>0.98763855981004833</v>
      </c>
      <c r="BU2211" s="4">
        <f>_xlfn.IFNA(VLOOKUP(Grandview_Inventory[[#This Row],[condition]],Lookups!$A$37:$C$44,3,FALSE),1)</f>
        <v>0.97383723671140243</v>
      </c>
      <c r="BV2211" s="4">
        <f>IF(Grandview_Inventory[[#This Row],[bldg_style]]="",1,_xlfn.IFNA(VLOOKUP(Grandview_Inventory[[#This Row],[decade]],Lookups!$F$29:$H$43,3,FALSE),1))</f>
        <v>0.96737494181490646</v>
      </c>
      <c r="BW2211" s="4">
        <f>_xlfn.IFNA(VLOOKUP(Grandview_Inventory[[#This Row],[living_area_range]],Lookups!$F$47:$H$56,3,FALSE),1)</f>
        <v>0.96135087979789358</v>
      </c>
      <c r="BX2211" s="4">
        <f>AVERAGE(Grandview_Inventory[[#This Row],[qual_adj]:[size_adj]])</f>
        <v>0.97255040453356267</v>
      </c>
      <c r="BY2211" s="6">
        <f>IF(Grandview_Inventory[[#This Row],[pre_res]]&lt;0,0,Grandview_Inventory[[#This Row],[pre_res]]*Grandview_Inventory[[#This Row],[overall_adj]])</f>
        <v>307415.95223992341</v>
      </c>
      <c r="BZ2211" s="6">
        <f>(Grandview_Inventory[[#This Row],[sum_land]]-IF(Grandview_Inventory[[#This Row],[no_utilities]]=1,12000,0))/IF(Grandview_Inventory[[#This Row],[unbuildable]]=1,2,1)</f>
        <v>45695.532079096141</v>
      </c>
      <c r="CA221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1">
        <f>ROUND(Grandview_Inventory[[#This Row],[det_value]]*Lookups!$M$28,-2)</f>
        <v>0</v>
      </c>
      <c r="CC2211">
        <f>IF(ROUND(Grandview_Inventory[[#This Row],[adj_res]]*Lookups!$M$28,-2)&lt;Grandview_Inventory[[#This Row],[min_res]],Grandview_Inventory[[#This Row],[min_res]],ROUND(Grandview_Inventory[[#This Row],[adj_res]]*Lookups!$M$28,-2))</f>
        <v>292000</v>
      </c>
      <c r="CD2211">
        <f>Grandview_Inventory[[#This Row],[final_det]]+Grandview_Inventory[[#This Row],[final_res]]</f>
        <v>292000</v>
      </c>
      <c r="CE2211">
        <f>Grandview_Inventory[[#This Row],[final_land]]+Grandview_Inventory[[#This Row],[final_imp]]+Grandview_Inventory[[#This Row],[crop_value]]</f>
        <v>335400</v>
      </c>
      <c r="CG2211" t="str">
        <f t="shared" si="34"/>
        <v>update valuation set market_land =43400, market_bldg=292000, market_total =335400, market_mdno =401, market_date ='9/10/2023' where link_id = (select link_id from parcel where parcel_year = '2024' and parcel_id = '23092424486');</v>
      </c>
    </row>
    <row r="2212" spans="1:85" x14ac:dyDescent="0.25">
      <c r="A2212">
        <v>23092424487</v>
      </c>
      <c r="B2212">
        <v>0.16</v>
      </c>
      <c r="C2212">
        <v>7002</v>
      </c>
      <c r="D2212" t="s">
        <v>129</v>
      </c>
      <c r="E2212" t="s">
        <v>53</v>
      </c>
      <c r="F2212" t="s">
        <v>53</v>
      </c>
      <c r="G2212">
        <v>4</v>
      </c>
      <c r="H2212" t="s">
        <v>54</v>
      </c>
      <c r="I2212">
        <v>208900</v>
      </c>
      <c r="J2212">
        <v>40200</v>
      </c>
      <c r="K2212">
        <v>0.16</v>
      </c>
      <c r="L221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2">
        <v>0</v>
      </c>
      <c r="N2212">
        <v>0</v>
      </c>
      <c r="O2212">
        <v>0</v>
      </c>
      <c r="P2212">
        <v>13398.7528</v>
      </c>
      <c r="Q2212">
        <v>63903</v>
      </c>
      <c r="R2212">
        <f>(Grandview_Inventory[[#This Row],[ln_acres]]*Grandview_Inventory[[#This Row],[coeff]])+Grandview_Inventory[[#This Row],[const]]</f>
        <v>39348.693981374228</v>
      </c>
      <c r="S2212" t="s">
        <v>61</v>
      </c>
      <c r="T2212">
        <v>1</v>
      </c>
      <c r="U2212" t="s">
        <v>65</v>
      </c>
      <c r="V2212" t="s">
        <v>67</v>
      </c>
      <c r="W2212">
        <v>0</v>
      </c>
      <c r="X2212">
        <v>0</v>
      </c>
      <c r="Y2212">
        <v>16</v>
      </c>
      <c r="Z2212">
        <v>16</v>
      </c>
      <c r="AA2212">
        <v>20</v>
      </c>
      <c r="AB2212">
        <v>1500</v>
      </c>
      <c r="AC2212">
        <v>1002</v>
      </c>
      <c r="AD2212">
        <v>1002</v>
      </c>
      <c r="AE2212">
        <v>0</v>
      </c>
      <c r="AF2212">
        <v>0</v>
      </c>
      <c r="AG2212">
        <v>0</v>
      </c>
      <c r="AH2212">
        <v>0</v>
      </c>
      <c r="AI2212">
        <v>520</v>
      </c>
      <c r="AJ2212">
        <v>0</v>
      </c>
      <c r="AK2212">
        <v>0</v>
      </c>
      <c r="AL2212">
        <v>0</v>
      </c>
      <c r="AM2212">
        <v>100</v>
      </c>
      <c r="AN2212">
        <v>60</v>
      </c>
      <c r="AO2212">
        <v>0</v>
      </c>
      <c r="AP2212">
        <v>8</v>
      </c>
      <c r="AQ2212">
        <v>0</v>
      </c>
      <c r="AR2212">
        <v>0</v>
      </c>
      <c r="AS2212" t="s">
        <v>58</v>
      </c>
      <c r="AT2212">
        <v>1</v>
      </c>
      <c r="AU2212" t="s">
        <v>63</v>
      </c>
      <c r="AV2212" t="s">
        <v>64</v>
      </c>
      <c r="AW2212">
        <v>1</v>
      </c>
      <c r="AX2212">
        <v>3</v>
      </c>
      <c r="AY2212">
        <v>0</v>
      </c>
      <c r="AZ2212">
        <v>0</v>
      </c>
      <c r="BA2212">
        <v>100</v>
      </c>
      <c r="BB2212">
        <v>100</v>
      </c>
      <c r="BC2212">
        <v>100</v>
      </c>
      <c r="BD2212">
        <v>100</v>
      </c>
      <c r="BE2212">
        <v>1</v>
      </c>
      <c r="BF2212">
        <v>15000</v>
      </c>
      <c r="BG2212">
        <v>1000</v>
      </c>
      <c r="BH2212" s="6">
        <f>Grandview_Inventory[[#This Row],[land_extract]]*Lookups!$B$3</f>
        <v>45695.532079096141</v>
      </c>
      <c r="BI2212" s="6">
        <f>IF(Grandview_Inventory[[#This Row],[bldg_style]]="",0,Lookups!$B$2)</f>
        <v>155833.95000000001</v>
      </c>
      <c r="BJ2212" s="6">
        <f>_xlfn.IFNA(VLOOKUP(Grandview_Inventory[[#This Row],[quality]],Lookups!$H$2:$J$14,3,FALSE),0)</f>
        <v>2251</v>
      </c>
      <c r="BK2212" s="6">
        <f>_xlfn.IFNA(VLOOKUP(Grandview_Inventory[[#This Row],[condition]],Lookups!$H$17:$J$24,3,FALSE),0)</f>
        <v>22342</v>
      </c>
      <c r="BL2212" s="6">
        <f>Grandview_Inventory[[#This Row],[Eff_Age]]*Lookups!$B$14</f>
        <v>-3826.6655999999998</v>
      </c>
      <c r="BM2212" s="6">
        <f>Grandview_Inventory[[#This Row],[living_area]]*Lookups!$B$15</f>
        <v>62505.614706</v>
      </c>
      <c r="BN2212" s="6">
        <f>Grandview_Inventory[[#This Row],[Fin BSMT]]*Lookups!$B$16</f>
        <v>0</v>
      </c>
      <c r="BO2212" s="6">
        <f>(Grandview_Inventory[[#This Row],[att_gar]]+Grandview_Inventory[[#This Row],[bltin_gar]])*Lookups!$B$17</f>
        <v>45510.627240000002</v>
      </c>
      <c r="BP2212" s="6">
        <f>Grandview_Inventory[[#This Row],[Plumbing Fixtures]]*Lookups!$B$18</f>
        <v>16083.5344</v>
      </c>
      <c r="BQ2212" s="6">
        <f>Grandview_Inventory[[#This Row],[detatched_value]]*Lookups!$B$19</f>
        <v>0</v>
      </c>
      <c r="BR2212" s="6">
        <f>SUM(Grandview_Inventory[[#This Row],[Intercept]:[det_value]])*Grandview_Inventory[[#This Row],[res_pct]]</f>
        <v>300700.06074600003</v>
      </c>
      <c r="BS2212" s="6">
        <f>Grandview_Inventory[[#This Row],[land_value]]</f>
        <v>45695.532079096141</v>
      </c>
      <c r="BT2212" s="4">
        <f>_xlfn.IFNA(VLOOKUP(Grandview_Inventory[[#This Row],[quality]],Lookups!$A$26:$C$33,3,FALSE),1)</f>
        <v>0.98763855981004833</v>
      </c>
      <c r="BU2212" s="4">
        <f>_xlfn.IFNA(VLOOKUP(Grandview_Inventory[[#This Row],[condition]],Lookups!$A$37:$C$44,3,FALSE),1)</f>
        <v>0.97383723671140243</v>
      </c>
      <c r="BV2212" s="4">
        <f>IF(Grandview_Inventory[[#This Row],[bldg_style]]="",1,_xlfn.IFNA(VLOOKUP(Grandview_Inventory[[#This Row],[decade]],Lookups!$F$29:$H$43,3,FALSE),1))</f>
        <v>0.96737494181490646</v>
      </c>
      <c r="BW2212" s="4">
        <f>_xlfn.IFNA(VLOOKUP(Grandview_Inventory[[#This Row],[living_area_range]],Lookups!$F$47:$H$56,3,FALSE),1)</f>
        <v>0.96135087979789358</v>
      </c>
      <c r="BX2212" s="4">
        <f>AVERAGE(Grandview_Inventory[[#This Row],[qual_adj]:[size_adj]])</f>
        <v>0.97255040453356267</v>
      </c>
      <c r="BY2212" s="6">
        <f>IF(Grandview_Inventory[[#This Row],[pre_res]]&lt;0,0,Grandview_Inventory[[#This Row],[pre_res]]*Grandview_Inventory[[#This Row],[overall_adj]])</f>
        <v>292445.96572178922</v>
      </c>
      <c r="BZ2212" s="6">
        <f>(Grandview_Inventory[[#This Row],[sum_land]]-IF(Grandview_Inventory[[#This Row],[no_utilities]]=1,12000,0))/IF(Grandview_Inventory[[#This Row],[unbuildable]]=1,2,1)</f>
        <v>45695.532079096141</v>
      </c>
      <c r="CA221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2">
        <f>ROUND(Grandview_Inventory[[#This Row],[det_value]]*Lookups!$M$28,-2)</f>
        <v>0</v>
      </c>
      <c r="CC2212">
        <f>IF(ROUND(Grandview_Inventory[[#This Row],[adj_res]]*Lookups!$M$28,-2)&lt;Grandview_Inventory[[#This Row],[min_res]],Grandview_Inventory[[#This Row],[min_res]],ROUND(Grandview_Inventory[[#This Row],[adj_res]]*Lookups!$M$28,-2))</f>
        <v>277800</v>
      </c>
      <c r="CD2212">
        <f>Grandview_Inventory[[#This Row],[final_det]]+Grandview_Inventory[[#This Row],[final_res]]</f>
        <v>277800</v>
      </c>
      <c r="CE2212">
        <f>Grandview_Inventory[[#This Row],[final_land]]+Grandview_Inventory[[#This Row],[final_imp]]+Grandview_Inventory[[#This Row],[crop_value]]</f>
        <v>321200</v>
      </c>
      <c r="CG2212" t="str">
        <f t="shared" si="34"/>
        <v>update valuation set market_land =43400, market_bldg=277800, market_total =321200, market_mdno =401, market_date ='9/10/2023' where link_id = (select link_id from parcel where parcel_year = '2024' and parcel_id = '23092424487');</v>
      </c>
    </row>
    <row r="2213" spans="1:85" x14ac:dyDescent="0.25">
      <c r="A2213">
        <v>23092424488</v>
      </c>
      <c r="B2213">
        <v>0.16</v>
      </c>
      <c r="C2213">
        <v>7002</v>
      </c>
      <c r="D2213" t="s">
        <v>129</v>
      </c>
      <c r="E2213" t="s">
        <v>53</v>
      </c>
      <c r="F2213" t="s">
        <v>53</v>
      </c>
      <c r="G2213">
        <v>4</v>
      </c>
      <c r="H2213" t="s">
        <v>54</v>
      </c>
      <c r="I2213">
        <v>228100</v>
      </c>
      <c r="J2213">
        <v>40200</v>
      </c>
      <c r="K2213">
        <v>0.16</v>
      </c>
      <c r="L221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3">
        <v>0</v>
      </c>
      <c r="N2213">
        <v>0</v>
      </c>
      <c r="O2213">
        <v>0</v>
      </c>
      <c r="P2213">
        <v>13398.7528</v>
      </c>
      <c r="Q2213">
        <v>63903</v>
      </c>
      <c r="R2213">
        <f>(Grandview_Inventory[[#This Row],[ln_acres]]*Grandview_Inventory[[#This Row],[coeff]])+Grandview_Inventory[[#This Row],[const]]</f>
        <v>39348.693981374228</v>
      </c>
      <c r="S2213" t="s">
        <v>61</v>
      </c>
      <c r="T2213">
        <v>1</v>
      </c>
      <c r="U2213" t="s">
        <v>62</v>
      </c>
      <c r="V2213" t="s">
        <v>67</v>
      </c>
      <c r="W2213">
        <v>0</v>
      </c>
      <c r="X2213">
        <v>0</v>
      </c>
      <c r="Y2213">
        <v>16</v>
      </c>
      <c r="Z2213">
        <v>16</v>
      </c>
      <c r="AA2213">
        <v>20</v>
      </c>
      <c r="AB2213">
        <v>2000</v>
      </c>
      <c r="AC2213">
        <v>1655</v>
      </c>
      <c r="AD2213">
        <v>1223</v>
      </c>
      <c r="AE2213">
        <v>0</v>
      </c>
      <c r="AF2213">
        <v>432</v>
      </c>
      <c r="AG2213">
        <v>0</v>
      </c>
      <c r="AH2213">
        <v>0</v>
      </c>
      <c r="AI2213">
        <v>632</v>
      </c>
      <c r="AJ2213">
        <v>0</v>
      </c>
      <c r="AK2213">
        <v>0</v>
      </c>
      <c r="AL2213">
        <v>0</v>
      </c>
      <c r="AM2213">
        <v>420</v>
      </c>
      <c r="AN2213">
        <v>40</v>
      </c>
      <c r="AO2213">
        <v>420</v>
      </c>
      <c r="AP2213">
        <v>8</v>
      </c>
      <c r="AQ2213">
        <v>0</v>
      </c>
      <c r="AR2213">
        <v>0</v>
      </c>
      <c r="AS2213" t="s">
        <v>58</v>
      </c>
      <c r="AT2213">
        <v>1</v>
      </c>
      <c r="AU2213" t="s">
        <v>63</v>
      </c>
      <c r="AV2213" t="s">
        <v>64</v>
      </c>
      <c r="AW2213">
        <v>1</v>
      </c>
      <c r="AX2213">
        <v>4</v>
      </c>
      <c r="AY2213">
        <v>0</v>
      </c>
      <c r="AZ2213">
        <v>0</v>
      </c>
      <c r="BA2213">
        <v>100</v>
      </c>
      <c r="BB2213">
        <v>100</v>
      </c>
      <c r="BC2213">
        <v>100</v>
      </c>
      <c r="BD2213">
        <v>100</v>
      </c>
      <c r="BE2213">
        <v>1</v>
      </c>
      <c r="BF2213">
        <v>15000</v>
      </c>
      <c r="BG2213">
        <v>1000</v>
      </c>
      <c r="BH2213" s="6">
        <f>Grandview_Inventory[[#This Row],[land_extract]]*Lookups!$B$3</f>
        <v>45695.532079096141</v>
      </c>
      <c r="BI2213" s="6">
        <f>IF(Grandview_Inventory[[#This Row],[bldg_style]]="",0,Lookups!$B$2)</f>
        <v>155833.95000000001</v>
      </c>
      <c r="BJ2213" s="6">
        <f>_xlfn.IFNA(VLOOKUP(Grandview_Inventory[[#This Row],[quality]],Lookups!$H$2:$J$14,3,FALSE),0)</f>
        <v>9808</v>
      </c>
      <c r="BK2213" s="6">
        <f>_xlfn.IFNA(VLOOKUP(Grandview_Inventory[[#This Row],[condition]],Lookups!$H$17:$J$24,3,FALSE),0)</f>
        <v>22342</v>
      </c>
      <c r="BL2213" s="6">
        <f>Grandview_Inventory[[#This Row],[Eff_Age]]*Lookups!$B$14</f>
        <v>-3826.6655999999998</v>
      </c>
      <c r="BM2213" s="6">
        <f>Grandview_Inventory[[#This Row],[living_area]]*Lookups!$B$15</f>
        <v>103240.311715</v>
      </c>
      <c r="BN2213" s="6">
        <f>Grandview_Inventory[[#This Row],[Fin BSMT]]*Lookups!$B$16</f>
        <v>0</v>
      </c>
      <c r="BO2213" s="6">
        <f>(Grandview_Inventory[[#This Row],[att_gar]]+Grandview_Inventory[[#This Row],[bltin_gar]])*Lookups!$B$17</f>
        <v>55312.916184000002</v>
      </c>
      <c r="BP2213" s="6">
        <f>Grandview_Inventory[[#This Row],[Plumbing Fixtures]]*Lookups!$B$18</f>
        <v>16083.5344</v>
      </c>
      <c r="BQ2213" s="6">
        <f>Grandview_Inventory[[#This Row],[detatched_value]]*Lookups!$B$19</f>
        <v>0</v>
      </c>
      <c r="BR2213" s="6">
        <f>SUM(Grandview_Inventory[[#This Row],[Intercept]:[det_value]])*Grandview_Inventory[[#This Row],[res_pct]]</f>
        <v>358794.04669900006</v>
      </c>
      <c r="BS2213" s="6">
        <f>Grandview_Inventory[[#This Row],[land_value]]</f>
        <v>45695.532079096141</v>
      </c>
      <c r="BT2213" s="4">
        <f>_xlfn.IFNA(VLOOKUP(Grandview_Inventory[[#This Row],[quality]],Lookups!$A$26:$C$33,3,FALSE),1)</f>
        <v>0.94295468617355149</v>
      </c>
      <c r="BU2213" s="4">
        <f>_xlfn.IFNA(VLOOKUP(Grandview_Inventory[[#This Row],[condition]],Lookups!$A$37:$C$44,3,FALSE),1)</f>
        <v>0.97383723671140243</v>
      </c>
      <c r="BV2213" s="4">
        <f>IF(Grandview_Inventory[[#This Row],[bldg_style]]="",1,_xlfn.IFNA(VLOOKUP(Grandview_Inventory[[#This Row],[decade]],Lookups!$F$29:$H$43,3,FALSE),1))</f>
        <v>0.96737494181490646</v>
      </c>
      <c r="BW2213" s="4">
        <f>_xlfn.IFNA(VLOOKUP(Grandview_Inventory[[#This Row],[living_area_range]],Lookups!$F$47:$H$56,3,FALSE),1)</f>
        <v>0.96120133463014379</v>
      </c>
      <c r="BX2213" s="4">
        <f>AVERAGE(Grandview_Inventory[[#This Row],[qual_adj]:[size_adj]])</f>
        <v>0.96134204983250116</v>
      </c>
      <c r="BY2213" s="6">
        <f>IF(Grandview_Inventory[[#This Row],[pre_res]]&lt;0,0,Grandview_Inventory[[#This Row],[pre_res]]*Grandview_Inventory[[#This Row],[overall_adj]])</f>
        <v>344923.80432131485</v>
      </c>
      <c r="BZ2213" s="6">
        <f>(Grandview_Inventory[[#This Row],[sum_land]]-IF(Grandview_Inventory[[#This Row],[no_utilities]]=1,12000,0))/IF(Grandview_Inventory[[#This Row],[unbuildable]]=1,2,1)</f>
        <v>45695.532079096141</v>
      </c>
      <c r="CA221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3">
        <f>ROUND(Grandview_Inventory[[#This Row],[det_value]]*Lookups!$M$28,-2)</f>
        <v>0</v>
      </c>
      <c r="CC2213">
        <f>IF(ROUND(Grandview_Inventory[[#This Row],[adj_res]]*Lookups!$M$28,-2)&lt;Grandview_Inventory[[#This Row],[min_res]],Grandview_Inventory[[#This Row],[min_res]],ROUND(Grandview_Inventory[[#This Row],[adj_res]]*Lookups!$M$28,-2))</f>
        <v>327700</v>
      </c>
      <c r="CD2213">
        <f>Grandview_Inventory[[#This Row],[final_det]]+Grandview_Inventory[[#This Row],[final_res]]</f>
        <v>327700</v>
      </c>
      <c r="CE2213">
        <f>Grandview_Inventory[[#This Row],[final_land]]+Grandview_Inventory[[#This Row],[final_imp]]+Grandview_Inventory[[#This Row],[crop_value]]</f>
        <v>371100</v>
      </c>
      <c r="CG2213" t="str">
        <f t="shared" si="34"/>
        <v>update valuation set market_land =43400, market_bldg=327700, market_total =371100, market_mdno =401, market_date ='9/10/2023' where link_id = (select link_id from parcel where parcel_year = '2024' and parcel_id = '23092424488');</v>
      </c>
    </row>
    <row r="2214" spans="1:85" x14ac:dyDescent="0.25">
      <c r="A2214">
        <v>23092424489</v>
      </c>
      <c r="B2214">
        <v>0.16</v>
      </c>
      <c r="C2214">
        <v>7002</v>
      </c>
      <c r="D2214" t="s">
        <v>129</v>
      </c>
      <c r="E2214" t="s">
        <v>53</v>
      </c>
      <c r="F2214" t="s">
        <v>53</v>
      </c>
      <c r="G2214">
        <v>4</v>
      </c>
      <c r="H2214" t="s">
        <v>54</v>
      </c>
      <c r="I2214">
        <v>213000</v>
      </c>
      <c r="J2214">
        <v>40200</v>
      </c>
      <c r="K2214">
        <v>0.16</v>
      </c>
      <c r="L221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4">
        <v>0</v>
      </c>
      <c r="N2214">
        <v>0</v>
      </c>
      <c r="O2214">
        <v>0</v>
      </c>
      <c r="P2214">
        <v>13398.7528</v>
      </c>
      <c r="Q2214">
        <v>63903</v>
      </c>
      <c r="R2214">
        <f>(Grandview_Inventory[[#This Row],[ln_acres]]*Grandview_Inventory[[#This Row],[coeff]])+Grandview_Inventory[[#This Row],[const]]</f>
        <v>39348.693981374228</v>
      </c>
      <c r="S2214" t="s">
        <v>61</v>
      </c>
      <c r="T2214">
        <v>1</v>
      </c>
      <c r="U2214" t="s">
        <v>65</v>
      </c>
      <c r="V2214" t="s">
        <v>67</v>
      </c>
      <c r="W2214">
        <v>0</v>
      </c>
      <c r="X2214">
        <v>0</v>
      </c>
      <c r="Y2214">
        <v>16</v>
      </c>
      <c r="Z2214">
        <v>16</v>
      </c>
      <c r="AA2214">
        <v>20</v>
      </c>
      <c r="AB2214">
        <v>1500</v>
      </c>
      <c r="AC2214">
        <v>1079</v>
      </c>
      <c r="AD2214">
        <v>1079</v>
      </c>
      <c r="AE2214">
        <v>0</v>
      </c>
      <c r="AF2214">
        <v>0</v>
      </c>
      <c r="AG2214">
        <v>0</v>
      </c>
      <c r="AH2214">
        <v>0</v>
      </c>
      <c r="AI2214">
        <v>520</v>
      </c>
      <c r="AJ2214">
        <v>0</v>
      </c>
      <c r="AK2214">
        <v>0</v>
      </c>
      <c r="AL2214">
        <v>0</v>
      </c>
      <c r="AM2214">
        <v>160</v>
      </c>
      <c r="AN2214">
        <v>40</v>
      </c>
      <c r="AO2214">
        <v>0</v>
      </c>
      <c r="AP2214">
        <v>8</v>
      </c>
      <c r="AQ2214">
        <v>0</v>
      </c>
      <c r="AR2214">
        <v>0</v>
      </c>
      <c r="AS2214" t="s">
        <v>58</v>
      </c>
      <c r="AT2214">
        <v>1</v>
      </c>
      <c r="AU2214" t="s">
        <v>63</v>
      </c>
      <c r="AV2214" t="s">
        <v>64</v>
      </c>
      <c r="AW2214">
        <v>1</v>
      </c>
      <c r="AX2214">
        <v>3</v>
      </c>
      <c r="AY2214">
        <v>0</v>
      </c>
      <c r="AZ2214">
        <v>0</v>
      </c>
      <c r="BA2214">
        <v>100</v>
      </c>
      <c r="BB2214">
        <v>100</v>
      </c>
      <c r="BC2214">
        <v>100</v>
      </c>
      <c r="BD2214">
        <v>100</v>
      </c>
      <c r="BE2214">
        <v>1</v>
      </c>
      <c r="BF2214">
        <v>15000</v>
      </c>
      <c r="BG2214">
        <v>1000</v>
      </c>
      <c r="BH2214" s="6">
        <f>Grandview_Inventory[[#This Row],[land_extract]]*Lookups!$B$3</f>
        <v>45695.532079096141</v>
      </c>
      <c r="BI2214" s="6">
        <f>IF(Grandview_Inventory[[#This Row],[bldg_style]]="",0,Lookups!$B$2)</f>
        <v>155833.95000000001</v>
      </c>
      <c r="BJ2214" s="6">
        <f>_xlfn.IFNA(VLOOKUP(Grandview_Inventory[[#This Row],[quality]],Lookups!$H$2:$J$14,3,FALSE),0)</f>
        <v>2251</v>
      </c>
      <c r="BK2214" s="6">
        <f>_xlfn.IFNA(VLOOKUP(Grandview_Inventory[[#This Row],[condition]],Lookups!$H$17:$J$24,3,FALSE),0)</f>
        <v>22342</v>
      </c>
      <c r="BL2214" s="6">
        <f>Grandview_Inventory[[#This Row],[Eff_Age]]*Lookups!$B$14</f>
        <v>-3826.6655999999998</v>
      </c>
      <c r="BM2214" s="6">
        <f>Grandview_Inventory[[#This Row],[living_area]]*Lookups!$B$15</f>
        <v>67308.940386999995</v>
      </c>
      <c r="BN2214" s="6">
        <f>Grandview_Inventory[[#This Row],[Fin BSMT]]*Lookups!$B$16</f>
        <v>0</v>
      </c>
      <c r="BO2214" s="6">
        <f>(Grandview_Inventory[[#This Row],[att_gar]]+Grandview_Inventory[[#This Row],[bltin_gar]])*Lookups!$B$17</f>
        <v>45510.627240000002</v>
      </c>
      <c r="BP2214" s="6">
        <f>Grandview_Inventory[[#This Row],[Plumbing Fixtures]]*Lookups!$B$18</f>
        <v>16083.5344</v>
      </c>
      <c r="BQ2214" s="6">
        <f>Grandview_Inventory[[#This Row],[detatched_value]]*Lookups!$B$19</f>
        <v>0</v>
      </c>
      <c r="BR2214" s="6">
        <f>SUM(Grandview_Inventory[[#This Row],[Intercept]:[det_value]])*Grandview_Inventory[[#This Row],[res_pct]]</f>
        <v>305503.38642699999</v>
      </c>
      <c r="BS2214" s="6">
        <f>Grandview_Inventory[[#This Row],[land_value]]</f>
        <v>45695.532079096141</v>
      </c>
      <c r="BT2214" s="4">
        <f>_xlfn.IFNA(VLOOKUP(Grandview_Inventory[[#This Row],[quality]],Lookups!$A$26:$C$33,3,FALSE),1)</f>
        <v>0.98763855981004833</v>
      </c>
      <c r="BU2214" s="4">
        <f>_xlfn.IFNA(VLOOKUP(Grandview_Inventory[[#This Row],[condition]],Lookups!$A$37:$C$44,3,FALSE),1)</f>
        <v>0.97383723671140243</v>
      </c>
      <c r="BV2214" s="4">
        <f>IF(Grandview_Inventory[[#This Row],[bldg_style]]="",1,_xlfn.IFNA(VLOOKUP(Grandview_Inventory[[#This Row],[decade]],Lookups!$F$29:$H$43,3,FALSE),1))</f>
        <v>0.96737494181490646</v>
      </c>
      <c r="BW2214" s="4">
        <f>_xlfn.IFNA(VLOOKUP(Grandview_Inventory[[#This Row],[living_area_range]],Lookups!$F$47:$H$56,3,FALSE),1)</f>
        <v>0.96135087979789358</v>
      </c>
      <c r="BX2214" s="4">
        <f>AVERAGE(Grandview_Inventory[[#This Row],[qual_adj]:[size_adj]])</f>
        <v>0.97255040453356267</v>
      </c>
      <c r="BY2214" s="6">
        <f>IF(Grandview_Inventory[[#This Row],[pre_res]]&lt;0,0,Grandview_Inventory[[#This Row],[pre_res]]*Grandview_Inventory[[#This Row],[overall_adj]])</f>
        <v>297117.44205595215</v>
      </c>
      <c r="BZ2214" s="6">
        <f>(Grandview_Inventory[[#This Row],[sum_land]]-IF(Grandview_Inventory[[#This Row],[no_utilities]]=1,12000,0))/IF(Grandview_Inventory[[#This Row],[unbuildable]]=1,2,1)</f>
        <v>45695.532079096141</v>
      </c>
      <c r="CA221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4">
        <f>ROUND(Grandview_Inventory[[#This Row],[det_value]]*Lookups!$M$28,-2)</f>
        <v>0</v>
      </c>
      <c r="CC2214">
        <f>IF(ROUND(Grandview_Inventory[[#This Row],[adj_res]]*Lookups!$M$28,-2)&lt;Grandview_Inventory[[#This Row],[min_res]],Grandview_Inventory[[#This Row],[min_res]],ROUND(Grandview_Inventory[[#This Row],[adj_res]]*Lookups!$M$28,-2))</f>
        <v>282300</v>
      </c>
      <c r="CD2214">
        <f>Grandview_Inventory[[#This Row],[final_det]]+Grandview_Inventory[[#This Row],[final_res]]</f>
        <v>282300</v>
      </c>
      <c r="CE2214">
        <f>Grandview_Inventory[[#This Row],[final_land]]+Grandview_Inventory[[#This Row],[final_imp]]+Grandview_Inventory[[#This Row],[crop_value]]</f>
        <v>325700</v>
      </c>
      <c r="CG2214" t="str">
        <f t="shared" si="34"/>
        <v>update valuation set market_land =43400, market_bldg=282300, market_total =325700, market_mdno =401, market_date ='9/10/2023' where link_id = (select link_id from parcel where parcel_year = '2024' and parcel_id = '23092424489');</v>
      </c>
    </row>
    <row r="2215" spans="1:85" x14ac:dyDescent="0.25">
      <c r="A2215">
        <v>23092424490</v>
      </c>
      <c r="B2215">
        <v>0.16</v>
      </c>
      <c r="C2215">
        <v>7002</v>
      </c>
      <c r="D2215" t="s">
        <v>129</v>
      </c>
      <c r="E2215" t="s">
        <v>53</v>
      </c>
      <c r="F2215" t="s">
        <v>53</v>
      </c>
      <c r="G2215">
        <v>4</v>
      </c>
      <c r="H2215" t="s">
        <v>54</v>
      </c>
      <c r="I2215">
        <v>222500</v>
      </c>
      <c r="J2215">
        <v>40200</v>
      </c>
      <c r="K2215">
        <v>0.16</v>
      </c>
      <c r="L221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5">
        <v>0</v>
      </c>
      <c r="N2215">
        <v>0</v>
      </c>
      <c r="O2215">
        <v>0</v>
      </c>
      <c r="P2215">
        <v>13398.7528</v>
      </c>
      <c r="Q2215">
        <v>63903</v>
      </c>
      <c r="R2215">
        <f>(Grandview_Inventory[[#This Row],[ln_acres]]*Grandview_Inventory[[#This Row],[coeff]])+Grandview_Inventory[[#This Row],[const]]</f>
        <v>39348.693981374228</v>
      </c>
      <c r="S2215" t="s">
        <v>61</v>
      </c>
      <c r="T2215">
        <v>1</v>
      </c>
      <c r="U2215" t="s">
        <v>65</v>
      </c>
      <c r="V2215" t="s">
        <v>67</v>
      </c>
      <c r="W2215">
        <v>0</v>
      </c>
      <c r="X2215">
        <v>0</v>
      </c>
      <c r="Y2215">
        <v>16</v>
      </c>
      <c r="Z2215">
        <v>16</v>
      </c>
      <c r="AA2215">
        <v>20</v>
      </c>
      <c r="AB2215">
        <v>1500</v>
      </c>
      <c r="AC2215">
        <v>1253</v>
      </c>
      <c r="AD2215">
        <v>1253</v>
      </c>
      <c r="AE2215">
        <v>0</v>
      </c>
      <c r="AF2215">
        <v>0</v>
      </c>
      <c r="AG2215">
        <v>0</v>
      </c>
      <c r="AH2215">
        <v>0</v>
      </c>
      <c r="AI2215">
        <v>494</v>
      </c>
      <c r="AJ2215">
        <v>0</v>
      </c>
      <c r="AK2215">
        <v>0</v>
      </c>
      <c r="AL2215">
        <v>0</v>
      </c>
      <c r="AM2215">
        <v>100</v>
      </c>
      <c r="AN2215">
        <v>40</v>
      </c>
      <c r="AO2215">
        <v>0</v>
      </c>
      <c r="AP2215">
        <v>8</v>
      </c>
      <c r="AQ2215">
        <v>0</v>
      </c>
      <c r="AR2215">
        <v>0</v>
      </c>
      <c r="AS2215" t="s">
        <v>58</v>
      </c>
      <c r="AT2215">
        <v>1</v>
      </c>
      <c r="AU2215" t="s">
        <v>63</v>
      </c>
      <c r="AV2215" t="s">
        <v>64</v>
      </c>
      <c r="AW2215">
        <v>1</v>
      </c>
      <c r="AX2215">
        <v>4</v>
      </c>
      <c r="AY2215">
        <v>0</v>
      </c>
      <c r="AZ2215">
        <v>0</v>
      </c>
      <c r="BA2215">
        <v>100</v>
      </c>
      <c r="BB2215">
        <v>100</v>
      </c>
      <c r="BC2215">
        <v>100</v>
      </c>
      <c r="BD2215">
        <v>100</v>
      </c>
      <c r="BE2215">
        <v>1</v>
      </c>
      <c r="BF2215">
        <v>15000</v>
      </c>
      <c r="BG2215">
        <v>1000</v>
      </c>
      <c r="BH2215" s="6">
        <f>Grandview_Inventory[[#This Row],[land_extract]]*Lookups!$B$3</f>
        <v>45695.532079096141</v>
      </c>
      <c r="BI2215" s="6">
        <f>IF(Grandview_Inventory[[#This Row],[bldg_style]]="",0,Lookups!$B$2)</f>
        <v>155833.95000000001</v>
      </c>
      <c r="BJ2215" s="6">
        <f>_xlfn.IFNA(VLOOKUP(Grandview_Inventory[[#This Row],[quality]],Lookups!$H$2:$J$14,3,FALSE),0)</f>
        <v>2251</v>
      </c>
      <c r="BK2215" s="6">
        <f>_xlfn.IFNA(VLOOKUP(Grandview_Inventory[[#This Row],[condition]],Lookups!$H$17:$J$24,3,FALSE),0)</f>
        <v>22342</v>
      </c>
      <c r="BL2215" s="6">
        <f>Grandview_Inventory[[#This Row],[Eff_Age]]*Lookups!$B$14</f>
        <v>-3826.6655999999998</v>
      </c>
      <c r="BM2215" s="6">
        <f>Grandview_Inventory[[#This Row],[living_area]]*Lookups!$B$15</f>
        <v>78163.208809000003</v>
      </c>
      <c r="BN2215" s="6">
        <f>Grandview_Inventory[[#This Row],[Fin BSMT]]*Lookups!$B$16</f>
        <v>0</v>
      </c>
      <c r="BO2215" s="6">
        <f>(Grandview_Inventory[[#This Row],[att_gar]]+Grandview_Inventory[[#This Row],[bltin_gar]])*Lookups!$B$17</f>
        <v>43235.095878</v>
      </c>
      <c r="BP2215" s="6">
        <f>Grandview_Inventory[[#This Row],[Plumbing Fixtures]]*Lookups!$B$18</f>
        <v>16083.5344</v>
      </c>
      <c r="BQ2215" s="6">
        <f>Grandview_Inventory[[#This Row],[detatched_value]]*Lookups!$B$19</f>
        <v>0</v>
      </c>
      <c r="BR2215" s="6">
        <f>SUM(Grandview_Inventory[[#This Row],[Intercept]:[det_value]])*Grandview_Inventory[[#This Row],[res_pct]]</f>
        <v>314082.123487</v>
      </c>
      <c r="BS2215" s="6">
        <f>Grandview_Inventory[[#This Row],[land_value]]</f>
        <v>45695.532079096141</v>
      </c>
      <c r="BT2215" s="4">
        <f>_xlfn.IFNA(VLOOKUP(Grandview_Inventory[[#This Row],[quality]],Lookups!$A$26:$C$33,3,FALSE),1)</f>
        <v>0.98763855981004833</v>
      </c>
      <c r="BU2215" s="4">
        <f>_xlfn.IFNA(VLOOKUP(Grandview_Inventory[[#This Row],[condition]],Lookups!$A$37:$C$44,3,FALSE),1)</f>
        <v>0.97383723671140243</v>
      </c>
      <c r="BV2215" s="4">
        <f>IF(Grandview_Inventory[[#This Row],[bldg_style]]="",1,_xlfn.IFNA(VLOOKUP(Grandview_Inventory[[#This Row],[decade]],Lookups!$F$29:$H$43,3,FALSE),1))</f>
        <v>0.96737494181490646</v>
      </c>
      <c r="BW2215" s="4">
        <f>_xlfn.IFNA(VLOOKUP(Grandview_Inventory[[#This Row],[living_area_range]],Lookups!$F$47:$H$56,3,FALSE),1)</f>
        <v>0.96135087979789358</v>
      </c>
      <c r="BX2215" s="4">
        <f>AVERAGE(Grandview_Inventory[[#This Row],[qual_adj]:[size_adj]])</f>
        <v>0.97255040453356267</v>
      </c>
      <c r="BY2215" s="6">
        <f>IF(Grandview_Inventory[[#This Row],[pre_res]]&lt;0,0,Grandview_Inventory[[#This Row],[pre_res]]*Grandview_Inventory[[#This Row],[overall_adj]])</f>
        <v>305460.69625404227</v>
      </c>
      <c r="BZ2215" s="6">
        <f>(Grandview_Inventory[[#This Row],[sum_land]]-IF(Grandview_Inventory[[#This Row],[no_utilities]]=1,12000,0))/IF(Grandview_Inventory[[#This Row],[unbuildable]]=1,2,1)</f>
        <v>45695.532079096141</v>
      </c>
      <c r="CA221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5">
        <f>ROUND(Grandview_Inventory[[#This Row],[det_value]]*Lookups!$M$28,-2)</f>
        <v>0</v>
      </c>
      <c r="CC2215">
        <f>IF(ROUND(Grandview_Inventory[[#This Row],[adj_res]]*Lookups!$M$28,-2)&lt;Grandview_Inventory[[#This Row],[min_res]],Grandview_Inventory[[#This Row],[min_res]],ROUND(Grandview_Inventory[[#This Row],[adj_res]]*Lookups!$M$28,-2))</f>
        <v>290200</v>
      </c>
      <c r="CD2215">
        <f>Grandview_Inventory[[#This Row],[final_det]]+Grandview_Inventory[[#This Row],[final_res]]</f>
        <v>290200</v>
      </c>
      <c r="CE2215">
        <f>Grandview_Inventory[[#This Row],[final_land]]+Grandview_Inventory[[#This Row],[final_imp]]+Grandview_Inventory[[#This Row],[crop_value]]</f>
        <v>333600</v>
      </c>
      <c r="CG2215" t="str">
        <f t="shared" si="34"/>
        <v>update valuation set market_land =43400, market_bldg=290200, market_total =333600, market_mdno =401, market_date ='9/10/2023' where link_id = (select link_id from parcel where parcel_year = '2024' and parcel_id = '23092424490');</v>
      </c>
    </row>
    <row r="2216" spans="1:85" x14ac:dyDescent="0.25">
      <c r="A2216">
        <v>23092424491</v>
      </c>
      <c r="B2216">
        <v>0.16</v>
      </c>
      <c r="C2216">
        <v>7002</v>
      </c>
      <c r="D2216" t="s">
        <v>129</v>
      </c>
      <c r="E2216" t="s">
        <v>53</v>
      </c>
      <c r="F2216" t="s">
        <v>53</v>
      </c>
      <c r="G2216">
        <v>4</v>
      </c>
      <c r="H2216" t="s">
        <v>54</v>
      </c>
      <c r="I2216">
        <v>229200</v>
      </c>
      <c r="J2216">
        <v>40200</v>
      </c>
      <c r="K2216">
        <v>0.16</v>
      </c>
      <c r="L221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6">
        <v>0</v>
      </c>
      <c r="N2216">
        <v>0</v>
      </c>
      <c r="O2216">
        <v>0</v>
      </c>
      <c r="P2216">
        <v>13398.7528</v>
      </c>
      <c r="Q2216">
        <v>63903</v>
      </c>
      <c r="R2216">
        <f>(Grandview_Inventory[[#This Row],[ln_acres]]*Grandview_Inventory[[#This Row],[coeff]])+Grandview_Inventory[[#This Row],[const]]</f>
        <v>39348.693981374228</v>
      </c>
      <c r="S2216" t="s">
        <v>61</v>
      </c>
      <c r="T2216">
        <v>1</v>
      </c>
      <c r="U2216" t="s">
        <v>62</v>
      </c>
      <c r="V2216" t="s">
        <v>67</v>
      </c>
      <c r="W2216">
        <v>0</v>
      </c>
      <c r="X2216">
        <v>0</v>
      </c>
      <c r="Y2216">
        <v>16</v>
      </c>
      <c r="Z2216">
        <v>16</v>
      </c>
      <c r="AA2216">
        <v>20</v>
      </c>
      <c r="AB2216">
        <v>2000</v>
      </c>
      <c r="AC2216">
        <v>1675</v>
      </c>
      <c r="AD2216">
        <v>1243</v>
      </c>
      <c r="AE2216">
        <v>0</v>
      </c>
      <c r="AF2216">
        <v>432</v>
      </c>
      <c r="AG2216">
        <v>0</v>
      </c>
      <c r="AH2216">
        <v>0</v>
      </c>
      <c r="AI2216">
        <v>632</v>
      </c>
      <c r="AJ2216">
        <v>0</v>
      </c>
      <c r="AK2216">
        <v>0</v>
      </c>
      <c r="AL2216">
        <v>0</v>
      </c>
      <c r="AM2216">
        <v>100</v>
      </c>
      <c r="AN2216">
        <v>40</v>
      </c>
      <c r="AO2216">
        <v>0</v>
      </c>
      <c r="AP2216">
        <v>8</v>
      </c>
      <c r="AQ2216">
        <v>0</v>
      </c>
      <c r="AR2216">
        <v>0</v>
      </c>
      <c r="AS2216" t="s">
        <v>58</v>
      </c>
      <c r="AT2216">
        <v>1</v>
      </c>
      <c r="AU2216" t="s">
        <v>63</v>
      </c>
      <c r="AV2216" t="s">
        <v>64</v>
      </c>
      <c r="AW2216">
        <v>1</v>
      </c>
      <c r="AX2216">
        <v>4</v>
      </c>
      <c r="AY2216">
        <v>0</v>
      </c>
      <c r="AZ2216">
        <v>0</v>
      </c>
      <c r="BA2216">
        <v>100</v>
      </c>
      <c r="BB2216">
        <v>100</v>
      </c>
      <c r="BC2216">
        <v>100</v>
      </c>
      <c r="BD2216">
        <v>100</v>
      </c>
      <c r="BE2216">
        <v>1</v>
      </c>
      <c r="BF2216">
        <v>15000</v>
      </c>
      <c r="BG2216">
        <v>1000</v>
      </c>
      <c r="BH2216" s="6">
        <f>Grandview_Inventory[[#This Row],[land_extract]]*Lookups!$B$3</f>
        <v>45695.532079096141</v>
      </c>
      <c r="BI2216" s="6">
        <f>IF(Grandview_Inventory[[#This Row],[bldg_style]]="",0,Lookups!$B$2)</f>
        <v>155833.95000000001</v>
      </c>
      <c r="BJ2216" s="6">
        <f>_xlfn.IFNA(VLOOKUP(Grandview_Inventory[[#This Row],[quality]],Lookups!$H$2:$J$14,3,FALSE),0)</f>
        <v>9808</v>
      </c>
      <c r="BK2216" s="6">
        <f>_xlfn.IFNA(VLOOKUP(Grandview_Inventory[[#This Row],[condition]],Lookups!$H$17:$J$24,3,FALSE),0)</f>
        <v>22342</v>
      </c>
      <c r="BL2216" s="6">
        <f>Grandview_Inventory[[#This Row],[Eff_Age]]*Lookups!$B$14</f>
        <v>-3826.6655999999998</v>
      </c>
      <c r="BM2216" s="6">
        <f>Grandview_Inventory[[#This Row],[living_area]]*Lookups!$B$15</f>
        <v>104487.92877500001</v>
      </c>
      <c r="BN2216" s="6">
        <f>Grandview_Inventory[[#This Row],[Fin BSMT]]*Lookups!$B$16</f>
        <v>0</v>
      </c>
      <c r="BO2216" s="6">
        <f>(Grandview_Inventory[[#This Row],[att_gar]]+Grandview_Inventory[[#This Row],[bltin_gar]])*Lookups!$B$17</f>
        <v>55312.916184000002</v>
      </c>
      <c r="BP2216" s="6">
        <f>Grandview_Inventory[[#This Row],[Plumbing Fixtures]]*Lookups!$B$18</f>
        <v>16083.5344</v>
      </c>
      <c r="BQ2216" s="6">
        <f>Grandview_Inventory[[#This Row],[detatched_value]]*Lookups!$B$19</f>
        <v>0</v>
      </c>
      <c r="BR2216" s="6">
        <f>SUM(Grandview_Inventory[[#This Row],[Intercept]:[det_value]])*Grandview_Inventory[[#This Row],[res_pct]]</f>
        <v>360041.66375900002</v>
      </c>
      <c r="BS2216" s="6">
        <f>Grandview_Inventory[[#This Row],[land_value]]</f>
        <v>45695.532079096141</v>
      </c>
      <c r="BT2216" s="4">
        <f>_xlfn.IFNA(VLOOKUP(Grandview_Inventory[[#This Row],[quality]],Lookups!$A$26:$C$33,3,FALSE),1)</f>
        <v>0.94295468617355149</v>
      </c>
      <c r="BU2216" s="4">
        <f>_xlfn.IFNA(VLOOKUP(Grandview_Inventory[[#This Row],[condition]],Lookups!$A$37:$C$44,3,FALSE),1)</f>
        <v>0.97383723671140243</v>
      </c>
      <c r="BV2216" s="4">
        <f>IF(Grandview_Inventory[[#This Row],[bldg_style]]="",1,_xlfn.IFNA(VLOOKUP(Grandview_Inventory[[#This Row],[decade]],Lookups!$F$29:$H$43,3,FALSE),1))</f>
        <v>0.96737494181490646</v>
      </c>
      <c r="BW2216" s="4">
        <f>_xlfn.IFNA(VLOOKUP(Grandview_Inventory[[#This Row],[living_area_range]],Lookups!$F$47:$H$56,3,FALSE),1)</f>
        <v>0.96120133463014379</v>
      </c>
      <c r="BX2216" s="4">
        <f>AVERAGE(Grandview_Inventory[[#This Row],[qual_adj]:[size_adj]])</f>
        <v>0.96134204983250116</v>
      </c>
      <c r="BY2216" s="6">
        <f>IF(Grandview_Inventory[[#This Row],[pre_res]]&lt;0,0,Grandview_Inventory[[#This Row],[pre_res]]*Grandview_Inventory[[#This Row],[overall_adj]])</f>
        <v>346123.19106318121</v>
      </c>
      <c r="BZ2216" s="6">
        <f>(Grandview_Inventory[[#This Row],[sum_land]]-IF(Grandview_Inventory[[#This Row],[no_utilities]]=1,12000,0))/IF(Grandview_Inventory[[#This Row],[unbuildable]]=1,2,1)</f>
        <v>45695.532079096141</v>
      </c>
      <c r="CA221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6">
        <f>ROUND(Grandview_Inventory[[#This Row],[det_value]]*Lookups!$M$28,-2)</f>
        <v>0</v>
      </c>
      <c r="CC2216">
        <f>IF(ROUND(Grandview_Inventory[[#This Row],[adj_res]]*Lookups!$M$28,-2)&lt;Grandview_Inventory[[#This Row],[min_res]],Grandview_Inventory[[#This Row],[min_res]],ROUND(Grandview_Inventory[[#This Row],[adj_res]]*Lookups!$M$28,-2))</f>
        <v>328800</v>
      </c>
      <c r="CD2216">
        <f>Grandview_Inventory[[#This Row],[final_det]]+Grandview_Inventory[[#This Row],[final_res]]</f>
        <v>328800</v>
      </c>
      <c r="CE2216">
        <f>Grandview_Inventory[[#This Row],[final_land]]+Grandview_Inventory[[#This Row],[final_imp]]+Grandview_Inventory[[#This Row],[crop_value]]</f>
        <v>372200</v>
      </c>
      <c r="CG2216" t="str">
        <f t="shared" si="34"/>
        <v>update valuation set market_land =43400, market_bldg=328800, market_total =372200, market_mdno =401, market_date ='9/10/2023' where link_id = (select link_id from parcel where parcel_year = '2024' and parcel_id = '23092424491');</v>
      </c>
    </row>
    <row r="2217" spans="1:85" x14ac:dyDescent="0.25">
      <c r="A2217">
        <v>23092424492</v>
      </c>
      <c r="B2217">
        <v>0.17</v>
      </c>
      <c r="C2217">
        <v>7237</v>
      </c>
      <c r="D2217" t="s">
        <v>129</v>
      </c>
      <c r="E2217" t="s">
        <v>53</v>
      </c>
      <c r="F2217" t="s">
        <v>53</v>
      </c>
      <c r="G2217">
        <v>4</v>
      </c>
      <c r="H2217" t="s">
        <v>54</v>
      </c>
      <c r="I2217">
        <v>207900</v>
      </c>
      <c r="J2217">
        <v>40200</v>
      </c>
      <c r="K2217">
        <v>0.17</v>
      </c>
      <c r="L221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17">
        <v>0</v>
      </c>
      <c r="N2217">
        <v>0</v>
      </c>
      <c r="O2217">
        <v>0</v>
      </c>
      <c r="P2217">
        <v>13398.7528</v>
      </c>
      <c r="Q2217">
        <v>63903</v>
      </c>
      <c r="R2217">
        <f>(Grandview_Inventory[[#This Row],[ln_acres]]*Grandview_Inventory[[#This Row],[coeff]])+Grandview_Inventory[[#This Row],[const]]</f>
        <v>40160.988302686128</v>
      </c>
      <c r="S2217" t="s">
        <v>61</v>
      </c>
      <c r="T2217">
        <v>1</v>
      </c>
      <c r="U2217" t="s">
        <v>65</v>
      </c>
      <c r="V2217" t="s">
        <v>67</v>
      </c>
      <c r="W2217">
        <v>0</v>
      </c>
      <c r="X2217">
        <v>0</v>
      </c>
      <c r="Y2217">
        <v>18</v>
      </c>
      <c r="Z2217">
        <v>18</v>
      </c>
      <c r="AA2217">
        <v>20</v>
      </c>
      <c r="AB2217">
        <v>2000</v>
      </c>
      <c r="AC2217">
        <v>1635</v>
      </c>
      <c r="AD2217">
        <v>1635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44</v>
      </c>
      <c r="AO2217">
        <v>0</v>
      </c>
      <c r="AP2217">
        <v>8</v>
      </c>
      <c r="AQ2217">
        <v>0</v>
      </c>
      <c r="AR2217">
        <v>0</v>
      </c>
      <c r="AS2217" t="s">
        <v>58</v>
      </c>
      <c r="AT2217">
        <v>1</v>
      </c>
      <c r="AU2217" t="s">
        <v>63</v>
      </c>
      <c r="AV2217" t="s">
        <v>64</v>
      </c>
      <c r="AW2217">
        <v>1</v>
      </c>
      <c r="AX2217">
        <v>3</v>
      </c>
      <c r="AY2217">
        <v>0</v>
      </c>
      <c r="AZ2217">
        <v>0</v>
      </c>
      <c r="BA2217">
        <v>100</v>
      </c>
      <c r="BB2217">
        <v>100</v>
      </c>
      <c r="BC2217">
        <v>100</v>
      </c>
      <c r="BD2217">
        <v>100</v>
      </c>
      <c r="BE2217">
        <v>1</v>
      </c>
      <c r="BF2217">
        <v>15000</v>
      </c>
      <c r="BG2217">
        <v>1000</v>
      </c>
      <c r="BH2217" s="6">
        <f>Grandview_Inventory[[#This Row],[land_extract]]*Lookups!$B$3</f>
        <v>46638.847281240982</v>
      </c>
      <c r="BI2217" s="6">
        <f>IF(Grandview_Inventory[[#This Row],[bldg_style]]="",0,Lookups!$B$2)</f>
        <v>155833.95000000001</v>
      </c>
      <c r="BJ2217" s="6">
        <f>_xlfn.IFNA(VLOOKUP(Grandview_Inventory[[#This Row],[quality]],Lookups!$H$2:$J$14,3,FALSE),0)</f>
        <v>2251</v>
      </c>
      <c r="BK2217" s="6">
        <f>_xlfn.IFNA(VLOOKUP(Grandview_Inventory[[#This Row],[condition]],Lookups!$H$17:$J$24,3,FALSE),0)</f>
        <v>22342</v>
      </c>
      <c r="BL2217" s="6">
        <f>Grandview_Inventory[[#This Row],[Eff_Age]]*Lookups!$B$14</f>
        <v>-4304.9987999999994</v>
      </c>
      <c r="BM2217" s="6">
        <f>Grandview_Inventory[[#This Row],[living_area]]*Lookups!$B$15</f>
        <v>101992.694655</v>
      </c>
      <c r="BN2217" s="6">
        <f>Grandview_Inventory[[#This Row],[Fin BSMT]]*Lookups!$B$16</f>
        <v>0</v>
      </c>
      <c r="BO2217" s="6">
        <f>(Grandview_Inventory[[#This Row],[att_gar]]+Grandview_Inventory[[#This Row],[bltin_gar]])*Lookups!$B$17</f>
        <v>0</v>
      </c>
      <c r="BP2217" s="6">
        <f>Grandview_Inventory[[#This Row],[Plumbing Fixtures]]*Lookups!$B$18</f>
        <v>16083.5344</v>
      </c>
      <c r="BQ2217" s="6">
        <f>Grandview_Inventory[[#This Row],[detatched_value]]*Lookups!$B$19</f>
        <v>0</v>
      </c>
      <c r="BR2217" s="6">
        <f>SUM(Grandview_Inventory[[#This Row],[Intercept]:[det_value]])*Grandview_Inventory[[#This Row],[res_pct]]</f>
        <v>294198.18025500001</v>
      </c>
      <c r="BS2217" s="6">
        <f>Grandview_Inventory[[#This Row],[land_value]]</f>
        <v>46638.847281240982</v>
      </c>
      <c r="BT2217" s="4">
        <f>_xlfn.IFNA(VLOOKUP(Grandview_Inventory[[#This Row],[quality]],Lookups!$A$26:$C$33,3,FALSE),1)</f>
        <v>0.98763855981004833</v>
      </c>
      <c r="BU2217" s="4">
        <f>_xlfn.IFNA(VLOOKUP(Grandview_Inventory[[#This Row],[condition]],Lookups!$A$37:$C$44,3,FALSE),1)</f>
        <v>0.97383723671140243</v>
      </c>
      <c r="BV2217" s="4">
        <f>IF(Grandview_Inventory[[#This Row],[bldg_style]]="",1,_xlfn.IFNA(VLOOKUP(Grandview_Inventory[[#This Row],[decade]],Lookups!$F$29:$H$43,3,FALSE),1))</f>
        <v>0.96737494181490646</v>
      </c>
      <c r="BW2217" s="4">
        <f>_xlfn.IFNA(VLOOKUP(Grandview_Inventory[[#This Row],[living_area_range]],Lookups!$F$47:$H$56,3,FALSE),1)</f>
        <v>0.96120133463014379</v>
      </c>
      <c r="BX2217" s="4">
        <f>AVERAGE(Grandview_Inventory[[#This Row],[qual_adj]:[size_adj]])</f>
        <v>0.97251301824162528</v>
      </c>
      <c r="BY2217" s="6">
        <f>IF(Grandview_Inventory[[#This Row],[pre_res]]&lt;0,0,Grandview_Inventory[[#This Row],[pre_res]]*Grandview_Inventory[[#This Row],[overall_adj]])</f>
        <v>286111.56024098379</v>
      </c>
      <c r="BZ2217" s="6">
        <f>(Grandview_Inventory[[#This Row],[sum_land]]-IF(Grandview_Inventory[[#This Row],[no_utilities]]=1,12000,0))/IF(Grandview_Inventory[[#This Row],[unbuildable]]=1,2,1)</f>
        <v>46638.847281240982</v>
      </c>
      <c r="CA221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17">
        <f>ROUND(Grandview_Inventory[[#This Row],[det_value]]*Lookups!$M$28,-2)</f>
        <v>0</v>
      </c>
      <c r="CC2217">
        <f>IF(ROUND(Grandview_Inventory[[#This Row],[adj_res]]*Lookups!$M$28,-2)&lt;Grandview_Inventory[[#This Row],[min_res]],Grandview_Inventory[[#This Row],[min_res]],ROUND(Grandview_Inventory[[#This Row],[adj_res]]*Lookups!$M$28,-2))</f>
        <v>271800</v>
      </c>
      <c r="CD2217">
        <f>Grandview_Inventory[[#This Row],[final_det]]+Grandview_Inventory[[#This Row],[final_res]]</f>
        <v>271800</v>
      </c>
      <c r="CE2217">
        <f>Grandview_Inventory[[#This Row],[final_land]]+Grandview_Inventory[[#This Row],[final_imp]]+Grandview_Inventory[[#This Row],[crop_value]]</f>
        <v>316100</v>
      </c>
      <c r="CG2217" t="str">
        <f t="shared" si="34"/>
        <v>update valuation set market_land =44300, market_bldg=271800, market_total =316100, market_mdno =401, market_date ='9/10/2023' where link_id = (select link_id from parcel where parcel_year = '2024' and parcel_id = '23092424492');</v>
      </c>
    </row>
    <row r="2218" spans="1:85" x14ac:dyDescent="0.25">
      <c r="A2218">
        <v>23092424493</v>
      </c>
      <c r="B2218">
        <v>0.17</v>
      </c>
      <c r="C2218">
        <v>7200</v>
      </c>
      <c r="D2218" t="s">
        <v>129</v>
      </c>
      <c r="E2218" t="s">
        <v>53</v>
      </c>
      <c r="F2218" t="s">
        <v>53</v>
      </c>
      <c r="G2218">
        <v>4</v>
      </c>
      <c r="H2218" t="s">
        <v>54</v>
      </c>
      <c r="I2218">
        <v>225600</v>
      </c>
      <c r="J2218">
        <v>38800</v>
      </c>
      <c r="K2218">
        <v>0.17</v>
      </c>
      <c r="L221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18">
        <v>0</v>
      </c>
      <c r="N2218">
        <v>0</v>
      </c>
      <c r="O2218">
        <v>0</v>
      </c>
      <c r="P2218">
        <v>13398.7528</v>
      </c>
      <c r="Q2218">
        <v>63903</v>
      </c>
      <c r="R2218">
        <f>(Grandview_Inventory[[#This Row],[ln_acres]]*Grandview_Inventory[[#This Row],[coeff]])+Grandview_Inventory[[#This Row],[const]]</f>
        <v>40160.988302686128</v>
      </c>
      <c r="S2218" t="s">
        <v>61</v>
      </c>
      <c r="T2218">
        <v>1</v>
      </c>
      <c r="U2218" t="s">
        <v>65</v>
      </c>
      <c r="V2218" t="s">
        <v>67</v>
      </c>
      <c r="W2218">
        <v>0</v>
      </c>
      <c r="X2218">
        <v>0</v>
      </c>
      <c r="Y2218">
        <v>17</v>
      </c>
      <c r="Z2218">
        <v>17</v>
      </c>
      <c r="AA2218">
        <v>20</v>
      </c>
      <c r="AB2218">
        <v>1500</v>
      </c>
      <c r="AC2218">
        <v>1288</v>
      </c>
      <c r="AD2218">
        <v>1288</v>
      </c>
      <c r="AE2218">
        <v>0</v>
      </c>
      <c r="AF2218">
        <v>0</v>
      </c>
      <c r="AG2218">
        <v>0</v>
      </c>
      <c r="AH2218">
        <v>0</v>
      </c>
      <c r="AI2218">
        <v>520</v>
      </c>
      <c r="AJ2218">
        <v>0</v>
      </c>
      <c r="AK2218">
        <v>0</v>
      </c>
      <c r="AL2218">
        <v>0</v>
      </c>
      <c r="AM2218">
        <v>100</v>
      </c>
      <c r="AN2218">
        <v>148</v>
      </c>
      <c r="AO2218">
        <v>0</v>
      </c>
      <c r="AP2218">
        <v>9</v>
      </c>
      <c r="AQ2218">
        <v>0</v>
      </c>
      <c r="AR2218">
        <v>0</v>
      </c>
      <c r="AS2218" t="s">
        <v>58</v>
      </c>
      <c r="AT2218">
        <v>1</v>
      </c>
      <c r="AU2218" t="s">
        <v>63</v>
      </c>
      <c r="AV2218" t="s">
        <v>64</v>
      </c>
      <c r="AW2218">
        <v>1</v>
      </c>
      <c r="AX2218">
        <v>3</v>
      </c>
      <c r="AY2218">
        <v>0</v>
      </c>
      <c r="AZ2218">
        <v>0</v>
      </c>
      <c r="BA2218">
        <v>100</v>
      </c>
      <c r="BB2218">
        <v>100</v>
      </c>
      <c r="BC2218">
        <v>100</v>
      </c>
      <c r="BD2218">
        <v>100</v>
      </c>
      <c r="BE2218">
        <v>1</v>
      </c>
      <c r="BF2218">
        <v>15000</v>
      </c>
      <c r="BG2218">
        <v>1000</v>
      </c>
      <c r="BH2218" s="6">
        <f>Grandview_Inventory[[#This Row],[land_extract]]*Lookups!$B$3</f>
        <v>46638.847281240982</v>
      </c>
      <c r="BI2218" s="6">
        <f>IF(Grandview_Inventory[[#This Row],[bldg_style]]="",0,Lookups!$B$2)</f>
        <v>155833.95000000001</v>
      </c>
      <c r="BJ2218" s="6">
        <f>_xlfn.IFNA(VLOOKUP(Grandview_Inventory[[#This Row],[quality]],Lookups!$H$2:$J$14,3,FALSE),0)</f>
        <v>2251</v>
      </c>
      <c r="BK2218" s="6">
        <f>_xlfn.IFNA(VLOOKUP(Grandview_Inventory[[#This Row],[condition]],Lookups!$H$17:$J$24,3,FALSE),0)</f>
        <v>22342</v>
      </c>
      <c r="BL2218" s="6">
        <f>Grandview_Inventory[[#This Row],[Eff_Age]]*Lookups!$B$14</f>
        <v>-4065.8321999999998</v>
      </c>
      <c r="BM2218" s="6">
        <f>Grandview_Inventory[[#This Row],[living_area]]*Lookups!$B$15</f>
        <v>80346.538664000007</v>
      </c>
      <c r="BN2218" s="6">
        <f>Grandview_Inventory[[#This Row],[Fin BSMT]]*Lookups!$B$16</f>
        <v>0</v>
      </c>
      <c r="BO2218" s="6">
        <f>(Grandview_Inventory[[#This Row],[att_gar]]+Grandview_Inventory[[#This Row],[bltin_gar]])*Lookups!$B$17</f>
        <v>45510.627240000002</v>
      </c>
      <c r="BP2218" s="6">
        <f>Grandview_Inventory[[#This Row],[Plumbing Fixtures]]*Lookups!$B$18</f>
        <v>18093.976200000001</v>
      </c>
      <c r="BQ2218" s="6">
        <f>Grandview_Inventory[[#This Row],[detatched_value]]*Lookups!$B$19</f>
        <v>0</v>
      </c>
      <c r="BR2218" s="6">
        <f>SUM(Grandview_Inventory[[#This Row],[Intercept]:[det_value]])*Grandview_Inventory[[#This Row],[res_pct]]</f>
        <v>320312.25990399998</v>
      </c>
      <c r="BS2218" s="6">
        <f>Grandview_Inventory[[#This Row],[land_value]]</f>
        <v>46638.847281240982</v>
      </c>
      <c r="BT2218" s="4">
        <f>_xlfn.IFNA(VLOOKUP(Grandview_Inventory[[#This Row],[quality]],Lookups!$A$26:$C$33,3,FALSE),1)</f>
        <v>0.98763855981004833</v>
      </c>
      <c r="BU2218" s="4">
        <f>_xlfn.IFNA(VLOOKUP(Grandview_Inventory[[#This Row],[condition]],Lookups!$A$37:$C$44,3,FALSE),1)</f>
        <v>0.97383723671140243</v>
      </c>
      <c r="BV2218" s="4">
        <f>IF(Grandview_Inventory[[#This Row],[bldg_style]]="",1,_xlfn.IFNA(VLOOKUP(Grandview_Inventory[[#This Row],[decade]],Lookups!$F$29:$H$43,3,FALSE),1))</f>
        <v>0.96737494181490646</v>
      </c>
      <c r="BW2218" s="4">
        <f>_xlfn.IFNA(VLOOKUP(Grandview_Inventory[[#This Row],[living_area_range]],Lookups!$F$47:$H$56,3,FALSE),1)</f>
        <v>0.96135087979789358</v>
      </c>
      <c r="BX2218" s="4">
        <f>AVERAGE(Grandview_Inventory[[#This Row],[qual_adj]:[size_adj]])</f>
        <v>0.97255040453356267</v>
      </c>
      <c r="BY2218" s="6">
        <f>IF(Grandview_Inventory[[#This Row],[pre_res]]&lt;0,0,Grandview_Inventory[[#This Row],[pre_res]]*Grandview_Inventory[[#This Row],[overall_adj]])</f>
        <v>311519.81794669485</v>
      </c>
      <c r="BZ2218" s="6">
        <f>(Grandview_Inventory[[#This Row],[sum_land]]-IF(Grandview_Inventory[[#This Row],[no_utilities]]=1,12000,0))/IF(Grandview_Inventory[[#This Row],[unbuildable]]=1,2,1)</f>
        <v>46638.847281240982</v>
      </c>
      <c r="CA221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18">
        <f>ROUND(Grandview_Inventory[[#This Row],[det_value]]*Lookups!$M$28,-2)</f>
        <v>0</v>
      </c>
      <c r="CC2218">
        <f>IF(ROUND(Grandview_Inventory[[#This Row],[adj_res]]*Lookups!$M$28,-2)&lt;Grandview_Inventory[[#This Row],[min_res]],Grandview_Inventory[[#This Row],[min_res]],ROUND(Grandview_Inventory[[#This Row],[adj_res]]*Lookups!$M$28,-2))</f>
        <v>295900</v>
      </c>
      <c r="CD2218">
        <f>Grandview_Inventory[[#This Row],[final_det]]+Grandview_Inventory[[#This Row],[final_res]]</f>
        <v>295900</v>
      </c>
      <c r="CE2218">
        <f>Grandview_Inventory[[#This Row],[final_land]]+Grandview_Inventory[[#This Row],[final_imp]]+Grandview_Inventory[[#This Row],[crop_value]]</f>
        <v>340200</v>
      </c>
      <c r="CG2218" t="str">
        <f t="shared" si="34"/>
        <v>update valuation set market_land =44300, market_bldg=295900, market_total =340200, market_mdno =401, market_date ='9/10/2023' where link_id = (select link_id from parcel where parcel_year = '2024' and parcel_id = '23092424493');</v>
      </c>
    </row>
    <row r="2219" spans="1:85" x14ac:dyDescent="0.25">
      <c r="A2219">
        <v>23092424494</v>
      </c>
      <c r="B2219">
        <v>0.16</v>
      </c>
      <c r="C2219">
        <v>7001</v>
      </c>
      <c r="D2219" t="s">
        <v>129</v>
      </c>
      <c r="E2219" t="s">
        <v>53</v>
      </c>
      <c r="F2219" t="s">
        <v>53</v>
      </c>
      <c r="G2219">
        <v>4</v>
      </c>
      <c r="H2219" t="s">
        <v>54</v>
      </c>
      <c r="I2219">
        <v>214400</v>
      </c>
      <c r="J2219">
        <v>38600</v>
      </c>
      <c r="K2219">
        <v>0.16</v>
      </c>
      <c r="L221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19">
        <v>0</v>
      </c>
      <c r="N2219">
        <v>0</v>
      </c>
      <c r="O2219">
        <v>0</v>
      </c>
      <c r="P2219">
        <v>13398.7528</v>
      </c>
      <c r="Q2219">
        <v>63903</v>
      </c>
      <c r="R2219">
        <f>(Grandview_Inventory[[#This Row],[ln_acres]]*Grandview_Inventory[[#This Row],[coeff]])+Grandview_Inventory[[#This Row],[const]]</f>
        <v>39348.693981374228</v>
      </c>
      <c r="S2219" t="s">
        <v>61</v>
      </c>
      <c r="T2219">
        <v>1</v>
      </c>
      <c r="U2219" t="s">
        <v>65</v>
      </c>
      <c r="V2219" t="s">
        <v>67</v>
      </c>
      <c r="W2219">
        <v>0</v>
      </c>
      <c r="X2219">
        <v>0</v>
      </c>
      <c r="Y2219">
        <v>17</v>
      </c>
      <c r="Z2219">
        <v>17</v>
      </c>
      <c r="AA2219">
        <v>20</v>
      </c>
      <c r="AB2219">
        <v>1500</v>
      </c>
      <c r="AC2219">
        <v>1079</v>
      </c>
      <c r="AD2219">
        <v>1079</v>
      </c>
      <c r="AE2219">
        <v>0</v>
      </c>
      <c r="AF2219">
        <v>0</v>
      </c>
      <c r="AG2219">
        <v>0</v>
      </c>
      <c r="AH2219">
        <v>0</v>
      </c>
      <c r="AI2219">
        <v>520</v>
      </c>
      <c r="AJ2219">
        <v>0</v>
      </c>
      <c r="AK2219">
        <v>0</v>
      </c>
      <c r="AL2219">
        <v>0</v>
      </c>
      <c r="AM2219">
        <v>100</v>
      </c>
      <c r="AN2219">
        <v>40</v>
      </c>
      <c r="AO2219">
        <v>0</v>
      </c>
      <c r="AP2219">
        <v>9</v>
      </c>
      <c r="AQ2219">
        <v>0</v>
      </c>
      <c r="AR2219">
        <v>0</v>
      </c>
      <c r="AS2219" t="s">
        <v>58</v>
      </c>
      <c r="AT2219">
        <v>1</v>
      </c>
      <c r="AU2219" t="s">
        <v>63</v>
      </c>
      <c r="AV2219" t="s">
        <v>64</v>
      </c>
      <c r="AW2219">
        <v>1</v>
      </c>
      <c r="AX2219">
        <v>3</v>
      </c>
      <c r="AY2219">
        <v>0</v>
      </c>
      <c r="AZ2219">
        <v>0</v>
      </c>
      <c r="BA2219">
        <v>100</v>
      </c>
      <c r="BB2219">
        <v>100</v>
      </c>
      <c r="BC2219">
        <v>100</v>
      </c>
      <c r="BD2219">
        <v>100</v>
      </c>
      <c r="BE2219">
        <v>1</v>
      </c>
      <c r="BF2219">
        <v>15000</v>
      </c>
      <c r="BG2219">
        <v>1000</v>
      </c>
      <c r="BH2219" s="6">
        <f>Grandview_Inventory[[#This Row],[land_extract]]*Lookups!$B$3</f>
        <v>45695.532079096141</v>
      </c>
      <c r="BI2219" s="6">
        <f>IF(Grandview_Inventory[[#This Row],[bldg_style]]="",0,Lookups!$B$2)</f>
        <v>155833.95000000001</v>
      </c>
      <c r="BJ2219" s="6">
        <f>_xlfn.IFNA(VLOOKUP(Grandview_Inventory[[#This Row],[quality]],Lookups!$H$2:$J$14,3,FALSE),0)</f>
        <v>2251</v>
      </c>
      <c r="BK2219" s="6">
        <f>_xlfn.IFNA(VLOOKUP(Grandview_Inventory[[#This Row],[condition]],Lookups!$H$17:$J$24,3,FALSE),0)</f>
        <v>22342</v>
      </c>
      <c r="BL2219" s="6">
        <f>Grandview_Inventory[[#This Row],[Eff_Age]]*Lookups!$B$14</f>
        <v>-4065.8321999999998</v>
      </c>
      <c r="BM2219" s="6">
        <f>Grandview_Inventory[[#This Row],[living_area]]*Lookups!$B$15</f>
        <v>67308.940386999995</v>
      </c>
      <c r="BN2219" s="6">
        <f>Grandview_Inventory[[#This Row],[Fin BSMT]]*Lookups!$B$16</f>
        <v>0</v>
      </c>
      <c r="BO2219" s="6">
        <f>(Grandview_Inventory[[#This Row],[att_gar]]+Grandview_Inventory[[#This Row],[bltin_gar]])*Lookups!$B$17</f>
        <v>45510.627240000002</v>
      </c>
      <c r="BP2219" s="6">
        <f>Grandview_Inventory[[#This Row],[Plumbing Fixtures]]*Lookups!$B$18</f>
        <v>18093.976200000001</v>
      </c>
      <c r="BQ2219" s="6">
        <f>Grandview_Inventory[[#This Row],[detatched_value]]*Lookups!$B$19</f>
        <v>0</v>
      </c>
      <c r="BR2219" s="6">
        <f>SUM(Grandview_Inventory[[#This Row],[Intercept]:[det_value]])*Grandview_Inventory[[#This Row],[res_pct]]</f>
        <v>307274.66162699996</v>
      </c>
      <c r="BS2219" s="6">
        <f>Grandview_Inventory[[#This Row],[land_value]]</f>
        <v>45695.532079096141</v>
      </c>
      <c r="BT2219" s="4">
        <f>_xlfn.IFNA(VLOOKUP(Grandview_Inventory[[#This Row],[quality]],Lookups!$A$26:$C$33,3,FALSE),1)</f>
        <v>0.98763855981004833</v>
      </c>
      <c r="BU2219" s="4">
        <f>_xlfn.IFNA(VLOOKUP(Grandview_Inventory[[#This Row],[condition]],Lookups!$A$37:$C$44,3,FALSE),1)</f>
        <v>0.97383723671140243</v>
      </c>
      <c r="BV2219" s="4">
        <f>IF(Grandview_Inventory[[#This Row],[bldg_style]]="",1,_xlfn.IFNA(VLOOKUP(Grandview_Inventory[[#This Row],[decade]],Lookups!$F$29:$H$43,3,FALSE),1))</f>
        <v>0.96737494181490646</v>
      </c>
      <c r="BW2219" s="4">
        <f>_xlfn.IFNA(VLOOKUP(Grandview_Inventory[[#This Row],[living_area_range]],Lookups!$F$47:$H$56,3,FALSE),1)</f>
        <v>0.96135087979789358</v>
      </c>
      <c r="BX2219" s="4">
        <f>AVERAGE(Grandview_Inventory[[#This Row],[qual_adj]:[size_adj]])</f>
        <v>0.97255040453356267</v>
      </c>
      <c r="BY2219" s="6">
        <f>IF(Grandview_Inventory[[#This Row],[pre_res]]&lt;0,0,Grandview_Inventory[[#This Row],[pre_res]]*Grandview_Inventory[[#This Row],[overall_adj]])</f>
        <v>298840.09646825242</v>
      </c>
      <c r="BZ2219" s="6">
        <f>(Grandview_Inventory[[#This Row],[sum_land]]-IF(Grandview_Inventory[[#This Row],[no_utilities]]=1,12000,0))/IF(Grandview_Inventory[[#This Row],[unbuildable]]=1,2,1)</f>
        <v>45695.532079096141</v>
      </c>
      <c r="CA221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19">
        <f>ROUND(Grandview_Inventory[[#This Row],[det_value]]*Lookups!$M$28,-2)</f>
        <v>0</v>
      </c>
      <c r="CC2219">
        <f>IF(ROUND(Grandview_Inventory[[#This Row],[adj_res]]*Lookups!$M$28,-2)&lt;Grandview_Inventory[[#This Row],[min_res]],Grandview_Inventory[[#This Row],[min_res]],ROUND(Grandview_Inventory[[#This Row],[adj_res]]*Lookups!$M$28,-2))</f>
        <v>283900</v>
      </c>
      <c r="CD2219">
        <f>Grandview_Inventory[[#This Row],[final_det]]+Grandview_Inventory[[#This Row],[final_res]]</f>
        <v>283900</v>
      </c>
      <c r="CE2219">
        <f>Grandview_Inventory[[#This Row],[final_land]]+Grandview_Inventory[[#This Row],[final_imp]]+Grandview_Inventory[[#This Row],[crop_value]]</f>
        <v>327300</v>
      </c>
      <c r="CG2219" t="str">
        <f t="shared" si="34"/>
        <v>update valuation set market_land =43400, market_bldg=283900, market_total =327300, market_mdno =401, market_date ='9/10/2023' where link_id = (select link_id from parcel where parcel_year = '2024' and parcel_id = '23092424494');</v>
      </c>
    </row>
    <row r="2220" spans="1:85" x14ac:dyDescent="0.25">
      <c r="A2220">
        <v>23092424495</v>
      </c>
      <c r="B2220">
        <v>0.16</v>
      </c>
      <c r="C2220">
        <v>7001</v>
      </c>
      <c r="D2220" t="s">
        <v>129</v>
      </c>
      <c r="E2220" t="s">
        <v>53</v>
      </c>
      <c r="F2220" t="s">
        <v>53</v>
      </c>
      <c r="G2220">
        <v>4</v>
      </c>
      <c r="H2220" t="s">
        <v>54</v>
      </c>
      <c r="I2220">
        <v>223400</v>
      </c>
      <c r="J2220">
        <v>38600</v>
      </c>
      <c r="K2220">
        <v>0.16</v>
      </c>
      <c r="L222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20">
        <v>0</v>
      </c>
      <c r="N2220">
        <v>0</v>
      </c>
      <c r="O2220">
        <v>0</v>
      </c>
      <c r="P2220">
        <v>13398.7528</v>
      </c>
      <c r="Q2220">
        <v>63903</v>
      </c>
      <c r="R2220">
        <f>(Grandview_Inventory[[#This Row],[ln_acres]]*Grandview_Inventory[[#This Row],[coeff]])+Grandview_Inventory[[#This Row],[const]]</f>
        <v>39348.693981374228</v>
      </c>
      <c r="S2220" t="s">
        <v>61</v>
      </c>
      <c r="T2220">
        <v>1</v>
      </c>
      <c r="U2220" t="s">
        <v>62</v>
      </c>
      <c r="V2220" t="s">
        <v>67</v>
      </c>
      <c r="W2220">
        <v>0</v>
      </c>
      <c r="X2220">
        <v>0</v>
      </c>
      <c r="Y2220">
        <v>17</v>
      </c>
      <c r="Z2220">
        <v>17</v>
      </c>
      <c r="AA2220">
        <v>20</v>
      </c>
      <c r="AB2220">
        <v>1500</v>
      </c>
      <c r="AC2220">
        <v>1247</v>
      </c>
      <c r="AD2220">
        <v>1247</v>
      </c>
      <c r="AE2220">
        <v>0</v>
      </c>
      <c r="AF2220">
        <v>0</v>
      </c>
      <c r="AG2220">
        <v>0</v>
      </c>
      <c r="AH2220">
        <v>0</v>
      </c>
      <c r="AI2220">
        <v>520</v>
      </c>
      <c r="AJ2220">
        <v>0</v>
      </c>
      <c r="AK2220">
        <v>0</v>
      </c>
      <c r="AL2220">
        <v>0</v>
      </c>
      <c r="AM2220">
        <v>100</v>
      </c>
      <c r="AN2220">
        <v>40</v>
      </c>
      <c r="AO2220">
        <v>0</v>
      </c>
      <c r="AP2220">
        <v>9</v>
      </c>
      <c r="AQ2220">
        <v>0</v>
      </c>
      <c r="AR2220">
        <v>0</v>
      </c>
      <c r="AS2220" t="s">
        <v>58</v>
      </c>
      <c r="AT2220">
        <v>1</v>
      </c>
      <c r="AU2220" t="s">
        <v>63</v>
      </c>
      <c r="AV2220" t="s">
        <v>64</v>
      </c>
      <c r="AW2220">
        <v>1</v>
      </c>
      <c r="AX2220">
        <v>4</v>
      </c>
      <c r="AY2220">
        <v>0</v>
      </c>
      <c r="AZ2220">
        <v>0</v>
      </c>
      <c r="BA2220">
        <v>100</v>
      </c>
      <c r="BB2220">
        <v>100</v>
      </c>
      <c r="BC2220">
        <v>100</v>
      </c>
      <c r="BD2220">
        <v>100</v>
      </c>
      <c r="BE2220">
        <v>1</v>
      </c>
      <c r="BF2220">
        <v>15000</v>
      </c>
      <c r="BG2220">
        <v>1000</v>
      </c>
      <c r="BH2220" s="6">
        <f>Grandview_Inventory[[#This Row],[land_extract]]*Lookups!$B$3</f>
        <v>45695.532079096141</v>
      </c>
      <c r="BI2220" s="6">
        <f>IF(Grandview_Inventory[[#This Row],[bldg_style]]="",0,Lookups!$B$2)</f>
        <v>155833.95000000001</v>
      </c>
      <c r="BJ2220" s="6">
        <f>_xlfn.IFNA(VLOOKUP(Grandview_Inventory[[#This Row],[quality]],Lookups!$H$2:$J$14,3,FALSE),0)</f>
        <v>9808</v>
      </c>
      <c r="BK2220" s="6">
        <f>_xlfn.IFNA(VLOOKUP(Grandview_Inventory[[#This Row],[condition]],Lookups!$H$17:$J$24,3,FALSE),0)</f>
        <v>22342</v>
      </c>
      <c r="BL2220" s="6">
        <f>Grandview_Inventory[[#This Row],[Eff_Age]]*Lookups!$B$14</f>
        <v>-4065.8321999999998</v>
      </c>
      <c r="BM2220" s="6">
        <f>Grandview_Inventory[[#This Row],[living_area]]*Lookups!$B$15</f>
        <v>77788.923691000004</v>
      </c>
      <c r="BN2220" s="6">
        <f>Grandview_Inventory[[#This Row],[Fin BSMT]]*Lookups!$B$16</f>
        <v>0</v>
      </c>
      <c r="BO2220" s="6">
        <f>(Grandview_Inventory[[#This Row],[att_gar]]+Grandview_Inventory[[#This Row],[bltin_gar]])*Lookups!$B$17</f>
        <v>45510.627240000002</v>
      </c>
      <c r="BP2220" s="6">
        <f>Grandview_Inventory[[#This Row],[Plumbing Fixtures]]*Lookups!$B$18</f>
        <v>18093.976200000001</v>
      </c>
      <c r="BQ2220" s="6">
        <f>Grandview_Inventory[[#This Row],[detatched_value]]*Lookups!$B$19</f>
        <v>0</v>
      </c>
      <c r="BR2220" s="6">
        <f>SUM(Grandview_Inventory[[#This Row],[Intercept]:[det_value]])*Grandview_Inventory[[#This Row],[res_pct]]</f>
        <v>325311.64493100002</v>
      </c>
      <c r="BS2220" s="6">
        <f>Grandview_Inventory[[#This Row],[land_value]]</f>
        <v>45695.532079096141</v>
      </c>
      <c r="BT2220" s="4">
        <f>_xlfn.IFNA(VLOOKUP(Grandview_Inventory[[#This Row],[quality]],Lookups!$A$26:$C$33,3,FALSE),1)</f>
        <v>0.94295468617355149</v>
      </c>
      <c r="BU2220" s="4">
        <f>_xlfn.IFNA(VLOOKUP(Grandview_Inventory[[#This Row],[condition]],Lookups!$A$37:$C$44,3,FALSE),1)</f>
        <v>0.97383723671140243</v>
      </c>
      <c r="BV2220" s="4">
        <f>IF(Grandview_Inventory[[#This Row],[bldg_style]]="",1,_xlfn.IFNA(VLOOKUP(Grandview_Inventory[[#This Row],[decade]],Lookups!$F$29:$H$43,3,FALSE),1))</f>
        <v>0.96737494181490646</v>
      </c>
      <c r="BW2220" s="4">
        <f>_xlfn.IFNA(VLOOKUP(Grandview_Inventory[[#This Row],[living_area_range]],Lookups!$F$47:$H$56,3,FALSE),1)</f>
        <v>0.96135087979789358</v>
      </c>
      <c r="BX2220" s="4">
        <f>AVERAGE(Grandview_Inventory[[#This Row],[qual_adj]:[size_adj]])</f>
        <v>0.96137943612443855</v>
      </c>
      <c r="BY2220" s="6">
        <f>IF(Grandview_Inventory[[#This Row],[pre_res]]&lt;0,0,Grandview_Inventory[[#This Row],[pre_res]]*Grandview_Inventory[[#This Row],[overall_adj]])</f>
        <v>312747.92576847837</v>
      </c>
      <c r="BZ2220" s="6">
        <f>(Grandview_Inventory[[#This Row],[sum_land]]-IF(Grandview_Inventory[[#This Row],[no_utilities]]=1,12000,0))/IF(Grandview_Inventory[[#This Row],[unbuildable]]=1,2,1)</f>
        <v>45695.532079096141</v>
      </c>
      <c r="CA222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20">
        <f>ROUND(Grandview_Inventory[[#This Row],[det_value]]*Lookups!$M$28,-2)</f>
        <v>0</v>
      </c>
      <c r="CC2220">
        <f>IF(ROUND(Grandview_Inventory[[#This Row],[adj_res]]*Lookups!$M$28,-2)&lt;Grandview_Inventory[[#This Row],[min_res]],Grandview_Inventory[[#This Row],[min_res]],ROUND(Grandview_Inventory[[#This Row],[adj_res]]*Lookups!$M$28,-2))</f>
        <v>297100</v>
      </c>
      <c r="CD2220">
        <f>Grandview_Inventory[[#This Row],[final_det]]+Grandview_Inventory[[#This Row],[final_res]]</f>
        <v>297100</v>
      </c>
      <c r="CE2220">
        <f>Grandview_Inventory[[#This Row],[final_land]]+Grandview_Inventory[[#This Row],[final_imp]]+Grandview_Inventory[[#This Row],[crop_value]]</f>
        <v>340500</v>
      </c>
      <c r="CG2220" t="str">
        <f t="shared" si="34"/>
        <v>update valuation set market_land =43400, market_bldg=297100, market_total =340500, market_mdno =401, market_date ='9/10/2023' where link_id = (select link_id from parcel where parcel_year = '2024' and parcel_id = '23092424495');</v>
      </c>
    </row>
    <row r="2221" spans="1:85" x14ac:dyDescent="0.25">
      <c r="A2221">
        <v>23092424496</v>
      </c>
      <c r="B2221">
        <v>0.16</v>
      </c>
      <c r="C2221">
        <v>7001</v>
      </c>
      <c r="D2221" t="s">
        <v>129</v>
      </c>
      <c r="E2221" t="s">
        <v>53</v>
      </c>
      <c r="F2221" t="s">
        <v>53</v>
      </c>
      <c r="G2221">
        <v>4</v>
      </c>
      <c r="H2221" t="s">
        <v>54</v>
      </c>
      <c r="I2221">
        <v>233700</v>
      </c>
      <c r="J2221">
        <v>42800</v>
      </c>
      <c r="K2221">
        <v>0.16</v>
      </c>
      <c r="L222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21">
        <v>0</v>
      </c>
      <c r="N2221">
        <v>0</v>
      </c>
      <c r="O2221">
        <v>0</v>
      </c>
      <c r="P2221">
        <v>13398.7528</v>
      </c>
      <c r="Q2221">
        <v>63903</v>
      </c>
      <c r="R2221">
        <f>(Grandview_Inventory[[#This Row],[ln_acres]]*Grandview_Inventory[[#This Row],[coeff]])+Grandview_Inventory[[#This Row],[const]]</f>
        <v>39348.693981374228</v>
      </c>
      <c r="S2221" t="s">
        <v>61</v>
      </c>
      <c r="T2221">
        <v>1</v>
      </c>
      <c r="U2221" t="s">
        <v>65</v>
      </c>
      <c r="V2221" t="s">
        <v>66</v>
      </c>
      <c r="W2221">
        <v>0</v>
      </c>
      <c r="X2221">
        <v>0</v>
      </c>
      <c r="Y2221">
        <v>17</v>
      </c>
      <c r="Z2221">
        <v>17</v>
      </c>
      <c r="AA2221">
        <v>20</v>
      </c>
      <c r="AB2221">
        <v>2000</v>
      </c>
      <c r="AC2221">
        <v>1663</v>
      </c>
      <c r="AD2221">
        <v>1247</v>
      </c>
      <c r="AE2221">
        <v>0</v>
      </c>
      <c r="AF2221">
        <v>416</v>
      </c>
      <c r="AG2221">
        <v>0</v>
      </c>
      <c r="AH2221">
        <v>0</v>
      </c>
      <c r="AI2221">
        <v>624</v>
      </c>
      <c r="AJ2221">
        <v>0</v>
      </c>
      <c r="AK2221">
        <v>0</v>
      </c>
      <c r="AL2221">
        <v>0</v>
      </c>
      <c r="AM2221">
        <v>100</v>
      </c>
      <c r="AN2221">
        <v>40</v>
      </c>
      <c r="AO2221">
        <v>0</v>
      </c>
      <c r="AP2221">
        <v>9</v>
      </c>
      <c r="AQ2221">
        <v>0</v>
      </c>
      <c r="AR2221">
        <v>0</v>
      </c>
      <c r="AS2221" t="s">
        <v>58</v>
      </c>
      <c r="AT2221">
        <v>1</v>
      </c>
      <c r="AU2221" t="s">
        <v>63</v>
      </c>
      <c r="AV2221" t="s">
        <v>64</v>
      </c>
      <c r="AW2221">
        <v>1</v>
      </c>
      <c r="AX2221">
        <v>4</v>
      </c>
      <c r="AY2221">
        <v>0</v>
      </c>
      <c r="AZ2221">
        <v>0</v>
      </c>
      <c r="BA2221">
        <v>100</v>
      </c>
      <c r="BB2221">
        <v>100</v>
      </c>
      <c r="BC2221">
        <v>100</v>
      </c>
      <c r="BD2221">
        <v>100</v>
      </c>
      <c r="BE2221">
        <v>1</v>
      </c>
      <c r="BF2221">
        <v>15000</v>
      </c>
      <c r="BG2221">
        <v>1000</v>
      </c>
      <c r="BH2221" s="6">
        <f>Grandview_Inventory[[#This Row],[land_extract]]*Lookups!$B$3</f>
        <v>45695.532079096141</v>
      </c>
      <c r="BI2221" s="6">
        <f>IF(Grandview_Inventory[[#This Row],[bldg_style]]="",0,Lookups!$B$2)</f>
        <v>155833.95000000001</v>
      </c>
      <c r="BJ2221" s="6">
        <f>_xlfn.IFNA(VLOOKUP(Grandview_Inventory[[#This Row],[quality]],Lookups!$H$2:$J$14,3,FALSE),0)</f>
        <v>2251</v>
      </c>
      <c r="BK2221" s="6">
        <f>_xlfn.IFNA(VLOOKUP(Grandview_Inventory[[#This Row],[condition]],Lookups!$H$17:$J$24,3,FALSE),0)</f>
        <v>25818</v>
      </c>
      <c r="BL2221" s="6">
        <f>Grandview_Inventory[[#This Row],[Eff_Age]]*Lookups!$B$14</f>
        <v>-4065.8321999999998</v>
      </c>
      <c r="BM2221" s="6">
        <f>Grandview_Inventory[[#This Row],[living_area]]*Lookups!$B$15</f>
        <v>103739.35853900001</v>
      </c>
      <c r="BN2221" s="6">
        <f>Grandview_Inventory[[#This Row],[Fin BSMT]]*Lookups!$B$16</f>
        <v>0</v>
      </c>
      <c r="BO2221" s="6">
        <f>(Grandview_Inventory[[#This Row],[att_gar]]+Grandview_Inventory[[#This Row],[bltin_gar]])*Lookups!$B$17</f>
        <v>54612.752688</v>
      </c>
      <c r="BP2221" s="6">
        <f>Grandview_Inventory[[#This Row],[Plumbing Fixtures]]*Lookups!$B$18</f>
        <v>18093.976200000001</v>
      </c>
      <c r="BQ2221" s="6">
        <f>Grandview_Inventory[[#This Row],[detatched_value]]*Lookups!$B$19</f>
        <v>0</v>
      </c>
      <c r="BR2221" s="6">
        <f>SUM(Grandview_Inventory[[#This Row],[Intercept]:[det_value]])*Grandview_Inventory[[#This Row],[res_pct]]</f>
        <v>356283.205227</v>
      </c>
      <c r="BS2221" s="6">
        <f>Grandview_Inventory[[#This Row],[land_value]]</f>
        <v>45695.532079096141</v>
      </c>
      <c r="BT2221" s="4">
        <f>_xlfn.IFNA(VLOOKUP(Grandview_Inventory[[#This Row],[quality]],Lookups!$A$26:$C$33,3,FALSE),1)</f>
        <v>0.98763855981004833</v>
      </c>
      <c r="BU2221" s="4">
        <f>_xlfn.IFNA(VLOOKUP(Grandview_Inventory[[#This Row],[condition]],Lookups!$A$37:$C$44,3,FALSE),1)</f>
        <v>0.96661476234146892</v>
      </c>
      <c r="BV2221" s="4">
        <f>IF(Grandview_Inventory[[#This Row],[bldg_style]]="",1,_xlfn.IFNA(VLOOKUP(Grandview_Inventory[[#This Row],[decade]],Lookups!$F$29:$H$43,3,FALSE),1))</f>
        <v>0.96737494181490646</v>
      </c>
      <c r="BW2221" s="4">
        <f>_xlfn.IFNA(VLOOKUP(Grandview_Inventory[[#This Row],[living_area_range]],Lookups!$F$47:$H$56,3,FALSE),1)</f>
        <v>0.96120133463014379</v>
      </c>
      <c r="BX2221" s="4">
        <f>AVERAGE(Grandview_Inventory[[#This Row],[qual_adj]:[size_adj]])</f>
        <v>0.97070739964914199</v>
      </c>
      <c r="BY2221" s="6">
        <f>IF(Grandview_Inventory[[#This Row],[pre_res]]&lt;0,0,Grandview_Inventory[[#This Row],[pre_res]]*Grandview_Inventory[[#This Row],[overall_adj]])</f>
        <v>345846.74368456274</v>
      </c>
      <c r="BZ2221" s="6">
        <f>(Grandview_Inventory[[#This Row],[sum_land]]-IF(Grandview_Inventory[[#This Row],[no_utilities]]=1,12000,0))/IF(Grandview_Inventory[[#This Row],[unbuildable]]=1,2,1)</f>
        <v>45695.532079096141</v>
      </c>
      <c r="CA222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21">
        <f>ROUND(Grandview_Inventory[[#This Row],[det_value]]*Lookups!$M$28,-2)</f>
        <v>0</v>
      </c>
      <c r="CC2221">
        <f>IF(ROUND(Grandview_Inventory[[#This Row],[adj_res]]*Lookups!$M$28,-2)&lt;Grandview_Inventory[[#This Row],[min_res]],Grandview_Inventory[[#This Row],[min_res]],ROUND(Grandview_Inventory[[#This Row],[adj_res]]*Lookups!$M$28,-2))</f>
        <v>328600</v>
      </c>
      <c r="CD2221">
        <f>Grandview_Inventory[[#This Row],[final_det]]+Grandview_Inventory[[#This Row],[final_res]]</f>
        <v>328600</v>
      </c>
      <c r="CE2221">
        <f>Grandview_Inventory[[#This Row],[final_land]]+Grandview_Inventory[[#This Row],[final_imp]]+Grandview_Inventory[[#This Row],[crop_value]]</f>
        <v>372000</v>
      </c>
      <c r="CG2221" t="str">
        <f t="shared" si="34"/>
        <v>update valuation set market_land =43400, market_bldg=328600, market_total =372000, market_mdno =401, market_date ='9/10/2023' where link_id = (select link_id from parcel where parcel_year = '2024' and parcel_id = '23092424496');</v>
      </c>
    </row>
    <row r="2222" spans="1:85" x14ac:dyDescent="0.25">
      <c r="A2222">
        <v>23092424497</v>
      </c>
      <c r="B2222">
        <v>0.16</v>
      </c>
      <c r="C2222">
        <v>7001</v>
      </c>
      <c r="D2222" t="s">
        <v>129</v>
      </c>
      <c r="E2222" t="s">
        <v>53</v>
      </c>
      <c r="F2222" t="s">
        <v>53</v>
      </c>
      <c r="G2222">
        <v>4</v>
      </c>
      <c r="H2222" t="s">
        <v>54</v>
      </c>
      <c r="I2222">
        <v>208600</v>
      </c>
      <c r="J2222">
        <v>38600</v>
      </c>
      <c r="K2222">
        <v>0.16</v>
      </c>
      <c r="L222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22">
        <v>0</v>
      </c>
      <c r="N2222">
        <v>0</v>
      </c>
      <c r="O2222">
        <v>0</v>
      </c>
      <c r="P2222">
        <v>13398.7528</v>
      </c>
      <c r="Q2222">
        <v>63903</v>
      </c>
      <c r="R2222">
        <f>(Grandview_Inventory[[#This Row],[ln_acres]]*Grandview_Inventory[[#This Row],[coeff]])+Grandview_Inventory[[#This Row],[const]]</f>
        <v>39348.693981374228</v>
      </c>
      <c r="S2222" t="s">
        <v>61</v>
      </c>
      <c r="T2222">
        <v>1</v>
      </c>
      <c r="U2222" t="s">
        <v>65</v>
      </c>
      <c r="V2222" t="s">
        <v>67</v>
      </c>
      <c r="W2222">
        <v>0</v>
      </c>
      <c r="X2222">
        <v>0</v>
      </c>
      <c r="Y2222">
        <v>17</v>
      </c>
      <c r="Z2222">
        <v>17</v>
      </c>
      <c r="AA2222">
        <v>20</v>
      </c>
      <c r="AB2222">
        <v>1500</v>
      </c>
      <c r="AC2222">
        <v>1002</v>
      </c>
      <c r="AD2222">
        <v>1002</v>
      </c>
      <c r="AE2222">
        <v>0</v>
      </c>
      <c r="AF2222">
        <v>0</v>
      </c>
      <c r="AG2222">
        <v>0</v>
      </c>
      <c r="AH2222">
        <v>0</v>
      </c>
      <c r="AI2222">
        <v>520</v>
      </c>
      <c r="AJ2222">
        <v>0</v>
      </c>
      <c r="AK2222">
        <v>0</v>
      </c>
      <c r="AL2222">
        <v>0</v>
      </c>
      <c r="AM2222">
        <v>100</v>
      </c>
      <c r="AN2222">
        <v>60</v>
      </c>
      <c r="AO2222">
        <v>0</v>
      </c>
      <c r="AP2222">
        <v>8</v>
      </c>
      <c r="AQ2222">
        <v>0</v>
      </c>
      <c r="AR2222">
        <v>0</v>
      </c>
      <c r="AS2222" t="s">
        <v>58</v>
      </c>
      <c r="AT2222">
        <v>1</v>
      </c>
      <c r="AU2222" t="s">
        <v>63</v>
      </c>
      <c r="AV2222" t="s">
        <v>64</v>
      </c>
      <c r="AW2222">
        <v>1</v>
      </c>
      <c r="AX2222">
        <v>3</v>
      </c>
      <c r="AY2222">
        <v>0</v>
      </c>
      <c r="AZ2222">
        <v>0</v>
      </c>
      <c r="BA2222">
        <v>100</v>
      </c>
      <c r="BB2222">
        <v>100</v>
      </c>
      <c r="BC2222">
        <v>100</v>
      </c>
      <c r="BD2222">
        <v>100</v>
      </c>
      <c r="BE2222">
        <v>1</v>
      </c>
      <c r="BF2222">
        <v>15000</v>
      </c>
      <c r="BG2222">
        <v>1000</v>
      </c>
      <c r="BH2222" s="6">
        <f>Grandview_Inventory[[#This Row],[land_extract]]*Lookups!$B$3</f>
        <v>45695.532079096141</v>
      </c>
      <c r="BI2222" s="6">
        <f>IF(Grandview_Inventory[[#This Row],[bldg_style]]="",0,Lookups!$B$2)</f>
        <v>155833.95000000001</v>
      </c>
      <c r="BJ2222" s="6">
        <f>_xlfn.IFNA(VLOOKUP(Grandview_Inventory[[#This Row],[quality]],Lookups!$H$2:$J$14,3,FALSE),0)</f>
        <v>2251</v>
      </c>
      <c r="BK2222" s="6">
        <f>_xlfn.IFNA(VLOOKUP(Grandview_Inventory[[#This Row],[condition]],Lookups!$H$17:$J$24,3,FALSE),0)</f>
        <v>22342</v>
      </c>
      <c r="BL2222" s="6">
        <f>Grandview_Inventory[[#This Row],[Eff_Age]]*Lookups!$B$14</f>
        <v>-4065.8321999999998</v>
      </c>
      <c r="BM2222" s="6">
        <f>Grandview_Inventory[[#This Row],[living_area]]*Lookups!$B$15</f>
        <v>62505.614706</v>
      </c>
      <c r="BN2222" s="6">
        <f>Grandview_Inventory[[#This Row],[Fin BSMT]]*Lookups!$B$16</f>
        <v>0</v>
      </c>
      <c r="BO2222" s="6">
        <f>(Grandview_Inventory[[#This Row],[att_gar]]+Grandview_Inventory[[#This Row],[bltin_gar]])*Lookups!$B$17</f>
        <v>45510.627240000002</v>
      </c>
      <c r="BP2222" s="6">
        <f>Grandview_Inventory[[#This Row],[Plumbing Fixtures]]*Lookups!$B$18</f>
        <v>16083.5344</v>
      </c>
      <c r="BQ2222" s="6">
        <f>Grandview_Inventory[[#This Row],[detatched_value]]*Lookups!$B$19</f>
        <v>0</v>
      </c>
      <c r="BR2222" s="6">
        <f>SUM(Grandview_Inventory[[#This Row],[Intercept]:[det_value]])*Grandview_Inventory[[#This Row],[res_pct]]</f>
        <v>300460.89414600004</v>
      </c>
      <c r="BS2222" s="6">
        <f>Grandview_Inventory[[#This Row],[land_value]]</f>
        <v>45695.532079096141</v>
      </c>
      <c r="BT2222" s="4">
        <f>_xlfn.IFNA(VLOOKUP(Grandview_Inventory[[#This Row],[quality]],Lookups!$A$26:$C$33,3,FALSE),1)</f>
        <v>0.98763855981004833</v>
      </c>
      <c r="BU2222" s="4">
        <f>_xlfn.IFNA(VLOOKUP(Grandview_Inventory[[#This Row],[condition]],Lookups!$A$37:$C$44,3,FALSE),1)</f>
        <v>0.97383723671140243</v>
      </c>
      <c r="BV2222" s="4">
        <f>IF(Grandview_Inventory[[#This Row],[bldg_style]]="",1,_xlfn.IFNA(VLOOKUP(Grandview_Inventory[[#This Row],[decade]],Lookups!$F$29:$H$43,3,FALSE),1))</f>
        <v>0.96737494181490646</v>
      </c>
      <c r="BW2222" s="4">
        <f>_xlfn.IFNA(VLOOKUP(Grandview_Inventory[[#This Row],[living_area_range]],Lookups!$F$47:$H$56,3,FALSE),1)</f>
        <v>0.96135087979789358</v>
      </c>
      <c r="BX2222" s="4">
        <f>AVERAGE(Grandview_Inventory[[#This Row],[qual_adj]:[size_adj]])</f>
        <v>0.97255040453356267</v>
      </c>
      <c r="BY2222" s="6">
        <f>IF(Grandview_Inventory[[#This Row],[pre_res]]&lt;0,0,Grandview_Inventory[[#This Row],[pre_res]]*Grandview_Inventory[[#This Row],[overall_adj]])</f>
        <v>292213.36414820829</v>
      </c>
      <c r="BZ2222" s="6">
        <f>(Grandview_Inventory[[#This Row],[sum_land]]-IF(Grandview_Inventory[[#This Row],[no_utilities]]=1,12000,0))/IF(Grandview_Inventory[[#This Row],[unbuildable]]=1,2,1)</f>
        <v>45695.532079096141</v>
      </c>
      <c r="CA222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22">
        <f>ROUND(Grandview_Inventory[[#This Row],[det_value]]*Lookups!$M$28,-2)</f>
        <v>0</v>
      </c>
      <c r="CC2222">
        <f>IF(ROUND(Grandview_Inventory[[#This Row],[adj_res]]*Lookups!$M$28,-2)&lt;Grandview_Inventory[[#This Row],[min_res]],Grandview_Inventory[[#This Row],[min_res]],ROUND(Grandview_Inventory[[#This Row],[adj_res]]*Lookups!$M$28,-2))</f>
        <v>277600</v>
      </c>
      <c r="CD2222">
        <f>Grandview_Inventory[[#This Row],[final_det]]+Grandview_Inventory[[#This Row],[final_res]]</f>
        <v>277600</v>
      </c>
      <c r="CE2222">
        <f>Grandview_Inventory[[#This Row],[final_land]]+Grandview_Inventory[[#This Row],[final_imp]]+Grandview_Inventory[[#This Row],[crop_value]]</f>
        <v>321000</v>
      </c>
      <c r="CG2222" t="str">
        <f t="shared" si="34"/>
        <v>update valuation set market_land =43400, market_bldg=277600, market_total =321000, market_mdno =401, market_date ='9/10/2023' where link_id = (select link_id from parcel where parcel_year = '2024' and parcel_id = '23092424497');</v>
      </c>
    </row>
    <row r="2223" spans="1:85" x14ac:dyDescent="0.25">
      <c r="A2223">
        <v>23092424498</v>
      </c>
      <c r="B2223">
        <v>0.16</v>
      </c>
      <c r="C2223">
        <v>7001</v>
      </c>
      <c r="D2223" t="s">
        <v>129</v>
      </c>
      <c r="E2223" t="s">
        <v>53</v>
      </c>
      <c r="F2223" t="s">
        <v>53</v>
      </c>
      <c r="G2223">
        <v>4</v>
      </c>
      <c r="H2223" t="s">
        <v>54</v>
      </c>
      <c r="I2223">
        <v>224200</v>
      </c>
      <c r="J2223">
        <v>42800</v>
      </c>
      <c r="K2223">
        <v>0.16</v>
      </c>
      <c r="L222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23">
        <v>0</v>
      </c>
      <c r="N2223">
        <v>0</v>
      </c>
      <c r="O2223">
        <v>0</v>
      </c>
      <c r="P2223">
        <v>13398.7528</v>
      </c>
      <c r="Q2223">
        <v>63903</v>
      </c>
      <c r="R2223">
        <f>(Grandview_Inventory[[#This Row],[ln_acres]]*Grandview_Inventory[[#This Row],[coeff]])+Grandview_Inventory[[#This Row],[const]]</f>
        <v>39348.693981374228</v>
      </c>
      <c r="S2223" t="s">
        <v>61</v>
      </c>
      <c r="T2223">
        <v>1</v>
      </c>
      <c r="U2223" t="s">
        <v>65</v>
      </c>
      <c r="V2223" t="s">
        <v>67</v>
      </c>
      <c r="W2223">
        <v>0</v>
      </c>
      <c r="X2223">
        <v>0</v>
      </c>
      <c r="Y2223">
        <v>17</v>
      </c>
      <c r="Z2223">
        <v>17</v>
      </c>
      <c r="AA2223">
        <v>20</v>
      </c>
      <c r="AB2223">
        <v>1500</v>
      </c>
      <c r="AC2223">
        <v>1227</v>
      </c>
      <c r="AD2223">
        <v>1227</v>
      </c>
      <c r="AE2223">
        <v>0</v>
      </c>
      <c r="AF2223">
        <v>0</v>
      </c>
      <c r="AG2223">
        <v>0</v>
      </c>
      <c r="AH2223">
        <v>0</v>
      </c>
      <c r="AI2223">
        <v>520</v>
      </c>
      <c r="AJ2223">
        <v>0</v>
      </c>
      <c r="AK2223">
        <v>0</v>
      </c>
      <c r="AL2223">
        <v>0</v>
      </c>
      <c r="AM2223">
        <v>100</v>
      </c>
      <c r="AN2223">
        <v>40</v>
      </c>
      <c r="AO2223">
        <v>0</v>
      </c>
      <c r="AP2223">
        <v>9</v>
      </c>
      <c r="AQ2223">
        <v>0</v>
      </c>
      <c r="AR2223">
        <v>0</v>
      </c>
      <c r="AS2223" t="s">
        <v>58</v>
      </c>
      <c r="AT2223">
        <v>1</v>
      </c>
      <c r="AU2223" t="s">
        <v>63</v>
      </c>
      <c r="AV2223" t="s">
        <v>64</v>
      </c>
      <c r="AW2223">
        <v>1</v>
      </c>
      <c r="AX2223">
        <v>4</v>
      </c>
      <c r="AY2223">
        <v>0</v>
      </c>
      <c r="AZ2223">
        <v>0</v>
      </c>
      <c r="BA2223">
        <v>100</v>
      </c>
      <c r="BB2223">
        <v>100</v>
      </c>
      <c r="BC2223">
        <v>100</v>
      </c>
      <c r="BD2223">
        <v>100</v>
      </c>
      <c r="BE2223">
        <v>1</v>
      </c>
      <c r="BF2223">
        <v>15000</v>
      </c>
      <c r="BG2223">
        <v>1000</v>
      </c>
      <c r="BH2223" s="6">
        <f>Grandview_Inventory[[#This Row],[land_extract]]*Lookups!$B$3</f>
        <v>45695.532079096141</v>
      </c>
      <c r="BI2223" s="6">
        <f>IF(Grandview_Inventory[[#This Row],[bldg_style]]="",0,Lookups!$B$2)</f>
        <v>155833.95000000001</v>
      </c>
      <c r="BJ2223" s="6">
        <f>_xlfn.IFNA(VLOOKUP(Grandview_Inventory[[#This Row],[quality]],Lookups!$H$2:$J$14,3,FALSE),0)</f>
        <v>2251</v>
      </c>
      <c r="BK2223" s="6">
        <f>_xlfn.IFNA(VLOOKUP(Grandview_Inventory[[#This Row],[condition]],Lookups!$H$17:$J$24,3,FALSE),0)</f>
        <v>22342</v>
      </c>
      <c r="BL2223" s="6">
        <f>Grandview_Inventory[[#This Row],[Eff_Age]]*Lookups!$B$14</f>
        <v>-4065.8321999999998</v>
      </c>
      <c r="BM2223" s="6">
        <f>Grandview_Inventory[[#This Row],[living_area]]*Lookups!$B$15</f>
        <v>76541.306630999999</v>
      </c>
      <c r="BN2223" s="6">
        <f>Grandview_Inventory[[#This Row],[Fin BSMT]]*Lookups!$B$16</f>
        <v>0</v>
      </c>
      <c r="BO2223" s="6">
        <f>(Grandview_Inventory[[#This Row],[att_gar]]+Grandview_Inventory[[#This Row],[bltin_gar]])*Lookups!$B$17</f>
        <v>45510.627240000002</v>
      </c>
      <c r="BP2223" s="6">
        <f>Grandview_Inventory[[#This Row],[Plumbing Fixtures]]*Lookups!$B$18</f>
        <v>18093.976200000001</v>
      </c>
      <c r="BQ2223" s="6">
        <f>Grandview_Inventory[[#This Row],[detatched_value]]*Lookups!$B$19</f>
        <v>0</v>
      </c>
      <c r="BR2223" s="6">
        <f>SUM(Grandview_Inventory[[#This Row],[Intercept]:[det_value]])*Grandview_Inventory[[#This Row],[res_pct]]</f>
        <v>316507.027871</v>
      </c>
      <c r="BS2223" s="6">
        <f>Grandview_Inventory[[#This Row],[land_value]]</f>
        <v>45695.532079096141</v>
      </c>
      <c r="BT2223" s="4">
        <f>_xlfn.IFNA(VLOOKUP(Grandview_Inventory[[#This Row],[quality]],Lookups!$A$26:$C$33,3,FALSE),1)</f>
        <v>0.98763855981004833</v>
      </c>
      <c r="BU2223" s="4">
        <f>_xlfn.IFNA(VLOOKUP(Grandview_Inventory[[#This Row],[condition]],Lookups!$A$37:$C$44,3,FALSE),1)</f>
        <v>0.97383723671140243</v>
      </c>
      <c r="BV2223" s="4">
        <f>IF(Grandview_Inventory[[#This Row],[bldg_style]]="",1,_xlfn.IFNA(VLOOKUP(Grandview_Inventory[[#This Row],[decade]],Lookups!$F$29:$H$43,3,FALSE),1))</f>
        <v>0.96737494181490646</v>
      </c>
      <c r="BW2223" s="4">
        <f>_xlfn.IFNA(VLOOKUP(Grandview_Inventory[[#This Row],[living_area_range]],Lookups!$F$47:$H$56,3,FALSE),1)</f>
        <v>0.96135087979789358</v>
      </c>
      <c r="BX2223" s="4">
        <f>AVERAGE(Grandview_Inventory[[#This Row],[qual_adj]:[size_adj]])</f>
        <v>0.97255040453356267</v>
      </c>
      <c r="BY2223" s="6">
        <f>IF(Grandview_Inventory[[#This Row],[pre_res]]&lt;0,0,Grandview_Inventory[[#This Row],[pre_res]]*Grandview_Inventory[[#This Row],[overall_adj]])</f>
        <v>307819.03799365665</v>
      </c>
      <c r="BZ2223" s="6">
        <f>(Grandview_Inventory[[#This Row],[sum_land]]-IF(Grandview_Inventory[[#This Row],[no_utilities]]=1,12000,0))/IF(Grandview_Inventory[[#This Row],[unbuildable]]=1,2,1)</f>
        <v>45695.532079096141</v>
      </c>
      <c r="CA222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23">
        <f>ROUND(Grandview_Inventory[[#This Row],[det_value]]*Lookups!$M$28,-2)</f>
        <v>0</v>
      </c>
      <c r="CC2223">
        <f>IF(ROUND(Grandview_Inventory[[#This Row],[adj_res]]*Lookups!$M$28,-2)&lt;Grandview_Inventory[[#This Row],[min_res]],Grandview_Inventory[[#This Row],[min_res]],ROUND(Grandview_Inventory[[#This Row],[adj_res]]*Lookups!$M$28,-2))</f>
        <v>292400</v>
      </c>
      <c r="CD2223">
        <f>Grandview_Inventory[[#This Row],[final_det]]+Grandview_Inventory[[#This Row],[final_res]]</f>
        <v>292400</v>
      </c>
      <c r="CE2223">
        <f>Grandview_Inventory[[#This Row],[final_land]]+Grandview_Inventory[[#This Row],[final_imp]]+Grandview_Inventory[[#This Row],[crop_value]]</f>
        <v>335800</v>
      </c>
      <c r="CG2223" t="str">
        <f t="shared" si="34"/>
        <v>update valuation set market_land =43400, market_bldg=292400, market_total =335800, market_mdno =401, market_date ='9/10/2023' where link_id = (select link_id from parcel where parcel_year = '2024' and parcel_id = '23092424498');</v>
      </c>
    </row>
    <row r="2224" spans="1:85" x14ac:dyDescent="0.25">
      <c r="A2224">
        <v>23092424499</v>
      </c>
      <c r="B2224">
        <v>0.16</v>
      </c>
      <c r="C2224">
        <v>7001</v>
      </c>
      <c r="D2224" t="s">
        <v>129</v>
      </c>
      <c r="E2224" t="s">
        <v>53</v>
      </c>
      <c r="F2224" t="s">
        <v>53</v>
      </c>
      <c r="G2224">
        <v>4</v>
      </c>
      <c r="H2224" t="s">
        <v>54</v>
      </c>
      <c r="I2224">
        <v>232700</v>
      </c>
      <c r="J2224">
        <v>38600</v>
      </c>
      <c r="K2224">
        <v>0.16</v>
      </c>
      <c r="L222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24">
        <v>0</v>
      </c>
      <c r="N2224">
        <v>0</v>
      </c>
      <c r="O2224">
        <v>0</v>
      </c>
      <c r="P2224">
        <v>13398.7528</v>
      </c>
      <c r="Q2224">
        <v>63903</v>
      </c>
      <c r="R2224">
        <f>(Grandview_Inventory[[#This Row],[ln_acres]]*Grandview_Inventory[[#This Row],[coeff]])+Grandview_Inventory[[#This Row],[const]]</f>
        <v>39348.693981374228</v>
      </c>
      <c r="S2224" t="s">
        <v>61</v>
      </c>
      <c r="T2224">
        <v>1</v>
      </c>
      <c r="U2224" t="s">
        <v>65</v>
      </c>
      <c r="V2224" t="s">
        <v>67</v>
      </c>
      <c r="W2224">
        <v>0</v>
      </c>
      <c r="X2224">
        <v>0</v>
      </c>
      <c r="Y2224">
        <v>17</v>
      </c>
      <c r="Z2224">
        <v>17</v>
      </c>
      <c r="AA2224">
        <v>20</v>
      </c>
      <c r="AB2224">
        <v>2000</v>
      </c>
      <c r="AC2224">
        <v>1659</v>
      </c>
      <c r="AD2224">
        <v>1227</v>
      </c>
      <c r="AE2224">
        <v>0</v>
      </c>
      <c r="AF2224">
        <v>432</v>
      </c>
      <c r="AG2224">
        <v>0</v>
      </c>
      <c r="AH2224">
        <v>0</v>
      </c>
      <c r="AI2224">
        <v>648</v>
      </c>
      <c r="AJ2224">
        <v>0</v>
      </c>
      <c r="AK2224">
        <v>0</v>
      </c>
      <c r="AL2224">
        <v>0</v>
      </c>
      <c r="AM2224">
        <v>100</v>
      </c>
      <c r="AN2224">
        <v>40</v>
      </c>
      <c r="AO2224">
        <v>0</v>
      </c>
      <c r="AP2224">
        <v>9</v>
      </c>
      <c r="AQ2224">
        <v>0</v>
      </c>
      <c r="AR2224">
        <v>0</v>
      </c>
      <c r="AS2224" t="s">
        <v>58</v>
      </c>
      <c r="AT2224">
        <v>1</v>
      </c>
      <c r="AU2224" t="s">
        <v>63</v>
      </c>
      <c r="AV2224" t="s">
        <v>64</v>
      </c>
      <c r="AW2224">
        <v>1</v>
      </c>
      <c r="AX2224">
        <v>4</v>
      </c>
      <c r="AY2224">
        <v>0</v>
      </c>
      <c r="AZ2224">
        <v>0</v>
      </c>
      <c r="BA2224">
        <v>100</v>
      </c>
      <c r="BB2224">
        <v>100</v>
      </c>
      <c r="BC2224">
        <v>100</v>
      </c>
      <c r="BD2224">
        <v>100</v>
      </c>
      <c r="BE2224">
        <v>1</v>
      </c>
      <c r="BF2224">
        <v>15000</v>
      </c>
      <c r="BG2224">
        <v>1000</v>
      </c>
      <c r="BH2224" s="6">
        <f>Grandview_Inventory[[#This Row],[land_extract]]*Lookups!$B$3</f>
        <v>45695.532079096141</v>
      </c>
      <c r="BI2224" s="6">
        <f>IF(Grandview_Inventory[[#This Row],[bldg_style]]="",0,Lookups!$B$2)</f>
        <v>155833.95000000001</v>
      </c>
      <c r="BJ2224" s="6">
        <f>_xlfn.IFNA(VLOOKUP(Grandview_Inventory[[#This Row],[quality]],Lookups!$H$2:$J$14,3,FALSE),0)</f>
        <v>2251</v>
      </c>
      <c r="BK2224" s="6">
        <f>_xlfn.IFNA(VLOOKUP(Grandview_Inventory[[#This Row],[condition]],Lookups!$H$17:$J$24,3,FALSE),0)</f>
        <v>22342</v>
      </c>
      <c r="BL2224" s="6">
        <f>Grandview_Inventory[[#This Row],[Eff_Age]]*Lookups!$B$14</f>
        <v>-4065.8321999999998</v>
      </c>
      <c r="BM2224" s="6">
        <f>Grandview_Inventory[[#This Row],[living_area]]*Lookups!$B$15</f>
        <v>103489.835127</v>
      </c>
      <c r="BN2224" s="6">
        <f>Grandview_Inventory[[#This Row],[Fin BSMT]]*Lookups!$B$16</f>
        <v>0</v>
      </c>
      <c r="BO2224" s="6">
        <f>(Grandview_Inventory[[#This Row],[att_gar]]+Grandview_Inventory[[#This Row],[bltin_gar]])*Lookups!$B$17</f>
        <v>56713.243176000004</v>
      </c>
      <c r="BP2224" s="6">
        <f>Grandview_Inventory[[#This Row],[Plumbing Fixtures]]*Lookups!$B$18</f>
        <v>18093.976200000001</v>
      </c>
      <c r="BQ2224" s="6">
        <f>Grandview_Inventory[[#This Row],[detatched_value]]*Lookups!$B$19</f>
        <v>0</v>
      </c>
      <c r="BR2224" s="6">
        <f>SUM(Grandview_Inventory[[#This Row],[Intercept]:[det_value]])*Grandview_Inventory[[#This Row],[res_pct]]</f>
        <v>354658.172303</v>
      </c>
      <c r="BS2224" s="6">
        <f>Grandview_Inventory[[#This Row],[land_value]]</f>
        <v>45695.532079096141</v>
      </c>
      <c r="BT2224" s="4">
        <f>_xlfn.IFNA(VLOOKUP(Grandview_Inventory[[#This Row],[quality]],Lookups!$A$26:$C$33,3,FALSE),1)</f>
        <v>0.98763855981004833</v>
      </c>
      <c r="BU2224" s="4">
        <f>_xlfn.IFNA(VLOOKUP(Grandview_Inventory[[#This Row],[condition]],Lookups!$A$37:$C$44,3,FALSE),1)</f>
        <v>0.97383723671140243</v>
      </c>
      <c r="BV2224" s="4">
        <f>IF(Grandview_Inventory[[#This Row],[bldg_style]]="",1,_xlfn.IFNA(VLOOKUP(Grandview_Inventory[[#This Row],[decade]],Lookups!$F$29:$H$43,3,FALSE),1))</f>
        <v>0.96737494181490646</v>
      </c>
      <c r="BW2224" s="4">
        <f>_xlfn.IFNA(VLOOKUP(Grandview_Inventory[[#This Row],[living_area_range]],Lookups!$F$47:$H$56,3,FALSE),1)</f>
        <v>0.96120133463014379</v>
      </c>
      <c r="BX2224" s="4">
        <f>AVERAGE(Grandview_Inventory[[#This Row],[qual_adj]:[size_adj]])</f>
        <v>0.97251301824162528</v>
      </c>
      <c r="BY2224" s="6">
        <f>IF(Grandview_Inventory[[#This Row],[pre_res]]&lt;0,0,Grandview_Inventory[[#This Row],[pre_res]]*Grandview_Inventory[[#This Row],[overall_adj]])</f>
        <v>344909.68959044892</v>
      </c>
      <c r="BZ2224" s="6">
        <f>(Grandview_Inventory[[#This Row],[sum_land]]-IF(Grandview_Inventory[[#This Row],[no_utilities]]=1,12000,0))/IF(Grandview_Inventory[[#This Row],[unbuildable]]=1,2,1)</f>
        <v>45695.532079096141</v>
      </c>
      <c r="CA222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24">
        <f>ROUND(Grandview_Inventory[[#This Row],[det_value]]*Lookups!$M$28,-2)</f>
        <v>0</v>
      </c>
      <c r="CC2224">
        <f>IF(ROUND(Grandview_Inventory[[#This Row],[adj_res]]*Lookups!$M$28,-2)&lt;Grandview_Inventory[[#This Row],[min_res]],Grandview_Inventory[[#This Row],[min_res]],ROUND(Grandview_Inventory[[#This Row],[adj_res]]*Lookups!$M$28,-2))</f>
        <v>327700</v>
      </c>
      <c r="CD2224">
        <f>Grandview_Inventory[[#This Row],[final_det]]+Grandview_Inventory[[#This Row],[final_res]]</f>
        <v>327700</v>
      </c>
      <c r="CE2224">
        <f>Grandview_Inventory[[#This Row],[final_land]]+Grandview_Inventory[[#This Row],[final_imp]]+Grandview_Inventory[[#This Row],[crop_value]]</f>
        <v>371100</v>
      </c>
      <c r="CG2224" t="str">
        <f t="shared" si="34"/>
        <v>update valuation set market_land =43400, market_bldg=327700, market_total =371100, market_mdno =401, market_date ='9/10/2023' where link_id = (select link_id from parcel where parcel_year = '2024' and parcel_id = '23092424499');</v>
      </c>
    </row>
    <row r="2225" spans="1:85" x14ac:dyDescent="0.25">
      <c r="A2225">
        <v>23092424500</v>
      </c>
      <c r="B2225">
        <v>0.16</v>
      </c>
      <c r="C2225">
        <v>7124</v>
      </c>
      <c r="D2225" t="s">
        <v>129</v>
      </c>
      <c r="E2225" t="s">
        <v>53</v>
      </c>
      <c r="F2225" t="s">
        <v>53</v>
      </c>
      <c r="G2225">
        <v>4</v>
      </c>
      <c r="H2225" t="s">
        <v>54</v>
      </c>
      <c r="I2225">
        <v>208600</v>
      </c>
      <c r="J2225">
        <v>38600</v>
      </c>
      <c r="K2225">
        <v>0.16</v>
      </c>
      <c r="L222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25">
        <v>0</v>
      </c>
      <c r="N2225">
        <v>0</v>
      </c>
      <c r="O2225">
        <v>0</v>
      </c>
      <c r="P2225">
        <v>13398.7528</v>
      </c>
      <c r="Q2225">
        <v>63903</v>
      </c>
      <c r="R2225">
        <f>(Grandview_Inventory[[#This Row],[ln_acres]]*Grandview_Inventory[[#This Row],[coeff]])+Grandview_Inventory[[#This Row],[const]]</f>
        <v>39348.693981374228</v>
      </c>
      <c r="S2225" t="s">
        <v>61</v>
      </c>
      <c r="T2225">
        <v>1</v>
      </c>
      <c r="U2225" t="s">
        <v>65</v>
      </c>
      <c r="V2225" t="s">
        <v>67</v>
      </c>
      <c r="W2225">
        <v>0</v>
      </c>
      <c r="X2225">
        <v>0</v>
      </c>
      <c r="Y2225">
        <v>17</v>
      </c>
      <c r="Z2225">
        <v>17</v>
      </c>
      <c r="AA2225">
        <v>20</v>
      </c>
      <c r="AB2225">
        <v>1500</v>
      </c>
      <c r="AC2225">
        <v>1002</v>
      </c>
      <c r="AD2225">
        <v>1002</v>
      </c>
      <c r="AE2225">
        <v>0</v>
      </c>
      <c r="AF2225">
        <v>0</v>
      </c>
      <c r="AG2225">
        <v>0</v>
      </c>
      <c r="AH2225">
        <v>0</v>
      </c>
      <c r="AI2225">
        <v>520</v>
      </c>
      <c r="AJ2225">
        <v>0</v>
      </c>
      <c r="AK2225">
        <v>0</v>
      </c>
      <c r="AL2225">
        <v>0</v>
      </c>
      <c r="AM2225">
        <v>100</v>
      </c>
      <c r="AN2225">
        <v>60</v>
      </c>
      <c r="AO2225">
        <v>0</v>
      </c>
      <c r="AP2225">
        <v>8</v>
      </c>
      <c r="AQ2225">
        <v>0</v>
      </c>
      <c r="AR2225">
        <v>0</v>
      </c>
      <c r="AS2225" t="s">
        <v>58</v>
      </c>
      <c r="AT2225">
        <v>1</v>
      </c>
      <c r="AU2225" t="s">
        <v>63</v>
      </c>
      <c r="AV2225" t="s">
        <v>64</v>
      </c>
      <c r="AW2225">
        <v>1</v>
      </c>
      <c r="AX2225">
        <v>3</v>
      </c>
      <c r="AY2225">
        <v>0</v>
      </c>
      <c r="AZ2225">
        <v>0</v>
      </c>
      <c r="BA2225">
        <v>100</v>
      </c>
      <c r="BB2225">
        <v>100</v>
      </c>
      <c r="BC2225">
        <v>100</v>
      </c>
      <c r="BD2225">
        <v>100</v>
      </c>
      <c r="BE2225">
        <v>1</v>
      </c>
      <c r="BF2225">
        <v>15000</v>
      </c>
      <c r="BG2225">
        <v>1000</v>
      </c>
      <c r="BH2225" s="6">
        <f>Grandview_Inventory[[#This Row],[land_extract]]*Lookups!$B$3</f>
        <v>45695.532079096141</v>
      </c>
      <c r="BI2225" s="6">
        <f>IF(Grandview_Inventory[[#This Row],[bldg_style]]="",0,Lookups!$B$2)</f>
        <v>155833.95000000001</v>
      </c>
      <c r="BJ2225" s="6">
        <f>_xlfn.IFNA(VLOOKUP(Grandview_Inventory[[#This Row],[quality]],Lookups!$H$2:$J$14,3,FALSE),0)</f>
        <v>2251</v>
      </c>
      <c r="BK2225" s="6">
        <f>_xlfn.IFNA(VLOOKUP(Grandview_Inventory[[#This Row],[condition]],Lookups!$H$17:$J$24,3,FALSE),0)</f>
        <v>22342</v>
      </c>
      <c r="BL2225" s="6">
        <f>Grandview_Inventory[[#This Row],[Eff_Age]]*Lookups!$B$14</f>
        <v>-4065.8321999999998</v>
      </c>
      <c r="BM2225" s="6">
        <f>Grandview_Inventory[[#This Row],[living_area]]*Lookups!$B$15</f>
        <v>62505.614706</v>
      </c>
      <c r="BN2225" s="6">
        <f>Grandview_Inventory[[#This Row],[Fin BSMT]]*Lookups!$B$16</f>
        <v>0</v>
      </c>
      <c r="BO2225" s="6">
        <f>(Grandview_Inventory[[#This Row],[att_gar]]+Grandview_Inventory[[#This Row],[bltin_gar]])*Lookups!$B$17</f>
        <v>45510.627240000002</v>
      </c>
      <c r="BP2225" s="6">
        <f>Grandview_Inventory[[#This Row],[Plumbing Fixtures]]*Lookups!$B$18</f>
        <v>16083.5344</v>
      </c>
      <c r="BQ2225" s="6">
        <f>Grandview_Inventory[[#This Row],[detatched_value]]*Lookups!$B$19</f>
        <v>0</v>
      </c>
      <c r="BR2225" s="6">
        <f>SUM(Grandview_Inventory[[#This Row],[Intercept]:[det_value]])*Grandview_Inventory[[#This Row],[res_pct]]</f>
        <v>300460.89414600004</v>
      </c>
      <c r="BS2225" s="6">
        <f>Grandview_Inventory[[#This Row],[land_value]]</f>
        <v>45695.532079096141</v>
      </c>
      <c r="BT2225" s="4">
        <f>_xlfn.IFNA(VLOOKUP(Grandview_Inventory[[#This Row],[quality]],Lookups!$A$26:$C$33,3,FALSE),1)</f>
        <v>0.98763855981004833</v>
      </c>
      <c r="BU2225" s="4">
        <f>_xlfn.IFNA(VLOOKUP(Grandview_Inventory[[#This Row],[condition]],Lookups!$A$37:$C$44,3,FALSE),1)</f>
        <v>0.97383723671140243</v>
      </c>
      <c r="BV2225" s="4">
        <f>IF(Grandview_Inventory[[#This Row],[bldg_style]]="",1,_xlfn.IFNA(VLOOKUP(Grandview_Inventory[[#This Row],[decade]],Lookups!$F$29:$H$43,3,FALSE),1))</f>
        <v>0.96737494181490646</v>
      </c>
      <c r="BW2225" s="4">
        <f>_xlfn.IFNA(VLOOKUP(Grandview_Inventory[[#This Row],[living_area_range]],Lookups!$F$47:$H$56,3,FALSE),1)</f>
        <v>0.96135087979789358</v>
      </c>
      <c r="BX2225" s="4">
        <f>AVERAGE(Grandview_Inventory[[#This Row],[qual_adj]:[size_adj]])</f>
        <v>0.97255040453356267</v>
      </c>
      <c r="BY2225" s="6">
        <f>IF(Grandview_Inventory[[#This Row],[pre_res]]&lt;0,0,Grandview_Inventory[[#This Row],[pre_res]]*Grandview_Inventory[[#This Row],[overall_adj]])</f>
        <v>292213.36414820829</v>
      </c>
      <c r="BZ2225" s="6">
        <f>(Grandview_Inventory[[#This Row],[sum_land]]-IF(Grandview_Inventory[[#This Row],[no_utilities]]=1,12000,0))/IF(Grandview_Inventory[[#This Row],[unbuildable]]=1,2,1)</f>
        <v>45695.532079096141</v>
      </c>
      <c r="CA222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25">
        <f>ROUND(Grandview_Inventory[[#This Row],[det_value]]*Lookups!$M$28,-2)</f>
        <v>0</v>
      </c>
      <c r="CC2225">
        <f>IF(ROUND(Grandview_Inventory[[#This Row],[adj_res]]*Lookups!$M$28,-2)&lt;Grandview_Inventory[[#This Row],[min_res]],Grandview_Inventory[[#This Row],[min_res]],ROUND(Grandview_Inventory[[#This Row],[adj_res]]*Lookups!$M$28,-2))</f>
        <v>277600</v>
      </c>
      <c r="CD2225">
        <f>Grandview_Inventory[[#This Row],[final_det]]+Grandview_Inventory[[#This Row],[final_res]]</f>
        <v>277600</v>
      </c>
      <c r="CE2225">
        <f>Grandview_Inventory[[#This Row],[final_land]]+Grandview_Inventory[[#This Row],[final_imp]]+Grandview_Inventory[[#This Row],[crop_value]]</f>
        <v>321000</v>
      </c>
      <c r="CG2225" t="str">
        <f t="shared" si="34"/>
        <v>update valuation set market_land =43400, market_bldg=277600, market_total =321000, market_mdno =401, market_date ='9/10/2023' where link_id = (select link_id from parcel where parcel_year = '2024' and parcel_id = '23092424500');</v>
      </c>
    </row>
    <row r="2226" spans="1:85" x14ac:dyDescent="0.25">
      <c r="A2226">
        <v>23092424501</v>
      </c>
      <c r="B2226">
        <v>0.17</v>
      </c>
      <c r="C2226">
        <v>7190</v>
      </c>
      <c r="D2226" t="s">
        <v>129</v>
      </c>
      <c r="E2226" t="s">
        <v>53</v>
      </c>
      <c r="F2226" t="s">
        <v>53</v>
      </c>
      <c r="G2226">
        <v>4</v>
      </c>
      <c r="H2226" t="s">
        <v>54</v>
      </c>
      <c r="I2226">
        <v>223700</v>
      </c>
      <c r="J2226">
        <v>38600</v>
      </c>
      <c r="K2226">
        <v>0.17</v>
      </c>
      <c r="L222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26">
        <v>0</v>
      </c>
      <c r="N2226">
        <v>0</v>
      </c>
      <c r="O2226">
        <v>0</v>
      </c>
      <c r="P2226">
        <v>13398.7528</v>
      </c>
      <c r="Q2226">
        <v>63903</v>
      </c>
      <c r="R2226">
        <f>(Grandview_Inventory[[#This Row],[ln_acres]]*Grandview_Inventory[[#This Row],[coeff]])+Grandview_Inventory[[#This Row],[const]]</f>
        <v>40160.988302686128</v>
      </c>
      <c r="S2226" t="s">
        <v>61</v>
      </c>
      <c r="T2226">
        <v>1</v>
      </c>
      <c r="U2226" t="s">
        <v>65</v>
      </c>
      <c r="V2226" t="s">
        <v>67</v>
      </c>
      <c r="W2226">
        <v>0</v>
      </c>
      <c r="X2226">
        <v>0</v>
      </c>
      <c r="Y2226">
        <v>17</v>
      </c>
      <c r="Z2226">
        <v>17</v>
      </c>
      <c r="AA2226">
        <v>20</v>
      </c>
      <c r="AB2226">
        <v>1500</v>
      </c>
      <c r="AC2226">
        <v>1253</v>
      </c>
      <c r="AD2226">
        <v>1253</v>
      </c>
      <c r="AE2226">
        <v>0</v>
      </c>
      <c r="AF2226">
        <v>0</v>
      </c>
      <c r="AG2226">
        <v>0</v>
      </c>
      <c r="AH2226">
        <v>0</v>
      </c>
      <c r="AI2226">
        <v>490</v>
      </c>
      <c r="AJ2226">
        <v>0</v>
      </c>
      <c r="AK2226">
        <v>0</v>
      </c>
      <c r="AL2226">
        <v>0</v>
      </c>
      <c r="AM2226">
        <v>100</v>
      </c>
      <c r="AN2226">
        <v>44</v>
      </c>
      <c r="AO2226">
        <v>0</v>
      </c>
      <c r="AP2226">
        <v>9</v>
      </c>
      <c r="AQ2226">
        <v>0</v>
      </c>
      <c r="AR2226">
        <v>0</v>
      </c>
      <c r="AS2226" t="s">
        <v>58</v>
      </c>
      <c r="AT2226">
        <v>1</v>
      </c>
      <c r="AU2226" t="s">
        <v>63</v>
      </c>
      <c r="AV2226" t="s">
        <v>64</v>
      </c>
      <c r="AW2226">
        <v>1</v>
      </c>
      <c r="AX2226">
        <v>4</v>
      </c>
      <c r="AY2226">
        <v>0</v>
      </c>
      <c r="AZ2226">
        <v>0</v>
      </c>
      <c r="BA2226">
        <v>100</v>
      </c>
      <c r="BB2226">
        <v>100</v>
      </c>
      <c r="BC2226">
        <v>100</v>
      </c>
      <c r="BD2226">
        <v>100</v>
      </c>
      <c r="BE2226">
        <v>1</v>
      </c>
      <c r="BF2226">
        <v>15000</v>
      </c>
      <c r="BG2226">
        <v>1000</v>
      </c>
      <c r="BH2226" s="6">
        <f>Grandview_Inventory[[#This Row],[land_extract]]*Lookups!$B$3</f>
        <v>46638.847281240982</v>
      </c>
      <c r="BI2226" s="6">
        <f>IF(Grandview_Inventory[[#This Row],[bldg_style]]="",0,Lookups!$B$2)</f>
        <v>155833.95000000001</v>
      </c>
      <c r="BJ2226" s="6">
        <f>_xlfn.IFNA(VLOOKUP(Grandview_Inventory[[#This Row],[quality]],Lookups!$H$2:$J$14,3,FALSE),0)</f>
        <v>2251</v>
      </c>
      <c r="BK2226" s="6">
        <f>_xlfn.IFNA(VLOOKUP(Grandview_Inventory[[#This Row],[condition]],Lookups!$H$17:$J$24,3,FALSE),0)</f>
        <v>22342</v>
      </c>
      <c r="BL2226" s="6">
        <f>Grandview_Inventory[[#This Row],[Eff_Age]]*Lookups!$B$14</f>
        <v>-4065.8321999999998</v>
      </c>
      <c r="BM2226" s="6">
        <f>Grandview_Inventory[[#This Row],[living_area]]*Lookups!$B$15</f>
        <v>78163.208809000003</v>
      </c>
      <c r="BN2226" s="6">
        <f>Grandview_Inventory[[#This Row],[Fin BSMT]]*Lookups!$B$16</f>
        <v>0</v>
      </c>
      <c r="BO2226" s="6">
        <f>(Grandview_Inventory[[#This Row],[att_gar]]+Grandview_Inventory[[#This Row],[bltin_gar]])*Lookups!$B$17</f>
        <v>42885.014130000003</v>
      </c>
      <c r="BP2226" s="6">
        <f>Grandview_Inventory[[#This Row],[Plumbing Fixtures]]*Lookups!$B$18</f>
        <v>18093.976200000001</v>
      </c>
      <c r="BQ2226" s="6">
        <f>Grandview_Inventory[[#This Row],[detatched_value]]*Lookups!$B$19</f>
        <v>0</v>
      </c>
      <c r="BR2226" s="6">
        <f>SUM(Grandview_Inventory[[#This Row],[Intercept]:[det_value]])*Grandview_Inventory[[#This Row],[res_pct]]</f>
        <v>315503.31693899998</v>
      </c>
      <c r="BS2226" s="6">
        <f>Grandview_Inventory[[#This Row],[land_value]]</f>
        <v>46638.847281240982</v>
      </c>
      <c r="BT2226" s="4">
        <f>_xlfn.IFNA(VLOOKUP(Grandview_Inventory[[#This Row],[quality]],Lookups!$A$26:$C$33,3,FALSE),1)</f>
        <v>0.98763855981004833</v>
      </c>
      <c r="BU2226" s="4">
        <f>_xlfn.IFNA(VLOOKUP(Grandview_Inventory[[#This Row],[condition]],Lookups!$A$37:$C$44,3,FALSE),1)</f>
        <v>0.97383723671140243</v>
      </c>
      <c r="BV2226" s="4">
        <f>IF(Grandview_Inventory[[#This Row],[bldg_style]]="",1,_xlfn.IFNA(VLOOKUP(Grandview_Inventory[[#This Row],[decade]],Lookups!$F$29:$H$43,3,FALSE),1))</f>
        <v>0.96737494181490646</v>
      </c>
      <c r="BW2226" s="4">
        <f>_xlfn.IFNA(VLOOKUP(Grandview_Inventory[[#This Row],[living_area_range]],Lookups!$F$47:$H$56,3,FALSE),1)</f>
        <v>0.96135087979789358</v>
      </c>
      <c r="BX2226" s="4">
        <f>AVERAGE(Grandview_Inventory[[#This Row],[qual_adj]:[size_adj]])</f>
        <v>0.97255040453356267</v>
      </c>
      <c r="BY2226" s="6">
        <f>IF(Grandview_Inventory[[#This Row],[pre_res]]&lt;0,0,Grandview_Inventory[[#This Row],[pre_res]]*Grandview_Inventory[[#This Row],[overall_adj]])</f>
        <v>306842.87852070527</v>
      </c>
      <c r="BZ2226" s="6">
        <f>(Grandview_Inventory[[#This Row],[sum_land]]-IF(Grandview_Inventory[[#This Row],[no_utilities]]=1,12000,0))/IF(Grandview_Inventory[[#This Row],[unbuildable]]=1,2,1)</f>
        <v>46638.847281240982</v>
      </c>
      <c r="CA222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26">
        <f>ROUND(Grandview_Inventory[[#This Row],[det_value]]*Lookups!$M$28,-2)</f>
        <v>0</v>
      </c>
      <c r="CC2226">
        <f>IF(ROUND(Grandview_Inventory[[#This Row],[adj_res]]*Lookups!$M$28,-2)&lt;Grandview_Inventory[[#This Row],[min_res]],Grandview_Inventory[[#This Row],[min_res]],ROUND(Grandview_Inventory[[#This Row],[adj_res]]*Lookups!$M$28,-2))</f>
        <v>291500</v>
      </c>
      <c r="CD2226">
        <f>Grandview_Inventory[[#This Row],[final_det]]+Grandview_Inventory[[#This Row],[final_res]]</f>
        <v>291500</v>
      </c>
      <c r="CE2226">
        <f>Grandview_Inventory[[#This Row],[final_land]]+Grandview_Inventory[[#This Row],[final_imp]]+Grandview_Inventory[[#This Row],[crop_value]]</f>
        <v>335800</v>
      </c>
      <c r="CG2226" t="str">
        <f t="shared" si="34"/>
        <v>update valuation set market_land =44300, market_bldg=291500, market_total =335800, market_mdno =401, market_date ='9/10/2023' where link_id = (select link_id from parcel where parcel_year = '2024' and parcel_id = '23092424501');</v>
      </c>
    </row>
    <row r="2227" spans="1:85" x14ac:dyDescent="0.25">
      <c r="A2227">
        <v>23092424502</v>
      </c>
      <c r="B2227">
        <v>0.21</v>
      </c>
      <c r="C2227">
        <v>9331</v>
      </c>
      <c r="D2227" t="s">
        <v>129</v>
      </c>
      <c r="E2227" t="s">
        <v>53</v>
      </c>
      <c r="F2227" t="s">
        <v>53</v>
      </c>
      <c r="G2227">
        <v>4</v>
      </c>
      <c r="H2227" t="s">
        <v>54</v>
      </c>
      <c r="I2227">
        <v>210600</v>
      </c>
      <c r="J2227">
        <v>43700</v>
      </c>
      <c r="K2227">
        <v>0.21</v>
      </c>
      <c r="L222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227">
        <v>0</v>
      </c>
      <c r="N2227">
        <v>0</v>
      </c>
      <c r="O2227">
        <v>0</v>
      </c>
      <c r="P2227">
        <v>13398.7528</v>
      </c>
      <c r="Q2227">
        <v>63903</v>
      </c>
      <c r="R2227">
        <f>(Grandview_Inventory[[#This Row],[ln_acres]]*Grandview_Inventory[[#This Row],[coeff]])+Grandview_Inventory[[#This Row],[const]]</f>
        <v>42992.266613125081</v>
      </c>
      <c r="S2227" t="s">
        <v>61</v>
      </c>
      <c r="T2227">
        <v>1</v>
      </c>
      <c r="U2227" t="s">
        <v>62</v>
      </c>
      <c r="V2227" t="s">
        <v>67</v>
      </c>
      <c r="W2227">
        <v>0</v>
      </c>
      <c r="X2227">
        <v>0</v>
      </c>
      <c r="Y2227">
        <v>17</v>
      </c>
      <c r="Z2227">
        <v>17</v>
      </c>
      <c r="AA2227">
        <v>20</v>
      </c>
      <c r="AB2227">
        <v>1500</v>
      </c>
      <c r="AC2227">
        <v>1079</v>
      </c>
      <c r="AD2227">
        <v>1079</v>
      </c>
      <c r="AE2227">
        <v>0</v>
      </c>
      <c r="AF2227">
        <v>0</v>
      </c>
      <c r="AG2227">
        <v>0</v>
      </c>
      <c r="AH2227">
        <v>0</v>
      </c>
      <c r="AI2227">
        <v>520</v>
      </c>
      <c r="AJ2227">
        <v>0</v>
      </c>
      <c r="AK2227">
        <v>0</v>
      </c>
      <c r="AL2227">
        <v>0</v>
      </c>
      <c r="AM2227">
        <v>100</v>
      </c>
      <c r="AN2227">
        <v>40</v>
      </c>
      <c r="AO2227">
        <v>0</v>
      </c>
      <c r="AP2227">
        <v>8</v>
      </c>
      <c r="AQ2227">
        <v>0</v>
      </c>
      <c r="AR2227">
        <v>0</v>
      </c>
      <c r="AS2227" t="s">
        <v>58</v>
      </c>
      <c r="AT2227">
        <v>1</v>
      </c>
      <c r="AU2227" t="s">
        <v>63</v>
      </c>
      <c r="AV2227" t="s">
        <v>64</v>
      </c>
      <c r="AW2227">
        <v>1</v>
      </c>
      <c r="AX2227">
        <v>3</v>
      </c>
      <c r="AY2227">
        <v>0</v>
      </c>
      <c r="AZ2227">
        <v>0</v>
      </c>
      <c r="BA2227">
        <v>100</v>
      </c>
      <c r="BB2227">
        <v>100</v>
      </c>
      <c r="BC2227">
        <v>100</v>
      </c>
      <c r="BD2227">
        <v>100</v>
      </c>
      <c r="BE2227">
        <v>1</v>
      </c>
      <c r="BF2227">
        <v>15000</v>
      </c>
      <c r="BG2227">
        <v>1000</v>
      </c>
      <c r="BH2227" s="6">
        <f>Grandview_Inventory[[#This Row],[land_extract]]*Lookups!$B$3</f>
        <v>49926.8031387023</v>
      </c>
      <c r="BI2227" s="6">
        <f>IF(Grandview_Inventory[[#This Row],[bldg_style]]="",0,Lookups!$B$2)</f>
        <v>155833.95000000001</v>
      </c>
      <c r="BJ2227" s="6">
        <f>_xlfn.IFNA(VLOOKUP(Grandview_Inventory[[#This Row],[quality]],Lookups!$H$2:$J$14,3,FALSE),0)</f>
        <v>9808</v>
      </c>
      <c r="BK2227" s="6">
        <f>_xlfn.IFNA(VLOOKUP(Grandview_Inventory[[#This Row],[condition]],Lookups!$H$17:$J$24,3,FALSE),0)</f>
        <v>22342</v>
      </c>
      <c r="BL2227" s="6">
        <f>Grandview_Inventory[[#This Row],[Eff_Age]]*Lookups!$B$14</f>
        <v>-4065.8321999999998</v>
      </c>
      <c r="BM2227" s="6">
        <f>Grandview_Inventory[[#This Row],[living_area]]*Lookups!$B$15</f>
        <v>67308.940386999995</v>
      </c>
      <c r="BN2227" s="6">
        <f>Grandview_Inventory[[#This Row],[Fin BSMT]]*Lookups!$B$16</f>
        <v>0</v>
      </c>
      <c r="BO2227" s="6">
        <f>(Grandview_Inventory[[#This Row],[att_gar]]+Grandview_Inventory[[#This Row],[bltin_gar]])*Lookups!$B$17</f>
        <v>45510.627240000002</v>
      </c>
      <c r="BP2227" s="6">
        <f>Grandview_Inventory[[#This Row],[Plumbing Fixtures]]*Lookups!$B$18</f>
        <v>16083.5344</v>
      </c>
      <c r="BQ2227" s="6">
        <f>Grandview_Inventory[[#This Row],[detatched_value]]*Lookups!$B$19</f>
        <v>0</v>
      </c>
      <c r="BR2227" s="6">
        <f>SUM(Grandview_Inventory[[#This Row],[Intercept]:[det_value]])*Grandview_Inventory[[#This Row],[res_pct]]</f>
        <v>312821.21982699999</v>
      </c>
      <c r="BS2227" s="6">
        <f>Grandview_Inventory[[#This Row],[land_value]]</f>
        <v>49926.8031387023</v>
      </c>
      <c r="BT2227" s="4">
        <f>_xlfn.IFNA(VLOOKUP(Grandview_Inventory[[#This Row],[quality]],Lookups!$A$26:$C$33,3,FALSE),1)</f>
        <v>0.94295468617355149</v>
      </c>
      <c r="BU2227" s="4">
        <f>_xlfn.IFNA(VLOOKUP(Grandview_Inventory[[#This Row],[condition]],Lookups!$A$37:$C$44,3,FALSE),1)</f>
        <v>0.97383723671140243</v>
      </c>
      <c r="BV2227" s="4">
        <f>IF(Grandview_Inventory[[#This Row],[bldg_style]]="",1,_xlfn.IFNA(VLOOKUP(Grandview_Inventory[[#This Row],[decade]],Lookups!$F$29:$H$43,3,FALSE),1))</f>
        <v>0.96737494181490646</v>
      </c>
      <c r="BW2227" s="4">
        <f>_xlfn.IFNA(VLOOKUP(Grandview_Inventory[[#This Row],[living_area_range]],Lookups!$F$47:$H$56,3,FALSE),1)</f>
        <v>0.96135087979789358</v>
      </c>
      <c r="BX2227" s="4">
        <f>AVERAGE(Grandview_Inventory[[#This Row],[qual_adj]:[size_adj]])</f>
        <v>0.96137943612443855</v>
      </c>
      <c r="BY2227" s="6">
        <f>IF(Grandview_Inventory[[#This Row],[pre_res]]&lt;0,0,Grandview_Inventory[[#This Row],[pre_res]]*Grandview_Inventory[[#This Row],[overall_adj]])</f>
        <v>300739.88792504027</v>
      </c>
      <c r="BZ2227" s="6">
        <f>(Grandview_Inventory[[#This Row],[sum_land]]-IF(Grandview_Inventory[[#This Row],[no_utilities]]=1,12000,0))/IF(Grandview_Inventory[[#This Row],[unbuildable]]=1,2,1)</f>
        <v>49926.8031387023</v>
      </c>
      <c r="CA2227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227">
        <f>ROUND(Grandview_Inventory[[#This Row],[det_value]]*Lookups!$M$28,-2)</f>
        <v>0</v>
      </c>
      <c r="CC2227">
        <f>IF(ROUND(Grandview_Inventory[[#This Row],[adj_res]]*Lookups!$M$28,-2)&lt;Grandview_Inventory[[#This Row],[min_res]],Grandview_Inventory[[#This Row],[min_res]],ROUND(Grandview_Inventory[[#This Row],[adj_res]]*Lookups!$M$28,-2))</f>
        <v>285700</v>
      </c>
      <c r="CD2227">
        <f>Grandview_Inventory[[#This Row],[final_det]]+Grandview_Inventory[[#This Row],[final_res]]</f>
        <v>285700</v>
      </c>
      <c r="CE2227">
        <f>Grandview_Inventory[[#This Row],[final_land]]+Grandview_Inventory[[#This Row],[final_imp]]+Grandview_Inventory[[#This Row],[crop_value]]</f>
        <v>333100</v>
      </c>
      <c r="CG2227" t="str">
        <f t="shared" si="34"/>
        <v>update valuation set market_land =47400, market_bldg=285700, market_total =333100, market_mdno =401, market_date ='9/10/2023' where link_id = (select link_id from parcel where parcel_year = '2024' and parcel_id = '23092424502');</v>
      </c>
    </row>
    <row r="2228" spans="1:85" x14ac:dyDescent="0.25">
      <c r="A2228">
        <v>23092424503</v>
      </c>
      <c r="B2228">
        <v>0.17</v>
      </c>
      <c r="C2228">
        <v>7493</v>
      </c>
      <c r="D2228" t="s">
        <v>129</v>
      </c>
      <c r="E2228" t="s">
        <v>53</v>
      </c>
      <c r="F2228" t="s">
        <v>53</v>
      </c>
      <c r="G2228">
        <v>4</v>
      </c>
      <c r="H2228" t="s">
        <v>54</v>
      </c>
      <c r="I2228">
        <v>216400</v>
      </c>
      <c r="J2228">
        <v>38800</v>
      </c>
      <c r="K2228">
        <v>0.17</v>
      </c>
      <c r="L222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28">
        <v>0</v>
      </c>
      <c r="N2228">
        <v>0</v>
      </c>
      <c r="O2228">
        <v>0</v>
      </c>
      <c r="P2228">
        <v>13398.7528</v>
      </c>
      <c r="Q2228">
        <v>63903</v>
      </c>
      <c r="R2228">
        <f>(Grandview_Inventory[[#This Row],[ln_acres]]*Grandview_Inventory[[#This Row],[coeff]])+Grandview_Inventory[[#This Row],[const]]</f>
        <v>40160.988302686128</v>
      </c>
      <c r="S2228" t="s">
        <v>61</v>
      </c>
      <c r="T2228">
        <v>1</v>
      </c>
      <c r="U2228" t="s">
        <v>65</v>
      </c>
      <c r="V2228" t="s">
        <v>67</v>
      </c>
      <c r="W2228">
        <v>0</v>
      </c>
      <c r="X2228">
        <v>0</v>
      </c>
      <c r="Y2228">
        <v>17</v>
      </c>
      <c r="Z2228">
        <v>17</v>
      </c>
      <c r="AA2228">
        <v>20</v>
      </c>
      <c r="AB2228">
        <v>1500</v>
      </c>
      <c r="AC2228">
        <v>1079</v>
      </c>
      <c r="AD2228">
        <v>1079</v>
      </c>
      <c r="AE2228">
        <v>0</v>
      </c>
      <c r="AF2228">
        <v>0</v>
      </c>
      <c r="AG2228">
        <v>0</v>
      </c>
      <c r="AH2228">
        <v>0</v>
      </c>
      <c r="AI2228">
        <v>520</v>
      </c>
      <c r="AJ2228">
        <v>0</v>
      </c>
      <c r="AK2228">
        <v>0</v>
      </c>
      <c r="AL2228">
        <v>0</v>
      </c>
      <c r="AM2228">
        <v>200</v>
      </c>
      <c r="AN2228">
        <v>40</v>
      </c>
      <c r="AO2228">
        <v>0</v>
      </c>
      <c r="AP2228">
        <v>9</v>
      </c>
      <c r="AQ2228">
        <v>0</v>
      </c>
      <c r="AR2228">
        <v>0</v>
      </c>
      <c r="AS2228" t="s">
        <v>58</v>
      </c>
      <c r="AT2228">
        <v>1</v>
      </c>
      <c r="AU2228" t="s">
        <v>63</v>
      </c>
      <c r="AV2228" t="s">
        <v>64</v>
      </c>
      <c r="AW2228">
        <v>1</v>
      </c>
      <c r="AX2228">
        <v>4</v>
      </c>
      <c r="AY2228">
        <v>0</v>
      </c>
      <c r="AZ2228">
        <v>0</v>
      </c>
      <c r="BA2228">
        <v>100</v>
      </c>
      <c r="BB2228">
        <v>100</v>
      </c>
      <c r="BC2228">
        <v>100</v>
      </c>
      <c r="BD2228">
        <v>100</v>
      </c>
      <c r="BE2228">
        <v>1</v>
      </c>
      <c r="BF2228">
        <v>15000</v>
      </c>
      <c r="BG2228">
        <v>1000</v>
      </c>
      <c r="BH2228" s="6">
        <f>Grandview_Inventory[[#This Row],[land_extract]]*Lookups!$B$3</f>
        <v>46638.847281240982</v>
      </c>
      <c r="BI2228" s="6">
        <f>IF(Grandview_Inventory[[#This Row],[bldg_style]]="",0,Lookups!$B$2)</f>
        <v>155833.95000000001</v>
      </c>
      <c r="BJ2228" s="6">
        <f>_xlfn.IFNA(VLOOKUP(Grandview_Inventory[[#This Row],[quality]],Lookups!$H$2:$J$14,3,FALSE),0)</f>
        <v>2251</v>
      </c>
      <c r="BK2228" s="6">
        <f>_xlfn.IFNA(VLOOKUP(Grandview_Inventory[[#This Row],[condition]],Lookups!$H$17:$J$24,3,FALSE),0)</f>
        <v>22342</v>
      </c>
      <c r="BL2228" s="6">
        <f>Grandview_Inventory[[#This Row],[Eff_Age]]*Lookups!$B$14</f>
        <v>-4065.8321999999998</v>
      </c>
      <c r="BM2228" s="6">
        <f>Grandview_Inventory[[#This Row],[living_area]]*Lookups!$B$15</f>
        <v>67308.940386999995</v>
      </c>
      <c r="BN2228" s="6">
        <f>Grandview_Inventory[[#This Row],[Fin BSMT]]*Lookups!$B$16</f>
        <v>0</v>
      </c>
      <c r="BO2228" s="6">
        <f>(Grandview_Inventory[[#This Row],[att_gar]]+Grandview_Inventory[[#This Row],[bltin_gar]])*Lookups!$B$17</f>
        <v>45510.627240000002</v>
      </c>
      <c r="BP2228" s="6">
        <f>Grandview_Inventory[[#This Row],[Plumbing Fixtures]]*Lookups!$B$18</f>
        <v>18093.976200000001</v>
      </c>
      <c r="BQ2228" s="6">
        <f>Grandview_Inventory[[#This Row],[detatched_value]]*Lookups!$B$19</f>
        <v>0</v>
      </c>
      <c r="BR2228" s="6">
        <f>SUM(Grandview_Inventory[[#This Row],[Intercept]:[det_value]])*Grandview_Inventory[[#This Row],[res_pct]]</f>
        <v>307274.66162699996</v>
      </c>
      <c r="BS2228" s="6">
        <f>Grandview_Inventory[[#This Row],[land_value]]</f>
        <v>46638.847281240982</v>
      </c>
      <c r="BT2228" s="4">
        <f>_xlfn.IFNA(VLOOKUP(Grandview_Inventory[[#This Row],[quality]],Lookups!$A$26:$C$33,3,FALSE),1)</f>
        <v>0.98763855981004833</v>
      </c>
      <c r="BU2228" s="4">
        <f>_xlfn.IFNA(VLOOKUP(Grandview_Inventory[[#This Row],[condition]],Lookups!$A$37:$C$44,3,FALSE),1)</f>
        <v>0.97383723671140243</v>
      </c>
      <c r="BV2228" s="4">
        <f>IF(Grandview_Inventory[[#This Row],[bldg_style]]="",1,_xlfn.IFNA(VLOOKUP(Grandview_Inventory[[#This Row],[decade]],Lookups!$F$29:$H$43,3,FALSE),1))</f>
        <v>0.96737494181490646</v>
      </c>
      <c r="BW2228" s="4">
        <f>_xlfn.IFNA(VLOOKUP(Grandview_Inventory[[#This Row],[living_area_range]],Lookups!$F$47:$H$56,3,FALSE),1)</f>
        <v>0.96135087979789358</v>
      </c>
      <c r="BX2228" s="4">
        <f>AVERAGE(Grandview_Inventory[[#This Row],[qual_adj]:[size_adj]])</f>
        <v>0.97255040453356267</v>
      </c>
      <c r="BY2228" s="6">
        <f>IF(Grandview_Inventory[[#This Row],[pre_res]]&lt;0,0,Grandview_Inventory[[#This Row],[pre_res]]*Grandview_Inventory[[#This Row],[overall_adj]])</f>
        <v>298840.09646825242</v>
      </c>
      <c r="BZ2228" s="6">
        <f>(Grandview_Inventory[[#This Row],[sum_land]]-IF(Grandview_Inventory[[#This Row],[no_utilities]]=1,12000,0))/IF(Grandview_Inventory[[#This Row],[unbuildable]]=1,2,1)</f>
        <v>46638.847281240982</v>
      </c>
      <c r="CA222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28">
        <f>ROUND(Grandview_Inventory[[#This Row],[det_value]]*Lookups!$M$28,-2)</f>
        <v>0</v>
      </c>
      <c r="CC2228">
        <f>IF(ROUND(Grandview_Inventory[[#This Row],[adj_res]]*Lookups!$M$28,-2)&lt;Grandview_Inventory[[#This Row],[min_res]],Grandview_Inventory[[#This Row],[min_res]],ROUND(Grandview_Inventory[[#This Row],[adj_res]]*Lookups!$M$28,-2))</f>
        <v>283900</v>
      </c>
      <c r="CD2228">
        <f>Grandview_Inventory[[#This Row],[final_det]]+Grandview_Inventory[[#This Row],[final_res]]</f>
        <v>283900</v>
      </c>
      <c r="CE2228">
        <f>Grandview_Inventory[[#This Row],[final_land]]+Grandview_Inventory[[#This Row],[final_imp]]+Grandview_Inventory[[#This Row],[crop_value]]</f>
        <v>328200</v>
      </c>
      <c r="CG2228" t="str">
        <f t="shared" si="34"/>
        <v>update valuation set market_land =44300, market_bldg=283900, market_total =328200, market_mdno =401, market_date ='9/10/2023' where link_id = (select link_id from parcel where parcel_year = '2024' and parcel_id = '23092424503');</v>
      </c>
    </row>
    <row r="2229" spans="1:85" x14ac:dyDescent="0.25">
      <c r="A2229">
        <v>23092424504</v>
      </c>
      <c r="B2229">
        <v>0.21</v>
      </c>
      <c r="C2229">
        <v>9012</v>
      </c>
      <c r="D2229" t="s">
        <v>129</v>
      </c>
      <c r="E2229" t="s">
        <v>53</v>
      </c>
      <c r="F2229" t="s">
        <v>53</v>
      </c>
      <c r="G2229">
        <v>4</v>
      </c>
      <c r="H2229" t="s">
        <v>54</v>
      </c>
      <c r="I2229">
        <v>216400</v>
      </c>
      <c r="J2229">
        <v>39300</v>
      </c>
      <c r="K2229">
        <v>0.21</v>
      </c>
      <c r="L222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229">
        <v>0</v>
      </c>
      <c r="N2229">
        <v>0</v>
      </c>
      <c r="O2229">
        <v>0</v>
      </c>
      <c r="P2229">
        <v>13398.7528</v>
      </c>
      <c r="Q2229">
        <v>63903</v>
      </c>
      <c r="R2229">
        <f>(Grandview_Inventory[[#This Row],[ln_acres]]*Grandview_Inventory[[#This Row],[coeff]])+Grandview_Inventory[[#This Row],[const]]</f>
        <v>42992.266613125081</v>
      </c>
      <c r="S2229" t="s">
        <v>61</v>
      </c>
      <c r="T2229">
        <v>1</v>
      </c>
      <c r="U2229" t="s">
        <v>65</v>
      </c>
      <c r="V2229" t="s">
        <v>67</v>
      </c>
      <c r="W2229">
        <v>0</v>
      </c>
      <c r="X2229">
        <v>0</v>
      </c>
      <c r="Y2229">
        <v>17</v>
      </c>
      <c r="Z2229">
        <v>17</v>
      </c>
      <c r="AA2229">
        <v>20</v>
      </c>
      <c r="AB2229">
        <v>1500</v>
      </c>
      <c r="AC2229">
        <v>1079</v>
      </c>
      <c r="AD2229">
        <v>1079</v>
      </c>
      <c r="AE2229">
        <v>0</v>
      </c>
      <c r="AF2229">
        <v>0</v>
      </c>
      <c r="AG2229">
        <v>0</v>
      </c>
      <c r="AH2229">
        <v>0</v>
      </c>
      <c r="AI2229">
        <v>520</v>
      </c>
      <c r="AJ2229">
        <v>0</v>
      </c>
      <c r="AK2229">
        <v>0</v>
      </c>
      <c r="AL2229">
        <v>0</v>
      </c>
      <c r="AM2229">
        <v>100</v>
      </c>
      <c r="AN2229">
        <v>40</v>
      </c>
      <c r="AO2229">
        <v>0</v>
      </c>
      <c r="AP2229">
        <v>9</v>
      </c>
      <c r="AQ2229">
        <v>0</v>
      </c>
      <c r="AR2229">
        <v>0</v>
      </c>
      <c r="AS2229" t="s">
        <v>58</v>
      </c>
      <c r="AT2229">
        <v>1</v>
      </c>
      <c r="AU2229" t="s">
        <v>63</v>
      </c>
      <c r="AV2229" t="s">
        <v>64</v>
      </c>
      <c r="AW2229">
        <v>1</v>
      </c>
      <c r="AX2229">
        <v>4</v>
      </c>
      <c r="AY2229">
        <v>0</v>
      </c>
      <c r="AZ2229">
        <v>0</v>
      </c>
      <c r="BA2229">
        <v>100</v>
      </c>
      <c r="BB2229">
        <v>100</v>
      </c>
      <c r="BC2229">
        <v>100</v>
      </c>
      <c r="BD2229">
        <v>100</v>
      </c>
      <c r="BE2229">
        <v>1</v>
      </c>
      <c r="BF2229">
        <v>15000</v>
      </c>
      <c r="BG2229">
        <v>1000</v>
      </c>
      <c r="BH2229" s="6">
        <f>Grandview_Inventory[[#This Row],[land_extract]]*Lookups!$B$3</f>
        <v>49926.8031387023</v>
      </c>
      <c r="BI2229" s="6">
        <f>IF(Grandview_Inventory[[#This Row],[bldg_style]]="",0,Lookups!$B$2)</f>
        <v>155833.95000000001</v>
      </c>
      <c r="BJ2229" s="6">
        <f>_xlfn.IFNA(VLOOKUP(Grandview_Inventory[[#This Row],[quality]],Lookups!$H$2:$J$14,3,FALSE),0)</f>
        <v>2251</v>
      </c>
      <c r="BK2229" s="6">
        <f>_xlfn.IFNA(VLOOKUP(Grandview_Inventory[[#This Row],[condition]],Lookups!$H$17:$J$24,3,FALSE),0)</f>
        <v>22342</v>
      </c>
      <c r="BL2229" s="6">
        <f>Grandview_Inventory[[#This Row],[Eff_Age]]*Lookups!$B$14</f>
        <v>-4065.8321999999998</v>
      </c>
      <c r="BM2229" s="6">
        <f>Grandview_Inventory[[#This Row],[living_area]]*Lookups!$B$15</f>
        <v>67308.940386999995</v>
      </c>
      <c r="BN2229" s="6">
        <f>Grandview_Inventory[[#This Row],[Fin BSMT]]*Lookups!$B$16</f>
        <v>0</v>
      </c>
      <c r="BO2229" s="6">
        <f>(Grandview_Inventory[[#This Row],[att_gar]]+Grandview_Inventory[[#This Row],[bltin_gar]])*Lookups!$B$17</f>
        <v>45510.627240000002</v>
      </c>
      <c r="BP2229" s="6">
        <f>Grandview_Inventory[[#This Row],[Plumbing Fixtures]]*Lookups!$B$18</f>
        <v>18093.976200000001</v>
      </c>
      <c r="BQ2229" s="6">
        <f>Grandview_Inventory[[#This Row],[detatched_value]]*Lookups!$B$19</f>
        <v>0</v>
      </c>
      <c r="BR2229" s="6">
        <f>SUM(Grandview_Inventory[[#This Row],[Intercept]:[det_value]])*Grandview_Inventory[[#This Row],[res_pct]]</f>
        <v>307274.66162699996</v>
      </c>
      <c r="BS2229" s="6">
        <f>Grandview_Inventory[[#This Row],[land_value]]</f>
        <v>49926.8031387023</v>
      </c>
      <c r="BT2229" s="4">
        <f>_xlfn.IFNA(VLOOKUP(Grandview_Inventory[[#This Row],[quality]],Lookups!$A$26:$C$33,3,FALSE),1)</f>
        <v>0.98763855981004833</v>
      </c>
      <c r="BU2229" s="4">
        <f>_xlfn.IFNA(VLOOKUP(Grandview_Inventory[[#This Row],[condition]],Lookups!$A$37:$C$44,3,FALSE),1)</f>
        <v>0.97383723671140243</v>
      </c>
      <c r="BV2229" s="4">
        <f>IF(Grandview_Inventory[[#This Row],[bldg_style]]="",1,_xlfn.IFNA(VLOOKUP(Grandview_Inventory[[#This Row],[decade]],Lookups!$F$29:$H$43,3,FALSE),1))</f>
        <v>0.96737494181490646</v>
      </c>
      <c r="BW2229" s="4">
        <f>_xlfn.IFNA(VLOOKUP(Grandview_Inventory[[#This Row],[living_area_range]],Lookups!$F$47:$H$56,3,FALSE),1)</f>
        <v>0.96135087979789358</v>
      </c>
      <c r="BX2229" s="4">
        <f>AVERAGE(Grandview_Inventory[[#This Row],[qual_adj]:[size_adj]])</f>
        <v>0.97255040453356267</v>
      </c>
      <c r="BY2229" s="6">
        <f>IF(Grandview_Inventory[[#This Row],[pre_res]]&lt;0,0,Grandview_Inventory[[#This Row],[pre_res]]*Grandview_Inventory[[#This Row],[overall_adj]])</f>
        <v>298840.09646825242</v>
      </c>
      <c r="BZ2229" s="6">
        <f>(Grandview_Inventory[[#This Row],[sum_land]]-IF(Grandview_Inventory[[#This Row],[no_utilities]]=1,12000,0))/IF(Grandview_Inventory[[#This Row],[unbuildable]]=1,2,1)</f>
        <v>49926.8031387023</v>
      </c>
      <c r="CA222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229">
        <f>ROUND(Grandview_Inventory[[#This Row],[det_value]]*Lookups!$M$28,-2)</f>
        <v>0</v>
      </c>
      <c r="CC2229">
        <f>IF(ROUND(Grandview_Inventory[[#This Row],[adj_res]]*Lookups!$M$28,-2)&lt;Grandview_Inventory[[#This Row],[min_res]],Grandview_Inventory[[#This Row],[min_res]],ROUND(Grandview_Inventory[[#This Row],[adj_res]]*Lookups!$M$28,-2))</f>
        <v>283900</v>
      </c>
      <c r="CD2229">
        <f>Grandview_Inventory[[#This Row],[final_det]]+Grandview_Inventory[[#This Row],[final_res]]</f>
        <v>283900</v>
      </c>
      <c r="CE2229">
        <f>Grandview_Inventory[[#This Row],[final_land]]+Grandview_Inventory[[#This Row],[final_imp]]+Grandview_Inventory[[#This Row],[crop_value]]</f>
        <v>331300</v>
      </c>
      <c r="CG2229" t="str">
        <f t="shared" si="34"/>
        <v>update valuation set market_land =47400, market_bldg=283900, market_total =331300, market_mdno =401, market_date ='9/10/2023' where link_id = (select link_id from parcel where parcel_year = '2024' and parcel_id = '23092424504');</v>
      </c>
    </row>
    <row r="2230" spans="1:85" x14ac:dyDescent="0.25">
      <c r="A2230">
        <v>23092424505</v>
      </c>
      <c r="B2230">
        <v>0.16</v>
      </c>
      <c r="C2230">
        <v>6988</v>
      </c>
      <c r="D2230" t="s">
        <v>129</v>
      </c>
      <c r="E2230" t="s">
        <v>53</v>
      </c>
      <c r="F2230" t="s">
        <v>53</v>
      </c>
      <c r="G2230">
        <v>4</v>
      </c>
      <c r="H2230" t="s">
        <v>54</v>
      </c>
      <c r="I2230">
        <v>231300</v>
      </c>
      <c r="J2230">
        <v>38600</v>
      </c>
      <c r="K2230">
        <v>0.16</v>
      </c>
      <c r="L223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0">
        <v>0</v>
      </c>
      <c r="N2230">
        <v>0</v>
      </c>
      <c r="O2230">
        <v>0</v>
      </c>
      <c r="P2230">
        <v>13398.7528</v>
      </c>
      <c r="Q2230">
        <v>63903</v>
      </c>
      <c r="R2230">
        <f>(Grandview_Inventory[[#This Row],[ln_acres]]*Grandview_Inventory[[#This Row],[coeff]])+Grandview_Inventory[[#This Row],[const]]</f>
        <v>39348.693981374228</v>
      </c>
      <c r="S2230" t="s">
        <v>61</v>
      </c>
      <c r="T2230">
        <v>1</v>
      </c>
      <c r="U2230" t="s">
        <v>65</v>
      </c>
      <c r="V2230" t="s">
        <v>67</v>
      </c>
      <c r="W2230">
        <v>0</v>
      </c>
      <c r="X2230">
        <v>0</v>
      </c>
      <c r="Y2230">
        <v>17</v>
      </c>
      <c r="Z2230">
        <v>17</v>
      </c>
      <c r="AA2230">
        <v>20</v>
      </c>
      <c r="AB2230">
        <v>2000</v>
      </c>
      <c r="AC2230">
        <v>1683</v>
      </c>
      <c r="AD2230">
        <v>1267</v>
      </c>
      <c r="AE2230">
        <v>0</v>
      </c>
      <c r="AF2230">
        <v>416</v>
      </c>
      <c r="AG2230">
        <v>0</v>
      </c>
      <c r="AH2230">
        <v>0</v>
      </c>
      <c r="AI2230">
        <v>624</v>
      </c>
      <c r="AJ2230">
        <v>0</v>
      </c>
      <c r="AK2230">
        <v>0</v>
      </c>
      <c r="AL2230">
        <v>0</v>
      </c>
      <c r="AM2230">
        <v>100</v>
      </c>
      <c r="AN2230">
        <v>44</v>
      </c>
      <c r="AO2230">
        <v>0</v>
      </c>
      <c r="AP2230">
        <v>9</v>
      </c>
      <c r="AQ2230">
        <v>0</v>
      </c>
      <c r="AR2230">
        <v>0</v>
      </c>
      <c r="AS2230" t="s">
        <v>58</v>
      </c>
      <c r="AT2230">
        <v>1</v>
      </c>
      <c r="AU2230" t="s">
        <v>63</v>
      </c>
      <c r="AV2230" t="s">
        <v>64</v>
      </c>
      <c r="AW2230">
        <v>1</v>
      </c>
      <c r="AX2230">
        <v>3</v>
      </c>
      <c r="AY2230">
        <v>0</v>
      </c>
      <c r="AZ2230">
        <v>0</v>
      </c>
      <c r="BA2230">
        <v>100</v>
      </c>
      <c r="BB2230">
        <v>100</v>
      </c>
      <c r="BC2230">
        <v>100</v>
      </c>
      <c r="BD2230">
        <v>100</v>
      </c>
      <c r="BE2230">
        <v>1</v>
      </c>
      <c r="BF2230">
        <v>15000</v>
      </c>
      <c r="BG2230">
        <v>1000</v>
      </c>
      <c r="BH2230" s="6">
        <f>Grandview_Inventory[[#This Row],[land_extract]]*Lookups!$B$3</f>
        <v>45695.532079096141</v>
      </c>
      <c r="BI2230" s="6">
        <f>IF(Grandview_Inventory[[#This Row],[bldg_style]]="",0,Lookups!$B$2)</f>
        <v>155833.95000000001</v>
      </c>
      <c r="BJ2230" s="6">
        <f>_xlfn.IFNA(VLOOKUP(Grandview_Inventory[[#This Row],[quality]],Lookups!$H$2:$J$14,3,FALSE),0)</f>
        <v>2251</v>
      </c>
      <c r="BK2230" s="6">
        <f>_xlfn.IFNA(VLOOKUP(Grandview_Inventory[[#This Row],[condition]],Lookups!$H$17:$J$24,3,FALSE),0)</f>
        <v>22342</v>
      </c>
      <c r="BL2230" s="6">
        <f>Grandview_Inventory[[#This Row],[Eff_Age]]*Lookups!$B$14</f>
        <v>-4065.8321999999998</v>
      </c>
      <c r="BM2230" s="6">
        <f>Grandview_Inventory[[#This Row],[living_area]]*Lookups!$B$15</f>
        <v>104986.975599</v>
      </c>
      <c r="BN2230" s="6">
        <f>Grandview_Inventory[[#This Row],[Fin BSMT]]*Lookups!$B$16</f>
        <v>0</v>
      </c>
      <c r="BO2230" s="6">
        <f>(Grandview_Inventory[[#This Row],[att_gar]]+Grandview_Inventory[[#This Row],[bltin_gar]])*Lookups!$B$17</f>
        <v>54612.752688</v>
      </c>
      <c r="BP2230" s="6">
        <f>Grandview_Inventory[[#This Row],[Plumbing Fixtures]]*Lookups!$B$18</f>
        <v>18093.976200000001</v>
      </c>
      <c r="BQ2230" s="6">
        <f>Grandview_Inventory[[#This Row],[detatched_value]]*Lookups!$B$19</f>
        <v>0</v>
      </c>
      <c r="BR2230" s="6">
        <f>SUM(Grandview_Inventory[[#This Row],[Intercept]:[det_value]])*Grandview_Inventory[[#This Row],[res_pct]]</f>
        <v>354054.82228699996</v>
      </c>
      <c r="BS2230" s="6">
        <f>Grandview_Inventory[[#This Row],[land_value]]</f>
        <v>45695.532079096141</v>
      </c>
      <c r="BT2230" s="4">
        <f>_xlfn.IFNA(VLOOKUP(Grandview_Inventory[[#This Row],[quality]],Lookups!$A$26:$C$33,3,FALSE),1)</f>
        <v>0.98763855981004833</v>
      </c>
      <c r="BU2230" s="4">
        <f>_xlfn.IFNA(VLOOKUP(Grandview_Inventory[[#This Row],[condition]],Lookups!$A$37:$C$44,3,FALSE),1)</f>
        <v>0.97383723671140243</v>
      </c>
      <c r="BV2230" s="4">
        <f>IF(Grandview_Inventory[[#This Row],[bldg_style]]="",1,_xlfn.IFNA(VLOOKUP(Grandview_Inventory[[#This Row],[decade]],Lookups!$F$29:$H$43,3,FALSE),1))</f>
        <v>0.96737494181490646</v>
      </c>
      <c r="BW2230" s="4">
        <f>_xlfn.IFNA(VLOOKUP(Grandview_Inventory[[#This Row],[living_area_range]],Lookups!$F$47:$H$56,3,FALSE),1)</f>
        <v>0.96120133463014379</v>
      </c>
      <c r="BX2230" s="4">
        <f>AVERAGE(Grandview_Inventory[[#This Row],[qual_adj]:[size_adj]])</f>
        <v>0.97251301824162528</v>
      </c>
      <c r="BY2230" s="6">
        <f>IF(Grandview_Inventory[[#This Row],[pre_res]]&lt;0,0,Grandview_Inventory[[#This Row],[pre_res]]*Grandview_Inventory[[#This Row],[overall_adj]])</f>
        <v>344322.92384533258</v>
      </c>
      <c r="BZ2230" s="6">
        <f>(Grandview_Inventory[[#This Row],[sum_land]]-IF(Grandview_Inventory[[#This Row],[no_utilities]]=1,12000,0))/IF(Grandview_Inventory[[#This Row],[unbuildable]]=1,2,1)</f>
        <v>45695.532079096141</v>
      </c>
      <c r="CA223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0">
        <f>ROUND(Grandview_Inventory[[#This Row],[det_value]]*Lookups!$M$28,-2)</f>
        <v>0</v>
      </c>
      <c r="CC2230">
        <f>IF(ROUND(Grandview_Inventory[[#This Row],[adj_res]]*Lookups!$M$28,-2)&lt;Grandview_Inventory[[#This Row],[min_res]],Grandview_Inventory[[#This Row],[min_res]],ROUND(Grandview_Inventory[[#This Row],[adj_res]]*Lookups!$M$28,-2))</f>
        <v>327100</v>
      </c>
      <c r="CD2230">
        <f>Grandview_Inventory[[#This Row],[final_det]]+Grandview_Inventory[[#This Row],[final_res]]</f>
        <v>327100</v>
      </c>
      <c r="CE2230">
        <f>Grandview_Inventory[[#This Row],[final_land]]+Grandview_Inventory[[#This Row],[final_imp]]+Grandview_Inventory[[#This Row],[crop_value]]</f>
        <v>370500</v>
      </c>
      <c r="CG2230" t="str">
        <f t="shared" si="34"/>
        <v>update valuation set market_land =43400, market_bldg=327100, market_total =370500, market_mdno =401, market_date ='9/10/2023' where link_id = (select link_id from parcel where parcel_year = '2024' and parcel_id = '23092424505');</v>
      </c>
    </row>
    <row r="2231" spans="1:85" x14ac:dyDescent="0.25">
      <c r="A2231">
        <v>23092424506</v>
      </c>
      <c r="B2231">
        <v>0.16</v>
      </c>
      <c r="C2231">
        <v>6853</v>
      </c>
      <c r="D2231" t="s">
        <v>129</v>
      </c>
      <c r="E2231" t="s">
        <v>53</v>
      </c>
      <c r="F2231" t="s">
        <v>53</v>
      </c>
      <c r="G2231">
        <v>4</v>
      </c>
      <c r="H2231" t="s">
        <v>54</v>
      </c>
      <c r="I2231">
        <v>225600</v>
      </c>
      <c r="J2231">
        <v>38600</v>
      </c>
      <c r="K2231">
        <v>0.16</v>
      </c>
      <c r="L223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1">
        <v>0</v>
      </c>
      <c r="N2231">
        <v>0</v>
      </c>
      <c r="O2231">
        <v>0</v>
      </c>
      <c r="P2231">
        <v>13398.7528</v>
      </c>
      <c r="Q2231">
        <v>63903</v>
      </c>
      <c r="R2231">
        <f>(Grandview_Inventory[[#This Row],[ln_acres]]*Grandview_Inventory[[#This Row],[coeff]])+Grandview_Inventory[[#This Row],[const]]</f>
        <v>39348.693981374228</v>
      </c>
      <c r="S2231" t="s">
        <v>61</v>
      </c>
      <c r="T2231">
        <v>1</v>
      </c>
      <c r="U2231" t="s">
        <v>65</v>
      </c>
      <c r="V2231" t="s">
        <v>67</v>
      </c>
      <c r="W2231">
        <v>0</v>
      </c>
      <c r="X2231">
        <v>0</v>
      </c>
      <c r="Y2231">
        <v>17</v>
      </c>
      <c r="Z2231">
        <v>17</v>
      </c>
      <c r="AA2231">
        <v>20</v>
      </c>
      <c r="AB2231">
        <v>1500</v>
      </c>
      <c r="AC2231">
        <v>1288</v>
      </c>
      <c r="AD2231">
        <v>1288</v>
      </c>
      <c r="AE2231">
        <v>0</v>
      </c>
      <c r="AF2231">
        <v>0</v>
      </c>
      <c r="AG2231">
        <v>0</v>
      </c>
      <c r="AH2231">
        <v>0</v>
      </c>
      <c r="AI2231">
        <v>520</v>
      </c>
      <c r="AJ2231">
        <v>0</v>
      </c>
      <c r="AK2231">
        <v>0</v>
      </c>
      <c r="AL2231">
        <v>0</v>
      </c>
      <c r="AM2231">
        <v>200</v>
      </c>
      <c r="AN2231">
        <v>128</v>
      </c>
      <c r="AO2231">
        <v>0</v>
      </c>
      <c r="AP2231">
        <v>9</v>
      </c>
      <c r="AQ2231">
        <v>0</v>
      </c>
      <c r="AR2231">
        <v>0</v>
      </c>
      <c r="AS2231" t="s">
        <v>58</v>
      </c>
      <c r="AT2231">
        <v>1</v>
      </c>
      <c r="AU2231" t="s">
        <v>63</v>
      </c>
      <c r="AV2231" t="s">
        <v>64</v>
      </c>
      <c r="AW2231">
        <v>1</v>
      </c>
      <c r="AX2231">
        <v>3</v>
      </c>
      <c r="AY2231">
        <v>0</v>
      </c>
      <c r="AZ2231">
        <v>0</v>
      </c>
      <c r="BA2231">
        <v>100</v>
      </c>
      <c r="BB2231">
        <v>100</v>
      </c>
      <c r="BC2231">
        <v>100</v>
      </c>
      <c r="BD2231">
        <v>100</v>
      </c>
      <c r="BE2231">
        <v>1</v>
      </c>
      <c r="BF2231">
        <v>15000</v>
      </c>
      <c r="BG2231">
        <v>1000</v>
      </c>
      <c r="BH2231" s="6">
        <f>Grandview_Inventory[[#This Row],[land_extract]]*Lookups!$B$3</f>
        <v>45695.532079096141</v>
      </c>
      <c r="BI2231" s="6">
        <f>IF(Grandview_Inventory[[#This Row],[bldg_style]]="",0,Lookups!$B$2)</f>
        <v>155833.95000000001</v>
      </c>
      <c r="BJ2231" s="6">
        <f>_xlfn.IFNA(VLOOKUP(Grandview_Inventory[[#This Row],[quality]],Lookups!$H$2:$J$14,3,FALSE),0)</f>
        <v>2251</v>
      </c>
      <c r="BK2231" s="6">
        <f>_xlfn.IFNA(VLOOKUP(Grandview_Inventory[[#This Row],[condition]],Lookups!$H$17:$J$24,3,FALSE),0)</f>
        <v>22342</v>
      </c>
      <c r="BL2231" s="6">
        <f>Grandview_Inventory[[#This Row],[Eff_Age]]*Lookups!$B$14</f>
        <v>-4065.8321999999998</v>
      </c>
      <c r="BM2231" s="6">
        <f>Grandview_Inventory[[#This Row],[living_area]]*Lookups!$B$15</f>
        <v>80346.538664000007</v>
      </c>
      <c r="BN2231" s="6">
        <f>Grandview_Inventory[[#This Row],[Fin BSMT]]*Lookups!$B$16</f>
        <v>0</v>
      </c>
      <c r="BO2231" s="6">
        <f>(Grandview_Inventory[[#This Row],[att_gar]]+Grandview_Inventory[[#This Row],[bltin_gar]])*Lookups!$B$17</f>
        <v>45510.627240000002</v>
      </c>
      <c r="BP2231" s="6">
        <f>Grandview_Inventory[[#This Row],[Plumbing Fixtures]]*Lookups!$B$18</f>
        <v>18093.976200000001</v>
      </c>
      <c r="BQ2231" s="6">
        <f>Grandview_Inventory[[#This Row],[detatched_value]]*Lookups!$B$19</f>
        <v>0</v>
      </c>
      <c r="BR2231" s="6">
        <f>SUM(Grandview_Inventory[[#This Row],[Intercept]:[det_value]])*Grandview_Inventory[[#This Row],[res_pct]]</f>
        <v>320312.25990399998</v>
      </c>
      <c r="BS2231" s="6">
        <f>Grandview_Inventory[[#This Row],[land_value]]</f>
        <v>45695.532079096141</v>
      </c>
      <c r="BT2231" s="4">
        <f>_xlfn.IFNA(VLOOKUP(Grandview_Inventory[[#This Row],[quality]],Lookups!$A$26:$C$33,3,FALSE),1)</f>
        <v>0.98763855981004833</v>
      </c>
      <c r="BU2231" s="4">
        <f>_xlfn.IFNA(VLOOKUP(Grandview_Inventory[[#This Row],[condition]],Lookups!$A$37:$C$44,3,FALSE),1)</f>
        <v>0.97383723671140243</v>
      </c>
      <c r="BV2231" s="4">
        <f>IF(Grandview_Inventory[[#This Row],[bldg_style]]="",1,_xlfn.IFNA(VLOOKUP(Grandview_Inventory[[#This Row],[decade]],Lookups!$F$29:$H$43,3,FALSE),1))</f>
        <v>0.96737494181490646</v>
      </c>
      <c r="BW2231" s="4">
        <f>_xlfn.IFNA(VLOOKUP(Grandview_Inventory[[#This Row],[living_area_range]],Lookups!$F$47:$H$56,3,FALSE),1)</f>
        <v>0.96135087979789358</v>
      </c>
      <c r="BX2231" s="4">
        <f>AVERAGE(Grandview_Inventory[[#This Row],[qual_adj]:[size_adj]])</f>
        <v>0.97255040453356267</v>
      </c>
      <c r="BY2231" s="6">
        <f>IF(Grandview_Inventory[[#This Row],[pre_res]]&lt;0,0,Grandview_Inventory[[#This Row],[pre_res]]*Grandview_Inventory[[#This Row],[overall_adj]])</f>
        <v>311519.81794669485</v>
      </c>
      <c r="BZ2231" s="6">
        <f>(Grandview_Inventory[[#This Row],[sum_land]]-IF(Grandview_Inventory[[#This Row],[no_utilities]]=1,12000,0))/IF(Grandview_Inventory[[#This Row],[unbuildable]]=1,2,1)</f>
        <v>45695.532079096141</v>
      </c>
      <c r="CA223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1">
        <f>ROUND(Grandview_Inventory[[#This Row],[det_value]]*Lookups!$M$28,-2)</f>
        <v>0</v>
      </c>
      <c r="CC2231">
        <f>IF(ROUND(Grandview_Inventory[[#This Row],[adj_res]]*Lookups!$M$28,-2)&lt;Grandview_Inventory[[#This Row],[min_res]],Grandview_Inventory[[#This Row],[min_res]],ROUND(Grandview_Inventory[[#This Row],[adj_res]]*Lookups!$M$28,-2))</f>
        <v>295900</v>
      </c>
      <c r="CD2231">
        <f>Grandview_Inventory[[#This Row],[final_det]]+Grandview_Inventory[[#This Row],[final_res]]</f>
        <v>295900</v>
      </c>
      <c r="CE2231">
        <f>Grandview_Inventory[[#This Row],[final_land]]+Grandview_Inventory[[#This Row],[final_imp]]+Grandview_Inventory[[#This Row],[crop_value]]</f>
        <v>339300</v>
      </c>
      <c r="CG2231" t="str">
        <f t="shared" si="34"/>
        <v>update valuation set market_land =43400, market_bldg=295900, market_total =339300, market_mdno =401, market_date ='9/10/2023' where link_id = (select link_id from parcel where parcel_year = '2024' and parcel_id = '23092424506');</v>
      </c>
    </row>
    <row r="2232" spans="1:85" x14ac:dyDescent="0.25">
      <c r="A2232">
        <v>23092424507</v>
      </c>
      <c r="B2232">
        <v>0.16</v>
      </c>
      <c r="C2232">
        <v>6752</v>
      </c>
      <c r="D2232" t="s">
        <v>129</v>
      </c>
      <c r="E2232" t="s">
        <v>53</v>
      </c>
      <c r="F2232" t="s">
        <v>53</v>
      </c>
      <c r="G2232">
        <v>4</v>
      </c>
      <c r="H2232" t="s">
        <v>54</v>
      </c>
      <c r="I2232">
        <v>228200</v>
      </c>
      <c r="J2232">
        <v>42800</v>
      </c>
      <c r="K2232">
        <v>0.16</v>
      </c>
      <c r="L223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2">
        <v>0</v>
      </c>
      <c r="N2232">
        <v>0</v>
      </c>
      <c r="O2232">
        <v>0</v>
      </c>
      <c r="P2232">
        <v>13398.7528</v>
      </c>
      <c r="Q2232">
        <v>63903</v>
      </c>
      <c r="R2232">
        <f>(Grandview_Inventory[[#This Row],[ln_acres]]*Grandview_Inventory[[#This Row],[coeff]])+Grandview_Inventory[[#This Row],[const]]</f>
        <v>39348.693981374228</v>
      </c>
      <c r="S2232" t="s">
        <v>61</v>
      </c>
      <c r="T2232">
        <v>1</v>
      </c>
      <c r="U2232" t="s">
        <v>62</v>
      </c>
      <c r="V2232" t="s">
        <v>67</v>
      </c>
      <c r="W2232">
        <v>0</v>
      </c>
      <c r="X2232">
        <v>0</v>
      </c>
      <c r="Y2232">
        <v>17</v>
      </c>
      <c r="Z2232">
        <v>17</v>
      </c>
      <c r="AA2232">
        <v>20</v>
      </c>
      <c r="AB2232">
        <v>2000</v>
      </c>
      <c r="AC2232">
        <v>1679</v>
      </c>
      <c r="AD2232">
        <v>1247</v>
      </c>
      <c r="AE2232">
        <v>0</v>
      </c>
      <c r="AF2232">
        <v>432</v>
      </c>
      <c r="AG2232">
        <v>0</v>
      </c>
      <c r="AH2232">
        <v>0</v>
      </c>
      <c r="AI2232">
        <v>648</v>
      </c>
      <c r="AJ2232">
        <v>0</v>
      </c>
      <c r="AK2232">
        <v>0</v>
      </c>
      <c r="AL2232">
        <v>260</v>
      </c>
      <c r="AM2232">
        <v>0</v>
      </c>
      <c r="AN2232">
        <v>44</v>
      </c>
      <c r="AO2232">
        <v>0</v>
      </c>
      <c r="AP2232">
        <v>8</v>
      </c>
      <c r="AQ2232">
        <v>0</v>
      </c>
      <c r="AR2232">
        <v>0</v>
      </c>
      <c r="AS2232" t="s">
        <v>58</v>
      </c>
      <c r="AT2232">
        <v>1</v>
      </c>
      <c r="AU2232" t="s">
        <v>63</v>
      </c>
      <c r="AV2232" t="s">
        <v>64</v>
      </c>
      <c r="AW2232">
        <v>1</v>
      </c>
      <c r="AX2232">
        <v>3</v>
      </c>
      <c r="AY2232">
        <v>0</v>
      </c>
      <c r="AZ2232">
        <v>0</v>
      </c>
      <c r="BA2232">
        <v>100</v>
      </c>
      <c r="BB2232">
        <v>100</v>
      </c>
      <c r="BC2232">
        <v>100</v>
      </c>
      <c r="BD2232">
        <v>100</v>
      </c>
      <c r="BE2232">
        <v>1</v>
      </c>
      <c r="BF2232">
        <v>15000</v>
      </c>
      <c r="BG2232">
        <v>1000</v>
      </c>
      <c r="BH2232" s="6">
        <f>Grandview_Inventory[[#This Row],[land_extract]]*Lookups!$B$3</f>
        <v>45695.532079096141</v>
      </c>
      <c r="BI2232" s="6">
        <f>IF(Grandview_Inventory[[#This Row],[bldg_style]]="",0,Lookups!$B$2)</f>
        <v>155833.95000000001</v>
      </c>
      <c r="BJ2232" s="6">
        <f>_xlfn.IFNA(VLOOKUP(Grandview_Inventory[[#This Row],[quality]],Lookups!$H$2:$J$14,3,FALSE),0)</f>
        <v>9808</v>
      </c>
      <c r="BK2232" s="6">
        <f>_xlfn.IFNA(VLOOKUP(Grandview_Inventory[[#This Row],[condition]],Lookups!$H$17:$J$24,3,FALSE),0)</f>
        <v>22342</v>
      </c>
      <c r="BL2232" s="6">
        <f>Grandview_Inventory[[#This Row],[Eff_Age]]*Lookups!$B$14</f>
        <v>-4065.8321999999998</v>
      </c>
      <c r="BM2232" s="6">
        <f>Grandview_Inventory[[#This Row],[living_area]]*Lookups!$B$15</f>
        <v>104737.452187</v>
      </c>
      <c r="BN2232" s="6">
        <f>Grandview_Inventory[[#This Row],[Fin BSMT]]*Lookups!$B$16</f>
        <v>0</v>
      </c>
      <c r="BO2232" s="6">
        <f>(Grandview_Inventory[[#This Row],[att_gar]]+Grandview_Inventory[[#This Row],[bltin_gar]])*Lookups!$B$17</f>
        <v>56713.243176000004</v>
      </c>
      <c r="BP2232" s="6">
        <f>Grandview_Inventory[[#This Row],[Plumbing Fixtures]]*Lookups!$B$18</f>
        <v>16083.5344</v>
      </c>
      <c r="BQ2232" s="6">
        <f>Grandview_Inventory[[#This Row],[detatched_value]]*Lookups!$B$19</f>
        <v>0</v>
      </c>
      <c r="BR2232" s="6">
        <f>SUM(Grandview_Inventory[[#This Row],[Intercept]:[det_value]])*Grandview_Inventory[[#This Row],[res_pct]]</f>
        <v>361452.34756300005</v>
      </c>
      <c r="BS2232" s="6">
        <f>Grandview_Inventory[[#This Row],[land_value]]</f>
        <v>45695.532079096141</v>
      </c>
      <c r="BT2232" s="4">
        <f>_xlfn.IFNA(VLOOKUP(Grandview_Inventory[[#This Row],[quality]],Lookups!$A$26:$C$33,3,FALSE),1)</f>
        <v>0.94295468617355149</v>
      </c>
      <c r="BU2232" s="4">
        <f>_xlfn.IFNA(VLOOKUP(Grandview_Inventory[[#This Row],[condition]],Lookups!$A$37:$C$44,3,FALSE),1)</f>
        <v>0.97383723671140243</v>
      </c>
      <c r="BV2232" s="4">
        <f>IF(Grandview_Inventory[[#This Row],[bldg_style]]="",1,_xlfn.IFNA(VLOOKUP(Grandview_Inventory[[#This Row],[decade]],Lookups!$F$29:$H$43,3,FALSE),1))</f>
        <v>0.96737494181490646</v>
      </c>
      <c r="BW2232" s="4">
        <f>_xlfn.IFNA(VLOOKUP(Grandview_Inventory[[#This Row],[living_area_range]],Lookups!$F$47:$H$56,3,FALSE),1)</f>
        <v>0.96120133463014379</v>
      </c>
      <c r="BX2232" s="4">
        <f>AVERAGE(Grandview_Inventory[[#This Row],[qual_adj]:[size_adj]])</f>
        <v>0.96134204983250116</v>
      </c>
      <c r="BY2232" s="6">
        <f>IF(Grandview_Inventory[[#This Row],[pre_res]]&lt;0,0,Grandview_Inventory[[#This Row],[pre_res]]*Grandview_Inventory[[#This Row],[overall_adj]])</f>
        <v>347479.34072298411</v>
      </c>
      <c r="BZ2232" s="6">
        <f>(Grandview_Inventory[[#This Row],[sum_land]]-IF(Grandview_Inventory[[#This Row],[no_utilities]]=1,12000,0))/IF(Grandview_Inventory[[#This Row],[unbuildable]]=1,2,1)</f>
        <v>45695.532079096141</v>
      </c>
      <c r="CA223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2">
        <f>ROUND(Grandview_Inventory[[#This Row],[det_value]]*Lookups!$M$28,-2)</f>
        <v>0</v>
      </c>
      <c r="CC2232">
        <f>IF(ROUND(Grandview_Inventory[[#This Row],[adj_res]]*Lookups!$M$28,-2)&lt;Grandview_Inventory[[#This Row],[min_res]],Grandview_Inventory[[#This Row],[min_res]],ROUND(Grandview_Inventory[[#This Row],[adj_res]]*Lookups!$M$28,-2))</f>
        <v>330100</v>
      </c>
      <c r="CD2232">
        <f>Grandview_Inventory[[#This Row],[final_det]]+Grandview_Inventory[[#This Row],[final_res]]</f>
        <v>330100</v>
      </c>
      <c r="CE2232">
        <f>Grandview_Inventory[[#This Row],[final_land]]+Grandview_Inventory[[#This Row],[final_imp]]+Grandview_Inventory[[#This Row],[crop_value]]</f>
        <v>373500</v>
      </c>
      <c r="CG2232" t="str">
        <f t="shared" si="34"/>
        <v>update valuation set market_land =43400, market_bldg=330100, market_total =373500, market_mdno =401, market_date ='9/10/2023' where link_id = (select link_id from parcel where parcel_year = '2024' and parcel_id = '23092424507');</v>
      </c>
    </row>
    <row r="2233" spans="1:85" x14ac:dyDescent="0.25">
      <c r="A2233">
        <v>23092424508</v>
      </c>
      <c r="B2233">
        <v>0.16</v>
      </c>
      <c r="C2233">
        <v>6752</v>
      </c>
      <c r="D2233" t="s">
        <v>129</v>
      </c>
      <c r="E2233" t="s">
        <v>53</v>
      </c>
      <c r="F2233" t="s">
        <v>53</v>
      </c>
      <c r="G2233">
        <v>4</v>
      </c>
      <c r="H2233" t="s">
        <v>54</v>
      </c>
      <c r="I2233">
        <v>223600</v>
      </c>
      <c r="J2233">
        <v>42800</v>
      </c>
      <c r="K2233">
        <v>0.16</v>
      </c>
      <c r="L223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3">
        <v>0</v>
      </c>
      <c r="N2233">
        <v>0</v>
      </c>
      <c r="O2233">
        <v>0</v>
      </c>
      <c r="P2233">
        <v>13398.7528</v>
      </c>
      <c r="Q2233">
        <v>63903</v>
      </c>
      <c r="R2233">
        <f>(Grandview_Inventory[[#This Row],[ln_acres]]*Grandview_Inventory[[#This Row],[coeff]])+Grandview_Inventory[[#This Row],[const]]</f>
        <v>39348.693981374228</v>
      </c>
      <c r="S2233" t="s">
        <v>61</v>
      </c>
      <c r="T2233">
        <v>1</v>
      </c>
      <c r="U2233" t="s">
        <v>62</v>
      </c>
      <c r="V2233" t="s">
        <v>67</v>
      </c>
      <c r="W2233">
        <v>0</v>
      </c>
      <c r="X2233">
        <v>0</v>
      </c>
      <c r="Y2233">
        <v>17</v>
      </c>
      <c r="Z2233">
        <v>17</v>
      </c>
      <c r="AA2233">
        <v>20</v>
      </c>
      <c r="AB2233">
        <v>1500</v>
      </c>
      <c r="AC2233">
        <v>1239</v>
      </c>
      <c r="AD2233">
        <v>1239</v>
      </c>
      <c r="AE2233">
        <v>0</v>
      </c>
      <c r="AF2233">
        <v>0</v>
      </c>
      <c r="AG2233">
        <v>0</v>
      </c>
      <c r="AH2233">
        <v>0</v>
      </c>
      <c r="AI2233">
        <v>504</v>
      </c>
      <c r="AJ2233">
        <v>0</v>
      </c>
      <c r="AK2233">
        <v>0</v>
      </c>
      <c r="AL2233">
        <v>0</v>
      </c>
      <c r="AM2233">
        <v>96</v>
      </c>
      <c r="AN2233">
        <v>66</v>
      </c>
      <c r="AO2233">
        <v>0</v>
      </c>
      <c r="AP2233">
        <v>10</v>
      </c>
      <c r="AQ2233">
        <v>0</v>
      </c>
      <c r="AR2233">
        <v>0</v>
      </c>
      <c r="AS2233" t="s">
        <v>58</v>
      </c>
      <c r="AT2233">
        <v>1</v>
      </c>
      <c r="AU2233" t="s">
        <v>63</v>
      </c>
      <c r="AV2233" t="s">
        <v>64</v>
      </c>
      <c r="AW2233">
        <v>1</v>
      </c>
      <c r="AX2233">
        <v>4</v>
      </c>
      <c r="AY2233">
        <v>0</v>
      </c>
      <c r="AZ2233">
        <v>0</v>
      </c>
      <c r="BA2233">
        <v>100</v>
      </c>
      <c r="BB2233">
        <v>100</v>
      </c>
      <c r="BC2233">
        <v>100</v>
      </c>
      <c r="BD2233">
        <v>100</v>
      </c>
      <c r="BE2233">
        <v>1</v>
      </c>
      <c r="BF2233">
        <v>15000</v>
      </c>
      <c r="BG2233">
        <v>1000</v>
      </c>
      <c r="BH2233" s="6">
        <f>Grandview_Inventory[[#This Row],[land_extract]]*Lookups!$B$3</f>
        <v>45695.532079096141</v>
      </c>
      <c r="BI2233" s="6">
        <f>IF(Grandview_Inventory[[#This Row],[bldg_style]]="",0,Lookups!$B$2)</f>
        <v>155833.95000000001</v>
      </c>
      <c r="BJ2233" s="6">
        <f>_xlfn.IFNA(VLOOKUP(Grandview_Inventory[[#This Row],[quality]],Lookups!$H$2:$J$14,3,FALSE),0)</f>
        <v>9808</v>
      </c>
      <c r="BK2233" s="6">
        <f>_xlfn.IFNA(VLOOKUP(Grandview_Inventory[[#This Row],[condition]],Lookups!$H$17:$J$24,3,FALSE),0)</f>
        <v>22342</v>
      </c>
      <c r="BL2233" s="6">
        <f>Grandview_Inventory[[#This Row],[Eff_Age]]*Lookups!$B$14</f>
        <v>-4065.8321999999998</v>
      </c>
      <c r="BM2233" s="6">
        <f>Grandview_Inventory[[#This Row],[living_area]]*Lookups!$B$15</f>
        <v>77289.876866999999</v>
      </c>
      <c r="BN2233" s="6">
        <f>Grandview_Inventory[[#This Row],[Fin BSMT]]*Lookups!$B$16</f>
        <v>0</v>
      </c>
      <c r="BO2233" s="6">
        <f>(Grandview_Inventory[[#This Row],[att_gar]]+Grandview_Inventory[[#This Row],[bltin_gar]])*Lookups!$B$17</f>
        <v>44110.300248</v>
      </c>
      <c r="BP2233" s="6">
        <f>Grandview_Inventory[[#This Row],[Plumbing Fixtures]]*Lookups!$B$18</f>
        <v>20104.418000000001</v>
      </c>
      <c r="BQ2233" s="6">
        <f>Grandview_Inventory[[#This Row],[detatched_value]]*Lookups!$B$19</f>
        <v>0</v>
      </c>
      <c r="BR2233" s="6">
        <f>SUM(Grandview_Inventory[[#This Row],[Intercept]:[det_value]])*Grandview_Inventory[[#This Row],[res_pct]]</f>
        <v>325422.71291500004</v>
      </c>
      <c r="BS2233" s="6">
        <f>Grandview_Inventory[[#This Row],[land_value]]</f>
        <v>45695.532079096141</v>
      </c>
      <c r="BT2233" s="4">
        <f>_xlfn.IFNA(VLOOKUP(Grandview_Inventory[[#This Row],[quality]],Lookups!$A$26:$C$33,3,FALSE),1)</f>
        <v>0.94295468617355149</v>
      </c>
      <c r="BU2233" s="4">
        <f>_xlfn.IFNA(VLOOKUP(Grandview_Inventory[[#This Row],[condition]],Lookups!$A$37:$C$44,3,FALSE),1)</f>
        <v>0.97383723671140243</v>
      </c>
      <c r="BV2233" s="4">
        <f>IF(Grandview_Inventory[[#This Row],[bldg_style]]="",1,_xlfn.IFNA(VLOOKUP(Grandview_Inventory[[#This Row],[decade]],Lookups!$F$29:$H$43,3,FALSE),1))</f>
        <v>0.96737494181490646</v>
      </c>
      <c r="BW2233" s="4">
        <f>_xlfn.IFNA(VLOOKUP(Grandview_Inventory[[#This Row],[living_area_range]],Lookups!$F$47:$H$56,3,FALSE),1)</f>
        <v>0.96135087979789358</v>
      </c>
      <c r="BX2233" s="4">
        <f>AVERAGE(Grandview_Inventory[[#This Row],[qual_adj]:[size_adj]])</f>
        <v>0.96137943612443855</v>
      </c>
      <c r="BY2233" s="6">
        <f>IF(Grandview_Inventory[[#This Row],[pre_res]]&lt;0,0,Grandview_Inventory[[#This Row],[pre_res]]*Grandview_Inventory[[#This Row],[overall_adj]])</f>
        <v>312854.70424430777</v>
      </c>
      <c r="BZ2233" s="6">
        <f>(Grandview_Inventory[[#This Row],[sum_land]]-IF(Grandview_Inventory[[#This Row],[no_utilities]]=1,12000,0))/IF(Grandview_Inventory[[#This Row],[unbuildable]]=1,2,1)</f>
        <v>45695.532079096141</v>
      </c>
      <c r="CA223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3">
        <f>ROUND(Grandview_Inventory[[#This Row],[det_value]]*Lookups!$M$28,-2)</f>
        <v>0</v>
      </c>
      <c r="CC2233">
        <f>IF(ROUND(Grandview_Inventory[[#This Row],[adj_res]]*Lookups!$M$28,-2)&lt;Grandview_Inventory[[#This Row],[min_res]],Grandview_Inventory[[#This Row],[min_res]],ROUND(Grandview_Inventory[[#This Row],[adj_res]]*Lookups!$M$28,-2))</f>
        <v>297200</v>
      </c>
      <c r="CD2233">
        <f>Grandview_Inventory[[#This Row],[final_det]]+Grandview_Inventory[[#This Row],[final_res]]</f>
        <v>297200</v>
      </c>
      <c r="CE2233">
        <f>Grandview_Inventory[[#This Row],[final_land]]+Grandview_Inventory[[#This Row],[final_imp]]+Grandview_Inventory[[#This Row],[crop_value]]</f>
        <v>340600</v>
      </c>
      <c r="CG2233" t="str">
        <f t="shared" si="34"/>
        <v>update valuation set market_land =43400, market_bldg=297200, market_total =340600, market_mdno =401, market_date ='9/10/2023' where link_id = (select link_id from parcel where parcel_year = '2024' and parcel_id = '23092424508');</v>
      </c>
    </row>
    <row r="2234" spans="1:85" x14ac:dyDescent="0.25">
      <c r="A2234">
        <v>23092424509</v>
      </c>
      <c r="B2234">
        <v>0.16</v>
      </c>
      <c r="C2234">
        <v>6752</v>
      </c>
      <c r="D2234" t="s">
        <v>129</v>
      </c>
      <c r="E2234" t="s">
        <v>53</v>
      </c>
      <c r="F2234" t="s">
        <v>53</v>
      </c>
      <c r="G2234">
        <v>4</v>
      </c>
      <c r="H2234" t="s">
        <v>54</v>
      </c>
      <c r="I2234">
        <v>225600</v>
      </c>
      <c r="J2234">
        <v>38600</v>
      </c>
      <c r="K2234">
        <v>0.16</v>
      </c>
      <c r="L223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4">
        <v>0</v>
      </c>
      <c r="N2234">
        <v>0</v>
      </c>
      <c r="O2234">
        <v>0</v>
      </c>
      <c r="P2234">
        <v>13398.7528</v>
      </c>
      <c r="Q2234">
        <v>63903</v>
      </c>
      <c r="R2234">
        <f>(Grandview_Inventory[[#This Row],[ln_acres]]*Grandview_Inventory[[#This Row],[coeff]])+Grandview_Inventory[[#This Row],[const]]</f>
        <v>39348.693981374228</v>
      </c>
      <c r="S2234" t="s">
        <v>61</v>
      </c>
      <c r="T2234">
        <v>1</v>
      </c>
      <c r="U2234" t="s">
        <v>65</v>
      </c>
      <c r="V2234" t="s">
        <v>67</v>
      </c>
      <c r="W2234">
        <v>0</v>
      </c>
      <c r="X2234">
        <v>0</v>
      </c>
      <c r="Y2234">
        <v>17</v>
      </c>
      <c r="Z2234">
        <v>17</v>
      </c>
      <c r="AA2234">
        <v>20</v>
      </c>
      <c r="AB2234">
        <v>1500</v>
      </c>
      <c r="AC2234">
        <v>1288</v>
      </c>
      <c r="AD2234">
        <v>1288</v>
      </c>
      <c r="AE2234">
        <v>0</v>
      </c>
      <c r="AF2234">
        <v>0</v>
      </c>
      <c r="AG2234">
        <v>0</v>
      </c>
      <c r="AH2234">
        <v>0</v>
      </c>
      <c r="AI2234">
        <v>520</v>
      </c>
      <c r="AJ2234">
        <v>0</v>
      </c>
      <c r="AK2234">
        <v>0</v>
      </c>
      <c r="AL2234">
        <v>0</v>
      </c>
      <c r="AM2234">
        <v>200</v>
      </c>
      <c r="AN2234">
        <v>148</v>
      </c>
      <c r="AO2234">
        <v>0</v>
      </c>
      <c r="AP2234">
        <v>9</v>
      </c>
      <c r="AQ2234">
        <v>0</v>
      </c>
      <c r="AR2234">
        <v>0</v>
      </c>
      <c r="AS2234" t="s">
        <v>58</v>
      </c>
      <c r="AT2234">
        <v>1</v>
      </c>
      <c r="AU2234" t="s">
        <v>63</v>
      </c>
      <c r="AV2234" t="s">
        <v>64</v>
      </c>
      <c r="AW2234">
        <v>1</v>
      </c>
      <c r="AX2234">
        <v>3</v>
      </c>
      <c r="AY2234">
        <v>0</v>
      </c>
      <c r="AZ2234">
        <v>0</v>
      </c>
      <c r="BA2234">
        <v>100</v>
      </c>
      <c r="BB2234">
        <v>100</v>
      </c>
      <c r="BC2234">
        <v>100</v>
      </c>
      <c r="BD2234">
        <v>100</v>
      </c>
      <c r="BE2234">
        <v>1</v>
      </c>
      <c r="BF2234">
        <v>15000</v>
      </c>
      <c r="BG2234">
        <v>1000</v>
      </c>
      <c r="BH2234" s="6">
        <f>Grandview_Inventory[[#This Row],[land_extract]]*Lookups!$B$3</f>
        <v>45695.532079096141</v>
      </c>
      <c r="BI2234" s="6">
        <f>IF(Grandview_Inventory[[#This Row],[bldg_style]]="",0,Lookups!$B$2)</f>
        <v>155833.95000000001</v>
      </c>
      <c r="BJ2234" s="6">
        <f>_xlfn.IFNA(VLOOKUP(Grandview_Inventory[[#This Row],[quality]],Lookups!$H$2:$J$14,3,FALSE),0)</f>
        <v>2251</v>
      </c>
      <c r="BK2234" s="6">
        <f>_xlfn.IFNA(VLOOKUP(Grandview_Inventory[[#This Row],[condition]],Lookups!$H$17:$J$24,3,FALSE),0)</f>
        <v>22342</v>
      </c>
      <c r="BL2234" s="6">
        <f>Grandview_Inventory[[#This Row],[Eff_Age]]*Lookups!$B$14</f>
        <v>-4065.8321999999998</v>
      </c>
      <c r="BM2234" s="6">
        <f>Grandview_Inventory[[#This Row],[living_area]]*Lookups!$B$15</f>
        <v>80346.538664000007</v>
      </c>
      <c r="BN2234" s="6">
        <f>Grandview_Inventory[[#This Row],[Fin BSMT]]*Lookups!$B$16</f>
        <v>0</v>
      </c>
      <c r="BO2234" s="6">
        <f>(Grandview_Inventory[[#This Row],[att_gar]]+Grandview_Inventory[[#This Row],[bltin_gar]])*Lookups!$B$17</f>
        <v>45510.627240000002</v>
      </c>
      <c r="BP2234" s="6">
        <f>Grandview_Inventory[[#This Row],[Plumbing Fixtures]]*Lookups!$B$18</f>
        <v>18093.976200000001</v>
      </c>
      <c r="BQ2234" s="6">
        <f>Grandview_Inventory[[#This Row],[detatched_value]]*Lookups!$B$19</f>
        <v>0</v>
      </c>
      <c r="BR2234" s="6">
        <f>SUM(Grandview_Inventory[[#This Row],[Intercept]:[det_value]])*Grandview_Inventory[[#This Row],[res_pct]]</f>
        <v>320312.25990399998</v>
      </c>
      <c r="BS2234" s="6">
        <f>Grandview_Inventory[[#This Row],[land_value]]</f>
        <v>45695.532079096141</v>
      </c>
      <c r="BT2234" s="4">
        <f>_xlfn.IFNA(VLOOKUP(Grandview_Inventory[[#This Row],[quality]],Lookups!$A$26:$C$33,3,FALSE),1)</f>
        <v>0.98763855981004833</v>
      </c>
      <c r="BU2234" s="4">
        <f>_xlfn.IFNA(VLOOKUP(Grandview_Inventory[[#This Row],[condition]],Lookups!$A$37:$C$44,3,FALSE),1)</f>
        <v>0.97383723671140243</v>
      </c>
      <c r="BV2234" s="4">
        <f>IF(Grandview_Inventory[[#This Row],[bldg_style]]="",1,_xlfn.IFNA(VLOOKUP(Grandview_Inventory[[#This Row],[decade]],Lookups!$F$29:$H$43,3,FALSE),1))</f>
        <v>0.96737494181490646</v>
      </c>
      <c r="BW2234" s="4">
        <f>_xlfn.IFNA(VLOOKUP(Grandview_Inventory[[#This Row],[living_area_range]],Lookups!$F$47:$H$56,3,FALSE),1)</f>
        <v>0.96135087979789358</v>
      </c>
      <c r="BX2234" s="4">
        <f>AVERAGE(Grandview_Inventory[[#This Row],[qual_adj]:[size_adj]])</f>
        <v>0.97255040453356267</v>
      </c>
      <c r="BY2234" s="6">
        <f>IF(Grandview_Inventory[[#This Row],[pre_res]]&lt;0,0,Grandview_Inventory[[#This Row],[pre_res]]*Grandview_Inventory[[#This Row],[overall_adj]])</f>
        <v>311519.81794669485</v>
      </c>
      <c r="BZ2234" s="6">
        <f>(Grandview_Inventory[[#This Row],[sum_land]]-IF(Grandview_Inventory[[#This Row],[no_utilities]]=1,12000,0))/IF(Grandview_Inventory[[#This Row],[unbuildable]]=1,2,1)</f>
        <v>45695.532079096141</v>
      </c>
      <c r="CA223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4">
        <f>ROUND(Grandview_Inventory[[#This Row],[det_value]]*Lookups!$M$28,-2)</f>
        <v>0</v>
      </c>
      <c r="CC2234">
        <f>IF(ROUND(Grandview_Inventory[[#This Row],[adj_res]]*Lookups!$M$28,-2)&lt;Grandview_Inventory[[#This Row],[min_res]],Grandview_Inventory[[#This Row],[min_res]],ROUND(Grandview_Inventory[[#This Row],[adj_res]]*Lookups!$M$28,-2))</f>
        <v>295900</v>
      </c>
      <c r="CD2234">
        <f>Grandview_Inventory[[#This Row],[final_det]]+Grandview_Inventory[[#This Row],[final_res]]</f>
        <v>295900</v>
      </c>
      <c r="CE2234">
        <f>Grandview_Inventory[[#This Row],[final_land]]+Grandview_Inventory[[#This Row],[final_imp]]+Grandview_Inventory[[#This Row],[crop_value]]</f>
        <v>339300</v>
      </c>
      <c r="CG2234" t="str">
        <f t="shared" si="34"/>
        <v>update valuation set market_land =43400, market_bldg=295900, market_total =339300, market_mdno =401, market_date ='9/10/2023' where link_id = (select link_id from parcel where parcel_year = '2024' and parcel_id = '23092424509');</v>
      </c>
    </row>
    <row r="2235" spans="1:85" x14ac:dyDescent="0.25">
      <c r="A2235">
        <v>23092424510</v>
      </c>
      <c r="B2235">
        <v>0.16</v>
      </c>
      <c r="C2235">
        <v>6752</v>
      </c>
      <c r="D2235" t="s">
        <v>129</v>
      </c>
      <c r="E2235" t="s">
        <v>53</v>
      </c>
      <c r="F2235" t="s">
        <v>53</v>
      </c>
      <c r="G2235">
        <v>4</v>
      </c>
      <c r="H2235" t="s">
        <v>54</v>
      </c>
      <c r="I2235">
        <v>231500</v>
      </c>
      <c r="J2235">
        <v>42800</v>
      </c>
      <c r="K2235">
        <v>0.16</v>
      </c>
      <c r="L223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5">
        <v>0</v>
      </c>
      <c r="N2235">
        <v>0</v>
      </c>
      <c r="O2235">
        <v>0</v>
      </c>
      <c r="P2235">
        <v>13398.7528</v>
      </c>
      <c r="Q2235">
        <v>63903</v>
      </c>
      <c r="R2235">
        <f>(Grandview_Inventory[[#This Row],[ln_acres]]*Grandview_Inventory[[#This Row],[coeff]])+Grandview_Inventory[[#This Row],[const]]</f>
        <v>39348.693981374228</v>
      </c>
      <c r="S2235" t="s">
        <v>61</v>
      </c>
      <c r="T2235">
        <v>1</v>
      </c>
      <c r="U2235" t="s">
        <v>65</v>
      </c>
      <c r="V2235" t="s">
        <v>67</v>
      </c>
      <c r="W2235">
        <v>0</v>
      </c>
      <c r="X2235">
        <v>0</v>
      </c>
      <c r="Y2235">
        <v>17</v>
      </c>
      <c r="Z2235">
        <v>17</v>
      </c>
      <c r="AA2235">
        <v>20</v>
      </c>
      <c r="AB2235">
        <v>2000</v>
      </c>
      <c r="AC2235">
        <v>1683</v>
      </c>
      <c r="AD2235">
        <v>1267</v>
      </c>
      <c r="AE2235">
        <v>0</v>
      </c>
      <c r="AF2235">
        <v>416</v>
      </c>
      <c r="AG2235">
        <v>0</v>
      </c>
      <c r="AH2235">
        <v>0</v>
      </c>
      <c r="AI2235">
        <v>624</v>
      </c>
      <c r="AJ2235">
        <v>0</v>
      </c>
      <c r="AK2235">
        <v>0</v>
      </c>
      <c r="AL2235">
        <v>0</v>
      </c>
      <c r="AM2235">
        <v>200</v>
      </c>
      <c r="AN2235">
        <v>44</v>
      </c>
      <c r="AO2235">
        <v>200</v>
      </c>
      <c r="AP2235">
        <v>8</v>
      </c>
      <c r="AQ2235">
        <v>0</v>
      </c>
      <c r="AR2235">
        <v>0</v>
      </c>
      <c r="AS2235" t="s">
        <v>58</v>
      </c>
      <c r="AT2235">
        <v>1</v>
      </c>
      <c r="AU2235" t="s">
        <v>63</v>
      </c>
      <c r="AV2235" t="s">
        <v>64</v>
      </c>
      <c r="AW2235">
        <v>1</v>
      </c>
      <c r="AX2235">
        <v>4</v>
      </c>
      <c r="AY2235">
        <v>0</v>
      </c>
      <c r="AZ2235">
        <v>0</v>
      </c>
      <c r="BA2235">
        <v>100</v>
      </c>
      <c r="BB2235">
        <v>100</v>
      </c>
      <c r="BC2235">
        <v>100</v>
      </c>
      <c r="BD2235">
        <v>100</v>
      </c>
      <c r="BE2235">
        <v>1</v>
      </c>
      <c r="BF2235">
        <v>15000</v>
      </c>
      <c r="BG2235">
        <v>1000</v>
      </c>
      <c r="BH2235" s="6">
        <f>Grandview_Inventory[[#This Row],[land_extract]]*Lookups!$B$3</f>
        <v>45695.532079096141</v>
      </c>
      <c r="BI2235" s="6">
        <f>IF(Grandview_Inventory[[#This Row],[bldg_style]]="",0,Lookups!$B$2)</f>
        <v>155833.95000000001</v>
      </c>
      <c r="BJ2235" s="6">
        <f>_xlfn.IFNA(VLOOKUP(Grandview_Inventory[[#This Row],[quality]],Lookups!$H$2:$J$14,3,FALSE),0)</f>
        <v>2251</v>
      </c>
      <c r="BK2235" s="6">
        <f>_xlfn.IFNA(VLOOKUP(Grandview_Inventory[[#This Row],[condition]],Lookups!$H$17:$J$24,3,FALSE),0)</f>
        <v>22342</v>
      </c>
      <c r="BL2235" s="6">
        <f>Grandview_Inventory[[#This Row],[Eff_Age]]*Lookups!$B$14</f>
        <v>-4065.8321999999998</v>
      </c>
      <c r="BM2235" s="6">
        <f>Grandview_Inventory[[#This Row],[living_area]]*Lookups!$B$15</f>
        <v>104986.975599</v>
      </c>
      <c r="BN2235" s="6">
        <f>Grandview_Inventory[[#This Row],[Fin BSMT]]*Lookups!$B$16</f>
        <v>0</v>
      </c>
      <c r="BO2235" s="6">
        <f>(Grandview_Inventory[[#This Row],[att_gar]]+Grandview_Inventory[[#This Row],[bltin_gar]])*Lookups!$B$17</f>
        <v>54612.752688</v>
      </c>
      <c r="BP2235" s="6">
        <f>Grandview_Inventory[[#This Row],[Plumbing Fixtures]]*Lookups!$B$18</f>
        <v>16083.5344</v>
      </c>
      <c r="BQ2235" s="6">
        <f>Grandview_Inventory[[#This Row],[detatched_value]]*Lookups!$B$19</f>
        <v>0</v>
      </c>
      <c r="BR2235" s="6">
        <f>SUM(Grandview_Inventory[[#This Row],[Intercept]:[det_value]])*Grandview_Inventory[[#This Row],[res_pct]]</f>
        <v>352044.38048699999</v>
      </c>
      <c r="BS2235" s="6">
        <f>Grandview_Inventory[[#This Row],[land_value]]</f>
        <v>45695.532079096141</v>
      </c>
      <c r="BT2235" s="4">
        <f>_xlfn.IFNA(VLOOKUP(Grandview_Inventory[[#This Row],[quality]],Lookups!$A$26:$C$33,3,FALSE),1)</f>
        <v>0.98763855981004833</v>
      </c>
      <c r="BU2235" s="4">
        <f>_xlfn.IFNA(VLOOKUP(Grandview_Inventory[[#This Row],[condition]],Lookups!$A$37:$C$44,3,FALSE),1)</f>
        <v>0.97383723671140243</v>
      </c>
      <c r="BV2235" s="4">
        <f>IF(Grandview_Inventory[[#This Row],[bldg_style]]="",1,_xlfn.IFNA(VLOOKUP(Grandview_Inventory[[#This Row],[decade]],Lookups!$F$29:$H$43,3,FALSE),1))</f>
        <v>0.96737494181490646</v>
      </c>
      <c r="BW2235" s="4">
        <f>_xlfn.IFNA(VLOOKUP(Grandview_Inventory[[#This Row],[living_area_range]],Lookups!$F$47:$H$56,3,FALSE),1)</f>
        <v>0.96120133463014379</v>
      </c>
      <c r="BX2235" s="4">
        <f>AVERAGE(Grandview_Inventory[[#This Row],[qual_adj]:[size_adj]])</f>
        <v>0.97251301824162528</v>
      </c>
      <c r="BY2235" s="6">
        <f>IF(Grandview_Inventory[[#This Row],[pre_res]]&lt;0,0,Grandview_Inventory[[#This Row],[pre_res]]*Grandview_Inventory[[#This Row],[overall_adj]])</f>
        <v>342367.7430224155</v>
      </c>
      <c r="BZ2235" s="6">
        <f>(Grandview_Inventory[[#This Row],[sum_land]]-IF(Grandview_Inventory[[#This Row],[no_utilities]]=1,12000,0))/IF(Grandview_Inventory[[#This Row],[unbuildable]]=1,2,1)</f>
        <v>45695.532079096141</v>
      </c>
      <c r="CA223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5">
        <f>ROUND(Grandview_Inventory[[#This Row],[det_value]]*Lookups!$M$28,-2)</f>
        <v>0</v>
      </c>
      <c r="CC2235">
        <f>IF(ROUND(Grandview_Inventory[[#This Row],[adj_res]]*Lookups!$M$28,-2)&lt;Grandview_Inventory[[#This Row],[min_res]],Grandview_Inventory[[#This Row],[min_res]],ROUND(Grandview_Inventory[[#This Row],[adj_res]]*Lookups!$M$28,-2))</f>
        <v>325200</v>
      </c>
      <c r="CD2235">
        <f>Grandview_Inventory[[#This Row],[final_det]]+Grandview_Inventory[[#This Row],[final_res]]</f>
        <v>325200</v>
      </c>
      <c r="CE2235">
        <f>Grandview_Inventory[[#This Row],[final_land]]+Grandview_Inventory[[#This Row],[final_imp]]+Grandview_Inventory[[#This Row],[crop_value]]</f>
        <v>368600</v>
      </c>
      <c r="CG2235" t="str">
        <f t="shared" si="34"/>
        <v>update valuation set market_land =43400, market_bldg=325200, market_total =368600, market_mdno =401, market_date ='9/10/2023' where link_id = (select link_id from parcel where parcel_year = '2024' and parcel_id = '23092424510');</v>
      </c>
    </row>
    <row r="2236" spans="1:85" x14ac:dyDescent="0.25">
      <c r="A2236">
        <v>23092424511</v>
      </c>
      <c r="B2236">
        <v>0.16</v>
      </c>
      <c r="C2236">
        <v>6752</v>
      </c>
      <c r="D2236" t="s">
        <v>129</v>
      </c>
      <c r="E2236" t="s">
        <v>53</v>
      </c>
      <c r="F2236" t="s">
        <v>53</v>
      </c>
      <c r="G2236">
        <v>4</v>
      </c>
      <c r="H2236" t="s">
        <v>54</v>
      </c>
      <c r="I2236">
        <v>225500</v>
      </c>
      <c r="J2236">
        <v>42800</v>
      </c>
      <c r="K2236">
        <v>0.16</v>
      </c>
      <c r="L223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6">
        <v>0</v>
      </c>
      <c r="N2236">
        <v>0</v>
      </c>
      <c r="O2236">
        <v>0</v>
      </c>
      <c r="P2236">
        <v>13398.7528</v>
      </c>
      <c r="Q2236">
        <v>63903</v>
      </c>
      <c r="R2236">
        <f>(Grandview_Inventory[[#This Row],[ln_acres]]*Grandview_Inventory[[#This Row],[coeff]])+Grandview_Inventory[[#This Row],[const]]</f>
        <v>39348.693981374228</v>
      </c>
      <c r="S2236" t="s">
        <v>61</v>
      </c>
      <c r="T2236">
        <v>1</v>
      </c>
      <c r="U2236" t="s">
        <v>65</v>
      </c>
      <c r="V2236" t="s">
        <v>66</v>
      </c>
      <c r="W2236">
        <v>0</v>
      </c>
      <c r="X2236">
        <v>0</v>
      </c>
      <c r="Y2236">
        <v>17</v>
      </c>
      <c r="Z2236">
        <v>17</v>
      </c>
      <c r="AA2236">
        <v>20</v>
      </c>
      <c r="AB2236">
        <v>1500</v>
      </c>
      <c r="AC2236">
        <v>1253</v>
      </c>
      <c r="AD2236">
        <v>1253</v>
      </c>
      <c r="AE2236">
        <v>0</v>
      </c>
      <c r="AF2236">
        <v>0</v>
      </c>
      <c r="AG2236">
        <v>0</v>
      </c>
      <c r="AH2236">
        <v>0</v>
      </c>
      <c r="AI2236">
        <v>490</v>
      </c>
      <c r="AJ2236">
        <v>0</v>
      </c>
      <c r="AK2236">
        <v>0</v>
      </c>
      <c r="AL2236">
        <v>0</v>
      </c>
      <c r="AM2236">
        <v>100</v>
      </c>
      <c r="AN2236">
        <v>44</v>
      </c>
      <c r="AO2236">
        <v>0</v>
      </c>
      <c r="AP2236">
        <v>9</v>
      </c>
      <c r="AQ2236">
        <v>0</v>
      </c>
      <c r="AR2236">
        <v>0</v>
      </c>
      <c r="AS2236" t="s">
        <v>58</v>
      </c>
      <c r="AT2236">
        <v>1</v>
      </c>
      <c r="AU2236" t="s">
        <v>63</v>
      </c>
      <c r="AV2236" t="s">
        <v>64</v>
      </c>
      <c r="AW2236">
        <v>1</v>
      </c>
      <c r="AX2236">
        <v>4</v>
      </c>
      <c r="AY2236">
        <v>0</v>
      </c>
      <c r="AZ2236">
        <v>0</v>
      </c>
      <c r="BA2236">
        <v>100</v>
      </c>
      <c r="BB2236">
        <v>100</v>
      </c>
      <c r="BC2236">
        <v>100</v>
      </c>
      <c r="BD2236">
        <v>100</v>
      </c>
      <c r="BE2236">
        <v>1</v>
      </c>
      <c r="BF2236">
        <v>15000</v>
      </c>
      <c r="BG2236">
        <v>1000</v>
      </c>
      <c r="BH2236" s="6">
        <f>Grandview_Inventory[[#This Row],[land_extract]]*Lookups!$B$3</f>
        <v>45695.532079096141</v>
      </c>
      <c r="BI2236" s="6">
        <f>IF(Grandview_Inventory[[#This Row],[bldg_style]]="",0,Lookups!$B$2)</f>
        <v>155833.95000000001</v>
      </c>
      <c r="BJ2236" s="6">
        <f>_xlfn.IFNA(VLOOKUP(Grandview_Inventory[[#This Row],[quality]],Lookups!$H$2:$J$14,3,FALSE),0)</f>
        <v>2251</v>
      </c>
      <c r="BK2236" s="6">
        <f>_xlfn.IFNA(VLOOKUP(Grandview_Inventory[[#This Row],[condition]],Lookups!$H$17:$J$24,3,FALSE),0)</f>
        <v>25818</v>
      </c>
      <c r="BL2236" s="6">
        <f>Grandview_Inventory[[#This Row],[Eff_Age]]*Lookups!$B$14</f>
        <v>-4065.8321999999998</v>
      </c>
      <c r="BM2236" s="6">
        <f>Grandview_Inventory[[#This Row],[living_area]]*Lookups!$B$15</f>
        <v>78163.208809000003</v>
      </c>
      <c r="BN2236" s="6">
        <f>Grandview_Inventory[[#This Row],[Fin BSMT]]*Lookups!$B$16</f>
        <v>0</v>
      </c>
      <c r="BO2236" s="6">
        <f>(Grandview_Inventory[[#This Row],[att_gar]]+Grandview_Inventory[[#This Row],[bltin_gar]])*Lookups!$B$17</f>
        <v>42885.014130000003</v>
      </c>
      <c r="BP2236" s="6">
        <f>Grandview_Inventory[[#This Row],[Plumbing Fixtures]]*Lookups!$B$18</f>
        <v>18093.976200000001</v>
      </c>
      <c r="BQ2236" s="6">
        <f>Grandview_Inventory[[#This Row],[detatched_value]]*Lookups!$B$19</f>
        <v>0</v>
      </c>
      <c r="BR2236" s="6">
        <f>SUM(Grandview_Inventory[[#This Row],[Intercept]:[det_value]])*Grandview_Inventory[[#This Row],[res_pct]]</f>
        <v>318979.31693899998</v>
      </c>
      <c r="BS2236" s="6">
        <f>Grandview_Inventory[[#This Row],[land_value]]</f>
        <v>45695.532079096141</v>
      </c>
      <c r="BT2236" s="4">
        <f>_xlfn.IFNA(VLOOKUP(Grandview_Inventory[[#This Row],[quality]],Lookups!$A$26:$C$33,3,FALSE),1)</f>
        <v>0.98763855981004833</v>
      </c>
      <c r="BU2236" s="4">
        <f>_xlfn.IFNA(VLOOKUP(Grandview_Inventory[[#This Row],[condition]],Lookups!$A$37:$C$44,3,FALSE),1)</f>
        <v>0.96661476234146892</v>
      </c>
      <c r="BV2236" s="4">
        <f>IF(Grandview_Inventory[[#This Row],[bldg_style]]="",1,_xlfn.IFNA(VLOOKUP(Grandview_Inventory[[#This Row],[decade]],Lookups!$F$29:$H$43,3,FALSE),1))</f>
        <v>0.96737494181490646</v>
      </c>
      <c r="BW2236" s="4">
        <f>_xlfn.IFNA(VLOOKUP(Grandview_Inventory[[#This Row],[living_area_range]],Lookups!$F$47:$H$56,3,FALSE),1)</f>
        <v>0.96135087979789358</v>
      </c>
      <c r="BX2236" s="4">
        <f>AVERAGE(Grandview_Inventory[[#This Row],[qual_adj]:[size_adj]])</f>
        <v>0.97074478594107938</v>
      </c>
      <c r="BY2236" s="6">
        <f>IF(Grandview_Inventory[[#This Row],[pre_res]]&lt;0,0,Grandview_Inventory[[#This Row],[pre_res]]*Grandview_Inventory[[#This Row],[overall_adj]])</f>
        <v>309647.50874158123</v>
      </c>
      <c r="BZ2236" s="6">
        <f>(Grandview_Inventory[[#This Row],[sum_land]]-IF(Grandview_Inventory[[#This Row],[no_utilities]]=1,12000,0))/IF(Grandview_Inventory[[#This Row],[unbuildable]]=1,2,1)</f>
        <v>45695.532079096141</v>
      </c>
      <c r="CA223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6">
        <f>ROUND(Grandview_Inventory[[#This Row],[det_value]]*Lookups!$M$28,-2)</f>
        <v>0</v>
      </c>
      <c r="CC2236">
        <f>IF(ROUND(Grandview_Inventory[[#This Row],[adj_res]]*Lookups!$M$28,-2)&lt;Grandview_Inventory[[#This Row],[min_res]],Grandview_Inventory[[#This Row],[min_res]],ROUND(Grandview_Inventory[[#This Row],[adj_res]]*Lookups!$M$28,-2))</f>
        <v>294200</v>
      </c>
      <c r="CD2236">
        <f>Grandview_Inventory[[#This Row],[final_det]]+Grandview_Inventory[[#This Row],[final_res]]</f>
        <v>294200</v>
      </c>
      <c r="CE2236">
        <f>Grandview_Inventory[[#This Row],[final_land]]+Grandview_Inventory[[#This Row],[final_imp]]+Grandview_Inventory[[#This Row],[crop_value]]</f>
        <v>337600</v>
      </c>
      <c r="CG2236" t="str">
        <f t="shared" si="34"/>
        <v>update valuation set market_land =43400, market_bldg=294200, market_total =337600, market_mdno =401, market_date ='9/10/2023' where link_id = (select link_id from parcel where parcel_year = '2024' and parcel_id = '23092424511');</v>
      </c>
    </row>
    <row r="2237" spans="1:85" x14ac:dyDescent="0.25">
      <c r="A2237">
        <v>23092424512</v>
      </c>
      <c r="B2237">
        <v>0.16</v>
      </c>
      <c r="C2237">
        <v>6752</v>
      </c>
      <c r="D2237" t="s">
        <v>129</v>
      </c>
      <c r="E2237" t="s">
        <v>53</v>
      </c>
      <c r="F2237" t="s">
        <v>53</v>
      </c>
      <c r="G2237">
        <v>4</v>
      </c>
      <c r="H2237" t="s">
        <v>54</v>
      </c>
      <c r="I2237">
        <v>212500</v>
      </c>
      <c r="J2237">
        <v>38600</v>
      </c>
      <c r="K2237">
        <v>0.16</v>
      </c>
      <c r="L223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7">
        <v>0</v>
      </c>
      <c r="N2237">
        <v>0</v>
      </c>
      <c r="O2237">
        <v>0</v>
      </c>
      <c r="P2237">
        <v>13398.7528</v>
      </c>
      <c r="Q2237">
        <v>63903</v>
      </c>
      <c r="R2237">
        <f>(Grandview_Inventory[[#This Row],[ln_acres]]*Grandview_Inventory[[#This Row],[coeff]])+Grandview_Inventory[[#This Row],[const]]</f>
        <v>39348.693981374228</v>
      </c>
      <c r="S2237" t="s">
        <v>61</v>
      </c>
      <c r="T2237">
        <v>1</v>
      </c>
      <c r="U2237" t="s">
        <v>65</v>
      </c>
      <c r="V2237" t="s">
        <v>67</v>
      </c>
      <c r="W2237">
        <v>0</v>
      </c>
      <c r="X2237">
        <v>0</v>
      </c>
      <c r="Y2237">
        <v>17</v>
      </c>
      <c r="Z2237">
        <v>17</v>
      </c>
      <c r="AA2237">
        <v>20</v>
      </c>
      <c r="AB2237">
        <v>1500</v>
      </c>
      <c r="AC2237">
        <v>1075</v>
      </c>
      <c r="AD2237">
        <v>1075</v>
      </c>
      <c r="AE2237">
        <v>0</v>
      </c>
      <c r="AF2237">
        <v>0</v>
      </c>
      <c r="AG2237">
        <v>0</v>
      </c>
      <c r="AH2237">
        <v>0</v>
      </c>
      <c r="AI2237">
        <v>520</v>
      </c>
      <c r="AJ2237">
        <v>0</v>
      </c>
      <c r="AK2237">
        <v>0</v>
      </c>
      <c r="AL2237">
        <v>0</v>
      </c>
      <c r="AM2237">
        <v>300</v>
      </c>
      <c r="AN2237">
        <v>44</v>
      </c>
      <c r="AO2237">
        <v>0</v>
      </c>
      <c r="AP2237">
        <v>8</v>
      </c>
      <c r="AQ2237">
        <v>0</v>
      </c>
      <c r="AR2237">
        <v>0</v>
      </c>
      <c r="AS2237" t="s">
        <v>58</v>
      </c>
      <c r="AT2237">
        <v>1</v>
      </c>
      <c r="AU2237" t="s">
        <v>63</v>
      </c>
      <c r="AV2237" t="s">
        <v>64</v>
      </c>
      <c r="AW2237">
        <v>1</v>
      </c>
      <c r="AX2237">
        <v>3</v>
      </c>
      <c r="AY2237">
        <v>0</v>
      </c>
      <c r="AZ2237">
        <v>0</v>
      </c>
      <c r="BA2237">
        <v>100</v>
      </c>
      <c r="BB2237">
        <v>100</v>
      </c>
      <c r="BC2237">
        <v>100</v>
      </c>
      <c r="BD2237">
        <v>100</v>
      </c>
      <c r="BE2237">
        <v>1</v>
      </c>
      <c r="BF2237">
        <v>15000</v>
      </c>
      <c r="BG2237">
        <v>1000</v>
      </c>
      <c r="BH2237" s="6">
        <f>Grandview_Inventory[[#This Row],[land_extract]]*Lookups!$B$3</f>
        <v>45695.532079096141</v>
      </c>
      <c r="BI2237" s="6">
        <f>IF(Grandview_Inventory[[#This Row],[bldg_style]]="",0,Lookups!$B$2)</f>
        <v>155833.95000000001</v>
      </c>
      <c r="BJ2237" s="6">
        <f>_xlfn.IFNA(VLOOKUP(Grandview_Inventory[[#This Row],[quality]],Lookups!$H$2:$J$14,3,FALSE),0)</f>
        <v>2251</v>
      </c>
      <c r="BK2237" s="6">
        <f>_xlfn.IFNA(VLOOKUP(Grandview_Inventory[[#This Row],[condition]],Lookups!$H$17:$J$24,3,FALSE),0)</f>
        <v>22342</v>
      </c>
      <c r="BL2237" s="6">
        <f>Grandview_Inventory[[#This Row],[Eff_Age]]*Lookups!$B$14</f>
        <v>-4065.8321999999998</v>
      </c>
      <c r="BM2237" s="6">
        <f>Grandview_Inventory[[#This Row],[living_area]]*Lookups!$B$15</f>
        <v>67059.416975</v>
      </c>
      <c r="BN2237" s="6">
        <f>Grandview_Inventory[[#This Row],[Fin BSMT]]*Lookups!$B$16</f>
        <v>0</v>
      </c>
      <c r="BO2237" s="6">
        <f>(Grandview_Inventory[[#This Row],[att_gar]]+Grandview_Inventory[[#This Row],[bltin_gar]])*Lookups!$B$17</f>
        <v>45510.627240000002</v>
      </c>
      <c r="BP2237" s="6">
        <f>Grandview_Inventory[[#This Row],[Plumbing Fixtures]]*Lookups!$B$18</f>
        <v>16083.5344</v>
      </c>
      <c r="BQ2237" s="6">
        <f>Grandview_Inventory[[#This Row],[detatched_value]]*Lookups!$B$19</f>
        <v>0</v>
      </c>
      <c r="BR2237" s="6">
        <f>SUM(Grandview_Inventory[[#This Row],[Intercept]:[det_value]])*Grandview_Inventory[[#This Row],[res_pct]]</f>
        <v>305014.69641500001</v>
      </c>
      <c r="BS2237" s="6">
        <f>Grandview_Inventory[[#This Row],[land_value]]</f>
        <v>45695.532079096141</v>
      </c>
      <c r="BT2237" s="4">
        <f>_xlfn.IFNA(VLOOKUP(Grandview_Inventory[[#This Row],[quality]],Lookups!$A$26:$C$33,3,FALSE),1)</f>
        <v>0.98763855981004833</v>
      </c>
      <c r="BU2237" s="4">
        <f>_xlfn.IFNA(VLOOKUP(Grandview_Inventory[[#This Row],[condition]],Lookups!$A$37:$C$44,3,FALSE),1)</f>
        <v>0.97383723671140243</v>
      </c>
      <c r="BV2237" s="4">
        <f>IF(Grandview_Inventory[[#This Row],[bldg_style]]="",1,_xlfn.IFNA(VLOOKUP(Grandview_Inventory[[#This Row],[decade]],Lookups!$F$29:$H$43,3,FALSE),1))</f>
        <v>0.96737494181490646</v>
      </c>
      <c r="BW2237" s="4">
        <f>_xlfn.IFNA(VLOOKUP(Grandview_Inventory[[#This Row],[living_area_range]],Lookups!$F$47:$H$56,3,FALSE),1)</f>
        <v>0.96135087979789358</v>
      </c>
      <c r="BX2237" s="4">
        <f>AVERAGE(Grandview_Inventory[[#This Row],[qual_adj]:[size_adj]])</f>
        <v>0.97255040453356267</v>
      </c>
      <c r="BY2237" s="6">
        <f>IF(Grandview_Inventory[[#This Row],[pre_res]]&lt;0,0,Grandview_Inventory[[#This Row],[pre_res]]*Grandview_Inventory[[#This Row],[overall_adj]])</f>
        <v>296642.16638709005</v>
      </c>
      <c r="BZ2237" s="6">
        <f>(Grandview_Inventory[[#This Row],[sum_land]]-IF(Grandview_Inventory[[#This Row],[no_utilities]]=1,12000,0))/IF(Grandview_Inventory[[#This Row],[unbuildable]]=1,2,1)</f>
        <v>45695.532079096141</v>
      </c>
      <c r="CA223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7">
        <f>ROUND(Grandview_Inventory[[#This Row],[det_value]]*Lookups!$M$28,-2)</f>
        <v>0</v>
      </c>
      <c r="CC2237">
        <f>IF(ROUND(Grandview_Inventory[[#This Row],[adj_res]]*Lookups!$M$28,-2)&lt;Grandview_Inventory[[#This Row],[min_res]],Grandview_Inventory[[#This Row],[min_res]],ROUND(Grandview_Inventory[[#This Row],[adj_res]]*Lookups!$M$28,-2))</f>
        <v>281800</v>
      </c>
      <c r="CD2237">
        <f>Grandview_Inventory[[#This Row],[final_det]]+Grandview_Inventory[[#This Row],[final_res]]</f>
        <v>281800</v>
      </c>
      <c r="CE2237">
        <f>Grandview_Inventory[[#This Row],[final_land]]+Grandview_Inventory[[#This Row],[final_imp]]+Grandview_Inventory[[#This Row],[crop_value]]</f>
        <v>325200</v>
      </c>
      <c r="CG2237" t="str">
        <f t="shared" si="34"/>
        <v>update valuation set market_land =43400, market_bldg=281800, market_total =325200, market_mdno =401, market_date ='9/10/2023' where link_id = (select link_id from parcel where parcel_year = '2024' and parcel_id = '23092424512');</v>
      </c>
    </row>
    <row r="2238" spans="1:85" x14ac:dyDescent="0.25">
      <c r="A2238">
        <v>23092424513</v>
      </c>
      <c r="B2238">
        <v>0.16</v>
      </c>
      <c r="C2238">
        <v>7006</v>
      </c>
      <c r="D2238" t="s">
        <v>129</v>
      </c>
      <c r="E2238" t="s">
        <v>53</v>
      </c>
      <c r="F2238" t="s">
        <v>53</v>
      </c>
      <c r="G2238">
        <v>4</v>
      </c>
      <c r="H2238" t="s">
        <v>54</v>
      </c>
      <c r="I2238">
        <v>225600</v>
      </c>
      <c r="J2238">
        <v>38600</v>
      </c>
      <c r="K2238">
        <v>0.16</v>
      </c>
      <c r="L223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38">
        <v>0</v>
      </c>
      <c r="N2238">
        <v>0</v>
      </c>
      <c r="O2238">
        <v>0</v>
      </c>
      <c r="P2238">
        <v>13398.7528</v>
      </c>
      <c r="Q2238">
        <v>63903</v>
      </c>
      <c r="R2238">
        <f>(Grandview_Inventory[[#This Row],[ln_acres]]*Grandview_Inventory[[#This Row],[coeff]])+Grandview_Inventory[[#This Row],[const]]</f>
        <v>39348.693981374228</v>
      </c>
      <c r="S2238" t="s">
        <v>61</v>
      </c>
      <c r="T2238">
        <v>1</v>
      </c>
      <c r="U2238" t="s">
        <v>65</v>
      </c>
      <c r="V2238" t="s">
        <v>67</v>
      </c>
      <c r="W2238">
        <v>0</v>
      </c>
      <c r="X2238">
        <v>0</v>
      </c>
      <c r="Y2238">
        <v>17</v>
      </c>
      <c r="Z2238">
        <v>17</v>
      </c>
      <c r="AA2238">
        <v>20</v>
      </c>
      <c r="AB2238">
        <v>1500</v>
      </c>
      <c r="AC2238">
        <v>1288</v>
      </c>
      <c r="AD2238">
        <v>1288</v>
      </c>
      <c r="AE2238">
        <v>0</v>
      </c>
      <c r="AF2238">
        <v>0</v>
      </c>
      <c r="AG2238">
        <v>0</v>
      </c>
      <c r="AH2238">
        <v>0</v>
      </c>
      <c r="AI2238">
        <v>520</v>
      </c>
      <c r="AJ2238">
        <v>0</v>
      </c>
      <c r="AK2238">
        <v>0</v>
      </c>
      <c r="AL2238">
        <v>0</v>
      </c>
      <c r="AM2238">
        <v>100</v>
      </c>
      <c r="AN2238">
        <v>148</v>
      </c>
      <c r="AO2238">
        <v>0</v>
      </c>
      <c r="AP2238">
        <v>9</v>
      </c>
      <c r="AQ2238">
        <v>0</v>
      </c>
      <c r="AR2238">
        <v>0</v>
      </c>
      <c r="AS2238" t="s">
        <v>58</v>
      </c>
      <c r="AT2238">
        <v>1</v>
      </c>
      <c r="AU2238" t="s">
        <v>63</v>
      </c>
      <c r="AV2238" t="s">
        <v>64</v>
      </c>
      <c r="AW2238">
        <v>1</v>
      </c>
      <c r="AX2238">
        <v>3</v>
      </c>
      <c r="AY2238">
        <v>0</v>
      </c>
      <c r="AZ2238">
        <v>0</v>
      </c>
      <c r="BA2238">
        <v>100</v>
      </c>
      <c r="BB2238">
        <v>100</v>
      </c>
      <c r="BC2238">
        <v>100</v>
      </c>
      <c r="BD2238">
        <v>100</v>
      </c>
      <c r="BE2238">
        <v>1</v>
      </c>
      <c r="BF2238">
        <v>15000</v>
      </c>
      <c r="BG2238">
        <v>1000</v>
      </c>
      <c r="BH2238" s="6">
        <f>Grandview_Inventory[[#This Row],[land_extract]]*Lookups!$B$3</f>
        <v>45695.532079096141</v>
      </c>
      <c r="BI2238" s="6">
        <f>IF(Grandview_Inventory[[#This Row],[bldg_style]]="",0,Lookups!$B$2)</f>
        <v>155833.95000000001</v>
      </c>
      <c r="BJ2238" s="6">
        <f>_xlfn.IFNA(VLOOKUP(Grandview_Inventory[[#This Row],[quality]],Lookups!$H$2:$J$14,3,FALSE),0)</f>
        <v>2251</v>
      </c>
      <c r="BK2238" s="6">
        <f>_xlfn.IFNA(VLOOKUP(Grandview_Inventory[[#This Row],[condition]],Lookups!$H$17:$J$24,3,FALSE),0)</f>
        <v>22342</v>
      </c>
      <c r="BL2238" s="6">
        <f>Grandview_Inventory[[#This Row],[Eff_Age]]*Lookups!$B$14</f>
        <v>-4065.8321999999998</v>
      </c>
      <c r="BM2238" s="6">
        <f>Grandview_Inventory[[#This Row],[living_area]]*Lookups!$B$15</f>
        <v>80346.538664000007</v>
      </c>
      <c r="BN2238" s="6">
        <f>Grandview_Inventory[[#This Row],[Fin BSMT]]*Lookups!$B$16</f>
        <v>0</v>
      </c>
      <c r="BO2238" s="6">
        <f>(Grandview_Inventory[[#This Row],[att_gar]]+Grandview_Inventory[[#This Row],[bltin_gar]])*Lookups!$B$17</f>
        <v>45510.627240000002</v>
      </c>
      <c r="BP2238" s="6">
        <f>Grandview_Inventory[[#This Row],[Plumbing Fixtures]]*Lookups!$B$18</f>
        <v>18093.976200000001</v>
      </c>
      <c r="BQ2238" s="6">
        <f>Grandview_Inventory[[#This Row],[detatched_value]]*Lookups!$B$19</f>
        <v>0</v>
      </c>
      <c r="BR2238" s="6">
        <f>SUM(Grandview_Inventory[[#This Row],[Intercept]:[det_value]])*Grandview_Inventory[[#This Row],[res_pct]]</f>
        <v>320312.25990399998</v>
      </c>
      <c r="BS2238" s="6">
        <f>Grandview_Inventory[[#This Row],[land_value]]</f>
        <v>45695.532079096141</v>
      </c>
      <c r="BT2238" s="4">
        <f>_xlfn.IFNA(VLOOKUP(Grandview_Inventory[[#This Row],[quality]],Lookups!$A$26:$C$33,3,FALSE),1)</f>
        <v>0.98763855981004833</v>
      </c>
      <c r="BU2238" s="4">
        <f>_xlfn.IFNA(VLOOKUP(Grandview_Inventory[[#This Row],[condition]],Lookups!$A$37:$C$44,3,FALSE),1)</f>
        <v>0.97383723671140243</v>
      </c>
      <c r="BV2238" s="4">
        <f>IF(Grandview_Inventory[[#This Row],[bldg_style]]="",1,_xlfn.IFNA(VLOOKUP(Grandview_Inventory[[#This Row],[decade]],Lookups!$F$29:$H$43,3,FALSE),1))</f>
        <v>0.96737494181490646</v>
      </c>
      <c r="BW2238" s="4">
        <f>_xlfn.IFNA(VLOOKUP(Grandview_Inventory[[#This Row],[living_area_range]],Lookups!$F$47:$H$56,3,FALSE),1)</f>
        <v>0.96135087979789358</v>
      </c>
      <c r="BX2238" s="4">
        <f>AVERAGE(Grandview_Inventory[[#This Row],[qual_adj]:[size_adj]])</f>
        <v>0.97255040453356267</v>
      </c>
      <c r="BY2238" s="6">
        <f>IF(Grandview_Inventory[[#This Row],[pre_res]]&lt;0,0,Grandview_Inventory[[#This Row],[pre_res]]*Grandview_Inventory[[#This Row],[overall_adj]])</f>
        <v>311519.81794669485</v>
      </c>
      <c r="BZ2238" s="6">
        <f>(Grandview_Inventory[[#This Row],[sum_land]]-IF(Grandview_Inventory[[#This Row],[no_utilities]]=1,12000,0))/IF(Grandview_Inventory[[#This Row],[unbuildable]]=1,2,1)</f>
        <v>45695.532079096141</v>
      </c>
      <c r="CA223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38">
        <f>ROUND(Grandview_Inventory[[#This Row],[det_value]]*Lookups!$M$28,-2)</f>
        <v>0</v>
      </c>
      <c r="CC2238">
        <f>IF(ROUND(Grandview_Inventory[[#This Row],[adj_res]]*Lookups!$M$28,-2)&lt;Grandview_Inventory[[#This Row],[min_res]],Grandview_Inventory[[#This Row],[min_res]],ROUND(Grandview_Inventory[[#This Row],[adj_res]]*Lookups!$M$28,-2))</f>
        <v>295900</v>
      </c>
      <c r="CD2238">
        <f>Grandview_Inventory[[#This Row],[final_det]]+Grandview_Inventory[[#This Row],[final_res]]</f>
        <v>295900</v>
      </c>
      <c r="CE2238">
        <f>Grandview_Inventory[[#This Row],[final_land]]+Grandview_Inventory[[#This Row],[final_imp]]+Grandview_Inventory[[#This Row],[crop_value]]</f>
        <v>339300</v>
      </c>
      <c r="CG2238" t="str">
        <f t="shared" si="34"/>
        <v>update valuation set market_land =43400, market_bldg=295900, market_total =339300, market_mdno =401, market_date ='9/10/2023' where link_id = (select link_id from parcel where parcel_year = '2024' and parcel_id = '23092424513');</v>
      </c>
    </row>
    <row r="2239" spans="1:85" x14ac:dyDescent="0.25">
      <c r="A2239">
        <v>23092432002</v>
      </c>
      <c r="B2239">
        <v>0.26</v>
      </c>
      <c r="C2239" t="s">
        <v>129</v>
      </c>
      <c r="D2239" t="s">
        <v>129</v>
      </c>
      <c r="E2239" t="s">
        <v>53</v>
      </c>
      <c r="F2239" t="s">
        <v>53</v>
      </c>
      <c r="G2239">
        <v>4</v>
      </c>
      <c r="H2239" t="s">
        <v>54</v>
      </c>
      <c r="I2239">
        <v>162700</v>
      </c>
      <c r="J2239">
        <v>41800</v>
      </c>
      <c r="K2239">
        <v>0.26</v>
      </c>
      <c r="L2239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239">
        <v>0</v>
      </c>
      <c r="N2239">
        <v>0</v>
      </c>
      <c r="O2239">
        <v>0</v>
      </c>
      <c r="P2239">
        <v>13398.7528</v>
      </c>
      <c r="Q2239">
        <v>63903</v>
      </c>
      <c r="R2239">
        <f>(Grandview_Inventory[[#This Row],[ln_acres]]*Grandview_Inventory[[#This Row],[coeff]])+Grandview_Inventory[[#This Row],[const]]</f>
        <v>45853.893187501177</v>
      </c>
      <c r="S2239" t="s">
        <v>68</v>
      </c>
      <c r="T2239">
        <v>2</v>
      </c>
      <c r="U2239" t="s">
        <v>65</v>
      </c>
      <c r="V2239" t="s">
        <v>69</v>
      </c>
      <c r="W2239">
        <v>0</v>
      </c>
      <c r="X2239">
        <v>0</v>
      </c>
      <c r="Y2239">
        <v>65</v>
      </c>
      <c r="Z2239">
        <v>113</v>
      </c>
      <c r="AA2239">
        <v>120</v>
      </c>
      <c r="AB2239">
        <v>1500</v>
      </c>
      <c r="AC2239">
        <v>1428</v>
      </c>
      <c r="AD2239">
        <v>1228</v>
      </c>
      <c r="AE2239">
        <v>200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220</v>
      </c>
      <c r="AM2239">
        <v>0</v>
      </c>
      <c r="AN2239">
        <v>42</v>
      </c>
      <c r="AO2239">
        <v>220</v>
      </c>
      <c r="AP2239">
        <v>8</v>
      </c>
      <c r="AQ2239">
        <v>0</v>
      </c>
      <c r="AR2239">
        <v>0</v>
      </c>
      <c r="AS2239" t="s">
        <v>71</v>
      </c>
      <c r="AT2239">
        <v>1</v>
      </c>
      <c r="AU2239" t="s">
        <v>63</v>
      </c>
      <c r="AV2239" t="s">
        <v>60</v>
      </c>
      <c r="AW2239">
        <v>1</v>
      </c>
      <c r="AX2239">
        <v>4</v>
      </c>
      <c r="AY2239">
        <v>0</v>
      </c>
      <c r="AZ2239">
        <v>7700</v>
      </c>
      <c r="BA2239">
        <v>100</v>
      </c>
      <c r="BB2239">
        <v>100</v>
      </c>
      <c r="BC2239">
        <v>100</v>
      </c>
      <c r="BD2239">
        <v>100</v>
      </c>
      <c r="BE2239">
        <v>1</v>
      </c>
      <c r="BF2239">
        <v>15000</v>
      </c>
      <c r="BG2239">
        <v>1000</v>
      </c>
      <c r="BH2239" s="6">
        <f>Grandview_Inventory[[#This Row],[land_extract]]*Lookups!$B$3</f>
        <v>53250.00235313351</v>
      </c>
      <c r="BI2239" s="6">
        <f>IF(Grandview_Inventory[[#This Row],[bldg_style]]="",0,Lookups!$B$2)</f>
        <v>155833.95000000001</v>
      </c>
      <c r="BJ2239" s="6">
        <f>_xlfn.IFNA(VLOOKUP(Grandview_Inventory[[#This Row],[quality]],Lookups!$H$2:$J$14,3,FALSE),0)</f>
        <v>2251</v>
      </c>
      <c r="BK2239" s="6">
        <f>_xlfn.IFNA(VLOOKUP(Grandview_Inventory[[#This Row],[condition]],Lookups!$H$17:$J$24,3,FALSE),0)</f>
        <v>-4503</v>
      </c>
      <c r="BL2239" s="6">
        <f>Grandview_Inventory[[#This Row],[Eff_Age]]*Lookups!$B$14</f>
        <v>-15545.829</v>
      </c>
      <c r="BM2239" s="6">
        <f>Grandview_Inventory[[#This Row],[living_area]]*Lookups!$B$15</f>
        <v>89079.858084000007</v>
      </c>
      <c r="BN2239" s="6">
        <f>Grandview_Inventory[[#This Row],[Fin BSMT]]*Lookups!$B$16</f>
        <v>0</v>
      </c>
      <c r="BO2239" s="6">
        <f>(Grandview_Inventory[[#This Row],[att_gar]]+Grandview_Inventory[[#This Row],[bltin_gar]])*Lookups!$B$17</f>
        <v>0</v>
      </c>
      <c r="BP2239" s="6">
        <f>Grandview_Inventory[[#This Row],[Plumbing Fixtures]]*Lookups!$B$18</f>
        <v>16083.5344</v>
      </c>
      <c r="BQ2239" s="6">
        <f>Grandview_Inventory[[#This Row],[detatched_value]]*Lookups!$B$19</f>
        <v>6520.3992699999999</v>
      </c>
      <c r="BR2239" s="6">
        <f>SUM(Grandview_Inventory[[#This Row],[Intercept]:[det_value]])*Grandview_Inventory[[#This Row],[res_pct]]</f>
        <v>249719.91275400002</v>
      </c>
      <c r="BS2239" s="6">
        <f>Grandview_Inventory[[#This Row],[land_value]]</f>
        <v>53250.00235313351</v>
      </c>
      <c r="BT2239" s="4">
        <f>_xlfn.IFNA(VLOOKUP(Grandview_Inventory[[#This Row],[quality]],Lookups!$A$26:$C$33,3,FALSE),1)</f>
        <v>0.98763855981004833</v>
      </c>
      <c r="BU2239" s="4">
        <f>_xlfn.IFNA(VLOOKUP(Grandview_Inventory[[#This Row],[condition]],Lookups!$A$37:$C$44,3,FALSE),1)</f>
        <v>0.96469275950863709</v>
      </c>
      <c r="BV2239" s="4">
        <f>IF(Grandview_Inventory[[#This Row],[bldg_style]]="",1,_xlfn.IFNA(VLOOKUP(Grandview_Inventory[[#This Row],[decade]],Lookups!$F$29:$H$43,3,FALSE),1))</f>
        <v>0.9251738460551937</v>
      </c>
      <c r="BW2239" s="4">
        <f>_xlfn.IFNA(VLOOKUP(Grandview_Inventory[[#This Row],[living_area_range]],Lookups!$F$47:$H$56,3,FALSE),1)</f>
        <v>0.96135087979789358</v>
      </c>
      <c r="BX2239" s="4">
        <f>AVERAGE(Grandview_Inventory[[#This Row],[qual_adj]:[size_adj]])</f>
        <v>0.9597140112929432</v>
      </c>
      <c r="BY2239" s="6">
        <f>IF(Grandview_Inventory[[#This Row],[pre_res]]&lt;0,0,Grandview_Inventory[[#This Row],[pre_res]]*Grandview_Inventory[[#This Row],[overall_adj]])</f>
        <v>239659.69916886516</v>
      </c>
      <c r="BZ2239" s="6">
        <f>(Grandview_Inventory[[#This Row],[sum_land]]-IF(Grandview_Inventory[[#This Row],[no_utilities]]=1,12000,0))/IF(Grandview_Inventory[[#This Row],[unbuildable]]=1,2,1)</f>
        <v>53250.00235313351</v>
      </c>
      <c r="CA2239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239">
        <f>ROUND(Grandview_Inventory[[#This Row],[det_value]]*Lookups!$M$28,-2)</f>
        <v>6200</v>
      </c>
      <c r="CC2239">
        <f>IF(ROUND(Grandview_Inventory[[#This Row],[adj_res]]*Lookups!$M$28,-2)&lt;Grandview_Inventory[[#This Row],[min_res]],Grandview_Inventory[[#This Row],[min_res]],ROUND(Grandview_Inventory[[#This Row],[adj_res]]*Lookups!$M$28,-2))</f>
        <v>227700</v>
      </c>
      <c r="CD2239">
        <f>Grandview_Inventory[[#This Row],[final_det]]+Grandview_Inventory[[#This Row],[final_res]]</f>
        <v>233900</v>
      </c>
      <c r="CE2239">
        <f>Grandview_Inventory[[#This Row],[final_land]]+Grandview_Inventory[[#This Row],[final_imp]]+Grandview_Inventory[[#This Row],[crop_value]]</f>
        <v>284500</v>
      </c>
      <c r="CG2239" t="str">
        <f t="shared" si="34"/>
        <v>update valuation set market_land =50600, market_bldg=233900, market_total =284500, market_mdno =401, market_date ='9/10/2023' where link_id = (select link_id from parcel where parcel_year = '2024' and parcel_id = '23092432002');</v>
      </c>
    </row>
    <row r="2240" spans="1:85" x14ac:dyDescent="0.25">
      <c r="A2240">
        <v>23092432003</v>
      </c>
      <c r="B2240">
        <v>0.19</v>
      </c>
      <c r="C2240" t="s">
        <v>129</v>
      </c>
      <c r="D2240" t="s">
        <v>129</v>
      </c>
      <c r="E2240" t="s">
        <v>53</v>
      </c>
      <c r="F2240" t="s">
        <v>53</v>
      </c>
      <c r="G2240">
        <v>4</v>
      </c>
      <c r="H2240" t="s">
        <v>54</v>
      </c>
      <c r="I2240">
        <v>108000</v>
      </c>
      <c r="J2240">
        <v>39100</v>
      </c>
      <c r="K2240">
        <v>0.19</v>
      </c>
      <c r="L224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40">
        <v>0</v>
      </c>
      <c r="N2240">
        <v>0</v>
      </c>
      <c r="O2240">
        <v>0</v>
      </c>
      <c r="P2240">
        <v>13398.7528</v>
      </c>
      <c r="Q2240">
        <v>63903</v>
      </c>
      <c r="R2240">
        <f>(Grandview_Inventory[[#This Row],[ln_acres]]*Grandview_Inventory[[#This Row],[coeff]])+Grandview_Inventory[[#This Row],[const]]</f>
        <v>41651.273092551026</v>
      </c>
      <c r="S2240" t="s">
        <v>68</v>
      </c>
      <c r="T2240">
        <v>1</v>
      </c>
      <c r="U2240" t="s">
        <v>65</v>
      </c>
      <c r="V2240" t="s">
        <v>69</v>
      </c>
      <c r="W2240">
        <v>0</v>
      </c>
      <c r="X2240">
        <v>0</v>
      </c>
      <c r="Y2240">
        <v>49</v>
      </c>
      <c r="Z2240">
        <v>68</v>
      </c>
      <c r="AA2240">
        <v>70</v>
      </c>
      <c r="AB2240">
        <v>1500</v>
      </c>
      <c r="AC2240">
        <v>1092</v>
      </c>
      <c r="AD2240">
        <v>1092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128</v>
      </c>
      <c r="AN2240">
        <v>84</v>
      </c>
      <c r="AO2240">
        <v>128</v>
      </c>
      <c r="AP2240">
        <v>5</v>
      </c>
      <c r="AQ2240">
        <v>0</v>
      </c>
      <c r="AR2240">
        <v>0</v>
      </c>
      <c r="AS2240" t="s">
        <v>58</v>
      </c>
      <c r="AT2240">
        <v>0</v>
      </c>
      <c r="AU2240" t="s">
        <v>82</v>
      </c>
      <c r="AV2240" t="s">
        <v>64</v>
      </c>
      <c r="AW2240">
        <v>0</v>
      </c>
      <c r="AX2240">
        <v>3</v>
      </c>
      <c r="AY2240">
        <v>0</v>
      </c>
      <c r="AZ2240">
        <v>900</v>
      </c>
      <c r="BA2240">
        <v>100</v>
      </c>
      <c r="BB2240">
        <v>100</v>
      </c>
      <c r="BC2240">
        <v>100</v>
      </c>
      <c r="BD2240">
        <v>100</v>
      </c>
      <c r="BE2240">
        <v>1</v>
      </c>
      <c r="BF2240">
        <v>15000</v>
      </c>
      <c r="BG2240">
        <v>1000</v>
      </c>
      <c r="BH2240" s="6">
        <f>Grandview_Inventory[[#This Row],[land_extract]]*Lookups!$B$3</f>
        <v>48369.510983942157</v>
      </c>
      <c r="BI2240" s="6">
        <f>IF(Grandview_Inventory[[#This Row],[bldg_style]]="",0,Lookups!$B$2)</f>
        <v>155833.95000000001</v>
      </c>
      <c r="BJ2240" s="6">
        <f>_xlfn.IFNA(VLOOKUP(Grandview_Inventory[[#This Row],[quality]],Lookups!$H$2:$J$14,3,FALSE),0)</f>
        <v>2251</v>
      </c>
      <c r="BK2240" s="6">
        <f>_xlfn.IFNA(VLOOKUP(Grandview_Inventory[[#This Row],[condition]],Lookups!$H$17:$J$24,3,FALSE),0)</f>
        <v>-4503</v>
      </c>
      <c r="BL2240" s="6">
        <f>Grandview_Inventory[[#This Row],[Eff_Age]]*Lookups!$B$14</f>
        <v>-11719.163399999999</v>
      </c>
      <c r="BM2240" s="6">
        <f>Grandview_Inventory[[#This Row],[living_area]]*Lookups!$B$15</f>
        <v>68119.891476000004</v>
      </c>
      <c r="BN2240" s="6">
        <f>Grandview_Inventory[[#This Row],[Fin BSMT]]*Lookups!$B$16</f>
        <v>0</v>
      </c>
      <c r="BO2240" s="6">
        <f>(Grandview_Inventory[[#This Row],[att_gar]]+Grandview_Inventory[[#This Row],[bltin_gar]])*Lookups!$B$17</f>
        <v>0</v>
      </c>
      <c r="BP2240" s="6">
        <f>Grandview_Inventory[[#This Row],[Plumbing Fixtures]]*Lookups!$B$18</f>
        <v>10052.209000000001</v>
      </c>
      <c r="BQ2240" s="6">
        <f>Grandview_Inventory[[#This Row],[detatched_value]]*Lookups!$B$19</f>
        <v>762.12459000000001</v>
      </c>
      <c r="BR2240" s="6">
        <f>SUM(Grandview_Inventory[[#This Row],[Intercept]:[det_value]])*Grandview_Inventory[[#This Row],[res_pct]]</f>
        <v>220797.01166600001</v>
      </c>
      <c r="BS2240" s="6">
        <f>Grandview_Inventory[[#This Row],[land_value]]</f>
        <v>48369.510983942157</v>
      </c>
      <c r="BT2240" s="4">
        <f>_xlfn.IFNA(VLOOKUP(Grandview_Inventory[[#This Row],[quality]],Lookups!$A$26:$C$33,3,FALSE),1)</f>
        <v>0.98763855981004833</v>
      </c>
      <c r="BU2240" s="4">
        <f>_xlfn.IFNA(VLOOKUP(Grandview_Inventory[[#This Row],[condition]],Lookups!$A$37:$C$44,3,FALSE),1)</f>
        <v>0.96469275950863709</v>
      </c>
      <c r="BV2240" s="4">
        <f>IF(Grandview_Inventory[[#This Row],[bldg_style]]="",1,_xlfn.IFNA(VLOOKUP(Grandview_Inventory[[#This Row],[decade]],Lookups!$F$29:$H$43,3,FALSE),1))</f>
        <v>0.99472141305414818</v>
      </c>
      <c r="BW2240" s="4">
        <f>_xlfn.IFNA(VLOOKUP(Grandview_Inventory[[#This Row],[living_area_range]],Lookups!$F$47:$H$56,3,FALSE),1)</f>
        <v>0.96135087979789358</v>
      </c>
      <c r="BX2240" s="4">
        <f>AVERAGE(Grandview_Inventory[[#This Row],[qual_adj]:[size_adj]])</f>
        <v>0.97710090304268182</v>
      </c>
      <c r="BY2240" s="6">
        <f>IF(Grandview_Inventory[[#This Row],[pre_res]]&lt;0,0,Grandview_Inventory[[#This Row],[pre_res]]*Grandview_Inventory[[#This Row],[overall_adj]])</f>
        <v>215740.95948797415</v>
      </c>
      <c r="BZ2240" s="6">
        <f>(Grandview_Inventory[[#This Row],[sum_land]]-IF(Grandview_Inventory[[#This Row],[no_utilities]]=1,12000,0))/IF(Grandview_Inventory[[#This Row],[unbuildable]]=1,2,1)</f>
        <v>48369.510983942157</v>
      </c>
      <c r="CA224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40">
        <f>ROUND(Grandview_Inventory[[#This Row],[det_value]]*Lookups!$M$28,-2)</f>
        <v>700</v>
      </c>
      <c r="CC2240">
        <f>IF(ROUND(Grandview_Inventory[[#This Row],[adj_res]]*Lookups!$M$28,-2)&lt;Grandview_Inventory[[#This Row],[min_res]],Grandview_Inventory[[#This Row],[min_res]],ROUND(Grandview_Inventory[[#This Row],[adj_res]]*Lookups!$M$28,-2))</f>
        <v>205000</v>
      </c>
      <c r="CD2240">
        <f>Grandview_Inventory[[#This Row],[final_det]]+Grandview_Inventory[[#This Row],[final_res]]</f>
        <v>205700</v>
      </c>
      <c r="CE2240">
        <f>Grandview_Inventory[[#This Row],[final_land]]+Grandview_Inventory[[#This Row],[final_imp]]+Grandview_Inventory[[#This Row],[crop_value]]</f>
        <v>251700</v>
      </c>
      <c r="CG2240" t="str">
        <f t="shared" si="34"/>
        <v>update valuation set market_land =46000, market_bldg=205700, market_total =251700, market_mdno =401, market_date ='9/10/2023' where link_id = (select link_id from parcel where parcel_year = '2024' and parcel_id = '23092432003');</v>
      </c>
    </row>
    <row r="2241" spans="1:85" x14ac:dyDescent="0.25">
      <c r="A2241">
        <v>23092432004</v>
      </c>
      <c r="B2241">
        <v>0.33</v>
      </c>
      <c r="C2241" t="s">
        <v>129</v>
      </c>
      <c r="D2241" t="s">
        <v>129</v>
      </c>
      <c r="E2241" t="s">
        <v>53</v>
      </c>
      <c r="F2241" t="s">
        <v>53</v>
      </c>
      <c r="G2241">
        <v>4</v>
      </c>
      <c r="H2241" t="s">
        <v>54</v>
      </c>
      <c r="I2241">
        <v>125100</v>
      </c>
      <c r="J2241">
        <v>41200</v>
      </c>
      <c r="K2241">
        <v>0.33</v>
      </c>
      <c r="L2241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2241">
        <v>0</v>
      </c>
      <c r="N2241">
        <v>0</v>
      </c>
      <c r="O2241">
        <v>0</v>
      </c>
      <c r="P2241">
        <v>13398.7528</v>
      </c>
      <c r="Q2241">
        <v>63903</v>
      </c>
      <c r="R2241">
        <f>(Grandview_Inventory[[#This Row],[ln_acres]]*Grandview_Inventory[[#This Row],[coeff]])+Grandview_Inventory[[#This Row],[const]]</f>
        <v>49048.303555435712</v>
      </c>
      <c r="S2241" t="s">
        <v>85</v>
      </c>
      <c r="T2241">
        <v>1</v>
      </c>
      <c r="U2241" t="s">
        <v>65</v>
      </c>
      <c r="V2241" t="s">
        <v>78</v>
      </c>
      <c r="W2241">
        <v>0</v>
      </c>
      <c r="X2241">
        <v>0</v>
      </c>
      <c r="Y2241">
        <v>57</v>
      </c>
      <c r="Z2241">
        <v>103</v>
      </c>
      <c r="AA2241">
        <v>110</v>
      </c>
      <c r="AB2241">
        <v>2000</v>
      </c>
      <c r="AC2241">
        <v>1556</v>
      </c>
      <c r="AD2241">
        <v>1256</v>
      </c>
      <c r="AE2241">
        <v>0</v>
      </c>
      <c r="AF2241">
        <v>0</v>
      </c>
      <c r="AG2241">
        <v>300</v>
      </c>
      <c r="AH2241">
        <v>100</v>
      </c>
      <c r="AI2241">
        <v>0</v>
      </c>
      <c r="AJ2241">
        <v>0</v>
      </c>
      <c r="AK2241">
        <v>0</v>
      </c>
      <c r="AL2241">
        <v>0</v>
      </c>
      <c r="AM2241">
        <v>144</v>
      </c>
      <c r="AN2241">
        <v>186</v>
      </c>
      <c r="AO2241">
        <v>144</v>
      </c>
      <c r="AP2241">
        <v>5</v>
      </c>
      <c r="AQ2241">
        <v>0</v>
      </c>
      <c r="AR2241">
        <v>1</v>
      </c>
      <c r="AS2241" t="s">
        <v>58</v>
      </c>
      <c r="AT2241">
        <v>1</v>
      </c>
      <c r="AU2241" t="s">
        <v>63</v>
      </c>
      <c r="AV2241" t="s">
        <v>64</v>
      </c>
      <c r="AW2241">
        <v>1</v>
      </c>
      <c r="AX2241">
        <v>2</v>
      </c>
      <c r="AY2241">
        <v>0</v>
      </c>
      <c r="AZ2241">
        <v>6900</v>
      </c>
      <c r="BA2241">
        <v>100</v>
      </c>
      <c r="BB2241">
        <v>100</v>
      </c>
      <c r="BC2241">
        <v>100</v>
      </c>
      <c r="BD2241">
        <v>100</v>
      </c>
      <c r="BE2241">
        <v>1</v>
      </c>
      <c r="BF2241">
        <v>15000</v>
      </c>
      <c r="BG2241">
        <v>1000</v>
      </c>
      <c r="BH2241" s="6">
        <f>Grandview_Inventory[[#This Row],[land_extract]]*Lookups!$B$3</f>
        <v>56959.662488507893</v>
      </c>
      <c r="BI2241" s="6">
        <f>IF(Grandview_Inventory[[#This Row],[bldg_style]]="",0,Lookups!$B$2)</f>
        <v>155833.95000000001</v>
      </c>
      <c r="BJ2241" s="6">
        <f>_xlfn.IFNA(VLOOKUP(Grandview_Inventory[[#This Row],[quality]],Lookups!$H$2:$J$14,3,FALSE),0)</f>
        <v>2251</v>
      </c>
      <c r="BK2241" s="6">
        <f>_xlfn.IFNA(VLOOKUP(Grandview_Inventory[[#This Row],[condition]],Lookups!$H$17:$J$24,3,FALSE),0)</f>
        <v>-45357</v>
      </c>
      <c r="BL2241" s="6">
        <f>Grandview_Inventory[[#This Row],[Eff_Age]]*Lookups!$B$14</f>
        <v>-13632.4962</v>
      </c>
      <c r="BM2241" s="6">
        <f>Grandview_Inventory[[#This Row],[living_area]]*Lookups!$B$15</f>
        <v>97064.607268000007</v>
      </c>
      <c r="BN2241" s="6">
        <f>Grandview_Inventory[[#This Row],[Fin BSMT]]*Lookups!$B$16</f>
        <v>-8129.7720000000008</v>
      </c>
      <c r="BO2241" s="6">
        <f>(Grandview_Inventory[[#This Row],[att_gar]]+Grandview_Inventory[[#This Row],[bltin_gar]])*Lookups!$B$17</f>
        <v>0</v>
      </c>
      <c r="BP2241" s="6">
        <f>Grandview_Inventory[[#This Row],[Plumbing Fixtures]]*Lookups!$B$18</f>
        <v>10052.209000000001</v>
      </c>
      <c r="BQ2241" s="6">
        <f>Grandview_Inventory[[#This Row],[detatched_value]]*Lookups!$B$19</f>
        <v>5842.9551899999997</v>
      </c>
      <c r="BR2241" s="6">
        <f>SUM(Grandview_Inventory[[#This Row],[Intercept]:[det_value]])*Grandview_Inventory[[#This Row],[res_pct]]</f>
        <v>203925.45325800005</v>
      </c>
      <c r="BS2241" s="6">
        <f>Grandview_Inventory[[#This Row],[land_value]]</f>
        <v>56959.662488507893</v>
      </c>
      <c r="BT2241" s="4">
        <f>_xlfn.IFNA(VLOOKUP(Grandview_Inventory[[#This Row],[quality]],Lookups!$A$26:$C$33,3,FALSE),1)</f>
        <v>0.98763855981004833</v>
      </c>
      <c r="BU2241" s="4">
        <f>_xlfn.IFNA(VLOOKUP(Grandview_Inventory[[#This Row],[condition]],Lookups!$A$37:$C$44,3,FALSE),1)</f>
        <v>0.97161819570155394</v>
      </c>
      <c r="BV2241" s="4">
        <f>IF(Grandview_Inventory[[#This Row],[bldg_style]]="",1,_xlfn.IFNA(VLOOKUP(Grandview_Inventory[[#This Row],[decade]],Lookups!$F$29:$H$43,3,FALSE),1))</f>
        <v>0.92255236374249616</v>
      </c>
      <c r="BW2241" s="4">
        <f>_xlfn.IFNA(VLOOKUP(Grandview_Inventory[[#This Row],[living_area_range]],Lookups!$F$47:$H$56,3,FALSE),1)</f>
        <v>0.96120133463014379</v>
      </c>
      <c r="BX2241" s="4">
        <f>AVERAGE(Grandview_Inventory[[#This Row],[qual_adj]:[size_adj]])</f>
        <v>0.96075261347106067</v>
      </c>
      <c r="BY2241" s="6">
        <f>IF(Grandview_Inventory[[#This Row],[pre_res]]&lt;0,0,Grandview_Inventory[[#This Row],[pre_res]]*Grandview_Inventory[[#This Row],[overall_adj]])</f>
        <v>195921.91217089418</v>
      </c>
      <c r="BZ2241" s="6">
        <f>(Grandview_Inventory[[#This Row],[sum_land]]-IF(Grandview_Inventory[[#This Row],[no_utilities]]=1,12000,0))/IF(Grandview_Inventory[[#This Row],[unbuildable]]=1,2,1)</f>
        <v>56959.662488507893</v>
      </c>
      <c r="CA2241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2241">
        <f>ROUND(Grandview_Inventory[[#This Row],[det_value]]*Lookups!$M$28,-2)</f>
        <v>5600</v>
      </c>
      <c r="CC2241">
        <f>IF(ROUND(Grandview_Inventory[[#This Row],[adj_res]]*Lookups!$M$28,-2)&lt;Grandview_Inventory[[#This Row],[min_res]],Grandview_Inventory[[#This Row],[min_res]],ROUND(Grandview_Inventory[[#This Row],[adj_res]]*Lookups!$M$28,-2))</f>
        <v>186100</v>
      </c>
      <c r="CD2241">
        <f>Grandview_Inventory[[#This Row],[final_det]]+Grandview_Inventory[[#This Row],[final_res]]</f>
        <v>191700</v>
      </c>
      <c r="CE2241">
        <f>Grandview_Inventory[[#This Row],[final_land]]+Grandview_Inventory[[#This Row],[final_imp]]+Grandview_Inventory[[#This Row],[crop_value]]</f>
        <v>245800</v>
      </c>
      <c r="CG2241" t="str">
        <f t="shared" si="34"/>
        <v>update valuation set market_land =54100, market_bldg=191700, market_total =245800, market_mdno =401, market_date ='9/10/2023' where link_id = (select link_id from parcel where parcel_year = '2024' and parcel_id = '23092432004');</v>
      </c>
    </row>
    <row r="2242" spans="1:85" x14ac:dyDescent="0.25">
      <c r="A2242">
        <v>23092432005</v>
      </c>
      <c r="B2242">
        <v>0.95</v>
      </c>
      <c r="C2242" t="s">
        <v>129</v>
      </c>
      <c r="D2242" t="s">
        <v>129</v>
      </c>
      <c r="E2242" t="s">
        <v>53</v>
      </c>
      <c r="F2242" t="s">
        <v>53</v>
      </c>
      <c r="G2242">
        <v>4</v>
      </c>
      <c r="H2242" t="s">
        <v>54</v>
      </c>
      <c r="I2242">
        <v>135000</v>
      </c>
      <c r="J2242">
        <v>43500</v>
      </c>
      <c r="K2242">
        <v>0.95</v>
      </c>
      <c r="L2242">
        <f>IF(Grandview_Inventory[[#This Row],[parcel_acres]]-Grandview_Inventory[[#This Row],[non_valued_acres]] =0,0,LN(Grandview_Inventory[[#This Row],[parcel_acres]]-Grandview_Inventory[[#This Row],[non_valued_acres]]))</f>
        <v>-5.1293294387550578E-2</v>
      </c>
      <c r="M2242">
        <v>0</v>
      </c>
      <c r="N2242">
        <v>0</v>
      </c>
      <c r="O2242">
        <v>0</v>
      </c>
      <c r="P2242">
        <v>13398.7528</v>
      </c>
      <c r="Q2242">
        <v>63903</v>
      </c>
      <c r="R2242">
        <f>(Grandview_Inventory[[#This Row],[ln_acres]]*Grandview_Inventory[[#This Row],[coeff]])+Grandview_Inventory[[#This Row],[const]]</f>
        <v>63215.733828203585</v>
      </c>
      <c r="S2242" t="s">
        <v>61</v>
      </c>
      <c r="T2242">
        <v>1</v>
      </c>
      <c r="U2242" t="s">
        <v>65</v>
      </c>
      <c r="V2242" t="s">
        <v>78</v>
      </c>
      <c r="W2242">
        <v>0</v>
      </c>
      <c r="X2242">
        <v>0</v>
      </c>
      <c r="Y2242">
        <v>51</v>
      </c>
      <c r="Z2242">
        <v>78</v>
      </c>
      <c r="AA2242">
        <v>80</v>
      </c>
      <c r="AB2242">
        <v>1500</v>
      </c>
      <c r="AC2242">
        <v>1028</v>
      </c>
      <c r="AD2242">
        <v>1028</v>
      </c>
      <c r="AE2242">
        <v>0</v>
      </c>
      <c r="AF2242">
        <v>0</v>
      </c>
      <c r="AG2242">
        <v>0</v>
      </c>
      <c r="AH2242">
        <v>576</v>
      </c>
      <c r="AI2242">
        <v>377</v>
      </c>
      <c r="AJ2242">
        <v>0</v>
      </c>
      <c r="AK2242">
        <v>0</v>
      </c>
      <c r="AL2242">
        <v>0</v>
      </c>
      <c r="AM2242">
        <v>0</v>
      </c>
      <c r="AN2242">
        <v>115</v>
      </c>
      <c r="AO2242">
        <v>0</v>
      </c>
      <c r="AP2242">
        <v>5</v>
      </c>
      <c r="AQ2242">
        <v>0</v>
      </c>
      <c r="AR2242">
        <v>0</v>
      </c>
      <c r="AS2242" t="s">
        <v>58</v>
      </c>
      <c r="AT2242">
        <v>1</v>
      </c>
      <c r="AU2242" t="s">
        <v>63</v>
      </c>
      <c r="AV2242" t="s">
        <v>60</v>
      </c>
      <c r="AW2242">
        <v>1</v>
      </c>
      <c r="AX2242">
        <v>2</v>
      </c>
      <c r="AY2242">
        <v>0</v>
      </c>
      <c r="AZ2242">
        <v>8100</v>
      </c>
      <c r="BA2242">
        <v>100</v>
      </c>
      <c r="BB2242">
        <v>100</v>
      </c>
      <c r="BC2242">
        <v>100</v>
      </c>
      <c r="BD2242">
        <v>100</v>
      </c>
      <c r="BE2242">
        <v>1</v>
      </c>
      <c r="BF2242">
        <v>15000</v>
      </c>
      <c r="BG2242">
        <v>1000</v>
      </c>
      <c r="BH2242" s="6">
        <f>Grandview_Inventory[[#This Row],[land_extract]]*Lookups!$B$3</f>
        <v>73412.261012211486</v>
      </c>
      <c r="BI2242" s="6">
        <f>IF(Grandview_Inventory[[#This Row],[bldg_style]]="",0,Lookups!$B$2)</f>
        <v>155833.95000000001</v>
      </c>
      <c r="BJ2242" s="6">
        <f>_xlfn.IFNA(VLOOKUP(Grandview_Inventory[[#This Row],[quality]],Lookups!$H$2:$J$14,3,FALSE),0)</f>
        <v>2251</v>
      </c>
      <c r="BK2242" s="6">
        <f>_xlfn.IFNA(VLOOKUP(Grandview_Inventory[[#This Row],[condition]],Lookups!$H$17:$J$24,3,FALSE),0)</f>
        <v>-45357</v>
      </c>
      <c r="BL2242" s="6">
        <f>Grandview_Inventory[[#This Row],[Eff_Age]]*Lookups!$B$14</f>
        <v>-12197.496599999999</v>
      </c>
      <c r="BM2242" s="6">
        <f>Grandview_Inventory[[#This Row],[living_area]]*Lookups!$B$15</f>
        <v>64127.516884000004</v>
      </c>
      <c r="BN2242" s="6">
        <f>Grandview_Inventory[[#This Row],[Fin BSMT]]*Lookups!$B$16</f>
        <v>0</v>
      </c>
      <c r="BO2242" s="6">
        <f>(Grandview_Inventory[[#This Row],[att_gar]]+Grandview_Inventory[[#This Row],[bltin_gar]])*Lookups!$B$17</f>
        <v>32995.204748999997</v>
      </c>
      <c r="BP2242" s="6">
        <f>Grandview_Inventory[[#This Row],[Plumbing Fixtures]]*Lookups!$B$18</f>
        <v>10052.209000000001</v>
      </c>
      <c r="BQ2242" s="6">
        <f>Grandview_Inventory[[#This Row],[detatched_value]]*Lookups!$B$19</f>
        <v>6859.1213099999995</v>
      </c>
      <c r="BR2242" s="6">
        <f>SUM(Grandview_Inventory[[#This Row],[Intercept]:[det_value]])*Grandview_Inventory[[#This Row],[res_pct]]</f>
        <v>214564.505343</v>
      </c>
      <c r="BS2242" s="6">
        <f>Grandview_Inventory[[#This Row],[land_value]]</f>
        <v>73412.261012211486</v>
      </c>
      <c r="BT2242" s="4">
        <f>_xlfn.IFNA(VLOOKUP(Grandview_Inventory[[#This Row],[quality]],Lookups!$A$26:$C$33,3,FALSE),1)</f>
        <v>0.98763855981004833</v>
      </c>
      <c r="BU2242" s="4">
        <f>_xlfn.IFNA(VLOOKUP(Grandview_Inventory[[#This Row],[condition]],Lookups!$A$37:$C$44,3,FALSE),1)</f>
        <v>0.97161819570155394</v>
      </c>
      <c r="BV2242" s="4">
        <f>IF(Grandview_Inventory[[#This Row],[bldg_style]]="",1,_xlfn.IFNA(VLOOKUP(Grandview_Inventory[[#This Row],[decade]],Lookups!$F$29:$H$43,3,FALSE),1))</f>
        <v>0.98763256963907298</v>
      </c>
      <c r="BW2242" s="4">
        <f>_xlfn.IFNA(VLOOKUP(Grandview_Inventory[[#This Row],[living_area_range]],Lookups!$F$47:$H$56,3,FALSE),1)</f>
        <v>0.96135087979789358</v>
      </c>
      <c r="BX2242" s="4">
        <f>AVERAGE(Grandview_Inventory[[#This Row],[qual_adj]:[size_adj]])</f>
        <v>0.97706005123714224</v>
      </c>
      <c r="BY2242" s="6">
        <f>IF(Grandview_Inventory[[#This Row],[pre_res]]&lt;0,0,Grandview_Inventory[[#This Row],[pre_res]]*Grandview_Inventory[[#This Row],[overall_adj]])</f>
        <v>209642.40658410365</v>
      </c>
      <c r="BZ2242" s="6">
        <f>(Grandview_Inventory[[#This Row],[sum_land]]-IF(Grandview_Inventory[[#This Row],[no_utilities]]=1,12000,0))/IF(Grandview_Inventory[[#This Row],[unbuildable]]=1,2,1)</f>
        <v>73412.261012211486</v>
      </c>
      <c r="CA2242">
        <f>IF(ROUND(Grandview_Inventory[[#This Row],[adj_land]]*Lookups!$M$28,-2)&lt;Grandview_Inventory[[#This Row],[min_land]],Grandview_Inventory[[#This Row],[min_land]],ROUND(Grandview_Inventory[[#This Row],[adj_land]]*Lookups!$M$28,-2))</f>
        <v>69700</v>
      </c>
      <c r="CB2242">
        <f>ROUND(Grandview_Inventory[[#This Row],[det_value]]*Lookups!$M$28,-2)</f>
        <v>6500</v>
      </c>
      <c r="CC2242">
        <f>IF(ROUND(Grandview_Inventory[[#This Row],[adj_res]]*Lookups!$M$28,-2)&lt;Grandview_Inventory[[#This Row],[min_res]],Grandview_Inventory[[#This Row],[min_res]],ROUND(Grandview_Inventory[[#This Row],[adj_res]]*Lookups!$M$28,-2))</f>
        <v>199200</v>
      </c>
      <c r="CD2242">
        <f>Grandview_Inventory[[#This Row],[final_det]]+Grandview_Inventory[[#This Row],[final_res]]</f>
        <v>205700</v>
      </c>
      <c r="CE2242">
        <f>Grandview_Inventory[[#This Row],[final_land]]+Grandview_Inventory[[#This Row],[final_imp]]+Grandview_Inventory[[#This Row],[crop_value]]</f>
        <v>275400</v>
      </c>
      <c r="CG2242" t="str">
        <f t="shared" si="34"/>
        <v>update valuation set market_land =69700, market_bldg=205700, market_total =275400, market_mdno =401, market_date ='9/10/2023' where link_id = (select link_id from parcel where parcel_year = '2024' and parcel_id = '23092432005');</v>
      </c>
    </row>
    <row r="2243" spans="1:85" x14ac:dyDescent="0.25">
      <c r="A2243">
        <v>23092432008</v>
      </c>
      <c r="B2243">
        <v>0.47</v>
      </c>
      <c r="C2243" t="s">
        <v>129</v>
      </c>
      <c r="D2243" t="s">
        <v>129</v>
      </c>
      <c r="E2243" t="s">
        <v>53</v>
      </c>
      <c r="F2243" t="s">
        <v>53</v>
      </c>
      <c r="G2243">
        <v>4</v>
      </c>
      <c r="H2243" t="s">
        <v>54</v>
      </c>
      <c r="I2243">
        <v>43500</v>
      </c>
      <c r="J2243">
        <v>41600</v>
      </c>
      <c r="K2243">
        <v>0.47</v>
      </c>
      <c r="L2243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2243">
        <v>0</v>
      </c>
      <c r="N2243">
        <v>0</v>
      </c>
      <c r="O2243">
        <v>0</v>
      </c>
      <c r="P2243">
        <v>13398.7528</v>
      </c>
      <c r="Q2243">
        <v>63903</v>
      </c>
      <c r="R2243">
        <f>(Grandview_Inventory[[#This Row],[ln_acres]]*Grandview_Inventory[[#This Row],[coeff]])+Grandview_Inventory[[#This Row],[const]]</f>
        <v>53786.639034841472</v>
      </c>
      <c r="S2243" t="s">
        <v>86</v>
      </c>
      <c r="T2243">
        <v>2</v>
      </c>
      <c r="U2243" t="s">
        <v>65</v>
      </c>
      <c r="V2243" t="s">
        <v>94</v>
      </c>
      <c r="W2243">
        <v>0</v>
      </c>
      <c r="X2243">
        <v>0</v>
      </c>
      <c r="Y2243">
        <v>60</v>
      </c>
      <c r="Z2243">
        <v>108</v>
      </c>
      <c r="AA2243">
        <v>110</v>
      </c>
      <c r="AB2243">
        <v>1500</v>
      </c>
      <c r="AC2243">
        <v>1458</v>
      </c>
      <c r="AD2243">
        <v>1138</v>
      </c>
      <c r="AE2243">
        <v>320</v>
      </c>
      <c r="AF2243">
        <v>0</v>
      </c>
      <c r="AG2243">
        <v>0</v>
      </c>
      <c r="AH2243">
        <v>864</v>
      </c>
      <c r="AI2243">
        <v>0</v>
      </c>
      <c r="AJ2243">
        <v>0</v>
      </c>
      <c r="AK2243">
        <v>0</v>
      </c>
      <c r="AL2243">
        <v>0</v>
      </c>
      <c r="AM2243">
        <v>210</v>
      </c>
      <c r="AN2243">
        <v>413</v>
      </c>
      <c r="AO2243">
        <v>210</v>
      </c>
      <c r="AP2243">
        <v>5</v>
      </c>
      <c r="AQ2243">
        <v>0</v>
      </c>
      <c r="AR2243">
        <v>0</v>
      </c>
      <c r="AS2243" t="s">
        <v>58</v>
      </c>
      <c r="AT2243">
        <v>0</v>
      </c>
      <c r="AU2243" t="s">
        <v>82</v>
      </c>
      <c r="AV2243" t="s">
        <v>60</v>
      </c>
      <c r="AW2243">
        <v>0</v>
      </c>
      <c r="AX2243">
        <v>4</v>
      </c>
      <c r="AY2243">
        <v>0</v>
      </c>
      <c r="AZ2243">
        <v>5500</v>
      </c>
      <c r="BA2243">
        <v>100</v>
      </c>
      <c r="BB2243">
        <v>100</v>
      </c>
      <c r="BC2243">
        <v>100</v>
      </c>
      <c r="BD2243">
        <v>100</v>
      </c>
      <c r="BE2243">
        <v>1</v>
      </c>
      <c r="BF2243">
        <v>15000</v>
      </c>
      <c r="BG2243">
        <v>1000</v>
      </c>
      <c r="BH2243" s="6">
        <f>Grandview_Inventory[[#This Row],[land_extract]]*Lookups!$B$3</f>
        <v>62462.278687236008</v>
      </c>
      <c r="BI2243" s="6">
        <f>IF(Grandview_Inventory[[#This Row],[bldg_style]]="",0,Lookups!$B$2)</f>
        <v>155833.95000000001</v>
      </c>
      <c r="BJ2243" s="6">
        <f>_xlfn.IFNA(VLOOKUP(Grandview_Inventory[[#This Row],[quality]],Lookups!$H$2:$J$14,3,FALSE),0)</f>
        <v>2251</v>
      </c>
      <c r="BK2243" s="6">
        <f>_xlfn.IFNA(VLOOKUP(Grandview_Inventory[[#This Row],[condition]],Lookups!$H$17:$J$24,3,FALSE),0)</f>
        <v>-77566.475205170951</v>
      </c>
      <c r="BL2243" s="6">
        <f>Grandview_Inventory[[#This Row],[Eff_Age]]*Lookups!$B$14</f>
        <v>-14349.995999999999</v>
      </c>
      <c r="BM2243" s="6">
        <f>Grandview_Inventory[[#This Row],[living_area]]*Lookups!$B$15</f>
        <v>90951.283674000006</v>
      </c>
      <c r="BN2243" s="6">
        <f>Grandview_Inventory[[#This Row],[Fin BSMT]]*Lookups!$B$16</f>
        <v>0</v>
      </c>
      <c r="BO2243" s="6">
        <f>(Grandview_Inventory[[#This Row],[att_gar]]+Grandview_Inventory[[#This Row],[bltin_gar]])*Lookups!$B$17</f>
        <v>0</v>
      </c>
      <c r="BP2243" s="6">
        <f>Grandview_Inventory[[#This Row],[Plumbing Fixtures]]*Lookups!$B$18</f>
        <v>10052.209000000001</v>
      </c>
      <c r="BQ2243" s="6">
        <f>Grandview_Inventory[[#This Row],[detatched_value]]*Lookups!$B$19</f>
        <v>4657.4280499999995</v>
      </c>
      <c r="BR2243" s="6">
        <f>SUM(Grandview_Inventory[[#This Row],[Intercept]:[det_value]])*Grandview_Inventory[[#This Row],[res_pct]]</f>
        <v>171829.39951882904</v>
      </c>
      <c r="BS2243" s="6">
        <f>Grandview_Inventory[[#This Row],[land_value]]</f>
        <v>62462.278687236008</v>
      </c>
      <c r="BT2243" s="4">
        <f>_xlfn.IFNA(VLOOKUP(Grandview_Inventory[[#This Row],[quality]],Lookups!$A$26:$C$33,3,FALSE),1)</f>
        <v>0.98763855981004833</v>
      </c>
      <c r="BU2243" s="4">
        <f>_xlfn.IFNA(VLOOKUP(Grandview_Inventory[[#This Row],[condition]],Lookups!$A$37:$C$44,3,FALSE),1)</f>
        <v>0.97161819570155394</v>
      </c>
      <c r="BV2243" s="4">
        <f>IF(Grandview_Inventory[[#This Row],[bldg_style]]="",1,_xlfn.IFNA(VLOOKUP(Grandview_Inventory[[#This Row],[decade]],Lookups!$F$29:$H$43,3,FALSE),1))</f>
        <v>0.92255236374249616</v>
      </c>
      <c r="BW2243" s="4">
        <f>_xlfn.IFNA(VLOOKUP(Grandview_Inventory[[#This Row],[living_area_range]],Lookups!$F$47:$H$56,3,FALSE),1)</f>
        <v>0.96135087979789358</v>
      </c>
      <c r="BX2243" s="4">
        <f>AVERAGE(Grandview_Inventory[[#This Row],[qual_adj]:[size_adj]])</f>
        <v>0.96078999976299806</v>
      </c>
      <c r="BY2243" s="6">
        <f>IF(Grandview_Inventory[[#This Row],[pre_res]]&lt;0,0,Grandview_Inventory[[#This Row],[pre_res]]*Grandview_Inventory[[#This Row],[overall_adj]])</f>
        <v>165091.96872297185</v>
      </c>
      <c r="BZ2243" s="6">
        <f>(Grandview_Inventory[[#This Row],[sum_land]]-IF(Grandview_Inventory[[#This Row],[no_utilities]]=1,12000,0))/IF(Grandview_Inventory[[#This Row],[unbuildable]]=1,2,1)</f>
        <v>62462.278687236008</v>
      </c>
      <c r="CA2243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2243">
        <f>ROUND(Grandview_Inventory[[#This Row],[det_value]]*Lookups!$M$28,-2)</f>
        <v>4400</v>
      </c>
      <c r="CC2243">
        <f>IF(ROUND(Grandview_Inventory[[#This Row],[adj_res]]*Lookups!$M$28,-2)&lt;Grandview_Inventory[[#This Row],[min_res]],Grandview_Inventory[[#This Row],[min_res]],ROUND(Grandview_Inventory[[#This Row],[adj_res]]*Lookups!$M$28,-2))</f>
        <v>156800</v>
      </c>
      <c r="CD2243">
        <f>Grandview_Inventory[[#This Row],[final_det]]+Grandview_Inventory[[#This Row],[final_res]]</f>
        <v>161200</v>
      </c>
      <c r="CE2243">
        <f>Grandview_Inventory[[#This Row],[final_land]]+Grandview_Inventory[[#This Row],[final_imp]]+Grandview_Inventory[[#This Row],[crop_value]]</f>
        <v>220500</v>
      </c>
      <c r="CG2243" t="str">
        <f t="shared" ref="CG2243:CG2306" si="35">"update valuation set market_land ="&amp;CA2243&amp;", market_bldg="&amp;CD2243&amp;", market_total ="&amp;CE2243&amp;", market_mdno ="&amp;$CG$1&amp;", market_date ='"&amp;TEXT($CH$1,"m/d/yyyy")&amp;"' where link_id = (select link_id from parcel where parcel_year = '2024' and parcel_id = '"&amp;A2243&amp;"');"</f>
        <v>update valuation set market_land =59300, market_bldg=161200, market_total =220500, market_mdno =401, market_date ='9/10/2023' where link_id = (select link_id from parcel where parcel_year = '2024' and parcel_id = '23092432008');</v>
      </c>
    </row>
    <row r="2244" spans="1:85" x14ac:dyDescent="0.25">
      <c r="A2244">
        <v>23092432015</v>
      </c>
      <c r="B2244">
        <v>5.6</v>
      </c>
      <c r="C2244" t="s">
        <v>129</v>
      </c>
      <c r="D2244" t="s">
        <v>129</v>
      </c>
      <c r="E2244" t="s">
        <v>53</v>
      </c>
      <c r="F2244" t="s">
        <v>53</v>
      </c>
      <c r="G2244">
        <v>4</v>
      </c>
      <c r="H2244" t="s">
        <v>54</v>
      </c>
      <c r="I2244">
        <v>482700</v>
      </c>
      <c r="J2244">
        <v>59200</v>
      </c>
      <c r="K2244">
        <v>5.6</v>
      </c>
      <c r="L2244">
        <f>IF(Grandview_Inventory[[#This Row],[parcel_acres]]-Grandview_Inventory[[#This Row],[non_valued_acres]] =0,0,LN(Grandview_Inventory[[#This Row],[parcel_acres]]-Grandview_Inventory[[#This Row],[non_valued_acres]]))</f>
        <v>1.7227665977411035</v>
      </c>
      <c r="M2244">
        <v>0</v>
      </c>
      <c r="N2244">
        <v>0</v>
      </c>
      <c r="O2244">
        <v>0</v>
      </c>
      <c r="P2244">
        <v>13398.7528</v>
      </c>
      <c r="Q2244">
        <v>63903</v>
      </c>
      <c r="R2244">
        <f>(Grandview_Inventory[[#This Row],[ln_acres]]*Grandview_Inventory[[#This Row],[coeff]])+Grandview_Inventory[[#This Row],[const]]</f>
        <v>86985.923775230083</v>
      </c>
      <c r="S2244" t="s">
        <v>61</v>
      </c>
      <c r="T2244">
        <v>1</v>
      </c>
      <c r="U2244" t="s">
        <v>64</v>
      </c>
      <c r="V2244" t="s">
        <v>67</v>
      </c>
      <c r="W2244">
        <v>0</v>
      </c>
      <c r="X2244">
        <v>0</v>
      </c>
      <c r="Y2244">
        <v>45</v>
      </c>
      <c r="Z2244">
        <v>52</v>
      </c>
      <c r="AA2244">
        <v>60</v>
      </c>
      <c r="AB2244">
        <v>5000</v>
      </c>
      <c r="AC2244">
        <v>4520</v>
      </c>
      <c r="AD2244">
        <v>3848</v>
      </c>
      <c r="AE2244">
        <v>0</v>
      </c>
      <c r="AF2244">
        <v>0</v>
      </c>
      <c r="AG2244">
        <v>672</v>
      </c>
      <c r="AH2244">
        <v>0</v>
      </c>
      <c r="AI2244">
        <v>528</v>
      </c>
      <c r="AJ2244">
        <v>0</v>
      </c>
      <c r="AK2244">
        <v>0</v>
      </c>
      <c r="AL2244">
        <v>0</v>
      </c>
      <c r="AM2244">
        <v>600</v>
      </c>
      <c r="AN2244">
        <v>168</v>
      </c>
      <c r="AO2244">
        <v>600</v>
      </c>
      <c r="AP2244">
        <v>10</v>
      </c>
      <c r="AQ2244">
        <v>0</v>
      </c>
      <c r="AR2244">
        <v>1</v>
      </c>
      <c r="AS2244" t="s">
        <v>58</v>
      </c>
      <c r="AT2244">
        <v>1</v>
      </c>
      <c r="AU2244" t="s">
        <v>63</v>
      </c>
      <c r="AV2244" t="s">
        <v>64</v>
      </c>
      <c r="AW2244">
        <v>1</v>
      </c>
      <c r="AX2244">
        <v>3</v>
      </c>
      <c r="AY2244">
        <v>12200</v>
      </c>
      <c r="AZ2244">
        <v>63800</v>
      </c>
      <c r="BA2244">
        <v>100</v>
      </c>
      <c r="BB2244">
        <v>100</v>
      </c>
      <c r="BC2244">
        <v>100</v>
      </c>
      <c r="BD2244">
        <v>100</v>
      </c>
      <c r="BE2244">
        <v>1</v>
      </c>
      <c r="BF2244">
        <v>15000</v>
      </c>
      <c r="BG2244">
        <v>1000</v>
      </c>
      <c r="BH2244" s="6">
        <f>Grandview_Inventory[[#This Row],[land_extract]]*Lookups!$B$3</f>
        <v>101016.51841818049</v>
      </c>
      <c r="BI2244" s="6">
        <f>IF(Grandview_Inventory[[#This Row],[bldg_style]]="",0,Lookups!$B$2)</f>
        <v>155833.95000000001</v>
      </c>
      <c r="BJ2244" s="6">
        <f>_xlfn.IFNA(VLOOKUP(Grandview_Inventory[[#This Row],[quality]],Lookups!$H$2:$J$14,3,FALSE),0)</f>
        <v>20768</v>
      </c>
      <c r="BK2244" s="6">
        <f>_xlfn.IFNA(VLOOKUP(Grandview_Inventory[[#This Row],[condition]],Lookups!$H$17:$J$24,3,FALSE),0)</f>
        <v>22342</v>
      </c>
      <c r="BL2244" s="6">
        <f>Grandview_Inventory[[#This Row],[Eff_Age]]*Lookups!$B$14</f>
        <v>-10762.496999999999</v>
      </c>
      <c r="BM2244" s="6">
        <f>Grandview_Inventory[[#This Row],[living_area]]*Lookups!$B$15</f>
        <v>281961.45556000003</v>
      </c>
      <c r="BN2244" s="6">
        <f>Grandview_Inventory[[#This Row],[Fin BSMT]]*Lookups!$B$16</f>
        <v>-18210.689280000002</v>
      </c>
      <c r="BO2244" s="6">
        <f>(Grandview_Inventory[[#This Row],[att_gar]]+Grandview_Inventory[[#This Row],[bltin_gar]])*Lookups!$B$17</f>
        <v>46210.790736000003</v>
      </c>
      <c r="BP2244" s="6">
        <f>Grandview_Inventory[[#This Row],[Plumbing Fixtures]]*Lookups!$B$18</f>
        <v>20104.418000000001</v>
      </c>
      <c r="BQ2244" s="6">
        <f>Grandview_Inventory[[#This Row],[detatched_value]]*Lookups!$B$19</f>
        <v>54026.165379999999</v>
      </c>
      <c r="BR2244" s="6">
        <f>SUM(Grandview_Inventory[[#This Row],[Intercept]:[det_value]])*Grandview_Inventory[[#This Row],[res_pct]]</f>
        <v>572273.59339599998</v>
      </c>
      <c r="BS2244" s="6">
        <f>Grandview_Inventory[[#This Row],[land_value]]</f>
        <v>101016.51841818049</v>
      </c>
      <c r="BT2244" s="4">
        <f>_xlfn.IFNA(VLOOKUP(Grandview_Inventory[[#This Row],[quality]],Lookups!$A$26:$C$33,3,FALSE),1)</f>
        <v>0.94960540378902636</v>
      </c>
      <c r="BU2244" s="4">
        <f>_xlfn.IFNA(VLOOKUP(Grandview_Inventory[[#This Row],[condition]],Lookups!$A$37:$C$44,3,FALSE),1)</f>
        <v>0.97383723671140243</v>
      </c>
      <c r="BV2244" s="4">
        <f>IF(Grandview_Inventory[[#This Row],[bldg_style]]="",1,_xlfn.IFNA(VLOOKUP(Grandview_Inventory[[#This Row],[decade]],Lookups!$F$29:$H$43,3,FALSE),1))</f>
        <v>0.95268620544463312</v>
      </c>
      <c r="BW2244" s="4">
        <f>_xlfn.IFNA(VLOOKUP(Grandview_Inventory[[#This Row],[living_area_range]],Lookups!$F$47:$H$56,3,FALSE),1)</f>
        <v>0.90089875105039252</v>
      </c>
      <c r="BX2244" s="4">
        <f>AVERAGE(Grandview_Inventory[[#This Row],[qual_adj]:[size_adj]])</f>
        <v>0.94425689924886358</v>
      </c>
      <c r="BY2244" s="6">
        <f>IF(Grandview_Inventory[[#This Row],[pre_res]]&lt;0,0,Grandview_Inventory[[#This Row],[pre_res]]*Grandview_Inventory[[#This Row],[overall_adj]])</f>
        <v>540373.28882211191</v>
      </c>
      <c r="BZ2244" s="6">
        <f>(Grandview_Inventory[[#This Row],[sum_land]]-IF(Grandview_Inventory[[#This Row],[no_utilities]]=1,12000,0))/IF(Grandview_Inventory[[#This Row],[unbuildable]]=1,2,1)</f>
        <v>101016.51841818049</v>
      </c>
      <c r="CA2244">
        <f>IF(ROUND(Grandview_Inventory[[#This Row],[adj_land]]*Lookups!$M$28,-2)&lt;Grandview_Inventory[[#This Row],[min_land]],Grandview_Inventory[[#This Row],[min_land]],ROUND(Grandview_Inventory[[#This Row],[adj_land]]*Lookups!$M$28,-2))</f>
        <v>96000</v>
      </c>
      <c r="CB2244">
        <f>ROUND(Grandview_Inventory[[#This Row],[det_value]]*Lookups!$M$28,-2)</f>
        <v>51300</v>
      </c>
      <c r="CC2244">
        <f>IF(ROUND(Grandview_Inventory[[#This Row],[adj_res]]*Lookups!$M$28,-2)&lt;Grandview_Inventory[[#This Row],[min_res]],Grandview_Inventory[[#This Row],[min_res]],ROUND(Grandview_Inventory[[#This Row],[adj_res]]*Lookups!$M$28,-2))</f>
        <v>513400</v>
      </c>
      <c r="CD2244">
        <f>Grandview_Inventory[[#This Row],[final_det]]+Grandview_Inventory[[#This Row],[final_res]]</f>
        <v>564700</v>
      </c>
      <c r="CE2244">
        <f>Grandview_Inventory[[#This Row],[final_land]]+Grandview_Inventory[[#This Row],[final_imp]]+Grandview_Inventory[[#This Row],[crop_value]]</f>
        <v>672900</v>
      </c>
      <c r="CG2244" t="str">
        <f t="shared" si="35"/>
        <v>update valuation set market_land =96000, market_bldg=564700, market_total =672900, market_mdno =401, market_date ='9/10/2023' where link_id = (select link_id from parcel where parcel_year = '2024' and parcel_id = '23092432015');</v>
      </c>
    </row>
    <row r="2245" spans="1:85" x14ac:dyDescent="0.25">
      <c r="A2245">
        <v>23092611001</v>
      </c>
      <c r="B2245">
        <v>38.94</v>
      </c>
      <c r="C2245" t="s">
        <v>129</v>
      </c>
      <c r="D2245" t="s">
        <v>129</v>
      </c>
      <c r="E2245" t="s">
        <v>53</v>
      </c>
      <c r="F2245" t="s">
        <v>53</v>
      </c>
      <c r="G2245">
        <v>4</v>
      </c>
      <c r="H2245" t="s">
        <v>180</v>
      </c>
      <c r="I2245">
        <v>374100</v>
      </c>
      <c r="J2245">
        <v>234300</v>
      </c>
      <c r="K2245">
        <v>38.94</v>
      </c>
      <c r="L2245">
        <f>IF(Grandview_Inventory[[#This Row],[parcel_acres]]-Grandview_Inventory[[#This Row],[non_valued_acres]] =0,0,LN(Grandview_Inventory[[#This Row],[parcel_acres]]-Grandview_Inventory[[#This Row],[non_valued_acres]]))</f>
        <v>3.6620219999440535</v>
      </c>
      <c r="M2245">
        <v>0</v>
      </c>
      <c r="N2245">
        <v>0</v>
      </c>
      <c r="O2245">
        <v>0</v>
      </c>
      <c r="P2245">
        <v>13398.7528</v>
      </c>
      <c r="Q2245">
        <v>63903</v>
      </c>
      <c r="R2245">
        <f>(Grandview_Inventory[[#This Row],[ln_acres]]*Grandview_Inventory[[#This Row],[coeff]])+Grandview_Inventory[[#This Row],[const]]</f>
        <v>112969.52752541198</v>
      </c>
      <c r="S2245" t="s">
        <v>86</v>
      </c>
      <c r="T2245">
        <v>2</v>
      </c>
      <c r="U2245" t="s">
        <v>64</v>
      </c>
      <c r="V2245" t="s">
        <v>69</v>
      </c>
      <c r="W2245">
        <v>0</v>
      </c>
      <c r="X2245">
        <v>0</v>
      </c>
      <c r="Y2245">
        <v>67</v>
      </c>
      <c r="Z2245">
        <v>115</v>
      </c>
      <c r="AA2245">
        <v>120</v>
      </c>
      <c r="AB2245">
        <v>2500</v>
      </c>
      <c r="AC2245">
        <v>2218</v>
      </c>
      <c r="AD2245">
        <v>1530</v>
      </c>
      <c r="AE2245">
        <v>688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200</v>
      </c>
      <c r="AN2245">
        <v>209</v>
      </c>
      <c r="AO2245">
        <v>0</v>
      </c>
      <c r="AP2245">
        <v>8</v>
      </c>
      <c r="AQ2245">
        <v>1</v>
      </c>
      <c r="AR2245">
        <v>0</v>
      </c>
      <c r="AS2245" t="s">
        <v>76</v>
      </c>
      <c r="AT2245">
        <v>1</v>
      </c>
      <c r="AU2245" t="s">
        <v>59</v>
      </c>
      <c r="AV2245" t="s">
        <v>60</v>
      </c>
      <c r="AW2245">
        <v>1</v>
      </c>
      <c r="AX2245">
        <v>4</v>
      </c>
      <c r="AY2245">
        <v>99000</v>
      </c>
      <c r="AZ2245">
        <v>67900</v>
      </c>
      <c r="BA2245">
        <v>100</v>
      </c>
      <c r="BB2245">
        <v>100</v>
      </c>
      <c r="BC2245">
        <v>100</v>
      </c>
      <c r="BD2245">
        <v>100</v>
      </c>
      <c r="BE2245">
        <v>1</v>
      </c>
      <c r="BF2245">
        <v>15000</v>
      </c>
      <c r="BG2245">
        <v>1000</v>
      </c>
      <c r="BH2245" s="6">
        <f>Grandview_Inventory[[#This Row],[land_extract]]*Lookups!$B$3</f>
        <v>131191.2072975366</v>
      </c>
      <c r="BI2245" s="6">
        <f>IF(Grandview_Inventory[[#This Row],[bldg_style]]="",0,Lookups!$B$2)</f>
        <v>155833.95000000001</v>
      </c>
      <c r="BJ2245" s="6">
        <f>_xlfn.IFNA(VLOOKUP(Grandview_Inventory[[#This Row],[quality]],Lookups!$H$2:$J$14,3,FALSE),0)</f>
        <v>20768</v>
      </c>
      <c r="BK2245" s="6">
        <f>_xlfn.IFNA(VLOOKUP(Grandview_Inventory[[#This Row],[condition]],Lookups!$H$17:$J$24,3,FALSE),0)</f>
        <v>-4503</v>
      </c>
      <c r="BL2245" s="6">
        <f>Grandview_Inventory[[#This Row],[Eff_Age]]*Lookups!$B$14</f>
        <v>-16024.162199999999</v>
      </c>
      <c r="BM2245" s="6">
        <f>Grandview_Inventory[[#This Row],[living_area]]*Lookups!$B$15</f>
        <v>138360.73195400002</v>
      </c>
      <c r="BN2245" s="6">
        <f>Grandview_Inventory[[#This Row],[Fin BSMT]]*Lookups!$B$16</f>
        <v>0</v>
      </c>
      <c r="BO2245" s="6">
        <f>(Grandview_Inventory[[#This Row],[att_gar]]+Grandview_Inventory[[#This Row],[bltin_gar]])*Lookups!$B$17</f>
        <v>0</v>
      </c>
      <c r="BP2245" s="6">
        <f>Grandview_Inventory[[#This Row],[Plumbing Fixtures]]*Lookups!$B$18</f>
        <v>16083.5344</v>
      </c>
      <c r="BQ2245" s="6">
        <f>Grandview_Inventory[[#This Row],[detatched_value]]*Lookups!$B$19</f>
        <v>57498.066289999995</v>
      </c>
      <c r="BR2245" s="6">
        <f>SUM(Grandview_Inventory[[#This Row],[Intercept]:[det_value]])*Grandview_Inventory[[#This Row],[res_pct]]</f>
        <v>368017.120444</v>
      </c>
      <c r="BS2245" s="6">
        <f>Grandview_Inventory[[#This Row],[land_value]]</f>
        <v>131191.2072975366</v>
      </c>
      <c r="BT2245" s="4">
        <f>_xlfn.IFNA(VLOOKUP(Grandview_Inventory[[#This Row],[quality]],Lookups!$A$26:$C$33,3,FALSE),1)</f>
        <v>0.94960540378902636</v>
      </c>
      <c r="BU2245" s="4">
        <f>_xlfn.IFNA(VLOOKUP(Grandview_Inventory[[#This Row],[condition]],Lookups!$A$37:$C$44,3,FALSE),1)</f>
        <v>0.96469275950863709</v>
      </c>
      <c r="BV2245" s="4">
        <f>IF(Grandview_Inventory[[#This Row],[bldg_style]]="",1,_xlfn.IFNA(VLOOKUP(Grandview_Inventory[[#This Row],[decade]],Lookups!$F$29:$H$43,3,FALSE),1))</f>
        <v>0.9251738460551937</v>
      </c>
      <c r="BW2245" s="4">
        <f>_xlfn.IFNA(VLOOKUP(Grandview_Inventory[[#This Row],[living_area_range]],Lookups!$F$47:$H$56,3,FALSE),1)</f>
        <v>0.95799442568048754</v>
      </c>
      <c r="BX2245" s="4">
        <f>AVERAGE(Grandview_Inventory[[#This Row],[qual_adj]:[size_adj]])</f>
        <v>0.94936660875833612</v>
      </c>
      <c r="BY2245" s="6">
        <f>IF(Grandview_Inventory[[#This Row],[pre_res]]&lt;0,0,Grandview_Inventory[[#This Row],[pre_res]]*Grandview_Inventory[[#This Row],[overall_adj]])</f>
        <v>349383.16560092842</v>
      </c>
      <c r="BZ2245" s="6">
        <f>(Grandview_Inventory[[#This Row],[sum_land]]-IF(Grandview_Inventory[[#This Row],[no_utilities]]=1,12000,0))/IF(Grandview_Inventory[[#This Row],[unbuildable]]=1,2,1)</f>
        <v>131191.2072975366</v>
      </c>
      <c r="CA2245">
        <f>IF(ROUND(Grandview_Inventory[[#This Row],[adj_land]]*Lookups!$M$28,-2)&lt;Grandview_Inventory[[#This Row],[min_land]],Grandview_Inventory[[#This Row],[min_land]],ROUND(Grandview_Inventory[[#This Row],[adj_land]]*Lookups!$M$28,-2))</f>
        <v>124600</v>
      </c>
      <c r="CB2245">
        <f>ROUND(Grandview_Inventory[[#This Row],[det_value]]*Lookups!$M$28,-2)</f>
        <v>54600</v>
      </c>
      <c r="CC2245">
        <f>IF(ROUND(Grandview_Inventory[[#This Row],[adj_res]]*Lookups!$M$28,-2)&lt;Grandview_Inventory[[#This Row],[min_res]],Grandview_Inventory[[#This Row],[min_res]],ROUND(Grandview_Inventory[[#This Row],[adj_res]]*Lookups!$M$28,-2))</f>
        <v>331900</v>
      </c>
      <c r="CD2245">
        <f>Grandview_Inventory[[#This Row],[final_det]]+Grandview_Inventory[[#This Row],[final_res]]</f>
        <v>386500</v>
      </c>
      <c r="CE2245">
        <f>Grandview_Inventory[[#This Row],[final_land]]+Grandview_Inventory[[#This Row],[final_imp]]+Grandview_Inventory[[#This Row],[crop_value]]</f>
        <v>610100</v>
      </c>
      <c r="CG2245" t="str">
        <f t="shared" si="35"/>
        <v>update valuation set market_land =124600, market_bldg=386500, market_total =610100, market_mdno =401, market_date ='9/10/2023' where link_id = (select link_id from parcel where parcel_year = '2024' and parcel_id = '23092611001');</v>
      </c>
    </row>
    <row r="2246" spans="1:85" x14ac:dyDescent="0.25">
      <c r="A2246">
        <v>23092612020</v>
      </c>
      <c r="B2246">
        <v>2.54</v>
      </c>
      <c r="C2246">
        <v>110543</v>
      </c>
      <c r="D2246" t="s">
        <v>129</v>
      </c>
      <c r="E2246" t="s">
        <v>53</v>
      </c>
      <c r="F2246" t="s">
        <v>53</v>
      </c>
      <c r="G2246">
        <v>4</v>
      </c>
      <c r="H2246" t="s">
        <v>54</v>
      </c>
      <c r="I2246">
        <v>161800</v>
      </c>
      <c r="J2246">
        <v>48600</v>
      </c>
      <c r="K2246">
        <v>2.54</v>
      </c>
      <c r="L2246">
        <f>IF(Grandview_Inventory[[#This Row],[parcel_acres]]-Grandview_Inventory[[#This Row],[non_valued_acres]] =0,0,LN(Grandview_Inventory[[#This Row],[parcel_acres]]-Grandview_Inventory[[#This Row],[non_valued_acres]]))</f>
        <v>0.93216408103044524</v>
      </c>
      <c r="M2246">
        <v>0</v>
      </c>
      <c r="N2246">
        <v>0</v>
      </c>
      <c r="O2246">
        <v>0</v>
      </c>
      <c r="P2246">
        <v>13398.7528</v>
      </c>
      <c r="Q2246">
        <v>63903</v>
      </c>
      <c r="R2246">
        <f>(Grandview_Inventory[[#This Row],[ln_acres]]*Grandview_Inventory[[#This Row],[coeff]])+Grandview_Inventory[[#This Row],[const]]</f>
        <v>76392.836090766097</v>
      </c>
      <c r="S2246" t="s">
        <v>68</v>
      </c>
      <c r="T2246">
        <v>1</v>
      </c>
      <c r="U2246" t="s">
        <v>65</v>
      </c>
      <c r="V2246" t="s">
        <v>69</v>
      </c>
      <c r="W2246">
        <v>0</v>
      </c>
      <c r="X2246">
        <v>0</v>
      </c>
      <c r="Y2246">
        <v>52</v>
      </c>
      <c r="Z2246">
        <v>88</v>
      </c>
      <c r="AA2246">
        <v>90</v>
      </c>
      <c r="AB2246">
        <v>1500</v>
      </c>
      <c r="AC2246">
        <v>1240</v>
      </c>
      <c r="AD2246">
        <v>1240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252</v>
      </c>
      <c r="AN2246">
        <v>0</v>
      </c>
      <c r="AO2246">
        <v>252</v>
      </c>
      <c r="AP2246">
        <v>5</v>
      </c>
      <c r="AQ2246">
        <v>0</v>
      </c>
      <c r="AR2246">
        <v>1</v>
      </c>
      <c r="AS2246" t="s">
        <v>58</v>
      </c>
      <c r="AT2246">
        <v>1</v>
      </c>
      <c r="AU2246" t="s">
        <v>63</v>
      </c>
      <c r="AV2246" t="s">
        <v>81</v>
      </c>
      <c r="AW2246">
        <v>1</v>
      </c>
      <c r="AX2246">
        <v>2</v>
      </c>
      <c r="AY2246">
        <v>0</v>
      </c>
      <c r="AZ2246">
        <v>22200</v>
      </c>
      <c r="BA2246">
        <v>100</v>
      </c>
      <c r="BB2246">
        <v>100</v>
      </c>
      <c r="BC2246">
        <v>100</v>
      </c>
      <c r="BD2246">
        <v>100</v>
      </c>
      <c r="BE2246">
        <v>1</v>
      </c>
      <c r="BF2246">
        <v>15000</v>
      </c>
      <c r="BG2246">
        <v>1000</v>
      </c>
      <c r="BH2246" s="6">
        <f>Grandview_Inventory[[#This Row],[land_extract]]*Lookups!$B$3</f>
        <v>88714.794291549217</v>
      </c>
      <c r="BI2246" s="6">
        <f>IF(Grandview_Inventory[[#This Row],[bldg_style]]="",0,Lookups!$B$2)</f>
        <v>155833.95000000001</v>
      </c>
      <c r="BJ2246" s="6">
        <f>_xlfn.IFNA(VLOOKUP(Grandview_Inventory[[#This Row],[quality]],Lookups!$H$2:$J$14,3,FALSE),0)</f>
        <v>2251</v>
      </c>
      <c r="BK2246" s="6">
        <f>_xlfn.IFNA(VLOOKUP(Grandview_Inventory[[#This Row],[condition]],Lookups!$H$17:$J$24,3,FALSE),0)</f>
        <v>-4503</v>
      </c>
      <c r="BL2246" s="6">
        <f>Grandview_Inventory[[#This Row],[Eff_Age]]*Lookups!$B$14</f>
        <v>-12436.663199999999</v>
      </c>
      <c r="BM2246" s="6">
        <f>Grandview_Inventory[[#This Row],[living_area]]*Lookups!$B$15</f>
        <v>77352.257720000009</v>
      </c>
      <c r="BN2246" s="6">
        <f>Grandview_Inventory[[#This Row],[Fin BSMT]]*Lookups!$B$16</f>
        <v>0</v>
      </c>
      <c r="BO2246" s="6">
        <f>(Grandview_Inventory[[#This Row],[att_gar]]+Grandview_Inventory[[#This Row],[bltin_gar]])*Lookups!$B$17</f>
        <v>0</v>
      </c>
      <c r="BP2246" s="6">
        <f>Grandview_Inventory[[#This Row],[Plumbing Fixtures]]*Lookups!$B$18</f>
        <v>10052.209000000001</v>
      </c>
      <c r="BQ2246" s="6">
        <f>Grandview_Inventory[[#This Row],[detatched_value]]*Lookups!$B$19</f>
        <v>18799.073219999998</v>
      </c>
      <c r="BR2246" s="6">
        <f>SUM(Grandview_Inventory[[#This Row],[Intercept]:[det_value]])*Grandview_Inventory[[#This Row],[res_pct]]</f>
        <v>247348.82673999999</v>
      </c>
      <c r="BS2246" s="6">
        <f>Grandview_Inventory[[#This Row],[land_value]]</f>
        <v>88714.794291549217</v>
      </c>
      <c r="BT2246" s="4">
        <f>_xlfn.IFNA(VLOOKUP(Grandview_Inventory[[#This Row],[quality]],Lookups!$A$26:$C$33,3,FALSE),1)</f>
        <v>0.98763855981004833</v>
      </c>
      <c r="BU2246" s="4">
        <f>_xlfn.IFNA(VLOOKUP(Grandview_Inventory[[#This Row],[condition]],Lookups!$A$37:$C$44,3,FALSE),1)</f>
        <v>0.96469275950863709</v>
      </c>
      <c r="BV2246" s="4">
        <f>IF(Grandview_Inventory[[#This Row],[bldg_style]]="",1,_xlfn.IFNA(VLOOKUP(Grandview_Inventory[[#This Row],[decade]],Lookups!$F$29:$H$43,3,FALSE),1))</f>
        <v>0.94161750052457416</v>
      </c>
      <c r="BW2246" s="4">
        <f>_xlfn.IFNA(VLOOKUP(Grandview_Inventory[[#This Row],[living_area_range]],Lookups!$F$47:$H$56,3,FALSE),1)</f>
        <v>0.96135087979789358</v>
      </c>
      <c r="BX2246" s="4">
        <f>AVERAGE(Grandview_Inventory[[#This Row],[qual_adj]:[size_adj]])</f>
        <v>0.96382492491028826</v>
      </c>
      <c r="BY2246" s="6">
        <f>IF(Grandview_Inventory[[#This Row],[pre_res]]&lt;0,0,Grandview_Inventory[[#This Row],[pre_res]]*Grandview_Inventory[[#This Row],[overall_adj]])</f>
        <v>238400.96435932838</v>
      </c>
      <c r="BZ2246" s="6">
        <f>(Grandview_Inventory[[#This Row],[sum_land]]-IF(Grandview_Inventory[[#This Row],[no_utilities]]=1,12000,0))/IF(Grandview_Inventory[[#This Row],[unbuildable]]=1,2,1)</f>
        <v>88714.794291549217</v>
      </c>
      <c r="CA2246">
        <f>IF(ROUND(Grandview_Inventory[[#This Row],[adj_land]]*Lookups!$M$28,-2)&lt;Grandview_Inventory[[#This Row],[min_land]],Grandview_Inventory[[#This Row],[min_land]],ROUND(Grandview_Inventory[[#This Row],[adj_land]]*Lookups!$M$28,-2))</f>
        <v>84300</v>
      </c>
      <c r="CB2246">
        <f>ROUND(Grandview_Inventory[[#This Row],[det_value]]*Lookups!$M$28,-2)</f>
        <v>17900</v>
      </c>
      <c r="CC2246">
        <f>IF(ROUND(Grandview_Inventory[[#This Row],[adj_res]]*Lookups!$M$28,-2)&lt;Grandview_Inventory[[#This Row],[min_res]],Grandview_Inventory[[#This Row],[min_res]],ROUND(Grandview_Inventory[[#This Row],[adj_res]]*Lookups!$M$28,-2))</f>
        <v>226500</v>
      </c>
      <c r="CD2246">
        <f>Grandview_Inventory[[#This Row],[final_det]]+Grandview_Inventory[[#This Row],[final_res]]</f>
        <v>244400</v>
      </c>
      <c r="CE2246">
        <f>Grandview_Inventory[[#This Row],[final_land]]+Grandview_Inventory[[#This Row],[final_imp]]+Grandview_Inventory[[#This Row],[crop_value]]</f>
        <v>328700</v>
      </c>
      <c r="CG2246" t="str">
        <f t="shared" si="35"/>
        <v>update valuation set market_land =84300, market_bldg=244400, market_total =328700, market_mdno =401, market_date ='9/10/2023' where link_id = (select link_id from parcel where parcel_year = '2024' and parcel_id = '23092612020');</v>
      </c>
    </row>
    <row r="2247" spans="1:85" x14ac:dyDescent="0.25">
      <c r="A2247">
        <v>23092612024</v>
      </c>
      <c r="B2247">
        <v>1.27</v>
      </c>
      <c r="C2247">
        <v>55474</v>
      </c>
      <c r="D2247" t="s">
        <v>129</v>
      </c>
      <c r="E2247" t="s">
        <v>53</v>
      </c>
      <c r="F2247" t="s">
        <v>53</v>
      </c>
      <c r="G2247">
        <v>4</v>
      </c>
      <c r="H2247" t="s">
        <v>54</v>
      </c>
      <c r="I2247">
        <v>98800</v>
      </c>
      <c r="J2247">
        <v>46300</v>
      </c>
      <c r="K2247">
        <v>1.27</v>
      </c>
      <c r="L2247">
        <f>IF(Grandview_Inventory[[#This Row],[parcel_acres]]-Grandview_Inventory[[#This Row],[non_valued_acres]] =0,0,LN(Grandview_Inventory[[#This Row],[parcel_acres]]-Grandview_Inventory[[#This Row],[non_valued_acres]]))</f>
        <v>0.23901690047049992</v>
      </c>
      <c r="M2247">
        <v>0</v>
      </c>
      <c r="N2247">
        <v>0</v>
      </c>
      <c r="O2247">
        <v>0</v>
      </c>
      <c r="P2247">
        <v>13398.7528</v>
      </c>
      <c r="Q2247">
        <v>63903</v>
      </c>
      <c r="R2247">
        <f>(Grandview_Inventory[[#This Row],[ln_acres]]*Grandview_Inventory[[#This Row],[coeff]])+Grandview_Inventory[[#This Row],[const]]</f>
        <v>67105.528364426427</v>
      </c>
      <c r="S2247" t="s">
        <v>68</v>
      </c>
      <c r="T2247">
        <v>1</v>
      </c>
      <c r="U2247" t="s">
        <v>80</v>
      </c>
      <c r="V2247" t="s">
        <v>69</v>
      </c>
      <c r="W2247">
        <v>0</v>
      </c>
      <c r="X2247">
        <v>0</v>
      </c>
      <c r="Y2247">
        <v>52</v>
      </c>
      <c r="Z2247">
        <v>86</v>
      </c>
      <c r="AA2247">
        <v>90</v>
      </c>
      <c r="AB2247">
        <v>1000</v>
      </c>
      <c r="AC2247">
        <v>892</v>
      </c>
      <c r="AD2247">
        <v>892</v>
      </c>
      <c r="AE2247">
        <v>0</v>
      </c>
      <c r="AF2247">
        <v>0</v>
      </c>
      <c r="AG2247">
        <v>0</v>
      </c>
      <c r="AH2247">
        <v>892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5</v>
      </c>
      <c r="AQ2247">
        <v>0</v>
      </c>
      <c r="AR2247">
        <v>0</v>
      </c>
      <c r="AS2247" t="s">
        <v>58</v>
      </c>
      <c r="AT2247">
        <v>1</v>
      </c>
      <c r="AU2247" t="s">
        <v>63</v>
      </c>
      <c r="AV2247" t="s">
        <v>81</v>
      </c>
      <c r="AW2247">
        <v>0</v>
      </c>
      <c r="AX2247">
        <v>2</v>
      </c>
      <c r="AY2247">
        <v>0</v>
      </c>
      <c r="AZ2247">
        <v>9400</v>
      </c>
      <c r="BA2247">
        <v>100</v>
      </c>
      <c r="BB2247">
        <v>100</v>
      </c>
      <c r="BC2247">
        <v>100</v>
      </c>
      <c r="BD2247">
        <v>100</v>
      </c>
      <c r="BE2247">
        <v>1</v>
      </c>
      <c r="BF2247">
        <v>15000</v>
      </c>
      <c r="BG2247">
        <v>1000</v>
      </c>
      <c r="BH2247" s="6">
        <f>Grandview_Inventory[[#This Row],[land_extract]]*Lookups!$B$3</f>
        <v>77929.468904681824</v>
      </c>
      <c r="BI2247" s="6">
        <f>IF(Grandview_Inventory[[#This Row],[bldg_style]]="",0,Lookups!$B$2)</f>
        <v>155833.95000000001</v>
      </c>
      <c r="BJ2247" s="6">
        <f>_xlfn.IFNA(VLOOKUP(Grandview_Inventory[[#This Row],[quality]],Lookups!$H$2:$J$14,3,FALSE),0)</f>
        <v>-28558</v>
      </c>
      <c r="BK2247" s="6">
        <f>_xlfn.IFNA(VLOOKUP(Grandview_Inventory[[#This Row],[condition]],Lookups!$H$17:$J$24,3,FALSE),0)</f>
        <v>-4503</v>
      </c>
      <c r="BL2247" s="6">
        <f>Grandview_Inventory[[#This Row],[Eff_Age]]*Lookups!$B$14</f>
        <v>-12436.663199999999</v>
      </c>
      <c r="BM2247" s="6">
        <f>Grandview_Inventory[[#This Row],[living_area]]*Lookups!$B$15</f>
        <v>55643.720875999999</v>
      </c>
      <c r="BN2247" s="6">
        <f>Grandview_Inventory[[#This Row],[Fin BSMT]]*Lookups!$B$16</f>
        <v>0</v>
      </c>
      <c r="BO2247" s="6">
        <f>(Grandview_Inventory[[#This Row],[att_gar]]+Grandview_Inventory[[#This Row],[bltin_gar]])*Lookups!$B$17</f>
        <v>0</v>
      </c>
      <c r="BP2247" s="6">
        <f>Grandview_Inventory[[#This Row],[Plumbing Fixtures]]*Lookups!$B$18</f>
        <v>10052.209000000001</v>
      </c>
      <c r="BQ2247" s="6">
        <f>Grandview_Inventory[[#This Row],[detatched_value]]*Lookups!$B$19</f>
        <v>7959.9679399999995</v>
      </c>
      <c r="BR2247" s="6">
        <f>SUM(Grandview_Inventory[[#This Row],[Intercept]:[det_value]])*Grandview_Inventory[[#This Row],[res_pct]]</f>
        <v>183992.18461600001</v>
      </c>
      <c r="BS2247" s="6">
        <f>Grandview_Inventory[[#This Row],[land_value]]</f>
        <v>77929.468904681824</v>
      </c>
      <c r="BT2247" s="4">
        <f>_xlfn.IFNA(VLOOKUP(Grandview_Inventory[[#This Row],[quality]],Lookups!$A$26:$C$33,3,FALSE),1)</f>
        <v>0.9690360070159818</v>
      </c>
      <c r="BU2247" s="4">
        <f>_xlfn.IFNA(VLOOKUP(Grandview_Inventory[[#This Row],[condition]],Lookups!$A$37:$C$44,3,FALSE),1)</f>
        <v>0.96469275950863709</v>
      </c>
      <c r="BV2247" s="4">
        <f>IF(Grandview_Inventory[[#This Row],[bldg_style]]="",1,_xlfn.IFNA(VLOOKUP(Grandview_Inventory[[#This Row],[decade]],Lookups!$F$29:$H$43,3,FALSE),1))</f>
        <v>0.94161750052457416</v>
      </c>
      <c r="BW2247" s="4">
        <f>_xlfn.IFNA(VLOOKUP(Grandview_Inventory[[#This Row],[living_area_range]],Lookups!$F$47:$H$56,3,FALSE),1)</f>
        <v>0.94306777142782894</v>
      </c>
      <c r="BX2247" s="4">
        <f>AVERAGE(Grandview_Inventory[[#This Row],[qual_adj]:[size_adj]])</f>
        <v>0.95460350961925544</v>
      </c>
      <c r="BY2247" s="6">
        <f>IF(Grandview_Inventory[[#This Row],[pre_res]]&lt;0,0,Grandview_Inventory[[#This Row],[pre_res]]*Grandview_Inventory[[#This Row],[overall_adj]])</f>
        <v>175639.58517694758</v>
      </c>
      <c r="BZ2247" s="6">
        <f>(Grandview_Inventory[[#This Row],[sum_land]]-IF(Grandview_Inventory[[#This Row],[no_utilities]]=1,12000,0))/IF(Grandview_Inventory[[#This Row],[unbuildable]]=1,2,1)</f>
        <v>77929.468904681824</v>
      </c>
      <c r="CA2247">
        <f>IF(ROUND(Grandview_Inventory[[#This Row],[adj_land]]*Lookups!$M$28,-2)&lt;Grandview_Inventory[[#This Row],[min_land]],Grandview_Inventory[[#This Row],[min_land]],ROUND(Grandview_Inventory[[#This Row],[adj_land]]*Lookups!$M$28,-2))</f>
        <v>74000</v>
      </c>
      <c r="CB2247">
        <f>ROUND(Grandview_Inventory[[#This Row],[det_value]]*Lookups!$M$28,-2)</f>
        <v>7600</v>
      </c>
      <c r="CC2247">
        <f>IF(ROUND(Grandview_Inventory[[#This Row],[adj_res]]*Lookups!$M$28,-2)&lt;Grandview_Inventory[[#This Row],[min_res]],Grandview_Inventory[[#This Row],[min_res]],ROUND(Grandview_Inventory[[#This Row],[adj_res]]*Lookups!$M$28,-2))</f>
        <v>166900</v>
      </c>
      <c r="CD2247">
        <f>Grandview_Inventory[[#This Row],[final_det]]+Grandview_Inventory[[#This Row],[final_res]]</f>
        <v>174500</v>
      </c>
      <c r="CE2247">
        <f>Grandview_Inventory[[#This Row],[final_land]]+Grandview_Inventory[[#This Row],[final_imp]]+Grandview_Inventory[[#This Row],[crop_value]]</f>
        <v>248500</v>
      </c>
      <c r="CG2247" t="str">
        <f t="shared" si="35"/>
        <v>update valuation set market_land =74000, market_bldg=174500, market_total =248500, market_mdno =401, market_date ='9/10/2023' where link_id = (select link_id from parcel where parcel_year = '2024' and parcel_id = '23092612024');</v>
      </c>
    </row>
    <row r="2248" spans="1:85" x14ac:dyDescent="0.25">
      <c r="A2248">
        <v>23092612025</v>
      </c>
      <c r="B2248">
        <v>0.97</v>
      </c>
      <c r="C2248">
        <v>42385</v>
      </c>
      <c r="D2248" t="s">
        <v>129</v>
      </c>
      <c r="E2248" t="s">
        <v>53</v>
      </c>
      <c r="F2248" t="s">
        <v>53</v>
      </c>
      <c r="G2248">
        <v>4</v>
      </c>
      <c r="H2248" t="s">
        <v>54</v>
      </c>
      <c r="I2248">
        <v>127500</v>
      </c>
      <c r="J2248">
        <v>45400</v>
      </c>
      <c r="K2248">
        <v>0.97</v>
      </c>
      <c r="L2248">
        <f>IF(Grandview_Inventory[[#This Row],[parcel_acres]]-Grandview_Inventory[[#This Row],[non_valued_acres]] =0,0,LN(Grandview_Inventory[[#This Row],[parcel_acres]]-Grandview_Inventory[[#This Row],[non_valued_acres]]))</f>
        <v>-3.0459207484708574E-2</v>
      </c>
      <c r="M2248">
        <v>0</v>
      </c>
      <c r="N2248">
        <v>0</v>
      </c>
      <c r="O2248">
        <v>0</v>
      </c>
      <c r="P2248">
        <v>13398.7528</v>
      </c>
      <c r="Q2248">
        <v>63903</v>
      </c>
      <c r="R2248">
        <f>(Grandview_Inventory[[#This Row],[ln_acres]]*Grandview_Inventory[[#This Row],[coeff]])+Grandview_Inventory[[#This Row],[const]]</f>
        <v>63494.884608428481</v>
      </c>
      <c r="S2248" t="s">
        <v>61</v>
      </c>
      <c r="T2248">
        <v>1</v>
      </c>
      <c r="U2248" t="s">
        <v>65</v>
      </c>
      <c r="V2248" t="s">
        <v>69</v>
      </c>
      <c r="W2248">
        <v>0</v>
      </c>
      <c r="X2248">
        <v>0</v>
      </c>
      <c r="Y2248">
        <v>50</v>
      </c>
      <c r="Z2248">
        <v>73</v>
      </c>
      <c r="AA2248">
        <v>80</v>
      </c>
      <c r="AB2248">
        <v>1000</v>
      </c>
      <c r="AC2248">
        <v>968</v>
      </c>
      <c r="AD2248">
        <v>968</v>
      </c>
      <c r="AE2248">
        <v>0</v>
      </c>
      <c r="AF2248">
        <v>0</v>
      </c>
      <c r="AG2248">
        <v>0</v>
      </c>
      <c r="AH2248">
        <v>968</v>
      </c>
      <c r="AI2248">
        <v>0</v>
      </c>
      <c r="AJ2248">
        <v>0</v>
      </c>
      <c r="AK2248">
        <v>0</v>
      </c>
      <c r="AL2248">
        <v>0</v>
      </c>
      <c r="AM2248">
        <v>140</v>
      </c>
      <c r="AN2248">
        <v>0</v>
      </c>
      <c r="AO2248">
        <v>140</v>
      </c>
      <c r="AP2248">
        <v>7</v>
      </c>
      <c r="AQ2248">
        <v>0</v>
      </c>
      <c r="AR2248">
        <v>1</v>
      </c>
      <c r="AS2248" t="s">
        <v>58</v>
      </c>
      <c r="AT2248">
        <v>1</v>
      </c>
      <c r="AU2248" t="s">
        <v>63</v>
      </c>
      <c r="AV2248" t="s">
        <v>81</v>
      </c>
      <c r="AW2248">
        <v>0</v>
      </c>
      <c r="AX2248">
        <v>2</v>
      </c>
      <c r="AY2248">
        <v>0</v>
      </c>
      <c r="AZ2248">
        <v>8000</v>
      </c>
      <c r="BA2248">
        <v>100</v>
      </c>
      <c r="BB2248">
        <v>100</v>
      </c>
      <c r="BC2248">
        <v>100</v>
      </c>
      <c r="BD2248">
        <v>100</v>
      </c>
      <c r="BE2248">
        <v>1</v>
      </c>
      <c r="BF2248">
        <v>15000</v>
      </c>
      <c r="BG2248">
        <v>1000</v>
      </c>
      <c r="BH2248" s="6">
        <f>Grandview_Inventory[[#This Row],[land_extract]]*Lookups!$B$3</f>
        <v>73736.438059579552</v>
      </c>
      <c r="BI2248" s="6">
        <f>IF(Grandview_Inventory[[#This Row],[bldg_style]]="",0,Lookups!$B$2)</f>
        <v>155833.95000000001</v>
      </c>
      <c r="BJ2248" s="6">
        <f>_xlfn.IFNA(VLOOKUP(Grandview_Inventory[[#This Row],[quality]],Lookups!$H$2:$J$14,3,FALSE),0)</f>
        <v>2251</v>
      </c>
      <c r="BK2248" s="6">
        <f>_xlfn.IFNA(VLOOKUP(Grandview_Inventory[[#This Row],[condition]],Lookups!$H$17:$J$24,3,FALSE),0)</f>
        <v>-4503</v>
      </c>
      <c r="BL2248" s="6">
        <f>Grandview_Inventory[[#This Row],[Eff_Age]]*Lookups!$B$14</f>
        <v>-11958.33</v>
      </c>
      <c r="BM2248" s="6">
        <f>Grandview_Inventory[[#This Row],[living_area]]*Lookups!$B$15</f>
        <v>60384.665703999999</v>
      </c>
      <c r="BN2248" s="6">
        <f>Grandview_Inventory[[#This Row],[Fin BSMT]]*Lookups!$B$16</f>
        <v>0</v>
      </c>
      <c r="BO2248" s="6">
        <f>(Grandview_Inventory[[#This Row],[att_gar]]+Grandview_Inventory[[#This Row],[bltin_gar]])*Lookups!$B$17</f>
        <v>0</v>
      </c>
      <c r="BP2248" s="6">
        <f>Grandview_Inventory[[#This Row],[Plumbing Fixtures]]*Lookups!$B$18</f>
        <v>14073.0926</v>
      </c>
      <c r="BQ2248" s="6">
        <f>Grandview_Inventory[[#This Row],[detatched_value]]*Lookups!$B$19</f>
        <v>6774.4407999999994</v>
      </c>
      <c r="BR2248" s="6">
        <f>SUM(Grandview_Inventory[[#This Row],[Intercept]:[det_value]])*Grandview_Inventory[[#This Row],[res_pct]]</f>
        <v>222855.81910400005</v>
      </c>
      <c r="BS2248" s="6">
        <f>Grandview_Inventory[[#This Row],[land_value]]</f>
        <v>73736.438059579552</v>
      </c>
      <c r="BT2248" s="4">
        <f>_xlfn.IFNA(VLOOKUP(Grandview_Inventory[[#This Row],[quality]],Lookups!$A$26:$C$33,3,FALSE),1)</f>
        <v>0.98763855981004833</v>
      </c>
      <c r="BU2248" s="4">
        <f>_xlfn.IFNA(VLOOKUP(Grandview_Inventory[[#This Row],[condition]],Lookups!$A$37:$C$44,3,FALSE),1)</f>
        <v>0.96469275950863709</v>
      </c>
      <c r="BV2248" s="4">
        <f>IF(Grandview_Inventory[[#This Row],[bldg_style]]="",1,_xlfn.IFNA(VLOOKUP(Grandview_Inventory[[#This Row],[decade]],Lookups!$F$29:$H$43,3,FALSE),1))</f>
        <v>0.98763256963907298</v>
      </c>
      <c r="BW2248" s="4">
        <f>_xlfn.IFNA(VLOOKUP(Grandview_Inventory[[#This Row],[living_area_range]],Lookups!$F$47:$H$56,3,FALSE),1)</f>
        <v>0.94306777142782894</v>
      </c>
      <c r="BX2248" s="4">
        <f>AVERAGE(Grandview_Inventory[[#This Row],[qual_adj]:[size_adj]])</f>
        <v>0.97075791509639675</v>
      </c>
      <c r="BY2248" s="6">
        <f>IF(Grandview_Inventory[[#This Row],[pre_res]]&lt;0,0,Grandview_Inventory[[#This Row],[pre_res]]*Grandview_Inventory[[#This Row],[overall_adj]])</f>
        <v>216339.05032049885</v>
      </c>
      <c r="BZ2248" s="6">
        <f>(Grandview_Inventory[[#This Row],[sum_land]]-IF(Grandview_Inventory[[#This Row],[no_utilities]]=1,12000,0))/IF(Grandview_Inventory[[#This Row],[unbuildable]]=1,2,1)</f>
        <v>73736.438059579552</v>
      </c>
      <c r="CA2248">
        <f>IF(ROUND(Grandview_Inventory[[#This Row],[adj_land]]*Lookups!$M$28,-2)&lt;Grandview_Inventory[[#This Row],[min_land]],Grandview_Inventory[[#This Row],[min_land]],ROUND(Grandview_Inventory[[#This Row],[adj_land]]*Lookups!$M$28,-2))</f>
        <v>70000</v>
      </c>
      <c r="CB2248">
        <f>ROUND(Grandview_Inventory[[#This Row],[det_value]]*Lookups!$M$28,-2)</f>
        <v>6400</v>
      </c>
      <c r="CC2248">
        <f>IF(ROUND(Grandview_Inventory[[#This Row],[adj_res]]*Lookups!$M$28,-2)&lt;Grandview_Inventory[[#This Row],[min_res]],Grandview_Inventory[[#This Row],[min_res]],ROUND(Grandview_Inventory[[#This Row],[adj_res]]*Lookups!$M$28,-2))</f>
        <v>205500</v>
      </c>
      <c r="CD2248">
        <f>Grandview_Inventory[[#This Row],[final_det]]+Grandview_Inventory[[#This Row],[final_res]]</f>
        <v>211900</v>
      </c>
      <c r="CE2248">
        <f>Grandview_Inventory[[#This Row],[final_land]]+Grandview_Inventory[[#This Row],[final_imp]]+Grandview_Inventory[[#This Row],[crop_value]]</f>
        <v>281900</v>
      </c>
      <c r="CG2248" t="str">
        <f t="shared" si="35"/>
        <v>update valuation set market_land =70000, market_bldg=211900, market_total =281900, market_mdno =401, market_date ='9/10/2023' where link_id = (select link_id from parcel where parcel_year = '2024' and parcel_id = '23092612025');</v>
      </c>
    </row>
    <row r="2249" spans="1:85" x14ac:dyDescent="0.25">
      <c r="A2249">
        <v>23092612401</v>
      </c>
      <c r="B2249">
        <v>0.16</v>
      </c>
      <c r="C2249">
        <v>7001</v>
      </c>
      <c r="D2249" t="s">
        <v>129</v>
      </c>
      <c r="E2249" t="s">
        <v>53</v>
      </c>
      <c r="F2249" t="s">
        <v>53</v>
      </c>
      <c r="G2249">
        <v>4</v>
      </c>
      <c r="H2249" t="s">
        <v>54</v>
      </c>
      <c r="I2249">
        <v>222200</v>
      </c>
      <c r="J2249">
        <v>38600</v>
      </c>
      <c r="K2249">
        <v>0.16</v>
      </c>
      <c r="L224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49">
        <v>0</v>
      </c>
      <c r="N2249">
        <v>0</v>
      </c>
      <c r="O2249">
        <v>0</v>
      </c>
      <c r="P2249">
        <v>13398.7528</v>
      </c>
      <c r="Q2249">
        <v>63903</v>
      </c>
      <c r="R2249">
        <f>(Grandview_Inventory[[#This Row],[ln_acres]]*Grandview_Inventory[[#This Row],[coeff]])+Grandview_Inventory[[#This Row],[const]]</f>
        <v>39348.693981374228</v>
      </c>
      <c r="S2249" t="s">
        <v>61</v>
      </c>
      <c r="T2249">
        <v>1</v>
      </c>
      <c r="U2249" t="s">
        <v>62</v>
      </c>
      <c r="V2249" t="s">
        <v>66</v>
      </c>
      <c r="W2249">
        <v>0</v>
      </c>
      <c r="X2249">
        <v>0</v>
      </c>
      <c r="Y2249">
        <v>16</v>
      </c>
      <c r="Z2249">
        <v>16</v>
      </c>
      <c r="AA2249">
        <v>20</v>
      </c>
      <c r="AB2249">
        <v>1500</v>
      </c>
      <c r="AC2249">
        <v>1219</v>
      </c>
      <c r="AD2249">
        <v>1219</v>
      </c>
      <c r="AE2249">
        <v>0</v>
      </c>
      <c r="AF2249">
        <v>0</v>
      </c>
      <c r="AG2249">
        <v>0</v>
      </c>
      <c r="AH2249">
        <v>0</v>
      </c>
      <c r="AI2249">
        <v>418</v>
      </c>
      <c r="AJ2249">
        <v>0</v>
      </c>
      <c r="AK2249">
        <v>0</v>
      </c>
      <c r="AL2249">
        <v>0</v>
      </c>
      <c r="AM2249">
        <v>120</v>
      </c>
      <c r="AN2249">
        <v>24</v>
      </c>
      <c r="AO2249">
        <v>0</v>
      </c>
      <c r="AP2249">
        <v>8</v>
      </c>
      <c r="AQ2249">
        <v>0</v>
      </c>
      <c r="AR2249">
        <v>0</v>
      </c>
      <c r="AS2249" t="s">
        <v>58</v>
      </c>
      <c r="AT2249">
        <v>1</v>
      </c>
      <c r="AU2249" t="s">
        <v>63</v>
      </c>
      <c r="AV2249" t="s">
        <v>60</v>
      </c>
      <c r="AW2249">
        <v>1</v>
      </c>
      <c r="AX2249">
        <v>3</v>
      </c>
      <c r="AY2249">
        <v>0</v>
      </c>
      <c r="AZ2249">
        <v>0</v>
      </c>
      <c r="BA2249">
        <v>100</v>
      </c>
      <c r="BB2249">
        <v>100</v>
      </c>
      <c r="BC2249">
        <v>100</v>
      </c>
      <c r="BD2249">
        <v>100</v>
      </c>
      <c r="BE2249">
        <v>1</v>
      </c>
      <c r="BF2249">
        <v>15000</v>
      </c>
      <c r="BG2249">
        <v>1000</v>
      </c>
      <c r="BH2249" s="6">
        <f>Grandview_Inventory[[#This Row],[land_extract]]*Lookups!$B$3</f>
        <v>45695.532079096141</v>
      </c>
      <c r="BI2249" s="6">
        <f>IF(Grandview_Inventory[[#This Row],[bldg_style]]="",0,Lookups!$B$2)</f>
        <v>155833.95000000001</v>
      </c>
      <c r="BJ2249" s="6">
        <f>_xlfn.IFNA(VLOOKUP(Grandview_Inventory[[#This Row],[quality]],Lookups!$H$2:$J$14,3,FALSE),0)</f>
        <v>9808</v>
      </c>
      <c r="BK2249" s="6">
        <f>_xlfn.IFNA(VLOOKUP(Grandview_Inventory[[#This Row],[condition]],Lookups!$H$17:$J$24,3,FALSE),0)</f>
        <v>25818</v>
      </c>
      <c r="BL2249" s="6">
        <f>Grandview_Inventory[[#This Row],[Eff_Age]]*Lookups!$B$14</f>
        <v>-3826.6655999999998</v>
      </c>
      <c r="BM2249" s="6">
        <f>Grandview_Inventory[[#This Row],[living_area]]*Lookups!$B$15</f>
        <v>76042.259807000009</v>
      </c>
      <c r="BN2249" s="6">
        <f>Grandview_Inventory[[#This Row],[Fin BSMT]]*Lookups!$B$16</f>
        <v>0</v>
      </c>
      <c r="BO2249" s="6">
        <f>(Grandview_Inventory[[#This Row],[att_gar]]+Grandview_Inventory[[#This Row],[bltin_gar]])*Lookups!$B$17</f>
        <v>36583.542666000001</v>
      </c>
      <c r="BP2249" s="6">
        <f>Grandview_Inventory[[#This Row],[Plumbing Fixtures]]*Lookups!$B$18</f>
        <v>16083.5344</v>
      </c>
      <c r="BQ2249" s="6">
        <f>Grandview_Inventory[[#This Row],[detatched_value]]*Lookups!$B$19</f>
        <v>0</v>
      </c>
      <c r="BR2249" s="6">
        <f>SUM(Grandview_Inventory[[#This Row],[Intercept]:[det_value]])*Grandview_Inventory[[#This Row],[res_pct]]</f>
        <v>316342.62127300003</v>
      </c>
      <c r="BS2249" s="6">
        <f>Grandview_Inventory[[#This Row],[land_value]]</f>
        <v>45695.532079096141</v>
      </c>
      <c r="BT2249" s="4">
        <f>_xlfn.IFNA(VLOOKUP(Grandview_Inventory[[#This Row],[quality]],Lookups!$A$26:$C$33,3,FALSE),1)</f>
        <v>0.94295468617355149</v>
      </c>
      <c r="BU2249" s="4">
        <f>_xlfn.IFNA(VLOOKUP(Grandview_Inventory[[#This Row],[condition]],Lookups!$A$37:$C$44,3,FALSE),1)</f>
        <v>0.96661476234146892</v>
      </c>
      <c r="BV2249" s="4">
        <f>IF(Grandview_Inventory[[#This Row],[bldg_style]]="",1,_xlfn.IFNA(VLOOKUP(Grandview_Inventory[[#This Row],[decade]],Lookups!$F$29:$H$43,3,FALSE),1))</f>
        <v>0.96737494181490646</v>
      </c>
      <c r="BW2249" s="4">
        <f>_xlfn.IFNA(VLOOKUP(Grandview_Inventory[[#This Row],[living_area_range]],Lookups!$F$47:$H$56,3,FALSE),1)</f>
        <v>0.96135087979789358</v>
      </c>
      <c r="BX2249" s="4">
        <f>AVERAGE(Grandview_Inventory[[#This Row],[qual_adj]:[size_adj]])</f>
        <v>0.95957381753195514</v>
      </c>
      <c r="BY2249" s="6">
        <f>IF(Grandview_Inventory[[#This Row],[pre_res]]&lt;0,0,Grandview_Inventory[[#This Row],[pre_res]]*Grandview_Inventory[[#This Row],[overall_adj]])</f>
        <v>303554.09674299811</v>
      </c>
      <c r="BZ2249" s="6">
        <f>(Grandview_Inventory[[#This Row],[sum_land]]-IF(Grandview_Inventory[[#This Row],[no_utilities]]=1,12000,0))/IF(Grandview_Inventory[[#This Row],[unbuildable]]=1,2,1)</f>
        <v>45695.532079096141</v>
      </c>
      <c r="CA224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49">
        <f>ROUND(Grandview_Inventory[[#This Row],[det_value]]*Lookups!$M$28,-2)</f>
        <v>0</v>
      </c>
      <c r="CC2249">
        <f>IF(ROUND(Grandview_Inventory[[#This Row],[adj_res]]*Lookups!$M$28,-2)&lt;Grandview_Inventory[[#This Row],[min_res]],Grandview_Inventory[[#This Row],[min_res]],ROUND(Grandview_Inventory[[#This Row],[adj_res]]*Lookups!$M$28,-2))</f>
        <v>288400</v>
      </c>
      <c r="CD2249">
        <f>Grandview_Inventory[[#This Row],[final_det]]+Grandview_Inventory[[#This Row],[final_res]]</f>
        <v>288400</v>
      </c>
      <c r="CE2249">
        <f>Grandview_Inventory[[#This Row],[final_land]]+Grandview_Inventory[[#This Row],[final_imp]]+Grandview_Inventory[[#This Row],[crop_value]]</f>
        <v>331800</v>
      </c>
      <c r="CG2249" t="str">
        <f t="shared" si="35"/>
        <v>update valuation set market_land =43400, market_bldg=288400, market_total =331800, market_mdno =401, market_date ='9/10/2023' where link_id = (select link_id from parcel where parcel_year = '2024' and parcel_id = '23092612401');</v>
      </c>
    </row>
    <row r="2250" spans="1:85" x14ac:dyDescent="0.25">
      <c r="A2250">
        <v>23092612402</v>
      </c>
      <c r="B2250">
        <v>0.16</v>
      </c>
      <c r="C2250">
        <v>7000</v>
      </c>
      <c r="D2250" t="s">
        <v>129</v>
      </c>
      <c r="E2250" t="s">
        <v>53</v>
      </c>
      <c r="F2250" t="s">
        <v>53</v>
      </c>
      <c r="G2250">
        <v>4</v>
      </c>
      <c r="H2250" t="s">
        <v>54</v>
      </c>
      <c r="I2250">
        <v>217900</v>
      </c>
      <c r="J2250">
        <v>38600</v>
      </c>
      <c r="K2250">
        <v>0.16</v>
      </c>
      <c r="L225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0">
        <v>0</v>
      </c>
      <c r="N2250">
        <v>0</v>
      </c>
      <c r="O2250">
        <v>0</v>
      </c>
      <c r="P2250">
        <v>13398.7528</v>
      </c>
      <c r="Q2250">
        <v>63903</v>
      </c>
      <c r="R2250">
        <f>(Grandview_Inventory[[#This Row],[ln_acres]]*Grandview_Inventory[[#This Row],[coeff]])+Grandview_Inventory[[#This Row],[const]]</f>
        <v>39348.693981374228</v>
      </c>
      <c r="S2250" t="s">
        <v>61</v>
      </c>
      <c r="T2250">
        <v>1</v>
      </c>
      <c r="U2250" t="s">
        <v>65</v>
      </c>
      <c r="V2250" t="s">
        <v>66</v>
      </c>
      <c r="W2250">
        <v>0</v>
      </c>
      <c r="X2250">
        <v>0</v>
      </c>
      <c r="Y2250">
        <v>16</v>
      </c>
      <c r="Z2250">
        <v>16</v>
      </c>
      <c r="AA2250">
        <v>20</v>
      </c>
      <c r="AB2250">
        <v>1500</v>
      </c>
      <c r="AC2250">
        <v>1257</v>
      </c>
      <c r="AD2250">
        <v>1257</v>
      </c>
      <c r="AE2250">
        <v>0</v>
      </c>
      <c r="AF2250">
        <v>0</v>
      </c>
      <c r="AG2250">
        <v>0</v>
      </c>
      <c r="AH2250">
        <v>0</v>
      </c>
      <c r="AI2250">
        <v>418</v>
      </c>
      <c r="AJ2250">
        <v>0</v>
      </c>
      <c r="AK2250">
        <v>0</v>
      </c>
      <c r="AL2250">
        <v>0</v>
      </c>
      <c r="AM2250">
        <v>200</v>
      </c>
      <c r="AN2250">
        <v>46</v>
      </c>
      <c r="AO2250">
        <v>0</v>
      </c>
      <c r="AP2250">
        <v>8</v>
      </c>
      <c r="AQ2250">
        <v>0</v>
      </c>
      <c r="AR2250">
        <v>0</v>
      </c>
      <c r="AS2250" t="s">
        <v>58</v>
      </c>
      <c r="AT2250">
        <v>1</v>
      </c>
      <c r="AU2250" t="s">
        <v>63</v>
      </c>
      <c r="AV2250" t="s">
        <v>64</v>
      </c>
      <c r="AW2250">
        <v>1</v>
      </c>
      <c r="AX2250">
        <v>3</v>
      </c>
      <c r="AY2250">
        <v>0</v>
      </c>
      <c r="AZ2250">
        <v>0</v>
      </c>
      <c r="BA2250">
        <v>100</v>
      </c>
      <c r="BB2250">
        <v>100</v>
      </c>
      <c r="BC2250">
        <v>100</v>
      </c>
      <c r="BD2250">
        <v>100</v>
      </c>
      <c r="BE2250">
        <v>1</v>
      </c>
      <c r="BF2250">
        <v>15000</v>
      </c>
      <c r="BG2250">
        <v>1000</v>
      </c>
      <c r="BH2250" s="6">
        <f>Grandview_Inventory[[#This Row],[land_extract]]*Lookups!$B$3</f>
        <v>45695.532079096141</v>
      </c>
      <c r="BI2250" s="6">
        <f>IF(Grandview_Inventory[[#This Row],[bldg_style]]="",0,Lookups!$B$2)</f>
        <v>155833.95000000001</v>
      </c>
      <c r="BJ2250" s="6">
        <f>_xlfn.IFNA(VLOOKUP(Grandview_Inventory[[#This Row],[quality]],Lookups!$H$2:$J$14,3,FALSE),0)</f>
        <v>2251</v>
      </c>
      <c r="BK2250" s="6">
        <f>_xlfn.IFNA(VLOOKUP(Grandview_Inventory[[#This Row],[condition]],Lookups!$H$17:$J$24,3,FALSE),0)</f>
        <v>25818</v>
      </c>
      <c r="BL2250" s="6">
        <f>Grandview_Inventory[[#This Row],[Eff_Age]]*Lookups!$B$14</f>
        <v>-3826.6655999999998</v>
      </c>
      <c r="BM2250" s="6">
        <f>Grandview_Inventory[[#This Row],[living_area]]*Lookups!$B$15</f>
        <v>78412.732220999998</v>
      </c>
      <c r="BN2250" s="6">
        <f>Grandview_Inventory[[#This Row],[Fin BSMT]]*Lookups!$B$16</f>
        <v>0</v>
      </c>
      <c r="BO2250" s="6">
        <f>(Grandview_Inventory[[#This Row],[att_gar]]+Grandview_Inventory[[#This Row],[bltin_gar]])*Lookups!$B$17</f>
        <v>36583.542666000001</v>
      </c>
      <c r="BP2250" s="6">
        <f>Grandview_Inventory[[#This Row],[Plumbing Fixtures]]*Lookups!$B$18</f>
        <v>16083.5344</v>
      </c>
      <c r="BQ2250" s="6">
        <f>Grandview_Inventory[[#This Row],[detatched_value]]*Lookups!$B$19</f>
        <v>0</v>
      </c>
      <c r="BR2250" s="6">
        <f>SUM(Grandview_Inventory[[#This Row],[Intercept]:[det_value]])*Grandview_Inventory[[#This Row],[res_pct]]</f>
        <v>311156.09368700004</v>
      </c>
      <c r="BS2250" s="6">
        <f>Grandview_Inventory[[#This Row],[land_value]]</f>
        <v>45695.532079096141</v>
      </c>
      <c r="BT2250" s="4">
        <f>_xlfn.IFNA(VLOOKUP(Grandview_Inventory[[#This Row],[quality]],Lookups!$A$26:$C$33,3,FALSE),1)</f>
        <v>0.98763855981004833</v>
      </c>
      <c r="BU2250" s="4">
        <f>_xlfn.IFNA(VLOOKUP(Grandview_Inventory[[#This Row],[condition]],Lookups!$A$37:$C$44,3,FALSE),1)</f>
        <v>0.96661476234146892</v>
      </c>
      <c r="BV2250" s="4">
        <f>IF(Grandview_Inventory[[#This Row],[bldg_style]]="",1,_xlfn.IFNA(VLOOKUP(Grandview_Inventory[[#This Row],[decade]],Lookups!$F$29:$H$43,3,FALSE),1))</f>
        <v>0.96737494181490646</v>
      </c>
      <c r="BW2250" s="4">
        <f>_xlfn.IFNA(VLOOKUP(Grandview_Inventory[[#This Row],[living_area_range]],Lookups!$F$47:$H$56,3,FALSE),1)</f>
        <v>0.96135087979789358</v>
      </c>
      <c r="BX2250" s="4">
        <f>AVERAGE(Grandview_Inventory[[#This Row],[qual_adj]:[size_adj]])</f>
        <v>0.97074478594107938</v>
      </c>
      <c r="BY2250" s="6">
        <f>IF(Grandview_Inventory[[#This Row],[pre_res]]&lt;0,0,Grandview_Inventory[[#This Row],[pre_res]]*Grandview_Inventory[[#This Row],[overall_adj]])</f>
        <v>302053.15556044929</v>
      </c>
      <c r="BZ2250" s="6">
        <f>(Grandview_Inventory[[#This Row],[sum_land]]-IF(Grandview_Inventory[[#This Row],[no_utilities]]=1,12000,0))/IF(Grandview_Inventory[[#This Row],[unbuildable]]=1,2,1)</f>
        <v>45695.532079096141</v>
      </c>
      <c r="CA225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0">
        <f>ROUND(Grandview_Inventory[[#This Row],[det_value]]*Lookups!$M$28,-2)</f>
        <v>0</v>
      </c>
      <c r="CC2250">
        <f>IF(ROUND(Grandview_Inventory[[#This Row],[adj_res]]*Lookups!$M$28,-2)&lt;Grandview_Inventory[[#This Row],[min_res]],Grandview_Inventory[[#This Row],[min_res]],ROUND(Grandview_Inventory[[#This Row],[adj_res]]*Lookups!$M$28,-2))</f>
        <v>287000</v>
      </c>
      <c r="CD2250">
        <f>Grandview_Inventory[[#This Row],[final_det]]+Grandview_Inventory[[#This Row],[final_res]]</f>
        <v>287000</v>
      </c>
      <c r="CE2250">
        <f>Grandview_Inventory[[#This Row],[final_land]]+Grandview_Inventory[[#This Row],[final_imp]]+Grandview_Inventory[[#This Row],[crop_value]]</f>
        <v>330400</v>
      </c>
      <c r="CG2250" t="str">
        <f t="shared" si="35"/>
        <v>update valuation set market_land =43400, market_bldg=287000, market_total =330400, market_mdno =401, market_date ='9/10/2023' where link_id = (select link_id from parcel where parcel_year = '2024' and parcel_id = '23092612402');</v>
      </c>
    </row>
    <row r="2251" spans="1:85" x14ac:dyDescent="0.25">
      <c r="A2251">
        <v>23092612403</v>
      </c>
      <c r="B2251">
        <v>0.16</v>
      </c>
      <c r="C2251">
        <v>7000</v>
      </c>
      <c r="D2251" t="s">
        <v>129</v>
      </c>
      <c r="E2251" t="s">
        <v>53</v>
      </c>
      <c r="F2251" t="s">
        <v>53</v>
      </c>
      <c r="G2251">
        <v>4</v>
      </c>
      <c r="H2251" t="s">
        <v>54</v>
      </c>
      <c r="I2251">
        <v>232600</v>
      </c>
      <c r="J2251">
        <v>38600</v>
      </c>
      <c r="K2251">
        <v>0.16</v>
      </c>
      <c r="L225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1">
        <v>0</v>
      </c>
      <c r="N2251">
        <v>0</v>
      </c>
      <c r="O2251">
        <v>0</v>
      </c>
      <c r="P2251">
        <v>13398.7528</v>
      </c>
      <c r="Q2251">
        <v>63903</v>
      </c>
      <c r="R2251">
        <f>(Grandview_Inventory[[#This Row],[ln_acres]]*Grandview_Inventory[[#This Row],[coeff]])+Grandview_Inventory[[#This Row],[const]]</f>
        <v>39348.693981374228</v>
      </c>
      <c r="S2251" t="s">
        <v>61</v>
      </c>
      <c r="T2251">
        <v>1</v>
      </c>
      <c r="U2251" t="s">
        <v>65</v>
      </c>
      <c r="V2251" t="s">
        <v>66</v>
      </c>
      <c r="W2251">
        <v>0</v>
      </c>
      <c r="X2251">
        <v>0</v>
      </c>
      <c r="Y2251">
        <v>16</v>
      </c>
      <c r="Z2251">
        <v>16</v>
      </c>
      <c r="AA2251">
        <v>20</v>
      </c>
      <c r="AB2251">
        <v>2000</v>
      </c>
      <c r="AC2251">
        <v>1508</v>
      </c>
      <c r="AD2251">
        <v>1508</v>
      </c>
      <c r="AE2251">
        <v>0</v>
      </c>
      <c r="AF2251">
        <v>0</v>
      </c>
      <c r="AG2251">
        <v>0</v>
      </c>
      <c r="AH2251">
        <v>0</v>
      </c>
      <c r="AI2251">
        <v>420</v>
      </c>
      <c r="AJ2251">
        <v>0</v>
      </c>
      <c r="AK2251">
        <v>0</v>
      </c>
      <c r="AL2251">
        <v>0</v>
      </c>
      <c r="AM2251">
        <v>120</v>
      </c>
      <c r="AN2251">
        <v>72</v>
      </c>
      <c r="AO2251">
        <v>0</v>
      </c>
      <c r="AP2251">
        <v>9</v>
      </c>
      <c r="AQ2251">
        <v>0</v>
      </c>
      <c r="AR2251">
        <v>0</v>
      </c>
      <c r="AS2251" t="s">
        <v>58</v>
      </c>
      <c r="AT2251">
        <v>1</v>
      </c>
      <c r="AU2251" t="s">
        <v>63</v>
      </c>
      <c r="AV2251" t="s">
        <v>64</v>
      </c>
      <c r="AW2251">
        <v>1</v>
      </c>
      <c r="AX2251">
        <v>3</v>
      </c>
      <c r="AY2251">
        <v>0</v>
      </c>
      <c r="AZ2251">
        <v>0</v>
      </c>
      <c r="BA2251">
        <v>100</v>
      </c>
      <c r="BB2251">
        <v>100</v>
      </c>
      <c r="BC2251">
        <v>100</v>
      </c>
      <c r="BD2251">
        <v>100</v>
      </c>
      <c r="BE2251">
        <v>1</v>
      </c>
      <c r="BF2251">
        <v>15000</v>
      </c>
      <c r="BG2251">
        <v>1000</v>
      </c>
      <c r="BH2251" s="6">
        <f>Grandview_Inventory[[#This Row],[land_extract]]*Lookups!$B$3</f>
        <v>45695.532079096141</v>
      </c>
      <c r="BI2251" s="6">
        <f>IF(Grandview_Inventory[[#This Row],[bldg_style]]="",0,Lookups!$B$2)</f>
        <v>155833.95000000001</v>
      </c>
      <c r="BJ2251" s="6">
        <f>_xlfn.IFNA(VLOOKUP(Grandview_Inventory[[#This Row],[quality]],Lookups!$H$2:$J$14,3,FALSE),0)</f>
        <v>2251</v>
      </c>
      <c r="BK2251" s="6">
        <f>_xlfn.IFNA(VLOOKUP(Grandview_Inventory[[#This Row],[condition]],Lookups!$H$17:$J$24,3,FALSE),0)</f>
        <v>25818</v>
      </c>
      <c r="BL2251" s="6">
        <f>Grandview_Inventory[[#This Row],[Eff_Age]]*Lookups!$B$14</f>
        <v>-3826.6655999999998</v>
      </c>
      <c r="BM2251" s="6">
        <f>Grandview_Inventory[[#This Row],[living_area]]*Lookups!$B$15</f>
        <v>94070.326324000009</v>
      </c>
      <c r="BN2251" s="6">
        <f>Grandview_Inventory[[#This Row],[Fin BSMT]]*Lookups!$B$16</f>
        <v>0</v>
      </c>
      <c r="BO2251" s="6">
        <f>(Grandview_Inventory[[#This Row],[att_gar]]+Grandview_Inventory[[#This Row],[bltin_gar]])*Lookups!$B$17</f>
        <v>36758.58354</v>
      </c>
      <c r="BP2251" s="6">
        <f>Grandview_Inventory[[#This Row],[Plumbing Fixtures]]*Lookups!$B$18</f>
        <v>18093.976200000001</v>
      </c>
      <c r="BQ2251" s="6">
        <f>Grandview_Inventory[[#This Row],[detatched_value]]*Lookups!$B$19</f>
        <v>0</v>
      </c>
      <c r="BR2251" s="6">
        <f>SUM(Grandview_Inventory[[#This Row],[Intercept]:[det_value]])*Grandview_Inventory[[#This Row],[res_pct]]</f>
        <v>328999.17046400002</v>
      </c>
      <c r="BS2251" s="6">
        <f>Grandview_Inventory[[#This Row],[land_value]]</f>
        <v>45695.532079096141</v>
      </c>
      <c r="BT2251" s="4">
        <f>_xlfn.IFNA(VLOOKUP(Grandview_Inventory[[#This Row],[quality]],Lookups!$A$26:$C$33,3,FALSE),1)</f>
        <v>0.98763855981004833</v>
      </c>
      <c r="BU2251" s="4">
        <f>_xlfn.IFNA(VLOOKUP(Grandview_Inventory[[#This Row],[condition]],Lookups!$A$37:$C$44,3,FALSE),1)</f>
        <v>0.96661476234146892</v>
      </c>
      <c r="BV2251" s="4">
        <f>IF(Grandview_Inventory[[#This Row],[bldg_style]]="",1,_xlfn.IFNA(VLOOKUP(Grandview_Inventory[[#This Row],[decade]],Lookups!$F$29:$H$43,3,FALSE),1))</f>
        <v>0.96737494181490646</v>
      </c>
      <c r="BW2251" s="4">
        <f>_xlfn.IFNA(VLOOKUP(Grandview_Inventory[[#This Row],[living_area_range]],Lookups!$F$47:$H$56,3,FALSE),1)</f>
        <v>0.96120133463014379</v>
      </c>
      <c r="BX2251" s="4">
        <f>AVERAGE(Grandview_Inventory[[#This Row],[qual_adj]:[size_adj]])</f>
        <v>0.97070739964914199</v>
      </c>
      <c r="BY2251" s="6">
        <f>IF(Grandview_Inventory[[#This Row],[pre_res]]&lt;0,0,Grandview_Inventory[[#This Row],[pre_res]]*Grandview_Inventory[[#This Row],[overall_adj]])</f>
        <v>319361.92924783425</v>
      </c>
      <c r="BZ2251" s="6">
        <f>(Grandview_Inventory[[#This Row],[sum_land]]-IF(Grandview_Inventory[[#This Row],[no_utilities]]=1,12000,0))/IF(Grandview_Inventory[[#This Row],[unbuildable]]=1,2,1)</f>
        <v>45695.532079096141</v>
      </c>
      <c r="CA225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1">
        <f>ROUND(Grandview_Inventory[[#This Row],[det_value]]*Lookups!$M$28,-2)</f>
        <v>0</v>
      </c>
      <c r="CC2251">
        <f>IF(ROUND(Grandview_Inventory[[#This Row],[adj_res]]*Lookups!$M$28,-2)&lt;Grandview_Inventory[[#This Row],[min_res]],Grandview_Inventory[[#This Row],[min_res]],ROUND(Grandview_Inventory[[#This Row],[adj_res]]*Lookups!$M$28,-2))</f>
        <v>303400</v>
      </c>
      <c r="CD2251">
        <f>Grandview_Inventory[[#This Row],[final_det]]+Grandview_Inventory[[#This Row],[final_res]]</f>
        <v>303400</v>
      </c>
      <c r="CE2251">
        <f>Grandview_Inventory[[#This Row],[final_land]]+Grandview_Inventory[[#This Row],[final_imp]]+Grandview_Inventory[[#This Row],[crop_value]]</f>
        <v>346800</v>
      </c>
      <c r="CG2251" t="str">
        <f t="shared" si="35"/>
        <v>update valuation set market_land =43400, market_bldg=303400, market_total =346800, market_mdno =401, market_date ='9/10/2023' where link_id = (select link_id from parcel where parcel_year = '2024' and parcel_id = '23092612403');</v>
      </c>
    </row>
    <row r="2252" spans="1:85" x14ac:dyDescent="0.25">
      <c r="A2252">
        <v>23092612404</v>
      </c>
      <c r="B2252">
        <v>0.16</v>
      </c>
      <c r="C2252">
        <v>7000</v>
      </c>
      <c r="D2252" t="s">
        <v>129</v>
      </c>
      <c r="E2252" t="s">
        <v>53</v>
      </c>
      <c r="F2252" t="s">
        <v>53</v>
      </c>
      <c r="G2252">
        <v>4</v>
      </c>
      <c r="H2252" t="s">
        <v>54</v>
      </c>
      <c r="I2252">
        <v>219100</v>
      </c>
      <c r="J2252">
        <v>38600</v>
      </c>
      <c r="K2252">
        <v>0.16</v>
      </c>
      <c r="L225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2">
        <v>0</v>
      </c>
      <c r="N2252">
        <v>0</v>
      </c>
      <c r="O2252">
        <v>0</v>
      </c>
      <c r="P2252">
        <v>13398.7528</v>
      </c>
      <c r="Q2252">
        <v>63903</v>
      </c>
      <c r="R2252">
        <f>(Grandview_Inventory[[#This Row],[ln_acres]]*Grandview_Inventory[[#This Row],[coeff]])+Grandview_Inventory[[#This Row],[const]]</f>
        <v>39348.693981374228</v>
      </c>
      <c r="S2252" t="s">
        <v>61</v>
      </c>
      <c r="T2252">
        <v>1</v>
      </c>
      <c r="U2252" t="s">
        <v>65</v>
      </c>
      <c r="V2252" t="s">
        <v>66</v>
      </c>
      <c r="W2252">
        <v>0</v>
      </c>
      <c r="X2252">
        <v>0</v>
      </c>
      <c r="Y2252">
        <v>16</v>
      </c>
      <c r="Z2252">
        <v>16</v>
      </c>
      <c r="AA2252">
        <v>20</v>
      </c>
      <c r="AB2252">
        <v>1500</v>
      </c>
      <c r="AC2252">
        <v>1248</v>
      </c>
      <c r="AD2252">
        <v>1248</v>
      </c>
      <c r="AE2252">
        <v>0</v>
      </c>
      <c r="AF2252">
        <v>0</v>
      </c>
      <c r="AG2252">
        <v>0</v>
      </c>
      <c r="AH2252">
        <v>0</v>
      </c>
      <c r="AI2252">
        <v>418</v>
      </c>
      <c r="AJ2252">
        <v>0</v>
      </c>
      <c r="AK2252">
        <v>0</v>
      </c>
      <c r="AL2252">
        <v>0</v>
      </c>
      <c r="AM2252">
        <v>132</v>
      </c>
      <c r="AN2252">
        <v>24</v>
      </c>
      <c r="AO2252">
        <v>0</v>
      </c>
      <c r="AP2252">
        <v>9</v>
      </c>
      <c r="AQ2252">
        <v>0</v>
      </c>
      <c r="AR2252">
        <v>0</v>
      </c>
      <c r="AS2252" t="s">
        <v>58</v>
      </c>
      <c r="AT2252">
        <v>1</v>
      </c>
      <c r="AU2252" t="s">
        <v>63</v>
      </c>
      <c r="AV2252" t="s">
        <v>64</v>
      </c>
      <c r="AW2252">
        <v>1</v>
      </c>
      <c r="AX2252">
        <v>3</v>
      </c>
      <c r="AY2252">
        <v>0</v>
      </c>
      <c r="AZ2252">
        <v>0</v>
      </c>
      <c r="BA2252">
        <v>100</v>
      </c>
      <c r="BB2252">
        <v>100</v>
      </c>
      <c r="BC2252">
        <v>100</v>
      </c>
      <c r="BD2252">
        <v>100</v>
      </c>
      <c r="BE2252">
        <v>1</v>
      </c>
      <c r="BF2252">
        <v>15000</v>
      </c>
      <c r="BG2252">
        <v>1000</v>
      </c>
      <c r="BH2252" s="6">
        <f>Grandview_Inventory[[#This Row],[land_extract]]*Lookups!$B$3</f>
        <v>45695.532079096141</v>
      </c>
      <c r="BI2252" s="6">
        <f>IF(Grandview_Inventory[[#This Row],[bldg_style]]="",0,Lookups!$B$2)</f>
        <v>155833.95000000001</v>
      </c>
      <c r="BJ2252" s="6">
        <f>_xlfn.IFNA(VLOOKUP(Grandview_Inventory[[#This Row],[quality]],Lookups!$H$2:$J$14,3,FALSE),0)</f>
        <v>2251</v>
      </c>
      <c r="BK2252" s="6">
        <f>_xlfn.IFNA(VLOOKUP(Grandview_Inventory[[#This Row],[condition]],Lookups!$H$17:$J$24,3,FALSE),0)</f>
        <v>25818</v>
      </c>
      <c r="BL2252" s="6">
        <f>Grandview_Inventory[[#This Row],[Eff_Age]]*Lookups!$B$14</f>
        <v>-3826.6655999999998</v>
      </c>
      <c r="BM2252" s="6">
        <f>Grandview_Inventory[[#This Row],[living_area]]*Lookups!$B$15</f>
        <v>77851.304543999999</v>
      </c>
      <c r="BN2252" s="6">
        <f>Grandview_Inventory[[#This Row],[Fin BSMT]]*Lookups!$B$16</f>
        <v>0</v>
      </c>
      <c r="BO2252" s="6">
        <f>(Grandview_Inventory[[#This Row],[att_gar]]+Grandview_Inventory[[#This Row],[bltin_gar]])*Lookups!$B$17</f>
        <v>36583.542666000001</v>
      </c>
      <c r="BP2252" s="6">
        <f>Grandview_Inventory[[#This Row],[Plumbing Fixtures]]*Lookups!$B$18</f>
        <v>18093.976200000001</v>
      </c>
      <c r="BQ2252" s="6">
        <f>Grandview_Inventory[[#This Row],[detatched_value]]*Lookups!$B$19</f>
        <v>0</v>
      </c>
      <c r="BR2252" s="6">
        <f>SUM(Grandview_Inventory[[#This Row],[Intercept]:[det_value]])*Grandview_Inventory[[#This Row],[res_pct]]</f>
        <v>312605.10781000002</v>
      </c>
      <c r="BS2252" s="6">
        <f>Grandview_Inventory[[#This Row],[land_value]]</f>
        <v>45695.532079096141</v>
      </c>
      <c r="BT2252" s="4">
        <f>_xlfn.IFNA(VLOOKUP(Grandview_Inventory[[#This Row],[quality]],Lookups!$A$26:$C$33,3,FALSE),1)</f>
        <v>0.98763855981004833</v>
      </c>
      <c r="BU2252" s="4">
        <f>_xlfn.IFNA(VLOOKUP(Grandview_Inventory[[#This Row],[condition]],Lookups!$A$37:$C$44,3,FALSE),1)</f>
        <v>0.96661476234146892</v>
      </c>
      <c r="BV2252" s="4">
        <f>IF(Grandview_Inventory[[#This Row],[bldg_style]]="",1,_xlfn.IFNA(VLOOKUP(Grandview_Inventory[[#This Row],[decade]],Lookups!$F$29:$H$43,3,FALSE),1))</f>
        <v>0.96737494181490646</v>
      </c>
      <c r="BW2252" s="4">
        <f>_xlfn.IFNA(VLOOKUP(Grandview_Inventory[[#This Row],[living_area_range]],Lookups!$F$47:$H$56,3,FALSE),1)</f>
        <v>0.96135087979789358</v>
      </c>
      <c r="BX2252" s="4">
        <f>AVERAGE(Grandview_Inventory[[#This Row],[qual_adj]:[size_adj]])</f>
        <v>0.97074478594107938</v>
      </c>
      <c r="BY2252" s="6">
        <f>IF(Grandview_Inventory[[#This Row],[pre_res]]&lt;0,0,Grandview_Inventory[[#This Row],[pre_res]]*Grandview_Inventory[[#This Row],[overall_adj]])</f>
        <v>303459.7784651065</v>
      </c>
      <c r="BZ2252" s="6">
        <f>(Grandview_Inventory[[#This Row],[sum_land]]-IF(Grandview_Inventory[[#This Row],[no_utilities]]=1,12000,0))/IF(Grandview_Inventory[[#This Row],[unbuildable]]=1,2,1)</f>
        <v>45695.532079096141</v>
      </c>
      <c r="CA225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2">
        <f>ROUND(Grandview_Inventory[[#This Row],[det_value]]*Lookups!$M$28,-2)</f>
        <v>0</v>
      </c>
      <c r="CC2252">
        <f>IF(ROUND(Grandview_Inventory[[#This Row],[adj_res]]*Lookups!$M$28,-2)&lt;Grandview_Inventory[[#This Row],[min_res]],Grandview_Inventory[[#This Row],[min_res]],ROUND(Grandview_Inventory[[#This Row],[adj_res]]*Lookups!$M$28,-2))</f>
        <v>288300</v>
      </c>
      <c r="CD2252">
        <f>Grandview_Inventory[[#This Row],[final_det]]+Grandview_Inventory[[#This Row],[final_res]]</f>
        <v>288300</v>
      </c>
      <c r="CE2252">
        <f>Grandview_Inventory[[#This Row],[final_land]]+Grandview_Inventory[[#This Row],[final_imp]]+Grandview_Inventory[[#This Row],[crop_value]]</f>
        <v>331700</v>
      </c>
      <c r="CG2252" t="str">
        <f t="shared" si="35"/>
        <v>update valuation set market_land =43400, market_bldg=288300, market_total =331700, market_mdno =401, market_date ='9/10/2023' where link_id = (select link_id from parcel where parcel_year = '2024' and parcel_id = '23092612404');</v>
      </c>
    </row>
    <row r="2253" spans="1:85" x14ac:dyDescent="0.25">
      <c r="A2253">
        <v>23092612405</v>
      </c>
      <c r="B2253">
        <v>0.16</v>
      </c>
      <c r="C2253">
        <v>7000</v>
      </c>
      <c r="D2253" t="s">
        <v>129</v>
      </c>
      <c r="E2253" t="s">
        <v>53</v>
      </c>
      <c r="F2253" t="s">
        <v>53</v>
      </c>
      <c r="G2253">
        <v>4</v>
      </c>
      <c r="H2253" t="s">
        <v>54</v>
      </c>
      <c r="I2253">
        <v>226200</v>
      </c>
      <c r="J2253">
        <v>38600</v>
      </c>
      <c r="K2253">
        <v>0.16</v>
      </c>
      <c r="L2253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3">
        <v>0</v>
      </c>
      <c r="N2253">
        <v>0</v>
      </c>
      <c r="O2253">
        <v>0</v>
      </c>
      <c r="P2253">
        <v>13398.7528</v>
      </c>
      <c r="Q2253">
        <v>63903</v>
      </c>
      <c r="R2253">
        <f>(Grandview_Inventory[[#This Row],[ln_acres]]*Grandview_Inventory[[#This Row],[coeff]])+Grandview_Inventory[[#This Row],[const]]</f>
        <v>39348.693981374228</v>
      </c>
      <c r="S2253" t="s">
        <v>61</v>
      </c>
      <c r="T2253">
        <v>1</v>
      </c>
      <c r="U2253" t="s">
        <v>65</v>
      </c>
      <c r="V2253" t="s">
        <v>66</v>
      </c>
      <c r="W2253">
        <v>0</v>
      </c>
      <c r="X2253">
        <v>0</v>
      </c>
      <c r="Y2253">
        <v>14</v>
      </c>
      <c r="Z2253">
        <v>14</v>
      </c>
      <c r="AA2253">
        <v>20</v>
      </c>
      <c r="AB2253">
        <v>1500</v>
      </c>
      <c r="AC2253">
        <v>1331</v>
      </c>
      <c r="AD2253">
        <v>1331</v>
      </c>
      <c r="AE2253">
        <v>0</v>
      </c>
      <c r="AF2253">
        <v>0</v>
      </c>
      <c r="AG2253">
        <v>0</v>
      </c>
      <c r="AH2253">
        <v>0</v>
      </c>
      <c r="AI2253">
        <v>399</v>
      </c>
      <c r="AJ2253">
        <v>0</v>
      </c>
      <c r="AK2253">
        <v>0</v>
      </c>
      <c r="AL2253">
        <v>0</v>
      </c>
      <c r="AM2253">
        <v>120</v>
      </c>
      <c r="AN2253">
        <v>83</v>
      </c>
      <c r="AO2253">
        <v>0</v>
      </c>
      <c r="AP2253">
        <v>9</v>
      </c>
      <c r="AQ2253">
        <v>0</v>
      </c>
      <c r="AR2253">
        <v>0</v>
      </c>
      <c r="AS2253" t="s">
        <v>58</v>
      </c>
      <c r="AT2253">
        <v>1</v>
      </c>
      <c r="AU2253" t="s">
        <v>59</v>
      </c>
      <c r="AV2253" t="s">
        <v>60</v>
      </c>
      <c r="AW2253">
        <v>1</v>
      </c>
      <c r="AX2253">
        <v>3</v>
      </c>
      <c r="AY2253">
        <v>0</v>
      </c>
      <c r="AZ2253">
        <v>0</v>
      </c>
      <c r="BA2253">
        <v>100</v>
      </c>
      <c r="BB2253">
        <v>100</v>
      </c>
      <c r="BC2253">
        <v>100</v>
      </c>
      <c r="BD2253">
        <v>100</v>
      </c>
      <c r="BE2253">
        <v>1</v>
      </c>
      <c r="BF2253">
        <v>15000</v>
      </c>
      <c r="BG2253">
        <v>1000</v>
      </c>
      <c r="BH2253" s="6">
        <f>Grandview_Inventory[[#This Row],[land_extract]]*Lookups!$B$3</f>
        <v>45695.532079096141</v>
      </c>
      <c r="BI2253" s="6">
        <f>IF(Grandview_Inventory[[#This Row],[bldg_style]]="",0,Lookups!$B$2)</f>
        <v>155833.95000000001</v>
      </c>
      <c r="BJ2253" s="6">
        <f>_xlfn.IFNA(VLOOKUP(Grandview_Inventory[[#This Row],[quality]],Lookups!$H$2:$J$14,3,FALSE),0)</f>
        <v>2251</v>
      </c>
      <c r="BK2253" s="6">
        <f>_xlfn.IFNA(VLOOKUP(Grandview_Inventory[[#This Row],[condition]],Lookups!$H$17:$J$24,3,FALSE),0)</f>
        <v>25818</v>
      </c>
      <c r="BL2253" s="6">
        <f>Grandview_Inventory[[#This Row],[Eff_Age]]*Lookups!$B$14</f>
        <v>-3348.3323999999998</v>
      </c>
      <c r="BM2253" s="6">
        <f>Grandview_Inventory[[#This Row],[living_area]]*Lookups!$B$15</f>
        <v>83028.915343000001</v>
      </c>
      <c r="BN2253" s="6">
        <f>Grandview_Inventory[[#This Row],[Fin BSMT]]*Lookups!$B$16</f>
        <v>0</v>
      </c>
      <c r="BO2253" s="6">
        <f>(Grandview_Inventory[[#This Row],[att_gar]]+Grandview_Inventory[[#This Row],[bltin_gar]])*Lookups!$B$17</f>
        <v>34920.654363000001</v>
      </c>
      <c r="BP2253" s="6">
        <f>Grandview_Inventory[[#This Row],[Plumbing Fixtures]]*Lookups!$B$18</f>
        <v>18093.976200000001</v>
      </c>
      <c r="BQ2253" s="6">
        <f>Grandview_Inventory[[#This Row],[detatched_value]]*Lookups!$B$19</f>
        <v>0</v>
      </c>
      <c r="BR2253" s="6">
        <f>SUM(Grandview_Inventory[[#This Row],[Intercept]:[det_value]])*Grandview_Inventory[[#This Row],[res_pct]]</f>
        <v>316598.16350599995</v>
      </c>
      <c r="BS2253" s="6">
        <f>Grandview_Inventory[[#This Row],[land_value]]</f>
        <v>45695.532079096141</v>
      </c>
      <c r="BT2253" s="4">
        <f>_xlfn.IFNA(VLOOKUP(Grandview_Inventory[[#This Row],[quality]],Lookups!$A$26:$C$33,3,FALSE),1)</f>
        <v>0.98763855981004833</v>
      </c>
      <c r="BU2253" s="4">
        <f>_xlfn.IFNA(VLOOKUP(Grandview_Inventory[[#This Row],[condition]],Lookups!$A$37:$C$44,3,FALSE),1)</f>
        <v>0.96661476234146892</v>
      </c>
      <c r="BV2253" s="4">
        <f>IF(Grandview_Inventory[[#This Row],[bldg_style]]="",1,_xlfn.IFNA(VLOOKUP(Grandview_Inventory[[#This Row],[decade]],Lookups!$F$29:$H$43,3,FALSE),1))</f>
        <v>0.96737494181490646</v>
      </c>
      <c r="BW2253" s="4">
        <f>_xlfn.IFNA(VLOOKUP(Grandview_Inventory[[#This Row],[living_area_range]],Lookups!$F$47:$H$56,3,FALSE),1)</f>
        <v>0.96135087979789358</v>
      </c>
      <c r="BX2253" s="4">
        <f>AVERAGE(Grandview_Inventory[[#This Row],[qual_adj]:[size_adj]])</f>
        <v>0.97074478594107938</v>
      </c>
      <c r="BY2253" s="6">
        <f>IF(Grandview_Inventory[[#This Row],[pre_res]]&lt;0,0,Grandview_Inventory[[#This Row],[pre_res]]*Grandview_Inventory[[#This Row],[overall_adj]])</f>
        <v>307336.01646197075</v>
      </c>
      <c r="BZ2253" s="6">
        <f>(Grandview_Inventory[[#This Row],[sum_land]]-IF(Grandview_Inventory[[#This Row],[no_utilities]]=1,12000,0))/IF(Grandview_Inventory[[#This Row],[unbuildable]]=1,2,1)</f>
        <v>45695.532079096141</v>
      </c>
      <c r="CA2253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3">
        <f>ROUND(Grandview_Inventory[[#This Row],[det_value]]*Lookups!$M$28,-2)</f>
        <v>0</v>
      </c>
      <c r="CC2253">
        <f>IF(ROUND(Grandview_Inventory[[#This Row],[adj_res]]*Lookups!$M$28,-2)&lt;Grandview_Inventory[[#This Row],[min_res]],Grandview_Inventory[[#This Row],[min_res]],ROUND(Grandview_Inventory[[#This Row],[adj_res]]*Lookups!$M$28,-2))</f>
        <v>292000</v>
      </c>
      <c r="CD2253">
        <f>Grandview_Inventory[[#This Row],[final_det]]+Grandview_Inventory[[#This Row],[final_res]]</f>
        <v>292000</v>
      </c>
      <c r="CE2253">
        <f>Grandview_Inventory[[#This Row],[final_land]]+Grandview_Inventory[[#This Row],[final_imp]]+Grandview_Inventory[[#This Row],[crop_value]]</f>
        <v>335400</v>
      </c>
      <c r="CG2253" t="str">
        <f t="shared" si="35"/>
        <v>update valuation set market_land =43400, market_bldg=292000, market_total =335400, market_mdno =401, market_date ='9/10/2023' where link_id = (select link_id from parcel where parcel_year = '2024' and parcel_id = '23092612405');</v>
      </c>
    </row>
    <row r="2254" spans="1:85" x14ac:dyDescent="0.25">
      <c r="A2254">
        <v>23092612406</v>
      </c>
      <c r="B2254">
        <v>0.16</v>
      </c>
      <c r="C2254">
        <v>7000</v>
      </c>
      <c r="D2254" t="s">
        <v>129</v>
      </c>
      <c r="E2254" t="s">
        <v>53</v>
      </c>
      <c r="F2254" t="s">
        <v>53</v>
      </c>
      <c r="G2254">
        <v>4</v>
      </c>
      <c r="H2254" t="s">
        <v>54</v>
      </c>
      <c r="I2254">
        <v>255400</v>
      </c>
      <c r="J2254">
        <v>38600</v>
      </c>
      <c r="K2254">
        <v>0.16</v>
      </c>
      <c r="L225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4">
        <v>0</v>
      </c>
      <c r="N2254">
        <v>0</v>
      </c>
      <c r="O2254">
        <v>0</v>
      </c>
      <c r="P2254">
        <v>13398.7528</v>
      </c>
      <c r="Q2254">
        <v>63903</v>
      </c>
      <c r="R2254">
        <f>(Grandview_Inventory[[#This Row],[ln_acres]]*Grandview_Inventory[[#This Row],[coeff]])+Grandview_Inventory[[#This Row],[const]]</f>
        <v>39348.693981374228</v>
      </c>
      <c r="S2254" t="s">
        <v>58</v>
      </c>
      <c r="T2254">
        <v>1</v>
      </c>
      <c r="U2254" t="s">
        <v>62</v>
      </c>
      <c r="V2254" t="s">
        <v>57</v>
      </c>
      <c r="W2254">
        <v>0</v>
      </c>
      <c r="X2254">
        <v>0</v>
      </c>
      <c r="Y2254">
        <v>6</v>
      </c>
      <c r="Z2254">
        <v>6</v>
      </c>
      <c r="AA2254">
        <v>10</v>
      </c>
      <c r="AB2254">
        <v>1500</v>
      </c>
      <c r="AC2254">
        <v>1274</v>
      </c>
      <c r="AD2254">
        <v>1274</v>
      </c>
      <c r="AE2254">
        <v>0</v>
      </c>
      <c r="AF2254">
        <v>0</v>
      </c>
      <c r="AG2254">
        <v>0</v>
      </c>
      <c r="AH2254">
        <v>0</v>
      </c>
      <c r="AI2254">
        <v>480</v>
      </c>
      <c r="AJ2254">
        <v>0</v>
      </c>
      <c r="AK2254">
        <v>0</v>
      </c>
      <c r="AL2254">
        <v>0</v>
      </c>
      <c r="AM2254">
        <v>200</v>
      </c>
      <c r="AN2254">
        <v>28</v>
      </c>
      <c r="AO2254">
        <v>200</v>
      </c>
      <c r="AP2254">
        <v>9</v>
      </c>
      <c r="AQ2254">
        <v>0</v>
      </c>
      <c r="AR2254">
        <v>0</v>
      </c>
      <c r="AS2254" t="s">
        <v>58</v>
      </c>
      <c r="AT2254">
        <v>1</v>
      </c>
      <c r="AU2254" t="s">
        <v>63</v>
      </c>
      <c r="AV2254" t="s">
        <v>60</v>
      </c>
      <c r="AW2254">
        <v>1</v>
      </c>
      <c r="AX2254">
        <v>1</v>
      </c>
      <c r="AY2254">
        <v>0</v>
      </c>
      <c r="AZ2254">
        <v>0</v>
      </c>
      <c r="BA2254">
        <v>100</v>
      </c>
      <c r="BB2254">
        <v>100</v>
      </c>
      <c r="BC2254">
        <v>100</v>
      </c>
      <c r="BD2254">
        <v>100</v>
      </c>
      <c r="BE2254">
        <v>1</v>
      </c>
      <c r="BF2254">
        <v>15000</v>
      </c>
      <c r="BG2254">
        <v>1000</v>
      </c>
      <c r="BH2254" s="6">
        <f>Grandview_Inventory[[#This Row],[land_extract]]*Lookups!$B$3</f>
        <v>45695.532079096141</v>
      </c>
      <c r="BI2254" s="6">
        <f>IF(Grandview_Inventory[[#This Row],[bldg_style]]="",0,Lookups!$B$2)</f>
        <v>155833.95000000001</v>
      </c>
      <c r="BJ2254" s="6">
        <f>_xlfn.IFNA(VLOOKUP(Grandview_Inventory[[#This Row],[quality]],Lookups!$H$2:$J$14,3,FALSE),0)</f>
        <v>9808</v>
      </c>
      <c r="BK2254" s="6">
        <f>_xlfn.IFNA(VLOOKUP(Grandview_Inventory[[#This Row],[condition]],Lookups!$H$17:$J$24,3,FALSE),0)</f>
        <v>25780</v>
      </c>
      <c r="BL2254" s="6">
        <f>Grandview_Inventory[[#This Row],[Eff_Age]]*Lookups!$B$14</f>
        <v>-1434.9995999999999</v>
      </c>
      <c r="BM2254" s="6">
        <f>Grandview_Inventory[[#This Row],[living_area]]*Lookups!$B$15</f>
        <v>79473.206722000003</v>
      </c>
      <c r="BN2254" s="6">
        <f>Grandview_Inventory[[#This Row],[Fin BSMT]]*Lookups!$B$16</f>
        <v>0</v>
      </c>
      <c r="BO2254" s="6">
        <f>(Grandview_Inventory[[#This Row],[att_gar]]+Grandview_Inventory[[#This Row],[bltin_gar]])*Lookups!$B$17</f>
        <v>42009.809760000004</v>
      </c>
      <c r="BP2254" s="6">
        <f>Grandview_Inventory[[#This Row],[Plumbing Fixtures]]*Lookups!$B$18</f>
        <v>18093.976200000001</v>
      </c>
      <c r="BQ2254" s="6">
        <f>Grandview_Inventory[[#This Row],[detatched_value]]*Lookups!$B$19</f>
        <v>0</v>
      </c>
      <c r="BR2254" s="6">
        <f>SUM(Grandview_Inventory[[#This Row],[Intercept]:[det_value]])*Grandview_Inventory[[#This Row],[res_pct]]</f>
        <v>329563.94308199995</v>
      </c>
      <c r="BS2254" s="6">
        <f>Grandview_Inventory[[#This Row],[land_value]]</f>
        <v>45695.532079096141</v>
      </c>
      <c r="BT2254" s="4">
        <f>_xlfn.IFNA(VLOOKUP(Grandview_Inventory[[#This Row],[quality]],Lookups!$A$26:$C$33,3,FALSE),1)</f>
        <v>0.94295468617355149</v>
      </c>
      <c r="BU2254" s="4">
        <f>_xlfn.IFNA(VLOOKUP(Grandview_Inventory[[#This Row],[condition]],Lookups!$A$37:$C$44,3,FALSE),1)</f>
        <v>0.94347925387812148</v>
      </c>
      <c r="BV2254" s="4">
        <f>IF(Grandview_Inventory[[#This Row],[bldg_style]]="",1,_xlfn.IFNA(VLOOKUP(Grandview_Inventory[[#This Row],[decade]],Lookups!$F$29:$H$43,3,FALSE),1))</f>
        <v>0.94601966599150278</v>
      </c>
      <c r="BW2254" s="4">
        <f>_xlfn.IFNA(VLOOKUP(Grandview_Inventory[[#This Row],[living_area_range]],Lookups!$F$47:$H$56,3,FALSE),1)</f>
        <v>0.96135087979789358</v>
      </c>
      <c r="BX2254" s="4">
        <f>AVERAGE(Grandview_Inventory[[#This Row],[qual_adj]:[size_adj]])</f>
        <v>0.94845112146026733</v>
      </c>
      <c r="BY2254" s="6">
        <f>IF(Grandview_Inventory[[#This Row],[pre_res]]&lt;0,0,Grandview_Inventory[[#This Row],[pre_res]]*Grandview_Inventory[[#This Row],[overall_adj]])</f>
        <v>312575.29140899057</v>
      </c>
      <c r="BZ2254" s="6">
        <f>(Grandview_Inventory[[#This Row],[sum_land]]-IF(Grandview_Inventory[[#This Row],[no_utilities]]=1,12000,0))/IF(Grandview_Inventory[[#This Row],[unbuildable]]=1,2,1)</f>
        <v>45695.532079096141</v>
      </c>
      <c r="CA225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4">
        <f>ROUND(Grandview_Inventory[[#This Row],[det_value]]*Lookups!$M$28,-2)</f>
        <v>0</v>
      </c>
      <c r="CC2254">
        <f>IF(ROUND(Grandview_Inventory[[#This Row],[adj_res]]*Lookups!$M$28,-2)&lt;Grandview_Inventory[[#This Row],[min_res]],Grandview_Inventory[[#This Row],[min_res]],ROUND(Grandview_Inventory[[#This Row],[adj_res]]*Lookups!$M$28,-2))</f>
        <v>296900</v>
      </c>
      <c r="CD2254">
        <f>Grandview_Inventory[[#This Row],[final_det]]+Grandview_Inventory[[#This Row],[final_res]]</f>
        <v>296900</v>
      </c>
      <c r="CE2254">
        <f>Grandview_Inventory[[#This Row],[final_land]]+Grandview_Inventory[[#This Row],[final_imp]]+Grandview_Inventory[[#This Row],[crop_value]]</f>
        <v>340300</v>
      </c>
      <c r="CG2254" t="str">
        <f t="shared" si="35"/>
        <v>update valuation set market_land =43400, market_bldg=296900, market_total =340300, market_mdno =401, market_date ='9/10/2023' where link_id = (select link_id from parcel where parcel_year = '2024' and parcel_id = '23092612406');</v>
      </c>
    </row>
    <row r="2255" spans="1:85" x14ac:dyDescent="0.25">
      <c r="A2255">
        <v>23092612407</v>
      </c>
      <c r="B2255">
        <v>0.16</v>
      </c>
      <c r="C2255">
        <v>7012</v>
      </c>
      <c r="D2255" t="s">
        <v>129</v>
      </c>
      <c r="E2255" t="s">
        <v>53</v>
      </c>
      <c r="F2255" t="s">
        <v>53</v>
      </c>
      <c r="G2255">
        <v>4</v>
      </c>
      <c r="H2255" t="s">
        <v>54</v>
      </c>
      <c r="I2255">
        <v>273000</v>
      </c>
      <c r="J2255">
        <v>38600</v>
      </c>
      <c r="K2255">
        <v>0.16</v>
      </c>
      <c r="L225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5">
        <v>0</v>
      </c>
      <c r="N2255">
        <v>0</v>
      </c>
      <c r="O2255">
        <v>0</v>
      </c>
      <c r="P2255">
        <v>13398.7528</v>
      </c>
      <c r="Q2255">
        <v>63903</v>
      </c>
      <c r="R2255">
        <f>(Grandview_Inventory[[#This Row],[ln_acres]]*Grandview_Inventory[[#This Row],[coeff]])+Grandview_Inventory[[#This Row],[const]]</f>
        <v>39348.693981374228</v>
      </c>
      <c r="S2255" t="s">
        <v>55</v>
      </c>
      <c r="T2255">
        <v>2</v>
      </c>
      <c r="U2255" t="s">
        <v>62</v>
      </c>
      <c r="V2255" t="s">
        <v>57</v>
      </c>
      <c r="W2255">
        <v>0</v>
      </c>
      <c r="X2255">
        <v>0</v>
      </c>
      <c r="Y2255">
        <v>11</v>
      </c>
      <c r="Z2255">
        <v>11</v>
      </c>
      <c r="AA2255">
        <v>20</v>
      </c>
      <c r="AB2255">
        <v>2000</v>
      </c>
      <c r="AC2255">
        <v>1626</v>
      </c>
      <c r="AD2255">
        <v>1083</v>
      </c>
      <c r="AE2255">
        <v>543</v>
      </c>
      <c r="AF2255">
        <v>0</v>
      </c>
      <c r="AG2255">
        <v>0</v>
      </c>
      <c r="AH2255">
        <v>0</v>
      </c>
      <c r="AI2255">
        <v>0</v>
      </c>
      <c r="AJ2255">
        <v>462</v>
      </c>
      <c r="AK2255">
        <v>0</v>
      </c>
      <c r="AL2255">
        <v>0</v>
      </c>
      <c r="AM2255">
        <v>140</v>
      </c>
      <c r="AN2255">
        <v>76</v>
      </c>
      <c r="AO2255">
        <v>204</v>
      </c>
      <c r="AP2255">
        <v>10</v>
      </c>
      <c r="AQ2255">
        <v>0</v>
      </c>
      <c r="AR2255">
        <v>0</v>
      </c>
      <c r="AS2255" t="s">
        <v>58</v>
      </c>
      <c r="AT2255">
        <v>1</v>
      </c>
      <c r="AU2255" t="s">
        <v>63</v>
      </c>
      <c r="AV2255" t="s">
        <v>60</v>
      </c>
      <c r="AW2255">
        <v>1</v>
      </c>
      <c r="AX2255">
        <v>3</v>
      </c>
      <c r="AY2255">
        <v>0</v>
      </c>
      <c r="AZ2255">
        <v>0</v>
      </c>
      <c r="BA2255">
        <v>100</v>
      </c>
      <c r="BB2255">
        <v>100</v>
      </c>
      <c r="BC2255">
        <v>100</v>
      </c>
      <c r="BD2255">
        <v>100</v>
      </c>
      <c r="BE2255">
        <v>1</v>
      </c>
      <c r="BF2255">
        <v>15000</v>
      </c>
      <c r="BG2255">
        <v>1000</v>
      </c>
      <c r="BH2255" s="6">
        <f>Grandview_Inventory[[#This Row],[land_extract]]*Lookups!$B$3</f>
        <v>45695.532079096141</v>
      </c>
      <c r="BI2255" s="6">
        <f>IF(Grandview_Inventory[[#This Row],[bldg_style]]="",0,Lookups!$B$2)</f>
        <v>155833.95000000001</v>
      </c>
      <c r="BJ2255" s="6">
        <f>_xlfn.IFNA(VLOOKUP(Grandview_Inventory[[#This Row],[quality]],Lookups!$H$2:$J$14,3,FALSE),0)</f>
        <v>9808</v>
      </c>
      <c r="BK2255" s="6">
        <f>_xlfn.IFNA(VLOOKUP(Grandview_Inventory[[#This Row],[condition]],Lookups!$H$17:$J$24,3,FALSE),0)</f>
        <v>25780</v>
      </c>
      <c r="BL2255" s="6">
        <f>Grandview_Inventory[[#This Row],[Eff_Age]]*Lookups!$B$14</f>
        <v>-2630.8325999999997</v>
      </c>
      <c r="BM2255" s="6">
        <f>Grandview_Inventory[[#This Row],[living_area]]*Lookups!$B$15</f>
        <v>101431.266978</v>
      </c>
      <c r="BN2255" s="6">
        <f>Grandview_Inventory[[#This Row],[Fin BSMT]]*Lookups!$B$16</f>
        <v>0</v>
      </c>
      <c r="BO2255" s="6">
        <f>(Grandview_Inventory[[#This Row],[att_gar]]+Grandview_Inventory[[#This Row],[bltin_gar]])*Lookups!$B$17</f>
        <v>40434.441894000003</v>
      </c>
      <c r="BP2255" s="6">
        <f>Grandview_Inventory[[#This Row],[Plumbing Fixtures]]*Lookups!$B$18</f>
        <v>20104.418000000001</v>
      </c>
      <c r="BQ2255" s="6">
        <f>Grandview_Inventory[[#This Row],[detatched_value]]*Lookups!$B$19</f>
        <v>0</v>
      </c>
      <c r="BR2255" s="6">
        <f>SUM(Grandview_Inventory[[#This Row],[Intercept]:[det_value]])*Grandview_Inventory[[#This Row],[res_pct]]</f>
        <v>350761.24427200004</v>
      </c>
      <c r="BS2255" s="6">
        <f>Grandview_Inventory[[#This Row],[land_value]]</f>
        <v>45695.532079096141</v>
      </c>
      <c r="BT2255" s="4">
        <f>_xlfn.IFNA(VLOOKUP(Grandview_Inventory[[#This Row],[quality]],Lookups!$A$26:$C$33,3,FALSE),1)</f>
        <v>0.94295468617355149</v>
      </c>
      <c r="BU2255" s="4">
        <f>_xlfn.IFNA(VLOOKUP(Grandview_Inventory[[#This Row],[condition]],Lookups!$A$37:$C$44,3,FALSE),1)</f>
        <v>0.94347925387812148</v>
      </c>
      <c r="BV2255" s="4">
        <f>IF(Grandview_Inventory[[#This Row],[bldg_style]]="",1,_xlfn.IFNA(VLOOKUP(Grandview_Inventory[[#This Row],[decade]],Lookups!$F$29:$H$43,3,FALSE),1))</f>
        <v>0.96737494181490646</v>
      </c>
      <c r="BW2255" s="4">
        <f>_xlfn.IFNA(VLOOKUP(Grandview_Inventory[[#This Row],[living_area_range]],Lookups!$F$47:$H$56,3,FALSE),1)</f>
        <v>0.96120133463014379</v>
      </c>
      <c r="BX2255" s="4">
        <f>AVERAGE(Grandview_Inventory[[#This Row],[qual_adj]:[size_adj]])</f>
        <v>0.95375255412418092</v>
      </c>
      <c r="BY2255" s="6">
        <f>IF(Grandview_Inventory[[#This Row],[pre_res]]&lt;0,0,Grandview_Inventory[[#This Row],[pre_res]]*Grandview_Inventory[[#This Row],[overall_adj]])</f>
        <v>334539.43261219579</v>
      </c>
      <c r="BZ2255" s="6">
        <f>(Grandview_Inventory[[#This Row],[sum_land]]-IF(Grandview_Inventory[[#This Row],[no_utilities]]=1,12000,0))/IF(Grandview_Inventory[[#This Row],[unbuildable]]=1,2,1)</f>
        <v>45695.532079096141</v>
      </c>
      <c r="CA225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5">
        <f>ROUND(Grandview_Inventory[[#This Row],[det_value]]*Lookups!$M$28,-2)</f>
        <v>0</v>
      </c>
      <c r="CC2255">
        <f>IF(ROUND(Grandview_Inventory[[#This Row],[adj_res]]*Lookups!$M$28,-2)&lt;Grandview_Inventory[[#This Row],[min_res]],Grandview_Inventory[[#This Row],[min_res]],ROUND(Grandview_Inventory[[#This Row],[adj_res]]*Lookups!$M$28,-2))</f>
        <v>317800</v>
      </c>
      <c r="CD2255">
        <f>Grandview_Inventory[[#This Row],[final_det]]+Grandview_Inventory[[#This Row],[final_res]]</f>
        <v>317800</v>
      </c>
      <c r="CE2255">
        <f>Grandview_Inventory[[#This Row],[final_land]]+Grandview_Inventory[[#This Row],[final_imp]]+Grandview_Inventory[[#This Row],[crop_value]]</f>
        <v>361200</v>
      </c>
      <c r="CG2255" t="str">
        <f t="shared" si="35"/>
        <v>update valuation set market_land =43400, market_bldg=317800, market_total =361200, market_mdno =401, market_date ='9/10/2023' where link_id = (select link_id from parcel where parcel_year = '2024' and parcel_id = '23092612407');</v>
      </c>
    </row>
    <row r="2256" spans="1:85" x14ac:dyDescent="0.25">
      <c r="A2256">
        <v>23092612408</v>
      </c>
      <c r="B2256">
        <v>0.16</v>
      </c>
      <c r="C2256">
        <v>7012</v>
      </c>
      <c r="D2256" t="s">
        <v>129</v>
      </c>
      <c r="E2256" t="s">
        <v>53</v>
      </c>
      <c r="F2256" t="s">
        <v>53</v>
      </c>
      <c r="G2256">
        <v>4</v>
      </c>
      <c r="H2256" t="s">
        <v>54</v>
      </c>
      <c r="I2256">
        <v>273000</v>
      </c>
      <c r="J2256">
        <v>38600</v>
      </c>
      <c r="K2256">
        <v>0.16</v>
      </c>
      <c r="L225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6">
        <v>0</v>
      </c>
      <c r="N2256">
        <v>0</v>
      </c>
      <c r="O2256">
        <v>0</v>
      </c>
      <c r="P2256">
        <v>13398.7528</v>
      </c>
      <c r="Q2256">
        <v>63903</v>
      </c>
      <c r="R2256">
        <f>(Grandview_Inventory[[#This Row],[ln_acres]]*Grandview_Inventory[[#This Row],[coeff]])+Grandview_Inventory[[#This Row],[const]]</f>
        <v>39348.693981374228</v>
      </c>
      <c r="S2256" t="s">
        <v>55</v>
      </c>
      <c r="T2256">
        <v>2</v>
      </c>
      <c r="U2256" t="s">
        <v>62</v>
      </c>
      <c r="V2256" t="s">
        <v>57</v>
      </c>
      <c r="W2256">
        <v>0</v>
      </c>
      <c r="X2256">
        <v>0</v>
      </c>
      <c r="Y2256">
        <v>11</v>
      </c>
      <c r="Z2256">
        <v>11</v>
      </c>
      <c r="AA2256">
        <v>20</v>
      </c>
      <c r="AB2256">
        <v>2000</v>
      </c>
      <c r="AC2256">
        <v>1626</v>
      </c>
      <c r="AD2256">
        <v>1083</v>
      </c>
      <c r="AE2256">
        <v>543</v>
      </c>
      <c r="AF2256">
        <v>0</v>
      </c>
      <c r="AG2256">
        <v>0</v>
      </c>
      <c r="AH2256">
        <v>0</v>
      </c>
      <c r="AI2256">
        <v>0</v>
      </c>
      <c r="AJ2256">
        <v>462</v>
      </c>
      <c r="AK2256">
        <v>0</v>
      </c>
      <c r="AL2256">
        <v>0</v>
      </c>
      <c r="AM2256">
        <v>140</v>
      </c>
      <c r="AN2256">
        <v>76</v>
      </c>
      <c r="AO2256">
        <v>0</v>
      </c>
      <c r="AP2256">
        <v>10</v>
      </c>
      <c r="AQ2256">
        <v>0</v>
      </c>
      <c r="AR2256">
        <v>0</v>
      </c>
      <c r="AS2256" t="s">
        <v>58</v>
      </c>
      <c r="AT2256">
        <v>1</v>
      </c>
      <c r="AU2256" t="s">
        <v>63</v>
      </c>
      <c r="AV2256" t="s">
        <v>60</v>
      </c>
      <c r="AW2256">
        <v>1</v>
      </c>
      <c r="AX2256">
        <v>3</v>
      </c>
      <c r="AY2256">
        <v>0</v>
      </c>
      <c r="AZ2256">
        <v>0</v>
      </c>
      <c r="BA2256">
        <v>100</v>
      </c>
      <c r="BB2256">
        <v>100</v>
      </c>
      <c r="BC2256">
        <v>100</v>
      </c>
      <c r="BD2256">
        <v>100</v>
      </c>
      <c r="BE2256">
        <v>1</v>
      </c>
      <c r="BF2256">
        <v>15000</v>
      </c>
      <c r="BG2256">
        <v>1000</v>
      </c>
      <c r="BH2256" s="6">
        <f>Grandview_Inventory[[#This Row],[land_extract]]*Lookups!$B$3</f>
        <v>45695.532079096141</v>
      </c>
      <c r="BI2256" s="6">
        <f>IF(Grandview_Inventory[[#This Row],[bldg_style]]="",0,Lookups!$B$2)</f>
        <v>155833.95000000001</v>
      </c>
      <c r="BJ2256" s="6">
        <f>_xlfn.IFNA(VLOOKUP(Grandview_Inventory[[#This Row],[quality]],Lookups!$H$2:$J$14,3,FALSE),0)</f>
        <v>9808</v>
      </c>
      <c r="BK2256" s="6">
        <f>_xlfn.IFNA(VLOOKUP(Grandview_Inventory[[#This Row],[condition]],Lookups!$H$17:$J$24,3,FALSE),0)</f>
        <v>25780</v>
      </c>
      <c r="BL2256" s="6">
        <f>Grandview_Inventory[[#This Row],[Eff_Age]]*Lookups!$B$14</f>
        <v>-2630.8325999999997</v>
      </c>
      <c r="BM2256" s="6">
        <f>Grandview_Inventory[[#This Row],[living_area]]*Lookups!$B$15</f>
        <v>101431.266978</v>
      </c>
      <c r="BN2256" s="6">
        <f>Grandview_Inventory[[#This Row],[Fin BSMT]]*Lookups!$B$16</f>
        <v>0</v>
      </c>
      <c r="BO2256" s="6">
        <f>(Grandview_Inventory[[#This Row],[att_gar]]+Grandview_Inventory[[#This Row],[bltin_gar]])*Lookups!$B$17</f>
        <v>40434.441894000003</v>
      </c>
      <c r="BP2256" s="6">
        <f>Grandview_Inventory[[#This Row],[Plumbing Fixtures]]*Lookups!$B$18</f>
        <v>20104.418000000001</v>
      </c>
      <c r="BQ2256" s="6">
        <f>Grandview_Inventory[[#This Row],[detatched_value]]*Lookups!$B$19</f>
        <v>0</v>
      </c>
      <c r="BR2256" s="6">
        <f>SUM(Grandview_Inventory[[#This Row],[Intercept]:[det_value]])*Grandview_Inventory[[#This Row],[res_pct]]</f>
        <v>350761.24427200004</v>
      </c>
      <c r="BS2256" s="6">
        <f>Grandview_Inventory[[#This Row],[land_value]]</f>
        <v>45695.532079096141</v>
      </c>
      <c r="BT2256" s="4">
        <f>_xlfn.IFNA(VLOOKUP(Grandview_Inventory[[#This Row],[quality]],Lookups!$A$26:$C$33,3,FALSE),1)</f>
        <v>0.94295468617355149</v>
      </c>
      <c r="BU2256" s="4">
        <f>_xlfn.IFNA(VLOOKUP(Grandview_Inventory[[#This Row],[condition]],Lookups!$A$37:$C$44,3,FALSE),1)</f>
        <v>0.94347925387812148</v>
      </c>
      <c r="BV2256" s="4">
        <f>IF(Grandview_Inventory[[#This Row],[bldg_style]]="",1,_xlfn.IFNA(VLOOKUP(Grandview_Inventory[[#This Row],[decade]],Lookups!$F$29:$H$43,3,FALSE),1))</f>
        <v>0.96737494181490646</v>
      </c>
      <c r="BW2256" s="4">
        <f>_xlfn.IFNA(VLOOKUP(Grandview_Inventory[[#This Row],[living_area_range]],Lookups!$F$47:$H$56,3,FALSE),1)</f>
        <v>0.96120133463014379</v>
      </c>
      <c r="BX2256" s="4">
        <f>AVERAGE(Grandview_Inventory[[#This Row],[qual_adj]:[size_adj]])</f>
        <v>0.95375255412418092</v>
      </c>
      <c r="BY2256" s="6">
        <f>IF(Grandview_Inventory[[#This Row],[pre_res]]&lt;0,0,Grandview_Inventory[[#This Row],[pre_res]]*Grandview_Inventory[[#This Row],[overall_adj]])</f>
        <v>334539.43261219579</v>
      </c>
      <c r="BZ2256" s="6">
        <f>(Grandview_Inventory[[#This Row],[sum_land]]-IF(Grandview_Inventory[[#This Row],[no_utilities]]=1,12000,0))/IF(Grandview_Inventory[[#This Row],[unbuildable]]=1,2,1)</f>
        <v>45695.532079096141</v>
      </c>
      <c r="CA225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6">
        <f>ROUND(Grandview_Inventory[[#This Row],[det_value]]*Lookups!$M$28,-2)</f>
        <v>0</v>
      </c>
      <c r="CC2256">
        <f>IF(ROUND(Grandview_Inventory[[#This Row],[adj_res]]*Lookups!$M$28,-2)&lt;Grandview_Inventory[[#This Row],[min_res]],Grandview_Inventory[[#This Row],[min_res]],ROUND(Grandview_Inventory[[#This Row],[adj_res]]*Lookups!$M$28,-2))</f>
        <v>317800</v>
      </c>
      <c r="CD2256">
        <f>Grandview_Inventory[[#This Row],[final_det]]+Grandview_Inventory[[#This Row],[final_res]]</f>
        <v>317800</v>
      </c>
      <c r="CE2256">
        <f>Grandview_Inventory[[#This Row],[final_land]]+Grandview_Inventory[[#This Row],[final_imp]]+Grandview_Inventory[[#This Row],[crop_value]]</f>
        <v>361200</v>
      </c>
      <c r="CG2256" t="str">
        <f t="shared" si="35"/>
        <v>update valuation set market_land =43400, market_bldg=317800, market_total =361200, market_mdno =401, market_date ='9/10/2023' where link_id = (select link_id from parcel where parcel_year = '2024' and parcel_id = '23092612408');</v>
      </c>
    </row>
    <row r="2257" spans="1:85" x14ac:dyDescent="0.25">
      <c r="A2257">
        <v>23092612409</v>
      </c>
      <c r="B2257">
        <v>0.16</v>
      </c>
      <c r="C2257">
        <v>7000</v>
      </c>
      <c r="D2257" t="s">
        <v>129</v>
      </c>
      <c r="E2257" t="s">
        <v>53</v>
      </c>
      <c r="F2257" t="s">
        <v>53</v>
      </c>
      <c r="G2257">
        <v>4</v>
      </c>
      <c r="H2257" t="s">
        <v>54</v>
      </c>
      <c r="I2257">
        <v>224700</v>
      </c>
      <c r="J2257">
        <v>38600</v>
      </c>
      <c r="K2257">
        <v>0.16</v>
      </c>
      <c r="L225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7">
        <v>0</v>
      </c>
      <c r="N2257">
        <v>0</v>
      </c>
      <c r="O2257">
        <v>0</v>
      </c>
      <c r="P2257">
        <v>13398.7528</v>
      </c>
      <c r="Q2257">
        <v>63903</v>
      </c>
      <c r="R2257">
        <f>(Grandview_Inventory[[#This Row],[ln_acres]]*Grandview_Inventory[[#This Row],[coeff]])+Grandview_Inventory[[#This Row],[const]]</f>
        <v>39348.693981374228</v>
      </c>
      <c r="S2257" t="s">
        <v>61</v>
      </c>
      <c r="T2257">
        <v>1</v>
      </c>
      <c r="U2257" t="s">
        <v>65</v>
      </c>
      <c r="V2257" t="s">
        <v>66</v>
      </c>
      <c r="W2257">
        <v>0</v>
      </c>
      <c r="X2257">
        <v>0</v>
      </c>
      <c r="Y2257">
        <v>12</v>
      </c>
      <c r="Z2257">
        <v>12</v>
      </c>
      <c r="AA2257">
        <v>20</v>
      </c>
      <c r="AB2257">
        <v>1500</v>
      </c>
      <c r="AC2257">
        <v>1230</v>
      </c>
      <c r="AD2257">
        <v>1230</v>
      </c>
      <c r="AE2257">
        <v>0</v>
      </c>
      <c r="AF2257">
        <v>0</v>
      </c>
      <c r="AG2257">
        <v>0</v>
      </c>
      <c r="AH2257">
        <v>0</v>
      </c>
      <c r="AI2257">
        <v>380</v>
      </c>
      <c r="AJ2257">
        <v>0</v>
      </c>
      <c r="AK2257">
        <v>0</v>
      </c>
      <c r="AL2257">
        <v>0</v>
      </c>
      <c r="AM2257">
        <v>0</v>
      </c>
      <c r="AN2257">
        <v>28</v>
      </c>
      <c r="AO2257">
        <v>0</v>
      </c>
      <c r="AP2257">
        <v>9</v>
      </c>
      <c r="AQ2257">
        <v>0</v>
      </c>
      <c r="AR2257">
        <v>0</v>
      </c>
      <c r="AS2257" t="s">
        <v>58</v>
      </c>
      <c r="AT2257">
        <v>1</v>
      </c>
      <c r="AU2257" t="s">
        <v>63</v>
      </c>
      <c r="AV2257" t="s">
        <v>60</v>
      </c>
      <c r="AW2257">
        <v>1</v>
      </c>
      <c r="AX2257">
        <v>3</v>
      </c>
      <c r="AY2257">
        <v>0</v>
      </c>
      <c r="AZ2257">
        <v>0</v>
      </c>
      <c r="BA2257">
        <v>100</v>
      </c>
      <c r="BB2257">
        <v>100</v>
      </c>
      <c r="BC2257">
        <v>100</v>
      </c>
      <c r="BD2257">
        <v>100</v>
      </c>
      <c r="BE2257">
        <v>1</v>
      </c>
      <c r="BF2257">
        <v>15000</v>
      </c>
      <c r="BG2257">
        <v>1000</v>
      </c>
      <c r="BH2257" s="6">
        <f>Grandview_Inventory[[#This Row],[land_extract]]*Lookups!$B$3</f>
        <v>45695.532079096141</v>
      </c>
      <c r="BI2257" s="6">
        <f>IF(Grandview_Inventory[[#This Row],[bldg_style]]="",0,Lookups!$B$2)</f>
        <v>155833.95000000001</v>
      </c>
      <c r="BJ2257" s="6">
        <f>_xlfn.IFNA(VLOOKUP(Grandview_Inventory[[#This Row],[quality]],Lookups!$H$2:$J$14,3,FALSE),0)</f>
        <v>2251</v>
      </c>
      <c r="BK2257" s="6">
        <f>_xlfn.IFNA(VLOOKUP(Grandview_Inventory[[#This Row],[condition]],Lookups!$H$17:$J$24,3,FALSE),0)</f>
        <v>25818</v>
      </c>
      <c r="BL2257" s="6">
        <f>Grandview_Inventory[[#This Row],[Eff_Age]]*Lookups!$B$14</f>
        <v>-2869.9991999999997</v>
      </c>
      <c r="BM2257" s="6">
        <f>Grandview_Inventory[[#This Row],[living_area]]*Lookups!$B$15</f>
        <v>76728.449189999999</v>
      </c>
      <c r="BN2257" s="6">
        <f>Grandview_Inventory[[#This Row],[Fin BSMT]]*Lookups!$B$16</f>
        <v>0</v>
      </c>
      <c r="BO2257" s="6">
        <f>(Grandview_Inventory[[#This Row],[att_gar]]+Grandview_Inventory[[#This Row],[bltin_gar]])*Lookups!$B$17</f>
        <v>33257.766060000002</v>
      </c>
      <c r="BP2257" s="6">
        <f>Grandview_Inventory[[#This Row],[Plumbing Fixtures]]*Lookups!$B$18</f>
        <v>18093.976200000001</v>
      </c>
      <c r="BQ2257" s="6">
        <f>Grandview_Inventory[[#This Row],[detatched_value]]*Lookups!$B$19</f>
        <v>0</v>
      </c>
      <c r="BR2257" s="6">
        <f>SUM(Grandview_Inventory[[#This Row],[Intercept]:[det_value]])*Grandview_Inventory[[#This Row],[res_pct]]</f>
        <v>309113.14224999998</v>
      </c>
      <c r="BS2257" s="6">
        <f>Grandview_Inventory[[#This Row],[land_value]]</f>
        <v>45695.532079096141</v>
      </c>
      <c r="BT2257" s="4">
        <f>_xlfn.IFNA(VLOOKUP(Grandview_Inventory[[#This Row],[quality]],Lookups!$A$26:$C$33,3,FALSE),1)</f>
        <v>0.98763855981004833</v>
      </c>
      <c r="BU2257" s="4">
        <f>_xlfn.IFNA(VLOOKUP(Grandview_Inventory[[#This Row],[condition]],Lookups!$A$37:$C$44,3,FALSE),1)</f>
        <v>0.96661476234146892</v>
      </c>
      <c r="BV2257" s="4">
        <f>IF(Grandview_Inventory[[#This Row],[bldg_style]]="",1,_xlfn.IFNA(VLOOKUP(Grandview_Inventory[[#This Row],[decade]],Lookups!$F$29:$H$43,3,FALSE),1))</f>
        <v>0.96737494181490646</v>
      </c>
      <c r="BW2257" s="4">
        <f>_xlfn.IFNA(VLOOKUP(Grandview_Inventory[[#This Row],[living_area_range]],Lookups!$F$47:$H$56,3,FALSE),1)</f>
        <v>0.96135087979789358</v>
      </c>
      <c r="BX2257" s="4">
        <f>AVERAGE(Grandview_Inventory[[#This Row],[qual_adj]:[size_adj]])</f>
        <v>0.97074478594107938</v>
      </c>
      <c r="BY2257" s="6">
        <f>IF(Grandview_Inventory[[#This Row],[pre_res]]&lt;0,0,Grandview_Inventory[[#This Row],[pre_res]]*Grandview_Inventory[[#This Row],[overall_adj]])</f>
        <v>300069.97110505064</v>
      </c>
      <c r="BZ2257" s="6">
        <f>(Grandview_Inventory[[#This Row],[sum_land]]-IF(Grandview_Inventory[[#This Row],[no_utilities]]=1,12000,0))/IF(Grandview_Inventory[[#This Row],[unbuildable]]=1,2,1)</f>
        <v>45695.532079096141</v>
      </c>
      <c r="CA225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7">
        <f>ROUND(Grandview_Inventory[[#This Row],[det_value]]*Lookups!$M$28,-2)</f>
        <v>0</v>
      </c>
      <c r="CC2257">
        <f>IF(ROUND(Grandview_Inventory[[#This Row],[adj_res]]*Lookups!$M$28,-2)&lt;Grandview_Inventory[[#This Row],[min_res]],Grandview_Inventory[[#This Row],[min_res]],ROUND(Grandview_Inventory[[#This Row],[adj_res]]*Lookups!$M$28,-2))</f>
        <v>285100</v>
      </c>
      <c r="CD2257">
        <f>Grandview_Inventory[[#This Row],[final_det]]+Grandview_Inventory[[#This Row],[final_res]]</f>
        <v>285100</v>
      </c>
      <c r="CE2257">
        <f>Grandview_Inventory[[#This Row],[final_land]]+Grandview_Inventory[[#This Row],[final_imp]]+Grandview_Inventory[[#This Row],[crop_value]]</f>
        <v>328500</v>
      </c>
      <c r="CG2257" t="str">
        <f t="shared" si="35"/>
        <v>update valuation set market_land =43400, market_bldg=285100, market_total =328500, market_mdno =401, market_date ='9/10/2023' where link_id = (select link_id from parcel where parcel_year = '2024' and parcel_id = '23092612409');</v>
      </c>
    </row>
    <row r="2258" spans="1:85" x14ac:dyDescent="0.25">
      <c r="A2258">
        <v>23092612410</v>
      </c>
      <c r="B2258">
        <v>0.16</v>
      </c>
      <c r="C2258">
        <v>7000</v>
      </c>
      <c r="D2258" t="s">
        <v>129</v>
      </c>
      <c r="E2258" t="s">
        <v>53</v>
      </c>
      <c r="F2258" t="s">
        <v>53</v>
      </c>
      <c r="G2258">
        <v>4</v>
      </c>
      <c r="H2258" t="s">
        <v>54</v>
      </c>
      <c r="I2258">
        <v>228300</v>
      </c>
      <c r="J2258">
        <v>38600</v>
      </c>
      <c r="K2258">
        <v>0.16</v>
      </c>
      <c r="L225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8">
        <v>0</v>
      </c>
      <c r="N2258">
        <v>0</v>
      </c>
      <c r="O2258">
        <v>0</v>
      </c>
      <c r="P2258">
        <v>13398.7528</v>
      </c>
      <c r="Q2258">
        <v>63903</v>
      </c>
      <c r="R2258">
        <f>(Grandview_Inventory[[#This Row],[ln_acres]]*Grandview_Inventory[[#This Row],[coeff]])+Grandview_Inventory[[#This Row],[const]]</f>
        <v>39348.693981374228</v>
      </c>
      <c r="S2258" t="s">
        <v>61</v>
      </c>
      <c r="T2258">
        <v>1</v>
      </c>
      <c r="U2258" t="s">
        <v>65</v>
      </c>
      <c r="V2258" t="s">
        <v>66</v>
      </c>
      <c r="W2258">
        <v>0</v>
      </c>
      <c r="X2258">
        <v>0</v>
      </c>
      <c r="Y2258">
        <v>14</v>
      </c>
      <c r="Z2258">
        <v>14</v>
      </c>
      <c r="AA2258">
        <v>20</v>
      </c>
      <c r="AB2258">
        <v>1500</v>
      </c>
      <c r="AC2258">
        <v>1371</v>
      </c>
      <c r="AD2258">
        <v>1371</v>
      </c>
      <c r="AE2258">
        <v>0</v>
      </c>
      <c r="AF2258">
        <v>0</v>
      </c>
      <c r="AG2258">
        <v>0</v>
      </c>
      <c r="AH2258">
        <v>0</v>
      </c>
      <c r="AI2258">
        <v>399</v>
      </c>
      <c r="AJ2258">
        <v>0</v>
      </c>
      <c r="AK2258">
        <v>0</v>
      </c>
      <c r="AL2258">
        <v>0</v>
      </c>
      <c r="AM2258">
        <v>120</v>
      </c>
      <c r="AN2258">
        <v>16</v>
      </c>
      <c r="AO2258">
        <v>0</v>
      </c>
      <c r="AP2258">
        <v>9</v>
      </c>
      <c r="AQ2258">
        <v>0</v>
      </c>
      <c r="AR2258">
        <v>0</v>
      </c>
      <c r="AS2258" t="s">
        <v>58</v>
      </c>
      <c r="AT2258">
        <v>1</v>
      </c>
      <c r="AU2258" t="s">
        <v>59</v>
      </c>
      <c r="AV2258" t="s">
        <v>60</v>
      </c>
      <c r="AW2258">
        <v>1</v>
      </c>
      <c r="AX2258">
        <v>3</v>
      </c>
      <c r="AY2258">
        <v>0</v>
      </c>
      <c r="AZ2258">
        <v>0</v>
      </c>
      <c r="BA2258">
        <v>100</v>
      </c>
      <c r="BB2258">
        <v>100</v>
      </c>
      <c r="BC2258">
        <v>100</v>
      </c>
      <c r="BD2258">
        <v>100</v>
      </c>
      <c r="BE2258">
        <v>1</v>
      </c>
      <c r="BF2258">
        <v>15000</v>
      </c>
      <c r="BG2258">
        <v>1000</v>
      </c>
      <c r="BH2258" s="6">
        <f>Grandview_Inventory[[#This Row],[land_extract]]*Lookups!$B$3</f>
        <v>45695.532079096141</v>
      </c>
      <c r="BI2258" s="6">
        <f>IF(Grandview_Inventory[[#This Row],[bldg_style]]="",0,Lookups!$B$2)</f>
        <v>155833.95000000001</v>
      </c>
      <c r="BJ2258" s="6">
        <f>_xlfn.IFNA(VLOOKUP(Grandview_Inventory[[#This Row],[quality]],Lookups!$H$2:$J$14,3,FALSE),0)</f>
        <v>2251</v>
      </c>
      <c r="BK2258" s="6">
        <f>_xlfn.IFNA(VLOOKUP(Grandview_Inventory[[#This Row],[condition]],Lookups!$H$17:$J$24,3,FALSE),0)</f>
        <v>25818</v>
      </c>
      <c r="BL2258" s="6">
        <f>Grandview_Inventory[[#This Row],[Eff_Age]]*Lookups!$B$14</f>
        <v>-3348.3323999999998</v>
      </c>
      <c r="BM2258" s="6">
        <f>Grandview_Inventory[[#This Row],[living_area]]*Lookups!$B$15</f>
        <v>85524.149463000009</v>
      </c>
      <c r="BN2258" s="6">
        <f>Grandview_Inventory[[#This Row],[Fin BSMT]]*Lookups!$B$16</f>
        <v>0</v>
      </c>
      <c r="BO2258" s="6">
        <f>(Grandview_Inventory[[#This Row],[att_gar]]+Grandview_Inventory[[#This Row],[bltin_gar]])*Lookups!$B$17</f>
        <v>34920.654363000001</v>
      </c>
      <c r="BP2258" s="6">
        <f>Grandview_Inventory[[#This Row],[Plumbing Fixtures]]*Lookups!$B$18</f>
        <v>18093.976200000001</v>
      </c>
      <c r="BQ2258" s="6">
        <f>Grandview_Inventory[[#This Row],[detatched_value]]*Lookups!$B$19</f>
        <v>0</v>
      </c>
      <c r="BR2258" s="6">
        <f>SUM(Grandview_Inventory[[#This Row],[Intercept]:[det_value]])*Grandview_Inventory[[#This Row],[res_pct]]</f>
        <v>319093.39762599999</v>
      </c>
      <c r="BS2258" s="6">
        <f>Grandview_Inventory[[#This Row],[land_value]]</f>
        <v>45695.532079096141</v>
      </c>
      <c r="BT2258" s="4">
        <f>_xlfn.IFNA(VLOOKUP(Grandview_Inventory[[#This Row],[quality]],Lookups!$A$26:$C$33,3,FALSE),1)</f>
        <v>0.98763855981004833</v>
      </c>
      <c r="BU2258" s="4">
        <f>_xlfn.IFNA(VLOOKUP(Grandview_Inventory[[#This Row],[condition]],Lookups!$A$37:$C$44,3,FALSE),1)</f>
        <v>0.96661476234146892</v>
      </c>
      <c r="BV2258" s="4">
        <f>IF(Grandview_Inventory[[#This Row],[bldg_style]]="",1,_xlfn.IFNA(VLOOKUP(Grandview_Inventory[[#This Row],[decade]],Lookups!$F$29:$H$43,3,FALSE),1))</f>
        <v>0.96737494181490646</v>
      </c>
      <c r="BW2258" s="4">
        <f>_xlfn.IFNA(VLOOKUP(Grandview_Inventory[[#This Row],[living_area_range]],Lookups!$F$47:$H$56,3,FALSE),1)</f>
        <v>0.96135087979789358</v>
      </c>
      <c r="BX2258" s="4">
        <f>AVERAGE(Grandview_Inventory[[#This Row],[qual_adj]:[size_adj]])</f>
        <v>0.97074478594107938</v>
      </c>
      <c r="BY2258" s="6">
        <f>IF(Grandview_Inventory[[#This Row],[pre_res]]&lt;0,0,Grandview_Inventory[[#This Row],[pre_res]]*Grandview_Inventory[[#This Row],[overall_adj]])</f>
        <v>309758.25197366311</v>
      </c>
      <c r="BZ2258" s="6">
        <f>(Grandview_Inventory[[#This Row],[sum_land]]-IF(Grandview_Inventory[[#This Row],[no_utilities]]=1,12000,0))/IF(Grandview_Inventory[[#This Row],[unbuildable]]=1,2,1)</f>
        <v>45695.532079096141</v>
      </c>
      <c r="CA225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8">
        <f>ROUND(Grandview_Inventory[[#This Row],[det_value]]*Lookups!$M$28,-2)</f>
        <v>0</v>
      </c>
      <c r="CC2258">
        <f>IF(ROUND(Grandview_Inventory[[#This Row],[adj_res]]*Lookups!$M$28,-2)&lt;Grandview_Inventory[[#This Row],[min_res]],Grandview_Inventory[[#This Row],[min_res]],ROUND(Grandview_Inventory[[#This Row],[adj_res]]*Lookups!$M$28,-2))</f>
        <v>294300</v>
      </c>
      <c r="CD2258">
        <f>Grandview_Inventory[[#This Row],[final_det]]+Grandview_Inventory[[#This Row],[final_res]]</f>
        <v>294300</v>
      </c>
      <c r="CE2258">
        <f>Grandview_Inventory[[#This Row],[final_land]]+Grandview_Inventory[[#This Row],[final_imp]]+Grandview_Inventory[[#This Row],[crop_value]]</f>
        <v>337700</v>
      </c>
      <c r="CG2258" t="str">
        <f t="shared" si="35"/>
        <v>update valuation set market_land =43400, market_bldg=294300, market_total =337700, market_mdno =401, market_date ='9/10/2023' where link_id = (select link_id from parcel where parcel_year = '2024' and parcel_id = '23092612410');</v>
      </c>
    </row>
    <row r="2259" spans="1:85" x14ac:dyDescent="0.25">
      <c r="A2259">
        <v>23092612411</v>
      </c>
      <c r="B2259">
        <v>0.16</v>
      </c>
      <c r="C2259">
        <v>7000</v>
      </c>
      <c r="D2259" t="s">
        <v>129</v>
      </c>
      <c r="E2259" t="s">
        <v>53</v>
      </c>
      <c r="F2259" t="s">
        <v>53</v>
      </c>
      <c r="G2259">
        <v>4</v>
      </c>
      <c r="H2259" t="s">
        <v>54</v>
      </c>
      <c r="I2259">
        <v>221400</v>
      </c>
      <c r="J2259">
        <v>38600</v>
      </c>
      <c r="K2259">
        <v>0.16</v>
      </c>
      <c r="L225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59">
        <v>0</v>
      </c>
      <c r="N2259">
        <v>0</v>
      </c>
      <c r="O2259">
        <v>0</v>
      </c>
      <c r="P2259">
        <v>13398.7528</v>
      </c>
      <c r="Q2259">
        <v>63903</v>
      </c>
      <c r="R2259">
        <f>(Grandview_Inventory[[#This Row],[ln_acres]]*Grandview_Inventory[[#This Row],[coeff]])+Grandview_Inventory[[#This Row],[const]]</f>
        <v>39348.693981374228</v>
      </c>
      <c r="S2259" t="s">
        <v>61</v>
      </c>
      <c r="T2259">
        <v>1</v>
      </c>
      <c r="U2259" t="s">
        <v>65</v>
      </c>
      <c r="V2259" t="s">
        <v>66</v>
      </c>
      <c r="W2259">
        <v>0</v>
      </c>
      <c r="X2259">
        <v>0</v>
      </c>
      <c r="Y2259">
        <v>16</v>
      </c>
      <c r="Z2259">
        <v>16</v>
      </c>
      <c r="AA2259">
        <v>20</v>
      </c>
      <c r="AB2259">
        <v>1500</v>
      </c>
      <c r="AC2259">
        <v>1293</v>
      </c>
      <c r="AD2259">
        <v>1293</v>
      </c>
      <c r="AE2259">
        <v>0</v>
      </c>
      <c r="AF2259">
        <v>0</v>
      </c>
      <c r="AG2259">
        <v>0</v>
      </c>
      <c r="AH2259">
        <v>0</v>
      </c>
      <c r="AI2259">
        <v>418</v>
      </c>
      <c r="AJ2259">
        <v>0</v>
      </c>
      <c r="AK2259">
        <v>0</v>
      </c>
      <c r="AL2259">
        <v>0</v>
      </c>
      <c r="AM2259">
        <v>100</v>
      </c>
      <c r="AN2259">
        <v>37</v>
      </c>
      <c r="AO2259">
        <v>0</v>
      </c>
      <c r="AP2259">
        <v>9</v>
      </c>
      <c r="AQ2259">
        <v>0</v>
      </c>
      <c r="AR2259">
        <v>0</v>
      </c>
      <c r="AS2259" t="s">
        <v>58</v>
      </c>
      <c r="AT2259">
        <v>1</v>
      </c>
      <c r="AU2259" t="s">
        <v>63</v>
      </c>
      <c r="AV2259" t="s">
        <v>64</v>
      </c>
      <c r="AW2259">
        <v>1</v>
      </c>
      <c r="AX2259">
        <v>3</v>
      </c>
      <c r="AY2259">
        <v>0</v>
      </c>
      <c r="AZ2259">
        <v>0</v>
      </c>
      <c r="BA2259">
        <v>100</v>
      </c>
      <c r="BB2259">
        <v>100</v>
      </c>
      <c r="BC2259">
        <v>100</v>
      </c>
      <c r="BD2259">
        <v>100</v>
      </c>
      <c r="BE2259">
        <v>1</v>
      </c>
      <c r="BF2259">
        <v>15000</v>
      </c>
      <c r="BG2259">
        <v>1000</v>
      </c>
      <c r="BH2259" s="6">
        <f>Grandview_Inventory[[#This Row],[land_extract]]*Lookups!$B$3</f>
        <v>45695.532079096141</v>
      </c>
      <c r="BI2259" s="6">
        <f>IF(Grandview_Inventory[[#This Row],[bldg_style]]="",0,Lookups!$B$2)</f>
        <v>155833.95000000001</v>
      </c>
      <c r="BJ2259" s="6">
        <f>_xlfn.IFNA(VLOOKUP(Grandview_Inventory[[#This Row],[quality]],Lookups!$H$2:$J$14,3,FALSE),0)</f>
        <v>2251</v>
      </c>
      <c r="BK2259" s="6">
        <f>_xlfn.IFNA(VLOOKUP(Grandview_Inventory[[#This Row],[condition]],Lookups!$H$17:$J$24,3,FALSE),0)</f>
        <v>25818</v>
      </c>
      <c r="BL2259" s="6">
        <f>Grandview_Inventory[[#This Row],[Eff_Age]]*Lookups!$B$14</f>
        <v>-3826.6655999999998</v>
      </c>
      <c r="BM2259" s="6">
        <f>Grandview_Inventory[[#This Row],[living_area]]*Lookups!$B$15</f>
        <v>80658.442928999997</v>
      </c>
      <c r="BN2259" s="6">
        <f>Grandview_Inventory[[#This Row],[Fin BSMT]]*Lookups!$B$16</f>
        <v>0</v>
      </c>
      <c r="BO2259" s="6">
        <f>(Grandview_Inventory[[#This Row],[att_gar]]+Grandview_Inventory[[#This Row],[bltin_gar]])*Lookups!$B$17</f>
        <v>36583.542666000001</v>
      </c>
      <c r="BP2259" s="6">
        <f>Grandview_Inventory[[#This Row],[Plumbing Fixtures]]*Lookups!$B$18</f>
        <v>18093.976200000001</v>
      </c>
      <c r="BQ2259" s="6">
        <f>Grandview_Inventory[[#This Row],[detatched_value]]*Lookups!$B$19</f>
        <v>0</v>
      </c>
      <c r="BR2259" s="6">
        <f>SUM(Grandview_Inventory[[#This Row],[Intercept]:[det_value]])*Grandview_Inventory[[#This Row],[res_pct]]</f>
        <v>315412.24619500001</v>
      </c>
      <c r="BS2259" s="6">
        <f>Grandview_Inventory[[#This Row],[land_value]]</f>
        <v>45695.532079096141</v>
      </c>
      <c r="BT2259" s="4">
        <f>_xlfn.IFNA(VLOOKUP(Grandview_Inventory[[#This Row],[quality]],Lookups!$A$26:$C$33,3,FALSE),1)</f>
        <v>0.98763855981004833</v>
      </c>
      <c r="BU2259" s="4">
        <f>_xlfn.IFNA(VLOOKUP(Grandview_Inventory[[#This Row],[condition]],Lookups!$A$37:$C$44,3,FALSE),1)</f>
        <v>0.96661476234146892</v>
      </c>
      <c r="BV2259" s="4">
        <f>IF(Grandview_Inventory[[#This Row],[bldg_style]]="",1,_xlfn.IFNA(VLOOKUP(Grandview_Inventory[[#This Row],[decade]],Lookups!$F$29:$H$43,3,FALSE),1))</f>
        <v>0.96737494181490646</v>
      </c>
      <c r="BW2259" s="4">
        <f>_xlfn.IFNA(VLOOKUP(Grandview_Inventory[[#This Row],[living_area_range]],Lookups!$F$47:$H$56,3,FALSE),1)</f>
        <v>0.96135087979789358</v>
      </c>
      <c r="BX2259" s="4">
        <f>AVERAGE(Grandview_Inventory[[#This Row],[qual_adj]:[size_adj]])</f>
        <v>0.97074478594107938</v>
      </c>
      <c r="BY2259" s="6">
        <f>IF(Grandview_Inventory[[#This Row],[pre_res]]&lt;0,0,Grandview_Inventory[[#This Row],[pre_res]]*Grandview_Inventory[[#This Row],[overall_adj]])</f>
        <v>306184.79341576033</v>
      </c>
      <c r="BZ2259" s="6">
        <f>(Grandview_Inventory[[#This Row],[sum_land]]-IF(Grandview_Inventory[[#This Row],[no_utilities]]=1,12000,0))/IF(Grandview_Inventory[[#This Row],[unbuildable]]=1,2,1)</f>
        <v>45695.532079096141</v>
      </c>
      <c r="CA225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59">
        <f>ROUND(Grandview_Inventory[[#This Row],[det_value]]*Lookups!$M$28,-2)</f>
        <v>0</v>
      </c>
      <c r="CC2259">
        <f>IF(ROUND(Grandview_Inventory[[#This Row],[adj_res]]*Lookups!$M$28,-2)&lt;Grandview_Inventory[[#This Row],[min_res]],Grandview_Inventory[[#This Row],[min_res]],ROUND(Grandview_Inventory[[#This Row],[adj_res]]*Lookups!$M$28,-2))</f>
        <v>290900</v>
      </c>
      <c r="CD2259">
        <f>Grandview_Inventory[[#This Row],[final_det]]+Grandview_Inventory[[#This Row],[final_res]]</f>
        <v>290900</v>
      </c>
      <c r="CE2259">
        <f>Grandview_Inventory[[#This Row],[final_land]]+Grandview_Inventory[[#This Row],[final_imp]]+Grandview_Inventory[[#This Row],[crop_value]]</f>
        <v>334300</v>
      </c>
      <c r="CG2259" t="str">
        <f t="shared" si="35"/>
        <v>update valuation set market_land =43400, market_bldg=290900, market_total =334300, market_mdno =401, market_date ='9/10/2023' where link_id = (select link_id from parcel where parcel_year = '2024' and parcel_id = '23092612411');</v>
      </c>
    </row>
    <row r="2260" spans="1:85" x14ac:dyDescent="0.25">
      <c r="A2260">
        <v>23092612412</v>
      </c>
      <c r="B2260">
        <v>0.16</v>
      </c>
      <c r="C2260">
        <v>7000</v>
      </c>
      <c r="D2260" t="s">
        <v>129</v>
      </c>
      <c r="E2260" t="s">
        <v>53</v>
      </c>
      <c r="F2260" t="s">
        <v>53</v>
      </c>
      <c r="G2260">
        <v>4</v>
      </c>
      <c r="H2260" t="s">
        <v>54</v>
      </c>
      <c r="I2260">
        <v>232600</v>
      </c>
      <c r="J2260">
        <v>38600</v>
      </c>
      <c r="K2260">
        <v>0.16</v>
      </c>
      <c r="L2260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0">
        <v>0</v>
      </c>
      <c r="N2260">
        <v>0</v>
      </c>
      <c r="O2260">
        <v>0</v>
      </c>
      <c r="P2260">
        <v>13398.7528</v>
      </c>
      <c r="Q2260">
        <v>63903</v>
      </c>
      <c r="R2260">
        <f>(Grandview_Inventory[[#This Row],[ln_acres]]*Grandview_Inventory[[#This Row],[coeff]])+Grandview_Inventory[[#This Row],[const]]</f>
        <v>39348.693981374228</v>
      </c>
      <c r="S2260" t="s">
        <v>61</v>
      </c>
      <c r="T2260">
        <v>1</v>
      </c>
      <c r="U2260" t="s">
        <v>62</v>
      </c>
      <c r="V2260" t="s">
        <v>66</v>
      </c>
      <c r="W2260">
        <v>0</v>
      </c>
      <c r="X2260">
        <v>0</v>
      </c>
      <c r="Y2260">
        <v>16</v>
      </c>
      <c r="Z2260">
        <v>16</v>
      </c>
      <c r="AA2260">
        <v>20</v>
      </c>
      <c r="AB2260">
        <v>2000</v>
      </c>
      <c r="AC2260">
        <v>1508</v>
      </c>
      <c r="AD2260">
        <v>1508</v>
      </c>
      <c r="AE2260">
        <v>0</v>
      </c>
      <c r="AF2260">
        <v>0</v>
      </c>
      <c r="AG2260">
        <v>0</v>
      </c>
      <c r="AH2260">
        <v>0</v>
      </c>
      <c r="AI2260">
        <v>420</v>
      </c>
      <c r="AJ2260">
        <v>0</v>
      </c>
      <c r="AK2260">
        <v>0</v>
      </c>
      <c r="AL2260">
        <v>0</v>
      </c>
      <c r="AM2260">
        <v>100</v>
      </c>
      <c r="AN2260">
        <v>0</v>
      </c>
      <c r="AO2260">
        <v>0</v>
      </c>
      <c r="AP2260">
        <v>10</v>
      </c>
      <c r="AQ2260">
        <v>0</v>
      </c>
      <c r="AR2260">
        <v>0</v>
      </c>
      <c r="AS2260" t="s">
        <v>58</v>
      </c>
      <c r="AT2260">
        <v>1</v>
      </c>
      <c r="AU2260" t="s">
        <v>63</v>
      </c>
      <c r="AV2260" t="s">
        <v>64</v>
      </c>
      <c r="AW2260">
        <v>1</v>
      </c>
      <c r="AX2260">
        <v>3</v>
      </c>
      <c r="AY2260">
        <v>0</v>
      </c>
      <c r="AZ2260">
        <v>0</v>
      </c>
      <c r="BA2260">
        <v>100</v>
      </c>
      <c r="BB2260">
        <v>100</v>
      </c>
      <c r="BC2260">
        <v>100</v>
      </c>
      <c r="BD2260">
        <v>100</v>
      </c>
      <c r="BE2260">
        <v>1</v>
      </c>
      <c r="BF2260">
        <v>15000</v>
      </c>
      <c r="BG2260">
        <v>1000</v>
      </c>
      <c r="BH2260" s="6">
        <f>Grandview_Inventory[[#This Row],[land_extract]]*Lookups!$B$3</f>
        <v>45695.532079096141</v>
      </c>
      <c r="BI2260" s="6">
        <f>IF(Grandview_Inventory[[#This Row],[bldg_style]]="",0,Lookups!$B$2)</f>
        <v>155833.95000000001</v>
      </c>
      <c r="BJ2260" s="6">
        <f>_xlfn.IFNA(VLOOKUP(Grandview_Inventory[[#This Row],[quality]],Lookups!$H$2:$J$14,3,FALSE),0)</f>
        <v>9808</v>
      </c>
      <c r="BK2260" s="6">
        <f>_xlfn.IFNA(VLOOKUP(Grandview_Inventory[[#This Row],[condition]],Lookups!$H$17:$J$24,3,FALSE),0)</f>
        <v>25818</v>
      </c>
      <c r="BL2260" s="6">
        <f>Grandview_Inventory[[#This Row],[Eff_Age]]*Lookups!$B$14</f>
        <v>-3826.6655999999998</v>
      </c>
      <c r="BM2260" s="6">
        <f>Grandview_Inventory[[#This Row],[living_area]]*Lookups!$B$15</f>
        <v>94070.326324000009</v>
      </c>
      <c r="BN2260" s="6">
        <f>Grandview_Inventory[[#This Row],[Fin BSMT]]*Lookups!$B$16</f>
        <v>0</v>
      </c>
      <c r="BO2260" s="6">
        <f>(Grandview_Inventory[[#This Row],[att_gar]]+Grandview_Inventory[[#This Row],[bltin_gar]])*Lookups!$B$17</f>
        <v>36758.58354</v>
      </c>
      <c r="BP2260" s="6">
        <f>Grandview_Inventory[[#This Row],[Plumbing Fixtures]]*Lookups!$B$18</f>
        <v>20104.418000000001</v>
      </c>
      <c r="BQ2260" s="6">
        <f>Grandview_Inventory[[#This Row],[detatched_value]]*Lookups!$B$19</f>
        <v>0</v>
      </c>
      <c r="BR2260" s="6">
        <f>SUM(Grandview_Inventory[[#This Row],[Intercept]:[det_value]])*Grandview_Inventory[[#This Row],[res_pct]]</f>
        <v>338566.61226400005</v>
      </c>
      <c r="BS2260" s="6">
        <f>Grandview_Inventory[[#This Row],[land_value]]</f>
        <v>45695.532079096141</v>
      </c>
      <c r="BT2260" s="4">
        <f>_xlfn.IFNA(VLOOKUP(Grandview_Inventory[[#This Row],[quality]],Lookups!$A$26:$C$33,3,FALSE),1)</f>
        <v>0.94295468617355149</v>
      </c>
      <c r="BU2260" s="4">
        <f>_xlfn.IFNA(VLOOKUP(Grandview_Inventory[[#This Row],[condition]],Lookups!$A$37:$C$44,3,FALSE),1)</f>
        <v>0.96661476234146892</v>
      </c>
      <c r="BV2260" s="4">
        <f>IF(Grandview_Inventory[[#This Row],[bldg_style]]="",1,_xlfn.IFNA(VLOOKUP(Grandview_Inventory[[#This Row],[decade]],Lookups!$F$29:$H$43,3,FALSE),1))</f>
        <v>0.96737494181490646</v>
      </c>
      <c r="BW2260" s="4">
        <f>_xlfn.IFNA(VLOOKUP(Grandview_Inventory[[#This Row],[living_area_range]],Lookups!$F$47:$H$56,3,FALSE),1)</f>
        <v>0.96120133463014379</v>
      </c>
      <c r="BX2260" s="4">
        <f>AVERAGE(Grandview_Inventory[[#This Row],[qual_adj]:[size_adj]])</f>
        <v>0.95953643124001764</v>
      </c>
      <c r="BY2260" s="6">
        <f>IF(Grandview_Inventory[[#This Row],[pre_res]]&lt;0,0,Grandview_Inventory[[#This Row],[pre_res]]*Grandview_Inventory[[#This Row],[overall_adj]])</f>
        <v>324866.99886882142</v>
      </c>
      <c r="BZ2260" s="6">
        <f>(Grandview_Inventory[[#This Row],[sum_land]]-IF(Grandview_Inventory[[#This Row],[no_utilities]]=1,12000,0))/IF(Grandview_Inventory[[#This Row],[unbuildable]]=1,2,1)</f>
        <v>45695.532079096141</v>
      </c>
      <c r="CA2260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0">
        <f>ROUND(Grandview_Inventory[[#This Row],[det_value]]*Lookups!$M$28,-2)</f>
        <v>0</v>
      </c>
      <c r="CC2260">
        <f>IF(ROUND(Grandview_Inventory[[#This Row],[adj_res]]*Lookups!$M$28,-2)&lt;Grandview_Inventory[[#This Row],[min_res]],Grandview_Inventory[[#This Row],[min_res]],ROUND(Grandview_Inventory[[#This Row],[adj_res]]*Lookups!$M$28,-2))</f>
        <v>308600</v>
      </c>
      <c r="CD2260">
        <f>Grandview_Inventory[[#This Row],[final_det]]+Grandview_Inventory[[#This Row],[final_res]]</f>
        <v>308600</v>
      </c>
      <c r="CE2260">
        <f>Grandview_Inventory[[#This Row],[final_land]]+Grandview_Inventory[[#This Row],[final_imp]]+Grandview_Inventory[[#This Row],[crop_value]]</f>
        <v>352000</v>
      </c>
      <c r="CG2260" t="str">
        <f t="shared" si="35"/>
        <v>update valuation set market_land =43400, market_bldg=308600, market_total =352000, market_mdno =401, market_date ='9/10/2023' where link_id = (select link_id from parcel where parcel_year = '2024' and parcel_id = '23092612412');</v>
      </c>
    </row>
    <row r="2261" spans="1:85" x14ac:dyDescent="0.25">
      <c r="A2261">
        <v>23092612413</v>
      </c>
      <c r="B2261">
        <v>0.16</v>
      </c>
      <c r="C2261">
        <v>7000</v>
      </c>
      <c r="D2261" t="s">
        <v>129</v>
      </c>
      <c r="E2261" t="s">
        <v>53</v>
      </c>
      <c r="F2261" t="s">
        <v>53</v>
      </c>
      <c r="G2261">
        <v>4</v>
      </c>
      <c r="H2261" t="s">
        <v>54</v>
      </c>
      <c r="I2261">
        <v>247200</v>
      </c>
      <c r="J2261">
        <v>42800</v>
      </c>
      <c r="K2261">
        <v>0.16</v>
      </c>
      <c r="L226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1">
        <v>0</v>
      </c>
      <c r="N2261">
        <v>0</v>
      </c>
      <c r="O2261">
        <v>0</v>
      </c>
      <c r="P2261">
        <v>13398.7528</v>
      </c>
      <c r="Q2261">
        <v>63903</v>
      </c>
      <c r="R2261">
        <f>(Grandview_Inventory[[#This Row],[ln_acres]]*Grandview_Inventory[[#This Row],[coeff]])+Grandview_Inventory[[#This Row],[const]]</f>
        <v>39348.693981374228</v>
      </c>
      <c r="S2261" t="s">
        <v>61</v>
      </c>
      <c r="T2261">
        <v>1</v>
      </c>
      <c r="U2261" t="s">
        <v>64</v>
      </c>
      <c r="V2261" t="s">
        <v>67</v>
      </c>
      <c r="W2261">
        <v>0</v>
      </c>
      <c r="X2261">
        <v>0</v>
      </c>
      <c r="Y2261">
        <v>16</v>
      </c>
      <c r="Z2261">
        <v>16</v>
      </c>
      <c r="AA2261">
        <v>20</v>
      </c>
      <c r="AB2261">
        <v>2000</v>
      </c>
      <c r="AC2261">
        <v>1551</v>
      </c>
      <c r="AD2261">
        <v>1551</v>
      </c>
      <c r="AE2261">
        <v>0</v>
      </c>
      <c r="AF2261">
        <v>0</v>
      </c>
      <c r="AG2261">
        <v>0</v>
      </c>
      <c r="AH2261">
        <v>0</v>
      </c>
      <c r="AI2261">
        <v>444</v>
      </c>
      <c r="AJ2261">
        <v>0</v>
      </c>
      <c r="AK2261">
        <v>0</v>
      </c>
      <c r="AL2261">
        <v>0</v>
      </c>
      <c r="AM2261">
        <v>144</v>
      </c>
      <c r="AN2261">
        <v>70</v>
      </c>
      <c r="AO2261">
        <v>0</v>
      </c>
      <c r="AP2261">
        <v>10</v>
      </c>
      <c r="AQ2261">
        <v>0</v>
      </c>
      <c r="AR2261">
        <v>0</v>
      </c>
      <c r="AS2261" t="s">
        <v>58</v>
      </c>
      <c r="AT2261">
        <v>1</v>
      </c>
      <c r="AU2261" t="s">
        <v>63</v>
      </c>
      <c r="AV2261" t="s">
        <v>64</v>
      </c>
      <c r="AW2261">
        <v>1</v>
      </c>
      <c r="AX2261">
        <v>3</v>
      </c>
      <c r="AY2261">
        <v>0</v>
      </c>
      <c r="AZ2261">
        <v>0</v>
      </c>
      <c r="BA2261">
        <v>100</v>
      </c>
      <c r="BB2261">
        <v>100</v>
      </c>
      <c r="BC2261">
        <v>100</v>
      </c>
      <c r="BD2261">
        <v>100</v>
      </c>
      <c r="BE2261">
        <v>1</v>
      </c>
      <c r="BF2261">
        <v>15000</v>
      </c>
      <c r="BG2261">
        <v>1000</v>
      </c>
      <c r="BH2261" s="6">
        <f>Grandview_Inventory[[#This Row],[land_extract]]*Lookups!$B$3</f>
        <v>45695.532079096141</v>
      </c>
      <c r="BI2261" s="6">
        <f>IF(Grandview_Inventory[[#This Row],[bldg_style]]="",0,Lookups!$B$2)</f>
        <v>155833.95000000001</v>
      </c>
      <c r="BJ2261" s="6">
        <f>_xlfn.IFNA(VLOOKUP(Grandview_Inventory[[#This Row],[quality]],Lookups!$H$2:$J$14,3,FALSE),0)</f>
        <v>20768</v>
      </c>
      <c r="BK2261" s="6">
        <f>_xlfn.IFNA(VLOOKUP(Grandview_Inventory[[#This Row],[condition]],Lookups!$H$17:$J$24,3,FALSE),0)</f>
        <v>22342</v>
      </c>
      <c r="BL2261" s="6">
        <f>Grandview_Inventory[[#This Row],[Eff_Age]]*Lookups!$B$14</f>
        <v>-3826.6655999999998</v>
      </c>
      <c r="BM2261" s="6">
        <f>Grandview_Inventory[[#This Row],[living_area]]*Lookups!$B$15</f>
        <v>96752.703003000002</v>
      </c>
      <c r="BN2261" s="6">
        <f>Grandview_Inventory[[#This Row],[Fin BSMT]]*Lookups!$B$16</f>
        <v>0</v>
      </c>
      <c r="BO2261" s="6">
        <f>(Grandview_Inventory[[#This Row],[att_gar]]+Grandview_Inventory[[#This Row],[bltin_gar]])*Lookups!$B$17</f>
        <v>38859.074028000003</v>
      </c>
      <c r="BP2261" s="6">
        <f>Grandview_Inventory[[#This Row],[Plumbing Fixtures]]*Lookups!$B$18</f>
        <v>20104.418000000001</v>
      </c>
      <c r="BQ2261" s="6">
        <f>Grandview_Inventory[[#This Row],[detatched_value]]*Lookups!$B$19</f>
        <v>0</v>
      </c>
      <c r="BR2261" s="6">
        <f>SUM(Grandview_Inventory[[#This Row],[Intercept]:[det_value]])*Grandview_Inventory[[#This Row],[res_pct]]</f>
        <v>350833.47943100001</v>
      </c>
      <c r="BS2261" s="6">
        <f>Grandview_Inventory[[#This Row],[land_value]]</f>
        <v>45695.532079096141</v>
      </c>
      <c r="BT2261" s="4">
        <f>_xlfn.IFNA(VLOOKUP(Grandview_Inventory[[#This Row],[quality]],Lookups!$A$26:$C$33,3,FALSE),1)</f>
        <v>0.94960540378902636</v>
      </c>
      <c r="BU2261" s="4">
        <f>_xlfn.IFNA(VLOOKUP(Grandview_Inventory[[#This Row],[condition]],Lookups!$A$37:$C$44,3,FALSE),1)</f>
        <v>0.97383723671140243</v>
      </c>
      <c r="BV2261" s="4">
        <f>IF(Grandview_Inventory[[#This Row],[bldg_style]]="",1,_xlfn.IFNA(VLOOKUP(Grandview_Inventory[[#This Row],[decade]],Lookups!$F$29:$H$43,3,FALSE),1))</f>
        <v>0.96737494181490646</v>
      </c>
      <c r="BW2261" s="4">
        <f>_xlfn.IFNA(VLOOKUP(Grandview_Inventory[[#This Row],[living_area_range]],Lookups!$F$47:$H$56,3,FALSE),1)</f>
        <v>0.96120133463014379</v>
      </c>
      <c r="BX2261" s="4">
        <f>AVERAGE(Grandview_Inventory[[#This Row],[qual_adj]:[size_adj]])</f>
        <v>0.96300472923636971</v>
      </c>
      <c r="BY2261" s="6">
        <f>IF(Grandview_Inventory[[#This Row],[pre_res]]&lt;0,0,Grandview_Inventory[[#This Row],[pre_res]]*Grandview_Inventory[[#This Row],[overall_adj]])</f>
        <v>337854.29986650363</v>
      </c>
      <c r="BZ2261" s="6">
        <f>(Grandview_Inventory[[#This Row],[sum_land]]-IF(Grandview_Inventory[[#This Row],[no_utilities]]=1,12000,0))/IF(Grandview_Inventory[[#This Row],[unbuildable]]=1,2,1)</f>
        <v>45695.532079096141</v>
      </c>
      <c r="CA226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1">
        <f>ROUND(Grandview_Inventory[[#This Row],[det_value]]*Lookups!$M$28,-2)</f>
        <v>0</v>
      </c>
      <c r="CC2261">
        <f>IF(ROUND(Grandview_Inventory[[#This Row],[adj_res]]*Lookups!$M$28,-2)&lt;Grandview_Inventory[[#This Row],[min_res]],Grandview_Inventory[[#This Row],[min_res]],ROUND(Grandview_Inventory[[#This Row],[adj_res]]*Lookups!$M$28,-2))</f>
        <v>321000</v>
      </c>
      <c r="CD2261">
        <f>Grandview_Inventory[[#This Row],[final_det]]+Grandview_Inventory[[#This Row],[final_res]]</f>
        <v>321000</v>
      </c>
      <c r="CE2261">
        <f>Grandview_Inventory[[#This Row],[final_land]]+Grandview_Inventory[[#This Row],[final_imp]]+Grandview_Inventory[[#This Row],[crop_value]]</f>
        <v>364400</v>
      </c>
      <c r="CG2261" t="str">
        <f t="shared" si="35"/>
        <v>update valuation set market_land =43400, market_bldg=321000, market_total =364400, market_mdno =401, market_date ='9/10/2023' where link_id = (select link_id from parcel where parcel_year = '2024' and parcel_id = '23092612413');</v>
      </c>
    </row>
    <row r="2262" spans="1:85" x14ac:dyDescent="0.25">
      <c r="A2262">
        <v>23092612414</v>
      </c>
      <c r="B2262">
        <v>0.16</v>
      </c>
      <c r="C2262">
        <v>7001</v>
      </c>
      <c r="D2262" t="s">
        <v>129</v>
      </c>
      <c r="E2262" t="s">
        <v>53</v>
      </c>
      <c r="F2262" t="s">
        <v>53</v>
      </c>
      <c r="G2262">
        <v>4</v>
      </c>
      <c r="H2262" t="s">
        <v>54</v>
      </c>
      <c r="I2262">
        <v>259200</v>
      </c>
      <c r="J2262">
        <v>42800</v>
      </c>
      <c r="K2262">
        <v>0.16</v>
      </c>
      <c r="L226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2">
        <v>0</v>
      </c>
      <c r="N2262">
        <v>0</v>
      </c>
      <c r="O2262">
        <v>0</v>
      </c>
      <c r="P2262">
        <v>13398.7528</v>
      </c>
      <c r="Q2262">
        <v>63903</v>
      </c>
      <c r="R2262">
        <f>(Grandview_Inventory[[#This Row],[ln_acres]]*Grandview_Inventory[[#This Row],[coeff]])+Grandview_Inventory[[#This Row],[const]]</f>
        <v>39348.693981374228</v>
      </c>
      <c r="S2262" t="s">
        <v>55</v>
      </c>
      <c r="T2262">
        <v>2</v>
      </c>
      <c r="U2262" t="s">
        <v>64</v>
      </c>
      <c r="V2262" t="s">
        <v>67</v>
      </c>
      <c r="W2262">
        <v>0</v>
      </c>
      <c r="X2262">
        <v>0</v>
      </c>
      <c r="Y2262">
        <v>16</v>
      </c>
      <c r="Z2262">
        <v>16</v>
      </c>
      <c r="AA2262">
        <v>20</v>
      </c>
      <c r="AB2262">
        <v>2000</v>
      </c>
      <c r="AC2262">
        <v>1637</v>
      </c>
      <c r="AD2262">
        <v>922</v>
      </c>
      <c r="AE2262">
        <v>715</v>
      </c>
      <c r="AF2262">
        <v>0</v>
      </c>
      <c r="AG2262">
        <v>0</v>
      </c>
      <c r="AH2262">
        <v>0</v>
      </c>
      <c r="AI2262">
        <v>400</v>
      </c>
      <c r="AJ2262">
        <v>0</v>
      </c>
      <c r="AK2262">
        <v>0</v>
      </c>
      <c r="AL2262">
        <v>0</v>
      </c>
      <c r="AM2262">
        <v>304</v>
      </c>
      <c r="AN2262">
        <v>36</v>
      </c>
      <c r="AO2262">
        <v>0</v>
      </c>
      <c r="AP2262">
        <v>11</v>
      </c>
      <c r="AQ2262">
        <v>0</v>
      </c>
      <c r="AR2262">
        <v>0</v>
      </c>
      <c r="AS2262" t="s">
        <v>58</v>
      </c>
      <c r="AT2262">
        <v>1</v>
      </c>
      <c r="AU2262" t="s">
        <v>59</v>
      </c>
      <c r="AV2262" t="s">
        <v>60</v>
      </c>
      <c r="AW2262">
        <v>1</v>
      </c>
      <c r="AX2262">
        <v>3</v>
      </c>
      <c r="AY2262">
        <v>0</v>
      </c>
      <c r="AZ2262">
        <v>0</v>
      </c>
      <c r="BA2262">
        <v>100</v>
      </c>
      <c r="BB2262">
        <v>100</v>
      </c>
      <c r="BC2262">
        <v>100</v>
      </c>
      <c r="BD2262">
        <v>100</v>
      </c>
      <c r="BE2262">
        <v>1</v>
      </c>
      <c r="BF2262">
        <v>15000</v>
      </c>
      <c r="BG2262">
        <v>1000</v>
      </c>
      <c r="BH2262" s="6">
        <f>Grandview_Inventory[[#This Row],[land_extract]]*Lookups!$B$3</f>
        <v>45695.532079096141</v>
      </c>
      <c r="BI2262" s="6">
        <f>IF(Grandview_Inventory[[#This Row],[bldg_style]]="",0,Lookups!$B$2)</f>
        <v>155833.95000000001</v>
      </c>
      <c r="BJ2262" s="6">
        <f>_xlfn.IFNA(VLOOKUP(Grandview_Inventory[[#This Row],[quality]],Lookups!$H$2:$J$14,3,FALSE),0)</f>
        <v>20768</v>
      </c>
      <c r="BK2262" s="6">
        <f>_xlfn.IFNA(VLOOKUP(Grandview_Inventory[[#This Row],[condition]],Lookups!$H$17:$J$24,3,FALSE),0)</f>
        <v>22342</v>
      </c>
      <c r="BL2262" s="6">
        <f>Grandview_Inventory[[#This Row],[Eff_Age]]*Lookups!$B$14</f>
        <v>-3826.6655999999998</v>
      </c>
      <c r="BM2262" s="6">
        <f>Grandview_Inventory[[#This Row],[living_area]]*Lookups!$B$15</f>
        <v>102117.456361</v>
      </c>
      <c r="BN2262" s="6">
        <f>Grandview_Inventory[[#This Row],[Fin BSMT]]*Lookups!$B$16</f>
        <v>0</v>
      </c>
      <c r="BO2262" s="6">
        <f>(Grandview_Inventory[[#This Row],[att_gar]]+Grandview_Inventory[[#This Row],[bltin_gar]])*Lookups!$B$17</f>
        <v>35008.174800000001</v>
      </c>
      <c r="BP2262" s="6">
        <f>Grandview_Inventory[[#This Row],[Plumbing Fixtures]]*Lookups!$B$18</f>
        <v>22114.859800000002</v>
      </c>
      <c r="BQ2262" s="6">
        <f>Grandview_Inventory[[#This Row],[detatched_value]]*Lookups!$B$19</f>
        <v>0</v>
      </c>
      <c r="BR2262" s="6">
        <f>SUM(Grandview_Inventory[[#This Row],[Intercept]:[det_value]])*Grandview_Inventory[[#This Row],[res_pct]]</f>
        <v>354357.77536099998</v>
      </c>
      <c r="BS2262" s="6">
        <f>Grandview_Inventory[[#This Row],[land_value]]</f>
        <v>45695.532079096141</v>
      </c>
      <c r="BT2262" s="4">
        <f>_xlfn.IFNA(VLOOKUP(Grandview_Inventory[[#This Row],[quality]],Lookups!$A$26:$C$33,3,FALSE),1)</f>
        <v>0.94960540378902636</v>
      </c>
      <c r="BU2262" s="4">
        <f>_xlfn.IFNA(VLOOKUP(Grandview_Inventory[[#This Row],[condition]],Lookups!$A$37:$C$44,3,FALSE),1)</f>
        <v>0.97383723671140243</v>
      </c>
      <c r="BV2262" s="4">
        <f>IF(Grandview_Inventory[[#This Row],[bldg_style]]="",1,_xlfn.IFNA(VLOOKUP(Grandview_Inventory[[#This Row],[decade]],Lookups!$F$29:$H$43,3,FALSE),1))</f>
        <v>0.96737494181490646</v>
      </c>
      <c r="BW2262" s="4">
        <f>_xlfn.IFNA(VLOOKUP(Grandview_Inventory[[#This Row],[living_area_range]],Lookups!$F$47:$H$56,3,FALSE),1)</f>
        <v>0.96120133463014379</v>
      </c>
      <c r="BX2262" s="4">
        <f>AVERAGE(Grandview_Inventory[[#This Row],[qual_adj]:[size_adj]])</f>
        <v>0.96300472923636971</v>
      </c>
      <c r="BY2262" s="6">
        <f>IF(Grandview_Inventory[[#This Row],[pre_res]]&lt;0,0,Grandview_Inventory[[#This Row],[pre_res]]*Grandview_Inventory[[#This Row],[overall_adj]])</f>
        <v>341248.21351432212</v>
      </c>
      <c r="BZ2262" s="6">
        <f>(Grandview_Inventory[[#This Row],[sum_land]]-IF(Grandview_Inventory[[#This Row],[no_utilities]]=1,12000,0))/IF(Grandview_Inventory[[#This Row],[unbuildable]]=1,2,1)</f>
        <v>45695.532079096141</v>
      </c>
      <c r="CA226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2">
        <f>ROUND(Grandview_Inventory[[#This Row],[det_value]]*Lookups!$M$28,-2)</f>
        <v>0</v>
      </c>
      <c r="CC2262">
        <f>IF(ROUND(Grandview_Inventory[[#This Row],[adj_res]]*Lookups!$M$28,-2)&lt;Grandview_Inventory[[#This Row],[min_res]],Grandview_Inventory[[#This Row],[min_res]],ROUND(Grandview_Inventory[[#This Row],[adj_res]]*Lookups!$M$28,-2))</f>
        <v>324200</v>
      </c>
      <c r="CD2262">
        <f>Grandview_Inventory[[#This Row],[final_det]]+Grandview_Inventory[[#This Row],[final_res]]</f>
        <v>324200</v>
      </c>
      <c r="CE2262">
        <f>Grandview_Inventory[[#This Row],[final_land]]+Grandview_Inventory[[#This Row],[final_imp]]+Grandview_Inventory[[#This Row],[crop_value]]</f>
        <v>367600</v>
      </c>
      <c r="CG2262" t="str">
        <f t="shared" si="35"/>
        <v>update valuation set market_land =43400, market_bldg=324200, market_total =367600, market_mdno =401, market_date ='9/10/2023' where link_id = (select link_id from parcel where parcel_year = '2024' and parcel_id = '23092612414');</v>
      </c>
    </row>
    <row r="2263" spans="1:85" x14ac:dyDescent="0.25">
      <c r="A2263">
        <v>23092612415</v>
      </c>
      <c r="B2263">
        <v>0.17</v>
      </c>
      <c r="C2263">
        <v>7238</v>
      </c>
      <c r="D2263" t="s">
        <v>129</v>
      </c>
      <c r="E2263" t="s">
        <v>53</v>
      </c>
      <c r="F2263" t="s">
        <v>53</v>
      </c>
      <c r="G2263">
        <v>4</v>
      </c>
      <c r="H2263" t="s">
        <v>54</v>
      </c>
      <c r="I2263">
        <v>260500</v>
      </c>
      <c r="J2263">
        <v>38800</v>
      </c>
      <c r="K2263">
        <v>0.17</v>
      </c>
      <c r="L226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63">
        <v>0</v>
      </c>
      <c r="N2263">
        <v>0</v>
      </c>
      <c r="O2263">
        <v>0</v>
      </c>
      <c r="P2263">
        <v>13398.7528</v>
      </c>
      <c r="Q2263">
        <v>63903</v>
      </c>
      <c r="R2263">
        <f>(Grandview_Inventory[[#This Row],[ln_acres]]*Grandview_Inventory[[#This Row],[coeff]])+Grandview_Inventory[[#This Row],[const]]</f>
        <v>40160.988302686128</v>
      </c>
      <c r="S2263" t="s">
        <v>55</v>
      </c>
      <c r="T2263">
        <v>2</v>
      </c>
      <c r="U2263" t="s">
        <v>62</v>
      </c>
      <c r="V2263" t="s">
        <v>66</v>
      </c>
      <c r="W2263">
        <v>0</v>
      </c>
      <c r="X2263">
        <v>0</v>
      </c>
      <c r="Y2263">
        <v>10</v>
      </c>
      <c r="Z2263">
        <v>10</v>
      </c>
      <c r="AA2263">
        <v>10</v>
      </c>
      <c r="AB2263">
        <v>2000</v>
      </c>
      <c r="AC2263">
        <v>1723</v>
      </c>
      <c r="AD2263">
        <v>667</v>
      </c>
      <c r="AE2263">
        <v>1056</v>
      </c>
      <c r="AF2263">
        <v>0</v>
      </c>
      <c r="AG2263">
        <v>0</v>
      </c>
      <c r="AH2263">
        <v>0</v>
      </c>
      <c r="AI2263">
        <v>0</v>
      </c>
      <c r="AJ2263">
        <v>437</v>
      </c>
      <c r="AK2263">
        <v>0</v>
      </c>
      <c r="AL2263">
        <v>0</v>
      </c>
      <c r="AM2263">
        <v>100</v>
      </c>
      <c r="AN2263">
        <v>24</v>
      </c>
      <c r="AO2263">
        <v>0</v>
      </c>
      <c r="AP2263">
        <v>12</v>
      </c>
      <c r="AQ2263">
        <v>0</v>
      </c>
      <c r="AR2263">
        <v>0</v>
      </c>
      <c r="AS2263" t="s">
        <v>58</v>
      </c>
      <c r="AT2263">
        <v>1</v>
      </c>
      <c r="AU2263" t="s">
        <v>63</v>
      </c>
      <c r="AV2263" t="s">
        <v>60</v>
      </c>
      <c r="AW2263">
        <v>1</v>
      </c>
      <c r="AX2263">
        <v>4</v>
      </c>
      <c r="AY2263">
        <v>0</v>
      </c>
      <c r="AZ2263">
        <v>0</v>
      </c>
      <c r="BA2263">
        <v>100</v>
      </c>
      <c r="BB2263">
        <v>100</v>
      </c>
      <c r="BC2263">
        <v>100</v>
      </c>
      <c r="BD2263">
        <v>100</v>
      </c>
      <c r="BE2263">
        <v>1</v>
      </c>
      <c r="BF2263">
        <v>15000</v>
      </c>
      <c r="BG2263">
        <v>1000</v>
      </c>
      <c r="BH2263" s="6">
        <f>Grandview_Inventory[[#This Row],[land_extract]]*Lookups!$B$3</f>
        <v>46638.847281240982</v>
      </c>
      <c r="BI2263" s="6">
        <f>IF(Grandview_Inventory[[#This Row],[bldg_style]]="",0,Lookups!$B$2)</f>
        <v>155833.95000000001</v>
      </c>
      <c r="BJ2263" s="6">
        <f>_xlfn.IFNA(VLOOKUP(Grandview_Inventory[[#This Row],[quality]],Lookups!$H$2:$J$14,3,FALSE),0)</f>
        <v>9808</v>
      </c>
      <c r="BK2263" s="6">
        <f>_xlfn.IFNA(VLOOKUP(Grandview_Inventory[[#This Row],[condition]],Lookups!$H$17:$J$24,3,FALSE),0)</f>
        <v>25818</v>
      </c>
      <c r="BL2263" s="6">
        <f>Grandview_Inventory[[#This Row],[Eff_Age]]*Lookups!$B$14</f>
        <v>-2391.6659999999997</v>
      </c>
      <c r="BM2263" s="6">
        <f>Grandview_Inventory[[#This Row],[living_area]]*Lookups!$B$15</f>
        <v>107482.20971900001</v>
      </c>
      <c r="BN2263" s="6">
        <f>Grandview_Inventory[[#This Row],[Fin BSMT]]*Lookups!$B$16</f>
        <v>0</v>
      </c>
      <c r="BO2263" s="6">
        <f>(Grandview_Inventory[[#This Row],[att_gar]]+Grandview_Inventory[[#This Row],[bltin_gar]])*Lookups!$B$17</f>
        <v>38246.430969000001</v>
      </c>
      <c r="BP2263" s="6">
        <f>Grandview_Inventory[[#This Row],[Plumbing Fixtures]]*Lookups!$B$18</f>
        <v>24125.301599999999</v>
      </c>
      <c r="BQ2263" s="6">
        <f>Grandview_Inventory[[#This Row],[detatched_value]]*Lookups!$B$19</f>
        <v>0</v>
      </c>
      <c r="BR2263" s="6">
        <f>SUM(Grandview_Inventory[[#This Row],[Intercept]:[det_value]])*Grandview_Inventory[[#This Row],[res_pct]]</f>
        <v>358922.22628800001</v>
      </c>
      <c r="BS2263" s="6">
        <f>Grandview_Inventory[[#This Row],[land_value]]</f>
        <v>46638.847281240982</v>
      </c>
      <c r="BT2263" s="4">
        <f>_xlfn.IFNA(VLOOKUP(Grandview_Inventory[[#This Row],[quality]],Lookups!$A$26:$C$33,3,FALSE),1)</f>
        <v>0.94295468617355149</v>
      </c>
      <c r="BU2263" s="4">
        <f>_xlfn.IFNA(VLOOKUP(Grandview_Inventory[[#This Row],[condition]],Lookups!$A$37:$C$44,3,FALSE),1)</f>
        <v>0.96661476234146892</v>
      </c>
      <c r="BV2263" s="4">
        <f>IF(Grandview_Inventory[[#This Row],[bldg_style]]="",1,_xlfn.IFNA(VLOOKUP(Grandview_Inventory[[#This Row],[decade]],Lookups!$F$29:$H$43,3,FALSE),1))</f>
        <v>0.94601966599150278</v>
      </c>
      <c r="BW2263" s="4">
        <f>_xlfn.IFNA(VLOOKUP(Grandview_Inventory[[#This Row],[living_area_range]],Lookups!$F$47:$H$56,3,FALSE),1)</f>
        <v>0.96120133463014379</v>
      </c>
      <c r="BX2263" s="4">
        <f>AVERAGE(Grandview_Inventory[[#This Row],[qual_adj]:[size_adj]])</f>
        <v>0.95419761228416689</v>
      </c>
      <c r="BY2263" s="6">
        <f>IF(Grandview_Inventory[[#This Row],[pre_res]]&lt;0,0,Grandview_Inventory[[#This Row],[pre_res]]*Grandview_Inventory[[#This Row],[overall_adj]])</f>
        <v>342482.73131972703</v>
      </c>
      <c r="BZ2263" s="6">
        <f>(Grandview_Inventory[[#This Row],[sum_land]]-IF(Grandview_Inventory[[#This Row],[no_utilities]]=1,12000,0))/IF(Grandview_Inventory[[#This Row],[unbuildable]]=1,2,1)</f>
        <v>46638.847281240982</v>
      </c>
      <c r="CA226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63">
        <f>ROUND(Grandview_Inventory[[#This Row],[det_value]]*Lookups!$M$28,-2)</f>
        <v>0</v>
      </c>
      <c r="CC2263">
        <f>IF(ROUND(Grandview_Inventory[[#This Row],[adj_res]]*Lookups!$M$28,-2)&lt;Grandview_Inventory[[#This Row],[min_res]],Grandview_Inventory[[#This Row],[min_res]],ROUND(Grandview_Inventory[[#This Row],[adj_res]]*Lookups!$M$28,-2))</f>
        <v>325400</v>
      </c>
      <c r="CD2263">
        <f>Grandview_Inventory[[#This Row],[final_det]]+Grandview_Inventory[[#This Row],[final_res]]</f>
        <v>325400</v>
      </c>
      <c r="CE2263">
        <f>Grandview_Inventory[[#This Row],[final_land]]+Grandview_Inventory[[#This Row],[final_imp]]+Grandview_Inventory[[#This Row],[crop_value]]</f>
        <v>369700</v>
      </c>
      <c r="CG2263" t="str">
        <f t="shared" si="35"/>
        <v>update valuation set market_land =44300, market_bldg=325400, market_total =369700, market_mdno =401, market_date ='9/10/2023' where link_id = (select link_id from parcel where parcel_year = '2024' and parcel_id = '23092612415');</v>
      </c>
    </row>
    <row r="2264" spans="1:85" x14ac:dyDescent="0.25">
      <c r="A2264">
        <v>23092612416</v>
      </c>
      <c r="B2264">
        <v>0.16</v>
      </c>
      <c r="C2264">
        <v>7112</v>
      </c>
      <c r="D2264" t="s">
        <v>129</v>
      </c>
      <c r="E2264" t="s">
        <v>53</v>
      </c>
      <c r="F2264" t="s">
        <v>53</v>
      </c>
      <c r="G2264">
        <v>4</v>
      </c>
      <c r="H2264" t="s">
        <v>54</v>
      </c>
      <c r="I2264">
        <v>276700</v>
      </c>
      <c r="J2264">
        <v>38800</v>
      </c>
      <c r="K2264">
        <v>0.16</v>
      </c>
      <c r="L226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4">
        <v>0</v>
      </c>
      <c r="N2264">
        <v>0</v>
      </c>
      <c r="O2264">
        <v>0</v>
      </c>
      <c r="P2264">
        <v>13398.7528</v>
      </c>
      <c r="Q2264">
        <v>63903</v>
      </c>
      <c r="R2264">
        <f>(Grandview_Inventory[[#This Row],[ln_acres]]*Grandview_Inventory[[#This Row],[coeff]])+Grandview_Inventory[[#This Row],[const]]</f>
        <v>39348.693981374228</v>
      </c>
      <c r="S2264" t="s">
        <v>55</v>
      </c>
      <c r="T2264">
        <v>2</v>
      </c>
      <c r="U2264" t="s">
        <v>62</v>
      </c>
      <c r="V2264" t="s">
        <v>57</v>
      </c>
      <c r="W2264">
        <v>0</v>
      </c>
      <c r="X2264">
        <v>0</v>
      </c>
      <c r="Y2264">
        <v>10</v>
      </c>
      <c r="Z2264">
        <v>10</v>
      </c>
      <c r="AA2264">
        <v>10</v>
      </c>
      <c r="AB2264">
        <v>2000</v>
      </c>
      <c r="AC2264">
        <v>1723</v>
      </c>
      <c r="AD2264">
        <v>667</v>
      </c>
      <c r="AE2264">
        <v>1056</v>
      </c>
      <c r="AF2264">
        <v>0</v>
      </c>
      <c r="AG2264">
        <v>0</v>
      </c>
      <c r="AH2264">
        <v>0</v>
      </c>
      <c r="AI2264">
        <v>0</v>
      </c>
      <c r="AJ2264">
        <v>437</v>
      </c>
      <c r="AK2264">
        <v>0</v>
      </c>
      <c r="AL2264">
        <v>0</v>
      </c>
      <c r="AM2264">
        <v>100</v>
      </c>
      <c r="AN2264">
        <v>24</v>
      </c>
      <c r="AO2264">
        <v>0</v>
      </c>
      <c r="AP2264">
        <v>12</v>
      </c>
      <c r="AQ2264">
        <v>0</v>
      </c>
      <c r="AR2264">
        <v>0</v>
      </c>
      <c r="AS2264" t="s">
        <v>58</v>
      </c>
      <c r="AT2264">
        <v>1</v>
      </c>
      <c r="AU2264" t="s">
        <v>63</v>
      </c>
      <c r="AV2264" t="s">
        <v>60</v>
      </c>
      <c r="AW2264">
        <v>1</v>
      </c>
      <c r="AX2264">
        <v>4</v>
      </c>
      <c r="AY2264">
        <v>0</v>
      </c>
      <c r="AZ2264">
        <v>0</v>
      </c>
      <c r="BA2264">
        <v>100</v>
      </c>
      <c r="BB2264">
        <v>100</v>
      </c>
      <c r="BC2264">
        <v>100</v>
      </c>
      <c r="BD2264">
        <v>100</v>
      </c>
      <c r="BE2264">
        <v>1</v>
      </c>
      <c r="BF2264">
        <v>15000</v>
      </c>
      <c r="BG2264">
        <v>1000</v>
      </c>
      <c r="BH2264" s="6">
        <f>Grandview_Inventory[[#This Row],[land_extract]]*Lookups!$B$3</f>
        <v>45695.532079096141</v>
      </c>
      <c r="BI2264" s="6">
        <f>IF(Grandview_Inventory[[#This Row],[bldg_style]]="",0,Lookups!$B$2)</f>
        <v>155833.95000000001</v>
      </c>
      <c r="BJ2264" s="6">
        <f>_xlfn.IFNA(VLOOKUP(Grandview_Inventory[[#This Row],[quality]],Lookups!$H$2:$J$14,3,FALSE),0)</f>
        <v>9808</v>
      </c>
      <c r="BK2264" s="6">
        <f>_xlfn.IFNA(VLOOKUP(Grandview_Inventory[[#This Row],[condition]],Lookups!$H$17:$J$24,3,FALSE),0)</f>
        <v>25780</v>
      </c>
      <c r="BL2264" s="6">
        <f>Grandview_Inventory[[#This Row],[Eff_Age]]*Lookups!$B$14</f>
        <v>-2391.6659999999997</v>
      </c>
      <c r="BM2264" s="6">
        <f>Grandview_Inventory[[#This Row],[living_area]]*Lookups!$B$15</f>
        <v>107482.20971900001</v>
      </c>
      <c r="BN2264" s="6">
        <f>Grandview_Inventory[[#This Row],[Fin BSMT]]*Lookups!$B$16</f>
        <v>0</v>
      </c>
      <c r="BO2264" s="6">
        <f>(Grandview_Inventory[[#This Row],[att_gar]]+Grandview_Inventory[[#This Row],[bltin_gar]])*Lookups!$B$17</f>
        <v>38246.430969000001</v>
      </c>
      <c r="BP2264" s="6">
        <f>Grandview_Inventory[[#This Row],[Plumbing Fixtures]]*Lookups!$B$18</f>
        <v>24125.301599999999</v>
      </c>
      <c r="BQ2264" s="6">
        <f>Grandview_Inventory[[#This Row],[detatched_value]]*Lookups!$B$19</f>
        <v>0</v>
      </c>
      <c r="BR2264" s="6">
        <f>SUM(Grandview_Inventory[[#This Row],[Intercept]:[det_value]])*Grandview_Inventory[[#This Row],[res_pct]]</f>
        <v>358884.22628800001</v>
      </c>
      <c r="BS2264" s="6">
        <f>Grandview_Inventory[[#This Row],[land_value]]</f>
        <v>45695.532079096141</v>
      </c>
      <c r="BT2264" s="4">
        <f>_xlfn.IFNA(VLOOKUP(Grandview_Inventory[[#This Row],[quality]],Lookups!$A$26:$C$33,3,FALSE),1)</f>
        <v>0.94295468617355149</v>
      </c>
      <c r="BU2264" s="4">
        <f>_xlfn.IFNA(VLOOKUP(Grandview_Inventory[[#This Row],[condition]],Lookups!$A$37:$C$44,3,FALSE),1)</f>
        <v>0.94347925387812148</v>
      </c>
      <c r="BV2264" s="4">
        <f>IF(Grandview_Inventory[[#This Row],[bldg_style]]="",1,_xlfn.IFNA(VLOOKUP(Grandview_Inventory[[#This Row],[decade]],Lookups!$F$29:$H$43,3,FALSE),1))</f>
        <v>0.94601966599150278</v>
      </c>
      <c r="BW2264" s="4">
        <f>_xlfn.IFNA(VLOOKUP(Grandview_Inventory[[#This Row],[living_area_range]],Lookups!$F$47:$H$56,3,FALSE),1)</f>
        <v>0.96120133463014379</v>
      </c>
      <c r="BX2264" s="4">
        <f>AVERAGE(Grandview_Inventory[[#This Row],[qual_adj]:[size_adj]])</f>
        <v>0.94841373516832994</v>
      </c>
      <c r="BY2264" s="6">
        <f>IF(Grandview_Inventory[[#This Row],[pre_res]]&lt;0,0,Grandview_Inventory[[#This Row],[pre_res]]*Grandview_Inventory[[#This Row],[overall_adj]])</f>
        <v>340370.72954679822</v>
      </c>
      <c r="BZ2264" s="6">
        <f>(Grandview_Inventory[[#This Row],[sum_land]]-IF(Grandview_Inventory[[#This Row],[no_utilities]]=1,12000,0))/IF(Grandview_Inventory[[#This Row],[unbuildable]]=1,2,1)</f>
        <v>45695.532079096141</v>
      </c>
      <c r="CA226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4">
        <f>ROUND(Grandview_Inventory[[#This Row],[det_value]]*Lookups!$M$28,-2)</f>
        <v>0</v>
      </c>
      <c r="CC2264">
        <f>IF(ROUND(Grandview_Inventory[[#This Row],[adj_res]]*Lookups!$M$28,-2)&lt;Grandview_Inventory[[#This Row],[min_res]],Grandview_Inventory[[#This Row],[min_res]],ROUND(Grandview_Inventory[[#This Row],[adj_res]]*Lookups!$M$28,-2))</f>
        <v>323400</v>
      </c>
      <c r="CD2264">
        <f>Grandview_Inventory[[#This Row],[final_det]]+Grandview_Inventory[[#This Row],[final_res]]</f>
        <v>323400</v>
      </c>
      <c r="CE2264">
        <f>Grandview_Inventory[[#This Row],[final_land]]+Grandview_Inventory[[#This Row],[final_imp]]+Grandview_Inventory[[#This Row],[crop_value]]</f>
        <v>366800</v>
      </c>
      <c r="CG2264" t="str">
        <f t="shared" si="35"/>
        <v>update valuation set market_land =43400, market_bldg=323400, market_total =366800, market_mdno =401, market_date ='9/10/2023' where link_id = (select link_id from parcel where parcel_year = '2024' and parcel_id = '23092612416');</v>
      </c>
    </row>
    <row r="2265" spans="1:85" x14ac:dyDescent="0.25">
      <c r="A2265">
        <v>23092612417</v>
      </c>
      <c r="B2265">
        <v>0.16</v>
      </c>
      <c r="C2265">
        <v>7111</v>
      </c>
      <c r="D2265" t="s">
        <v>129</v>
      </c>
      <c r="E2265" t="s">
        <v>53</v>
      </c>
      <c r="F2265" t="s">
        <v>53</v>
      </c>
      <c r="G2265">
        <v>4</v>
      </c>
      <c r="H2265" t="s">
        <v>54</v>
      </c>
      <c r="I2265">
        <v>222000</v>
      </c>
      <c r="J2265">
        <v>38800</v>
      </c>
      <c r="K2265">
        <v>0.16</v>
      </c>
      <c r="L2265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5">
        <v>0</v>
      </c>
      <c r="N2265">
        <v>0</v>
      </c>
      <c r="O2265">
        <v>0</v>
      </c>
      <c r="P2265">
        <v>13398.7528</v>
      </c>
      <c r="Q2265">
        <v>63903</v>
      </c>
      <c r="R2265">
        <f>(Grandview_Inventory[[#This Row],[ln_acres]]*Grandview_Inventory[[#This Row],[coeff]])+Grandview_Inventory[[#This Row],[const]]</f>
        <v>39348.693981374228</v>
      </c>
      <c r="S2265" t="s">
        <v>61</v>
      </c>
      <c r="T2265">
        <v>1</v>
      </c>
      <c r="U2265" t="s">
        <v>62</v>
      </c>
      <c r="V2265" t="s">
        <v>66</v>
      </c>
      <c r="W2265">
        <v>0</v>
      </c>
      <c r="X2265">
        <v>0</v>
      </c>
      <c r="Y2265">
        <v>10</v>
      </c>
      <c r="Z2265">
        <v>10</v>
      </c>
      <c r="AA2265">
        <v>10</v>
      </c>
      <c r="AB2265">
        <v>1500</v>
      </c>
      <c r="AC2265">
        <v>1211</v>
      </c>
      <c r="AD2265">
        <v>1211</v>
      </c>
      <c r="AE2265">
        <v>0</v>
      </c>
      <c r="AF2265">
        <v>0</v>
      </c>
      <c r="AG2265">
        <v>0</v>
      </c>
      <c r="AH2265">
        <v>0</v>
      </c>
      <c r="AI2265">
        <v>399</v>
      </c>
      <c r="AJ2265">
        <v>0</v>
      </c>
      <c r="AK2265">
        <v>0</v>
      </c>
      <c r="AL2265">
        <v>0</v>
      </c>
      <c r="AM2265">
        <v>100</v>
      </c>
      <c r="AN2265">
        <v>32</v>
      </c>
      <c r="AO2265">
        <v>0</v>
      </c>
      <c r="AP2265">
        <v>8</v>
      </c>
      <c r="AQ2265">
        <v>0</v>
      </c>
      <c r="AR2265">
        <v>0</v>
      </c>
      <c r="AS2265" t="s">
        <v>58</v>
      </c>
      <c r="AT2265">
        <v>1</v>
      </c>
      <c r="AU2265" t="s">
        <v>63</v>
      </c>
      <c r="AV2265" t="s">
        <v>60</v>
      </c>
      <c r="AW2265">
        <v>1</v>
      </c>
      <c r="AX2265">
        <v>3</v>
      </c>
      <c r="AY2265">
        <v>0</v>
      </c>
      <c r="AZ2265">
        <v>0</v>
      </c>
      <c r="BA2265">
        <v>100</v>
      </c>
      <c r="BB2265">
        <v>100</v>
      </c>
      <c r="BC2265">
        <v>100</v>
      </c>
      <c r="BD2265">
        <v>100</v>
      </c>
      <c r="BE2265">
        <v>1</v>
      </c>
      <c r="BF2265">
        <v>15000</v>
      </c>
      <c r="BG2265">
        <v>1000</v>
      </c>
      <c r="BH2265" s="6">
        <f>Grandview_Inventory[[#This Row],[land_extract]]*Lookups!$B$3</f>
        <v>45695.532079096141</v>
      </c>
      <c r="BI2265" s="6">
        <f>IF(Grandview_Inventory[[#This Row],[bldg_style]]="",0,Lookups!$B$2)</f>
        <v>155833.95000000001</v>
      </c>
      <c r="BJ2265" s="6">
        <f>_xlfn.IFNA(VLOOKUP(Grandview_Inventory[[#This Row],[quality]],Lookups!$H$2:$J$14,3,FALSE),0)</f>
        <v>9808</v>
      </c>
      <c r="BK2265" s="6">
        <f>_xlfn.IFNA(VLOOKUP(Grandview_Inventory[[#This Row],[condition]],Lookups!$H$17:$J$24,3,FALSE),0)</f>
        <v>25818</v>
      </c>
      <c r="BL2265" s="6">
        <f>Grandview_Inventory[[#This Row],[Eff_Age]]*Lookups!$B$14</f>
        <v>-2391.6659999999997</v>
      </c>
      <c r="BM2265" s="6">
        <f>Grandview_Inventory[[#This Row],[living_area]]*Lookups!$B$15</f>
        <v>75543.212983000005</v>
      </c>
      <c r="BN2265" s="6">
        <f>Grandview_Inventory[[#This Row],[Fin BSMT]]*Lookups!$B$16</f>
        <v>0</v>
      </c>
      <c r="BO2265" s="6">
        <f>(Grandview_Inventory[[#This Row],[att_gar]]+Grandview_Inventory[[#This Row],[bltin_gar]])*Lookups!$B$17</f>
        <v>34920.654363000001</v>
      </c>
      <c r="BP2265" s="6">
        <f>Grandview_Inventory[[#This Row],[Plumbing Fixtures]]*Lookups!$B$18</f>
        <v>16083.5344</v>
      </c>
      <c r="BQ2265" s="6">
        <f>Grandview_Inventory[[#This Row],[detatched_value]]*Lookups!$B$19</f>
        <v>0</v>
      </c>
      <c r="BR2265" s="6">
        <f>SUM(Grandview_Inventory[[#This Row],[Intercept]:[det_value]])*Grandview_Inventory[[#This Row],[res_pct]]</f>
        <v>315615.68574600003</v>
      </c>
      <c r="BS2265" s="6">
        <f>Grandview_Inventory[[#This Row],[land_value]]</f>
        <v>45695.532079096141</v>
      </c>
      <c r="BT2265" s="4">
        <f>_xlfn.IFNA(VLOOKUP(Grandview_Inventory[[#This Row],[quality]],Lookups!$A$26:$C$33,3,FALSE),1)</f>
        <v>0.94295468617355149</v>
      </c>
      <c r="BU2265" s="4">
        <f>_xlfn.IFNA(VLOOKUP(Grandview_Inventory[[#This Row],[condition]],Lookups!$A$37:$C$44,3,FALSE),1)</f>
        <v>0.96661476234146892</v>
      </c>
      <c r="BV2265" s="4">
        <f>IF(Grandview_Inventory[[#This Row],[bldg_style]]="",1,_xlfn.IFNA(VLOOKUP(Grandview_Inventory[[#This Row],[decade]],Lookups!$F$29:$H$43,3,FALSE),1))</f>
        <v>0.94601966599150278</v>
      </c>
      <c r="BW2265" s="4">
        <f>_xlfn.IFNA(VLOOKUP(Grandview_Inventory[[#This Row],[living_area_range]],Lookups!$F$47:$H$56,3,FALSE),1)</f>
        <v>0.96135087979789358</v>
      </c>
      <c r="BX2265" s="4">
        <f>AVERAGE(Grandview_Inventory[[#This Row],[qual_adj]:[size_adj]])</f>
        <v>0.95423499857610428</v>
      </c>
      <c r="BY2265" s="6">
        <f>IF(Grandview_Inventory[[#This Row],[pre_res]]&lt;0,0,Grandview_Inventory[[#This Row],[pre_res]]*Grandview_Inventory[[#This Row],[overall_adj]])</f>
        <v>301171.53343843052</v>
      </c>
      <c r="BZ2265" s="6">
        <f>(Grandview_Inventory[[#This Row],[sum_land]]-IF(Grandview_Inventory[[#This Row],[no_utilities]]=1,12000,0))/IF(Grandview_Inventory[[#This Row],[unbuildable]]=1,2,1)</f>
        <v>45695.532079096141</v>
      </c>
      <c r="CA2265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5">
        <f>ROUND(Grandview_Inventory[[#This Row],[det_value]]*Lookups!$M$28,-2)</f>
        <v>0</v>
      </c>
      <c r="CC2265">
        <f>IF(ROUND(Grandview_Inventory[[#This Row],[adj_res]]*Lookups!$M$28,-2)&lt;Grandview_Inventory[[#This Row],[min_res]],Grandview_Inventory[[#This Row],[min_res]],ROUND(Grandview_Inventory[[#This Row],[adj_res]]*Lookups!$M$28,-2))</f>
        <v>286100</v>
      </c>
      <c r="CD2265">
        <f>Grandview_Inventory[[#This Row],[final_det]]+Grandview_Inventory[[#This Row],[final_res]]</f>
        <v>286100</v>
      </c>
      <c r="CE2265">
        <f>Grandview_Inventory[[#This Row],[final_land]]+Grandview_Inventory[[#This Row],[final_imp]]+Grandview_Inventory[[#This Row],[crop_value]]</f>
        <v>329500</v>
      </c>
      <c r="CG2265" t="str">
        <f t="shared" si="35"/>
        <v>update valuation set market_land =43400, market_bldg=286100, market_total =329500, market_mdno =401, market_date ='9/10/2023' where link_id = (select link_id from parcel where parcel_year = '2024' and parcel_id = '23092612417');</v>
      </c>
    </row>
    <row r="2266" spans="1:85" x14ac:dyDescent="0.25">
      <c r="A2266">
        <v>23092612418</v>
      </c>
      <c r="B2266">
        <v>0.16</v>
      </c>
      <c r="C2266">
        <v>7110</v>
      </c>
      <c r="D2266" t="s">
        <v>129</v>
      </c>
      <c r="E2266" t="s">
        <v>53</v>
      </c>
      <c r="F2266" t="s">
        <v>53</v>
      </c>
      <c r="G2266">
        <v>4</v>
      </c>
      <c r="H2266" t="s">
        <v>54</v>
      </c>
      <c r="I2266">
        <v>237200</v>
      </c>
      <c r="J2266">
        <v>38800</v>
      </c>
      <c r="K2266">
        <v>0.16</v>
      </c>
      <c r="L226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6">
        <v>0</v>
      </c>
      <c r="N2266">
        <v>0</v>
      </c>
      <c r="O2266">
        <v>0</v>
      </c>
      <c r="P2266">
        <v>13398.7528</v>
      </c>
      <c r="Q2266">
        <v>63903</v>
      </c>
      <c r="R2266">
        <f>(Grandview_Inventory[[#This Row],[ln_acres]]*Grandview_Inventory[[#This Row],[coeff]])+Grandview_Inventory[[#This Row],[const]]</f>
        <v>39348.693981374228</v>
      </c>
      <c r="S2266" t="s">
        <v>61</v>
      </c>
      <c r="T2266">
        <v>1</v>
      </c>
      <c r="U2266" t="s">
        <v>65</v>
      </c>
      <c r="V2266" t="s">
        <v>67</v>
      </c>
      <c r="W2266">
        <v>0</v>
      </c>
      <c r="X2266">
        <v>0</v>
      </c>
      <c r="Y2266">
        <v>10</v>
      </c>
      <c r="Z2266">
        <v>10</v>
      </c>
      <c r="AA2266">
        <v>10</v>
      </c>
      <c r="AB2266">
        <v>1500</v>
      </c>
      <c r="AC2266">
        <v>1309</v>
      </c>
      <c r="AD2266">
        <v>1309</v>
      </c>
      <c r="AE2266">
        <v>0</v>
      </c>
      <c r="AF2266">
        <v>0</v>
      </c>
      <c r="AG2266">
        <v>0</v>
      </c>
      <c r="AH2266">
        <v>0</v>
      </c>
      <c r="AI2266">
        <v>418</v>
      </c>
      <c r="AJ2266">
        <v>0</v>
      </c>
      <c r="AK2266">
        <v>0</v>
      </c>
      <c r="AL2266">
        <v>0</v>
      </c>
      <c r="AM2266">
        <v>100</v>
      </c>
      <c r="AN2266">
        <v>0</v>
      </c>
      <c r="AO2266">
        <v>0</v>
      </c>
      <c r="AP2266">
        <v>8</v>
      </c>
      <c r="AQ2266">
        <v>0</v>
      </c>
      <c r="AR2266">
        <v>0</v>
      </c>
      <c r="AS2266" t="s">
        <v>58</v>
      </c>
      <c r="AT2266">
        <v>1</v>
      </c>
      <c r="AU2266" t="s">
        <v>63</v>
      </c>
      <c r="AV2266" t="s">
        <v>64</v>
      </c>
      <c r="AW2266">
        <v>1</v>
      </c>
      <c r="AX2266">
        <v>3</v>
      </c>
      <c r="AY2266">
        <v>0</v>
      </c>
      <c r="AZ2266">
        <v>0</v>
      </c>
      <c r="BA2266">
        <v>100</v>
      </c>
      <c r="BB2266">
        <v>100</v>
      </c>
      <c r="BC2266">
        <v>100</v>
      </c>
      <c r="BD2266">
        <v>100</v>
      </c>
      <c r="BE2266">
        <v>1</v>
      </c>
      <c r="BF2266">
        <v>15000</v>
      </c>
      <c r="BG2266">
        <v>1000</v>
      </c>
      <c r="BH2266" s="6">
        <f>Grandview_Inventory[[#This Row],[land_extract]]*Lookups!$B$3</f>
        <v>45695.532079096141</v>
      </c>
      <c r="BI2266" s="6">
        <f>IF(Grandview_Inventory[[#This Row],[bldg_style]]="",0,Lookups!$B$2)</f>
        <v>155833.95000000001</v>
      </c>
      <c r="BJ2266" s="6">
        <f>_xlfn.IFNA(VLOOKUP(Grandview_Inventory[[#This Row],[quality]],Lookups!$H$2:$J$14,3,FALSE),0)</f>
        <v>2251</v>
      </c>
      <c r="BK2266" s="6">
        <f>_xlfn.IFNA(VLOOKUP(Grandview_Inventory[[#This Row],[condition]],Lookups!$H$17:$J$24,3,FALSE),0)</f>
        <v>22342</v>
      </c>
      <c r="BL2266" s="6">
        <f>Grandview_Inventory[[#This Row],[Eff_Age]]*Lookups!$B$14</f>
        <v>-2391.6659999999997</v>
      </c>
      <c r="BM2266" s="6">
        <f>Grandview_Inventory[[#This Row],[living_area]]*Lookups!$B$15</f>
        <v>81656.536577000006</v>
      </c>
      <c r="BN2266" s="6">
        <f>Grandview_Inventory[[#This Row],[Fin BSMT]]*Lookups!$B$16</f>
        <v>0</v>
      </c>
      <c r="BO2266" s="6">
        <f>(Grandview_Inventory[[#This Row],[att_gar]]+Grandview_Inventory[[#This Row],[bltin_gar]])*Lookups!$B$17</f>
        <v>36583.542666000001</v>
      </c>
      <c r="BP2266" s="6">
        <f>Grandview_Inventory[[#This Row],[Plumbing Fixtures]]*Lookups!$B$18</f>
        <v>16083.5344</v>
      </c>
      <c r="BQ2266" s="6">
        <f>Grandview_Inventory[[#This Row],[detatched_value]]*Lookups!$B$19</f>
        <v>0</v>
      </c>
      <c r="BR2266" s="6">
        <f>SUM(Grandview_Inventory[[#This Row],[Intercept]:[det_value]])*Grandview_Inventory[[#This Row],[res_pct]]</f>
        <v>312358.89764300006</v>
      </c>
      <c r="BS2266" s="6">
        <f>Grandview_Inventory[[#This Row],[land_value]]</f>
        <v>45695.532079096141</v>
      </c>
      <c r="BT2266" s="4">
        <f>_xlfn.IFNA(VLOOKUP(Grandview_Inventory[[#This Row],[quality]],Lookups!$A$26:$C$33,3,FALSE),1)</f>
        <v>0.98763855981004833</v>
      </c>
      <c r="BU2266" s="4">
        <f>_xlfn.IFNA(VLOOKUP(Grandview_Inventory[[#This Row],[condition]],Lookups!$A$37:$C$44,3,FALSE),1)</f>
        <v>0.97383723671140243</v>
      </c>
      <c r="BV2266" s="4">
        <f>IF(Grandview_Inventory[[#This Row],[bldg_style]]="",1,_xlfn.IFNA(VLOOKUP(Grandview_Inventory[[#This Row],[decade]],Lookups!$F$29:$H$43,3,FALSE),1))</f>
        <v>0.94601966599150278</v>
      </c>
      <c r="BW2266" s="4">
        <f>_xlfn.IFNA(VLOOKUP(Grandview_Inventory[[#This Row],[living_area_range]],Lookups!$F$47:$H$56,3,FALSE),1)</f>
        <v>0.96135087979789358</v>
      </c>
      <c r="BX2266" s="4">
        <f>AVERAGE(Grandview_Inventory[[#This Row],[qual_adj]:[size_adj]])</f>
        <v>0.9672115855777117</v>
      </c>
      <c r="BY2266" s="6">
        <f>IF(Grandview_Inventory[[#This Row],[pre_res]]&lt;0,0,Grandview_Inventory[[#This Row],[pre_res]]*Grandview_Inventory[[#This Row],[overall_adj]])</f>
        <v>302117.14465859224</v>
      </c>
      <c r="BZ2266" s="6">
        <f>(Grandview_Inventory[[#This Row],[sum_land]]-IF(Grandview_Inventory[[#This Row],[no_utilities]]=1,12000,0))/IF(Grandview_Inventory[[#This Row],[unbuildable]]=1,2,1)</f>
        <v>45695.532079096141</v>
      </c>
      <c r="CA226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6">
        <f>ROUND(Grandview_Inventory[[#This Row],[det_value]]*Lookups!$M$28,-2)</f>
        <v>0</v>
      </c>
      <c r="CC2266">
        <f>IF(ROUND(Grandview_Inventory[[#This Row],[adj_res]]*Lookups!$M$28,-2)&lt;Grandview_Inventory[[#This Row],[min_res]],Grandview_Inventory[[#This Row],[min_res]],ROUND(Grandview_Inventory[[#This Row],[adj_res]]*Lookups!$M$28,-2))</f>
        <v>287000</v>
      </c>
      <c r="CD2266">
        <f>Grandview_Inventory[[#This Row],[final_det]]+Grandview_Inventory[[#This Row],[final_res]]</f>
        <v>287000</v>
      </c>
      <c r="CE2266">
        <f>Grandview_Inventory[[#This Row],[final_land]]+Grandview_Inventory[[#This Row],[final_imp]]+Grandview_Inventory[[#This Row],[crop_value]]</f>
        <v>330400</v>
      </c>
      <c r="CG2266" t="str">
        <f t="shared" si="35"/>
        <v>update valuation set market_land =43400, market_bldg=287000, market_total =330400, market_mdno =401, market_date ='9/10/2023' where link_id = (select link_id from parcel where parcel_year = '2024' and parcel_id = '23092612418');</v>
      </c>
    </row>
    <row r="2267" spans="1:85" x14ac:dyDescent="0.25">
      <c r="A2267">
        <v>23092612419</v>
      </c>
      <c r="B2267">
        <v>0.16</v>
      </c>
      <c r="C2267">
        <v>7109</v>
      </c>
      <c r="D2267" t="s">
        <v>129</v>
      </c>
      <c r="E2267" t="s">
        <v>53</v>
      </c>
      <c r="F2267" t="s">
        <v>53</v>
      </c>
      <c r="G2267">
        <v>4</v>
      </c>
      <c r="H2267" t="s">
        <v>54</v>
      </c>
      <c r="I2267">
        <v>235500</v>
      </c>
      <c r="J2267">
        <v>38800</v>
      </c>
      <c r="K2267">
        <v>0.16</v>
      </c>
      <c r="L2267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67">
        <v>0</v>
      </c>
      <c r="N2267">
        <v>0</v>
      </c>
      <c r="O2267">
        <v>0</v>
      </c>
      <c r="P2267">
        <v>13398.7528</v>
      </c>
      <c r="Q2267">
        <v>63903</v>
      </c>
      <c r="R2267">
        <f>(Grandview_Inventory[[#This Row],[ln_acres]]*Grandview_Inventory[[#This Row],[coeff]])+Grandview_Inventory[[#This Row],[const]]</f>
        <v>39348.693981374228</v>
      </c>
      <c r="S2267" t="s">
        <v>61</v>
      </c>
      <c r="T2267">
        <v>1</v>
      </c>
      <c r="U2267" t="s">
        <v>62</v>
      </c>
      <c r="V2267" t="s">
        <v>57</v>
      </c>
      <c r="W2267">
        <v>0</v>
      </c>
      <c r="X2267">
        <v>0</v>
      </c>
      <c r="Y2267">
        <v>10</v>
      </c>
      <c r="Z2267">
        <v>10</v>
      </c>
      <c r="AA2267">
        <v>10</v>
      </c>
      <c r="AB2267">
        <v>1500</v>
      </c>
      <c r="AC2267">
        <v>1309</v>
      </c>
      <c r="AD2267">
        <v>1309</v>
      </c>
      <c r="AE2267">
        <v>0</v>
      </c>
      <c r="AF2267">
        <v>0</v>
      </c>
      <c r="AG2267">
        <v>0</v>
      </c>
      <c r="AH2267">
        <v>0</v>
      </c>
      <c r="AI2267">
        <v>418</v>
      </c>
      <c r="AJ2267">
        <v>0</v>
      </c>
      <c r="AK2267">
        <v>0</v>
      </c>
      <c r="AL2267">
        <v>0</v>
      </c>
      <c r="AM2267">
        <v>100</v>
      </c>
      <c r="AN2267">
        <v>0</v>
      </c>
      <c r="AO2267">
        <v>0</v>
      </c>
      <c r="AP2267">
        <v>8</v>
      </c>
      <c r="AQ2267">
        <v>0</v>
      </c>
      <c r="AR2267">
        <v>0</v>
      </c>
      <c r="AS2267" t="s">
        <v>58</v>
      </c>
      <c r="AT2267">
        <v>1</v>
      </c>
      <c r="AU2267" t="s">
        <v>63</v>
      </c>
      <c r="AV2267" t="s">
        <v>64</v>
      </c>
      <c r="AW2267">
        <v>1</v>
      </c>
      <c r="AX2267">
        <v>3</v>
      </c>
      <c r="AY2267">
        <v>0</v>
      </c>
      <c r="AZ2267">
        <v>0</v>
      </c>
      <c r="BA2267">
        <v>100</v>
      </c>
      <c r="BB2267">
        <v>100</v>
      </c>
      <c r="BC2267">
        <v>100</v>
      </c>
      <c r="BD2267">
        <v>100</v>
      </c>
      <c r="BE2267">
        <v>1</v>
      </c>
      <c r="BF2267">
        <v>15000</v>
      </c>
      <c r="BG2267">
        <v>1000</v>
      </c>
      <c r="BH2267" s="6">
        <f>Grandview_Inventory[[#This Row],[land_extract]]*Lookups!$B$3</f>
        <v>45695.532079096141</v>
      </c>
      <c r="BI2267" s="6">
        <f>IF(Grandview_Inventory[[#This Row],[bldg_style]]="",0,Lookups!$B$2)</f>
        <v>155833.95000000001</v>
      </c>
      <c r="BJ2267" s="6">
        <f>_xlfn.IFNA(VLOOKUP(Grandview_Inventory[[#This Row],[quality]],Lookups!$H$2:$J$14,3,FALSE),0)</f>
        <v>9808</v>
      </c>
      <c r="BK2267" s="6">
        <f>_xlfn.IFNA(VLOOKUP(Grandview_Inventory[[#This Row],[condition]],Lookups!$H$17:$J$24,3,FALSE),0)</f>
        <v>25780</v>
      </c>
      <c r="BL2267" s="6">
        <f>Grandview_Inventory[[#This Row],[Eff_Age]]*Lookups!$B$14</f>
        <v>-2391.6659999999997</v>
      </c>
      <c r="BM2267" s="6">
        <f>Grandview_Inventory[[#This Row],[living_area]]*Lookups!$B$15</f>
        <v>81656.536577000006</v>
      </c>
      <c r="BN2267" s="6">
        <f>Grandview_Inventory[[#This Row],[Fin BSMT]]*Lookups!$B$16</f>
        <v>0</v>
      </c>
      <c r="BO2267" s="6">
        <f>(Grandview_Inventory[[#This Row],[att_gar]]+Grandview_Inventory[[#This Row],[bltin_gar]])*Lookups!$B$17</f>
        <v>36583.542666000001</v>
      </c>
      <c r="BP2267" s="6">
        <f>Grandview_Inventory[[#This Row],[Plumbing Fixtures]]*Lookups!$B$18</f>
        <v>16083.5344</v>
      </c>
      <c r="BQ2267" s="6">
        <f>Grandview_Inventory[[#This Row],[detatched_value]]*Lookups!$B$19</f>
        <v>0</v>
      </c>
      <c r="BR2267" s="6">
        <f>SUM(Grandview_Inventory[[#This Row],[Intercept]:[det_value]])*Grandview_Inventory[[#This Row],[res_pct]]</f>
        <v>323353.89764300006</v>
      </c>
      <c r="BS2267" s="6">
        <f>Grandview_Inventory[[#This Row],[land_value]]</f>
        <v>45695.532079096141</v>
      </c>
      <c r="BT2267" s="4">
        <f>_xlfn.IFNA(VLOOKUP(Grandview_Inventory[[#This Row],[quality]],Lookups!$A$26:$C$33,3,FALSE),1)</f>
        <v>0.94295468617355149</v>
      </c>
      <c r="BU2267" s="4">
        <f>_xlfn.IFNA(VLOOKUP(Grandview_Inventory[[#This Row],[condition]],Lookups!$A$37:$C$44,3,FALSE),1)</f>
        <v>0.94347925387812148</v>
      </c>
      <c r="BV2267" s="4">
        <f>IF(Grandview_Inventory[[#This Row],[bldg_style]]="",1,_xlfn.IFNA(VLOOKUP(Grandview_Inventory[[#This Row],[decade]],Lookups!$F$29:$H$43,3,FALSE),1))</f>
        <v>0.94601966599150278</v>
      </c>
      <c r="BW2267" s="4">
        <f>_xlfn.IFNA(VLOOKUP(Grandview_Inventory[[#This Row],[living_area_range]],Lookups!$F$47:$H$56,3,FALSE),1)</f>
        <v>0.96135087979789358</v>
      </c>
      <c r="BX2267" s="4">
        <f>AVERAGE(Grandview_Inventory[[#This Row],[qual_adj]:[size_adj]])</f>
        <v>0.94845112146026733</v>
      </c>
      <c r="BY2267" s="6">
        <f>IF(Grandview_Inventory[[#This Row],[pre_res]]&lt;0,0,Grandview_Inventory[[#This Row],[pre_res]]*Grandview_Inventory[[#This Row],[overall_adj]])</f>
        <v>306685.3668480519</v>
      </c>
      <c r="BZ2267" s="6">
        <f>(Grandview_Inventory[[#This Row],[sum_land]]-IF(Grandview_Inventory[[#This Row],[no_utilities]]=1,12000,0))/IF(Grandview_Inventory[[#This Row],[unbuildable]]=1,2,1)</f>
        <v>45695.532079096141</v>
      </c>
      <c r="CA2267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67">
        <f>ROUND(Grandview_Inventory[[#This Row],[det_value]]*Lookups!$M$28,-2)</f>
        <v>0</v>
      </c>
      <c r="CC2267">
        <f>IF(ROUND(Grandview_Inventory[[#This Row],[adj_res]]*Lookups!$M$28,-2)&lt;Grandview_Inventory[[#This Row],[min_res]],Grandview_Inventory[[#This Row],[min_res]],ROUND(Grandview_Inventory[[#This Row],[adj_res]]*Lookups!$M$28,-2))</f>
        <v>291400</v>
      </c>
      <c r="CD2267">
        <f>Grandview_Inventory[[#This Row],[final_det]]+Grandview_Inventory[[#This Row],[final_res]]</f>
        <v>291400</v>
      </c>
      <c r="CE2267">
        <f>Grandview_Inventory[[#This Row],[final_land]]+Grandview_Inventory[[#This Row],[final_imp]]+Grandview_Inventory[[#This Row],[crop_value]]</f>
        <v>334800</v>
      </c>
      <c r="CG2267" t="str">
        <f t="shared" si="35"/>
        <v>update valuation set market_land =43400, market_bldg=291400, market_total =334800, market_mdno =401, market_date ='9/10/2023' where link_id = (select link_id from parcel where parcel_year = '2024' and parcel_id = '23092612419');</v>
      </c>
    </row>
    <row r="2268" spans="1:85" x14ac:dyDescent="0.25">
      <c r="A2268">
        <v>23092612420</v>
      </c>
      <c r="B2268">
        <v>0.17</v>
      </c>
      <c r="C2268">
        <v>7591</v>
      </c>
      <c r="D2268" t="s">
        <v>129</v>
      </c>
      <c r="E2268" t="s">
        <v>53</v>
      </c>
      <c r="F2268" t="s">
        <v>53</v>
      </c>
      <c r="G2268">
        <v>4</v>
      </c>
      <c r="H2268" t="s">
        <v>54</v>
      </c>
      <c r="I2268">
        <v>272500</v>
      </c>
      <c r="J2268">
        <v>38800</v>
      </c>
      <c r="K2268">
        <v>0.17</v>
      </c>
      <c r="L226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68">
        <v>0</v>
      </c>
      <c r="N2268">
        <v>0</v>
      </c>
      <c r="O2268">
        <v>0</v>
      </c>
      <c r="P2268">
        <v>13398.7528</v>
      </c>
      <c r="Q2268">
        <v>63903</v>
      </c>
      <c r="R2268">
        <f>(Grandview_Inventory[[#This Row],[ln_acres]]*Grandview_Inventory[[#This Row],[coeff]])+Grandview_Inventory[[#This Row],[const]]</f>
        <v>40160.988302686128</v>
      </c>
      <c r="S2268" t="s">
        <v>61</v>
      </c>
      <c r="T2268">
        <v>1</v>
      </c>
      <c r="U2268" t="s">
        <v>62</v>
      </c>
      <c r="V2268" t="s">
        <v>57</v>
      </c>
      <c r="W2268">
        <v>0</v>
      </c>
      <c r="X2268">
        <v>0</v>
      </c>
      <c r="Y2268">
        <v>9</v>
      </c>
      <c r="Z2268">
        <v>9</v>
      </c>
      <c r="AA2268">
        <v>10</v>
      </c>
      <c r="AB2268">
        <v>2000</v>
      </c>
      <c r="AC2268">
        <v>1996</v>
      </c>
      <c r="AD2268">
        <v>1708</v>
      </c>
      <c r="AE2268">
        <v>0</v>
      </c>
      <c r="AF2268">
        <v>288</v>
      </c>
      <c r="AG2268">
        <v>0</v>
      </c>
      <c r="AH2268">
        <v>0</v>
      </c>
      <c r="AI2268">
        <v>624</v>
      </c>
      <c r="AJ2268">
        <v>0</v>
      </c>
      <c r="AK2268">
        <v>0</v>
      </c>
      <c r="AL2268">
        <v>0</v>
      </c>
      <c r="AM2268">
        <v>120</v>
      </c>
      <c r="AN2268">
        <v>20</v>
      </c>
      <c r="AO2268">
        <v>0</v>
      </c>
      <c r="AP2268">
        <v>9</v>
      </c>
      <c r="AQ2268">
        <v>0</v>
      </c>
      <c r="AR2268">
        <v>0</v>
      </c>
      <c r="AS2268" t="s">
        <v>58</v>
      </c>
      <c r="AT2268">
        <v>1</v>
      </c>
      <c r="AU2268" t="s">
        <v>63</v>
      </c>
      <c r="AV2268" t="s">
        <v>64</v>
      </c>
      <c r="AW2268">
        <v>1</v>
      </c>
      <c r="AX2268">
        <v>3</v>
      </c>
      <c r="AY2268">
        <v>0</v>
      </c>
      <c r="AZ2268">
        <v>0</v>
      </c>
      <c r="BA2268">
        <v>100</v>
      </c>
      <c r="BB2268">
        <v>100</v>
      </c>
      <c r="BC2268">
        <v>100</v>
      </c>
      <c r="BD2268">
        <v>100</v>
      </c>
      <c r="BE2268">
        <v>1</v>
      </c>
      <c r="BF2268">
        <v>15000</v>
      </c>
      <c r="BG2268">
        <v>1000</v>
      </c>
      <c r="BH2268" s="6">
        <f>Grandview_Inventory[[#This Row],[land_extract]]*Lookups!$B$3</f>
        <v>46638.847281240982</v>
      </c>
      <c r="BI2268" s="6">
        <f>IF(Grandview_Inventory[[#This Row],[bldg_style]]="",0,Lookups!$B$2)</f>
        <v>155833.95000000001</v>
      </c>
      <c r="BJ2268" s="6">
        <f>_xlfn.IFNA(VLOOKUP(Grandview_Inventory[[#This Row],[quality]],Lookups!$H$2:$J$14,3,FALSE),0)</f>
        <v>9808</v>
      </c>
      <c r="BK2268" s="6">
        <f>_xlfn.IFNA(VLOOKUP(Grandview_Inventory[[#This Row],[condition]],Lookups!$H$17:$J$24,3,FALSE),0)</f>
        <v>25780</v>
      </c>
      <c r="BL2268" s="6">
        <f>Grandview_Inventory[[#This Row],[Eff_Age]]*Lookups!$B$14</f>
        <v>-2152.4993999999997</v>
      </c>
      <c r="BM2268" s="6">
        <f>Grandview_Inventory[[#This Row],[living_area]]*Lookups!$B$15</f>
        <v>124512.18258800001</v>
      </c>
      <c r="BN2268" s="6">
        <f>Grandview_Inventory[[#This Row],[Fin BSMT]]*Lookups!$B$16</f>
        <v>0</v>
      </c>
      <c r="BO2268" s="6">
        <f>(Grandview_Inventory[[#This Row],[att_gar]]+Grandview_Inventory[[#This Row],[bltin_gar]])*Lookups!$B$17</f>
        <v>54612.752688</v>
      </c>
      <c r="BP2268" s="6">
        <f>Grandview_Inventory[[#This Row],[Plumbing Fixtures]]*Lookups!$B$18</f>
        <v>18093.976200000001</v>
      </c>
      <c r="BQ2268" s="6">
        <f>Grandview_Inventory[[#This Row],[detatched_value]]*Lookups!$B$19</f>
        <v>0</v>
      </c>
      <c r="BR2268" s="6">
        <f>SUM(Grandview_Inventory[[#This Row],[Intercept]:[det_value]])*Grandview_Inventory[[#This Row],[res_pct]]</f>
        <v>386488.36207599996</v>
      </c>
      <c r="BS2268" s="6">
        <f>Grandview_Inventory[[#This Row],[land_value]]</f>
        <v>46638.847281240982</v>
      </c>
      <c r="BT2268" s="4">
        <f>_xlfn.IFNA(VLOOKUP(Grandview_Inventory[[#This Row],[quality]],Lookups!$A$26:$C$33,3,FALSE),1)</f>
        <v>0.94295468617355149</v>
      </c>
      <c r="BU2268" s="4">
        <f>_xlfn.IFNA(VLOOKUP(Grandview_Inventory[[#This Row],[condition]],Lookups!$A$37:$C$44,3,FALSE),1)</f>
        <v>0.94347925387812148</v>
      </c>
      <c r="BV2268" s="4">
        <f>IF(Grandview_Inventory[[#This Row],[bldg_style]]="",1,_xlfn.IFNA(VLOOKUP(Grandview_Inventory[[#This Row],[decade]],Lookups!$F$29:$H$43,3,FALSE),1))</f>
        <v>0.94601966599150278</v>
      </c>
      <c r="BW2268" s="4">
        <f>_xlfn.IFNA(VLOOKUP(Grandview_Inventory[[#This Row],[living_area_range]],Lookups!$F$47:$H$56,3,FALSE),1)</f>
        <v>0.96120133463014379</v>
      </c>
      <c r="BX2268" s="4">
        <f>AVERAGE(Grandview_Inventory[[#This Row],[qual_adj]:[size_adj]])</f>
        <v>0.94841373516832994</v>
      </c>
      <c r="BY2268" s="6">
        <f>IF(Grandview_Inventory[[#This Row],[pre_res]]&lt;0,0,Grandview_Inventory[[#This Row],[pre_res]]*Grandview_Inventory[[#This Row],[overall_adj]])</f>
        <v>366550.87107558904</v>
      </c>
      <c r="BZ2268" s="6">
        <f>(Grandview_Inventory[[#This Row],[sum_land]]-IF(Grandview_Inventory[[#This Row],[no_utilities]]=1,12000,0))/IF(Grandview_Inventory[[#This Row],[unbuildable]]=1,2,1)</f>
        <v>46638.847281240982</v>
      </c>
      <c r="CA226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68">
        <f>ROUND(Grandview_Inventory[[#This Row],[det_value]]*Lookups!$M$28,-2)</f>
        <v>0</v>
      </c>
      <c r="CC2268">
        <f>IF(ROUND(Grandview_Inventory[[#This Row],[adj_res]]*Lookups!$M$28,-2)&lt;Grandview_Inventory[[#This Row],[min_res]],Grandview_Inventory[[#This Row],[min_res]],ROUND(Grandview_Inventory[[#This Row],[adj_res]]*Lookups!$M$28,-2))</f>
        <v>348200</v>
      </c>
      <c r="CD2268">
        <f>Grandview_Inventory[[#This Row],[final_det]]+Grandview_Inventory[[#This Row],[final_res]]</f>
        <v>348200</v>
      </c>
      <c r="CE2268">
        <f>Grandview_Inventory[[#This Row],[final_land]]+Grandview_Inventory[[#This Row],[final_imp]]+Grandview_Inventory[[#This Row],[crop_value]]</f>
        <v>392500</v>
      </c>
      <c r="CG2268" t="str">
        <f t="shared" si="35"/>
        <v>update valuation set market_land =44300, market_bldg=348200, market_total =392500, market_mdno =401, market_date ='9/10/2023' where link_id = (select link_id from parcel where parcel_year = '2024' and parcel_id = '23092612420');</v>
      </c>
    </row>
    <row r="2269" spans="1:85" x14ac:dyDescent="0.25">
      <c r="A2269">
        <v>23092612421</v>
      </c>
      <c r="B2269">
        <v>0.17</v>
      </c>
      <c r="C2269">
        <v>7437</v>
      </c>
      <c r="D2269" t="s">
        <v>129</v>
      </c>
      <c r="E2269" t="s">
        <v>53</v>
      </c>
      <c r="F2269" t="s">
        <v>53</v>
      </c>
      <c r="G2269">
        <v>4</v>
      </c>
      <c r="H2269" t="s">
        <v>54</v>
      </c>
      <c r="I2269">
        <v>273600</v>
      </c>
      <c r="J2269">
        <v>38800</v>
      </c>
      <c r="K2269">
        <v>0.17</v>
      </c>
      <c r="L226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69">
        <v>0</v>
      </c>
      <c r="N2269">
        <v>0</v>
      </c>
      <c r="O2269">
        <v>0</v>
      </c>
      <c r="P2269">
        <v>13398.7528</v>
      </c>
      <c r="Q2269">
        <v>63903</v>
      </c>
      <c r="R2269">
        <f>(Grandview_Inventory[[#This Row],[ln_acres]]*Grandview_Inventory[[#This Row],[coeff]])+Grandview_Inventory[[#This Row],[const]]</f>
        <v>40160.988302686128</v>
      </c>
      <c r="S2269" t="s">
        <v>61</v>
      </c>
      <c r="T2269">
        <v>1</v>
      </c>
      <c r="U2269" t="s">
        <v>62</v>
      </c>
      <c r="V2269" t="s">
        <v>57</v>
      </c>
      <c r="W2269">
        <v>0</v>
      </c>
      <c r="X2269">
        <v>0</v>
      </c>
      <c r="Y2269">
        <v>9</v>
      </c>
      <c r="Z2269">
        <v>9</v>
      </c>
      <c r="AA2269">
        <v>10</v>
      </c>
      <c r="AB2269">
        <v>2500</v>
      </c>
      <c r="AC2269">
        <v>2016</v>
      </c>
      <c r="AD2269">
        <v>1728</v>
      </c>
      <c r="AE2269">
        <v>0</v>
      </c>
      <c r="AF2269">
        <v>288</v>
      </c>
      <c r="AG2269">
        <v>0</v>
      </c>
      <c r="AH2269">
        <v>0</v>
      </c>
      <c r="AI2269">
        <v>624</v>
      </c>
      <c r="AJ2269">
        <v>0</v>
      </c>
      <c r="AK2269">
        <v>0</v>
      </c>
      <c r="AL2269">
        <v>0</v>
      </c>
      <c r="AM2269">
        <v>120</v>
      </c>
      <c r="AN2269">
        <v>20</v>
      </c>
      <c r="AO2269">
        <v>0</v>
      </c>
      <c r="AP2269">
        <v>9</v>
      </c>
      <c r="AQ2269">
        <v>0</v>
      </c>
      <c r="AR2269">
        <v>0</v>
      </c>
      <c r="AS2269" t="s">
        <v>58</v>
      </c>
      <c r="AT2269">
        <v>1</v>
      </c>
      <c r="AU2269" t="s">
        <v>63</v>
      </c>
      <c r="AV2269" t="s">
        <v>64</v>
      </c>
      <c r="AW2269">
        <v>1</v>
      </c>
      <c r="AX2269">
        <v>3</v>
      </c>
      <c r="AY2269">
        <v>0</v>
      </c>
      <c r="AZ2269">
        <v>0</v>
      </c>
      <c r="BA2269">
        <v>100</v>
      </c>
      <c r="BB2269">
        <v>100</v>
      </c>
      <c r="BC2269">
        <v>100</v>
      </c>
      <c r="BD2269">
        <v>100</v>
      </c>
      <c r="BE2269">
        <v>1</v>
      </c>
      <c r="BF2269">
        <v>15000</v>
      </c>
      <c r="BG2269">
        <v>1000</v>
      </c>
      <c r="BH2269" s="6">
        <f>Grandview_Inventory[[#This Row],[land_extract]]*Lookups!$B$3</f>
        <v>46638.847281240982</v>
      </c>
      <c r="BI2269" s="6">
        <f>IF(Grandview_Inventory[[#This Row],[bldg_style]]="",0,Lookups!$B$2)</f>
        <v>155833.95000000001</v>
      </c>
      <c r="BJ2269" s="6">
        <f>_xlfn.IFNA(VLOOKUP(Grandview_Inventory[[#This Row],[quality]],Lookups!$H$2:$J$14,3,FALSE),0)</f>
        <v>9808</v>
      </c>
      <c r="BK2269" s="6">
        <f>_xlfn.IFNA(VLOOKUP(Grandview_Inventory[[#This Row],[condition]],Lookups!$H$17:$J$24,3,FALSE),0)</f>
        <v>25780</v>
      </c>
      <c r="BL2269" s="6">
        <f>Grandview_Inventory[[#This Row],[Eff_Age]]*Lookups!$B$14</f>
        <v>-2152.4993999999997</v>
      </c>
      <c r="BM2269" s="6">
        <f>Grandview_Inventory[[#This Row],[living_area]]*Lookups!$B$15</f>
        <v>125759.799648</v>
      </c>
      <c r="BN2269" s="6">
        <f>Grandview_Inventory[[#This Row],[Fin BSMT]]*Lookups!$B$16</f>
        <v>0</v>
      </c>
      <c r="BO2269" s="6">
        <f>(Grandview_Inventory[[#This Row],[att_gar]]+Grandview_Inventory[[#This Row],[bltin_gar]])*Lookups!$B$17</f>
        <v>54612.752688</v>
      </c>
      <c r="BP2269" s="6">
        <f>Grandview_Inventory[[#This Row],[Plumbing Fixtures]]*Lookups!$B$18</f>
        <v>18093.976200000001</v>
      </c>
      <c r="BQ2269" s="6">
        <f>Grandview_Inventory[[#This Row],[detatched_value]]*Lookups!$B$19</f>
        <v>0</v>
      </c>
      <c r="BR2269" s="6">
        <f>SUM(Grandview_Inventory[[#This Row],[Intercept]:[det_value]])*Grandview_Inventory[[#This Row],[res_pct]]</f>
        <v>387735.97913599998</v>
      </c>
      <c r="BS2269" s="6">
        <f>Grandview_Inventory[[#This Row],[land_value]]</f>
        <v>46638.847281240982</v>
      </c>
      <c r="BT2269" s="4">
        <f>_xlfn.IFNA(VLOOKUP(Grandview_Inventory[[#This Row],[quality]],Lookups!$A$26:$C$33,3,FALSE),1)</f>
        <v>0.94295468617355149</v>
      </c>
      <c r="BU2269" s="4">
        <f>_xlfn.IFNA(VLOOKUP(Grandview_Inventory[[#This Row],[condition]],Lookups!$A$37:$C$44,3,FALSE),1)</f>
        <v>0.94347925387812148</v>
      </c>
      <c r="BV2269" s="4">
        <f>IF(Grandview_Inventory[[#This Row],[bldg_style]]="",1,_xlfn.IFNA(VLOOKUP(Grandview_Inventory[[#This Row],[decade]],Lookups!$F$29:$H$43,3,FALSE),1))</f>
        <v>0.94601966599150278</v>
      </c>
      <c r="BW2269" s="4">
        <f>_xlfn.IFNA(VLOOKUP(Grandview_Inventory[[#This Row],[living_area_range]],Lookups!$F$47:$H$56,3,FALSE),1)</f>
        <v>0.95799442568048754</v>
      </c>
      <c r="BX2269" s="4">
        <f>AVERAGE(Grandview_Inventory[[#This Row],[qual_adj]:[size_adj]])</f>
        <v>0.94761200793091582</v>
      </c>
      <c r="BY2269" s="6">
        <f>IF(Grandview_Inventory[[#This Row],[pre_res]]&lt;0,0,Grandview_Inventory[[#This Row],[pre_res]]*Grandview_Inventory[[#This Row],[overall_adj]])</f>
        <v>367423.26973612461</v>
      </c>
      <c r="BZ2269" s="6">
        <f>(Grandview_Inventory[[#This Row],[sum_land]]-IF(Grandview_Inventory[[#This Row],[no_utilities]]=1,12000,0))/IF(Grandview_Inventory[[#This Row],[unbuildable]]=1,2,1)</f>
        <v>46638.847281240982</v>
      </c>
      <c r="CA226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69">
        <f>ROUND(Grandview_Inventory[[#This Row],[det_value]]*Lookups!$M$28,-2)</f>
        <v>0</v>
      </c>
      <c r="CC2269">
        <f>IF(ROUND(Grandview_Inventory[[#This Row],[adj_res]]*Lookups!$M$28,-2)&lt;Grandview_Inventory[[#This Row],[min_res]],Grandview_Inventory[[#This Row],[min_res]],ROUND(Grandview_Inventory[[#This Row],[adj_res]]*Lookups!$M$28,-2))</f>
        <v>349100</v>
      </c>
      <c r="CD2269">
        <f>Grandview_Inventory[[#This Row],[final_det]]+Grandview_Inventory[[#This Row],[final_res]]</f>
        <v>349100</v>
      </c>
      <c r="CE2269">
        <f>Grandview_Inventory[[#This Row],[final_land]]+Grandview_Inventory[[#This Row],[final_imp]]+Grandview_Inventory[[#This Row],[crop_value]]</f>
        <v>393400</v>
      </c>
      <c r="CG2269" t="str">
        <f t="shared" si="35"/>
        <v>update valuation set market_land =44300, market_bldg=349100, market_total =393400, market_mdno =401, market_date ='9/10/2023' where link_id = (select link_id from parcel where parcel_year = '2024' and parcel_id = '23092612421');</v>
      </c>
    </row>
    <row r="2270" spans="1:85" x14ac:dyDescent="0.25">
      <c r="A2270">
        <v>23092612425</v>
      </c>
      <c r="B2270">
        <v>0.35</v>
      </c>
      <c r="C2270">
        <v>15066</v>
      </c>
      <c r="D2270" t="s">
        <v>129</v>
      </c>
      <c r="E2270" t="s">
        <v>53</v>
      </c>
      <c r="F2270" t="s">
        <v>53</v>
      </c>
      <c r="G2270">
        <v>4</v>
      </c>
      <c r="H2270" t="s">
        <v>54</v>
      </c>
      <c r="I2270">
        <v>294100</v>
      </c>
      <c r="J2270">
        <v>47500</v>
      </c>
      <c r="K2270">
        <v>0.35</v>
      </c>
      <c r="L2270">
        <f>IF(Grandview_Inventory[[#This Row],[parcel_acres]]-Grandview_Inventory[[#This Row],[non_valued_acres]] =0,0,LN(Grandview_Inventory[[#This Row],[parcel_acres]]-Grandview_Inventory[[#This Row],[non_valued_acres]]))</f>
        <v>-1.0498221244986778</v>
      </c>
      <c r="M2270">
        <v>0</v>
      </c>
      <c r="N2270">
        <v>0</v>
      </c>
      <c r="O2270">
        <v>0</v>
      </c>
      <c r="P2270">
        <v>13398.7528</v>
      </c>
      <c r="Q2270">
        <v>63903</v>
      </c>
      <c r="R2270">
        <f>(Grandview_Inventory[[#This Row],[ln_acres]]*Grandview_Inventory[[#This Row],[coeff]])+Grandview_Inventory[[#This Row],[const]]</f>
        <v>49836.692869871389</v>
      </c>
      <c r="S2270" t="s">
        <v>55</v>
      </c>
      <c r="T2270">
        <v>2</v>
      </c>
      <c r="U2270" t="s">
        <v>62</v>
      </c>
      <c r="V2270" t="s">
        <v>66</v>
      </c>
      <c r="W2270">
        <v>0</v>
      </c>
      <c r="X2270">
        <v>0</v>
      </c>
      <c r="Y2270">
        <v>15</v>
      </c>
      <c r="Z2270">
        <v>15</v>
      </c>
      <c r="AA2270">
        <v>20</v>
      </c>
      <c r="AB2270">
        <v>2500</v>
      </c>
      <c r="AC2270">
        <v>2339</v>
      </c>
      <c r="AD2270">
        <v>1492</v>
      </c>
      <c r="AE2270">
        <v>847</v>
      </c>
      <c r="AF2270">
        <v>0</v>
      </c>
      <c r="AG2270">
        <v>0</v>
      </c>
      <c r="AH2270">
        <v>0</v>
      </c>
      <c r="AI2270">
        <v>552</v>
      </c>
      <c r="AJ2270">
        <v>0</v>
      </c>
      <c r="AK2270">
        <v>0</v>
      </c>
      <c r="AL2270">
        <v>0</v>
      </c>
      <c r="AM2270">
        <v>520</v>
      </c>
      <c r="AN2270">
        <v>85</v>
      </c>
      <c r="AO2270">
        <v>520</v>
      </c>
      <c r="AP2270">
        <v>13</v>
      </c>
      <c r="AQ2270">
        <v>0</v>
      </c>
      <c r="AR2270">
        <v>0</v>
      </c>
      <c r="AS2270" t="s">
        <v>58</v>
      </c>
      <c r="AT2270">
        <v>1</v>
      </c>
      <c r="AU2270" t="s">
        <v>63</v>
      </c>
      <c r="AV2270" t="s">
        <v>64</v>
      </c>
      <c r="AW2270">
        <v>1</v>
      </c>
      <c r="AX2270">
        <v>4</v>
      </c>
      <c r="AY2270">
        <v>0</v>
      </c>
      <c r="AZ2270">
        <v>0</v>
      </c>
      <c r="BA2270">
        <v>100</v>
      </c>
      <c r="BB2270">
        <v>100</v>
      </c>
      <c r="BC2270">
        <v>100</v>
      </c>
      <c r="BD2270">
        <v>100</v>
      </c>
      <c r="BE2270">
        <v>1</v>
      </c>
      <c r="BF2270">
        <v>15000</v>
      </c>
      <c r="BG2270">
        <v>1000</v>
      </c>
      <c r="BH2270" s="6">
        <f>Grandview_Inventory[[#This Row],[land_extract]]*Lookups!$B$3</f>
        <v>57875.216870710894</v>
      </c>
      <c r="BI2270" s="6">
        <f>IF(Grandview_Inventory[[#This Row],[bldg_style]]="",0,Lookups!$B$2)</f>
        <v>155833.95000000001</v>
      </c>
      <c r="BJ2270" s="6">
        <f>_xlfn.IFNA(VLOOKUP(Grandview_Inventory[[#This Row],[quality]],Lookups!$H$2:$J$14,3,FALSE),0)</f>
        <v>9808</v>
      </c>
      <c r="BK2270" s="6">
        <f>_xlfn.IFNA(VLOOKUP(Grandview_Inventory[[#This Row],[condition]],Lookups!$H$17:$J$24,3,FALSE),0)</f>
        <v>25818</v>
      </c>
      <c r="BL2270" s="6">
        <f>Grandview_Inventory[[#This Row],[Eff_Age]]*Lookups!$B$14</f>
        <v>-3587.4989999999998</v>
      </c>
      <c r="BM2270" s="6">
        <f>Grandview_Inventory[[#This Row],[living_area]]*Lookups!$B$15</f>
        <v>145908.81516699999</v>
      </c>
      <c r="BN2270" s="6">
        <f>Grandview_Inventory[[#This Row],[Fin BSMT]]*Lookups!$B$16</f>
        <v>0</v>
      </c>
      <c r="BO2270" s="6">
        <f>(Grandview_Inventory[[#This Row],[att_gar]]+Grandview_Inventory[[#This Row],[bltin_gar]])*Lookups!$B$17</f>
        <v>48311.281223999998</v>
      </c>
      <c r="BP2270" s="6">
        <f>Grandview_Inventory[[#This Row],[Plumbing Fixtures]]*Lookups!$B$18</f>
        <v>26135.743399999999</v>
      </c>
      <c r="BQ2270" s="6">
        <f>Grandview_Inventory[[#This Row],[detatched_value]]*Lookups!$B$19</f>
        <v>0</v>
      </c>
      <c r="BR2270" s="6">
        <f>SUM(Grandview_Inventory[[#This Row],[Intercept]:[det_value]])*Grandview_Inventory[[#This Row],[res_pct]]</f>
        <v>408228.29079099995</v>
      </c>
      <c r="BS2270" s="6">
        <f>Grandview_Inventory[[#This Row],[land_value]]</f>
        <v>57875.216870710894</v>
      </c>
      <c r="BT2270" s="4">
        <f>_xlfn.IFNA(VLOOKUP(Grandview_Inventory[[#This Row],[quality]],Lookups!$A$26:$C$33,3,FALSE),1)</f>
        <v>0.94295468617355149</v>
      </c>
      <c r="BU2270" s="4">
        <f>_xlfn.IFNA(VLOOKUP(Grandview_Inventory[[#This Row],[condition]],Lookups!$A$37:$C$44,3,FALSE),1)</f>
        <v>0.96661476234146892</v>
      </c>
      <c r="BV2270" s="4">
        <f>IF(Grandview_Inventory[[#This Row],[bldg_style]]="",1,_xlfn.IFNA(VLOOKUP(Grandview_Inventory[[#This Row],[decade]],Lookups!$F$29:$H$43,3,FALSE),1))</f>
        <v>0.96737494181490646</v>
      </c>
      <c r="BW2270" s="4">
        <f>_xlfn.IFNA(VLOOKUP(Grandview_Inventory[[#This Row],[living_area_range]],Lookups!$F$47:$H$56,3,FALSE),1)</f>
        <v>0.95799442568048754</v>
      </c>
      <c r="BX2270" s="4">
        <f>AVERAGE(Grandview_Inventory[[#This Row],[qual_adj]:[size_adj]])</f>
        <v>0.95873470400260363</v>
      </c>
      <c r="BY2270" s="6">
        <f>IF(Grandview_Inventory[[#This Row],[pre_res]]&lt;0,0,Grandview_Inventory[[#This Row],[pre_res]]*Grandview_Inventory[[#This Row],[overall_adj]])</f>
        <v>391382.62953699811</v>
      </c>
      <c r="BZ2270" s="6">
        <f>(Grandview_Inventory[[#This Row],[sum_land]]-IF(Grandview_Inventory[[#This Row],[no_utilities]]=1,12000,0))/IF(Grandview_Inventory[[#This Row],[unbuildable]]=1,2,1)</f>
        <v>57875.216870710894</v>
      </c>
      <c r="CA2270">
        <f>IF(ROUND(Grandview_Inventory[[#This Row],[adj_land]]*Lookups!$M$28,-2)&lt;Grandview_Inventory[[#This Row],[min_land]],Grandview_Inventory[[#This Row],[min_land]],ROUND(Grandview_Inventory[[#This Row],[adj_land]]*Lookups!$M$28,-2))</f>
        <v>55000</v>
      </c>
      <c r="CB2270">
        <f>ROUND(Grandview_Inventory[[#This Row],[det_value]]*Lookups!$M$28,-2)</f>
        <v>0</v>
      </c>
      <c r="CC2270">
        <f>IF(ROUND(Grandview_Inventory[[#This Row],[adj_res]]*Lookups!$M$28,-2)&lt;Grandview_Inventory[[#This Row],[min_res]],Grandview_Inventory[[#This Row],[min_res]],ROUND(Grandview_Inventory[[#This Row],[adj_res]]*Lookups!$M$28,-2))</f>
        <v>371800</v>
      </c>
      <c r="CD2270">
        <f>Grandview_Inventory[[#This Row],[final_det]]+Grandview_Inventory[[#This Row],[final_res]]</f>
        <v>371800</v>
      </c>
      <c r="CE2270">
        <f>Grandview_Inventory[[#This Row],[final_land]]+Grandview_Inventory[[#This Row],[final_imp]]+Grandview_Inventory[[#This Row],[crop_value]]</f>
        <v>426800</v>
      </c>
      <c r="CG2270" t="str">
        <f t="shared" si="35"/>
        <v>update valuation set market_land =55000, market_bldg=371800, market_total =426800, market_mdno =401, market_date ='9/10/2023' where link_id = (select link_id from parcel where parcel_year = '2024' and parcel_id = '23092612425');</v>
      </c>
    </row>
    <row r="2271" spans="1:85" x14ac:dyDescent="0.25">
      <c r="A2271">
        <v>23092612426</v>
      </c>
      <c r="B2271">
        <v>0.16</v>
      </c>
      <c r="C2271">
        <v>7032</v>
      </c>
      <c r="D2271" t="s">
        <v>129</v>
      </c>
      <c r="E2271" t="s">
        <v>53</v>
      </c>
      <c r="F2271" t="s">
        <v>53</v>
      </c>
      <c r="G2271">
        <v>4</v>
      </c>
      <c r="H2271" t="s">
        <v>54</v>
      </c>
      <c r="I2271">
        <v>261200</v>
      </c>
      <c r="J2271">
        <v>38600</v>
      </c>
      <c r="K2271">
        <v>0.16</v>
      </c>
      <c r="L227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71">
        <v>0</v>
      </c>
      <c r="N2271">
        <v>0</v>
      </c>
      <c r="O2271">
        <v>0</v>
      </c>
      <c r="P2271">
        <v>13398.7528</v>
      </c>
      <c r="Q2271">
        <v>63903</v>
      </c>
      <c r="R2271">
        <f>(Grandview_Inventory[[#This Row],[ln_acres]]*Grandview_Inventory[[#This Row],[coeff]])+Grandview_Inventory[[#This Row],[const]]</f>
        <v>39348.693981374228</v>
      </c>
      <c r="S2271" t="s">
        <v>55</v>
      </c>
      <c r="T2271">
        <v>2</v>
      </c>
      <c r="U2271" t="s">
        <v>65</v>
      </c>
      <c r="V2271" t="s">
        <v>66</v>
      </c>
      <c r="W2271">
        <v>0</v>
      </c>
      <c r="X2271">
        <v>0</v>
      </c>
      <c r="Y2271">
        <v>12</v>
      </c>
      <c r="Z2271">
        <v>12</v>
      </c>
      <c r="AA2271">
        <v>20</v>
      </c>
      <c r="AB2271">
        <v>2000</v>
      </c>
      <c r="AC2271">
        <v>1602</v>
      </c>
      <c r="AD2271">
        <v>900</v>
      </c>
      <c r="AE2271">
        <v>702</v>
      </c>
      <c r="AF2271">
        <v>0</v>
      </c>
      <c r="AG2271">
        <v>0</v>
      </c>
      <c r="AH2271">
        <v>0</v>
      </c>
      <c r="AI2271">
        <v>660</v>
      </c>
      <c r="AJ2271">
        <v>0</v>
      </c>
      <c r="AK2271">
        <v>0</v>
      </c>
      <c r="AL2271">
        <v>0</v>
      </c>
      <c r="AM2271">
        <v>128</v>
      </c>
      <c r="AN2271">
        <v>15</v>
      </c>
      <c r="AO2271">
        <v>0</v>
      </c>
      <c r="AP2271">
        <v>11</v>
      </c>
      <c r="AQ2271">
        <v>0</v>
      </c>
      <c r="AR2271">
        <v>0</v>
      </c>
      <c r="AS2271" t="s">
        <v>58</v>
      </c>
      <c r="AT2271">
        <v>1</v>
      </c>
      <c r="AU2271" t="s">
        <v>63</v>
      </c>
      <c r="AV2271" t="s">
        <v>64</v>
      </c>
      <c r="AW2271">
        <v>1</v>
      </c>
      <c r="AX2271">
        <v>3</v>
      </c>
      <c r="AY2271">
        <v>0</v>
      </c>
      <c r="AZ2271">
        <v>0</v>
      </c>
      <c r="BA2271">
        <v>100</v>
      </c>
      <c r="BB2271">
        <v>100</v>
      </c>
      <c r="BC2271">
        <v>100</v>
      </c>
      <c r="BD2271">
        <v>100</v>
      </c>
      <c r="BE2271">
        <v>1</v>
      </c>
      <c r="BF2271">
        <v>15000</v>
      </c>
      <c r="BG2271">
        <v>1000</v>
      </c>
      <c r="BH2271" s="6">
        <f>Grandview_Inventory[[#This Row],[land_extract]]*Lookups!$B$3</f>
        <v>45695.532079096141</v>
      </c>
      <c r="BI2271" s="6">
        <f>IF(Grandview_Inventory[[#This Row],[bldg_style]]="",0,Lookups!$B$2)</f>
        <v>155833.95000000001</v>
      </c>
      <c r="BJ2271" s="6">
        <f>_xlfn.IFNA(VLOOKUP(Grandview_Inventory[[#This Row],[quality]],Lookups!$H$2:$J$14,3,FALSE),0)</f>
        <v>2251</v>
      </c>
      <c r="BK2271" s="6">
        <f>_xlfn.IFNA(VLOOKUP(Grandview_Inventory[[#This Row],[condition]],Lookups!$H$17:$J$24,3,FALSE),0)</f>
        <v>25818</v>
      </c>
      <c r="BL2271" s="6">
        <f>Grandview_Inventory[[#This Row],[Eff_Age]]*Lookups!$B$14</f>
        <v>-2869.9991999999997</v>
      </c>
      <c r="BM2271" s="6">
        <f>Grandview_Inventory[[#This Row],[living_area]]*Lookups!$B$15</f>
        <v>99934.126506000001</v>
      </c>
      <c r="BN2271" s="6">
        <f>Grandview_Inventory[[#This Row],[Fin BSMT]]*Lookups!$B$16</f>
        <v>0</v>
      </c>
      <c r="BO2271" s="6">
        <f>(Grandview_Inventory[[#This Row],[att_gar]]+Grandview_Inventory[[#This Row],[bltin_gar]])*Lookups!$B$17</f>
        <v>57763.488420000001</v>
      </c>
      <c r="BP2271" s="6">
        <f>Grandview_Inventory[[#This Row],[Plumbing Fixtures]]*Lookups!$B$18</f>
        <v>22114.859800000002</v>
      </c>
      <c r="BQ2271" s="6">
        <f>Grandview_Inventory[[#This Row],[detatched_value]]*Lookups!$B$19</f>
        <v>0</v>
      </c>
      <c r="BR2271" s="6">
        <f>SUM(Grandview_Inventory[[#This Row],[Intercept]:[det_value]])*Grandview_Inventory[[#This Row],[res_pct]]</f>
        <v>360845.42552600004</v>
      </c>
      <c r="BS2271" s="6">
        <f>Grandview_Inventory[[#This Row],[land_value]]</f>
        <v>45695.532079096141</v>
      </c>
      <c r="BT2271" s="4">
        <f>_xlfn.IFNA(VLOOKUP(Grandview_Inventory[[#This Row],[quality]],Lookups!$A$26:$C$33,3,FALSE),1)</f>
        <v>0.98763855981004833</v>
      </c>
      <c r="BU2271" s="4">
        <f>_xlfn.IFNA(VLOOKUP(Grandview_Inventory[[#This Row],[condition]],Lookups!$A$37:$C$44,3,FALSE),1)</f>
        <v>0.96661476234146892</v>
      </c>
      <c r="BV2271" s="4">
        <f>IF(Grandview_Inventory[[#This Row],[bldg_style]]="",1,_xlfn.IFNA(VLOOKUP(Grandview_Inventory[[#This Row],[decade]],Lookups!$F$29:$H$43,3,FALSE),1))</f>
        <v>0.96737494181490646</v>
      </c>
      <c r="BW2271" s="4">
        <f>_xlfn.IFNA(VLOOKUP(Grandview_Inventory[[#This Row],[living_area_range]],Lookups!$F$47:$H$56,3,FALSE),1)</f>
        <v>0.96120133463014379</v>
      </c>
      <c r="BX2271" s="4">
        <f>AVERAGE(Grandview_Inventory[[#This Row],[qual_adj]:[size_adj]])</f>
        <v>0.97070739964914199</v>
      </c>
      <c r="BY2271" s="6">
        <f>IF(Grandview_Inventory[[#This Row],[pre_res]]&lt;0,0,Grandview_Inventory[[#This Row],[pre_res]]*Grandview_Inventory[[#This Row],[overall_adj]])</f>
        <v>350275.32468763163</v>
      </c>
      <c r="BZ2271" s="6">
        <f>(Grandview_Inventory[[#This Row],[sum_land]]-IF(Grandview_Inventory[[#This Row],[no_utilities]]=1,12000,0))/IF(Grandview_Inventory[[#This Row],[unbuildable]]=1,2,1)</f>
        <v>45695.532079096141</v>
      </c>
      <c r="CA227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71">
        <f>ROUND(Grandview_Inventory[[#This Row],[det_value]]*Lookups!$M$28,-2)</f>
        <v>0</v>
      </c>
      <c r="CC2271">
        <f>IF(ROUND(Grandview_Inventory[[#This Row],[adj_res]]*Lookups!$M$28,-2)&lt;Grandview_Inventory[[#This Row],[min_res]],Grandview_Inventory[[#This Row],[min_res]],ROUND(Grandview_Inventory[[#This Row],[adj_res]]*Lookups!$M$28,-2))</f>
        <v>332800</v>
      </c>
      <c r="CD2271">
        <f>Grandview_Inventory[[#This Row],[final_det]]+Grandview_Inventory[[#This Row],[final_res]]</f>
        <v>332800</v>
      </c>
      <c r="CE2271">
        <f>Grandview_Inventory[[#This Row],[final_land]]+Grandview_Inventory[[#This Row],[final_imp]]+Grandview_Inventory[[#This Row],[crop_value]]</f>
        <v>376200</v>
      </c>
      <c r="CG2271" t="str">
        <f t="shared" si="35"/>
        <v>update valuation set market_land =43400, market_bldg=332800, market_total =376200, market_mdno =401, market_date ='9/10/2023' where link_id = (select link_id from parcel where parcel_year = '2024' and parcel_id = '23092612426');</v>
      </c>
    </row>
    <row r="2272" spans="1:85" x14ac:dyDescent="0.25">
      <c r="A2272">
        <v>23092612427</v>
      </c>
      <c r="B2272">
        <v>0.16</v>
      </c>
      <c r="C2272">
        <v>6798</v>
      </c>
      <c r="D2272" t="s">
        <v>129</v>
      </c>
      <c r="E2272" t="s">
        <v>53</v>
      </c>
      <c r="F2272" t="s">
        <v>53</v>
      </c>
      <c r="G2272">
        <v>4</v>
      </c>
      <c r="H2272" t="s">
        <v>54</v>
      </c>
      <c r="I2272">
        <v>224700</v>
      </c>
      <c r="J2272">
        <v>38600</v>
      </c>
      <c r="K2272">
        <v>0.16</v>
      </c>
      <c r="L227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72">
        <v>0</v>
      </c>
      <c r="N2272">
        <v>0</v>
      </c>
      <c r="O2272">
        <v>0</v>
      </c>
      <c r="P2272">
        <v>13398.7528</v>
      </c>
      <c r="Q2272">
        <v>63903</v>
      </c>
      <c r="R2272">
        <f>(Grandview_Inventory[[#This Row],[ln_acres]]*Grandview_Inventory[[#This Row],[coeff]])+Grandview_Inventory[[#This Row],[const]]</f>
        <v>39348.693981374228</v>
      </c>
      <c r="S2272" t="s">
        <v>61</v>
      </c>
      <c r="T2272">
        <v>1</v>
      </c>
      <c r="U2272" t="s">
        <v>65</v>
      </c>
      <c r="V2272" t="s">
        <v>66</v>
      </c>
      <c r="W2272">
        <v>0</v>
      </c>
      <c r="X2272">
        <v>0</v>
      </c>
      <c r="Y2272">
        <v>12</v>
      </c>
      <c r="Z2272">
        <v>12</v>
      </c>
      <c r="AA2272">
        <v>20</v>
      </c>
      <c r="AB2272">
        <v>1500</v>
      </c>
      <c r="AC2272">
        <v>1230</v>
      </c>
      <c r="AD2272">
        <v>1230</v>
      </c>
      <c r="AE2272">
        <v>0</v>
      </c>
      <c r="AF2272">
        <v>0</v>
      </c>
      <c r="AG2272">
        <v>0</v>
      </c>
      <c r="AH2272">
        <v>0</v>
      </c>
      <c r="AI2272">
        <v>380</v>
      </c>
      <c r="AJ2272">
        <v>0</v>
      </c>
      <c r="AK2272">
        <v>0</v>
      </c>
      <c r="AL2272">
        <v>0</v>
      </c>
      <c r="AM2272">
        <v>0</v>
      </c>
      <c r="AN2272">
        <v>28</v>
      </c>
      <c r="AO2272">
        <v>0</v>
      </c>
      <c r="AP2272">
        <v>9</v>
      </c>
      <c r="AQ2272">
        <v>0</v>
      </c>
      <c r="AR2272">
        <v>0</v>
      </c>
      <c r="AS2272" t="s">
        <v>58</v>
      </c>
      <c r="AT2272">
        <v>1</v>
      </c>
      <c r="AU2272" t="s">
        <v>63</v>
      </c>
      <c r="AV2272" t="s">
        <v>60</v>
      </c>
      <c r="AW2272">
        <v>1</v>
      </c>
      <c r="AX2272">
        <v>3</v>
      </c>
      <c r="AY2272">
        <v>0</v>
      </c>
      <c r="AZ2272">
        <v>0</v>
      </c>
      <c r="BA2272">
        <v>100</v>
      </c>
      <c r="BB2272">
        <v>100</v>
      </c>
      <c r="BC2272">
        <v>100</v>
      </c>
      <c r="BD2272">
        <v>100</v>
      </c>
      <c r="BE2272">
        <v>1</v>
      </c>
      <c r="BF2272">
        <v>15000</v>
      </c>
      <c r="BG2272">
        <v>1000</v>
      </c>
      <c r="BH2272" s="6">
        <f>Grandview_Inventory[[#This Row],[land_extract]]*Lookups!$B$3</f>
        <v>45695.532079096141</v>
      </c>
      <c r="BI2272" s="6">
        <f>IF(Grandview_Inventory[[#This Row],[bldg_style]]="",0,Lookups!$B$2)</f>
        <v>155833.95000000001</v>
      </c>
      <c r="BJ2272" s="6">
        <f>_xlfn.IFNA(VLOOKUP(Grandview_Inventory[[#This Row],[quality]],Lookups!$H$2:$J$14,3,FALSE),0)</f>
        <v>2251</v>
      </c>
      <c r="BK2272" s="6">
        <f>_xlfn.IFNA(VLOOKUP(Grandview_Inventory[[#This Row],[condition]],Lookups!$H$17:$J$24,3,FALSE),0)</f>
        <v>25818</v>
      </c>
      <c r="BL2272" s="6">
        <f>Grandview_Inventory[[#This Row],[Eff_Age]]*Lookups!$B$14</f>
        <v>-2869.9991999999997</v>
      </c>
      <c r="BM2272" s="6">
        <f>Grandview_Inventory[[#This Row],[living_area]]*Lookups!$B$15</f>
        <v>76728.449189999999</v>
      </c>
      <c r="BN2272" s="6">
        <f>Grandview_Inventory[[#This Row],[Fin BSMT]]*Lookups!$B$16</f>
        <v>0</v>
      </c>
      <c r="BO2272" s="6">
        <f>(Grandview_Inventory[[#This Row],[att_gar]]+Grandview_Inventory[[#This Row],[bltin_gar]])*Lookups!$B$17</f>
        <v>33257.766060000002</v>
      </c>
      <c r="BP2272" s="6">
        <f>Grandview_Inventory[[#This Row],[Plumbing Fixtures]]*Lookups!$B$18</f>
        <v>18093.976200000001</v>
      </c>
      <c r="BQ2272" s="6">
        <f>Grandview_Inventory[[#This Row],[detatched_value]]*Lookups!$B$19</f>
        <v>0</v>
      </c>
      <c r="BR2272" s="6">
        <f>SUM(Grandview_Inventory[[#This Row],[Intercept]:[det_value]])*Grandview_Inventory[[#This Row],[res_pct]]</f>
        <v>309113.14224999998</v>
      </c>
      <c r="BS2272" s="6">
        <f>Grandview_Inventory[[#This Row],[land_value]]</f>
        <v>45695.532079096141</v>
      </c>
      <c r="BT2272" s="4">
        <f>_xlfn.IFNA(VLOOKUP(Grandview_Inventory[[#This Row],[quality]],Lookups!$A$26:$C$33,3,FALSE),1)</f>
        <v>0.98763855981004833</v>
      </c>
      <c r="BU2272" s="4">
        <f>_xlfn.IFNA(VLOOKUP(Grandview_Inventory[[#This Row],[condition]],Lookups!$A$37:$C$44,3,FALSE),1)</f>
        <v>0.96661476234146892</v>
      </c>
      <c r="BV2272" s="4">
        <f>IF(Grandview_Inventory[[#This Row],[bldg_style]]="",1,_xlfn.IFNA(VLOOKUP(Grandview_Inventory[[#This Row],[decade]],Lookups!$F$29:$H$43,3,FALSE),1))</f>
        <v>0.96737494181490646</v>
      </c>
      <c r="BW2272" s="4">
        <f>_xlfn.IFNA(VLOOKUP(Grandview_Inventory[[#This Row],[living_area_range]],Lookups!$F$47:$H$56,3,FALSE),1)</f>
        <v>0.96135087979789358</v>
      </c>
      <c r="BX2272" s="4">
        <f>AVERAGE(Grandview_Inventory[[#This Row],[qual_adj]:[size_adj]])</f>
        <v>0.97074478594107938</v>
      </c>
      <c r="BY2272" s="6">
        <f>IF(Grandview_Inventory[[#This Row],[pre_res]]&lt;0,0,Grandview_Inventory[[#This Row],[pre_res]]*Grandview_Inventory[[#This Row],[overall_adj]])</f>
        <v>300069.97110505064</v>
      </c>
      <c r="BZ2272" s="6">
        <f>(Grandview_Inventory[[#This Row],[sum_land]]-IF(Grandview_Inventory[[#This Row],[no_utilities]]=1,12000,0))/IF(Grandview_Inventory[[#This Row],[unbuildable]]=1,2,1)</f>
        <v>45695.532079096141</v>
      </c>
      <c r="CA227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72">
        <f>ROUND(Grandview_Inventory[[#This Row],[det_value]]*Lookups!$M$28,-2)</f>
        <v>0</v>
      </c>
      <c r="CC2272">
        <f>IF(ROUND(Grandview_Inventory[[#This Row],[adj_res]]*Lookups!$M$28,-2)&lt;Grandview_Inventory[[#This Row],[min_res]],Grandview_Inventory[[#This Row],[min_res]],ROUND(Grandview_Inventory[[#This Row],[adj_res]]*Lookups!$M$28,-2))</f>
        <v>285100</v>
      </c>
      <c r="CD2272">
        <f>Grandview_Inventory[[#This Row],[final_det]]+Grandview_Inventory[[#This Row],[final_res]]</f>
        <v>285100</v>
      </c>
      <c r="CE2272">
        <f>Grandview_Inventory[[#This Row],[final_land]]+Grandview_Inventory[[#This Row],[final_imp]]+Grandview_Inventory[[#This Row],[crop_value]]</f>
        <v>328500</v>
      </c>
      <c r="CG2272" t="str">
        <f t="shared" si="35"/>
        <v>update valuation set market_land =43400, market_bldg=285100, market_total =328500, market_mdno =401, market_date ='9/10/2023' where link_id = (select link_id from parcel where parcel_year = '2024' and parcel_id = '23092612427');</v>
      </c>
    </row>
    <row r="2273" spans="1:85" x14ac:dyDescent="0.25">
      <c r="A2273">
        <v>23092612428</v>
      </c>
      <c r="B2273">
        <v>0.15</v>
      </c>
      <c r="C2273">
        <v>6744</v>
      </c>
      <c r="D2273" t="s">
        <v>129</v>
      </c>
      <c r="E2273" t="s">
        <v>53</v>
      </c>
      <c r="F2273" t="s">
        <v>53</v>
      </c>
      <c r="G2273">
        <v>4</v>
      </c>
      <c r="H2273" t="s">
        <v>54</v>
      </c>
      <c r="I2273">
        <v>227700</v>
      </c>
      <c r="J2273">
        <v>38400</v>
      </c>
      <c r="K2273">
        <v>0.15</v>
      </c>
      <c r="L2273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273">
        <v>0</v>
      </c>
      <c r="N2273">
        <v>0</v>
      </c>
      <c r="O2273">
        <v>0</v>
      </c>
      <c r="P2273">
        <v>13398.7528</v>
      </c>
      <c r="Q2273">
        <v>63903</v>
      </c>
      <c r="R2273">
        <f>(Grandview_Inventory[[#This Row],[ln_acres]]*Grandview_Inventory[[#This Row],[coeff]])+Grandview_Inventory[[#This Row],[const]]</f>
        <v>38483.958290574345</v>
      </c>
      <c r="S2273" t="s">
        <v>61</v>
      </c>
      <c r="T2273">
        <v>1</v>
      </c>
      <c r="U2273" t="s">
        <v>65</v>
      </c>
      <c r="V2273" t="s">
        <v>66</v>
      </c>
      <c r="W2273">
        <v>0</v>
      </c>
      <c r="X2273">
        <v>0</v>
      </c>
      <c r="Y2273">
        <v>15</v>
      </c>
      <c r="Z2273">
        <v>15</v>
      </c>
      <c r="AA2273">
        <v>20</v>
      </c>
      <c r="AB2273">
        <v>1500</v>
      </c>
      <c r="AC2273">
        <v>1309</v>
      </c>
      <c r="AD2273">
        <v>1309</v>
      </c>
      <c r="AE2273">
        <v>0</v>
      </c>
      <c r="AF2273">
        <v>0</v>
      </c>
      <c r="AG2273">
        <v>0</v>
      </c>
      <c r="AH2273">
        <v>0</v>
      </c>
      <c r="AI2273">
        <v>418</v>
      </c>
      <c r="AJ2273">
        <v>0</v>
      </c>
      <c r="AK2273">
        <v>0</v>
      </c>
      <c r="AL2273">
        <v>0</v>
      </c>
      <c r="AM2273">
        <v>288</v>
      </c>
      <c r="AN2273">
        <v>90</v>
      </c>
      <c r="AO2273">
        <v>0</v>
      </c>
      <c r="AP2273">
        <v>10</v>
      </c>
      <c r="AQ2273">
        <v>0</v>
      </c>
      <c r="AR2273">
        <v>0</v>
      </c>
      <c r="AS2273" t="s">
        <v>58</v>
      </c>
      <c r="AT2273">
        <v>1</v>
      </c>
      <c r="AU2273" t="s">
        <v>59</v>
      </c>
      <c r="AV2273" t="s">
        <v>60</v>
      </c>
      <c r="AW2273">
        <v>1</v>
      </c>
      <c r="AX2273">
        <v>3</v>
      </c>
      <c r="AY2273">
        <v>0</v>
      </c>
      <c r="AZ2273">
        <v>0</v>
      </c>
      <c r="BA2273">
        <v>100</v>
      </c>
      <c r="BB2273">
        <v>100</v>
      </c>
      <c r="BC2273">
        <v>100</v>
      </c>
      <c r="BD2273">
        <v>100</v>
      </c>
      <c r="BE2273">
        <v>1</v>
      </c>
      <c r="BF2273">
        <v>15000</v>
      </c>
      <c r="BG2273">
        <v>1000</v>
      </c>
      <c r="BH2273" s="6">
        <f>Grandview_Inventory[[#This Row],[land_extract]]*Lookups!$B$3</f>
        <v>44691.316856156598</v>
      </c>
      <c r="BI2273" s="6">
        <f>IF(Grandview_Inventory[[#This Row],[bldg_style]]="",0,Lookups!$B$2)</f>
        <v>155833.95000000001</v>
      </c>
      <c r="BJ2273" s="6">
        <f>_xlfn.IFNA(VLOOKUP(Grandview_Inventory[[#This Row],[quality]],Lookups!$H$2:$J$14,3,FALSE),0)</f>
        <v>2251</v>
      </c>
      <c r="BK2273" s="6">
        <f>_xlfn.IFNA(VLOOKUP(Grandview_Inventory[[#This Row],[condition]],Lookups!$H$17:$J$24,3,FALSE),0)</f>
        <v>25818</v>
      </c>
      <c r="BL2273" s="6">
        <f>Grandview_Inventory[[#This Row],[Eff_Age]]*Lookups!$B$14</f>
        <v>-3587.4989999999998</v>
      </c>
      <c r="BM2273" s="6">
        <f>Grandview_Inventory[[#This Row],[living_area]]*Lookups!$B$15</f>
        <v>81656.536577000006</v>
      </c>
      <c r="BN2273" s="6">
        <f>Grandview_Inventory[[#This Row],[Fin BSMT]]*Lookups!$B$16</f>
        <v>0</v>
      </c>
      <c r="BO2273" s="6">
        <f>(Grandview_Inventory[[#This Row],[att_gar]]+Grandview_Inventory[[#This Row],[bltin_gar]])*Lookups!$B$17</f>
        <v>36583.542666000001</v>
      </c>
      <c r="BP2273" s="6">
        <f>Grandview_Inventory[[#This Row],[Plumbing Fixtures]]*Lookups!$B$18</f>
        <v>20104.418000000001</v>
      </c>
      <c r="BQ2273" s="6">
        <f>Grandview_Inventory[[#This Row],[detatched_value]]*Lookups!$B$19</f>
        <v>0</v>
      </c>
      <c r="BR2273" s="6">
        <f>SUM(Grandview_Inventory[[#This Row],[Intercept]:[det_value]])*Grandview_Inventory[[#This Row],[res_pct]]</f>
        <v>318659.94824300002</v>
      </c>
      <c r="BS2273" s="6">
        <f>Grandview_Inventory[[#This Row],[land_value]]</f>
        <v>44691.316856156598</v>
      </c>
      <c r="BT2273" s="4">
        <f>_xlfn.IFNA(VLOOKUP(Grandview_Inventory[[#This Row],[quality]],Lookups!$A$26:$C$33,3,FALSE),1)</f>
        <v>0.98763855981004833</v>
      </c>
      <c r="BU2273" s="4">
        <f>_xlfn.IFNA(VLOOKUP(Grandview_Inventory[[#This Row],[condition]],Lookups!$A$37:$C$44,3,FALSE),1)</f>
        <v>0.96661476234146892</v>
      </c>
      <c r="BV2273" s="4">
        <f>IF(Grandview_Inventory[[#This Row],[bldg_style]]="",1,_xlfn.IFNA(VLOOKUP(Grandview_Inventory[[#This Row],[decade]],Lookups!$F$29:$H$43,3,FALSE),1))</f>
        <v>0.96737494181490646</v>
      </c>
      <c r="BW2273" s="4">
        <f>_xlfn.IFNA(VLOOKUP(Grandview_Inventory[[#This Row],[living_area_range]],Lookups!$F$47:$H$56,3,FALSE),1)</f>
        <v>0.96135087979789358</v>
      </c>
      <c r="BX2273" s="4">
        <f>AVERAGE(Grandview_Inventory[[#This Row],[qual_adj]:[size_adj]])</f>
        <v>0.97074478594107938</v>
      </c>
      <c r="BY2273" s="6">
        <f>IF(Grandview_Inventory[[#This Row],[pre_res]]&lt;0,0,Grandview_Inventory[[#This Row],[pre_res]]*Grandview_Inventory[[#This Row],[overall_adj]])</f>
        <v>309337.48324514646</v>
      </c>
      <c r="BZ2273" s="6">
        <f>(Grandview_Inventory[[#This Row],[sum_land]]-IF(Grandview_Inventory[[#This Row],[no_utilities]]=1,12000,0))/IF(Grandview_Inventory[[#This Row],[unbuildable]]=1,2,1)</f>
        <v>44691.316856156598</v>
      </c>
      <c r="CA2273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273">
        <f>ROUND(Grandview_Inventory[[#This Row],[det_value]]*Lookups!$M$28,-2)</f>
        <v>0</v>
      </c>
      <c r="CC2273">
        <f>IF(ROUND(Grandview_Inventory[[#This Row],[adj_res]]*Lookups!$M$28,-2)&lt;Grandview_Inventory[[#This Row],[min_res]],Grandview_Inventory[[#This Row],[min_res]],ROUND(Grandview_Inventory[[#This Row],[adj_res]]*Lookups!$M$28,-2))</f>
        <v>293900</v>
      </c>
      <c r="CD2273">
        <f>Grandview_Inventory[[#This Row],[final_det]]+Grandview_Inventory[[#This Row],[final_res]]</f>
        <v>293900</v>
      </c>
      <c r="CE2273">
        <f>Grandview_Inventory[[#This Row],[final_land]]+Grandview_Inventory[[#This Row],[final_imp]]+Grandview_Inventory[[#This Row],[crop_value]]</f>
        <v>336400</v>
      </c>
      <c r="CG2273" t="str">
        <f t="shared" si="35"/>
        <v>update valuation set market_land =42500, market_bldg=293900, market_total =336400, market_mdno =401, market_date ='9/10/2023' where link_id = (select link_id from parcel where parcel_year = '2024' and parcel_id = '23092612428');</v>
      </c>
    </row>
    <row r="2274" spans="1:85" x14ac:dyDescent="0.25">
      <c r="A2274">
        <v>23092612429</v>
      </c>
      <c r="B2274">
        <v>0.16</v>
      </c>
      <c r="C2274">
        <v>7089</v>
      </c>
      <c r="D2274" t="s">
        <v>129</v>
      </c>
      <c r="E2274" t="s">
        <v>53</v>
      </c>
      <c r="F2274" t="s">
        <v>53</v>
      </c>
      <c r="G2274">
        <v>4</v>
      </c>
      <c r="H2274" t="s">
        <v>54</v>
      </c>
      <c r="I2274">
        <v>261000</v>
      </c>
      <c r="J2274">
        <v>38800</v>
      </c>
      <c r="K2274">
        <v>0.16</v>
      </c>
      <c r="L227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74">
        <v>0</v>
      </c>
      <c r="N2274">
        <v>0</v>
      </c>
      <c r="O2274">
        <v>0</v>
      </c>
      <c r="P2274">
        <v>13398.7528</v>
      </c>
      <c r="Q2274">
        <v>63903</v>
      </c>
      <c r="R2274">
        <f>(Grandview_Inventory[[#This Row],[ln_acres]]*Grandview_Inventory[[#This Row],[coeff]])+Grandview_Inventory[[#This Row],[const]]</f>
        <v>39348.693981374228</v>
      </c>
      <c r="S2274" t="s">
        <v>55</v>
      </c>
      <c r="T2274">
        <v>1</v>
      </c>
      <c r="U2274" t="s">
        <v>65</v>
      </c>
      <c r="V2274" t="s">
        <v>66</v>
      </c>
      <c r="W2274">
        <v>0</v>
      </c>
      <c r="X2274">
        <v>0</v>
      </c>
      <c r="Y2274">
        <v>15</v>
      </c>
      <c r="Z2274">
        <v>15</v>
      </c>
      <c r="AA2274">
        <v>20</v>
      </c>
      <c r="AB2274">
        <v>2000</v>
      </c>
      <c r="AC2274">
        <v>1940</v>
      </c>
      <c r="AD2274">
        <v>785</v>
      </c>
      <c r="AE2274">
        <v>1155</v>
      </c>
      <c r="AF2274">
        <v>0</v>
      </c>
      <c r="AG2274">
        <v>0</v>
      </c>
      <c r="AH2274">
        <v>0</v>
      </c>
      <c r="AI2274">
        <v>0</v>
      </c>
      <c r="AJ2274">
        <v>380</v>
      </c>
      <c r="AK2274">
        <v>0</v>
      </c>
      <c r="AL2274">
        <v>0</v>
      </c>
      <c r="AM2274">
        <v>144</v>
      </c>
      <c r="AN2274">
        <v>20</v>
      </c>
      <c r="AO2274">
        <v>0</v>
      </c>
      <c r="AP2274">
        <v>11</v>
      </c>
      <c r="AQ2274">
        <v>0</v>
      </c>
      <c r="AR2274">
        <v>0</v>
      </c>
      <c r="AS2274" t="s">
        <v>58</v>
      </c>
      <c r="AT2274">
        <v>1</v>
      </c>
      <c r="AU2274" t="s">
        <v>59</v>
      </c>
      <c r="AV2274" t="s">
        <v>60</v>
      </c>
      <c r="AW2274">
        <v>1</v>
      </c>
      <c r="AX2274">
        <v>4</v>
      </c>
      <c r="AY2274">
        <v>0</v>
      </c>
      <c r="AZ2274">
        <v>0</v>
      </c>
      <c r="BA2274">
        <v>100</v>
      </c>
      <c r="BB2274">
        <v>100</v>
      </c>
      <c r="BC2274">
        <v>100</v>
      </c>
      <c r="BD2274">
        <v>100</v>
      </c>
      <c r="BE2274">
        <v>1</v>
      </c>
      <c r="BF2274">
        <v>15000</v>
      </c>
      <c r="BG2274">
        <v>1000</v>
      </c>
      <c r="BH2274" s="6">
        <f>Grandview_Inventory[[#This Row],[land_extract]]*Lookups!$B$3</f>
        <v>45695.532079096141</v>
      </c>
      <c r="BI2274" s="6">
        <f>IF(Grandview_Inventory[[#This Row],[bldg_style]]="",0,Lookups!$B$2)</f>
        <v>155833.95000000001</v>
      </c>
      <c r="BJ2274" s="6">
        <f>_xlfn.IFNA(VLOOKUP(Grandview_Inventory[[#This Row],[quality]],Lookups!$H$2:$J$14,3,FALSE),0)</f>
        <v>2251</v>
      </c>
      <c r="BK2274" s="6">
        <f>_xlfn.IFNA(VLOOKUP(Grandview_Inventory[[#This Row],[condition]],Lookups!$H$17:$J$24,3,FALSE),0)</f>
        <v>25818</v>
      </c>
      <c r="BL2274" s="6">
        <f>Grandview_Inventory[[#This Row],[Eff_Age]]*Lookups!$B$14</f>
        <v>-3587.4989999999998</v>
      </c>
      <c r="BM2274" s="6">
        <f>Grandview_Inventory[[#This Row],[living_area]]*Lookups!$B$15</f>
        <v>121018.85482000001</v>
      </c>
      <c r="BN2274" s="6">
        <f>Grandview_Inventory[[#This Row],[Fin BSMT]]*Lookups!$B$16</f>
        <v>0</v>
      </c>
      <c r="BO2274" s="6">
        <f>(Grandview_Inventory[[#This Row],[att_gar]]+Grandview_Inventory[[#This Row],[bltin_gar]])*Lookups!$B$17</f>
        <v>33257.766060000002</v>
      </c>
      <c r="BP2274" s="6">
        <f>Grandview_Inventory[[#This Row],[Plumbing Fixtures]]*Lookups!$B$18</f>
        <v>22114.859800000002</v>
      </c>
      <c r="BQ2274" s="6">
        <f>Grandview_Inventory[[#This Row],[detatched_value]]*Lookups!$B$19</f>
        <v>0</v>
      </c>
      <c r="BR2274" s="6">
        <f>SUM(Grandview_Inventory[[#This Row],[Intercept]:[det_value]])*Grandview_Inventory[[#This Row],[res_pct]]</f>
        <v>356706.93167999998</v>
      </c>
      <c r="BS2274" s="6">
        <f>Grandview_Inventory[[#This Row],[land_value]]</f>
        <v>45695.532079096141</v>
      </c>
      <c r="BT2274" s="4">
        <f>_xlfn.IFNA(VLOOKUP(Grandview_Inventory[[#This Row],[quality]],Lookups!$A$26:$C$33,3,FALSE),1)</f>
        <v>0.98763855981004833</v>
      </c>
      <c r="BU2274" s="4">
        <f>_xlfn.IFNA(VLOOKUP(Grandview_Inventory[[#This Row],[condition]],Lookups!$A$37:$C$44,3,FALSE),1)</f>
        <v>0.96661476234146892</v>
      </c>
      <c r="BV2274" s="4">
        <f>IF(Grandview_Inventory[[#This Row],[bldg_style]]="",1,_xlfn.IFNA(VLOOKUP(Grandview_Inventory[[#This Row],[decade]],Lookups!$F$29:$H$43,3,FALSE),1))</f>
        <v>0.96737494181490646</v>
      </c>
      <c r="BW2274" s="4">
        <f>_xlfn.IFNA(VLOOKUP(Grandview_Inventory[[#This Row],[living_area_range]],Lookups!$F$47:$H$56,3,FALSE),1)</f>
        <v>0.96120133463014379</v>
      </c>
      <c r="BX2274" s="4">
        <f>AVERAGE(Grandview_Inventory[[#This Row],[qual_adj]:[size_adj]])</f>
        <v>0.97070739964914199</v>
      </c>
      <c r="BY2274" s="6">
        <f>IF(Grandview_Inventory[[#This Row],[pre_res]]&lt;0,0,Grandview_Inventory[[#This Row],[pre_res]]*Grandview_Inventory[[#This Row],[overall_adj]])</f>
        <v>346258.05808791693</v>
      </c>
      <c r="BZ2274" s="6">
        <f>(Grandview_Inventory[[#This Row],[sum_land]]-IF(Grandview_Inventory[[#This Row],[no_utilities]]=1,12000,0))/IF(Grandview_Inventory[[#This Row],[unbuildable]]=1,2,1)</f>
        <v>45695.532079096141</v>
      </c>
      <c r="CA227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74">
        <f>ROUND(Grandview_Inventory[[#This Row],[det_value]]*Lookups!$M$28,-2)</f>
        <v>0</v>
      </c>
      <c r="CC2274">
        <f>IF(ROUND(Grandview_Inventory[[#This Row],[adj_res]]*Lookups!$M$28,-2)&lt;Grandview_Inventory[[#This Row],[min_res]],Grandview_Inventory[[#This Row],[min_res]],ROUND(Grandview_Inventory[[#This Row],[adj_res]]*Lookups!$M$28,-2))</f>
        <v>328900</v>
      </c>
      <c r="CD2274">
        <f>Grandview_Inventory[[#This Row],[final_det]]+Grandview_Inventory[[#This Row],[final_res]]</f>
        <v>328900</v>
      </c>
      <c r="CE2274">
        <f>Grandview_Inventory[[#This Row],[final_land]]+Grandview_Inventory[[#This Row],[final_imp]]+Grandview_Inventory[[#This Row],[crop_value]]</f>
        <v>372300</v>
      </c>
      <c r="CG2274" t="str">
        <f t="shared" si="35"/>
        <v>update valuation set market_land =43400, market_bldg=328900, market_total =372300, market_mdno =401, market_date ='9/10/2023' where link_id = (select link_id from parcel where parcel_year = '2024' and parcel_id = '23092612429');</v>
      </c>
    </row>
    <row r="2275" spans="1:85" x14ac:dyDescent="0.25">
      <c r="A2275">
        <v>23092612430</v>
      </c>
      <c r="B2275">
        <v>0.19</v>
      </c>
      <c r="C2275">
        <v>8265</v>
      </c>
      <c r="D2275" t="s">
        <v>129</v>
      </c>
      <c r="E2275" t="s">
        <v>53</v>
      </c>
      <c r="F2275" t="s">
        <v>53</v>
      </c>
      <c r="G2275">
        <v>4</v>
      </c>
      <c r="H2275" t="s">
        <v>54</v>
      </c>
      <c r="I2275">
        <v>254300</v>
      </c>
      <c r="J2275">
        <v>40700</v>
      </c>
      <c r="K2275">
        <v>0.19</v>
      </c>
      <c r="L22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75">
        <v>0</v>
      </c>
      <c r="N2275">
        <v>0</v>
      </c>
      <c r="O2275">
        <v>0</v>
      </c>
      <c r="P2275">
        <v>13398.7528</v>
      </c>
      <c r="Q2275">
        <v>63903</v>
      </c>
      <c r="R2275">
        <f>(Grandview_Inventory[[#This Row],[ln_acres]]*Grandview_Inventory[[#This Row],[coeff]])+Grandview_Inventory[[#This Row],[const]]</f>
        <v>41651.273092551026</v>
      </c>
      <c r="S2275" t="s">
        <v>55</v>
      </c>
      <c r="T2275">
        <v>2</v>
      </c>
      <c r="U2275" t="s">
        <v>62</v>
      </c>
      <c r="V2275" t="s">
        <v>66</v>
      </c>
      <c r="W2275">
        <v>0</v>
      </c>
      <c r="X2275">
        <v>0</v>
      </c>
      <c r="Y2275">
        <v>14</v>
      </c>
      <c r="Z2275">
        <v>14</v>
      </c>
      <c r="AA2275">
        <v>20</v>
      </c>
      <c r="AB2275">
        <v>2000</v>
      </c>
      <c r="AC2275">
        <v>1707</v>
      </c>
      <c r="AD2275">
        <v>644</v>
      </c>
      <c r="AE2275">
        <v>1063</v>
      </c>
      <c r="AF2275">
        <v>0</v>
      </c>
      <c r="AG2275">
        <v>0</v>
      </c>
      <c r="AH2275">
        <v>0</v>
      </c>
      <c r="AI2275">
        <v>0</v>
      </c>
      <c r="AJ2275">
        <v>437</v>
      </c>
      <c r="AK2275">
        <v>0</v>
      </c>
      <c r="AL2275">
        <v>0</v>
      </c>
      <c r="AM2275">
        <v>117</v>
      </c>
      <c r="AN2275">
        <v>49</v>
      </c>
      <c r="AO2275">
        <v>0</v>
      </c>
      <c r="AP2275">
        <v>12</v>
      </c>
      <c r="AQ2275">
        <v>0</v>
      </c>
      <c r="AR2275">
        <v>0</v>
      </c>
      <c r="AS2275" t="s">
        <v>58</v>
      </c>
      <c r="AT2275">
        <v>1</v>
      </c>
      <c r="AU2275" t="s">
        <v>59</v>
      </c>
      <c r="AV2275" t="s">
        <v>60</v>
      </c>
      <c r="AW2275">
        <v>1</v>
      </c>
      <c r="AX2275">
        <v>4</v>
      </c>
      <c r="AY2275">
        <v>0</v>
      </c>
      <c r="AZ2275">
        <v>0</v>
      </c>
      <c r="BA2275">
        <v>100</v>
      </c>
      <c r="BB2275">
        <v>100</v>
      </c>
      <c r="BC2275">
        <v>100</v>
      </c>
      <c r="BD2275">
        <v>100</v>
      </c>
      <c r="BE2275">
        <v>1</v>
      </c>
      <c r="BF2275">
        <v>15000</v>
      </c>
      <c r="BG2275">
        <v>1000</v>
      </c>
      <c r="BH2275" s="6">
        <f>Grandview_Inventory[[#This Row],[land_extract]]*Lookups!$B$3</f>
        <v>48369.510983942157</v>
      </c>
      <c r="BI2275" s="6">
        <f>IF(Grandview_Inventory[[#This Row],[bldg_style]]="",0,Lookups!$B$2)</f>
        <v>155833.95000000001</v>
      </c>
      <c r="BJ2275" s="6">
        <f>_xlfn.IFNA(VLOOKUP(Grandview_Inventory[[#This Row],[quality]],Lookups!$H$2:$J$14,3,FALSE),0)</f>
        <v>9808</v>
      </c>
      <c r="BK2275" s="6">
        <f>_xlfn.IFNA(VLOOKUP(Grandview_Inventory[[#This Row],[condition]],Lookups!$H$17:$J$24,3,FALSE),0)</f>
        <v>25818</v>
      </c>
      <c r="BL2275" s="6">
        <f>Grandview_Inventory[[#This Row],[Eff_Age]]*Lookups!$B$14</f>
        <v>-3348.3323999999998</v>
      </c>
      <c r="BM2275" s="6">
        <f>Grandview_Inventory[[#This Row],[living_area]]*Lookups!$B$15</f>
        <v>106484.116071</v>
      </c>
      <c r="BN2275" s="6">
        <f>Grandview_Inventory[[#This Row],[Fin BSMT]]*Lookups!$B$16</f>
        <v>0</v>
      </c>
      <c r="BO2275" s="6">
        <f>(Grandview_Inventory[[#This Row],[att_gar]]+Grandview_Inventory[[#This Row],[bltin_gar]])*Lookups!$B$17</f>
        <v>38246.430969000001</v>
      </c>
      <c r="BP2275" s="6">
        <f>Grandview_Inventory[[#This Row],[Plumbing Fixtures]]*Lookups!$B$18</f>
        <v>24125.301599999999</v>
      </c>
      <c r="BQ2275" s="6">
        <f>Grandview_Inventory[[#This Row],[detatched_value]]*Lookups!$B$19</f>
        <v>0</v>
      </c>
      <c r="BR2275" s="6">
        <f>SUM(Grandview_Inventory[[#This Row],[Intercept]:[det_value]])*Grandview_Inventory[[#This Row],[res_pct]]</f>
        <v>356967.46623999998</v>
      </c>
      <c r="BS2275" s="6">
        <f>Grandview_Inventory[[#This Row],[land_value]]</f>
        <v>48369.510983942157</v>
      </c>
      <c r="BT2275" s="4">
        <f>_xlfn.IFNA(VLOOKUP(Grandview_Inventory[[#This Row],[quality]],Lookups!$A$26:$C$33,3,FALSE),1)</f>
        <v>0.94295468617355149</v>
      </c>
      <c r="BU2275" s="4">
        <f>_xlfn.IFNA(VLOOKUP(Grandview_Inventory[[#This Row],[condition]],Lookups!$A$37:$C$44,3,FALSE),1)</f>
        <v>0.96661476234146892</v>
      </c>
      <c r="BV2275" s="4">
        <f>IF(Grandview_Inventory[[#This Row],[bldg_style]]="",1,_xlfn.IFNA(VLOOKUP(Grandview_Inventory[[#This Row],[decade]],Lookups!$F$29:$H$43,3,FALSE),1))</f>
        <v>0.96737494181490646</v>
      </c>
      <c r="BW2275" s="4">
        <f>_xlfn.IFNA(VLOOKUP(Grandview_Inventory[[#This Row],[living_area_range]],Lookups!$F$47:$H$56,3,FALSE),1)</f>
        <v>0.96120133463014379</v>
      </c>
      <c r="BX2275" s="4">
        <f>AVERAGE(Grandview_Inventory[[#This Row],[qual_adj]:[size_adj]])</f>
        <v>0.95953643124001764</v>
      </c>
      <c r="BY2275" s="6">
        <f>IF(Grandview_Inventory[[#This Row],[pre_res]]&lt;0,0,Grandview_Inventory[[#This Row],[pre_res]]*Grandview_Inventory[[#This Row],[overall_adj]])</f>
        <v>342523.28862472106</v>
      </c>
      <c r="BZ2275" s="6">
        <f>(Grandview_Inventory[[#This Row],[sum_land]]-IF(Grandview_Inventory[[#This Row],[no_utilities]]=1,12000,0))/IF(Grandview_Inventory[[#This Row],[unbuildable]]=1,2,1)</f>
        <v>48369.510983942157</v>
      </c>
      <c r="CA22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75">
        <f>ROUND(Grandview_Inventory[[#This Row],[det_value]]*Lookups!$M$28,-2)</f>
        <v>0</v>
      </c>
      <c r="CC2275">
        <f>IF(ROUND(Grandview_Inventory[[#This Row],[adj_res]]*Lookups!$M$28,-2)&lt;Grandview_Inventory[[#This Row],[min_res]],Grandview_Inventory[[#This Row],[min_res]],ROUND(Grandview_Inventory[[#This Row],[adj_res]]*Lookups!$M$28,-2))</f>
        <v>325400</v>
      </c>
      <c r="CD2275">
        <f>Grandview_Inventory[[#This Row],[final_det]]+Grandview_Inventory[[#This Row],[final_res]]</f>
        <v>325400</v>
      </c>
      <c r="CE2275">
        <f>Grandview_Inventory[[#This Row],[final_land]]+Grandview_Inventory[[#This Row],[final_imp]]+Grandview_Inventory[[#This Row],[crop_value]]</f>
        <v>371400</v>
      </c>
      <c r="CG2275" t="str">
        <f t="shared" si="35"/>
        <v>update valuation set market_land =46000, market_bldg=325400, market_total =371400, market_mdno =401, market_date ='9/10/2023' where link_id = (select link_id from parcel where parcel_year = '2024' and parcel_id = '23092612430');</v>
      </c>
    </row>
    <row r="2276" spans="1:85" x14ac:dyDescent="0.25">
      <c r="A2276">
        <v>23092612431</v>
      </c>
      <c r="B2276">
        <v>0.21</v>
      </c>
      <c r="C2276">
        <v>9216</v>
      </c>
      <c r="D2276" t="s">
        <v>129</v>
      </c>
      <c r="E2276" t="s">
        <v>53</v>
      </c>
      <c r="F2276" t="s">
        <v>53</v>
      </c>
      <c r="G2276">
        <v>4</v>
      </c>
      <c r="H2276" t="s">
        <v>54</v>
      </c>
      <c r="I2276">
        <v>283300</v>
      </c>
      <c r="J2276">
        <v>45400</v>
      </c>
      <c r="K2276">
        <v>0.21</v>
      </c>
      <c r="L227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276">
        <v>0</v>
      </c>
      <c r="N2276">
        <v>0</v>
      </c>
      <c r="O2276">
        <v>0</v>
      </c>
      <c r="P2276">
        <v>13398.7528</v>
      </c>
      <c r="Q2276">
        <v>63903</v>
      </c>
      <c r="R2276">
        <f>(Grandview_Inventory[[#This Row],[ln_acres]]*Grandview_Inventory[[#This Row],[coeff]])+Grandview_Inventory[[#This Row],[const]]</f>
        <v>42992.266613125081</v>
      </c>
      <c r="S2276" t="s">
        <v>55</v>
      </c>
      <c r="T2276">
        <v>2</v>
      </c>
      <c r="U2276" t="s">
        <v>64</v>
      </c>
      <c r="V2276" t="s">
        <v>67</v>
      </c>
      <c r="W2276">
        <v>0</v>
      </c>
      <c r="X2276">
        <v>0</v>
      </c>
      <c r="Y2276">
        <v>14</v>
      </c>
      <c r="Z2276">
        <v>14</v>
      </c>
      <c r="AA2276">
        <v>20</v>
      </c>
      <c r="AB2276">
        <v>2500</v>
      </c>
      <c r="AC2276">
        <v>2030</v>
      </c>
      <c r="AD2276">
        <v>967</v>
      </c>
      <c r="AE2276">
        <v>1063</v>
      </c>
      <c r="AF2276">
        <v>0</v>
      </c>
      <c r="AG2276">
        <v>0</v>
      </c>
      <c r="AH2276">
        <v>0</v>
      </c>
      <c r="AI2276">
        <v>0</v>
      </c>
      <c r="AJ2276">
        <v>437</v>
      </c>
      <c r="AK2276">
        <v>0</v>
      </c>
      <c r="AL2276">
        <v>544</v>
      </c>
      <c r="AM2276">
        <v>162</v>
      </c>
      <c r="AN2276">
        <v>49</v>
      </c>
      <c r="AO2276">
        <v>0</v>
      </c>
      <c r="AP2276">
        <v>12</v>
      </c>
      <c r="AQ2276">
        <v>0</v>
      </c>
      <c r="AR2276">
        <v>0</v>
      </c>
      <c r="AS2276" t="s">
        <v>58</v>
      </c>
      <c r="AT2276">
        <v>1</v>
      </c>
      <c r="AU2276" t="s">
        <v>59</v>
      </c>
      <c r="AV2276" t="s">
        <v>60</v>
      </c>
      <c r="AW2276">
        <v>1</v>
      </c>
      <c r="AX2276">
        <v>4</v>
      </c>
      <c r="AY2276">
        <v>0</v>
      </c>
      <c r="AZ2276">
        <v>0</v>
      </c>
      <c r="BA2276">
        <v>100</v>
      </c>
      <c r="BB2276">
        <v>100</v>
      </c>
      <c r="BC2276">
        <v>100</v>
      </c>
      <c r="BD2276">
        <v>100</v>
      </c>
      <c r="BE2276">
        <v>1</v>
      </c>
      <c r="BF2276">
        <v>15000</v>
      </c>
      <c r="BG2276">
        <v>1000</v>
      </c>
      <c r="BH2276" s="6">
        <f>Grandview_Inventory[[#This Row],[land_extract]]*Lookups!$B$3</f>
        <v>49926.8031387023</v>
      </c>
      <c r="BI2276" s="6">
        <f>IF(Grandview_Inventory[[#This Row],[bldg_style]]="",0,Lookups!$B$2)</f>
        <v>155833.95000000001</v>
      </c>
      <c r="BJ2276" s="6">
        <f>_xlfn.IFNA(VLOOKUP(Grandview_Inventory[[#This Row],[quality]],Lookups!$H$2:$J$14,3,FALSE),0)</f>
        <v>20768</v>
      </c>
      <c r="BK2276" s="6">
        <f>_xlfn.IFNA(VLOOKUP(Grandview_Inventory[[#This Row],[condition]],Lookups!$H$17:$J$24,3,FALSE),0)</f>
        <v>22342</v>
      </c>
      <c r="BL2276" s="6">
        <f>Grandview_Inventory[[#This Row],[Eff_Age]]*Lookups!$B$14</f>
        <v>-3348.3323999999998</v>
      </c>
      <c r="BM2276" s="6">
        <f>Grandview_Inventory[[#This Row],[living_area]]*Lookups!$B$15</f>
        <v>126633.13159</v>
      </c>
      <c r="BN2276" s="6">
        <f>Grandview_Inventory[[#This Row],[Fin BSMT]]*Lookups!$B$16</f>
        <v>0</v>
      </c>
      <c r="BO2276" s="6">
        <f>(Grandview_Inventory[[#This Row],[att_gar]]+Grandview_Inventory[[#This Row],[bltin_gar]])*Lookups!$B$17</f>
        <v>38246.430969000001</v>
      </c>
      <c r="BP2276" s="6">
        <f>Grandview_Inventory[[#This Row],[Plumbing Fixtures]]*Lookups!$B$18</f>
        <v>24125.301599999999</v>
      </c>
      <c r="BQ2276" s="6">
        <f>Grandview_Inventory[[#This Row],[detatched_value]]*Lookups!$B$19</f>
        <v>0</v>
      </c>
      <c r="BR2276" s="6">
        <f>SUM(Grandview_Inventory[[#This Row],[Intercept]:[det_value]])*Grandview_Inventory[[#This Row],[res_pct]]</f>
        <v>384600.48175899999</v>
      </c>
      <c r="BS2276" s="6">
        <f>Grandview_Inventory[[#This Row],[land_value]]</f>
        <v>49926.8031387023</v>
      </c>
      <c r="BT2276" s="4">
        <f>_xlfn.IFNA(VLOOKUP(Grandview_Inventory[[#This Row],[quality]],Lookups!$A$26:$C$33,3,FALSE),1)</f>
        <v>0.94960540378902636</v>
      </c>
      <c r="BU2276" s="4">
        <f>_xlfn.IFNA(VLOOKUP(Grandview_Inventory[[#This Row],[condition]],Lookups!$A$37:$C$44,3,FALSE),1)</f>
        <v>0.97383723671140243</v>
      </c>
      <c r="BV2276" s="4">
        <f>IF(Grandview_Inventory[[#This Row],[bldg_style]]="",1,_xlfn.IFNA(VLOOKUP(Grandview_Inventory[[#This Row],[decade]],Lookups!$F$29:$H$43,3,FALSE),1))</f>
        <v>0.96737494181490646</v>
      </c>
      <c r="BW2276" s="4">
        <f>_xlfn.IFNA(VLOOKUP(Grandview_Inventory[[#This Row],[living_area_range]],Lookups!$F$47:$H$56,3,FALSE),1)</f>
        <v>0.95799442568048754</v>
      </c>
      <c r="BX2276" s="4">
        <f>AVERAGE(Grandview_Inventory[[#This Row],[qual_adj]:[size_adj]])</f>
        <v>0.9622030019989557</v>
      </c>
      <c r="BY2276" s="6">
        <f>IF(Grandview_Inventory[[#This Row],[pre_res]]&lt;0,0,Grandview_Inventory[[#This Row],[pre_res]]*Grandview_Inventory[[#This Row],[overall_adj]])</f>
        <v>370063.73811875441</v>
      </c>
      <c r="BZ2276" s="6">
        <f>(Grandview_Inventory[[#This Row],[sum_land]]-IF(Grandview_Inventory[[#This Row],[no_utilities]]=1,12000,0))/IF(Grandview_Inventory[[#This Row],[unbuildable]]=1,2,1)</f>
        <v>49926.8031387023</v>
      </c>
      <c r="CA2276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276">
        <f>ROUND(Grandview_Inventory[[#This Row],[det_value]]*Lookups!$M$28,-2)</f>
        <v>0</v>
      </c>
      <c r="CC2276">
        <f>IF(ROUND(Grandview_Inventory[[#This Row],[adj_res]]*Lookups!$M$28,-2)&lt;Grandview_Inventory[[#This Row],[min_res]],Grandview_Inventory[[#This Row],[min_res]],ROUND(Grandview_Inventory[[#This Row],[adj_res]]*Lookups!$M$28,-2))</f>
        <v>351600</v>
      </c>
      <c r="CD2276">
        <f>Grandview_Inventory[[#This Row],[final_det]]+Grandview_Inventory[[#This Row],[final_res]]</f>
        <v>351600</v>
      </c>
      <c r="CE2276">
        <f>Grandview_Inventory[[#This Row],[final_land]]+Grandview_Inventory[[#This Row],[final_imp]]+Grandview_Inventory[[#This Row],[crop_value]]</f>
        <v>399000</v>
      </c>
      <c r="CG2276" t="str">
        <f t="shared" si="35"/>
        <v>update valuation set market_land =47400, market_bldg=351600, market_total =399000, market_mdno =401, market_date ='9/10/2023' where link_id = (select link_id from parcel where parcel_year = '2024' and parcel_id = '23092612431');</v>
      </c>
    </row>
    <row r="2277" spans="1:85" x14ac:dyDescent="0.25">
      <c r="A2277">
        <v>23092612432</v>
      </c>
      <c r="B2277">
        <v>0.23</v>
      </c>
      <c r="C2277">
        <v>9859</v>
      </c>
      <c r="D2277" t="s">
        <v>129</v>
      </c>
      <c r="E2277" t="s">
        <v>53</v>
      </c>
      <c r="F2277" t="s">
        <v>53</v>
      </c>
      <c r="G2277">
        <v>4</v>
      </c>
      <c r="H2277" t="s">
        <v>54</v>
      </c>
      <c r="I2277">
        <v>194100</v>
      </c>
      <c r="J2277">
        <v>41100</v>
      </c>
      <c r="K2277">
        <v>0.23</v>
      </c>
      <c r="L227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277">
        <v>0</v>
      </c>
      <c r="N2277">
        <v>0</v>
      </c>
      <c r="O2277">
        <v>0</v>
      </c>
      <c r="P2277">
        <v>13398.7528</v>
      </c>
      <c r="Q2277">
        <v>63903</v>
      </c>
      <c r="R2277">
        <f>(Grandview_Inventory[[#This Row],[ln_acres]]*Grandview_Inventory[[#This Row],[coeff]])+Grandview_Inventory[[#This Row],[const]]</f>
        <v>44211.174981080039</v>
      </c>
      <c r="S2277" t="s">
        <v>61</v>
      </c>
      <c r="T2277">
        <v>1</v>
      </c>
      <c r="U2277" t="s">
        <v>62</v>
      </c>
      <c r="V2277" t="s">
        <v>69</v>
      </c>
      <c r="W2277">
        <v>0</v>
      </c>
      <c r="X2277">
        <v>0</v>
      </c>
      <c r="Y2277">
        <v>16</v>
      </c>
      <c r="Z2277">
        <v>16</v>
      </c>
      <c r="AA2277">
        <v>20</v>
      </c>
      <c r="AB2277">
        <v>2000</v>
      </c>
      <c r="AC2277">
        <v>1585</v>
      </c>
      <c r="AD2277">
        <v>1585</v>
      </c>
      <c r="AE2277">
        <v>0</v>
      </c>
      <c r="AF2277">
        <v>0</v>
      </c>
      <c r="AG2277">
        <v>0</v>
      </c>
      <c r="AH2277">
        <v>0</v>
      </c>
      <c r="AI2277">
        <v>444</v>
      </c>
      <c r="AJ2277">
        <v>0</v>
      </c>
      <c r="AK2277">
        <v>0</v>
      </c>
      <c r="AL2277">
        <v>0</v>
      </c>
      <c r="AM2277">
        <v>144</v>
      </c>
      <c r="AN2277">
        <v>68</v>
      </c>
      <c r="AO2277">
        <v>0</v>
      </c>
      <c r="AP2277">
        <v>8</v>
      </c>
      <c r="AQ2277">
        <v>0</v>
      </c>
      <c r="AR2277">
        <v>0</v>
      </c>
      <c r="AS2277" t="s">
        <v>58</v>
      </c>
      <c r="AT2277">
        <v>1</v>
      </c>
      <c r="AU2277" t="s">
        <v>63</v>
      </c>
      <c r="AV2277" t="s">
        <v>64</v>
      </c>
      <c r="AW2277">
        <v>1</v>
      </c>
      <c r="AX2277">
        <v>3</v>
      </c>
      <c r="AY2277">
        <v>0</v>
      </c>
      <c r="AZ2277">
        <v>0</v>
      </c>
      <c r="BA2277">
        <v>100</v>
      </c>
      <c r="BB2277">
        <v>100</v>
      </c>
      <c r="BC2277">
        <v>100</v>
      </c>
      <c r="BD2277">
        <v>100</v>
      </c>
      <c r="BE2277">
        <v>1</v>
      </c>
      <c r="BF2277">
        <v>15000</v>
      </c>
      <c r="BG2277">
        <v>1000</v>
      </c>
      <c r="BH2277" s="6">
        <f>Grandview_Inventory[[#This Row],[land_extract]]*Lookups!$B$3</f>
        <v>51342.318135355803</v>
      </c>
      <c r="BI2277" s="6">
        <f>IF(Grandview_Inventory[[#This Row],[bldg_style]]="",0,Lookups!$B$2)</f>
        <v>155833.95000000001</v>
      </c>
      <c r="BJ2277" s="6">
        <f>_xlfn.IFNA(VLOOKUP(Grandview_Inventory[[#This Row],[quality]],Lookups!$H$2:$J$14,3,FALSE),0)</f>
        <v>9808</v>
      </c>
      <c r="BK2277" s="6">
        <f>_xlfn.IFNA(VLOOKUP(Grandview_Inventory[[#This Row],[condition]],Lookups!$H$17:$J$24,3,FALSE),0)</f>
        <v>-4503</v>
      </c>
      <c r="BL2277" s="6">
        <f>Grandview_Inventory[[#This Row],[Eff_Age]]*Lookups!$B$14</f>
        <v>-3826.6655999999998</v>
      </c>
      <c r="BM2277" s="6">
        <f>Grandview_Inventory[[#This Row],[living_area]]*Lookups!$B$15</f>
        <v>98873.652004999996</v>
      </c>
      <c r="BN2277" s="6">
        <f>Grandview_Inventory[[#This Row],[Fin BSMT]]*Lookups!$B$16</f>
        <v>0</v>
      </c>
      <c r="BO2277" s="6">
        <f>(Grandview_Inventory[[#This Row],[att_gar]]+Grandview_Inventory[[#This Row],[bltin_gar]])*Lookups!$B$17</f>
        <v>38859.074028000003</v>
      </c>
      <c r="BP2277" s="6">
        <f>Grandview_Inventory[[#This Row],[Plumbing Fixtures]]*Lookups!$B$18</f>
        <v>16083.5344</v>
      </c>
      <c r="BQ2277" s="6">
        <f>Grandview_Inventory[[#This Row],[detatched_value]]*Lookups!$B$19</f>
        <v>0</v>
      </c>
      <c r="BR2277" s="6">
        <f>SUM(Grandview_Inventory[[#This Row],[Intercept]:[det_value]])*Grandview_Inventory[[#This Row],[res_pct]]</f>
        <v>311128.54483299999</v>
      </c>
      <c r="BS2277" s="6">
        <f>Grandview_Inventory[[#This Row],[land_value]]</f>
        <v>51342.318135355803</v>
      </c>
      <c r="BT2277" s="4">
        <f>_xlfn.IFNA(VLOOKUP(Grandview_Inventory[[#This Row],[quality]],Lookups!$A$26:$C$33,3,FALSE),1)</f>
        <v>0.94295468617355149</v>
      </c>
      <c r="BU2277" s="4">
        <f>_xlfn.IFNA(VLOOKUP(Grandview_Inventory[[#This Row],[condition]],Lookups!$A$37:$C$44,3,FALSE),1)</f>
        <v>0.96469275950863709</v>
      </c>
      <c r="BV2277" s="4">
        <f>IF(Grandview_Inventory[[#This Row],[bldg_style]]="",1,_xlfn.IFNA(VLOOKUP(Grandview_Inventory[[#This Row],[decade]],Lookups!$F$29:$H$43,3,FALSE),1))</f>
        <v>0.96737494181490646</v>
      </c>
      <c r="BW2277" s="4">
        <f>_xlfn.IFNA(VLOOKUP(Grandview_Inventory[[#This Row],[living_area_range]],Lookups!$F$47:$H$56,3,FALSE),1)</f>
        <v>0.96120133463014379</v>
      </c>
      <c r="BX2277" s="4">
        <f>AVERAGE(Grandview_Inventory[[#This Row],[qual_adj]:[size_adj]])</f>
        <v>0.95905593053180982</v>
      </c>
      <c r="BY2277" s="6">
        <f>IF(Grandview_Inventory[[#This Row],[pre_res]]&lt;0,0,Grandview_Inventory[[#This Row],[pre_res]]*Grandview_Inventory[[#This Row],[overall_adj]])</f>
        <v>298389.67607982073</v>
      </c>
      <c r="BZ2277" s="6">
        <f>(Grandview_Inventory[[#This Row],[sum_land]]-IF(Grandview_Inventory[[#This Row],[no_utilities]]=1,12000,0))/IF(Grandview_Inventory[[#This Row],[unbuildable]]=1,2,1)</f>
        <v>51342.318135355803</v>
      </c>
      <c r="CA227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277">
        <f>ROUND(Grandview_Inventory[[#This Row],[det_value]]*Lookups!$M$28,-2)</f>
        <v>0</v>
      </c>
      <c r="CC2277">
        <f>IF(ROUND(Grandview_Inventory[[#This Row],[adj_res]]*Lookups!$M$28,-2)&lt;Grandview_Inventory[[#This Row],[min_res]],Grandview_Inventory[[#This Row],[min_res]],ROUND(Grandview_Inventory[[#This Row],[adj_res]]*Lookups!$M$28,-2))</f>
        <v>283500</v>
      </c>
      <c r="CD2277">
        <f>Grandview_Inventory[[#This Row],[final_det]]+Grandview_Inventory[[#This Row],[final_res]]</f>
        <v>283500</v>
      </c>
      <c r="CE2277">
        <f>Grandview_Inventory[[#This Row],[final_land]]+Grandview_Inventory[[#This Row],[final_imp]]+Grandview_Inventory[[#This Row],[crop_value]]</f>
        <v>332300</v>
      </c>
      <c r="CG2277" t="str">
        <f t="shared" si="35"/>
        <v>update valuation set market_land =48800, market_bldg=283500, market_total =332300, market_mdno =401, market_date ='9/10/2023' where link_id = (select link_id from parcel where parcel_year = '2024' and parcel_id = '23092612432');</v>
      </c>
    </row>
    <row r="2278" spans="1:85" x14ac:dyDescent="0.25">
      <c r="A2278">
        <v>23092612433</v>
      </c>
      <c r="B2278">
        <v>0.16</v>
      </c>
      <c r="C2278">
        <v>7067</v>
      </c>
      <c r="D2278" t="s">
        <v>129</v>
      </c>
      <c r="E2278" t="s">
        <v>53</v>
      </c>
      <c r="F2278" t="s">
        <v>53</v>
      </c>
      <c r="G2278">
        <v>4</v>
      </c>
      <c r="H2278" t="s">
        <v>54</v>
      </c>
      <c r="I2278">
        <v>215400</v>
      </c>
      <c r="J2278">
        <v>40200</v>
      </c>
      <c r="K2278">
        <v>0.16</v>
      </c>
      <c r="L2278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78">
        <v>0</v>
      </c>
      <c r="N2278">
        <v>0</v>
      </c>
      <c r="O2278">
        <v>0</v>
      </c>
      <c r="P2278">
        <v>13398.7528</v>
      </c>
      <c r="Q2278">
        <v>63903</v>
      </c>
      <c r="R2278">
        <f>(Grandview_Inventory[[#This Row],[ln_acres]]*Grandview_Inventory[[#This Row],[coeff]])+Grandview_Inventory[[#This Row],[const]]</f>
        <v>39348.693981374228</v>
      </c>
      <c r="S2278" t="s">
        <v>61</v>
      </c>
      <c r="T2278">
        <v>1</v>
      </c>
      <c r="U2278" t="s">
        <v>62</v>
      </c>
      <c r="V2278" t="s">
        <v>67</v>
      </c>
      <c r="W2278">
        <v>0</v>
      </c>
      <c r="X2278">
        <v>0</v>
      </c>
      <c r="Y2278">
        <v>16</v>
      </c>
      <c r="Z2278">
        <v>16</v>
      </c>
      <c r="AA2278">
        <v>20</v>
      </c>
      <c r="AB2278">
        <v>1500</v>
      </c>
      <c r="AC2278">
        <v>1257</v>
      </c>
      <c r="AD2278">
        <v>1257</v>
      </c>
      <c r="AE2278">
        <v>0</v>
      </c>
      <c r="AF2278">
        <v>0</v>
      </c>
      <c r="AG2278">
        <v>0</v>
      </c>
      <c r="AH2278">
        <v>0</v>
      </c>
      <c r="AI2278">
        <v>418</v>
      </c>
      <c r="AJ2278">
        <v>0</v>
      </c>
      <c r="AK2278">
        <v>0</v>
      </c>
      <c r="AL2278">
        <v>0</v>
      </c>
      <c r="AM2278">
        <v>100</v>
      </c>
      <c r="AN2278">
        <v>34</v>
      </c>
      <c r="AO2278">
        <v>0</v>
      </c>
      <c r="AP2278">
        <v>9</v>
      </c>
      <c r="AQ2278">
        <v>0</v>
      </c>
      <c r="AR2278">
        <v>0</v>
      </c>
      <c r="AS2278" t="s">
        <v>58</v>
      </c>
      <c r="AT2278">
        <v>1</v>
      </c>
      <c r="AU2278" t="s">
        <v>63</v>
      </c>
      <c r="AV2278" t="s">
        <v>64</v>
      </c>
      <c r="AW2278">
        <v>1</v>
      </c>
      <c r="AX2278">
        <v>3</v>
      </c>
      <c r="AY2278">
        <v>0</v>
      </c>
      <c r="AZ2278">
        <v>0</v>
      </c>
      <c r="BA2278">
        <v>100</v>
      </c>
      <c r="BB2278">
        <v>100</v>
      </c>
      <c r="BC2278">
        <v>100</v>
      </c>
      <c r="BD2278">
        <v>100</v>
      </c>
      <c r="BE2278">
        <v>1</v>
      </c>
      <c r="BF2278">
        <v>15000</v>
      </c>
      <c r="BG2278">
        <v>1000</v>
      </c>
      <c r="BH2278" s="6">
        <f>Grandview_Inventory[[#This Row],[land_extract]]*Lookups!$B$3</f>
        <v>45695.532079096141</v>
      </c>
      <c r="BI2278" s="6">
        <f>IF(Grandview_Inventory[[#This Row],[bldg_style]]="",0,Lookups!$B$2)</f>
        <v>155833.95000000001</v>
      </c>
      <c r="BJ2278" s="6">
        <f>_xlfn.IFNA(VLOOKUP(Grandview_Inventory[[#This Row],[quality]],Lookups!$H$2:$J$14,3,FALSE),0)</f>
        <v>9808</v>
      </c>
      <c r="BK2278" s="6">
        <f>_xlfn.IFNA(VLOOKUP(Grandview_Inventory[[#This Row],[condition]],Lookups!$H$17:$J$24,3,FALSE),0)</f>
        <v>22342</v>
      </c>
      <c r="BL2278" s="6">
        <f>Grandview_Inventory[[#This Row],[Eff_Age]]*Lookups!$B$14</f>
        <v>-3826.6655999999998</v>
      </c>
      <c r="BM2278" s="6">
        <f>Grandview_Inventory[[#This Row],[living_area]]*Lookups!$B$15</f>
        <v>78412.732220999998</v>
      </c>
      <c r="BN2278" s="6">
        <f>Grandview_Inventory[[#This Row],[Fin BSMT]]*Lookups!$B$16</f>
        <v>0</v>
      </c>
      <c r="BO2278" s="6">
        <f>(Grandview_Inventory[[#This Row],[att_gar]]+Grandview_Inventory[[#This Row],[bltin_gar]])*Lookups!$B$17</f>
        <v>36583.542666000001</v>
      </c>
      <c r="BP2278" s="6">
        <f>Grandview_Inventory[[#This Row],[Plumbing Fixtures]]*Lookups!$B$18</f>
        <v>18093.976200000001</v>
      </c>
      <c r="BQ2278" s="6">
        <f>Grandview_Inventory[[#This Row],[detatched_value]]*Lookups!$B$19</f>
        <v>0</v>
      </c>
      <c r="BR2278" s="6">
        <f>SUM(Grandview_Inventory[[#This Row],[Intercept]:[det_value]])*Grandview_Inventory[[#This Row],[res_pct]]</f>
        <v>317247.53548700002</v>
      </c>
      <c r="BS2278" s="6">
        <f>Grandview_Inventory[[#This Row],[land_value]]</f>
        <v>45695.532079096141</v>
      </c>
      <c r="BT2278" s="4">
        <f>_xlfn.IFNA(VLOOKUP(Grandview_Inventory[[#This Row],[quality]],Lookups!$A$26:$C$33,3,FALSE),1)</f>
        <v>0.94295468617355149</v>
      </c>
      <c r="BU2278" s="4">
        <f>_xlfn.IFNA(VLOOKUP(Grandview_Inventory[[#This Row],[condition]],Lookups!$A$37:$C$44,3,FALSE),1)</f>
        <v>0.97383723671140243</v>
      </c>
      <c r="BV2278" s="4">
        <f>IF(Grandview_Inventory[[#This Row],[bldg_style]]="",1,_xlfn.IFNA(VLOOKUP(Grandview_Inventory[[#This Row],[decade]],Lookups!$F$29:$H$43,3,FALSE),1))</f>
        <v>0.96737494181490646</v>
      </c>
      <c r="BW2278" s="4">
        <f>_xlfn.IFNA(VLOOKUP(Grandview_Inventory[[#This Row],[living_area_range]],Lookups!$F$47:$H$56,3,FALSE),1)</f>
        <v>0.96135087979789358</v>
      </c>
      <c r="BX2278" s="4">
        <f>AVERAGE(Grandview_Inventory[[#This Row],[qual_adj]:[size_adj]])</f>
        <v>0.96137943612443855</v>
      </c>
      <c r="BY2278" s="6">
        <f>IF(Grandview_Inventory[[#This Row],[pre_res]]&lt;0,0,Grandview_Inventory[[#This Row],[pre_res]]*Grandview_Inventory[[#This Row],[overall_adj]])</f>
        <v>304995.25677835988</v>
      </c>
      <c r="BZ2278" s="6">
        <f>(Grandview_Inventory[[#This Row],[sum_land]]-IF(Grandview_Inventory[[#This Row],[no_utilities]]=1,12000,0))/IF(Grandview_Inventory[[#This Row],[unbuildable]]=1,2,1)</f>
        <v>45695.532079096141</v>
      </c>
      <c r="CA2278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78">
        <f>ROUND(Grandview_Inventory[[#This Row],[det_value]]*Lookups!$M$28,-2)</f>
        <v>0</v>
      </c>
      <c r="CC2278">
        <f>IF(ROUND(Grandview_Inventory[[#This Row],[adj_res]]*Lookups!$M$28,-2)&lt;Grandview_Inventory[[#This Row],[min_res]],Grandview_Inventory[[#This Row],[min_res]],ROUND(Grandview_Inventory[[#This Row],[adj_res]]*Lookups!$M$28,-2))</f>
        <v>289700</v>
      </c>
      <c r="CD2278">
        <f>Grandview_Inventory[[#This Row],[final_det]]+Grandview_Inventory[[#This Row],[final_res]]</f>
        <v>289700</v>
      </c>
      <c r="CE2278">
        <f>Grandview_Inventory[[#This Row],[final_land]]+Grandview_Inventory[[#This Row],[final_imp]]+Grandview_Inventory[[#This Row],[crop_value]]</f>
        <v>333100</v>
      </c>
      <c r="CG2278" t="str">
        <f t="shared" si="35"/>
        <v>update valuation set market_land =43400, market_bldg=289700, market_total =333100, market_mdno =401, market_date ='9/10/2023' where link_id = (select link_id from parcel where parcel_year = '2024' and parcel_id = '23092612433');</v>
      </c>
    </row>
    <row r="2279" spans="1:85" x14ac:dyDescent="0.25">
      <c r="A2279">
        <v>23092612434</v>
      </c>
      <c r="B2279">
        <v>0.17</v>
      </c>
      <c r="C2279">
        <v>7393</v>
      </c>
      <c r="D2279" t="s">
        <v>129</v>
      </c>
      <c r="E2279" t="s">
        <v>53</v>
      </c>
      <c r="F2279" t="s">
        <v>53</v>
      </c>
      <c r="G2279">
        <v>4</v>
      </c>
      <c r="H2279" t="s">
        <v>54</v>
      </c>
      <c r="I2279">
        <v>240700</v>
      </c>
      <c r="J2279">
        <v>38800</v>
      </c>
      <c r="K2279">
        <v>0.17</v>
      </c>
      <c r="L227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79">
        <v>0</v>
      </c>
      <c r="N2279">
        <v>0</v>
      </c>
      <c r="O2279">
        <v>0</v>
      </c>
      <c r="P2279">
        <v>13398.7528</v>
      </c>
      <c r="Q2279">
        <v>63903</v>
      </c>
      <c r="R2279">
        <f>(Grandview_Inventory[[#This Row],[ln_acres]]*Grandview_Inventory[[#This Row],[coeff]])+Grandview_Inventory[[#This Row],[const]]</f>
        <v>40160.988302686128</v>
      </c>
      <c r="S2279" t="s">
        <v>55</v>
      </c>
      <c r="T2279">
        <v>2</v>
      </c>
      <c r="U2279" t="s">
        <v>62</v>
      </c>
      <c r="V2279" t="s">
        <v>66</v>
      </c>
      <c r="W2279">
        <v>0</v>
      </c>
      <c r="X2279">
        <v>0</v>
      </c>
      <c r="Y2279">
        <v>15</v>
      </c>
      <c r="Z2279">
        <v>15</v>
      </c>
      <c r="AA2279">
        <v>20</v>
      </c>
      <c r="AB2279">
        <v>2000</v>
      </c>
      <c r="AC2279">
        <v>1622</v>
      </c>
      <c r="AD2279">
        <v>920</v>
      </c>
      <c r="AE2279">
        <v>702</v>
      </c>
      <c r="AF2279">
        <v>0</v>
      </c>
      <c r="AG2279">
        <v>0</v>
      </c>
      <c r="AH2279">
        <v>0</v>
      </c>
      <c r="AI2279">
        <v>400</v>
      </c>
      <c r="AJ2279">
        <v>0</v>
      </c>
      <c r="AK2279">
        <v>0</v>
      </c>
      <c r="AL2279">
        <v>0</v>
      </c>
      <c r="AM2279">
        <v>304</v>
      </c>
      <c r="AN2279">
        <v>88</v>
      </c>
      <c r="AO2279">
        <v>0</v>
      </c>
      <c r="AP2279">
        <v>8</v>
      </c>
      <c r="AQ2279">
        <v>0</v>
      </c>
      <c r="AR2279">
        <v>0</v>
      </c>
      <c r="AS2279" t="s">
        <v>58</v>
      </c>
      <c r="AT2279">
        <v>1</v>
      </c>
      <c r="AU2279" t="s">
        <v>63</v>
      </c>
      <c r="AV2279" t="s">
        <v>64</v>
      </c>
      <c r="AW2279">
        <v>1</v>
      </c>
      <c r="AX2279">
        <v>4</v>
      </c>
      <c r="AY2279">
        <v>0</v>
      </c>
      <c r="AZ2279">
        <v>0</v>
      </c>
      <c r="BA2279">
        <v>100</v>
      </c>
      <c r="BB2279">
        <v>100</v>
      </c>
      <c r="BC2279">
        <v>100</v>
      </c>
      <c r="BD2279">
        <v>100</v>
      </c>
      <c r="BE2279">
        <v>1</v>
      </c>
      <c r="BF2279">
        <v>15000</v>
      </c>
      <c r="BG2279">
        <v>1000</v>
      </c>
      <c r="BH2279" s="6">
        <f>Grandview_Inventory[[#This Row],[land_extract]]*Lookups!$B$3</f>
        <v>46638.847281240982</v>
      </c>
      <c r="BI2279" s="6">
        <f>IF(Grandview_Inventory[[#This Row],[bldg_style]]="",0,Lookups!$B$2)</f>
        <v>155833.95000000001</v>
      </c>
      <c r="BJ2279" s="6">
        <f>_xlfn.IFNA(VLOOKUP(Grandview_Inventory[[#This Row],[quality]],Lookups!$H$2:$J$14,3,FALSE),0)</f>
        <v>9808</v>
      </c>
      <c r="BK2279" s="6">
        <f>_xlfn.IFNA(VLOOKUP(Grandview_Inventory[[#This Row],[condition]],Lookups!$H$17:$J$24,3,FALSE),0)</f>
        <v>25818</v>
      </c>
      <c r="BL2279" s="6">
        <f>Grandview_Inventory[[#This Row],[Eff_Age]]*Lookups!$B$14</f>
        <v>-3587.4989999999998</v>
      </c>
      <c r="BM2279" s="6">
        <f>Grandview_Inventory[[#This Row],[living_area]]*Lookups!$B$15</f>
        <v>101181.743566</v>
      </c>
      <c r="BN2279" s="6">
        <f>Grandview_Inventory[[#This Row],[Fin BSMT]]*Lookups!$B$16</f>
        <v>0</v>
      </c>
      <c r="BO2279" s="6">
        <f>(Grandview_Inventory[[#This Row],[att_gar]]+Grandview_Inventory[[#This Row],[bltin_gar]])*Lookups!$B$17</f>
        <v>35008.174800000001</v>
      </c>
      <c r="BP2279" s="6">
        <f>Grandview_Inventory[[#This Row],[Plumbing Fixtures]]*Lookups!$B$18</f>
        <v>16083.5344</v>
      </c>
      <c r="BQ2279" s="6">
        <f>Grandview_Inventory[[#This Row],[detatched_value]]*Lookups!$B$19</f>
        <v>0</v>
      </c>
      <c r="BR2279" s="6">
        <f>SUM(Grandview_Inventory[[#This Row],[Intercept]:[det_value]])*Grandview_Inventory[[#This Row],[res_pct]]</f>
        <v>340145.903766</v>
      </c>
      <c r="BS2279" s="6">
        <f>Grandview_Inventory[[#This Row],[land_value]]</f>
        <v>46638.847281240982</v>
      </c>
      <c r="BT2279" s="4">
        <f>_xlfn.IFNA(VLOOKUP(Grandview_Inventory[[#This Row],[quality]],Lookups!$A$26:$C$33,3,FALSE),1)</f>
        <v>0.94295468617355149</v>
      </c>
      <c r="BU2279" s="4">
        <f>_xlfn.IFNA(VLOOKUP(Grandview_Inventory[[#This Row],[condition]],Lookups!$A$37:$C$44,3,FALSE),1)</f>
        <v>0.96661476234146892</v>
      </c>
      <c r="BV2279" s="4">
        <f>IF(Grandview_Inventory[[#This Row],[bldg_style]]="",1,_xlfn.IFNA(VLOOKUP(Grandview_Inventory[[#This Row],[decade]],Lookups!$F$29:$H$43,3,FALSE),1))</f>
        <v>0.96737494181490646</v>
      </c>
      <c r="BW2279" s="4">
        <f>_xlfn.IFNA(VLOOKUP(Grandview_Inventory[[#This Row],[living_area_range]],Lookups!$F$47:$H$56,3,FALSE),1)</f>
        <v>0.96120133463014379</v>
      </c>
      <c r="BX2279" s="4">
        <f>AVERAGE(Grandview_Inventory[[#This Row],[qual_adj]:[size_adj]])</f>
        <v>0.95953643124001764</v>
      </c>
      <c r="BY2279" s="6">
        <f>IF(Grandview_Inventory[[#This Row],[pre_res]]&lt;0,0,Grandview_Inventory[[#This Row],[pre_res]]*Grandview_Inventory[[#This Row],[overall_adj]])</f>
        <v>326382.3866005381</v>
      </c>
      <c r="BZ2279" s="6">
        <f>(Grandview_Inventory[[#This Row],[sum_land]]-IF(Grandview_Inventory[[#This Row],[no_utilities]]=1,12000,0))/IF(Grandview_Inventory[[#This Row],[unbuildable]]=1,2,1)</f>
        <v>46638.847281240982</v>
      </c>
      <c r="CA227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79">
        <f>ROUND(Grandview_Inventory[[#This Row],[det_value]]*Lookups!$M$28,-2)</f>
        <v>0</v>
      </c>
      <c r="CC2279">
        <f>IF(ROUND(Grandview_Inventory[[#This Row],[adj_res]]*Lookups!$M$28,-2)&lt;Grandview_Inventory[[#This Row],[min_res]],Grandview_Inventory[[#This Row],[min_res]],ROUND(Grandview_Inventory[[#This Row],[adj_res]]*Lookups!$M$28,-2))</f>
        <v>310100</v>
      </c>
      <c r="CD2279">
        <f>Grandview_Inventory[[#This Row],[final_det]]+Grandview_Inventory[[#This Row],[final_res]]</f>
        <v>310100</v>
      </c>
      <c r="CE2279">
        <f>Grandview_Inventory[[#This Row],[final_land]]+Grandview_Inventory[[#This Row],[final_imp]]+Grandview_Inventory[[#This Row],[crop_value]]</f>
        <v>354400</v>
      </c>
      <c r="CG2279" t="str">
        <f t="shared" si="35"/>
        <v>update valuation set market_land =44300, market_bldg=310100, market_total =354400, market_mdno =401, market_date ='9/10/2023' where link_id = (select link_id from parcel where parcel_year = '2024' and parcel_id = '23092612434');</v>
      </c>
    </row>
    <row r="2280" spans="1:85" x14ac:dyDescent="0.25">
      <c r="A2280">
        <v>23092612435</v>
      </c>
      <c r="B2280">
        <v>0.15</v>
      </c>
      <c r="C2280">
        <v>6417</v>
      </c>
      <c r="D2280" t="s">
        <v>129</v>
      </c>
      <c r="E2280" t="s">
        <v>53</v>
      </c>
      <c r="F2280" t="s">
        <v>53</v>
      </c>
      <c r="G2280">
        <v>4</v>
      </c>
      <c r="H2280" t="s">
        <v>54</v>
      </c>
      <c r="I2280">
        <v>263700</v>
      </c>
      <c r="J2280">
        <v>38300</v>
      </c>
      <c r="K2280">
        <v>0.15</v>
      </c>
      <c r="L2280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280">
        <v>0</v>
      </c>
      <c r="N2280">
        <v>0</v>
      </c>
      <c r="O2280">
        <v>0</v>
      </c>
      <c r="P2280">
        <v>13398.7528</v>
      </c>
      <c r="Q2280">
        <v>63903</v>
      </c>
      <c r="R2280">
        <f>(Grandview_Inventory[[#This Row],[ln_acres]]*Grandview_Inventory[[#This Row],[coeff]])+Grandview_Inventory[[#This Row],[const]]</f>
        <v>38483.958290574345</v>
      </c>
      <c r="S2280" t="s">
        <v>55</v>
      </c>
      <c r="T2280">
        <v>2</v>
      </c>
      <c r="U2280" t="s">
        <v>62</v>
      </c>
      <c r="V2280" t="s">
        <v>66</v>
      </c>
      <c r="W2280">
        <v>0</v>
      </c>
      <c r="X2280">
        <v>0</v>
      </c>
      <c r="Y2280">
        <v>15</v>
      </c>
      <c r="Z2280">
        <v>15</v>
      </c>
      <c r="AA2280">
        <v>20</v>
      </c>
      <c r="AB2280">
        <v>2000</v>
      </c>
      <c r="AC2280">
        <v>1860</v>
      </c>
      <c r="AD2280">
        <v>1080</v>
      </c>
      <c r="AE2280">
        <v>780</v>
      </c>
      <c r="AF2280">
        <v>0</v>
      </c>
      <c r="AG2280">
        <v>0</v>
      </c>
      <c r="AH2280">
        <v>0</v>
      </c>
      <c r="AI2280">
        <v>0</v>
      </c>
      <c r="AJ2280">
        <v>420</v>
      </c>
      <c r="AK2280">
        <v>0</v>
      </c>
      <c r="AL2280">
        <v>0</v>
      </c>
      <c r="AM2280">
        <v>100</v>
      </c>
      <c r="AN2280">
        <v>40</v>
      </c>
      <c r="AO2280">
        <v>0</v>
      </c>
      <c r="AP2280">
        <v>12</v>
      </c>
      <c r="AQ2280">
        <v>0</v>
      </c>
      <c r="AR2280">
        <v>0</v>
      </c>
      <c r="AS2280" t="s">
        <v>58</v>
      </c>
      <c r="AT2280">
        <v>1</v>
      </c>
      <c r="AU2280" t="s">
        <v>59</v>
      </c>
      <c r="AV2280" t="s">
        <v>60</v>
      </c>
      <c r="AW2280">
        <v>1</v>
      </c>
      <c r="AX2280">
        <v>4</v>
      </c>
      <c r="AY2280">
        <v>0</v>
      </c>
      <c r="AZ2280">
        <v>0</v>
      </c>
      <c r="BA2280">
        <v>100</v>
      </c>
      <c r="BB2280">
        <v>100</v>
      </c>
      <c r="BC2280">
        <v>100</v>
      </c>
      <c r="BD2280">
        <v>100</v>
      </c>
      <c r="BE2280">
        <v>1</v>
      </c>
      <c r="BF2280">
        <v>15000</v>
      </c>
      <c r="BG2280">
        <v>1000</v>
      </c>
      <c r="BH2280" s="6">
        <f>Grandview_Inventory[[#This Row],[land_extract]]*Lookups!$B$3</f>
        <v>44691.316856156598</v>
      </c>
      <c r="BI2280" s="6">
        <f>IF(Grandview_Inventory[[#This Row],[bldg_style]]="",0,Lookups!$B$2)</f>
        <v>155833.95000000001</v>
      </c>
      <c r="BJ2280" s="6">
        <f>_xlfn.IFNA(VLOOKUP(Grandview_Inventory[[#This Row],[quality]],Lookups!$H$2:$J$14,3,FALSE),0)</f>
        <v>9808</v>
      </c>
      <c r="BK2280" s="6">
        <f>_xlfn.IFNA(VLOOKUP(Grandview_Inventory[[#This Row],[condition]],Lookups!$H$17:$J$24,3,FALSE),0)</f>
        <v>25818</v>
      </c>
      <c r="BL2280" s="6">
        <f>Grandview_Inventory[[#This Row],[Eff_Age]]*Lookups!$B$14</f>
        <v>-3587.4989999999998</v>
      </c>
      <c r="BM2280" s="6">
        <f>Grandview_Inventory[[#This Row],[living_area]]*Lookups!$B$15</f>
        <v>116028.38658000001</v>
      </c>
      <c r="BN2280" s="6">
        <f>Grandview_Inventory[[#This Row],[Fin BSMT]]*Lookups!$B$16</f>
        <v>0</v>
      </c>
      <c r="BO2280" s="6">
        <f>(Grandview_Inventory[[#This Row],[att_gar]]+Grandview_Inventory[[#This Row],[bltin_gar]])*Lookups!$B$17</f>
        <v>36758.58354</v>
      </c>
      <c r="BP2280" s="6">
        <f>Grandview_Inventory[[#This Row],[Plumbing Fixtures]]*Lookups!$B$18</f>
        <v>24125.301599999999</v>
      </c>
      <c r="BQ2280" s="6">
        <f>Grandview_Inventory[[#This Row],[detatched_value]]*Lookups!$B$19</f>
        <v>0</v>
      </c>
      <c r="BR2280" s="6">
        <f>SUM(Grandview_Inventory[[#This Row],[Intercept]:[det_value]])*Grandview_Inventory[[#This Row],[res_pct]]</f>
        <v>364784.72272000002</v>
      </c>
      <c r="BS2280" s="6">
        <f>Grandview_Inventory[[#This Row],[land_value]]</f>
        <v>44691.316856156598</v>
      </c>
      <c r="BT2280" s="4">
        <f>_xlfn.IFNA(VLOOKUP(Grandview_Inventory[[#This Row],[quality]],Lookups!$A$26:$C$33,3,FALSE),1)</f>
        <v>0.94295468617355149</v>
      </c>
      <c r="BU2280" s="4">
        <f>_xlfn.IFNA(VLOOKUP(Grandview_Inventory[[#This Row],[condition]],Lookups!$A$37:$C$44,3,FALSE),1)</f>
        <v>0.96661476234146892</v>
      </c>
      <c r="BV2280" s="4">
        <f>IF(Grandview_Inventory[[#This Row],[bldg_style]]="",1,_xlfn.IFNA(VLOOKUP(Grandview_Inventory[[#This Row],[decade]],Lookups!$F$29:$H$43,3,FALSE),1))</f>
        <v>0.96737494181490646</v>
      </c>
      <c r="BW2280" s="4">
        <f>_xlfn.IFNA(VLOOKUP(Grandview_Inventory[[#This Row],[living_area_range]],Lookups!$F$47:$H$56,3,FALSE),1)</f>
        <v>0.96120133463014379</v>
      </c>
      <c r="BX2280" s="4">
        <f>AVERAGE(Grandview_Inventory[[#This Row],[qual_adj]:[size_adj]])</f>
        <v>0.95953643124001764</v>
      </c>
      <c r="BY2280" s="6">
        <f>IF(Grandview_Inventory[[#This Row],[pre_res]]&lt;0,0,Grandview_Inventory[[#This Row],[pre_res]]*Grandview_Inventory[[#This Row],[overall_adj]])</f>
        <v>350024.23100962822</v>
      </c>
      <c r="BZ2280" s="6">
        <f>(Grandview_Inventory[[#This Row],[sum_land]]-IF(Grandview_Inventory[[#This Row],[no_utilities]]=1,12000,0))/IF(Grandview_Inventory[[#This Row],[unbuildable]]=1,2,1)</f>
        <v>44691.316856156598</v>
      </c>
      <c r="CA2280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280">
        <f>ROUND(Grandview_Inventory[[#This Row],[det_value]]*Lookups!$M$28,-2)</f>
        <v>0</v>
      </c>
      <c r="CC2280">
        <f>IF(ROUND(Grandview_Inventory[[#This Row],[adj_res]]*Lookups!$M$28,-2)&lt;Grandview_Inventory[[#This Row],[min_res]],Grandview_Inventory[[#This Row],[min_res]],ROUND(Grandview_Inventory[[#This Row],[adj_res]]*Lookups!$M$28,-2))</f>
        <v>332500</v>
      </c>
      <c r="CD2280">
        <f>Grandview_Inventory[[#This Row],[final_det]]+Grandview_Inventory[[#This Row],[final_res]]</f>
        <v>332500</v>
      </c>
      <c r="CE2280">
        <f>Grandview_Inventory[[#This Row],[final_land]]+Grandview_Inventory[[#This Row],[final_imp]]+Grandview_Inventory[[#This Row],[crop_value]]</f>
        <v>375000</v>
      </c>
      <c r="CG2280" t="str">
        <f t="shared" si="35"/>
        <v>update valuation set market_land =42500, market_bldg=332500, market_total =375000, market_mdno =401, market_date ='9/10/2023' where link_id = (select link_id from parcel where parcel_year = '2024' and parcel_id = '23092612435');</v>
      </c>
    </row>
    <row r="2281" spans="1:85" x14ac:dyDescent="0.25">
      <c r="A2281">
        <v>23092612436</v>
      </c>
      <c r="B2281">
        <v>0.16</v>
      </c>
      <c r="C2281">
        <v>6950</v>
      </c>
      <c r="D2281" t="s">
        <v>129</v>
      </c>
      <c r="E2281" t="s">
        <v>53</v>
      </c>
      <c r="F2281" t="s">
        <v>53</v>
      </c>
      <c r="G2281">
        <v>4</v>
      </c>
      <c r="H2281" t="s">
        <v>54</v>
      </c>
      <c r="I2281">
        <v>235500</v>
      </c>
      <c r="J2281">
        <v>38600</v>
      </c>
      <c r="K2281">
        <v>0.16</v>
      </c>
      <c r="L228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81">
        <v>0</v>
      </c>
      <c r="N2281">
        <v>0</v>
      </c>
      <c r="O2281">
        <v>0</v>
      </c>
      <c r="P2281">
        <v>13398.7528</v>
      </c>
      <c r="Q2281">
        <v>63903</v>
      </c>
      <c r="R2281">
        <f>(Grandview_Inventory[[#This Row],[ln_acres]]*Grandview_Inventory[[#This Row],[coeff]])+Grandview_Inventory[[#This Row],[const]]</f>
        <v>39348.693981374228</v>
      </c>
      <c r="S2281" t="s">
        <v>61</v>
      </c>
      <c r="T2281">
        <v>1</v>
      </c>
      <c r="U2281" t="s">
        <v>65</v>
      </c>
      <c r="V2281" t="s">
        <v>66</v>
      </c>
      <c r="W2281">
        <v>0</v>
      </c>
      <c r="X2281">
        <v>0</v>
      </c>
      <c r="Y2281">
        <v>17</v>
      </c>
      <c r="Z2281">
        <v>17</v>
      </c>
      <c r="AA2281">
        <v>20</v>
      </c>
      <c r="AB2281">
        <v>2000</v>
      </c>
      <c r="AC2281">
        <v>1506</v>
      </c>
      <c r="AD2281">
        <v>1506</v>
      </c>
      <c r="AE2281">
        <v>0</v>
      </c>
      <c r="AF2281">
        <v>0</v>
      </c>
      <c r="AG2281">
        <v>0</v>
      </c>
      <c r="AH2281">
        <v>0</v>
      </c>
      <c r="AI2281">
        <v>440</v>
      </c>
      <c r="AJ2281">
        <v>0</v>
      </c>
      <c r="AK2281">
        <v>0</v>
      </c>
      <c r="AL2281">
        <v>0</v>
      </c>
      <c r="AM2281">
        <v>80</v>
      </c>
      <c r="AN2281">
        <v>64</v>
      </c>
      <c r="AO2281">
        <v>80</v>
      </c>
      <c r="AP2281">
        <v>8</v>
      </c>
      <c r="AQ2281">
        <v>0</v>
      </c>
      <c r="AR2281">
        <v>0</v>
      </c>
      <c r="AS2281" t="s">
        <v>58</v>
      </c>
      <c r="AT2281">
        <v>1</v>
      </c>
      <c r="AU2281" t="s">
        <v>59</v>
      </c>
      <c r="AV2281" t="s">
        <v>60</v>
      </c>
      <c r="AW2281">
        <v>1</v>
      </c>
      <c r="AX2281">
        <v>3</v>
      </c>
      <c r="AY2281">
        <v>0</v>
      </c>
      <c r="AZ2281">
        <v>0</v>
      </c>
      <c r="BA2281">
        <v>100</v>
      </c>
      <c r="BB2281">
        <v>100</v>
      </c>
      <c r="BC2281">
        <v>100</v>
      </c>
      <c r="BD2281">
        <v>100</v>
      </c>
      <c r="BE2281">
        <v>1</v>
      </c>
      <c r="BF2281">
        <v>15000</v>
      </c>
      <c r="BG2281">
        <v>1000</v>
      </c>
      <c r="BH2281" s="6">
        <f>Grandview_Inventory[[#This Row],[land_extract]]*Lookups!$B$3</f>
        <v>45695.532079096141</v>
      </c>
      <c r="BI2281" s="6">
        <f>IF(Grandview_Inventory[[#This Row],[bldg_style]]="",0,Lookups!$B$2)</f>
        <v>155833.95000000001</v>
      </c>
      <c r="BJ2281" s="6">
        <f>_xlfn.IFNA(VLOOKUP(Grandview_Inventory[[#This Row],[quality]],Lookups!$H$2:$J$14,3,FALSE),0)</f>
        <v>2251</v>
      </c>
      <c r="BK2281" s="6">
        <f>_xlfn.IFNA(VLOOKUP(Grandview_Inventory[[#This Row],[condition]],Lookups!$H$17:$J$24,3,FALSE),0)</f>
        <v>25818</v>
      </c>
      <c r="BL2281" s="6">
        <f>Grandview_Inventory[[#This Row],[Eff_Age]]*Lookups!$B$14</f>
        <v>-4065.8321999999998</v>
      </c>
      <c r="BM2281" s="6">
        <f>Grandview_Inventory[[#This Row],[living_area]]*Lookups!$B$15</f>
        <v>93945.564618000004</v>
      </c>
      <c r="BN2281" s="6">
        <f>Grandview_Inventory[[#This Row],[Fin BSMT]]*Lookups!$B$16</f>
        <v>0</v>
      </c>
      <c r="BO2281" s="6">
        <f>(Grandview_Inventory[[#This Row],[att_gar]]+Grandview_Inventory[[#This Row],[bltin_gar]])*Lookups!$B$17</f>
        <v>38508.992279999999</v>
      </c>
      <c r="BP2281" s="6">
        <f>Grandview_Inventory[[#This Row],[Plumbing Fixtures]]*Lookups!$B$18</f>
        <v>16083.5344</v>
      </c>
      <c r="BQ2281" s="6">
        <f>Grandview_Inventory[[#This Row],[detatched_value]]*Lookups!$B$19</f>
        <v>0</v>
      </c>
      <c r="BR2281" s="6">
        <f>SUM(Grandview_Inventory[[#This Row],[Intercept]:[det_value]])*Grandview_Inventory[[#This Row],[res_pct]]</f>
        <v>328375.20909800002</v>
      </c>
      <c r="BS2281" s="6">
        <f>Grandview_Inventory[[#This Row],[land_value]]</f>
        <v>45695.532079096141</v>
      </c>
      <c r="BT2281" s="4">
        <f>_xlfn.IFNA(VLOOKUP(Grandview_Inventory[[#This Row],[quality]],Lookups!$A$26:$C$33,3,FALSE),1)</f>
        <v>0.98763855981004833</v>
      </c>
      <c r="BU2281" s="4">
        <f>_xlfn.IFNA(VLOOKUP(Grandview_Inventory[[#This Row],[condition]],Lookups!$A$37:$C$44,3,FALSE),1)</f>
        <v>0.96661476234146892</v>
      </c>
      <c r="BV2281" s="4">
        <f>IF(Grandview_Inventory[[#This Row],[bldg_style]]="",1,_xlfn.IFNA(VLOOKUP(Grandview_Inventory[[#This Row],[decade]],Lookups!$F$29:$H$43,3,FALSE),1))</f>
        <v>0.96737494181490646</v>
      </c>
      <c r="BW2281" s="4">
        <f>_xlfn.IFNA(VLOOKUP(Grandview_Inventory[[#This Row],[living_area_range]],Lookups!$F$47:$H$56,3,FALSE),1)</f>
        <v>0.96120133463014379</v>
      </c>
      <c r="BX2281" s="4">
        <f>AVERAGE(Grandview_Inventory[[#This Row],[qual_adj]:[size_adj]])</f>
        <v>0.97070739964914199</v>
      </c>
      <c r="BY2281" s="6">
        <f>IF(Grandview_Inventory[[#This Row],[pre_res]]&lt;0,0,Grandview_Inventory[[#This Row],[pre_res]]*Grandview_Inventory[[#This Row],[overall_adj]])</f>
        <v>318756.24533276289</v>
      </c>
      <c r="BZ2281" s="6">
        <f>(Grandview_Inventory[[#This Row],[sum_land]]-IF(Grandview_Inventory[[#This Row],[no_utilities]]=1,12000,0))/IF(Grandview_Inventory[[#This Row],[unbuildable]]=1,2,1)</f>
        <v>45695.532079096141</v>
      </c>
      <c r="CA228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81">
        <f>ROUND(Grandview_Inventory[[#This Row],[det_value]]*Lookups!$M$28,-2)</f>
        <v>0</v>
      </c>
      <c r="CC2281">
        <f>IF(ROUND(Grandview_Inventory[[#This Row],[adj_res]]*Lookups!$M$28,-2)&lt;Grandview_Inventory[[#This Row],[min_res]],Grandview_Inventory[[#This Row],[min_res]],ROUND(Grandview_Inventory[[#This Row],[adj_res]]*Lookups!$M$28,-2))</f>
        <v>302800</v>
      </c>
      <c r="CD2281">
        <f>Grandview_Inventory[[#This Row],[final_det]]+Grandview_Inventory[[#This Row],[final_res]]</f>
        <v>302800</v>
      </c>
      <c r="CE2281">
        <f>Grandview_Inventory[[#This Row],[final_land]]+Grandview_Inventory[[#This Row],[final_imp]]+Grandview_Inventory[[#This Row],[crop_value]]</f>
        <v>346200</v>
      </c>
      <c r="CG2281" t="str">
        <f t="shared" si="35"/>
        <v>update valuation set market_land =43400, market_bldg=302800, market_total =346200, market_mdno =401, market_date ='9/10/2023' where link_id = (select link_id from parcel where parcel_year = '2024' and parcel_id = '23092612436');</v>
      </c>
    </row>
    <row r="2282" spans="1:85" x14ac:dyDescent="0.25">
      <c r="A2282">
        <v>23092612437</v>
      </c>
      <c r="B2282">
        <v>0.16</v>
      </c>
      <c r="C2282">
        <v>7015</v>
      </c>
      <c r="D2282" t="s">
        <v>129</v>
      </c>
      <c r="E2282" t="s">
        <v>53</v>
      </c>
      <c r="F2282" t="s">
        <v>53</v>
      </c>
      <c r="G2282">
        <v>4</v>
      </c>
      <c r="H2282" t="s">
        <v>54</v>
      </c>
      <c r="I2282">
        <v>262400</v>
      </c>
      <c r="J2282">
        <v>38600</v>
      </c>
      <c r="K2282">
        <v>0.16</v>
      </c>
      <c r="L2282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282">
        <v>0</v>
      </c>
      <c r="N2282">
        <v>0</v>
      </c>
      <c r="O2282">
        <v>0</v>
      </c>
      <c r="P2282">
        <v>13398.7528</v>
      </c>
      <c r="Q2282">
        <v>63903</v>
      </c>
      <c r="R2282">
        <f>(Grandview_Inventory[[#This Row],[ln_acres]]*Grandview_Inventory[[#This Row],[coeff]])+Grandview_Inventory[[#This Row],[const]]</f>
        <v>39348.693981374228</v>
      </c>
      <c r="S2282" t="s">
        <v>55</v>
      </c>
      <c r="T2282">
        <v>2</v>
      </c>
      <c r="U2282" t="s">
        <v>62</v>
      </c>
      <c r="V2282" t="s">
        <v>66</v>
      </c>
      <c r="W2282">
        <v>0</v>
      </c>
      <c r="X2282">
        <v>0</v>
      </c>
      <c r="Y2282">
        <v>17</v>
      </c>
      <c r="Z2282">
        <v>17</v>
      </c>
      <c r="AA2282">
        <v>20</v>
      </c>
      <c r="AB2282">
        <v>2000</v>
      </c>
      <c r="AC2282">
        <v>1940</v>
      </c>
      <c r="AD2282">
        <v>946</v>
      </c>
      <c r="AE2282">
        <v>994</v>
      </c>
      <c r="AF2282">
        <v>0</v>
      </c>
      <c r="AG2282">
        <v>0</v>
      </c>
      <c r="AH2282">
        <v>0</v>
      </c>
      <c r="AI2282">
        <v>0</v>
      </c>
      <c r="AJ2282">
        <v>434</v>
      </c>
      <c r="AK2282">
        <v>0</v>
      </c>
      <c r="AL2282">
        <v>0</v>
      </c>
      <c r="AM2282">
        <v>100</v>
      </c>
      <c r="AN2282">
        <v>50</v>
      </c>
      <c r="AO2282">
        <v>0</v>
      </c>
      <c r="AP2282">
        <v>12</v>
      </c>
      <c r="AQ2282">
        <v>0</v>
      </c>
      <c r="AR2282">
        <v>0</v>
      </c>
      <c r="AS2282" t="s">
        <v>58</v>
      </c>
      <c r="AT2282">
        <v>1</v>
      </c>
      <c r="AU2282" t="s">
        <v>63</v>
      </c>
      <c r="AV2282" t="s">
        <v>64</v>
      </c>
      <c r="AW2282">
        <v>1</v>
      </c>
      <c r="AX2282">
        <v>4</v>
      </c>
      <c r="AY2282">
        <v>0</v>
      </c>
      <c r="AZ2282">
        <v>0</v>
      </c>
      <c r="BA2282">
        <v>100</v>
      </c>
      <c r="BB2282">
        <v>100</v>
      </c>
      <c r="BC2282">
        <v>100</v>
      </c>
      <c r="BD2282">
        <v>100</v>
      </c>
      <c r="BE2282">
        <v>1</v>
      </c>
      <c r="BF2282">
        <v>15000</v>
      </c>
      <c r="BG2282">
        <v>1000</v>
      </c>
      <c r="BH2282" s="6">
        <f>Grandview_Inventory[[#This Row],[land_extract]]*Lookups!$B$3</f>
        <v>45695.532079096141</v>
      </c>
      <c r="BI2282" s="6">
        <f>IF(Grandview_Inventory[[#This Row],[bldg_style]]="",0,Lookups!$B$2)</f>
        <v>155833.95000000001</v>
      </c>
      <c r="BJ2282" s="6">
        <f>_xlfn.IFNA(VLOOKUP(Grandview_Inventory[[#This Row],[quality]],Lookups!$H$2:$J$14,3,FALSE),0)</f>
        <v>9808</v>
      </c>
      <c r="BK2282" s="6">
        <f>_xlfn.IFNA(VLOOKUP(Grandview_Inventory[[#This Row],[condition]],Lookups!$H$17:$J$24,3,FALSE),0)</f>
        <v>25818</v>
      </c>
      <c r="BL2282" s="6">
        <f>Grandview_Inventory[[#This Row],[Eff_Age]]*Lookups!$B$14</f>
        <v>-4065.8321999999998</v>
      </c>
      <c r="BM2282" s="6">
        <f>Grandview_Inventory[[#This Row],[living_area]]*Lookups!$B$15</f>
        <v>121018.85482000001</v>
      </c>
      <c r="BN2282" s="6">
        <f>Grandview_Inventory[[#This Row],[Fin BSMT]]*Lookups!$B$16</f>
        <v>0</v>
      </c>
      <c r="BO2282" s="6">
        <f>(Grandview_Inventory[[#This Row],[att_gar]]+Grandview_Inventory[[#This Row],[bltin_gar]])*Lookups!$B$17</f>
        <v>37983.869658000003</v>
      </c>
      <c r="BP2282" s="6">
        <f>Grandview_Inventory[[#This Row],[Plumbing Fixtures]]*Lookups!$B$18</f>
        <v>24125.301599999999</v>
      </c>
      <c r="BQ2282" s="6">
        <f>Grandview_Inventory[[#This Row],[detatched_value]]*Lookups!$B$19</f>
        <v>0</v>
      </c>
      <c r="BR2282" s="6">
        <f>SUM(Grandview_Inventory[[#This Row],[Intercept]:[det_value]])*Grandview_Inventory[[#This Row],[res_pct]]</f>
        <v>370522.14387800003</v>
      </c>
      <c r="BS2282" s="6">
        <f>Grandview_Inventory[[#This Row],[land_value]]</f>
        <v>45695.532079096141</v>
      </c>
      <c r="BT2282" s="4">
        <f>_xlfn.IFNA(VLOOKUP(Grandview_Inventory[[#This Row],[quality]],Lookups!$A$26:$C$33,3,FALSE),1)</f>
        <v>0.94295468617355149</v>
      </c>
      <c r="BU2282" s="4">
        <f>_xlfn.IFNA(VLOOKUP(Grandview_Inventory[[#This Row],[condition]],Lookups!$A$37:$C$44,3,FALSE),1)</f>
        <v>0.96661476234146892</v>
      </c>
      <c r="BV2282" s="4">
        <f>IF(Grandview_Inventory[[#This Row],[bldg_style]]="",1,_xlfn.IFNA(VLOOKUP(Grandview_Inventory[[#This Row],[decade]],Lookups!$F$29:$H$43,3,FALSE),1))</f>
        <v>0.96737494181490646</v>
      </c>
      <c r="BW2282" s="4">
        <f>_xlfn.IFNA(VLOOKUP(Grandview_Inventory[[#This Row],[living_area_range]],Lookups!$F$47:$H$56,3,FALSE),1)</f>
        <v>0.96120133463014379</v>
      </c>
      <c r="BX2282" s="4">
        <f>AVERAGE(Grandview_Inventory[[#This Row],[qual_adj]:[size_adj]])</f>
        <v>0.95953643124001764</v>
      </c>
      <c r="BY2282" s="6">
        <f>IF(Grandview_Inventory[[#This Row],[pre_res]]&lt;0,0,Grandview_Inventory[[#This Row],[pre_res]]*Grandview_Inventory[[#This Row],[overall_adj]])</f>
        <v>355529.49563209648</v>
      </c>
      <c r="BZ2282" s="6">
        <f>(Grandview_Inventory[[#This Row],[sum_land]]-IF(Grandview_Inventory[[#This Row],[no_utilities]]=1,12000,0))/IF(Grandview_Inventory[[#This Row],[unbuildable]]=1,2,1)</f>
        <v>45695.532079096141</v>
      </c>
      <c r="CA2282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282">
        <f>ROUND(Grandview_Inventory[[#This Row],[det_value]]*Lookups!$M$28,-2)</f>
        <v>0</v>
      </c>
      <c r="CC2282">
        <f>IF(ROUND(Grandview_Inventory[[#This Row],[adj_res]]*Lookups!$M$28,-2)&lt;Grandview_Inventory[[#This Row],[min_res]],Grandview_Inventory[[#This Row],[min_res]],ROUND(Grandview_Inventory[[#This Row],[adj_res]]*Lookups!$M$28,-2))</f>
        <v>337800</v>
      </c>
      <c r="CD2282">
        <f>Grandview_Inventory[[#This Row],[final_det]]+Grandview_Inventory[[#This Row],[final_res]]</f>
        <v>337800</v>
      </c>
      <c r="CE2282">
        <f>Grandview_Inventory[[#This Row],[final_land]]+Grandview_Inventory[[#This Row],[final_imp]]+Grandview_Inventory[[#This Row],[crop_value]]</f>
        <v>381200</v>
      </c>
      <c r="CG2282" t="str">
        <f t="shared" si="35"/>
        <v>update valuation set market_land =43400, market_bldg=337800, market_total =381200, market_mdno =401, market_date ='9/10/2023' where link_id = (select link_id from parcel where parcel_year = '2024' and parcel_id = '23092612437');</v>
      </c>
    </row>
    <row r="2283" spans="1:85" x14ac:dyDescent="0.25">
      <c r="A2283">
        <v>23092612438</v>
      </c>
      <c r="B2283">
        <v>0.17</v>
      </c>
      <c r="C2283">
        <v>7279</v>
      </c>
      <c r="D2283" t="s">
        <v>129</v>
      </c>
      <c r="E2283" t="s">
        <v>53</v>
      </c>
      <c r="F2283" t="s">
        <v>53</v>
      </c>
      <c r="G2283">
        <v>4</v>
      </c>
      <c r="H2283" t="s">
        <v>54</v>
      </c>
      <c r="I2283">
        <v>262400</v>
      </c>
      <c r="J2283">
        <v>38800</v>
      </c>
      <c r="K2283">
        <v>0.17</v>
      </c>
      <c r="L228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83">
        <v>0</v>
      </c>
      <c r="N2283">
        <v>0</v>
      </c>
      <c r="O2283">
        <v>0</v>
      </c>
      <c r="P2283">
        <v>13398.7528</v>
      </c>
      <c r="Q2283">
        <v>63903</v>
      </c>
      <c r="R2283">
        <f>(Grandview_Inventory[[#This Row],[ln_acres]]*Grandview_Inventory[[#This Row],[coeff]])+Grandview_Inventory[[#This Row],[const]]</f>
        <v>40160.988302686128</v>
      </c>
      <c r="S2283" t="s">
        <v>55</v>
      </c>
      <c r="T2283">
        <v>2</v>
      </c>
      <c r="U2283" t="s">
        <v>62</v>
      </c>
      <c r="V2283" t="s">
        <v>66</v>
      </c>
      <c r="W2283">
        <v>0</v>
      </c>
      <c r="X2283">
        <v>0</v>
      </c>
      <c r="Y2283">
        <v>17</v>
      </c>
      <c r="Z2283">
        <v>17</v>
      </c>
      <c r="AA2283">
        <v>20</v>
      </c>
      <c r="AB2283">
        <v>2000</v>
      </c>
      <c r="AC2283">
        <v>1942</v>
      </c>
      <c r="AD2283">
        <v>948</v>
      </c>
      <c r="AE2283">
        <v>994</v>
      </c>
      <c r="AF2283">
        <v>0</v>
      </c>
      <c r="AG2283">
        <v>0</v>
      </c>
      <c r="AH2283">
        <v>0</v>
      </c>
      <c r="AI2283">
        <v>0</v>
      </c>
      <c r="AJ2283">
        <v>432</v>
      </c>
      <c r="AK2283">
        <v>0</v>
      </c>
      <c r="AL2283">
        <v>0</v>
      </c>
      <c r="AM2283">
        <v>100</v>
      </c>
      <c r="AN2283">
        <v>50</v>
      </c>
      <c r="AO2283">
        <v>0</v>
      </c>
      <c r="AP2283">
        <v>12</v>
      </c>
      <c r="AQ2283">
        <v>0</v>
      </c>
      <c r="AR2283">
        <v>0</v>
      </c>
      <c r="AS2283" t="s">
        <v>58</v>
      </c>
      <c r="AT2283">
        <v>1</v>
      </c>
      <c r="AU2283" t="s">
        <v>63</v>
      </c>
      <c r="AV2283" t="s">
        <v>64</v>
      </c>
      <c r="AW2283">
        <v>1</v>
      </c>
      <c r="AX2283">
        <v>4</v>
      </c>
      <c r="AY2283">
        <v>0</v>
      </c>
      <c r="AZ2283">
        <v>0</v>
      </c>
      <c r="BA2283">
        <v>100</v>
      </c>
      <c r="BB2283">
        <v>100</v>
      </c>
      <c r="BC2283">
        <v>100</v>
      </c>
      <c r="BD2283">
        <v>100</v>
      </c>
      <c r="BE2283">
        <v>1</v>
      </c>
      <c r="BF2283">
        <v>15000</v>
      </c>
      <c r="BG2283">
        <v>1000</v>
      </c>
      <c r="BH2283" s="6">
        <f>Grandview_Inventory[[#This Row],[land_extract]]*Lookups!$B$3</f>
        <v>46638.847281240982</v>
      </c>
      <c r="BI2283" s="6">
        <f>IF(Grandview_Inventory[[#This Row],[bldg_style]]="",0,Lookups!$B$2)</f>
        <v>155833.95000000001</v>
      </c>
      <c r="BJ2283" s="6">
        <f>_xlfn.IFNA(VLOOKUP(Grandview_Inventory[[#This Row],[quality]],Lookups!$H$2:$J$14,3,FALSE),0)</f>
        <v>9808</v>
      </c>
      <c r="BK2283" s="6">
        <f>_xlfn.IFNA(VLOOKUP(Grandview_Inventory[[#This Row],[condition]],Lookups!$H$17:$J$24,3,FALSE),0)</f>
        <v>25818</v>
      </c>
      <c r="BL2283" s="6">
        <f>Grandview_Inventory[[#This Row],[Eff_Age]]*Lookups!$B$14</f>
        <v>-4065.8321999999998</v>
      </c>
      <c r="BM2283" s="6">
        <f>Grandview_Inventory[[#This Row],[living_area]]*Lookups!$B$15</f>
        <v>121143.616526</v>
      </c>
      <c r="BN2283" s="6">
        <f>Grandview_Inventory[[#This Row],[Fin BSMT]]*Lookups!$B$16</f>
        <v>0</v>
      </c>
      <c r="BO2283" s="6">
        <f>(Grandview_Inventory[[#This Row],[att_gar]]+Grandview_Inventory[[#This Row],[bltin_gar]])*Lookups!$B$17</f>
        <v>37808.828783999998</v>
      </c>
      <c r="BP2283" s="6">
        <f>Grandview_Inventory[[#This Row],[Plumbing Fixtures]]*Lookups!$B$18</f>
        <v>24125.301599999999</v>
      </c>
      <c r="BQ2283" s="6">
        <f>Grandview_Inventory[[#This Row],[detatched_value]]*Lookups!$B$19</f>
        <v>0</v>
      </c>
      <c r="BR2283" s="6">
        <f>SUM(Grandview_Inventory[[#This Row],[Intercept]:[det_value]])*Grandview_Inventory[[#This Row],[res_pct]]</f>
        <v>370471.86470999999</v>
      </c>
      <c r="BS2283" s="6">
        <f>Grandview_Inventory[[#This Row],[land_value]]</f>
        <v>46638.847281240982</v>
      </c>
      <c r="BT2283" s="4">
        <f>_xlfn.IFNA(VLOOKUP(Grandview_Inventory[[#This Row],[quality]],Lookups!$A$26:$C$33,3,FALSE),1)</f>
        <v>0.94295468617355149</v>
      </c>
      <c r="BU2283" s="4">
        <f>_xlfn.IFNA(VLOOKUP(Grandview_Inventory[[#This Row],[condition]],Lookups!$A$37:$C$44,3,FALSE),1)</f>
        <v>0.96661476234146892</v>
      </c>
      <c r="BV2283" s="4">
        <f>IF(Grandview_Inventory[[#This Row],[bldg_style]]="",1,_xlfn.IFNA(VLOOKUP(Grandview_Inventory[[#This Row],[decade]],Lookups!$F$29:$H$43,3,FALSE),1))</f>
        <v>0.96737494181490646</v>
      </c>
      <c r="BW2283" s="4">
        <f>_xlfn.IFNA(VLOOKUP(Grandview_Inventory[[#This Row],[living_area_range]],Lookups!$F$47:$H$56,3,FALSE),1)</f>
        <v>0.96120133463014379</v>
      </c>
      <c r="BX2283" s="4">
        <f>AVERAGE(Grandview_Inventory[[#This Row],[qual_adj]:[size_adj]])</f>
        <v>0.95953643124001764</v>
      </c>
      <c r="BY2283" s="6">
        <f>IF(Grandview_Inventory[[#This Row],[pre_res]]&lt;0,0,Grandview_Inventory[[#This Row],[pre_res]]*Grandview_Inventory[[#This Row],[overall_adj]])</f>
        <v>355481.25093866803</v>
      </c>
      <c r="BZ2283" s="6">
        <f>(Grandview_Inventory[[#This Row],[sum_land]]-IF(Grandview_Inventory[[#This Row],[no_utilities]]=1,12000,0))/IF(Grandview_Inventory[[#This Row],[unbuildable]]=1,2,1)</f>
        <v>46638.847281240982</v>
      </c>
      <c r="CA228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83">
        <f>ROUND(Grandview_Inventory[[#This Row],[det_value]]*Lookups!$M$28,-2)</f>
        <v>0</v>
      </c>
      <c r="CC2283">
        <f>IF(ROUND(Grandview_Inventory[[#This Row],[adj_res]]*Lookups!$M$28,-2)&lt;Grandview_Inventory[[#This Row],[min_res]],Grandview_Inventory[[#This Row],[min_res]],ROUND(Grandview_Inventory[[#This Row],[adj_res]]*Lookups!$M$28,-2))</f>
        <v>337700</v>
      </c>
      <c r="CD2283">
        <f>Grandview_Inventory[[#This Row],[final_det]]+Grandview_Inventory[[#This Row],[final_res]]</f>
        <v>337700</v>
      </c>
      <c r="CE2283">
        <f>Grandview_Inventory[[#This Row],[final_land]]+Grandview_Inventory[[#This Row],[final_imp]]+Grandview_Inventory[[#This Row],[crop_value]]</f>
        <v>382000</v>
      </c>
      <c r="CG2283" t="str">
        <f t="shared" si="35"/>
        <v>update valuation set market_land =44300, market_bldg=337700, market_total =382000, market_mdno =401, market_date ='9/10/2023' where link_id = (select link_id from parcel where parcel_year = '2024' and parcel_id = '23092612438');</v>
      </c>
    </row>
    <row r="2284" spans="1:85" x14ac:dyDescent="0.25">
      <c r="A2284">
        <v>23092612439</v>
      </c>
      <c r="B2284">
        <v>0.23</v>
      </c>
      <c r="C2284">
        <v>9887</v>
      </c>
      <c r="D2284" t="s">
        <v>129</v>
      </c>
      <c r="E2284" t="s">
        <v>53</v>
      </c>
      <c r="F2284" t="s">
        <v>53</v>
      </c>
      <c r="G2284">
        <v>4</v>
      </c>
      <c r="H2284" t="s">
        <v>54</v>
      </c>
      <c r="I2284">
        <v>277200</v>
      </c>
      <c r="J2284">
        <v>39500</v>
      </c>
      <c r="K2284">
        <v>0.23</v>
      </c>
      <c r="L228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284">
        <v>0</v>
      </c>
      <c r="N2284">
        <v>0</v>
      </c>
      <c r="O2284">
        <v>0</v>
      </c>
      <c r="P2284">
        <v>13398.7528</v>
      </c>
      <c r="Q2284">
        <v>63903</v>
      </c>
      <c r="R2284">
        <f>(Grandview_Inventory[[#This Row],[ln_acres]]*Grandview_Inventory[[#This Row],[coeff]])+Grandview_Inventory[[#This Row],[const]]</f>
        <v>44211.174981080039</v>
      </c>
      <c r="S2284" t="s">
        <v>55</v>
      </c>
      <c r="T2284">
        <v>2</v>
      </c>
      <c r="U2284" t="s">
        <v>62</v>
      </c>
      <c r="V2284" t="s">
        <v>66</v>
      </c>
      <c r="W2284">
        <v>0</v>
      </c>
      <c r="X2284">
        <v>0</v>
      </c>
      <c r="Y2284">
        <v>17</v>
      </c>
      <c r="Z2284">
        <v>17</v>
      </c>
      <c r="AA2284">
        <v>20</v>
      </c>
      <c r="AB2284">
        <v>2500</v>
      </c>
      <c r="AC2284">
        <v>2280</v>
      </c>
      <c r="AD2284">
        <v>960</v>
      </c>
      <c r="AE2284">
        <v>1320</v>
      </c>
      <c r="AF2284">
        <v>0</v>
      </c>
      <c r="AG2284">
        <v>0</v>
      </c>
      <c r="AH2284">
        <v>0</v>
      </c>
      <c r="AI2284">
        <v>0</v>
      </c>
      <c r="AJ2284">
        <v>440</v>
      </c>
      <c r="AK2284">
        <v>0</v>
      </c>
      <c r="AL2284">
        <v>0</v>
      </c>
      <c r="AM2284">
        <v>100</v>
      </c>
      <c r="AN2284">
        <v>75</v>
      </c>
      <c r="AO2284">
        <v>0</v>
      </c>
      <c r="AP2284">
        <v>11</v>
      </c>
      <c r="AQ2284">
        <v>0</v>
      </c>
      <c r="AR2284">
        <v>0</v>
      </c>
      <c r="AS2284" t="s">
        <v>58</v>
      </c>
      <c r="AT2284">
        <v>1</v>
      </c>
      <c r="AU2284" t="s">
        <v>63</v>
      </c>
      <c r="AV2284" t="s">
        <v>64</v>
      </c>
      <c r="AW2284">
        <v>1</v>
      </c>
      <c r="AX2284">
        <v>5</v>
      </c>
      <c r="AY2284">
        <v>0</v>
      </c>
      <c r="AZ2284">
        <v>0</v>
      </c>
      <c r="BA2284">
        <v>100</v>
      </c>
      <c r="BB2284">
        <v>100</v>
      </c>
      <c r="BC2284">
        <v>100</v>
      </c>
      <c r="BD2284">
        <v>100</v>
      </c>
      <c r="BE2284">
        <v>1</v>
      </c>
      <c r="BF2284">
        <v>15000</v>
      </c>
      <c r="BG2284">
        <v>1000</v>
      </c>
      <c r="BH2284" s="6">
        <f>Grandview_Inventory[[#This Row],[land_extract]]*Lookups!$B$3</f>
        <v>51342.318135355803</v>
      </c>
      <c r="BI2284" s="6">
        <f>IF(Grandview_Inventory[[#This Row],[bldg_style]]="",0,Lookups!$B$2)</f>
        <v>155833.95000000001</v>
      </c>
      <c r="BJ2284" s="6">
        <f>_xlfn.IFNA(VLOOKUP(Grandview_Inventory[[#This Row],[quality]],Lookups!$H$2:$J$14,3,FALSE),0)</f>
        <v>9808</v>
      </c>
      <c r="BK2284" s="6">
        <f>_xlfn.IFNA(VLOOKUP(Grandview_Inventory[[#This Row],[condition]],Lookups!$H$17:$J$24,3,FALSE),0)</f>
        <v>25818</v>
      </c>
      <c r="BL2284" s="6">
        <f>Grandview_Inventory[[#This Row],[Eff_Age]]*Lookups!$B$14</f>
        <v>-4065.8321999999998</v>
      </c>
      <c r="BM2284" s="6">
        <f>Grandview_Inventory[[#This Row],[living_area]]*Lookups!$B$15</f>
        <v>142228.34484000001</v>
      </c>
      <c r="BN2284" s="6">
        <f>Grandview_Inventory[[#This Row],[Fin BSMT]]*Lookups!$B$16</f>
        <v>0</v>
      </c>
      <c r="BO2284" s="6">
        <f>(Grandview_Inventory[[#This Row],[att_gar]]+Grandview_Inventory[[#This Row],[bltin_gar]])*Lookups!$B$17</f>
        <v>38508.992279999999</v>
      </c>
      <c r="BP2284" s="6">
        <f>Grandview_Inventory[[#This Row],[Plumbing Fixtures]]*Lookups!$B$18</f>
        <v>22114.859800000002</v>
      </c>
      <c r="BQ2284" s="6">
        <f>Grandview_Inventory[[#This Row],[detatched_value]]*Lookups!$B$19</f>
        <v>0</v>
      </c>
      <c r="BR2284" s="6">
        <f>SUM(Grandview_Inventory[[#This Row],[Intercept]:[det_value]])*Grandview_Inventory[[#This Row],[res_pct]]</f>
        <v>390246.31472000002</v>
      </c>
      <c r="BS2284" s="6">
        <f>Grandview_Inventory[[#This Row],[land_value]]</f>
        <v>51342.318135355803</v>
      </c>
      <c r="BT2284" s="4">
        <f>_xlfn.IFNA(VLOOKUP(Grandview_Inventory[[#This Row],[quality]],Lookups!$A$26:$C$33,3,FALSE),1)</f>
        <v>0.94295468617355149</v>
      </c>
      <c r="BU2284" s="4">
        <f>_xlfn.IFNA(VLOOKUP(Grandview_Inventory[[#This Row],[condition]],Lookups!$A$37:$C$44,3,FALSE),1)</f>
        <v>0.96661476234146892</v>
      </c>
      <c r="BV2284" s="4">
        <f>IF(Grandview_Inventory[[#This Row],[bldg_style]]="",1,_xlfn.IFNA(VLOOKUP(Grandview_Inventory[[#This Row],[decade]],Lookups!$F$29:$H$43,3,FALSE),1))</f>
        <v>0.96737494181490646</v>
      </c>
      <c r="BW2284" s="4">
        <f>_xlfn.IFNA(VLOOKUP(Grandview_Inventory[[#This Row],[living_area_range]],Lookups!$F$47:$H$56,3,FALSE),1)</f>
        <v>0.95799442568048754</v>
      </c>
      <c r="BX2284" s="4">
        <f>AVERAGE(Grandview_Inventory[[#This Row],[qual_adj]:[size_adj]])</f>
        <v>0.95873470400260363</v>
      </c>
      <c r="BY2284" s="6">
        <f>IF(Grandview_Inventory[[#This Row],[pre_res]]&lt;0,0,Grandview_Inventory[[#This Row],[pre_res]]*Grandview_Inventory[[#This Row],[overall_adj]])</f>
        <v>374142.68503118615</v>
      </c>
      <c r="BZ2284" s="6">
        <f>(Grandview_Inventory[[#This Row],[sum_land]]-IF(Grandview_Inventory[[#This Row],[no_utilities]]=1,12000,0))/IF(Grandview_Inventory[[#This Row],[unbuildable]]=1,2,1)</f>
        <v>51342.318135355803</v>
      </c>
      <c r="CA228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284">
        <f>ROUND(Grandview_Inventory[[#This Row],[det_value]]*Lookups!$M$28,-2)</f>
        <v>0</v>
      </c>
      <c r="CC2284">
        <f>IF(ROUND(Grandview_Inventory[[#This Row],[adj_res]]*Lookups!$M$28,-2)&lt;Grandview_Inventory[[#This Row],[min_res]],Grandview_Inventory[[#This Row],[min_res]],ROUND(Grandview_Inventory[[#This Row],[adj_res]]*Lookups!$M$28,-2))</f>
        <v>355400</v>
      </c>
      <c r="CD2284">
        <f>Grandview_Inventory[[#This Row],[final_det]]+Grandview_Inventory[[#This Row],[final_res]]</f>
        <v>355400</v>
      </c>
      <c r="CE2284">
        <f>Grandview_Inventory[[#This Row],[final_land]]+Grandview_Inventory[[#This Row],[final_imp]]+Grandview_Inventory[[#This Row],[crop_value]]</f>
        <v>404200</v>
      </c>
      <c r="CG2284" t="str">
        <f t="shared" si="35"/>
        <v>update valuation set market_land =48800, market_bldg=355400, market_total =404200, market_mdno =401, market_date ='9/10/2023' where link_id = (select link_id from parcel where parcel_year = '2024' and parcel_id = '23092612439');</v>
      </c>
    </row>
    <row r="2285" spans="1:85" x14ac:dyDescent="0.25">
      <c r="A2285">
        <v>23092612440</v>
      </c>
      <c r="B2285">
        <v>0.17</v>
      </c>
      <c r="C2285">
        <v>7406</v>
      </c>
      <c r="D2285" t="s">
        <v>129</v>
      </c>
      <c r="E2285" t="s">
        <v>53</v>
      </c>
      <c r="F2285" t="s">
        <v>53</v>
      </c>
      <c r="G2285">
        <v>4</v>
      </c>
      <c r="H2285" t="s">
        <v>54</v>
      </c>
      <c r="I2285">
        <v>227600</v>
      </c>
      <c r="J2285">
        <v>40400</v>
      </c>
      <c r="K2285">
        <v>0.17</v>
      </c>
      <c r="L228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85">
        <v>0</v>
      </c>
      <c r="N2285">
        <v>0</v>
      </c>
      <c r="O2285">
        <v>0</v>
      </c>
      <c r="P2285">
        <v>13398.7528</v>
      </c>
      <c r="Q2285">
        <v>63903</v>
      </c>
      <c r="R2285">
        <f>(Grandview_Inventory[[#This Row],[ln_acres]]*Grandview_Inventory[[#This Row],[coeff]])+Grandview_Inventory[[#This Row],[const]]</f>
        <v>40160.988302686128</v>
      </c>
      <c r="S2285" t="s">
        <v>61</v>
      </c>
      <c r="T2285">
        <v>1</v>
      </c>
      <c r="U2285" t="s">
        <v>65</v>
      </c>
      <c r="V2285" t="s">
        <v>66</v>
      </c>
      <c r="W2285">
        <v>0</v>
      </c>
      <c r="X2285">
        <v>0</v>
      </c>
      <c r="Y2285">
        <v>16</v>
      </c>
      <c r="Z2285">
        <v>16</v>
      </c>
      <c r="AA2285">
        <v>20</v>
      </c>
      <c r="AB2285">
        <v>1500</v>
      </c>
      <c r="AC2285">
        <v>1257</v>
      </c>
      <c r="AD2285">
        <v>1257</v>
      </c>
      <c r="AE2285">
        <v>0</v>
      </c>
      <c r="AF2285">
        <v>0</v>
      </c>
      <c r="AG2285">
        <v>0</v>
      </c>
      <c r="AH2285">
        <v>0</v>
      </c>
      <c r="AI2285">
        <v>418</v>
      </c>
      <c r="AJ2285">
        <v>0</v>
      </c>
      <c r="AK2285">
        <v>0</v>
      </c>
      <c r="AL2285">
        <v>0</v>
      </c>
      <c r="AM2285">
        <v>120</v>
      </c>
      <c r="AN2285">
        <v>44</v>
      </c>
      <c r="AO2285">
        <v>0</v>
      </c>
      <c r="AP2285">
        <v>9</v>
      </c>
      <c r="AQ2285">
        <v>0</v>
      </c>
      <c r="AR2285">
        <v>0</v>
      </c>
      <c r="AS2285" t="s">
        <v>58</v>
      </c>
      <c r="AT2285">
        <v>1</v>
      </c>
      <c r="AU2285" t="s">
        <v>63</v>
      </c>
      <c r="AV2285" t="s">
        <v>60</v>
      </c>
      <c r="AW2285">
        <v>1</v>
      </c>
      <c r="AX2285">
        <v>3</v>
      </c>
      <c r="AY2285">
        <v>0</v>
      </c>
      <c r="AZ2285">
        <v>0</v>
      </c>
      <c r="BA2285">
        <v>100</v>
      </c>
      <c r="BB2285">
        <v>100</v>
      </c>
      <c r="BC2285">
        <v>100</v>
      </c>
      <c r="BD2285">
        <v>100</v>
      </c>
      <c r="BE2285">
        <v>1</v>
      </c>
      <c r="BF2285">
        <v>15000</v>
      </c>
      <c r="BG2285">
        <v>1000</v>
      </c>
      <c r="BH2285" s="6">
        <f>Grandview_Inventory[[#This Row],[land_extract]]*Lookups!$B$3</f>
        <v>46638.847281240982</v>
      </c>
      <c r="BI2285" s="6">
        <f>IF(Grandview_Inventory[[#This Row],[bldg_style]]="",0,Lookups!$B$2)</f>
        <v>155833.95000000001</v>
      </c>
      <c r="BJ2285" s="6">
        <f>_xlfn.IFNA(VLOOKUP(Grandview_Inventory[[#This Row],[quality]],Lookups!$H$2:$J$14,3,FALSE),0)</f>
        <v>2251</v>
      </c>
      <c r="BK2285" s="6">
        <f>_xlfn.IFNA(VLOOKUP(Grandview_Inventory[[#This Row],[condition]],Lookups!$H$17:$J$24,3,FALSE),0)</f>
        <v>25818</v>
      </c>
      <c r="BL2285" s="6">
        <f>Grandview_Inventory[[#This Row],[Eff_Age]]*Lookups!$B$14</f>
        <v>-3826.6655999999998</v>
      </c>
      <c r="BM2285" s="6">
        <f>Grandview_Inventory[[#This Row],[living_area]]*Lookups!$B$15</f>
        <v>78412.732220999998</v>
      </c>
      <c r="BN2285" s="6">
        <f>Grandview_Inventory[[#This Row],[Fin BSMT]]*Lookups!$B$16</f>
        <v>0</v>
      </c>
      <c r="BO2285" s="6">
        <f>(Grandview_Inventory[[#This Row],[att_gar]]+Grandview_Inventory[[#This Row],[bltin_gar]])*Lookups!$B$17</f>
        <v>36583.542666000001</v>
      </c>
      <c r="BP2285" s="6">
        <f>Grandview_Inventory[[#This Row],[Plumbing Fixtures]]*Lookups!$B$18</f>
        <v>18093.976200000001</v>
      </c>
      <c r="BQ2285" s="6">
        <f>Grandview_Inventory[[#This Row],[detatched_value]]*Lookups!$B$19</f>
        <v>0</v>
      </c>
      <c r="BR2285" s="6">
        <f>SUM(Grandview_Inventory[[#This Row],[Intercept]:[det_value]])*Grandview_Inventory[[#This Row],[res_pct]]</f>
        <v>313166.53548700002</v>
      </c>
      <c r="BS2285" s="6">
        <f>Grandview_Inventory[[#This Row],[land_value]]</f>
        <v>46638.847281240982</v>
      </c>
      <c r="BT2285" s="4">
        <f>_xlfn.IFNA(VLOOKUP(Grandview_Inventory[[#This Row],[quality]],Lookups!$A$26:$C$33,3,FALSE),1)</f>
        <v>0.98763855981004833</v>
      </c>
      <c r="BU2285" s="4">
        <f>_xlfn.IFNA(VLOOKUP(Grandview_Inventory[[#This Row],[condition]],Lookups!$A$37:$C$44,3,FALSE),1)</f>
        <v>0.96661476234146892</v>
      </c>
      <c r="BV2285" s="4">
        <f>IF(Grandview_Inventory[[#This Row],[bldg_style]]="",1,_xlfn.IFNA(VLOOKUP(Grandview_Inventory[[#This Row],[decade]],Lookups!$F$29:$H$43,3,FALSE),1))</f>
        <v>0.96737494181490646</v>
      </c>
      <c r="BW2285" s="4">
        <f>_xlfn.IFNA(VLOOKUP(Grandview_Inventory[[#This Row],[living_area_range]],Lookups!$F$47:$H$56,3,FALSE),1)</f>
        <v>0.96135087979789358</v>
      </c>
      <c r="BX2285" s="4">
        <f>AVERAGE(Grandview_Inventory[[#This Row],[qual_adj]:[size_adj]])</f>
        <v>0.97074478594107938</v>
      </c>
      <c r="BY2285" s="6">
        <f>IF(Grandview_Inventory[[#This Row],[pre_res]]&lt;0,0,Grandview_Inventory[[#This Row],[pre_res]]*Grandview_Inventory[[#This Row],[overall_adj]])</f>
        <v>304004.78145523724</v>
      </c>
      <c r="BZ2285" s="6">
        <f>(Grandview_Inventory[[#This Row],[sum_land]]-IF(Grandview_Inventory[[#This Row],[no_utilities]]=1,12000,0))/IF(Grandview_Inventory[[#This Row],[unbuildable]]=1,2,1)</f>
        <v>46638.847281240982</v>
      </c>
      <c r="CA228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85">
        <f>ROUND(Grandview_Inventory[[#This Row],[det_value]]*Lookups!$M$28,-2)</f>
        <v>0</v>
      </c>
      <c r="CC2285">
        <f>IF(ROUND(Grandview_Inventory[[#This Row],[adj_res]]*Lookups!$M$28,-2)&lt;Grandview_Inventory[[#This Row],[min_res]],Grandview_Inventory[[#This Row],[min_res]],ROUND(Grandview_Inventory[[#This Row],[adj_res]]*Lookups!$M$28,-2))</f>
        <v>288800</v>
      </c>
      <c r="CD2285">
        <f>Grandview_Inventory[[#This Row],[final_det]]+Grandview_Inventory[[#This Row],[final_res]]</f>
        <v>288800</v>
      </c>
      <c r="CE2285">
        <f>Grandview_Inventory[[#This Row],[final_land]]+Grandview_Inventory[[#This Row],[final_imp]]+Grandview_Inventory[[#This Row],[crop_value]]</f>
        <v>333100</v>
      </c>
      <c r="CG2285" t="str">
        <f t="shared" si="35"/>
        <v>update valuation set market_land =44300, market_bldg=288800, market_total =333100, market_mdno =401, market_date ='9/10/2023' where link_id = (select link_id from parcel where parcel_year = '2024' and parcel_id = '23092612440');</v>
      </c>
    </row>
    <row r="2286" spans="1:85" x14ac:dyDescent="0.25">
      <c r="A2286">
        <v>23092612441</v>
      </c>
      <c r="B2286">
        <v>0.17</v>
      </c>
      <c r="C2286">
        <v>7507</v>
      </c>
      <c r="D2286" t="s">
        <v>129</v>
      </c>
      <c r="E2286" t="s">
        <v>53</v>
      </c>
      <c r="F2286" t="s">
        <v>53</v>
      </c>
      <c r="G2286">
        <v>4</v>
      </c>
      <c r="H2286" t="s">
        <v>54</v>
      </c>
      <c r="I2286">
        <v>226300</v>
      </c>
      <c r="J2286">
        <v>40400</v>
      </c>
      <c r="K2286">
        <v>0.17</v>
      </c>
      <c r="L228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86">
        <v>0</v>
      </c>
      <c r="N2286">
        <v>0</v>
      </c>
      <c r="O2286">
        <v>0</v>
      </c>
      <c r="P2286">
        <v>13398.7528</v>
      </c>
      <c r="Q2286">
        <v>63903</v>
      </c>
      <c r="R2286">
        <f>(Grandview_Inventory[[#This Row],[ln_acres]]*Grandview_Inventory[[#This Row],[coeff]])+Grandview_Inventory[[#This Row],[const]]</f>
        <v>40160.988302686128</v>
      </c>
      <c r="S2286" t="s">
        <v>61</v>
      </c>
      <c r="T2286">
        <v>1</v>
      </c>
      <c r="U2286" t="s">
        <v>62</v>
      </c>
      <c r="V2286" t="s">
        <v>67</v>
      </c>
      <c r="W2286">
        <v>0</v>
      </c>
      <c r="X2286">
        <v>0</v>
      </c>
      <c r="Y2286">
        <v>17</v>
      </c>
      <c r="Z2286">
        <v>17</v>
      </c>
      <c r="AA2286">
        <v>20</v>
      </c>
      <c r="AB2286">
        <v>1500</v>
      </c>
      <c r="AC2286">
        <v>1468</v>
      </c>
      <c r="AD2286">
        <v>1468</v>
      </c>
      <c r="AE2286">
        <v>0</v>
      </c>
      <c r="AF2286">
        <v>0</v>
      </c>
      <c r="AG2286">
        <v>0</v>
      </c>
      <c r="AH2286">
        <v>0</v>
      </c>
      <c r="AI2286">
        <v>440</v>
      </c>
      <c r="AJ2286">
        <v>0</v>
      </c>
      <c r="AK2286">
        <v>0</v>
      </c>
      <c r="AL2286">
        <v>0</v>
      </c>
      <c r="AM2286">
        <v>131</v>
      </c>
      <c r="AN2286">
        <v>64</v>
      </c>
      <c r="AO2286">
        <v>0</v>
      </c>
      <c r="AP2286">
        <v>8</v>
      </c>
      <c r="AQ2286">
        <v>0</v>
      </c>
      <c r="AR2286">
        <v>0</v>
      </c>
      <c r="AS2286" t="s">
        <v>58</v>
      </c>
      <c r="AT2286">
        <v>1</v>
      </c>
      <c r="AU2286" t="s">
        <v>63</v>
      </c>
      <c r="AV2286" t="s">
        <v>64</v>
      </c>
      <c r="AW2286">
        <v>1</v>
      </c>
      <c r="AX2286">
        <v>3</v>
      </c>
      <c r="AY2286">
        <v>0</v>
      </c>
      <c r="AZ2286">
        <v>0</v>
      </c>
      <c r="BA2286">
        <v>100</v>
      </c>
      <c r="BB2286">
        <v>100</v>
      </c>
      <c r="BC2286">
        <v>100</v>
      </c>
      <c r="BD2286">
        <v>100</v>
      </c>
      <c r="BE2286">
        <v>1</v>
      </c>
      <c r="BF2286">
        <v>15000</v>
      </c>
      <c r="BG2286">
        <v>1000</v>
      </c>
      <c r="BH2286" s="6">
        <f>Grandview_Inventory[[#This Row],[land_extract]]*Lookups!$B$3</f>
        <v>46638.847281240982</v>
      </c>
      <c r="BI2286" s="6">
        <f>IF(Grandview_Inventory[[#This Row],[bldg_style]]="",0,Lookups!$B$2)</f>
        <v>155833.95000000001</v>
      </c>
      <c r="BJ2286" s="6">
        <f>_xlfn.IFNA(VLOOKUP(Grandview_Inventory[[#This Row],[quality]],Lookups!$H$2:$J$14,3,FALSE),0)</f>
        <v>9808</v>
      </c>
      <c r="BK2286" s="6">
        <f>_xlfn.IFNA(VLOOKUP(Grandview_Inventory[[#This Row],[condition]],Lookups!$H$17:$J$24,3,FALSE),0)</f>
        <v>22342</v>
      </c>
      <c r="BL2286" s="6">
        <f>Grandview_Inventory[[#This Row],[Eff_Age]]*Lookups!$B$14</f>
        <v>-4065.8321999999998</v>
      </c>
      <c r="BM2286" s="6">
        <f>Grandview_Inventory[[#This Row],[living_area]]*Lookups!$B$15</f>
        <v>91575.092204</v>
      </c>
      <c r="BN2286" s="6">
        <f>Grandview_Inventory[[#This Row],[Fin BSMT]]*Lookups!$B$16</f>
        <v>0</v>
      </c>
      <c r="BO2286" s="6">
        <f>(Grandview_Inventory[[#This Row],[att_gar]]+Grandview_Inventory[[#This Row],[bltin_gar]])*Lookups!$B$17</f>
        <v>38508.992279999999</v>
      </c>
      <c r="BP2286" s="6">
        <f>Grandview_Inventory[[#This Row],[Plumbing Fixtures]]*Lookups!$B$18</f>
        <v>16083.5344</v>
      </c>
      <c r="BQ2286" s="6">
        <f>Grandview_Inventory[[#This Row],[detatched_value]]*Lookups!$B$19</f>
        <v>0</v>
      </c>
      <c r="BR2286" s="6">
        <f>SUM(Grandview_Inventory[[#This Row],[Intercept]:[det_value]])*Grandview_Inventory[[#This Row],[res_pct]]</f>
        <v>330085.736684</v>
      </c>
      <c r="BS2286" s="6">
        <f>Grandview_Inventory[[#This Row],[land_value]]</f>
        <v>46638.847281240982</v>
      </c>
      <c r="BT2286" s="4">
        <f>_xlfn.IFNA(VLOOKUP(Grandview_Inventory[[#This Row],[quality]],Lookups!$A$26:$C$33,3,FALSE),1)</f>
        <v>0.94295468617355149</v>
      </c>
      <c r="BU2286" s="4">
        <f>_xlfn.IFNA(VLOOKUP(Grandview_Inventory[[#This Row],[condition]],Lookups!$A$37:$C$44,3,FALSE),1)</f>
        <v>0.97383723671140243</v>
      </c>
      <c r="BV2286" s="4">
        <f>IF(Grandview_Inventory[[#This Row],[bldg_style]]="",1,_xlfn.IFNA(VLOOKUP(Grandview_Inventory[[#This Row],[decade]],Lookups!$F$29:$H$43,3,FALSE),1))</f>
        <v>0.96737494181490646</v>
      </c>
      <c r="BW2286" s="4">
        <f>_xlfn.IFNA(VLOOKUP(Grandview_Inventory[[#This Row],[living_area_range]],Lookups!$F$47:$H$56,3,FALSE),1)</f>
        <v>0.96135087979789358</v>
      </c>
      <c r="BX2286" s="4">
        <f>AVERAGE(Grandview_Inventory[[#This Row],[qual_adj]:[size_adj]])</f>
        <v>0.96137943612443855</v>
      </c>
      <c r="BY2286" s="6">
        <f>IF(Grandview_Inventory[[#This Row],[pre_res]]&lt;0,0,Grandview_Inventory[[#This Row],[pre_res]]*Grandview_Inventory[[#This Row],[overall_adj]])</f>
        <v>317337.63940598385</v>
      </c>
      <c r="BZ2286" s="6">
        <f>(Grandview_Inventory[[#This Row],[sum_land]]-IF(Grandview_Inventory[[#This Row],[no_utilities]]=1,12000,0))/IF(Grandview_Inventory[[#This Row],[unbuildable]]=1,2,1)</f>
        <v>46638.847281240982</v>
      </c>
      <c r="CA228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86">
        <f>ROUND(Grandview_Inventory[[#This Row],[det_value]]*Lookups!$M$28,-2)</f>
        <v>0</v>
      </c>
      <c r="CC2286">
        <f>IF(ROUND(Grandview_Inventory[[#This Row],[adj_res]]*Lookups!$M$28,-2)&lt;Grandview_Inventory[[#This Row],[min_res]],Grandview_Inventory[[#This Row],[min_res]],ROUND(Grandview_Inventory[[#This Row],[adj_res]]*Lookups!$M$28,-2))</f>
        <v>301500</v>
      </c>
      <c r="CD2286">
        <f>Grandview_Inventory[[#This Row],[final_det]]+Grandview_Inventory[[#This Row],[final_res]]</f>
        <v>301500</v>
      </c>
      <c r="CE2286">
        <f>Grandview_Inventory[[#This Row],[final_land]]+Grandview_Inventory[[#This Row],[final_imp]]+Grandview_Inventory[[#This Row],[crop_value]]</f>
        <v>345800</v>
      </c>
      <c r="CG2286" t="str">
        <f t="shared" si="35"/>
        <v>update valuation set market_land =44300, market_bldg=301500, market_total =345800, market_mdno =401, market_date ='9/10/2023' where link_id = (select link_id from parcel where parcel_year = '2024' and parcel_id = '23092612441');</v>
      </c>
    </row>
    <row r="2287" spans="1:85" x14ac:dyDescent="0.25">
      <c r="A2287">
        <v>23092612442</v>
      </c>
      <c r="B2287">
        <v>0.15</v>
      </c>
      <c r="C2287">
        <v>6741</v>
      </c>
      <c r="D2287" t="s">
        <v>129</v>
      </c>
      <c r="E2287" t="s">
        <v>53</v>
      </c>
      <c r="F2287" t="s">
        <v>53</v>
      </c>
      <c r="G2287">
        <v>4</v>
      </c>
      <c r="H2287" t="s">
        <v>54</v>
      </c>
      <c r="I2287">
        <v>262400</v>
      </c>
      <c r="J2287">
        <v>40000</v>
      </c>
      <c r="K2287">
        <v>0.15</v>
      </c>
      <c r="L228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287">
        <v>0</v>
      </c>
      <c r="N2287">
        <v>0</v>
      </c>
      <c r="O2287">
        <v>0</v>
      </c>
      <c r="P2287">
        <v>13398.7528</v>
      </c>
      <c r="Q2287">
        <v>63903</v>
      </c>
      <c r="R2287">
        <f>(Grandview_Inventory[[#This Row],[ln_acres]]*Grandview_Inventory[[#This Row],[coeff]])+Grandview_Inventory[[#This Row],[const]]</f>
        <v>38483.958290574345</v>
      </c>
      <c r="S2287" t="s">
        <v>55</v>
      </c>
      <c r="T2287">
        <v>2</v>
      </c>
      <c r="U2287" t="s">
        <v>62</v>
      </c>
      <c r="V2287" t="s">
        <v>66</v>
      </c>
      <c r="W2287">
        <v>0</v>
      </c>
      <c r="X2287">
        <v>0</v>
      </c>
      <c r="Y2287">
        <v>17</v>
      </c>
      <c r="Z2287">
        <v>17</v>
      </c>
      <c r="AA2287">
        <v>20</v>
      </c>
      <c r="AB2287">
        <v>2000</v>
      </c>
      <c r="AC2287">
        <v>1940</v>
      </c>
      <c r="AD2287">
        <v>946</v>
      </c>
      <c r="AE2287">
        <v>994</v>
      </c>
      <c r="AF2287">
        <v>0</v>
      </c>
      <c r="AG2287">
        <v>0</v>
      </c>
      <c r="AH2287">
        <v>0</v>
      </c>
      <c r="AI2287">
        <v>0</v>
      </c>
      <c r="AJ2287">
        <v>434</v>
      </c>
      <c r="AK2287">
        <v>0</v>
      </c>
      <c r="AL2287">
        <v>0</v>
      </c>
      <c r="AM2287">
        <v>100</v>
      </c>
      <c r="AN2287">
        <v>50</v>
      </c>
      <c r="AO2287">
        <v>0</v>
      </c>
      <c r="AP2287">
        <v>12</v>
      </c>
      <c r="AQ2287">
        <v>0</v>
      </c>
      <c r="AR2287">
        <v>0</v>
      </c>
      <c r="AS2287" t="s">
        <v>58</v>
      </c>
      <c r="AT2287">
        <v>1</v>
      </c>
      <c r="AU2287" t="s">
        <v>63</v>
      </c>
      <c r="AV2287" t="s">
        <v>64</v>
      </c>
      <c r="AW2287">
        <v>1</v>
      </c>
      <c r="AX2287">
        <v>4</v>
      </c>
      <c r="AY2287">
        <v>0</v>
      </c>
      <c r="AZ2287">
        <v>0</v>
      </c>
      <c r="BA2287">
        <v>100</v>
      </c>
      <c r="BB2287">
        <v>100</v>
      </c>
      <c r="BC2287">
        <v>100</v>
      </c>
      <c r="BD2287">
        <v>100</v>
      </c>
      <c r="BE2287">
        <v>1</v>
      </c>
      <c r="BF2287">
        <v>15000</v>
      </c>
      <c r="BG2287">
        <v>1000</v>
      </c>
      <c r="BH2287" s="6">
        <f>Grandview_Inventory[[#This Row],[land_extract]]*Lookups!$B$3</f>
        <v>44691.316856156598</v>
      </c>
      <c r="BI2287" s="6">
        <f>IF(Grandview_Inventory[[#This Row],[bldg_style]]="",0,Lookups!$B$2)</f>
        <v>155833.95000000001</v>
      </c>
      <c r="BJ2287" s="6">
        <f>_xlfn.IFNA(VLOOKUP(Grandview_Inventory[[#This Row],[quality]],Lookups!$H$2:$J$14,3,FALSE),0)</f>
        <v>9808</v>
      </c>
      <c r="BK2287" s="6">
        <f>_xlfn.IFNA(VLOOKUP(Grandview_Inventory[[#This Row],[condition]],Lookups!$H$17:$J$24,3,FALSE),0)</f>
        <v>25818</v>
      </c>
      <c r="BL2287" s="6">
        <f>Grandview_Inventory[[#This Row],[Eff_Age]]*Lookups!$B$14</f>
        <v>-4065.8321999999998</v>
      </c>
      <c r="BM2287" s="6">
        <f>Grandview_Inventory[[#This Row],[living_area]]*Lookups!$B$15</f>
        <v>121018.85482000001</v>
      </c>
      <c r="BN2287" s="6">
        <f>Grandview_Inventory[[#This Row],[Fin BSMT]]*Lookups!$B$16</f>
        <v>0</v>
      </c>
      <c r="BO2287" s="6">
        <f>(Grandview_Inventory[[#This Row],[att_gar]]+Grandview_Inventory[[#This Row],[bltin_gar]])*Lookups!$B$17</f>
        <v>37983.869658000003</v>
      </c>
      <c r="BP2287" s="6">
        <f>Grandview_Inventory[[#This Row],[Plumbing Fixtures]]*Lookups!$B$18</f>
        <v>24125.301599999999</v>
      </c>
      <c r="BQ2287" s="6">
        <f>Grandview_Inventory[[#This Row],[detatched_value]]*Lookups!$B$19</f>
        <v>0</v>
      </c>
      <c r="BR2287" s="6">
        <f>SUM(Grandview_Inventory[[#This Row],[Intercept]:[det_value]])*Grandview_Inventory[[#This Row],[res_pct]]</f>
        <v>370522.14387800003</v>
      </c>
      <c r="BS2287" s="6">
        <f>Grandview_Inventory[[#This Row],[land_value]]</f>
        <v>44691.316856156598</v>
      </c>
      <c r="BT2287" s="4">
        <f>_xlfn.IFNA(VLOOKUP(Grandview_Inventory[[#This Row],[quality]],Lookups!$A$26:$C$33,3,FALSE),1)</f>
        <v>0.94295468617355149</v>
      </c>
      <c r="BU2287" s="4">
        <f>_xlfn.IFNA(VLOOKUP(Grandview_Inventory[[#This Row],[condition]],Lookups!$A$37:$C$44,3,FALSE),1)</f>
        <v>0.96661476234146892</v>
      </c>
      <c r="BV2287" s="4">
        <f>IF(Grandview_Inventory[[#This Row],[bldg_style]]="",1,_xlfn.IFNA(VLOOKUP(Grandview_Inventory[[#This Row],[decade]],Lookups!$F$29:$H$43,3,FALSE),1))</f>
        <v>0.96737494181490646</v>
      </c>
      <c r="BW2287" s="4">
        <f>_xlfn.IFNA(VLOOKUP(Grandview_Inventory[[#This Row],[living_area_range]],Lookups!$F$47:$H$56,3,FALSE),1)</f>
        <v>0.96120133463014379</v>
      </c>
      <c r="BX2287" s="4">
        <f>AVERAGE(Grandview_Inventory[[#This Row],[qual_adj]:[size_adj]])</f>
        <v>0.95953643124001764</v>
      </c>
      <c r="BY2287" s="6">
        <f>IF(Grandview_Inventory[[#This Row],[pre_res]]&lt;0,0,Grandview_Inventory[[#This Row],[pre_res]]*Grandview_Inventory[[#This Row],[overall_adj]])</f>
        <v>355529.49563209648</v>
      </c>
      <c r="BZ2287" s="6">
        <f>(Grandview_Inventory[[#This Row],[sum_land]]-IF(Grandview_Inventory[[#This Row],[no_utilities]]=1,12000,0))/IF(Grandview_Inventory[[#This Row],[unbuildable]]=1,2,1)</f>
        <v>44691.316856156598</v>
      </c>
      <c r="CA228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287">
        <f>ROUND(Grandview_Inventory[[#This Row],[det_value]]*Lookups!$M$28,-2)</f>
        <v>0</v>
      </c>
      <c r="CC2287">
        <f>IF(ROUND(Grandview_Inventory[[#This Row],[adj_res]]*Lookups!$M$28,-2)&lt;Grandview_Inventory[[#This Row],[min_res]],Grandview_Inventory[[#This Row],[min_res]],ROUND(Grandview_Inventory[[#This Row],[adj_res]]*Lookups!$M$28,-2))</f>
        <v>337800</v>
      </c>
      <c r="CD2287">
        <f>Grandview_Inventory[[#This Row],[final_det]]+Grandview_Inventory[[#This Row],[final_res]]</f>
        <v>337800</v>
      </c>
      <c r="CE2287">
        <f>Grandview_Inventory[[#This Row],[final_land]]+Grandview_Inventory[[#This Row],[final_imp]]+Grandview_Inventory[[#This Row],[crop_value]]</f>
        <v>380300</v>
      </c>
      <c r="CG2287" t="str">
        <f t="shared" si="35"/>
        <v>update valuation set market_land =42500, market_bldg=337800, market_total =380300, market_mdno =401, market_date ='9/10/2023' where link_id = (select link_id from parcel where parcel_year = '2024' and parcel_id = '23092612442');</v>
      </c>
    </row>
    <row r="2288" spans="1:85" x14ac:dyDescent="0.25">
      <c r="A2288">
        <v>23092612443</v>
      </c>
      <c r="B2288">
        <v>0.17</v>
      </c>
      <c r="C2288">
        <v>7546</v>
      </c>
      <c r="D2288" t="s">
        <v>129</v>
      </c>
      <c r="E2288" t="s">
        <v>53</v>
      </c>
      <c r="F2288" t="s">
        <v>53</v>
      </c>
      <c r="G2288">
        <v>4</v>
      </c>
      <c r="H2288" t="s">
        <v>54</v>
      </c>
      <c r="I2288">
        <v>231000</v>
      </c>
      <c r="J2288">
        <v>44700</v>
      </c>
      <c r="K2288">
        <v>0.17</v>
      </c>
      <c r="L228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288">
        <v>0</v>
      </c>
      <c r="N2288">
        <v>0</v>
      </c>
      <c r="O2288">
        <v>0</v>
      </c>
      <c r="P2288">
        <v>13398.7528</v>
      </c>
      <c r="Q2288">
        <v>63903</v>
      </c>
      <c r="R2288">
        <f>(Grandview_Inventory[[#This Row],[ln_acres]]*Grandview_Inventory[[#This Row],[coeff]])+Grandview_Inventory[[#This Row],[const]]</f>
        <v>40160.988302686128</v>
      </c>
      <c r="S2288" t="s">
        <v>61</v>
      </c>
      <c r="T2288">
        <v>1</v>
      </c>
      <c r="U2288" t="s">
        <v>62</v>
      </c>
      <c r="V2288" t="s">
        <v>66</v>
      </c>
      <c r="W2288">
        <v>0</v>
      </c>
      <c r="X2288">
        <v>0</v>
      </c>
      <c r="Y2288">
        <v>17</v>
      </c>
      <c r="Z2288">
        <v>17</v>
      </c>
      <c r="AA2288">
        <v>20</v>
      </c>
      <c r="AB2288">
        <v>2000</v>
      </c>
      <c r="AC2288">
        <v>1522</v>
      </c>
      <c r="AD2288">
        <v>1522</v>
      </c>
      <c r="AE2288">
        <v>0</v>
      </c>
      <c r="AF2288">
        <v>0</v>
      </c>
      <c r="AG2288">
        <v>0</v>
      </c>
      <c r="AH2288">
        <v>0</v>
      </c>
      <c r="AI2288">
        <v>440</v>
      </c>
      <c r="AJ2288">
        <v>0</v>
      </c>
      <c r="AK2288">
        <v>0</v>
      </c>
      <c r="AL2288">
        <v>0</v>
      </c>
      <c r="AM2288">
        <v>120</v>
      </c>
      <c r="AN2288">
        <v>64</v>
      </c>
      <c r="AO2288">
        <v>0</v>
      </c>
      <c r="AP2288">
        <v>8</v>
      </c>
      <c r="AQ2288">
        <v>0</v>
      </c>
      <c r="AR2288">
        <v>0</v>
      </c>
      <c r="AS2288" t="s">
        <v>58</v>
      </c>
      <c r="AT2288">
        <v>1</v>
      </c>
      <c r="AU2288" t="s">
        <v>63</v>
      </c>
      <c r="AV2288" t="s">
        <v>64</v>
      </c>
      <c r="AW2288">
        <v>1</v>
      </c>
      <c r="AX2288">
        <v>3</v>
      </c>
      <c r="AY2288">
        <v>0</v>
      </c>
      <c r="AZ2288">
        <v>0</v>
      </c>
      <c r="BA2288">
        <v>100</v>
      </c>
      <c r="BB2288">
        <v>100</v>
      </c>
      <c r="BC2288">
        <v>100</v>
      </c>
      <c r="BD2288">
        <v>100</v>
      </c>
      <c r="BE2288">
        <v>1</v>
      </c>
      <c r="BF2288">
        <v>15000</v>
      </c>
      <c r="BG2288">
        <v>1000</v>
      </c>
      <c r="BH2288" s="6">
        <f>Grandview_Inventory[[#This Row],[land_extract]]*Lookups!$B$3</f>
        <v>46638.847281240982</v>
      </c>
      <c r="BI2288" s="6">
        <f>IF(Grandview_Inventory[[#This Row],[bldg_style]]="",0,Lookups!$B$2)</f>
        <v>155833.95000000001</v>
      </c>
      <c r="BJ2288" s="6">
        <f>_xlfn.IFNA(VLOOKUP(Grandview_Inventory[[#This Row],[quality]],Lookups!$H$2:$J$14,3,FALSE),0)</f>
        <v>9808</v>
      </c>
      <c r="BK2288" s="6">
        <f>_xlfn.IFNA(VLOOKUP(Grandview_Inventory[[#This Row],[condition]],Lookups!$H$17:$J$24,3,FALSE),0)</f>
        <v>25818</v>
      </c>
      <c r="BL2288" s="6">
        <f>Grandview_Inventory[[#This Row],[Eff_Age]]*Lookups!$B$14</f>
        <v>-4065.8321999999998</v>
      </c>
      <c r="BM2288" s="6">
        <f>Grandview_Inventory[[#This Row],[living_area]]*Lookups!$B$15</f>
        <v>94943.658265999999</v>
      </c>
      <c r="BN2288" s="6">
        <f>Grandview_Inventory[[#This Row],[Fin BSMT]]*Lookups!$B$16</f>
        <v>0</v>
      </c>
      <c r="BO2288" s="6">
        <f>(Grandview_Inventory[[#This Row],[att_gar]]+Grandview_Inventory[[#This Row],[bltin_gar]])*Lookups!$B$17</f>
        <v>38508.992279999999</v>
      </c>
      <c r="BP2288" s="6">
        <f>Grandview_Inventory[[#This Row],[Plumbing Fixtures]]*Lookups!$B$18</f>
        <v>16083.5344</v>
      </c>
      <c r="BQ2288" s="6">
        <f>Grandview_Inventory[[#This Row],[detatched_value]]*Lookups!$B$19</f>
        <v>0</v>
      </c>
      <c r="BR2288" s="6">
        <f>SUM(Grandview_Inventory[[#This Row],[Intercept]:[det_value]])*Grandview_Inventory[[#This Row],[res_pct]]</f>
        <v>336930.302746</v>
      </c>
      <c r="BS2288" s="6">
        <f>Grandview_Inventory[[#This Row],[land_value]]</f>
        <v>46638.847281240982</v>
      </c>
      <c r="BT2288" s="4">
        <f>_xlfn.IFNA(VLOOKUP(Grandview_Inventory[[#This Row],[quality]],Lookups!$A$26:$C$33,3,FALSE),1)</f>
        <v>0.94295468617355149</v>
      </c>
      <c r="BU2288" s="4">
        <f>_xlfn.IFNA(VLOOKUP(Grandview_Inventory[[#This Row],[condition]],Lookups!$A$37:$C$44,3,FALSE),1)</f>
        <v>0.96661476234146892</v>
      </c>
      <c r="BV2288" s="4">
        <f>IF(Grandview_Inventory[[#This Row],[bldg_style]]="",1,_xlfn.IFNA(VLOOKUP(Grandview_Inventory[[#This Row],[decade]],Lookups!$F$29:$H$43,3,FALSE),1))</f>
        <v>0.96737494181490646</v>
      </c>
      <c r="BW2288" s="4">
        <f>_xlfn.IFNA(VLOOKUP(Grandview_Inventory[[#This Row],[living_area_range]],Lookups!$F$47:$H$56,3,FALSE),1)</f>
        <v>0.96120133463014379</v>
      </c>
      <c r="BX2288" s="4">
        <f>AVERAGE(Grandview_Inventory[[#This Row],[qual_adj]:[size_adj]])</f>
        <v>0.95953643124001764</v>
      </c>
      <c r="BY2288" s="6">
        <f>IF(Grandview_Inventory[[#This Row],[pre_res]]&lt;0,0,Grandview_Inventory[[#This Row],[pre_res]]*Grandview_Inventory[[#This Row],[overall_adj]])</f>
        <v>323296.90027351555</v>
      </c>
      <c r="BZ2288" s="6">
        <f>(Grandview_Inventory[[#This Row],[sum_land]]-IF(Grandview_Inventory[[#This Row],[no_utilities]]=1,12000,0))/IF(Grandview_Inventory[[#This Row],[unbuildable]]=1,2,1)</f>
        <v>46638.847281240982</v>
      </c>
      <c r="CA228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288">
        <f>ROUND(Grandview_Inventory[[#This Row],[det_value]]*Lookups!$M$28,-2)</f>
        <v>0</v>
      </c>
      <c r="CC2288">
        <f>IF(ROUND(Grandview_Inventory[[#This Row],[adj_res]]*Lookups!$M$28,-2)&lt;Grandview_Inventory[[#This Row],[min_res]],Grandview_Inventory[[#This Row],[min_res]],ROUND(Grandview_Inventory[[#This Row],[adj_res]]*Lookups!$M$28,-2))</f>
        <v>307100</v>
      </c>
      <c r="CD2288">
        <f>Grandview_Inventory[[#This Row],[final_det]]+Grandview_Inventory[[#This Row],[final_res]]</f>
        <v>307100</v>
      </c>
      <c r="CE2288">
        <f>Grandview_Inventory[[#This Row],[final_land]]+Grandview_Inventory[[#This Row],[final_imp]]+Grandview_Inventory[[#This Row],[crop_value]]</f>
        <v>351400</v>
      </c>
      <c r="CG2288" t="str">
        <f t="shared" si="35"/>
        <v>update valuation set market_land =44300, market_bldg=307100, market_total =351400, market_mdno =401, market_date ='9/10/2023' where link_id = (select link_id from parcel where parcel_year = '2024' and parcel_id = '23092612443');</v>
      </c>
    </row>
    <row r="2289" spans="1:85" x14ac:dyDescent="0.25">
      <c r="A2289">
        <v>23092612444</v>
      </c>
      <c r="B2289">
        <v>0.19</v>
      </c>
      <c r="C2289">
        <v>8270</v>
      </c>
      <c r="D2289" t="s">
        <v>129</v>
      </c>
      <c r="E2289" t="s">
        <v>53</v>
      </c>
      <c r="F2289" t="s">
        <v>53</v>
      </c>
      <c r="G2289">
        <v>4</v>
      </c>
      <c r="H2289" t="s">
        <v>54</v>
      </c>
      <c r="I2289">
        <v>262400</v>
      </c>
      <c r="J2289">
        <v>39100</v>
      </c>
      <c r="K2289">
        <v>0.19</v>
      </c>
      <c r="L228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89">
        <v>0</v>
      </c>
      <c r="N2289">
        <v>0</v>
      </c>
      <c r="O2289">
        <v>0</v>
      </c>
      <c r="P2289">
        <v>13398.7528</v>
      </c>
      <c r="Q2289">
        <v>63903</v>
      </c>
      <c r="R2289">
        <f>(Grandview_Inventory[[#This Row],[ln_acres]]*Grandview_Inventory[[#This Row],[coeff]])+Grandview_Inventory[[#This Row],[const]]</f>
        <v>41651.273092551026</v>
      </c>
      <c r="S2289" t="s">
        <v>55</v>
      </c>
      <c r="T2289">
        <v>2</v>
      </c>
      <c r="U2289" t="s">
        <v>62</v>
      </c>
      <c r="V2289" t="s">
        <v>66</v>
      </c>
      <c r="W2289">
        <v>0</v>
      </c>
      <c r="X2289">
        <v>0</v>
      </c>
      <c r="Y2289">
        <v>17</v>
      </c>
      <c r="Z2289">
        <v>17</v>
      </c>
      <c r="AA2289">
        <v>20</v>
      </c>
      <c r="AB2289">
        <v>2000</v>
      </c>
      <c r="AC2289">
        <v>1942</v>
      </c>
      <c r="AD2289">
        <v>948</v>
      </c>
      <c r="AE2289">
        <v>994</v>
      </c>
      <c r="AF2289">
        <v>0</v>
      </c>
      <c r="AG2289">
        <v>0</v>
      </c>
      <c r="AH2289">
        <v>0</v>
      </c>
      <c r="AI2289">
        <v>0</v>
      </c>
      <c r="AJ2289">
        <v>432</v>
      </c>
      <c r="AK2289">
        <v>0</v>
      </c>
      <c r="AL2289">
        <v>0</v>
      </c>
      <c r="AM2289">
        <v>100</v>
      </c>
      <c r="AN2289">
        <v>50</v>
      </c>
      <c r="AO2289">
        <v>0</v>
      </c>
      <c r="AP2289">
        <v>12</v>
      </c>
      <c r="AQ2289">
        <v>0</v>
      </c>
      <c r="AR2289">
        <v>0</v>
      </c>
      <c r="AS2289" t="s">
        <v>58</v>
      </c>
      <c r="AT2289">
        <v>1</v>
      </c>
      <c r="AU2289" t="s">
        <v>63</v>
      </c>
      <c r="AV2289" t="s">
        <v>64</v>
      </c>
      <c r="AW2289">
        <v>1</v>
      </c>
      <c r="AX2289">
        <v>4</v>
      </c>
      <c r="AY2289">
        <v>0</v>
      </c>
      <c r="AZ2289">
        <v>0</v>
      </c>
      <c r="BA2289">
        <v>100</v>
      </c>
      <c r="BB2289">
        <v>100</v>
      </c>
      <c r="BC2289">
        <v>100</v>
      </c>
      <c r="BD2289">
        <v>100</v>
      </c>
      <c r="BE2289">
        <v>1</v>
      </c>
      <c r="BF2289">
        <v>15000</v>
      </c>
      <c r="BG2289">
        <v>1000</v>
      </c>
      <c r="BH2289" s="6">
        <f>Grandview_Inventory[[#This Row],[land_extract]]*Lookups!$B$3</f>
        <v>48369.510983942157</v>
      </c>
      <c r="BI2289" s="6">
        <f>IF(Grandview_Inventory[[#This Row],[bldg_style]]="",0,Lookups!$B$2)</f>
        <v>155833.95000000001</v>
      </c>
      <c r="BJ2289" s="6">
        <f>_xlfn.IFNA(VLOOKUP(Grandview_Inventory[[#This Row],[quality]],Lookups!$H$2:$J$14,3,FALSE),0)</f>
        <v>9808</v>
      </c>
      <c r="BK2289" s="6">
        <f>_xlfn.IFNA(VLOOKUP(Grandview_Inventory[[#This Row],[condition]],Lookups!$H$17:$J$24,3,FALSE),0)</f>
        <v>25818</v>
      </c>
      <c r="BL2289" s="6">
        <f>Grandview_Inventory[[#This Row],[Eff_Age]]*Lookups!$B$14</f>
        <v>-4065.8321999999998</v>
      </c>
      <c r="BM2289" s="6">
        <f>Grandview_Inventory[[#This Row],[living_area]]*Lookups!$B$15</f>
        <v>121143.616526</v>
      </c>
      <c r="BN2289" s="6">
        <f>Grandview_Inventory[[#This Row],[Fin BSMT]]*Lookups!$B$16</f>
        <v>0</v>
      </c>
      <c r="BO2289" s="6">
        <f>(Grandview_Inventory[[#This Row],[att_gar]]+Grandview_Inventory[[#This Row],[bltin_gar]])*Lookups!$B$17</f>
        <v>37808.828783999998</v>
      </c>
      <c r="BP2289" s="6">
        <f>Grandview_Inventory[[#This Row],[Plumbing Fixtures]]*Lookups!$B$18</f>
        <v>24125.301599999999</v>
      </c>
      <c r="BQ2289" s="6">
        <f>Grandview_Inventory[[#This Row],[detatched_value]]*Lookups!$B$19</f>
        <v>0</v>
      </c>
      <c r="BR2289" s="6">
        <f>SUM(Grandview_Inventory[[#This Row],[Intercept]:[det_value]])*Grandview_Inventory[[#This Row],[res_pct]]</f>
        <v>370471.86470999999</v>
      </c>
      <c r="BS2289" s="6">
        <f>Grandview_Inventory[[#This Row],[land_value]]</f>
        <v>48369.510983942157</v>
      </c>
      <c r="BT2289" s="4">
        <f>_xlfn.IFNA(VLOOKUP(Grandview_Inventory[[#This Row],[quality]],Lookups!$A$26:$C$33,3,FALSE),1)</f>
        <v>0.94295468617355149</v>
      </c>
      <c r="BU2289" s="4">
        <f>_xlfn.IFNA(VLOOKUP(Grandview_Inventory[[#This Row],[condition]],Lookups!$A$37:$C$44,3,FALSE),1)</f>
        <v>0.96661476234146892</v>
      </c>
      <c r="BV2289" s="4">
        <f>IF(Grandview_Inventory[[#This Row],[bldg_style]]="",1,_xlfn.IFNA(VLOOKUP(Grandview_Inventory[[#This Row],[decade]],Lookups!$F$29:$H$43,3,FALSE),1))</f>
        <v>0.96737494181490646</v>
      </c>
      <c r="BW2289" s="4">
        <f>_xlfn.IFNA(VLOOKUP(Grandview_Inventory[[#This Row],[living_area_range]],Lookups!$F$47:$H$56,3,FALSE),1)</f>
        <v>0.96120133463014379</v>
      </c>
      <c r="BX2289" s="4">
        <f>AVERAGE(Grandview_Inventory[[#This Row],[qual_adj]:[size_adj]])</f>
        <v>0.95953643124001764</v>
      </c>
      <c r="BY2289" s="6">
        <f>IF(Grandview_Inventory[[#This Row],[pre_res]]&lt;0,0,Grandview_Inventory[[#This Row],[pre_res]]*Grandview_Inventory[[#This Row],[overall_adj]])</f>
        <v>355481.25093866803</v>
      </c>
      <c r="BZ2289" s="6">
        <f>(Grandview_Inventory[[#This Row],[sum_land]]-IF(Grandview_Inventory[[#This Row],[no_utilities]]=1,12000,0))/IF(Grandview_Inventory[[#This Row],[unbuildable]]=1,2,1)</f>
        <v>48369.510983942157</v>
      </c>
      <c r="CA228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89">
        <f>ROUND(Grandview_Inventory[[#This Row],[det_value]]*Lookups!$M$28,-2)</f>
        <v>0</v>
      </c>
      <c r="CC2289">
        <f>IF(ROUND(Grandview_Inventory[[#This Row],[adj_res]]*Lookups!$M$28,-2)&lt;Grandview_Inventory[[#This Row],[min_res]],Grandview_Inventory[[#This Row],[min_res]],ROUND(Grandview_Inventory[[#This Row],[adj_res]]*Lookups!$M$28,-2))</f>
        <v>337700</v>
      </c>
      <c r="CD2289">
        <f>Grandview_Inventory[[#This Row],[final_det]]+Grandview_Inventory[[#This Row],[final_res]]</f>
        <v>337700</v>
      </c>
      <c r="CE2289">
        <f>Grandview_Inventory[[#This Row],[final_land]]+Grandview_Inventory[[#This Row],[final_imp]]+Grandview_Inventory[[#This Row],[crop_value]]</f>
        <v>383700</v>
      </c>
      <c r="CG2289" t="str">
        <f t="shared" si="35"/>
        <v>update valuation set market_land =46000, market_bldg=337700, market_total =383700, market_mdno =401, market_date ='9/10/2023' where link_id = (select link_id from parcel where parcel_year = '2024' and parcel_id = '23092612444');</v>
      </c>
    </row>
    <row r="2290" spans="1:85" x14ac:dyDescent="0.25">
      <c r="A2290">
        <v>23092612445</v>
      </c>
      <c r="B2290">
        <v>0.23</v>
      </c>
      <c r="C2290">
        <v>10120</v>
      </c>
      <c r="D2290" t="s">
        <v>129</v>
      </c>
      <c r="E2290" t="s">
        <v>53</v>
      </c>
      <c r="F2290" t="s">
        <v>53</v>
      </c>
      <c r="G2290">
        <v>4</v>
      </c>
      <c r="H2290" t="s">
        <v>54</v>
      </c>
      <c r="I2290">
        <v>246200</v>
      </c>
      <c r="J2290">
        <v>39700</v>
      </c>
      <c r="K2290">
        <v>0.23</v>
      </c>
      <c r="L229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290">
        <v>0</v>
      </c>
      <c r="N2290">
        <v>0</v>
      </c>
      <c r="O2290">
        <v>0</v>
      </c>
      <c r="P2290">
        <v>13398.7528</v>
      </c>
      <c r="Q2290">
        <v>63903</v>
      </c>
      <c r="R2290">
        <f>(Grandview_Inventory[[#This Row],[ln_acres]]*Grandview_Inventory[[#This Row],[coeff]])+Grandview_Inventory[[#This Row],[const]]</f>
        <v>44211.174981080039</v>
      </c>
      <c r="S2290" t="s">
        <v>61</v>
      </c>
      <c r="T2290">
        <v>1</v>
      </c>
      <c r="U2290" t="s">
        <v>62</v>
      </c>
      <c r="V2290" t="s">
        <v>66</v>
      </c>
      <c r="W2290">
        <v>0</v>
      </c>
      <c r="X2290">
        <v>0</v>
      </c>
      <c r="Y2290">
        <v>17</v>
      </c>
      <c r="Z2290">
        <v>17</v>
      </c>
      <c r="AA2290">
        <v>20</v>
      </c>
      <c r="AB2290">
        <v>1500</v>
      </c>
      <c r="AC2290">
        <v>1468</v>
      </c>
      <c r="AD2290">
        <v>1468</v>
      </c>
      <c r="AE2290">
        <v>0</v>
      </c>
      <c r="AF2290">
        <v>0</v>
      </c>
      <c r="AG2290">
        <v>0</v>
      </c>
      <c r="AH2290">
        <v>0</v>
      </c>
      <c r="AI2290">
        <v>440</v>
      </c>
      <c r="AJ2290">
        <v>0</v>
      </c>
      <c r="AK2290">
        <v>0</v>
      </c>
      <c r="AL2290">
        <v>0</v>
      </c>
      <c r="AM2290">
        <v>452</v>
      </c>
      <c r="AN2290">
        <v>72</v>
      </c>
      <c r="AO2290">
        <v>0</v>
      </c>
      <c r="AP2290">
        <v>8</v>
      </c>
      <c r="AQ2290">
        <v>0</v>
      </c>
      <c r="AR2290">
        <v>0</v>
      </c>
      <c r="AS2290" t="s">
        <v>58</v>
      </c>
      <c r="AT2290">
        <v>1</v>
      </c>
      <c r="AU2290" t="s">
        <v>63</v>
      </c>
      <c r="AV2290" t="s">
        <v>64</v>
      </c>
      <c r="AW2290">
        <v>1</v>
      </c>
      <c r="AX2290">
        <v>3</v>
      </c>
      <c r="AY2290">
        <v>0</v>
      </c>
      <c r="AZ2290">
        <v>16600</v>
      </c>
      <c r="BA2290">
        <v>100</v>
      </c>
      <c r="BB2290">
        <v>100</v>
      </c>
      <c r="BC2290">
        <v>100</v>
      </c>
      <c r="BD2290">
        <v>100</v>
      </c>
      <c r="BE2290">
        <v>1</v>
      </c>
      <c r="BF2290">
        <v>15000</v>
      </c>
      <c r="BG2290">
        <v>1000</v>
      </c>
      <c r="BH2290" s="6">
        <f>Grandview_Inventory[[#This Row],[land_extract]]*Lookups!$B$3</f>
        <v>51342.318135355803</v>
      </c>
      <c r="BI2290" s="6">
        <f>IF(Grandview_Inventory[[#This Row],[bldg_style]]="",0,Lookups!$B$2)</f>
        <v>155833.95000000001</v>
      </c>
      <c r="BJ2290" s="6">
        <f>_xlfn.IFNA(VLOOKUP(Grandview_Inventory[[#This Row],[quality]],Lookups!$H$2:$J$14,3,FALSE),0)</f>
        <v>9808</v>
      </c>
      <c r="BK2290" s="6">
        <f>_xlfn.IFNA(VLOOKUP(Grandview_Inventory[[#This Row],[condition]],Lookups!$H$17:$J$24,3,FALSE),0)</f>
        <v>25818</v>
      </c>
      <c r="BL2290" s="6">
        <f>Grandview_Inventory[[#This Row],[Eff_Age]]*Lookups!$B$14</f>
        <v>-4065.8321999999998</v>
      </c>
      <c r="BM2290" s="6">
        <f>Grandview_Inventory[[#This Row],[living_area]]*Lookups!$B$15</f>
        <v>91575.092204</v>
      </c>
      <c r="BN2290" s="6">
        <f>Grandview_Inventory[[#This Row],[Fin BSMT]]*Lookups!$B$16</f>
        <v>0</v>
      </c>
      <c r="BO2290" s="6">
        <f>(Grandview_Inventory[[#This Row],[att_gar]]+Grandview_Inventory[[#This Row],[bltin_gar]])*Lookups!$B$17</f>
        <v>38508.992279999999</v>
      </c>
      <c r="BP2290" s="6">
        <f>Grandview_Inventory[[#This Row],[Plumbing Fixtures]]*Lookups!$B$18</f>
        <v>16083.5344</v>
      </c>
      <c r="BQ2290" s="6">
        <f>Grandview_Inventory[[#This Row],[detatched_value]]*Lookups!$B$19</f>
        <v>14056.96466</v>
      </c>
      <c r="BR2290" s="6">
        <f>SUM(Grandview_Inventory[[#This Row],[Intercept]:[det_value]])*Grandview_Inventory[[#This Row],[res_pct]]</f>
        <v>347618.701344</v>
      </c>
      <c r="BS2290" s="6">
        <f>Grandview_Inventory[[#This Row],[land_value]]</f>
        <v>51342.318135355803</v>
      </c>
      <c r="BT2290" s="4">
        <f>_xlfn.IFNA(VLOOKUP(Grandview_Inventory[[#This Row],[quality]],Lookups!$A$26:$C$33,3,FALSE),1)</f>
        <v>0.94295468617355149</v>
      </c>
      <c r="BU2290" s="4">
        <f>_xlfn.IFNA(VLOOKUP(Grandview_Inventory[[#This Row],[condition]],Lookups!$A$37:$C$44,3,FALSE),1)</f>
        <v>0.96661476234146892</v>
      </c>
      <c r="BV2290" s="4">
        <f>IF(Grandview_Inventory[[#This Row],[bldg_style]]="",1,_xlfn.IFNA(VLOOKUP(Grandview_Inventory[[#This Row],[decade]],Lookups!$F$29:$H$43,3,FALSE),1))</f>
        <v>0.96737494181490646</v>
      </c>
      <c r="BW2290" s="4">
        <f>_xlfn.IFNA(VLOOKUP(Grandview_Inventory[[#This Row],[living_area_range]],Lookups!$F$47:$H$56,3,FALSE),1)</f>
        <v>0.96135087979789358</v>
      </c>
      <c r="BX2290" s="4">
        <f>AVERAGE(Grandview_Inventory[[#This Row],[qual_adj]:[size_adj]])</f>
        <v>0.95957381753195514</v>
      </c>
      <c r="BY2290" s="6">
        <f>IF(Grandview_Inventory[[#This Row],[pre_res]]&lt;0,0,Grandview_Inventory[[#This Row],[pre_res]]*Grandview_Inventory[[#This Row],[overall_adj]])</f>
        <v>333565.80429416266</v>
      </c>
      <c r="BZ2290" s="6">
        <f>(Grandview_Inventory[[#This Row],[sum_land]]-IF(Grandview_Inventory[[#This Row],[no_utilities]]=1,12000,0))/IF(Grandview_Inventory[[#This Row],[unbuildable]]=1,2,1)</f>
        <v>51342.318135355803</v>
      </c>
      <c r="CA229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290">
        <f>ROUND(Grandview_Inventory[[#This Row],[det_value]]*Lookups!$M$28,-2)</f>
        <v>13400</v>
      </c>
      <c r="CC2290">
        <f>IF(ROUND(Grandview_Inventory[[#This Row],[adj_res]]*Lookups!$M$28,-2)&lt;Grandview_Inventory[[#This Row],[min_res]],Grandview_Inventory[[#This Row],[min_res]],ROUND(Grandview_Inventory[[#This Row],[adj_res]]*Lookups!$M$28,-2))</f>
        <v>316900</v>
      </c>
      <c r="CD2290">
        <f>Grandview_Inventory[[#This Row],[final_det]]+Grandview_Inventory[[#This Row],[final_res]]</f>
        <v>330300</v>
      </c>
      <c r="CE2290">
        <f>Grandview_Inventory[[#This Row],[final_land]]+Grandview_Inventory[[#This Row],[final_imp]]+Grandview_Inventory[[#This Row],[crop_value]]</f>
        <v>379100</v>
      </c>
      <c r="CG2290" t="str">
        <f t="shared" si="35"/>
        <v>update valuation set market_land =48800, market_bldg=330300, market_total =379100, market_mdno =401, market_date ='9/10/2023' where link_id = (select link_id from parcel where parcel_year = '2024' and parcel_id = '23092612445');</v>
      </c>
    </row>
    <row r="2291" spans="1:85" x14ac:dyDescent="0.25">
      <c r="A2291">
        <v>23092612448</v>
      </c>
      <c r="B2291">
        <v>0.51</v>
      </c>
      <c r="C2291">
        <v>22175</v>
      </c>
      <c r="D2291" t="s">
        <v>129</v>
      </c>
      <c r="E2291" t="s">
        <v>53</v>
      </c>
      <c r="F2291" t="s">
        <v>53</v>
      </c>
      <c r="G2291">
        <v>4</v>
      </c>
      <c r="H2291" t="s">
        <v>54</v>
      </c>
      <c r="I2291">
        <v>226100</v>
      </c>
      <c r="J2291">
        <v>43700</v>
      </c>
      <c r="K2291">
        <v>0.51</v>
      </c>
      <c r="L2291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2291">
        <v>0</v>
      </c>
      <c r="N2291">
        <v>0</v>
      </c>
      <c r="O2291">
        <v>0</v>
      </c>
      <c r="P2291">
        <v>13398.7528</v>
      </c>
      <c r="Q2291">
        <v>63903</v>
      </c>
      <c r="R2291">
        <f>(Grandview_Inventory[[#This Row],[ln_acres]]*Grandview_Inventory[[#This Row],[coeff]])+Grandview_Inventory[[#This Row],[const]]</f>
        <v>54881.022781592372</v>
      </c>
      <c r="S2291" t="s">
        <v>68</v>
      </c>
      <c r="T2291">
        <v>1</v>
      </c>
      <c r="U2291" t="s">
        <v>65</v>
      </c>
      <c r="V2291" t="s">
        <v>67</v>
      </c>
      <c r="W2291">
        <v>0</v>
      </c>
      <c r="X2291">
        <v>0</v>
      </c>
      <c r="Y2291">
        <v>65</v>
      </c>
      <c r="Z2291">
        <v>113</v>
      </c>
      <c r="AA2291">
        <v>120</v>
      </c>
      <c r="AB2291">
        <v>2000</v>
      </c>
      <c r="AC2291">
        <v>1626</v>
      </c>
      <c r="AD2291">
        <v>1626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192</v>
      </c>
      <c r="AM2291">
        <v>0</v>
      </c>
      <c r="AN2291">
        <v>0</v>
      </c>
      <c r="AO2291">
        <v>0</v>
      </c>
      <c r="AP2291">
        <v>8</v>
      </c>
      <c r="AQ2291">
        <v>1</v>
      </c>
      <c r="AR2291">
        <v>0</v>
      </c>
      <c r="AS2291" t="s">
        <v>58</v>
      </c>
      <c r="AT2291">
        <v>1</v>
      </c>
      <c r="AU2291" t="s">
        <v>59</v>
      </c>
      <c r="AV2291" t="s">
        <v>60</v>
      </c>
      <c r="AW2291">
        <v>1</v>
      </c>
      <c r="AX2291">
        <v>3</v>
      </c>
      <c r="AY2291">
        <v>0</v>
      </c>
      <c r="AZ2291">
        <v>22400</v>
      </c>
      <c r="BA2291">
        <v>100</v>
      </c>
      <c r="BB2291">
        <v>100</v>
      </c>
      <c r="BC2291">
        <v>100</v>
      </c>
      <c r="BD2291">
        <v>100</v>
      </c>
      <c r="BE2291">
        <v>1</v>
      </c>
      <c r="BF2291">
        <v>15000</v>
      </c>
      <c r="BG2291">
        <v>1000</v>
      </c>
      <c r="BH2291" s="6">
        <f>Grandview_Inventory[[#This Row],[land_extract]]*Lookups!$B$3</f>
        <v>63733.18357750171</v>
      </c>
      <c r="BI2291" s="6">
        <f>IF(Grandview_Inventory[[#This Row],[bldg_style]]="",0,Lookups!$B$2)</f>
        <v>155833.95000000001</v>
      </c>
      <c r="BJ2291" s="6">
        <f>_xlfn.IFNA(VLOOKUP(Grandview_Inventory[[#This Row],[quality]],Lookups!$H$2:$J$14,3,FALSE),0)</f>
        <v>2251</v>
      </c>
      <c r="BK2291" s="6">
        <f>_xlfn.IFNA(VLOOKUP(Grandview_Inventory[[#This Row],[condition]],Lookups!$H$17:$J$24,3,FALSE),0)</f>
        <v>22342</v>
      </c>
      <c r="BL2291" s="6">
        <f>Grandview_Inventory[[#This Row],[Eff_Age]]*Lookups!$B$14</f>
        <v>-15545.829</v>
      </c>
      <c r="BM2291" s="6">
        <f>Grandview_Inventory[[#This Row],[living_area]]*Lookups!$B$15</f>
        <v>101431.266978</v>
      </c>
      <c r="BN2291" s="6">
        <f>Grandview_Inventory[[#This Row],[Fin BSMT]]*Lookups!$B$16</f>
        <v>0</v>
      </c>
      <c r="BO2291" s="6">
        <f>(Grandview_Inventory[[#This Row],[att_gar]]+Grandview_Inventory[[#This Row],[bltin_gar]])*Lookups!$B$17</f>
        <v>0</v>
      </c>
      <c r="BP2291" s="6">
        <f>Grandview_Inventory[[#This Row],[Plumbing Fixtures]]*Lookups!$B$18</f>
        <v>16083.5344</v>
      </c>
      <c r="BQ2291" s="6">
        <f>Grandview_Inventory[[#This Row],[detatched_value]]*Lookups!$B$19</f>
        <v>18968.434239999999</v>
      </c>
      <c r="BR2291" s="6">
        <f>SUM(Grandview_Inventory[[#This Row],[Intercept]:[det_value]])*Grandview_Inventory[[#This Row],[res_pct]]</f>
        <v>301364.35661799996</v>
      </c>
      <c r="BS2291" s="6">
        <f>Grandview_Inventory[[#This Row],[land_value]]</f>
        <v>63733.18357750171</v>
      </c>
      <c r="BT2291" s="4">
        <f>_xlfn.IFNA(VLOOKUP(Grandview_Inventory[[#This Row],[quality]],Lookups!$A$26:$C$33,3,FALSE),1)</f>
        <v>0.98763855981004833</v>
      </c>
      <c r="BU2291" s="4">
        <f>_xlfn.IFNA(VLOOKUP(Grandview_Inventory[[#This Row],[condition]],Lookups!$A$37:$C$44,3,FALSE),1)</f>
        <v>0.97383723671140243</v>
      </c>
      <c r="BV2291" s="4">
        <f>IF(Grandview_Inventory[[#This Row],[bldg_style]]="",1,_xlfn.IFNA(VLOOKUP(Grandview_Inventory[[#This Row],[decade]],Lookups!$F$29:$H$43,3,FALSE),1))</f>
        <v>0.9251738460551937</v>
      </c>
      <c r="BW2291" s="4">
        <f>_xlfn.IFNA(VLOOKUP(Grandview_Inventory[[#This Row],[living_area_range]],Lookups!$F$47:$H$56,3,FALSE),1)</f>
        <v>0.96120133463014379</v>
      </c>
      <c r="BX2291" s="4">
        <f>AVERAGE(Grandview_Inventory[[#This Row],[qual_adj]:[size_adj]])</f>
        <v>0.96196274430169715</v>
      </c>
      <c r="BY2291" s="6">
        <f>IF(Grandview_Inventory[[#This Row],[pre_res]]&lt;0,0,Grandview_Inventory[[#This Row],[pre_res]]*Grandview_Inventory[[#This Row],[overall_adj]])</f>
        <v>289901.28352696658</v>
      </c>
      <c r="BZ2291" s="6">
        <f>(Grandview_Inventory[[#This Row],[sum_land]]-IF(Grandview_Inventory[[#This Row],[no_utilities]]=1,12000,0))/IF(Grandview_Inventory[[#This Row],[unbuildable]]=1,2,1)</f>
        <v>63733.18357750171</v>
      </c>
      <c r="CA2291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2291">
        <f>ROUND(Grandview_Inventory[[#This Row],[det_value]]*Lookups!$M$28,-2)</f>
        <v>18000</v>
      </c>
      <c r="CC2291">
        <f>IF(ROUND(Grandview_Inventory[[#This Row],[adj_res]]*Lookups!$M$28,-2)&lt;Grandview_Inventory[[#This Row],[min_res]],Grandview_Inventory[[#This Row],[min_res]],ROUND(Grandview_Inventory[[#This Row],[adj_res]]*Lookups!$M$28,-2))</f>
        <v>275400</v>
      </c>
      <c r="CD2291">
        <f>Grandview_Inventory[[#This Row],[final_det]]+Grandview_Inventory[[#This Row],[final_res]]</f>
        <v>293400</v>
      </c>
      <c r="CE2291">
        <f>Grandview_Inventory[[#This Row],[final_land]]+Grandview_Inventory[[#This Row],[final_imp]]+Grandview_Inventory[[#This Row],[crop_value]]</f>
        <v>353900</v>
      </c>
      <c r="CG2291" t="str">
        <f t="shared" si="35"/>
        <v>update valuation set market_land =60500, market_bldg=293400, market_total =353900, market_mdno =401, market_date ='9/10/2023' where link_id = (select link_id from parcel where parcel_year = '2024' and parcel_id = '23092612448');</v>
      </c>
    </row>
    <row r="2292" spans="1:85" x14ac:dyDescent="0.25">
      <c r="A2292">
        <v>23092612449</v>
      </c>
      <c r="B2292">
        <v>0.27</v>
      </c>
      <c r="C2292" t="s">
        <v>129</v>
      </c>
      <c r="D2292">
        <v>0.27</v>
      </c>
      <c r="E2292" t="s">
        <v>53</v>
      </c>
      <c r="F2292" t="s">
        <v>53</v>
      </c>
      <c r="G2292">
        <v>4</v>
      </c>
      <c r="H2292" t="s">
        <v>54</v>
      </c>
      <c r="I2292">
        <v>308700</v>
      </c>
      <c r="J2292">
        <v>41800</v>
      </c>
      <c r="K2292">
        <v>0.27</v>
      </c>
      <c r="L229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292">
        <v>0</v>
      </c>
      <c r="N2292">
        <v>0</v>
      </c>
      <c r="O2292">
        <v>0</v>
      </c>
      <c r="P2292">
        <v>13398.7528</v>
      </c>
      <c r="Q2292">
        <v>63903</v>
      </c>
      <c r="R2292">
        <f>(Grandview_Inventory[[#This Row],[ln_acres]]*Grandview_Inventory[[#This Row],[coeff]])+Grandview_Inventory[[#This Row],[const]]</f>
        <v>46359.566512734265</v>
      </c>
      <c r="S2292" t="s">
        <v>55</v>
      </c>
      <c r="T2292">
        <v>2</v>
      </c>
      <c r="U2292" t="s">
        <v>62</v>
      </c>
      <c r="V2292" t="s">
        <v>57</v>
      </c>
      <c r="W2292">
        <v>0</v>
      </c>
      <c r="X2292">
        <v>0</v>
      </c>
      <c r="Y2292">
        <v>12</v>
      </c>
      <c r="Z2292">
        <v>12</v>
      </c>
      <c r="AA2292">
        <v>20</v>
      </c>
      <c r="AB2292">
        <v>2500</v>
      </c>
      <c r="AC2292">
        <v>2110</v>
      </c>
      <c r="AD2292">
        <v>840</v>
      </c>
      <c r="AE2292">
        <v>1270</v>
      </c>
      <c r="AF2292">
        <v>0</v>
      </c>
      <c r="AG2292">
        <v>0</v>
      </c>
      <c r="AH2292">
        <v>0</v>
      </c>
      <c r="AI2292">
        <v>0</v>
      </c>
      <c r="AJ2292">
        <v>630</v>
      </c>
      <c r="AK2292">
        <v>0</v>
      </c>
      <c r="AL2292">
        <v>240</v>
      </c>
      <c r="AM2292">
        <v>120</v>
      </c>
      <c r="AN2292">
        <v>0</v>
      </c>
      <c r="AO2292">
        <v>0</v>
      </c>
      <c r="AP2292">
        <v>13</v>
      </c>
      <c r="AQ2292">
        <v>0</v>
      </c>
      <c r="AR2292">
        <v>0</v>
      </c>
      <c r="AS2292" t="s">
        <v>58</v>
      </c>
      <c r="AT2292">
        <v>1</v>
      </c>
      <c r="AU2292" t="s">
        <v>63</v>
      </c>
      <c r="AV2292" t="s">
        <v>60</v>
      </c>
      <c r="AW2292">
        <v>1</v>
      </c>
      <c r="AX2292">
        <v>4</v>
      </c>
      <c r="AY2292">
        <v>0</v>
      </c>
      <c r="AZ2292">
        <v>0</v>
      </c>
      <c r="BA2292">
        <v>100</v>
      </c>
      <c r="BB2292">
        <v>100</v>
      </c>
      <c r="BC2292">
        <v>100</v>
      </c>
      <c r="BD2292">
        <v>100</v>
      </c>
      <c r="BE2292">
        <v>1</v>
      </c>
      <c r="BF2292">
        <v>15000</v>
      </c>
      <c r="BG2292">
        <v>1000</v>
      </c>
      <c r="BH2292" s="6">
        <f>Grandview_Inventory[[#This Row],[land_extract]]*Lookups!$B$3</f>
        <v>53837.239420408718</v>
      </c>
      <c r="BI2292" s="6">
        <f>IF(Grandview_Inventory[[#This Row],[bldg_style]]="",0,Lookups!$B$2)</f>
        <v>155833.95000000001</v>
      </c>
      <c r="BJ2292" s="6">
        <f>_xlfn.IFNA(VLOOKUP(Grandview_Inventory[[#This Row],[quality]],Lookups!$H$2:$J$14,3,FALSE),0)</f>
        <v>9808</v>
      </c>
      <c r="BK2292" s="6">
        <f>_xlfn.IFNA(VLOOKUP(Grandview_Inventory[[#This Row],[condition]],Lookups!$H$17:$J$24,3,FALSE),0)</f>
        <v>25780</v>
      </c>
      <c r="BL2292" s="6">
        <f>Grandview_Inventory[[#This Row],[Eff_Age]]*Lookups!$B$14</f>
        <v>-2869.9991999999997</v>
      </c>
      <c r="BM2292" s="6">
        <f>Grandview_Inventory[[#This Row],[living_area]]*Lookups!$B$15</f>
        <v>131623.59982999999</v>
      </c>
      <c r="BN2292" s="6">
        <f>Grandview_Inventory[[#This Row],[Fin BSMT]]*Lookups!$B$16</f>
        <v>0</v>
      </c>
      <c r="BO2292" s="6">
        <f>(Grandview_Inventory[[#This Row],[att_gar]]+Grandview_Inventory[[#This Row],[bltin_gar]])*Lookups!$B$17</f>
        <v>55137.875310000003</v>
      </c>
      <c r="BP2292" s="6">
        <f>Grandview_Inventory[[#This Row],[Plumbing Fixtures]]*Lookups!$B$18</f>
        <v>26135.743399999999</v>
      </c>
      <c r="BQ2292" s="6">
        <f>Grandview_Inventory[[#This Row],[detatched_value]]*Lookups!$B$19</f>
        <v>0</v>
      </c>
      <c r="BR2292" s="6">
        <f>SUM(Grandview_Inventory[[#This Row],[Intercept]:[det_value]])*Grandview_Inventory[[#This Row],[res_pct]]</f>
        <v>401449.16933999996</v>
      </c>
      <c r="BS2292" s="6">
        <f>Grandview_Inventory[[#This Row],[land_value]]</f>
        <v>53837.239420408718</v>
      </c>
      <c r="BT2292" s="4">
        <f>_xlfn.IFNA(VLOOKUP(Grandview_Inventory[[#This Row],[quality]],Lookups!$A$26:$C$33,3,FALSE),1)</f>
        <v>0.94295468617355149</v>
      </c>
      <c r="BU2292" s="4">
        <f>_xlfn.IFNA(VLOOKUP(Grandview_Inventory[[#This Row],[condition]],Lookups!$A$37:$C$44,3,FALSE),1)</f>
        <v>0.94347925387812148</v>
      </c>
      <c r="BV2292" s="4">
        <f>IF(Grandview_Inventory[[#This Row],[bldg_style]]="",1,_xlfn.IFNA(VLOOKUP(Grandview_Inventory[[#This Row],[decade]],Lookups!$F$29:$H$43,3,FALSE),1))</f>
        <v>0.96737494181490646</v>
      </c>
      <c r="BW2292" s="4">
        <f>_xlfn.IFNA(VLOOKUP(Grandview_Inventory[[#This Row],[living_area_range]],Lookups!$F$47:$H$56,3,FALSE),1)</f>
        <v>0.95799442568048754</v>
      </c>
      <c r="BX2292" s="4">
        <f>AVERAGE(Grandview_Inventory[[#This Row],[qual_adj]:[size_adj]])</f>
        <v>0.9529508268867668</v>
      </c>
      <c r="BY2292" s="6">
        <f>IF(Grandview_Inventory[[#This Row],[pre_res]]&lt;0,0,Grandview_Inventory[[#This Row],[pre_res]]*Grandview_Inventory[[#This Row],[overall_adj]])</f>
        <v>382561.31787555863</v>
      </c>
      <c r="BZ2292" s="6">
        <f>(Grandview_Inventory[[#This Row],[sum_land]]-IF(Grandview_Inventory[[#This Row],[no_utilities]]=1,12000,0))/IF(Grandview_Inventory[[#This Row],[unbuildable]]=1,2,1)</f>
        <v>53837.239420408718</v>
      </c>
      <c r="CA229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292">
        <f>ROUND(Grandview_Inventory[[#This Row],[det_value]]*Lookups!$M$28,-2)</f>
        <v>0</v>
      </c>
      <c r="CC2292">
        <f>IF(ROUND(Grandview_Inventory[[#This Row],[adj_res]]*Lookups!$M$28,-2)&lt;Grandview_Inventory[[#This Row],[min_res]],Grandview_Inventory[[#This Row],[min_res]],ROUND(Grandview_Inventory[[#This Row],[adj_res]]*Lookups!$M$28,-2))</f>
        <v>363400</v>
      </c>
      <c r="CD2292">
        <f>Grandview_Inventory[[#This Row],[final_det]]+Grandview_Inventory[[#This Row],[final_res]]</f>
        <v>363400</v>
      </c>
      <c r="CE2292">
        <f>Grandview_Inventory[[#This Row],[final_land]]+Grandview_Inventory[[#This Row],[final_imp]]+Grandview_Inventory[[#This Row],[crop_value]]</f>
        <v>414500</v>
      </c>
      <c r="CG2292" t="str">
        <f t="shared" si="35"/>
        <v>update valuation set market_land =51100, market_bldg=363400, market_total =414500, market_mdno =401, market_date ='9/10/2023' where link_id = (select link_id from parcel where parcel_year = '2024' and parcel_id = '23092612449');</v>
      </c>
    </row>
    <row r="2293" spans="1:85" x14ac:dyDescent="0.25">
      <c r="A2293">
        <v>23092612450</v>
      </c>
      <c r="B2293">
        <v>0.3</v>
      </c>
      <c r="C2293" t="s">
        <v>129</v>
      </c>
      <c r="D2293">
        <v>0.3</v>
      </c>
      <c r="E2293" t="s">
        <v>53</v>
      </c>
      <c r="F2293" t="s">
        <v>53</v>
      </c>
      <c r="G2293">
        <v>4</v>
      </c>
      <c r="H2293" t="s">
        <v>54</v>
      </c>
      <c r="I2293">
        <v>317500</v>
      </c>
      <c r="J2293">
        <v>42400</v>
      </c>
      <c r="K2293">
        <v>0.3</v>
      </c>
      <c r="L2293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2293">
        <v>0</v>
      </c>
      <c r="N2293">
        <v>0</v>
      </c>
      <c r="O2293">
        <v>0</v>
      </c>
      <c r="P2293">
        <v>13398.7528</v>
      </c>
      <c r="Q2293">
        <v>63903</v>
      </c>
      <c r="R2293">
        <f>(Grandview_Inventory[[#This Row],[ln_acres]]*Grandview_Inventory[[#This Row],[coeff]])+Grandview_Inventory[[#This Row],[const]]</f>
        <v>47771.266016914014</v>
      </c>
      <c r="S2293" t="s">
        <v>58</v>
      </c>
      <c r="T2293">
        <v>1</v>
      </c>
      <c r="U2293" t="s">
        <v>64</v>
      </c>
      <c r="V2293" t="s">
        <v>57</v>
      </c>
      <c r="W2293">
        <v>0</v>
      </c>
      <c r="X2293">
        <v>0</v>
      </c>
      <c r="Y2293">
        <v>9</v>
      </c>
      <c r="Z2293">
        <v>9</v>
      </c>
      <c r="AA2293">
        <v>10</v>
      </c>
      <c r="AB2293">
        <v>2000</v>
      </c>
      <c r="AC2293">
        <v>1974</v>
      </c>
      <c r="AD2293">
        <v>1974</v>
      </c>
      <c r="AE2293">
        <v>0</v>
      </c>
      <c r="AF2293">
        <v>0</v>
      </c>
      <c r="AG2293">
        <v>0</v>
      </c>
      <c r="AH2293">
        <v>0</v>
      </c>
      <c r="AI2293">
        <v>576</v>
      </c>
      <c r="AJ2293">
        <v>0</v>
      </c>
      <c r="AK2293">
        <v>0</v>
      </c>
      <c r="AL2293">
        <v>0</v>
      </c>
      <c r="AM2293">
        <v>176</v>
      </c>
      <c r="AN2293">
        <v>256</v>
      </c>
      <c r="AO2293">
        <v>0</v>
      </c>
      <c r="AP2293">
        <v>13</v>
      </c>
      <c r="AQ2293">
        <v>0</v>
      </c>
      <c r="AR2293">
        <v>0</v>
      </c>
      <c r="AS2293" t="s">
        <v>58</v>
      </c>
      <c r="AT2293">
        <v>1</v>
      </c>
      <c r="AU2293" t="s">
        <v>63</v>
      </c>
      <c r="AV2293" t="s">
        <v>64</v>
      </c>
      <c r="AW2293">
        <v>1</v>
      </c>
      <c r="AX2293">
        <v>3</v>
      </c>
      <c r="AY2293">
        <v>0</v>
      </c>
      <c r="AZ2293">
        <v>3100</v>
      </c>
      <c r="BA2293">
        <v>100</v>
      </c>
      <c r="BB2293">
        <v>100</v>
      </c>
      <c r="BC2293">
        <v>100</v>
      </c>
      <c r="BD2293">
        <v>100</v>
      </c>
      <c r="BE2293">
        <v>1</v>
      </c>
      <c r="BF2293">
        <v>15000</v>
      </c>
      <c r="BG2293">
        <v>1000</v>
      </c>
      <c r="BH2293" s="6">
        <f>Grandview_Inventory[[#This Row],[land_extract]]*Lookups!$B$3</f>
        <v>55476.642243023998</v>
      </c>
      <c r="BI2293" s="6">
        <f>IF(Grandview_Inventory[[#This Row],[bldg_style]]="",0,Lookups!$B$2)</f>
        <v>155833.95000000001</v>
      </c>
      <c r="BJ2293" s="6">
        <f>_xlfn.IFNA(VLOOKUP(Grandview_Inventory[[#This Row],[quality]],Lookups!$H$2:$J$14,3,FALSE),0)</f>
        <v>20768</v>
      </c>
      <c r="BK2293" s="6">
        <f>_xlfn.IFNA(VLOOKUP(Grandview_Inventory[[#This Row],[condition]],Lookups!$H$17:$J$24,3,FALSE),0)</f>
        <v>25780</v>
      </c>
      <c r="BL2293" s="6">
        <f>Grandview_Inventory[[#This Row],[Eff_Age]]*Lookups!$B$14</f>
        <v>-2152.4993999999997</v>
      </c>
      <c r="BM2293" s="6">
        <f>Grandview_Inventory[[#This Row],[living_area]]*Lookups!$B$15</f>
        <v>123139.803822</v>
      </c>
      <c r="BN2293" s="6">
        <f>Grandview_Inventory[[#This Row],[Fin BSMT]]*Lookups!$B$16</f>
        <v>0</v>
      </c>
      <c r="BO2293" s="6">
        <f>(Grandview_Inventory[[#This Row],[att_gar]]+Grandview_Inventory[[#This Row],[bltin_gar]])*Lookups!$B$17</f>
        <v>50411.771712000002</v>
      </c>
      <c r="BP2293" s="6">
        <f>Grandview_Inventory[[#This Row],[Plumbing Fixtures]]*Lookups!$B$18</f>
        <v>26135.743399999999</v>
      </c>
      <c r="BQ2293" s="6">
        <f>Grandview_Inventory[[#This Row],[detatched_value]]*Lookups!$B$19</f>
        <v>2625.0958099999998</v>
      </c>
      <c r="BR2293" s="6">
        <f>SUM(Grandview_Inventory[[#This Row],[Intercept]:[det_value]])*Grandview_Inventory[[#This Row],[res_pct]]</f>
        <v>402541.86534400005</v>
      </c>
      <c r="BS2293" s="6">
        <f>Grandview_Inventory[[#This Row],[land_value]]</f>
        <v>55476.642243023998</v>
      </c>
      <c r="BT2293" s="4">
        <f>_xlfn.IFNA(VLOOKUP(Grandview_Inventory[[#This Row],[quality]],Lookups!$A$26:$C$33,3,FALSE),1)</f>
        <v>0.94960540378902636</v>
      </c>
      <c r="BU2293" s="4">
        <f>_xlfn.IFNA(VLOOKUP(Grandview_Inventory[[#This Row],[condition]],Lookups!$A$37:$C$44,3,FALSE),1)</f>
        <v>0.94347925387812148</v>
      </c>
      <c r="BV2293" s="4">
        <f>IF(Grandview_Inventory[[#This Row],[bldg_style]]="",1,_xlfn.IFNA(VLOOKUP(Grandview_Inventory[[#This Row],[decade]],Lookups!$F$29:$H$43,3,FALSE),1))</f>
        <v>0.94601966599150278</v>
      </c>
      <c r="BW2293" s="4">
        <f>_xlfn.IFNA(VLOOKUP(Grandview_Inventory[[#This Row],[living_area_range]],Lookups!$F$47:$H$56,3,FALSE),1)</f>
        <v>0.96120133463014379</v>
      </c>
      <c r="BX2293" s="4">
        <f>AVERAGE(Grandview_Inventory[[#This Row],[qual_adj]:[size_adj]])</f>
        <v>0.95007641457219871</v>
      </c>
      <c r="BY2293" s="6">
        <f>IF(Grandview_Inventory[[#This Row],[pre_res]]&lt;0,0,Grandview_Inventory[[#This Row],[pre_res]]*Grandview_Inventory[[#This Row],[overall_adj]])</f>
        <v>382445.5321412324</v>
      </c>
      <c r="BZ2293" s="6">
        <f>(Grandview_Inventory[[#This Row],[sum_land]]-IF(Grandview_Inventory[[#This Row],[no_utilities]]=1,12000,0))/IF(Grandview_Inventory[[#This Row],[unbuildable]]=1,2,1)</f>
        <v>55476.642243023998</v>
      </c>
      <c r="CA2293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2293">
        <f>ROUND(Grandview_Inventory[[#This Row],[det_value]]*Lookups!$M$28,-2)</f>
        <v>2500</v>
      </c>
      <c r="CC2293">
        <f>IF(ROUND(Grandview_Inventory[[#This Row],[adj_res]]*Lookups!$M$28,-2)&lt;Grandview_Inventory[[#This Row],[min_res]],Grandview_Inventory[[#This Row],[min_res]],ROUND(Grandview_Inventory[[#This Row],[adj_res]]*Lookups!$M$28,-2))</f>
        <v>363300</v>
      </c>
      <c r="CD2293">
        <f>Grandview_Inventory[[#This Row],[final_det]]+Grandview_Inventory[[#This Row],[final_res]]</f>
        <v>365800</v>
      </c>
      <c r="CE2293">
        <f>Grandview_Inventory[[#This Row],[final_land]]+Grandview_Inventory[[#This Row],[final_imp]]+Grandview_Inventory[[#This Row],[crop_value]]</f>
        <v>418500</v>
      </c>
      <c r="CG2293" t="str">
        <f t="shared" si="35"/>
        <v>update valuation set market_land =52700, market_bldg=365800, market_total =418500, market_mdno =401, market_date ='9/10/2023' where link_id = (select link_id from parcel where parcel_year = '2024' and parcel_id = '23092612450');</v>
      </c>
    </row>
    <row r="2294" spans="1:85" x14ac:dyDescent="0.25">
      <c r="A2294">
        <v>23092621401</v>
      </c>
      <c r="B2294" t="s">
        <v>129</v>
      </c>
      <c r="C2294">
        <v>9891</v>
      </c>
      <c r="D2294" t="s">
        <v>129</v>
      </c>
      <c r="E2294" t="s">
        <v>53</v>
      </c>
      <c r="F2294" t="s">
        <v>53</v>
      </c>
      <c r="G2294">
        <v>4</v>
      </c>
      <c r="H2294" t="s">
        <v>54</v>
      </c>
      <c r="I2294">
        <v>416300</v>
      </c>
      <c r="J2294">
        <v>39700</v>
      </c>
      <c r="K2294">
        <v>0.23</v>
      </c>
      <c r="L229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294">
        <v>0</v>
      </c>
      <c r="N2294">
        <v>0</v>
      </c>
      <c r="O2294">
        <v>0</v>
      </c>
      <c r="P2294">
        <v>13398.7528</v>
      </c>
      <c r="Q2294">
        <v>63903</v>
      </c>
      <c r="R2294">
        <f>(Grandview_Inventory[[#This Row],[ln_acres]]*Grandview_Inventory[[#This Row],[coeff]])+Grandview_Inventory[[#This Row],[const]]</f>
        <v>44211.174981080039</v>
      </c>
      <c r="S2294" t="s">
        <v>55</v>
      </c>
      <c r="T2294">
        <v>2</v>
      </c>
      <c r="U2294" t="s">
        <v>64</v>
      </c>
      <c r="V2294" t="s">
        <v>57</v>
      </c>
      <c r="W2294">
        <v>0</v>
      </c>
      <c r="X2294">
        <v>0</v>
      </c>
      <c r="Y2294">
        <v>2</v>
      </c>
      <c r="Z2294">
        <v>2</v>
      </c>
      <c r="AA2294">
        <v>10</v>
      </c>
      <c r="AB2294">
        <v>3000</v>
      </c>
      <c r="AC2294">
        <v>2984</v>
      </c>
      <c r="AD2294">
        <v>1876</v>
      </c>
      <c r="AE2294">
        <v>1108</v>
      </c>
      <c r="AF2294">
        <v>0</v>
      </c>
      <c r="AG2294">
        <v>0</v>
      </c>
      <c r="AH2294">
        <v>0</v>
      </c>
      <c r="AI2294">
        <v>0</v>
      </c>
      <c r="AJ2294">
        <v>704</v>
      </c>
      <c r="AK2294">
        <v>0</v>
      </c>
      <c r="AL2294">
        <v>0</v>
      </c>
      <c r="AM2294">
        <v>0</v>
      </c>
      <c r="AN2294">
        <v>156</v>
      </c>
      <c r="AO2294">
        <v>0</v>
      </c>
      <c r="AP2294">
        <v>12</v>
      </c>
      <c r="AQ2294">
        <v>0</v>
      </c>
      <c r="AR2294">
        <v>0</v>
      </c>
      <c r="AS2294" t="s">
        <v>58</v>
      </c>
      <c r="AT2294">
        <v>1</v>
      </c>
      <c r="AU2294" t="s">
        <v>63</v>
      </c>
      <c r="AV2294" t="s">
        <v>64</v>
      </c>
      <c r="AW2294">
        <v>1</v>
      </c>
      <c r="AX2294">
        <v>4</v>
      </c>
      <c r="AY2294">
        <v>0</v>
      </c>
      <c r="AZ2294">
        <v>43200</v>
      </c>
      <c r="BA2294">
        <v>100</v>
      </c>
      <c r="BB2294">
        <v>100</v>
      </c>
      <c r="BC2294">
        <v>100</v>
      </c>
      <c r="BD2294">
        <v>100</v>
      </c>
      <c r="BE2294">
        <v>1</v>
      </c>
      <c r="BF2294">
        <v>15000</v>
      </c>
      <c r="BG2294">
        <v>1000</v>
      </c>
      <c r="BH2294" s="6">
        <f>Grandview_Inventory[[#This Row],[land_extract]]*Lookups!$B$3</f>
        <v>51342.318135355803</v>
      </c>
      <c r="BI2294" s="6">
        <f>IF(Grandview_Inventory[[#This Row],[bldg_style]]="",0,Lookups!$B$2)</f>
        <v>155833.95000000001</v>
      </c>
      <c r="BJ2294" s="6">
        <f>_xlfn.IFNA(VLOOKUP(Grandview_Inventory[[#This Row],[quality]],Lookups!$H$2:$J$14,3,FALSE),0)</f>
        <v>20768</v>
      </c>
      <c r="BK2294" s="6">
        <f>_xlfn.IFNA(VLOOKUP(Grandview_Inventory[[#This Row],[condition]],Lookups!$H$17:$J$24,3,FALSE),0)</f>
        <v>25780</v>
      </c>
      <c r="BL2294" s="6">
        <f>Grandview_Inventory[[#This Row],[Eff_Age]]*Lookups!$B$14</f>
        <v>-478.33319999999998</v>
      </c>
      <c r="BM2294" s="6">
        <f>Grandview_Inventory[[#This Row],[living_area]]*Lookups!$B$15</f>
        <v>186144.465352</v>
      </c>
      <c r="BN2294" s="6">
        <f>Grandview_Inventory[[#This Row],[Fin BSMT]]*Lookups!$B$16</f>
        <v>0</v>
      </c>
      <c r="BO2294" s="6">
        <f>(Grandview_Inventory[[#This Row],[att_gar]]+Grandview_Inventory[[#This Row],[bltin_gar]])*Lookups!$B$17</f>
        <v>61614.387648000004</v>
      </c>
      <c r="BP2294" s="6">
        <f>Grandview_Inventory[[#This Row],[Plumbing Fixtures]]*Lookups!$B$18</f>
        <v>24125.301599999999</v>
      </c>
      <c r="BQ2294" s="6">
        <f>Grandview_Inventory[[#This Row],[detatched_value]]*Lookups!$B$19</f>
        <v>36581.980320000002</v>
      </c>
      <c r="BR2294" s="6">
        <f>SUM(Grandview_Inventory[[#This Row],[Intercept]:[det_value]])*Grandview_Inventory[[#This Row],[res_pct]]</f>
        <v>510369.75172000006</v>
      </c>
      <c r="BS2294" s="6">
        <f>Grandview_Inventory[[#This Row],[land_value]]</f>
        <v>51342.318135355803</v>
      </c>
      <c r="BT2294" s="4">
        <f>_xlfn.IFNA(VLOOKUP(Grandview_Inventory[[#This Row],[quality]],Lookups!$A$26:$C$33,3,FALSE),1)</f>
        <v>0.94960540378902636</v>
      </c>
      <c r="BU2294" s="4">
        <f>_xlfn.IFNA(VLOOKUP(Grandview_Inventory[[#This Row],[condition]],Lookups!$A$37:$C$44,3,FALSE),1)</f>
        <v>0.94347925387812148</v>
      </c>
      <c r="BV2294" s="4">
        <f>IF(Grandview_Inventory[[#This Row],[bldg_style]]="",1,_xlfn.IFNA(VLOOKUP(Grandview_Inventory[[#This Row],[decade]],Lookups!$F$29:$H$43,3,FALSE),1))</f>
        <v>0.94601966599150278</v>
      </c>
      <c r="BW2294" s="4">
        <f>_xlfn.IFNA(VLOOKUP(Grandview_Inventory[[#This Row],[living_area_range]],Lookups!$F$47:$H$56,3,FALSE),1)</f>
        <v>0.94224801443562123</v>
      </c>
      <c r="BX2294" s="4">
        <f>AVERAGE(Grandview_Inventory[[#This Row],[qual_adj]:[size_adj]])</f>
        <v>0.94533808452356805</v>
      </c>
      <c r="BY2294" s="6">
        <f>IF(Grandview_Inventory[[#This Row],[pre_res]]&lt;0,0,Grandview_Inventory[[#This Row],[pre_res]]*Grandview_Inventory[[#This Row],[overall_adj]])</f>
        <v>482471.96348975383</v>
      </c>
      <c r="BZ2294" s="6">
        <f>(Grandview_Inventory[[#This Row],[sum_land]]-IF(Grandview_Inventory[[#This Row],[no_utilities]]=1,12000,0))/IF(Grandview_Inventory[[#This Row],[unbuildable]]=1,2,1)</f>
        <v>51342.318135355803</v>
      </c>
      <c r="CA229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294">
        <f>ROUND(Grandview_Inventory[[#This Row],[det_value]]*Lookups!$M$28,-2)</f>
        <v>34800</v>
      </c>
      <c r="CC2294">
        <f>IF(ROUND(Grandview_Inventory[[#This Row],[adj_res]]*Lookups!$M$28,-2)&lt;Grandview_Inventory[[#This Row],[min_res]],Grandview_Inventory[[#This Row],[min_res]],ROUND(Grandview_Inventory[[#This Row],[adj_res]]*Lookups!$M$28,-2))</f>
        <v>458300</v>
      </c>
      <c r="CD2294">
        <f>Grandview_Inventory[[#This Row],[final_det]]+Grandview_Inventory[[#This Row],[final_res]]</f>
        <v>493100</v>
      </c>
      <c r="CE2294">
        <f>Grandview_Inventory[[#This Row],[final_land]]+Grandview_Inventory[[#This Row],[final_imp]]+Grandview_Inventory[[#This Row],[crop_value]]</f>
        <v>541900</v>
      </c>
      <c r="CG2294" t="str">
        <f t="shared" si="35"/>
        <v>update valuation set market_land =48800, market_bldg=493100, market_total =541900, market_mdno =401, market_date ='9/10/2023' where link_id = (select link_id from parcel where parcel_year = '2024' and parcel_id = '23092621401');</v>
      </c>
    </row>
    <row r="2295" spans="1:85" x14ac:dyDescent="0.25">
      <c r="A2295">
        <v>23092621402</v>
      </c>
      <c r="B2295" t="s">
        <v>129</v>
      </c>
      <c r="C2295">
        <v>10920</v>
      </c>
      <c r="D2295" t="s">
        <v>129</v>
      </c>
      <c r="E2295" t="s">
        <v>53</v>
      </c>
      <c r="F2295" t="s">
        <v>53</v>
      </c>
      <c r="G2295">
        <v>4</v>
      </c>
      <c r="H2295" t="s">
        <v>54</v>
      </c>
      <c r="I2295">
        <v>300500</v>
      </c>
      <c r="J2295">
        <v>40000</v>
      </c>
      <c r="K2295">
        <v>0.25</v>
      </c>
      <c r="L2295">
        <f>IF(Grandview_Inventory[[#This Row],[parcel_acres]]-Grandview_Inventory[[#This Row],[non_valued_acres]] =0,0,LN(Grandview_Inventory[[#This Row],[parcel_acres]]-Grandview_Inventory[[#This Row],[non_valued_acres]]))</f>
        <v>-1.3862943611198906</v>
      </c>
      <c r="M2295">
        <v>0</v>
      </c>
      <c r="N2295">
        <v>0</v>
      </c>
      <c r="O2295">
        <v>0</v>
      </c>
      <c r="P2295">
        <v>13398.7528</v>
      </c>
      <c r="Q2295">
        <v>63903</v>
      </c>
      <c r="R2295">
        <f>(Grandview_Inventory[[#This Row],[ln_acres]]*Grandview_Inventory[[#This Row],[coeff]])+Grandview_Inventory[[#This Row],[const]]</f>
        <v>45328.38454732066</v>
      </c>
      <c r="S2295" t="s">
        <v>55</v>
      </c>
      <c r="T2295">
        <v>1</v>
      </c>
      <c r="U2295" t="s">
        <v>62</v>
      </c>
      <c r="V2295" t="s">
        <v>57</v>
      </c>
      <c r="W2295">
        <v>0</v>
      </c>
      <c r="X2295">
        <v>0</v>
      </c>
      <c r="Y2295">
        <v>2</v>
      </c>
      <c r="Z2295">
        <v>2</v>
      </c>
      <c r="AA2295">
        <v>10</v>
      </c>
      <c r="AB2295">
        <v>2500</v>
      </c>
      <c r="AC2295">
        <v>2043</v>
      </c>
      <c r="AD2295">
        <v>2043</v>
      </c>
      <c r="AE2295">
        <v>0</v>
      </c>
      <c r="AF2295">
        <v>0</v>
      </c>
      <c r="AG2295">
        <v>0</v>
      </c>
      <c r="AH2295">
        <v>0</v>
      </c>
      <c r="AI2295">
        <v>578</v>
      </c>
      <c r="AJ2295">
        <v>0</v>
      </c>
      <c r="AK2295">
        <v>0</v>
      </c>
      <c r="AL2295">
        <v>0</v>
      </c>
      <c r="AM2295">
        <v>0</v>
      </c>
      <c r="AN2295">
        <v>125</v>
      </c>
      <c r="AO2295">
        <v>0</v>
      </c>
      <c r="AP2295">
        <v>9</v>
      </c>
      <c r="AQ2295">
        <v>0</v>
      </c>
      <c r="AR2295">
        <v>0</v>
      </c>
      <c r="AS2295" t="s">
        <v>58</v>
      </c>
      <c r="AT2295">
        <v>1</v>
      </c>
      <c r="AU2295" t="s">
        <v>63</v>
      </c>
      <c r="AV2295" t="s">
        <v>64</v>
      </c>
      <c r="AW2295">
        <v>1</v>
      </c>
      <c r="AX2295">
        <v>3</v>
      </c>
      <c r="AY2295">
        <v>0</v>
      </c>
      <c r="AZ2295">
        <v>0</v>
      </c>
      <c r="BA2295">
        <v>100</v>
      </c>
      <c r="BB2295">
        <v>100</v>
      </c>
      <c r="BC2295">
        <v>100</v>
      </c>
      <c r="BD2295">
        <v>100</v>
      </c>
      <c r="BE2295">
        <v>1</v>
      </c>
      <c r="BF2295">
        <v>15000</v>
      </c>
      <c r="BG2295">
        <v>1000</v>
      </c>
      <c r="BH2295" s="6">
        <f>Grandview_Inventory[[#This Row],[land_extract]]*Lookups!$B$3</f>
        <v>52639.730588165206</v>
      </c>
      <c r="BI2295" s="6">
        <f>IF(Grandview_Inventory[[#This Row],[bldg_style]]="",0,Lookups!$B$2)</f>
        <v>155833.95000000001</v>
      </c>
      <c r="BJ2295" s="6">
        <f>_xlfn.IFNA(VLOOKUP(Grandview_Inventory[[#This Row],[quality]],Lookups!$H$2:$J$14,3,FALSE),0)</f>
        <v>9808</v>
      </c>
      <c r="BK2295" s="6">
        <f>_xlfn.IFNA(VLOOKUP(Grandview_Inventory[[#This Row],[condition]],Lookups!$H$17:$J$24,3,FALSE),0)</f>
        <v>25780</v>
      </c>
      <c r="BL2295" s="6">
        <f>Grandview_Inventory[[#This Row],[Eff_Age]]*Lookups!$B$14</f>
        <v>-478.33319999999998</v>
      </c>
      <c r="BM2295" s="6">
        <f>Grandview_Inventory[[#This Row],[living_area]]*Lookups!$B$15</f>
        <v>127444.082679</v>
      </c>
      <c r="BN2295" s="6">
        <f>Grandview_Inventory[[#This Row],[Fin BSMT]]*Lookups!$B$16</f>
        <v>0</v>
      </c>
      <c r="BO2295" s="6">
        <f>(Grandview_Inventory[[#This Row],[att_gar]]+Grandview_Inventory[[#This Row],[bltin_gar]])*Lookups!$B$17</f>
        <v>50586.812586</v>
      </c>
      <c r="BP2295" s="6">
        <f>Grandview_Inventory[[#This Row],[Plumbing Fixtures]]*Lookups!$B$18</f>
        <v>18093.976200000001</v>
      </c>
      <c r="BQ2295" s="6">
        <f>Grandview_Inventory[[#This Row],[detatched_value]]*Lookups!$B$19</f>
        <v>0</v>
      </c>
      <c r="BR2295" s="6">
        <f>SUM(Grandview_Inventory[[#This Row],[Intercept]:[det_value]])*Grandview_Inventory[[#This Row],[res_pct]]</f>
        <v>387068.48826499999</v>
      </c>
      <c r="BS2295" s="6">
        <f>Grandview_Inventory[[#This Row],[land_value]]</f>
        <v>52639.730588165206</v>
      </c>
      <c r="BT2295" s="4">
        <f>_xlfn.IFNA(VLOOKUP(Grandview_Inventory[[#This Row],[quality]],Lookups!$A$26:$C$33,3,FALSE),1)</f>
        <v>0.94295468617355149</v>
      </c>
      <c r="BU2295" s="4">
        <f>_xlfn.IFNA(VLOOKUP(Grandview_Inventory[[#This Row],[condition]],Lookups!$A$37:$C$44,3,FALSE),1)</f>
        <v>0.94347925387812148</v>
      </c>
      <c r="BV2295" s="4">
        <f>IF(Grandview_Inventory[[#This Row],[bldg_style]]="",1,_xlfn.IFNA(VLOOKUP(Grandview_Inventory[[#This Row],[decade]],Lookups!$F$29:$H$43,3,FALSE),1))</f>
        <v>0.94601966599150278</v>
      </c>
      <c r="BW2295" s="4">
        <f>_xlfn.IFNA(VLOOKUP(Grandview_Inventory[[#This Row],[living_area_range]],Lookups!$F$47:$H$56,3,FALSE),1)</f>
        <v>0.95799442568048754</v>
      </c>
      <c r="BX2295" s="4">
        <f>AVERAGE(Grandview_Inventory[[#This Row],[qual_adj]:[size_adj]])</f>
        <v>0.94761200793091582</v>
      </c>
      <c r="BY2295" s="6">
        <f>IF(Grandview_Inventory[[#This Row],[pre_res]]&lt;0,0,Grandview_Inventory[[#This Row],[pre_res]]*Grandview_Inventory[[#This Row],[overall_adj]])</f>
        <v>366790.74737158074</v>
      </c>
      <c r="BZ2295" s="6">
        <f>(Grandview_Inventory[[#This Row],[sum_land]]-IF(Grandview_Inventory[[#This Row],[no_utilities]]=1,12000,0))/IF(Grandview_Inventory[[#This Row],[unbuildable]]=1,2,1)</f>
        <v>52639.730588165206</v>
      </c>
      <c r="CA2295">
        <f>IF(ROUND(Grandview_Inventory[[#This Row],[adj_land]]*Lookups!$M$28,-2)&lt;Grandview_Inventory[[#This Row],[min_land]],Grandview_Inventory[[#This Row],[min_land]],ROUND(Grandview_Inventory[[#This Row],[adj_land]]*Lookups!$M$28,-2))</f>
        <v>50000</v>
      </c>
      <c r="CB2295">
        <f>ROUND(Grandview_Inventory[[#This Row],[det_value]]*Lookups!$M$28,-2)</f>
        <v>0</v>
      </c>
      <c r="CC2295">
        <f>IF(ROUND(Grandview_Inventory[[#This Row],[adj_res]]*Lookups!$M$28,-2)&lt;Grandview_Inventory[[#This Row],[min_res]],Grandview_Inventory[[#This Row],[min_res]],ROUND(Grandview_Inventory[[#This Row],[adj_res]]*Lookups!$M$28,-2))</f>
        <v>348500</v>
      </c>
      <c r="CD2295">
        <f>Grandview_Inventory[[#This Row],[final_det]]+Grandview_Inventory[[#This Row],[final_res]]</f>
        <v>348500</v>
      </c>
      <c r="CE2295">
        <f>Grandview_Inventory[[#This Row],[final_land]]+Grandview_Inventory[[#This Row],[final_imp]]+Grandview_Inventory[[#This Row],[crop_value]]</f>
        <v>398500</v>
      </c>
      <c r="CG2295" t="str">
        <f t="shared" si="35"/>
        <v>update valuation set market_land =50000, market_bldg=348500, market_total =398500, market_mdno =401, market_date ='9/10/2023' where link_id = (select link_id from parcel where parcel_year = '2024' and parcel_id = '23092621402');</v>
      </c>
    </row>
    <row r="2296" spans="1:85" x14ac:dyDescent="0.25">
      <c r="A2296">
        <v>23092621403</v>
      </c>
      <c r="B2296" t="s">
        <v>129</v>
      </c>
      <c r="C2296">
        <v>8714</v>
      </c>
      <c r="D2296" t="s">
        <v>129</v>
      </c>
      <c r="E2296" t="s">
        <v>53</v>
      </c>
      <c r="F2296" t="s">
        <v>53</v>
      </c>
      <c r="G2296">
        <v>4</v>
      </c>
      <c r="H2296" t="s">
        <v>54</v>
      </c>
      <c r="I2296">
        <v>295400</v>
      </c>
      <c r="J2296">
        <v>39300</v>
      </c>
      <c r="K2296">
        <v>0.2</v>
      </c>
      <c r="L229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296">
        <v>0</v>
      </c>
      <c r="N2296">
        <v>0</v>
      </c>
      <c r="O2296">
        <v>0</v>
      </c>
      <c r="P2296">
        <v>13398.7528</v>
      </c>
      <c r="Q2296">
        <v>63903</v>
      </c>
      <c r="R2296">
        <f>(Grandview_Inventory[[#This Row],[ln_acres]]*Grandview_Inventory[[#This Row],[coeff]])+Grandview_Inventory[[#This Row],[const]]</f>
        <v>42338.539264347448</v>
      </c>
      <c r="S2296" t="s">
        <v>58</v>
      </c>
      <c r="T2296">
        <v>2</v>
      </c>
      <c r="U2296" t="s">
        <v>62</v>
      </c>
      <c r="V2296" t="s">
        <v>57</v>
      </c>
      <c r="W2296">
        <v>0</v>
      </c>
      <c r="X2296">
        <v>0</v>
      </c>
      <c r="Y2296">
        <v>2</v>
      </c>
      <c r="Z2296">
        <v>2</v>
      </c>
      <c r="AA2296">
        <v>10</v>
      </c>
      <c r="AB2296">
        <v>3000</v>
      </c>
      <c r="AC2296">
        <v>2788</v>
      </c>
      <c r="AD2296">
        <v>1536</v>
      </c>
      <c r="AE2296">
        <v>1252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288</v>
      </c>
      <c r="AO2296">
        <v>0</v>
      </c>
      <c r="AP2296">
        <v>12</v>
      </c>
      <c r="AQ2296">
        <v>0</v>
      </c>
      <c r="AR2296">
        <v>0</v>
      </c>
      <c r="AS2296" t="s">
        <v>58</v>
      </c>
      <c r="AT2296">
        <v>1</v>
      </c>
      <c r="AU2296" t="s">
        <v>63</v>
      </c>
      <c r="AV2296" t="s">
        <v>64</v>
      </c>
      <c r="AW2296">
        <v>1</v>
      </c>
      <c r="AX2296">
        <v>4</v>
      </c>
      <c r="AY2296">
        <v>0</v>
      </c>
      <c r="AZ2296">
        <v>0</v>
      </c>
      <c r="BA2296">
        <v>100</v>
      </c>
      <c r="BB2296">
        <v>100</v>
      </c>
      <c r="BC2296">
        <v>100</v>
      </c>
      <c r="BD2296">
        <v>100</v>
      </c>
      <c r="BE2296">
        <v>1</v>
      </c>
      <c r="BF2296">
        <v>15000</v>
      </c>
      <c r="BG2296">
        <v>1000</v>
      </c>
      <c r="BH2296" s="6">
        <f>Grandview_Inventory[[#This Row],[land_extract]]*Lookups!$B$3</f>
        <v>49167.631333630678</v>
      </c>
      <c r="BI2296" s="6">
        <f>IF(Grandview_Inventory[[#This Row],[bldg_style]]="",0,Lookups!$B$2)</f>
        <v>155833.95000000001</v>
      </c>
      <c r="BJ2296" s="6">
        <f>_xlfn.IFNA(VLOOKUP(Grandview_Inventory[[#This Row],[quality]],Lookups!$H$2:$J$14,3,FALSE),0)</f>
        <v>9808</v>
      </c>
      <c r="BK2296" s="6">
        <f>_xlfn.IFNA(VLOOKUP(Grandview_Inventory[[#This Row],[condition]],Lookups!$H$17:$J$24,3,FALSE),0)</f>
        <v>25780</v>
      </c>
      <c r="BL2296" s="6">
        <f>Grandview_Inventory[[#This Row],[Eff_Age]]*Lookups!$B$14</f>
        <v>-478.33319999999998</v>
      </c>
      <c r="BM2296" s="6">
        <f>Grandview_Inventory[[#This Row],[living_area]]*Lookups!$B$15</f>
        <v>173917.818164</v>
      </c>
      <c r="BN2296" s="6">
        <f>Grandview_Inventory[[#This Row],[Fin BSMT]]*Lookups!$B$16</f>
        <v>0</v>
      </c>
      <c r="BO2296" s="6">
        <f>(Grandview_Inventory[[#This Row],[att_gar]]+Grandview_Inventory[[#This Row],[bltin_gar]])*Lookups!$B$17</f>
        <v>0</v>
      </c>
      <c r="BP2296" s="6">
        <f>Grandview_Inventory[[#This Row],[Plumbing Fixtures]]*Lookups!$B$18</f>
        <v>24125.301599999999</v>
      </c>
      <c r="BQ2296" s="6">
        <f>Grandview_Inventory[[#This Row],[detatched_value]]*Lookups!$B$19</f>
        <v>0</v>
      </c>
      <c r="BR2296" s="6">
        <f>SUM(Grandview_Inventory[[#This Row],[Intercept]:[det_value]])*Grandview_Inventory[[#This Row],[res_pct]]</f>
        <v>388986.73656400002</v>
      </c>
      <c r="BS2296" s="6">
        <f>Grandview_Inventory[[#This Row],[land_value]]</f>
        <v>49167.631333630678</v>
      </c>
      <c r="BT2296" s="4">
        <f>_xlfn.IFNA(VLOOKUP(Grandview_Inventory[[#This Row],[quality]],Lookups!$A$26:$C$33,3,FALSE),1)</f>
        <v>0.94295468617355149</v>
      </c>
      <c r="BU2296" s="4">
        <f>_xlfn.IFNA(VLOOKUP(Grandview_Inventory[[#This Row],[condition]],Lookups!$A$37:$C$44,3,FALSE),1)</f>
        <v>0.94347925387812148</v>
      </c>
      <c r="BV2296" s="4">
        <f>IF(Grandview_Inventory[[#This Row],[bldg_style]]="",1,_xlfn.IFNA(VLOOKUP(Grandview_Inventory[[#This Row],[decade]],Lookups!$F$29:$H$43,3,FALSE),1))</f>
        <v>0.94601966599150278</v>
      </c>
      <c r="BW2296" s="4">
        <f>_xlfn.IFNA(VLOOKUP(Grandview_Inventory[[#This Row],[living_area_range]],Lookups!$F$47:$H$56,3,FALSE),1)</f>
        <v>0.94224801443562123</v>
      </c>
      <c r="BX2296" s="4">
        <f>AVERAGE(Grandview_Inventory[[#This Row],[qual_adj]:[size_adj]])</f>
        <v>0.94367540511969927</v>
      </c>
      <c r="BY2296" s="6">
        <f>IF(Grandview_Inventory[[#This Row],[pre_res]]&lt;0,0,Grandview_Inventory[[#This Row],[pre_res]]*Grandview_Inventory[[#This Row],[overall_adj]])</f>
        <v>367077.21621322248</v>
      </c>
      <c r="BZ2296" s="6">
        <f>(Grandview_Inventory[[#This Row],[sum_land]]-IF(Grandview_Inventory[[#This Row],[no_utilities]]=1,12000,0))/IF(Grandview_Inventory[[#This Row],[unbuildable]]=1,2,1)</f>
        <v>49167.631333630678</v>
      </c>
      <c r="CA229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296">
        <f>ROUND(Grandview_Inventory[[#This Row],[det_value]]*Lookups!$M$28,-2)</f>
        <v>0</v>
      </c>
      <c r="CC2296">
        <f>IF(ROUND(Grandview_Inventory[[#This Row],[adj_res]]*Lookups!$M$28,-2)&lt;Grandview_Inventory[[#This Row],[min_res]],Grandview_Inventory[[#This Row],[min_res]],ROUND(Grandview_Inventory[[#This Row],[adj_res]]*Lookups!$M$28,-2))</f>
        <v>348700</v>
      </c>
      <c r="CD2296">
        <f>Grandview_Inventory[[#This Row],[final_det]]+Grandview_Inventory[[#This Row],[final_res]]</f>
        <v>348700</v>
      </c>
      <c r="CE2296">
        <f>Grandview_Inventory[[#This Row],[final_land]]+Grandview_Inventory[[#This Row],[final_imp]]+Grandview_Inventory[[#This Row],[crop_value]]</f>
        <v>395400</v>
      </c>
      <c r="CG2296" t="str">
        <f t="shared" si="35"/>
        <v>update valuation set market_land =46700, market_bldg=348700, market_total =395400, market_mdno =401, market_date ='9/10/2023' where link_id = (select link_id from parcel where parcel_year = '2024' and parcel_id = '23092621403');</v>
      </c>
    </row>
    <row r="2297" spans="1:85" x14ac:dyDescent="0.25">
      <c r="A2297">
        <v>23092621404</v>
      </c>
      <c r="B2297" t="s">
        <v>129</v>
      </c>
      <c r="C2297">
        <v>8250</v>
      </c>
      <c r="D2297" t="s">
        <v>129</v>
      </c>
      <c r="E2297" t="s">
        <v>53</v>
      </c>
      <c r="F2297" t="s">
        <v>53</v>
      </c>
      <c r="G2297">
        <v>4</v>
      </c>
      <c r="H2297" t="s">
        <v>54</v>
      </c>
      <c r="I2297">
        <v>304600</v>
      </c>
      <c r="J2297">
        <v>39100</v>
      </c>
      <c r="K2297">
        <v>0.19</v>
      </c>
      <c r="L229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97">
        <v>0</v>
      </c>
      <c r="N2297">
        <v>0</v>
      </c>
      <c r="O2297">
        <v>0</v>
      </c>
      <c r="P2297">
        <v>13398.7528</v>
      </c>
      <c r="Q2297">
        <v>63903</v>
      </c>
      <c r="R2297">
        <f>(Grandview_Inventory[[#This Row],[ln_acres]]*Grandview_Inventory[[#This Row],[coeff]])+Grandview_Inventory[[#This Row],[const]]</f>
        <v>41651.273092551026</v>
      </c>
      <c r="S2297" t="s">
        <v>58</v>
      </c>
      <c r="T2297">
        <v>2</v>
      </c>
      <c r="U2297" t="s">
        <v>62</v>
      </c>
      <c r="V2297" t="s">
        <v>57</v>
      </c>
      <c r="W2297">
        <v>0</v>
      </c>
      <c r="X2297">
        <v>0</v>
      </c>
      <c r="Y2297">
        <v>2</v>
      </c>
      <c r="Z2297">
        <v>2</v>
      </c>
      <c r="AA2297">
        <v>10</v>
      </c>
      <c r="AB2297">
        <v>3000</v>
      </c>
      <c r="AC2297">
        <v>2597</v>
      </c>
      <c r="AD2297">
        <v>1175</v>
      </c>
      <c r="AE2297">
        <v>1422</v>
      </c>
      <c r="AF2297">
        <v>0</v>
      </c>
      <c r="AG2297">
        <v>0</v>
      </c>
      <c r="AH2297">
        <v>0</v>
      </c>
      <c r="AI2297">
        <v>0</v>
      </c>
      <c r="AJ2297">
        <v>380</v>
      </c>
      <c r="AK2297">
        <v>0</v>
      </c>
      <c r="AL2297">
        <v>0</v>
      </c>
      <c r="AM2297">
        <v>144</v>
      </c>
      <c r="AN2297">
        <v>171</v>
      </c>
      <c r="AO2297">
        <v>0</v>
      </c>
      <c r="AP2297">
        <v>12</v>
      </c>
      <c r="AQ2297">
        <v>0</v>
      </c>
      <c r="AR2297">
        <v>0</v>
      </c>
      <c r="AS2297" t="s">
        <v>58</v>
      </c>
      <c r="AT2297">
        <v>1</v>
      </c>
      <c r="AU2297" t="s">
        <v>63</v>
      </c>
      <c r="AV2297" t="s">
        <v>64</v>
      </c>
      <c r="AW2297">
        <v>1</v>
      </c>
      <c r="AX2297">
        <v>2</v>
      </c>
      <c r="AY2297">
        <v>0</v>
      </c>
      <c r="AZ2297">
        <v>0</v>
      </c>
      <c r="BA2297">
        <v>100</v>
      </c>
      <c r="BB2297">
        <v>100</v>
      </c>
      <c r="BC2297">
        <v>100</v>
      </c>
      <c r="BD2297">
        <v>100</v>
      </c>
      <c r="BE2297">
        <v>1</v>
      </c>
      <c r="BF2297">
        <v>15000</v>
      </c>
      <c r="BG2297">
        <v>1000</v>
      </c>
      <c r="BH2297" s="6">
        <f>Grandview_Inventory[[#This Row],[land_extract]]*Lookups!$B$3</f>
        <v>48369.510983942157</v>
      </c>
      <c r="BI2297" s="6">
        <f>IF(Grandview_Inventory[[#This Row],[bldg_style]]="",0,Lookups!$B$2)</f>
        <v>155833.95000000001</v>
      </c>
      <c r="BJ2297" s="6">
        <f>_xlfn.IFNA(VLOOKUP(Grandview_Inventory[[#This Row],[quality]],Lookups!$H$2:$J$14,3,FALSE),0)</f>
        <v>9808</v>
      </c>
      <c r="BK2297" s="6">
        <f>_xlfn.IFNA(VLOOKUP(Grandview_Inventory[[#This Row],[condition]],Lookups!$H$17:$J$24,3,FALSE),0)</f>
        <v>25780</v>
      </c>
      <c r="BL2297" s="6">
        <f>Grandview_Inventory[[#This Row],[Eff_Age]]*Lookups!$B$14</f>
        <v>-478.33319999999998</v>
      </c>
      <c r="BM2297" s="6">
        <f>Grandview_Inventory[[#This Row],[living_area]]*Lookups!$B$15</f>
        <v>162003.07524100001</v>
      </c>
      <c r="BN2297" s="6">
        <f>Grandview_Inventory[[#This Row],[Fin BSMT]]*Lookups!$B$16</f>
        <v>0</v>
      </c>
      <c r="BO2297" s="6">
        <f>(Grandview_Inventory[[#This Row],[att_gar]]+Grandview_Inventory[[#This Row],[bltin_gar]])*Lookups!$B$17</f>
        <v>33257.766060000002</v>
      </c>
      <c r="BP2297" s="6">
        <f>Grandview_Inventory[[#This Row],[Plumbing Fixtures]]*Lookups!$B$18</f>
        <v>24125.301599999999</v>
      </c>
      <c r="BQ2297" s="6">
        <f>Grandview_Inventory[[#This Row],[detatched_value]]*Lookups!$B$19</f>
        <v>0</v>
      </c>
      <c r="BR2297" s="6">
        <f>SUM(Grandview_Inventory[[#This Row],[Intercept]:[det_value]])*Grandview_Inventory[[#This Row],[res_pct]]</f>
        <v>410329.759701</v>
      </c>
      <c r="BS2297" s="6">
        <f>Grandview_Inventory[[#This Row],[land_value]]</f>
        <v>48369.510983942157</v>
      </c>
      <c r="BT2297" s="4">
        <f>_xlfn.IFNA(VLOOKUP(Grandview_Inventory[[#This Row],[quality]],Lookups!$A$26:$C$33,3,FALSE),1)</f>
        <v>0.94295468617355149</v>
      </c>
      <c r="BU2297" s="4">
        <f>_xlfn.IFNA(VLOOKUP(Grandview_Inventory[[#This Row],[condition]],Lookups!$A$37:$C$44,3,FALSE),1)</f>
        <v>0.94347925387812148</v>
      </c>
      <c r="BV2297" s="4">
        <f>IF(Grandview_Inventory[[#This Row],[bldg_style]]="",1,_xlfn.IFNA(VLOOKUP(Grandview_Inventory[[#This Row],[decade]],Lookups!$F$29:$H$43,3,FALSE),1))</f>
        <v>0.94601966599150278</v>
      </c>
      <c r="BW2297" s="4">
        <f>_xlfn.IFNA(VLOOKUP(Grandview_Inventory[[#This Row],[living_area_range]],Lookups!$F$47:$H$56,3,FALSE),1)</f>
        <v>0.94224801443562123</v>
      </c>
      <c r="BX2297" s="4">
        <f>AVERAGE(Grandview_Inventory[[#This Row],[qual_adj]:[size_adj]])</f>
        <v>0.94367540511969927</v>
      </c>
      <c r="BY2297" s="6">
        <f>IF(Grandview_Inventory[[#This Row],[pre_res]]&lt;0,0,Grandview_Inventory[[#This Row],[pre_res]]*Grandview_Inventory[[#This Row],[overall_adj]])</f>
        <v>387218.10221851006</v>
      </c>
      <c r="BZ2297" s="6">
        <f>(Grandview_Inventory[[#This Row],[sum_land]]-IF(Grandview_Inventory[[#This Row],[no_utilities]]=1,12000,0))/IF(Grandview_Inventory[[#This Row],[unbuildable]]=1,2,1)</f>
        <v>48369.510983942157</v>
      </c>
      <c r="CA229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97">
        <f>ROUND(Grandview_Inventory[[#This Row],[det_value]]*Lookups!$M$28,-2)</f>
        <v>0</v>
      </c>
      <c r="CC2297">
        <f>IF(ROUND(Grandview_Inventory[[#This Row],[adj_res]]*Lookups!$M$28,-2)&lt;Grandview_Inventory[[#This Row],[min_res]],Grandview_Inventory[[#This Row],[min_res]],ROUND(Grandview_Inventory[[#This Row],[adj_res]]*Lookups!$M$28,-2))</f>
        <v>367900</v>
      </c>
      <c r="CD2297">
        <f>Grandview_Inventory[[#This Row],[final_det]]+Grandview_Inventory[[#This Row],[final_res]]</f>
        <v>367900</v>
      </c>
      <c r="CE2297">
        <f>Grandview_Inventory[[#This Row],[final_land]]+Grandview_Inventory[[#This Row],[final_imp]]+Grandview_Inventory[[#This Row],[crop_value]]</f>
        <v>413900</v>
      </c>
      <c r="CG2297" t="str">
        <f t="shared" si="35"/>
        <v>update valuation set market_land =46000, market_bldg=367900, market_total =413900, market_mdno =401, market_date ='9/10/2023' where link_id = (select link_id from parcel where parcel_year = '2024' and parcel_id = '23092621404');</v>
      </c>
    </row>
    <row r="2298" spans="1:85" x14ac:dyDescent="0.25">
      <c r="A2298">
        <v>23092621405</v>
      </c>
      <c r="B2298" t="s">
        <v>129</v>
      </c>
      <c r="C2298">
        <v>8250</v>
      </c>
      <c r="D2298" t="s">
        <v>129</v>
      </c>
      <c r="E2298" t="s">
        <v>53</v>
      </c>
      <c r="F2298" t="s">
        <v>53</v>
      </c>
      <c r="G2298">
        <v>4</v>
      </c>
      <c r="H2298" t="s">
        <v>54</v>
      </c>
      <c r="I2298">
        <v>257800</v>
      </c>
      <c r="J2298">
        <v>39100</v>
      </c>
      <c r="K2298">
        <v>0.19</v>
      </c>
      <c r="L229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98">
        <v>0</v>
      </c>
      <c r="N2298">
        <v>0</v>
      </c>
      <c r="O2298">
        <v>0</v>
      </c>
      <c r="P2298">
        <v>13398.7528</v>
      </c>
      <c r="Q2298">
        <v>63903</v>
      </c>
      <c r="R2298">
        <f>(Grandview_Inventory[[#This Row],[ln_acres]]*Grandview_Inventory[[#This Row],[coeff]])+Grandview_Inventory[[#This Row],[const]]</f>
        <v>41651.273092551026</v>
      </c>
      <c r="S2298" t="s">
        <v>55</v>
      </c>
      <c r="T2298">
        <v>1</v>
      </c>
      <c r="U2298" t="s">
        <v>62</v>
      </c>
      <c r="V2298" t="s">
        <v>57</v>
      </c>
      <c r="W2298">
        <v>0</v>
      </c>
      <c r="X2298">
        <v>0</v>
      </c>
      <c r="Y2298">
        <v>3</v>
      </c>
      <c r="Z2298">
        <v>3</v>
      </c>
      <c r="AA2298">
        <v>10</v>
      </c>
      <c r="AB2298">
        <v>1500</v>
      </c>
      <c r="AC2298">
        <v>1459</v>
      </c>
      <c r="AD2298">
        <v>1459</v>
      </c>
      <c r="AE2298">
        <v>0</v>
      </c>
      <c r="AF2298">
        <v>0</v>
      </c>
      <c r="AG2298">
        <v>0</v>
      </c>
      <c r="AH2298">
        <v>0</v>
      </c>
      <c r="AI2298">
        <v>400</v>
      </c>
      <c r="AJ2298">
        <v>0</v>
      </c>
      <c r="AK2298">
        <v>0</v>
      </c>
      <c r="AL2298">
        <v>0</v>
      </c>
      <c r="AM2298">
        <v>154</v>
      </c>
      <c r="AN2298">
        <v>95</v>
      </c>
      <c r="AO2298">
        <v>56</v>
      </c>
      <c r="AP2298">
        <v>9</v>
      </c>
      <c r="AQ2298">
        <v>0</v>
      </c>
      <c r="AR2298">
        <v>0</v>
      </c>
      <c r="AS2298" t="s">
        <v>58</v>
      </c>
      <c r="AT2298">
        <v>1</v>
      </c>
      <c r="AU2298" t="s">
        <v>63</v>
      </c>
      <c r="AV2298" t="s">
        <v>64</v>
      </c>
      <c r="AW2298">
        <v>1</v>
      </c>
      <c r="AX2298">
        <v>3</v>
      </c>
      <c r="AY2298">
        <v>0</v>
      </c>
      <c r="AZ2298">
        <v>0</v>
      </c>
      <c r="BA2298">
        <v>100</v>
      </c>
      <c r="BB2298">
        <v>100</v>
      </c>
      <c r="BC2298">
        <v>100</v>
      </c>
      <c r="BD2298">
        <v>100</v>
      </c>
      <c r="BE2298">
        <v>1</v>
      </c>
      <c r="BF2298">
        <v>15000</v>
      </c>
      <c r="BG2298">
        <v>1000</v>
      </c>
      <c r="BH2298" s="6">
        <f>Grandview_Inventory[[#This Row],[land_extract]]*Lookups!$B$3</f>
        <v>48369.510983942157</v>
      </c>
      <c r="BI2298" s="6">
        <f>IF(Grandview_Inventory[[#This Row],[bldg_style]]="",0,Lookups!$B$2)</f>
        <v>155833.95000000001</v>
      </c>
      <c r="BJ2298" s="6">
        <f>_xlfn.IFNA(VLOOKUP(Grandview_Inventory[[#This Row],[quality]],Lookups!$H$2:$J$14,3,FALSE),0)</f>
        <v>9808</v>
      </c>
      <c r="BK2298" s="6">
        <f>_xlfn.IFNA(VLOOKUP(Grandview_Inventory[[#This Row],[condition]],Lookups!$H$17:$J$24,3,FALSE),0)</f>
        <v>25780</v>
      </c>
      <c r="BL2298" s="6">
        <f>Grandview_Inventory[[#This Row],[Eff_Age]]*Lookups!$B$14</f>
        <v>-717.49979999999994</v>
      </c>
      <c r="BM2298" s="6">
        <f>Grandview_Inventory[[#This Row],[living_area]]*Lookups!$B$15</f>
        <v>91013.664527000001</v>
      </c>
      <c r="BN2298" s="6">
        <f>Grandview_Inventory[[#This Row],[Fin BSMT]]*Lookups!$B$16</f>
        <v>0</v>
      </c>
      <c r="BO2298" s="6">
        <f>(Grandview_Inventory[[#This Row],[att_gar]]+Grandview_Inventory[[#This Row],[bltin_gar]])*Lookups!$B$17</f>
        <v>35008.174800000001</v>
      </c>
      <c r="BP2298" s="6">
        <f>Grandview_Inventory[[#This Row],[Plumbing Fixtures]]*Lookups!$B$18</f>
        <v>18093.976200000001</v>
      </c>
      <c r="BQ2298" s="6">
        <f>Grandview_Inventory[[#This Row],[detatched_value]]*Lookups!$B$19</f>
        <v>0</v>
      </c>
      <c r="BR2298" s="6">
        <f>SUM(Grandview_Inventory[[#This Row],[Intercept]:[det_value]])*Grandview_Inventory[[#This Row],[res_pct]]</f>
        <v>334820.26572699996</v>
      </c>
      <c r="BS2298" s="6">
        <f>Grandview_Inventory[[#This Row],[land_value]]</f>
        <v>48369.510983942157</v>
      </c>
      <c r="BT2298" s="4">
        <f>_xlfn.IFNA(VLOOKUP(Grandview_Inventory[[#This Row],[quality]],Lookups!$A$26:$C$33,3,FALSE),1)</f>
        <v>0.94295468617355149</v>
      </c>
      <c r="BU2298" s="4">
        <f>_xlfn.IFNA(VLOOKUP(Grandview_Inventory[[#This Row],[condition]],Lookups!$A$37:$C$44,3,FALSE),1)</f>
        <v>0.94347925387812148</v>
      </c>
      <c r="BV2298" s="4">
        <f>IF(Grandview_Inventory[[#This Row],[bldg_style]]="",1,_xlfn.IFNA(VLOOKUP(Grandview_Inventory[[#This Row],[decade]],Lookups!$F$29:$H$43,3,FALSE),1))</f>
        <v>0.94601966599150278</v>
      </c>
      <c r="BW2298" s="4">
        <f>_xlfn.IFNA(VLOOKUP(Grandview_Inventory[[#This Row],[living_area_range]],Lookups!$F$47:$H$56,3,FALSE),1)</f>
        <v>0.96135087979789358</v>
      </c>
      <c r="BX2298" s="4">
        <f>AVERAGE(Grandview_Inventory[[#This Row],[qual_adj]:[size_adj]])</f>
        <v>0.94845112146026733</v>
      </c>
      <c r="BY2298" s="6">
        <f>IF(Grandview_Inventory[[#This Row],[pre_res]]&lt;0,0,Grandview_Inventory[[#This Row],[pre_res]]*Grandview_Inventory[[#This Row],[overall_adj]])</f>
        <v>317560.65651639784</v>
      </c>
      <c r="BZ2298" s="6">
        <f>(Grandview_Inventory[[#This Row],[sum_land]]-IF(Grandview_Inventory[[#This Row],[no_utilities]]=1,12000,0))/IF(Grandview_Inventory[[#This Row],[unbuildable]]=1,2,1)</f>
        <v>48369.510983942157</v>
      </c>
      <c r="CA229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98">
        <f>ROUND(Grandview_Inventory[[#This Row],[det_value]]*Lookups!$M$28,-2)</f>
        <v>0</v>
      </c>
      <c r="CC2298">
        <f>IF(ROUND(Grandview_Inventory[[#This Row],[adj_res]]*Lookups!$M$28,-2)&lt;Grandview_Inventory[[#This Row],[min_res]],Grandview_Inventory[[#This Row],[min_res]],ROUND(Grandview_Inventory[[#This Row],[adj_res]]*Lookups!$M$28,-2))</f>
        <v>301700</v>
      </c>
      <c r="CD2298">
        <f>Grandview_Inventory[[#This Row],[final_det]]+Grandview_Inventory[[#This Row],[final_res]]</f>
        <v>301700</v>
      </c>
      <c r="CE2298">
        <f>Grandview_Inventory[[#This Row],[final_land]]+Grandview_Inventory[[#This Row],[final_imp]]+Grandview_Inventory[[#This Row],[crop_value]]</f>
        <v>347700</v>
      </c>
      <c r="CG2298" t="str">
        <f t="shared" si="35"/>
        <v>update valuation set market_land =46000, market_bldg=301700, market_total =347700, market_mdno =401, market_date ='9/10/2023' where link_id = (select link_id from parcel where parcel_year = '2024' and parcel_id = '23092621405');</v>
      </c>
    </row>
    <row r="2299" spans="1:85" x14ac:dyDescent="0.25">
      <c r="A2299">
        <v>23092621406</v>
      </c>
      <c r="B2299" t="s">
        <v>129</v>
      </c>
      <c r="C2299">
        <v>8250</v>
      </c>
      <c r="D2299" t="s">
        <v>129</v>
      </c>
      <c r="E2299" t="s">
        <v>53</v>
      </c>
      <c r="F2299" t="s">
        <v>53</v>
      </c>
      <c r="G2299">
        <v>4</v>
      </c>
      <c r="H2299" t="s">
        <v>54</v>
      </c>
      <c r="I2299">
        <v>253600</v>
      </c>
      <c r="J2299">
        <v>39100</v>
      </c>
      <c r="K2299">
        <v>0.19</v>
      </c>
      <c r="L229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299">
        <v>0</v>
      </c>
      <c r="N2299">
        <v>0</v>
      </c>
      <c r="O2299">
        <v>0</v>
      </c>
      <c r="P2299">
        <v>13398.7528</v>
      </c>
      <c r="Q2299">
        <v>63903</v>
      </c>
      <c r="R2299">
        <f>(Grandview_Inventory[[#This Row],[ln_acres]]*Grandview_Inventory[[#This Row],[coeff]])+Grandview_Inventory[[#This Row],[const]]</f>
        <v>41651.273092551026</v>
      </c>
      <c r="S2299" t="s">
        <v>61</v>
      </c>
      <c r="T2299">
        <v>1</v>
      </c>
      <c r="U2299" t="s">
        <v>62</v>
      </c>
      <c r="V2299" t="s">
        <v>57</v>
      </c>
      <c r="W2299">
        <v>0</v>
      </c>
      <c r="X2299">
        <v>0</v>
      </c>
      <c r="Y2299">
        <v>2</v>
      </c>
      <c r="Z2299">
        <v>2</v>
      </c>
      <c r="AA2299">
        <v>10</v>
      </c>
      <c r="AB2299">
        <v>2000</v>
      </c>
      <c r="AC2299">
        <v>1600</v>
      </c>
      <c r="AD2299">
        <v>1600</v>
      </c>
      <c r="AE2299">
        <v>0</v>
      </c>
      <c r="AF2299">
        <v>0</v>
      </c>
      <c r="AG2299">
        <v>0</v>
      </c>
      <c r="AH2299">
        <v>0</v>
      </c>
      <c r="AI2299">
        <v>400</v>
      </c>
      <c r="AJ2299">
        <v>0</v>
      </c>
      <c r="AK2299">
        <v>0</v>
      </c>
      <c r="AL2299">
        <v>0</v>
      </c>
      <c r="AM2299">
        <v>0</v>
      </c>
      <c r="AN2299">
        <v>240</v>
      </c>
      <c r="AO2299">
        <v>0</v>
      </c>
      <c r="AP2299">
        <v>9</v>
      </c>
      <c r="AQ2299">
        <v>0</v>
      </c>
      <c r="AR2299">
        <v>0</v>
      </c>
      <c r="AS2299" t="s">
        <v>58</v>
      </c>
      <c r="AT2299">
        <v>1</v>
      </c>
      <c r="AU2299" t="s">
        <v>63</v>
      </c>
      <c r="AV2299" t="s">
        <v>64</v>
      </c>
      <c r="AW2299">
        <v>1</v>
      </c>
      <c r="AX2299">
        <v>3</v>
      </c>
      <c r="AY2299">
        <v>0</v>
      </c>
      <c r="AZ2299">
        <v>0</v>
      </c>
      <c r="BA2299">
        <v>100</v>
      </c>
      <c r="BB2299">
        <v>100</v>
      </c>
      <c r="BC2299">
        <v>100</v>
      </c>
      <c r="BD2299">
        <v>100</v>
      </c>
      <c r="BE2299">
        <v>1</v>
      </c>
      <c r="BF2299">
        <v>15000</v>
      </c>
      <c r="BG2299">
        <v>1000</v>
      </c>
      <c r="BH2299" s="6">
        <f>Grandview_Inventory[[#This Row],[land_extract]]*Lookups!$B$3</f>
        <v>48369.510983942157</v>
      </c>
      <c r="BI2299" s="6">
        <f>IF(Grandview_Inventory[[#This Row],[bldg_style]]="",0,Lookups!$B$2)</f>
        <v>155833.95000000001</v>
      </c>
      <c r="BJ2299" s="6">
        <f>_xlfn.IFNA(VLOOKUP(Grandview_Inventory[[#This Row],[quality]],Lookups!$H$2:$J$14,3,FALSE),0)</f>
        <v>9808</v>
      </c>
      <c r="BK2299" s="6">
        <f>_xlfn.IFNA(VLOOKUP(Grandview_Inventory[[#This Row],[condition]],Lookups!$H$17:$J$24,3,FALSE),0)</f>
        <v>25780</v>
      </c>
      <c r="BL2299" s="6">
        <f>Grandview_Inventory[[#This Row],[Eff_Age]]*Lookups!$B$14</f>
        <v>-478.33319999999998</v>
      </c>
      <c r="BM2299" s="6">
        <f>Grandview_Inventory[[#This Row],[living_area]]*Lookups!$B$15</f>
        <v>99809.36480000001</v>
      </c>
      <c r="BN2299" s="6">
        <f>Grandview_Inventory[[#This Row],[Fin BSMT]]*Lookups!$B$16</f>
        <v>0</v>
      </c>
      <c r="BO2299" s="6">
        <f>(Grandview_Inventory[[#This Row],[att_gar]]+Grandview_Inventory[[#This Row],[bltin_gar]])*Lookups!$B$17</f>
        <v>35008.174800000001</v>
      </c>
      <c r="BP2299" s="6">
        <f>Grandview_Inventory[[#This Row],[Plumbing Fixtures]]*Lookups!$B$18</f>
        <v>18093.976200000001</v>
      </c>
      <c r="BQ2299" s="6">
        <f>Grandview_Inventory[[#This Row],[detatched_value]]*Lookups!$B$19</f>
        <v>0</v>
      </c>
      <c r="BR2299" s="6">
        <f>SUM(Grandview_Inventory[[#This Row],[Intercept]:[det_value]])*Grandview_Inventory[[#This Row],[res_pct]]</f>
        <v>343855.13260000001</v>
      </c>
      <c r="BS2299" s="6">
        <f>Grandview_Inventory[[#This Row],[land_value]]</f>
        <v>48369.510983942157</v>
      </c>
      <c r="BT2299" s="4">
        <f>_xlfn.IFNA(VLOOKUP(Grandview_Inventory[[#This Row],[quality]],Lookups!$A$26:$C$33,3,FALSE),1)</f>
        <v>0.94295468617355149</v>
      </c>
      <c r="BU2299" s="4">
        <f>_xlfn.IFNA(VLOOKUP(Grandview_Inventory[[#This Row],[condition]],Lookups!$A$37:$C$44,3,FALSE),1)</f>
        <v>0.94347925387812148</v>
      </c>
      <c r="BV2299" s="4">
        <f>IF(Grandview_Inventory[[#This Row],[bldg_style]]="",1,_xlfn.IFNA(VLOOKUP(Grandview_Inventory[[#This Row],[decade]],Lookups!$F$29:$H$43,3,FALSE),1))</f>
        <v>0.94601966599150278</v>
      </c>
      <c r="BW2299" s="4">
        <f>_xlfn.IFNA(VLOOKUP(Grandview_Inventory[[#This Row],[living_area_range]],Lookups!$F$47:$H$56,3,FALSE),1)</f>
        <v>0.96120133463014379</v>
      </c>
      <c r="BX2299" s="4">
        <f>AVERAGE(Grandview_Inventory[[#This Row],[qual_adj]:[size_adj]])</f>
        <v>0.94841373516832994</v>
      </c>
      <c r="BY2299" s="6">
        <f>IF(Grandview_Inventory[[#This Row],[pre_res]]&lt;0,0,Grandview_Inventory[[#This Row],[pre_res]]*Grandview_Inventory[[#This Row],[overall_adj]])</f>
        <v>326116.9306659674</v>
      </c>
      <c r="BZ2299" s="6">
        <f>(Grandview_Inventory[[#This Row],[sum_land]]-IF(Grandview_Inventory[[#This Row],[no_utilities]]=1,12000,0))/IF(Grandview_Inventory[[#This Row],[unbuildable]]=1,2,1)</f>
        <v>48369.510983942157</v>
      </c>
      <c r="CA229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299">
        <f>ROUND(Grandview_Inventory[[#This Row],[det_value]]*Lookups!$M$28,-2)</f>
        <v>0</v>
      </c>
      <c r="CC2299">
        <f>IF(ROUND(Grandview_Inventory[[#This Row],[adj_res]]*Lookups!$M$28,-2)&lt;Grandview_Inventory[[#This Row],[min_res]],Grandview_Inventory[[#This Row],[min_res]],ROUND(Grandview_Inventory[[#This Row],[adj_res]]*Lookups!$M$28,-2))</f>
        <v>309800</v>
      </c>
      <c r="CD2299">
        <f>Grandview_Inventory[[#This Row],[final_det]]+Grandview_Inventory[[#This Row],[final_res]]</f>
        <v>309800</v>
      </c>
      <c r="CE2299">
        <f>Grandview_Inventory[[#This Row],[final_land]]+Grandview_Inventory[[#This Row],[final_imp]]+Grandview_Inventory[[#This Row],[crop_value]]</f>
        <v>355800</v>
      </c>
      <c r="CG2299" t="str">
        <f t="shared" si="35"/>
        <v>update valuation set market_land =46000, market_bldg=309800, market_total =355800, market_mdno =401, market_date ='9/10/2023' where link_id = (select link_id from parcel where parcel_year = '2024' and parcel_id = '23092621406');</v>
      </c>
    </row>
    <row r="2300" spans="1:85" x14ac:dyDescent="0.25">
      <c r="A2300">
        <v>23092621407</v>
      </c>
      <c r="B2300" t="s">
        <v>129</v>
      </c>
      <c r="C2300">
        <v>8250</v>
      </c>
      <c r="D2300" t="s">
        <v>129</v>
      </c>
      <c r="E2300" t="s">
        <v>53</v>
      </c>
      <c r="F2300" t="s">
        <v>53</v>
      </c>
      <c r="G2300">
        <v>4</v>
      </c>
      <c r="H2300" t="s">
        <v>54</v>
      </c>
      <c r="I2300">
        <v>244600</v>
      </c>
      <c r="J2300">
        <v>39100</v>
      </c>
      <c r="K2300">
        <v>0.19</v>
      </c>
      <c r="L23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0">
        <v>0</v>
      </c>
      <c r="N2300">
        <v>0</v>
      </c>
      <c r="O2300">
        <v>0</v>
      </c>
      <c r="P2300">
        <v>13398.7528</v>
      </c>
      <c r="Q2300">
        <v>63903</v>
      </c>
      <c r="R2300">
        <f>(Grandview_Inventory[[#This Row],[ln_acres]]*Grandview_Inventory[[#This Row],[coeff]])+Grandview_Inventory[[#This Row],[const]]</f>
        <v>41651.273092551026</v>
      </c>
      <c r="S2300" t="s">
        <v>61</v>
      </c>
      <c r="T2300">
        <v>1</v>
      </c>
      <c r="U2300" t="s">
        <v>62</v>
      </c>
      <c r="V2300" t="s">
        <v>57</v>
      </c>
      <c r="W2300">
        <v>0</v>
      </c>
      <c r="X2300">
        <v>0</v>
      </c>
      <c r="Y2300">
        <v>2</v>
      </c>
      <c r="Z2300">
        <v>2</v>
      </c>
      <c r="AA2300">
        <v>10</v>
      </c>
      <c r="AB2300">
        <v>1500</v>
      </c>
      <c r="AC2300">
        <v>1382</v>
      </c>
      <c r="AD2300">
        <v>1382</v>
      </c>
      <c r="AE2300">
        <v>0</v>
      </c>
      <c r="AF2300">
        <v>0</v>
      </c>
      <c r="AG2300">
        <v>0</v>
      </c>
      <c r="AH2300">
        <v>0</v>
      </c>
      <c r="AI2300">
        <v>440</v>
      </c>
      <c r="AJ2300">
        <v>0</v>
      </c>
      <c r="AK2300">
        <v>0</v>
      </c>
      <c r="AL2300">
        <v>0</v>
      </c>
      <c r="AM2300">
        <v>0</v>
      </c>
      <c r="AN2300">
        <v>152</v>
      </c>
      <c r="AO2300">
        <v>0</v>
      </c>
      <c r="AP2300">
        <v>9</v>
      </c>
      <c r="AQ2300">
        <v>0</v>
      </c>
      <c r="AR2300">
        <v>0</v>
      </c>
      <c r="AS2300" t="s">
        <v>58</v>
      </c>
      <c r="AT2300">
        <v>1</v>
      </c>
      <c r="AU2300" t="s">
        <v>63</v>
      </c>
      <c r="AV2300" t="s">
        <v>64</v>
      </c>
      <c r="AW2300">
        <v>1</v>
      </c>
      <c r="AX2300">
        <v>3</v>
      </c>
      <c r="AY2300">
        <v>0</v>
      </c>
      <c r="AZ2300">
        <v>0</v>
      </c>
      <c r="BA2300">
        <v>100</v>
      </c>
      <c r="BB2300">
        <v>100</v>
      </c>
      <c r="BC2300">
        <v>100</v>
      </c>
      <c r="BD2300">
        <v>100</v>
      </c>
      <c r="BE2300">
        <v>1</v>
      </c>
      <c r="BF2300">
        <v>15000</v>
      </c>
      <c r="BG2300">
        <v>1000</v>
      </c>
      <c r="BH2300" s="6">
        <f>Grandview_Inventory[[#This Row],[land_extract]]*Lookups!$B$3</f>
        <v>48369.510983942157</v>
      </c>
      <c r="BI2300" s="6">
        <f>IF(Grandview_Inventory[[#This Row],[bldg_style]]="",0,Lookups!$B$2)</f>
        <v>155833.95000000001</v>
      </c>
      <c r="BJ2300" s="6">
        <f>_xlfn.IFNA(VLOOKUP(Grandview_Inventory[[#This Row],[quality]],Lookups!$H$2:$J$14,3,FALSE),0)</f>
        <v>9808</v>
      </c>
      <c r="BK2300" s="6">
        <f>_xlfn.IFNA(VLOOKUP(Grandview_Inventory[[#This Row],[condition]],Lookups!$H$17:$J$24,3,FALSE),0)</f>
        <v>25780</v>
      </c>
      <c r="BL2300" s="6">
        <f>Grandview_Inventory[[#This Row],[Eff_Age]]*Lookups!$B$14</f>
        <v>-478.33319999999998</v>
      </c>
      <c r="BM2300" s="6">
        <f>Grandview_Inventory[[#This Row],[living_area]]*Lookups!$B$15</f>
        <v>86210.338845999999</v>
      </c>
      <c r="BN2300" s="6">
        <f>Grandview_Inventory[[#This Row],[Fin BSMT]]*Lookups!$B$16</f>
        <v>0</v>
      </c>
      <c r="BO2300" s="6">
        <f>(Grandview_Inventory[[#This Row],[att_gar]]+Grandview_Inventory[[#This Row],[bltin_gar]])*Lookups!$B$17</f>
        <v>38508.992279999999</v>
      </c>
      <c r="BP2300" s="6">
        <f>Grandview_Inventory[[#This Row],[Plumbing Fixtures]]*Lookups!$B$18</f>
        <v>18093.976200000001</v>
      </c>
      <c r="BQ2300" s="6">
        <f>Grandview_Inventory[[#This Row],[detatched_value]]*Lookups!$B$19</f>
        <v>0</v>
      </c>
      <c r="BR2300" s="6">
        <f>SUM(Grandview_Inventory[[#This Row],[Intercept]:[det_value]])*Grandview_Inventory[[#This Row],[res_pct]]</f>
        <v>333756.92412599997</v>
      </c>
      <c r="BS2300" s="6">
        <f>Grandview_Inventory[[#This Row],[land_value]]</f>
        <v>48369.510983942157</v>
      </c>
      <c r="BT2300" s="4">
        <f>_xlfn.IFNA(VLOOKUP(Grandview_Inventory[[#This Row],[quality]],Lookups!$A$26:$C$33,3,FALSE),1)</f>
        <v>0.94295468617355149</v>
      </c>
      <c r="BU2300" s="4">
        <f>_xlfn.IFNA(VLOOKUP(Grandview_Inventory[[#This Row],[condition]],Lookups!$A$37:$C$44,3,FALSE),1)</f>
        <v>0.94347925387812148</v>
      </c>
      <c r="BV2300" s="4">
        <f>IF(Grandview_Inventory[[#This Row],[bldg_style]]="",1,_xlfn.IFNA(VLOOKUP(Grandview_Inventory[[#This Row],[decade]],Lookups!$F$29:$H$43,3,FALSE),1))</f>
        <v>0.94601966599150278</v>
      </c>
      <c r="BW2300" s="4">
        <f>_xlfn.IFNA(VLOOKUP(Grandview_Inventory[[#This Row],[living_area_range]],Lookups!$F$47:$H$56,3,FALSE),1)</f>
        <v>0.96135087979789358</v>
      </c>
      <c r="BX2300" s="4">
        <f>AVERAGE(Grandview_Inventory[[#This Row],[qual_adj]:[size_adj]])</f>
        <v>0.94845112146026733</v>
      </c>
      <c r="BY2300" s="6">
        <f>IF(Grandview_Inventory[[#This Row],[pre_res]]&lt;0,0,Grandview_Inventory[[#This Row],[pre_res]]*Grandview_Inventory[[#This Row],[overall_adj]])</f>
        <v>316552.12898243405</v>
      </c>
      <c r="BZ2300" s="6">
        <f>(Grandview_Inventory[[#This Row],[sum_land]]-IF(Grandview_Inventory[[#This Row],[no_utilities]]=1,12000,0))/IF(Grandview_Inventory[[#This Row],[unbuildable]]=1,2,1)</f>
        <v>48369.510983942157</v>
      </c>
      <c r="CA230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0">
        <f>ROUND(Grandview_Inventory[[#This Row],[det_value]]*Lookups!$M$28,-2)</f>
        <v>0</v>
      </c>
      <c r="CC2300">
        <f>IF(ROUND(Grandview_Inventory[[#This Row],[adj_res]]*Lookups!$M$28,-2)&lt;Grandview_Inventory[[#This Row],[min_res]],Grandview_Inventory[[#This Row],[min_res]],ROUND(Grandview_Inventory[[#This Row],[adj_res]]*Lookups!$M$28,-2))</f>
        <v>300700</v>
      </c>
      <c r="CD2300">
        <f>Grandview_Inventory[[#This Row],[final_det]]+Grandview_Inventory[[#This Row],[final_res]]</f>
        <v>300700</v>
      </c>
      <c r="CE2300">
        <f>Grandview_Inventory[[#This Row],[final_land]]+Grandview_Inventory[[#This Row],[final_imp]]+Grandview_Inventory[[#This Row],[crop_value]]</f>
        <v>346700</v>
      </c>
      <c r="CG2300" t="str">
        <f t="shared" si="35"/>
        <v>update valuation set market_land =46000, market_bldg=300700, market_total =346700, market_mdno =401, market_date ='9/10/2023' where link_id = (select link_id from parcel where parcel_year = '2024' and parcel_id = '23092621407');</v>
      </c>
    </row>
    <row r="2301" spans="1:85" x14ac:dyDescent="0.25">
      <c r="A2301">
        <v>23092621408</v>
      </c>
      <c r="B2301" t="s">
        <v>129</v>
      </c>
      <c r="C2301">
        <v>8250</v>
      </c>
      <c r="D2301" t="s">
        <v>129</v>
      </c>
      <c r="E2301" t="s">
        <v>53</v>
      </c>
      <c r="F2301" t="s">
        <v>53</v>
      </c>
      <c r="G2301">
        <v>4</v>
      </c>
      <c r="H2301" t="s">
        <v>54</v>
      </c>
      <c r="I2301">
        <v>265500</v>
      </c>
      <c r="J2301">
        <v>39100</v>
      </c>
      <c r="K2301">
        <v>0.19</v>
      </c>
      <c r="L230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1">
        <v>0</v>
      </c>
      <c r="N2301">
        <v>0</v>
      </c>
      <c r="O2301">
        <v>0</v>
      </c>
      <c r="P2301">
        <v>13398.7528</v>
      </c>
      <c r="Q2301">
        <v>63903</v>
      </c>
      <c r="R2301">
        <f>(Grandview_Inventory[[#This Row],[ln_acres]]*Grandview_Inventory[[#This Row],[coeff]])+Grandview_Inventory[[#This Row],[const]]</f>
        <v>41651.273092551026</v>
      </c>
      <c r="S2301" t="s">
        <v>55</v>
      </c>
      <c r="T2301">
        <v>1</v>
      </c>
      <c r="U2301" t="s">
        <v>62</v>
      </c>
      <c r="V2301" t="s">
        <v>57</v>
      </c>
      <c r="W2301">
        <v>0</v>
      </c>
      <c r="X2301">
        <v>0</v>
      </c>
      <c r="Y2301">
        <v>2</v>
      </c>
      <c r="Z2301">
        <v>2</v>
      </c>
      <c r="AA2301">
        <v>10</v>
      </c>
      <c r="AB2301">
        <v>2000</v>
      </c>
      <c r="AC2301">
        <v>1600</v>
      </c>
      <c r="AD2301">
        <v>1600</v>
      </c>
      <c r="AE2301">
        <v>0</v>
      </c>
      <c r="AF2301">
        <v>0</v>
      </c>
      <c r="AG2301">
        <v>0</v>
      </c>
      <c r="AH2301">
        <v>0</v>
      </c>
      <c r="AI2301">
        <v>400</v>
      </c>
      <c r="AJ2301">
        <v>0</v>
      </c>
      <c r="AK2301">
        <v>0</v>
      </c>
      <c r="AL2301">
        <v>0</v>
      </c>
      <c r="AM2301">
        <v>0</v>
      </c>
      <c r="AN2301">
        <v>240</v>
      </c>
      <c r="AO2301">
        <v>0</v>
      </c>
      <c r="AP2301">
        <v>9</v>
      </c>
      <c r="AQ2301">
        <v>0</v>
      </c>
      <c r="AR2301">
        <v>0</v>
      </c>
      <c r="AS2301" t="s">
        <v>58</v>
      </c>
      <c r="AT2301">
        <v>1</v>
      </c>
      <c r="AU2301" t="s">
        <v>63</v>
      </c>
      <c r="AV2301" t="s">
        <v>64</v>
      </c>
      <c r="AW2301">
        <v>1</v>
      </c>
      <c r="AX2301">
        <v>3</v>
      </c>
      <c r="AY2301">
        <v>0</v>
      </c>
      <c r="AZ2301">
        <v>0</v>
      </c>
      <c r="BA2301">
        <v>100</v>
      </c>
      <c r="BB2301">
        <v>100</v>
      </c>
      <c r="BC2301">
        <v>100</v>
      </c>
      <c r="BD2301">
        <v>100</v>
      </c>
      <c r="BE2301">
        <v>1</v>
      </c>
      <c r="BF2301">
        <v>15000</v>
      </c>
      <c r="BG2301">
        <v>1000</v>
      </c>
      <c r="BH2301" s="6">
        <f>Grandview_Inventory[[#This Row],[land_extract]]*Lookups!$B$3</f>
        <v>48369.510983942157</v>
      </c>
      <c r="BI2301" s="6">
        <f>IF(Grandview_Inventory[[#This Row],[bldg_style]]="",0,Lookups!$B$2)</f>
        <v>155833.95000000001</v>
      </c>
      <c r="BJ2301" s="6">
        <f>_xlfn.IFNA(VLOOKUP(Grandview_Inventory[[#This Row],[quality]],Lookups!$H$2:$J$14,3,FALSE),0)</f>
        <v>9808</v>
      </c>
      <c r="BK2301" s="6">
        <f>_xlfn.IFNA(VLOOKUP(Grandview_Inventory[[#This Row],[condition]],Lookups!$H$17:$J$24,3,FALSE),0)</f>
        <v>25780</v>
      </c>
      <c r="BL2301" s="6">
        <f>Grandview_Inventory[[#This Row],[Eff_Age]]*Lookups!$B$14</f>
        <v>-478.33319999999998</v>
      </c>
      <c r="BM2301" s="6">
        <f>Grandview_Inventory[[#This Row],[living_area]]*Lookups!$B$15</f>
        <v>99809.36480000001</v>
      </c>
      <c r="BN2301" s="6">
        <f>Grandview_Inventory[[#This Row],[Fin BSMT]]*Lookups!$B$16</f>
        <v>0</v>
      </c>
      <c r="BO2301" s="6">
        <f>(Grandview_Inventory[[#This Row],[att_gar]]+Grandview_Inventory[[#This Row],[bltin_gar]])*Lookups!$B$17</f>
        <v>35008.174800000001</v>
      </c>
      <c r="BP2301" s="6">
        <f>Grandview_Inventory[[#This Row],[Plumbing Fixtures]]*Lookups!$B$18</f>
        <v>18093.976200000001</v>
      </c>
      <c r="BQ2301" s="6">
        <f>Grandview_Inventory[[#This Row],[detatched_value]]*Lookups!$B$19</f>
        <v>0</v>
      </c>
      <c r="BR2301" s="6">
        <f>SUM(Grandview_Inventory[[#This Row],[Intercept]:[det_value]])*Grandview_Inventory[[#This Row],[res_pct]]</f>
        <v>343855.13260000001</v>
      </c>
      <c r="BS2301" s="6">
        <f>Grandview_Inventory[[#This Row],[land_value]]</f>
        <v>48369.510983942157</v>
      </c>
      <c r="BT2301" s="4">
        <f>_xlfn.IFNA(VLOOKUP(Grandview_Inventory[[#This Row],[quality]],Lookups!$A$26:$C$33,3,FALSE),1)</f>
        <v>0.94295468617355149</v>
      </c>
      <c r="BU2301" s="4">
        <f>_xlfn.IFNA(VLOOKUP(Grandview_Inventory[[#This Row],[condition]],Lookups!$A$37:$C$44,3,FALSE),1)</f>
        <v>0.94347925387812148</v>
      </c>
      <c r="BV2301" s="4">
        <f>IF(Grandview_Inventory[[#This Row],[bldg_style]]="",1,_xlfn.IFNA(VLOOKUP(Grandview_Inventory[[#This Row],[decade]],Lookups!$F$29:$H$43,3,FALSE),1))</f>
        <v>0.94601966599150278</v>
      </c>
      <c r="BW2301" s="4">
        <f>_xlfn.IFNA(VLOOKUP(Grandview_Inventory[[#This Row],[living_area_range]],Lookups!$F$47:$H$56,3,FALSE),1)</f>
        <v>0.96120133463014379</v>
      </c>
      <c r="BX2301" s="4">
        <f>AVERAGE(Grandview_Inventory[[#This Row],[qual_adj]:[size_adj]])</f>
        <v>0.94841373516832994</v>
      </c>
      <c r="BY2301" s="6">
        <f>IF(Grandview_Inventory[[#This Row],[pre_res]]&lt;0,0,Grandview_Inventory[[#This Row],[pre_res]]*Grandview_Inventory[[#This Row],[overall_adj]])</f>
        <v>326116.9306659674</v>
      </c>
      <c r="BZ2301" s="6">
        <f>(Grandview_Inventory[[#This Row],[sum_land]]-IF(Grandview_Inventory[[#This Row],[no_utilities]]=1,12000,0))/IF(Grandview_Inventory[[#This Row],[unbuildable]]=1,2,1)</f>
        <v>48369.510983942157</v>
      </c>
      <c r="CA230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1">
        <f>ROUND(Grandview_Inventory[[#This Row],[det_value]]*Lookups!$M$28,-2)</f>
        <v>0</v>
      </c>
      <c r="CC2301">
        <f>IF(ROUND(Grandview_Inventory[[#This Row],[adj_res]]*Lookups!$M$28,-2)&lt;Grandview_Inventory[[#This Row],[min_res]],Grandview_Inventory[[#This Row],[min_res]],ROUND(Grandview_Inventory[[#This Row],[adj_res]]*Lookups!$M$28,-2))</f>
        <v>309800</v>
      </c>
      <c r="CD2301">
        <f>Grandview_Inventory[[#This Row],[final_det]]+Grandview_Inventory[[#This Row],[final_res]]</f>
        <v>309800</v>
      </c>
      <c r="CE2301">
        <f>Grandview_Inventory[[#This Row],[final_land]]+Grandview_Inventory[[#This Row],[final_imp]]+Grandview_Inventory[[#This Row],[crop_value]]</f>
        <v>355800</v>
      </c>
      <c r="CG2301" t="str">
        <f t="shared" si="35"/>
        <v>update valuation set market_land =46000, market_bldg=309800, market_total =355800, market_mdno =401, market_date ='9/10/2023' where link_id = (select link_id from parcel where parcel_year = '2024' and parcel_id = '23092621408');</v>
      </c>
    </row>
    <row r="2302" spans="1:85" x14ac:dyDescent="0.25">
      <c r="A2302">
        <v>23092621409</v>
      </c>
      <c r="B2302" t="s">
        <v>129</v>
      </c>
      <c r="C2302">
        <v>8250</v>
      </c>
      <c r="D2302" t="s">
        <v>129</v>
      </c>
      <c r="E2302" t="s">
        <v>53</v>
      </c>
      <c r="F2302" t="s">
        <v>53</v>
      </c>
      <c r="G2302">
        <v>4</v>
      </c>
      <c r="H2302" t="s">
        <v>54</v>
      </c>
      <c r="I2302">
        <v>265500</v>
      </c>
      <c r="J2302">
        <v>39100</v>
      </c>
      <c r="K2302">
        <v>0.19</v>
      </c>
      <c r="L230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2">
        <v>0</v>
      </c>
      <c r="N2302">
        <v>0</v>
      </c>
      <c r="O2302">
        <v>0</v>
      </c>
      <c r="P2302">
        <v>13398.7528</v>
      </c>
      <c r="Q2302">
        <v>63903</v>
      </c>
      <c r="R2302">
        <f>(Grandview_Inventory[[#This Row],[ln_acres]]*Grandview_Inventory[[#This Row],[coeff]])+Grandview_Inventory[[#This Row],[const]]</f>
        <v>41651.273092551026</v>
      </c>
      <c r="S2302" t="s">
        <v>55</v>
      </c>
      <c r="T2302">
        <v>1</v>
      </c>
      <c r="U2302" t="s">
        <v>62</v>
      </c>
      <c r="V2302" t="s">
        <v>57</v>
      </c>
      <c r="W2302">
        <v>0</v>
      </c>
      <c r="X2302">
        <v>0</v>
      </c>
      <c r="Y2302">
        <v>2</v>
      </c>
      <c r="Z2302">
        <v>2</v>
      </c>
      <c r="AA2302">
        <v>10</v>
      </c>
      <c r="AB2302">
        <v>2000</v>
      </c>
      <c r="AC2302">
        <v>1600</v>
      </c>
      <c r="AD2302">
        <v>1600</v>
      </c>
      <c r="AE2302">
        <v>0</v>
      </c>
      <c r="AF2302">
        <v>0</v>
      </c>
      <c r="AG2302">
        <v>0</v>
      </c>
      <c r="AH2302">
        <v>0</v>
      </c>
      <c r="AI2302">
        <v>400</v>
      </c>
      <c r="AJ2302">
        <v>0</v>
      </c>
      <c r="AK2302">
        <v>0</v>
      </c>
      <c r="AL2302">
        <v>0</v>
      </c>
      <c r="AM2302">
        <v>0</v>
      </c>
      <c r="AN2302">
        <v>240</v>
      </c>
      <c r="AO2302">
        <v>0</v>
      </c>
      <c r="AP2302">
        <v>9</v>
      </c>
      <c r="AQ2302">
        <v>0</v>
      </c>
      <c r="AR2302">
        <v>0</v>
      </c>
      <c r="AS2302" t="s">
        <v>58</v>
      </c>
      <c r="AT2302">
        <v>1</v>
      </c>
      <c r="AU2302" t="s">
        <v>63</v>
      </c>
      <c r="AV2302" t="s">
        <v>64</v>
      </c>
      <c r="AW2302">
        <v>1</v>
      </c>
      <c r="AX2302">
        <v>3</v>
      </c>
      <c r="AY2302">
        <v>0</v>
      </c>
      <c r="AZ2302">
        <v>0</v>
      </c>
      <c r="BA2302">
        <v>100</v>
      </c>
      <c r="BB2302">
        <v>100</v>
      </c>
      <c r="BC2302">
        <v>100</v>
      </c>
      <c r="BD2302">
        <v>100</v>
      </c>
      <c r="BE2302">
        <v>1</v>
      </c>
      <c r="BF2302">
        <v>15000</v>
      </c>
      <c r="BG2302">
        <v>1000</v>
      </c>
      <c r="BH2302" s="6">
        <f>Grandview_Inventory[[#This Row],[land_extract]]*Lookups!$B$3</f>
        <v>48369.510983942157</v>
      </c>
      <c r="BI2302" s="6">
        <f>IF(Grandview_Inventory[[#This Row],[bldg_style]]="",0,Lookups!$B$2)</f>
        <v>155833.95000000001</v>
      </c>
      <c r="BJ2302" s="6">
        <f>_xlfn.IFNA(VLOOKUP(Grandview_Inventory[[#This Row],[quality]],Lookups!$H$2:$J$14,3,FALSE),0)</f>
        <v>9808</v>
      </c>
      <c r="BK2302" s="6">
        <f>_xlfn.IFNA(VLOOKUP(Grandview_Inventory[[#This Row],[condition]],Lookups!$H$17:$J$24,3,FALSE),0)</f>
        <v>25780</v>
      </c>
      <c r="BL2302" s="6">
        <f>Grandview_Inventory[[#This Row],[Eff_Age]]*Lookups!$B$14</f>
        <v>-478.33319999999998</v>
      </c>
      <c r="BM2302" s="6">
        <f>Grandview_Inventory[[#This Row],[living_area]]*Lookups!$B$15</f>
        <v>99809.36480000001</v>
      </c>
      <c r="BN2302" s="6">
        <f>Grandview_Inventory[[#This Row],[Fin BSMT]]*Lookups!$B$16</f>
        <v>0</v>
      </c>
      <c r="BO2302" s="6">
        <f>(Grandview_Inventory[[#This Row],[att_gar]]+Grandview_Inventory[[#This Row],[bltin_gar]])*Lookups!$B$17</f>
        <v>35008.174800000001</v>
      </c>
      <c r="BP2302" s="6">
        <f>Grandview_Inventory[[#This Row],[Plumbing Fixtures]]*Lookups!$B$18</f>
        <v>18093.976200000001</v>
      </c>
      <c r="BQ2302" s="6">
        <f>Grandview_Inventory[[#This Row],[detatched_value]]*Lookups!$B$19</f>
        <v>0</v>
      </c>
      <c r="BR2302" s="6">
        <f>SUM(Grandview_Inventory[[#This Row],[Intercept]:[det_value]])*Grandview_Inventory[[#This Row],[res_pct]]</f>
        <v>343855.13260000001</v>
      </c>
      <c r="BS2302" s="6">
        <f>Grandview_Inventory[[#This Row],[land_value]]</f>
        <v>48369.510983942157</v>
      </c>
      <c r="BT2302" s="4">
        <f>_xlfn.IFNA(VLOOKUP(Grandview_Inventory[[#This Row],[quality]],Lookups!$A$26:$C$33,3,FALSE),1)</f>
        <v>0.94295468617355149</v>
      </c>
      <c r="BU2302" s="4">
        <f>_xlfn.IFNA(VLOOKUP(Grandview_Inventory[[#This Row],[condition]],Lookups!$A$37:$C$44,3,FALSE),1)</f>
        <v>0.94347925387812148</v>
      </c>
      <c r="BV2302" s="4">
        <f>IF(Grandview_Inventory[[#This Row],[bldg_style]]="",1,_xlfn.IFNA(VLOOKUP(Grandview_Inventory[[#This Row],[decade]],Lookups!$F$29:$H$43,3,FALSE),1))</f>
        <v>0.94601966599150278</v>
      </c>
      <c r="BW2302" s="4">
        <f>_xlfn.IFNA(VLOOKUP(Grandview_Inventory[[#This Row],[living_area_range]],Lookups!$F$47:$H$56,3,FALSE),1)</f>
        <v>0.96120133463014379</v>
      </c>
      <c r="BX2302" s="4">
        <f>AVERAGE(Grandview_Inventory[[#This Row],[qual_adj]:[size_adj]])</f>
        <v>0.94841373516832994</v>
      </c>
      <c r="BY2302" s="6">
        <f>IF(Grandview_Inventory[[#This Row],[pre_res]]&lt;0,0,Grandview_Inventory[[#This Row],[pre_res]]*Grandview_Inventory[[#This Row],[overall_adj]])</f>
        <v>326116.9306659674</v>
      </c>
      <c r="BZ2302" s="6">
        <f>(Grandview_Inventory[[#This Row],[sum_land]]-IF(Grandview_Inventory[[#This Row],[no_utilities]]=1,12000,0))/IF(Grandview_Inventory[[#This Row],[unbuildable]]=1,2,1)</f>
        <v>48369.510983942157</v>
      </c>
      <c r="CA230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2">
        <f>ROUND(Grandview_Inventory[[#This Row],[det_value]]*Lookups!$M$28,-2)</f>
        <v>0</v>
      </c>
      <c r="CC2302">
        <f>IF(ROUND(Grandview_Inventory[[#This Row],[adj_res]]*Lookups!$M$28,-2)&lt;Grandview_Inventory[[#This Row],[min_res]],Grandview_Inventory[[#This Row],[min_res]],ROUND(Grandview_Inventory[[#This Row],[adj_res]]*Lookups!$M$28,-2))</f>
        <v>309800</v>
      </c>
      <c r="CD2302">
        <f>Grandview_Inventory[[#This Row],[final_det]]+Grandview_Inventory[[#This Row],[final_res]]</f>
        <v>309800</v>
      </c>
      <c r="CE2302">
        <f>Grandview_Inventory[[#This Row],[final_land]]+Grandview_Inventory[[#This Row],[final_imp]]+Grandview_Inventory[[#This Row],[crop_value]]</f>
        <v>355800</v>
      </c>
      <c r="CG2302" t="str">
        <f t="shared" si="35"/>
        <v>update valuation set market_land =46000, market_bldg=309800, market_total =355800, market_mdno =401, market_date ='9/10/2023' where link_id = (select link_id from parcel where parcel_year = '2024' and parcel_id = '23092621409');</v>
      </c>
    </row>
    <row r="2303" spans="1:85" x14ac:dyDescent="0.25">
      <c r="A2303">
        <v>23092621410</v>
      </c>
      <c r="B2303" t="s">
        <v>129</v>
      </c>
      <c r="C2303">
        <v>8250</v>
      </c>
      <c r="D2303" t="s">
        <v>129</v>
      </c>
      <c r="E2303" t="s">
        <v>53</v>
      </c>
      <c r="F2303" t="s">
        <v>53</v>
      </c>
      <c r="G2303">
        <v>4</v>
      </c>
      <c r="H2303" t="s">
        <v>54</v>
      </c>
      <c r="I2303">
        <v>296400</v>
      </c>
      <c r="J2303">
        <v>39100</v>
      </c>
      <c r="K2303">
        <v>0.19</v>
      </c>
      <c r="L230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3">
        <v>0</v>
      </c>
      <c r="N2303">
        <v>0</v>
      </c>
      <c r="O2303">
        <v>0</v>
      </c>
      <c r="P2303">
        <v>13398.7528</v>
      </c>
      <c r="Q2303">
        <v>63903</v>
      </c>
      <c r="R2303">
        <f>(Grandview_Inventory[[#This Row],[ln_acres]]*Grandview_Inventory[[#This Row],[coeff]])+Grandview_Inventory[[#This Row],[const]]</f>
        <v>41651.273092551026</v>
      </c>
      <c r="S2303" t="s">
        <v>61</v>
      </c>
      <c r="T2303">
        <v>1</v>
      </c>
      <c r="U2303" t="s">
        <v>62</v>
      </c>
      <c r="V2303" t="s">
        <v>57</v>
      </c>
      <c r="W2303">
        <v>0</v>
      </c>
      <c r="X2303">
        <v>0</v>
      </c>
      <c r="Y2303">
        <v>2</v>
      </c>
      <c r="Z2303">
        <v>2</v>
      </c>
      <c r="AA2303">
        <v>10</v>
      </c>
      <c r="AB2303">
        <v>2500</v>
      </c>
      <c r="AC2303">
        <v>2040</v>
      </c>
      <c r="AD2303">
        <v>2040</v>
      </c>
      <c r="AE2303">
        <v>0</v>
      </c>
      <c r="AF2303">
        <v>0</v>
      </c>
      <c r="AG2303">
        <v>0</v>
      </c>
      <c r="AH2303">
        <v>0</v>
      </c>
      <c r="AI2303">
        <v>664</v>
      </c>
      <c r="AJ2303">
        <v>0</v>
      </c>
      <c r="AK2303">
        <v>0</v>
      </c>
      <c r="AL2303">
        <v>0</v>
      </c>
      <c r="AM2303">
        <v>0</v>
      </c>
      <c r="AN2303">
        <v>246</v>
      </c>
      <c r="AO2303">
        <v>0</v>
      </c>
      <c r="AP2303">
        <v>10</v>
      </c>
      <c r="AQ2303">
        <v>0</v>
      </c>
      <c r="AR2303">
        <v>0</v>
      </c>
      <c r="AS2303" t="s">
        <v>58</v>
      </c>
      <c r="AT2303">
        <v>1</v>
      </c>
      <c r="AU2303" t="s">
        <v>63</v>
      </c>
      <c r="AV2303" t="s">
        <v>64</v>
      </c>
      <c r="AW2303">
        <v>1</v>
      </c>
      <c r="AX2303">
        <v>3</v>
      </c>
      <c r="AY2303">
        <v>0</v>
      </c>
      <c r="AZ2303">
        <v>0</v>
      </c>
      <c r="BA2303">
        <v>100</v>
      </c>
      <c r="BB2303">
        <v>100</v>
      </c>
      <c r="BC2303">
        <v>100</v>
      </c>
      <c r="BD2303">
        <v>100</v>
      </c>
      <c r="BE2303">
        <v>1</v>
      </c>
      <c r="BF2303">
        <v>15000</v>
      </c>
      <c r="BG2303">
        <v>1000</v>
      </c>
      <c r="BH2303" s="6">
        <f>Grandview_Inventory[[#This Row],[land_extract]]*Lookups!$B$3</f>
        <v>48369.510983942157</v>
      </c>
      <c r="BI2303" s="6">
        <f>IF(Grandview_Inventory[[#This Row],[bldg_style]]="",0,Lookups!$B$2)</f>
        <v>155833.95000000001</v>
      </c>
      <c r="BJ2303" s="6">
        <f>_xlfn.IFNA(VLOOKUP(Grandview_Inventory[[#This Row],[quality]],Lookups!$H$2:$J$14,3,FALSE),0)</f>
        <v>9808</v>
      </c>
      <c r="BK2303" s="6">
        <f>_xlfn.IFNA(VLOOKUP(Grandview_Inventory[[#This Row],[condition]],Lookups!$H$17:$J$24,3,FALSE),0)</f>
        <v>25780</v>
      </c>
      <c r="BL2303" s="6">
        <f>Grandview_Inventory[[#This Row],[Eff_Age]]*Lookups!$B$14</f>
        <v>-478.33319999999998</v>
      </c>
      <c r="BM2303" s="6">
        <f>Grandview_Inventory[[#This Row],[living_area]]*Lookups!$B$15</f>
        <v>127256.94012</v>
      </c>
      <c r="BN2303" s="6">
        <f>Grandview_Inventory[[#This Row],[Fin BSMT]]*Lookups!$B$16</f>
        <v>0</v>
      </c>
      <c r="BO2303" s="6">
        <f>(Grandview_Inventory[[#This Row],[att_gar]]+Grandview_Inventory[[#This Row],[bltin_gar]])*Lookups!$B$17</f>
        <v>58113.570167999998</v>
      </c>
      <c r="BP2303" s="6">
        <f>Grandview_Inventory[[#This Row],[Plumbing Fixtures]]*Lookups!$B$18</f>
        <v>20104.418000000001</v>
      </c>
      <c r="BQ2303" s="6">
        <f>Grandview_Inventory[[#This Row],[detatched_value]]*Lookups!$B$19</f>
        <v>0</v>
      </c>
      <c r="BR2303" s="6">
        <f>SUM(Grandview_Inventory[[#This Row],[Intercept]:[det_value]])*Grandview_Inventory[[#This Row],[res_pct]]</f>
        <v>396418.54508800001</v>
      </c>
      <c r="BS2303" s="6">
        <f>Grandview_Inventory[[#This Row],[land_value]]</f>
        <v>48369.510983942157</v>
      </c>
      <c r="BT2303" s="4">
        <f>_xlfn.IFNA(VLOOKUP(Grandview_Inventory[[#This Row],[quality]],Lookups!$A$26:$C$33,3,FALSE),1)</f>
        <v>0.94295468617355149</v>
      </c>
      <c r="BU2303" s="4">
        <f>_xlfn.IFNA(VLOOKUP(Grandview_Inventory[[#This Row],[condition]],Lookups!$A$37:$C$44,3,FALSE),1)</f>
        <v>0.94347925387812148</v>
      </c>
      <c r="BV2303" s="4">
        <f>IF(Grandview_Inventory[[#This Row],[bldg_style]]="",1,_xlfn.IFNA(VLOOKUP(Grandview_Inventory[[#This Row],[decade]],Lookups!$F$29:$H$43,3,FALSE),1))</f>
        <v>0.94601966599150278</v>
      </c>
      <c r="BW2303" s="4">
        <f>_xlfn.IFNA(VLOOKUP(Grandview_Inventory[[#This Row],[living_area_range]],Lookups!$F$47:$H$56,3,FALSE),1)</f>
        <v>0.95799442568048754</v>
      </c>
      <c r="BX2303" s="4">
        <f>AVERAGE(Grandview_Inventory[[#This Row],[qual_adj]:[size_adj]])</f>
        <v>0.94761200793091582</v>
      </c>
      <c r="BY2303" s="6">
        <f>IF(Grandview_Inventory[[#This Row],[pre_res]]&lt;0,0,Grandview_Inventory[[#This Row],[pre_res]]*Grandview_Inventory[[#This Row],[overall_adj]])</f>
        <v>375650.97349189199</v>
      </c>
      <c r="BZ2303" s="6">
        <f>(Grandview_Inventory[[#This Row],[sum_land]]-IF(Grandview_Inventory[[#This Row],[no_utilities]]=1,12000,0))/IF(Grandview_Inventory[[#This Row],[unbuildable]]=1,2,1)</f>
        <v>48369.510983942157</v>
      </c>
      <c r="CA230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3">
        <f>ROUND(Grandview_Inventory[[#This Row],[det_value]]*Lookups!$M$28,-2)</f>
        <v>0</v>
      </c>
      <c r="CC2303">
        <f>IF(ROUND(Grandview_Inventory[[#This Row],[adj_res]]*Lookups!$M$28,-2)&lt;Grandview_Inventory[[#This Row],[min_res]],Grandview_Inventory[[#This Row],[min_res]],ROUND(Grandview_Inventory[[#This Row],[adj_res]]*Lookups!$M$28,-2))</f>
        <v>356900</v>
      </c>
      <c r="CD2303">
        <f>Grandview_Inventory[[#This Row],[final_det]]+Grandview_Inventory[[#This Row],[final_res]]</f>
        <v>356900</v>
      </c>
      <c r="CE2303">
        <f>Grandview_Inventory[[#This Row],[final_land]]+Grandview_Inventory[[#This Row],[final_imp]]+Grandview_Inventory[[#This Row],[crop_value]]</f>
        <v>402900</v>
      </c>
      <c r="CG2303" t="str">
        <f t="shared" si="35"/>
        <v>update valuation set market_land =46000, market_bldg=356900, market_total =402900, market_mdno =401, market_date ='9/10/2023' where link_id = (select link_id from parcel where parcel_year = '2024' and parcel_id = '23092621410');</v>
      </c>
    </row>
    <row r="2304" spans="1:85" x14ac:dyDescent="0.25">
      <c r="A2304">
        <v>23092621411</v>
      </c>
      <c r="B2304" t="s">
        <v>129</v>
      </c>
      <c r="C2304">
        <v>8250</v>
      </c>
      <c r="D2304" t="s">
        <v>129</v>
      </c>
      <c r="E2304" t="s">
        <v>53</v>
      </c>
      <c r="F2304" t="s">
        <v>53</v>
      </c>
      <c r="G2304">
        <v>4</v>
      </c>
      <c r="H2304" t="s">
        <v>54</v>
      </c>
      <c r="I2304">
        <v>296400</v>
      </c>
      <c r="J2304">
        <v>39100</v>
      </c>
      <c r="K2304">
        <v>0.19</v>
      </c>
      <c r="L230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4">
        <v>0</v>
      </c>
      <c r="N2304">
        <v>0</v>
      </c>
      <c r="O2304">
        <v>0</v>
      </c>
      <c r="P2304">
        <v>13398.7528</v>
      </c>
      <c r="Q2304">
        <v>63903</v>
      </c>
      <c r="R2304">
        <f>(Grandview_Inventory[[#This Row],[ln_acres]]*Grandview_Inventory[[#This Row],[coeff]])+Grandview_Inventory[[#This Row],[const]]</f>
        <v>41651.273092551026</v>
      </c>
      <c r="S2304" t="s">
        <v>61</v>
      </c>
      <c r="T2304">
        <v>1</v>
      </c>
      <c r="U2304" t="s">
        <v>62</v>
      </c>
      <c r="V2304" t="s">
        <v>57</v>
      </c>
      <c r="W2304">
        <v>0</v>
      </c>
      <c r="X2304">
        <v>0</v>
      </c>
      <c r="Y2304">
        <v>2</v>
      </c>
      <c r="Z2304">
        <v>2</v>
      </c>
      <c r="AA2304">
        <v>10</v>
      </c>
      <c r="AB2304">
        <v>2500</v>
      </c>
      <c r="AC2304">
        <v>2040</v>
      </c>
      <c r="AD2304">
        <v>2040</v>
      </c>
      <c r="AE2304">
        <v>0</v>
      </c>
      <c r="AF2304">
        <v>0</v>
      </c>
      <c r="AG2304">
        <v>0</v>
      </c>
      <c r="AH2304">
        <v>0</v>
      </c>
      <c r="AI2304">
        <v>664</v>
      </c>
      <c r="AJ2304">
        <v>0</v>
      </c>
      <c r="AK2304">
        <v>0</v>
      </c>
      <c r="AL2304">
        <v>0</v>
      </c>
      <c r="AM2304">
        <v>0</v>
      </c>
      <c r="AN2304">
        <v>246</v>
      </c>
      <c r="AO2304">
        <v>0</v>
      </c>
      <c r="AP2304">
        <v>10</v>
      </c>
      <c r="AQ2304">
        <v>0</v>
      </c>
      <c r="AR2304">
        <v>0</v>
      </c>
      <c r="AS2304" t="s">
        <v>58</v>
      </c>
      <c r="AT2304">
        <v>1</v>
      </c>
      <c r="AU2304" t="s">
        <v>63</v>
      </c>
      <c r="AV2304" t="s">
        <v>64</v>
      </c>
      <c r="AW2304">
        <v>1</v>
      </c>
      <c r="AX2304">
        <v>3</v>
      </c>
      <c r="AY2304">
        <v>0</v>
      </c>
      <c r="AZ2304">
        <v>0</v>
      </c>
      <c r="BA2304">
        <v>100</v>
      </c>
      <c r="BB2304">
        <v>100</v>
      </c>
      <c r="BC2304">
        <v>100</v>
      </c>
      <c r="BD2304">
        <v>100</v>
      </c>
      <c r="BE2304">
        <v>1</v>
      </c>
      <c r="BF2304">
        <v>15000</v>
      </c>
      <c r="BG2304">
        <v>1000</v>
      </c>
      <c r="BH2304" s="6">
        <f>Grandview_Inventory[[#This Row],[land_extract]]*Lookups!$B$3</f>
        <v>48369.510983942157</v>
      </c>
      <c r="BI2304" s="6">
        <f>IF(Grandview_Inventory[[#This Row],[bldg_style]]="",0,Lookups!$B$2)</f>
        <v>155833.95000000001</v>
      </c>
      <c r="BJ2304" s="6">
        <f>_xlfn.IFNA(VLOOKUP(Grandview_Inventory[[#This Row],[quality]],Lookups!$H$2:$J$14,3,FALSE),0)</f>
        <v>9808</v>
      </c>
      <c r="BK2304" s="6">
        <f>_xlfn.IFNA(VLOOKUP(Grandview_Inventory[[#This Row],[condition]],Lookups!$H$17:$J$24,3,FALSE),0)</f>
        <v>25780</v>
      </c>
      <c r="BL2304" s="6">
        <f>Grandview_Inventory[[#This Row],[Eff_Age]]*Lookups!$B$14</f>
        <v>-478.33319999999998</v>
      </c>
      <c r="BM2304" s="6">
        <f>Grandview_Inventory[[#This Row],[living_area]]*Lookups!$B$15</f>
        <v>127256.94012</v>
      </c>
      <c r="BN2304" s="6">
        <f>Grandview_Inventory[[#This Row],[Fin BSMT]]*Lookups!$B$16</f>
        <v>0</v>
      </c>
      <c r="BO2304" s="6">
        <f>(Grandview_Inventory[[#This Row],[att_gar]]+Grandview_Inventory[[#This Row],[bltin_gar]])*Lookups!$B$17</f>
        <v>58113.570167999998</v>
      </c>
      <c r="BP2304" s="6">
        <f>Grandview_Inventory[[#This Row],[Plumbing Fixtures]]*Lookups!$B$18</f>
        <v>20104.418000000001</v>
      </c>
      <c r="BQ2304" s="6">
        <f>Grandview_Inventory[[#This Row],[detatched_value]]*Lookups!$B$19</f>
        <v>0</v>
      </c>
      <c r="BR2304" s="6">
        <f>SUM(Grandview_Inventory[[#This Row],[Intercept]:[det_value]])*Grandview_Inventory[[#This Row],[res_pct]]</f>
        <v>396418.54508800001</v>
      </c>
      <c r="BS2304" s="6">
        <f>Grandview_Inventory[[#This Row],[land_value]]</f>
        <v>48369.510983942157</v>
      </c>
      <c r="BT2304" s="4">
        <f>_xlfn.IFNA(VLOOKUP(Grandview_Inventory[[#This Row],[quality]],Lookups!$A$26:$C$33,3,FALSE),1)</f>
        <v>0.94295468617355149</v>
      </c>
      <c r="BU2304" s="4">
        <f>_xlfn.IFNA(VLOOKUP(Grandview_Inventory[[#This Row],[condition]],Lookups!$A$37:$C$44,3,FALSE),1)</f>
        <v>0.94347925387812148</v>
      </c>
      <c r="BV2304" s="4">
        <f>IF(Grandview_Inventory[[#This Row],[bldg_style]]="",1,_xlfn.IFNA(VLOOKUP(Grandview_Inventory[[#This Row],[decade]],Lookups!$F$29:$H$43,3,FALSE),1))</f>
        <v>0.94601966599150278</v>
      </c>
      <c r="BW2304" s="4">
        <f>_xlfn.IFNA(VLOOKUP(Grandview_Inventory[[#This Row],[living_area_range]],Lookups!$F$47:$H$56,3,FALSE),1)</f>
        <v>0.95799442568048754</v>
      </c>
      <c r="BX2304" s="4">
        <f>AVERAGE(Grandview_Inventory[[#This Row],[qual_adj]:[size_adj]])</f>
        <v>0.94761200793091582</v>
      </c>
      <c r="BY2304" s="6">
        <f>IF(Grandview_Inventory[[#This Row],[pre_res]]&lt;0,0,Grandview_Inventory[[#This Row],[pre_res]]*Grandview_Inventory[[#This Row],[overall_adj]])</f>
        <v>375650.97349189199</v>
      </c>
      <c r="BZ2304" s="6">
        <f>(Grandview_Inventory[[#This Row],[sum_land]]-IF(Grandview_Inventory[[#This Row],[no_utilities]]=1,12000,0))/IF(Grandview_Inventory[[#This Row],[unbuildable]]=1,2,1)</f>
        <v>48369.510983942157</v>
      </c>
      <c r="CA230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4">
        <f>ROUND(Grandview_Inventory[[#This Row],[det_value]]*Lookups!$M$28,-2)</f>
        <v>0</v>
      </c>
      <c r="CC2304">
        <f>IF(ROUND(Grandview_Inventory[[#This Row],[adj_res]]*Lookups!$M$28,-2)&lt;Grandview_Inventory[[#This Row],[min_res]],Grandview_Inventory[[#This Row],[min_res]],ROUND(Grandview_Inventory[[#This Row],[adj_res]]*Lookups!$M$28,-2))</f>
        <v>356900</v>
      </c>
      <c r="CD2304">
        <f>Grandview_Inventory[[#This Row],[final_det]]+Grandview_Inventory[[#This Row],[final_res]]</f>
        <v>356900</v>
      </c>
      <c r="CE2304">
        <f>Grandview_Inventory[[#This Row],[final_land]]+Grandview_Inventory[[#This Row],[final_imp]]+Grandview_Inventory[[#This Row],[crop_value]]</f>
        <v>402900</v>
      </c>
      <c r="CG2304" t="str">
        <f t="shared" si="35"/>
        <v>update valuation set market_land =46000, market_bldg=356900, market_total =402900, market_mdno =401, market_date ='9/10/2023' where link_id = (select link_id from parcel where parcel_year = '2024' and parcel_id = '23092621411');</v>
      </c>
    </row>
    <row r="2305" spans="1:85" x14ac:dyDescent="0.25">
      <c r="A2305">
        <v>23092621412</v>
      </c>
      <c r="B2305" t="s">
        <v>129</v>
      </c>
      <c r="C2305">
        <v>8250</v>
      </c>
      <c r="D2305" t="s">
        <v>129</v>
      </c>
      <c r="E2305" t="s">
        <v>53</v>
      </c>
      <c r="F2305" t="s">
        <v>53</v>
      </c>
      <c r="G2305">
        <v>4</v>
      </c>
      <c r="H2305" t="s">
        <v>54</v>
      </c>
      <c r="I2305">
        <v>265300</v>
      </c>
      <c r="J2305">
        <v>39100</v>
      </c>
      <c r="K2305">
        <v>0.19</v>
      </c>
      <c r="L23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5">
        <v>0</v>
      </c>
      <c r="N2305">
        <v>0</v>
      </c>
      <c r="O2305">
        <v>0</v>
      </c>
      <c r="P2305">
        <v>13398.7528</v>
      </c>
      <c r="Q2305">
        <v>63903</v>
      </c>
      <c r="R2305">
        <f>(Grandview_Inventory[[#This Row],[ln_acres]]*Grandview_Inventory[[#This Row],[coeff]])+Grandview_Inventory[[#This Row],[const]]</f>
        <v>41651.273092551026</v>
      </c>
      <c r="S2305" t="s">
        <v>55</v>
      </c>
      <c r="T2305">
        <v>1</v>
      </c>
      <c r="U2305" t="s">
        <v>62</v>
      </c>
      <c r="V2305" t="s">
        <v>57</v>
      </c>
      <c r="W2305">
        <v>0</v>
      </c>
      <c r="X2305">
        <v>0</v>
      </c>
      <c r="Y2305">
        <v>3</v>
      </c>
      <c r="Z2305">
        <v>3</v>
      </c>
      <c r="AA2305">
        <v>10</v>
      </c>
      <c r="AB2305">
        <v>2000</v>
      </c>
      <c r="AC2305">
        <v>1600</v>
      </c>
      <c r="AD2305">
        <v>1600</v>
      </c>
      <c r="AE2305">
        <v>0</v>
      </c>
      <c r="AF2305">
        <v>0</v>
      </c>
      <c r="AG2305">
        <v>0</v>
      </c>
      <c r="AH2305">
        <v>0</v>
      </c>
      <c r="AI2305">
        <v>400</v>
      </c>
      <c r="AJ2305">
        <v>0</v>
      </c>
      <c r="AK2305">
        <v>0</v>
      </c>
      <c r="AL2305">
        <v>0</v>
      </c>
      <c r="AM2305">
        <v>0</v>
      </c>
      <c r="AN2305">
        <v>240</v>
      </c>
      <c r="AO2305">
        <v>0</v>
      </c>
      <c r="AP2305">
        <v>9</v>
      </c>
      <c r="AQ2305">
        <v>0</v>
      </c>
      <c r="AR2305">
        <v>0</v>
      </c>
      <c r="AS2305" t="s">
        <v>58</v>
      </c>
      <c r="AT2305">
        <v>1</v>
      </c>
      <c r="AU2305" t="s">
        <v>63</v>
      </c>
      <c r="AV2305" t="s">
        <v>64</v>
      </c>
      <c r="AW2305">
        <v>1</v>
      </c>
      <c r="AX2305">
        <v>3</v>
      </c>
      <c r="AY2305">
        <v>0</v>
      </c>
      <c r="AZ2305">
        <v>0</v>
      </c>
      <c r="BA2305">
        <v>100</v>
      </c>
      <c r="BB2305">
        <v>100</v>
      </c>
      <c r="BC2305">
        <v>100</v>
      </c>
      <c r="BD2305">
        <v>100</v>
      </c>
      <c r="BE2305">
        <v>1</v>
      </c>
      <c r="BF2305">
        <v>15000</v>
      </c>
      <c r="BG2305">
        <v>1000</v>
      </c>
      <c r="BH2305" s="6">
        <f>Grandview_Inventory[[#This Row],[land_extract]]*Lookups!$B$3</f>
        <v>48369.510983942157</v>
      </c>
      <c r="BI2305" s="6">
        <f>IF(Grandview_Inventory[[#This Row],[bldg_style]]="",0,Lookups!$B$2)</f>
        <v>155833.95000000001</v>
      </c>
      <c r="BJ2305" s="6">
        <f>_xlfn.IFNA(VLOOKUP(Grandview_Inventory[[#This Row],[quality]],Lookups!$H$2:$J$14,3,FALSE),0)</f>
        <v>9808</v>
      </c>
      <c r="BK2305" s="6">
        <f>_xlfn.IFNA(VLOOKUP(Grandview_Inventory[[#This Row],[condition]],Lookups!$H$17:$J$24,3,FALSE),0)</f>
        <v>25780</v>
      </c>
      <c r="BL2305" s="6">
        <f>Grandview_Inventory[[#This Row],[Eff_Age]]*Lookups!$B$14</f>
        <v>-717.49979999999994</v>
      </c>
      <c r="BM2305" s="6">
        <f>Grandview_Inventory[[#This Row],[living_area]]*Lookups!$B$15</f>
        <v>99809.36480000001</v>
      </c>
      <c r="BN2305" s="6">
        <f>Grandview_Inventory[[#This Row],[Fin BSMT]]*Lookups!$B$16</f>
        <v>0</v>
      </c>
      <c r="BO2305" s="6">
        <f>(Grandview_Inventory[[#This Row],[att_gar]]+Grandview_Inventory[[#This Row],[bltin_gar]])*Lookups!$B$17</f>
        <v>35008.174800000001</v>
      </c>
      <c r="BP2305" s="6">
        <f>Grandview_Inventory[[#This Row],[Plumbing Fixtures]]*Lookups!$B$18</f>
        <v>18093.976200000001</v>
      </c>
      <c r="BQ2305" s="6">
        <f>Grandview_Inventory[[#This Row],[detatched_value]]*Lookups!$B$19</f>
        <v>0</v>
      </c>
      <c r="BR2305" s="6">
        <f>SUM(Grandview_Inventory[[#This Row],[Intercept]:[det_value]])*Grandview_Inventory[[#This Row],[res_pct]]</f>
        <v>343615.96600000001</v>
      </c>
      <c r="BS2305" s="6">
        <f>Grandview_Inventory[[#This Row],[land_value]]</f>
        <v>48369.510983942157</v>
      </c>
      <c r="BT2305" s="4">
        <f>_xlfn.IFNA(VLOOKUP(Grandview_Inventory[[#This Row],[quality]],Lookups!$A$26:$C$33,3,FALSE),1)</f>
        <v>0.94295468617355149</v>
      </c>
      <c r="BU2305" s="4">
        <f>_xlfn.IFNA(VLOOKUP(Grandview_Inventory[[#This Row],[condition]],Lookups!$A$37:$C$44,3,FALSE),1)</f>
        <v>0.94347925387812148</v>
      </c>
      <c r="BV2305" s="4">
        <f>IF(Grandview_Inventory[[#This Row],[bldg_style]]="",1,_xlfn.IFNA(VLOOKUP(Grandview_Inventory[[#This Row],[decade]],Lookups!$F$29:$H$43,3,FALSE),1))</f>
        <v>0.94601966599150278</v>
      </c>
      <c r="BW2305" s="4">
        <f>_xlfn.IFNA(VLOOKUP(Grandview_Inventory[[#This Row],[living_area_range]],Lookups!$F$47:$H$56,3,FALSE),1)</f>
        <v>0.96120133463014379</v>
      </c>
      <c r="BX2305" s="4">
        <f>AVERAGE(Grandview_Inventory[[#This Row],[qual_adj]:[size_adj]])</f>
        <v>0.94841373516832994</v>
      </c>
      <c r="BY2305" s="6">
        <f>IF(Grandview_Inventory[[#This Row],[pre_res]]&lt;0,0,Grandview_Inventory[[#This Row],[pre_res]]*Grandview_Inventory[[#This Row],[overall_adj]])</f>
        <v>325890.10177753388</v>
      </c>
      <c r="BZ2305" s="6">
        <f>(Grandview_Inventory[[#This Row],[sum_land]]-IF(Grandview_Inventory[[#This Row],[no_utilities]]=1,12000,0))/IF(Grandview_Inventory[[#This Row],[unbuildable]]=1,2,1)</f>
        <v>48369.510983942157</v>
      </c>
      <c r="CA23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5">
        <f>ROUND(Grandview_Inventory[[#This Row],[det_value]]*Lookups!$M$28,-2)</f>
        <v>0</v>
      </c>
      <c r="CC2305">
        <f>IF(ROUND(Grandview_Inventory[[#This Row],[adj_res]]*Lookups!$M$28,-2)&lt;Grandview_Inventory[[#This Row],[min_res]],Grandview_Inventory[[#This Row],[min_res]],ROUND(Grandview_Inventory[[#This Row],[adj_res]]*Lookups!$M$28,-2))</f>
        <v>309600</v>
      </c>
      <c r="CD2305">
        <f>Grandview_Inventory[[#This Row],[final_det]]+Grandview_Inventory[[#This Row],[final_res]]</f>
        <v>309600</v>
      </c>
      <c r="CE2305">
        <f>Grandview_Inventory[[#This Row],[final_land]]+Grandview_Inventory[[#This Row],[final_imp]]+Grandview_Inventory[[#This Row],[crop_value]]</f>
        <v>355600</v>
      </c>
      <c r="CG2305" t="str">
        <f t="shared" si="35"/>
        <v>update valuation set market_land =46000, market_bldg=309600, market_total =355600, market_mdno =401, market_date ='9/10/2023' where link_id = (select link_id from parcel where parcel_year = '2024' and parcel_id = '23092621412');</v>
      </c>
    </row>
    <row r="2306" spans="1:85" x14ac:dyDescent="0.25">
      <c r="A2306">
        <v>23092621413</v>
      </c>
      <c r="B2306" t="s">
        <v>129</v>
      </c>
      <c r="C2306">
        <v>8030</v>
      </c>
      <c r="D2306" t="s">
        <v>129</v>
      </c>
      <c r="E2306" t="s">
        <v>53</v>
      </c>
      <c r="F2306" t="s">
        <v>53</v>
      </c>
      <c r="G2306">
        <v>4</v>
      </c>
      <c r="H2306" t="s">
        <v>54</v>
      </c>
      <c r="I2306">
        <v>241700</v>
      </c>
      <c r="J2306">
        <v>39000</v>
      </c>
      <c r="K2306">
        <v>0.18</v>
      </c>
      <c r="L230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06">
        <v>0</v>
      </c>
      <c r="N2306">
        <v>0</v>
      </c>
      <c r="O2306">
        <v>0</v>
      </c>
      <c r="P2306">
        <v>13398.7528</v>
      </c>
      <c r="Q2306">
        <v>63903</v>
      </c>
      <c r="R2306">
        <f>(Grandview_Inventory[[#This Row],[ln_acres]]*Grandview_Inventory[[#This Row],[coeff]])+Grandview_Inventory[[#This Row],[const]]</f>
        <v>40926.839760167699</v>
      </c>
      <c r="S2306" t="s">
        <v>61</v>
      </c>
      <c r="T2306">
        <v>1</v>
      </c>
      <c r="U2306" t="s">
        <v>62</v>
      </c>
      <c r="V2306" t="s">
        <v>57</v>
      </c>
      <c r="W2306">
        <v>0</v>
      </c>
      <c r="X2306">
        <v>0</v>
      </c>
      <c r="Y2306">
        <v>2</v>
      </c>
      <c r="Z2306">
        <v>2</v>
      </c>
      <c r="AA2306">
        <v>10</v>
      </c>
      <c r="AB2306">
        <v>1500</v>
      </c>
      <c r="AC2306">
        <v>1378</v>
      </c>
      <c r="AD2306">
        <v>1378</v>
      </c>
      <c r="AE2306">
        <v>0</v>
      </c>
      <c r="AF2306">
        <v>0</v>
      </c>
      <c r="AG2306">
        <v>0</v>
      </c>
      <c r="AH2306">
        <v>0</v>
      </c>
      <c r="AI2306">
        <v>400</v>
      </c>
      <c r="AJ2306">
        <v>0</v>
      </c>
      <c r="AK2306">
        <v>0</v>
      </c>
      <c r="AL2306">
        <v>0</v>
      </c>
      <c r="AM2306">
        <v>0</v>
      </c>
      <c r="AN2306">
        <v>78</v>
      </c>
      <c r="AO2306">
        <v>0</v>
      </c>
      <c r="AP2306">
        <v>9</v>
      </c>
      <c r="AQ2306">
        <v>0</v>
      </c>
      <c r="AR2306">
        <v>0</v>
      </c>
      <c r="AS2306" t="s">
        <v>58</v>
      </c>
      <c r="AT2306">
        <v>1</v>
      </c>
      <c r="AU2306" t="s">
        <v>63</v>
      </c>
      <c r="AV2306" t="s">
        <v>64</v>
      </c>
      <c r="AW2306">
        <v>1</v>
      </c>
      <c r="AX2306">
        <v>3</v>
      </c>
      <c r="AY2306">
        <v>0</v>
      </c>
      <c r="AZ2306">
        <v>0</v>
      </c>
      <c r="BA2306">
        <v>100</v>
      </c>
      <c r="BB2306">
        <v>100</v>
      </c>
      <c r="BC2306">
        <v>100</v>
      </c>
      <c r="BD2306">
        <v>100</v>
      </c>
      <c r="BE2306">
        <v>1</v>
      </c>
      <c r="BF2306">
        <v>15000</v>
      </c>
      <c r="BG2306">
        <v>1000</v>
      </c>
      <c r="BH2306" s="6">
        <f>Grandview_Inventory[[#This Row],[land_extract]]*Lookups!$B$3</f>
        <v>47528.228511015397</v>
      </c>
      <c r="BI2306" s="6">
        <f>IF(Grandview_Inventory[[#This Row],[bldg_style]]="",0,Lookups!$B$2)</f>
        <v>155833.95000000001</v>
      </c>
      <c r="BJ2306" s="6">
        <f>_xlfn.IFNA(VLOOKUP(Grandview_Inventory[[#This Row],[quality]],Lookups!$H$2:$J$14,3,FALSE),0)</f>
        <v>9808</v>
      </c>
      <c r="BK2306" s="6">
        <f>_xlfn.IFNA(VLOOKUP(Grandview_Inventory[[#This Row],[condition]],Lookups!$H$17:$J$24,3,FALSE),0)</f>
        <v>25780</v>
      </c>
      <c r="BL2306" s="6">
        <f>Grandview_Inventory[[#This Row],[Eff_Age]]*Lookups!$B$14</f>
        <v>-478.33319999999998</v>
      </c>
      <c r="BM2306" s="6">
        <f>Grandview_Inventory[[#This Row],[living_area]]*Lookups!$B$15</f>
        <v>85960.815434000004</v>
      </c>
      <c r="BN2306" s="6">
        <f>Grandview_Inventory[[#This Row],[Fin BSMT]]*Lookups!$B$16</f>
        <v>0</v>
      </c>
      <c r="BO2306" s="6">
        <f>(Grandview_Inventory[[#This Row],[att_gar]]+Grandview_Inventory[[#This Row],[bltin_gar]])*Lookups!$B$17</f>
        <v>35008.174800000001</v>
      </c>
      <c r="BP2306" s="6">
        <f>Grandview_Inventory[[#This Row],[Plumbing Fixtures]]*Lookups!$B$18</f>
        <v>18093.976200000001</v>
      </c>
      <c r="BQ2306" s="6">
        <f>Grandview_Inventory[[#This Row],[detatched_value]]*Lookups!$B$19</f>
        <v>0</v>
      </c>
      <c r="BR2306" s="6">
        <f>SUM(Grandview_Inventory[[#This Row],[Intercept]:[det_value]])*Grandview_Inventory[[#This Row],[res_pct]]</f>
        <v>330006.58323399996</v>
      </c>
      <c r="BS2306" s="6">
        <f>Grandview_Inventory[[#This Row],[land_value]]</f>
        <v>47528.228511015397</v>
      </c>
      <c r="BT2306" s="4">
        <f>_xlfn.IFNA(VLOOKUP(Grandview_Inventory[[#This Row],[quality]],Lookups!$A$26:$C$33,3,FALSE),1)</f>
        <v>0.94295468617355149</v>
      </c>
      <c r="BU2306" s="4">
        <f>_xlfn.IFNA(VLOOKUP(Grandview_Inventory[[#This Row],[condition]],Lookups!$A$37:$C$44,3,FALSE),1)</f>
        <v>0.94347925387812148</v>
      </c>
      <c r="BV2306" s="4">
        <f>IF(Grandview_Inventory[[#This Row],[bldg_style]]="",1,_xlfn.IFNA(VLOOKUP(Grandview_Inventory[[#This Row],[decade]],Lookups!$F$29:$H$43,3,FALSE),1))</f>
        <v>0.94601966599150278</v>
      </c>
      <c r="BW2306" s="4">
        <f>_xlfn.IFNA(VLOOKUP(Grandview_Inventory[[#This Row],[living_area_range]],Lookups!$F$47:$H$56,3,FALSE),1)</f>
        <v>0.96135087979789358</v>
      </c>
      <c r="BX2306" s="4">
        <f>AVERAGE(Grandview_Inventory[[#This Row],[qual_adj]:[size_adj]])</f>
        <v>0.94845112146026733</v>
      </c>
      <c r="BY2306" s="6">
        <f>IF(Grandview_Inventory[[#This Row],[pre_res]]&lt;0,0,Grandview_Inventory[[#This Row],[pre_res]]*Grandview_Inventory[[#This Row],[overall_adj]])</f>
        <v>312995.11395755829</v>
      </c>
      <c r="BZ2306" s="6">
        <f>(Grandview_Inventory[[#This Row],[sum_land]]-IF(Grandview_Inventory[[#This Row],[no_utilities]]=1,12000,0))/IF(Grandview_Inventory[[#This Row],[unbuildable]]=1,2,1)</f>
        <v>47528.228511015397</v>
      </c>
      <c r="CA230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06">
        <f>ROUND(Grandview_Inventory[[#This Row],[det_value]]*Lookups!$M$28,-2)</f>
        <v>0</v>
      </c>
      <c r="CC2306">
        <f>IF(ROUND(Grandview_Inventory[[#This Row],[adj_res]]*Lookups!$M$28,-2)&lt;Grandview_Inventory[[#This Row],[min_res]],Grandview_Inventory[[#This Row],[min_res]],ROUND(Grandview_Inventory[[#This Row],[adj_res]]*Lookups!$M$28,-2))</f>
        <v>297300</v>
      </c>
      <c r="CD2306">
        <f>Grandview_Inventory[[#This Row],[final_det]]+Grandview_Inventory[[#This Row],[final_res]]</f>
        <v>297300</v>
      </c>
      <c r="CE2306">
        <f>Grandview_Inventory[[#This Row],[final_land]]+Grandview_Inventory[[#This Row],[final_imp]]+Grandview_Inventory[[#This Row],[crop_value]]</f>
        <v>342500</v>
      </c>
      <c r="CG2306" t="str">
        <f t="shared" si="35"/>
        <v>update valuation set market_land =45200, market_bldg=297300, market_total =342500, market_mdno =401, market_date ='9/10/2023' where link_id = (select link_id from parcel where parcel_year = '2024' and parcel_id = '23092621413');</v>
      </c>
    </row>
    <row r="2307" spans="1:85" x14ac:dyDescent="0.25">
      <c r="A2307">
        <v>23092621414</v>
      </c>
      <c r="B2307" t="s">
        <v>129</v>
      </c>
      <c r="C2307">
        <v>8250</v>
      </c>
      <c r="D2307" t="s">
        <v>129</v>
      </c>
      <c r="E2307" t="s">
        <v>53</v>
      </c>
      <c r="F2307" t="s">
        <v>53</v>
      </c>
      <c r="G2307">
        <v>4</v>
      </c>
      <c r="H2307" t="s">
        <v>54</v>
      </c>
      <c r="I2307">
        <v>246100</v>
      </c>
      <c r="J2307">
        <v>39100</v>
      </c>
      <c r="K2307">
        <v>0.19</v>
      </c>
      <c r="L230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7">
        <v>0</v>
      </c>
      <c r="N2307">
        <v>0</v>
      </c>
      <c r="O2307">
        <v>0</v>
      </c>
      <c r="P2307">
        <v>13398.7528</v>
      </c>
      <c r="Q2307">
        <v>63903</v>
      </c>
      <c r="R2307">
        <f>(Grandview_Inventory[[#This Row],[ln_acres]]*Grandview_Inventory[[#This Row],[coeff]])+Grandview_Inventory[[#This Row],[const]]</f>
        <v>41651.273092551026</v>
      </c>
      <c r="S2307" t="s">
        <v>61</v>
      </c>
      <c r="T2307">
        <v>1</v>
      </c>
      <c r="U2307" t="s">
        <v>62</v>
      </c>
      <c r="V2307" t="s">
        <v>57</v>
      </c>
      <c r="W2307">
        <v>0</v>
      </c>
      <c r="X2307">
        <v>0</v>
      </c>
      <c r="Y2307">
        <v>2</v>
      </c>
      <c r="Z2307">
        <v>2</v>
      </c>
      <c r="AA2307">
        <v>10</v>
      </c>
      <c r="AB2307">
        <v>1500</v>
      </c>
      <c r="AC2307">
        <v>1459</v>
      </c>
      <c r="AD2307">
        <v>1459</v>
      </c>
      <c r="AE2307">
        <v>0</v>
      </c>
      <c r="AF2307">
        <v>0</v>
      </c>
      <c r="AG2307">
        <v>0</v>
      </c>
      <c r="AH2307">
        <v>0</v>
      </c>
      <c r="AI2307">
        <v>400</v>
      </c>
      <c r="AJ2307">
        <v>0</v>
      </c>
      <c r="AK2307">
        <v>0</v>
      </c>
      <c r="AL2307">
        <v>0</v>
      </c>
      <c r="AM2307">
        <v>0</v>
      </c>
      <c r="AN2307">
        <v>81</v>
      </c>
      <c r="AO2307">
        <v>0</v>
      </c>
      <c r="AP2307">
        <v>9</v>
      </c>
      <c r="AQ2307">
        <v>0</v>
      </c>
      <c r="AR2307">
        <v>0</v>
      </c>
      <c r="AS2307" t="s">
        <v>58</v>
      </c>
      <c r="AT2307">
        <v>1</v>
      </c>
      <c r="AU2307" t="s">
        <v>63</v>
      </c>
      <c r="AV2307" t="s">
        <v>64</v>
      </c>
      <c r="AW2307">
        <v>1</v>
      </c>
      <c r="AX2307">
        <v>3</v>
      </c>
      <c r="AY2307">
        <v>0</v>
      </c>
      <c r="AZ2307">
        <v>0</v>
      </c>
      <c r="BA2307">
        <v>100</v>
      </c>
      <c r="BB2307">
        <v>100</v>
      </c>
      <c r="BC2307">
        <v>100</v>
      </c>
      <c r="BD2307">
        <v>100</v>
      </c>
      <c r="BE2307">
        <v>1</v>
      </c>
      <c r="BF2307">
        <v>15000</v>
      </c>
      <c r="BG2307">
        <v>1000</v>
      </c>
      <c r="BH2307" s="6">
        <f>Grandview_Inventory[[#This Row],[land_extract]]*Lookups!$B$3</f>
        <v>48369.510983942157</v>
      </c>
      <c r="BI2307" s="6">
        <f>IF(Grandview_Inventory[[#This Row],[bldg_style]]="",0,Lookups!$B$2)</f>
        <v>155833.95000000001</v>
      </c>
      <c r="BJ2307" s="6">
        <f>_xlfn.IFNA(VLOOKUP(Grandview_Inventory[[#This Row],[quality]],Lookups!$H$2:$J$14,3,FALSE),0)</f>
        <v>9808</v>
      </c>
      <c r="BK2307" s="6">
        <f>_xlfn.IFNA(VLOOKUP(Grandview_Inventory[[#This Row],[condition]],Lookups!$H$17:$J$24,3,FALSE),0)</f>
        <v>25780</v>
      </c>
      <c r="BL2307" s="6">
        <f>Grandview_Inventory[[#This Row],[Eff_Age]]*Lookups!$B$14</f>
        <v>-478.33319999999998</v>
      </c>
      <c r="BM2307" s="6">
        <f>Grandview_Inventory[[#This Row],[living_area]]*Lookups!$B$15</f>
        <v>91013.664527000001</v>
      </c>
      <c r="BN2307" s="6">
        <f>Grandview_Inventory[[#This Row],[Fin BSMT]]*Lookups!$B$16</f>
        <v>0</v>
      </c>
      <c r="BO2307" s="6">
        <f>(Grandview_Inventory[[#This Row],[att_gar]]+Grandview_Inventory[[#This Row],[bltin_gar]])*Lookups!$B$17</f>
        <v>35008.174800000001</v>
      </c>
      <c r="BP2307" s="6">
        <f>Grandview_Inventory[[#This Row],[Plumbing Fixtures]]*Lookups!$B$18</f>
        <v>18093.976200000001</v>
      </c>
      <c r="BQ2307" s="6">
        <f>Grandview_Inventory[[#This Row],[detatched_value]]*Lookups!$B$19</f>
        <v>0</v>
      </c>
      <c r="BR2307" s="6">
        <f>SUM(Grandview_Inventory[[#This Row],[Intercept]:[det_value]])*Grandview_Inventory[[#This Row],[res_pct]]</f>
        <v>335059.43232699996</v>
      </c>
      <c r="BS2307" s="6">
        <f>Grandview_Inventory[[#This Row],[land_value]]</f>
        <v>48369.510983942157</v>
      </c>
      <c r="BT2307" s="4">
        <f>_xlfn.IFNA(VLOOKUP(Grandview_Inventory[[#This Row],[quality]],Lookups!$A$26:$C$33,3,FALSE),1)</f>
        <v>0.94295468617355149</v>
      </c>
      <c r="BU2307" s="4">
        <f>_xlfn.IFNA(VLOOKUP(Grandview_Inventory[[#This Row],[condition]],Lookups!$A$37:$C$44,3,FALSE),1)</f>
        <v>0.94347925387812148</v>
      </c>
      <c r="BV2307" s="4">
        <f>IF(Grandview_Inventory[[#This Row],[bldg_style]]="",1,_xlfn.IFNA(VLOOKUP(Grandview_Inventory[[#This Row],[decade]],Lookups!$F$29:$H$43,3,FALSE),1))</f>
        <v>0.94601966599150278</v>
      </c>
      <c r="BW2307" s="4">
        <f>_xlfn.IFNA(VLOOKUP(Grandview_Inventory[[#This Row],[living_area_range]],Lookups!$F$47:$H$56,3,FALSE),1)</f>
        <v>0.96135087979789358</v>
      </c>
      <c r="BX2307" s="4">
        <f>AVERAGE(Grandview_Inventory[[#This Row],[qual_adj]:[size_adj]])</f>
        <v>0.94845112146026733</v>
      </c>
      <c r="BY2307" s="6">
        <f>IF(Grandview_Inventory[[#This Row],[pre_res]]&lt;0,0,Grandview_Inventory[[#This Row],[pre_res]]*Grandview_Inventory[[#This Row],[overall_adj]])</f>
        <v>317787.49434638367</v>
      </c>
      <c r="BZ2307" s="6">
        <f>(Grandview_Inventory[[#This Row],[sum_land]]-IF(Grandview_Inventory[[#This Row],[no_utilities]]=1,12000,0))/IF(Grandview_Inventory[[#This Row],[unbuildable]]=1,2,1)</f>
        <v>48369.510983942157</v>
      </c>
      <c r="CA230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7">
        <f>ROUND(Grandview_Inventory[[#This Row],[det_value]]*Lookups!$M$28,-2)</f>
        <v>0</v>
      </c>
      <c r="CC2307">
        <f>IF(ROUND(Grandview_Inventory[[#This Row],[adj_res]]*Lookups!$M$28,-2)&lt;Grandview_Inventory[[#This Row],[min_res]],Grandview_Inventory[[#This Row],[min_res]],ROUND(Grandview_Inventory[[#This Row],[adj_res]]*Lookups!$M$28,-2))</f>
        <v>301900</v>
      </c>
      <c r="CD2307">
        <f>Grandview_Inventory[[#This Row],[final_det]]+Grandview_Inventory[[#This Row],[final_res]]</f>
        <v>301900</v>
      </c>
      <c r="CE2307">
        <f>Grandview_Inventory[[#This Row],[final_land]]+Grandview_Inventory[[#This Row],[final_imp]]+Grandview_Inventory[[#This Row],[crop_value]]</f>
        <v>347900</v>
      </c>
      <c r="CG2307" t="str">
        <f t="shared" ref="CG2307:CG2370" si="36">"update valuation set market_land ="&amp;CA2307&amp;", market_bldg="&amp;CD2307&amp;", market_total ="&amp;CE2307&amp;", market_mdno ="&amp;$CG$1&amp;", market_date ='"&amp;TEXT($CH$1,"m/d/yyyy")&amp;"' where link_id = (select link_id from parcel where parcel_year = '2024' and parcel_id = '"&amp;A2307&amp;"');"</f>
        <v>update valuation set market_land =46000, market_bldg=301900, market_total =347900, market_mdno =401, market_date ='9/10/2023' where link_id = (select link_id from parcel where parcel_year = '2024' and parcel_id = '23092621414');</v>
      </c>
    </row>
    <row r="2308" spans="1:85" x14ac:dyDescent="0.25">
      <c r="A2308">
        <v>23092621415</v>
      </c>
      <c r="B2308" t="s">
        <v>129</v>
      </c>
      <c r="C2308">
        <v>8250</v>
      </c>
      <c r="D2308" t="s">
        <v>129</v>
      </c>
      <c r="E2308" t="s">
        <v>53</v>
      </c>
      <c r="F2308" t="s">
        <v>53</v>
      </c>
      <c r="G2308">
        <v>4</v>
      </c>
      <c r="H2308" t="s">
        <v>54</v>
      </c>
      <c r="I2308">
        <v>250600</v>
      </c>
      <c r="J2308">
        <v>39100</v>
      </c>
      <c r="K2308">
        <v>0.19</v>
      </c>
      <c r="L230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8">
        <v>0</v>
      </c>
      <c r="N2308">
        <v>0</v>
      </c>
      <c r="O2308">
        <v>0</v>
      </c>
      <c r="P2308">
        <v>13398.7528</v>
      </c>
      <c r="Q2308">
        <v>63903</v>
      </c>
      <c r="R2308">
        <f>(Grandview_Inventory[[#This Row],[ln_acres]]*Grandview_Inventory[[#This Row],[coeff]])+Grandview_Inventory[[#This Row],[const]]</f>
        <v>41651.273092551026</v>
      </c>
      <c r="S2308" t="s">
        <v>61</v>
      </c>
      <c r="T2308">
        <v>1</v>
      </c>
      <c r="U2308" t="s">
        <v>62</v>
      </c>
      <c r="V2308" t="s">
        <v>57</v>
      </c>
      <c r="W2308">
        <v>0</v>
      </c>
      <c r="X2308">
        <v>0</v>
      </c>
      <c r="Y2308">
        <v>2</v>
      </c>
      <c r="Z2308">
        <v>2</v>
      </c>
      <c r="AA2308">
        <v>10</v>
      </c>
      <c r="AB2308">
        <v>2000</v>
      </c>
      <c r="AC2308">
        <v>1544</v>
      </c>
      <c r="AD2308">
        <v>1544</v>
      </c>
      <c r="AE2308">
        <v>0</v>
      </c>
      <c r="AF2308">
        <v>0</v>
      </c>
      <c r="AG2308">
        <v>0</v>
      </c>
      <c r="AH2308">
        <v>0</v>
      </c>
      <c r="AI2308">
        <v>400</v>
      </c>
      <c r="AJ2308">
        <v>0</v>
      </c>
      <c r="AK2308">
        <v>0</v>
      </c>
      <c r="AL2308">
        <v>0</v>
      </c>
      <c r="AM2308">
        <v>0</v>
      </c>
      <c r="AN2308">
        <v>256</v>
      </c>
      <c r="AO2308">
        <v>0</v>
      </c>
      <c r="AP2308">
        <v>9</v>
      </c>
      <c r="AQ2308">
        <v>0</v>
      </c>
      <c r="AR2308">
        <v>0</v>
      </c>
      <c r="AS2308" t="s">
        <v>58</v>
      </c>
      <c r="AT2308">
        <v>1</v>
      </c>
      <c r="AU2308" t="s">
        <v>63</v>
      </c>
      <c r="AV2308" t="s">
        <v>64</v>
      </c>
      <c r="AW2308">
        <v>1</v>
      </c>
      <c r="AX2308">
        <v>3</v>
      </c>
      <c r="AY2308">
        <v>0</v>
      </c>
      <c r="AZ2308">
        <v>0</v>
      </c>
      <c r="BA2308">
        <v>100</v>
      </c>
      <c r="BB2308">
        <v>100</v>
      </c>
      <c r="BC2308">
        <v>100</v>
      </c>
      <c r="BD2308">
        <v>100</v>
      </c>
      <c r="BE2308">
        <v>1</v>
      </c>
      <c r="BF2308">
        <v>15000</v>
      </c>
      <c r="BG2308">
        <v>1000</v>
      </c>
      <c r="BH2308" s="6">
        <f>Grandview_Inventory[[#This Row],[land_extract]]*Lookups!$B$3</f>
        <v>48369.510983942157</v>
      </c>
      <c r="BI2308" s="6">
        <f>IF(Grandview_Inventory[[#This Row],[bldg_style]]="",0,Lookups!$B$2)</f>
        <v>155833.95000000001</v>
      </c>
      <c r="BJ2308" s="6">
        <f>_xlfn.IFNA(VLOOKUP(Grandview_Inventory[[#This Row],[quality]],Lookups!$H$2:$J$14,3,FALSE),0)</f>
        <v>9808</v>
      </c>
      <c r="BK2308" s="6">
        <f>_xlfn.IFNA(VLOOKUP(Grandview_Inventory[[#This Row],[condition]],Lookups!$H$17:$J$24,3,FALSE),0)</f>
        <v>25780</v>
      </c>
      <c r="BL2308" s="6">
        <f>Grandview_Inventory[[#This Row],[Eff_Age]]*Lookups!$B$14</f>
        <v>-478.33319999999998</v>
      </c>
      <c r="BM2308" s="6">
        <f>Grandview_Inventory[[#This Row],[living_area]]*Lookups!$B$15</f>
        <v>96316.037032000007</v>
      </c>
      <c r="BN2308" s="6">
        <f>Grandview_Inventory[[#This Row],[Fin BSMT]]*Lookups!$B$16</f>
        <v>0</v>
      </c>
      <c r="BO2308" s="6">
        <f>(Grandview_Inventory[[#This Row],[att_gar]]+Grandview_Inventory[[#This Row],[bltin_gar]])*Lookups!$B$17</f>
        <v>35008.174800000001</v>
      </c>
      <c r="BP2308" s="6">
        <f>Grandview_Inventory[[#This Row],[Plumbing Fixtures]]*Lookups!$B$18</f>
        <v>18093.976200000001</v>
      </c>
      <c r="BQ2308" s="6">
        <f>Grandview_Inventory[[#This Row],[detatched_value]]*Lookups!$B$19</f>
        <v>0</v>
      </c>
      <c r="BR2308" s="6">
        <f>SUM(Grandview_Inventory[[#This Row],[Intercept]:[det_value]])*Grandview_Inventory[[#This Row],[res_pct]]</f>
        <v>340361.80483199999</v>
      </c>
      <c r="BS2308" s="6">
        <f>Grandview_Inventory[[#This Row],[land_value]]</f>
        <v>48369.510983942157</v>
      </c>
      <c r="BT2308" s="4">
        <f>_xlfn.IFNA(VLOOKUP(Grandview_Inventory[[#This Row],[quality]],Lookups!$A$26:$C$33,3,FALSE),1)</f>
        <v>0.94295468617355149</v>
      </c>
      <c r="BU2308" s="4">
        <f>_xlfn.IFNA(VLOOKUP(Grandview_Inventory[[#This Row],[condition]],Lookups!$A$37:$C$44,3,FALSE),1)</f>
        <v>0.94347925387812148</v>
      </c>
      <c r="BV2308" s="4">
        <f>IF(Grandview_Inventory[[#This Row],[bldg_style]]="",1,_xlfn.IFNA(VLOOKUP(Grandview_Inventory[[#This Row],[decade]],Lookups!$F$29:$H$43,3,FALSE),1))</f>
        <v>0.94601966599150278</v>
      </c>
      <c r="BW2308" s="4">
        <f>_xlfn.IFNA(VLOOKUP(Grandview_Inventory[[#This Row],[living_area_range]],Lookups!$F$47:$H$56,3,FALSE),1)</f>
        <v>0.96120133463014379</v>
      </c>
      <c r="BX2308" s="4">
        <f>AVERAGE(Grandview_Inventory[[#This Row],[qual_adj]:[size_adj]])</f>
        <v>0.94841373516832994</v>
      </c>
      <c r="BY2308" s="6">
        <f>IF(Grandview_Inventory[[#This Row],[pre_res]]&lt;0,0,Grandview_Inventory[[#This Row],[pre_res]]*Grandview_Inventory[[#This Row],[overall_adj]])</f>
        <v>322803.81062935124</v>
      </c>
      <c r="BZ2308" s="6">
        <f>(Grandview_Inventory[[#This Row],[sum_land]]-IF(Grandview_Inventory[[#This Row],[no_utilities]]=1,12000,0))/IF(Grandview_Inventory[[#This Row],[unbuildable]]=1,2,1)</f>
        <v>48369.510983942157</v>
      </c>
      <c r="CA230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8">
        <f>ROUND(Grandview_Inventory[[#This Row],[det_value]]*Lookups!$M$28,-2)</f>
        <v>0</v>
      </c>
      <c r="CC2308">
        <f>IF(ROUND(Grandview_Inventory[[#This Row],[adj_res]]*Lookups!$M$28,-2)&lt;Grandview_Inventory[[#This Row],[min_res]],Grandview_Inventory[[#This Row],[min_res]],ROUND(Grandview_Inventory[[#This Row],[adj_res]]*Lookups!$M$28,-2))</f>
        <v>306700</v>
      </c>
      <c r="CD2308">
        <f>Grandview_Inventory[[#This Row],[final_det]]+Grandview_Inventory[[#This Row],[final_res]]</f>
        <v>306700</v>
      </c>
      <c r="CE2308">
        <f>Grandview_Inventory[[#This Row],[final_land]]+Grandview_Inventory[[#This Row],[final_imp]]+Grandview_Inventory[[#This Row],[crop_value]]</f>
        <v>352700</v>
      </c>
      <c r="CG2308" t="str">
        <f t="shared" si="36"/>
        <v>update valuation set market_land =46000, market_bldg=306700, market_total =352700, market_mdno =401, market_date ='9/10/2023' where link_id = (select link_id from parcel where parcel_year = '2024' and parcel_id = '23092621415');</v>
      </c>
    </row>
    <row r="2309" spans="1:85" x14ac:dyDescent="0.25">
      <c r="A2309">
        <v>23092621416</v>
      </c>
      <c r="B2309" t="s">
        <v>129</v>
      </c>
      <c r="C2309">
        <v>8250</v>
      </c>
      <c r="D2309" t="s">
        <v>129</v>
      </c>
      <c r="E2309" t="s">
        <v>53</v>
      </c>
      <c r="F2309" t="s">
        <v>53</v>
      </c>
      <c r="G2309">
        <v>4</v>
      </c>
      <c r="H2309" t="s">
        <v>54</v>
      </c>
      <c r="I2309">
        <v>241700</v>
      </c>
      <c r="J2309">
        <v>39100</v>
      </c>
      <c r="K2309">
        <v>0.19</v>
      </c>
      <c r="L230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09">
        <v>0</v>
      </c>
      <c r="N2309">
        <v>0</v>
      </c>
      <c r="O2309">
        <v>0</v>
      </c>
      <c r="P2309">
        <v>13398.7528</v>
      </c>
      <c r="Q2309">
        <v>63903</v>
      </c>
      <c r="R2309">
        <f>(Grandview_Inventory[[#This Row],[ln_acres]]*Grandview_Inventory[[#This Row],[coeff]])+Grandview_Inventory[[#This Row],[const]]</f>
        <v>41651.273092551026</v>
      </c>
      <c r="S2309" t="s">
        <v>61</v>
      </c>
      <c r="T2309">
        <v>1</v>
      </c>
      <c r="U2309" t="s">
        <v>62</v>
      </c>
      <c r="V2309" t="s">
        <v>57</v>
      </c>
      <c r="W2309">
        <v>0</v>
      </c>
      <c r="X2309">
        <v>0</v>
      </c>
      <c r="Y2309">
        <v>2</v>
      </c>
      <c r="Z2309">
        <v>2</v>
      </c>
      <c r="AA2309">
        <v>10</v>
      </c>
      <c r="AB2309">
        <v>1500</v>
      </c>
      <c r="AC2309">
        <v>1378</v>
      </c>
      <c r="AD2309">
        <v>1378</v>
      </c>
      <c r="AE2309">
        <v>0</v>
      </c>
      <c r="AF2309">
        <v>0</v>
      </c>
      <c r="AG2309">
        <v>0</v>
      </c>
      <c r="AH2309">
        <v>0</v>
      </c>
      <c r="AI2309">
        <v>400</v>
      </c>
      <c r="AJ2309">
        <v>0</v>
      </c>
      <c r="AK2309">
        <v>0</v>
      </c>
      <c r="AL2309">
        <v>0</v>
      </c>
      <c r="AM2309">
        <v>0</v>
      </c>
      <c r="AN2309">
        <v>78</v>
      </c>
      <c r="AO2309">
        <v>0</v>
      </c>
      <c r="AP2309">
        <v>9</v>
      </c>
      <c r="AQ2309">
        <v>0</v>
      </c>
      <c r="AR2309">
        <v>0</v>
      </c>
      <c r="AS2309" t="s">
        <v>58</v>
      </c>
      <c r="AT2309">
        <v>1</v>
      </c>
      <c r="AU2309" t="s">
        <v>63</v>
      </c>
      <c r="AV2309" t="s">
        <v>64</v>
      </c>
      <c r="AW2309">
        <v>1</v>
      </c>
      <c r="AX2309">
        <v>3</v>
      </c>
      <c r="AY2309">
        <v>0</v>
      </c>
      <c r="AZ2309">
        <v>0</v>
      </c>
      <c r="BA2309">
        <v>100</v>
      </c>
      <c r="BB2309">
        <v>100</v>
      </c>
      <c r="BC2309">
        <v>100</v>
      </c>
      <c r="BD2309">
        <v>100</v>
      </c>
      <c r="BE2309">
        <v>1</v>
      </c>
      <c r="BF2309">
        <v>15000</v>
      </c>
      <c r="BG2309">
        <v>1000</v>
      </c>
      <c r="BH2309" s="6">
        <f>Grandview_Inventory[[#This Row],[land_extract]]*Lookups!$B$3</f>
        <v>48369.510983942157</v>
      </c>
      <c r="BI2309" s="6">
        <f>IF(Grandview_Inventory[[#This Row],[bldg_style]]="",0,Lookups!$B$2)</f>
        <v>155833.95000000001</v>
      </c>
      <c r="BJ2309" s="6">
        <f>_xlfn.IFNA(VLOOKUP(Grandview_Inventory[[#This Row],[quality]],Lookups!$H$2:$J$14,3,FALSE),0)</f>
        <v>9808</v>
      </c>
      <c r="BK2309" s="6">
        <f>_xlfn.IFNA(VLOOKUP(Grandview_Inventory[[#This Row],[condition]],Lookups!$H$17:$J$24,3,FALSE),0)</f>
        <v>25780</v>
      </c>
      <c r="BL2309" s="6">
        <f>Grandview_Inventory[[#This Row],[Eff_Age]]*Lookups!$B$14</f>
        <v>-478.33319999999998</v>
      </c>
      <c r="BM2309" s="6">
        <f>Grandview_Inventory[[#This Row],[living_area]]*Lookups!$B$15</f>
        <v>85960.815434000004</v>
      </c>
      <c r="BN2309" s="6">
        <f>Grandview_Inventory[[#This Row],[Fin BSMT]]*Lookups!$B$16</f>
        <v>0</v>
      </c>
      <c r="BO2309" s="6">
        <f>(Grandview_Inventory[[#This Row],[att_gar]]+Grandview_Inventory[[#This Row],[bltin_gar]])*Lookups!$B$17</f>
        <v>35008.174800000001</v>
      </c>
      <c r="BP2309" s="6">
        <f>Grandview_Inventory[[#This Row],[Plumbing Fixtures]]*Lookups!$B$18</f>
        <v>18093.976200000001</v>
      </c>
      <c r="BQ2309" s="6">
        <f>Grandview_Inventory[[#This Row],[detatched_value]]*Lookups!$B$19</f>
        <v>0</v>
      </c>
      <c r="BR2309" s="6">
        <f>SUM(Grandview_Inventory[[#This Row],[Intercept]:[det_value]])*Grandview_Inventory[[#This Row],[res_pct]]</f>
        <v>330006.58323399996</v>
      </c>
      <c r="BS2309" s="6">
        <f>Grandview_Inventory[[#This Row],[land_value]]</f>
        <v>48369.510983942157</v>
      </c>
      <c r="BT2309" s="4">
        <f>_xlfn.IFNA(VLOOKUP(Grandview_Inventory[[#This Row],[quality]],Lookups!$A$26:$C$33,3,FALSE),1)</f>
        <v>0.94295468617355149</v>
      </c>
      <c r="BU2309" s="4">
        <f>_xlfn.IFNA(VLOOKUP(Grandview_Inventory[[#This Row],[condition]],Lookups!$A$37:$C$44,3,FALSE),1)</f>
        <v>0.94347925387812148</v>
      </c>
      <c r="BV2309" s="4">
        <f>IF(Grandview_Inventory[[#This Row],[bldg_style]]="",1,_xlfn.IFNA(VLOOKUP(Grandview_Inventory[[#This Row],[decade]],Lookups!$F$29:$H$43,3,FALSE),1))</f>
        <v>0.94601966599150278</v>
      </c>
      <c r="BW2309" s="4">
        <f>_xlfn.IFNA(VLOOKUP(Grandview_Inventory[[#This Row],[living_area_range]],Lookups!$F$47:$H$56,3,FALSE),1)</f>
        <v>0.96135087979789358</v>
      </c>
      <c r="BX2309" s="4">
        <f>AVERAGE(Grandview_Inventory[[#This Row],[qual_adj]:[size_adj]])</f>
        <v>0.94845112146026733</v>
      </c>
      <c r="BY2309" s="6">
        <f>IF(Grandview_Inventory[[#This Row],[pre_res]]&lt;0,0,Grandview_Inventory[[#This Row],[pre_res]]*Grandview_Inventory[[#This Row],[overall_adj]])</f>
        <v>312995.11395755829</v>
      </c>
      <c r="BZ2309" s="6">
        <f>(Grandview_Inventory[[#This Row],[sum_land]]-IF(Grandview_Inventory[[#This Row],[no_utilities]]=1,12000,0))/IF(Grandview_Inventory[[#This Row],[unbuildable]]=1,2,1)</f>
        <v>48369.510983942157</v>
      </c>
      <c r="CA230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09">
        <f>ROUND(Grandview_Inventory[[#This Row],[det_value]]*Lookups!$M$28,-2)</f>
        <v>0</v>
      </c>
      <c r="CC2309">
        <f>IF(ROUND(Grandview_Inventory[[#This Row],[adj_res]]*Lookups!$M$28,-2)&lt;Grandview_Inventory[[#This Row],[min_res]],Grandview_Inventory[[#This Row],[min_res]],ROUND(Grandview_Inventory[[#This Row],[adj_res]]*Lookups!$M$28,-2))</f>
        <v>297300</v>
      </c>
      <c r="CD2309">
        <f>Grandview_Inventory[[#This Row],[final_det]]+Grandview_Inventory[[#This Row],[final_res]]</f>
        <v>297300</v>
      </c>
      <c r="CE2309">
        <f>Grandview_Inventory[[#This Row],[final_land]]+Grandview_Inventory[[#This Row],[final_imp]]+Grandview_Inventory[[#This Row],[crop_value]]</f>
        <v>343300</v>
      </c>
      <c r="CG2309" t="str">
        <f t="shared" si="36"/>
        <v>update valuation set market_land =46000, market_bldg=297300, market_total =343300, market_mdno =401, market_date ='9/10/2023' where link_id = (select link_id from parcel where parcel_year = '2024' and parcel_id = '23092621416');</v>
      </c>
    </row>
    <row r="2310" spans="1:85" x14ac:dyDescent="0.25">
      <c r="A2310">
        <v>23092621417</v>
      </c>
      <c r="B2310" t="s">
        <v>129</v>
      </c>
      <c r="C2310">
        <v>8250</v>
      </c>
      <c r="D2310" t="s">
        <v>129</v>
      </c>
      <c r="E2310" t="s">
        <v>53</v>
      </c>
      <c r="F2310" t="s">
        <v>53</v>
      </c>
      <c r="G2310">
        <v>4</v>
      </c>
      <c r="H2310" t="s">
        <v>54</v>
      </c>
      <c r="I2310">
        <v>300500</v>
      </c>
      <c r="J2310">
        <v>39100</v>
      </c>
      <c r="K2310">
        <v>0.19</v>
      </c>
      <c r="L231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0">
        <v>0</v>
      </c>
      <c r="N2310">
        <v>0</v>
      </c>
      <c r="O2310">
        <v>0</v>
      </c>
      <c r="P2310">
        <v>13398.7528</v>
      </c>
      <c r="Q2310">
        <v>63903</v>
      </c>
      <c r="R2310">
        <f>(Grandview_Inventory[[#This Row],[ln_acres]]*Grandview_Inventory[[#This Row],[coeff]])+Grandview_Inventory[[#This Row],[const]]</f>
        <v>41651.273092551026</v>
      </c>
      <c r="S2310" t="s">
        <v>55</v>
      </c>
      <c r="T2310">
        <v>1</v>
      </c>
      <c r="U2310" t="s">
        <v>62</v>
      </c>
      <c r="V2310" t="s">
        <v>57</v>
      </c>
      <c r="W2310">
        <v>0</v>
      </c>
      <c r="X2310">
        <v>0</v>
      </c>
      <c r="Y2310">
        <v>2</v>
      </c>
      <c r="Z2310">
        <v>2</v>
      </c>
      <c r="AA2310">
        <v>10</v>
      </c>
      <c r="AB2310">
        <v>2500</v>
      </c>
      <c r="AC2310">
        <v>2043</v>
      </c>
      <c r="AD2310">
        <v>2043</v>
      </c>
      <c r="AE2310">
        <v>0</v>
      </c>
      <c r="AF2310">
        <v>0</v>
      </c>
      <c r="AG2310">
        <v>0</v>
      </c>
      <c r="AH2310">
        <v>0</v>
      </c>
      <c r="AI2310">
        <v>578</v>
      </c>
      <c r="AJ2310">
        <v>0</v>
      </c>
      <c r="AK2310">
        <v>0</v>
      </c>
      <c r="AL2310">
        <v>0</v>
      </c>
      <c r="AM2310">
        <v>0</v>
      </c>
      <c r="AN2310">
        <v>125</v>
      </c>
      <c r="AO2310">
        <v>0</v>
      </c>
      <c r="AP2310">
        <v>9</v>
      </c>
      <c r="AQ2310">
        <v>0</v>
      </c>
      <c r="AR2310">
        <v>0</v>
      </c>
      <c r="AS2310" t="s">
        <v>58</v>
      </c>
      <c r="AT2310">
        <v>1</v>
      </c>
      <c r="AU2310" t="s">
        <v>63</v>
      </c>
      <c r="AV2310" t="s">
        <v>64</v>
      </c>
      <c r="AW2310">
        <v>1</v>
      </c>
      <c r="AX2310">
        <v>3</v>
      </c>
      <c r="AY2310">
        <v>0</v>
      </c>
      <c r="AZ2310">
        <v>0</v>
      </c>
      <c r="BA2310">
        <v>100</v>
      </c>
      <c r="BB2310">
        <v>100</v>
      </c>
      <c r="BC2310">
        <v>100</v>
      </c>
      <c r="BD2310">
        <v>100</v>
      </c>
      <c r="BE2310">
        <v>1</v>
      </c>
      <c r="BF2310">
        <v>15000</v>
      </c>
      <c r="BG2310">
        <v>1000</v>
      </c>
      <c r="BH2310" s="6">
        <f>Grandview_Inventory[[#This Row],[land_extract]]*Lookups!$B$3</f>
        <v>48369.510983942157</v>
      </c>
      <c r="BI2310" s="6">
        <f>IF(Grandview_Inventory[[#This Row],[bldg_style]]="",0,Lookups!$B$2)</f>
        <v>155833.95000000001</v>
      </c>
      <c r="BJ2310" s="6">
        <f>_xlfn.IFNA(VLOOKUP(Grandview_Inventory[[#This Row],[quality]],Lookups!$H$2:$J$14,3,FALSE),0)</f>
        <v>9808</v>
      </c>
      <c r="BK2310" s="6">
        <f>_xlfn.IFNA(VLOOKUP(Grandview_Inventory[[#This Row],[condition]],Lookups!$H$17:$J$24,3,FALSE),0)</f>
        <v>25780</v>
      </c>
      <c r="BL2310" s="6">
        <f>Grandview_Inventory[[#This Row],[Eff_Age]]*Lookups!$B$14</f>
        <v>-478.33319999999998</v>
      </c>
      <c r="BM2310" s="6">
        <f>Grandview_Inventory[[#This Row],[living_area]]*Lookups!$B$15</f>
        <v>127444.082679</v>
      </c>
      <c r="BN2310" s="6">
        <f>Grandview_Inventory[[#This Row],[Fin BSMT]]*Lookups!$B$16</f>
        <v>0</v>
      </c>
      <c r="BO2310" s="6">
        <f>(Grandview_Inventory[[#This Row],[att_gar]]+Grandview_Inventory[[#This Row],[bltin_gar]])*Lookups!$B$17</f>
        <v>50586.812586</v>
      </c>
      <c r="BP2310" s="6">
        <f>Grandview_Inventory[[#This Row],[Plumbing Fixtures]]*Lookups!$B$18</f>
        <v>18093.976200000001</v>
      </c>
      <c r="BQ2310" s="6">
        <f>Grandview_Inventory[[#This Row],[detatched_value]]*Lookups!$B$19</f>
        <v>0</v>
      </c>
      <c r="BR2310" s="6">
        <f>SUM(Grandview_Inventory[[#This Row],[Intercept]:[det_value]])*Grandview_Inventory[[#This Row],[res_pct]]</f>
        <v>387068.48826499999</v>
      </c>
      <c r="BS2310" s="6">
        <f>Grandview_Inventory[[#This Row],[land_value]]</f>
        <v>48369.510983942157</v>
      </c>
      <c r="BT2310" s="4">
        <f>_xlfn.IFNA(VLOOKUP(Grandview_Inventory[[#This Row],[quality]],Lookups!$A$26:$C$33,3,FALSE),1)</f>
        <v>0.94295468617355149</v>
      </c>
      <c r="BU2310" s="4">
        <f>_xlfn.IFNA(VLOOKUP(Grandview_Inventory[[#This Row],[condition]],Lookups!$A$37:$C$44,3,FALSE),1)</f>
        <v>0.94347925387812148</v>
      </c>
      <c r="BV2310" s="4">
        <f>IF(Grandview_Inventory[[#This Row],[bldg_style]]="",1,_xlfn.IFNA(VLOOKUP(Grandview_Inventory[[#This Row],[decade]],Lookups!$F$29:$H$43,3,FALSE),1))</f>
        <v>0.94601966599150278</v>
      </c>
      <c r="BW2310" s="4">
        <f>_xlfn.IFNA(VLOOKUP(Grandview_Inventory[[#This Row],[living_area_range]],Lookups!$F$47:$H$56,3,FALSE),1)</f>
        <v>0.95799442568048754</v>
      </c>
      <c r="BX2310" s="4">
        <f>AVERAGE(Grandview_Inventory[[#This Row],[qual_adj]:[size_adj]])</f>
        <v>0.94761200793091582</v>
      </c>
      <c r="BY2310" s="6">
        <f>IF(Grandview_Inventory[[#This Row],[pre_res]]&lt;0,0,Grandview_Inventory[[#This Row],[pre_res]]*Grandview_Inventory[[#This Row],[overall_adj]])</f>
        <v>366790.74737158074</v>
      </c>
      <c r="BZ2310" s="6">
        <f>(Grandview_Inventory[[#This Row],[sum_land]]-IF(Grandview_Inventory[[#This Row],[no_utilities]]=1,12000,0))/IF(Grandview_Inventory[[#This Row],[unbuildable]]=1,2,1)</f>
        <v>48369.510983942157</v>
      </c>
      <c r="CA231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0">
        <f>ROUND(Grandview_Inventory[[#This Row],[det_value]]*Lookups!$M$28,-2)</f>
        <v>0</v>
      </c>
      <c r="CC2310">
        <f>IF(ROUND(Grandview_Inventory[[#This Row],[adj_res]]*Lookups!$M$28,-2)&lt;Grandview_Inventory[[#This Row],[min_res]],Grandview_Inventory[[#This Row],[min_res]],ROUND(Grandview_Inventory[[#This Row],[adj_res]]*Lookups!$M$28,-2))</f>
        <v>348500</v>
      </c>
      <c r="CD2310">
        <f>Grandview_Inventory[[#This Row],[final_det]]+Grandview_Inventory[[#This Row],[final_res]]</f>
        <v>348500</v>
      </c>
      <c r="CE2310">
        <f>Grandview_Inventory[[#This Row],[final_land]]+Grandview_Inventory[[#This Row],[final_imp]]+Grandview_Inventory[[#This Row],[crop_value]]</f>
        <v>394500</v>
      </c>
      <c r="CG2310" t="str">
        <f t="shared" si="36"/>
        <v>update valuation set market_land =46000, market_bldg=348500, market_total =394500, market_mdno =401, market_date ='9/10/2023' where link_id = (select link_id from parcel where parcel_year = '2024' and parcel_id = '23092621417');</v>
      </c>
    </row>
    <row r="2311" spans="1:85" x14ac:dyDescent="0.25">
      <c r="A2311">
        <v>23092621418</v>
      </c>
      <c r="B2311" t="s">
        <v>129</v>
      </c>
      <c r="C2311">
        <v>8250</v>
      </c>
      <c r="D2311" t="s">
        <v>129</v>
      </c>
      <c r="E2311" t="s">
        <v>53</v>
      </c>
      <c r="F2311" t="s">
        <v>53</v>
      </c>
      <c r="G2311">
        <v>4</v>
      </c>
      <c r="H2311" t="s">
        <v>54</v>
      </c>
      <c r="I2311">
        <v>241700</v>
      </c>
      <c r="J2311">
        <v>39100</v>
      </c>
      <c r="K2311">
        <v>0.19</v>
      </c>
      <c r="L231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1">
        <v>0</v>
      </c>
      <c r="N2311">
        <v>0</v>
      </c>
      <c r="O2311">
        <v>0</v>
      </c>
      <c r="P2311">
        <v>13398.7528</v>
      </c>
      <c r="Q2311">
        <v>63903</v>
      </c>
      <c r="R2311">
        <f>(Grandview_Inventory[[#This Row],[ln_acres]]*Grandview_Inventory[[#This Row],[coeff]])+Grandview_Inventory[[#This Row],[const]]</f>
        <v>41651.273092551026</v>
      </c>
      <c r="S2311" t="s">
        <v>61</v>
      </c>
      <c r="T2311">
        <v>1</v>
      </c>
      <c r="U2311" t="s">
        <v>62</v>
      </c>
      <c r="V2311" t="s">
        <v>57</v>
      </c>
      <c r="W2311">
        <v>0</v>
      </c>
      <c r="X2311">
        <v>0</v>
      </c>
      <c r="Y2311">
        <v>2</v>
      </c>
      <c r="Z2311">
        <v>2</v>
      </c>
      <c r="AA2311">
        <v>10</v>
      </c>
      <c r="AB2311">
        <v>1500</v>
      </c>
      <c r="AC2311">
        <v>1378</v>
      </c>
      <c r="AD2311">
        <v>1378</v>
      </c>
      <c r="AE2311">
        <v>0</v>
      </c>
      <c r="AF2311">
        <v>0</v>
      </c>
      <c r="AG2311">
        <v>0</v>
      </c>
      <c r="AH2311">
        <v>0</v>
      </c>
      <c r="AI2311">
        <v>400</v>
      </c>
      <c r="AJ2311">
        <v>0</v>
      </c>
      <c r="AK2311">
        <v>0</v>
      </c>
      <c r="AL2311">
        <v>0</v>
      </c>
      <c r="AM2311">
        <v>0</v>
      </c>
      <c r="AN2311">
        <v>90</v>
      </c>
      <c r="AO2311">
        <v>0</v>
      </c>
      <c r="AP2311">
        <v>9</v>
      </c>
      <c r="AQ2311">
        <v>0</v>
      </c>
      <c r="AR2311">
        <v>0</v>
      </c>
      <c r="AS2311" t="s">
        <v>58</v>
      </c>
      <c r="AT2311">
        <v>1</v>
      </c>
      <c r="AU2311" t="s">
        <v>63</v>
      </c>
      <c r="AV2311" t="s">
        <v>64</v>
      </c>
      <c r="AW2311">
        <v>1</v>
      </c>
      <c r="AX2311">
        <v>3</v>
      </c>
      <c r="AY2311">
        <v>0</v>
      </c>
      <c r="AZ2311">
        <v>0</v>
      </c>
      <c r="BA2311">
        <v>100</v>
      </c>
      <c r="BB2311">
        <v>100</v>
      </c>
      <c r="BC2311">
        <v>100</v>
      </c>
      <c r="BD2311">
        <v>100</v>
      </c>
      <c r="BE2311">
        <v>1</v>
      </c>
      <c r="BF2311">
        <v>15000</v>
      </c>
      <c r="BG2311">
        <v>1000</v>
      </c>
      <c r="BH2311" s="6">
        <f>Grandview_Inventory[[#This Row],[land_extract]]*Lookups!$B$3</f>
        <v>48369.510983942157</v>
      </c>
      <c r="BI2311" s="6">
        <f>IF(Grandview_Inventory[[#This Row],[bldg_style]]="",0,Lookups!$B$2)</f>
        <v>155833.95000000001</v>
      </c>
      <c r="BJ2311" s="6">
        <f>_xlfn.IFNA(VLOOKUP(Grandview_Inventory[[#This Row],[quality]],Lookups!$H$2:$J$14,3,FALSE),0)</f>
        <v>9808</v>
      </c>
      <c r="BK2311" s="6">
        <f>_xlfn.IFNA(VLOOKUP(Grandview_Inventory[[#This Row],[condition]],Lookups!$H$17:$J$24,3,FALSE),0)</f>
        <v>25780</v>
      </c>
      <c r="BL2311" s="6">
        <f>Grandview_Inventory[[#This Row],[Eff_Age]]*Lookups!$B$14</f>
        <v>-478.33319999999998</v>
      </c>
      <c r="BM2311" s="6">
        <f>Grandview_Inventory[[#This Row],[living_area]]*Lookups!$B$15</f>
        <v>85960.815434000004</v>
      </c>
      <c r="BN2311" s="6">
        <f>Grandview_Inventory[[#This Row],[Fin BSMT]]*Lookups!$B$16</f>
        <v>0</v>
      </c>
      <c r="BO2311" s="6">
        <f>(Grandview_Inventory[[#This Row],[att_gar]]+Grandview_Inventory[[#This Row],[bltin_gar]])*Lookups!$B$17</f>
        <v>35008.174800000001</v>
      </c>
      <c r="BP2311" s="6">
        <f>Grandview_Inventory[[#This Row],[Plumbing Fixtures]]*Lookups!$B$18</f>
        <v>18093.976200000001</v>
      </c>
      <c r="BQ2311" s="6">
        <f>Grandview_Inventory[[#This Row],[detatched_value]]*Lookups!$B$19</f>
        <v>0</v>
      </c>
      <c r="BR2311" s="6">
        <f>SUM(Grandview_Inventory[[#This Row],[Intercept]:[det_value]])*Grandview_Inventory[[#This Row],[res_pct]]</f>
        <v>330006.58323399996</v>
      </c>
      <c r="BS2311" s="6">
        <f>Grandview_Inventory[[#This Row],[land_value]]</f>
        <v>48369.510983942157</v>
      </c>
      <c r="BT2311" s="4">
        <f>_xlfn.IFNA(VLOOKUP(Grandview_Inventory[[#This Row],[quality]],Lookups!$A$26:$C$33,3,FALSE),1)</f>
        <v>0.94295468617355149</v>
      </c>
      <c r="BU2311" s="4">
        <f>_xlfn.IFNA(VLOOKUP(Grandview_Inventory[[#This Row],[condition]],Lookups!$A$37:$C$44,3,FALSE),1)</f>
        <v>0.94347925387812148</v>
      </c>
      <c r="BV2311" s="4">
        <f>IF(Grandview_Inventory[[#This Row],[bldg_style]]="",1,_xlfn.IFNA(VLOOKUP(Grandview_Inventory[[#This Row],[decade]],Lookups!$F$29:$H$43,3,FALSE),1))</f>
        <v>0.94601966599150278</v>
      </c>
      <c r="BW2311" s="4">
        <f>_xlfn.IFNA(VLOOKUP(Grandview_Inventory[[#This Row],[living_area_range]],Lookups!$F$47:$H$56,3,FALSE),1)</f>
        <v>0.96135087979789358</v>
      </c>
      <c r="BX2311" s="4">
        <f>AVERAGE(Grandview_Inventory[[#This Row],[qual_adj]:[size_adj]])</f>
        <v>0.94845112146026733</v>
      </c>
      <c r="BY2311" s="6">
        <f>IF(Grandview_Inventory[[#This Row],[pre_res]]&lt;0,0,Grandview_Inventory[[#This Row],[pre_res]]*Grandview_Inventory[[#This Row],[overall_adj]])</f>
        <v>312995.11395755829</v>
      </c>
      <c r="BZ2311" s="6">
        <f>(Grandview_Inventory[[#This Row],[sum_land]]-IF(Grandview_Inventory[[#This Row],[no_utilities]]=1,12000,0))/IF(Grandview_Inventory[[#This Row],[unbuildable]]=1,2,1)</f>
        <v>48369.510983942157</v>
      </c>
      <c r="CA231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1">
        <f>ROUND(Grandview_Inventory[[#This Row],[det_value]]*Lookups!$M$28,-2)</f>
        <v>0</v>
      </c>
      <c r="CC2311">
        <f>IF(ROUND(Grandview_Inventory[[#This Row],[adj_res]]*Lookups!$M$28,-2)&lt;Grandview_Inventory[[#This Row],[min_res]],Grandview_Inventory[[#This Row],[min_res]],ROUND(Grandview_Inventory[[#This Row],[adj_res]]*Lookups!$M$28,-2))</f>
        <v>297300</v>
      </c>
      <c r="CD2311">
        <f>Grandview_Inventory[[#This Row],[final_det]]+Grandview_Inventory[[#This Row],[final_res]]</f>
        <v>297300</v>
      </c>
      <c r="CE2311">
        <f>Grandview_Inventory[[#This Row],[final_land]]+Grandview_Inventory[[#This Row],[final_imp]]+Grandview_Inventory[[#This Row],[crop_value]]</f>
        <v>343300</v>
      </c>
      <c r="CG2311" t="str">
        <f t="shared" si="36"/>
        <v>update valuation set market_land =46000, market_bldg=297300, market_total =343300, market_mdno =401, market_date ='9/10/2023' where link_id = (select link_id from parcel where parcel_year = '2024' and parcel_id = '23092621418');</v>
      </c>
    </row>
    <row r="2312" spans="1:85" x14ac:dyDescent="0.25">
      <c r="A2312">
        <v>23092621419</v>
      </c>
      <c r="B2312" t="s">
        <v>129</v>
      </c>
      <c r="C2312">
        <v>8250</v>
      </c>
      <c r="D2312" t="s">
        <v>129</v>
      </c>
      <c r="E2312" t="s">
        <v>53</v>
      </c>
      <c r="F2312" t="s">
        <v>53</v>
      </c>
      <c r="G2312">
        <v>4</v>
      </c>
      <c r="H2312" t="s">
        <v>54</v>
      </c>
      <c r="I2312">
        <v>265300</v>
      </c>
      <c r="J2312">
        <v>39100</v>
      </c>
      <c r="K2312">
        <v>0.19</v>
      </c>
      <c r="L231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2">
        <v>0</v>
      </c>
      <c r="N2312">
        <v>0</v>
      </c>
      <c r="O2312">
        <v>0</v>
      </c>
      <c r="P2312">
        <v>13398.7528</v>
      </c>
      <c r="Q2312">
        <v>63903</v>
      </c>
      <c r="R2312">
        <f>(Grandview_Inventory[[#This Row],[ln_acres]]*Grandview_Inventory[[#This Row],[coeff]])+Grandview_Inventory[[#This Row],[const]]</f>
        <v>41651.273092551026</v>
      </c>
      <c r="S2312" t="s">
        <v>55</v>
      </c>
      <c r="T2312">
        <v>1</v>
      </c>
      <c r="U2312" t="s">
        <v>62</v>
      </c>
      <c r="V2312" t="s">
        <v>57</v>
      </c>
      <c r="W2312">
        <v>0</v>
      </c>
      <c r="X2312">
        <v>0</v>
      </c>
      <c r="Y2312">
        <v>3</v>
      </c>
      <c r="Z2312">
        <v>3</v>
      </c>
      <c r="AA2312">
        <v>10</v>
      </c>
      <c r="AB2312">
        <v>2000</v>
      </c>
      <c r="AC2312">
        <v>1600</v>
      </c>
      <c r="AD2312">
        <v>1600</v>
      </c>
      <c r="AE2312">
        <v>0</v>
      </c>
      <c r="AF2312">
        <v>0</v>
      </c>
      <c r="AG2312">
        <v>0</v>
      </c>
      <c r="AH2312">
        <v>0</v>
      </c>
      <c r="AI2312">
        <v>400</v>
      </c>
      <c r="AJ2312">
        <v>0</v>
      </c>
      <c r="AK2312">
        <v>0</v>
      </c>
      <c r="AL2312">
        <v>0</v>
      </c>
      <c r="AM2312">
        <v>0</v>
      </c>
      <c r="AN2312">
        <v>220</v>
      </c>
      <c r="AO2312">
        <v>0</v>
      </c>
      <c r="AP2312">
        <v>9</v>
      </c>
      <c r="AQ2312">
        <v>0</v>
      </c>
      <c r="AR2312">
        <v>0</v>
      </c>
      <c r="AS2312" t="s">
        <v>58</v>
      </c>
      <c r="AT2312">
        <v>1</v>
      </c>
      <c r="AU2312" t="s">
        <v>63</v>
      </c>
      <c r="AV2312" t="s">
        <v>64</v>
      </c>
      <c r="AW2312">
        <v>1</v>
      </c>
      <c r="AX2312">
        <v>3</v>
      </c>
      <c r="AY2312">
        <v>0</v>
      </c>
      <c r="AZ2312">
        <v>0</v>
      </c>
      <c r="BA2312">
        <v>100</v>
      </c>
      <c r="BB2312">
        <v>100</v>
      </c>
      <c r="BC2312">
        <v>100</v>
      </c>
      <c r="BD2312">
        <v>100</v>
      </c>
      <c r="BE2312">
        <v>1</v>
      </c>
      <c r="BF2312">
        <v>15000</v>
      </c>
      <c r="BG2312">
        <v>1000</v>
      </c>
      <c r="BH2312" s="6">
        <f>Grandview_Inventory[[#This Row],[land_extract]]*Lookups!$B$3</f>
        <v>48369.510983942157</v>
      </c>
      <c r="BI2312" s="6">
        <f>IF(Grandview_Inventory[[#This Row],[bldg_style]]="",0,Lookups!$B$2)</f>
        <v>155833.95000000001</v>
      </c>
      <c r="BJ2312" s="6">
        <f>_xlfn.IFNA(VLOOKUP(Grandview_Inventory[[#This Row],[quality]],Lookups!$H$2:$J$14,3,FALSE),0)</f>
        <v>9808</v>
      </c>
      <c r="BK2312" s="6">
        <f>_xlfn.IFNA(VLOOKUP(Grandview_Inventory[[#This Row],[condition]],Lookups!$H$17:$J$24,3,FALSE),0)</f>
        <v>25780</v>
      </c>
      <c r="BL2312" s="6">
        <f>Grandview_Inventory[[#This Row],[Eff_Age]]*Lookups!$B$14</f>
        <v>-717.49979999999994</v>
      </c>
      <c r="BM2312" s="6">
        <f>Grandview_Inventory[[#This Row],[living_area]]*Lookups!$B$15</f>
        <v>99809.36480000001</v>
      </c>
      <c r="BN2312" s="6">
        <f>Grandview_Inventory[[#This Row],[Fin BSMT]]*Lookups!$B$16</f>
        <v>0</v>
      </c>
      <c r="BO2312" s="6">
        <f>(Grandview_Inventory[[#This Row],[att_gar]]+Grandview_Inventory[[#This Row],[bltin_gar]])*Lookups!$B$17</f>
        <v>35008.174800000001</v>
      </c>
      <c r="BP2312" s="6">
        <f>Grandview_Inventory[[#This Row],[Plumbing Fixtures]]*Lookups!$B$18</f>
        <v>18093.976200000001</v>
      </c>
      <c r="BQ2312" s="6">
        <f>Grandview_Inventory[[#This Row],[detatched_value]]*Lookups!$B$19</f>
        <v>0</v>
      </c>
      <c r="BR2312" s="6">
        <f>SUM(Grandview_Inventory[[#This Row],[Intercept]:[det_value]])*Grandview_Inventory[[#This Row],[res_pct]]</f>
        <v>343615.96600000001</v>
      </c>
      <c r="BS2312" s="6">
        <f>Grandview_Inventory[[#This Row],[land_value]]</f>
        <v>48369.510983942157</v>
      </c>
      <c r="BT2312" s="4">
        <f>_xlfn.IFNA(VLOOKUP(Grandview_Inventory[[#This Row],[quality]],Lookups!$A$26:$C$33,3,FALSE),1)</f>
        <v>0.94295468617355149</v>
      </c>
      <c r="BU2312" s="4">
        <f>_xlfn.IFNA(VLOOKUP(Grandview_Inventory[[#This Row],[condition]],Lookups!$A$37:$C$44,3,FALSE),1)</f>
        <v>0.94347925387812148</v>
      </c>
      <c r="BV2312" s="4">
        <f>IF(Grandview_Inventory[[#This Row],[bldg_style]]="",1,_xlfn.IFNA(VLOOKUP(Grandview_Inventory[[#This Row],[decade]],Lookups!$F$29:$H$43,3,FALSE),1))</f>
        <v>0.94601966599150278</v>
      </c>
      <c r="BW2312" s="4">
        <f>_xlfn.IFNA(VLOOKUP(Grandview_Inventory[[#This Row],[living_area_range]],Lookups!$F$47:$H$56,3,FALSE),1)</f>
        <v>0.96120133463014379</v>
      </c>
      <c r="BX2312" s="4">
        <f>AVERAGE(Grandview_Inventory[[#This Row],[qual_adj]:[size_adj]])</f>
        <v>0.94841373516832994</v>
      </c>
      <c r="BY2312" s="6">
        <f>IF(Grandview_Inventory[[#This Row],[pre_res]]&lt;0,0,Grandview_Inventory[[#This Row],[pre_res]]*Grandview_Inventory[[#This Row],[overall_adj]])</f>
        <v>325890.10177753388</v>
      </c>
      <c r="BZ2312" s="6">
        <f>(Grandview_Inventory[[#This Row],[sum_land]]-IF(Grandview_Inventory[[#This Row],[no_utilities]]=1,12000,0))/IF(Grandview_Inventory[[#This Row],[unbuildable]]=1,2,1)</f>
        <v>48369.510983942157</v>
      </c>
      <c r="CA231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2">
        <f>ROUND(Grandview_Inventory[[#This Row],[det_value]]*Lookups!$M$28,-2)</f>
        <v>0</v>
      </c>
      <c r="CC2312">
        <f>IF(ROUND(Grandview_Inventory[[#This Row],[adj_res]]*Lookups!$M$28,-2)&lt;Grandview_Inventory[[#This Row],[min_res]],Grandview_Inventory[[#This Row],[min_res]],ROUND(Grandview_Inventory[[#This Row],[adj_res]]*Lookups!$M$28,-2))</f>
        <v>309600</v>
      </c>
      <c r="CD2312">
        <f>Grandview_Inventory[[#This Row],[final_det]]+Grandview_Inventory[[#This Row],[final_res]]</f>
        <v>309600</v>
      </c>
      <c r="CE2312">
        <f>Grandview_Inventory[[#This Row],[final_land]]+Grandview_Inventory[[#This Row],[final_imp]]+Grandview_Inventory[[#This Row],[crop_value]]</f>
        <v>355600</v>
      </c>
      <c r="CG2312" t="str">
        <f t="shared" si="36"/>
        <v>update valuation set market_land =46000, market_bldg=309600, market_total =355600, market_mdno =401, market_date ='9/10/2023' where link_id = (select link_id from parcel where parcel_year = '2024' and parcel_id = '23092621419');</v>
      </c>
    </row>
    <row r="2313" spans="1:85" x14ac:dyDescent="0.25">
      <c r="A2313">
        <v>23092621420</v>
      </c>
      <c r="B2313" t="s">
        <v>129</v>
      </c>
      <c r="C2313">
        <v>8250</v>
      </c>
      <c r="D2313" t="s">
        <v>129</v>
      </c>
      <c r="E2313" t="s">
        <v>53</v>
      </c>
      <c r="F2313" t="s">
        <v>53</v>
      </c>
      <c r="G2313">
        <v>4</v>
      </c>
      <c r="H2313" t="s">
        <v>54</v>
      </c>
      <c r="I2313">
        <v>252600</v>
      </c>
      <c r="J2313">
        <v>39100</v>
      </c>
      <c r="K2313">
        <v>0.19</v>
      </c>
      <c r="L231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3">
        <v>0</v>
      </c>
      <c r="N2313">
        <v>0</v>
      </c>
      <c r="O2313">
        <v>0</v>
      </c>
      <c r="P2313">
        <v>13398.7528</v>
      </c>
      <c r="Q2313">
        <v>63903</v>
      </c>
      <c r="R2313">
        <f>(Grandview_Inventory[[#This Row],[ln_acres]]*Grandview_Inventory[[#This Row],[coeff]])+Grandview_Inventory[[#This Row],[const]]</f>
        <v>41651.273092551026</v>
      </c>
      <c r="S2313" t="s">
        <v>61</v>
      </c>
      <c r="T2313">
        <v>1</v>
      </c>
      <c r="U2313" t="s">
        <v>62</v>
      </c>
      <c r="V2313" t="s">
        <v>57</v>
      </c>
      <c r="W2313">
        <v>0</v>
      </c>
      <c r="X2313">
        <v>0</v>
      </c>
      <c r="Y2313">
        <v>2</v>
      </c>
      <c r="Z2313">
        <v>2</v>
      </c>
      <c r="AA2313">
        <v>10</v>
      </c>
      <c r="AB2313">
        <v>2000</v>
      </c>
      <c r="AC2313">
        <v>1580</v>
      </c>
      <c r="AD2313">
        <v>1580</v>
      </c>
      <c r="AE2313">
        <v>0</v>
      </c>
      <c r="AF2313">
        <v>0</v>
      </c>
      <c r="AG2313">
        <v>0</v>
      </c>
      <c r="AH2313">
        <v>0</v>
      </c>
      <c r="AI2313">
        <v>400</v>
      </c>
      <c r="AJ2313">
        <v>0</v>
      </c>
      <c r="AK2313">
        <v>0</v>
      </c>
      <c r="AL2313">
        <v>0</v>
      </c>
      <c r="AM2313">
        <v>0</v>
      </c>
      <c r="AN2313">
        <v>240</v>
      </c>
      <c r="AO2313">
        <v>0</v>
      </c>
      <c r="AP2313">
        <v>9</v>
      </c>
      <c r="AQ2313">
        <v>0</v>
      </c>
      <c r="AR2313">
        <v>0</v>
      </c>
      <c r="AS2313" t="s">
        <v>58</v>
      </c>
      <c r="AT2313">
        <v>1</v>
      </c>
      <c r="AU2313" t="s">
        <v>63</v>
      </c>
      <c r="AV2313" t="s">
        <v>64</v>
      </c>
      <c r="AW2313">
        <v>1</v>
      </c>
      <c r="AX2313">
        <v>3</v>
      </c>
      <c r="AY2313">
        <v>0</v>
      </c>
      <c r="AZ2313">
        <v>0</v>
      </c>
      <c r="BA2313">
        <v>100</v>
      </c>
      <c r="BB2313">
        <v>100</v>
      </c>
      <c r="BC2313">
        <v>100</v>
      </c>
      <c r="BD2313">
        <v>100</v>
      </c>
      <c r="BE2313">
        <v>1</v>
      </c>
      <c r="BF2313">
        <v>15000</v>
      </c>
      <c r="BG2313">
        <v>1000</v>
      </c>
      <c r="BH2313" s="6">
        <f>Grandview_Inventory[[#This Row],[land_extract]]*Lookups!$B$3</f>
        <v>48369.510983942157</v>
      </c>
      <c r="BI2313" s="6">
        <f>IF(Grandview_Inventory[[#This Row],[bldg_style]]="",0,Lookups!$B$2)</f>
        <v>155833.95000000001</v>
      </c>
      <c r="BJ2313" s="6">
        <f>_xlfn.IFNA(VLOOKUP(Grandview_Inventory[[#This Row],[quality]],Lookups!$H$2:$J$14,3,FALSE),0)</f>
        <v>9808</v>
      </c>
      <c r="BK2313" s="6">
        <f>_xlfn.IFNA(VLOOKUP(Grandview_Inventory[[#This Row],[condition]],Lookups!$H$17:$J$24,3,FALSE),0)</f>
        <v>25780</v>
      </c>
      <c r="BL2313" s="6">
        <f>Grandview_Inventory[[#This Row],[Eff_Age]]*Lookups!$B$14</f>
        <v>-478.33319999999998</v>
      </c>
      <c r="BM2313" s="6">
        <f>Grandview_Inventory[[#This Row],[living_area]]*Lookups!$B$15</f>
        <v>98561.747740000006</v>
      </c>
      <c r="BN2313" s="6">
        <f>Grandview_Inventory[[#This Row],[Fin BSMT]]*Lookups!$B$16</f>
        <v>0</v>
      </c>
      <c r="BO2313" s="6">
        <f>(Grandview_Inventory[[#This Row],[att_gar]]+Grandview_Inventory[[#This Row],[bltin_gar]])*Lookups!$B$17</f>
        <v>35008.174800000001</v>
      </c>
      <c r="BP2313" s="6">
        <f>Grandview_Inventory[[#This Row],[Plumbing Fixtures]]*Lookups!$B$18</f>
        <v>18093.976200000001</v>
      </c>
      <c r="BQ2313" s="6">
        <f>Grandview_Inventory[[#This Row],[detatched_value]]*Lookups!$B$19</f>
        <v>0</v>
      </c>
      <c r="BR2313" s="6">
        <f>SUM(Grandview_Inventory[[#This Row],[Intercept]:[det_value]])*Grandview_Inventory[[#This Row],[res_pct]]</f>
        <v>342607.51553999999</v>
      </c>
      <c r="BS2313" s="6">
        <f>Grandview_Inventory[[#This Row],[land_value]]</f>
        <v>48369.510983942157</v>
      </c>
      <c r="BT2313" s="4">
        <f>_xlfn.IFNA(VLOOKUP(Grandview_Inventory[[#This Row],[quality]],Lookups!$A$26:$C$33,3,FALSE),1)</f>
        <v>0.94295468617355149</v>
      </c>
      <c r="BU2313" s="4">
        <f>_xlfn.IFNA(VLOOKUP(Grandview_Inventory[[#This Row],[condition]],Lookups!$A$37:$C$44,3,FALSE),1)</f>
        <v>0.94347925387812148</v>
      </c>
      <c r="BV2313" s="4">
        <f>IF(Grandview_Inventory[[#This Row],[bldg_style]]="",1,_xlfn.IFNA(VLOOKUP(Grandview_Inventory[[#This Row],[decade]],Lookups!$F$29:$H$43,3,FALSE),1))</f>
        <v>0.94601966599150278</v>
      </c>
      <c r="BW2313" s="4">
        <f>_xlfn.IFNA(VLOOKUP(Grandview_Inventory[[#This Row],[living_area_range]],Lookups!$F$47:$H$56,3,FALSE),1)</f>
        <v>0.96120133463014379</v>
      </c>
      <c r="BX2313" s="4">
        <f>AVERAGE(Grandview_Inventory[[#This Row],[qual_adj]:[size_adj]])</f>
        <v>0.94841373516832994</v>
      </c>
      <c r="BY2313" s="6">
        <f>IF(Grandview_Inventory[[#This Row],[pre_res]]&lt;0,0,Grandview_Inventory[[#This Row],[pre_res]]*Grandview_Inventory[[#This Row],[overall_adj]])</f>
        <v>324933.67351003306</v>
      </c>
      <c r="BZ2313" s="6">
        <f>(Grandview_Inventory[[#This Row],[sum_land]]-IF(Grandview_Inventory[[#This Row],[no_utilities]]=1,12000,0))/IF(Grandview_Inventory[[#This Row],[unbuildable]]=1,2,1)</f>
        <v>48369.510983942157</v>
      </c>
      <c r="CA231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3">
        <f>ROUND(Grandview_Inventory[[#This Row],[det_value]]*Lookups!$M$28,-2)</f>
        <v>0</v>
      </c>
      <c r="CC2313">
        <f>IF(ROUND(Grandview_Inventory[[#This Row],[adj_res]]*Lookups!$M$28,-2)&lt;Grandview_Inventory[[#This Row],[min_res]],Grandview_Inventory[[#This Row],[min_res]],ROUND(Grandview_Inventory[[#This Row],[adj_res]]*Lookups!$M$28,-2))</f>
        <v>308700</v>
      </c>
      <c r="CD2313">
        <f>Grandview_Inventory[[#This Row],[final_det]]+Grandview_Inventory[[#This Row],[final_res]]</f>
        <v>308700</v>
      </c>
      <c r="CE2313">
        <f>Grandview_Inventory[[#This Row],[final_land]]+Grandview_Inventory[[#This Row],[final_imp]]+Grandview_Inventory[[#This Row],[crop_value]]</f>
        <v>354700</v>
      </c>
      <c r="CG2313" t="str">
        <f t="shared" si="36"/>
        <v>update valuation set market_land =46000, market_bldg=308700, market_total =354700, market_mdno =401, market_date ='9/10/2023' where link_id = (select link_id from parcel where parcel_year = '2024' and parcel_id = '23092621420');</v>
      </c>
    </row>
    <row r="2314" spans="1:85" x14ac:dyDescent="0.25">
      <c r="A2314">
        <v>23092621421</v>
      </c>
      <c r="B2314" t="s">
        <v>129</v>
      </c>
      <c r="C2314">
        <v>8250</v>
      </c>
      <c r="D2314" t="s">
        <v>129</v>
      </c>
      <c r="E2314" t="s">
        <v>53</v>
      </c>
      <c r="F2314" t="s">
        <v>53</v>
      </c>
      <c r="G2314">
        <v>4</v>
      </c>
      <c r="H2314" t="s">
        <v>54</v>
      </c>
      <c r="I2314">
        <v>237100</v>
      </c>
      <c r="J2314">
        <v>39100</v>
      </c>
      <c r="K2314">
        <v>0.19</v>
      </c>
      <c r="L231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4">
        <v>0</v>
      </c>
      <c r="N2314">
        <v>0</v>
      </c>
      <c r="O2314">
        <v>0</v>
      </c>
      <c r="P2314">
        <v>13398.7528</v>
      </c>
      <c r="Q2314">
        <v>63903</v>
      </c>
      <c r="R2314">
        <f>(Grandview_Inventory[[#This Row],[ln_acres]]*Grandview_Inventory[[#This Row],[coeff]])+Grandview_Inventory[[#This Row],[const]]</f>
        <v>41651.273092551026</v>
      </c>
      <c r="S2314" t="s">
        <v>61</v>
      </c>
      <c r="T2314">
        <v>1</v>
      </c>
      <c r="U2314" t="s">
        <v>62</v>
      </c>
      <c r="V2314" t="s">
        <v>57</v>
      </c>
      <c r="W2314">
        <v>0</v>
      </c>
      <c r="X2314">
        <v>0</v>
      </c>
      <c r="Y2314">
        <v>2</v>
      </c>
      <c r="Z2314">
        <v>2</v>
      </c>
      <c r="AA2314">
        <v>10</v>
      </c>
      <c r="AB2314">
        <v>1500</v>
      </c>
      <c r="AC2314">
        <v>1378</v>
      </c>
      <c r="AD2314">
        <v>1378</v>
      </c>
      <c r="AE2314">
        <v>0</v>
      </c>
      <c r="AF2314">
        <v>0</v>
      </c>
      <c r="AG2314">
        <v>0</v>
      </c>
      <c r="AH2314">
        <v>0</v>
      </c>
      <c r="AI2314">
        <v>400</v>
      </c>
      <c r="AJ2314">
        <v>0</v>
      </c>
      <c r="AK2314">
        <v>0</v>
      </c>
      <c r="AL2314">
        <v>0</v>
      </c>
      <c r="AM2314">
        <v>0</v>
      </c>
      <c r="AN2314">
        <v>78</v>
      </c>
      <c r="AO2314">
        <v>0</v>
      </c>
      <c r="AP2314">
        <v>9</v>
      </c>
      <c r="AQ2314">
        <v>0</v>
      </c>
      <c r="AR2314">
        <v>0</v>
      </c>
      <c r="AS2314" t="s">
        <v>58</v>
      </c>
      <c r="AT2314">
        <v>1</v>
      </c>
      <c r="AU2314" t="s">
        <v>59</v>
      </c>
      <c r="AV2314" t="s">
        <v>64</v>
      </c>
      <c r="AW2314">
        <v>1</v>
      </c>
      <c r="AX2314">
        <v>3</v>
      </c>
      <c r="AY2314">
        <v>0</v>
      </c>
      <c r="AZ2314">
        <v>0</v>
      </c>
      <c r="BA2314">
        <v>100</v>
      </c>
      <c r="BB2314">
        <v>100</v>
      </c>
      <c r="BC2314">
        <v>100</v>
      </c>
      <c r="BD2314">
        <v>100</v>
      </c>
      <c r="BE2314">
        <v>1</v>
      </c>
      <c r="BF2314">
        <v>15000</v>
      </c>
      <c r="BG2314">
        <v>1000</v>
      </c>
      <c r="BH2314" s="6">
        <f>Grandview_Inventory[[#This Row],[land_extract]]*Lookups!$B$3</f>
        <v>48369.510983942157</v>
      </c>
      <c r="BI2314" s="6">
        <f>IF(Grandview_Inventory[[#This Row],[bldg_style]]="",0,Lookups!$B$2)</f>
        <v>155833.95000000001</v>
      </c>
      <c r="BJ2314" s="6">
        <f>_xlfn.IFNA(VLOOKUP(Grandview_Inventory[[#This Row],[quality]],Lookups!$H$2:$J$14,3,FALSE),0)</f>
        <v>9808</v>
      </c>
      <c r="BK2314" s="6">
        <f>_xlfn.IFNA(VLOOKUP(Grandview_Inventory[[#This Row],[condition]],Lookups!$H$17:$J$24,3,FALSE),0)</f>
        <v>25780</v>
      </c>
      <c r="BL2314" s="6">
        <f>Grandview_Inventory[[#This Row],[Eff_Age]]*Lookups!$B$14</f>
        <v>-478.33319999999998</v>
      </c>
      <c r="BM2314" s="6">
        <f>Grandview_Inventory[[#This Row],[living_area]]*Lookups!$B$15</f>
        <v>85960.815434000004</v>
      </c>
      <c r="BN2314" s="6">
        <f>Grandview_Inventory[[#This Row],[Fin BSMT]]*Lookups!$B$16</f>
        <v>0</v>
      </c>
      <c r="BO2314" s="6">
        <f>(Grandview_Inventory[[#This Row],[att_gar]]+Grandview_Inventory[[#This Row],[bltin_gar]])*Lookups!$B$17</f>
        <v>35008.174800000001</v>
      </c>
      <c r="BP2314" s="6">
        <f>Grandview_Inventory[[#This Row],[Plumbing Fixtures]]*Lookups!$B$18</f>
        <v>18093.976200000001</v>
      </c>
      <c r="BQ2314" s="6">
        <f>Grandview_Inventory[[#This Row],[detatched_value]]*Lookups!$B$19</f>
        <v>0</v>
      </c>
      <c r="BR2314" s="6">
        <f>SUM(Grandview_Inventory[[#This Row],[Intercept]:[det_value]])*Grandview_Inventory[[#This Row],[res_pct]]</f>
        <v>330006.58323399996</v>
      </c>
      <c r="BS2314" s="6">
        <f>Grandview_Inventory[[#This Row],[land_value]]</f>
        <v>48369.510983942157</v>
      </c>
      <c r="BT2314" s="4">
        <f>_xlfn.IFNA(VLOOKUP(Grandview_Inventory[[#This Row],[quality]],Lookups!$A$26:$C$33,3,FALSE),1)</f>
        <v>0.94295468617355149</v>
      </c>
      <c r="BU2314" s="4">
        <f>_xlfn.IFNA(VLOOKUP(Grandview_Inventory[[#This Row],[condition]],Lookups!$A$37:$C$44,3,FALSE),1)</f>
        <v>0.94347925387812148</v>
      </c>
      <c r="BV2314" s="4">
        <f>IF(Grandview_Inventory[[#This Row],[bldg_style]]="",1,_xlfn.IFNA(VLOOKUP(Grandview_Inventory[[#This Row],[decade]],Lookups!$F$29:$H$43,3,FALSE),1))</f>
        <v>0.94601966599150278</v>
      </c>
      <c r="BW2314" s="4">
        <f>_xlfn.IFNA(VLOOKUP(Grandview_Inventory[[#This Row],[living_area_range]],Lookups!$F$47:$H$56,3,FALSE),1)</f>
        <v>0.96135087979789358</v>
      </c>
      <c r="BX2314" s="4">
        <f>AVERAGE(Grandview_Inventory[[#This Row],[qual_adj]:[size_adj]])</f>
        <v>0.94845112146026733</v>
      </c>
      <c r="BY2314" s="6">
        <f>IF(Grandview_Inventory[[#This Row],[pre_res]]&lt;0,0,Grandview_Inventory[[#This Row],[pre_res]]*Grandview_Inventory[[#This Row],[overall_adj]])</f>
        <v>312995.11395755829</v>
      </c>
      <c r="BZ2314" s="6">
        <f>(Grandview_Inventory[[#This Row],[sum_land]]-IF(Grandview_Inventory[[#This Row],[no_utilities]]=1,12000,0))/IF(Grandview_Inventory[[#This Row],[unbuildable]]=1,2,1)</f>
        <v>48369.510983942157</v>
      </c>
      <c r="CA231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4">
        <f>ROUND(Grandview_Inventory[[#This Row],[det_value]]*Lookups!$M$28,-2)</f>
        <v>0</v>
      </c>
      <c r="CC2314">
        <f>IF(ROUND(Grandview_Inventory[[#This Row],[adj_res]]*Lookups!$M$28,-2)&lt;Grandview_Inventory[[#This Row],[min_res]],Grandview_Inventory[[#This Row],[min_res]],ROUND(Grandview_Inventory[[#This Row],[adj_res]]*Lookups!$M$28,-2))</f>
        <v>297300</v>
      </c>
      <c r="CD2314">
        <f>Grandview_Inventory[[#This Row],[final_det]]+Grandview_Inventory[[#This Row],[final_res]]</f>
        <v>297300</v>
      </c>
      <c r="CE2314">
        <f>Grandview_Inventory[[#This Row],[final_land]]+Grandview_Inventory[[#This Row],[final_imp]]+Grandview_Inventory[[#This Row],[crop_value]]</f>
        <v>343300</v>
      </c>
      <c r="CG2314" t="str">
        <f t="shared" si="36"/>
        <v>update valuation set market_land =46000, market_bldg=297300, market_total =343300, market_mdno =401, market_date ='9/10/2023' where link_id = (select link_id from parcel where parcel_year = '2024' and parcel_id = '23092621421');</v>
      </c>
    </row>
    <row r="2315" spans="1:85" x14ac:dyDescent="0.25">
      <c r="A2315">
        <v>23092621422</v>
      </c>
      <c r="B2315" t="s">
        <v>129</v>
      </c>
      <c r="C2315">
        <v>8250</v>
      </c>
      <c r="D2315" t="s">
        <v>129</v>
      </c>
      <c r="E2315" t="s">
        <v>53</v>
      </c>
      <c r="F2315" t="s">
        <v>53</v>
      </c>
      <c r="G2315">
        <v>4</v>
      </c>
      <c r="H2315" t="s">
        <v>54</v>
      </c>
      <c r="I2315">
        <v>265500</v>
      </c>
      <c r="J2315">
        <v>39100</v>
      </c>
      <c r="K2315">
        <v>0.19</v>
      </c>
      <c r="L231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5">
        <v>0</v>
      </c>
      <c r="N2315">
        <v>0</v>
      </c>
      <c r="O2315">
        <v>0</v>
      </c>
      <c r="P2315">
        <v>13398.7528</v>
      </c>
      <c r="Q2315">
        <v>63903</v>
      </c>
      <c r="R2315">
        <f>(Grandview_Inventory[[#This Row],[ln_acres]]*Grandview_Inventory[[#This Row],[coeff]])+Grandview_Inventory[[#This Row],[const]]</f>
        <v>41651.273092551026</v>
      </c>
      <c r="S2315" t="s">
        <v>55</v>
      </c>
      <c r="T2315">
        <v>1</v>
      </c>
      <c r="U2315" t="s">
        <v>62</v>
      </c>
      <c r="V2315" t="s">
        <v>57</v>
      </c>
      <c r="W2315">
        <v>0</v>
      </c>
      <c r="X2315">
        <v>0</v>
      </c>
      <c r="Y2315">
        <v>2</v>
      </c>
      <c r="Z2315">
        <v>2</v>
      </c>
      <c r="AA2315">
        <v>10</v>
      </c>
      <c r="AB2315">
        <v>2000</v>
      </c>
      <c r="AC2315">
        <v>1600</v>
      </c>
      <c r="AD2315">
        <v>1600</v>
      </c>
      <c r="AE2315">
        <v>0</v>
      </c>
      <c r="AF2315">
        <v>0</v>
      </c>
      <c r="AG2315">
        <v>0</v>
      </c>
      <c r="AH2315">
        <v>0</v>
      </c>
      <c r="AI2315">
        <v>400</v>
      </c>
      <c r="AJ2315">
        <v>0</v>
      </c>
      <c r="AK2315">
        <v>0</v>
      </c>
      <c r="AL2315">
        <v>0</v>
      </c>
      <c r="AM2315">
        <v>0</v>
      </c>
      <c r="AN2315">
        <v>240</v>
      </c>
      <c r="AO2315">
        <v>0</v>
      </c>
      <c r="AP2315">
        <v>9</v>
      </c>
      <c r="AQ2315">
        <v>0</v>
      </c>
      <c r="AR2315">
        <v>0</v>
      </c>
      <c r="AS2315" t="s">
        <v>58</v>
      </c>
      <c r="AT2315">
        <v>1</v>
      </c>
      <c r="AU2315" t="s">
        <v>63</v>
      </c>
      <c r="AV2315" t="s">
        <v>64</v>
      </c>
      <c r="AW2315">
        <v>1</v>
      </c>
      <c r="AX2315">
        <v>3</v>
      </c>
      <c r="AY2315">
        <v>0</v>
      </c>
      <c r="AZ2315">
        <v>0</v>
      </c>
      <c r="BA2315">
        <v>100</v>
      </c>
      <c r="BB2315">
        <v>100</v>
      </c>
      <c r="BC2315">
        <v>100</v>
      </c>
      <c r="BD2315">
        <v>100</v>
      </c>
      <c r="BE2315">
        <v>1</v>
      </c>
      <c r="BF2315">
        <v>15000</v>
      </c>
      <c r="BG2315">
        <v>1000</v>
      </c>
      <c r="BH2315" s="6">
        <f>Grandview_Inventory[[#This Row],[land_extract]]*Lookups!$B$3</f>
        <v>48369.510983942157</v>
      </c>
      <c r="BI2315" s="6">
        <f>IF(Grandview_Inventory[[#This Row],[bldg_style]]="",0,Lookups!$B$2)</f>
        <v>155833.95000000001</v>
      </c>
      <c r="BJ2315" s="6">
        <f>_xlfn.IFNA(VLOOKUP(Grandview_Inventory[[#This Row],[quality]],Lookups!$H$2:$J$14,3,FALSE),0)</f>
        <v>9808</v>
      </c>
      <c r="BK2315" s="6">
        <f>_xlfn.IFNA(VLOOKUP(Grandview_Inventory[[#This Row],[condition]],Lookups!$H$17:$J$24,3,FALSE),0)</f>
        <v>25780</v>
      </c>
      <c r="BL2315" s="6">
        <f>Grandview_Inventory[[#This Row],[Eff_Age]]*Lookups!$B$14</f>
        <v>-478.33319999999998</v>
      </c>
      <c r="BM2315" s="6">
        <f>Grandview_Inventory[[#This Row],[living_area]]*Lookups!$B$15</f>
        <v>99809.36480000001</v>
      </c>
      <c r="BN2315" s="6">
        <f>Grandview_Inventory[[#This Row],[Fin BSMT]]*Lookups!$B$16</f>
        <v>0</v>
      </c>
      <c r="BO2315" s="6">
        <f>(Grandview_Inventory[[#This Row],[att_gar]]+Grandview_Inventory[[#This Row],[bltin_gar]])*Lookups!$B$17</f>
        <v>35008.174800000001</v>
      </c>
      <c r="BP2315" s="6">
        <f>Grandview_Inventory[[#This Row],[Plumbing Fixtures]]*Lookups!$B$18</f>
        <v>18093.976200000001</v>
      </c>
      <c r="BQ2315" s="6">
        <f>Grandview_Inventory[[#This Row],[detatched_value]]*Lookups!$B$19</f>
        <v>0</v>
      </c>
      <c r="BR2315" s="6">
        <f>SUM(Grandview_Inventory[[#This Row],[Intercept]:[det_value]])*Grandview_Inventory[[#This Row],[res_pct]]</f>
        <v>343855.13260000001</v>
      </c>
      <c r="BS2315" s="6">
        <f>Grandview_Inventory[[#This Row],[land_value]]</f>
        <v>48369.510983942157</v>
      </c>
      <c r="BT2315" s="4">
        <f>_xlfn.IFNA(VLOOKUP(Grandview_Inventory[[#This Row],[quality]],Lookups!$A$26:$C$33,3,FALSE),1)</f>
        <v>0.94295468617355149</v>
      </c>
      <c r="BU2315" s="4">
        <f>_xlfn.IFNA(VLOOKUP(Grandview_Inventory[[#This Row],[condition]],Lookups!$A$37:$C$44,3,FALSE),1)</f>
        <v>0.94347925387812148</v>
      </c>
      <c r="BV2315" s="4">
        <f>IF(Grandview_Inventory[[#This Row],[bldg_style]]="",1,_xlfn.IFNA(VLOOKUP(Grandview_Inventory[[#This Row],[decade]],Lookups!$F$29:$H$43,3,FALSE),1))</f>
        <v>0.94601966599150278</v>
      </c>
      <c r="BW2315" s="4">
        <f>_xlfn.IFNA(VLOOKUP(Grandview_Inventory[[#This Row],[living_area_range]],Lookups!$F$47:$H$56,3,FALSE),1)</f>
        <v>0.96120133463014379</v>
      </c>
      <c r="BX2315" s="4">
        <f>AVERAGE(Grandview_Inventory[[#This Row],[qual_adj]:[size_adj]])</f>
        <v>0.94841373516832994</v>
      </c>
      <c r="BY2315" s="6">
        <f>IF(Grandview_Inventory[[#This Row],[pre_res]]&lt;0,0,Grandview_Inventory[[#This Row],[pre_res]]*Grandview_Inventory[[#This Row],[overall_adj]])</f>
        <v>326116.9306659674</v>
      </c>
      <c r="BZ2315" s="6">
        <f>(Grandview_Inventory[[#This Row],[sum_land]]-IF(Grandview_Inventory[[#This Row],[no_utilities]]=1,12000,0))/IF(Grandview_Inventory[[#This Row],[unbuildable]]=1,2,1)</f>
        <v>48369.510983942157</v>
      </c>
      <c r="CA231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5">
        <f>ROUND(Grandview_Inventory[[#This Row],[det_value]]*Lookups!$M$28,-2)</f>
        <v>0</v>
      </c>
      <c r="CC2315">
        <f>IF(ROUND(Grandview_Inventory[[#This Row],[adj_res]]*Lookups!$M$28,-2)&lt;Grandview_Inventory[[#This Row],[min_res]],Grandview_Inventory[[#This Row],[min_res]],ROUND(Grandview_Inventory[[#This Row],[adj_res]]*Lookups!$M$28,-2))</f>
        <v>309800</v>
      </c>
      <c r="CD2315">
        <f>Grandview_Inventory[[#This Row],[final_det]]+Grandview_Inventory[[#This Row],[final_res]]</f>
        <v>309800</v>
      </c>
      <c r="CE2315">
        <f>Grandview_Inventory[[#This Row],[final_land]]+Grandview_Inventory[[#This Row],[final_imp]]+Grandview_Inventory[[#This Row],[crop_value]]</f>
        <v>355800</v>
      </c>
      <c r="CG2315" t="str">
        <f t="shared" si="36"/>
        <v>update valuation set market_land =46000, market_bldg=309800, market_total =355800, market_mdno =401, market_date ='9/10/2023' where link_id = (select link_id from parcel where parcel_year = '2024' and parcel_id = '23092621422');</v>
      </c>
    </row>
    <row r="2316" spans="1:85" x14ac:dyDescent="0.25">
      <c r="A2316">
        <v>23092621423</v>
      </c>
      <c r="B2316" t="s">
        <v>129</v>
      </c>
      <c r="C2316">
        <v>8250</v>
      </c>
      <c r="D2316" t="s">
        <v>129</v>
      </c>
      <c r="E2316" t="s">
        <v>53</v>
      </c>
      <c r="F2316" t="s">
        <v>53</v>
      </c>
      <c r="G2316">
        <v>4</v>
      </c>
      <c r="H2316" t="s">
        <v>54</v>
      </c>
      <c r="I2316">
        <v>265500</v>
      </c>
      <c r="J2316">
        <v>39100</v>
      </c>
      <c r="K2316">
        <v>0.19</v>
      </c>
      <c r="L231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16">
        <v>0</v>
      </c>
      <c r="N2316">
        <v>0</v>
      </c>
      <c r="O2316">
        <v>0</v>
      </c>
      <c r="P2316">
        <v>13398.7528</v>
      </c>
      <c r="Q2316">
        <v>63903</v>
      </c>
      <c r="R2316">
        <f>(Grandview_Inventory[[#This Row],[ln_acres]]*Grandview_Inventory[[#This Row],[coeff]])+Grandview_Inventory[[#This Row],[const]]</f>
        <v>41651.273092551026</v>
      </c>
      <c r="S2316" t="s">
        <v>55</v>
      </c>
      <c r="T2316">
        <v>1</v>
      </c>
      <c r="U2316" t="s">
        <v>62</v>
      </c>
      <c r="V2316" t="s">
        <v>57</v>
      </c>
      <c r="W2316">
        <v>0</v>
      </c>
      <c r="X2316">
        <v>0</v>
      </c>
      <c r="Y2316">
        <v>2</v>
      </c>
      <c r="Z2316">
        <v>2</v>
      </c>
      <c r="AA2316">
        <v>10</v>
      </c>
      <c r="AB2316">
        <v>2000</v>
      </c>
      <c r="AC2316">
        <v>1600</v>
      </c>
      <c r="AD2316">
        <v>1600</v>
      </c>
      <c r="AE2316">
        <v>0</v>
      </c>
      <c r="AF2316">
        <v>0</v>
      </c>
      <c r="AG2316">
        <v>0</v>
      </c>
      <c r="AH2316">
        <v>0</v>
      </c>
      <c r="AI2316">
        <v>400</v>
      </c>
      <c r="AJ2316">
        <v>0</v>
      </c>
      <c r="AK2316">
        <v>0</v>
      </c>
      <c r="AL2316">
        <v>0</v>
      </c>
      <c r="AM2316">
        <v>0</v>
      </c>
      <c r="AN2316">
        <v>240</v>
      </c>
      <c r="AO2316">
        <v>0</v>
      </c>
      <c r="AP2316">
        <v>9</v>
      </c>
      <c r="AQ2316">
        <v>0</v>
      </c>
      <c r="AR2316">
        <v>0</v>
      </c>
      <c r="AS2316" t="s">
        <v>58</v>
      </c>
      <c r="AT2316">
        <v>1</v>
      </c>
      <c r="AU2316" t="s">
        <v>63</v>
      </c>
      <c r="AV2316" t="s">
        <v>64</v>
      </c>
      <c r="AW2316">
        <v>1</v>
      </c>
      <c r="AX2316">
        <v>3</v>
      </c>
      <c r="AY2316">
        <v>0</v>
      </c>
      <c r="AZ2316">
        <v>0</v>
      </c>
      <c r="BA2316">
        <v>100</v>
      </c>
      <c r="BB2316">
        <v>100</v>
      </c>
      <c r="BC2316">
        <v>100</v>
      </c>
      <c r="BD2316">
        <v>100</v>
      </c>
      <c r="BE2316">
        <v>1</v>
      </c>
      <c r="BF2316">
        <v>15000</v>
      </c>
      <c r="BG2316">
        <v>1000</v>
      </c>
      <c r="BH2316" s="6">
        <f>Grandview_Inventory[[#This Row],[land_extract]]*Lookups!$B$3</f>
        <v>48369.510983942157</v>
      </c>
      <c r="BI2316" s="6">
        <f>IF(Grandview_Inventory[[#This Row],[bldg_style]]="",0,Lookups!$B$2)</f>
        <v>155833.95000000001</v>
      </c>
      <c r="BJ2316" s="6">
        <f>_xlfn.IFNA(VLOOKUP(Grandview_Inventory[[#This Row],[quality]],Lookups!$H$2:$J$14,3,FALSE),0)</f>
        <v>9808</v>
      </c>
      <c r="BK2316" s="6">
        <f>_xlfn.IFNA(VLOOKUP(Grandview_Inventory[[#This Row],[condition]],Lookups!$H$17:$J$24,3,FALSE),0)</f>
        <v>25780</v>
      </c>
      <c r="BL2316" s="6">
        <f>Grandview_Inventory[[#This Row],[Eff_Age]]*Lookups!$B$14</f>
        <v>-478.33319999999998</v>
      </c>
      <c r="BM2316" s="6">
        <f>Grandview_Inventory[[#This Row],[living_area]]*Lookups!$B$15</f>
        <v>99809.36480000001</v>
      </c>
      <c r="BN2316" s="6">
        <f>Grandview_Inventory[[#This Row],[Fin BSMT]]*Lookups!$B$16</f>
        <v>0</v>
      </c>
      <c r="BO2316" s="6">
        <f>(Grandview_Inventory[[#This Row],[att_gar]]+Grandview_Inventory[[#This Row],[bltin_gar]])*Lookups!$B$17</f>
        <v>35008.174800000001</v>
      </c>
      <c r="BP2316" s="6">
        <f>Grandview_Inventory[[#This Row],[Plumbing Fixtures]]*Lookups!$B$18</f>
        <v>18093.976200000001</v>
      </c>
      <c r="BQ2316" s="6">
        <f>Grandview_Inventory[[#This Row],[detatched_value]]*Lookups!$B$19</f>
        <v>0</v>
      </c>
      <c r="BR2316" s="6">
        <f>SUM(Grandview_Inventory[[#This Row],[Intercept]:[det_value]])*Grandview_Inventory[[#This Row],[res_pct]]</f>
        <v>343855.13260000001</v>
      </c>
      <c r="BS2316" s="6">
        <f>Grandview_Inventory[[#This Row],[land_value]]</f>
        <v>48369.510983942157</v>
      </c>
      <c r="BT2316" s="4">
        <f>_xlfn.IFNA(VLOOKUP(Grandview_Inventory[[#This Row],[quality]],Lookups!$A$26:$C$33,3,FALSE),1)</f>
        <v>0.94295468617355149</v>
      </c>
      <c r="BU2316" s="4">
        <f>_xlfn.IFNA(VLOOKUP(Grandview_Inventory[[#This Row],[condition]],Lookups!$A$37:$C$44,3,FALSE),1)</f>
        <v>0.94347925387812148</v>
      </c>
      <c r="BV2316" s="4">
        <f>IF(Grandview_Inventory[[#This Row],[bldg_style]]="",1,_xlfn.IFNA(VLOOKUP(Grandview_Inventory[[#This Row],[decade]],Lookups!$F$29:$H$43,3,FALSE),1))</f>
        <v>0.94601966599150278</v>
      </c>
      <c r="BW2316" s="4">
        <f>_xlfn.IFNA(VLOOKUP(Grandview_Inventory[[#This Row],[living_area_range]],Lookups!$F$47:$H$56,3,FALSE),1)</f>
        <v>0.96120133463014379</v>
      </c>
      <c r="BX2316" s="4">
        <f>AVERAGE(Grandview_Inventory[[#This Row],[qual_adj]:[size_adj]])</f>
        <v>0.94841373516832994</v>
      </c>
      <c r="BY2316" s="6">
        <f>IF(Grandview_Inventory[[#This Row],[pre_res]]&lt;0,0,Grandview_Inventory[[#This Row],[pre_res]]*Grandview_Inventory[[#This Row],[overall_adj]])</f>
        <v>326116.9306659674</v>
      </c>
      <c r="BZ2316" s="6">
        <f>(Grandview_Inventory[[#This Row],[sum_land]]-IF(Grandview_Inventory[[#This Row],[no_utilities]]=1,12000,0))/IF(Grandview_Inventory[[#This Row],[unbuildable]]=1,2,1)</f>
        <v>48369.510983942157</v>
      </c>
      <c r="CA231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16">
        <f>ROUND(Grandview_Inventory[[#This Row],[det_value]]*Lookups!$M$28,-2)</f>
        <v>0</v>
      </c>
      <c r="CC2316">
        <f>IF(ROUND(Grandview_Inventory[[#This Row],[adj_res]]*Lookups!$M$28,-2)&lt;Grandview_Inventory[[#This Row],[min_res]],Grandview_Inventory[[#This Row],[min_res]],ROUND(Grandview_Inventory[[#This Row],[adj_res]]*Lookups!$M$28,-2))</f>
        <v>309800</v>
      </c>
      <c r="CD2316">
        <f>Grandview_Inventory[[#This Row],[final_det]]+Grandview_Inventory[[#This Row],[final_res]]</f>
        <v>309800</v>
      </c>
      <c r="CE2316">
        <f>Grandview_Inventory[[#This Row],[final_land]]+Grandview_Inventory[[#This Row],[final_imp]]+Grandview_Inventory[[#This Row],[crop_value]]</f>
        <v>355800</v>
      </c>
      <c r="CG2316" t="str">
        <f t="shared" si="36"/>
        <v>update valuation set market_land =46000, market_bldg=309800, market_total =355800, market_mdno =401, market_date ='9/10/2023' where link_id = (select link_id from parcel where parcel_year = '2024' and parcel_id = '23092621423');</v>
      </c>
    </row>
    <row r="2317" spans="1:85" x14ac:dyDescent="0.25">
      <c r="A2317">
        <v>23092621424</v>
      </c>
      <c r="B2317" t="s">
        <v>129</v>
      </c>
      <c r="C2317">
        <v>8605</v>
      </c>
      <c r="D2317" t="s">
        <v>129</v>
      </c>
      <c r="E2317" t="s">
        <v>53</v>
      </c>
      <c r="F2317" t="s">
        <v>53</v>
      </c>
      <c r="G2317">
        <v>4</v>
      </c>
      <c r="H2317" t="s">
        <v>54</v>
      </c>
      <c r="I2317">
        <v>265500</v>
      </c>
      <c r="J2317">
        <v>39300</v>
      </c>
      <c r="K2317">
        <v>0.2</v>
      </c>
      <c r="L231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17">
        <v>0</v>
      </c>
      <c r="N2317">
        <v>0</v>
      </c>
      <c r="O2317">
        <v>0</v>
      </c>
      <c r="P2317">
        <v>13398.7528</v>
      </c>
      <c r="Q2317">
        <v>63903</v>
      </c>
      <c r="R2317">
        <f>(Grandview_Inventory[[#This Row],[ln_acres]]*Grandview_Inventory[[#This Row],[coeff]])+Grandview_Inventory[[#This Row],[const]]</f>
        <v>42338.539264347448</v>
      </c>
      <c r="S2317" t="s">
        <v>55</v>
      </c>
      <c r="T2317">
        <v>1</v>
      </c>
      <c r="U2317" t="s">
        <v>62</v>
      </c>
      <c r="V2317" t="s">
        <v>57</v>
      </c>
      <c r="W2317">
        <v>0</v>
      </c>
      <c r="X2317">
        <v>0</v>
      </c>
      <c r="Y2317">
        <v>2</v>
      </c>
      <c r="Z2317">
        <v>2</v>
      </c>
      <c r="AA2317">
        <v>10</v>
      </c>
      <c r="AB2317">
        <v>2000</v>
      </c>
      <c r="AC2317">
        <v>1600</v>
      </c>
      <c r="AD2317">
        <v>1600</v>
      </c>
      <c r="AE2317">
        <v>0</v>
      </c>
      <c r="AF2317">
        <v>0</v>
      </c>
      <c r="AG2317">
        <v>0</v>
      </c>
      <c r="AH2317">
        <v>0</v>
      </c>
      <c r="AI2317">
        <v>400</v>
      </c>
      <c r="AJ2317">
        <v>0</v>
      </c>
      <c r="AK2317">
        <v>0</v>
      </c>
      <c r="AL2317">
        <v>0</v>
      </c>
      <c r="AM2317">
        <v>0</v>
      </c>
      <c r="AN2317">
        <v>240</v>
      </c>
      <c r="AO2317">
        <v>0</v>
      </c>
      <c r="AP2317">
        <v>9</v>
      </c>
      <c r="AQ2317">
        <v>0</v>
      </c>
      <c r="AR2317">
        <v>0</v>
      </c>
      <c r="AS2317" t="s">
        <v>58</v>
      </c>
      <c r="AT2317">
        <v>1</v>
      </c>
      <c r="AU2317" t="s">
        <v>63</v>
      </c>
      <c r="AV2317" t="s">
        <v>64</v>
      </c>
      <c r="AW2317">
        <v>1</v>
      </c>
      <c r="AX2317">
        <v>3</v>
      </c>
      <c r="AY2317">
        <v>0</v>
      </c>
      <c r="AZ2317">
        <v>0</v>
      </c>
      <c r="BA2317">
        <v>100</v>
      </c>
      <c r="BB2317">
        <v>100</v>
      </c>
      <c r="BC2317">
        <v>100</v>
      </c>
      <c r="BD2317">
        <v>100</v>
      </c>
      <c r="BE2317">
        <v>1</v>
      </c>
      <c r="BF2317">
        <v>15000</v>
      </c>
      <c r="BG2317">
        <v>1000</v>
      </c>
      <c r="BH2317" s="6">
        <f>Grandview_Inventory[[#This Row],[land_extract]]*Lookups!$B$3</f>
        <v>49167.631333630678</v>
      </c>
      <c r="BI2317" s="6">
        <f>IF(Grandview_Inventory[[#This Row],[bldg_style]]="",0,Lookups!$B$2)</f>
        <v>155833.95000000001</v>
      </c>
      <c r="BJ2317" s="6">
        <f>_xlfn.IFNA(VLOOKUP(Grandview_Inventory[[#This Row],[quality]],Lookups!$H$2:$J$14,3,FALSE),0)</f>
        <v>9808</v>
      </c>
      <c r="BK2317" s="6">
        <f>_xlfn.IFNA(VLOOKUP(Grandview_Inventory[[#This Row],[condition]],Lookups!$H$17:$J$24,3,FALSE),0)</f>
        <v>25780</v>
      </c>
      <c r="BL2317" s="6">
        <f>Grandview_Inventory[[#This Row],[Eff_Age]]*Lookups!$B$14</f>
        <v>-478.33319999999998</v>
      </c>
      <c r="BM2317" s="6">
        <f>Grandview_Inventory[[#This Row],[living_area]]*Lookups!$B$15</f>
        <v>99809.36480000001</v>
      </c>
      <c r="BN2317" s="6">
        <f>Grandview_Inventory[[#This Row],[Fin BSMT]]*Lookups!$B$16</f>
        <v>0</v>
      </c>
      <c r="BO2317" s="6">
        <f>(Grandview_Inventory[[#This Row],[att_gar]]+Grandview_Inventory[[#This Row],[bltin_gar]])*Lookups!$B$17</f>
        <v>35008.174800000001</v>
      </c>
      <c r="BP2317" s="6">
        <f>Grandview_Inventory[[#This Row],[Plumbing Fixtures]]*Lookups!$B$18</f>
        <v>18093.976200000001</v>
      </c>
      <c r="BQ2317" s="6">
        <f>Grandview_Inventory[[#This Row],[detatched_value]]*Lookups!$B$19</f>
        <v>0</v>
      </c>
      <c r="BR2317" s="6">
        <f>SUM(Grandview_Inventory[[#This Row],[Intercept]:[det_value]])*Grandview_Inventory[[#This Row],[res_pct]]</f>
        <v>343855.13260000001</v>
      </c>
      <c r="BS2317" s="6">
        <f>Grandview_Inventory[[#This Row],[land_value]]</f>
        <v>49167.631333630678</v>
      </c>
      <c r="BT2317" s="4">
        <f>_xlfn.IFNA(VLOOKUP(Grandview_Inventory[[#This Row],[quality]],Lookups!$A$26:$C$33,3,FALSE),1)</f>
        <v>0.94295468617355149</v>
      </c>
      <c r="BU2317" s="4">
        <f>_xlfn.IFNA(VLOOKUP(Grandview_Inventory[[#This Row],[condition]],Lookups!$A$37:$C$44,3,FALSE),1)</f>
        <v>0.94347925387812148</v>
      </c>
      <c r="BV2317" s="4">
        <f>IF(Grandview_Inventory[[#This Row],[bldg_style]]="",1,_xlfn.IFNA(VLOOKUP(Grandview_Inventory[[#This Row],[decade]],Lookups!$F$29:$H$43,3,FALSE),1))</f>
        <v>0.94601966599150278</v>
      </c>
      <c r="BW2317" s="4">
        <f>_xlfn.IFNA(VLOOKUP(Grandview_Inventory[[#This Row],[living_area_range]],Lookups!$F$47:$H$56,3,FALSE),1)</f>
        <v>0.96120133463014379</v>
      </c>
      <c r="BX2317" s="4">
        <f>AVERAGE(Grandview_Inventory[[#This Row],[qual_adj]:[size_adj]])</f>
        <v>0.94841373516832994</v>
      </c>
      <c r="BY2317" s="6">
        <f>IF(Grandview_Inventory[[#This Row],[pre_res]]&lt;0,0,Grandview_Inventory[[#This Row],[pre_res]]*Grandview_Inventory[[#This Row],[overall_adj]])</f>
        <v>326116.9306659674</v>
      </c>
      <c r="BZ2317" s="6">
        <f>(Grandview_Inventory[[#This Row],[sum_land]]-IF(Grandview_Inventory[[#This Row],[no_utilities]]=1,12000,0))/IF(Grandview_Inventory[[#This Row],[unbuildable]]=1,2,1)</f>
        <v>49167.631333630678</v>
      </c>
      <c r="CA231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17">
        <f>ROUND(Grandview_Inventory[[#This Row],[det_value]]*Lookups!$M$28,-2)</f>
        <v>0</v>
      </c>
      <c r="CC2317">
        <f>IF(ROUND(Grandview_Inventory[[#This Row],[adj_res]]*Lookups!$M$28,-2)&lt;Grandview_Inventory[[#This Row],[min_res]],Grandview_Inventory[[#This Row],[min_res]],ROUND(Grandview_Inventory[[#This Row],[adj_res]]*Lookups!$M$28,-2))</f>
        <v>309800</v>
      </c>
      <c r="CD2317">
        <f>Grandview_Inventory[[#This Row],[final_det]]+Grandview_Inventory[[#This Row],[final_res]]</f>
        <v>309800</v>
      </c>
      <c r="CE2317">
        <f>Grandview_Inventory[[#This Row],[final_land]]+Grandview_Inventory[[#This Row],[final_imp]]+Grandview_Inventory[[#This Row],[crop_value]]</f>
        <v>356500</v>
      </c>
      <c r="CG2317" t="str">
        <f t="shared" si="36"/>
        <v>update valuation set market_land =46700, market_bldg=309800, market_total =356500, market_mdno =401, market_date ='9/10/2023' where link_id = (select link_id from parcel where parcel_year = '2024' and parcel_id = '23092621424');</v>
      </c>
    </row>
    <row r="2318" spans="1:85" x14ac:dyDescent="0.25">
      <c r="A2318">
        <v>23092621425</v>
      </c>
      <c r="B2318" t="s">
        <v>129</v>
      </c>
      <c r="C2318">
        <v>8683</v>
      </c>
      <c r="D2318" t="s">
        <v>129</v>
      </c>
      <c r="E2318" t="s">
        <v>53</v>
      </c>
      <c r="F2318" t="s">
        <v>53</v>
      </c>
      <c r="G2318">
        <v>4</v>
      </c>
      <c r="H2318" t="s">
        <v>54</v>
      </c>
      <c r="I2318">
        <v>308900</v>
      </c>
      <c r="J2318">
        <v>32700</v>
      </c>
      <c r="K2318">
        <v>0.2</v>
      </c>
      <c r="L231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18">
        <v>0</v>
      </c>
      <c r="N2318">
        <v>0</v>
      </c>
      <c r="O2318">
        <v>0</v>
      </c>
      <c r="P2318">
        <v>13398.7528</v>
      </c>
      <c r="Q2318">
        <v>63903</v>
      </c>
      <c r="R2318">
        <f>(Grandview_Inventory[[#This Row],[ln_acres]]*Grandview_Inventory[[#This Row],[coeff]])+Grandview_Inventory[[#This Row],[const]]</f>
        <v>42338.539264347448</v>
      </c>
      <c r="S2318" t="s">
        <v>55</v>
      </c>
      <c r="T2318">
        <v>2</v>
      </c>
      <c r="U2318" t="s">
        <v>62</v>
      </c>
      <c r="V2318" t="s">
        <v>57</v>
      </c>
      <c r="W2318">
        <v>0</v>
      </c>
      <c r="X2318">
        <v>0</v>
      </c>
      <c r="Y2318">
        <v>2</v>
      </c>
      <c r="Z2318">
        <v>2</v>
      </c>
      <c r="AA2318">
        <v>10</v>
      </c>
      <c r="AB2318">
        <v>3000</v>
      </c>
      <c r="AC2318">
        <v>2614</v>
      </c>
      <c r="AD2318">
        <v>1150</v>
      </c>
      <c r="AE2318">
        <v>1464</v>
      </c>
      <c r="AF2318">
        <v>0</v>
      </c>
      <c r="AG2318">
        <v>0</v>
      </c>
      <c r="AH2318">
        <v>0</v>
      </c>
      <c r="AI2318">
        <v>0</v>
      </c>
      <c r="AJ2318">
        <v>399</v>
      </c>
      <c r="AK2318">
        <v>0</v>
      </c>
      <c r="AL2318">
        <v>0</v>
      </c>
      <c r="AM2318">
        <v>0</v>
      </c>
      <c r="AN2318">
        <v>368</v>
      </c>
      <c r="AO2318">
        <v>0</v>
      </c>
      <c r="AP2318">
        <v>12</v>
      </c>
      <c r="AQ2318">
        <v>0</v>
      </c>
      <c r="AR2318">
        <v>0</v>
      </c>
      <c r="AS2318" t="s">
        <v>58</v>
      </c>
      <c r="AT2318">
        <v>1</v>
      </c>
      <c r="AU2318" t="s">
        <v>63</v>
      </c>
      <c r="AV2318" t="s">
        <v>64</v>
      </c>
      <c r="AW2318">
        <v>1</v>
      </c>
      <c r="AX2318">
        <v>3</v>
      </c>
      <c r="AY2318">
        <v>0</v>
      </c>
      <c r="AZ2318">
        <v>0</v>
      </c>
      <c r="BA2318">
        <v>100</v>
      </c>
      <c r="BB2318">
        <v>100</v>
      </c>
      <c r="BC2318">
        <v>100</v>
      </c>
      <c r="BD2318">
        <v>100</v>
      </c>
      <c r="BE2318">
        <v>1</v>
      </c>
      <c r="BF2318">
        <v>15000</v>
      </c>
      <c r="BG2318">
        <v>1000</v>
      </c>
      <c r="BH2318" s="6">
        <f>Grandview_Inventory[[#This Row],[land_extract]]*Lookups!$B$3</f>
        <v>49167.631333630678</v>
      </c>
      <c r="BI2318" s="6">
        <f>IF(Grandview_Inventory[[#This Row],[bldg_style]]="",0,Lookups!$B$2)</f>
        <v>155833.95000000001</v>
      </c>
      <c r="BJ2318" s="6">
        <f>_xlfn.IFNA(VLOOKUP(Grandview_Inventory[[#This Row],[quality]],Lookups!$H$2:$J$14,3,FALSE),0)</f>
        <v>9808</v>
      </c>
      <c r="BK2318" s="6">
        <f>_xlfn.IFNA(VLOOKUP(Grandview_Inventory[[#This Row],[condition]],Lookups!$H$17:$J$24,3,FALSE),0)</f>
        <v>25780</v>
      </c>
      <c r="BL2318" s="6">
        <f>Grandview_Inventory[[#This Row],[Eff_Age]]*Lookups!$B$14</f>
        <v>-478.33319999999998</v>
      </c>
      <c r="BM2318" s="6">
        <f>Grandview_Inventory[[#This Row],[living_area]]*Lookups!$B$15</f>
        <v>163063.549742</v>
      </c>
      <c r="BN2318" s="6">
        <f>Grandview_Inventory[[#This Row],[Fin BSMT]]*Lookups!$B$16</f>
        <v>0</v>
      </c>
      <c r="BO2318" s="6">
        <f>(Grandview_Inventory[[#This Row],[att_gar]]+Grandview_Inventory[[#This Row],[bltin_gar]])*Lookups!$B$17</f>
        <v>34920.654363000001</v>
      </c>
      <c r="BP2318" s="6">
        <f>Grandview_Inventory[[#This Row],[Plumbing Fixtures]]*Lookups!$B$18</f>
        <v>24125.301599999999</v>
      </c>
      <c r="BQ2318" s="6">
        <f>Grandview_Inventory[[#This Row],[detatched_value]]*Lookups!$B$19</f>
        <v>0</v>
      </c>
      <c r="BR2318" s="6">
        <f>SUM(Grandview_Inventory[[#This Row],[Intercept]:[det_value]])*Grandview_Inventory[[#This Row],[res_pct]]</f>
        <v>413053.12250500004</v>
      </c>
      <c r="BS2318" s="6">
        <f>Grandview_Inventory[[#This Row],[land_value]]</f>
        <v>49167.631333630678</v>
      </c>
      <c r="BT2318" s="4">
        <f>_xlfn.IFNA(VLOOKUP(Grandview_Inventory[[#This Row],[quality]],Lookups!$A$26:$C$33,3,FALSE),1)</f>
        <v>0.94295468617355149</v>
      </c>
      <c r="BU2318" s="4">
        <f>_xlfn.IFNA(VLOOKUP(Grandview_Inventory[[#This Row],[condition]],Lookups!$A$37:$C$44,3,FALSE),1)</f>
        <v>0.94347925387812148</v>
      </c>
      <c r="BV2318" s="4">
        <f>IF(Grandview_Inventory[[#This Row],[bldg_style]]="",1,_xlfn.IFNA(VLOOKUP(Grandview_Inventory[[#This Row],[decade]],Lookups!$F$29:$H$43,3,FALSE),1))</f>
        <v>0.94601966599150278</v>
      </c>
      <c r="BW2318" s="4">
        <f>_xlfn.IFNA(VLOOKUP(Grandview_Inventory[[#This Row],[living_area_range]],Lookups!$F$47:$H$56,3,FALSE),1)</f>
        <v>0.94224801443562123</v>
      </c>
      <c r="BX2318" s="4">
        <f>AVERAGE(Grandview_Inventory[[#This Row],[qual_adj]:[size_adj]])</f>
        <v>0.94367540511969927</v>
      </c>
      <c r="BY2318" s="6">
        <f>IF(Grandview_Inventory[[#This Row],[pre_res]]&lt;0,0,Grandview_Inventory[[#This Row],[pre_res]]*Grandview_Inventory[[#This Row],[overall_adj]])</f>
        <v>389788.07271586265</v>
      </c>
      <c r="BZ2318" s="6">
        <f>(Grandview_Inventory[[#This Row],[sum_land]]-IF(Grandview_Inventory[[#This Row],[no_utilities]]=1,12000,0))/IF(Grandview_Inventory[[#This Row],[unbuildable]]=1,2,1)</f>
        <v>49167.631333630678</v>
      </c>
      <c r="CA231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18">
        <f>ROUND(Grandview_Inventory[[#This Row],[det_value]]*Lookups!$M$28,-2)</f>
        <v>0</v>
      </c>
      <c r="CC2318">
        <f>IF(ROUND(Grandview_Inventory[[#This Row],[adj_res]]*Lookups!$M$28,-2)&lt;Grandview_Inventory[[#This Row],[min_res]],Grandview_Inventory[[#This Row],[min_res]],ROUND(Grandview_Inventory[[#This Row],[adj_res]]*Lookups!$M$28,-2))</f>
        <v>370300</v>
      </c>
      <c r="CD2318">
        <f>Grandview_Inventory[[#This Row],[final_det]]+Grandview_Inventory[[#This Row],[final_res]]</f>
        <v>370300</v>
      </c>
      <c r="CE2318">
        <f>Grandview_Inventory[[#This Row],[final_land]]+Grandview_Inventory[[#This Row],[final_imp]]+Grandview_Inventory[[#This Row],[crop_value]]</f>
        <v>417000</v>
      </c>
      <c r="CG2318" t="str">
        <f t="shared" si="36"/>
        <v>update valuation set market_land =46700, market_bldg=370300, market_total =417000, market_mdno =401, market_date ='9/10/2023' where link_id = (select link_id from parcel where parcel_year = '2024' and parcel_id = '23092621425');</v>
      </c>
    </row>
    <row r="2319" spans="1:85" x14ac:dyDescent="0.25">
      <c r="A2319">
        <v>23092621427</v>
      </c>
      <c r="B2319" t="s">
        <v>129</v>
      </c>
      <c r="C2319">
        <v>8050</v>
      </c>
      <c r="D2319" t="s">
        <v>129</v>
      </c>
      <c r="E2319" t="s">
        <v>53</v>
      </c>
      <c r="F2319" t="s">
        <v>53</v>
      </c>
      <c r="G2319">
        <v>4</v>
      </c>
      <c r="H2319" t="s">
        <v>54</v>
      </c>
      <c r="I2319">
        <v>237500</v>
      </c>
      <c r="J2319">
        <v>39000</v>
      </c>
      <c r="K2319">
        <v>0.18</v>
      </c>
      <c r="L231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19">
        <v>0</v>
      </c>
      <c r="N2319">
        <v>0</v>
      </c>
      <c r="O2319">
        <v>0</v>
      </c>
      <c r="P2319">
        <v>13398.7528</v>
      </c>
      <c r="Q2319">
        <v>63903</v>
      </c>
      <c r="R2319">
        <f>(Grandview_Inventory[[#This Row],[ln_acres]]*Grandview_Inventory[[#This Row],[coeff]])+Grandview_Inventory[[#This Row],[const]]</f>
        <v>40926.839760167699</v>
      </c>
      <c r="S2319" t="s">
        <v>61</v>
      </c>
      <c r="T2319">
        <v>1</v>
      </c>
      <c r="U2319" t="s">
        <v>62</v>
      </c>
      <c r="V2319" t="s">
        <v>57</v>
      </c>
      <c r="W2319">
        <v>0</v>
      </c>
      <c r="X2319">
        <v>0</v>
      </c>
      <c r="Y2319">
        <v>2</v>
      </c>
      <c r="Z2319">
        <v>2</v>
      </c>
      <c r="AA2319">
        <v>10</v>
      </c>
      <c r="AB2319">
        <v>1500</v>
      </c>
      <c r="AC2319">
        <v>1384</v>
      </c>
      <c r="AD2319">
        <v>1384</v>
      </c>
      <c r="AE2319">
        <v>0</v>
      </c>
      <c r="AF2319">
        <v>0</v>
      </c>
      <c r="AG2319">
        <v>0</v>
      </c>
      <c r="AH2319">
        <v>0</v>
      </c>
      <c r="AI2319">
        <v>400</v>
      </c>
      <c r="AJ2319">
        <v>0</v>
      </c>
      <c r="AK2319">
        <v>0</v>
      </c>
      <c r="AL2319">
        <v>0</v>
      </c>
      <c r="AM2319">
        <v>0</v>
      </c>
      <c r="AN2319">
        <v>178</v>
      </c>
      <c r="AO2319">
        <v>0</v>
      </c>
      <c r="AP2319">
        <v>9</v>
      </c>
      <c r="AQ2319">
        <v>0</v>
      </c>
      <c r="AR2319">
        <v>0</v>
      </c>
      <c r="AS2319" t="s">
        <v>58</v>
      </c>
      <c r="AT2319">
        <v>1</v>
      </c>
      <c r="AU2319" t="s">
        <v>59</v>
      </c>
      <c r="AV2319" t="s">
        <v>64</v>
      </c>
      <c r="AW2319">
        <v>1</v>
      </c>
      <c r="AX2319">
        <v>3</v>
      </c>
      <c r="AY2319">
        <v>0</v>
      </c>
      <c r="AZ2319">
        <v>0</v>
      </c>
      <c r="BA2319">
        <v>100</v>
      </c>
      <c r="BB2319">
        <v>100</v>
      </c>
      <c r="BC2319">
        <v>100</v>
      </c>
      <c r="BD2319">
        <v>100</v>
      </c>
      <c r="BE2319">
        <v>1</v>
      </c>
      <c r="BF2319">
        <v>15000</v>
      </c>
      <c r="BG2319">
        <v>1000</v>
      </c>
      <c r="BH2319" s="6">
        <f>Grandview_Inventory[[#This Row],[land_extract]]*Lookups!$B$3</f>
        <v>47528.228511015397</v>
      </c>
      <c r="BI2319" s="6">
        <f>IF(Grandview_Inventory[[#This Row],[bldg_style]]="",0,Lookups!$B$2)</f>
        <v>155833.95000000001</v>
      </c>
      <c r="BJ2319" s="6">
        <f>_xlfn.IFNA(VLOOKUP(Grandview_Inventory[[#This Row],[quality]],Lookups!$H$2:$J$14,3,FALSE),0)</f>
        <v>9808</v>
      </c>
      <c r="BK2319" s="6">
        <f>_xlfn.IFNA(VLOOKUP(Grandview_Inventory[[#This Row],[condition]],Lookups!$H$17:$J$24,3,FALSE),0)</f>
        <v>25780</v>
      </c>
      <c r="BL2319" s="6">
        <f>Grandview_Inventory[[#This Row],[Eff_Age]]*Lookups!$B$14</f>
        <v>-478.33319999999998</v>
      </c>
      <c r="BM2319" s="6">
        <f>Grandview_Inventory[[#This Row],[living_area]]*Lookups!$B$15</f>
        <v>86335.100552000004</v>
      </c>
      <c r="BN2319" s="6">
        <f>Grandview_Inventory[[#This Row],[Fin BSMT]]*Lookups!$B$16</f>
        <v>0</v>
      </c>
      <c r="BO2319" s="6">
        <f>(Grandview_Inventory[[#This Row],[att_gar]]+Grandview_Inventory[[#This Row],[bltin_gar]])*Lookups!$B$17</f>
        <v>35008.174800000001</v>
      </c>
      <c r="BP2319" s="6">
        <f>Grandview_Inventory[[#This Row],[Plumbing Fixtures]]*Lookups!$B$18</f>
        <v>18093.976200000001</v>
      </c>
      <c r="BQ2319" s="6">
        <f>Grandview_Inventory[[#This Row],[detatched_value]]*Lookups!$B$19</f>
        <v>0</v>
      </c>
      <c r="BR2319" s="6">
        <f>SUM(Grandview_Inventory[[#This Row],[Intercept]:[det_value]])*Grandview_Inventory[[#This Row],[res_pct]]</f>
        <v>330380.86835199996</v>
      </c>
      <c r="BS2319" s="6">
        <f>Grandview_Inventory[[#This Row],[land_value]]</f>
        <v>47528.228511015397</v>
      </c>
      <c r="BT2319" s="4">
        <f>_xlfn.IFNA(VLOOKUP(Grandview_Inventory[[#This Row],[quality]],Lookups!$A$26:$C$33,3,FALSE),1)</f>
        <v>0.94295468617355149</v>
      </c>
      <c r="BU2319" s="4">
        <f>_xlfn.IFNA(VLOOKUP(Grandview_Inventory[[#This Row],[condition]],Lookups!$A$37:$C$44,3,FALSE),1)</f>
        <v>0.94347925387812148</v>
      </c>
      <c r="BV2319" s="4">
        <f>IF(Grandview_Inventory[[#This Row],[bldg_style]]="",1,_xlfn.IFNA(VLOOKUP(Grandview_Inventory[[#This Row],[decade]],Lookups!$F$29:$H$43,3,FALSE),1))</f>
        <v>0.94601966599150278</v>
      </c>
      <c r="BW2319" s="4">
        <f>_xlfn.IFNA(VLOOKUP(Grandview_Inventory[[#This Row],[living_area_range]],Lookups!$F$47:$H$56,3,FALSE),1)</f>
        <v>0.96135087979789358</v>
      </c>
      <c r="BX2319" s="4">
        <f>AVERAGE(Grandview_Inventory[[#This Row],[qual_adj]:[size_adj]])</f>
        <v>0.94845112146026733</v>
      </c>
      <c r="BY2319" s="6">
        <f>IF(Grandview_Inventory[[#This Row],[pre_res]]&lt;0,0,Grandview_Inventory[[#This Row],[pre_res]]*Grandview_Inventory[[#This Row],[overall_adj]])</f>
        <v>313350.10509747133</v>
      </c>
      <c r="BZ2319" s="6">
        <f>(Grandview_Inventory[[#This Row],[sum_land]]-IF(Grandview_Inventory[[#This Row],[no_utilities]]=1,12000,0))/IF(Grandview_Inventory[[#This Row],[unbuildable]]=1,2,1)</f>
        <v>47528.228511015397</v>
      </c>
      <c r="CA231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19">
        <f>ROUND(Grandview_Inventory[[#This Row],[det_value]]*Lookups!$M$28,-2)</f>
        <v>0</v>
      </c>
      <c r="CC2319">
        <f>IF(ROUND(Grandview_Inventory[[#This Row],[adj_res]]*Lookups!$M$28,-2)&lt;Grandview_Inventory[[#This Row],[min_res]],Grandview_Inventory[[#This Row],[min_res]],ROUND(Grandview_Inventory[[#This Row],[adj_res]]*Lookups!$M$28,-2))</f>
        <v>297700</v>
      </c>
      <c r="CD2319">
        <f>Grandview_Inventory[[#This Row],[final_det]]+Grandview_Inventory[[#This Row],[final_res]]</f>
        <v>297700</v>
      </c>
      <c r="CE2319">
        <f>Grandview_Inventory[[#This Row],[final_land]]+Grandview_Inventory[[#This Row],[final_imp]]+Grandview_Inventory[[#This Row],[crop_value]]</f>
        <v>342900</v>
      </c>
      <c r="CG2319" t="str">
        <f t="shared" si="36"/>
        <v>update valuation set market_land =45200, market_bldg=297700, market_total =342900, market_mdno =401, market_date ='9/10/2023' where link_id = (select link_id from parcel where parcel_year = '2024' and parcel_id = '23092621427');</v>
      </c>
    </row>
    <row r="2320" spans="1:85" x14ac:dyDescent="0.25">
      <c r="A2320">
        <v>23092621428</v>
      </c>
      <c r="B2320" t="s">
        <v>129</v>
      </c>
      <c r="C2320">
        <v>8050</v>
      </c>
      <c r="D2320" t="s">
        <v>129</v>
      </c>
      <c r="E2320" t="s">
        <v>53</v>
      </c>
      <c r="F2320" t="s">
        <v>53</v>
      </c>
      <c r="G2320">
        <v>4</v>
      </c>
      <c r="H2320" t="s">
        <v>54</v>
      </c>
      <c r="I2320">
        <v>286400</v>
      </c>
      <c r="J2320">
        <v>39000</v>
      </c>
      <c r="K2320">
        <v>0.18</v>
      </c>
      <c r="L232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20">
        <v>0</v>
      </c>
      <c r="N2320">
        <v>0</v>
      </c>
      <c r="O2320">
        <v>0</v>
      </c>
      <c r="P2320">
        <v>13398.7528</v>
      </c>
      <c r="Q2320">
        <v>63903</v>
      </c>
      <c r="R2320">
        <f>(Grandview_Inventory[[#This Row],[ln_acres]]*Grandview_Inventory[[#This Row],[coeff]])+Grandview_Inventory[[#This Row],[const]]</f>
        <v>40926.839760167699</v>
      </c>
      <c r="S2320" t="s">
        <v>58</v>
      </c>
      <c r="T2320">
        <v>2</v>
      </c>
      <c r="U2320" t="s">
        <v>62</v>
      </c>
      <c r="V2320" t="s">
        <v>57</v>
      </c>
      <c r="W2320">
        <v>0</v>
      </c>
      <c r="X2320">
        <v>0</v>
      </c>
      <c r="Y2320">
        <v>2</v>
      </c>
      <c r="Z2320">
        <v>2</v>
      </c>
      <c r="AA2320">
        <v>10</v>
      </c>
      <c r="AB2320">
        <v>2500</v>
      </c>
      <c r="AC2320">
        <v>2128</v>
      </c>
      <c r="AD2320">
        <v>876</v>
      </c>
      <c r="AE2320">
        <v>1252</v>
      </c>
      <c r="AF2320">
        <v>0</v>
      </c>
      <c r="AG2320">
        <v>0</v>
      </c>
      <c r="AH2320">
        <v>0</v>
      </c>
      <c r="AI2320">
        <v>0</v>
      </c>
      <c r="AJ2320">
        <v>400</v>
      </c>
      <c r="AK2320">
        <v>0</v>
      </c>
      <c r="AL2320">
        <v>0</v>
      </c>
      <c r="AM2320">
        <v>0</v>
      </c>
      <c r="AN2320">
        <v>288</v>
      </c>
      <c r="AO2320">
        <v>0</v>
      </c>
      <c r="AP2320">
        <v>12</v>
      </c>
      <c r="AQ2320">
        <v>0</v>
      </c>
      <c r="AR2320">
        <v>0</v>
      </c>
      <c r="AS2320" t="s">
        <v>58</v>
      </c>
      <c r="AT2320">
        <v>1</v>
      </c>
      <c r="AU2320" t="s">
        <v>63</v>
      </c>
      <c r="AV2320" t="s">
        <v>64</v>
      </c>
      <c r="AW2320">
        <v>1</v>
      </c>
      <c r="AX2320">
        <v>4</v>
      </c>
      <c r="AY2320">
        <v>0</v>
      </c>
      <c r="AZ2320">
        <v>0</v>
      </c>
      <c r="BA2320">
        <v>100</v>
      </c>
      <c r="BB2320">
        <v>100</v>
      </c>
      <c r="BC2320">
        <v>100</v>
      </c>
      <c r="BD2320">
        <v>100</v>
      </c>
      <c r="BE2320">
        <v>1</v>
      </c>
      <c r="BF2320">
        <v>15000</v>
      </c>
      <c r="BG2320">
        <v>1000</v>
      </c>
      <c r="BH2320" s="6">
        <f>Grandview_Inventory[[#This Row],[land_extract]]*Lookups!$B$3</f>
        <v>47528.228511015397</v>
      </c>
      <c r="BI2320" s="6">
        <f>IF(Grandview_Inventory[[#This Row],[bldg_style]]="",0,Lookups!$B$2)</f>
        <v>155833.95000000001</v>
      </c>
      <c r="BJ2320" s="6">
        <f>_xlfn.IFNA(VLOOKUP(Grandview_Inventory[[#This Row],[quality]],Lookups!$H$2:$J$14,3,FALSE),0)</f>
        <v>9808</v>
      </c>
      <c r="BK2320" s="6">
        <f>_xlfn.IFNA(VLOOKUP(Grandview_Inventory[[#This Row],[condition]],Lookups!$H$17:$J$24,3,FALSE),0)</f>
        <v>25780</v>
      </c>
      <c r="BL2320" s="6">
        <f>Grandview_Inventory[[#This Row],[Eff_Age]]*Lookups!$B$14</f>
        <v>-478.33319999999998</v>
      </c>
      <c r="BM2320" s="6">
        <f>Grandview_Inventory[[#This Row],[living_area]]*Lookups!$B$15</f>
        <v>132746.45518399999</v>
      </c>
      <c r="BN2320" s="6">
        <f>Grandview_Inventory[[#This Row],[Fin BSMT]]*Lookups!$B$16</f>
        <v>0</v>
      </c>
      <c r="BO2320" s="6">
        <f>(Grandview_Inventory[[#This Row],[att_gar]]+Grandview_Inventory[[#This Row],[bltin_gar]])*Lookups!$B$17</f>
        <v>35008.174800000001</v>
      </c>
      <c r="BP2320" s="6">
        <f>Grandview_Inventory[[#This Row],[Plumbing Fixtures]]*Lookups!$B$18</f>
        <v>24125.301599999999</v>
      </c>
      <c r="BQ2320" s="6">
        <f>Grandview_Inventory[[#This Row],[detatched_value]]*Lookups!$B$19</f>
        <v>0</v>
      </c>
      <c r="BR2320" s="6">
        <f>SUM(Grandview_Inventory[[#This Row],[Intercept]:[det_value]])*Grandview_Inventory[[#This Row],[res_pct]]</f>
        <v>382823.54838400002</v>
      </c>
      <c r="BS2320" s="6">
        <f>Grandview_Inventory[[#This Row],[land_value]]</f>
        <v>47528.228511015397</v>
      </c>
      <c r="BT2320" s="4">
        <f>_xlfn.IFNA(VLOOKUP(Grandview_Inventory[[#This Row],[quality]],Lookups!$A$26:$C$33,3,FALSE),1)</f>
        <v>0.94295468617355149</v>
      </c>
      <c r="BU2320" s="4">
        <f>_xlfn.IFNA(VLOOKUP(Grandview_Inventory[[#This Row],[condition]],Lookups!$A$37:$C$44,3,FALSE),1)</f>
        <v>0.94347925387812148</v>
      </c>
      <c r="BV2320" s="4">
        <f>IF(Grandview_Inventory[[#This Row],[bldg_style]]="",1,_xlfn.IFNA(VLOOKUP(Grandview_Inventory[[#This Row],[decade]],Lookups!$F$29:$H$43,3,FALSE),1))</f>
        <v>0.94601966599150278</v>
      </c>
      <c r="BW2320" s="4">
        <f>_xlfn.IFNA(VLOOKUP(Grandview_Inventory[[#This Row],[living_area_range]],Lookups!$F$47:$H$56,3,FALSE),1)</f>
        <v>0.95799442568048754</v>
      </c>
      <c r="BX2320" s="4">
        <f>AVERAGE(Grandview_Inventory[[#This Row],[qual_adj]:[size_adj]])</f>
        <v>0.94761200793091582</v>
      </c>
      <c r="BY2320" s="6">
        <f>IF(Grandview_Inventory[[#This Row],[pre_res]]&lt;0,0,Grandview_Inventory[[#This Row],[pre_res]]*Grandview_Inventory[[#This Row],[overall_adj]])</f>
        <v>362768.19136740034</v>
      </c>
      <c r="BZ2320" s="6">
        <f>(Grandview_Inventory[[#This Row],[sum_land]]-IF(Grandview_Inventory[[#This Row],[no_utilities]]=1,12000,0))/IF(Grandview_Inventory[[#This Row],[unbuildable]]=1,2,1)</f>
        <v>47528.228511015397</v>
      </c>
      <c r="CA232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20">
        <f>ROUND(Grandview_Inventory[[#This Row],[det_value]]*Lookups!$M$28,-2)</f>
        <v>0</v>
      </c>
      <c r="CC2320">
        <f>IF(ROUND(Grandview_Inventory[[#This Row],[adj_res]]*Lookups!$M$28,-2)&lt;Grandview_Inventory[[#This Row],[min_res]],Grandview_Inventory[[#This Row],[min_res]],ROUND(Grandview_Inventory[[#This Row],[adj_res]]*Lookups!$M$28,-2))</f>
        <v>344600</v>
      </c>
      <c r="CD2320">
        <f>Grandview_Inventory[[#This Row],[final_det]]+Grandview_Inventory[[#This Row],[final_res]]</f>
        <v>344600</v>
      </c>
      <c r="CE2320">
        <f>Grandview_Inventory[[#This Row],[final_land]]+Grandview_Inventory[[#This Row],[final_imp]]+Grandview_Inventory[[#This Row],[crop_value]]</f>
        <v>389800</v>
      </c>
      <c r="CG2320" t="str">
        <f t="shared" si="36"/>
        <v>update valuation set market_land =45200, market_bldg=344600, market_total =389800, market_mdno =401, market_date ='9/10/2023' where link_id = (select link_id from parcel where parcel_year = '2024' and parcel_id = '23092621428');</v>
      </c>
    </row>
    <row r="2321" spans="1:85" x14ac:dyDescent="0.25">
      <c r="A2321">
        <v>23092621429</v>
      </c>
      <c r="B2321" t="s">
        <v>129</v>
      </c>
      <c r="C2321">
        <v>8050</v>
      </c>
      <c r="D2321" t="s">
        <v>129</v>
      </c>
      <c r="E2321" t="s">
        <v>53</v>
      </c>
      <c r="F2321" t="s">
        <v>53</v>
      </c>
      <c r="G2321">
        <v>4</v>
      </c>
      <c r="H2321" t="s">
        <v>54</v>
      </c>
      <c r="I2321">
        <v>236800</v>
      </c>
      <c r="J2321">
        <v>32500</v>
      </c>
      <c r="K2321">
        <v>0.18</v>
      </c>
      <c r="L23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21">
        <v>0</v>
      </c>
      <c r="N2321">
        <v>0</v>
      </c>
      <c r="O2321">
        <v>0</v>
      </c>
      <c r="P2321">
        <v>13398.7528</v>
      </c>
      <c r="Q2321">
        <v>63903</v>
      </c>
      <c r="R2321">
        <f>(Grandview_Inventory[[#This Row],[ln_acres]]*Grandview_Inventory[[#This Row],[coeff]])+Grandview_Inventory[[#This Row],[const]]</f>
        <v>40926.839760167699</v>
      </c>
      <c r="S2321" t="s">
        <v>61</v>
      </c>
      <c r="T2321">
        <v>1</v>
      </c>
      <c r="U2321" t="s">
        <v>62</v>
      </c>
      <c r="V2321" t="s">
        <v>57</v>
      </c>
      <c r="W2321">
        <v>0</v>
      </c>
      <c r="X2321">
        <v>0</v>
      </c>
      <c r="Y2321">
        <v>2</v>
      </c>
      <c r="Z2321">
        <v>2</v>
      </c>
      <c r="AA2321">
        <v>10</v>
      </c>
      <c r="AB2321">
        <v>1500</v>
      </c>
      <c r="AC2321">
        <v>1404</v>
      </c>
      <c r="AD2321">
        <v>1404</v>
      </c>
      <c r="AE2321">
        <v>0</v>
      </c>
      <c r="AF2321">
        <v>0</v>
      </c>
      <c r="AG2321">
        <v>0</v>
      </c>
      <c r="AH2321">
        <v>0</v>
      </c>
      <c r="AI2321">
        <v>400</v>
      </c>
      <c r="AJ2321">
        <v>0</v>
      </c>
      <c r="AK2321">
        <v>0</v>
      </c>
      <c r="AL2321">
        <v>0</v>
      </c>
      <c r="AM2321">
        <v>0</v>
      </c>
      <c r="AN2321">
        <v>78</v>
      </c>
      <c r="AO2321">
        <v>0</v>
      </c>
      <c r="AP2321">
        <v>8</v>
      </c>
      <c r="AQ2321">
        <v>0</v>
      </c>
      <c r="AR2321">
        <v>0</v>
      </c>
      <c r="AS2321" t="s">
        <v>58</v>
      </c>
      <c r="AT2321">
        <v>1</v>
      </c>
      <c r="AU2321" t="s">
        <v>59</v>
      </c>
      <c r="AV2321" t="s">
        <v>64</v>
      </c>
      <c r="AW2321">
        <v>1</v>
      </c>
      <c r="AX2321">
        <v>3</v>
      </c>
      <c r="AY2321">
        <v>0</v>
      </c>
      <c r="AZ2321">
        <v>0</v>
      </c>
      <c r="BA2321">
        <v>100</v>
      </c>
      <c r="BB2321">
        <v>100</v>
      </c>
      <c r="BC2321">
        <v>100</v>
      </c>
      <c r="BD2321">
        <v>100</v>
      </c>
      <c r="BE2321">
        <v>1</v>
      </c>
      <c r="BF2321">
        <v>15000</v>
      </c>
      <c r="BG2321">
        <v>1000</v>
      </c>
      <c r="BH2321" s="6">
        <f>Grandview_Inventory[[#This Row],[land_extract]]*Lookups!$B$3</f>
        <v>47528.228511015397</v>
      </c>
      <c r="BI2321" s="6">
        <f>IF(Grandview_Inventory[[#This Row],[bldg_style]]="",0,Lookups!$B$2)</f>
        <v>155833.95000000001</v>
      </c>
      <c r="BJ2321" s="6">
        <f>_xlfn.IFNA(VLOOKUP(Grandview_Inventory[[#This Row],[quality]],Lookups!$H$2:$J$14,3,FALSE),0)</f>
        <v>9808</v>
      </c>
      <c r="BK2321" s="6">
        <f>_xlfn.IFNA(VLOOKUP(Grandview_Inventory[[#This Row],[condition]],Lookups!$H$17:$J$24,3,FALSE),0)</f>
        <v>25780</v>
      </c>
      <c r="BL2321" s="6">
        <f>Grandview_Inventory[[#This Row],[Eff_Age]]*Lookups!$B$14</f>
        <v>-478.33319999999998</v>
      </c>
      <c r="BM2321" s="6">
        <f>Grandview_Inventory[[#This Row],[living_area]]*Lookups!$B$15</f>
        <v>87582.717612000008</v>
      </c>
      <c r="BN2321" s="6">
        <f>Grandview_Inventory[[#This Row],[Fin BSMT]]*Lookups!$B$16</f>
        <v>0</v>
      </c>
      <c r="BO2321" s="6">
        <f>(Grandview_Inventory[[#This Row],[att_gar]]+Grandview_Inventory[[#This Row],[bltin_gar]])*Lookups!$B$17</f>
        <v>35008.174800000001</v>
      </c>
      <c r="BP2321" s="6">
        <f>Grandview_Inventory[[#This Row],[Plumbing Fixtures]]*Lookups!$B$18</f>
        <v>16083.5344</v>
      </c>
      <c r="BQ2321" s="6">
        <f>Grandview_Inventory[[#This Row],[detatched_value]]*Lookups!$B$19</f>
        <v>0</v>
      </c>
      <c r="BR2321" s="6">
        <f>SUM(Grandview_Inventory[[#This Row],[Intercept]:[det_value]])*Grandview_Inventory[[#This Row],[res_pct]]</f>
        <v>329618.04361200001</v>
      </c>
      <c r="BS2321" s="6">
        <f>Grandview_Inventory[[#This Row],[land_value]]</f>
        <v>47528.228511015397</v>
      </c>
      <c r="BT2321" s="4">
        <f>_xlfn.IFNA(VLOOKUP(Grandview_Inventory[[#This Row],[quality]],Lookups!$A$26:$C$33,3,FALSE),1)</f>
        <v>0.94295468617355149</v>
      </c>
      <c r="BU2321" s="4">
        <f>_xlfn.IFNA(VLOOKUP(Grandview_Inventory[[#This Row],[condition]],Lookups!$A$37:$C$44,3,FALSE),1)</f>
        <v>0.94347925387812148</v>
      </c>
      <c r="BV2321" s="4">
        <f>IF(Grandview_Inventory[[#This Row],[bldg_style]]="",1,_xlfn.IFNA(VLOOKUP(Grandview_Inventory[[#This Row],[decade]],Lookups!$F$29:$H$43,3,FALSE),1))</f>
        <v>0.94601966599150278</v>
      </c>
      <c r="BW2321" s="4">
        <f>_xlfn.IFNA(VLOOKUP(Grandview_Inventory[[#This Row],[living_area_range]],Lookups!$F$47:$H$56,3,FALSE),1)</f>
        <v>0.96135087979789358</v>
      </c>
      <c r="BX2321" s="4">
        <f>AVERAGE(Grandview_Inventory[[#This Row],[qual_adj]:[size_adj]])</f>
        <v>0.94845112146026733</v>
      </c>
      <c r="BY2321" s="6">
        <f>IF(Grandview_Inventory[[#This Row],[pre_res]]&lt;0,0,Grandview_Inventory[[#This Row],[pre_res]]*Grandview_Inventory[[#This Row],[overall_adj]])</f>
        <v>312626.60311734071</v>
      </c>
      <c r="BZ2321" s="6">
        <f>(Grandview_Inventory[[#This Row],[sum_land]]-IF(Grandview_Inventory[[#This Row],[no_utilities]]=1,12000,0))/IF(Grandview_Inventory[[#This Row],[unbuildable]]=1,2,1)</f>
        <v>47528.228511015397</v>
      </c>
      <c r="CA23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21">
        <f>ROUND(Grandview_Inventory[[#This Row],[det_value]]*Lookups!$M$28,-2)</f>
        <v>0</v>
      </c>
      <c r="CC2321">
        <f>IF(ROUND(Grandview_Inventory[[#This Row],[adj_res]]*Lookups!$M$28,-2)&lt;Grandview_Inventory[[#This Row],[min_res]],Grandview_Inventory[[#This Row],[min_res]],ROUND(Grandview_Inventory[[#This Row],[adj_res]]*Lookups!$M$28,-2))</f>
        <v>297000</v>
      </c>
      <c r="CD2321">
        <f>Grandview_Inventory[[#This Row],[final_det]]+Grandview_Inventory[[#This Row],[final_res]]</f>
        <v>297000</v>
      </c>
      <c r="CE2321">
        <f>Grandview_Inventory[[#This Row],[final_land]]+Grandview_Inventory[[#This Row],[final_imp]]+Grandview_Inventory[[#This Row],[crop_value]]</f>
        <v>342200</v>
      </c>
      <c r="CG2321" t="str">
        <f t="shared" si="36"/>
        <v>update valuation set market_land =45200, market_bldg=297000, market_total =342200, market_mdno =401, market_date ='9/10/2023' where link_id = (select link_id from parcel where parcel_year = '2024' and parcel_id = '23092621429');</v>
      </c>
    </row>
    <row r="2322" spans="1:85" x14ac:dyDescent="0.25">
      <c r="A2322">
        <v>23092621430</v>
      </c>
      <c r="B2322" t="s">
        <v>129</v>
      </c>
      <c r="C2322">
        <v>10255</v>
      </c>
      <c r="D2322" t="s">
        <v>129</v>
      </c>
      <c r="E2322" t="s">
        <v>53</v>
      </c>
      <c r="F2322" t="s">
        <v>53</v>
      </c>
      <c r="G2322">
        <v>4</v>
      </c>
      <c r="H2322" t="s">
        <v>54</v>
      </c>
      <c r="I2322">
        <v>328400</v>
      </c>
      <c r="J2322">
        <v>39700</v>
      </c>
      <c r="K2322">
        <v>0.24</v>
      </c>
      <c r="L2322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322">
        <v>0</v>
      </c>
      <c r="N2322">
        <v>0</v>
      </c>
      <c r="O2322">
        <v>0</v>
      </c>
      <c r="P2322">
        <v>13398.7528</v>
      </c>
      <c r="Q2322">
        <v>63903</v>
      </c>
      <c r="R2322">
        <f>(Grandview_Inventory[[#This Row],[ln_acres]]*Grandview_Inventory[[#This Row],[coeff]])+Grandview_Inventory[[#This Row],[const]]</f>
        <v>44781.420733940802</v>
      </c>
      <c r="S2322" t="s">
        <v>58</v>
      </c>
      <c r="T2322">
        <v>2</v>
      </c>
      <c r="U2322" t="s">
        <v>62</v>
      </c>
      <c r="V2322" t="s">
        <v>57</v>
      </c>
      <c r="W2322">
        <v>0</v>
      </c>
      <c r="X2322">
        <v>0</v>
      </c>
      <c r="Y2322">
        <v>2</v>
      </c>
      <c r="Z2322">
        <v>2</v>
      </c>
      <c r="AA2322">
        <v>10</v>
      </c>
      <c r="AB2322">
        <v>2500</v>
      </c>
      <c r="AC2322">
        <v>2435</v>
      </c>
      <c r="AD2322">
        <v>1161</v>
      </c>
      <c r="AE2322">
        <v>1274</v>
      </c>
      <c r="AF2322">
        <v>0</v>
      </c>
      <c r="AG2322">
        <v>0</v>
      </c>
      <c r="AH2322">
        <v>0</v>
      </c>
      <c r="AI2322">
        <v>0</v>
      </c>
      <c r="AJ2322">
        <v>787</v>
      </c>
      <c r="AK2322">
        <v>0</v>
      </c>
      <c r="AL2322">
        <v>0</v>
      </c>
      <c r="AM2322">
        <v>182</v>
      </c>
      <c r="AN2322">
        <v>198</v>
      </c>
      <c r="AO2322">
        <v>0</v>
      </c>
      <c r="AP2322">
        <v>12</v>
      </c>
      <c r="AQ2322">
        <v>0</v>
      </c>
      <c r="AR2322">
        <v>0</v>
      </c>
      <c r="AS2322" t="s">
        <v>58</v>
      </c>
      <c r="AT2322">
        <v>1</v>
      </c>
      <c r="AU2322" t="s">
        <v>63</v>
      </c>
      <c r="AV2322" t="s">
        <v>64</v>
      </c>
      <c r="AW2322">
        <v>1</v>
      </c>
      <c r="AX2322">
        <v>4</v>
      </c>
      <c r="AY2322">
        <v>0</v>
      </c>
      <c r="AZ2322">
        <v>43600</v>
      </c>
      <c r="BA2322">
        <v>100</v>
      </c>
      <c r="BB2322">
        <v>100</v>
      </c>
      <c r="BC2322">
        <v>100</v>
      </c>
      <c r="BD2322">
        <v>100</v>
      </c>
      <c r="BE2322">
        <v>1</v>
      </c>
      <c r="BF2322">
        <v>15000</v>
      </c>
      <c r="BG2322">
        <v>1000</v>
      </c>
      <c r="BH2322" s="6">
        <f>Grandview_Inventory[[#This Row],[land_extract]]*Lookups!$B$3</f>
        <v>52004.542988489469</v>
      </c>
      <c r="BI2322" s="6">
        <f>IF(Grandview_Inventory[[#This Row],[bldg_style]]="",0,Lookups!$B$2)</f>
        <v>155833.95000000001</v>
      </c>
      <c r="BJ2322" s="6">
        <f>_xlfn.IFNA(VLOOKUP(Grandview_Inventory[[#This Row],[quality]],Lookups!$H$2:$J$14,3,FALSE),0)</f>
        <v>9808</v>
      </c>
      <c r="BK2322" s="6">
        <f>_xlfn.IFNA(VLOOKUP(Grandview_Inventory[[#This Row],[condition]],Lookups!$H$17:$J$24,3,FALSE),0)</f>
        <v>25780</v>
      </c>
      <c r="BL2322" s="6">
        <f>Grandview_Inventory[[#This Row],[Eff_Age]]*Lookups!$B$14</f>
        <v>-478.33319999999998</v>
      </c>
      <c r="BM2322" s="6">
        <f>Grandview_Inventory[[#This Row],[living_area]]*Lookups!$B$15</f>
        <v>151897.37705500002</v>
      </c>
      <c r="BN2322" s="6">
        <f>Grandview_Inventory[[#This Row],[Fin BSMT]]*Lookups!$B$16</f>
        <v>0</v>
      </c>
      <c r="BO2322" s="6">
        <f>(Grandview_Inventory[[#This Row],[att_gar]]+Grandview_Inventory[[#This Row],[bltin_gar]])*Lookups!$B$17</f>
        <v>68878.583918999997</v>
      </c>
      <c r="BP2322" s="6">
        <f>Grandview_Inventory[[#This Row],[Plumbing Fixtures]]*Lookups!$B$18</f>
        <v>24125.301599999999</v>
      </c>
      <c r="BQ2322" s="6">
        <f>Grandview_Inventory[[#This Row],[detatched_value]]*Lookups!$B$19</f>
        <v>36920.702359999996</v>
      </c>
      <c r="BR2322" s="6">
        <f>SUM(Grandview_Inventory[[#This Row],[Intercept]:[det_value]])*Grandview_Inventory[[#This Row],[res_pct]]</f>
        <v>472765.58173400001</v>
      </c>
      <c r="BS2322" s="6">
        <f>Grandview_Inventory[[#This Row],[land_value]]</f>
        <v>52004.542988489469</v>
      </c>
      <c r="BT2322" s="4">
        <f>_xlfn.IFNA(VLOOKUP(Grandview_Inventory[[#This Row],[quality]],Lookups!$A$26:$C$33,3,FALSE),1)</f>
        <v>0.94295468617355149</v>
      </c>
      <c r="BU2322" s="4">
        <f>_xlfn.IFNA(VLOOKUP(Grandview_Inventory[[#This Row],[condition]],Lookups!$A$37:$C$44,3,FALSE),1)</f>
        <v>0.94347925387812148</v>
      </c>
      <c r="BV2322" s="4">
        <f>IF(Grandview_Inventory[[#This Row],[bldg_style]]="",1,_xlfn.IFNA(VLOOKUP(Grandview_Inventory[[#This Row],[decade]],Lookups!$F$29:$H$43,3,FALSE),1))</f>
        <v>0.94601966599150278</v>
      </c>
      <c r="BW2322" s="4">
        <f>_xlfn.IFNA(VLOOKUP(Grandview_Inventory[[#This Row],[living_area_range]],Lookups!$F$47:$H$56,3,FALSE),1)</f>
        <v>0.95799442568048754</v>
      </c>
      <c r="BX2322" s="4">
        <f>AVERAGE(Grandview_Inventory[[#This Row],[qual_adj]:[size_adj]])</f>
        <v>0.94761200793091582</v>
      </c>
      <c r="BY2322" s="6">
        <f>IF(Grandview_Inventory[[#This Row],[pre_res]]&lt;0,0,Grandview_Inventory[[#This Row],[pre_res]]*Grandview_Inventory[[#This Row],[overall_adj]])</f>
        <v>447998.34218758327</v>
      </c>
      <c r="BZ2322" s="6">
        <f>(Grandview_Inventory[[#This Row],[sum_land]]-IF(Grandview_Inventory[[#This Row],[no_utilities]]=1,12000,0))/IF(Grandview_Inventory[[#This Row],[unbuildable]]=1,2,1)</f>
        <v>52004.542988489469</v>
      </c>
      <c r="CA2322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322">
        <f>ROUND(Grandview_Inventory[[#This Row],[det_value]]*Lookups!$M$28,-2)</f>
        <v>35100</v>
      </c>
      <c r="CC2322">
        <f>IF(ROUND(Grandview_Inventory[[#This Row],[adj_res]]*Lookups!$M$28,-2)&lt;Grandview_Inventory[[#This Row],[min_res]],Grandview_Inventory[[#This Row],[min_res]],ROUND(Grandview_Inventory[[#This Row],[adj_res]]*Lookups!$M$28,-2))</f>
        <v>425600</v>
      </c>
      <c r="CD2322">
        <f>Grandview_Inventory[[#This Row],[final_det]]+Grandview_Inventory[[#This Row],[final_res]]</f>
        <v>460700</v>
      </c>
      <c r="CE2322">
        <f>Grandview_Inventory[[#This Row],[final_land]]+Grandview_Inventory[[#This Row],[final_imp]]+Grandview_Inventory[[#This Row],[crop_value]]</f>
        <v>510100</v>
      </c>
      <c r="CG2322" t="str">
        <f t="shared" si="36"/>
        <v>update valuation set market_land =49400, market_bldg=460700, market_total =510100, market_mdno =401, market_date ='9/10/2023' where link_id = (select link_id from parcel where parcel_year = '2024' and parcel_id = '23092621430');</v>
      </c>
    </row>
    <row r="2323" spans="1:85" x14ac:dyDescent="0.25">
      <c r="A2323">
        <v>23092621431</v>
      </c>
      <c r="B2323" t="s">
        <v>129</v>
      </c>
      <c r="C2323">
        <v>9900</v>
      </c>
      <c r="D2323" t="s">
        <v>129</v>
      </c>
      <c r="E2323" t="s">
        <v>53</v>
      </c>
      <c r="F2323" t="s">
        <v>53</v>
      </c>
      <c r="G2323">
        <v>4</v>
      </c>
      <c r="H2323" t="s">
        <v>54</v>
      </c>
      <c r="I2323">
        <v>328400</v>
      </c>
      <c r="J2323">
        <v>39500</v>
      </c>
      <c r="K2323">
        <v>0.23</v>
      </c>
      <c r="L232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3">
        <v>0</v>
      </c>
      <c r="N2323">
        <v>0</v>
      </c>
      <c r="O2323">
        <v>0</v>
      </c>
      <c r="P2323">
        <v>13398.7528</v>
      </c>
      <c r="Q2323">
        <v>63903</v>
      </c>
      <c r="R2323">
        <f>(Grandview_Inventory[[#This Row],[ln_acres]]*Grandview_Inventory[[#This Row],[coeff]])+Grandview_Inventory[[#This Row],[const]]</f>
        <v>44211.174981080039</v>
      </c>
      <c r="S2323" t="s">
        <v>58</v>
      </c>
      <c r="T2323">
        <v>2</v>
      </c>
      <c r="U2323" t="s">
        <v>62</v>
      </c>
      <c r="V2323" t="s">
        <v>57</v>
      </c>
      <c r="W2323">
        <v>0</v>
      </c>
      <c r="X2323">
        <v>0</v>
      </c>
      <c r="Y2323">
        <v>2</v>
      </c>
      <c r="Z2323">
        <v>2</v>
      </c>
      <c r="AA2323">
        <v>10</v>
      </c>
      <c r="AB2323">
        <v>2500</v>
      </c>
      <c r="AC2323">
        <v>2435</v>
      </c>
      <c r="AD2323">
        <v>1161</v>
      </c>
      <c r="AE2323">
        <v>1274</v>
      </c>
      <c r="AF2323">
        <v>0</v>
      </c>
      <c r="AG2323">
        <v>0</v>
      </c>
      <c r="AH2323">
        <v>0</v>
      </c>
      <c r="AI2323">
        <v>787</v>
      </c>
      <c r="AJ2323">
        <v>0</v>
      </c>
      <c r="AK2323">
        <v>0</v>
      </c>
      <c r="AL2323">
        <v>0</v>
      </c>
      <c r="AM2323">
        <v>182</v>
      </c>
      <c r="AN2323">
        <v>198</v>
      </c>
      <c r="AO2323">
        <v>0</v>
      </c>
      <c r="AP2323">
        <v>12</v>
      </c>
      <c r="AQ2323">
        <v>0</v>
      </c>
      <c r="AR2323">
        <v>0</v>
      </c>
      <c r="AS2323" t="s">
        <v>58</v>
      </c>
      <c r="AT2323">
        <v>1</v>
      </c>
      <c r="AU2323" t="s">
        <v>63</v>
      </c>
      <c r="AV2323" t="s">
        <v>64</v>
      </c>
      <c r="AW2323">
        <v>1</v>
      </c>
      <c r="AX2323">
        <v>4</v>
      </c>
      <c r="AY2323">
        <v>0</v>
      </c>
      <c r="AZ2323">
        <v>0</v>
      </c>
      <c r="BA2323">
        <v>100</v>
      </c>
      <c r="BB2323">
        <v>100</v>
      </c>
      <c r="BC2323">
        <v>100</v>
      </c>
      <c r="BD2323">
        <v>100</v>
      </c>
      <c r="BE2323">
        <v>1</v>
      </c>
      <c r="BF2323">
        <v>15000</v>
      </c>
      <c r="BG2323">
        <v>1000</v>
      </c>
      <c r="BH2323" s="6">
        <f>Grandview_Inventory[[#This Row],[land_extract]]*Lookups!$B$3</f>
        <v>51342.318135355803</v>
      </c>
      <c r="BI2323" s="6">
        <f>IF(Grandview_Inventory[[#This Row],[bldg_style]]="",0,Lookups!$B$2)</f>
        <v>155833.95000000001</v>
      </c>
      <c r="BJ2323" s="6">
        <f>_xlfn.IFNA(VLOOKUP(Grandview_Inventory[[#This Row],[quality]],Lookups!$H$2:$J$14,3,FALSE),0)</f>
        <v>9808</v>
      </c>
      <c r="BK2323" s="6">
        <f>_xlfn.IFNA(VLOOKUP(Grandview_Inventory[[#This Row],[condition]],Lookups!$H$17:$J$24,3,FALSE),0)</f>
        <v>25780</v>
      </c>
      <c r="BL2323" s="6">
        <f>Grandview_Inventory[[#This Row],[Eff_Age]]*Lookups!$B$14</f>
        <v>-478.33319999999998</v>
      </c>
      <c r="BM2323" s="6">
        <f>Grandview_Inventory[[#This Row],[living_area]]*Lookups!$B$15</f>
        <v>151897.37705500002</v>
      </c>
      <c r="BN2323" s="6">
        <f>Grandview_Inventory[[#This Row],[Fin BSMT]]*Lookups!$B$16</f>
        <v>0</v>
      </c>
      <c r="BO2323" s="6">
        <f>(Grandview_Inventory[[#This Row],[att_gar]]+Grandview_Inventory[[#This Row],[bltin_gar]])*Lookups!$B$17</f>
        <v>68878.583918999997</v>
      </c>
      <c r="BP2323" s="6">
        <f>Grandview_Inventory[[#This Row],[Plumbing Fixtures]]*Lookups!$B$18</f>
        <v>24125.301599999999</v>
      </c>
      <c r="BQ2323" s="6">
        <f>Grandview_Inventory[[#This Row],[detatched_value]]*Lookups!$B$19</f>
        <v>0</v>
      </c>
      <c r="BR2323" s="6">
        <f>SUM(Grandview_Inventory[[#This Row],[Intercept]:[det_value]])*Grandview_Inventory[[#This Row],[res_pct]]</f>
        <v>435844.87937400001</v>
      </c>
      <c r="BS2323" s="6">
        <f>Grandview_Inventory[[#This Row],[land_value]]</f>
        <v>51342.318135355803</v>
      </c>
      <c r="BT2323" s="4">
        <f>_xlfn.IFNA(VLOOKUP(Grandview_Inventory[[#This Row],[quality]],Lookups!$A$26:$C$33,3,FALSE),1)</f>
        <v>0.94295468617355149</v>
      </c>
      <c r="BU2323" s="4">
        <f>_xlfn.IFNA(VLOOKUP(Grandview_Inventory[[#This Row],[condition]],Lookups!$A$37:$C$44,3,FALSE),1)</f>
        <v>0.94347925387812148</v>
      </c>
      <c r="BV2323" s="4">
        <f>IF(Grandview_Inventory[[#This Row],[bldg_style]]="",1,_xlfn.IFNA(VLOOKUP(Grandview_Inventory[[#This Row],[decade]],Lookups!$F$29:$H$43,3,FALSE),1))</f>
        <v>0.94601966599150278</v>
      </c>
      <c r="BW2323" s="4">
        <f>_xlfn.IFNA(VLOOKUP(Grandview_Inventory[[#This Row],[living_area_range]],Lookups!$F$47:$H$56,3,FALSE),1)</f>
        <v>0.95799442568048754</v>
      </c>
      <c r="BX2323" s="4">
        <f>AVERAGE(Grandview_Inventory[[#This Row],[qual_adj]:[size_adj]])</f>
        <v>0.94761200793091582</v>
      </c>
      <c r="BY2323" s="6">
        <f>IF(Grandview_Inventory[[#This Row],[pre_res]]&lt;0,0,Grandview_Inventory[[#This Row],[pre_res]]*Grandview_Inventory[[#This Row],[overall_adj]])</f>
        <v>413011.84129000397</v>
      </c>
      <c r="BZ2323" s="6">
        <f>(Grandview_Inventory[[#This Row],[sum_land]]-IF(Grandview_Inventory[[#This Row],[no_utilities]]=1,12000,0))/IF(Grandview_Inventory[[#This Row],[unbuildable]]=1,2,1)</f>
        <v>51342.318135355803</v>
      </c>
      <c r="CA232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3">
        <f>ROUND(Grandview_Inventory[[#This Row],[det_value]]*Lookups!$M$28,-2)</f>
        <v>0</v>
      </c>
      <c r="CC2323">
        <f>IF(ROUND(Grandview_Inventory[[#This Row],[adj_res]]*Lookups!$M$28,-2)&lt;Grandview_Inventory[[#This Row],[min_res]],Grandview_Inventory[[#This Row],[min_res]],ROUND(Grandview_Inventory[[#This Row],[adj_res]]*Lookups!$M$28,-2))</f>
        <v>392400</v>
      </c>
      <c r="CD2323">
        <f>Grandview_Inventory[[#This Row],[final_det]]+Grandview_Inventory[[#This Row],[final_res]]</f>
        <v>392400</v>
      </c>
      <c r="CE2323">
        <f>Grandview_Inventory[[#This Row],[final_land]]+Grandview_Inventory[[#This Row],[final_imp]]+Grandview_Inventory[[#This Row],[crop_value]]</f>
        <v>441200</v>
      </c>
      <c r="CG2323" t="str">
        <f t="shared" si="36"/>
        <v>update valuation set market_land =48800, market_bldg=392400, market_total =441200, market_mdno =401, market_date ='9/10/2023' where link_id = (select link_id from parcel where parcel_year = '2024' and parcel_id = '23092621431');</v>
      </c>
    </row>
    <row r="2324" spans="1:85" x14ac:dyDescent="0.25">
      <c r="A2324">
        <v>23092621432</v>
      </c>
      <c r="B2324" t="s">
        <v>129</v>
      </c>
      <c r="C2324">
        <v>9900</v>
      </c>
      <c r="D2324" t="s">
        <v>129</v>
      </c>
      <c r="E2324" t="s">
        <v>53</v>
      </c>
      <c r="F2324" t="s">
        <v>53</v>
      </c>
      <c r="G2324">
        <v>4</v>
      </c>
      <c r="H2324" t="s">
        <v>54</v>
      </c>
      <c r="I2324">
        <v>296400</v>
      </c>
      <c r="J2324">
        <v>39500</v>
      </c>
      <c r="K2324">
        <v>0.23</v>
      </c>
      <c r="L232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4">
        <v>0</v>
      </c>
      <c r="N2324">
        <v>0</v>
      </c>
      <c r="O2324">
        <v>0</v>
      </c>
      <c r="P2324">
        <v>13398.7528</v>
      </c>
      <c r="Q2324">
        <v>63903</v>
      </c>
      <c r="R2324">
        <f>(Grandview_Inventory[[#This Row],[ln_acres]]*Grandview_Inventory[[#This Row],[coeff]])+Grandview_Inventory[[#This Row],[const]]</f>
        <v>44211.174981080039</v>
      </c>
      <c r="S2324" t="s">
        <v>61</v>
      </c>
      <c r="T2324">
        <v>1</v>
      </c>
      <c r="U2324" t="s">
        <v>62</v>
      </c>
      <c r="V2324" t="s">
        <v>57</v>
      </c>
      <c r="W2324">
        <v>0</v>
      </c>
      <c r="X2324">
        <v>0</v>
      </c>
      <c r="Y2324">
        <v>2</v>
      </c>
      <c r="Z2324">
        <v>2</v>
      </c>
      <c r="AA2324">
        <v>10</v>
      </c>
      <c r="AB2324">
        <v>2500</v>
      </c>
      <c r="AC2324">
        <v>2040</v>
      </c>
      <c r="AD2324">
        <v>2040</v>
      </c>
      <c r="AE2324">
        <v>0</v>
      </c>
      <c r="AF2324">
        <v>0</v>
      </c>
      <c r="AG2324">
        <v>0</v>
      </c>
      <c r="AH2324">
        <v>0</v>
      </c>
      <c r="AI2324">
        <v>664</v>
      </c>
      <c r="AJ2324">
        <v>0</v>
      </c>
      <c r="AK2324">
        <v>0</v>
      </c>
      <c r="AL2324">
        <v>0</v>
      </c>
      <c r="AM2324">
        <v>0</v>
      </c>
      <c r="AN2324">
        <v>246</v>
      </c>
      <c r="AO2324">
        <v>0</v>
      </c>
      <c r="AP2324">
        <v>10</v>
      </c>
      <c r="AQ2324">
        <v>0</v>
      </c>
      <c r="AR2324">
        <v>0</v>
      </c>
      <c r="AS2324" t="s">
        <v>58</v>
      </c>
      <c r="AT2324">
        <v>1</v>
      </c>
      <c r="AU2324" t="s">
        <v>63</v>
      </c>
      <c r="AV2324" t="s">
        <v>64</v>
      </c>
      <c r="AW2324">
        <v>1</v>
      </c>
      <c r="AX2324">
        <v>3</v>
      </c>
      <c r="AY2324">
        <v>0</v>
      </c>
      <c r="AZ2324">
        <v>0</v>
      </c>
      <c r="BA2324">
        <v>100</v>
      </c>
      <c r="BB2324">
        <v>100</v>
      </c>
      <c r="BC2324">
        <v>100</v>
      </c>
      <c r="BD2324">
        <v>100</v>
      </c>
      <c r="BE2324">
        <v>1</v>
      </c>
      <c r="BF2324">
        <v>15000</v>
      </c>
      <c r="BG2324">
        <v>1000</v>
      </c>
      <c r="BH2324" s="6">
        <f>Grandview_Inventory[[#This Row],[land_extract]]*Lookups!$B$3</f>
        <v>51342.318135355803</v>
      </c>
      <c r="BI2324" s="6">
        <f>IF(Grandview_Inventory[[#This Row],[bldg_style]]="",0,Lookups!$B$2)</f>
        <v>155833.95000000001</v>
      </c>
      <c r="BJ2324" s="6">
        <f>_xlfn.IFNA(VLOOKUP(Grandview_Inventory[[#This Row],[quality]],Lookups!$H$2:$J$14,3,FALSE),0)</f>
        <v>9808</v>
      </c>
      <c r="BK2324" s="6">
        <f>_xlfn.IFNA(VLOOKUP(Grandview_Inventory[[#This Row],[condition]],Lookups!$H$17:$J$24,3,FALSE),0)</f>
        <v>25780</v>
      </c>
      <c r="BL2324" s="6">
        <f>Grandview_Inventory[[#This Row],[Eff_Age]]*Lookups!$B$14</f>
        <v>-478.33319999999998</v>
      </c>
      <c r="BM2324" s="6">
        <f>Grandview_Inventory[[#This Row],[living_area]]*Lookups!$B$15</f>
        <v>127256.94012</v>
      </c>
      <c r="BN2324" s="6">
        <f>Grandview_Inventory[[#This Row],[Fin BSMT]]*Lookups!$B$16</f>
        <v>0</v>
      </c>
      <c r="BO2324" s="6">
        <f>(Grandview_Inventory[[#This Row],[att_gar]]+Grandview_Inventory[[#This Row],[bltin_gar]])*Lookups!$B$17</f>
        <v>58113.570167999998</v>
      </c>
      <c r="BP2324" s="6">
        <f>Grandview_Inventory[[#This Row],[Plumbing Fixtures]]*Lookups!$B$18</f>
        <v>20104.418000000001</v>
      </c>
      <c r="BQ2324" s="6">
        <f>Grandview_Inventory[[#This Row],[detatched_value]]*Lookups!$B$19</f>
        <v>0</v>
      </c>
      <c r="BR2324" s="6">
        <f>SUM(Grandview_Inventory[[#This Row],[Intercept]:[det_value]])*Grandview_Inventory[[#This Row],[res_pct]]</f>
        <v>396418.54508800001</v>
      </c>
      <c r="BS2324" s="6">
        <f>Grandview_Inventory[[#This Row],[land_value]]</f>
        <v>51342.318135355803</v>
      </c>
      <c r="BT2324" s="4">
        <f>_xlfn.IFNA(VLOOKUP(Grandview_Inventory[[#This Row],[quality]],Lookups!$A$26:$C$33,3,FALSE),1)</f>
        <v>0.94295468617355149</v>
      </c>
      <c r="BU2324" s="4">
        <f>_xlfn.IFNA(VLOOKUP(Grandview_Inventory[[#This Row],[condition]],Lookups!$A$37:$C$44,3,FALSE),1)</f>
        <v>0.94347925387812148</v>
      </c>
      <c r="BV2324" s="4">
        <f>IF(Grandview_Inventory[[#This Row],[bldg_style]]="",1,_xlfn.IFNA(VLOOKUP(Grandview_Inventory[[#This Row],[decade]],Lookups!$F$29:$H$43,3,FALSE),1))</f>
        <v>0.94601966599150278</v>
      </c>
      <c r="BW2324" s="4">
        <f>_xlfn.IFNA(VLOOKUP(Grandview_Inventory[[#This Row],[living_area_range]],Lookups!$F$47:$H$56,3,FALSE),1)</f>
        <v>0.95799442568048754</v>
      </c>
      <c r="BX2324" s="4">
        <f>AVERAGE(Grandview_Inventory[[#This Row],[qual_adj]:[size_adj]])</f>
        <v>0.94761200793091582</v>
      </c>
      <c r="BY2324" s="6">
        <f>IF(Grandview_Inventory[[#This Row],[pre_res]]&lt;0,0,Grandview_Inventory[[#This Row],[pre_res]]*Grandview_Inventory[[#This Row],[overall_adj]])</f>
        <v>375650.97349189199</v>
      </c>
      <c r="BZ2324" s="6">
        <f>(Grandview_Inventory[[#This Row],[sum_land]]-IF(Grandview_Inventory[[#This Row],[no_utilities]]=1,12000,0))/IF(Grandview_Inventory[[#This Row],[unbuildable]]=1,2,1)</f>
        <v>51342.318135355803</v>
      </c>
      <c r="CA232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4">
        <f>ROUND(Grandview_Inventory[[#This Row],[det_value]]*Lookups!$M$28,-2)</f>
        <v>0</v>
      </c>
      <c r="CC2324">
        <f>IF(ROUND(Grandview_Inventory[[#This Row],[adj_res]]*Lookups!$M$28,-2)&lt;Grandview_Inventory[[#This Row],[min_res]],Grandview_Inventory[[#This Row],[min_res]],ROUND(Grandview_Inventory[[#This Row],[adj_res]]*Lookups!$M$28,-2))</f>
        <v>356900</v>
      </c>
      <c r="CD2324">
        <f>Grandview_Inventory[[#This Row],[final_det]]+Grandview_Inventory[[#This Row],[final_res]]</f>
        <v>356900</v>
      </c>
      <c r="CE2324">
        <f>Grandview_Inventory[[#This Row],[final_land]]+Grandview_Inventory[[#This Row],[final_imp]]+Grandview_Inventory[[#This Row],[crop_value]]</f>
        <v>405700</v>
      </c>
      <c r="CG2324" t="str">
        <f t="shared" si="36"/>
        <v>update valuation set market_land =48800, market_bldg=356900, market_total =405700, market_mdno =401, market_date ='9/10/2023' where link_id = (select link_id from parcel where parcel_year = '2024' and parcel_id = '23092621432');</v>
      </c>
    </row>
    <row r="2325" spans="1:85" x14ac:dyDescent="0.25">
      <c r="A2325">
        <v>23092621433</v>
      </c>
      <c r="B2325" t="s">
        <v>129</v>
      </c>
      <c r="C2325">
        <v>9900</v>
      </c>
      <c r="D2325" t="s">
        <v>129</v>
      </c>
      <c r="E2325" t="s">
        <v>53</v>
      </c>
      <c r="F2325" t="s">
        <v>53</v>
      </c>
      <c r="G2325">
        <v>4</v>
      </c>
      <c r="H2325" t="s">
        <v>54</v>
      </c>
      <c r="I2325">
        <v>347000</v>
      </c>
      <c r="J2325">
        <v>43800</v>
      </c>
      <c r="K2325">
        <v>0.23</v>
      </c>
      <c r="L232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5">
        <v>0</v>
      </c>
      <c r="N2325">
        <v>0</v>
      </c>
      <c r="O2325">
        <v>0</v>
      </c>
      <c r="P2325">
        <v>13398.7528</v>
      </c>
      <c r="Q2325">
        <v>63903</v>
      </c>
      <c r="R2325">
        <f>(Grandview_Inventory[[#This Row],[ln_acres]]*Grandview_Inventory[[#This Row],[coeff]])+Grandview_Inventory[[#This Row],[const]]</f>
        <v>44211.174981080039</v>
      </c>
      <c r="S2325" t="s">
        <v>55</v>
      </c>
      <c r="T2325">
        <v>2</v>
      </c>
      <c r="U2325" t="s">
        <v>64</v>
      </c>
      <c r="V2325" t="s">
        <v>57</v>
      </c>
      <c r="W2325">
        <v>0</v>
      </c>
      <c r="X2325">
        <v>0</v>
      </c>
      <c r="Y2325">
        <v>1</v>
      </c>
      <c r="Z2325">
        <v>1</v>
      </c>
      <c r="AA2325">
        <v>10</v>
      </c>
      <c r="AB2325">
        <v>2500</v>
      </c>
      <c r="AC2325">
        <v>2397</v>
      </c>
      <c r="AD2325">
        <v>2100</v>
      </c>
      <c r="AE2325">
        <v>297</v>
      </c>
      <c r="AF2325">
        <v>0</v>
      </c>
      <c r="AG2325">
        <v>0</v>
      </c>
      <c r="AH2325">
        <v>0</v>
      </c>
      <c r="AI2325">
        <v>768</v>
      </c>
      <c r="AJ2325">
        <v>0</v>
      </c>
      <c r="AK2325">
        <v>0</v>
      </c>
      <c r="AL2325">
        <v>0</v>
      </c>
      <c r="AM2325">
        <v>0</v>
      </c>
      <c r="AN2325">
        <v>294</v>
      </c>
      <c r="AO2325">
        <v>0</v>
      </c>
      <c r="AP2325">
        <v>12</v>
      </c>
      <c r="AQ2325">
        <v>0</v>
      </c>
      <c r="AR2325">
        <v>0</v>
      </c>
      <c r="AS2325" t="s">
        <v>58</v>
      </c>
      <c r="AT2325">
        <v>1</v>
      </c>
      <c r="AU2325" t="s">
        <v>63</v>
      </c>
      <c r="AV2325" t="s">
        <v>64</v>
      </c>
      <c r="AW2325">
        <v>1</v>
      </c>
      <c r="AX2325">
        <v>3</v>
      </c>
      <c r="AY2325">
        <v>0</v>
      </c>
      <c r="AZ2325">
        <v>0</v>
      </c>
      <c r="BA2325">
        <v>100</v>
      </c>
      <c r="BB2325">
        <v>100</v>
      </c>
      <c r="BC2325">
        <v>100</v>
      </c>
      <c r="BD2325">
        <v>100</v>
      </c>
      <c r="BE2325">
        <v>1</v>
      </c>
      <c r="BF2325">
        <v>15000</v>
      </c>
      <c r="BG2325">
        <v>1000</v>
      </c>
      <c r="BH2325" s="6">
        <f>Grandview_Inventory[[#This Row],[land_extract]]*Lookups!$B$3</f>
        <v>51342.318135355803</v>
      </c>
      <c r="BI2325" s="6">
        <f>IF(Grandview_Inventory[[#This Row],[bldg_style]]="",0,Lookups!$B$2)</f>
        <v>155833.95000000001</v>
      </c>
      <c r="BJ2325" s="6">
        <f>_xlfn.IFNA(VLOOKUP(Grandview_Inventory[[#This Row],[quality]],Lookups!$H$2:$J$14,3,FALSE),0)</f>
        <v>20768</v>
      </c>
      <c r="BK2325" s="6">
        <f>_xlfn.IFNA(VLOOKUP(Grandview_Inventory[[#This Row],[condition]],Lookups!$H$17:$J$24,3,FALSE),0)</f>
        <v>25780</v>
      </c>
      <c r="BL2325" s="6">
        <f>Grandview_Inventory[[#This Row],[Eff_Age]]*Lookups!$B$14</f>
        <v>-239.16659999999999</v>
      </c>
      <c r="BM2325" s="6">
        <f>Grandview_Inventory[[#This Row],[living_area]]*Lookups!$B$15</f>
        <v>149526.904641</v>
      </c>
      <c r="BN2325" s="6">
        <f>Grandview_Inventory[[#This Row],[Fin BSMT]]*Lookups!$B$16</f>
        <v>0</v>
      </c>
      <c r="BO2325" s="6">
        <f>(Grandview_Inventory[[#This Row],[att_gar]]+Grandview_Inventory[[#This Row],[bltin_gar]])*Lookups!$B$17</f>
        <v>67215.695615999997</v>
      </c>
      <c r="BP2325" s="6">
        <f>Grandview_Inventory[[#This Row],[Plumbing Fixtures]]*Lookups!$B$18</f>
        <v>24125.301599999999</v>
      </c>
      <c r="BQ2325" s="6">
        <f>Grandview_Inventory[[#This Row],[detatched_value]]*Lookups!$B$19</f>
        <v>0</v>
      </c>
      <c r="BR2325" s="6">
        <f>SUM(Grandview_Inventory[[#This Row],[Intercept]:[det_value]])*Grandview_Inventory[[#This Row],[res_pct]]</f>
        <v>443010.68525700003</v>
      </c>
      <c r="BS2325" s="6">
        <f>Grandview_Inventory[[#This Row],[land_value]]</f>
        <v>51342.318135355803</v>
      </c>
      <c r="BT2325" s="4">
        <f>_xlfn.IFNA(VLOOKUP(Grandview_Inventory[[#This Row],[quality]],Lookups!$A$26:$C$33,3,FALSE),1)</f>
        <v>0.94960540378902636</v>
      </c>
      <c r="BU2325" s="4">
        <f>_xlfn.IFNA(VLOOKUP(Grandview_Inventory[[#This Row],[condition]],Lookups!$A$37:$C$44,3,FALSE),1)</f>
        <v>0.94347925387812148</v>
      </c>
      <c r="BV2325" s="4">
        <f>IF(Grandview_Inventory[[#This Row],[bldg_style]]="",1,_xlfn.IFNA(VLOOKUP(Grandview_Inventory[[#This Row],[decade]],Lookups!$F$29:$H$43,3,FALSE),1))</f>
        <v>0.94601966599150278</v>
      </c>
      <c r="BW2325" s="4">
        <f>_xlfn.IFNA(VLOOKUP(Grandview_Inventory[[#This Row],[living_area_range]],Lookups!$F$47:$H$56,3,FALSE),1)</f>
        <v>0.95799442568048754</v>
      </c>
      <c r="BX2325" s="4">
        <f>AVERAGE(Grandview_Inventory[[#This Row],[qual_adj]:[size_adj]])</f>
        <v>0.94927468733478459</v>
      </c>
      <c r="BY2325" s="6">
        <f>IF(Grandview_Inventory[[#This Row],[pre_res]]&lt;0,0,Grandview_Inventory[[#This Row],[pre_res]]*Grandview_Inventory[[#This Row],[overall_adj]])</f>
        <v>420538.82973330736</v>
      </c>
      <c r="BZ2325" s="6">
        <f>(Grandview_Inventory[[#This Row],[sum_land]]-IF(Grandview_Inventory[[#This Row],[no_utilities]]=1,12000,0))/IF(Grandview_Inventory[[#This Row],[unbuildable]]=1,2,1)</f>
        <v>51342.318135355803</v>
      </c>
      <c r="CA232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5">
        <f>ROUND(Grandview_Inventory[[#This Row],[det_value]]*Lookups!$M$28,-2)</f>
        <v>0</v>
      </c>
      <c r="CC2325">
        <f>IF(ROUND(Grandview_Inventory[[#This Row],[adj_res]]*Lookups!$M$28,-2)&lt;Grandview_Inventory[[#This Row],[min_res]],Grandview_Inventory[[#This Row],[min_res]],ROUND(Grandview_Inventory[[#This Row],[adj_res]]*Lookups!$M$28,-2))</f>
        <v>399500</v>
      </c>
      <c r="CD2325">
        <f>Grandview_Inventory[[#This Row],[final_det]]+Grandview_Inventory[[#This Row],[final_res]]</f>
        <v>399500</v>
      </c>
      <c r="CE2325">
        <f>Grandview_Inventory[[#This Row],[final_land]]+Grandview_Inventory[[#This Row],[final_imp]]+Grandview_Inventory[[#This Row],[crop_value]]</f>
        <v>448300</v>
      </c>
      <c r="CG2325" t="str">
        <f t="shared" si="36"/>
        <v>update valuation set market_land =48800, market_bldg=399500, market_total =448300, market_mdno =401, market_date ='9/10/2023' where link_id = (select link_id from parcel where parcel_year = '2024' and parcel_id = '23092621433');</v>
      </c>
    </row>
    <row r="2326" spans="1:85" x14ac:dyDescent="0.25">
      <c r="A2326">
        <v>23092621434</v>
      </c>
      <c r="B2326" t="s">
        <v>129</v>
      </c>
      <c r="C2326">
        <v>9900</v>
      </c>
      <c r="D2326" t="s">
        <v>129</v>
      </c>
      <c r="E2326" t="s">
        <v>53</v>
      </c>
      <c r="F2326" t="s">
        <v>53</v>
      </c>
      <c r="G2326">
        <v>4</v>
      </c>
      <c r="H2326" t="s">
        <v>54</v>
      </c>
      <c r="I2326">
        <v>266300</v>
      </c>
      <c r="J2326">
        <v>39500</v>
      </c>
      <c r="K2326">
        <v>0.23</v>
      </c>
      <c r="L232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6">
        <v>0</v>
      </c>
      <c r="N2326">
        <v>0</v>
      </c>
      <c r="O2326">
        <v>0</v>
      </c>
      <c r="P2326">
        <v>13398.7528</v>
      </c>
      <c r="Q2326">
        <v>63903</v>
      </c>
      <c r="R2326">
        <f>(Grandview_Inventory[[#This Row],[ln_acres]]*Grandview_Inventory[[#This Row],[coeff]])+Grandview_Inventory[[#This Row],[const]]</f>
        <v>44211.174981080039</v>
      </c>
      <c r="S2326" t="s">
        <v>61</v>
      </c>
      <c r="T2326">
        <v>1</v>
      </c>
      <c r="U2326" t="s">
        <v>62</v>
      </c>
      <c r="V2326" t="s">
        <v>57</v>
      </c>
      <c r="W2326">
        <v>0</v>
      </c>
      <c r="X2326">
        <v>0</v>
      </c>
      <c r="Y2326">
        <v>1</v>
      </c>
      <c r="Z2326">
        <v>1</v>
      </c>
      <c r="AA2326">
        <v>10</v>
      </c>
      <c r="AB2326">
        <v>2000</v>
      </c>
      <c r="AC2326">
        <v>1800</v>
      </c>
      <c r="AD2326">
        <v>1800</v>
      </c>
      <c r="AE2326">
        <v>0</v>
      </c>
      <c r="AF2326">
        <v>0</v>
      </c>
      <c r="AG2326">
        <v>0</v>
      </c>
      <c r="AH2326">
        <v>0</v>
      </c>
      <c r="AI2326">
        <v>400</v>
      </c>
      <c r="AJ2326">
        <v>0</v>
      </c>
      <c r="AK2326">
        <v>0</v>
      </c>
      <c r="AL2326">
        <v>0</v>
      </c>
      <c r="AM2326">
        <v>0</v>
      </c>
      <c r="AN2326">
        <v>300</v>
      </c>
      <c r="AO2326">
        <v>0</v>
      </c>
      <c r="AP2326">
        <v>10</v>
      </c>
      <c r="AQ2326">
        <v>0</v>
      </c>
      <c r="AR2326">
        <v>0</v>
      </c>
      <c r="AS2326" t="s">
        <v>58</v>
      </c>
      <c r="AT2326">
        <v>1</v>
      </c>
      <c r="AU2326" t="s">
        <v>63</v>
      </c>
      <c r="AV2326" t="s">
        <v>64</v>
      </c>
      <c r="AW2326">
        <v>1</v>
      </c>
      <c r="AX2326">
        <v>3</v>
      </c>
      <c r="AY2326">
        <v>0</v>
      </c>
      <c r="AZ2326">
        <v>0</v>
      </c>
      <c r="BA2326">
        <v>100</v>
      </c>
      <c r="BB2326">
        <v>100</v>
      </c>
      <c r="BC2326">
        <v>100</v>
      </c>
      <c r="BD2326">
        <v>100</v>
      </c>
      <c r="BE2326">
        <v>1</v>
      </c>
      <c r="BF2326">
        <v>15000</v>
      </c>
      <c r="BG2326">
        <v>1000</v>
      </c>
      <c r="BH2326" s="6">
        <f>Grandview_Inventory[[#This Row],[land_extract]]*Lookups!$B$3</f>
        <v>51342.318135355803</v>
      </c>
      <c r="BI2326" s="6">
        <f>IF(Grandview_Inventory[[#This Row],[bldg_style]]="",0,Lookups!$B$2)</f>
        <v>155833.95000000001</v>
      </c>
      <c r="BJ2326" s="6">
        <f>_xlfn.IFNA(VLOOKUP(Grandview_Inventory[[#This Row],[quality]],Lookups!$H$2:$J$14,3,FALSE),0)</f>
        <v>9808</v>
      </c>
      <c r="BK2326" s="6">
        <f>_xlfn.IFNA(VLOOKUP(Grandview_Inventory[[#This Row],[condition]],Lookups!$H$17:$J$24,3,FALSE),0)</f>
        <v>25780</v>
      </c>
      <c r="BL2326" s="6">
        <f>Grandview_Inventory[[#This Row],[Eff_Age]]*Lookups!$B$14</f>
        <v>-239.16659999999999</v>
      </c>
      <c r="BM2326" s="6">
        <f>Grandview_Inventory[[#This Row],[living_area]]*Lookups!$B$15</f>
        <v>112285.53540000001</v>
      </c>
      <c r="BN2326" s="6">
        <f>Grandview_Inventory[[#This Row],[Fin BSMT]]*Lookups!$B$16</f>
        <v>0</v>
      </c>
      <c r="BO2326" s="6">
        <f>(Grandview_Inventory[[#This Row],[att_gar]]+Grandview_Inventory[[#This Row],[bltin_gar]])*Lookups!$B$17</f>
        <v>35008.174800000001</v>
      </c>
      <c r="BP2326" s="6">
        <f>Grandview_Inventory[[#This Row],[Plumbing Fixtures]]*Lookups!$B$18</f>
        <v>20104.418000000001</v>
      </c>
      <c r="BQ2326" s="6">
        <f>Grandview_Inventory[[#This Row],[detatched_value]]*Lookups!$B$19</f>
        <v>0</v>
      </c>
      <c r="BR2326" s="6">
        <f>SUM(Grandview_Inventory[[#This Row],[Intercept]:[det_value]])*Grandview_Inventory[[#This Row],[res_pct]]</f>
        <v>358580.91159999999</v>
      </c>
      <c r="BS2326" s="6">
        <f>Grandview_Inventory[[#This Row],[land_value]]</f>
        <v>51342.318135355803</v>
      </c>
      <c r="BT2326" s="4">
        <f>_xlfn.IFNA(VLOOKUP(Grandview_Inventory[[#This Row],[quality]],Lookups!$A$26:$C$33,3,FALSE),1)</f>
        <v>0.94295468617355149</v>
      </c>
      <c r="BU2326" s="4">
        <f>_xlfn.IFNA(VLOOKUP(Grandview_Inventory[[#This Row],[condition]],Lookups!$A$37:$C$44,3,FALSE),1)</f>
        <v>0.94347925387812148</v>
      </c>
      <c r="BV2326" s="4">
        <f>IF(Grandview_Inventory[[#This Row],[bldg_style]]="",1,_xlfn.IFNA(VLOOKUP(Grandview_Inventory[[#This Row],[decade]],Lookups!$F$29:$H$43,3,FALSE),1))</f>
        <v>0.94601966599150278</v>
      </c>
      <c r="BW2326" s="4">
        <f>_xlfn.IFNA(VLOOKUP(Grandview_Inventory[[#This Row],[living_area_range]],Lookups!$F$47:$H$56,3,FALSE),1)</f>
        <v>0.96120133463014379</v>
      </c>
      <c r="BX2326" s="4">
        <f>AVERAGE(Grandview_Inventory[[#This Row],[qual_adj]:[size_adj]])</f>
        <v>0.94841373516832994</v>
      </c>
      <c r="BY2326" s="6">
        <f>IF(Grandview_Inventory[[#This Row],[pre_res]]&lt;0,0,Grandview_Inventory[[#This Row],[pre_res]]*Grandview_Inventory[[#This Row],[overall_adj]])</f>
        <v>340083.06173062074</v>
      </c>
      <c r="BZ2326" s="6">
        <f>(Grandview_Inventory[[#This Row],[sum_land]]-IF(Grandview_Inventory[[#This Row],[no_utilities]]=1,12000,0))/IF(Grandview_Inventory[[#This Row],[unbuildable]]=1,2,1)</f>
        <v>51342.318135355803</v>
      </c>
      <c r="CA232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6">
        <f>ROUND(Grandview_Inventory[[#This Row],[det_value]]*Lookups!$M$28,-2)</f>
        <v>0</v>
      </c>
      <c r="CC2326">
        <f>IF(ROUND(Grandview_Inventory[[#This Row],[adj_res]]*Lookups!$M$28,-2)&lt;Grandview_Inventory[[#This Row],[min_res]],Grandview_Inventory[[#This Row],[min_res]],ROUND(Grandview_Inventory[[#This Row],[adj_res]]*Lookups!$M$28,-2))</f>
        <v>323100</v>
      </c>
      <c r="CD2326">
        <f>Grandview_Inventory[[#This Row],[final_det]]+Grandview_Inventory[[#This Row],[final_res]]</f>
        <v>323100</v>
      </c>
      <c r="CE2326">
        <f>Grandview_Inventory[[#This Row],[final_land]]+Grandview_Inventory[[#This Row],[final_imp]]+Grandview_Inventory[[#This Row],[crop_value]]</f>
        <v>371900</v>
      </c>
      <c r="CG2326" t="str">
        <f t="shared" si="36"/>
        <v>update valuation set market_land =48800, market_bldg=323100, market_total =371900, market_mdno =401, market_date ='9/10/2023' where link_id = (select link_id from parcel where parcel_year = '2024' and parcel_id = '23092621434');</v>
      </c>
    </row>
    <row r="2327" spans="1:85" x14ac:dyDescent="0.25">
      <c r="A2327">
        <v>23092621435</v>
      </c>
      <c r="B2327" t="s">
        <v>129</v>
      </c>
      <c r="C2327">
        <v>9900</v>
      </c>
      <c r="D2327" t="s">
        <v>129</v>
      </c>
      <c r="E2327" t="s">
        <v>53</v>
      </c>
      <c r="F2327" t="s">
        <v>53</v>
      </c>
      <c r="G2327">
        <v>4</v>
      </c>
      <c r="H2327" t="s">
        <v>54</v>
      </c>
      <c r="I2327">
        <v>339100</v>
      </c>
      <c r="J2327">
        <v>43800</v>
      </c>
      <c r="K2327">
        <v>0.23</v>
      </c>
      <c r="L232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7">
        <v>0</v>
      </c>
      <c r="N2327">
        <v>0</v>
      </c>
      <c r="O2327">
        <v>0</v>
      </c>
      <c r="P2327">
        <v>13398.7528</v>
      </c>
      <c r="Q2327">
        <v>63903</v>
      </c>
      <c r="R2327">
        <f>(Grandview_Inventory[[#This Row],[ln_acres]]*Grandview_Inventory[[#This Row],[coeff]])+Grandview_Inventory[[#This Row],[const]]</f>
        <v>44211.174981080039</v>
      </c>
      <c r="S2327" t="s">
        <v>55</v>
      </c>
      <c r="T2327">
        <v>2</v>
      </c>
      <c r="U2327" t="s">
        <v>64</v>
      </c>
      <c r="V2327" t="s">
        <v>57</v>
      </c>
      <c r="W2327">
        <v>0</v>
      </c>
      <c r="X2327">
        <v>0</v>
      </c>
      <c r="Y2327">
        <v>1</v>
      </c>
      <c r="Z2327">
        <v>1</v>
      </c>
      <c r="AA2327">
        <v>10</v>
      </c>
      <c r="AB2327">
        <v>3000</v>
      </c>
      <c r="AC2327">
        <v>2527</v>
      </c>
      <c r="AD2327">
        <v>1164</v>
      </c>
      <c r="AE2327">
        <v>1363</v>
      </c>
      <c r="AF2327">
        <v>0</v>
      </c>
      <c r="AG2327">
        <v>0</v>
      </c>
      <c r="AH2327">
        <v>0</v>
      </c>
      <c r="AI2327">
        <v>322</v>
      </c>
      <c r="AJ2327">
        <v>391</v>
      </c>
      <c r="AK2327">
        <v>0</v>
      </c>
      <c r="AL2327">
        <v>0</v>
      </c>
      <c r="AM2327">
        <v>0</v>
      </c>
      <c r="AN2327">
        <v>317</v>
      </c>
      <c r="AO2327">
        <v>0</v>
      </c>
      <c r="AP2327">
        <v>12</v>
      </c>
      <c r="AQ2327">
        <v>0</v>
      </c>
      <c r="AR2327">
        <v>0</v>
      </c>
      <c r="AS2327" t="s">
        <v>58</v>
      </c>
      <c r="AT2327">
        <v>1</v>
      </c>
      <c r="AU2327" t="s">
        <v>63</v>
      </c>
      <c r="AV2327" t="s">
        <v>64</v>
      </c>
      <c r="AW2327">
        <v>1</v>
      </c>
      <c r="AX2327">
        <v>3</v>
      </c>
      <c r="AY2327">
        <v>0</v>
      </c>
      <c r="AZ2327">
        <v>0</v>
      </c>
      <c r="BA2327">
        <v>100</v>
      </c>
      <c r="BB2327">
        <v>100</v>
      </c>
      <c r="BC2327">
        <v>100</v>
      </c>
      <c r="BD2327">
        <v>100</v>
      </c>
      <c r="BE2327">
        <v>1</v>
      </c>
      <c r="BF2327">
        <v>15000</v>
      </c>
      <c r="BG2327">
        <v>1000</v>
      </c>
      <c r="BH2327" s="6">
        <f>Grandview_Inventory[[#This Row],[land_extract]]*Lookups!$B$3</f>
        <v>51342.318135355803</v>
      </c>
      <c r="BI2327" s="6">
        <f>IF(Grandview_Inventory[[#This Row],[bldg_style]]="",0,Lookups!$B$2)</f>
        <v>155833.95000000001</v>
      </c>
      <c r="BJ2327" s="6">
        <f>_xlfn.IFNA(VLOOKUP(Grandview_Inventory[[#This Row],[quality]],Lookups!$H$2:$J$14,3,FALSE),0)</f>
        <v>20768</v>
      </c>
      <c r="BK2327" s="6">
        <f>_xlfn.IFNA(VLOOKUP(Grandview_Inventory[[#This Row],[condition]],Lookups!$H$17:$J$24,3,FALSE),0)</f>
        <v>25780</v>
      </c>
      <c r="BL2327" s="6">
        <f>Grandview_Inventory[[#This Row],[Eff_Age]]*Lookups!$B$14</f>
        <v>-239.16659999999999</v>
      </c>
      <c r="BM2327" s="6">
        <f>Grandview_Inventory[[#This Row],[living_area]]*Lookups!$B$15</f>
        <v>157636.41553100001</v>
      </c>
      <c r="BN2327" s="6">
        <f>Grandview_Inventory[[#This Row],[Fin BSMT]]*Lookups!$B$16</f>
        <v>0</v>
      </c>
      <c r="BO2327" s="6">
        <f>(Grandview_Inventory[[#This Row],[att_gar]]+Grandview_Inventory[[#This Row],[bltin_gar]])*Lookups!$B$17</f>
        <v>62402.071581000004</v>
      </c>
      <c r="BP2327" s="6">
        <f>Grandview_Inventory[[#This Row],[Plumbing Fixtures]]*Lookups!$B$18</f>
        <v>24125.301599999999</v>
      </c>
      <c r="BQ2327" s="6">
        <f>Grandview_Inventory[[#This Row],[detatched_value]]*Lookups!$B$19</f>
        <v>0</v>
      </c>
      <c r="BR2327" s="6">
        <f>SUM(Grandview_Inventory[[#This Row],[Intercept]:[det_value]])*Grandview_Inventory[[#This Row],[res_pct]]</f>
        <v>446306.57211200002</v>
      </c>
      <c r="BS2327" s="6">
        <f>Grandview_Inventory[[#This Row],[land_value]]</f>
        <v>51342.318135355803</v>
      </c>
      <c r="BT2327" s="4">
        <f>_xlfn.IFNA(VLOOKUP(Grandview_Inventory[[#This Row],[quality]],Lookups!$A$26:$C$33,3,FALSE),1)</f>
        <v>0.94960540378902636</v>
      </c>
      <c r="BU2327" s="4">
        <f>_xlfn.IFNA(VLOOKUP(Grandview_Inventory[[#This Row],[condition]],Lookups!$A$37:$C$44,3,FALSE),1)</f>
        <v>0.94347925387812148</v>
      </c>
      <c r="BV2327" s="4">
        <f>IF(Grandview_Inventory[[#This Row],[bldg_style]]="",1,_xlfn.IFNA(VLOOKUP(Grandview_Inventory[[#This Row],[decade]],Lookups!$F$29:$H$43,3,FALSE),1))</f>
        <v>0.94601966599150278</v>
      </c>
      <c r="BW2327" s="4">
        <f>_xlfn.IFNA(VLOOKUP(Grandview_Inventory[[#This Row],[living_area_range]],Lookups!$F$47:$H$56,3,FALSE),1)</f>
        <v>0.94224801443562123</v>
      </c>
      <c r="BX2327" s="4">
        <f>AVERAGE(Grandview_Inventory[[#This Row],[qual_adj]:[size_adj]])</f>
        <v>0.94533808452356805</v>
      </c>
      <c r="BY2327" s="6">
        <f>IF(Grandview_Inventory[[#This Row],[pre_res]]&lt;0,0,Grandview_Inventory[[#This Row],[pre_res]]*Grandview_Inventory[[#This Row],[overall_adj]])</f>
        <v>421910.5999906378</v>
      </c>
      <c r="BZ2327" s="6">
        <f>(Grandview_Inventory[[#This Row],[sum_land]]-IF(Grandview_Inventory[[#This Row],[no_utilities]]=1,12000,0))/IF(Grandview_Inventory[[#This Row],[unbuildable]]=1,2,1)</f>
        <v>51342.318135355803</v>
      </c>
      <c r="CA232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7">
        <f>ROUND(Grandview_Inventory[[#This Row],[det_value]]*Lookups!$M$28,-2)</f>
        <v>0</v>
      </c>
      <c r="CC2327">
        <f>IF(ROUND(Grandview_Inventory[[#This Row],[adj_res]]*Lookups!$M$28,-2)&lt;Grandview_Inventory[[#This Row],[min_res]],Grandview_Inventory[[#This Row],[min_res]],ROUND(Grandview_Inventory[[#This Row],[adj_res]]*Lookups!$M$28,-2))</f>
        <v>400800</v>
      </c>
      <c r="CD2327">
        <f>Grandview_Inventory[[#This Row],[final_det]]+Grandview_Inventory[[#This Row],[final_res]]</f>
        <v>400800</v>
      </c>
      <c r="CE2327">
        <f>Grandview_Inventory[[#This Row],[final_land]]+Grandview_Inventory[[#This Row],[final_imp]]+Grandview_Inventory[[#This Row],[crop_value]]</f>
        <v>449600</v>
      </c>
      <c r="CG2327" t="str">
        <f t="shared" si="36"/>
        <v>update valuation set market_land =48800, market_bldg=400800, market_total =449600, market_mdno =401, market_date ='9/10/2023' where link_id = (select link_id from parcel where parcel_year = '2024' and parcel_id = '23092621435');</v>
      </c>
    </row>
    <row r="2328" spans="1:85" x14ac:dyDescent="0.25">
      <c r="A2328">
        <v>23092621436</v>
      </c>
      <c r="B2328" t="s">
        <v>129</v>
      </c>
      <c r="C2328">
        <v>9900</v>
      </c>
      <c r="D2328" t="s">
        <v>129</v>
      </c>
      <c r="E2328" t="s">
        <v>53</v>
      </c>
      <c r="F2328" t="s">
        <v>53</v>
      </c>
      <c r="G2328">
        <v>4</v>
      </c>
      <c r="H2328" t="s">
        <v>54</v>
      </c>
      <c r="I2328">
        <v>306100</v>
      </c>
      <c r="J2328">
        <v>39500</v>
      </c>
      <c r="K2328">
        <v>0.23</v>
      </c>
      <c r="L232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8">
        <v>0</v>
      </c>
      <c r="N2328">
        <v>0</v>
      </c>
      <c r="O2328">
        <v>0</v>
      </c>
      <c r="P2328">
        <v>13398.7528</v>
      </c>
      <c r="Q2328">
        <v>63903</v>
      </c>
      <c r="R2328">
        <f>(Grandview_Inventory[[#This Row],[ln_acres]]*Grandview_Inventory[[#This Row],[coeff]])+Grandview_Inventory[[#This Row],[const]]</f>
        <v>44211.174981080039</v>
      </c>
      <c r="S2328" t="s">
        <v>58</v>
      </c>
      <c r="T2328">
        <v>1</v>
      </c>
      <c r="U2328" t="s">
        <v>62</v>
      </c>
      <c r="V2328" t="s">
        <v>57</v>
      </c>
      <c r="W2328">
        <v>0</v>
      </c>
      <c r="X2328">
        <v>0</v>
      </c>
      <c r="Y2328">
        <v>1</v>
      </c>
      <c r="Z2328">
        <v>1</v>
      </c>
      <c r="AA2328">
        <v>10</v>
      </c>
      <c r="AB2328">
        <v>2500</v>
      </c>
      <c r="AC2328">
        <v>2024</v>
      </c>
      <c r="AD2328">
        <v>2024</v>
      </c>
      <c r="AE2328">
        <v>0</v>
      </c>
      <c r="AF2328">
        <v>0</v>
      </c>
      <c r="AG2328">
        <v>0</v>
      </c>
      <c r="AH2328">
        <v>0</v>
      </c>
      <c r="AI2328">
        <v>686</v>
      </c>
      <c r="AJ2328">
        <v>0</v>
      </c>
      <c r="AK2328">
        <v>0</v>
      </c>
      <c r="AL2328">
        <v>0</v>
      </c>
      <c r="AM2328">
        <v>0</v>
      </c>
      <c r="AN2328">
        <v>235</v>
      </c>
      <c r="AO2328">
        <v>0</v>
      </c>
      <c r="AP2328">
        <v>9</v>
      </c>
      <c r="AQ2328">
        <v>0</v>
      </c>
      <c r="AR2328">
        <v>0</v>
      </c>
      <c r="AS2328" t="s">
        <v>58</v>
      </c>
      <c r="AT2328">
        <v>1</v>
      </c>
      <c r="AU2328" t="s">
        <v>63</v>
      </c>
      <c r="AV2328" t="s">
        <v>64</v>
      </c>
      <c r="AW2328">
        <v>1</v>
      </c>
      <c r="AX2328">
        <v>3</v>
      </c>
      <c r="AY2328">
        <v>0</v>
      </c>
      <c r="AZ2328">
        <v>0</v>
      </c>
      <c r="BA2328">
        <v>100</v>
      </c>
      <c r="BB2328">
        <v>100</v>
      </c>
      <c r="BC2328">
        <v>100</v>
      </c>
      <c r="BD2328">
        <v>100</v>
      </c>
      <c r="BE2328">
        <v>1</v>
      </c>
      <c r="BF2328">
        <v>15000</v>
      </c>
      <c r="BG2328">
        <v>1000</v>
      </c>
      <c r="BH2328" s="6">
        <f>Grandview_Inventory[[#This Row],[land_extract]]*Lookups!$B$3</f>
        <v>51342.318135355803</v>
      </c>
      <c r="BI2328" s="6">
        <f>IF(Grandview_Inventory[[#This Row],[bldg_style]]="",0,Lookups!$B$2)</f>
        <v>155833.95000000001</v>
      </c>
      <c r="BJ2328" s="6">
        <f>_xlfn.IFNA(VLOOKUP(Grandview_Inventory[[#This Row],[quality]],Lookups!$H$2:$J$14,3,FALSE),0)</f>
        <v>9808</v>
      </c>
      <c r="BK2328" s="6">
        <f>_xlfn.IFNA(VLOOKUP(Grandview_Inventory[[#This Row],[condition]],Lookups!$H$17:$J$24,3,FALSE),0)</f>
        <v>25780</v>
      </c>
      <c r="BL2328" s="6">
        <f>Grandview_Inventory[[#This Row],[Eff_Age]]*Lookups!$B$14</f>
        <v>-239.16659999999999</v>
      </c>
      <c r="BM2328" s="6">
        <f>Grandview_Inventory[[#This Row],[living_area]]*Lookups!$B$15</f>
        <v>126258.846472</v>
      </c>
      <c r="BN2328" s="6">
        <f>Grandview_Inventory[[#This Row],[Fin BSMT]]*Lookups!$B$16</f>
        <v>0</v>
      </c>
      <c r="BO2328" s="6">
        <f>(Grandview_Inventory[[#This Row],[att_gar]]+Grandview_Inventory[[#This Row],[bltin_gar]])*Lookups!$B$17</f>
        <v>60039.019782000003</v>
      </c>
      <c r="BP2328" s="6">
        <f>Grandview_Inventory[[#This Row],[Plumbing Fixtures]]*Lookups!$B$18</f>
        <v>18093.976200000001</v>
      </c>
      <c r="BQ2328" s="6">
        <f>Grandview_Inventory[[#This Row],[detatched_value]]*Lookups!$B$19</f>
        <v>0</v>
      </c>
      <c r="BR2328" s="6">
        <f>SUM(Grandview_Inventory[[#This Row],[Intercept]:[det_value]])*Grandview_Inventory[[#This Row],[res_pct]]</f>
        <v>395574.62585399998</v>
      </c>
      <c r="BS2328" s="6">
        <f>Grandview_Inventory[[#This Row],[land_value]]</f>
        <v>51342.318135355803</v>
      </c>
      <c r="BT2328" s="4">
        <f>_xlfn.IFNA(VLOOKUP(Grandview_Inventory[[#This Row],[quality]],Lookups!$A$26:$C$33,3,FALSE),1)</f>
        <v>0.94295468617355149</v>
      </c>
      <c r="BU2328" s="4">
        <f>_xlfn.IFNA(VLOOKUP(Grandview_Inventory[[#This Row],[condition]],Lookups!$A$37:$C$44,3,FALSE),1)</f>
        <v>0.94347925387812148</v>
      </c>
      <c r="BV2328" s="4">
        <f>IF(Grandview_Inventory[[#This Row],[bldg_style]]="",1,_xlfn.IFNA(VLOOKUP(Grandview_Inventory[[#This Row],[decade]],Lookups!$F$29:$H$43,3,FALSE),1))</f>
        <v>0.94601966599150278</v>
      </c>
      <c r="BW2328" s="4">
        <f>_xlfn.IFNA(VLOOKUP(Grandview_Inventory[[#This Row],[living_area_range]],Lookups!$F$47:$H$56,3,FALSE),1)</f>
        <v>0.95799442568048754</v>
      </c>
      <c r="BX2328" s="4">
        <f>AVERAGE(Grandview_Inventory[[#This Row],[qual_adj]:[size_adj]])</f>
        <v>0.94761200793091582</v>
      </c>
      <c r="BY2328" s="6">
        <f>IF(Grandview_Inventory[[#This Row],[pre_res]]&lt;0,0,Grandview_Inventory[[#This Row],[pre_res]]*Grandview_Inventory[[#This Row],[overall_adj]])</f>
        <v>374851.26549202966</v>
      </c>
      <c r="BZ2328" s="6">
        <f>(Grandview_Inventory[[#This Row],[sum_land]]-IF(Grandview_Inventory[[#This Row],[no_utilities]]=1,12000,0))/IF(Grandview_Inventory[[#This Row],[unbuildable]]=1,2,1)</f>
        <v>51342.318135355803</v>
      </c>
      <c r="CA232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8">
        <f>ROUND(Grandview_Inventory[[#This Row],[det_value]]*Lookups!$M$28,-2)</f>
        <v>0</v>
      </c>
      <c r="CC2328">
        <f>IF(ROUND(Grandview_Inventory[[#This Row],[adj_res]]*Lookups!$M$28,-2)&lt;Grandview_Inventory[[#This Row],[min_res]],Grandview_Inventory[[#This Row],[min_res]],ROUND(Grandview_Inventory[[#This Row],[adj_res]]*Lookups!$M$28,-2))</f>
        <v>356100</v>
      </c>
      <c r="CD2328">
        <f>Grandview_Inventory[[#This Row],[final_det]]+Grandview_Inventory[[#This Row],[final_res]]</f>
        <v>356100</v>
      </c>
      <c r="CE2328">
        <f>Grandview_Inventory[[#This Row],[final_land]]+Grandview_Inventory[[#This Row],[final_imp]]+Grandview_Inventory[[#This Row],[crop_value]]</f>
        <v>404900</v>
      </c>
      <c r="CG2328" t="str">
        <f t="shared" si="36"/>
        <v>update valuation set market_land =48800, market_bldg=356100, market_total =404900, market_mdno =401, market_date ='9/10/2023' where link_id = (select link_id from parcel where parcel_year = '2024' and parcel_id = '23092621436');</v>
      </c>
    </row>
    <row r="2329" spans="1:85" x14ac:dyDescent="0.25">
      <c r="A2329">
        <v>23092621437</v>
      </c>
      <c r="B2329" t="s">
        <v>129</v>
      </c>
      <c r="C2329">
        <v>9900</v>
      </c>
      <c r="D2329" t="s">
        <v>129</v>
      </c>
      <c r="E2329" t="s">
        <v>53</v>
      </c>
      <c r="F2329" t="s">
        <v>53</v>
      </c>
      <c r="G2329">
        <v>4</v>
      </c>
      <c r="H2329" t="s">
        <v>54</v>
      </c>
      <c r="I2329">
        <v>341500</v>
      </c>
      <c r="J2329">
        <v>39500</v>
      </c>
      <c r="K2329">
        <v>0.23</v>
      </c>
      <c r="L232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29">
        <v>0</v>
      </c>
      <c r="N2329">
        <v>0</v>
      </c>
      <c r="O2329">
        <v>0</v>
      </c>
      <c r="P2329">
        <v>13398.7528</v>
      </c>
      <c r="Q2329">
        <v>63903</v>
      </c>
      <c r="R2329">
        <f>(Grandview_Inventory[[#This Row],[ln_acres]]*Grandview_Inventory[[#This Row],[coeff]])+Grandview_Inventory[[#This Row],[const]]</f>
        <v>44211.174981080039</v>
      </c>
      <c r="S2329" t="s">
        <v>55</v>
      </c>
      <c r="T2329">
        <v>2</v>
      </c>
      <c r="U2329" t="s">
        <v>64</v>
      </c>
      <c r="V2329" t="s">
        <v>57</v>
      </c>
      <c r="W2329">
        <v>0</v>
      </c>
      <c r="X2329">
        <v>0</v>
      </c>
      <c r="Y2329">
        <v>2</v>
      </c>
      <c r="Z2329">
        <v>2</v>
      </c>
      <c r="AA2329">
        <v>10</v>
      </c>
      <c r="AB2329">
        <v>3000</v>
      </c>
      <c r="AC2329">
        <v>2660</v>
      </c>
      <c r="AD2329">
        <v>1126</v>
      </c>
      <c r="AE2329">
        <v>1534</v>
      </c>
      <c r="AF2329">
        <v>0</v>
      </c>
      <c r="AG2329">
        <v>0</v>
      </c>
      <c r="AH2329">
        <v>0</v>
      </c>
      <c r="AI2329">
        <v>0</v>
      </c>
      <c r="AJ2329">
        <v>672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12</v>
      </c>
      <c r="AQ2329">
        <v>0</v>
      </c>
      <c r="AR2329">
        <v>0</v>
      </c>
      <c r="AS2329" t="s">
        <v>58</v>
      </c>
      <c r="AT2329">
        <v>1</v>
      </c>
      <c r="AU2329" t="s">
        <v>63</v>
      </c>
      <c r="AV2329" t="s">
        <v>64</v>
      </c>
      <c r="AW2329">
        <v>1</v>
      </c>
      <c r="AX2329">
        <v>3</v>
      </c>
      <c r="AY2329">
        <v>0</v>
      </c>
      <c r="AZ2329">
        <v>0</v>
      </c>
      <c r="BA2329">
        <v>100</v>
      </c>
      <c r="BB2329">
        <v>100</v>
      </c>
      <c r="BC2329">
        <v>100</v>
      </c>
      <c r="BD2329">
        <v>100</v>
      </c>
      <c r="BE2329">
        <v>1</v>
      </c>
      <c r="BF2329">
        <v>15000</v>
      </c>
      <c r="BG2329">
        <v>1000</v>
      </c>
      <c r="BH2329" s="6">
        <f>Grandview_Inventory[[#This Row],[land_extract]]*Lookups!$B$3</f>
        <v>51342.318135355803</v>
      </c>
      <c r="BI2329" s="6">
        <f>IF(Grandview_Inventory[[#This Row],[bldg_style]]="",0,Lookups!$B$2)</f>
        <v>155833.95000000001</v>
      </c>
      <c r="BJ2329" s="6">
        <f>_xlfn.IFNA(VLOOKUP(Grandview_Inventory[[#This Row],[quality]],Lookups!$H$2:$J$14,3,FALSE),0)</f>
        <v>20768</v>
      </c>
      <c r="BK2329" s="6">
        <f>_xlfn.IFNA(VLOOKUP(Grandview_Inventory[[#This Row],[condition]],Lookups!$H$17:$J$24,3,FALSE),0)</f>
        <v>25780</v>
      </c>
      <c r="BL2329" s="6">
        <f>Grandview_Inventory[[#This Row],[Eff_Age]]*Lookups!$B$14</f>
        <v>-478.33319999999998</v>
      </c>
      <c r="BM2329" s="6">
        <f>Grandview_Inventory[[#This Row],[living_area]]*Lookups!$B$15</f>
        <v>165933.06898000001</v>
      </c>
      <c r="BN2329" s="6">
        <f>Grandview_Inventory[[#This Row],[Fin BSMT]]*Lookups!$B$16</f>
        <v>0</v>
      </c>
      <c r="BO2329" s="6">
        <f>(Grandview_Inventory[[#This Row],[att_gar]]+Grandview_Inventory[[#This Row],[bltin_gar]])*Lookups!$B$17</f>
        <v>58813.733663999999</v>
      </c>
      <c r="BP2329" s="6">
        <f>Grandview_Inventory[[#This Row],[Plumbing Fixtures]]*Lookups!$B$18</f>
        <v>24125.301599999999</v>
      </c>
      <c r="BQ2329" s="6">
        <f>Grandview_Inventory[[#This Row],[detatched_value]]*Lookups!$B$19</f>
        <v>0</v>
      </c>
      <c r="BR2329" s="6">
        <f>SUM(Grandview_Inventory[[#This Row],[Intercept]:[det_value]])*Grandview_Inventory[[#This Row],[res_pct]]</f>
        <v>450775.72104400006</v>
      </c>
      <c r="BS2329" s="6">
        <f>Grandview_Inventory[[#This Row],[land_value]]</f>
        <v>51342.318135355803</v>
      </c>
      <c r="BT2329" s="4">
        <f>_xlfn.IFNA(VLOOKUP(Grandview_Inventory[[#This Row],[quality]],Lookups!$A$26:$C$33,3,FALSE),1)</f>
        <v>0.94960540378902636</v>
      </c>
      <c r="BU2329" s="4">
        <f>_xlfn.IFNA(VLOOKUP(Grandview_Inventory[[#This Row],[condition]],Lookups!$A$37:$C$44,3,FALSE),1)</f>
        <v>0.94347925387812148</v>
      </c>
      <c r="BV2329" s="4">
        <f>IF(Grandview_Inventory[[#This Row],[bldg_style]]="",1,_xlfn.IFNA(VLOOKUP(Grandview_Inventory[[#This Row],[decade]],Lookups!$F$29:$H$43,3,FALSE),1))</f>
        <v>0.94601966599150278</v>
      </c>
      <c r="BW2329" s="4">
        <f>_xlfn.IFNA(VLOOKUP(Grandview_Inventory[[#This Row],[living_area_range]],Lookups!$F$47:$H$56,3,FALSE),1)</f>
        <v>0.94224801443562123</v>
      </c>
      <c r="BX2329" s="4">
        <f>AVERAGE(Grandview_Inventory[[#This Row],[qual_adj]:[size_adj]])</f>
        <v>0.94533808452356805</v>
      </c>
      <c r="BY2329" s="6">
        <f>IF(Grandview_Inventory[[#This Row],[pre_res]]&lt;0,0,Grandview_Inventory[[#This Row],[pre_res]]*Grandview_Inventory[[#This Row],[overall_adj]])</f>
        <v>426135.45668146526</v>
      </c>
      <c r="BZ2329" s="6">
        <f>(Grandview_Inventory[[#This Row],[sum_land]]-IF(Grandview_Inventory[[#This Row],[no_utilities]]=1,12000,0))/IF(Grandview_Inventory[[#This Row],[unbuildable]]=1,2,1)</f>
        <v>51342.318135355803</v>
      </c>
      <c r="CA232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29">
        <f>ROUND(Grandview_Inventory[[#This Row],[det_value]]*Lookups!$M$28,-2)</f>
        <v>0</v>
      </c>
      <c r="CC2329">
        <f>IF(ROUND(Grandview_Inventory[[#This Row],[adj_res]]*Lookups!$M$28,-2)&lt;Grandview_Inventory[[#This Row],[min_res]],Grandview_Inventory[[#This Row],[min_res]],ROUND(Grandview_Inventory[[#This Row],[adj_res]]*Lookups!$M$28,-2))</f>
        <v>404800</v>
      </c>
      <c r="CD2329">
        <f>Grandview_Inventory[[#This Row],[final_det]]+Grandview_Inventory[[#This Row],[final_res]]</f>
        <v>404800</v>
      </c>
      <c r="CE2329">
        <f>Grandview_Inventory[[#This Row],[final_land]]+Grandview_Inventory[[#This Row],[final_imp]]+Grandview_Inventory[[#This Row],[crop_value]]</f>
        <v>453600</v>
      </c>
      <c r="CG2329" t="str">
        <f t="shared" si="36"/>
        <v>update valuation set market_land =48800, market_bldg=404800, market_total =453600, market_mdno =401, market_date ='9/10/2023' where link_id = (select link_id from parcel where parcel_year = '2024' and parcel_id = '23092621437');</v>
      </c>
    </row>
    <row r="2330" spans="1:85" x14ac:dyDescent="0.25">
      <c r="A2330">
        <v>23092621438</v>
      </c>
      <c r="B2330" t="s">
        <v>129</v>
      </c>
      <c r="C2330">
        <v>9900</v>
      </c>
      <c r="D2330" t="s">
        <v>129</v>
      </c>
      <c r="E2330" t="s">
        <v>53</v>
      </c>
      <c r="F2330" t="s">
        <v>53</v>
      </c>
      <c r="G2330">
        <v>4</v>
      </c>
      <c r="H2330" t="s">
        <v>54</v>
      </c>
      <c r="I2330">
        <v>328400</v>
      </c>
      <c r="J2330">
        <v>39500</v>
      </c>
      <c r="K2330">
        <v>0.23</v>
      </c>
      <c r="L2330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0">
        <v>0</v>
      </c>
      <c r="N2330">
        <v>0</v>
      </c>
      <c r="O2330">
        <v>0</v>
      </c>
      <c r="P2330">
        <v>13398.7528</v>
      </c>
      <c r="Q2330">
        <v>63903</v>
      </c>
      <c r="R2330">
        <f>(Grandview_Inventory[[#This Row],[ln_acres]]*Grandview_Inventory[[#This Row],[coeff]])+Grandview_Inventory[[#This Row],[const]]</f>
        <v>44211.174981080039</v>
      </c>
      <c r="S2330" t="s">
        <v>58</v>
      </c>
      <c r="T2330">
        <v>2</v>
      </c>
      <c r="U2330" t="s">
        <v>62</v>
      </c>
      <c r="V2330" t="s">
        <v>57</v>
      </c>
      <c r="W2330">
        <v>0</v>
      </c>
      <c r="X2330">
        <v>0</v>
      </c>
      <c r="Y2330">
        <v>2</v>
      </c>
      <c r="Z2330">
        <v>2</v>
      </c>
      <c r="AA2330">
        <v>10</v>
      </c>
      <c r="AB2330">
        <v>2500</v>
      </c>
      <c r="AC2330">
        <v>2435</v>
      </c>
      <c r="AD2330">
        <v>1161</v>
      </c>
      <c r="AE2330">
        <v>1274</v>
      </c>
      <c r="AF2330">
        <v>0</v>
      </c>
      <c r="AG2330">
        <v>0</v>
      </c>
      <c r="AH2330">
        <v>0</v>
      </c>
      <c r="AI2330">
        <v>0</v>
      </c>
      <c r="AJ2330">
        <v>787</v>
      </c>
      <c r="AK2330">
        <v>0</v>
      </c>
      <c r="AL2330">
        <v>0</v>
      </c>
      <c r="AM2330">
        <v>182</v>
      </c>
      <c r="AN2330">
        <v>198</v>
      </c>
      <c r="AO2330">
        <v>0</v>
      </c>
      <c r="AP2330">
        <v>12</v>
      </c>
      <c r="AQ2330">
        <v>0</v>
      </c>
      <c r="AR2330">
        <v>0</v>
      </c>
      <c r="AS2330" t="s">
        <v>58</v>
      </c>
      <c r="AT2330">
        <v>1</v>
      </c>
      <c r="AU2330" t="s">
        <v>63</v>
      </c>
      <c r="AV2330" t="s">
        <v>64</v>
      </c>
      <c r="AW2330">
        <v>1</v>
      </c>
      <c r="AX2330">
        <v>4</v>
      </c>
      <c r="AY2330">
        <v>0</v>
      </c>
      <c r="AZ2330">
        <v>0</v>
      </c>
      <c r="BA2330">
        <v>100</v>
      </c>
      <c r="BB2330">
        <v>100</v>
      </c>
      <c r="BC2330">
        <v>100</v>
      </c>
      <c r="BD2330">
        <v>100</v>
      </c>
      <c r="BE2330">
        <v>1</v>
      </c>
      <c r="BF2330">
        <v>15000</v>
      </c>
      <c r="BG2330">
        <v>1000</v>
      </c>
      <c r="BH2330" s="6">
        <f>Grandview_Inventory[[#This Row],[land_extract]]*Lookups!$B$3</f>
        <v>51342.318135355803</v>
      </c>
      <c r="BI2330" s="6">
        <f>IF(Grandview_Inventory[[#This Row],[bldg_style]]="",0,Lookups!$B$2)</f>
        <v>155833.95000000001</v>
      </c>
      <c r="BJ2330" s="6">
        <f>_xlfn.IFNA(VLOOKUP(Grandview_Inventory[[#This Row],[quality]],Lookups!$H$2:$J$14,3,FALSE),0)</f>
        <v>9808</v>
      </c>
      <c r="BK2330" s="6">
        <f>_xlfn.IFNA(VLOOKUP(Grandview_Inventory[[#This Row],[condition]],Lookups!$H$17:$J$24,3,FALSE),0)</f>
        <v>25780</v>
      </c>
      <c r="BL2330" s="6">
        <f>Grandview_Inventory[[#This Row],[Eff_Age]]*Lookups!$B$14</f>
        <v>-478.33319999999998</v>
      </c>
      <c r="BM2330" s="6">
        <f>Grandview_Inventory[[#This Row],[living_area]]*Lookups!$B$15</f>
        <v>151897.37705500002</v>
      </c>
      <c r="BN2330" s="6">
        <f>Grandview_Inventory[[#This Row],[Fin BSMT]]*Lookups!$B$16</f>
        <v>0</v>
      </c>
      <c r="BO2330" s="6">
        <f>(Grandview_Inventory[[#This Row],[att_gar]]+Grandview_Inventory[[#This Row],[bltin_gar]])*Lookups!$B$17</f>
        <v>68878.583918999997</v>
      </c>
      <c r="BP2330" s="6">
        <f>Grandview_Inventory[[#This Row],[Plumbing Fixtures]]*Lookups!$B$18</f>
        <v>24125.301599999999</v>
      </c>
      <c r="BQ2330" s="6">
        <f>Grandview_Inventory[[#This Row],[detatched_value]]*Lookups!$B$19</f>
        <v>0</v>
      </c>
      <c r="BR2330" s="6">
        <f>SUM(Grandview_Inventory[[#This Row],[Intercept]:[det_value]])*Grandview_Inventory[[#This Row],[res_pct]]</f>
        <v>435844.87937400001</v>
      </c>
      <c r="BS2330" s="6">
        <f>Grandview_Inventory[[#This Row],[land_value]]</f>
        <v>51342.318135355803</v>
      </c>
      <c r="BT2330" s="4">
        <f>_xlfn.IFNA(VLOOKUP(Grandview_Inventory[[#This Row],[quality]],Lookups!$A$26:$C$33,3,FALSE),1)</f>
        <v>0.94295468617355149</v>
      </c>
      <c r="BU2330" s="4">
        <f>_xlfn.IFNA(VLOOKUP(Grandview_Inventory[[#This Row],[condition]],Lookups!$A$37:$C$44,3,FALSE),1)</f>
        <v>0.94347925387812148</v>
      </c>
      <c r="BV2330" s="4">
        <f>IF(Grandview_Inventory[[#This Row],[bldg_style]]="",1,_xlfn.IFNA(VLOOKUP(Grandview_Inventory[[#This Row],[decade]],Lookups!$F$29:$H$43,3,FALSE),1))</f>
        <v>0.94601966599150278</v>
      </c>
      <c r="BW2330" s="4">
        <f>_xlfn.IFNA(VLOOKUP(Grandview_Inventory[[#This Row],[living_area_range]],Lookups!$F$47:$H$56,3,FALSE),1)</f>
        <v>0.95799442568048754</v>
      </c>
      <c r="BX2330" s="4">
        <f>AVERAGE(Grandview_Inventory[[#This Row],[qual_adj]:[size_adj]])</f>
        <v>0.94761200793091582</v>
      </c>
      <c r="BY2330" s="6">
        <f>IF(Grandview_Inventory[[#This Row],[pre_res]]&lt;0,0,Grandview_Inventory[[#This Row],[pre_res]]*Grandview_Inventory[[#This Row],[overall_adj]])</f>
        <v>413011.84129000397</v>
      </c>
      <c r="BZ2330" s="6">
        <f>(Grandview_Inventory[[#This Row],[sum_land]]-IF(Grandview_Inventory[[#This Row],[no_utilities]]=1,12000,0))/IF(Grandview_Inventory[[#This Row],[unbuildable]]=1,2,1)</f>
        <v>51342.318135355803</v>
      </c>
      <c r="CA2330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0">
        <f>ROUND(Grandview_Inventory[[#This Row],[det_value]]*Lookups!$M$28,-2)</f>
        <v>0</v>
      </c>
      <c r="CC2330">
        <f>IF(ROUND(Grandview_Inventory[[#This Row],[adj_res]]*Lookups!$M$28,-2)&lt;Grandview_Inventory[[#This Row],[min_res]],Grandview_Inventory[[#This Row],[min_res]],ROUND(Grandview_Inventory[[#This Row],[adj_res]]*Lookups!$M$28,-2))</f>
        <v>392400</v>
      </c>
      <c r="CD2330">
        <f>Grandview_Inventory[[#This Row],[final_det]]+Grandview_Inventory[[#This Row],[final_res]]</f>
        <v>392400</v>
      </c>
      <c r="CE2330">
        <f>Grandview_Inventory[[#This Row],[final_land]]+Grandview_Inventory[[#This Row],[final_imp]]+Grandview_Inventory[[#This Row],[crop_value]]</f>
        <v>441200</v>
      </c>
      <c r="CG2330" t="str">
        <f t="shared" si="36"/>
        <v>update valuation set market_land =48800, market_bldg=392400, market_total =441200, market_mdno =401, market_date ='9/10/2023' where link_id = (select link_id from parcel where parcel_year = '2024' and parcel_id = '23092621438');</v>
      </c>
    </row>
    <row r="2331" spans="1:85" x14ac:dyDescent="0.25">
      <c r="A2331">
        <v>23092621439</v>
      </c>
      <c r="B2331" t="s">
        <v>129</v>
      </c>
      <c r="C2331">
        <v>9300</v>
      </c>
      <c r="D2331" t="s">
        <v>129</v>
      </c>
      <c r="E2331" t="s">
        <v>53</v>
      </c>
      <c r="F2331" t="s">
        <v>53</v>
      </c>
      <c r="G2331">
        <v>4</v>
      </c>
      <c r="H2331" t="s">
        <v>54</v>
      </c>
      <c r="I2331">
        <v>293400</v>
      </c>
      <c r="J2331">
        <v>39500</v>
      </c>
      <c r="K2331">
        <v>0.21</v>
      </c>
      <c r="L2331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331">
        <v>0</v>
      </c>
      <c r="N2331">
        <v>0</v>
      </c>
      <c r="O2331">
        <v>0</v>
      </c>
      <c r="P2331">
        <v>13398.7528</v>
      </c>
      <c r="Q2331">
        <v>63903</v>
      </c>
      <c r="R2331">
        <f>(Grandview_Inventory[[#This Row],[ln_acres]]*Grandview_Inventory[[#This Row],[coeff]])+Grandview_Inventory[[#This Row],[const]]</f>
        <v>42992.266613125081</v>
      </c>
      <c r="S2331" t="s">
        <v>61</v>
      </c>
      <c r="T2331">
        <v>1</v>
      </c>
      <c r="U2331" t="s">
        <v>62</v>
      </c>
      <c r="V2331" t="s">
        <v>57</v>
      </c>
      <c r="W2331">
        <v>0</v>
      </c>
      <c r="X2331">
        <v>0</v>
      </c>
      <c r="Y2331">
        <v>1</v>
      </c>
      <c r="Z2331">
        <v>1</v>
      </c>
      <c r="AA2331">
        <v>10</v>
      </c>
      <c r="AB2331">
        <v>2500</v>
      </c>
      <c r="AC2331">
        <v>2410</v>
      </c>
      <c r="AD2331">
        <v>1990</v>
      </c>
      <c r="AE2331">
        <v>0</v>
      </c>
      <c r="AF2331">
        <v>420</v>
      </c>
      <c r="AG2331">
        <v>0</v>
      </c>
      <c r="AH2331">
        <v>0</v>
      </c>
      <c r="AI2331">
        <v>0</v>
      </c>
      <c r="AJ2331">
        <v>682</v>
      </c>
      <c r="AK2331">
        <v>0</v>
      </c>
      <c r="AL2331">
        <v>0</v>
      </c>
      <c r="AM2331">
        <v>0</v>
      </c>
      <c r="AN2331">
        <v>270</v>
      </c>
      <c r="AO2331">
        <v>0</v>
      </c>
      <c r="AP2331">
        <v>9</v>
      </c>
      <c r="AQ2331">
        <v>0</v>
      </c>
      <c r="AR2331">
        <v>0</v>
      </c>
      <c r="AS2331" t="s">
        <v>58</v>
      </c>
      <c r="AT2331">
        <v>1</v>
      </c>
      <c r="AU2331" t="s">
        <v>63</v>
      </c>
      <c r="AV2331" t="s">
        <v>64</v>
      </c>
      <c r="AW2331">
        <v>1</v>
      </c>
      <c r="AX2331">
        <v>3</v>
      </c>
      <c r="AY2331">
        <v>0</v>
      </c>
      <c r="AZ2331">
        <v>0</v>
      </c>
      <c r="BA2331">
        <v>100</v>
      </c>
      <c r="BB2331">
        <v>100</v>
      </c>
      <c r="BC2331">
        <v>100</v>
      </c>
      <c r="BD2331">
        <v>100</v>
      </c>
      <c r="BE2331">
        <v>1</v>
      </c>
      <c r="BF2331">
        <v>15000</v>
      </c>
      <c r="BG2331">
        <v>1000</v>
      </c>
      <c r="BH2331" s="6">
        <f>Grandview_Inventory[[#This Row],[land_extract]]*Lookups!$B$3</f>
        <v>49926.8031387023</v>
      </c>
      <c r="BI2331" s="6">
        <f>IF(Grandview_Inventory[[#This Row],[bldg_style]]="",0,Lookups!$B$2)</f>
        <v>155833.95000000001</v>
      </c>
      <c r="BJ2331" s="6">
        <f>_xlfn.IFNA(VLOOKUP(Grandview_Inventory[[#This Row],[quality]],Lookups!$H$2:$J$14,3,FALSE),0)</f>
        <v>9808</v>
      </c>
      <c r="BK2331" s="6">
        <f>_xlfn.IFNA(VLOOKUP(Grandview_Inventory[[#This Row],[condition]],Lookups!$H$17:$J$24,3,FALSE),0)</f>
        <v>25780</v>
      </c>
      <c r="BL2331" s="6">
        <f>Grandview_Inventory[[#This Row],[Eff_Age]]*Lookups!$B$14</f>
        <v>-239.16659999999999</v>
      </c>
      <c r="BM2331" s="6">
        <f>Grandview_Inventory[[#This Row],[living_area]]*Lookups!$B$15</f>
        <v>150337.85573000001</v>
      </c>
      <c r="BN2331" s="6">
        <f>Grandview_Inventory[[#This Row],[Fin BSMT]]*Lookups!$B$16</f>
        <v>0</v>
      </c>
      <c r="BO2331" s="6">
        <f>(Grandview_Inventory[[#This Row],[att_gar]]+Grandview_Inventory[[#This Row],[bltin_gar]])*Lookups!$B$17</f>
        <v>59688.938033999999</v>
      </c>
      <c r="BP2331" s="6">
        <f>Grandview_Inventory[[#This Row],[Plumbing Fixtures]]*Lookups!$B$18</f>
        <v>18093.976200000001</v>
      </c>
      <c r="BQ2331" s="6">
        <f>Grandview_Inventory[[#This Row],[detatched_value]]*Lookups!$B$19</f>
        <v>0</v>
      </c>
      <c r="BR2331" s="6">
        <f>SUM(Grandview_Inventory[[#This Row],[Intercept]:[det_value]])*Grandview_Inventory[[#This Row],[res_pct]]</f>
        <v>419303.55336399999</v>
      </c>
      <c r="BS2331" s="6">
        <f>Grandview_Inventory[[#This Row],[land_value]]</f>
        <v>49926.8031387023</v>
      </c>
      <c r="BT2331" s="4">
        <f>_xlfn.IFNA(VLOOKUP(Grandview_Inventory[[#This Row],[quality]],Lookups!$A$26:$C$33,3,FALSE),1)</f>
        <v>0.94295468617355149</v>
      </c>
      <c r="BU2331" s="4">
        <f>_xlfn.IFNA(VLOOKUP(Grandview_Inventory[[#This Row],[condition]],Lookups!$A$37:$C$44,3,FALSE),1)</f>
        <v>0.94347925387812148</v>
      </c>
      <c r="BV2331" s="4">
        <f>IF(Grandview_Inventory[[#This Row],[bldg_style]]="",1,_xlfn.IFNA(VLOOKUP(Grandview_Inventory[[#This Row],[decade]],Lookups!$F$29:$H$43,3,FALSE),1))</f>
        <v>0.94601966599150278</v>
      </c>
      <c r="BW2331" s="4">
        <f>_xlfn.IFNA(VLOOKUP(Grandview_Inventory[[#This Row],[living_area_range]],Lookups!$F$47:$H$56,3,FALSE),1)</f>
        <v>0.95799442568048754</v>
      </c>
      <c r="BX2331" s="4">
        <f>AVERAGE(Grandview_Inventory[[#This Row],[qual_adj]:[size_adj]])</f>
        <v>0.94761200793091582</v>
      </c>
      <c r="BY2331" s="6">
        <f>IF(Grandview_Inventory[[#This Row],[pre_res]]&lt;0,0,Grandview_Inventory[[#This Row],[pre_res]]*Grandview_Inventory[[#This Row],[overall_adj]])</f>
        <v>397337.08213582792</v>
      </c>
      <c r="BZ2331" s="6">
        <f>(Grandview_Inventory[[#This Row],[sum_land]]-IF(Grandview_Inventory[[#This Row],[no_utilities]]=1,12000,0))/IF(Grandview_Inventory[[#This Row],[unbuildable]]=1,2,1)</f>
        <v>49926.8031387023</v>
      </c>
      <c r="CA2331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331">
        <f>ROUND(Grandview_Inventory[[#This Row],[det_value]]*Lookups!$M$28,-2)</f>
        <v>0</v>
      </c>
      <c r="CC2331">
        <f>IF(ROUND(Grandview_Inventory[[#This Row],[adj_res]]*Lookups!$M$28,-2)&lt;Grandview_Inventory[[#This Row],[min_res]],Grandview_Inventory[[#This Row],[min_res]],ROUND(Grandview_Inventory[[#This Row],[adj_res]]*Lookups!$M$28,-2))</f>
        <v>377500</v>
      </c>
      <c r="CD2331">
        <f>Grandview_Inventory[[#This Row],[final_det]]+Grandview_Inventory[[#This Row],[final_res]]</f>
        <v>377500</v>
      </c>
      <c r="CE2331">
        <f>Grandview_Inventory[[#This Row],[final_land]]+Grandview_Inventory[[#This Row],[final_imp]]+Grandview_Inventory[[#This Row],[crop_value]]</f>
        <v>424900</v>
      </c>
      <c r="CG2331" t="str">
        <f t="shared" si="36"/>
        <v>update valuation set market_land =47400, market_bldg=377500, market_total =424900, market_mdno =401, market_date ='9/10/2023' where link_id = (select link_id from parcel where parcel_year = '2024' and parcel_id = '23092621439');</v>
      </c>
    </row>
    <row r="2332" spans="1:85" x14ac:dyDescent="0.25">
      <c r="A2332">
        <v>23092621440</v>
      </c>
      <c r="B2332" t="s">
        <v>129</v>
      </c>
      <c r="C2332">
        <v>9900</v>
      </c>
      <c r="D2332" t="s">
        <v>129</v>
      </c>
      <c r="E2332" t="s">
        <v>53</v>
      </c>
      <c r="F2332" t="s">
        <v>53</v>
      </c>
      <c r="G2332">
        <v>4</v>
      </c>
      <c r="H2332" t="s">
        <v>54</v>
      </c>
      <c r="I2332">
        <v>344400</v>
      </c>
      <c r="J2332">
        <v>39500</v>
      </c>
      <c r="K2332">
        <v>0.23</v>
      </c>
      <c r="L233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2">
        <v>0</v>
      </c>
      <c r="N2332">
        <v>0</v>
      </c>
      <c r="O2332">
        <v>0</v>
      </c>
      <c r="P2332">
        <v>13398.7528</v>
      </c>
      <c r="Q2332">
        <v>63903</v>
      </c>
      <c r="R2332">
        <f>(Grandview_Inventory[[#This Row],[ln_acres]]*Grandview_Inventory[[#This Row],[coeff]])+Grandview_Inventory[[#This Row],[const]]</f>
        <v>44211.174981080039</v>
      </c>
      <c r="S2332" t="s">
        <v>58</v>
      </c>
      <c r="T2332">
        <v>2</v>
      </c>
      <c r="U2332" t="s">
        <v>64</v>
      </c>
      <c r="V2332" t="s">
        <v>57</v>
      </c>
      <c r="W2332">
        <v>0</v>
      </c>
      <c r="X2332">
        <v>0</v>
      </c>
      <c r="Y2332">
        <v>1</v>
      </c>
      <c r="Z2332">
        <v>1</v>
      </c>
      <c r="AA2332">
        <v>10</v>
      </c>
      <c r="AB2332">
        <v>3000</v>
      </c>
      <c r="AC2332">
        <v>2546</v>
      </c>
      <c r="AD2332">
        <v>1180</v>
      </c>
      <c r="AE2332">
        <v>1366</v>
      </c>
      <c r="AF2332">
        <v>0</v>
      </c>
      <c r="AG2332">
        <v>0</v>
      </c>
      <c r="AH2332">
        <v>0</v>
      </c>
      <c r="AI2332">
        <v>338</v>
      </c>
      <c r="AJ2332">
        <v>440</v>
      </c>
      <c r="AK2332">
        <v>0</v>
      </c>
      <c r="AL2332">
        <v>0</v>
      </c>
      <c r="AM2332">
        <v>0</v>
      </c>
      <c r="AN2332">
        <v>210</v>
      </c>
      <c r="AO2332">
        <v>0</v>
      </c>
      <c r="AP2332">
        <v>12</v>
      </c>
      <c r="AQ2332">
        <v>0</v>
      </c>
      <c r="AR2332">
        <v>0</v>
      </c>
      <c r="AS2332" t="s">
        <v>58</v>
      </c>
      <c r="AT2332">
        <v>1</v>
      </c>
      <c r="AU2332" t="s">
        <v>63</v>
      </c>
      <c r="AV2332" t="s">
        <v>64</v>
      </c>
      <c r="AW2332">
        <v>1</v>
      </c>
      <c r="AX2332">
        <v>3</v>
      </c>
      <c r="AY2332">
        <v>0</v>
      </c>
      <c r="AZ2332">
        <v>0</v>
      </c>
      <c r="BA2332">
        <v>100</v>
      </c>
      <c r="BB2332">
        <v>100</v>
      </c>
      <c r="BC2332">
        <v>100</v>
      </c>
      <c r="BD2332">
        <v>100</v>
      </c>
      <c r="BE2332">
        <v>1</v>
      </c>
      <c r="BF2332">
        <v>15000</v>
      </c>
      <c r="BG2332">
        <v>1000</v>
      </c>
      <c r="BH2332" s="6">
        <f>Grandview_Inventory[[#This Row],[land_extract]]*Lookups!$B$3</f>
        <v>51342.318135355803</v>
      </c>
      <c r="BI2332" s="6">
        <f>IF(Grandview_Inventory[[#This Row],[bldg_style]]="",0,Lookups!$B$2)</f>
        <v>155833.95000000001</v>
      </c>
      <c r="BJ2332" s="6">
        <f>_xlfn.IFNA(VLOOKUP(Grandview_Inventory[[#This Row],[quality]],Lookups!$H$2:$J$14,3,FALSE),0)</f>
        <v>20768</v>
      </c>
      <c r="BK2332" s="6">
        <f>_xlfn.IFNA(VLOOKUP(Grandview_Inventory[[#This Row],[condition]],Lookups!$H$17:$J$24,3,FALSE),0)</f>
        <v>25780</v>
      </c>
      <c r="BL2332" s="6">
        <f>Grandview_Inventory[[#This Row],[Eff_Age]]*Lookups!$B$14</f>
        <v>-239.16659999999999</v>
      </c>
      <c r="BM2332" s="6">
        <f>Grandview_Inventory[[#This Row],[living_area]]*Lookups!$B$15</f>
        <v>158821.65173800002</v>
      </c>
      <c r="BN2332" s="6">
        <f>Grandview_Inventory[[#This Row],[Fin BSMT]]*Lookups!$B$16</f>
        <v>0</v>
      </c>
      <c r="BO2332" s="6">
        <f>(Grandview_Inventory[[#This Row],[att_gar]]+Grandview_Inventory[[#This Row],[bltin_gar]])*Lookups!$B$17</f>
        <v>68090.899986000004</v>
      </c>
      <c r="BP2332" s="6">
        <f>Grandview_Inventory[[#This Row],[Plumbing Fixtures]]*Lookups!$B$18</f>
        <v>24125.301599999999</v>
      </c>
      <c r="BQ2332" s="6">
        <f>Grandview_Inventory[[#This Row],[detatched_value]]*Lookups!$B$19</f>
        <v>0</v>
      </c>
      <c r="BR2332" s="6">
        <f>SUM(Grandview_Inventory[[#This Row],[Intercept]:[det_value]])*Grandview_Inventory[[#This Row],[res_pct]]</f>
        <v>453180.6367240001</v>
      </c>
      <c r="BS2332" s="6">
        <f>Grandview_Inventory[[#This Row],[land_value]]</f>
        <v>51342.318135355803</v>
      </c>
      <c r="BT2332" s="4">
        <f>_xlfn.IFNA(VLOOKUP(Grandview_Inventory[[#This Row],[quality]],Lookups!$A$26:$C$33,3,FALSE),1)</f>
        <v>0.94960540378902636</v>
      </c>
      <c r="BU2332" s="4">
        <f>_xlfn.IFNA(VLOOKUP(Grandview_Inventory[[#This Row],[condition]],Lookups!$A$37:$C$44,3,FALSE),1)</f>
        <v>0.94347925387812148</v>
      </c>
      <c r="BV2332" s="4">
        <f>IF(Grandview_Inventory[[#This Row],[bldg_style]]="",1,_xlfn.IFNA(VLOOKUP(Grandview_Inventory[[#This Row],[decade]],Lookups!$F$29:$H$43,3,FALSE),1))</f>
        <v>0.94601966599150278</v>
      </c>
      <c r="BW2332" s="4">
        <f>_xlfn.IFNA(VLOOKUP(Grandview_Inventory[[#This Row],[living_area_range]],Lookups!$F$47:$H$56,3,FALSE),1)</f>
        <v>0.94224801443562123</v>
      </c>
      <c r="BX2332" s="4">
        <f>AVERAGE(Grandview_Inventory[[#This Row],[qual_adj]:[size_adj]])</f>
        <v>0.94533808452356805</v>
      </c>
      <c r="BY2332" s="6">
        <f>IF(Grandview_Inventory[[#This Row],[pre_res]]&lt;0,0,Grandview_Inventory[[#This Row],[pre_res]]*Grandview_Inventory[[#This Row],[overall_adj]])</f>
        <v>428408.91506383719</v>
      </c>
      <c r="BZ2332" s="6">
        <f>(Grandview_Inventory[[#This Row],[sum_land]]-IF(Grandview_Inventory[[#This Row],[no_utilities]]=1,12000,0))/IF(Grandview_Inventory[[#This Row],[unbuildable]]=1,2,1)</f>
        <v>51342.318135355803</v>
      </c>
      <c r="CA233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2">
        <f>ROUND(Grandview_Inventory[[#This Row],[det_value]]*Lookups!$M$28,-2)</f>
        <v>0</v>
      </c>
      <c r="CC2332">
        <f>IF(ROUND(Grandview_Inventory[[#This Row],[adj_res]]*Lookups!$M$28,-2)&lt;Grandview_Inventory[[#This Row],[min_res]],Grandview_Inventory[[#This Row],[min_res]],ROUND(Grandview_Inventory[[#This Row],[adj_res]]*Lookups!$M$28,-2))</f>
        <v>407000</v>
      </c>
      <c r="CD2332">
        <f>Grandview_Inventory[[#This Row],[final_det]]+Grandview_Inventory[[#This Row],[final_res]]</f>
        <v>407000</v>
      </c>
      <c r="CE2332">
        <f>Grandview_Inventory[[#This Row],[final_land]]+Grandview_Inventory[[#This Row],[final_imp]]+Grandview_Inventory[[#This Row],[crop_value]]</f>
        <v>455800</v>
      </c>
      <c r="CG2332" t="str">
        <f t="shared" si="36"/>
        <v>update valuation set market_land =48800, market_bldg=407000, market_total =455800, market_mdno =401, market_date ='9/10/2023' where link_id = (select link_id from parcel where parcel_year = '2024' and parcel_id = '23092621440');</v>
      </c>
    </row>
    <row r="2333" spans="1:85" x14ac:dyDescent="0.25">
      <c r="A2333">
        <v>23092621441</v>
      </c>
      <c r="B2333" t="s">
        <v>129</v>
      </c>
      <c r="C2333">
        <v>9900</v>
      </c>
      <c r="D2333" t="s">
        <v>129</v>
      </c>
      <c r="E2333" t="s">
        <v>53</v>
      </c>
      <c r="F2333" t="s">
        <v>53</v>
      </c>
      <c r="G2333">
        <v>4</v>
      </c>
      <c r="H2333" t="s">
        <v>54</v>
      </c>
      <c r="I2333">
        <v>302600</v>
      </c>
      <c r="J2333">
        <v>39500</v>
      </c>
      <c r="K2333">
        <v>0.23</v>
      </c>
      <c r="L233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3">
        <v>0</v>
      </c>
      <c r="N2333">
        <v>0</v>
      </c>
      <c r="O2333">
        <v>0</v>
      </c>
      <c r="P2333">
        <v>13398.7528</v>
      </c>
      <c r="Q2333">
        <v>63903</v>
      </c>
      <c r="R2333">
        <f>(Grandview_Inventory[[#This Row],[ln_acres]]*Grandview_Inventory[[#This Row],[coeff]])+Grandview_Inventory[[#This Row],[const]]</f>
        <v>44211.174981080039</v>
      </c>
      <c r="S2333" t="s">
        <v>58</v>
      </c>
      <c r="T2333">
        <v>1</v>
      </c>
      <c r="U2333" t="s">
        <v>62</v>
      </c>
      <c r="V2333" t="s">
        <v>57</v>
      </c>
      <c r="W2333">
        <v>0</v>
      </c>
      <c r="X2333">
        <v>0</v>
      </c>
      <c r="Y2333">
        <v>1</v>
      </c>
      <c r="Z2333">
        <v>1</v>
      </c>
      <c r="AA2333">
        <v>10</v>
      </c>
      <c r="AB2333">
        <v>2000</v>
      </c>
      <c r="AC2333">
        <v>1944</v>
      </c>
      <c r="AD2333">
        <v>1944</v>
      </c>
      <c r="AE2333">
        <v>0</v>
      </c>
      <c r="AF2333">
        <v>0</v>
      </c>
      <c r="AG2333">
        <v>0</v>
      </c>
      <c r="AH2333">
        <v>0</v>
      </c>
      <c r="AI2333">
        <v>698</v>
      </c>
      <c r="AJ2333">
        <v>0</v>
      </c>
      <c r="AK2333">
        <v>0</v>
      </c>
      <c r="AL2333">
        <v>0</v>
      </c>
      <c r="AM2333">
        <v>0</v>
      </c>
      <c r="AN2333">
        <v>316</v>
      </c>
      <c r="AO2333">
        <v>0</v>
      </c>
      <c r="AP2333">
        <v>9</v>
      </c>
      <c r="AQ2333">
        <v>0</v>
      </c>
      <c r="AR2333">
        <v>0</v>
      </c>
      <c r="AS2333" t="s">
        <v>58</v>
      </c>
      <c r="AT2333">
        <v>1</v>
      </c>
      <c r="AU2333" t="s">
        <v>63</v>
      </c>
      <c r="AV2333" t="s">
        <v>64</v>
      </c>
      <c r="AW2333">
        <v>1</v>
      </c>
      <c r="AX2333">
        <v>3</v>
      </c>
      <c r="AY2333">
        <v>0</v>
      </c>
      <c r="AZ2333">
        <v>0</v>
      </c>
      <c r="BA2333">
        <v>100</v>
      </c>
      <c r="BB2333">
        <v>100</v>
      </c>
      <c r="BC2333">
        <v>100</v>
      </c>
      <c r="BD2333">
        <v>100</v>
      </c>
      <c r="BE2333">
        <v>1</v>
      </c>
      <c r="BF2333">
        <v>15000</v>
      </c>
      <c r="BG2333">
        <v>1000</v>
      </c>
      <c r="BH2333" s="6">
        <f>Grandview_Inventory[[#This Row],[land_extract]]*Lookups!$B$3</f>
        <v>51342.318135355803</v>
      </c>
      <c r="BI2333" s="6">
        <f>IF(Grandview_Inventory[[#This Row],[bldg_style]]="",0,Lookups!$B$2)</f>
        <v>155833.95000000001</v>
      </c>
      <c r="BJ2333" s="6">
        <f>_xlfn.IFNA(VLOOKUP(Grandview_Inventory[[#This Row],[quality]],Lookups!$H$2:$J$14,3,FALSE),0)</f>
        <v>9808</v>
      </c>
      <c r="BK2333" s="6">
        <f>_xlfn.IFNA(VLOOKUP(Grandview_Inventory[[#This Row],[condition]],Lookups!$H$17:$J$24,3,FALSE),0)</f>
        <v>25780</v>
      </c>
      <c r="BL2333" s="6">
        <f>Grandview_Inventory[[#This Row],[Eff_Age]]*Lookups!$B$14</f>
        <v>-239.16659999999999</v>
      </c>
      <c r="BM2333" s="6">
        <f>Grandview_Inventory[[#This Row],[living_area]]*Lookups!$B$15</f>
        <v>121268.378232</v>
      </c>
      <c r="BN2333" s="6">
        <f>Grandview_Inventory[[#This Row],[Fin BSMT]]*Lookups!$B$16</f>
        <v>0</v>
      </c>
      <c r="BO2333" s="6">
        <f>(Grandview_Inventory[[#This Row],[att_gar]]+Grandview_Inventory[[#This Row],[bltin_gar]])*Lookups!$B$17</f>
        <v>61089.265026000001</v>
      </c>
      <c r="BP2333" s="6">
        <f>Grandview_Inventory[[#This Row],[Plumbing Fixtures]]*Lookups!$B$18</f>
        <v>18093.976200000001</v>
      </c>
      <c r="BQ2333" s="6">
        <f>Grandview_Inventory[[#This Row],[detatched_value]]*Lookups!$B$19</f>
        <v>0</v>
      </c>
      <c r="BR2333" s="6">
        <f>SUM(Grandview_Inventory[[#This Row],[Intercept]:[det_value]])*Grandview_Inventory[[#This Row],[res_pct]]</f>
        <v>391634.40285799996</v>
      </c>
      <c r="BS2333" s="6">
        <f>Grandview_Inventory[[#This Row],[land_value]]</f>
        <v>51342.318135355803</v>
      </c>
      <c r="BT2333" s="4">
        <f>_xlfn.IFNA(VLOOKUP(Grandview_Inventory[[#This Row],[quality]],Lookups!$A$26:$C$33,3,FALSE),1)</f>
        <v>0.94295468617355149</v>
      </c>
      <c r="BU2333" s="4">
        <f>_xlfn.IFNA(VLOOKUP(Grandview_Inventory[[#This Row],[condition]],Lookups!$A$37:$C$44,3,FALSE),1)</f>
        <v>0.94347925387812148</v>
      </c>
      <c r="BV2333" s="4">
        <f>IF(Grandview_Inventory[[#This Row],[bldg_style]]="",1,_xlfn.IFNA(VLOOKUP(Grandview_Inventory[[#This Row],[decade]],Lookups!$F$29:$H$43,3,FALSE),1))</f>
        <v>0.94601966599150278</v>
      </c>
      <c r="BW2333" s="4">
        <f>_xlfn.IFNA(VLOOKUP(Grandview_Inventory[[#This Row],[living_area_range]],Lookups!$F$47:$H$56,3,FALSE),1)</f>
        <v>0.96120133463014379</v>
      </c>
      <c r="BX2333" s="4">
        <f>AVERAGE(Grandview_Inventory[[#This Row],[qual_adj]:[size_adj]])</f>
        <v>0.94841373516832994</v>
      </c>
      <c r="BY2333" s="6">
        <f>IF(Grandview_Inventory[[#This Row],[pre_res]]&lt;0,0,Grandview_Inventory[[#This Row],[pre_res]]*Grandview_Inventory[[#This Row],[overall_adj]])</f>
        <v>371431.44683497422</v>
      </c>
      <c r="BZ2333" s="6">
        <f>(Grandview_Inventory[[#This Row],[sum_land]]-IF(Grandview_Inventory[[#This Row],[no_utilities]]=1,12000,0))/IF(Grandview_Inventory[[#This Row],[unbuildable]]=1,2,1)</f>
        <v>51342.318135355803</v>
      </c>
      <c r="CA233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3">
        <f>ROUND(Grandview_Inventory[[#This Row],[det_value]]*Lookups!$M$28,-2)</f>
        <v>0</v>
      </c>
      <c r="CC2333">
        <f>IF(ROUND(Grandview_Inventory[[#This Row],[adj_res]]*Lookups!$M$28,-2)&lt;Grandview_Inventory[[#This Row],[min_res]],Grandview_Inventory[[#This Row],[min_res]],ROUND(Grandview_Inventory[[#This Row],[adj_res]]*Lookups!$M$28,-2))</f>
        <v>352900</v>
      </c>
      <c r="CD2333">
        <f>Grandview_Inventory[[#This Row],[final_det]]+Grandview_Inventory[[#This Row],[final_res]]</f>
        <v>352900</v>
      </c>
      <c r="CE2333">
        <f>Grandview_Inventory[[#This Row],[final_land]]+Grandview_Inventory[[#This Row],[final_imp]]+Grandview_Inventory[[#This Row],[crop_value]]</f>
        <v>401700</v>
      </c>
      <c r="CG2333" t="str">
        <f t="shared" si="36"/>
        <v>update valuation set market_land =48800, market_bldg=352900, market_total =401700, market_mdno =401, market_date ='9/10/2023' where link_id = (select link_id from parcel where parcel_year = '2024' and parcel_id = '23092621441');</v>
      </c>
    </row>
    <row r="2334" spans="1:85" x14ac:dyDescent="0.25">
      <c r="A2334">
        <v>23092621442</v>
      </c>
      <c r="B2334" t="s">
        <v>129</v>
      </c>
      <c r="C2334">
        <v>9900</v>
      </c>
      <c r="D2334" t="s">
        <v>129</v>
      </c>
      <c r="E2334" t="s">
        <v>53</v>
      </c>
      <c r="F2334" t="s">
        <v>53</v>
      </c>
      <c r="G2334">
        <v>4</v>
      </c>
      <c r="H2334" t="s">
        <v>54</v>
      </c>
      <c r="I2334">
        <v>0</v>
      </c>
      <c r="J2334">
        <v>33000</v>
      </c>
      <c r="K2334">
        <v>0.23</v>
      </c>
      <c r="L233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4">
        <v>0</v>
      </c>
      <c r="N2334">
        <v>0</v>
      </c>
      <c r="O2334">
        <v>0</v>
      </c>
      <c r="P2334">
        <v>13398.7528</v>
      </c>
      <c r="Q2334">
        <v>63903</v>
      </c>
      <c r="R2334">
        <f>(Grandview_Inventory[[#This Row],[ln_acres]]*Grandview_Inventory[[#This Row],[coeff]])+Grandview_Inventory[[#This Row],[const]]</f>
        <v>44211.174981080039</v>
      </c>
      <c r="S2334" t="s">
        <v>55</v>
      </c>
      <c r="T2334">
        <v>1</v>
      </c>
      <c r="U2334" t="s">
        <v>62</v>
      </c>
      <c r="V2334" t="s">
        <v>57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2500</v>
      </c>
      <c r="AC2334">
        <v>2168</v>
      </c>
      <c r="AD2334">
        <v>896</v>
      </c>
      <c r="AE2334">
        <v>1272</v>
      </c>
      <c r="AF2334">
        <v>0</v>
      </c>
      <c r="AG2334">
        <v>0</v>
      </c>
      <c r="AH2334">
        <v>0</v>
      </c>
      <c r="AI2334">
        <v>0</v>
      </c>
      <c r="AJ2334">
        <v>440</v>
      </c>
      <c r="AK2334">
        <v>0</v>
      </c>
      <c r="AL2334">
        <v>0</v>
      </c>
      <c r="AM2334">
        <v>0</v>
      </c>
      <c r="AN2334">
        <v>272</v>
      </c>
      <c r="AO2334">
        <v>0</v>
      </c>
      <c r="AP2334">
        <v>12</v>
      </c>
      <c r="AQ2334">
        <v>0</v>
      </c>
      <c r="AR2334">
        <v>0</v>
      </c>
      <c r="AS2334" t="s">
        <v>58</v>
      </c>
      <c r="AT2334">
        <v>1</v>
      </c>
      <c r="AU2334" t="s">
        <v>59</v>
      </c>
      <c r="AV2334" t="s">
        <v>60</v>
      </c>
      <c r="AW2334">
        <v>1</v>
      </c>
      <c r="AX2334">
        <v>3</v>
      </c>
      <c r="AY2334">
        <v>0</v>
      </c>
      <c r="AZ2334">
        <v>0</v>
      </c>
      <c r="BA2334">
        <v>100</v>
      </c>
      <c r="BB2334">
        <v>100</v>
      </c>
      <c r="BC2334">
        <v>100</v>
      </c>
      <c r="BD2334">
        <v>100</v>
      </c>
      <c r="BE2334">
        <v>1</v>
      </c>
      <c r="BF2334">
        <v>15000</v>
      </c>
      <c r="BG2334">
        <v>1000</v>
      </c>
      <c r="BH2334" s="6">
        <f>Grandview_Inventory[[#This Row],[land_extract]]*Lookups!$B$3</f>
        <v>51342.318135355803</v>
      </c>
      <c r="BI2334" s="6">
        <f>IF(Grandview_Inventory[[#This Row],[bldg_style]]="",0,Lookups!$B$2)</f>
        <v>155833.95000000001</v>
      </c>
      <c r="BJ2334" s="6">
        <f>_xlfn.IFNA(VLOOKUP(Grandview_Inventory[[#This Row],[quality]],Lookups!$H$2:$J$14,3,FALSE),0)</f>
        <v>9808</v>
      </c>
      <c r="BK2334" s="6">
        <f>_xlfn.IFNA(VLOOKUP(Grandview_Inventory[[#This Row],[condition]],Lookups!$H$17:$J$24,3,FALSE),0)</f>
        <v>25780</v>
      </c>
      <c r="BL2334" s="6">
        <f>Grandview_Inventory[[#This Row],[Eff_Age]]*Lookups!$B$14</f>
        <v>0</v>
      </c>
      <c r="BM2334" s="6">
        <f>Grandview_Inventory[[#This Row],[living_area]]*Lookups!$B$15</f>
        <v>135241.689304</v>
      </c>
      <c r="BN2334" s="6">
        <f>Grandview_Inventory[[#This Row],[Fin BSMT]]*Lookups!$B$16</f>
        <v>0</v>
      </c>
      <c r="BO2334" s="6">
        <f>(Grandview_Inventory[[#This Row],[att_gar]]+Grandview_Inventory[[#This Row],[bltin_gar]])*Lookups!$B$17</f>
        <v>38508.992279999999</v>
      </c>
      <c r="BP2334" s="6">
        <f>Grandview_Inventory[[#This Row],[Plumbing Fixtures]]*Lookups!$B$18</f>
        <v>24125.301599999999</v>
      </c>
      <c r="BQ2334" s="6">
        <f>Grandview_Inventory[[#This Row],[detatched_value]]*Lookups!$B$19</f>
        <v>0</v>
      </c>
      <c r="BR2334" s="6">
        <f>SUM(Grandview_Inventory[[#This Row],[Intercept]:[det_value]])*Grandview_Inventory[[#This Row],[res_pct]]</f>
        <v>389297.93318400002</v>
      </c>
      <c r="BS2334" s="6">
        <f>Grandview_Inventory[[#This Row],[land_value]]</f>
        <v>51342.318135355803</v>
      </c>
      <c r="BT2334" s="4">
        <f>_xlfn.IFNA(VLOOKUP(Grandview_Inventory[[#This Row],[quality]],Lookups!$A$26:$C$33,3,FALSE),1)</f>
        <v>0.94295468617355149</v>
      </c>
      <c r="BU2334" s="4">
        <f>_xlfn.IFNA(VLOOKUP(Grandview_Inventory[[#This Row],[condition]],Lookups!$A$37:$C$44,3,FALSE),1)</f>
        <v>0.94347925387812148</v>
      </c>
      <c r="BV2334" s="4">
        <f>IF(Grandview_Inventory[[#This Row],[bldg_style]]="",1,_xlfn.IFNA(VLOOKUP(Grandview_Inventory[[#This Row],[decade]],Lookups!$F$29:$H$43,3,FALSE),1))</f>
        <v>0.9413635517371044</v>
      </c>
      <c r="BW2334" s="4">
        <f>_xlfn.IFNA(VLOOKUP(Grandview_Inventory[[#This Row],[living_area_range]],Lookups!$F$47:$H$56,3,FALSE),1)</f>
        <v>0.95799442568048754</v>
      </c>
      <c r="BX2334" s="4">
        <f>AVERAGE(Grandview_Inventory[[#This Row],[qual_adj]:[size_adj]])</f>
        <v>0.94644797936731617</v>
      </c>
      <c r="BY2334" s="6">
        <f>IF(Grandview_Inventory[[#This Row],[pre_res]]&lt;0,0,Grandview_Inventory[[#This Row],[pre_res]]*Grandview_Inventory[[#This Row],[overall_adj]])</f>
        <v>368450.24223386927</v>
      </c>
      <c r="BZ2334" s="6">
        <f>(Grandview_Inventory[[#This Row],[sum_land]]-IF(Grandview_Inventory[[#This Row],[no_utilities]]=1,12000,0))/IF(Grandview_Inventory[[#This Row],[unbuildable]]=1,2,1)</f>
        <v>51342.318135355803</v>
      </c>
      <c r="CA233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4">
        <f>ROUND(Grandview_Inventory[[#This Row],[det_value]]*Lookups!$M$28,-2)</f>
        <v>0</v>
      </c>
      <c r="CC2334">
        <f>IF(ROUND(Grandview_Inventory[[#This Row],[adj_res]]*Lookups!$M$28,-2)&lt;Grandview_Inventory[[#This Row],[min_res]],Grandview_Inventory[[#This Row],[min_res]],ROUND(Grandview_Inventory[[#This Row],[adj_res]]*Lookups!$M$28,-2))</f>
        <v>350000</v>
      </c>
      <c r="CD2334">
        <f>Grandview_Inventory[[#This Row],[final_det]]+Grandview_Inventory[[#This Row],[final_res]]</f>
        <v>350000</v>
      </c>
      <c r="CE2334">
        <f>Grandview_Inventory[[#This Row],[final_land]]+Grandview_Inventory[[#This Row],[final_imp]]+Grandview_Inventory[[#This Row],[crop_value]]</f>
        <v>398800</v>
      </c>
      <c r="CG2334" t="str">
        <f t="shared" si="36"/>
        <v>update valuation set market_land =48800, market_bldg=350000, market_total =398800, market_mdno =401, market_date ='9/10/2023' where link_id = (select link_id from parcel where parcel_year = '2024' and parcel_id = '23092621442');</v>
      </c>
    </row>
    <row r="2335" spans="1:85" x14ac:dyDescent="0.25">
      <c r="A2335">
        <v>23092621443</v>
      </c>
      <c r="B2335" t="s">
        <v>129</v>
      </c>
      <c r="C2335">
        <v>9900</v>
      </c>
      <c r="D2335" t="s">
        <v>129</v>
      </c>
      <c r="E2335" t="s">
        <v>53</v>
      </c>
      <c r="F2335" t="s">
        <v>53</v>
      </c>
      <c r="G2335">
        <v>4</v>
      </c>
      <c r="H2335" t="s">
        <v>54</v>
      </c>
      <c r="I2335">
        <v>0</v>
      </c>
      <c r="J2335">
        <v>33000</v>
      </c>
      <c r="K2335">
        <v>0.23</v>
      </c>
      <c r="L233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5">
        <v>0</v>
      </c>
      <c r="N2335">
        <v>0</v>
      </c>
      <c r="O2335">
        <v>0</v>
      </c>
      <c r="P2335">
        <v>13398.7528</v>
      </c>
      <c r="Q2335">
        <v>63903</v>
      </c>
      <c r="R2335">
        <f>(Grandview_Inventory[[#This Row],[ln_acres]]*Grandview_Inventory[[#This Row],[coeff]])+Grandview_Inventory[[#This Row],[const]]</f>
        <v>44211.174981080039</v>
      </c>
      <c r="S2335" t="s">
        <v>61</v>
      </c>
      <c r="T2335">
        <v>1</v>
      </c>
      <c r="U2335" t="s">
        <v>62</v>
      </c>
      <c r="V2335" t="s">
        <v>57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2000</v>
      </c>
      <c r="AC2335">
        <v>1879</v>
      </c>
      <c r="AD2335">
        <v>1879</v>
      </c>
      <c r="AE2335">
        <v>0</v>
      </c>
      <c r="AF2335">
        <v>0</v>
      </c>
      <c r="AG2335">
        <v>0</v>
      </c>
      <c r="AH2335">
        <v>0</v>
      </c>
      <c r="AI2335">
        <v>638</v>
      </c>
      <c r="AJ2335">
        <v>0</v>
      </c>
      <c r="AK2335">
        <v>0</v>
      </c>
      <c r="AL2335">
        <v>0</v>
      </c>
      <c r="AM2335">
        <v>0</v>
      </c>
      <c r="AN2335">
        <v>188</v>
      </c>
      <c r="AO2335">
        <v>0</v>
      </c>
      <c r="AP2335">
        <v>10</v>
      </c>
      <c r="AQ2335">
        <v>0</v>
      </c>
      <c r="AR2335">
        <v>0</v>
      </c>
      <c r="AS2335" t="s">
        <v>58</v>
      </c>
      <c r="AT2335">
        <v>1</v>
      </c>
      <c r="AU2335" t="s">
        <v>59</v>
      </c>
      <c r="AV2335" t="s">
        <v>60</v>
      </c>
      <c r="AW2335">
        <v>1</v>
      </c>
      <c r="AX2335">
        <v>3</v>
      </c>
      <c r="AY2335">
        <v>0</v>
      </c>
      <c r="AZ2335">
        <v>0</v>
      </c>
      <c r="BA2335">
        <v>100</v>
      </c>
      <c r="BB2335">
        <v>100</v>
      </c>
      <c r="BC2335">
        <v>100</v>
      </c>
      <c r="BD2335">
        <v>100</v>
      </c>
      <c r="BE2335">
        <v>1</v>
      </c>
      <c r="BF2335">
        <v>15000</v>
      </c>
      <c r="BG2335">
        <v>1000</v>
      </c>
      <c r="BH2335" s="6">
        <f>Grandview_Inventory[[#This Row],[land_extract]]*Lookups!$B$3</f>
        <v>51342.318135355803</v>
      </c>
      <c r="BI2335" s="6">
        <f>IF(Grandview_Inventory[[#This Row],[bldg_style]]="",0,Lookups!$B$2)</f>
        <v>155833.95000000001</v>
      </c>
      <c r="BJ2335" s="6">
        <f>_xlfn.IFNA(VLOOKUP(Grandview_Inventory[[#This Row],[quality]],Lookups!$H$2:$J$14,3,FALSE),0)</f>
        <v>9808</v>
      </c>
      <c r="BK2335" s="6">
        <f>_xlfn.IFNA(VLOOKUP(Grandview_Inventory[[#This Row],[condition]],Lookups!$H$17:$J$24,3,FALSE),0)</f>
        <v>25780</v>
      </c>
      <c r="BL2335" s="6">
        <f>Grandview_Inventory[[#This Row],[Eff_Age]]*Lookups!$B$14</f>
        <v>0</v>
      </c>
      <c r="BM2335" s="6">
        <f>Grandview_Inventory[[#This Row],[living_area]]*Lookups!$B$15</f>
        <v>117213.622787</v>
      </c>
      <c r="BN2335" s="6">
        <f>Grandview_Inventory[[#This Row],[Fin BSMT]]*Lookups!$B$16</f>
        <v>0</v>
      </c>
      <c r="BO2335" s="6">
        <f>(Grandview_Inventory[[#This Row],[att_gar]]+Grandview_Inventory[[#This Row],[bltin_gar]])*Lookups!$B$17</f>
        <v>55838.038806000004</v>
      </c>
      <c r="BP2335" s="6">
        <f>Grandview_Inventory[[#This Row],[Plumbing Fixtures]]*Lookups!$B$18</f>
        <v>20104.418000000001</v>
      </c>
      <c r="BQ2335" s="6">
        <f>Grandview_Inventory[[#This Row],[detatched_value]]*Lookups!$B$19</f>
        <v>0</v>
      </c>
      <c r="BR2335" s="6">
        <f>SUM(Grandview_Inventory[[#This Row],[Intercept]:[det_value]])*Grandview_Inventory[[#This Row],[res_pct]]</f>
        <v>384578.02959300001</v>
      </c>
      <c r="BS2335" s="6">
        <f>Grandview_Inventory[[#This Row],[land_value]]</f>
        <v>51342.318135355803</v>
      </c>
      <c r="BT2335" s="4">
        <f>_xlfn.IFNA(VLOOKUP(Grandview_Inventory[[#This Row],[quality]],Lookups!$A$26:$C$33,3,FALSE),1)</f>
        <v>0.94295468617355149</v>
      </c>
      <c r="BU2335" s="4">
        <f>_xlfn.IFNA(VLOOKUP(Grandview_Inventory[[#This Row],[condition]],Lookups!$A$37:$C$44,3,FALSE),1)</f>
        <v>0.94347925387812148</v>
      </c>
      <c r="BV2335" s="4">
        <f>IF(Grandview_Inventory[[#This Row],[bldg_style]]="",1,_xlfn.IFNA(VLOOKUP(Grandview_Inventory[[#This Row],[decade]],Lookups!$F$29:$H$43,3,FALSE),1))</f>
        <v>0.9413635517371044</v>
      </c>
      <c r="BW2335" s="4">
        <f>_xlfn.IFNA(VLOOKUP(Grandview_Inventory[[#This Row],[living_area_range]],Lookups!$F$47:$H$56,3,FALSE),1)</f>
        <v>0.96120133463014379</v>
      </c>
      <c r="BX2335" s="4">
        <f>AVERAGE(Grandview_Inventory[[#This Row],[qual_adj]:[size_adj]])</f>
        <v>0.94724970660473029</v>
      </c>
      <c r="BY2335" s="6">
        <f>IF(Grandview_Inventory[[#This Row],[pre_res]]&lt;0,0,Grandview_Inventory[[#This Row],[pre_res]]*Grandview_Inventory[[#This Row],[overall_adj]])</f>
        <v>364291.42569859454</v>
      </c>
      <c r="BZ2335" s="6">
        <f>(Grandview_Inventory[[#This Row],[sum_land]]-IF(Grandview_Inventory[[#This Row],[no_utilities]]=1,12000,0))/IF(Grandview_Inventory[[#This Row],[unbuildable]]=1,2,1)</f>
        <v>51342.318135355803</v>
      </c>
      <c r="CA233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5">
        <f>ROUND(Grandview_Inventory[[#This Row],[det_value]]*Lookups!$M$28,-2)</f>
        <v>0</v>
      </c>
      <c r="CC2335">
        <f>IF(ROUND(Grandview_Inventory[[#This Row],[adj_res]]*Lookups!$M$28,-2)&lt;Grandview_Inventory[[#This Row],[min_res]],Grandview_Inventory[[#This Row],[min_res]],ROUND(Grandview_Inventory[[#This Row],[adj_res]]*Lookups!$M$28,-2))</f>
        <v>346100</v>
      </c>
      <c r="CD2335">
        <f>Grandview_Inventory[[#This Row],[final_det]]+Grandview_Inventory[[#This Row],[final_res]]</f>
        <v>346100</v>
      </c>
      <c r="CE2335">
        <f>Grandview_Inventory[[#This Row],[final_land]]+Grandview_Inventory[[#This Row],[final_imp]]+Grandview_Inventory[[#This Row],[crop_value]]</f>
        <v>394900</v>
      </c>
      <c r="CG2335" t="str">
        <f t="shared" si="36"/>
        <v>update valuation set market_land =48800, market_bldg=346100, market_total =394900, market_mdno =401, market_date ='9/10/2023' where link_id = (select link_id from parcel where parcel_year = '2024' and parcel_id = '23092621443');</v>
      </c>
    </row>
    <row r="2336" spans="1:85" x14ac:dyDescent="0.25">
      <c r="A2336">
        <v>23092621444</v>
      </c>
      <c r="B2336" t="s">
        <v>129</v>
      </c>
      <c r="C2336">
        <v>9900</v>
      </c>
      <c r="D2336" t="s">
        <v>129</v>
      </c>
      <c r="E2336" t="s">
        <v>53</v>
      </c>
      <c r="F2336" t="s">
        <v>53</v>
      </c>
      <c r="G2336">
        <v>4</v>
      </c>
      <c r="H2336" t="s">
        <v>54</v>
      </c>
      <c r="I2336">
        <v>0</v>
      </c>
      <c r="J2336">
        <v>33000</v>
      </c>
      <c r="K2336">
        <v>0.23</v>
      </c>
      <c r="L233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6">
        <v>0</v>
      </c>
      <c r="N2336">
        <v>0</v>
      </c>
      <c r="O2336">
        <v>0</v>
      </c>
      <c r="P2336">
        <v>13398.7528</v>
      </c>
      <c r="Q2336">
        <v>63903</v>
      </c>
      <c r="R2336">
        <f>(Grandview_Inventory[[#This Row],[ln_acres]]*Grandview_Inventory[[#This Row],[coeff]])+Grandview_Inventory[[#This Row],[const]]</f>
        <v>44211.174981080039</v>
      </c>
      <c r="S2336" t="s">
        <v>61</v>
      </c>
      <c r="T2336">
        <v>1</v>
      </c>
      <c r="U2336" t="s">
        <v>62</v>
      </c>
      <c r="V2336" t="s">
        <v>57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2000</v>
      </c>
      <c r="AC2336">
        <v>1780</v>
      </c>
      <c r="AD2336">
        <v>1780</v>
      </c>
      <c r="AE2336">
        <v>0</v>
      </c>
      <c r="AF2336">
        <v>0</v>
      </c>
      <c r="AG2336">
        <v>0</v>
      </c>
      <c r="AH2336">
        <v>0</v>
      </c>
      <c r="AI2336">
        <v>420</v>
      </c>
      <c r="AJ2336">
        <v>0</v>
      </c>
      <c r="AK2336">
        <v>0</v>
      </c>
      <c r="AL2336">
        <v>0</v>
      </c>
      <c r="AM2336">
        <v>0</v>
      </c>
      <c r="AN2336">
        <v>296</v>
      </c>
      <c r="AO2336">
        <v>0</v>
      </c>
      <c r="AP2336">
        <v>9</v>
      </c>
      <c r="AQ2336">
        <v>0</v>
      </c>
      <c r="AR2336">
        <v>0</v>
      </c>
      <c r="AS2336" t="s">
        <v>58</v>
      </c>
      <c r="AT2336">
        <v>1</v>
      </c>
      <c r="AU2336" t="s">
        <v>59</v>
      </c>
      <c r="AV2336" t="s">
        <v>60</v>
      </c>
      <c r="AW2336">
        <v>1</v>
      </c>
      <c r="AX2336">
        <v>4</v>
      </c>
      <c r="AY2336">
        <v>0</v>
      </c>
      <c r="AZ2336">
        <v>0</v>
      </c>
      <c r="BA2336">
        <v>100</v>
      </c>
      <c r="BB2336">
        <v>100</v>
      </c>
      <c r="BC2336">
        <v>100</v>
      </c>
      <c r="BD2336">
        <v>100</v>
      </c>
      <c r="BE2336">
        <v>1</v>
      </c>
      <c r="BF2336">
        <v>15000</v>
      </c>
      <c r="BG2336">
        <v>1000</v>
      </c>
      <c r="BH2336" s="6">
        <f>Grandview_Inventory[[#This Row],[land_extract]]*Lookups!$B$3</f>
        <v>51342.318135355803</v>
      </c>
      <c r="BI2336" s="6">
        <f>IF(Grandview_Inventory[[#This Row],[bldg_style]]="",0,Lookups!$B$2)</f>
        <v>155833.95000000001</v>
      </c>
      <c r="BJ2336" s="6">
        <f>_xlfn.IFNA(VLOOKUP(Grandview_Inventory[[#This Row],[quality]],Lookups!$H$2:$J$14,3,FALSE),0)</f>
        <v>9808</v>
      </c>
      <c r="BK2336" s="6">
        <f>_xlfn.IFNA(VLOOKUP(Grandview_Inventory[[#This Row],[condition]],Lookups!$H$17:$J$24,3,FALSE),0)</f>
        <v>25780</v>
      </c>
      <c r="BL2336" s="6">
        <f>Grandview_Inventory[[#This Row],[Eff_Age]]*Lookups!$B$14</f>
        <v>0</v>
      </c>
      <c r="BM2336" s="6">
        <f>Grandview_Inventory[[#This Row],[living_area]]*Lookups!$B$15</f>
        <v>111037.91834</v>
      </c>
      <c r="BN2336" s="6">
        <f>Grandview_Inventory[[#This Row],[Fin BSMT]]*Lookups!$B$16</f>
        <v>0</v>
      </c>
      <c r="BO2336" s="6">
        <f>(Grandview_Inventory[[#This Row],[att_gar]]+Grandview_Inventory[[#This Row],[bltin_gar]])*Lookups!$B$17</f>
        <v>36758.58354</v>
      </c>
      <c r="BP2336" s="6">
        <f>Grandview_Inventory[[#This Row],[Plumbing Fixtures]]*Lookups!$B$18</f>
        <v>18093.976200000001</v>
      </c>
      <c r="BQ2336" s="6">
        <f>Grandview_Inventory[[#This Row],[detatched_value]]*Lookups!$B$19</f>
        <v>0</v>
      </c>
      <c r="BR2336" s="6">
        <f>SUM(Grandview_Inventory[[#This Row],[Intercept]:[det_value]])*Grandview_Inventory[[#This Row],[res_pct]]</f>
        <v>357312.42808000004</v>
      </c>
      <c r="BS2336" s="6">
        <f>Grandview_Inventory[[#This Row],[land_value]]</f>
        <v>51342.318135355803</v>
      </c>
      <c r="BT2336" s="4">
        <f>_xlfn.IFNA(VLOOKUP(Grandview_Inventory[[#This Row],[quality]],Lookups!$A$26:$C$33,3,FALSE),1)</f>
        <v>0.94295468617355149</v>
      </c>
      <c r="BU2336" s="4">
        <f>_xlfn.IFNA(VLOOKUP(Grandview_Inventory[[#This Row],[condition]],Lookups!$A$37:$C$44,3,FALSE),1)</f>
        <v>0.94347925387812148</v>
      </c>
      <c r="BV2336" s="4">
        <f>IF(Grandview_Inventory[[#This Row],[bldg_style]]="",1,_xlfn.IFNA(VLOOKUP(Grandview_Inventory[[#This Row],[decade]],Lookups!$F$29:$H$43,3,FALSE),1))</f>
        <v>0.9413635517371044</v>
      </c>
      <c r="BW2336" s="4">
        <f>_xlfn.IFNA(VLOOKUP(Grandview_Inventory[[#This Row],[living_area_range]],Lookups!$F$47:$H$56,3,FALSE),1)</f>
        <v>0.96120133463014379</v>
      </c>
      <c r="BX2336" s="4">
        <f>AVERAGE(Grandview_Inventory[[#This Row],[qual_adj]:[size_adj]])</f>
        <v>0.94724970660473029</v>
      </c>
      <c r="BY2336" s="6">
        <f>IF(Grandview_Inventory[[#This Row],[pre_res]]&lt;0,0,Grandview_Inventory[[#This Row],[pre_res]]*Grandview_Inventory[[#This Row],[overall_adj]])</f>
        <v>338464.09266500385</v>
      </c>
      <c r="BZ2336" s="6">
        <f>(Grandview_Inventory[[#This Row],[sum_land]]-IF(Grandview_Inventory[[#This Row],[no_utilities]]=1,12000,0))/IF(Grandview_Inventory[[#This Row],[unbuildable]]=1,2,1)</f>
        <v>51342.318135355803</v>
      </c>
      <c r="CA233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6">
        <f>ROUND(Grandview_Inventory[[#This Row],[det_value]]*Lookups!$M$28,-2)</f>
        <v>0</v>
      </c>
      <c r="CC2336">
        <f>IF(ROUND(Grandview_Inventory[[#This Row],[adj_res]]*Lookups!$M$28,-2)&lt;Grandview_Inventory[[#This Row],[min_res]],Grandview_Inventory[[#This Row],[min_res]],ROUND(Grandview_Inventory[[#This Row],[adj_res]]*Lookups!$M$28,-2))</f>
        <v>321500</v>
      </c>
      <c r="CD2336">
        <f>Grandview_Inventory[[#This Row],[final_det]]+Grandview_Inventory[[#This Row],[final_res]]</f>
        <v>321500</v>
      </c>
      <c r="CE2336">
        <f>Grandview_Inventory[[#This Row],[final_land]]+Grandview_Inventory[[#This Row],[final_imp]]+Grandview_Inventory[[#This Row],[crop_value]]</f>
        <v>370300</v>
      </c>
      <c r="CG2336" t="str">
        <f t="shared" si="36"/>
        <v>update valuation set market_land =48800, market_bldg=321500, market_total =370300, market_mdno =401, market_date ='9/10/2023' where link_id = (select link_id from parcel where parcel_year = '2024' and parcel_id = '23092621444');</v>
      </c>
    </row>
    <row r="2337" spans="1:85" x14ac:dyDescent="0.25">
      <c r="A2337">
        <v>23092621445</v>
      </c>
      <c r="B2337" t="s">
        <v>129</v>
      </c>
      <c r="C2337">
        <v>9900</v>
      </c>
      <c r="D2337" t="s">
        <v>129</v>
      </c>
      <c r="E2337" t="s">
        <v>53</v>
      </c>
      <c r="F2337" t="s">
        <v>53</v>
      </c>
      <c r="G2337">
        <v>4</v>
      </c>
      <c r="H2337" t="s">
        <v>54</v>
      </c>
      <c r="I2337">
        <v>302600</v>
      </c>
      <c r="J2337">
        <v>39500</v>
      </c>
      <c r="K2337">
        <v>0.23</v>
      </c>
      <c r="L2337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7">
        <v>0</v>
      </c>
      <c r="N2337">
        <v>0</v>
      </c>
      <c r="O2337">
        <v>0</v>
      </c>
      <c r="P2337">
        <v>13398.7528</v>
      </c>
      <c r="Q2337">
        <v>63903</v>
      </c>
      <c r="R2337">
        <f>(Grandview_Inventory[[#This Row],[ln_acres]]*Grandview_Inventory[[#This Row],[coeff]])+Grandview_Inventory[[#This Row],[const]]</f>
        <v>44211.174981080039</v>
      </c>
      <c r="S2337" t="s">
        <v>58</v>
      </c>
      <c r="T2337">
        <v>1</v>
      </c>
      <c r="U2337" t="s">
        <v>62</v>
      </c>
      <c r="V2337" t="s">
        <v>57</v>
      </c>
      <c r="W2337">
        <v>0</v>
      </c>
      <c r="X2337">
        <v>0</v>
      </c>
      <c r="Y2337">
        <v>1</v>
      </c>
      <c r="Z2337">
        <v>1</v>
      </c>
      <c r="AA2337">
        <v>10</v>
      </c>
      <c r="AB2337">
        <v>2000</v>
      </c>
      <c r="AC2337">
        <v>1944</v>
      </c>
      <c r="AD2337">
        <v>1944</v>
      </c>
      <c r="AE2337">
        <v>0</v>
      </c>
      <c r="AF2337">
        <v>0</v>
      </c>
      <c r="AG2337">
        <v>0</v>
      </c>
      <c r="AH2337">
        <v>0</v>
      </c>
      <c r="AI2337">
        <v>698</v>
      </c>
      <c r="AJ2337">
        <v>0</v>
      </c>
      <c r="AK2337">
        <v>0</v>
      </c>
      <c r="AL2337">
        <v>0</v>
      </c>
      <c r="AM2337">
        <v>0</v>
      </c>
      <c r="AN2337">
        <v>316</v>
      </c>
      <c r="AO2337">
        <v>0</v>
      </c>
      <c r="AP2337">
        <v>9</v>
      </c>
      <c r="AQ2337">
        <v>0</v>
      </c>
      <c r="AR2337">
        <v>0</v>
      </c>
      <c r="AS2337" t="s">
        <v>58</v>
      </c>
      <c r="AT2337">
        <v>1</v>
      </c>
      <c r="AU2337" t="s">
        <v>63</v>
      </c>
      <c r="AV2337" t="s">
        <v>64</v>
      </c>
      <c r="AW2337">
        <v>1</v>
      </c>
      <c r="AX2337">
        <v>3</v>
      </c>
      <c r="AY2337">
        <v>0</v>
      </c>
      <c r="AZ2337">
        <v>0</v>
      </c>
      <c r="BA2337">
        <v>100</v>
      </c>
      <c r="BB2337">
        <v>100</v>
      </c>
      <c r="BC2337">
        <v>100</v>
      </c>
      <c r="BD2337">
        <v>100</v>
      </c>
      <c r="BE2337">
        <v>1</v>
      </c>
      <c r="BF2337">
        <v>15000</v>
      </c>
      <c r="BG2337">
        <v>1000</v>
      </c>
      <c r="BH2337" s="6">
        <f>Grandview_Inventory[[#This Row],[land_extract]]*Lookups!$B$3</f>
        <v>51342.318135355803</v>
      </c>
      <c r="BI2337" s="6">
        <f>IF(Grandview_Inventory[[#This Row],[bldg_style]]="",0,Lookups!$B$2)</f>
        <v>155833.95000000001</v>
      </c>
      <c r="BJ2337" s="6">
        <f>_xlfn.IFNA(VLOOKUP(Grandview_Inventory[[#This Row],[quality]],Lookups!$H$2:$J$14,3,FALSE),0)</f>
        <v>9808</v>
      </c>
      <c r="BK2337" s="6">
        <f>_xlfn.IFNA(VLOOKUP(Grandview_Inventory[[#This Row],[condition]],Lookups!$H$17:$J$24,3,FALSE),0)</f>
        <v>25780</v>
      </c>
      <c r="BL2337" s="6">
        <f>Grandview_Inventory[[#This Row],[Eff_Age]]*Lookups!$B$14</f>
        <v>-239.16659999999999</v>
      </c>
      <c r="BM2337" s="6">
        <f>Grandview_Inventory[[#This Row],[living_area]]*Lookups!$B$15</f>
        <v>121268.378232</v>
      </c>
      <c r="BN2337" s="6">
        <f>Grandview_Inventory[[#This Row],[Fin BSMT]]*Lookups!$B$16</f>
        <v>0</v>
      </c>
      <c r="BO2337" s="6">
        <f>(Grandview_Inventory[[#This Row],[att_gar]]+Grandview_Inventory[[#This Row],[bltin_gar]])*Lookups!$B$17</f>
        <v>61089.265026000001</v>
      </c>
      <c r="BP2337" s="6">
        <f>Grandview_Inventory[[#This Row],[Plumbing Fixtures]]*Lookups!$B$18</f>
        <v>18093.976200000001</v>
      </c>
      <c r="BQ2337" s="6">
        <f>Grandview_Inventory[[#This Row],[detatched_value]]*Lookups!$B$19</f>
        <v>0</v>
      </c>
      <c r="BR2337" s="6">
        <f>SUM(Grandview_Inventory[[#This Row],[Intercept]:[det_value]])*Grandview_Inventory[[#This Row],[res_pct]]</f>
        <v>391634.40285799996</v>
      </c>
      <c r="BS2337" s="6">
        <f>Grandview_Inventory[[#This Row],[land_value]]</f>
        <v>51342.318135355803</v>
      </c>
      <c r="BT2337" s="4">
        <f>_xlfn.IFNA(VLOOKUP(Grandview_Inventory[[#This Row],[quality]],Lookups!$A$26:$C$33,3,FALSE),1)</f>
        <v>0.94295468617355149</v>
      </c>
      <c r="BU2337" s="4">
        <f>_xlfn.IFNA(VLOOKUP(Grandview_Inventory[[#This Row],[condition]],Lookups!$A$37:$C$44,3,FALSE),1)</f>
        <v>0.94347925387812148</v>
      </c>
      <c r="BV2337" s="4">
        <f>IF(Grandview_Inventory[[#This Row],[bldg_style]]="",1,_xlfn.IFNA(VLOOKUP(Grandview_Inventory[[#This Row],[decade]],Lookups!$F$29:$H$43,3,FALSE),1))</f>
        <v>0.94601966599150278</v>
      </c>
      <c r="BW2337" s="4">
        <f>_xlfn.IFNA(VLOOKUP(Grandview_Inventory[[#This Row],[living_area_range]],Lookups!$F$47:$H$56,3,FALSE),1)</f>
        <v>0.96120133463014379</v>
      </c>
      <c r="BX2337" s="4">
        <f>AVERAGE(Grandview_Inventory[[#This Row],[qual_adj]:[size_adj]])</f>
        <v>0.94841373516832994</v>
      </c>
      <c r="BY2337" s="6">
        <f>IF(Grandview_Inventory[[#This Row],[pre_res]]&lt;0,0,Grandview_Inventory[[#This Row],[pre_res]]*Grandview_Inventory[[#This Row],[overall_adj]])</f>
        <v>371431.44683497422</v>
      </c>
      <c r="BZ2337" s="6">
        <f>(Grandview_Inventory[[#This Row],[sum_land]]-IF(Grandview_Inventory[[#This Row],[no_utilities]]=1,12000,0))/IF(Grandview_Inventory[[#This Row],[unbuildable]]=1,2,1)</f>
        <v>51342.318135355803</v>
      </c>
      <c r="CA2337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7">
        <f>ROUND(Grandview_Inventory[[#This Row],[det_value]]*Lookups!$M$28,-2)</f>
        <v>0</v>
      </c>
      <c r="CC2337">
        <f>IF(ROUND(Grandview_Inventory[[#This Row],[adj_res]]*Lookups!$M$28,-2)&lt;Grandview_Inventory[[#This Row],[min_res]],Grandview_Inventory[[#This Row],[min_res]],ROUND(Grandview_Inventory[[#This Row],[adj_res]]*Lookups!$M$28,-2))</f>
        <v>352900</v>
      </c>
      <c r="CD2337">
        <f>Grandview_Inventory[[#This Row],[final_det]]+Grandview_Inventory[[#This Row],[final_res]]</f>
        <v>352900</v>
      </c>
      <c r="CE2337">
        <f>Grandview_Inventory[[#This Row],[final_land]]+Grandview_Inventory[[#This Row],[final_imp]]+Grandview_Inventory[[#This Row],[crop_value]]</f>
        <v>401700</v>
      </c>
      <c r="CG2337" t="str">
        <f t="shared" si="36"/>
        <v>update valuation set market_land =48800, market_bldg=352900, market_total =401700, market_mdno =401, market_date ='9/10/2023' where link_id = (select link_id from parcel where parcel_year = '2024' and parcel_id = '23092621445');</v>
      </c>
    </row>
    <row r="2338" spans="1:85" x14ac:dyDescent="0.25">
      <c r="A2338">
        <v>23092621446</v>
      </c>
      <c r="B2338" t="s">
        <v>129</v>
      </c>
      <c r="C2338">
        <v>9900</v>
      </c>
      <c r="D2338" t="s">
        <v>129</v>
      </c>
      <c r="E2338" t="s">
        <v>53</v>
      </c>
      <c r="F2338" t="s">
        <v>53</v>
      </c>
      <c r="G2338">
        <v>4</v>
      </c>
      <c r="H2338" t="s">
        <v>54</v>
      </c>
      <c r="I2338">
        <v>307400</v>
      </c>
      <c r="J2338">
        <v>39500</v>
      </c>
      <c r="K2338">
        <v>0.23</v>
      </c>
      <c r="L233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38">
        <v>0</v>
      </c>
      <c r="N2338">
        <v>0</v>
      </c>
      <c r="O2338">
        <v>0</v>
      </c>
      <c r="P2338">
        <v>13398.7528</v>
      </c>
      <c r="Q2338">
        <v>63903</v>
      </c>
      <c r="R2338">
        <f>(Grandview_Inventory[[#This Row],[ln_acres]]*Grandview_Inventory[[#This Row],[coeff]])+Grandview_Inventory[[#This Row],[const]]</f>
        <v>44211.174981080039</v>
      </c>
      <c r="S2338" t="s">
        <v>55</v>
      </c>
      <c r="T2338">
        <v>1</v>
      </c>
      <c r="U2338" t="s">
        <v>62</v>
      </c>
      <c r="V2338" t="s">
        <v>57</v>
      </c>
      <c r="W2338">
        <v>0</v>
      </c>
      <c r="X2338">
        <v>0</v>
      </c>
      <c r="Y2338">
        <v>1</v>
      </c>
      <c r="Z2338">
        <v>1</v>
      </c>
      <c r="AA2338">
        <v>10</v>
      </c>
      <c r="AB2338">
        <v>2500</v>
      </c>
      <c r="AC2338">
        <v>2168</v>
      </c>
      <c r="AD2338">
        <v>896</v>
      </c>
      <c r="AE2338">
        <v>1272</v>
      </c>
      <c r="AF2338">
        <v>0</v>
      </c>
      <c r="AG2338">
        <v>0</v>
      </c>
      <c r="AH2338">
        <v>0</v>
      </c>
      <c r="AI2338">
        <v>264</v>
      </c>
      <c r="AJ2338">
        <v>440</v>
      </c>
      <c r="AK2338">
        <v>0</v>
      </c>
      <c r="AL2338">
        <v>0</v>
      </c>
      <c r="AM2338">
        <v>0</v>
      </c>
      <c r="AN2338">
        <v>274</v>
      </c>
      <c r="AO2338">
        <v>0</v>
      </c>
      <c r="AP2338">
        <v>12</v>
      </c>
      <c r="AQ2338">
        <v>0</v>
      </c>
      <c r="AR2338">
        <v>0</v>
      </c>
      <c r="AS2338" t="s">
        <v>58</v>
      </c>
      <c r="AT2338">
        <v>1</v>
      </c>
      <c r="AU2338" t="s">
        <v>63</v>
      </c>
      <c r="AV2338" t="s">
        <v>64</v>
      </c>
      <c r="AW2338">
        <v>1</v>
      </c>
      <c r="AX2338">
        <v>3</v>
      </c>
      <c r="AY2338">
        <v>0</v>
      </c>
      <c r="AZ2338">
        <v>0</v>
      </c>
      <c r="BA2338">
        <v>100</v>
      </c>
      <c r="BB2338">
        <v>100</v>
      </c>
      <c r="BC2338">
        <v>100</v>
      </c>
      <c r="BD2338">
        <v>100</v>
      </c>
      <c r="BE2338">
        <v>1</v>
      </c>
      <c r="BF2338">
        <v>15000</v>
      </c>
      <c r="BG2338">
        <v>1000</v>
      </c>
      <c r="BH2338" s="6">
        <f>Grandview_Inventory[[#This Row],[land_extract]]*Lookups!$B$3</f>
        <v>51342.318135355803</v>
      </c>
      <c r="BI2338" s="6">
        <f>IF(Grandview_Inventory[[#This Row],[bldg_style]]="",0,Lookups!$B$2)</f>
        <v>155833.95000000001</v>
      </c>
      <c r="BJ2338" s="6">
        <f>_xlfn.IFNA(VLOOKUP(Grandview_Inventory[[#This Row],[quality]],Lookups!$H$2:$J$14,3,FALSE),0)</f>
        <v>9808</v>
      </c>
      <c r="BK2338" s="6">
        <f>_xlfn.IFNA(VLOOKUP(Grandview_Inventory[[#This Row],[condition]],Lookups!$H$17:$J$24,3,FALSE),0)</f>
        <v>25780</v>
      </c>
      <c r="BL2338" s="6">
        <f>Grandview_Inventory[[#This Row],[Eff_Age]]*Lookups!$B$14</f>
        <v>-239.16659999999999</v>
      </c>
      <c r="BM2338" s="6">
        <f>Grandview_Inventory[[#This Row],[living_area]]*Lookups!$B$15</f>
        <v>135241.689304</v>
      </c>
      <c r="BN2338" s="6">
        <f>Grandview_Inventory[[#This Row],[Fin BSMT]]*Lookups!$B$16</f>
        <v>0</v>
      </c>
      <c r="BO2338" s="6">
        <f>(Grandview_Inventory[[#This Row],[att_gar]]+Grandview_Inventory[[#This Row],[bltin_gar]])*Lookups!$B$17</f>
        <v>61614.387648000004</v>
      </c>
      <c r="BP2338" s="6">
        <f>Grandview_Inventory[[#This Row],[Plumbing Fixtures]]*Lookups!$B$18</f>
        <v>24125.301599999999</v>
      </c>
      <c r="BQ2338" s="6">
        <f>Grandview_Inventory[[#This Row],[detatched_value]]*Lookups!$B$19</f>
        <v>0</v>
      </c>
      <c r="BR2338" s="6">
        <f>SUM(Grandview_Inventory[[#This Row],[Intercept]:[det_value]])*Grandview_Inventory[[#This Row],[res_pct]]</f>
        <v>412164.16195199999</v>
      </c>
      <c r="BS2338" s="6">
        <f>Grandview_Inventory[[#This Row],[land_value]]</f>
        <v>51342.318135355803</v>
      </c>
      <c r="BT2338" s="4">
        <f>_xlfn.IFNA(VLOOKUP(Grandview_Inventory[[#This Row],[quality]],Lookups!$A$26:$C$33,3,FALSE),1)</f>
        <v>0.94295468617355149</v>
      </c>
      <c r="BU2338" s="4">
        <f>_xlfn.IFNA(VLOOKUP(Grandview_Inventory[[#This Row],[condition]],Lookups!$A$37:$C$44,3,FALSE),1)</f>
        <v>0.94347925387812148</v>
      </c>
      <c r="BV2338" s="4">
        <f>IF(Grandview_Inventory[[#This Row],[bldg_style]]="",1,_xlfn.IFNA(VLOOKUP(Grandview_Inventory[[#This Row],[decade]],Lookups!$F$29:$H$43,3,FALSE),1))</f>
        <v>0.94601966599150278</v>
      </c>
      <c r="BW2338" s="4">
        <f>_xlfn.IFNA(VLOOKUP(Grandview_Inventory[[#This Row],[living_area_range]],Lookups!$F$47:$H$56,3,FALSE),1)</f>
        <v>0.95799442568048754</v>
      </c>
      <c r="BX2338" s="4">
        <f>AVERAGE(Grandview_Inventory[[#This Row],[qual_adj]:[size_adj]])</f>
        <v>0.94761200793091582</v>
      </c>
      <c r="BY2338" s="6">
        <f>IF(Grandview_Inventory[[#This Row],[pre_res]]&lt;0,0,Grandview_Inventory[[#This Row],[pre_res]]*Grandview_Inventory[[#This Row],[overall_adj]])</f>
        <v>390571.70910449792</v>
      </c>
      <c r="BZ2338" s="6">
        <f>(Grandview_Inventory[[#This Row],[sum_land]]-IF(Grandview_Inventory[[#This Row],[no_utilities]]=1,12000,0))/IF(Grandview_Inventory[[#This Row],[unbuildable]]=1,2,1)</f>
        <v>51342.318135355803</v>
      </c>
      <c r="CA233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38">
        <f>ROUND(Grandview_Inventory[[#This Row],[det_value]]*Lookups!$M$28,-2)</f>
        <v>0</v>
      </c>
      <c r="CC2338">
        <f>IF(ROUND(Grandview_Inventory[[#This Row],[adj_res]]*Lookups!$M$28,-2)&lt;Grandview_Inventory[[#This Row],[min_res]],Grandview_Inventory[[#This Row],[min_res]],ROUND(Grandview_Inventory[[#This Row],[adj_res]]*Lookups!$M$28,-2))</f>
        <v>371000</v>
      </c>
      <c r="CD2338">
        <f>Grandview_Inventory[[#This Row],[final_det]]+Grandview_Inventory[[#This Row],[final_res]]</f>
        <v>371000</v>
      </c>
      <c r="CE2338">
        <f>Grandview_Inventory[[#This Row],[final_land]]+Grandview_Inventory[[#This Row],[final_imp]]+Grandview_Inventory[[#This Row],[crop_value]]</f>
        <v>419800</v>
      </c>
      <c r="CG2338" t="str">
        <f t="shared" si="36"/>
        <v>update valuation set market_land =48800, market_bldg=371000, market_total =419800, market_mdno =401, market_date ='9/10/2023' where link_id = (select link_id from parcel where parcel_year = '2024' and parcel_id = '23092621446');</v>
      </c>
    </row>
    <row r="2339" spans="1:85" x14ac:dyDescent="0.25">
      <c r="A2339">
        <v>23092621447</v>
      </c>
      <c r="B2339" t="s">
        <v>129</v>
      </c>
      <c r="C2339">
        <v>9155</v>
      </c>
      <c r="D2339" t="s">
        <v>129</v>
      </c>
      <c r="E2339" t="s">
        <v>53</v>
      </c>
      <c r="F2339" t="s">
        <v>53</v>
      </c>
      <c r="G2339">
        <v>4</v>
      </c>
      <c r="H2339" t="s">
        <v>54</v>
      </c>
      <c r="I2339">
        <v>269300</v>
      </c>
      <c r="J2339">
        <v>39300</v>
      </c>
      <c r="K2339">
        <v>0.21</v>
      </c>
      <c r="L233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339">
        <v>0</v>
      </c>
      <c r="N2339">
        <v>0</v>
      </c>
      <c r="O2339">
        <v>0</v>
      </c>
      <c r="P2339">
        <v>13398.7528</v>
      </c>
      <c r="Q2339">
        <v>63903</v>
      </c>
      <c r="R2339">
        <f>(Grandview_Inventory[[#This Row],[ln_acres]]*Grandview_Inventory[[#This Row],[coeff]])+Grandview_Inventory[[#This Row],[const]]</f>
        <v>42992.266613125081</v>
      </c>
      <c r="S2339" t="s">
        <v>61</v>
      </c>
      <c r="T2339">
        <v>1</v>
      </c>
      <c r="U2339" t="s">
        <v>62</v>
      </c>
      <c r="V2339" t="s">
        <v>57</v>
      </c>
      <c r="W2339">
        <v>0</v>
      </c>
      <c r="X2339">
        <v>0</v>
      </c>
      <c r="Y2339">
        <v>2</v>
      </c>
      <c r="Z2339">
        <v>2</v>
      </c>
      <c r="AA2339">
        <v>10</v>
      </c>
      <c r="AB2339">
        <v>2000</v>
      </c>
      <c r="AC2339">
        <v>1641</v>
      </c>
      <c r="AD2339">
        <v>1641</v>
      </c>
      <c r="AE2339">
        <v>0</v>
      </c>
      <c r="AF2339">
        <v>0</v>
      </c>
      <c r="AG2339">
        <v>0</v>
      </c>
      <c r="AH2339">
        <v>0</v>
      </c>
      <c r="AI2339">
        <v>578</v>
      </c>
      <c r="AJ2339">
        <v>0</v>
      </c>
      <c r="AK2339">
        <v>0</v>
      </c>
      <c r="AL2339">
        <v>0</v>
      </c>
      <c r="AM2339">
        <v>0</v>
      </c>
      <c r="AN2339">
        <v>203</v>
      </c>
      <c r="AO2339">
        <v>0</v>
      </c>
      <c r="AP2339">
        <v>10</v>
      </c>
      <c r="AQ2339">
        <v>0</v>
      </c>
      <c r="AR2339">
        <v>0</v>
      </c>
      <c r="AS2339" t="s">
        <v>58</v>
      </c>
      <c r="AT2339">
        <v>1</v>
      </c>
      <c r="AU2339" t="s">
        <v>63</v>
      </c>
      <c r="AV2339" t="s">
        <v>64</v>
      </c>
      <c r="AW2339">
        <v>1</v>
      </c>
      <c r="AX2339">
        <v>3</v>
      </c>
      <c r="AY2339">
        <v>0</v>
      </c>
      <c r="AZ2339">
        <v>0</v>
      </c>
      <c r="BA2339">
        <v>100</v>
      </c>
      <c r="BB2339">
        <v>100</v>
      </c>
      <c r="BC2339">
        <v>100</v>
      </c>
      <c r="BD2339">
        <v>100</v>
      </c>
      <c r="BE2339">
        <v>1</v>
      </c>
      <c r="BF2339">
        <v>15000</v>
      </c>
      <c r="BG2339">
        <v>1000</v>
      </c>
      <c r="BH2339" s="6">
        <f>Grandview_Inventory[[#This Row],[land_extract]]*Lookups!$B$3</f>
        <v>49926.8031387023</v>
      </c>
      <c r="BI2339" s="6">
        <f>IF(Grandview_Inventory[[#This Row],[bldg_style]]="",0,Lookups!$B$2)</f>
        <v>155833.95000000001</v>
      </c>
      <c r="BJ2339" s="6">
        <f>_xlfn.IFNA(VLOOKUP(Grandview_Inventory[[#This Row],[quality]],Lookups!$H$2:$J$14,3,FALSE),0)</f>
        <v>9808</v>
      </c>
      <c r="BK2339" s="6">
        <f>_xlfn.IFNA(VLOOKUP(Grandview_Inventory[[#This Row],[condition]],Lookups!$H$17:$J$24,3,FALSE),0)</f>
        <v>25780</v>
      </c>
      <c r="BL2339" s="6">
        <f>Grandview_Inventory[[#This Row],[Eff_Age]]*Lookups!$B$14</f>
        <v>-478.33319999999998</v>
      </c>
      <c r="BM2339" s="6">
        <f>Grandview_Inventory[[#This Row],[living_area]]*Lookups!$B$15</f>
        <v>102366.979773</v>
      </c>
      <c r="BN2339" s="6">
        <f>Grandview_Inventory[[#This Row],[Fin BSMT]]*Lookups!$B$16</f>
        <v>0</v>
      </c>
      <c r="BO2339" s="6">
        <f>(Grandview_Inventory[[#This Row],[att_gar]]+Grandview_Inventory[[#This Row],[bltin_gar]])*Lookups!$B$17</f>
        <v>50586.812586</v>
      </c>
      <c r="BP2339" s="6">
        <f>Grandview_Inventory[[#This Row],[Plumbing Fixtures]]*Lookups!$B$18</f>
        <v>20104.418000000001</v>
      </c>
      <c r="BQ2339" s="6">
        <f>Grandview_Inventory[[#This Row],[detatched_value]]*Lookups!$B$19</f>
        <v>0</v>
      </c>
      <c r="BR2339" s="6">
        <f>SUM(Grandview_Inventory[[#This Row],[Intercept]:[det_value]])*Grandview_Inventory[[#This Row],[res_pct]]</f>
        <v>364001.82715900004</v>
      </c>
      <c r="BS2339" s="6">
        <f>Grandview_Inventory[[#This Row],[land_value]]</f>
        <v>49926.8031387023</v>
      </c>
      <c r="BT2339" s="4">
        <f>_xlfn.IFNA(VLOOKUP(Grandview_Inventory[[#This Row],[quality]],Lookups!$A$26:$C$33,3,FALSE),1)</f>
        <v>0.94295468617355149</v>
      </c>
      <c r="BU2339" s="4">
        <f>_xlfn.IFNA(VLOOKUP(Grandview_Inventory[[#This Row],[condition]],Lookups!$A$37:$C$44,3,FALSE),1)</f>
        <v>0.94347925387812148</v>
      </c>
      <c r="BV2339" s="4">
        <f>IF(Grandview_Inventory[[#This Row],[bldg_style]]="",1,_xlfn.IFNA(VLOOKUP(Grandview_Inventory[[#This Row],[decade]],Lookups!$F$29:$H$43,3,FALSE),1))</f>
        <v>0.94601966599150278</v>
      </c>
      <c r="BW2339" s="4">
        <f>_xlfn.IFNA(VLOOKUP(Grandview_Inventory[[#This Row],[living_area_range]],Lookups!$F$47:$H$56,3,FALSE),1)</f>
        <v>0.96120133463014379</v>
      </c>
      <c r="BX2339" s="4">
        <f>AVERAGE(Grandview_Inventory[[#This Row],[qual_adj]:[size_adj]])</f>
        <v>0.94841373516832994</v>
      </c>
      <c r="BY2339" s="6">
        <f>IF(Grandview_Inventory[[#This Row],[pre_res]]&lt;0,0,Grandview_Inventory[[#This Row],[pre_res]]*Grandview_Inventory[[#This Row],[overall_adj]])</f>
        <v>345224.33250396408</v>
      </c>
      <c r="BZ2339" s="6">
        <f>(Grandview_Inventory[[#This Row],[sum_land]]-IF(Grandview_Inventory[[#This Row],[no_utilities]]=1,12000,0))/IF(Grandview_Inventory[[#This Row],[unbuildable]]=1,2,1)</f>
        <v>49926.8031387023</v>
      </c>
      <c r="CA233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339">
        <f>ROUND(Grandview_Inventory[[#This Row],[det_value]]*Lookups!$M$28,-2)</f>
        <v>0</v>
      </c>
      <c r="CC2339">
        <f>IF(ROUND(Grandview_Inventory[[#This Row],[adj_res]]*Lookups!$M$28,-2)&lt;Grandview_Inventory[[#This Row],[min_res]],Grandview_Inventory[[#This Row],[min_res]],ROUND(Grandview_Inventory[[#This Row],[adj_res]]*Lookups!$M$28,-2))</f>
        <v>328000</v>
      </c>
      <c r="CD2339">
        <f>Grandview_Inventory[[#This Row],[final_det]]+Grandview_Inventory[[#This Row],[final_res]]</f>
        <v>328000</v>
      </c>
      <c r="CE2339">
        <f>Grandview_Inventory[[#This Row],[final_land]]+Grandview_Inventory[[#This Row],[final_imp]]+Grandview_Inventory[[#This Row],[crop_value]]</f>
        <v>375400</v>
      </c>
      <c r="CG2339" t="str">
        <f t="shared" si="36"/>
        <v>update valuation set market_land =47400, market_bldg=328000, market_total =375400, market_mdno =401, market_date ='9/10/2023' where link_id = (select link_id from parcel where parcel_year = '2024' and parcel_id = '23092621447');</v>
      </c>
    </row>
    <row r="2340" spans="1:85" x14ac:dyDescent="0.25">
      <c r="A2340">
        <v>23092621448</v>
      </c>
      <c r="B2340" t="s">
        <v>129</v>
      </c>
      <c r="C2340">
        <v>8605</v>
      </c>
      <c r="D2340" t="s">
        <v>129</v>
      </c>
      <c r="E2340" t="s">
        <v>53</v>
      </c>
      <c r="F2340" t="s">
        <v>53</v>
      </c>
      <c r="G2340">
        <v>4</v>
      </c>
      <c r="H2340" t="s">
        <v>54</v>
      </c>
      <c r="I2340">
        <v>245900</v>
      </c>
      <c r="J2340">
        <v>39300</v>
      </c>
      <c r="K2340">
        <v>0.2</v>
      </c>
      <c r="L234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40">
        <v>0</v>
      </c>
      <c r="N2340">
        <v>0</v>
      </c>
      <c r="O2340">
        <v>0</v>
      </c>
      <c r="P2340">
        <v>13398.7528</v>
      </c>
      <c r="Q2340">
        <v>63903</v>
      </c>
      <c r="R2340">
        <f>(Grandview_Inventory[[#This Row],[ln_acres]]*Grandview_Inventory[[#This Row],[coeff]])+Grandview_Inventory[[#This Row],[const]]</f>
        <v>42338.539264347448</v>
      </c>
      <c r="S2340" t="s">
        <v>61</v>
      </c>
      <c r="T2340">
        <v>1</v>
      </c>
      <c r="U2340" t="s">
        <v>62</v>
      </c>
      <c r="V2340" t="s">
        <v>57</v>
      </c>
      <c r="W2340">
        <v>0</v>
      </c>
      <c r="X2340">
        <v>0</v>
      </c>
      <c r="Y2340">
        <v>2</v>
      </c>
      <c r="Z2340">
        <v>2</v>
      </c>
      <c r="AA2340">
        <v>10</v>
      </c>
      <c r="AB2340">
        <v>1500</v>
      </c>
      <c r="AC2340">
        <v>1468</v>
      </c>
      <c r="AD2340">
        <v>1468</v>
      </c>
      <c r="AE2340">
        <v>0</v>
      </c>
      <c r="AF2340">
        <v>0</v>
      </c>
      <c r="AG2340">
        <v>0</v>
      </c>
      <c r="AH2340">
        <v>0</v>
      </c>
      <c r="AI2340">
        <v>460</v>
      </c>
      <c r="AJ2340">
        <v>0</v>
      </c>
      <c r="AK2340">
        <v>0</v>
      </c>
      <c r="AL2340">
        <v>0</v>
      </c>
      <c r="AM2340">
        <v>0</v>
      </c>
      <c r="AN2340">
        <v>233</v>
      </c>
      <c r="AO2340">
        <v>0</v>
      </c>
      <c r="AP2340">
        <v>9</v>
      </c>
      <c r="AQ2340">
        <v>0</v>
      </c>
      <c r="AR2340">
        <v>0</v>
      </c>
      <c r="AS2340" t="s">
        <v>58</v>
      </c>
      <c r="AT2340">
        <v>1</v>
      </c>
      <c r="AU2340" t="s">
        <v>59</v>
      </c>
      <c r="AV2340" t="s">
        <v>64</v>
      </c>
      <c r="AW2340">
        <v>1</v>
      </c>
      <c r="AX2340">
        <v>3</v>
      </c>
      <c r="AY2340">
        <v>0</v>
      </c>
      <c r="AZ2340">
        <v>0</v>
      </c>
      <c r="BA2340">
        <v>100</v>
      </c>
      <c r="BB2340">
        <v>100</v>
      </c>
      <c r="BC2340">
        <v>100</v>
      </c>
      <c r="BD2340">
        <v>100</v>
      </c>
      <c r="BE2340">
        <v>1</v>
      </c>
      <c r="BF2340">
        <v>15000</v>
      </c>
      <c r="BG2340">
        <v>1000</v>
      </c>
      <c r="BH2340" s="6">
        <f>Grandview_Inventory[[#This Row],[land_extract]]*Lookups!$B$3</f>
        <v>49167.631333630678</v>
      </c>
      <c r="BI2340" s="6">
        <f>IF(Grandview_Inventory[[#This Row],[bldg_style]]="",0,Lookups!$B$2)</f>
        <v>155833.95000000001</v>
      </c>
      <c r="BJ2340" s="6">
        <f>_xlfn.IFNA(VLOOKUP(Grandview_Inventory[[#This Row],[quality]],Lookups!$H$2:$J$14,3,FALSE),0)</f>
        <v>9808</v>
      </c>
      <c r="BK2340" s="6">
        <f>_xlfn.IFNA(VLOOKUP(Grandview_Inventory[[#This Row],[condition]],Lookups!$H$17:$J$24,3,FALSE),0)</f>
        <v>25780</v>
      </c>
      <c r="BL2340" s="6">
        <f>Grandview_Inventory[[#This Row],[Eff_Age]]*Lookups!$B$14</f>
        <v>-478.33319999999998</v>
      </c>
      <c r="BM2340" s="6">
        <f>Grandview_Inventory[[#This Row],[living_area]]*Lookups!$B$15</f>
        <v>91575.092204</v>
      </c>
      <c r="BN2340" s="6">
        <f>Grandview_Inventory[[#This Row],[Fin BSMT]]*Lookups!$B$16</f>
        <v>0</v>
      </c>
      <c r="BO2340" s="6">
        <f>(Grandview_Inventory[[#This Row],[att_gar]]+Grandview_Inventory[[#This Row],[bltin_gar]])*Lookups!$B$17</f>
        <v>40259.401019999998</v>
      </c>
      <c r="BP2340" s="6">
        <f>Grandview_Inventory[[#This Row],[Plumbing Fixtures]]*Lookups!$B$18</f>
        <v>18093.976200000001</v>
      </c>
      <c r="BQ2340" s="6">
        <f>Grandview_Inventory[[#This Row],[detatched_value]]*Lookups!$B$19</f>
        <v>0</v>
      </c>
      <c r="BR2340" s="6">
        <f>SUM(Grandview_Inventory[[#This Row],[Intercept]:[det_value]])*Grandview_Inventory[[#This Row],[res_pct]]</f>
        <v>340872.08622399997</v>
      </c>
      <c r="BS2340" s="6">
        <f>Grandview_Inventory[[#This Row],[land_value]]</f>
        <v>49167.631333630678</v>
      </c>
      <c r="BT2340" s="4">
        <f>_xlfn.IFNA(VLOOKUP(Grandview_Inventory[[#This Row],[quality]],Lookups!$A$26:$C$33,3,FALSE),1)</f>
        <v>0.94295468617355149</v>
      </c>
      <c r="BU2340" s="4">
        <f>_xlfn.IFNA(VLOOKUP(Grandview_Inventory[[#This Row],[condition]],Lookups!$A$37:$C$44,3,FALSE),1)</f>
        <v>0.94347925387812148</v>
      </c>
      <c r="BV2340" s="4">
        <f>IF(Grandview_Inventory[[#This Row],[bldg_style]]="",1,_xlfn.IFNA(VLOOKUP(Grandview_Inventory[[#This Row],[decade]],Lookups!$F$29:$H$43,3,FALSE),1))</f>
        <v>0.94601966599150278</v>
      </c>
      <c r="BW2340" s="4">
        <f>_xlfn.IFNA(VLOOKUP(Grandview_Inventory[[#This Row],[living_area_range]],Lookups!$F$47:$H$56,3,FALSE),1)</f>
        <v>0.96135087979789358</v>
      </c>
      <c r="BX2340" s="4">
        <f>AVERAGE(Grandview_Inventory[[#This Row],[qual_adj]:[size_adj]])</f>
        <v>0.94845112146026733</v>
      </c>
      <c r="BY2340" s="6">
        <f>IF(Grandview_Inventory[[#This Row],[pre_res]]&lt;0,0,Grandview_Inventory[[#This Row],[pre_res]]*Grandview_Inventory[[#This Row],[overall_adj]])</f>
        <v>323300.51245365373</v>
      </c>
      <c r="BZ2340" s="6">
        <f>(Grandview_Inventory[[#This Row],[sum_land]]-IF(Grandview_Inventory[[#This Row],[no_utilities]]=1,12000,0))/IF(Grandview_Inventory[[#This Row],[unbuildable]]=1,2,1)</f>
        <v>49167.631333630678</v>
      </c>
      <c r="CA234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40">
        <f>ROUND(Grandview_Inventory[[#This Row],[det_value]]*Lookups!$M$28,-2)</f>
        <v>0</v>
      </c>
      <c r="CC2340">
        <f>IF(ROUND(Grandview_Inventory[[#This Row],[adj_res]]*Lookups!$M$28,-2)&lt;Grandview_Inventory[[#This Row],[min_res]],Grandview_Inventory[[#This Row],[min_res]],ROUND(Grandview_Inventory[[#This Row],[adj_res]]*Lookups!$M$28,-2))</f>
        <v>307100</v>
      </c>
      <c r="CD2340">
        <f>Grandview_Inventory[[#This Row],[final_det]]+Grandview_Inventory[[#This Row],[final_res]]</f>
        <v>307100</v>
      </c>
      <c r="CE2340">
        <f>Grandview_Inventory[[#This Row],[final_land]]+Grandview_Inventory[[#This Row],[final_imp]]+Grandview_Inventory[[#This Row],[crop_value]]</f>
        <v>353800</v>
      </c>
      <c r="CG2340" t="str">
        <f t="shared" si="36"/>
        <v>update valuation set market_land =46700, market_bldg=307100, market_total =353800, market_mdno =401, market_date ='9/10/2023' where link_id = (select link_id from parcel where parcel_year = '2024' and parcel_id = '23092621448');</v>
      </c>
    </row>
    <row r="2341" spans="1:85" x14ac:dyDescent="0.25">
      <c r="A2341">
        <v>23092621449</v>
      </c>
      <c r="B2341" t="s">
        <v>129</v>
      </c>
      <c r="C2341">
        <v>8030</v>
      </c>
      <c r="D2341" t="s">
        <v>129</v>
      </c>
      <c r="E2341" t="s">
        <v>53</v>
      </c>
      <c r="F2341" t="s">
        <v>53</v>
      </c>
      <c r="G2341">
        <v>4</v>
      </c>
      <c r="H2341" t="s">
        <v>54</v>
      </c>
      <c r="I2341">
        <v>250500</v>
      </c>
      <c r="J2341">
        <v>39000</v>
      </c>
      <c r="K2341">
        <v>0.18</v>
      </c>
      <c r="L234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1">
        <v>0</v>
      </c>
      <c r="N2341">
        <v>0</v>
      </c>
      <c r="O2341">
        <v>0</v>
      </c>
      <c r="P2341">
        <v>13398.7528</v>
      </c>
      <c r="Q2341">
        <v>63903</v>
      </c>
      <c r="R2341">
        <f>(Grandview_Inventory[[#This Row],[ln_acres]]*Grandview_Inventory[[#This Row],[coeff]])+Grandview_Inventory[[#This Row],[const]]</f>
        <v>40926.839760167699</v>
      </c>
      <c r="S2341" t="s">
        <v>61</v>
      </c>
      <c r="T2341">
        <v>1</v>
      </c>
      <c r="U2341" t="s">
        <v>62</v>
      </c>
      <c r="V2341" t="s">
        <v>57</v>
      </c>
      <c r="W2341">
        <v>0</v>
      </c>
      <c r="X2341">
        <v>0</v>
      </c>
      <c r="Y2341">
        <v>2</v>
      </c>
      <c r="Z2341">
        <v>2</v>
      </c>
      <c r="AA2341">
        <v>10</v>
      </c>
      <c r="AB2341">
        <v>1500</v>
      </c>
      <c r="AC2341">
        <v>1468</v>
      </c>
      <c r="AD2341">
        <v>1468</v>
      </c>
      <c r="AE2341">
        <v>0</v>
      </c>
      <c r="AF2341">
        <v>0</v>
      </c>
      <c r="AG2341">
        <v>0</v>
      </c>
      <c r="AH2341">
        <v>0</v>
      </c>
      <c r="AI2341">
        <v>460</v>
      </c>
      <c r="AJ2341">
        <v>0</v>
      </c>
      <c r="AK2341">
        <v>0</v>
      </c>
      <c r="AL2341">
        <v>0</v>
      </c>
      <c r="AM2341">
        <v>0</v>
      </c>
      <c r="AN2341">
        <v>233</v>
      </c>
      <c r="AO2341">
        <v>0</v>
      </c>
      <c r="AP2341">
        <v>9</v>
      </c>
      <c r="AQ2341">
        <v>0</v>
      </c>
      <c r="AR2341">
        <v>0</v>
      </c>
      <c r="AS2341" t="s">
        <v>58</v>
      </c>
      <c r="AT2341">
        <v>1</v>
      </c>
      <c r="AU2341" t="s">
        <v>63</v>
      </c>
      <c r="AV2341" t="s">
        <v>64</v>
      </c>
      <c r="AW2341">
        <v>1</v>
      </c>
      <c r="AX2341">
        <v>3</v>
      </c>
      <c r="AY2341">
        <v>0</v>
      </c>
      <c r="AZ2341">
        <v>0</v>
      </c>
      <c r="BA2341">
        <v>100</v>
      </c>
      <c r="BB2341">
        <v>100</v>
      </c>
      <c r="BC2341">
        <v>100</v>
      </c>
      <c r="BD2341">
        <v>100</v>
      </c>
      <c r="BE2341">
        <v>1</v>
      </c>
      <c r="BF2341">
        <v>15000</v>
      </c>
      <c r="BG2341">
        <v>1000</v>
      </c>
      <c r="BH2341" s="6">
        <f>Grandview_Inventory[[#This Row],[land_extract]]*Lookups!$B$3</f>
        <v>47528.228511015397</v>
      </c>
      <c r="BI2341" s="6">
        <f>IF(Grandview_Inventory[[#This Row],[bldg_style]]="",0,Lookups!$B$2)</f>
        <v>155833.95000000001</v>
      </c>
      <c r="BJ2341" s="6">
        <f>_xlfn.IFNA(VLOOKUP(Grandview_Inventory[[#This Row],[quality]],Lookups!$H$2:$J$14,3,FALSE),0)</f>
        <v>9808</v>
      </c>
      <c r="BK2341" s="6">
        <f>_xlfn.IFNA(VLOOKUP(Grandview_Inventory[[#This Row],[condition]],Lookups!$H$17:$J$24,3,FALSE),0)</f>
        <v>25780</v>
      </c>
      <c r="BL2341" s="6">
        <f>Grandview_Inventory[[#This Row],[Eff_Age]]*Lookups!$B$14</f>
        <v>-478.33319999999998</v>
      </c>
      <c r="BM2341" s="6">
        <f>Grandview_Inventory[[#This Row],[living_area]]*Lookups!$B$15</f>
        <v>91575.092204</v>
      </c>
      <c r="BN2341" s="6">
        <f>Grandview_Inventory[[#This Row],[Fin BSMT]]*Lookups!$B$16</f>
        <v>0</v>
      </c>
      <c r="BO2341" s="6">
        <f>(Grandview_Inventory[[#This Row],[att_gar]]+Grandview_Inventory[[#This Row],[bltin_gar]])*Lookups!$B$17</f>
        <v>40259.401019999998</v>
      </c>
      <c r="BP2341" s="6">
        <f>Grandview_Inventory[[#This Row],[Plumbing Fixtures]]*Lookups!$B$18</f>
        <v>18093.976200000001</v>
      </c>
      <c r="BQ2341" s="6">
        <f>Grandview_Inventory[[#This Row],[detatched_value]]*Lookups!$B$19</f>
        <v>0</v>
      </c>
      <c r="BR2341" s="6">
        <f>SUM(Grandview_Inventory[[#This Row],[Intercept]:[det_value]])*Grandview_Inventory[[#This Row],[res_pct]]</f>
        <v>340872.08622399997</v>
      </c>
      <c r="BS2341" s="6">
        <f>Grandview_Inventory[[#This Row],[land_value]]</f>
        <v>47528.228511015397</v>
      </c>
      <c r="BT2341" s="4">
        <f>_xlfn.IFNA(VLOOKUP(Grandview_Inventory[[#This Row],[quality]],Lookups!$A$26:$C$33,3,FALSE),1)</f>
        <v>0.94295468617355149</v>
      </c>
      <c r="BU2341" s="4">
        <f>_xlfn.IFNA(VLOOKUP(Grandview_Inventory[[#This Row],[condition]],Lookups!$A$37:$C$44,3,FALSE),1)</f>
        <v>0.94347925387812148</v>
      </c>
      <c r="BV2341" s="4">
        <f>IF(Grandview_Inventory[[#This Row],[bldg_style]]="",1,_xlfn.IFNA(VLOOKUP(Grandview_Inventory[[#This Row],[decade]],Lookups!$F$29:$H$43,3,FALSE),1))</f>
        <v>0.94601966599150278</v>
      </c>
      <c r="BW2341" s="4">
        <f>_xlfn.IFNA(VLOOKUP(Grandview_Inventory[[#This Row],[living_area_range]],Lookups!$F$47:$H$56,3,FALSE),1)</f>
        <v>0.96135087979789358</v>
      </c>
      <c r="BX2341" s="4">
        <f>AVERAGE(Grandview_Inventory[[#This Row],[qual_adj]:[size_adj]])</f>
        <v>0.94845112146026733</v>
      </c>
      <c r="BY2341" s="6">
        <f>IF(Grandview_Inventory[[#This Row],[pre_res]]&lt;0,0,Grandview_Inventory[[#This Row],[pre_res]]*Grandview_Inventory[[#This Row],[overall_adj]])</f>
        <v>323300.51245365373</v>
      </c>
      <c r="BZ2341" s="6">
        <f>(Grandview_Inventory[[#This Row],[sum_land]]-IF(Grandview_Inventory[[#This Row],[no_utilities]]=1,12000,0))/IF(Grandview_Inventory[[#This Row],[unbuildable]]=1,2,1)</f>
        <v>47528.228511015397</v>
      </c>
      <c r="CA234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1">
        <f>ROUND(Grandview_Inventory[[#This Row],[det_value]]*Lookups!$M$28,-2)</f>
        <v>0</v>
      </c>
      <c r="CC2341">
        <f>IF(ROUND(Grandview_Inventory[[#This Row],[adj_res]]*Lookups!$M$28,-2)&lt;Grandview_Inventory[[#This Row],[min_res]],Grandview_Inventory[[#This Row],[min_res]],ROUND(Grandview_Inventory[[#This Row],[adj_res]]*Lookups!$M$28,-2))</f>
        <v>307100</v>
      </c>
      <c r="CD2341">
        <f>Grandview_Inventory[[#This Row],[final_det]]+Grandview_Inventory[[#This Row],[final_res]]</f>
        <v>307100</v>
      </c>
      <c r="CE2341">
        <f>Grandview_Inventory[[#This Row],[final_land]]+Grandview_Inventory[[#This Row],[final_imp]]+Grandview_Inventory[[#This Row],[crop_value]]</f>
        <v>352300</v>
      </c>
      <c r="CG2341" t="str">
        <f t="shared" si="36"/>
        <v>update valuation set market_land =45200, market_bldg=307100, market_total =352300, market_mdno =401, market_date ='9/10/2023' where link_id = (select link_id from parcel where parcel_year = '2024' and parcel_id = '23092621449');</v>
      </c>
    </row>
    <row r="2342" spans="1:85" x14ac:dyDescent="0.25">
      <c r="A2342">
        <v>23092621450</v>
      </c>
      <c r="B2342" t="s">
        <v>129</v>
      </c>
      <c r="C2342">
        <v>8030</v>
      </c>
      <c r="D2342" t="s">
        <v>129</v>
      </c>
      <c r="E2342" t="s">
        <v>53</v>
      </c>
      <c r="F2342" t="s">
        <v>53</v>
      </c>
      <c r="G2342">
        <v>4</v>
      </c>
      <c r="H2342" t="s">
        <v>54</v>
      </c>
      <c r="I2342">
        <v>251800</v>
      </c>
      <c r="J2342">
        <v>39000</v>
      </c>
      <c r="K2342">
        <v>0.18</v>
      </c>
      <c r="L234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2">
        <v>0</v>
      </c>
      <c r="N2342">
        <v>0</v>
      </c>
      <c r="O2342">
        <v>0</v>
      </c>
      <c r="P2342">
        <v>13398.7528</v>
      </c>
      <c r="Q2342">
        <v>63903</v>
      </c>
      <c r="R2342">
        <f>(Grandview_Inventory[[#This Row],[ln_acres]]*Grandview_Inventory[[#This Row],[coeff]])+Grandview_Inventory[[#This Row],[const]]</f>
        <v>40926.839760167699</v>
      </c>
      <c r="S2342" t="s">
        <v>61</v>
      </c>
      <c r="T2342">
        <v>1</v>
      </c>
      <c r="U2342" t="s">
        <v>62</v>
      </c>
      <c r="V2342" t="s">
        <v>57</v>
      </c>
      <c r="W2342">
        <v>0</v>
      </c>
      <c r="X2342">
        <v>0</v>
      </c>
      <c r="Y2342">
        <v>2</v>
      </c>
      <c r="Z2342">
        <v>2</v>
      </c>
      <c r="AA2342">
        <v>10</v>
      </c>
      <c r="AB2342">
        <v>1500</v>
      </c>
      <c r="AC2342">
        <v>1364</v>
      </c>
      <c r="AD2342">
        <v>1364</v>
      </c>
      <c r="AE2342">
        <v>0</v>
      </c>
      <c r="AF2342">
        <v>0</v>
      </c>
      <c r="AG2342">
        <v>0</v>
      </c>
      <c r="AH2342">
        <v>0</v>
      </c>
      <c r="AI2342">
        <v>590</v>
      </c>
      <c r="AJ2342">
        <v>0</v>
      </c>
      <c r="AK2342">
        <v>0</v>
      </c>
      <c r="AL2342">
        <v>0</v>
      </c>
      <c r="AM2342">
        <v>100</v>
      </c>
      <c r="AN2342">
        <v>78</v>
      </c>
      <c r="AO2342">
        <v>0</v>
      </c>
      <c r="AP2342">
        <v>8</v>
      </c>
      <c r="AQ2342">
        <v>0</v>
      </c>
      <c r="AR2342">
        <v>0</v>
      </c>
      <c r="AS2342" t="s">
        <v>58</v>
      </c>
      <c r="AT2342">
        <v>1</v>
      </c>
      <c r="AU2342" t="s">
        <v>63</v>
      </c>
      <c r="AV2342" t="s">
        <v>64</v>
      </c>
      <c r="AW2342">
        <v>1</v>
      </c>
      <c r="AX2342">
        <v>3</v>
      </c>
      <c r="AY2342">
        <v>0</v>
      </c>
      <c r="AZ2342">
        <v>0</v>
      </c>
      <c r="BA2342">
        <v>100</v>
      </c>
      <c r="BB2342">
        <v>100</v>
      </c>
      <c r="BC2342">
        <v>100</v>
      </c>
      <c r="BD2342">
        <v>100</v>
      </c>
      <c r="BE2342">
        <v>1</v>
      </c>
      <c r="BF2342">
        <v>15000</v>
      </c>
      <c r="BG2342">
        <v>1000</v>
      </c>
      <c r="BH2342" s="6">
        <f>Grandview_Inventory[[#This Row],[land_extract]]*Lookups!$B$3</f>
        <v>47528.228511015397</v>
      </c>
      <c r="BI2342" s="6">
        <f>IF(Grandview_Inventory[[#This Row],[bldg_style]]="",0,Lookups!$B$2)</f>
        <v>155833.95000000001</v>
      </c>
      <c r="BJ2342" s="6">
        <f>_xlfn.IFNA(VLOOKUP(Grandview_Inventory[[#This Row],[quality]],Lookups!$H$2:$J$14,3,FALSE),0)</f>
        <v>9808</v>
      </c>
      <c r="BK2342" s="6">
        <f>_xlfn.IFNA(VLOOKUP(Grandview_Inventory[[#This Row],[condition]],Lookups!$H$17:$J$24,3,FALSE),0)</f>
        <v>25780</v>
      </c>
      <c r="BL2342" s="6">
        <f>Grandview_Inventory[[#This Row],[Eff_Age]]*Lookups!$B$14</f>
        <v>-478.33319999999998</v>
      </c>
      <c r="BM2342" s="6">
        <f>Grandview_Inventory[[#This Row],[living_area]]*Lookups!$B$15</f>
        <v>85087.483491999999</v>
      </c>
      <c r="BN2342" s="6">
        <f>Grandview_Inventory[[#This Row],[Fin BSMT]]*Lookups!$B$16</f>
        <v>0</v>
      </c>
      <c r="BO2342" s="6">
        <f>(Grandview_Inventory[[#This Row],[att_gar]]+Grandview_Inventory[[#This Row],[bltin_gar]])*Lookups!$B$17</f>
        <v>51637.057829999998</v>
      </c>
      <c r="BP2342" s="6">
        <f>Grandview_Inventory[[#This Row],[Plumbing Fixtures]]*Lookups!$B$18</f>
        <v>16083.5344</v>
      </c>
      <c r="BQ2342" s="6">
        <f>Grandview_Inventory[[#This Row],[detatched_value]]*Lookups!$B$19</f>
        <v>0</v>
      </c>
      <c r="BR2342" s="6">
        <f>SUM(Grandview_Inventory[[#This Row],[Intercept]:[det_value]])*Grandview_Inventory[[#This Row],[res_pct]]</f>
        <v>343751.692522</v>
      </c>
      <c r="BS2342" s="6">
        <f>Grandview_Inventory[[#This Row],[land_value]]</f>
        <v>47528.228511015397</v>
      </c>
      <c r="BT2342" s="4">
        <f>_xlfn.IFNA(VLOOKUP(Grandview_Inventory[[#This Row],[quality]],Lookups!$A$26:$C$33,3,FALSE),1)</f>
        <v>0.94295468617355149</v>
      </c>
      <c r="BU2342" s="4">
        <f>_xlfn.IFNA(VLOOKUP(Grandview_Inventory[[#This Row],[condition]],Lookups!$A$37:$C$44,3,FALSE),1)</f>
        <v>0.94347925387812148</v>
      </c>
      <c r="BV2342" s="4">
        <f>IF(Grandview_Inventory[[#This Row],[bldg_style]]="",1,_xlfn.IFNA(VLOOKUP(Grandview_Inventory[[#This Row],[decade]],Lookups!$F$29:$H$43,3,FALSE),1))</f>
        <v>0.94601966599150278</v>
      </c>
      <c r="BW2342" s="4">
        <f>_xlfn.IFNA(VLOOKUP(Grandview_Inventory[[#This Row],[living_area_range]],Lookups!$F$47:$H$56,3,FALSE),1)</f>
        <v>0.96135087979789358</v>
      </c>
      <c r="BX2342" s="4">
        <f>AVERAGE(Grandview_Inventory[[#This Row],[qual_adj]:[size_adj]])</f>
        <v>0.94845112146026733</v>
      </c>
      <c r="BY2342" s="6">
        <f>IF(Grandview_Inventory[[#This Row],[pre_res]]&lt;0,0,Grandview_Inventory[[#This Row],[pre_res]]*Grandview_Inventory[[#This Row],[overall_adj]])</f>
        <v>326031.6782763559</v>
      </c>
      <c r="BZ2342" s="6">
        <f>(Grandview_Inventory[[#This Row],[sum_land]]-IF(Grandview_Inventory[[#This Row],[no_utilities]]=1,12000,0))/IF(Grandview_Inventory[[#This Row],[unbuildable]]=1,2,1)</f>
        <v>47528.228511015397</v>
      </c>
      <c r="CA234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2">
        <f>ROUND(Grandview_Inventory[[#This Row],[det_value]]*Lookups!$M$28,-2)</f>
        <v>0</v>
      </c>
      <c r="CC2342">
        <f>IF(ROUND(Grandview_Inventory[[#This Row],[adj_res]]*Lookups!$M$28,-2)&lt;Grandview_Inventory[[#This Row],[min_res]],Grandview_Inventory[[#This Row],[min_res]],ROUND(Grandview_Inventory[[#This Row],[adj_res]]*Lookups!$M$28,-2))</f>
        <v>309700</v>
      </c>
      <c r="CD2342">
        <f>Grandview_Inventory[[#This Row],[final_det]]+Grandview_Inventory[[#This Row],[final_res]]</f>
        <v>309700</v>
      </c>
      <c r="CE2342">
        <f>Grandview_Inventory[[#This Row],[final_land]]+Grandview_Inventory[[#This Row],[final_imp]]+Grandview_Inventory[[#This Row],[crop_value]]</f>
        <v>354900</v>
      </c>
      <c r="CG2342" t="str">
        <f t="shared" si="36"/>
        <v>update valuation set market_land =45200, market_bldg=309700, market_total =354900, market_mdno =401, market_date ='9/10/2023' where link_id = (select link_id from parcel where parcel_year = '2024' and parcel_id = '23092621450');</v>
      </c>
    </row>
    <row r="2343" spans="1:85" x14ac:dyDescent="0.25">
      <c r="A2343">
        <v>23092621451</v>
      </c>
      <c r="B2343" t="s">
        <v>129</v>
      </c>
      <c r="C2343">
        <v>8030</v>
      </c>
      <c r="D2343" t="s">
        <v>129</v>
      </c>
      <c r="E2343" t="s">
        <v>53</v>
      </c>
      <c r="F2343" t="s">
        <v>53</v>
      </c>
      <c r="G2343">
        <v>4</v>
      </c>
      <c r="H2343" t="s">
        <v>54</v>
      </c>
      <c r="I2343">
        <v>245900</v>
      </c>
      <c r="J2343">
        <v>39000</v>
      </c>
      <c r="K2343">
        <v>0.18</v>
      </c>
      <c r="L234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3">
        <v>0</v>
      </c>
      <c r="N2343">
        <v>0</v>
      </c>
      <c r="O2343">
        <v>0</v>
      </c>
      <c r="P2343">
        <v>13398.7528</v>
      </c>
      <c r="Q2343">
        <v>63903</v>
      </c>
      <c r="R2343">
        <f>(Grandview_Inventory[[#This Row],[ln_acres]]*Grandview_Inventory[[#This Row],[coeff]])+Grandview_Inventory[[#This Row],[const]]</f>
        <v>40926.839760167699</v>
      </c>
      <c r="S2343" t="s">
        <v>61</v>
      </c>
      <c r="T2343">
        <v>1</v>
      </c>
      <c r="U2343" t="s">
        <v>62</v>
      </c>
      <c r="V2343" t="s">
        <v>57</v>
      </c>
      <c r="W2343">
        <v>0</v>
      </c>
      <c r="X2343">
        <v>0</v>
      </c>
      <c r="Y2343">
        <v>2</v>
      </c>
      <c r="Z2343">
        <v>2</v>
      </c>
      <c r="AA2343">
        <v>10</v>
      </c>
      <c r="AB2343">
        <v>1500</v>
      </c>
      <c r="AC2343">
        <v>1468</v>
      </c>
      <c r="AD2343">
        <v>1468</v>
      </c>
      <c r="AE2343">
        <v>0</v>
      </c>
      <c r="AF2343">
        <v>0</v>
      </c>
      <c r="AG2343">
        <v>0</v>
      </c>
      <c r="AH2343">
        <v>0</v>
      </c>
      <c r="AI2343">
        <v>460</v>
      </c>
      <c r="AJ2343">
        <v>0</v>
      </c>
      <c r="AK2343">
        <v>0</v>
      </c>
      <c r="AL2343">
        <v>0</v>
      </c>
      <c r="AM2343">
        <v>0</v>
      </c>
      <c r="AN2343">
        <v>233</v>
      </c>
      <c r="AO2343">
        <v>0</v>
      </c>
      <c r="AP2343">
        <v>9</v>
      </c>
      <c r="AQ2343">
        <v>0</v>
      </c>
      <c r="AR2343">
        <v>0</v>
      </c>
      <c r="AS2343" t="s">
        <v>58</v>
      </c>
      <c r="AT2343">
        <v>1</v>
      </c>
      <c r="AU2343" t="s">
        <v>59</v>
      </c>
      <c r="AV2343" t="s">
        <v>64</v>
      </c>
      <c r="AW2343">
        <v>1</v>
      </c>
      <c r="AX2343">
        <v>3</v>
      </c>
      <c r="AY2343">
        <v>0</v>
      </c>
      <c r="AZ2343">
        <v>0</v>
      </c>
      <c r="BA2343">
        <v>100</v>
      </c>
      <c r="BB2343">
        <v>100</v>
      </c>
      <c r="BC2343">
        <v>100</v>
      </c>
      <c r="BD2343">
        <v>100</v>
      </c>
      <c r="BE2343">
        <v>1</v>
      </c>
      <c r="BF2343">
        <v>15000</v>
      </c>
      <c r="BG2343">
        <v>1000</v>
      </c>
      <c r="BH2343" s="6">
        <f>Grandview_Inventory[[#This Row],[land_extract]]*Lookups!$B$3</f>
        <v>47528.228511015397</v>
      </c>
      <c r="BI2343" s="6">
        <f>IF(Grandview_Inventory[[#This Row],[bldg_style]]="",0,Lookups!$B$2)</f>
        <v>155833.95000000001</v>
      </c>
      <c r="BJ2343" s="6">
        <f>_xlfn.IFNA(VLOOKUP(Grandview_Inventory[[#This Row],[quality]],Lookups!$H$2:$J$14,3,FALSE),0)</f>
        <v>9808</v>
      </c>
      <c r="BK2343" s="6">
        <f>_xlfn.IFNA(VLOOKUP(Grandview_Inventory[[#This Row],[condition]],Lookups!$H$17:$J$24,3,FALSE),0)</f>
        <v>25780</v>
      </c>
      <c r="BL2343" s="6">
        <f>Grandview_Inventory[[#This Row],[Eff_Age]]*Lookups!$B$14</f>
        <v>-478.33319999999998</v>
      </c>
      <c r="BM2343" s="6">
        <f>Grandview_Inventory[[#This Row],[living_area]]*Lookups!$B$15</f>
        <v>91575.092204</v>
      </c>
      <c r="BN2343" s="6">
        <f>Grandview_Inventory[[#This Row],[Fin BSMT]]*Lookups!$B$16</f>
        <v>0</v>
      </c>
      <c r="BO2343" s="6">
        <f>(Grandview_Inventory[[#This Row],[att_gar]]+Grandview_Inventory[[#This Row],[bltin_gar]])*Lookups!$B$17</f>
        <v>40259.401019999998</v>
      </c>
      <c r="BP2343" s="6">
        <f>Grandview_Inventory[[#This Row],[Plumbing Fixtures]]*Lookups!$B$18</f>
        <v>18093.976200000001</v>
      </c>
      <c r="BQ2343" s="6">
        <f>Grandview_Inventory[[#This Row],[detatched_value]]*Lookups!$B$19</f>
        <v>0</v>
      </c>
      <c r="BR2343" s="6">
        <f>SUM(Grandview_Inventory[[#This Row],[Intercept]:[det_value]])*Grandview_Inventory[[#This Row],[res_pct]]</f>
        <v>340872.08622399997</v>
      </c>
      <c r="BS2343" s="6">
        <f>Grandview_Inventory[[#This Row],[land_value]]</f>
        <v>47528.228511015397</v>
      </c>
      <c r="BT2343" s="4">
        <f>_xlfn.IFNA(VLOOKUP(Grandview_Inventory[[#This Row],[quality]],Lookups!$A$26:$C$33,3,FALSE),1)</f>
        <v>0.94295468617355149</v>
      </c>
      <c r="BU2343" s="4">
        <f>_xlfn.IFNA(VLOOKUP(Grandview_Inventory[[#This Row],[condition]],Lookups!$A$37:$C$44,3,FALSE),1)</f>
        <v>0.94347925387812148</v>
      </c>
      <c r="BV2343" s="4">
        <f>IF(Grandview_Inventory[[#This Row],[bldg_style]]="",1,_xlfn.IFNA(VLOOKUP(Grandview_Inventory[[#This Row],[decade]],Lookups!$F$29:$H$43,3,FALSE),1))</f>
        <v>0.94601966599150278</v>
      </c>
      <c r="BW2343" s="4">
        <f>_xlfn.IFNA(VLOOKUP(Grandview_Inventory[[#This Row],[living_area_range]],Lookups!$F$47:$H$56,3,FALSE),1)</f>
        <v>0.96135087979789358</v>
      </c>
      <c r="BX2343" s="4">
        <f>AVERAGE(Grandview_Inventory[[#This Row],[qual_adj]:[size_adj]])</f>
        <v>0.94845112146026733</v>
      </c>
      <c r="BY2343" s="6">
        <f>IF(Grandview_Inventory[[#This Row],[pre_res]]&lt;0,0,Grandview_Inventory[[#This Row],[pre_res]]*Grandview_Inventory[[#This Row],[overall_adj]])</f>
        <v>323300.51245365373</v>
      </c>
      <c r="BZ2343" s="6">
        <f>(Grandview_Inventory[[#This Row],[sum_land]]-IF(Grandview_Inventory[[#This Row],[no_utilities]]=1,12000,0))/IF(Grandview_Inventory[[#This Row],[unbuildable]]=1,2,1)</f>
        <v>47528.228511015397</v>
      </c>
      <c r="CA234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3">
        <f>ROUND(Grandview_Inventory[[#This Row],[det_value]]*Lookups!$M$28,-2)</f>
        <v>0</v>
      </c>
      <c r="CC2343">
        <f>IF(ROUND(Grandview_Inventory[[#This Row],[adj_res]]*Lookups!$M$28,-2)&lt;Grandview_Inventory[[#This Row],[min_res]],Grandview_Inventory[[#This Row],[min_res]],ROUND(Grandview_Inventory[[#This Row],[adj_res]]*Lookups!$M$28,-2))</f>
        <v>307100</v>
      </c>
      <c r="CD2343">
        <f>Grandview_Inventory[[#This Row],[final_det]]+Grandview_Inventory[[#This Row],[final_res]]</f>
        <v>307100</v>
      </c>
      <c r="CE2343">
        <f>Grandview_Inventory[[#This Row],[final_land]]+Grandview_Inventory[[#This Row],[final_imp]]+Grandview_Inventory[[#This Row],[crop_value]]</f>
        <v>352300</v>
      </c>
      <c r="CG2343" t="str">
        <f t="shared" si="36"/>
        <v>update valuation set market_land =45200, market_bldg=307100, market_total =352300, market_mdno =401, market_date ='9/10/2023' where link_id = (select link_id from parcel where parcel_year = '2024' and parcel_id = '23092621451');</v>
      </c>
    </row>
    <row r="2344" spans="1:85" x14ac:dyDescent="0.25">
      <c r="A2344">
        <v>23092621452</v>
      </c>
      <c r="B2344" t="s">
        <v>129</v>
      </c>
      <c r="C2344">
        <v>8030</v>
      </c>
      <c r="D2344" t="s">
        <v>129</v>
      </c>
      <c r="E2344" t="s">
        <v>53</v>
      </c>
      <c r="F2344" t="s">
        <v>53</v>
      </c>
      <c r="G2344">
        <v>4</v>
      </c>
      <c r="H2344" t="s">
        <v>54</v>
      </c>
      <c r="I2344">
        <v>275300</v>
      </c>
      <c r="J2344">
        <v>39000</v>
      </c>
      <c r="K2344">
        <v>0.18</v>
      </c>
      <c r="L234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4">
        <v>0</v>
      </c>
      <c r="N2344">
        <v>0</v>
      </c>
      <c r="O2344">
        <v>0</v>
      </c>
      <c r="P2344">
        <v>13398.7528</v>
      </c>
      <c r="Q2344">
        <v>63903</v>
      </c>
      <c r="R2344">
        <f>(Grandview_Inventory[[#This Row],[ln_acres]]*Grandview_Inventory[[#This Row],[coeff]])+Grandview_Inventory[[#This Row],[const]]</f>
        <v>40926.839760167699</v>
      </c>
      <c r="S2344" t="s">
        <v>55</v>
      </c>
      <c r="T2344">
        <v>1</v>
      </c>
      <c r="U2344" t="s">
        <v>62</v>
      </c>
      <c r="V2344" t="s">
        <v>57</v>
      </c>
      <c r="W2344">
        <v>0</v>
      </c>
      <c r="X2344">
        <v>0</v>
      </c>
      <c r="Y2344">
        <v>1</v>
      </c>
      <c r="Z2344">
        <v>1</v>
      </c>
      <c r="AA2344">
        <v>10</v>
      </c>
      <c r="AB2344">
        <v>1500</v>
      </c>
      <c r="AC2344">
        <v>1460</v>
      </c>
      <c r="AD2344">
        <v>1460</v>
      </c>
      <c r="AE2344">
        <v>0</v>
      </c>
      <c r="AF2344">
        <v>0</v>
      </c>
      <c r="AG2344">
        <v>0</v>
      </c>
      <c r="AH2344">
        <v>0</v>
      </c>
      <c r="AI2344">
        <v>660</v>
      </c>
      <c r="AJ2344">
        <v>0</v>
      </c>
      <c r="AK2344">
        <v>0</v>
      </c>
      <c r="AL2344">
        <v>0</v>
      </c>
      <c r="AM2344">
        <v>0</v>
      </c>
      <c r="AN2344">
        <v>177</v>
      </c>
      <c r="AO2344">
        <v>0</v>
      </c>
      <c r="AP2344">
        <v>9</v>
      </c>
      <c r="AQ2344">
        <v>0</v>
      </c>
      <c r="AR2344">
        <v>0</v>
      </c>
      <c r="AS2344" t="s">
        <v>58</v>
      </c>
      <c r="AT2344">
        <v>1</v>
      </c>
      <c r="AU2344" t="s">
        <v>63</v>
      </c>
      <c r="AV2344" t="s">
        <v>64</v>
      </c>
      <c r="AW2344">
        <v>1</v>
      </c>
      <c r="AX2344">
        <v>3</v>
      </c>
      <c r="AY2344">
        <v>0</v>
      </c>
      <c r="AZ2344">
        <v>0</v>
      </c>
      <c r="BA2344">
        <v>100</v>
      </c>
      <c r="BB2344">
        <v>100</v>
      </c>
      <c r="BC2344">
        <v>100</v>
      </c>
      <c r="BD2344">
        <v>100</v>
      </c>
      <c r="BE2344">
        <v>1</v>
      </c>
      <c r="BF2344">
        <v>15000</v>
      </c>
      <c r="BG2344">
        <v>1000</v>
      </c>
      <c r="BH2344" s="6">
        <f>Grandview_Inventory[[#This Row],[land_extract]]*Lookups!$B$3</f>
        <v>47528.228511015397</v>
      </c>
      <c r="BI2344" s="6">
        <f>IF(Grandview_Inventory[[#This Row],[bldg_style]]="",0,Lookups!$B$2)</f>
        <v>155833.95000000001</v>
      </c>
      <c r="BJ2344" s="6">
        <f>_xlfn.IFNA(VLOOKUP(Grandview_Inventory[[#This Row],[quality]],Lookups!$H$2:$J$14,3,FALSE),0)</f>
        <v>9808</v>
      </c>
      <c r="BK2344" s="6">
        <f>_xlfn.IFNA(VLOOKUP(Grandview_Inventory[[#This Row],[condition]],Lookups!$H$17:$J$24,3,FALSE),0)</f>
        <v>25780</v>
      </c>
      <c r="BL2344" s="6">
        <f>Grandview_Inventory[[#This Row],[Eff_Age]]*Lookups!$B$14</f>
        <v>-239.16659999999999</v>
      </c>
      <c r="BM2344" s="6">
        <f>Grandview_Inventory[[#This Row],[living_area]]*Lookups!$B$15</f>
        <v>91076.045379999996</v>
      </c>
      <c r="BN2344" s="6">
        <f>Grandview_Inventory[[#This Row],[Fin BSMT]]*Lookups!$B$16</f>
        <v>0</v>
      </c>
      <c r="BO2344" s="6">
        <f>(Grandview_Inventory[[#This Row],[att_gar]]+Grandview_Inventory[[#This Row],[bltin_gar]])*Lookups!$B$17</f>
        <v>57763.488420000001</v>
      </c>
      <c r="BP2344" s="6">
        <f>Grandview_Inventory[[#This Row],[Plumbing Fixtures]]*Lookups!$B$18</f>
        <v>18093.976200000001</v>
      </c>
      <c r="BQ2344" s="6">
        <f>Grandview_Inventory[[#This Row],[detatched_value]]*Lookups!$B$19</f>
        <v>0</v>
      </c>
      <c r="BR2344" s="6">
        <f>SUM(Grandview_Inventory[[#This Row],[Intercept]:[det_value]])*Grandview_Inventory[[#This Row],[res_pct]]</f>
        <v>358116.29339999997</v>
      </c>
      <c r="BS2344" s="6">
        <f>Grandview_Inventory[[#This Row],[land_value]]</f>
        <v>47528.228511015397</v>
      </c>
      <c r="BT2344" s="4">
        <f>_xlfn.IFNA(VLOOKUP(Grandview_Inventory[[#This Row],[quality]],Lookups!$A$26:$C$33,3,FALSE),1)</f>
        <v>0.94295468617355149</v>
      </c>
      <c r="BU2344" s="4">
        <f>_xlfn.IFNA(VLOOKUP(Grandview_Inventory[[#This Row],[condition]],Lookups!$A$37:$C$44,3,FALSE),1)</f>
        <v>0.94347925387812148</v>
      </c>
      <c r="BV2344" s="4">
        <f>IF(Grandview_Inventory[[#This Row],[bldg_style]]="",1,_xlfn.IFNA(VLOOKUP(Grandview_Inventory[[#This Row],[decade]],Lookups!$F$29:$H$43,3,FALSE),1))</f>
        <v>0.94601966599150278</v>
      </c>
      <c r="BW2344" s="4">
        <f>_xlfn.IFNA(VLOOKUP(Grandview_Inventory[[#This Row],[living_area_range]],Lookups!$F$47:$H$56,3,FALSE),1)</f>
        <v>0.96135087979789358</v>
      </c>
      <c r="BX2344" s="4">
        <f>AVERAGE(Grandview_Inventory[[#This Row],[qual_adj]:[size_adj]])</f>
        <v>0.94845112146026733</v>
      </c>
      <c r="BY2344" s="6">
        <f>IF(Grandview_Inventory[[#This Row],[pre_res]]&lt;0,0,Grandview_Inventory[[#This Row],[pre_res]]*Grandview_Inventory[[#This Row],[overall_adj]])</f>
        <v>339655.80008842412</v>
      </c>
      <c r="BZ2344" s="6">
        <f>(Grandview_Inventory[[#This Row],[sum_land]]-IF(Grandview_Inventory[[#This Row],[no_utilities]]=1,12000,0))/IF(Grandview_Inventory[[#This Row],[unbuildable]]=1,2,1)</f>
        <v>47528.228511015397</v>
      </c>
      <c r="CA234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4">
        <f>ROUND(Grandview_Inventory[[#This Row],[det_value]]*Lookups!$M$28,-2)</f>
        <v>0</v>
      </c>
      <c r="CC2344">
        <f>IF(ROUND(Grandview_Inventory[[#This Row],[adj_res]]*Lookups!$M$28,-2)&lt;Grandview_Inventory[[#This Row],[min_res]],Grandview_Inventory[[#This Row],[min_res]],ROUND(Grandview_Inventory[[#This Row],[adj_res]]*Lookups!$M$28,-2))</f>
        <v>322700</v>
      </c>
      <c r="CD2344">
        <f>Grandview_Inventory[[#This Row],[final_det]]+Grandview_Inventory[[#This Row],[final_res]]</f>
        <v>322700</v>
      </c>
      <c r="CE2344">
        <f>Grandview_Inventory[[#This Row],[final_land]]+Grandview_Inventory[[#This Row],[final_imp]]+Grandview_Inventory[[#This Row],[crop_value]]</f>
        <v>367900</v>
      </c>
      <c r="CG2344" t="str">
        <f t="shared" si="36"/>
        <v>update valuation set market_land =45200, market_bldg=322700, market_total =367900, market_mdno =401, market_date ='9/10/2023' where link_id = (select link_id from parcel where parcel_year = '2024' and parcel_id = '23092621452');</v>
      </c>
    </row>
    <row r="2345" spans="1:85" x14ac:dyDescent="0.25">
      <c r="A2345">
        <v>23092621453</v>
      </c>
      <c r="B2345" t="s">
        <v>129</v>
      </c>
      <c r="C2345">
        <v>8030</v>
      </c>
      <c r="D2345" t="s">
        <v>129</v>
      </c>
      <c r="E2345" t="s">
        <v>53</v>
      </c>
      <c r="F2345" t="s">
        <v>53</v>
      </c>
      <c r="G2345">
        <v>4</v>
      </c>
      <c r="H2345" t="s">
        <v>54</v>
      </c>
      <c r="I2345">
        <v>314600</v>
      </c>
      <c r="J2345">
        <v>39000</v>
      </c>
      <c r="K2345">
        <v>0.18</v>
      </c>
      <c r="L234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5">
        <v>0</v>
      </c>
      <c r="N2345">
        <v>0</v>
      </c>
      <c r="O2345">
        <v>0</v>
      </c>
      <c r="P2345">
        <v>13398.7528</v>
      </c>
      <c r="Q2345">
        <v>63903</v>
      </c>
      <c r="R2345">
        <f>(Grandview_Inventory[[#This Row],[ln_acres]]*Grandview_Inventory[[#This Row],[coeff]])+Grandview_Inventory[[#This Row],[const]]</f>
        <v>40926.839760167699</v>
      </c>
      <c r="S2345" t="s">
        <v>55</v>
      </c>
      <c r="T2345">
        <v>2</v>
      </c>
      <c r="U2345" t="s">
        <v>64</v>
      </c>
      <c r="V2345" t="s">
        <v>57</v>
      </c>
      <c r="W2345">
        <v>0</v>
      </c>
      <c r="X2345">
        <v>0</v>
      </c>
      <c r="Y2345">
        <v>2</v>
      </c>
      <c r="Z2345">
        <v>2</v>
      </c>
      <c r="AA2345">
        <v>10</v>
      </c>
      <c r="AB2345">
        <v>2500</v>
      </c>
      <c r="AC2345">
        <v>2148</v>
      </c>
      <c r="AD2345">
        <v>896</v>
      </c>
      <c r="AE2345">
        <v>1252</v>
      </c>
      <c r="AF2345">
        <v>0</v>
      </c>
      <c r="AG2345">
        <v>0</v>
      </c>
      <c r="AH2345">
        <v>0</v>
      </c>
      <c r="AI2345">
        <v>0</v>
      </c>
      <c r="AJ2345">
        <v>660</v>
      </c>
      <c r="AK2345">
        <v>0</v>
      </c>
      <c r="AL2345">
        <v>0</v>
      </c>
      <c r="AM2345">
        <v>0</v>
      </c>
      <c r="AN2345">
        <v>252</v>
      </c>
      <c r="AO2345">
        <v>0</v>
      </c>
      <c r="AP2345">
        <v>11</v>
      </c>
      <c r="AQ2345">
        <v>0</v>
      </c>
      <c r="AR2345">
        <v>0</v>
      </c>
      <c r="AS2345" t="s">
        <v>58</v>
      </c>
      <c r="AT2345">
        <v>1</v>
      </c>
      <c r="AU2345" t="s">
        <v>63</v>
      </c>
      <c r="AV2345" t="s">
        <v>64</v>
      </c>
      <c r="AW2345">
        <v>1</v>
      </c>
      <c r="AX2345">
        <v>3</v>
      </c>
      <c r="AY2345">
        <v>0</v>
      </c>
      <c r="AZ2345">
        <v>0</v>
      </c>
      <c r="BA2345">
        <v>100</v>
      </c>
      <c r="BB2345">
        <v>100</v>
      </c>
      <c r="BC2345">
        <v>100</v>
      </c>
      <c r="BD2345">
        <v>100</v>
      </c>
      <c r="BE2345">
        <v>1</v>
      </c>
      <c r="BF2345">
        <v>15000</v>
      </c>
      <c r="BG2345">
        <v>1000</v>
      </c>
      <c r="BH2345" s="6">
        <f>Grandview_Inventory[[#This Row],[land_extract]]*Lookups!$B$3</f>
        <v>47528.228511015397</v>
      </c>
      <c r="BI2345" s="6">
        <f>IF(Grandview_Inventory[[#This Row],[bldg_style]]="",0,Lookups!$B$2)</f>
        <v>155833.95000000001</v>
      </c>
      <c r="BJ2345" s="6">
        <f>_xlfn.IFNA(VLOOKUP(Grandview_Inventory[[#This Row],[quality]],Lookups!$H$2:$J$14,3,FALSE),0)</f>
        <v>20768</v>
      </c>
      <c r="BK2345" s="6">
        <f>_xlfn.IFNA(VLOOKUP(Grandview_Inventory[[#This Row],[condition]],Lookups!$H$17:$J$24,3,FALSE),0)</f>
        <v>25780</v>
      </c>
      <c r="BL2345" s="6">
        <f>Grandview_Inventory[[#This Row],[Eff_Age]]*Lookups!$B$14</f>
        <v>-478.33319999999998</v>
      </c>
      <c r="BM2345" s="6">
        <f>Grandview_Inventory[[#This Row],[living_area]]*Lookups!$B$15</f>
        <v>133994.07224400001</v>
      </c>
      <c r="BN2345" s="6">
        <f>Grandview_Inventory[[#This Row],[Fin BSMT]]*Lookups!$B$16</f>
        <v>0</v>
      </c>
      <c r="BO2345" s="6">
        <f>(Grandview_Inventory[[#This Row],[att_gar]]+Grandview_Inventory[[#This Row],[bltin_gar]])*Lookups!$B$17</f>
        <v>57763.488420000001</v>
      </c>
      <c r="BP2345" s="6">
        <f>Grandview_Inventory[[#This Row],[Plumbing Fixtures]]*Lookups!$B$18</f>
        <v>22114.859800000002</v>
      </c>
      <c r="BQ2345" s="6">
        <f>Grandview_Inventory[[#This Row],[detatched_value]]*Lookups!$B$19</f>
        <v>0</v>
      </c>
      <c r="BR2345" s="6">
        <f>SUM(Grandview_Inventory[[#This Row],[Intercept]:[det_value]])*Grandview_Inventory[[#This Row],[res_pct]]</f>
        <v>415776.03726399998</v>
      </c>
      <c r="BS2345" s="6">
        <f>Grandview_Inventory[[#This Row],[land_value]]</f>
        <v>47528.228511015397</v>
      </c>
      <c r="BT2345" s="4">
        <f>_xlfn.IFNA(VLOOKUP(Grandview_Inventory[[#This Row],[quality]],Lookups!$A$26:$C$33,3,FALSE),1)</f>
        <v>0.94960540378902636</v>
      </c>
      <c r="BU2345" s="4">
        <f>_xlfn.IFNA(VLOOKUP(Grandview_Inventory[[#This Row],[condition]],Lookups!$A$37:$C$44,3,FALSE),1)</f>
        <v>0.94347925387812148</v>
      </c>
      <c r="BV2345" s="4">
        <f>IF(Grandview_Inventory[[#This Row],[bldg_style]]="",1,_xlfn.IFNA(VLOOKUP(Grandview_Inventory[[#This Row],[decade]],Lookups!$F$29:$H$43,3,FALSE),1))</f>
        <v>0.94601966599150278</v>
      </c>
      <c r="BW2345" s="4">
        <f>_xlfn.IFNA(VLOOKUP(Grandview_Inventory[[#This Row],[living_area_range]],Lookups!$F$47:$H$56,3,FALSE),1)</f>
        <v>0.95799442568048754</v>
      </c>
      <c r="BX2345" s="4">
        <f>AVERAGE(Grandview_Inventory[[#This Row],[qual_adj]:[size_adj]])</f>
        <v>0.94927468733478459</v>
      </c>
      <c r="BY2345" s="6">
        <f>IF(Grandview_Inventory[[#This Row],[pre_res]]&lt;0,0,Grandview_Inventory[[#This Row],[pre_res]]*Grandview_Inventory[[#This Row],[overall_adj]])</f>
        <v>394685.66777507932</v>
      </c>
      <c r="BZ2345" s="6">
        <f>(Grandview_Inventory[[#This Row],[sum_land]]-IF(Grandview_Inventory[[#This Row],[no_utilities]]=1,12000,0))/IF(Grandview_Inventory[[#This Row],[unbuildable]]=1,2,1)</f>
        <v>47528.228511015397</v>
      </c>
      <c r="CA234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5">
        <f>ROUND(Grandview_Inventory[[#This Row],[det_value]]*Lookups!$M$28,-2)</f>
        <v>0</v>
      </c>
      <c r="CC2345">
        <f>IF(ROUND(Grandview_Inventory[[#This Row],[adj_res]]*Lookups!$M$28,-2)&lt;Grandview_Inventory[[#This Row],[min_res]],Grandview_Inventory[[#This Row],[min_res]],ROUND(Grandview_Inventory[[#This Row],[adj_res]]*Lookups!$M$28,-2))</f>
        <v>375000</v>
      </c>
      <c r="CD2345">
        <f>Grandview_Inventory[[#This Row],[final_det]]+Grandview_Inventory[[#This Row],[final_res]]</f>
        <v>375000</v>
      </c>
      <c r="CE2345">
        <f>Grandview_Inventory[[#This Row],[final_land]]+Grandview_Inventory[[#This Row],[final_imp]]+Grandview_Inventory[[#This Row],[crop_value]]</f>
        <v>420200</v>
      </c>
      <c r="CG2345" t="str">
        <f t="shared" si="36"/>
        <v>update valuation set market_land =45200, market_bldg=375000, market_total =420200, market_mdno =401, market_date ='9/10/2023' where link_id = (select link_id from parcel where parcel_year = '2024' and parcel_id = '23092621453');</v>
      </c>
    </row>
    <row r="2346" spans="1:85" x14ac:dyDescent="0.25">
      <c r="A2346">
        <v>23092621454</v>
      </c>
      <c r="B2346" t="s">
        <v>129</v>
      </c>
      <c r="C2346">
        <v>8030</v>
      </c>
      <c r="D2346" t="s">
        <v>129</v>
      </c>
      <c r="E2346" t="s">
        <v>53</v>
      </c>
      <c r="F2346" t="s">
        <v>53</v>
      </c>
      <c r="G2346">
        <v>4</v>
      </c>
      <c r="H2346" t="s">
        <v>54</v>
      </c>
      <c r="I2346">
        <v>254400</v>
      </c>
      <c r="J2346">
        <v>39000</v>
      </c>
      <c r="K2346">
        <v>0.18</v>
      </c>
      <c r="L234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6">
        <v>0</v>
      </c>
      <c r="N2346">
        <v>0</v>
      </c>
      <c r="O2346">
        <v>0</v>
      </c>
      <c r="P2346">
        <v>13398.7528</v>
      </c>
      <c r="Q2346">
        <v>63903</v>
      </c>
      <c r="R2346">
        <f>(Grandview_Inventory[[#This Row],[ln_acres]]*Grandview_Inventory[[#This Row],[coeff]])+Grandview_Inventory[[#This Row],[const]]</f>
        <v>40926.839760167699</v>
      </c>
      <c r="S2346" t="s">
        <v>55</v>
      </c>
      <c r="T2346">
        <v>1</v>
      </c>
      <c r="U2346" t="s">
        <v>62</v>
      </c>
      <c r="V2346" t="s">
        <v>57</v>
      </c>
      <c r="W2346">
        <v>0</v>
      </c>
      <c r="X2346">
        <v>0</v>
      </c>
      <c r="Y2346">
        <v>2</v>
      </c>
      <c r="Z2346">
        <v>2</v>
      </c>
      <c r="AA2346">
        <v>10</v>
      </c>
      <c r="AB2346">
        <v>1500</v>
      </c>
      <c r="AC2346">
        <v>1390</v>
      </c>
      <c r="AD2346">
        <v>1390</v>
      </c>
      <c r="AE2346">
        <v>0</v>
      </c>
      <c r="AF2346">
        <v>0</v>
      </c>
      <c r="AG2346">
        <v>0</v>
      </c>
      <c r="AH2346">
        <v>0</v>
      </c>
      <c r="AI2346">
        <v>400</v>
      </c>
      <c r="AJ2346">
        <v>0</v>
      </c>
      <c r="AK2346">
        <v>0</v>
      </c>
      <c r="AL2346">
        <v>0</v>
      </c>
      <c r="AM2346">
        <v>144</v>
      </c>
      <c r="AN2346">
        <v>66</v>
      </c>
      <c r="AO2346">
        <v>0</v>
      </c>
      <c r="AP2346">
        <v>9</v>
      </c>
      <c r="AQ2346">
        <v>0</v>
      </c>
      <c r="AR2346">
        <v>0</v>
      </c>
      <c r="AS2346" t="s">
        <v>58</v>
      </c>
      <c r="AT2346">
        <v>1</v>
      </c>
      <c r="AU2346" t="s">
        <v>63</v>
      </c>
      <c r="AV2346" t="s">
        <v>64</v>
      </c>
      <c r="AW2346">
        <v>1</v>
      </c>
      <c r="AX2346">
        <v>3</v>
      </c>
      <c r="AY2346">
        <v>0</v>
      </c>
      <c r="AZ2346">
        <v>0</v>
      </c>
      <c r="BA2346">
        <v>100</v>
      </c>
      <c r="BB2346">
        <v>100</v>
      </c>
      <c r="BC2346">
        <v>100</v>
      </c>
      <c r="BD2346">
        <v>100</v>
      </c>
      <c r="BE2346">
        <v>1</v>
      </c>
      <c r="BF2346">
        <v>15000</v>
      </c>
      <c r="BG2346">
        <v>1000</v>
      </c>
      <c r="BH2346" s="6">
        <f>Grandview_Inventory[[#This Row],[land_extract]]*Lookups!$B$3</f>
        <v>47528.228511015397</v>
      </c>
      <c r="BI2346" s="6">
        <f>IF(Grandview_Inventory[[#This Row],[bldg_style]]="",0,Lookups!$B$2)</f>
        <v>155833.95000000001</v>
      </c>
      <c r="BJ2346" s="6">
        <f>_xlfn.IFNA(VLOOKUP(Grandview_Inventory[[#This Row],[quality]],Lookups!$H$2:$J$14,3,FALSE),0)</f>
        <v>9808</v>
      </c>
      <c r="BK2346" s="6">
        <f>_xlfn.IFNA(VLOOKUP(Grandview_Inventory[[#This Row],[condition]],Lookups!$H$17:$J$24,3,FALSE),0)</f>
        <v>25780</v>
      </c>
      <c r="BL2346" s="6">
        <f>Grandview_Inventory[[#This Row],[Eff_Age]]*Lookups!$B$14</f>
        <v>-478.33319999999998</v>
      </c>
      <c r="BM2346" s="6">
        <f>Grandview_Inventory[[#This Row],[living_area]]*Lookups!$B$15</f>
        <v>86709.385670000003</v>
      </c>
      <c r="BN2346" s="6">
        <f>Grandview_Inventory[[#This Row],[Fin BSMT]]*Lookups!$B$16</f>
        <v>0</v>
      </c>
      <c r="BO2346" s="6">
        <f>(Grandview_Inventory[[#This Row],[att_gar]]+Grandview_Inventory[[#This Row],[bltin_gar]])*Lookups!$B$17</f>
        <v>35008.174800000001</v>
      </c>
      <c r="BP2346" s="6">
        <f>Grandview_Inventory[[#This Row],[Plumbing Fixtures]]*Lookups!$B$18</f>
        <v>18093.976200000001</v>
      </c>
      <c r="BQ2346" s="6">
        <f>Grandview_Inventory[[#This Row],[detatched_value]]*Lookups!$B$19</f>
        <v>0</v>
      </c>
      <c r="BR2346" s="6">
        <f>SUM(Grandview_Inventory[[#This Row],[Intercept]:[det_value]])*Grandview_Inventory[[#This Row],[res_pct]]</f>
        <v>330755.15346999996</v>
      </c>
      <c r="BS2346" s="6">
        <f>Grandview_Inventory[[#This Row],[land_value]]</f>
        <v>47528.228511015397</v>
      </c>
      <c r="BT2346" s="4">
        <f>_xlfn.IFNA(VLOOKUP(Grandview_Inventory[[#This Row],[quality]],Lookups!$A$26:$C$33,3,FALSE),1)</f>
        <v>0.94295468617355149</v>
      </c>
      <c r="BU2346" s="4">
        <f>_xlfn.IFNA(VLOOKUP(Grandview_Inventory[[#This Row],[condition]],Lookups!$A$37:$C$44,3,FALSE),1)</f>
        <v>0.94347925387812148</v>
      </c>
      <c r="BV2346" s="4">
        <f>IF(Grandview_Inventory[[#This Row],[bldg_style]]="",1,_xlfn.IFNA(VLOOKUP(Grandview_Inventory[[#This Row],[decade]],Lookups!$F$29:$H$43,3,FALSE),1))</f>
        <v>0.94601966599150278</v>
      </c>
      <c r="BW2346" s="4">
        <f>_xlfn.IFNA(VLOOKUP(Grandview_Inventory[[#This Row],[living_area_range]],Lookups!$F$47:$H$56,3,FALSE),1)</f>
        <v>0.96135087979789358</v>
      </c>
      <c r="BX2346" s="4">
        <f>AVERAGE(Grandview_Inventory[[#This Row],[qual_adj]:[size_adj]])</f>
        <v>0.94845112146026733</v>
      </c>
      <c r="BY2346" s="6">
        <f>IF(Grandview_Inventory[[#This Row],[pre_res]]&lt;0,0,Grandview_Inventory[[#This Row],[pre_res]]*Grandview_Inventory[[#This Row],[overall_adj]])</f>
        <v>313705.09623738431</v>
      </c>
      <c r="BZ2346" s="6">
        <f>(Grandview_Inventory[[#This Row],[sum_land]]-IF(Grandview_Inventory[[#This Row],[no_utilities]]=1,12000,0))/IF(Grandview_Inventory[[#This Row],[unbuildable]]=1,2,1)</f>
        <v>47528.228511015397</v>
      </c>
      <c r="CA234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6">
        <f>ROUND(Grandview_Inventory[[#This Row],[det_value]]*Lookups!$M$28,-2)</f>
        <v>0</v>
      </c>
      <c r="CC2346">
        <f>IF(ROUND(Grandview_Inventory[[#This Row],[adj_res]]*Lookups!$M$28,-2)&lt;Grandview_Inventory[[#This Row],[min_res]],Grandview_Inventory[[#This Row],[min_res]],ROUND(Grandview_Inventory[[#This Row],[adj_res]]*Lookups!$M$28,-2))</f>
        <v>298000</v>
      </c>
      <c r="CD2346">
        <f>Grandview_Inventory[[#This Row],[final_det]]+Grandview_Inventory[[#This Row],[final_res]]</f>
        <v>298000</v>
      </c>
      <c r="CE2346">
        <f>Grandview_Inventory[[#This Row],[final_land]]+Grandview_Inventory[[#This Row],[final_imp]]+Grandview_Inventory[[#This Row],[crop_value]]</f>
        <v>343200</v>
      </c>
      <c r="CG2346" t="str">
        <f t="shared" si="36"/>
        <v>update valuation set market_land =45200, market_bldg=298000, market_total =343200, market_mdno =401, market_date ='9/10/2023' where link_id = (select link_id from parcel where parcel_year = '2024' and parcel_id = '23092621454');</v>
      </c>
    </row>
    <row r="2347" spans="1:85" x14ac:dyDescent="0.25">
      <c r="A2347">
        <v>23092621455</v>
      </c>
      <c r="B2347" t="s">
        <v>129</v>
      </c>
      <c r="C2347">
        <v>8030</v>
      </c>
      <c r="D2347" t="s">
        <v>129</v>
      </c>
      <c r="E2347" t="s">
        <v>53</v>
      </c>
      <c r="F2347" t="s">
        <v>53</v>
      </c>
      <c r="G2347">
        <v>4</v>
      </c>
      <c r="H2347" t="s">
        <v>54</v>
      </c>
      <c r="I2347">
        <v>256900</v>
      </c>
      <c r="J2347">
        <v>39000</v>
      </c>
      <c r="K2347">
        <v>0.18</v>
      </c>
      <c r="L234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7">
        <v>0</v>
      </c>
      <c r="N2347">
        <v>0</v>
      </c>
      <c r="O2347">
        <v>0</v>
      </c>
      <c r="P2347">
        <v>13398.7528</v>
      </c>
      <c r="Q2347">
        <v>63903</v>
      </c>
      <c r="R2347">
        <f>(Grandview_Inventory[[#This Row],[ln_acres]]*Grandview_Inventory[[#This Row],[coeff]])+Grandview_Inventory[[#This Row],[const]]</f>
        <v>40926.839760167699</v>
      </c>
      <c r="S2347" t="s">
        <v>61</v>
      </c>
      <c r="T2347">
        <v>1</v>
      </c>
      <c r="U2347" t="s">
        <v>62</v>
      </c>
      <c r="V2347" t="s">
        <v>57</v>
      </c>
      <c r="W2347">
        <v>0</v>
      </c>
      <c r="X2347">
        <v>0</v>
      </c>
      <c r="Y2347">
        <v>2</v>
      </c>
      <c r="Z2347">
        <v>2</v>
      </c>
      <c r="AA2347">
        <v>10</v>
      </c>
      <c r="AB2347">
        <v>2000</v>
      </c>
      <c r="AC2347">
        <v>1580</v>
      </c>
      <c r="AD2347">
        <v>1580</v>
      </c>
      <c r="AE2347">
        <v>0</v>
      </c>
      <c r="AF2347">
        <v>0</v>
      </c>
      <c r="AG2347">
        <v>0</v>
      </c>
      <c r="AH2347">
        <v>0</v>
      </c>
      <c r="AI2347">
        <v>440</v>
      </c>
      <c r="AJ2347">
        <v>0</v>
      </c>
      <c r="AK2347">
        <v>0</v>
      </c>
      <c r="AL2347">
        <v>0</v>
      </c>
      <c r="AM2347">
        <v>0</v>
      </c>
      <c r="AN2347">
        <v>240</v>
      </c>
      <c r="AO2347">
        <v>0</v>
      </c>
      <c r="AP2347">
        <v>10</v>
      </c>
      <c r="AQ2347">
        <v>0</v>
      </c>
      <c r="AR2347">
        <v>0</v>
      </c>
      <c r="AS2347" t="s">
        <v>58</v>
      </c>
      <c r="AT2347">
        <v>1</v>
      </c>
      <c r="AU2347" t="s">
        <v>63</v>
      </c>
      <c r="AV2347" t="s">
        <v>64</v>
      </c>
      <c r="AW2347">
        <v>1</v>
      </c>
      <c r="AX2347">
        <v>3</v>
      </c>
      <c r="AY2347">
        <v>0</v>
      </c>
      <c r="AZ2347">
        <v>0</v>
      </c>
      <c r="BA2347">
        <v>100</v>
      </c>
      <c r="BB2347">
        <v>100</v>
      </c>
      <c r="BC2347">
        <v>100</v>
      </c>
      <c r="BD2347">
        <v>100</v>
      </c>
      <c r="BE2347">
        <v>1</v>
      </c>
      <c r="BF2347">
        <v>15000</v>
      </c>
      <c r="BG2347">
        <v>1000</v>
      </c>
      <c r="BH2347" s="6">
        <f>Grandview_Inventory[[#This Row],[land_extract]]*Lookups!$B$3</f>
        <v>47528.228511015397</v>
      </c>
      <c r="BI2347" s="6">
        <f>IF(Grandview_Inventory[[#This Row],[bldg_style]]="",0,Lookups!$B$2)</f>
        <v>155833.95000000001</v>
      </c>
      <c r="BJ2347" s="6">
        <f>_xlfn.IFNA(VLOOKUP(Grandview_Inventory[[#This Row],[quality]],Lookups!$H$2:$J$14,3,FALSE),0)</f>
        <v>9808</v>
      </c>
      <c r="BK2347" s="6">
        <f>_xlfn.IFNA(VLOOKUP(Grandview_Inventory[[#This Row],[condition]],Lookups!$H$17:$J$24,3,FALSE),0)</f>
        <v>25780</v>
      </c>
      <c r="BL2347" s="6">
        <f>Grandview_Inventory[[#This Row],[Eff_Age]]*Lookups!$B$14</f>
        <v>-478.33319999999998</v>
      </c>
      <c r="BM2347" s="6">
        <f>Grandview_Inventory[[#This Row],[living_area]]*Lookups!$B$15</f>
        <v>98561.747740000006</v>
      </c>
      <c r="BN2347" s="6">
        <f>Grandview_Inventory[[#This Row],[Fin BSMT]]*Lookups!$B$16</f>
        <v>0</v>
      </c>
      <c r="BO2347" s="6">
        <f>(Grandview_Inventory[[#This Row],[att_gar]]+Grandview_Inventory[[#This Row],[bltin_gar]])*Lookups!$B$17</f>
        <v>38508.992279999999</v>
      </c>
      <c r="BP2347" s="6">
        <f>Grandview_Inventory[[#This Row],[Plumbing Fixtures]]*Lookups!$B$18</f>
        <v>20104.418000000001</v>
      </c>
      <c r="BQ2347" s="6">
        <f>Grandview_Inventory[[#This Row],[detatched_value]]*Lookups!$B$19</f>
        <v>0</v>
      </c>
      <c r="BR2347" s="6">
        <f>SUM(Grandview_Inventory[[#This Row],[Intercept]:[det_value]])*Grandview_Inventory[[#This Row],[res_pct]]</f>
        <v>348118.77482000005</v>
      </c>
      <c r="BS2347" s="6">
        <f>Grandview_Inventory[[#This Row],[land_value]]</f>
        <v>47528.228511015397</v>
      </c>
      <c r="BT2347" s="4">
        <f>_xlfn.IFNA(VLOOKUP(Grandview_Inventory[[#This Row],[quality]],Lookups!$A$26:$C$33,3,FALSE),1)</f>
        <v>0.94295468617355149</v>
      </c>
      <c r="BU2347" s="4">
        <f>_xlfn.IFNA(VLOOKUP(Grandview_Inventory[[#This Row],[condition]],Lookups!$A$37:$C$44,3,FALSE),1)</f>
        <v>0.94347925387812148</v>
      </c>
      <c r="BV2347" s="4">
        <f>IF(Grandview_Inventory[[#This Row],[bldg_style]]="",1,_xlfn.IFNA(VLOOKUP(Grandview_Inventory[[#This Row],[decade]],Lookups!$F$29:$H$43,3,FALSE),1))</f>
        <v>0.94601966599150278</v>
      </c>
      <c r="BW2347" s="4">
        <f>_xlfn.IFNA(VLOOKUP(Grandview_Inventory[[#This Row],[living_area_range]],Lookups!$F$47:$H$56,3,FALSE),1)</f>
        <v>0.96120133463014379</v>
      </c>
      <c r="BX2347" s="4">
        <f>AVERAGE(Grandview_Inventory[[#This Row],[qual_adj]:[size_adj]])</f>
        <v>0.94841373516832994</v>
      </c>
      <c r="BY2347" s="6">
        <f>IF(Grandview_Inventory[[#This Row],[pre_res]]&lt;0,0,Grandview_Inventory[[#This Row],[pre_res]]*Grandview_Inventory[[#This Row],[overall_adj]])</f>
        <v>330160.62750925904</v>
      </c>
      <c r="BZ2347" s="6">
        <f>(Grandview_Inventory[[#This Row],[sum_land]]-IF(Grandview_Inventory[[#This Row],[no_utilities]]=1,12000,0))/IF(Grandview_Inventory[[#This Row],[unbuildable]]=1,2,1)</f>
        <v>47528.228511015397</v>
      </c>
      <c r="CA234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7">
        <f>ROUND(Grandview_Inventory[[#This Row],[det_value]]*Lookups!$M$28,-2)</f>
        <v>0</v>
      </c>
      <c r="CC2347">
        <f>IF(ROUND(Grandview_Inventory[[#This Row],[adj_res]]*Lookups!$M$28,-2)&lt;Grandview_Inventory[[#This Row],[min_res]],Grandview_Inventory[[#This Row],[min_res]],ROUND(Grandview_Inventory[[#This Row],[adj_res]]*Lookups!$M$28,-2))</f>
        <v>313700</v>
      </c>
      <c r="CD2347">
        <f>Grandview_Inventory[[#This Row],[final_det]]+Grandview_Inventory[[#This Row],[final_res]]</f>
        <v>313700</v>
      </c>
      <c r="CE2347">
        <f>Grandview_Inventory[[#This Row],[final_land]]+Grandview_Inventory[[#This Row],[final_imp]]+Grandview_Inventory[[#This Row],[crop_value]]</f>
        <v>358900</v>
      </c>
      <c r="CG2347" t="str">
        <f t="shared" si="36"/>
        <v>update valuation set market_land =45200, market_bldg=313700, market_total =358900, market_mdno =401, market_date ='9/10/2023' where link_id = (select link_id from parcel where parcel_year = '2024' and parcel_id = '23092621455');</v>
      </c>
    </row>
    <row r="2348" spans="1:85" x14ac:dyDescent="0.25">
      <c r="A2348">
        <v>23092621456</v>
      </c>
      <c r="B2348" t="s">
        <v>129</v>
      </c>
      <c r="C2348">
        <v>8030</v>
      </c>
      <c r="D2348" t="s">
        <v>129</v>
      </c>
      <c r="E2348" t="s">
        <v>53</v>
      </c>
      <c r="F2348" t="s">
        <v>53</v>
      </c>
      <c r="G2348">
        <v>4</v>
      </c>
      <c r="H2348" t="s">
        <v>54</v>
      </c>
      <c r="I2348">
        <v>244000</v>
      </c>
      <c r="J2348">
        <v>39000</v>
      </c>
      <c r="K2348">
        <v>0.18</v>
      </c>
      <c r="L234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8">
        <v>0</v>
      </c>
      <c r="N2348">
        <v>0</v>
      </c>
      <c r="O2348">
        <v>0</v>
      </c>
      <c r="P2348">
        <v>13398.7528</v>
      </c>
      <c r="Q2348">
        <v>63903</v>
      </c>
      <c r="R2348">
        <f>(Grandview_Inventory[[#This Row],[ln_acres]]*Grandview_Inventory[[#This Row],[coeff]])+Grandview_Inventory[[#This Row],[const]]</f>
        <v>40926.839760167699</v>
      </c>
      <c r="S2348" t="s">
        <v>61</v>
      </c>
      <c r="T2348">
        <v>1</v>
      </c>
      <c r="U2348" t="s">
        <v>62</v>
      </c>
      <c r="V2348" t="s">
        <v>57</v>
      </c>
      <c r="W2348">
        <v>0</v>
      </c>
      <c r="X2348">
        <v>0</v>
      </c>
      <c r="Y2348">
        <v>1</v>
      </c>
      <c r="Z2348">
        <v>1</v>
      </c>
      <c r="AA2348">
        <v>10</v>
      </c>
      <c r="AB2348">
        <v>1500</v>
      </c>
      <c r="AC2348">
        <v>1384</v>
      </c>
      <c r="AD2348">
        <v>1384</v>
      </c>
      <c r="AE2348">
        <v>0</v>
      </c>
      <c r="AF2348">
        <v>0</v>
      </c>
      <c r="AG2348">
        <v>0</v>
      </c>
      <c r="AH2348">
        <v>0</v>
      </c>
      <c r="AI2348">
        <v>400</v>
      </c>
      <c r="AJ2348">
        <v>0</v>
      </c>
      <c r="AK2348">
        <v>0</v>
      </c>
      <c r="AL2348">
        <v>0</v>
      </c>
      <c r="AM2348">
        <v>144</v>
      </c>
      <c r="AN2348">
        <v>72</v>
      </c>
      <c r="AO2348">
        <v>0</v>
      </c>
      <c r="AP2348">
        <v>10</v>
      </c>
      <c r="AQ2348">
        <v>0</v>
      </c>
      <c r="AR2348">
        <v>0</v>
      </c>
      <c r="AS2348" t="s">
        <v>58</v>
      </c>
      <c r="AT2348">
        <v>1</v>
      </c>
      <c r="AU2348" t="s">
        <v>63</v>
      </c>
      <c r="AV2348" t="s">
        <v>64</v>
      </c>
      <c r="AW2348">
        <v>1</v>
      </c>
      <c r="AX2348">
        <v>3</v>
      </c>
      <c r="AY2348">
        <v>0</v>
      </c>
      <c r="AZ2348">
        <v>0</v>
      </c>
      <c r="BA2348">
        <v>100</v>
      </c>
      <c r="BB2348">
        <v>100</v>
      </c>
      <c r="BC2348">
        <v>100</v>
      </c>
      <c r="BD2348">
        <v>100</v>
      </c>
      <c r="BE2348">
        <v>1</v>
      </c>
      <c r="BF2348">
        <v>15000</v>
      </c>
      <c r="BG2348">
        <v>1000</v>
      </c>
      <c r="BH2348" s="6">
        <f>Grandview_Inventory[[#This Row],[land_extract]]*Lookups!$B$3</f>
        <v>47528.228511015397</v>
      </c>
      <c r="BI2348" s="6">
        <f>IF(Grandview_Inventory[[#This Row],[bldg_style]]="",0,Lookups!$B$2)</f>
        <v>155833.95000000001</v>
      </c>
      <c r="BJ2348" s="6">
        <f>_xlfn.IFNA(VLOOKUP(Grandview_Inventory[[#This Row],[quality]],Lookups!$H$2:$J$14,3,FALSE),0)</f>
        <v>9808</v>
      </c>
      <c r="BK2348" s="6">
        <f>_xlfn.IFNA(VLOOKUP(Grandview_Inventory[[#This Row],[condition]],Lookups!$H$17:$J$24,3,FALSE),0)</f>
        <v>25780</v>
      </c>
      <c r="BL2348" s="6">
        <f>Grandview_Inventory[[#This Row],[Eff_Age]]*Lookups!$B$14</f>
        <v>-239.16659999999999</v>
      </c>
      <c r="BM2348" s="6">
        <f>Grandview_Inventory[[#This Row],[living_area]]*Lookups!$B$15</f>
        <v>86335.100552000004</v>
      </c>
      <c r="BN2348" s="6">
        <f>Grandview_Inventory[[#This Row],[Fin BSMT]]*Lookups!$B$16</f>
        <v>0</v>
      </c>
      <c r="BO2348" s="6">
        <f>(Grandview_Inventory[[#This Row],[att_gar]]+Grandview_Inventory[[#This Row],[bltin_gar]])*Lookups!$B$17</f>
        <v>35008.174800000001</v>
      </c>
      <c r="BP2348" s="6">
        <f>Grandview_Inventory[[#This Row],[Plumbing Fixtures]]*Lookups!$B$18</f>
        <v>20104.418000000001</v>
      </c>
      <c r="BQ2348" s="6">
        <f>Grandview_Inventory[[#This Row],[detatched_value]]*Lookups!$B$19</f>
        <v>0</v>
      </c>
      <c r="BR2348" s="6">
        <f>SUM(Grandview_Inventory[[#This Row],[Intercept]:[det_value]])*Grandview_Inventory[[#This Row],[res_pct]]</f>
        <v>332630.47675199999</v>
      </c>
      <c r="BS2348" s="6">
        <f>Grandview_Inventory[[#This Row],[land_value]]</f>
        <v>47528.228511015397</v>
      </c>
      <c r="BT2348" s="4">
        <f>_xlfn.IFNA(VLOOKUP(Grandview_Inventory[[#This Row],[quality]],Lookups!$A$26:$C$33,3,FALSE),1)</f>
        <v>0.94295468617355149</v>
      </c>
      <c r="BU2348" s="4">
        <f>_xlfn.IFNA(VLOOKUP(Grandview_Inventory[[#This Row],[condition]],Lookups!$A$37:$C$44,3,FALSE),1)</f>
        <v>0.94347925387812148</v>
      </c>
      <c r="BV2348" s="4">
        <f>IF(Grandview_Inventory[[#This Row],[bldg_style]]="",1,_xlfn.IFNA(VLOOKUP(Grandview_Inventory[[#This Row],[decade]],Lookups!$F$29:$H$43,3,FALSE),1))</f>
        <v>0.94601966599150278</v>
      </c>
      <c r="BW2348" s="4">
        <f>_xlfn.IFNA(VLOOKUP(Grandview_Inventory[[#This Row],[living_area_range]],Lookups!$F$47:$H$56,3,FALSE),1)</f>
        <v>0.96135087979789358</v>
      </c>
      <c r="BX2348" s="4">
        <f>AVERAGE(Grandview_Inventory[[#This Row],[qual_adj]:[size_adj]])</f>
        <v>0.94845112146026733</v>
      </c>
      <c r="BY2348" s="6">
        <f>IF(Grandview_Inventory[[#This Row],[pre_res]]&lt;0,0,Grandview_Inventory[[#This Row],[pre_res]]*Grandview_Inventory[[#This Row],[overall_adj]])</f>
        <v>315483.74870729778</v>
      </c>
      <c r="BZ2348" s="6">
        <f>(Grandview_Inventory[[#This Row],[sum_land]]-IF(Grandview_Inventory[[#This Row],[no_utilities]]=1,12000,0))/IF(Grandview_Inventory[[#This Row],[unbuildable]]=1,2,1)</f>
        <v>47528.228511015397</v>
      </c>
      <c r="CA234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8">
        <f>ROUND(Grandview_Inventory[[#This Row],[det_value]]*Lookups!$M$28,-2)</f>
        <v>0</v>
      </c>
      <c r="CC2348">
        <f>IF(ROUND(Grandview_Inventory[[#This Row],[adj_res]]*Lookups!$M$28,-2)&lt;Grandview_Inventory[[#This Row],[min_res]],Grandview_Inventory[[#This Row],[min_res]],ROUND(Grandview_Inventory[[#This Row],[adj_res]]*Lookups!$M$28,-2))</f>
        <v>299700</v>
      </c>
      <c r="CD2348">
        <f>Grandview_Inventory[[#This Row],[final_det]]+Grandview_Inventory[[#This Row],[final_res]]</f>
        <v>299700</v>
      </c>
      <c r="CE2348">
        <f>Grandview_Inventory[[#This Row],[final_land]]+Grandview_Inventory[[#This Row],[final_imp]]+Grandview_Inventory[[#This Row],[crop_value]]</f>
        <v>344900</v>
      </c>
      <c r="CG2348" t="str">
        <f t="shared" si="36"/>
        <v>update valuation set market_land =45200, market_bldg=299700, market_total =344900, market_mdno =401, market_date ='9/10/2023' where link_id = (select link_id from parcel where parcel_year = '2024' and parcel_id = '23092621456');</v>
      </c>
    </row>
    <row r="2349" spans="1:85" x14ac:dyDescent="0.25">
      <c r="A2349">
        <v>23092621457</v>
      </c>
      <c r="B2349" t="s">
        <v>129</v>
      </c>
      <c r="C2349">
        <v>8030</v>
      </c>
      <c r="D2349" t="s">
        <v>129</v>
      </c>
      <c r="E2349" t="s">
        <v>53</v>
      </c>
      <c r="F2349" t="s">
        <v>53</v>
      </c>
      <c r="G2349">
        <v>4</v>
      </c>
      <c r="H2349" t="s">
        <v>54</v>
      </c>
      <c r="I2349">
        <v>283000</v>
      </c>
      <c r="J2349">
        <v>39000</v>
      </c>
      <c r="K2349">
        <v>0.18</v>
      </c>
      <c r="L234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49">
        <v>0</v>
      </c>
      <c r="N2349">
        <v>0</v>
      </c>
      <c r="O2349">
        <v>0</v>
      </c>
      <c r="P2349">
        <v>13398.7528</v>
      </c>
      <c r="Q2349">
        <v>63903</v>
      </c>
      <c r="R2349">
        <f>(Grandview_Inventory[[#This Row],[ln_acres]]*Grandview_Inventory[[#This Row],[coeff]])+Grandview_Inventory[[#This Row],[const]]</f>
        <v>40926.839760167699</v>
      </c>
      <c r="S2349" t="s">
        <v>61</v>
      </c>
      <c r="T2349">
        <v>1</v>
      </c>
      <c r="U2349" t="s">
        <v>62</v>
      </c>
      <c r="V2349" t="s">
        <v>57</v>
      </c>
      <c r="W2349">
        <v>0</v>
      </c>
      <c r="X2349">
        <v>0</v>
      </c>
      <c r="Y2349">
        <v>2</v>
      </c>
      <c r="Z2349">
        <v>2</v>
      </c>
      <c r="AA2349">
        <v>10</v>
      </c>
      <c r="AB2349">
        <v>2000</v>
      </c>
      <c r="AC2349">
        <v>1758</v>
      </c>
      <c r="AD2349">
        <v>1758</v>
      </c>
      <c r="AE2349">
        <v>0</v>
      </c>
      <c r="AF2349">
        <v>0</v>
      </c>
      <c r="AG2349">
        <v>0</v>
      </c>
      <c r="AH2349">
        <v>0</v>
      </c>
      <c r="AI2349">
        <v>690</v>
      </c>
      <c r="AJ2349">
        <v>0</v>
      </c>
      <c r="AK2349">
        <v>0</v>
      </c>
      <c r="AL2349">
        <v>0</v>
      </c>
      <c r="AM2349">
        <v>0</v>
      </c>
      <c r="AN2349">
        <v>233</v>
      </c>
      <c r="AO2349">
        <v>0</v>
      </c>
      <c r="AP2349">
        <v>10</v>
      </c>
      <c r="AQ2349">
        <v>0</v>
      </c>
      <c r="AR2349">
        <v>0</v>
      </c>
      <c r="AS2349" t="s">
        <v>58</v>
      </c>
      <c r="AT2349">
        <v>1</v>
      </c>
      <c r="AU2349" t="s">
        <v>63</v>
      </c>
      <c r="AV2349" t="s">
        <v>64</v>
      </c>
      <c r="AW2349">
        <v>1</v>
      </c>
      <c r="AX2349">
        <v>3</v>
      </c>
      <c r="AY2349">
        <v>0</v>
      </c>
      <c r="AZ2349">
        <v>0</v>
      </c>
      <c r="BA2349">
        <v>100</v>
      </c>
      <c r="BB2349">
        <v>100</v>
      </c>
      <c r="BC2349">
        <v>100</v>
      </c>
      <c r="BD2349">
        <v>100</v>
      </c>
      <c r="BE2349">
        <v>1</v>
      </c>
      <c r="BF2349">
        <v>15000</v>
      </c>
      <c r="BG2349">
        <v>1000</v>
      </c>
      <c r="BH2349" s="6">
        <f>Grandview_Inventory[[#This Row],[land_extract]]*Lookups!$B$3</f>
        <v>47528.228511015397</v>
      </c>
      <c r="BI2349" s="6">
        <f>IF(Grandview_Inventory[[#This Row],[bldg_style]]="",0,Lookups!$B$2)</f>
        <v>155833.95000000001</v>
      </c>
      <c r="BJ2349" s="6">
        <f>_xlfn.IFNA(VLOOKUP(Grandview_Inventory[[#This Row],[quality]],Lookups!$H$2:$J$14,3,FALSE),0)</f>
        <v>9808</v>
      </c>
      <c r="BK2349" s="6">
        <f>_xlfn.IFNA(VLOOKUP(Grandview_Inventory[[#This Row],[condition]],Lookups!$H$17:$J$24,3,FALSE),0)</f>
        <v>25780</v>
      </c>
      <c r="BL2349" s="6">
        <f>Grandview_Inventory[[#This Row],[Eff_Age]]*Lookups!$B$14</f>
        <v>-478.33319999999998</v>
      </c>
      <c r="BM2349" s="6">
        <f>Grandview_Inventory[[#This Row],[living_area]]*Lookups!$B$15</f>
        <v>109665.53957400001</v>
      </c>
      <c r="BN2349" s="6">
        <f>Grandview_Inventory[[#This Row],[Fin BSMT]]*Lookups!$B$16</f>
        <v>0</v>
      </c>
      <c r="BO2349" s="6">
        <f>(Grandview_Inventory[[#This Row],[att_gar]]+Grandview_Inventory[[#This Row],[bltin_gar]])*Lookups!$B$17</f>
        <v>60389.10153</v>
      </c>
      <c r="BP2349" s="6">
        <f>Grandview_Inventory[[#This Row],[Plumbing Fixtures]]*Lookups!$B$18</f>
        <v>20104.418000000001</v>
      </c>
      <c r="BQ2349" s="6">
        <f>Grandview_Inventory[[#This Row],[detatched_value]]*Lookups!$B$19</f>
        <v>0</v>
      </c>
      <c r="BR2349" s="6">
        <f>SUM(Grandview_Inventory[[#This Row],[Intercept]:[det_value]])*Grandview_Inventory[[#This Row],[res_pct]]</f>
        <v>381102.675904</v>
      </c>
      <c r="BS2349" s="6">
        <f>Grandview_Inventory[[#This Row],[land_value]]</f>
        <v>47528.228511015397</v>
      </c>
      <c r="BT2349" s="4">
        <f>_xlfn.IFNA(VLOOKUP(Grandview_Inventory[[#This Row],[quality]],Lookups!$A$26:$C$33,3,FALSE),1)</f>
        <v>0.94295468617355149</v>
      </c>
      <c r="BU2349" s="4">
        <f>_xlfn.IFNA(VLOOKUP(Grandview_Inventory[[#This Row],[condition]],Lookups!$A$37:$C$44,3,FALSE),1)</f>
        <v>0.94347925387812148</v>
      </c>
      <c r="BV2349" s="4">
        <f>IF(Grandview_Inventory[[#This Row],[bldg_style]]="",1,_xlfn.IFNA(VLOOKUP(Grandview_Inventory[[#This Row],[decade]],Lookups!$F$29:$H$43,3,FALSE),1))</f>
        <v>0.94601966599150278</v>
      </c>
      <c r="BW2349" s="4">
        <f>_xlfn.IFNA(VLOOKUP(Grandview_Inventory[[#This Row],[living_area_range]],Lookups!$F$47:$H$56,3,FALSE),1)</f>
        <v>0.96120133463014379</v>
      </c>
      <c r="BX2349" s="4">
        <f>AVERAGE(Grandview_Inventory[[#This Row],[qual_adj]:[size_adj]])</f>
        <v>0.94841373516832994</v>
      </c>
      <c r="BY2349" s="6">
        <f>IF(Grandview_Inventory[[#This Row],[pre_res]]&lt;0,0,Grandview_Inventory[[#This Row],[pre_res]]*Grandview_Inventory[[#This Row],[overall_adj]])</f>
        <v>361443.01233675814</v>
      </c>
      <c r="BZ2349" s="6">
        <f>(Grandview_Inventory[[#This Row],[sum_land]]-IF(Grandview_Inventory[[#This Row],[no_utilities]]=1,12000,0))/IF(Grandview_Inventory[[#This Row],[unbuildable]]=1,2,1)</f>
        <v>47528.228511015397</v>
      </c>
      <c r="CA234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49">
        <f>ROUND(Grandview_Inventory[[#This Row],[det_value]]*Lookups!$M$28,-2)</f>
        <v>0</v>
      </c>
      <c r="CC2349">
        <f>IF(ROUND(Grandview_Inventory[[#This Row],[adj_res]]*Lookups!$M$28,-2)&lt;Grandview_Inventory[[#This Row],[min_res]],Grandview_Inventory[[#This Row],[min_res]],ROUND(Grandview_Inventory[[#This Row],[adj_res]]*Lookups!$M$28,-2))</f>
        <v>343400</v>
      </c>
      <c r="CD2349">
        <f>Grandview_Inventory[[#This Row],[final_det]]+Grandview_Inventory[[#This Row],[final_res]]</f>
        <v>343400</v>
      </c>
      <c r="CE2349">
        <f>Grandview_Inventory[[#This Row],[final_land]]+Grandview_Inventory[[#This Row],[final_imp]]+Grandview_Inventory[[#This Row],[crop_value]]</f>
        <v>388600</v>
      </c>
      <c r="CG2349" t="str">
        <f t="shared" si="36"/>
        <v>update valuation set market_land =45200, market_bldg=343400, market_total =388600, market_mdno =401, market_date ='9/10/2023' where link_id = (select link_id from parcel where parcel_year = '2024' and parcel_id = '23092621457');</v>
      </c>
    </row>
    <row r="2350" spans="1:85" x14ac:dyDescent="0.25">
      <c r="A2350">
        <v>23092621458</v>
      </c>
      <c r="B2350" t="s">
        <v>129</v>
      </c>
      <c r="C2350">
        <v>8030</v>
      </c>
      <c r="D2350" t="s">
        <v>129</v>
      </c>
      <c r="E2350" t="s">
        <v>53</v>
      </c>
      <c r="F2350" t="s">
        <v>53</v>
      </c>
      <c r="G2350">
        <v>4</v>
      </c>
      <c r="H2350" t="s">
        <v>54</v>
      </c>
      <c r="I2350">
        <v>247600</v>
      </c>
      <c r="J2350">
        <v>39000</v>
      </c>
      <c r="K2350">
        <v>0.18</v>
      </c>
      <c r="L235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50">
        <v>0</v>
      </c>
      <c r="N2350">
        <v>0</v>
      </c>
      <c r="O2350">
        <v>0</v>
      </c>
      <c r="P2350">
        <v>13398.7528</v>
      </c>
      <c r="Q2350">
        <v>63903</v>
      </c>
      <c r="R2350">
        <f>(Grandview_Inventory[[#This Row],[ln_acres]]*Grandview_Inventory[[#This Row],[coeff]])+Grandview_Inventory[[#This Row],[const]]</f>
        <v>40926.839760167699</v>
      </c>
      <c r="S2350" t="s">
        <v>61</v>
      </c>
      <c r="T2350">
        <v>1</v>
      </c>
      <c r="U2350" t="s">
        <v>62</v>
      </c>
      <c r="V2350" t="s">
        <v>57</v>
      </c>
      <c r="W2350">
        <v>0</v>
      </c>
      <c r="X2350">
        <v>0</v>
      </c>
      <c r="Y2350">
        <v>2</v>
      </c>
      <c r="Z2350">
        <v>2</v>
      </c>
      <c r="AA2350">
        <v>10</v>
      </c>
      <c r="AB2350">
        <v>1500</v>
      </c>
      <c r="AC2350">
        <v>1439</v>
      </c>
      <c r="AD2350">
        <v>1439</v>
      </c>
      <c r="AE2350">
        <v>0</v>
      </c>
      <c r="AF2350">
        <v>0</v>
      </c>
      <c r="AG2350">
        <v>0</v>
      </c>
      <c r="AH2350">
        <v>0</v>
      </c>
      <c r="AI2350">
        <v>440</v>
      </c>
      <c r="AJ2350">
        <v>0</v>
      </c>
      <c r="AK2350">
        <v>0</v>
      </c>
      <c r="AL2350">
        <v>0</v>
      </c>
      <c r="AM2350">
        <v>0</v>
      </c>
      <c r="AN2350">
        <v>177</v>
      </c>
      <c r="AO2350">
        <v>0</v>
      </c>
      <c r="AP2350">
        <v>9</v>
      </c>
      <c r="AQ2350">
        <v>0</v>
      </c>
      <c r="AR2350">
        <v>0</v>
      </c>
      <c r="AS2350" t="s">
        <v>58</v>
      </c>
      <c r="AT2350">
        <v>1</v>
      </c>
      <c r="AU2350" t="s">
        <v>63</v>
      </c>
      <c r="AV2350" t="s">
        <v>64</v>
      </c>
      <c r="AW2350">
        <v>1</v>
      </c>
      <c r="AX2350">
        <v>3</v>
      </c>
      <c r="AY2350">
        <v>0</v>
      </c>
      <c r="AZ2350">
        <v>0</v>
      </c>
      <c r="BA2350">
        <v>100</v>
      </c>
      <c r="BB2350">
        <v>100</v>
      </c>
      <c r="BC2350">
        <v>100</v>
      </c>
      <c r="BD2350">
        <v>100</v>
      </c>
      <c r="BE2350">
        <v>1</v>
      </c>
      <c r="BF2350">
        <v>15000</v>
      </c>
      <c r="BG2350">
        <v>1000</v>
      </c>
      <c r="BH2350" s="6">
        <f>Grandview_Inventory[[#This Row],[land_extract]]*Lookups!$B$3</f>
        <v>47528.228511015397</v>
      </c>
      <c r="BI2350" s="6">
        <f>IF(Grandview_Inventory[[#This Row],[bldg_style]]="",0,Lookups!$B$2)</f>
        <v>155833.95000000001</v>
      </c>
      <c r="BJ2350" s="6">
        <f>_xlfn.IFNA(VLOOKUP(Grandview_Inventory[[#This Row],[quality]],Lookups!$H$2:$J$14,3,FALSE),0)</f>
        <v>9808</v>
      </c>
      <c r="BK2350" s="6">
        <f>_xlfn.IFNA(VLOOKUP(Grandview_Inventory[[#This Row],[condition]],Lookups!$H$17:$J$24,3,FALSE),0)</f>
        <v>25780</v>
      </c>
      <c r="BL2350" s="6">
        <f>Grandview_Inventory[[#This Row],[Eff_Age]]*Lookups!$B$14</f>
        <v>-478.33319999999998</v>
      </c>
      <c r="BM2350" s="6">
        <f>Grandview_Inventory[[#This Row],[living_area]]*Lookups!$B$15</f>
        <v>89766.047466999997</v>
      </c>
      <c r="BN2350" s="6">
        <f>Grandview_Inventory[[#This Row],[Fin BSMT]]*Lookups!$B$16</f>
        <v>0</v>
      </c>
      <c r="BO2350" s="6">
        <f>(Grandview_Inventory[[#This Row],[att_gar]]+Grandview_Inventory[[#This Row],[bltin_gar]])*Lookups!$B$17</f>
        <v>38508.992279999999</v>
      </c>
      <c r="BP2350" s="6">
        <f>Grandview_Inventory[[#This Row],[Plumbing Fixtures]]*Lookups!$B$18</f>
        <v>18093.976200000001</v>
      </c>
      <c r="BQ2350" s="6">
        <f>Grandview_Inventory[[#This Row],[detatched_value]]*Lookups!$B$19</f>
        <v>0</v>
      </c>
      <c r="BR2350" s="6">
        <f>SUM(Grandview_Inventory[[#This Row],[Intercept]:[det_value]])*Grandview_Inventory[[#This Row],[res_pct]]</f>
        <v>337312.63274700003</v>
      </c>
      <c r="BS2350" s="6">
        <f>Grandview_Inventory[[#This Row],[land_value]]</f>
        <v>47528.228511015397</v>
      </c>
      <c r="BT2350" s="4">
        <f>_xlfn.IFNA(VLOOKUP(Grandview_Inventory[[#This Row],[quality]],Lookups!$A$26:$C$33,3,FALSE),1)</f>
        <v>0.94295468617355149</v>
      </c>
      <c r="BU2350" s="4">
        <f>_xlfn.IFNA(VLOOKUP(Grandview_Inventory[[#This Row],[condition]],Lookups!$A$37:$C$44,3,FALSE),1)</f>
        <v>0.94347925387812148</v>
      </c>
      <c r="BV2350" s="4">
        <f>IF(Grandview_Inventory[[#This Row],[bldg_style]]="",1,_xlfn.IFNA(VLOOKUP(Grandview_Inventory[[#This Row],[decade]],Lookups!$F$29:$H$43,3,FALSE),1))</f>
        <v>0.94601966599150278</v>
      </c>
      <c r="BW2350" s="4">
        <f>_xlfn.IFNA(VLOOKUP(Grandview_Inventory[[#This Row],[living_area_range]],Lookups!$F$47:$H$56,3,FALSE),1)</f>
        <v>0.96135087979789358</v>
      </c>
      <c r="BX2350" s="4">
        <f>AVERAGE(Grandview_Inventory[[#This Row],[qual_adj]:[size_adj]])</f>
        <v>0.94845112146026733</v>
      </c>
      <c r="BY2350" s="6">
        <f>IF(Grandview_Inventory[[#This Row],[pre_res]]&lt;0,0,Grandview_Inventory[[#This Row],[pre_res]]*Grandview_Inventory[[#This Row],[overall_adj]])</f>
        <v>319924.54481160745</v>
      </c>
      <c r="BZ2350" s="6">
        <f>(Grandview_Inventory[[#This Row],[sum_land]]-IF(Grandview_Inventory[[#This Row],[no_utilities]]=1,12000,0))/IF(Grandview_Inventory[[#This Row],[unbuildable]]=1,2,1)</f>
        <v>47528.228511015397</v>
      </c>
      <c r="CA235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50">
        <f>ROUND(Grandview_Inventory[[#This Row],[det_value]]*Lookups!$M$28,-2)</f>
        <v>0</v>
      </c>
      <c r="CC2350">
        <f>IF(ROUND(Grandview_Inventory[[#This Row],[adj_res]]*Lookups!$M$28,-2)&lt;Grandview_Inventory[[#This Row],[min_res]],Grandview_Inventory[[#This Row],[min_res]],ROUND(Grandview_Inventory[[#This Row],[adj_res]]*Lookups!$M$28,-2))</f>
        <v>303900</v>
      </c>
      <c r="CD2350">
        <f>Grandview_Inventory[[#This Row],[final_det]]+Grandview_Inventory[[#This Row],[final_res]]</f>
        <v>303900</v>
      </c>
      <c r="CE2350">
        <f>Grandview_Inventory[[#This Row],[final_land]]+Grandview_Inventory[[#This Row],[final_imp]]+Grandview_Inventory[[#This Row],[crop_value]]</f>
        <v>349100</v>
      </c>
      <c r="CG2350" t="str">
        <f t="shared" si="36"/>
        <v>update valuation set market_land =45200, market_bldg=303900, market_total =349100, market_mdno =401, market_date ='9/10/2023' where link_id = (select link_id from parcel where parcel_year = '2024' and parcel_id = '23092621458');</v>
      </c>
    </row>
    <row r="2351" spans="1:85" x14ac:dyDescent="0.25">
      <c r="A2351">
        <v>23092621459</v>
      </c>
      <c r="B2351" t="s">
        <v>129</v>
      </c>
      <c r="C2351">
        <v>8250</v>
      </c>
      <c r="D2351" t="s">
        <v>129</v>
      </c>
      <c r="E2351" t="s">
        <v>53</v>
      </c>
      <c r="F2351" t="s">
        <v>53</v>
      </c>
      <c r="G2351">
        <v>4</v>
      </c>
      <c r="H2351" t="s">
        <v>54</v>
      </c>
      <c r="I2351">
        <v>298000</v>
      </c>
      <c r="J2351">
        <v>39100</v>
      </c>
      <c r="K2351">
        <v>0.19</v>
      </c>
      <c r="L235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1">
        <v>0</v>
      </c>
      <c r="N2351">
        <v>0</v>
      </c>
      <c r="O2351">
        <v>0</v>
      </c>
      <c r="P2351">
        <v>13398.7528</v>
      </c>
      <c r="Q2351">
        <v>63903</v>
      </c>
      <c r="R2351">
        <f>(Grandview_Inventory[[#This Row],[ln_acres]]*Grandview_Inventory[[#This Row],[coeff]])+Grandview_Inventory[[#This Row],[const]]</f>
        <v>41651.273092551026</v>
      </c>
      <c r="S2351" t="s">
        <v>61</v>
      </c>
      <c r="T2351">
        <v>1</v>
      </c>
      <c r="U2351" t="s">
        <v>62</v>
      </c>
      <c r="V2351" t="s">
        <v>57</v>
      </c>
      <c r="W2351">
        <v>0</v>
      </c>
      <c r="X2351">
        <v>0</v>
      </c>
      <c r="Y2351">
        <v>1</v>
      </c>
      <c r="Z2351">
        <v>1</v>
      </c>
      <c r="AA2351">
        <v>10</v>
      </c>
      <c r="AB2351">
        <v>2000</v>
      </c>
      <c r="AC2351">
        <v>1958</v>
      </c>
      <c r="AD2351">
        <v>1958</v>
      </c>
      <c r="AE2351">
        <v>0</v>
      </c>
      <c r="AF2351">
        <v>0</v>
      </c>
      <c r="AG2351">
        <v>0</v>
      </c>
      <c r="AH2351">
        <v>0</v>
      </c>
      <c r="AI2351">
        <v>752</v>
      </c>
      <c r="AJ2351">
        <v>0</v>
      </c>
      <c r="AK2351">
        <v>0</v>
      </c>
      <c r="AL2351">
        <v>0</v>
      </c>
      <c r="AM2351">
        <v>0</v>
      </c>
      <c r="AN2351">
        <v>269</v>
      </c>
      <c r="AO2351">
        <v>0</v>
      </c>
      <c r="AP2351">
        <v>10</v>
      </c>
      <c r="AQ2351">
        <v>0</v>
      </c>
      <c r="AR2351">
        <v>0</v>
      </c>
      <c r="AS2351" t="s">
        <v>58</v>
      </c>
      <c r="AT2351">
        <v>1</v>
      </c>
      <c r="AU2351" t="s">
        <v>63</v>
      </c>
      <c r="AV2351" t="s">
        <v>64</v>
      </c>
      <c r="AW2351">
        <v>1</v>
      </c>
      <c r="AX2351">
        <v>3</v>
      </c>
      <c r="AY2351">
        <v>0</v>
      </c>
      <c r="AZ2351">
        <v>0</v>
      </c>
      <c r="BA2351">
        <v>100</v>
      </c>
      <c r="BB2351">
        <v>100</v>
      </c>
      <c r="BC2351">
        <v>100</v>
      </c>
      <c r="BD2351">
        <v>100</v>
      </c>
      <c r="BE2351">
        <v>1</v>
      </c>
      <c r="BF2351">
        <v>15000</v>
      </c>
      <c r="BG2351">
        <v>1000</v>
      </c>
      <c r="BH2351" s="6">
        <f>Grandview_Inventory[[#This Row],[land_extract]]*Lookups!$B$3</f>
        <v>48369.510983942157</v>
      </c>
      <c r="BI2351" s="6">
        <f>IF(Grandview_Inventory[[#This Row],[bldg_style]]="",0,Lookups!$B$2)</f>
        <v>155833.95000000001</v>
      </c>
      <c r="BJ2351" s="6">
        <f>_xlfn.IFNA(VLOOKUP(Grandview_Inventory[[#This Row],[quality]],Lookups!$H$2:$J$14,3,FALSE),0)</f>
        <v>9808</v>
      </c>
      <c r="BK2351" s="6">
        <f>_xlfn.IFNA(VLOOKUP(Grandview_Inventory[[#This Row],[condition]],Lookups!$H$17:$J$24,3,FALSE),0)</f>
        <v>25780</v>
      </c>
      <c r="BL2351" s="6">
        <f>Grandview_Inventory[[#This Row],[Eff_Age]]*Lookups!$B$14</f>
        <v>-239.16659999999999</v>
      </c>
      <c r="BM2351" s="6">
        <f>Grandview_Inventory[[#This Row],[living_area]]*Lookups!$B$15</f>
        <v>122141.71017400001</v>
      </c>
      <c r="BN2351" s="6">
        <f>Grandview_Inventory[[#This Row],[Fin BSMT]]*Lookups!$B$16</f>
        <v>0</v>
      </c>
      <c r="BO2351" s="6">
        <f>(Grandview_Inventory[[#This Row],[att_gar]]+Grandview_Inventory[[#This Row],[bltin_gar]])*Lookups!$B$17</f>
        <v>65815.368623999995</v>
      </c>
      <c r="BP2351" s="6">
        <f>Grandview_Inventory[[#This Row],[Plumbing Fixtures]]*Lookups!$B$18</f>
        <v>20104.418000000001</v>
      </c>
      <c r="BQ2351" s="6">
        <f>Grandview_Inventory[[#This Row],[detatched_value]]*Lookups!$B$19</f>
        <v>0</v>
      </c>
      <c r="BR2351" s="6">
        <f>SUM(Grandview_Inventory[[#This Row],[Intercept]:[det_value]])*Grandview_Inventory[[#This Row],[res_pct]]</f>
        <v>399244.28019800002</v>
      </c>
      <c r="BS2351" s="6">
        <f>Grandview_Inventory[[#This Row],[land_value]]</f>
        <v>48369.510983942157</v>
      </c>
      <c r="BT2351" s="4">
        <f>_xlfn.IFNA(VLOOKUP(Grandview_Inventory[[#This Row],[quality]],Lookups!$A$26:$C$33,3,FALSE),1)</f>
        <v>0.94295468617355149</v>
      </c>
      <c r="BU2351" s="4">
        <f>_xlfn.IFNA(VLOOKUP(Grandview_Inventory[[#This Row],[condition]],Lookups!$A$37:$C$44,3,FALSE),1)</f>
        <v>0.94347925387812148</v>
      </c>
      <c r="BV2351" s="4">
        <f>IF(Grandview_Inventory[[#This Row],[bldg_style]]="",1,_xlfn.IFNA(VLOOKUP(Grandview_Inventory[[#This Row],[decade]],Lookups!$F$29:$H$43,3,FALSE),1))</f>
        <v>0.94601966599150278</v>
      </c>
      <c r="BW2351" s="4">
        <f>_xlfn.IFNA(VLOOKUP(Grandview_Inventory[[#This Row],[living_area_range]],Lookups!$F$47:$H$56,3,FALSE),1)</f>
        <v>0.96120133463014379</v>
      </c>
      <c r="BX2351" s="4">
        <f>AVERAGE(Grandview_Inventory[[#This Row],[qual_adj]:[size_adj]])</f>
        <v>0.94841373516832994</v>
      </c>
      <c r="BY2351" s="6">
        <f>IF(Grandview_Inventory[[#This Row],[pre_res]]&lt;0,0,Grandview_Inventory[[#This Row],[pre_res]]*Grandview_Inventory[[#This Row],[overall_adj]])</f>
        <v>378648.75902717648</v>
      </c>
      <c r="BZ2351" s="6">
        <f>(Grandview_Inventory[[#This Row],[sum_land]]-IF(Grandview_Inventory[[#This Row],[no_utilities]]=1,12000,0))/IF(Grandview_Inventory[[#This Row],[unbuildable]]=1,2,1)</f>
        <v>48369.510983942157</v>
      </c>
      <c r="CA235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1">
        <f>ROUND(Grandview_Inventory[[#This Row],[det_value]]*Lookups!$M$28,-2)</f>
        <v>0</v>
      </c>
      <c r="CC2351">
        <f>IF(ROUND(Grandview_Inventory[[#This Row],[adj_res]]*Lookups!$M$28,-2)&lt;Grandview_Inventory[[#This Row],[min_res]],Grandview_Inventory[[#This Row],[min_res]],ROUND(Grandview_Inventory[[#This Row],[adj_res]]*Lookups!$M$28,-2))</f>
        <v>359700</v>
      </c>
      <c r="CD2351">
        <f>Grandview_Inventory[[#This Row],[final_det]]+Grandview_Inventory[[#This Row],[final_res]]</f>
        <v>359700</v>
      </c>
      <c r="CE2351">
        <f>Grandview_Inventory[[#This Row],[final_land]]+Grandview_Inventory[[#This Row],[final_imp]]+Grandview_Inventory[[#This Row],[crop_value]]</f>
        <v>405700</v>
      </c>
      <c r="CG2351" t="str">
        <f t="shared" si="36"/>
        <v>update valuation set market_land =46000, market_bldg=359700, market_total =405700, market_mdno =401, market_date ='9/10/2023' where link_id = (select link_id from parcel where parcel_year = '2024' and parcel_id = '23092621459');</v>
      </c>
    </row>
    <row r="2352" spans="1:85" x14ac:dyDescent="0.25">
      <c r="A2352">
        <v>23092621460</v>
      </c>
      <c r="B2352" t="s">
        <v>129</v>
      </c>
      <c r="C2352">
        <v>8250</v>
      </c>
      <c r="D2352" t="s">
        <v>129</v>
      </c>
      <c r="E2352" t="s">
        <v>53</v>
      </c>
      <c r="F2352" t="s">
        <v>53</v>
      </c>
      <c r="G2352">
        <v>4</v>
      </c>
      <c r="H2352" t="s">
        <v>54</v>
      </c>
      <c r="I2352">
        <v>306100</v>
      </c>
      <c r="J2352">
        <v>39100</v>
      </c>
      <c r="K2352">
        <v>0.19</v>
      </c>
      <c r="L235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2">
        <v>0</v>
      </c>
      <c r="N2352">
        <v>0</v>
      </c>
      <c r="O2352">
        <v>0</v>
      </c>
      <c r="P2352">
        <v>13398.7528</v>
      </c>
      <c r="Q2352">
        <v>63903</v>
      </c>
      <c r="R2352">
        <f>(Grandview_Inventory[[#This Row],[ln_acres]]*Grandview_Inventory[[#This Row],[coeff]])+Grandview_Inventory[[#This Row],[const]]</f>
        <v>41651.273092551026</v>
      </c>
      <c r="S2352" t="s">
        <v>58</v>
      </c>
      <c r="T2352">
        <v>1</v>
      </c>
      <c r="U2352" t="s">
        <v>62</v>
      </c>
      <c r="V2352" t="s">
        <v>57</v>
      </c>
      <c r="W2352">
        <v>0</v>
      </c>
      <c r="X2352">
        <v>0</v>
      </c>
      <c r="Y2352">
        <v>1</v>
      </c>
      <c r="Z2352">
        <v>1</v>
      </c>
      <c r="AA2352">
        <v>10</v>
      </c>
      <c r="AB2352">
        <v>2500</v>
      </c>
      <c r="AC2352">
        <v>2024</v>
      </c>
      <c r="AD2352">
        <v>2024</v>
      </c>
      <c r="AE2352">
        <v>0</v>
      </c>
      <c r="AF2352">
        <v>0</v>
      </c>
      <c r="AG2352">
        <v>0</v>
      </c>
      <c r="AH2352">
        <v>0</v>
      </c>
      <c r="AI2352">
        <v>686</v>
      </c>
      <c r="AJ2352">
        <v>0</v>
      </c>
      <c r="AK2352">
        <v>0</v>
      </c>
      <c r="AL2352">
        <v>0</v>
      </c>
      <c r="AM2352">
        <v>0</v>
      </c>
      <c r="AN2352">
        <v>235</v>
      </c>
      <c r="AO2352">
        <v>0</v>
      </c>
      <c r="AP2352">
        <v>9</v>
      </c>
      <c r="AQ2352">
        <v>0</v>
      </c>
      <c r="AR2352">
        <v>0</v>
      </c>
      <c r="AS2352" t="s">
        <v>58</v>
      </c>
      <c r="AT2352">
        <v>1</v>
      </c>
      <c r="AU2352" t="s">
        <v>63</v>
      </c>
      <c r="AV2352" t="s">
        <v>64</v>
      </c>
      <c r="AW2352">
        <v>1</v>
      </c>
      <c r="AX2352">
        <v>3</v>
      </c>
      <c r="AY2352">
        <v>0</v>
      </c>
      <c r="AZ2352">
        <v>0</v>
      </c>
      <c r="BA2352">
        <v>100</v>
      </c>
      <c r="BB2352">
        <v>100</v>
      </c>
      <c r="BC2352">
        <v>100</v>
      </c>
      <c r="BD2352">
        <v>100</v>
      </c>
      <c r="BE2352">
        <v>1</v>
      </c>
      <c r="BF2352">
        <v>15000</v>
      </c>
      <c r="BG2352">
        <v>1000</v>
      </c>
      <c r="BH2352" s="6">
        <f>Grandview_Inventory[[#This Row],[land_extract]]*Lookups!$B$3</f>
        <v>48369.510983942157</v>
      </c>
      <c r="BI2352" s="6">
        <f>IF(Grandview_Inventory[[#This Row],[bldg_style]]="",0,Lookups!$B$2)</f>
        <v>155833.95000000001</v>
      </c>
      <c r="BJ2352" s="6">
        <f>_xlfn.IFNA(VLOOKUP(Grandview_Inventory[[#This Row],[quality]],Lookups!$H$2:$J$14,3,FALSE),0)</f>
        <v>9808</v>
      </c>
      <c r="BK2352" s="6">
        <f>_xlfn.IFNA(VLOOKUP(Grandview_Inventory[[#This Row],[condition]],Lookups!$H$17:$J$24,3,FALSE),0)</f>
        <v>25780</v>
      </c>
      <c r="BL2352" s="6">
        <f>Grandview_Inventory[[#This Row],[Eff_Age]]*Lookups!$B$14</f>
        <v>-239.16659999999999</v>
      </c>
      <c r="BM2352" s="6">
        <f>Grandview_Inventory[[#This Row],[living_area]]*Lookups!$B$15</f>
        <v>126258.846472</v>
      </c>
      <c r="BN2352" s="6">
        <f>Grandview_Inventory[[#This Row],[Fin BSMT]]*Lookups!$B$16</f>
        <v>0</v>
      </c>
      <c r="BO2352" s="6">
        <f>(Grandview_Inventory[[#This Row],[att_gar]]+Grandview_Inventory[[#This Row],[bltin_gar]])*Lookups!$B$17</f>
        <v>60039.019782000003</v>
      </c>
      <c r="BP2352" s="6">
        <f>Grandview_Inventory[[#This Row],[Plumbing Fixtures]]*Lookups!$B$18</f>
        <v>18093.976200000001</v>
      </c>
      <c r="BQ2352" s="6">
        <f>Grandview_Inventory[[#This Row],[detatched_value]]*Lookups!$B$19</f>
        <v>0</v>
      </c>
      <c r="BR2352" s="6">
        <f>SUM(Grandview_Inventory[[#This Row],[Intercept]:[det_value]])*Grandview_Inventory[[#This Row],[res_pct]]</f>
        <v>395574.62585399998</v>
      </c>
      <c r="BS2352" s="6">
        <f>Grandview_Inventory[[#This Row],[land_value]]</f>
        <v>48369.510983942157</v>
      </c>
      <c r="BT2352" s="4">
        <f>_xlfn.IFNA(VLOOKUP(Grandview_Inventory[[#This Row],[quality]],Lookups!$A$26:$C$33,3,FALSE),1)</f>
        <v>0.94295468617355149</v>
      </c>
      <c r="BU2352" s="4">
        <f>_xlfn.IFNA(VLOOKUP(Grandview_Inventory[[#This Row],[condition]],Lookups!$A$37:$C$44,3,FALSE),1)</f>
        <v>0.94347925387812148</v>
      </c>
      <c r="BV2352" s="4">
        <f>IF(Grandview_Inventory[[#This Row],[bldg_style]]="",1,_xlfn.IFNA(VLOOKUP(Grandview_Inventory[[#This Row],[decade]],Lookups!$F$29:$H$43,3,FALSE),1))</f>
        <v>0.94601966599150278</v>
      </c>
      <c r="BW2352" s="4">
        <f>_xlfn.IFNA(VLOOKUP(Grandview_Inventory[[#This Row],[living_area_range]],Lookups!$F$47:$H$56,3,FALSE),1)</f>
        <v>0.95799442568048754</v>
      </c>
      <c r="BX2352" s="4">
        <f>AVERAGE(Grandview_Inventory[[#This Row],[qual_adj]:[size_adj]])</f>
        <v>0.94761200793091582</v>
      </c>
      <c r="BY2352" s="6">
        <f>IF(Grandview_Inventory[[#This Row],[pre_res]]&lt;0,0,Grandview_Inventory[[#This Row],[pre_res]]*Grandview_Inventory[[#This Row],[overall_adj]])</f>
        <v>374851.26549202966</v>
      </c>
      <c r="BZ2352" s="6">
        <f>(Grandview_Inventory[[#This Row],[sum_land]]-IF(Grandview_Inventory[[#This Row],[no_utilities]]=1,12000,0))/IF(Grandview_Inventory[[#This Row],[unbuildable]]=1,2,1)</f>
        <v>48369.510983942157</v>
      </c>
      <c r="CA235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2">
        <f>ROUND(Grandview_Inventory[[#This Row],[det_value]]*Lookups!$M$28,-2)</f>
        <v>0</v>
      </c>
      <c r="CC2352">
        <f>IF(ROUND(Grandview_Inventory[[#This Row],[adj_res]]*Lookups!$M$28,-2)&lt;Grandview_Inventory[[#This Row],[min_res]],Grandview_Inventory[[#This Row],[min_res]],ROUND(Grandview_Inventory[[#This Row],[adj_res]]*Lookups!$M$28,-2))</f>
        <v>356100</v>
      </c>
      <c r="CD2352">
        <f>Grandview_Inventory[[#This Row],[final_det]]+Grandview_Inventory[[#This Row],[final_res]]</f>
        <v>356100</v>
      </c>
      <c r="CE2352">
        <f>Grandview_Inventory[[#This Row],[final_land]]+Grandview_Inventory[[#This Row],[final_imp]]+Grandview_Inventory[[#This Row],[crop_value]]</f>
        <v>402100</v>
      </c>
      <c r="CG2352" t="str">
        <f t="shared" si="36"/>
        <v>update valuation set market_land =46000, market_bldg=356100, market_total =402100, market_mdno =401, market_date ='9/10/2023' where link_id = (select link_id from parcel where parcel_year = '2024' and parcel_id = '23092621460');</v>
      </c>
    </row>
    <row r="2353" spans="1:85" x14ac:dyDescent="0.25">
      <c r="A2353">
        <v>23092621461</v>
      </c>
      <c r="B2353" t="s">
        <v>129</v>
      </c>
      <c r="C2353">
        <v>8250</v>
      </c>
      <c r="D2353" t="s">
        <v>129</v>
      </c>
      <c r="E2353" t="s">
        <v>53</v>
      </c>
      <c r="F2353" t="s">
        <v>53</v>
      </c>
      <c r="G2353">
        <v>4</v>
      </c>
      <c r="H2353" t="s">
        <v>54</v>
      </c>
      <c r="I2353">
        <v>252200</v>
      </c>
      <c r="J2353">
        <v>39100</v>
      </c>
      <c r="K2353">
        <v>0.19</v>
      </c>
      <c r="L235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3">
        <v>0</v>
      </c>
      <c r="N2353">
        <v>0</v>
      </c>
      <c r="O2353">
        <v>0</v>
      </c>
      <c r="P2353">
        <v>13398.7528</v>
      </c>
      <c r="Q2353">
        <v>63903</v>
      </c>
      <c r="R2353">
        <f>(Grandview_Inventory[[#This Row],[ln_acres]]*Grandview_Inventory[[#This Row],[coeff]])+Grandview_Inventory[[#This Row],[const]]</f>
        <v>41651.273092551026</v>
      </c>
      <c r="S2353" t="s">
        <v>61</v>
      </c>
      <c r="T2353">
        <v>1</v>
      </c>
      <c r="U2353" t="s">
        <v>62</v>
      </c>
      <c r="V2353" t="s">
        <v>57</v>
      </c>
      <c r="W2353">
        <v>0</v>
      </c>
      <c r="X2353">
        <v>0</v>
      </c>
      <c r="Y2353">
        <v>2</v>
      </c>
      <c r="Z2353">
        <v>2</v>
      </c>
      <c r="AA2353">
        <v>10</v>
      </c>
      <c r="AB2353">
        <v>1500</v>
      </c>
      <c r="AC2353">
        <v>1468</v>
      </c>
      <c r="AD2353">
        <v>1468</v>
      </c>
      <c r="AE2353">
        <v>0</v>
      </c>
      <c r="AF2353">
        <v>0</v>
      </c>
      <c r="AG2353">
        <v>0</v>
      </c>
      <c r="AH2353">
        <v>0</v>
      </c>
      <c r="AI2353">
        <v>460</v>
      </c>
      <c r="AJ2353">
        <v>0</v>
      </c>
      <c r="AK2353">
        <v>0</v>
      </c>
      <c r="AL2353">
        <v>0</v>
      </c>
      <c r="AM2353">
        <v>0</v>
      </c>
      <c r="AN2353">
        <v>233</v>
      </c>
      <c r="AO2353">
        <v>0</v>
      </c>
      <c r="AP2353">
        <v>10</v>
      </c>
      <c r="AQ2353">
        <v>0</v>
      </c>
      <c r="AR2353">
        <v>0</v>
      </c>
      <c r="AS2353" t="s">
        <v>58</v>
      </c>
      <c r="AT2353">
        <v>1</v>
      </c>
      <c r="AU2353" t="s">
        <v>63</v>
      </c>
      <c r="AV2353" t="s">
        <v>64</v>
      </c>
      <c r="AW2353">
        <v>1</v>
      </c>
      <c r="AX2353">
        <v>3</v>
      </c>
      <c r="AY2353">
        <v>0</v>
      </c>
      <c r="AZ2353">
        <v>0</v>
      </c>
      <c r="BA2353">
        <v>100</v>
      </c>
      <c r="BB2353">
        <v>100</v>
      </c>
      <c r="BC2353">
        <v>100</v>
      </c>
      <c r="BD2353">
        <v>100</v>
      </c>
      <c r="BE2353">
        <v>1</v>
      </c>
      <c r="BF2353">
        <v>15000</v>
      </c>
      <c r="BG2353">
        <v>1000</v>
      </c>
      <c r="BH2353" s="6">
        <f>Grandview_Inventory[[#This Row],[land_extract]]*Lookups!$B$3</f>
        <v>48369.510983942157</v>
      </c>
      <c r="BI2353" s="6">
        <f>IF(Grandview_Inventory[[#This Row],[bldg_style]]="",0,Lookups!$B$2)</f>
        <v>155833.95000000001</v>
      </c>
      <c r="BJ2353" s="6">
        <f>_xlfn.IFNA(VLOOKUP(Grandview_Inventory[[#This Row],[quality]],Lookups!$H$2:$J$14,3,FALSE),0)</f>
        <v>9808</v>
      </c>
      <c r="BK2353" s="6">
        <f>_xlfn.IFNA(VLOOKUP(Grandview_Inventory[[#This Row],[condition]],Lookups!$H$17:$J$24,3,FALSE),0)</f>
        <v>25780</v>
      </c>
      <c r="BL2353" s="6">
        <f>Grandview_Inventory[[#This Row],[Eff_Age]]*Lookups!$B$14</f>
        <v>-478.33319999999998</v>
      </c>
      <c r="BM2353" s="6">
        <f>Grandview_Inventory[[#This Row],[living_area]]*Lookups!$B$15</f>
        <v>91575.092204</v>
      </c>
      <c r="BN2353" s="6">
        <f>Grandview_Inventory[[#This Row],[Fin BSMT]]*Lookups!$B$16</f>
        <v>0</v>
      </c>
      <c r="BO2353" s="6">
        <f>(Grandview_Inventory[[#This Row],[att_gar]]+Grandview_Inventory[[#This Row],[bltin_gar]])*Lookups!$B$17</f>
        <v>40259.401019999998</v>
      </c>
      <c r="BP2353" s="6">
        <f>Grandview_Inventory[[#This Row],[Plumbing Fixtures]]*Lookups!$B$18</f>
        <v>20104.418000000001</v>
      </c>
      <c r="BQ2353" s="6">
        <f>Grandview_Inventory[[#This Row],[detatched_value]]*Lookups!$B$19</f>
        <v>0</v>
      </c>
      <c r="BR2353" s="6">
        <f>SUM(Grandview_Inventory[[#This Row],[Intercept]:[det_value]])*Grandview_Inventory[[#This Row],[res_pct]]</f>
        <v>342882.528024</v>
      </c>
      <c r="BS2353" s="6">
        <f>Grandview_Inventory[[#This Row],[land_value]]</f>
        <v>48369.510983942157</v>
      </c>
      <c r="BT2353" s="4">
        <f>_xlfn.IFNA(VLOOKUP(Grandview_Inventory[[#This Row],[quality]],Lookups!$A$26:$C$33,3,FALSE),1)</f>
        <v>0.94295468617355149</v>
      </c>
      <c r="BU2353" s="4">
        <f>_xlfn.IFNA(VLOOKUP(Grandview_Inventory[[#This Row],[condition]],Lookups!$A$37:$C$44,3,FALSE),1)</f>
        <v>0.94347925387812148</v>
      </c>
      <c r="BV2353" s="4">
        <f>IF(Grandview_Inventory[[#This Row],[bldg_style]]="",1,_xlfn.IFNA(VLOOKUP(Grandview_Inventory[[#This Row],[decade]],Lookups!$F$29:$H$43,3,FALSE),1))</f>
        <v>0.94601966599150278</v>
      </c>
      <c r="BW2353" s="4">
        <f>_xlfn.IFNA(VLOOKUP(Grandview_Inventory[[#This Row],[living_area_range]],Lookups!$F$47:$H$56,3,FALSE),1)</f>
        <v>0.96135087979789358</v>
      </c>
      <c r="BX2353" s="4">
        <f>AVERAGE(Grandview_Inventory[[#This Row],[qual_adj]:[size_adj]])</f>
        <v>0.94845112146026733</v>
      </c>
      <c r="BY2353" s="6">
        <f>IF(Grandview_Inventory[[#This Row],[pre_res]]&lt;0,0,Grandview_Inventory[[#This Row],[pre_res]]*Grandview_Inventory[[#This Row],[overall_adj]])</f>
        <v>325207.31823349436</v>
      </c>
      <c r="BZ2353" s="6">
        <f>(Grandview_Inventory[[#This Row],[sum_land]]-IF(Grandview_Inventory[[#This Row],[no_utilities]]=1,12000,0))/IF(Grandview_Inventory[[#This Row],[unbuildable]]=1,2,1)</f>
        <v>48369.510983942157</v>
      </c>
      <c r="CA235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3">
        <f>ROUND(Grandview_Inventory[[#This Row],[det_value]]*Lookups!$M$28,-2)</f>
        <v>0</v>
      </c>
      <c r="CC2353">
        <f>IF(ROUND(Grandview_Inventory[[#This Row],[adj_res]]*Lookups!$M$28,-2)&lt;Grandview_Inventory[[#This Row],[min_res]],Grandview_Inventory[[#This Row],[min_res]],ROUND(Grandview_Inventory[[#This Row],[adj_res]]*Lookups!$M$28,-2))</f>
        <v>308900</v>
      </c>
      <c r="CD2353">
        <f>Grandview_Inventory[[#This Row],[final_det]]+Grandview_Inventory[[#This Row],[final_res]]</f>
        <v>308900</v>
      </c>
      <c r="CE2353">
        <f>Grandview_Inventory[[#This Row],[final_land]]+Grandview_Inventory[[#This Row],[final_imp]]+Grandview_Inventory[[#This Row],[crop_value]]</f>
        <v>354900</v>
      </c>
      <c r="CG2353" t="str">
        <f t="shared" si="36"/>
        <v>update valuation set market_land =46000, market_bldg=308900, market_total =354900, market_mdno =401, market_date ='9/10/2023' where link_id = (select link_id from parcel where parcel_year = '2024' and parcel_id = '23092621461');</v>
      </c>
    </row>
    <row r="2354" spans="1:85" x14ac:dyDescent="0.25">
      <c r="A2354">
        <v>23092621462</v>
      </c>
      <c r="B2354" t="s">
        <v>129</v>
      </c>
      <c r="C2354">
        <v>8250</v>
      </c>
      <c r="D2354" t="s">
        <v>129</v>
      </c>
      <c r="E2354" t="s">
        <v>53</v>
      </c>
      <c r="F2354" t="s">
        <v>53</v>
      </c>
      <c r="G2354">
        <v>4</v>
      </c>
      <c r="H2354" t="s">
        <v>54</v>
      </c>
      <c r="I2354">
        <v>258600</v>
      </c>
      <c r="J2354">
        <v>39100</v>
      </c>
      <c r="K2354">
        <v>0.19</v>
      </c>
      <c r="L235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4">
        <v>0</v>
      </c>
      <c r="N2354">
        <v>0</v>
      </c>
      <c r="O2354">
        <v>0</v>
      </c>
      <c r="P2354">
        <v>13398.7528</v>
      </c>
      <c r="Q2354">
        <v>63903</v>
      </c>
      <c r="R2354">
        <f>(Grandview_Inventory[[#This Row],[ln_acres]]*Grandview_Inventory[[#This Row],[coeff]])+Grandview_Inventory[[#This Row],[const]]</f>
        <v>41651.273092551026</v>
      </c>
      <c r="S2354" t="s">
        <v>55</v>
      </c>
      <c r="T2354">
        <v>1</v>
      </c>
      <c r="U2354" t="s">
        <v>62</v>
      </c>
      <c r="V2354" t="s">
        <v>57</v>
      </c>
      <c r="W2354">
        <v>0</v>
      </c>
      <c r="X2354">
        <v>0</v>
      </c>
      <c r="Y2354">
        <v>2</v>
      </c>
      <c r="Z2354">
        <v>2</v>
      </c>
      <c r="AA2354">
        <v>10</v>
      </c>
      <c r="AB2354">
        <v>1500</v>
      </c>
      <c r="AC2354">
        <v>1419</v>
      </c>
      <c r="AD2354">
        <v>1419</v>
      </c>
      <c r="AE2354">
        <v>0</v>
      </c>
      <c r="AF2354">
        <v>0</v>
      </c>
      <c r="AG2354">
        <v>0</v>
      </c>
      <c r="AH2354">
        <v>0</v>
      </c>
      <c r="AI2354">
        <v>440</v>
      </c>
      <c r="AJ2354">
        <v>0</v>
      </c>
      <c r="AK2354">
        <v>0</v>
      </c>
      <c r="AL2354">
        <v>0</v>
      </c>
      <c r="AM2354">
        <v>0</v>
      </c>
      <c r="AN2354">
        <v>151</v>
      </c>
      <c r="AO2354">
        <v>0</v>
      </c>
      <c r="AP2354">
        <v>9</v>
      </c>
      <c r="AQ2354">
        <v>0</v>
      </c>
      <c r="AR2354">
        <v>0</v>
      </c>
      <c r="AS2354" t="s">
        <v>58</v>
      </c>
      <c r="AT2354">
        <v>1</v>
      </c>
      <c r="AU2354" t="s">
        <v>63</v>
      </c>
      <c r="AV2354" t="s">
        <v>64</v>
      </c>
      <c r="AW2354">
        <v>1</v>
      </c>
      <c r="AX2354">
        <v>3</v>
      </c>
      <c r="AY2354">
        <v>0</v>
      </c>
      <c r="AZ2354">
        <v>0</v>
      </c>
      <c r="BA2354">
        <v>100</v>
      </c>
      <c r="BB2354">
        <v>100</v>
      </c>
      <c r="BC2354">
        <v>100</v>
      </c>
      <c r="BD2354">
        <v>100</v>
      </c>
      <c r="BE2354">
        <v>1</v>
      </c>
      <c r="BF2354">
        <v>15000</v>
      </c>
      <c r="BG2354">
        <v>1000</v>
      </c>
      <c r="BH2354" s="6">
        <f>Grandview_Inventory[[#This Row],[land_extract]]*Lookups!$B$3</f>
        <v>48369.510983942157</v>
      </c>
      <c r="BI2354" s="6">
        <f>IF(Grandview_Inventory[[#This Row],[bldg_style]]="",0,Lookups!$B$2)</f>
        <v>155833.95000000001</v>
      </c>
      <c r="BJ2354" s="6">
        <f>_xlfn.IFNA(VLOOKUP(Grandview_Inventory[[#This Row],[quality]],Lookups!$H$2:$J$14,3,FALSE),0)</f>
        <v>9808</v>
      </c>
      <c r="BK2354" s="6">
        <f>_xlfn.IFNA(VLOOKUP(Grandview_Inventory[[#This Row],[condition]],Lookups!$H$17:$J$24,3,FALSE),0)</f>
        <v>25780</v>
      </c>
      <c r="BL2354" s="6">
        <f>Grandview_Inventory[[#This Row],[Eff_Age]]*Lookups!$B$14</f>
        <v>-478.33319999999998</v>
      </c>
      <c r="BM2354" s="6">
        <f>Grandview_Inventory[[#This Row],[living_area]]*Lookups!$B$15</f>
        <v>88518.430407000007</v>
      </c>
      <c r="BN2354" s="6">
        <f>Grandview_Inventory[[#This Row],[Fin BSMT]]*Lookups!$B$16</f>
        <v>0</v>
      </c>
      <c r="BO2354" s="6">
        <f>(Grandview_Inventory[[#This Row],[att_gar]]+Grandview_Inventory[[#This Row],[bltin_gar]])*Lookups!$B$17</f>
        <v>38508.992279999999</v>
      </c>
      <c r="BP2354" s="6">
        <f>Grandview_Inventory[[#This Row],[Plumbing Fixtures]]*Lookups!$B$18</f>
        <v>18093.976200000001</v>
      </c>
      <c r="BQ2354" s="6">
        <f>Grandview_Inventory[[#This Row],[detatched_value]]*Lookups!$B$19</f>
        <v>0</v>
      </c>
      <c r="BR2354" s="6">
        <f>SUM(Grandview_Inventory[[#This Row],[Intercept]:[det_value]])*Grandview_Inventory[[#This Row],[res_pct]]</f>
        <v>336065.01568700001</v>
      </c>
      <c r="BS2354" s="6">
        <f>Grandview_Inventory[[#This Row],[land_value]]</f>
        <v>48369.510983942157</v>
      </c>
      <c r="BT2354" s="4">
        <f>_xlfn.IFNA(VLOOKUP(Grandview_Inventory[[#This Row],[quality]],Lookups!$A$26:$C$33,3,FALSE),1)</f>
        <v>0.94295468617355149</v>
      </c>
      <c r="BU2354" s="4">
        <f>_xlfn.IFNA(VLOOKUP(Grandview_Inventory[[#This Row],[condition]],Lookups!$A$37:$C$44,3,FALSE),1)</f>
        <v>0.94347925387812148</v>
      </c>
      <c r="BV2354" s="4">
        <f>IF(Grandview_Inventory[[#This Row],[bldg_style]]="",1,_xlfn.IFNA(VLOOKUP(Grandview_Inventory[[#This Row],[decade]],Lookups!$F$29:$H$43,3,FALSE),1))</f>
        <v>0.94601966599150278</v>
      </c>
      <c r="BW2354" s="4">
        <f>_xlfn.IFNA(VLOOKUP(Grandview_Inventory[[#This Row],[living_area_range]],Lookups!$F$47:$H$56,3,FALSE),1)</f>
        <v>0.96135087979789358</v>
      </c>
      <c r="BX2354" s="4">
        <f>AVERAGE(Grandview_Inventory[[#This Row],[qual_adj]:[size_adj]])</f>
        <v>0.94845112146026733</v>
      </c>
      <c r="BY2354" s="6">
        <f>IF(Grandview_Inventory[[#This Row],[pre_res]]&lt;0,0,Grandview_Inventory[[#This Row],[pre_res]]*Grandview_Inventory[[#This Row],[overall_adj]])</f>
        <v>318741.24101189751</v>
      </c>
      <c r="BZ2354" s="6">
        <f>(Grandview_Inventory[[#This Row],[sum_land]]-IF(Grandview_Inventory[[#This Row],[no_utilities]]=1,12000,0))/IF(Grandview_Inventory[[#This Row],[unbuildable]]=1,2,1)</f>
        <v>48369.510983942157</v>
      </c>
      <c r="CA235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4">
        <f>ROUND(Grandview_Inventory[[#This Row],[det_value]]*Lookups!$M$28,-2)</f>
        <v>0</v>
      </c>
      <c r="CC2354">
        <f>IF(ROUND(Grandview_Inventory[[#This Row],[adj_res]]*Lookups!$M$28,-2)&lt;Grandview_Inventory[[#This Row],[min_res]],Grandview_Inventory[[#This Row],[min_res]],ROUND(Grandview_Inventory[[#This Row],[adj_res]]*Lookups!$M$28,-2))</f>
        <v>302800</v>
      </c>
      <c r="CD2354">
        <f>Grandview_Inventory[[#This Row],[final_det]]+Grandview_Inventory[[#This Row],[final_res]]</f>
        <v>302800</v>
      </c>
      <c r="CE2354">
        <f>Grandview_Inventory[[#This Row],[final_land]]+Grandview_Inventory[[#This Row],[final_imp]]+Grandview_Inventory[[#This Row],[crop_value]]</f>
        <v>348800</v>
      </c>
      <c r="CG2354" t="str">
        <f t="shared" si="36"/>
        <v>update valuation set market_land =46000, market_bldg=302800, market_total =348800, market_mdno =401, market_date ='9/10/2023' where link_id = (select link_id from parcel where parcel_year = '2024' and parcel_id = '23092621462');</v>
      </c>
    </row>
    <row r="2355" spans="1:85" x14ac:dyDescent="0.25">
      <c r="A2355">
        <v>23092621463</v>
      </c>
      <c r="B2355" t="s">
        <v>129</v>
      </c>
      <c r="C2355">
        <v>8250</v>
      </c>
      <c r="D2355" t="s">
        <v>129</v>
      </c>
      <c r="E2355" t="s">
        <v>53</v>
      </c>
      <c r="F2355" t="s">
        <v>53</v>
      </c>
      <c r="G2355">
        <v>4</v>
      </c>
      <c r="H2355" t="s">
        <v>54</v>
      </c>
      <c r="I2355">
        <v>276600</v>
      </c>
      <c r="J2355">
        <v>39100</v>
      </c>
      <c r="K2355">
        <v>0.19</v>
      </c>
      <c r="L235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5">
        <v>0</v>
      </c>
      <c r="N2355">
        <v>0</v>
      </c>
      <c r="O2355">
        <v>0</v>
      </c>
      <c r="P2355">
        <v>13398.7528</v>
      </c>
      <c r="Q2355">
        <v>63903</v>
      </c>
      <c r="R2355">
        <f>(Grandview_Inventory[[#This Row],[ln_acres]]*Grandview_Inventory[[#This Row],[coeff]])+Grandview_Inventory[[#This Row],[const]]</f>
        <v>41651.273092551026</v>
      </c>
      <c r="S2355" t="s">
        <v>55</v>
      </c>
      <c r="T2355">
        <v>1</v>
      </c>
      <c r="U2355" t="s">
        <v>62</v>
      </c>
      <c r="V2355" t="s">
        <v>57</v>
      </c>
      <c r="W2355">
        <v>0</v>
      </c>
      <c r="X2355">
        <v>0</v>
      </c>
      <c r="Y2355">
        <v>2</v>
      </c>
      <c r="Z2355">
        <v>2</v>
      </c>
      <c r="AA2355">
        <v>10</v>
      </c>
      <c r="AB2355">
        <v>2000</v>
      </c>
      <c r="AC2355">
        <v>1760</v>
      </c>
      <c r="AD2355">
        <v>1760</v>
      </c>
      <c r="AE2355">
        <v>0</v>
      </c>
      <c r="AF2355">
        <v>0</v>
      </c>
      <c r="AG2355">
        <v>0</v>
      </c>
      <c r="AH2355">
        <v>0</v>
      </c>
      <c r="AI2355">
        <v>440</v>
      </c>
      <c r="AJ2355">
        <v>0</v>
      </c>
      <c r="AK2355">
        <v>0</v>
      </c>
      <c r="AL2355">
        <v>0</v>
      </c>
      <c r="AM2355">
        <v>0</v>
      </c>
      <c r="AN2355">
        <v>268</v>
      </c>
      <c r="AO2355">
        <v>0</v>
      </c>
      <c r="AP2355">
        <v>9</v>
      </c>
      <c r="AQ2355">
        <v>0</v>
      </c>
      <c r="AR2355">
        <v>0</v>
      </c>
      <c r="AS2355" t="s">
        <v>58</v>
      </c>
      <c r="AT2355">
        <v>1</v>
      </c>
      <c r="AU2355" t="s">
        <v>63</v>
      </c>
      <c r="AV2355" t="s">
        <v>64</v>
      </c>
      <c r="AW2355">
        <v>1</v>
      </c>
      <c r="AX2355">
        <v>3</v>
      </c>
      <c r="AY2355">
        <v>0</v>
      </c>
      <c r="AZ2355">
        <v>0</v>
      </c>
      <c r="BA2355">
        <v>100</v>
      </c>
      <c r="BB2355">
        <v>100</v>
      </c>
      <c r="BC2355">
        <v>100</v>
      </c>
      <c r="BD2355">
        <v>100</v>
      </c>
      <c r="BE2355">
        <v>1</v>
      </c>
      <c r="BF2355">
        <v>15000</v>
      </c>
      <c r="BG2355">
        <v>1000</v>
      </c>
      <c r="BH2355" s="6">
        <f>Grandview_Inventory[[#This Row],[land_extract]]*Lookups!$B$3</f>
        <v>48369.510983942157</v>
      </c>
      <c r="BI2355" s="6">
        <f>IF(Grandview_Inventory[[#This Row],[bldg_style]]="",0,Lookups!$B$2)</f>
        <v>155833.95000000001</v>
      </c>
      <c r="BJ2355" s="6">
        <f>_xlfn.IFNA(VLOOKUP(Grandview_Inventory[[#This Row],[quality]],Lookups!$H$2:$J$14,3,FALSE),0)</f>
        <v>9808</v>
      </c>
      <c r="BK2355" s="6">
        <f>_xlfn.IFNA(VLOOKUP(Grandview_Inventory[[#This Row],[condition]],Lookups!$H$17:$J$24,3,FALSE),0)</f>
        <v>25780</v>
      </c>
      <c r="BL2355" s="6">
        <f>Grandview_Inventory[[#This Row],[Eff_Age]]*Lookups!$B$14</f>
        <v>-478.33319999999998</v>
      </c>
      <c r="BM2355" s="6">
        <f>Grandview_Inventory[[#This Row],[living_area]]*Lookups!$B$15</f>
        <v>109790.30128</v>
      </c>
      <c r="BN2355" s="6">
        <f>Grandview_Inventory[[#This Row],[Fin BSMT]]*Lookups!$B$16</f>
        <v>0</v>
      </c>
      <c r="BO2355" s="6">
        <f>(Grandview_Inventory[[#This Row],[att_gar]]+Grandview_Inventory[[#This Row],[bltin_gar]])*Lookups!$B$17</f>
        <v>38508.992279999999</v>
      </c>
      <c r="BP2355" s="6">
        <f>Grandview_Inventory[[#This Row],[Plumbing Fixtures]]*Lookups!$B$18</f>
        <v>18093.976200000001</v>
      </c>
      <c r="BQ2355" s="6">
        <f>Grandview_Inventory[[#This Row],[detatched_value]]*Lookups!$B$19</f>
        <v>0</v>
      </c>
      <c r="BR2355" s="6">
        <f>SUM(Grandview_Inventory[[#This Row],[Intercept]:[det_value]])*Grandview_Inventory[[#This Row],[res_pct]]</f>
        <v>357336.88656000001</v>
      </c>
      <c r="BS2355" s="6">
        <f>Grandview_Inventory[[#This Row],[land_value]]</f>
        <v>48369.510983942157</v>
      </c>
      <c r="BT2355" s="4">
        <f>_xlfn.IFNA(VLOOKUP(Grandview_Inventory[[#This Row],[quality]],Lookups!$A$26:$C$33,3,FALSE),1)</f>
        <v>0.94295468617355149</v>
      </c>
      <c r="BU2355" s="4">
        <f>_xlfn.IFNA(VLOOKUP(Grandview_Inventory[[#This Row],[condition]],Lookups!$A$37:$C$44,3,FALSE),1)</f>
        <v>0.94347925387812148</v>
      </c>
      <c r="BV2355" s="4">
        <f>IF(Grandview_Inventory[[#This Row],[bldg_style]]="",1,_xlfn.IFNA(VLOOKUP(Grandview_Inventory[[#This Row],[decade]],Lookups!$F$29:$H$43,3,FALSE),1))</f>
        <v>0.94601966599150278</v>
      </c>
      <c r="BW2355" s="4">
        <f>_xlfn.IFNA(VLOOKUP(Grandview_Inventory[[#This Row],[living_area_range]],Lookups!$F$47:$H$56,3,FALSE),1)</f>
        <v>0.96120133463014379</v>
      </c>
      <c r="BX2355" s="4">
        <f>AVERAGE(Grandview_Inventory[[#This Row],[qual_adj]:[size_adj]])</f>
        <v>0.94841373516832994</v>
      </c>
      <c r="BY2355" s="6">
        <f>IF(Grandview_Inventory[[#This Row],[pre_res]]&lt;0,0,Grandview_Inventory[[#This Row],[pre_res]]*Grandview_Inventory[[#This Row],[overall_adj]])</f>
        <v>338903.21129579144</v>
      </c>
      <c r="BZ2355" s="6">
        <f>(Grandview_Inventory[[#This Row],[sum_land]]-IF(Grandview_Inventory[[#This Row],[no_utilities]]=1,12000,0))/IF(Grandview_Inventory[[#This Row],[unbuildable]]=1,2,1)</f>
        <v>48369.510983942157</v>
      </c>
      <c r="CA235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5">
        <f>ROUND(Grandview_Inventory[[#This Row],[det_value]]*Lookups!$M$28,-2)</f>
        <v>0</v>
      </c>
      <c r="CC2355">
        <f>IF(ROUND(Grandview_Inventory[[#This Row],[adj_res]]*Lookups!$M$28,-2)&lt;Grandview_Inventory[[#This Row],[min_res]],Grandview_Inventory[[#This Row],[min_res]],ROUND(Grandview_Inventory[[#This Row],[adj_res]]*Lookups!$M$28,-2))</f>
        <v>322000</v>
      </c>
      <c r="CD2355">
        <f>Grandview_Inventory[[#This Row],[final_det]]+Grandview_Inventory[[#This Row],[final_res]]</f>
        <v>322000</v>
      </c>
      <c r="CE2355">
        <f>Grandview_Inventory[[#This Row],[final_land]]+Grandview_Inventory[[#This Row],[final_imp]]+Grandview_Inventory[[#This Row],[crop_value]]</f>
        <v>368000</v>
      </c>
      <c r="CG2355" t="str">
        <f t="shared" si="36"/>
        <v>update valuation set market_land =46000, market_bldg=322000, market_total =368000, market_mdno =401, market_date ='9/10/2023' where link_id = (select link_id from parcel where parcel_year = '2024' and parcel_id = '23092621463');</v>
      </c>
    </row>
    <row r="2356" spans="1:85" x14ac:dyDescent="0.25">
      <c r="A2356">
        <v>23092621464</v>
      </c>
      <c r="B2356" t="s">
        <v>129</v>
      </c>
      <c r="C2356">
        <v>8250</v>
      </c>
      <c r="D2356" t="s">
        <v>129</v>
      </c>
      <c r="E2356" t="s">
        <v>53</v>
      </c>
      <c r="F2356" t="s">
        <v>53</v>
      </c>
      <c r="G2356">
        <v>4</v>
      </c>
      <c r="H2356" t="s">
        <v>54</v>
      </c>
      <c r="I2356">
        <v>300200</v>
      </c>
      <c r="J2356">
        <v>39100</v>
      </c>
      <c r="K2356">
        <v>0.19</v>
      </c>
      <c r="L235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6">
        <v>0</v>
      </c>
      <c r="N2356">
        <v>0</v>
      </c>
      <c r="O2356">
        <v>0</v>
      </c>
      <c r="P2356">
        <v>13398.7528</v>
      </c>
      <c r="Q2356">
        <v>63903</v>
      </c>
      <c r="R2356">
        <f>(Grandview_Inventory[[#This Row],[ln_acres]]*Grandview_Inventory[[#This Row],[coeff]])+Grandview_Inventory[[#This Row],[const]]</f>
        <v>41651.273092551026</v>
      </c>
      <c r="S2356" t="s">
        <v>55</v>
      </c>
      <c r="T2356">
        <v>2</v>
      </c>
      <c r="U2356" t="s">
        <v>64</v>
      </c>
      <c r="V2356" t="s">
        <v>57</v>
      </c>
      <c r="W2356">
        <v>0</v>
      </c>
      <c r="X2356">
        <v>0</v>
      </c>
      <c r="Y2356">
        <v>2</v>
      </c>
      <c r="Z2356">
        <v>2</v>
      </c>
      <c r="AA2356">
        <v>10</v>
      </c>
      <c r="AB2356">
        <v>2500</v>
      </c>
      <c r="AC2356">
        <v>2148</v>
      </c>
      <c r="AD2356">
        <v>896</v>
      </c>
      <c r="AE2356">
        <v>1252</v>
      </c>
      <c r="AF2356">
        <v>0</v>
      </c>
      <c r="AG2356">
        <v>0</v>
      </c>
      <c r="AH2356">
        <v>0</v>
      </c>
      <c r="AI2356">
        <v>0</v>
      </c>
      <c r="AJ2356">
        <v>440</v>
      </c>
      <c r="AK2356">
        <v>0</v>
      </c>
      <c r="AL2356">
        <v>0</v>
      </c>
      <c r="AM2356">
        <v>0</v>
      </c>
      <c r="AN2356">
        <v>108</v>
      </c>
      <c r="AO2356">
        <v>0</v>
      </c>
      <c r="AP2356">
        <v>11</v>
      </c>
      <c r="AQ2356">
        <v>0</v>
      </c>
      <c r="AR2356">
        <v>0</v>
      </c>
      <c r="AS2356" t="s">
        <v>58</v>
      </c>
      <c r="AT2356">
        <v>1</v>
      </c>
      <c r="AU2356" t="s">
        <v>63</v>
      </c>
      <c r="AV2356" t="s">
        <v>64</v>
      </c>
      <c r="AW2356">
        <v>1</v>
      </c>
      <c r="AX2356">
        <v>3</v>
      </c>
      <c r="AY2356">
        <v>0</v>
      </c>
      <c r="AZ2356">
        <v>0</v>
      </c>
      <c r="BA2356">
        <v>100</v>
      </c>
      <c r="BB2356">
        <v>100</v>
      </c>
      <c r="BC2356">
        <v>100</v>
      </c>
      <c r="BD2356">
        <v>100</v>
      </c>
      <c r="BE2356">
        <v>1</v>
      </c>
      <c r="BF2356">
        <v>15000</v>
      </c>
      <c r="BG2356">
        <v>1000</v>
      </c>
      <c r="BH2356" s="6">
        <f>Grandview_Inventory[[#This Row],[land_extract]]*Lookups!$B$3</f>
        <v>48369.510983942157</v>
      </c>
      <c r="BI2356" s="6">
        <f>IF(Grandview_Inventory[[#This Row],[bldg_style]]="",0,Lookups!$B$2)</f>
        <v>155833.95000000001</v>
      </c>
      <c r="BJ2356" s="6">
        <f>_xlfn.IFNA(VLOOKUP(Grandview_Inventory[[#This Row],[quality]],Lookups!$H$2:$J$14,3,FALSE),0)</f>
        <v>20768</v>
      </c>
      <c r="BK2356" s="6">
        <f>_xlfn.IFNA(VLOOKUP(Grandview_Inventory[[#This Row],[condition]],Lookups!$H$17:$J$24,3,FALSE),0)</f>
        <v>25780</v>
      </c>
      <c r="BL2356" s="6">
        <f>Grandview_Inventory[[#This Row],[Eff_Age]]*Lookups!$B$14</f>
        <v>-478.33319999999998</v>
      </c>
      <c r="BM2356" s="6">
        <f>Grandview_Inventory[[#This Row],[living_area]]*Lookups!$B$15</f>
        <v>133994.07224400001</v>
      </c>
      <c r="BN2356" s="6">
        <f>Grandview_Inventory[[#This Row],[Fin BSMT]]*Lookups!$B$16</f>
        <v>0</v>
      </c>
      <c r="BO2356" s="6">
        <f>(Grandview_Inventory[[#This Row],[att_gar]]+Grandview_Inventory[[#This Row],[bltin_gar]])*Lookups!$B$17</f>
        <v>38508.992279999999</v>
      </c>
      <c r="BP2356" s="6">
        <f>Grandview_Inventory[[#This Row],[Plumbing Fixtures]]*Lookups!$B$18</f>
        <v>22114.859800000002</v>
      </c>
      <c r="BQ2356" s="6">
        <f>Grandview_Inventory[[#This Row],[detatched_value]]*Lookups!$B$19</f>
        <v>0</v>
      </c>
      <c r="BR2356" s="6">
        <f>SUM(Grandview_Inventory[[#This Row],[Intercept]:[det_value]])*Grandview_Inventory[[#This Row],[res_pct]]</f>
        <v>396521.54112399998</v>
      </c>
      <c r="BS2356" s="6">
        <f>Grandview_Inventory[[#This Row],[land_value]]</f>
        <v>48369.510983942157</v>
      </c>
      <c r="BT2356" s="4">
        <f>_xlfn.IFNA(VLOOKUP(Grandview_Inventory[[#This Row],[quality]],Lookups!$A$26:$C$33,3,FALSE),1)</f>
        <v>0.94960540378902636</v>
      </c>
      <c r="BU2356" s="4">
        <f>_xlfn.IFNA(VLOOKUP(Grandview_Inventory[[#This Row],[condition]],Lookups!$A$37:$C$44,3,FALSE),1)</f>
        <v>0.94347925387812148</v>
      </c>
      <c r="BV2356" s="4">
        <f>IF(Grandview_Inventory[[#This Row],[bldg_style]]="",1,_xlfn.IFNA(VLOOKUP(Grandview_Inventory[[#This Row],[decade]],Lookups!$F$29:$H$43,3,FALSE),1))</f>
        <v>0.94601966599150278</v>
      </c>
      <c r="BW2356" s="4">
        <f>_xlfn.IFNA(VLOOKUP(Grandview_Inventory[[#This Row],[living_area_range]],Lookups!$F$47:$H$56,3,FALSE),1)</f>
        <v>0.95799442568048754</v>
      </c>
      <c r="BX2356" s="4">
        <f>AVERAGE(Grandview_Inventory[[#This Row],[qual_adj]:[size_adj]])</f>
        <v>0.94927468733478459</v>
      </c>
      <c r="BY2356" s="6">
        <f>IF(Grandview_Inventory[[#This Row],[pre_res]]&lt;0,0,Grandview_Inventory[[#This Row],[pre_res]]*Grandview_Inventory[[#This Row],[overall_adj]])</f>
        <v>376407.86197199201</v>
      </c>
      <c r="BZ2356" s="6">
        <f>(Grandview_Inventory[[#This Row],[sum_land]]-IF(Grandview_Inventory[[#This Row],[no_utilities]]=1,12000,0))/IF(Grandview_Inventory[[#This Row],[unbuildable]]=1,2,1)</f>
        <v>48369.510983942157</v>
      </c>
      <c r="CA235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6">
        <f>ROUND(Grandview_Inventory[[#This Row],[det_value]]*Lookups!$M$28,-2)</f>
        <v>0</v>
      </c>
      <c r="CC2356">
        <f>IF(ROUND(Grandview_Inventory[[#This Row],[adj_res]]*Lookups!$M$28,-2)&lt;Grandview_Inventory[[#This Row],[min_res]],Grandview_Inventory[[#This Row],[min_res]],ROUND(Grandview_Inventory[[#This Row],[adj_res]]*Lookups!$M$28,-2))</f>
        <v>357600</v>
      </c>
      <c r="CD2356">
        <f>Grandview_Inventory[[#This Row],[final_det]]+Grandview_Inventory[[#This Row],[final_res]]</f>
        <v>357600</v>
      </c>
      <c r="CE2356">
        <f>Grandview_Inventory[[#This Row],[final_land]]+Grandview_Inventory[[#This Row],[final_imp]]+Grandview_Inventory[[#This Row],[crop_value]]</f>
        <v>403600</v>
      </c>
      <c r="CG2356" t="str">
        <f t="shared" si="36"/>
        <v>update valuation set market_land =46000, market_bldg=357600, market_total =403600, market_mdno =401, market_date ='9/10/2023' where link_id = (select link_id from parcel where parcel_year = '2024' and parcel_id = '23092621464');</v>
      </c>
    </row>
    <row r="2357" spans="1:85" x14ac:dyDescent="0.25">
      <c r="A2357">
        <v>23092621465</v>
      </c>
      <c r="B2357" t="s">
        <v>129</v>
      </c>
      <c r="C2357">
        <v>8250</v>
      </c>
      <c r="D2357" t="s">
        <v>129</v>
      </c>
      <c r="E2357" t="s">
        <v>53</v>
      </c>
      <c r="F2357" t="s">
        <v>53</v>
      </c>
      <c r="G2357">
        <v>4</v>
      </c>
      <c r="H2357" t="s">
        <v>54</v>
      </c>
      <c r="I2357">
        <v>254400</v>
      </c>
      <c r="J2357">
        <v>39100</v>
      </c>
      <c r="K2357">
        <v>0.19</v>
      </c>
      <c r="L235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7">
        <v>0</v>
      </c>
      <c r="N2357">
        <v>0</v>
      </c>
      <c r="O2357">
        <v>0</v>
      </c>
      <c r="P2357">
        <v>13398.7528</v>
      </c>
      <c r="Q2357">
        <v>63903</v>
      </c>
      <c r="R2357">
        <f>(Grandview_Inventory[[#This Row],[ln_acres]]*Grandview_Inventory[[#This Row],[coeff]])+Grandview_Inventory[[#This Row],[const]]</f>
        <v>41651.273092551026</v>
      </c>
      <c r="S2357" t="s">
        <v>55</v>
      </c>
      <c r="T2357">
        <v>1</v>
      </c>
      <c r="U2357" t="s">
        <v>62</v>
      </c>
      <c r="V2357" t="s">
        <v>57</v>
      </c>
      <c r="W2357">
        <v>0</v>
      </c>
      <c r="X2357">
        <v>0</v>
      </c>
      <c r="Y2357">
        <v>2</v>
      </c>
      <c r="Z2357">
        <v>2</v>
      </c>
      <c r="AA2357">
        <v>10</v>
      </c>
      <c r="AB2357">
        <v>1500</v>
      </c>
      <c r="AC2357">
        <v>1390</v>
      </c>
      <c r="AD2357">
        <v>1390</v>
      </c>
      <c r="AE2357">
        <v>0</v>
      </c>
      <c r="AF2357">
        <v>0</v>
      </c>
      <c r="AG2357">
        <v>0</v>
      </c>
      <c r="AH2357">
        <v>0</v>
      </c>
      <c r="AI2357">
        <v>400</v>
      </c>
      <c r="AJ2357">
        <v>0</v>
      </c>
      <c r="AK2357">
        <v>0</v>
      </c>
      <c r="AL2357">
        <v>0</v>
      </c>
      <c r="AM2357">
        <v>144</v>
      </c>
      <c r="AN2357">
        <v>66</v>
      </c>
      <c r="AO2357">
        <v>0</v>
      </c>
      <c r="AP2357">
        <v>9</v>
      </c>
      <c r="AQ2357">
        <v>0</v>
      </c>
      <c r="AR2357">
        <v>0</v>
      </c>
      <c r="AS2357" t="s">
        <v>58</v>
      </c>
      <c r="AT2357">
        <v>1</v>
      </c>
      <c r="AU2357" t="s">
        <v>63</v>
      </c>
      <c r="AV2357" t="s">
        <v>64</v>
      </c>
      <c r="AW2357">
        <v>1</v>
      </c>
      <c r="AX2357">
        <v>3</v>
      </c>
      <c r="AY2357">
        <v>0</v>
      </c>
      <c r="AZ2357">
        <v>0</v>
      </c>
      <c r="BA2357">
        <v>100</v>
      </c>
      <c r="BB2357">
        <v>100</v>
      </c>
      <c r="BC2357">
        <v>100</v>
      </c>
      <c r="BD2357">
        <v>100</v>
      </c>
      <c r="BE2357">
        <v>1</v>
      </c>
      <c r="BF2357">
        <v>15000</v>
      </c>
      <c r="BG2357">
        <v>1000</v>
      </c>
      <c r="BH2357" s="6">
        <f>Grandview_Inventory[[#This Row],[land_extract]]*Lookups!$B$3</f>
        <v>48369.510983942157</v>
      </c>
      <c r="BI2357" s="6">
        <f>IF(Grandview_Inventory[[#This Row],[bldg_style]]="",0,Lookups!$B$2)</f>
        <v>155833.95000000001</v>
      </c>
      <c r="BJ2357" s="6">
        <f>_xlfn.IFNA(VLOOKUP(Grandview_Inventory[[#This Row],[quality]],Lookups!$H$2:$J$14,3,FALSE),0)</f>
        <v>9808</v>
      </c>
      <c r="BK2357" s="6">
        <f>_xlfn.IFNA(VLOOKUP(Grandview_Inventory[[#This Row],[condition]],Lookups!$H$17:$J$24,3,FALSE),0)</f>
        <v>25780</v>
      </c>
      <c r="BL2357" s="6">
        <f>Grandview_Inventory[[#This Row],[Eff_Age]]*Lookups!$B$14</f>
        <v>-478.33319999999998</v>
      </c>
      <c r="BM2357" s="6">
        <f>Grandview_Inventory[[#This Row],[living_area]]*Lookups!$B$15</f>
        <v>86709.385670000003</v>
      </c>
      <c r="BN2357" s="6">
        <f>Grandview_Inventory[[#This Row],[Fin BSMT]]*Lookups!$B$16</f>
        <v>0</v>
      </c>
      <c r="BO2357" s="6">
        <f>(Grandview_Inventory[[#This Row],[att_gar]]+Grandview_Inventory[[#This Row],[bltin_gar]])*Lookups!$B$17</f>
        <v>35008.174800000001</v>
      </c>
      <c r="BP2357" s="6">
        <f>Grandview_Inventory[[#This Row],[Plumbing Fixtures]]*Lookups!$B$18</f>
        <v>18093.976200000001</v>
      </c>
      <c r="BQ2357" s="6">
        <f>Grandview_Inventory[[#This Row],[detatched_value]]*Lookups!$B$19</f>
        <v>0</v>
      </c>
      <c r="BR2357" s="6">
        <f>SUM(Grandview_Inventory[[#This Row],[Intercept]:[det_value]])*Grandview_Inventory[[#This Row],[res_pct]]</f>
        <v>330755.15346999996</v>
      </c>
      <c r="BS2357" s="6">
        <f>Grandview_Inventory[[#This Row],[land_value]]</f>
        <v>48369.510983942157</v>
      </c>
      <c r="BT2357" s="4">
        <f>_xlfn.IFNA(VLOOKUP(Grandview_Inventory[[#This Row],[quality]],Lookups!$A$26:$C$33,3,FALSE),1)</f>
        <v>0.94295468617355149</v>
      </c>
      <c r="BU2357" s="4">
        <f>_xlfn.IFNA(VLOOKUP(Grandview_Inventory[[#This Row],[condition]],Lookups!$A$37:$C$44,3,FALSE),1)</f>
        <v>0.94347925387812148</v>
      </c>
      <c r="BV2357" s="4">
        <f>IF(Grandview_Inventory[[#This Row],[bldg_style]]="",1,_xlfn.IFNA(VLOOKUP(Grandview_Inventory[[#This Row],[decade]],Lookups!$F$29:$H$43,3,FALSE),1))</f>
        <v>0.94601966599150278</v>
      </c>
      <c r="BW2357" s="4">
        <f>_xlfn.IFNA(VLOOKUP(Grandview_Inventory[[#This Row],[living_area_range]],Lookups!$F$47:$H$56,3,FALSE),1)</f>
        <v>0.96135087979789358</v>
      </c>
      <c r="BX2357" s="4">
        <f>AVERAGE(Grandview_Inventory[[#This Row],[qual_adj]:[size_adj]])</f>
        <v>0.94845112146026733</v>
      </c>
      <c r="BY2357" s="6">
        <f>IF(Grandview_Inventory[[#This Row],[pre_res]]&lt;0,0,Grandview_Inventory[[#This Row],[pre_res]]*Grandview_Inventory[[#This Row],[overall_adj]])</f>
        <v>313705.09623738431</v>
      </c>
      <c r="BZ2357" s="6">
        <f>(Grandview_Inventory[[#This Row],[sum_land]]-IF(Grandview_Inventory[[#This Row],[no_utilities]]=1,12000,0))/IF(Grandview_Inventory[[#This Row],[unbuildable]]=1,2,1)</f>
        <v>48369.510983942157</v>
      </c>
      <c r="CA235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7">
        <f>ROUND(Grandview_Inventory[[#This Row],[det_value]]*Lookups!$M$28,-2)</f>
        <v>0</v>
      </c>
      <c r="CC2357">
        <f>IF(ROUND(Grandview_Inventory[[#This Row],[adj_res]]*Lookups!$M$28,-2)&lt;Grandview_Inventory[[#This Row],[min_res]],Grandview_Inventory[[#This Row],[min_res]],ROUND(Grandview_Inventory[[#This Row],[adj_res]]*Lookups!$M$28,-2))</f>
        <v>298000</v>
      </c>
      <c r="CD2357">
        <f>Grandview_Inventory[[#This Row],[final_det]]+Grandview_Inventory[[#This Row],[final_res]]</f>
        <v>298000</v>
      </c>
      <c r="CE2357">
        <f>Grandview_Inventory[[#This Row],[final_land]]+Grandview_Inventory[[#This Row],[final_imp]]+Grandview_Inventory[[#This Row],[crop_value]]</f>
        <v>344000</v>
      </c>
      <c r="CG2357" t="str">
        <f t="shared" si="36"/>
        <v>update valuation set market_land =46000, market_bldg=298000, market_total =344000, market_mdno =401, market_date ='9/10/2023' where link_id = (select link_id from parcel where parcel_year = '2024' and parcel_id = '23092621465');</v>
      </c>
    </row>
    <row r="2358" spans="1:85" x14ac:dyDescent="0.25">
      <c r="A2358">
        <v>23092621466</v>
      </c>
      <c r="B2358" t="s">
        <v>129</v>
      </c>
      <c r="C2358">
        <v>8250</v>
      </c>
      <c r="D2358" t="s">
        <v>129</v>
      </c>
      <c r="E2358" t="s">
        <v>53</v>
      </c>
      <c r="F2358" t="s">
        <v>53</v>
      </c>
      <c r="G2358">
        <v>4</v>
      </c>
      <c r="H2358" t="s">
        <v>54</v>
      </c>
      <c r="I2358">
        <v>315500</v>
      </c>
      <c r="J2358">
        <v>39100</v>
      </c>
      <c r="K2358">
        <v>0.19</v>
      </c>
      <c r="L235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8">
        <v>0</v>
      </c>
      <c r="N2358">
        <v>0</v>
      </c>
      <c r="O2358">
        <v>0</v>
      </c>
      <c r="P2358">
        <v>13398.7528</v>
      </c>
      <c r="Q2358">
        <v>63903</v>
      </c>
      <c r="R2358">
        <f>(Grandview_Inventory[[#This Row],[ln_acres]]*Grandview_Inventory[[#This Row],[coeff]])+Grandview_Inventory[[#This Row],[const]]</f>
        <v>41651.273092551026</v>
      </c>
      <c r="S2358" t="s">
        <v>55</v>
      </c>
      <c r="T2358">
        <v>2</v>
      </c>
      <c r="U2358" t="s">
        <v>64</v>
      </c>
      <c r="V2358" t="s">
        <v>57</v>
      </c>
      <c r="W2358">
        <v>0</v>
      </c>
      <c r="X2358">
        <v>0</v>
      </c>
      <c r="Y2358">
        <v>2</v>
      </c>
      <c r="Z2358">
        <v>2</v>
      </c>
      <c r="AA2358">
        <v>10</v>
      </c>
      <c r="AB2358">
        <v>2500</v>
      </c>
      <c r="AC2358">
        <v>2477</v>
      </c>
      <c r="AD2358">
        <v>1105</v>
      </c>
      <c r="AE2358">
        <v>1372</v>
      </c>
      <c r="AF2358">
        <v>0</v>
      </c>
      <c r="AG2358">
        <v>0</v>
      </c>
      <c r="AH2358">
        <v>0</v>
      </c>
      <c r="AI2358">
        <v>0</v>
      </c>
      <c r="AJ2358">
        <v>400</v>
      </c>
      <c r="AK2358">
        <v>0</v>
      </c>
      <c r="AL2358">
        <v>0</v>
      </c>
      <c r="AM2358">
        <v>0</v>
      </c>
      <c r="AN2358">
        <v>79</v>
      </c>
      <c r="AO2358">
        <v>0</v>
      </c>
      <c r="AP2358">
        <v>12</v>
      </c>
      <c r="AQ2358">
        <v>0</v>
      </c>
      <c r="AR2358">
        <v>0</v>
      </c>
      <c r="AS2358" t="s">
        <v>58</v>
      </c>
      <c r="AT2358">
        <v>1</v>
      </c>
      <c r="AU2358" t="s">
        <v>63</v>
      </c>
      <c r="AV2358" t="s">
        <v>64</v>
      </c>
      <c r="AW2358">
        <v>1</v>
      </c>
      <c r="AX2358">
        <v>3</v>
      </c>
      <c r="AY2358">
        <v>0</v>
      </c>
      <c r="AZ2358">
        <v>0</v>
      </c>
      <c r="BA2358">
        <v>100</v>
      </c>
      <c r="BB2358">
        <v>100</v>
      </c>
      <c r="BC2358">
        <v>100</v>
      </c>
      <c r="BD2358">
        <v>100</v>
      </c>
      <c r="BE2358">
        <v>1</v>
      </c>
      <c r="BF2358">
        <v>15000</v>
      </c>
      <c r="BG2358">
        <v>1000</v>
      </c>
      <c r="BH2358" s="6">
        <f>Grandview_Inventory[[#This Row],[land_extract]]*Lookups!$B$3</f>
        <v>48369.510983942157</v>
      </c>
      <c r="BI2358" s="6">
        <f>IF(Grandview_Inventory[[#This Row],[bldg_style]]="",0,Lookups!$B$2)</f>
        <v>155833.95000000001</v>
      </c>
      <c r="BJ2358" s="6">
        <f>_xlfn.IFNA(VLOOKUP(Grandview_Inventory[[#This Row],[quality]],Lookups!$H$2:$J$14,3,FALSE),0)</f>
        <v>20768</v>
      </c>
      <c r="BK2358" s="6">
        <f>_xlfn.IFNA(VLOOKUP(Grandview_Inventory[[#This Row],[condition]],Lookups!$H$17:$J$24,3,FALSE),0)</f>
        <v>25780</v>
      </c>
      <c r="BL2358" s="6">
        <f>Grandview_Inventory[[#This Row],[Eff_Age]]*Lookups!$B$14</f>
        <v>-478.33319999999998</v>
      </c>
      <c r="BM2358" s="6">
        <f>Grandview_Inventory[[#This Row],[living_area]]*Lookups!$B$15</f>
        <v>154517.37288100002</v>
      </c>
      <c r="BN2358" s="6">
        <f>Grandview_Inventory[[#This Row],[Fin BSMT]]*Lookups!$B$16</f>
        <v>0</v>
      </c>
      <c r="BO2358" s="6">
        <f>(Grandview_Inventory[[#This Row],[att_gar]]+Grandview_Inventory[[#This Row],[bltin_gar]])*Lookups!$B$17</f>
        <v>35008.174800000001</v>
      </c>
      <c r="BP2358" s="6">
        <f>Grandview_Inventory[[#This Row],[Plumbing Fixtures]]*Lookups!$B$18</f>
        <v>24125.301599999999</v>
      </c>
      <c r="BQ2358" s="6">
        <f>Grandview_Inventory[[#This Row],[detatched_value]]*Lookups!$B$19</f>
        <v>0</v>
      </c>
      <c r="BR2358" s="6">
        <f>SUM(Grandview_Inventory[[#This Row],[Intercept]:[det_value]])*Grandview_Inventory[[#This Row],[res_pct]]</f>
        <v>415554.46608099999</v>
      </c>
      <c r="BS2358" s="6">
        <f>Grandview_Inventory[[#This Row],[land_value]]</f>
        <v>48369.510983942157</v>
      </c>
      <c r="BT2358" s="4">
        <f>_xlfn.IFNA(VLOOKUP(Grandview_Inventory[[#This Row],[quality]],Lookups!$A$26:$C$33,3,FALSE),1)</f>
        <v>0.94960540378902636</v>
      </c>
      <c r="BU2358" s="4">
        <f>_xlfn.IFNA(VLOOKUP(Grandview_Inventory[[#This Row],[condition]],Lookups!$A$37:$C$44,3,FALSE),1)</f>
        <v>0.94347925387812148</v>
      </c>
      <c r="BV2358" s="4">
        <f>IF(Grandview_Inventory[[#This Row],[bldg_style]]="",1,_xlfn.IFNA(VLOOKUP(Grandview_Inventory[[#This Row],[decade]],Lookups!$F$29:$H$43,3,FALSE),1))</f>
        <v>0.94601966599150278</v>
      </c>
      <c r="BW2358" s="4">
        <f>_xlfn.IFNA(VLOOKUP(Grandview_Inventory[[#This Row],[living_area_range]],Lookups!$F$47:$H$56,3,FALSE),1)</f>
        <v>0.95799442568048754</v>
      </c>
      <c r="BX2358" s="4">
        <f>AVERAGE(Grandview_Inventory[[#This Row],[qual_adj]:[size_adj]])</f>
        <v>0.94927468733478459</v>
      </c>
      <c r="BY2358" s="6">
        <f>IF(Grandview_Inventory[[#This Row],[pre_res]]&lt;0,0,Grandview_Inventory[[#This Row],[pre_res]]*Grandview_Inventory[[#This Row],[overall_adj]])</f>
        <v>394475.3358596146</v>
      </c>
      <c r="BZ2358" s="6">
        <f>(Grandview_Inventory[[#This Row],[sum_land]]-IF(Grandview_Inventory[[#This Row],[no_utilities]]=1,12000,0))/IF(Grandview_Inventory[[#This Row],[unbuildable]]=1,2,1)</f>
        <v>48369.510983942157</v>
      </c>
      <c r="CA235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8">
        <f>ROUND(Grandview_Inventory[[#This Row],[det_value]]*Lookups!$M$28,-2)</f>
        <v>0</v>
      </c>
      <c r="CC2358">
        <f>IF(ROUND(Grandview_Inventory[[#This Row],[adj_res]]*Lookups!$M$28,-2)&lt;Grandview_Inventory[[#This Row],[min_res]],Grandview_Inventory[[#This Row],[min_res]],ROUND(Grandview_Inventory[[#This Row],[adj_res]]*Lookups!$M$28,-2))</f>
        <v>374800</v>
      </c>
      <c r="CD2358">
        <f>Grandview_Inventory[[#This Row],[final_det]]+Grandview_Inventory[[#This Row],[final_res]]</f>
        <v>374800</v>
      </c>
      <c r="CE2358">
        <f>Grandview_Inventory[[#This Row],[final_land]]+Grandview_Inventory[[#This Row],[final_imp]]+Grandview_Inventory[[#This Row],[crop_value]]</f>
        <v>420800</v>
      </c>
      <c r="CG2358" t="str">
        <f t="shared" si="36"/>
        <v>update valuation set market_land =46000, market_bldg=374800, market_total =420800, market_mdno =401, market_date ='9/10/2023' where link_id = (select link_id from parcel where parcel_year = '2024' and parcel_id = '23092621466');</v>
      </c>
    </row>
    <row r="2359" spans="1:85" x14ac:dyDescent="0.25">
      <c r="A2359">
        <v>23092621467</v>
      </c>
      <c r="B2359" t="s">
        <v>129</v>
      </c>
      <c r="C2359">
        <v>8250</v>
      </c>
      <c r="D2359" t="s">
        <v>129</v>
      </c>
      <c r="E2359" t="s">
        <v>53</v>
      </c>
      <c r="F2359" t="s">
        <v>53</v>
      </c>
      <c r="G2359">
        <v>4</v>
      </c>
      <c r="H2359" t="s">
        <v>54</v>
      </c>
      <c r="I2359">
        <v>246900</v>
      </c>
      <c r="J2359">
        <v>39100</v>
      </c>
      <c r="K2359">
        <v>0.19</v>
      </c>
      <c r="L235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59">
        <v>0</v>
      </c>
      <c r="N2359">
        <v>0</v>
      </c>
      <c r="O2359">
        <v>0</v>
      </c>
      <c r="P2359">
        <v>13398.7528</v>
      </c>
      <c r="Q2359">
        <v>63903</v>
      </c>
      <c r="R2359">
        <f>(Grandview_Inventory[[#This Row],[ln_acres]]*Grandview_Inventory[[#This Row],[coeff]])+Grandview_Inventory[[#This Row],[const]]</f>
        <v>41651.273092551026</v>
      </c>
      <c r="S2359" t="s">
        <v>61</v>
      </c>
      <c r="T2359">
        <v>1</v>
      </c>
      <c r="U2359" t="s">
        <v>62</v>
      </c>
      <c r="V2359" t="s">
        <v>57</v>
      </c>
      <c r="W2359">
        <v>0</v>
      </c>
      <c r="X2359">
        <v>0</v>
      </c>
      <c r="Y2359">
        <v>2</v>
      </c>
      <c r="Z2359">
        <v>2</v>
      </c>
      <c r="AA2359">
        <v>10</v>
      </c>
      <c r="AB2359">
        <v>1500</v>
      </c>
      <c r="AC2359">
        <v>1487</v>
      </c>
      <c r="AD2359">
        <v>1487</v>
      </c>
      <c r="AE2359">
        <v>0</v>
      </c>
      <c r="AF2359">
        <v>0</v>
      </c>
      <c r="AG2359">
        <v>0</v>
      </c>
      <c r="AH2359">
        <v>0</v>
      </c>
      <c r="AI2359">
        <v>460</v>
      </c>
      <c r="AJ2359">
        <v>0</v>
      </c>
      <c r="AK2359">
        <v>0</v>
      </c>
      <c r="AL2359">
        <v>0</v>
      </c>
      <c r="AM2359">
        <v>0</v>
      </c>
      <c r="AN2359">
        <v>214</v>
      </c>
      <c r="AO2359">
        <v>0</v>
      </c>
      <c r="AP2359">
        <v>9</v>
      </c>
      <c r="AQ2359">
        <v>0</v>
      </c>
      <c r="AR2359">
        <v>0</v>
      </c>
      <c r="AS2359" t="s">
        <v>58</v>
      </c>
      <c r="AT2359">
        <v>1</v>
      </c>
      <c r="AU2359" t="s">
        <v>59</v>
      </c>
      <c r="AV2359" t="s">
        <v>64</v>
      </c>
      <c r="AW2359">
        <v>1</v>
      </c>
      <c r="AX2359">
        <v>3</v>
      </c>
      <c r="AY2359">
        <v>0</v>
      </c>
      <c r="AZ2359">
        <v>0</v>
      </c>
      <c r="BA2359">
        <v>100</v>
      </c>
      <c r="BB2359">
        <v>100</v>
      </c>
      <c r="BC2359">
        <v>100</v>
      </c>
      <c r="BD2359">
        <v>100</v>
      </c>
      <c r="BE2359">
        <v>1</v>
      </c>
      <c r="BF2359">
        <v>15000</v>
      </c>
      <c r="BG2359">
        <v>1000</v>
      </c>
      <c r="BH2359" s="6">
        <f>Grandview_Inventory[[#This Row],[land_extract]]*Lookups!$B$3</f>
        <v>48369.510983942157</v>
      </c>
      <c r="BI2359" s="6">
        <f>IF(Grandview_Inventory[[#This Row],[bldg_style]]="",0,Lookups!$B$2)</f>
        <v>155833.95000000001</v>
      </c>
      <c r="BJ2359" s="6">
        <f>_xlfn.IFNA(VLOOKUP(Grandview_Inventory[[#This Row],[quality]],Lookups!$H$2:$J$14,3,FALSE),0)</f>
        <v>9808</v>
      </c>
      <c r="BK2359" s="6">
        <f>_xlfn.IFNA(VLOOKUP(Grandview_Inventory[[#This Row],[condition]],Lookups!$H$17:$J$24,3,FALSE),0)</f>
        <v>25780</v>
      </c>
      <c r="BL2359" s="6">
        <f>Grandview_Inventory[[#This Row],[Eff_Age]]*Lookups!$B$14</f>
        <v>-478.33319999999998</v>
      </c>
      <c r="BM2359" s="6">
        <f>Grandview_Inventory[[#This Row],[living_area]]*Lookups!$B$15</f>
        <v>92760.32841100001</v>
      </c>
      <c r="BN2359" s="6">
        <f>Grandview_Inventory[[#This Row],[Fin BSMT]]*Lookups!$B$16</f>
        <v>0</v>
      </c>
      <c r="BO2359" s="6">
        <f>(Grandview_Inventory[[#This Row],[att_gar]]+Grandview_Inventory[[#This Row],[bltin_gar]])*Lookups!$B$17</f>
        <v>40259.401019999998</v>
      </c>
      <c r="BP2359" s="6">
        <f>Grandview_Inventory[[#This Row],[Plumbing Fixtures]]*Lookups!$B$18</f>
        <v>18093.976200000001</v>
      </c>
      <c r="BQ2359" s="6">
        <f>Grandview_Inventory[[#This Row],[detatched_value]]*Lookups!$B$19</f>
        <v>0</v>
      </c>
      <c r="BR2359" s="6">
        <f>SUM(Grandview_Inventory[[#This Row],[Intercept]:[det_value]])*Grandview_Inventory[[#This Row],[res_pct]]</f>
        <v>342057.32243100001</v>
      </c>
      <c r="BS2359" s="6">
        <f>Grandview_Inventory[[#This Row],[land_value]]</f>
        <v>48369.510983942157</v>
      </c>
      <c r="BT2359" s="4">
        <f>_xlfn.IFNA(VLOOKUP(Grandview_Inventory[[#This Row],[quality]],Lookups!$A$26:$C$33,3,FALSE),1)</f>
        <v>0.94295468617355149</v>
      </c>
      <c r="BU2359" s="4">
        <f>_xlfn.IFNA(VLOOKUP(Grandview_Inventory[[#This Row],[condition]],Lookups!$A$37:$C$44,3,FALSE),1)</f>
        <v>0.94347925387812148</v>
      </c>
      <c r="BV2359" s="4">
        <f>IF(Grandview_Inventory[[#This Row],[bldg_style]]="",1,_xlfn.IFNA(VLOOKUP(Grandview_Inventory[[#This Row],[decade]],Lookups!$F$29:$H$43,3,FALSE),1))</f>
        <v>0.94601966599150278</v>
      </c>
      <c r="BW2359" s="4">
        <f>_xlfn.IFNA(VLOOKUP(Grandview_Inventory[[#This Row],[living_area_range]],Lookups!$F$47:$H$56,3,FALSE),1)</f>
        <v>0.96135087979789358</v>
      </c>
      <c r="BX2359" s="4">
        <f>AVERAGE(Grandview_Inventory[[#This Row],[qual_adj]:[size_adj]])</f>
        <v>0.94845112146026733</v>
      </c>
      <c r="BY2359" s="6">
        <f>IF(Grandview_Inventory[[#This Row],[pre_res]]&lt;0,0,Grandview_Inventory[[#This Row],[pre_res]]*Grandview_Inventory[[#This Row],[overall_adj]])</f>
        <v>324424.6510633782</v>
      </c>
      <c r="BZ2359" s="6">
        <f>(Grandview_Inventory[[#This Row],[sum_land]]-IF(Grandview_Inventory[[#This Row],[no_utilities]]=1,12000,0))/IF(Grandview_Inventory[[#This Row],[unbuildable]]=1,2,1)</f>
        <v>48369.510983942157</v>
      </c>
      <c r="CA235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59">
        <f>ROUND(Grandview_Inventory[[#This Row],[det_value]]*Lookups!$M$28,-2)</f>
        <v>0</v>
      </c>
      <c r="CC2359">
        <f>IF(ROUND(Grandview_Inventory[[#This Row],[adj_res]]*Lookups!$M$28,-2)&lt;Grandview_Inventory[[#This Row],[min_res]],Grandview_Inventory[[#This Row],[min_res]],ROUND(Grandview_Inventory[[#This Row],[adj_res]]*Lookups!$M$28,-2))</f>
        <v>308200</v>
      </c>
      <c r="CD2359">
        <f>Grandview_Inventory[[#This Row],[final_det]]+Grandview_Inventory[[#This Row],[final_res]]</f>
        <v>308200</v>
      </c>
      <c r="CE2359">
        <f>Grandview_Inventory[[#This Row],[final_land]]+Grandview_Inventory[[#This Row],[final_imp]]+Grandview_Inventory[[#This Row],[crop_value]]</f>
        <v>354200</v>
      </c>
      <c r="CG2359" t="str">
        <f t="shared" si="36"/>
        <v>update valuation set market_land =46000, market_bldg=308200, market_total =354200, market_mdno =401, market_date ='9/10/2023' where link_id = (select link_id from parcel where parcel_year = '2024' and parcel_id = '23092621467');</v>
      </c>
    </row>
    <row r="2360" spans="1:85" x14ac:dyDescent="0.25">
      <c r="A2360">
        <v>23092621468</v>
      </c>
      <c r="B2360" t="s">
        <v>129</v>
      </c>
      <c r="C2360">
        <v>8250</v>
      </c>
      <c r="D2360" t="s">
        <v>129</v>
      </c>
      <c r="E2360" t="s">
        <v>53</v>
      </c>
      <c r="F2360" t="s">
        <v>53</v>
      </c>
      <c r="G2360">
        <v>4</v>
      </c>
      <c r="H2360" t="s">
        <v>54</v>
      </c>
      <c r="I2360">
        <v>234700</v>
      </c>
      <c r="J2360">
        <v>39100</v>
      </c>
      <c r="K2360">
        <v>0.19</v>
      </c>
      <c r="L236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60">
        <v>0</v>
      </c>
      <c r="N2360">
        <v>0</v>
      </c>
      <c r="O2360">
        <v>0</v>
      </c>
      <c r="P2360">
        <v>13398.7528</v>
      </c>
      <c r="Q2360">
        <v>63903</v>
      </c>
      <c r="R2360">
        <f>(Grandview_Inventory[[#This Row],[ln_acres]]*Grandview_Inventory[[#This Row],[coeff]])+Grandview_Inventory[[#This Row],[const]]</f>
        <v>41651.273092551026</v>
      </c>
      <c r="S2360" t="s">
        <v>61</v>
      </c>
      <c r="T2360">
        <v>1</v>
      </c>
      <c r="U2360" t="s">
        <v>62</v>
      </c>
      <c r="V2360" t="s">
        <v>57</v>
      </c>
      <c r="W2360">
        <v>0</v>
      </c>
      <c r="X2360">
        <v>0</v>
      </c>
      <c r="Y2360">
        <v>2</v>
      </c>
      <c r="Z2360">
        <v>2</v>
      </c>
      <c r="AA2360">
        <v>10</v>
      </c>
      <c r="AB2360">
        <v>1500</v>
      </c>
      <c r="AC2360">
        <v>1364</v>
      </c>
      <c r="AD2360">
        <v>1364</v>
      </c>
      <c r="AE2360">
        <v>0</v>
      </c>
      <c r="AF2360">
        <v>0</v>
      </c>
      <c r="AG2360">
        <v>0</v>
      </c>
      <c r="AH2360">
        <v>0</v>
      </c>
      <c r="AI2360">
        <v>400</v>
      </c>
      <c r="AJ2360">
        <v>0</v>
      </c>
      <c r="AK2360">
        <v>0</v>
      </c>
      <c r="AL2360">
        <v>0</v>
      </c>
      <c r="AM2360">
        <v>0</v>
      </c>
      <c r="AN2360">
        <v>78</v>
      </c>
      <c r="AO2360">
        <v>0</v>
      </c>
      <c r="AP2360">
        <v>8</v>
      </c>
      <c r="AQ2360">
        <v>0</v>
      </c>
      <c r="AR2360">
        <v>0</v>
      </c>
      <c r="AS2360" t="s">
        <v>58</v>
      </c>
      <c r="AT2360">
        <v>1</v>
      </c>
      <c r="AU2360" t="s">
        <v>59</v>
      </c>
      <c r="AV2360" t="s">
        <v>64</v>
      </c>
      <c r="AW2360">
        <v>1</v>
      </c>
      <c r="AX2360">
        <v>3</v>
      </c>
      <c r="AY2360">
        <v>0</v>
      </c>
      <c r="AZ2360">
        <v>0</v>
      </c>
      <c r="BA2360">
        <v>100</v>
      </c>
      <c r="BB2360">
        <v>100</v>
      </c>
      <c r="BC2360">
        <v>100</v>
      </c>
      <c r="BD2360">
        <v>100</v>
      </c>
      <c r="BE2360">
        <v>1</v>
      </c>
      <c r="BF2360">
        <v>15000</v>
      </c>
      <c r="BG2360">
        <v>1000</v>
      </c>
      <c r="BH2360" s="6">
        <f>Grandview_Inventory[[#This Row],[land_extract]]*Lookups!$B$3</f>
        <v>48369.510983942157</v>
      </c>
      <c r="BI2360" s="6">
        <f>IF(Grandview_Inventory[[#This Row],[bldg_style]]="",0,Lookups!$B$2)</f>
        <v>155833.95000000001</v>
      </c>
      <c r="BJ2360" s="6">
        <f>_xlfn.IFNA(VLOOKUP(Grandview_Inventory[[#This Row],[quality]],Lookups!$H$2:$J$14,3,FALSE),0)</f>
        <v>9808</v>
      </c>
      <c r="BK2360" s="6">
        <f>_xlfn.IFNA(VLOOKUP(Grandview_Inventory[[#This Row],[condition]],Lookups!$H$17:$J$24,3,FALSE),0)</f>
        <v>25780</v>
      </c>
      <c r="BL2360" s="6">
        <f>Grandview_Inventory[[#This Row],[Eff_Age]]*Lookups!$B$14</f>
        <v>-478.33319999999998</v>
      </c>
      <c r="BM2360" s="6">
        <f>Grandview_Inventory[[#This Row],[living_area]]*Lookups!$B$15</f>
        <v>85087.483491999999</v>
      </c>
      <c r="BN2360" s="6">
        <f>Grandview_Inventory[[#This Row],[Fin BSMT]]*Lookups!$B$16</f>
        <v>0</v>
      </c>
      <c r="BO2360" s="6">
        <f>(Grandview_Inventory[[#This Row],[att_gar]]+Grandview_Inventory[[#This Row],[bltin_gar]])*Lookups!$B$17</f>
        <v>35008.174800000001</v>
      </c>
      <c r="BP2360" s="6">
        <f>Grandview_Inventory[[#This Row],[Plumbing Fixtures]]*Lookups!$B$18</f>
        <v>16083.5344</v>
      </c>
      <c r="BQ2360" s="6">
        <f>Grandview_Inventory[[#This Row],[detatched_value]]*Lookups!$B$19</f>
        <v>0</v>
      </c>
      <c r="BR2360" s="6">
        <f>SUM(Grandview_Inventory[[#This Row],[Intercept]:[det_value]])*Grandview_Inventory[[#This Row],[res_pct]]</f>
        <v>327122.80949199997</v>
      </c>
      <c r="BS2360" s="6">
        <f>Grandview_Inventory[[#This Row],[land_value]]</f>
        <v>48369.510983942157</v>
      </c>
      <c r="BT2360" s="4">
        <f>_xlfn.IFNA(VLOOKUP(Grandview_Inventory[[#This Row],[quality]],Lookups!$A$26:$C$33,3,FALSE),1)</f>
        <v>0.94295468617355149</v>
      </c>
      <c r="BU2360" s="4">
        <f>_xlfn.IFNA(VLOOKUP(Grandview_Inventory[[#This Row],[condition]],Lookups!$A$37:$C$44,3,FALSE),1)</f>
        <v>0.94347925387812148</v>
      </c>
      <c r="BV2360" s="4">
        <f>IF(Grandview_Inventory[[#This Row],[bldg_style]]="",1,_xlfn.IFNA(VLOOKUP(Grandview_Inventory[[#This Row],[decade]],Lookups!$F$29:$H$43,3,FALSE),1))</f>
        <v>0.94601966599150278</v>
      </c>
      <c r="BW2360" s="4">
        <f>_xlfn.IFNA(VLOOKUP(Grandview_Inventory[[#This Row],[living_area_range]],Lookups!$F$47:$H$56,3,FALSE),1)</f>
        <v>0.96135087979789358</v>
      </c>
      <c r="BX2360" s="4">
        <f>AVERAGE(Grandview_Inventory[[#This Row],[qual_adj]:[size_adj]])</f>
        <v>0.94845112146026733</v>
      </c>
      <c r="BY2360" s="6">
        <f>IF(Grandview_Inventory[[#This Row],[pre_res]]&lt;0,0,Grandview_Inventory[[#This Row],[pre_res]]*Grandview_Inventory[[#This Row],[overall_adj]])</f>
        <v>310259.99551792076</v>
      </c>
      <c r="BZ2360" s="6">
        <f>(Grandview_Inventory[[#This Row],[sum_land]]-IF(Grandview_Inventory[[#This Row],[no_utilities]]=1,12000,0))/IF(Grandview_Inventory[[#This Row],[unbuildable]]=1,2,1)</f>
        <v>48369.510983942157</v>
      </c>
      <c r="CA236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60">
        <f>ROUND(Grandview_Inventory[[#This Row],[det_value]]*Lookups!$M$28,-2)</f>
        <v>0</v>
      </c>
      <c r="CC2360">
        <f>IF(ROUND(Grandview_Inventory[[#This Row],[adj_res]]*Lookups!$M$28,-2)&lt;Grandview_Inventory[[#This Row],[min_res]],Grandview_Inventory[[#This Row],[min_res]],ROUND(Grandview_Inventory[[#This Row],[adj_res]]*Lookups!$M$28,-2))</f>
        <v>294700</v>
      </c>
      <c r="CD2360">
        <f>Grandview_Inventory[[#This Row],[final_det]]+Grandview_Inventory[[#This Row],[final_res]]</f>
        <v>294700</v>
      </c>
      <c r="CE2360">
        <f>Grandview_Inventory[[#This Row],[final_land]]+Grandview_Inventory[[#This Row],[final_imp]]+Grandview_Inventory[[#This Row],[crop_value]]</f>
        <v>340700</v>
      </c>
      <c r="CG2360" t="str">
        <f t="shared" si="36"/>
        <v>update valuation set market_land =46000, market_bldg=294700, market_total =340700, market_mdno =401, market_date ='9/10/2023' where link_id = (select link_id from parcel where parcel_year = '2024' and parcel_id = '23092621468');</v>
      </c>
    </row>
    <row r="2361" spans="1:85" x14ac:dyDescent="0.25">
      <c r="A2361">
        <v>23092621469</v>
      </c>
      <c r="B2361" t="s">
        <v>129</v>
      </c>
      <c r="C2361">
        <v>8605</v>
      </c>
      <c r="D2361" t="s">
        <v>129</v>
      </c>
      <c r="E2361" t="s">
        <v>53</v>
      </c>
      <c r="F2361" t="s">
        <v>53</v>
      </c>
      <c r="G2361">
        <v>4</v>
      </c>
      <c r="H2361" t="s">
        <v>54</v>
      </c>
      <c r="I2361">
        <v>266300</v>
      </c>
      <c r="J2361">
        <v>39300</v>
      </c>
      <c r="K2361">
        <v>0.2</v>
      </c>
      <c r="L236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61">
        <v>0</v>
      </c>
      <c r="N2361">
        <v>0</v>
      </c>
      <c r="O2361">
        <v>0</v>
      </c>
      <c r="P2361">
        <v>13398.7528</v>
      </c>
      <c r="Q2361">
        <v>63903</v>
      </c>
      <c r="R2361">
        <f>(Grandview_Inventory[[#This Row],[ln_acres]]*Grandview_Inventory[[#This Row],[coeff]])+Grandview_Inventory[[#This Row],[const]]</f>
        <v>42338.539264347448</v>
      </c>
      <c r="S2361" t="s">
        <v>61</v>
      </c>
      <c r="T2361">
        <v>1</v>
      </c>
      <c r="U2361" t="s">
        <v>62</v>
      </c>
      <c r="V2361" t="s">
        <v>57</v>
      </c>
      <c r="W2361">
        <v>0</v>
      </c>
      <c r="X2361">
        <v>0</v>
      </c>
      <c r="Y2361">
        <v>2</v>
      </c>
      <c r="Z2361">
        <v>2</v>
      </c>
      <c r="AA2361">
        <v>10</v>
      </c>
      <c r="AB2361">
        <v>2000</v>
      </c>
      <c r="AC2361">
        <v>1780</v>
      </c>
      <c r="AD2361">
        <v>1780</v>
      </c>
      <c r="AE2361">
        <v>0</v>
      </c>
      <c r="AF2361">
        <v>0</v>
      </c>
      <c r="AG2361">
        <v>0</v>
      </c>
      <c r="AH2361">
        <v>0</v>
      </c>
      <c r="AI2361">
        <v>420</v>
      </c>
      <c r="AJ2361">
        <v>0</v>
      </c>
      <c r="AK2361">
        <v>0</v>
      </c>
      <c r="AL2361">
        <v>0</v>
      </c>
      <c r="AM2361">
        <v>0</v>
      </c>
      <c r="AN2361">
        <v>260</v>
      </c>
      <c r="AO2361">
        <v>0</v>
      </c>
      <c r="AP2361">
        <v>10</v>
      </c>
      <c r="AQ2361">
        <v>0</v>
      </c>
      <c r="AR2361">
        <v>0</v>
      </c>
      <c r="AS2361" t="s">
        <v>58</v>
      </c>
      <c r="AT2361">
        <v>1</v>
      </c>
      <c r="AU2361" t="s">
        <v>63</v>
      </c>
      <c r="AV2361" t="s">
        <v>64</v>
      </c>
      <c r="AW2361">
        <v>1</v>
      </c>
      <c r="AX2361">
        <v>3</v>
      </c>
      <c r="AY2361">
        <v>0</v>
      </c>
      <c r="AZ2361">
        <v>0</v>
      </c>
      <c r="BA2361">
        <v>100</v>
      </c>
      <c r="BB2361">
        <v>100</v>
      </c>
      <c r="BC2361">
        <v>100</v>
      </c>
      <c r="BD2361">
        <v>100</v>
      </c>
      <c r="BE2361">
        <v>1</v>
      </c>
      <c r="BF2361">
        <v>15000</v>
      </c>
      <c r="BG2361">
        <v>1000</v>
      </c>
      <c r="BH2361" s="6">
        <f>Grandview_Inventory[[#This Row],[land_extract]]*Lookups!$B$3</f>
        <v>49167.631333630678</v>
      </c>
      <c r="BI2361" s="6">
        <f>IF(Grandview_Inventory[[#This Row],[bldg_style]]="",0,Lookups!$B$2)</f>
        <v>155833.95000000001</v>
      </c>
      <c r="BJ2361" s="6">
        <f>_xlfn.IFNA(VLOOKUP(Grandview_Inventory[[#This Row],[quality]],Lookups!$H$2:$J$14,3,FALSE),0)</f>
        <v>9808</v>
      </c>
      <c r="BK2361" s="6">
        <f>_xlfn.IFNA(VLOOKUP(Grandview_Inventory[[#This Row],[condition]],Lookups!$H$17:$J$24,3,FALSE),0)</f>
        <v>25780</v>
      </c>
      <c r="BL2361" s="6">
        <f>Grandview_Inventory[[#This Row],[Eff_Age]]*Lookups!$B$14</f>
        <v>-478.33319999999998</v>
      </c>
      <c r="BM2361" s="6">
        <f>Grandview_Inventory[[#This Row],[living_area]]*Lookups!$B$15</f>
        <v>111037.91834</v>
      </c>
      <c r="BN2361" s="6">
        <f>Grandview_Inventory[[#This Row],[Fin BSMT]]*Lookups!$B$16</f>
        <v>0</v>
      </c>
      <c r="BO2361" s="6">
        <f>(Grandview_Inventory[[#This Row],[att_gar]]+Grandview_Inventory[[#This Row],[bltin_gar]])*Lookups!$B$17</f>
        <v>36758.58354</v>
      </c>
      <c r="BP2361" s="6">
        <f>Grandview_Inventory[[#This Row],[Plumbing Fixtures]]*Lookups!$B$18</f>
        <v>20104.418000000001</v>
      </c>
      <c r="BQ2361" s="6">
        <f>Grandview_Inventory[[#This Row],[detatched_value]]*Lookups!$B$19</f>
        <v>0</v>
      </c>
      <c r="BR2361" s="6">
        <f>SUM(Grandview_Inventory[[#This Row],[Intercept]:[det_value]])*Grandview_Inventory[[#This Row],[res_pct]]</f>
        <v>358844.53668000008</v>
      </c>
      <c r="BS2361" s="6">
        <f>Grandview_Inventory[[#This Row],[land_value]]</f>
        <v>49167.631333630678</v>
      </c>
      <c r="BT2361" s="4">
        <f>_xlfn.IFNA(VLOOKUP(Grandview_Inventory[[#This Row],[quality]],Lookups!$A$26:$C$33,3,FALSE),1)</f>
        <v>0.94295468617355149</v>
      </c>
      <c r="BU2361" s="4">
        <f>_xlfn.IFNA(VLOOKUP(Grandview_Inventory[[#This Row],[condition]],Lookups!$A$37:$C$44,3,FALSE),1)</f>
        <v>0.94347925387812148</v>
      </c>
      <c r="BV2361" s="4">
        <f>IF(Grandview_Inventory[[#This Row],[bldg_style]]="",1,_xlfn.IFNA(VLOOKUP(Grandview_Inventory[[#This Row],[decade]],Lookups!$F$29:$H$43,3,FALSE),1))</f>
        <v>0.94601966599150278</v>
      </c>
      <c r="BW2361" s="4">
        <f>_xlfn.IFNA(VLOOKUP(Grandview_Inventory[[#This Row],[living_area_range]],Lookups!$F$47:$H$56,3,FALSE),1)</f>
        <v>0.96120133463014379</v>
      </c>
      <c r="BX2361" s="4">
        <f>AVERAGE(Grandview_Inventory[[#This Row],[qual_adj]:[size_adj]])</f>
        <v>0.94841373516832994</v>
      </c>
      <c r="BY2361" s="6">
        <f>IF(Grandview_Inventory[[#This Row],[pre_res]]&lt;0,0,Grandview_Inventory[[#This Row],[pre_res]]*Grandview_Inventory[[#This Row],[overall_adj]])</f>
        <v>340333.08737742767</v>
      </c>
      <c r="BZ2361" s="6">
        <f>(Grandview_Inventory[[#This Row],[sum_land]]-IF(Grandview_Inventory[[#This Row],[no_utilities]]=1,12000,0))/IF(Grandview_Inventory[[#This Row],[unbuildable]]=1,2,1)</f>
        <v>49167.631333630678</v>
      </c>
      <c r="CA236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61">
        <f>ROUND(Grandview_Inventory[[#This Row],[det_value]]*Lookups!$M$28,-2)</f>
        <v>0</v>
      </c>
      <c r="CC2361">
        <f>IF(ROUND(Grandview_Inventory[[#This Row],[adj_res]]*Lookups!$M$28,-2)&lt;Grandview_Inventory[[#This Row],[min_res]],Grandview_Inventory[[#This Row],[min_res]],ROUND(Grandview_Inventory[[#This Row],[adj_res]]*Lookups!$M$28,-2))</f>
        <v>323300</v>
      </c>
      <c r="CD2361">
        <f>Grandview_Inventory[[#This Row],[final_det]]+Grandview_Inventory[[#This Row],[final_res]]</f>
        <v>323300</v>
      </c>
      <c r="CE2361">
        <f>Grandview_Inventory[[#This Row],[final_land]]+Grandview_Inventory[[#This Row],[final_imp]]+Grandview_Inventory[[#This Row],[crop_value]]</f>
        <v>370000</v>
      </c>
      <c r="CG2361" t="str">
        <f t="shared" si="36"/>
        <v>update valuation set market_land =46700, market_bldg=323300, market_total =370000, market_mdno =401, market_date ='9/10/2023' where link_id = (select link_id from parcel where parcel_year = '2024' and parcel_id = '23092621469');</v>
      </c>
    </row>
    <row r="2362" spans="1:85" x14ac:dyDescent="0.25">
      <c r="A2362">
        <v>23092621470</v>
      </c>
      <c r="B2362" t="s">
        <v>129</v>
      </c>
      <c r="C2362">
        <v>8050</v>
      </c>
      <c r="D2362" t="s">
        <v>129</v>
      </c>
      <c r="E2362" t="s">
        <v>53</v>
      </c>
      <c r="F2362" t="s">
        <v>53</v>
      </c>
      <c r="G2362">
        <v>4</v>
      </c>
      <c r="H2362" t="s">
        <v>54</v>
      </c>
      <c r="I2362">
        <v>250500</v>
      </c>
      <c r="J2362">
        <v>39000</v>
      </c>
      <c r="K2362">
        <v>0.18</v>
      </c>
      <c r="L236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62">
        <v>0</v>
      </c>
      <c r="N2362">
        <v>0</v>
      </c>
      <c r="O2362">
        <v>0</v>
      </c>
      <c r="P2362">
        <v>13398.7528</v>
      </c>
      <c r="Q2362">
        <v>63903</v>
      </c>
      <c r="R2362">
        <f>(Grandview_Inventory[[#This Row],[ln_acres]]*Grandview_Inventory[[#This Row],[coeff]])+Grandview_Inventory[[#This Row],[const]]</f>
        <v>40926.839760167699</v>
      </c>
      <c r="S2362" t="s">
        <v>61</v>
      </c>
      <c r="T2362">
        <v>1</v>
      </c>
      <c r="U2362" t="s">
        <v>62</v>
      </c>
      <c r="V2362" t="s">
        <v>57</v>
      </c>
      <c r="W2362">
        <v>0</v>
      </c>
      <c r="X2362">
        <v>0</v>
      </c>
      <c r="Y2362">
        <v>2</v>
      </c>
      <c r="Z2362">
        <v>2</v>
      </c>
      <c r="AA2362">
        <v>10</v>
      </c>
      <c r="AB2362">
        <v>1500</v>
      </c>
      <c r="AC2362">
        <v>1468</v>
      </c>
      <c r="AD2362">
        <v>1468</v>
      </c>
      <c r="AE2362">
        <v>0</v>
      </c>
      <c r="AF2362">
        <v>0</v>
      </c>
      <c r="AG2362">
        <v>0</v>
      </c>
      <c r="AH2362">
        <v>0</v>
      </c>
      <c r="AI2362">
        <v>460</v>
      </c>
      <c r="AJ2362">
        <v>0</v>
      </c>
      <c r="AK2362">
        <v>0</v>
      </c>
      <c r="AL2362">
        <v>0</v>
      </c>
      <c r="AM2362">
        <v>0</v>
      </c>
      <c r="AN2362">
        <v>233</v>
      </c>
      <c r="AO2362">
        <v>0</v>
      </c>
      <c r="AP2362">
        <v>9</v>
      </c>
      <c r="AQ2362">
        <v>0</v>
      </c>
      <c r="AR2362">
        <v>0</v>
      </c>
      <c r="AS2362" t="s">
        <v>58</v>
      </c>
      <c r="AT2362">
        <v>1</v>
      </c>
      <c r="AU2362" t="s">
        <v>63</v>
      </c>
      <c r="AV2362" t="s">
        <v>64</v>
      </c>
      <c r="AW2362">
        <v>1</v>
      </c>
      <c r="AX2362">
        <v>3</v>
      </c>
      <c r="AY2362">
        <v>0</v>
      </c>
      <c r="AZ2362">
        <v>0</v>
      </c>
      <c r="BA2362">
        <v>100</v>
      </c>
      <c r="BB2362">
        <v>100</v>
      </c>
      <c r="BC2362">
        <v>100</v>
      </c>
      <c r="BD2362">
        <v>100</v>
      </c>
      <c r="BE2362">
        <v>1</v>
      </c>
      <c r="BF2362">
        <v>15000</v>
      </c>
      <c r="BG2362">
        <v>1000</v>
      </c>
      <c r="BH2362" s="6">
        <f>Grandview_Inventory[[#This Row],[land_extract]]*Lookups!$B$3</f>
        <v>47528.228511015397</v>
      </c>
      <c r="BI2362" s="6">
        <f>IF(Grandview_Inventory[[#This Row],[bldg_style]]="",0,Lookups!$B$2)</f>
        <v>155833.95000000001</v>
      </c>
      <c r="BJ2362" s="6">
        <f>_xlfn.IFNA(VLOOKUP(Grandview_Inventory[[#This Row],[quality]],Lookups!$H$2:$J$14,3,FALSE),0)</f>
        <v>9808</v>
      </c>
      <c r="BK2362" s="6">
        <f>_xlfn.IFNA(VLOOKUP(Grandview_Inventory[[#This Row],[condition]],Lookups!$H$17:$J$24,3,FALSE),0)</f>
        <v>25780</v>
      </c>
      <c r="BL2362" s="6">
        <f>Grandview_Inventory[[#This Row],[Eff_Age]]*Lookups!$B$14</f>
        <v>-478.33319999999998</v>
      </c>
      <c r="BM2362" s="6">
        <f>Grandview_Inventory[[#This Row],[living_area]]*Lookups!$B$15</f>
        <v>91575.092204</v>
      </c>
      <c r="BN2362" s="6">
        <f>Grandview_Inventory[[#This Row],[Fin BSMT]]*Lookups!$B$16</f>
        <v>0</v>
      </c>
      <c r="BO2362" s="6">
        <f>(Grandview_Inventory[[#This Row],[att_gar]]+Grandview_Inventory[[#This Row],[bltin_gar]])*Lookups!$B$17</f>
        <v>40259.401019999998</v>
      </c>
      <c r="BP2362" s="6">
        <f>Grandview_Inventory[[#This Row],[Plumbing Fixtures]]*Lookups!$B$18</f>
        <v>18093.976200000001</v>
      </c>
      <c r="BQ2362" s="6">
        <f>Grandview_Inventory[[#This Row],[detatched_value]]*Lookups!$B$19</f>
        <v>0</v>
      </c>
      <c r="BR2362" s="6">
        <f>SUM(Grandview_Inventory[[#This Row],[Intercept]:[det_value]])*Grandview_Inventory[[#This Row],[res_pct]]</f>
        <v>340872.08622399997</v>
      </c>
      <c r="BS2362" s="6">
        <f>Grandview_Inventory[[#This Row],[land_value]]</f>
        <v>47528.228511015397</v>
      </c>
      <c r="BT2362" s="4">
        <f>_xlfn.IFNA(VLOOKUP(Grandview_Inventory[[#This Row],[quality]],Lookups!$A$26:$C$33,3,FALSE),1)</f>
        <v>0.94295468617355149</v>
      </c>
      <c r="BU2362" s="4">
        <f>_xlfn.IFNA(VLOOKUP(Grandview_Inventory[[#This Row],[condition]],Lookups!$A$37:$C$44,3,FALSE),1)</f>
        <v>0.94347925387812148</v>
      </c>
      <c r="BV2362" s="4">
        <f>IF(Grandview_Inventory[[#This Row],[bldg_style]]="",1,_xlfn.IFNA(VLOOKUP(Grandview_Inventory[[#This Row],[decade]],Lookups!$F$29:$H$43,3,FALSE),1))</f>
        <v>0.94601966599150278</v>
      </c>
      <c r="BW2362" s="4">
        <f>_xlfn.IFNA(VLOOKUP(Grandview_Inventory[[#This Row],[living_area_range]],Lookups!$F$47:$H$56,3,FALSE),1)</f>
        <v>0.96135087979789358</v>
      </c>
      <c r="BX2362" s="4">
        <f>AVERAGE(Grandview_Inventory[[#This Row],[qual_adj]:[size_adj]])</f>
        <v>0.94845112146026733</v>
      </c>
      <c r="BY2362" s="6">
        <f>IF(Grandview_Inventory[[#This Row],[pre_res]]&lt;0,0,Grandview_Inventory[[#This Row],[pre_res]]*Grandview_Inventory[[#This Row],[overall_adj]])</f>
        <v>323300.51245365373</v>
      </c>
      <c r="BZ2362" s="6">
        <f>(Grandview_Inventory[[#This Row],[sum_land]]-IF(Grandview_Inventory[[#This Row],[no_utilities]]=1,12000,0))/IF(Grandview_Inventory[[#This Row],[unbuildable]]=1,2,1)</f>
        <v>47528.228511015397</v>
      </c>
      <c r="CA236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62">
        <f>ROUND(Grandview_Inventory[[#This Row],[det_value]]*Lookups!$M$28,-2)</f>
        <v>0</v>
      </c>
      <c r="CC2362">
        <f>IF(ROUND(Grandview_Inventory[[#This Row],[adj_res]]*Lookups!$M$28,-2)&lt;Grandview_Inventory[[#This Row],[min_res]],Grandview_Inventory[[#This Row],[min_res]],ROUND(Grandview_Inventory[[#This Row],[adj_res]]*Lookups!$M$28,-2))</f>
        <v>307100</v>
      </c>
      <c r="CD2362">
        <f>Grandview_Inventory[[#This Row],[final_det]]+Grandview_Inventory[[#This Row],[final_res]]</f>
        <v>307100</v>
      </c>
      <c r="CE2362">
        <f>Grandview_Inventory[[#This Row],[final_land]]+Grandview_Inventory[[#This Row],[final_imp]]+Grandview_Inventory[[#This Row],[crop_value]]</f>
        <v>352300</v>
      </c>
      <c r="CG2362" t="str">
        <f t="shared" si="36"/>
        <v>update valuation set market_land =45200, market_bldg=307100, market_total =352300, market_mdno =401, market_date ='9/10/2023' where link_id = (select link_id from parcel where parcel_year = '2024' and parcel_id = '23092621470');</v>
      </c>
    </row>
    <row r="2363" spans="1:85" x14ac:dyDescent="0.25">
      <c r="A2363">
        <v>23092621471</v>
      </c>
      <c r="B2363" t="s">
        <v>129</v>
      </c>
      <c r="C2363">
        <v>9041</v>
      </c>
      <c r="D2363" t="s">
        <v>129</v>
      </c>
      <c r="E2363" t="s">
        <v>53</v>
      </c>
      <c r="F2363" t="s">
        <v>53</v>
      </c>
      <c r="G2363">
        <v>4</v>
      </c>
      <c r="H2363" t="s">
        <v>54</v>
      </c>
      <c r="I2363">
        <v>236800</v>
      </c>
      <c r="J2363">
        <v>39300</v>
      </c>
      <c r="K2363">
        <v>0.21</v>
      </c>
      <c r="L2363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363">
        <v>0</v>
      </c>
      <c r="N2363">
        <v>0</v>
      </c>
      <c r="O2363">
        <v>0</v>
      </c>
      <c r="P2363">
        <v>13398.7528</v>
      </c>
      <c r="Q2363">
        <v>63903</v>
      </c>
      <c r="R2363">
        <f>(Grandview_Inventory[[#This Row],[ln_acres]]*Grandview_Inventory[[#This Row],[coeff]])+Grandview_Inventory[[#This Row],[const]]</f>
        <v>42992.266613125081</v>
      </c>
      <c r="S2363" t="s">
        <v>61</v>
      </c>
      <c r="T2363">
        <v>1</v>
      </c>
      <c r="U2363" t="s">
        <v>62</v>
      </c>
      <c r="V2363" t="s">
        <v>57</v>
      </c>
      <c r="W2363">
        <v>0</v>
      </c>
      <c r="X2363">
        <v>0</v>
      </c>
      <c r="Y2363">
        <v>2</v>
      </c>
      <c r="Z2363">
        <v>2</v>
      </c>
      <c r="AA2363">
        <v>10</v>
      </c>
      <c r="AB2363">
        <v>1500</v>
      </c>
      <c r="AC2363">
        <v>1404</v>
      </c>
      <c r="AD2363">
        <v>1404</v>
      </c>
      <c r="AE2363">
        <v>0</v>
      </c>
      <c r="AF2363">
        <v>0</v>
      </c>
      <c r="AG2363">
        <v>0</v>
      </c>
      <c r="AH2363">
        <v>0</v>
      </c>
      <c r="AI2363">
        <v>400</v>
      </c>
      <c r="AJ2363">
        <v>0</v>
      </c>
      <c r="AK2363">
        <v>0</v>
      </c>
      <c r="AL2363">
        <v>0</v>
      </c>
      <c r="AM2363">
        <v>0</v>
      </c>
      <c r="AN2363">
        <v>78</v>
      </c>
      <c r="AO2363">
        <v>0</v>
      </c>
      <c r="AP2363">
        <v>8</v>
      </c>
      <c r="AQ2363">
        <v>0</v>
      </c>
      <c r="AR2363">
        <v>0</v>
      </c>
      <c r="AS2363" t="s">
        <v>58</v>
      </c>
      <c r="AT2363">
        <v>1</v>
      </c>
      <c r="AU2363" t="s">
        <v>59</v>
      </c>
      <c r="AV2363" t="s">
        <v>64</v>
      </c>
      <c r="AW2363">
        <v>1</v>
      </c>
      <c r="AX2363">
        <v>3</v>
      </c>
      <c r="AY2363">
        <v>0</v>
      </c>
      <c r="AZ2363">
        <v>0</v>
      </c>
      <c r="BA2363">
        <v>100</v>
      </c>
      <c r="BB2363">
        <v>100</v>
      </c>
      <c r="BC2363">
        <v>100</v>
      </c>
      <c r="BD2363">
        <v>100</v>
      </c>
      <c r="BE2363">
        <v>1</v>
      </c>
      <c r="BF2363">
        <v>15000</v>
      </c>
      <c r="BG2363">
        <v>1000</v>
      </c>
      <c r="BH2363" s="6">
        <f>Grandview_Inventory[[#This Row],[land_extract]]*Lookups!$B$3</f>
        <v>49926.8031387023</v>
      </c>
      <c r="BI2363" s="6">
        <f>IF(Grandview_Inventory[[#This Row],[bldg_style]]="",0,Lookups!$B$2)</f>
        <v>155833.95000000001</v>
      </c>
      <c r="BJ2363" s="6">
        <f>_xlfn.IFNA(VLOOKUP(Grandview_Inventory[[#This Row],[quality]],Lookups!$H$2:$J$14,3,FALSE),0)</f>
        <v>9808</v>
      </c>
      <c r="BK2363" s="6">
        <f>_xlfn.IFNA(VLOOKUP(Grandview_Inventory[[#This Row],[condition]],Lookups!$H$17:$J$24,3,FALSE),0)</f>
        <v>25780</v>
      </c>
      <c r="BL2363" s="6">
        <f>Grandview_Inventory[[#This Row],[Eff_Age]]*Lookups!$B$14</f>
        <v>-478.33319999999998</v>
      </c>
      <c r="BM2363" s="6">
        <f>Grandview_Inventory[[#This Row],[living_area]]*Lookups!$B$15</f>
        <v>87582.717612000008</v>
      </c>
      <c r="BN2363" s="6">
        <f>Grandview_Inventory[[#This Row],[Fin BSMT]]*Lookups!$B$16</f>
        <v>0</v>
      </c>
      <c r="BO2363" s="6">
        <f>(Grandview_Inventory[[#This Row],[att_gar]]+Grandview_Inventory[[#This Row],[bltin_gar]])*Lookups!$B$17</f>
        <v>35008.174800000001</v>
      </c>
      <c r="BP2363" s="6">
        <f>Grandview_Inventory[[#This Row],[Plumbing Fixtures]]*Lookups!$B$18</f>
        <v>16083.5344</v>
      </c>
      <c r="BQ2363" s="6">
        <f>Grandview_Inventory[[#This Row],[detatched_value]]*Lookups!$B$19</f>
        <v>0</v>
      </c>
      <c r="BR2363" s="6">
        <f>SUM(Grandview_Inventory[[#This Row],[Intercept]:[det_value]])*Grandview_Inventory[[#This Row],[res_pct]]</f>
        <v>329618.04361200001</v>
      </c>
      <c r="BS2363" s="6">
        <f>Grandview_Inventory[[#This Row],[land_value]]</f>
        <v>49926.8031387023</v>
      </c>
      <c r="BT2363" s="4">
        <f>_xlfn.IFNA(VLOOKUP(Grandview_Inventory[[#This Row],[quality]],Lookups!$A$26:$C$33,3,FALSE),1)</f>
        <v>0.94295468617355149</v>
      </c>
      <c r="BU2363" s="4">
        <f>_xlfn.IFNA(VLOOKUP(Grandview_Inventory[[#This Row],[condition]],Lookups!$A$37:$C$44,3,FALSE),1)</f>
        <v>0.94347925387812148</v>
      </c>
      <c r="BV2363" s="4">
        <f>IF(Grandview_Inventory[[#This Row],[bldg_style]]="",1,_xlfn.IFNA(VLOOKUP(Grandview_Inventory[[#This Row],[decade]],Lookups!$F$29:$H$43,3,FALSE),1))</f>
        <v>0.94601966599150278</v>
      </c>
      <c r="BW2363" s="4">
        <f>_xlfn.IFNA(VLOOKUP(Grandview_Inventory[[#This Row],[living_area_range]],Lookups!$F$47:$H$56,3,FALSE),1)</f>
        <v>0.96135087979789358</v>
      </c>
      <c r="BX2363" s="4">
        <f>AVERAGE(Grandview_Inventory[[#This Row],[qual_adj]:[size_adj]])</f>
        <v>0.94845112146026733</v>
      </c>
      <c r="BY2363" s="6">
        <f>IF(Grandview_Inventory[[#This Row],[pre_res]]&lt;0,0,Grandview_Inventory[[#This Row],[pre_res]]*Grandview_Inventory[[#This Row],[overall_adj]])</f>
        <v>312626.60311734071</v>
      </c>
      <c r="BZ2363" s="6">
        <f>(Grandview_Inventory[[#This Row],[sum_land]]-IF(Grandview_Inventory[[#This Row],[no_utilities]]=1,12000,0))/IF(Grandview_Inventory[[#This Row],[unbuildable]]=1,2,1)</f>
        <v>49926.8031387023</v>
      </c>
      <c r="CA2363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363">
        <f>ROUND(Grandview_Inventory[[#This Row],[det_value]]*Lookups!$M$28,-2)</f>
        <v>0</v>
      </c>
      <c r="CC2363">
        <f>IF(ROUND(Grandview_Inventory[[#This Row],[adj_res]]*Lookups!$M$28,-2)&lt;Grandview_Inventory[[#This Row],[min_res]],Grandview_Inventory[[#This Row],[min_res]],ROUND(Grandview_Inventory[[#This Row],[adj_res]]*Lookups!$M$28,-2))</f>
        <v>297000</v>
      </c>
      <c r="CD2363">
        <f>Grandview_Inventory[[#This Row],[final_det]]+Grandview_Inventory[[#This Row],[final_res]]</f>
        <v>297000</v>
      </c>
      <c r="CE2363">
        <f>Grandview_Inventory[[#This Row],[final_land]]+Grandview_Inventory[[#This Row],[final_imp]]+Grandview_Inventory[[#This Row],[crop_value]]</f>
        <v>344400</v>
      </c>
      <c r="CG2363" t="str">
        <f t="shared" si="36"/>
        <v>update valuation set market_land =47400, market_bldg=297000, market_total =344400, market_mdno =401, market_date ='9/10/2023' where link_id = (select link_id from parcel where parcel_year = '2024' and parcel_id = '23092621471');</v>
      </c>
    </row>
    <row r="2364" spans="1:85" x14ac:dyDescent="0.25">
      <c r="A2364">
        <v>23092621472</v>
      </c>
      <c r="B2364" t="s">
        <v>129</v>
      </c>
      <c r="C2364">
        <v>8662</v>
      </c>
      <c r="D2364" t="s">
        <v>129</v>
      </c>
      <c r="E2364" t="s">
        <v>53</v>
      </c>
      <c r="F2364" t="s">
        <v>53</v>
      </c>
      <c r="G2364">
        <v>4</v>
      </c>
      <c r="H2364" t="s">
        <v>54</v>
      </c>
      <c r="I2364">
        <v>341700</v>
      </c>
      <c r="J2364">
        <v>39300</v>
      </c>
      <c r="K2364">
        <v>0.2</v>
      </c>
      <c r="L236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64">
        <v>0</v>
      </c>
      <c r="N2364">
        <v>0</v>
      </c>
      <c r="O2364">
        <v>0</v>
      </c>
      <c r="P2364">
        <v>13398.7528</v>
      </c>
      <c r="Q2364">
        <v>63903</v>
      </c>
      <c r="R2364">
        <f>(Grandview_Inventory[[#This Row],[ln_acres]]*Grandview_Inventory[[#This Row],[coeff]])+Grandview_Inventory[[#This Row],[const]]</f>
        <v>42338.539264347448</v>
      </c>
      <c r="S2364" t="s">
        <v>58</v>
      </c>
      <c r="T2364">
        <v>2</v>
      </c>
      <c r="U2364" t="s">
        <v>64</v>
      </c>
      <c r="V2364" t="s">
        <v>57</v>
      </c>
      <c r="W2364">
        <v>0</v>
      </c>
      <c r="X2364">
        <v>0</v>
      </c>
      <c r="Y2364">
        <v>2</v>
      </c>
      <c r="Z2364">
        <v>2</v>
      </c>
      <c r="AA2364">
        <v>10</v>
      </c>
      <c r="AB2364">
        <v>2500</v>
      </c>
      <c r="AC2364">
        <v>2435</v>
      </c>
      <c r="AD2364">
        <v>1161</v>
      </c>
      <c r="AE2364">
        <v>1274</v>
      </c>
      <c r="AF2364">
        <v>0</v>
      </c>
      <c r="AG2364">
        <v>0</v>
      </c>
      <c r="AH2364">
        <v>0</v>
      </c>
      <c r="AI2364">
        <v>0</v>
      </c>
      <c r="AJ2364">
        <v>787</v>
      </c>
      <c r="AK2364">
        <v>0</v>
      </c>
      <c r="AL2364">
        <v>0</v>
      </c>
      <c r="AM2364">
        <v>182</v>
      </c>
      <c r="AN2364">
        <v>198</v>
      </c>
      <c r="AO2364">
        <v>0</v>
      </c>
      <c r="AP2364">
        <v>12</v>
      </c>
      <c r="AQ2364">
        <v>0</v>
      </c>
      <c r="AR2364">
        <v>0</v>
      </c>
      <c r="AS2364" t="s">
        <v>58</v>
      </c>
      <c r="AT2364">
        <v>1</v>
      </c>
      <c r="AU2364" t="s">
        <v>63</v>
      </c>
      <c r="AV2364" t="s">
        <v>64</v>
      </c>
      <c r="AW2364">
        <v>1</v>
      </c>
      <c r="AX2364">
        <v>4</v>
      </c>
      <c r="AY2364">
        <v>0</v>
      </c>
      <c r="AZ2364">
        <v>0</v>
      </c>
      <c r="BA2364">
        <v>100</v>
      </c>
      <c r="BB2364">
        <v>100</v>
      </c>
      <c r="BC2364">
        <v>100</v>
      </c>
      <c r="BD2364">
        <v>100</v>
      </c>
      <c r="BE2364">
        <v>1</v>
      </c>
      <c r="BF2364">
        <v>15000</v>
      </c>
      <c r="BG2364">
        <v>1000</v>
      </c>
      <c r="BH2364" s="6">
        <f>Grandview_Inventory[[#This Row],[land_extract]]*Lookups!$B$3</f>
        <v>49167.631333630678</v>
      </c>
      <c r="BI2364" s="6">
        <f>IF(Grandview_Inventory[[#This Row],[bldg_style]]="",0,Lookups!$B$2)</f>
        <v>155833.95000000001</v>
      </c>
      <c r="BJ2364" s="6">
        <f>_xlfn.IFNA(VLOOKUP(Grandview_Inventory[[#This Row],[quality]],Lookups!$H$2:$J$14,3,FALSE),0)</f>
        <v>20768</v>
      </c>
      <c r="BK2364" s="6">
        <f>_xlfn.IFNA(VLOOKUP(Grandview_Inventory[[#This Row],[condition]],Lookups!$H$17:$J$24,3,FALSE),0)</f>
        <v>25780</v>
      </c>
      <c r="BL2364" s="6">
        <f>Grandview_Inventory[[#This Row],[Eff_Age]]*Lookups!$B$14</f>
        <v>-478.33319999999998</v>
      </c>
      <c r="BM2364" s="6">
        <f>Grandview_Inventory[[#This Row],[living_area]]*Lookups!$B$15</f>
        <v>151897.37705500002</v>
      </c>
      <c r="BN2364" s="6">
        <f>Grandview_Inventory[[#This Row],[Fin BSMT]]*Lookups!$B$16</f>
        <v>0</v>
      </c>
      <c r="BO2364" s="6">
        <f>(Grandview_Inventory[[#This Row],[att_gar]]+Grandview_Inventory[[#This Row],[bltin_gar]])*Lookups!$B$17</f>
        <v>68878.583918999997</v>
      </c>
      <c r="BP2364" s="6">
        <f>Grandview_Inventory[[#This Row],[Plumbing Fixtures]]*Lookups!$B$18</f>
        <v>24125.301599999999</v>
      </c>
      <c r="BQ2364" s="6">
        <f>Grandview_Inventory[[#This Row],[detatched_value]]*Lookups!$B$19</f>
        <v>0</v>
      </c>
      <c r="BR2364" s="6">
        <f>SUM(Grandview_Inventory[[#This Row],[Intercept]:[det_value]])*Grandview_Inventory[[#This Row],[res_pct]]</f>
        <v>446804.87937400001</v>
      </c>
      <c r="BS2364" s="6">
        <f>Grandview_Inventory[[#This Row],[land_value]]</f>
        <v>49167.631333630678</v>
      </c>
      <c r="BT2364" s="4">
        <f>_xlfn.IFNA(VLOOKUP(Grandview_Inventory[[#This Row],[quality]],Lookups!$A$26:$C$33,3,FALSE),1)</f>
        <v>0.94960540378902636</v>
      </c>
      <c r="BU2364" s="4">
        <f>_xlfn.IFNA(VLOOKUP(Grandview_Inventory[[#This Row],[condition]],Lookups!$A$37:$C$44,3,FALSE),1)</f>
        <v>0.94347925387812148</v>
      </c>
      <c r="BV2364" s="4">
        <f>IF(Grandview_Inventory[[#This Row],[bldg_style]]="",1,_xlfn.IFNA(VLOOKUP(Grandview_Inventory[[#This Row],[decade]],Lookups!$F$29:$H$43,3,FALSE),1))</f>
        <v>0.94601966599150278</v>
      </c>
      <c r="BW2364" s="4">
        <f>_xlfn.IFNA(VLOOKUP(Grandview_Inventory[[#This Row],[living_area_range]],Lookups!$F$47:$H$56,3,FALSE),1)</f>
        <v>0.95799442568048754</v>
      </c>
      <c r="BX2364" s="4">
        <f>AVERAGE(Grandview_Inventory[[#This Row],[qual_adj]:[size_adj]])</f>
        <v>0.94927468733478459</v>
      </c>
      <c r="BY2364" s="6">
        <f>IF(Grandview_Inventory[[#This Row],[pre_res]]&lt;0,0,Grandview_Inventory[[#This Row],[pre_res]]*Grandview_Inventory[[#This Row],[overall_adj]])</f>
        <v>424140.56216740998</v>
      </c>
      <c r="BZ2364" s="6">
        <f>(Grandview_Inventory[[#This Row],[sum_land]]-IF(Grandview_Inventory[[#This Row],[no_utilities]]=1,12000,0))/IF(Grandview_Inventory[[#This Row],[unbuildable]]=1,2,1)</f>
        <v>49167.631333630678</v>
      </c>
      <c r="CA236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64">
        <f>ROUND(Grandview_Inventory[[#This Row],[det_value]]*Lookups!$M$28,-2)</f>
        <v>0</v>
      </c>
      <c r="CC2364">
        <f>IF(ROUND(Grandview_Inventory[[#This Row],[adj_res]]*Lookups!$M$28,-2)&lt;Grandview_Inventory[[#This Row],[min_res]],Grandview_Inventory[[#This Row],[min_res]],ROUND(Grandview_Inventory[[#This Row],[adj_res]]*Lookups!$M$28,-2))</f>
        <v>402900</v>
      </c>
      <c r="CD2364">
        <f>Grandview_Inventory[[#This Row],[final_det]]+Grandview_Inventory[[#This Row],[final_res]]</f>
        <v>402900</v>
      </c>
      <c r="CE2364">
        <f>Grandview_Inventory[[#This Row],[final_land]]+Grandview_Inventory[[#This Row],[final_imp]]+Grandview_Inventory[[#This Row],[crop_value]]</f>
        <v>449600</v>
      </c>
      <c r="CG2364" t="str">
        <f t="shared" si="36"/>
        <v>update valuation set market_land =46700, market_bldg=402900, market_total =449600, market_mdno =401, market_date ='9/10/2023' where link_id = (select link_id from parcel where parcel_year = '2024' and parcel_id = '23092621472');</v>
      </c>
    </row>
    <row r="2365" spans="1:85" x14ac:dyDescent="0.25">
      <c r="A2365">
        <v>23092621473</v>
      </c>
      <c r="B2365" t="s">
        <v>129</v>
      </c>
      <c r="C2365">
        <v>8050</v>
      </c>
      <c r="D2365" t="s">
        <v>129</v>
      </c>
      <c r="E2365" t="s">
        <v>53</v>
      </c>
      <c r="F2365" t="s">
        <v>53</v>
      </c>
      <c r="G2365">
        <v>4</v>
      </c>
      <c r="H2365" t="s">
        <v>54</v>
      </c>
      <c r="I2365">
        <v>308900</v>
      </c>
      <c r="J2365">
        <v>32500</v>
      </c>
      <c r="K2365">
        <v>0.18</v>
      </c>
      <c r="L236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65">
        <v>0</v>
      </c>
      <c r="N2365">
        <v>0</v>
      </c>
      <c r="O2365">
        <v>0</v>
      </c>
      <c r="P2365">
        <v>13398.7528</v>
      </c>
      <c r="Q2365">
        <v>63903</v>
      </c>
      <c r="R2365">
        <f>(Grandview_Inventory[[#This Row],[ln_acres]]*Grandview_Inventory[[#This Row],[coeff]])+Grandview_Inventory[[#This Row],[const]]</f>
        <v>40926.839760167699</v>
      </c>
      <c r="S2365" t="s">
        <v>55</v>
      </c>
      <c r="T2365">
        <v>2</v>
      </c>
      <c r="U2365" t="s">
        <v>62</v>
      </c>
      <c r="V2365" t="s">
        <v>57</v>
      </c>
      <c r="W2365">
        <v>0</v>
      </c>
      <c r="X2365">
        <v>0</v>
      </c>
      <c r="Y2365">
        <v>2</v>
      </c>
      <c r="Z2365">
        <v>2</v>
      </c>
      <c r="AA2365">
        <v>10</v>
      </c>
      <c r="AB2365">
        <v>3000</v>
      </c>
      <c r="AC2365">
        <v>2614</v>
      </c>
      <c r="AD2365">
        <v>1150</v>
      </c>
      <c r="AE2365">
        <v>1464</v>
      </c>
      <c r="AF2365">
        <v>0</v>
      </c>
      <c r="AG2365">
        <v>0</v>
      </c>
      <c r="AH2365">
        <v>0</v>
      </c>
      <c r="AI2365">
        <v>0</v>
      </c>
      <c r="AJ2365">
        <v>399</v>
      </c>
      <c r="AK2365">
        <v>0</v>
      </c>
      <c r="AL2365">
        <v>0</v>
      </c>
      <c r="AM2365">
        <v>0</v>
      </c>
      <c r="AN2365">
        <v>143</v>
      </c>
      <c r="AO2365">
        <v>0</v>
      </c>
      <c r="AP2365">
        <v>12</v>
      </c>
      <c r="AQ2365">
        <v>0</v>
      </c>
      <c r="AR2365">
        <v>0</v>
      </c>
      <c r="AS2365" t="s">
        <v>58</v>
      </c>
      <c r="AT2365">
        <v>1</v>
      </c>
      <c r="AU2365" t="s">
        <v>63</v>
      </c>
      <c r="AV2365" t="s">
        <v>64</v>
      </c>
      <c r="AW2365">
        <v>1</v>
      </c>
      <c r="AX2365">
        <v>3</v>
      </c>
      <c r="AY2365">
        <v>0</v>
      </c>
      <c r="AZ2365">
        <v>0</v>
      </c>
      <c r="BA2365">
        <v>100</v>
      </c>
      <c r="BB2365">
        <v>100</v>
      </c>
      <c r="BC2365">
        <v>100</v>
      </c>
      <c r="BD2365">
        <v>100</v>
      </c>
      <c r="BE2365">
        <v>1</v>
      </c>
      <c r="BF2365">
        <v>15000</v>
      </c>
      <c r="BG2365">
        <v>1000</v>
      </c>
      <c r="BH2365" s="6">
        <f>Grandview_Inventory[[#This Row],[land_extract]]*Lookups!$B$3</f>
        <v>47528.228511015397</v>
      </c>
      <c r="BI2365" s="6">
        <f>IF(Grandview_Inventory[[#This Row],[bldg_style]]="",0,Lookups!$B$2)</f>
        <v>155833.95000000001</v>
      </c>
      <c r="BJ2365" s="6">
        <f>_xlfn.IFNA(VLOOKUP(Grandview_Inventory[[#This Row],[quality]],Lookups!$H$2:$J$14,3,FALSE),0)</f>
        <v>9808</v>
      </c>
      <c r="BK2365" s="6">
        <f>_xlfn.IFNA(VLOOKUP(Grandview_Inventory[[#This Row],[condition]],Lookups!$H$17:$J$24,3,FALSE),0)</f>
        <v>25780</v>
      </c>
      <c r="BL2365" s="6">
        <f>Grandview_Inventory[[#This Row],[Eff_Age]]*Lookups!$B$14</f>
        <v>-478.33319999999998</v>
      </c>
      <c r="BM2365" s="6">
        <f>Grandview_Inventory[[#This Row],[living_area]]*Lookups!$B$15</f>
        <v>163063.549742</v>
      </c>
      <c r="BN2365" s="6">
        <f>Grandview_Inventory[[#This Row],[Fin BSMT]]*Lookups!$B$16</f>
        <v>0</v>
      </c>
      <c r="BO2365" s="6">
        <f>(Grandview_Inventory[[#This Row],[att_gar]]+Grandview_Inventory[[#This Row],[bltin_gar]])*Lookups!$B$17</f>
        <v>34920.654363000001</v>
      </c>
      <c r="BP2365" s="6">
        <f>Grandview_Inventory[[#This Row],[Plumbing Fixtures]]*Lookups!$B$18</f>
        <v>24125.301599999999</v>
      </c>
      <c r="BQ2365" s="6">
        <f>Grandview_Inventory[[#This Row],[detatched_value]]*Lookups!$B$19</f>
        <v>0</v>
      </c>
      <c r="BR2365" s="6">
        <f>SUM(Grandview_Inventory[[#This Row],[Intercept]:[det_value]])*Grandview_Inventory[[#This Row],[res_pct]]</f>
        <v>413053.12250500004</v>
      </c>
      <c r="BS2365" s="6">
        <f>Grandview_Inventory[[#This Row],[land_value]]</f>
        <v>47528.228511015397</v>
      </c>
      <c r="BT2365" s="4">
        <f>_xlfn.IFNA(VLOOKUP(Grandview_Inventory[[#This Row],[quality]],Lookups!$A$26:$C$33,3,FALSE),1)</f>
        <v>0.94295468617355149</v>
      </c>
      <c r="BU2365" s="4">
        <f>_xlfn.IFNA(VLOOKUP(Grandview_Inventory[[#This Row],[condition]],Lookups!$A$37:$C$44,3,FALSE),1)</f>
        <v>0.94347925387812148</v>
      </c>
      <c r="BV2365" s="4">
        <f>IF(Grandview_Inventory[[#This Row],[bldg_style]]="",1,_xlfn.IFNA(VLOOKUP(Grandview_Inventory[[#This Row],[decade]],Lookups!$F$29:$H$43,3,FALSE),1))</f>
        <v>0.94601966599150278</v>
      </c>
      <c r="BW2365" s="4">
        <f>_xlfn.IFNA(VLOOKUP(Grandview_Inventory[[#This Row],[living_area_range]],Lookups!$F$47:$H$56,3,FALSE),1)</f>
        <v>0.94224801443562123</v>
      </c>
      <c r="BX2365" s="4">
        <f>AVERAGE(Grandview_Inventory[[#This Row],[qual_adj]:[size_adj]])</f>
        <v>0.94367540511969927</v>
      </c>
      <c r="BY2365" s="6">
        <f>IF(Grandview_Inventory[[#This Row],[pre_res]]&lt;0,0,Grandview_Inventory[[#This Row],[pre_res]]*Grandview_Inventory[[#This Row],[overall_adj]])</f>
        <v>389788.07271586265</v>
      </c>
      <c r="BZ2365" s="6">
        <f>(Grandview_Inventory[[#This Row],[sum_land]]-IF(Grandview_Inventory[[#This Row],[no_utilities]]=1,12000,0))/IF(Grandview_Inventory[[#This Row],[unbuildable]]=1,2,1)</f>
        <v>47528.228511015397</v>
      </c>
      <c r="CA236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65">
        <f>ROUND(Grandview_Inventory[[#This Row],[det_value]]*Lookups!$M$28,-2)</f>
        <v>0</v>
      </c>
      <c r="CC2365">
        <f>IF(ROUND(Grandview_Inventory[[#This Row],[adj_res]]*Lookups!$M$28,-2)&lt;Grandview_Inventory[[#This Row],[min_res]],Grandview_Inventory[[#This Row],[min_res]],ROUND(Grandview_Inventory[[#This Row],[adj_res]]*Lookups!$M$28,-2))</f>
        <v>370300</v>
      </c>
      <c r="CD2365">
        <f>Grandview_Inventory[[#This Row],[final_det]]+Grandview_Inventory[[#This Row],[final_res]]</f>
        <v>370300</v>
      </c>
      <c r="CE2365">
        <f>Grandview_Inventory[[#This Row],[final_land]]+Grandview_Inventory[[#This Row],[final_imp]]+Grandview_Inventory[[#This Row],[crop_value]]</f>
        <v>415500</v>
      </c>
      <c r="CG2365" t="str">
        <f t="shared" si="36"/>
        <v>update valuation set market_land =45200, market_bldg=370300, market_total =415500, market_mdno =401, market_date ='9/10/2023' where link_id = (select link_id from parcel where parcel_year = '2024' and parcel_id = '23092621473');</v>
      </c>
    </row>
    <row r="2366" spans="1:85" x14ac:dyDescent="0.25">
      <c r="A2366">
        <v>23092621474</v>
      </c>
      <c r="B2366" t="s">
        <v>129</v>
      </c>
      <c r="C2366">
        <v>8926</v>
      </c>
      <c r="D2366" t="s">
        <v>129</v>
      </c>
      <c r="E2366" t="s">
        <v>53</v>
      </c>
      <c r="F2366" t="s">
        <v>53</v>
      </c>
      <c r="G2366">
        <v>4</v>
      </c>
      <c r="H2366" t="s">
        <v>54</v>
      </c>
      <c r="I2366">
        <v>329600</v>
      </c>
      <c r="J2366">
        <v>39300</v>
      </c>
      <c r="K2366">
        <v>0.2</v>
      </c>
      <c r="L236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66">
        <v>0</v>
      </c>
      <c r="N2366">
        <v>0</v>
      </c>
      <c r="O2366">
        <v>0</v>
      </c>
      <c r="P2366">
        <v>13398.7528</v>
      </c>
      <c r="Q2366">
        <v>63903</v>
      </c>
      <c r="R2366">
        <f>(Grandview_Inventory[[#This Row],[ln_acres]]*Grandview_Inventory[[#This Row],[coeff]])+Grandview_Inventory[[#This Row],[const]]</f>
        <v>42338.539264347448</v>
      </c>
      <c r="S2366" t="s">
        <v>55</v>
      </c>
      <c r="T2366">
        <v>2</v>
      </c>
      <c r="U2366" t="s">
        <v>62</v>
      </c>
      <c r="V2366" t="s">
        <v>57</v>
      </c>
      <c r="W2366">
        <v>0</v>
      </c>
      <c r="X2366">
        <v>0</v>
      </c>
      <c r="Y2366">
        <v>1</v>
      </c>
      <c r="Z2366">
        <v>1</v>
      </c>
      <c r="AA2366">
        <v>10</v>
      </c>
      <c r="AB2366">
        <v>3000</v>
      </c>
      <c r="AC2366">
        <v>2506</v>
      </c>
      <c r="AD2366">
        <v>1180</v>
      </c>
      <c r="AE2366">
        <v>1326</v>
      </c>
      <c r="AF2366">
        <v>0</v>
      </c>
      <c r="AG2366">
        <v>0</v>
      </c>
      <c r="AH2366">
        <v>0</v>
      </c>
      <c r="AI2366">
        <v>338</v>
      </c>
      <c r="AJ2366">
        <v>440</v>
      </c>
      <c r="AK2366">
        <v>0</v>
      </c>
      <c r="AL2366">
        <v>0</v>
      </c>
      <c r="AM2366">
        <v>0</v>
      </c>
      <c r="AN2366">
        <v>232</v>
      </c>
      <c r="AO2366">
        <v>0</v>
      </c>
      <c r="AP2366">
        <v>12</v>
      </c>
      <c r="AQ2366">
        <v>0</v>
      </c>
      <c r="AR2366">
        <v>0</v>
      </c>
      <c r="AS2366" t="s">
        <v>58</v>
      </c>
      <c r="AT2366">
        <v>1</v>
      </c>
      <c r="AU2366" t="s">
        <v>63</v>
      </c>
      <c r="AV2366" t="s">
        <v>64</v>
      </c>
      <c r="AW2366">
        <v>1</v>
      </c>
      <c r="AX2366">
        <v>3</v>
      </c>
      <c r="AY2366">
        <v>0</v>
      </c>
      <c r="AZ2366">
        <v>0</v>
      </c>
      <c r="BA2366">
        <v>100</v>
      </c>
      <c r="BB2366">
        <v>100</v>
      </c>
      <c r="BC2366">
        <v>100</v>
      </c>
      <c r="BD2366">
        <v>100</v>
      </c>
      <c r="BE2366">
        <v>1</v>
      </c>
      <c r="BF2366">
        <v>15000</v>
      </c>
      <c r="BG2366">
        <v>1000</v>
      </c>
      <c r="BH2366" s="6">
        <f>Grandview_Inventory[[#This Row],[land_extract]]*Lookups!$B$3</f>
        <v>49167.631333630678</v>
      </c>
      <c r="BI2366" s="6">
        <f>IF(Grandview_Inventory[[#This Row],[bldg_style]]="",0,Lookups!$B$2)</f>
        <v>155833.95000000001</v>
      </c>
      <c r="BJ2366" s="6">
        <f>_xlfn.IFNA(VLOOKUP(Grandview_Inventory[[#This Row],[quality]],Lookups!$H$2:$J$14,3,FALSE),0)</f>
        <v>9808</v>
      </c>
      <c r="BK2366" s="6">
        <f>_xlfn.IFNA(VLOOKUP(Grandview_Inventory[[#This Row],[condition]],Lookups!$H$17:$J$24,3,FALSE),0)</f>
        <v>25780</v>
      </c>
      <c r="BL2366" s="6">
        <f>Grandview_Inventory[[#This Row],[Eff_Age]]*Lookups!$B$14</f>
        <v>-239.16659999999999</v>
      </c>
      <c r="BM2366" s="6">
        <f>Grandview_Inventory[[#This Row],[living_area]]*Lookups!$B$15</f>
        <v>156326.41761800001</v>
      </c>
      <c r="BN2366" s="6">
        <f>Grandview_Inventory[[#This Row],[Fin BSMT]]*Lookups!$B$16</f>
        <v>0</v>
      </c>
      <c r="BO2366" s="6">
        <f>(Grandview_Inventory[[#This Row],[att_gar]]+Grandview_Inventory[[#This Row],[bltin_gar]])*Lookups!$B$17</f>
        <v>68090.899986000004</v>
      </c>
      <c r="BP2366" s="6">
        <f>Grandview_Inventory[[#This Row],[Plumbing Fixtures]]*Lookups!$B$18</f>
        <v>24125.301599999999</v>
      </c>
      <c r="BQ2366" s="6">
        <f>Grandview_Inventory[[#This Row],[detatched_value]]*Lookups!$B$19</f>
        <v>0</v>
      </c>
      <c r="BR2366" s="6">
        <f>SUM(Grandview_Inventory[[#This Row],[Intercept]:[det_value]])*Grandview_Inventory[[#This Row],[res_pct]]</f>
        <v>439725.40260400006</v>
      </c>
      <c r="BS2366" s="6">
        <f>Grandview_Inventory[[#This Row],[land_value]]</f>
        <v>49167.631333630678</v>
      </c>
      <c r="BT2366" s="4">
        <f>_xlfn.IFNA(VLOOKUP(Grandview_Inventory[[#This Row],[quality]],Lookups!$A$26:$C$33,3,FALSE),1)</f>
        <v>0.94295468617355149</v>
      </c>
      <c r="BU2366" s="4">
        <f>_xlfn.IFNA(VLOOKUP(Grandview_Inventory[[#This Row],[condition]],Lookups!$A$37:$C$44,3,FALSE),1)</f>
        <v>0.94347925387812148</v>
      </c>
      <c r="BV2366" s="4">
        <f>IF(Grandview_Inventory[[#This Row],[bldg_style]]="",1,_xlfn.IFNA(VLOOKUP(Grandview_Inventory[[#This Row],[decade]],Lookups!$F$29:$H$43,3,FALSE),1))</f>
        <v>0.94601966599150278</v>
      </c>
      <c r="BW2366" s="4">
        <f>_xlfn.IFNA(VLOOKUP(Grandview_Inventory[[#This Row],[living_area_range]],Lookups!$F$47:$H$56,3,FALSE),1)</f>
        <v>0.94224801443562123</v>
      </c>
      <c r="BX2366" s="4">
        <f>AVERAGE(Grandview_Inventory[[#This Row],[qual_adj]:[size_adj]])</f>
        <v>0.94367540511969927</v>
      </c>
      <c r="BY2366" s="6">
        <f>IF(Grandview_Inventory[[#This Row],[pre_res]]&lt;0,0,Grandview_Inventory[[#This Row],[pre_res]]*Grandview_Inventory[[#This Row],[overall_adj]])</f>
        <v>414958.04744375264</v>
      </c>
      <c r="BZ2366" s="6">
        <f>(Grandview_Inventory[[#This Row],[sum_land]]-IF(Grandview_Inventory[[#This Row],[no_utilities]]=1,12000,0))/IF(Grandview_Inventory[[#This Row],[unbuildable]]=1,2,1)</f>
        <v>49167.631333630678</v>
      </c>
      <c r="CA236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66">
        <f>ROUND(Grandview_Inventory[[#This Row],[det_value]]*Lookups!$M$28,-2)</f>
        <v>0</v>
      </c>
      <c r="CC2366">
        <f>IF(ROUND(Grandview_Inventory[[#This Row],[adj_res]]*Lookups!$M$28,-2)&lt;Grandview_Inventory[[#This Row],[min_res]],Grandview_Inventory[[#This Row],[min_res]],ROUND(Grandview_Inventory[[#This Row],[adj_res]]*Lookups!$M$28,-2))</f>
        <v>394200</v>
      </c>
      <c r="CD2366">
        <f>Grandview_Inventory[[#This Row],[final_det]]+Grandview_Inventory[[#This Row],[final_res]]</f>
        <v>394200</v>
      </c>
      <c r="CE2366">
        <f>Grandview_Inventory[[#This Row],[final_land]]+Grandview_Inventory[[#This Row],[final_imp]]+Grandview_Inventory[[#This Row],[crop_value]]</f>
        <v>440900</v>
      </c>
      <c r="CG2366" t="str">
        <f t="shared" si="36"/>
        <v>update valuation set market_land =46700, market_bldg=394200, market_total =440900, market_mdno =401, market_date ='9/10/2023' where link_id = (select link_id from parcel where parcel_year = '2024' and parcel_id = '23092621474');</v>
      </c>
    </row>
    <row r="2367" spans="1:85" x14ac:dyDescent="0.25">
      <c r="A2367">
        <v>23092621475</v>
      </c>
      <c r="B2367" t="s">
        <v>129</v>
      </c>
      <c r="C2367">
        <v>8250</v>
      </c>
      <c r="D2367" t="s">
        <v>129</v>
      </c>
      <c r="E2367" t="s">
        <v>53</v>
      </c>
      <c r="F2367" t="s">
        <v>53</v>
      </c>
      <c r="G2367">
        <v>4</v>
      </c>
      <c r="H2367" t="s">
        <v>54</v>
      </c>
      <c r="I2367">
        <v>244300</v>
      </c>
      <c r="J2367">
        <v>39100</v>
      </c>
      <c r="K2367">
        <v>0.19</v>
      </c>
      <c r="L236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67">
        <v>0</v>
      </c>
      <c r="N2367">
        <v>0</v>
      </c>
      <c r="O2367">
        <v>0</v>
      </c>
      <c r="P2367">
        <v>13398.7528</v>
      </c>
      <c r="Q2367">
        <v>63903</v>
      </c>
      <c r="R2367">
        <f>(Grandview_Inventory[[#This Row],[ln_acres]]*Grandview_Inventory[[#This Row],[coeff]])+Grandview_Inventory[[#This Row],[const]]</f>
        <v>41651.273092551026</v>
      </c>
      <c r="S2367" t="s">
        <v>61</v>
      </c>
      <c r="T2367">
        <v>1</v>
      </c>
      <c r="U2367" t="s">
        <v>62</v>
      </c>
      <c r="V2367" t="s">
        <v>57</v>
      </c>
      <c r="W2367">
        <v>0</v>
      </c>
      <c r="X2367">
        <v>0</v>
      </c>
      <c r="Y2367">
        <v>1</v>
      </c>
      <c r="Z2367">
        <v>1</v>
      </c>
      <c r="AA2367">
        <v>10</v>
      </c>
      <c r="AB2367">
        <v>1500</v>
      </c>
      <c r="AC2367">
        <v>1384</v>
      </c>
      <c r="AD2367">
        <v>1384</v>
      </c>
      <c r="AE2367">
        <v>0</v>
      </c>
      <c r="AF2367">
        <v>0</v>
      </c>
      <c r="AG2367">
        <v>0</v>
      </c>
      <c r="AH2367">
        <v>0</v>
      </c>
      <c r="AI2367">
        <v>400</v>
      </c>
      <c r="AJ2367">
        <v>0</v>
      </c>
      <c r="AK2367">
        <v>0</v>
      </c>
      <c r="AL2367">
        <v>0</v>
      </c>
      <c r="AM2367">
        <v>144</v>
      </c>
      <c r="AN2367">
        <v>84</v>
      </c>
      <c r="AO2367">
        <v>0</v>
      </c>
      <c r="AP2367">
        <v>8</v>
      </c>
      <c r="AQ2367">
        <v>0</v>
      </c>
      <c r="AR2367">
        <v>0</v>
      </c>
      <c r="AS2367" t="s">
        <v>58</v>
      </c>
      <c r="AT2367">
        <v>1</v>
      </c>
      <c r="AU2367" t="s">
        <v>59</v>
      </c>
      <c r="AV2367" t="s">
        <v>60</v>
      </c>
      <c r="AW2367">
        <v>1</v>
      </c>
      <c r="AX2367">
        <v>3</v>
      </c>
      <c r="AY2367">
        <v>0</v>
      </c>
      <c r="AZ2367">
        <v>0</v>
      </c>
      <c r="BA2367">
        <v>100</v>
      </c>
      <c r="BB2367">
        <v>100</v>
      </c>
      <c r="BC2367">
        <v>100</v>
      </c>
      <c r="BD2367">
        <v>100</v>
      </c>
      <c r="BE2367">
        <v>1</v>
      </c>
      <c r="BF2367">
        <v>15000</v>
      </c>
      <c r="BG2367">
        <v>1000</v>
      </c>
      <c r="BH2367" s="6">
        <f>Grandview_Inventory[[#This Row],[land_extract]]*Lookups!$B$3</f>
        <v>48369.510983942157</v>
      </c>
      <c r="BI2367" s="6">
        <f>IF(Grandview_Inventory[[#This Row],[bldg_style]]="",0,Lookups!$B$2)</f>
        <v>155833.95000000001</v>
      </c>
      <c r="BJ2367" s="6">
        <f>_xlfn.IFNA(VLOOKUP(Grandview_Inventory[[#This Row],[quality]],Lookups!$H$2:$J$14,3,FALSE),0)</f>
        <v>9808</v>
      </c>
      <c r="BK2367" s="6">
        <f>_xlfn.IFNA(VLOOKUP(Grandview_Inventory[[#This Row],[condition]],Lookups!$H$17:$J$24,3,FALSE),0)</f>
        <v>25780</v>
      </c>
      <c r="BL2367" s="6">
        <f>Grandview_Inventory[[#This Row],[Eff_Age]]*Lookups!$B$14</f>
        <v>-239.16659999999999</v>
      </c>
      <c r="BM2367" s="6">
        <f>Grandview_Inventory[[#This Row],[living_area]]*Lookups!$B$15</f>
        <v>86335.100552000004</v>
      </c>
      <c r="BN2367" s="6">
        <f>Grandview_Inventory[[#This Row],[Fin BSMT]]*Lookups!$B$16</f>
        <v>0</v>
      </c>
      <c r="BO2367" s="6">
        <f>(Grandview_Inventory[[#This Row],[att_gar]]+Grandview_Inventory[[#This Row],[bltin_gar]])*Lookups!$B$17</f>
        <v>35008.174800000001</v>
      </c>
      <c r="BP2367" s="6">
        <f>Grandview_Inventory[[#This Row],[Plumbing Fixtures]]*Lookups!$B$18</f>
        <v>16083.5344</v>
      </c>
      <c r="BQ2367" s="6">
        <f>Grandview_Inventory[[#This Row],[detatched_value]]*Lookups!$B$19</f>
        <v>0</v>
      </c>
      <c r="BR2367" s="6">
        <f>SUM(Grandview_Inventory[[#This Row],[Intercept]:[det_value]])*Grandview_Inventory[[#This Row],[res_pct]]</f>
        <v>328609.59315199999</v>
      </c>
      <c r="BS2367" s="6">
        <f>Grandview_Inventory[[#This Row],[land_value]]</f>
        <v>48369.510983942157</v>
      </c>
      <c r="BT2367" s="4">
        <f>_xlfn.IFNA(VLOOKUP(Grandview_Inventory[[#This Row],[quality]],Lookups!$A$26:$C$33,3,FALSE),1)</f>
        <v>0.94295468617355149</v>
      </c>
      <c r="BU2367" s="4">
        <f>_xlfn.IFNA(VLOOKUP(Grandview_Inventory[[#This Row],[condition]],Lookups!$A$37:$C$44,3,FALSE),1)</f>
        <v>0.94347925387812148</v>
      </c>
      <c r="BV2367" s="4">
        <f>IF(Grandview_Inventory[[#This Row],[bldg_style]]="",1,_xlfn.IFNA(VLOOKUP(Grandview_Inventory[[#This Row],[decade]],Lookups!$F$29:$H$43,3,FALSE),1))</f>
        <v>0.94601966599150278</v>
      </c>
      <c r="BW2367" s="4">
        <f>_xlfn.IFNA(VLOOKUP(Grandview_Inventory[[#This Row],[living_area_range]],Lookups!$F$47:$H$56,3,FALSE),1)</f>
        <v>0.96135087979789358</v>
      </c>
      <c r="BX2367" s="4">
        <f>AVERAGE(Grandview_Inventory[[#This Row],[qual_adj]:[size_adj]])</f>
        <v>0.94845112146026733</v>
      </c>
      <c r="BY2367" s="6">
        <f>IF(Grandview_Inventory[[#This Row],[pre_res]]&lt;0,0,Grandview_Inventory[[#This Row],[pre_res]]*Grandview_Inventory[[#This Row],[overall_adj]])</f>
        <v>311670.1371476166</v>
      </c>
      <c r="BZ2367" s="6">
        <f>(Grandview_Inventory[[#This Row],[sum_land]]-IF(Grandview_Inventory[[#This Row],[no_utilities]]=1,12000,0))/IF(Grandview_Inventory[[#This Row],[unbuildable]]=1,2,1)</f>
        <v>48369.510983942157</v>
      </c>
      <c r="CA236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67">
        <f>ROUND(Grandview_Inventory[[#This Row],[det_value]]*Lookups!$M$28,-2)</f>
        <v>0</v>
      </c>
      <c r="CC2367">
        <f>IF(ROUND(Grandview_Inventory[[#This Row],[adj_res]]*Lookups!$M$28,-2)&lt;Grandview_Inventory[[#This Row],[min_res]],Grandview_Inventory[[#This Row],[min_res]],ROUND(Grandview_Inventory[[#This Row],[adj_res]]*Lookups!$M$28,-2))</f>
        <v>296100</v>
      </c>
      <c r="CD2367">
        <f>Grandview_Inventory[[#This Row],[final_det]]+Grandview_Inventory[[#This Row],[final_res]]</f>
        <v>296100</v>
      </c>
      <c r="CE2367">
        <f>Grandview_Inventory[[#This Row],[final_land]]+Grandview_Inventory[[#This Row],[final_imp]]+Grandview_Inventory[[#This Row],[crop_value]]</f>
        <v>342100</v>
      </c>
      <c r="CG2367" t="str">
        <f t="shared" si="36"/>
        <v>update valuation set market_land =46000, market_bldg=296100, market_total =342100, market_mdno =401, market_date ='9/10/2023' where link_id = (select link_id from parcel where parcel_year = '2024' and parcel_id = '23092621475');</v>
      </c>
    </row>
    <row r="2368" spans="1:85" x14ac:dyDescent="0.25">
      <c r="A2368">
        <v>23092621476</v>
      </c>
      <c r="B2368" t="s">
        <v>129</v>
      </c>
      <c r="C2368">
        <v>8250</v>
      </c>
      <c r="D2368" t="s">
        <v>129</v>
      </c>
      <c r="E2368" t="s">
        <v>53</v>
      </c>
      <c r="F2368" t="s">
        <v>53</v>
      </c>
      <c r="G2368">
        <v>4</v>
      </c>
      <c r="H2368" t="s">
        <v>54</v>
      </c>
      <c r="I2368">
        <v>251700</v>
      </c>
      <c r="J2368">
        <v>39100</v>
      </c>
      <c r="K2368">
        <v>0.19</v>
      </c>
      <c r="L236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68">
        <v>0</v>
      </c>
      <c r="N2368">
        <v>0</v>
      </c>
      <c r="O2368">
        <v>0</v>
      </c>
      <c r="P2368">
        <v>13398.7528</v>
      </c>
      <c r="Q2368">
        <v>63903</v>
      </c>
      <c r="R2368">
        <f>(Grandview_Inventory[[#This Row],[ln_acres]]*Grandview_Inventory[[#This Row],[coeff]])+Grandview_Inventory[[#This Row],[const]]</f>
        <v>41651.273092551026</v>
      </c>
      <c r="S2368" t="s">
        <v>61</v>
      </c>
      <c r="T2368">
        <v>1</v>
      </c>
      <c r="U2368" t="s">
        <v>62</v>
      </c>
      <c r="V2368" t="s">
        <v>57</v>
      </c>
      <c r="W2368">
        <v>0</v>
      </c>
      <c r="X2368">
        <v>0</v>
      </c>
      <c r="Y2368">
        <v>1</v>
      </c>
      <c r="Z2368">
        <v>1</v>
      </c>
      <c r="AA2368">
        <v>10</v>
      </c>
      <c r="AB2368">
        <v>2000</v>
      </c>
      <c r="AC2368">
        <v>1560</v>
      </c>
      <c r="AD2368">
        <v>1560</v>
      </c>
      <c r="AE2368">
        <v>0</v>
      </c>
      <c r="AF2368">
        <v>0</v>
      </c>
      <c r="AG2368">
        <v>0</v>
      </c>
      <c r="AH2368">
        <v>0</v>
      </c>
      <c r="AI2368">
        <v>400</v>
      </c>
      <c r="AJ2368">
        <v>0</v>
      </c>
      <c r="AK2368">
        <v>0</v>
      </c>
      <c r="AL2368">
        <v>0</v>
      </c>
      <c r="AM2368">
        <v>0</v>
      </c>
      <c r="AN2368">
        <v>100</v>
      </c>
      <c r="AO2368">
        <v>0</v>
      </c>
      <c r="AP2368">
        <v>9</v>
      </c>
      <c r="AQ2368">
        <v>0</v>
      </c>
      <c r="AR2368">
        <v>0</v>
      </c>
      <c r="AS2368" t="s">
        <v>58</v>
      </c>
      <c r="AT2368">
        <v>1</v>
      </c>
      <c r="AU2368" t="s">
        <v>63</v>
      </c>
      <c r="AV2368" t="s">
        <v>64</v>
      </c>
      <c r="AW2368">
        <v>1</v>
      </c>
      <c r="AX2368">
        <v>3</v>
      </c>
      <c r="AY2368">
        <v>0</v>
      </c>
      <c r="AZ2368">
        <v>0</v>
      </c>
      <c r="BA2368">
        <v>100</v>
      </c>
      <c r="BB2368">
        <v>100</v>
      </c>
      <c r="BC2368">
        <v>100</v>
      </c>
      <c r="BD2368">
        <v>100</v>
      </c>
      <c r="BE2368">
        <v>1</v>
      </c>
      <c r="BF2368">
        <v>15000</v>
      </c>
      <c r="BG2368">
        <v>1000</v>
      </c>
      <c r="BH2368" s="6">
        <f>Grandview_Inventory[[#This Row],[land_extract]]*Lookups!$B$3</f>
        <v>48369.510983942157</v>
      </c>
      <c r="BI2368" s="6">
        <f>IF(Grandview_Inventory[[#This Row],[bldg_style]]="",0,Lookups!$B$2)</f>
        <v>155833.95000000001</v>
      </c>
      <c r="BJ2368" s="6">
        <f>_xlfn.IFNA(VLOOKUP(Grandview_Inventory[[#This Row],[quality]],Lookups!$H$2:$J$14,3,FALSE),0)</f>
        <v>9808</v>
      </c>
      <c r="BK2368" s="6">
        <f>_xlfn.IFNA(VLOOKUP(Grandview_Inventory[[#This Row],[condition]],Lookups!$H$17:$J$24,3,FALSE),0)</f>
        <v>25780</v>
      </c>
      <c r="BL2368" s="6">
        <f>Grandview_Inventory[[#This Row],[Eff_Age]]*Lookups!$B$14</f>
        <v>-239.16659999999999</v>
      </c>
      <c r="BM2368" s="6">
        <f>Grandview_Inventory[[#This Row],[living_area]]*Lookups!$B$15</f>
        <v>97314.130680000002</v>
      </c>
      <c r="BN2368" s="6">
        <f>Grandview_Inventory[[#This Row],[Fin BSMT]]*Lookups!$B$16</f>
        <v>0</v>
      </c>
      <c r="BO2368" s="6">
        <f>(Grandview_Inventory[[#This Row],[att_gar]]+Grandview_Inventory[[#This Row],[bltin_gar]])*Lookups!$B$17</f>
        <v>35008.174800000001</v>
      </c>
      <c r="BP2368" s="6">
        <f>Grandview_Inventory[[#This Row],[Plumbing Fixtures]]*Lookups!$B$18</f>
        <v>18093.976200000001</v>
      </c>
      <c r="BQ2368" s="6">
        <f>Grandview_Inventory[[#This Row],[detatched_value]]*Lookups!$B$19</f>
        <v>0</v>
      </c>
      <c r="BR2368" s="6">
        <f>SUM(Grandview_Inventory[[#This Row],[Intercept]:[det_value]])*Grandview_Inventory[[#This Row],[res_pct]]</f>
        <v>341599.06507999997</v>
      </c>
      <c r="BS2368" s="6">
        <f>Grandview_Inventory[[#This Row],[land_value]]</f>
        <v>48369.510983942157</v>
      </c>
      <c r="BT2368" s="4">
        <f>_xlfn.IFNA(VLOOKUP(Grandview_Inventory[[#This Row],[quality]],Lookups!$A$26:$C$33,3,FALSE),1)</f>
        <v>0.94295468617355149</v>
      </c>
      <c r="BU2368" s="4">
        <f>_xlfn.IFNA(VLOOKUP(Grandview_Inventory[[#This Row],[condition]],Lookups!$A$37:$C$44,3,FALSE),1)</f>
        <v>0.94347925387812148</v>
      </c>
      <c r="BV2368" s="4">
        <f>IF(Grandview_Inventory[[#This Row],[bldg_style]]="",1,_xlfn.IFNA(VLOOKUP(Grandview_Inventory[[#This Row],[decade]],Lookups!$F$29:$H$43,3,FALSE),1))</f>
        <v>0.94601966599150278</v>
      </c>
      <c r="BW2368" s="4">
        <f>_xlfn.IFNA(VLOOKUP(Grandview_Inventory[[#This Row],[living_area_range]],Lookups!$F$47:$H$56,3,FALSE),1)</f>
        <v>0.96120133463014379</v>
      </c>
      <c r="BX2368" s="4">
        <f>AVERAGE(Grandview_Inventory[[#This Row],[qual_adj]:[size_adj]])</f>
        <v>0.94841373516832994</v>
      </c>
      <c r="BY2368" s="6">
        <f>IF(Grandview_Inventory[[#This Row],[pre_res]]&lt;0,0,Grandview_Inventory[[#This Row],[pre_res]]*Grandview_Inventory[[#This Row],[overall_adj]])</f>
        <v>323977.24524253217</v>
      </c>
      <c r="BZ2368" s="6">
        <f>(Grandview_Inventory[[#This Row],[sum_land]]-IF(Grandview_Inventory[[#This Row],[no_utilities]]=1,12000,0))/IF(Grandview_Inventory[[#This Row],[unbuildable]]=1,2,1)</f>
        <v>48369.510983942157</v>
      </c>
      <c r="CA236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68">
        <f>ROUND(Grandview_Inventory[[#This Row],[det_value]]*Lookups!$M$28,-2)</f>
        <v>0</v>
      </c>
      <c r="CC2368">
        <f>IF(ROUND(Grandview_Inventory[[#This Row],[adj_res]]*Lookups!$M$28,-2)&lt;Grandview_Inventory[[#This Row],[min_res]],Grandview_Inventory[[#This Row],[min_res]],ROUND(Grandview_Inventory[[#This Row],[adj_res]]*Lookups!$M$28,-2))</f>
        <v>307800</v>
      </c>
      <c r="CD2368">
        <f>Grandview_Inventory[[#This Row],[final_det]]+Grandview_Inventory[[#This Row],[final_res]]</f>
        <v>307800</v>
      </c>
      <c r="CE2368">
        <f>Grandview_Inventory[[#This Row],[final_land]]+Grandview_Inventory[[#This Row],[final_imp]]+Grandview_Inventory[[#This Row],[crop_value]]</f>
        <v>353800</v>
      </c>
      <c r="CG2368" t="str">
        <f t="shared" si="36"/>
        <v>update valuation set market_land =46000, market_bldg=307800, market_total =353800, market_mdno =401, market_date ='9/10/2023' where link_id = (select link_id from parcel where parcel_year = '2024' and parcel_id = '23092621476');</v>
      </c>
    </row>
    <row r="2369" spans="1:85" x14ac:dyDescent="0.25">
      <c r="A2369">
        <v>23092621477</v>
      </c>
      <c r="B2369" t="s">
        <v>129</v>
      </c>
      <c r="C2369">
        <v>8250</v>
      </c>
      <c r="D2369" t="s">
        <v>129</v>
      </c>
      <c r="E2369" t="s">
        <v>53</v>
      </c>
      <c r="F2369" t="s">
        <v>53</v>
      </c>
      <c r="G2369">
        <v>4</v>
      </c>
      <c r="H2369" t="s">
        <v>54</v>
      </c>
      <c r="I2369">
        <v>263600</v>
      </c>
      <c r="J2369">
        <v>39100</v>
      </c>
      <c r="K2369">
        <v>0.19</v>
      </c>
      <c r="L236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69">
        <v>0</v>
      </c>
      <c r="N2369">
        <v>0</v>
      </c>
      <c r="O2369">
        <v>0</v>
      </c>
      <c r="P2369">
        <v>13398.7528</v>
      </c>
      <c r="Q2369">
        <v>63903</v>
      </c>
      <c r="R2369">
        <f>(Grandview_Inventory[[#This Row],[ln_acres]]*Grandview_Inventory[[#This Row],[coeff]])+Grandview_Inventory[[#This Row],[const]]</f>
        <v>41651.273092551026</v>
      </c>
      <c r="S2369" t="s">
        <v>61</v>
      </c>
      <c r="T2369">
        <v>1</v>
      </c>
      <c r="U2369" t="s">
        <v>62</v>
      </c>
      <c r="V2369" t="s">
        <v>57</v>
      </c>
      <c r="W2369">
        <v>0</v>
      </c>
      <c r="X2369">
        <v>0</v>
      </c>
      <c r="Y2369">
        <v>1</v>
      </c>
      <c r="Z2369">
        <v>1</v>
      </c>
      <c r="AA2369">
        <v>10</v>
      </c>
      <c r="AB2369">
        <v>1500</v>
      </c>
      <c r="AC2369">
        <v>1460</v>
      </c>
      <c r="AD2369">
        <v>1460</v>
      </c>
      <c r="AE2369">
        <v>0</v>
      </c>
      <c r="AF2369">
        <v>0</v>
      </c>
      <c r="AG2369">
        <v>0</v>
      </c>
      <c r="AH2369">
        <v>0</v>
      </c>
      <c r="AI2369">
        <v>660</v>
      </c>
      <c r="AJ2369">
        <v>0</v>
      </c>
      <c r="AK2369">
        <v>0</v>
      </c>
      <c r="AL2369">
        <v>0</v>
      </c>
      <c r="AM2369">
        <v>0</v>
      </c>
      <c r="AN2369">
        <v>267</v>
      </c>
      <c r="AO2369">
        <v>0</v>
      </c>
      <c r="AP2369">
        <v>9</v>
      </c>
      <c r="AQ2369">
        <v>0</v>
      </c>
      <c r="AR2369">
        <v>0</v>
      </c>
      <c r="AS2369" t="s">
        <v>58</v>
      </c>
      <c r="AT2369">
        <v>1</v>
      </c>
      <c r="AU2369" t="s">
        <v>63</v>
      </c>
      <c r="AV2369" t="s">
        <v>64</v>
      </c>
      <c r="AW2369">
        <v>1</v>
      </c>
      <c r="AX2369">
        <v>3</v>
      </c>
      <c r="AY2369">
        <v>0</v>
      </c>
      <c r="AZ2369">
        <v>0</v>
      </c>
      <c r="BA2369">
        <v>100</v>
      </c>
      <c r="BB2369">
        <v>100</v>
      </c>
      <c r="BC2369">
        <v>100</v>
      </c>
      <c r="BD2369">
        <v>100</v>
      </c>
      <c r="BE2369">
        <v>1</v>
      </c>
      <c r="BF2369">
        <v>15000</v>
      </c>
      <c r="BG2369">
        <v>1000</v>
      </c>
      <c r="BH2369" s="6">
        <f>Grandview_Inventory[[#This Row],[land_extract]]*Lookups!$B$3</f>
        <v>48369.510983942157</v>
      </c>
      <c r="BI2369" s="6">
        <f>IF(Grandview_Inventory[[#This Row],[bldg_style]]="",0,Lookups!$B$2)</f>
        <v>155833.95000000001</v>
      </c>
      <c r="BJ2369" s="6">
        <f>_xlfn.IFNA(VLOOKUP(Grandview_Inventory[[#This Row],[quality]],Lookups!$H$2:$J$14,3,FALSE),0)</f>
        <v>9808</v>
      </c>
      <c r="BK2369" s="6">
        <f>_xlfn.IFNA(VLOOKUP(Grandview_Inventory[[#This Row],[condition]],Lookups!$H$17:$J$24,3,FALSE),0)</f>
        <v>25780</v>
      </c>
      <c r="BL2369" s="6">
        <f>Grandview_Inventory[[#This Row],[Eff_Age]]*Lookups!$B$14</f>
        <v>-239.16659999999999</v>
      </c>
      <c r="BM2369" s="6">
        <f>Grandview_Inventory[[#This Row],[living_area]]*Lookups!$B$15</f>
        <v>91076.045379999996</v>
      </c>
      <c r="BN2369" s="6">
        <f>Grandview_Inventory[[#This Row],[Fin BSMT]]*Lookups!$B$16</f>
        <v>0</v>
      </c>
      <c r="BO2369" s="6">
        <f>(Grandview_Inventory[[#This Row],[att_gar]]+Grandview_Inventory[[#This Row],[bltin_gar]])*Lookups!$B$17</f>
        <v>57763.488420000001</v>
      </c>
      <c r="BP2369" s="6">
        <f>Grandview_Inventory[[#This Row],[Plumbing Fixtures]]*Lookups!$B$18</f>
        <v>18093.976200000001</v>
      </c>
      <c r="BQ2369" s="6">
        <f>Grandview_Inventory[[#This Row],[detatched_value]]*Lookups!$B$19</f>
        <v>0</v>
      </c>
      <c r="BR2369" s="6">
        <f>SUM(Grandview_Inventory[[#This Row],[Intercept]:[det_value]])*Grandview_Inventory[[#This Row],[res_pct]]</f>
        <v>358116.29339999997</v>
      </c>
      <c r="BS2369" s="6">
        <f>Grandview_Inventory[[#This Row],[land_value]]</f>
        <v>48369.510983942157</v>
      </c>
      <c r="BT2369" s="4">
        <f>_xlfn.IFNA(VLOOKUP(Grandview_Inventory[[#This Row],[quality]],Lookups!$A$26:$C$33,3,FALSE),1)</f>
        <v>0.94295468617355149</v>
      </c>
      <c r="BU2369" s="4">
        <f>_xlfn.IFNA(VLOOKUP(Grandview_Inventory[[#This Row],[condition]],Lookups!$A$37:$C$44,3,FALSE),1)</f>
        <v>0.94347925387812148</v>
      </c>
      <c r="BV2369" s="4">
        <f>IF(Grandview_Inventory[[#This Row],[bldg_style]]="",1,_xlfn.IFNA(VLOOKUP(Grandview_Inventory[[#This Row],[decade]],Lookups!$F$29:$H$43,3,FALSE),1))</f>
        <v>0.94601966599150278</v>
      </c>
      <c r="BW2369" s="4">
        <f>_xlfn.IFNA(VLOOKUP(Grandview_Inventory[[#This Row],[living_area_range]],Lookups!$F$47:$H$56,3,FALSE),1)</f>
        <v>0.96135087979789358</v>
      </c>
      <c r="BX2369" s="4">
        <f>AVERAGE(Grandview_Inventory[[#This Row],[qual_adj]:[size_adj]])</f>
        <v>0.94845112146026733</v>
      </c>
      <c r="BY2369" s="6">
        <f>IF(Grandview_Inventory[[#This Row],[pre_res]]&lt;0,0,Grandview_Inventory[[#This Row],[pre_res]]*Grandview_Inventory[[#This Row],[overall_adj]])</f>
        <v>339655.80008842412</v>
      </c>
      <c r="BZ2369" s="6">
        <f>(Grandview_Inventory[[#This Row],[sum_land]]-IF(Grandview_Inventory[[#This Row],[no_utilities]]=1,12000,0))/IF(Grandview_Inventory[[#This Row],[unbuildable]]=1,2,1)</f>
        <v>48369.510983942157</v>
      </c>
      <c r="CA236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69">
        <f>ROUND(Grandview_Inventory[[#This Row],[det_value]]*Lookups!$M$28,-2)</f>
        <v>0</v>
      </c>
      <c r="CC2369">
        <f>IF(ROUND(Grandview_Inventory[[#This Row],[adj_res]]*Lookups!$M$28,-2)&lt;Grandview_Inventory[[#This Row],[min_res]],Grandview_Inventory[[#This Row],[min_res]],ROUND(Grandview_Inventory[[#This Row],[adj_res]]*Lookups!$M$28,-2))</f>
        <v>322700</v>
      </c>
      <c r="CD2369">
        <f>Grandview_Inventory[[#This Row],[final_det]]+Grandview_Inventory[[#This Row],[final_res]]</f>
        <v>322700</v>
      </c>
      <c r="CE2369">
        <f>Grandview_Inventory[[#This Row],[final_land]]+Grandview_Inventory[[#This Row],[final_imp]]+Grandview_Inventory[[#This Row],[crop_value]]</f>
        <v>368700</v>
      </c>
      <c r="CG2369" t="str">
        <f t="shared" si="36"/>
        <v>update valuation set market_land =46000, market_bldg=322700, market_total =368700, market_mdno =401, market_date ='9/10/2023' where link_id = (select link_id from parcel where parcel_year = '2024' and parcel_id = '23092621477');</v>
      </c>
    </row>
    <row r="2370" spans="1:85" x14ac:dyDescent="0.25">
      <c r="A2370">
        <v>23092621478</v>
      </c>
      <c r="B2370" t="s">
        <v>129</v>
      </c>
      <c r="C2370">
        <v>8250</v>
      </c>
      <c r="D2370" t="s">
        <v>129</v>
      </c>
      <c r="E2370" t="s">
        <v>53</v>
      </c>
      <c r="F2370" t="s">
        <v>53</v>
      </c>
      <c r="G2370">
        <v>4</v>
      </c>
      <c r="H2370" t="s">
        <v>54</v>
      </c>
      <c r="I2370">
        <v>278600</v>
      </c>
      <c r="J2370">
        <v>39100</v>
      </c>
      <c r="K2370">
        <v>0.19</v>
      </c>
      <c r="L237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0">
        <v>0</v>
      </c>
      <c r="N2370">
        <v>0</v>
      </c>
      <c r="O2370">
        <v>0</v>
      </c>
      <c r="P2370">
        <v>13398.7528</v>
      </c>
      <c r="Q2370">
        <v>63903</v>
      </c>
      <c r="R2370">
        <f>(Grandview_Inventory[[#This Row],[ln_acres]]*Grandview_Inventory[[#This Row],[coeff]])+Grandview_Inventory[[#This Row],[const]]</f>
        <v>41651.273092551026</v>
      </c>
      <c r="S2370" t="s">
        <v>55</v>
      </c>
      <c r="T2370">
        <v>2</v>
      </c>
      <c r="U2370" t="s">
        <v>62</v>
      </c>
      <c r="V2370" t="s">
        <v>57</v>
      </c>
      <c r="W2370">
        <v>0</v>
      </c>
      <c r="X2370">
        <v>0</v>
      </c>
      <c r="Y2370">
        <v>1</v>
      </c>
      <c r="Z2370">
        <v>1</v>
      </c>
      <c r="AA2370">
        <v>10</v>
      </c>
      <c r="AB2370">
        <v>2500</v>
      </c>
      <c r="AC2370">
        <v>2168</v>
      </c>
      <c r="AD2370">
        <v>896</v>
      </c>
      <c r="AE2370">
        <v>1272</v>
      </c>
      <c r="AF2370">
        <v>0</v>
      </c>
      <c r="AG2370">
        <v>0</v>
      </c>
      <c r="AH2370">
        <v>0</v>
      </c>
      <c r="AI2370">
        <v>0</v>
      </c>
      <c r="AJ2370">
        <v>440</v>
      </c>
      <c r="AK2370">
        <v>0</v>
      </c>
      <c r="AL2370">
        <v>0</v>
      </c>
      <c r="AM2370">
        <v>0</v>
      </c>
      <c r="AN2370">
        <v>272</v>
      </c>
      <c r="AO2370">
        <v>0</v>
      </c>
      <c r="AP2370">
        <v>12</v>
      </c>
      <c r="AQ2370">
        <v>0</v>
      </c>
      <c r="AR2370">
        <v>0</v>
      </c>
      <c r="AS2370" t="s">
        <v>58</v>
      </c>
      <c r="AT2370">
        <v>1</v>
      </c>
      <c r="AU2370" t="s">
        <v>63</v>
      </c>
      <c r="AV2370" t="s">
        <v>64</v>
      </c>
      <c r="AW2370">
        <v>1</v>
      </c>
      <c r="AX2370">
        <v>3</v>
      </c>
      <c r="AY2370">
        <v>0</v>
      </c>
      <c r="AZ2370">
        <v>0</v>
      </c>
      <c r="BA2370">
        <v>100</v>
      </c>
      <c r="BB2370">
        <v>100</v>
      </c>
      <c r="BC2370">
        <v>100</v>
      </c>
      <c r="BD2370">
        <v>100</v>
      </c>
      <c r="BE2370">
        <v>1</v>
      </c>
      <c r="BF2370">
        <v>15000</v>
      </c>
      <c r="BG2370">
        <v>1000</v>
      </c>
      <c r="BH2370" s="6">
        <f>Grandview_Inventory[[#This Row],[land_extract]]*Lookups!$B$3</f>
        <v>48369.510983942157</v>
      </c>
      <c r="BI2370" s="6">
        <f>IF(Grandview_Inventory[[#This Row],[bldg_style]]="",0,Lookups!$B$2)</f>
        <v>155833.95000000001</v>
      </c>
      <c r="BJ2370" s="6">
        <f>_xlfn.IFNA(VLOOKUP(Grandview_Inventory[[#This Row],[quality]],Lookups!$H$2:$J$14,3,FALSE),0)</f>
        <v>9808</v>
      </c>
      <c r="BK2370" s="6">
        <f>_xlfn.IFNA(VLOOKUP(Grandview_Inventory[[#This Row],[condition]],Lookups!$H$17:$J$24,3,FALSE),0)</f>
        <v>25780</v>
      </c>
      <c r="BL2370" s="6">
        <f>Grandview_Inventory[[#This Row],[Eff_Age]]*Lookups!$B$14</f>
        <v>-239.16659999999999</v>
      </c>
      <c r="BM2370" s="6">
        <f>Grandview_Inventory[[#This Row],[living_area]]*Lookups!$B$15</f>
        <v>135241.689304</v>
      </c>
      <c r="BN2370" s="6">
        <f>Grandview_Inventory[[#This Row],[Fin BSMT]]*Lookups!$B$16</f>
        <v>0</v>
      </c>
      <c r="BO2370" s="6">
        <f>(Grandview_Inventory[[#This Row],[att_gar]]+Grandview_Inventory[[#This Row],[bltin_gar]])*Lookups!$B$17</f>
        <v>38508.992279999999</v>
      </c>
      <c r="BP2370" s="6">
        <f>Grandview_Inventory[[#This Row],[Plumbing Fixtures]]*Lookups!$B$18</f>
        <v>24125.301599999999</v>
      </c>
      <c r="BQ2370" s="6">
        <f>Grandview_Inventory[[#This Row],[detatched_value]]*Lookups!$B$19</f>
        <v>0</v>
      </c>
      <c r="BR2370" s="6">
        <f>SUM(Grandview_Inventory[[#This Row],[Intercept]:[det_value]])*Grandview_Inventory[[#This Row],[res_pct]]</f>
        <v>389058.76658400003</v>
      </c>
      <c r="BS2370" s="6">
        <f>Grandview_Inventory[[#This Row],[land_value]]</f>
        <v>48369.510983942157</v>
      </c>
      <c r="BT2370" s="4">
        <f>_xlfn.IFNA(VLOOKUP(Grandview_Inventory[[#This Row],[quality]],Lookups!$A$26:$C$33,3,FALSE),1)</f>
        <v>0.94295468617355149</v>
      </c>
      <c r="BU2370" s="4">
        <f>_xlfn.IFNA(VLOOKUP(Grandview_Inventory[[#This Row],[condition]],Lookups!$A$37:$C$44,3,FALSE),1)</f>
        <v>0.94347925387812148</v>
      </c>
      <c r="BV2370" s="4">
        <f>IF(Grandview_Inventory[[#This Row],[bldg_style]]="",1,_xlfn.IFNA(VLOOKUP(Grandview_Inventory[[#This Row],[decade]],Lookups!$F$29:$H$43,3,FALSE),1))</f>
        <v>0.94601966599150278</v>
      </c>
      <c r="BW2370" s="4">
        <f>_xlfn.IFNA(VLOOKUP(Grandview_Inventory[[#This Row],[living_area_range]],Lookups!$F$47:$H$56,3,FALSE),1)</f>
        <v>0.95799442568048754</v>
      </c>
      <c r="BX2370" s="4">
        <f>AVERAGE(Grandview_Inventory[[#This Row],[qual_adj]:[size_adj]])</f>
        <v>0.94761200793091582</v>
      </c>
      <c r="BY2370" s="6">
        <f>IF(Grandview_Inventory[[#This Row],[pre_res]]&lt;0,0,Grandview_Inventory[[#This Row],[pre_res]]*Grandview_Inventory[[#This Row],[overall_adj]])</f>
        <v>368676.75900578976</v>
      </c>
      <c r="BZ2370" s="6">
        <f>(Grandview_Inventory[[#This Row],[sum_land]]-IF(Grandview_Inventory[[#This Row],[no_utilities]]=1,12000,0))/IF(Grandview_Inventory[[#This Row],[unbuildable]]=1,2,1)</f>
        <v>48369.510983942157</v>
      </c>
      <c r="CA237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0">
        <f>ROUND(Grandview_Inventory[[#This Row],[det_value]]*Lookups!$M$28,-2)</f>
        <v>0</v>
      </c>
      <c r="CC2370">
        <f>IF(ROUND(Grandview_Inventory[[#This Row],[adj_res]]*Lookups!$M$28,-2)&lt;Grandview_Inventory[[#This Row],[min_res]],Grandview_Inventory[[#This Row],[min_res]],ROUND(Grandview_Inventory[[#This Row],[adj_res]]*Lookups!$M$28,-2))</f>
        <v>350200</v>
      </c>
      <c r="CD2370">
        <f>Grandview_Inventory[[#This Row],[final_det]]+Grandview_Inventory[[#This Row],[final_res]]</f>
        <v>350200</v>
      </c>
      <c r="CE2370">
        <f>Grandview_Inventory[[#This Row],[final_land]]+Grandview_Inventory[[#This Row],[final_imp]]+Grandview_Inventory[[#This Row],[crop_value]]</f>
        <v>396200</v>
      </c>
      <c r="CG2370" t="str">
        <f t="shared" si="36"/>
        <v>update valuation set market_land =46000, market_bldg=350200, market_total =396200, market_mdno =401, market_date ='9/10/2023' where link_id = (select link_id from parcel where parcel_year = '2024' and parcel_id = '23092621478');</v>
      </c>
    </row>
    <row r="2371" spans="1:85" x14ac:dyDescent="0.25">
      <c r="A2371">
        <v>23092621479</v>
      </c>
      <c r="B2371" t="s">
        <v>129</v>
      </c>
      <c r="C2371">
        <v>8250</v>
      </c>
      <c r="D2371" t="s">
        <v>129</v>
      </c>
      <c r="E2371" t="s">
        <v>53</v>
      </c>
      <c r="F2371" t="s">
        <v>53</v>
      </c>
      <c r="G2371">
        <v>4</v>
      </c>
      <c r="H2371" t="s">
        <v>54</v>
      </c>
      <c r="I2371">
        <v>244300</v>
      </c>
      <c r="J2371">
        <v>39100</v>
      </c>
      <c r="K2371">
        <v>0.19</v>
      </c>
      <c r="L237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1">
        <v>0</v>
      </c>
      <c r="N2371">
        <v>0</v>
      </c>
      <c r="O2371">
        <v>0</v>
      </c>
      <c r="P2371">
        <v>13398.7528</v>
      </c>
      <c r="Q2371">
        <v>63903</v>
      </c>
      <c r="R2371">
        <f>(Grandview_Inventory[[#This Row],[ln_acres]]*Grandview_Inventory[[#This Row],[coeff]])+Grandview_Inventory[[#This Row],[const]]</f>
        <v>41651.273092551026</v>
      </c>
      <c r="S2371" t="s">
        <v>61</v>
      </c>
      <c r="T2371">
        <v>1</v>
      </c>
      <c r="U2371" t="s">
        <v>62</v>
      </c>
      <c r="V2371" t="s">
        <v>57</v>
      </c>
      <c r="W2371">
        <v>0</v>
      </c>
      <c r="X2371">
        <v>0</v>
      </c>
      <c r="Y2371">
        <v>1</v>
      </c>
      <c r="Z2371">
        <v>1</v>
      </c>
      <c r="AA2371">
        <v>10</v>
      </c>
      <c r="AB2371">
        <v>1500</v>
      </c>
      <c r="AC2371">
        <v>1384</v>
      </c>
      <c r="AD2371">
        <v>1384</v>
      </c>
      <c r="AE2371">
        <v>0</v>
      </c>
      <c r="AF2371">
        <v>0</v>
      </c>
      <c r="AG2371">
        <v>0</v>
      </c>
      <c r="AH2371">
        <v>0</v>
      </c>
      <c r="AI2371">
        <v>400</v>
      </c>
      <c r="AJ2371">
        <v>0</v>
      </c>
      <c r="AK2371">
        <v>0</v>
      </c>
      <c r="AL2371">
        <v>0</v>
      </c>
      <c r="AM2371">
        <v>144</v>
      </c>
      <c r="AN2371">
        <v>84</v>
      </c>
      <c r="AO2371">
        <v>0</v>
      </c>
      <c r="AP2371">
        <v>8</v>
      </c>
      <c r="AQ2371">
        <v>0</v>
      </c>
      <c r="AR2371">
        <v>0</v>
      </c>
      <c r="AS2371" t="s">
        <v>58</v>
      </c>
      <c r="AT2371">
        <v>1</v>
      </c>
      <c r="AU2371" t="s">
        <v>59</v>
      </c>
      <c r="AV2371" t="s">
        <v>60</v>
      </c>
      <c r="AW2371">
        <v>1</v>
      </c>
      <c r="AX2371">
        <v>3</v>
      </c>
      <c r="AY2371">
        <v>0</v>
      </c>
      <c r="AZ2371">
        <v>0</v>
      </c>
      <c r="BA2371">
        <v>100</v>
      </c>
      <c r="BB2371">
        <v>100</v>
      </c>
      <c r="BC2371">
        <v>100</v>
      </c>
      <c r="BD2371">
        <v>100</v>
      </c>
      <c r="BE2371">
        <v>1</v>
      </c>
      <c r="BF2371">
        <v>15000</v>
      </c>
      <c r="BG2371">
        <v>1000</v>
      </c>
      <c r="BH2371" s="6">
        <f>Grandview_Inventory[[#This Row],[land_extract]]*Lookups!$B$3</f>
        <v>48369.510983942157</v>
      </c>
      <c r="BI2371" s="6">
        <f>IF(Grandview_Inventory[[#This Row],[bldg_style]]="",0,Lookups!$B$2)</f>
        <v>155833.95000000001</v>
      </c>
      <c r="BJ2371" s="6">
        <f>_xlfn.IFNA(VLOOKUP(Grandview_Inventory[[#This Row],[quality]],Lookups!$H$2:$J$14,3,FALSE),0)</f>
        <v>9808</v>
      </c>
      <c r="BK2371" s="6">
        <f>_xlfn.IFNA(VLOOKUP(Grandview_Inventory[[#This Row],[condition]],Lookups!$H$17:$J$24,3,FALSE),0)</f>
        <v>25780</v>
      </c>
      <c r="BL2371" s="6">
        <f>Grandview_Inventory[[#This Row],[Eff_Age]]*Lookups!$B$14</f>
        <v>-239.16659999999999</v>
      </c>
      <c r="BM2371" s="6">
        <f>Grandview_Inventory[[#This Row],[living_area]]*Lookups!$B$15</f>
        <v>86335.100552000004</v>
      </c>
      <c r="BN2371" s="6">
        <f>Grandview_Inventory[[#This Row],[Fin BSMT]]*Lookups!$B$16</f>
        <v>0</v>
      </c>
      <c r="BO2371" s="6">
        <f>(Grandview_Inventory[[#This Row],[att_gar]]+Grandview_Inventory[[#This Row],[bltin_gar]])*Lookups!$B$17</f>
        <v>35008.174800000001</v>
      </c>
      <c r="BP2371" s="6">
        <f>Grandview_Inventory[[#This Row],[Plumbing Fixtures]]*Lookups!$B$18</f>
        <v>16083.5344</v>
      </c>
      <c r="BQ2371" s="6">
        <f>Grandview_Inventory[[#This Row],[detatched_value]]*Lookups!$B$19</f>
        <v>0</v>
      </c>
      <c r="BR2371" s="6">
        <f>SUM(Grandview_Inventory[[#This Row],[Intercept]:[det_value]])*Grandview_Inventory[[#This Row],[res_pct]]</f>
        <v>328609.59315199999</v>
      </c>
      <c r="BS2371" s="6">
        <f>Grandview_Inventory[[#This Row],[land_value]]</f>
        <v>48369.510983942157</v>
      </c>
      <c r="BT2371" s="4">
        <f>_xlfn.IFNA(VLOOKUP(Grandview_Inventory[[#This Row],[quality]],Lookups!$A$26:$C$33,3,FALSE),1)</f>
        <v>0.94295468617355149</v>
      </c>
      <c r="BU2371" s="4">
        <f>_xlfn.IFNA(VLOOKUP(Grandview_Inventory[[#This Row],[condition]],Lookups!$A$37:$C$44,3,FALSE),1)</f>
        <v>0.94347925387812148</v>
      </c>
      <c r="BV2371" s="4">
        <f>IF(Grandview_Inventory[[#This Row],[bldg_style]]="",1,_xlfn.IFNA(VLOOKUP(Grandview_Inventory[[#This Row],[decade]],Lookups!$F$29:$H$43,3,FALSE),1))</f>
        <v>0.94601966599150278</v>
      </c>
      <c r="BW2371" s="4">
        <f>_xlfn.IFNA(VLOOKUP(Grandview_Inventory[[#This Row],[living_area_range]],Lookups!$F$47:$H$56,3,FALSE),1)</f>
        <v>0.96135087979789358</v>
      </c>
      <c r="BX2371" s="4">
        <f>AVERAGE(Grandview_Inventory[[#This Row],[qual_adj]:[size_adj]])</f>
        <v>0.94845112146026733</v>
      </c>
      <c r="BY2371" s="6">
        <f>IF(Grandview_Inventory[[#This Row],[pre_res]]&lt;0,0,Grandview_Inventory[[#This Row],[pre_res]]*Grandview_Inventory[[#This Row],[overall_adj]])</f>
        <v>311670.1371476166</v>
      </c>
      <c r="BZ2371" s="6">
        <f>(Grandview_Inventory[[#This Row],[sum_land]]-IF(Grandview_Inventory[[#This Row],[no_utilities]]=1,12000,0))/IF(Grandview_Inventory[[#This Row],[unbuildable]]=1,2,1)</f>
        <v>48369.510983942157</v>
      </c>
      <c r="CA237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1">
        <f>ROUND(Grandview_Inventory[[#This Row],[det_value]]*Lookups!$M$28,-2)</f>
        <v>0</v>
      </c>
      <c r="CC2371">
        <f>IF(ROUND(Grandview_Inventory[[#This Row],[adj_res]]*Lookups!$M$28,-2)&lt;Grandview_Inventory[[#This Row],[min_res]],Grandview_Inventory[[#This Row],[min_res]],ROUND(Grandview_Inventory[[#This Row],[adj_res]]*Lookups!$M$28,-2))</f>
        <v>296100</v>
      </c>
      <c r="CD2371">
        <f>Grandview_Inventory[[#This Row],[final_det]]+Grandview_Inventory[[#This Row],[final_res]]</f>
        <v>296100</v>
      </c>
      <c r="CE2371">
        <f>Grandview_Inventory[[#This Row],[final_land]]+Grandview_Inventory[[#This Row],[final_imp]]+Grandview_Inventory[[#This Row],[crop_value]]</f>
        <v>342100</v>
      </c>
      <c r="CG2371" t="str">
        <f t="shared" ref="CG2371:CG2434" si="37">"update valuation set market_land ="&amp;CA2371&amp;", market_bldg="&amp;CD2371&amp;", market_total ="&amp;CE2371&amp;", market_mdno ="&amp;$CG$1&amp;", market_date ='"&amp;TEXT($CH$1,"m/d/yyyy")&amp;"' where link_id = (select link_id from parcel where parcel_year = '2024' and parcel_id = '"&amp;A2371&amp;"');"</f>
        <v>update valuation set market_land =46000, market_bldg=296100, market_total =342100, market_mdno =401, market_date ='9/10/2023' where link_id = (select link_id from parcel where parcel_year = '2024' and parcel_id = '23092621479');</v>
      </c>
    </row>
    <row r="2372" spans="1:85" x14ac:dyDescent="0.25">
      <c r="A2372">
        <v>23092621480</v>
      </c>
      <c r="B2372" t="s">
        <v>129</v>
      </c>
      <c r="C2372">
        <v>8250</v>
      </c>
      <c r="D2372" t="s">
        <v>129</v>
      </c>
      <c r="E2372" t="s">
        <v>53</v>
      </c>
      <c r="F2372" t="s">
        <v>53</v>
      </c>
      <c r="G2372">
        <v>4</v>
      </c>
      <c r="H2372" t="s">
        <v>54</v>
      </c>
      <c r="I2372">
        <v>313300</v>
      </c>
      <c r="J2372">
        <v>39100</v>
      </c>
      <c r="K2372">
        <v>0.19</v>
      </c>
      <c r="L237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2">
        <v>0</v>
      </c>
      <c r="N2372">
        <v>0</v>
      </c>
      <c r="O2372">
        <v>0</v>
      </c>
      <c r="P2372">
        <v>13398.7528</v>
      </c>
      <c r="Q2372">
        <v>63903</v>
      </c>
      <c r="R2372">
        <f>(Grandview_Inventory[[#This Row],[ln_acres]]*Grandview_Inventory[[#This Row],[coeff]])+Grandview_Inventory[[#This Row],[const]]</f>
        <v>41651.273092551026</v>
      </c>
      <c r="S2372" t="s">
        <v>55</v>
      </c>
      <c r="T2372">
        <v>2</v>
      </c>
      <c r="U2372" t="s">
        <v>62</v>
      </c>
      <c r="V2372" t="s">
        <v>57</v>
      </c>
      <c r="W2372">
        <v>0</v>
      </c>
      <c r="X2372">
        <v>0</v>
      </c>
      <c r="Y2372">
        <v>1</v>
      </c>
      <c r="Z2372">
        <v>1</v>
      </c>
      <c r="AA2372">
        <v>10</v>
      </c>
      <c r="AB2372">
        <v>3000</v>
      </c>
      <c r="AC2372">
        <v>2527</v>
      </c>
      <c r="AD2372">
        <v>1164</v>
      </c>
      <c r="AE2372">
        <v>1363</v>
      </c>
      <c r="AF2372">
        <v>0</v>
      </c>
      <c r="AG2372">
        <v>0</v>
      </c>
      <c r="AH2372">
        <v>0</v>
      </c>
      <c r="AI2372">
        <v>0</v>
      </c>
      <c r="AJ2372">
        <v>391</v>
      </c>
      <c r="AK2372">
        <v>0</v>
      </c>
      <c r="AL2372">
        <v>0</v>
      </c>
      <c r="AM2372">
        <v>0</v>
      </c>
      <c r="AN2372">
        <v>317</v>
      </c>
      <c r="AO2372">
        <v>0</v>
      </c>
      <c r="AP2372">
        <v>12</v>
      </c>
      <c r="AQ2372">
        <v>0</v>
      </c>
      <c r="AR2372">
        <v>0</v>
      </c>
      <c r="AS2372" t="s">
        <v>58</v>
      </c>
      <c r="AT2372">
        <v>1</v>
      </c>
      <c r="AU2372" t="s">
        <v>63</v>
      </c>
      <c r="AV2372" t="s">
        <v>60</v>
      </c>
      <c r="AW2372">
        <v>1</v>
      </c>
      <c r="AX2372">
        <v>3</v>
      </c>
      <c r="AY2372">
        <v>0</v>
      </c>
      <c r="AZ2372">
        <v>0</v>
      </c>
      <c r="BA2372">
        <v>100</v>
      </c>
      <c r="BB2372">
        <v>100</v>
      </c>
      <c r="BC2372">
        <v>100</v>
      </c>
      <c r="BD2372">
        <v>100</v>
      </c>
      <c r="BE2372">
        <v>1</v>
      </c>
      <c r="BF2372">
        <v>15000</v>
      </c>
      <c r="BG2372">
        <v>1000</v>
      </c>
      <c r="BH2372" s="6">
        <f>Grandview_Inventory[[#This Row],[land_extract]]*Lookups!$B$3</f>
        <v>48369.510983942157</v>
      </c>
      <c r="BI2372" s="6">
        <f>IF(Grandview_Inventory[[#This Row],[bldg_style]]="",0,Lookups!$B$2)</f>
        <v>155833.95000000001</v>
      </c>
      <c r="BJ2372" s="6">
        <f>_xlfn.IFNA(VLOOKUP(Grandview_Inventory[[#This Row],[quality]],Lookups!$H$2:$J$14,3,FALSE),0)</f>
        <v>9808</v>
      </c>
      <c r="BK2372" s="6">
        <f>_xlfn.IFNA(VLOOKUP(Grandview_Inventory[[#This Row],[condition]],Lookups!$H$17:$J$24,3,FALSE),0)</f>
        <v>25780</v>
      </c>
      <c r="BL2372" s="6">
        <f>Grandview_Inventory[[#This Row],[Eff_Age]]*Lookups!$B$14</f>
        <v>-239.16659999999999</v>
      </c>
      <c r="BM2372" s="6">
        <f>Grandview_Inventory[[#This Row],[living_area]]*Lookups!$B$15</f>
        <v>157636.41553100001</v>
      </c>
      <c r="BN2372" s="6">
        <f>Grandview_Inventory[[#This Row],[Fin BSMT]]*Lookups!$B$16</f>
        <v>0</v>
      </c>
      <c r="BO2372" s="6">
        <f>(Grandview_Inventory[[#This Row],[att_gar]]+Grandview_Inventory[[#This Row],[bltin_gar]])*Lookups!$B$17</f>
        <v>34220.490867</v>
      </c>
      <c r="BP2372" s="6">
        <f>Grandview_Inventory[[#This Row],[Plumbing Fixtures]]*Lookups!$B$18</f>
        <v>24125.301599999999</v>
      </c>
      <c r="BQ2372" s="6">
        <f>Grandview_Inventory[[#This Row],[detatched_value]]*Lookups!$B$19</f>
        <v>0</v>
      </c>
      <c r="BR2372" s="6">
        <f>SUM(Grandview_Inventory[[#This Row],[Intercept]:[det_value]])*Grandview_Inventory[[#This Row],[res_pct]]</f>
        <v>407164.99139800004</v>
      </c>
      <c r="BS2372" s="6">
        <f>Grandview_Inventory[[#This Row],[land_value]]</f>
        <v>48369.510983942157</v>
      </c>
      <c r="BT2372" s="4">
        <f>_xlfn.IFNA(VLOOKUP(Grandview_Inventory[[#This Row],[quality]],Lookups!$A$26:$C$33,3,FALSE),1)</f>
        <v>0.94295468617355149</v>
      </c>
      <c r="BU2372" s="4">
        <f>_xlfn.IFNA(VLOOKUP(Grandview_Inventory[[#This Row],[condition]],Lookups!$A$37:$C$44,3,FALSE),1)</f>
        <v>0.94347925387812148</v>
      </c>
      <c r="BV2372" s="4">
        <f>IF(Grandview_Inventory[[#This Row],[bldg_style]]="",1,_xlfn.IFNA(VLOOKUP(Grandview_Inventory[[#This Row],[decade]],Lookups!$F$29:$H$43,3,FALSE),1))</f>
        <v>0.94601966599150278</v>
      </c>
      <c r="BW2372" s="4">
        <f>_xlfn.IFNA(VLOOKUP(Grandview_Inventory[[#This Row],[living_area_range]],Lookups!$F$47:$H$56,3,FALSE),1)</f>
        <v>0.94224801443562123</v>
      </c>
      <c r="BX2372" s="4">
        <f>AVERAGE(Grandview_Inventory[[#This Row],[qual_adj]:[size_adj]])</f>
        <v>0.94367540511969927</v>
      </c>
      <c r="BY2372" s="6">
        <f>IF(Grandview_Inventory[[#This Row],[pre_res]]&lt;0,0,Grandview_Inventory[[#This Row],[pre_res]]*Grandview_Inventory[[#This Row],[overall_adj]])</f>
        <v>384231.58820806653</v>
      </c>
      <c r="BZ2372" s="6">
        <f>(Grandview_Inventory[[#This Row],[sum_land]]-IF(Grandview_Inventory[[#This Row],[no_utilities]]=1,12000,0))/IF(Grandview_Inventory[[#This Row],[unbuildable]]=1,2,1)</f>
        <v>48369.510983942157</v>
      </c>
      <c r="CA237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2">
        <f>ROUND(Grandview_Inventory[[#This Row],[det_value]]*Lookups!$M$28,-2)</f>
        <v>0</v>
      </c>
      <c r="CC2372">
        <f>IF(ROUND(Grandview_Inventory[[#This Row],[adj_res]]*Lookups!$M$28,-2)&lt;Grandview_Inventory[[#This Row],[min_res]],Grandview_Inventory[[#This Row],[min_res]],ROUND(Grandview_Inventory[[#This Row],[adj_res]]*Lookups!$M$28,-2))</f>
        <v>365000</v>
      </c>
      <c r="CD2372">
        <f>Grandview_Inventory[[#This Row],[final_det]]+Grandview_Inventory[[#This Row],[final_res]]</f>
        <v>365000</v>
      </c>
      <c r="CE2372">
        <f>Grandview_Inventory[[#This Row],[final_land]]+Grandview_Inventory[[#This Row],[final_imp]]+Grandview_Inventory[[#This Row],[crop_value]]</f>
        <v>411000</v>
      </c>
      <c r="CG2372" t="str">
        <f t="shared" si="37"/>
        <v>update valuation set market_land =46000, market_bldg=365000, market_total =411000, market_mdno =401, market_date ='9/10/2023' where link_id = (select link_id from parcel where parcel_year = '2024' and parcel_id = '23092621480');</v>
      </c>
    </row>
    <row r="2373" spans="1:85" x14ac:dyDescent="0.25">
      <c r="A2373">
        <v>23092621481</v>
      </c>
      <c r="B2373" t="s">
        <v>129</v>
      </c>
      <c r="C2373">
        <v>9900</v>
      </c>
      <c r="D2373" t="s">
        <v>129</v>
      </c>
      <c r="E2373" t="s">
        <v>53</v>
      </c>
      <c r="F2373" t="s">
        <v>53</v>
      </c>
      <c r="G2373">
        <v>4</v>
      </c>
      <c r="H2373" t="s">
        <v>54</v>
      </c>
      <c r="I2373">
        <v>0</v>
      </c>
      <c r="J2373">
        <v>33000</v>
      </c>
      <c r="K2373">
        <v>0.23</v>
      </c>
      <c r="L237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73">
        <v>0</v>
      </c>
      <c r="N2373">
        <v>0</v>
      </c>
      <c r="O2373">
        <v>0</v>
      </c>
      <c r="P2373">
        <v>13398.7528</v>
      </c>
      <c r="Q2373">
        <v>63903</v>
      </c>
      <c r="R2373">
        <f>(Grandview_Inventory[[#This Row],[ln_acres]]*Grandview_Inventory[[#This Row],[coeff]])+Grandview_Inventory[[#This Row],[const]]</f>
        <v>44211.174981080039</v>
      </c>
      <c r="S2373" t="s">
        <v>55</v>
      </c>
      <c r="T2373">
        <v>1</v>
      </c>
      <c r="U2373" t="s">
        <v>62</v>
      </c>
      <c r="V2373" t="s">
        <v>57</v>
      </c>
      <c r="W2373">
        <v>0</v>
      </c>
      <c r="X2373">
        <v>0</v>
      </c>
      <c r="Y2373">
        <v>1</v>
      </c>
      <c r="Z2373">
        <v>1</v>
      </c>
      <c r="AA2373">
        <v>10</v>
      </c>
      <c r="AB2373">
        <v>2500</v>
      </c>
      <c r="AC2373">
        <v>2168</v>
      </c>
      <c r="AD2373">
        <v>896</v>
      </c>
      <c r="AE2373">
        <v>1272</v>
      </c>
      <c r="AF2373">
        <v>0</v>
      </c>
      <c r="AG2373">
        <v>0</v>
      </c>
      <c r="AH2373">
        <v>0</v>
      </c>
      <c r="AI2373">
        <v>440</v>
      </c>
      <c r="AJ2373">
        <v>0</v>
      </c>
      <c r="AK2373">
        <v>0</v>
      </c>
      <c r="AL2373">
        <v>0</v>
      </c>
      <c r="AM2373">
        <v>144</v>
      </c>
      <c r="AN2373">
        <v>128</v>
      </c>
      <c r="AO2373">
        <v>144</v>
      </c>
      <c r="AP2373">
        <v>12</v>
      </c>
      <c r="AQ2373">
        <v>0</v>
      </c>
      <c r="AR2373">
        <v>0</v>
      </c>
      <c r="AS2373" t="s">
        <v>58</v>
      </c>
      <c r="AT2373">
        <v>1</v>
      </c>
      <c r="AU2373" t="s">
        <v>63</v>
      </c>
      <c r="AV2373" t="s">
        <v>64</v>
      </c>
      <c r="AW2373">
        <v>1</v>
      </c>
      <c r="AX2373">
        <v>3</v>
      </c>
      <c r="AY2373">
        <v>0</v>
      </c>
      <c r="AZ2373">
        <v>0</v>
      </c>
      <c r="BA2373">
        <v>100</v>
      </c>
      <c r="BB2373">
        <v>100</v>
      </c>
      <c r="BC2373">
        <v>100</v>
      </c>
      <c r="BD2373">
        <v>100</v>
      </c>
      <c r="BE2373">
        <v>1</v>
      </c>
      <c r="BF2373">
        <v>15000</v>
      </c>
      <c r="BG2373">
        <v>1000</v>
      </c>
      <c r="BH2373" s="6">
        <f>Grandview_Inventory[[#This Row],[land_extract]]*Lookups!$B$3</f>
        <v>51342.318135355803</v>
      </c>
      <c r="BI2373" s="6">
        <f>IF(Grandview_Inventory[[#This Row],[bldg_style]]="",0,Lookups!$B$2)</f>
        <v>155833.95000000001</v>
      </c>
      <c r="BJ2373" s="6">
        <f>_xlfn.IFNA(VLOOKUP(Grandview_Inventory[[#This Row],[quality]],Lookups!$H$2:$J$14,3,FALSE),0)</f>
        <v>9808</v>
      </c>
      <c r="BK2373" s="6">
        <f>_xlfn.IFNA(VLOOKUP(Grandview_Inventory[[#This Row],[condition]],Lookups!$H$17:$J$24,3,FALSE),0)</f>
        <v>25780</v>
      </c>
      <c r="BL2373" s="6">
        <f>Grandview_Inventory[[#This Row],[Eff_Age]]*Lookups!$B$14</f>
        <v>-239.16659999999999</v>
      </c>
      <c r="BM2373" s="6">
        <f>Grandview_Inventory[[#This Row],[living_area]]*Lookups!$B$15</f>
        <v>135241.689304</v>
      </c>
      <c r="BN2373" s="6">
        <f>Grandview_Inventory[[#This Row],[Fin BSMT]]*Lookups!$B$16</f>
        <v>0</v>
      </c>
      <c r="BO2373" s="6">
        <f>(Grandview_Inventory[[#This Row],[att_gar]]+Grandview_Inventory[[#This Row],[bltin_gar]])*Lookups!$B$17</f>
        <v>38508.992279999999</v>
      </c>
      <c r="BP2373" s="6">
        <f>Grandview_Inventory[[#This Row],[Plumbing Fixtures]]*Lookups!$B$18</f>
        <v>24125.301599999999</v>
      </c>
      <c r="BQ2373" s="6">
        <f>Grandview_Inventory[[#This Row],[detatched_value]]*Lookups!$B$19</f>
        <v>0</v>
      </c>
      <c r="BR2373" s="6">
        <f>SUM(Grandview_Inventory[[#This Row],[Intercept]:[det_value]])*Grandview_Inventory[[#This Row],[res_pct]]</f>
        <v>389058.76658400003</v>
      </c>
      <c r="BS2373" s="6">
        <f>Grandview_Inventory[[#This Row],[land_value]]</f>
        <v>51342.318135355803</v>
      </c>
      <c r="BT2373" s="4">
        <f>_xlfn.IFNA(VLOOKUP(Grandview_Inventory[[#This Row],[quality]],Lookups!$A$26:$C$33,3,FALSE),1)</f>
        <v>0.94295468617355149</v>
      </c>
      <c r="BU2373" s="4">
        <f>_xlfn.IFNA(VLOOKUP(Grandview_Inventory[[#This Row],[condition]],Lookups!$A$37:$C$44,3,FALSE),1)</f>
        <v>0.94347925387812148</v>
      </c>
      <c r="BV2373" s="4">
        <f>IF(Grandview_Inventory[[#This Row],[bldg_style]]="",1,_xlfn.IFNA(VLOOKUP(Grandview_Inventory[[#This Row],[decade]],Lookups!$F$29:$H$43,3,FALSE),1))</f>
        <v>0.94601966599150278</v>
      </c>
      <c r="BW2373" s="4">
        <f>_xlfn.IFNA(VLOOKUP(Grandview_Inventory[[#This Row],[living_area_range]],Lookups!$F$47:$H$56,3,FALSE),1)</f>
        <v>0.95799442568048754</v>
      </c>
      <c r="BX2373" s="4">
        <f>AVERAGE(Grandview_Inventory[[#This Row],[qual_adj]:[size_adj]])</f>
        <v>0.94761200793091582</v>
      </c>
      <c r="BY2373" s="6">
        <f>IF(Grandview_Inventory[[#This Row],[pre_res]]&lt;0,0,Grandview_Inventory[[#This Row],[pre_res]]*Grandview_Inventory[[#This Row],[overall_adj]])</f>
        <v>368676.75900578976</v>
      </c>
      <c r="BZ2373" s="6">
        <f>(Grandview_Inventory[[#This Row],[sum_land]]-IF(Grandview_Inventory[[#This Row],[no_utilities]]=1,12000,0))/IF(Grandview_Inventory[[#This Row],[unbuildable]]=1,2,1)</f>
        <v>51342.318135355803</v>
      </c>
      <c r="CA237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73">
        <f>ROUND(Grandview_Inventory[[#This Row],[det_value]]*Lookups!$M$28,-2)</f>
        <v>0</v>
      </c>
      <c r="CC2373">
        <f>IF(ROUND(Grandview_Inventory[[#This Row],[adj_res]]*Lookups!$M$28,-2)&lt;Grandview_Inventory[[#This Row],[min_res]],Grandview_Inventory[[#This Row],[min_res]],ROUND(Grandview_Inventory[[#This Row],[adj_res]]*Lookups!$M$28,-2))</f>
        <v>350200</v>
      </c>
      <c r="CD2373">
        <f>Grandview_Inventory[[#This Row],[final_det]]+Grandview_Inventory[[#This Row],[final_res]]</f>
        <v>350200</v>
      </c>
      <c r="CE2373">
        <f>Grandview_Inventory[[#This Row],[final_land]]+Grandview_Inventory[[#This Row],[final_imp]]+Grandview_Inventory[[#This Row],[crop_value]]</f>
        <v>399000</v>
      </c>
      <c r="CG2373" t="str">
        <f t="shared" si="37"/>
        <v>update valuation set market_land =48800, market_bldg=350200, market_total =399000, market_mdno =401, market_date ='9/10/2023' where link_id = (select link_id from parcel where parcel_year = '2024' and parcel_id = '23092621481');</v>
      </c>
    </row>
    <row r="2374" spans="1:85" x14ac:dyDescent="0.25">
      <c r="A2374">
        <v>23092621482</v>
      </c>
      <c r="B2374" t="s">
        <v>129</v>
      </c>
      <c r="C2374">
        <v>9900</v>
      </c>
      <c r="D2374" t="s">
        <v>129</v>
      </c>
      <c r="E2374" t="s">
        <v>53</v>
      </c>
      <c r="F2374" t="s">
        <v>53</v>
      </c>
      <c r="G2374">
        <v>4</v>
      </c>
      <c r="H2374" t="s">
        <v>54</v>
      </c>
      <c r="I2374">
        <v>290300</v>
      </c>
      <c r="J2374">
        <v>39500</v>
      </c>
      <c r="K2374">
        <v>0.23</v>
      </c>
      <c r="L2374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74">
        <v>0</v>
      </c>
      <c r="N2374">
        <v>0</v>
      </c>
      <c r="O2374">
        <v>0</v>
      </c>
      <c r="P2374">
        <v>13398.7528</v>
      </c>
      <c r="Q2374">
        <v>63903</v>
      </c>
      <c r="R2374">
        <f>(Grandview_Inventory[[#This Row],[ln_acres]]*Grandview_Inventory[[#This Row],[coeff]])+Grandview_Inventory[[#This Row],[const]]</f>
        <v>44211.174981080039</v>
      </c>
      <c r="S2374" t="s">
        <v>55</v>
      </c>
      <c r="T2374">
        <v>1</v>
      </c>
      <c r="U2374" t="s">
        <v>62</v>
      </c>
      <c r="V2374" t="s">
        <v>57</v>
      </c>
      <c r="W2374">
        <v>0</v>
      </c>
      <c r="X2374">
        <v>0</v>
      </c>
      <c r="Y2374">
        <v>1</v>
      </c>
      <c r="Z2374">
        <v>1</v>
      </c>
      <c r="AA2374">
        <v>10</v>
      </c>
      <c r="AB2374">
        <v>2500</v>
      </c>
      <c r="AC2374">
        <v>2168</v>
      </c>
      <c r="AD2374">
        <v>896</v>
      </c>
      <c r="AE2374">
        <v>1272</v>
      </c>
      <c r="AF2374">
        <v>0</v>
      </c>
      <c r="AG2374">
        <v>0</v>
      </c>
      <c r="AH2374">
        <v>0</v>
      </c>
      <c r="AI2374">
        <v>440</v>
      </c>
      <c r="AJ2374">
        <v>0</v>
      </c>
      <c r="AK2374">
        <v>0</v>
      </c>
      <c r="AL2374">
        <v>0</v>
      </c>
      <c r="AM2374">
        <v>144</v>
      </c>
      <c r="AN2374">
        <v>128</v>
      </c>
      <c r="AO2374">
        <v>144</v>
      </c>
      <c r="AP2374">
        <v>12</v>
      </c>
      <c r="AQ2374">
        <v>0</v>
      </c>
      <c r="AR2374">
        <v>0</v>
      </c>
      <c r="AS2374" t="s">
        <v>58</v>
      </c>
      <c r="AT2374">
        <v>1</v>
      </c>
      <c r="AU2374" t="s">
        <v>63</v>
      </c>
      <c r="AV2374" t="s">
        <v>64</v>
      </c>
      <c r="AW2374">
        <v>1</v>
      </c>
      <c r="AX2374">
        <v>3</v>
      </c>
      <c r="AY2374">
        <v>0</v>
      </c>
      <c r="AZ2374">
        <v>0</v>
      </c>
      <c r="BA2374">
        <v>100</v>
      </c>
      <c r="BB2374">
        <v>100</v>
      </c>
      <c r="BC2374">
        <v>100</v>
      </c>
      <c r="BD2374">
        <v>100</v>
      </c>
      <c r="BE2374">
        <v>1</v>
      </c>
      <c r="BF2374">
        <v>15000</v>
      </c>
      <c r="BG2374">
        <v>1000</v>
      </c>
      <c r="BH2374" s="6">
        <f>Grandview_Inventory[[#This Row],[land_extract]]*Lookups!$B$3</f>
        <v>51342.318135355803</v>
      </c>
      <c r="BI2374" s="6">
        <f>IF(Grandview_Inventory[[#This Row],[bldg_style]]="",0,Lookups!$B$2)</f>
        <v>155833.95000000001</v>
      </c>
      <c r="BJ2374" s="6">
        <f>_xlfn.IFNA(VLOOKUP(Grandview_Inventory[[#This Row],[quality]],Lookups!$H$2:$J$14,3,FALSE),0)</f>
        <v>9808</v>
      </c>
      <c r="BK2374" s="6">
        <f>_xlfn.IFNA(VLOOKUP(Grandview_Inventory[[#This Row],[condition]],Lookups!$H$17:$J$24,3,FALSE),0)</f>
        <v>25780</v>
      </c>
      <c r="BL2374" s="6">
        <f>Grandview_Inventory[[#This Row],[Eff_Age]]*Lookups!$B$14</f>
        <v>-239.16659999999999</v>
      </c>
      <c r="BM2374" s="6">
        <f>Grandview_Inventory[[#This Row],[living_area]]*Lookups!$B$15</f>
        <v>135241.689304</v>
      </c>
      <c r="BN2374" s="6">
        <f>Grandview_Inventory[[#This Row],[Fin BSMT]]*Lookups!$B$16</f>
        <v>0</v>
      </c>
      <c r="BO2374" s="6">
        <f>(Grandview_Inventory[[#This Row],[att_gar]]+Grandview_Inventory[[#This Row],[bltin_gar]])*Lookups!$B$17</f>
        <v>38508.992279999999</v>
      </c>
      <c r="BP2374" s="6">
        <f>Grandview_Inventory[[#This Row],[Plumbing Fixtures]]*Lookups!$B$18</f>
        <v>24125.301599999999</v>
      </c>
      <c r="BQ2374" s="6">
        <f>Grandview_Inventory[[#This Row],[detatched_value]]*Lookups!$B$19</f>
        <v>0</v>
      </c>
      <c r="BR2374" s="6">
        <f>SUM(Grandview_Inventory[[#This Row],[Intercept]:[det_value]])*Grandview_Inventory[[#This Row],[res_pct]]</f>
        <v>389058.76658400003</v>
      </c>
      <c r="BS2374" s="6">
        <f>Grandview_Inventory[[#This Row],[land_value]]</f>
        <v>51342.318135355803</v>
      </c>
      <c r="BT2374" s="4">
        <f>_xlfn.IFNA(VLOOKUP(Grandview_Inventory[[#This Row],[quality]],Lookups!$A$26:$C$33,3,FALSE),1)</f>
        <v>0.94295468617355149</v>
      </c>
      <c r="BU2374" s="4">
        <f>_xlfn.IFNA(VLOOKUP(Grandview_Inventory[[#This Row],[condition]],Lookups!$A$37:$C$44,3,FALSE),1)</f>
        <v>0.94347925387812148</v>
      </c>
      <c r="BV2374" s="4">
        <f>IF(Grandview_Inventory[[#This Row],[bldg_style]]="",1,_xlfn.IFNA(VLOOKUP(Grandview_Inventory[[#This Row],[decade]],Lookups!$F$29:$H$43,3,FALSE),1))</f>
        <v>0.94601966599150278</v>
      </c>
      <c r="BW2374" s="4">
        <f>_xlfn.IFNA(VLOOKUP(Grandview_Inventory[[#This Row],[living_area_range]],Lookups!$F$47:$H$56,3,FALSE),1)</f>
        <v>0.95799442568048754</v>
      </c>
      <c r="BX2374" s="4">
        <f>AVERAGE(Grandview_Inventory[[#This Row],[qual_adj]:[size_adj]])</f>
        <v>0.94761200793091582</v>
      </c>
      <c r="BY2374" s="6">
        <f>IF(Grandview_Inventory[[#This Row],[pre_res]]&lt;0,0,Grandview_Inventory[[#This Row],[pre_res]]*Grandview_Inventory[[#This Row],[overall_adj]])</f>
        <v>368676.75900578976</v>
      </c>
      <c r="BZ2374" s="6">
        <f>(Grandview_Inventory[[#This Row],[sum_land]]-IF(Grandview_Inventory[[#This Row],[no_utilities]]=1,12000,0))/IF(Grandview_Inventory[[#This Row],[unbuildable]]=1,2,1)</f>
        <v>51342.318135355803</v>
      </c>
      <c r="CA2374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74">
        <f>ROUND(Grandview_Inventory[[#This Row],[det_value]]*Lookups!$M$28,-2)</f>
        <v>0</v>
      </c>
      <c r="CC2374">
        <f>IF(ROUND(Grandview_Inventory[[#This Row],[adj_res]]*Lookups!$M$28,-2)&lt;Grandview_Inventory[[#This Row],[min_res]],Grandview_Inventory[[#This Row],[min_res]],ROUND(Grandview_Inventory[[#This Row],[adj_res]]*Lookups!$M$28,-2))</f>
        <v>350200</v>
      </c>
      <c r="CD2374">
        <f>Grandview_Inventory[[#This Row],[final_det]]+Grandview_Inventory[[#This Row],[final_res]]</f>
        <v>350200</v>
      </c>
      <c r="CE2374">
        <f>Grandview_Inventory[[#This Row],[final_land]]+Grandview_Inventory[[#This Row],[final_imp]]+Grandview_Inventory[[#This Row],[crop_value]]</f>
        <v>399000</v>
      </c>
      <c r="CG2374" t="str">
        <f t="shared" si="37"/>
        <v>update valuation set market_land =48800, market_bldg=350200, market_total =399000, market_mdno =401, market_date ='9/10/2023' where link_id = (select link_id from parcel where parcel_year = '2024' and parcel_id = '23092621482');</v>
      </c>
    </row>
    <row r="2375" spans="1:85" x14ac:dyDescent="0.25">
      <c r="A2375">
        <v>23092621483</v>
      </c>
      <c r="B2375" t="s">
        <v>129</v>
      </c>
      <c r="C2375">
        <v>8250</v>
      </c>
      <c r="D2375" t="s">
        <v>129</v>
      </c>
      <c r="E2375" t="s">
        <v>53</v>
      </c>
      <c r="F2375" t="s">
        <v>53</v>
      </c>
      <c r="G2375">
        <v>4</v>
      </c>
      <c r="H2375" t="s">
        <v>54</v>
      </c>
      <c r="I2375">
        <v>268900</v>
      </c>
      <c r="J2375">
        <v>39100</v>
      </c>
      <c r="K2375">
        <v>0.19</v>
      </c>
      <c r="L23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5">
        <v>0</v>
      </c>
      <c r="N2375">
        <v>0</v>
      </c>
      <c r="O2375">
        <v>0</v>
      </c>
      <c r="P2375">
        <v>13398.7528</v>
      </c>
      <c r="Q2375">
        <v>63903</v>
      </c>
      <c r="R2375">
        <f>(Grandview_Inventory[[#This Row],[ln_acres]]*Grandview_Inventory[[#This Row],[coeff]])+Grandview_Inventory[[#This Row],[const]]</f>
        <v>41651.273092551026</v>
      </c>
      <c r="S2375" t="s">
        <v>61</v>
      </c>
      <c r="T2375">
        <v>1</v>
      </c>
      <c r="U2375" t="s">
        <v>65</v>
      </c>
      <c r="V2375" t="s">
        <v>57</v>
      </c>
      <c r="W2375">
        <v>0</v>
      </c>
      <c r="X2375">
        <v>0</v>
      </c>
      <c r="Y2375">
        <v>1</v>
      </c>
      <c r="Z2375">
        <v>1</v>
      </c>
      <c r="AA2375">
        <v>10</v>
      </c>
      <c r="AB2375">
        <v>2000</v>
      </c>
      <c r="AC2375">
        <v>1560</v>
      </c>
      <c r="AD2375">
        <v>1560</v>
      </c>
      <c r="AE2375">
        <v>0</v>
      </c>
      <c r="AF2375">
        <v>0</v>
      </c>
      <c r="AG2375">
        <v>0</v>
      </c>
      <c r="AH2375">
        <v>0</v>
      </c>
      <c r="AI2375">
        <v>640</v>
      </c>
      <c r="AJ2375">
        <v>0</v>
      </c>
      <c r="AK2375">
        <v>0</v>
      </c>
      <c r="AL2375">
        <v>0</v>
      </c>
      <c r="AM2375">
        <v>0</v>
      </c>
      <c r="AN2375">
        <v>100</v>
      </c>
      <c r="AO2375">
        <v>0</v>
      </c>
      <c r="AP2375">
        <v>9</v>
      </c>
      <c r="AQ2375">
        <v>0</v>
      </c>
      <c r="AR2375">
        <v>0</v>
      </c>
      <c r="AS2375" t="s">
        <v>58</v>
      </c>
      <c r="AT2375">
        <v>1</v>
      </c>
      <c r="AU2375" t="s">
        <v>63</v>
      </c>
      <c r="AV2375" t="s">
        <v>64</v>
      </c>
      <c r="AW2375">
        <v>1</v>
      </c>
      <c r="AX2375">
        <v>3</v>
      </c>
      <c r="AY2375">
        <v>0</v>
      </c>
      <c r="AZ2375">
        <v>0</v>
      </c>
      <c r="BA2375">
        <v>100</v>
      </c>
      <c r="BB2375">
        <v>100</v>
      </c>
      <c r="BC2375">
        <v>100</v>
      </c>
      <c r="BD2375">
        <v>100</v>
      </c>
      <c r="BE2375">
        <v>1</v>
      </c>
      <c r="BF2375">
        <v>15000</v>
      </c>
      <c r="BG2375">
        <v>1000</v>
      </c>
      <c r="BH2375" s="6">
        <f>Grandview_Inventory[[#This Row],[land_extract]]*Lookups!$B$3</f>
        <v>48369.510983942157</v>
      </c>
      <c r="BI2375" s="6">
        <f>IF(Grandview_Inventory[[#This Row],[bldg_style]]="",0,Lookups!$B$2)</f>
        <v>155833.95000000001</v>
      </c>
      <c r="BJ2375" s="6">
        <f>_xlfn.IFNA(VLOOKUP(Grandview_Inventory[[#This Row],[quality]],Lookups!$H$2:$J$14,3,FALSE),0)</f>
        <v>2251</v>
      </c>
      <c r="BK2375" s="6">
        <f>_xlfn.IFNA(VLOOKUP(Grandview_Inventory[[#This Row],[condition]],Lookups!$H$17:$J$24,3,FALSE),0)</f>
        <v>25780</v>
      </c>
      <c r="BL2375" s="6">
        <f>Grandview_Inventory[[#This Row],[Eff_Age]]*Lookups!$B$14</f>
        <v>-239.16659999999999</v>
      </c>
      <c r="BM2375" s="6">
        <f>Grandview_Inventory[[#This Row],[living_area]]*Lookups!$B$15</f>
        <v>97314.130680000002</v>
      </c>
      <c r="BN2375" s="6">
        <f>Grandview_Inventory[[#This Row],[Fin BSMT]]*Lookups!$B$16</f>
        <v>0</v>
      </c>
      <c r="BO2375" s="6">
        <f>(Grandview_Inventory[[#This Row],[att_gar]]+Grandview_Inventory[[#This Row],[bltin_gar]])*Lookups!$B$17</f>
        <v>56013.079680000003</v>
      </c>
      <c r="BP2375" s="6">
        <f>Grandview_Inventory[[#This Row],[Plumbing Fixtures]]*Lookups!$B$18</f>
        <v>18093.976200000001</v>
      </c>
      <c r="BQ2375" s="6">
        <f>Grandview_Inventory[[#This Row],[detatched_value]]*Lookups!$B$19</f>
        <v>0</v>
      </c>
      <c r="BR2375" s="6">
        <f>SUM(Grandview_Inventory[[#This Row],[Intercept]:[det_value]])*Grandview_Inventory[[#This Row],[res_pct]]</f>
        <v>355046.96996000002</v>
      </c>
      <c r="BS2375" s="6">
        <f>Grandview_Inventory[[#This Row],[land_value]]</f>
        <v>48369.510983942157</v>
      </c>
      <c r="BT2375" s="4">
        <f>_xlfn.IFNA(VLOOKUP(Grandview_Inventory[[#This Row],[quality]],Lookups!$A$26:$C$33,3,FALSE),1)</f>
        <v>0.98763855981004833</v>
      </c>
      <c r="BU2375" s="4">
        <f>_xlfn.IFNA(VLOOKUP(Grandview_Inventory[[#This Row],[condition]],Lookups!$A$37:$C$44,3,FALSE),1)</f>
        <v>0.94347925387812148</v>
      </c>
      <c r="BV2375" s="4">
        <f>IF(Grandview_Inventory[[#This Row],[bldg_style]]="",1,_xlfn.IFNA(VLOOKUP(Grandview_Inventory[[#This Row],[decade]],Lookups!$F$29:$H$43,3,FALSE),1))</f>
        <v>0.94601966599150278</v>
      </c>
      <c r="BW2375" s="4">
        <f>_xlfn.IFNA(VLOOKUP(Grandview_Inventory[[#This Row],[living_area_range]],Lookups!$F$47:$H$56,3,FALSE),1)</f>
        <v>0.96120133463014379</v>
      </c>
      <c r="BX2375" s="4">
        <f>AVERAGE(Grandview_Inventory[[#This Row],[qual_adj]:[size_adj]])</f>
        <v>0.95958470357745407</v>
      </c>
      <c r="BY2375" s="6">
        <f>IF(Grandview_Inventory[[#This Row],[pre_res]]&lt;0,0,Grandview_Inventory[[#This Row],[pre_res]]*Grandview_Inventory[[#This Row],[overall_adj]])</f>
        <v>340697.64142513985</v>
      </c>
      <c r="BZ2375" s="6">
        <f>(Grandview_Inventory[[#This Row],[sum_land]]-IF(Grandview_Inventory[[#This Row],[no_utilities]]=1,12000,0))/IF(Grandview_Inventory[[#This Row],[unbuildable]]=1,2,1)</f>
        <v>48369.510983942157</v>
      </c>
      <c r="CA23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5">
        <f>ROUND(Grandview_Inventory[[#This Row],[det_value]]*Lookups!$M$28,-2)</f>
        <v>0</v>
      </c>
      <c r="CC2375">
        <f>IF(ROUND(Grandview_Inventory[[#This Row],[adj_res]]*Lookups!$M$28,-2)&lt;Grandview_Inventory[[#This Row],[min_res]],Grandview_Inventory[[#This Row],[min_res]],ROUND(Grandview_Inventory[[#This Row],[adj_res]]*Lookups!$M$28,-2))</f>
        <v>323700</v>
      </c>
      <c r="CD2375">
        <f>Grandview_Inventory[[#This Row],[final_det]]+Grandview_Inventory[[#This Row],[final_res]]</f>
        <v>323700</v>
      </c>
      <c r="CE2375">
        <f>Grandview_Inventory[[#This Row],[final_land]]+Grandview_Inventory[[#This Row],[final_imp]]+Grandview_Inventory[[#This Row],[crop_value]]</f>
        <v>369700</v>
      </c>
      <c r="CG2375" t="str">
        <f t="shared" si="37"/>
        <v>update valuation set market_land =46000, market_bldg=323700, market_total =369700, market_mdno =401, market_date ='9/10/2023' where link_id = (select link_id from parcel where parcel_year = '2024' and parcel_id = '23092621483');</v>
      </c>
    </row>
    <row r="2376" spans="1:85" x14ac:dyDescent="0.25">
      <c r="A2376">
        <v>23092621484</v>
      </c>
      <c r="B2376" t="s">
        <v>129</v>
      </c>
      <c r="C2376">
        <v>8426</v>
      </c>
      <c r="D2376" t="s">
        <v>129</v>
      </c>
      <c r="E2376" t="s">
        <v>53</v>
      </c>
      <c r="F2376" t="s">
        <v>53</v>
      </c>
      <c r="G2376">
        <v>4</v>
      </c>
      <c r="H2376" t="s">
        <v>54</v>
      </c>
      <c r="I2376">
        <v>249000</v>
      </c>
      <c r="J2376">
        <v>39100</v>
      </c>
      <c r="K2376">
        <v>0.19</v>
      </c>
      <c r="L237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6">
        <v>0</v>
      </c>
      <c r="N2376">
        <v>0</v>
      </c>
      <c r="O2376">
        <v>0</v>
      </c>
      <c r="P2376">
        <v>13398.7528</v>
      </c>
      <c r="Q2376">
        <v>63903</v>
      </c>
      <c r="R2376">
        <f>(Grandview_Inventory[[#This Row],[ln_acres]]*Grandview_Inventory[[#This Row],[coeff]])+Grandview_Inventory[[#This Row],[const]]</f>
        <v>41651.273092551026</v>
      </c>
      <c r="S2376" t="s">
        <v>61</v>
      </c>
      <c r="T2376">
        <v>1</v>
      </c>
      <c r="U2376" t="s">
        <v>62</v>
      </c>
      <c r="V2376" t="s">
        <v>57</v>
      </c>
      <c r="W2376">
        <v>0</v>
      </c>
      <c r="X2376">
        <v>0</v>
      </c>
      <c r="Y2376">
        <v>1</v>
      </c>
      <c r="Z2376">
        <v>1</v>
      </c>
      <c r="AA2376">
        <v>10</v>
      </c>
      <c r="AB2376">
        <v>1500</v>
      </c>
      <c r="AC2376">
        <v>1460</v>
      </c>
      <c r="AD2376">
        <v>1460</v>
      </c>
      <c r="AE2376">
        <v>0</v>
      </c>
      <c r="AF2376">
        <v>0</v>
      </c>
      <c r="AG2376">
        <v>0</v>
      </c>
      <c r="AH2376">
        <v>0</v>
      </c>
      <c r="AI2376">
        <v>440</v>
      </c>
      <c r="AJ2376">
        <v>0</v>
      </c>
      <c r="AK2376">
        <v>0</v>
      </c>
      <c r="AL2376">
        <v>0</v>
      </c>
      <c r="AM2376">
        <v>0</v>
      </c>
      <c r="AN2376">
        <v>177</v>
      </c>
      <c r="AO2376">
        <v>0</v>
      </c>
      <c r="AP2376">
        <v>9</v>
      </c>
      <c r="AQ2376">
        <v>0</v>
      </c>
      <c r="AR2376">
        <v>0</v>
      </c>
      <c r="AS2376" t="s">
        <v>58</v>
      </c>
      <c r="AT2376">
        <v>1</v>
      </c>
      <c r="AU2376" t="s">
        <v>63</v>
      </c>
      <c r="AV2376" t="s">
        <v>64</v>
      </c>
      <c r="AW2376">
        <v>1</v>
      </c>
      <c r="AX2376">
        <v>3</v>
      </c>
      <c r="AY2376">
        <v>0</v>
      </c>
      <c r="AZ2376">
        <v>0</v>
      </c>
      <c r="BA2376">
        <v>100</v>
      </c>
      <c r="BB2376">
        <v>100</v>
      </c>
      <c r="BC2376">
        <v>100</v>
      </c>
      <c r="BD2376">
        <v>100</v>
      </c>
      <c r="BE2376">
        <v>1</v>
      </c>
      <c r="BF2376">
        <v>15000</v>
      </c>
      <c r="BG2376">
        <v>1000</v>
      </c>
      <c r="BH2376" s="6">
        <f>Grandview_Inventory[[#This Row],[land_extract]]*Lookups!$B$3</f>
        <v>48369.510983942157</v>
      </c>
      <c r="BI2376" s="6">
        <f>IF(Grandview_Inventory[[#This Row],[bldg_style]]="",0,Lookups!$B$2)</f>
        <v>155833.95000000001</v>
      </c>
      <c r="BJ2376" s="6">
        <f>_xlfn.IFNA(VLOOKUP(Grandview_Inventory[[#This Row],[quality]],Lookups!$H$2:$J$14,3,FALSE),0)</f>
        <v>9808</v>
      </c>
      <c r="BK2376" s="6">
        <f>_xlfn.IFNA(VLOOKUP(Grandview_Inventory[[#This Row],[condition]],Lookups!$H$17:$J$24,3,FALSE),0)</f>
        <v>25780</v>
      </c>
      <c r="BL2376" s="6">
        <f>Grandview_Inventory[[#This Row],[Eff_Age]]*Lookups!$B$14</f>
        <v>-239.16659999999999</v>
      </c>
      <c r="BM2376" s="6">
        <f>Grandview_Inventory[[#This Row],[living_area]]*Lookups!$B$15</f>
        <v>91076.045379999996</v>
      </c>
      <c r="BN2376" s="6">
        <f>Grandview_Inventory[[#This Row],[Fin BSMT]]*Lookups!$B$16</f>
        <v>0</v>
      </c>
      <c r="BO2376" s="6">
        <f>(Grandview_Inventory[[#This Row],[att_gar]]+Grandview_Inventory[[#This Row],[bltin_gar]])*Lookups!$B$17</f>
        <v>38508.992279999999</v>
      </c>
      <c r="BP2376" s="6">
        <f>Grandview_Inventory[[#This Row],[Plumbing Fixtures]]*Lookups!$B$18</f>
        <v>18093.976200000001</v>
      </c>
      <c r="BQ2376" s="6">
        <f>Grandview_Inventory[[#This Row],[detatched_value]]*Lookups!$B$19</f>
        <v>0</v>
      </c>
      <c r="BR2376" s="6">
        <f>SUM(Grandview_Inventory[[#This Row],[Intercept]:[det_value]])*Grandview_Inventory[[#This Row],[res_pct]]</f>
        <v>338861.79725999996</v>
      </c>
      <c r="BS2376" s="6">
        <f>Grandview_Inventory[[#This Row],[land_value]]</f>
        <v>48369.510983942157</v>
      </c>
      <c r="BT2376" s="4">
        <f>_xlfn.IFNA(VLOOKUP(Grandview_Inventory[[#This Row],[quality]],Lookups!$A$26:$C$33,3,FALSE),1)</f>
        <v>0.94295468617355149</v>
      </c>
      <c r="BU2376" s="4">
        <f>_xlfn.IFNA(VLOOKUP(Grandview_Inventory[[#This Row],[condition]],Lookups!$A$37:$C$44,3,FALSE),1)</f>
        <v>0.94347925387812148</v>
      </c>
      <c r="BV2376" s="4">
        <f>IF(Grandview_Inventory[[#This Row],[bldg_style]]="",1,_xlfn.IFNA(VLOOKUP(Grandview_Inventory[[#This Row],[decade]],Lookups!$F$29:$H$43,3,FALSE),1))</f>
        <v>0.94601966599150278</v>
      </c>
      <c r="BW2376" s="4">
        <f>_xlfn.IFNA(VLOOKUP(Grandview_Inventory[[#This Row],[living_area_range]],Lookups!$F$47:$H$56,3,FALSE),1)</f>
        <v>0.96135087979789358</v>
      </c>
      <c r="BX2376" s="4">
        <f>AVERAGE(Grandview_Inventory[[#This Row],[qual_adj]:[size_adj]])</f>
        <v>0.94845112146026733</v>
      </c>
      <c r="BY2376" s="6">
        <f>IF(Grandview_Inventory[[#This Row],[pre_res]]&lt;0,0,Grandview_Inventory[[#This Row],[pre_res]]*Grandview_Inventory[[#This Row],[overall_adj]])</f>
        <v>321393.85163128871</v>
      </c>
      <c r="BZ2376" s="6">
        <f>(Grandview_Inventory[[#This Row],[sum_land]]-IF(Grandview_Inventory[[#This Row],[no_utilities]]=1,12000,0))/IF(Grandview_Inventory[[#This Row],[unbuildable]]=1,2,1)</f>
        <v>48369.510983942157</v>
      </c>
      <c r="CA237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6">
        <f>ROUND(Grandview_Inventory[[#This Row],[det_value]]*Lookups!$M$28,-2)</f>
        <v>0</v>
      </c>
      <c r="CC2376">
        <f>IF(ROUND(Grandview_Inventory[[#This Row],[adj_res]]*Lookups!$M$28,-2)&lt;Grandview_Inventory[[#This Row],[min_res]],Grandview_Inventory[[#This Row],[min_res]],ROUND(Grandview_Inventory[[#This Row],[adj_res]]*Lookups!$M$28,-2))</f>
        <v>305300</v>
      </c>
      <c r="CD2376">
        <f>Grandview_Inventory[[#This Row],[final_det]]+Grandview_Inventory[[#This Row],[final_res]]</f>
        <v>305300</v>
      </c>
      <c r="CE2376">
        <f>Grandview_Inventory[[#This Row],[final_land]]+Grandview_Inventory[[#This Row],[final_imp]]+Grandview_Inventory[[#This Row],[crop_value]]</f>
        <v>351300</v>
      </c>
      <c r="CG2376" t="str">
        <f t="shared" si="37"/>
        <v>update valuation set market_land =46000, market_bldg=305300, market_total =351300, market_mdno =401, market_date ='9/10/2023' where link_id = (select link_id from parcel where parcel_year = '2024' and parcel_id = '23092621484');</v>
      </c>
    </row>
    <row r="2377" spans="1:85" x14ac:dyDescent="0.25">
      <c r="A2377">
        <v>23092621485</v>
      </c>
      <c r="B2377" t="s">
        <v>129</v>
      </c>
      <c r="C2377">
        <v>7763</v>
      </c>
      <c r="D2377" t="s">
        <v>129</v>
      </c>
      <c r="E2377" t="s">
        <v>53</v>
      </c>
      <c r="F2377" t="s">
        <v>53</v>
      </c>
      <c r="G2377">
        <v>4</v>
      </c>
      <c r="H2377" t="s">
        <v>54</v>
      </c>
      <c r="I2377">
        <v>299200</v>
      </c>
      <c r="J2377">
        <v>39000</v>
      </c>
      <c r="K2377">
        <v>0.18</v>
      </c>
      <c r="L237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377">
        <v>0</v>
      </c>
      <c r="N2377">
        <v>0</v>
      </c>
      <c r="O2377">
        <v>0</v>
      </c>
      <c r="P2377">
        <v>13398.7528</v>
      </c>
      <c r="Q2377">
        <v>63903</v>
      </c>
      <c r="R2377">
        <f>(Grandview_Inventory[[#This Row],[ln_acres]]*Grandview_Inventory[[#This Row],[coeff]])+Grandview_Inventory[[#This Row],[const]]</f>
        <v>40926.839760167699</v>
      </c>
      <c r="S2377" t="s">
        <v>61</v>
      </c>
      <c r="T2377">
        <v>1</v>
      </c>
      <c r="U2377" t="s">
        <v>64</v>
      </c>
      <c r="V2377" t="s">
        <v>57</v>
      </c>
      <c r="W2377">
        <v>0</v>
      </c>
      <c r="X2377">
        <v>0</v>
      </c>
      <c r="Y2377">
        <v>1</v>
      </c>
      <c r="Z2377">
        <v>1</v>
      </c>
      <c r="AA2377">
        <v>10</v>
      </c>
      <c r="AB2377">
        <v>2000</v>
      </c>
      <c r="AC2377">
        <v>1985</v>
      </c>
      <c r="AD2377">
        <v>1985</v>
      </c>
      <c r="AE2377">
        <v>0</v>
      </c>
      <c r="AF2377">
        <v>0</v>
      </c>
      <c r="AG2377">
        <v>0</v>
      </c>
      <c r="AH2377">
        <v>0</v>
      </c>
      <c r="AI2377">
        <v>719</v>
      </c>
      <c r="AJ2377">
        <v>0</v>
      </c>
      <c r="AK2377">
        <v>0</v>
      </c>
      <c r="AL2377">
        <v>0</v>
      </c>
      <c r="AM2377">
        <v>120</v>
      </c>
      <c r="AN2377">
        <v>121</v>
      </c>
      <c r="AO2377">
        <v>120</v>
      </c>
      <c r="AP2377">
        <v>10</v>
      </c>
      <c r="AQ2377">
        <v>0</v>
      </c>
      <c r="AR2377">
        <v>0</v>
      </c>
      <c r="AS2377" t="s">
        <v>58</v>
      </c>
      <c r="AT2377">
        <v>1</v>
      </c>
      <c r="AU2377" t="s">
        <v>63</v>
      </c>
      <c r="AV2377" t="s">
        <v>64</v>
      </c>
      <c r="AW2377">
        <v>1</v>
      </c>
      <c r="AX2377">
        <v>4</v>
      </c>
      <c r="AY2377">
        <v>0</v>
      </c>
      <c r="AZ2377">
        <v>0</v>
      </c>
      <c r="BA2377">
        <v>100</v>
      </c>
      <c r="BB2377">
        <v>100</v>
      </c>
      <c r="BC2377">
        <v>100</v>
      </c>
      <c r="BD2377">
        <v>100</v>
      </c>
      <c r="BE2377">
        <v>1</v>
      </c>
      <c r="BF2377">
        <v>15000</v>
      </c>
      <c r="BG2377">
        <v>1000</v>
      </c>
      <c r="BH2377" s="6">
        <f>Grandview_Inventory[[#This Row],[land_extract]]*Lookups!$B$3</f>
        <v>47528.228511015397</v>
      </c>
      <c r="BI2377" s="6">
        <f>IF(Grandview_Inventory[[#This Row],[bldg_style]]="",0,Lookups!$B$2)</f>
        <v>155833.95000000001</v>
      </c>
      <c r="BJ2377" s="6">
        <f>_xlfn.IFNA(VLOOKUP(Grandview_Inventory[[#This Row],[quality]],Lookups!$H$2:$J$14,3,FALSE),0)</f>
        <v>20768</v>
      </c>
      <c r="BK2377" s="6">
        <f>_xlfn.IFNA(VLOOKUP(Grandview_Inventory[[#This Row],[condition]],Lookups!$H$17:$J$24,3,FALSE),0)</f>
        <v>25780</v>
      </c>
      <c r="BL2377" s="6">
        <f>Grandview_Inventory[[#This Row],[Eff_Age]]*Lookups!$B$14</f>
        <v>-239.16659999999999</v>
      </c>
      <c r="BM2377" s="6">
        <f>Grandview_Inventory[[#This Row],[living_area]]*Lookups!$B$15</f>
        <v>123825.99320500001</v>
      </c>
      <c r="BN2377" s="6">
        <f>Grandview_Inventory[[#This Row],[Fin BSMT]]*Lookups!$B$16</f>
        <v>0</v>
      </c>
      <c r="BO2377" s="6">
        <f>(Grandview_Inventory[[#This Row],[att_gar]]+Grandview_Inventory[[#This Row],[bltin_gar]])*Lookups!$B$17</f>
        <v>62927.194202999999</v>
      </c>
      <c r="BP2377" s="6">
        <f>Grandview_Inventory[[#This Row],[Plumbing Fixtures]]*Lookups!$B$18</f>
        <v>20104.418000000001</v>
      </c>
      <c r="BQ2377" s="6">
        <f>Grandview_Inventory[[#This Row],[detatched_value]]*Lookups!$B$19</f>
        <v>0</v>
      </c>
      <c r="BR2377" s="6">
        <f>SUM(Grandview_Inventory[[#This Row],[Intercept]:[det_value]])*Grandview_Inventory[[#This Row],[res_pct]]</f>
        <v>409000.38880800002</v>
      </c>
      <c r="BS2377" s="6">
        <f>Grandview_Inventory[[#This Row],[land_value]]</f>
        <v>47528.228511015397</v>
      </c>
      <c r="BT2377" s="4">
        <f>_xlfn.IFNA(VLOOKUP(Grandview_Inventory[[#This Row],[quality]],Lookups!$A$26:$C$33,3,FALSE),1)</f>
        <v>0.94960540378902636</v>
      </c>
      <c r="BU2377" s="4">
        <f>_xlfn.IFNA(VLOOKUP(Grandview_Inventory[[#This Row],[condition]],Lookups!$A$37:$C$44,3,FALSE),1)</f>
        <v>0.94347925387812148</v>
      </c>
      <c r="BV2377" s="4">
        <f>IF(Grandview_Inventory[[#This Row],[bldg_style]]="",1,_xlfn.IFNA(VLOOKUP(Grandview_Inventory[[#This Row],[decade]],Lookups!$F$29:$H$43,3,FALSE),1))</f>
        <v>0.94601966599150278</v>
      </c>
      <c r="BW2377" s="4">
        <f>_xlfn.IFNA(VLOOKUP(Grandview_Inventory[[#This Row],[living_area_range]],Lookups!$F$47:$H$56,3,FALSE),1)</f>
        <v>0.96120133463014379</v>
      </c>
      <c r="BX2377" s="4">
        <f>AVERAGE(Grandview_Inventory[[#This Row],[qual_adj]:[size_adj]])</f>
        <v>0.95007641457219871</v>
      </c>
      <c r="BY2377" s="6">
        <f>IF(Grandview_Inventory[[#This Row],[pre_res]]&lt;0,0,Grandview_Inventory[[#This Row],[pre_res]]*Grandview_Inventory[[#This Row],[overall_adj]])</f>
        <v>388581.62295733986</v>
      </c>
      <c r="BZ2377" s="6">
        <f>(Grandview_Inventory[[#This Row],[sum_land]]-IF(Grandview_Inventory[[#This Row],[no_utilities]]=1,12000,0))/IF(Grandview_Inventory[[#This Row],[unbuildable]]=1,2,1)</f>
        <v>47528.228511015397</v>
      </c>
      <c r="CA237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377">
        <f>ROUND(Grandview_Inventory[[#This Row],[det_value]]*Lookups!$M$28,-2)</f>
        <v>0</v>
      </c>
      <c r="CC2377">
        <f>IF(ROUND(Grandview_Inventory[[#This Row],[adj_res]]*Lookups!$M$28,-2)&lt;Grandview_Inventory[[#This Row],[min_res]],Grandview_Inventory[[#This Row],[min_res]],ROUND(Grandview_Inventory[[#This Row],[adj_res]]*Lookups!$M$28,-2))</f>
        <v>369200</v>
      </c>
      <c r="CD2377">
        <f>Grandview_Inventory[[#This Row],[final_det]]+Grandview_Inventory[[#This Row],[final_res]]</f>
        <v>369200</v>
      </c>
      <c r="CE2377">
        <f>Grandview_Inventory[[#This Row],[final_land]]+Grandview_Inventory[[#This Row],[final_imp]]+Grandview_Inventory[[#This Row],[crop_value]]</f>
        <v>414400</v>
      </c>
      <c r="CG2377" t="str">
        <f t="shared" si="37"/>
        <v>update valuation set market_land =45200, market_bldg=369200, market_total =414400, market_mdno =401, market_date ='9/10/2023' where link_id = (select link_id from parcel where parcel_year = '2024' and parcel_id = '23092621485');</v>
      </c>
    </row>
    <row r="2378" spans="1:85" x14ac:dyDescent="0.25">
      <c r="A2378">
        <v>23092621486</v>
      </c>
      <c r="B2378" t="s">
        <v>129</v>
      </c>
      <c r="C2378">
        <v>8350</v>
      </c>
      <c r="D2378" t="s">
        <v>129</v>
      </c>
      <c r="E2378" t="s">
        <v>53</v>
      </c>
      <c r="F2378" t="s">
        <v>53</v>
      </c>
      <c r="G2378">
        <v>4</v>
      </c>
      <c r="H2378" t="s">
        <v>54</v>
      </c>
      <c r="I2378">
        <v>316100</v>
      </c>
      <c r="J2378">
        <v>39100</v>
      </c>
      <c r="K2378">
        <v>0.19</v>
      </c>
      <c r="L237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8">
        <v>0</v>
      </c>
      <c r="N2378">
        <v>0</v>
      </c>
      <c r="O2378">
        <v>0</v>
      </c>
      <c r="P2378">
        <v>13398.7528</v>
      </c>
      <c r="Q2378">
        <v>63903</v>
      </c>
      <c r="R2378">
        <f>(Grandview_Inventory[[#This Row],[ln_acres]]*Grandview_Inventory[[#This Row],[coeff]])+Grandview_Inventory[[#This Row],[const]]</f>
        <v>41651.273092551026</v>
      </c>
      <c r="S2378" t="s">
        <v>58</v>
      </c>
      <c r="T2378">
        <v>2</v>
      </c>
      <c r="U2378" t="s">
        <v>64</v>
      </c>
      <c r="V2378" t="s">
        <v>57</v>
      </c>
      <c r="W2378">
        <v>0</v>
      </c>
      <c r="X2378">
        <v>0</v>
      </c>
      <c r="Y2378">
        <v>1</v>
      </c>
      <c r="Z2378">
        <v>1</v>
      </c>
      <c r="AA2378">
        <v>10</v>
      </c>
      <c r="AB2378">
        <v>2500</v>
      </c>
      <c r="AC2378">
        <v>2148</v>
      </c>
      <c r="AD2378">
        <v>896</v>
      </c>
      <c r="AE2378">
        <v>1252</v>
      </c>
      <c r="AF2378">
        <v>0</v>
      </c>
      <c r="AG2378">
        <v>0</v>
      </c>
      <c r="AH2378">
        <v>0</v>
      </c>
      <c r="AI2378">
        <v>220</v>
      </c>
      <c r="AJ2378">
        <v>440</v>
      </c>
      <c r="AK2378">
        <v>0</v>
      </c>
      <c r="AL2378">
        <v>0</v>
      </c>
      <c r="AM2378">
        <v>0</v>
      </c>
      <c r="AN2378">
        <v>108</v>
      </c>
      <c r="AO2378">
        <v>0</v>
      </c>
      <c r="AP2378">
        <v>12</v>
      </c>
      <c r="AQ2378">
        <v>0</v>
      </c>
      <c r="AR2378">
        <v>0</v>
      </c>
      <c r="AS2378" t="s">
        <v>58</v>
      </c>
      <c r="AT2378">
        <v>1</v>
      </c>
      <c r="AU2378" t="s">
        <v>63</v>
      </c>
      <c r="AV2378" t="s">
        <v>64</v>
      </c>
      <c r="AW2378">
        <v>1</v>
      </c>
      <c r="AX2378">
        <v>3</v>
      </c>
      <c r="AY2378">
        <v>0</v>
      </c>
      <c r="AZ2378">
        <v>0</v>
      </c>
      <c r="BA2378">
        <v>100</v>
      </c>
      <c r="BB2378">
        <v>100</v>
      </c>
      <c r="BC2378">
        <v>100</v>
      </c>
      <c r="BD2378">
        <v>100</v>
      </c>
      <c r="BE2378">
        <v>1</v>
      </c>
      <c r="BF2378">
        <v>15000</v>
      </c>
      <c r="BG2378">
        <v>1000</v>
      </c>
      <c r="BH2378" s="6">
        <f>Grandview_Inventory[[#This Row],[land_extract]]*Lookups!$B$3</f>
        <v>48369.510983942157</v>
      </c>
      <c r="BI2378" s="6">
        <f>IF(Grandview_Inventory[[#This Row],[bldg_style]]="",0,Lookups!$B$2)</f>
        <v>155833.95000000001</v>
      </c>
      <c r="BJ2378" s="6">
        <f>_xlfn.IFNA(VLOOKUP(Grandview_Inventory[[#This Row],[quality]],Lookups!$H$2:$J$14,3,FALSE),0)</f>
        <v>20768</v>
      </c>
      <c r="BK2378" s="6">
        <f>_xlfn.IFNA(VLOOKUP(Grandview_Inventory[[#This Row],[condition]],Lookups!$H$17:$J$24,3,FALSE),0)</f>
        <v>25780</v>
      </c>
      <c r="BL2378" s="6">
        <f>Grandview_Inventory[[#This Row],[Eff_Age]]*Lookups!$B$14</f>
        <v>-239.16659999999999</v>
      </c>
      <c r="BM2378" s="6">
        <f>Grandview_Inventory[[#This Row],[living_area]]*Lookups!$B$15</f>
        <v>133994.07224400001</v>
      </c>
      <c r="BN2378" s="6">
        <f>Grandview_Inventory[[#This Row],[Fin BSMT]]*Lookups!$B$16</f>
        <v>0</v>
      </c>
      <c r="BO2378" s="6">
        <f>(Grandview_Inventory[[#This Row],[att_gar]]+Grandview_Inventory[[#This Row],[bltin_gar]])*Lookups!$B$17</f>
        <v>57763.488420000001</v>
      </c>
      <c r="BP2378" s="6">
        <f>Grandview_Inventory[[#This Row],[Plumbing Fixtures]]*Lookups!$B$18</f>
        <v>24125.301599999999</v>
      </c>
      <c r="BQ2378" s="6">
        <f>Grandview_Inventory[[#This Row],[detatched_value]]*Lookups!$B$19</f>
        <v>0</v>
      </c>
      <c r="BR2378" s="6">
        <f>SUM(Grandview_Inventory[[#This Row],[Intercept]:[det_value]])*Grandview_Inventory[[#This Row],[res_pct]]</f>
        <v>418025.64566400001</v>
      </c>
      <c r="BS2378" s="6">
        <f>Grandview_Inventory[[#This Row],[land_value]]</f>
        <v>48369.510983942157</v>
      </c>
      <c r="BT2378" s="4">
        <f>_xlfn.IFNA(VLOOKUP(Grandview_Inventory[[#This Row],[quality]],Lookups!$A$26:$C$33,3,FALSE),1)</f>
        <v>0.94960540378902636</v>
      </c>
      <c r="BU2378" s="4">
        <f>_xlfn.IFNA(VLOOKUP(Grandview_Inventory[[#This Row],[condition]],Lookups!$A$37:$C$44,3,FALSE),1)</f>
        <v>0.94347925387812148</v>
      </c>
      <c r="BV2378" s="4">
        <f>IF(Grandview_Inventory[[#This Row],[bldg_style]]="",1,_xlfn.IFNA(VLOOKUP(Grandview_Inventory[[#This Row],[decade]],Lookups!$F$29:$H$43,3,FALSE),1))</f>
        <v>0.94601966599150278</v>
      </c>
      <c r="BW2378" s="4">
        <f>_xlfn.IFNA(VLOOKUP(Grandview_Inventory[[#This Row],[living_area_range]],Lookups!$F$47:$H$56,3,FALSE),1)</f>
        <v>0.95799442568048754</v>
      </c>
      <c r="BX2378" s="4">
        <f>AVERAGE(Grandview_Inventory[[#This Row],[qual_adj]:[size_adj]])</f>
        <v>0.94927468733478459</v>
      </c>
      <c r="BY2378" s="6">
        <f>IF(Grandview_Inventory[[#This Row],[pre_res]]&lt;0,0,Grandview_Inventory[[#This Row],[pre_res]]*Grandview_Inventory[[#This Row],[overall_adj]])</f>
        <v>396821.16408561508</v>
      </c>
      <c r="BZ2378" s="6">
        <f>(Grandview_Inventory[[#This Row],[sum_land]]-IF(Grandview_Inventory[[#This Row],[no_utilities]]=1,12000,0))/IF(Grandview_Inventory[[#This Row],[unbuildable]]=1,2,1)</f>
        <v>48369.510983942157</v>
      </c>
      <c r="CA237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8">
        <f>ROUND(Grandview_Inventory[[#This Row],[det_value]]*Lookups!$M$28,-2)</f>
        <v>0</v>
      </c>
      <c r="CC2378">
        <f>IF(ROUND(Grandview_Inventory[[#This Row],[adj_res]]*Lookups!$M$28,-2)&lt;Grandview_Inventory[[#This Row],[min_res]],Grandview_Inventory[[#This Row],[min_res]],ROUND(Grandview_Inventory[[#This Row],[adj_res]]*Lookups!$M$28,-2))</f>
        <v>377000</v>
      </c>
      <c r="CD2378">
        <f>Grandview_Inventory[[#This Row],[final_det]]+Grandview_Inventory[[#This Row],[final_res]]</f>
        <v>377000</v>
      </c>
      <c r="CE2378">
        <f>Grandview_Inventory[[#This Row],[final_land]]+Grandview_Inventory[[#This Row],[final_imp]]+Grandview_Inventory[[#This Row],[crop_value]]</f>
        <v>423000</v>
      </c>
      <c r="CG2378" t="str">
        <f t="shared" si="37"/>
        <v>update valuation set market_land =46000, market_bldg=377000, market_total =423000, market_mdno =401, market_date ='9/10/2023' where link_id = (select link_id from parcel where parcel_year = '2024' and parcel_id = '23092621486');</v>
      </c>
    </row>
    <row r="2379" spans="1:85" x14ac:dyDescent="0.25">
      <c r="A2379">
        <v>23092621487</v>
      </c>
      <c r="B2379" t="s">
        <v>129</v>
      </c>
      <c r="C2379">
        <v>8435</v>
      </c>
      <c r="D2379" t="s">
        <v>129</v>
      </c>
      <c r="E2379" t="s">
        <v>53</v>
      </c>
      <c r="F2379" t="s">
        <v>53</v>
      </c>
      <c r="G2379">
        <v>4</v>
      </c>
      <c r="H2379" t="s">
        <v>54</v>
      </c>
      <c r="I2379">
        <v>240300</v>
      </c>
      <c r="J2379">
        <v>39100</v>
      </c>
      <c r="K2379">
        <v>0.19</v>
      </c>
      <c r="L23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79">
        <v>0</v>
      </c>
      <c r="N2379">
        <v>0</v>
      </c>
      <c r="O2379">
        <v>0</v>
      </c>
      <c r="P2379">
        <v>13398.7528</v>
      </c>
      <c r="Q2379">
        <v>63903</v>
      </c>
      <c r="R2379">
        <f>(Grandview_Inventory[[#This Row],[ln_acres]]*Grandview_Inventory[[#This Row],[coeff]])+Grandview_Inventory[[#This Row],[const]]</f>
        <v>41651.273092551026</v>
      </c>
      <c r="S2379" t="s">
        <v>61</v>
      </c>
      <c r="T2379">
        <v>1</v>
      </c>
      <c r="U2379" t="s">
        <v>62</v>
      </c>
      <c r="V2379" t="s">
        <v>57</v>
      </c>
      <c r="W2379">
        <v>0</v>
      </c>
      <c r="X2379">
        <v>0</v>
      </c>
      <c r="Y2379">
        <v>1</v>
      </c>
      <c r="Z2379">
        <v>1</v>
      </c>
      <c r="AA2379">
        <v>10</v>
      </c>
      <c r="AB2379">
        <v>1500</v>
      </c>
      <c r="AC2379">
        <v>1378</v>
      </c>
      <c r="AD2379">
        <v>1378</v>
      </c>
      <c r="AE2379">
        <v>0</v>
      </c>
      <c r="AF2379">
        <v>0</v>
      </c>
      <c r="AG2379">
        <v>0</v>
      </c>
      <c r="AH2379">
        <v>0</v>
      </c>
      <c r="AI2379">
        <v>400</v>
      </c>
      <c r="AJ2379">
        <v>0</v>
      </c>
      <c r="AK2379">
        <v>0</v>
      </c>
      <c r="AL2379">
        <v>0</v>
      </c>
      <c r="AM2379">
        <v>0</v>
      </c>
      <c r="AN2379">
        <v>84</v>
      </c>
      <c r="AO2379">
        <v>0</v>
      </c>
      <c r="AP2379">
        <v>8</v>
      </c>
      <c r="AQ2379">
        <v>0</v>
      </c>
      <c r="AR2379">
        <v>0</v>
      </c>
      <c r="AS2379" t="s">
        <v>58</v>
      </c>
      <c r="AT2379">
        <v>1</v>
      </c>
      <c r="AU2379" t="s">
        <v>63</v>
      </c>
      <c r="AV2379" t="s">
        <v>64</v>
      </c>
      <c r="AW2379">
        <v>1</v>
      </c>
      <c r="AX2379">
        <v>3</v>
      </c>
      <c r="AY2379">
        <v>0</v>
      </c>
      <c r="AZ2379">
        <v>0</v>
      </c>
      <c r="BA2379">
        <v>100</v>
      </c>
      <c r="BB2379">
        <v>100</v>
      </c>
      <c r="BC2379">
        <v>100</v>
      </c>
      <c r="BD2379">
        <v>100</v>
      </c>
      <c r="BE2379">
        <v>1</v>
      </c>
      <c r="BF2379">
        <v>15000</v>
      </c>
      <c r="BG2379">
        <v>1000</v>
      </c>
      <c r="BH2379" s="6">
        <f>Grandview_Inventory[[#This Row],[land_extract]]*Lookups!$B$3</f>
        <v>48369.510983942157</v>
      </c>
      <c r="BI2379" s="6">
        <f>IF(Grandview_Inventory[[#This Row],[bldg_style]]="",0,Lookups!$B$2)</f>
        <v>155833.95000000001</v>
      </c>
      <c r="BJ2379" s="6">
        <f>_xlfn.IFNA(VLOOKUP(Grandview_Inventory[[#This Row],[quality]],Lookups!$H$2:$J$14,3,FALSE),0)</f>
        <v>9808</v>
      </c>
      <c r="BK2379" s="6">
        <f>_xlfn.IFNA(VLOOKUP(Grandview_Inventory[[#This Row],[condition]],Lookups!$H$17:$J$24,3,FALSE),0)</f>
        <v>25780</v>
      </c>
      <c r="BL2379" s="6">
        <f>Grandview_Inventory[[#This Row],[Eff_Age]]*Lookups!$B$14</f>
        <v>-239.16659999999999</v>
      </c>
      <c r="BM2379" s="6">
        <f>Grandview_Inventory[[#This Row],[living_area]]*Lookups!$B$15</f>
        <v>85960.815434000004</v>
      </c>
      <c r="BN2379" s="6">
        <f>Grandview_Inventory[[#This Row],[Fin BSMT]]*Lookups!$B$16</f>
        <v>0</v>
      </c>
      <c r="BO2379" s="6">
        <f>(Grandview_Inventory[[#This Row],[att_gar]]+Grandview_Inventory[[#This Row],[bltin_gar]])*Lookups!$B$17</f>
        <v>35008.174800000001</v>
      </c>
      <c r="BP2379" s="6">
        <f>Grandview_Inventory[[#This Row],[Plumbing Fixtures]]*Lookups!$B$18</f>
        <v>16083.5344</v>
      </c>
      <c r="BQ2379" s="6">
        <f>Grandview_Inventory[[#This Row],[detatched_value]]*Lookups!$B$19</f>
        <v>0</v>
      </c>
      <c r="BR2379" s="6">
        <f>SUM(Grandview_Inventory[[#This Row],[Intercept]:[det_value]])*Grandview_Inventory[[#This Row],[res_pct]]</f>
        <v>328235.30803399999</v>
      </c>
      <c r="BS2379" s="6">
        <f>Grandview_Inventory[[#This Row],[land_value]]</f>
        <v>48369.510983942157</v>
      </c>
      <c r="BT2379" s="4">
        <f>_xlfn.IFNA(VLOOKUP(Grandview_Inventory[[#This Row],[quality]],Lookups!$A$26:$C$33,3,FALSE),1)</f>
        <v>0.94295468617355149</v>
      </c>
      <c r="BU2379" s="4">
        <f>_xlfn.IFNA(VLOOKUP(Grandview_Inventory[[#This Row],[condition]],Lookups!$A$37:$C$44,3,FALSE),1)</f>
        <v>0.94347925387812148</v>
      </c>
      <c r="BV2379" s="4">
        <f>IF(Grandview_Inventory[[#This Row],[bldg_style]]="",1,_xlfn.IFNA(VLOOKUP(Grandview_Inventory[[#This Row],[decade]],Lookups!$F$29:$H$43,3,FALSE),1))</f>
        <v>0.94601966599150278</v>
      </c>
      <c r="BW2379" s="4">
        <f>_xlfn.IFNA(VLOOKUP(Grandview_Inventory[[#This Row],[living_area_range]],Lookups!$F$47:$H$56,3,FALSE),1)</f>
        <v>0.96135087979789358</v>
      </c>
      <c r="BX2379" s="4">
        <f>AVERAGE(Grandview_Inventory[[#This Row],[qual_adj]:[size_adj]])</f>
        <v>0.94845112146026733</v>
      </c>
      <c r="BY2379" s="6">
        <f>IF(Grandview_Inventory[[#This Row],[pre_res]]&lt;0,0,Grandview_Inventory[[#This Row],[pre_res]]*Grandview_Inventory[[#This Row],[overall_adj]])</f>
        <v>311315.14600770356</v>
      </c>
      <c r="BZ2379" s="6">
        <f>(Grandview_Inventory[[#This Row],[sum_land]]-IF(Grandview_Inventory[[#This Row],[no_utilities]]=1,12000,0))/IF(Grandview_Inventory[[#This Row],[unbuildable]]=1,2,1)</f>
        <v>48369.510983942157</v>
      </c>
      <c r="CA23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79">
        <f>ROUND(Grandview_Inventory[[#This Row],[det_value]]*Lookups!$M$28,-2)</f>
        <v>0</v>
      </c>
      <c r="CC2379">
        <f>IF(ROUND(Grandview_Inventory[[#This Row],[adj_res]]*Lookups!$M$28,-2)&lt;Grandview_Inventory[[#This Row],[min_res]],Grandview_Inventory[[#This Row],[min_res]],ROUND(Grandview_Inventory[[#This Row],[adj_res]]*Lookups!$M$28,-2))</f>
        <v>295700</v>
      </c>
      <c r="CD2379">
        <f>Grandview_Inventory[[#This Row],[final_det]]+Grandview_Inventory[[#This Row],[final_res]]</f>
        <v>295700</v>
      </c>
      <c r="CE2379">
        <f>Grandview_Inventory[[#This Row],[final_land]]+Grandview_Inventory[[#This Row],[final_imp]]+Grandview_Inventory[[#This Row],[crop_value]]</f>
        <v>341700</v>
      </c>
      <c r="CG2379" t="str">
        <f t="shared" si="37"/>
        <v>update valuation set market_land =46000, market_bldg=295700, market_total =341700, market_mdno =401, market_date ='9/10/2023' where link_id = (select link_id from parcel where parcel_year = '2024' and parcel_id = '23092621487');</v>
      </c>
    </row>
    <row r="2380" spans="1:85" x14ac:dyDescent="0.25">
      <c r="A2380">
        <v>23092621488</v>
      </c>
      <c r="B2380" t="s">
        <v>129</v>
      </c>
      <c r="C2380">
        <v>9534</v>
      </c>
      <c r="D2380" t="s">
        <v>129</v>
      </c>
      <c r="E2380" t="s">
        <v>53</v>
      </c>
      <c r="F2380" t="s">
        <v>53</v>
      </c>
      <c r="G2380">
        <v>4</v>
      </c>
      <c r="H2380" t="s">
        <v>54</v>
      </c>
      <c r="I2380">
        <v>288600</v>
      </c>
      <c r="J2380">
        <v>39500</v>
      </c>
      <c r="K2380">
        <v>0.22</v>
      </c>
      <c r="L2380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380">
        <v>0</v>
      </c>
      <c r="N2380">
        <v>0</v>
      </c>
      <c r="O2380">
        <v>0</v>
      </c>
      <c r="P2380">
        <v>13398.7528</v>
      </c>
      <c r="Q2380">
        <v>63903</v>
      </c>
      <c r="R2380">
        <f>(Grandview_Inventory[[#This Row],[ln_acres]]*Grandview_Inventory[[#This Row],[coeff]])+Grandview_Inventory[[#This Row],[const]]</f>
        <v>43615.576802869145</v>
      </c>
      <c r="S2380" t="s">
        <v>55</v>
      </c>
      <c r="T2380">
        <v>2</v>
      </c>
      <c r="U2380" t="s">
        <v>62</v>
      </c>
      <c r="V2380" t="s">
        <v>57</v>
      </c>
      <c r="W2380">
        <v>0</v>
      </c>
      <c r="X2380">
        <v>0</v>
      </c>
      <c r="Y2380">
        <v>1</v>
      </c>
      <c r="Z2380">
        <v>1</v>
      </c>
      <c r="AA2380">
        <v>10</v>
      </c>
      <c r="AB2380">
        <v>2500</v>
      </c>
      <c r="AC2380">
        <v>2168</v>
      </c>
      <c r="AD2380">
        <v>896</v>
      </c>
      <c r="AE2380">
        <v>1272</v>
      </c>
      <c r="AF2380">
        <v>0</v>
      </c>
      <c r="AG2380">
        <v>0</v>
      </c>
      <c r="AH2380">
        <v>0</v>
      </c>
      <c r="AI2380">
        <v>0</v>
      </c>
      <c r="AJ2380">
        <v>440</v>
      </c>
      <c r="AK2380">
        <v>0</v>
      </c>
      <c r="AL2380">
        <v>0</v>
      </c>
      <c r="AM2380">
        <v>0</v>
      </c>
      <c r="AN2380">
        <v>272</v>
      </c>
      <c r="AO2380">
        <v>0</v>
      </c>
      <c r="AP2380">
        <v>11</v>
      </c>
      <c r="AQ2380">
        <v>0</v>
      </c>
      <c r="AR2380">
        <v>0</v>
      </c>
      <c r="AS2380" t="s">
        <v>58</v>
      </c>
      <c r="AT2380">
        <v>1</v>
      </c>
      <c r="AU2380" t="s">
        <v>63</v>
      </c>
      <c r="AV2380" t="s">
        <v>64</v>
      </c>
      <c r="AW2380">
        <v>1</v>
      </c>
      <c r="AX2380">
        <v>3</v>
      </c>
      <c r="AY2380">
        <v>0</v>
      </c>
      <c r="AZ2380">
        <v>0</v>
      </c>
      <c r="BA2380">
        <v>100</v>
      </c>
      <c r="BB2380">
        <v>100</v>
      </c>
      <c r="BC2380">
        <v>100</v>
      </c>
      <c r="BD2380">
        <v>100</v>
      </c>
      <c r="BE2380">
        <v>1</v>
      </c>
      <c r="BF2380">
        <v>15000</v>
      </c>
      <c r="BG2380">
        <v>1000</v>
      </c>
      <c r="BH2380" s="6">
        <f>Grandview_Inventory[[#This Row],[land_extract]]*Lookups!$B$3</f>
        <v>50650.651579114572</v>
      </c>
      <c r="BI2380" s="6">
        <f>IF(Grandview_Inventory[[#This Row],[bldg_style]]="",0,Lookups!$B$2)</f>
        <v>155833.95000000001</v>
      </c>
      <c r="BJ2380" s="6">
        <f>_xlfn.IFNA(VLOOKUP(Grandview_Inventory[[#This Row],[quality]],Lookups!$H$2:$J$14,3,FALSE),0)</f>
        <v>9808</v>
      </c>
      <c r="BK2380" s="6">
        <f>_xlfn.IFNA(VLOOKUP(Grandview_Inventory[[#This Row],[condition]],Lookups!$H$17:$J$24,3,FALSE),0)</f>
        <v>25780</v>
      </c>
      <c r="BL2380" s="6">
        <f>Grandview_Inventory[[#This Row],[Eff_Age]]*Lookups!$B$14</f>
        <v>-239.16659999999999</v>
      </c>
      <c r="BM2380" s="6">
        <f>Grandview_Inventory[[#This Row],[living_area]]*Lookups!$B$15</f>
        <v>135241.689304</v>
      </c>
      <c r="BN2380" s="6">
        <f>Grandview_Inventory[[#This Row],[Fin BSMT]]*Lookups!$B$16</f>
        <v>0</v>
      </c>
      <c r="BO2380" s="6">
        <f>(Grandview_Inventory[[#This Row],[att_gar]]+Grandview_Inventory[[#This Row],[bltin_gar]])*Lookups!$B$17</f>
        <v>38508.992279999999</v>
      </c>
      <c r="BP2380" s="6">
        <f>Grandview_Inventory[[#This Row],[Plumbing Fixtures]]*Lookups!$B$18</f>
        <v>22114.859800000002</v>
      </c>
      <c r="BQ2380" s="6">
        <f>Grandview_Inventory[[#This Row],[detatched_value]]*Lookups!$B$19</f>
        <v>0</v>
      </c>
      <c r="BR2380" s="6">
        <f>SUM(Grandview_Inventory[[#This Row],[Intercept]:[det_value]])*Grandview_Inventory[[#This Row],[res_pct]]</f>
        <v>387048.324784</v>
      </c>
      <c r="BS2380" s="6">
        <f>Grandview_Inventory[[#This Row],[land_value]]</f>
        <v>50650.651579114572</v>
      </c>
      <c r="BT2380" s="4">
        <f>_xlfn.IFNA(VLOOKUP(Grandview_Inventory[[#This Row],[quality]],Lookups!$A$26:$C$33,3,FALSE),1)</f>
        <v>0.94295468617355149</v>
      </c>
      <c r="BU2380" s="4">
        <f>_xlfn.IFNA(VLOOKUP(Grandview_Inventory[[#This Row],[condition]],Lookups!$A$37:$C$44,3,FALSE),1)</f>
        <v>0.94347925387812148</v>
      </c>
      <c r="BV2380" s="4">
        <f>IF(Grandview_Inventory[[#This Row],[bldg_style]]="",1,_xlfn.IFNA(VLOOKUP(Grandview_Inventory[[#This Row],[decade]],Lookups!$F$29:$H$43,3,FALSE),1))</f>
        <v>0.94601966599150278</v>
      </c>
      <c r="BW2380" s="4">
        <f>_xlfn.IFNA(VLOOKUP(Grandview_Inventory[[#This Row],[living_area_range]],Lookups!$F$47:$H$56,3,FALSE),1)</f>
        <v>0.95799442568048754</v>
      </c>
      <c r="BX2380" s="4">
        <f>AVERAGE(Grandview_Inventory[[#This Row],[qual_adj]:[size_adj]])</f>
        <v>0.94761200793091582</v>
      </c>
      <c r="BY2380" s="6">
        <f>IF(Grandview_Inventory[[#This Row],[pre_res]]&lt;0,0,Grandview_Inventory[[#This Row],[pre_res]]*Grandview_Inventory[[#This Row],[overall_adj]])</f>
        <v>366771.64021486347</v>
      </c>
      <c r="BZ2380" s="6">
        <f>(Grandview_Inventory[[#This Row],[sum_land]]-IF(Grandview_Inventory[[#This Row],[no_utilities]]=1,12000,0))/IF(Grandview_Inventory[[#This Row],[unbuildable]]=1,2,1)</f>
        <v>50650.651579114572</v>
      </c>
      <c r="CA2380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380">
        <f>ROUND(Grandview_Inventory[[#This Row],[det_value]]*Lookups!$M$28,-2)</f>
        <v>0</v>
      </c>
      <c r="CC2380">
        <f>IF(ROUND(Grandview_Inventory[[#This Row],[adj_res]]*Lookups!$M$28,-2)&lt;Grandview_Inventory[[#This Row],[min_res]],Grandview_Inventory[[#This Row],[min_res]],ROUND(Grandview_Inventory[[#This Row],[adj_res]]*Lookups!$M$28,-2))</f>
        <v>348400</v>
      </c>
      <c r="CD2380">
        <f>Grandview_Inventory[[#This Row],[final_det]]+Grandview_Inventory[[#This Row],[final_res]]</f>
        <v>348400</v>
      </c>
      <c r="CE2380">
        <f>Grandview_Inventory[[#This Row],[final_land]]+Grandview_Inventory[[#This Row],[final_imp]]+Grandview_Inventory[[#This Row],[crop_value]]</f>
        <v>396500</v>
      </c>
      <c r="CG2380" t="str">
        <f t="shared" si="37"/>
        <v>update valuation set market_land =48100, market_bldg=348400, market_total =396500, market_mdno =401, market_date ='9/10/2023' where link_id = (select link_id from parcel where parcel_year = '2024' and parcel_id = '23092621488');</v>
      </c>
    </row>
    <row r="2381" spans="1:85" x14ac:dyDescent="0.25">
      <c r="A2381">
        <v>23092621489</v>
      </c>
      <c r="B2381" t="s">
        <v>129</v>
      </c>
      <c r="C2381">
        <v>9814</v>
      </c>
      <c r="D2381" t="s">
        <v>129</v>
      </c>
      <c r="E2381" t="s">
        <v>53</v>
      </c>
      <c r="F2381" t="s">
        <v>53</v>
      </c>
      <c r="G2381">
        <v>4</v>
      </c>
      <c r="H2381" t="s">
        <v>54</v>
      </c>
      <c r="I2381">
        <v>323000</v>
      </c>
      <c r="J2381">
        <v>39500</v>
      </c>
      <c r="K2381">
        <v>0.23</v>
      </c>
      <c r="L238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381">
        <v>0</v>
      </c>
      <c r="N2381">
        <v>0</v>
      </c>
      <c r="O2381">
        <v>0</v>
      </c>
      <c r="P2381">
        <v>13398.7528</v>
      </c>
      <c r="Q2381">
        <v>63903</v>
      </c>
      <c r="R2381">
        <f>(Grandview_Inventory[[#This Row],[ln_acres]]*Grandview_Inventory[[#This Row],[coeff]])+Grandview_Inventory[[#This Row],[const]]</f>
        <v>44211.174981080039</v>
      </c>
      <c r="S2381" t="s">
        <v>55</v>
      </c>
      <c r="T2381">
        <v>1</v>
      </c>
      <c r="U2381" t="s">
        <v>62</v>
      </c>
      <c r="V2381" t="s">
        <v>57</v>
      </c>
      <c r="W2381">
        <v>0</v>
      </c>
      <c r="X2381">
        <v>0</v>
      </c>
      <c r="Y2381">
        <v>1</v>
      </c>
      <c r="Z2381">
        <v>1</v>
      </c>
      <c r="AA2381">
        <v>10</v>
      </c>
      <c r="AB2381">
        <v>2500</v>
      </c>
      <c r="AC2381">
        <v>2487</v>
      </c>
      <c r="AD2381">
        <v>1095</v>
      </c>
      <c r="AE2381">
        <v>1392</v>
      </c>
      <c r="AF2381">
        <v>0</v>
      </c>
      <c r="AG2381">
        <v>0</v>
      </c>
      <c r="AH2381">
        <v>0</v>
      </c>
      <c r="AI2381">
        <v>264</v>
      </c>
      <c r="AJ2381">
        <v>440</v>
      </c>
      <c r="AK2381">
        <v>0</v>
      </c>
      <c r="AL2381">
        <v>0</v>
      </c>
      <c r="AM2381">
        <v>0</v>
      </c>
      <c r="AN2381">
        <v>277</v>
      </c>
      <c r="AO2381">
        <v>0</v>
      </c>
      <c r="AP2381">
        <v>12</v>
      </c>
      <c r="AQ2381">
        <v>0</v>
      </c>
      <c r="AR2381">
        <v>0</v>
      </c>
      <c r="AS2381" t="s">
        <v>58</v>
      </c>
      <c r="AT2381">
        <v>1</v>
      </c>
      <c r="AU2381" t="s">
        <v>63</v>
      </c>
      <c r="AV2381" t="s">
        <v>64</v>
      </c>
      <c r="AW2381">
        <v>1</v>
      </c>
      <c r="AX2381">
        <v>3</v>
      </c>
      <c r="AY2381">
        <v>0</v>
      </c>
      <c r="AZ2381">
        <v>0</v>
      </c>
      <c r="BA2381">
        <v>100</v>
      </c>
      <c r="BB2381">
        <v>100</v>
      </c>
      <c r="BC2381">
        <v>100</v>
      </c>
      <c r="BD2381">
        <v>100</v>
      </c>
      <c r="BE2381">
        <v>1</v>
      </c>
      <c r="BF2381">
        <v>15000</v>
      </c>
      <c r="BG2381">
        <v>1000</v>
      </c>
      <c r="BH2381" s="6">
        <f>Grandview_Inventory[[#This Row],[land_extract]]*Lookups!$B$3</f>
        <v>51342.318135355803</v>
      </c>
      <c r="BI2381" s="6">
        <f>IF(Grandview_Inventory[[#This Row],[bldg_style]]="",0,Lookups!$B$2)</f>
        <v>155833.95000000001</v>
      </c>
      <c r="BJ2381" s="6">
        <f>_xlfn.IFNA(VLOOKUP(Grandview_Inventory[[#This Row],[quality]],Lookups!$H$2:$J$14,3,FALSE),0)</f>
        <v>9808</v>
      </c>
      <c r="BK2381" s="6">
        <f>_xlfn.IFNA(VLOOKUP(Grandview_Inventory[[#This Row],[condition]],Lookups!$H$17:$J$24,3,FALSE),0)</f>
        <v>25780</v>
      </c>
      <c r="BL2381" s="6">
        <f>Grandview_Inventory[[#This Row],[Eff_Age]]*Lookups!$B$14</f>
        <v>-239.16659999999999</v>
      </c>
      <c r="BM2381" s="6">
        <f>Grandview_Inventory[[#This Row],[living_area]]*Lookups!$B$15</f>
        <v>155141.181411</v>
      </c>
      <c r="BN2381" s="6">
        <f>Grandview_Inventory[[#This Row],[Fin BSMT]]*Lookups!$B$16</f>
        <v>0</v>
      </c>
      <c r="BO2381" s="6">
        <f>(Grandview_Inventory[[#This Row],[att_gar]]+Grandview_Inventory[[#This Row],[bltin_gar]])*Lookups!$B$17</f>
        <v>61614.387648000004</v>
      </c>
      <c r="BP2381" s="6">
        <f>Grandview_Inventory[[#This Row],[Plumbing Fixtures]]*Lookups!$B$18</f>
        <v>24125.301599999999</v>
      </c>
      <c r="BQ2381" s="6">
        <f>Grandview_Inventory[[#This Row],[detatched_value]]*Lookups!$B$19</f>
        <v>0</v>
      </c>
      <c r="BR2381" s="6">
        <f>SUM(Grandview_Inventory[[#This Row],[Intercept]:[det_value]])*Grandview_Inventory[[#This Row],[res_pct]]</f>
        <v>432063.65405900008</v>
      </c>
      <c r="BS2381" s="6">
        <f>Grandview_Inventory[[#This Row],[land_value]]</f>
        <v>51342.318135355803</v>
      </c>
      <c r="BT2381" s="4">
        <f>_xlfn.IFNA(VLOOKUP(Grandview_Inventory[[#This Row],[quality]],Lookups!$A$26:$C$33,3,FALSE),1)</f>
        <v>0.94295468617355149</v>
      </c>
      <c r="BU2381" s="4">
        <f>_xlfn.IFNA(VLOOKUP(Grandview_Inventory[[#This Row],[condition]],Lookups!$A$37:$C$44,3,FALSE),1)</f>
        <v>0.94347925387812148</v>
      </c>
      <c r="BV2381" s="4">
        <f>IF(Grandview_Inventory[[#This Row],[bldg_style]]="",1,_xlfn.IFNA(VLOOKUP(Grandview_Inventory[[#This Row],[decade]],Lookups!$F$29:$H$43,3,FALSE),1))</f>
        <v>0.94601966599150278</v>
      </c>
      <c r="BW2381" s="4">
        <f>_xlfn.IFNA(VLOOKUP(Grandview_Inventory[[#This Row],[living_area_range]],Lookups!$F$47:$H$56,3,FALSE),1)</f>
        <v>0.95799442568048754</v>
      </c>
      <c r="BX2381" s="4">
        <f>AVERAGE(Grandview_Inventory[[#This Row],[qual_adj]:[size_adj]])</f>
        <v>0.94761200793091582</v>
      </c>
      <c r="BY2381" s="6">
        <f>IF(Grandview_Inventory[[#This Row],[pre_res]]&lt;0,0,Grandview_Inventory[[#This Row],[pre_res]]*Grandview_Inventory[[#This Row],[overall_adj]])</f>
        <v>409428.70677681768</v>
      </c>
      <c r="BZ2381" s="6">
        <f>(Grandview_Inventory[[#This Row],[sum_land]]-IF(Grandview_Inventory[[#This Row],[no_utilities]]=1,12000,0))/IF(Grandview_Inventory[[#This Row],[unbuildable]]=1,2,1)</f>
        <v>51342.318135355803</v>
      </c>
      <c r="CA238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381">
        <f>ROUND(Grandview_Inventory[[#This Row],[det_value]]*Lookups!$M$28,-2)</f>
        <v>0</v>
      </c>
      <c r="CC2381">
        <f>IF(ROUND(Grandview_Inventory[[#This Row],[adj_res]]*Lookups!$M$28,-2)&lt;Grandview_Inventory[[#This Row],[min_res]],Grandview_Inventory[[#This Row],[min_res]],ROUND(Grandview_Inventory[[#This Row],[adj_res]]*Lookups!$M$28,-2))</f>
        <v>389000</v>
      </c>
      <c r="CD2381">
        <f>Grandview_Inventory[[#This Row],[final_det]]+Grandview_Inventory[[#This Row],[final_res]]</f>
        <v>389000</v>
      </c>
      <c r="CE2381">
        <f>Grandview_Inventory[[#This Row],[final_land]]+Grandview_Inventory[[#This Row],[final_imp]]+Grandview_Inventory[[#This Row],[crop_value]]</f>
        <v>437800</v>
      </c>
      <c r="CG2381" t="str">
        <f t="shared" si="37"/>
        <v>update valuation set market_land =48800, market_bldg=389000, market_total =437800, market_mdno =401, market_date ='9/10/2023' where link_id = (select link_id from parcel where parcel_year = '2024' and parcel_id = '23092621489');</v>
      </c>
    </row>
    <row r="2382" spans="1:85" x14ac:dyDescent="0.25">
      <c r="A2382">
        <v>23092621490</v>
      </c>
      <c r="B2382" t="s">
        <v>129</v>
      </c>
      <c r="C2382">
        <v>8714</v>
      </c>
      <c r="D2382" t="s">
        <v>129</v>
      </c>
      <c r="E2382" t="s">
        <v>53</v>
      </c>
      <c r="F2382" t="s">
        <v>53</v>
      </c>
      <c r="G2382">
        <v>4</v>
      </c>
      <c r="H2382" t="s">
        <v>54</v>
      </c>
      <c r="I2382">
        <v>302600</v>
      </c>
      <c r="J2382">
        <v>39300</v>
      </c>
      <c r="K2382">
        <v>0.2</v>
      </c>
      <c r="L238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82">
        <v>0</v>
      </c>
      <c r="N2382">
        <v>0</v>
      </c>
      <c r="O2382">
        <v>0</v>
      </c>
      <c r="P2382">
        <v>13398.7528</v>
      </c>
      <c r="Q2382">
        <v>63903</v>
      </c>
      <c r="R2382">
        <f>(Grandview_Inventory[[#This Row],[ln_acres]]*Grandview_Inventory[[#This Row],[coeff]])+Grandview_Inventory[[#This Row],[const]]</f>
        <v>42338.539264347448</v>
      </c>
      <c r="S2382" t="s">
        <v>55</v>
      </c>
      <c r="T2382">
        <v>2</v>
      </c>
      <c r="U2382" t="s">
        <v>64</v>
      </c>
      <c r="V2382" t="s">
        <v>57</v>
      </c>
      <c r="W2382">
        <v>0</v>
      </c>
      <c r="X2382">
        <v>0</v>
      </c>
      <c r="Y2382">
        <v>1</v>
      </c>
      <c r="Z2382">
        <v>1</v>
      </c>
      <c r="AA2382">
        <v>10</v>
      </c>
      <c r="AB2382">
        <v>2500</v>
      </c>
      <c r="AC2382">
        <v>2160</v>
      </c>
      <c r="AD2382">
        <v>896</v>
      </c>
      <c r="AE2382">
        <v>1264</v>
      </c>
      <c r="AF2382">
        <v>0</v>
      </c>
      <c r="AG2382">
        <v>0</v>
      </c>
      <c r="AH2382">
        <v>0</v>
      </c>
      <c r="AI2382">
        <v>0</v>
      </c>
      <c r="AJ2382">
        <v>440</v>
      </c>
      <c r="AK2382">
        <v>0</v>
      </c>
      <c r="AL2382">
        <v>0</v>
      </c>
      <c r="AM2382">
        <v>0</v>
      </c>
      <c r="AN2382">
        <v>108</v>
      </c>
      <c r="AO2382">
        <v>0</v>
      </c>
      <c r="AP2382">
        <v>12</v>
      </c>
      <c r="AQ2382">
        <v>0</v>
      </c>
      <c r="AR2382">
        <v>0</v>
      </c>
      <c r="AS2382" t="s">
        <v>58</v>
      </c>
      <c r="AT2382">
        <v>1</v>
      </c>
      <c r="AU2382" t="s">
        <v>63</v>
      </c>
      <c r="AV2382" t="s">
        <v>64</v>
      </c>
      <c r="AW2382">
        <v>1</v>
      </c>
      <c r="AX2382">
        <v>3</v>
      </c>
      <c r="AY2382">
        <v>0</v>
      </c>
      <c r="AZ2382">
        <v>0</v>
      </c>
      <c r="BA2382">
        <v>100</v>
      </c>
      <c r="BB2382">
        <v>100</v>
      </c>
      <c r="BC2382">
        <v>100</v>
      </c>
      <c r="BD2382">
        <v>100</v>
      </c>
      <c r="BE2382">
        <v>1</v>
      </c>
      <c r="BF2382">
        <v>15000</v>
      </c>
      <c r="BG2382">
        <v>1000</v>
      </c>
      <c r="BH2382" s="6">
        <f>Grandview_Inventory[[#This Row],[land_extract]]*Lookups!$B$3</f>
        <v>49167.631333630678</v>
      </c>
      <c r="BI2382" s="6">
        <f>IF(Grandview_Inventory[[#This Row],[bldg_style]]="",0,Lookups!$B$2)</f>
        <v>155833.95000000001</v>
      </c>
      <c r="BJ2382" s="6">
        <f>_xlfn.IFNA(VLOOKUP(Grandview_Inventory[[#This Row],[quality]],Lookups!$H$2:$J$14,3,FALSE),0)</f>
        <v>20768</v>
      </c>
      <c r="BK2382" s="6">
        <f>_xlfn.IFNA(VLOOKUP(Grandview_Inventory[[#This Row],[condition]],Lookups!$H$17:$J$24,3,FALSE),0)</f>
        <v>25780</v>
      </c>
      <c r="BL2382" s="6">
        <f>Grandview_Inventory[[#This Row],[Eff_Age]]*Lookups!$B$14</f>
        <v>-239.16659999999999</v>
      </c>
      <c r="BM2382" s="6">
        <f>Grandview_Inventory[[#This Row],[living_area]]*Lookups!$B$15</f>
        <v>134742.64248000001</v>
      </c>
      <c r="BN2382" s="6">
        <f>Grandview_Inventory[[#This Row],[Fin BSMT]]*Lookups!$B$16</f>
        <v>0</v>
      </c>
      <c r="BO2382" s="6">
        <f>(Grandview_Inventory[[#This Row],[att_gar]]+Grandview_Inventory[[#This Row],[bltin_gar]])*Lookups!$B$17</f>
        <v>38508.992279999999</v>
      </c>
      <c r="BP2382" s="6">
        <f>Grandview_Inventory[[#This Row],[Plumbing Fixtures]]*Lookups!$B$18</f>
        <v>24125.301599999999</v>
      </c>
      <c r="BQ2382" s="6">
        <f>Grandview_Inventory[[#This Row],[detatched_value]]*Lookups!$B$19</f>
        <v>0</v>
      </c>
      <c r="BR2382" s="6">
        <f>SUM(Grandview_Inventory[[#This Row],[Intercept]:[det_value]])*Grandview_Inventory[[#This Row],[res_pct]]</f>
        <v>399519.71976000001</v>
      </c>
      <c r="BS2382" s="6">
        <f>Grandview_Inventory[[#This Row],[land_value]]</f>
        <v>49167.631333630678</v>
      </c>
      <c r="BT2382" s="4">
        <f>_xlfn.IFNA(VLOOKUP(Grandview_Inventory[[#This Row],[quality]],Lookups!$A$26:$C$33,3,FALSE),1)</f>
        <v>0.94960540378902636</v>
      </c>
      <c r="BU2382" s="4">
        <f>_xlfn.IFNA(VLOOKUP(Grandview_Inventory[[#This Row],[condition]],Lookups!$A$37:$C$44,3,FALSE),1)</f>
        <v>0.94347925387812148</v>
      </c>
      <c r="BV2382" s="4">
        <f>IF(Grandview_Inventory[[#This Row],[bldg_style]]="",1,_xlfn.IFNA(VLOOKUP(Grandview_Inventory[[#This Row],[decade]],Lookups!$F$29:$H$43,3,FALSE),1))</f>
        <v>0.94601966599150278</v>
      </c>
      <c r="BW2382" s="4">
        <f>_xlfn.IFNA(VLOOKUP(Grandview_Inventory[[#This Row],[living_area_range]],Lookups!$F$47:$H$56,3,FALSE),1)</f>
        <v>0.95799442568048754</v>
      </c>
      <c r="BX2382" s="4">
        <f>AVERAGE(Grandview_Inventory[[#This Row],[qual_adj]:[size_adj]])</f>
        <v>0.94927468733478459</v>
      </c>
      <c r="BY2382" s="6">
        <f>IF(Grandview_Inventory[[#This Row],[pre_res]]&lt;0,0,Grandview_Inventory[[#This Row],[pre_res]]*Grandview_Inventory[[#This Row],[overall_adj]])</f>
        <v>379253.95705925475</v>
      </c>
      <c r="BZ2382" s="6">
        <f>(Grandview_Inventory[[#This Row],[sum_land]]-IF(Grandview_Inventory[[#This Row],[no_utilities]]=1,12000,0))/IF(Grandview_Inventory[[#This Row],[unbuildable]]=1,2,1)</f>
        <v>49167.631333630678</v>
      </c>
      <c r="CA238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82">
        <f>ROUND(Grandview_Inventory[[#This Row],[det_value]]*Lookups!$M$28,-2)</f>
        <v>0</v>
      </c>
      <c r="CC2382">
        <f>IF(ROUND(Grandview_Inventory[[#This Row],[adj_res]]*Lookups!$M$28,-2)&lt;Grandview_Inventory[[#This Row],[min_res]],Grandview_Inventory[[#This Row],[min_res]],ROUND(Grandview_Inventory[[#This Row],[adj_res]]*Lookups!$M$28,-2))</f>
        <v>360300</v>
      </c>
      <c r="CD2382">
        <f>Grandview_Inventory[[#This Row],[final_det]]+Grandview_Inventory[[#This Row],[final_res]]</f>
        <v>360300</v>
      </c>
      <c r="CE2382">
        <f>Grandview_Inventory[[#This Row],[final_land]]+Grandview_Inventory[[#This Row],[final_imp]]+Grandview_Inventory[[#This Row],[crop_value]]</f>
        <v>407000</v>
      </c>
      <c r="CG2382" t="str">
        <f t="shared" si="37"/>
        <v>update valuation set market_land =46700, market_bldg=360300, market_total =407000, market_mdno =401, market_date ='9/10/2023' where link_id = (select link_id from parcel where parcel_year = '2024' and parcel_id = '23092621490');</v>
      </c>
    </row>
    <row r="2383" spans="1:85" x14ac:dyDescent="0.25">
      <c r="A2383">
        <v>23092621491</v>
      </c>
      <c r="B2383" t="s">
        <v>129</v>
      </c>
      <c r="C2383">
        <v>8250</v>
      </c>
      <c r="D2383" t="s">
        <v>129</v>
      </c>
      <c r="E2383" t="s">
        <v>53</v>
      </c>
      <c r="F2383" t="s">
        <v>53</v>
      </c>
      <c r="G2383">
        <v>4</v>
      </c>
      <c r="H2383" t="s">
        <v>54</v>
      </c>
      <c r="I2383">
        <v>244000</v>
      </c>
      <c r="J2383">
        <v>39100</v>
      </c>
      <c r="K2383">
        <v>0.19</v>
      </c>
      <c r="L238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83">
        <v>0</v>
      </c>
      <c r="N2383">
        <v>0</v>
      </c>
      <c r="O2383">
        <v>0</v>
      </c>
      <c r="P2383">
        <v>13398.7528</v>
      </c>
      <c r="Q2383">
        <v>63903</v>
      </c>
      <c r="R2383">
        <f>(Grandview_Inventory[[#This Row],[ln_acres]]*Grandview_Inventory[[#This Row],[coeff]])+Grandview_Inventory[[#This Row],[const]]</f>
        <v>41651.273092551026</v>
      </c>
      <c r="S2383" t="s">
        <v>61</v>
      </c>
      <c r="T2383">
        <v>1</v>
      </c>
      <c r="U2383" t="s">
        <v>62</v>
      </c>
      <c r="V2383" t="s">
        <v>57</v>
      </c>
      <c r="W2383">
        <v>0</v>
      </c>
      <c r="X2383">
        <v>0</v>
      </c>
      <c r="Y2383">
        <v>1</v>
      </c>
      <c r="Z2383">
        <v>1</v>
      </c>
      <c r="AA2383">
        <v>10</v>
      </c>
      <c r="AB2383">
        <v>1500</v>
      </c>
      <c r="AC2383">
        <v>1384</v>
      </c>
      <c r="AD2383">
        <v>1384</v>
      </c>
      <c r="AE2383">
        <v>0</v>
      </c>
      <c r="AF2383">
        <v>0</v>
      </c>
      <c r="AG2383">
        <v>0</v>
      </c>
      <c r="AH2383">
        <v>0</v>
      </c>
      <c r="AI2383">
        <v>400</v>
      </c>
      <c r="AJ2383">
        <v>0</v>
      </c>
      <c r="AK2383">
        <v>0</v>
      </c>
      <c r="AL2383">
        <v>0</v>
      </c>
      <c r="AM2383">
        <v>144</v>
      </c>
      <c r="AN2383">
        <v>72</v>
      </c>
      <c r="AO2383">
        <v>0</v>
      </c>
      <c r="AP2383">
        <v>10</v>
      </c>
      <c r="AQ2383">
        <v>0</v>
      </c>
      <c r="AR2383">
        <v>0</v>
      </c>
      <c r="AS2383" t="s">
        <v>58</v>
      </c>
      <c r="AT2383">
        <v>1</v>
      </c>
      <c r="AU2383" t="s">
        <v>63</v>
      </c>
      <c r="AV2383" t="s">
        <v>64</v>
      </c>
      <c r="AW2383">
        <v>1</v>
      </c>
      <c r="AX2383">
        <v>3</v>
      </c>
      <c r="AY2383">
        <v>0</v>
      </c>
      <c r="AZ2383">
        <v>0</v>
      </c>
      <c r="BA2383">
        <v>100</v>
      </c>
      <c r="BB2383">
        <v>100</v>
      </c>
      <c r="BC2383">
        <v>100</v>
      </c>
      <c r="BD2383">
        <v>100</v>
      </c>
      <c r="BE2383">
        <v>1</v>
      </c>
      <c r="BF2383">
        <v>15000</v>
      </c>
      <c r="BG2383">
        <v>1000</v>
      </c>
      <c r="BH2383" s="6">
        <f>Grandview_Inventory[[#This Row],[land_extract]]*Lookups!$B$3</f>
        <v>48369.510983942157</v>
      </c>
      <c r="BI2383" s="6">
        <f>IF(Grandview_Inventory[[#This Row],[bldg_style]]="",0,Lookups!$B$2)</f>
        <v>155833.95000000001</v>
      </c>
      <c r="BJ2383" s="6">
        <f>_xlfn.IFNA(VLOOKUP(Grandview_Inventory[[#This Row],[quality]],Lookups!$H$2:$J$14,3,FALSE),0)</f>
        <v>9808</v>
      </c>
      <c r="BK2383" s="6">
        <f>_xlfn.IFNA(VLOOKUP(Grandview_Inventory[[#This Row],[condition]],Lookups!$H$17:$J$24,3,FALSE),0)</f>
        <v>25780</v>
      </c>
      <c r="BL2383" s="6">
        <f>Grandview_Inventory[[#This Row],[Eff_Age]]*Lookups!$B$14</f>
        <v>-239.16659999999999</v>
      </c>
      <c r="BM2383" s="6">
        <f>Grandview_Inventory[[#This Row],[living_area]]*Lookups!$B$15</f>
        <v>86335.100552000004</v>
      </c>
      <c r="BN2383" s="6">
        <f>Grandview_Inventory[[#This Row],[Fin BSMT]]*Lookups!$B$16</f>
        <v>0</v>
      </c>
      <c r="BO2383" s="6">
        <f>(Grandview_Inventory[[#This Row],[att_gar]]+Grandview_Inventory[[#This Row],[bltin_gar]])*Lookups!$B$17</f>
        <v>35008.174800000001</v>
      </c>
      <c r="BP2383" s="6">
        <f>Grandview_Inventory[[#This Row],[Plumbing Fixtures]]*Lookups!$B$18</f>
        <v>20104.418000000001</v>
      </c>
      <c r="BQ2383" s="6">
        <f>Grandview_Inventory[[#This Row],[detatched_value]]*Lookups!$B$19</f>
        <v>0</v>
      </c>
      <c r="BR2383" s="6">
        <f>SUM(Grandview_Inventory[[#This Row],[Intercept]:[det_value]])*Grandview_Inventory[[#This Row],[res_pct]]</f>
        <v>332630.47675199999</v>
      </c>
      <c r="BS2383" s="6">
        <f>Grandview_Inventory[[#This Row],[land_value]]</f>
        <v>48369.510983942157</v>
      </c>
      <c r="BT2383" s="4">
        <f>_xlfn.IFNA(VLOOKUP(Grandview_Inventory[[#This Row],[quality]],Lookups!$A$26:$C$33,3,FALSE),1)</f>
        <v>0.94295468617355149</v>
      </c>
      <c r="BU2383" s="4">
        <f>_xlfn.IFNA(VLOOKUP(Grandview_Inventory[[#This Row],[condition]],Lookups!$A$37:$C$44,3,FALSE),1)</f>
        <v>0.94347925387812148</v>
      </c>
      <c r="BV2383" s="4">
        <f>IF(Grandview_Inventory[[#This Row],[bldg_style]]="",1,_xlfn.IFNA(VLOOKUP(Grandview_Inventory[[#This Row],[decade]],Lookups!$F$29:$H$43,3,FALSE),1))</f>
        <v>0.94601966599150278</v>
      </c>
      <c r="BW2383" s="4">
        <f>_xlfn.IFNA(VLOOKUP(Grandview_Inventory[[#This Row],[living_area_range]],Lookups!$F$47:$H$56,3,FALSE),1)</f>
        <v>0.96135087979789358</v>
      </c>
      <c r="BX2383" s="4">
        <f>AVERAGE(Grandview_Inventory[[#This Row],[qual_adj]:[size_adj]])</f>
        <v>0.94845112146026733</v>
      </c>
      <c r="BY2383" s="6">
        <f>IF(Grandview_Inventory[[#This Row],[pre_res]]&lt;0,0,Grandview_Inventory[[#This Row],[pre_res]]*Grandview_Inventory[[#This Row],[overall_adj]])</f>
        <v>315483.74870729778</v>
      </c>
      <c r="BZ2383" s="6">
        <f>(Grandview_Inventory[[#This Row],[sum_land]]-IF(Grandview_Inventory[[#This Row],[no_utilities]]=1,12000,0))/IF(Grandview_Inventory[[#This Row],[unbuildable]]=1,2,1)</f>
        <v>48369.510983942157</v>
      </c>
      <c r="CA238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83">
        <f>ROUND(Grandview_Inventory[[#This Row],[det_value]]*Lookups!$M$28,-2)</f>
        <v>0</v>
      </c>
      <c r="CC2383">
        <f>IF(ROUND(Grandview_Inventory[[#This Row],[adj_res]]*Lookups!$M$28,-2)&lt;Grandview_Inventory[[#This Row],[min_res]],Grandview_Inventory[[#This Row],[min_res]],ROUND(Grandview_Inventory[[#This Row],[adj_res]]*Lookups!$M$28,-2))</f>
        <v>299700</v>
      </c>
      <c r="CD2383">
        <f>Grandview_Inventory[[#This Row],[final_det]]+Grandview_Inventory[[#This Row],[final_res]]</f>
        <v>299700</v>
      </c>
      <c r="CE2383">
        <f>Grandview_Inventory[[#This Row],[final_land]]+Grandview_Inventory[[#This Row],[final_imp]]+Grandview_Inventory[[#This Row],[crop_value]]</f>
        <v>345700</v>
      </c>
      <c r="CG2383" t="str">
        <f t="shared" si="37"/>
        <v>update valuation set market_land =46000, market_bldg=299700, market_total =345700, market_mdno =401, market_date ='9/10/2023' where link_id = (select link_id from parcel where parcel_year = '2024' and parcel_id = '23092621491');</v>
      </c>
    </row>
    <row r="2384" spans="1:85" x14ac:dyDescent="0.25">
      <c r="A2384">
        <v>23092621492</v>
      </c>
      <c r="B2384" t="s">
        <v>129</v>
      </c>
      <c r="C2384">
        <v>8250</v>
      </c>
      <c r="D2384" t="s">
        <v>129</v>
      </c>
      <c r="E2384" t="s">
        <v>53</v>
      </c>
      <c r="F2384" t="s">
        <v>53</v>
      </c>
      <c r="G2384">
        <v>4</v>
      </c>
      <c r="H2384" t="s">
        <v>54</v>
      </c>
      <c r="I2384">
        <v>286800</v>
      </c>
      <c r="J2384">
        <v>39100</v>
      </c>
      <c r="K2384">
        <v>0.19</v>
      </c>
      <c r="L238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84">
        <v>0</v>
      </c>
      <c r="N2384">
        <v>0</v>
      </c>
      <c r="O2384">
        <v>0</v>
      </c>
      <c r="P2384">
        <v>13398.7528</v>
      </c>
      <c r="Q2384">
        <v>63903</v>
      </c>
      <c r="R2384">
        <f>(Grandview_Inventory[[#This Row],[ln_acres]]*Grandview_Inventory[[#This Row],[coeff]])+Grandview_Inventory[[#This Row],[const]]</f>
        <v>41651.273092551026</v>
      </c>
      <c r="S2384" t="s">
        <v>61</v>
      </c>
      <c r="T2384">
        <v>1</v>
      </c>
      <c r="U2384" t="s">
        <v>62</v>
      </c>
      <c r="V2384" t="s">
        <v>57</v>
      </c>
      <c r="W2384">
        <v>0</v>
      </c>
      <c r="X2384">
        <v>0</v>
      </c>
      <c r="Y2384">
        <v>1</v>
      </c>
      <c r="Z2384">
        <v>1</v>
      </c>
      <c r="AA2384">
        <v>10</v>
      </c>
      <c r="AB2384">
        <v>2000</v>
      </c>
      <c r="AC2384">
        <v>1888</v>
      </c>
      <c r="AD2384">
        <v>1888</v>
      </c>
      <c r="AE2384">
        <v>0</v>
      </c>
      <c r="AF2384">
        <v>0</v>
      </c>
      <c r="AG2384">
        <v>0</v>
      </c>
      <c r="AH2384">
        <v>0</v>
      </c>
      <c r="AI2384">
        <v>638</v>
      </c>
      <c r="AJ2384">
        <v>0</v>
      </c>
      <c r="AK2384">
        <v>0</v>
      </c>
      <c r="AL2384">
        <v>0</v>
      </c>
      <c r="AM2384">
        <v>0</v>
      </c>
      <c r="AN2384">
        <v>118</v>
      </c>
      <c r="AO2384">
        <v>0</v>
      </c>
      <c r="AP2384">
        <v>10</v>
      </c>
      <c r="AQ2384">
        <v>0</v>
      </c>
      <c r="AR2384">
        <v>0</v>
      </c>
      <c r="AS2384" t="s">
        <v>58</v>
      </c>
      <c r="AT2384">
        <v>1</v>
      </c>
      <c r="AU2384" t="s">
        <v>63</v>
      </c>
      <c r="AV2384" t="s">
        <v>64</v>
      </c>
      <c r="AW2384">
        <v>1</v>
      </c>
      <c r="AX2384">
        <v>3</v>
      </c>
      <c r="AY2384">
        <v>0</v>
      </c>
      <c r="AZ2384">
        <v>0</v>
      </c>
      <c r="BA2384">
        <v>100</v>
      </c>
      <c r="BB2384">
        <v>100</v>
      </c>
      <c r="BC2384">
        <v>100</v>
      </c>
      <c r="BD2384">
        <v>100</v>
      </c>
      <c r="BE2384">
        <v>1</v>
      </c>
      <c r="BF2384">
        <v>15000</v>
      </c>
      <c r="BG2384">
        <v>1000</v>
      </c>
      <c r="BH2384" s="6">
        <f>Grandview_Inventory[[#This Row],[land_extract]]*Lookups!$B$3</f>
        <v>48369.510983942157</v>
      </c>
      <c r="BI2384" s="6">
        <f>IF(Grandview_Inventory[[#This Row],[bldg_style]]="",0,Lookups!$B$2)</f>
        <v>155833.95000000001</v>
      </c>
      <c r="BJ2384" s="6">
        <f>_xlfn.IFNA(VLOOKUP(Grandview_Inventory[[#This Row],[quality]],Lookups!$H$2:$J$14,3,FALSE),0)</f>
        <v>9808</v>
      </c>
      <c r="BK2384" s="6">
        <f>_xlfn.IFNA(VLOOKUP(Grandview_Inventory[[#This Row],[condition]],Lookups!$H$17:$J$24,3,FALSE),0)</f>
        <v>25780</v>
      </c>
      <c r="BL2384" s="6">
        <f>Grandview_Inventory[[#This Row],[Eff_Age]]*Lookups!$B$14</f>
        <v>-239.16659999999999</v>
      </c>
      <c r="BM2384" s="6">
        <f>Grandview_Inventory[[#This Row],[living_area]]*Lookups!$B$15</f>
        <v>117775.050464</v>
      </c>
      <c r="BN2384" s="6">
        <f>Grandview_Inventory[[#This Row],[Fin BSMT]]*Lookups!$B$16</f>
        <v>0</v>
      </c>
      <c r="BO2384" s="6">
        <f>(Grandview_Inventory[[#This Row],[att_gar]]+Grandview_Inventory[[#This Row],[bltin_gar]])*Lookups!$B$17</f>
        <v>55838.038806000004</v>
      </c>
      <c r="BP2384" s="6">
        <f>Grandview_Inventory[[#This Row],[Plumbing Fixtures]]*Lookups!$B$18</f>
        <v>20104.418000000001</v>
      </c>
      <c r="BQ2384" s="6">
        <f>Grandview_Inventory[[#This Row],[detatched_value]]*Lookups!$B$19</f>
        <v>0</v>
      </c>
      <c r="BR2384" s="6">
        <f>SUM(Grandview_Inventory[[#This Row],[Intercept]:[det_value]])*Grandview_Inventory[[#This Row],[res_pct]]</f>
        <v>384900.29067000007</v>
      </c>
      <c r="BS2384" s="6">
        <f>Grandview_Inventory[[#This Row],[land_value]]</f>
        <v>48369.510983942157</v>
      </c>
      <c r="BT2384" s="4">
        <f>_xlfn.IFNA(VLOOKUP(Grandview_Inventory[[#This Row],[quality]],Lookups!$A$26:$C$33,3,FALSE),1)</f>
        <v>0.94295468617355149</v>
      </c>
      <c r="BU2384" s="4">
        <f>_xlfn.IFNA(VLOOKUP(Grandview_Inventory[[#This Row],[condition]],Lookups!$A$37:$C$44,3,FALSE),1)</f>
        <v>0.94347925387812148</v>
      </c>
      <c r="BV2384" s="4">
        <f>IF(Grandview_Inventory[[#This Row],[bldg_style]]="",1,_xlfn.IFNA(VLOOKUP(Grandview_Inventory[[#This Row],[decade]],Lookups!$F$29:$H$43,3,FALSE),1))</f>
        <v>0.94601966599150278</v>
      </c>
      <c r="BW2384" s="4">
        <f>_xlfn.IFNA(VLOOKUP(Grandview_Inventory[[#This Row],[living_area_range]],Lookups!$F$47:$H$56,3,FALSE),1)</f>
        <v>0.96120133463014379</v>
      </c>
      <c r="BX2384" s="4">
        <f>AVERAGE(Grandview_Inventory[[#This Row],[qual_adj]:[size_adj]])</f>
        <v>0.94841373516832994</v>
      </c>
      <c r="BY2384" s="6">
        <f>IF(Grandview_Inventory[[#This Row],[pre_res]]&lt;0,0,Grandview_Inventory[[#This Row],[pre_res]]*Grandview_Inventory[[#This Row],[overall_adj]])</f>
        <v>365044.72234171064</v>
      </c>
      <c r="BZ2384" s="6">
        <f>(Grandview_Inventory[[#This Row],[sum_land]]-IF(Grandview_Inventory[[#This Row],[no_utilities]]=1,12000,0))/IF(Grandview_Inventory[[#This Row],[unbuildable]]=1,2,1)</f>
        <v>48369.510983942157</v>
      </c>
      <c r="CA238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84">
        <f>ROUND(Grandview_Inventory[[#This Row],[det_value]]*Lookups!$M$28,-2)</f>
        <v>0</v>
      </c>
      <c r="CC2384">
        <f>IF(ROUND(Grandview_Inventory[[#This Row],[adj_res]]*Lookups!$M$28,-2)&lt;Grandview_Inventory[[#This Row],[min_res]],Grandview_Inventory[[#This Row],[min_res]],ROUND(Grandview_Inventory[[#This Row],[adj_res]]*Lookups!$M$28,-2))</f>
        <v>346800</v>
      </c>
      <c r="CD2384">
        <f>Grandview_Inventory[[#This Row],[final_det]]+Grandview_Inventory[[#This Row],[final_res]]</f>
        <v>346800</v>
      </c>
      <c r="CE2384">
        <f>Grandview_Inventory[[#This Row],[final_land]]+Grandview_Inventory[[#This Row],[final_imp]]+Grandview_Inventory[[#This Row],[crop_value]]</f>
        <v>392800</v>
      </c>
      <c r="CG2384" t="str">
        <f t="shared" si="37"/>
        <v>update valuation set market_land =46000, market_bldg=346800, market_total =392800, market_mdno =401, market_date ='9/10/2023' where link_id = (select link_id from parcel where parcel_year = '2024' and parcel_id = '23092621492');</v>
      </c>
    </row>
    <row r="2385" spans="1:85" x14ac:dyDescent="0.25">
      <c r="A2385">
        <v>23092621493</v>
      </c>
      <c r="B2385" t="s">
        <v>129</v>
      </c>
      <c r="C2385">
        <v>8250</v>
      </c>
      <c r="D2385" t="s">
        <v>129</v>
      </c>
      <c r="E2385" t="s">
        <v>53</v>
      </c>
      <c r="F2385" t="s">
        <v>53</v>
      </c>
      <c r="G2385">
        <v>4</v>
      </c>
      <c r="H2385" t="s">
        <v>54</v>
      </c>
      <c r="I2385">
        <v>252900</v>
      </c>
      <c r="J2385">
        <v>39100</v>
      </c>
      <c r="K2385">
        <v>0.19</v>
      </c>
      <c r="L238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85">
        <v>0</v>
      </c>
      <c r="N2385">
        <v>0</v>
      </c>
      <c r="O2385">
        <v>0</v>
      </c>
      <c r="P2385">
        <v>13398.7528</v>
      </c>
      <c r="Q2385">
        <v>63903</v>
      </c>
      <c r="R2385">
        <f>(Grandview_Inventory[[#This Row],[ln_acres]]*Grandview_Inventory[[#This Row],[coeff]])+Grandview_Inventory[[#This Row],[const]]</f>
        <v>41651.273092551026</v>
      </c>
      <c r="S2385" t="s">
        <v>61</v>
      </c>
      <c r="T2385">
        <v>1</v>
      </c>
      <c r="U2385" t="s">
        <v>62</v>
      </c>
      <c r="V2385" t="s">
        <v>57</v>
      </c>
      <c r="W2385">
        <v>0</v>
      </c>
      <c r="X2385">
        <v>0</v>
      </c>
      <c r="Y2385">
        <v>1</v>
      </c>
      <c r="Z2385">
        <v>1</v>
      </c>
      <c r="AA2385">
        <v>10</v>
      </c>
      <c r="AB2385">
        <v>1500</v>
      </c>
      <c r="AC2385">
        <v>1377</v>
      </c>
      <c r="AD2385">
        <v>1377</v>
      </c>
      <c r="AE2385">
        <v>0</v>
      </c>
      <c r="AF2385">
        <v>0</v>
      </c>
      <c r="AG2385">
        <v>0</v>
      </c>
      <c r="AH2385">
        <v>0</v>
      </c>
      <c r="AI2385">
        <v>440</v>
      </c>
      <c r="AJ2385">
        <v>0</v>
      </c>
      <c r="AK2385">
        <v>0</v>
      </c>
      <c r="AL2385">
        <v>0</v>
      </c>
      <c r="AM2385">
        <v>0</v>
      </c>
      <c r="AN2385">
        <v>133</v>
      </c>
      <c r="AO2385">
        <v>0</v>
      </c>
      <c r="AP2385">
        <v>9</v>
      </c>
      <c r="AQ2385">
        <v>0</v>
      </c>
      <c r="AR2385">
        <v>0</v>
      </c>
      <c r="AS2385" t="s">
        <v>58</v>
      </c>
      <c r="AT2385">
        <v>1</v>
      </c>
      <c r="AU2385" t="s">
        <v>63</v>
      </c>
      <c r="AV2385" t="s">
        <v>60</v>
      </c>
      <c r="AW2385">
        <v>1</v>
      </c>
      <c r="AX2385">
        <v>3</v>
      </c>
      <c r="AY2385">
        <v>0</v>
      </c>
      <c r="AZ2385">
        <v>0</v>
      </c>
      <c r="BA2385">
        <v>100</v>
      </c>
      <c r="BB2385">
        <v>100</v>
      </c>
      <c r="BC2385">
        <v>100</v>
      </c>
      <c r="BD2385">
        <v>100</v>
      </c>
      <c r="BE2385">
        <v>1</v>
      </c>
      <c r="BF2385">
        <v>15000</v>
      </c>
      <c r="BG2385">
        <v>1000</v>
      </c>
      <c r="BH2385" s="6">
        <f>Grandview_Inventory[[#This Row],[land_extract]]*Lookups!$B$3</f>
        <v>48369.510983942157</v>
      </c>
      <c r="BI2385" s="6">
        <f>IF(Grandview_Inventory[[#This Row],[bldg_style]]="",0,Lookups!$B$2)</f>
        <v>155833.95000000001</v>
      </c>
      <c r="BJ2385" s="6">
        <f>_xlfn.IFNA(VLOOKUP(Grandview_Inventory[[#This Row],[quality]],Lookups!$H$2:$J$14,3,FALSE),0)</f>
        <v>9808</v>
      </c>
      <c r="BK2385" s="6">
        <f>_xlfn.IFNA(VLOOKUP(Grandview_Inventory[[#This Row],[condition]],Lookups!$H$17:$J$24,3,FALSE),0)</f>
        <v>25780</v>
      </c>
      <c r="BL2385" s="6">
        <f>Grandview_Inventory[[#This Row],[Eff_Age]]*Lookups!$B$14</f>
        <v>-239.16659999999999</v>
      </c>
      <c r="BM2385" s="6">
        <f>Grandview_Inventory[[#This Row],[living_area]]*Lookups!$B$15</f>
        <v>85898.434581000009</v>
      </c>
      <c r="BN2385" s="6">
        <f>Grandview_Inventory[[#This Row],[Fin BSMT]]*Lookups!$B$16</f>
        <v>0</v>
      </c>
      <c r="BO2385" s="6">
        <f>(Grandview_Inventory[[#This Row],[att_gar]]+Grandview_Inventory[[#This Row],[bltin_gar]])*Lookups!$B$17</f>
        <v>38508.992279999999</v>
      </c>
      <c r="BP2385" s="6">
        <f>Grandview_Inventory[[#This Row],[Plumbing Fixtures]]*Lookups!$B$18</f>
        <v>18093.976200000001</v>
      </c>
      <c r="BQ2385" s="6">
        <f>Grandview_Inventory[[#This Row],[detatched_value]]*Lookups!$B$19</f>
        <v>0</v>
      </c>
      <c r="BR2385" s="6">
        <f>SUM(Grandview_Inventory[[#This Row],[Intercept]:[det_value]])*Grandview_Inventory[[#This Row],[res_pct]]</f>
        <v>333684.186461</v>
      </c>
      <c r="BS2385" s="6">
        <f>Grandview_Inventory[[#This Row],[land_value]]</f>
        <v>48369.510983942157</v>
      </c>
      <c r="BT2385" s="4">
        <f>_xlfn.IFNA(VLOOKUP(Grandview_Inventory[[#This Row],[quality]],Lookups!$A$26:$C$33,3,FALSE),1)</f>
        <v>0.94295468617355149</v>
      </c>
      <c r="BU2385" s="4">
        <f>_xlfn.IFNA(VLOOKUP(Grandview_Inventory[[#This Row],[condition]],Lookups!$A$37:$C$44,3,FALSE),1)</f>
        <v>0.94347925387812148</v>
      </c>
      <c r="BV2385" s="4">
        <f>IF(Grandview_Inventory[[#This Row],[bldg_style]]="",1,_xlfn.IFNA(VLOOKUP(Grandview_Inventory[[#This Row],[decade]],Lookups!$F$29:$H$43,3,FALSE),1))</f>
        <v>0.94601966599150278</v>
      </c>
      <c r="BW2385" s="4">
        <f>_xlfn.IFNA(VLOOKUP(Grandview_Inventory[[#This Row],[living_area_range]],Lookups!$F$47:$H$56,3,FALSE),1)</f>
        <v>0.96135087979789358</v>
      </c>
      <c r="BX2385" s="4">
        <f>AVERAGE(Grandview_Inventory[[#This Row],[qual_adj]:[size_adj]])</f>
        <v>0.94845112146026733</v>
      </c>
      <c r="BY2385" s="6">
        <f>IF(Grandview_Inventory[[#This Row],[pre_res]]&lt;0,0,Grandview_Inventory[[#This Row],[pre_res]]*Grandview_Inventory[[#This Row],[overall_adj]])</f>
        <v>316483.14086249238</v>
      </c>
      <c r="BZ2385" s="6">
        <f>(Grandview_Inventory[[#This Row],[sum_land]]-IF(Grandview_Inventory[[#This Row],[no_utilities]]=1,12000,0))/IF(Grandview_Inventory[[#This Row],[unbuildable]]=1,2,1)</f>
        <v>48369.510983942157</v>
      </c>
      <c r="CA238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85">
        <f>ROUND(Grandview_Inventory[[#This Row],[det_value]]*Lookups!$M$28,-2)</f>
        <v>0</v>
      </c>
      <c r="CC2385">
        <f>IF(ROUND(Grandview_Inventory[[#This Row],[adj_res]]*Lookups!$M$28,-2)&lt;Grandview_Inventory[[#This Row],[min_res]],Grandview_Inventory[[#This Row],[min_res]],ROUND(Grandview_Inventory[[#This Row],[adj_res]]*Lookups!$M$28,-2))</f>
        <v>300700</v>
      </c>
      <c r="CD2385">
        <f>Grandview_Inventory[[#This Row],[final_det]]+Grandview_Inventory[[#This Row],[final_res]]</f>
        <v>300700</v>
      </c>
      <c r="CE2385">
        <f>Grandview_Inventory[[#This Row],[final_land]]+Grandview_Inventory[[#This Row],[final_imp]]+Grandview_Inventory[[#This Row],[crop_value]]</f>
        <v>346700</v>
      </c>
      <c r="CG2385" t="str">
        <f t="shared" si="37"/>
        <v>update valuation set market_land =46000, market_bldg=300700, market_total =346700, market_mdno =401, market_date ='9/10/2023' where link_id = (select link_id from parcel where parcel_year = '2024' and parcel_id = '23092621493');</v>
      </c>
    </row>
    <row r="2386" spans="1:85" x14ac:dyDescent="0.25">
      <c r="A2386">
        <v>23092621494</v>
      </c>
      <c r="B2386" t="s">
        <v>129</v>
      </c>
      <c r="C2386">
        <v>8250</v>
      </c>
      <c r="D2386" t="s">
        <v>129</v>
      </c>
      <c r="E2386" t="s">
        <v>53</v>
      </c>
      <c r="F2386" t="s">
        <v>53</v>
      </c>
      <c r="G2386">
        <v>4</v>
      </c>
      <c r="H2386" t="s">
        <v>54</v>
      </c>
      <c r="I2386">
        <v>251700</v>
      </c>
      <c r="J2386">
        <v>39100</v>
      </c>
      <c r="K2386">
        <v>0.19</v>
      </c>
      <c r="L238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86">
        <v>0</v>
      </c>
      <c r="N2386">
        <v>0</v>
      </c>
      <c r="O2386">
        <v>0</v>
      </c>
      <c r="P2386">
        <v>13398.7528</v>
      </c>
      <c r="Q2386">
        <v>63903</v>
      </c>
      <c r="R2386">
        <f>(Grandview_Inventory[[#This Row],[ln_acres]]*Grandview_Inventory[[#This Row],[coeff]])+Grandview_Inventory[[#This Row],[const]]</f>
        <v>41651.273092551026</v>
      </c>
      <c r="S2386" t="s">
        <v>61</v>
      </c>
      <c r="T2386">
        <v>1</v>
      </c>
      <c r="U2386" t="s">
        <v>62</v>
      </c>
      <c r="V2386" t="s">
        <v>57</v>
      </c>
      <c r="W2386">
        <v>0</v>
      </c>
      <c r="X2386">
        <v>0</v>
      </c>
      <c r="Y2386">
        <v>1</v>
      </c>
      <c r="Z2386">
        <v>1</v>
      </c>
      <c r="AA2386">
        <v>10</v>
      </c>
      <c r="AB2386">
        <v>2000</v>
      </c>
      <c r="AC2386">
        <v>1560</v>
      </c>
      <c r="AD2386">
        <v>1560</v>
      </c>
      <c r="AE2386">
        <v>0</v>
      </c>
      <c r="AF2386">
        <v>0</v>
      </c>
      <c r="AG2386">
        <v>0</v>
      </c>
      <c r="AH2386">
        <v>0</v>
      </c>
      <c r="AI2386">
        <v>400</v>
      </c>
      <c r="AJ2386">
        <v>0</v>
      </c>
      <c r="AK2386">
        <v>0</v>
      </c>
      <c r="AL2386">
        <v>0</v>
      </c>
      <c r="AM2386">
        <v>0</v>
      </c>
      <c r="AN2386">
        <v>220</v>
      </c>
      <c r="AO2386">
        <v>0</v>
      </c>
      <c r="AP2386">
        <v>9</v>
      </c>
      <c r="AQ2386">
        <v>0</v>
      </c>
      <c r="AR2386">
        <v>0</v>
      </c>
      <c r="AS2386" t="s">
        <v>58</v>
      </c>
      <c r="AT2386">
        <v>1</v>
      </c>
      <c r="AU2386" t="s">
        <v>63</v>
      </c>
      <c r="AV2386" t="s">
        <v>64</v>
      </c>
      <c r="AW2386">
        <v>1</v>
      </c>
      <c r="AX2386">
        <v>3</v>
      </c>
      <c r="AY2386">
        <v>0</v>
      </c>
      <c r="AZ2386">
        <v>0</v>
      </c>
      <c r="BA2386">
        <v>100</v>
      </c>
      <c r="BB2386">
        <v>100</v>
      </c>
      <c r="BC2386">
        <v>100</v>
      </c>
      <c r="BD2386">
        <v>100</v>
      </c>
      <c r="BE2386">
        <v>1</v>
      </c>
      <c r="BF2386">
        <v>15000</v>
      </c>
      <c r="BG2386">
        <v>1000</v>
      </c>
      <c r="BH2386" s="6">
        <f>Grandview_Inventory[[#This Row],[land_extract]]*Lookups!$B$3</f>
        <v>48369.510983942157</v>
      </c>
      <c r="BI2386" s="6">
        <f>IF(Grandview_Inventory[[#This Row],[bldg_style]]="",0,Lookups!$B$2)</f>
        <v>155833.95000000001</v>
      </c>
      <c r="BJ2386" s="6">
        <f>_xlfn.IFNA(VLOOKUP(Grandview_Inventory[[#This Row],[quality]],Lookups!$H$2:$J$14,3,FALSE),0)</f>
        <v>9808</v>
      </c>
      <c r="BK2386" s="6">
        <f>_xlfn.IFNA(VLOOKUP(Grandview_Inventory[[#This Row],[condition]],Lookups!$H$17:$J$24,3,FALSE),0)</f>
        <v>25780</v>
      </c>
      <c r="BL2386" s="6">
        <f>Grandview_Inventory[[#This Row],[Eff_Age]]*Lookups!$B$14</f>
        <v>-239.16659999999999</v>
      </c>
      <c r="BM2386" s="6">
        <f>Grandview_Inventory[[#This Row],[living_area]]*Lookups!$B$15</f>
        <v>97314.130680000002</v>
      </c>
      <c r="BN2386" s="6">
        <f>Grandview_Inventory[[#This Row],[Fin BSMT]]*Lookups!$B$16</f>
        <v>0</v>
      </c>
      <c r="BO2386" s="6">
        <f>(Grandview_Inventory[[#This Row],[att_gar]]+Grandview_Inventory[[#This Row],[bltin_gar]])*Lookups!$B$17</f>
        <v>35008.174800000001</v>
      </c>
      <c r="BP2386" s="6">
        <f>Grandview_Inventory[[#This Row],[Plumbing Fixtures]]*Lookups!$B$18</f>
        <v>18093.976200000001</v>
      </c>
      <c r="BQ2386" s="6">
        <f>Grandview_Inventory[[#This Row],[detatched_value]]*Lookups!$B$19</f>
        <v>0</v>
      </c>
      <c r="BR2386" s="6">
        <f>SUM(Grandview_Inventory[[#This Row],[Intercept]:[det_value]])*Grandview_Inventory[[#This Row],[res_pct]]</f>
        <v>341599.06507999997</v>
      </c>
      <c r="BS2386" s="6">
        <f>Grandview_Inventory[[#This Row],[land_value]]</f>
        <v>48369.510983942157</v>
      </c>
      <c r="BT2386" s="4">
        <f>_xlfn.IFNA(VLOOKUP(Grandview_Inventory[[#This Row],[quality]],Lookups!$A$26:$C$33,3,FALSE),1)</f>
        <v>0.94295468617355149</v>
      </c>
      <c r="BU2386" s="4">
        <f>_xlfn.IFNA(VLOOKUP(Grandview_Inventory[[#This Row],[condition]],Lookups!$A$37:$C$44,3,FALSE),1)</f>
        <v>0.94347925387812148</v>
      </c>
      <c r="BV2386" s="4">
        <f>IF(Grandview_Inventory[[#This Row],[bldg_style]]="",1,_xlfn.IFNA(VLOOKUP(Grandview_Inventory[[#This Row],[decade]],Lookups!$F$29:$H$43,3,FALSE),1))</f>
        <v>0.94601966599150278</v>
      </c>
      <c r="BW2386" s="4">
        <f>_xlfn.IFNA(VLOOKUP(Grandview_Inventory[[#This Row],[living_area_range]],Lookups!$F$47:$H$56,3,FALSE),1)</f>
        <v>0.96120133463014379</v>
      </c>
      <c r="BX2386" s="4">
        <f>AVERAGE(Grandview_Inventory[[#This Row],[qual_adj]:[size_adj]])</f>
        <v>0.94841373516832994</v>
      </c>
      <c r="BY2386" s="6">
        <f>IF(Grandview_Inventory[[#This Row],[pre_res]]&lt;0,0,Grandview_Inventory[[#This Row],[pre_res]]*Grandview_Inventory[[#This Row],[overall_adj]])</f>
        <v>323977.24524253217</v>
      </c>
      <c r="BZ2386" s="6">
        <f>(Grandview_Inventory[[#This Row],[sum_land]]-IF(Grandview_Inventory[[#This Row],[no_utilities]]=1,12000,0))/IF(Grandview_Inventory[[#This Row],[unbuildable]]=1,2,1)</f>
        <v>48369.510983942157</v>
      </c>
      <c r="CA238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86">
        <f>ROUND(Grandview_Inventory[[#This Row],[det_value]]*Lookups!$M$28,-2)</f>
        <v>0</v>
      </c>
      <c r="CC2386">
        <f>IF(ROUND(Grandview_Inventory[[#This Row],[adj_res]]*Lookups!$M$28,-2)&lt;Grandview_Inventory[[#This Row],[min_res]],Grandview_Inventory[[#This Row],[min_res]],ROUND(Grandview_Inventory[[#This Row],[adj_res]]*Lookups!$M$28,-2))</f>
        <v>307800</v>
      </c>
      <c r="CD2386">
        <f>Grandview_Inventory[[#This Row],[final_det]]+Grandview_Inventory[[#This Row],[final_res]]</f>
        <v>307800</v>
      </c>
      <c r="CE2386">
        <f>Grandview_Inventory[[#This Row],[final_land]]+Grandview_Inventory[[#This Row],[final_imp]]+Grandview_Inventory[[#This Row],[crop_value]]</f>
        <v>353800</v>
      </c>
      <c r="CG2386" t="str">
        <f t="shared" si="37"/>
        <v>update valuation set market_land =46000, market_bldg=307800, market_total =353800, market_mdno =401, market_date ='9/10/2023' where link_id = (select link_id from parcel where parcel_year = '2024' and parcel_id = '23092621494');</v>
      </c>
    </row>
    <row r="2387" spans="1:85" x14ac:dyDescent="0.25">
      <c r="A2387">
        <v>23092621495</v>
      </c>
      <c r="B2387" t="s">
        <v>129</v>
      </c>
      <c r="C2387">
        <v>8612</v>
      </c>
      <c r="D2387" t="s">
        <v>129</v>
      </c>
      <c r="E2387" t="s">
        <v>53</v>
      </c>
      <c r="F2387" t="s">
        <v>53</v>
      </c>
      <c r="G2387">
        <v>4</v>
      </c>
      <c r="H2387" t="s">
        <v>54</v>
      </c>
      <c r="I2387">
        <v>285000</v>
      </c>
      <c r="J2387">
        <v>39300</v>
      </c>
      <c r="K2387">
        <v>0.2</v>
      </c>
      <c r="L238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87">
        <v>0</v>
      </c>
      <c r="N2387">
        <v>0</v>
      </c>
      <c r="O2387">
        <v>0</v>
      </c>
      <c r="P2387">
        <v>13398.7528</v>
      </c>
      <c r="Q2387">
        <v>63903</v>
      </c>
      <c r="R2387">
        <f>(Grandview_Inventory[[#This Row],[ln_acres]]*Grandview_Inventory[[#This Row],[coeff]])+Grandview_Inventory[[#This Row],[const]]</f>
        <v>42338.539264347448</v>
      </c>
      <c r="S2387" t="s">
        <v>61</v>
      </c>
      <c r="T2387">
        <v>1</v>
      </c>
      <c r="U2387" t="s">
        <v>62</v>
      </c>
      <c r="V2387" t="s">
        <v>57</v>
      </c>
      <c r="W2387">
        <v>0</v>
      </c>
      <c r="X2387">
        <v>0</v>
      </c>
      <c r="Y2387">
        <v>1</v>
      </c>
      <c r="Z2387">
        <v>1</v>
      </c>
      <c r="AA2387">
        <v>10</v>
      </c>
      <c r="AB2387">
        <v>2000</v>
      </c>
      <c r="AC2387">
        <v>1888</v>
      </c>
      <c r="AD2387">
        <v>1888</v>
      </c>
      <c r="AE2387">
        <v>0</v>
      </c>
      <c r="AF2387">
        <v>0</v>
      </c>
      <c r="AG2387">
        <v>0</v>
      </c>
      <c r="AH2387">
        <v>0</v>
      </c>
      <c r="AI2387">
        <v>638</v>
      </c>
      <c r="AJ2387">
        <v>0</v>
      </c>
      <c r="AK2387">
        <v>0</v>
      </c>
      <c r="AL2387">
        <v>0</v>
      </c>
      <c r="AM2387">
        <v>0</v>
      </c>
      <c r="AN2387">
        <v>42</v>
      </c>
      <c r="AO2387">
        <v>0</v>
      </c>
      <c r="AP2387">
        <v>9</v>
      </c>
      <c r="AQ2387">
        <v>0</v>
      </c>
      <c r="AR2387">
        <v>0</v>
      </c>
      <c r="AS2387" t="s">
        <v>58</v>
      </c>
      <c r="AT2387">
        <v>1</v>
      </c>
      <c r="AU2387" t="s">
        <v>63</v>
      </c>
      <c r="AV2387" t="s">
        <v>64</v>
      </c>
      <c r="AW2387">
        <v>1</v>
      </c>
      <c r="AX2387">
        <v>3</v>
      </c>
      <c r="AY2387">
        <v>0</v>
      </c>
      <c r="AZ2387">
        <v>0</v>
      </c>
      <c r="BA2387">
        <v>100</v>
      </c>
      <c r="BB2387">
        <v>100</v>
      </c>
      <c r="BC2387">
        <v>100</v>
      </c>
      <c r="BD2387">
        <v>100</v>
      </c>
      <c r="BE2387">
        <v>1</v>
      </c>
      <c r="BF2387">
        <v>15000</v>
      </c>
      <c r="BG2387">
        <v>1000</v>
      </c>
      <c r="BH2387" s="6">
        <f>Grandview_Inventory[[#This Row],[land_extract]]*Lookups!$B$3</f>
        <v>49167.631333630678</v>
      </c>
      <c r="BI2387" s="6">
        <f>IF(Grandview_Inventory[[#This Row],[bldg_style]]="",0,Lookups!$B$2)</f>
        <v>155833.95000000001</v>
      </c>
      <c r="BJ2387" s="6">
        <f>_xlfn.IFNA(VLOOKUP(Grandview_Inventory[[#This Row],[quality]],Lookups!$H$2:$J$14,3,FALSE),0)</f>
        <v>9808</v>
      </c>
      <c r="BK2387" s="6">
        <f>_xlfn.IFNA(VLOOKUP(Grandview_Inventory[[#This Row],[condition]],Lookups!$H$17:$J$24,3,FALSE),0)</f>
        <v>25780</v>
      </c>
      <c r="BL2387" s="6">
        <f>Grandview_Inventory[[#This Row],[Eff_Age]]*Lookups!$B$14</f>
        <v>-239.16659999999999</v>
      </c>
      <c r="BM2387" s="6">
        <f>Grandview_Inventory[[#This Row],[living_area]]*Lookups!$B$15</f>
        <v>117775.050464</v>
      </c>
      <c r="BN2387" s="6">
        <f>Grandview_Inventory[[#This Row],[Fin BSMT]]*Lookups!$B$16</f>
        <v>0</v>
      </c>
      <c r="BO2387" s="6">
        <f>(Grandview_Inventory[[#This Row],[att_gar]]+Grandview_Inventory[[#This Row],[bltin_gar]])*Lookups!$B$17</f>
        <v>55838.038806000004</v>
      </c>
      <c r="BP2387" s="6">
        <f>Grandview_Inventory[[#This Row],[Plumbing Fixtures]]*Lookups!$B$18</f>
        <v>18093.976200000001</v>
      </c>
      <c r="BQ2387" s="6">
        <f>Grandview_Inventory[[#This Row],[detatched_value]]*Lookups!$B$19</f>
        <v>0</v>
      </c>
      <c r="BR2387" s="6">
        <f>SUM(Grandview_Inventory[[#This Row],[Intercept]:[det_value]])*Grandview_Inventory[[#This Row],[res_pct]]</f>
        <v>382889.84887000005</v>
      </c>
      <c r="BS2387" s="6">
        <f>Grandview_Inventory[[#This Row],[land_value]]</f>
        <v>49167.631333630678</v>
      </c>
      <c r="BT2387" s="4">
        <f>_xlfn.IFNA(VLOOKUP(Grandview_Inventory[[#This Row],[quality]],Lookups!$A$26:$C$33,3,FALSE),1)</f>
        <v>0.94295468617355149</v>
      </c>
      <c r="BU2387" s="4">
        <f>_xlfn.IFNA(VLOOKUP(Grandview_Inventory[[#This Row],[condition]],Lookups!$A$37:$C$44,3,FALSE),1)</f>
        <v>0.94347925387812148</v>
      </c>
      <c r="BV2387" s="4">
        <f>IF(Grandview_Inventory[[#This Row],[bldg_style]]="",1,_xlfn.IFNA(VLOOKUP(Grandview_Inventory[[#This Row],[decade]],Lookups!$F$29:$H$43,3,FALSE),1))</f>
        <v>0.94601966599150278</v>
      </c>
      <c r="BW2387" s="4">
        <f>_xlfn.IFNA(VLOOKUP(Grandview_Inventory[[#This Row],[living_area_range]],Lookups!$F$47:$H$56,3,FALSE),1)</f>
        <v>0.96120133463014379</v>
      </c>
      <c r="BX2387" s="4">
        <f>AVERAGE(Grandview_Inventory[[#This Row],[qual_adj]:[size_adj]])</f>
        <v>0.94841373516832994</v>
      </c>
      <c r="BY2387" s="6">
        <f>IF(Grandview_Inventory[[#This Row],[pre_res]]&lt;0,0,Grandview_Inventory[[#This Row],[pre_res]]*Grandview_Inventory[[#This Row],[overall_adj]])</f>
        <v>363137.99172483408</v>
      </c>
      <c r="BZ2387" s="6">
        <f>(Grandview_Inventory[[#This Row],[sum_land]]-IF(Grandview_Inventory[[#This Row],[no_utilities]]=1,12000,0))/IF(Grandview_Inventory[[#This Row],[unbuildable]]=1,2,1)</f>
        <v>49167.631333630678</v>
      </c>
      <c r="CA238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87">
        <f>ROUND(Grandview_Inventory[[#This Row],[det_value]]*Lookups!$M$28,-2)</f>
        <v>0</v>
      </c>
      <c r="CC2387">
        <f>IF(ROUND(Grandview_Inventory[[#This Row],[adj_res]]*Lookups!$M$28,-2)&lt;Grandview_Inventory[[#This Row],[min_res]],Grandview_Inventory[[#This Row],[min_res]],ROUND(Grandview_Inventory[[#This Row],[adj_res]]*Lookups!$M$28,-2))</f>
        <v>345000</v>
      </c>
      <c r="CD2387">
        <f>Grandview_Inventory[[#This Row],[final_det]]+Grandview_Inventory[[#This Row],[final_res]]</f>
        <v>345000</v>
      </c>
      <c r="CE2387">
        <f>Grandview_Inventory[[#This Row],[final_land]]+Grandview_Inventory[[#This Row],[final_imp]]+Grandview_Inventory[[#This Row],[crop_value]]</f>
        <v>391700</v>
      </c>
      <c r="CG2387" t="str">
        <f t="shared" si="37"/>
        <v>update valuation set market_land =46700, market_bldg=345000, market_total =391700, market_mdno =401, market_date ='9/10/2023' where link_id = (select link_id from parcel where parcel_year = '2024' and parcel_id = '23092621495');</v>
      </c>
    </row>
    <row r="2388" spans="1:85" x14ac:dyDescent="0.25">
      <c r="A2388">
        <v>23092621592</v>
      </c>
      <c r="B2388" t="s">
        <v>129</v>
      </c>
      <c r="C2388">
        <v>8605</v>
      </c>
      <c r="D2388" t="s">
        <v>129</v>
      </c>
      <c r="E2388" t="s">
        <v>53</v>
      </c>
      <c r="F2388" t="s">
        <v>53</v>
      </c>
      <c r="G2388">
        <v>4</v>
      </c>
      <c r="H2388" t="s">
        <v>54</v>
      </c>
      <c r="I2388">
        <v>165900</v>
      </c>
      <c r="J2388">
        <v>39300</v>
      </c>
      <c r="K2388">
        <v>0.2</v>
      </c>
      <c r="L2388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388">
        <v>0</v>
      </c>
      <c r="N2388">
        <v>0</v>
      </c>
      <c r="O2388">
        <v>0</v>
      </c>
      <c r="P2388">
        <v>13398.7528</v>
      </c>
      <c r="Q2388">
        <v>63903</v>
      </c>
      <c r="R2388">
        <f>(Grandview_Inventory[[#This Row],[ln_acres]]*Grandview_Inventory[[#This Row],[coeff]])+Grandview_Inventory[[#This Row],[const]]</f>
        <v>42338.539264347448</v>
      </c>
      <c r="S2388" t="s">
        <v>61</v>
      </c>
      <c r="T2388">
        <v>1</v>
      </c>
      <c r="U2388" t="s">
        <v>62</v>
      </c>
      <c r="V2388" t="s">
        <v>57</v>
      </c>
      <c r="W2388">
        <v>0</v>
      </c>
      <c r="X2388">
        <v>0</v>
      </c>
      <c r="Y2388">
        <v>1</v>
      </c>
      <c r="Z2388">
        <v>1</v>
      </c>
      <c r="AA2388">
        <v>10</v>
      </c>
      <c r="AB2388">
        <v>1500</v>
      </c>
      <c r="AC2388">
        <v>1460</v>
      </c>
      <c r="AD2388">
        <v>1460</v>
      </c>
      <c r="AE2388">
        <v>0</v>
      </c>
      <c r="AF2388">
        <v>0</v>
      </c>
      <c r="AG2388">
        <v>0</v>
      </c>
      <c r="AH2388">
        <v>0</v>
      </c>
      <c r="AI2388">
        <v>600</v>
      </c>
      <c r="AJ2388">
        <v>0</v>
      </c>
      <c r="AK2388">
        <v>0</v>
      </c>
      <c r="AL2388">
        <v>0</v>
      </c>
      <c r="AM2388">
        <v>150</v>
      </c>
      <c r="AN2388">
        <v>117</v>
      </c>
      <c r="AO2388">
        <v>150</v>
      </c>
      <c r="AP2388">
        <v>9</v>
      </c>
      <c r="AQ2388">
        <v>0</v>
      </c>
      <c r="AR2388">
        <v>0</v>
      </c>
      <c r="AS2388" t="s">
        <v>58</v>
      </c>
      <c r="AT2388">
        <v>1</v>
      </c>
      <c r="AU2388" t="s">
        <v>59</v>
      </c>
      <c r="AV2388" t="s">
        <v>60</v>
      </c>
      <c r="AW2388">
        <v>1</v>
      </c>
      <c r="AX2388">
        <v>3</v>
      </c>
      <c r="AY2388">
        <v>0</v>
      </c>
      <c r="AZ2388">
        <v>0</v>
      </c>
      <c r="BA2388">
        <v>100</v>
      </c>
      <c r="BB2388">
        <v>100</v>
      </c>
      <c r="BC2388">
        <v>100</v>
      </c>
      <c r="BD2388">
        <v>100</v>
      </c>
      <c r="BE2388">
        <v>1</v>
      </c>
      <c r="BF2388">
        <v>15000</v>
      </c>
      <c r="BG2388">
        <v>1000</v>
      </c>
      <c r="BH2388" s="6">
        <f>Grandview_Inventory[[#This Row],[land_extract]]*Lookups!$B$3</f>
        <v>49167.631333630678</v>
      </c>
      <c r="BI2388" s="6">
        <f>IF(Grandview_Inventory[[#This Row],[bldg_style]]="",0,Lookups!$B$2)</f>
        <v>155833.95000000001</v>
      </c>
      <c r="BJ2388" s="6">
        <f>_xlfn.IFNA(VLOOKUP(Grandview_Inventory[[#This Row],[quality]],Lookups!$H$2:$J$14,3,FALSE),0)</f>
        <v>9808</v>
      </c>
      <c r="BK2388" s="6">
        <f>_xlfn.IFNA(VLOOKUP(Grandview_Inventory[[#This Row],[condition]],Lookups!$H$17:$J$24,3,FALSE),0)</f>
        <v>25780</v>
      </c>
      <c r="BL2388" s="6">
        <f>Grandview_Inventory[[#This Row],[Eff_Age]]*Lookups!$B$14</f>
        <v>-239.16659999999999</v>
      </c>
      <c r="BM2388" s="6">
        <f>Grandview_Inventory[[#This Row],[living_area]]*Lookups!$B$15</f>
        <v>91076.045379999996</v>
      </c>
      <c r="BN2388" s="6">
        <f>Grandview_Inventory[[#This Row],[Fin BSMT]]*Lookups!$B$16</f>
        <v>0</v>
      </c>
      <c r="BO2388" s="6">
        <f>(Grandview_Inventory[[#This Row],[att_gar]]+Grandview_Inventory[[#This Row],[bltin_gar]])*Lookups!$B$17</f>
        <v>52512.262199999997</v>
      </c>
      <c r="BP2388" s="6">
        <f>Grandview_Inventory[[#This Row],[Plumbing Fixtures]]*Lookups!$B$18</f>
        <v>18093.976200000001</v>
      </c>
      <c r="BQ2388" s="6">
        <f>Grandview_Inventory[[#This Row],[detatched_value]]*Lookups!$B$19</f>
        <v>0</v>
      </c>
      <c r="BR2388" s="6">
        <f>SUM(Grandview_Inventory[[#This Row],[Intercept]:[det_value]])*Grandview_Inventory[[#This Row],[res_pct]]</f>
        <v>352865.06717999995</v>
      </c>
      <c r="BS2388" s="6">
        <f>Grandview_Inventory[[#This Row],[land_value]]</f>
        <v>49167.631333630678</v>
      </c>
      <c r="BT2388" s="4">
        <f>_xlfn.IFNA(VLOOKUP(Grandview_Inventory[[#This Row],[quality]],Lookups!$A$26:$C$33,3,FALSE),1)</f>
        <v>0.94295468617355149</v>
      </c>
      <c r="BU2388" s="4">
        <f>_xlfn.IFNA(VLOOKUP(Grandview_Inventory[[#This Row],[condition]],Lookups!$A$37:$C$44,3,FALSE),1)</f>
        <v>0.94347925387812148</v>
      </c>
      <c r="BV2388" s="4">
        <f>IF(Grandview_Inventory[[#This Row],[bldg_style]]="",1,_xlfn.IFNA(VLOOKUP(Grandview_Inventory[[#This Row],[decade]],Lookups!$F$29:$H$43,3,FALSE),1))</f>
        <v>0.94601966599150278</v>
      </c>
      <c r="BW2388" s="4">
        <f>_xlfn.IFNA(VLOOKUP(Grandview_Inventory[[#This Row],[living_area_range]],Lookups!$F$47:$H$56,3,FALSE),1)</f>
        <v>0.96135087979789358</v>
      </c>
      <c r="BX2388" s="4">
        <f>AVERAGE(Grandview_Inventory[[#This Row],[qual_adj]:[size_adj]])</f>
        <v>0.94845112146026733</v>
      </c>
      <c r="BY2388" s="6">
        <f>IF(Grandview_Inventory[[#This Row],[pre_res]]&lt;0,0,Grandview_Inventory[[#This Row],[pre_res]]*Grandview_Inventory[[#This Row],[overall_adj]])</f>
        <v>334675.26869102352</v>
      </c>
      <c r="BZ2388" s="6">
        <f>(Grandview_Inventory[[#This Row],[sum_land]]-IF(Grandview_Inventory[[#This Row],[no_utilities]]=1,12000,0))/IF(Grandview_Inventory[[#This Row],[unbuildable]]=1,2,1)</f>
        <v>49167.631333630678</v>
      </c>
      <c r="CA2388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388">
        <f>ROUND(Grandview_Inventory[[#This Row],[det_value]]*Lookups!$M$28,-2)</f>
        <v>0</v>
      </c>
      <c r="CC2388">
        <f>IF(ROUND(Grandview_Inventory[[#This Row],[adj_res]]*Lookups!$M$28,-2)&lt;Grandview_Inventory[[#This Row],[min_res]],Grandview_Inventory[[#This Row],[min_res]],ROUND(Grandview_Inventory[[#This Row],[adj_res]]*Lookups!$M$28,-2))</f>
        <v>317900</v>
      </c>
      <c r="CD2388">
        <f>Grandview_Inventory[[#This Row],[final_det]]+Grandview_Inventory[[#This Row],[final_res]]</f>
        <v>317900</v>
      </c>
      <c r="CE2388">
        <f>Grandview_Inventory[[#This Row],[final_land]]+Grandview_Inventory[[#This Row],[final_imp]]+Grandview_Inventory[[#This Row],[crop_value]]</f>
        <v>364600</v>
      </c>
      <c r="CG2388" t="str">
        <f t="shared" si="37"/>
        <v>update valuation set market_land =46700, market_bldg=317900, market_total =364600, market_mdno =401, market_date ='9/10/2023' where link_id = (select link_id from parcel where parcel_year = '2024' and parcel_id = '23092621592');</v>
      </c>
    </row>
    <row r="2389" spans="1:85" x14ac:dyDescent="0.25">
      <c r="A2389">
        <v>23092621593</v>
      </c>
      <c r="B2389" t="s">
        <v>129</v>
      </c>
      <c r="C2389">
        <v>8250</v>
      </c>
      <c r="D2389" t="s">
        <v>129</v>
      </c>
      <c r="E2389" t="s">
        <v>53</v>
      </c>
      <c r="F2389" t="s">
        <v>53</v>
      </c>
      <c r="G2389">
        <v>4</v>
      </c>
      <c r="H2389" t="s">
        <v>54</v>
      </c>
      <c r="I2389">
        <v>0</v>
      </c>
      <c r="J2389">
        <v>32500</v>
      </c>
      <c r="K2389">
        <v>0.19</v>
      </c>
      <c r="L238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89">
        <v>0</v>
      </c>
      <c r="N2389">
        <v>0</v>
      </c>
      <c r="O2389">
        <v>0</v>
      </c>
      <c r="P2389">
        <v>13398.7528</v>
      </c>
      <c r="Q2389">
        <v>63903</v>
      </c>
      <c r="R2389">
        <f>(Grandview_Inventory[[#This Row],[ln_acres]]*Grandview_Inventory[[#This Row],[coeff]])+Grandview_Inventory[[#This Row],[const]]</f>
        <v>41651.273092551026</v>
      </c>
      <c r="S2389" t="s">
        <v>61</v>
      </c>
      <c r="T2389">
        <v>1</v>
      </c>
      <c r="U2389" t="s">
        <v>62</v>
      </c>
      <c r="V2389" t="s">
        <v>57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2000</v>
      </c>
      <c r="AC2389">
        <v>1591</v>
      </c>
      <c r="AD2389">
        <v>1591</v>
      </c>
      <c r="AE2389">
        <v>0</v>
      </c>
      <c r="AF2389">
        <v>0</v>
      </c>
      <c r="AG2389">
        <v>0</v>
      </c>
      <c r="AH2389">
        <v>0</v>
      </c>
      <c r="AI2389">
        <v>400</v>
      </c>
      <c r="AJ2389">
        <v>0</v>
      </c>
      <c r="AK2389">
        <v>0</v>
      </c>
      <c r="AL2389">
        <v>0</v>
      </c>
      <c r="AM2389">
        <v>0</v>
      </c>
      <c r="AN2389">
        <v>268</v>
      </c>
      <c r="AO2389">
        <v>0</v>
      </c>
      <c r="AP2389">
        <v>9</v>
      </c>
      <c r="AQ2389">
        <v>0</v>
      </c>
      <c r="AR2389">
        <v>0</v>
      </c>
      <c r="AS2389" t="s">
        <v>58</v>
      </c>
      <c r="AT2389">
        <v>1</v>
      </c>
      <c r="AU2389" t="s">
        <v>59</v>
      </c>
      <c r="AV2389" t="s">
        <v>60</v>
      </c>
      <c r="AW2389">
        <v>1</v>
      </c>
      <c r="AX2389">
        <v>3</v>
      </c>
      <c r="AY2389">
        <v>0</v>
      </c>
      <c r="AZ2389">
        <v>0</v>
      </c>
      <c r="BA2389">
        <v>100</v>
      </c>
      <c r="BB2389">
        <v>100</v>
      </c>
      <c r="BC2389">
        <v>100</v>
      </c>
      <c r="BD2389">
        <v>100</v>
      </c>
      <c r="BE2389">
        <v>1</v>
      </c>
      <c r="BF2389">
        <v>15000</v>
      </c>
      <c r="BG2389">
        <v>1000</v>
      </c>
      <c r="BH2389" s="6">
        <f>Grandview_Inventory[[#This Row],[land_extract]]*Lookups!$B$3</f>
        <v>48369.510983942157</v>
      </c>
      <c r="BI2389" s="6">
        <f>IF(Grandview_Inventory[[#This Row],[bldg_style]]="",0,Lookups!$B$2)</f>
        <v>155833.95000000001</v>
      </c>
      <c r="BJ2389" s="6">
        <f>_xlfn.IFNA(VLOOKUP(Grandview_Inventory[[#This Row],[quality]],Lookups!$H$2:$J$14,3,FALSE),0)</f>
        <v>9808</v>
      </c>
      <c r="BK2389" s="6">
        <f>_xlfn.IFNA(VLOOKUP(Grandview_Inventory[[#This Row],[condition]],Lookups!$H$17:$J$24,3,FALSE),0)</f>
        <v>25780</v>
      </c>
      <c r="BL2389" s="6">
        <f>Grandview_Inventory[[#This Row],[Eff_Age]]*Lookups!$B$14</f>
        <v>0</v>
      </c>
      <c r="BM2389" s="6">
        <f>Grandview_Inventory[[#This Row],[living_area]]*Lookups!$B$15</f>
        <v>99247.937122999996</v>
      </c>
      <c r="BN2389" s="6">
        <f>Grandview_Inventory[[#This Row],[Fin BSMT]]*Lookups!$B$16</f>
        <v>0</v>
      </c>
      <c r="BO2389" s="6">
        <f>(Grandview_Inventory[[#This Row],[att_gar]]+Grandview_Inventory[[#This Row],[bltin_gar]])*Lookups!$B$17</f>
        <v>35008.174800000001</v>
      </c>
      <c r="BP2389" s="6">
        <f>Grandview_Inventory[[#This Row],[Plumbing Fixtures]]*Lookups!$B$18</f>
        <v>18093.976200000001</v>
      </c>
      <c r="BQ2389" s="6">
        <f>Grandview_Inventory[[#This Row],[detatched_value]]*Lookups!$B$19</f>
        <v>0</v>
      </c>
      <c r="BR2389" s="6">
        <f>SUM(Grandview_Inventory[[#This Row],[Intercept]:[det_value]])*Grandview_Inventory[[#This Row],[res_pct]]</f>
        <v>343772.03812299995</v>
      </c>
      <c r="BS2389" s="6">
        <f>Grandview_Inventory[[#This Row],[land_value]]</f>
        <v>48369.510983942157</v>
      </c>
      <c r="BT2389" s="4">
        <f>_xlfn.IFNA(VLOOKUP(Grandview_Inventory[[#This Row],[quality]],Lookups!$A$26:$C$33,3,FALSE),1)</f>
        <v>0.94295468617355149</v>
      </c>
      <c r="BU2389" s="4">
        <f>_xlfn.IFNA(VLOOKUP(Grandview_Inventory[[#This Row],[condition]],Lookups!$A$37:$C$44,3,FALSE),1)</f>
        <v>0.94347925387812148</v>
      </c>
      <c r="BV2389" s="4">
        <f>IF(Grandview_Inventory[[#This Row],[bldg_style]]="",1,_xlfn.IFNA(VLOOKUP(Grandview_Inventory[[#This Row],[decade]],Lookups!$F$29:$H$43,3,FALSE),1))</f>
        <v>0.9413635517371044</v>
      </c>
      <c r="BW2389" s="4">
        <f>_xlfn.IFNA(VLOOKUP(Grandview_Inventory[[#This Row],[living_area_range]],Lookups!$F$47:$H$56,3,FALSE),1)</f>
        <v>0.96120133463014379</v>
      </c>
      <c r="BX2389" s="4">
        <f>AVERAGE(Grandview_Inventory[[#This Row],[qual_adj]:[size_adj]])</f>
        <v>0.94724970660473029</v>
      </c>
      <c r="BY2389" s="6">
        <f>IF(Grandview_Inventory[[#This Row],[pre_res]]&lt;0,0,Grandview_Inventory[[#This Row],[pre_res]]*Grandview_Inventory[[#This Row],[overall_adj]])</f>
        <v>325637.96225092188</v>
      </c>
      <c r="BZ2389" s="6">
        <f>(Grandview_Inventory[[#This Row],[sum_land]]-IF(Grandview_Inventory[[#This Row],[no_utilities]]=1,12000,0))/IF(Grandview_Inventory[[#This Row],[unbuildable]]=1,2,1)</f>
        <v>48369.510983942157</v>
      </c>
      <c r="CA238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89">
        <f>ROUND(Grandview_Inventory[[#This Row],[det_value]]*Lookups!$M$28,-2)</f>
        <v>0</v>
      </c>
      <c r="CC2389">
        <f>IF(ROUND(Grandview_Inventory[[#This Row],[adj_res]]*Lookups!$M$28,-2)&lt;Grandview_Inventory[[#This Row],[min_res]],Grandview_Inventory[[#This Row],[min_res]],ROUND(Grandview_Inventory[[#This Row],[adj_res]]*Lookups!$M$28,-2))</f>
        <v>309400</v>
      </c>
      <c r="CD2389">
        <f>Grandview_Inventory[[#This Row],[final_det]]+Grandview_Inventory[[#This Row],[final_res]]</f>
        <v>309400</v>
      </c>
      <c r="CE2389">
        <f>Grandview_Inventory[[#This Row],[final_land]]+Grandview_Inventory[[#This Row],[final_imp]]+Grandview_Inventory[[#This Row],[crop_value]]</f>
        <v>355400</v>
      </c>
      <c r="CG2389" t="str">
        <f t="shared" si="37"/>
        <v>update valuation set market_land =46000, market_bldg=309400, market_total =355400, market_mdno =401, market_date ='9/10/2023' where link_id = (select link_id from parcel where parcel_year = '2024' and parcel_id = '23092621593');</v>
      </c>
    </row>
    <row r="2390" spans="1:85" x14ac:dyDescent="0.25">
      <c r="A2390">
        <v>23092621594</v>
      </c>
      <c r="B2390" t="s">
        <v>129</v>
      </c>
      <c r="C2390">
        <v>8250</v>
      </c>
      <c r="D2390" t="s">
        <v>129</v>
      </c>
      <c r="E2390" t="s">
        <v>53</v>
      </c>
      <c r="F2390" t="s">
        <v>53</v>
      </c>
      <c r="G2390">
        <v>4</v>
      </c>
      <c r="H2390" t="s">
        <v>54</v>
      </c>
      <c r="I2390">
        <v>165100</v>
      </c>
      <c r="J2390">
        <v>39100</v>
      </c>
      <c r="K2390">
        <v>0.19</v>
      </c>
      <c r="L239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0">
        <v>0</v>
      </c>
      <c r="N2390">
        <v>0</v>
      </c>
      <c r="O2390">
        <v>0</v>
      </c>
      <c r="P2390">
        <v>13398.7528</v>
      </c>
      <c r="Q2390">
        <v>63903</v>
      </c>
      <c r="R2390">
        <f>(Grandview_Inventory[[#This Row],[ln_acres]]*Grandview_Inventory[[#This Row],[coeff]])+Grandview_Inventory[[#This Row],[const]]</f>
        <v>41651.273092551026</v>
      </c>
      <c r="S2390" t="s">
        <v>61</v>
      </c>
      <c r="T2390">
        <v>1</v>
      </c>
      <c r="U2390" t="s">
        <v>62</v>
      </c>
      <c r="V2390" t="s">
        <v>57</v>
      </c>
      <c r="W2390">
        <v>0</v>
      </c>
      <c r="X2390">
        <v>0</v>
      </c>
      <c r="Y2390">
        <v>1</v>
      </c>
      <c r="Z2390">
        <v>1</v>
      </c>
      <c r="AA2390">
        <v>10</v>
      </c>
      <c r="AB2390">
        <v>1500</v>
      </c>
      <c r="AC2390">
        <v>1460</v>
      </c>
      <c r="AD2390">
        <v>1460</v>
      </c>
      <c r="AE2390">
        <v>0</v>
      </c>
      <c r="AF2390">
        <v>0</v>
      </c>
      <c r="AG2390">
        <v>0</v>
      </c>
      <c r="AH2390">
        <v>0</v>
      </c>
      <c r="AI2390">
        <v>400</v>
      </c>
      <c r="AJ2390">
        <v>0</v>
      </c>
      <c r="AK2390">
        <v>0</v>
      </c>
      <c r="AL2390">
        <v>0</v>
      </c>
      <c r="AM2390">
        <v>60</v>
      </c>
      <c r="AN2390">
        <v>117</v>
      </c>
      <c r="AO2390">
        <v>60</v>
      </c>
      <c r="AP2390">
        <v>9</v>
      </c>
      <c r="AQ2390">
        <v>0</v>
      </c>
      <c r="AR2390">
        <v>0</v>
      </c>
      <c r="AS2390" t="s">
        <v>58</v>
      </c>
      <c r="AT2390">
        <v>1</v>
      </c>
      <c r="AU2390" t="s">
        <v>59</v>
      </c>
      <c r="AV2390" t="s">
        <v>60</v>
      </c>
      <c r="AW2390">
        <v>1</v>
      </c>
      <c r="AX2390">
        <v>3</v>
      </c>
      <c r="AY2390">
        <v>0</v>
      </c>
      <c r="AZ2390">
        <v>0</v>
      </c>
      <c r="BA2390">
        <v>100</v>
      </c>
      <c r="BB2390">
        <v>100</v>
      </c>
      <c r="BC2390">
        <v>100</v>
      </c>
      <c r="BD2390">
        <v>100</v>
      </c>
      <c r="BE2390">
        <v>1</v>
      </c>
      <c r="BF2390">
        <v>15000</v>
      </c>
      <c r="BG2390">
        <v>1000</v>
      </c>
      <c r="BH2390" s="6">
        <f>Grandview_Inventory[[#This Row],[land_extract]]*Lookups!$B$3</f>
        <v>48369.510983942157</v>
      </c>
      <c r="BI2390" s="6">
        <f>IF(Grandview_Inventory[[#This Row],[bldg_style]]="",0,Lookups!$B$2)</f>
        <v>155833.95000000001</v>
      </c>
      <c r="BJ2390" s="6">
        <f>_xlfn.IFNA(VLOOKUP(Grandview_Inventory[[#This Row],[quality]],Lookups!$H$2:$J$14,3,FALSE),0)</f>
        <v>9808</v>
      </c>
      <c r="BK2390" s="6">
        <f>_xlfn.IFNA(VLOOKUP(Grandview_Inventory[[#This Row],[condition]],Lookups!$H$17:$J$24,3,FALSE),0)</f>
        <v>25780</v>
      </c>
      <c r="BL2390" s="6">
        <f>Grandview_Inventory[[#This Row],[Eff_Age]]*Lookups!$B$14</f>
        <v>-239.16659999999999</v>
      </c>
      <c r="BM2390" s="6">
        <f>Grandview_Inventory[[#This Row],[living_area]]*Lookups!$B$15</f>
        <v>91076.045379999996</v>
      </c>
      <c r="BN2390" s="6">
        <f>Grandview_Inventory[[#This Row],[Fin BSMT]]*Lookups!$B$16</f>
        <v>0</v>
      </c>
      <c r="BO2390" s="6">
        <f>(Grandview_Inventory[[#This Row],[att_gar]]+Grandview_Inventory[[#This Row],[bltin_gar]])*Lookups!$B$17</f>
        <v>35008.174800000001</v>
      </c>
      <c r="BP2390" s="6">
        <f>Grandview_Inventory[[#This Row],[Plumbing Fixtures]]*Lookups!$B$18</f>
        <v>18093.976200000001</v>
      </c>
      <c r="BQ2390" s="6">
        <f>Grandview_Inventory[[#This Row],[detatched_value]]*Lookups!$B$19</f>
        <v>0</v>
      </c>
      <c r="BR2390" s="6">
        <f>SUM(Grandview_Inventory[[#This Row],[Intercept]:[det_value]])*Grandview_Inventory[[#This Row],[res_pct]]</f>
        <v>335360.97977999994</v>
      </c>
      <c r="BS2390" s="6">
        <f>Grandview_Inventory[[#This Row],[land_value]]</f>
        <v>48369.510983942157</v>
      </c>
      <c r="BT2390" s="4">
        <f>_xlfn.IFNA(VLOOKUP(Grandview_Inventory[[#This Row],[quality]],Lookups!$A$26:$C$33,3,FALSE),1)</f>
        <v>0.94295468617355149</v>
      </c>
      <c r="BU2390" s="4">
        <f>_xlfn.IFNA(VLOOKUP(Grandview_Inventory[[#This Row],[condition]],Lookups!$A$37:$C$44,3,FALSE),1)</f>
        <v>0.94347925387812148</v>
      </c>
      <c r="BV2390" s="4">
        <f>IF(Grandview_Inventory[[#This Row],[bldg_style]]="",1,_xlfn.IFNA(VLOOKUP(Grandview_Inventory[[#This Row],[decade]],Lookups!$F$29:$H$43,3,FALSE),1))</f>
        <v>0.94601966599150278</v>
      </c>
      <c r="BW2390" s="4">
        <f>_xlfn.IFNA(VLOOKUP(Grandview_Inventory[[#This Row],[living_area_range]],Lookups!$F$47:$H$56,3,FALSE),1)</f>
        <v>0.96135087979789358</v>
      </c>
      <c r="BX2390" s="4">
        <f>AVERAGE(Grandview_Inventory[[#This Row],[qual_adj]:[size_adj]])</f>
        <v>0.94845112146026733</v>
      </c>
      <c r="BY2390" s="6">
        <f>IF(Grandview_Inventory[[#This Row],[pre_res]]&lt;0,0,Grandview_Inventory[[#This Row],[pre_res]]*Grandview_Inventory[[#This Row],[overall_adj]])</f>
        <v>318073.49736635498</v>
      </c>
      <c r="BZ2390" s="6">
        <f>(Grandview_Inventory[[#This Row],[sum_land]]-IF(Grandview_Inventory[[#This Row],[no_utilities]]=1,12000,0))/IF(Grandview_Inventory[[#This Row],[unbuildable]]=1,2,1)</f>
        <v>48369.510983942157</v>
      </c>
      <c r="CA239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0">
        <f>ROUND(Grandview_Inventory[[#This Row],[det_value]]*Lookups!$M$28,-2)</f>
        <v>0</v>
      </c>
      <c r="CC2390">
        <f>IF(ROUND(Grandview_Inventory[[#This Row],[adj_res]]*Lookups!$M$28,-2)&lt;Grandview_Inventory[[#This Row],[min_res]],Grandview_Inventory[[#This Row],[min_res]],ROUND(Grandview_Inventory[[#This Row],[adj_res]]*Lookups!$M$28,-2))</f>
        <v>302200</v>
      </c>
      <c r="CD2390">
        <f>Grandview_Inventory[[#This Row],[final_det]]+Grandview_Inventory[[#This Row],[final_res]]</f>
        <v>302200</v>
      </c>
      <c r="CE2390">
        <f>Grandview_Inventory[[#This Row],[final_land]]+Grandview_Inventory[[#This Row],[final_imp]]+Grandview_Inventory[[#This Row],[crop_value]]</f>
        <v>348200</v>
      </c>
      <c r="CG2390" t="str">
        <f t="shared" si="37"/>
        <v>update valuation set market_land =46000, market_bldg=302200, market_total =348200, market_mdno =401, market_date ='9/10/2023' where link_id = (select link_id from parcel where parcel_year = '2024' and parcel_id = '23092621594');</v>
      </c>
    </row>
    <row r="2391" spans="1:85" x14ac:dyDescent="0.25">
      <c r="A2391">
        <v>23092621595</v>
      </c>
      <c r="B2391" t="s">
        <v>129</v>
      </c>
      <c r="C2391">
        <v>8250</v>
      </c>
      <c r="D2391" t="s">
        <v>129</v>
      </c>
      <c r="E2391" t="s">
        <v>53</v>
      </c>
      <c r="F2391" t="s">
        <v>53</v>
      </c>
      <c r="G2391">
        <v>4</v>
      </c>
      <c r="H2391" t="s">
        <v>54</v>
      </c>
      <c r="I2391">
        <v>0</v>
      </c>
      <c r="J2391">
        <v>39100</v>
      </c>
      <c r="K2391">
        <v>0.19</v>
      </c>
      <c r="L239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1">
        <v>0</v>
      </c>
      <c r="N2391">
        <v>0</v>
      </c>
      <c r="O2391">
        <v>0</v>
      </c>
      <c r="P2391">
        <v>13398.7528</v>
      </c>
      <c r="Q2391">
        <v>63903</v>
      </c>
      <c r="R2391">
        <f>(Grandview_Inventory[[#This Row],[ln_acres]]*Grandview_Inventory[[#This Row],[coeff]])+Grandview_Inventory[[#This Row],[const]]</f>
        <v>41651.273092551026</v>
      </c>
      <c r="S2391" t="s">
        <v>55</v>
      </c>
      <c r="T2391">
        <v>2</v>
      </c>
      <c r="U2391" t="s">
        <v>62</v>
      </c>
      <c r="V2391" t="s">
        <v>57</v>
      </c>
      <c r="W2391">
        <v>0</v>
      </c>
      <c r="X2391">
        <v>0</v>
      </c>
      <c r="Y2391">
        <v>1</v>
      </c>
      <c r="Z2391">
        <v>1</v>
      </c>
      <c r="AA2391">
        <v>10</v>
      </c>
      <c r="AB2391">
        <v>2500</v>
      </c>
      <c r="AC2391">
        <v>2168</v>
      </c>
      <c r="AD2391">
        <v>896</v>
      </c>
      <c r="AE2391">
        <v>1272</v>
      </c>
      <c r="AF2391">
        <v>0</v>
      </c>
      <c r="AG2391">
        <v>0</v>
      </c>
      <c r="AH2391">
        <v>0</v>
      </c>
      <c r="AI2391">
        <v>0</v>
      </c>
      <c r="AJ2391">
        <v>440</v>
      </c>
      <c r="AK2391">
        <v>0</v>
      </c>
      <c r="AL2391">
        <v>0</v>
      </c>
      <c r="AM2391">
        <v>144</v>
      </c>
      <c r="AN2391">
        <v>128</v>
      </c>
      <c r="AO2391">
        <v>144</v>
      </c>
      <c r="AP2391">
        <v>12</v>
      </c>
      <c r="AQ2391">
        <v>0</v>
      </c>
      <c r="AR2391">
        <v>0</v>
      </c>
      <c r="AS2391" t="s">
        <v>58</v>
      </c>
      <c r="AT2391">
        <v>1</v>
      </c>
      <c r="AU2391" t="s">
        <v>63</v>
      </c>
      <c r="AV2391" t="s">
        <v>64</v>
      </c>
      <c r="AW2391">
        <v>1</v>
      </c>
      <c r="AX2391">
        <v>3</v>
      </c>
      <c r="AY2391">
        <v>0</v>
      </c>
      <c r="AZ2391">
        <v>0</v>
      </c>
      <c r="BA2391">
        <v>100</v>
      </c>
      <c r="BB2391">
        <v>100</v>
      </c>
      <c r="BC2391">
        <v>100</v>
      </c>
      <c r="BD2391">
        <v>100</v>
      </c>
      <c r="BE2391">
        <v>1</v>
      </c>
      <c r="BF2391">
        <v>15000</v>
      </c>
      <c r="BG2391">
        <v>1000</v>
      </c>
      <c r="BH2391" s="6">
        <f>Grandview_Inventory[[#This Row],[land_extract]]*Lookups!$B$3</f>
        <v>48369.510983942157</v>
      </c>
      <c r="BI2391" s="6">
        <f>IF(Grandview_Inventory[[#This Row],[bldg_style]]="",0,Lookups!$B$2)</f>
        <v>155833.95000000001</v>
      </c>
      <c r="BJ2391" s="6">
        <f>_xlfn.IFNA(VLOOKUP(Grandview_Inventory[[#This Row],[quality]],Lookups!$H$2:$J$14,3,FALSE),0)</f>
        <v>9808</v>
      </c>
      <c r="BK2391" s="6">
        <f>_xlfn.IFNA(VLOOKUP(Grandview_Inventory[[#This Row],[condition]],Lookups!$H$17:$J$24,3,FALSE),0)</f>
        <v>25780</v>
      </c>
      <c r="BL2391" s="6">
        <f>Grandview_Inventory[[#This Row],[Eff_Age]]*Lookups!$B$14</f>
        <v>-239.16659999999999</v>
      </c>
      <c r="BM2391" s="6">
        <f>Grandview_Inventory[[#This Row],[living_area]]*Lookups!$B$15</f>
        <v>135241.689304</v>
      </c>
      <c r="BN2391" s="6">
        <f>Grandview_Inventory[[#This Row],[Fin BSMT]]*Lookups!$B$16</f>
        <v>0</v>
      </c>
      <c r="BO2391" s="6">
        <f>(Grandview_Inventory[[#This Row],[att_gar]]+Grandview_Inventory[[#This Row],[bltin_gar]])*Lookups!$B$17</f>
        <v>38508.992279999999</v>
      </c>
      <c r="BP2391" s="6">
        <f>Grandview_Inventory[[#This Row],[Plumbing Fixtures]]*Lookups!$B$18</f>
        <v>24125.301599999999</v>
      </c>
      <c r="BQ2391" s="6">
        <f>Grandview_Inventory[[#This Row],[detatched_value]]*Lookups!$B$19</f>
        <v>0</v>
      </c>
      <c r="BR2391" s="6">
        <f>SUM(Grandview_Inventory[[#This Row],[Intercept]:[det_value]])*Grandview_Inventory[[#This Row],[res_pct]]</f>
        <v>389058.76658400003</v>
      </c>
      <c r="BS2391" s="6">
        <f>Grandview_Inventory[[#This Row],[land_value]]</f>
        <v>48369.510983942157</v>
      </c>
      <c r="BT2391" s="4">
        <f>_xlfn.IFNA(VLOOKUP(Grandview_Inventory[[#This Row],[quality]],Lookups!$A$26:$C$33,3,FALSE),1)</f>
        <v>0.94295468617355149</v>
      </c>
      <c r="BU2391" s="4">
        <f>_xlfn.IFNA(VLOOKUP(Grandview_Inventory[[#This Row],[condition]],Lookups!$A$37:$C$44,3,FALSE),1)</f>
        <v>0.94347925387812148</v>
      </c>
      <c r="BV2391" s="4">
        <f>IF(Grandview_Inventory[[#This Row],[bldg_style]]="",1,_xlfn.IFNA(VLOOKUP(Grandview_Inventory[[#This Row],[decade]],Lookups!$F$29:$H$43,3,FALSE),1))</f>
        <v>0.94601966599150278</v>
      </c>
      <c r="BW2391" s="4">
        <f>_xlfn.IFNA(VLOOKUP(Grandview_Inventory[[#This Row],[living_area_range]],Lookups!$F$47:$H$56,3,FALSE),1)</f>
        <v>0.95799442568048754</v>
      </c>
      <c r="BX2391" s="4">
        <f>AVERAGE(Grandview_Inventory[[#This Row],[qual_adj]:[size_adj]])</f>
        <v>0.94761200793091582</v>
      </c>
      <c r="BY2391" s="6">
        <f>IF(Grandview_Inventory[[#This Row],[pre_res]]&lt;0,0,Grandview_Inventory[[#This Row],[pre_res]]*Grandview_Inventory[[#This Row],[overall_adj]])</f>
        <v>368676.75900578976</v>
      </c>
      <c r="BZ2391" s="6">
        <f>(Grandview_Inventory[[#This Row],[sum_land]]-IF(Grandview_Inventory[[#This Row],[no_utilities]]=1,12000,0))/IF(Grandview_Inventory[[#This Row],[unbuildable]]=1,2,1)</f>
        <v>48369.510983942157</v>
      </c>
      <c r="CA239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1">
        <f>ROUND(Grandview_Inventory[[#This Row],[det_value]]*Lookups!$M$28,-2)</f>
        <v>0</v>
      </c>
      <c r="CC2391">
        <f>IF(ROUND(Grandview_Inventory[[#This Row],[adj_res]]*Lookups!$M$28,-2)&lt;Grandview_Inventory[[#This Row],[min_res]],Grandview_Inventory[[#This Row],[min_res]],ROUND(Grandview_Inventory[[#This Row],[adj_res]]*Lookups!$M$28,-2))</f>
        <v>350200</v>
      </c>
      <c r="CD2391">
        <f>Grandview_Inventory[[#This Row],[final_det]]+Grandview_Inventory[[#This Row],[final_res]]</f>
        <v>350200</v>
      </c>
      <c r="CE2391">
        <f>Grandview_Inventory[[#This Row],[final_land]]+Grandview_Inventory[[#This Row],[final_imp]]+Grandview_Inventory[[#This Row],[crop_value]]</f>
        <v>396200</v>
      </c>
      <c r="CG2391" t="str">
        <f t="shared" si="37"/>
        <v>update valuation set market_land =46000, market_bldg=350200, market_total =396200, market_mdno =401, market_date ='9/10/2023' where link_id = (select link_id from parcel where parcel_year = '2024' and parcel_id = '23092621595');</v>
      </c>
    </row>
    <row r="2392" spans="1:85" x14ac:dyDescent="0.25">
      <c r="A2392">
        <v>23092621596</v>
      </c>
      <c r="B2392" t="s">
        <v>129</v>
      </c>
      <c r="C2392">
        <v>8250</v>
      </c>
      <c r="D2392" t="s">
        <v>129</v>
      </c>
      <c r="E2392" t="s">
        <v>53</v>
      </c>
      <c r="F2392" t="s">
        <v>53</v>
      </c>
      <c r="G2392">
        <v>4</v>
      </c>
      <c r="H2392" t="s">
        <v>54</v>
      </c>
      <c r="I2392">
        <v>153700</v>
      </c>
      <c r="J2392">
        <v>39100</v>
      </c>
      <c r="K2392">
        <v>0.19</v>
      </c>
      <c r="L239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2">
        <v>0</v>
      </c>
      <c r="N2392">
        <v>0</v>
      </c>
      <c r="O2392">
        <v>0</v>
      </c>
      <c r="P2392">
        <v>13398.7528</v>
      </c>
      <c r="Q2392">
        <v>63903</v>
      </c>
      <c r="R2392">
        <f>(Grandview_Inventory[[#This Row],[ln_acres]]*Grandview_Inventory[[#This Row],[coeff]])+Grandview_Inventory[[#This Row],[const]]</f>
        <v>41651.273092551026</v>
      </c>
      <c r="S2392" t="s">
        <v>61</v>
      </c>
      <c r="T2392">
        <v>1</v>
      </c>
      <c r="U2392" t="s">
        <v>62</v>
      </c>
      <c r="V2392" t="s">
        <v>57</v>
      </c>
      <c r="W2392">
        <v>0</v>
      </c>
      <c r="X2392">
        <v>0</v>
      </c>
      <c r="Y2392">
        <v>1</v>
      </c>
      <c r="Z2392">
        <v>1</v>
      </c>
      <c r="AA2392">
        <v>10</v>
      </c>
      <c r="AB2392">
        <v>1500</v>
      </c>
      <c r="AC2392">
        <v>1378</v>
      </c>
      <c r="AD2392">
        <v>1378</v>
      </c>
      <c r="AE2392">
        <v>0</v>
      </c>
      <c r="AF2392">
        <v>0</v>
      </c>
      <c r="AG2392">
        <v>0</v>
      </c>
      <c r="AH2392">
        <v>0</v>
      </c>
      <c r="AI2392">
        <v>400</v>
      </c>
      <c r="AJ2392">
        <v>0</v>
      </c>
      <c r="AK2392">
        <v>0</v>
      </c>
      <c r="AL2392">
        <v>0</v>
      </c>
      <c r="AM2392">
        <v>144</v>
      </c>
      <c r="AN2392">
        <v>84</v>
      </c>
      <c r="AO2392">
        <v>0</v>
      </c>
      <c r="AP2392">
        <v>8</v>
      </c>
      <c r="AQ2392">
        <v>0</v>
      </c>
      <c r="AR2392">
        <v>0</v>
      </c>
      <c r="AS2392" t="s">
        <v>58</v>
      </c>
      <c r="AT2392">
        <v>1</v>
      </c>
      <c r="AU2392" t="s">
        <v>59</v>
      </c>
      <c r="AV2392" t="s">
        <v>60</v>
      </c>
      <c r="AW2392">
        <v>1</v>
      </c>
      <c r="AX2392">
        <v>3</v>
      </c>
      <c r="AY2392">
        <v>0</v>
      </c>
      <c r="AZ2392">
        <v>0</v>
      </c>
      <c r="BA2392">
        <v>100</v>
      </c>
      <c r="BB2392">
        <v>100</v>
      </c>
      <c r="BC2392">
        <v>100</v>
      </c>
      <c r="BD2392">
        <v>100</v>
      </c>
      <c r="BE2392">
        <v>1</v>
      </c>
      <c r="BF2392">
        <v>15000</v>
      </c>
      <c r="BG2392">
        <v>1000</v>
      </c>
      <c r="BH2392" s="6">
        <f>Grandview_Inventory[[#This Row],[land_extract]]*Lookups!$B$3</f>
        <v>48369.510983942157</v>
      </c>
      <c r="BI2392" s="6">
        <f>IF(Grandview_Inventory[[#This Row],[bldg_style]]="",0,Lookups!$B$2)</f>
        <v>155833.95000000001</v>
      </c>
      <c r="BJ2392" s="6">
        <f>_xlfn.IFNA(VLOOKUP(Grandview_Inventory[[#This Row],[quality]],Lookups!$H$2:$J$14,3,FALSE),0)</f>
        <v>9808</v>
      </c>
      <c r="BK2392" s="6">
        <f>_xlfn.IFNA(VLOOKUP(Grandview_Inventory[[#This Row],[condition]],Lookups!$H$17:$J$24,3,FALSE),0)</f>
        <v>25780</v>
      </c>
      <c r="BL2392" s="6">
        <f>Grandview_Inventory[[#This Row],[Eff_Age]]*Lookups!$B$14</f>
        <v>-239.16659999999999</v>
      </c>
      <c r="BM2392" s="6">
        <f>Grandview_Inventory[[#This Row],[living_area]]*Lookups!$B$15</f>
        <v>85960.815434000004</v>
      </c>
      <c r="BN2392" s="6">
        <f>Grandview_Inventory[[#This Row],[Fin BSMT]]*Lookups!$B$16</f>
        <v>0</v>
      </c>
      <c r="BO2392" s="6">
        <f>(Grandview_Inventory[[#This Row],[att_gar]]+Grandview_Inventory[[#This Row],[bltin_gar]])*Lookups!$B$17</f>
        <v>35008.174800000001</v>
      </c>
      <c r="BP2392" s="6">
        <f>Grandview_Inventory[[#This Row],[Plumbing Fixtures]]*Lookups!$B$18</f>
        <v>16083.5344</v>
      </c>
      <c r="BQ2392" s="6">
        <f>Grandview_Inventory[[#This Row],[detatched_value]]*Lookups!$B$19</f>
        <v>0</v>
      </c>
      <c r="BR2392" s="6">
        <f>SUM(Grandview_Inventory[[#This Row],[Intercept]:[det_value]])*Grandview_Inventory[[#This Row],[res_pct]]</f>
        <v>328235.30803399999</v>
      </c>
      <c r="BS2392" s="6">
        <f>Grandview_Inventory[[#This Row],[land_value]]</f>
        <v>48369.510983942157</v>
      </c>
      <c r="BT2392" s="4">
        <f>_xlfn.IFNA(VLOOKUP(Grandview_Inventory[[#This Row],[quality]],Lookups!$A$26:$C$33,3,FALSE),1)</f>
        <v>0.94295468617355149</v>
      </c>
      <c r="BU2392" s="4">
        <f>_xlfn.IFNA(VLOOKUP(Grandview_Inventory[[#This Row],[condition]],Lookups!$A$37:$C$44,3,FALSE),1)</f>
        <v>0.94347925387812148</v>
      </c>
      <c r="BV2392" s="4">
        <f>IF(Grandview_Inventory[[#This Row],[bldg_style]]="",1,_xlfn.IFNA(VLOOKUP(Grandview_Inventory[[#This Row],[decade]],Lookups!$F$29:$H$43,3,FALSE),1))</f>
        <v>0.94601966599150278</v>
      </c>
      <c r="BW2392" s="4">
        <f>_xlfn.IFNA(VLOOKUP(Grandview_Inventory[[#This Row],[living_area_range]],Lookups!$F$47:$H$56,3,FALSE),1)</f>
        <v>0.96135087979789358</v>
      </c>
      <c r="BX2392" s="4">
        <f>AVERAGE(Grandview_Inventory[[#This Row],[qual_adj]:[size_adj]])</f>
        <v>0.94845112146026733</v>
      </c>
      <c r="BY2392" s="6">
        <f>IF(Grandview_Inventory[[#This Row],[pre_res]]&lt;0,0,Grandview_Inventory[[#This Row],[pre_res]]*Grandview_Inventory[[#This Row],[overall_adj]])</f>
        <v>311315.14600770356</v>
      </c>
      <c r="BZ2392" s="6">
        <f>(Grandview_Inventory[[#This Row],[sum_land]]-IF(Grandview_Inventory[[#This Row],[no_utilities]]=1,12000,0))/IF(Grandview_Inventory[[#This Row],[unbuildable]]=1,2,1)</f>
        <v>48369.510983942157</v>
      </c>
      <c r="CA239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2">
        <f>ROUND(Grandview_Inventory[[#This Row],[det_value]]*Lookups!$M$28,-2)</f>
        <v>0</v>
      </c>
      <c r="CC2392">
        <f>IF(ROUND(Grandview_Inventory[[#This Row],[adj_res]]*Lookups!$M$28,-2)&lt;Grandview_Inventory[[#This Row],[min_res]],Grandview_Inventory[[#This Row],[min_res]],ROUND(Grandview_Inventory[[#This Row],[adj_res]]*Lookups!$M$28,-2))</f>
        <v>295700</v>
      </c>
      <c r="CD2392">
        <f>Grandview_Inventory[[#This Row],[final_det]]+Grandview_Inventory[[#This Row],[final_res]]</f>
        <v>295700</v>
      </c>
      <c r="CE2392">
        <f>Grandview_Inventory[[#This Row],[final_land]]+Grandview_Inventory[[#This Row],[final_imp]]+Grandview_Inventory[[#This Row],[crop_value]]</f>
        <v>341700</v>
      </c>
      <c r="CG2392" t="str">
        <f t="shared" si="37"/>
        <v>update valuation set market_land =46000, market_bldg=295700, market_total =341700, market_mdno =401, market_date ='9/10/2023' where link_id = (select link_id from parcel where parcel_year = '2024' and parcel_id = '23092621596');</v>
      </c>
    </row>
    <row r="2393" spans="1:85" x14ac:dyDescent="0.25">
      <c r="A2393">
        <v>23092621597</v>
      </c>
      <c r="B2393" t="s">
        <v>129</v>
      </c>
      <c r="C2393">
        <v>8250</v>
      </c>
      <c r="D2393" t="s">
        <v>129</v>
      </c>
      <c r="E2393" t="s">
        <v>53</v>
      </c>
      <c r="F2393" t="s">
        <v>53</v>
      </c>
      <c r="G2393">
        <v>4</v>
      </c>
      <c r="H2393" t="s">
        <v>54</v>
      </c>
      <c r="I2393">
        <v>0</v>
      </c>
      <c r="J2393">
        <v>32500</v>
      </c>
      <c r="K2393">
        <v>0.19</v>
      </c>
      <c r="L239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3">
        <v>0</v>
      </c>
      <c r="N2393">
        <v>0</v>
      </c>
      <c r="O2393">
        <v>0</v>
      </c>
      <c r="P2393">
        <v>13398.7528</v>
      </c>
      <c r="Q2393">
        <v>63903</v>
      </c>
      <c r="R2393">
        <f>(Grandview_Inventory[[#This Row],[ln_acres]]*Grandview_Inventory[[#This Row],[coeff]])+Grandview_Inventory[[#This Row],[const]]</f>
        <v>41651.273092551026</v>
      </c>
      <c r="S2393" t="s">
        <v>61</v>
      </c>
      <c r="T2393">
        <v>1</v>
      </c>
      <c r="U2393" t="s">
        <v>62</v>
      </c>
      <c r="V2393" t="s">
        <v>57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2000</v>
      </c>
      <c r="AC2393">
        <v>1591</v>
      </c>
      <c r="AD2393">
        <v>1591</v>
      </c>
      <c r="AE2393">
        <v>0</v>
      </c>
      <c r="AF2393">
        <v>0</v>
      </c>
      <c r="AG2393">
        <v>0</v>
      </c>
      <c r="AH2393">
        <v>0</v>
      </c>
      <c r="AI2393">
        <v>400</v>
      </c>
      <c r="AJ2393">
        <v>0</v>
      </c>
      <c r="AK2393">
        <v>0</v>
      </c>
      <c r="AL2393">
        <v>0</v>
      </c>
      <c r="AM2393">
        <v>0</v>
      </c>
      <c r="AN2393">
        <v>268</v>
      </c>
      <c r="AO2393">
        <v>0</v>
      </c>
      <c r="AP2393">
        <v>9</v>
      </c>
      <c r="AQ2393">
        <v>0</v>
      </c>
      <c r="AR2393">
        <v>0</v>
      </c>
      <c r="AS2393" t="s">
        <v>58</v>
      </c>
      <c r="AT2393">
        <v>1</v>
      </c>
      <c r="AU2393" t="s">
        <v>59</v>
      </c>
      <c r="AV2393" t="s">
        <v>60</v>
      </c>
      <c r="AW2393">
        <v>1</v>
      </c>
      <c r="AX2393">
        <v>3</v>
      </c>
      <c r="AY2393">
        <v>0</v>
      </c>
      <c r="AZ2393">
        <v>0</v>
      </c>
      <c r="BA2393">
        <v>100</v>
      </c>
      <c r="BB2393">
        <v>100</v>
      </c>
      <c r="BC2393">
        <v>100</v>
      </c>
      <c r="BD2393">
        <v>100</v>
      </c>
      <c r="BE2393">
        <v>1</v>
      </c>
      <c r="BF2393">
        <v>15000</v>
      </c>
      <c r="BG2393">
        <v>1000</v>
      </c>
      <c r="BH2393" s="6">
        <f>Grandview_Inventory[[#This Row],[land_extract]]*Lookups!$B$3</f>
        <v>48369.510983942157</v>
      </c>
      <c r="BI2393" s="6">
        <f>IF(Grandview_Inventory[[#This Row],[bldg_style]]="",0,Lookups!$B$2)</f>
        <v>155833.95000000001</v>
      </c>
      <c r="BJ2393" s="6">
        <f>_xlfn.IFNA(VLOOKUP(Grandview_Inventory[[#This Row],[quality]],Lookups!$H$2:$J$14,3,FALSE),0)</f>
        <v>9808</v>
      </c>
      <c r="BK2393" s="6">
        <f>_xlfn.IFNA(VLOOKUP(Grandview_Inventory[[#This Row],[condition]],Lookups!$H$17:$J$24,3,FALSE),0)</f>
        <v>25780</v>
      </c>
      <c r="BL2393" s="6">
        <f>Grandview_Inventory[[#This Row],[Eff_Age]]*Lookups!$B$14</f>
        <v>0</v>
      </c>
      <c r="BM2393" s="6">
        <f>Grandview_Inventory[[#This Row],[living_area]]*Lookups!$B$15</f>
        <v>99247.937122999996</v>
      </c>
      <c r="BN2393" s="6">
        <f>Grandview_Inventory[[#This Row],[Fin BSMT]]*Lookups!$B$16</f>
        <v>0</v>
      </c>
      <c r="BO2393" s="6">
        <f>(Grandview_Inventory[[#This Row],[att_gar]]+Grandview_Inventory[[#This Row],[bltin_gar]])*Lookups!$B$17</f>
        <v>35008.174800000001</v>
      </c>
      <c r="BP2393" s="6">
        <f>Grandview_Inventory[[#This Row],[Plumbing Fixtures]]*Lookups!$B$18</f>
        <v>18093.976200000001</v>
      </c>
      <c r="BQ2393" s="6">
        <f>Grandview_Inventory[[#This Row],[detatched_value]]*Lookups!$B$19</f>
        <v>0</v>
      </c>
      <c r="BR2393" s="6">
        <f>SUM(Grandview_Inventory[[#This Row],[Intercept]:[det_value]])*Grandview_Inventory[[#This Row],[res_pct]]</f>
        <v>343772.03812299995</v>
      </c>
      <c r="BS2393" s="6">
        <f>Grandview_Inventory[[#This Row],[land_value]]</f>
        <v>48369.510983942157</v>
      </c>
      <c r="BT2393" s="4">
        <f>_xlfn.IFNA(VLOOKUP(Grandview_Inventory[[#This Row],[quality]],Lookups!$A$26:$C$33,3,FALSE),1)</f>
        <v>0.94295468617355149</v>
      </c>
      <c r="BU2393" s="4">
        <f>_xlfn.IFNA(VLOOKUP(Grandview_Inventory[[#This Row],[condition]],Lookups!$A$37:$C$44,3,FALSE),1)</f>
        <v>0.94347925387812148</v>
      </c>
      <c r="BV2393" s="4">
        <f>IF(Grandview_Inventory[[#This Row],[bldg_style]]="",1,_xlfn.IFNA(VLOOKUP(Grandview_Inventory[[#This Row],[decade]],Lookups!$F$29:$H$43,3,FALSE),1))</f>
        <v>0.9413635517371044</v>
      </c>
      <c r="BW2393" s="4">
        <f>_xlfn.IFNA(VLOOKUP(Grandview_Inventory[[#This Row],[living_area_range]],Lookups!$F$47:$H$56,3,FALSE),1)</f>
        <v>0.96120133463014379</v>
      </c>
      <c r="BX2393" s="4">
        <f>AVERAGE(Grandview_Inventory[[#This Row],[qual_adj]:[size_adj]])</f>
        <v>0.94724970660473029</v>
      </c>
      <c r="BY2393" s="6">
        <f>IF(Grandview_Inventory[[#This Row],[pre_res]]&lt;0,0,Grandview_Inventory[[#This Row],[pre_res]]*Grandview_Inventory[[#This Row],[overall_adj]])</f>
        <v>325637.96225092188</v>
      </c>
      <c r="BZ2393" s="6">
        <f>(Grandview_Inventory[[#This Row],[sum_land]]-IF(Grandview_Inventory[[#This Row],[no_utilities]]=1,12000,0))/IF(Grandview_Inventory[[#This Row],[unbuildable]]=1,2,1)</f>
        <v>48369.510983942157</v>
      </c>
      <c r="CA239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3">
        <f>ROUND(Grandview_Inventory[[#This Row],[det_value]]*Lookups!$M$28,-2)</f>
        <v>0</v>
      </c>
      <c r="CC2393">
        <f>IF(ROUND(Grandview_Inventory[[#This Row],[adj_res]]*Lookups!$M$28,-2)&lt;Grandview_Inventory[[#This Row],[min_res]],Grandview_Inventory[[#This Row],[min_res]],ROUND(Grandview_Inventory[[#This Row],[adj_res]]*Lookups!$M$28,-2))</f>
        <v>309400</v>
      </c>
      <c r="CD2393">
        <f>Grandview_Inventory[[#This Row],[final_det]]+Grandview_Inventory[[#This Row],[final_res]]</f>
        <v>309400</v>
      </c>
      <c r="CE2393">
        <f>Grandview_Inventory[[#This Row],[final_land]]+Grandview_Inventory[[#This Row],[final_imp]]+Grandview_Inventory[[#This Row],[crop_value]]</f>
        <v>355400</v>
      </c>
      <c r="CG2393" t="str">
        <f t="shared" si="37"/>
        <v>update valuation set market_land =46000, market_bldg=309400, market_total =355400, market_mdno =401, market_date ='9/10/2023' where link_id = (select link_id from parcel where parcel_year = '2024' and parcel_id = '23092621597');</v>
      </c>
    </row>
    <row r="2394" spans="1:85" x14ac:dyDescent="0.25">
      <c r="A2394">
        <v>23092621598</v>
      </c>
      <c r="B2394" t="s">
        <v>129</v>
      </c>
      <c r="C2394">
        <v>8250</v>
      </c>
      <c r="D2394" t="s">
        <v>129</v>
      </c>
      <c r="E2394" t="s">
        <v>53</v>
      </c>
      <c r="F2394" t="s">
        <v>53</v>
      </c>
      <c r="G2394">
        <v>4</v>
      </c>
      <c r="H2394" t="s">
        <v>54</v>
      </c>
      <c r="I2394">
        <v>0</v>
      </c>
      <c r="J2394">
        <v>32500</v>
      </c>
      <c r="K2394">
        <v>0.19</v>
      </c>
      <c r="L239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4">
        <v>0</v>
      </c>
      <c r="N2394">
        <v>0</v>
      </c>
      <c r="O2394">
        <v>0</v>
      </c>
      <c r="P2394">
        <v>13398.7528</v>
      </c>
      <c r="Q2394">
        <v>63903</v>
      </c>
      <c r="R2394">
        <f>(Grandview_Inventory[[#This Row],[ln_acres]]*Grandview_Inventory[[#This Row],[coeff]])+Grandview_Inventory[[#This Row],[const]]</f>
        <v>41651.273092551026</v>
      </c>
      <c r="S2394" t="s">
        <v>61</v>
      </c>
      <c r="T2394">
        <v>1</v>
      </c>
      <c r="U2394" t="s">
        <v>62</v>
      </c>
      <c r="V2394" t="s">
        <v>57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1500</v>
      </c>
      <c r="AC2394">
        <v>1460</v>
      </c>
      <c r="AD2394">
        <v>1460</v>
      </c>
      <c r="AE2394">
        <v>0</v>
      </c>
      <c r="AF2394">
        <v>0</v>
      </c>
      <c r="AG2394">
        <v>0</v>
      </c>
      <c r="AH2394">
        <v>0</v>
      </c>
      <c r="AI2394">
        <v>400</v>
      </c>
      <c r="AJ2394">
        <v>0</v>
      </c>
      <c r="AK2394">
        <v>0</v>
      </c>
      <c r="AL2394">
        <v>0</v>
      </c>
      <c r="AM2394">
        <v>150</v>
      </c>
      <c r="AN2394">
        <v>117</v>
      </c>
      <c r="AO2394">
        <v>150</v>
      </c>
      <c r="AP2394">
        <v>9</v>
      </c>
      <c r="AQ2394">
        <v>0</v>
      </c>
      <c r="AR2394">
        <v>0</v>
      </c>
      <c r="AS2394" t="s">
        <v>58</v>
      </c>
      <c r="AT2394">
        <v>1</v>
      </c>
      <c r="AU2394" t="s">
        <v>59</v>
      </c>
      <c r="AV2394" t="s">
        <v>60</v>
      </c>
      <c r="AW2394">
        <v>1</v>
      </c>
      <c r="AX2394">
        <v>3</v>
      </c>
      <c r="AY2394">
        <v>0</v>
      </c>
      <c r="AZ2394">
        <v>0</v>
      </c>
      <c r="BA2394">
        <v>100</v>
      </c>
      <c r="BB2394">
        <v>100</v>
      </c>
      <c r="BC2394">
        <v>100</v>
      </c>
      <c r="BD2394">
        <v>100</v>
      </c>
      <c r="BE2394">
        <v>1</v>
      </c>
      <c r="BF2394">
        <v>15000</v>
      </c>
      <c r="BG2394">
        <v>1000</v>
      </c>
      <c r="BH2394" s="6">
        <f>Grandview_Inventory[[#This Row],[land_extract]]*Lookups!$B$3</f>
        <v>48369.510983942157</v>
      </c>
      <c r="BI2394" s="6">
        <f>IF(Grandview_Inventory[[#This Row],[bldg_style]]="",0,Lookups!$B$2)</f>
        <v>155833.95000000001</v>
      </c>
      <c r="BJ2394" s="6">
        <f>_xlfn.IFNA(VLOOKUP(Grandview_Inventory[[#This Row],[quality]],Lookups!$H$2:$J$14,3,FALSE),0)</f>
        <v>9808</v>
      </c>
      <c r="BK2394" s="6">
        <f>_xlfn.IFNA(VLOOKUP(Grandview_Inventory[[#This Row],[condition]],Lookups!$H$17:$J$24,3,FALSE),0)</f>
        <v>25780</v>
      </c>
      <c r="BL2394" s="6">
        <f>Grandview_Inventory[[#This Row],[Eff_Age]]*Lookups!$B$14</f>
        <v>0</v>
      </c>
      <c r="BM2394" s="6">
        <f>Grandview_Inventory[[#This Row],[living_area]]*Lookups!$B$15</f>
        <v>91076.045379999996</v>
      </c>
      <c r="BN2394" s="6">
        <f>Grandview_Inventory[[#This Row],[Fin BSMT]]*Lookups!$B$16</f>
        <v>0</v>
      </c>
      <c r="BO2394" s="6">
        <f>(Grandview_Inventory[[#This Row],[att_gar]]+Grandview_Inventory[[#This Row],[bltin_gar]])*Lookups!$B$17</f>
        <v>35008.174800000001</v>
      </c>
      <c r="BP2394" s="6">
        <f>Grandview_Inventory[[#This Row],[Plumbing Fixtures]]*Lookups!$B$18</f>
        <v>18093.976200000001</v>
      </c>
      <c r="BQ2394" s="6">
        <f>Grandview_Inventory[[#This Row],[detatched_value]]*Lookups!$B$19</f>
        <v>0</v>
      </c>
      <c r="BR2394" s="6">
        <f>SUM(Grandview_Inventory[[#This Row],[Intercept]:[det_value]])*Grandview_Inventory[[#This Row],[res_pct]]</f>
        <v>335600.14637999993</v>
      </c>
      <c r="BS2394" s="6">
        <f>Grandview_Inventory[[#This Row],[land_value]]</f>
        <v>48369.510983942157</v>
      </c>
      <c r="BT2394" s="4">
        <f>_xlfn.IFNA(VLOOKUP(Grandview_Inventory[[#This Row],[quality]],Lookups!$A$26:$C$33,3,FALSE),1)</f>
        <v>0.94295468617355149</v>
      </c>
      <c r="BU2394" s="4">
        <f>_xlfn.IFNA(VLOOKUP(Grandview_Inventory[[#This Row],[condition]],Lookups!$A$37:$C$44,3,FALSE),1)</f>
        <v>0.94347925387812148</v>
      </c>
      <c r="BV2394" s="4">
        <f>IF(Grandview_Inventory[[#This Row],[bldg_style]]="",1,_xlfn.IFNA(VLOOKUP(Grandview_Inventory[[#This Row],[decade]],Lookups!$F$29:$H$43,3,FALSE),1))</f>
        <v>0.9413635517371044</v>
      </c>
      <c r="BW2394" s="4">
        <f>_xlfn.IFNA(VLOOKUP(Grandview_Inventory[[#This Row],[living_area_range]],Lookups!$F$47:$H$56,3,FALSE),1)</f>
        <v>0.96135087979789358</v>
      </c>
      <c r="BX2394" s="4">
        <f>AVERAGE(Grandview_Inventory[[#This Row],[qual_adj]:[size_adj]])</f>
        <v>0.94728709289666768</v>
      </c>
      <c r="BY2394" s="6">
        <f>IF(Grandview_Inventory[[#This Row],[pre_res]]&lt;0,0,Grandview_Inventory[[#This Row],[pre_res]]*Grandview_Inventory[[#This Row],[overall_adj]])</f>
        <v>317909.68704000628</v>
      </c>
      <c r="BZ2394" s="6">
        <f>(Grandview_Inventory[[#This Row],[sum_land]]-IF(Grandview_Inventory[[#This Row],[no_utilities]]=1,12000,0))/IF(Grandview_Inventory[[#This Row],[unbuildable]]=1,2,1)</f>
        <v>48369.510983942157</v>
      </c>
      <c r="CA239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4">
        <f>ROUND(Grandview_Inventory[[#This Row],[det_value]]*Lookups!$M$28,-2)</f>
        <v>0</v>
      </c>
      <c r="CC2394">
        <f>IF(ROUND(Grandview_Inventory[[#This Row],[adj_res]]*Lookups!$M$28,-2)&lt;Grandview_Inventory[[#This Row],[min_res]],Grandview_Inventory[[#This Row],[min_res]],ROUND(Grandview_Inventory[[#This Row],[adj_res]]*Lookups!$M$28,-2))</f>
        <v>302000</v>
      </c>
      <c r="CD2394">
        <f>Grandview_Inventory[[#This Row],[final_det]]+Grandview_Inventory[[#This Row],[final_res]]</f>
        <v>302000</v>
      </c>
      <c r="CE2394">
        <f>Grandview_Inventory[[#This Row],[final_land]]+Grandview_Inventory[[#This Row],[final_imp]]+Grandview_Inventory[[#This Row],[crop_value]]</f>
        <v>348000</v>
      </c>
      <c r="CG2394" t="str">
        <f t="shared" si="37"/>
        <v>update valuation set market_land =46000, market_bldg=302000, market_total =348000, market_mdno =401, market_date ='9/10/2023' where link_id = (select link_id from parcel where parcel_year = '2024' and parcel_id = '23092621598');</v>
      </c>
    </row>
    <row r="2395" spans="1:85" x14ac:dyDescent="0.25">
      <c r="A2395">
        <v>23092621599</v>
      </c>
      <c r="B2395" t="s">
        <v>129</v>
      </c>
      <c r="C2395">
        <v>8250</v>
      </c>
      <c r="D2395" t="s">
        <v>129</v>
      </c>
      <c r="E2395" t="s">
        <v>53</v>
      </c>
      <c r="F2395" t="s">
        <v>53</v>
      </c>
      <c r="G2395">
        <v>4</v>
      </c>
      <c r="H2395" t="s">
        <v>54</v>
      </c>
      <c r="I2395">
        <v>0</v>
      </c>
      <c r="J2395">
        <v>32500</v>
      </c>
      <c r="K2395">
        <v>0.19</v>
      </c>
      <c r="L239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5">
        <v>0</v>
      </c>
      <c r="N2395">
        <v>0</v>
      </c>
      <c r="O2395">
        <v>0</v>
      </c>
      <c r="P2395">
        <v>13398.7528</v>
      </c>
      <c r="Q2395">
        <v>63903</v>
      </c>
      <c r="R2395">
        <f>(Grandview_Inventory[[#This Row],[ln_acres]]*Grandview_Inventory[[#This Row],[coeff]])+Grandview_Inventory[[#This Row],[const]]</f>
        <v>41651.273092551026</v>
      </c>
      <c r="S2395" t="s">
        <v>55</v>
      </c>
      <c r="T2395">
        <v>2</v>
      </c>
      <c r="U2395" t="s">
        <v>62</v>
      </c>
      <c r="V2395" t="s">
        <v>57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2500</v>
      </c>
      <c r="AC2395">
        <v>2168</v>
      </c>
      <c r="AD2395">
        <v>896</v>
      </c>
      <c r="AE2395">
        <v>1272</v>
      </c>
      <c r="AF2395">
        <v>0</v>
      </c>
      <c r="AG2395">
        <v>0</v>
      </c>
      <c r="AH2395">
        <v>0</v>
      </c>
      <c r="AI2395">
        <v>440</v>
      </c>
      <c r="AJ2395">
        <v>0</v>
      </c>
      <c r="AK2395">
        <v>0</v>
      </c>
      <c r="AL2395">
        <v>0</v>
      </c>
      <c r="AM2395">
        <v>0</v>
      </c>
      <c r="AN2395">
        <v>272</v>
      </c>
      <c r="AO2395">
        <v>0</v>
      </c>
      <c r="AP2395">
        <v>12</v>
      </c>
      <c r="AQ2395">
        <v>0</v>
      </c>
      <c r="AR2395">
        <v>0</v>
      </c>
      <c r="AS2395" t="s">
        <v>58</v>
      </c>
      <c r="AT2395">
        <v>1</v>
      </c>
      <c r="AU2395" t="s">
        <v>59</v>
      </c>
      <c r="AV2395" t="s">
        <v>60</v>
      </c>
      <c r="AW2395">
        <v>1</v>
      </c>
      <c r="AX2395">
        <v>3</v>
      </c>
      <c r="AY2395">
        <v>0</v>
      </c>
      <c r="AZ2395">
        <v>0</v>
      </c>
      <c r="BA2395">
        <v>100</v>
      </c>
      <c r="BB2395">
        <v>100</v>
      </c>
      <c r="BC2395">
        <v>100</v>
      </c>
      <c r="BD2395">
        <v>24</v>
      </c>
      <c r="BE2395">
        <v>0.24</v>
      </c>
      <c r="BF2395">
        <v>15000</v>
      </c>
      <c r="BG2395">
        <v>1000</v>
      </c>
      <c r="BH2395" s="6">
        <f>Grandview_Inventory[[#This Row],[land_extract]]*Lookups!$B$3</f>
        <v>48369.510983942157</v>
      </c>
      <c r="BI2395" s="6">
        <f>IF(Grandview_Inventory[[#This Row],[bldg_style]]="",0,Lookups!$B$2)</f>
        <v>155833.95000000001</v>
      </c>
      <c r="BJ2395" s="6">
        <f>_xlfn.IFNA(VLOOKUP(Grandview_Inventory[[#This Row],[quality]],Lookups!$H$2:$J$14,3,FALSE),0)</f>
        <v>9808</v>
      </c>
      <c r="BK2395" s="6">
        <f>_xlfn.IFNA(VLOOKUP(Grandview_Inventory[[#This Row],[condition]],Lookups!$H$17:$J$24,3,FALSE),0)</f>
        <v>25780</v>
      </c>
      <c r="BL2395" s="6">
        <f>Grandview_Inventory[[#This Row],[Eff_Age]]*Lookups!$B$14</f>
        <v>0</v>
      </c>
      <c r="BM2395" s="6">
        <f>Grandview_Inventory[[#This Row],[living_area]]*Lookups!$B$15</f>
        <v>135241.689304</v>
      </c>
      <c r="BN2395" s="6">
        <f>Grandview_Inventory[[#This Row],[Fin BSMT]]*Lookups!$B$16</f>
        <v>0</v>
      </c>
      <c r="BO2395" s="6">
        <f>(Grandview_Inventory[[#This Row],[att_gar]]+Grandview_Inventory[[#This Row],[bltin_gar]])*Lookups!$B$17</f>
        <v>38508.992279999999</v>
      </c>
      <c r="BP2395" s="6">
        <f>Grandview_Inventory[[#This Row],[Plumbing Fixtures]]*Lookups!$B$18</f>
        <v>24125.301599999999</v>
      </c>
      <c r="BQ2395" s="6">
        <f>Grandview_Inventory[[#This Row],[detatched_value]]*Lookups!$B$19</f>
        <v>0</v>
      </c>
      <c r="BR2395" s="6">
        <f>SUM(Grandview_Inventory[[#This Row],[Intercept]:[det_value]])*Grandview_Inventory[[#This Row],[res_pct]]</f>
        <v>93431.503964160001</v>
      </c>
      <c r="BS2395" s="6">
        <f>Grandview_Inventory[[#This Row],[land_value]]</f>
        <v>48369.510983942157</v>
      </c>
      <c r="BT2395" s="4">
        <f>_xlfn.IFNA(VLOOKUP(Grandview_Inventory[[#This Row],[quality]],Lookups!$A$26:$C$33,3,FALSE),1)</f>
        <v>0.94295468617355149</v>
      </c>
      <c r="BU2395" s="4">
        <f>_xlfn.IFNA(VLOOKUP(Grandview_Inventory[[#This Row],[condition]],Lookups!$A$37:$C$44,3,FALSE),1)</f>
        <v>0.94347925387812148</v>
      </c>
      <c r="BV2395" s="4">
        <f>IF(Grandview_Inventory[[#This Row],[bldg_style]]="",1,_xlfn.IFNA(VLOOKUP(Grandview_Inventory[[#This Row],[decade]],Lookups!$F$29:$H$43,3,FALSE),1))</f>
        <v>0.9413635517371044</v>
      </c>
      <c r="BW2395" s="4">
        <f>_xlfn.IFNA(VLOOKUP(Grandview_Inventory[[#This Row],[living_area_range]],Lookups!$F$47:$H$56,3,FALSE),1)</f>
        <v>0.95799442568048754</v>
      </c>
      <c r="BX2395" s="4">
        <f>AVERAGE(Grandview_Inventory[[#This Row],[qual_adj]:[size_adj]])</f>
        <v>0.94644797936731617</v>
      </c>
      <c r="BY2395" s="6">
        <f>IF(Grandview_Inventory[[#This Row],[pre_res]]&lt;0,0,Grandview_Inventory[[#This Row],[pre_res]]*Grandview_Inventory[[#This Row],[overall_adj]])</f>
        <v>88428.058136128631</v>
      </c>
      <c r="BZ2395" s="6">
        <f>(Grandview_Inventory[[#This Row],[sum_land]]-IF(Grandview_Inventory[[#This Row],[no_utilities]]=1,12000,0))/IF(Grandview_Inventory[[#This Row],[unbuildable]]=1,2,1)</f>
        <v>48369.510983942157</v>
      </c>
      <c r="CA239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5">
        <f>ROUND(Grandview_Inventory[[#This Row],[det_value]]*Lookups!$M$28,-2)</f>
        <v>0</v>
      </c>
      <c r="CC2395">
        <f>IF(ROUND(Grandview_Inventory[[#This Row],[adj_res]]*Lookups!$M$28,-2)&lt;Grandview_Inventory[[#This Row],[min_res]],Grandview_Inventory[[#This Row],[min_res]],ROUND(Grandview_Inventory[[#This Row],[adj_res]]*Lookups!$M$28,-2))</f>
        <v>84000</v>
      </c>
      <c r="CD2395">
        <f>Grandview_Inventory[[#This Row],[final_det]]+Grandview_Inventory[[#This Row],[final_res]]</f>
        <v>84000</v>
      </c>
      <c r="CE2395">
        <f>Grandview_Inventory[[#This Row],[final_land]]+Grandview_Inventory[[#This Row],[final_imp]]+Grandview_Inventory[[#This Row],[crop_value]]</f>
        <v>130000</v>
      </c>
      <c r="CG2395" t="str">
        <f t="shared" si="37"/>
        <v>update valuation set market_land =46000, market_bldg=84000, market_total =130000, market_mdno =401, market_date ='9/10/2023' where link_id = (select link_id from parcel where parcel_year = '2024' and parcel_id = '23092621599');</v>
      </c>
    </row>
    <row r="2396" spans="1:85" x14ac:dyDescent="0.25">
      <c r="A2396">
        <v>23092621600</v>
      </c>
      <c r="B2396" t="s">
        <v>129</v>
      </c>
      <c r="C2396">
        <v>8250</v>
      </c>
      <c r="D2396" t="s">
        <v>129</v>
      </c>
      <c r="E2396" t="s">
        <v>53</v>
      </c>
      <c r="F2396" t="s">
        <v>53</v>
      </c>
      <c r="G2396">
        <v>4</v>
      </c>
      <c r="H2396" t="s">
        <v>54</v>
      </c>
      <c r="I2396">
        <v>0</v>
      </c>
      <c r="J2396">
        <v>32500</v>
      </c>
      <c r="K2396">
        <v>0.19</v>
      </c>
      <c r="L239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6">
        <v>0</v>
      </c>
      <c r="N2396">
        <v>0</v>
      </c>
      <c r="O2396">
        <v>0</v>
      </c>
      <c r="P2396">
        <v>13398.7528</v>
      </c>
      <c r="Q2396">
        <v>63903</v>
      </c>
      <c r="R2396">
        <f>(Grandview_Inventory[[#This Row],[ln_acres]]*Grandview_Inventory[[#This Row],[coeff]])+Grandview_Inventory[[#This Row],[const]]</f>
        <v>41651.273092551026</v>
      </c>
      <c r="S2396" t="s">
        <v>61</v>
      </c>
      <c r="T2396">
        <v>1</v>
      </c>
      <c r="U2396" t="s">
        <v>62</v>
      </c>
      <c r="V2396" t="s">
        <v>57</v>
      </c>
      <c r="W2396">
        <v>0</v>
      </c>
      <c r="X2396">
        <v>0</v>
      </c>
      <c r="Y2396">
        <v>1</v>
      </c>
      <c r="Z2396">
        <v>1</v>
      </c>
      <c r="AA2396">
        <v>10</v>
      </c>
      <c r="AB2396">
        <v>1500</v>
      </c>
      <c r="AC2396">
        <v>1364</v>
      </c>
      <c r="AD2396">
        <v>1364</v>
      </c>
      <c r="AE2396">
        <v>0</v>
      </c>
      <c r="AF2396">
        <v>0</v>
      </c>
      <c r="AG2396">
        <v>0</v>
      </c>
      <c r="AH2396">
        <v>0</v>
      </c>
      <c r="AI2396">
        <v>420</v>
      </c>
      <c r="AJ2396">
        <v>0</v>
      </c>
      <c r="AK2396">
        <v>0</v>
      </c>
      <c r="AL2396">
        <v>0</v>
      </c>
      <c r="AM2396">
        <v>100</v>
      </c>
      <c r="AN2396">
        <v>78</v>
      </c>
      <c r="AO2396">
        <v>0</v>
      </c>
      <c r="AP2396">
        <v>8</v>
      </c>
      <c r="AQ2396">
        <v>0</v>
      </c>
      <c r="AR2396">
        <v>0</v>
      </c>
      <c r="AS2396" t="s">
        <v>58</v>
      </c>
      <c r="AT2396">
        <v>1</v>
      </c>
      <c r="AU2396" t="s">
        <v>63</v>
      </c>
      <c r="AV2396" t="s">
        <v>64</v>
      </c>
      <c r="AW2396">
        <v>1</v>
      </c>
      <c r="AX2396">
        <v>3</v>
      </c>
      <c r="AY2396">
        <v>0</v>
      </c>
      <c r="AZ2396">
        <v>0</v>
      </c>
      <c r="BA2396">
        <v>100</v>
      </c>
      <c r="BB2396">
        <v>100</v>
      </c>
      <c r="BC2396">
        <v>100</v>
      </c>
      <c r="BD2396">
        <v>100</v>
      </c>
      <c r="BE2396">
        <v>1</v>
      </c>
      <c r="BF2396">
        <v>15000</v>
      </c>
      <c r="BG2396">
        <v>1000</v>
      </c>
      <c r="BH2396" s="6">
        <f>Grandview_Inventory[[#This Row],[land_extract]]*Lookups!$B$3</f>
        <v>48369.510983942157</v>
      </c>
      <c r="BI2396" s="6">
        <f>IF(Grandview_Inventory[[#This Row],[bldg_style]]="",0,Lookups!$B$2)</f>
        <v>155833.95000000001</v>
      </c>
      <c r="BJ2396" s="6">
        <f>_xlfn.IFNA(VLOOKUP(Grandview_Inventory[[#This Row],[quality]],Lookups!$H$2:$J$14,3,FALSE),0)</f>
        <v>9808</v>
      </c>
      <c r="BK2396" s="6">
        <f>_xlfn.IFNA(VLOOKUP(Grandview_Inventory[[#This Row],[condition]],Lookups!$H$17:$J$24,3,FALSE),0)</f>
        <v>25780</v>
      </c>
      <c r="BL2396" s="6">
        <f>Grandview_Inventory[[#This Row],[Eff_Age]]*Lookups!$B$14</f>
        <v>-239.16659999999999</v>
      </c>
      <c r="BM2396" s="6">
        <f>Grandview_Inventory[[#This Row],[living_area]]*Lookups!$B$15</f>
        <v>85087.483491999999</v>
      </c>
      <c r="BN2396" s="6">
        <f>Grandview_Inventory[[#This Row],[Fin BSMT]]*Lookups!$B$16</f>
        <v>0</v>
      </c>
      <c r="BO2396" s="6">
        <f>(Grandview_Inventory[[#This Row],[att_gar]]+Grandview_Inventory[[#This Row],[bltin_gar]])*Lookups!$B$17</f>
        <v>36758.58354</v>
      </c>
      <c r="BP2396" s="6">
        <f>Grandview_Inventory[[#This Row],[Plumbing Fixtures]]*Lookups!$B$18</f>
        <v>16083.5344</v>
      </c>
      <c r="BQ2396" s="6">
        <f>Grandview_Inventory[[#This Row],[detatched_value]]*Lookups!$B$19</f>
        <v>0</v>
      </c>
      <c r="BR2396" s="6">
        <f>SUM(Grandview_Inventory[[#This Row],[Intercept]:[det_value]])*Grandview_Inventory[[#This Row],[res_pct]]</f>
        <v>329112.38483200001</v>
      </c>
      <c r="BS2396" s="6">
        <f>Grandview_Inventory[[#This Row],[land_value]]</f>
        <v>48369.510983942157</v>
      </c>
      <c r="BT2396" s="4">
        <f>_xlfn.IFNA(VLOOKUP(Grandview_Inventory[[#This Row],[quality]],Lookups!$A$26:$C$33,3,FALSE),1)</f>
        <v>0.94295468617355149</v>
      </c>
      <c r="BU2396" s="4">
        <f>_xlfn.IFNA(VLOOKUP(Grandview_Inventory[[#This Row],[condition]],Lookups!$A$37:$C$44,3,FALSE),1)</f>
        <v>0.94347925387812148</v>
      </c>
      <c r="BV2396" s="4">
        <f>IF(Grandview_Inventory[[#This Row],[bldg_style]]="",1,_xlfn.IFNA(VLOOKUP(Grandview_Inventory[[#This Row],[decade]],Lookups!$F$29:$H$43,3,FALSE),1))</f>
        <v>0.94601966599150278</v>
      </c>
      <c r="BW2396" s="4">
        <f>_xlfn.IFNA(VLOOKUP(Grandview_Inventory[[#This Row],[living_area_range]],Lookups!$F$47:$H$56,3,FALSE),1)</f>
        <v>0.96135087979789358</v>
      </c>
      <c r="BX2396" s="4">
        <f>AVERAGE(Grandview_Inventory[[#This Row],[qual_adj]:[size_adj]])</f>
        <v>0.94845112146026733</v>
      </c>
      <c r="BY2396" s="6">
        <f>IF(Grandview_Inventory[[#This Row],[pre_res]]&lt;0,0,Grandview_Inventory[[#This Row],[pre_res]]*Grandview_Inventory[[#This Row],[overall_adj]])</f>
        <v>312147.01048037346</v>
      </c>
      <c r="BZ2396" s="6">
        <f>(Grandview_Inventory[[#This Row],[sum_land]]-IF(Grandview_Inventory[[#This Row],[no_utilities]]=1,12000,0))/IF(Grandview_Inventory[[#This Row],[unbuildable]]=1,2,1)</f>
        <v>48369.510983942157</v>
      </c>
      <c r="CA239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6">
        <f>ROUND(Grandview_Inventory[[#This Row],[det_value]]*Lookups!$M$28,-2)</f>
        <v>0</v>
      </c>
      <c r="CC2396">
        <f>IF(ROUND(Grandview_Inventory[[#This Row],[adj_res]]*Lookups!$M$28,-2)&lt;Grandview_Inventory[[#This Row],[min_res]],Grandview_Inventory[[#This Row],[min_res]],ROUND(Grandview_Inventory[[#This Row],[adj_res]]*Lookups!$M$28,-2))</f>
        <v>296500</v>
      </c>
      <c r="CD2396">
        <f>Grandview_Inventory[[#This Row],[final_det]]+Grandview_Inventory[[#This Row],[final_res]]</f>
        <v>296500</v>
      </c>
      <c r="CE2396">
        <f>Grandview_Inventory[[#This Row],[final_land]]+Grandview_Inventory[[#This Row],[final_imp]]+Grandview_Inventory[[#This Row],[crop_value]]</f>
        <v>342500</v>
      </c>
      <c r="CG2396" t="str">
        <f t="shared" si="37"/>
        <v>update valuation set market_land =46000, market_bldg=296500, market_total =342500, market_mdno =401, market_date ='9/10/2023' where link_id = (select link_id from parcel where parcel_year = '2024' and parcel_id = '23092621600');</v>
      </c>
    </row>
    <row r="2397" spans="1:85" x14ac:dyDescent="0.25">
      <c r="A2397">
        <v>23092621601</v>
      </c>
      <c r="B2397" t="s">
        <v>129</v>
      </c>
      <c r="C2397">
        <v>8250</v>
      </c>
      <c r="D2397" t="s">
        <v>129</v>
      </c>
      <c r="E2397" t="s">
        <v>53</v>
      </c>
      <c r="F2397" t="s">
        <v>53</v>
      </c>
      <c r="G2397">
        <v>4</v>
      </c>
      <c r="H2397" t="s">
        <v>54</v>
      </c>
      <c r="I2397">
        <v>0</v>
      </c>
      <c r="J2397">
        <v>32500</v>
      </c>
      <c r="K2397">
        <v>0.19</v>
      </c>
      <c r="L239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7">
        <v>0</v>
      </c>
      <c r="N2397">
        <v>0</v>
      </c>
      <c r="O2397">
        <v>0</v>
      </c>
      <c r="P2397">
        <v>13398.7528</v>
      </c>
      <c r="Q2397">
        <v>63903</v>
      </c>
      <c r="R2397">
        <f>(Grandview_Inventory[[#This Row],[ln_acres]]*Grandview_Inventory[[#This Row],[coeff]])+Grandview_Inventory[[#This Row],[const]]</f>
        <v>41651.273092551026</v>
      </c>
      <c r="S2397" t="s">
        <v>61</v>
      </c>
      <c r="T2397">
        <v>1</v>
      </c>
      <c r="U2397" t="s">
        <v>62</v>
      </c>
      <c r="V2397" t="s">
        <v>57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2000</v>
      </c>
      <c r="AC2397">
        <v>1591</v>
      </c>
      <c r="AD2397">
        <v>1591</v>
      </c>
      <c r="AE2397">
        <v>0</v>
      </c>
      <c r="AF2397">
        <v>0</v>
      </c>
      <c r="AG2397">
        <v>0</v>
      </c>
      <c r="AH2397">
        <v>0</v>
      </c>
      <c r="AI2397">
        <v>420</v>
      </c>
      <c r="AJ2397">
        <v>0</v>
      </c>
      <c r="AK2397">
        <v>0</v>
      </c>
      <c r="AL2397">
        <v>0</v>
      </c>
      <c r="AM2397">
        <v>0</v>
      </c>
      <c r="AN2397">
        <v>268</v>
      </c>
      <c r="AO2397">
        <v>0</v>
      </c>
      <c r="AP2397">
        <v>9</v>
      </c>
      <c r="AQ2397">
        <v>0</v>
      </c>
      <c r="AR2397">
        <v>0</v>
      </c>
      <c r="AS2397" t="s">
        <v>58</v>
      </c>
      <c r="AT2397">
        <v>1</v>
      </c>
      <c r="AU2397" t="s">
        <v>59</v>
      </c>
      <c r="AV2397" t="s">
        <v>60</v>
      </c>
      <c r="AW2397">
        <v>1</v>
      </c>
      <c r="AX2397">
        <v>3</v>
      </c>
      <c r="AY2397">
        <v>0</v>
      </c>
      <c r="AZ2397">
        <v>0</v>
      </c>
      <c r="BA2397">
        <v>100</v>
      </c>
      <c r="BB2397">
        <v>100</v>
      </c>
      <c r="BC2397">
        <v>100</v>
      </c>
      <c r="BD2397">
        <v>66</v>
      </c>
      <c r="BE2397">
        <v>0.66</v>
      </c>
      <c r="BF2397">
        <v>15000</v>
      </c>
      <c r="BG2397">
        <v>1000</v>
      </c>
      <c r="BH2397" s="6">
        <f>Grandview_Inventory[[#This Row],[land_extract]]*Lookups!$B$3</f>
        <v>48369.510983942157</v>
      </c>
      <c r="BI2397" s="6">
        <f>IF(Grandview_Inventory[[#This Row],[bldg_style]]="",0,Lookups!$B$2)</f>
        <v>155833.95000000001</v>
      </c>
      <c r="BJ2397" s="6">
        <f>_xlfn.IFNA(VLOOKUP(Grandview_Inventory[[#This Row],[quality]],Lookups!$H$2:$J$14,3,FALSE),0)</f>
        <v>9808</v>
      </c>
      <c r="BK2397" s="6">
        <f>_xlfn.IFNA(VLOOKUP(Grandview_Inventory[[#This Row],[condition]],Lookups!$H$17:$J$24,3,FALSE),0)</f>
        <v>25780</v>
      </c>
      <c r="BL2397" s="6">
        <f>Grandview_Inventory[[#This Row],[Eff_Age]]*Lookups!$B$14</f>
        <v>0</v>
      </c>
      <c r="BM2397" s="6">
        <f>Grandview_Inventory[[#This Row],[living_area]]*Lookups!$B$15</f>
        <v>99247.937122999996</v>
      </c>
      <c r="BN2397" s="6">
        <f>Grandview_Inventory[[#This Row],[Fin BSMT]]*Lookups!$B$16</f>
        <v>0</v>
      </c>
      <c r="BO2397" s="6">
        <f>(Grandview_Inventory[[#This Row],[att_gar]]+Grandview_Inventory[[#This Row],[bltin_gar]])*Lookups!$B$17</f>
        <v>36758.58354</v>
      </c>
      <c r="BP2397" s="6">
        <f>Grandview_Inventory[[#This Row],[Plumbing Fixtures]]*Lookups!$B$18</f>
        <v>18093.976200000001</v>
      </c>
      <c r="BQ2397" s="6">
        <f>Grandview_Inventory[[#This Row],[detatched_value]]*Lookups!$B$19</f>
        <v>0</v>
      </c>
      <c r="BR2397" s="6">
        <f>SUM(Grandview_Inventory[[#This Row],[Intercept]:[det_value]])*Grandview_Inventory[[#This Row],[res_pct]]</f>
        <v>228044.81492958</v>
      </c>
      <c r="BS2397" s="6">
        <f>Grandview_Inventory[[#This Row],[land_value]]</f>
        <v>48369.510983942157</v>
      </c>
      <c r="BT2397" s="4">
        <f>_xlfn.IFNA(VLOOKUP(Grandview_Inventory[[#This Row],[quality]],Lookups!$A$26:$C$33,3,FALSE),1)</f>
        <v>0.94295468617355149</v>
      </c>
      <c r="BU2397" s="4">
        <f>_xlfn.IFNA(VLOOKUP(Grandview_Inventory[[#This Row],[condition]],Lookups!$A$37:$C$44,3,FALSE),1)</f>
        <v>0.94347925387812148</v>
      </c>
      <c r="BV2397" s="4">
        <f>IF(Grandview_Inventory[[#This Row],[bldg_style]]="",1,_xlfn.IFNA(VLOOKUP(Grandview_Inventory[[#This Row],[decade]],Lookups!$F$29:$H$43,3,FALSE),1))</f>
        <v>0.9413635517371044</v>
      </c>
      <c r="BW2397" s="4">
        <f>_xlfn.IFNA(VLOOKUP(Grandview_Inventory[[#This Row],[living_area_range]],Lookups!$F$47:$H$56,3,FALSE),1)</f>
        <v>0.96120133463014379</v>
      </c>
      <c r="BX2397" s="4">
        <f>AVERAGE(Grandview_Inventory[[#This Row],[qual_adj]:[size_adj]])</f>
        <v>0.94724970660473029</v>
      </c>
      <c r="BY2397" s="6">
        <f>IF(Grandview_Inventory[[#This Row],[pre_res]]&lt;0,0,Grandview_Inventory[[#This Row],[pre_res]]*Grandview_Inventory[[#This Row],[overall_adj]])</f>
        <v>216015.38403477467</v>
      </c>
      <c r="BZ2397" s="6">
        <f>(Grandview_Inventory[[#This Row],[sum_land]]-IF(Grandview_Inventory[[#This Row],[no_utilities]]=1,12000,0))/IF(Grandview_Inventory[[#This Row],[unbuildable]]=1,2,1)</f>
        <v>48369.510983942157</v>
      </c>
      <c r="CA239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7">
        <f>ROUND(Grandview_Inventory[[#This Row],[det_value]]*Lookups!$M$28,-2)</f>
        <v>0</v>
      </c>
      <c r="CC2397">
        <f>IF(ROUND(Grandview_Inventory[[#This Row],[adj_res]]*Lookups!$M$28,-2)&lt;Grandview_Inventory[[#This Row],[min_res]],Grandview_Inventory[[#This Row],[min_res]],ROUND(Grandview_Inventory[[#This Row],[adj_res]]*Lookups!$M$28,-2))</f>
        <v>205200</v>
      </c>
      <c r="CD2397">
        <f>Grandview_Inventory[[#This Row],[final_det]]+Grandview_Inventory[[#This Row],[final_res]]</f>
        <v>205200</v>
      </c>
      <c r="CE2397">
        <f>Grandview_Inventory[[#This Row],[final_land]]+Grandview_Inventory[[#This Row],[final_imp]]+Grandview_Inventory[[#This Row],[crop_value]]</f>
        <v>251200</v>
      </c>
      <c r="CG2397" t="str">
        <f t="shared" si="37"/>
        <v>update valuation set market_land =46000, market_bldg=205200, market_total =251200, market_mdno =401, market_date ='9/10/2023' where link_id = (select link_id from parcel where parcel_year = '2024' and parcel_id = '23092621601');</v>
      </c>
    </row>
    <row r="2398" spans="1:85" x14ac:dyDescent="0.25">
      <c r="A2398">
        <v>23092621602</v>
      </c>
      <c r="B2398" t="s">
        <v>129</v>
      </c>
      <c r="C2398">
        <v>8250</v>
      </c>
      <c r="D2398" t="s">
        <v>129</v>
      </c>
      <c r="E2398" t="s">
        <v>53</v>
      </c>
      <c r="F2398" t="s">
        <v>53</v>
      </c>
      <c r="G2398">
        <v>4</v>
      </c>
      <c r="H2398" t="s">
        <v>54</v>
      </c>
      <c r="I2398">
        <v>0</v>
      </c>
      <c r="J2398">
        <v>32500</v>
      </c>
      <c r="K2398">
        <v>0.19</v>
      </c>
      <c r="L239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8">
        <v>0</v>
      </c>
      <c r="N2398">
        <v>0</v>
      </c>
      <c r="O2398">
        <v>0</v>
      </c>
      <c r="P2398">
        <v>13398.7528</v>
      </c>
      <c r="Q2398">
        <v>63903</v>
      </c>
      <c r="R2398">
        <f>(Grandview_Inventory[[#This Row],[ln_acres]]*Grandview_Inventory[[#This Row],[coeff]])+Grandview_Inventory[[#This Row],[const]]</f>
        <v>41651.273092551026</v>
      </c>
      <c r="S2398" t="s">
        <v>55</v>
      </c>
      <c r="T2398">
        <v>2</v>
      </c>
      <c r="U2398" t="s">
        <v>62</v>
      </c>
      <c r="V2398" t="s">
        <v>57</v>
      </c>
      <c r="W2398">
        <v>0</v>
      </c>
      <c r="X2398">
        <v>0</v>
      </c>
      <c r="Y2398">
        <v>1</v>
      </c>
      <c r="Z2398">
        <v>1</v>
      </c>
      <c r="AA2398">
        <v>10</v>
      </c>
      <c r="AB2398">
        <v>2500</v>
      </c>
      <c r="AC2398">
        <v>2168</v>
      </c>
      <c r="AD2398">
        <v>896</v>
      </c>
      <c r="AE2398">
        <v>1272</v>
      </c>
      <c r="AF2398">
        <v>0</v>
      </c>
      <c r="AG2398">
        <v>0</v>
      </c>
      <c r="AH2398">
        <v>0</v>
      </c>
      <c r="AI2398">
        <v>0</v>
      </c>
      <c r="AJ2398">
        <v>440</v>
      </c>
      <c r="AK2398">
        <v>0</v>
      </c>
      <c r="AL2398">
        <v>0</v>
      </c>
      <c r="AM2398">
        <v>144</v>
      </c>
      <c r="AN2398">
        <v>128</v>
      </c>
      <c r="AO2398">
        <v>0</v>
      </c>
      <c r="AP2398">
        <v>11</v>
      </c>
      <c r="AQ2398">
        <v>0</v>
      </c>
      <c r="AR2398">
        <v>0</v>
      </c>
      <c r="AS2398" t="s">
        <v>58</v>
      </c>
      <c r="AT2398">
        <v>1</v>
      </c>
      <c r="AU2398" t="s">
        <v>63</v>
      </c>
      <c r="AV2398" t="s">
        <v>64</v>
      </c>
      <c r="AW2398">
        <v>1</v>
      </c>
      <c r="AX2398">
        <v>3</v>
      </c>
      <c r="AY2398">
        <v>0</v>
      </c>
      <c r="AZ2398">
        <v>0</v>
      </c>
      <c r="BA2398">
        <v>100</v>
      </c>
      <c r="BB2398">
        <v>100</v>
      </c>
      <c r="BC2398">
        <v>100</v>
      </c>
      <c r="BD2398">
        <v>100</v>
      </c>
      <c r="BE2398">
        <v>1</v>
      </c>
      <c r="BF2398">
        <v>15000</v>
      </c>
      <c r="BG2398">
        <v>1000</v>
      </c>
      <c r="BH2398" s="6">
        <f>Grandview_Inventory[[#This Row],[land_extract]]*Lookups!$B$3</f>
        <v>48369.510983942157</v>
      </c>
      <c r="BI2398" s="6">
        <f>IF(Grandview_Inventory[[#This Row],[bldg_style]]="",0,Lookups!$B$2)</f>
        <v>155833.95000000001</v>
      </c>
      <c r="BJ2398" s="6">
        <f>_xlfn.IFNA(VLOOKUP(Grandview_Inventory[[#This Row],[quality]],Lookups!$H$2:$J$14,3,FALSE),0)</f>
        <v>9808</v>
      </c>
      <c r="BK2398" s="6">
        <f>_xlfn.IFNA(VLOOKUP(Grandview_Inventory[[#This Row],[condition]],Lookups!$H$17:$J$24,3,FALSE),0)</f>
        <v>25780</v>
      </c>
      <c r="BL2398" s="6">
        <f>Grandview_Inventory[[#This Row],[Eff_Age]]*Lookups!$B$14</f>
        <v>-239.16659999999999</v>
      </c>
      <c r="BM2398" s="6">
        <f>Grandview_Inventory[[#This Row],[living_area]]*Lookups!$B$15</f>
        <v>135241.689304</v>
      </c>
      <c r="BN2398" s="6">
        <f>Grandview_Inventory[[#This Row],[Fin BSMT]]*Lookups!$B$16</f>
        <v>0</v>
      </c>
      <c r="BO2398" s="6">
        <f>(Grandview_Inventory[[#This Row],[att_gar]]+Grandview_Inventory[[#This Row],[bltin_gar]])*Lookups!$B$17</f>
        <v>38508.992279999999</v>
      </c>
      <c r="BP2398" s="6">
        <f>Grandview_Inventory[[#This Row],[Plumbing Fixtures]]*Lookups!$B$18</f>
        <v>22114.859800000002</v>
      </c>
      <c r="BQ2398" s="6">
        <f>Grandview_Inventory[[#This Row],[detatched_value]]*Lookups!$B$19</f>
        <v>0</v>
      </c>
      <c r="BR2398" s="6">
        <f>SUM(Grandview_Inventory[[#This Row],[Intercept]:[det_value]])*Grandview_Inventory[[#This Row],[res_pct]]</f>
        <v>387048.324784</v>
      </c>
      <c r="BS2398" s="6">
        <f>Grandview_Inventory[[#This Row],[land_value]]</f>
        <v>48369.510983942157</v>
      </c>
      <c r="BT2398" s="4">
        <f>_xlfn.IFNA(VLOOKUP(Grandview_Inventory[[#This Row],[quality]],Lookups!$A$26:$C$33,3,FALSE),1)</f>
        <v>0.94295468617355149</v>
      </c>
      <c r="BU2398" s="4">
        <f>_xlfn.IFNA(VLOOKUP(Grandview_Inventory[[#This Row],[condition]],Lookups!$A$37:$C$44,3,FALSE),1)</f>
        <v>0.94347925387812148</v>
      </c>
      <c r="BV2398" s="4">
        <f>IF(Grandview_Inventory[[#This Row],[bldg_style]]="",1,_xlfn.IFNA(VLOOKUP(Grandview_Inventory[[#This Row],[decade]],Lookups!$F$29:$H$43,3,FALSE),1))</f>
        <v>0.94601966599150278</v>
      </c>
      <c r="BW2398" s="4">
        <f>_xlfn.IFNA(VLOOKUP(Grandview_Inventory[[#This Row],[living_area_range]],Lookups!$F$47:$H$56,3,FALSE),1)</f>
        <v>0.95799442568048754</v>
      </c>
      <c r="BX2398" s="4">
        <f>AVERAGE(Grandview_Inventory[[#This Row],[qual_adj]:[size_adj]])</f>
        <v>0.94761200793091582</v>
      </c>
      <c r="BY2398" s="6">
        <f>IF(Grandview_Inventory[[#This Row],[pre_res]]&lt;0,0,Grandview_Inventory[[#This Row],[pre_res]]*Grandview_Inventory[[#This Row],[overall_adj]])</f>
        <v>366771.64021486347</v>
      </c>
      <c r="BZ2398" s="6">
        <f>(Grandview_Inventory[[#This Row],[sum_land]]-IF(Grandview_Inventory[[#This Row],[no_utilities]]=1,12000,0))/IF(Grandview_Inventory[[#This Row],[unbuildable]]=1,2,1)</f>
        <v>48369.510983942157</v>
      </c>
      <c r="CA239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8">
        <f>ROUND(Grandview_Inventory[[#This Row],[det_value]]*Lookups!$M$28,-2)</f>
        <v>0</v>
      </c>
      <c r="CC2398">
        <f>IF(ROUND(Grandview_Inventory[[#This Row],[adj_res]]*Lookups!$M$28,-2)&lt;Grandview_Inventory[[#This Row],[min_res]],Grandview_Inventory[[#This Row],[min_res]],ROUND(Grandview_Inventory[[#This Row],[adj_res]]*Lookups!$M$28,-2))</f>
        <v>348400</v>
      </c>
      <c r="CD2398">
        <f>Grandview_Inventory[[#This Row],[final_det]]+Grandview_Inventory[[#This Row],[final_res]]</f>
        <v>348400</v>
      </c>
      <c r="CE2398">
        <f>Grandview_Inventory[[#This Row],[final_land]]+Grandview_Inventory[[#This Row],[final_imp]]+Grandview_Inventory[[#This Row],[crop_value]]</f>
        <v>394400</v>
      </c>
      <c r="CG2398" t="str">
        <f t="shared" si="37"/>
        <v>update valuation set market_land =46000, market_bldg=348400, market_total =394400, market_mdno =401, market_date ='9/10/2023' where link_id = (select link_id from parcel where parcel_year = '2024' and parcel_id = '23092621602');</v>
      </c>
    </row>
    <row r="2399" spans="1:85" x14ac:dyDescent="0.25">
      <c r="A2399">
        <v>23092621603</v>
      </c>
      <c r="B2399" t="s">
        <v>129</v>
      </c>
      <c r="C2399">
        <v>8250</v>
      </c>
      <c r="D2399" t="s">
        <v>129</v>
      </c>
      <c r="E2399" t="s">
        <v>53</v>
      </c>
      <c r="F2399" t="s">
        <v>53</v>
      </c>
      <c r="G2399">
        <v>4</v>
      </c>
      <c r="H2399" t="s">
        <v>54</v>
      </c>
      <c r="I2399">
        <v>61500</v>
      </c>
      <c r="J2399">
        <v>39100</v>
      </c>
      <c r="K2399">
        <v>0.19</v>
      </c>
      <c r="L239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399">
        <v>0</v>
      </c>
      <c r="N2399">
        <v>0</v>
      </c>
      <c r="O2399">
        <v>0</v>
      </c>
      <c r="P2399">
        <v>13398.7528</v>
      </c>
      <c r="Q2399">
        <v>63903</v>
      </c>
      <c r="R2399">
        <f>(Grandview_Inventory[[#This Row],[ln_acres]]*Grandview_Inventory[[#This Row],[coeff]])+Grandview_Inventory[[#This Row],[const]]</f>
        <v>41651.273092551026</v>
      </c>
      <c r="S2399" t="s">
        <v>61</v>
      </c>
      <c r="T2399">
        <v>1</v>
      </c>
      <c r="U2399" t="s">
        <v>64</v>
      </c>
      <c r="V2399" t="s">
        <v>57</v>
      </c>
      <c r="W2399">
        <v>0</v>
      </c>
      <c r="X2399">
        <v>0</v>
      </c>
      <c r="Y2399">
        <v>1</v>
      </c>
      <c r="Z2399">
        <v>1</v>
      </c>
      <c r="AA2399">
        <v>10</v>
      </c>
      <c r="AB2399">
        <v>2000</v>
      </c>
      <c r="AC2399">
        <v>1874</v>
      </c>
      <c r="AD2399">
        <v>1874</v>
      </c>
      <c r="AE2399">
        <v>0</v>
      </c>
      <c r="AF2399">
        <v>0</v>
      </c>
      <c r="AG2399">
        <v>0</v>
      </c>
      <c r="AH2399">
        <v>0</v>
      </c>
      <c r="AI2399">
        <v>638</v>
      </c>
      <c r="AJ2399">
        <v>0</v>
      </c>
      <c r="AK2399">
        <v>0</v>
      </c>
      <c r="AL2399">
        <v>0</v>
      </c>
      <c r="AM2399">
        <v>76</v>
      </c>
      <c r="AN2399">
        <v>42</v>
      </c>
      <c r="AO2399">
        <v>76</v>
      </c>
      <c r="AP2399">
        <v>10</v>
      </c>
      <c r="AQ2399">
        <v>0</v>
      </c>
      <c r="AR2399">
        <v>0</v>
      </c>
      <c r="AS2399" t="s">
        <v>58</v>
      </c>
      <c r="AT2399">
        <v>1</v>
      </c>
      <c r="AU2399" t="s">
        <v>63</v>
      </c>
      <c r="AV2399" t="s">
        <v>60</v>
      </c>
      <c r="AW2399">
        <v>1</v>
      </c>
      <c r="AX2399">
        <v>3</v>
      </c>
      <c r="AY2399">
        <v>0</v>
      </c>
      <c r="AZ2399">
        <v>0</v>
      </c>
      <c r="BA2399">
        <v>100</v>
      </c>
      <c r="BB2399">
        <v>100</v>
      </c>
      <c r="BC2399">
        <v>100</v>
      </c>
      <c r="BD2399">
        <v>100</v>
      </c>
      <c r="BE2399">
        <v>1</v>
      </c>
      <c r="BF2399">
        <v>15000</v>
      </c>
      <c r="BG2399">
        <v>1000</v>
      </c>
      <c r="BH2399" s="6">
        <f>Grandview_Inventory[[#This Row],[land_extract]]*Lookups!$B$3</f>
        <v>48369.510983942157</v>
      </c>
      <c r="BI2399" s="6">
        <f>IF(Grandview_Inventory[[#This Row],[bldg_style]]="",0,Lookups!$B$2)</f>
        <v>155833.95000000001</v>
      </c>
      <c r="BJ2399" s="6">
        <f>_xlfn.IFNA(VLOOKUP(Grandview_Inventory[[#This Row],[quality]],Lookups!$H$2:$J$14,3,FALSE),0)</f>
        <v>20768</v>
      </c>
      <c r="BK2399" s="6">
        <f>_xlfn.IFNA(VLOOKUP(Grandview_Inventory[[#This Row],[condition]],Lookups!$H$17:$J$24,3,FALSE),0)</f>
        <v>25780</v>
      </c>
      <c r="BL2399" s="6">
        <f>Grandview_Inventory[[#This Row],[Eff_Age]]*Lookups!$B$14</f>
        <v>-239.16659999999999</v>
      </c>
      <c r="BM2399" s="6">
        <f>Grandview_Inventory[[#This Row],[living_area]]*Lookups!$B$15</f>
        <v>116901.71852200001</v>
      </c>
      <c r="BN2399" s="6">
        <f>Grandview_Inventory[[#This Row],[Fin BSMT]]*Lookups!$B$16</f>
        <v>0</v>
      </c>
      <c r="BO2399" s="6">
        <f>(Grandview_Inventory[[#This Row],[att_gar]]+Grandview_Inventory[[#This Row],[bltin_gar]])*Lookups!$B$17</f>
        <v>55838.038806000004</v>
      </c>
      <c r="BP2399" s="6">
        <f>Grandview_Inventory[[#This Row],[Plumbing Fixtures]]*Lookups!$B$18</f>
        <v>20104.418000000001</v>
      </c>
      <c r="BQ2399" s="6">
        <f>Grandview_Inventory[[#This Row],[detatched_value]]*Lookups!$B$19</f>
        <v>0</v>
      </c>
      <c r="BR2399" s="6">
        <f>SUM(Grandview_Inventory[[#This Row],[Intercept]:[det_value]])*Grandview_Inventory[[#This Row],[res_pct]]</f>
        <v>394986.95872800006</v>
      </c>
      <c r="BS2399" s="6">
        <f>Grandview_Inventory[[#This Row],[land_value]]</f>
        <v>48369.510983942157</v>
      </c>
      <c r="BT2399" s="4">
        <f>_xlfn.IFNA(VLOOKUP(Grandview_Inventory[[#This Row],[quality]],Lookups!$A$26:$C$33,3,FALSE),1)</f>
        <v>0.94960540378902636</v>
      </c>
      <c r="BU2399" s="4">
        <f>_xlfn.IFNA(VLOOKUP(Grandview_Inventory[[#This Row],[condition]],Lookups!$A$37:$C$44,3,FALSE),1)</f>
        <v>0.94347925387812148</v>
      </c>
      <c r="BV2399" s="4">
        <f>IF(Grandview_Inventory[[#This Row],[bldg_style]]="",1,_xlfn.IFNA(VLOOKUP(Grandview_Inventory[[#This Row],[decade]],Lookups!$F$29:$H$43,3,FALSE),1))</f>
        <v>0.94601966599150278</v>
      </c>
      <c r="BW2399" s="4">
        <f>_xlfn.IFNA(VLOOKUP(Grandview_Inventory[[#This Row],[living_area_range]],Lookups!$F$47:$H$56,3,FALSE),1)</f>
        <v>0.96120133463014379</v>
      </c>
      <c r="BX2399" s="4">
        <f>AVERAGE(Grandview_Inventory[[#This Row],[qual_adj]:[size_adj]])</f>
        <v>0.95007641457219871</v>
      </c>
      <c r="BY2399" s="6">
        <f>IF(Grandview_Inventory[[#This Row],[pre_res]]&lt;0,0,Grandview_Inventory[[#This Row],[pre_res]]*Grandview_Inventory[[#This Row],[overall_adj]])</f>
        <v>375267.79355107533</v>
      </c>
      <c r="BZ2399" s="6">
        <f>(Grandview_Inventory[[#This Row],[sum_land]]-IF(Grandview_Inventory[[#This Row],[no_utilities]]=1,12000,0))/IF(Grandview_Inventory[[#This Row],[unbuildable]]=1,2,1)</f>
        <v>48369.510983942157</v>
      </c>
      <c r="CA239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399">
        <f>ROUND(Grandview_Inventory[[#This Row],[det_value]]*Lookups!$M$28,-2)</f>
        <v>0</v>
      </c>
      <c r="CC2399">
        <f>IF(ROUND(Grandview_Inventory[[#This Row],[adj_res]]*Lookups!$M$28,-2)&lt;Grandview_Inventory[[#This Row],[min_res]],Grandview_Inventory[[#This Row],[min_res]],ROUND(Grandview_Inventory[[#This Row],[adj_res]]*Lookups!$M$28,-2))</f>
        <v>356500</v>
      </c>
      <c r="CD2399">
        <f>Grandview_Inventory[[#This Row],[final_det]]+Grandview_Inventory[[#This Row],[final_res]]</f>
        <v>356500</v>
      </c>
      <c r="CE2399">
        <f>Grandview_Inventory[[#This Row],[final_land]]+Grandview_Inventory[[#This Row],[final_imp]]+Grandview_Inventory[[#This Row],[crop_value]]</f>
        <v>402500</v>
      </c>
      <c r="CG2399" t="str">
        <f t="shared" si="37"/>
        <v>update valuation set market_land =46000, market_bldg=356500, market_total =402500, market_mdno =401, market_date ='9/10/2023' where link_id = (select link_id from parcel where parcel_year = '2024' and parcel_id = '23092621603');</v>
      </c>
    </row>
    <row r="2400" spans="1:85" x14ac:dyDescent="0.25">
      <c r="A2400">
        <v>23092621604</v>
      </c>
      <c r="B2400" t="s">
        <v>129</v>
      </c>
      <c r="C2400">
        <v>8250</v>
      </c>
      <c r="D2400" t="s">
        <v>129</v>
      </c>
      <c r="E2400" t="s">
        <v>53</v>
      </c>
      <c r="F2400" t="s">
        <v>53</v>
      </c>
      <c r="G2400">
        <v>4</v>
      </c>
      <c r="H2400" t="s">
        <v>54</v>
      </c>
      <c r="I2400">
        <v>0</v>
      </c>
      <c r="J2400">
        <v>32500</v>
      </c>
      <c r="K2400">
        <v>0.19</v>
      </c>
      <c r="L24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0">
        <v>0</v>
      </c>
      <c r="N2400">
        <v>0</v>
      </c>
      <c r="O2400">
        <v>0</v>
      </c>
      <c r="P2400">
        <v>13398.7528</v>
      </c>
      <c r="Q2400">
        <v>63903</v>
      </c>
      <c r="R2400">
        <f>(Grandview_Inventory[[#This Row],[ln_acres]]*Grandview_Inventory[[#This Row],[coeff]])+Grandview_Inventory[[#This Row],[const]]</f>
        <v>41651.273092551026</v>
      </c>
      <c r="S2400" t="s">
        <v>61</v>
      </c>
      <c r="T2400">
        <v>1</v>
      </c>
      <c r="U2400" t="s">
        <v>62</v>
      </c>
      <c r="V2400" t="s">
        <v>57</v>
      </c>
      <c r="W2400">
        <v>0</v>
      </c>
      <c r="X2400">
        <v>0</v>
      </c>
      <c r="Y2400">
        <v>1</v>
      </c>
      <c r="Z2400">
        <v>1</v>
      </c>
      <c r="AA2400">
        <v>10</v>
      </c>
      <c r="AB2400">
        <v>1500</v>
      </c>
      <c r="AC2400">
        <v>1382</v>
      </c>
      <c r="AD2400">
        <v>1382</v>
      </c>
      <c r="AE2400">
        <v>0</v>
      </c>
      <c r="AF2400">
        <v>0</v>
      </c>
      <c r="AG2400">
        <v>0</v>
      </c>
      <c r="AH2400">
        <v>0</v>
      </c>
      <c r="AI2400">
        <v>440</v>
      </c>
      <c r="AJ2400">
        <v>0</v>
      </c>
      <c r="AK2400">
        <v>0</v>
      </c>
      <c r="AL2400">
        <v>0</v>
      </c>
      <c r="AM2400">
        <v>0</v>
      </c>
      <c r="AN2400">
        <v>152</v>
      </c>
      <c r="AO2400">
        <v>0</v>
      </c>
      <c r="AP2400">
        <v>9</v>
      </c>
      <c r="AQ2400">
        <v>0</v>
      </c>
      <c r="AR2400">
        <v>0</v>
      </c>
      <c r="AS2400" t="s">
        <v>58</v>
      </c>
      <c r="AT2400">
        <v>1</v>
      </c>
      <c r="AU2400" t="s">
        <v>63</v>
      </c>
      <c r="AV2400" t="s">
        <v>64</v>
      </c>
      <c r="AW2400">
        <v>1</v>
      </c>
      <c r="AX2400">
        <v>3</v>
      </c>
      <c r="AY2400">
        <v>0</v>
      </c>
      <c r="AZ2400">
        <v>0</v>
      </c>
      <c r="BA2400">
        <v>100</v>
      </c>
      <c r="BB2400">
        <v>100</v>
      </c>
      <c r="BC2400">
        <v>100</v>
      </c>
      <c r="BD2400">
        <v>100</v>
      </c>
      <c r="BE2400">
        <v>1</v>
      </c>
      <c r="BF2400">
        <v>15000</v>
      </c>
      <c r="BG2400">
        <v>1000</v>
      </c>
      <c r="BH2400" s="6">
        <f>Grandview_Inventory[[#This Row],[land_extract]]*Lookups!$B$3</f>
        <v>48369.510983942157</v>
      </c>
      <c r="BI2400" s="6">
        <f>IF(Grandview_Inventory[[#This Row],[bldg_style]]="",0,Lookups!$B$2)</f>
        <v>155833.95000000001</v>
      </c>
      <c r="BJ2400" s="6">
        <f>_xlfn.IFNA(VLOOKUP(Grandview_Inventory[[#This Row],[quality]],Lookups!$H$2:$J$14,3,FALSE),0)</f>
        <v>9808</v>
      </c>
      <c r="BK2400" s="6">
        <f>_xlfn.IFNA(VLOOKUP(Grandview_Inventory[[#This Row],[condition]],Lookups!$H$17:$J$24,3,FALSE),0)</f>
        <v>25780</v>
      </c>
      <c r="BL2400" s="6">
        <f>Grandview_Inventory[[#This Row],[Eff_Age]]*Lookups!$B$14</f>
        <v>-239.16659999999999</v>
      </c>
      <c r="BM2400" s="6">
        <f>Grandview_Inventory[[#This Row],[living_area]]*Lookups!$B$15</f>
        <v>86210.338845999999</v>
      </c>
      <c r="BN2400" s="6">
        <f>Grandview_Inventory[[#This Row],[Fin BSMT]]*Lookups!$B$16</f>
        <v>0</v>
      </c>
      <c r="BO2400" s="6">
        <f>(Grandview_Inventory[[#This Row],[att_gar]]+Grandview_Inventory[[#This Row],[bltin_gar]])*Lookups!$B$17</f>
        <v>38508.992279999999</v>
      </c>
      <c r="BP2400" s="6">
        <f>Grandview_Inventory[[#This Row],[Plumbing Fixtures]]*Lookups!$B$18</f>
        <v>18093.976200000001</v>
      </c>
      <c r="BQ2400" s="6">
        <f>Grandview_Inventory[[#This Row],[detatched_value]]*Lookups!$B$19</f>
        <v>0</v>
      </c>
      <c r="BR2400" s="6">
        <f>SUM(Grandview_Inventory[[#This Row],[Intercept]:[det_value]])*Grandview_Inventory[[#This Row],[res_pct]]</f>
        <v>333996.09072599997</v>
      </c>
      <c r="BS2400" s="6">
        <f>Grandview_Inventory[[#This Row],[land_value]]</f>
        <v>48369.510983942157</v>
      </c>
      <c r="BT2400" s="4">
        <f>_xlfn.IFNA(VLOOKUP(Grandview_Inventory[[#This Row],[quality]],Lookups!$A$26:$C$33,3,FALSE),1)</f>
        <v>0.94295468617355149</v>
      </c>
      <c r="BU2400" s="4">
        <f>_xlfn.IFNA(VLOOKUP(Grandview_Inventory[[#This Row],[condition]],Lookups!$A$37:$C$44,3,FALSE),1)</f>
        <v>0.94347925387812148</v>
      </c>
      <c r="BV2400" s="4">
        <f>IF(Grandview_Inventory[[#This Row],[bldg_style]]="",1,_xlfn.IFNA(VLOOKUP(Grandview_Inventory[[#This Row],[decade]],Lookups!$F$29:$H$43,3,FALSE),1))</f>
        <v>0.94601966599150278</v>
      </c>
      <c r="BW2400" s="4">
        <f>_xlfn.IFNA(VLOOKUP(Grandview_Inventory[[#This Row],[living_area_range]],Lookups!$F$47:$H$56,3,FALSE),1)</f>
        <v>0.96135087979789358</v>
      </c>
      <c r="BX2400" s="4">
        <f>AVERAGE(Grandview_Inventory[[#This Row],[qual_adj]:[size_adj]])</f>
        <v>0.94845112146026733</v>
      </c>
      <c r="BY2400" s="6">
        <f>IF(Grandview_Inventory[[#This Row],[pre_res]]&lt;0,0,Grandview_Inventory[[#This Row],[pre_res]]*Grandview_Inventory[[#This Row],[overall_adj]])</f>
        <v>316778.96681241988</v>
      </c>
      <c r="BZ2400" s="6">
        <f>(Grandview_Inventory[[#This Row],[sum_land]]-IF(Grandview_Inventory[[#This Row],[no_utilities]]=1,12000,0))/IF(Grandview_Inventory[[#This Row],[unbuildable]]=1,2,1)</f>
        <v>48369.510983942157</v>
      </c>
      <c r="CA240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0">
        <f>ROUND(Grandview_Inventory[[#This Row],[det_value]]*Lookups!$M$28,-2)</f>
        <v>0</v>
      </c>
      <c r="CC2400">
        <f>IF(ROUND(Grandview_Inventory[[#This Row],[adj_res]]*Lookups!$M$28,-2)&lt;Grandview_Inventory[[#This Row],[min_res]],Grandview_Inventory[[#This Row],[min_res]],ROUND(Grandview_Inventory[[#This Row],[adj_res]]*Lookups!$M$28,-2))</f>
        <v>300900</v>
      </c>
      <c r="CD2400">
        <f>Grandview_Inventory[[#This Row],[final_det]]+Grandview_Inventory[[#This Row],[final_res]]</f>
        <v>300900</v>
      </c>
      <c r="CE2400">
        <f>Grandview_Inventory[[#This Row],[final_land]]+Grandview_Inventory[[#This Row],[final_imp]]+Grandview_Inventory[[#This Row],[crop_value]]</f>
        <v>346900</v>
      </c>
      <c r="CG2400" t="str">
        <f t="shared" si="37"/>
        <v>update valuation set market_land =46000, market_bldg=300900, market_total =346900, market_mdno =401, market_date ='9/10/2023' where link_id = (select link_id from parcel where parcel_year = '2024' and parcel_id = '23092621604');</v>
      </c>
    </row>
    <row r="2401" spans="1:85" x14ac:dyDescent="0.25">
      <c r="A2401">
        <v>23092621605</v>
      </c>
      <c r="B2401" t="s">
        <v>129</v>
      </c>
      <c r="C2401">
        <v>8250</v>
      </c>
      <c r="D2401" t="s">
        <v>129</v>
      </c>
      <c r="E2401" t="s">
        <v>53</v>
      </c>
      <c r="F2401" t="s">
        <v>53</v>
      </c>
      <c r="G2401">
        <v>4</v>
      </c>
      <c r="H2401" t="s">
        <v>54</v>
      </c>
      <c r="I2401">
        <v>0</v>
      </c>
      <c r="J2401">
        <v>32500</v>
      </c>
      <c r="K2401">
        <v>0.19</v>
      </c>
      <c r="L240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1">
        <v>0</v>
      </c>
      <c r="N2401">
        <v>0</v>
      </c>
      <c r="O2401">
        <v>0</v>
      </c>
      <c r="P2401">
        <v>13398.7528</v>
      </c>
      <c r="Q2401">
        <v>63903</v>
      </c>
      <c r="R2401">
        <f>(Grandview_Inventory[[#This Row],[ln_acres]]*Grandview_Inventory[[#This Row],[coeff]])+Grandview_Inventory[[#This Row],[const]]</f>
        <v>41651.273092551026</v>
      </c>
      <c r="S2401" t="s">
        <v>61</v>
      </c>
      <c r="T2401">
        <v>1</v>
      </c>
      <c r="U2401" t="s">
        <v>62</v>
      </c>
      <c r="V2401" t="s">
        <v>57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2000</v>
      </c>
      <c r="AC2401">
        <v>1591</v>
      </c>
      <c r="AD2401">
        <v>1591</v>
      </c>
      <c r="AE2401">
        <v>0</v>
      </c>
      <c r="AF2401">
        <v>0</v>
      </c>
      <c r="AG2401">
        <v>0</v>
      </c>
      <c r="AH2401">
        <v>0</v>
      </c>
      <c r="AI2401">
        <v>400</v>
      </c>
      <c r="AJ2401">
        <v>0</v>
      </c>
      <c r="AK2401">
        <v>0</v>
      </c>
      <c r="AL2401">
        <v>0</v>
      </c>
      <c r="AM2401">
        <v>0</v>
      </c>
      <c r="AN2401">
        <v>268</v>
      </c>
      <c r="AO2401">
        <v>0</v>
      </c>
      <c r="AP2401">
        <v>9</v>
      </c>
      <c r="AQ2401">
        <v>0</v>
      </c>
      <c r="AR2401">
        <v>0</v>
      </c>
      <c r="AS2401" t="s">
        <v>58</v>
      </c>
      <c r="AT2401">
        <v>1</v>
      </c>
      <c r="AU2401" t="s">
        <v>59</v>
      </c>
      <c r="AV2401" t="s">
        <v>60</v>
      </c>
      <c r="AW2401">
        <v>1</v>
      </c>
      <c r="AX2401">
        <v>3</v>
      </c>
      <c r="AY2401">
        <v>0</v>
      </c>
      <c r="AZ2401">
        <v>0</v>
      </c>
      <c r="BA2401">
        <v>100</v>
      </c>
      <c r="BB2401">
        <v>100</v>
      </c>
      <c r="BC2401">
        <v>100</v>
      </c>
      <c r="BD2401">
        <v>100</v>
      </c>
      <c r="BE2401">
        <v>1</v>
      </c>
      <c r="BF2401">
        <v>15000</v>
      </c>
      <c r="BG2401">
        <v>1000</v>
      </c>
      <c r="BH2401" s="6">
        <f>Grandview_Inventory[[#This Row],[land_extract]]*Lookups!$B$3</f>
        <v>48369.510983942157</v>
      </c>
      <c r="BI2401" s="6">
        <f>IF(Grandview_Inventory[[#This Row],[bldg_style]]="",0,Lookups!$B$2)</f>
        <v>155833.95000000001</v>
      </c>
      <c r="BJ2401" s="6">
        <f>_xlfn.IFNA(VLOOKUP(Grandview_Inventory[[#This Row],[quality]],Lookups!$H$2:$J$14,3,FALSE),0)</f>
        <v>9808</v>
      </c>
      <c r="BK2401" s="6">
        <f>_xlfn.IFNA(VLOOKUP(Grandview_Inventory[[#This Row],[condition]],Lookups!$H$17:$J$24,3,FALSE),0)</f>
        <v>25780</v>
      </c>
      <c r="BL2401" s="6">
        <f>Grandview_Inventory[[#This Row],[Eff_Age]]*Lookups!$B$14</f>
        <v>0</v>
      </c>
      <c r="BM2401" s="6">
        <f>Grandview_Inventory[[#This Row],[living_area]]*Lookups!$B$15</f>
        <v>99247.937122999996</v>
      </c>
      <c r="BN2401" s="6">
        <f>Grandview_Inventory[[#This Row],[Fin BSMT]]*Lookups!$B$16</f>
        <v>0</v>
      </c>
      <c r="BO2401" s="6">
        <f>(Grandview_Inventory[[#This Row],[att_gar]]+Grandview_Inventory[[#This Row],[bltin_gar]])*Lookups!$B$17</f>
        <v>35008.174800000001</v>
      </c>
      <c r="BP2401" s="6">
        <f>Grandview_Inventory[[#This Row],[Plumbing Fixtures]]*Lookups!$B$18</f>
        <v>18093.976200000001</v>
      </c>
      <c r="BQ2401" s="6">
        <f>Grandview_Inventory[[#This Row],[detatched_value]]*Lookups!$B$19</f>
        <v>0</v>
      </c>
      <c r="BR2401" s="6">
        <f>SUM(Grandview_Inventory[[#This Row],[Intercept]:[det_value]])*Grandview_Inventory[[#This Row],[res_pct]]</f>
        <v>343772.03812299995</v>
      </c>
      <c r="BS2401" s="6">
        <f>Grandview_Inventory[[#This Row],[land_value]]</f>
        <v>48369.510983942157</v>
      </c>
      <c r="BT2401" s="4">
        <f>_xlfn.IFNA(VLOOKUP(Grandview_Inventory[[#This Row],[quality]],Lookups!$A$26:$C$33,3,FALSE),1)</f>
        <v>0.94295468617355149</v>
      </c>
      <c r="BU2401" s="4">
        <f>_xlfn.IFNA(VLOOKUP(Grandview_Inventory[[#This Row],[condition]],Lookups!$A$37:$C$44,3,FALSE),1)</f>
        <v>0.94347925387812148</v>
      </c>
      <c r="BV2401" s="4">
        <f>IF(Grandview_Inventory[[#This Row],[bldg_style]]="",1,_xlfn.IFNA(VLOOKUP(Grandview_Inventory[[#This Row],[decade]],Lookups!$F$29:$H$43,3,FALSE),1))</f>
        <v>0.9413635517371044</v>
      </c>
      <c r="BW2401" s="4">
        <f>_xlfn.IFNA(VLOOKUP(Grandview_Inventory[[#This Row],[living_area_range]],Lookups!$F$47:$H$56,3,FALSE),1)</f>
        <v>0.96120133463014379</v>
      </c>
      <c r="BX2401" s="4">
        <f>AVERAGE(Grandview_Inventory[[#This Row],[qual_adj]:[size_adj]])</f>
        <v>0.94724970660473029</v>
      </c>
      <c r="BY2401" s="6">
        <f>IF(Grandview_Inventory[[#This Row],[pre_res]]&lt;0,0,Grandview_Inventory[[#This Row],[pre_res]]*Grandview_Inventory[[#This Row],[overall_adj]])</f>
        <v>325637.96225092188</v>
      </c>
      <c r="BZ2401" s="6">
        <f>(Grandview_Inventory[[#This Row],[sum_land]]-IF(Grandview_Inventory[[#This Row],[no_utilities]]=1,12000,0))/IF(Grandview_Inventory[[#This Row],[unbuildable]]=1,2,1)</f>
        <v>48369.510983942157</v>
      </c>
      <c r="CA240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1">
        <f>ROUND(Grandview_Inventory[[#This Row],[det_value]]*Lookups!$M$28,-2)</f>
        <v>0</v>
      </c>
      <c r="CC2401">
        <f>IF(ROUND(Grandview_Inventory[[#This Row],[adj_res]]*Lookups!$M$28,-2)&lt;Grandview_Inventory[[#This Row],[min_res]],Grandview_Inventory[[#This Row],[min_res]],ROUND(Grandview_Inventory[[#This Row],[adj_res]]*Lookups!$M$28,-2))</f>
        <v>309400</v>
      </c>
      <c r="CD2401">
        <f>Grandview_Inventory[[#This Row],[final_det]]+Grandview_Inventory[[#This Row],[final_res]]</f>
        <v>309400</v>
      </c>
      <c r="CE2401">
        <f>Grandview_Inventory[[#This Row],[final_land]]+Grandview_Inventory[[#This Row],[final_imp]]+Grandview_Inventory[[#This Row],[crop_value]]</f>
        <v>355400</v>
      </c>
      <c r="CG2401" t="str">
        <f t="shared" si="37"/>
        <v>update valuation set market_land =46000, market_bldg=309400, market_total =355400, market_mdno =401, market_date ='9/10/2023' where link_id = (select link_id from parcel where parcel_year = '2024' and parcel_id = '23092621605');</v>
      </c>
    </row>
    <row r="2402" spans="1:85" x14ac:dyDescent="0.25">
      <c r="A2402">
        <v>23092621606</v>
      </c>
      <c r="B2402" t="s">
        <v>129</v>
      </c>
      <c r="C2402">
        <v>8250</v>
      </c>
      <c r="D2402" t="s">
        <v>129</v>
      </c>
      <c r="E2402" t="s">
        <v>53</v>
      </c>
      <c r="F2402" t="s">
        <v>53</v>
      </c>
      <c r="G2402">
        <v>4</v>
      </c>
      <c r="H2402" t="s">
        <v>54</v>
      </c>
      <c r="I2402">
        <v>0</v>
      </c>
      <c r="J2402">
        <v>32500</v>
      </c>
      <c r="K2402">
        <v>0.19</v>
      </c>
      <c r="L240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2">
        <v>0</v>
      </c>
      <c r="N2402">
        <v>0</v>
      </c>
      <c r="O2402">
        <v>0</v>
      </c>
      <c r="P2402">
        <v>13398.7528</v>
      </c>
      <c r="Q2402">
        <v>63903</v>
      </c>
      <c r="R2402">
        <f>(Grandview_Inventory[[#This Row],[ln_acres]]*Grandview_Inventory[[#This Row],[coeff]])+Grandview_Inventory[[#This Row],[const]]</f>
        <v>41651.273092551026</v>
      </c>
      <c r="S2402" t="s">
        <v>58</v>
      </c>
      <c r="T2402">
        <v>1</v>
      </c>
      <c r="U2402" t="s">
        <v>62</v>
      </c>
      <c r="V2402" t="s">
        <v>57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1500</v>
      </c>
      <c r="AC2402">
        <v>1378</v>
      </c>
      <c r="AD2402">
        <v>1378</v>
      </c>
      <c r="AE2402">
        <v>0</v>
      </c>
      <c r="AF2402">
        <v>0</v>
      </c>
      <c r="AG2402">
        <v>0</v>
      </c>
      <c r="AH2402">
        <v>0</v>
      </c>
      <c r="AI2402">
        <v>400</v>
      </c>
      <c r="AJ2402">
        <v>0</v>
      </c>
      <c r="AK2402">
        <v>0</v>
      </c>
      <c r="AL2402">
        <v>0</v>
      </c>
      <c r="AM2402">
        <v>0</v>
      </c>
      <c r="AN2402">
        <v>228</v>
      </c>
      <c r="AO2402">
        <v>0</v>
      </c>
      <c r="AP2402">
        <v>8</v>
      </c>
      <c r="AQ2402">
        <v>0</v>
      </c>
      <c r="AR2402">
        <v>0</v>
      </c>
      <c r="AS2402" t="s">
        <v>58</v>
      </c>
      <c r="AT2402">
        <v>1</v>
      </c>
      <c r="AU2402" t="s">
        <v>63</v>
      </c>
      <c r="AV2402" t="s">
        <v>64</v>
      </c>
      <c r="AW2402">
        <v>1</v>
      </c>
      <c r="AX2402">
        <v>3</v>
      </c>
      <c r="AY2402">
        <v>0</v>
      </c>
      <c r="AZ2402">
        <v>0</v>
      </c>
      <c r="BA2402">
        <v>100</v>
      </c>
      <c r="BB2402">
        <v>100</v>
      </c>
      <c r="BC2402">
        <v>100</v>
      </c>
      <c r="BD2402">
        <v>100</v>
      </c>
      <c r="BE2402">
        <v>1</v>
      </c>
      <c r="BF2402">
        <v>15000</v>
      </c>
      <c r="BG2402">
        <v>1000</v>
      </c>
      <c r="BH2402" s="6">
        <f>Grandview_Inventory[[#This Row],[land_extract]]*Lookups!$B$3</f>
        <v>48369.510983942157</v>
      </c>
      <c r="BI2402" s="6">
        <f>IF(Grandview_Inventory[[#This Row],[bldg_style]]="",0,Lookups!$B$2)</f>
        <v>155833.95000000001</v>
      </c>
      <c r="BJ2402" s="6">
        <f>_xlfn.IFNA(VLOOKUP(Grandview_Inventory[[#This Row],[quality]],Lookups!$H$2:$J$14,3,FALSE),0)</f>
        <v>9808</v>
      </c>
      <c r="BK2402" s="6">
        <f>_xlfn.IFNA(VLOOKUP(Grandview_Inventory[[#This Row],[condition]],Lookups!$H$17:$J$24,3,FALSE),0)</f>
        <v>25780</v>
      </c>
      <c r="BL2402" s="6">
        <f>Grandview_Inventory[[#This Row],[Eff_Age]]*Lookups!$B$14</f>
        <v>0</v>
      </c>
      <c r="BM2402" s="6">
        <f>Grandview_Inventory[[#This Row],[living_area]]*Lookups!$B$15</f>
        <v>85960.815434000004</v>
      </c>
      <c r="BN2402" s="6">
        <f>Grandview_Inventory[[#This Row],[Fin BSMT]]*Lookups!$B$16</f>
        <v>0</v>
      </c>
      <c r="BO2402" s="6">
        <f>(Grandview_Inventory[[#This Row],[att_gar]]+Grandview_Inventory[[#This Row],[bltin_gar]])*Lookups!$B$17</f>
        <v>35008.174800000001</v>
      </c>
      <c r="BP2402" s="6">
        <f>Grandview_Inventory[[#This Row],[Plumbing Fixtures]]*Lookups!$B$18</f>
        <v>16083.5344</v>
      </c>
      <c r="BQ2402" s="6">
        <f>Grandview_Inventory[[#This Row],[detatched_value]]*Lookups!$B$19</f>
        <v>0</v>
      </c>
      <c r="BR2402" s="6">
        <f>SUM(Grandview_Inventory[[#This Row],[Intercept]:[det_value]])*Grandview_Inventory[[#This Row],[res_pct]]</f>
        <v>328474.47463399998</v>
      </c>
      <c r="BS2402" s="6">
        <f>Grandview_Inventory[[#This Row],[land_value]]</f>
        <v>48369.510983942157</v>
      </c>
      <c r="BT2402" s="4">
        <f>_xlfn.IFNA(VLOOKUP(Grandview_Inventory[[#This Row],[quality]],Lookups!$A$26:$C$33,3,FALSE),1)</f>
        <v>0.94295468617355149</v>
      </c>
      <c r="BU2402" s="4">
        <f>_xlfn.IFNA(VLOOKUP(Grandview_Inventory[[#This Row],[condition]],Lookups!$A$37:$C$44,3,FALSE),1)</f>
        <v>0.94347925387812148</v>
      </c>
      <c r="BV2402" s="4">
        <f>IF(Grandview_Inventory[[#This Row],[bldg_style]]="",1,_xlfn.IFNA(VLOOKUP(Grandview_Inventory[[#This Row],[decade]],Lookups!$F$29:$H$43,3,FALSE),1))</f>
        <v>0.9413635517371044</v>
      </c>
      <c r="BW2402" s="4">
        <f>_xlfn.IFNA(VLOOKUP(Grandview_Inventory[[#This Row],[living_area_range]],Lookups!$F$47:$H$56,3,FALSE),1)</f>
        <v>0.96135087979789358</v>
      </c>
      <c r="BX2402" s="4">
        <f>AVERAGE(Grandview_Inventory[[#This Row],[qual_adj]:[size_adj]])</f>
        <v>0.94728709289666768</v>
      </c>
      <c r="BY2402" s="6">
        <f>IF(Grandview_Inventory[[#This Row],[pre_res]]&lt;0,0,Grandview_Inventory[[#This Row],[pre_res]]*Grandview_Inventory[[#This Row],[overall_adj]])</f>
        <v>311159.63016680203</v>
      </c>
      <c r="BZ2402" s="6">
        <f>(Grandview_Inventory[[#This Row],[sum_land]]-IF(Grandview_Inventory[[#This Row],[no_utilities]]=1,12000,0))/IF(Grandview_Inventory[[#This Row],[unbuildable]]=1,2,1)</f>
        <v>48369.510983942157</v>
      </c>
      <c r="CA240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2">
        <f>ROUND(Grandview_Inventory[[#This Row],[det_value]]*Lookups!$M$28,-2)</f>
        <v>0</v>
      </c>
      <c r="CC2402">
        <f>IF(ROUND(Grandview_Inventory[[#This Row],[adj_res]]*Lookups!$M$28,-2)&lt;Grandview_Inventory[[#This Row],[min_res]],Grandview_Inventory[[#This Row],[min_res]],ROUND(Grandview_Inventory[[#This Row],[adj_res]]*Lookups!$M$28,-2))</f>
        <v>295600</v>
      </c>
      <c r="CD2402">
        <f>Grandview_Inventory[[#This Row],[final_det]]+Grandview_Inventory[[#This Row],[final_res]]</f>
        <v>295600</v>
      </c>
      <c r="CE2402">
        <f>Grandview_Inventory[[#This Row],[final_land]]+Grandview_Inventory[[#This Row],[final_imp]]+Grandview_Inventory[[#This Row],[crop_value]]</f>
        <v>341600</v>
      </c>
      <c r="CG2402" t="str">
        <f t="shared" si="37"/>
        <v>update valuation set market_land =46000, market_bldg=295600, market_total =341600, market_mdno =401, market_date ='9/10/2023' where link_id = (select link_id from parcel where parcel_year = '2024' and parcel_id = '23092621606');</v>
      </c>
    </row>
    <row r="2403" spans="1:85" x14ac:dyDescent="0.25">
      <c r="A2403">
        <v>23092621607</v>
      </c>
      <c r="B2403" t="s">
        <v>129</v>
      </c>
      <c r="C2403">
        <v>8030</v>
      </c>
      <c r="D2403" t="s">
        <v>129</v>
      </c>
      <c r="E2403" t="s">
        <v>53</v>
      </c>
      <c r="F2403" t="s">
        <v>53</v>
      </c>
      <c r="G2403">
        <v>4</v>
      </c>
      <c r="H2403" t="s">
        <v>54</v>
      </c>
      <c r="I2403">
        <v>0</v>
      </c>
      <c r="J2403">
        <v>32500</v>
      </c>
      <c r="K2403">
        <v>0.18</v>
      </c>
      <c r="L240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403">
        <v>0</v>
      </c>
      <c r="N2403">
        <v>0</v>
      </c>
      <c r="O2403">
        <v>0</v>
      </c>
      <c r="P2403">
        <v>13398.7528</v>
      </c>
      <c r="Q2403">
        <v>63903</v>
      </c>
      <c r="R2403">
        <f>(Grandview_Inventory[[#This Row],[ln_acres]]*Grandview_Inventory[[#This Row],[coeff]])+Grandview_Inventory[[#This Row],[const]]</f>
        <v>40926.839760167699</v>
      </c>
      <c r="S2403" t="s">
        <v>58</v>
      </c>
      <c r="T2403">
        <v>1</v>
      </c>
      <c r="U2403" t="s">
        <v>62</v>
      </c>
      <c r="V2403" t="s">
        <v>57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1500</v>
      </c>
      <c r="AC2403">
        <v>1419</v>
      </c>
      <c r="AD2403">
        <v>1419</v>
      </c>
      <c r="AE2403">
        <v>0</v>
      </c>
      <c r="AF2403">
        <v>0</v>
      </c>
      <c r="AG2403">
        <v>0</v>
      </c>
      <c r="AH2403">
        <v>0</v>
      </c>
      <c r="AI2403">
        <v>440</v>
      </c>
      <c r="AJ2403">
        <v>0</v>
      </c>
      <c r="AK2403">
        <v>0</v>
      </c>
      <c r="AL2403">
        <v>0</v>
      </c>
      <c r="AM2403">
        <v>0</v>
      </c>
      <c r="AN2403">
        <v>171</v>
      </c>
      <c r="AO2403">
        <v>0</v>
      </c>
      <c r="AP2403">
        <v>9</v>
      </c>
      <c r="AQ2403">
        <v>0</v>
      </c>
      <c r="AR2403">
        <v>0</v>
      </c>
      <c r="AS2403" t="s">
        <v>58</v>
      </c>
      <c r="AT2403">
        <v>1</v>
      </c>
      <c r="AU2403" t="s">
        <v>59</v>
      </c>
      <c r="AV2403" t="s">
        <v>60</v>
      </c>
      <c r="AW2403">
        <v>1</v>
      </c>
      <c r="AX2403">
        <v>3</v>
      </c>
      <c r="AY2403">
        <v>0</v>
      </c>
      <c r="AZ2403">
        <v>0</v>
      </c>
      <c r="BA2403">
        <v>100</v>
      </c>
      <c r="BB2403">
        <v>100</v>
      </c>
      <c r="BC2403">
        <v>100</v>
      </c>
      <c r="BD2403">
        <v>66</v>
      </c>
      <c r="BE2403">
        <v>0.66</v>
      </c>
      <c r="BF2403">
        <v>15000</v>
      </c>
      <c r="BG2403">
        <v>1000</v>
      </c>
      <c r="BH2403" s="6">
        <f>Grandview_Inventory[[#This Row],[land_extract]]*Lookups!$B$3</f>
        <v>47528.228511015397</v>
      </c>
      <c r="BI2403" s="6">
        <f>IF(Grandview_Inventory[[#This Row],[bldg_style]]="",0,Lookups!$B$2)</f>
        <v>155833.95000000001</v>
      </c>
      <c r="BJ2403" s="6">
        <f>_xlfn.IFNA(VLOOKUP(Grandview_Inventory[[#This Row],[quality]],Lookups!$H$2:$J$14,3,FALSE),0)</f>
        <v>9808</v>
      </c>
      <c r="BK2403" s="6">
        <f>_xlfn.IFNA(VLOOKUP(Grandview_Inventory[[#This Row],[condition]],Lookups!$H$17:$J$24,3,FALSE),0)</f>
        <v>25780</v>
      </c>
      <c r="BL2403" s="6">
        <f>Grandview_Inventory[[#This Row],[Eff_Age]]*Lookups!$B$14</f>
        <v>0</v>
      </c>
      <c r="BM2403" s="6">
        <f>Grandview_Inventory[[#This Row],[living_area]]*Lookups!$B$15</f>
        <v>88518.430407000007</v>
      </c>
      <c r="BN2403" s="6">
        <f>Grandview_Inventory[[#This Row],[Fin BSMT]]*Lookups!$B$16</f>
        <v>0</v>
      </c>
      <c r="BO2403" s="6">
        <f>(Grandview_Inventory[[#This Row],[att_gar]]+Grandview_Inventory[[#This Row],[bltin_gar]])*Lookups!$B$17</f>
        <v>38508.992279999999</v>
      </c>
      <c r="BP2403" s="6">
        <f>Grandview_Inventory[[#This Row],[Plumbing Fixtures]]*Lookups!$B$18</f>
        <v>18093.976200000001</v>
      </c>
      <c r="BQ2403" s="6">
        <f>Grandview_Inventory[[#This Row],[detatched_value]]*Lookups!$B$19</f>
        <v>0</v>
      </c>
      <c r="BR2403" s="6">
        <f>SUM(Grandview_Inventory[[#This Row],[Intercept]:[det_value]])*Grandview_Inventory[[#This Row],[res_pct]]</f>
        <v>222118.61026542002</v>
      </c>
      <c r="BS2403" s="6">
        <f>Grandview_Inventory[[#This Row],[land_value]]</f>
        <v>47528.228511015397</v>
      </c>
      <c r="BT2403" s="4">
        <f>_xlfn.IFNA(VLOOKUP(Grandview_Inventory[[#This Row],[quality]],Lookups!$A$26:$C$33,3,FALSE),1)</f>
        <v>0.94295468617355149</v>
      </c>
      <c r="BU2403" s="4">
        <f>_xlfn.IFNA(VLOOKUP(Grandview_Inventory[[#This Row],[condition]],Lookups!$A$37:$C$44,3,FALSE),1)</f>
        <v>0.94347925387812148</v>
      </c>
      <c r="BV2403" s="4">
        <f>IF(Grandview_Inventory[[#This Row],[bldg_style]]="",1,_xlfn.IFNA(VLOOKUP(Grandview_Inventory[[#This Row],[decade]],Lookups!$F$29:$H$43,3,FALSE),1))</f>
        <v>0.9413635517371044</v>
      </c>
      <c r="BW2403" s="4">
        <f>_xlfn.IFNA(VLOOKUP(Grandview_Inventory[[#This Row],[living_area_range]],Lookups!$F$47:$H$56,3,FALSE),1)</f>
        <v>0.96135087979789358</v>
      </c>
      <c r="BX2403" s="4">
        <f>AVERAGE(Grandview_Inventory[[#This Row],[qual_adj]:[size_adj]])</f>
        <v>0.94728709289666768</v>
      </c>
      <c r="BY2403" s="6">
        <f>IF(Grandview_Inventory[[#This Row],[pre_res]]&lt;0,0,Grandview_Inventory[[#This Row],[pre_res]]*Grandview_Inventory[[#This Row],[overall_adj]])</f>
        <v>210410.09259657766</v>
      </c>
      <c r="BZ2403" s="6">
        <f>(Grandview_Inventory[[#This Row],[sum_land]]-IF(Grandview_Inventory[[#This Row],[no_utilities]]=1,12000,0))/IF(Grandview_Inventory[[#This Row],[unbuildable]]=1,2,1)</f>
        <v>47528.228511015397</v>
      </c>
      <c r="CA240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403">
        <f>ROUND(Grandview_Inventory[[#This Row],[det_value]]*Lookups!$M$28,-2)</f>
        <v>0</v>
      </c>
      <c r="CC2403">
        <f>IF(ROUND(Grandview_Inventory[[#This Row],[adj_res]]*Lookups!$M$28,-2)&lt;Grandview_Inventory[[#This Row],[min_res]],Grandview_Inventory[[#This Row],[min_res]],ROUND(Grandview_Inventory[[#This Row],[adj_res]]*Lookups!$M$28,-2))</f>
        <v>199900</v>
      </c>
      <c r="CD2403">
        <f>Grandview_Inventory[[#This Row],[final_det]]+Grandview_Inventory[[#This Row],[final_res]]</f>
        <v>199900</v>
      </c>
      <c r="CE2403">
        <f>Grandview_Inventory[[#This Row],[final_land]]+Grandview_Inventory[[#This Row],[final_imp]]+Grandview_Inventory[[#This Row],[crop_value]]</f>
        <v>245100</v>
      </c>
      <c r="CG2403" t="str">
        <f t="shared" si="37"/>
        <v>update valuation set market_land =45200, market_bldg=199900, market_total =245100, market_mdno =401, market_date ='9/10/2023' where link_id = (select link_id from parcel where parcel_year = '2024' and parcel_id = '23092621607');</v>
      </c>
    </row>
    <row r="2404" spans="1:85" x14ac:dyDescent="0.25">
      <c r="A2404">
        <v>23092621608</v>
      </c>
      <c r="B2404" t="s">
        <v>129</v>
      </c>
      <c r="C2404">
        <v>8030</v>
      </c>
      <c r="D2404" t="s">
        <v>129</v>
      </c>
      <c r="E2404" t="s">
        <v>53</v>
      </c>
      <c r="F2404" t="s">
        <v>53</v>
      </c>
      <c r="G2404">
        <v>4</v>
      </c>
      <c r="H2404" t="s">
        <v>54</v>
      </c>
      <c r="I2404">
        <v>0</v>
      </c>
      <c r="J2404">
        <v>32500</v>
      </c>
      <c r="K2404">
        <v>0.18</v>
      </c>
      <c r="L240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404">
        <v>0</v>
      </c>
      <c r="N2404">
        <v>0</v>
      </c>
      <c r="O2404">
        <v>0</v>
      </c>
      <c r="P2404">
        <v>13398.7528</v>
      </c>
      <c r="Q2404">
        <v>63903</v>
      </c>
      <c r="R2404">
        <f>(Grandview_Inventory[[#This Row],[ln_acres]]*Grandview_Inventory[[#This Row],[coeff]])+Grandview_Inventory[[#This Row],[const]]</f>
        <v>40926.839760167699</v>
      </c>
      <c r="S2404" t="s">
        <v>58</v>
      </c>
      <c r="T2404">
        <v>1</v>
      </c>
      <c r="U2404" t="s">
        <v>62</v>
      </c>
      <c r="V2404" t="s">
        <v>57</v>
      </c>
      <c r="W2404">
        <v>0</v>
      </c>
      <c r="X2404">
        <v>0</v>
      </c>
      <c r="Y2404">
        <v>1</v>
      </c>
      <c r="Z2404">
        <v>1</v>
      </c>
      <c r="AA2404">
        <v>10</v>
      </c>
      <c r="AB2404">
        <v>1500</v>
      </c>
      <c r="AC2404">
        <v>1378</v>
      </c>
      <c r="AD2404">
        <v>1378</v>
      </c>
      <c r="AE2404">
        <v>0</v>
      </c>
      <c r="AF2404">
        <v>0</v>
      </c>
      <c r="AG2404">
        <v>0</v>
      </c>
      <c r="AH2404">
        <v>0</v>
      </c>
      <c r="AI2404">
        <v>400</v>
      </c>
      <c r="AJ2404">
        <v>0</v>
      </c>
      <c r="AK2404">
        <v>0</v>
      </c>
      <c r="AL2404">
        <v>0</v>
      </c>
      <c r="AM2404">
        <v>0</v>
      </c>
      <c r="AN2404">
        <v>228</v>
      </c>
      <c r="AO2404">
        <v>0</v>
      </c>
      <c r="AP2404">
        <v>8</v>
      </c>
      <c r="AQ2404">
        <v>0</v>
      </c>
      <c r="AR2404">
        <v>0</v>
      </c>
      <c r="AS2404" t="s">
        <v>58</v>
      </c>
      <c r="AT2404">
        <v>1</v>
      </c>
      <c r="AU2404" t="s">
        <v>63</v>
      </c>
      <c r="AV2404" t="s">
        <v>64</v>
      </c>
      <c r="AW2404">
        <v>1</v>
      </c>
      <c r="AX2404">
        <v>3</v>
      </c>
      <c r="AY2404">
        <v>0</v>
      </c>
      <c r="AZ2404">
        <v>0</v>
      </c>
      <c r="BA2404">
        <v>100</v>
      </c>
      <c r="BB2404">
        <v>100</v>
      </c>
      <c r="BC2404">
        <v>100</v>
      </c>
      <c r="BD2404">
        <v>100</v>
      </c>
      <c r="BE2404">
        <v>1</v>
      </c>
      <c r="BF2404">
        <v>15000</v>
      </c>
      <c r="BG2404">
        <v>1000</v>
      </c>
      <c r="BH2404" s="6">
        <f>Grandview_Inventory[[#This Row],[land_extract]]*Lookups!$B$3</f>
        <v>47528.228511015397</v>
      </c>
      <c r="BI2404" s="6">
        <f>IF(Grandview_Inventory[[#This Row],[bldg_style]]="",0,Lookups!$B$2)</f>
        <v>155833.95000000001</v>
      </c>
      <c r="BJ2404" s="6">
        <f>_xlfn.IFNA(VLOOKUP(Grandview_Inventory[[#This Row],[quality]],Lookups!$H$2:$J$14,3,FALSE),0)</f>
        <v>9808</v>
      </c>
      <c r="BK2404" s="6">
        <f>_xlfn.IFNA(VLOOKUP(Grandview_Inventory[[#This Row],[condition]],Lookups!$H$17:$J$24,3,FALSE),0)</f>
        <v>25780</v>
      </c>
      <c r="BL2404" s="6">
        <f>Grandview_Inventory[[#This Row],[Eff_Age]]*Lookups!$B$14</f>
        <v>-239.16659999999999</v>
      </c>
      <c r="BM2404" s="6">
        <f>Grandview_Inventory[[#This Row],[living_area]]*Lookups!$B$15</f>
        <v>85960.815434000004</v>
      </c>
      <c r="BN2404" s="6">
        <f>Grandview_Inventory[[#This Row],[Fin BSMT]]*Lookups!$B$16</f>
        <v>0</v>
      </c>
      <c r="BO2404" s="6">
        <f>(Grandview_Inventory[[#This Row],[att_gar]]+Grandview_Inventory[[#This Row],[bltin_gar]])*Lookups!$B$17</f>
        <v>35008.174800000001</v>
      </c>
      <c r="BP2404" s="6">
        <f>Grandview_Inventory[[#This Row],[Plumbing Fixtures]]*Lookups!$B$18</f>
        <v>16083.5344</v>
      </c>
      <c r="BQ2404" s="6">
        <f>Grandview_Inventory[[#This Row],[detatched_value]]*Lookups!$B$19</f>
        <v>0</v>
      </c>
      <c r="BR2404" s="6">
        <f>SUM(Grandview_Inventory[[#This Row],[Intercept]:[det_value]])*Grandview_Inventory[[#This Row],[res_pct]]</f>
        <v>328235.30803399999</v>
      </c>
      <c r="BS2404" s="6">
        <f>Grandview_Inventory[[#This Row],[land_value]]</f>
        <v>47528.228511015397</v>
      </c>
      <c r="BT2404" s="4">
        <f>_xlfn.IFNA(VLOOKUP(Grandview_Inventory[[#This Row],[quality]],Lookups!$A$26:$C$33,3,FALSE),1)</f>
        <v>0.94295468617355149</v>
      </c>
      <c r="BU2404" s="4">
        <f>_xlfn.IFNA(VLOOKUP(Grandview_Inventory[[#This Row],[condition]],Lookups!$A$37:$C$44,3,FALSE),1)</f>
        <v>0.94347925387812148</v>
      </c>
      <c r="BV2404" s="4">
        <f>IF(Grandview_Inventory[[#This Row],[bldg_style]]="",1,_xlfn.IFNA(VLOOKUP(Grandview_Inventory[[#This Row],[decade]],Lookups!$F$29:$H$43,3,FALSE),1))</f>
        <v>0.94601966599150278</v>
      </c>
      <c r="BW2404" s="4">
        <f>_xlfn.IFNA(VLOOKUP(Grandview_Inventory[[#This Row],[living_area_range]],Lookups!$F$47:$H$56,3,FALSE),1)</f>
        <v>0.96135087979789358</v>
      </c>
      <c r="BX2404" s="4">
        <f>AVERAGE(Grandview_Inventory[[#This Row],[qual_adj]:[size_adj]])</f>
        <v>0.94845112146026733</v>
      </c>
      <c r="BY2404" s="6">
        <f>IF(Grandview_Inventory[[#This Row],[pre_res]]&lt;0,0,Grandview_Inventory[[#This Row],[pre_res]]*Grandview_Inventory[[#This Row],[overall_adj]])</f>
        <v>311315.14600770356</v>
      </c>
      <c r="BZ2404" s="6">
        <f>(Grandview_Inventory[[#This Row],[sum_land]]-IF(Grandview_Inventory[[#This Row],[no_utilities]]=1,12000,0))/IF(Grandview_Inventory[[#This Row],[unbuildable]]=1,2,1)</f>
        <v>47528.228511015397</v>
      </c>
      <c r="CA240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404">
        <f>ROUND(Grandview_Inventory[[#This Row],[det_value]]*Lookups!$M$28,-2)</f>
        <v>0</v>
      </c>
      <c r="CC2404">
        <f>IF(ROUND(Grandview_Inventory[[#This Row],[adj_res]]*Lookups!$M$28,-2)&lt;Grandview_Inventory[[#This Row],[min_res]],Grandview_Inventory[[#This Row],[min_res]],ROUND(Grandview_Inventory[[#This Row],[adj_res]]*Lookups!$M$28,-2))</f>
        <v>295700</v>
      </c>
      <c r="CD2404">
        <f>Grandview_Inventory[[#This Row],[final_det]]+Grandview_Inventory[[#This Row],[final_res]]</f>
        <v>295700</v>
      </c>
      <c r="CE2404">
        <f>Grandview_Inventory[[#This Row],[final_land]]+Grandview_Inventory[[#This Row],[final_imp]]+Grandview_Inventory[[#This Row],[crop_value]]</f>
        <v>340900</v>
      </c>
      <c r="CG2404" t="str">
        <f t="shared" si="37"/>
        <v>update valuation set market_land =45200, market_bldg=295700, market_total =340900, market_mdno =401, market_date ='9/10/2023' where link_id = (select link_id from parcel where parcel_year = '2024' and parcel_id = '23092621608');</v>
      </c>
    </row>
    <row r="2405" spans="1:85" x14ac:dyDescent="0.25">
      <c r="A2405">
        <v>23092621609</v>
      </c>
      <c r="B2405" t="s">
        <v>129</v>
      </c>
      <c r="C2405">
        <v>8348</v>
      </c>
      <c r="D2405" t="s">
        <v>129</v>
      </c>
      <c r="E2405" t="s">
        <v>53</v>
      </c>
      <c r="F2405" t="s">
        <v>53</v>
      </c>
      <c r="G2405">
        <v>4</v>
      </c>
      <c r="H2405" t="s">
        <v>54</v>
      </c>
      <c r="I2405">
        <v>238400</v>
      </c>
      <c r="J2405">
        <v>39100</v>
      </c>
      <c r="K2405">
        <v>0.19</v>
      </c>
      <c r="L24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5">
        <v>0</v>
      </c>
      <c r="N2405">
        <v>0</v>
      </c>
      <c r="O2405">
        <v>0</v>
      </c>
      <c r="P2405">
        <v>13398.7528</v>
      </c>
      <c r="Q2405">
        <v>63903</v>
      </c>
      <c r="R2405">
        <f>(Grandview_Inventory[[#This Row],[ln_acres]]*Grandview_Inventory[[#This Row],[coeff]])+Grandview_Inventory[[#This Row],[const]]</f>
        <v>41651.273092551026</v>
      </c>
      <c r="S2405" t="s">
        <v>61</v>
      </c>
      <c r="T2405">
        <v>1</v>
      </c>
      <c r="U2405" t="s">
        <v>64</v>
      </c>
      <c r="V2405" t="s">
        <v>57</v>
      </c>
      <c r="W2405">
        <v>0</v>
      </c>
      <c r="X2405">
        <v>0</v>
      </c>
      <c r="Y2405">
        <v>1</v>
      </c>
      <c r="Z2405">
        <v>1</v>
      </c>
      <c r="AA2405">
        <v>10</v>
      </c>
      <c r="AB2405">
        <v>2000</v>
      </c>
      <c r="AC2405">
        <v>1800</v>
      </c>
      <c r="AD2405">
        <v>1800</v>
      </c>
      <c r="AE2405">
        <v>0</v>
      </c>
      <c r="AF2405">
        <v>0</v>
      </c>
      <c r="AG2405">
        <v>0</v>
      </c>
      <c r="AH2405">
        <v>0</v>
      </c>
      <c r="AI2405">
        <v>440</v>
      </c>
      <c r="AJ2405">
        <v>0</v>
      </c>
      <c r="AK2405">
        <v>0</v>
      </c>
      <c r="AL2405">
        <v>0</v>
      </c>
      <c r="AM2405">
        <v>120</v>
      </c>
      <c r="AN2405">
        <v>156</v>
      </c>
      <c r="AO2405">
        <v>120</v>
      </c>
      <c r="AP2405">
        <v>10</v>
      </c>
      <c r="AQ2405">
        <v>0</v>
      </c>
      <c r="AR2405">
        <v>0</v>
      </c>
      <c r="AS2405" t="s">
        <v>58</v>
      </c>
      <c r="AT2405">
        <v>1</v>
      </c>
      <c r="AU2405" t="s">
        <v>63</v>
      </c>
      <c r="AV2405" t="s">
        <v>64</v>
      </c>
      <c r="AW2405">
        <v>1</v>
      </c>
      <c r="AX2405">
        <v>4</v>
      </c>
      <c r="AY2405">
        <v>0</v>
      </c>
      <c r="AZ2405">
        <v>0</v>
      </c>
      <c r="BA2405">
        <v>100</v>
      </c>
      <c r="BB2405">
        <v>100</v>
      </c>
      <c r="BC2405">
        <v>100</v>
      </c>
      <c r="BD2405">
        <v>100</v>
      </c>
      <c r="BE2405">
        <v>1</v>
      </c>
      <c r="BF2405">
        <v>15000</v>
      </c>
      <c r="BG2405">
        <v>1000</v>
      </c>
      <c r="BH2405" s="6">
        <f>Grandview_Inventory[[#This Row],[land_extract]]*Lookups!$B$3</f>
        <v>48369.510983942157</v>
      </c>
      <c r="BI2405" s="6">
        <f>IF(Grandview_Inventory[[#This Row],[bldg_style]]="",0,Lookups!$B$2)</f>
        <v>155833.95000000001</v>
      </c>
      <c r="BJ2405" s="6">
        <f>_xlfn.IFNA(VLOOKUP(Grandview_Inventory[[#This Row],[quality]],Lookups!$H$2:$J$14,3,FALSE),0)</f>
        <v>20768</v>
      </c>
      <c r="BK2405" s="6">
        <f>_xlfn.IFNA(VLOOKUP(Grandview_Inventory[[#This Row],[condition]],Lookups!$H$17:$J$24,3,FALSE),0)</f>
        <v>25780</v>
      </c>
      <c r="BL2405" s="6">
        <f>Grandview_Inventory[[#This Row],[Eff_Age]]*Lookups!$B$14</f>
        <v>-239.16659999999999</v>
      </c>
      <c r="BM2405" s="6">
        <f>Grandview_Inventory[[#This Row],[living_area]]*Lookups!$B$15</f>
        <v>112285.53540000001</v>
      </c>
      <c r="BN2405" s="6">
        <f>Grandview_Inventory[[#This Row],[Fin BSMT]]*Lookups!$B$16</f>
        <v>0</v>
      </c>
      <c r="BO2405" s="6">
        <f>(Grandview_Inventory[[#This Row],[att_gar]]+Grandview_Inventory[[#This Row],[bltin_gar]])*Lookups!$B$17</f>
        <v>38508.992279999999</v>
      </c>
      <c r="BP2405" s="6">
        <f>Grandview_Inventory[[#This Row],[Plumbing Fixtures]]*Lookups!$B$18</f>
        <v>20104.418000000001</v>
      </c>
      <c r="BQ2405" s="6">
        <f>Grandview_Inventory[[#This Row],[detatched_value]]*Lookups!$B$19</f>
        <v>0</v>
      </c>
      <c r="BR2405" s="6">
        <f>SUM(Grandview_Inventory[[#This Row],[Intercept]:[det_value]])*Grandview_Inventory[[#This Row],[res_pct]]</f>
        <v>373041.72908000002</v>
      </c>
      <c r="BS2405" s="6">
        <f>Grandview_Inventory[[#This Row],[land_value]]</f>
        <v>48369.510983942157</v>
      </c>
      <c r="BT2405" s="4">
        <f>_xlfn.IFNA(VLOOKUP(Grandview_Inventory[[#This Row],[quality]],Lookups!$A$26:$C$33,3,FALSE),1)</f>
        <v>0.94960540378902636</v>
      </c>
      <c r="BU2405" s="4">
        <f>_xlfn.IFNA(VLOOKUP(Grandview_Inventory[[#This Row],[condition]],Lookups!$A$37:$C$44,3,FALSE),1)</f>
        <v>0.94347925387812148</v>
      </c>
      <c r="BV2405" s="4">
        <f>IF(Grandview_Inventory[[#This Row],[bldg_style]]="",1,_xlfn.IFNA(VLOOKUP(Grandview_Inventory[[#This Row],[decade]],Lookups!$F$29:$H$43,3,FALSE),1))</f>
        <v>0.94601966599150278</v>
      </c>
      <c r="BW2405" s="4">
        <f>_xlfn.IFNA(VLOOKUP(Grandview_Inventory[[#This Row],[living_area_range]],Lookups!$F$47:$H$56,3,FALSE),1)</f>
        <v>0.96120133463014379</v>
      </c>
      <c r="BX2405" s="4">
        <f>AVERAGE(Grandview_Inventory[[#This Row],[qual_adj]:[size_adj]])</f>
        <v>0.95007641457219871</v>
      </c>
      <c r="BY2405" s="6">
        <f>IF(Grandview_Inventory[[#This Row],[pre_res]]&lt;0,0,Grandview_Inventory[[#This Row],[pre_res]]*Grandview_Inventory[[#This Row],[overall_adj]])</f>
        <v>354418.14845013991</v>
      </c>
      <c r="BZ2405" s="6">
        <f>(Grandview_Inventory[[#This Row],[sum_land]]-IF(Grandview_Inventory[[#This Row],[no_utilities]]=1,12000,0))/IF(Grandview_Inventory[[#This Row],[unbuildable]]=1,2,1)</f>
        <v>48369.510983942157</v>
      </c>
      <c r="CA24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5">
        <f>ROUND(Grandview_Inventory[[#This Row],[det_value]]*Lookups!$M$28,-2)</f>
        <v>0</v>
      </c>
      <c r="CC2405">
        <f>IF(ROUND(Grandview_Inventory[[#This Row],[adj_res]]*Lookups!$M$28,-2)&lt;Grandview_Inventory[[#This Row],[min_res]],Grandview_Inventory[[#This Row],[min_res]],ROUND(Grandview_Inventory[[#This Row],[adj_res]]*Lookups!$M$28,-2))</f>
        <v>336700</v>
      </c>
      <c r="CD2405">
        <f>Grandview_Inventory[[#This Row],[final_det]]+Grandview_Inventory[[#This Row],[final_res]]</f>
        <v>336700</v>
      </c>
      <c r="CE2405">
        <f>Grandview_Inventory[[#This Row],[final_land]]+Grandview_Inventory[[#This Row],[final_imp]]+Grandview_Inventory[[#This Row],[crop_value]]</f>
        <v>382700</v>
      </c>
      <c r="CG2405" t="str">
        <f t="shared" si="37"/>
        <v>update valuation set market_land =46000, market_bldg=336700, market_total =382700, market_mdno =401, market_date ='9/10/2023' where link_id = (select link_id from parcel where parcel_year = '2024' and parcel_id = '23092621609');</v>
      </c>
    </row>
    <row r="2406" spans="1:85" x14ac:dyDescent="0.25">
      <c r="A2406">
        <v>23092621610</v>
      </c>
      <c r="B2406" t="s">
        <v>129</v>
      </c>
      <c r="C2406">
        <v>8208</v>
      </c>
      <c r="D2406" t="s">
        <v>129</v>
      </c>
      <c r="E2406" t="s">
        <v>53</v>
      </c>
      <c r="F2406" t="s">
        <v>53</v>
      </c>
      <c r="G2406">
        <v>4</v>
      </c>
      <c r="H2406" t="s">
        <v>54</v>
      </c>
      <c r="I2406">
        <v>0</v>
      </c>
      <c r="J2406">
        <v>32500</v>
      </c>
      <c r="K2406">
        <v>0.19</v>
      </c>
      <c r="L240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6">
        <v>0</v>
      </c>
      <c r="N2406">
        <v>0</v>
      </c>
      <c r="O2406">
        <v>0</v>
      </c>
      <c r="P2406">
        <v>13398.7528</v>
      </c>
      <c r="Q2406">
        <v>63903</v>
      </c>
      <c r="R2406">
        <f>(Grandview_Inventory[[#This Row],[ln_acres]]*Grandview_Inventory[[#This Row],[coeff]])+Grandview_Inventory[[#This Row],[const]]</f>
        <v>41651.273092551026</v>
      </c>
      <c r="S2406" t="s">
        <v>61</v>
      </c>
      <c r="T2406">
        <v>1</v>
      </c>
      <c r="U2406" t="s">
        <v>62</v>
      </c>
      <c r="V2406" t="s">
        <v>57</v>
      </c>
      <c r="W2406">
        <v>0</v>
      </c>
      <c r="X2406">
        <v>0</v>
      </c>
      <c r="Y2406">
        <v>1</v>
      </c>
      <c r="Z2406">
        <v>1</v>
      </c>
      <c r="AA2406">
        <v>10</v>
      </c>
      <c r="AB2406">
        <v>1500</v>
      </c>
      <c r="AC2406">
        <v>1430</v>
      </c>
      <c r="AD2406">
        <v>1430</v>
      </c>
      <c r="AE2406">
        <v>0</v>
      </c>
      <c r="AF2406">
        <v>0</v>
      </c>
      <c r="AG2406">
        <v>0</v>
      </c>
      <c r="AH2406">
        <v>0</v>
      </c>
      <c r="AI2406">
        <v>440</v>
      </c>
      <c r="AJ2406">
        <v>0</v>
      </c>
      <c r="AK2406">
        <v>0</v>
      </c>
      <c r="AL2406">
        <v>0</v>
      </c>
      <c r="AM2406">
        <v>0</v>
      </c>
      <c r="AN2406">
        <v>207</v>
      </c>
      <c r="AO2406">
        <v>0</v>
      </c>
      <c r="AP2406">
        <v>9</v>
      </c>
      <c r="AQ2406">
        <v>0</v>
      </c>
      <c r="AR2406">
        <v>0</v>
      </c>
      <c r="AS2406" t="s">
        <v>58</v>
      </c>
      <c r="AT2406">
        <v>1</v>
      </c>
      <c r="AU2406" t="s">
        <v>63</v>
      </c>
      <c r="AV2406" t="s">
        <v>64</v>
      </c>
      <c r="AW2406">
        <v>1</v>
      </c>
      <c r="AX2406">
        <v>3</v>
      </c>
      <c r="AY2406">
        <v>0</v>
      </c>
      <c r="AZ2406">
        <v>0</v>
      </c>
      <c r="BA2406">
        <v>100</v>
      </c>
      <c r="BB2406">
        <v>100</v>
      </c>
      <c r="BC2406">
        <v>100</v>
      </c>
      <c r="BD2406">
        <v>100</v>
      </c>
      <c r="BE2406">
        <v>1</v>
      </c>
      <c r="BF2406">
        <v>15000</v>
      </c>
      <c r="BG2406">
        <v>1000</v>
      </c>
      <c r="BH2406" s="6">
        <f>Grandview_Inventory[[#This Row],[land_extract]]*Lookups!$B$3</f>
        <v>48369.510983942157</v>
      </c>
      <c r="BI2406" s="6">
        <f>IF(Grandview_Inventory[[#This Row],[bldg_style]]="",0,Lookups!$B$2)</f>
        <v>155833.95000000001</v>
      </c>
      <c r="BJ2406" s="6">
        <f>_xlfn.IFNA(VLOOKUP(Grandview_Inventory[[#This Row],[quality]],Lookups!$H$2:$J$14,3,FALSE),0)</f>
        <v>9808</v>
      </c>
      <c r="BK2406" s="6">
        <f>_xlfn.IFNA(VLOOKUP(Grandview_Inventory[[#This Row],[condition]],Lookups!$H$17:$J$24,3,FALSE),0)</f>
        <v>25780</v>
      </c>
      <c r="BL2406" s="6">
        <f>Grandview_Inventory[[#This Row],[Eff_Age]]*Lookups!$B$14</f>
        <v>-239.16659999999999</v>
      </c>
      <c r="BM2406" s="6">
        <f>Grandview_Inventory[[#This Row],[living_area]]*Lookups!$B$15</f>
        <v>89204.619789999997</v>
      </c>
      <c r="BN2406" s="6">
        <f>Grandview_Inventory[[#This Row],[Fin BSMT]]*Lookups!$B$16</f>
        <v>0</v>
      </c>
      <c r="BO2406" s="6">
        <f>(Grandview_Inventory[[#This Row],[att_gar]]+Grandview_Inventory[[#This Row],[bltin_gar]])*Lookups!$B$17</f>
        <v>38508.992279999999</v>
      </c>
      <c r="BP2406" s="6">
        <f>Grandview_Inventory[[#This Row],[Plumbing Fixtures]]*Lookups!$B$18</f>
        <v>18093.976200000001</v>
      </c>
      <c r="BQ2406" s="6">
        <f>Grandview_Inventory[[#This Row],[detatched_value]]*Lookups!$B$19</f>
        <v>0</v>
      </c>
      <c r="BR2406" s="6">
        <f>SUM(Grandview_Inventory[[#This Row],[Intercept]:[det_value]])*Grandview_Inventory[[#This Row],[res_pct]]</f>
        <v>336990.37166999996</v>
      </c>
      <c r="BS2406" s="6">
        <f>Grandview_Inventory[[#This Row],[land_value]]</f>
        <v>48369.510983942157</v>
      </c>
      <c r="BT2406" s="4">
        <f>_xlfn.IFNA(VLOOKUP(Grandview_Inventory[[#This Row],[quality]],Lookups!$A$26:$C$33,3,FALSE),1)</f>
        <v>0.94295468617355149</v>
      </c>
      <c r="BU2406" s="4">
        <f>_xlfn.IFNA(VLOOKUP(Grandview_Inventory[[#This Row],[condition]],Lookups!$A$37:$C$44,3,FALSE),1)</f>
        <v>0.94347925387812148</v>
      </c>
      <c r="BV2406" s="4">
        <f>IF(Grandview_Inventory[[#This Row],[bldg_style]]="",1,_xlfn.IFNA(VLOOKUP(Grandview_Inventory[[#This Row],[decade]],Lookups!$F$29:$H$43,3,FALSE),1))</f>
        <v>0.94601966599150278</v>
      </c>
      <c r="BW2406" s="4">
        <f>_xlfn.IFNA(VLOOKUP(Grandview_Inventory[[#This Row],[living_area_range]],Lookups!$F$47:$H$56,3,FALSE),1)</f>
        <v>0.96135087979789358</v>
      </c>
      <c r="BX2406" s="4">
        <f>AVERAGE(Grandview_Inventory[[#This Row],[qual_adj]:[size_adj]])</f>
        <v>0.94845112146026733</v>
      </c>
      <c r="BY2406" s="6">
        <f>IF(Grandview_Inventory[[#This Row],[pre_res]]&lt;0,0,Grandview_Inventory[[#This Row],[pre_res]]*Grandview_Inventory[[#This Row],[overall_adj]])</f>
        <v>319618.89593172376</v>
      </c>
      <c r="BZ2406" s="6">
        <f>(Grandview_Inventory[[#This Row],[sum_land]]-IF(Grandview_Inventory[[#This Row],[no_utilities]]=1,12000,0))/IF(Grandview_Inventory[[#This Row],[unbuildable]]=1,2,1)</f>
        <v>48369.510983942157</v>
      </c>
      <c r="CA240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6">
        <f>ROUND(Grandview_Inventory[[#This Row],[det_value]]*Lookups!$M$28,-2)</f>
        <v>0</v>
      </c>
      <c r="CC2406">
        <f>IF(ROUND(Grandview_Inventory[[#This Row],[adj_res]]*Lookups!$M$28,-2)&lt;Grandview_Inventory[[#This Row],[min_res]],Grandview_Inventory[[#This Row],[min_res]],ROUND(Grandview_Inventory[[#This Row],[adj_res]]*Lookups!$M$28,-2))</f>
        <v>303600</v>
      </c>
      <c r="CD2406">
        <f>Grandview_Inventory[[#This Row],[final_det]]+Grandview_Inventory[[#This Row],[final_res]]</f>
        <v>303600</v>
      </c>
      <c r="CE2406">
        <f>Grandview_Inventory[[#This Row],[final_land]]+Grandview_Inventory[[#This Row],[final_imp]]+Grandview_Inventory[[#This Row],[crop_value]]</f>
        <v>349600</v>
      </c>
      <c r="CG2406" t="str">
        <f t="shared" si="37"/>
        <v>update valuation set market_land =46000, market_bldg=303600, market_total =349600, market_mdno =401, market_date ='9/10/2023' where link_id = (select link_id from parcel where parcel_year = '2024' and parcel_id = '23092621610');</v>
      </c>
    </row>
    <row r="2407" spans="1:85" x14ac:dyDescent="0.25">
      <c r="A2407">
        <v>23092621611</v>
      </c>
      <c r="B2407" t="s">
        <v>129</v>
      </c>
      <c r="C2407">
        <v>8714</v>
      </c>
      <c r="D2407" t="s">
        <v>129</v>
      </c>
      <c r="E2407" t="s">
        <v>53</v>
      </c>
      <c r="F2407" t="s">
        <v>53</v>
      </c>
      <c r="G2407">
        <v>4</v>
      </c>
      <c r="H2407" t="s">
        <v>54</v>
      </c>
      <c r="I2407">
        <v>118300</v>
      </c>
      <c r="J2407">
        <v>39300</v>
      </c>
      <c r="K2407">
        <v>0.2</v>
      </c>
      <c r="L240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07">
        <v>0</v>
      </c>
      <c r="N2407">
        <v>0</v>
      </c>
      <c r="O2407">
        <v>0</v>
      </c>
      <c r="P2407">
        <v>13398.7528</v>
      </c>
      <c r="Q2407">
        <v>63903</v>
      </c>
      <c r="R2407">
        <f>(Grandview_Inventory[[#This Row],[ln_acres]]*Grandview_Inventory[[#This Row],[coeff]])+Grandview_Inventory[[#This Row],[const]]</f>
        <v>42338.539264347448</v>
      </c>
      <c r="S2407" t="s">
        <v>55</v>
      </c>
      <c r="T2407">
        <v>2</v>
      </c>
      <c r="U2407" t="s">
        <v>62</v>
      </c>
      <c r="V2407" t="s">
        <v>57</v>
      </c>
      <c r="W2407">
        <v>0</v>
      </c>
      <c r="X2407">
        <v>0</v>
      </c>
      <c r="Y2407">
        <v>1</v>
      </c>
      <c r="Z2407">
        <v>1</v>
      </c>
      <c r="AA2407">
        <v>10</v>
      </c>
      <c r="AB2407">
        <v>2500</v>
      </c>
      <c r="AC2407">
        <v>2168</v>
      </c>
      <c r="AD2407">
        <v>896</v>
      </c>
      <c r="AE2407">
        <v>1272</v>
      </c>
      <c r="AF2407">
        <v>0</v>
      </c>
      <c r="AG2407">
        <v>0</v>
      </c>
      <c r="AH2407">
        <v>0</v>
      </c>
      <c r="AI2407">
        <v>440</v>
      </c>
      <c r="AJ2407">
        <v>0</v>
      </c>
      <c r="AK2407">
        <v>0</v>
      </c>
      <c r="AL2407">
        <v>0</v>
      </c>
      <c r="AM2407">
        <v>144</v>
      </c>
      <c r="AN2407">
        <v>128</v>
      </c>
      <c r="AO2407">
        <v>0</v>
      </c>
      <c r="AP2407">
        <v>12</v>
      </c>
      <c r="AQ2407">
        <v>0</v>
      </c>
      <c r="AR2407">
        <v>0</v>
      </c>
      <c r="AS2407" t="s">
        <v>58</v>
      </c>
      <c r="AT2407">
        <v>1</v>
      </c>
      <c r="AU2407" t="s">
        <v>59</v>
      </c>
      <c r="AV2407" t="s">
        <v>60</v>
      </c>
      <c r="AW2407">
        <v>1</v>
      </c>
      <c r="AX2407">
        <v>4</v>
      </c>
      <c r="AY2407">
        <v>0</v>
      </c>
      <c r="AZ2407">
        <v>0</v>
      </c>
      <c r="BA2407">
        <v>100</v>
      </c>
      <c r="BB2407">
        <v>100</v>
      </c>
      <c r="BC2407">
        <v>100</v>
      </c>
      <c r="BD2407">
        <v>100</v>
      </c>
      <c r="BE2407">
        <v>1</v>
      </c>
      <c r="BF2407">
        <v>15000</v>
      </c>
      <c r="BG2407">
        <v>1000</v>
      </c>
      <c r="BH2407" s="6">
        <f>Grandview_Inventory[[#This Row],[land_extract]]*Lookups!$B$3</f>
        <v>49167.631333630678</v>
      </c>
      <c r="BI2407" s="6">
        <f>IF(Grandview_Inventory[[#This Row],[bldg_style]]="",0,Lookups!$B$2)</f>
        <v>155833.95000000001</v>
      </c>
      <c r="BJ2407" s="6">
        <f>_xlfn.IFNA(VLOOKUP(Grandview_Inventory[[#This Row],[quality]],Lookups!$H$2:$J$14,3,FALSE),0)</f>
        <v>9808</v>
      </c>
      <c r="BK2407" s="6">
        <f>_xlfn.IFNA(VLOOKUP(Grandview_Inventory[[#This Row],[condition]],Lookups!$H$17:$J$24,3,FALSE),0)</f>
        <v>25780</v>
      </c>
      <c r="BL2407" s="6">
        <f>Grandview_Inventory[[#This Row],[Eff_Age]]*Lookups!$B$14</f>
        <v>-239.16659999999999</v>
      </c>
      <c r="BM2407" s="6">
        <f>Grandview_Inventory[[#This Row],[living_area]]*Lookups!$B$15</f>
        <v>135241.689304</v>
      </c>
      <c r="BN2407" s="6">
        <f>Grandview_Inventory[[#This Row],[Fin BSMT]]*Lookups!$B$16</f>
        <v>0</v>
      </c>
      <c r="BO2407" s="6">
        <f>(Grandview_Inventory[[#This Row],[att_gar]]+Grandview_Inventory[[#This Row],[bltin_gar]])*Lookups!$B$17</f>
        <v>38508.992279999999</v>
      </c>
      <c r="BP2407" s="6">
        <f>Grandview_Inventory[[#This Row],[Plumbing Fixtures]]*Lookups!$B$18</f>
        <v>24125.301599999999</v>
      </c>
      <c r="BQ2407" s="6">
        <f>Grandview_Inventory[[#This Row],[detatched_value]]*Lookups!$B$19</f>
        <v>0</v>
      </c>
      <c r="BR2407" s="6">
        <f>SUM(Grandview_Inventory[[#This Row],[Intercept]:[det_value]])*Grandview_Inventory[[#This Row],[res_pct]]</f>
        <v>389058.76658400003</v>
      </c>
      <c r="BS2407" s="6">
        <f>Grandview_Inventory[[#This Row],[land_value]]</f>
        <v>49167.631333630678</v>
      </c>
      <c r="BT2407" s="4">
        <f>_xlfn.IFNA(VLOOKUP(Grandview_Inventory[[#This Row],[quality]],Lookups!$A$26:$C$33,3,FALSE),1)</f>
        <v>0.94295468617355149</v>
      </c>
      <c r="BU2407" s="4">
        <f>_xlfn.IFNA(VLOOKUP(Grandview_Inventory[[#This Row],[condition]],Lookups!$A$37:$C$44,3,FALSE),1)</f>
        <v>0.94347925387812148</v>
      </c>
      <c r="BV2407" s="4">
        <f>IF(Grandview_Inventory[[#This Row],[bldg_style]]="",1,_xlfn.IFNA(VLOOKUP(Grandview_Inventory[[#This Row],[decade]],Lookups!$F$29:$H$43,3,FALSE),1))</f>
        <v>0.94601966599150278</v>
      </c>
      <c r="BW2407" s="4">
        <f>_xlfn.IFNA(VLOOKUP(Grandview_Inventory[[#This Row],[living_area_range]],Lookups!$F$47:$H$56,3,FALSE),1)</f>
        <v>0.95799442568048754</v>
      </c>
      <c r="BX2407" s="4">
        <f>AVERAGE(Grandview_Inventory[[#This Row],[qual_adj]:[size_adj]])</f>
        <v>0.94761200793091582</v>
      </c>
      <c r="BY2407" s="6">
        <f>IF(Grandview_Inventory[[#This Row],[pre_res]]&lt;0,0,Grandview_Inventory[[#This Row],[pre_res]]*Grandview_Inventory[[#This Row],[overall_adj]])</f>
        <v>368676.75900578976</v>
      </c>
      <c r="BZ2407" s="6">
        <f>(Grandview_Inventory[[#This Row],[sum_land]]-IF(Grandview_Inventory[[#This Row],[no_utilities]]=1,12000,0))/IF(Grandview_Inventory[[#This Row],[unbuildable]]=1,2,1)</f>
        <v>49167.631333630678</v>
      </c>
      <c r="CA240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07">
        <f>ROUND(Grandview_Inventory[[#This Row],[det_value]]*Lookups!$M$28,-2)</f>
        <v>0</v>
      </c>
      <c r="CC2407">
        <f>IF(ROUND(Grandview_Inventory[[#This Row],[adj_res]]*Lookups!$M$28,-2)&lt;Grandview_Inventory[[#This Row],[min_res]],Grandview_Inventory[[#This Row],[min_res]],ROUND(Grandview_Inventory[[#This Row],[adj_res]]*Lookups!$M$28,-2))</f>
        <v>350200</v>
      </c>
      <c r="CD2407">
        <f>Grandview_Inventory[[#This Row],[final_det]]+Grandview_Inventory[[#This Row],[final_res]]</f>
        <v>350200</v>
      </c>
      <c r="CE2407">
        <f>Grandview_Inventory[[#This Row],[final_land]]+Grandview_Inventory[[#This Row],[final_imp]]+Grandview_Inventory[[#This Row],[crop_value]]</f>
        <v>396900</v>
      </c>
      <c r="CG2407" t="str">
        <f t="shared" si="37"/>
        <v>update valuation set market_land =46700, market_bldg=350200, market_total =396900, market_mdno =401, market_date ='9/10/2023' where link_id = (select link_id from parcel where parcel_year = '2024' and parcel_id = '23092621611');</v>
      </c>
    </row>
    <row r="2408" spans="1:85" x14ac:dyDescent="0.25">
      <c r="A2408">
        <v>23092621612</v>
      </c>
      <c r="B2408" t="s">
        <v>129</v>
      </c>
      <c r="C2408">
        <v>8140</v>
      </c>
      <c r="D2408" t="s">
        <v>129</v>
      </c>
      <c r="E2408" t="s">
        <v>53</v>
      </c>
      <c r="F2408" t="s">
        <v>53</v>
      </c>
      <c r="G2408">
        <v>4</v>
      </c>
      <c r="H2408" t="s">
        <v>54</v>
      </c>
      <c r="I2408">
        <v>0</v>
      </c>
      <c r="J2408">
        <v>39000</v>
      </c>
      <c r="K2408">
        <v>0.19</v>
      </c>
      <c r="L240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8">
        <v>0</v>
      </c>
      <c r="N2408">
        <v>0</v>
      </c>
      <c r="O2408">
        <v>0</v>
      </c>
      <c r="P2408">
        <v>13398.7528</v>
      </c>
      <c r="Q2408">
        <v>63903</v>
      </c>
      <c r="R2408">
        <f>(Grandview_Inventory[[#This Row],[ln_acres]]*Grandview_Inventory[[#This Row],[coeff]])+Grandview_Inventory[[#This Row],[const]]</f>
        <v>41651.273092551026</v>
      </c>
      <c r="S2408" t="s">
        <v>61</v>
      </c>
      <c r="T2408">
        <v>1</v>
      </c>
      <c r="U2408" t="s">
        <v>62</v>
      </c>
      <c r="V2408" t="s">
        <v>57</v>
      </c>
      <c r="W2408">
        <v>0</v>
      </c>
      <c r="X2408">
        <v>0</v>
      </c>
      <c r="Y2408">
        <v>1</v>
      </c>
      <c r="Z2408">
        <v>1</v>
      </c>
      <c r="AA2408">
        <v>10</v>
      </c>
      <c r="AB2408">
        <v>1500</v>
      </c>
      <c r="AC2408">
        <v>1460</v>
      </c>
      <c r="AD2408">
        <v>1460</v>
      </c>
      <c r="AE2408">
        <v>0</v>
      </c>
      <c r="AF2408">
        <v>0</v>
      </c>
      <c r="AG2408">
        <v>0</v>
      </c>
      <c r="AH2408">
        <v>0</v>
      </c>
      <c r="AI2408">
        <v>440</v>
      </c>
      <c r="AJ2408">
        <v>0</v>
      </c>
      <c r="AK2408">
        <v>0</v>
      </c>
      <c r="AL2408">
        <v>0</v>
      </c>
      <c r="AM2408">
        <v>60</v>
      </c>
      <c r="AN2408">
        <v>117</v>
      </c>
      <c r="AO2408">
        <v>60</v>
      </c>
      <c r="AP2408">
        <v>9</v>
      </c>
      <c r="AQ2408">
        <v>0</v>
      </c>
      <c r="AR2408">
        <v>0</v>
      </c>
      <c r="AS2408" t="s">
        <v>58</v>
      </c>
      <c r="AT2408">
        <v>1</v>
      </c>
      <c r="AU2408" t="s">
        <v>63</v>
      </c>
      <c r="AV2408" t="s">
        <v>64</v>
      </c>
      <c r="AW2408">
        <v>1</v>
      </c>
      <c r="AX2408">
        <v>3</v>
      </c>
      <c r="AY2408">
        <v>0</v>
      </c>
      <c r="AZ2408">
        <v>0</v>
      </c>
      <c r="BA2408">
        <v>100</v>
      </c>
      <c r="BB2408">
        <v>100</v>
      </c>
      <c r="BC2408">
        <v>100</v>
      </c>
      <c r="BD2408">
        <v>100</v>
      </c>
      <c r="BE2408">
        <v>1</v>
      </c>
      <c r="BF2408">
        <v>15000</v>
      </c>
      <c r="BG2408">
        <v>1000</v>
      </c>
      <c r="BH2408" s="6">
        <f>Grandview_Inventory[[#This Row],[land_extract]]*Lookups!$B$3</f>
        <v>48369.510983942157</v>
      </c>
      <c r="BI2408" s="6">
        <f>IF(Grandview_Inventory[[#This Row],[bldg_style]]="",0,Lookups!$B$2)</f>
        <v>155833.95000000001</v>
      </c>
      <c r="BJ2408" s="6">
        <f>_xlfn.IFNA(VLOOKUP(Grandview_Inventory[[#This Row],[quality]],Lookups!$H$2:$J$14,3,FALSE),0)</f>
        <v>9808</v>
      </c>
      <c r="BK2408" s="6">
        <f>_xlfn.IFNA(VLOOKUP(Grandview_Inventory[[#This Row],[condition]],Lookups!$H$17:$J$24,3,FALSE),0)</f>
        <v>25780</v>
      </c>
      <c r="BL2408" s="6">
        <f>Grandview_Inventory[[#This Row],[Eff_Age]]*Lookups!$B$14</f>
        <v>-239.16659999999999</v>
      </c>
      <c r="BM2408" s="6">
        <f>Grandview_Inventory[[#This Row],[living_area]]*Lookups!$B$15</f>
        <v>91076.045379999996</v>
      </c>
      <c r="BN2408" s="6">
        <f>Grandview_Inventory[[#This Row],[Fin BSMT]]*Lookups!$B$16</f>
        <v>0</v>
      </c>
      <c r="BO2408" s="6">
        <f>(Grandview_Inventory[[#This Row],[att_gar]]+Grandview_Inventory[[#This Row],[bltin_gar]])*Lookups!$B$17</f>
        <v>38508.992279999999</v>
      </c>
      <c r="BP2408" s="6">
        <f>Grandview_Inventory[[#This Row],[Plumbing Fixtures]]*Lookups!$B$18</f>
        <v>18093.976200000001</v>
      </c>
      <c r="BQ2408" s="6">
        <f>Grandview_Inventory[[#This Row],[detatched_value]]*Lookups!$B$19</f>
        <v>0</v>
      </c>
      <c r="BR2408" s="6">
        <f>SUM(Grandview_Inventory[[#This Row],[Intercept]:[det_value]])*Grandview_Inventory[[#This Row],[res_pct]]</f>
        <v>338861.79725999996</v>
      </c>
      <c r="BS2408" s="6">
        <f>Grandview_Inventory[[#This Row],[land_value]]</f>
        <v>48369.510983942157</v>
      </c>
      <c r="BT2408" s="4">
        <f>_xlfn.IFNA(VLOOKUP(Grandview_Inventory[[#This Row],[quality]],Lookups!$A$26:$C$33,3,FALSE),1)</f>
        <v>0.94295468617355149</v>
      </c>
      <c r="BU2408" s="4">
        <f>_xlfn.IFNA(VLOOKUP(Grandview_Inventory[[#This Row],[condition]],Lookups!$A$37:$C$44,3,FALSE),1)</f>
        <v>0.94347925387812148</v>
      </c>
      <c r="BV2408" s="4">
        <f>IF(Grandview_Inventory[[#This Row],[bldg_style]]="",1,_xlfn.IFNA(VLOOKUP(Grandview_Inventory[[#This Row],[decade]],Lookups!$F$29:$H$43,3,FALSE),1))</f>
        <v>0.94601966599150278</v>
      </c>
      <c r="BW2408" s="4">
        <f>_xlfn.IFNA(VLOOKUP(Grandview_Inventory[[#This Row],[living_area_range]],Lookups!$F$47:$H$56,3,FALSE),1)</f>
        <v>0.96135087979789358</v>
      </c>
      <c r="BX2408" s="4">
        <f>AVERAGE(Grandview_Inventory[[#This Row],[qual_adj]:[size_adj]])</f>
        <v>0.94845112146026733</v>
      </c>
      <c r="BY2408" s="6">
        <f>IF(Grandview_Inventory[[#This Row],[pre_res]]&lt;0,0,Grandview_Inventory[[#This Row],[pre_res]]*Grandview_Inventory[[#This Row],[overall_adj]])</f>
        <v>321393.85163128871</v>
      </c>
      <c r="BZ2408" s="6">
        <f>(Grandview_Inventory[[#This Row],[sum_land]]-IF(Grandview_Inventory[[#This Row],[no_utilities]]=1,12000,0))/IF(Grandview_Inventory[[#This Row],[unbuildable]]=1,2,1)</f>
        <v>48369.510983942157</v>
      </c>
      <c r="CA240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8">
        <f>ROUND(Grandview_Inventory[[#This Row],[det_value]]*Lookups!$M$28,-2)</f>
        <v>0</v>
      </c>
      <c r="CC2408">
        <f>IF(ROUND(Grandview_Inventory[[#This Row],[adj_res]]*Lookups!$M$28,-2)&lt;Grandview_Inventory[[#This Row],[min_res]],Grandview_Inventory[[#This Row],[min_res]],ROUND(Grandview_Inventory[[#This Row],[adj_res]]*Lookups!$M$28,-2))</f>
        <v>305300</v>
      </c>
      <c r="CD2408">
        <f>Grandview_Inventory[[#This Row],[final_det]]+Grandview_Inventory[[#This Row],[final_res]]</f>
        <v>305300</v>
      </c>
      <c r="CE2408">
        <f>Grandview_Inventory[[#This Row],[final_land]]+Grandview_Inventory[[#This Row],[final_imp]]+Grandview_Inventory[[#This Row],[crop_value]]</f>
        <v>351300</v>
      </c>
      <c r="CG2408" t="str">
        <f t="shared" si="37"/>
        <v>update valuation set market_land =46000, market_bldg=305300, market_total =351300, market_mdno =401, market_date ='9/10/2023' where link_id = (select link_id from parcel where parcel_year = '2024' and parcel_id = '23092621612');</v>
      </c>
    </row>
    <row r="2409" spans="1:85" x14ac:dyDescent="0.25">
      <c r="A2409">
        <v>23092621614</v>
      </c>
      <c r="B2409" t="s">
        <v>129</v>
      </c>
      <c r="C2409">
        <v>8140</v>
      </c>
      <c r="D2409" t="s">
        <v>129</v>
      </c>
      <c r="E2409" t="s">
        <v>53</v>
      </c>
      <c r="F2409" t="s">
        <v>53</v>
      </c>
      <c r="G2409">
        <v>4</v>
      </c>
      <c r="H2409" t="s">
        <v>54</v>
      </c>
      <c r="I2409">
        <v>0</v>
      </c>
      <c r="J2409">
        <v>32500</v>
      </c>
      <c r="K2409">
        <v>0.19</v>
      </c>
      <c r="L240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09">
        <v>0</v>
      </c>
      <c r="N2409">
        <v>0</v>
      </c>
      <c r="O2409">
        <v>0</v>
      </c>
      <c r="P2409">
        <v>13398.7528</v>
      </c>
      <c r="Q2409">
        <v>63903</v>
      </c>
      <c r="R2409">
        <f>(Grandview_Inventory[[#This Row],[ln_acres]]*Grandview_Inventory[[#This Row],[coeff]])+Grandview_Inventory[[#This Row],[const]]</f>
        <v>41651.273092551026</v>
      </c>
      <c r="S2409" t="s">
        <v>61</v>
      </c>
      <c r="T2409">
        <v>1</v>
      </c>
      <c r="U2409" t="s">
        <v>62</v>
      </c>
      <c r="V2409" t="s">
        <v>57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1500</v>
      </c>
      <c r="AC2409">
        <v>1378</v>
      </c>
      <c r="AD2409">
        <v>1378</v>
      </c>
      <c r="AE2409">
        <v>0</v>
      </c>
      <c r="AF2409">
        <v>0</v>
      </c>
      <c r="AG2409">
        <v>0</v>
      </c>
      <c r="AH2409">
        <v>0</v>
      </c>
      <c r="AI2409">
        <v>400</v>
      </c>
      <c r="AJ2409">
        <v>0</v>
      </c>
      <c r="AK2409">
        <v>0</v>
      </c>
      <c r="AL2409">
        <v>0</v>
      </c>
      <c r="AM2409">
        <v>0</v>
      </c>
      <c r="AN2409">
        <v>228</v>
      </c>
      <c r="AO2409">
        <v>0</v>
      </c>
      <c r="AP2409">
        <v>8</v>
      </c>
      <c r="AQ2409">
        <v>0</v>
      </c>
      <c r="AR2409">
        <v>0</v>
      </c>
      <c r="AS2409" t="s">
        <v>58</v>
      </c>
      <c r="AT2409">
        <v>1</v>
      </c>
      <c r="AU2409" t="s">
        <v>59</v>
      </c>
      <c r="AV2409" t="s">
        <v>60</v>
      </c>
      <c r="AW2409">
        <v>1</v>
      </c>
      <c r="AX2409">
        <v>3</v>
      </c>
      <c r="AY2409">
        <v>0</v>
      </c>
      <c r="AZ2409">
        <v>0</v>
      </c>
      <c r="BA2409">
        <v>100</v>
      </c>
      <c r="BB2409">
        <v>100</v>
      </c>
      <c r="BC2409">
        <v>100</v>
      </c>
      <c r="BD2409">
        <v>100</v>
      </c>
      <c r="BE2409">
        <v>1</v>
      </c>
      <c r="BF2409">
        <v>15000</v>
      </c>
      <c r="BG2409">
        <v>1000</v>
      </c>
      <c r="BH2409" s="6">
        <f>Grandview_Inventory[[#This Row],[land_extract]]*Lookups!$B$3</f>
        <v>48369.510983942157</v>
      </c>
      <c r="BI2409" s="6">
        <f>IF(Grandview_Inventory[[#This Row],[bldg_style]]="",0,Lookups!$B$2)</f>
        <v>155833.95000000001</v>
      </c>
      <c r="BJ2409" s="6">
        <f>_xlfn.IFNA(VLOOKUP(Grandview_Inventory[[#This Row],[quality]],Lookups!$H$2:$J$14,3,FALSE),0)</f>
        <v>9808</v>
      </c>
      <c r="BK2409" s="6">
        <f>_xlfn.IFNA(VLOOKUP(Grandview_Inventory[[#This Row],[condition]],Lookups!$H$17:$J$24,3,FALSE),0)</f>
        <v>25780</v>
      </c>
      <c r="BL2409" s="6">
        <f>Grandview_Inventory[[#This Row],[Eff_Age]]*Lookups!$B$14</f>
        <v>0</v>
      </c>
      <c r="BM2409" s="6">
        <f>Grandview_Inventory[[#This Row],[living_area]]*Lookups!$B$15</f>
        <v>85960.815434000004</v>
      </c>
      <c r="BN2409" s="6">
        <f>Grandview_Inventory[[#This Row],[Fin BSMT]]*Lookups!$B$16</f>
        <v>0</v>
      </c>
      <c r="BO2409" s="6">
        <f>(Grandview_Inventory[[#This Row],[att_gar]]+Grandview_Inventory[[#This Row],[bltin_gar]])*Lookups!$B$17</f>
        <v>35008.174800000001</v>
      </c>
      <c r="BP2409" s="6">
        <f>Grandview_Inventory[[#This Row],[Plumbing Fixtures]]*Lookups!$B$18</f>
        <v>16083.5344</v>
      </c>
      <c r="BQ2409" s="6">
        <f>Grandview_Inventory[[#This Row],[detatched_value]]*Lookups!$B$19</f>
        <v>0</v>
      </c>
      <c r="BR2409" s="6">
        <f>SUM(Grandview_Inventory[[#This Row],[Intercept]:[det_value]])*Grandview_Inventory[[#This Row],[res_pct]]</f>
        <v>328474.47463399998</v>
      </c>
      <c r="BS2409" s="6">
        <f>Grandview_Inventory[[#This Row],[land_value]]</f>
        <v>48369.510983942157</v>
      </c>
      <c r="BT2409" s="4">
        <f>_xlfn.IFNA(VLOOKUP(Grandview_Inventory[[#This Row],[quality]],Lookups!$A$26:$C$33,3,FALSE),1)</f>
        <v>0.94295468617355149</v>
      </c>
      <c r="BU2409" s="4">
        <f>_xlfn.IFNA(VLOOKUP(Grandview_Inventory[[#This Row],[condition]],Lookups!$A$37:$C$44,3,FALSE),1)</f>
        <v>0.94347925387812148</v>
      </c>
      <c r="BV2409" s="4">
        <f>IF(Grandview_Inventory[[#This Row],[bldg_style]]="",1,_xlfn.IFNA(VLOOKUP(Grandview_Inventory[[#This Row],[decade]],Lookups!$F$29:$H$43,3,FALSE),1))</f>
        <v>0.9413635517371044</v>
      </c>
      <c r="BW2409" s="4">
        <f>_xlfn.IFNA(VLOOKUP(Grandview_Inventory[[#This Row],[living_area_range]],Lookups!$F$47:$H$56,3,FALSE),1)</f>
        <v>0.96135087979789358</v>
      </c>
      <c r="BX2409" s="4">
        <f>AVERAGE(Grandview_Inventory[[#This Row],[qual_adj]:[size_adj]])</f>
        <v>0.94728709289666768</v>
      </c>
      <c r="BY2409" s="6">
        <f>IF(Grandview_Inventory[[#This Row],[pre_res]]&lt;0,0,Grandview_Inventory[[#This Row],[pre_res]]*Grandview_Inventory[[#This Row],[overall_adj]])</f>
        <v>311159.63016680203</v>
      </c>
      <c r="BZ2409" s="6">
        <f>(Grandview_Inventory[[#This Row],[sum_land]]-IF(Grandview_Inventory[[#This Row],[no_utilities]]=1,12000,0))/IF(Grandview_Inventory[[#This Row],[unbuildable]]=1,2,1)</f>
        <v>48369.510983942157</v>
      </c>
      <c r="CA240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09">
        <f>ROUND(Grandview_Inventory[[#This Row],[det_value]]*Lookups!$M$28,-2)</f>
        <v>0</v>
      </c>
      <c r="CC2409">
        <f>IF(ROUND(Grandview_Inventory[[#This Row],[adj_res]]*Lookups!$M$28,-2)&lt;Grandview_Inventory[[#This Row],[min_res]],Grandview_Inventory[[#This Row],[min_res]],ROUND(Grandview_Inventory[[#This Row],[adj_res]]*Lookups!$M$28,-2))</f>
        <v>295600</v>
      </c>
      <c r="CD2409">
        <f>Grandview_Inventory[[#This Row],[final_det]]+Grandview_Inventory[[#This Row],[final_res]]</f>
        <v>295600</v>
      </c>
      <c r="CE2409">
        <f>Grandview_Inventory[[#This Row],[final_land]]+Grandview_Inventory[[#This Row],[final_imp]]+Grandview_Inventory[[#This Row],[crop_value]]</f>
        <v>341600</v>
      </c>
      <c r="CG2409" t="str">
        <f t="shared" si="37"/>
        <v>update valuation set market_land =46000, market_bldg=295600, market_total =341600, market_mdno =401, market_date ='9/10/2023' where link_id = (select link_id from parcel where parcel_year = '2024' and parcel_id = '23092621614');</v>
      </c>
    </row>
    <row r="2410" spans="1:85" x14ac:dyDescent="0.25">
      <c r="A2410">
        <v>23092621616</v>
      </c>
      <c r="B2410" t="s">
        <v>129</v>
      </c>
      <c r="C2410">
        <v>8140</v>
      </c>
      <c r="D2410" t="s">
        <v>129</v>
      </c>
      <c r="E2410" t="s">
        <v>53</v>
      </c>
      <c r="F2410" t="s">
        <v>53</v>
      </c>
      <c r="G2410">
        <v>4</v>
      </c>
      <c r="H2410" t="s">
        <v>54</v>
      </c>
      <c r="I2410">
        <v>0</v>
      </c>
      <c r="J2410">
        <v>32500</v>
      </c>
      <c r="K2410">
        <v>0.19</v>
      </c>
      <c r="L241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0">
        <v>0</v>
      </c>
      <c r="N2410">
        <v>0</v>
      </c>
      <c r="O2410">
        <v>0</v>
      </c>
      <c r="P2410">
        <v>13398.7528</v>
      </c>
      <c r="Q2410">
        <v>63903</v>
      </c>
      <c r="R2410">
        <f>(Grandview_Inventory[[#This Row],[ln_acres]]*Grandview_Inventory[[#This Row],[coeff]])+Grandview_Inventory[[#This Row],[const]]</f>
        <v>41651.273092551026</v>
      </c>
      <c r="S2410" t="s">
        <v>61</v>
      </c>
      <c r="T2410">
        <v>1</v>
      </c>
      <c r="U2410" t="s">
        <v>62</v>
      </c>
      <c r="V2410" t="s">
        <v>57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1500</v>
      </c>
      <c r="AC2410">
        <v>1454</v>
      </c>
      <c r="AD2410">
        <v>1454</v>
      </c>
      <c r="AE2410">
        <v>0</v>
      </c>
      <c r="AF2410">
        <v>0</v>
      </c>
      <c r="AG2410">
        <v>0</v>
      </c>
      <c r="AH2410">
        <v>0</v>
      </c>
      <c r="AI2410">
        <v>400</v>
      </c>
      <c r="AJ2410">
        <v>0</v>
      </c>
      <c r="AK2410">
        <v>0</v>
      </c>
      <c r="AL2410">
        <v>0</v>
      </c>
      <c r="AM2410">
        <v>0</v>
      </c>
      <c r="AN2410">
        <v>161</v>
      </c>
      <c r="AO2410">
        <v>0</v>
      </c>
      <c r="AP2410">
        <v>9</v>
      </c>
      <c r="AQ2410">
        <v>0</v>
      </c>
      <c r="AR2410">
        <v>0</v>
      </c>
      <c r="AS2410" t="s">
        <v>58</v>
      </c>
      <c r="AT2410">
        <v>1</v>
      </c>
      <c r="AU2410" t="s">
        <v>59</v>
      </c>
      <c r="AV2410" t="s">
        <v>60</v>
      </c>
      <c r="AW2410">
        <v>1</v>
      </c>
      <c r="AX2410">
        <v>3</v>
      </c>
      <c r="AY2410">
        <v>0</v>
      </c>
      <c r="AZ2410">
        <v>0</v>
      </c>
      <c r="BA2410">
        <v>100</v>
      </c>
      <c r="BB2410">
        <v>100</v>
      </c>
      <c r="BC2410">
        <v>100</v>
      </c>
      <c r="BD2410">
        <v>100</v>
      </c>
      <c r="BE2410">
        <v>1</v>
      </c>
      <c r="BF2410">
        <v>15000</v>
      </c>
      <c r="BG2410">
        <v>1000</v>
      </c>
      <c r="BH2410" s="6">
        <f>Grandview_Inventory[[#This Row],[land_extract]]*Lookups!$B$3</f>
        <v>48369.510983942157</v>
      </c>
      <c r="BI2410" s="6">
        <f>IF(Grandview_Inventory[[#This Row],[bldg_style]]="",0,Lookups!$B$2)</f>
        <v>155833.95000000001</v>
      </c>
      <c r="BJ2410" s="6">
        <f>_xlfn.IFNA(VLOOKUP(Grandview_Inventory[[#This Row],[quality]],Lookups!$H$2:$J$14,3,FALSE),0)</f>
        <v>9808</v>
      </c>
      <c r="BK2410" s="6">
        <f>_xlfn.IFNA(VLOOKUP(Grandview_Inventory[[#This Row],[condition]],Lookups!$H$17:$J$24,3,FALSE),0)</f>
        <v>25780</v>
      </c>
      <c r="BL2410" s="6">
        <f>Grandview_Inventory[[#This Row],[Eff_Age]]*Lookups!$B$14</f>
        <v>0</v>
      </c>
      <c r="BM2410" s="6">
        <f>Grandview_Inventory[[#This Row],[living_area]]*Lookups!$B$15</f>
        <v>90701.760261999996</v>
      </c>
      <c r="BN2410" s="6">
        <f>Grandview_Inventory[[#This Row],[Fin BSMT]]*Lookups!$B$16</f>
        <v>0</v>
      </c>
      <c r="BO2410" s="6">
        <f>(Grandview_Inventory[[#This Row],[att_gar]]+Grandview_Inventory[[#This Row],[bltin_gar]])*Lookups!$B$17</f>
        <v>35008.174800000001</v>
      </c>
      <c r="BP2410" s="6">
        <f>Grandview_Inventory[[#This Row],[Plumbing Fixtures]]*Lookups!$B$18</f>
        <v>18093.976200000001</v>
      </c>
      <c r="BQ2410" s="6">
        <f>Grandview_Inventory[[#This Row],[detatched_value]]*Lookups!$B$19</f>
        <v>0</v>
      </c>
      <c r="BR2410" s="6">
        <f>SUM(Grandview_Inventory[[#This Row],[Intercept]:[det_value]])*Grandview_Inventory[[#This Row],[res_pct]]</f>
        <v>335225.86126199993</v>
      </c>
      <c r="BS2410" s="6">
        <f>Grandview_Inventory[[#This Row],[land_value]]</f>
        <v>48369.510983942157</v>
      </c>
      <c r="BT2410" s="4">
        <f>_xlfn.IFNA(VLOOKUP(Grandview_Inventory[[#This Row],[quality]],Lookups!$A$26:$C$33,3,FALSE),1)</f>
        <v>0.94295468617355149</v>
      </c>
      <c r="BU2410" s="4">
        <f>_xlfn.IFNA(VLOOKUP(Grandview_Inventory[[#This Row],[condition]],Lookups!$A$37:$C$44,3,FALSE),1)</f>
        <v>0.94347925387812148</v>
      </c>
      <c r="BV2410" s="4">
        <f>IF(Grandview_Inventory[[#This Row],[bldg_style]]="",1,_xlfn.IFNA(VLOOKUP(Grandview_Inventory[[#This Row],[decade]],Lookups!$F$29:$H$43,3,FALSE),1))</f>
        <v>0.9413635517371044</v>
      </c>
      <c r="BW2410" s="4">
        <f>_xlfn.IFNA(VLOOKUP(Grandview_Inventory[[#This Row],[living_area_range]],Lookups!$F$47:$H$56,3,FALSE),1)</f>
        <v>0.96135087979789358</v>
      </c>
      <c r="BX2410" s="4">
        <f>AVERAGE(Grandview_Inventory[[#This Row],[qual_adj]:[size_adj]])</f>
        <v>0.94728709289666768</v>
      </c>
      <c r="BY2410" s="6">
        <f>IF(Grandview_Inventory[[#This Row],[pre_res]]&lt;0,0,Grandview_Inventory[[#This Row],[pre_res]]*Grandview_Inventory[[#This Row],[overall_adj]])</f>
        <v>317555.13157866156</v>
      </c>
      <c r="BZ2410" s="6">
        <f>(Grandview_Inventory[[#This Row],[sum_land]]-IF(Grandview_Inventory[[#This Row],[no_utilities]]=1,12000,0))/IF(Grandview_Inventory[[#This Row],[unbuildable]]=1,2,1)</f>
        <v>48369.510983942157</v>
      </c>
      <c r="CA241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0">
        <f>ROUND(Grandview_Inventory[[#This Row],[det_value]]*Lookups!$M$28,-2)</f>
        <v>0</v>
      </c>
      <c r="CC2410">
        <f>IF(ROUND(Grandview_Inventory[[#This Row],[adj_res]]*Lookups!$M$28,-2)&lt;Grandview_Inventory[[#This Row],[min_res]],Grandview_Inventory[[#This Row],[min_res]],ROUND(Grandview_Inventory[[#This Row],[adj_res]]*Lookups!$M$28,-2))</f>
        <v>301700</v>
      </c>
      <c r="CD2410">
        <f>Grandview_Inventory[[#This Row],[final_det]]+Grandview_Inventory[[#This Row],[final_res]]</f>
        <v>301700</v>
      </c>
      <c r="CE2410">
        <f>Grandview_Inventory[[#This Row],[final_land]]+Grandview_Inventory[[#This Row],[final_imp]]+Grandview_Inventory[[#This Row],[crop_value]]</f>
        <v>347700</v>
      </c>
      <c r="CG2410" t="str">
        <f t="shared" si="37"/>
        <v>update valuation set market_land =46000, market_bldg=301700, market_total =347700, market_mdno =401, market_date ='9/10/2023' where link_id = (select link_id from parcel where parcel_year = '2024' and parcel_id = '23092621616');</v>
      </c>
    </row>
    <row r="2411" spans="1:85" x14ac:dyDescent="0.25">
      <c r="A2411">
        <v>23092621618</v>
      </c>
      <c r="B2411" t="s">
        <v>129</v>
      </c>
      <c r="C2411">
        <v>8140</v>
      </c>
      <c r="D2411" t="s">
        <v>129</v>
      </c>
      <c r="E2411" t="s">
        <v>53</v>
      </c>
      <c r="F2411" t="s">
        <v>53</v>
      </c>
      <c r="G2411">
        <v>4</v>
      </c>
      <c r="H2411" t="s">
        <v>54</v>
      </c>
      <c r="I2411">
        <v>48800</v>
      </c>
      <c r="J2411">
        <v>39000</v>
      </c>
      <c r="K2411">
        <v>0.19</v>
      </c>
      <c r="L241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1">
        <v>0</v>
      </c>
      <c r="N2411">
        <v>0</v>
      </c>
      <c r="O2411">
        <v>0</v>
      </c>
      <c r="P2411">
        <v>13398.7528</v>
      </c>
      <c r="Q2411">
        <v>63903</v>
      </c>
      <c r="R2411">
        <f>(Grandview_Inventory[[#This Row],[ln_acres]]*Grandview_Inventory[[#This Row],[coeff]])+Grandview_Inventory[[#This Row],[const]]</f>
        <v>41651.273092551026</v>
      </c>
      <c r="S2411" t="s">
        <v>58</v>
      </c>
      <c r="T2411">
        <v>1</v>
      </c>
      <c r="U2411" t="s">
        <v>62</v>
      </c>
      <c r="V2411" t="s">
        <v>57</v>
      </c>
      <c r="W2411">
        <v>0</v>
      </c>
      <c r="X2411">
        <v>0</v>
      </c>
      <c r="Y2411">
        <v>1</v>
      </c>
      <c r="Z2411">
        <v>1</v>
      </c>
      <c r="AA2411">
        <v>10</v>
      </c>
      <c r="AB2411">
        <v>1500</v>
      </c>
      <c r="AC2411">
        <v>1378</v>
      </c>
      <c r="AD2411">
        <v>1378</v>
      </c>
      <c r="AE2411">
        <v>0</v>
      </c>
      <c r="AF2411">
        <v>0</v>
      </c>
      <c r="AG2411">
        <v>0</v>
      </c>
      <c r="AH2411">
        <v>0</v>
      </c>
      <c r="AI2411">
        <v>400</v>
      </c>
      <c r="AJ2411">
        <v>0</v>
      </c>
      <c r="AK2411">
        <v>0</v>
      </c>
      <c r="AL2411">
        <v>0</v>
      </c>
      <c r="AM2411">
        <v>0</v>
      </c>
      <c r="AN2411">
        <v>228</v>
      </c>
      <c r="AO2411">
        <v>0</v>
      </c>
      <c r="AP2411">
        <v>8</v>
      </c>
      <c r="AQ2411">
        <v>0</v>
      </c>
      <c r="AR2411">
        <v>0</v>
      </c>
      <c r="AS2411" t="s">
        <v>58</v>
      </c>
      <c r="AT2411">
        <v>1</v>
      </c>
      <c r="AU2411" t="s">
        <v>63</v>
      </c>
      <c r="AV2411" t="s">
        <v>64</v>
      </c>
      <c r="AW2411">
        <v>1</v>
      </c>
      <c r="AX2411">
        <v>3</v>
      </c>
      <c r="AY2411">
        <v>0</v>
      </c>
      <c r="AZ2411">
        <v>0</v>
      </c>
      <c r="BA2411">
        <v>100</v>
      </c>
      <c r="BB2411">
        <v>100</v>
      </c>
      <c r="BC2411">
        <v>100</v>
      </c>
      <c r="BD2411">
        <v>100</v>
      </c>
      <c r="BE2411">
        <v>1</v>
      </c>
      <c r="BF2411">
        <v>15000</v>
      </c>
      <c r="BG2411">
        <v>1000</v>
      </c>
      <c r="BH2411" s="6">
        <f>Grandview_Inventory[[#This Row],[land_extract]]*Lookups!$B$3</f>
        <v>48369.510983942157</v>
      </c>
      <c r="BI2411" s="6">
        <f>IF(Grandview_Inventory[[#This Row],[bldg_style]]="",0,Lookups!$B$2)</f>
        <v>155833.95000000001</v>
      </c>
      <c r="BJ2411" s="6">
        <f>_xlfn.IFNA(VLOOKUP(Grandview_Inventory[[#This Row],[quality]],Lookups!$H$2:$J$14,3,FALSE),0)</f>
        <v>9808</v>
      </c>
      <c r="BK2411" s="6">
        <f>_xlfn.IFNA(VLOOKUP(Grandview_Inventory[[#This Row],[condition]],Lookups!$H$17:$J$24,3,FALSE),0)</f>
        <v>25780</v>
      </c>
      <c r="BL2411" s="6">
        <f>Grandview_Inventory[[#This Row],[Eff_Age]]*Lookups!$B$14</f>
        <v>-239.16659999999999</v>
      </c>
      <c r="BM2411" s="6">
        <f>Grandview_Inventory[[#This Row],[living_area]]*Lookups!$B$15</f>
        <v>85960.815434000004</v>
      </c>
      <c r="BN2411" s="6">
        <f>Grandview_Inventory[[#This Row],[Fin BSMT]]*Lookups!$B$16</f>
        <v>0</v>
      </c>
      <c r="BO2411" s="6">
        <f>(Grandview_Inventory[[#This Row],[att_gar]]+Grandview_Inventory[[#This Row],[bltin_gar]])*Lookups!$B$17</f>
        <v>35008.174800000001</v>
      </c>
      <c r="BP2411" s="6">
        <f>Grandview_Inventory[[#This Row],[Plumbing Fixtures]]*Lookups!$B$18</f>
        <v>16083.5344</v>
      </c>
      <c r="BQ2411" s="6">
        <f>Grandview_Inventory[[#This Row],[detatched_value]]*Lookups!$B$19</f>
        <v>0</v>
      </c>
      <c r="BR2411" s="6">
        <f>SUM(Grandview_Inventory[[#This Row],[Intercept]:[det_value]])*Grandview_Inventory[[#This Row],[res_pct]]</f>
        <v>328235.30803399999</v>
      </c>
      <c r="BS2411" s="6">
        <f>Grandview_Inventory[[#This Row],[land_value]]</f>
        <v>48369.510983942157</v>
      </c>
      <c r="BT2411" s="4">
        <f>_xlfn.IFNA(VLOOKUP(Grandview_Inventory[[#This Row],[quality]],Lookups!$A$26:$C$33,3,FALSE),1)</f>
        <v>0.94295468617355149</v>
      </c>
      <c r="BU2411" s="4">
        <f>_xlfn.IFNA(VLOOKUP(Grandview_Inventory[[#This Row],[condition]],Lookups!$A$37:$C$44,3,FALSE),1)</f>
        <v>0.94347925387812148</v>
      </c>
      <c r="BV2411" s="4">
        <f>IF(Grandview_Inventory[[#This Row],[bldg_style]]="",1,_xlfn.IFNA(VLOOKUP(Grandview_Inventory[[#This Row],[decade]],Lookups!$F$29:$H$43,3,FALSE),1))</f>
        <v>0.94601966599150278</v>
      </c>
      <c r="BW2411" s="4">
        <f>_xlfn.IFNA(VLOOKUP(Grandview_Inventory[[#This Row],[living_area_range]],Lookups!$F$47:$H$56,3,FALSE),1)</f>
        <v>0.96135087979789358</v>
      </c>
      <c r="BX2411" s="4">
        <f>AVERAGE(Grandview_Inventory[[#This Row],[qual_adj]:[size_adj]])</f>
        <v>0.94845112146026733</v>
      </c>
      <c r="BY2411" s="6">
        <f>IF(Grandview_Inventory[[#This Row],[pre_res]]&lt;0,0,Grandview_Inventory[[#This Row],[pre_res]]*Grandview_Inventory[[#This Row],[overall_adj]])</f>
        <v>311315.14600770356</v>
      </c>
      <c r="BZ2411" s="6">
        <f>(Grandview_Inventory[[#This Row],[sum_land]]-IF(Grandview_Inventory[[#This Row],[no_utilities]]=1,12000,0))/IF(Grandview_Inventory[[#This Row],[unbuildable]]=1,2,1)</f>
        <v>48369.510983942157</v>
      </c>
      <c r="CA241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1">
        <f>ROUND(Grandview_Inventory[[#This Row],[det_value]]*Lookups!$M$28,-2)</f>
        <v>0</v>
      </c>
      <c r="CC2411">
        <f>IF(ROUND(Grandview_Inventory[[#This Row],[adj_res]]*Lookups!$M$28,-2)&lt;Grandview_Inventory[[#This Row],[min_res]],Grandview_Inventory[[#This Row],[min_res]],ROUND(Grandview_Inventory[[#This Row],[adj_res]]*Lookups!$M$28,-2))</f>
        <v>295700</v>
      </c>
      <c r="CD2411">
        <f>Grandview_Inventory[[#This Row],[final_det]]+Grandview_Inventory[[#This Row],[final_res]]</f>
        <v>295700</v>
      </c>
      <c r="CE2411">
        <f>Grandview_Inventory[[#This Row],[final_land]]+Grandview_Inventory[[#This Row],[final_imp]]+Grandview_Inventory[[#This Row],[crop_value]]</f>
        <v>341700</v>
      </c>
      <c r="CG2411" t="str">
        <f t="shared" si="37"/>
        <v>update valuation set market_land =46000, market_bldg=295700, market_total =341700, market_mdno =401, market_date ='9/10/2023' where link_id = (select link_id from parcel where parcel_year = '2024' and parcel_id = '23092621618');</v>
      </c>
    </row>
    <row r="2412" spans="1:85" x14ac:dyDescent="0.25">
      <c r="A2412">
        <v>23092621619</v>
      </c>
      <c r="B2412" t="s">
        <v>129</v>
      </c>
      <c r="C2412">
        <v>8140</v>
      </c>
      <c r="D2412" t="s">
        <v>129</v>
      </c>
      <c r="E2412" t="s">
        <v>53</v>
      </c>
      <c r="F2412" t="s">
        <v>53</v>
      </c>
      <c r="G2412">
        <v>4</v>
      </c>
      <c r="H2412" t="s">
        <v>54</v>
      </c>
      <c r="I2412">
        <v>0</v>
      </c>
      <c r="J2412">
        <v>32500</v>
      </c>
      <c r="K2412">
        <v>0.19</v>
      </c>
      <c r="L241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2">
        <v>0</v>
      </c>
      <c r="N2412">
        <v>0</v>
      </c>
      <c r="O2412">
        <v>0</v>
      </c>
      <c r="P2412">
        <v>13398.7528</v>
      </c>
      <c r="Q2412">
        <v>63903</v>
      </c>
      <c r="R2412">
        <f>(Grandview_Inventory[[#This Row],[ln_acres]]*Grandview_Inventory[[#This Row],[coeff]])+Grandview_Inventory[[#This Row],[const]]</f>
        <v>41651.273092551026</v>
      </c>
      <c r="S2412" t="s">
        <v>61</v>
      </c>
      <c r="T2412">
        <v>1</v>
      </c>
      <c r="U2412" t="s">
        <v>62</v>
      </c>
      <c r="V2412" t="s">
        <v>57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2000</v>
      </c>
      <c r="AC2412">
        <v>1560</v>
      </c>
      <c r="AD2412">
        <v>1560</v>
      </c>
      <c r="AE2412">
        <v>0</v>
      </c>
      <c r="AF2412">
        <v>0</v>
      </c>
      <c r="AG2412">
        <v>0</v>
      </c>
      <c r="AH2412">
        <v>0</v>
      </c>
      <c r="AI2412">
        <v>400</v>
      </c>
      <c r="AJ2412">
        <v>0</v>
      </c>
      <c r="AK2412">
        <v>0</v>
      </c>
      <c r="AL2412">
        <v>0</v>
      </c>
      <c r="AM2412">
        <v>0</v>
      </c>
      <c r="AN2412">
        <v>240</v>
      </c>
      <c r="AO2412">
        <v>0</v>
      </c>
      <c r="AP2412">
        <v>9</v>
      </c>
      <c r="AQ2412">
        <v>0</v>
      </c>
      <c r="AR2412">
        <v>0</v>
      </c>
      <c r="AS2412" t="s">
        <v>58</v>
      </c>
      <c r="AT2412">
        <v>1</v>
      </c>
      <c r="AU2412" t="s">
        <v>59</v>
      </c>
      <c r="AV2412" t="s">
        <v>60</v>
      </c>
      <c r="AW2412">
        <v>1</v>
      </c>
      <c r="AX2412">
        <v>3</v>
      </c>
      <c r="AY2412">
        <v>0</v>
      </c>
      <c r="AZ2412">
        <v>281300</v>
      </c>
      <c r="BA2412">
        <v>100</v>
      </c>
      <c r="BB2412">
        <v>100</v>
      </c>
      <c r="BC2412">
        <v>100</v>
      </c>
      <c r="BD2412">
        <v>8</v>
      </c>
      <c r="BE2412">
        <v>0</v>
      </c>
      <c r="BF2412">
        <v>15000</v>
      </c>
      <c r="BG2412">
        <v>0</v>
      </c>
      <c r="BH2412" s="6">
        <f>Grandview_Inventory[[#This Row],[land_extract]]*Lookups!$B$3</f>
        <v>48369.510983942157</v>
      </c>
      <c r="BI2412" s="6">
        <f>IF(Grandview_Inventory[[#This Row],[bldg_style]]="",0,Lookups!$B$2)</f>
        <v>155833.95000000001</v>
      </c>
      <c r="BJ2412" s="6">
        <f>_xlfn.IFNA(VLOOKUP(Grandview_Inventory[[#This Row],[quality]],Lookups!$H$2:$J$14,3,FALSE),0)</f>
        <v>9808</v>
      </c>
      <c r="BK2412" s="6">
        <f>_xlfn.IFNA(VLOOKUP(Grandview_Inventory[[#This Row],[condition]],Lookups!$H$17:$J$24,3,FALSE),0)</f>
        <v>25780</v>
      </c>
      <c r="BL2412" s="6">
        <f>Grandview_Inventory[[#This Row],[Eff_Age]]*Lookups!$B$14</f>
        <v>0</v>
      </c>
      <c r="BM2412" s="6">
        <f>Grandview_Inventory[[#This Row],[living_area]]*Lookups!$B$15</f>
        <v>97314.130680000002</v>
      </c>
      <c r="BN2412" s="6">
        <f>Grandview_Inventory[[#This Row],[Fin BSMT]]*Lookups!$B$16</f>
        <v>0</v>
      </c>
      <c r="BO2412" s="6">
        <f>(Grandview_Inventory[[#This Row],[att_gar]]+Grandview_Inventory[[#This Row],[bltin_gar]])*Lookups!$B$17</f>
        <v>35008.174800000001</v>
      </c>
      <c r="BP2412" s="6">
        <f>Grandview_Inventory[[#This Row],[Plumbing Fixtures]]*Lookups!$B$18</f>
        <v>18093.976200000001</v>
      </c>
      <c r="BQ2412" s="6">
        <f>Grandview_Inventory[[#This Row],[detatched_value]]*Lookups!$B$19</f>
        <v>238206.27463</v>
      </c>
      <c r="BR2412" s="6">
        <f>SUM(Grandview_Inventory[[#This Row],[Intercept]:[det_value]])*Grandview_Inventory[[#This Row],[res_pct]]</f>
        <v>0</v>
      </c>
      <c r="BS2412" s="6">
        <f>Grandview_Inventory[[#This Row],[land_value]]</f>
        <v>48369.510983942157</v>
      </c>
      <c r="BT2412" s="4">
        <f>_xlfn.IFNA(VLOOKUP(Grandview_Inventory[[#This Row],[quality]],Lookups!$A$26:$C$33,3,FALSE),1)</f>
        <v>0.94295468617355149</v>
      </c>
      <c r="BU2412" s="4">
        <f>_xlfn.IFNA(VLOOKUP(Grandview_Inventory[[#This Row],[condition]],Lookups!$A$37:$C$44,3,FALSE),1)</f>
        <v>0.94347925387812148</v>
      </c>
      <c r="BV2412" s="4">
        <f>IF(Grandview_Inventory[[#This Row],[bldg_style]]="",1,_xlfn.IFNA(VLOOKUP(Grandview_Inventory[[#This Row],[decade]],Lookups!$F$29:$H$43,3,FALSE),1))</f>
        <v>0.9413635517371044</v>
      </c>
      <c r="BW2412" s="4">
        <f>_xlfn.IFNA(VLOOKUP(Grandview_Inventory[[#This Row],[living_area_range]],Lookups!$F$47:$H$56,3,FALSE),1)</f>
        <v>0.96120133463014379</v>
      </c>
      <c r="BX2412" s="4">
        <f>AVERAGE(Grandview_Inventory[[#This Row],[qual_adj]:[size_adj]])</f>
        <v>0.94724970660473029</v>
      </c>
      <c r="BY2412" s="6">
        <f>IF(Grandview_Inventory[[#This Row],[pre_res]]&lt;0,0,Grandview_Inventory[[#This Row],[pre_res]]*Grandview_Inventory[[#This Row],[overall_adj]])</f>
        <v>0</v>
      </c>
      <c r="BZ2412" s="6">
        <f>(Grandview_Inventory[[#This Row],[sum_land]]-IF(Grandview_Inventory[[#This Row],[no_utilities]]=1,12000,0))/IF(Grandview_Inventory[[#This Row],[unbuildable]]=1,2,1)</f>
        <v>48369.510983942157</v>
      </c>
      <c r="CA241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2">
        <f>ROUND(Grandview_Inventory[[#This Row],[det_value]]*Lookups!$M$28,-2)</f>
        <v>226300</v>
      </c>
      <c r="CC241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412">
        <f>Grandview_Inventory[[#This Row],[final_det]]+Grandview_Inventory[[#This Row],[final_res]]</f>
        <v>226300</v>
      </c>
      <c r="CE2412">
        <f>Grandview_Inventory[[#This Row],[final_land]]+Grandview_Inventory[[#This Row],[final_imp]]+Grandview_Inventory[[#This Row],[crop_value]]</f>
        <v>272300</v>
      </c>
      <c r="CG2412" t="str">
        <f t="shared" si="37"/>
        <v>update valuation set market_land =46000, market_bldg=226300, market_total =272300, market_mdno =401, market_date ='9/10/2023' where link_id = (select link_id from parcel where parcel_year = '2024' and parcel_id = '23092621619');</v>
      </c>
    </row>
    <row r="2413" spans="1:85" x14ac:dyDescent="0.25">
      <c r="A2413">
        <v>23092621620</v>
      </c>
      <c r="B2413" t="s">
        <v>129</v>
      </c>
      <c r="C2413">
        <v>8140</v>
      </c>
      <c r="D2413" t="s">
        <v>129</v>
      </c>
      <c r="E2413" t="s">
        <v>53</v>
      </c>
      <c r="F2413" t="s">
        <v>53</v>
      </c>
      <c r="G2413">
        <v>4</v>
      </c>
      <c r="H2413" t="s">
        <v>54</v>
      </c>
      <c r="I2413">
        <v>0</v>
      </c>
      <c r="J2413">
        <v>32500</v>
      </c>
      <c r="K2413">
        <v>0.19</v>
      </c>
      <c r="L241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3">
        <v>0</v>
      </c>
      <c r="N2413">
        <v>0</v>
      </c>
      <c r="O2413">
        <v>0</v>
      </c>
      <c r="P2413">
        <v>13398.7528</v>
      </c>
      <c r="Q2413">
        <v>63903</v>
      </c>
      <c r="R2413">
        <f>(Grandview_Inventory[[#This Row],[ln_acres]]*Grandview_Inventory[[#This Row],[coeff]])+Grandview_Inventory[[#This Row],[const]]</f>
        <v>41651.273092551026</v>
      </c>
      <c r="S2413" t="s">
        <v>61</v>
      </c>
      <c r="T2413">
        <v>1</v>
      </c>
      <c r="U2413" t="s">
        <v>62</v>
      </c>
      <c r="V2413" t="s">
        <v>57</v>
      </c>
      <c r="W2413">
        <v>0</v>
      </c>
      <c r="X2413">
        <v>0</v>
      </c>
      <c r="Y2413">
        <v>1</v>
      </c>
      <c r="Z2413">
        <v>1</v>
      </c>
      <c r="AA2413">
        <v>10</v>
      </c>
      <c r="AB2413">
        <v>1500</v>
      </c>
      <c r="AC2413">
        <v>1364</v>
      </c>
      <c r="AD2413">
        <v>1364</v>
      </c>
      <c r="AE2413">
        <v>0</v>
      </c>
      <c r="AF2413">
        <v>0</v>
      </c>
      <c r="AG2413">
        <v>0</v>
      </c>
      <c r="AH2413">
        <v>0</v>
      </c>
      <c r="AI2413">
        <v>400</v>
      </c>
      <c r="AJ2413">
        <v>0</v>
      </c>
      <c r="AK2413">
        <v>0</v>
      </c>
      <c r="AL2413">
        <v>0</v>
      </c>
      <c r="AM2413">
        <v>100</v>
      </c>
      <c r="AN2413">
        <v>78</v>
      </c>
      <c r="AO2413">
        <v>0</v>
      </c>
      <c r="AP2413">
        <v>8</v>
      </c>
      <c r="AQ2413">
        <v>0</v>
      </c>
      <c r="AR2413">
        <v>0</v>
      </c>
      <c r="AS2413" t="s">
        <v>58</v>
      </c>
      <c r="AT2413">
        <v>1</v>
      </c>
      <c r="AU2413" t="s">
        <v>63</v>
      </c>
      <c r="AV2413" t="s">
        <v>64</v>
      </c>
      <c r="AW2413">
        <v>1</v>
      </c>
      <c r="AX2413">
        <v>3</v>
      </c>
      <c r="AY2413">
        <v>0</v>
      </c>
      <c r="AZ2413">
        <v>0</v>
      </c>
      <c r="BA2413">
        <v>100</v>
      </c>
      <c r="BB2413">
        <v>100</v>
      </c>
      <c r="BC2413">
        <v>100</v>
      </c>
      <c r="BD2413">
        <v>100</v>
      </c>
      <c r="BE2413">
        <v>1</v>
      </c>
      <c r="BF2413">
        <v>15000</v>
      </c>
      <c r="BG2413">
        <v>1000</v>
      </c>
      <c r="BH2413" s="6">
        <f>Grandview_Inventory[[#This Row],[land_extract]]*Lookups!$B$3</f>
        <v>48369.510983942157</v>
      </c>
      <c r="BI2413" s="6">
        <f>IF(Grandview_Inventory[[#This Row],[bldg_style]]="",0,Lookups!$B$2)</f>
        <v>155833.95000000001</v>
      </c>
      <c r="BJ2413" s="6">
        <f>_xlfn.IFNA(VLOOKUP(Grandview_Inventory[[#This Row],[quality]],Lookups!$H$2:$J$14,3,FALSE),0)</f>
        <v>9808</v>
      </c>
      <c r="BK2413" s="6">
        <f>_xlfn.IFNA(VLOOKUP(Grandview_Inventory[[#This Row],[condition]],Lookups!$H$17:$J$24,3,FALSE),0)</f>
        <v>25780</v>
      </c>
      <c r="BL2413" s="6">
        <f>Grandview_Inventory[[#This Row],[Eff_Age]]*Lookups!$B$14</f>
        <v>-239.16659999999999</v>
      </c>
      <c r="BM2413" s="6">
        <f>Grandview_Inventory[[#This Row],[living_area]]*Lookups!$B$15</f>
        <v>85087.483491999999</v>
      </c>
      <c r="BN2413" s="6">
        <f>Grandview_Inventory[[#This Row],[Fin BSMT]]*Lookups!$B$16</f>
        <v>0</v>
      </c>
      <c r="BO2413" s="6">
        <f>(Grandview_Inventory[[#This Row],[att_gar]]+Grandview_Inventory[[#This Row],[bltin_gar]])*Lookups!$B$17</f>
        <v>35008.174800000001</v>
      </c>
      <c r="BP2413" s="6">
        <f>Grandview_Inventory[[#This Row],[Plumbing Fixtures]]*Lookups!$B$18</f>
        <v>16083.5344</v>
      </c>
      <c r="BQ2413" s="6">
        <f>Grandview_Inventory[[#This Row],[detatched_value]]*Lookups!$B$19</f>
        <v>0</v>
      </c>
      <c r="BR2413" s="6">
        <f>SUM(Grandview_Inventory[[#This Row],[Intercept]:[det_value]])*Grandview_Inventory[[#This Row],[res_pct]]</f>
        <v>327361.97609199997</v>
      </c>
      <c r="BS2413" s="6">
        <f>Grandview_Inventory[[#This Row],[land_value]]</f>
        <v>48369.510983942157</v>
      </c>
      <c r="BT2413" s="4">
        <f>_xlfn.IFNA(VLOOKUP(Grandview_Inventory[[#This Row],[quality]],Lookups!$A$26:$C$33,3,FALSE),1)</f>
        <v>0.94295468617355149</v>
      </c>
      <c r="BU2413" s="4">
        <f>_xlfn.IFNA(VLOOKUP(Grandview_Inventory[[#This Row],[condition]],Lookups!$A$37:$C$44,3,FALSE),1)</f>
        <v>0.94347925387812148</v>
      </c>
      <c r="BV2413" s="4">
        <f>IF(Grandview_Inventory[[#This Row],[bldg_style]]="",1,_xlfn.IFNA(VLOOKUP(Grandview_Inventory[[#This Row],[decade]],Lookups!$F$29:$H$43,3,FALSE),1))</f>
        <v>0.94601966599150278</v>
      </c>
      <c r="BW2413" s="4">
        <f>_xlfn.IFNA(VLOOKUP(Grandview_Inventory[[#This Row],[living_area_range]],Lookups!$F$47:$H$56,3,FALSE),1)</f>
        <v>0.96135087979789358</v>
      </c>
      <c r="BX2413" s="4">
        <f>AVERAGE(Grandview_Inventory[[#This Row],[qual_adj]:[size_adj]])</f>
        <v>0.94845112146026733</v>
      </c>
      <c r="BY2413" s="6">
        <f>IF(Grandview_Inventory[[#This Row],[pre_res]]&lt;0,0,Grandview_Inventory[[#This Row],[pre_res]]*Grandview_Inventory[[#This Row],[overall_adj]])</f>
        <v>310486.83334790659</v>
      </c>
      <c r="BZ2413" s="6">
        <f>(Grandview_Inventory[[#This Row],[sum_land]]-IF(Grandview_Inventory[[#This Row],[no_utilities]]=1,12000,0))/IF(Grandview_Inventory[[#This Row],[unbuildable]]=1,2,1)</f>
        <v>48369.510983942157</v>
      </c>
      <c r="CA241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3">
        <f>ROUND(Grandview_Inventory[[#This Row],[det_value]]*Lookups!$M$28,-2)</f>
        <v>0</v>
      </c>
      <c r="CC2413">
        <f>IF(ROUND(Grandview_Inventory[[#This Row],[adj_res]]*Lookups!$M$28,-2)&lt;Grandview_Inventory[[#This Row],[min_res]],Grandview_Inventory[[#This Row],[min_res]],ROUND(Grandview_Inventory[[#This Row],[adj_res]]*Lookups!$M$28,-2))</f>
        <v>295000</v>
      </c>
      <c r="CD2413">
        <f>Grandview_Inventory[[#This Row],[final_det]]+Grandview_Inventory[[#This Row],[final_res]]</f>
        <v>295000</v>
      </c>
      <c r="CE2413">
        <f>Grandview_Inventory[[#This Row],[final_land]]+Grandview_Inventory[[#This Row],[final_imp]]+Grandview_Inventory[[#This Row],[crop_value]]</f>
        <v>341000</v>
      </c>
      <c r="CG2413" t="str">
        <f t="shared" si="37"/>
        <v>update valuation set market_land =46000, market_bldg=295000, market_total =341000, market_mdno =401, market_date ='9/10/2023' where link_id = (select link_id from parcel where parcel_year = '2024' and parcel_id = '23092621620');</v>
      </c>
    </row>
    <row r="2414" spans="1:85" x14ac:dyDescent="0.25">
      <c r="A2414">
        <v>23092621621</v>
      </c>
      <c r="B2414" t="s">
        <v>129</v>
      </c>
      <c r="C2414">
        <v>8605</v>
      </c>
      <c r="D2414" t="s">
        <v>129</v>
      </c>
      <c r="E2414" t="s">
        <v>53</v>
      </c>
      <c r="F2414" t="s">
        <v>53</v>
      </c>
      <c r="G2414">
        <v>4</v>
      </c>
      <c r="H2414" t="s">
        <v>54</v>
      </c>
      <c r="I2414">
        <v>285300</v>
      </c>
      <c r="J2414">
        <v>39300</v>
      </c>
      <c r="K2414">
        <v>0.2</v>
      </c>
      <c r="L241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14">
        <v>0</v>
      </c>
      <c r="N2414">
        <v>0</v>
      </c>
      <c r="O2414">
        <v>0</v>
      </c>
      <c r="P2414">
        <v>13398.7528</v>
      </c>
      <c r="Q2414">
        <v>63903</v>
      </c>
      <c r="R2414">
        <f>(Grandview_Inventory[[#This Row],[ln_acres]]*Grandview_Inventory[[#This Row],[coeff]])+Grandview_Inventory[[#This Row],[const]]</f>
        <v>42338.539264347448</v>
      </c>
      <c r="S2414" t="s">
        <v>55</v>
      </c>
      <c r="T2414">
        <v>2</v>
      </c>
      <c r="U2414" t="s">
        <v>62</v>
      </c>
      <c r="V2414" t="s">
        <v>57</v>
      </c>
      <c r="W2414">
        <v>0</v>
      </c>
      <c r="X2414">
        <v>0</v>
      </c>
      <c r="Y2414">
        <v>1</v>
      </c>
      <c r="Z2414">
        <v>1</v>
      </c>
      <c r="AA2414">
        <v>10</v>
      </c>
      <c r="AB2414">
        <v>2500</v>
      </c>
      <c r="AC2414">
        <v>2168</v>
      </c>
      <c r="AD2414">
        <v>896</v>
      </c>
      <c r="AE2414">
        <v>1272</v>
      </c>
      <c r="AF2414">
        <v>0</v>
      </c>
      <c r="AG2414">
        <v>0</v>
      </c>
      <c r="AH2414">
        <v>0</v>
      </c>
      <c r="AI2414">
        <v>440</v>
      </c>
      <c r="AJ2414">
        <v>0</v>
      </c>
      <c r="AK2414">
        <v>0</v>
      </c>
      <c r="AL2414">
        <v>0</v>
      </c>
      <c r="AM2414">
        <v>144</v>
      </c>
      <c r="AN2414">
        <v>128</v>
      </c>
      <c r="AO2414">
        <v>144</v>
      </c>
      <c r="AP2414">
        <v>12</v>
      </c>
      <c r="AQ2414">
        <v>0</v>
      </c>
      <c r="AR2414">
        <v>0</v>
      </c>
      <c r="AS2414" t="s">
        <v>58</v>
      </c>
      <c r="AT2414">
        <v>1</v>
      </c>
      <c r="AU2414" t="s">
        <v>59</v>
      </c>
      <c r="AV2414" t="s">
        <v>60</v>
      </c>
      <c r="AW2414">
        <v>1</v>
      </c>
      <c r="AX2414">
        <v>3</v>
      </c>
      <c r="AY2414">
        <v>0</v>
      </c>
      <c r="AZ2414">
        <v>0</v>
      </c>
      <c r="BA2414">
        <v>100</v>
      </c>
      <c r="BB2414">
        <v>100</v>
      </c>
      <c r="BC2414">
        <v>100</v>
      </c>
      <c r="BD2414">
        <v>100</v>
      </c>
      <c r="BE2414">
        <v>1</v>
      </c>
      <c r="BF2414">
        <v>15000</v>
      </c>
      <c r="BG2414">
        <v>1000</v>
      </c>
      <c r="BH2414" s="6">
        <f>Grandview_Inventory[[#This Row],[land_extract]]*Lookups!$B$3</f>
        <v>49167.631333630678</v>
      </c>
      <c r="BI2414" s="6">
        <f>IF(Grandview_Inventory[[#This Row],[bldg_style]]="",0,Lookups!$B$2)</f>
        <v>155833.95000000001</v>
      </c>
      <c r="BJ2414" s="6">
        <f>_xlfn.IFNA(VLOOKUP(Grandview_Inventory[[#This Row],[quality]],Lookups!$H$2:$J$14,3,FALSE),0)</f>
        <v>9808</v>
      </c>
      <c r="BK2414" s="6">
        <f>_xlfn.IFNA(VLOOKUP(Grandview_Inventory[[#This Row],[condition]],Lookups!$H$17:$J$24,3,FALSE),0)</f>
        <v>25780</v>
      </c>
      <c r="BL2414" s="6">
        <f>Grandview_Inventory[[#This Row],[Eff_Age]]*Lookups!$B$14</f>
        <v>-239.16659999999999</v>
      </c>
      <c r="BM2414" s="6">
        <f>Grandview_Inventory[[#This Row],[living_area]]*Lookups!$B$15</f>
        <v>135241.689304</v>
      </c>
      <c r="BN2414" s="6">
        <f>Grandview_Inventory[[#This Row],[Fin BSMT]]*Lookups!$B$16</f>
        <v>0</v>
      </c>
      <c r="BO2414" s="6">
        <f>(Grandview_Inventory[[#This Row],[att_gar]]+Grandview_Inventory[[#This Row],[bltin_gar]])*Lookups!$B$17</f>
        <v>38508.992279999999</v>
      </c>
      <c r="BP2414" s="6">
        <f>Grandview_Inventory[[#This Row],[Plumbing Fixtures]]*Lookups!$B$18</f>
        <v>24125.301599999999</v>
      </c>
      <c r="BQ2414" s="6">
        <f>Grandview_Inventory[[#This Row],[detatched_value]]*Lookups!$B$19</f>
        <v>0</v>
      </c>
      <c r="BR2414" s="6">
        <f>SUM(Grandview_Inventory[[#This Row],[Intercept]:[det_value]])*Grandview_Inventory[[#This Row],[res_pct]]</f>
        <v>389058.76658400003</v>
      </c>
      <c r="BS2414" s="6">
        <f>Grandview_Inventory[[#This Row],[land_value]]</f>
        <v>49167.631333630678</v>
      </c>
      <c r="BT2414" s="4">
        <f>_xlfn.IFNA(VLOOKUP(Grandview_Inventory[[#This Row],[quality]],Lookups!$A$26:$C$33,3,FALSE),1)</f>
        <v>0.94295468617355149</v>
      </c>
      <c r="BU2414" s="4">
        <f>_xlfn.IFNA(VLOOKUP(Grandview_Inventory[[#This Row],[condition]],Lookups!$A$37:$C$44,3,FALSE),1)</f>
        <v>0.94347925387812148</v>
      </c>
      <c r="BV2414" s="4">
        <f>IF(Grandview_Inventory[[#This Row],[bldg_style]]="",1,_xlfn.IFNA(VLOOKUP(Grandview_Inventory[[#This Row],[decade]],Lookups!$F$29:$H$43,3,FALSE),1))</f>
        <v>0.94601966599150278</v>
      </c>
      <c r="BW2414" s="4">
        <f>_xlfn.IFNA(VLOOKUP(Grandview_Inventory[[#This Row],[living_area_range]],Lookups!$F$47:$H$56,3,FALSE),1)</f>
        <v>0.95799442568048754</v>
      </c>
      <c r="BX2414" s="4">
        <f>AVERAGE(Grandview_Inventory[[#This Row],[qual_adj]:[size_adj]])</f>
        <v>0.94761200793091582</v>
      </c>
      <c r="BY2414" s="6">
        <f>IF(Grandview_Inventory[[#This Row],[pre_res]]&lt;0,0,Grandview_Inventory[[#This Row],[pre_res]]*Grandview_Inventory[[#This Row],[overall_adj]])</f>
        <v>368676.75900578976</v>
      </c>
      <c r="BZ2414" s="6">
        <f>(Grandview_Inventory[[#This Row],[sum_land]]-IF(Grandview_Inventory[[#This Row],[no_utilities]]=1,12000,0))/IF(Grandview_Inventory[[#This Row],[unbuildable]]=1,2,1)</f>
        <v>49167.631333630678</v>
      </c>
      <c r="CA241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14">
        <f>ROUND(Grandview_Inventory[[#This Row],[det_value]]*Lookups!$M$28,-2)</f>
        <v>0</v>
      </c>
      <c r="CC2414">
        <f>IF(ROUND(Grandview_Inventory[[#This Row],[adj_res]]*Lookups!$M$28,-2)&lt;Grandview_Inventory[[#This Row],[min_res]],Grandview_Inventory[[#This Row],[min_res]],ROUND(Grandview_Inventory[[#This Row],[adj_res]]*Lookups!$M$28,-2))</f>
        <v>350200</v>
      </c>
      <c r="CD2414">
        <f>Grandview_Inventory[[#This Row],[final_det]]+Grandview_Inventory[[#This Row],[final_res]]</f>
        <v>350200</v>
      </c>
      <c r="CE2414">
        <f>Grandview_Inventory[[#This Row],[final_land]]+Grandview_Inventory[[#This Row],[final_imp]]+Grandview_Inventory[[#This Row],[crop_value]]</f>
        <v>396900</v>
      </c>
      <c r="CG2414" t="str">
        <f t="shared" si="37"/>
        <v>update valuation set market_land =46700, market_bldg=350200, market_total =396900, market_mdno =401, market_date ='9/10/2023' where link_id = (select link_id from parcel where parcel_year = '2024' and parcel_id = '23092621621');</v>
      </c>
    </row>
    <row r="2415" spans="1:85" x14ac:dyDescent="0.25">
      <c r="A2415">
        <v>23092621622</v>
      </c>
      <c r="B2415" t="s">
        <v>129</v>
      </c>
      <c r="C2415">
        <v>8165</v>
      </c>
      <c r="D2415" t="s">
        <v>129</v>
      </c>
      <c r="E2415" t="s">
        <v>53</v>
      </c>
      <c r="F2415" t="s">
        <v>53</v>
      </c>
      <c r="G2415">
        <v>4</v>
      </c>
      <c r="H2415" t="s">
        <v>54</v>
      </c>
      <c r="I2415">
        <v>0</v>
      </c>
      <c r="J2415">
        <v>39100</v>
      </c>
      <c r="K2415">
        <v>0.19</v>
      </c>
      <c r="L241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5">
        <v>0</v>
      </c>
      <c r="N2415">
        <v>0</v>
      </c>
      <c r="O2415">
        <v>0</v>
      </c>
      <c r="P2415">
        <v>13398.7528</v>
      </c>
      <c r="Q2415">
        <v>63903</v>
      </c>
      <c r="R2415">
        <f>(Grandview_Inventory[[#This Row],[ln_acres]]*Grandview_Inventory[[#This Row],[coeff]])+Grandview_Inventory[[#This Row],[const]]</f>
        <v>41651.273092551026</v>
      </c>
      <c r="S2415" t="s">
        <v>55</v>
      </c>
      <c r="T2415">
        <v>2</v>
      </c>
      <c r="U2415" t="s">
        <v>62</v>
      </c>
      <c r="V2415" t="s">
        <v>57</v>
      </c>
      <c r="W2415">
        <v>0</v>
      </c>
      <c r="X2415">
        <v>0</v>
      </c>
      <c r="Y2415">
        <v>1</v>
      </c>
      <c r="Z2415">
        <v>1</v>
      </c>
      <c r="AA2415">
        <v>10</v>
      </c>
      <c r="AB2415">
        <v>1500</v>
      </c>
      <c r="AC2415">
        <v>1460</v>
      </c>
      <c r="AD2415">
        <v>1460</v>
      </c>
      <c r="AE2415">
        <v>0</v>
      </c>
      <c r="AF2415">
        <v>0</v>
      </c>
      <c r="AG2415">
        <v>0</v>
      </c>
      <c r="AH2415">
        <v>0</v>
      </c>
      <c r="AI2415">
        <v>660</v>
      </c>
      <c r="AJ2415">
        <v>0</v>
      </c>
      <c r="AK2415">
        <v>0</v>
      </c>
      <c r="AL2415">
        <v>0</v>
      </c>
      <c r="AM2415">
        <v>60</v>
      </c>
      <c r="AN2415">
        <v>117</v>
      </c>
      <c r="AO2415">
        <v>60</v>
      </c>
      <c r="AP2415">
        <v>9</v>
      </c>
      <c r="AQ2415">
        <v>0</v>
      </c>
      <c r="AR2415">
        <v>0</v>
      </c>
      <c r="AS2415" t="s">
        <v>58</v>
      </c>
      <c r="AT2415">
        <v>1</v>
      </c>
      <c r="AU2415" t="s">
        <v>63</v>
      </c>
      <c r="AV2415" t="s">
        <v>64</v>
      </c>
      <c r="AW2415">
        <v>1</v>
      </c>
      <c r="AX2415">
        <v>3</v>
      </c>
      <c r="AY2415">
        <v>0</v>
      </c>
      <c r="AZ2415">
        <v>0</v>
      </c>
      <c r="BA2415">
        <v>100</v>
      </c>
      <c r="BB2415">
        <v>100</v>
      </c>
      <c r="BC2415">
        <v>100</v>
      </c>
      <c r="BD2415">
        <v>100</v>
      </c>
      <c r="BE2415">
        <v>1</v>
      </c>
      <c r="BF2415">
        <v>15000</v>
      </c>
      <c r="BG2415">
        <v>1000</v>
      </c>
      <c r="BH2415" s="6">
        <f>Grandview_Inventory[[#This Row],[land_extract]]*Lookups!$B$3</f>
        <v>48369.510983942157</v>
      </c>
      <c r="BI2415" s="6">
        <f>IF(Grandview_Inventory[[#This Row],[bldg_style]]="",0,Lookups!$B$2)</f>
        <v>155833.95000000001</v>
      </c>
      <c r="BJ2415" s="6">
        <f>_xlfn.IFNA(VLOOKUP(Grandview_Inventory[[#This Row],[quality]],Lookups!$H$2:$J$14,3,FALSE),0)</f>
        <v>9808</v>
      </c>
      <c r="BK2415" s="6">
        <f>_xlfn.IFNA(VLOOKUP(Grandview_Inventory[[#This Row],[condition]],Lookups!$H$17:$J$24,3,FALSE),0)</f>
        <v>25780</v>
      </c>
      <c r="BL2415" s="6">
        <f>Grandview_Inventory[[#This Row],[Eff_Age]]*Lookups!$B$14</f>
        <v>-239.16659999999999</v>
      </c>
      <c r="BM2415" s="6">
        <f>Grandview_Inventory[[#This Row],[living_area]]*Lookups!$B$15</f>
        <v>91076.045379999996</v>
      </c>
      <c r="BN2415" s="6">
        <f>Grandview_Inventory[[#This Row],[Fin BSMT]]*Lookups!$B$16</f>
        <v>0</v>
      </c>
      <c r="BO2415" s="6">
        <f>(Grandview_Inventory[[#This Row],[att_gar]]+Grandview_Inventory[[#This Row],[bltin_gar]])*Lookups!$B$17</f>
        <v>57763.488420000001</v>
      </c>
      <c r="BP2415" s="6">
        <f>Grandview_Inventory[[#This Row],[Plumbing Fixtures]]*Lookups!$B$18</f>
        <v>18093.976200000001</v>
      </c>
      <c r="BQ2415" s="6">
        <f>Grandview_Inventory[[#This Row],[detatched_value]]*Lookups!$B$19</f>
        <v>0</v>
      </c>
      <c r="BR2415" s="6">
        <f>SUM(Grandview_Inventory[[#This Row],[Intercept]:[det_value]])*Grandview_Inventory[[#This Row],[res_pct]]</f>
        <v>358116.29339999997</v>
      </c>
      <c r="BS2415" s="6">
        <f>Grandview_Inventory[[#This Row],[land_value]]</f>
        <v>48369.510983942157</v>
      </c>
      <c r="BT2415" s="4">
        <f>_xlfn.IFNA(VLOOKUP(Grandview_Inventory[[#This Row],[quality]],Lookups!$A$26:$C$33,3,FALSE),1)</f>
        <v>0.94295468617355149</v>
      </c>
      <c r="BU2415" s="4">
        <f>_xlfn.IFNA(VLOOKUP(Grandview_Inventory[[#This Row],[condition]],Lookups!$A$37:$C$44,3,FALSE),1)</f>
        <v>0.94347925387812148</v>
      </c>
      <c r="BV2415" s="4">
        <f>IF(Grandview_Inventory[[#This Row],[bldg_style]]="",1,_xlfn.IFNA(VLOOKUP(Grandview_Inventory[[#This Row],[decade]],Lookups!$F$29:$H$43,3,FALSE),1))</f>
        <v>0.94601966599150278</v>
      </c>
      <c r="BW2415" s="4">
        <f>_xlfn.IFNA(VLOOKUP(Grandview_Inventory[[#This Row],[living_area_range]],Lookups!$F$47:$H$56,3,FALSE),1)</f>
        <v>0.96135087979789358</v>
      </c>
      <c r="BX2415" s="4">
        <f>AVERAGE(Grandview_Inventory[[#This Row],[qual_adj]:[size_adj]])</f>
        <v>0.94845112146026733</v>
      </c>
      <c r="BY2415" s="6">
        <f>IF(Grandview_Inventory[[#This Row],[pre_res]]&lt;0,0,Grandview_Inventory[[#This Row],[pre_res]]*Grandview_Inventory[[#This Row],[overall_adj]])</f>
        <v>339655.80008842412</v>
      </c>
      <c r="BZ2415" s="6">
        <f>(Grandview_Inventory[[#This Row],[sum_land]]-IF(Grandview_Inventory[[#This Row],[no_utilities]]=1,12000,0))/IF(Grandview_Inventory[[#This Row],[unbuildable]]=1,2,1)</f>
        <v>48369.510983942157</v>
      </c>
      <c r="CA241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5">
        <f>ROUND(Grandview_Inventory[[#This Row],[det_value]]*Lookups!$M$28,-2)</f>
        <v>0</v>
      </c>
      <c r="CC2415">
        <f>IF(ROUND(Grandview_Inventory[[#This Row],[adj_res]]*Lookups!$M$28,-2)&lt;Grandview_Inventory[[#This Row],[min_res]],Grandview_Inventory[[#This Row],[min_res]],ROUND(Grandview_Inventory[[#This Row],[adj_res]]*Lookups!$M$28,-2))</f>
        <v>322700</v>
      </c>
      <c r="CD2415">
        <f>Grandview_Inventory[[#This Row],[final_det]]+Grandview_Inventory[[#This Row],[final_res]]</f>
        <v>322700</v>
      </c>
      <c r="CE2415">
        <f>Grandview_Inventory[[#This Row],[final_land]]+Grandview_Inventory[[#This Row],[final_imp]]+Grandview_Inventory[[#This Row],[crop_value]]</f>
        <v>368700</v>
      </c>
      <c r="CG2415" t="str">
        <f t="shared" si="37"/>
        <v>update valuation set market_land =46000, market_bldg=322700, market_total =368700, market_mdno =401, market_date ='9/10/2023' where link_id = (select link_id from parcel where parcel_year = '2024' and parcel_id = '23092621622');</v>
      </c>
    </row>
    <row r="2416" spans="1:85" x14ac:dyDescent="0.25">
      <c r="A2416">
        <v>23092621623</v>
      </c>
      <c r="B2416" t="s">
        <v>129</v>
      </c>
      <c r="C2416">
        <v>8165</v>
      </c>
      <c r="D2416" t="s">
        <v>129</v>
      </c>
      <c r="E2416" t="s">
        <v>53</v>
      </c>
      <c r="F2416" t="s">
        <v>53</v>
      </c>
      <c r="G2416">
        <v>4</v>
      </c>
      <c r="H2416" t="s">
        <v>54</v>
      </c>
      <c r="I2416">
        <v>243300</v>
      </c>
      <c r="J2416">
        <v>39100</v>
      </c>
      <c r="K2416">
        <v>0.19</v>
      </c>
      <c r="L241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6">
        <v>0</v>
      </c>
      <c r="N2416">
        <v>0</v>
      </c>
      <c r="O2416">
        <v>0</v>
      </c>
      <c r="P2416">
        <v>13398.7528</v>
      </c>
      <c r="Q2416">
        <v>63903</v>
      </c>
      <c r="R2416">
        <f>(Grandview_Inventory[[#This Row],[ln_acres]]*Grandview_Inventory[[#This Row],[coeff]])+Grandview_Inventory[[#This Row],[const]]</f>
        <v>41651.273092551026</v>
      </c>
      <c r="S2416" t="s">
        <v>61</v>
      </c>
      <c r="T2416">
        <v>1</v>
      </c>
      <c r="U2416" t="s">
        <v>62</v>
      </c>
      <c r="V2416" t="s">
        <v>57</v>
      </c>
      <c r="W2416">
        <v>0</v>
      </c>
      <c r="X2416">
        <v>0</v>
      </c>
      <c r="Y2416">
        <v>1</v>
      </c>
      <c r="Z2416">
        <v>1</v>
      </c>
      <c r="AA2416">
        <v>10</v>
      </c>
      <c r="AB2416">
        <v>2000</v>
      </c>
      <c r="AC2416">
        <v>1560</v>
      </c>
      <c r="AD2416">
        <v>1560</v>
      </c>
      <c r="AE2416">
        <v>0</v>
      </c>
      <c r="AF2416">
        <v>0</v>
      </c>
      <c r="AG2416">
        <v>0</v>
      </c>
      <c r="AH2416">
        <v>0</v>
      </c>
      <c r="AI2416">
        <v>400</v>
      </c>
      <c r="AJ2416">
        <v>0</v>
      </c>
      <c r="AK2416">
        <v>0</v>
      </c>
      <c r="AL2416">
        <v>0</v>
      </c>
      <c r="AM2416">
        <v>100</v>
      </c>
      <c r="AN2416">
        <v>140</v>
      </c>
      <c r="AO2416">
        <v>100</v>
      </c>
      <c r="AP2416">
        <v>9</v>
      </c>
      <c r="AQ2416">
        <v>0</v>
      </c>
      <c r="AR2416">
        <v>0</v>
      </c>
      <c r="AS2416" t="s">
        <v>58</v>
      </c>
      <c r="AT2416">
        <v>1</v>
      </c>
      <c r="AU2416" t="s">
        <v>63</v>
      </c>
      <c r="AV2416" t="s">
        <v>60</v>
      </c>
      <c r="AW2416">
        <v>0</v>
      </c>
      <c r="AX2416">
        <v>3</v>
      </c>
      <c r="AY2416">
        <v>0</v>
      </c>
      <c r="AZ2416">
        <v>0</v>
      </c>
      <c r="BA2416">
        <v>100</v>
      </c>
      <c r="BB2416">
        <v>100</v>
      </c>
      <c r="BC2416">
        <v>100</v>
      </c>
      <c r="BD2416">
        <v>100</v>
      </c>
      <c r="BE2416">
        <v>1</v>
      </c>
      <c r="BF2416">
        <v>15000</v>
      </c>
      <c r="BG2416">
        <v>1000</v>
      </c>
      <c r="BH2416" s="6">
        <f>Grandview_Inventory[[#This Row],[land_extract]]*Lookups!$B$3</f>
        <v>48369.510983942157</v>
      </c>
      <c r="BI2416" s="6">
        <f>IF(Grandview_Inventory[[#This Row],[bldg_style]]="",0,Lookups!$B$2)</f>
        <v>155833.95000000001</v>
      </c>
      <c r="BJ2416" s="6">
        <f>_xlfn.IFNA(VLOOKUP(Grandview_Inventory[[#This Row],[quality]],Lookups!$H$2:$J$14,3,FALSE),0)</f>
        <v>9808</v>
      </c>
      <c r="BK2416" s="6">
        <f>_xlfn.IFNA(VLOOKUP(Grandview_Inventory[[#This Row],[condition]],Lookups!$H$17:$J$24,3,FALSE),0)</f>
        <v>25780</v>
      </c>
      <c r="BL2416" s="6">
        <f>Grandview_Inventory[[#This Row],[Eff_Age]]*Lookups!$B$14</f>
        <v>-239.16659999999999</v>
      </c>
      <c r="BM2416" s="6">
        <f>Grandview_Inventory[[#This Row],[living_area]]*Lookups!$B$15</f>
        <v>97314.130680000002</v>
      </c>
      <c r="BN2416" s="6">
        <f>Grandview_Inventory[[#This Row],[Fin BSMT]]*Lookups!$B$16</f>
        <v>0</v>
      </c>
      <c r="BO2416" s="6">
        <f>(Grandview_Inventory[[#This Row],[att_gar]]+Grandview_Inventory[[#This Row],[bltin_gar]])*Lookups!$B$17</f>
        <v>35008.174800000001</v>
      </c>
      <c r="BP2416" s="6">
        <f>Grandview_Inventory[[#This Row],[Plumbing Fixtures]]*Lookups!$B$18</f>
        <v>18093.976200000001</v>
      </c>
      <c r="BQ2416" s="6">
        <f>Grandview_Inventory[[#This Row],[detatched_value]]*Lookups!$B$19</f>
        <v>0</v>
      </c>
      <c r="BR2416" s="6">
        <f>SUM(Grandview_Inventory[[#This Row],[Intercept]:[det_value]])*Grandview_Inventory[[#This Row],[res_pct]]</f>
        <v>341599.06507999997</v>
      </c>
      <c r="BS2416" s="6">
        <f>Grandview_Inventory[[#This Row],[land_value]]</f>
        <v>48369.510983942157</v>
      </c>
      <c r="BT2416" s="4">
        <f>_xlfn.IFNA(VLOOKUP(Grandview_Inventory[[#This Row],[quality]],Lookups!$A$26:$C$33,3,FALSE),1)</f>
        <v>0.94295468617355149</v>
      </c>
      <c r="BU2416" s="4">
        <f>_xlfn.IFNA(VLOOKUP(Grandview_Inventory[[#This Row],[condition]],Lookups!$A$37:$C$44,3,FALSE),1)</f>
        <v>0.94347925387812148</v>
      </c>
      <c r="BV2416" s="4">
        <f>IF(Grandview_Inventory[[#This Row],[bldg_style]]="",1,_xlfn.IFNA(VLOOKUP(Grandview_Inventory[[#This Row],[decade]],Lookups!$F$29:$H$43,3,FALSE),1))</f>
        <v>0.94601966599150278</v>
      </c>
      <c r="BW2416" s="4">
        <f>_xlfn.IFNA(VLOOKUP(Grandview_Inventory[[#This Row],[living_area_range]],Lookups!$F$47:$H$56,3,FALSE),1)</f>
        <v>0.96120133463014379</v>
      </c>
      <c r="BX2416" s="4">
        <f>AVERAGE(Grandview_Inventory[[#This Row],[qual_adj]:[size_adj]])</f>
        <v>0.94841373516832994</v>
      </c>
      <c r="BY2416" s="6">
        <f>IF(Grandview_Inventory[[#This Row],[pre_res]]&lt;0,0,Grandview_Inventory[[#This Row],[pre_res]]*Grandview_Inventory[[#This Row],[overall_adj]])</f>
        <v>323977.24524253217</v>
      </c>
      <c r="BZ2416" s="6">
        <f>(Grandview_Inventory[[#This Row],[sum_land]]-IF(Grandview_Inventory[[#This Row],[no_utilities]]=1,12000,0))/IF(Grandview_Inventory[[#This Row],[unbuildable]]=1,2,1)</f>
        <v>48369.510983942157</v>
      </c>
      <c r="CA241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6">
        <f>ROUND(Grandview_Inventory[[#This Row],[det_value]]*Lookups!$M$28,-2)</f>
        <v>0</v>
      </c>
      <c r="CC2416">
        <f>IF(ROUND(Grandview_Inventory[[#This Row],[adj_res]]*Lookups!$M$28,-2)&lt;Grandview_Inventory[[#This Row],[min_res]],Grandview_Inventory[[#This Row],[min_res]],ROUND(Grandview_Inventory[[#This Row],[adj_res]]*Lookups!$M$28,-2))</f>
        <v>307800</v>
      </c>
      <c r="CD2416">
        <f>Grandview_Inventory[[#This Row],[final_det]]+Grandview_Inventory[[#This Row],[final_res]]</f>
        <v>307800</v>
      </c>
      <c r="CE2416">
        <f>Grandview_Inventory[[#This Row],[final_land]]+Grandview_Inventory[[#This Row],[final_imp]]+Grandview_Inventory[[#This Row],[crop_value]]</f>
        <v>353800</v>
      </c>
      <c r="CG2416" t="str">
        <f t="shared" si="37"/>
        <v>update valuation set market_land =46000, market_bldg=307800, market_total =353800, market_mdno =401, market_date ='9/10/2023' where link_id = (select link_id from parcel where parcel_year = '2024' and parcel_id = '23092621623');</v>
      </c>
    </row>
    <row r="2417" spans="1:85" x14ac:dyDescent="0.25">
      <c r="A2417">
        <v>23092621624</v>
      </c>
      <c r="B2417" t="s">
        <v>129</v>
      </c>
      <c r="C2417">
        <v>8165</v>
      </c>
      <c r="D2417" t="s">
        <v>129</v>
      </c>
      <c r="E2417" t="s">
        <v>53</v>
      </c>
      <c r="F2417" t="s">
        <v>53</v>
      </c>
      <c r="G2417">
        <v>4</v>
      </c>
      <c r="H2417" t="s">
        <v>54</v>
      </c>
      <c r="I2417">
        <v>151300</v>
      </c>
      <c r="J2417">
        <v>39100</v>
      </c>
      <c r="K2417">
        <v>0.19</v>
      </c>
      <c r="L241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7">
        <v>0</v>
      </c>
      <c r="N2417">
        <v>0</v>
      </c>
      <c r="O2417">
        <v>0</v>
      </c>
      <c r="P2417">
        <v>13398.7528</v>
      </c>
      <c r="Q2417">
        <v>63903</v>
      </c>
      <c r="R2417">
        <f>(Grandview_Inventory[[#This Row],[ln_acres]]*Grandview_Inventory[[#This Row],[coeff]])+Grandview_Inventory[[#This Row],[const]]</f>
        <v>41651.273092551026</v>
      </c>
      <c r="S2417" t="s">
        <v>55</v>
      </c>
      <c r="T2417">
        <v>2</v>
      </c>
      <c r="U2417" t="s">
        <v>62</v>
      </c>
      <c r="V2417" t="s">
        <v>57</v>
      </c>
      <c r="W2417">
        <v>0</v>
      </c>
      <c r="X2417">
        <v>0</v>
      </c>
      <c r="Y2417">
        <v>1</v>
      </c>
      <c r="Z2417">
        <v>1</v>
      </c>
      <c r="AA2417">
        <v>10</v>
      </c>
      <c r="AB2417">
        <v>2500</v>
      </c>
      <c r="AC2417">
        <v>2352</v>
      </c>
      <c r="AD2417">
        <v>1070</v>
      </c>
      <c r="AE2417">
        <v>1282</v>
      </c>
      <c r="AF2417">
        <v>0</v>
      </c>
      <c r="AG2417">
        <v>0</v>
      </c>
      <c r="AH2417">
        <v>0</v>
      </c>
      <c r="AI2417">
        <v>300</v>
      </c>
      <c r="AJ2417">
        <v>440</v>
      </c>
      <c r="AK2417">
        <v>0</v>
      </c>
      <c r="AL2417">
        <v>0</v>
      </c>
      <c r="AM2417">
        <v>144</v>
      </c>
      <c r="AN2417">
        <v>80</v>
      </c>
      <c r="AO2417">
        <v>144</v>
      </c>
      <c r="AP2417">
        <v>12</v>
      </c>
      <c r="AQ2417">
        <v>0</v>
      </c>
      <c r="AR2417">
        <v>0</v>
      </c>
      <c r="AS2417" t="s">
        <v>58</v>
      </c>
      <c r="AT2417">
        <v>1</v>
      </c>
      <c r="AU2417" t="s">
        <v>63</v>
      </c>
      <c r="AV2417" t="s">
        <v>60</v>
      </c>
      <c r="AW2417">
        <v>1</v>
      </c>
      <c r="AX2417">
        <v>3</v>
      </c>
      <c r="AY2417">
        <v>0</v>
      </c>
      <c r="AZ2417">
        <v>0</v>
      </c>
      <c r="BA2417">
        <v>100</v>
      </c>
      <c r="BB2417">
        <v>100</v>
      </c>
      <c r="BC2417">
        <v>100</v>
      </c>
      <c r="BD2417">
        <v>100</v>
      </c>
      <c r="BE2417">
        <v>1</v>
      </c>
      <c r="BF2417">
        <v>15000</v>
      </c>
      <c r="BG2417">
        <v>1000</v>
      </c>
      <c r="BH2417" s="6">
        <f>Grandview_Inventory[[#This Row],[land_extract]]*Lookups!$B$3</f>
        <v>48369.510983942157</v>
      </c>
      <c r="BI2417" s="6">
        <f>IF(Grandview_Inventory[[#This Row],[bldg_style]]="",0,Lookups!$B$2)</f>
        <v>155833.95000000001</v>
      </c>
      <c r="BJ2417" s="6">
        <f>_xlfn.IFNA(VLOOKUP(Grandview_Inventory[[#This Row],[quality]],Lookups!$H$2:$J$14,3,FALSE),0)</f>
        <v>9808</v>
      </c>
      <c r="BK2417" s="6">
        <f>_xlfn.IFNA(VLOOKUP(Grandview_Inventory[[#This Row],[condition]],Lookups!$H$17:$J$24,3,FALSE),0)</f>
        <v>25780</v>
      </c>
      <c r="BL2417" s="6">
        <f>Grandview_Inventory[[#This Row],[Eff_Age]]*Lookups!$B$14</f>
        <v>-239.16659999999999</v>
      </c>
      <c r="BM2417" s="6">
        <f>Grandview_Inventory[[#This Row],[living_area]]*Lookups!$B$15</f>
        <v>146719.766256</v>
      </c>
      <c r="BN2417" s="6">
        <f>Grandview_Inventory[[#This Row],[Fin BSMT]]*Lookups!$B$16</f>
        <v>0</v>
      </c>
      <c r="BO2417" s="6">
        <f>(Grandview_Inventory[[#This Row],[att_gar]]+Grandview_Inventory[[#This Row],[bltin_gar]])*Lookups!$B$17</f>
        <v>64765.123379999997</v>
      </c>
      <c r="BP2417" s="6">
        <f>Grandview_Inventory[[#This Row],[Plumbing Fixtures]]*Lookups!$B$18</f>
        <v>24125.301599999999</v>
      </c>
      <c r="BQ2417" s="6">
        <f>Grandview_Inventory[[#This Row],[detatched_value]]*Lookups!$B$19</f>
        <v>0</v>
      </c>
      <c r="BR2417" s="6">
        <f>SUM(Grandview_Inventory[[#This Row],[Intercept]:[det_value]])*Grandview_Inventory[[#This Row],[res_pct]]</f>
        <v>426792.974636</v>
      </c>
      <c r="BS2417" s="6">
        <f>Grandview_Inventory[[#This Row],[land_value]]</f>
        <v>48369.510983942157</v>
      </c>
      <c r="BT2417" s="4">
        <f>_xlfn.IFNA(VLOOKUP(Grandview_Inventory[[#This Row],[quality]],Lookups!$A$26:$C$33,3,FALSE),1)</f>
        <v>0.94295468617355149</v>
      </c>
      <c r="BU2417" s="4">
        <f>_xlfn.IFNA(VLOOKUP(Grandview_Inventory[[#This Row],[condition]],Lookups!$A$37:$C$44,3,FALSE),1)</f>
        <v>0.94347925387812148</v>
      </c>
      <c r="BV2417" s="4">
        <f>IF(Grandview_Inventory[[#This Row],[bldg_style]]="",1,_xlfn.IFNA(VLOOKUP(Grandview_Inventory[[#This Row],[decade]],Lookups!$F$29:$H$43,3,FALSE),1))</f>
        <v>0.94601966599150278</v>
      </c>
      <c r="BW2417" s="4">
        <f>_xlfn.IFNA(VLOOKUP(Grandview_Inventory[[#This Row],[living_area_range]],Lookups!$F$47:$H$56,3,FALSE),1)</f>
        <v>0.95799442568048754</v>
      </c>
      <c r="BX2417" s="4">
        <f>AVERAGE(Grandview_Inventory[[#This Row],[qual_adj]:[size_adj]])</f>
        <v>0.94761200793091582</v>
      </c>
      <c r="BY2417" s="6">
        <f>IF(Grandview_Inventory[[#This Row],[pre_res]]&lt;0,0,Grandview_Inventory[[#This Row],[pre_res]]*Grandview_Inventory[[#This Row],[overall_adj]])</f>
        <v>404434.14766562841</v>
      </c>
      <c r="BZ2417" s="6">
        <f>(Grandview_Inventory[[#This Row],[sum_land]]-IF(Grandview_Inventory[[#This Row],[no_utilities]]=1,12000,0))/IF(Grandview_Inventory[[#This Row],[unbuildable]]=1,2,1)</f>
        <v>48369.510983942157</v>
      </c>
      <c r="CA241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7">
        <f>ROUND(Grandview_Inventory[[#This Row],[det_value]]*Lookups!$M$28,-2)</f>
        <v>0</v>
      </c>
      <c r="CC2417">
        <f>IF(ROUND(Grandview_Inventory[[#This Row],[adj_res]]*Lookups!$M$28,-2)&lt;Grandview_Inventory[[#This Row],[min_res]],Grandview_Inventory[[#This Row],[min_res]],ROUND(Grandview_Inventory[[#This Row],[adj_res]]*Lookups!$M$28,-2))</f>
        <v>384200</v>
      </c>
      <c r="CD2417">
        <f>Grandview_Inventory[[#This Row],[final_det]]+Grandview_Inventory[[#This Row],[final_res]]</f>
        <v>384200</v>
      </c>
      <c r="CE2417">
        <f>Grandview_Inventory[[#This Row],[final_land]]+Grandview_Inventory[[#This Row],[final_imp]]+Grandview_Inventory[[#This Row],[crop_value]]</f>
        <v>430200</v>
      </c>
      <c r="CG2417" t="str">
        <f t="shared" si="37"/>
        <v>update valuation set market_land =46000, market_bldg=384200, market_total =430200, market_mdno =401, market_date ='9/10/2023' where link_id = (select link_id from parcel where parcel_year = '2024' and parcel_id = '23092621624');</v>
      </c>
    </row>
    <row r="2418" spans="1:85" x14ac:dyDescent="0.25">
      <c r="A2418">
        <v>23092621625</v>
      </c>
      <c r="B2418" t="s">
        <v>129</v>
      </c>
      <c r="C2418">
        <v>8165</v>
      </c>
      <c r="D2418" t="s">
        <v>129</v>
      </c>
      <c r="E2418" t="s">
        <v>53</v>
      </c>
      <c r="F2418" t="s">
        <v>53</v>
      </c>
      <c r="G2418">
        <v>4</v>
      </c>
      <c r="H2418" t="s">
        <v>54</v>
      </c>
      <c r="I2418">
        <v>0</v>
      </c>
      <c r="J2418">
        <v>32500</v>
      </c>
      <c r="K2418">
        <v>0.19</v>
      </c>
      <c r="L241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18">
        <v>0</v>
      </c>
      <c r="N2418">
        <v>0</v>
      </c>
      <c r="O2418">
        <v>0</v>
      </c>
      <c r="P2418">
        <v>13398.7528</v>
      </c>
      <c r="Q2418">
        <v>63903</v>
      </c>
      <c r="R2418">
        <f>(Grandview_Inventory[[#This Row],[ln_acres]]*Grandview_Inventory[[#This Row],[coeff]])+Grandview_Inventory[[#This Row],[const]]</f>
        <v>41651.273092551026</v>
      </c>
      <c r="S2418" t="s">
        <v>61</v>
      </c>
      <c r="T2418">
        <v>1</v>
      </c>
      <c r="U2418" t="s">
        <v>64</v>
      </c>
      <c r="V2418" t="s">
        <v>57</v>
      </c>
      <c r="W2418">
        <v>0</v>
      </c>
      <c r="X2418">
        <v>0</v>
      </c>
      <c r="Y2418">
        <v>1</v>
      </c>
      <c r="Z2418">
        <v>1</v>
      </c>
      <c r="AA2418">
        <v>10</v>
      </c>
      <c r="AB2418">
        <v>2000</v>
      </c>
      <c r="AC2418">
        <v>1800</v>
      </c>
      <c r="AD2418">
        <v>1800</v>
      </c>
      <c r="AE2418">
        <v>0</v>
      </c>
      <c r="AF2418">
        <v>0</v>
      </c>
      <c r="AG2418">
        <v>0</v>
      </c>
      <c r="AH2418">
        <v>0</v>
      </c>
      <c r="AI2418">
        <v>440</v>
      </c>
      <c r="AJ2418">
        <v>0</v>
      </c>
      <c r="AK2418">
        <v>0</v>
      </c>
      <c r="AL2418">
        <v>0</v>
      </c>
      <c r="AM2418">
        <v>120</v>
      </c>
      <c r="AN2418">
        <v>156</v>
      </c>
      <c r="AO2418">
        <v>120</v>
      </c>
      <c r="AP2418">
        <v>10</v>
      </c>
      <c r="AQ2418">
        <v>0</v>
      </c>
      <c r="AR2418">
        <v>0</v>
      </c>
      <c r="AS2418" t="s">
        <v>58</v>
      </c>
      <c r="AT2418">
        <v>1</v>
      </c>
      <c r="AU2418" t="s">
        <v>63</v>
      </c>
      <c r="AV2418" t="s">
        <v>64</v>
      </c>
      <c r="AW2418">
        <v>1</v>
      </c>
      <c r="AX2418">
        <v>4</v>
      </c>
      <c r="AY2418">
        <v>0</v>
      </c>
      <c r="AZ2418">
        <v>0</v>
      </c>
      <c r="BA2418">
        <v>100</v>
      </c>
      <c r="BB2418">
        <v>100</v>
      </c>
      <c r="BC2418">
        <v>100</v>
      </c>
      <c r="BD2418">
        <v>100</v>
      </c>
      <c r="BE2418">
        <v>1</v>
      </c>
      <c r="BF2418">
        <v>15000</v>
      </c>
      <c r="BG2418">
        <v>1000</v>
      </c>
      <c r="BH2418" s="6">
        <f>Grandview_Inventory[[#This Row],[land_extract]]*Lookups!$B$3</f>
        <v>48369.510983942157</v>
      </c>
      <c r="BI2418" s="6">
        <f>IF(Grandview_Inventory[[#This Row],[bldg_style]]="",0,Lookups!$B$2)</f>
        <v>155833.95000000001</v>
      </c>
      <c r="BJ2418" s="6">
        <f>_xlfn.IFNA(VLOOKUP(Grandview_Inventory[[#This Row],[quality]],Lookups!$H$2:$J$14,3,FALSE),0)</f>
        <v>20768</v>
      </c>
      <c r="BK2418" s="6">
        <f>_xlfn.IFNA(VLOOKUP(Grandview_Inventory[[#This Row],[condition]],Lookups!$H$17:$J$24,3,FALSE),0)</f>
        <v>25780</v>
      </c>
      <c r="BL2418" s="6">
        <f>Grandview_Inventory[[#This Row],[Eff_Age]]*Lookups!$B$14</f>
        <v>-239.16659999999999</v>
      </c>
      <c r="BM2418" s="6">
        <f>Grandview_Inventory[[#This Row],[living_area]]*Lookups!$B$15</f>
        <v>112285.53540000001</v>
      </c>
      <c r="BN2418" s="6">
        <f>Grandview_Inventory[[#This Row],[Fin BSMT]]*Lookups!$B$16</f>
        <v>0</v>
      </c>
      <c r="BO2418" s="6">
        <f>(Grandview_Inventory[[#This Row],[att_gar]]+Grandview_Inventory[[#This Row],[bltin_gar]])*Lookups!$B$17</f>
        <v>38508.992279999999</v>
      </c>
      <c r="BP2418" s="6">
        <f>Grandview_Inventory[[#This Row],[Plumbing Fixtures]]*Lookups!$B$18</f>
        <v>20104.418000000001</v>
      </c>
      <c r="BQ2418" s="6">
        <f>Grandview_Inventory[[#This Row],[detatched_value]]*Lookups!$B$19</f>
        <v>0</v>
      </c>
      <c r="BR2418" s="6">
        <f>SUM(Grandview_Inventory[[#This Row],[Intercept]:[det_value]])*Grandview_Inventory[[#This Row],[res_pct]]</f>
        <v>373041.72908000002</v>
      </c>
      <c r="BS2418" s="6">
        <f>Grandview_Inventory[[#This Row],[land_value]]</f>
        <v>48369.510983942157</v>
      </c>
      <c r="BT2418" s="4">
        <f>_xlfn.IFNA(VLOOKUP(Grandview_Inventory[[#This Row],[quality]],Lookups!$A$26:$C$33,3,FALSE),1)</f>
        <v>0.94960540378902636</v>
      </c>
      <c r="BU2418" s="4">
        <f>_xlfn.IFNA(VLOOKUP(Grandview_Inventory[[#This Row],[condition]],Lookups!$A$37:$C$44,3,FALSE),1)</f>
        <v>0.94347925387812148</v>
      </c>
      <c r="BV2418" s="4">
        <f>IF(Grandview_Inventory[[#This Row],[bldg_style]]="",1,_xlfn.IFNA(VLOOKUP(Grandview_Inventory[[#This Row],[decade]],Lookups!$F$29:$H$43,3,FALSE),1))</f>
        <v>0.94601966599150278</v>
      </c>
      <c r="BW2418" s="4">
        <f>_xlfn.IFNA(VLOOKUP(Grandview_Inventory[[#This Row],[living_area_range]],Lookups!$F$47:$H$56,3,FALSE),1)</f>
        <v>0.96120133463014379</v>
      </c>
      <c r="BX2418" s="4">
        <f>AVERAGE(Grandview_Inventory[[#This Row],[qual_adj]:[size_adj]])</f>
        <v>0.95007641457219871</v>
      </c>
      <c r="BY2418" s="6">
        <f>IF(Grandview_Inventory[[#This Row],[pre_res]]&lt;0,0,Grandview_Inventory[[#This Row],[pre_res]]*Grandview_Inventory[[#This Row],[overall_adj]])</f>
        <v>354418.14845013991</v>
      </c>
      <c r="BZ2418" s="6">
        <f>(Grandview_Inventory[[#This Row],[sum_land]]-IF(Grandview_Inventory[[#This Row],[no_utilities]]=1,12000,0))/IF(Grandview_Inventory[[#This Row],[unbuildable]]=1,2,1)</f>
        <v>48369.510983942157</v>
      </c>
      <c r="CA241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18">
        <f>ROUND(Grandview_Inventory[[#This Row],[det_value]]*Lookups!$M$28,-2)</f>
        <v>0</v>
      </c>
      <c r="CC2418">
        <f>IF(ROUND(Grandview_Inventory[[#This Row],[adj_res]]*Lookups!$M$28,-2)&lt;Grandview_Inventory[[#This Row],[min_res]],Grandview_Inventory[[#This Row],[min_res]],ROUND(Grandview_Inventory[[#This Row],[adj_res]]*Lookups!$M$28,-2))</f>
        <v>336700</v>
      </c>
      <c r="CD2418">
        <f>Grandview_Inventory[[#This Row],[final_det]]+Grandview_Inventory[[#This Row],[final_res]]</f>
        <v>336700</v>
      </c>
      <c r="CE2418">
        <f>Grandview_Inventory[[#This Row],[final_land]]+Grandview_Inventory[[#This Row],[final_imp]]+Grandview_Inventory[[#This Row],[crop_value]]</f>
        <v>382700</v>
      </c>
      <c r="CG2418" t="str">
        <f t="shared" si="37"/>
        <v>update valuation set market_land =46000, market_bldg=336700, market_total =382700, market_mdno =401, market_date ='9/10/2023' where link_id = (select link_id from parcel where parcel_year = '2024' and parcel_id = '23092621625');</v>
      </c>
    </row>
    <row r="2419" spans="1:85" x14ac:dyDescent="0.25">
      <c r="A2419">
        <v>23092621626</v>
      </c>
      <c r="B2419" t="s">
        <v>129</v>
      </c>
      <c r="C2419">
        <v>8605</v>
      </c>
      <c r="D2419" t="s">
        <v>129</v>
      </c>
      <c r="E2419" t="s">
        <v>53</v>
      </c>
      <c r="F2419" t="s">
        <v>53</v>
      </c>
      <c r="G2419">
        <v>4</v>
      </c>
      <c r="H2419" t="s">
        <v>54</v>
      </c>
      <c r="I2419">
        <v>0</v>
      </c>
      <c r="J2419">
        <v>32700</v>
      </c>
      <c r="K2419">
        <v>0.2</v>
      </c>
      <c r="L241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19">
        <v>0</v>
      </c>
      <c r="N2419">
        <v>0</v>
      </c>
      <c r="O2419">
        <v>0</v>
      </c>
      <c r="P2419">
        <v>13398.7528</v>
      </c>
      <c r="Q2419">
        <v>63903</v>
      </c>
      <c r="R2419">
        <f>(Grandview_Inventory[[#This Row],[ln_acres]]*Grandview_Inventory[[#This Row],[coeff]])+Grandview_Inventory[[#This Row],[const]]</f>
        <v>42338.539264347448</v>
      </c>
      <c r="S2419" t="s">
        <v>61</v>
      </c>
      <c r="T2419">
        <v>1</v>
      </c>
      <c r="U2419" t="s">
        <v>62</v>
      </c>
      <c r="V2419" t="s">
        <v>57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1500</v>
      </c>
      <c r="AC2419">
        <v>1460</v>
      </c>
      <c r="AD2419">
        <v>1460</v>
      </c>
      <c r="AE2419">
        <v>0</v>
      </c>
      <c r="AF2419">
        <v>0</v>
      </c>
      <c r="AG2419">
        <v>0</v>
      </c>
      <c r="AH2419">
        <v>0</v>
      </c>
      <c r="AI2419">
        <v>400</v>
      </c>
      <c r="AJ2419">
        <v>0</v>
      </c>
      <c r="AK2419">
        <v>0</v>
      </c>
      <c r="AL2419">
        <v>0</v>
      </c>
      <c r="AM2419">
        <v>0</v>
      </c>
      <c r="AN2419">
        <v>177</v>
      </c>
      <c r="AO2419">
        <v>0</v>
      </c>
      <c r="AP2419">
        <v>9</v>
      </c>
      <c r="AQ2419">
        <v>0</v>
      </c>
      <c r="AR2419">
        <v>0</v>
      </c>
      <c r="AS2419" t="s">
        <v>58</v>
      </c>
      <c r="AT2419">
        <v>1</v>
      </c>
      <c r="AU2419" t="s">
        <v>59</v>
      </c>
      <c r="AV2419" t="s">
        <v>60</v>
      </c>
      <c r="AW2419">
        <v>1</v>
      </c>
      <c r="AX2419">
        <v>3</v>
      </c>
      <c r="AY2419">
        <v>0</v>
      </c>
      <c r="AZ2419">
        <v>265400</v>
      </c>
      <c r="BA2419">
        <v>100</v>
      </c>
      <c r="BB2419">
        <v>100</v>
      </c>
      <c r="BC2419">
        <v>100</v>
      </c>
      <c r="BD2419">
        <v>8</v>
      </c>
      <c r="BE2419">
        <v>0</v>
      </c>
      <c r="BF2419">
        <v>15000</v>
      </c>
      <c r="BG2419">
        <v>0</v>
      </c>
      <c r="BH2419" s="6">
        <f>Grandview_Inventory[[#This Row],[land_extract]]*Lookups!$B$3</f>
        <v>49167.631333630678</v>
      </c>
      <c r="BI2419" s="6">
        <f>IF(Grandview_Inventory[[#This Row],[bldg_style]]="",0,Lookups!$B$2)</f>
        <v>155833.95000000001</v>
      </c>
      <c r="BJ2419" s="6">
        <f>_xlfn.IFNA(VLOOKUP(Grandview_Inventory[[#This Row],[quality]],Lookups!$H$2:$J$14,3,FALSE),0)</f>
        <v>9808</v>
      </c>
      <c r="BK2419" s="6">
        <f>_xlfn.IFNA(VLOOKUP(Grandview_Inventory[[#This Row],[condition]],Lookups!$H$17:$J$24,3,FALSE),0)</f>
        <v>25780</v>
      </c>
      <c r="BL2419" s="6">
        <f>Grandview_Inventory[[#This Row],[Eff_Age]]*Lookups!$B$14</f>
        <v>0</v>
      </c>
      <c r="BM2419" s="6">
        <f>Grandview_Inventory[[#This Row],[living_area]]*Lookups!$B$15</f>
        <v>91076.045379999996</v>
      </c>
      <c r="BN2419" s="6">
        <f>Grandview_Inventory[[#This Row],[Fin BSMT]]*Lookups!$B$16</f>
        <v>0</v>
      </c>
      <c r="BO2419" s="6">
        <f>(Grandview_Inventory[[#This Row],[att_gar]]+Grandview_Inventory[[#This Row],[bltin_gar]])*Lookups!$B$17</f>
        <v>35008.174800000001</v>
      </c>
      <c r="BP2419" s="6">
        <f>Grandview_Inventory[[#This Row],[Plumbing Fixtures]]*Lookups!$B$18</f>
        <v>18093.976200000001</v>
      </c>
      <c r="BQ2419" s="6">
        <f>Grandview_Inventory[[#This Row],[detatched_value]]*Lookups!$B$19</f>
        <v>224742.07353999998</v>
      </c>
      <c r="BR2419" s="6">
        <f>SUM(Grandview_Inventory[[#This Row],[Intercept]:[det_value]])*Grandview_Inventory[[#This Row],[res_pct]]</f>
        <v>0</v>
      </c>
      <c r="BS2419" s="6">
        <f>Grandview_Inventory[[#This Row],[land_value]]</f>
        <v>49167.631333630678</v>
      </c>
      <c r="BT2419" s="4">
        <f>_xlfn.IFNA(VLOOKUP(Grandview_Inventory[[#This Row],[quality]],Lookups!$A$26:$C$33,3,FALSE),1)</f>
        <v>0.94295468617355149</v>
      </c>
      <c r="BU2419" s="4">
        <f>_xlfn.IFNA(VLOOKUP(Grandview_Inventory[[#This Row],[condition]],Lookups!$A$37:$C$44,3,FALSE),1)</f>
        <v>0.94347925387812148</v>
      </c>
      <c r="BV2419" s="4">
        <f>IF(Grandview_Inventory[[#This Row],[bldg_style]]="",1,_xlfn.IFNA(VLOOKUP(Grandview_Inventory[[#This Row],[decade]],Lookups!$F$29:$H$43,3,FALSE),1))</f>
        <v>0.9413635517371044</v>
      </c>
      <c r="BW2419" s="4">
        <f>_xlfn.IFNA(VLOOKUP(Grandview_Inventory[[#This Row],[living_area_range]],Lookups!$F$47:$H$56,3,FALSE),1)</f>
        <v>0.96135087979789358</v>
      </c>
      <c r="BX2419" s="4">
        <f>AVERAGE(Grandview_Inventory[[#This Row],[qual_adj]:[size_adj]])</f>
        <v>0.94728709289666768</v>
      </c>
      <c r="BY2419" s="6">
        <f>IF(Grandview_Inventory[[#This Row],[pre_res]]&lt;0,0,Grandview_Inventory[[#This Row],[pre_res]]*Grandview_Inventory[[#This Row],[overall_adj]])</f>
        <v>0</v>
      </c>
      <c r="BZ2419" s="6">
        <f>(Grandview_Inventory[[#This Row],[sum_land]]-IF(Grandview_Inventory[[#This Row],[no_utilities]]=1,12000,0))/IF(Grandview_Inventory[[#This Row],[unbuildable]]=1,2,1)</f>
        <v>49167.631333630678</v>
      </c>
      <c r="CA241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19">
        <f>ROUND(Grandview_Inventory[[#This Row],[det_value]]*Lookups!$M$28,-2)</f>
        <v>213500</v>
      </c>
      <c r="CC241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419">
        <f>Grandview_Inventory[[#This Row],[final_det]]+Grandview_Inventory[[#This Row],[final_res]]</f>
        <v>213500</v>
      </c>
      <c r="CE2419">
        <f>Grandview_Inventory[[#This Row],[final_land]]+Grandview_Inventory[[#This Row],[final_imp]]+Grandview_Inventory[[#This Row],[crop_value]]</f>
        <v>260200</v>
      </c>
      <c r="CG2419" t="str">
        <f t="shared" si="37"/>
        <v>update valuation set market_land =46700, market_bldg=213500, market_total =260200, market_mdno =401, market_date ='9/10/2023' where link_id = (select link_id from parcel where parcel_year = '2024' and parcel_id = '23092621626');</v>
      </c>
    </row>
    <row r="2420" spans="1:85" x14ac:dyDescent="0.25">
      <c r="A2420">
        <v>23092621636</v>
      </c>
      <c r="B2420" t="s">
        <v>129</v>
      </c>
      <c r="C2420">
        <v>8714</v>
      </c>
      <c r="D2420" t="s">
        <v>129</v>
      </c>
      <c r="E2420" t="s">
        <v>53</v>
      </c>
      <c r="F2420" t="s">
        <v>53</v>
      </c>
      <c r="G2420">
        <v>4</v>
      </c>
      <c r="H2420" t="s">
        <v>54</v>
      </c>
      <c r="I2420">
        <v>0</v>
      </c>
      <c r="J2420">
        <v>32800</v>
      </c>
      <c r="K2420">
        <v>0.2</v>
      </c>
      <c r="L242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20">
        <v>0</v>
      </c>
      <c r="N2420">
        <v>0</v>
      </c>
      <c r="O2420">
        <v>0</v>
      </c>
      <c r="P2420">
        <v>13398.7528</v>
      </c>
      <c r="Q2420">
        <v>63903</v>
      </c>
      <c r="R2420">
        <f>(Grandview_Inventory[[#This Row],[ln_acres]]*Grandview_Inventory[[#This Row],[coeff]])+Grandview_Inventory[[#This Row],[const]]</f>
        <v>42338.539264347448</v>
      </c>
      <c r="S2420" t="s">
        <v>61</v>
      </c>
      <c r="T2420">
        <v>1</v>
      </c>
      <c r="U2420" t="s">
        <v>62</v>
      </c>
      <c r="V2420" t="s">
        <v>57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2000</v>
      </c>
      <c r="AC2420">
        <v>1744</v>
      </c>
      <c r="AD2420">
        <v>1744</v>
      </c>
      <c r="AE2420">
        <v>0</v>
      </c>
      <c r="AF2420">
        <v>0</v>
      </c>
      <c r="AG2420">
        <v>0</v>
      </c>
      <c r="AH2420">
        <v>0</v>
      </c>
      <c r="AI2420">
        <v>440</v>
      </c>
      <c r="AJ2420">
        <v>0</v>
      </c>
      <c r="AK2420">
        <v>0</v>
      </c>
      <c r="AL2420">
        <v>0</v>
      </c>
      <c r="AM2420">
        <v>0</v>
      </c>
      <c r="AN2420">
        <v>272</v>
      </c>
      <c r="AO2420">
        <v>0</v>
      </c>
      <c r="AP2420">
        <v>9</v>
      </c>
      <c r="AQ2420">
        <v>0</v>
      </c>
      <c r="AR2420">
        <v>0</v>
      </c>
      <c r="AS2420" t="s">
        <v>58</v>
      </c>
      <c r="AT2420">
        <v>1</v>
      </c>
      <c r="AU2420" t="s">
        <v>63</v>
      </c>
      <c r="AV2420" t="s">
        <v>60</v>
      </c>
      <c r="AW2420">
        <v>1</v>
      </c>
      <c r="AX2420">
        <v>4</v>
      </c>
      <c r="AY2420">
        <v>0</v>
      </c>
      <c r="AZ2420">
        <v>0</v>
      </c>
      <c r="BA2420">
        <v>100</v>
      </c>
      <c r="BB2420">
        <v>100</v>
      </c>
      <c r="BC2420">
        <v>100</v>
      </c>
      <c r="BD2420">
        <v>100</v>
      </c>
      <c r="BE2420">
        <v>1</v>
      </c>
      <c r="BF2420">
        <v>15000</v>
      </c>
      <c r="BG2420">
        <v>1000</v>
      </c>
      <c r="BH2420" s="6">
        <f>Grandview_Inventory[[#This Row],[land_extract]]*Lookups!$B$3</f>
        <v>49167.631333630678</v>
      </c>
      <c r="BI2420" s="6">
        <f>IF(Grandview_Inventory[[#This Row],[bldg_style]]="",0,Lookups!$B$2)</f>
        <v>155833.95000000001</v>
      </c>
      <c r="BJ2420" s="6">
        <f>_xlfn.IFNA(VLOOKUP(Grandview_Inventory[[#This Row],[quality]],Lookups!$H$2:$J$14,3,FALSE),0)</f>
        <v>9808</v>
      </c>
      <c r="BK2420" s="6">
        <f>_xlfn.IFNA(VLOOKUP(Grandview_Inventory[[#This Row],[condition]],Lookups!$H$17:$J$24,3,FALSE),0)</f>
        <v>25780</v>
      </c>
      <c r="BL2420" s="6">
        <f>Grandview_Inventory[[#This Row],[Eff_Age]]*Lookups!$B$14</f>
        <v>0</v>
      </c>
      <c r="BM2420" s="6">
        <f>Grandview_Inventory[[#This Row],[living_area]]*Lookups!$B$15</f>
        <v>108792.20763200001</v>
      </c>
      <c r="BN2420" s="6">
        <f>Grandview_Inventory[[#This Row],[Fin BSMT]]*Lookups!$B$16</f>
        <v>0</v>
      </c>
      <c r="BO2420" s="6">
        <f>(Grandview_Inventory[[#This Row],[att_gar]]+Grandview_Inventory[[#This Row],[bltin_gar]])*Lookups!$B$17</f>
        <v>38508.992279999999</v>
      </c>
      <c r="BP2420" s="6">
        <f>Grandview_Inventory[[#This Row],[Plumbing Fixtures]]*Lookups!$B$18</f>
        <v>18093.976200000001</v>
      </c>
      <c r="BQ2420" s="6">
        <f>Grandview_Inventory[[#This Row],[detatched_value]]*Lookups!$B$19</f>
        <v>0</v>
      </c>
      <c r="BR2420" s="6">
        <f>SUM(Grandview_Inventory[[#This Row],[Intercept]:[det_value]])*Grandview_Inventory[[#This Row],[res_pct]]</f>
        <v>356817.12611200003</v>
      </c>
      <c r="BS2420" s="6">
        <f>Grandview_Inventory[[#This Row],[land_value]]</f>
        <v>49167.631333630678</v>
      </c>
      <c r="BT2420" s="4">
        <f>_xlfn.IFNA(VLOOKUP(Grandview_Inventory[[#This Row],[quality]],Lookups!$A$26:$C$33,3,FALSE),1)</f>
        <v>0.94295468617355149</v>
      </c>
      <c r="BU2420" s="4">
        <f>_xlfn.IFNA(VLOOKUP(Grandview_Inventory[[#This Row],[condition]],Lookups!$A$37:$C$44,3,FALSE),1)</f>
        <v>0.94347925387812148</v>
      </c>
      <c r="BV2420" s="4">
        <f>IF(Grandview_Inventory[[#This Row],[bldg_style]]="",1,_xlfn.IFNA(VLOOKUP(Grandview_Inventory[[#This Row],[decade]],Lookups!$F$29:$H$43,3,FALSE),1))</f>
        <v>0.9413635517371044</v>
      </c>
      <c r="BW2420" s="4">
        <f>_xlfn.IFNA(VLOOKUP(Grandview_Inventory[[#This Row],[living_area_range]],Lookups!$F$47:$H$56,3,FALSE),1)</f>
        <v>0.96120133463014379</v>
      </c>
      <c r="BX2420" s="4">
        <f>AVERAGE(Grandview_Inventory[[#This Row],[qual_adj]:[size_adj]])</f>
        <v>0.94724970660473029</v>
      </c>
      <c r="BY2420" s="6">
        <f>IF(Grandview_Inventory[[#This Row],[pre_res]]&lt;0,0,Grandview_Inventory[[#This Row],[pre_res]]*Grandview_Inventory[[#This Row],[overall_adj]])</f>
        <v>337994.91802113509</v>
      </c>
      <c r="BZ2420" s="6">
        <f>(Grandview_Inventory[[#This Row],[sum_land]]-IF(Grandview_Inventory[[#This Row],[no_utilities]]=1,12000,0))/IF(Grandview_Inventory[[#This Row],[unbuildable]]=1,2,1)</f>
        <v>49167.631333630678</v>
      </c>
      <c r="CA242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20">
        <f>ROUND(Grandview_Inventory[[#This Row],[det_value]]*Lookups!$M$28,-2)</f>
        <v>0</v>
      </c>
      <c r="CC2420">
        <f>IF(ROUND(Grandview_Inventory[[#This Row],[adj_res]]*Lookups!$M$28,-2)&lt;Grandview_Inventory[[#This Row],[min_res]],Grandview_Inventory[[#This Row],[min_res]],ROUND(Grandview_Inventory[[#This Row],[adj_res]]*Lookups!$M$28,-2))</f>
        <v>321100</v>
      </c>
      <c r="CD2420">
        <f>Grandview_Inventory[[#This Row],[final_det]]+Grandview_Inventory[[#This Row],[final_res]]</f>
        <v>321100</v>
      </c>
      <c r="CE2420">
        <f>Grandview_Inventory[[#This Row],[final_land]]+Grandview_Inventory[[#This Row],[final_imp]]+Grandview_Inventory[[#This Row],[crop_value]]</f>
        <v>367800</v>
      </c>
      <c r="CG2420" t="str">
        <f t="shared" si="37"/>
        <v>update valuation set market_land =46700, market_bldg=321100, market_total =367800, market_mdno =401, market_date ='9/10/2023' where link_id = (select link_id from parcel where parcel_year = '2024' and parcel_id = '23092621636');</v>
      </c>
    </row>
    <row r="2421" spans="1:85" x14ac:dyDescent="0.25">
      <c r="A2421">
        <v>23092621639</v>
      </c>
      <c r="B2421" t="s">
        <v>129</v>
      </c>
      <c r="C2421">
        <v>8029</v>
      </c>
      <c r="D2421" t="s">
        <v>129</v>
      </c>
      <c r="E2421" t="s">
        <v>53</v>
      </c>
      <c r="F2421" t="s">
        <v>53</v>
      </c>
      <c r="G2421">
        <v>4</v>
      </c>
      <c r="H2421" t="s">
        <v>54</v>
      </c>
      <c r="I2421">
        <v>0</v>
      </c>
      <c r="J2421">
        <v>32500</v>
      </c>
      <c r="K2421">
        <v>0.18</v>
      </c>
      <c r="L24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421">
        <v>0</v>
      </c>
      <c r="N2421">
        <v>0</v>
      </c>
      <c r="O2421">
        <v>0</v>
      </c>
      <c r="P2421">
        <v>13398.7528</v>
      </c>
      <c r="Q2421">
        <v>63903</v>
      </c>
      <c r="R2421">
        <f>(Grandview_Inventory[[#This Row],[ln_acres]]*Grandview_Inventory[[#This Row],[coeff]])+Grandview_Inventory[[#This Row],[const]]</f>
        <v>40926.839760167699</v>
      </c>
      <c r="S2421" t="s">
        <v>55</v>
      </c>
      <c r="T2421">
        <v>1</v>
      </c>
      <c r="U2421" t="s">
        <v>62</v>
      </c>
      <c r="V2421" t="s">
        <v>57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1500</v>
      </c>
      <c r="AC2421">
        <v>1378</v>
      </c>
      <c r="AD2421">
        <v>1378</v>
      </c>
      <c r="AE2421">
        <v>0</v>
      </c>
      <c r="AF2421">
        <v>0</v>
      </c>
      <c r="AG2421">
        <v>0</v>
      </c>
      <c r="AH2421">
        <v>0</v>
      </c>
      <c r="AI2421">
        <v>400</v>
      </c>
      <c r="AJ2421">
        <v>0</v>
      </c>
      <c r="AK2421">
        <v>0</v>
      </c>
      <c r="AL2421">
        <v>0</v>
      </c>
      <c r="AM2421">
        <v>0</v>
      </c>
      <c r="AN2421">
        <v>84</v>
      </c>
      <c r="AO2421">
        <v>0</v>
      </c>
      <c r="AP2421">
        <v>8</v>
      </c>
      <c r="AQ2421">
        <v>0</v>
      </c>
      <c r="AR2421">
        <v>0</v>
      </c>
      <c r="AS2421" t="s">
        <v>58</v>
      </c>
      <c r="AT2421">
        <v>1</v>
      </c>
      <c r="AU2421" t="s">
        <v>59</v>
      </c>
      <c r="AV2421" t="s">
        <v>60</v>
      </c>
      <c r="AW2421">
        <v>1</v>
      </c>
      <c r="AX2421">
        <v>3</v>
      </c>
      <c r="AY2421">
        <v>0</v>
      </c>
      <c r="AZ2421">
        <v>247100</v>
      </c>
      <c r="BA2421">
        <v>100</v>
      </c>
      <c r="BB2421">
        <v>100</v>
      </c>
      <c r="BC2421">
        <v>100</v>
      </c>
      <c r="BD2421">
        <v>8</v>
      </c>
      <c r="BE2421">
        <v>0</v>
      </c>
      <c r="BF2421">
        <v>15000</v>
      </c>
      <c r="BG2421">
        <v>0</v>
      </c>
      <c r="BH2421" s="6">
        <f>Grandview_Inventory[[#This Row],[land_extract]]*Lookups!$B$3</f>
        <v>47528.228511015397</v>
      </c>
      <c r="BI2421" s="6">
        <f>IF(Grandview_Inventory[[#This Row],[bldg_style]]="",0,Lookups!$B$2)</f>
        <v>155833.95000000001</v>
      </c>
      <c r="BJ2421" s="6">
        <f>_xlfn.IFNA(VLOOKUP(Grandview_Inventory[[#This Row],[quality]],Lookups!$H$2:$J$14,3,FALSE),0)</f>
        <v>9808</v>
      </c>
      <c r="BK2421" s="6">
        <f>_xlfn.IFNA(VLOOKUP(Grandview_Inventory[[#This Row],[condition]],Lookups!$H$17:$J$24,3,FALSE),0)</f>
        <v>25780</v>
      </c>
      <c r="BL2421" s="6">
        <f>Grandview_Inventory[[#This Row],[Eff_Age]]*Lookups!$B$14</f>
        <v>0</v>
      </c>
      <c r="BM2421" s="6">
        <f>Grandview_Inventory[[#This Row],[living_area]]*Lookups!$B$15</f>
        <v>85960.815434000004</v>
      </c>
      <c r="BN2421" s="6">
        <f>Grandview_Inventory[[#This Row],[Fin BSMT]]*Lookups!$B$16</f>
        <v>0</v>
      </c>
      <c r="BO2421" s="6">
        <f>(Grandview_Inventory[[#This Row],[att_gar]]+Grandview_Inventory[[#This Row],[bltin_gar]])*Lookups!$B$17</f>
        <v>35008.174800000001</v>
      </c>
      <c r="BP2421" s="6">
        <f>Grandview_Inventory[[#This Row],[Plumbing Fixtures]]*Lookups!$B$18</f>
        <v>16083.5344</v>
      </c>
      <c r="BQ2421" s="6">
        <f>Grandview_Inventory[[#This Row],[detatched_value]]*Lookups!$B$19</f>
        <v>209245.54021000001</v>
      </c>
      <c r="BR2421" s="6">
        <f>SUM(Grandview_Inventory[[#This Row],[Intercept]:[det_value]])*Grandview_Inventory[[#This Row],[res_pct]]</f>
        <v>0</v>
      </c>
      <c r="BS2421" s="6">
        <f>Grandview_Inventory[[#This Row],[land_value]]</f>
        <v>47528.228511015397</v>
      </c>
      <c r="BT2421" s="4">
        <f>_xlfn.IFNA(VLOOKUP(Grandview_Inventory[[#This Row],[quality]],Lookups!$A$26:$C$33,3,FALSE),1)</f>
        <v>0.94295468617355149</v>
      </c>
      <c r="BU2421" s="4">
        <f>_xlfn.IFNA(VLOOKUP(Grandview_Inventory[[#This Row],[condition]],Lookups!$A$37:$C$44,3,FALSE),1)</f>
        <v>0.94347925387812148</v>
      </c>
      <c r="BV2421" s="4">
        <f>IF(Grandview_Inventory[[#This Row],[bldg_style]]="",1,_xlfn.IFNA(VLOOKUP(Grandview_Inventory[[#This Row],[decade]],Lookups!$F$29:$H$43,3,FALSE),1))</f>
        <v>0.9413635517371044</v>
      </c>
      <c r="BW2421" s="4">
        <f>_xlfn.IFNA(VLOOKUP(Grandview_Inventory[[#This Row],[living_area_range]],Lookups!$F$47:$H$56,3,FALSE),1)</f>
        <v>0.96135087979789358</v>
      </c>
      <c r="BX2421" s="4">
        <f>AVERAGE(Grandview_Inventory[[#This Row],[qual_adj]:[size_adj]])</f>
        <v>0.94728709289666768</v>
      </c>
      <c r="BY2421" s="6">
        <f>IF(Grandview_Inventory[[#This Row],[pre_res]]&lt;0,0,Grandview_Inventory[[#This Row],[pre_res]]*Grandview_Inventory[[#This Row],[overall_adj]])</f>
        <v>0</v>
      </c>
      <c r="BZ2421" s="6">
        <f>(Grandview_Inventory[[#This Row],[sum_land]]-IF(Grandview_Inventory[[#This Row],[no_utilities]]=1,12000,0))/IF(Grandview_Inventory[[#This Row],[unbuildable]]=1,2,1)</f>
        <v>47528.228511015397</v>
      </c>
      <c r="CA24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421">
        <f>ROUND(Grandview_Inventory[[#This Row],[det_value]]*Lookups!$M$28,-2)</f>
        <v>198800</v>
      </c>
      <c r="CC242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421">
        <f>Grandview_Inventory[[#This Row],[final_det]]+Grandview_Inventory[[#This Row],[final_res]]</f>
        <v>198800</v>
      </c>
      <c r="CE2421">
        <f>Grandview_Inventory[[#This Row],[final_land]]+Grandview_Inventory[[#This Row],[final_imp]]+Grandview_Inventory[[#This Row],[crop_value]]</f>
        <v>244000</v>
      </c>
      <c r="CG2421" t="str">
        <f t="shared" si="37"/>
        <v>update valuation set market_land =45200, market_bldg=198800, market_total =244000, market_mdno =401, market_date ='9/10/2023' where link_id = (select link_id from parcel where parcel_year = '2024' and parcel_id = '23092621639');</v>
      </c>
    </row>
    <row r="2422" spans="1:85" x14ac:dyDescent="0.25">
      <c r="A2422">
        <v>23092621654</v>
      </c>
      <c r="B2422" t="s">
        <v>129</v>
      </c>
      <c r="C2422">
        <v>8714</v>
      </c>
      <c r="D2422" t="s">
        <v>129</v>
      </c>
      <c r="E2422" t="s">
        <v>53</v>
      </c>
      <c r="F2422" t="s">
        <v>53</v>
      </c>
      <c r="G2422">
        <v>4</v>
      </c>
      <c r="H2422" t="s">
        <v>54</v>
      </c>
      <c r="I2422">
        <v>0</v>
      </c>
      <c r="J2422">
        <v>32800</v>
      </c>
      <c r="K2422">
        <v>0.2</v>
      </c>
      <c r="L242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22">
        <v>0</v>
      </c>
      <c r="N2422">
        <v>0</v>
      </c>
      <c r="O2422">
        <v>0</v>
      </c>
      <c r="P2422">
        <v>13398.7528</v>
      </c>
      <c r="Q2422">
        <v>63903</v>
      </c>
      <c r="R2422">
        <f>(Grandview_Inventory[[#This Row],[ln_acres]]*Grandview_Inventory[[#This Row],[coeff]])+Grandview_Inventory[[#This Row],[const]]</f>
        <v>42338.539264347448</v>
      </c>
      <c r="S2422" t="s">
        <v>55</v>
      </c>
      <c r="T2422">
        <v>2</v>
      </c>
      <c r="U2422" t="s">
        <v>62</v>
      </c>
      <c r="V2422" t="s">
        <v>57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2500</v>
      </c>
      <c r="AC2422">
        <v>2168</v>
      </c>
      <c r="AD2422">
        <v>896</v>
      </c>
      <c r="AE2422">
        <v>1272</v>
      </c>
      <c r="AF2422">
        <v>0</v>
      </c>
      <c r="AG2422">
        <v>0</v>
      </c>
      <c r="AH2422">
        <v>0</v>
      </c>
      <c r="AI2422">
        <v>440</v>
      </c>
      <c r="AJ2422">
        <v>0</v>
      </c>
      <c r="AK2422">
        <v>0</v>
      </c>
      <c r="AL2422">
        <v>0</v>
      </c>
      <c r="AM2422">
        <v>0</v>
      </c>
      <c r="AN2422">
        <v>272</v>
      </c>
      <c r="AO2422">
        <v>0</v>
      </c>
      <c r="AP2422">
        <v>12</v>
      </c>
      <c r="AQ2422">
        <v>0</v>
      </c>
      <c r="AR2422">
        <v>0</v>
      </c>
      <c r="AS2422" t="s">
        <v>58</v>
      </c>
      <c r="AT2422">
        <v>1</v>
      </c>
      <c r="AU2422" t="s">
        <v>59</v>
      </c>
      <c r="AV2422" t="s">
        <v>60</v>
      </c>
      <c r="AW2422">
        <v>1</v>
      </c>
      <c r="AX2422">
        <v>3</v>
      </c>
      <c r="AY2422">
        <v>0</v>
      </c>
      <c r="AZ2422">
        <v>349200</v>
      </c>
      <c r="BA2422">
        <v>100</v>
      </c>
      <c r="BB2422">
        <v>100</v>
      </c>
      <c r="BC2422">
        <v>100</v>
      </c>
      <c r="BD2422">
        <v>8</v>
      </c>
      <c r="BE2422">
        <v>0</v>
      </c>
      <c r="BF2422">
        <v>15000</v>
      </c>
      <c r="BG2422">
        <v>0</v>
      </c>
      <c r="BH2422" s="6">
        <f>Grandview_Inventory[[#This Row],[land_extract]]*Lookups!$B$3</f>
        <v>49167.631333630678</v>
      </c>
      <c r="BI2422" s="6">
        <f>IF(Grandview_Inventory[[#This Row],[bldg_style]]="",0,Lookups!$B$2)</f>
        <v>155833.95000000001</v>
      </c>
      <c r="BJ2422" s="6">
        <f>_xlfn.IFNA(VLOOKUP(Grandview_Inventory[[#This Row],[quality]],Lookups!$H$2:$J$14,3,FALSE),0)</f>
        <v>9808</v>
      </c>
      <c r="BK2422" s="6">
        <f>_xlfn.IFNA(VLOOKUP(Grandview_Inventory[[#This Row],[condition]],Lookups!$H$17:$J$24,3,FALSE),0)</f>
        <v>25780</v>
      </c>
      <c r="BL2422" s="6">
        <f>Grandview_Inventory[[#This Row],[Eff_Age]]*Lookups!$B$14</f>
        <v>0</v>
      </c>
      <c r="BM2422" s="6">
        <f>Grandview_Inventory[[#This Row],[living_area]]*Lookups!$B$15</f>
        <v>135241.689304</v>
      </c>
      <c r="BN2422" s="6">
        <f>Grandview_Inventory[[#This Row],[Fin BSMT]]*Lookups!$B$16</f>
        <v>0</v>
      </c>
      <c r="BO2422" s="6">
        <f>(Grandview_Inventory[[#This Row],[att_gar]]+Grandview_Inventory[[#This Row],[bltin_gar]])*Lookups!$B$17</f>
        <v>38508.992279999999</v>
      </c>
      <c r="BP2422" s="6">
        <f>Grandview_Inventory[[#This Row],[Plumbing Fixtures]]*Lookups!$B$18</f>
        <v>24125.301599999999</v>
      </c>
      <c r="BQ2422" s="6">
        <f>Grandview_Inventory[[#This Row],[detatched_value]]*Lookups!$B$19</f>
        <v>295704.34091999999</v>
      </c>
      <c r="BR2422" s="6">
        <f>SUM(Grandview_Inventory[[#This Row],[Intercept]:[det_value]])*Grandview_Inventory[[#This Row],[res_pct]]</f>
        <v>0</v>
      </c>
      <c r="BS2422" s="6">
        <f>Grandview_Inventory[[#This Row],[land_value]]</f>
        <v>49167.631333630678</v>
      </c>
      <c r="BT2422" s="4">
        <f>_xlfn.IFNA(VLOOKUP(Grandview_Inventory[[#This Row],[quality]],Lookups!$A$26:$C$33,3,FALSE),1)</f>
        <v>0.94295468617355149</v>
      </c>
      <c r="BU2422" s="4">
        <f>_xlfn.IFNA(VLOOKUP(Grandview_Inventory[[#This Row],[condition]],Lookups!$A$37:$C$44,3,FALSE),1)</f>
        <v>0.94347925387812148</v>
      </c>
      <c r="BV2422" s="4">
        <f>IF(Grandview_Inventory[[#This Row],[bldg_style]]="",1,_xlfn.IFNA(VLOOKUP(Grandview_Inventory[[#This Row],[decade]],Lookups!$F$29:$H$43,3,FALSE),1))</f>
        <v>0.9413635517371044</v>
      </c>
      <c r="BW2422" s="4">
        <f>_xlfn.IFNA(VLOOKUP(Grandview_Inventory[[#This Row],[living_area_range]],Lookups!$F$47:$H$56,3,FALSE),1)</f>
        <v>0.95799442568048754</v>
      </c>
      <c r="BX2422" s="4">
        <f>AVERAGE(Grandview_Inventory[[#This Row],[qual_adj]:[size_adj]])</f>
        <v>0.94644797936731617</v>
      </c>
      <c r="BY2422" s="6">
        <f>IF(Grandview_Inventory[[#This Row],[pre_res]]&lt;0,0,Grandview_Inventory[[#This Row],[pre_res]]*Grandview_Inventory[[#This Row],[overall_adj]])</f>
        <v>0</v>
      </c>
      <c r="BZ2422" s="6">
        <f>(Grandview_Inventory[[#This Row],[sum_land]]-IF(Grandview_Inventory[[#This Row],[no_utilities]]=1,12000,0))/IF(Grandview_Inventory[[#This Row],[unbuildable]]=1,2,1)</f>
        <v>49167.631333630678</v>
      </c>
      <c r="CA242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22">
        <f>ROUND(Grandview_Inventory[[#This Row],[det_value]]*Lookups!$M$28,-2)</f>
        <v>280900</v>
      </c>
      <c r="CC242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422">
        <f>Grandview_Inventory[[#This Row],[final_det]]+Grandview_Inventory[[#This Row],[final_res]]</f>
        <v>280900</v>
      </c>
      <c r="CE2422">
        <f>Grandview_Inventory[[#This Row],[final_land]]+Grandview_Inventory[[#This Row],[final_imp]]+Grandview_Inventory[[#This Row],[crop_value]]</f>
        <v>327600</v>
      </c>
      <c r="CG2422" t="str">
        <f t="shared" si="37"/>
        <v>update valuation set market_land =46700, market_bldg=280900, market_total =327600, market_mdno =401, market_date ='9/10/2023' where link_id = (select link_id from parcel where parcel_year = '2024' and parcel_id = '23092621654');</v>
      </c>
    </row>
    <row r="2423" spans="1:85" x14ac:dyDescent="0.25">
      <c r="A2423">
        <v>23092621655</v>
      </c>
      <c r="B2423" t="s">
        <v>129</v>
      </c>
      <c r="C2423">
        <v>8165</v>
      </c>
      <c r="D2423" t="s">
        <v>129</v>
      </c>
      <c r="E2423" t="s">
        <v>53</v>
      </c>
      <c r="F2423" t="s">
        <v>53</v>
      </c>
      <c r="G2423">
        <v>4</v>
      </c>
      <c r="H2423" t="s">
        <v>54</v>
      </c>
      <c r="I2423">
        <v>0</v>
      </c>
      <c r="J2423">
        <v>32500</v>
      </c>
      <c r="K2423">
        <v>0.19</v>
      </c>
      <c r="L242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23">
        <v>0</v>
      </c>
      <c r="N2423">
        <v>0</v>
      </c>
      <c r="O2423">
        <v>0</v>
      </c>
      <c r="P2423">
        <v>13398.7528</v>
      </c>
      <c r="Q2423">
        <v>63903</v>
      </c>
      <c r="R2423">
        <f>(Grandview_Inventory[[#This Row],[ln_acres]]*Grandview_Inventory[[#This Row],[coeff]])+Grandview_Inventory[[#This Row],[const]]</f>
        <v>41651.273092551026</v>
      </c>
      <c r="S2423" t="s">
        <v>61</v>
      </c>
      <c r="T2423">
        <v>1</v>
      </c>
      <c r="U2423" t="s">
        <v>62</v>
      </c>
      <c r="V2423" t="s">
        <v>57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1500</v>
      </c>
      <c r="AC2423">
        <v>1364</v>
      </c>
      <c r="AD2423">
        <v>1364</v>
      </c>
      <c r="AE2423">
        <v>0</v>
      </c>
      <c r="AF2423">
        <v>0</v>
      </c>
      <c r="AG2423">
        <v>0</v>
      </c>
      <c r="AH2423">
        <v>0</v>
      </c>
      <c r="AI2423">
        <v>420</v>
      </c>
      <c r="AJ2423">
        <v>0</v>
      </c>
      <c r="AK2423">
        <v>0</v>
      </c>
      <c r="AL2423">
        <v>0</v>
      </c>
      <c r="AM2423">
        <v>0</v>
      </c>
      <c r="AN2423">
        <v>228</v>
      </c>
      <c r="AO2423">
        <v>0</v>
      </c>
      <c r="AP2423">
        <v>8</v>
      </c>
      <c r="AQ2423">
        <v>0</v>
      </c>
      <c r="AR2423">
        <v>0</v>
      </c>
      <c r="AS2423" t="s">
        <v>58</v>
      </c>
      <c r="AT2423">
        <v>1</v>
      </c>
      <c r="AU2423" t="s">
        <v>59</v>
      </c>
      <c r="AV2423" t="s">
        <v>60</v>
      </c>
      <c r="AW2423">
        <v>1</v>
      </c>
      <c r="AX2423">
        <v>3</v>
      </c>
      <c r="AY2423">
        <v>0</v>
      </c>
      <c r="AZ2423">
        <v>0</v>
      </c>
      <c r="BA2423">
        <v>100</v>
      </c>
      <c r="BB2423">
        <v>100</v>
      </c>
      <c r="BC2423">
        <v>100</v>
      </c>
      <c r="BD2423">
        <v>40</v>
      </c>
      <c r="BE2423">
        <v>0.4</v>
      </c>
      <c r="BF2423">
        <v>15000</v>
      </c>
      <c r="BG2423">
        <v>1000</v>
      </c>
      <c r="BH2423" s="6">
        <f>Grandview_Inventory[[#This Row],[land_extract]]*Lookups!$B$3</f>
        <v>48369.510983942157</v>
      </c>
      <c r="BI2423" s="6">
        <f>IF(Grandview_Inventory[[#This Row],[bldg_style]]="",0,Lookups!$B$2)</f>
        <v>155833.95000000001</v>
      </c>
      <c r="BJ2423" s="6">
        <f>_xlfn.IFNA(VLOOKUP(Grandview_Inventory[[#This Row],[quality]],Lookups!$H$2:$J$14,3,FALSE),0)</f>
        <v>9808</v>
      </c>
      <c r="BK2423" s="6">
        <f>_xlfn.IFNA(VLOOKUP(Grandview_Inventory[[#This Row],[condition]],Lookups!$H$17:$J$24,3,FALSE),0)</f>
        <v>25780</v>
      </c>
      <c r="BL2423" s="6">
        <f>Grandview_Inventory[[#This Row],[Eff_Age]]*Lookups!$B$14</f>
        <v>0</v>
      </c>
      <c r="BM2423" s="6">
        <f>Grandview_Inventory[[#This Row],[living_area]]*Lookups!$B$15</f>
        <v>85087.483491999999</v>
      </c>
      <c r="BN2423" s="6">
        <f>Grandview_Inventory[[#This Row],[Fin BSMT]]*Lookups!$B$16</f>
        <v>0</v>
      </c>
      <c r="BO2423" s="6">
        <f>(Grandview_Inventory[[#This Row],[att_gar]]+Grandview_Inventory[[#This Row],[bltin_gar]])*Lookups!$B$17</f>
        <v>36758.58354</v>
      </c>
      <c r="BP2423" s="6">
        <f>Grandview_Inventory[[#This Row],[Plumbing Fixtures]]*Lookups!$B$18</f>
        <v>16083.5344</v>
      </c>
      <c r="BQ2423" s="6">
        <f>Grandview_Inventory[[#This Row],[detatched_value]]*Lookups!$B$19</f>
        <v>0</v>
      </c>
      <c r="BR2423" s="6">
        <f>SUM(Grandview_Inventory[[#This Row],[Intercept]:[det_value]])*Grandview_Inventory[[#This Row],[res_pct]]</f>
        <v>131740.62057280002</v>
      </c>
      <c r="BS2423" s="6">
        <f>Grandview_Inventory[[#This Row],[land_value]]</f>
        <v>48369.510983942157</v>
      </c>
      <c r="BT2423" s="4">
        <f>_xlfn.IFNA(VLOOKUP(Grandview_Inventory[[#This Row],[quality]],Lookups!$A$26:$C$33,3,FALSE),1)</f>
        <v>0.94295468617355149</v>
      </c>
      <c r="BU2423" s="4">
        <f>_xlfn.IFNA(VLOOKUP(Grandview_Inventory[[#This Row],[condition]],Lookups!$A$37:$C$44,3,FALSE),1)</f>
        <v>0.94347925387812148</v>
      </c>
      <c r="BV2423" s="4">
        <f>IF(Grandview_Inventory[[#This Row],[bldg_style]]="",1,_xlfn.IFNA(VLOOKUP(Grandview_Inventory[[#This Row],[decade]],Lookups!$F$29:$H$43,3,FALSE),1))</f>
        <v>0.9413635517371044</v>
      </c>
      <c r="BW2423" s="4">
        <f>_xlfn.IFNA(VLOOKUP(Grandview_Inventory[[#This Row],[living_area_range]],Lookups!$F$47:$H$56,3,FALSE),1)</f>
        <v>0.96135087979789358</v>
      </c>
      <c r="BX2423" s="4">
        <f>AVERAGE(Grandview_Inventory[[#This Row],[qual_adj]:[size_adj]])</f>
        <v>0.94728709289666768</v>
      </c>
      <c r="BY2423" s="6">
        <f>IF(Grandview_Inventory[[#This Row],[pre_res]]&lt;0,0,Grandview_Inventory[[#This Row],[pre_res]]*Grandview_Inventory[[#This Row],[overall_adj]])</f>
        <v>124796.18947881066</v>
      </c>
      <c r="BZ2423" s="6">
        <f>(Grandview_Inventory[[#This Row],[sum_land]]-IF(Grandview_Inventory[[#This Row],[no_utilities]]=1,12000,0))/IF(Grandview_Inventory[[#This Row],[unbuildable]]=1,2,1)</f>
        <v>48369.510983942157</v>
      </c>
      <c r="CA242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23">
        <f>ROUND(Grandview_Inventory[[#This Row],[det_value]]*Lookups!$M$28,-2)</f>
        <v>0</v>
      </c>
      <c r="CC2423">
        <f>IF(ROUND(Grandview_Inventory[[#This Row],[adj_res]]*Lookups!$M$28,-2)&lt;Grandview_Inventory[[#This Row],[min_res]],Grandview_Inventory[[#This Row],[min_res]],ROUND(Grandview_Inventory[[#This Row],[adj_res]]*Lookups!$M$28,-2))</f>
        <v>118600</v>
      </c>
      <c r="CD2423">
        <f>Grandview_Inventory[[#This Row],[final_det]]+Grandview_Inventory[[#This Row],[final_res]]</f>
        <v>118600</v>
      </c>
      <c r="CE2423">
        <f>Grandview_Inventory[[#This Row],[final_land]]+Grandview_Inventory[[#This Row],[final_imp]]+Grandview_Inventory[[#This Row],[crop_value]]</f>
        <v>164600</v>
      </c>
      <c r="CG2423" t="str">
        <f t="shared" si="37"/>
        <v>update valuation set market_land =46000, market_bldg=118600, market_total =164600, market_mdno =401, market_date ='9/10/2023' where link_id = (select link_id from parcel where parcel_year = '2024' and parcel_id = '23092621655');</v>
      </c>
    </row>
    <row r="2424" spans="1:85" x14ac:dyDescent="0.25">
      <c r="A2424">
        <v>23092621657</v>
      </c>
      <c r="B2424" t="s">
        <v>129</v>
      </c>
      <c r="C2424">
        <v>8715</v>
      </c>
      <c r="D2424" t="s">
        <v>129</v>
      </c>
      <c r="E2424" t="s">
        <v>53</v>
      </c>
      <c r="F2424" t="s">
        <v>53</v>
      </c>
      <c r="G2424">
        <v>4</v>
      </c>
      <c r="H2424" t="s">
        <v>54</v>
      </c>
      <c r="I2424">
        <v>0</v>
      </c>
      <c r="J2424">
        <v>32700</v>
      </c>
      <c r="K2424">
        <v>0.2</v>
      </c>
      <c r="L2424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24">
        <v>0</v>
      </c>
      <c r="N2424">
        <v>0</v>
      </c>
      <c r="O2424">
        <v>0</v>
      </c>
      <c r="P2424">
        <v>13398.7528</v>
      </c>
      <c r="Q2424">
        <v>63903</v>
      </c>
      <c r="R2424">
        <f>(Grandview_Inventory[[#This Row],[ln_acres]]*Grandview_Inventory[[#This Row],[coeff]])+Grandview_Inventory[[#This Row],[const]]</f>
        <v>42338.539264347448</v>
      </c>
      <c r="S2424" t="s">
        <v>55</v>
      </c>
      <c r="T2424">
        <v>2</v>
      </c>
      <c r="U2424" t="s">
        <v>62</v>
      </c>
      <c r="V2424" t="s">
        <v>57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2500</v>
      </c>
      <c r="AC2424">
        <v>2337</v>
      </c>
      <c r="AD2424">
        <v>1087</v>
      </c>
      <c r="AE2424">
        <v>1250</v>
      </c>
      <c r="AF2424">
        <v>0</v>
      </c>
      <c r="AG2424">
        <v>0</v>
      </c>
      <c r="AH2424">
        <v>0</v>
      </c>
      <c r="AI2424">
        <v>275</v>
      </c>
      <c r="AJ2424">
        <v>418</v>
      </c>
      <c r="AK2424">
        <v>0</v>
      </c>
      <c r="AL2424">
        <v>0</v>
      </c>
      <c r="AM2424">
        <v>0</v>
      </c>
      <c r="AN2424">
        <v>224</v>
      </c>
      <c r="AO2424">
        <v>0</v>
      </c>
      <c r="AP2424">
        <v>15</v>
      </c>
      <c r="AQ2424">
        <v>0</v>
      </c>
      <c r="AR2424">
        <v>0</v>
      </c>
      <c r="AS2424" t="s">
        <v>58</v>
      </c>
      <c r="AT2424">
        <v>1</v>
      </c>
      <c r="AU2424" t="s">
        <v>59</v>
      </c>
      <c r="AV2424" t="s">
        <v>60</v>
      </c>
      <c r="AW2424">
        <v>1</v>
      </c>
      <c r="AX2424">
        <v>4</v>
      </c>
      <c r="AY2424">
        <v>0</v>
      </c>
      <c r="AZ2424">
        <v>0</v>
      </c>
      <c r="BA2424">
        <v>100</v>
      </c>
      <c r="BB2424">
        <v>100</v>
      </c>
      <c r="BC2424">
        <v>100</v>
      </c>
      <c r="BD2424">
        <v>66</v>
      </c>
      <c r="BE2424">
        <v>0.66</v>
      </c>
      <c r="BF2424">
        <v>15000</v>
      </c>
      <c r="BG2424">
        <v>1000</v>
      </c>
      <c r="BH2424" s="6">
        <f>Grandview_Inventory[[#This Row],[land_extract]]*Lookups!$B$3</f>
        <v>49167.631333630678</v>
      </c>
      <c r="BI2424" s="6">
        <f>IF(Grandview_Inventory[[#This Row],[bldg_style]]="",0,Lookups!$B$2)</f>
        <v>155833.95000000001</v>
      </c>
      <c r="BJ2424" s="6">
        <f>_xlfn.IFNA(VLOOKUP(Grandview_Inventory[[#This Row],[quality]],Lookups!$H$2:$J$14,3,FALSE),0)</f>
        <v>9808</v>
      </c>
      <c r="BK2424" s="6">
        <f>_xlfn.IFNA(VLOOKUP(Grandview_Inventory[[#This Row],[condition]],Lookups!$H$17:$J$24,3,FALSE),0)</f>
        <v>25780</v>
      </c>
      <c r="BL2424" s="6">
        <f>Grandview_Inventory[[#This Row],[Eff_Age]]*Lookups!$B$14</f>
        <v>0</v>
      </c>
      <c r="BM2424" s="6">
        <f>Grandview_Inventory[[#This Row],[living_area]]*Lookups!$B$15</f>
        <v>145784.053461</v>
      </c>
      <c r="BN2424" s="6">
        <f>Grandview_Inventory[[#This Row],[Fin BSMT]]*Lookups!$B$16</f>
        <v>0</v>
      </c>
      <c r="BO2424" s="6">
        <f>(Grandview_Inventory[[#This Row],[att_gar]]+Grandview_Inventory[[#This Row],[bltin_gar]])*Lookups!$B$17</f>
        <v>60651.662840999998</v>
      </c>
      <c r="BP2424" s="6">
        <f>Grandview_Inventory[[#This Row],[Plumbing Fixtures]]*Lookups!$B$18</f>
        <v>30156.627</v>
      </c>
      <c r="BQ2424" s="6">
        <f>Grandview_Inventory[[#This Row],[detatched_value]]*Lookups!$B$19</f>
        <v>0</v>
      </c>
      <c r="BR2424" s="6">
        <f>SUM(Grandview_Inventory[[#This Row],[Intercept]:[det_value]])*Grandview_Inventory[[#This Row],[res_pct]]</f>
        <v>282489.43357932003</v>
      </c>
      <c r="BS2424" s="6">
        <f>Grandview_Inventory[[#This Row],[land_value]]</f>
        <v>49167.631333630678</v>
      </c>
      <c r="BT2424" s="4">
        <f>_xlfn.IFNA(VLOOKUP(Grandview_Inventory[[#This Row],[quality]],Lookups!$A$26:$C$33,3,FALSE),1)</f>
        <v>0.94295468617355149</v>
      </c>
      <c r="BU2424" s="4">
        <f>_xlfn.IFNA(VLOOKUP(Grandview_Inventory[[#This Row],[condition]],Lookups!$A$37:$C$44,3,FALSE),1)</f>
        <v>0.94347925387812148</v>
      </c>
      <c r="BV2424" s="4">
        <f>IF(Grandview_Inventory[[#This Row],[bldg_style]]="",1,_xlfn.IFNA(VLOOKUP(Grandview_Inventory[[#This Row],[decade]],Lookups!$F$29:$H$43,3,FALSE),1))</f>
        <v>0.9413635517371044</v>
      </c>
      <c r="BW2424" s="4">
        <f>_xlfn.IFNA(VLOOKUP(Grandview_Inventory[[#This Row],[living_area_range]],Lookups!$F$47:$H$56,3,FALSE),1)</f>
        <v>0.95799442568048754</v>
      </c>
      <c r="BX2424" s="4">
        <f>AVERAGE(Grandview_Inventory[[#This Row],[qual_adj]:[size_adj]])</f>
        <v>0.94644797936731617</v>
      </c>
      <c r="BY2424" s="6">
        <f>IF(Grandview_Inventory[[#This Row],[pre_res]]&lt;0,0,Grandview_Inventory[[#This Row],[pre_res]]*Grandview_Inventory[[#This Row],[overall_adj]])</f>
        <v>267361.55360376509</v>
      </c>
      <c r="BZ2424" s="6">
        <f>(Grandview_Inventory[[#This Row],[sum_land]]-IF(Grandview_Inventory[[#This Row],[no_utilities]]=1,12000,0))/IF(Grandview_Inventory[[#This Row],[unbuildable]]=1,2,1)</f>
        <v>49167.631333630678</v>
      </c>
      <c r="CA2424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24">
        <f>ROUND(Grandview_Inventory[[#This Row],[det_value]]*Lookups!$M$28,-2)</f>
        <v>0</v>
      </c>
      <c r="CC2424">
        <f>IF(ROUND(Grandview_Inventory[[#This Row],[adj_res]]*Lookups!$M$28,-2)&lt;Grandview_Inventory[[#This Row],[min_res]],Grandview_Inventory[[#This Row],[min_res]],ROUND(Grandview_Inventory[[#This Row],[adj_res]]*Lookups!$M$28,-2))</f>
        <v>254000</v>
      </c>
      <c r="CD2424">
        <f>Grandview_Inventory[[#This Row],[final_det]]+Grandview_Inventory[[#This Row],[final_res]]</f>
        <v>254000</v>
      </c>
      <c r="CE2424">
        <f>Grandview_Inventory[[#This Row],[final_land]]+Grandview_Inventory[[#This Row],[final_imp]]+Grandview_Inventory[[#This Row],[crop_value]]</f>
        <v>300700</v>
      </c>
      <c r="CG2424" t="str">
        <f t="shared" si="37"/>
        <v>update valuation set market_land =46700, market_bldg=254000, market_total =300700, market_mdno =401, market_date ='9/10/2023' where link_id = (select link_id from parcel where parcel_year = '2024' and parcel_id = '23092621657');</v>
      </c>
    </row>
    <row r="2425" spans="1:85" x14ac:dyDescent="0.25">
      <c r="A2425">
        <v>23092622003</v>
      </c>
      <c r="B2425">
        <v>0.48</v>
      </c>
      <c r="C2425" t="s">
        <v>129</v>
      </c>
      <c r="D2425" t="s">
        <v>129</v>
      </c>
      <c r="E2425" t="s">
        <v>53</v>
      </c>
      <c r="F2425" t="s">
        <v>53</v>
      </c>
      <c r="G2425">
        <v>4</v>
      </c>
      <c r="H2425" t="s">
        <v>54</v>
      </c>
      <c r="I2425">
        <v>210800</v>
      </c>
      <c r="J2425">
        <v>41800</v>
      </c>
      <c r="K2425">
        <v>0.48</v>
      </c>
      <c r="L2425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2425">
        <v>0</v>
      </c>
      <c r="N2425">
        <v>0</v>
      </c>
      <c r="O2425">
        <v>0</v>
      </c>
      <c r="P2425">
        <v>13398.7528</v>
      </c>
      <c r="Q2425">
        <v>63903</v>
      </c>
      <c r="R2425">
        <f>(Grandview_Inventory[[#This Row],[ln_acres]]*Grandview_Inventory[[#This Row],[coeff]])+Grandview_Inventory[[#This Row],[const]]</f>
        <v>54068.728460280472</v>
      </c>
      <c r="S2425" t="s">
        <v>61</v>
      </c>
      <c r="T2425">
        <v>1</v>
      </c>
      <c r="U2425" t="s">
        <v>65</v>
      </c>
      <c r="V2425" t="s">
        <v>69</v>
      </c>
      <c r="W2425">
        <v>0</v>
      </c>
      <c r="X2425">
        <v>0</v>
      </c>
      <c r="Y2425">
        <v>47</v>
      </c>
      <c r="Z2425">
        <v>58</v>
      </c>
      <c r="AA2425">
        <v>60</v>
      </c>
      <c r="AB2425">
        <v>1500</v>
      </c>
      <c r="AC2425">
        <v>1404</v>
      </c>
      <c r="AD2425">
        <v>1404</v>
      </c>
      <c r="AE2425">
        <v>0</v>
      </c>
      <c r="AF2425">
        <v>0</v>
      </c>
      <c r="AG2425">
        <v>0</v>
      </c>
      <c r="AH2425">
        <v>0</v>
      </c>
      <c r="AI2425">
        <v>616</v>
      </c>
      <c r="AJ2425">
        <v>0</v>
      </c>
      <c r="AK2425">
        <v>0</v>
      </c>
      <c r="AL2425">
        <v>0</v>
      </c>
      <c r="AM2425">
        <v>440</v>
      </c>
      <c r="AN2425">
        <v>0</v>
      </c>
      <c r="AO2425">
        <v>0</v>
      </c>
      <c r="AP2425">
        <v>8</v>
      </c>
      <c r="AQ2425">
        <v>0</v>
      </c>
      <c r="AR2425">
        <v>1</v>
      </c>
      <c r="AS2425" t="s">
        <v>58</v>
      </c>
      <c r="AT2425">
        <v>1</v>
      </c>
      <c r="AU2425" t="s">
        <v>63</v>
      </c>
      <c r="AV2425" t="s">
        <v>60</v>
      </c>
      <c r="AW2425">
        <v>1</v>
      </c>
      <c r="AX2425">
        <v>3</v>
      </c>
      <c r="AY2425">
        <v>0</v>
      </c>
      <c r="AZ2425">
        <v>0</v>
      </c>
      <c r="BA2425">
        <v>100</v>
      </c>
      <c r="BB2425">
        <v>100</v>
      </c>
      <c r="BC2425">
        <v>100</v>
      </c>
      <c r="BD2425">
        <v>100</v>
      </c>
      <c r="BE2425">
        <v>1</v>
      </c>
      <c r="BF2425">
        <v>15000</v>
      </c>
      <c r="BG2425">
        <v>1000</v>
      </c>
      <c r="BH2425" s="6">
        <f>Grandview_Inventory[[#This Row],[land_extract]]*Lookups!$B$3</f>
        <v>62789.868375356869</v>
      </c>
      <c r="BI2425" s="6">
        <f>IF(Grandview_Inventory[[#This Row],[bldg_style]]="",0,Lookups!$B$2)</f>
        <v>155833.95000000001</v>
      </c>
      <c r="BJ2425" s="6">
        <f>_xlfn.IFNA(VLOOKUP(Grandview_Inventory[[#This Row],[quality]],Lookups!$H$2:$J$14,3,FALSE),0)</f>
        <v>2251</v>
      </c>
      <c r="BK2425" s="6">
        <f>_xlfn.IFNA(VLOOKUP(Grandview_Inventory[[#This Row],[condition]],Lookups!$H$17:$J$24,3,FALSE),0)</f>
        <v>-4503</v>
      </c>
      <c r="BL2425" s="6">
        <f>Grandview_Inventory[[#This Row],[Eff_Age]]*Lookups!$B$14</f>
        <v>-11240.8302</v>
      </c>
      <c r="BM2425" s="6">
        <f>Grandview_Inventory[[#This Row],[living_area]]*Lookups!$B$15</f>
        <v>87582.717612000008</v>
      </c>
      <c r="BN2425" s="6">
        <f>Grandview_Inventory[[#This Row],[Fin BSMT]]*Lookups!$B$16</f>
        <v>0</v>
      </c>
      <c r="BO2425" s="6">
        <f>(Grandview_Inventory[[#This Row],[att_gar]]+Grandview_Inventory[[#This Row],[bltin_gar]])*Lookups!$B$17</f>
        <v>53912.589191999999</v>
      </c>
      <c r="BP2425" s="6">
        <f>Grandview_Inventory[[#This Row],[Plumbing Fixtures]]*Lookups!$B$18</f>
        <v>16083.5344</v>
      </c>
      <c r="BQ2425" s="6">
        <f>Grandview_Inventory[[#This Row],[detatched_value]]*Lookups!$B$19</f>
        <v>0</v>
      </c>
      <c r="BR2425" s="6">
        <f>SUM(Grandview_Inventory[[#This Row],[Intercept]:[det_value]])*Grandview_Inventory[[#This Row],[res_pct]]</f>
        <v>299919.96100400004</v>
      </c>
      <c r="BS2425" s="6">
        <f>Grandview_Inventory[[#This Row],[land_value]]</f>
        <v>62789.868375356869</v>
      </c>
      <c r="BT2425" s="4">
        <f>_xlfn.IFNA(VLOOKUP(Grandview_Inventory[[#This Row],[quality]],Lookups!$A$26:$C$33,3,FALSE),1)</f>
        <v>0.98763855981004833</v>
      </c>
      <c r="BU2425" s="4">
        <f>_xlfn.IFNA(VLOOKUP(Grandview_Inventory[[#This Row],[condition]],Lookups!$A$37:$C$44,3,FALSE),1)</f>
        <v>0.96469275950863709</v>
      </c>
      <c r="BV2425" s="4">
        <f>IF(Grandview_Inventory[[#This Row],[bldg_style]]="",1,_xlfn.IFNA(VLOOKUP(Grandview_Inventory[[#This Row],[decade]],Lookups!$F$29:$H$43,3,FALSE),1))</f>
        <v>0.95268620544463312</v>
      </c>
      <c r="BW2425" s="4">
        <f>_xlfn.IFNA(VLOOKUP(Grandview_Inventory[[#This Row],[living_area_range]],Lookups!$F$47:$H$56,3,FALSE),1)</f>
        <v>0.96135087979789358</v>
      </c>
      <c r="BX2425" s="4">
        <f>AVERAGE(Grandview_Inventory[[#This Row],[qual_adj]:[size_adj]])</f>
        <v>0.96659210114030303</v>
      </c>
      <c r="BY2425" s="6">
        <f>IF(Grandview_Inventory[[#This Row],[pre_res]]&lt;0,0,Grandview_Inventory[[#This Row],[pre_res]]*Grandview_Inventory[[#This Row],[overall_adj]])</f>
        <v>289900.26528077415</v>
      </c>
      <c r="BZ2425" s="6">
        <f>(Grandview_Inventory[[#This Row],[sum_land]]-IF(Grandview_Inventory[[#This Row],[no_utilities]]=1,12000,0))/IF(Grandview_Inventory[[#This Row],[unbuildable]]=1,2,1)</f>
        <v>62789.868375356869</v>
      </c>
      <c r="CA2425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2425">
        <f>ROUND(Grandview_Inventory[[#This Row],[det_value]]*Lookups!$M$28,-2)</f>
        <v>0</v>
      </c>
      <c r="CC2425">
        <f>IF(ROUND(Grandview_Inventory[[#This Row],[adj_res]]*Lookups!$M$28,-2)&lt;Grandview_Inventory[[#This Row],[min_res]],Grandview_Inventory[[#This Row],[min_res]],ROUND(Grandview_Inventory[[#This Row],[adj_res]]*Lookups!$M$28,-2))</f>
        <v>275400</v>
      </c>
      <c r="CD2425">
        <f>Grandview_Inventory[[#This Row],[final_det]]+Grandview_Inventory[[#This Row],[final_res]]</f>
        <v>275400</v>
      </c>
      <c r="CE2425">
        <f>Grandview_Inventory[[#This Row],[final_land]]+Grandview_Inventory[[#This Row],[final_imp]]+Grandview_Inventory[[#This Row],[crop_value]]</f>
        <v>335100</v>
      </c>
      <c r="CG2425" t="str">
        <f t="shared" si="37"/>
        <v>update valuation set market_land =59700, market_bldg=275400, market_total =335100, market_mdno =401, market_date ='9/10/2023' where link_id = (select link_id from parcel where parcel_year = '2024' and parcel_id = '23092622003');</v>
      </c>
    </row>
    <row r="2426" spans="1:85" x14ac:dyDescent="0.25">
      <c r="A2426">
        <v>23092622004</v>
      </c>
      <c r="B2426">
        <v>0.71</v>
      </c>
      <c r="C2426">
        <v>30930</v>
      </c>
      <c r="D2426" t="s">
        <v>129</v>
      </c>
      <c r="E2426" t="s">
        <v>53</v>
      </c>
      <c r="F2426" t="s">
        <v>53</v>
      </c>
      <c r="G2426">
        <v>4</v>
      </c>
      <c r="H2426" t="s">
        <v>54</v>
      </c>
      <c r="I2426">
        <v>281200</v>
      </c>
      <c r="J2426">
        <v>42800</v>
      </c>
      <c r="K2426">
        <v>0.71</v>
      </c>
      <c r="L2426">
        <f>IF(Grandview_Inventory[[#This Row],[parcel_acres]]-Grandview_Inventory[[#This Row],[non_valued_acres]] =0,0,LN(Grandview_Inventory[[#This Row],[parcel_acres]]-Grandview_Inventory[[#This Row],[non_valued_acres]]))</f>
        <v>-0.34249030894677601</v>
      </c>
      <c r="M2426">
        <v>0</v>
      </c>
      <c r="N2426">
        <v>0</v>
      </c>
      <c r="O2426">
        <v>0</v>
      </c>
      <c r="P2426">
        <v>13398.7528</v>
      </c>
      <c r="Q2426">
        <v>63903</v>
      </c>
      <c r="R2426">
        <f>(Grandview_Inventory[[#This Row],[ln_acres]]*Grandview_Inventory[[#This Row],[coeff]])+Grandview_Inventory[[#This Row],[const]]</f>
        <v>59314.057014026519</v>
      </c>
      <c r="S2426" t="s">
        <v>77</v>
      </c>
      <c r="T2426">
        <v>1</v>
      </c>
      <c r="U2426" t="s">
        <v>62</v>
      </c>
      <c r="V2426" t="s">
        <v>67</v>
      </c>
      <c r="W2426">
        <v>0</v>
      </c>
      <c r="X2426">
        <v>0</v>
      </c>
      <c r="Y2426">
        <v>48</v>
      </c>
      <c r="Z2426">
        <v>59</v>
      </c>
      <c r="AA2426">
        <v>60</v>
      </c>
      <c r="AB2426">
        <v>2500</v>
      </c>
      <c r="AC2426">
        <v>2393</v>
      </c>
      <c r="AD2426">
        <v>1529</v>
      </c>
      <c r="AE2426">
        <v>0</v>
      </c>
      <c r="AF2426">
        <v>0</v>
      </c>
      <c r="AG2426">
        <v>864</v>
      </c>
      <c r="AH2426">
        <v>0</v>
      </c>
      <c r="AI2426">
        <v>0</v>
      </c>
      <c r="AJ2426">
        <v>619</v>
      </c>
      <c r="AK2426">
        <v>0</v>
      </c>
      <c r="AL2426">
        <v>168</v>
      </c>
      <c r="AM2426">
        <v>400</v>
      </c>
      <c r="AN2426">
        <v>32</v>
      </c>
      <c r="AO2426">
        <v>400</v>
      </c>
      <c r="AP2426">
        <v>10</v>
      </c>
      <c r="AQ2426">
        <v>0</v>
      </c>
      <c r="AR2426">
        <v>1</v>
      </c>
      <c r="AS2426" t="s">
        <v>58</v>
      </c>
      <c r="AT2426">
        <v>1</v>
      </c>
      <c r="AU2426" t="s">
        <v>63</v>
      </c>
      <c r="AV2426" t="s">
        <v>64</v>
      </c>
      <c r="AW2426">
        <v>1</v>
      </c>
      <c r="AX2426">
        <v>5</v>
      </c>
      <c r="AY2426">
        <v>0</v>
      </c>
      <c r="AZ2426">
        <v>0</v>
      </c>
      <c r="BA2426">
        <v>100</v>
      </c>
      <c r="BB2426">
        <v>100</v>
      </c>
      <c r="BC2426">
        <v>100</v>
      </c>
      <c r="BD2426">
        <v>100</v>
      </c>
      <c r="BE2426">
        <v>1</v>
      </c>
      <c r="BF2426">
        <v>15000</v>
      </c>
      <c r="BG2426">
        <v>1000</v>
      </c>
      <c r="BH2426" s="6">
        <f>Grandview_Inventory[[#This Row],[land_extract]]*Lookups!$B$3</f>
        <v>68881.254262435061</v>
      </c>
      <c r="BI2426" s="6">
        <f>IF(Grandview_Inventory[[#This Row],[bldg_style]]="",0,Lookups!$B$2)</f>
        <v>155833.95000000001</v>
      </c>
      <c r="BJ2426" s="6">
        <f>_xlfn.IFNA(VLOOKUP(Grandview_Inventory[[#This Row],[quality]],Lookups!$H$2:$J$14,3,FALSE),0)</f>
        <v>9808</v>
      </c>
      <c r="BK2426" s="6">
        <f>_xlfn.IFNA(VLOOKUP(Grandview_Inventory[[#This Row],[condition]],Lookups!$H$17:$J$24,3,FALSE),0)</f>
        <v>22342</v>
      </c>
      <c r="BL2426" s="6">
        <f>Grandview_Inventory[[#This Row],[Eff_Age]]*Lookups!$B$14</f>
        <v>-11479.996799999999</v>
      </c>
      <c r="BM2426" s="6">
        <f>Grandview_Inventory[[#This Row],[living_area]]*Lookups!$B$15</f>
        <v>149277.38122899999</v>
      </c>
      <c r="BN2426" s="6">
        <f>Grandview_Inventory[[#This Row],[Fin BSMT]]*Lookups!$B$16</f>
        <v>-23413.74336</v>
      </c>
      <c r="BO2426" s="6">
        <f>(Grandview_Inventory[[#This Row],[att_gar]]+Grandview_Inventory[[#This Row],[bltin_gar]])*Lookups!$B$17</f>
        <v>54175.150502999997</v>
      </c>
      <c r="BP2426" s="6">
        <f>Grandview_Inventory[[#This Row],[Plumbing Fixtures]]*Lookups!$B$18</f>
        <v>20104.418000000001</v>
      </c>
      <c r="BQ2426" s="6">
        <f>Grandview_Inventory[[#This Row],[detatched_value]]*Lookups!$B$19</f>
        <v>0</v>
      </c>
      <c r="BR2426" s="6">
        <f>SUM(Grandview_Inventory[[#This Row],[Intercept]:[det_value]])*Grandview_Inventory[[#This Row],[res_pct]]</f>
        <v>376647.15957200003</v>
      </c>
      <c r="BS2426" s="6">
        <f>Grandview_Inventory[[#This Row],[land_value]]</f>
        <v>68881.254262435061</v>
      </c>
      <c r="BT2426" s="4">
        <f>_xlfn.IFNA(VLOOKUP(Grandview_Inventory[[#This Row],[quality]],Lookups!$A$26:$C$33,3,FALSE),1)</f>
        <v>0.94295468617355149</v>
      </c>
      <c r="BU2426" s="4">
        <f>_xlfn.IFNA(VLOOKUP(Grandview_Inventory[[#This Row],[condition]],Lookups!$A$37:$C$44,3,FALSE),1)</f>
        <v>0.97383723671140243</v>
      </c>
      <c r="BV2426" s="4">
        <f>IF(Grandview_Inventory[[#This Row],[bldg_style]]="",1,_xlfn.IFNA(VLOOKUP(Grandview_Inventory[[#This Row],[decade]],Lookups!$F$29:$H$43,3,FALSE),1))</f>
        <v>0.95268620544463312</v>
      </c>
      <c r="BW2426" s="4">
        <f>_xlfn.IFNA(VLOOKUP(Grandview_Inventory[[#This Row],[living_area_range]],Lookups!$F$47:$H$56,3,FALSE),1)</f>
        <v>0.95799442568048754</v>
      </c>
      <c r="BX2426" s="4">
        <f>AVERAGE(Grandview_Inventory[[#This Row],[qual_adj]:[size_adj]])</f>
        <v>0.95686813850251862</v>
      </c>
      <c r="BY2426" s="6">
        <f>IF(Grandview_Inventory[[#This Row],[pre_res]]&lt;0,0,Grandview_Inventory[[#This Row],[pre_res]]*Grandview_Inventory[[#This Row],[overall_adj]])</f>
        <v>360401.66645192076</v>
      </c>
      <c r="BZ2426" s="6">
        <f>(Grandview_Inventory[[#This Row],[sum_land]]-IF(Grandview_Inventory[[#This Row],[no_utilities]]=1,12000,0))/IF(Grandview_Inventory[[#This Row],[unbuildable]]=1,2,1)</f>
        <v>68881.254262435061</v>
      </c>
      <c r="CA2426">
        <f>IF(ROUND(Grandview_Inventory[[#This Row],[adj_land]]*Lookups!$M$28,-2)&lt;Grandview_Inventory[[#This Row],[min_land]],Grandview_Inventory[[#This Row],[min_land]],ROUND(Grandview_Inventory[[#This Row],[adj_land]]*Lookups!$M$28,-2))</f>
        <v>65400</v>
      </c>
      <c r="CB2426">
        <f>ROUND(Grandview_Inventory[[#This Row],[det_value]]*Lookups!$M$28,-2)</f>
        <v>0</v>
      </c>
      <c r="CC2426">
        <f>IF(ROUND(Grandview_Inventory[[#This Row],[adj_res]]*Lookups!$M$28,-2)&lt;Grandview_Inventory[[#This Row],[min_res]],Grandview_Inventory[[#This Row],[min_res]],ROUND(Grandview_Inventory[[#This Row],[adj_res]]*Lookups!$M$28,-2))</f>
        <v>342400</v>
      </c>
      <c r="CD2426">
        <f>Grandview_Inventory[[#This Row],[final_det]]+Grandview_Inventory[[#This Row],[final_res]]</f>
        <v>342400</v>
      </c>
      <c r="CE2426">
        <f>Grandview_Inventory[[#This Row],[final_land]]+Grandview_Inventory[[#This Row],[final_imp]]+Grandview_Inventory[[#This Row],[crop_value]]</f>
        <v>407800</v>
      </c>
      <c r="CG2426" t="str">
        <f t="shared" si="37"/>
        <v>update valuation set market_land =65400, market_bldg=342400, market_total =407800, market_mdno =401, market_date ='9/10/2023' where link_id = (select link_id from parcel where parcel_year = '2024' and parcel_id = '23092622004');</v>
      </c>
    </row>
    <row r="2427" spans="1:85" x14ac:dyDescent="0.25">
      <c r="A2427">
        <v>23092622005</v>
      </c>
      <c r="B2427">
        <v>0.48</v>
      </c>
      <c r="C2427">
        <v>20954</v>
      </c>
      <c r="D2427" t="s">
        <v>129</v>
      </c>
      <c r="E2427" t="s">
        <v>53</v>
      </c>
      <c r="F2427" t="s">
        <v>53</v>
      </c>
      <c r="G2427">
        <v>4</v>
      </c>
      <c r="H2427" t="s">
        <v>54</v>
      </c>
      <c r="I2427">
        <v>223800</v>
      </c>
      <c r="J2427">
        <v>41800</v>
      </c>
      <c r="K2427">
        <v>0.48</v>
      </c>
      <c r="L2427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2427">
        <v>0</v>
      </c>
      <c r="N2427">
        <v>0</v>
      </c>
      <c r="O2427">
        <v>0</v>
      </c>
      <c r="P2427">
        <v>13398.7528</v>
      </c>
      <c r="Q2427">
        <v>63903</v>
      </c>
      <c r="R2427">
        <f>(Grandview_Inventory[[#This Row],[ln_acres]]*Grandview_Inventory[[#This Row],[coeff]])+Grandview_Inventory[[#This Row],[const]]</f>
        <v>54068.728460280472</v>
      </c>
      <c r="S2427" t="s">
        <v>61</v>
      </c>
      <c r="T2427">
        <v>1</v>
      </c>
      <c r="U2427" t="s">
        <v>62</v>
      </c>
      <c r="V2427" t="s">
        <v>69</v>
      </c>
      <c r="W2427">
        <v>0</v>
      </c>
      <c r="X2427">
        <v>0</v>
      </c>
      <c r="Y2427">
        <v>47</v>
      </c>
      <c r="Z2427">
        <v>57</v>
      </c>
      <c r="AA2427">
        <v>60</v>
      </c>
      <c r="AB2427">
        <v>2500</v>
      </c>
      <c r="AC2427">
        <v>2393</v>
      </c>
      <c r="AD2427">
        <v>1665</v>
      </c>
      <c r="AE2427">
        <v>0</v>
      </c>
      <c r="AF2427">
        <v>0</v>
      </c>
      <c r="AG2427">
        <v>728</v>
      </c>
      <c r="AH2427">
        <v>0</v>
      </c>
      <c r="AI2427">
        <v>0</v>
      </c>
      <c r="AJ2427">
        <v>468</v>
      </c>
      <c r="AK2427">
        <v>0</v>
      </c>
      <c r="AL2427">
        <v>0</v>
      </c>
      <c r="AM2427">
        <v>112</v>
      </c>
      <c r="AN2427">
        <v>155</v>
      </c>
      <c r="AO2427">
        <v>112</v>
      </c>
      <c r="AP2427">
        <v>7</v>
      </c>
      <c r="AQ2427">
        <v>0</v>
      </c>
      <c r="AR2427">
        <v>1</v>
      </c>
      <c r="AS2427" t="s">
        <v>58</v>
      </c>
      <c r="AT2427">
        <v>1</v>
      </c>
      <c r="AU2427" t="s">
        <v>63</v>
      </c>
      <c r="AV2427" t="s">
        <v>64</v>
      </c>
      <c r="AW2427">
        <v>1</v>
      </c>
      <c r="AX2427">
        <v>3</v>
      </c>
      <c r="AY2427">
        <v>0</v>
      </c>
      <c r="AZ2427">
        <v>4300</v>
      </c>
      <c r="BA2427">
        <v>100</v>
      </c>
      <c r="BB2427">
        <v>100</v>
      </c>
      <c r="BC2427">
        <v>100</v>
      </c>
      <c r="BD2427">
        <v>100</v>
      </c>
      <c r="BE2427">
        <v>1</v>
      </c>
      <c r="BF2427">
        <v>15000</v>
      </c>
      <c r="BG2427">
        <v>1000</v>
      </c>
      <c r="BH2427" s="6">
        <f>Grandview_Inventory[[#This Row],[land_extract]]*Lookups!$B$3</f>
        <v>62789.868375356869</v>
      </c>
      <c r="BI2427" s="6">
        <f>IF(Grandview_Inventory[[#This Row],[bldg_style]]="",0,Lookups!$B$2)</f>
        <v>155833.95000000001</v>
      </c>
      <c r="BJ2427" s="6">
        <f>_xlfn.IFNA(VLOOKUP(Grandview_Inventory[[#This Row],[quality]],Lookups!$H$2:$J$14,3,FALSE),0)</f>
        <v>9808</v>
      </c>
      <c r="BK2427" s="6">
        <f>_xlfn.IFNA(VLOOKUP(Grandview_Inventory[[#This Row],[condition]],Lookups!$H$17:$J$24,3,FALSE),0)</f>
        <v>-4503</v>
      </c>
      <c r="BL2427" s="6">
        <f>Grandview_Inventory[[#This Row],[Eff_Age]]*Lookups!$B$14</f>
        <v>-11240.8302</v>
      </c>
      <c r="BM2427" s="6">
        <f>Grandview_Inventory[[#This Row],[living_area]]*Lookups!$B$15</f>
        <v>149277.38122899999</v>
      </c>
      <c r="BN2427" s="6">
        <f>Grandview_Inventory[[#This Row],[Fin BSMT]]*Lookups!$B$16</f>
        <v>-19728.246720000003</v>
      </c>
      <c r="BO2427" s="6">
        <f>(Grandview_Inventory[[#This Row],[att_gar]]+Grandview_Inventory[[#This Row],[bltin_gar]])*Lookups!$B$17</f>
        <v>40959.564515999999</v>
      </c>
      <c r="BP2427" s="6">
        <f>Grandview_Inventory[[#This Row],[Plumbing Fixtures]]*Lookups!$B$18</f>
        <v>14073.0926</v>
      </c>
      <c r="BQ2427" s="6">
        <f>Grandview_Inventory[[#This Row],[detatched_value]]*Lookups!$B$19</f>
        <v>3641.2619300000001</v>
      </c>
      <c r="BR2427" s="6">
        <f>SUM(Grandview_Inventory[[#This Row],[Intercept]:[det_value]])*Grandview_Inventory[[#This Row],[res_pct]]</f>
        <v>338121.17335499998</v>
      </c>
      <c r="BS2427" s="6">
        <f>Grandview_Inventory[[#This Row],[land_value]]</f>
        <v>62789.868375356869</v>
      </c>
      <c r="BT2427" s="4">
        <f>_xlfn.IFNA(VLOOKUP(Grandview_Inventory[[#This Row],[quality]],Lookups!$A$26:$C$33,3,FALSE),1)</f>
        <v>0.94295468617355149</v>
      </c>
      <c r="BU2427" s="4">
        <f>_xlfn.IFNA(VLOOKUP(Grandview_Inventory[[#This Row],[condition]],Lookups!$A$37:$C$44,3,FALSE),1)</f>
        <v>0.96469275950863709</v>
      </c>
      <c r="BV2427" s="4">
        <f>IF(Grandview_Inventory[[#This Row],[bldg_style]]="",1,_xlfn.IFNA(VLOOKUP(Grandview_Inventory[[#This Row],[decade]],Lookups!$F$29:$H$43,3,FALSE),1))</f>
        <v>0.95268620544463312</v>
      </c>
      <c r="BW2427" s="4">
        <f>_xlfn.IFNA(VLOOKUP(Grandview_Inventory[[#This Row],[living_area_range]],Lookups!$F$47:$H$56,3,FALSE),1)</f>
        <v>0.95799442568048754</v>
      </c>
      <c r="BX2427" s="4">
        <f>AVERAGE(Grandview_Inventory[[#This Row],[qual_adj]:[size_adj]])</f>
        <v>0.95458201920182728</v>
      </c>
      <c r="BY2427" s="6">
        <f>IF(Grandview_Inventory[[#This Row],[pre_res]]&lt;0,0,Grandview_Inventory[[#This Row],[pre_res]]*Grandview_Inventory[[#This Row],[overall_adj]])</f>
        <v>322764.39239610697</v>
      </c>
      <c r="BZ2427" s="6">
        <f>(Grandview_Inventory[[#This Row],[sum_land]]-IF(Grandview_Inventory[[#This Row],[no_utilities]]=1,12000,0))/IF(Grandview_Inventory[[#This Row],[unbuildable]]=1,2,1)</f>
        <v>62789.868375356869</v>
      </c>
      <c r="CA2427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2427">
        <f>ROUND(Grandview_Inventory[[#This Row],[det_value]]*Lookups!$M$28,-2)</f>
        <v>3500</v>
      </c>
      <c r="CC2427">
        <f>IF(ROUND(Grandview_Inventory[[#This Row],[adj_res]]*Lookups!$M$28,-2)&lt;Grandview_Inventory[[#This Row],[min_res]],Grandview_Inventory[[#This Row],[min_res]],ROUND(Grandview_Inventory[[#This Row],[adj_res]]*Lookups!$M$28,-2))</f>
        <v>306600</v>
      </c>
      <c r="CD2427">
        <f>Grandview_Inventory[[#This Row],[final_det]]+Grandview_Inventory[[#This Row],[final_res]]</f>
        <v>310100</v>
      </c>
      <c r="CE2427">
        <f>Grandview_Inventory[[#This Row],[final_land]]+Grandview_Inventory[[#This Row],[final_imp]]+Grandview_Inventory[[#This Row],[crop_value]]</f>
        <v>369800</v>
      </c>
      <c r="CG2427" t="str">
        <f t="shared" si="37"/>
        <v>update valuation set market_land =59700, market_bldg=310100, market_total =369800, market_mdno =401, market_date ='9/10/2023' where link_id = (select link_id from parcel where parcel_year = '2024' and parcel_id = '23092622005');</v>
      </c>
    </row>
    <row r="2428" spans="1:85" x14ac:dyDescent="0.25">
      <c r="A2428">
        <v>23092622007</v>
      </c>
      <c r="B2428">
        <v>0.65</v>
      </c>
      <c r="C2428">
        <v>28412</v>
      </c>
      <c r="D2428" t="s">
        <v>129</v>
      </c>
      <c r="E2428" t="s">
        <v>53</v>
      </c>
      <c r="F2428" t="s">
        <v>53</v>
      </c>
      <c r="G2428">
        <v>4</v>
      </c>
      <c r="H2428" t="s">
        <v>54</v>
      </c>
      <c r="I2428">
        <v>281300</v>
      </c>
      <c r="J2428">
        <v>44200</v>
      </c>
      <c r="K2428">
        <v>0.65</v>
      </c>
      <c r="L2428">
        <f>IF(Grandview_Inventory[[#This Row],[parcel_acres]]-Grandview_Inventory[[#This Row],[non_valued_acres]] =0,0,LN(Grandview_Inventory[[#This Row],[parcel_acres]]-Grandview_Inventory[[#This Row],[non_valued_acres]]))</f>
        <v>-0.43078291609245423</v>
      </c>
      <c r="M2428">
        <v>0</v>
      </c>
      <c r="N2428">
        <v>0</v>
      </c>
      <c r="O2428">
        <v>0</v>
      </c>
      <c r="P2428">
        <v>13398.7528</v>
      </c>
      <c r="Q2428">
        <v>63903</v>
      </c>
      <c r="R2428">
        <f>(Grandview_Inventory[[#This Row],[ln_acres]]*Grandview_Inventory[[#This Row],[coeff]])+Grandview_Inventory[[#This Row],[const]]</f>
        <v>58131.046196814066</v>
      </c>
      <c r="S2428" t="s">
        <v>55</v>
      </c>
      <c r="T2428">
        <v>2</v>
      </c>
      <c r="U2428" t="s">
        <v>62</v>
      </c>
      <c r="V2428" t="s">
        <v>67</v>
      </c>
      <c r="W2428">
        <v>0</v>
      </c>
      <c r="X2428">
        <v>0</v>
      </c>
      <c r="Y2428">
        <v>65</v>
      </c>
      <c r="Z2428">
        <v>113</v>
      </c>
      <c r="AA2428">
        <v>120</v>
      </c>
      <c r="AB2428">
        <v>3000</v>
      </c>
      <c r="AC2428">
        <v>2857</v>
      </c>
      <c r="AD2428">
        <v>2097</v>
      </c>
      <c r="AE2428">
        <v>760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32</v>
      </c>
      <c r="AO2428">
        <v>0</v>
      </c>
      <c r="AP2428">
        <v>8</v>
      </c>
      <c r="AQ2428">
        <v>0</v>
      </c>
      <c r="AR2428">
        <v>2</v>
      </c>
      <c r="AS2428" t="s">
        <v>58</v>
      </c>
      <c r="AT2428">
        <v>1</v>
      </c>
      <c r="AU2428" t="s">
        <v>144</v>
      </c>
      <c r="AV2428" t="s">
        <v>64</v>
      </c>
      <c r="AW2428">
        <v>0</v>
      </c>
      <c r="AX2428">
        <v>3</v>
      </c>
      <c r="AY2428">
        <v>0</v>
      </c>
      <c r="AZ2428">
        <v>10300</v>
      </c>
      <c r="BA2428">
        <v>100</v>
      </c>
      <c r="BB2428">
        <v>100</v>
      </c>
      <c r="BC2428">
        <v>100</v>
      </c>
      <c r="BD2428">
        <v>100</v>
      </c>
      <c r="BE2428">
        <v>1</v>
      </c>
      <c r="BF2428">
        <v>15000</v>
      </c>
      <c r="BG2428">
        <v>1000</v>
      </c>
      <c r="BH2428" s="6">
        <f>Grandview_Inventory[[#This Row],[land_extract]]*Lookups!$B$3</f>
        <v>67507.426994535446</v>
      </c>
      <c r="BI2428" s="6">
        <f>IF(Grandview_Inventory[[#This Row],[bldg_style]]="",0,Lookups!$B$2)</f>
        <v>155833.95000000001</v>
      </c>
      <c r="BJ2428" s="6">
        <f>_xlfn.IFNA(VLOOKUP(Grandview_Inventory[[#This Row],[quality]],Lookups!$H$2:$J$14,3,FALSE),0)</f>
        <v>9808</v>
      </c>
      <c r="BK2428" s="6">
        <f>_xlfn.IFNA(VLOOKUP(Grandview_Inventory[[#This Row],[condition]],Lookups!$H$17:$J$24,3,FALSE),0)</f>
        <v>22342</v>
      </c>
      <c r="BL2428" s="6">
        <f>Grandview_Inventory[[#This Row],[Eff_Age]]*Lookups!$B$14</f>
        <v>-15545.829</v>
      </c>
      <c r="BM2428" s="6">
        <f>Grandview_Inventory[[#This Row],[living_area]]*Lookups!$B$15</f>
        <v>178222.09702099999</v>
      </c>
      <c r="BN2428" s="6">
        <f>Grandview_Inventory[[#This Row],[Fin BSMT]]*Lookups!$B$16</f>
        <v>0</v>
      </c>
      <c r="BO2428" s="6">
        <f>(Grandview_Inventory[[#This Row],[att_gar]]+Grandview_Inventory[[#This Row],[bltin_gar]])*Lookups!$B$17</f>
        <v>0</v>
      </c>
      <c r="BP2428" s="6">
        <f>Grandview_Inventory[[#This Row],[Plumbing Fixtures]]*Lookups!$B$18</f>
        <v>16083.5344</v>
      </c>
      <c r="BQ2428" s="6">
        <f>Grandview_Inventory[[#This Row],[detatched_value]]*Lookups!$B$19</f>
        <v>8722.0925299999999</v>
      </c>
      <c r="BR2428" s="6">
        <f>SUM(Grandview_Inventory[[#This Row],[Intercept]:[det_value]])*Grandview_Inventory[[#This Row],[res_pct]]</f>
        <v>375465.84495100006</v>
      </c>
      <c r="BS2428" s="6">
        <f>Grandview_Inventory[[#This Row],[land_value]]</f>
        <v>67507.426994535446</v>
      </c>
      <c r="BT2428" s="4">
        <f>_xlfn.IFNA(VLOOKUP(Grandview_Inventory[[#This Row],[quality]],Lookups!$A$26:$C$33,3,FALSE),1)</f>
        <v>0.94295468617355149</v>
      </c>
      <c r="BU2428" s="4">
        <f>_xlfn.IFNA(VLOOKUP(Grandview_Inventory[[#This Row],[condition]],Lookups!$A$37:$C$44,3,FALSE),1)</f>
        <v>0.97383723671140243</v>
      </c>
      <c r="BV2428" s="4">
        <f>IF(Grandview_Inventory[[#This Row],[bldg_style]]="",1,_xlfn.IFNA(VLOOKUP(Grandview_Inventory[[#This Row],[decade]],Lookups!$F$29:$H$43,3,FALSE),1))</f>
        <v>0.9251738460551937</v>
      </c>
      <c r="BW2428" s="4">
        <f>_xlfn.IFNA(VLOOKUP(Grandview_Inventory[[#This Row],[living_area_range]],Lookups!$F$47:$H$56,3,FALSE),1)</f>
        <v>0.94224801443562123</v>
      </c>
      <c r="BX2428" s="4">
        <f>AVERAGE(Grandview_Inventory[[#This Row],[qual_adj]:[size_adj]])</f>
        <v>0.94605344584394224</v>
      </c>
      <c r="BY2428" s="6">
        <f>IF(Grandview_Inventory[[#This Row],[pre_res]]&lt;0,0,Grandview_Inventory[[#This Row],[pre_res]]*Grandview_Inventory[[#This Row],[overall_adj]])</f>
        <v>355210.75641260098</v>
      </c>
      <c r="BZ2428" s="6">
        <f>(Grandview_Inventory[[#This Row],[sum_land]]-IF(Grandview_Inventory[[#This Row],[no_utilities]]=1,12000,0))/IF(Grandview_Inventory[[#This Row],[unbuildable]]=1,2,1)</f>
        <v>67507.426994535446</v>
      </c>
      <c r="CA2428">
        <f>IF(ROUND(Grandview_Inventory[[#This Row],[adj_land]]*Lookups!$M$28,-2)&lt;Grandview_Inventory[[#This Row],[min_land]],Grandview_Inventory[[#This Row],[min_land]],ROUND(Grandview_Inventory[[#This Row],[adj_land]]*Lookups!$M$28,-2))</f>
        <v>64100</v>
      </c>
      <c r="CB2428">
        <f>ROUND(Grandview_Inventory[[#This Row],[det_value]]*Lookups!$M$28,-2)</f>
        <v>8300</v>
      </c>
      <c r="CC2428">
        <f>IF(ROUND(Grandview_Inventory[[#This Row],[adj_res]]*Lookups!$M$28,-2)&lt;Grandview_Inventory[[#This Row],[min_res]],Grandview_Inventory[[#This Row],[min_res]],ROUND(Grandview_Inventory[[#This Row],[adj_res]]*Lookups!$M$28,-2))</f>
        <v>337500</v>
      </c>
      <c r="CD2428">
        <f>Grandview_Inventory[[#This Row],[final_det]]+Grandview_Inventory[[#This Row],[final_res]]</f>
        <v>345800</v>
      </c>
      <c r="CE2428">
        <f>Grandview_Inventory[[#This Row],[final_land]]+Grandview_Inventory[[#This Row],[final_imp]]+Grandview_Inventory[[#This Row],[crop_value]]</f>
        <v>409900</v>
      </c>
      <c r="CG2428" t="str">
        <f t="shared" si="37"/>
        <v>update valuation set market_land =64100, market_bldg=345800, market_total =409900, market_mdno =401, market_date ='9/10/2023' where link_id = (select link_id from parcel where parcel_year = '2024' and parcel_id = '23092622007');</v>
      </c>
    </row>
    <row r="2429" spans="1:85" x14ac:dyDescent="0.25">
      <c r="A2429">
        <v>23092622013</v>
      </c>
      <c r="B2429">
        <v>0.51</v>
      </c>
      <c r="C2429">
        <v>22010</v>
      </c>
      <c r="D2429" t="s">
        <v>129</v>
      </c>
      <c r="E2429" t="s">
        <v>53</v>
      </c>
      <c r="F2429" t="s">
        <v>53</v>
      </c>
      <c r="G2429">
        <v>4</v>
      </c>
      <c r="H2429" t="s">
        <v>54</v>
      </c>
      <c r="I2429">
        <v>200500</v>
      </c>
      <c r="J2429">
        <v>41900</v>
      </c>
      <c r="K2429">
        <v>0.51</v>
      </c>
      <c r="L2429">
        <f>IF(Grandview_Inventory[[#This Row],[parcel_acres]]-Grandview_Inventory[[#This Row],[non_valued_acres]] =0,0,LN(Grandview_Inventory[[#This Row],[parcel_acres]]-Grandview_Inventory[[#This Row],[non_valued_acres]]))</f>
        <v>-0.67334455326376563</v>
      </c>
      <c r="M2429">
        <v>0</v>
      </c>
      <c r="N2429">
        <v>0</v>
      </c>
      <c r="O2429">
        <v>0</v>
      </c>
      <c r="P2429">
        <v>13398.7528</v>
      </c>
      <c r="Q2429">
        <v>63903</v>
      </c>
      <c r="R2429">
        <f>(Grandview_Inventory[[#This Row],[ln_acres]]*Grandview_Inventory[[#This Row],[coeff]])+Grandview_Inventory[[#This Row],[const]]</f>
        <v>54881.022781592372</v>
      </c>
      <c r="S2429" t="s">
        <v>61</v>
      </c>
      <c r="T2429">
        <v>1</v>
      </c>
      <c r="U2429" t="s">
        <v>65</v>
      </c>
      <c r="V2429" t="s">
        <v>69</v>
      </c>
      <c r="W2429">
        <v>0</v>
      </c>
      <c r="X2429">
        <v>0</v>
      </c>
      <c r="Y2429">
        <v>47</v>
      </c>
      <c r="Z2429">
        <v>58</v>
      </c>
      <c r="AA2429">
        <v>60</v>
      </c>
      <c r="AB2429">
        <v>1500</v>
      </c>
      <c r="AC2429">
        <v>1424</v>
      </c>
      <c r="AD2429">
        <v>1424</v>
      </c>
      <c r="AE2429">
        <v>0</v>
      </c>
      <c r="AF2429">
        <v>0</v>
      </c>
      <c r="AG2429">
        <v>0</v>
      </c>
      <c r="AH2429">
        <v>0</v>
      </c>
      <c r="AI2429">
        <v>484</v>
      </c>
      <c r="AJ2429">
        <v>0</v>
      </c>
      <c r="AK2429">
        <v>0</v>
      </c>
      <c r="AL2429">
        <v>128</v>
      </c>
      <c r="AM2429">
        <v>768</v>
      </c>
      <c r="AN2429">
        <v>0</v>
      </c>
      <c r="AO2429">
        <v>416</v>
      </c>
      <c r="AP2429">
        <v>7</v>
      </c>
      <c r="AQ2429">
        <v>0</v>
      </c>
      <c r="AR2429">
        <v>1</v>
      </c>
      <c r="AS2429" t="s">
        <v>71</v>
      </c>
      <c r="AT2429">
        <v>1</v>
      </c>
      <c r="AU2429" t="s">
        <v>63</v>
      </c>
      <c r="AV2429" t="s">
        <v>64</v>
      </c>
      <c r="AW2429">
        <v>1</v>
      </c>
      <c r="AX2429">
        <v>3</v>
      </c>
      <c r="AY2429">
        <v>0</v>
      </c>
      <c r="AZ2429">
        <v>0</v>
      </c>
      <c r="BA2429">
        <v>100</v>
      </c>
      <c r="BB2429">
        <v>100</v>
      </c>
      <c r="BC2429">
        <v>100</v>
      </c>
      <c r="BD2429">
        <v>100</v>
      </c>
      <c r="BE2429">
        <v>1</v>
      </c>
      <c r="BF2429">
        <v>15000</v>
      </c>
      <c r="BG2429">
        <v>1000</v>
      </c>
      <c r="BH2429" s="6">
        <f>Grandview_Inventory[[#This Row],[land_extract]]*Lookups!$B$3</f>
        <v>63733.18357750171</v>
      </c>
      <c r="BI2429" s="6">
        <f>IF(Grandview_Inventory[[#This Row],[bldg_style]]="",0,Lookups!$B$2)</f>
        <v>155833.95000000001</v>
      </c>
      <c r="BJ2429" s="6">
        <f>_xlfn.IFNA(VLOOKUP(Grandview_Inventory[[#This Row],[quality]],Lookups!$H$2:$J$14,3,FALSE),0)</f>
        <v>2251</v>
      </c>
      <c r="BK2429" s="6">
        <f>_xlfn.IFNA(VLOOKUP(Grandview_Inventory[[#This Row],[condition]],Lookups!$H$17:$J$24,3,FALSE),0)</f>
        <v>-4503</v>
      </c>
      <c r="BL2429" s="6">
        <f>Grandview_Inventory[[#This Row],[Eff_Age]]*Lookups!$B$14</f>
        <v>-11240.8302</v>
      </c>
      <c r="BM2429" s="6">
        <f>Grandview_Inventory[[#This Row],[living_area]]*Lookups!$B$15</f>
        <v>88830.334671999997</v>
      </c>
      <c r="BN2429" s="6">
        <f>Grandview_Inventory[[#This Row],[Fin BSMT]]*Lookups!$B$16</f>
        <v>0</v>
      </c>
      <c r="BO2429" s="6">
        <f>(Grandview_Inventory[[#This Row],[att_gar]]+Grandview_Inventory[[#This Row],[bltin_gar]])*Lookups!$B$17</f>
        <v>42359.891508000001</v>
      </c>
      <c r="BP2429" s="6">
        <f>Grandview_Inventory[[#This Row],[Plumbing Fixtures]]*Lookups!$B$18</f>
        <v>14073.0926</v>
      </c>
      <c r="BQ2429" s="6">
        <f>Grandview_Inventory[[#This Row],[detatched_value]]*Lookups!$B$19</f>
        <v>0</v>
      </c>
      <c r="BR2429" s="6">
        <f>SUM(Grandview_Inventory[[#This Row],[Intercept]:[det_value]])*Grandview_Inventory[[#This Row],[res_pct]]</f>
        <v>287604.43857999996</v>
      </c>
      <c r="BS2429" s="6">
        <f>Grandview_Inventory[[#This Row],[land_value]]</f>
        <v>63733.18357750171</v>
      </c>
      <c r="BT2429" s="4">
        <f>_xlfn.IFNA(VLOOKUP(Grandview_Inventory[[#This Row],[quality]],Lookups!$A$26:$C$33,3,FALSE),1)</f>
        <v>0.98763855981004833</v>
      </c>
      <c r="BU2429" s="4">
        <f>_xlfn.IFNA(VLOOKUP(Grandview_Inventory[[#This Row],[condition]],Lookups!$A$37:$C$44,3,FALSE),1)</f>
        <v>0.96469275950863709</v>
      </c>
      <c r="BV2429" s="4">
        <f>IF(Grandview_Inventory[[#This Row],[bldg_style]]="",1,_xlfn.IFNA(VLOOKUP(Grandview_Inventory[[#This Row],[decade]],Lookups!$F$29:$H$43,3,FALSE),1))</f>
        <v>0.95268620544463312</v>
      </c>
      <c r="BW2429" s="4">
        <f>_xlfn.IFNA(VLOOKUP(Grandview_Inventory[[#This Row],[living_area_range]],Lookups!$F$47:$H$56,3,FALSE),1)</f>
        <v>0.96135087979789358</v>
      </c>
      <c r="BX2429" s="4">
        <f>AVERAGE(Grandview_Inventory[[#This Row],[qual_adj]:[size_adj]])</f>
        <v>0.96659210114030303</v>
      </c>
      <c r="BY2429" s="6">
        <f>IF(Grandview_Inventory[[#This Row],[pre_res]]&lt;0,0,Grandview_Inventory[[#This Row],[pre_res]]*Grandview_Inventory[[#This Row],[overall_adj]])</f>
        <v>277996.17858431936</v>
      </c>
      <c r="BZ2429" s="6">
        <f>(Grandview_Inventory[[#This Row],[sum_land]]-IF(Grandview_Inventory[[#This Row],[no_utilities]]=1,12000,0))/IF(Grandview_Inventory[[#This Row],[unbuildable]]=1,2,1)</f>
        <v>63733.18357750171</v>
      </c>
      <c r="CA2429">
        <f>IF(ROUND(Grandview_Inventory[[#This Row],[adj_land]]*Lookups!$M$28,-2)&lt;Grandview_Inventory[[#This Row],[min_land]],Grandview_Inventory[[#This Row],[min_land]],ROUND(Grandview_Inventory[[#This Row],[adj_land]]*Lookups!$M$28,-2))</f>
        <v>60500</v>
      </c>
      <c r="CB2429">
        <f>ROUND(Grandview_Inventory[[#This Row],[det_value]]*Lookups!$M$28,-2)</f>
        <v>0</v>
      </c>
      <c r="CC2429">
        <f>IF(ROUND(Grandview_Inventory[[#This Row],[adj_res]]*Lookups!$M$28,-2)&lt;Grandview_Inventory[[#This Row],[min_res]],Grandview_Inventory[[#This Row],[min_res]],ROUND(Grandview_Inventory[[#This Row],[adj_res]]*Lookups!$M$28,-2))</f>
        <v>264100</v>
      </c>
      <c r="CD2429">
        <f>Grandview_Inventory[[#This Row],[final_det]]+Grandview_Inventory[[#This Row],[final_res]]</f>
        <v>264100</v>
      </c>
      <c r="CE2429">
        <f>Grandview_Inventory[[#This Row],[final_land]]+Grandview_Inventory[[#This Row],[final_imp]]+Grandview_Inventory[[#This Row],[crop_value]]</f>
        <v>324600</v>
      </c>
      <c r="CG2429" t="str">
        <f t="shared" si="37"/>
        <v>update valuation set market_land =60500, market_bldg=264100, market_total =324600, market_mdno =401, market_date ='9/10/2023' where link_id = (select link_id from parcel where parcel_year = '2024' and parcel_id = '23092622013');</v>
      </c>
    </row>
    <row r="2430" spans="1:85" x14ac:dyDescent="0.25">
      <c r="A2430">
        <v>23092622015</v>
      </c>
      <c r="B2430">
        <v>0.74</v>
      </c>
      <c r="C2430">
        <v>32264</v>
      </c>
      <c r="D2430" t="s">
        <v>129</v>
      </c>
      <c r="E2430" t="s">
        <v>53</v>
      </c>
      <c r="F2430" t="s">
        <v>53</v>
      </c>
      <c r="G2430">
        <v>4</v>
      </c>
      <c r="H2430" t="s">
        <v>54</v>
      </c>
      <c r="I2430">
        <v>273900</v>
      </c>
      <c r="J2430">
        <v>47900</v>
      </c>
      <c r="K2430">
        <v>0.74</v>
      </c>
      <c r="L2430">
        <f>IF(Grandview_Inventory[[#This Row],[parcel_acres]]-Grandview_Inventory[[#This Row],[non_valued_acres]] =0,0,LN(Grandview_Inventory[[#This Row],[parcel_acres]]-Grandview_Inventory[[#This Row],[non_valued_acres]]))</f>
        <v>-0.30110509278392161</v>
      </c>
      <c r="M2430">
        <v>0</v>
      </c>
      <c r="N2430">
        <v>0</v>
      </c>
      <c r="O2430">
        <v>0</v>
      </c>
      <c r="P2430">
        <v>13398.7528</v>
      </c>
      <c r="Q2430">
        <v>63903</v>
      </c>
      <c r="R2430">
        <f>(Grandview_Inventory[[#This Row],[ln_acres]]*Grandview_Inventory[[#This Row],[coeff]])+Grandview_Inventory[[#This Row],[const]]</f>
        <v>59868.567294967172</v>
      </c>
      <c r="S2430" t="s">
        <v>61</v>
      </c>
      <c r="T2430">
        <v>1</v>
      </c>
      <c r="U2430" t="s">
        <v>65</v>
      </c>
      <c r="V2430" t="s">
        <v>69</v>
      </c>
      <c r="W2430">
        <v>0</v>
      </c>
      <c r="X2430">
        <v>0</v>
      </c>
      <c r="Y2430">
        <v>47</v>
      </c>
      <c r="Z2430">
        <v>58</v>
      </c>
      <c r="AA2430">
        <v>60</v>
      </c>
      <c r="AB2430">
        <v>2500</v>
      </c>
      <c r="AC2430">
        <v>2317</v>
      </c>
      <c r="AD2430">
        <v>2317</v>
      </c>
      <c r="AE2430">
        <v>0</v>
      </c>
      <c r="AF2430">
        <v>0</v>
      </c>
      <c r="AG2430">
        <v>0</v>
      </c>
      <c r="AH2430">
        <v>0</v>
      </c>
      <c r="AI2430">
        <v>440</v>
      </c>
      <c r="AJ2430">
        <v>0</v>
      </c>
      <c r="AK2430">
        <v>0</v>
      </c>
      <c r="AL2430">
        <v>0</v>
      </c>
      <c r="AM2430">
        <v>132</v>
      </c>
      <c r="AN2430">
        <v>45</v>
      </c>
      <c r="AO2430">
        <v>156</v>
      </c>
      <c r="AP2430">
        <v>9</v>
      </c>
      <c r="AQ2430">
        <v>0</v>
      </c>
      <c r="AR2430">
        <v>2</v>
      </c>
      <c r="AS2430" t="s">
        <v>58</v>
      </c>
      <c r="AT2430">
        <v>1</v>
      </c>
      <c r="AU2430" t="s">
        <v>63</v>
      </c>
      <c r="AV2430" t="s">
        <v>64</v>
      </c>
      <c r="AW2430">
        <v>1</v>
      </c>
      <c r="AX2430">
        <v>3</v>
      </c>
      <c r="AY2430">
        <v>0</v>
      </c>
      <c r="AZ2430">
        <v>30800</v>
      </c>
      <c r="BA2430">
        <v>100</v>
      </c>
      <c r="BB2430">
        <v>100</v>
      </c>
      <c r="BC2430">
        <v>100</v>
      </c>
      <c r="BD2430">
        <v>100</v>
      </c>
      <c r="BE2430">
        <v>1</v>
      </c>
      <c r="BF2430">
        <v>15000</v>
      </c>
      <c r="BG2430">
        <v>1000</v>
      </c>
      <c r="BH2430" s="6">
        <f>Grandview_Inventory[[#This Row],[land_extract]]*Lookups!$B$3</f>
        <v>69525.205554513683</v>
      </c>
      <c r="BI2430" s="6">
        <f>IF(Grandview_Inventory[[#This Row],[bldg_style]]="",0,Lookups!$B$2)</f>
        <v>155833.95000000001</v>
      </c>
      <c r="BJ2430" s="6">
        <f>_xlfn.IFNA(VLOOKUP(Grandview_Inventory[[#This Row],[quality]],Lookups!$H$2:$J$14,3,FALSE),0)</f>
        <v>2251</v>
      </c>
      <c r="BK2430" s="6">
        <f>_xlfn.IFNA(VLOOKUP(Grandview_Inventory[[#This Row],[condition]],Lookups!$H$17:$J$24,3,FALSE),0)</f>
        <v>-4503</v>
      </c>
      <c r="BL2430" s="6">
        <f>Grandview_Inventory[[#This Row],[Eff_Age]]*Lookups!$B$14</f>
        <v>-11240.8302</v>
      </c>
      <c r="BM2430" s="6">
        <f>Grandview_Inventory[[#This Row],[living_area]]*Lookups!$B$15</f>
        <v>144536.43640100001</v>
      </c>
      <c r="BN2430" s="6">
        <f>Grandview_Inventory[[#This Row],[Fin BSMT]]*Lookups!$B$16</f>
        <v>0</v>
      </c>
      <c r="BO2430" s="6">
        <f>(Grandview_Inventory[[#This Row],[att_gar]]+Grandview_Inventory[[#This Row],[bltin_gar]])*Lookups!$B$17</f>
        <v>38508.992279999999</v>
      </c>
      <c r="BP2430" s="6">
        <f>Grandview_Inventory[[#This Row],[Plumbing Fixtures]]*Lookups!$B$18</f>
        <v>18093.976200000001</v>
      </c>
      <c r="BQ2430" s="6">
        <f>Grandview_Inventory[[#This Row],[detatched_value]]*Lookups!$B$19</f>
        <v>26081.59708</v>
      </c>
      <c r="BR2430" s="6">
        <f>SUM(Grandview_Inventory[[#This Row],[Intercept]:[det_value]])*Grandview_Inventory[[#This Row],[res_pct]]</f>
        <v>369562.12176099996</v>
      </c>
      <c r="BS2430" s="6">
        <f>Grandview_Inventory[[#This Row],[land_value]]</f>
        <v>69525.205554513683</v>
      </c>
      <c r="BT2430" s="4">
        <f>_xlfn.IFNA(VLOOKUP(Grandview_Inventory[[#This Row],[quality]],Lookups!$A$26:$C$33,3,FALSE),1)</f>
        <v>0.98763855981004833</v>
      </c>
      <c r="BU2430" s="4">
        <f>_xlfn.IFNA(VLOOKUP(Grandview_Inventory[[#This Row],[condition]],Lookups!$A$37:$C$44,3,FALSE),1)</f>
        <v>0.96469275950863709</v>
      </c>
      <c r="BV2430" s="4">
        <f>IF(Grandview_Inventory[[#This Row],[bldg_style]]="",1,_xlfn.IFNA(VLOOKUP(Grandview_Inventory[[#This Row],[decade]],Lookups!$F$29:$H$43,3,FALSE),1))</f>
        <v>0.95268620544463312</v>
      </c>
      <c r="BW2430" s="4">
        <f>_xlfn.IFNA(VLOOKUP(Grandview_Inventory[[#This Row],[living_area_range]],Lookups!$F$47:$H$56,3,FALSE),1)</f>
        <v>0.95799442568048754</v>
      </c>
      <c r="BX2430" s="4">
        <f>AVERAGE(Grandview_Inventory[[#This Row],[qual_adj]:[size_adj]])</f>
        <v>0.96575298761095152</v>
      </c>
      <c r="BY2430" s="6">
        <f>IF(Grandview_Inventory[[#This Row],[pre_res]]&lt;0,0,Grandview_Inventory[[#This Row],[pre_res]]*Grandview_Inventory[[#This Row],[overall_adj]])</f>
        <v>356905.72319852794</v>
      </c>
      <c r="BZ2430" s="6">
        <f>(Grandview_Inventory[[#This Row],[sum_land]]-IF(Grandview_Inventory[[#This Row],[no_utilities]]=1,12000,0))/IF(Grandview_Inventory[[#This Row],[unbuildable]]=1,2,1)</f>
        <v>69525.205554513683</v>
      </c>
      <c r="CA2430">
        <f>IF(ROUND(Grandview_Inventory[[#This Row],[adj_land]]*Lookups!$M$28,-2)&lt;Grandview_Inventory[[#This Row],[min_land]],Grandview_Inventory[[#This Row],[min_land]],ROUND(Grandview_Inventory[[#This Row],[adj_land]]*Lookups!$M$28,-2))</f>
        <v>66000</v>
      </c>
      <c r="CB2430">
        <f>ROUND(Grandview_Inventory[[#This Row],[det_value]]*Lookups!$M$28,-2)</f>
        <v>24800</v>
      </c>
      <c r="CC2430">
        <f>IF(ROUND(Grandview_Inventory[[#This Row],[adj_res]]*Lookups!$M$28,-2)&lt;Grandview_Inventory[[#This Row],[min_res]],Grandview_Inventory[[#This Row],[min_res]],ROUND(Grandview_Inventory[[#This Row],[adj_res]]*Lookups!$M$28,-2))</f>
        <v>339100</v>
      </c>
      <c r="CD2430">
        <f>Grandview_Inventory[[#This Row],[final_det]]+Grandview_Inventory[[#This Row],[final_res]]</f>
        <v>363900</v>
      </c>
      <c r="CE2430">
        <f>Grandview_Inventory[[#This Row],[final_land]]+Grandview_Inventory[[#This Row],[final_imp]]+Grandview_Inventory[[#This Row],[crop_value]]</f>
        <v>429900</v>
      </c>
      <c r="CG2430" t="str">
        <f t="shared" si="37"/>
        <v>update valuation set market_land =66000, market_bldg=363900, market_total =429900, market_mdno =401, market_date ='9/10/2023' where link_id = (select link_id from parcel where parcel_year = '2024' and parcel_id = '23092622015');</v>
      </c>
    </row>
    <row r="2431" spans="1:85" x14ac:dyDescent="0.25">
      <c r="A2431">
        <v>23092622409</v>
      </c>
      <c r="B2431">
        <v>1.75</v>
      </c>
      <c r="C2431" t="s">
        <v>129</v>
      </c>
      <c r="D2431" t="s">
        <v>129</v>
      </c>
      <c r="E2431" t="s">
        <v>53</v>
      </c>
      <c r="F2431" t="s">
        <v>53</v>
      </c>
      <c r="G2431">
        <v>4</v>
      </c>
      <c r="H2431" t="s">
        <v>54</v>
      </c>
      <c r="I2431">
        <v>201700</v>
      </c>
      <c r="J2431">
        <v>45400</v>
      </c>
      <c r="K2431">
        <v>1.75</v>
      </c>
      <c r="L2431">
        <f>IF(Grandview_Inventory[[#This Row],[parcel_acres]]-Grandview_Inventory[[#This Row],[non_valued_acres]] =0,0,LN(Grandview_Inventory[[#This Row],[parcel_acres]]-Grandview_Inventory[[#This Row],[non_valued_acres]]))</f>
        <v>0.55961578793542266</v>
      </c>
      <c r="M2431">
        <v>0</v>
      </c>
      <c r="N2431">
        <v>0</v>
      </c>
      <c r="O2431">
        <v>0</v>
      </c>
      <c r="P2431">
        <v>13398.7528</v>
      </c>
      <c r="Q2431">
        <v>63903</v>
      </c>
      <c r="R2431">
        <f>(Grandview_Inventory[[#This Row],[ln_acres]]*Grandview_Inventory[[#This Row],[coeff]])+Grandview_Inventory[[#This Row],[const]]</f>
        <v>71401.153605523956</v>
      </c>
      <c r="S2431" t="s">
        <v>68</v>
      </c>
      <c r="T2431">
        <v>1</v>
      </c>
      <c r="U2431" t="s">
        <v>65</v>
      </c>
      <c r="V2431" t="s">
        <v>69</v>
      </c>
      <c r="W2431">
        <v>0</v>
      </c>
      <c r="X2431">
        <v>0</v>
      </c>
      <c r="Y2431">
        <v>65</v>
      </c>
      <c r="Z2431">
        <v>113</v>
      </c>
      <c r="AA2431">
        <v>120</v>
      </c>
      <c r="AB2431">
        <v>2000</v>
      </c>
      <c r="AC2431">
        <v>1592</v>
      </c>
      <c r="AD2431">
        <v>1592</v>
      </c>
      <c r="AE2431">
        <v>0</v>
      </c>
      <c r="AF2431">
        <v>0</v>
      </c>
      <c r="AG2431">
        <v>0</v>
      </c>
      <c r="AH2431">
        <v>1080</v>
      </c>
      <c r="AI2431">
        <v>0</v>
      </c>
      <c r="AJ2431">
        <v>0</v>
      </c>
      <c r="AK2431">
        <v>0</v>
      </c>
      <c r="AL2431">
        <v>0</v>
      </c>
      <c r="AM2431">
        <v>160</v>
      </c>
      <c r="AN2431">
        <v>0</v>
      </c>
      <c r="AO2431">
        <v>160</v>
      </c>
      <c r="AP2431">
        <v>8</v>
      </c>
      <c r="AQ2431">
        <v>0</v>
      </c>
      <c r="AR2431">
        <v>0</v>
      </c>
      <c r="AS2431" t="s">
        <v>58</v>
      </c>
      <c r="AT2431">
        <v>1</v>
      </c>
      <c r="AU2431" t="s">
        <v>63</v>
      </c>
      <c r="AV2431" t="s">
        <v>60</v>
      </c>
      <c r="AW2431">
        <v>1</v>
      </c>
      <c r="AX2431">
        <v>3</v>
      </c>
      <c r="AY2431">
        <v>0</v>
      </c>
      <c r="AZ2431">
        <v>41600</v>
      </c>
      <c r="BA2431">
        <v>100</v>
      </c>
      <c r="BB2431">
        <v>100</v>
      </c>
      <c r="BC2431">
        <v>100</v>
      </c>
      <c r="BD2431">
        <v>100</v>
      </c>
      <c r="BE2431">
        <v>1</v>
      </c>
      <c r="BF2431">
        <v>15000</v>
      </c>
      <c r="BG2431">
        <v>1000</v>
      </c>
      <c r="BH2431" s="6">
        <f>Grandview_Inventory[[#This Row],[land_extract]]*Lookups!$B$3</f>
        <v>82917.96689898023</v>
      </c>
      <c r="BI2431" s="6">
        <f>IF(Grandview_Inventory[[#This Row],[bldg_style]]="",0,Lookups!$B$2)</f>
        <v>155833.95000000001</v>
      </c>
      <c r="BJ2431" s="6">
        <f>_xlfn.IFNA(VLOOKUP(Grandview_Inventory[[#This Row],[quality]],Lookups!$H$2:$J$14,3,FALSE),0)</f>
        <v>2251</v>
      </c>
      <c r="BK2431" s="6">
        <f>_xlfn.IFNA(VLOOKUP(Grandview_Inventory[[#This Row],[condition]],Lookups!$H$17:$J$24,3,FALSE),0)</f>
        <v>-4503</v>
      </c>
      <c r="BL2431" s="6">
        <f>Grandview_Inventory[[#This Row],[Eff_Age]]*Lookups!$B$14</f>
        <v>-15545.829</v>
      </c>
      <c r="BM2431" s="6">
        <f>Grandview_Inventory[[#This Row],[living_area]]*Lookups!$B$15</f>
        <v>99310.317976000006</v>
      </c>
      <c r="BN2431" s="6">
        <f>Grandview_Inventory[[#This Row],[Fin BSMT]]*Lookups!$B$16</f>
        <v>0</v>
      </c>
      <c r="BO2431" s="6">
        <f>(Grandview_Inventory[[#This Row],[att_gar]]+Grandview_Inventory[[#This Row],[bltin_gar]])*Lookups!$B$17</f>
        <v>0</v>
      </c>
      <c r="BP2431" s="6">
        <f>Grandview_Inventory[[#This Row],[Plumbing Fixtures]]*Lookups!$B$18</f>
        <v>16083.5344</v>
      </c>
      <c r="BQ2431" s="6">
        <f>Grandview_Inventory[[#This Row],[detatched_value]]*Lookups!$B$19</f>
        <v>35227.09216</v>
      </c>
      <c r="BR2431" s="6">
        <f>SUM(Grandview_Inventory[[#This Row],[Intercept]:[det_value]])*Grandview_Inventory[[#This Row],[res_pct]]</f>
        <v>288657.06553600001</v>
      </c>
      <c r="BS2431" s="6">
        <f>Grandview_Inventory[[#This Row],[land_value]]</f>
        <v>82917.96689898023</v>
      </c>
      <c r="BT2431" s="4">
        <f>_xlfn.IFNA(VLOOKUP(Grandview_Inventory[[#This Row],[quality]],Lookups!$A$26:$C$33,3,FALSE),1)</f>
        <v>0.98763855981004833</v>
      </c>
      <c r="BU2431" s="4">
        <f>_xlfn.IFNA(VLOOKUP(Grandview_Inventory[[#This Row],[condition]],Lookups!$A$37:$C$44,3,FALSE),1)</f>
        <v>0.96469275950863709</v>
      </c>
      <c r="BV2431" s="4">
        <f>IF(Grandview_Inventory[[#This Row],[bldg_style]]="",1,_xlfn.IFNA(VLOOKUP(Grandview_Inventory[[#This Row],[decade]],Lookups!$F$29:$H$43,3,FALSE),1))</f>
        <v>0.9251738460551937</v>
      </c>
      <c r="BW2431" s="4">
        <f>_xlfn.IFNA(VLOOKUP(Grandview_Inventory[[#This Row],[living_area_range]],Lookups!$F$47:$H$56,3,FALSE),1)</f>
        <v>0.96120133463014379</v>
      </c>
      <c r="BX2431" s="4">
        <f>AVERAGE(Grandview_Inventory[[#This Row],[qual_adj]:[size_adj]])</f>
        <v>0.95967662500100581</v>
      </c>
      <c r="BY2431" s="6">
        <f>IF(Grandview_Inventory[[#This Row],[pre_res]]&lt;0,0,Grandview_Inventory[[#This Row],[pre_res]]*Grandview_Inventory[[#This Row],[overall_adj]])</f>
        <v>277017.43843628262</v>
      </c>
      <c r="BZ2431" s="6">
        <f>(Grandview_Inventory[[#This Row],[sum_land]]-IF(Grandview_Inventory[[#This Row],[no_utilities]]=1,12000,0))/IF(Grandview_Inventory[[#This Row],[unbuildable]]=1,2,1)</f>
        <v>82917.96689898023</v>
      </c>
      <c r="CA2431">
        <f>IF(ROUND(Grandview_Inventory[[#This Row],[adj_land]]*Lookups!$M$28,-2)&lt;Grandview_Inventory[[#This Row],[min_land]],Grandview_Inventory[[#This Row],[min_land]],ROUND(Grandview_Inventory[[#This Row],[adj_land]]*Lookups!$M$28,-2))</f>
        <v>78800</v>
      </c>
      <c r="CB2431">
        <f>ROUND(Grandview_Inventory[[#This Row],[det_value]]*Lookups!$M$28,-2)</f>
        <v>33500</v>
      </c>
      <c r="CC2431">
        <f>IF(ROUND(Grandview_Inventory[[#This Row],[adj_res]]*Lookups!$M$28,-2)&lt;Grandview_Inventory[[#This Row],[min_res]],Grandview_Inventory[[#This Row],[min_res]],ROUND(Grandview_Inventory[[#This Row],[adj_res]]*Lookups!$M$28,-2))</f>
        <v>263200</v>
      </c>
      <c r="CD2431">
        <f>Grandview_Inventory[[#This Row],[final_det]]+Grandview_Inventory[[#This Row],[final_res]]</f>
        <v>296700</v>
      </c>
      <c r="CE2431">
        <f>Grandview_Inventory[[#This Row],[final_land]]+Grandview_Inventory[[#This Row],[final_imp]]+Grandview_Inventory[[#This Row],[crop_value]]</f>
        <v>375500</v>
      </c>
      <c r="CG2431" t="str">
        <f t="shared" si="37"/>
        <v>update valuation set market_land =78800, market_bldg=296700, market_total =375500, market_mdno =401, market_date ='9/10/2023' where link_id = (select link_id from parcel where parcel_year = '2024' and parcel_id = '23092622409');</v>
      </c>
    </row>
    <row r="2432" spans="1:85" x14ac:dyDescent="0.25">
      <c r="A2432">
        <v>23092622411</v>
      </c>
      <c r="B2432">
        <v>0.26</v>
      </c>
      <c r="C2432">
        <v>11157</v>
      </c>
      <c r="D2432" t="s">
        <v>129</v>
      </c>
      <c r="E2432" t="s">
        <v>53</v>
      </c>
      <c r="F2432" t="s">
        <v>53</v>
      </c>
      <c r="G2432">
        <v>4</v>
      </c>
      <c r="H2432" t="s">
        <v>54</v>
      </c>
      <c r="I2432">
        <v>237400</v>
      </c>
      <c r="J2432">
        <v>40200</v>
      </c>
      <c r="K2432">
        <v>0.26</v>
      </c>
      <c r="L243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432">
        <v>0</v>
      </c>
      <c r="N2432">
        <v>0</v>
      </c>
      <c r="O2432">
        <v>0</v>
      </c>
      <c r="P2432">
        <v>13398.7528</v>
      </c>
      <c r="Q2432">
        <v>63903</v>
      </c>
      <c r="R2432">
        <f>(Grandview_Inventory[[#This Row],[ln_acres]]*Grandview_Inventory[[#This Row],[coeff]])+Grandview_Inventory[[#This Row],[const]]</f>
        <v>45853.893187501177</v>
      </c>
      <c r="S2432" t="s">
        <v>61</v>
      </c>
      <c r="T2432">
        <v>1</v>
      </c>
      <c r="U2432" t="s">
        <v>65</v>
      </c>
      <c r="V2432" t="s">
        <v>57</v>
      </c>
      <c r="W2432">
        <v>0</v>
      </c>
      <c r="X2432">
        <v>0</v>
      </c>
      <c r="Y2432">
        <v>9</v>
      </c>
      <c r="Z2432">
        <v>9</v>
      </c>
      <c r="AA2432">
        <v>10</v>
      </c>
      <c r="AB2432">
        <v>1500</v>
      </c>
      <c r="AC2432">
        <v>1124</v>
      </c>
      <c r="AD2432">
        <v>1124</v>
      </c>
      <c r="AE2432">
        <v>0</v>
      </c>
      <c r="AF2432">
        <v>0</v>
      </c>
      <c r="AG2432">
        <v>0</v>
      </c>
      <c r="AH2432">
        <v>0</v>
      </c>
      <c r="AI2432">
        <v>440</v>
      </c>
      <c r="AJ2432">
        <v>0</v>
      </c>
      <c r="AK2432">
        <v>0</v>
      </c>
      <c r="AL2432">
        <v>0</v>
      </c>
      <c r="AM2432">
        <v>0</v>
      </c>
      <c r="AN2432">
        <v>48</v>
      </c>
      <c r="AO2432">
        <v>30</v>
      </c>
      <c r="AP2432">
        <v>8</v>
      </c>
      <c r="AQ2432">
        <v>0</v>
      </c>
      <c r="AR2432">
        <v>0</v>
      </c>
      <c r="AS2432" t="s">
        <v>58</v>
      </c>
      <c r="AT2432">
        <v>1</v>
      </c>
      <c r="AU2432" t="s">
        <v>63</v>
      </c>
      <c r="AV2432" t="s">
        <v>60</v>
      </c>
      <c r="AW2432">
        <v>1</v>
      </c>
      <c r="AX2432">
        <v>3</v>
      </c>
      <c r="AY2432">
        <v>0</v>
      </c>
      <c r="AZ2432">
        <v>0</v>
      </c>
      <c r="BA2432">
        <v>100</v>
      </c>
      <c r="BB2432">
        <v>100</v>
      </c>
      <c r="BC2432">
        <v>100</v>
      </c>
      <c r="BD2432">
        <v>100</v>
      </c>
      <c r="BE2432">
        <v>1</v>
      </c>
      <c r="BF2432">
        <v>15000</v>
      </c>
      <c r="BG2432">
        <v>1000</v>
      </c>
      <c r="BH2432" s="6">
        <f>Grandview_Inventory[[#This Row],[land_extract]]*Lookups!$B$3</f>
        <v>53250.00235313351</v>
      </c>
      <c r="BI2432" s="6">
        <f>IF(Grandview_Inventory[[#This Row],[bldg_style]]="",0,Lookups!$B$2)</f>
        <v>155833.95000000001</v>
      </c>
      <c r="BJ2432" s="6">
        <f>_xlfn.IFNA(VLOOKUP(Grandview_Inventory[[#This Row],[quality]],Lookups!$H$2:$J$14,3,FALSE),0)</f>
        <v>2251</v>
      </c>
      <c r="BK2432" s="6">
        <f>_xlfn.IFNA(VLOOKUP(Grandview_Inventory[[#This Row],[condition]],Lookups!$H$17:$J$24,3,FALSE),0)</f>
        <v>25780</v>
      </c>
      <c r="BL2432" s="6">
        <f>Grandview_Inventory[[#This Row],[Eff_Age]]*Lookups!$B$14</f>
        <v>-2152.4993999999997</v>
      </c>
      <c r="BM2432" s="6">
        <f>Grandview_Inventory[[#This Row],[living_area]]*Lookups!$B$15</f>
        <v>70116.078772000008</v>
      </c>
      <c r="BN2432" s="6">
        <f>Grandview_Inventory[[#This Row],[Fin BSMT]]*Lookups!$B$16</f>
        <v>0</v>
      </c>
      <c r="BO2432" s="6">
        <f>(Grandview_Inventory[[#This Row],[att_gar]]+Grandview_Inventory[[#This Row],[bltin_gar]])*Lookups!$B$17</f>
        <v>38508.992279999999</v>
      </c>
      <c r="BP2432" s="6">
        <f>Grandview_Inventory[[#This Row],[Plumbing Fixtures]]*Lookups!$B$18</f>
        <v>16083.5344</v>
      </c>
      <c r="BQ2432" s="6">
        <f>Grandview_Inventory[[#This Row],[detatched_value]]*Lookups!$B$19</f>
        <v>0</v>
      </c>
      <c r="BR2432" s="6">
        <f>SUM(Grandview_Inventory[[#This Row],[Intercept]:[det_value]])*Grandview_Inventory[[#This Row],[res_pct]]</f>
        <v>306421.05605200003</v>
      </c>
      <c r="BS2432" s="6">
        <f>Grandview_Inventory[[#This Row],[land_value]]</f>
        <v>53250.00235313351</v>
      </c>
      <c r="BT2432" s="4">
        <f>_xlfn.IFNA(VLOOKUP(Grandview_Inventory[[#This Row],[quality]],Lookups!$A$26:$C$33,3,FALSE),1)</f>
        <v>0.98763855981004833</v>
      </c>
      <c r="BU2432" s="4">
        <f>_xlfn.IFNA(VLOOKUP(Grandview_Inventory[[#This Row],[condition]],Lookups!$A$37:$C$44,3,FALSE),1)</f>
        <v>0.94347925387812148</v>
      </c>
      <c r="BV2432" s="4">
        <f>IF(Grandview_Inventory[[#This Row],[bldg_style]]="",1,_xlfn.IFNA(VLOOKUP(Grandview_Inventory[[#This Row],[decade]],Lookups!$F$29:$H$43,3,FALSE),1))</f>
        <v>0.94601966599150278</v>
      </c>
      <c r="BW2432" s="4">
        <f>_xlfn.IFNA(VLOOKUP(Grandview_Inventory[[#This Row],[living_area_range]],Lookups!$F$47:$H$56,3,FALSE),1)</f>
        <v>0.96135087979789358</v>
      </c>
      <c r="BX2432" s="4">
        <f>AVERAGE(Grandview_Inventory[[#This Row],[qual_adj]:[size_adj]])</f>
        <v>0.95962208986939146</v>
      </c>
      <c r="BY2432" s="6">
        <f>IF(Grandview_Inventory[[#This Row],[pre_res]]&lt;0,0,Grandview_Inventory[[#This Row],[pre_res]]*Grandview_Inventory[[#This Row],[overall_adj]])</f>
        <v>294048.4141886062</v>
      </c>
      <c r="BZ2432" s="6">
        <f>(Grandview_Inventory[[#This Row],[sum_land]]-IF(Grandview_Inventory[[#This Row],[no_utilities]]=1,12000,0))/IF(Grandview_Inventory[[#This Row],[unbuildable]]=1,2,1)</f>
        <v>53250.00235313351</v>
      </c>
      <c r="CA243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432">
        <f>ROUND(Grandview_Inventory[[#This Row],[det_value]]*Lookups!$M$28,-2)</f>
        <v>0</v>
      </c>
      <c r="CC2432">
        <f>IF(ROUND(Grandview_Inventory[[#This Row],[adj_res]]*Lookups!$M$28,-2)&lt;Grandview_Inventory[[#This Row],[min_res]],Grandview_Inventory[[#This Row],[min_res]],ROUND(Grandview_Inventory[[#This Row],[adj_res]]*Lookups!$M$28,-2))</f>
        <v>279300</v>
      </c>
      <c r="CD2432">
        <f>Grandview_Inventory[[#This Row],[final_det]]+Grandview_Inventory[[#This Row],[final_res]]</f>
        <v>279300</v>
      </c>
      <c r="CE2432">
        <f>Grandview_Inventory[[#This Row],[final_land]]+Grandview_Inventory[[#This Row],[final_imp]]+Grandview_Inventory[[#This Row],[crop_value]]</f>
        <v>329900</v>
      </c>
      <c r="CG2432" t="str">
        <f t="shared" si="37"/>
        <v>update valuation set market_land =50600, market_bldg=279300, market_total =329900, market_mdno =401, market_date ='9/10/2023' where link_id = (select link_id from parcel where parcel_year = '2024' and parcel_id = '23092622411');</v>
      </c>
    </row>
    <row r="2433" spans="1:85" x14ac:dyDescent="0.25">
      <c r="A2433">
        <v>23092622412</v>
      </c>
      <c r="B2433">
        <v>0.18</v>
      </c>
      <c r="C2433">
        <v>7890</v>
      </c>
      <c r="D2433" t="s">
        <v>129</v>
      </c>
      <c r="E2433" t="s">
        <v>53</v>
      </c>
      <c r="F2433" t="s">
        <v>53</v>
      </c>
      <c r="G2433">
        <v>4</v>
      </c>
      <c r="H2433" t="s">
        <v>54</v>
      </c>
      <c r="I2433">
        <v>255100</v>
      </c>
      <c r="J2433">
        <v>39000</v>
      </c>
      <c r="K2433">
        <v>0.18</v>
      </c>
      <c r="L243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433">
        <v>0</v>
      </c>
      <c r="N2433">
        <v>0</v>
      </c>
      <c r="O2433">
        <v>0</v>
      </c>
      <c r="P2433">
        <v>13398.7528</v>
      </c>
      <c r="Q2433">
        <v>63903</v>
      </c>
      <c r="R2433">
        <f>(Grandview_Inventory[[#This Row],[ln_acres]]*Grandview_Inventory[[#This Row],[coeff]])+Grandview_Inventory[[#This Row],[const]]</f>
        <v>40926.839760167699</v>
      </c>
      <c r="S2433" t="s">
        <v>61</v>
      </c>
      <c r="T2433">
        <v>1</v>
      </c>
      <c r="U2433" t="s">
        <v>65</v>
      </c>
      <c r="V2433" t="s">
        <v>57</v>
      </c>
      <c r="W2433">
        <v>0</v>
      </c>
      <c r="X2433">
        <v>0</v>
      </c>
      <c r="Y2433">
        <v>9</v>
      </c>
      <c r="Z2433">
        <v>9</v>
      </c>
      <c r="AA2433">
        <v>10</v>
      </c>
      <c r="AB2433">
        <v>1500</v>
      </c>
      <c r="AC2433">
        <v>1420</v>
      </c>
      <c r="AD2433">
        <v>1420</v>
      </c>
      <c r="AE2433">
        <v>0</v>
      </c>
      <c r="AF2433">
        <v>0</v>
      </c>
      <c r="AG2433">
        <v>0</v>
      </c>
      <c r="AH2433">
        <v>0</v>
      </c>
      <c r="AI2433">
        <v>442</v>
      </c>
      <c r="AJ2433">
        <v>0</v>
      </c>
      <c r="AK2433">
        <v>0</v>
      </c>
      <c r="AL2433">
        <v>0</v>
      </c>
      <c r="AM2433">
        <v>0</v>
      </c>
      <c r="AN2433">
        <v>44</v>
      </c>
      <c r="AO2433">
        <v>40</v>
      </c>
      <c r="AP2433">
        <v>8</v>
      </c>
      <c r="AQ2433">
        <v>0</v>
      </c>
      <c r="AR2433">
        <v>0</v>
      </c>
      <c r="AS2433" t="s">
        <v>58</v>
      </c>
      <c r="AT2433">
        <v>1</v>
      </c>
      <c r="AU2433" t="s">
        <v>63</v>
      </c>
      <c r="AV2433" t="s">
        <v>60</v>
      </c>
      <c r="AW2433">
        <v>1</v>
      </c>
      <c r="AX2433">
        <v>4</v>
      </c>
      <c r="AY2433">
        <v>0</v>
      </c>
      <c r="AZ2433">
        <v>0</v>
      </c>
      <c r="BA2433">
        <v>100</v>
      </c>
      <c r="BB2433">
        <v>100</v>
      </c>
      <c r="BC2433">
        <v>100</v>
      </c>
      <c r="BD2433">
        <v>100</v>
      </c>
      <c r="BE2433">
        <v>1</v>
      </c>
      <c r="BF2433">
        <v>15000</v>
      </c>
      <c r="BG2433">
        <v>1000</v>
      </c>
      <c r="BH2433" s="6">
        <f>Grandview_Inventory[[#This Row],[land_extract]]*Lookups!$B$3</f>
        <v>47528.228511015397</v>
      </c>
      <c r="BI2433" s="6">
        <f>IF(Grandview_Inventory[[#This Row],[bldg_style]]="",0,Lookups!$B$2)</f>
        <v>155833.95000000001</v>
      </c>
      <c r="BJ2433" s="6">
        <f>_xlfn.IFNA(VLOOKUP(Grandview_Inventory[[#This Row],[quality]],Lookups!$H$2:$J$14,3,FALSE),0)</f>
        <v>2251</v>
      </c>
      <c r="BK2433" s="6">
        <f>_xlfn.IFNA(VLOOKUP(Grandview_Inventory[[#This Row],[condition]],Lookups!$H$17:$J$24,3,FALSE),0)</f>
        <v>25780</v>
      </c>
      <c r="BL2433" s="6">
        <f>Grandview_Inventory[[#This Row],[Eff_Age]]*Lookups!$B$14</f>
        <v>-2152.4993999999997</v>
      </c>
      <c r="BM2433" s="6">
        <f>Grandview_Inventory[[#This Row],[living_area]]*Lookups!$B$15</f>
        <v>88580.811260000002</v>
      </c>
      <c r="BN2433" s="6">
        <f>Grandview_Inventory[[#This Row],[Fin BSMT]]*Lookups!$B$16</f>
        <v>0</v>
      </c>
      <c r="BO2433" s="6">
        <f>(Grandview_Inventory[[#This Row],[att_gar]]+Grandview_Inventory[[#This Row],[bltin_gar]])*Lookups!$B$17</f>
        <v>38684.033153999997</v>
      </c>
      <c r="BP2433" s="6">
        <f>Grandview_Inventory[[#This Row],[Plumbing Fixtures]]*Lookups!$B$18</f>
        <v>16083.5344</v>
      </c>
      <c r="BQ2433" s="6">
        <f>Grandview_Inventory[[#This Row],[detatched_value]]*Lookups!$B$19</f>
        <v>0</v>
      </c>
      <c r="BR2433" s="6">
        <f>SUM(Grandview_Inventory[[#This Row],[Intercept]:[det_value]])*Grandview_Inventory[[#This Row],[res_pct]]</f>
        <v>325060.82941400004</v>
      </c>
      <c r="BS2433" s="6">
        <f>Grandview_Inventory[[#This Row],[land_value]]</f>
        <v>47528.228511015397</v>
      </c>
      <c r="BT2433" s="4">
        <f>_xlfn.IFNA(VLOOKUP(Grandview_Inventory[[#This Row],[quality]],Lookups!$A$26:$C$33,3,FALSE),1)</f>
        <v>0.98763855981004833</v>
      </c>
      <c r="BU2433" s="4">
        <f>_xlfn.IFNA(VLOOKUP(Grandview_Inventory[[#This Row],[condition]],Lookups!$A$37:$C$44,3,FALSE),1)</f>
        <v>0.94347925387812148</v>
      </c>
      <c r="BV2433" s="4">
        <f>IF(Grandview_Inventory[[#This Row],[bldg_style]]="",1,_xlfn.IFNA(VLOOKUP(Grandview_Inventory[[#This Row],[decade]],Lookups!$F$29:$H$43,3,FALSE),1))</f>
        <v>0.94601966599150278</v>
      </c>
      <c r="BW2433" s="4">
        <f>_xlfn.IFNA(VLOOKUP(Grandview_Inventory[[#This Row],[living_area_range]],Lookups!$F$47:$H$56,3,FALSE),1)</f>
        <v>0.96135087979789358</v>
      </c>
      <c r="BX2433" s="4">
        <f>AVERAGE(Grandview_Inventory[[#This Row],[qual_adj]:[size_adj]])</f>
        <v>0.95962208986939146</v>
      </c>
      <c r="BY2433" s="6">
        <f>IF(Grandview_Inventory[[#This Row],[pre_res]]&lt;0,0,Grandview_Inventory[[#This Row],[pre_res]]*Grandview_Inventory[[#This Row],[overall_adj]])</f>
        <v>311935.55245694047</v>
      </c>
      <c r="BZ2433" s="6">
        <f>(Grandview_Inventory[[#This Row],[sum_land]]-IF(Grandview_Inventory[[#This Row],[no_utilities]]=1,12000,0))/IF(Grandview_Inventory[[#This Row],[unbuildable]]=1,2,1)</f>
        <v>47528.228511015397</v>
      </c>
      <c r="CA243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433">
        <f>ROUND(Grandview_Inventory[[#This Row],[det_value]]*Lookups!$M$28,-2)</f>
        <v>0</v>
      </c>
      <c r="CC2433">
        <f>IF(ROUND(Grandview_Inventory[[#This Row],[adj_res]]*Lookups!$M$28,-2)&lt;Grandview_Inventory[[#This Row],[min_res]],Grandview_Inventory[[#This Row],[min_res]],ROUND(Grandview_Inventory[[#This Row],[adj_res]]*Lookups!$M$28,-2))</f>
        <v>296300</v>
      </c>
      <c r="CD2433">
        <f>Grandview_Inventory[[#This Row],[final_det]]+Grandview_Inventory[[#This Row],[final_res]]</f>
        <v>296300</v>
      </c>
      <c r="CE2433">
        <f>Grandview_Inventory[[#This Row],[final_land]]+Grandview_Inventory[[#This Row],[final_imp]]+Grandview_Inventory[[#This Row],[crop_value]]</f>
        <v>341500</v>
      </c>
      <c r="CG2433" t="str">
        <f t="shared" si="37"/>
        <v>update valuation set market_land =45200, market_bldg=296300, market_total =341500, market_mdno =401, market_date ='9/10/2023' where link_id = (select link_id from parcel where parcel_year = '2024' and parcel_id = '23092622412');</v>
      </c>
    </row>
    <row r="2434" spans="1:85" x14ac:dyDescent="0.25">
      <c r="A2434">
        <v>23092622413</v>
      </c>
      <c r="B2434">
        <v>0.19</v>
      </c>
      <c r="C2434">
        <v>8423</v>
      </c>
      <c r="D2434" t="s">
        <v>129</v>
      </c>
      <c r="E2434" t="s">
        <v>53</v>
      </c>
      <c r="F2434" t="s">
        <v>53</v>
      </c>
      <c r="G2434">
        <v>4</v>
      </c>
      <c r="H2434" t="s">
        <v>54</v>
      </c>
      <c r="I2434">
        <v>237400</v>
      </c>
      <c r="J2434">
        <v>39100</v>
      </c>
      <c r="K2434">
        <v>0.19</v>
      </c>
      <c r="L243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34">
        <v>0</v>
      </c>
      <c r="N2434">
        <v>0</v>
      </c>
      <c r="O2434">
        <v>0</v>
      </c>
      <c r="P2434">
        <v>13398.7528</v>
      </c>
      <c r="Q2434">
        <v>63903</v>
      </c>
      <c r="R2434">
        <f>(Grandview_Inventory[[#This Row],[ln_acres]]*Grandview_Inventory[[#This Row],[coeff]])+Grandview_Inventory[[#This Row],[const]]</f>
        <v>41651.273092551026</v>
      </c>
      <c r="S2434" t="s">
        <v>61</v>
      </c>
      <c r="T2434">
        <v>1</v>
      </c>
      <c r="U2434" t="s">
        <v>65</v>
      </c>
      <c r="V2434" t="s">
        <v>57</v>
      </c>
      <c r="W2434">
        <v>0</v>
      </c>
      <c r="X2434">
        <v>0</v>
      </c>
      <c r="Y2434">
        <v>9</v>
      </c>
      <c r="Z2434">
        <v>9</v>
      </c>
      <c r="AA2434">
        <v>10</v>
      </c>
      <c r="AB2434">
        <v>1500</v>
      </c>
      <c r="AC2434">
        <v>1124</v>
      </c>
      <c r="AD2434">
        <v>1124</v>
      </c>
      <c r="AE2434">
        <v>0</v>
      </c>
      <c r="AF2434">
        <v>0</v>
      </c>
      <c r="AG2434">
        <v>0</v>
      </c>
      <c r="AH2434">
        <v>0</v>
      </c>
      <c r="AI2434">
        <v>440</v>
      </c>
      <c r="AJ2434">
        <v>0</v>
      </c>
      <c r="AK2434">
        <v>0</v>
      </c>
      <c r="AL2434">
        <v>0</v>
      </c>
      <c r="AM2434">
        <v>0</v>
      </c>
      <c r="AN2434">
        <v>48</v>
      </c>
      <c r="AO2434">
        <v>30</v>
      </c>
      <c r="AP2434">
        <v>8</v>
      </c>
      <c r="AQ2434">
        <v>0</v>
      </c>
      <c r="AR2434">
        <v>0</v>
      </c>
      <c r="AS2434" t="s">
        <v>58</v>
      </c>
      <c r="AT2434">
        <v>1</v>
      </c>
      <c r="AU2434" t="s">
        <v>63</v>
      </c>
      <c r="AV2434" t="s">
        <v>60</v>
      </c>
      <c r="AW2434">
        <v>1</v>
      </c>
      <c r="AX2434">
        <v>3</v>
      </c>
      <c r="AY2434">
        <v>0</v>
      </c>
      <c r="AZ2434">
        <v>0</v>
      </c>
      <c r="BA2434">
        <v>100</v>
      </c>
      <c r="BB2434">
        <v>100</v>
      </c>
      <c r="BC2434">
        <v>100</v>
      </c>
      <c r="BD2434">
        <v>100</v>
      </c>
      <c r="BE2434">
        <v>1</v>
      </c>
      <c r="BF2434">
        <v>15000</v>
      </c>
      <c r="BG2434">
        <v>1000</v>
      </c>
      <c r="BH2434" s="6">
        <f>Grandview_Inventory[[#This Row],[land_extract]]*Lookups!$B$3</f>
        <v>48369.510983942157</v>
      </c>
      <c r="BI2434" s="6">
        <f>IF(Grandview_Inventory[[#This Row],[bldg_style]]="",0,Lookups!$B$2)</f>
        <v>155833.95000000001</v>
      </c>
      <c r="BJ2434" s="6">
        <f>_xlfn.IFNA(VLOOKUP(Grandview_Inventory[[#This Row],[quality]],Lookups!$H$2:$J$14,3,FALSE),0)</f>
        <v>2251</v>
      </c>
      <c r="BK2434" s="6">
        <f>_xlfn.IFNA(VLOOKUP(Grandview_Inventory[[#This Row],[condition]],Lookups!$H$17:$J$24,3,FALSE),0)</f>
        <v>25780</v>
      </c>
      <c r="BL2434" s="6">
        <f>Grandview_Inventory[[#This Row],[Eff_Age]]*Lookups!$B$14</f>
        <v>-2152.4993999999997</v>
      </c>
      <c r="BM2434" s="6">
        <f>Grandview_Inventory[[#This Row],[living_area]]*Lookups!$B$15</f>
        <v>70116.078772000008</v>
      </c>
      <c r="BN2434" s="6">
        <f>Grandview_Inventory[[#This Row],[Fin BSMT]]*Lookups!$B$16</f>
        <v>0</v>
      </c>
      <c r="BO2434" s="6">
        <f>(Grandview_Inventory[[#This Row],[att_gar]]+Grandview_Inventory[[#This Row],[bltin_gar]])*Lookups!$B$17</f>
        <v>38508.992279999999</v>
      </c>
      <c r="BP2434" s="6">
        <f>Grandview_Inventory[[#This Row],[Plumbing Fixtures]]*Lookups!$B$18</f>
        <v>16083.5344</v>
      </c>
      <c r="BQ2434" s="6">
        <f>Grandview_Inventory[[#This Row],[detatched_value]]*Lookups!$B$19</f>
        <v>0</v>
      </c>
      <c r="BR2434" s="6">
        <f>SUM(Grandview_Inventory[[#This Row],[Intercept]:[det_value]])*Grandview_Inventory[[#This Row],[res_pct]]</f>
        <v>306421.05605200003</v>
      </c>
      <c r="BS2434" s="6">
        <f>Grandview_Inventory[[#This Row],[land_value]]</f>
        <v>48369.510983942157</v>
      </c>
      <c r="BT2434" s="4">
        <f>_xlfn.IFNA(VLOOKUP(Grandview_Inventory[[#This Row],[quality]],Lookups!$A$26:$C$33,3,FALSE),1)</f>
        <v>0.98763855981004833</v>
      </c>
      <c r="BU2434" s="4">
        <f>_xlfn.IFNA(VLOOKUP(Grandview_Inventory[[#This Row],[condition]],Lookups!$A$37:$C$44,3,FALSE),1)</f>
        <v>0.94347925387812148</v>
      </c>
      <c r="BV2434" s="4">
        <f>IF(Grandview_Inventory[[#This Row],[bldg_style]]="",1,_xlfn.IFNA(VLOOKUP(Grandview_Inventory[[#This Row],[decade]],Lookups!$F$29:$H$43,3,FALSE),1))</f>
        <v>0.94601966599150278</v>
      </c>
      <c r="BW2434" s="4">
        <f>_xlfn.IFNA(VLOOKUP(Grandview_Inventory[[#This Row],[living_area_range]],Lookups!$F$47:$H$56,3,FALSE),1)</f>
        <v>0.96135087979789358</v>
      </c>
      <c r="BX2434" s="4">
        <f>AVERAGE(Grandview_Inventory[[#This Row],[qual_adj]:[size_adj]])</f>
        <v>0.95962208986939146</v>
      </c>
      <c r="BY2434" s="6">
        <f>IF(Grandview_Inventory[[#This Row],[pre_res]]&lt;0,0,Grandview_Inventory[[#This Row],[pre_res]]*Grandview_Inventory[[#This Row],[overall_adj]])</f>
        <v>294048.4141886062</v>
      </c>
      <c r="BZ2434" s="6">
        <f>(Grandview_Inventory[[#This Row],[sum_land]]-IF(Grandview_Inventory[[#This Row],[no_utilities]]=1,12000,0))/IF(Grandview_Inventory[[#This Row],[unbuildable]]=1,2,1)</f>
        <v>48369.510983942157</v>
      </c>
      <c r="CA243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34">
        <f>ROUND(Grandview_Inventory[[#This Row],[det_value]]*Lookups!$M$28,-2)</f>
        <v>0</v>
      </c>
      <c r="CC2434">
        <f>IF(ROUND(Grandview_Inventory[[#This Row],[adj_res]]*Lookups!$M$28,-2)&lt;Grandview_Inventory[[#This Row],[min_res]],Grandview_Inventory[[#This Row],[min_res]],ROUND(Grandview_Inventory[[#This Row],[adj_res]]*Lookups!$M$28,-2))</f>
        <v>279300</v>
      </c>
      <c r="CD2434">
        <f>Grandview_Inventory[[#This Row],[final_det]]+Grandview_Inventory[[#This Row],[final_res]]</f>
        <v>279300</v>
      </c>
      <c r="CE2434">
        <f>Grandview_Inventory[[#This Row],[final_land]]+Grandview_Inventory[[#This Row],[final_imp]]+Grandview_Inventory[[#This Row],[crop_value]]</f>
        <v>325300</v>
      </c>
      <c r="CG2434" t="str">
        <f t="shared" si="37"/>
        <v>update valuation set market_land =46000, market_bldg=279300, market_total =325300, market_mdno =401, market_date ='9/10/2023' where link_id = (select link_id from parcel where parcel_year = '2024' and parcel_id = '23092622413');</v>
      </c>
    </row>
    <row r="2435" spans="1:85" x14ac:dyDescent="0.25">
      <c r="A2435">
        <v>23092622414</v>
      </c>
      <c r="B2435">
        <v>0.22</v>
      </c>
      <c r="C2435">
        <v>9474</v>
      </c>
      <c r="D2435" t="s">
        <v>129</v>
      </c>
      <c r="E2435" t="s">
        <v>53</v>
      </c>
      <c r="F2435" t="s">
        <v>53</v>
      </c>
      <c r="G2435">
        <v>4</v>
      </c>
      <c r="H2435" t="s">
        <v>54</v>
      </c>
      <c r="I2435">
        <v>237400</v>
      </c>
      <c r="J2435">
        <v>39500</v>
      </c>
      <c r="K2435">
        <v>0.22</v>
      </c>
      <c r="L243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435">
        <v>0</v>
      </c>
      <c r="N2435">
        <v>0</v>
      </c>
      <c r="O2435">
        <v>0</v>
      </c>
      <c r="P2435">
        <v>13398.7528</v>
      </c>
      <c r="Q2435">
        <v>63903</v>
      </c>
      <c r="R2435">
        <f>(Grandview_Inventory[[#This Row],[ln_acres]]*Grandview_Inventory[[#This Row],[coeff]])+Grandview_Inventory[[#This Row],[const]]</f>
        <v>43615.576802869145</v>
      </c>
      <c r="S2435" t="s">
        <v>61</v>
      </c>
      <c r="T2435">
        <v>1</v>
      </c>
      <c r="U2435" t="s">
        <v>62</v>
      </c>
      <c r="V2435" t="s">
        <v>66</v>
      </c>
      <c r="W2435">
        <v>0</v>
      </c>
      <c r="X2435">
        <v>0</v>
      </c>
      <c r="Y2435">
        <v>9</v>
      </c>
      <c r="Z2435">
        <v>9</v>
      </c>
      <c r="AA2435">
        <v>10</v>
      </c>
      <c r="AB2435">
        <v>1500</v>
      </c>
      <c r="AC2435">
        <v>1124</v>
      </c>
      <c r="AD2435">
        <v>1124</v>
      </c>
      <c r="AE2435">
        <v>0</v>
      </c>
      <c r="AF2435">
        <v>0</v>
      </c>
      <c r="AG2435">
        <v>0</v>
      </c>
      <c r="AH2435">
        <v>0</v>
      </c>
      <c r="AI2435">
        <v>440</v>
      </c>
      <c r="AJ2435">
        <v>0</v>
      </c>
      <c r="AK2435">
        <v>0</v>
      </c>
      <c r="AL2435">
        <v>0</v>
      </c>
      <c r="AM2435">
        <v>0</v>
      </c>
      <c r="AN2435">
        <v>48</v>
      </c>
      <c r="AO2435">
        <v>30</v>
      </c>
      <c r="AP2435">
        <v>8</v>
      </c>
      <c r="AQ2435">
        <v>0</v>
      </c>
      <c r="AR2435">
        <v>0</v>
      </c>
      <c r="AS2435" t="s">
        <v>58</v>
      </c>
      <c r="AT2435">
        <v>1</v>
      </c>
      <c r="AU2435" t="s">
        <v>63</v>
      </c>
      <c r="AV2435" t="s">
        <v>60</v>
      </c>
      <c r="AW2435">
        <v>1</v>
      </c>
      <c r="AX2435">
        <v>3</v>
      </c>
      <c r="AY2435">
        <v>0</v>
      </c>
      <c r="AZ2435">
        <v>0</v>
      </c>
      <c r="BA2435">
        <v>100</v>
      </c>
      <c r="BB2435">
        <v>100</v>
      </c>
      <c r="BC2435">
        <v>100</v>
      </c>
      <c r="BD2435">
        <v>100</v>
      </c>
      <c r="BE2435">
        <v>1</v>
      </c>
      <c r="BF2435">
        <v>15000</v>
      </c>
      <c r="BG2435">
        <v>1000</v>
      </c>
      <c r="BH2435" s="6">
        <f>Grandview_Inventory[[#This Row],[land_extract]]*Lookups!$B$3</f>
        <v>50650.651579114572</v>
      </c>
      <c r="BI2435" s="6">
        <f>IF(Grandview_Inventory[[#This Row],[bldg_style]]="",0,Lookups!$B$2)</f>
        <v>155833.95000000001</v>
      </c>
      <c r="BJ2435" s="6">
        <f>_xlfn.IFNA(VLOOKUP(Grandview_Inventory[[#This Row],[quality]],Lookups!$H$2:$J$14,3,FALSE),0)</f>
        <v>9808</v>
      </c>
      <c r="BK2435" s="6">
        <f>_xlfn.IFNA(VLOOKUP(Grandview_Inventory[[#This Row],[condition]],Lookups!$H$17:$J$24,3,FALSE),0)</f>
        <v>25818</v>
      </c>
      <c r="BL2435" s="6">
        <f>Grandview_Inventory[[#This Row],[Eff_Age]]*Lookups!$B$14</f>
        <v>-2152.4993999999997</v>
      </c>
      <c r="BM2435" s="6">
        <f>Grandview_Inventory[[#This Row],[living_area]]*Lookups!$B$15</f>
        <v>70116.078772000008</v>
      </c>
      <c r="BN2435" s="6">
        <f>Grandview_Inventory[[#This Row],[Fin BSMT]]*Lookups!$B$16</f>
        <v>0</v>
      </c>
      <c r="BO2435" s="6">
        <f>(Grandview_Inventory[[#This Row],[att_gar]]+Grandview_Inventory[[#This Row],[bltin_gar]])*Lookups!$B$17</f>
        <v>38508.992279999999</v>
      </c>
      <c r="BP2435" s="6">
        <f>Grandview_Inventory[[#This Row],[Plumbing Fixtures]]*Lookups!$B$18</f>
        <v>16083.5344</v>
      </c>
      <c r="BQ2435" s="6">
        <f>Grandview_Inventory[[#This Row],[detatched_value]]*Lookups!$B$19</f>
        <v>0</v>
      </c>
      <c r="BR2435" s="6">
        <f>SUM(Grandview_Inventory[[#This Row],[Intercept]:[det_value]])*Grandview_Inventory[[#This Row],[res_pct]]</f>
        <v>314016.05605200003</v>
      </c>
      <c r="BS2435" s="6">
        <f>Grandview_Inventory[[#This Row],[land_value]]</f>
        <v>50650.651579114572</v>
      </c>
      <c r="BT2435" s="4">
        <f>_xlfn.IFNA(VLOOKUP(Grandview_Inventory[[#This Row],[quality]],Lookups!$A$26:$C$33,3,FALSE),1)</f>
        <v>0.94295468617355149</v>
      </c>
      <c r="BU2435" s="4">
        <f>_xlfn.IFNA(VLOOKUP(Grandview_Inventory[[#This Row],[condition]],Lookups!$A$37:$C$44,3,FALSE),1)</f>
        <v>0.96661476234146892</v>
      </c>
      <c r="BV2435" s="4">
        <f>IF(Grandview_Inventory[[#This Row],[bldg_style]]="",1,_xlfn.IFNA(VLOOKUP(Grandview_Inventory[[#This Row],[decade]],Lookups!$F$29:$H$43,3,FALSE),1))</f>
        <v>0.94601966599150278</v>
      </c>
      <c r="BW2435" s="4">
        <f>_xlfn.IFNA(VLOOKUP(Grandview_Inventory[[#This Row],[living_area_range]],Lookups!$F$47:$H$56,3,FALSE),1)</f>
        <v>0.96135087979789358</v>
      </c>
      <c r="BX2435" s="4">
        <f>AVERAGE(Grandview_Inventory[[#This Row],[qual_adj]:[size_adj]])</f>
        <v>0.95423499857610428</v>
      </c>
      <c r="BY2435" s="6">
        <f>IF(Grandview_Inventory[[#This Row],[pre_res]]&lt;0,0,Grandview_Inventory[[#This Row],[pre_res]]*Grandview_Inventory[[#This Row],[overall_adj]])</f>
        <v>299645.11079965415</v>
      </c>
      <c r="BZ2435" s="6">
        <f>(Grandview_Inventory[[#This Row],[sum_land]]-IF(Grandview_Inventory[[#This Row],[no_utilities]]=1,12000,0))/IF(Grandview_Inventory[[#This Row],[unbuildable]]=1,2,1)</f>
        <v>50650.651579114572</v>
      </c>
      <c r="CA243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435">
        <f>ROUND(Grandview_Inventory[[#This Row],[det_value]]*Lookups!$M$28,-2)</f>
        <v>0</v>
      </c>
      <c r="CC2435">
        <f>IF(ROUND(Grandview_Inventory[[#This Row],[adj_res]]*Lookups!$M$28,-2)&lt;Grandview_Inventory[[#This Row],[min_res]],Grandview_Inventory[[#This Row],[min_res]],ROUND(Grandview_Inventory[[#This Row],[adj_res]]*Lookups!$M$28,-2))</f>
        <v>284700</v>
      </c>
      <c r="CD2435">
        <f>Grandview_Inventory[[#This Row],[final_det]]+Grandview_Inventory[[#This Row],[final_res]]</f>
        <v>284700</v>
      </c>
      <c r="CE2435">
        <f>Grandview_Inventory[[#This Row],[final_land]]+Grandview_Inventory[[#This Row],[final_imp]]+Grandview_Inventory[[#This Row],[crop_value]]</f>
        <v>332800</v>
      </c>
      <c r="CG2435" t="str">
        <f t="shared" ref="CG2435:CG2498" si="38">"update valuation set market_land ="&amp;CA2435&amp;", market_bldg="&amp;CD2435&amp;", market_total ="&amp;CE2435&amp;", market_mdno ="&amp;$CG$1&amp;", market_date ='"&amp;TEXT($CH$1,"m/d/yyyy")&amp;"' where link_id = (select link_id from parcel where parcel_year = '2024' and parcel_id = '"&amp;A2435&amp;"');"</f>
        <v>update valuation set market_land =48100, market_bldg=284700, market_total =332800, market_mdno =401, market_date ='9/10/2023' where link_id = (select link_id from parcel where parcel_year = '2024' and parcel_id = '23092622414');</v>
      </c>
    </row>
    <row r="2436" spans="1:85" x14ac:dyDescent="0.25">
      <c r="A2436">
        <v>23092622416</v>
      </c>
      <c r="B2436">
        <v>0.19</v>
      </c>
      <c r="C2436">
        <v>8414</v>
      </c>
      <c r="D2436" t="s">
        <v>129</v>
      </c>
      <c r="E2436" t="s">
        <v>53</v>
      </c>
      <c r="F2436" t="s">
        <v>53</v>
      </c>
      <c r="G2436">
        <v>4</v>
      </c>
      <c r="H2436" t="s">
        <v>54</v>
      </c>
      <c r="I2436">
        <v>255100</v>
      </c>
      <c r="J2436">
        <v>39100</v>
      </c>
      <c r="K2436">
        <v>0.19</v>
      </c>
      <c r="L243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36">
        <v>0</v>
      </c>
      <c r="N2436">
        <v>0</v>
      </c>
      <c r="O2436">
        <v>0</v>
      </c>
      <c r="P2436">
        <v>13398.7528</v>
      </c>
      <c r="Q2436">
        <v>63903</v>
      </c>
      <c r="R2436">
        <f>(Grandview_Inventory[[#This Row],[ln_acres]]*Grandview_Inventory[[#This Row],[coeff]])+Grandview_Inventory[[#This Row],[const]]</f>
        <v>41651.273092551026</v>
      </c>
      <c r="S2436" t="s">
        <v>61</v>
      </c>
      <c r="T2436">
        <v>1</v>
      </c>
      <c r="U2436" t="s">
        <v>65</v>
      </c>
      <c r="V2436" t="s">
        <v>57</v>
      </c>
      <c r="W2436">
        <v>0</v>
      </c>
      <c r="X2436">
        <v>0</v>
      </c>
      <c r="Y2436">
        <v>9</v>
      </c>
      <c r="Z2436">
        <v>9</v>
      </c>
      <c r="AA2436">
        <v>10</v>
      </c>
      <c r="AB2436">
        <v>1500</v>
      </c>
      <c r="AC2436">
        <v>1420</v>
      </c>
      <c r="AD2436">
        <v>1420</v>
      </c>
      <c r="AE2436">
        <v>0</v>
      </c>
      <c r="AF2436">
        <v>0</v>
      </c>
      <c r="AG2436">
        <v>0</v>
      </c>
      <c r="AH2436">
        <v>0</v>
      </c>
      <c r="AI2436">
        <v>442</v>
      </c>
      <c r="AJ2436">
        <v>0</v>
      </c>
      <c r="AK2436">
        <v>0</v>
      </c>
      <c r="AL2436">
        <v>0</v>
      </c>
      <c r="AM2436">
        <v>0</v>
      </c>
      <c r="AN2436">
        <v>44</v>
      </c>
      <c r="AO2436">
        <v>40</v>
      </c>
      <c r="AP2436">
        <v>8</v>
      </c>
      <c r="AQ2436">
        <v>0</v>
      </c>
      <c r="AR2436">
        <v>0</v>
      </c>
      <c r="AS2436" t="s">
        <v>58</v>
      </c>
      <c r="AT2436">
        <v>1</v>
      </c>
      <c r="AU2436" t="s">
        <v>63</v>
      </c>
      <c r="AV2436" t="s">
        <v>60</v>
      </c>
      <c r="AW2436">
        <v>1</v>
      </c>
      <c r="AX2436">
        <v>4</v>
      </c>
      <c r="AY2436">
        <v>0</v>
      </c>
      <c r="AZ2436">
        <v>0</v>
      </c>
      <c r="BA2436">
        <v>100</v>
      </c>
      <c r="BB2436">
        <v>100</v>
      </c>
      <c r="BC2436">
        <v>100</v>
      </c>
      <c r="BD2436">
        <v>100</v>
      </c>
      <c r="BE2436">
        <v>1</v>
      </c>
      <c r="BF2436">
        <v>15000</v>
      </c>
      <c r="BG2436">
        <v>1000</v>
      </c>
      <c r="BH2436" s="6">
        <f>Grandview_Inventory[[#This Row],[land_extract]]*Lookups!$B$3</f>
        <v>48369.510983942157</v>
      </c>
      <c r="BI2436" s="6">
        <f>IF(Grandview_Inventory[[#This Row],[bldg_style]]="",0,Lookups!$B$2)</f>
        <v>155833.95000000001</v>
      </c>
      <c r="BJ2436" s="6">
        <f>_xlfn.IFNA(VLOOKUP(Grandview_Inventory[[#This Row],[quality]],Lookups!$H$2:$J$14,3,FALSE),0)</f>
        <v>2251</v>
      </c>
      <c r="BK2436" s="6">
        <f>_xlfn.IFNA(VLOOKUP(Grandview_Inventory[[#This Row],[condition]],Lookups!$H$17:$J$24,3,FALSE),0)</f>
        <v>25780</v>
      </c>
      <c r="BL2436" s="6">
        <f>Grandview_Inventory[[#This Row],[Eff_Age]]*Lookups!$B$14</f>
        <v>-2152.4993999999997</v>
      </c>
      <c r="BM2436" s="6">
        <f>Grandview_Inventory[[#This Row],[living_area]]*Lookups!$B$15</f>
        <v>88580.811260000002</v>
      </c>
      <c r="BN2436" s="6">
        <f>Grandview_Inventory[[#This Row],[Fin BSMT]]*Lookups!$B$16</f>
        <v>0</v>
      </c>
      <c r="BO2436" s="6">
        <f>(Grandview_Inventory[[#This Row],[att_gar]]+Grandview_Inventory[[#This Row],[bltin_gar]])*Lookups!$B$17</f>
        <v>38684.033153999997</v>
      </c>
      <c r="BP2436" s="6">
        <f>Grandview_Inventory[[#This Row],[Plumbing Fixtures]]*Lookups!$B$18</f>
        <v>16083.5344</v>
      </c>
      <c r="BQ2436" s="6">
        <f>Grandview_Inventory[[#This Row],[detatched_value]]*Lookups!$B$19</f>
        <v>0</v>
      </c>
      <c r="BR2436" s="6">
        <f>SUM(Grandview_Inventory[[#This Row],[Intercept]:[det_value]])*Grandview_Inventory[[#This Row],[res_pct]]</f>
        <v>325060.82941400004</v>
      </c>
      <c r="BS2436" s="6">
        <f>Grandview_Inventory[[#This Row],[land_value]]</f>
        <v>48369.510983942157</v>
      </c>
      <c r="BT2436" s="4">
        <f>_xlfn.IFNA(VLOOKUP(Grandview_Inventory[[#This Row],[quality]],Lookups!$A$26:$C$33,3,FALSE),1)</f>
        <v>0.98763855981004833</v>
      </c>
      <c r="BU2436" s="4">
        <f>_xlfn.IFNA(VLOOKUP(Grandview_Inventory[[#This Row],[condition]],Lookups!$A$37:$C$44,3,FALSE),1)</f>
        <v>0.94347925387812148</v>
      </c>
      <c r="BV2436" s="4">
        <f>IF(Grandview_Inventory[[#This Row],[bldg_style]]="",1,_xlfn.IFNA(VLOOKUP(Grandview_Inventory[[#This Row],[decade]],Lookups!$F$29:$H$43,3,FALSE),1))</f>
        <v>0.94601966599150278</v>
      </c>
      <c r="BW2436" s="4">
        <f>_xlfn.IFNA(VLOOKUP(Grandview_Inventory[[#This Row],[living_area_range]],Lookups!$F$47:$H$56,3,FALSE),1)</f>
        <v>0.96135087979789358</v>
      </c>
      <c r="BX2436" s="4">
        <f>AVERAGE(Grandview_Inventory[[#This Row],[qual_adj]:[size_adj]])</f>
        <v>0.95962208986939146</v>
      </c>
      <c r="BY2436" s="6">
        <f>IF(Grandview_Inventory[[#This Row],[pre_res]]&lt;0,0,Grandview_Inventory[[#This Row],[pre_res]]*Grandview_Inventory[[#This Row],[overall_adj]])</f>
        <v>311935.55245694047</v>
      </c>
      <c r="BZ2436" s="6">
        <f>(Grandview_Inventory[[#This Row],[sum_land]]-IF(Grandview_Inventory[[#This Row],[no_utilities]]=1,12000,0))/IF(Grandview_Inventory[[#This Row],[unbuildable]]=1,2,1)</f>
        <v>48369.510983942157</v>
      </c>
      <c r="CA243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36">
        <f>ROUND(Grandview_Inventory[[#This Row],[det_value]]*Lookups!$M$28,-2)</f>
        <v>0</v>
      </c>
      <c r="CC2436">
        <f>IF(ROUND(Grandview_Inventory[[#This Row],[adj_res]]*Lookups!$M$28,-2)&lt;Grandview_Inventory[[#This Row],[min_res]],Grandview_Inventory[[#This Row],[min_res]],ROUND(Grandview_Inventory[[#This Row],[adj_res]]*Lookups!$M$28,-2))</f>
        <v>296300</v>
      </c>
      <c r="CD2436">
        <f>Grandview_Inventory[[#This Row],[final_det]]+Grandview_Inventory[[#This Row],[final_res]]</f>
        <v>296300</v>
      </c>
      <c r="CE2436">
        <f>Grandview_Inventory[[#This Row],[final_land]]+Grandview_Inventory[[#This Row],[final_imp]]+Grandview_Inventory[[#This Row],[crop_value]]</f>
        <v>342300</v>
      </c>
      <c r="CG2436" t="str">
        <f t="shared" si="38"/>
        <v>update valuation set market_land =46000, market_bldg=296300, market_total =342300, market_mdno =401, market_date ='9/10/2023' where link_id = (select link_id from parcel where parcel_year = '2024' and parcel_id = '23092622416');</v>
      </c>
    </row>
    <row r="2437" spans="1:85" x14ac:dyDescent="0.25">
      <c r="A2437">
        <v>23092622417</v>
      </c>
      <c r="B2437">
        <v>0.17</v>
      </c>
      <c r="C2437">
        <v>7367</v>
      </c>
      <c r="D2437" t="s">
        <v>129</v>
      </c>
      <c r="E2437" t="s">
        <v>53</v>
      </c>
      <c r="F2437" t="s">
        <v>53</v>
      </c>
      <c r="G2437">
        <v>4</v>
      </c>
      <c r="H2437" t="s">
        <v>54</v>
      </c>
      <c r="I2437">
        <v>239400</v>
      </c>
      <c r="J2437">
        <v>38800</v>
      </c>
      <c r="K2437">
        <v>0.17</v>
      </c>
      <c r="L243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437">
        <v>0</v>
      </c>
      <c r="N2437">
        <v>0</v>
      </c>
      <c r="O2437">
        <v>0</v>
      </c>
      <c r="P2437">
        <v>13398.7528</v>
      </c>
      <c r="Q2437">
        <v>63903</v>
      </c>
      <c r="R2437">
        <f>(Grandview_Inventory[[#This Row],[ln_acres]]*Grandview_Inventory[[#This Row],[coeff]])+Grandview_Inventory[[#This Row],[const]]</f>
        <v>40160.988302686128</v>
      </c>
      <c r="S2437" t="s">
        <v>61</v>
      </c>
      <c r="T2437">
        <v>1</v>
      </c>
      <c r="U2437" t="s">
        <v>65</v>
      </c>
      <c r="V2437" t="s">
        <v>66</v>
      </c>
      <c r="W2437">
        <v>0</v>
      </c>
      <c r="X2437">
        <v>0</v>
      </c>
      <c r="Y2437">
        <v>9</v>
      </c>
      <c r="Z2437">
        <v>9</v>
      </c>
      <c r="AA2437">
        <v>10</v>
      </c>
      <c r="AB2437">
        <v>1500</v>
      </c>
      <c r="AC2437">
        <v>1420</v>
      </c>
      <c r="AD2437">
        <v>1420</v>
      </c>
      <c r="AE2437">
        <v>0</v>
      </c>
      <c r="AF2437">
        <v>0</v>
      </c>
      <c r="AG2437">
        <v>0</v>
      </c>
      <c r="AH2437">
        <v>0</v>
      </c>
      <c r="AI2437">
        <v>442</v>
      </c>
      <c r="AJ2437">
        <v>0</v>
      </c>
      <c r="AK2437">
        <v>0</v>
      </c>
      <c r="AL2437">
        <v>0</v>
      </c>
      <c r="AM2437">
        <v>480</v>
      </c>
      <c r="AN2437">
        <v>44</v>
      </c>
      <c r="AO2437">
        <v>40</v>
      </c>
      <c r="AP2437">
        <v>8</v>
      </c>
      <c r="AQ2437">
        <v>0</v>
      </c>
      <c r="AR2437">
        <v>0</v>
      </c>
      <c r="AS2437" t="s">
        <v>58</v>
      </c>
      <c r="AT2437">
        <v>1</v>
      </c>
      <c r="AU2437" t="s">
        <v>63</v>
      </c>
      <c r="AV2437" t="s">
        <v>60</v>
      </c>
      <c r="AW2437">
        <v>1</v>
      </c>
      <c r="AX2437">
        <v>4</v>
      </c>
      <c r="AY2437">
        <v>0</v>
      </c>
      <c r="AZ2437">
        <v>0</v>
      </c>
      <c r="BA2437">
        <v>100</v>
      </c>
      <c r="BB2437">
        <v>100</v>
      </c>
      <c r="BC2437">
        <v>100</v>
      </c>
      <c r="BD2437">
        <v>100</v>
      </c>
      <c r="BE2437">
        <v>1</v>
      </c>
      <c r="BF2437">
        <v>15000</v>
      </c>
      <c r="BG2437">
        <v>1000</v>
      </c>
      <c r="BH2437" s="6">
        <f>Grandview_Inventory[[#This Row],[land_extract]]*Lookups!$B$3</f>
        <v>46638.847281240982</v>
      </c>
      <c r="BI2437" s="6">
        <f>IF(Grandview_Inventory[[#This Row],[bldg_style]]="",0,Lookups!$B$2)</f>
        <v>155833.95000000001</v>
      </c>
      <c r="BJ2437" s="6">
        <f>_xlfn.IFNA(VLOOKUP(Grandview_Inventory[[#This Row],[quality]],Lookups!$H$2:$J$14,3,FALSE),0)</f>
        <v>2251</v>
      </c>
      <c r="BK2437" s="6">
        <f>_xlfn.IFNA(VLOOKUP(Grandview_Inventory[[#This Row],[condition]],Lookups!$H$17:$J$24,3,FALSE),0)</f>
        <v>25818</v>
      </c>
      <c r="BL2437" s="6">
        <f>Grandview_Inventory[[#This Row],[Eff_Age]]*Lookups!$B$14</f>
        <v>-2152.4993999999997</v>
      </c>
      <c r="BM2437" s="6">
        <f>Grandview_Inventory[[#This Row],[living_area]]*Lookups!$B$15</f>
        <v>88580.811260000002</v>
      </c>
      <c r="BN2437" s="6">
        <f>Grandview_Inventory[[#This Row],[Fin BSMT]]*Lookups!$B$16</f>
        <v>0</v>
      </c>
      <c r="BO2437" s="6">
        <f>(Grandview_Inventory[[#This Row],[att_gar]]+Grandview_Inventory[[#This Row],[bltin_gar]])*Lookups!$B$17</f>
        <v>38684.033153999997</v>
      </c>
      <c r="BP2437" s="6">
        <f>Grandview_Inventory[[#This Row],[Plumbing Fixtures]]*Lookups!$B$18</f>
        <v>16083.5344</v>
      </c>
      <c r="BQ2437" s="6">
        <f>Grandview_Inventory[[#This Row],[detatched_value]]*Lookups!$B$19</f>
        <v>0</v>
      </c>
      <c r="BR2437" s="6">
        <f>SUM(Grandview_Inventory[[#This Row],[Intercept]:[det_value]])*Grandview_Inventory[[#This Row],[res_pct]]</f>
        <v>325098.82941400004</v>
      </c>
      <c r="BS2437" s="6">
        <f>Grandview_Inventory[[#This Row],[land_value]]</f>
        <v>46638.847281240982</v>
      </c>
      <c r="BT2437" s="4">
        <f>_xlfn.IFNA(VLOOKUP(Grandview_Inventory[[#This Row],[quality]],Lookups!$A$26:$C$33,3,FALSE),1)</f>
        <v>0.98763855981004833</v>
      </c>
      <c r="BU2437" s="4">
        <f>_xlfn.IFNA(VLOOKUP(Grandview_Inventory[[#This Row],[condition]],Lookups!$A$37:$C$44,3,FALSE),1)</f>
        <v>0.96661476234146892</v>
      </c>
      <c r="BV2437" s="4">
        <f>IF(Grandview_Inventory[[#This Row],[bldg_style]]="",1,_xlfn.IFNA(VLOOKUP(Grandview_Inventory[[#This Row],[decade]],Lookups!$F$29:$H$43,3,FALSE),1))</f>
        <v>0.94601966599150278</v>
      </c>
      <c r="BW2437" s="4">
        <f>_xlfn.IFNA(VLOOKUP(Grandview_Inventory[[#This Row],[living_area_range]],Lookups!$F$47:$H$56,3,FALSE),1)</f>
        <v>0.96135087979789358</v>
      </c>
      <c r="BX2437" s="4">
        <f>AVERAGE(Grandview_Inventory[[#This Row],[qual_adj]:[size_adj]])</f>
        <v>0.9654059669852284</v>
      </c>
      <c r="BY2437" s="6">
        <f>IF(Grandview_Inventory[[#This Row],[pre_res]]&lt;0,0,Grandview_Inventory[[#This Row],[pre_res]]*Grandview_Inventory[[#This Row],[overall_adj]])</f>
        <v>313852.34977618849</v>
      </c>
      <c r="BZ2437" s="6">
        <f>(Grandview_Inventory[[#This Row],[sum_land]]-IF(Grandview_Inventory[[#This Row],[no_utilities]]=1,12000,0))/IF(Grandview_Inventory[[#This Row],[unbuildable]]=1,2,1)</f>
        <v>46638.847281240982</v>
      </c>
      <c r="CA243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437">
        <f>ROUND(Grandview_Inventory[[#This Row],[det_value]]*Lookups!$M$28,-2)</f>
        <v>0</v>
      </c>
      <c r="CC2437">
        <f>IF(ROUND(Grandview_Inventory[[#This Row],[adj_res]]*Lookups!$M$28,-2)&lt;Grandview_Inventory[[#This Row],[min_res]],Grandview_Inventory[[#This Row],[min_res]],ROUND(Grandview_Inventory[[#This Row],[adj_res]]*Lookups!$M$28,-2))</f>
        <v>298200</v>
      </c>
      <c r="CD2437">
        <f>Grandview_Inventory[[#This Row],[final_det]]+Grandview_Inventory[[#This Row],[final_res]]</f>
        <v>298200</v>
      </c>
      <c r="CE2437">
        <f>Grandview_Inventory[[#This Row],[final_land]]+Grandview_Inventory[[#This Row],[final_imp]]+Grandview_Inventory[[#This Row],[crop_value]]</f>
        <v>342500</v>
      </c>
      <c r="CG2437" t="str">
        <f t="shared" si="38"/>
        <v>update valuation set market_land =44300, market_bldg=298200, market_total =342500, market_mdno =401, market_date ='9/10/2023' where link_id = (select link_id from parcel where parcel_year = '2024' and parcel_id = '23092622417');</v>
      </c>
    </row>
    <row r="2438" spans="1:85" x14ac:dyDescent="0.25">
      <c r="A2438">
        <v>23092622418</v>
      </c>
      <c r="B2438">
        <v>0.19</v>
      </c>
      <c r="C2438">
        <v>8481</v>
      </c>
      <c r="D2438" t="s">
        <v>129</v>
      </c>
      <c r="E2438" t="s">
        <v>53</v>
      </c>
      <c r="F2438" t="s">
        <v>53</v>
      </c>
      <c r="G2438">
        <v>4</v>
      </c>
      <c r="H2438" t="s">
        <v>54</v>
      </c>
      <c r="I2438">
        <v>237400</v>
      </c>
      <c r="J2438">
        <v>39100</v>
      </c>
      <c r="K2438">
        <v>0.19</v>
      </c>
      <c r="L243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438">
        <v>0</v>
      </c>
      <c r="N2438">
        <v>0</v>
      </c>
      <c r="O2438">
        <v>0</v>
      </c>
      <c r="P2438">
        <v>13398.7528</v>
      </c>
      <c r="Q2438">
        <v>63903</v>
      </c>
      <c r="R2438">
        <f>(Grandview_Inventory[[#This Row],[ln_acres]]*Grandview_Inventory[[#This Row],[coeff]])+Grandview_Inventory[[#This Row],[const]]</f>
        <v>41651.273092551026</v>
      </c>
      <c r="S2438" t="s">
        <v>61</v>
      </c>
      <c r="T2438">
        <v>1</v>
      </c>
      <c r="U2438" t="s">
        <v>62</v>
      </c>
      <c r="V2438" t="s">
        <v>66</v>
      </c>
      <c r="W2438">
        <v>0</v>
      </c>
      <c r="X2438">
        <v>0</v>
      </c>
      <c r="Y2438">
        <v>9</v>
      </c>
      <c r="Z2438">
        <v>9</v>
      </c>
      <c r="AA2438">
        <v>10</v>
      </c>
      <c r="AB2438">
        <v>1500</v>
      </c>
      <c r="AC2438">
        <v>1124</v>
      </c>
      <c r="AD2438">
        <v>1124</v>
      </c>
      <c r="AE2438">
        <v>0</v>
      </c>
      <c r="AF2438">
        <v>0</v>
      </c>
      <c r="AG2438">
        <v>0</v>
      </c>
      <c r="AH2438">
        <v>0</v>
      </c>
      <c r="AI2438">
        <v>440</v>
      </c>
      <c r="AJ2438">
        <v>0</v>
      </c>
      <c r="AK2438">
        <v>0</v>
      </c>
      <c r="AL2438">
        <v>0</v>
      </c>
      <c r="AM2438">
        <v>0</v>
      </c>
      <c r="AN2438">
        <v>48</v>
      </c>
      <c r="AO2438">
        <v>30</v>
      </c>
      <c r="AP2438">
        <v>8</v>
      </c>
      <c r="AQ2438">
        <v>0</v>
      </c>
      <c r="AR2438">
        <v>0</v>
      </c>
      <c r="AS2438" t="s">
        <v>58</v>
      </c>
      <c r="AT2438">
        <v>1</v>
      </c>
      <c r="AU2438" t="s">
        <v>63</v>
      </c>
      <c r="AV2438" t="s">
        <v>60</v>
      </c>
      <c r="AW2438">
        <v>1</v>
      </c>
      <c r="AX2438">
        <v>3</v>
      </c>
      <c r="AY2438">
        <v>0</v>
      </c>
      <c r="AZ2438">
        <v>0</v>
      </c>
      <c r="BA2438">
        <v>100</v>
      </c>
      <c r="BB2438">
        <v>100</v>
      </c>
      <c r="BC2438">
        <v>100</v>
      </c>
      <c r="BD2438">
        <v>100</v>
      </c>
      <c r="BE2438">
        <v>1</v>
      </c>
      <c r="BF2438">
        <v>15000</v>
      </c>
      <c r="BG2438">
        <v>1000</v>
      </c>
      <c r="BH2438" s="6">
        <f>Grandview_Inventory[[#This Row],[land_extract]]*Lookups!$B$3</f>
        <v>48369.510983942157</v>
      </c>
      <c r="BI2438" s="6">
        <f>IF(Grandview_Inventory[[#This Row],[bldg_style]]="",0,Lookups!$B$2)</f>
        <v>155833.95000000001</v>
      </c>
      <c r="BJ2438" s="6">
        <f>_xlfn.IFNA(VLOOKUP(Grandview_Inventory[[#This Row],[quality]],Lookups!$H$2:$J$14,3,FALSE),0)</f>
        <v>9808</v>
      </c>
      <c r="BK2438" s="6">
        <f>_xlfn.IFNA(VLOOKUP(Grandview_Inventory[[#This Row],[condition]],Lookups!$H$17:$J$24,3,FALSE),0)</f>
        <v>25818</v>
      </c>
      <c r="BL2438" s="6">
        <f>Grandview_Inventory[[#This Row],[Eff_Age]]*Lookups!$B$14</f>
        <v>-2152.4993999999997</v>
      </c>
      <c r="BM2438" s="6">
        <f>Grandview_Inventory[[#This Row],[living_area]]*Lookups!$B$15</f>
        <v>70116.078772000008</v>
      </c>
      <c r="BN2438" s="6">
        <f>Grandview_Inventory[[#This Row],[Fin BSMT]]*Lookups!$B$16</f>
        <v>0</v>
      </c>
      <c r="BO2438" s="6">
        <f>(Grandview_Inventory[[#This Row],[att_gar]]+Grandview_Inventory[[#This Row],[bltin_gar]])*Lookups!$B$17</f>
        <v>38508.992279999999</v>
      </c>
      <c r="BP2438" s="6">
        <f>Grandview_Inventory[[#This Row],[Plumbing Fixtures]]*Lookups!$B$18</f>
        <v>16083.5344</v>
      </c>
      <c r="BQ2438" s="6">
        <f>Grandview_Inventory[[#This Row],[detatched_value]]*Lookups!$B$19</f>
        <v>0</v>
      </c>
      <c r="BR2438" s="6">
        <f>SUM(Grandview_Inventory[[#This Row],[Intercept]:[det_value]])*Grandview_Inventory[[#This Row],[res_pct]]</f>
        <v>314016.05605200003</v>
      </c>
      <c r="BS2438" s="6">
        <f>Grandview_Inventory[[#This Row],[land_value]]</f>
        <v>48369.510983942157</v>
      </c>
      <c r="BT2438" s="4">
        <f>_xlfn.IFNA(VLOOKUP(Grandview_Inventory[[#This Row],[quality]],Lookups!$A$26:$C$33,3,FALSE),1)</f>
        <v>0.94295468617355149</v>
      </c>
      <c r="BU2438" s="4">
        <f>_xlfn.IFNA(VLOOKUP(Grandview_Inventory[[#This Row],[condition]],Lookups!$A$37:$C$44,3,FALSE),1)</f>
        <v>0.96661476234146892</v>
      </c>
      <c r="BV2438" s="4">
        <f>IF(Grandview_Inventory[[#This Row],[bldg_style]]="",1,_xlfn.IFNA(VLOOKUP(Grandview_Inventory[[#This Row],[decade]],Lookups!$F$29:$H$43,3,FALSE),1))</f>
        <v>0.94601966599150278</v>
      </c>
      <c r="BW2438" s="4">
        <f>_xlfn.IFNA(VLOOKUP(Grandview_Inventory[[#This Row],[living_area_range]],Lookups!$F$47:$H$56,3,FALSE),1)</f>
        <v>0.96135087979789358</v>
      </c>
      <c r="BX2438" s="4">
        <f>AVERAGE(Grandview_Inventory[[#This Row],[qual_adj]:[size_adj]])</f>
        <v>0.95423499857610428</v>
      </c>
      <c r="BY2438" s="6">
        <f>IF(Grandview_Inventory[[#This Row],[pre_res]]&lt;0,0,Grandview_Inventory[[#This Row],[pre_res]]*Grandview_Inventory[[#This Row],[overall_adj]])</f>
        <v>299645.11079965415</v>
      </c>
      <c r="BZ2438" s="6">
        <f>(Grandview_Inventory[[#This Row],[sum_land]]-IF(Grandview_Inventory[[#This Row],[no_utilities]]=1,12000,0))/IF(Grandview_Inventory[[#This Row],[unbuildable]]=1,2,1)</f>
        <v>48369.510983942157</v>
      </c>
      <c r="CA243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438">
        <f>ROUND(Grandview_Inventory[[#This Row],[det_value]]*Lookups!$M$28,-2)</f>
        <v>0</v>
      </c>
      <c r="CC2438">
        <f>IF(ROUND(Grandview_Inventory[[#This Row],[adj_res]]*Lookups!$M$28,-2)&lt;Grandview_Inventory[[#This Row],[min_res]],Grandview_Inventory[[#This Row],[min_res]],ROUND(Grandview_Inventory[[#This Row],[adj_res]]*Lookups!$M$28,-2))</f>
        <v>284700</v>
      </c>
      <c r="CD2438">
        <f>Grandview_Inventory[[#This Row],[final_det]]+Grandview_Inventory[[#This Row],[final_res]]</f>
        <v>284700</v>
      </c>
      <c r="CE2438">
        <f>Grandview_Inventory[[#This Row],[final_land]]+Grandview_Inventory[[#This Row],[final_imp]]+Grandview_Inventory[[#This Row],[crop_value]]</f>
        <v>330700</v>
      </c>
      <c r="CG2438" t="str">
        <f t="shared" si="38"/>
        <v>update valuation set market_land =46000, market_bldg=284700, market_total =330700, market_mdno =401, market_date ='9/10/2023' where link_id = (select link_id from parcel where parcel_year = '2024' and parcel_id = '23092622418');</v>
      </c>
    </row>
    <row r="2439" spans="1:85" x14ac:dyDescent="0.25">
      <c r="A2439">
        <v>23092623001</v>
      </c>
      <c r="B2439">
        <v>1.1599999999999999</v>
      </c>
      <c r="C2439">
        <v>50679</v>
      </c>
      <c r="D2439" t="s">
        <v>129</v>
      </c>
      <c r="E2439" t="s">
        <v>53</v>
      </c>
      <c r="F2439" t="s">
        <v>53</v>
      </c>
      <c r="G2439">
        <v>4</v>
      </c>
      <c r="H2439" t="s">
        <v>54</v>
      </c>
      <c r="I2439">
        <v>385500</v>
      </c>
      <c r="J2439">
        <v>45900</v>
      </c>
      <c r="K2439">
        <v>1.1599999999999999</v>
      </c>
      <c r="L2439">
        <f>IF(Grandview_Inventory[[#This Row],[parcel_acres]]-Grandview_Inventory[[#This Row],[non_valued_acres]] =0,0,LN(Grandview_Inventory[[#This Row],[parcel_acres]]-Grandview_Inventory[[#This Row],[non_valued_acres]]))</f>
        <v>0.14842000511827322</v>
      </c>
      <c r="M2439">
        <v>0</v>
      </c>
      <c r="N2439">
        <v>0</v>
      </c>
      <c r="O2439">
        <v>0</v>
      </c>
      <c r="P2439">
        <v>13398.7528</v>
      </c>
      <c r="Q2439">
        <v>63903</v>
      </c>
      <c r="R2439">
        <f>(Grandview_Inventory[[#This Row],[ln_acres]]*Grandview_Inventory[[#This Row],[coeff]])+Grandview_Inventory[[#This Row],[const]]</f>
        <v>65891.642959154473</v>
      </c>
      <c r="S2439" t="s">
        <v>61</v>
      </c>
      <c r="T2439">
        <v>1</v>
      </c>
      <c r="U2439" t="s">
        <v>62</v>
      </c>
      <c r="V2439" t="s">
        <v>67</v>
      </c>
      <c r="W2439">
        <v>0</v>
      </c>
      <c r="X2439">
        <v>0</v>
      </c>
      <c r="Y2439">
        <v>50</v>
      </c>
      <c r="Z2439">
        <v>72</v>
      </c>
      <c r="AA2439">
        <v>80</v>
      </c>
      <c r="AB2439">
        <v>4000</v>
      </c>
      <c r="AC2439">
        <v>3527</v>
      </c>
      <c r="AD2439">
        <v>2125</v>
      </c>
      <c r="AE2439">
        <v>0</v>
      </c>
      <c r="AF2439">
        <v>0</v>
      </c>
      <c r="AG2439">
        <v>1402</v>
      </c>
      <c r="AH2439">
        <v>723</v>
      </c>
      <c r="AI2439">
        <v>850</v>
      </c>
      <c r="AJ2439">
        <v>0</v>
      </c>
      <c r="AK2439">
        <v>0</v>
      </c>
      <c r="AL2439">
        <v>0</v>
      </c>
      <c r="AM2439">
        <v>552</v>
      </c>
      <c r="AN2439">
        <v>0</v>
      </c>
      <c r="AO2439">
        <v>144</v>
      </c>
      <c r="AP2439">
        <v>12</v>
      </c>
      <c r="AQ2439">
        <v>1</v>
      </c>
      <c r="AR2439">
        <v>1</v>
      </c>
      <c r="AS2439" t="s">
        <v>137</v>
      </c>
      <c r="AT2439">
        <v>1</v>
      </c>
      <c r="AU2439" t="s">
        <v>63</v>
      </c>
      <c r="AV2439" t="s">
        <v>60</v>
      </c>
      <c r="AW2439">
        <v>1</v>
      </c>
      <c r="AX2439">
        <v>5</v>
      </c>
      <c r="AY2439">
        <v>0</v>
      </c>
      <c r="AZ2439">
        <v>11000</v>
      </c>
      <c r="BA2439">
        <v>100</v>
      </c>
      <c r="BB2439">
        <v>100</v>
      </c>
      <c r="BC2439">
        <v>100</v>
      </c>
      <c r="BD2439">
        <v>100</v>
      </c>
      <c r="BE2439">
        <v>1</v>
      </c>
      <c r="BF2439">
        <v>15000</v>
      </c>
      <c r="BG2439">
        <v>1000</v>
      </c>
      <c r="BH2439" s="6">
        <f>Grandview_Inventory[[#This Row],[land_extract]]*Lookups!$B$3</f>
        <v>76519.787061030103</v>
      </c>
      <c r="BI2439" s="6">
        <f>IF(Grandview_Inventory[[#This Row],[bldg_style]]="",0,Lookups!$B$2)</f>
        <v>155833.95000000001</v>
      </c>
      <c r="BJ2439" s="6">
        <f>_xlfn.IFNA(VLOOKUP(Grandview_Inventory[[#This Row],[quality]],Lookups!$H$2:$J$14,3,FALSE),0)</f>
        <v>9808</v>
      </c>
      <c r="BK2439" s="6">
        <f>_xlfn.IFNA(VLOOKUP(Grandview_Inventory[[#This Row],[condition]],Lookups!$H$17:$J$24,3,FALSE),0)</f>
        <v>22342</v>
      </c>
      <c r="BL2439" s="6">
        <f>Grandview_Inventory[[#This Row],[Eff_Age]]*Lookups!$B$14</f>
        <v>-11958.33</v>
      </c>
      <c r="BM2439" s="6">
        <f>Grandview_Inventory[[#This Row],[living_area]]*Lookups!$B$15</f>
        <v>220017.26853100001</v>
      </c>
      <c r="BN2439" s="6">
        <f>Grandview_Inventory[[#This Row],[Fin BSMT]]*Lookups!$B$16</f>
        <v>-37993.134480000001</v>
      </c>
      <c r="BO2439" s="6">
        <f>(Grandview_Inventory[[#This Row],[att_gar]]+Grandview_Inventory[[#This Row],[bltin_gar]])*Lookups!$B$17</f>
        <v>74392.371450000006</v>
      </c>
      <c r="BP2439" s="6">
        <f>Grandview_Inventory[[#This Row],[Plumbing Fixtures]]*Lookups!$B$18</f>
        <v>24125.301599999999</v>
      </c>
      <c r="BQ2439" s="6">
        <f>Grandview_Inventory[[#This Row],[detatched_value]]*Lookups!$B$19</f>
        <v>9314.8560999999991</v>
      </c>
      <c r="BR2439" s="6">
        <f>SUM(Grandview_Inventory[[#This Row],[Intercept]:[det_value]])*Grandview_Inventory[[#This Row],[res_pct]]</f>
        <v>465882.28320099995</v>
      </c>
      <c r="BS2439" s="6">
        <f>Grandview_Inventory[[#This Row],[land_value]]</f>
        <v>76519.787061030103</v>
      </c>
      <c r="BT2439" s="4">
        <f>_xlfn.IFNA(VLOOKUP(Grandview_Inventory[[#This Row],[quality]],Lookups!$A$26:$C$33,3,FALSE),1)</f>
        <v>0.94295468617355149</v>
      </c>
      <c r="BU2439" s="4">
        <f>_xlfn.IFNA(VLOOKUP(Grandview_Inventory[[#This Row],[condition]],Lookups!$A$37:$C$44,3,FALSE),1)</f>
        <v>0.97383723671140243</v>
      </c>
      <c r="BV2439" s="4">
        <f>IF(Grandview_Inventory[[#This Row],[bldg_style]]="",1,_xlfn.IFNA(VLOOKUP(Grandview_Inventory[[#This Row],[decade]],Lookups!$F$29:$H$43,3,FALSE),1))</f>
        <v>0.98763256963907298</v>
      </c>
      <c r="BW2439" s="4">
        <f>_xlfn.IFNA(VLOOKUP(Grandview_Inventory[[#This Row],[living_area_range]],Lookups!$F$47:$H$56,3,FALSE),1)</f>
        <v>0.90089875105039252</v>
      </c>
      <c r="BX2439" s="4">
        <f>AVERAGE(Grandview_Inventory[[#This Row],[qual_adj]:[size_adj]])</f>
        <v>0.95133081089360494</v>
      </c>
      <c r="BY2439" s="6">
        <f>IF(Grandview_Inventory[[#This Row],[pre_res]]&lt;0,0,Grandview_Inventory[[#This Row],[pre_res]]*Grandview_Inventory[[#This Row],[overall_adj]])</f>
        <v>443208.17025857139</v>
      </c>
      <c r="BZ2439" s="6">
        <f>(Grandview_Inventory[[#This Row],[sum_land]]-IF(Grandview_Inventory[[#This Row],[no_utilities]]=1,12000,0))/IF(Grandview_Inventory[[#This Row],[unbuildable]]=1,2,1)</f>
        <v>76519.787061030103</v>
      </c>
      <c r="CA2439">
        <f>IF(ROUND(Grandview_Inventory[[#This Row],[adj_land]]*Lookups!$M$28,-2)&lt;Grandview_Inventory[[#This Row],[min_land]],Grandview_Inventory[[#This Row],[min_land]],ROUND(Grandview_Inventory[[#This Row],[adj_land]]*Lookups!$M$28,-2))</f>
        <v>72700</v>
      </c>
      <c r="CB2439">
        <f>ROUND(Grandview_Inventory[[#This Row],[det_value]]*Lookups!$M$28,-2)</f>
        <v>8800</v>
      </c>
      <c r="CC2439">
        <f>IF(ROUND(Grandview_Inventory[[#This Row],[adj_res]]*Lookups!$M$28,-2)&lt;Grandview_Inventory[[#This Row],[min_res]],Grandview_Inventory[[#This Row],[min_res]],ROUND(Grandview_Inventory[[#This Row],[adj_res]]*Lookups!$M$28,-2))</f>
        <v>421000</v>
      </c>
      <c r="CD2439">
        <f>Grandview_Inventory[[#This Row],[final_det]]+Grandview_Inventory[[#This Row],[final_res]]</f>
        <v>429800</v>
      </c>
      <c r="CE2439">
        <f>Grandview_Inventory[[#This Row],[final_land]]+Grandview_Inventory[[#This Row],[final_imp]]+Grandview_Inventory[[#This Row],[crop_value]]</f>
        <v>502500</v>
      </c>
      <c r="CG2439" t="str">
        <f t="shared" si="38"/>
        <v>update valuation set market_land =72700, market_bldg=429800, market_total =502500, market_mdno =401, market_date ='9/10/2023' where link_id = (select link_id from parcel where parcel_year = '2024' and parcel_id = '23092623001');</v>
      </c>
    </row>
    <row r="2440" spans="1:85" x14ac:dyDescent="0.25">
      <c r="A2440">
        <v>23092623004</v>
      </c>
      <c r="B2440">
        <v>0.32</v>
      </c>
      <c r="C2440">
        <v>14065</v>
      </c>
      <c r="D2440" t="s">
        <v>129</v>
      </c>
      <c r="E2440" t="s">
        <v>53</v>
      </c>
      <c r="F2440" t="s">
        <v>53</v>
      </c>
      <c r="G2440">
        <v>4</v>
      </c>
      <c r="H2440" t="s">
        <v>54</v>
      </c>
      <c r="I2440">
        <v>167300</v>
      </c>
      <c r="J2440">
        <v>41200</v>
      </c>
      <c r="K2440">
        <v>0.32</v>
      </c>
      <c r="L2440">
        <f>IF(Grandview_Inventory[[#This Row],[parcel_acres]]-Grandview_Inventory[[#This Row],[non_valued_acres]] =0,0,LN(Grandview_Inventory[[#This Row],[parcel_acres]]-Grandview_Inventory[[#This Row],[non_valued_acres]]))</f>
        <v>-1.1394342831883648</v>
      </c>
      <c r="M2440">
        <v>0</v>
      </c>
      <c r="N2440">
        <v>0</v>
      </c>
      <c r="O2440">
        <v>0</v>
      </c>
      <c r="P2440">
        <v>13398.7528</v>
      </c>
      <c r="Q2440">
        <v>63903</v>
      </c>
      <c r="R2440">
        <f>(Grandview_Inventory[[#This Row],[ln_acres]]*Grandview_Inventory[[#This Row],[coeff]])+Grandview_Inventory[[#This Row],[const]]</f>
        <v>48636.001707713905</v>
      </c>
      <c r="S2440" t="s">
        <v>55</v>
      </c>
      <c r="T2440">
        <v>2</v>
      </c>
      <c r="U2440" t="s">
        <v>62</v>
      </c>
      <c r="V2440" t="s">
        <v>69</v>
      </c>
      <c r="W2440">
        <v>0</v>
      </c>
      <c r="X2440">
        <v>0</v>
      </c>
      <c r="Y2440">
        <v>58</v>
      </c>
      <c r="Z2440">
        <v>106</v>
      </c>
      <c r="AA2440">
        <v>110</v>
      </c>
      <c r="AB2440">
        <v>1500</v>
      </c>
      <c r="AC2440">
        <v>1453</v>
      </c>
      <c r="AD2440">
        <v>1089</v>
      </c>
      <c r="AE2440">
        <v>364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411</v>
      </c>
      <c r="AN2440">
        <v>33</v>
      </c>
      <c r="AO2440">
        <v>0</v>
      </c>
      <c r="AP2440">
        <v>5</v>
      </c>
      <c r="AQ2440">
        <v>0</v>
      </c>
      <c r="AR2440">
        <v>1</v>
      </c>
      <c r="AS2440" t="s">
        <v>58</v>
      </c>
      <c r="AT2440">
        <v>1</v>
      </c>
      <c r="AU2440" t="s">
        <v>59</v>
      </c>
      <c r="AV2440" t="s">
        <v>60</v>
      </c>
      <c r="AW2440">
        <v>1</v>
      </c>
      <c r="AX2440">
        <v>2</v>
      </c>
      <c r="AY2440">
        <v>0</v>
      </c>
      <c r="AZ2440">
        <v>0</v>
      </c>
      <c r="BA2440">
        <v>100</v>
      </c>
      <c r="BB2440">
        <v>100</v>
      </c>
      <c r="BC2440">
        <v>100</v>
      </c>
      <c r="BD2440">
        <v>100</v>
      </c>
      <c r="BE2440">
        <v>1</v>
      </c>
      <c r="BF2440">
        <v>15000</v>
      </c>
      <c r="BG2440">
        <v>1000</v>
      </c>
      <c r="BH2440" s="6">
        <f>Grandview_Inventory[[#This Row],[land_extract]]*Lookups!$B$3</f>
        <v>56480.857465963549</v>
      </c>
      <c r="BI2440" s="6">
        <f>IF(Grandview_Inventory[[#This Row],[bldg_style]]="",0,Lookups!$B$2)</f>
        <v>155833.95000000001</v>
      </c>
      <c r="BJ2440" s="6">
        <f>_xlfn.IFNA(VLOOKUP(Grandview_Inventory[[#This Row],[quality]],Lookups!$H$2:$J$14,3,FALSE),0)</f>
        <v>9808</v>
      </c>
      <c r="BK2440" s="6">
        <f>_xlfn.IFNA(VLOOKUP(Grandview_Inventory[[#This Row],[condition]],Lookups!$H$17:$J$24,3,FALSE),0)</f>
        <v>-4503</v>
      </c>
      <c r="BL2440" s="6">
        <f>Grandview_Inventory[[#This Row],[Eff_Age]]*Lookups!$B$14</f>
        <v>-13871.6628</v>
      </c>
      <c r="BM2440" s="6">
        <f>Grandview_Inventory[[#This Row],[living_area]]*Lookups!$B$15</f>
        <v>90639.379409000001</v>
      </c>
      <c r="BN2440" s="6">
        <f>Grandview_Inventory[[#This Row],[Fin BSMT]]*Lookups!$B$16</f>
        <v>0</v>
      </c>
      <c r="BO2440" s="6">
        <f>(Grandview_Inventory[[#This Row],[att_gar]]+Grandview_Inventory[[#This Row],[bltin_gar]])*Lookups!$B$17</f>
        <v>0</v>
      </c>
      <c r="BP2440" s="6">
        <f>Grandview_Inventory[[#This Row],[Plumbing Fixtures]]*Lookups!$B$18</f>
        <v>10052.209000000001</v>
      </c>
      <c r="BQ2440" s="6">
        <f>Grandview_Inventory[[#This Row],[detatched_value]]*Lookups!$B$19</f>
        <v>0</v>
      </c>
      <c r="BR2440" s="6">
        <f>SUM(Grandview_Inventory[[#This Row],[Intercept]:[det_value]])*Grandview_Inventory[[#This Row],[res_pct]]</f>
        <v>247958.87560900001</v>
      </c>
      <c r="BS2440" s="6">
        <f>Grandview_Inventory[[#This Row],[land_value]]</f>
        <v>56480.857465963549</v>
      </c>
      <c r="BT2440" s="4">
        <f>_xlfn.IFNA(VLOOKUP(Grandview_Inventory[[#This Row],[quality]],Lookups!$A$26:$C$33,3,FALSE),1)</f>
        <v>0.94295468617355149</v>
      </c>
      <c r="BU2440" s="4">
        <f>_xlfn.IFNA(VLOOKUP(Grandview_Inventory[[#This Row],[condition]],Lookups!$A$37:$C$44,3,FALSE),1)</f>
        <v>0.96469275950863709</v>
      </c>
      <c r="BV2440" s="4">
        <f>IF(Grandview_Inventory[[#This Row],[bldg_style]]="",1,_xlfn.IFNA(VLOOKUP(Grandview_Inventory[[#This Row],[decade]],Lookups!$F$29:$H$43,3,FALSE),1))</f>
        <v>0.92255236374249616</v>
      </c>
      <c r="BW2440" s="4">
        <f>_xlfn.IFNA(VLOOKUP(Grandview_Inventory[[#This Row],[living_area_range]],Lookups!$F$47:$H$56,3,FALSE),1)</f>
        <v>0.96135087979789358</v>
      </c>
      <c r="BX2440" s="4">
        <f>AVERAGE(Grandview_Inventory[[#This Row],[qual_adj]:[size_adj]])</f>
        <v>0.94788767230564464</v>
      </c>
      <c r="BY2440" s="6">
        <f>IF(Grandview_Inventory[[#This Row],[pre_res]]&lt;0,0,Grandview_Inventory[[#This Row],[pre_res]]*Grandview_Inventory[[#This Row],[overall_adj]])</f>
        <v>235037.1614285399</v>
      </c>
      <c r="BZ2440" s="6">
        <f>(Grandview_Inventory[[#This Row],[sum_land]]-IF(Grandview_Inventory[[#This Row],[no_utilities]]=1,12000,0))/IF(Grandview_Inventory[[#This Row],[unbuildable]]=1,2,1)</f>
        <v>56480.857465963549</v>
      </c>
      <c r="CA2440">
        <f>IF(ROUND(Grandview_Inventory[[#This Row],[adj_land]]*Lookups!$M$28,-2)&lt;Grandview_Inventory[[#This Row],[min_land]],Grandview_Inventory[[#This Row],[min_land]],ROUND(Grandview_Inventory[[#This Row],[adj_land]]*Lookups!$M$28,-2))</f>
        <v>53700</v>
      </c>
      <c r="CB2440">
        <f>ROUND(Grandview_Inventory[[#This Row],[det_value]]*Lookups!$M$28,-2)</f>
        <v>0</v>
      </c>
      <c r="CC2440">
        <f>IF(ROUND(Grandview_Inventory[[#This Row],[adj_res]]*Lookups!$M$28,-2)&lt;Grandview_Inventory[[#This Row],[min_res]],Grandview_Inventory[[#This Row],[min_res]],ROUND(Grandview_Inventory[[#This Row],[adj_res]]*Lookups!$M$28,-2))</f>
        <v>223300</v>
      </c>
      <c r="CD2440">
        <f>Grandview_Inventory[[#This Row],[final_det]]+Grandview_Inventory[[#This Row],[final_res]]</f>
        <v>223300</v>
      </c>
      <c r="CE2440">
        <f>Grandview_Inventory[[#This Row],[final_land]]+Grandview_Inventory[[#This Row],[final_imp]]+Grandview_Inventory[[#This Row],[crop_value]]</f>
        <v>277000</v>
      </c>
      <c r="CG2440" t="str">
        <f t="shared" si="38"/>
        <v>update valuation set market_land =53700, market_bldg=223300, market_total =277000, market_mdno =401, market_date ='9/10/2023' where link_id = (select link_id from parcel where parcel_year = '2024' and parcel_id = '23092623004');</v>
      </c>
    </row>
    <row r="2441" spans="1:85" x14ac:dyDescent="0.25">
      <c r="A2441">
        <v>23092623009</v>
      </c>
      <c r="B2441">
        <v>10.07</v>
      </c>
      <c r="C2441" t="s">
        <v>129</v>
      </c>
      <c r="D2441" t="s">
        <v>129</v>
      </c>
      <c r="E2441" t="s">
        <v>53</v>
      </c>
      <c r="F2441" t="s">
        <v>53</v>
      </c>
      <c r="G2441">
        <v>4</v>
      </c>
      <c r="H2441" t="s">
        <v>54</v>
      </c>
      <c r="I2441">
        <v>245600</v>
      </c>
      <c r="J2441">
        <v>281900</v>
      </c>
      <c r="K2441">
        <v>10.07</v>
      </c>
      <c r="L2441">
        <f>IF(Grandview_Inventory[[#This Row],[parcel_acres]]-Grandview_Inventory[[#This Row],[non_valued_acres]] =0,0,LN(Grandview_Inventory[[#This Row],[parcel_acres]]-Grandview_Inventory[[#This Row],[non_valued_acres]]))</f>
        <v>2.3095607067304709</v>
      </c>
      <c r="M2441">
        <v>0</v>
      </c>
      <c r="N2441">
        <v>0</v>
      </c>
      <c r="O2441">
        <v>0</v>
      </c>
      <c r="P2441">
        <v>13398.7528</v>
      </c>
      <c r="Q2441">
        <v>63903</v>
      </c>
      <c r="R2441">
        <f>(Grandview_Inventory[[#This Row],[ln_acres]]*Grandview_Inventory[[#This Row],[coeff]])+Grandview_Inventory[[#This Row],[const]]</f>
        <v>94848.232986074872</v>
      </c>
      <c r="S2441" t="s">
        <v>86</v>
      </c>
      <c r="T2441">
        <v>2</v>
      </c>
      <c r="U2441" t="s">
        <v>65</v>
      </c>
      <c r="V2441" t="s">
        <v>78</v>
      </c>
      <c r="W2441">
        <v>0</v>
      </c>
      <c r="X2441">
        <v>0</v>
      </c>
      <c r="Y2441">
        <v>65</v>
      </c>
      <c r="Z2441">
        <v>113</v>
      </c>
      <c r="AA2441">
        <v>120</v>
      </c>
      <c r="AB2441">
        <v>2000</v>
      </c>
      <c r="AC2441">
        <v>1835</v>
      </c>
      <c r="AD2441">
        <v>1147</v>
      </c>
      <c r="AE2441">
        <v>688</v>
      </c>
      <c r="AF2441">
        <v>0</v>
      </c>
      <c r="AG2441">
        <v>0</v>
      </c>
      <c r="AH2441">
        <v>936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7</v>
      </c>
      <c r="AQ2441">
        <v>0</v>
      </c>
      <c r="AR2441">
        <v>1</v>
      </c>
      <c r="AS2441" t="s">
        <v>140</v>
      </c>
      <c r="AT2441">
        <v>1</v>
      </c>
      <c r="AU2441" t="s">
        <v>63</v>
      </c>
      <c r="AV2441" t="s">
        <v>64</v>
      </c>
      <c r="AW2441">
        <v>0</v>
      </c>
      <c r="AX2441">
        <v>4</v>
      </c>
      <c r="AY2441">
        <v>24500</v>
      </c>
      <c r="AZ2441">
        <v>86900</v>
      </c>
      <c r="BA2441">
        <v>100</v>
      </c>
      <c r="BB2441">
        <v>100</v>
      </c>
      <c r="BC2441">
        <v>100</v>
      </c>
      <c r="BD2441">
        <v>100</v>
      </c>
      <c r="BE2441">
        <v>1</v>
      </c>
      <c r="BF2441">
        <v>15000</v>
      </c>
      <c r="BG2441">
        <v>1000</v>
      </c>
      <c r="BH2441" s="6">
        <f>Grandview_Inventory[[#This Row],[land_extract]]*Lookups!$B$3</f>
        <v>110146.99687649969</v>
      </c>
      <c r="BI2441" s="6">
        <f>IF(Grandview_Inventory[[#This Row],[bldg_style]]="",0,Lookups!$B$2)</f>
        <v>155833.95000000001</v>
      </c>
      <c r="BJ2441" s="6">
        <f>_xlfn.IFNA(VLOOKUP(Grandview_Inventory[[#This Row],[quality]],Lookups!$H$2:$J$14,3,FALSE),0)</f>
        <v>2251</v>
      </c>
      <c r="BK2441" s="6">
        <f>_xlfn.IFNA(VLOOKUP(Grandview_Inventory[[#This Row],[condition]],Lookups!$H$17:$J$24,3,FALSE),0)</f>
        <v>-45357</v>
      </c>
      <c r="BL2441" s="6">
        <f>Grandview_Inventory[[#This Row],[Eff_Age]]*Lookups!$B$14</f>
        <v>-15545.829</v>
      </c>
      <c r="BM2441" s="6">
        <f>Grandview_Inventory[[#This Row],[living_area]]*Lookups!$B$15</f>
        <v>114468.865255</v>
      </c>
      <c r="BN2441" s="6">
        <f>Grandview_Inventory[[#This Row],[Fin BSMT]]*Lookups!$B$16</f>
        <v>0</v>
      </c>
      <c r="BO2441" s="6">
        <f>(Grandview_Inventory[[#This Row],[att_gar]]+Grandview_Inventory[[#This Row],[bltin_gar]])*Lookups!$B$17</f>
        <v>0</v>
      </c>
      <c r="BP2441" s="6">
        <f>Grandview_Inventory[[#This Row],[Plumbing Fixtures]]*Lookups!$B$18</f>
        <v>14073.0926</v>
      </c>
      <c r="BQ2441" s="6">
        <f>Grandview_Inventory[[#This Row],[detatched_value]]*Lookups!$B$19</f>
        <v>73587.363190000004</v>
      </c>
      <c r="BR2441" s="6">
        <f>SUM(Grandview_Inventory[[#This Row],[Intercept]:[det_value]])*Grandview_Inventory[[#This Row],[res_pct]]</f>
        <v>299311.44204500003</v>
      </c>
      <c r="BS2441" s="6">
        <f>Grandview_Inventory[[#This Row],[land_value]]</f>
        <v>110146.99687649969</v>
      </c>
      <c r="BT2441" s="4">
        <f>_xlfn.IFNA(VLOOKUP(Grandview_Inventory[[#This Row],[quality]],Lookups!$A$26:$C$33,3,FALSE),1)</f>
        <v>0.98763855981004833</v>
      </c>
      <c r="BU2441" s="4">
        <f>_xlfn.IFNA(VLOOKUP(Grandview_Inventory[[#This Row],[condition]],Lookups!$A$37:$C$44,3,FALSE),1)</f>
        <v>0.97161819570155394</v>
      </c>
      <c r="BV2441" s="4">
        <f>IF(Grandview_Inventory[[#This Row],[bldg_style]]="",1,_xlfn.IFNA(VLOOKUP(Grandview_Inventory[[#This Row],[decade]],Lookups!$F$29:$H$43,3,FALSE),1))</f>
        <v>0.9251738460551937</v>
      </c>
      <c r="BW2441" s="4">
        <f>_xlfn.IFNA(VLOOKUP(Grandview_Inventory[[#This Row],[living_area_range]],Lookups!$F$47:$H$56,3,FALSE),1)</f>
        <v>0.96120133463014379</v>
      </c>
      <c r="BX2441" s="4">
        <f>AVERAGE(Grandview_Inventory[[#This Row],[qual_adj]:[size_adj]])</f>
        <v>0.96140798404923489</v>
      </c>
      <c r="BY2441" s="6">
        <f>IF(Grandview_Inventory[[#This Row],[pre_res]]&lt;0,0,Grandview_Inventory[[#This Row],[pre_res]]*Grandview_Inventory[[#This Row],[overall_adj]])</f>
        <v>287760.41009935288</v>
      </c>
      <c r="BZ2441" s="6">
        <f>(Grandview_Inventory[[#This Row],[sum_land]]-IF(Grandview_Inventory[[#This Row],[no_utilities]]=1,12000,0))/IF(Grandview_Inventory[[#This Row],[unbuildable]]=1,2,1)</f>
        <v>110146.99687649969</v>
      </c>
      <c r="CA2441">
        <f>IF(ROUND(Grandview_Inventory[[#This Row],[adj_land]]*Lookups!$M$28,-2)&lt;Grandview_Inventory[[#This Row],[min_land]],Grandview_Inventory[[#This Row],[min_land]],ROUND(Grandview_Inventory[[#This Row],[adj_land]]*Lookups!$M$28,-2))</f>
        <v>104600</v>
      </c>
      <c r="CB2441">
        <f>ROUND(Grandview_Inventory[[#This Row],[det_value]]*Lookups!$M$28,-2)</f>
        <v>69900</v>
      </c>
      <c r="CC2441">
        <f>IF(ROUND(Grandview_Inventory[[#This Row],[adj_res]]*Lookups!$M$28,-2)&lt;Grandview_Inventory[[#This Row],[min_res]],Grandview_Inventory[[#This Row],[min_res]],ROUND(Grandview_Inventory[[#This Row],[adj_res]]*Lookups!$M$28,-2))</f>
        <v>273400</v>
      </c>
      <c r="CD2441">
        <f>Grandview_Inventory[[#This Row],[final_det]]+Grandview_Inventory[[#This Row],[final_res]]</f>
        <v>343300</v>
      </c>
      <c r="CE2441">
        <f>Grandview_Inventory[[#This Row],[final_land]]+Grandview_Inventory[[#This Row],[final_imp]]+Grandview_Inventory[[#This Row],[crop_value]]</f>
        <v>472400</v>
      </c>
      <c r="CG2441" t="str">
        <f t="shared" si="38"/>
        <v>update valuation set market_land =104600, market_bldg=343300, market_total =472400, market_mdno =401, market_date ='9/10/2023' where link_id = (select link_id from parcel where parcel_year = '2024' and parcel_id = '23092623009');</v>
      </c>
    </row>
    <row r="2442" spans="1:85" x14ac:dyDescent="0.25">
      <c r="A2442">
        <v>23092623010</v>
      </c>
      <c r="B2442">
        <v>2.0299999999999998</v>
      </c>
      <c r="C2442" t="s">
        <v>129</v>
      </c>
      <c r="D2442" t="s">
        <v>129</v>
      </c>
      <c r="E2442" t="s">
        <v>53</v>
      </c>
      <c r="F2442" t="s">
        <v>53</v>
      </c>
      <c r="G2442">
        <v>4</v>
      </c>
      <c r="H2442" t="s">
        <v>54</v>
      </c>
      <c r="I2442" t="s">
        <v>129</v>
      </c>
      <c r="J2442" t="s">
        <v>129</v>
      </c>
      <c r="K2442">
        <v>2.0299999999999998</v>
      </c>
      <c r="L2442">
        <f>IF(Grandview_Inventory[[#This Row],[parcel_acres]]-Grandview_Inventory[[#This Row],[non_valued_acres]] =0,0,LN(Grandview_Inventory[[#This Row],[parcel_acres]]-Grandview_Inventory[[#This Row],[non_valued_acres]]))</f>
        <v>0.70803579305369591</v>
      </c>
      <c r="M2442">
        <v>0</v>
      </c>
      <c r="N2442">
        <v>0</v>
      </c>
      <c r="O2442">
        <v>0</v>
      </c>
      <c r="P2442">
        <v>13398.7528</v>
      </c>
      <c r="Q2442">
        <v>63903</v>
      </c>
      <c r="R2442">
        <f>(Grandview_Inventory[[#This Row],[ln_acres]]*Grandview_Inventory[[#This Row],[coeff]])+Grandview_Inventory[[#This Row],[const]]</f>
        <v>73389.796564678429</v>
      </c>
      <c r="S2442" t="s">
        <v>86</v>
      </c>
      <c r="T2442">
        <v>2</v>
      </c>
      <c r="U2442" t="s">
        <v>65</v>
      </c>
      <c r="V2442" t="s">
        <v>78</v>
      </c>
      <c r="W2442">
        <v>0</v>
      </c>
      <c r="X2442">
        <v>0</v>
      </c>
      <c r="Y2442">
        <v>65</v>
      </c>
      <c r="Z2442">
        <v>113</v>
      </c>
      <c r="AA2442">
        <v>120</v>
      </c>
      <c r="AB2442">
        <v>2000</v>
      </c>
      <c r="AC2442">
        <v>1835</v>
      </c>
      <c r="AD2442">
        <v>1147</v>
      </c>
      <c r="AE2442">
        <v>688</v>
      </c>
      <c r="AF2442">
        <v>0</v>
      </c>
      <c r="AG2442">
        <v>0</v>
      </c>
      <c r="AH2442">
        <v>936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7</v>
      </c>
      <c r="AQ2442">
        <v>0</v>
      </c>
      <c r="AR2442">
        <v>1</v>
      </c>
      <c r="AS2442" t="s">
        <v>140</v>
      </c>
      <c r="AT2442">
        <v>1</v>
      </c>
      <c r="AU2442" t="s">
        <v>63</v>
      </c>
      <c r="AV2442" t="s">
        <v>64</v>
      </c>
      <c r="AW2442">
        <v>0</v>
      </c>
      <c r="AX2442">
        <v>4</v>
      </c>
      <c r="AY2442">
        <v>1000</v>
      </c>
      <c r="AZ2442">
        <v>86900</v>
      </c>
      <c r="BA2442">
        <v>100</v>
      </c>
      <c r="BB2442">
        <v>100</v>
      </c>
      <c r="BC2442">
        <v>100</v>
      </c>
      <c r="BD2442">
        <v>100</v>
      </c>
      <c r="BE2442">
        <v>1</v>
      </c>
      <c r="BF2442">
        <v>15000</v>
      </c>
      <c r="BG2442">
        <v>1000</v>
      </c>
      <c r="BH2442" s="6">
        <f>Grandview_Inventory[[#This Row],[land_extract]]*Lookups!$B$3</f>
        <v>85227.372598110334</v>
      </c>
      <c r="BI2442" s="6">
        <f>IF(Grandview_Inventory[[#This Row],[bldg_style]]="",0,Lookups!$B$2)</f>
        <v>155833.95000000001</v>
      </c>
      <c r="BJ2442" s="6">
        <f>_xlfn.IFNA(VLOOKUP(Grandview_Inventory[[#This Row],[quality]],Lookups!$H$2:$J$14,3,FALSE),0)</f>
        <v>2251</v>
      </c>
      <c r="BK2442" s="6">
        <f>_xlfn.IFNA(VLOOKUP(Grandview_Inventory[[#This Row],[condition]],Lookups!$H$17:$J$24,3,FALSE),0)</f>
        <v>-45357</v>
      </c>
      <c r="BL2442" s="6">
        <f>Grandview_Inventory[[#This Row],[Eff_Age]]*Lookups!$B$14</f>
        <v>-15545.829</v>
      </c>
      <c r="BM2442" s="6">
        <f>Grandview_Inventory[[#This Row],[living_area]]*Lookups!$B$15</f>
        <v>114468.865255</v>
      </c>
      <c r="BN2442" s="6">
        <f>Grandview_Inventory[[#This Row],[Fin BSMT]]*Lookups!$B$16</f>
        <v>0</v>
      </c>
      <c r="BO2442" s="6">
        <f>(Grandview_Inventory[[#This Row],[att_gar]]+Grandview_Inventory[[#This Row],[bltin_gar]])*Lookups!$B$17</f>
        <v>0</v>
      </c>
      <c r="BP2442" s="6">
        <f>Grandview_Inventory[[#This Row],[Plumbing Fixtures]]*Lookups!$B$18</f>
        <v>14073.0926</v>
      </c>
      <c r="BQ2442" s="6">
        <f>Grandview_Inventory[[#This Row],[detatched_value]]*Lookups!$B$19</f>
        <v>73587.363190000004</v>
      </c>
      <c r="BR2442" s="6">
        <f>SUM(Grandview_Inventory[[#This Row],[Intercept]:[det_value]])*Grandview_Inventory[[#This Row],[res_pct]]</f>
        <v>299311.44204500003</v>
      </c>
      <c r="BS2442" s="6">
        <f>Grandview_Inventory[[#This Row],[land_value]]</f>
        <v>85227.372598110334</v>
      </c>
      <c r="BT2442" s="4">
        <f>_xlfn.IFNA(VLOOKUP(Grandview_Inventory[[#This Row],[quality]],Lookups!$A$26:$C$33,3,FALSE),1)</f>
        <v>0.98763855981004833</v>
      </c>
      <c r="BU2442" s="4">
        <f>_xlfn.IFNA(VLOOKUP(Grandview_Inventory[[#This Row],[condition]],Lookups!$A$37:$C$44,3,FALSE),1)</f>
        <v>0.97161819570155394</v>
      </c>
      <c r="BV2442" s="4">
        <f>IF(Grandview_Inventory[[#This Row],[bldg_style]]="",1,_xlfn.IFNA(VLOOKUP(Grandview_Inventory[[#This Row],[decade]],Lookups!$F$29:$H$43,3,FALSE),1))</f>
        <v>0.9251738460551937</v>
      </c>
      <c r="BW2442" s="4">
        <f>_xlfn.IFNA(VLOOKUP(Grandview_Inventory[[#This Row],[living_area_range]],Lookups!$F$47:$H$56,3,FALSE),1)</f>
        <v>0.96120133463014379</v>
      </c>
      <c r="BX2442" s="4">
        <f>AVERAGE(Grandview_Inventory[[#This Row],[qual_adj]:[size_adj]])</f>
        <v>0.96140798404923489</v>
      </c>
      <c r="BY2442" s="6">
        <f>IF(Grandview_Inventory[[#This Row],[pre_res]]&lt;0,0,Grandview_Inventory[[#This Row],[pre_res]]*Grandview_Inventory[[#This Row],[overall_adj]])</f>
        <v>287760.41009935288</v>
      </c>
      <c r="BZ2442" s="6">
        <f>(Grandview_Inventory[[#This Row],[sum_land]]-IF(Grandview_Inventory[[#This Row],[no_utilities]]=1,12000,0))/IF(Grandview_Inventory[[#This Row],[unbuildable]]=1,2,1)</f>
        <v>85227.372598110334</v>
      </c>
      <c r="CA2442">
        <f>IF(ROUND(Grandview_Inventory[[#This Row],[adj_land]]*Lookups!$M$28,-2)&lt;Grandview_Inventory[[#This Row],[min_land]],Grandview_Inventory[[#This Row],[min_land]],ROUND(Grandview_Inventory[[#This Row],[adj_land]]*Lookups!$M$28,-2))</f>
        <v>81000</v>
      </c>
      <c r="CB2442">
        <f>ROUND(Grandview_Inventory[[#This Row],[det_value]]*Lookups!$M$28,-2)</f>
        <v>69900</v>
      </c>
      <c r="CC2442">
        <f>IF(ROUND(Grandview_Inventory[[#This Row],[adj_res]]*Lookups!$M$28,-2)&lt;Grandview_Inventory[[#This Row],[min_res]],Grandview_Inventory[[#This Row],[min_res]],ROUND(Grandview_Inventory[[#This Row],[adj_res]]*Lookups!$M$28,-2))</f>
        <v>273400</v>
      </c>
      <c r="CD2442">
        <f>Grandview_Inventory[[#This Row],[final_det]]+Grandview_Inventory[[#This Row],[final_res]]</f>
        <v>343300</v>
      </c>
      <c r="CE2442">
        <f>Grandview_Inventory[[#This Row],[final_land]]+Grandview_Inventory[[#This Row],[final_imp]]+Grandview_Inventory[[#This Row],[crop_value]]</f>
        <v>425300</v>
      </c>
      <c r="CG2442" t="str">
        <f t="shared" si="38"/>
        <v>update valuation set market_land =81000, market_bldg=343300, market_total =425300, market_mdno =401, market_date ='9/10/2023' where link_id = (select link_id from parcel where parcel_year = '2024' and parcel_id = '23092623010');</v>
      </c>
    </row>
    <row r="2443" spans="1:85" x14ac:dyDescent="0.25">
      <c r="A2443">
        <v>23092624004</v>
      </c>
      <c r="B2443">
        <v>1.21</v>
      </c>
      <c r="C2443" t="s">
        <v>129</v>
      </c>
      <c r="D2443" t="s">
        <v>129</v>
      </c>
      <c r="E2443" t="s">
        <v>53</v>
      </c>
      <c r="F2443" t="s">
        <v>53</v>
      </c>
      <c r="G2443">
        <v>4</v>
      </c>
      <c r="H2443" t="s">
        <v>54</v>
      </c>
      <c r="I2443">
        <v>272800</v>
      </c>
      <c r="J2443">
        <v>49300</v>
      </c>
      <c r="K2443">
        <v>1.21</v>
      </c>
      <c r="L2443">
        <f>IF(Grandview_Inventory[[#This Row],[parcel_acres]]-Grandview_Inventory[[#This Row],[non_valued_acres]] =0,0,LN(Grandview_Inventory[[#This Row],[parcel_acres]]-Grandview_Inventory[[#This Row],[non_valued_acres]]))</f>
        <v>0.1906203596086497</v>
      </c>
      <c r="M2443">
        <v>0</v>
      </c>
      <c r="N2443">
        <v>0</v>
      </c>
      <c r="O2443">
        <v>0</v>
      </c>
      <c r="P2443">
        <v>13398.7528</v>
      </c>
      <c r="Q2443">
        <v>63903</v>
      </c>
      <c r="R2443">
        <f>(Grandview_Inventory[[#This Row],[ln_acres]]*Grandview_Inventory[[#This Row],[coeff]])+Grandview_Inventory[[#This Row],[const]]</f>
        <v>66457.075077043395</v>
      </c>
      <c r="S2443" t="s">
        <v>61</v>
      </c>
      <c r="T2443">
        <v>1</v>
      </c>
      <c r="U2443" t="s">
        <v>62</v>
      </c>
      <c r="V2443" t="s">
        <v>66</v>
      </c>
      <c r="W2443">
        <v>0</v>
      </c>
      <c r="X2443">
        <v>0</v>
      </c>
      <c r="Y2443">
        <v>19</v>
      </c>
      <c r="Z2443">
        <v>19</v>
      </c>
      <c r="AA2443">
        <v>20</v>
      </c>
      <c r="AB2443">
        <v>2000</v>
      </c>
      <c r="AC2443">
        <v>1772</v>
      </c>
      <c r="AD2443">
        <v>1772</v>
      </c>
      <c r="AE2443">
        <v>0</v>
      </c>
      <c r="AF2443">
        <v>0</v>
      </c>
      <c r="AG2443">
        <v>0</v>
      </c>
      <c r="AH2443">
        <v>0</v>
      </c>
      <c r="AI2443">
        <v>840</v>
      </c>
      <c r="AJ2443">
        <v>0</v>
      </c>
      <c r="AK2443">
        <v>0</v>
      </c>
      <c r="AL2443">
        <v>0</v>
      </c>
      <c r="AM2443">
        <v>442</v>
      </c>
      <c r="AN2443">
        <v>56</v>
      </c>
      <c r="AO2443">
        <v>0</v>
      </c>
      <c r="AP2443">
        <v>10</v>
      </c>
      <c r="AQ2443">
        <v>0</v>
      </c>
      <c r="AR2443">
        <v>0</v>
      </c>
      <c r="AS2443" t="s">
        <v>58</v>
      </c>
      <c r="AT2443">
        <v>1</v>
      </c>
      <c r="AU2443" t="s">
        <v>63</v>
      </c>
      <c r="AV2443" t="s">
        <v>64</v>
      </c>
      <c r="AW2443">
        <v>1</v>
      </c>
      <c r="AX2443">
        <v>3</v>
      </c>
      <c r="AY2443">
        <v>0</v>
      </c>
      <c r="AZ2443">
        <v>0</v>
      </c>
      <c r="BA2443">
        <v>100</v>
      </c>
      <c r="BB2443">
        <v>100</v>
      </c>
      <c r="BC2443">
        <v>100</v>
      </c>
      <c r="BD2443">
        <v>100</v>
      </c>
      <c r="BE2443">
        <v>1</v>
      </c>
      <c r="BF2443">
        <v>15000</v>
      </c>
      <c r="BG2443">
        <v>1000</v>
      </c>
      <c r="BH2443" s="6">
        <f>Grandview_Inventory[[#This Row],[land_extract]]*Lookups!$B$3</f>
        <v>77176.421852867788</v>
      </c>
      <c r="BI2443" s="6">
        <f>IF(Grandview_Inventory[[#This Row],[bldg_style]]="",0,Lookups!$B$2)</f>
        <v>155833.95000000001</v>
      </c>
      <c r="BJ2443" s="6">
        <f>_xlfn.IFNA(VLOOKUP(Grandview_Inventory[[#This Row],[quality]],Lookups!$H$2:$J$14,3,FALSE),0)</f>
        <v>9808</v>
      </c>
      <c r="BK2443" s="6">
        <f>_xlfn.IFNA(VLOOKUP(Grandview_Inventory[[#This Row],[condition]],Lookups!$H$17:$J$24,3,FALSE),0)</f>
        <v>25818</v>
      </c>
      <c r="BL2443" s="6">
        <f>Grandview_Inventory[[#This Row],[Eff_Age]]*Lookups!$B$14</f>
        <v>-4544.1653999999999</v>
      </c>
      <c r="BM2443" s="6">
        <f>Grandview_Inventory[[#This Row],[living_area]]*Lookups!$B$15</f>
        <v>110538.871516</v>
      </c>
      <c r="BN2443" s="6">
        <f>Grandview_Inventory[[#This Row],[Fin BSMT]]*Lookups!$B$16</f>
        <v>0</v>
      </c>
      <c r="BO2443" s="6">
        <f>(Grandview_Inventory[[#This Row],[att_gar]]+Grandview_Inventory[[#This Row],[bltin_gar]])*Lookups!$B$17</f>
        <v>73517.167079999999</v>
      </c>
      <c r="BP2443" s="6">
        <f>Grandview_Inventory[[#This Row],[Plumbing Fixtures]]*Lookups!$B$18</f>
        <v>20104.418000000001</v>
      </c>
      <c r="BQ2443" s="6">
        <f>Grandview_Inventory[[#This Row],[detatched_value]]*Lookups!$B$19</f>
        <v>0</v>
      </c>
      <c r="BR2443" s="6">
        <f>SUM(Grandview_Inventory[[#This Row],[Intercept]:[det_value]])*Grandview_Inventory[[#This Row],[res_pct]]</f>
        <v>391076.24119600002</v>
      </c>
      <c r="BS2443" s="6">
        <f>Grandview_Inventory[[#This Row],[land_value]]</f>
        <v>77176.421852867788</v>
      </c>
      <c r="BT2443" s="4">
        <f>_xlfn.IFNA(VLOOKUP(Grandview_Inventory[[#This Row],[quality]],Lookups!$A$26:$C$33,3,FALSE),1)</f>
        <v>0.94295468617355149</v>
      </c>
      <c r="BU2443" s="4">
        <f>_xlfn.IFNA(VLOOKUP(Grandview_Inventory[[#This Row],[condition]],Lookups!$A$37:$C$44,3,FALSE),1)</f>
        <v>0.96661476234146892</v>
      </c>
      <c r="BV2443" s="4">
        <f>IF(Grandview_Inventory[[#This Row],[bldg_style]]="",1,_xlfn.IFNA(VLOOKUP(Grandview_Inventory[[#This Row],[decade]],Lookups!$F$29:$H$43,3,FALSE),1))</f>
        <v>0.96737494181490646</v>
      </c>
      <c r="BW2443" s="4">
        <f>_xlfn.IFNA(VLOOKUP(Grandview_Inventory[[#This Row],[living_area_range]],Lookups!$F$47:$H$56,3,FALSE),1)</f>
        <v>0.96120133463014379</v>
      </c>
      <c r="BX2443" s="4">
        <f>AVERAGE(Grandview_Inventory[[#This Row],[qual_adj]:[size_adj]])</f>
        <v>0.95953643124001764</v>
      </c>
      <c r="BY2443" s="6">
        <f>IF(Grandview_Inventory[[#This Row],[pre_res]]&lt;0,0,Grandview_Inventory[[#This Row],[pre_res]]*Grandview_Inventory[[#This Row],[overall_adj]])</f>
        <v>375251.90081997024</v>
      </c>
      <c r="BZ2443" s="6">
        <f>(Grandview_Inventory[[#This Row],[sum_land]]-IF(Grandview_Inventory[[#This Row],[no_utilities]]=1,12000,0))/IF(Grandview_Inventory[[#This Row],[unbuildable]]=1,2,1)</f>
        <v>77176.421852867788</v>
      </c>
      <c r="CA2443">
        <f>IF(ROUND(Grandview_Inventory[[#This Row],[adj_land]]*Lookups!$M$28,-2)&lt;Grandview_Inventory[[#This Row],[min_land]],Grandview_Inventory[[#This Row],[min_land]],ROUND(Grandview_Inventory[[#This Row],[adj_land]]*Lookups!$M$28,-2))</f>
        <v>73300</v>
      </c>
      <c r="CB2443">
        <f>ROUND(Grandview_Inventory[[#This Row],[det_value]]*Lookups!$M$28,-2)</f>
        <v>0</v>
      </c>
      <c r="CC2443">
        <f>IF(ROUND(Grandview_Inventory[[#This Row],[adj_res]]*Lookups!$M$28,-2)&lt;Grandview_Inventory[[#This Row],[min_res]],Grandview_Inventory[[#This Row],[min_res]],ROUND(Grandview_Inventory[[#This Row],[adj_res]]*Lookups!$M$28,-2))</f>
        <v>356500</v>
      </c>
      <c r="CD2443">
        <f>Grandview_Inventory[[#This Row],[final_det]]+Grandview_Inventory[[#This Row],[final_res]]</f>
        <v>356500</v>
      </c>
      <c r="CE2443">
        <f>Grandview_Inventory[[#This Row],[final_land]]+Grandview_Inventory[[#This Row],[final_imp]]+Grandview_Inventory[[#This Row],[crop_value]]</f>
        <v>429800</v>
      </c>
      <c r="CG2443" t="str">
        <f t="shared" si="38"/>
        <v>update valuation set market_land =73300, market_bldg=356500, market_total =429800, market_mdno =401, market_date ='9/10/2023' where link_id = (select link_id from parcel where parcel_year = '2024' and parcel_id = '23092624004');</v>
      </c>
    </row>
    <row r="2444" spans="1:85" x14ac:dyDescent="0.25">
      <c r="A2444">
        <v>23092711408</v>
      </c>
      <c r="B2444">
        <v>6.25</v>
      </c>
      <c r="C2444">
        <v>272059</v>
      </c>
      <c r="D2444" t="s">
        <v>129</v>
      </c>
      <c r="E2444" t="s">
        <v>53</v>
      </c>
      <c r="F2444" t="s">
        <v>53</v>
      </c>
      <c r="G2444">
        <v>4</v>
      </c>
      <c r="H2444" t="s">
        <v>54</v>
      </c>
      <c r="I2444">
        <v>119900</v>
      </c>
      <c r="J2444">
        <v>76200</v>
      </c>
      <c r="K2444">
        <v>6.25</v>
      </c>
      <c r="L2444">
        <f>IF(Grandview_Inventory[[#This Row],[parcel_acres]]-Grandview_Inventory[[#This Row],[non_valued_acres]] =0,0,LN(Grandview_Inventory[[#This Row],[parcel_acres]]-Grandview_Inventory[[#This Row],[non_valued_acres]]))</f>
        <v>1.8325814637483102</v>
      </c>
      <c r="M2444">
        <v>0</v>
      </c>
      <c r="N2444">
        <v>0</v>
      </c>
      <c r="O2444">
        <v>0</v>
      </c>
      <c r="P2444">
        <v>13398.7528</v>
      </c>
      <c r="Q2444">
        <v>63903</v>
      </c>
      <c r="R2444">
        <f>(Grandview_Inventory[[#This Row],[ln_acres]]*Grandview_Inventory[[#This Row],[coeff]])+Grandview_Inventory[[#This Row],[const]]</f>
        <v>88457.306018625764</v>
      </c>
      <c r="S2444" t="s">
        <v>68</v>
      </c>
      <c r="T2444">
        <v>1</v>
      </c>
      <c r="U2444" t="s">
        <v>83</v>
      </c>
      <c r="V2444" t="s">
        <v>78</v>
      </c>
      <c r="W2444">
        <v>0</v>
      </c>
      <c r="X2444">
        <v>0</v>
      </c>
      <c r="Y2444">
        <v>57</v>
      </c>
      <c r="Z2444">
        <v>103</v>
      </c>
      <c r="AA2444">
        <v>110</v>
      </c>
      <c r="AB2444">
        <v>2000</v>
      </c>
      <c r="AC2444">
        <v>1624</v>
      </c>
      <c r="AD2444">
        <v>1624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28</v>
      </c>
      <c r="AO2444">
        <v>0</v>
      </c>
      <c r="AP2444">
        <v>5</v>
      </c>
      <c r="AQ2444">
        <v>0</v>
      </c>
      <c r="AR2444">
        <v>0</v>
      </c>
      <c r="AS2444" t="s">
        <v>58</v>
      </c>
      <c r="AT2444">
        <v>1</v>
      </c>
      <c r="AU2444" t="s">
        <v>75</v>
      </c>
      <c r="AV2444" t="s">
        <v>60</v>
      </c>
      <c r="AW2444">
        <v>0</v>
      </c>
      <c r="AX2444">
        <v>2</v>
      </c>
      <c r="AY2444">
        <v>0</v>
      </c>
      <c r="AZ2444">
        <v>0</v>
      </c>
      <c r="BA2444">
        <v>100</v>
      </c>
      <c r="BB2444">
        <v>100</v>
      </c>
      <c r="BC2444">
        <v>100</v>
      </c>
      <c r="BD2444">
        <v>100</v>
      </c>
      <c r="BE2444">
        <v>1</v>
      </c>
      <c r="BF2444">
        <v>15000</v>
      </c>
      <c r="BG2444">
        <v>1000</v>
      </c>
      <c r="BH2444" s="6">
        <f>Grandview_Inventory[[#This Row],[land_extract]]*Lookups!$B$3</f>
        <v>102725.23064470384</v>
      </c>
      <c r="BI2444" s="6">
        <f>IF(Grandview_Inventory[[#This Row],[bldg_style]]="",0,Lookups!$B$2)</f>
        <v>155833.95000000001</v>
      </c>
      <c r="BJ2444" s="6">
        <f>_xlfn.IFNA(VLOOKUP(Grandview_Inventory[[#This Row],[quality]],Lookups!$H$2:$J$14,3,FALSE),0)</f>
        <v>-28558</v>
      </c>
      <c r="BK2444" s="6">
        <f>_xlfn.IFNA(VLOOKUP(Grandview_Inventory[[#This Row],[condition]],Lookups!$H$17:$J$24,3,FALSE),0)</f>
        <v>-45357</v>
      </c>
      <c r="BL2444" s="6">
        <f>Grandview_Inventory[[#This Row],[Eff_Age]]*Lookups!$B$14</f>
        <v>-13632.4962</v>
      </c>
      <c r="BM2444" s="6">
        <f>Grandview_Inventory[[#This Row],[living_area]]*Lookups!$B$15</f>
        <v>101306.50527200001</v>
      </c>
      <c r="BN2444" s="6">
        <f>Grandview_Inventory[[#This Row],[Fin BSMT]]*Lookups!$B$16</f>
        <v>0</v>
      </c>
      <c r="BO2444" s="6">
        <f>(Grandview_Inventory[[#This Row],[att_gar]]+Grandview_Inventory[[#This Row],[bltin_gar]])*Lookups!$B$17</f>
        <v>0</v>
      </c>
      <c r="BP2444" s="6">
        <f>Grandview_Inventory[[#This Row],[Plumbing Fixtures]]*Lookups!$B$18</f>
        <v>10052.209000000001</v>
      </c>
      <c r="BQ2444" s="6">
        <f>Grandview_Inventory[[#This Row],[detatched_value]]*Lookups!$B$19</f>
        <v>0</v>
      </c>
      <c r="BR2444" s="6">
        <f>SUM(Grandview_Inventory[[#This Row],[Intercept]:[det_value]])*Grandview_Inventory[[#This Row],[res_pct]]</f>
        <v>179645.16807200003</v>
      </c>
      <c r="BS2444" s="6">
        <f>Grandview_Inventory[[#This Row],[land_value]]</f>
        <v>102725.23064470384</v>
      </c>
      <c r="BT2444" s="4">
        <f>_xlfn.IFNA(VLOOKUP(Grandview_Inventory[[#This Row],[quality]],Lookups!$A$26:$C$33,3,FALSE),1)</f>
        <v>0.96329552998502799</v>
      </c>
      <c r="BU2444" s="4">
        <f>_xlfn.IFNA(VLOOKUP(Grandview_Inventory[[#This Row],[condition]],Lookups!$A$37:$C$44,3,FALSE),1)</f>
        <v>0.97161819570155394</v>
      </c>
      <c r="BV2444" s="4">
        <f>IF(Grandview_Inventory[[#This Row],[bldg_style]]="",1,_xlfn.IFNA(VLOOKUP(Grandview_Inventory[[#This Row],[decade]],Lookups!$F$29:$H$43,3,FALSE),1))</f>
        <v>0.92255236374249616</v>
      </c>
      <c r="BW2444" s="4">
        <f>_xlfn.IFNA(VLOOKUP(Grandview_Inventory[[#This Row],[living_area_range]],Lookups!$F$47:$H$56,3,FALSE),1)</f>
        <v>0.96120133463014379</v>
      </c>
      <c r="BX2444" s="4">
        <f>AVERAGE(Grandview_Inventory[[#This Row],[qual_adj]:[size_adj]])</f>
        <v>0.9546668560148055</v>
      </c>
      <c r="BY2444" s="6">
        <f>IF(Grandview_Inventory[[#This Row],[pre_res]]&lt;0,0,Grandview_Inventory[[#This Row],[pre_res]]*Grandview_Inventory[[#This Row],[overall_adj]])</f>
        <v>171501.28780154759</v>
      </c>
      <c r="BZ2444" s="6">
        <f>(Grandview_Inventory[[#This Row],[sum_land]]-IF(Grandview_Inventory[[#This Row],[no_utilities]]=1,12000,0))/IF(Grandview_Inventory[[#This Row],[unbuildable]]=1,2,1)</f>
        <v>102725.23064470384</v>
      </c>
      <c r="CA2444">
        <f>IF(ROUND(Grandview_Inventory[[#This Row],[adj_land]]*Lookups!$M$28,-2)&lt;Grandview_Inventory[[#This Row],[min_land]],Grandview_Inventory[[#This Row],[min_land]],ROUND(Grandview_Inventory[[#This Row],[adj_land]]*Lookups!$M$28,-2))</f>
        <v>97600</v>
      </c>
      <c r="CB2444">
        <f>ROUND(Grandview_Inventory[[#This Row],[det_value]]*Lookups!$M$28,-2)</f>
        <v>0</v>
      </c>
      <c r="CC2444">
        <f>IF(ROUND(Grandview_Inventory[[#This Row],[adj_res]]*Lookups!$M$28,-2)&lt;Grandview_Inventory[[#This Row],[min_res]],Grandview_Inventory[[#This Row],[min_res]],ROUND(Grandview_Inventory[[#This Row],[adj_res]]*Lookups!$M$28,-2))</f>
        <v>162900</v>
      </c>
      <c r="CD2444">
        <f>Grandview_Inventory[[#This Row],[final_det]]+Grandview_Inventory[[#This Row],[final_res]]</f>
        <v>162900</v>
      </c>
      <c r="CE2444">
        <f>Grandview_Inventory[[#This Row],[final_land]]+Grandview_Inventory[[#This Row],[final_imp]]+Grandview_Inventory[[#This Row],[crop_value]]</f>
        <v>260500</v>
      </c>
      <c r="CG2444" t="str">
        <f t="shared" si="38"/>
        <v>update valuation set market_land =97600, market_bldg=162900, market_total =260500, market_mdno =401, market_date ='9/10/2023' where link_id = (select link_id from parcel where parcel_year = '2024' and parcel_id = '23092711408');</v>
      </c>
    </row>
    <row r="2445" spans="1:85" x14ac:dyDescent="0.25">
      <c r="A2445">
        <v>23092711410</v>
      </c>
      <c r="B2445">
        <v>1.82</v>
      </c>
      <c r="C2445">
        <v>79227</v>
      </c>
      <c r="D2445" t="s">
        <v>129</v>
      </c>
      <c r="E2445" t="s">
        <v>53</v>
      </c>
      <c r="F2445" t="s">
        <v>53</v>
      </c>
      <c r="G2445">
        <v>4</v>
      </c>
      <c r="H2445" t="s">
        <v>54</v>
      </c>
      <c r="I2445">
        <v>207200</v>
      </c>
      <c r="J2445">
        <v>66600</v>
      </c>
      <c r="K2445">
        <v>1.82</v>
      </c>
      <c r="L2445">
        <f>IF(Grandview_Inventory[[#This Row],[parcel_acres]]-Grandview_Inventory[[#This Row],[non_valued_acres]] =0,0,LN(Grandview_Inventory[[#This Row],[parcel_acres]]-Grandview_Inventory[[#This Row],[non_valued_acres]]))</f>
        <v>0.59883650108870401</v>
      </c>
      <c r="M2445">
        <v>0</v>
      </c>
      <c r="N2445">
        <v>0</v>
      </c>
      <c r="O2445">
        <v>0</v>
      </c>
      <c r="P2445">
        <v>13398.7528</v>
      </c>
      <c r="Q2445">
        <v>63903</v>
      </c>
      <c r="R2445">
        <f>(Grandview_Inventory[[#This Row],[ln_acres]]*Grandview_Inventory[[#This Row],[coeff]])+Grandview_Inventory[[#This Row],[const]]</f>
        <v>71926.662245704472</v>
      </c>
      <c r="S2445" t="s">
        <v>61</v>
      </c>
      <c r="T2445">
        <v>1</v>
      </c>
      <c r="U2445" t="s">
        <v>62</v>
      </c>
      <c r="V2445" t="s">
        <v>78</v>
      </c>
      <c r="W2445">
        <v>0</v>
      </c>
      <c r="X2445">
        <v>0</v>
      </c>
      <c r="Y2445">
        <v>44</v>
      </c>
      <c r="Z2445">
        <v>46</v>
      </c>
      <c r="AA2445">
        <v>50</v>
      </c>
      <c r="AB2445">
        <v>3000</v>
      </c>
      <c r="AC2445">
        <v>2874</v>
      </c>
      <c r="AD2445">
        <v>1824</v>
      </c>
      <c r="AE2445">
        <v>0</v>
      </c>
      <c r="AF2445">
        <v>0</v>
      </c>
      <c r="AG2445">
        <v>1050</v>
      </c>
      <c r="AH2445">
        <v>0</v>
      </c>
      <c r="AI2445">
        <v>644</v>
      </c>
      <c r="AJ2445">
        <v>0</v>
      </c>
      <c r="AK2445">
        <v>0</v>
      </c>
      <c r="AL2445">
        <v>0</v>
      </c>
      <c r="AM2445">
        <v>584</v>
      </c>
      <c r="AN2445">
        <v>0</v>
      </c>
      <c r="AO2445">
        <v>0</v>
      </c>
      <c r="AP2445">
        <v>10</v>
      </c>
      <c r="AQ2445">
        <v>0</v>
      </c>
      <c r="AR2445">
        <v>0</v>
      </c>
      <c r="AS2445" t="s">
        <v>58</v>
      </c>
      <c r="AT2445">
        <v>1</v>
      </c>
      <c r="AU2445" t="s">
        <v>59</v>
      </c>
      <c r="AV2445" t="s">
        <v>60</v>
      </c>
      <c r="AW2445">
        <v>1</v>
      </c>
      <c r="AX2445">
        <v>3</v>
      </c>
      <c r="AY2445">
        <v>0</v>
      </c>
      <c r="AZ2445">
        <v>0</v>
      </c>
      <c r="BA2445">
        <v>100</v>
      </c>
      <c r="BB2445">
        <v>100</v>
      </c>
      <c r="BC2445">
        <v>100</v>
      </c>
      <c r="BD2445">
        <v>100</v>
      </c>
      <c r="BE2445">
        <v>1</v>
      </c>
      <c r="BF2445">
        <v>15000</v>
      </c>
      <c r="BG2445">
        <v>1000</v>
      </c>
      <c r="BH2445" s="6">
        <f>Grandview_Inventory[[#This Row],[land_extract]]*Lookups!$B$3</f>
        <v>83528.238663948534</v>
      </c>
      <c r="BI2445" s="6">
        <f>IF(Grandview_Inventory[[#This Row],[bldg_style]]="",0,Lookups!$B$2)</f>
        <v>155833.95000000001</v>
      </c>
      <c r="BJ2445" s="6">
        <f>_xlfn.IFNA(VLOOKUP(Grandview_Inventory[[#This Row],[quality]],Lookups!$H$2:$J$14,3,FALSE),0)</f>
        <v>9808</v>
      </c>
      <c r="BK2445" s="6">
        <f>_xlfn.IFNA(VLOOKUP(Grandview_Inventory[[#This Row],[condition]],Lookups!$H$17:$J$24,3,FALSE),0)</f>
        <v>-45357</v>
      </c>
      <c r="BL2445" s="6">
        <f>Grandview_Inventory[[#This Row],[Eff_Age]]*Lookups!$B$14</f>
        <v>-10523.330399999999</v>
      </c>
      <c r="BM2445" s="6">
        <f>Grandview_Inventory[[#This Row],[living_area]]*Lookups!$B$15</f>
        <v>179282.57152200001</v>
      </c>
      <c r="BN2445" s="6">
        <f>Grandview_Inventory[[#This Row],[Fin BSMT]]*Lookups!$B$16</f>
        <v>-28454.202000000001</v>
      </c>
      <c r="BO2445" s="6">
        <f>(Grandview_Inventory[[#This Row],[att_gar]]+Grandview_Inventory[[#This Row],[bltin_gar]])*Lookups!$B$17</f>
        <v>56363.161427999999</v>
      </c>
      <c r="BP2445" s="6">
        <f>Grandview_Inventory[[#This Row],[Plumbing Fixtures]]*Lookups!$B$18</f>
        <v>20104.418000000001</v>
      </c>
      <c r="BQ2445" s="6">
        <f>Grandview_Inventory[[#This Row],[detatched_value]]*Lookups!$B$19</f>
        <v>0</v>
      </c>
      <c r="BR2445" s="6">
        <f>SUM(Grandview_Inventory[[#This Row],[Intercept]:[det_value]])*Grandview_Inventory[[#This Row],[res_pct]]</f>
        <v>337057.56855000003</v>
      </c>
      <c r="BS2445" s="6">
        <f>Grandview_Inventory[[#This Row],[land_value]]</f>
        <v>83528.238663948534</v>
      </c>
      <c r="BT2445" s="4">
        <f>_xlfn.IFNA(VLOOKUP(Grandview_Inventory[[#This Row],[quality]],Lookups!$A$26:$C$33,3,FALSE),1)</f>
        <v>0.94295468617355149</v>
      </c>
      <c r="BU2445" s="4">
        <f>_xlfn.IFNA(VLOOKUP(Grandview_Inventory[[#This Row],[condition]],Lookups!$A$37:$C$44,3,FALSE),1)</f>
        <v>0.97161819570155394</v>
      </c>
      <c r="BV2445" s="4">
        <f>IF(Grandview_Inventory[[#This Row],[bldg_style]]="",1,_xlfn.IFNA(VLOOKUP(Grandview_Inventory[[#This Row],[decade]],Lookups!$F$29:$H$43,3,FALSE),1))</f>
        <v>0.9871940091910919</v>
      </c>
      <c r="BW2445" s="4">
        <f>_xlfn.IFNA(VLOOKUP(Grandview_Inventory[[#This Row],[living_area_range]],Lookups!$F$47:$H$56,3,FALSE),1)</f>
        <v>0.94224801443562123</v>
      </c>
      <c r="BX2445" s="4">
        <f>AVERAGE(Grandview_Inventory[[#This Row],[qual_adj]:[size_adj]])</f>
        <v>0.96100372637545473</v>
      </c>
      <c r="BY2445" s="6">
        <f>IF(Grandview_Inventory[[#This Row],[pre_res]]&lt;0,0,Grandview_Inventory[[#This Row],[pre_res]]*Grandview_Inventory[[#This Row],[overall_adj]])</f>
        <v>323913.5793796003</v>
      </c>
      <c r="BZ2445" s="6">
        <f>(Grandview_Inventory[[#This Row],[sum_land]]-IF(Grandview_Inventory[[#This Row],[no_utilities]]=1,12000,0))/IF(Grandview_Inventory[[#This Row],[unbuildable]]=1,2,1)</f>
        <v>83528.238663948534</v>
      </c>
      <c r="CA2445">
        <f>IF(ROUND(Grandview_Inventory[[#This Row],[adj_land]]*Lookups!$M$28,-2)&lt;Grandview_Inventory[[#This Row],[min_land]],Grandview_Inventory[[#This Row],[min_land]],ROUND(Grandview_Inventory[[#This Row],[adj_land]]*Lookups!$M$28,-2))</f>
        <v>79400</v>
      </c>
      <c r="CB2445">
        <f>ROUND(Grandview_Inventory[[#This Row],[det_value]]*Lookups!$M$28,-2)</f>
        <v>0</v>
      </c>
      <c r="CC2445">
        <f>IF(ROUND(Grandview_Inventory[[#This Row],[adj_res]]*Lookups!$M$28,-2)&lt;Grandview_Inventory[[#This Row],[min_res]],Grandview_Inventory[[#This Row],[min_res]],ROUND(Grandview_Inventory[[#This Row],[adj_res]]*Lookups!$M$28,-2))</f>
        <v>307700</v>
      </c>
      <c r="CD2445">
        <f>Grandview_Inventory[[#This Row],[final_det]]+Grandview_Inventory[[#This Row],[final_res]]</f>
        <v>307700</v>
      </c>
      <c r="CE2445">
        <f>Grandview_Inventory[[#This Row],[final_land]]+Grandview_Inventory[[#This Row],[final_imp]]+Grandview_Inventory[[#This Row],[crop_value]]</f>
        <v>387100</v>
      </c>
      <c r="CG2445" t="str">
        <f t="shared" si="38"/>
        <v>update valuation set market_land =79400, market_bldg=307700, market_total =387100, market_mdno =401, market_date ='9/10/2023' where link_id = (select link_id from parcel where parcel_year = '2024' and parcel_id = '23092711410');</v>
      </c>
    </row>
    <row r="2446" spans="1:85" x14ac:dyDescent="0.25">
      <c r="A2446">
        <v>23092711411</v>
      </c>
      <c r="B2446">
        <v>0.54</v>
      </c>
      <c r="C2446">
        <v>23497</v>
      </c>
      <c r="D2446" t="s">
        <v>129</v>
      </c>
      <c r="E2446" t="s">
        <v>53</v>
      </c>
      <c r="F2446" t="s">
        <v>53</v>
      </c>
      <c r="G2446">
        <v>4</v>
      </c>
      <c r="H2446" t="s">
        <v>54</v>
      </c>
      <c r="I2446">
        <v>210600</v>
      </c>
      <c r="J2446">
        <v>50800</v>
      </c>
      <c r="K2446">
        <v>0.54</v>
      </c>
      <c r="L2446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446">
        <v>0</v>
      </c>
      <c r="N2446">
        <v>0</v>
      </c>
      <c r="O2446">
        <v>0</v>
      </c>
      <c r="P2446">
        <v>13398.7528</v>
      </c>
      <c r="Q2446">
        <v>63903</v>
      </c>
      <c r="R2446">
        <f>(Grandview_Inventory[[#This Row],[ln_acres]]*Grandview_Inventory[[#This Row],[coeff]])+Grandview_Inventory[[#This Row],[const]]</f>
        <v>55646.874239073943</v>
      </c>
      <c r="S2446" t="s">
        <v>68</v>
      </c>
      <c r="T2446">
        <v>1</v>
      </c>
      <c r="U2446" t="s">
        <v>70</v>
      </c>
      <c r="V2446" t="s">
        <v>69</v>
      </c>
      <c r="W2446">
        <v>0</v>
      </c>
      <c r="X2446">
        <v>0</v>
      </c>
      <c r="Y2446">
        <v>57</v>
      </c>
      <c r="Z2446">
        <v>103</v>
      </c>
      <c r="AA2446">
        <v>110</v>
      </c>
      <c r="AB2446">
        <v>3000</v>
      </c>
      <c r="AC2446">
        <v>2544</v>
      </c>
      <c r="AD2446">
        <v>1540</v>
      </c>
      <c r="AE2446">
        <v>0</v>
      </c>
      <c r="AF2446">
        <v>0</v>
      </c>
      <c r="AG2446">
        <v>1004</v>
      </c>
      <c r="AH2446">
        <v>536</v>
      </c>
      <c r="AI2446">
        <v>0</v>
      </c>
      <c r="AJ2446">
        <v>0</v>
      </c>
      <c r="AK2446">
        <v>520</v>
      </c>
      <c r="AL2446">
        <v>342</v>
      </c>
      <c r="AM2446">
        <v>628</v>
      </c>
      <c r="AN2446">
        <v>0</v>
      </c>
      <c r="AO2446">
        <v>382</v>
      </c>
      <c r="AP2446">
        <v>11</v>
      </c>
      <c r="AQ2446">
        <v>1</v>
      </c>
      <c r="AR2446">
        <v>0</v>
      </c>
      <c r="AS2446" t="s">
        <v>58</v>
      </c>
      <c r="AT2446">
        <v>1</v>
      </c>
      <c r="AU2446" t="s">
        <v>59</v>
      </c>
      <c r="AV2446" t="s">
        <v>60</v>
      </c>
      <c r="AW2446">
        <v>1</v>
      </c>
      <c r="AX2446">
        <v>3</v>
      </c>
      <c r="AY2446">
        <v>0</v>
      </c>
      <c r="AZ2446">
        <v>0</v>
      </c>
      <c r="BA2446">
        <v>100</v>
      </c>
      <c r="BB2446">
        <v>100</v>
      </c>
      <c r="BC2446">
        <v>100</v>
      </c>
      <c r="BD2446">
        <v>100</v>
      </c>
      <c r="BE2446">
        <v>1</v>
      </c>
      <c r="BF2446">
        <v>15000</v>
      </c>
      <c r="BG2446">
        <v>1000</v>
      </c>
      <c r="BH2446" s="6">
        <f>Grandview_Inventory[[#This Row],[land_extract]]*Lookups!$B$3</f>
        <v>64622.564807276125</v>
      </c>
      <c r="BI2446" s="6">
        <f>IF(Grandview_Inventory[[#This Row],[bldg_style]]="",0,Lookups!$B$2)</f>
        <v>155833.95000000001</v>
      </c>
      <c r="BJ2446" s="6">
        <f>_xlfn.IFNA(VLOOKUP(Grandview_Inventory[[#This Row],[quality]],Lookups!$H$2:$J$14,3,FALSE),0)</f>
        <v>10733</v>
      </c>
      <c r="BK2446" s="6">
        <f>_xlfn.IFNA(VLOOKUP(Grandview_Inventory[[#This Row],[condition]],Lookups!$H$17:$J$24,3,FALSE),0)</f>
        <v>-4503</v>
      </c>
      <c r="BL2446" s="6">
        <f>Grandview_Inventory[[#This Row],[Eff_Age]]*Lookups!$B$14</f>
        <v>-13632.4962</v>
      </c>
      <c r="BM2446" s="6">
        <f>Grandview_Inventory[[#This Row],[living_area]]*Lookups!$B$15</f>
        <v>158696.890032</v>
      </c>
      <c r="BN2446" s="6">
        <f>Grandview_Inventory[[#This Row],[Fin BSMT]]*Lookups!$B$16</f>
        <v>-27207.636960000003</v>
      </c>
      <c r="BO2446" s="6">
        <f>(Grandview_Inventory[[#This Row],[att_gar]]+Grandview_Inventory[[#This Row],[bltin_gar]])*Lookups!$B$17</f>
        <v>0</v>
      </c>
      <c r="BP2446" s="6">
        <f>Grandview_Inventory[[#This Row],[Plumbing Fixtures]]*Lookups!$B$18</f>
        <v>22114.859800000002</v>
      </c>
      <c r="BQ2446" s="6">
        <f>Grandview_Inventory[[#This Row],[detatched_value]]*Lookups!$B$19</f>
        <v>0</v>
      </c>
      <c r="BR2446" s="6">
        <f>SUM(Grandview_Inventory[[#This Row],[Intercept]:[det_value]])*Grandview_Inventory[[#This Row],[res_pct]]</f>
        <v>302035.56667199999</v>
      </c>
      <c r="BS2446" s="6">
        <f>Grandview_Inventory[[#This Row],[land_value]]</f>
        <v>64622.564807276125</v>
      </c>
      <c r="BT2446" s="4">
        <f>_xlfn.IFNA(VLOOKUP(Grandview_Inventory[[#This Row],[quality]],Lookups!$A$26:$C$33,3,FALSE),1)</f>
        <v>0.98079741117310582</v>
      </c>
      <c r="BU2446" s="4">
        <f>_xlfn.IFNA(VLOOKUP(Grandview_Inventory[[#This Row],[condition]],Lookups!$A$37:$C$44,3,FALSE),1)</f>
        <v>0.96469275950863709</v>
      </c>
      <c r="BV2446" s="4">
        <f>IF(Grandview_Inventory[[#This Row],[bldg_style]]="",1,_xlfn.IFNA(VLOOKUP(Grandview_Inventory[[#This Row],[decade]],Lookups!$F$29:$H$43,3,FALSE),1))</f>
        <v>0.92255236374249616</v>
      </c>
      <c r="BW2446" s="4">
        <f>_xlfn.IFNA(VLOOKUP(Grandview_Inventory[[#This Row],[living_area_range]],Lookups!$F$47:$H$56,3,FALSE),1)</f>
        <v>0.94224801443562123</v>
      </c>
      <c r="BX2446" s="4">
        <f>AVERAGE(Grandview_Inventory[[#This Row],[qual_adj]:[size_adj]])</f>
        <v>0.9525726372149651</v>
      </c>
      <c r="BY2446" s="6">
        <f>IF(Grandview_Inventory[[#This Row],[pre_res]]&lt;0,0,Grandview_Inventory[[#This Row],[pre_res]]*Grandview_Inventory[[#This Row],[overall_adj]])</f>
        <v>287710.81627746345</v>
      </c>
      <c r="BZ2446" s="6">
        <f>(Grandview_Inventory[[#This Row],[sum_land]]-IF(Grandview_Inventory[[#This Row],[no_utilities]]=1,12000,0))/IF(Grandview_Inventory[[#This Row],[unbuildable]]=1,2,1)</f>
        <v>64622.564807276125</v>
      </c>
      <c r="CA2446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446">
        <f>ROUND(Grandview_Inventory[[#This Row],[det_value]]*Lookups!$M$28,-2)</f>
        <v>0</v>
      </c>
      <c r="CC2446">
        <f>IF(ROUND(Grandview_Inventory[[#This Row],[adj_res]]*Lookups!$M$28,-2)&lt;Grandview_Inventory[[#This Row],[min_res]],Grandview_Inventory[[#This Row],[min_res]],ROUND(Grandview_Inventory[[#This Row],[adj_res]]*Lookups!$M$28,-2))</f>
        <v>273300</v>
      </c>
      <c r="CD2446">
        <f>Grandview_Inventory[[#This Row],[final_det]]+Grandview_Inventory[[#This Row],[final_res]]</f>
        <v>273300</v>
      </c>
      <c r="CE2446">
        <f>Grandview_Inventory[[#This Row],[final_land]]+Grandview_Inventory[[#This Row],[final_imp]]+Grandview_Inventory[[#This Row],[crop_value]]</f>
        <v>334700</v>
      </c>
      <c r="CG2446" t="str">
        <f t="shared" si="38"/>
        <v>update valuation set market_land =61400, market_bldg=273300, market_total =334700, market_mdno =401, market_date ='9/10/2023' where link_id = (select link_id from parcel where parcel_year = '2024' and parcel_id = '23092711411');</v>
      </c>
    </row>
    <row r="2447" spans="1:85" x14ac:dyDescent="0.25">
      <c r="A2447">
        <v>23092711412</v>
      </c>
      <c r="B2447">
        <v>7.21</v>
      </c>
      <c r="C2447">
        <v>314068</v>
      </c>
      <c r="D2447" t="s">
        <v>129</v>
      </c>
      <c r="E2447" t="s">
        <v>53</v>
      </c>
      <c r="F2447" t="s">
        <v>53</v>
      </c>
      <c r="G2447">
        <v>4</v>
      </c>
      <c r="H2447" t="s">
        <v>54</v>
      </c>
      <c r="I2447">
        <v>305700</v>
      </c>
      <c r="J2447">
        <v>90100</v>
      </c>
      <c r="K2447">
        <v>7.21</v>
      </c>
      <c r="L2447">
        <f>IF(Grandview_Inventory[[#This Row],[parcel_acres]]-Grandview_Inventory[[#This Row],[non_valued_acres]] =0,0,LN(Grandview_Inventory[[#This Row],[parcel_acres]]-Grandview_Inventory[[#This Row],[non_valued_acres]]))</f>
        <v>1.9754689512968577</v>
      </c>
      <c r="M2447">
        <v>0</v>
      </c>
      <c r="N2447">
        <v>0</v>
      </c>
      <c r="O2447">
        <v>0</v>
      </c>
      <c r="P2447">
        <v>13398.7528</v>
      </c>
      <c r="Q2447">
        <v>63903</v>
      </c>
      <c r="R2447">
        <f>(Grandview_Inventory[[#This Row],[ln_acres]]*Grandview_Inventory[[#This Row],[coeff]])+Grandview_Inventory[[#This Row],[const]]</f>
        <v>90371.820142501834</v>
      </c>
      <c r="S2447" t="s">
        <v>61</v>
      </c>
      <c r="T2447">
        <v>1</v>
      </c>
      <c r="U2447" t="s">
        <v>72</v>
      </c>
      <c r="V2447" t="s">
        <v>69</v>
      </c>
      <c r="W2447">
        <v>78400</v>
      </c>
      <c r="X2447">
        <v>0</v>
      </c>
      <c r="Y2447">
        <v>47</v>
      </c>
      <c r="Z2447">
        <v>56</v>
      </c>
      <c r="AA2447">
        <v>60</v>
      </c>
      <c r="AB2447">
        <v>4000</v>
      </c>
      <c r="AC2447">
        <v>3798</v>
      </c>
      <c r="AD2447">
        <v>1939</v>
      </c>
      <c r="AE2447">
        <v>0</v>
      </c>
      <c r="AF2447">
        <v>0</v>
      </c>
      <c r="AG2447">
        <v>1859</v>
      </c>
      <c r="AH2447">
        <v>0</v>
      </c>
      <c r="AI2447">
        <v>550</v>
      </c>
      <c r="AJ2447">
        <v>0</v>
      </c>
      <c r="AK2447">
        <v>0</v>
      </c>
      <c r="AL2447">
        <v>0</v>
      </c>
      <c r="AM2447">
        <v>108</v>
      </c>
      <c r="AN2447">
        <v>369</v>
      </c>
      <c r="AO2447">
        <v>0</v>
      </c>
      <c r="AP2447">
        <v>10</v>
      </c>
      <c r="AQ2447">
        <v>0</v>
      </c>
      <c r="AR2447">
        <v>2</v>
      </c>
      <c r="AS2447" t="s">
        <v>58</v>
      </c>
      <c r="AT2447">
        <v>1</v>
      </c>
      <c r="AU2447" t="s">
        <v>63</v>
      </c>
      <c r="AV2447" t="s">
        <v>64</v>
      </c>
      <c r="AW2447">
        <v>1</v>
      </c>
      <c r="AX2447">
        <v>5</v>
      </c>
      <c r="AY2447">
        <v>0</v>
      </c>
      <c r="AZ2447">
        <v>43600</v>
      </c>
      <c r="BA2447">
        <v>100</v>
      </c>
      <c r="BB2447">
        <v>100</v>
      </c>
      <c r="BC2447">
        <v>100</v>
      </c>
      <c r="BD2447">
        <v>100</v>
      </c>
      <c r="BE2447">
        <v>1</v>
      </c>
      <c r="BF2447">
        <v>15000</v>
      </c>
      <c r="BG2447">
        <v>1000</v>
      </c>
      <c r="BH2447" s="6">
        <f>Grandview_Inventory[[#This Row],[land_extract]]*Lookups!$B$3</f>
        <v>104948.55072757299</v>
      </c>
      <c r="BI2447" s="6">
        <f>IF(Grandview_Inventory[[#This Row],[bldg_style]]="",0,Lookups!$B$2)</f>
        <v>155833.95000000001</v>
      </c>
      <c r="BJ2447" s="6">
        <f>_xlfn.IFNA(VLOOKUP(Grandview_Inventory[[#This Row],[quality]],Lookups!$H$2:$J$14,3,FALSE),0)</f>
        <v>78466</v>
      </c>
      <c r="BK2447" s="6">
        <f>_xlfn.IFNA(VLOOKUP(Grandview_Inventory[[#This Row],[condition]],Lookups!$H$17:$J$24,3,FALSE),0)</f>
        <v>-4503</v>
      </c>
      <c r="BL2447" s="6">
        <f>Grandview_Inventory[[#This Row],[Eff_Age]]*Lookups!$B$14</f>
        <v>-11240.8302</v>
      </c>
      <c r="BM2447" s="6">
        <f>Grandview_Inventory[[#This Row],[living_area]]*Lookups!$B$15</f>
        <v>236922.47969400001</v>
      </c>
      <c r="BN2447" s="6">
        <f>Grandview_Inventory[[#This Row],[Fin BSMT]]*Lookups!$B$16</f>
        <v>-50377.487160000004</v>
      </c>
      <c r="BO2447" s="6">
        <f>(Grandview_Inventory[[#This Row],[att_gar]]+Grandview_Inventory[[#This Row],[bltin_gar]])*Lookups!$B$17</f>
        <v>48136.24035</v>
      </c>
      <c r="BP2447" s="6">
        <f>Grandview_Inventory[[#This Row],[Plumbing Fixtures]]*Lookups!$B$18</f>
        <v>20104.418000000001</v>
      </c>
      <c r="BQ2447" s="6">
        <f>Grandview_Inventory[[#This Row],[detatched_value]]*Lookups!$B$19</f>
        <v>36920.702359999996</v>
      </c>
      <c r="BR2447" s="6">
        <f>SUM(Grandview_Inventory[[#This Row],[Intercept]:[det_value]])*Grandview_Inventory[[#This Row],[res_pct]]</f>
        <v>510262.47304399998</v>
      </c>
      <c r="BS2447" s="6">
        <f>Grandview_Inventory[[#This Row],[land_value]]</f>
        <v>104948.55072757299</v>
      </c>
      <c r="BT2447" s="4">
        <f>_xlfn.IFNA(VLOOKUP(Grandview_Inventory[[#This Row],[quality]],Lookups!$A$26:$C$33,3,FALSE),1)</f>
        <v>1.0000000683533434</v>
      </c>
      <c r="BU2447" s="4">
        <f>_xlfn.IFNA(VLOOKUP(Grandview_Inventory[[#This Row],[condition]],Lookups!$A$37:$C$44,3,FALSE),1)</f>
        <v>0.96469275950863709</v>
      </c>
      <c r="BV2447" s="4">
        <f>IF(Grandview_Inventory[[#This Row],[bldg_style]]="",1,_xlfn.IFNA(VLOOKUP(Grandview_Inventory[[#This Row],[decade]],Lookups!$F$29:$H$43,3,FALSE),1))</f>
        <v>0.95268620544463312</v>
      </c>
      <c r="BW2447" s="4">
        <f>_xlfn.IFNA(VLOOKUP(Grandview_Inventory[[#This Row],[living_area_range]],Lookups!$F$47:$H$56,3,FALSE),1)</f>
        <v>0.90089875105039252</v>
      </c>
      <c r="BX2447" s="4">
        <f>AVERAGE(Grandview_Inventory[[#This Row],[qual_adj]:[size_adj]])</f>
        <v>0.95456944608925154</v>
      </c>
      <c r="BY2447" s="6">
        <f>IF(Grandview_Inventory[[#This Row],[pre_res]]&lt;0,0,Grandview_Inventory[[#This Row],[pre_res]]*Grandview_Inventory[[#This Row],[overall_adj]])</f>
        <v>487080.96625374269</v>
      </c>
      <c r="BZ2447" s="6">
        <f>(Grandview_Inventory[[#This Row],[sum_land]]-IF(Grandview_Inventory[[#This Row],[no_utilities]]=1,12000,0))/IF(Grandview_Inventory[[#This Row],[unbuildable]]=1,2,1)</f>
        <v>104948.55072757299</v>
      </c>
      <c r="CA2447">
        <f>IF(ROUND(Grandview_Inventory[[#This Row],[adj_land]]*Lookups!$M$28,-2)&lt;Grandview_Inventory[[#This Row],[min_land]],Grandview_Inventory[[#This Row],[min_land]],ROUND(Grandview_Inventory[[#This Row],[adj_land]]*Lookups!$M$28,-2))</f>
        <v>99700</v>
      </c>
      <c r="CB2447">
        <f>ROUND(Grandview_Inventory[[#This Row],[det_value]]*Lookups!$M$28,-2)</f>
        <v>35100</v>
      </c>
      <c r="CC2447">
        <f>IF(ROUND(Grandview_Inventory[[#This Row],[adj_res]]*Lookups!$M$28,-2)&lt;Grandview_Inventory[[#This Row],[min_res]],Grandview_Inventory[[#This Row],[min_res]],ROUND(Grandview_Inventory[[#This Row],[adj_res]]*Lookups!$M$28,-2))</f>
        <v>462700</v>
      </c>
      <c r="CD2447">
        <f>Grandview_Inventory[[#This Row],[final_det]]+Grandview_Inventory[[#This Row],[final_res]]</f>
        <v>497800</v>
      </c>
      <c r="CE2447">
        <f>Grandview_Inventory[[#This Row],[final_land]]+Grandview_Inventory[[#This Row],[final_imp]]+Grandview_Inventory[[#This Row],[crop_value]]</f>
        <v>597500</v>
      </c>
      <c r="CG2447" t="str">
        <f t="shared" si="38"/>
        <v>update valuation set market_land =99700, market_bldg=497800, market_total =597500, market_mdno =401, market_date ='9/10/2023' where link_id = (select link_id from parcel where parcel_year = '2024' and parcel_id = '23092711412');</v>
      </c>
    </row>
    <row r="2448" spans="1:85" x14ac:dyDescent="0.25">
      <c r="A2448">
        <v>23092711420</v>
      </c>
      <c r="B2448">
        <v>3.75</v>
      </c>
      <c r="C2448">
        <v>163305</v>
      </c>
      <c r="D2448" t="s">
        <v>129</v>
      </c>
      <c r="E2448" t="s">
        <v>53</v>
      </c>
      <c r="F2448" t="s">
        <v>53</v>
      </c>
      <c r="G2448">
        <v>4</v>
      </c>
      <c r="H2448" t="s">
        <v>54</v>
      </c>
      <c r="I2448">
        <v>312100</v>
      </c>
      <c r="J2448">
        <v>78300</v>
      </c>
      <c r="K2448">
        <v>3.75</v>
      </c>
      <c r="L2448">
        <f>IF(Grandview_Inventory[[#This Row],[parcel_acres]]-Grandview_Inventory[[#This Row],[non_valued_acres]] =0,0,LN(Grandview_Inventory[[#This Row],[parcel_acres]]-Grandview_Inventory[[#This Row],[non_valued_acres]]))</f>
        <v>1.3217558399823195</v>
      </c>
      <c r="M2448">
        <v>0</v>
      </c>
      <c r="N2448">
        <v>0</v>
      </c>
      <c r="O2448">
        <v>0</v>
      </c>
      <c r="P2448">
        <v>13398.7528</v>
      </c>
      <c r="Q2448">
        <v>63903</v>
      </c>
      <c r="R2448">
        <f>(Grandview_Inventory[[#This Row],[ln_acres]]*Grandview_Inventory[[#This Row],[coeff]])+Grandview_Inventory[[#This Row],[const]]</f>
        <v>81612.879761879449</v>
      </c>
      <c r="S2448" t="s">
        <v>61</v>
      </c>
      <c r="T2448">
        <v>1</v>
      </c>
      <c r="U2448" t="s">
        <v>64</v>
      </c>
      <c r="V2448" t="s">
        <v>69</v>
      </c>
      <c r="W2448">
        <v>0</v>
      </c>
      <c r="X2448">
        <v>0</v>
      </c>
      <c r="Y2448">
        <v>29</v>
      </c>
      <c r="Z2448">
        <v>29</v>
      </c>
      <c r="AA2448">
        <v>30</v>
      </c>
      <c r="AB2448">
        <v>3000</v>
      </c>
      <c r="AC2448">
        <v>2988</v>
      </c>
      <c r="AD2448">
        <v>2988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583</v>
      </c>
      <c r="AM2448">
        <v>0</v>
      </c>
      <c r="AN2448">
        <v>0</v>
      </c>
      <c r="AO2448">
        <v>168</v>
      </c>
      <c r="AP2448">
        <v>10</v>
      </c>
      <c r="AQ2448">
        <v>0</v>
      </c>
      <c r="AR2448">
        <v>0</v>
      </c>
      <c r="AS2448" t="s">
        <v>58</v>
      </c>
      <c r="AT2448">
        <v>1</v>
      </c>
      <c r="AU2448" t="s">
        <v>59</v>
      </c>
      <c r="AV2448" t="s">
        <v>60</v>
      </c>
      <c r="AW2448">
        <v>1</v>
      </c>
      <c r="AX2448">
        <v>3</v>
      </c>
      <c r="AY2448">
        <v>0</v>
      </c>
      <c r="AZ2448">
        <v>53600</v>
      </c>
      <c r="BA2448">
        <v>100</v>
      </c>
      <c r="BB2448">
        <v>100</v>
      </c>
      <c r="BC2448">
        <v>100</v>
      </c>
      <c r="BD2448">
        <v>100</v>
      </c>
      <c r="BE2448">
        <v>1</v>
      </c>
      <c r="BF2448">
        <v>15000</v>
      </c>
      <c r="BG2448">
        <v>1000</v>
      </c>
      <c r="BH2448" s="6">
        <f>Grandview_Inventory[[#This Row],[land_extract]]*Lookups!$B$3</f>
        <v>94776.816912695242</v>
      </c>
      <c r="BI2448" s="6">
        <f>IF(Grandview_Inventory[[#This Row],[bldg_style]]="",0,Lookups!$B$2)</f>
        <v>155833.95000000001</v>
      </c>
      <c r="BJ2448" s="6">
        <f>_xlfn.IFNA(VLOOKUP(Grandview_Inventory[[#This Row],[quality]],Lookups!$H$2:$J$14,3,FALSE),0)</f>
        <v>20768</v>
      </c>
      <c r="BK2448" s="6">
        <f>_xlfn.IFNA(VLOOKUP(Grandview_Inventory[[#This Row],[condition]],Lookups!$H$17:$J$24,3,FALSE),0)</f>
        <v>-4503</v>
      </c>
      <c r="BL2448" s="6">
        <f>Grandview_Inventory[[#This Row],[Eff_Age]]*Lookups!$B$14</f>
        <v>-6935.8314</v>
      </c>
      <c r="BM2448" s="6">
        <f>Grandview_Inventory[[#This Row],[living_area]]*Lookups!$B$15</f>
        <v>186393.98876400001</v>
      </c>
      <c r="BN2448" s="6">
        <f>Grandview_Inventory[[#This Row],[Fin BSMT]]*Lookups!$B$16</f>
        <v>0</v>
      </c>
      <c r="BO2448" s="6">
        <f>(Grandview_Inventory[[#This Row],[att_gar]]+Grandview_Inventory[[#This Row],[bltin_gar]])*Lookups!$B$17</f>
        <v>0</v>
      </c>
      <c r="BP2448" s="6">
        <f>Grandview_Inventory[[#This Row],[Plumbing Fixtures]]*Lookups!$B$18</f>
        <v>20104.418000000001</v>
      </c>
      <c r="BQ2448" s="6">
        <f>Grandview_Inventory[[#This Row],[detatched_value]]*Lookups!$B$19</f>
        <v>45388.753359999995</v>
      </c>
      <c r="BR2448" s="6">
        <f>SUM(Grandview_Inventory[[#This Row],[Intercept]:[det_value]])*Grandview_Inventory[[#This Row],[res_pct]]</f>
        <v>417050.27872400003</v>
      </c>
      <c r="BS2448" s="6">
        <f>Grandview_Inventory[[#This Row],[land_value]]</f>
        <v>94776.816912695242</v>
      </c>
      <c r="BT2448" s="4">
        <f>_xlfn.IFNA(VLOOKUP(Grandview_Inventory[[#This Row],[quality]],Lookups!$A$26:$C$33,3,FALSE),1)</f>
        <v>0.94960540378902636</v>
      </c>
      <c r="BU2448" s="4">
        <f>_xlfn.IFNA(VLOOKUP(Grandview_Inventory[[#This Row],[condition]],Lookups!$A$37:$C$44,3,FALSE),1)</f>
        <v>0.96469275950863709</v>
      </c>
      <c r="BV2448" s="4">
        <f>IF(Grandview_Inventory[[#This Row],[bldg_style]]="",1,_xlfn.IFNA(VLOOKUP(Grandview_Inventory[[#This Row],[decade]],Lookups!$F$29:$H$43,3,FALSE),1))</f>
        <v>0.98397821291089549</v>
      </c>
      <c r="BW2448" s="4">
        <f>_xlfn.IFNA(VLOOKUP(Grandview_Inventory[[#This Row],[living_area_range]],Lookups!$F$47:$H$56,3,FALSE),1)</f>
        <v>0.94224801443562123</v>
      </c>
      <c r="BX2448" s="4">
        <f>AVERAGE(Grandview_Inventory[[#This Row],[qual_adj]:[size_adj]])</f>
        <v>0.9601310976610451</v>
      </c>
      <c r="BY2448" s="6">
        <f>IF(Grandview_Inventory[[#This Row],[pre_res]]&lt;0,0,Grandview_Inventory[[#This Row],[pre_res]]*Grandview_Inventory[[#This Row],[overall_adj]])</f>
        <v>400422.94189111894</v>
      </c>
      <c r="BZ2448" s="6">
        <f>(Grandview_Inventory[[#This Row],[sum_land]]-IF(Grandview_Inventory[[#This Row],[no_utilities]]=1,12000,0))/IF(Grandview_Inventory[[#This Row],[unbuildable]]=1,2,1)</f>
        <v>94776.816912695242</v>
      </c>
      <c r="CA2448">
        <f>IF(ROUND(Grandview_Inventory[[#This Row],[adj_land]]*Lookups!$M$28,-2)&lt;Grandview_Inventory[[#This Row],[min_land]],Grandview_Inventory[[#This Row],[min_land]],ROUND(Grandview_Inventory[[#This Row],[adj_land]]*Lookups!$M$28,-2))</f>
        <v>90000</v>
      </c>
      <c r="CB2448">
        <f>ROUND(Grandview_Inventory[[#This Row],[det_value]]*Lookups!$M$28,-2)</f>
        <v>43100</v>
      </c>
      <c r="CC2448">
        <f>IF(ROUND(Grandview_Inventory[[#This Row],[adj_res]]*Lookups!$M$28,-2)&lt;Grandview_Inventory[[#This Row],[min_res]],Grandview_Inventory[[#This Row],[min_res]],ROUND(Grandview_Inventory[[#This Row],[adj_res]]*Lookups!$M$28,-2))</f>
        <v>380400</v>
      </c>
      <c r="CD2448">
        <f>Grandview_Inventory[[#This Row],[final_det]]+Grandview_Inventory[[#This Row],[final_res]]</f>
        <v>423500</v>
      </c>
      <c r="CE2448">
        <f>Grandview_Inventory[[#This Row],[final_land]]+Grandview_Inventory[[#This Row],[final_imp]]+Grandview_Inventory[[#This Row],[crop_value]]</f>
        <v>513500</v>
      </c>
      <c r="CG2448" t="str">
        <f t="shared" si="38"/>
        <v>update valuation set market_land =90000, market_bldg=423500, market_total =513500, market_mdno =401, market_date ='9/10/2023' where link_id = (select link_id from parcel where parcel_year = '2024' and parcel_id = '23092711420');</v>
      </c>
    </row>
    <row r="2449" spans="1:85" x14ac:dyDescent="0.25">
      <c r="A2449">
        <v>23092711421</v>
      </c>
      <c r="B2449">
        <v>0.69</v>
      </c>
      <c r="C2449">
        <v>30239</v>
      </c>
      <c r="D2449" t="s">
        <v>129</v>
      </c>
      <c r="E2449" t="s">
        <v>53</v>
      </c>
      <c r="F2449" t="s">
        <v>53</v>
      </c>
      <c r="G2449">
        <v>4</v>
      </c>
      <c r="H2449" t="s">
        <v>54</v>
      </c>
      <c r="I2449">
        <v>164500</v>
      </c>
      <c r="J2449">
        <v>53800</v>
      </c>
      <c r="K2449">
        <v>0.69</v>
      </c>
      <c r="L2449">
        <f>IF(Grandview_Inventory[[#This Row],[parcel_acres]]-Grandview_Inventory[[#This Row],[non_valued_acres]] =0,0,LN(Grandview_Inventory[[#This Row],[parcel_acres]]-Grandview_Inventory[[#This Row],[non_valued_acres]]))</f>
        <v>-0.37106368139083207</v>
      </c>
      <c r="M2449">
        <v>0</v>
      </c>
      <c r="N2449">
        <v>0</v>
      </c>
      <c r="O2449">
        <v>0</v>
      </c>
      <c r="P2449">
        <v>13398.7528</v>
      </c>
      <c r="Q2449">
        <v>63903</v>
      </c>
      <c r="R2449">
        <f>(Grandview_Inventory[[#This Row],[ln_acres]]*Grandview_Inventory[[#This Row],[coeff]])+Grandview_Inventory[[#This Row],[const]]</f>
        <v>58931.209459986283</v>
      </c>
      <c r="S2449" t="s">
        <v>55</v>
      </c>
      <c r="T2449">
        <v>2</v>
      </c>
      <c r="U2449" t="s">
        <v>80</v>
      </c>
      <c r="V2449" t="s">
        <v>69</v>
      </c>
      <c r="W2449">
        <v>0</v>
      </c>
      <c r="X2449">
        <v>0</v>
      </c>
      <c r="Y2449">
        <v>50</v>
      </c>
      <c r="Z2449">
        <v>73</v>
      </c>
      <c r="AA2449">
        <v>80</v>
      </c>
      <c r="AB2449">
        <v>1500</v>
      </c>
      <c r="AC2449">
        <v>1440</v>
      </c>
      <c r="AD2449">
        <v>1004</v>
      </c>
      <c r="AE2449">
        <v>436</v>
      </c>
      <c r="AF2449">
        <v>0</v>
      </c>
      <c r="AG2449">
        <v>0</v>
      </c>
      <c r="AH2449">
        <v>420</v>
      </c>
      <c r="AI2449">
        <v>0</v>
      </c>
      <c r="AJ2449">
        <v>0</v>
      </c>
      <c r="AK2449">
        <v>0</v>
      </c>
      <c r="AL2449">
        <v>107</v>
      </c>
      <c r="AM2449">
        <v>0</v>
      </c>
      <c r="AN2449">
        <v>32</v>
      </c>
      <c r="AO2449">
        <v>107</v>
      </c>
      <c r="AP2449">
        <v>5</v>
      </c>
      <c r="AQ2449">
        <v>0</v>
      </c>
      <c r="AR2449">
        <v>0</v>
      </c>
      <c r="AS2449" t="s">
        <v>58</v>
      </c>
      <c r="AT2449">
        <v>1</v>
      </c>
      <c r="AU2449" t="s">
        <v>63</v>
      </c>
      <c r="AV2449" t="s">
        <v>64</v>
      </c>
      <c r="AW2449">
        <v>1</v>
      </c>
      <c r="AX2449">
        <v>3</v>
      </c>
      <c r="AY2449">
        <v>0</v>
      </c>
      <c r="AZ2449">
        <v>18300</v>
      </c>
      <c r="BA2449">
        <v>100</v>
      </c>
      <c r="BB2449">
        <v>100</v>
      </c>
      <c r="BC2449">
        <v>100</v>
      </c>
      <c r="BD2449">
        <v>100</v>
      </c>
      <c r="BE2449">
        <v>1</v>
      </c>
      <c r="BF2449">
        <v>15000</v>
      </c>
      <c r="BG2449">
        <v>1000</v>
      </c>
      <c r="BH2449" s="6">
        <f>Grandview_Inventory[[#This Row],[land_extract]]*Lookups!$B$3</f>
        <v>68436.654431616524</v>
      </c>
      <c r="BI2449" s="6">
        <f>IF(Grandview_Inventory[[#This Row],[bldg_style]]="",0,Lookups!$B$2)</f>
        <v>155833.95000000001</v>
      </c>
      <c r="BJ2449" s="6">
        <f>_xlfn.IFNA(VLOOKUP(Grandview_Inventory[[#This Row],[quality]],Lookups!$H$2:$J$14,3,FALSE),0)</f>
        <v>-28558</v>
      </c>
      <c r="BK2449" s="6">
        <f>_xlfn.IFNA(VLOOKUP(Grandview_Inventory[[#This Row],[condition]],Lookups!$H$17:$J$24,3,FALSE),0)</f>
        <v>-4503</v>
      </c>
      <c r="BL2449" s="6">
        <f>Grandview_Inventory[[#This Row],[Eff_Age]]*Lookups!$B$14</f>
        <v>-11958.33</v>
      </c>
      <c r="BM2449" s="6">
        <f>Grandview_Inventory[[#This Row],[living_area]]*Lookups!$B$15</f>
        <v>89828.428320000006</v>
      </c>
      <c r="BN2449" s="6">
        <f>Grandview_Inventory[[#This Row],[Fin BSMT]]*Lookups!$B$16</f>
        <v>0</v>
      </c>
      <c r="BO2449" s="6">
        <f>(Grandview_Inventory[[#This Row],[att_gar]]+Grandview_Inventory[[#This Row],[bltin_gar]])*Lookups!$B$17</f>
        <v>0</v>
      </c>
      <c r="BP2449" s="6">
        <f>Grandview_Inventory[[#This Row],[Plumbing Fixtures]]*Lookups!$B$18</f>
        <v>10052.209000000001</v>
      </c>
      <c r="BQ2449" s="6">
        <f>Grandview_Inventory[[#This Row],[detatched_value]]*Lookups!$B$19</f>
        <v>15496.53333</v>
      </c>
      <c r="BR2449" s="6">
        <f>SUM(Grandview_Inventory[[#This Row],[Intercept]:[det_value]])*Grandview_Inventory[[#This Row],[res_pct]]</f>
        <v>226191.79065000001</v>
      </c>
      <c r="BS2449" s="6">
        <f>Grandview_Inventory[[#This Row],[land_value]]</f>
        <v>68436.654431616524</v>
      </c>
      <c r="BT2449" s="4">
        <f>_xlfn.IFNA(VLOOKUP(Grandview_Inventory[[#This Row],[quality]],Lookups!$A$26:$C$33,3,FALSE),1)</f>
        <v>0.9690360070159818</v>
      </c>
      <c r="BU2449" s="4">
        <f>_xlfn.IFNA(VLOOKUP(Grandview_Inventory[[#This Row],[condition]],Lookups!$A$37:$C$44,3,FALSE),1)</f>
        <v>0.96469275950863709</v>
      </c>
      <c r="BV2449" s="4">
        <f>IF(Grandview_Inventory[[#This Row],[bldg_style]]="",1,_xlfn.IFNA(VLOOKUP(Grandview_Inventory[[#This Row],[decade]],Lookups!$F$29:$H$43,3,FALSE),1))</f>
        <v>0.98763256963907298</v>
      </c>
      <c r="BW2449" s="4">
        <f>_xlfn.IFNA(VLOOKUP(Grandview_Inventory[[#This Row],[living_area_range]],Lookups!$F$47:$H$56,3,FALSE),1)</f>
        <v>0.96135087979789358</v>
      </c>
      <c r="BX2449" s="4">
        <f>AVERAGE(Grandview_Inventory[[#This Row],[qual_adj]:[size_adj]])</f>
        <v>0.97067805399039631</v>
      </c>
      <c r="BY2449" s="6">
        <f>IF(Grandview_Inventory[[#This Row],[pre_res]]&lt;0,0,Grandview_Inventory[[#This Row],[pre_res]]*Grandview_Inventory[[#This Row],[overall_adj]])</f>
        <v>219559.40717674512</v>
      </c>
      <c r="BZ2449" s="6">
        <f>(Grandview_Inventory[[#This Row],[sum_land]]-IF(Grandview_Inventory[[#This Row],[no_utilities]]=1,12000,0))/IF(Grandview_Inventory[[#This Row],[unbuildable]]=1,2,1)</f>
        <v>68436.654431616524</v>
      </c>
      <c r="CA2449">
        <f>IF(ROUND(Grandview_Inventory[[#This Row],[adj_land]]*Lookups!$M$28,-2)&lt;Grandview_Inventory[[#This Row],[min_land]],Grandview_Inventory[[#This Row],[min_land]],ROUND(Grandview_Inventory[[#This Row],[adj_land]]*Lookups!$M$28,-2))</f>
        <v>65000</v>
      </c>
      <c r="CB2449">
        <f>ROUND(Grandview_Inventory[[#This Row],[det_value]]*Lookups!$M$28,-2)</f>
        <v>14700</v>
      </c>
      <c r="CC2449">
        <f>IF(ROUND(Grandview_Inventory[[#This Row],[adj_res]]*Lookups!$M$28,-2)&lt;Grandview_Inventory[[#This Row],[min_res]],Grandview_Inventory[[#This Row],[min_res]],ROUND(Grandview_Inventory[[#This Row],[adj_res]]*Lookups!$M$28,-2))</f>
        <v>208600</v>
      </c>
      <c r="CD2449">
        <f>Grandview_Inventory[[#This Row],[final_det]]+Grandview_Inventory[[#This Row],[final_res]]</f>
        <v>223300</v>
      </c>
      <c r="CE2449">
        <f>Grandview_Inventory[[#This Row],[final_land]]+Grandview_Inventory[[#This Row],[final_imp]]+Grandview_Inventory[[#This Row],[crop_value]]</f>
        <v>288300</v>
      </c>
      <c r="CG2449" t="str">
        <f t="shared" si="38"/>
        <v>update valuation set market_land =65000, market_bldg=223300, market_total =288300, market_mdno =401, market_date ='9/10/2023' where link_id = (select link_id from parcel where parcel_year = '2024' and parcel_id = '23092711421');</v>
      </c>
    </row>
    <row r="2450" spans="1:85" x14ac:dyDescent="0.25">
      <c r="A2450">
        <v>23092711422</v>
      </c>
      <c r="B2450">
        <v>0.57999999999999996</v>
      </c>
      <c r="C2450" t="s">
        <v>129</v>
      </c>
      <c r="D2450" t="s">
        <v>129</v>
      </c>
      <c r="E2450" t="s">
        <v>53</v>
      </c>
      <c r="F2450" t="s">
        <v>53</v>
      </c>
      <c r="G2450">
        <v>4</v>
      </c>
      <c r="H2450" t="s">
        <v>54</v>
      </c>
      <c r="I2450">
        <v>153100</v>
      </c>
      <c r="J2450">
        <v>51500</v>
      </c>
      <c r="K2450">
        <v>0.57999999999999996</v>
      </c>
      <c r="L2450">
        <f>IF(Grandview_Inventory[[#This Row],[parcel_acres]]-Grandview_Inventory[[#This Row],[non_valued_acres]] =0,0,LN(Grandview_Inventory[[#This Row],[parcel_acres]]-Grandview_Inventory[[#This Row],[non_valued_acres]]))</f>
        <v>-0.54472717544167215</v>
      </c>
      <c r="M2450">
        <v>0</v>
      </c>
      <c r="N2450">
        <v>0</v>
      </c>
      <c r="O2450">
        <v>0</v>
      </c>
      <c r="P2450">
        <v>13398.7528</v>
      </c>
      <c r="Q2450">
        <v>63903</v>
      </c>
      <c r="R2450">
        <f>(Grandview_Inventory[[#This Row],[ln_acres]]*Grandview_Inventory[[#This Row],[coeff]])+Grandview_Inventory[[#This Row],[const]]</f>
        <v>56604.335232814803</v>
      </c>
      <c r="S2450" t="s">
        <v>86</v>
      </c>
      <c r="T2450">
        <v>2</v>
      </c>
      <c r="U2450" t="s">
        <v>65</v>
      </c>
      <c r="V2450" t="s">
        <v>69</v>
      </c>
      <c r="W2450">
        <v>0</v>
      </c>
      <c r="X2450">
        <v>0</v>
      </c>
      <c r="Y2450">
        <v>57</v>
      </c>
      <c r="Z2450">
        <v>103</v>
      </c>
      <c r="AA2450">
        <v>110</v>
      </c>
      <c r="AB2450">
        <v>2000</v>
      </c>
      <c r="AC2450">
        <v>1792</v>
      </c>
      <c r="AD2450">
        <v>1392</v>
      </c>
      <c r="AE2450">
        <v>400</v>
      </c>
      <c r="AF2450">
        <v>0</v>
      </c>
      <c r="AG2450">
        <v>0</v>
      </c>
      <c r="AH2450">
        <v>320</v>
      </c>
      <c r="AI2450">
        <v>0</v>
      </c>
      <c r="AJ2450">
        <v>0</v>
      </c>
      <c r="AK2450">
        <v>0</v>
      </c>
      <c r="AL2450">
        <v>565</v>
      </c>
      <c r="AM2450">
        <v>0</v>
      </c>
      <c r="AN2450">
        <v>0</v>
      </c>
      <c r="AO2450">
        <v>93</v>
      </c>
      <c r="AP2450">
        <v>6</v>
      </c>
      <c r="AQ2450">
        <v>1</v>
      </c>
      <c r="AR2450">
        <v>0</v>
      </c>
      <c r="AS2450" t="s">
        <v>71</v>
      </c>
      <c r="AT2450">
        <v>1</v>
      </c>
      <c r="AU2450" t="s">
        <v>63</v>
      </c>
      <c r="AV2450" t="s">
        <v>60</v>
      </c>
      <c r="AW2450">
        <v>0</v>
      </c>
      <c r="AX2450">
        <v>4</v>
      </c>
      <c r="AY2450">
        <v>0</v>
      </c>
      <c r="AZ2450">
        <v>0</v>
      </c>
      <c r="BA2450">
        <v>100</v>
      </c>
      <c r="BB2450">
        <v>100</v>
      </c>
      <c r="BC2450">
        <v>100</v>
      </c>
      <c r="BD2450">
        <v>100</v>
      </c>
      <c r="BE2450">
        <v>1</v>
      </c>
      <c r="BF2450">
        <v>15000</v>
      </c>
      <c r="BG2450">
        <v>1000</v>
      </c>
      <c r="BH2450" s="6">
        <f>Grandview_Inventory[[#This Row],[land_extract]]*Lookups!$B$3</f>
        <v>65734.461674162696</v>
      </c>
      <c r="BI2450" s="6">
        <f>IF(Grandview_Inventory[[#This Row],[bldg_style]]="",0,Lookups!$B$2)</f>
        <v>155833.95000000001</v>
      </c>
      <c r="BJ2450" s="6">
        <f>_xlfn.IFNA(VLOOKUP(Grandview_Inventory[[#This Row],[quality]],Lookups!$H$2:$J$14,3,FALSE),0)</f>
        <v>2251</v>
      </c>
      <c r="BK2450" s="6">
        <f>_xlfn.IFNA(VLOOKUP(Grandview_Inventory[[#This Row],[condition]],Lookups!$H$17:$J$24,3,FALSE),0)</f>
        <v>-4503</v>
      </c>
      <c r="BL2450" s="6">
        <f>Grandview_Inventory[[#This Row],[Eff_Age]]*Lookups!$B$14</f>
        <v>-13632.4962</v>
      </c>
      <c r="BM2450" s="6">
        <f>Grandview_Inventory[[#This Row],[living_area]]*Lookups!$B$15</f>
        <v>111786.488576</v>
      </c>
      <c r="BN2450" s="6">
        <f>Grandview_Inventory[[#This Row],[Fin BSMT]]*Lookups!$B$16</f>
        <v>0</v>
      </c>
      <c r="BO2450" s="6">
        <f>(Grandview_Inventory[[#This Row],[att_gar]]+Grandview_Inventory[[#This Row],[bltin_gar]])*Lookups!$B$17</f>
        <v>0</v>
      </c>
      <c r="BP2450" s="6">
        <f>Grandview_Inventory[[#This Row],[Plumbing Fixtures]]*Lookups!$B$18</f>
        <v>12062.650799999999</v>
      </c>
      <c r="BQ2450" s="6">
        <f>Grandview_Inventory[[#This Row],[detatched_value]]*Lookups!$B$19</f>
        <v>0</v>
      </c>
      <c r="BR2450" s="6">
        <f>SUM(Grandview_Inventory[[#This Row],[Intercept]:[det_value]])*Grandview_Inventory[[#This Row],[res_pct]]</f>
        <v>263798.59317599999</v>
      </c>
      <c r="BS2450" s="6">
        <f>Grandview_Inventory[[#This Row],[land_value]]</f>
        <v>65734.461674162696</v>
      </c>
      <c r="BT2450" s="4">
        <f>_xlfn.IFNA(VLOOKUP(Grandview_Inventory[[#This Row],[quality]],Lookups!$A$26:$C$33,3,FALSE),1)</f>
        <v>0.98763855981004833</v>
      </c>
      <c r="BU2450" s="4">
        <f>_xlfn.IFNA(VLOOKUP(Grandview_Inventory[[#This Row],[condition]],Lookups!$A$37:$C$44,3,FALSE),1)</f>
        <v>0.96469275950863709</v>
      </c>
      <c r="BV2450" s="4">
        <f>IF(Grandview_Inventory[[#This Row],[bldg_style]]="",1,_xlfn.IFNA(VLOOKUP(Grandview_Inventory[[#This Row],[decade]],Lookups!$F$29:$H$43,3,FALSE),1))</f>
        <v>0.92255236374249616</v>
      </c>
      <c r="BW2450" s="4">
        <f>_xlfn.IFNA(VLOOKUP(Grandview_Inventory[[#This Row],[living_area_range]],Lookups!$F$47:$H$56,3,FALSE),1)</f>
        <v>0.96120133463014379</v>
      </c>
      <c r="BX2450" s="4">
        <f>AVERAGE(Grandview_Inventory[[#This Row],[qual_adj]:[size_adj]])</f>
        <v>0.95902125442283137</v>
      </c>
      <c r="BY2450" s="6">
        <f>IF(Grandview_Inventory[[#This Row],[pre_res]]&lt;0,0,Grandview_Inventory[[#This Row],[pre_res]]*Grandview_Inventory[[#This Row],[overall_adj]])</f>
        <v>252988.45774262567</v>
      </c>
      <c r="BZ2450" s="6">
        <f>(Grandview_Inventory[[#This Row],[sum_land]]-IF(Grandview_Inventory[[#This Row],[no_utilities]]=1,12000,0))/IF(Grandview_Inventory[[#This Row],[unbuildable]]=1,2,1)</f>
        <v>65734.461674162696</v>
      </c>
      <c r="CA2450">
        <f>IF(ROUND(Grandview_Inventory[[#This Row],[adj_land]]*Lookups!$M$28,-2)&lt;Grandview_Inventory[[#This Row],[min_land]],Grandview_Inventory[[#This Row],[min_land]],ROUND(Grandview_Inventory[[#This Row],[adj_land]]*Lookups!$M$28,-2))</f>
        <v>62400</v>
      </c>
      <c r="CB2450">
        <f>ROUND(Grandview_Inventory[[#This Row],[det_value]]*Lookups!$M$28,-2)</f>
        <v>0</v>
      </c>
      <c r="CC2450">
        <f>IF(ROUND(Grandview_Inventory[[#This Row],[adj_res]]*Lookups!$M$28,-2)&lt;Grandview_Inventory[[#This Row],[min_res]],Grandview_Inventory[[#This Row],[min_res]],ROUND(Grandview_Inventory[[#This Row],[adj_res]]*Lookups!$M$28,-2))</f>
        <v>240300</v>
      </c>
      <c r="CD2450">
        <f>Grandview_Inventory[[#This Row],[final_det]]+Grandview_Inventory[[#This Row],[final_res]]</f>
        <v>240300</v>
      </c>
      <c r="CE2450">
        <f>Grandview_Inventory[[#This Row],[final_land]]+Grandview_Inventory[[#This Row],[final_imp]]+Grandview_Inventory[[#This Row],[crop_value]]</f>
        <v>302700</v>
      </c>
      <c r="CG2450" t="str">
        <f t="shared" si="38"/>
        <v>update valuation set market_land =62400, market_bldg=240300, market_total =302700, market_mdno =401, market_date ='9/10/2023' where link_id = (select link_id from parcel where parcel_year = '2024' and parcel_id = '23092711422');</v>
      </c>
    </row>
    <row r="2451" spans="1:85" x14ac:dyDescent="0.25">
      <c r="A2451">
        <v>23092711423</v>
      </c>
      <c r="B2451">
        <v>1.41</v>
      </c>
      <c r="C2451">
        <v>61590</v>
      </c>
      <c r="D2451" t="s">
        <v>129</v>
      </c>
      <c r="E2451" t="s">
        <v>53</v>
      </c>
      <c r="F2451" t="s">
        <v>53</v>
      </c>
      <c r="G2451">
        <v>4</v>
      </c>
      <c r="H2451" t="s">
        <v>54</v>
      </c>
      <c r="I2451">
        <v>304200</v>
      </c>
      <c r="J2451">
        <v>63200</v>
      </c>
      <c r="K2451">
        <v>1.41</v>
      </c>
      <c r="L2451">
        <f>IF(Grandview_Inventory[[#This Row],[parcel_acres]]-Grandview_Inventory[[#This Row],[non_valued_acres]] =0,0,LN(Grandview_Inventory[[#This Row],[parcel_acres]]-Grandview_Inventory[[#This Row],[non_valued_acres]]))</f>
        <v>0.34358970439007686</v>
      </c>
      <c r="M2451">
        <v>0</v>
      </c>
      <c r="N2451">
        <v>0</v>
      </c>
      <c r="O2451">
        <v>0</v>
      </c>
      <c r="P2451">
        <v>13398.7528</v>
      </c>
      <c r="Q2451">
        <v>63903</v>
      </c>
      <c r="R2451">
        <f>(Grandview_Inventory[[#This Row],[ln_acres]]*Grandview_Inventory[[#This Row],[coeff]])+Grandview_Inventory[[#This Row],[const]]</f>
        <v>68506.673513747708</v>
      </c>
      <c r="S2451" t="s">
        <v>55</v>
      </c>
      <c r="T2451">
        <v>2</v>
      </c>
      <c r="U2451" t="s">
        <v>56</v>
      </c>
      <c r="V2451" t="s">
        <v>69</v>
      </c>
      <c r="W2451">
        <v>30700</v>
      </c>
      <c r="X2451">
        <v>0</v>
      </c>
      <c r="Y2451">
        <v>29</v>
      </c>
      <c r="Z2451">
        <v>29</v>
      </c>
      <c r="AA2451">
        <v>30</v>
      </c>
      <c r="AB2451">
        <v>3000</v>
      </c>
      <c r="AC2451">
        <v>2622</v>
      </c>
      <c r="AD2451">
        <v>1506</v>
      </c>
      <c r="AE2451">
        <v>1116</v>
      </c>
      <c r="AF2451">
        <v>0</v>
      </c>
      <c r="AG2451">
        <v>0</v>
      </c>
      <c r="AH2451">
        <v>0</v>
      </c>
      <c r="AI2451">
        <v>672</v>
      </c>
      <c r="AJ2451">
        <v>0</v>
      </c>
      <c r="AK2451">
        <v>0</v>
      </c>
      <c r="AL2451">
        <v>930</v>
      </c>
      <c r="AM2451">
        <v>0</v>
      </c>
      <c r="AN2451">
        <v>380</v>
      </c>
      <c r="AO2451">
        <v>0</v>
      </c>
      <c r="AP2451">
        <v>12</v>
      </c>
      <c r="AQ2451">
        <v>0</v>
      </c>
      <c r="AR2451">
        <v>0</v>
      </c>
      <c r="AS2451" t="s">
        <v>76</v>
      </c>
      <c r="AT2451">
        <v>1</v>
      </c>
      <c r="AU2451" t="s">
        <v>59</v>
      </c>
      <c r="AV2451" t="s">
        <v>60</v>
      </c>
      <c r="AW2451">
        <v>1</v>
      </c>
      <c r="AX2451">
        <v>3</v>
      </c>
      <c r="AY2451">
        <v>0</v>
      </c>
      <c r="AZ2451">
        <v>38400</v>
      </c>
      <c r="BA2451">
        <v>100</v>
      </c>
      <c r="BB2451">
        <v>100</v>
      </c>
      <c r="BC2451">
        <v>100</v>
      </c>
      <c r="BD2451">
        <v>100</v>
      </c>
      <c r="BE2451">
        <v>1</v>
      </c>
      <c r="BF2451">
        <v>15000</v>
      </c>
      <c r="BG2451">
        <v>1000</v>
      </c>
      <c r="BH2451" s="6">
        <f>Grandview_Inventory[[#This Row],[land_extract]]*Lookups!$B$3</f>
        <v>79556.614983496722</v>
      </c>
      <c r="BI2451" s="6">
        <f>IF(Grandview_Inventory[[#This Row],[bldg_style]]="",0,Lookups!$B$2)</f>
        <v>155833.95000000001</v>
      </c>
      <c r="BJ2451" s="6">
        <f>_xlfn.IFNA(VLOOKUP(Grandview_Inventory[[#This Row],[quality]],Lookups!$H$2:$J$14,3,FALSE),0)</f>
        <v>56323</v>
      </c>
      <c r="BK2451" s="6">
        <f>_xlfn.IFNA(VLOOKUP(Grandview_Inventory[[#This Row],[condition]],Lookups!$H$17:$J$24,3,FALSE),0)</f>
        <v>-4503</v>
      </c>
      <c r="BL2451" s="6">
        <f>Grandview_Inventory[[#This Row],[Eff_Age]]*Lookups!$B$14</f>
        <v>-6935.8314</v>
      </c>
      <c r="BM2451" s="6">
        <f>Grandview_Inventory[[#This Row],[living_area]]*Lookups!$B$15</f>
        <v>163562.59656599999</v>
      </c>
      <c r="BN2451" s="6">
        <f>Grandview_Inventory[[#This Row],[Fin BSMT]]*Lookups!$B$16</f>
        <v>0</v>
      </c>
      <c r="BO2451" s="6">
        <f>(Grandview_Inventory[[#This Row],[att_gar]]+Grandview_Inventory[[#This Row],[bltin_gar]])*Lookups!$B$17</f>
        <v>58813.733663999999</v>
      </c>
      <c r="BP2451" s="6">
        <f>Grandview_Inventory[[#This Row],[Plumbing Fixtures]]*Lookups!$B$18</f>
        <v>24125.301599999999</v>
      </c>
      <c r="BQ2451" s="6">
        <f>Grandview_Inventory[[#This Row],[detatched_value]]*Lookups!$B$19</f>
        <v>32517.315839999999</v>
      </c>
      <c r="BR2451" s="6">
        <f>SUM(Grandview_Inventory[[#This Row],[Intercept]:[det_value]])*Grandview_Inventory[[#This Row],[res_pct]]</f>
        <v>479737.06627000001</v>
      </c>
      <c r="BS2451" s="6">
        <f>Grandview_Inventory[[#This Row],[land_value]]</f>
        <v>79556.614983496722</v>
      </c>
      <c r="BT2451" s="4">
        <f>_xlfn.IFNA(VLOOKUP(Grandview_Inventory[[#This Row],[quality]],Lookups!$A$26:$C$33,3,FALSE),1)</f>
        <v>0.76437650671582003</v>
      </c>
      <c r="BU2451" s="4">
        <f>_xlfn.IFNA(VLOOKUP(Grandview_Inventory[[#This Row],[condition]],Lookups!$A$37:$C$44,3,FALSE),1)</f>
        <v>0.96469275950863709</v>
      </c>
      <c r="BV2451" s="4">
        <f>IF(Grandview_Inventory[[#This Row],[bldg_style]]="",1,_xlfn.IFNA(VLOOKUP(Grandview_Inventory[[#This Row],[decade]],Lookups!$F$29:$H$43,3,FALSE),1))</f>
        <v>0.98397821291089549</v>
      </c>
      <c r="BW2451" s="4">
        <f>_xlfn.IFNA(VLOOKUP(Grandview_Inventory[[#This Row],[living_area_range]],Lookups!$F$47:$H$56,3,FALSE),1)</f>
        <v>0.94224801443562123</v>
      </c>
      <c r="BX2451" s="4">
        <f>AVERAGE(Grandview_Inventory[[#This Row],[qual_adj]:[size_adj]])</f>
        <v>0.91382387339274351</v>
      </c>
      <c r="BY2451" s="6">
        <f>IF(Grandview_Inventory[[#This Row],[pre_res]]&lt;0,0,Grandview_Inventory[[#This Row],[pre_res]]*Grandview_Inventory[[#This Row],[overall_adj]])</f>
        <v>438395.18410892267</v>
      </c>
      <c r="BZ2451" s="6">
        <f>(Grandview_Inventory[[#This Row],[sum_land]]-IF(Grandview_Inventory[[#This Row],[no_utilities]]=1,12000,0))/IF(Grandview_Inventory[[#This Row],[unbuildable]]=1,2,1)</f>
        <v>79556.614983496722</v>
      </c>
      <c r="CA2451">
        <f>IF(ROUND(Grandview_Inventory[[#This Row],[adj_land]]*Lookups!$M$28,-2)&lt;Grandview_Inventory[[#This Row],[min_land]],Grandview_Inventory[[#This Row],[min_land]],ROUND(Grandview_Inventory[[#This Row],[adj_land]]*Lookups!$M$28,-2))</f>
        <v>75600</v>
      </c>
      <c r="CB2451">
        <f>ROUND(Grandview_Inventory[[#This Row],[det_value]]*Lookups!$M$28,-2)</f>
        <v>30900</v>
      </c>
      <c r="CC2451">
        <f>IF(ROUND(Grandview_Inventory[[#This Row],[adj_res]]*Lookups!$M$28,-2)&lt;Grandview_Inventory[[#This Row],[min_res]],Grandview_Inventory[[#This Row],[min_res]],ROUND(Grandview_Inventory[[#This Row],[adj_res]]*Lookups!$M$28,-2))</f>
        <v>416500</v>
      </c>
      <c r="CD2451">
        <f>Grandview_Inventory[[#This Row],[final_det]]+Grandview_Inventory[[#This Row],[final_res]]</f>
        <v>447400</v>
      </c>
      <c r="CE2451">
        <f>Grandview_Inventory[[#This Row],[final_land]]+Grandview_Inventory[[#This Row],[final_imp]]+Grandview_Inventory[[#This Row],[crop_value]]</f>
        <v>523000</v>
      </c>
      <c r="CG2451" t="str">
        <f t="shared" si="38"/>
        <v>update valuation set market_land =75600, market_bldg=447400, market_total =523000, market_mdno =401, market_date ='9/10/2023' where link_id = (select link_id from parcel where parcel_year = '2024' and parcel_id = '23092711423');</v>
      </c>
    </row>
    <row r="2452" spans="1:85" x14ac:dyDescent="0.25">
      <c r="A2452">
        <v>23092711428</v>
      </c>
      <c r="B2452">
        <v>8.4</v>
      </c>
      <c r="C2452" t="s">
        <v>129</v>
      </c>
      <c r="D2452" t="s">
        <v>129</v>
      </c>
      <c r="E2452" t="s">
        <v>53</v>
      </c>
      <c r="F2452" t="s">
        <v>53</v>
      </c>
      <c r="G2452">
        <v>4</v>
      </c>
      <c r="H2452" t="s">
        <v>54</v>
      </c>
      <c r="I2452">
        <v>3700</v>
      </c>
      <c r="J2452">
        <v>81100</v>
      </c>
      <c r="K2452">
        <v>8.4</v>
      </c>
      <c r="L2452">
        <f>IF(Grandview_Inventory[[#This Row],[parcel_acres]]-Grandview_Inventory[[#This Row],[non_valued_acres]] =0,0,LN(Grandview_Inventory[[#This Row],[parcel_acres]]-Grandview_Inventory[[#This Row],[non_valued_acres]]))</f>
        <v>2.1282317058492679</v>
      </c>
      <c r="M2452">
        <v>0</v>
      </c>
      <c r="N2452">
        <v>0</v>
      </c>
      <c r="O2452">
        <v>0</v>
      </c>
      <c r="P2452">
        <v>13398.7528</v>
      </c>
      <c r="Q2452">
        <v>63903</v>
      </c>
      <c r="R2452">
        <f>(Grandview_Inventory[[#This Row],[ln_acres]]*Grandview_Inventory[[#This Row],[coeff]])+Grandview_Inventory[[#This Row],[const]]</f>
        <v>92418.65052779665</v>
      </c>
      <c r="S2452" t="s">
        <v>68</v>
      </c>
      <c r="T2452">
        <v>1</v>
      </c>
      <c r="U2452" t="s">
        <v>83</v>
      </c>
      <c r="V2452" t="s">
        <v>74</v>
      </c>
      <c r="W2452">
        <v>0</v>
      </c>
      <c r="X2452">
        <v>0</v>
      </c>
      <c r="Y2452">
        <v>50</v>
      </c>
      <c r="Z2452">
        <v>73</v>
      </c>
      <c r="AA2452">
        <v>80</v>
      </c>
      <c r="AB2452">
        <v>1500</v>
      </c>
      <c r="AC2452">
        <v>1237</v>
      </c>
      <c r="AD2452">
        <v>1237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520</v>
      </c>
      <c r="AL2452">
        <v>0</v>
      </c>
      <c r="AM2452">
        <v>0</v>
      </c>
      <c r="AN2452">
        <v>96</v>
      </c>
      <c r="AO2452">
        <v>0</v>
      </c>
      <c r="AP2452">
        <v>5</v>
      </c>
      <c r="AQ2452">
        <v>1</v>
      </c>
      <c r="AR2452">
        <v>0</v>
      </c>
      <c r="AS2452" t="s">
        <v>58</v>
      </c>
      <c r="AT2452">
        <v>0</v>
      </c>
      <c r="AU2452" t="s">
        <v>82</v>
      </c>
      <c r="AV2452" t="s">
        <v>81</v>
      </c>
      <c r="AW2452">
        <v>0</v>
      </c>
      <c r="AX2452">
        <v>2</v>
      </c>
      <c r="AY2452">
        <v>0</v>
      </c>
      <c r="AZ2452">
        <v>3400</v>
      </c>
      <c r="BA2452">
        <v>100</v>
      </c>
      <c r="BB2452">
        <v>100</v>
      </c>
      <c r="BC2452">
        <v>100</v>
      </c>
      <c r="BD2452">
        <v>100</v>
      </c>
      <c r="BE2452">
        <v>0</v>
      </c>
      <c r="BF2452">
        <v>15000</v>
      </c>
      <c r="BG2452">
        <v>0</v>
      </c>
      <c r="BH2452" s="6">
        <f>Grandview_Inventory[[#This Row],[land_extract]]*Lookups!$B$3</f>
        <v>107325.52932757382</v>
      </c>
      <c r="BI2452" s="6">
        <f>IF(Grandview_Inventory[[#This Row],[bldg_style]]="",0,Lookups!$B$2)</f>
        <v>155833.95000000001</v>
      </c>
      <c r="BJ2452" s="6">
        <f>_xlfn.IFNA(VLOOKUP(Grandview_Inventory[[#This Row],[quality]],Lookups!$H$2:$J$14,3,FALSE),0)</f>
        <v>-28558</v>
      </c>
      <c r="BK2452" s="6">
        <f>_xlfn.IFNA(VLOOKUP(Grandview_Inventory[[#This Row],[condition]],Lookups!$H$17:$J$24,3,FALSE),0)</f>
        <v>-222502</v>
      </c>
      <c r="BL2452" s="6">
        <f>Grandview_Inventory[[#This Row],[Eff_Age]]*Lookups!$B$14</f>
        <v>-11958.33</v>
      </c>
      <c r="BM2452" s="6">
        <f>Grandview_Inventory[[#This Row],[living_area]]*Lookups!$B$15</f>
        <v>77165.115161000009</v>
      </c>
      <c r="BN2452" s="6">
        <f>Grandview_Inventory[[#This Row],[Fin BSMT]]*Lookups!$B$16</f>
        <v>0</v>
      </c>
      <c r="BO2452" s="6">
        <f>(Grandview_Inventory[[#This Row],[att_gar]]+Grandview_Inventory[[#This Row],[bltin_gar]])*Lookups!$B$17</f>
        <v>0</v>
      </c>
      <c r="BP2452" s="6">
        <f>Grandview_Inventory[[#This Row],[Plumbing Fixtures]]*Lookups!$B$18</f>
        <v>10052.209000000001</v>
      </c>
      <c r="BQ2452" s="6">
        <f>Grandview_Inventory[[#This Row],[detatched_value]]*Lookups!$B$19</f>
        <v>2879.1373399999998</v>
      </c>
      <c r="BR2452" s="6">
        <f>SUM(Grandview_Inventory[[#This Row],[Intercept]:[det_value]])*Grandview_Inventory[[#This Row],[res_pct]]</f>
        <v>0</v>
      </c>
      <c r="BS2452" s="6">
        <f>Grandview_Inventory[[#This Row],[land_value]]</f>
        <v>107325.52932757382</v>
      </c>
      <c r="BT2452" s="4">
        <f>_xlfn.IFNA(VLOOKUP(Grandview_Inventory[[#This Row],[quality]],Lookups!$A$26:$C$33,3,FALSE),1)</f>
        <v>0.96329552998502799</v>
      </c>
      <c r="BU2452" s="4">
        <f>_xlfn.IFNA(VLOOKUP(Grandview_Inventory[[#This Row],[condition]],Lookups!$A$37:$C$44,3,FALSE),1)</f>
        <v>0</v>
      </c>
      <c r="BV2452" s="4">
        <f>IF(Grandview_Inventory[[#This Row],[bldg_style]]="",1,_xlfn.IFNA(VLOOKUP(Grandview_Inventory[[#This Row],[decade]],Lookups!$F$29:$H$43,3,FALSE),1))</f>
        <v>0.98763256963907298</v>
      </c>
      <c r="BW2452" s="4">
        <f>_xlfn.IFNA(VLOOKUP(Grandview_Inventory[[#This Row],[living_area_range]],Lookups!$F$47:$H$56,3,FALSE),1)</f>
        <v>0.96135087979789358</v>
      </c>
      <c r="BX2452" s="4">
        <f>AVERAGE(Grandview_Inventory[[#This Row],[qual_adj]:[size_adj]])</f>
        <v>0.72806974485549869</v>
      </c>
      <c r="BY2452" s="6">
        <f>IF(Grandview_Inventory[[#This Row],[pre_res]]&lt;0,0,Grandview_Inventory[[#This Row],[pre_res]]*Grandview_Inventory[[#This Row],[overall_adj]])</f>
        <v>0</v>
      </c>
      <c r="BZ2452" s="6">
        <f>(Grandview_Inventory[[#This Row],[sum_land]]-IF(Grandview_Inventory[[#This Row],[no_utilities]]=1,12000,0))/IF(Grandview_Inventory[[#This Row],[unbuildable]]=1,2,1)</f>
        <v>107325.52932757382</v>
      </c>
      <c r="CA2452">
        <f>IF(ROUND(Grandview_Inventory[[#This Row],[adj_land]]*Lookups!$M$28,-2)&lt;Grandview_Inventory[[#This Row],[min_land]],Grandview_Inventory[[#This Row],[min_land]],ROUND(Grandview_Inventory[[#This Row],[adj_land]]*Lookups!$M$28,-2))</f>
        <v>102000</v>
      </c>
      <c r="CB2452">
        <f>ROUND(Grandview_Inventory[[#This Row],[det_value]]*Lookups!$M$28,-2)</f>
        <v>2700</v>
      </c>
      <c r="CC245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452">
        <f>Grandview_Inventory[[#This Row],[final_det]]+Grandview_Inventory[[#This Row],[final_res]]</f>
        <v>2700</v>
      </c>
      <c r="CE2452">
        <f>Grandview_Inventory[[#This Row],[final_land]]+Grandview_Inventory[[#This Row],[final_imp]]+Grandview_Inventory[[#This Row],[crop_value]]</f>
        <v>104700</v>
      </c>
      <c r="CG2452" t="str">
        <f t="shared" si="38"/>
        <v>update valuation set market_land =102000, market_bldg=2700, market_total =104700, market_mdno =401, market_date ='9/10/2023' where link_id = (select link_id from parcel where parcel_year = '2024' and parcel_id = '23092711428');</v>
      </c>
    </row>
    <row r="2453" spans="1:85" x14ac:dyDescent="0.25">
      <c r="A2453">
        <v>23092712005</v>
      </c>
      <c r="B2453">
        <v>0.22</v>
      </c>
      <c r="C2453" t="s">
        <v>129</v>
      </c>
      <c r="D2453" t="s">
        <v>129</v>
      </c>
      <c r="E2453" t="s">
        <v>53</v>
      </c>
      <c r="F2453" t="s">
        <v>53</v>
      </c>
      <c r="G2453">
        <v>4</v>
      </c>
      <c r="H2453" t="s">
        <v>54</v>
      </c>
      <c r="I2453">
        <v>99200</v>
      </c>
      <c r="J2453">
        <v>36200</v>
      </c>
      <c r="K2453">
        <v>0.22</v>
      </c>
      <c r="L2453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453">
        <v>0</v>
      </c>
      <c r="N2453">
        <v>0</v>
      </c>
      <c r="O2453">
        <v>0</v>
      </c>
      <c r="P2453">
        <v>13398.7528</v>
      </c>
      <c r="Q2453">
        <v>63903</v>
      </c>
      <c r="R2453">
        <f>(Grandview_Inventory[[#This Row],[ln_acres]]*Grandview_Inventory[[#This Row],[coeff]])+Grandview_Inventory[[#This Row],[const]]</f>
        <v>43615.576802869145</v>
      </c>
      <c r="S2453" t="s">
        <v>68</v>
      </c>
      <c r="T2453">
        <v>1</v>
      </c>
      <c r="U2453" t="s">
        <v>83</v>
      </c>
      <c r="V2453" t="s">
        <v>69</v>
      </c>
      <c r="W2453">
        <v>0</v>
      </c>
      <c r="X2453">
        <v>0</v>
      </c>
      <c r="Y2453">
        <v>53</v>
      </c>
      <c r="Z2453">
        <v>93</v>
      </c>
      <c r="AA2453">
        <v>100</v>
      </c>
      <c r="AB2453">
        <v>1000</v>
      </c>
      <c r="AC2453">
        <v>576</v>
      </c>
      <c r="AD2453">
        <v>576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128</v>
      </c>
      <c r="AN2453">
        <v>0</v>
      </c>
      <c r="AO2453">
        <v>128</v>
      </c>
      <c r="AP2453">
        <v>5</v>
      </c>
      <c r="AQ2453">
        <v>0</v>
      </c>
      <c r="AR2453">
        <v>0</v>
      </c>
      <c r="AS2453" t="s">
        <v>58</v>
      </c>
      <c r="AT2453">
        <v>1</v>
      </c>
      <c r="AU2453" t="s">
        <v>75</v>
      </c>
      <c r="AV2453" t="s">
        <v>60</v>
      </c>
      <c r="AW2453">
        <v>0</v>
      </c>
      <c r="AX2453">
        <v>1</v>
      </c>
      <c r="AY2453">
        <v>0</v>
      </c>
      <c r="AZ2453">
        <v>0</v>
      </c>
      <c r="BA2453">
        <v>100</v>
      </c>
      <c r="BB2453">
        <v>100</v>
      </c>
      <c r="BC2453">
        <v>100</v>
      </c>
      <c r="BD2453">
        <v>100</v>
      </c>
      <c r="BE2453">
        <v>1</v>
      </c>
      <c r="BF2453">
        <v>15000</v>
      </c>
      <c r="BG2453">
        <v>1000</v>
      </c>
      <c r="BH2453" s="6">
        <f>Grandview_Inventory[[#This Row],[land_extract]]*Lookups!$B$3</f>
        <v>50650.651579114572</v>
      </c>
      <c r="BI2453" s="6">
        <f>IF(Grandview_Inventory[[#This Row],[bldg_style]]="",0,Lookups!$B$2)</f>
        <v>155833.95000000001</v>
      </c>
      <c r="BJ2453" s="6">
        <f>_xlfn.IFNA(VLOOKUP(Grandview_Inventory[[#This Row],[quality]],Lookups!$H$2:$J$14,3,FALSE),0)</f>
        <v>-28558</v>
      </c>
      <c r="BK2453" s="6">
        <f>_xlfn.IFNA(VLOOKUP(Grandview_Inventory[[#This Row],[condition]],Lookups!$H$17:$J$24,3,FALSE),0)</f>
        <v>-4503</v>
      </c>
      <c r="BL2453" s="6">
        <f>Grandview_Inventory[[#This Row],[Eff_Age]]*Lookups!$B$14</f>
        <v>-12675.8298</v>
      </c>
      <c r="BM2453" s="6">
        <f>Grandview_Inventory[[#This Row],[living_area]]*Lookups!$B$15</f>
        <v>35931.371328000001</v>
      </c>
      <c r="BN2453" s="6">
        <f>Grandview_Inventory[[#This Row],[Fin BSMT]]*Lookups!$B$16</f>
        <v>0</v>
      </c>
      <c r="BO2453" s="6">
        <f>(Grandview_Inventory[[#This Row],[att_gar]]+Grandview_Inventory[[#This Row],[bltin_gar]])*Lookups!$B$17</f>
        <v>0</v>
      </c>
      <c r="BP2453" s="6">
        <f>Grandview_Inventory[[#This Row],[Plumbing Fixtures]]*Lookups!$B$18</f>
        <v>10052.209000000001</v>
      </c>
      <c r="BQ2453" s="6">
        <f>Grandview_Inventory[[#This Row],[detatched_value]]*Lookups!$B$19</f>
        <v>0</v>
      </c>
      <c r="BR2453" s="6">
        <f>SUM(Grandview_Inventory[[#This Row],[Intercept]:[det_value]])*Grandview_Inventory[[#This Row],[res_pct]]</f>
        <v>156080.70052800002</v>
      </c>
      <c r="BS2453" s="6">
        <f>Grandview_Inventory[[#This Row],[land_value]]</f>
        <v>50650.651579114572</v>
      </c>
      <c r="BT2453" s="4">
        <f>_xlfn.IFNA(VLOOKUP(Grandview_Inventory[[#This Row],[quality]],Lookups!$A$26:$C$33,3,FALSE),1)</f>
        <v>0.96329552998502799</v>
      </c>
      <c r="BU2453" s="4">
        <f>_xlfn.IFNA(VLOOKUP(Grandview_Inventory[[#This Row],[condition]],Lookups!$A$37:$C$44,3,FALSE),1)</f>
        <v>0.96469275950863709</v>
      </c>
      <c r="BV2453" s="4">
        <f>IF(Grandview_Inventory[[#This Row],[bldg_style]]="",1,_xlfn.IFNA(VLOOKUP(Grandview_Inventory[[#This Row],[decade]],Lookups!$F$29:$H$43,3,FALSE),1))</f>
        <v>0.95244691841736806</v>
      </c>
      <c r="BW2453" s="4">
        <f>_xlfn.IFNA(VLOOKUP(Grandview_Inventory[[#This Row],[living_area_range]],Lookups!$F$47:$H$56,3,FALSE),1)</f>
        <v>0.94306777142782894</v>
      </c>
      <c r="BX2453" s="4">
        <f>AVERAGE(Grandview_Inventory[[#This Row],[qual_adj]:[size_adj]])</f>
        <v>0.95587574483471549</v>
      </c>
      <c r="BY2453" s="6">
        <f>IF(Grandview_Inventory[[#This Row],[pre_res]]&lt;0,0,Grandview_Inventory[[#This Row],[pre_res]]*Grandview_Inventory[[#This Row],[overall_adj]])</f>
        <v>149193.7558715262</v>
      </c>
      <c r="BZ2453" s="6">
        <f>(Grandview_Inventory[[#This Row],[sum_land]]-IF(Grandview_Inventory[[#This Row],[no_utilities]]=1,12000,0))/IF(Grandview_Inventory[[#This Row],[unbuildable]]=1,2,1)</f>
        <v>50650.651579114572</v>
      </c>
      <c r="CA2453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453">
        <f>ROUND(Grandview_Inventory[[#This Row],[det_value]]*Lookups!$M$28,-2)</f>
        <v>0</v>
      </c>
      <c r="CC2453">
        <f>IF(ROUND(Grandview_Inventory[[#This Row],[adj_res]]*Lookups!$M$28,-2)&lt;Grandview_Inventory[[#This Row],[min_res]],Grandview_Inventory[[#This Row],[min_res]],ROUND(Grandview_Inventory[[#This Row],[adj_res]]*Lookups!$M$28,-2))</f>
        <v>141700</v>
      </c>
      <c r="CD2453">
        <f>Grandview_Inventory[[#This Row],[final_det]]+Grandview_Inventory[[#This Row],[final_res]]</f>
        <v>141700</v>
      </c>
      <c r="CE2453">
        <f>Grandview_Inventory[[#This Row],[final_land]]+Grandview_Inventory[[#This Row],[final_imp]]+Grandview_Inventory[[#This Row],[crop_value]]</f>
        <v>189800</v>
      </c>
      <c r="CG2453" t="str">
        <f t="shared" si="38"/>
        <v>update valuation set market_land =48100, market_bldg=141700, market_total =189800, market_mdno =401, market_date ='9/10/2023' where link_id = (select link_id from parcel where parcel_year = '2024' and parcel_id = '23092712005');</v>
      </c>
    </row>
    <row r="2454" spans="1:85" x14ac:dyDescent="0.25">
      <c r="A2454">
        <v>23092712006</v>
      </c>
      <c r="B2454">
        <v>0.7</v>
      </c>
      <c r="C2454" t="s">
        <v>129</v>
      </c>
      <c r="D2454" t="s">
        <v>129</v>
      </c>
      <c r="E2454" t="s">
        <v>53</v>
      </c>
      <c r="F2454" t="s">
        <v>53</v>
      </c>
      <c r="G2454">
        <v>4</v>
      </c>
      <c r="H2454" t="s">
        <v>54</v>
      </c>
      <c r="I2454">
        <v>188000</v>
      </c>
      <c r="J2454">
        <v>47000</v>
      </c>
      <c r="K2454">
        <v>0.7</v>
      </c>
      <c r="L2454">
        <f>IF(Grandview_Inventory[[#This Row],[parcel_acres]]-Grandview_Inventory[[#This Row],[non_valued_acres]] =0,0,LN(Grandview_Inventory[[#This Row],[parcel_acres]]-Grandview_Inventory[[#This Row],[non_valued_acres]]))</f>
        <v>-0.35667494393873245</v>
      </c>
      <c r="M2454">
        <v>0</v>
      </c>
      <c r="N2454">
        <v>0</v>
      </c>
      <c r="O2454">
        <v>0</v>
      </c>
      <c r="P2454">
        <v>13398.7528</v>
      </c>
      <c r="Q2454">
        <v>63903</v>
      </c>
      <c r="R2454">
        <f>(Grandview_Inventory[[#This Row],[ln_acres]]*Grandview_Inventory[[#This Row],[coeff]])+Grandview_Inventory[[#This Row],[const]]</f>
        <v>59124.000596211066</v>
      </c>
      <c r="S2454" t="s">
        <v>61</v>
      </c>
      <c r="T2454">
        <v>1</v>
      </c>
      <c r="U2454" t="s">
        <v>65</v>
      </c>
      <c r="V2454" t="s">
        <v>69</v>
      </c>
      <c r="W2454">
        <v>0</v>
      </c>
      <c r="X2454">
        <v>0</v>
      </c>
      <c r="Y2454">
        <v>44</v>
      </c>
      <c r="Z2454">
        <v>49</v>
      </c>
      <c r="AA2454">
        <v>50</v>
      </c>
      <c r="AB2454">
        <v>2000</v>
      </c>
      <c r="AC2454">
        <v>1588</v>
      </c>
      <c r="AD2454">
        <v>1288</v>
      </c>
      <c r="AE2454">
        <v>0</v>
      </c>
      <c r="AF2454">
        <v>0</v>
      </c>
      <c r="AG2454">
        <v>300</v>
      </c>
      <c r="AH2454">
        <v>344</v>
      </c>
      <c r="AI2454">
        <v>0</v>
      </c>
      <c r="AJ2454">
        <v>0</v>
      </c>
      <c r="AK2454">
        <v>0</v>
      </c>
      <c r="AL2454">
        <v>0</v>
      </c>
      <c r="AM2454">
        <v>180</v>
      </c>
      <c r="AN2454">
        <v>32</v>
      </c>
      <c r="AO2454">
        <v>180</v>
      </c>
      <c r="AP2454">
        <v>7</v>
      </c>
      <c r="AQ2454">
        <v>0</v>
      </c>
      <c r="AR2454">
        <v>1</v>
      </c>
      <c r="AS2454" t="s">
        <v>58</v>
      </c>
      <c r="AT2454">
        <v>1</v>
      </c>
      <c r="AU2454" t="s">
        <v>63</v>
      </c>
      <c r="AV2454" t="s">
        <v>60</v>
      </c>
      <c r="AW2454">
        <v>1</v>
      </c>
      <c r="AX2454">
        <v>2</v>
      </c>
      <c r="AY2454">
        <v>0</v>
      </c>
      <c r="AZ2454">
        <v>16700</v>
      </c>
      <c r="BA2454">
        <v>100</v>
      </c>
      <c r="BB2454">
        <v>100</v>
      </c>
      <c r="BC2454">
        <v>100</v>
      </c>
      <c r="BD2454">
        <v>100</v>
      </c>
      <c r="BE2454">
        <v>1</v>
      </c>
      <c r="BF2454">
        <v>15000</v>
      </c>
      <c r="BG2454">
        <v>1000</v>
      </c>
      <c r="BH2454" s="6">
        <f>Grandview_Inventory[[#This Row],[land_extract]]*Lookups!$B$3</f>
        <v>68660.542257578301</v>
      </c>
      <c r="BI2454" s="6">
        <f>IF(Grandview_Inventory[[#This Row],[bldg_style]]="",0,Lookups!$B$2)</f>
        <v>155833.95000000001</v>
      </c>
      <c r="BJ2454" s="6">
        <f>_xlfn.IFNA(VLOOKUP(Grandview_Inventory[[#This Row],[quality]],Lookups!$H$2:$J$14,3,FALSE),0)</f>
        <v>2251</v>
      </c>
      <c r="BK2454" s="6">
        <f>_xlfn.IFNA(VLOOKUP(Grandview_Inventory[[#This Row],[condition]],Lookups!$H$17:$J$24,3,FALSE),0)</f>
        <v>-4503</v>
      </c>
      <c r="BL2454" s="6">
        <f>Grandview_Inventory[[#This Row],[Eff_Age]]*Lookups!$B$14</f>
        <v>-10523.330399999999</v>
      </c>
      <c r="BM2454" s="6">
        <f>Grandview_Inventory[[#This Row],[living_area]]*Lookups!$B$15</f>
        <v>99060.794563999996</v>
      </c>
      <c r="BN2454" s="6">
        <f>Grandview_Inventory[[#This Row],[Fin BSMT]]*Lookups!$B$16</f>
        <v>-8129.7720000000008</v>
      </c>
      <c r="BO2454" s="6">
        <f>(Grandview_Inventory[[#This Row],[att_gar]]+Grandview_Inventory[[#This Row],[bltin_gar]])*Lookups!$B$17</f>
        <v>0</v>
      </c>
      <c r="BP2454" s="6">
        <f>Grandview_Inventory[[#This Row],[Plumbing Fixtures]]*Lookups!$B$18</f>
        <v>14073.0926</v>
      </c>
      <c r="BQ2454" s="6">
        <f>Grandview_Inventory[[#This Row],[detatched_value]]*Lookups!$B$19</f>
        <v>14141.64517</v>
      </c>
      <c r="BR2454" s="6">
        <f>SUM(Grandview_Inventory[[#This Row],[Intercept]:[det_value]])*Grandview_Inventory[[#This Row],[res_pct]]</f>
        <v>262204.37993400003</v>
      </c>
      <c r="BS2454" s="6">
        <f>Grandview_Inventory[[#This Row],[land_value]]</f>
        <v>68660.542257578301</v>
      </c>
      <c r="BT2454" s="4">
        <f>_xlfn.IFNA(VLOOKUP(Grandview_Inventory[[#This Row],[quality]],Lookups!$A$26:$C$33,3,FALSE),1)</f>
        <v>0.98763855981004833</v>
      </c>
      <c r="BU2454" s="4">
        <f>_xlfn.IFNA(VLOOKUP(Grandview_Inventory[[#This Row],[condition]],Lookups!$A$37:$C$44,3,FALSE),1)</f>
        <v>0.96469275950863709</v>
      </c>
      <c r="BV2454" s="4">
        <f>IF(Grandview_Inventory[[#This Row],[bldg_style]]="",1,_xlfn.IFNA(VLOOKUP(Grandview_Inventory[[#This Row],[decade]],Lookups!$F$29:$H$43,3,FALSE),1))</f>
        <v>0.9871940091910919</v>
      </c>
      <c r="BW2454" s="4">
        <f>_xlfn.IFNA(VLOOKUP(Grandview_Inventory[[#This Row],[living_area_range]],Lookups!$F$47:$H$56,3,FALSE),1)</f>
        <v>0.96120133463014379</v>
      </c>
      <c r="BX2454" s="4">
        <f>AVERAGE(Grandview_Inventory[[#This Row],[qual_adj]:[size_adj]])</f>
        <v>0.97518166578498033</v>
      </c>
      <c r="BY2454" s="6">
        <f>IF(Grandview_Inventory[[#This Row],[pre_res]]&lt;0,0,Grandview_Inventory[[#This Row],[pre_res]]*Grandview_Inventory[[#This Row],[overall_adj]])</f>
        <v>255696.90400015601</v>
      </c>
      <c r="BZ2454" s="6">
        <f>(Grandview_Inventory[[#This Row],[sum_land]]-IF(Grandview_Inventory[[#This Row],[no_utilities]]=1,12000,0))/IF(Grandview_Inventory[[#This Row],[unbuildable]]=1,2,1)</f>
        <v>68660.542257578301</v>
      </c>
      <c r="CA2454">
        <f>IF(ROUND(Grandview_Inventory[[#This Row],[adj_land]]*Lookups!$M$28,-2)&lt;Grandview_Inventory[[#This Row],[min_land]],Grandview_Inventory[[#This Row],[min_land]],ROUND(Grandview_Inventory[[#This Row],[adj_land]]*Lookups!$M$28,-2))</f>
        <v>65200</v>
      </c>
      <c r="CB2454">
        <f>ROUND(Grandview_Inventory[[#This Row],[det_value]]*Lookups!$M$28,-2)</f>
        <v>13400</v>
      </c>
      <c r="CC2454">
        <f>IF(ROUND(Grandview_Inventory[[#This Row],[adj_res]]*Lookups!$M$28,-2)&lt;Grandview_Inventory[[#This Row],[min_res]],Grandview_Inventory[[#This Row],[min_res]],ROUND(Grandview_Inventory[[#This Row],[adj_res]]*Lookups!$M$28,-2))</f>
        <v>242900</v>
      </c>
      <c r="CD2454">
        <f>Grandview_Inventory[[#This Row],[final_det]]+Grandview_Inventory[[#This Row],[final_res]]</f>
        <v>256300</v>
      </c>
      <c r="CE2454">
        <f>Grandview_Inventory[[#This Row],[final_land]]+Grandview_Inventory[[#This Row],[final_imp]]+Grandview_Inventory[[#This Row],[crop_value]]</f>
        <v>321500</v>
      </c>
      <c r="CG2454" t="str">
        <f t="shared" si="38"/>
        <v>update valuation set market_land =65200, market_bldg=256300, market_total =321500, market_mdno =401, market_date ='9/10/2023' where link_id = (select link_id from parcel where parcel_year = '2024' and parcel_id = '23092712006');</v>
      </c>
    </row>
    <row r="2455" spans="1:85" x14ac:dyDescent="0.25">
      <c r="A2455">
        <v>23092712404</v>
      </c>
      <c r="B2455">
        <v>2.81</v>
      </c>
      <c r="C2455">
        <v>122388</v>
      </c>
      <c r="D2455" t="s">
        <v>129</v>
      </c>
      <c r="E2455" t="s">
        <v>53</v>
      </c>
      <c r="F2455" t="s">
        <v>53</v>
      </c>
      <c r="G2455">
        <v>4</v>
      </c>
      <c r="H2455" t="s">
        <v>54</v>
      </c>
      <c r="I2455">
        <v>228500</v>
      </c>
      <c r="J2455">
        <v>63900</v>
      </c>
      <c r="K2455">
        <v>2.81</v>
      </c>
      <c r="L2455">
        <f>IF(Grandview_Inventory[[#This Row],[parcel_acres]]-Grandview_Inventory[[#This Row],[non_valued_acres]] =0,0,LN(Grandview_Inventory[[#This Row],[parcel_acres]]-Grandview_Inventory[[#This Row],[non_valued_acres]]))</f>
        <v>1.0331844833456545</v>
      </c>
      <c r="M2455">
        <v>0</v>
      </c>
      <c r="N2455">
        <v>0</v>
      </c>
      <c r="O2455">
        <v>0</v>
      </c>
      <c r="P2455">
        <v>13398.7528</v>
      </c>
      <c r="Q2455">
        <v>63903</v>
      </c>
      <c r="R2455">
        <f>(Grandview_Inventory[[#This Row],[ln_acres]]*Grandview_Inventory[[#This Row],[coeff]])+Grandview_Inventory[[#This Row],[const]]</f>
        <v>77746.383489144137</v>
      </c>
      <c r="S2455" t="s">
        <v>61</v>
      </c>
      <c r="T2455">
        <v>1</v>
      </c>
      <c r="U2455" t="s">
        <v>64</v>
      </c>
      <c r="V2455" t="s">
        <v>69</v>
      </c>
      <c r="W2455">
        <v>0</v>
      </c>
      <c r="X2455">
        <v>0</v>
      </c>
      <c r="Y2455">
        <v>16</v>
      </c>
      <c r="Z2455">
        <v>16</v>
      </c>
      <c r="AA2455">
        <v>20</v>
      </c>
      <c r="AB2455">
        <v>2000</v>
      </c>
      <c r="AC2455">
        <v>1842</v>
      </c>
      <c r="AD2455">
        <v>1842</v>
      </c>
      <c r="AE2455">
        <v>0</v>
      </c>
      <c r="AF2455">
        <v>0</v>
      </c>
      <c r="AG2455">
        <v>0</v>
      </c>
      <c r="AH2455">
        <v>0</v>
      </c>
      <c r="AI2455">
        <v>506</v>
      </c>
      <c r="AJ2455">
        <v>0</v>
      </c>
      <c r="AK2455">
        <v>0</v>
      </c>
      <c r="AL2455">
        <v>0</v>
      </c>
      <c r="AM2455">
        <v>460</v>
      </c>
      <c r="AN2455">
        <v>400</v>
      </c>
      <c r="AO2455">
        <v>0</v>
      </c>
      <c r="AP2455">
        <v>9</v>
      </c>
      <c r="AQ2455">
        <v>0</v>
      </c>
      <c r="AR2455">
        <v>0</v>
      </c>
      <c r="AS2455" t="s">
        <v>58</v>
      </c>
      <c r="AT2455">
        <v>1</v>
      </c>
      <c r="AU2455" t="s">
        <v>59</v>
      </c>
      <c r="AV2455" t="s">
        <v>60</v>
      </c>
      <c r="AW2455">
        <v>1</v>
      </c>
      <c r="AX2455">
        <v>3</v>
      </c>
      <c r="AY2455">
        <v>0</v>
      </c>
      <c r="AZ2455">
        <v>0</v>
      </c>
      <c r="BA2455">
        <v>100</v>
      </c>
      <c r="BB2455">
        <v>100</v>
      </c>
      <c r="BC2455">
        <v>100</v>
      </c>
      <c r="BD2455">
        <v>100</v>
      </c>
      <c r="BE2455">
        <v>1</v>
      </c>
      <c r="BF2455">
        <v>15000</v>
      </c>
      <c r="BG2455">
        <v>1000</v>
      </c>
      <c r="BH2455" s="6">
        <f>Grandview_Inventory[[#This Row],[land_extract]]*Lookups!$B$3</f>
        <v>90286.665230707658</v>
      </c>
      <c r="BI2455" s="6">
        <f>IF(Grandview_Inventory[[#This Row],[bldg_style]]="",0,Lookups!$B$2)</f>
        <v>155833.95000000001</v>
      </c>
      <c r="BJ2455" s="6">
        <f>_xlfn.IFNA(VLOOKUP(Grandview_Inventory[[#This Row],[quality]],Lookups!$H$2:$J$14,3,FALSE),0)</f>
        <v>20768</v>
      </c>
      <c r="BK2455" s="6">
        <f>_xlfn.IFNA(VLOOKUP(Grandview_Inventory[[#This Row],[condition]],Lookups!$H$17:$J$24,3,FALSE),0)</f>
        <v>-4503</v>
      </c>
      <c r="BL2455" s="6">
        <f>Grandview_Inventory[[#This Row],[Eff_Age]]*Lookups!$B$14</f>
        <v>-3826.6655999999998</v>
      </c>
      <c r="BM2455" s="6">
        <f>Grandview_Inventory[[#This Row],[living_area]]*Lookups!$B$15</f>
        <v>114905.53122600001</v>
      </c>
      <c r="BN2455" s="6">
        <f>Grandview_Inventory[[#This Row],[Fin BSMT]]*Lookups!$B$16</f>
        <v>0</v>
      </c>
      <c r="BO2455" s="6">
        <f>(Grandview_Inventory[[#This Row],[att_gar]]+Grandview_Inventory[[#This Row],[bltin_gar]])*Lookups!$B$17</f>
        <v>44285.341121999998</v>
      </c>
      <c r="BP2455" s="6">
        <f>Grandview_Inventory[[#This Row],[Plumbing Fixtures]]*Lookups!$B$18</f>
        <v>18093.976200000001</v>
      </c>
      <c r="BQ2455" s="6">
        <f>Grandview_Inventory[[#This Row],[detatched_value]]*Lookups!$B$19</f>
        <v>0</v>
      </c>
      <c r="BR2455" s="6">
        <f>SUM(Grandview_Inventory[[#This Row],[Intercept]:[det_value]])*Grandview_Inventory[[#This Row],[res_pct]]</f>
        <v>345557.13294799998</v>
      </c>
      <c r="BS2455" s="6">
        <f>Grandview_Inventory[[#This Row],[land_value]]</f>
        <v>90286.665230707658</v>
      </c>
      <c r="BT2455" s="4">
        <f>_xlfn.IFNA(VLOOKUP(Grandview_Inventory[[#This Row],[quality]],Lookups!$A$26:$C$33,3,FALSE),1)</f>
        <v>0.94960540378902636</v>
      </c>
      <c r="BU2455" s="4">
        <f>_xlfn.IFNA(VLOOKUP(Grandview_Inventory[[#This Row],[condition]],Lookups!$A$37:$C$44,3,FALSE),1)</f>
        <v>0.96469275950863709</v>
      </c>
      <c r="BV2455" s="4">
        <f>IF(Grandview_Inventory[[#This Row],[bldg_style]]="",1,_xlfn.IFNA(VLOOKUP(Grandview_Inventory[[#This Row],[decade]],Lookups!$F$29:$H$43,3,FALSE),1))</f>
        <v>0.96737494181490646</v>
      </c>
      <c r="BW2455" s="4">
        <f>_xlfn.IFNA(VLOOKUP(Grandview_Inventory[[#This Row],[living_area_range]],Lookups!$F$47:$H$56,3,FALSE),1)</f>
        <v>0.96120133463014379</v>
      </c>
      <c r="BX2455" s="4">
        <f>AVERAGE(Grandview_Inventory[[#This Row],[qual_adj]:[size_adj]])</f>
        <v>0.96071860993567837</v>
      </c>
      <c r="BY2455" s="6">
        <f>IF(Grandview_Inventory[[#This Row],[pre_res]]&lt;0,0,Grandview_Inventory[[#This Row],[pre_res]]*Grandview_Inventory[[#This Row],[overall_adj]])</f>
        <v>331983.16841916094</v>
      </c>
      <c r="BZ2455" s="6">
        <f>(Grandview_Inventory[[#This Row],[sum_land]]-IF(Grandview_Inventory[[#This Row],[no_utilities]]=1,12000,0))/IF(Grandview_Inventory[[#This Row],[unbuildable]]=1,2,1)</f>
        <v>90286.665230707658</v>
      </c>
      <c r="CA2455">
        <f>IF(ROUND(Grandview_Inventory[[#This Row],[adj_land]]*Lookups!$M$28,-2)&lt;Grandview_Inventory[[#This Row],[min_land]],Grandview_Inventory[[#This Row],[min_land]],ROUND(Grandview_Inventory[[#This Row],[adj_land]]*Lookups!$M$28,-2))</f>
        <v>85800</v>
      </c>
      <c r="CB2455">
        <f>ROUND(Grandview_Inventory[[#This Row],[det_value]]*Lookups!$M$28,-2)</f>
        <v>0</v>
      </c>
      <c r="CC2455">
        <f>IF(ROUND(Grandview_Inventory[[#This Row],[adj_res]]*Lookups!$M$28,-2)&lt;Grandview_Inventory[[#This Row],[min_res]],Grandview_Inventory[[#This Row],[min_res]],ROUND(Grandview_Inventory[[#This Row],[adj_res]]*Lookups!$M$28,-2))</f>
        <v>315400</v>
      </c>
      <c r="CD2455">
        <f>Grandview_Inventory[[#This Row],[final_det]]+Grandview_Inventory[[#This Row],[final_res]]</f>
        <v>315400</v>
      </c>
      <c r="CE2455">
        <f>Grandview_Inventory[[#This Row],[final_land]]+Grandview_Inventory[[#This Row],[final_imp]]+Grandview_Inventory[[#This Row],[crop_value]]</f>
        <v>401200</v>
      </c>
      <c r="CG2455" t="str">
        <f t="shared" si="38"/>
        <v>update valuation set market_land =85800, market_bldg=315400, market_total =401200, market_mdno =401, market_date ='9/10/2023' where link_id = (select link_id from parcel where parcel_year = '2024' and parcel_id = '23092712404');</v>
      </c>
    </row>
    <row r="2456" spans="1:85" x14ac:dyDescent="0.25">
      <c r="A2456">
        <v>23092712405</v>
      </c>
      <c r="B2456">
        <v>0.47</v>
      </c>
      <c r="C2456">
        <v>20621</v>
      </c>
      <c r="D2456" t="s">
        <v>129</v>
      </c>
      <c r="E2456" t="s">
        <v>53</v>
      </c>
      <c r="F2456" t="s">
        <v>53</v>
      </c>
      <c r="G2456">
        <v>4</v>
      </c>
      <c r="H2456" t="s">
        <v>54</v>
      </c>
      <c r="I2456">
        <v>249700</v>
      </c>
      <c r="J2456">
        <v>49600</v>
      </c>
      <c r="K2456">
        <v>0.47</v>
      </c>
      <c r="L2456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2456">
        <v>0</v>
      </c>
      <c r="N2456">
        <v>0</v>
      </c>
      <c r="O2456">
        <v>0</v>
      </c>
      <c r="P2456">
        <v>13398.7528</v>
      </c>
      <c r="Q2456">
        <v>63903</v>
      </c>
      <c r="R2456">
        <f>(Grandview_Inventory[[#This Row],[ln_acres]]*Grandview_Inventory[[#This Row],[coeff]])+Grandview_Inventory[[#This Row],[const]]</f>
        <v>53786.639034841472</v>
      </c>
      <c r="S2456" t="s">
        <v>85</v>
      </c>
      <c r="T2456">
        <v>2</v>
      </c>
      <c r="U2456" t="s">
        <v>62</v>
      </c>
      <c r="V2456" t="s">
        <v>69</v>
      </c>
      <c r="W2456">
        <v>0</v>
      </c>
      <c r="X2456">
        <v>0</v>
      </c>
      <c r="Y2456">
        <v>50</v>
      </c>
      <c r="Z2456">
        <v>113</v>
      </c>
      <c r="AA2456">
        <v>120</v>
      </c>
      <c r="AB2456">
        <v>2500</v>
      </c>
      <c r="AC2456">
        <v>2469</v>
      </c>
      <c r="AD2456">
        <v>1937</v>
      </c>
      <c r="AE2456">
        <v>532</v>
      </c>
      <c r="AF2456">
        <v>0</v>
      </c>
      <c r="AG2456">
        <v>0</v>
      </c>
      <c r="AH2456">
        <v>581</v>
      </c>
      <c r="AI2456">
        <v>0</v>
      </c>
      <c r="AJ2456">
        <v>0</v>
      </c>
      <c r="AK2456">
        <v>0</v>
      </c>
      <c r="AL2456">
        <v>740</v>
      </c>
      <c r="AM2456">
        <v>175</v>
      </c>
      <c r="AN2456">
        <v>192</v>
      </c>
      <c r="AO2456">
        <v>175</v>
      </c>
      <c r="AP2456">
        <v>10</v>
      </c>
      <c r="AQ2456">
        <v>0</v>
      </c>
      <c r="AR2456">
        <v>0</v>
      </c>
      <c r="AS2456" t="s">
        <v>131</v>
      </c>
      <c r="AT2456">
        <v>1</v>
      </c>
      <c r="AU2456" t="s">
        <v>63</v>
      </c>
      <c r="AV2456" t="s">
        <v>60</v>
      </c>
      <c r="AW2456">
        <v>0</v>
      </c>
      <c r="AX2456">
        <v>3</v>
      </c>
      <c r="AY2456">
        <v>0</v>
      </c>
      <c r="AZ2456">
        <v>45200</v>
      </c>
      <c r="BA2456">
        <v>100</v>
      </c>
      <c r="BB2456">
        <v>100</v>
      </c>
      <c r="BC2456">
        <v>100</v>
      </c>
      <c r="BD2456">
        <v>100</v>
      </c>
      <c r="BE2456">
        <v>1</v>
      </c>
      <c r="BF2456">
        <v>15000</v>
      </c>
      <c r="BG2456">
        <v>1000</v>
      </c>
      <c r="BH2456" s="6">
        <f>Grandview_Inventory[[#This Row],[land_extract]]*Lookups!$B$3</f>
        <v>62462.278687236008</v>
      </c>
      <c r="BI2456" s="6">
        <f>IF(Grandview_Inventory[[#This Row],[bldg_style]]="",0,Lookups!$B$2)</f>
        <v>155833.95000000001</v>
      </c>
      <c r="BJ2456" s="6">
        <f>_xlfn.IFNA(VLOOKUP(Grandview_Inventory[[#This Row],[quality]],Lookups!$H$2:$J$14,3,FALSE),0)</f>
        <v>9808</v>
      </c>
      <c r="BK2456" s="6">
        <f>_xlfn.IFNA(VLOOKUP(Grandview_Inventory[[#This Row],[condition]],Lookups!$H$17:$J$24,3,FALSE),0)</f>
        <v>-4503</v>
      </c>
      <c r="BL2456" s="6">
        <f>Grandview_Inventory[[#This Row],[Eff_Age]]*Lookups!$B$14</f>
        <v>-11958.33</v>
      </c>
      <c r="BM2456" s="6">
        <f>Grandview_Inventory[[#This Row],[living_area]]*Lookups!$B$15</f>
        <v>154018.326057</v>
      </c>
      <c r="BN2456" s="6">
        <f>Grandview_Inventory[[#This Row],[Fin BSMT]]*Lookups!$B$16</f>
        <v>0</v>
      </c>
      <c r="BO2456" s="6">
        <f>(Grandview_Inventory[[#This Row],[att_gar]]+Grandview_Inventory[[#This Row],[bltin_gar]])*Lookups!$B$17</f>
        <v>0</v>
      </c>
      <c r="BP2456" s="6">
        <f>Grandview_Inventory[[#This Row],[Plumbing Fixtures]]*Lookups!$B$18</f>
        <v>20104.418000000001</v>
      </c>
      <c r="BQ2456" s="6">
        <f>Grandview_Inventory[[#This Row],[detatched_value]]*Lookups!$B$19</f>
        <v>38275.590519999998</v>
      </c>
      <c r="BR2456" s="6">
        <f>SUM(Grandview_Inventory[[#This Row],[Intercept]:[det_value]])*Grandview_Inventory[[#This Row],[res_pct]]</f>
        <v>361578.954577</v>
      </c>
      <c r="BS2456" s="6">
        <f>Grandview_Inventory[[#This Row],[land_value]]</f>
        <v>62462.278687236008</v>
      </c>
      <c r="BT2456" s="4">
        <f>_xlfn.IFNA(VLOOKUP(Grandview_Inventory[[#This Row],[quality]],Lookups!$A$26:$C$33,3,FALSE),1)</f>
        <v>0.94295468617355149</v>
      </c>
      <c r="BU2456" s="4">
        <f>_xlfn.IFNA(VLOOKUP(Grandview_Inventory[[#This Row],[condition]],Lookups!$A$37:$C$44,3,FALSE),1)</f>
        <v>0.96469275950863709</v>
      </c>
      <c r="BV2456" s="4">
        <f>IF(Grandview_Inventory[[#This Row],[bldg_style]]="",1,_xlfn.IFNA(VLOOKUP(Grandview_Inventory[[#This Row],[decade]],Lookups!$F$29:$H$43,3,FALSE),1))</f>
        <v>0.9251738460551937</v>
      </c>
      <c r="BW2456" s="4">
        <f>_xlfn.IFNA(VLOOKUP(Grandview_Inventory[[#This Row],[living_area_range]],Lookups!$F$47:$H$56,3,FALSE),1)</f>
        <v>0.95799442568048754</v>
      </c>
      <c r="BX2456" s="4">
        <f>AVERAGE(Grandview_Inventory[[#This Row],[qual_adj]:[size_adj]])</f>
        <v>0.94770392935446746</v>
      </c>
      <c r="BY2456" s="6">
        <f>IF(Grandview_Inventory[[#This Row],[pre_res]]&lt;0,0,Grandview_Inventory[[#This Row],[pre_res]]*Grandview_Inventory[[#This Row],[overall_adj]])</f>
        <v>342669.79602450342</v>
      </c>
      <c r="BZ2456" s="6">
        <f>(Grandview_Inventory[[#This Row],[sum_land]]-IF(Grandview_Inventory[[#This Row],[no_utilities]]=1,12000,0))/IF(Grandview_Inventory[[#This Row],[unbuildable]]=1,2,1)</f>
        <v>62462.278687236008</v>
      </c>
      <c r="CA2456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2456">
        <f>ROUND(Grandview_Inventory[[#This Row],[det_value]]*Lookups!$M$28,-2)</f>
        <v>36400</v>
      </c>
      <c r="CC2456">
        <f>IF(ROUND(Grandview_Inventory[[#This Row],[adj_res]]*Lookups!$M$28,-2)&lt;Grandview_Inventory[[#This Row],[min_res]],Grandview_Inventory[[#This Row],[min_res]],ROUND(Grandview_Inventory[[#This Row],[adj_res]]*Lookups!$M$28,-2))</f>
        <v>325500</v>
      </c>
      <c r="CD2456">
        <f>Grandview_Inventory[[#This Row],[final_det]]+Grandview_Inventory[[#This Row],[final_res]]</f>
        <v>361900</v>
      </c>
      <c r="CE2456">
        <f>Grandview_Inventory[[#This Row],[final_land]]+Grandview_Inventory[[#This Row],[final_imp]]+Grandview_Inventory[[#This Row],[crop_value]]</f>
        <v>421200</v>
      </c>
      <c r="CG2456" t="str">
        <f t="shared" si="38"/>
        <v>update valuation set market_land =59300, market_bldg=361900, market_total =421200, market_mdno =401, market_date ='9/10/2023' where link_id = (select link_id from parcel where parcel_year = '2024' and parcel_id = '23092712405');</v>
      </c>
    </row>
    <row r="2457" spans="1:85" x14ac:dyDescent="0.25">
      <c r="A2457">
        <v>23092712406</v>
      </c>
      <c r="B2457">
        <v>5.64</v>
      </c>
      <c r="C2457">
        <v>245544</v>
      </c>
      <c r="D2457" t="s">
        <v>129</v>
      </c>
      <c r="E2457" t="s">
        <v>53</v>
      </c>
      <c r="F2457" t="s">
        <v>53</v>
      </c>
      <c r="G2457">
        <v>4</v>
      </c>
      <c r="H2457" t="s">
        <v>54</v>
      </c>
      <c r="I2457">
        <v>178700</v>
      </c>
      <c r="J2457">
        <v>74200</v>
      </c>
      <c r="K2457">
        <v>5.64</v>
      </c>
      <c r="L2457">
        <f>IF(Grandview_Inventory[[#This Row],[parcel_acres]]-Grandview_Inventory[[#This Row],[non_valued_acres]] =0,0,LN(Grandview_Inventory[[#This Row],[parcel_acres]]-Grandview_Inventory[[#This Row],[non_valued_acres]]))</f>
        <v>1.7298840655099674</v>
      </c>
      <c r="M2457">
        <v>0</v>
      </c>
      <c r="N2457">
        <v>0</v>
      </c>
      <c r="O2457">
        <v>0</v>
      </c>
      <c r="P2457">
        <v>13398.7528</v>
      </c>
      <c r="Q2457">
        <v>63903</v>
      </c>
      <c r="R2457">
        <f>(Grandview_Inventory[[#This Row],[ln_acres]]*Grandview_Inventory[[#This Row],[coeff]])+Grandview_Inventory[[#This Row],[const]]</f>
        <v>87081.288966427062</v>
      </c>
      <c r="S2457" t="s">
        <v>68</v>
      </c>
      <c r="T2457">
        <v>2</v>
      </c>
      <c r="U2457" t="s">
        <v>70</v>
      </c>
      <c r="V2457" t="s">
        <v>69</v>
      </c>
      <c r="W2457">
        <v>0</v>
      </c>
      <c r="X2457">
        <v>0</v>
      </c>
      <c r="Y2457">
        <v>65</v>
      </c>
      <c r="Z2457">
        <v>113</v>
      </c>
      <c r="AA2457">
        <v>120</v>
      </c>
      <c r="AB2457">
        <v>1500</v>
      </c>
      <c r="AC2457">
        <v>1286</v>
      </c>
      <c r="AD2457">
        <v>922</v>
      </c>
      <c r="AE2457">
        <v>364</v>
      </c>
      <c r="AF2457">
        <v>0</v>
      </c>
      <c r="AG2457">
        <v>0</v>
      </c>
      <c r="AH2457">
        <v>702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100</v>
      </c>
      <c r="AO2457">
        <v>110</v>
      </c>
      <c r="AP2457">
        <v>5</v>
      </c>
      <c r="AQ2457">
        <v>1</v>
      </c>
      <c r="AR2457">
        <v>0</v>
      </c>
      <c r="AS2457" t="s">
        <v>58</v>
      </c>
      <c r="AT2457">
        <v>1</v>
      </c>
      <c r="AU2457" t="s">
        <v>59</v>
      </c>
      <c r="AV2457" t="s">
        <v>60</v>
      </c>
      <c r="AW2457">
        <v>1</v>
      </c>
      <c r="AX2457">
        <v>3</v>
      </c>
      <c r="AY2457">
        <v>14700</v>
      </c>
      <c r="AZ2457">
        <v>10800</v>
      </c>
      <c r="BA2457">
        <v>100</v>
      </c>
      <c r="BB2457">
        <v>100</v>
      </c>
      <c r="BC2457">
        <v>100</v>
      </c>
      <c r="BD2457">
        <v>100</v>
      </c>
      <c r="BE2457">
        <v>1</v>
      </c>
      <c r="BF2457">
        <v>15000</v>
      </c>
      <c r="BG2457">
        <v>1000</v>
      </c>
      <c r="BH2457" s="6">
        <f>Grandview_Inventory[[#This Row],[land_extract]]*Lookups!$B$3</f>
        <v>101127.26575723154</v>
      </c>
      <c r="BI2457" s="6">
        <f>IF(Grandview_Inventory[[#This Row],[bldg_style]]="",0,Lookups!$B$2)</f>
        <v>155833.95000000001</v>
      </c>
      <c r="BJ2457" s="6">
        <f>_xlfn.IFNA(VLOOKUP(Grandview_Inventory[[#This Row],[quality]],Lookups!$H$2:$J$14,3,FALSE),0)</f>
        <v>10733</v>
      </c>
      <c r="BK2457" s="6">
        <f>_xlfn.IFNA(VLOOKUP(Grandview_Inventory[[#This Row],[condition]],Lookups!$H$17:$J$24,3,FALSE),0)</f>
        <v>-4503</v>
      </c>
      <c r="BL2457" s="6">
        <f>Grandview_Inventory[[#This Row],[Eff_Age]]*Lookups!$B$14</f>
        <v>-15545.829</v>
      </c>
      <c r="BM2457" s="6">
        <f>Grandview_Inventory[[#This Row],[living_area]]*Lookups!$B$15</f>
        <v>80221.776958000002</v>
      </c>
      <c r="BN2457" s="6">
        <f>Grandview_Inventory[[#This Row],[Fin BSMT]]*Lookups!$B$16</f>
        <v>0</v>
      </c>
      <c r="BO2457" s="6">
        <f>(Grandview_Inventory[[#This Row],[att_gar]]+Grandview_Inventory[[#This Row],[bltin_gar]])*Lookups!$B$17</f>
        <v>0</v>
      </c>
      <c r="BP2457" s="6">
        <f>Grandview_Inventory[[#This Row],[Plumbing Fixtures]]*Lookups!$B$18</f>
        <v>10052.209000000001</v>
      </c>
      <c r="BQ2457" s="6">
        <f>Grandview_Inventory[[#This Row],[detatched_value]]*Lookups!$B$19</f>
        <v>9145.4950800000006</v>
      </c>
      <c r="BR2457" s="6">
        <f>SUM(Grandview_Inventory[[#This Row],[Intercept]:[det_value]])*Grandview_Inventory[[#This Row],[res_pct]]</f>
        <v>245937.60203800001</v>
      </c>
      <c r="BS2457" s="6">
        <f>Grandview_Inventory[[#This Row],[land_value]]</f>
        <v>101127.26575723154</v>
      </c>
      <c r="BT2457" s="4">
        <f>_xlfn.IFNA(VLOOKUP(Grandview_Inventory[[#This Row],[quality]],Lookups!$A$26:$C$33,3,FALSE),1)</f>
        <v>0.98079741117310582</v>
      </c>
      <c r="BU2457" s="4">
        <f>_xlfn.IFNA(VLOOKUP(Grandview_Inventory[[#This Row],[condition]],Lookups!$A$37:$C$44,3,FALSE),1)</f>
        <v>0.96469275950863709</v>
      </c>
      <c r="BV2457" s="4">
        <f>IF(Grandview_Inventory[[#This Row],[bldg_style]]="",1,_xlfn.IFNA(VLOOKUP(Grandview_Inventory[[#This Row],[decade]],Lookups!$F$29:$H$43,3,FALSE),1))</f>
        <v>0.9251738460551937</v>
      </c>
      <c r="BW2457" s="4">
        <f>_xlfn.IFNA(VLOOKUP(Grandview_Inventory[[#This Row],[living_area_range]],Lookups!$F$47:$H$56,3,FALSE),1)</f>
        <v>0.96135087979789358</v>
      </c>
      <c r="BX2457" s="4">
        <f>AVERAGE(Grandview_Inventory[[#This Row],[qual_adj]:[size_adj]])</f>
        <v>0.9580037241337076</v>
      </c>
      <c r="BY2457" s="6">
        <f>IF(Grandview_Inventory[[#This Row],[pre_res]]&lt;0,0,Grandview_Inventory[[#This Row],[pre_res]]*Grandview_Inventory[[#This Row],[overall_adj]])</f>
        <v>235609.13865691773</v>
      </c>
      <c r="BZ2457" s="6">
        <f>(Grandview_Inventory[[#This Row],[sum_land]]-IF(Grandview_Inventory[[#This Row],[no_utilities]]=1,12000,0))/IF(Grandview_Inventory[[#This Row],[unbuildable]]=1,2,1)</f>
        <v>101127.26575723154</v>
      </c>
      <c r="CA2457">
        <f>IF(ROUND(Grandview_Inventory[[#This Row],[adj_land]]*Lookups!$M$28,-2)&lt;Grandview_Inventory[[#This Row],[min_land]],Grandview_Inventory[[#This Row],[min_land]],ROUND(Grandview_Inventory[[#This Row],[adj_land]]*Lookups!$M$28,-2))</f>
        <v>96100</v>
      </c>
      <c r="CB2457">
        <f>ROUND(Grandview_Inventory[[#This Row],[det_value]]*Lookups!$M$28,-2)</f>
        <v>8700</v>
      </c>
      <c r="CC2457">
        <f>IF(ROUND(Grandview_Inventory[[#This Row],[adj_res]]*Lookups!$M$28,-2)&lt;Grandview_Inventory[[#This Row],[min_res]],Grandview_Inventory[[#This Row],[min_res]],ROUND(Grandview_Inventory[[#This Row],[adj_res]]*Lookups!$M$28,-2))</f>
        <v>223800</v>
      </c>
      <c r="CD2457">
        <f>Grandview_Inventory[[#This Row],[final_det]]+Grandview_Inventory[[#This Row],[final_res]]</f>
        <v>232500</v>
      </c>
      <c r="CE2457">
        <f>Grandview_Inventory[[#This Row],[final_land]]+Grandview_Inventory[[#This Row],[final_imp]]+Grandview_Inventory[[#This Row],[crop_value]]</f>
        <v>343300</v>
      </c>
      <c r="CG2457" t="str">
        <f t="shared" si="38"/>
        <v>update valuation set market_land =96100, market_bldg=232500, market_total =343300, market_mdno =401, market_date ='9/10/2023' where link_id = (select link_id from parcel where parcel_year = '2024' and parcel_id = '23092712406');</v>
      </c>
    </row>
    <row r="2458" spans="1:85" x14ac:dyDescent="0.25">
      <c r="A2458">
        <v>23092712407</v>
      </c>
      <c r="B2458">
        <v>5.81</v>
      </c>
      <c r="C2458" t="s">
        <v>129</v>
      </c>
      <c r="D2458" t="s">
        <v>129</v>
      </c>
      <c r="E2458" t="s">
        <v>53</v>
      </c>
      <c r="F2458" t="s">
        <v>53</v>
      </c>
      <c r="G2458">
        <v>4</v>
      </c>
      <c r="H2458" t="s">
        <v>54</v>
      </c>
      <c r="I2458">
        <v>516000</v>
      </c>
      <c r="J2458">
        <v>74600</v>
      </c>
      <c r="K2458">
        <v>5.81</v>
      </c>
      <c r="L2458">
        <f>IF(Grandview_Inventory[[#This Row],[parcel_acres]]-Grandview_Inventory[[#This Row],[non_valued_acres]] =0,0,LN(Grandview_Inventory[[#This Row],[parcel_acres]]-Grandview_Inventory[[#This Row],[non_valued_acres]]))</f>
        <v>1.7595805708638197</v>
      </c>
      <c r="M2458">
        <v>0</v>
      </c>
      <c r="N2458">
        <v>0</v>
      </c>
      <c r="O2458">
        <v>0</v>
      </c>
      <c r="P2458">
        <v>13398.7528</v>
      </c>
      <c r="Q2458">
        <v>63903</v>
      </c>
      <c r="R2458">
        <f>(Grandview_Inventory[[#This Row],[ln_acres]]*Grandview_Inventory[[#This Row],[coeff]])+Grandview_Inventory[[#This Row],[const]]</f>
        <v>87479.185100687202</v>
      </c>
      <c r="S2458" t="s">
        <v>55</v>
      </c>
      <c r="T2458">
        <v>2</v>
      </c>
      <c r="U2458" t="s">
        <v>72</v>
      </c>
      <c r="V2458" t="s">
        <v>67</v>
      </c>
      <c r="W2458">
        <v>78400</v>
      </c>
      <c r="X2458">
        <v>0</v>
      </c>
      <c r="Y2458">
        <v>16</v>
      </c>
      <c r="Z2458">
        <v>16</v>
      </c>
      <c r="AA2458">
        <v>20</v>
      </c>
      <c r="AB2458">
        <v>4000</v>
      </c>
      <c r="AC2458">
        <v>3581</v>
      </c>
      <c r="AD2458">
        <v>2371</v>
      </c>
      <c r="AE2458">
        <v>1210</v>
      </c>
      <c r="AF2458">
        <v>0</v>
      </c>
      <c r="AG2458">
        <v>0</v>
      </c>
      <c r="AH2458">
        <v>0</v>
      </c>
      <c r="AI2458">
        <v>576</v>
      </c>
      <c r="AJ2458">
        <v>0</v>
      </c>
      <c r="AK2458">
        <v>0</v>
      </c>
      <c r="AL2458">
        <v>0</v>
      </c>
      <c r="AM2458">
        <v>332</v>
      </c>
      <c r="AN2458">
        <v>485</v>
      </c>
      <c r="AO2458">
        <v>0</v>
      </c>
      <c r="AP2458">
        <v>16</v>
      </c>
      <c r="AQ2458">
        <v>0</v>
      </c>
      <c r="AR2458">
        <v>0</v>
      </c>
      <c r="AS2458" t="s">
        <v>58</v>
      </c>
      <c r="AT2458">
        <v>1</v>
      </c>
      <c r="AU2458" t="s">
        <v>63</v>
      </c>
      <c r="AV2458" t="s">
        <v>60</v>
      </c>
      <c r="AW2458">
        <v>1</v>
      </c>
      <c r="AX2458">
        <v>4</v>
      </c>
      <c r="AY2458">
        <v>0</v>
      </c>
      <c r="AZ2458">
        <v>0</v>
      </c>
      <c r="BA2458">
        <v>100</v>
      </c>
      <c r="BB2458">
        <v>100</v>
      </c>
      <c r="BC2458">
        <v>100</v>
      </c>
      <c r="BD2458">
        <v>100</v>
      </c>
      <c r="BE2458">
        <v>1</v>
      </c>
      <c r="BF2458">
        <v>15000</v>
      </c>
      <c r="BG2458">
        <v>1000</v>
      </c>
      <c r="BH2458" s="6">
        <f>Grandview_Inventory[[#This Row],[land_extract]]*Lookups!$B$3</f>
        <v>101589.34146362827</v>
      </c>
      <c r="BI2458" s="6">
        <f>IF(Grandview_Inventory[[#This Row],[bldg_style]]="",0,Lookups!$B$2)</f>
        <v>155833.95000000001</v>
      </c>
      <c r="BJ2458" s="6">
        <f>_xlfn.IFNA(VLOOKUP(Grandview_Inventory[[#This Row],[quality]],Lookups!$H$2:$J$14,3,FALSE),0)</f>
        <v>78466</v>
      </c>
      <c r="BK2458" s="6">
        <f>_xlfn.IFNA(VLOOKUP(Grandview_Inventory[[#This Row],[condition]],Lookups!$H$17:$J$24,3,FALSE),0)</f>
        <v>22342</v>
      </c>
      <c r="BL2458" s="6">
        <f>Grandview_Inventory[[#This Row],[Eff_Age]]*Lookups!$B$14</f>
        <v>-3826.6655999999998</v>
      </c>
      <c r="BM2458" s="6">
        <f>Grandview_Inventory[[#This Row],[living_area]]*Lookups!$B$15</f>
        <v>223385.83459300001</v>
      </c>
      <c r="BN2458" s="6">
        <f>Grandview_Inventory[[#This Row],[Fin BSMT]]*Lookups!$B$16</f>
        <v>0</v>
      </c>
      <c r="BO2458" s="6">
        <f>(Grandview_Inventory[[#This Row],[att_gar]]+Grandview_Inventory[[#This Row],[bltin_gar]])*Lookups!$B$17</f>
        <v>50411.771712000002</v>
      </c>
      <c r="BP2458" s="6">
        <f>Grandview_Inventory[[#This Row],[Plumbing Fixtures]]*Lookups!$B$18</f>
        <v>32167.068800000001</v>
      </c>
      <c r="BQ2458" s="6">
        <f>Grandview_Inventory[[#This Row],[detatched_value]]*Lookups!$B$19</f>
        <v>0</v>
      </c>
      <c r="BR2458" s="6">
        <f>SUM(Grandview_Inventory[[#This Row],[Intercept]:[det_value]])*Grandview_Inventory[[#This Row],[res_pct]]</f>
        <v>558779.95950500004</v>
      </c>
      <c r="BS2458" s="6">
        <f>Grandview_Inventory[[#This Row],[land_value]]</f>
        <v>101589.34146362827</v>
      </c>
      <c r="BT2458" s="4">
        <f>_xlfn.IFNA(VLOOKUP(Grandview_Inventory[[#This Row],[quality]],Lookups!$A$26:$C$33,3,FALSE),1)</f>
        <v>1.0000000683533434</v>
      </c>
      <c r="BU2458" s="4">
        <f>_xlfn.IFNA(VLOOKUP(Grandview_Inventory[[#This Row],[condition]],Lookups!$A$37:$C$44,3,FALSE),1)</f>
        <v>0.97383723671140243</v>
      </c>
      <c r="BV2458" s="4">
        <f>IF(Grandview_Inventory[[#This Row],[bldg_style]]="",1,_xlfn.IFNA(VLOOKUP(Grandview_Inventory[[#This Row],[decade]],Lookups!$F$29:$H$43,3,FALSE),1))</f>
        <v>0.96737494181490646</v>
      </c>
      <c r="BW2458" s="4">
        <f>_xlfn.IFNA(VLOOKUP(Grandview_Inventory[[#This Row],[living_area_range]],Lookups!$F$47:$H$56,3,FALSE),1)</f>
        <v>0.90089875105039252</v>
      </c>
      <c r="BX2458" s="4">
        <f>AVERAGE(Grandview_Inventory[[#This Row],[qual_adj]:[size_adj]])</f>
        <v>0.96052774948251129</v>
      </c>
      <c r="BY2458" s="6">
        <f>IF(Grandview_Inventory[[#This Row],[pre_res]]&lt;0,0,Grandview_Inventory[[#This Row],[pre_res]]*Grandview_Inventory[[#This Row],[overall_adj]])</f>
        <v>536723.65695926652</v>
      </c>
      <c r="BZ2458" s="6">
        <f>(Grandview_Inventory[[#This Row],[sum_land]]-IF(Grandview_Inventory[[#This Row],[no_utilities]]=1,12000,0))/IF(Grandview_Inventory[[#This Row],[unbuildable]]=1,2,1)</f>
        <v>101589.34146362827</v>
      </c>
      <c r="CA2458">
        <f>IF(ROUND(Grandview_Inventory[[#This Row],[adj_land]]*Lookups!$M$28,-2)&lt;Grandview_Inventory[[#This Row],[min_land]],Grandview_Inventory[[#This Row],[min_land]],ROUND(Grandview_Inventory[[#This Row],[adj_land]]*Lookups!$M$28,-2))</f>
        <v>96500</v>
      </c>
      <c r="CB2458">
        <f>ROUND(Grandview_Inventory[[#This Row],[det_value]]*Lookups!$M$28,-2)</f>
        <v>0</v>
      </c>
      <c r="CC2458">
        <f>IF(ROUND(Grandview_Inventory[[#This Row],[adj_res]]*Lookups!$M$28,-2)&lt;Grandview_Inventory[[#This Row],[min_res]],Grandview_Inventory[[#This Row],[min_res]],ROUND(Grandview_Inventory[[#This Row],[adj_res]]*Lookups!$M$28,-2))</f>
        <v>509900</v>
      </c>
      <c r="CD2458">
        <f>Grandview_Inventory[[#This Row],[final_det]]+Grandview_Inventory[[#This Row],[final_res]]</f>
        <v>509900</v>
      </c>
      <c r="CE2458">
        <f>Grandview_Inventory[[#This Row],[final_land]]+Grandview_Inventory[[#This Row],[final_imp]]+Grandview_Inventory[[#This Row],[crop_value]]</f>
        <v>606400</v>
      </c>
      <c r="CG2458" t="str">
        <f t="shared" si="38"/>
        <v>update valuation set market_land =96500, market_bldg=509900, market_total =606400, market_mdno =401, market_date ='9/10/2023' where link_id = (select link_id from parcel where parcel_year = '2024' and parcel_id = '23092712407');</v>
      </c>
    </row>
    <row r="2459" spans="1:85" x14ac:dyDescent="0.25">
      <c r="A2459">
        <v>23092712408</v>
      </c>
      <c r="B2459">
        <v>3.51</v>
      </c>
      <c r="C2459">
        <v>152998</v>
      </c>
      <c r="D2459" t="s">
        <v>129</v>
      </c>
      <c r="E2459" t="s">
        <v>53</v>
      </c>
      <c r="F2459" t="s">
        <v>53</v>
      </c>
      <c r="G2459">
        <v>4</v>
      </c>
      <c r="H2459" t="s">
        <v>54</v>
      </c>
      <c r="I2459">
        <v>0</v>
      </c>
      <c r="J2459">
        <v>77000</v>
      </c>
      <c r="K2459">
        <v>3.51</v>
      </c>
      <c r="L2459">
        <f>IF(Grandview_Inventory[[#This Row],[parcel_acres]]-Grandview_Inventory[[#This Row],[non_valued_acres]] =0,0,LN(Grandview_Inventory[[#This Row],[parcel_acres]]-Grandview_Inventory[[#This Row],[non_valued_acres]]))</f>
        <v>1.2556160374777743</v>
      </c>
      <c r="M2459">
        <v>0</v>
      </c>
      <c r="N2459">
        <v>0</v>
      </c>
      <c r="O2459">
        <v>0</v>
      </c>
      <c r="P2459">
        <v>13398.7528</v>
      </c>
      <c r="Q2459">
        <v>63903</v>
      </c>
      <c r="R2459">
        <f>(Grandview_Inventory[[#This Row],[ln_acres]]*Grandview_Inventory[[#This Row],[coeff]])+Grandview_Inventory[[#This Row],[const]]</f>
        <v>80726.688897880231</v>
      </c>
      <c r="S2459" t="s">
        <v>61</v>
      </c>
      <c r="T2459">
        <v>1</v>
      </c>
      <c r="U2459" t="s">
        <v>56</v>
      </c>
      <c r="V2459" t="s">
        <v>57</v>
      </c>
      <c r="W2459">
        <v>30700</v>
      </c>
      <c r="X2459">
        <v>0</v>
      </c>
      <c r="Y2459">
        <v>1</v>
      </c>
      <c r="Z2459">
        <v>1</v>
      </c>
      <c r="AA2459">
        <v>10</v>
      </c>
      <c r="AB2459">
        <v>2500</v>
      </c>
      <c r="AC2459">
        <v>2408</v>
      </c>
      <c r="AD2459">
        <v>2408</v>
      </c>
      <c r="AE2459">
        <v>0</v>
      </c>
      <c r="AF2459">
        <v>0</v>
      </c>
      <c r="AG2459">
        <v>0</v>
      </c>
      <c r="AH2459">
        <v>0</v>
      </c>
      <c r="AI2459">
        <v>990</v>
      </c>
      <c r="AJ2459">
        <v>0</v>
      </c>
      <c r="AK2459">
        <v>0</v>
      </c>
      <c r="AL2459">
        <v>0</v>
      </c>
      <c r="AM2459">
        <v>691</v>
      </c>
      <c r="AN2459">
        <v>80</v>
      </c>
      <c r="AO2459">
        <v>691</v>
      </c>
      <c r="AP2459">
        <v>12</v>
      </c>
      <c r="AQ2459">
        <v>0</v>
      </c>
      <c r="AR2459">
        <v>0</v>
      </c>
      <c r="AS2459" t="s">
        <v>58</v>
      </c>
      <c r="AT2459">
        <v>1</v>
      </c>
      <c r="AU2459" t="s">
        <v>59</v>
      </c>
      <c r="AV2459" t="s">
        <v>60</v>
      </c>
      <c r="AW2459">
        <v>1</v>
      </c>
      <c r="AX2459">
        <v>4</v>
      </c>
      <c r="AY2459">
        <v>0</v>
      </c>
      <c r="AZ2459">
        <v>0</v>
      </c>
      <c r="BA2459">
        <v>100</v>
      </c>
      <c r="BB2459">
        <v>100</v>
      </c>
      <c r="BC2459">
        <v>100</v>
      </c>
      <c r="BD2459">
        <v>100</v>
      </c>
      <c r="BE2459">
        <v>1</v>
      </c>
      <c r="BF2459">
        <v>15000</v>
      </c>
      <c r="BG2459">
        <v>1000</v>
      </c>
      <c r="BH2459" s="6">
        <f>Grandview_Inventory[[#This Row],[land_extract]]*Lookups!$B$3</f>
        <v>93747.685855048287</v>
      </c>
      <c r="BI2459" s="6">
        <f>IF(Grandview_Inventory[[#This Row],[bldg_style]]="",0,Lookups!$B$2)</f>
        <v>155833.95000000001</v>
      </c>
      <c r="BJ2459" s="6">
        <f>_xlfn.IFNA(VLOOKUP(Grandview_Inventory[[#This Row],[quality]],Lookups!$H$2:$J$14,3,FALSE),0)</f>
        <v>56323</v>
      </c>
      <c r="BK2459" s="6">
        <f>_xlfn.IFNA(VLOOKUP(Grandview_Inventory[[#This Row],[condition]],Lookups!$H$17:$J$24,3,FALSE),0)</f>
        <v>25780</v>
      </c>
      <c r="BL2459" s="6">
        <f>Grandview_Inventory[[#This Row],[Eff_Age]]*Lookups!$B$14</f>
        <v>-239.16659999999999</v>
      </c>
      <c r="BM2459" s="6">
        <f>Grandview_Inventory[[#This Row],[living_area]]*Lookups!$B$15</f>
        <v>150213.09402399999</v>
      </c>
      <c r="BN2459" s="6">
        <f>Grandview_Inventory[[#This Row],[Fin BSMT]]*Lookups!$B$16</f>
        <v>0</v>
      </c>
      <c r="BO2459" s="6">
        <f>(Grandview_Inventory[[#This Row],[att_gar]]+Grandview_Inventory[[#This Row],[bltin_gar]])*Lookups!$B$17</f>
        <v>86645.232629999999</v>
      </c>
      <c r="BP2459" s="6">
        <f>Grandview_Inventory[[#This Row],[Plumbing Fixtures]]*Lookups!$B$18</f>
        <v>24125.301599999999</v>
      </c>
      <c r="BQ2459" s="6">
        <f>Grandview_Inventory[[#This Row],[detatched_value]]*Lookups!$B$19</f>
        <v>0</v>
      </c>
      <c r="BR2459" s="6">
        <f>SUM(Grandview_Inventory[[#This Row],[Intercept]:[det_value]])*Grandview_Inventory[[#This Row],[res_pct]]</f>
        <v>498681.411654</v>
      </c>
      <c r="BS2459" s="6">
        <f>Grandview_Inventory[[#This Row],[land_value]]</f>
        <v>93747.685855048287</v>
      </c>
      <c r="BT2459" s="4">
        <f>_xlfn.IFNA(VLOOKUP(Grandview_Inventory[[#This Row],[quality]],Lookups!$A$26:$C$33,3,FALSE),1)</f>
        <v>0.76437650671582003</v>
      </c>
      <c r="BU2459" s="4">
        <f>_xlfn.IFNA(VLOOKUP(Grandview_Inventory[[#This Row],[condition]],Lookups!$A$37:$C$44,3,FALSE),1)</f>
        <v>0.94347925387812148</v>
      </c>
      <c r="BV2459" s="4">
        <f>IF(Grandview_Inventory[[#This Row],[bldg_style]]="",1,_xlfn.IFNA(VLOOKUP(Grandview_Inventory[[#This Row],[decade]],Lookups!$F$29:$H$43,3,FALSE),1))</f>
        <v>0.94601966599150278</v>
      </c>
      <c r="BW2459" s="4">
        <f>_xlfn.IFNA(VLOOKUP(Grandview_Inventory[[#This Row],[living_area_range]],Lookups!$F$47:$H$56,3,FALSE),1)</f>
        <v>0.95799442568048754</v>
      </c>
      <c r="BX2459" s="4">
        <f>AVERAGE(Grandview_Inventory[[#This Row],[qual_adj]:[size_adj]])</f>
        <v>0.90296746306648301</v>
      </c>
      <c r="BY2459" s="6">
        <f>IF(Grandview_Inventory[[#This Row],[pre_res]]&lt;0,0,Grandview_Inventory[[#This Row],[pre_res]]*Grandview_Inventory[[#This Row],[overall_adj]])</f>
        <v>450293.08915962483</v>
      </c>
      <c r="BZ2459" s="6">
        <f>(Grandview_Inventory[[#This Row],[sum_land]]-IF(Grandview_Inventory[[#This Row],[no_utilities]]=1,12000,0))/IF(Grandview_Inventory[[#This Row],[unbuildable]]=1,2,1)</f>
        <v>93747.685855048287</v>
      </c>
      <c r="CA2459">
        <f>IF(ROUND(Grandview_Inventory[[#This Row],[adj_land]]*Lookups!$M$28,-2)&lt;Grandview_Inventory[[#This Row],[min_land]],Grandview_Inventory[[#This Row],[min_land]],ROUND(Grandview_Inventory[[#This Row],[adj_land]]*Lookups!$M$28,-2))</f>
        <v>89100</v>
      </c>
      <c r="CB2459">
        <f>ROUND(Grandview_Inventory[[#This Row],[det_value]]*Lookups!$M$28,-2)</f>
        <v>0</v>
      </c>
      <c r="CC2459">
        <f>IF(ROUND(Grandview_Inventory[[#This Row],[adj_res]]*Lookups!$M$28,-2)&lt;Grandview_Inventory[[#This Row],[min_res]],Grandview_Inventory[[#This Row],[min_res]],ROUND(Grandview_Inventory[[#This Row],[adj_res]]*Lookups!$M$28,-2))</f>
        <v>427800</v>
      </c>
      <c r="CD2459">
        <f>Grandview_Inventory[[#This Row],[final_det]]+Grandview_Inventory[[#This Row],[final_res]]</f>
        <v>427800</v>
      </c>
      <c r="CE2459">
        <f>Grandview_Inventory[[#This Row],[final_land]]+Grandview_Inventory[[#This Row],[final_imp]]+Grandview_Inventory[[#This Row],[crop_value]]</f>
        <v>516900</v>
      </c>
      <c r="CG2459" t="str">
        <f t="shared" si="38"/>
        <v>update valuation set market_land =89100, market_bldg=427800, market_total =516900, market_mdno =401, market_date ='9/10/2023' where link_id = (select link_id from parcel where parcel_year = '2024' and parcel_id = '23092712408');</v>
      </c>
    </row>
    <row r="2460" spans="1:85" x14ac:dyDescent="0.25">
      <c r="A2460">
        <v>23092712409</v>
      </c>
      <c r="B2460">
        <v>0.5</v>
      </c>
      <c r="C2460" t="s">
        <v>129</v>
      </c>
      <c r="D2460" t="s">
        <v>129</v>
      </c>
      <c r="E2460" t="s">
        <v>53</v>
      </c>
      <c r="F2460" t="s">
        <v>53</v>
      </c>
      <c r="G2460">
        <v>4</v>
      </c>
      <c r="H2460" t="s">
        <v>54</v>
      </c>
      <c r="I2460">
        <v>177800</v>
      </c>
      <c r="J2460">
        <v>43700</v>
      </c>
      <c r="K2460">
        <v>0.5</v>
      </c>
      <c r="L2460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2460">
        <v>0</v>
      </c>
      <c r="N2460">
        <v>0</v>
      </c>
      <c r="O2460">
        <v>0</v>
      </c>
      <c r="P2460">
        <v>13398.7528</v>
      </c>
      <c r="Q2460">
        <v>63903</v>
      </c>
      <c r="R2460">
        <f>(Grandview_Inventory[[#This Row],[ln_acres]]*Grandview_Inventory[[#This Row],[coeff]])+Grandview_Inventory[[#This Row],[const]]</f>
        <v>54615.69227366033</v>
      </c>
      <c r="S2460" t="s">
        <v>55</v>
      </c>
      <c r="T2460">
        <v>2</v>
      </c>
      <c r="U2460" t="s">
        <v>70</v>
      </c>
      <c r="V2460" t="s">
        <v>78</v>
      </c>
      <c r="W2460">
        <v>0</v>
      </c>
      <c r="X2460">
        <v>0</v>
      </c>
      <c r="Y2460">
        <v>51</v>
      </c>
      <c r="Z2460">
        <v>83</v>
      </c>
      <c r="AA2460">
        <v>90</v>
      </c>
      <c r="AB2460">
        <v>2500</v>
      </c>
      <c r="AC2460">
        <v>2150</v>
      </c>
      <c r="AD2460">
        <v>1504</v>
      </c>
      <c r="AE2460">
        <v>646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664</v>
      </c>
      <c r="AN2460">
        <v>0</v>
      </c>
      <c r="AO2460">
        <v>544</v>
      </c>
      <c r="AP2460">
        <v>7</v>
      </c>
      <c r="AQ2460">
        <v>0</v>
      </c>
      <c r="AR2460">
        <v>0</v>
      </c>
      <c r="AS2460" t="s">
        <v>58</v>
      </c>
      <c r="AT2460">
        <v>1</v>
      </c>
      <c r="AU2460" t="s">
        <v>75</v>
      </c>
      <c r="AV2460" t="s">
        <v>60</v>
      </c>
      <c r="AW2460">
        <v>0</v>
      </c>
      <c r="AX2460">
        <v>4</v>
      </c>
      <c r="AY2460">
        <v>0</v>
      </c>
      <c r="AZ2460">
        <v>11400</v>
      </c>
      <c r="BA2460">
        <v>100</v>
      </c>
      <c r="BB2460">
        <v>100</v>
      </c>
      <c r="BC2460">
        <v>100</v>
      </c>
      <c r="BD2460">
        <v>100</v>
      </c>
      <c r="BE2460">
        <v>1</v>
      </c>
      <c r="BF2460">
        <v>15000</v>
      </c>
      <c r="BG2460">
        <v>1000</v>
      </c>
      <c r="BH2460" s="6">
        <f>Grandview_Inventory[[#This Row],[land_extract]]*Lookups!$B$3</f>
        <v>63425.055975032599</v>
      </c>
      <c r="BI2460" s="6">
        <f>IF(Grandview_Inventory[[#This Row],[bldg_style]]="",0,Lookups!$B$2)</f>
        <v>155833.95000000001</v>
      </c>
      <c r="BJ2460" s="6">
        <f>_xlfn.IFNA(VLOOKUP(Grandview_Inventory[[#This Row],[quality]],Lookups!$H$2:$J$14,3,FALSE),0)</f>
        <v>10733</v>
      </c>
      <c r="BK2460" s="6">
        <f>_xlfn.IFNA(VLOOKUP(Grandview_Inventory[[#This Row],[condition]],Lookups!$H$17:$J$24,3,FALSE),0)</f>
        <v>-45357</v>
      </c>
      <c r="BL2460" s="6">
        <f>Grandview_Inventory[[#This Row],[Eff_Age]]*Lookups!$B$14</f>
        <v>-12197.496599999999</v>
      </c>
      <c r="BM2460" s="6">
        <f>Grandview_Inventory[[#This Row],[living_area]]*Lookups!$B$15</f>
        <v>134118.83395</v>
      </c>
      <c r="BN2460" s="6">
        <f>Grandview_Inventory[[#This Row],[Fin BSMT]]*Lookups!$B$16</f>
        <v>0</v>
      </c>
      <c r="BO2460" s="6">
        <f>(Grandview_Inventory[[#This Row],[att_gar]]+Grandview_Inventory[[#This Row],[bltin_gar]])*Lookups!$B$17</f>
        <v>0</v>
      </c>
      <c r="BP2460" s="6">
        <f>Grandview_Inventory[[#This Row],[Plumbing Fixtures]]*Lookups!$B$18</f>
        <v>14073.0926</v>
      </c>
      <c r="BQ2460" s="6">
        <f>Grandview_Inventory[[#This Row],[detatched_value]]*Lookups!$B$19</f>
        <v>9653.5781399999996</v>
      </c>
      <c r="BR2460" s="6">
        <f>SUM(Grandview_Inventory[[#This Row],[Intercept]:[det_value]])*Grandview_Inventory[[#This Row],[res_pct]]</f>
        <v>266857.95809000003</v>
      </c>
      <c r="BS2460" s="6">
        <f>Grandview_Inventory[[#This Row],[land_value]]</f>
        <v>63425.055975032599</v>
      </c>
      <c r="BT2460" s="4">
        <f>_xlfn.IFNA(VLOOKUP(Grandview_Inventory[[#This Row],[quality]],Lookups!$A$26:$C$33,3,FALSE),1)</f>
        <v>0.98079741117310582</v>
      </c>
      <c r="BU2460" s="4">
        <f>_xlfn.IFNA(VLOOKUP(Grandview_Inventory[[#This Row],[condition]],Lookups!$A$37:$C$44,3,FALSE),1)</f>
        <v>0.97161819570155394</v>
      </c>
      <c r="BV2460" s="4">
        <f>IF(Grandview_Inventory[[#This Row],[bldg_style]]="",1,_xlfn.IFNA(VLOOKUP(Grandview_Inventory[[#This Row],[decade]],Lookups!$F$29:$H$43,3,FALSE),1))</f>
        <v>0.94161750052457416</v>
      </c>
      <c r="BW2460" s="4">
        <f>_xlfn.IFNA(VLOOKUP(Grandview_Inventory[[#This Row],[living_area_range]],Lookups!$F$47:$H$56,3,FALSE),1)</f>
        <v>0.95799442568048754</v>
      </c>
      <c r="BX2460" s="4">
        <f>AVERAGE(Grandview_Inventory[[#This Row],[qual_adj]:[size_adj]])</f>
        <v>0.96300688326993034</v>
      </c>
      <c r="BY2460" s="6">
        <f>IF(Grandview_Inventory[[#This Row],[pre_res]]&lt;0,0,Grandview_Inventory[[#This Row],[pre_res]]*Grandview_Inventory[[#This Row],[overall_adj]])</f>
        <v>256986.05049602862</v>
      </c>
      <c r="BZ2460" s="6">
        <f>(Grandview_Inventory[[#This Row],[sum_land]]-IF(Grandview_Inventory[[#This Row],[no_utilities]]=1,12000,0))/IF(Grandview_Inventory[[#This Row],[unbuildable]]=1,2,1)</f>
        <v>63425.055975032599</v>
      </c>
      <c r="CA2460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2460">
        <f>ROUND(Grandview_Inventory[[#This Row],[det_value]]*Lookups!$M$28,-2)</f>
        <v>9200</v>
      </c>
      <c r="CC2460">
        <f>IF(ROUND(Grandview_Inventory[[#This Row],[adj_res]]*Lookups!$M$28,-2)&lt;Grandview_Inventory[[#This Row],[min_res]],Grandview_Inventory[[#This Row],[min_res]],ROUND(Grandview_Inventory[[#This Row],[adj_res]]*Lookups!$M$28,-2))</f>
        <v>244100</v>
      </c>
      <c r="CD2460">
        <f>Grandview_Inventory[[#This Row],[final_det]]+Grandview_Inventory[[#This Row],[final_res]]</f>
        <v>253300</v>
      </c>
      <c r="CE2460">
        <f>Grandview_Inventory[[#This Row],[final_land]]+Grandview_Inventory[[#This Row],[final_imp]]+Grandview_Inventory[[#This Row],[crop_value]]</f>
        <v>313600</v>
      </c>
      <c r="CG2460" t="str">
        <f t="shared" si="38"/>
        <v>update valuation set market_land =60300, market_bldg=253300, market_total =313600, market_mdno =401, market_date ='9/10/2023' where link_id = (select link_id from parcel where parcel_year = '2024' and parcel_id = '23092712409');</v>
      </c>
    </row>
    <row r="2461" spans="1:85" x14ac:dyDescent="0.25">
      <c r="A2461">
        <v>23092712412</v>
      </c>
      <c r="B2461">
        <v>1.1499999999999999</v>
      </c>
      <c r="C2461">
        <v>50246</v>
      </c>
      <c r="D2461" t="s">
        <v>129</v>
      </c>
      <c r="E2461" t="s">
        <v>53</v>
      </c>
      <c r="F2461" t="s">
        <v>53</v>
      </c>
      <c r="G2461">
        <v>4</v>
      </c>
      <c r="H2461" t="s">
        <v>54</v>
      </c>
      <c r="I2461">
        <v>345500</v>
      </c>
      <c r="J2461">
        <v>52400</v>
      </c>
      <c r="K2461">
        <v>1.1499999999999999</v>
      </c>
      <c r="L2461">
        <f>IF(Grandview_Inventory[[#This Row],[parcel_acres]]-Grandview_Inventory[[#This Row],[non_valued_acres]] =0,0,LN(Grandview_Inventory[[#This Row],[parcel_acres]]-Grandview_Inventory[[#This Row],[non_valued_acres]]))</f>
        <v>0.13976194237515863</v>
      </c>
      <c r="M2461">
        <v>0</v>
      </c>
      <c r="N2461">
        <v>0</v>
      </c>
      <c r="O2461">
        <v>0</v>
      </c>
      <c r="P2461">
        <v>13398.7528</v>
      </c>
      <c r="Q2461">
        <v>63903</v>
      </c>
      <c r="R2461">
        <f>(Grandview_Inventory[[#This Row],[ln_acres]]*Grandview_Inventory[[#This Row],[coeff]])+Grandview_Inventory[[#This Row],[const]]</f>
        <v>65775.635716732591</v>
      </c>
      <c r="S2461" t="s">
        <v>58</v>
      </c>
      <c r="T2461">
        <v>1</v>
      </c>
      <c r="U2461" t="s">
        <v>56</v>
      </c>
      <c r="V2461" t="s">
        <v>66</v>
      </c>
      <c r="W2461">
        <v>30700</v>
      </c>
      <c r="X2461">
        <v>0</v>
      </c>
      <c r="Y2461">
        <v>11</v>
      </c>
      <c r="Z2461">
        <v>11</v>
      </c>
      <c r="AA2461">
        <v>20</v>
      </c>
      <c r="AB2461">
        <v>3500</v>
      </c>
      <c r="AC2461">
        <v>3076</v>
      </c>
      <c r="AD2461">
        <v>3076</v>
      </c>
      <c r="AE2461">
        <v>0</v>
      </c>
      <c r="AF2461">
        <v>0</v>
      </c>
      <c r="AG2461">
        <v>0</v>
      </c>
      <c r="AH2461">
        <v>0</v>
      </c>
      <c r="AI2461">
        <v>1114</v>
      </c>
      <c r="AJ2461">
        <v>0</v>
      </c>
      <c r="AK2461">
        <v>0</v>
      </c>
      <c r="AL2461">
        <v>0</v>
      </c>
      <c r="AM2461">
        <v>0</v>
      </c>
      <c r="AN2461">
        <v>406</v>
      </c>
      <c r="AO2461">
        <v>0</v>
      </c>
      <c r="AP2461">
        <v>14</v>
      </c>
      <c r="AQ2461">
        <v>0</v>
      </c>
      <c r="AR2461">
        <v>0</v>
      </c>
      <c r="AS2461" t="s">
        <v>58</v>
      </c>
      <c r="AT2461">
        <v>1</v>
      </c>
      <c r="AU2461" t="s">
        <v>59</v>
      </c>
      <c r="AV2461" t="s">
        <v>60</v>
      </c>
      <c r="AW2461">
        <v>1</v>
      </c>
      <c r="AX2461">
        <v>3</v>
      </c>
      <c r="AY2461">
        <v>0</v>
      </c>
      <c r="AZ2461">
        <v>0</v>
      </c>
      <c r="BA2461">
        <v>100</v>
      </c>
      <c r="BB2461">
        <v>100</v>
      </c>
      <c r="BC2461">
        <v>100</v>
      </c>
      <c r="BD2461">
        <v>100</v>
      </c>
      <c r="BE2461">
        <v>1</v>
      </c>
      <c r="BF2461">
        <v>15000</v>
      </c>
      <c r="BG2461">
        <v>1000</v>
      </c>
      <c r="BH2461" s="6">
        <f>Grandview_Inventory[[#This Row],[land_extract]]*Lookups!$B$3</f>
        <v>76385.068163625125</v>
      </c>
      <c r="BI2461" s="6">
        <f>IF(Grandview_Inventory[[#This Row],[bldg_style]]="",0,Lookups!$B$2)</f>
        <v>155833.95000000001</v>
      </c>
      <c r="BJ2461" s="6">
        <f>_xlfn.IFNA(VLOOKUP(Grandview_Inventory[[#This Row],[quality]],Lookups!$H$2:$J$14,3,FALSE),0)</f>
        <v>56323</v>
      </c>
      <c r="BK2461" s="6">
        <f>_xlfn.IFNA(VLOOKUP(Grandview_Inventory[[#This Row],[condition]],Lookups!$H$17:$J$24,3,FALSE),0)</f>
        <v>25818</v>
      </c>
      <c r="BL2461" s="6">
        <f>Grandview_Inventory[[#This Row],[Eff_Age]]*Lookups!$B$14</f>
        <v>-2630.8325999999997</v>
      </c>
      <c r="BM2461" s="6">
        <f>Grandview_Inventory[[#This Row],[living_area]]*Lookups!$B$15</f>
        <v>191883.50382800002</v>
      </c>
      <c r="BN2461" s="6">
        <f>Grandview_Inventory[[#This Row],[Fin BSMT]]*Lookups!$B$16</f>
        <v>0</v>
      </c>
      <c r="BO2461" s="6">
        <f>(Grandview_Inventory[[#This Row],[att_gar]]+Grandview_Inventory[[#This Row],[bltin_gar]])*Lookups!$B$17</f>
        <v>97497.766818000004</v>
      </c>
      <c r="BP2461" s="6">
        <f>Grandview_Inventory[[#This Row],[Plumbing Fixtures]]*Lookups!$B$18</f>
        <v>28146.1852</v>
      </c>
      <c r="BQ2461" s="6">
        <f>Grandview_Inventory[[#This Row],[detatched_value]]*Lookups!$B$19</f>
        <v>0</v>
      </c>
      <c r="BR2461" s="6">
        <f>SUM(Grandview_Inventory[[#This Row],[Intercept]:[det_value]])*Grandview_Inventory[[#This Row],[res_pct]]</f>
        <v>552871.57324599999</v>
      </c>
      <c r="BS2461" s="6">
        <f>Grandview_Inventory[[#This Row],[land_value]]</f>
        <v>76385.068163625125</v>
      </c>
      <c r="BT2461" s="4">
        <f>_xlfn.IFNA(VLOOKUP(Grandview_Inventory[[#This Row],[quality]],Lookups!$A$26:$C$33,3,FALSE),1)</f>
        <v>0.76437650671582003</v>
      </c>
      <c r="BU2461" s="4">
        <f>_xlfn.IFNA(VLOOKUP(Grandview_Inventory[[#This Row],[condition]],Lookups!$A$37:$C$44,3,FALSE),1)</f>
        <v>0.96661476234146892</v>
      </c>
      <c r="BV2461" s="4">
        <f>IF(Grandview_Inventory[[#This Row],[bldg_style]]="",1,_xlfn.IFNA(VLOOKUP(Grandview_Inventory[[#This Row],[decade]],Lookups!$F$29:$H$43,3,FALSE),1))</f>
        <v>0.96737494181490646</v>
      </c>
      <c r="BW2461" s="4">
        <f>_xlfn.IFNA(VLOOKUP(Grandview_Inventory[[#This Row],[living_area_range]],Lookups!$F$47:$H$56,3,FALSE),1)</f>
        <v>1.0170112215140563</v>
      </c>
      <c r="BX2461" s="4">
        <f>AVERAGE(Grandview_Inventory[[#This Row],[qual_adj]:[size_adj]])</f>
        <v>0.92884435809656285</v>
      </c>
      <c r="BY2461" s="6">
        <f>IF(Grandview_Inventory[[#This Row],[pre_res]]&lt;0,0,Grandview_Inventory[[#This Row],[pre_res]]*Grandview_Inventory[[#This Row],[overall_adj]])</f>
        <v>513531.64156151767</v>
      </c>
      <c r="BZ2461" s="6">
        <f>(Grandview_Inventory[[#This Row],[sum_land]]-IF(Grandview_Inventory[[#This Row],[no_utilities]]=1,12000,0))/IF(Grandview_Inventory[[#This Row],[unbuildable]]=1,2,1)</f>
        <v>76385.068163625125</v>
      </c>
      <c r="CA2461">
        <f>IF(ROUND(Grandview_Inventory[[#This Row],[adj_land]]*Lookups!$M$28,-2)&lt;Grandview_Inventory[[#This Row],[min_land]],Grandview_Inventory[[#This Row],[min_land]],ROUND(Grandview_Inventory[[#This Row],[adj_land]]*Lookups!$M$28,-2))</f>
        <v>72600</v>
      </c>
      <c r="CB2461">
        <f>ROUND(Grandview_Inventory[[#This Row],[det_value]]*Lookups!$M$28,-2)</f>
        <v>0</v>
      </c>
      <c r="CC2461">
        <f>IF(ROUND(Grandview_Inventory[[#This Row],[adj_res]]*Lookups!$M$28,-2)&lt;Grandview_Inventory[[#This Row],[min_res]],Grandview_Inventory[[#This Row],[min_res]],ROUND(Grandview_Inventory[[#This Row],[adj_res]]*Lookups!$M$28,-2))</f>
        <v>487900</v>
      </c>
      <c r="CD2461">
        <f>Grandview_Inventory[[#This Row],[final_det]]+Grandview_Inventory[[#This Row],[final_res]]</f>
        <v>487900</v>
      </c>
      <c r="CE2461">
        <f>Grandview_Inventory[[#This Row],[final_land]]+Grandview_Inventory[[#This Row],[final_imp]]+Grandview_Inventory[[#This Row],[crop_value]]</f>
        <v>560500</v>
      </c>
      <c r="CG2461" t="str">
        <f t="shared" si="38"/>
        <v>update valuation set market_land =72600, market_bldg=487900, market_total =560500, market_mdno =401, market_date ='9/10/2023' where link_id = (select link_id from parcel where parcel_year = '2024' and parcel_id = '23092712412');</v>
      </c>
    </row>
    <row r="2462" spans="1:85" x14ac:dyDescent="0.25">
      <c r="A2462">
        <v>23092712413</v>
      </c>
      <c r="B2462">
        <v>1.1200000000000001</v>
      </c>
      <c r="C2462">
        <v>48960</v>
      </c>
      <c r="D2462" t="s">
        <v>129</v>
      </c>
      <c r="E2462" t="s">
        <v>53</v>
      </c>
      <c r="F2462" t="s">
        <v>53</v>
      </c>
      <c r="G2462">
        <v>4</v>
      </c>
      <c r="H2462" t="s">
        <v>54</v>
      </c>
      <c r="I2462">
        <v>337400</v>
      </c>
      <c r="J2462">
        <v>52100</v>
      </c>
      <c r="K2462">
        <v>1.1200000000000001</v>
      </c>
      <c r="L2462">
        <f>IF(Grandview_Inventory[[#This Row],[parcel_acres]]-Grandview_Inventory[[#This Row],[non_valued_acres]] =0,0,LN(Grandview_Inventory[[#This Row],[parcel_acres]]-Grandview_Inventory[[#This Row],[non_valued_acres]]))</f>
        <v>0.11332868530700327</v>
      </c>
      <c r="M2462">
        <v>0</v>
      </c>
      <c r="N2462">
        <v>0</v>
      </c>
      <c r="O2462">
        <v>0</v>
      </c>
      <c r="P2462">
        <v>13398.7528</v>
      </c>
      <c r="Q2462">
        <v>63903</v>
      </c>
      <c r="R2462">
        <f>(Grandview_Inventory[[#This Row],[ln_acres]]*Grandview_Inventory[[#This Row],[coeff]])+Grandview_Inventory[[#This Row],[const]]</f>
        <v>65421.463039577531</v>
      </c>
      <c r="S2462" t="s">
        <v>61</v>
      </c>
      <c r="T2462">
        <v>1</v>
      </c>
      <c r="U2462" t="s">
        <v>64</v>
      </c>
      <c r="V2462" t="s">
        <v>57</v>
      </c>
      <c r="W2462">
        <v>0</v>
      </c>
      <c r="X2462">
        <v>0</v>
      </c>
      <c r="Y2462">
        <v>6</v>
      </c>
      <c r="Z2462">
        <v>6</v>
      </c>
      <c r="AA2462">
        <v>10</v>
      </c>
      <c r="AB2462">
        <v>2000</v>
      </c>
      <c r="AC2462">
        <v>1904</v>
      </c>
      <c r="AD2462">
        <v>1904</v>
      </c>
      <c r="AE2462">
        <v>0</v>
      </c>
      <c r="AF2462">
        <v>0</v>
      </c>
      <c r="AG2462">
        <v>0</v>
      </c>
      <c r="AH2462">
        <v>0</v>
      </c>
      <c r="AI2462">
        <v>650</v>
      </c>
      <c r="AJ2462">
        <v>0</v>
      </c>
      <c r="AK2462">
        <v>0</v>
      </c>
      <c r="AL2462">
        <v>0</v>
      </c>
      <c r="AM2462">
        <v>144</v>
      </c>
      <c r="AN2462">
        <v>63</v>
      </c>
      <c r="AO2462">
        <v>0</v>
      </c>
      <c r="AP2462">
        <v>11</v>
      </c>
      <c r="AQ2462">
        <v>0</v>
      </c>
      <c r="AR2462">
        <v>0</v>
      </c>
      <c r="AS2462" t="s">
        <v>58</v>
      </c>
      <c r="AT2462">
        <v>1</v>
      </c>
      <c r="AU2462" t="s">
        <v>59</v>
      </c>
      <c r="AV2462" t="s">
        <v>60</v>
      </c>
      <c r="AW2462">
        <v>1</v>
      </c>
      <c r="AX2462">
        <v>3</v>
      </c>
      <c r="AY2462">
        <v>0</v>
      </c>
      <c r="AZ2462">
        <v>29300</v>
      </c>
      <c r="BA2462">
        <v>100</v>
      </c>
      <c r="BB2462">
        <v>100</v>
      </c>
      <c r="BC2462">
        <v>100</v>
      </c>
      <c r="BD2462">
        <v>100</v>
      </c>
      <c r="BE2462">
        <v>1</v>
      </c>
      <c r="BF2462">
        <v>15000</v>
      </c>
      <c r="BG2462">
        <v>1000</v>
      </c>
      <c r="BH2462" s="6">
        <f>Grandview_Inventory[[#This Row],[land_extract]]*Lookups!$B$3</f>
        <v>75973.768389911173</v>
      </c>
      <c r="BI2462" s="6">
        <f>IF(Grandview_Inventory[[#This Row],[bldg_style]]="",0,Lookups!$B$2)</f>
        <v>155833.95000000001</v>
      </c>
      <c r="BJ2462" s="6">
        <f>_xlfn.IFNA(VLOOKUP(Grandview_Inventory[[#This Row],[quality]],Lookups!$H$2:$J$14,3,FALSE),0)</f>
        <v>20768</v>
      </c>
      <c r="BK2462" s="6">
        <f>_xlfn.IFNA(VLOOKUP(Grandview_Inventory[[#This Row],[condition]],Lookups!$H$17:$J$24,3,FALSE),0)</f>
        <v>25780</v>
      </c>
      <c r="BL2462" s="6">
        <f>Grandview_Inventory[[#This Row],[Eff_Age]]*Lookups!$B$14</f>
        <v>-1434.9995999999999</v>
      </c>
      <c r="BM2462" s="6">
        <f>Grandview_Inventory[[#This Row],[living_area]]*Lookups!$B$15</f>
        <v>118773.14411200001</v>
      </c>
      <c r="BN2462" s="6">
        <f>Grandview_Inventory[[#This Row],[Fin BSMT]]*Lookups!$B$16</f>
        <v>0</v>
      </c>
      <c r="BO2462" s="6">
        <f>(Grandview_Inventory[[#This Row],[att_gar]]+Grandview_Inventory[[#This Row],[bltin_gar]])*Lookups!$B$17</f>
        <v>56888.284050000002</v>
      </c>
      <c r="BP2462" s="6">
        <f>Grandview_Inventory[[#This Row],[Plumbing Fixtures]]*Lookups!$B$18</f>
        <v>22114.859800000002</v>
      </c>
      <c r="BQ2462" s="6">
        <f>Grandview_Inventory[[#This Row],[detatched_value]]*Lookups!$B$19</f>
        <v>24811.389429999999</v>
      </c>
      <c r="BR2462" s="6">
        <f>SUM(Grandview_Inventory[[#This Row],[Intercept]:[det_value]])*Grandview_Inventory[[#This Row],[res_pct]]</f>
        <v>423534.62779199996</v>
      </c>
      <c r="BS2462" s="6">
        <f>Grandview_Inventory[[#This Row],[land_value]]</f>
        <v>75973.768389911173</v>
      </c>
      <c r="BT2462" s="4">
        <f>_xlfn.IFNA(VLOOKUP(Grandview_Inventory[[#This Row],[quality]],Lookups!$A$26:$C$33,3,FALSE),1)</f>
        <v>0.94960540378902636</v>
      </c>
      <c r="BU2462" s="4">
        <f>_xlfn.IFNA(VLOOKUP(Grandview_Inventory[[#This Row],[condition]],Lookups!$A$37:$C$44,3,FALSE),1)</f>
        <v>0.94347925387812148</v>
      </c>
      <c r="BV2462" s="4">
        <f>IF(Grandview_Inventory[[#This Row],[bldg_style]]="",1,_xlfn.IFNA(VLOOKUP(Grandview_Inventory[[#This Row],[decade]],Lookups!$F$29:$H$43,3,FALSE),1))</f>
        <v>0.94601966599150278</v>
      </c>
      <c r="BW2462" s="4">
        <f>_xlfn.IFNA(VLOOKUP(Grandview_Inventory[[#This Row],[living_area_range]],Lookups!$F$47:$H$56,3,FALSE),1)</f>
        <v>0.96120133463014379</v>
      </c>
      <c r="BX2462" s="4">
        <f>AVERAGE(Grandview_Inventory[[#This Row],[qual_adj]:[size_adj]])</f>
        <v>0.95007641457219871</v>
      </c>
      <c r="BY2462" s="6">
        <f>IF(Grandview_Inventory[[#This Row],[pre_res]]&lt;0,0,Grandview_Inventory[[#This Row],[pre_res]]*Grandview_Inventory[[#This Row],[overall_adj]])</f>
        <v>402390.26061979402</v>
      </c>
      <c r="BZ2462" s="6">
        <f>(Grandview_Inventory[[#This Row],[sum_land]]-IF(Grandview_Inventory[[#This Row],[no_utilities]]=1,12000,0))/IF(Grandview_Inventory[[#This Row],[unbuildable]]=1,2,1)</f>
        <v>75973.768389911173</v>
      </c>
      <c r="CA2462">
        <f>IF(ROUND(Grandview_Inventory[[#This Row],[adj_land]]*Lookups!$M$28,-2)&lt;Grandview_Inventory[[#This Row],[min_land]],Grandview_Inventory[[#This Row],[min_land]],ROUND(Grandview_Inventory[[#This Row],[adj_land]]*Lookups!$M$28,-2))</f>
        <v>72200</v>
      </c>
      <c r="CB2462">
        <f>ROUND(Grandview_Inventory[[#This Row],[det_value]]*Lookups!$M$28,-2)</f>
        <v>23600</v>
      </c>
      <c r="CC2462">
        <f>IF(ROUND(Grandview_Inventory[[#This Row],[adj_res]]*Lookups!$M$28,-2)&lt;Grandview_Inventory[[#This Row],[min_res]],Grandview_Inventory[[#This Row],[min_res]],ROUND(Grandview_Inventory[[#This Row],[adj_res]]*Lookups!$M$28,-2))</f>
        <v>382300</v>
      </c>
      <c r="CD2462">
        <f>Grandview_Inventory[[#This Row],[final_det]]+Grandview_Inventory[[#This Row],[final_res]]</f>
        <v>405900</v>
      </c>
      <c r="CE2462">
        <f>Grandview_Inventory[[#This Row],[final_land]]+Grandview_Inventory[[#This Row],[final_imp]]+Grandview_Inventory[[#This Row],[crop_value]]</f>
        <v>478100</v>
      </c>
      <c r="CG2462" t="str">
        <f t="shared" si="38"/>
        <v>update valuation set market_land =72200, market_bldg=405900, market_total =478100, market_mdno =401, market_date ='9/10/2023' where link_id = (select link_id from parcel where parcel_year = '2024' and parcel_id = '23092712413');</v>
      </c>
    </row>
    <row r="2463" spans="1:85" x14ac:dyDescent="0.25">
      <c r="A2463">
        <v>23092713424</v>
      </c>
      <c r="B2463">
        <v>3.67</v>
      </c>
      <c r="C2463" t="s">
        <v>129</v>
      </c>
      <c r="D2463" t="s">
        <v>129</v>
      </c>
      <c r="E2463" t="s">
        <v>53</v>
      </c>
      <c r="F2463" t="s">
        <v>53</v>
      </c>
      <c r="G2463">
        <v>4</v>
      </c>
      <c r="H2463" t="s">
        <v>54</v>
      </c>
      <c r="I2463">
        <v>350400</v>
      </c>
      <c r="J2463">
        <v>67600</v>
      </c>
      <c r="K2463">
        <v>3.67</v>
      </c>
      <c r="L2463">
        <f>IF(Grandview_Inventory[[#This Row],[parcel_acres]]-Grandview_Inventory[[#This Row],[non_valued_acres]] =0,0,LN(Grandview_Inventory[[#This Row],[parcel_acres]]-Grandview_Inventory[[#This Row],[non_valued_acres]]))</f>
        <v>1.3001916620664788</v>
      </c>
      <c r="M2463">
        <v>0</v>
      </c>
      <c r="N2463">
        <v>0</v>
      </c>
      <c r="O2463">
        <v>0</v>
      </c>
      <c r="P2463">
        <v>13398.7528</v>
      </c>
      <c r="Q2463">
        <v>63903</v>
      </c>
      <c r="R2463">
        <f>(Grandview_Inventory[[#This Row],[ln_acres]]*Grandview_Inventory[[#This Row],[coeff]])+Grandview_Inventory[[#This Row],[const]]</f>
        <v>81323.946672649879</v>
      </c>
      <c r="S2463" t="s">
        <v>61</v>
      </c>
      <c r="T2463">
        <v>1</v>
      </c>
      <c r="U2463" t="s">
        <v>64</v>
      </c>
      <c r="V2463" t="s">
        <v>57</v>
      </c>
      <c r="W2463">
        <v>0</v>
      </c>
      <c r="X2463">
        <v>0</v>
      </c>
      <c r="Y2463">
        <v>2</v>
      </c>
      <c r="Z2463">
        <v>2</v>
      </c>
      <c r="AA2463">
        <v>10</v>
      </c>
      <c r="AB2463">
        <v>3000</v>
      </c>
      <c r="AC2463">
        <v>2616</v>
      </c>
      <c r="AD2463">
        <v>2616</v>
      </c>
      <c r="AE2463">
        <v>0</v>
      </c>
      <c r="AF2463">
        <v>0</v>
      </c>
      <c r="AG2463">
        <v>0</v>
      </c>
      <c r="AH2463">
        <v>0</v>
      </c>
      <c r="AI2463">
        <v>576</v>
      </c>
      <c r="AJ2463">
        <v>0</v>
      </c>
      <c r="AK2463">
        <v>0</v>
      </c>
      <c r="AL2463">
        <v>0</v>
      </c>
      <c r="AM2463">
        <v>0</v>
      </c>
      <c r="AN2463">
        <v>376</v>
      </c>
      <c r="AO2463">
        <v>0</v>
      </c>
      <c r="AP2463">
        <v>12</v>
      </c>
      <c r="AQ2463">
        <v>0</v>
      </c>
      <c r="AR2463">
        <v>0</v>
      </c>
      <c r="AS2463" t="s">
        <v>58</v>
      </c>
      <c r="AT2463">
        <v>1</v>
      </c>
      <c r="AU2463" t="s">
        <v>63</v>
      </c>
      <c r="AV2463" t="s">
        <v>60</v>
      </c>
      <c r="AW2463">
        <v>1</v>
      </c>
      <c r="AX2463">
        <v>5</v>
      </c>
      <c r="AY2463">
        <v>0</v>
      </c>
      <c r="AZ2463">
        <v>0</v>
      </c>
      <c r="BA2463">
        <v>100</v>
      </c>
      <c r="BB2463">
        <v>100</v>
      </c>
      <c r="BC2463">
        <v>100</v>
      </c>
      <c r="BD2463">
        <v>100</v>
      </c>
      <c r="BE2463">
        <v>1</v>
      </c>
      <c r="BF2463">
        <v>15000</v>
      </c>
      <c r="BG2463">
        <v>1000</v>
      </c>
      <c r="BH2463" s="6">
        <f>Grandview_Inventory[[#This Row],[land_extract]]*Lookups!$B$3</f>
        <v>94441.279696292288</v>
      </c>
      <c r="BI2463" s="6">
        <f>IF(Grandview_Inventory[[#This Row],[bldg_style]]="",0,Lookups!$B$2)</f>
        <v>155833.95000000001</v>
      </c>
      <c r="BJ2463" s="6">
        <f>_xlfn.IFNA(VLOOKUP(Grandview_Inventory[[#This Row],[quality]],Lookups!$H$2:$J$14,3,FALSE),0)</f>
        <v>20768</v>
      </c>
      <c r="BK2463" s="6">
        <f>_xlfn.IFNA(VLOOKUP(Grandview_Inventory[[#This Row],[condition]],Lookups!$H$17:$J$24,3,FALSE),0)</f>
        <v>25780</v>
      </c>
      <c r="BL2463" s="6">
        <f>Grandview_Inventory[[#This Row],[Eff_Age]]*Lookups!$B$14</f>
        <v>-478.33319999999998</v>
      </c>
      <c r="BM2463" s="6">
        <f>Grandview_Inventory[[#This Row],[living_area]]*Lookups!$B$15</f>
        <v>163188.31144799999</v>
      </c>
      <c r="BN2463" s="6">
        <f>Grandview_Inventory[[#This Row],[Fin BSMT]]*Lookups!$B$16</f>
        <v>0</v>
      </c>
      <c r="BO2463" s="6">
        <f>(Grandview_Inventory[[#This Row],[att_gar]]+Grandview_Inventory[[#This Row],[bltin_gar]])*Lookups!$B$17</f>
        <v>50411.771712000002</v>
      </c>
      <c r="BP2463" s="6">
        <f>Grandview_Inventory[[#This Row],[Plumbing Fixtures]]*Lookups!$B$18</f>
        <v>24125.301599999999</v>
      </c>
      <c r="BQ2463" s="6">
        <f>Grandview_Inventory[[#This Row],[detatched_value]]*Lookups!$B$19</f>
        <v>0</v>
      </c>
      <c r="BR2463" s="6">
        <f>SUM(Grandview_Inventory[[#This Row],[Intercept]:[det_value]])*Grandview_Inventory[[#This Row],[res_pct]]</f>
        <v>439629.00156</v>
      </c>
      <c r="BS2463" s="6">
        <f>Grandview_Inventory[[#This Row],[land_value]]</f>
        <v>94441.279696292288</v>
      </c>
      <c r="BT2463" s="4">
        <f>_xlfn.IFNA(VLOOKUP(Grandview_Inventory[[#This Row],[quality]],Lookups!$A$26:$C$33,3,FALSE),1)</f>
        <v>0.94960540378902636</v>
      </c>
      <c r="BU2463" s="4">
        <f>_xlfn.IFNA(VLOOKUP(Grandview_Inventory[[#This Row],[condition]],Lookups!$A$37:$C$44,3,FALSE),1)</f>
        <v>0.94347925387812148</v>
      </c>
      <c r="BV2463" s="4">
        <f>IF(Grandview_Inventory[[#This Row],[bldg_style]]="",1,_xlfn.IFNA(VLOOKUP(Grandview_Inventory[[#This Row],[decade]],Lookups!$F$29:$H$43,3,FALSE),1))</f>
        <v>0.94601966599150278</v>
      </c>
      <c r="BW2463" s="4">
        <f>_xlfn.IFNA(VLOOKUP(Grandview_Inventory[[#This Row],[living_area_range]],Lookups!$F$47:$H$56,3,FALSE),1)</f>
        <v>0.94224801443562123</v>
      </c>
      <c r="BX2463" s="4">
        <f>AVERAGE(Grandview_Inventory[[#This Row],[qual_adj]:[size_adj]])</f>
        <v>0.94533808452356805</v>
      </c>
      <c r="BY2463" s="6">
        <f>IF(Grandview_Inventory[[#This Row],[pre_res]]&lt;0,0,Grandview_Inventory[[#This Row],[pre_res]]*Grandview_Inventory[[#This Row],[overall_adj]])</f>
        <v>415598.03823573911</v>
      </c>
      <c r="BZ2463" s="6">
        <f>(Grandview_Inventory[[#This Row],[sum_land]]-IF(Grandview_Inventory[[#This Row],[no_utilities]]=1,12000,0))/IF(Grandview_Inventory[[#This Row],[unbuildable]]=1,2,1)</f>
        <v>94441.279696292288</v>
      </c>
      <c r="CA2463">
        <f>IF(ROUND(Grandview_Inventory[[#This Row],[adj_land]]*Lookups!$M$28,-2)&lt;Grandview_Inventory[[#This Row],[min_land]],Grandview_Inventory[[#This Row],[min_land]],ROUND(Grandview_Inventory[[#This Row],[adj_land]]*Lookups!$M$28,-2))</f>
        <v>89700</v>
      </c>
      <c r="CB2463">
        <f>ROUND(Grandview_Inventory[[#This Row],[det_value]]*Lookups!$M$28,-2)</f>
        <v>0</v>
      </c>
      <c r="CC2463">
        <f>IF(ROUND(Grandview_Inventory[[#This Row],[adj_res]]*Lookups!$M$28,-2)&lt;Grandview_Inventory[[#This Row],[min_res]],Grandview_Inventory[[#This Row],[min_res]],ROUND(Grandview_Inventory[[#This Row],[adj_res]]*Lookups!$M$28,-2))</f>
        <v>394800</v>
      </c>
      <c r="CD2463">
        <f>Grandview_Inventory[[#This Row],[final_det]]+Grandview_Inventory[[#This Row],[final_res]]</f>
        <v>394800</v>
      </c>
      <c r="CE2463">
        <f>Grandview_Inventory[[#This Row],[final_land]]+Grandview_Inventory[[#This Row],[final_imp]]+Grandview_Inventory[[#This Row],[crop_value]]</f>
        <v>484500</v>
      </c>
      <c r="CG2463" t="str">
        <f t="shared" si="38"/>
        <v>update valuation set market_land =89700, market_bldg=394800, market_total =484500, market_mdno =401, market_date ='9/10/2023' where link_id = (select link_id from parcel where parcel_year = '2024' and parcel_id = '23092713424');</v>
      </c>
    </row>
    <row r="2464" spans="1:85" x14ac:dyDescent="0.25">
      <c r="A2464">
        <v>23092713425</v>
      </c>
      <c r="B2464">
        <v>1.59</v>
      </c>
      <c r="C2464">
        <v>69260</v>
      </c>
      <c r="D2464" t="s">
        <v>129</v>
      </c>
      <c r="E2464" t="s">
        <v>53</v>
      </c>
      <c r="F2464" t="s">
        <v>53</v>
      </c>
      <c r="G2464">
        <v>4</v>
      </c>
      <c r="H2464" t="s">
        <v>54</v>
      </c>
      <c r="I2464">
        <v>314500</v>
      </c>
      <c r="J2464">
        <v>56200</v>
      </c>
      <c r="K2464">
        <v>1.59</v>
      </c>
      <c r="L2464">
        <f>IF(Grandview_Inventory[[#This Row],[parcel_acres]]-Grandview_Inventory[[#This Row],[non_valued_acres]] =0,0,LN(Grandview_Inventory[[#This Row],[parcel_acres]]-Grandview_Inventory[[#This Row],[non_valued_acres]]))</f>
        <v>0.46373401623214022</v>
      </c>
      <c r="M2464">
        <v>0</v>
      </c>
      <c r="N2464">
        <v>0</v>
      </c>
      <c r="O2464">
        <v>0</v>
      </c>
      <c r="P2464">
        <v>13398.7528</v>
      </c>
      <c r="Q2464">
        <v>63903</v>
      </c>
      <c r="R2464">
        <f>(Grandview_Inventory[[#This Row],[ln_acres]]*Grandview_Inventory[[#This Row],[coeff]])+Grandview_Inventory[[#This Row],[const]]</f>
        <v>70116.457448445639</v>
      </c>
      <c r="S2464" t="s">
        <v>58</v>
      </c>
      <c r="T2464">
        <v>1</v>
      </c>
      <c r="U2464" t="s">
        <v>56</v>
      </c>
      <c r="V2464" t="s">
        <v>57</v>
      </c>
      <c r="W2464">
        <v>30700</v>
      </c>
      <c r="X2464">
        <v>0</v>
      </c>
      <c r="Y2464">
        <v>3</v>
      </c>
      <c r="Z2464">
        <v>3</v>
      </c>
      <c r="AA2464">
        <v>10</v>
      </c>
      <c r="AB2464">
        <v>3000</v>
      </c>
      <c r="AC2464">
        <v>2532</v>
      </c>
      <c r="AD2464">
        <v>2532</v>
      </c>
      <c r="AE2464">
        <v>0</v>
      </c>
      <c r="AF2464">
        <v>0</v>
      </c>
      <c r="AG2464">
        <v>0</v>
      </c>
      <c r="AH2464">
        <v>0</v>
      </c>
      <c r="AI2464">
        <v>804</v>
      </c>
      <c r="AJ2464">
        <v>0</v>
      </c>
      <c r="AK2464">
        <v>0</v>
      </c>
      <c r="AL2464">
        <v>0</v>
      </c>
      <c r="AM2464">
        <v>0</v>
      </c>
      <c r="AN2464">
        <v>120</v>
      </c>
      <c r="AO2464">
        <v>0</v>
      </c>
      <c r="AP2464">
        <v>10</v>
      </c>
      <c r="AQ2464">
        <v>0</v>
      </c>
      <c r="AR2464">
        <v>0</v>
      </c>
      <c r="AS2464" t="s">
        <v>58</v>
      </c>
      <c r="AT2464">
        <v>1</v>
      </c>
      <c r="AU2464" t="s">
        <v>59</v>
      </c>
      <c r="AV2464" t="s">
        <v>60</v>
      </c>
      <c r="AW2464">
        <v>1</v>
      </c>
      <c r="AX2464">
        <v>3</v>
      </c>
      <c r="AY2464">
        <v>0</v>
      </c>
      <c r="AZ2464">
        <v>0</v>
      </c>
      <c r="BA2464">
        <v>100</v>
      </c>
      <c r="BB2464">
        <v>100</v>
      </c>
      <c r="BC2464">
        <v>100</v>
      </c>
      <c r="BD2464">
        <v>100</v>
      </c>
      <c r="BE2464">
        <v>1</v>
      </c>
      <c r="BF2464">
        <v>15000</v>
      </c>
      <c r="BG2464">
        <v>1000</v>
      </c>
      <c r="BH2464" s="6">
        <f>Grandview_Inventory[[#This Row],[land_extract]]*Lookups!$B$3</f>
        <v>81426.052720444801</v>
      </c>
      <c r="BI2464" s="6">
        <f>IF(Grandview_Inventory[[#This Row],[bldg_style]]="",0,Lookups!$B$2)</f>
        <v>155833.95000000001</v>
      </c>
      <c r="BJ2464" s="6">
        <f>_xlfn.IFNA(VLOOKUP(Grandview_Inventory[[#This Row],[quality]],Lookups!$H$2:$J$14,3,FALSE),0)</f>
        <v>56323</v>
      </c>
      <c r="BK2464" s="6">
        <f>_xlfn.IFNA(VLOOKUP(Grandview_Inventory[[#This Row],[condition]],Lookups!$H$17:$J$24,3,FALSE),0)</f>
        <v>25780</v>
      </c>
      <c r="BL2464" s="6">
        <f>Grandview_Inventory[[#This Row],[Eff_Age]]*Lookups!$B$14</f>
        <v>-717.49979999999994</v>
      </c>
      <c r="BM2464" s="6">
        <f>Grandview_Inventory[[#This Row],[living_area]]*Lookups!$B$15</f>
        <v>157948.319796</v>
      </c>
      <c r="BN2464" s="6">
        <f>Grandview_Inventory[[#This Row],[Fin BSMT]]*Lookups!$B$16</f>
        <v>0</v>
      </c>
      <c r="BO2464" s="6">
        <f>(Grandview_Inventory[[#This Row],[att_gar]]+Grandview_Inventory[[#This Row],[bltin_gar]])*Lookups!$B$17</f>
        <v>70366.431347999998</v>
      </c>
      <c r="BP2464" s="6">
        <f>Grandview_Inventory[[#This Row],[Plumbing Fixtures]]*Lookups!$B$18</f>
        <v>20104.418000000001</v>
      </c>
      <c r="BQ2464" s="6">
        <f>Grandview_Inventory[[#This Row],[detatched_value]]*Lookups!$B$19</f>
        <v>0</v>
      </c>
      <c r="BR2464" s="6">
        <f>SUM(Grandview_Inventory[[#This Row],[Intercept]:[det_value]])*Grandview_Inventory[[#This Row],[res_pct]]</f>
        <v>485638.61934400001</v>
      </c>
      <c r="BS2464" s="6">
        <f>Grandview_Inventory[[#This Row],[land_value]]</f>
        <v>81426.052720444801</v>
      </c>
      <c r="BT2464" s="4">
        <f>_xlfn.IFNA(VLOOKUP(Grandview_Inventory[[#This Row],[quality]],Lookups!$A$26:$C$33,3,FALSE),1)</f>
        <v>0.76437650671582003</v>
      </c>
      <c r="BU2464" s="4">
        <f>_xlfn.IFNA(VLOOKUP(Grandview_Inventory[[#This Row],[condition]],Lookups!$A$37:$C$44,3,FALSE),1)</f>
        <v>0.94347925387812148</v>
      </c>
      <c r="BV2464" s="4">
        <f>IF(Grandview_Inventory[[#This Row],[bldg_style]]="",1,_xlfn.IFNA(VLOOKUP(Grandview_Inventory[[#This Row],[decade]],Lookups!$F$29:$H$43,3,FALSE),1))</f>
        <v>0.94601966599150278</v>
      </c>
      <c r="BW2464" s="4">
        <f>_xlfn.IFNA(VLOOKUP(Grandview_Inventory[[#This Row],[living_area_range]],Lookups!$F$47:$H$56,3,FALSE),1)</f>
        <v>0.94224801443562123</v>
      </c>
      <c r="BX2464" s="4">
        <f>AVERAGE(Grandview_Inventory[[#This Row],[qual_adj]:[size_adj]])</f>
        <v>0.89903086025526646</v>
      </c>
      <c r="BY2464" s="6">
        <f>IF(Grandview_Inventory[[#This Row],[pre_res]]&lt;0,0,Grandview_Inventory[[#This Row],[pre_res]]*Grandview_Inventory[[#This Row],[overall_adj]])</f>
        <v>436604.10572201619</v>
      </c>
      <c r="BZ2464" s="6">
        <f>(Grandview_Inventory[[#This Row],[sum_land]]-IF(Grandview_Inventory[[#This Row],[no_utilities]]=1,12000,0))/IF(Grandview_Inventory[[#This Row],[unbuildable]]=1,2,1)</f>
        <v>81426.052720444801</v>
      </c>
      <c r="CA2464">
        <f>IF(ROUND(Grandview_Inventory[[#This Row],[adj_land]]*Lookups!$M$28,-2)&lt;Grandview_Inventory[[#This Row],[min_land]],Grandview_Inventory[[#This Row],[min_land]],ROUND(Grandview_Inventory[[#This Row],[adj_land]]*Lookups!$M$28,-2))</f>
        <v>77400</v>
      </c>
      <c r="CB2464">
        <f>ROUND(Grandview_Inventory[[#This Row],[det_value]]*Lookups!$M$28,-2)</f>
        <v>0</v>
      </c>
      <c r="CC2464">
        <f>IF(ROUND(Grandview_Inventory[[#This Row],[adj_res]]*Lookups!$M$28,-2)&lt;Grandview_Inventory[[#This Row],[min_res]],Grandview_Inventory[[#This Row],[min_res]],ROUND(Grandview_Inventory[[#This Row],[adj_res]]*Lookups!$M$28,-2))</f>
        <v>414800</v>
      </c>
      <c r="CD2464">
        <f>Grandview_Inventory[[#This Row],[final_det]]+Grandview_Inventory[[#This Row],[final_res]]</f>
        <v>414800</v>
      </c>
      <c r="CE2464">
        <f>Grandview_Inventory[[#This Row],[final_land]]+Grandview_Inventory[[#This Row],[final_imp]]+Grandview_Inventory[[#This Row],[crop_value]]</f>
        <v>492200</v>
      </c>
      <c r="CG2464" t="str">
        <f t="shared" si="38"/>
        <v>update valuation set market_land =77400, market_bldg=414800, market_total =492200, market_mdno =401, market_date ='9/10/2023' where link_id = (select link_id from parcel where parcel_year = '2024' and parcel_id = '23092713425');</v>
      </c>
    </row>
    <row r="2465" spans="1:85" x14ac:dyDescent="0.25">
      <c r="A2465">
        <v>23092714400</v>
      </c>
      <c r="B2465">
        <v>0.23</v>
      </c>
      <c r="C2465">
        <v>10184</v>
      </c>
      <c r="D2465" t="s">
        <v>129</v>
      </c>
      <c r="E2465" t="s">
        <v>53</v>
      </c>
      <c r="F2465" t="s">
        <v>53</v>
      </c>
      <c r="G2465">
        <v>4</v>
      </c>
      <c r="H2465" t="s">
        <v>54</v>
      </c>
      <c r="I2465">
        <v>257100</v>
      </c>
      <c r="J2465">
        <v>42300</v>
      </c>
      <c r="K2465">
        <v>0.23</v>
      </c>
      <c r="L2465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465">
        <v>0</v>
      </c>
      <c r="N2465">
        <v>0</v>
      </c>
      <c r="O2465">
        <v>0</v>
      </c>
      <c r="P2465">
        <v>13398.7528</v>
      </c>
      <c r="Q2465">
        <v>63903</v>
      </c>
      <c r="R2465">
        <f>(Grandview_Inventory[[#This Row],[ln_acres]]*Grandview_Inventory[[#This Row],[coeff]])+Grandview_Inventory[[#This Row],[const]]</f>
        <v>44211.174981080039</v>
      </c>
      <c r="S2465" t="s">
        <v>61</v>
      </c>
      <c r="T2465">
        <v>1</v>
      </c>
      <c r="U2465" t="s">
        <v>64</v>
      </c>
      <c r="V2465" t="s">
        <v>69</v>
      </c>
      <c r="W2465">
        <v>0</v>
      </c>
      <c r="X2465">
        <v>0</v>
      </c>
      <c r="Y2465">
        <v>43</v>
      </c>
      <c r="Z2465">
        <v>44</v>
      </c>
      <c r="AA2465">
        <v>50</v>
      </c>
      <c r="AB2465">
        <v>3000</v>
      </c>
      <c r="AC2465">
        <v>2886</v>
      </c>
      <c r="AD2465">
        <v>1986</v>
      </c>
      <c r="AE2465">
        <v>0</v>
      </c>
      <c r="AF2465">
        <v>0</v>
      </c>
      <c r="AG2465">
        <v>900</v>
      </c>
      <c r="AH2465">
        <v>0</v>
      </c>
      <c r="AI2465">
        <v>0</v>
      </c>
      <c r="AJ2465">
        <v>504</v>
      </c>
      <c r="AK2465">
        <v>0</v>
      </c>
      <c r="AL2465">
        <v>310</v>
      </c>
      <c r="AM2465">
        <v>304</v>
      </c>
      <c r="AN2465">
        <v>0</v>
      </c>
      <c r="AO2465">
        <v>0</v>
      </c>
      <c r="AP2465">
        <v>11</v>
      </c>
      <c r="AQ2465">
        <v>0</v>
      </c>
      <c r="AR2465">
        <v>0</v>
      </c>
      <c r="AS2465" t="s">
        <v>58</v>
      </c>
      <c r="AT2465">
        <v>1</v>
      </c>
      <c r="AU2465" t="s">
        <v>63</v>
      </c>
      <c r="AV2465" t="s">
        <v>60</v>
      </c>
      <c r="AW2465">
        <v>1</v>
      </c>
      <c r="AX2465">
        <v>3</v>
      </c>
      <c r="AY2465">
        <v>0</v>
      </c>
      <c r="AZ2465">
        <v>0</v>
      </c>
      <c r="BA2465">
        <v>100</v>
      </c>
      <c r="BB2465">
        <v>100</v>
      </c>
      <c r="BC2465">
        <v>100</v>
      </c>
      <c r="BD2465">
        <v>100</v>
      </c>
      <c r="BE2465">
        <v>1</v>
      </c>
      <c r="BF2465">
        <v>15000</v>
      </c>
      <c r="BG2465">
        <v>1000</v>
      </c>
      <c r="BH2465" s="6">
        <f>Grandview_Inventory[[#This Row],[land_extract]]*Lookups!$B$3</f>
        <v>51342.318135355803</v>
      </c>
      <c r="BI2465" s="6">
        <f>IF(Grandview_Inventory[[#This Row],[bldg_style]]="",0,Lookups!$B$2)</f>
        <v>155833.95000000001</v>
      </c>
      <c r="BJ2465" s="6">
        <f>_xlfn.IFNA(VLOOKUP(Grandview_Inventory[[#This Row],[quality]],Lookups!$H$2:$J$14,3,FALSE),0)</f>
        <v>20768</v>
      </c>
      <c r="BK2465" s="6">
        <f>_xlfn.IFNA(VLOOKUP(Grandview_Inventory[[#This Row],[condition]],Lookups!$H$17:$J$24,3,FALSE),0)</f>
        <v>-4503</v>
      </c>
      <c r="BL2465" s="6">
        <f>Grandview_Inventory[[#This Row],[Eff_Age]]*Lookups!$B$14</f>
        <v>-10284.1638</v>
      </c>
      <c r="BM2465" s="6">
        <f>Grandview_Inventory[[#This Row],[living_area]]*Lookups!$B$15</f>
        <v>180031.14175800001</v>
      </c>
      <c r="BN2465" s="6">
        <f>Grandview_Inventory[[#This Row],[Fin BSMT]]*Lookups!$B$16</f>
        <v>-24389.316000000003</v>
      </c>
      <c r="BO2465" s="6">
        <f>(Grandview_Inventory[[#This Row],[att_gar]]+Grandview_Inventory[[#This Row],[bltin_gar]])*Lookups!$B$17</f>
        <v>44110.300248</v>
      </c>
      <c r="BP2465" s="6">
        <f>Grandview_Inventory[[#This Row],[Plumbing Fixtures]]*Lookups!$B$18</f>
        <v>22114.859800000002</v>
      </c>
      <c r="BQ2465" s="6">
        <f>Grandview_Inventory[[#This Row],[detatched_value]]*Lookups!$B$19</f>
        <v>0</v>
      </c>
      <c r="BR2465" s="6">
        <f>SUM(Grandview_Inventory[[#This Row],[Intercept]:[det_value]])*Grandview_Inventory[[#This Row],[res_pct]]</f>
        <v>383681.77200599998</v>
      </c>
      <c r="BS2465" s="6">
        <f>Grandview_Inventory[[#This Row],[land_value]]</f>
        <v>51342.318135355803</v>
      </c>
      <c r="BT2465" s="4">
        <f>_xlfn.IFNA(VLOOKUP(Grandview_Inventory[[#This Row],[quality]],Lookups!$A$26:$C$33,3,FALSE),1)</f>
        <v>0.94960540378902636</v>
      </c>
      <c r="BU2465" s="4">
        <f>_xlfn.IFNA(VLOOKUP(Grandview_Inventory[[#This Row],[condition]],Lookups!$A$37:$C$44,3,FALSE),1)</f>
        <v>0.96469275950863709</v>
      </c>
      <c r="BV2465" s="4">
        <f>IF(Grandview_Inventory[[#This Row],[bldg_style]]="",1,_xlfn.IFNA(VLOOKUP(Grandview_Inventory[[#This Row],[decade]],Lookups!$F$29:$H$43,3,FALSE),1))</f>
        <v>0.9871940091910919</v>
      </c>
      <c r="BW2465" s="4">
        <f>_xlfn.IFNA(VLOOKUP(Grandview_Inventory[[#This Row],[living_area_range]],Lookups!$F$47:$H$56,3,FALSE),1)</f>
        <v>0.94224801443562123</v>
      </c>
      <c r="BX2465" s="4">
        <f>AVERAGE(Grandview_Inventory[[#This Row],[qual_adj]:[size_adj]])</f>
        <v>0.9609350467310942</v>
      </c>
      <c r="BY2465" s="6">
        <f>IF(Grandview_Inventory[[#This Row],[pre_res]]&lt;0,0,Grandview_Inventory[[#This Row],[pre_res]]*Grandview_Inventory[[#This Row],[overall_adj]])</f>
        <v>368693.2615124546</v>
      </c>
      <c r="BZ2465" s="6">
        <f>(Grandview_Inventory[[#This Row],[sum_land]]-IF(Grandview_Inventory[[#This Row],[no_utilities]]=1,12000,0))/IF(Grandview_Inventory[[#This Row],[unbuildable]]=1,2,1)</f>
        <v>51342.318135355803</v>
      </c>
      <c r="CA2465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465">
        <f>ROUND(Grandview_Inventory[[#This Row],[det_value]]*Lookups!$M$28,-2)</f>
        <v>0</v>
      </c>
      <c r="CC2465">
        <f>IF(ROUND(Grandview_Inventory[[#This Row],[adj_res]]*Lookups!$M$28,-2)&lt;Grandview_Inventory[[#This Row],[min_res]],Grandview_Inventory[[#This Row],[min_res]],ROUND(Grandview_Inventory[[#This Row],[adj_res]]*Lookups!$M$28,-2))</f>
        <v>350300</v>
      </c>
      <c r="CD2465">
        <f>Grandview_Inventory[[#This Row],[final_det]]+Grandview_Inventory[[#This Row],[final_res]]</f>
        <v>350300</v>
      </c>
      <c r="CE2465">
        <f>Grandview_Inventory[[#This Row],[final_land]]+Grandview_Inventory[[#This Row],[final_imp]]+Grandview_Inventory[[#This Row],[crop_value]]</f>
        <v>399100</v>
      </c>
      <c r="CG2465" t="str">
        <f t="shared" si="38"/>
        <v>update valuation set market_land =48800, market_bldg=350300, market_total =399100, market_mdno =401, market_date ='9/10/2023' where link_id = (select link_id from parcel where parcel_year = '2024' and parcel_id = '23092714400');</v>
      </c>
    </row>
    <row r="2466" spans="1:85" x14ac:dyDescent="0.25">
      <c r="A2466">
        <v>23092714401</v>
      </c>
      <c r="B2466">
        <v>0.23</v>
      </c>
      <c r="C2466">
        <v>9922</v>
      </c>
      <c r="D2466" t="s">
        <v>129</v>
      </c>
      <c r="E2466" t="s">
        <v>53</v>
      </c>
      <c r="F2466" t="s">
        <v>53</v>
      </c>
      <c r="G2466">
        <v>4</v>
      </c>
      <c r="H2466" t="s">
        <v>54</v>
      </c>
      <c r="I2466">
        <v>230700</v>
      </c>
      <c r="J2466">
        <v>41900</v>
      </c>
      <c r="K2466">
        <v>0.23</v>
      </c>
      <c r="L246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466">
        <v>0</v>
      </c>
      <c r="N2466">
        <v>0</v>
      </c>
      <c r="O2466">
        <v>0</v>
      </c>
      <c r="P2466">
        <v>13398.7528</v>
      </c>
      <c r="Q2466">
        <v>63903</v>
      </c>
      <c r="R2466">
        <f>(Grandview_Inventory[[#This Row],[ln_acres]]*Grandview_Inventory[[#This Row],[coeff]])+Grandview_Inventory[[#This Row],[const]]</f>
        <v>44211.174981080039</v>
      </c>
      <c r="S2466" t="s">
        <v>61</v>
      </c>
      <c r="T2466">
        <v>1</v>
      </c>
      <c r="U2466" t="s">
        <v>62</v>
      </c>
      <c r="V2466" t="s">
        <v>69</v>
      </c>
      <c r="W2466">
        <v>0</v>
      </c>
      <c r="X2466">
        <v>0</v>
      </c>
      <c r="Y2466">
        <v>48</v>
      </c>
      <c r="Z2466">
        <v>60</v>
      </c>
      <c r="AA2466">
        <v>60</v>
      </c>
      <c r="AB2466">
        <v>2000</v>
      </c>
      <c r="AC2466">
        <v>1732</v>
      </c>
      <c r="AD2466">
        <v>1732</v>
      </c>
      <c r="AE2466">
        <v>0</v>
      </c>
      <c r="AF2466">
        <v>0</v>
      </c>
      <c r="AG2466">
        <v>0</v>
      </c>
      <c r="AH2466">
        <v>0</v>
      </c>
      <c r="AI2466">
        <v>552</v>
      </c>
      <c r="AJ2466">
        <v>0</v>
      </c>
      <c r="AK2466">
        <v>0</v>
      </c>
      <c r="AL2466">
        <v>0</v>
      </c>
      <c r="AM2466">
        <v>112</v>
      </c>
      <c r="AN2466">
        <v>0</v>
      </c>
      <c r="AO2466">
        <v>112</v>
      </c>
      <c r="AP2466">
        <v>10</v>
      </c>
      <c r="AQ2466">
        <v>0</v>
      </c>
      <c r="AR2466">
        <v>0</v>
      </c>
      <c r="AS2466" t="s">
        <v>58</v>
      </c>
      <c r="AT2466">
        <v>1</v>
      </c>
      <c r="AU2466" t="s">
        <v>63</v>
      </c>
      <c r="AV2466" t="s">
        <v>60</v>
      </c>
      <c r="AW2466">
        <v>1</v>
      </c>
      <c r="AX2466">
        <v>3</v>
      </c>
      <c r="AY2466">
        <v>0</v>
      </c>
      <c r="AZ2466">
        <v>15800</v>
      </c>
      <c r="BA2466">
        <v>100</v>
      </c>
      <c r="BB2466">
        <v>100</v>
      </c>
      <c r="BC2466">
        <v>100</v>
      </c>
      <c r="BD2466">
        <v>100</v>
      </c>
      <c r="BE2466">
        <v>1</v>
      </c>
      <c r="BF2466">
        <v>15000</v>
      </c>
      <c r="BG2466">
        <v>1000</v>
      </c>
      <c r="BH2466" s="6">
        <f>Grandview_Inventory[[#This Row],[land_extract]]*Lookups!$B$3</f>
        <v>51342.318135355803</v>
      </c>
      <c r="BI2466" s="6">
        <f>IF(Grandview_Inventory[[#This Row],[bldg_style]]="",0,Lookups!$B$2)</f>
        <v>155833.95000000001</v>
      </c>
      <c r="BJ2466" s="6">
        <f>_xlfn.IFNA(VLOOKUP(Grandview_Inventory[[#This Row],[quality]],Lookups!$H$2:$J$14,3,FALSE),0)</f>
        <v>9808</v>
      </c>
      <c r="BK2466" s="6">
        <f>_xlfn.IFNA(VLOOKUP(Grandview_Inventory[[#This Row],[condition]],Lookups!$H$17:$J$24,3,FALSE),0)</f>
        <v>-4503</v>
      </c>
      <c r="BL2466" s="6">
        <f>Grandview_Inventory[[#This Row],[Eff_Age]]*Lookups!$B$14</f>
        <v>-11479.996799999999</v>
      </c>
      <c r="BM2466" s="6">
        <f>Grandview_Inventory[[#This Row],[living_area]]*Lookups!$B$15</f>
        <v>108043.63739600001</v>
      </c>
      <c r="BN2466" s="6">
        <f>Grandview_Inventory[[#This Row],[Fin BSMT]]*Lookups!$B$16</f>
        <v>0</v>
      </c>
      <c r="BO2466" s="6">
        <f>(Grandview_Inventory[[#This Row],[att_gar]]+Grandview_Inventory[[#This Row],[bltin_gar]])*Lookups!$B$17</f>
        <v>48311.281223999998</v>
      </c>
      <c r="BP2466" s="6">
        <f>Grandview_Inventory[[#This Row],[Plumbing Fixtures]]*Lookups!$B$18</f>
        <v>20104.418000000001</v>
      </c>
      <c r="BQ2466" s="6">
        <f>Grandview_Inventory[[#This Row],[detatched_value]]*Lookups!$B$19</f>
        <v>13379.52058</v>
      </c>
      <c r="BR2466" s="6">
        <f>SUM(Grandview_Inventory[[#This Row],[Intercept]:[det_value]])*Grandview_Inventory[[#This Row],[res_pct]]</f>
        <v>339497.81040000002</v>
      </c>
      <c r="BS2466" s="6">
        <f>Grandview_Inventory[[#This Row],[land_value]]</f>
        <v>51342.318135355803</v>
      </c>
      <c r="BT2466" s="4">
        <f>_xlfn.IFNA(VLOOKUP(Grandview_Inventory[[#This Row],[quality]],Lookups!$A$26:$C$33,3,FALSE),1)</f>
        <v>0.94295468617355149</v>
      </c>
      <c r="BU2466" s="4">
        <f>_xlfn.IFNA(VLOOKUP(Grandview_Inventory[[#This Row],[condition]],Lookups!$A$37:$C$44,3,FALSE),1)</f>
        <v>0.96469275950863709</v>
      </c>
      <c r="BV2466" s="4">
        <f>IF(Grandview_Inventory[[#This Row],[bldg_style]]="",1,_xlfn.IFNA(VLOOKUP(Grandview_Inventory[[#This Row],[decade]],Lookups!$F$29:$H$43,3,FALSE),1))</f>
        <v>0.95268620544463312</v>
      </c>
      <c r="BW2466" s="4">
        <f>_xlfn.IFNA(VLOOKUP(Grandview_Inventory[[#This Row],[living_area_range]],Lookups!$F$47:$H$56,3,FALSE),1)</f>
        <v>0.96120133463014379</v>
      </c>
      <c r="BX2466" s="4">
        <f>AVERAGE(Grandview_Inventory[[#This Row],[qual_adj]:[size_adj]])</f>
        <v>0.9553837464392414</v>
      </c>
      <c r="BY2466" s="6">
        <f>IF(Grandview_Inventory[[#This Row],[pre_res]]&lt;0,0,Grandview_Inventory[[#This Row],[pre_res]]*Grandview_Inventory[[#This Row],[overall_adj]])</f>
        <v>324350.69000787125</v>
      </c>
      <c r="BZ2466" s="6">
        <f>(Grandview_Inventory[[#This Row],[sum_land]]-IF(Grandview_Inventory[[#This Row],[no_utilities]]=1,12000,0))/IF(Grandview_Inventory[[#This Row],[unbuildable]]=1,2,1)</f>
        <v>51342.318135355803</v>
      </c>
      <c r="CA2466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466">
        <f>ROUND(Grandview_Inventory[[#This Row],[det_value]]*Lookups!$M$28,-2)</f>
        <v>12700</v>
      </c>
      <c r="CC2466">
        <f>IF(ROUND(Grandview_Inventory[[#This Row],[adj_res]]*Lookups!$M$28,-2)&lt;Grandview_Inventory[[#This Row],[min_res]],Grandview_Inventory[[#This Row],[min_res]],ROUND(Grandview_Inventory[[#This Row],[adj_res]]*Lookups!$M$28,-2))</f>
        <v>308100</v>
      </c>
      <c r="CD2466">
        <f>Grandview_Inventory[[#This Row],[final_det]]+Grandview_Inventory[[#This Row],[final_res]]</f>
        <v>320800</v>
      </c>
      <c r="CE2466">
        <f>Grandview_Inventory[[#This Row],[final_land]]+Grandview_Inventory[[#This Row],[final_imp]]+Grandview_Inventory[[#This Row],[crop_value]]</f>
        <v>369600</v>
      </c>
      <c r="CG2466" t="str">
        <f t="shared" si="38"/>
        <v>update valuation set market_land =48800, market_bldg=320800, market_total =369600, market_mdno =401, market_date ='9/10/2023' where link_id = (select link_id from parcel where parcel_year = '2024' and parcel_id = '23092714401');</v>
      </c>
    </row>
    <row r="2467" spans="1:85" x14ac:dyDescent="0.25">
      <c r="A2467">
        <v>23092714402</v>
      </c>
      <c r="B2467">
        <v>0.24</v>
      </c>
      <c r="C2467">
        <v>10301</v>
      </c>
      <c r="D2467" t="s">
        <v>129</v>
      </c>
      <c r="E2467" t="s">
        <v>53</v>
      </c>
      <c r="F2467" t="s">
        <v>53</v>
      </c>
      <c r="G2467">
        <v>4</v>
      </c>
      <c r="H2467" t="s">
        <v>54</v>
      </c>
      <c r="I2467">
        <v>262300</v>
      </c>
      <c r="J2467">
        <v>21100</v>
      </c>
      <c r="K2467">
        <v>0.24</v>
      </c>
      <c r="L2467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467">
        <v>0</v>
      </c>
      <c r="N2467">
        <v>0</v>
      </c>
      <c r="O2467">
        <v>0</v>
      </c>
      <c r="P2467">
        <v>13398.7528</v>
      </c>
      <c r="Q2467">
        <v>63903</v>
      </c>
      <c r="R2467">
        <f>(Grandview_Inventory[[#This Row],[ln_acres]]*Grandview_Inventory[[#This Row],[coeff]])+Grandview_Inventory[[#This Row],[const]]</f>
        <v>44781.420733940802</v>
      </c>
      <c r="S2467" t="s">
        <v>61</v>
      </c>
      <c r="T2467">
        <v>1</v>
      </c>
      <c r="U2467" t="s">
        <v>62</v>
      </c>
      <c r="V2467" t="s">
        <v>57</v>
      </c>
      <c r="W2467">
        <v>0</v>
      </c>
      <c r="X2467">
        <v>0</v>
      </c>
      <c r="Y2467">
        <v>3</v>
      </c>
      <c r="Z2467">
        <v>3</v>
      </c>
      <c r="AA2467">
        <v>10</v>
      </c>
      <c r="AB2467">
        <v>1500</v>
      </c>
      <c r="AC2467">
        <v>1480</v>
      </c>
      <c r="AD2467">
        <v>1480</v>
      </c>
      <c r="AE2467">
        <v>0</v>
      </c>
      <c r="AF2467">
        <v>0</v>
      </c>
      <c r="AG2467">
        <v>0</v>
      </c>
      <c r="AH2467">
        <v>0</v>
      </c>
      <c r="AI2467">
        <v>576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9</v>
      </c>
      <c r="AQ2467">
        <v>0</v>
      </c>
      <c r="AR2467">
        <v>0</v>
      </c>
      <c r="AS2467" t="s">
        <v>58</v>
      </c>
      <c r="AT2467">
        <v>1</v>
      </c>
      <c r="AU2467" t="s">
        <v>59</v>
      </c>
      <c r="AV2467" t="s">
        <v>60</v>
      </c>
      <c r="AW2467">
        <v>1</v>
      </c>
      <c r="AX2467">
        <v>3</v>
      </c>
      <c r="AY2467">
        <v>0</v>
      </c>
      <c r="AZ2467">
        <v>0</v>
      </c>
      <c r="BA2467">
        <v>100</v>
      </c>
      <c r="BB2467">
        <v>100</v>
      </c>
      <c r="BC2467">
        <v>100</v>
      </c>
      <c r="BD2467">
        <v>100</v>
      </c>
      <c r="BE2467">
        <v>1</v>
      </c>
      <c r="BF2467">
        <v>15000</v>
      </c>
      <c r="BG2467">
        <v>1000</v>
      </c>
      <c r="BH2467" s="6">
        <f>Grandview_Inventory[[#This Row],[land_extract]]*Lookups!$B$3</f>
        <v>52004.542988489469</v>
      </c>
      <c r="BI2467" s="6">
        <f>IF(Grandview_Inventory[[#This Row],[bldg_style]]="",0,Lookups!$B$2)</f>
        <v>155833.95000000001</v>
      </c>
      <c r="BJ2467" s="6">
        <f>_xlfn.IFNA(VLOOKUP(Grandview_Inventory[[#This Row],[quality]],Lookups!$H$2:$J$14,3,FALSE),0)</f>
        <v>9808</v>
      </c>
      <c r="BK2467" s="6">
        <f>_xlfn.IFNA(VLOOKUP(Grandview_Inventory[[#This Row],[condition]],Lookups!$H$17:$J$24,3,FALSE),0)</f>
        <v>25780</v>
      </c>
      <c r="BL2467" s="6">
        <f>Grandview_Inventory[[#This Row],[Eff_Age]]*Lookups!$B$14</f>
        <v>-717.49979999999994</v>
      </c>
      <c r="BM2467" s="6">
        <f>Grandview_Inventory[[#This Row],[living_area]]*Lookups!$B$15</f>
        <v>92323.66244</v>
      </c>
      <c r="BN2467" s="6">
        <f>Grandview_Inventory[[#This Row],[Fin BSMT]]*Lookups!$B$16</f>
        <v>0</v>
      </c>
      <c r="BO2467" s="6">
        <f>(Grandview_Inventory[[#This Row],[att_gar]]+Grandview_Inventory[[#This Row],[bltin_gar]])*Lookups!$B$17</f>
        <v>50411.771712000002</v>
      </c>
      <c r="BP2467" s="6">
        <f>Grandview_Inventory[[#This Row],[Plumbing Fixtures]]*Lookups!$B$18</f>
        <v>18093.976200000001</v>
      </c>
      <c r="BQ2467" s="6">
        <f>Grandview_Inventory[[#This Row],[detatched_value]]*Lookups!$B$19</f>
        <v>0</v>
      </c>
      <c r="BR2467" s="6">
        <f>SUM(Grandview_Inventory[[#This Row],[Intercept]:[det_value]])*Grandview_Inventory[[#This Row],[res_pct]]</f>
        <v>351533.860552</v>
      </c>
      <c r="BS2467" s="6">
        <f>Grandview_Inventory[[#This Row],[land_value]]</f>
        <v>52004.542988489469</v>
      </c>
      <c r="BT2467" s="4">
        <f>_xlfn.IFNA(VLOOKUP(Grandview_Inventory[[#This Row],[quality]],Lookups!$A$26:$C$33,3,FALSE),1)</f>
        <v>0.94295468617355149</v>
      </c>
      <c r="BU2467" s="4">
        <f>_xlfn.IFNA(VLOOKUP(Grandview_Inventory[[#This Row],[condition]],Lookups!$A$37:$C$44,3,FALSE),1)</f>
        <v>0.94347925387812148</v>
      </c>
      <c r="BV2467" s="4">
        <f>IF(Grandview_Inventory[[#This Row],[bldg_style]]="",1,_xlfn.IFNA(VLOOKUP(Grandview_Inventory[[#This Row],[decade]],Lookups!$F$29:$H$43,3,FALSE),1))</f>
        <v>0.94601966599150278</v>
      </c>
      <c r="BW2467" s="4">
        <f>_xlfn.IFNA(VLOOKUP(Grandview_Inventory[[#This Row],[living_area_range]],Lookups!$F$47:$H$56,3,FALSE),1)</f>
        <v>0.96135087979789358</v>
      </c>
      <c r="BX2467" s="4">
        <f>AVERAGE(Grandview_Inventory[[#This Row],[qual_adj]:[size_adj]])</f>
        <v>0.94845112146026733</v>
      </c>
      <c r="BY2467" s="6">
        <f>IF(Grandview_Inventory[[#This Row],[pre_res]]&lt;0,0,Grandview_Inventory[[#This Row],[pre_res]]*Grandview_Inventory[[#This Row],[overall_adj]])</f>
        <v>333412.68427180161</v>
      </c>
      <c r="BZ2467" s="6">
        <f>(Grandview_Inventory[[#This Row],[sum_land]]-IF(Grandview_Inventory[[#This Row],[no_utilities]]=1,12000,0))/IF(Grandview_Inventory[[#This Row],[unbuildable]]=1,2,1)</f>
        <v>52004.542988489469</v>
      </c>
      <c r="CA2467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467">
        <f>ROUND(Grandview_Inventory[[#This Row],[det_value]]*Lookups!$M$28,-2)</f>
        <v>0</v>
      </c>
      <c r="CC2467">
        <f>IF(ROUND(Grandview_Inventory[[#This Row],[adj_res]]*Lookups!$M$28,-2)&lt;Grandview_Inventory[[#This Row],[min_res]],Grandview_Inventory[[#This Row],[min_res]],ROUND(Grandview_Inventory[[#This Row],[adj_res]]*Lookups!$M$28,-2))</f>
        <v>316700</v>
      </c>
      <c r="CD2467">
        <f>Grandview_Inventory[[#This Row],[final_det]]+Grandview_Inventory[[#This Row],[final_res]]</f>
        <v>316700</v>
      </c>
      <c r="CE2467">
        <f>Grandview_Inventory[[#This Row],[final_land]]+Grandview_Inventory[[#This Row],[final_imp]]+Grandview_Inventory[[#This Row],[crop_value]]</f>
        <v>366100</v>
      </c>
      <c r="CG2467" t="str">
        <f t="shared" si="38"/>
        <v>update valuation set market_land =49400, market_bldg=316700, market_total =366100, market_mdno =401, market_date ='9/10/2023' where link_id = (select link_id from parcel where parcel_year = '2024' and parcel_id = '23092714402');</v>
      </c>
    </row>
    <row r="2468" spans="1:85" x14ac:dyDescent="0.25">
      <c r="A2468">
        <v>23092714403</v>
      </c>
      <c r="B2468">
        <v>0.45</v>
      </c>
      <c r="C2468">
        <v>19527</v>
      </c>
      <c r="D2468" t="s">
        <v>129</v>
      </c>
      <c r="E2468" t="s">
        <v>53</v>
      </c>
      <c r="F2468" t="s">
        <v>53</v>
      </c>
      <c r="G2468">
        <v>4</v>
      </c>
      <c r="H2468" t="s">
        <v>54</v>
      </c>
      <c r="I2468">
        <v>157500</v>
      </c>
      <c r="J2468">
        <v>48900</v>
      </c>
      <c r="K2468">
        <v>0.45</v>
      </c>
      <c r="L2468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2468">
        <v>0</v>
      </c>
      <c r="N2468">
        <v>0</v>
      </c>
      <c r="O2468">
        <v>0</v>
      </c>
      <c r="P2468">
        <v>13398.7528</v>
      </c>
      <c r="Q2468">
        <v>63903</v>
      </c>
      <c r="R2468">
        <f>(Grandview_Inventory[[#This Row],[ln_acres]]*Grandview_Inventory[[#This Row],[coeff]])+Grandview_Inventory[[#This Row],[const]]</f>
        <v>53203.992769480581</v>
      </c>
      <c r="S2468" t="s">
        <v>55</v>
      </c>
      <c r="T2468">
        <v>2</v>
      </c>
      <c r="U2468" t="s">
        <v>65</v>
      </c>
      <c r="V2468" t="s">
        <v>69</v>
      </c>
      <c r="W2468">
        <v>0</v>
      </c>
      <c r="X2468">
        <v>0</v>
      </c>
      <c r="Y2468">
        <v>53</v>
      </c>
      <c r="Z2468">
        <v>93</v>
      </c>
      <c r="AA2468">
        <v>100</v>
      </c>
      <c r="AB2468">
        <v>1500</v>
      </c>
      <c r="AC2468">
        <v>1314</v>
      </c>
      <c r="AD2468">
        <v>908</v>
      </c>
      <c r="AE2468">
        <v>406</v>
      </c>
      <c r="AF2468">
        <v>0</v>
      </c>
      <c r="AG2468">
        <v>0</v>
      </c>
      <c r="AH2468">
        <v>896</v>
      </c>
      <c r="AI2468">
        <v>0</v>
      </c>
      <c r="AJ2468">
        <v>0</v>
      </c>
      <c r="AK2468">
        <v>0</v>
      </c>
      <c r="AL2468">
        <v>94</v>
      </c>
      <c r="AM2468">
        <v>0</v>
      </c>
      <c r="AN2468">
        <v>0</v>
      </c>
      <c r="AO2468">
        <v>54</v>
      </c>
      <c r="AP2468">
        <v>5</v>
      </c>
      <c r="AQ2468">
        <v>0</v>
      </c>
      <c r="AR2468">
        <v>0</v>
      </c>
      <c r="AS2468" t="s">
        <v>58</v>
      </c>
      <c r="AT2468">
        <v>1</v>
      </c>
      <c r="AU2468" t="s">
        <v>63</v>
      </c>
      <c r="AV2468" t="s">
        <v>60</v>
      </c>
      <c r="AW2468">
        <v>1</v>
      </c>
      <c r="AX2468">
        <v>3</v>
      </c>
      <c r="AY2468">
        <v>0</v>
      </c>
      <c r="AZ2468">
        <v>0</v>
      </c>
      <c r="BA2468">
        <v>100</v>
      </c>
      <c r="BB2468">
        <v>100</v>
      </c>
      <c r="BC2468">
        <v>100</v>
      </c>
      <c r="BD2468">
        <v>100</v>
      </c>
      <c r="BE2468">
        <v>1</v>
      </c>
      <c r="BF2468">
        <v>15000</v>
      </c>
      <c r="BG2468">
        <v>1000</v>
      </c>
      <c r="BH2468" s="6">
        <f>Grandview_Inventory[[#This Row],[land_extract]]*Lookups!$B$3</f>
        <v>61785.653152417319</v>
      </c>
      <c r="BI2468" s="6">
        <f>IF(Grandview_Inventory[[#This Row],[bldg_style]]="",0,Lookups!$B$2)</f>
        <v>155833.95000000001</v>
      </c>
      <c r="BJ2468" s="6">
        <f>_xlfn.IFNA(VLOOKUP(Grandview_Inventory[[#This Row],[quality]],Lookups!$H$2:$J$14,3,FALSE),0)</f>
        <v>2251</v>
      </c>
      <c r="BK2468" s="6">
        <f>_xlfn.IFNA(VLOOKUP(Grandview_Inventory[[#This Row],[condition]],Lookups!$H$17:$J$24,3,FALSE),0)</f>
        <v>-4503</v>
      </c>
      <c r="BL2468" s="6">
        <f>Grandview_Inventory[[#This Row],[Eff_Age]]*Lookups!$B$14</f>
        <v>-12675.8298</v>
      </c>
      <c r="BM2468" s="6">
        <f>Grandview_Inventory[[#This Row],[living_area]]*Lookups!$B$15</f>
        <v>81968.440841999996</v>
      </c>
      <c r="BN2468" s="6">
        <f>Grandview_Inventory[[#This Row],[Fin BSMT]]*Lookups!$B$16</f>
        <v>0</v>
      </c>
      <c r="BO2468" s="6">
        <f>(Grandview_Inventory[[#This Row],[att_gar]]+Grandview_Inventory[[#This Row],[bltin_gar]])*Lookups!$B$17</f>
        <v>0</v>
      </c>
      <c r="BP2468" s="6">
        <f>Grandview_Inventory[[#This Row],[Plumbing Fixtures]]*Lookups!$B$18</f>
        <v>10052.209000000001</v>
      </c>
      <c r="BQ2468" s="6">
        <f>Grandview_Inventory[[#This Row],[detatched_value]]*Lookups!$B$19</f>
        <v>0</v>
      </c>
      <c r="BR2468" s="6">
        <f>SUM(Grandview_Inventory[[#This Row],[Intercept]:[det_value]])*Grandview_Inventory[[#This Row],[res_pct]]</f>
        <v>232926.77004200002</v>
      </c>
      <c r="BS2468" s="6">
        <f>Grandview_Inventory[[#This Row],[land_value]]</f>
        <v>61785.653152417319</v>
      </c>
      <c r="BT2468" s="4">
        <f>_xlfn.IFNA(VLOOKUP(Grandview_Inventory[[#This Row],[quality]],Lookups!$A$26:$C$33,3,FALSE),1)</f>
        <v>0.98763855981004833</v>
      </c>
      <c r="BU2468" s="4">
        <f>_xlfn.IFNA(VLOOKUP(Grandview_Inventory[[#This Row],[condition]],Lookups!$A$37:$C$44,3,FALSE),1)</f>
        <v>0.96469275950863709</v>
      </c>
      <c r="BV2468" s="4">
        <f>IF(Grandview_Inventory[[#This Row],[bldg_style]]="",1,_xlfn.IFNA(VLOOKUP(Grandview_Inventory[[#This Row],[decade]],Lookups!$F$29:$H$43,3,FALSE),1))</f>
        <v>0.95244691841736806</v>
      </c>
      <c r="BW2468" s="4">
        <f>_xlfn.IFNA(VLOOKUP(Grandview_Inventory[[#This Row],[living_area_range]],Lookups!$F$47:$H$56,3,FALSE),1)</f>
        <v>0.96135087979789358</v>
      </c>
      <c r="BX2468" s="4">
        <f>AVERAGE(Grandview_Inventory[[#This Row],[qual_adj]:[size_adj]])</f>
        <v>0.96653227938348674</v>
      </c>
      <c r="BY2468" s="6">
        <f>IF(Grandview_Inventory[[#This Row],[pre_res]]&lt;0,0,Grandview_Inventory[[#This Row],[pre_res]]*Grandview_Inventory[[#This Row],[overall_adj]])</f>
        <v>225131.24197812754</v>
      </c>
      <c r="BZ2468" s="6">
        <f>(Grandview_Inventory[[#This Row],[sum_land]]-IF(Grandview_Inventory[[#This Row],[no_utilities]]=1,12000,0))/IF(Grandview_Inventory[[#This Row],[unbuildable]]=1,2,1)</f>
        <v>61785.653152417319</v>
      </c>
      <c r="CA2468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2468">
        <f>ROUND(Grandview_Inventory[[#This Row],[det_value]]*Lookups!$M$28,-2)</f>
        <v>0</v>
      </c>
      <c r="CC2468">
        <f>IF(ROUND(Grandview_Inventory[[#This Row],[adj_res]]*Lookups!$M$28,-2)&lt;Grandview_Inventory[[#This Row],[min_res]],Grandview_Inventory[[#This Row],[min_res]],ROUND(Grandview_Inventory[[#This Row],[adj_res]]*Lookups!$M$28,-2))</f>
        <v>213900</v>
      </c>
      <c r="CD2468">
        <f>Grandview_Inventory[[#This Row],[final_det]]+Grandview_Inventory[[#This Row],[final_res]]</f>
        <v>213900</v>
      </c>
      <c r="CE2468">
        <f>Grandview_Inventory[[#This Row],[final_land]]+Grandview_Inventory[[#This Row],[final_imp]]+Grandview_Inventory[[#This Row],[crop_value]]</f>
        <v>272600</v>
      </c>
      <c r="CG2468" t="str">
        <f t="shared" si="38"/>
        <v>update valuation set market_land =58700, market_bldg=213900, market_total =272600, market_mdno =401, market_date ='9/10/2023' where link_id = (select link_id from parcel where parcel_year = '2024' and parcel_id = '23092714403');</v>
      </c>
    </row>
    <row r="2469" spans="1:85" x14ac:dyDescent="0.25">
      <c r="A2469">
        <v>23092714404</v>
      </c>
      <c r="B2469">
        <v>0.31</v>
      </c>
      <c r="C2469">
        <v>13653</v>
      </c>
      <c r="D2469" t="s">
        <v>129</v>
      </c>
      <c r="E2469" t="s">
        <v>53</v>
      </c>
      <c r="F2469" t="s">
        <v>53</v>
      </c>
      <c r="G2469">
        <v>4</v>
      </c>
      <c r="H2469" t="s">
        <v>54</v>
      </c>
      <c r="I2469">
        <v>167900</v>
      </c>
      <c r="J2469">
        <v>45100</v>
      </c>
      <c r="K2469">
        <v>0.31</v>
      </c>
      <c r="L2469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2469">
        <v>0</v>
      </c>
      <c r="N2469">
        <v>0</v>
      </c>
      <c r="O2469">
        <v>0</v>
      </c>
      <c r="P2469">
        <v>13398.7528</v>
      </c>
      <c r="Q2469">
        <v>63903</v>
      </c>
      <c r="R2469">
        <f>(Grandview_Inventory[[#This Row],[ln_acres]]*Grandview_Inventory[[#This Row],[coeff]])+Grandview_Inventory[[#This Row],[const]]</f>
        <v>48210.608747275066</v>
      </c>
      <c r="S2469" t="s">
        <v>136</v>
      </c>
      <c r="T2469">
        <v>2</v>
      </c>
      <c r="U2469" t="s">
        <v>65</v>
      </c>
      <c r="V2469" t="s">
        <v>69</v>
      </c>
      <c r="W2469">
        <v>0</v>
      </c>
      <c r="X2469">
        <v>0</v>
      </c>
      <c r="Y2469">
        <v>44</v>
      </c>
      <c r="Z2469">
        <v>47</v>
      </c>
      <c r="AA2469">
        <v>50</v>
      </c>
      <c r="AB2469">
        <v>2000</v>
      </c>
      <c r="AC2469">
        <v>1617</v>
      </c>
      <c r="AD2469">
        <v>1187</v>
      </c>
      <c r="AE2469">
        <v>320</v>
      </c>
      <c r="AF2469">
        <v>0</v>
      </c>
      <c r="AG2469">
        <v>110</v>
      </c>
      <c r="AH2469">
        <v>990</v>
      </c>
      <c r="AI2469">
        <v>0</v>
      </c>
      <c r="AJ2469">
        <v>0</v>
      </c>
      <c r="AK2469">
        <v>0</v>
      </c>
      <c r="AL2469">
        <v>1376</v>
      </c>
      <c r="AM2469">
        <v>330</v>
      </c>
      <c r="AN2469">
        <v>0</v>
      </c>
      <c r="AO2469">
        <v>0</v>
      </c>
      <c r="AP2469">
        <v>11</v>
      </c>
      <c r="AQ2469">
        <v>0</v>
      </c>
      <c r="AR2469">
        <v>0</v>
      </c>
      <c r="AS2469" t="s">
        <v>58</v>
      </c>
      <c r="AT2469">
        <v>1</v>
      </c>
      <c r="AU2469" t="s">
        <v>63</v>
      </c>
      <c r="AV2469" t="s">
        <v>64</v>
      </c>
      <c r="AW2469">
        <v>1</v>
      </c>
      <c r="AX2469">
        <v>3</v>
      </c>
      <c r="AY2469">
        <v>0</v>
      </c>
      <c r="AZ2469">
        <v>0</v>
      </c>
      <c r="BA2469">
        <v>100</v>
      </c>
      <c r="BB2469">
        <v>100</v>
      </c>
      <c r="BC2469">
        <v>100</v>
      </c>
      <c r="BD2469">
        <v>100</v>
      </c>
      <c r="BE2469">
        <v>1</v>
      </c>
      <c r="BF2469">
        <v>15000</v>
      </c>
      <c r="BG2469">
        <v>1000</v>
      </c>
      <c r="BH2469" s="6">
        <f>Grandview_Inventory[[#This Row],[land_extract]]*Lookups!$B$3</f>
        <v>55986.849769566914</v>
      </c>
      <c r="BI2469" s="6">
        <f>IF(Grandview_Inventory[[#This Row],[bldg_style]]="",0,Lookups!$B$2)</f>
        <v>155833.95000000001</v>
      </c>
      <c r="BJ2469" s="6">
        <f>_xlfn.IFNA(VLOOKUP(Grandview_Inventory[[#This Row],[quality]],Lookups!$H$2:$J$14,3,FALSE),0)</f>
        <v>2251</v>
      </c>
      <c r="BK2469" s="6">
        <f>_xlfn.IFNA(VLOOKUP(Grandview_Inventory[[#This Row],[condition]],Lookups!$H$17:$J$24,3,FALSE),0)</f>
        <v>-4503</v>
      </c>
      <c r="BL2469" s="6">
        <f>Grandview_Inventory[[#This Row],[Eff_Age]]*Lookups!$B$14</f>
        <v>-10523.330399999999</v>
      </c>
      <c r="BM2469" s="6">
        <f>Grandview_Inventory[[#This Row],[living_area]]*Lookups!$B$15</f>
        <v>100869.839301</v>
      </c>
      <c r="BN2469" s="6">
        <f>Grandview_Inventory[[#This Row],[Fin BSMT]]*Lookups!$B$16</f>
        <v>-2980.9164000000001</v>
      </c>
      <c r="BO2469" s="6">
        <f>(Grandview_Inventory[[#This Row],[att_gar]]+Grandview_Inventory[[#This Row],[bltin_gar]])*Lookups!$B$17</f>
        <v>0</v>
      </c>
      <c r="BP2469" s="6">
        <f>Grandview_Inventory[[#This Row],[Plumbing Fixtures]]*Lookups!$B$18</f>
        <v>22114.859800000002</v>
      </c>
      <c r="BQ2469" s="6">
        <f>Grandview_Inventory[[#This Row],[detatched_value]]*Lookups!$B$19</f>
        <v>0</v>
      </c>
      <c r="BR2469" s="6">
        <f>SUM(Grandview_Inventory[[#This Row],[Intercept]:[det_value]])*Grandview_Inventory[[#This Row],[res_pct]]</f>
        <v>263062.40230100002</v>
      </c>
      <c r="BS2469" s="6">
        <f>Grandview_Inventory[[#This Row],[land_value]]</f>
        <v>55986.849769566914</v>
      </c>
      <c r="BT2469" s="4">
        <f>_xlfn.IFNA(VLOOKUP(Grandview_Inventory[[#This Row],[quality]],Lookups!$A$26:$C$33,3,FALSE),1)</f>
        <v>0.98763855981004833</v>
      </c>
      <c r="BU2469" s="4">
        <f>_xlfn.IFNA(VLOOKUP(Grandview_Inventory[[#This Row],[condition]],Lookups!$A$37:$C$44,3,FALSE),1)</f>
        <v>0.96469275950863709</v>
      </c>
      <c r="BV2469" s="4">
        <f>IF(Grandview_Inventory[[#This Row],[bldg_style]]="",1,_xlfn.IFNA(VLOOKUP(Grandview_Inventory[[#This Row],[decade]],Lookups!$F$29:$H$43,3,FALSE),1))</f>
        <v>0.9871940091910919</v>
      </c>
      <c r="BW2469" s="4">
        <f>_xlfn.IFNA(VLOOKUP(Grandview_Inventory[[#This Row],[living_area_range]],Lookups!$F$47:$H$56,3,FALSE),1)</f>
        <v>0.96120133463014379</v>
      </c>
      <c r="BX2469" s="4">
        <f>AVERAGE(Grandview_Inventory[[#This Row],[qual_adj]:[size_adj]])</f>
        <v>0.97518166578498033</v>
      </c>
      <c r="BY2469" s="6">
        <f>IF(Grandview_Inventory[[#This Row],[pre_res]]&lt;0,0,Grandview_Inventory[[#This Row],[pre_res]]*Grandview_Inventory[[#This Row],[overall_adj]])</f>
        <v>256533.63168128784</v>
      </c>
      <c r="BZ2469" s="6">
        <f>(Grandview_Inventory[[#This Row],[sum_land]]-IF(Grandview_Inventory[[#This Row],[no_utilities]]=1,12000,0))/IF(Grandview_Inventory[[#This Row],[unbuildable]]=1,2,1)</f>
        <v>55986.849769566914</v>
      </c>
      <c r="CA2469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2469">
        <f>ROUND(Grandview_Inventory[[#This Row],[det_value]]*Lookups!$M$28,-2)</f>
        <v>0</v>
      </c>
      <c r="CC2469">
        <f>IF(ROUND(Grandview_Inventory[[#This Row],[adj_res]]*Lookups!$M$28,-2)&lt;Grandview_Inventory[[#This Row],[min_res]],Grandview_Inventory[[#This Row],[min_res]],ROUND(Grandview_Inventory[[#This Row],[adj_res]]*Lookups!$M$28,-2))</f>
        <v>243700</v>
      </c>
      <c r="CD2469">
        <f>Grandview_Inventory[[#This Row],[final_det]]+Grandview_Inventory[[#This Row],[final_res]]</f>
        <v>243700</v>
      </c>
      <c r="CE2469">
        <f>Grandview_Inventory[[#This Row],[final_land]]+Grandview_Inventory[[#This Row],[final_imp]]+Grandview_Inventory[[#This Row],[crop_value]]</f>
        <v>296900</v>
      </c>
      <c r="CG2469" t="str">
        <f t="shared" si="38"/>
        <v>update valuation set market_land =53200, market_bldg=243700, market_total =296900, market_mdno =401, market_date ='9/10/2023' where link_id = (select link_id from parcel where parcel_year = '2024' and parcel_id = '23092714404');</v>
      </c>
    </row>
    <row r="2470" spans="1:85" x14ac:dyDescent="0.25">
      <c r="A2470">
        <v>23092714405</v>
      </c>
      <c r="B2470">
        <v>0.17</v>
      </c>
      <c r="C2470">
        <v>7349</v>
      </c>
      <c r="D2470" t="s">
        <v>129</v>
      </c>
      <c r="E2470" t="s">
        <v>53</v>
      </c>
      <c r="F2470" t="s">
        <v>53</v>
      </c>
      <c r="G2470">
        <v>4</v>
      </c>
      <c r="H2470" t="s">
        <v>54</v>
      </c>
      <c r="I2470">
        <v>83500</v>
      </c>
      <c r="J2470">
        <v>39300</v>
      </c>
      <c r="K2470">
        <v>0.17</v>
      </c>
      <c r="L247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470">
        <v>0</v>
      </c>
      <c r="N2470">
        <v>0</v>
      </c>
      <c r="O2470">
        <v>0</v>
      </c>
      <c r="P2470">
        <v>13398.7528</v>
      </c>
      <c r="Q2470">
        <v>63903</v>
      </c>
      <c r="R2470">
        <f>(Grandview_Inventory[[#This Row],[ln_acres]]*Grandview_Inventory[[#This Row],[coeff]])+Grandview_Inventory[[#This Row],[const]]</f>
        <v>40160.988302686128</v>
      </c>
      <c r="S2470" t="s">
        <v>68</v>
      </c>
      <c r="T2470">
        <v>1</v>
      </c>
      <c r="U2470" t="s">
        <v>80</v>
      </c>
      <c r="V2470" t="s">
        <v>69</v>
      </c>
      <c r="W2470">
        <v>0</v>
      </c>
      <c r="X2470">
        <v>0</v>
      </c>
      <c r="Y2470">
        <v>53</v>
      </c>
      <c r="Z2470">
        <v>93</v>
      </c>
      <c r="AA2470">
        <v>100</v>
      </c>
      <c r="AB2470">
        <v>1000</v>
      </c>
      <c r="AC2470">
        <v>552</v>
      </c>
      <c r="AD2470">
        <v>552</v>
      </c>
      <c r="AE2470">
        <v>0</v>
      </c>
      <c r="AF2470">
        <v>0</v>
      </c>
      <c r="AG2470">
        <v>0</v>
      </c>
      <c r="AH2470">
        <v>240</v>
      </c>
      <c r="AI2470">
        <v>0</v>
      </c>
      <c r="AJ2470">
        <v>0</v>
      </c>
      <c r="AK2470">
        <v>0</v>
      </c>
      <c r="AL2470">
        <v>0</v>
      </c>
      <c r="AM2470">
        <v>88</v>
      </c>
      <c r="AN2470">
        <v>0</v>
      </c>
      <c r="AO2470">
        <v>88</v>
      </c>
      <c r="AP2470">
        <v>5</v>
      </c>
      <c r="AQ2470">
        <v>0</v>
      </c>
      <c r="AR2470">
        <v>0</v>
      </c>
      <c r="AS2470" t="s">
        <v>58</v>
      </c>
      <c r="AT2470">
        <v>1</v>
      </c>
      <c r="AU2470" t="s">
        <v>79</v>
      </c>
      <c r="AV2470" t="s">
        <v>64</v>
      </c>
      <c r="AW2470">
        <v>0</v>
      </c>
      <c r="AX2470">
        <v>2</v>
      </c>
      <c r="AY2470">
        <v>0</v>
      </c>
      <c r="AZ2470">
        <v>0</v>
      </c>
      <c r="BA2470">
        <v>100</v>
      </c>
      <c r="BB2470">
        <v>100</v>
      </c>
      <c r="BC2470">
        <v>100</v>
      </c>
      <c r="BD2470">
        <v>100</v>
      </c>
      <c r="BE2470">
        <v>1</v>
      </c>
      <c r="BF2470">
        <v>15000</v>
      </c>
      <c r="BG2470">
        <v>1000</v>
      </c>
      <c r="BH2470" s="6">
        <f>Grandview_Inventory[[#This Row],[land_extract]]*Lookups!$B$3</f>
        <v>46638.847281240982</v>
      </c>
      <c r="BI2470" s="6">
        <f>IF(Grandview_Inventory[[#This Row],[bldg_style]]="",0,Lookups!$B$2)</f>
        <v>155833.95000000001</v>
      </c>
      <c r="BJ2470" s="6">
        <f>_xlfn.IFNA(VLOOKUP(Grandview_Inventory[[#This Row],[quality]],Lookups!$H$2:$J$14,3,FALSE),0)</f>
        <v>-28558</v>
      </c>
      <c r="BK2470" s="6">
        <f>_xlfn.IFNA(VLOOKUP(Grandview_Inventory[[#This Row],[condition]],Lookups!$H$17:$J$24,3,FALSE),0)</f>
        <v>-4503</v>
      </c>
      <c r="BL2470" s="6">
        <f>Grandview_Inventory[[#This Row],[Eff_Age]]*Lookups!$B$14</f>
        <v>-12675.8298</v>
      </c>
      <c r="BM2470" s="6">
        <f>Grandview_Inventory[[#This Row],[living_area]]*Lookups!$B$15</f>
        <v>34434.230856000002</v>
      </c>
      <c r="BN2470" s="6">
        <f>Grandview_Inventory[[#This Row],[Fin BSMT]]*Lookups!$B$16</f>
        <v>0</v>
      </c>
      <c r="BO2470" s="6">
        <f>(Grandview_Inventory[[#This Row],[att_gar]]+Grandview_Inventory[[#This Row],[bltin_gar]])*Lookups!$B$17</f>
        <v>0</v>
      </c>
      <c r="BP2470" s="6">
        <f>Grandview_Inventory[[#This Row],[Plumbing Fixtures]]*Lookups!$B$18</f>
        <v>10052.209000000001</v>
      </c>
      <c r="BQ2470" s="6">
        <f>Grandview_Inventory[[#This Row],[detatched_value]]*Lookups!$B$19</f>
        <v>0</v>
      </c>
      <c r="BR2470" s="6">
        <f>SUM(Grandview_Inventory[[#This Row],[Intercept]:[det_value]])*Grandview_Inventory[[#This Row],[res_pct]]</f>
        <v>154583.56005600002</v>
      </c>
      <c r="BS2470" s="6">
        <f>Grandview_Inventory[[#This Row],[land_value]]</f>
        <v>46638.847281240982</v>
      </c>
      <c r="BT2470" s="4">
        <f>_xlfn.IFNA(VLOOKUP(Grandview_Inventory[[#This Row],[quality]],Lookups!$A$26:$C$33,3,FALSE),1)</f>
        <v>0.9690360070159818</v>
      </c>
      <c r="BU2470" s="4">
        <f>_xlfn.IFNA(VLOOKUP(Grandview_Inventory[[#This Row],[condition]],Lookups!$A$37:$C$44,3,FALSE),1)</f>
        <v>0.96469275950863709</v>
      </c>
      <c r="BV2470" s="4">
        <f>IF(Grandview_Inventory[[#This Row],[bldg_style]]="",1,_xlfn.IFNA(VLOOKUP(Grandview_Inventory[[#This Row],[decade]],Lookups!$F$29:$H$43,3,FALSE),1))</f>
        <v>0.95244691841736806</v>
      </c>
      <c r="BW2470" s="4">
        <f>_xlfn.IFNA(VLOOKUP(Grandview_Inventory[[#This Row],[living_area_range]],Lookups!$F$47:$H$56,3,FALSE),1)</f>
        <v>0.94306777142782894</v>
      </c>
      <c r="BX2470" s="4">
        <f>AVERAGE(Grandview_Inventory[[#This Row],[qual_adj]:[size_adj]])</f>
        <v>0.95731086409245392</v>
      </c>
      <c r="BY2470" s="6">
        <f>IF(Grandview_Inventory[[#This Row],[pre_res]]&lt;0,0,Grandview_Inventory[[#This Row],[pre_res]]*Grandview_Inventory[[#This Row],[overall_adj]])</f>
        <v>147984.52145169713</v>
      </c>
      <c r="BZ2470" s="6">
        <f>(Grandview_Inventory[[#This Row],[sum_land]]-IF(Grandview_Inventory[[#This Row],[no_utilities]]=1,12000,0))/IF(Grandview_Inventory[[#This Row],[unbuildable]]=1,2,1)</f>
        <v>46638.847281240982</v>
      </c>
      <c r="CA247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470">
        <f>ROUND(Grandview_Inventory[[#This Row],[det_value]]*Lookups!$M$28,-2)</f>
        <v>0</v>
      </c>
      <c r="CC2470">
        <f>IF(ROUND(Grandview_Inventory[[#This Row],[adj_res]]*Lookups!$M$28,-2)&lt;Grandview_Inventory[[#This Row],[min_res]],Grandview_Inventory[[#This Row],[min_res]],ROUND(Grandview_Inventory[[#This Row],[adj_res]]*Lookups!$M$28,-2))</f>
        <v>140600</v>
      </c>
      <c r="CD2470">
        <f>Grandview_Inventory[[#This Row],[final_det]]+Grandview_Inventory[[#This Row],[final_res]]</f>
        <v>140600</v>
      </c>
      <c r="CE2470">
        <f>Grandview_Inventory[[#This Row],[final_land]]+Grandview_Inventory[[#This Row],[final_imp]]+Grandview_Inventory[[#This Row],[crop_value]]</f>
        <v>184900</v>
      </c>
      <c r="CG2470" t="str">
        <f t="shared" si="38"/>
        <v>update valuation set market_land =44300, market_bldg=140600, market_total =184900, market_mdno =401, market_date ='9/10/2023' where link_id = (select link_id from parcel where parcel_year = '2024' and parcel_id = '23092714405');</v>
      </c>
    </row>
    <row r="2471" spans="1:85" x14ac:dyDescent="0.25">
      <c r="A2471">
        <v>23092714406</v>
      </c>
      <c r="B2471">
        <v>0.89</v>
      </c>
      <c r="C2471">
        <v>45320</v>
      </c>
      <c r="D2471" t="s">
        <v>129</v>
      </c>
      <c r="E2471" t="s">
        <v>53</v>
      </c>
      <c r="F2471" t="s">
        <v>53</v>
      </c>
      <c r="G2471">
        <v>4</v>
      </c>
      <c r="H2471" t="s">
        <v>54</v>
      </c>
      <c r="I2471">
        <v>283000</v>
      </c>
      <c r="J2471">
        <v>58900</v>
      </c>
      <c r="K2471">
        <v>0.89</v>
      </c>
      <c r="L2471">
        <f>IF(Grandview_Inventory[[#This Row],[parcel_acres]]-Grandview_Inventory[[#This Row],[non_valued_acres]] =0,0,LN(Grandview_Inventory[[#This Row],[parcel_acres]]-Grandview_Inventory[[#This Row],[non_valued_acres]]))</f>
        <v>-0.11653381625595151</v>
      </c>
      <c r="M2471">
        <v>0</v>
      </c>
      <c r="N2471">
        <v>0</v>
      </c>
      <c r="O2471">
        <v>0</v>
      </c>
      <c r="P2471">
        <v>13398.7528</v>
      </c>
      <c r="Q2471">
        <v>63903</v>
      </c>
      <c r="R2471">
        <f>(Grandview_Inventory[[#This Row],[ln_acres]]*Grandview_Inventory[[#This Row],[coeff]])+Grandview_Inventory[[#This Row],[const]]</f>
        <v>62341.592203145883</v>
      </c>
      <c r="S2471" t="s">
        <v>58</v>
      </c>
      <c r="T2471">
        <v>2</v>
      </c>
      <c r="U2471" t="s">
        <v>64</v>
      </c>
      <c r="V2471" t="s">
        <v>69</v>
      </c>
      <c r="W2471">
        <v>0</v>
      </c>
      <c r="X2471">
        <v>0</v>
      </c>
      <c r="Y2471">
        <v>30</v>
      </c>
      <c r="Z2471">
        <v>30</v>
      </c>
      <c r="AA2471">
        <v>30</v>
      </c>
      <c r="AB2471">
        <v>3500</v>
      </c>
      <c r="AC2471">
        <v>3119</v>
      </c>
      <c r="AD2471">
        <v>1258</v>
      </c>
      <c r="AE2471">
        <v>1081</v>
      </c>
      <c r="AF2471">
        <v>0</v>
      </c>
      <c r="AG2471">
        <v>780</v>
      </c>
      <c r="AH2471">
        <v>0</v>
      </c>
      <c r="AI2471">
        <v>644</v>
      </c>
      <c r="AJ2471">
        <v>0</v>
      </c>
      <c r="AK2471">
        <v>0</v>
      </c>
      <c r="AL2471">
        <v>929</v>
      </c>
      <c r="AM2471">
        <v>0</v>
      </c>
      <c r="AN2471">
        <v>132</v>
      </c>
      <c r="AO2471">
        <v>0</v>
      </c>
      <c r="AP2471">
        <v>14</v>
      </c>
      <c r="AQ2471">
        <v>0</v>
      </c>
      <c r="AR2471">
        <v>0</v>
      </c>
      <c r="AS2471" t="s">
        <v>58</v>
      </c>
      <c r="AT2471">
        <v>1</v>
      </c>
      <c r="AU2471" t="s">
        <v>63</v>
      </c>
      <c r="AV2471" t="s">
        <v>64</v>
      </c>
      <c r="AW2471">
        <v>1</v>
      </c>
      <c r="AX2471">
        <v>4</v>
      </c>
      <c r="AY2471">
        <v>0</v>
      </c>
      <c r="AZ2471">
        <v>0</v>
      </c>
      <c r="BA2471">
        <v>100</v>
      </c>
      <c r="BB2471">
        <v>100</v>
      </c>
      <c r="BC2471">
        <v>100</v>
      </c>
      <c r="BD2471">
        <v>100</v>
      </c>
      <c r="BE2471">
        <v>1</v>
      </c>
      <c r="BF2471">
        <v>15000</v>
      </c>
      <c r="BG2471">
        <v>1000</v>
      </c>
      <c r="BH2471" s="6">
        <f>Grandview_Inventory[[#This Row],[land_extract]]*Lookups!$B$3</f>
        <v>72397.122703214365</v>
      </c>
      <c r="BI2471" s="6">
        <f>IF(Grandview_Inventory[[#This Row],[bldg_style]]="",0,Lookups!$B$2)</f>
        <v>155833.95000000001</v>
      </c>
      <c r="BJ2471" s="6">
        <f>_xlfn.IFNA(VLOOKUP(Grandview_Inventory[[#This Row],[quality]],Lookups!$H$2:$J$14,3,FALSE),0)</f>
        <v>20768</v>
      </c>
      <c r="BK2471" s="6">
        <f>_xlfn.IFNA(VLOOKUP(Grandview_Inventory[[#This Row],[condition]],Lookups!$H$17:$J$24,3,FALSE),0)</f>
        <v>-4503</v>
      </c>
      <c r="BL2471" s="6">
        <f>Grandview_Inventory[[#This Row],[Eff_Age]]*Lookups!$B$14</f>
        <v>-7174.9979999999996</v>
      </c>
      <c r="BM2471" s="6">
        <f>Grandview_Inventory[[#This Row],[living_area]]*Lookups!$B$15</f>
        <v>194565.88050699999</v>
      </c>
      <c r="BN2471" s="6">
        <f>Grandview_Inventory[[#This Row],[Fin BSMT]]*Lookups!$B$16</f>
        <v>-21137.407200000001</v>
      </c>
      <c r="BO2471" s="6">
        <f>(Grandview_Inventory[[#This Row],[att_gar]]+Grandview_Inventory[[#This Row],[bltin_gar]])*Lookups!$B$17</f>
        <v>56363.161427999999</v>
      </c>
      <c r="BP2471" s="6">
        <f>Grandview_Inventory[[#This Row],[Plumbing Fixtures]]*Lookups!$B$18</f>
        <v>28146.1852</v>
      </c>
      <c r="BQ2471" s="6">
        <f>Grandview_Inventory[[#This Row],[detatched_value]]*Lookups!$B$19</f>
        <v>0</v>
      </c>
      <c r="BR2471" s="6">
        <f>SUM(Grandview_Inventory[[#This Row],[Intercept]:[det_value]])*Grandview_Inventory[[#This Row],[res_pct]]</f>
        <v>422861.77193500003</v>
      </c>
      <c r="BS2471" s="6">
        <f>Grandview_Inventory[[#This Row],[land_value]]</f>
        <v>72397.122703214365</v>
      </c>
      <c r="BT2471" s="4">
        <f>_xlfn.IFNA(VLOOKUP(Grandview_Inventory[[#This Row],[quality]],Lookups!$A$26:$C$33,3,FALSE),1)</f>
        <v>0.94960540378902636</v>
      </c>
      <c r="BU2471" s="4">
        <f>_xlfn.IFNA(VLOOKUP(Grandview_Inventory[[#This Row],[condition]],Lookups!$A$37:$C$44,3,FALSE),1)</f>
        <v>0.96469275950863709</v>
      </c>
      <c r="BV2471" s="4">
        <f>IF(Grandview_Inventory[[#This Row],[bldg_style]]="",1,_xlfn.IFNA(VLOOKUP(Grandview_Inventory[[#This Row],[decade]],Lookups!$F$29:$H$43,3,FALSE),1))</f>
        <v>0.98397821291089549</v>
      </c>
      <c r="BW2471" s="4">
        <f>_xlfn.IFNA(VLOOKUP(Grandview_Inventory[[#This Row],[living_area_range]],Lookups!$F$47:$H$56,3,FALSE),1)</f>
        <v>1.0170112215140563</v>
      </c>
      <c r="BX2471" s="4">
        <f>AVERAGE(Grandview_Inventory[[#This Row],[qual_adj]:[size_adj]])</f>
        <v>0.9788218994306539</v>
      </c>
      <c r="BY2471" s="6">
        <f>IF(Grandview_Inventory[[#This Row],[pre_res]]&lt;0,0,Grandview_Inventory[[#This Row],[pre_res]]*Grandview_Inventory[[#This Row],[overall_adj]])</f>
        <v>413906.36280202871</v>
      </c>
      <c r="BZ2471" s="6">
        <f>(Grandview_Inventory[[#This Row],[sum_land]]-IF(Grandview_Inventory[[#This Row],[no_utilities]]=1,12000,0))/IF(Grandview_Inventory[[#This Row],[unbuildable]]=1,2,1)</f>
        <v>72397.122703214365</v>
      </c>
      <c r="CA2471">
        <f>IF(ROUND(Grandview_Inventory[[#This Row],[adj_land]]*Lookups!$M$28,-2)&lt;Grandview_Inventory[[#This Row],[min_land]],Grandview_Inventory[[#This Row],[min_land]],ROUND(Grandview_Inventory[[#This Row],[adj_land]]*Lookups!$M$28,-2))</f>
        <v>68800</v>
      </c>
      <c r="CB2471">
        <f>ROUND(Grandview_Inventory[[#This Row],[det_value]]*Lookups!$M$28,-2)</f>
        <v>0</v>
      </c>
      <c r="CC2471">
        <f>IF(ROUND(Grandview_Inventory[[#This Row],[adj_res]]*Lookups!$M$28,-2)&lt;Grandview_Inventory[[#This Row],[min_res]],Grandview_Inventory[[#This Row],[min_res]],ROUND(Grandview_Inventory[[#This Row],[adj_res]]*Lookups!$M$28,-2))</f>
        <v>393200</v>
      </c>
      <c r="CD2471">
        <f>Grandview_Inventory[[#This Row],[final_det]]+Grandview_Inventory[[#This Row],[final_res]]</f>
        <v>393200</v>
      </c>
      <c r="CE2471">
        <f>Grandview_Inventory[[#This Row],[final_land]]+Grandview_Inventory[[#This Row],[final_imp]]+Grandview_Inventory[[#This Row],[crop_value]]</f>
        <v>462000</v>
      </c>
      <c r="CG2471" t="str">
        <f t="shared" si="38"/>
        <v>update valuation set market_land =68800, market_bldg=393200, market_total =462000, market_mdno =401, market_date ='9/10/2023' where link_id = (select link_id from parcel where parcel_year = '2024' and parcel_id = '23092714406');</v>
      </c>
    </row>
    <row r="2472" spans="1:85" x14ac:dyDescent="0.25">
      <c r="A2472">
        <v>23092714407</v>
      </c>
      <c r="B2472">
        <v>2.95</v>
      </c>
      <c r="C2472">
        <v>128647</v>
      </c>
      <c r="D2472" t="s">
        <v>129</v>
      </c>
      <c r="E2472" t="s">
        <v>53</v>
      </c>
      <c r="F2472" t="s">
        <v>53</v>
      </c>
      <c r="G2472">
        <v>4</v>
      </c>
      <c r="H2472" t="s">
        <v>54</v>
      </c>
      <c r="I2472">
        <v>382600</v>
      </c>
      <c r="J2472">
        <v>74400</v>
      </c>
      <c r="K2472">
        <v>2.95</v>
      </c>
      <c r="L2472">
        <f>IF(Grandview_Inventory[[#This Row],[parcel_acres]]-Grandview_Inventory[[#This Row],[non_valued_acres]] =0,0,LN(Grandview_Inventory[[#This Row],[parcel_acres]]-Grandview_Inventory[[#This Row],[non_valued_acres]]))</f>
        <v>1.0818051703517284</v>
      </c>
      <c r="M2472">
        <v>0</v>
      </c>
      <c r="N2472">
        <v>0</v>
      </c>
      <c r="O2472">
        <v>0</v>
      </c>
      <c r="P2472">
        <v>13398.7528</v>
      </c>
      <c r="Q2472">
        <v>63903</v>
      </c>
      <c r="R2472">
        <f>(Grandview_Inventory[[#This Row],[ln_acres]]*Grandview_Inventory[[#This Row],[coeff]])+Grandview_Inventory[[#This Row],[const]]</f>
        <v>78397.840055304696</v>
      </c>
      <c r="S2472" t="s">
        <v>58</v>
      </c>
      <c r="T2472">
        <v>1</v>
      </c>
      <c r="U2472" t="s">
        <v>64</v>
      </c>
      <c r="V2472" t="s">
        <v>69</v>
      </c>
      <c r="W2472">
        <v>0</v>
      </c>
      <c r="X2472">
        <v>0</v>
      </c>
      <c r="Y2472">
        <v>48</v>
      </c>
      <c r="Z2472">
        <v>60</v>
      </c>
      <c r="AA2472">
        <v>60</v>
      </c>
      <c r="AB2472">
        <v>5000</v>
      </c>
      <c r="AC2472">
        <v>4780</v>
      </c>
      <c r="AD2472">
        <v>2780</v>
      </c>
      <c r="AE2472">
        <v>0</v>
      </c>
      <c r="AF2472">
        <v>0</v>
      </c>
      <c r="AG2472">
        <v>2000</v>
      </c>
      <c r="AH2472">
        <v>780</v>
      </c>
      <c r="AI2472">
        <v>624</v>
      </c>
      <c r="AJ2472">
        <v>0</v>
      </c>
      <c r="AK2472">
        <v>0</v>
      </c>
      <c r="AL2472">
        <v>0</v>
      </c>
      <c r="AM2472">
        <v>480</v>
      </c>
      <c r="AN2472">
        <v>1200</v>
      </c>
      <c r="AO2472">
        <v>0</v>
      </c>
      <c r="AP2472">
        <v>12</v>
      </c>
      <c r="AQ2472">
        <v>0</v>
      </c>
      <c r="AR2472">
        <v>1</v>
      </c>
      <c r="AS2472" t="s">
        <v>139</v>
      </c>
      <c r="AT2472">
        <v>1</v>
      </c>
      <c r="AU2472" t="s">
        <v>63</v>
      </c>
      <c r="AV2472" t="s">
        <v>64</v>
      </c>
      <c r="AW2472">
        <v>1</v>
      </c>
      <c r="AX2472">
        <v>5</v>
      </c>
      <c r="AY2472">
        <v>0</v>
      </c>
      <c r="AZ2472">
        <v>16100</v>
      </c>
      <c r="BA2472">
        <v>100</v>
      </c>
      <c r="BB2472">
        <v>100</v>
      </c>
      <c r="BC2472">
        <v>100</v>
      </c>
      <c r="BD2472">
        <v>100</v>
      </c>
      <c r="BE2472">
        <v>1</v>
      </c>
      <c r="BF2472">
        <v>15000</v>
      </c>
      <c r="BG2472">
        <v>1000</v>
      </c>
      <c r="BH2472" s="6">
        <f>Grandview_Inventory[[#This Row],[land_extract]]*Lookups!$B$3</f>
        <v>91043.199982057195</v>
      </c>
      <c r="BI2472" s="6">
        <f>IF(Grandview_Inventory[[#This Row],[bldg_style]]="",0,Lookups!$B$2)</f>
        <v>155833.95000000001</v>
      </c>
      <c r="BJ2472" s="6">
        <f>_xlfn.IFNA(VLOOKUP(Grandview_Inventory[[#This Row],[quality]],Lookups!$H$2:$J$14,3,FALSE),0)</f>
        <v>20768</v>
      </c>
      <c r="BK2472" s="6">
        <f>_xlfn.IFNA(VLOOKUP(Grandview_Inventory[[#This Row],[condition]],Lookups!$H$17:$J$24,3,FALSE),0)</f>
        <v>-4503</v>
      </c>
      <c r="BL2472" s="6">
        <f>Grandview_Inventory[[#This Row],[Eff_Age]]*Lookups!$B$14</f>
        <v>-11479.996799999999</v>
      </c>
      <c r="BM2472" s="6">
        <f>Grandview_Inventory[[#This Row],[living_area]]*Lookups!$B$15</f>
        <v>298180.47733999998</v>
      </c>
      <c r="BN2472" s="6">
        <f>Grandview_Inventory[[#This Row],[Fin BSMT]]*Lookups!$B$16</f>
        <v>-54198.48</v>
      </c>
      <c r="BO2472" s="6">
        <f>(Grandview_Inventory[[#This Row],[att_gar]]+Grandview_Inventory[[#This Row],[bltin_gar]])*Lookups!$B$17</f>
        <v>54612.752688</v>
      </c>
      <c r="BP2472" s="6">
        <f>Grandview_Inventory[[#This Row],[Plumbing Fixtures]]*Lookups!$B$18</f>
        <v>24125.301599999999</v>
      </c>
      <c r="BQ2472" s="6">
        <f>Grandview_Inventory[[#This Row],[detatched_value]]*Lookups!$B$19</f>
        <v>13633.562109999999</v>
      </c>
      <c r="BR2472" s="6">
        <f>SUM(Grandview_Inventory[[#This Row],[Intercept]:[det_value]])*Grandview_Inventory[[#This Row],[res_pct]]</f>
        <v>496972.56693799997</v>
      </c>
      <c r="BS2472" s="6">
        <f>Grandview_Inventory[[#This Row],[land_value]]</f>
        <v>91043.199982057195</v>
      </c>
      <c r="BT2472" s="4">
        <f>_xlfn.IFNA(VLOOKUP(Grandview_Inventory[[#This Row],[quality]],Lookups!$A$26:$C$33,3,FALSE),1)</f>
        <v>0.94960540378902636</v>
      </c>
      <c r="BU2472" s="4">
        <f>_xlfn.IFNA(VLOOKUP(Grandview_Inventory[[#This Row],[condition]],Lookups!$A$37:$C$44,3,FALSE),1)</f>
        <v>0.96469275950863709</v>
      </c>
      <c r="BV2472" s="4">
        <f>IF(Grandview_Inventory[[#This Row],[bldg_style]]="",1,_xlfn.IFNA(VLOOKUP(Grandview_Inventory[[#This Row],[decade]],Lookups!$F$29:$H$43,3,FALSE),1))</f>
        <v>0.95268620544463312</v>
      </c>
      <c r="BW2472" s="4">
        <f>_xlfn.IFNA(VLOOKUP(Grandview_Inventory[[#This Row],[living_area_range]],Lookups!$F$47:$H$56,3,FALSE),1)</f>
        <v>0.90089875105039252</v>
      </c>
      <c r="BX2472" s="4">
        <f>AVERAGE(Grandview_Inventory[[#This Row],[qual_adj]:[size_adj]])</f>
        <v>0.94197077994817224</v>
      </c>
      <c r="BY2472" s="6">
        <f>IF(Grandview_Inventory[[#This Row],[pre_res]]&lt;0,0,Grandview_Inventory[[#This Row],[pre_res]]*Grandview_Inventory[[#This Row],[overall_adj]])</f>
        <v>468133.63649143308</v>
      </c>
      <c r="BZ2472" s="6">
        <f>(Grandview_Inventory[[#This Row],[sum_land]]-IF(Grandview_Inventory[[#This Row],[no_utilities]]=1,12000,0))/IF(Grandview_Inventory[[#This Row],[unbuildable]]=1,2,1)</f>
        <v>91043.199982057195</v>
      </c>
      <c r="CA2472">
        <f>IF(ROUND(Grandview_Inventory[[#This Row],[adj_land]]*Lookups!$M$28,-2)&lt;Grandview_Inventory[[#This Row],[min_land]],Grandview_Inventory[[#This Row],[min_land]],ROUND(Grandview_Inventory[[#This Row],[adj_land]]*Lookups!$M$28,-2))</f>
        <v>86500</v>
      </c>
      <c r="CB2472">
        <f>ROUND(Grandview_Inventory[[#This Row],[det_value]]*Lookups!$M$28,-2)</f>
        <v>13000</v>
      </c>
      <c r="CC2472">
        <f>IF(ROUND(Grandview_Inventory[[#This Row],[adj_res]]*Lookups!$M$28,-2)&lt;Grandview_Inventory[[#This Row],[min_res]],Grandview_Inventory[[#This Row],[min_res]],ROUND(Grandview_Inventory[[#This Row],[adj_res]]*Lookups!$M$28,-2))</f>
        <v>444700</v>
      </c>
      <c r="CD2472">
        <f>Grandview_Inventory[[#This Row],[final_det]]+Grandview_Inventory[[#This Row],[final_res]]</f>
        <v>457700</v>
      </c>
      <c r="CE2472">
        <f>Grandview_Inventory[[#This Row],[final_land]]+Grandview_Inventory[[#This Row],[final_imp]]+Grandview_Inventory[[#This Row],[crop_value]]</f>
        <v>544200</v>
      </c>
      <c r="CG2472" t="str">
        <f t="shared" si="38"/>
        <v>update valuation set market_land =86500, market_bldg=457700, market_total =544200, market_mdno =401, market_date ='9/10/2023' where link_id = (select link_id from parcel where parcel_year = '2024' and parcel_id = '23092714407');</v>
      </c>
    </row>
    <row r="2473" spans="1:85" x14ac:dyDescent="0.25">
      <c r="A2473">
        <v>23092714408</v>
      </c>
      <c r="B2473">
        <v>0.47</v>
      </c>
      <c r="C2473">
        <v>20429</v>
      </c>
      <c r="D2473" t="s">
        <v>129</v>
      </c>
      <c r="E2473" t="s">
        <v>53</v>
      </c>
      <c r="F2473" t="s">
        <v>53</v>
      </c>
      <c r="G2473">
        <v>4</v>
      </c>
      <c r="H2473" t="s">
        <v>54</v>
      </c>
      <c r="I2473">
        <v>210200</v>
      </c>
      <c r="J2473">
        <v>49600</v>
      </c>
      <c r="K2473">
        <v>0.47</v>
      </c>
      <c r="L2473">
        <f>IF(Grandview_Inventory[[#This Row],[parcel_acres]]-Grandview_Inventory[[#This Row],[non_valued_acres]] =0,0,LN(Grandview_Inventory[[#This Row],[parcel_acres]]-Grandview_Inventory[[#This Row],[non_valued_acres]]))</f>
        <v>-0.75502258427803282</v>
      </c>
      <c r="M2473">
        <v>0</v>
      </c>
      <c r="N2473">
        <v>0</v>
      </c>
      <c r="O2473">
        <v>0</v>
      </c>
      <c r="P2473">
        <v>13398.7528</v>
      </c>
      <c r="Q2473">
        <v>63903</v>
      </c>
      <c r="R2473">
        <f>(Grandview_Inventory[[#This Row],[ln_acres]]*Grandview_Inventory[[#This Row],[coeff]])+Grandview_Inventory[[#This Row],[const]]</f>
        <v>53786.639034841472</v>
      </c>
      <c r="S2473" t="s">
        <v>61</v>
      </c>
      <c r="T2473">
        <v>1</v>
      </c>
      <c r="U2473" t="s">
        <v>65</v>
      </c>
      <c r="V2473" t="s">
        <v>69</v>
      </c>
      <c r="W2473">
        <v>0</v>
      </c>
      <c r="X2473">
        <v>0</v>
      </c>
      <c r="Y2473">
        <v>48</v>
      </c>
      <c r="Z2473">
        <v>61</v>
      </c>
      <c r="AA2473">
        <v>70</v>
      </c>
      <c r="AB2473">
        <v>3500</v>
      </c>
      <c r="AC2473">
        <v>3044</v>
      </c>
      <c r="AD2473">
        <v>1522</v>
      </c>
      <c r="AE2473">
        <v>0</v>
      </c>
      <c r="AF2473">
        <v>0</v>
      </c>
      <c r="AG2473">
        <v>1522</v>
      </c>
      <c r="AH2473">
        <v>0</v>
      </c>
      <c r="AI2473">
        <v>0</v>
      </c>
      <c r="AJ2473">
        <v>0</v>
      </c>
      <c r="AK2473">
        <v>280</v>
      </c>
      <c r="AL2473">
        <v>543</v>
      </c>
      <c r="AM2473">
        <v>0</v>
      </c>
      <c r="AN2473">
        <v>0</v>
      </c>
      <c r="AO2473">
        <v>0</v>
      </c>
      <c r="AP2473">
        <v>8</v>
      </c>
      <c r="AQ2473">
        <v>0</v>
      </c>
      <c r="AR2473">
        <v>0</v>
      </c>
      <c r="AS2473" t="s">
        <v>58</v>
      </c>
      <c r="AT2473">
        <v>1</v>
      </c>
      <c r="AU2473" t="s">
        <v>63</v>
      </c>
      <c r="AV2473" t="s">
        <v>60</v>
      </c>
      <c r="AW2473">
        <v>1</v>
      </c>
      <c r="AX2473">
        <v>5</v>
      </c>
      <c r="AY2473">
        <v>0</v>
      </c>
      <c r="AZ2473">
        <v>0</v>
      </c>
      <c r="BA2473">
        <v>100</v>
      </c>
      <c r="BB2473">
        <v>100</v>
      </c>
      <c r="BC2473">
        <v>100</v>
      </c>
      <c r="BD2473">
        <v>100</v>
      </c>
      <c r="BE2473">
        <v>1</v>
      </c>
      <c r="BF2473">
        <v>15000</v>
      </c>
      <c r="BG2473">
        <v>1000</v>
      </c>
      <c r="BH2473" s="6">
        <f>Grandview_Inventory[[#This Row],[land_extract]]*Lookups!$B$3</f>
        <v>62462.278687236008</v>
      </c>
      <c r="BI2473" s="6">
        <f>IF(Grandview_Inventory[[#This Row],[bldg_style]]="",0,Lookups!$B$2)</f>
        <v>155833.95000000001</v>
      </c>
      <c r="BJ2473" s="6">
        <f>_xlfn.IFNA(VLOOKUP(Grandview_Inventory[[#This Row],[quality]],Lookups!$H$2:$J$14,3,FALSE),0)</f>
        <v>2251</v>
      </c>
      <c r="BK2473" s="6">
        <f>_xlfn.IFNA(VLOOKUP(Grandview_Inventory[[#This Row],[condition]],Lookups!$H$17:$J$24,3,FALSE),0)</f>
        <v>-4503</v>
      </c>
      <c r="BL2473" s="6">
        <f>Grandview_Inventory[[#This Row],[Eff_Age]]*Lookups!$B$14</f>
        <v>-11479.996799999999</v>
      </c>
      <c r="BM2473" s="6">
        <f>Grandview_Inventory[[#This Row],[living_area]]*Lookups!$B$15</f>
        <v>189887.316532</v>
      </c>
      <c r="BN2473" s="6">
        <f>Grandview_Inventory[[#This Row],[Fin BSMT]]*Lookups!$B$16</f>
        <v>-41245.043280000005</v>
      </c>
      <c r="BO2473" s="6">
        <f>(Grandview_Inventory[[#This Row],[att_gar]]+Grandview_Inventory[[#This Row],[bltin_gar]])*Lookups!$B$17</f>
        <v>0</v>
      </c>
      <c r="BP2473" s="6">
        <f>Grandview_Inventory[[#This Row],[Plumbing Fixtures]]*Lookups!$B$18</f>
        <v>16083.5344</v>
      </c>
      <c r="BQ2473" s="6">
        <f>Grandview_Inventory[[#This Row],[detatched_value]]*Lookups!$B$19</f>
        <v>0</v>
      </c>
      <c r="BR2473" s="6">
        <f>SUM(Grandview_Inventory[[#This Row],[Intercept]:[det_value]])*Grandview_Inventory[[#This Row],[res_pct]]</f>
        <v>306827.76085200004</v>
      </c>
      <c r="BS2473" s="6">
        <f>Grandview_Inventory[[#This Row],[land_value]]</f>
        <v>62462.278687236008</v>
      </c>
      <c r="BT2473" s="4">
        <f>_xlfn.IFNA(VLOOKUP(Grandview_Inventory[[#This Row],[quality]],Lookups!$A$26:$C$33,3,FALSE),1)</f>
        <v>0.98763855981004833</v>
      </c>
      <c r="BU2473" s="4">
        <f>_xlfn.IFNA(VLOOKUP(Grandview_Inventory[[#This Row],[condition]],Lookups!$A$37:$C$44,3,FALSE),1)</f>
        <v>0.96469275950863709</v>
      </c>
      <c r="BV2473" s="4">
        <f>IF(Grandview_Inventory[[#This Row],[bldg_style]]="",1,_xlfn.IFNA(VLOOKUP(Grandview_Inventory[[#This Row],[decade]],Lookups!$F$29:$H$43,3,FALSE),1))</f>
        <v>0.99472141305414818</v>
      </c>
      <c r="BW2473" s="4">
        <f>_xlfn.IFNA(VLOOKUP(Grandview_Inventory[[#This Row],[living_area_range]],Lookups!$F$47:$H$56,3,FALSE),1)</f>
        <v>1.0170112215140563</v>
      </c>
      <c r="BX2473" s="4">
        <f>AVERAGE(Grandview_Inventory[[#This Row],[qual_adj]:[size_adj]])</f>
        <v>0.99101598847172245</v>
      </c>
      <c r="BY2473" s="6">
        <f>IF(Grandview_Inventory[[#This Row],[pre_res]]&lt;0,0,Grandview_Inventory[[#This Row],[pre_res]]*Grandview_Inventory[[#This Row],[overall_adj]])</f>
        <v>304071.21671131009</v>
      </c>
      <c r="BZ2473" s="6">
        <f>(Grandview_Inventory[[#This Row],[sum_land]]-IF(Grandview_Inventory[[#This Row],[no_utilities]]=1,12000,0))/IF(Grandview_Inventory[[#This Row],[unbuildable]]=1,2,1)</f>
        <v>62462.278687236008</v>
      </c>
      <c r="CA2473">
        <f>IF(ROUND(Grandview_Inventory[[#This Row],[adj_land]]*Lookups!$M$28,-2)&lt;Grandview_Inventory[[#This Row],[min_land]],Grandview_Inventory[[#This Row],[min_land]],ROUND(Grandview_Inventory[[#This Row],[adj_land]]*Lookups!$M$28,-2))</f>
        <v>59300</v>
      </c>
      <c r="CB2473">
        <f>ROUND(Grandview_Inventory[[#This Row],[det_value]]*Lookups!$M$28,-2)</f>
        <v>0</v>
      </c>
      <c r="CC2473">
        <f>IF(ROUND(Grandview_Inventory[[#This Row],[adj_res]]*Lookups!$M$28,-2)&lt;Grandview_Inventory[[#This Row],[min_res]],Grandview_Inventory[[#This Row],[min_res]],ROUND(Grandview_Inventory[[#This Row],[adj_res]]*Lookups!$M$28,-2))</f>
        <v>288900</v>
      </c>
      <c r="CD2473">
        <f>Grandview_Inventory[[#This Row],[final_det]]+Grandview_Inventory[[#This Row],[final_res]]</f>
        <v>288900</v>
      </c>
      <c r="CE2473">
        <f>Grandview_Inventory[[#This Row],[final_land]]+Grandview_Inventory[[#This Row],[final_imp]]+Grandview_Inventory[[#This Row],[crop_value]]</f>
        <v>348200</v>
      </c>
      <c r="CG2473" t="str">
        <f t="shared" si="38"/>
        <v>update valuation set market_land =59300, market_bldg=288900, market_total =348200, market_mdno =401, market_date ='9/10/2023' where link_id = (select link_id from parcel where parcel_year = '2024' and parcel_id = '23092714408');</v>
      </c>
    </row>
    <row r="2474" spans="1:85" x14ac:dyDescent="0.25">
      <c r="A2474">
        <v>23092714409</v>
      </c>
      <c r="B2474">
        <v>0.37</v>
      </c>
      <c r="C2474">
        <v>16178</v>
      </c>
      <c r="D2474" t="s">
        <v>129</v>
      </c>
      <c r="E2474" t="s">
        <v>53</v>
      </c>
      <c r="F2474" t="s">
        <v>53</v>
      </c>
      <c r="G2474">
        <v>4</v>
      </c>
      <c r="H2474" t="s">
        <v>54</v>
      </c>
      <c r="I2474">
        <v>237600</v>
      </c>
      <c r="J2474">
        <v>46800</v>
      </c>
      <c r="K2474">
        <v>0.37</v>
      </c>
      <c r="L2474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2474">
        <v>0</v>
      </c>
      <c r="N2474">
        <v>0</v>
      </c>
      <c r="O2474">
        <v>0</v>
      </c>
      <c r="P2474">
        <v>13398.7528</v>
      </c>
      <c r="Q2474">
        <v>63903</v>
      </c>
      <c r="R2474">
        <f>(Grandview_Inventory[[#This Row],[ln_acres]]*Grandview_Inventory[[#This Row],[coeff]])+Grandview_Inventory[[#This Row],[const]]</f>
        <v>50581.259568627502</v>
      </c>
      <c r="S2474" t="s">
        <v>55</v>
      </c>
      <c r="T2474">
        <v>2</v>
      </c>
      <c r="U2474" t="s">
        <v>65</v>
      </c>
      <c r="V2474" t="s">
        <v>69</v>
      </c>
      <c r="W2474">
        <v>0</v>
      </c>
      <c r="X2474">
        <v>0</v>
      </c>
      <c r="Y2474">
        <v>47</v>
      </c>
      <c r="Z2474">
        <v>56</v>
      </c>
      <c r="AA2474">
        <v>60</v>
      </c>
      <c r="AB2474">
        <v>3000</v>
      </c>
      <c r="AC2474">
        <v>2871</v>
      </c>
      <c r="AD2474">
        <v>957</v>
      </c>
      <c r="AE2474">
        <v>957</v>
      </c>
      <c r="AF2474">
        <v>0</v>
      </c>
      <c r="AG2474">
        <v>957</v>
      </c>
      <c r="AH2474">
        <v>0</v>
      </c>
      <c r="AI2474">
        <v>0</v>
      </c>
      <c r="AJ2474">
        <v>0</v>
      </c>
      <c r="AK2474">
        <v>399</v>
      </c>
      <c r="AL2474">
        <v>0</v>
      </c>
      <c r="AM2474">
        <v>840</v>
      </c>
      <c r="AN2474">
        <v>0</v>
      </c>
      <c r="AO2474">
        <v>0</v>
      </c>
      <c r="AP2474">
        <v>12</v>
      </c>
      <c r="AQ2474">
        <v>1</v>
      </c>
      <c r="AR2474">
        <v>0</v>
      </c>
      <c r="AS2474" t="s">
        <v>58</v>
      </c>
      <c r="AT2474">
        <v>1</v>
      </c>
      <c r="AU2474" t="s">
        <v>59</v>
      </c>
      <c r="AV2474" t="s">
        <v>60</v>
      </c>
      <c r="AW2474">
        <v>1</v>
      </c>
      <c r="AX2474">
        <v>4</v>
      </c>
      <c r="AY2474">
        <v>0</v>
      </c>
      <c r="AZ2474">
        <v>0</v>
      </c>
      <c r="BA2474">
        <v>100</v>
      </c>
      <c r="BB2474">
        <v>100</v>
      </c>
      <c r="BC2474">
        <v>100</v>
      </c>
      <c r="BD2474">
        <v>100</v>
      </c>
      <c r="BE2474">
        <v>1</v>
      </c>
      <c r="BF2474">
        <v>15000</v>
      </c>
      <c r="BG2474">
        <v>1000</v>
      </c>
      <c r="BH2474" s="6">
        <f>Grandview_Inventory[[#This Row],[land_extract]]*Lookups!$B$3</f>
        <v>58739.880167646283</v>
      </c>
      <c r="BI2474" s="6">
        <f>IF(Grandview_Inventory[[#This Row],[bldg_style]]="",0,Lookups!$B$2)</f>
        <v>155833.95000000001</v>
      </c>
      <c r="BJ2474" s="6">
        <f>_xlfn.IFNA(VLOOKUP(Grandview_Inventory[[#This Row],[quality]],Lookups!$H$2:$J$14,3,FALSE),0)</f>
        <v>2251</v>
      </c>
      <c r="BK2474" s="6">
        <f>_xlfn.IFNA(VLOOKUP(Grandview_Inventory[[#This Row],[condition]],Lookups!$H$17:$J$24,3,FALSE),0)</f>
        <v>-4503</v>
      </c>
      <c r="BL2474" s="6">
        <f>Grandview_Inventory[[#This Row],[Eff_Age]]*Lookups!$B$14</f>
        <v>-11240.8302</v>
      </c>
      <c r="BM2474" s="6">
        <f>Grandview_Inventory[[#This Row],[living_area]]*Lookups!$B$15</f>
        <v>179095.42896300001</v>
      </c>
      <c r="BN2474" s="6">
        <f>Grandview_Inventory[[#This Row],[Fin BSMT]]*Lookups!$B$16</f>
        <v>-25933.972680000003</v>
      </c>
      <c r="BO2474" s="6">
        <f>(Grandview_Inventory[[#This Row],[att_gar]]+Grandview_Inventory[[#This Row],[bltin_gar]])*Lookups!$B$17</f>
        <v>0</v>
      </c>
      <c r="BP2474" s="6">
        <f>Grandview_Inventory[[#This Row],[Plumbing Fixtures]]*Lookups!$B$18</f>
        <v>24125.301599999999</v>
      </c>
      <c r="BQ2474" s="6">
        <f>Grandview_Inventory[[#This Row],[detatched_value]]*Lookups!$B$19</f>
        <v>0</v>
      </c>
      <c r="BR2474" s="6">
        <f>SUM(Grandview_Inventory[[#This Row],[Intercept]:[det_value]])*Grandview_Inventory[[#This Row],[res_pct]]</f>
        <v>319627.87768300006</v>
      </c>
      <c r="BS2474" s="6">
        <f>Grandview_Inventory[[#This Row],[land_value]]</f>
        <v>58739.880167646283</v>
      </c>
      <c r="BT2474" s="4">
        <f>_xlfn.IFNA(VLOOKUP(Grandview_Inventory[[#This Row],[quality]],Lookups!$A$26:$C$33,3,FALSE),1)</f>
        <v>0.98763855981004833</v>
      </c>
      <c r="BU2474" s="4">
        <f>_xlfn.IFNA(VLOOKUP(Grandview_Inventory[[#This Row],[condition]],Lookups!$A$37:$C$44,3,FALSE),1)</f>
        <v>0.96469275950863709</v>
      </c>
      <c r="BV2474" s="4">
        <f>IF(Grandview_Inventory[[#This Row],[bldg_style]]="",1,_xlfn.IFNA(VLOOKUP(Grandview_Inventory[[#This Row],[decade]],Lookups!$F$29:$H$43,3,FALSE),1))</f>
        <v>0.95268620544463312</v>
      </c>
      <c r="BW2474" s="4">
        <f>_xlfn.IFNA(VLOOKUP(Grandview_Inventory[[#This Row],[living_area_range]],Lookups!$F$47:$H$56,3,FALSE),1)</f>
        <v>0.94224801443562123</v>
      </c>
      <c r="BX2474" s="4">
        <f>AVERAGE(Grandview_Inventory[[#This Row],[qual_adj]:[size_adj]])</f>
        <v>0.96181638479973497</v>
      </c>
      <c r="BY2474" s="6">
        <f>IF(Grandview_Inventory[[#This Row],[pre_res]]&lt;0,0,Grandview_Inventory[[#This Row],[pre_res]]*Grandview_Inventory[[#This Row],[overall_adj]])</f>
        <v>307423.32979427499</v>
      </c>
      <c r="BZ2474" s="6">
        <f>(Grandview_Inventory[[#This Row],[sum_land]]-IF(Grandview_Inventory[[#This Row],[no_utilities]]=1,12000,0))/IF(Grandview_Inventory[[#This Row],[unbuildable]]=1,2,1)</f>
        <v>58739.880167646283</v>
      </c>
      <c r="CA2474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2474">
        <f>ROUND(Grandview_Inventory[[#This Row],[det_value]]*Lookups!$M$28,-2)</f>
        <v>0</v>
      </c>
      <c r="CC2474">
        <f>IF(ROUND(Grandview_Inventory[[#This Row],[adj_res]]*Lookups!$M$28,-2)&lt;Grandview_Inventory[[#This Row],[min_res]],Grandview_Inventory[[#This Row],[min_res]],ROUND(Grandview_Inventory[[#This Row],[adj_res]]*Lookups!$M$28,-2))</f>
        <v>292100</v>
      </c>
      <c r="CD2474">
        <f>Grandview_Inventory[[#This Row],[final_det]]+Grandview_Inventory[[#This Row],[final_res]]</f>
        <v>292100</v>
      </c>
      <c r="CE2474">
        <f>Grandview_Inventory[[#This Row],[final_land]]+Grandview_Inventory[[#This Row],[final_imp]]+Grandview_Inventory[[#This Row],[crop_value]]</f>
        <v>347900</v>
      </c>
      <c r="CG2474" t="str">
        <f t="shared" si="38"/>
        <v>update valuation set market_land =55800, market_bldg=292100, market_total =347900, market_mdno =401, market_date ='9/10/2023' where link_id = (select link_id from parcel where parcel_year = '2024' and parcel_id = '23092714409');</v>
      </c>
    </row>
    <row r="2475" spans="1:85" x14ac:dyDescent="0.25">
      <c r="A2475">
        <v>23092714410</v>
      </c>
      <c r="B2475">
        <v>0.37</v>
      </c>
      <c r="C2475">
        <v>16141</v>
      </c>
      <c r="D2475" t="s">
        <v>129</v>
      </c>
      <c r="E2475" t="s">
        <v>53</v>
      </c>
      <c r="F2475" t="s">
        <v>53</v>
      </c>
      <c r="G2475">
        <v>4</v>
      </c>
      <c r="H2475" t="s">
        <v>54</v>
      </c>
      <c r="I2475">
        <v>275600</v>
      </c>
      <c r="J2475">
        <v>46800</v>
      </c>
      <c r="K2475">
        <v>0.37</v>
      </c>
      <c r="L2475">
        <f>IF(Grandview_Inventory[[#This Row],[parcel_acres]]-Grandview_Inventory[[#This Row],[non_valued_acres]] =0,0,LN(Grandview_Inventory[[#This Row],[parcel_acres]]-Grandview_Inventory[[#This Row],[non_valued_acres]]))</f>
        <v>-0.9942522733438669</v>
      </c>
      <c r="M2475">
        <v>0</v>
      </c>
      <c r="N2475">
        <v>0</v>
      </c>
      <c r="O2475">
        <v>0</v>
      </c>
      <c r="P2475">
        <v>13398.7528</v>
      </c>
      <c r="Q2475">
        <v>63903</v>
      </c>
      <c r="R2475">
        <f>(Grandview_Inventory[[#This Row],[ln_acres]]*Grandview_Inventory[[#This Row],[coeff]])+Grandview_Inventory[[#This Row],[const]]</f>
        <v>50581.259568627502</v>
      </c>
      <c r="S2475" t="s">
        <v>77</v>
      </c>
      <c r="T2475">
        <v>1</v>
      </c>
      <c r="U2475" t="s">
        <v>62</v>
      </c>
      <c r="V2475" t="s">
        <v>69</v>
      </c>
      <c r="W2475">
        <v>0</v>
      </c>
      <c r="X2475">
        <v>0</v>
      </c>
      <c r="Y2475">
        <v>44</v>
      </c>
      <c r="Z2475">
        <v>49</v>
      </c>
      <c r="AA2475">
        <v>50</v>
      </c>
      <c r="AB2475">
        <v>3500</v>
      </c>
      <c r="AC2475">
        <v>3456</v>
      </c>
      <c r="AD2475">
        <v>2208</v>
      </c>
      <c r="AE2475">
        <v>0</v>
      </c>
      <c r="AF2475">
        <v>0</v>
      </c>
      <c r="AG2475">
        <v>1248</v>
      </c>
      <c r="AH2475">
        <v>160</v>
      </c>
      <c r="AI2475">
        <v>0</v>
      </c>
      <c r="AJ2475">
        <v>800</v>
      </c>
      <c r="AK2475">
        <v>0</v>
      </c>
      <c r="AL2475">
        <v>570</v>
      </c>
      <c r="AM2475">
        <v>0</v>
      </c>
      <c r="AN2475">
        <v>56</v>
      </c>
      <c r="AO2475">
        <v>315</v>
      </c>
      <c r="AP2475">
        <v>10</v>
      </c>
      <c r="AQ2475">
        <v>0</v>
      </c>
      <c r="AR2475">
        <v>0</v>
      </c>
      <c r="AS2475" t="s">
        <v>58</v>
      </c>
      <c r="AT2475">
        <v>1</v>
      </c>
      <c r="AU2475" t="s">
        <v>59</v>
      </c>
      <c r="AV2475" t="s">
        <v>64</v>
      </c>
      <c r="AW2475">
        <v>1</v>
      </c>
      <c r="AX2475">
        <v>3</v>
      </c>
      <c r="AY2475">
        <v>0</v>
      </c>
      <c r="AZ2475">
        <v>0</v>
      </c>
      <c r="BA2475">
        <v>100</v>
      </c>
      <c r="BB2475">
        <v>100</v>
      </c>
      <c r="BC2475">
        <v>100</v>
      </c>
      <c r="BD2475">
        <v>100</v>
      </c>
      <c r="BE2475">
        <v>1</v>
      </c>
      <c r="BF2475">
        <v>15000</v>
      </c>
      <c r="BG2475">
        <v>1000</v>
      </c>
      <c r="BH2475" s="6">
        <f>Grandview_Inventory[[#This Row],[land_extract]]*Lookups!$B$3</f>
        <v>58739.880167646283</v>
      </c>
      <c r="BI2475" s="6">
        <f>IF(Grandview_Inventory[[#This Row],[bldg_style]]="",0,Lookups!$B$2)</f>
        <v>155833.95000000001</v>
      </c>
      <c r="BJ2475" s="6">
        <f>_xlfn.IFNA(VLOOKUP(Grandview_Inventory[[#This Row],[quality]],Lookups!$H$2:$J$14,3,FALSE),0)</f>
        <v>9808</v>
      </c>
      <c r="BK2475" s="6">
        <f>_xlfn.IFNA(VLOOKUP(Grandview_Inventory[[#This Row],[condition]],Lookups!$H$17:$J$24,3,FALSE),0)</f>
        <v>-4503</v>
      </c>
      <c r="BL2475" s="6">
        <f>Grandview_Inventory[[#This Row],[Eff_Age]]*Lookups!$B$14</f>
        <v>-10523.330399999999</v>
      </c>
      <c r="BM2475" s="6">
        <f>Grandview_Inventory[[#This Row],[living_area]]*Lookups!$B$15</f>
        <v>215588.22796799999</v>
      </c>
      <c r="BN2475" s="6">
        <f>Grandview_Inventory[[#This Row],[Fin BSMT]]*Lookups!$B$16</f>
        <v>-33819.851520000004</v>
      </c>
      <c r="BO2475" s="6">
        <f>(Grandview_Inventory[[#This Row],[att_gar]]+Grandview_Inventory[[#This Row],[bltin_gar]])*Lookups!$B$17</f>
        <v>70016.349600000001</v>
      </c>
      <c r="BP2475" s="6">
        <f>Grandview_Inventory[[#This Row],[Plumbing Fixtures]]*Lookups!$B$18</f>
        <v>20104.418000000001</v>
      </c>
      <c r="BQ2475" s="6">
        <f>Grandview_Inventory[[#This Row],[detatched_value]]*Lookups!$B$19</f>
        <v>0</v>
      </c>
      <c r="BR2475" s="6">
        <f>SUM(Grandview_Inventory[[#This Row],[Intercept]:[det_value]])*Grandview_Inventory[[#This Row],[res_pct]]</f>
        <v>422504.76364799996</v>
      </c>
      <c r="BS2475" s="6">
        <f>Grandview_Inventory[[#This Row],[land_value]]</f>
        <v>58739.880167646283</v>
      </c>
      <c r="BT2475" s="4">
        <f>_xlfn.IFNA(VLOOKUP(Grandview_Inventory[[#This Row],[quality]],Lookups!$A$26:$C$33,3,FALSE),1)</f>
        <v>0.94295468617355149</v>
      </c>
      <c r="BU2475" s="4">
        <f>_xlfn.IFNA(VLOOKUP(Grandview_Inventory[[#This Row],[condition]],Lookups!$A$37:$C$44,3,FALSE),1)</f>
        <v>0.96469275950863709</v>
      </c>
      <c r="BV2475" s="4">
        <f>IF(Grandview_Inventory[[#This Row],[bldg_style]]="",1,_xlfn.IFNA(VLOOKUP(Grandview_Inventory[[#This Row],[decade]],Lookups!$F$29:$H$43,3,FALSE),1))</f>
        <v>0.9871940091910919</v>
      </c>
      <c r="BW2475" s="4">
        <f>_xlfn.IFNA(VLOOKUP(Grandview_Inventory[[#This Row],[living_area_range]],Lookups!$F$47:$H$56,3,FALSE),1)</f>
        <v>1.0170112215140563</v>
      </c>
      <c r="BX2475" s="4">
        <f>AVERAGE(Grandview_Inventory[[#This Row],[qual_adj]:[size_adj]])</f>
        <v>0.97796316909683423</v>
      </c>
      <c r="BY2475" s="6">
        <f>IF(Grandview_Inventory[[#This Row],[pre_res]]&lt;0,0,Grandview_Inventory[[#This Row],[pre_res]]*Grandview_Inventory[[#This Row],[overall_adj]])</f>
        <v>413194.09761570697</v>
      </c>
      <c r="BZ2475" s="6">
        <f>(Grandview_Inventory[[#This Row],[sum_land]]-IF(Grandview_Inventory[[#This Row],[no_utilities]]=1,12000,0))/IF(Grandview_Inventory[[#This Row],[unbuildable]]=1,2,1)</f>
        <v>58739.880167646283</v>
      </c>
      <c r="CA2475">
        <f>IF(ROUND(Grandview_Inventory[[#This Row],[adj_land]]*Lookups!$M$28,-2)&lt;Grandview_Inventory[[#This Row],[min_land]],Grandview_Inventory[[#This Row],[min_land]],ROUND(Grandview_Inventory[[#This Row],[adj_land]]*Lookups!$M$28,-2))</f>
        <v>55800</v>
      </c>
      <c r="CB2475">
        <f>ROUND(Grandview_Inventory[[#This Row],[det_value]]*Lookups!$M$28,-2)</f>
        <v>0</v>
      </c>
      <c r="CC2475">
        <f>IF(ROUND(Grandview_Inventory[[#This Row],[adj_res]]*Lookups!$M$28,-2)&lt;Grandview_Inventory[[#This Row],[min_res]],Grandview_Inventory[[#This Row],[min_res]],ROUND(Grandview_Inventory[[#This Row],[adj_res]]*Lookups!$M$28,-2))</f>
        <v>392500</v>
      </c>
      <c r="CD2475">
        <f>Grandview_Inventory[[#This Row],[final_det]]+Grandview_Inventory[[#This Row],[final_res]]</f>
        <v>392500</v>
      </c>
      <c r="CE2475">
        <f>Grandview_Inventory[[#This Row],[final_land]]+Grandview_Inventory[[#This Row],[final_imp]]+Grandview_Inventory[[#This Row],[crop_value]]</f>
        <v>448300</v>
      </c>
      <c r="CG2475" t="str">
        <f t="shared" si="38"/>
        <v>update valuation set market_land =55800, market_bldg=392500, market_total =448300, market_mdno =401, market_date ='9/10/2023' where link_id = (select link_id from parcel where parcel_year = '2024' and parcel_id = '23092714410');</v>
      </c>
    </row>
    <row r="2476" spans="1:85" x14ac:dyDescent="0.25">
      <c r="A2476">
        <v>23092714418</v>
      </c>
      <c r="B2476">
        <v>0.46</v>
      </c>
      <c r="C2476" t="s">
        <v>129</v>
      </c>
      <c r="D2476" t="s">
        <v>129</v>
      </c>
      <c r="E2476" t="s">
        <v>53</v>
      </c>
      <c r="F2476" t="s">
        <v>53</v>
      </c>
      <c r="G2476">
        <v>4</v>
      </c>
      <c r="H2476" t="s">
        <v>54</v>
      </c>
      <c r="I2476">
        <v>283500</v>
      </c>
      <c r="J2476">
        <v>49300</v>
      </c>
      <c r="K2476">
        <v>0.46</v>
      </c>
      <c r="L2476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2476">
        <v>0</v>
      </c>
      <c r="N2476">
        <v>0</v>
      </c>
      <c r="O2476">
        <v>0</v>
      </c>
      <c r="P2476">
        <v>13398.7528</v>
      </c>
      <c r="Q2476">
        <v>63903</v>
      </c>
      <c r="R2476">
        <f>(Grandview_Inventory[[#This Row],[ln_acres]]*Grandview_Inventory[[#This Row],[coeff]])+Grandview_Inventory[[#This Row],[const]]</f>
        <v>53498.482707419709</v>
      </c>
      <c r="S2476" t="s">
        <v>130</v>
      </c>
      <c r="T2476">
        <v>1</v>
      </c>
      <c r="U2476" t="s">
        <v>64</v>
      </c>
      <c r="V2476" t="s">
        <v>69</v>
      </c>
      <c r="W2476">
        <v>0</v>
      </c>
      <c r="X2476">
        <v>0</v>
      </c>
      <c r="Y2476">
        <v>47</v>
      </c>
      <c r="Z2476">
        <v>56</v>
      </c>
      <c r="AA2476">
        <v>60</v>
      </c>
      <c r="AB2476">
        <v>4500</v>
      </c>
      <c r="AC2476">
        <v>4001</v>
      </c>
      <c r="AD2476">
        <v>2286</v>
      </c>
      <c r="AE2476">
        <v>0</v>
      </c>
      <c r="AF2476">
        <v>0</v>
      </c>
      <c r="AG2476">
        <v>1715</v>
      </c>
      <c r="AH2476">
        <v>0</v>
      </c>
      <c r="AI2476">
        <v>0</v>
      </c>
      <c r="AJ2476">
        <v>0</v>
      </c>
      <c r="AK2476">
        <v>0</v>
      </c>
      <c r="AL2476">
        <v>1037</v>
      </c>
      <c r="AM2476">
        <v>0</v>
      </c>
      <c r="AN2476">
        <v>60</v>
      </c>
      <c r="AO2476">
        <v>0</v>
      </c>
      <c r="AP2476">
        <v>10</v>
      </c>
      <c r="AQ2476">
        <v>0</v>
      </c>
      <c r="AR2476">
        <v>0</v>
      </c>
      <c r="AS2476" t="s">
        <v>58</v>
      </c>
      <c r="AT2476">
        <v>1</v>
      </c>
      <c r="AU2476" t="s">
        <v>63</v>
      </c>
      <c r="AV2476" t="s">
        <v>64</v>
      </c>
      <c r="AW2476">
        <v>1</v>
      </c>
      <c r="AX2476">
        <v>3</v>
      </c>
      <c r="AY2476">
        <v>0</v>
      </c>
      <c r="AZ2476">
        <v>26600</v>
      </c>
      <c r="BA2476">
        <v>100</v>
      </c>
      <c r="BB2476">
        <v>100</v>
      </c>
      <c r="BC2476">
        <v>100</v>
      </c>
      <c r="BD2476">
        <v>100</v>
      </c>
      <c r="BE2476">
        <v>1</v>
      </c>
      <c r="BF2476">
        <v>15000</v>
      </c>
      <c r="BG2476">
        <v>1000</v>
      </c>
      <c r="BH2476" s="6">
        <f>Grandview_Inventory[[#This Row],[land_extract]]*Lookups!$B$3</f>
        <v>62127.643522223196</v>
      </c>
      <c r="BI2476" s="6">
        <f>IF(Grandview_Inventory[[#This Row],[bldg_style]]="",0,Lookups!$B$2)</f>
        <v>155833.95000000001</v>
      </c>
      <c r="BJ2476" s="6">
        <f>_xlfn.IFNA(VLOOKUP(Grandview_Inventory[[#This Row],[quality]],Lookups!$H$2:$J$14,3,FALSE),0)</f>
        <v>20768</v>
      </c>
      <c r="BK2476" s="6">
        <f>_xlfn.IFNA(VLOOKUP(Grandview_Inventory[[#This Row],[condition]],Lookups!$H$17:$J$24,3,FALSE),0)</f>
        <v>-4503</v>
      </c>
      <c r="BL2476" s="6">
        <f>Grandview_Inventory[[#This Row],[Eff_Age]]*Lookups!$B$14</f>
        <v>-11240.8302</v>
      </c>
      <c r="BM2476" s="6">
        <f>Grandview_Inventory[[#This Row],[living_area]]*Lookups!$B$15</f>
        <v>249585.79285300002</v>
      </c>
      <c r="BN2476" s="6">
        <f>Grandview_Inventory[[#This Row],[Fin BSMT]]*Lookups!$B$16</f>
        <v>-46475.196600000003</v>
      </c>
      <c r="BO2476" s="6">
        <f>(Grandview_Inventory[[#This Row],[att_gar]]+Grandview_Inventory[[#This Row],[bltin_gar]])*Lookups!$B$17</f>
        <v>0</v>
      </c>
      <c r="BP2476" s="6">
        <f>Grandview_Inventory[[#This Row],[Plumbing Fixtures]]*Lookups!$B$18</f>
        <v>20104.418000000001</v>
      </c>
      <c r="BQ2476" s="6">
        <f>Grandview_Inventory[[#This Row],[detatched_value]]*Lookups!$B$19</f>
        <v>22525.015660000001</v>
      </c>
      <c r="BR2476" s="6">
        <f>SUM(Grandview_Inventory[[#This Row],[Intercept]:[det_value]])*Grandview_Inventory[[#This Row],[res_pct]]</f>
        <v>406598.14971299999</v>
      </c>
      <c r="BS2476" s="6">
        <f>Grandview_Inventory[[#This Row],[land_value]]</f>
        <v>62127.643522223196</v>
      </c>
      <c r="BT2476" s="4">
        <f>_xlfn.IFNA(VLOOKUP(Grandview_Inventory[[#This Row],[quality]],Lookups!$A$26:$C$33,3,FALSE),1)</f>
        <v>0.94960540378902636</v>
      </c>
      <c r="BU2476" s="4">
        <f>_xlfn.IFNA(VLOOKUP(Grandview_Inventory[[#This Row],[condition]],Lookups!$A$37:$C$44,3,FALSE),1)</f>
        <v>0.96469275950863709</v>
      </c>
      <c r="BV2476" s="4">
        <f>IF(Grandview_Inventory[[#This Row],[bldg_style]]="",1,_xlfn.IFNA(VLOOKUP(Grandview_Inventory[[#This Row],[decade]],Lookups!$F$29:$H$43,3,FALSE),1))</f>
        <v>0.95268620544463312</v>
      </c>
      <c r="BW2476" s="4">
        <f>_xlfn.IFNA(VLOOKUP(Grandview_Inventory[[#This Row],[living_area_range]],Lookups!$F$47:$H$56,3,FALSE),1)</f>
        <v>0.90089875105039252</v>
      </c>
      <c r="BX2476" s="4">
        <f>AVERAGE(Grandview_Inventory[[#This Row],[qual_adj]:[size_adj]])</f>
        <v>0.94197077994817224</v>
      </c>
      <c r="BY2476" s="6">
        <f>IF(Grandview_Inventory[[#This Row],[pre_res]]&lt;0,0,Grandview_Inventory[[#This Row],[pre_res]]*Grandview_Inventory[[#This Row],[overall_adj]])</f>
        <v>383003.57621063833</v>
      </c>
      <c r="BZ2476" s="6">
        <f>(Grandview_Inventory[[#This Row],[sum_land]]-IF(Grandview_Inventory[[#This Row],[no_utilities]]=1,12000,0))/IF(Grandview_Inventory[[#This Row],[unbuildable]]=1,2,1)</f>
        <v>62127.643522223196</v>
      </c>
      <c r="CA2476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2476">
        <f>ROUND(Grandview_Inventory[[#This Row],[det_value]]*Lookups!$M$28,-2)</f>
        <v>21400</v>
      </c>
      <c r="CC2476">
        <f>IF(ROUND(Grandview_Inventory[[#This Row],[adj_res]]*Lookups!$M$28,-2)&lt;Grandview_Inventory[[#This Row],[min_res]],Grandview_Inventory[[#This Row],[min_res]],ROUND(Grandview_Inventory[[#This Row],[adj_res]]*Lookups!$M$28,-2))</f>
        <v>363900</v>
      </c>
      <c r="CD2476">
        <f>Grandview_Inventory[[#This Row],[final_det]]+Grandview_Inventory[[#This Row],[final_res]]</f>
        <v>385300</v>
      </c>
      <c r="CE2476">
        <f>Grandview_Inventory[[#This Row],[final_land]]+Grandview_Inventory[[#This Row],[final_imp]]+Grandview_Inventory[[#This Row],[crop_value]]</f>
        <v>444300</v>
      </c>
      <c r="CG2476" t="str">
        <f t="shared" si="38"/>
        <v>update valuation set market_land =59000, market_bldg=385300, market_total =444300, market_mdno =401, market_date ='9/10/2023' where link_id = (select link_id from parcel where parcel_year = '2024' and parcel_id = '23092714418');</v>
      </c>
    </row>
    <row r="2477" spans="1:85" x14ac:dyDescent="0.25">
      <c r="A2477">
        <v>23092714419</v>
      </c>
      <c r="B2477">
        <v>1.1200000000000001</v>
      </c>
      <c r="C2477" t="s">
        <v>129</v>
      </c>
      <c r="D2477" t="s">
        <v>129</v>
      </c>
      <c r="E2477" t="s">
        <v>53</v>
      </c>
      <c r="F2477" t="s">
        <v>53</v>
      </c>
      <c r="G2477">
        <v>4</v>
      </c>
      <c r="H2477" t="s">
        <v>54</v>
      </c>
      <c r="I2477">
        <v>231900</v>
      </c>
      <c r="J2477">
        <v>59900</v>
      </c>
      <c r="K2477">
        <v>1.1200000000000001</v>
      </c>
      <c r="L2477">
        <f>IF(Grandview_Inventory[[#This Row],[parcel_acres]]-Grandview_Inventory[[#This Row],[non_valued_acres]] =0,0,LN(Grandview_Inventory[[#This Row],[parcel_acres]]-Grandview_Inventory[[#This Row],[non_valued_acres]]))</f>
        <v>0.11332868530700327</v>
      </c>
      <c r="M2477">
        <v>0</v>
      </c>
      <c r="N2477">
        <v>0</v>
      </c>
      <c r="O2477">
        <v>0</v>
      </c>
      <c r="P2477">
        <v>13398.7528</v>
      </c>
      <c r="Q2477">
        <v>63903</v>
      </c>
      <c r="R2477">
        <f>(Grandview_Inventory[[#This Row],[ln_acres]]*Grandview_Inventory[[#This Row],[coeff]])+Grandview_Inventory[[#This Row],[const]]</f>
        <v>65421.463039577531</v>
      </c>
      <c r="S2477" t="s">
        <v>61</v>
      </c>
      <c r="T2477">
        <v>1</v>
      </c>
      <c r="U2477" t="s">
        <v>65</v>
      </c>
      <c r="V2477" t="s">
        <v>69</v>
      </c>
      <c r="W2477">
        <v>0</v>
      </c>
      <c r="X2477">
        <v>0</v>
      </c>
      <c r="Y2477">
        <v>46</v>
      </c>
      <c r="Z2477">
        <v>54</v>
      </c>
      <c r="AA2477">
        <v>60</v>
      </c>
      <c r="AB2477">
        <v>3000</v>
      </c>
      <c r="AC2477">
        <v>2560</v>
      </c>
      <c r="AD2477">
        <v>1280</v>
      </c>
      <c r="AE2477">
        <v>0</v>
      </c>
      <c r="AF2477">
        <v>0</v>
      </c>
      <c r="AG2477">
        <v>1280</v>
      </c>
      <c r="AH2477">
        <v>0</v>
      </c>
      <c r="AI2477">
        <v>504</v>
      </c>
      <c r="AJ2477">
        <v>0</v>
      </c>
      <c r="AK2477">
        <v>0</v>
      </c>
      <c r="AL2477">
        <v>54</v>
      </c>
      <c r="AM2477">
        <v>0</v>
      </c>
      <c r="AN2477">
        <v>44</v>
      </c>
      <c r="AO2477">
        <v>0</v>
      </c>
      <c r="AP2477">
        <v>11</v>
      </c>
      <c r="AQ2477">
        <v>0</v>
      </c>
      <c r="AR2477">
        <v>1</v>
      </c>
      <c r="AS2477" t="s">
        <v>58</v>
      </c>
      <c r="AT2477">
        <v>1</v>
      </c>
      <c r="AU2477" t="s">
        <v>63</v>
      </c>
      <c r="AV2477" t="s">
        <v>60</v>
      </c>
      <c r="AW2477">
        <v>1</v>
      </c>
      <c r="AX2477">
        <v>4</v>
      </c>
      <c r="AY2477">
        <v>0</v>
      </c>
      <c r="AZ2477">
        <v>0</v>
      </c>
      <c r="BA2477">
        <v>100</v>
      </c>
      <c r="BB2477">
        <v>100</v>
      </c>
      <c r="BC2477">
        <v>100</v>
      </c>
      <c r="BD2477">
        <v>100</v>
      </c>
      <c r="BE2477">
        <v>1</v>
      </c>
      <c r="BF2477">
        <v>15000</v>
      </c>
      <c r="BG2477">
        <v>1000</v>
      </c>
      <c r="BH2477" s="6">
        <f>Grandview_Inventory[[#This Row],[land_extract]]*Lookups!$B$3</f>
        <v>75973.768389911173</v>
      </c>
      <c r="BI2477" s="6">
        <f>IF(Grandview_Inventory[[#This Row],[bldg_style]]="",0,Lookups!$B$2)</f>
        <v>155833.95000000001</v>
      </c>
      <c r="BJ2477" s="6">
        <f>_xlfn.IFNA(VLOOKUP(Grandview_Inventory[[#This Row],[quality]],Lookups!$H$2:$J$14,3,FALSE),0)</f>
        <v>2251</v>
      </c>
      <c r="BK2477" s="6">
        <f>_xlfn.IFNA(VLOOKUP(Grandview_Inventory[[#This Row],[condition]],Lookups!$H$17:$J$24,3,FALSE),0)</f>
        <v>-4503</v>
      </c>
      <c r="BL2477" s="6">
        <f>Grandview_Inventory[[#This Row],[Eff_Age]]*Lookups!$B$14</f>
        <v>-11001.6636</v>
      </c>
      <c r="BM2477" s="6">
        <f>Grandview_Inventory[[#This Row],[living_area]]*Lookups!$B$15</f>
        <v>159694.98368</v>
      </c>
      <c r="BN2477" s="6">
        <f>Grandview_Inventory[[#This Row],[Fin BSMT]]*Lookups!$B$16</f>
        <v>-34687.027200000004</v>
      </c>
      <c r="BO2477" s="6">
        <f>(Grandview_Inventory[[#This Row],[att_gar]]+Grandview_Inventory[[#This Row],[bltin_gar]])*Lookups!$B$17</f>
        <v>44110.300248</v>
      </c>
      <c r="BP2477" s="6">
        <f>Grandview_Inventory[[#This Row],[Plumbing Fixtures]]*Lookups!$B$18</f>
        <v>22114.859800000002</v>
      </c>
      <c r="BQ2477" s="6">
        <f>Grandview_Inventory[[#This Row],[detatched_value]]*Lookups!$B$19</f>
        <v>0</v>
      </c>
      <c r="BR2477" s="6">
        <f>SUM(Grandview_Inventory[[#This Row],[Intercept]:[det_value]])*Grandview_Inventory[[#This Row],[res_pct]]</f>
        <v>333813.40292800002</v>
      </c>
      <c r="BS2477" s="6">
        <f>Grandview_Inventory[[#This Row],[land_value]]</f>
        <v>75973.768389911173</v>
      </c>
      <c r="BT2477" s="4">
        <f>_xlfn.IFNA(VLOOKUP(Grandview_Inventory[[#This Row],[quality]],Lookups!$A$26:$C$33,3,FALSE),1)</f>
        <v>0.98763855981004833</v>
      </c>
      <c r="BU2477" s="4">
        <f>_xlfn.IFNA(VLOOKUP(Grandview_Inventory[[#This Row],[condition]],Lookups!$A$37:$C$44,3,FALSE),1)</f>
        <v>0.96469275950863709</v>
      </c>
      <c r="BV2477" s="4">
        <f>IF(Grandview_Inventory[[#This Row],[bldg_style]]="",1,_xlfn.IFNA(VLOOKUP(Grandview_Inventory[[#This Row],[decade]],Lookups!$F$29:$H$43,3,FALSE),1))</f>
        <v>0.95268620544463312</v>
      </c>
      <c r="BW2477" s="4">
        <f>_xlfn.IFNA(VLOOKUP(Grandview_Inventory[[#This Row],[living_area_range]],Lookups!$F$47:$H$56,3,FALSE),1)</f>
        <v>0.94224801443562123</v>
      </c>
      <c r="BX2477" s="4">
        <f>AVERAGE(Grandview_Inventory[[#This Row],[qual_adj]:[size_adj]])</f>
        <v>0.96181638479973497</v>
      </c>
      <c r="BY2477" s="6">
        <f>IF(Grandview_Inventory[[#This Row],[pre_res]]&lt;0,0,Grandview_Inventory[[#This Row],[pre_res]]*Grandview_Inventory[[#This Row],[overall_adj]])</f>
        <v>321067.20040190627</v>
      </c>
      <c r="BZ2477" s="6">
        <f>(Grandview_Inventory[[#This Row],[sum_land]]-IF(Grandview_Inventory[[#This Row],[no_utilities]]=1,12000,0))/IF(Grandview_Inventory[[#This Row],[unbuildable]]=1,2,1)</f>
        <v>75973.768389911173</v>
      </c>
      <c r="CA2477">
        <f>IF(ROUND(Grandview_Inventory[[#This Row],[adj_land]]*Lookups!$M$28,-2)&lt;Grandview_Inventory[[#This Row],[min_land]],Grandview_Inventory[[#This Row],[min_land]],ROUND(Grandview_Inventory[[#This Row],[adj_land]]*Lookups!$M$28,-2))</f>
        <v>72200</v>
      </c>
      <c r="CB2477">
        <f>ROUND(Grandview_Inventory[[#This Row],[det_value]]*Lookups!$M$28,-2)</f>
        <v>0</v>
      </c>
      <c r="CC2477">
        <f>IF(ROUND(Grandview_Inventory[[#This Row],[adj_res]]*Lookups!$M$28,-2)&lt;Grandview_Inventory[[#This Row],[min_res]],Grandview_Inventory[[#This Row],[min_res]],ROUND(Grandview_Inventory[[#This Row],[adj_res]]*Lookups!$M$28,-2))</f>
        <v>305000</v>
      </c>
      <c r="CD2477">
        <f>Grandview_Inventory[[#This Row],[final_det]]+Grandview_Inventory[[#This Row],[final_res]]</f>
        <v>305000</v>
      </c>
      <c r="CE2477">
        <f>Grandview_Inventory[[#This Row],[final_land]]+Grandview_Inventory[[#This Row],[final_imp]]+Grandview_Inventory[[#This Row],[crop_value]]</f>
        <v>377200</v>
      </c>
      <c r="CG2477" t="str">
        <f t="shared" si="38"/>
        <v>update valuation set market_land =72200, market_bldg=305000, market_total =377200, market_mdno =401, market_date ='9/10/2023' where link_id = (select link_id from parcel where parcel_year = '2024' and parcel_id = '23092714419');</v>
      </c>
    </row>
    <row r="2478" spans="1:85" x14ac:dyDescent="0.25">
      <c r="A2478">
        <v>23092714421</v>
      </c>
      <c r="B2478">
        <v>1.1299999999999999</v>
      </c>
      <c r="C2478" t="s">
        <v>129</v>
      </c>
      <c r="D2478" t="s">
        <v>129</v>
      </c>
      <c r="E2478" t="s">
        <v>53</v>
      </c>
      <c r="F2478" t="s">
        <v>53</v>
      </c>
      <c r="G2478">
        <v>4</v>
      </c>
      <c r="H2478" t="s">
        <v>54</v>
      </c>
      <c r="I2478">
        <v>300500</v>
      </c>
      <c r="J2478">
        <v>59900</v>
      </c>
      <c r="K2478">
        <v>1.1299999999999999</v>
      </c>
      <c r="L2478">
        <f>IF(Grandview_Inventory[[#This Row],[parcel_acres]]-Grandview_Inventory[[#This Row],[non_valued_acres]] =0,0,LN(Grandview_Inventory[[#This Row],[parcel_acres]]-Grandview_Inventory[[#This Row],[non_valued_acres]]))</f>
        <v>0.12221763272424911</v>
      </c>
      <c r="M2478">
        <v>0</v>
      </c>
      <c r="N2478">
        <v>0</v>
      </c>
      <c r="O2478">
        <v>0</v>
      </c>
      <c r="P2478">
        <v>13398.7528</v>
      </c>
      <c r="Q2478">
        <v>63903</v>
      </c>
      <c r="R2478">
        <f>(Grandview_Inventory[[#This Row],[ln_acres]]*Grandview_Inventory[[#This Row],[coeff]])+Grandview_Inventory[[#This Row],[const]]</f>
        <v>65540.56384867341</v>
      </c>
      <c r="S2478" t="s">
        <v>133</v>
      </c>
      <c r="T2478">
        <v>1</v>
      </c>
      <c r="U2478" t="s">
        <v>56</v>
      </c>
      <c r="V2478" t="s">
        <v>69</v>
      </c>
      <c r="W2478">
        <v>30700</v>
      </c>
      <c r="X2478">
        <v>0</v>
      </c>
      <c r="Y2478">
        <v>41</v>
      </c>
      <c r="Z2478">
        <v>41</v>
      </c>
      <c r="AA2478">
        <v>50</v>
      </c>
      <c r="AB2478">
        <v>4000</v>
      </c>
      <c r="AC2478">
        <v>3964</v>
      </c>
      <c r="AD2478">
        <v>2014</v>
      </c>
      <c r="AE2478">
        <v>0</v>
      </c>
      <c r="AF2478">
        <v>0</v>
      </c>
      <c r="AG2478">
        <v>1950</v>
      </c>
      <c r="AH2478">
        <v>0</v>
      </c>
      <c r="AI2478">
        <v>900</v>
      </c>
      <c r="AJ2478">
        <v>0</v>
      </c>
      <c r="AK2478">
        <v>0</v>
      </c>
      <c r="AL2478">
        <v>520</v>
      </c>
      <c r="AM2478">
        <v>520</v>
      </c>
      <c r="AN2478">
        <v>760</v>
      </c>
      <c r="AO2478">
        <v>760</v>
      </c>
      <c r="AP2478">
        <v>12</v>
      </c>
      <c r="AQ2478">
        <v>1</v>
      </c>
      <c r="AR2478">
        <v>0</v>
      </c>
      <c r="AS2478" t="s">
        <v>71</v>
      </c>
      <c r="AT2478">
        <v>1</v>
      </c>
      <c r="AU2478" t="s">
        <v>63</v>
      </c>
      <c r="AV2478" t="s">
        <v>60</v>
      </c>
      <c r="AW2478">
        <v>1</v>
      </c>
      <c r="AX2478">
        <v>4</v>
      </c>
      <c r="AY2478">
        <v>0</v>
      </c>
      <c r="AZ2478">
        <v>3500</v>
      </c>
      <c r="BA2478">
        <v>100</v>
      </c>
      <c r="BB2478">
        <v>100</v>
      </c>
      <c r="BC2478">
        <v>100</v>
      </c>
      <c r="BD2478">
        <v>100</v>
      </c>
      <c r="BE2478">
        <v>1</v>
      </c>
      <c r="BF2478">
        <v>15000</v>
      </c>
      <c r="BG2478">
        <v>1000</v>
      </c>
      <c r="BH2478" s="6">
        <f>Grandview_Inventory[[#This Row],[land_extract]]*Lookups!$B$3</f>
        <v>76112.079837942045</v>
      </c>
      <c r="BI2478" s="6">
        <f>IF(Grandview_Inventory[[#This Row],[bldg_style]]="",0,Lookups!$B$2)</f>
        <v>155833.95000000001</v>
      </c>
      <c r="BJ2478" s="6">
        <f>_xlfn.IFNA(VLOOKUP(Grandview_Inventory[[#This Row],[quality]],Lookups!$H$2:$J$14,3,FALSE),0)</f>
        <v>56323</v>
      </c>
      <c r="BK2478" s="6">
        <f>_xlfn.IFNA(VLOOKUP(Grandview_Inventory[[#This Row],[condition]],Lookups!$H$17:$J$24,3,FALSE),0)</f>
        <v>-4503</v>
      </c>
      <c r="BL2478" s="6">
        <f>Grandview_Inventory[[#This Row],[Eff_Age]]*Lookups!$B$14</f>
        <v>-9805.8305999999993</v>
      </c>
      <c r="BM2478" s="6">
        <f>Grandview_Inventory[[#This Row],[living_area]]*Lookups!$B$15</f>
        <v>247277.70129200001</v>
      </c>
      <c r="BN2478" s="6">
        <f>Grandview_Inventory[[#This Row],[Fin BSMT]]*Lookups!$B$16</f>
        <v>-52843.518000000004</v>
      </c>
      <c r="BO2478" s="6">
        <f>(Grandview_Inventory[[#This Row],[att_gar]]+Grandview_Inventory[[#This Row],[bltin_gar]])*Lookups!$B$17</f>
        <v>78768.393299999996</v>
      </c>
      <c r="BP2478" s="6">
        <f>Grandview_Inventory[[#This Row],[Plumbing Fixtures]]*Lookups!$B$18</f>
        <v>24125.301599999999</v>
      </c>
      <c r="BQ2478" s="6">
        <f>Grandview_Inventory[[#This Row],[detatched_value]]*Lookups!$B$19</f>
        <v>2963.8178499999999</v>
      </c>
      <c r="BR2478" s="6">
        <f>SUM(Grandview_Inventory[[#This Row],[Intercept]:[det_value]])*Grandview_Inventory[[#This Row],[res_pct]]</f>
        <v>498139.81544200005</v>
      </c>
      <c r="BS2478" s="6">
        <f>Grandview_Inventory[[#This Row],[land_value]]</f>
        <v>76112.079837942045</v>
      </c>
      <c r="BT2478" s="4">
        <f>_xlfn.IFNA(VLOOKUP(Grandview_Inventory[[#This Row],[quality]],Lookups!$A$26:$C$33,3,FALSE),1)</f>
        <v>0.76437650671582003</v>
      </c>
      <c r="BU2478" s="4">
        <f>_xlfn.IFNA(VLOOKUP(Grandview_Inventory[[#This Row],[condition]],Lookups!$A$37:$C$44,3,FALSE),1)</f>
        <v>0.96469275950863709</v>
      </c>
      <c r="BV2478" s="4">
        <f>IF(Grandview_Inventory[[#This Row],[bldg_style]]="",1,_xlfn.IFNA(VLOOKUP(Grandview_Inventory[[#This Row],[decade]],Lookups!$F$29:$H$43,3,FALSE),1))</f>
        <v>0.9871940091910919</v>
      </c>
      <c r="BW2478" s="4">
        <f>_xlfn.IFNA(VLOOKUP(Grandview_Inventory[[#This Row],[living_area_range]],Lookups!$F$47:$H$56,3,FALSE),1)</f>
        <v>0.90089875105039252</v>
      </c>
      <c r="BX2478" s="4">
        <f>AVERAGE(Grandview_Inventory[[#This Row],[qual_adj]:[size_adj]])</f>
        <v>0.90429050661648547</v>
      </c>
      <c r="BY2478" s="6">
        <f>IF(Grandview_Inventory[[#This Row],[pre_res]]&lt;0,0,Grandview_Inventory[[#This Row],[pre_res]]*Grandview_Inventory[[#This Row],[overall_adj]])</f>
        <v>450463.10607188882</v>
      </c>
      <c r="BZ2478" s="6">
        <f>(Grandview_Inventory[[#This Row],[sum_land]]-IF(Grandview_Inventory[[#This Row],[no_utilities]]=1,12000,0))/IF(Grandview_Inventory[[#This Row],[unbuildable]]=1,2,1)</f>
        <v>76112.079837942045</v>
      </c>
      <c r="CA2478">
        <f>IF(ROUND(Grandview_Inventory[[#This Row],[adj_land]]*Lookups!$M$28,-2)&lt;Grandview_Inventory[[#This Row],[min_land]],Grandview_Inventory[[#This Row],[min_land]],ROUND(Grandview_Inventory[[#This Row],[adj_land]]*Lookups!$M$28,-2))</f>
        <v>72300</v>
      </c>
      <c r="CB2478">
        <f>ROUND(Grandview_Inventory[[#This Row],[det_value]]*Lookups!$M$28,-2)</f>
        <v>2800</v>
      </c>
      <c r="CC2478">
        <f>IF(ROUND(Grandview_Inventory[[#This Row],[adj_res]]*Lookups!$M$28,-2)&lt;Grandview_Inventory[[#This Row],[min_res]],Grandview_Inventory[[#This Row],[min_res]],ROUND(Grandview_Inventory[[#This Row],[adj_res]]*Lookups!$M$28,-2))</f>
        <v>427900</v>
      </c>
      <c r="CD2478">
        <f>Grandview_Inventory[[#This Row],[final_det]]+Grandview_Inventory[[#This Row],[final_res]]</f>
        <v>430700</v>
      </c>
      <c r="CE2478">
        <f>Grandview_Inventory[[#This Row],[final_land]]+Grandview_Inventory[[#This Row],[final_imp]]+Grandview_Inventory[[#This Row],[crop_value]]</f>
        <v>503000</v>
      </c>
      <c r="CG2478" t="str">
        <f t="shared" si="38"/>
        <v>update valuation set market_land =72300, market_bldg=430700, market_total =503000, market_mdno =401, market_date ='9/10/2023' where link_id = (select link_id from parcel where parcel_year = '2024' and parcel_id = '23092714421');</v>
      </c>
    </row>
    <row r="2479" spans="1:85" x14ac:dyDescent="0.25">
      <c r="A2479">
        <v>23092714422</v>
      </c>
      <c r="B2479">
        <v>0.28999999999999998</v>
      </c>
      <c r="C2479" t="s">
        <v>129</v>
      </c>
      <c r="D2479" t="s">
        <v>129</v>
      </c>
      <c r="E2479" t="s">
        <v>53</v>
      </c>
      <c r="F2479" t="s">
        <v>53</v>
      </c>
      <c r="G2479">
        <v>4</v>
      </c>
      <c r="H2479" t="s">
        <v>54</v>
      </c>
      <c r="I2479">
        <v>222700</v>
      </c>
      <c r="J2479">
        <v>44200</v>
      </c>
      <c r="K2479">
        <v>0.28999999999999998</v>
      </c>
      <c r="L2479">
        <f>IF(Grandview_Inventory[[#This Row],[parcel_acres]]-Grandview_Inventory[[#This Row],[non_valued_acres]] =0,0,LN(Grandview_Inventory[[#This Row],[parcel_acres]]-Grandview_Inventory[[#This Row],[non_valued_acres]]))</f>
        <v>-1.2378743560016174</v>
      </c>
      <c r="M2479">
        <v>0</v>
      </c>
      <c r="N2479">
        <v>0</v>
      </c>
      <c r="O2479">
        <v>0</v>
      </c>
      <c r="P2479">
        <v>13398.7528</v>
      </c>
      <c r="Q2479">
        <v>63903</v>
      </c>
      <c r="R2479">
        <f>(Grandview_Inventory[[#This Row],[ln_acres]]*Grandview_Inventory[[#This Row],[coeff]])+Grandview_Inventory[[#This Row],[const]]</f>
        <v>47317.027506475133</v>
      </c>
      <c r="S2479" t="s">
        <v>77</v>
      </c>
      <c r="T2479">
        <v>1</v>
      </c>
      <c r="U2479" t="s">
        <v>65</v>
      </c>
      <c r="V2479" t="s">
        <v>69</v>
      </c>
      <c r="W2479">
        <v>0</v>
      </c>
      <c r="X2479">
        <v>0</v>
      </c>
      <c r="Y2479">
        <v>47</v>
      </c>
      <c r="Z2479">
        <v>57</v>
      </c>
      <c r="AA2479">
        <v>60</v>
      </c>
      <c r="AB2479">
        <v>3000</v>
      </c>
      <c r="AC2479">
        <v>2704</v>
      </c>
      <c r="AD2479">
        <v>1664</v>
      </c>
      <c r="AE2479">
        <v>0</v>
      </c>
      <c r="AF2479">
        <v>0</v>
      </c>
      <c r="AG2479">
        <v>1040</v>
      </c>
      <c r="AH2479">
        <v>0</v>
      </c>
      <c r="AI2479">
        <v>0</v>
      </c>
      <c r="AJ2479">
        <v>0</v>
      </c>
      <c r="AK2479">
        <v>0</v>
      </c>
      <c r="AL2479">
        <v>412</v>
      </c>
      <c r="AM2479">
        <v>0</v>
      </c>
      <c r="AN2479">
        <v>0</v>
      </c>
      <c r="AO2479">
        <v>0</v>
      </c>
      <c r="AP2479">
        <v>8</v>
      </c>
      <c r="AQ2479">
        <v>2</v>
      </c>
      <c r="AR2479">
        <v>0</v>
      </c>
      <c r="AS2479" t="s">
        <v>58</v>
      </c>
      <c r="AT2479">
        <v>1</v>
      </c>
      <c r="AU2479" t="s">
        <v>63</v>
      </c>
      <c r="AV2479" t="s">
        <v>64</v>
      </c>
      <c r="AW2479">
        <v>1</v>
      </c>
      <c r="AX2479">
        <v>4</v>
      </c>
      <c r="AY2479">
        <v>0</v>
      </c>
      <c r="AZ2479">
        <v>0</v>
      </c>
      <c r="BA2479">
        <v>100</v>
      </c>
      <c r="BB2479">
        <v>100</v>
      </c>
      <c r="BC2479">
        <v>100</v>
      </c>
      <c r="BD2479">
        <v>100</v>
      </c>
      <c r="BE2479">
        <v>1</v>
      </c>
      <c r="BF2479">
        <v>15000</v>
      </c>
      <c r="BG2479">
        <v>1000</v>
      </c>
      <c r="BH2479" s="6">
        <f>Grandview_Inventory[[#This Row],[land_extract]]*Lookups!$B$3</f>
        <v>54949.136287295303</v>
      </c>
      <c r="BI2479" s="6">
        <f>IF(Grandview_Inventory[[#This Row],[bldg_style]]="",0,Lookups!$B$2)</f>
        <v>155833.95000000001</v>
      </c>
      <c r="BJ2479" s="6">
        <f>_xlfn.IFNA(VLOOKUP(Grandview_Inventory[[#This Row],[quality]],Lookups!$H$2:$J$14,3,FALSE),0)</f>
        <v>2251</v>
      </c>
      <c r="BK2479" s="6">
        <f>_xlfn.IFNA(VLOOKUP(Grandview_Inventory[[#This Row],[condition]],Lookups!$H$17:$J$24,3,FALSE),0)</f>
        <v>-4503</v>
      </c>
      <c r="BL2479" s="6">
        <f>Grandview_Inventory[[#This Row],[Eff_Age]]*Lookups!$B$14</f>
        <v>-11240.8302</v>
      </c>
      <c r="BM2479" s="6">
        <f>Grandview_Inventory[[#This Row],[living_area]]*Lookups!$B$15</f>
        <v>168677.826512</v>
      </c>
      <c r="BN2479" s="6">
        <f>Grandview_Inventory[[#This Row],[Fin BSMT]]*Lookups!$B$16</f>
        <v>-28183.209600000002</v>
      </c>
      <c r="BO2479" s="6">
        <f>(Grandview_Inventory[[#This Row],[att_gar]]+Grandview_Inventory[[#This Row],[bltin_gar]])*Lookups!$B$17</f>
        <v>0</v>
      </c>
      <c r="BP2479" s="6">
        <f>Grandview_Inventory[[#This Row],[Plumbing Fixtures]]*Lookups!$B$18</f>
        <v>16083.5344</v>
      </c>
      <c r="BQ2479" s="6">
        <f>Grandview_Inventory[[#This Row],[detatched_value]]*Lookups!$B$19</f>
        <v>0</v>
      </c>
      <c r="BR2479" s="6">
        <f>SUM(Grandview_Inventory[[#This Row],[Intercept]:[det_value]])*Grandview_Inventory[[#This Row],[res_pct]]</f>
        <v>298919.27111200005</v>
      </c>
      <c r="BS2479" s="6">
        <f>Grandview_Inventory[[#This Row],[land_value]]</f>
        <v>54949.136287295303</v>
      </c>
      <c r="BT2479" s="4">
        <f>_xlfn.IFNA(VLOOKUP(Grandview_Inventory[[#This Row],[quality]],Lookups!$A$26:$C$33,3,FALSE),1)</f>
        <v>0.98763855981004833</v>
      </c>
      <c r="BU2479" s="4">
        <f>_xlfn.IFNA(VLOOKUP(Grandview_Inventory[[#This Row],[condition]],Lookups!$A$37:$C$44,3,FALSE),1)</f>
        <v>0.96469275950863709</v>
      </c>
      <c r="BV2479" s="4">
        <f>IF(Grandview_Inventory[[#This Row],[bldg_style]]="",1,_xlfn.IFNA(VLOOKUP(Grandview_Inventory[[#This Row],[decade]],Lookups!$F$29:$H$43,3,FALSE),1))</f>
        <v>0.95268620544463312</v>
      </c>
      <c r="BW2479" s="4">
        <f>_xlfn.IFNA(VLOOKUP(Grandview_Inventory[[#This Row],[living_area_range]],Lookups!$F$47:$H$56,3,FALSE),1)</f>
        <v>0.94224801443562123</v>
      </c>
      <c r="BX2479" s="4">
        <f>AVERAGE(Grandview_Inventory[[#This Row],[qual_adj]:[size_adj]])</f>
        <v>0.96181638479973497</v>
      </c>
      <c r="BY2479" s="6">
        <f>IF(Grandview_Inventory[[#This Row],[pre_res]]&lt;0,0,Grandview_Inventory[[#This Row],[pre_res]]*Grandview_Inventory[[#This Row],[overall_adj]])</f>
        <v>287505.45268791576</v>
      </c>
      <c r="BZ2479" s="6">
        <f>(Grandview_Inventory[[#This Row],[sum_land]]-IF(Grandview_Inventory[[#This Row],[no_utilities]]=1,12000,0))/IF(Grandview_Inventory[[#This Row],[unbuildable]]=1,2,1)</f>
        <v>54949.136287295303</v>
      </c>
      <c r="CA2479">
        <f>IF(ROUND(Grandview_Inventory[[#This Row],[adj_land]]*Lookups!$M$28,-2)&lt;Grandview_Inventory[[#This Row],[min_land]],Grandview_Inventory[[#This Row],[min_land]],ROUND(Grandview_Inventory[[#This Row],[adj_land]]*Lookups!$M$28,-2))</f>
        <v>52200</v>
      </c>
      <c r="CB2479">
        <f>ROUND(Grandview_Inventory[[#This Row],[det_value]]*Lookups!$M$28,-2)</f>
        <v>0</v>
      </c>
      <c r="CC2479">
        <f>IF(ROUND(Grandview_Inventory[[#This Row],[adj_res]]*Lookups!$M$28,-2)&lt;Grandview_Inventory[[#This Row],[min_res]],Grandview_Inventory[[#This Row],[min_res]],ROUND(Grandview_Inventory[[#This Row],[adj_res]]*Lookups!$M$28,-2))</f>
        <v>273100</v>
      </c>
      <c r="CD2479">
        <f>Grandview_Inventory[[#This Row],[final_det]]+Grandview_Inventory[[#This Row],[final_res]]</f>
        <v>273100</v>
      </c>
      <c r="CE2479">
        <f>Grandview_Inventory[[#This Row],[final_land]]+Grandview_Inventory[[#This Row],[final_imp]]+Grandview_Inventory[[#This Row],[crop_value]]</f>
        <v>325300</v>
      </c>
      <c r="CG2479" t="str">
        <f t="shared" si="38"/>
        <v>update valuation set market_land =52200, market_bldg=273100, market_total =325300, market_mdno =401, market_date ='9/10/2023' where link_id = (select link_id from parcel where parcel_year = '2024' and parcel_id = '23092714422');</v>
      </c>
    </row>
    <row r="2480" spans="1:85" x14ac:dyDescent="0.25">
      <c r="A2480">
        <v>23092714433</v>
      </c>
      <c r="B2480">
        <v>0.56000000000000005</v>
      </c>
      <c r="C2480">
        <v>24438</v>
      </c>
      <c r="D2480" t="s">
        <v>129</v>
      </c>
      <c r="E2480" t="s">
        <v>53</v>
      </c>
      <c r="F2480" t="s">
        <v>53</v>
      </c>
      <c r="G2480">
        <v>4</v>
      </c>
      <c r="H2480" t="s">
        <v>54</v>
      </c>
      <c r="I2480">
        <v>253800</v>
      </c>
      <c r="J2480">
        <v>51400</v>
      </c>
      <c r="K2480">
        <v>0.56000000000000005</v>
      </c>
      <c r="L2480">
        <f>IF(Grandview_Inventory[[#This Row],[parcel_acres]]-Grandview_Inventory[[#This Row],[non_valued_acres]] =0,0,LN(Grandview_Inventory[[#This Row],[parcel_acres]]-Grandview_Inventory[[#This Row],[non_valued_acres]]))</f>
        <v>-0.57981849525294205</v>
      </c>
      <c r="M2480">
        <v>0</v>
      </c>
      <c r="N2480">
        <v>0</v>
      </c>
      <c r="O2480">
        <v>0</v>
      </c>
      <c r="P2480">
        <v>13398.7528</v>
      </c>
      <c r="Q2480">
        <v>63903</v>
      </c>
      <c r="R2480">
        <f>(Grandview_Inventory[[#This Row],[ln_acres]]*Grandview_Inventory[[#This Row],[coeff]])+Grandview_Inventory[[#This Row],[const]]</f>
        <v>56134.155313237854</v>
      </c>
      <c r="S2480" t="s">
        <v>61</v>
      </c>
      <c r="T2480">
        <v>1</v>
      </c>
      <c r="U2480" t="s">
        <v>65</v>
      </c>
      <c r="V2480" t="s">
        <v>69</v>
      </c>
      <c r="W2480">
        <v>0</v>
      </c>
      <c r="X2480">
        <v>0</v>
      </c>
      <c r="Y2480">
        <v>43</v>
      </c>
      <c r="Z2480">
        <v>45</v>
      </c>
      <c r="AA2480">
        <v>50</v>
      </c>
      <c r="AB2480">
        <v>3500</v>
      </c>
      <c r="AC2480">
        <v>3134</v>
      </c>
      <c r="AD2480">
        <v>2070</v>
      </c>
      <c r="AE2480">
        <v>0</v>
      </c>
      <c r="AF2480">
        <v>0</v>
      </c>
      <c r="AG2480">
        <v>1064</v>
      </c>
      <c r="AH2480">
        <v>0</v>
      </c>
      <c r="AI2480">
        <v>0</v>
      </c>
      <c r="AJ2480">
        <v>624</v>
      </c>
      <c r="AK2480">
        <v>0</v>
      </c>
      <c r="AL2480">
        <v>0</v>
      </c>
      <c r="AM2480">
        <v>140</v>
      </c>
      <c r="AN2480">
        <v>176</v>
      </c>
      <c r="AO2480">
        <v>0</v>
      </c>
      <c r="AP2480">
        <v>11</v>
      </c>
      <c r="AQ2480">
        <v>0</v>
      </c>
      <c r="AR2480">
        <v>0</v>
      </c>
      <c r="AS2480" t="s">
        <v>58</v>
      </c>
      <c r="AT2480">
        <v>1</v>
      </c>
      <c r="AU2480" t="s">
        <v>63</v>
      </c>
      <c r="AV2480" t="s">
        <v>64</v>
      </c>
      <c r="AW2480">
        <v>1</v>
      </c>
      <c r="AX2480">
        <v>3</v>
      </c>
      <c r="AY2480">
        <v>0</v>
      </c>
      <c r="AZ2480">
        <v>0</v>
      </c>
      <c r="BA2480">
        <v>100</v>
      </c>
      <c r="BB2480">
        <v>100</v>
      </c>
      <c r="BC2480">
        <v>100</v>
      </c>
      <c r="BD2480">
        <v>100</v>
      </c>
      <c r="BE2480">
        <v>1</v>
      </c>
      <c r="BF2480">
        <v>15000</v>
      </c>
      <c r="BG2480">
        <v>1000</v>
      </c>
      <c r="BH2480" s="6">
        <f>Grandview_Inventory[[#This Row],[land_extract]]*Lookups!$B$3</f>
        <v>65188.443003043772</v>
      </c>
      <c r="BI2480" s="6">
        <f>IF(Grandview_Inventory[[#This Row],[bldg_style]]="",0,Lookups!$B$2)</f>
        <v>155833.95000000001</v>
      </c>
      <c r="BJ2480" s="6">
        <f>_xlfn.IFNA(VLOOKUP(Grandview_Inventory[[#This Row],[quality]],Lookups!$H$2:$J$14,3,FALSE),0)</f>
        <v>2251</v>
      </c>
      <c r="BK2480" s="6">
        <f>_xlfn.IFNA(VLOOKUP(Grandview_Inventory[[#This Row],[condition]],Lookups!$H$17:$J$24,3,FALSE),0)</f>
        <v>-4503</v>
      </c>
      <c r="BL2480" s="6">
        <f>Grandview_Inventory[[#This Row],[Eff_Age]]*Lookups!$B$14</f>
        <v>-10284.1638</v>
      </c>
      <c r="BM2480" s="6">
        <f>Grandview_Inventory[[#This Row],[living_area]]*Lookups!$B$15</f>
        <v>195501.59330199999</v>
      </c>
      <c r="BN2480" s="6">
        <f>Grandview_Inventory[[#This Row],[Fin BSMT]]*Lookups!$B$16</f>
        <v>-28833.591360000002</v>
      </c>
      <c r="BO2480" s="6">
        <f>(Grandview_Inventory[[#This Row],[att_gar]]+Grandview_Inventory[[#This Row],[bltin_gar]])*Lookups!$B$17</f>
        <v>54612.752688</v>
      </c>
      <c r="BP2480" s="6">
        <f>Grandview_Inventory[[#This Row],[Plumbing Fixtures]]*Lookups!$B$18</f>
        <v>22114.859800000002</v>
      </c>
      <c r="BQ2480" s="6">
        <f>Grandview_Inventory[[#This Row],[detatched_value]]*Lookups!$B$19</f>
        <v>0</v>
      </c>
      <c r="BR2480" s="6">
        <f>SUM(Grandview_Inventory[[#This Row],[Intercept]:[det_value]])*Grandview_Inventory[[#This Row],[res_pct]]</f>
        <v>386693.40062999993</v>
      </c>
      <c r="BS2480" s="6">
        <f>Grandview_Inventory[[#This Row],[land_value]]</f>
        <v>65188.443003043772</v>
      </c>
      <c r="BT2480" s="4">
        <f>_xlfn.IFNA(VLOOKUP(Grandview_Inventory[[#This Row],[quality]],Lookups!$A$26:$C$33,3,FALSE),1)</f>
        <v>0.98763855981004833</v>
      </c>
      <c r="BU2480" s="4">
        <f>_xlfn.IFNA(VLOOKUP(Grandview_Inventory[[#This Row],[condition]],Lookups!$A$37:$C$44,3,FALSE),1)</f>
        <v>0.96469275950863709</v>
      </c>
      <c r="BV2480" s="4">
        <f>IF(Grandview_Inventory[[#This Row],[bldg_style]]="",1,_xlfn.IFNA(VLOOKUP(Grandview_Inventory[[#This Row],[decade]],Lookups!$F$29:$H$43,3,FALSE),1))</f>
        <v>0.9871940091910919</v>
      </c>
      <c r="BW2480" s="4">
        <f>_xlfn.IFNA(VLOOKUP(Grandview_Inventory[[#This Row],[living_area_range]],Lookups!$F$47:$H$56,3,FALSE),1)</f>
        <v>1.0170112215140563</v>
      </c>
      <c r="BX2480" s="4">
        <f>AVERAGE(Grandview_Inventory[[#This Row],[qual_adj]:[size_adj]])</f>
        <v>0.98913413750595836</v>
      </c>
      <c r="BY2480" s="6">
        <f>IF(Grandview_Inventory[[#This Row],[pre_res]]&lt;0,0,Grandview_Inventory[[#This Row],[pre_res]]*Grandview_Inventory[[#This Row],[overall_adj]])</f>
        <v>382491.64331140101</v>
      </c>
      <c r="BZ2480" s="6">
        <f>(Grandview_Inventory[[#This Row],[sum_land]]-IF(Grandview_Inventory[[#This Row],[no_utilities]]=1,12000,0))/IF(Grandview_Inventory[[#This Row],[unbuildable]]=1,2,1)</f>
        <v>65188.443003043772</v>
      </c>
      <c r="CA2480">
        <f>IF(ROUND(Grandview_Inventory[[#This Row],[adj_land]]*Lookups!$M$28,-2)&lt;Grandview_Inventory[[#This Row],[min_land]],Grandview_Inventory[[#This Row],[min_land]],ROUND(Grandview_Inventory[[#This Row],[adj_land]]*Lookups!$M$28,-2))</f>
        <v>61900</v>
      </c>
      <c r="CB2480">
        <f>ROUND(Grandview_Inventory[[#This Row],[det_value]]*Lookups!$M$28,-2)</f>
        <v>0</v>
      </c>
      <c r="CC2480">
        <f>IF(ROUND(Grandview_Inventory[[#This Row],[adj_res]]*Lookups!$M$28,-2)&lt;Grandview_Inventory[[#This Row],[min_res]],Grandview_Inventory[[#This Row],[min_res]],ROUND(Grandview_Inventory[[#This Row],[adj_res]]*Lookups!$M$28,-2))</f>
        <v>363400</v>
      </c>
      <c r="CD2480">
        <f>Grandview_Inventory[[#This Row],[final_det]]+Grandview_Inventory[[#This Row],[final_res]]</f>
        <v>363400</v>
      </c>
      <c r="CE2480">
        <f>Grandview_Inventory[[#This Row],[final_land]]+Grandview_Inventory[[#This Row],[final_imp]]+Grandview_Inventory[[#This Row],[crop_value]]</f>
        <v>425300</v>
      </c>
      <c r="CG2480" t="str">
        <f t="shared" si="38"/>
        <v>update valuation set market_land =61900, market_bldg=363400, market_total =425300, market_mdno =401, market_date ='9/10/2023' where link_id = (select link_id from parcel where parcel_year = '2024' and parcel_id = '23092714433');</v>
      </c>
    </row>
    <row r="2481" spans="1:85" x14ac:dyDescent="0.25">
      <c r="A2481">
        <v>23092714436</v>
      </c>
      <c r="B2481">
        <v>0.28000000000000003</v>
      </c>
      <c r="C2481">
        <v>12054</v>
      </c>
      <c r="D2481" t="s">
        <v>129</v>
      </c>
      <c r="E2481" t="s">
        <v>53</v>
      </c>
      <c r="F2481" t="s">
        <v>53</v>
      </c>
      <c r="G2481">
        <v>4</v>
      </c>
      <c r="H2481" t="s">
        <v>54</v>
      </c>
      <c r="I2481">
        <v>232500</v>
      </c>
      <c r="J2481">
        <v>43800</v>
      </c>
      <c r="K2481">
        <v>0.28000000000000003</v>
      </c>
      <c r="L2481">
        <f>IF(Grandview_Inventory[[#This Row],[parcel_acres]]-Grandview_Inventory[[#This Row],[non_valued_acres]] =0,0,LN(Grandview_Inventory[[#This Row],[parcel_acres]]-Grandview_Inventory[[#This Row],[non_valued_acres]]))</f>
        <v>-1.2729656758128873</v>
      </c>
      <c r="M2481">
        <v>0</v>
      </c>
      <c r="N2481">
        <v>0</v>
      </c>
      <c r="O2481">
        <v>0</v>
      </c>
      <c r="P2481">
        <v>13398.7528</v>
      </c>
      <c r="Q2481">
        <v>63903</v>
      </c>
      <c r="R2481">
        <f>(Grandview_Inventory[[#This Row],[ln_acres]]*Grandview_Inventory[[#This Row],[coeff]])+Grandview_Inventory[[#This Row],[const]]</f>
        <v>46846.847586898184</v>
      </c>
      <c r="S2481" t="s">
        <v>61</v>
      </c>
      <c r="T2481">
        <v>1</v>
      </c>
      <c r="U2481" t="s">
        <v>65</v>
      </c>
      <c r="V2481" t="s">
        <v>69</v>
      </c>
      <c r="W2481">
        <v>0</v>
      </c>
      <c r="X2481">
        <v>0</v>
      </c>
      <c r="Y2481">
        <v>43</v>
      </c>
      <c r="Z2481">
        <v>44</v>
      </c>
      <c r="AA2481">
        <v>50</v>
      </c>
      <c r="AB2481">
        <v>3000</v>
      </c>
      <c r="AC2481">
        <v>2576</v>
      </c>
      <c r="AD2481">
        <v>1472</v>
      </c>
      <c r="AE2481">
        <v>0</v>
      </c>
      <c r="AF2481">
        <v>0</v>
      </c>
      <c r="AG2481">
        <v>1104</v>
      </c>
      <c r="AH2481">
        <v>368</v>
      </c>
      <c r="AI2481">
        <v>576</v>
      </c>
      <c r="AJ2481">
        <v>0</v>
      </c>
      <c r="AK2481">
        <v>0</v>
      </c>
      <c r="AL2481">
        <v>0</v>
      </c>
      <c r="AM2481">
        <v>392</v>
      </c>
      <c r="AN2481">
        <v>28</v>
      </c>
      <c r="AO2481">
        <v>0</v>
      </c>
      <c r="AP2481">
        <v>12</v>
      </c>
      <c r="AQ2481">
        <v>0</v>
      </c>
      <c r="AR2481">
        <v>0</v>
      </c>
      <c r="AS2481" t="s">
        <v>58</v>
      </c>
      <c r="AT2481">
        <v>1</v>
      </c>
      <c r="AU2481" t="s">
        <v>63</v>
      </c>
      <c r="AV2481" t="s">
        <v>60</v>
      </c>
      <c r="AW2481">
        <v>1</v>
      </c>
      <c r="AX2481">
        <v>4</v>
      </c>
      <c r="AY2481">
        <v>0</v>
      </c>
      <c r="AZ2481">
        <v>0</v>
      </c>
      <c r="BA2481">
        <v>100</v>
      </c>
      <c r="BB2481">
        <v>100</v>
      </c>
      <c r="BC2481">
        <v>100</v>
      </c>
      <c r="BD2481">
        <v>100</v>
      </c>
      <c r="BE2481">
        <v>1</v>
      </c>
      <c r="BF2481">
        <v>15000</v>
      </c>
      <c r="BG2481">
        <v>1000</v>
      </c>
      <c r="BH2481" s="6">
        <f>Grandview_Inventory[[#This Row],[land_extract]]*Lookups!$B$3</f>
        <v>54403.117616176372</v>
      </c>
      <c r="BI2481" s="6">
        <f>IF(Grandview_Inventory[[#This Row],[bldg_style]]="",0,Lookups!$B$2)</f>
        <v>155833.95000000001</v>
      </c>
      <c r="BJ2481" s="6">
        <f>_xlfn.IFNA(VLOOKUP(Grandview_Inventory[[#This Row],[quality]],Lookups!$H$2:$J$14,3,FALSE),0)</f>
        <v>2251</v>
      </c>
      <c r="BK2481" s="6">
        <f>_xlfn.IFNA(VLOOKUP(Grandview_Inventory[[#This Row],[condition]],Lookups!$H$17:$J$24,3,FALSE),0)</f>
        <v>-4503</v>
      </c>
      <c r="BL2481" s="6">
        <f>Grandview_Inventory[[#This Row],[Eff_Age]]*Lookups!$B$14</f>
        <v>-10284.1638</v>
      </c>
      <c r="BM2481" s="6">
        <f>Grandview_Inventory[[#This Row],[living_area]]*Lookups!$B$15</f>
        <v>160693.07732800001</v>
      </c>
      <c r="BN2481" s="6">
        <f>Grandview_Inventory[[#This Row],[Fin BSMT]]*Lookups!$B$16</f>
        <v>-29917.560960000003</v>
      </c>
      <c r="BO2481" s="6">
        <f>(Grandview_Inventory[[#This Row],[att_gar]]+Grandview_Inventory[[#This Row],[bltin_gar]])*Lookups!$B$17</f>
        <v>50411.771712000002</v>
      </c>
      <c r="BP2481" s="6">
        <f>Grandview_Inventory[[#This Row],[Plumbing Fixtures]]*Lookups!$B$18</f>
        <v>24125.301599999999</v>
      </c>
      <c r="BQ2481" s="6">
        <f>Grandview_Inventory[[#This Row],[detatched_value]]*Lookups!$B$19</f>
        <v>0</v>
      </c>
      <c r="BR2481" s="6">
        <f>SUM(Grandview_Inventory[[#This Row],[Intercept]:[det_value]])*Grandview_Inventory[[#This Row],[res_pct]]</f>
        <v>348610.37588000007</v>
      </c>
      <c r="BS2481" s="6">
        <f>Grandview_Inventory[[#This Row],[land_value]]</f>
        <v>54403.117616176372</v>
      </c>
      <c r="BT2481" s="4">
        <f>_xlfn.IFNA(VLOOKUP(Grandview_Inventory[[#This Row],[quality]],Lookups!$A$26:$C$33,3,FALSE),1)</f>
        <v>0.98763855981004833</v>
      </c>
      <c r="BU2481" s="4">
        <f>_xlfn.IFNA(VLOOKUP(Grandview_Inventory[[#This Row],[condition]],Lookups!$A$37:$C$44,3,FALSE),1)</f>
        <v>0.96469275950863709</v>
      </c>
      <c r="BV2481" s="4">
        <f>IF(Grandview_Inventory[[#This Row],[bldg_style]]="",1,_xlfn.IFNA(VLOOKUP(Grandview_Inventory[[#This Row],[decade]],Lookups!$F$29:$H$43,3,FALSE),1))</f>
        <v>0.9871940091910919</v>
      </c>
      <c r="BW2481" s="4">
        <f>_xlfn.IFNA(VLOOKUP(Grandview_Inventory[[#This Row],[living_area_range]],Lookups!$F$47:$H$56,3,FALSE),1)</f>
        <v>0.94224801443562123</v>
      </c>
      <c r="BX2481" s="4">
        <f>AVERAGE(Grandview_Inventory[[#This Row],[qual_adj]:[size_adj]])</f>
        <v>0.97044333573634967</v>
      </c>
      <c r="BY2481" s="6">
        <f>IF(Grandview_Inventory[[#This Row],[pre_res]]&lt;0,0,Grandview_Inventory[[#This Row],[pre_res]]*Grandview_Inventory[[#This Row],[overall_adj]])</f>
        <v>338306.61604128993</v>
      </c>
      <c r="BZ2481" s="6">
        <f>(Grandview_Inventory[[#This Row],[sum_land]]-IF(Grandview_Inventory[[#This Row],[no_utilities]]=1,12000,0))/IF(Grandview_Inventory[[#This Row],[unbuildable]]=1,2,1)</f>
        <v>54403.117616176372</v>
      </c>
      <c r="CA2481">
        <f>IF(ROUND(Grandview_Inventory[[#This Row],[adj_land]]*Lookups!$M$28,-2)&lt;Grandview_Inventory[[#This Row],[min_land]],Grandview_Inventory[[#This Row],[min_land]],ROUND(Grandview_Inventory[[#This Row],[adj_land]]*Lookups!$M$28,-2))</f>
        <v>51700</v>
      </c>
      <c r="CB2481">
        <f>ROUND(Grandview_Inventory[[#This Row],[det_value]]*Lookups!$M$28,-2)</f>
        <v>0</v>
      </c>
      <c r="CC2481">
        <f>IF(ROUND(Grandview_Inventory[[#This Row],[adj_res]]*Lookups!$M$28,-2)&lt;Grandview_Inventory[[#This Row],[min_res]],Grandview_Inventory[[#This Row],[min_res]],ROUND(Grandview_Inventory[[#This Row],[adj_res]]*Lookups!$M$28,-2))</f>
        <v>321400</v>
      </c>
      <c r="CD2481">
        <f>Grandview_Inventory[[#This Row],[final_det]]+Grandview_Inventory[[#This Row],[final_res]]</f>
        <v>321400</v>
      </c>
      <c r="CE2481">
        <f>Grandview_Inventory[[#This Row],[final_land]]+Grandview_Inventory[[#This Row],[final_imp]]+Grandview_Inventory[[#This Row],[crop_value]]</f>
        <v>373100</v>
      </c>
      <c r="CG2481" t="str">
        <f t="shared" si="38"/>
        <v>update valuation set market_land =51700, market_bldg=321400, market_total =373100, market_mdno =401, market_date ='9/10/2023' where link_id = (select link_id from parcel where parcel_year = '2024' and parcel_id = '23092714436');</v>
      </c>
    </row>
    <row r="2482" spans="1:85" x14ac:dyDescent="0.25">
      <c r="A2482">
        <v>23092714437</v>
      </c>
      <c r="B2482">
        <v>0.26</v>
      </c>
      <c r="C2482">
        <v>11535</v>
      </c>
      <c r="D2482" t="s">
        <v>129</v>
      </c>
      <c r="E2482" t="s">
        <v>53</v>
      </c>
      <c r="F2482" t="s">
        <v>53</v>
      </c>
      <c r="G2482">
        <v>4</v>
      </c>
      <c r="H2482" t="s">
        <v>54</v>
      </c>
      <c r="I2482">
        <v>276300</v>
      </c>
      <c r="J2482">
        <v>43500</v>
      </c>
      <c r="K2482">
        <v>0.26</v>
      </c>
      <c r="L248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482">
        <v>0</v>
      </c>
      <c r="N2482">
        <v>0</v>
      </c>
      <c r="O2482">
        <v>0</v>
      </c>
      <c r="P2482">
        <v>13398.7528</v>
      </c>
      <c r="Q2482">
        <v>63903</v>
      </c>
      <c r="R2482">
        <f>(Grandview_Inventory[[#This Row],[ln_acres]]*Grandview_Inventory[[#This Row],[coeff]])+Grandview_Inventory[[#This Row],[const]]</f>
        <v>45853.893187501177</v>
      </c>
      <c r="S2482" t="s">
        <v>61</v>
      </c>
      <c r="T2482">
        <v>1</v>
      </c>
      <c r="U2482" t="s">
        <v>64</v>
      </c>
      <c r="V2482" t="s">
        <v>69</v>
      </c>
      <c r="W2482">
        <v>0</v>
      </c>
      <c r="X2482">
        <v>0</v>
      </c>
      <c r="Y2482">
        <v>48</v>
      </c>
      <c r="Z2482">
        <v>60</v>
      </c>
      <c r="AA2482">
        <v>60</v>
      </c>
      <c r="AB2482">
        <v>3000</v>
      </c>
      <c r="AC2482">
        <v>2990</v>
      </c>
      <c r="AD2482">
        <v>1495</v>
      </c>
      <c r="AE2482">
        <v>0</v>
      </c>
      <c r="AF2482">
        <v>0</v>
      </c>
      <c r="AG2482">
        <v>1495</v>
      </c>
      <c r="AH2482">
        <v>0</v>
      </c>
      <c r="AI2482">
        <v>462</v>
      </c>
      <c r="AJ2482">
        <v>0</v>
      </c>
      <c r="AK2482">
        <v>0</v>
      </c>
      <c r="AL2482">
        <v>0</v>
      </c>
      <c r="AM2482">
        <v>0</v>
      </c>
      <c r="AN2482">
        <v>65</v>
      </c>
      <c r="AO2482">
        <v>0</v>
      </c>
      <c r="AP2482">
        <v>11</v>
      </c>
      <c r="AQ2482">
        <v>0</v>
      </c>
      <c r="AR2482">
        <v>1</v>
      </c>
      <c r="AS2482" t="s">
        <v>58</v>
      </c>
      <c r="AT2482">
        <v>1</v>
      </c>
      <c r="AU2482" t="s">
        <v>75</v>
      </c>
      <c r="AV2482" t="s">
        <v>60</v>
      </c>
      <c r="AW2482">
        <v>0</v>
      </c>
      <c r="AX2482">
        <v>4</v>
      </c>
      <c r="AY2482">
        <v>0</v>
      </c>
      <c r="AZ2482">
        <v>34100</v>
      </c>
      <c r="BA2482">
        <v>100</v>
      </c>
      <c r="BB2482">
        <v>100</v>
      </c>
      <c r="BC2482">
        <v>100</v>
      </c>
      <c r="BD2482">
        <v>100</v>
      </c>
      <c r="BE2482">
        <v>1</v>
      </c>
      <c r="BF2482">
        <v>15000</v>
      </c>
      <c r="BG2482">
        <v>1000</v>
      </c>
      <c r="BH2482" s="6">
        <f>Grandview_Inventory[[#This Row],[land_extract]]*Lookups!$B$3</f>
        <v>53250.00235313351</v>
      </c>
      <c r="BI2482" s="6">
        <f>IF(Grandview_Inventory[[#This Row],[bldg_style]]="",0,Lookups!$B$2)</f>
        <v>155833.95000000001</v>
      </c>
      <c r="BJ2482" s="6">
        <f>_xlfn.IFNA(VLOOKUP(Grandview_Inventory[[#This Row],[quality]],Lookups!$H$2:$J$14,3,FALSE),0)</f>
        <v>20768</v>
      </c>
      <c r="BK2482" s="6">
        <f>_xlfn.IFNA(VLOOKUP(Grandview_Inventory[[#This Row],[condition]],Lookups!$H$17:$J$24,3,FALSE),0)</f>
        <v>-4503</v>
      </c>
      <c r="BL2482" s="6">
        <f>Grandview_Inventory[[#This Row],[Eff_Age]]*Lookups!$B$14</f>
        <v>-11479.996799999999</v>
      </c>
      <c r="BM2482" s="6">
        <f>Grandview_Inventory[[#This Row],[living_area]]*Lookups!$B$15</f>
        <v>186518.75047</v>
      </c>
      <c r="BN2482" s="6">
        <f>Grandview_Inventory[[#This Row],[Fin BSMT]]*Lookups!$B$16</f>
        <v>-40513.363799999999</v>
      </c>
      <c r="BO2482" s="6">
        <f>(Grandview_Inventory[[#This Row],[att_gar]]+Grandview_Inventory[[#This Row],[bltin_gar]])*Lookups!$B$17</f>
        <v>40434.441894000003</v>
      </c>
      <c r="BP2482" s="6">
        <f>Grandview_Inventory[[#This Row],[Plumbing Fixtures]]*Lookups!$B$18</f>
        <v>22114.859800000002</v>
      </c>
      <c r="BQ2482" s="6">
        <f>Grandview_Inventory[[#This Row],[detatched_value]]*Lookups!$B$19</f>
        <v>28876.053909999999</v>
      </c>
      <c r="BR2482" s="6">
        <f>SUM(Grandview_Inventory[[#This Row],[Intercept]:[det_value]])*Grandview_Inventory[[#This Row],[res_pct]]</f>
        <v>398049.69547400001</v>
      </c>
      <c r="BS2482" s="6">
        <f>Grandview_Inventory[[#This Row],[land_value]]</f>
        <v>53250.00235313351</v>
      </c>
      <c r="BT2482" s="4">
        <f>_xlfn.IFNA(VLOOKUP(Grandview_Inventory[[#This Row],[quality]],Lookups!$A$26:$C$33,3,FALSE),1)</f>
        <v>0.94960540378902636</v>
      </c>
      <c r="BU2482" s="4">
        <f>_xlfn.IFNA(VLOOKUP(Grandview_Inventory[[#This Row],[condition]],Lookups!$A$37:$C$44,3,FALSE),1)</f>
        <v>0.96469275950863709</v>
      </c>
      <c r="BV2482" s="4">
        <f>IF(Grandview_Inventory[[#This Row],[bldg_style]]="",1,_xlfn.IFNA(VLOOKUP(Grandview_Inventory[[#This Row],[decade]],Lookups!$F$29:$H$43,3,FALSE),1))</f>
        <v>0.95268620544463312</v>
      </c>
      <c r="BW2482" s="4">
        <f>_xlfn.IFNA(VLOOKUP(Grandview_Inventory[[#This Row],[living_area_range]],Lookups!$F$47:$H$56,3,FALSE),1)</f>
        <v>0.94224801443562123</v>
      </c>
      <c r="BX2482" s="4">
        <f>AVERAGE(Grandview_Inventory[[#This Row],[qual_adj]:[size_adj]])</f>
        <v>0.9523080957944795</v>
      </c>
      <c r="BY2482" s="6">
        <f>IF(Grandview_Inventory[[#This Row],[pre_res]]&lt;0,0,Grandview_Inventory[[#This Row],[pre_res]]*Grandview_Inventory[[#This Row],[overall_adj]])</f>
        <v>379065.9475284174</v>
      </c>
      <c r="BZ2482" s="6">
        <f>(Grandview_Inventory[[#This Row],[sum_land]]-IF(Grandview_Inventory[[#This Row],[no_utilities]]=1,12000,0))/IF(Grandview_Inventory[[#This Row],[unbuildable]]=1,2,1)</f>
        <v>53250.00235313351</v>
      </c>
      <c r="CA2482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482">
        <f>ROUND(Grandview_Inventory[[#This Row],[det_value]]*Lookups!$M$28,-2)</f>
        <v>27400</v>
      </c>
      <c r="CC2482">
        <f>IF(ROUND(Grandview_Inventory[[#This Row],[adj_res]]*Lookups!$M$28,-2)&lt;Grandview_Inventory[[#This Row],[min_res]],Grandview_Inventory[[#This Row],[min_res]],ROUND(Grandview_Inventory[[#This Row],[adj_res]]*Lookups!$M$28,-2))</f>
        <v>360100</v>
      </c>
      <c r="CD2482">
        <f>Grandview_Inventory[[#This Row],[final_det]]+Grandview_Inventory[[#This Row],[final_res]]</f>
        <v>387500</v>
      </c>
      <c r="CE2482">
        <f>Grandview_Inventory[[#This Row],[final_land]]+Grandview_Inventory[[#This Row],[final_imp]]+Grandview_Inventory[[#This Row],[crop_value]]</f>
        <v>438100</v>
      </c>
      <c r="CG2482" t="str">
        <f t="shared" si="38"/>
        <v>update valuation set market_land =50600, market_bldg=387500, market_total =438100, market_mdno =401, market_date ='9/10/2023' where link_id = (select link_id from parcel where parcel_year = '2024' and parcel_id = '23092714437');</v>
      </c>
    </row>
    <row r="2483" spans="1:85" x14ac:dyDescent="0.25">
      <c r="A2483">
        <v>23092714439</v>
      </c>
      <c r="B2483">
        <v>0.75</v>
      </c>
      <c r="C2483">
        <v>32707</v>
      </c>
      <c r="D2483" t="s">
        <v>129</v>
      </c>
      <c r="E2483" t="s">
        <v>53</v>
      </c>
      <c r="F2483" t="s">
        <v>53</v>
      </c>
      <c r="G2483">
        <v>4</v>
      </c>
      <c r="H2483" t="s">
        <v>54</v>
      </c>
      <c r="I2483">
        <v>241300</v>
      </c>
      <c r="J2483">
        <v>54900</v>
      </c>
      <c r="K2483">
        <v>0.75</v>
      </c>
      <c r="L2483">
        <f>IF(Grandview_Inventory[[#This Row],[parcel_acres]]-Grandview_Inventory[[#This Row],[non_valued_acres]] =0,0,LN(Grandview_Inventory[[#This Row],[parcel_acres]]-Grandview_Inventory[[#This Row],[non_valued_acres]]))</f>
        <v>-0.2876820724517809</v>
      </c>
      <c r="M2483">
        <v>0</v>
      </c>
      <c r="N2483">
        <v>0</v>
      </c>
      <c r="O2483">
        <v>0</v>
      </c>
      <c r="P2483">
        <v>13398.7528</v>
      </c>
      <c r="Q2483">
        <v>63903</v>
      </c>
      <c r="R2483">
        <f>(Grandview_Inventory[[#This Row],[ln_acres]]*Grandview_Inventory[[#This Row],[coeff]])+Grandview_Inventory[[#This Row],[const]]</f>
        <v>60048.419026226897</v>
      </c>
      <c r="S2483" t="s">
        <v>61</v>
      </c>
      <c r="T2483">
        <v>1</v>
      </c>
      <c r="U2483" t="s">
        <v>64</v>
      </c>
      <c r="V2483" t="s">
        <v>69</v>
      </c>
      <c r="W2483">
        <v>0</v>
      </c>
      <c r="X2483">
        <v>0</v>
      </c>
      <c r="Y2483">
        <v>48</v>
      </c>
      <c r="Z2483">
        <v>63</v>
      </c>
      <c r="AA2483">
        <v>70</v>
      </c>
      <c r="AB2483">
        <v>2000</v>
      </c>
      <c r="AC2483">
        <v>1763</v>
      </c>
      <c r="AD2483">
        <v>1763</v>
      </c>
      <c r="AE2483">
        <v>0</v>
      </c>
      <c r="AF2483">
        <v>0</v>
      </c>
      <c r="AG2483">
        <v>0</v>
      </c>
      <c r="AH2483">
        <v>144</v>
      </c>
      <c r="AI2483">
        <v>616</v>
      </c>
      <c r="AJ2483">
        <v>0</v>
      </c>
      <c r="AK2483">
        <v>0</v>
      </c>
      <c r="AL2483">
        <v>0</v>
      </c>
      <c r="AM2483">
        <v>351</v>
      </c>
      <c r="AN2483">
        <v>0</v>
      </c>
      <c r="AO2483">
        <v>351</v>
      </c>
      <c r="AP2483">
        <v>10</v>
      </c>
      <c r="AQ2483">
        <v>0</v>
      </c>
      <c r="AR2483">
        <v>0</v>
      </c>
      <c r="AS2483" t="s">
        <v>58</v>
      </c>
      <c r="AT2483">
        <v>1</v>
      </c>
      <c r="AU2483" t="s">
        <v>63</v>
      </c>
      <c r="AV2483" t="s">
        <v>60</v>
      </c>
      <c r="AW2483">
        <v>1</v>
      </c>
      <c r="AX2483">
        <v>3</v>
      </c>
      <c r="AY2483">
        <v>0</v>
      </c>
      <c r="AZ2483">
        <v>10700</v>
      </c>
      <c r="BA2483">
        <v>100</v>
      </c>
      <c r="BB2483">
        <v>100</v>
      </c>
      <c r="BC2483">
        <v>100</v>
      </c>
      <c r="BD2483">
        <v>100</v>
      </c>
      <c r="BE2483">
        <v>1</v>
      </c>
      <c r="BF2483">
        <v>15000</v>
      </c>
      <c r="BG2483">
        <v>1000</v>
      </c>
      <c r="BH2483" s="6">
        <f>Grandview_Inventory[[#This Row],[land_extract]]*Lookups!$B$3</f>
        <v>69734.06688442592</v>
      </c>
      <c r="BI2483" s="6">
        <f>IF(Grandview_Inventory[[#This Row],[bldg_style]]="",0,Lookups!$B$2)</f>
        <v>155833.95000000001</v>
      </c>
      <c r="BJ2483" s="6">
        <f>_xlfn.IFNA(VLOOKUP(Grandview_Inventory[[#This Row],[quality]],Lookups!$H$2:$J$14,3,FALSE),0)</f>
        <v>20768</v>
      </c>
      <c r="BK2483" s="6">
        <f>_xlfn.IFNA(VLOOKUP(Grandview_Inventory[[#This Row],[condition]],Lookups!$H$17:$J$24,3,FALSE),0)</f>
        <v>-4503</v>
      </c>
      <c r="BL2483" s="6">
        <f>Grandview_Inventory[[#This Row],[Eff_Age]]*Lookups!$B$14</f>
        <v>-11479.996799999999</v>
      </c>
      <c r="BM2483" s="6">
        <f>Grandview_Inventory[[#This Row],[living_area]]*Lookups!$B$15</f>
        <v>109977.443839</v>
      </c>
      <c r="BN2483" s="6">
        <f>Grandview_Inventory[[#This Row],[Fin BSMT]]*Lookups!$B$16</f>
        <v>0</v>
      </c>
      <c r="BO2483" s="6">
        <f>(Grandview_Inventory[[#This Row],[att_gar]]+Grandview_Inventory[[#This Row],[bltin_gar]])*Lookups!$B$17</f>
        <v>53912.589191999999</v>
      </c>
      <c r="BP2483" s="6">
        <f>Grandview_Inventory[[#This Row],[Plumbing Fixtures]]*Lookups!$B$18</f>
        <v>20104.418000000001</v>
      </c>
      <c r="BQ2483" s="6">
        <f>Grandview_Inventory[[#This Row],[detatched_value]]*Lookups!$B$19</f>
        <v>9060.8145700000005</v>
      </c>
      <c r="BR2483" s="6">
        <f>SUM(Grandview_Inventory[[#This Row],[Intercept]:[det_value]])*Grandview_Inventory[[#This Row],[res_pct]]</f>
        <v>353674.21880099998</v>
      </c>
      <c r="BS2483" s="6">
        <f>Grandview_Inventory[[#This Row],[land_value]]</f>
        <v>69734.06688442592</v>
      </c>
      <c r="BT2483" s="4">
        <f>_xlfn.IFNA(VLOOKUP(Grandview_Inventory[[#This Row],[quality]],Lookups!$A$26:$C$33,3,FALSE),1)</f>
        <v>0.94960540378902636</v>
      </c>
      <c r="BU2483" s="4">
        <f>_xlfn.IFNA(VLOOKUP(Grandview_Inventory[[#This Row],[condition]],Lookups!$A$37:$C$44,3,FALSE),1)</f>
        <v>0.96469275950863709</v>
      </c>
      <c r="BV2483" s="4">
        <f>IF(Grandview_Inventory[[#This Row],[bldg_style]]="",1,_xlfn.IFNA(VLOOKUP(Grandview_Inventory[[#This Row],[decade]],Lookups!$F$29:$H$43,3,FALSE),1))</f>
        <v>0.99472141305414818</v>
      </c>
      <c r="BW2483" s="4">
        <f>_xlfn.IFNA(VLOOKUP(Grandview_Inventory[[#This Row],[living_area_range]],Lookups!$F$47:$H$56,3,FALSE),1)</f>
        <v>0.96120133463014379</v>
      </c>
      <c r="BX2483" s="4">
        <f>AVERAGE(Grandview_Inventory[[#This Row],[qual_adj]:[size_adj]])</f>
        <v>0.96755522774548886</v>
      </c>
      <c r="BY2483" s="6">
        <f>IF(Grandview_Inventory[[#This Row],[pre_res]]&lt;0,0,Grandview_Inventory[[#This Row],[pre_res]]*Grandview_Inventory[[#This Row],[overall_adj]])</f>
        <v>342199.3393197094</v>
      </c>
      <c r="BZ2483" s="6">
        <f>(Grandview_Inventory[[#This Row],[sum_land]]-IF(Grandview_Inventory[[#This Row],[no_utilities]]=1,12000,0))/IF(Grandview_Inventory[[#This Row],[unbuildable]]=1,2,1)</f>
        <v>69734.06688442592</v>
      </c>
      <c r="CA2483">
        <f>IF(ROUND(Grandview_Inventory[[#This Row],[adj_land]]*Lookups!$M$28,-2)&lt;Grandview_Inventory[[#This Row],[min_land]],Grandview_Inventory[[#This Row],[min_land]],ROUND(Grandview_Inventory[[#This Row],[adj_land]]*Lookups!$M$28,-2))</f>
        <v>66200</v>
      </c>
      <c r="CB2483">
        <f>ROUND(Grandview_Inventory[[#This Row],[det_value]]*Lookups!$M$28,-2)</f>
        <v>8600</v>
      </c>
      <c r="CC2483">
        <f>IF(ROUND(Grandview_Inventory[[#This Row],[adj_res]]*Lookups!$M$28,-2)&lt;Grandview_Inventory[[#This Row],[min_res]],Grandview_Inventory[[#This Row],[min_res]],ROUND(Grandview_Inventory[[#This Row],[adj_res]]*Lookups!$M$28,-2))</f>
        <v>325100</v>
      </c>
      <c r="CD2483">
        <f>Grandview_Inventory[[#This Row],[final_det]]+Grandview_Inventory[[#This Row],[final_res]]</f>
        <v>333700</v>
      </c>
      <c r="CE2483">
        <f>Grandview_Inventory[[#This Row],[final_land]]+Grandview_Inventory[[#This Row],[final_imp]]+Grandview_Inventory[[#This Row],[crop_value]]</f>
        <v>399900</v>
      </c>
      <c r="CG2483" t="str">
        <f t="shared" si="38"/>
        <v>update valuation set market_land =66200, market_bldg=333700, market_total =399900, market_mdno =401, market_date ='9/10/2023' where link_id = (select link_id from parcel where parcel_year = '2024' and parcel_id = '23092714439');</v>
      </c>
    </row>
    <row r="2484" spans="1:85" x14ac:dyDescent="0.25">
      <c r="A2484">
        <v>23092714440</v>
      </c>
      <c r="B2484">
        <v>2.38</v>
      </c>
      <c r="C2484">
        <v>103765</v>
      </c>
      <c r="D2484" t="s">
        <v>129</v>
      </c>
      <c r="E2484" t="s">
        <v>53</v>
      </c>
      <c r="F2484" t="s">
        <v>53</v>
      </c>
      <c r="G2484">
        <v>4</v>
      </c>
      <c r="H2484" t="s">
        <v>54</v>
      </c>
      <c r="I2484">
        <v>250900</v>
      </c>
      <c r="J2484">
        <v>70600</v>
      </c>
      <c r="K2484">
        <v>2.38</v>
      </c>
      <c r="L2484">
        <f>IF(Grandview_Inventory[[#This Row],[parcel_acres]]-Grandview_Inventory[[#This Row],[non_valued_acres]] =0,0,LN(Grandview_Inventory[[#This Row],[parcel_acres]]-Grandview_Inventory[[#This Row],[non_valued_acres]]))</f>
        <v>0.86710048768338333</v>
      </c>
      <c r="M2484">
        <v>0</v>
      </c>
      <c r="N2484">
        <v>0</v>
      </c>
      <c r="O2484">
        <v>0</v>
      </c>
      <c r="P2484">
        <v>13398.7528</v>
      </c>
      <c r="Q2484">
        <v>63903</v>
      </c>
      <c r="R2484">
        <f>(Grandview_Inventory[[#This Row],[ln_acres]]*Grandview_Inventory[[#This Row],[coeff]])+Grandview_Inventory[[#This Row],[const]]</f>
        <v>75521.065087229101</v>
      </c>
      <c r="S2484" t="s">
        <v>61</v>
      </c>
      <c r="T2484">
        <v>1</v>
      </c>
      <c r="U2484" t="s">
        <v>64</v>
      </c>
      <c r="V2484" t="s">
        <v>69</v>
      </c>
      <c r="W2484">
        <v>0</v>
      </c>
      <c r="X2484">
        <v>0</v>
      </c>
      <c r="Y2484">
        <v>48</v>
      </c>
      <c r="Z2484">
        <v>63</v>
      </c>
      <c r="AA2484">
        <v>70</v>
      </c>
      <c r="AB2484">
        <v>2500</v>
      </c>
      <c r="AC2484">
        <v>2162</v>
      </c>
      <c r="AD2484">
        <v>1441</v>
      </c>
      <c r="AE2484">
        <v>0</v>
      </c>
      <c r="AF2484">
        <v>0</v>
      </c>
      <c r="AG2484">
        <v>721</v>
      </c>
      <c r="AH2484">
        <v>720</v>
      </c>
      <c r="AI2484">
        <v>612</v>
      </c>
      <c r="AJ2484">
        <v>0</v>
      </c>
      <c r="AK2484">
        <v>0</v>
      </c>
      <c r="AL2484">
        <v>192</v>
      </c>
      <c r="AM2484">
        <v>522</v>
      </c>
      <c r="AN2484">
        <v>12</v>
      </c>
      <c r="AO2484">
        <v>0</v>
      </c>
      <c r="AP2484">
        <v>12</v>
      </c>
      <c r="AQ2484">
        <v>0</v>
      </c>
      <c r="AR2484">
        <v>2</v>
      </c>
      <c r="AS2484" t="s">
        <v>58</v>
      </c>
      <c r="AT2484">
        <v>1</v>
      </c>
      <c r="AU2484" t="s">
        <v>63</v>
      </c>
      <c r="AV2484" t="s">
        <v>64</v>
      </c>
      <c r="AW2484">
        <v>1</v>
      </c>
      <c r="AX2484">
        <v>4</v>
      </c>
      <c r="AY2484">
        <v>0</v>
      </c>
      <c r="AZ2484">
        <v>0</v>
      </c>
      <c r="BA2484">
        <v>100</v>
      </c>
      <c r="BB2484">
        <v>100</v>
      </c>
      <c r="BC2484">
        <v>100</v>
      </c>
      <c r="BD2484">
        <v>100</v>
      </c>
      <c r="BE2484">
        <v>1</v>
      </c>
      <c r="BF2484">
        <v>15000</v>
      </c>
      <c r="BG2484">
        <v>1000</v>
      </c>
      <c r="BH2484" s="6">
        <f>Grandview_Inventory[[#This Row],[land_extract]]*Lookups!$B$3</f>
        <v>87702.408978923413</v>
      </c>
      <c r="BI2484" s="6">
        <f>IF(Grandview_Inventory[[#This Row],[bldg_style]]="",0,Lookups!$B$2)</f>
        <v>155833.95000000001</v>
      </c>
      <c r="BJ2484" s="6">
        <f>_xlfn.IFNA(VLOOKUP(Grandview_Inventory[[#This Row],[quality]],Lookups!$H$2:$J$14,3,FALSE),0)</f>
        <v>20768</v>
      </c>
      <c r="BK2484" s="6">
        <f>_xlfn.IFNA(VLOOKUP(Grandview_Inventory[[#This Row],[condition]],Lookups!$H$17:$J$24,3,FALSE),0)</f>
        <v>-4503</v>
      </c>
      <c r="BL2484" s="6">
        <f>Grandview_Inventory[[#This Row],[Eff_Age]]*Lookups!$B$14</f>
        <v>-11479.996799999999</v>
      </c>
      <c r="BM2484" s="6">
        <f>Grandview_Inventory[[#This Row],[living_area]]*Lookups!$B$15</f>
        <v>134867.404186</v>
      </c>
      <c r="BN2484" s="6">
        <f>Grandview_Inventory[[#This Row],[Fin BSMT]]*Lookups!$B$16</f>
        <v>-19538.552040000002</v>
      </c>
      <c r="BO2484" s="6">
        <f>(Grandview_Inventory[[#This Row],[att_gar]]+Grandview_Inventory[[#This Row],[bltin_gar]])*Lookups!$B$17</f>
        <v>53562.507444000003</v>
      </c>
      <c r="BP2484" s="6">
        <f>Grandview_Inventory[[#This Row],[Plumbing Fixtures]]*Lookups!$B$18</f>
        <v>24125.301599999999</v>
      </c>
      <c r="BQ2484" s="6">
        <f>Grandview_Inventory[[#This Row],[detatched_value]]*Lookups!$B$19</f>
        <v>0</v>
      </c>
      <c r="BR2484" s="6">
        <f>SUM(Grandview_Inventory[[#This Row],[Intercept]:[det_value]])*Grandview_Inventory[[#This Row],[res_pct]]</f>
        <v>353635.61439</v>
      </c>
      <c r="BS2484" s="6">
        <f>Grandview_Inventory[[#This Row],[land_value]]</f>
        <v>87702.408978923413</v>
      </c>
      <c r="BT2484" s="4">
        <f>_xlfn.IFNA(VLOOKUP(Grandview_Inventory[[#This Row],[quality]],Lookups!$A$26:$C$33,3,FALSE),1)</f>
        <v>0.94960540378902636</v>
      </c>
      <c r="BU2484" s="4">
        <f>_xlfn.IFNA(VLOOKUP(Grandview_Inventory[[#This Row],[condition]],Lookups!$A$37:$C$44,3,FALSE),1)</f>
        <v>0.96469275950863709</v>
      </c>
      <c r="BV2484" s="4">
        <f>IF(Grandview_Inventory[[#This Row],[bldg_style]]="",1,_xlfn.IFNA(VLOOKUP(Grandview_Inventory[[#This Row],[decade]],Lookups!$F$29:$H$43,3,FALSE),1))</f>
        <v>0.99472141305414818</v>
      </c>
      <c r="BW2484" s="4">
        <f>_xlfn.IFNA(VLOOKUP(Grandview_Inventory[[#This Row],[living_area_range]],Lookups!$F$47:$H$56,3,FALSE),1)</f>
        <v>0.95799442568048754</v>
      </c>
      <c r="BX2484" s="4">
        <f>AVERAGE(Grandview_Inventory[[#This Row],[qual_adj]:[size_adj]])</f>
        <v>0.96675350050807474</v>
      </c>
      <c r="BY2484" s="6">
        <f>IF(Grandview_Inventory[[#This Row],[pre_res]]&lt;0,0,Grandview_Inventory[[#This Row],[pre_res]]*Grandview_Inventory[[#This Row],[overall_adj]])</f>
        <v>341878.46811585617</v>
      </c>
      <c r="BZ2484" s="6">
        <f>(Grandview_Inventory[[#This Row],[sum_land]]-IF(Grandview_Inventory[[#This Row],[no_utilities]]=1,12000,0))/IF(Grandview_Inventory[[#This Row],[unbuildable]]=1,2,1)</f>
        <v>87702.408978923413</v>
      </c>
      <c r="CA2484">
        <f>IF(ROUND(Grandview_Inventory[[#This Row],[adj_land]]*Lookups!$M$28,-2)&lt;Grandview_Inventory[[#This Row],[min_land]],Grandview_Inventory[[#This Row],[min_land]],ROUND(Grandview_Inventory[[#This Row],[adj_land]]*Lookups!$M$28,-2))</f>
        <v>83300</v>
      </c>
      <c r="CB2484">
        <f>ROUND(Grandview_Inventory[[#This Row],[det_value]]*Lookups!$M$28,-2)</f>
        <v>0</v>
      </c>
      <c r="CC2484">
        <f>IF(ROUND(Grandview_Inventory[[#This Row],[adj_res]]*Lookups!$M$28,-2)&lt;Grandview_Inventory[[#This Row],[min_res]],Grandview_Inventory[[#This Row],[min_res]],ROUND(Grandview_Inventory[[#This Row],[adj_res]]*Lookups!$M$28,-2))</f>
        <v>324800</v>
      </c>
      <c r="CD2484">
        <f>Grandview_Inventory[[#This Row],[final_det]]+Grandview_Inventory[[#This Row],[final_res]]</f>
        <v>324800</v>
      </c>
      <c r="CE2484">
        <f>Grandview_Inventory[[#This Row],[final_land]]+Grandview_Inventory[[#This Row],[final_imp]]+Grandview_Inventory[[#This Row],[crop_value]]</f>
        <v>408100</v>
      </c>
      <c r="CG2484" t="str">
        <f t="shared" si="38"/>
        <v>update valuation set market_land =83300, market_bldg=324800, market_total =408100, market_mdno =401, market_date ='9/10/2023' where link_id = (select link_id from parcel where parcel_year = '2024' and parcel_id = '23092714440');</v>
      </c>
    </row>
    <row r="2485" spans="1:85" x14ac:dyDescent="0.25">
      <c r="A2485">
        <v>23092714441</v>
      </c>
      <c r="B2485">
        <v>1.3</v>
      </c>
      <c r="C2485">
        <v>56758</v>
      </c>
      <c r="D2485" t="s">
        <v>129</v>
      </c>
      <c r="E2485" t="s">
        <v>53</v>
      </c>
      <c r="F2485" t="s">
        <v>53</v>
      </c>
      <c r="G2485">
        <v>4</v>
      </c>
      <c r="H2485" t="s">
        <v>54</v>
      </c>
      <c r="I2485">
        <v>343000</v>
      </c>
      <c r="J2485">
        <v>61800</v>
      </c>
      <c r="K2485">
        <v>1.3</v>
      </c>
      <c r="L2485">
        <f>IF(Grandview_Inventory[[#This Row],[parcel_acres]]-Grandview_Inventory[[#This Row],[non_valued_acres]] =0,0,LN(Grandview_Inventory[[#This Row],[parcel_acres]]-Grandview_Inventory[[#This Row],[non_valued_acres]]))</f>
        <v>0.26236426446749106</v>
      </c>
      <c r="M2485">
        <v>0</v>
      </c>
      <c r="N2485">
        <v>0</v>
      </c>
      <c r="O2485">
        <v>0</v>
      </c>
      <c r="P2485">
        <v>13398.7528</v>
      </c>
      <c r="Q2485">
        <v>63903</v>
      </c>
      <c r="R2485">
        <f>(Grandview_Inventory[[#This Row],[ln_acres]]*Grandview_Inventory[[#This Row],[coeff]])+Grandview_Inventory[[#This Row],[const]]</f>
        <v>67418.353923153743</v>
      </c>
      <c r="S2485" t="s">
        <v>61</v>
      </c>
      <c r="T2485">
        <v>1</v>
      </c>
      <c r="U2485" t="s">
        <v>64</v>
      </c>
      <c r="V2485" t="s">
        <v>67</v>
      </c>
      <c r="W2485">
        <v>0</v>
      </c>
      <c r="X2485">
        <v>0</v>
      </c>
      <c r="Y2485">
        <v>48</v>
      </c>
      <c r="Z2485">
        <v>63</v>
      </c>
      <c r="AA2485">
        <v>70</v>
      </c>
      <c r="AB2485">
        <v>3500</v>
      </c>
      <c r="AC2485">
        <v>3384</v>
      </c>
      <c r="AD2485">
        <v>1692</v>
      </c>
      <c r="AE2485">
        <v>0</v>
      </c>
      <c r="AF2485">
        <v>0</v>
      </c>
      <c r="AG2485">
        <v>1692</v>
      </c>
      <c r="AH2485">
        <v>0</v>
      </c>
      <c r="AI2485">
        <v>648</v>
      </c>
      <c r="AJ2485">
        <v>0</v>
      </c>
      <c r="AK2485">
        <v>0</v>
      </c>
      <c r="AL2485">
        <v>264</v>
      </c>
      <c r="AM2485">
        <v>660</v>
      </c>
      <c r="AN2485">
        <v>16</v>
      </c>
      <c r="AO2485">
        <v>276</v>
      </c>
      <c r="AP2485">
        <v>12</v>
      </c>
      <c r="AQ2485">
        <v>0</v>
      </c>
      <c r="AR2485">
        <v>1</v>
      </c>
      <c r="AS2485" t="s">
        <v>76</v>
      </c>
      <c r="AT2485">
        <v>1</v>
      </c>
      <c r="AU2485" t="s">
        <v>63</v>
      </c>
      <c r="AV2485" t="s">
        <v>60</v>
      </c>
      <c r="AW2485">
        <v>1</v>
      </c>
      <c r="AX2485">
        <v>5</v>
      </c>
      <c r="AY2485">
        <v>0</v>
      </c>
      <c r="AZ2485">
        <v>0</v>
      </c>
      <c r="BA2485">
        <v>100</v>
      </c>
      <c r="BB2485">
        <v>100</v>
      </c>
      <c r="BC2485">
        <v>100</v>
      </c>
      <c r="BD2485">
        <v>100</v>
      </c>
      <c r="BE2485">
        <v>1</v>
      </c>
      <c r="BF2485">
        <v>15000</v>
      </c>
      <c r="BG2485">
        <v>1000</v>
      </c>
      <c r="BH2485" s="6">
        <f>Grandview_Inventory[[#This Row],[land_extract]]*Lookups!$B$3</f>
        <v>78292.752381402854</v>
      </c>
      <c r="BI2485" s="6">
        <f>IF(Grandview_Inventory[[#This Row],[bldg_style]]="",0,Lookups!$B$2)</f>
        <v>155833.95000000001</v>
      </c>
      <c r="BJ2485" s="6">
        <f>_xlfn.IFNA(VLOOKUP(Grandview_Inventory[[#This Row],[quality]],Lookups!$H$2:$J$14,3,FALSE),0)</f>
        <v>20768</v>
      </c>
      <c r="BK2485" s="6">
        <f>_xlfn.IFNA(VLOOKUP(Grandview_Inventory[[#This Row],[condition]],Lookups!$H$17:$J$24,3,FALSE),0)</f>
        <v>22342</v>
      </c>
      <c r="BL2485" s="6">
        <f>Grandview_Inventory[[#This Row],[Eff_Age]]*Lookups!$B$14</f>
        <v>-11479.996799999999</v>
      </c>
      <c r="BM2485" s="6">
        <f>Grandview_Inventory[[#This Row],[living_area]]*Lookups!$B$15</f>
        <v>211096.80655199999</v>
      </c>
      <c r="BN2485" s="6">
        <f>Grandview_Inventory[[#This Row],[Fin BSMT]]*Lookups!$B$16</f>
        <v>-45851.914080000002</v>
      </c>
      <c r="BO2485" s="6">
        <f>(Grandview_Inventory[[#This Row],[att_gar]]+Grandview_Inventory[[#This Row],[bltin_gar]])*Lookups!$B$17</f>
        <v>56713.243176000004</v>
      </c>
      <c r="BP2485" s="6">
        <f>Grandview_Inventory[[#This Row],[Plumbing Fixtures]]*Lookups!$B$18</f>
        <v>24125.301599999999</v>
      </c>
      <c r="BQ2485" s="6">
        <f>Grandview_Inventory[[#This Row],[detatched_value]]*Lookups!$B$19</f>
        <v>0</v>
      </c>
      <c r="BR2485" s="6">
        <f>SUM(Grandview_Inventory[[#This Row],[Intercept]:[det_value]])*Grandview_Inventory[[#This Row],[res_pct]]</f>
        <v>433547.39044799999</v>
      </c>
      <c r="BS2485" s="6">
        <f>Grandview_Inventory[[#This Row],[land_value]]</f>
        <v>78292.752381402854</v>
      </c>
      <c r="BT2485" s="4">
        <f>_xlfn.IFNA(VLOOKUP(Grandview_Inventory[[#This Row],[quality]],Lookups!$A$26:$C$33,3,FALSE),1)</f>
        <v>0.94960540378902636</v>
      </c>
      <c r="BU2485" s="4">
        <f>_xlfn.IFNA(VLOOKUP(Grandview_Inventory[[#This Row],[condition]],Lookups!$A$37:$C$44,3,FALSE),1)</f>
        <v>0.97383723671140243</v>
      </c>
      <c r="BV2485" s="4">
        <f>IF(Grandview_Inventory[[#This Row],[bldg_style]]="",1,_xlfn.IFNA(VLOOKUP(Grandview_Inventory[[#This Row],[decade]],Lookups!$F$29:$H$43,3,FALSE),1))</f>
        <v>0.99472141305414818</v>
      </c>
      <c r="BW2485" s="4">
        <f>_xlfn.IFNA(VLOOKUP(Grandview_Inventory[[#This Row],[living_area_range]],Lookups!$F$47:$H$56,3,FALSE),1)</f>
        <v>1.0170112215140563</v>
      </c>
      <c r="BX2485" s="4">
        <f>AVERAGE(Grandview_Inventory[[#This Row],[qual_adj]:[size_adj]])</f>
        <v>0.98379381876715821</v>
      </c>
      <c r="BY2485" s="6">
        <f>IF(Grandview_Inventory[[#This Row],[pre_res]]&lt;0,0,Grandview_Inventory[[#This Row],[pre_res]]*Grandview_Inventory[[#This Row],[overall_adj]])</f>
        <v>426521.24286537408</v>
      </c>
      <c r="BZ2485" s="6">
        <f>(Grandview_Inventory[[#This Row],[sum_land]]-IF(Grandview_Inventory[[#This Row],[no_utilities]]=1,12000,0))/IF(Grandview_Inventory[[#This Row],[unbuildable]]=1,2,1)</f>
        <v>78292.752381402854</v>
      </c>
      <c r="CA2485">
        <f>IF(ROUND(Grandview_Inventory[[#This Row],[adj_land]]*Lookups!$M$28,-2)&lt;Grandview_Inventory[[#This Row],[min_land]],Grandview_Inventory[[#This Row],[min_land]],ROUND(Grandview_Inventory[[#This Row],[adj_land]]*Lookups!$M$28,-2))</f>
        <v>74400</v>
      </c>
      <c r="CB2485">
        <f>ROUND(Grandview_Inventory[[#This Row],[det_value]]*Lookups!$M$28,-2)</f>
        <v>0</v>
      </c>
      <c r="CC2485">
        <f>IF(ROUND(Grandview_Inventory[[#This Row],[adj_res]]*Lookups!$M$28,-2)&lt;Grandview_Inventory[[#This Row],[min_res]],Grandview_Inventory[[#This Row],[min_res]],ROUND(Grandview_Inventory[[#This Row],[adj_res]]*Lookups!$M$28,-2))</f>
        <v>405200</v>
      </c>
      <c r="CD2485">
        <f>Grandview_Inventory[[#This Row],[final_det]]+Grandview_Inventory[[#This Row],[final_res]]</f>
        <v>405200</v>
      </c>
      <c r="CE2485">
        <f>Grandview_Inventory[[#This Row],[final_land]]+Grandview_Inventory[[#This Row],[final_imp]]+Grandview_Inventory[[#This Row],[crop_value]]</f>
        <v>479600</v>
      </c>
      <c r="CG2485" t="str">
        <f t="shared" si="38"/>
        <v>update valuation set market_land =74400, market_bldg=405200, market_total =479600, market_mdno =401, market_date ='9/10/2023' where link_id = (select link_id from parcel where parcel_year = '2024' and parcel_id = '23092714441');</v>
      </c>
    </row>
    <row r="2486" spans="1:85" x14ac:dyDescent="0.25">
      <c r="A2486">
        <v>23092714442</v>
      </c>
      <c r="B2486">
        <v>0.2</v>
      </c>
      <c r="C2486" t="s">
        <v>129</v>
      </c>
      <c r="D2486" t="s">
        <v>129</v>
      </c>
      <c r="E2486" t="s">
        <v>53</v>
      </c>
      <c r="F2486" t="s">
        <v>53</v>
      </c>
      <c r="G2486">
        <v>4</v>
      </c>
      <c r="H2486" t="s">
        <v>54</v>
      </c>
      <c r="I2486">
        <v>204800</v>
      </c>
      <c r="J2486">
        <v>40700</v>
      </c>
      <c r="K2486">
        <v>0.2</v>
      </c>
      <c r="L248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486">
        <v>0</v>
      </c>
      <c r="N2486">
        <v>0</v>
      </c>
      <c r="O2486">
        <v>0</v>
      </c>
      <c r="P2486">
        <v>13398.7528</v>
      </c>
      <c r="Q2486">
        <v>63903</v>
      </c>
      <c r="R2486">
        <f>(Grandview_Inventory[[#This Row],[ln_acres]]*Grandview_Inventory[[#This Row],[coeff]])+Grandview_Inventory[[#This Row],[const]]</f>
        <v>42338.539264347448</v>
      </c>
      <c r="S2486" t="s">
        <v>58</v>
      </c>
      <c r="T2486">
        <v>1</v>
      </c>
      <c r="U2486" t="s">
        <v>65</v>
      </c>
      <c r="V2486" t="s">
        <v>69</v>
      </c>
      <c r="W2486">
        <v>0</v>
      </c>
      <c r="X2486">
        <v>0</v>
      </c>
      <c r="Y2486">
        <v>27</v>
      </c>
      <c r="Z2486">
        <v>27</v>
      </c>
      <c r="AA2486">
        <v>30</v>
      </c>
      <c r="AB2486">
        <v>1500</v>
      </c>
      <c r="AC2486">
        <v>1496</v>
      </c>
      <c r="AD2486">
        <v>1496</v>
      </c>
      <c r="AE2486">
        <v>0</v>
      </c>
      <c r="AF2486">
        <v>0</v>
      </c>
      <c r="AG2486">
        <v>0</v>
      </c>
      <c r="AH2486">
        <v>0</v>
      </c>
      <c r="AI2486">
        <v>528</v>
      </c>
      <c r="AJ2486">
        <v>0</v>
      </c>
      <c r="AK2486">
        <v>0</v>
      </c>
      <c r="AL2486">
        <v>200</v>
      </c>
      <c r="AM2486">
        <v>0</v>
      </c>
      <c r="AN2486">
        <v>0</v>
      </c>
      <c r="AO2486">
        <v>0</v>
      </c>
      <c r="AP2486">
        <v>8</v>
      </c>
      <c r="AQ2486">
        <v>0</v>
      </c>
      <c r="AR2486">
        <v>0</v>
      </c>
      <c r="AS2486" t="s">
        <v>58</v>
      </c>
      <c r="AT2486">
        <v>1</v>
      </c>
      <c r="AU2486" t="s">
        <v>79</v>
      </c>
      <c r="AV2486" t="s">
        <v>60</v>
      </c>
      <c r="AW2486">
        <v>0</v>
      </c>
      <c r="AX2486">
        <v>3</v>
      </c>
      <c r="AY2486">
        <v>0</v>
      </c>
      <c r="AZ2486">
        <v>0</v>
      </c>
      <c r="BA2486">
        <v>100</v>
      </c>
      <c r="BB2486">
        <v>100</v>
      </c>
      <c r="BC2486">
        <v>100</v>
      </c>
      <c r="BD2486">
        <v>100</v>
      </c>
      <c r="BE2486">
        <v>1</v>
      </c>
      <c r="BF2486">
        <v>15000</v>
      </c>
      <c r="BG2486">
        <v>1000</v>
      </c>
      <c r="BH2486" s="6">
        <f>Grandview_Inventory[[#This Row],[land_extract]]*Lookups!$B$3</f>
        <v>49167.631333630678</v>
      </c>
      <c r="BI2486" s="6">
        <f>IF(Grandview_Inventory[[#This Row],[bldg_style]]="",0,Lookups!$B$2)</f>
        <v>155833.95000000001</v>
      </c>
      <c r="BJ2486" s="6">
        <f>_xlfn.IFNA(VLOOKUP(Grandview_Inventory[[#This Row],[quality]],Lookups!$H$2:$J$14,3,FALSE),0)</f>
        <v>2251</v>
      </c>
      <c r="BK2486" s="6">
        <f>_xlfn.IFNA(VLOOKUP(Grandview_Inventory[[#This Row],[condition]],Lookups!$H$17:$J$24,3,FALSE),0)</f>
        <v>-4503</v>
      </c>
      <c r="BL2486" s="6">
        <f>Grandview_Inventory[[#This Row],[Eff_Age]]*Lookups!$B$14</f>
        <v>-6457.4982</v>
      </c>
      <c r="BM2486" s="6">
        <f>Grandview_Inventory[[#This Row],[living_area]]*Lookups!$B$15</f>
        <v>93321.756088000009</v>
      </c>
      <c r="BN2486" s="6">
        <f>Grandview_Inventory[[#This Row],[Fin BSMT]]*Lookups!$B$16</f>
        <v>0</v>
      </c>
      <c r="BO2486" s="6">
        <f>(Grandview_Inventory[[#This Row],[att_gar]]+Grandview_Inventory[[#This Row],[bltin_gar]])*Lookups!$B$17</f>
        <v>46210.790736000003</v>
      </c>
      <c r="BP2486" s="6">
        <f>Grandview_Inventory[[#This Row],[Plumbing Fixtures]]*Lookups!$B$18</f>
        <v>16083.5344</v>
      </c>
      <c r="BQ2486" s="6">
        <f>Grandview_Inventory[[#This Row],[detatched_value]]*Lookups!$B$19</f>
        <v>0</v>
      </c>
      <c r="BR2486" s="6">
        <f>SUM(Grandview_Inventory[[#This Row],[Intercept]:[det_value]])*Grandview_Inventory[[#This Row],[res_pct]]</f>
        <v>302740.533024</v>
      </c>
      <c r="BS2486" s="6">
        <f>Grandview_Inventory[[#This Row],[land_value]]</f>
        <v>49167.631333630678</v>
      </c>
      <c r="BT2486" s="4">
        <f>_xlfn.IFNA(VLOOKUP(Grandview_Inventory[[#This Row],[quality]],Lookups!$A$26:$C$33,3,FALSE),1)</f>
        <v>0.98763855981004833</v>
      </c>
      <c r="BU2486" s="4">
        <f>_xlfn.IFNA(VLOOKUP(Grandview_Inventory[[#This Row],[condition]],Lookups!$A$37:$C$44,3,FALSE),1)</f>
        <v>0.96469275950863709</v>
      </c>
      <c r="BV2486" s="4">
        <f>IF(Grandview_Inventory[[#This Row],[bldg_style]]="",1,_xlfn.IFNA(VLOOKUP(Grandview_Inventory[[#This Row],[decade]],Lookups!$F$29:$H$43,3,FALSE),1))</f>
        <v>0.98397821291089549</v>
      </c>
      <c r="BW2486" s="4">
        <f>_xlfn.IFNA(VLOOKUP(Grandview_Inventory[[#This Row],[living_area_range]],Lookups!$F$47:$H$56,3,FALSE),1)</f>
        <v>0.96135087979789358</v>
      </c>
      <c r="BX2486" s="4">
        <f>AVERAGE(Grandview_Inventory[[#This Row],[qual_adj]:[size_adj]])</f>
        <v>0.97441510300686862</v>
      </c>
      <c r="BY2486" s="6">
        <f>IF(Grandview_Inventory[[#This Row],[pre_res]]&lt;0,0,Grandview_Inventory[[#This Row],[pre_res]]*Grandview_Inventory[[#This Row],[overall_adj]])</f>
        <v>294994.9476709353</v>
      </c>
      <c r="BZ2486" s="6">
        <f>(Grandview_Inventory[[#This Row],[sum_land]]-IF(Grandview_Inventory[[#This Row],[no_utilities]]=1,12000,0))/IF(Grandview_Inventory[[#This Row],[unbuildable]]=1,2,1)</f>
        <v>49167.631333630678</v>
      </c>
      <c r="CA248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486">
        <f>ROUND(Grandview_Inventory[[#This Row],[det_value]]*Lookups!$M$28,-2)</f>
        <v>0</v>
      </c>
      <c r="CC2486">
        <f>IF(ROUND(Grandview_Inventory[[#This Row],[adj_res]]*Lookups!$M$28,-2)&lt;Grandview_Inventory[[#This Row],[min_res]],Grandview_Inventory[[#This Row],[min_res]],ROUND(Grandview_Inventory[[#This Row],[adj_res]]*Lookups!$M$28,-2))</f>
        <v>280200</v>
      </c>
      <c r="CD2486">
        <f>Grandview_Inventory[[#This Row],[final_det]]+Grandview_Inventory[[#This Row],[final_res]]</f>
        <v>280200</v>
      </c>
      <c r="CE2486">
        <f>Grandview_Inventory[[#This Row],[final_land]]+Grandview_Inventory[[#This Row],[final_imp]]+Grandview_Inventory[[#This Row],[crop_value]]</f>
        <v>326900</v>
      </c>
      <c r="CG2486" t="str">
        <f t="shared" si="38"/>
        <v>update valuation set market_land =46700, market_bldg=280200, market_total =326900, market_mdno =401, market_date ='9/10/2023' where link_id = (select link_id from parcel where parcel_year = '2024' and parcel_id = '23092714442');</v>
      </c>
    </row>
    <row r="2487" spans="1:85" x14ac:dyDescent="0.25">
      <c r="A2487">
        <v>23092714444</v>
      </c>
      <c r="B2487">
        <v>0.33</v>
      </c>
      <c r="C2487">
        <v>14247</v>
      </c>
      <c r="D2487" t="s">
        <v>129</v>
      </c>
      <c r="E2487" t="s">
        <v>53</v>
      </c>
      <c r="F2487" t="s">
        <v>53</v>
      </c>
      <c r="G2487">
        <v>4</v>
      </c>
      <c r="H2487" t="s">
        <v>54</v>
      </c>
      <c r="I2487">
        <v>290100</v>
      </c>
      <c r="J2487">
        <v>45400</v>
      </c>
      <c r="K2487">
        <v>0.33</v>
      </c>
      <c r="L2487">
        <f>IF(Grandview_Inventory[[#This Row],[parcel_acres]]-Grandview_Inventory[[#This Row],[non_valued_acres]] =0,0,LN(Grandview_Inventory[[#This Row],[parcel_acres]]-Grandview_Inventory[[#This Row],[non_valued_acres]]))</f>
        <v>-1.1086626245216111</v>
      </c>
      <c r="M2487">
        <v>0</v>
      </c>
      <c r="N2487">
        <v>0</v>
      </c>
      <c r="O2487">
        <v>0</v>
      </c>
      <c r="P2487">
        <v>13398.7528</v>
      </c>
      <c r="Q2487">
        <v>63903</v>
      </c>
      <c r="R2487">
        <f>(Grandview_Inventory[[#This Row],[ln_acres]]*Grandview_Inventory[[#This Row],[coeff]])+Grandview_Inventory[[#This Row],[const]]</f>
        <v>49048.303555435712</v>
      </c>
      <c r="S2487" t="s">
        <v>58</v>
      </c>
      <c r="T2487">
        <v>2</v>
      </c>
      <c r="U2487" t="s">
        <v>64</v>
      </c>
      <c r="V2487" t="s">
        <v>69</v>
      </c>
      <c r="W2487">
        <v>0</v>
      </c>
      <c r="X2487">
        <v>0</v>
      </c>
      <c r="Y2487">
        <v>36</v>
      </c>
      <c r="Z2487">
        <v>36</v>
      </c>
      <c r="AA2487">
        <v>40</v>
      </c>
      <c r="AB2487">
        <v>2500</v>
      </c>
      <c r="AC2487">
        <v>2100</v>
      </c>
      <c r="AD2487">
        <v>1356</v>
      </c>
      <c r="AE2487">
        <v>744</v>
      </c>
      <c r="AF2487">
        <v>0</v>
      </c>
      <c r="AG2487">
        <v>0</v>
      </c>
      <c r="AH2487">
        <v>0</v>
      </c>
      <c r="AI2487">
        <v>726</v>
      </c>
      <c r="AJ2487">
        <v>0</v>
      </c>
      <c r="AK2487">
        <v>0</v>
      </c>
      <c r="AL2487">
        <v>500</v>
      </c>
      <c r="AM2487">
        <v>0</v>
      </c>
      <c r="AN2487">
        <v>0</v>
      </c>
      <c r="AO2487">
        <v>0</v>
      </c>
      <c r="AP2487">
        <v>10</v>
      </c>
      <c r="AQ2487">
        <v>2</v>
      </c>
      <c r="AR2487">
        <v>0</v>
      </c>
      <c r="AS2487" t="s">
        <v>71</v>
      </c>
      <c r="AT2487">
        <v>1</v>
      </c>
      <c r="AU2487" t="s">
        <v>59</v>
      </c>
      <c r="AV2487" t="s">
        <v>60</v>
      </c>
      <c r="AW2487">
        <v>1</v>
      </c>
      <c r="AX2487">
        <v>3</v>
      </c>
      <c r="AY2487">
        <v>0</v>
      </c>
      <c r="AZ2487">
        <v>0</v>
      </c>
      <c r="BA2487">
        <v>100</v>
      </c>
      <c r="BB2487">
        <v>100</v>
      </c>
      <c r="BC2487">
        <v>100</v>
      </c>
      <c r="BD2487">
        <v>100</v>
      </c>
      <c r="BE2487">
        <v>1</v>
      </c>
      <c r="BF2487">
        <v>15000</v>
      </c>
      <c r="BG2487">
        <v>1000</v>
      </c>
      <c r="BH2487" s="6">
        <f>Grandview_Inventory[[#This Row],[land_extract]]*Lookups!$B$3</f>
        <v>56959.662488507893</v>
      </c>
      <c r="BI2487" s="6">
        <f>IF(Grandview_Inventory[[#This Row],[bldg_style]]="",0,Lookups!$B$2)</f>
        <v>155833.95000000001</v>
      </c>
      <c r="BJ2487" s="6">
        <f>_xlfn.IFNA(VLOOKUP(Grandview_Inventory[[#This Row],[quality]],Lookups!$H$2:$J$14,3,FALSE),0)</f>
        <v>20768</v>
      </c>
      <c r="BK2487" s="6">
        <f>_xlfn.IFNA(VLOOKUP(Grandview_Inventory[[#This Row],[condition]],Lookups!$H$17:$J$24,3,FALSE),0)</f>
        <v>-4503</v>
      </c>
      <c r="BL2487" s="6">
        <f>Grandview_Inventory[[#This Row],[Eff_Age]]*Lookups!$B$14</f>
        <v>-8609.9975999999988</v>
      </c>
      <c r="BM2487" s="6">
        <f>Grandview_Inventory[[#This Row],[living_area]]*Lookups!$B$15</f>
        <v>130999.7913</v>
      </c>
      <c r="BN2487" s="6">
        <f>Grandview_Inventory[[#This Row],[Fin BSMT]]*Lookups!$B$16</f>
        <v>0</v>
      </c>
      <c r="BO2487" s="6">
        <f>(Grandview_Inventory[[#This Row],[att_gar]]+Grandview_Inventory[[#This Row],[bltin_gar]])*Lookups!$B$17</f>
        <v>63539.837262000001</v>
      </c>
      <c r="BP2487" s="6">
        <f>Grandview_Inventory[[#This Row],[Plumbing Fixtures]]*Lookups!$B$18</f>
        <v>20104.418000000001</v>
      </c>
      <c r="BQ2487" s="6">
        <f>Grandview_Inventory[[#This Row],[detatched_value]]*Lookups!$B$19</f>
        <v>0</v>
      </c>
      <c r="BR2487" s="6">
        <f>SUM(Grandview_Inventory[[#This Row],[Intercept]:[det_value]])*Grandview_Inventory[[#This Row],[res_pct]]</f>
        <v>378132.99896200001</v>
      </c>
      <c r="BS2487" s="6">
        <f>Grandview_Inventory[[#This Row],[land_value]]</f>
        <v>56959.662488507893</v>
      </c>
      <c r="BT2487" s="4">
        <f>_xlfn.IFNA(VLOOKUP(Grandview_Inventory[[#This Row],[quality]],Lookups!$A$26:$C$33,3,FALSE),1)</f>
        <v>0.94960540378902636</v>
      </c>
      <c r="BU2487" s="4">
        <f>_xlfn.IFNA(VLOOKUP(Grandview_Inventory[[#This Row],[condition]],Lookups!$A$37:$C$44,3,FALSE),1)</f>
        <v>0.96469275950863709</v>
      </c>
      <c r="BV2487" s="4">
        <f>IF(Grandview_Inventory[[#This Row],[bldg_style]]="",1,_xlfn.IFNA(VLOOKUP(Grandview_Inventory[[#This Row],[decade]],Lookups!$F$29:$H$43,3,FALSE),1))</f>
        <v>0.98031878267063854</v>
      </c>
      <c r="BW2487" s="4">
        <f>_xlfn.IFNA(VLOOKUP(Grandview_Inventory[[#This Row],[living_area_range]],Lookups!$F$47:$H$56,3,FALSE),1)</f>
        <v>0.95799442568048754</v>
      </c>
      <c r="BX2487" s="4">
        <f>AVERAGE(Grandview_Inventory[[#This Row],[qual_adj]:[size_adj]])</f>
        <v>0.96315284291219738</v>
      </c>
      <c r="BY2487" s="6">
        <f>IF(Grandview_Inventory[[#This Row],[pre_res]]&lt;0,0,Grandview_Inventory[[#This Row],[pre_res]]*Grandview_Inventory[[#This Row],[overall_adj]])</f>
        <v>364199.87294916529</v>
      </c>
      <c r="BZ2487" s="6">
        <f>(Grandview_Inventory[[#This Row],[sum_land]]-IF(Grandview_Inventory[[#This Row],[no_utilities]]=1,12000,0))/IF(Grandview_Inventory[[#This Row],[unbuildable]]=1,2,1)</f>
        <v>56959.662488507893</v>
      </c>
      <c r="CA2487">
        <f>IF(ROUND(Grandview_Inventory[[#This Row],[adj_land]]*Lookups!$M$28,-2)&lt;Grandview_Inventory[[#This Row],[min_land]],Grandview_Inventory[[#This Row],[min_land]],ROUND(Grandview_Inventory[[#This Row],[adj_land]]*Lookups!$M$28,-2))</f>
        <v>54100</v>
      </c>
      <c r="CB2487">
        <f>ROUND(Grandview_Inventory[[#This Row],[det_value]]*Lookups!$M$28,-2)</f>
        <v>0</v>
      </c>
      <c r="CC2487">
        <f>IF(ROUND(Grandview_Inventory[[#This Row],[adj_res]]*Lookups!$M$28,-2)&lt;Grandview_Inventory[[#This Row],[min_res]],Grandview_Inventory[[#This Row],[min_res]],ROUND(Grandview_Inventory[[#This Row],[adj_res]]*Lookups!$M$28,-2))</f>
        <v>346000</v>
      </c>
      <c r="CD2487">
        <f>Grandview_Inventory[[#This Row],[final_det]]+Grandview_Inventory[[#This Row],[final_res]]</f>
        <v>346000</v>
      </c>
      <c r="CE2487">
        <f>Grandview_Inventory[[#This Row],[final_land]]+Grandview_Inventory[[#This Row],[final_imp]]+Grandview_Inventory[[#This Row],[crop_value]]</f>
        <v>400100</v>
      </c>
      <c r="CG2487" t="str">
        <f t="shared" si="38"/>
        <v>update valuation set market_land =54100, market_bldg=346000, market_total =400100, market_mdno =401, market_date ='9/10/2023' where link_id = (select link_id from parcel where parcel_year = '2024' and parcel_id = '23092714444');</v>
      </c>
    </row>
    <row r="2488" spans="1:85" x14ac:dyDescent="0.25">
      <c r="A2488">
        <v>23092714445</v>
      </c>
      <c r="B2488">
        <v>0.36</v>
      </c>
      <c r="C2488" t="s">
        <v>129</v>
      </c>
      <c r="D2488" t="s">
        <v>129</v>
      </c>
      <c r="E2488" t="s">
        <v>53</v>
      </c>
      <c r="F2488" t="s">
        <v>53</v>
      </c>
      <c r="G2488">
        <v>4</v>
      </c>
      <c r="H2488" t="s">
        <v>54</v>
      </c>
      <c r="I2488">
        <v>278400</v>
      </c>
      <c r="J2488">
        <v>46500</v>
      </c>
      <c r="K2488">
        <v>0.36</v>
      </c>
      <c r="L2488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2488">
        <v>0</v>
      </c>
      <c r="N2488">
        <v>0</v>
      </c>
      <c r="O2488">
        <v>0</v>
      </c>
      <c r="P2488">
        <v>13398.7528</v>
      </c>
      <c r="Q2488">
        <v>63903</v>
      </c>
      <c r="R2488">
        <f>(Grandview_Inventory[[#This Row],[ln_acres]]*Grandview_Inventory[[#This Row],[coeff]])+Grandview_Inventory[[#This Row],[const]]</f>
        <v>50214.147486507369</v>
      </c>
      <c r="S2488" t="s">
        <v>55</v>
      </c>
      <c r="T2488">
        <v>2</v>
      </c>
      <c r="U2488" t="s">
        <v>62</v>
      </c>
      <c r="V2488" t="s">
        <v>67</v>
      </c>
      <c r="W2488">
        <v>0</v>
      </c>
      <c r="X2488">
        <v>0</v>
      </c>
      <c r="Y2488">
        <v>16</v>
      </c>
      <c r="Z2488">
        <v>16</v>
      </c>
      <c r="AA2488">
        <v>20</v>
      </c>
      <c r="AB2488">
        <v>2000</v>
      </c>
      <c r="AC2488">
        <v>2000</v>
      </c>
      <c r="AD2488">
        <v>1048</v>
      </c>
      <c r="AE2488">
        <v>952</v>
      </c>
      <c r="AF2488">
        <v>0</v>
      </c>
      <c r="AG2488">
        <v>0</v>
      </c>
      <c r="AH2488">
        <v>0</v>
      </c>
      <c r="AI2488">
        <v>528</v>
      </c>
      <c r="AJ2488">
        <v>0</v>
      </c>
      <c r="AK2488">
        <v>0</v>
      </c>
      <c r="AL2488">
        <v>0</v>
      </c>
      <c r="AM2488">
        <v>0</v>
      </c>
      <c r="AN2488">
        <v>96</v>
      </c>
      <c r="AO2488">
        <v>0</v>
      </c>
      <c r="AP2488">
        <v>10</v>
      </c>
      <c r="AQ2488">
        <v>0</v>
      </c>
      <c r="AR2488">
        <v>0</v>
      </c>
      <c r="AS2488" t="s">
        <v>58</v>
      </c>
      <c r="AT2488">
        <v>1</v>
      </c>
      <c r="AU2488" t="s">
        <v>59</v>
      </c>
      <c r="AV2488" t="s">
        <v>60</v>
      </c>
      <c r="AW2488">
        <v>1</v>
      </c>
      <c r="AX2488">
        <v>3</v>
      </c>
      <c r="AY2488">
        <v>0</v>
      </c>
      <c r="AZ2488">
        <v>7400</v>
      </c>
      <c r="BA2488">
        <v>100</v>
      </c>
      <c r="BB2488">
        <v>100</v>
      </c>
      <c r="BC2488">
        <v>100</v>
      </c>
      <c r="BD2488">
        <v>100</v>
      </c>
      <c r="BE2488">
        <v>1</v>
      </c>
      <c r="BF2488">
        <v>15000</v>
      </c>
      <c r="BG2488">
        <v>1000</v>
      </c>
      <c r="BH2488" s="6">
        <f>Grandview_Inventory[[#This Row],[land_extract]]*Lookups!$B$3</f>
        <v>58313.55389788279</v>
      </c>
      <c r="BI2488" s="6">
        <f>IF(Grandview_Inventory[[#This Row],[bldg_style]]="",0,Lookups!$B$2)</f>
        <v>155833.95000000001</v>
      </c>
      <c r="BJ2488" s="6">
        <f>_xlfn.IFNA(VLOOKUP(Grandview_Inventory[[#This Row],[quality]],Lookups!$H$2:$J$14,3,FALSE),0)</f>
        <v>9808</v>
      </c>
      <c r="BK2488" s="6">
        <f>_xlfn.IFNA(VLOOKUP(Grandview_Inventory[[#This Row],[condition]],Lookups!$H$17:$J$24,3,FALSE),0)</f>
        <v>22342</v>
      </c>
      <c r="BL2488" s="6">
        <f>Grandview_Inventory[[#This Row],[Eff_Age]]*Lookups!$B$14</f>
        <v>-3826.6655999999998</v>
      </c>
      <c r="BM2488" s="6">
        <f>Grandview_Inventory[[#This Row],[living_area]]*Lookups!$B$15</f>
        <v>124761.70600000001</v>
      </c>
      <c r="BN2488" s="6">
        <f>Grandview_Inventory[[#This Row],[Fin BSMT]]*Lookups!$B$16</f>
        <v>0</v>
      </c>
      <c r="BO2488" s="6">
        <f>(Grandview_Inventory[[#This Row],[att_gar]]+Grandview_Inventory[[#This Row],[bltin_gar]])*Lookups!$B$17</f>
        <v>46210.790736000003</v>
      </c>
      <c r="BP2488" s="6">
        <f>Grandview_Inventory[[#This Row],[Plumbing Fixtures]]*Lookups!$B$18</f>
        <v>20104.418000000001</v>
      </c>
      <c r="BQ2488" s="6">
        <f>Grandview_Inventory[[#This Row],[detatched_value]]*Lookups!$B$19</f>
        <v>6266.3577399999995</v>
      </c>
      <c r="BR2488" s="6">
        <f>SUM(Grandview_Inventory[[#This Row],[Intercept]:[det_value]])*Grandview_Inventory[[#This Row],[res_pct]]</f>
        <v>381500.55687600002</v>
      </c>
      <c r="BS2488" s="6">
        <f>Grandview_Inventory[[#This Row],[land_value]]</f>
        <v>58313.55389788279</v>
      </c>
      <c r="BT2488" s="4">
        <f>_xlfn.IFNA(VLOOKUP(Grandview_Inventory[[#This Row],[quality]],Lookups!$A$26:$C$33,3,FALSE),1)</f>
        <v>0.94295468617355149</v>
      </c>
      <c r="BU2488" s="4">
        <f>_xlfn.IFNA(VLOOKUP(Grandview_Inventory[[#This Row],[condition]],Lookups!$A$37:$C$44,3,FALSE),1)</f>
        <v>0.97383723671140243</v>
      </c>
      <c r="BV2488" s="4">
        <f>IF(Grandview_Inventory[[#This Row],[bldg_style]]="",1,_xlfn.IFNA(VLOOKUP(Grandview_Inventory[[#This Row],[decade]],Lookups!$F$29:$H$43,3,FALSE),1))</f>
        <v>0.96737494181490646</v>
      </c>
      <c r="BW2488" s="4">
        <f>_xlfn.IFNA(VLOOKUP(Grandview_Inventory[[#This Row],[living_area_range]],Lookups!$F$47:$H$56,3,FALSE),1)</f>
        <v>0.96120133463014379</v>
      </c>
      <c r="BX2488" s="4">
        <f>AVERAGE(Grandview_Inventory[[#This Row],[qual_adj]:[size_adj]])</f>
        <v>0.96134204983250116</v>
      </c>
      <c r="BY2488" s="6">
        <f>IF(Grandview_Inventory[[#This Row],[pre_res]]&lt;0,0,Grandview_Inventory[[#This Row],[pre_res]]*Grandview_Inventory[[#This Row],[overall_adj]])</f>
        <v>366752.52735941455</v>
      </c>
      <c r="BZ2488" s="6">
        <f>(Grandview_Inventory[[#This Row],[sum_land]]-IF(Grandview_Inventory[[#This Row],[no_utilities]]=1,12000,0))/IF(Grandview_Inventory[[#This Row],[unbuildable]]=1,2,1)</f>
        <v>58313.55389788279</v>
      </c>
      <c r="CA2488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2488">
        <f>ROUND(Grandview_Inventory[[#This Row],[det_value]]*Lookups!$M$28,-2)</f>
        <v>6000</v>
      </c>
      <c r="CC2488">
        <f>IF(ROUND(Grandview_Inventory[[#This Row],[adj_res]]*Lookups!$M$28,-2)&lt;Grandview_Inventory[[#This Row],[min_res]],Grandview_Inventory[[#This Row],[min_res]],ROUND(Grandview_Inventory[[#This Row],[adj_res]]*Lookups!$M$28,-2))</f>
        <v>348400</v>
      </c>
      <c r="CD2488">
        <f>Grandview_Inventory[[#This Row],[final_det]]+Grandview_Inventory[[#This Row],[final_res]]</f>
        <v>354400</v>
      </c>
      <c r="CE2488">
        <f>Grandview_Inventory[[#This Row],[final_land]]+Grandview_Inventory[[#This Row],[final_imp]]+Grandview_Inventory[[#This Row],[crop_value]]</f>
        <v>409800</v>
      </c>
      <c r="CG2488" t="str">
        <f t="shared" si="38"/>
        <v>update valuation set market_land =55400, market_bldg=354400, market_total =409800, market_mdno =401, market_date ='9/10/2023' where link_id = (select link_id from parcel where parcel_year = '2024' and parcel_id = '23092714445');</v>
      </c>
    </row>
    <row r="2489" spans="1:85" x14ac:dyDescent="0.25">
      <c r="A2489">
        <v>23092714446</v>
      </c>
      <c r="B2489">
        <v>0.23</v>
      </c>
      <c r="C2489">
        <v>10218</v>
      </c>
      <c r="D2489" t="s">
        <v>129</v>
      </c>
      <c r="E2489" t="s">
        <v>53</v>
      </c>
      <c r="F2489" t="s">
        <v>53</v>
      </c>
      <c r="G2489">
        <v>4</v>
      </c>
      <c r="H2489" t="s">
        <v>54</v>
      </c>
      <c r="I2489">
        <v>275400</v>
      </c>
      <c r="J2489">
        <v>42300</v>
      </c>
      <c r="K2489">
        <v>0.23</v>
      </c>
      <c r="L2489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489">
        <v>0</v>
      </c>
      <c r="N2489">
        <v>0</v>
      </c>
      <c r="O2489">
        <v>0</v>
      </c>
      <c r="P2489">
        <v>13398.7528</v>
      </c>
      <c r="Q2489">
        <v>63903</v>
      </c>
      <c r="R2489">
        <f>(Grandview_Inventory[[#This Row],[ln_acres]]*Grandview_Inventory[[#This Row],[coeff]])+Grandview_Inventory[[#This Row],[const]]</f>
        <v>44211.174981080039</v>
      </c>
      <c r="S2489" t="s">
        <v>58</v>
      </c>
      <c r="T2489">
        <v>1</v>
      </c>
      <c r="U2489" t="s">
        <v>64</v>
      </c>
      <c r="V2489" t="s">
        <v>67</v>
      </c>
      <c r="W2489">
        <v>0</v>
      </c>
      <c r="X2489">
        <v>0</v>
      </c>
      <c r="Y2489">
        <v>29</v>
      </c>
      <c r="Z2489">
        <v>29</v>
      </c>
      <c r="AA2489">
        <v>30</v>
      </c>
      <c r="AB2489">
        <v>1500</v>
      </c>
      <c r="AC2489">
        <v>1494</v>
      </c>
      <c r="AD2489">
        <v>1494</v>
      </c>
      <c r="AE2489">
        <v>0</v>
      </c>
      <c r="AF2489">
        <v>0</v>
      </c>
      <c r="AG2489">
        <v>0</v>
      </c>
      <c r="AH2489">
        <v>0</v>
      </c>
      <c r="AI2489">
        <v>528</v>
      </c>
      <c r="AJ2489">
        <v>0</v>
      </c>
      <c r="AK2489">
        <v>0</v>
      </c>
      <c r="AL2489">
        <v>48</v>
      </c>
      <c r="AM2489">
        <v>224</v>
      </c>
      <c r="AN2489">
        <v>40</v>
      </c>
      <c r="AO2489">
        <v>224</v>
      </c>
      <c r="AP2489">
        <v>10</v>
      </c>
      <c r="AQ2489">
        <v>1</v>
      </c>
      <c r="AR2489">
        <v>0</v>
      </c>
      <c r="AS2489" t="s">
        <v>58</v>
      </c>
      <c r="AT2489">
        <v>1</v>
      </c>
      <c r="AU2489" t="s">
        <v>59</v>
      </c>
      <c r="AV2489" t="s">
        <v>60</v>
      </c>
      <c r="AW2489">
        <v>1</v>
      </c>
      <c r="AX2489">
        <v>3</v>
      </c>
      <c r="AY2489">
        <v>0</v>
      </c>
      <c r="AZ2489">
        <v>0</v>
      </c>
      <c r="BA2489">
        <v>100</v>
      </c>
      <c r="BB2489">
        <v>100</v>
      </c>
      <c r="BC2489">
        <v>100</v>
      </c>
      <c r="BD2489">
        <v>100</v>
      </c>
      <c r="BE2489">
        <v>1</v>
      </c>
      <c r="BF2489">
        <v>15000</v>
      </c>
      <c r="BG2489">
        <v>1000</v>
      </c>
      <c r="BH2489" s="6">
        <f>Grandview_Inventory[[#This Row],[land_extract]]*Lookups!$B$3</f>
        <v>51342.318135355803</v>
      </c>
      <c r="BI2489" s="6">
        <f>IF(Grandview_Inventory[[#This Row],[bldg_style]]="",0,Lookups!$B$2)</f>
        <v>155833.95000000001</v>
      </c>
      <c r="BJ2489" s="6">
        <f>_xlfn.IFNA(VLOOKUP(Grandview_Inventory[[#This Row],[quality]],Lookups!$H$2:$J$14,3,FALSE),0)</f>
        <v>20768</v>
      </c>
      <c r="BK2489" s="6">
        <f>_xlfn.IFNA(VLOOKUP(Grandview_Inventory[[#This Row],[condition]],Lookups!$H$17:$J$24,3,FALSE),0)</f>
        <v>22342</v>
      </c>
      <c r="BL2489" s="6">
        <f>Grandview_Inventory[[#This Row],[Eff_Age]]*Lookups!$B$14</f>
        <v>-6935.8314</v>
      </c>
      <c r="BM2489" s="6">
        <f>Grandview_Inventory[[#This Row],[living_area]]*Lookups!$B$15</f>
        <v>93196.994382000004</v>
      </c>
      <c r="BN2489" s="6">
        <f>Grandview_Inventory[[#This Row],[Fin BSMT]]*Lookups!$B$16</f>
        <v>0</v>
      </c>
      <c r="BO2489" s="6">
        <f>(Grandview_Inventory[[#This Row],[att_gar]]+Grandview_Inventory[[#This Row],[bltin_gar]])*Lookups!$B$17</f>
        <v>46210.790736000003</v>
      </c>
      <c r="BP2489" s="6">
        <f>Grandview_Inventory[[#This Row],[Plumbing Fixtures]]*Lookups!$B$18</f>
        <v>20104.418000000001</v>
      </c>
      <c r="BQ2489" s="6">
        <f>Grandview_Inventory[[#This Row],[detatched_value]]*Lookups!$B$19</f>
        <v>0</v>
      </c>
      <c r="BR2489" s="6">
        <f>SUM(Grandview_Inventory[[#This Row],[Intercept]:[det_value]])*Grandview_Inventory[[#This Row],[res_pct]]</f>
        <v>351520.32171799999</v>
      </c>
      <c r="BS2489" s="6">
        <f>Grandview_Inventory[[#This Row],[land_value]]</f>
        <v>51342.318135355803</v>
      </c>
      <c r="BT2489" s="4">
        <f>_xlfn.IFNA(VLOOKUP(Grandview_Inventory[[#This Row],[quality]],Lookups!$A$26:$C$33,3,FALSE),1)</f>
        <v>0.94960540378902636</v>
      </c>
      <c r="BU2489" s="4">
        <f>_xlfn.IFNA(VLOOKUP(Grandview_Inventory[[#This Row],[condition]],Lookups!$A$37:$C$44,3,FALSE),1)</f>
        <v>0.97383723671140243</v>
      </c>
      <c r="BV2489" s="4">
        <f>IF(Grandview_Inventory[[#This Row],[bldg_style]]="",1,_xlfn.IFNA(VLOOKUP(Grandview_Inventory[[#This Row],[decade]],Lookups!$F$29:$H$43,3,FALSE),1))</f>
        <v>0.98397821291089549</v>
      </c>
      <c r="BW2489" s="4">
        <f>_xlfn.IFNA(VLOOKUP(Grandview_Inventory[[#This Row],[living_area_range]],Lookups!$F$47:$H$56,3,FALSE),1)</f>
        <v>0.96135087979789358</v>
      </c>
      <c r="BX2489" s="4">
        <f>AVERAGE(Grandview_Inventory[[#This Row],[qual_adj]:[size_adj]])</f>
        <v>0.96719293330230449</v>
      </c>
      <c r="BY2489" s="6">
        <f>IF(Grandview_Inventory[[#This Row],[pre_res]]&lt;0,0,Grandview_Inventory[[#This Row],[pre_res]]*Grandview_Inventory[[#This Row],[overall_adj]])</f>
        <v>339987.97107780218</v>
      </c>
      <c r="BZ2489" s="6">
        <f>(Grandview_Inventory[[#This Row],[sum_land]]-IF(Grandview_Inventory[[#This Row],[no_utilities]]=1,12000,0))/IF(Grandview_Inventory[[#This Row],[unbuildable]]=1,2,1)</f>
        <v>51342.318135355803</v>
      </c>
      <c r="CA2489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489">
        <f>ROUND(Grandview_Inventory[[#This Row],[det_value]]*Lookups!$M$28,-2)</f>
        <v>0</v>
      </c>
      <c r="CC2489">
        <f>IF(ROUND(Grandview_Inventory[[#This Row],[adj_res]]*Lookups!$M$28,-2)&lt;Grandview_Inventory[[#This Row],[min_res]],Grandview_Inventory[[#This Row],[min_res]],ROUND(Grandview_Inventory[[#This Row],[adj_res]]*Lookups!$M$28,-2))</f>
        <v>323000</v>
      </c>
      <c r="CD2489">
        <f>Grandview_Inventory[[#This Row],[final_det]]+Grandview_Inventory[[#This Row],[final_res]]</f>
        <v>323000</v>
      </c>
      <c r="CE2489">
        <f>Grandview_Inventory[[#This Row],[final_land]]+Grandview_Inventory[[#This Row],[final_imp]]+Grandview_Inventory[[#This Row],[crop_value]]</f>
        <v>371800</v>
      </c>
      <c r="CG2489" t="str">
        <f t="shared" si="38"/>
        <v>update valuation set market_land =48800, market_bldg=323000, market_total =371800, market_mdno =401, market_date ='9/10/2023' where link_id = (select link_id from parcel where parcel_year = '2024' and parcel_id = '23092714446');</v>
      </c>
    </row>
    <row r="2490" spans="1:85" x14ac:dyDescent="0.25">
      <c r="A2490">
        <v>23092714447</v>
      </c>
      <c r="B2490">
        <v>0.24</v>
      </c>
      <c r="C2490" t="s">
        <v>129</v>
      </c>
      <c r="D2490" t="s">
        <v>129</v>
      </c>
      <c r="E2490" t="s">
        <v>53</v>
      </c>
      <c r="F2490" t="s">
        <v>53</v>
      </c>
      <c r="G2490">
        <v>4</v>
      </c>
      <c r="H2490" t="s">
        <v>54</v>
      </c>
      <c r="I2490">
        <v>208900</v>
      </c>
      <c r="J2490">
        <v>42400</v>
      </c>
      <c r="K2490">
        <v>0.24</v>
      </c>
      <c r="L2490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490">
        <v>0</v>
      </c>
      <c r="N2490">
        <v>0</v>
      </c>
      <c r="O2490">
        <v>0</v>
      </c>
      <c r="P2490">
        <v>13398.7528</v>
      </c>
      <c r="Q2490">
        <v>63903</v>
      </c>
      <c r="R2490">
        <f>(Grandview_Inventory[[#This Row],[ln_acres]]*Grandview_Inventory[[#This Row],[coeff]])+Grandview_Inventory[[#This Row],[const]]</f>
        <v>44781.420733940802</v>
      </c>
      <c r="S2490" t="s">
        <v>55</v>
      </c>
      <c r="T2490">
        <v>2</v>
      </c>
      <c r="U2490" t="s">
        <v>65</v>
      </c>
      <c r="V2490" t="s">
        <v>69</v>
      </c>
      <c r="W2490">
        <v>0</v>
      </c>
      <c r="X2490">
        <v>0</v>
      </c>
      <c r="Y2490">
        <v>60</v>
      </c>
      <c r="Z2490">
        <v>108</v>
      </c>
      <c r="AA2490">
        <v>110</v>
      </c>
      <c r="AB2490">
        <v>2000</v>
      </c>
      <c r="AC2490">
        <v>1800</v>
      </c>
      <c r="AD2490">
        <v>1260</v>
      </c>
      <c r="AE2490">
        <v>540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30</v>
      </c>
      <c r="AO2490">
        <v>0</v>
      </c>
      <c r="AP2490">
        <v>8</v>
      </c>
      <c r="AQ2490">
        <v>0</v>
      </c>
      <c r="AR2490">
        <v>1</v>
      </c>
      <c r="AS2490" t="s">
        <v>58</v>
      </c>
      <c r="AT2490">
        <v>1</v>
      </c>
      <c r="AU2490" t="s">
        <v>63</v>
      </c>
      <c r="AV2490" t="s">
        <v>60</v>
      </c>
      <c r="AW2490">
        <v>1</v>
      </c>
      <c r="AX2490">
        <v>4</v>
      </c>
      <c r="AY2490">
        <v>0</v>
      </c>
      <c r="AZ2490">
        <v>10400</v>
      </c>
      <c r="BA2490">
        <v>100</v>
      </c>
      <c r="BB2490">
        <v>100</v>
      </c>
      <c r="BC2490">
        <v>100</v>
      </c>
      <c r="BD2490">
        <v>100</v>
      </c>
      <c r="BE2490">
        <v>1</v>
      </c>
      <c r="BF2490">
        <v>15000</v>
      </c>
      <c r="BG2490">
        <v>1000</v>
      </c>
      <c r="BH2490" s="6">
        <f>Grandview_Inventory[[#This Row],[land_extract]]*Lookups!$B$3</f>
        <v>52004.542988489469</v>
      </c>
      <c r="BI2490" s="6">
        <f>IF(Grandview_Inventory[[#This Row],[bldg_style]]="",0,Lookups!$B$2)</f>
        <v>155833.95000000001</v>
      </c>
      <c r="BJ2490" s="6">
        <f>_xlfn.IFNA(VLOOKUP(Grandview_Inventory[[#This Row],[quality]],Lookups!$H$2:$J$14,3,FALSE),0)</f>
        <v>2251</v>
      </c>
      <c r="BK2490" s="6">
        <f>_xlfn.IFNA(VLOOKUP(Grandview_Inventory[[#This Row],[condition]],Lookups!$H$17:$J$24,3,FALSE),0)</f>
        <v>-4503</v>
      </c>
      <c r="BL2490" s="6">
        <f>Grandview_Inventory[[#This Row],[Eff_Age]]*Lookups!$B$14</f>
        <v>-14349.995999999999</v>
      </c>
      <c r="BM2490" s="6">
        <f>Grandview_Inventory[[#This Row],[living_area]]*Lookups!$B$15</f>
        <v>112285.53540000001</v>
      </c>
      <c r="BN2490" s="6">
        <f>Grandview_Inventory[[#This Row],[Fin BSMT]]*Lookups!$B$16</f>
        <v>0</v>
      </c>
      <c r="BO2490" s="6">
        <f>(Grandview_Inventory[[#This Row],[att_gar]]+Grandview_Inventory[[#This Row],[bltin_gar]])*Lookups!$B$17</f>
        <v>0</v>
      </c>
      <c r="BP2490" s="6">
        <f>Grandview_Inventory[[#This Row],[Plumbing Fixtures]]*Lookups!$B$18</f>
        <v>16083.5344</v>
      </c>
      <c r="BQ2490" s="6">
        <f>Grandview_Inventory[[#This Row],[detatched_value]]*Lookups!$B$19</f>
        <v>8806.77304</v>
      </c>
      <c r="BR2490" s="6">
        <f>SUM(Grandview_Inventory[[#This Row],[Intercept]:[det_value]])*Grandview_Inventory[[#This Row],[res_pct]]</f>
        <v>276407.79684000002</v>
      </c>
      <c r="BS2490" s="6">
        <f>Grandview_Inventory[[#This Row],[land_value]]</f>
        <v>52004.542988489469</v>
      </c>
      <c r="BT2490" s="4">
        <f>_xlfn.IFNA(VLOOKUP(Grandview_Inventory[[#This Row],[quality]],Lookups!$A$26:$C$33,3,FALSE),1)</f>
        <v>0.98763855981004833</v>
      </c>
      <c r="BU2490" s="4">
        <f>_xlfn.IFNA(VLOOKUP(Grandview_Inventory[[#This Row],[condition]],Lookups!$A$37:$C$44,3,FALSE),1)</f>
        <v>0.96469275950863709</v>
      </c>
      <c r="BV2490" s="4">
        <f>IF(Grandview_Inventory[[#This Row],[bldg_style]]="",1,_xlfn.IFNA(VLOOKUP(Grandview_Inventory[[#This Row],[decade]],Lookups!$F$29:$H$43,3,FALSE),1))</f>
        <v>0.92255236374249616</v>
      </c>
      <c r="BW2490" s="4">
        <f>_xlfn.IFNA(VLOOKUP(Grandview_Inventory[[#This Row],[living_area_range]],Lookups!$F$47:$H$56,3,FALSE),1)</f>
        <v>0.96120133463014379</v>
      </c>
      <c r="BX2490" s="4">
        <f>AVERAGE(Grandview_Inventory[[#This Row],[qual_adj]:[size_adj]])</f>
        <v>0.95902125442283137</v>
      </c>
      <c r="BY2490" s="6">
        <f>IF(Grandview_Inventory[[#This Row],[pre_res]]&lt;0,0,Grandview_Inventory[[#This Row],[pre_res]]*Grandview_Inventory[[#This Row],[overall_adj]])</f>
        <v>265080.95205774793</v>
      </c>
      <c r="BZ2490" s="6">
        <f>(Grandview_Inventory[[#This Row],[sum_land]]-IF(Grandview_Inventory[[#This Row],[no_utilities]]=1,12000,0))/IF(Grandview_Inventory[[#This Row],[unbuildable]]=1,2,1)</f>
        <v>52004.542988489469</v>
      </c>
      <c r="CA2490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490">
        <f>ROUND(Grandview_Inventory[[#This Row],[det_value]]*Lookups!$M$28,-2)</f>
        <v>8400</v>
      </c>
      <c r="CC2490">
        <f>IF(ROUND(Grandview_Inventory[[#This Row],[adj_res]]*Lookups!$M$28,-2)&lt;Grandview_Inventory[[#This Row],[min_res]],Grandview_Inventory[[#This Row],[min_res]],ROUND(Grandview_Inventory[[#This Row],[adj_res]]*Lookups!$M$28,-2))</f>
        <v>251800</v>
      </c>
      <c r="CD2490">
        <f>Grandview_Inventory[[#This Row],[final_det]]+Grandview_Inventory[[#This Row],[final_res]]</f>
        <v>260200</v>
      </c>
      <c r="CE2490">
        <f>Grandview_Inventory[[#This Row],[final_land]]+Grandview_Inventory[[#This Row],[final_imp]]+Grandview_Inventory[[#This Row],[crop_value]]</f>
        <v>309600</v>
      </c>
      <c r="CG2490" t="str">
        <f t="shared" si="38"/>
        <v>update valuation set market_land =49400, market_bldg=260200, market_total =309600, market_mdno =401, market_date ='9/10/2023' where link_id = (select link_id from parcel where parcel_year = '2024' and parcel_id = '23092714447');</v>
      </c>
    </row>
    <row r="2491" spans="1:85" x14ac:dyDescent="0.25">
      <c r="A2491">
        <v>23092714448</v>
      </c>
      <c r="B2491">
        <v>0.24</v>
      </c>
      <c r="C2491" t="s">
        <v>129</v>
      </c>
      <c r="D2491" t="s">
        <v>129</v>
      </c>
      <c r="E2491" t="s">
        <v>53</v>
      </c>
      <c r="F2491" t="s">
        <v>53</v>
      </c>
      <c r="G2491">
        <v>4</v>
      </c>
      <c r="H2491" t="s">
        <v>54</v>
      </c>
      <c r="I2491">
        <v>168800</v>
      </c>
      <c r="J2491">
        <v>42400</v>
      </c>
      <c r="K2491">
        <v>0.24</v>
      </c>
      <c r="L2491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491">
        <v>0</v>
      </c>
      <c r="N2491">
        <v>0</v>
      </c>
      <c r="O2491">
        <v>0</v>
      </c>
      <c r="P2491">
        <v>13398.7528</v>
      </c>
      <c r="Q2491">
        <v>63903</v>
      </c>
      <c r="R2491">
        <f>(Grandview_Inventory[[#This Row],[ln_acres]]*Grandview_Inventory[[#This Row],[coeff]])+Grandview_Inventory[[#This Row],[const]]</f>
        <v>44781.420733940802</v>
      </c>
      <c r="S2491" t="s">
        <v>61</v>
      </c>
      <c r="T2491">
        <v>1</v>
      </c>
      <c r="U2491" t="s">
        <v>62</v>
      </c>
      <c r="V2491" t="s">
        <v>69</v>
      </c>
      <c r="W2491">
        <v>0</v>
      </c>
      <c r="X2491">
        <v>0</v>
      </c>
      <c r="Y2491">
        <v>39</v>
      </c>
      <c r="Z2491">
        <v>39</v>
      </c>
      <c r="AA2491">
        <v>40</v>
      </c>
      <c r="AB2491">
        <v>2000</v>
      </c>
      <c r="AC2491">
        <v>1519</v>
      </c>
      <c r="AD2491">
        <v>1519</v>
      </c>
      <c r="AE2491">
        <v>0</v>
      </c>
      <c r="AF2491">
        <v>0</v>
      </c>
      <c r="AG2491">
        <v>0</v>
      </c>
      <c r="AH2491">
        <v>0</v>
      </c>
      <c r="AI2491">
        <v>468</v>
      </c>
      <c r="AJ2491">
        <v>0</v>
      </c>
      <c r="AK2491">
        <v>0</v>
      </c>
      <c r="AL2491">
        <v>0</v>
      </c>
      <c r="AM2491">
        <v>792</v>
      </c>
      <c r="AN2491">
        <v>0</v>
      </c>
      <c r="AO2491">
        <v>792</v>
      </c>
      <c r="AP2491">
        <v>7</v>
      </c>
      <c r="AQ2491">
        <v>0</v>
      </c>
      <c r="AR2491">
        <v>0</v>
      </c>
      <c r="AS2491" t="s">
        <v>58</v>
      </c>
      <c r="AT2491">
        <v>1</v>
      </c>
      <c r="AU2491" t="s">
        <v>63</v>
      </c>
      <c r="AV2491" t="s">
        <v>64</v>
      </c>
      <c r="AW2491">
        <v>0</v>
      </c>
      <c r="AX2491">
        <v>3</v>
      </c>
      <c r="AY2491">
        <v>0</v>
      </c>
      <c r="AZ2491">
        <v>0</v>
      </c>
      <c r="BA2491">
        <v>100</v>
      </c>
      <c r="BB2491">
        <v>100</v>
      </c>
      <c r="BC2491">
        <v>100</v>
      </c>
      <c r="BD2491">
        <v>100</v>
      </c>
      <c r="BE2491">
        <v>1</v>
      </c>
      <c r="BF2491">
        <v>15000</v>
      </c>
      <c r="BG2491">
        <v>1000</v>
      </c>
      <c r="BH2491" s="6">
        <f>Grandview_Inventory[[#This Row],[land_extract]]*Lookups!$B$3</f>
        <v>52004.542988489469</v>
      </c>
      <c r="BI2491" s="6">
        <f>IF(Grandview_Inventory[[#This Row],[bldg_style]]="",0,Lookups!$B$2)</f>
        <v>155833.95000000001</v>
      </c>
      <c r="BJ2491" s="6">
        <f>_xlfn.IFNA(VLOOKUP(Grandview_Inventory[[#This Row],[quality]],Lookups!$H$2:$J$14,3,FALSE),0)</f>
        <v>9808</v>
      </c>
      <c r="BK2491" s="6">
        <f>_xlfn.IFNA(VLOOKUP(Grandview_Inventory[[#This Row],[condition]],Lookups!$H$17:$J$24,3,FALSE),0)</f>
        <v>-4503</v>
      </c>
      <c r="BL2491" s="6">
        <f>Grandview_Inventory[[#This Row],[Eff_Age]]*Lookups!$B$14</f>
        <v>-9327.4974000000002</v>
      </c>
      <c r="BM2491" s="6">
        <f>Grandview_Inventory[[#This Row],[living_area]]*Lookups!$B$15</f>
        <v>94756.515706999999</v>
      </c>
      <c r="BN2491" s="6">
        <f>Grandview_Inventory[[#This Row],[Fin BSMT]]*Lookups!$B$16</f>
        <v>0</v>
      </c>
      <c r="BO2491" s="6">
        <f>(Grandview_Inventory[[#This Row],[att_gar]]+Grandview_Inventory[[#This Row],[bltin_gar]])*Lookups!$B$17</f>
        <v>40959.564515999999</v>
      </c>
      <c r="BP2491" s="6">
        <f>Grandview_Inventory[[#This Row],[Plumbing Fixtures]]*Lookups!$B$18</f>
        <v>14073.0926</v>
      </c>
      <c r="BQ2491" s="6">
        <f>Grandview_Inventory[[#This Row],[detatched_value]]*Lookups!$B$19</f>
        <v>0</v>
      </c>
      <c r="BR2491" s="6">
        <f>SUM(Grandview_Inventory[[#This Row],[Intercept]:[det_value]])*Grandview_Inventory[[#This Row],[res_pct]]</f>
        <v>301600.62542299996</v>
      </c>
      <c r="BS2491" s="6">
        <f>Grandview_Inventory[[#This Row],[land_value]]</f>
        <v>52004.542988489469</v>
      </c>
      <c r="BT2491" s="4">
        <f>_xlfn.IFNA(VLOOKUP(Grandview_Inventory[[#This Row],[quality]],Lookups!$A$26:$C$33,3,FALSE),1)</f>
        <v>0.94295468617355149</v>
      </c>
      <c r="BU2491" s="4">
        <f>_xlfn.IFNA(VLOOKUP(Grandview_Inventory[[#This Row],[condition]],Lookups!$A$37:$C$44,3,FALSE),1)</f>
        <v>0.96469275950863709</v>
      </c>
      <c r="BV2491" s="4">
        <f>IF(Grandview_Inventory[[#This Row],[bldg_style]]="",1,_xlfn.IFNA(VLOOKUP(Grandview_Inventory[[#This Row],[decade]],Lookups!$F$29:$H$43,3,FALSE),1))</f>
        <v>0.98031878267063854</v>
      </c>
      <c r="BW2491" s="4">
        <f>_xlfn.IFNA(VLOOKUP(Grandview_Inventory[[#This Row],[living_area_range]],Lookups!$F$47:$H$56,3,FALSE),1)</f>
        <v>0.96120133463014379</v>
      </c>
      <c r="BX2491" s="4">
        <f>AVERAGE(Grandview_Inventory[[#This Row],[qual_adj]:[size_adj]])</f>
        <v>0.96229189074574273</v>
      </c>
      <c r="BY2491" s="6">
        <f>IF(Grandview_Inventory[[#This Row],[pre_res]]&lt;0,0,Grandview_Inventory[[#This Row],[pre_res]]*Grandview_Inventory[[#This Row],[overall_adj]])</f>
        <v>290227.83608839713</v>
      </c>
      <c r="BZ2491" s="6">
        <f>(Grandview_Inventory[[#This Row],[sum_land]]-IF(Grandview_Inventory[[#This Row],[no_utilities]]=1,12000,0))/IF(Grandview_Inventory[[#This Row],[unbuildable]]=1,2,1)</f>
        <v>52004.542988489469</v>
      </c>
      <c r="CA2491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491">
        <f>ROUND(Grandview_Inventory[[#This Row],[det_value]]*Lookups!$M$28,-2)</f>
        <v>0</v>
      </c>
      <c r="CC2491">
        <f>IF(ROUND(Grandview_Inventory[[#This Row],[adj_res]]*Lookups!$M$28,-2)&lt;Grandview_Inventory[[#This Row],[min_res]],Grandview_Inventory[[#This Row],[min_res]],ROUND(Grandview_Inventory[[#This Row],[adj_res]]*Lookups!$M$28,-2))</f>
        <v>275700</v>
      </c>
      <c r="CD2491">
        <f>Grandview_Inventory[[#This Row],[final_det]]+Grandview_Inventory[[#This Row],[final_res]]</f>
        <v>275700</v>
      </c>
      <c r="CE2491">
        <f>Grandview_Inventory[[#This Row],[final_land]]+Grandview_Inventory[[#This Row],[final_imp]]+Grandview_Inventory[[#This Row],[crop_value]]</f>
        <v>325100</v>
      </c>
      <c r="CG2491" t="str">
        <f t="shared" si="38"/>
        <v>update valuation set market_land =49400, market_bldg=275700, market_total =325100, market_mdno =401, market_date ='9/10/2023' where link_id = (select link_id from parcel where parcel_year = '2024' and parcel_id = '23092714448');</v>
      </c>
    </row>
    <row r="2492" spans="1:85" x14ac:dyDescent="0.25">
      <c r="A2492">
        <v>23092714450</v>
      </c>
      <c r="B2492">
        <v>1.85</v>
      </c>
      <c r="C2492">
        <v>80409</v>
      </c>
      <c r="D2492" t="s">
        <v>129</v>
      </c>
      <c r="E2492" t="s">
        <v>53</v>
      </c>
      <c r="F2492" t="s">
        <v>53</v>
      </c>
      <c r="G2492">
        <v>4</v>
      </c>
      <c r="H2492" t="s">
        <v>54</v>
      </c>
      <c r="I2492">
        <v>339700</v>
      </c>
      <c r="J2492">
        <v>58200</v>
      </c>
      <c r="K2492">
        <v>1.85</v>
      </c>
      <c r="L2492">
        <f>IF(Grandview_Inventory[[#This Row],[parcel_acres]]-Grandview_Inventory[[#This Row],[non_valued_acres]] =0,0,LN(Grandview_Inventory[[#This Row],[parcel_acres]]-Grandview_Inventory[[#This Row],[non_valued_acres]]))</f>
        <v>0.61518563909023349</v>
      </c>
      <c r="M2492">
        <v>0</v>
      </c>
      <c r="N2492">
        <v>0</v>
      </c>
      <c r="O2492">
        <v>0</v>
      </c>
      <c r="P2492">
        <v>13398.7528</v>
      </c>
      <c r="Q2492">
        <v>63903</v>
      </c>
      <c r="R2492">
        <f>(Grandview_Inventory[[#This Row],[ln_acres]]*Grandview_Inventory[[#This Row],[coeff]])+Grandview_Inventory[[#This Row],[const]]</f>
        <v>72145.720304280054</v>
      </c>
      <c r="S2492" t="s">
        <v>58</v>
      </c>
      <c r="T2492">
        <v>1</v>
      </c>
      <c r="U2492" t="s">
        <v>64</v>
      </c>
      <c r="V2492" t="s">
        <v>69</v>
      </c>
      <c r="W2492">
        <v>0</v>
      </c>
      <c r="X2492">
        <v>0</v>
      </c>
      <c r="Y2492">
        <v>45</v>
      </c>
      <c r="Z2492">
        <v>50</v>
      </c>
      <c r="AA2492">
        <v>50</v>
      </c>
      <c r="AB2492">
        <v>4000</v>
      </c>
      <c r="AC2492">
        <v>3712</v>
      </c>
      <c r="AD2492">
        <v>2488</v>
      </c>
      <c r="AE2492">
        <v>0</v>
      </c>
      <c r="AF2492">
        <v>0</v>
      </c>
      <c r="AG2492">
        <v>1224</v>
      </c>
      <c r="AH2492">
        <v>1264</v>
      </c>
      <c r="AI2492">
        <v>713</v>
      </c>
      <c r="AJ2492">
        <v>0</v>
      </c>
      <c r="AK2492">
        <v>0</v>
      </c>
      <c r="AL2492">
        <v>963</v>
      </c>
      <c r="AM2492">
        <v>182</v>
      </c>
      <c r="AN2492">
        <v>0</v>
      </c>
      <c r="AO2492">
        <v>0</v>
      </c>
      <c r="AP2492">
        <v>12</v>
      </c>
      <c r="AQ2492">
        <v>0</v>
      </c>
      <c r="AR2492">
        <v>2</v>
      </c>
      <c r="AS2492" t="s">
        <v>58</v>
      </c>
      <c r="AT2492">
        <v>1</v>
      </c>
      <c r="AU2492" t="s">
        <v>63</v>
      </c>
      <c r="AV2492" t="s">
        <v>64</v>
      </c>
      <c r="AW2492">
        <v>1</v>
      </c>
      <c r="AX2492">
        <v>4</v>
      </c>
      <c r="AY2492">
        <v>0</v>
      </c>
      <c r="AZ2492">
        <v>1600</v>
      </c>
      <c r="BA2492">
        <v>100</v>
      </c>
      <c r="BB2492">
        <v>100</v>
      </c>
      <c r="BC2492">
        <v>100</v>
      </c>
      <c r="BD2492">
        <v>100</v>
      </c>
      <c r="BE2492">
        <v>1</v>
      </c>
      <c r="BF2492">
        <v>15000</v>
      </c>
      <c r="BG2492">
        <v>1000</v>
      </c>
      <c r="BH2492" s="6">
        <f>Grandview_Inventory[[#This Row],[land_extract]]*Lookups!$B$3</f>
        <v>83782.630195915597</v>
      </c>
      <c r="BI2492" s="6">
        <f>IF(Grandview_Inventory[[#This Row],[bldg_style]]="",0,Lookups!$B$2)</f>
        <v>155833.95000000001</v>
      </c>
      <c r="BJ2492" s="6">
        <f>_xlfn.IFNA(VLOOKUP(Grandview_Inventory[[#This Row],[quality]],Lookups!$H$2:$J$14,3,FALSE),0)</f>
        <v>20768</v>
      </c>
      <c r="BK2492" s="6">
        <f>_xlfn.IFNA(VLOOKUP(Grandview_Inventory[[#This Row],[condition]],Lookups!$H$17:$J$24,3,FALSE),0)</f>
        <v>-4503</v>
      </c>
      <c r="BL2492" s="6">
        <f>Grandview_Inventory[[#This Row],[Eff_Age]]*Lookups!$B$14</f>
        <v>-10762.496999999999</v>
      </c>
      <c r="BM2492" s="6">
        <f>Grandview_Inventory[[#This Row],[living_area]]*Lookups!$B$15</f>
        <v>231557.72633600002</v>
      </c>
      <c r="BN2492" s="6">
        <f>Grandview_Inventory[[#This Row],[Fin BSMT]]*Lookups!$B$16</f>
        <v>-33169.46976</v>
      </c>
      <c r="BO2492" s="6">
        <f>(Grandview_Inventory[[#This Row],[att_gar]]+Grandview_Inventory[[#This Row],[bltin_gar]])*Lookups!$B$17</f>
        <v>62402.071581000004</v>
      </c>
      <c r="BP2492" s="6">
        <f>Grandview_Inventory[[#This Row],[Plumbing Fixtures]]*Lookups!$B$18</f>
        <v>24125.301599999999</v>
      </c>
      <c r="BQ2492" s="6">
        <f>Grandview_Inventory[[#This Row],[detatched_value]]*Lookups!$B$19</f>
        <v>1354.88816</v>
      </c>
      <c r="BR2492" s="6">
        <f>SUM(Grandview_Inventory[[#This Row],[Intercept]:[det_value]])*Grandview_Inventory[[#This Row],[res_pct]]</f>
        <v>447606.97091699997</v>
      </c>
      <c r="BS2492" s="6">
        <f>Grandview_Inventory[[#This Row],[land_value]]</f>
        <v>83782.630195915597</v>
      </c>
      <c r="BT2492" s="4">
        <f>_xlfn.IFNA(VLOOKUP(Grandview_Inventory[[#This Row],[quality]],Lookups!$A$26:$C$33,3,FALSE),1)</f>
        <v>0.94960540378902636</v>
      </c>
      <c r="BU2492" s="4">
        <f>_xlfn.IFNA(VLOOKUP(Grandview_Inventory[[#This Row],[condition]],Lookups!$A$37:$C$44,3,FALSE),1)</f>
        <v>0.96469275950863709</v>
      </c>
      <c r="BV2492" s="4">
        <f>IF(Grandview_Inventory[[#This Row],[bldg_style]]="",1,_xlfn.IFNA(VLOOKUP(Grandview_Inventory[[#This Row],[decade]],Lookups!$F$29:$H$43,3,FALSE),1))</f>
        <v>0.9871940091910919</v>
      </c>
      <c r="BW2492" s="4">
        <f>_xlfn.IFNA(VLOOKUP(Grandview_Inventory[[#This Row],[living_area_range]],Lookups!$F$47:$H$56,3,FALSE),1)</f>
        <v>0.90089875105039252</v>
      </c>
      <c r="BX2492" s="4">
        <f>AVERAGE(Grandview_Inventory[[#This Row],[qual_adj]:[size_adj]])</f>
        <v>0.95059773088478705</v>
      </c>
      <c r="BY2492" s="6">
        <f>IF(Grandview_Inventory[[#This Row],[pre_res]]&lt;0,0,Grandview_Inventory[[#This Row],[pre_res]]*Grandview_Inventory[[#This Row],[overall_adj]])</f>
        <v>425494.17088191304</v>
      </c>
      <c r="BZ2492" s="6">
        <f>(Grandview_Inventory[[#This Row],[sum_land]]-IF(Grandview_Inventory[[#This Row],[no_utilities]]=1,12000,0))/IF(Grandview_Inventory[[#This Row],[unbuildable]]=1,2,1)</f>
        <v>83782.630195915597</v>
      </c>
      <c r="CA2492">
        <f>IF(ROUND(Grandview_Inventory[[#This Row],[adj_land]]*Lookups!$M$28,-2)&lt;Grandview_Inventory[[#This Row],[min_land]],Grandview_Inventory[[#This Row],[min_land]],ROUND(Grandview_Inventory[[#This Row],[adj_land]]*Lookups!$M$28,-2))</f>
        <v>79600</v>
      </c>
      <c r="CB2492">
        <f>ROUND(Grandview_Inventory[[#This Row],[det_value]]*Lookups!$M$28,-2)</f>
        <v>1300</v>
      </c>
      <c r="CC2492">
        <f>IF(ROUND(Grandview_Inventory[[#This Row],[adj_res]]*Lookups!$M$28,-2)&lt;Grandview_Inventory[[#This Row],[min_res]],Grandview_Inventory[[#This Row],[min_res]],ROUND(Grandview_Inventory[[#This Row],[adj_res]]*Lookups!$M$28,-2))</f>
        <v>404200</v>
      </c>
      <c r="CD2492">
        <f>Grandview_Inventory[[#This Row],[final_det]]+Grandview_Inventory[[#This Row],[final_res]]</f>
        <v>405500</v>
      </c>
      <c r="CE2492">
        <f>Grandview_Inventory[[#This Row],[final_land]]+Grandview_Inventory[[#This Row],[final_imp]]+Grandview_Inventory[[#This Row],[crop_value]]</f>
        <v>485100</v>
      </c>
      <c r="CG2492" t="str">
        <f t="shared" si="38"/>
        <v>update valuation set market_land =79600, market_bldg=405500, market_total =485100, market_mdno =401, market_date ='9/10/2023' where link_id = (select link_id from parcel where parcel_year = '2024' and parcel_id = '23092714450');</v>
      </c>
    </row>
    <row r="2493" spans="1:85" x14ac:dyDescent="0.25">
      <c r="A2493">
        <v>23092714452</v>
      </c>
      <c r="B2493">
        <v>0.73</v>
      </c>
      <c r="C2493">
        <v>31780</v>
      </c>
      <c r="D2493" t="s">
        <v>129</v>
      </c>
      <c r="E2493" t="s">
        <v>53</v>
      </c>
      <c r="F2493" t="s">
        <v>53</v>
      </c>
      <c r="G2493">
        <v>4</v>
      </c>
      <c r="H2493" t="s">
        <v>54</v>
      </c>
      <c r="I2493">
        <v>277000</v>
      </c>
      <c r="J2493">
        <v>54300</v>
      </c>
      <c r="K2493">
        <v>0.73</v>
      </c>
      <c r="L2493">
        <f>IF(Grandview_Inventory[[#This Row],[parcel_acres]]-Grandview_Inventory[[#This Row],[non_valued_acres]] =0,0,LN(Grandview_Inventory[[#This Row],[parcel_acres]]-Grandview_Inventory[[#This Row],[non_valued_acres]]))</f>
        <v>-0.31471074483970024</v>
      </c>
      <c r="M2493">
        <v>0</v>
      </c>
      <c r="N2493">
        <v>0</v>
      </c>
      <c r="O2493">
        <v>0</v>
      </c>
      <c r="P2493">
        <v>13398.7528</v>
      </c>
      <c r="Q2493">
        <v>63903</v>
      </c>
      <c r="R2493">
        <f>(Grandview_Inventory[[#This Row],[ln_acres]]*Grandview_Inventory[[#This Row],[coeff]])+Grandview_Inventory[[#This Row],[const]]</f>
        <v>59686.26852638898</v>
      </c>
      <c r="S2493" t="s">
        <v>58</v>
      </c>
      <c r="T2493">
        <v>2</v>
      </c>
      <c r="U2493" t="s">
        <v>56</v>
      </c>
      <c r="V2493" t="s">
        <v>69</v>
      </c>
      <c r="W2493">
        <v>30700</v>
      </c>
      <c r="X2493">
        <v>0</v>
      </c>
      <c r="Y2493">
        <v>32</v>
      </c>
      <c r="Z2493">
        <v>32</v>
      </c>
      <c r="AA2493">
        <v>40</v>
      </c>
      <c r="AB2493">
        <v>3500</v>
      </c>
      <c r="AC2493">
        <v>3181</v>
      </c>
      <c r="AD2493">
        <v>1754</v>
      </c>
      <c r="AE2493">
        <v>615</v>
      </c>
      <c r="AF2493">
        <v>0</v>
      </c>
      <c r="AG2493">
        <v>812</v>
      </c>
      <c r="AH2493">
        <v>0</v>
      </c>
      <c r="AI2493">
        <v>484</v>
      </c>
      <c r="AJ2493">
        <v>0</v>
      </c>
      <c r="AK2493">
        <v>0</v>
      </c>
      <c r="AL2493">
        <v>310</v>
      </c>
      <c r="AM2493">
        <v>250</v>
      </c>
      <c r="AN2493">
        <v>0</v>
      </c>
      <c r="AO2493">
        <v>0</v>
      </c>
      <c r="AP2493">
        <v>12</v>
      </c>
      <c r="AQ2493">
        <v>0</v>
      </c>
      <c r="AR2493">
        <v>2</v>
      </c>
      <c r="AS2493" t="s">
        <v>76</v>
      </c>
      <c r="AT2493">
        <v>1</v>
      </c>
      <c r="AU2493" t="s">
        <v>59</v>
      </c>
      <c r="AV2493" t="s">
        <v>60</v>
      </c>
      <c r="AW2493">
        <v>1</v>
      </c>
      <c r="AX2493">
        <v>3</v>
      </c>
      <c r="AY2493">
        <v>0</v>
      </c>
      <c r="AZ2493">
        <v>0</v>
      </c>
      <c r="BA2493">
        <v>100</v>
      </c>
      <c r="BB2493">
        <v>100</v>
      </c>
      <c r="BC2493">
        <v>100</v>
      </c>
      <c r="BD2493">
        <v>100</v>
      </c>
      <c r="BE2493">
        <v>1</v>
      </c>
      <c r="BF2493">
        <v>15000</v>
      </c>
      <c r="BG2493">
        <v>1000</v>
      </c>
      <c r="BH2493" s="6">
        <f>Grandview_Inventory[[#This Row],[land_extract]]*Lookups!$B$3</f>
        <v>69313.502486770492</v>
      </c>
      <c r="BI2493" s="6">
        <f>IF(Grandview_Inventory[[#This Row],[bldg_style]]="",0,Lookups!$B$2)</f>
        <v>155833.95000000001</v>
      </c>
      <c r="BJ2493" s="6">
        <f>_xlfn.IFNA(VLOOKUP(Grandview_Inventory[[#This Row],[quality]],Lookups!$H$2:$J$14,3,FALSE),0)</f>
        <v>56323</v>
      </c>
      <c r="BK2493" s="6">
        <f>_xlfn.IFNA(VLOOKUP(Grandview_Inventory[[#This Row],[condition]],Lookups!$H$17:$J$24,3,FALSE),0)</f>
        <v>-4503</v>
      </c>
      <c r="BL2493" s="6">
        <f>Grandview_Inventory[[#This Row],[Eff_Age]]*Lookups!$B$14</f>
        <v>-7653.3311999999996</v>
      </c>
      <c r="BM2493" s="6">
        <f>Grandview_Inventory[[#This Row],[living_area]]*Lookups!$B$15</f>
        <v>198433.49339300001</v>
      </c>
      <c r="BN2493" s="6">
        <f>Grandview_Inventory[[#This Row],[Fin BSMT]]*Lookups!$B$16</f>
        <v>-22004.582880000002</v>
      </c>
      <c r="BO2493" s="6">
        <f>(Grandview_Inventory[[#This Row],[att_gar]]+Grandview_Inventory[[#This Row],[bltin_gar]])*Lookups!$B$17</f>
        <v>42359.891508000001</v>
      </c>
      <c r="BP2493" s="6">
        <f>Grandview_Inventory[[#This Row],[Plumbing Fixtures]]*Lookups!$B$18</f>
        <v>24125.301599999999</v>
      </c>
      <c r="BQ2493" s="6">
        <f>Grandview_Inventory[[#This Row],[detatched_value]]*Lookups!$B$19</f>
        <v>0</v>
      </c>
      <c r="BR2493" s="6">
        <f>SUM(Grandview_Inventory[[#This Row],[Intercept]:[det_value]])*Grandview_Inventory[[#This Row],[res_pct]]</f>
        <v>442914.72242100001</v>
      </c>
      <c r="BS2493" s="6">
        <f>Grandview_Inventory[[#This Row],[land_value]]</f>
        <v>69313.502486770492</v>
      </c>
      <c r="BT2493" s="4">
        <f>_xlfn.IFNA(VLOOKUP(Grandview_Inventory[[#This Row],[quality]],Lookups!$A$26:$C$33,3,FALSE),1)</f>
        <v>0.76437650671582003</v>
      </c>
      <c r="BU2493" s="4">
        <f>_xlfn.IFNA(VLOOKUP(Grandview_Inventory[[#This Row],[condition]],Lookups!$A$37:$C$44,3,FALSE),1)</f>
        <v>0.96469275950863709</v>
      </c>
      <c r="BV2493" s="4">
        <f>IF(Grandview_Inventory[[#This Row],[bldg_style]]="",1,_xlfn.IFNA(VLOOKUP(Grandview_Inventory[[#This Row],[decade]],Lookups!$F$29:$H$43,3,FALSE),1))</f>
        <v>0.98031878267063854</v>
      </c>
      <c r="BW2493" s="4">
        <f>_xlfn.IFNA(VLOOKUP(Grandview_Inventory[[#This Row],[living_area_range]],Lookups!$F$47:$H$56,3,FALSE),1)</f>
        <v>1.0170112215140563</v>
      </c>
      <c r="BX2493" s="4">
        <f>AVERAGE(Grandview_Inventory[[#This Row],[qual_adj]:[size_adj]])</f>
        <v>0.93159981760228794</v>
      </c>
      <c r="BY2493" s="6">
        <f>IF(Grandview_Inventory[[#This Row],[pre_res]]&lt;0,0,Grandview_Inventory[[#This Row],[pre_res]]*Grandview_Inventory[[#This Row],[overall_adj]])</f>
        <v>412619.27462077158</v>
      </c>
      <c r="BZ2493" s="6">
        <f>(Grandview_Inventory[[#This Row],[sum_land]]-IF(Grandview_Inventory[[#This Row],[no_utilities]]=1,12000,0))/IF(Grandview_Inventory[[#This Row],[unbuildable]]=1,2,1)</f>
        <v>69313.502486770492</v>
      </c>
      <c r="CA2493">
        <f>IF(ROUND(Grandview_Inventory[[#This Row],[adj_land]]*Lookups!$M$28,-2)&lt;Grandview_Inventory[[#This Row],[min_land]],Grandview_Inventory[[#This Row],[min_land]],ROUND(Grandview_Inventory[[#This Row],[adj_land]]*Lookups!$M$28,-2))</f>
        <v>65800</v>
      </c>
      <c r="CB2493">
        <f>ROUND(Grandview_Inventory[[#This Row],[det_value]]*Lookups!$M$28,-2)</f>
        <v>0</v>
      </c>
      <c r="CC2493">
        <f>IF(ROUND(Grandview_Inventory[[#This Row],[adj_res]]*Lookups!$M$28,-2)&lt;Grandview_Inventory[[#This Row],[min_res]],Grandview_Inventory[[#This Row],[min_res]],ROUND(Grandview_Inventory[[#This Row],[adj_res]]*Lookups!$M$28,-2))</f>
        <v>392000</v>
      </c>
      <c r="CD2493">
        <f>Grandview_Inventory[[#This Row],[final_det]]+Grandview_Inventory[[#This Row],[final_res]]</f>
        <v>392000</v>
      </c>
      <c r="CE2493">
        <f>Grandview_Inventory[[#This Row],[final_land]]+Grandview_Inventory[[#This Row],[final_imp]]+Grandview_Inventory[[#This Row],[crop_value]]</f>
        <v>457800</v>
      </c>
      <c r="CG2493" t="str">
        <f t="shared" si="38"/>
        <v>update valuation set market_land =65800, market_bldg=392000, market_total =457800, market_mdno =401, market_date ='9/10/2023' where link_id = (select link_id from parcel where parcel_year = '2024' and parcel_id = '23092714452');</v>
      </c>
    </row>
    <row r="2494" spans="1:85" x14ac:dyDescent="0.25">
      <c r="A2494">
        <v>23092714500</v>
      </c>
      <c r="B2494">
        <v>0.84</v>
      </c>
      <c r="C2494">
        <v>36797</v>
      </c>
      <c r="D2494" t="s">
        <v>129</v>
      </c>
      <c r="E2494" t="s">
        <v>53</v>
      </c>
      <c r="F2494" t="s">
        <v>53</v>
      </c>
      <c r="G2494">
        <v>4</v>
      </c>
      <c r="H2494" t="s">
        <v>54</v>
      </c>
      <c r="I2494">
        <v>355300</v>
      </c>
      <c r="J2494">
        <v>56200</v>
      </c>
      <c r="K2494">
        <v>0.84</v>
      </c>
      <c r="L2494">
        <f>IF(Grandview_Inventory[[#This Row],[parcel_acres]]-Grandview_Inventory[[#This Row],[non_valued_acres]] =0,0,LN(Grandview_Inventory[[#This Row],[parcel_acres]]-Grandview_Inventory[[#This Row],[non_valued_acres]]))</f>
        <v>-0.1743533871447778</v>
      </c>
      <c r="M2494">
        <v>0</v>
      </c>
      <c r="N2494">
        <v>0</v>
      </c>
      <c r="O2494">
        <v>0</v>
      </c>
      <c r="P2494">
        <v>13398.7528</v>
      </c>
      <c r="Q2494">
        <v>63903</v>
      </c>
      <c r="R2494">
        <f>(Grandview_Inventory[[#This Row],[ln_acres]]*Grandview_Inventory[[#This Row],[coeff]])+Grandview_Inventory[[#This Row],[const]]</f>
        <v>61566.882065804428</v>
      </c>
      <c r="S2494" t="s">
        <v>55</v>
      </c>
      <c r="T2494">
        <v>2</v>
      </c>
      <c r="U2494" t="s">
        <v>64</v>
      </c>
      <c r="V2494" t="s">
        <v>69</v>
      </c>
      <c r="W2494">
        <v>0</v>
      </c>
      <c r="X2494">
        <v>0</v>
      </c>
      <c r="Y2494">
        <v>38</v>
      </c>
      <c r="Z2494">
        <v>38</v>
      </c>
      <c r="AA2494">
        <v>40</v>
      </c>
      <c r="AB2494">
        <v>4000</v>
      </c>
      <c r="AC2494">
        <v>3520</v>
      </c>
      <c r="AD2494">
        <v>1540</v>
      </c>
      <c r="AE2494">
        <v>1350</v>
      </c>
      <c r="AF2494">
        <v>0</v>
      </c>
      <c r="AG2494">
        <v>630</v>
      </c>
      <c r="AH2494">
        <v>624</v>
      </c>
      <c r="AI2494">
        <v>768</v>
      </c>
      <c r="AJ2494">
        <v>0</v>
      </c>
      <c r="AK2494">
        <v>0</v>
      </c>
      <c r="AL2494">
        <v>704</v>
      </c>
      <c r="AM2494">
        <v>0</v>
      </c>
      <c r="AN2494">
        <v>18</v>
      </c>
      <c r="AO2494">
        <v>0</v>
      </c>
      <c r="AP2494">
        <v>14</v>
      </c>
      <c r="AQ2494">
        <v>0</v>
      </c>
      <c r="AR2494">
        <v>0</v>
      </c>
      <c r="AS2494" t="s">
        <v>58</v>
      </c>
      <c r="AT2494">
        <v>1</v>
      </c>
      <c r="AU2494" t="s">
        <v>63</v>
      </c>
      <c r="AV2494" t="s">
        <v>64</v>
      </c>
      <c r="AW2494">
        <v>1</v>
      </c>
      <c r="AX2494">
        <v>5</v>
      </c>
      <c r="AY2494">
        <v>0</v>
      </c>
      <c r="AZ2494">
        <v>36000</v>
      </c>
      <c r="BA2494">
        <v>100</v>
      </c>
      <c r="BB2494">
        <v>100</v>
      </c>
      <c r="BC2494">
        <v>100</v>
      </c>
      <c r="BD2494">
        <v>100</v>
      </c>
      <c r="BE2494">
        <v>1</v>
      </c>
      <c r="BF2494">
        <v>15000</v>
      </c>
      <c r="BG2494">
        <v>1000</v>
      </c>
      <c r="BH2494" s="6">
        <f>Grandview_Inventory[[#This Row],[land_extract]]*Lookups!$B$3</f>
        <v>71497.453912437108</v>
      </c>
      <c r="BI2494" s="6">
        <f>IF(Grandview_Inventory[[#This Row],[bldg_style]]="",0,Lookups!$B$2)</f>
        <v>155833.95000000001</v>
      </c>
      <c r="BJ2494" s="6">
        <f>_xlfn.IFNA(VLOOKUP(Grandview_Inventory[[#This Row],[quality]],Lookups!$H$2:$J$14,3,FALSE),0)</f>
        <v>20768</v>
      </c>
      <c r="BK2494" s="6">
        <f>_xlfn.IFNA(VLOOKUP(Grandview_Inventory[[#This Row],[condition]],Lookups!$H$17:$J$24,3,FALSE),0)</f>
        <v>-4503</v>
      </c>
      <c r="BL2494" s="6">
        <f>Grandview_Inventory[[#This Row],[Eff_Age]]*Lookups!$B$14</f>
        <v>-9088.3307999999997</v>
      </c>
      <c r="BM2494" s="6">
        <f>Grandview_Inventory[[#This Row],[living_area]]*Lookups!$B$15</f>
        <v>219580.60256</v>
      </c>
      <c r="BN2494" s="6">
        <f>Grandview_Inventory[[#This Row],[Fin BSMT]]*Lookups!$B$16</f>
        <v>-17072.521200000003</v>
      </c>
      <c r="BO2494" s="6">
        <f>(Grandview_Inventory[[#This Row],[att_gar]]+Grandview_Inventory[[#This Row],[bltin_gar]])*Lookups!$B$17</f>
        <v>67215.695615999997</v>
      </c>
      <c r="BP2494" s="6">
        <f>Grandview_Inventory[[#This Row],[Plumbing Fixtures]]*Lookups!$B$18</f>
        <v>28146.1852</v>
      </c>
      <c r="BQ2494" s="6">
        <f>Grandview_Inventory[[#This Row],[detatched_value]]*Lookups!$B$19</f>
        <v>30484.9836</v>
      </c>
      <c r="BR2494" s="6">
        <f>SUM(Grandview_Inventory[[#This Row],[Intercept]:[det_value]])*Grandview_Inventory[[#This Row],[res_pct]]</f>
        <v>491365.56497599994</v>
      </c>
      <c r="BS2494" s="6">
        <f>Grandview_Inventory[[#This Row],[land_value]]</f>
        <v>71497.453912437108</v>
      </c>
      <c r="BT2494" s="4">
        <f>_xlfn.IFNA(VLOOKUP(Grandview_Inventory[[#This Row],[quality]],Lookups!$A$26:$C$33,3,FALSE),1)</f>
        <v>0.94960540378902636</v>
      </c>
      <c r="BU2494" s="4">
        <f>_xlfn.IFNA(VLOOKUP(Grandview_Inventory[[#This Row],[condition]],Lookups!$A$37:$C$44,3,FALSE),1)</f>
        <v>0.96469275950863709</v>
      </c>
      <c r="BV2494" s="4">
        <f>IF(Grandview_Inventory[[#This Row],[bldg_style]]="",1,_xlfn.IFNA(VLOOKUP(Grandview_Inventory[[#This Row],[decade]],Lookups!$F$29:$H$43,3,FALSE),1))</f>
        <v>0.98031878267063854</v>
      </c>
      <c r="BW2494" s="4">
        <f>_xlfn.IFNA(VLOOKUP(Grandview_Inventory[[#This Row],[living_area_range]],Lookups!$F$47:$H$56,3,FALSE),1)</f>
        <v>0.90089875105039252</v>
      </c>
      <c r="BX2494" s="4">
        <f>AVERAGE(Grandview_Inventory[[#This Row],[qual_adj]:[size_adj]])</f>
        <v>0.94887892425467357</v>
      </c>
      <c r="BY2494" s="6">
        <f>IF(Grandview_Inventory[[#This Row],[pre_res]]&lt;0,0,Grandview_Inventory[[#This Row],[pre_res]]*Grandview_Inventory[[#This Row],[overall_adj]])</f>
        <v>466246.42871021671</v>
      </c>
      <c r="BZ2494" s="6">
        <f>(Grandview_Inventory[[#This Row],[sum_land]]-IF(Grandview_Inventory[[#This Row],[no_utilities]]=1,12000,0))/IF(Grandview_Inventory[[#This Row],[unbuildable]]=1,2,1)</f>
        <v>71497.453912437108</v>
      </c>
      <c r="CA2494">
        <f>IF(ROUND(Grandview_Inventory[[#This Row],[adj_land]]*Lookups!$M$28,-2)&lt;Grandview_Inventory[[#This Row],[min_land]],Grandview_Inventory[[#This Row],[min_land]],ROUND(Grandview_Inventory[[#This Row],[adj_land]]*Lookups!$M$28,-2))</f>
        <v>67900</v>
      </c>
      <c r="CB2494">
        <f>ROUND(Grandview_Inventory[[#This Row],[det_value]]*Lookups!$M$28,-2)</f>
        <v>29000</v>
      </c>
      <c r="CC2494">
        <f>IF(ROUND(Grandview_Inventory[[#This Row],[adj_res]]*Lookups!$M$28,-2)&lt;Grandview_Inventory[[#This Row],[min_res]],Grandview_Inventory[[#This Row],[min_res]],ROUND(Grandview_Inventory[[#This Row],[adj_res]]*Lookups!$M$28,-2))</f>
        <v>442900</v>
      </c>
      <c r="CD2494">
        <f>Grandview_Inventory[[#This Row],[final_det]]+Grandview_Inventory[[#This Row],[final_res]]</f>
        <v>471900</v>
      </c>
      <c r="CE2494">
        <f>Grandview_Inventory[[#This Row],[final_land]]+Grandview_Inventory[[#This Row],[final_imp]]+Grandview_Inventory[[#This Row],[crop_value]]</f>
        <v>539800</v>
      </c>
      <c r="CG2494" t="str">
        <f t="shared" si="38"/>
        <v>update valuation set market_land =67900, market_bldg=471900, market_total =539800, market_mdno =401, market_date ='9/10/2023' where link_id = (select link_id from parcel where parcel_year = '2024' and parcel_id = '23092714500');</v>
      </c>
    </row>
    <row r="2495" spans="1:85" x14ac:dyDescent="0.25">
      <c r="A2495">
        <v>23092714501</v>
      </c>
      <c r="B2495">
        <v>0.55000000000000004</v>
      </c>
      <c r="C2495">
        <v>23977</v>
      </c>
      <c r="D2495" t="s">
        <v>129</v>
      </c>
      <c r="E2495" t="s">
        <v>53</v>
      </c>
      <c r="F2495" t="s">
        <v>53</v>
      </c>
      <c r="G2495">
        <v>4</v>
      </c>
      <c r="H2495" t="s">
        <v>54</v>
      </c>
      <c r="I2495">
        <v>222300</v>
      </c>
      <c r="J2495">
        <v>51000</v>
      </c>
      <c r="K2495">
        <v>0.55000000000000004</v>
      </c>
      <c r="L2495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2495">
        <v>0</v>
      </c>
      <c r="N2495">
        <v>0</v>
      </c>
      <c r="O2495">
        <v>0</v>
      </c>
      <c r="P2495">
        <v>13398.7528</v>
      </c>
      <c r="Q2495">
        <v>63903</v>
      </c>
      <c r="R2495">
        <f>(Grandview_Inventory[[#This Row],[ln_acres]]*Grandview_Inventory[[#This Row],[coeff]])+Grandview_Inventory[[#This Row],[const]]</f>
        <v>55892.729812182028</v>
      </c>
      <c r="S2495" t="s">
        <v>58</v>
      </c>
      <c r="T2495">
        <v>1</v>
      </c>
      <c r="U2495" t="s">
        <v>62</v>
      </c>
      <c r="V2495" t="s">
        <v>69</v>
      </c>
      <c r="W2495">
        <v>0</v>
      </c>
      <c r="X2495">
        <v>0</v>
      </c>
      <c r="Y2495">
        <v>37</v>
      </c>
      <c r="Z2495">
        <v>37</v>
      </c>
      <c r="AA2495">
        <v>40</v>
      </c>
      <c r="AB2495">
        <v>2000</v>
      </c>
      <c r="AC2495">
        <v>1797</v>
      </c>
      <c r="AD2495">
        <v>1797</v>
      </c>
      <c r="AE2495">
        <v>0</v>
      </c>
      <c r="AF2495">
        <v>0</v>
      </c>
      <c r="AG2495">
        <v>0</v>
      </c>
      <c r="AH2495">
        <v>1062</v>
      </c>
      <c r="AI2495">
        <v>441</v>
      </c>
      <c r="AJ2495">
        <v>0</v>
      </c>
      <c r="AK2495">
        <v>0</v>
      </c>
      <c r="AL2495">
        <v>0</v>
      </c>
      <c r="AM2495">
        <v>0</v>
      </c>
      <c r="AN2495">
        <v>33</v>
      </c>
      <c r="AO2495">
        <v>0</v>
      </c>
      <c r="AP2495">
        <v>8</v>
      </c>
      <c r="AQ2495">
        <v>0</v>
      </c>
      <c r="AR2495">
        <v>1</v>
      </c>
      <c r="AS2495" t="s">
        <v>58</v>
      </c>
      <c r="AT2495">
        <v>1</v>
      </c>
      <c r="AU2495" t="s">
        <v>63</v>
      </c>
      <c r="AV2495" t="s">
        <v>64</v>
      </c>
      <c r="AW2495">
        <v>1</v>
      </c>
      <c r="AX2495">
        <v>3</v>
      </c>
      <c r="AY2495">
        <v>0</v>
      </c>
      <c r="AZ2495">
        <v>0</v>
      </c>
      <c r="BA2495">
        <v>100</v>
      </c>
      <c r="BB2495">
        <v>100</v>
      </c>
      <c r="BC2495">
        <v>100</v>
      </c>
      <c r="BD2495">
        <v>100</v>
      </c>
      <c r="BE2495">
        <v>1</v>
      </c>
      <c r="BF2495">
        <v>15000</v>
      </c>
      <c r="BG2495">
        <v>1000</v>
      </c>
      <c r="BH2495" s="6">
        <f>Grandview_Inventory[[#This Row],[land_extract]]*Lookups!$B$3</f>
        <v>64908.076220516494</v>
      </c>
      <c r="BI2495" s="6">
        <f>IF(Grandview_Inventory[[#This Row],[bldg_style]]="",0,Lookups!$B$2)</f>
        <v>155833.95000000001</v>
      </c>
      <c r="BJ2495" s="6">
        <f>_xlfn.IFNA(VLOOKUP(Grandview_Inventory[[#This Row],[quality]],Lookups!$H$2:$J$14,3,FALSE),0)</f>
        <v>9808</v>
      </c>
      <c r="BK2495" s="6">
        <f>_xlfn.IFNA(VLOOKUP(Grandview_Inventory[[#This Row],[condition]],Lookups!$H$17:$J$24,3,FALSE),0)</f>
        <v>-4503</v>
      </c>
      <c r="BL2495" s="6">
        <f>Grandview_Inventory[[#This Row],[Eff_Age]]*Lookups!$B$14</f>
        <v>-8849.1641999999993</v>
      </c>
      <c r="BM2495" s="6">
        <f>Grandview_Inventory[[#This Row],[living_area]]*Lookups!$B$15</f>
        <v>112098.39284100001</v>
      </c>
      <c r="BN2495" s="6">
        <f>Grandview_Inventory[[#This Row],[Fin BSMT]]*Lookups!$B$16</f>
        <v>0</v>
      </c>
      <c r="BO2495" s="6">
        <f>(Grandview_Inventory[[#This Row],[att_gar]]+Grandview_Inventory[[#This Row],[bltin_gar]])*Lookups!$B$17</f>
        <v>38596.512716999998</v>
      </c>
      <c r="BP2495" s="6">
        <f>Grandview_Inventory[[#This Row],[Plumbing Fixtures]]*Lookups!$B$18</f>
        <v>16083.5344</v>
      </c>
      <c r="BQ2495" s="6">
        <f>Grandview_Inventory[[#This Row],[detatched_value]]*Lookups!$B$19</f>
        <v>0</v>
      </c>
      <c r="BR2495" s="6">
        <f>SUM(Grandview_Inventory[[#This Row],[Intercept]:[det_value]])*Grandview_Inventory[[#This Row],[res_pct]]</f>
        <v>319068.22575799999</v>
      </c>
      <c r="BS2495" s="6">
        <f>Grandview_Inventory[[#This Row],[land_value]]</f>
        <v>64908.076220516494</v>
      </c>
      <c r="BT2495" s="4">
        <f>_xlfn.IFNA(VLOOKUP(Grandview_Inventory[[#This Row],[quality]],Lookups!$A$26:$C$33,3,FALSE),1)</f>
        <v>0.94295468617355149</v>
      </c>
      <c r="BU2495" s="4">
        <f>_xlfn.IFNA(VLOOKUP(Grandview_Inventory[[#This Row],[condition]],Lookups!$A$37:$C$44,3,FALSE),1)</f>
        <v>0.96469275950863709</v>
      </c>
      <c r="BV2495" s="4">
        <f>IF(Grandview_Inventory[[#This Row],[bldg_style]]="",1,_xlfn.IFNA(VLOOKUP(Grandview_Inventory[[#This Row],[decade]],Lookups!$F$29:$H$43,3,FALSE),1))</f>
        <v>0.98031878267063854</v>
      </c>
      <c r="BW2495" s="4">
        <f>_xlfn.IFNA(VLOOKUP(Grandview_Inventory[[#This Row],[living_area_range]],Lookups!$F$47:$H$56,3,FALSE),1)</f>
        <v>0.96120133463014379</v>
      </c>
      <c r="BX2495" s="4">
        <f>AVERAGE(Grandview_Inventory[[#This Row],[qual_adj]:[size_adj]])</f>
        <v>0.96229189074574273</v>
      </c>
      <c r="BY2495" s="6">
        <f>IF(Grandview_Inventory[[#This Row],[pre_res]]&lt;0,0,Grandview_Inventory[[#This Row],[pre_res]]*Grandview_Inventory[[#This Row],[overall_adj]])</f>
        <v>307036.76624155528</v>
      </c>
      <c r="BZ2495" s="6">
        <f>(Grandview_Inventory[[#This Row],[sum_land]]-IF(Grandview_Inventory[[#This Row],[no_utilities]]=1,12000,0))/IF(Grandview_Inventory[[#This Row],[unbuildable]]=1,2,1)</f>
        <v>64908.076220516494</v>
      </c>
      <c r="CA2495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2495">
        <f>ROUND(Grandview_Inventory[[#This Row],[det_value]]*Lookups!$M$28,-2)</f>
        <v>0</v>
      </c>
      <c r="CC2495">
        <f>IF(ROUND(Grandview_Inventory[[#This Row],[adj_res]]*Lookups!$M$28,-2)&lt;Grandview_Inventory[[#This Row],[min_res]],Grandview_Inventory[[#This Row],[min_res]],ROUND(Grandview_Inventory[[#This Row],[adj_res]]*Lookups!$M$28,-2))</f>
        <v>291700</v>
      </c>
      <c r="CD2495">
        <f>Grandview_Inventory[[#This Row],[final_det]]+Grandview_Inventory[[#This Row],[final_res]]</f>
        <v>291700</v>
      </c>
      <c r="CE2495">
        <f>Grandview_Inventory[[#This Row],[final_land]]+Grandview_Inventory[[#This Row],[final_imp]]+Grandview_Inventory[[#This Row],[crop_value]]</f>
        <v>353400</v>
      </c>
      <c r="CG2495" t="str">
        <f t="shared" si="38"/>
        <v>update valuation set market_land =61700, market_bldg=291700, market_total =353400, market_mdno =401, market_date ='9/10/2023' where link_id = (select link_id from parcel where parcel_year = '2024' and parcel_id = '23092714501');</v>
      </c>
    </row>
    <row r="2496" spans="1:85" x14ac:dyDescent="0.25">
      <c r="A2496">
        <v>23092714505</v>
      </c>
      <c r="B2496">
        <v>1.98</v>
      </c>
      <c r="C2496" t="s">
        <v>129</v>
      </c>
      <c r="D2496" t="s">
        <v>129</v>
      </c>
      <c r="E2496" t="s">
        <v>53</v>
      </c>
      <c r="F2496" t="s">
        <v>53</v>
      </c>
      <c r="G2496">
        <v>4</v>
      </c>
      <c r="H2496" t="s">
        <v>54</v>
      </c>
      <c r="I2496">
        <v>261600</v>
      </c>
      <c r="J2496">
        <v>67800</v>
      </c>
      <c r="K2496">
        <v>1.98</v>
      </c>
      <c r="L2496">
        <f>IF(Grandview_Inventory[[#This Row],[parcel_acres]]-Grandview_Inventory[[#This Row],[non_valued_acres]] =0,0,LN(Grandview_Inventory[[#This Row],[parcel_acres]]-Grandview_Inventory[[#This Row],[non_valued_acres]]))</f>
        <v>0.68309684470644383</v>
      </c>
      <c r="M2496">
        <v>0</v>
      </c>
      <c r="N2496">
        <v>0</v>
      </c>
      <c r="O2496">
        <v>0</v>
      </c>
      <c r="P2496">
        <v>13398.7528</v>
      </c>
      <c r="Q2496">
        <v>63903</v>
      </c>
      <c r="R2496">
        <f>(Grandview_Inventory[[#This Row],[ln_acres]]*Grandview_Inventory[[#This Row],[coeff]])+Grandview_Inventory[[#This Row],[const]]</f>
        <v>73055.645760681626</v>
      </c>
      <c r="S2496" t="s">
        <v>61</v>
      </c>
      <c r="T2496">
        <v>1</v>
      </c>
      <c r="U2496" t="s">
        <v>65</v>
      </c>
      <c r="V2496" t="s">
        <v>69</v>
      </c>
      <c r="W2496">
        <v>0</v>
      </c>
      <c r="X2496">
        <v>0</v>
      </c>
      <c r="Y2496">
        <v>48</v>
      </c>
      <c r="Z2496">
        <v>63</v>
      </c>
      <c r="AA2496">
        <v>70</v>
      </c>
      <c r="AB2496">
        <v>3000</v>
      </c>
      <c r="AC2496">
        <v>2591</v>
      </c>
      <c r="AD2496">
        <v>1441</v>
      </c>
      <c r="AE2496">
        <v>0</v>
      </c>
      <c r="AF2496">
        <v>0</v>
      </c>
      <c r="AG2496">
        <v>1150</v>
      </c>
      <c r="AH2496">
        <v>291</v>
      </c>
      <c r="AI2496">
        <v>720</v>
      </c>
      <c r="AJ2496">
        <v>0</v>
      </c>
      <c r="AK2496">
        <v>0</v>
      </c>
      <c r="AL2496">
        <v>292</v>
      </c>
      <c r="AM2496">
        <v>219</v>
      </c>
      <c r="AN2496">
        <v>119</v>
      </c>
      <c r="AO2496">
        <v>292</v>
      </c>
      <c r="AP2496">
        <v>11</v>
      </c>
      <c r="AQ2496">
        <v>0</v>
      </c>
      <c r="AR2496">
        <v>1</v>
      </c>
      <c r="AS2496" t="s">
        <v>58</v>
      </c>
      <c r="AT2496">
        <v>1</v>
      </c>
      <c r="AU2496" t="s">
        <v>63</v>
      </c>
      <c r="AV2496" t="s">
        <v>64</v>
      </c>
      <c r="AW2496">
        <v>1</v>
      </c>
      <c r="AX2496">
        <v>5</v>
      </c>
      <c r="AY2496">
        <v>0</v>
      </c>
      <c r="AZ2496">
        <v>18500</v>
      </c>
      <c r="BA2496">
        <v>100</v>
      </c>
      <c r="BB2496">
        <v>100</v>
      </c>
      <c r="BC2496">
        <v>100</v>
      </c>
      <c r="BD2496">
        <v>100</v>
      </c>
      <c r="BE2496">
        <v>1</v>
      </c>
      <c r="BF2496">
        <v>15000</v>
      </c>
      <c r="BG2496">
        <v>1000</v>
      </c>
      <c r="BH2496" s="6">
        <f>Grandview_Inventory[[#This Row],[land_extract]]*Lookups!$B$3</f>
        <v>84839.324171636021</v>
      </c>
      <c r="BI2496" s="6">
        <f>IF(Grandview_Inventory[[#This Row],[bldg_style]]="",0,Lookups!$B$2)</f>
        <v>155833.95000000001</v>
      </c>
      <c r="BJ2496" s="6">
        <f>_xlfn.IFNA(VLOOKUP(Grandview_Inventory[[#This Row],[quality]],Lookups!$H$2:$J$14,3,FALSE),0)</f>
        <v>2251</v>
      </c>
      <c r="BK2496" s="6">
        <f>_xlfn.IFNA(VLOOKUP(Grandview_Inventory[[#This Row],[condition]],Lookups!$H$17:$J$24,3,FALSE),0)</f>
        <v>-4503</v>
      </c>
      <c r="BL2496" s="6">
        <f>Grandview_Inventory[[#This Row],[Eff_Age]]*Lookups!$B$14</f>
        <v>-11479.996799999999</v>
      </c>
      <c r="BM2496" s="6">
        <f>Grandview_Inventory[[#This Row],[living_area]]*Lookups!$B$15</f>
        <v>161628.79012300001</v>
      </c>
      <c r="BN2496" s="6">
        <f>Grandview_Inventory[[#This Row],[Fin BSMT]]*Lookups!$B$16</f>
        <v>-31164.126000000004</v>
      </c>
      <c r="BO2496" s="6">
        <f>(Grandview_Inventory[[#This Row],[att_gar]]+Grandview_Inventory[[#This Row],[bltin_gar]])*Lookups!$B$17</f>
        <v>63014.714639999998</v>
      </c>
      <c r="BP2496" s="6">
        <f>Grandview_Inventory[[#This Row],[Plumbing Fixtures]]*Lookups!$B$18</f>
        <v>22114.859800000002</v>
      </c>
      <c r="BQ2496" s="6">
        <f>Grandview_Inventory[[#This Row],[detatched_value]]*Lookups!$B$19</f>
        <v>15665.89435</v>
      </c>
      <c r="BR2496" s="6">
        <f>SUM(Grandview_Inventory[[#This Row],[Intercept]:[det_value]])*Grandview_Inventory[[#This Row],[res_pct]]</f>
        <v>373362.08611300006</v>
      </c>
      <c r="BS2496" s="6">
        <f>Grandview_Inventory[[#This Row],[land_value]]</f>
        <v>84839.324171636021</v>
      </c>
      <c r="BT2496" s="4">
        <f>_xlfn.IFNA(VLOOKUP(Grandview_Inventory[[#This Row],[quality]],Lookups!$A$26:$C$33,3,FALSE),1)</f>
        <v>0.98763855981004833</v>
      </c>
      <c r="BU2496" s="4">
        <f>_xlfn.IFNA(VLOOKUP(Grandview_Inventory[[#This Row],[condition]],Lookups!$A$37:$C$44,3,FALSE),1)</f>
        <v>0.96469275950863709</v>
      </c>
      <c r="BV2496" s="4">
        <f>IF(Grandview_Inventory[[#This Row],[bldg_style]]="",1,_xlfn.IFNA(VLOOKUP(Grandview_Inventory[[#This Row],[decade]],Lookups!$F$29:$H$43,3,FALSE),1))</f>
        <v>0.99472141305414818</v>
      </c>
      <c r="BW2496" s="4">
        <f>_xlfn.IFNA(VLOOKUP(Grandview_Inventory[[#This Row],[living_area_range]],Lookups!$F$47:$H$56,3,FALSE),1)</f>
        <v>0.94224801443562123</v>
      </c>
      <c r="BX2496" s="4">
        <f>AVERAGE(Grandview_Inventory[[#This Row],[qual_adj]:[size_adj]])</f>
        <v>0.97232518670211376</v>
      </c>
      <c r="BY2496" s="6">
        <f>IF(Grandview_Inventory[[#This Row],[pre_res]]&lt;0,0,Grandview_Inventory[[#This Row],[pre_res]]*Grandview_Inventory[[#This Row],[overall_adj]])</f>
        <v>363029.36008731346</v>
      </c>
      <c r="BZ2496" s="6">
        <f>(Grandview_Inventory[[#This Row],[sum_land]]-IF(Grandview_Inventory[[#This Row],[no_utilities]]=1,12000,0))/IF(Grandview_Inventory[[#This Row],[unbuildable]]=1,2,1)</f>
        <v>84839.324171636021</v>
      </c>
      <c r="CA2496">
        <f>IF(ROUND(Grandview_Inventory[[#This Row],[adj_land]]*Lookups!$M$28,-2)&lt;Grandview_Inventory[[#This Row],[min_land]],Grandview_Inventory[[#This Row],[min_land]],ROUND(Grandview_Inventory[[#This Row],[adj_land]]*Lookups!$M$28,-2))</f>
        <v>80600</v>
      </c>
      <c r="CB2496">
        <f>ROUND(Grandview_Inventory[[#This Row],[det_value]]*Lookups!$M$28,-2)</f>
        <v>14900</v>
      </c>
      <c r="CC2496">
        <f>IF(ROUND(Grandview_Inventory[[#This Row],[adj_res]]*Lookups!$M$28,-2)&lt;Grandview_Inventory[[#This Row],[min_res]],Grandview_Inventory[[#This Row],[min_res]],ROUND(Grandview_Inventory[[#This Row],[adj_res]]*Lookups!$M$28,-2))</f>
        <v>344900</v>
      </c>
      <c r="CD2496">
        <f>Grandview_Inventory[[#This Row],[final_det]]+Grandview_Inventory[[#This Row],[final_res]]</f>
        <v>359800</v>
      </c>
      <c r="CE2496">
        <f>Grandview_Inventory[[#This Row],[final_land]]+Grandview_Inventory[[#This Row],[final_imp]]+Grandview_Inventory[[#This Row],[crop_value]]</f>
        <v>440400</v>
      </c>
      <c r="CG2496" t="str">
        <f t="shared" si="38"/>
        <v>update valuation set market_land =80600, market_bldg=359800, market_total =440400, market_mdno =401, market_date ='9/10/2023' where link_id = (select link_id from parcel where parcel_year = '2024' and parcel_id = '23092714505');</v>
      </c>
    </row>
    <row r="2497" spans="1:85" x14ac:dyDescent="0.25">
      <c r="A2497">
        <v>23092721006</v>
      </c>
      <c r="B2497">
        <v>2.73</v>
      </c>
      <c r="C2497">
        <v>119083</v>
      </c>
      <c r="D2497" t="s">
        <v>129</v>
      </c>
      <c r="E2497" t="s">
        <v>53</v>
      </c>
      <c r="F2497" t="s">
        <v>53</v>
      </c>
      <c r="G2497">
        <v>4</v>
      </c>
      <c r="H2497" t="s">
        <v>54</v>
      </c>
      <c r="I2497">
        <v>235600</v>
      </c>
      <c r="J2497">
        <v>63200</v>
      </c>
      <c r="K2497">
        <v>2.73</v>
      </c>
      <c r="L2497">
        <f>IF(Grandview_Inventory[[#This Row],[parcel_acres]]-Grandview_Inventory[[#This Row],[non_valued_acres]] =0,0,LN(Grandview_Inventory[[#This Row],[parcel_acres]]-Grandview_Inventory[[#This Row],[non_valued_acres]]))</f>
        <v>1.0043016091968684</v>
      </c>
      <c r="M2497">
        <v>0</v>
      </c>
      <c r="N2497">
        <v>0</v>
      </c>
      <c r="O2497">
        <v>0</v>
      </c>
      <c r="P2497">
        <v>13398.7528</v>
      </c>
      <c r="Q2497">
        <v>63903</v>
      </c>
      <c r="R2497">
        <f>(Grandview_Inventory[[#This Row],[ln_acres]]*Grandview_Inventory[[#This Row],[coeff]])+Grandview_Inventory[[#This Row],[const]]</f>
        <v>77359.388998271053</v>
      </c>
      <c r="S2497" t="s">
        <v>74</v>
      </c>
      <c r="T2497">
        <v>1</v>
      </c>
      <c r="U2497" t="s">
        <v>65</v>
      </c>
      <c r="V2497" t="s">
        <v>69</v>
      </c>
      <c r="W2497">
        <v>0</v>
      </c>
      <c r="X2497">
        <v>0</v>
      </c>
      <c r="Y2497">
        <v>43</v>
      </c>
      <c r="Z2497">
        <v>44</v>
      </c>
      <c r="AA2497">
        <v>50</v>
      </c>
      <c r="AB2497">
        <v>2500</v>
      </c>
      <c r="AC2497">
        <v>2228</v>
      </c>
      <c r="AD2497">
        <v>1444</v>
      </c>
      <c r="AE2497">
        <v>0</v>
      </c>
      <c r="AF2497">
        <v>0</v>
      </c>
      <c r="AG2497">
        <v>784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480</v>
      </c>
      <c r="AN2497">
        <v>0</v>
      </c>
      <c r="AO2497">
        <v>0</v>
      </c>
      <c r="AP2497">
        <v>8</v>
      </c>
      <c r="AQ2497">
        <v>0</v>
      </c>
      <c r="AR2497">
        <v>0</v>
      </c>
      <c r="AS2497" t="s">
        <v>58</v>
      </c>
      <c r="AT2497">
        <v>1</v>
      </c>
      <c r="AU2497" t="s">
        <v>63</v>
      </c>
      <c r="AV2497" t="s">
        <v>60</v>
      </c>
      <c r="AW2497">
        <v>1</v>
      </c>
      <c r="AX2497">
        <v>3</v>
      </c>
      <c r="AY2497">
        <v>0</v>
      </c>
      <c r="AZ2497">
        <v>16000</v>
      </c>
      <c r="BA2497">
        <v>100</v>
      </c>
      <c r="BB2497">
        <v>100</v>
      </c>
      <c r="BC2497">
        <v>100</v>
      </c>
      <c r="BD2497">
        <v>100</v>
      </c>
      <c r="BE2497">
        <v>1</v>
      </c>
      <c r="BF2497">
        <v>15000</v>
      </c>
      <c r="BG2497">
        <v>1000</v>
      </c>
      <c r="BH2497" s="6">
        <f>Grandview_Inventory[[#This Row],[land_extract]]*Lookups!$B$3</f>
        <v>89837.249573341876</v>
      </c>
      <c r="BI2497" s="6">
        <f>IF(Grandview_Inventory[[#This Row],[bldg_style]]="",0,Lookups!$B$2)</f>
        <v>155833.95000000001</v>
      </c>
      <c r="BJ2497" s="6">
        <f>_xlfn.IFNA(VLOOKUP(Grandview_Inventory[[#This Row],[quality]],Lookups!$H$2:$J$14,3,FALSE),0)</f>
        <v>2251</v>
      </c>
      <c r="BK2497" s="6">
        <f>_xlfn.IFNA(VLOOKUP(Grandview_Inventory[[#This Row],[condition]],Lookups!$H$17:$J$24,3,FALSE),0)</f>
        <v>-4503</v>
      </c>
      <c r="BL2497" s="6">
        <f>Grandview_Inventory[[#This Row],[Eff_Age]]*Lookups!$B$14</f>
        <v>-10284.1638</v>
      </c>
      <c r="BM2497" s="6">
        <f>Grandview_Inventory[[#This Row],[living_area]]*Lookups!$B$15</f>
        <v>138984.540484</v>
      </c>
      <c r="BN2497" s="6">
        <f>Grandview_Inventory[[#This Row],[Fin BSMT]]*Lookups!$B$16</f>
        <v>-21245.80416</v>
      </c>
      <c r="BO2497" s="6">
        <f>(Grandview_Inventory[[#This Row],[att_gar]]+Grandview_Inventory[[#This Row],[bltin_gar]])*Lookups!$B$17</f>
        <v>0</v>
      </c>
      <c r="BP2497" s="6">
        <f>Grandview_Inventory[[#This Row],[Plumbing Fixtures]]*Lookups!$B$18</f>
        <v>16083.5344</v>
      </c>
      <c r="BQ2497" s="6">
        <f>Grandview_Inventory[[#This Row],[detatched_value]]*Lookups!$B$19</f>
        <v>13548.881599999999</v>
      </c>
      <c r="BR2497" s="6">
        <f>SUM(Grandview_Inventory[[#This Row],[Intercept]:[det_value]])*Grandview_Inventory[[#This Row],[res_pct]]</f>
        <v>290668.938524</v>
      </c>
      <c r="BS2497" s="6">
        <f>Grandview_Inventory[[#This Row],[land_value]]</f>
        <v>89837.249573341876</v>
      </c>
      <c r="BT2497" s="4">
        <f>_xlfn.IFNA(VLOOKUP(Grandview_Inventory[[#This Row],[quality]],Lookups!$A$26:$C$33,3,FALSE),1)</f>
        <v>0.98763855981004833</v>
      </c>
      <c r="BU2497" s="4">
        <f>_xlfn.IFNA(VLOOKUP(Grandview_Inventory[[#This Row],[condition]],Lookups!$A$37:$C$44,3,FALSE),1)</f>
        <v>0.96469275950863709</v>
      </c>
      <c r="BV2497" s="4">
        <f>IF(Grandview_Inventory[[#This Row],[bldg_style]]="",1,_xlfn.IFNA(VLOOKUP(Grandview_Inventory[[#This Row],[decade]],Lookups!$F$29:$H$43,3,FALSE),1))</f>
        <v>0.9871940091910919</v>
      </c>
      <c r="BW2497" s="4">
        <f>_xlfn.IFNA(VLOOKUP(Grandview_Inventory[[#This Row],[living_area_range]],Lookups!$F$47:$H$56,3,FALSE),1)</f>
        <v>0.95799442568048754</v>
      </c>
      <c r="BX2497" s="4">
        <f>AVERAGE(Grandview_Inventory[[#This Row],[qual_adj]:[size_adj]])</f>
        <v>0.97437993854756622</v>
      </c>
      <c r="BY2497" s="6">
        <f>IF(Grandview_Inventory[[#This Row],[pre_res]]&lt;0,0,Grandview_Inventory[[#This Row],[pre_res]]*Grandview_Inventory[[#This Row],[overall_adj]])</f>
        <v>283221.9824567014</v>
      </c>
      <c r="BZ2497" s="6">
        <f>(Grandview_Inventory[[#This Row],[sum_land]]-IF(Grandview_Inventory[[#This Row],[no_utilities]]=1,12000,0))/IF(Grandview_Inventory[[#This Row],[unbuildable]]=1,2,1)</f>
        <v>89837.249573341876</v>
      </c>
      <c r="CA2497">
        <f>IF(ROUND(Grandview_Inventory[[#This Row],[adj_land]]*Lookups!$M$28,-2)&lt;Grandview_Inventory[[#This Row],[min_land]],Grandview_Inventory[[#This Row],[min_land]],ROUND(Grandview_Inventory[[#This Row],[adj_land]]*Lookups!$M$28,-2))</f>
        <v>85300</v>
      </c>
      <c r="CB2497">
        <f>ROUND(Grandview_Inventory[[#This Row],[det_value]]*Lookups!$M$28,-2)</f>
        <v>12900</v>
      </c>
      <c r="CC2497">
        <f>IF(ROUND(Grandview_Inventory[[#This Row],[adj_res]]*Lookups!$M$28,-2)&lt;Grandview_Inventory[[#This Row],[min_res]],Grandview_Inventory[[#This Row],[min_res]],ROUND(Grandview_Inventory[[#This Row],[adj_res]]*Lookups!$M$28,-2))</f>
        <v>269100</v>
      </c>
      <c r="CD2497">
        <f>Grandview_Inventory[[#This Row],[final_det]]+Grandview_Inventory[[#This Row],[final_res]]</f>
        <v>282000</v>
      </c>
      <c r="CE2497">
        <f>Grandview_Inventory[[#This Row],[final_land]]+Grandview_Inventory[[#This Row],[final_imp]]+Grandview_Inventory[[#This Row],[crop_value]]</f>
        <v>367300</v>
      </c>
      <c r="CG2497" t="str">
        <f t="shared" si="38"/>
        <v>update valuation set market_land =85300, market_bldg=282000, market_total =367300, market_mdno =401, market_date ='9/10/2023' where link_id = (select link_id from parcel where parcel_year = '2024' and parcel_id = '23092721006');</v>
      </c>
    </row>
    <row r="2498" spans="1:85" x14ac:dyDescent="0.25">
      <c r="A2498">
        <v>23092721410</v>
      </c>
      <c r="B2498">
        <v>4</v>
      </c>
      <c r="C2498">
        <v>174311</v>
      </c>
      <c r="D2498" t="s">
        <v>129</v>
      </c>
      <c r="E2498" t="s">
        <v>53</v>
      </c>
      <c r="F2498" t="s">
        <v>53</v>
      </c>
      <c r="G2498">
        <v>4</v>
      </c>
      <c r="H2498" t="s">
        <v>54</v>
      </c>
      <c r="I2498">
        <v>195900</v>
      </c>
      <c r="J2498">
        <v>69200</v>
      </c>
      <c r="K2498">
        <v>4</v>
      </c>
      <c r="L2498">
        <f>IF(Grandview_Inventory[[#This Row],[parcel_acres]]-Grandview_Inventory[[#This Row],[non_valued_acres]] =0,0,LN(Grandview_Inventory[[#This Row],[parcel_acres]]-Grandview_Inventory[[#This Row],[non_valued_acres]]))</f>
        <v>1.3862943611198906</v>
      </c>
      <c r="M2498">
        <v>0</v>
      </c>
      <c r="N2498">
        <v>0</v>
      </c>
      <c r="O2498">
        <v>0</v>
      </c>
      <c r="P2498">
        <v>13398.7528</v>
      </c>
      <c r="Q2498">
        <v>63903</v>
      </c>
      <c r="R2498">
        <f>(Grandview_Inventory[[#This Row],[ln_acres]]*Grandview_Inventory[[#This Row],[coeff]])+Grandview_Inventory[[#This Row],[const]]</f>
        <v>82477.61545267934</v>
      </c>
      <c r="S2498" t="s">
        <v>61</v>
      </c>
      <c r="T2498">
        <v>1</v>
      </c>
      <c r="U2498" t="s">
        <v>65</v>
      </c>
      <c r="V2498" t="s">
        <v>69</v>
      </c>
      <c r="W2498">
        <v>0</v>
      </c>
      <c r="X2498">
        <v>0</v>
      </c>
      <c r="Y2498">
        <v>16</v>
      </c>
      <c r="Z2498">
        <v>16</v>
      </c>
      <c r="AA2498">
        <v>20</v>
      </c>
      <c r="AB2498">
        <v>2500</v>
      </c>
      <c r="AC2498">
        <v>2108</v>
      </c>
      <c r="AD2498">
        <v>2108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168</v>
      </c>
      <c r="AP2498">
        <v>10</v>
      </c>
      <c r="AQ2498">
        <v>0</v>
      </c>
      <c r="AR2498">
        <v>0</v>
      </c>
      <c r="AS2498" t="s">
        <v>71</v>
      </c>
      <c r="AT2498">
        <v>0</v>
      </c>
      <c r="AU2498" t="s">
        <v>82</v>
      </c>
      <c r="AV2498" t="s">
        <v>60</v>
      </c>
      <c r="AW2498">
        <v>0</v>
      </c>
      <c r="AX2498">
        <v>4</v>
      </c>
      <c r="AY2498">
        <v>0</v>
      </c>
      <c r="AZ2498">
        <v>0</v>
      </c>
      <c r="BA2498">
        <v>100</v>
      </c>
      <c r="BB2498">
        <v>100</v>
      </c>
      <c r="BC2498">
        <v>100</v>
      </c>
      <c r="BD2498">
        <v>100</v>
      </c>
      <c r="BE2498">
        <v>1</v>
      </c>
      <c r="BF2498">
        <v>15000</v>
      </c>
      <c r="BG2498">
        <v>1000</v>
      </c>
      <c r="BH2498" s="6">
        <f>Grandview_Inventory[[#This Row],[land_extract]]*Lookups!$B$3</f>
        <v>95781.032135634799</v>
      </c>
      <c r="BI2498" s="6">
        <f>IF(Grandview_Inventory[[#This Row],[bldg_style]]="",0,Lookups!$B$2)</f>
        <v>155833.95000000001</v>
      </c>
      <c r="BJ2498" s="6">
        <f>_xlfn.IFNA(VLOOKUP(Grandview_Inventory[[#This Row],[quality]],Lookups!$H$2:$J$14,3,FALSE),0)</f>
        <v>2251</v>
      </c>
      <c r="BK2498" s="6">
        <f>_xlfn.IFNA(VLOOKUP(Grandview_Inventory[[#This Row],[condition]],Lookups!$H$17:$J$24,3,FALSE),0)</f>
        <v>-4503</v>
      </c>
      <c r="BL2498" s="6">
        <f>Grandview_Inventory[[#This Row],[Eff_Age]]*Lookups!$B$14</f>
        <v>-3826.6655999999998</v>
      </c>
      <c r="BM2498" s="6">
        <f>Grandview_Inventory[[#This Row],[living_area]]*Lookups!$B$15</f>
        <v>131498.838124</v>
      </c>
      <c r="BN2498" s="6">
        <f>Grandview_Inventory[[#This Row],[Fin BSMT]]*Lookups!$B$16</f>
        <v>0</v>
      </c>
      <c r="BO2498" s="6">
        <f>(Grandview_Inventory[[#This Row],[att_gar]]+Grandview_Inventory[[#This Row],[bltin_gar]])*Lookups!$B$17</f>
        <v>0</v>
      </c>
      <c r="BP2498" s="6">
        <f>Grandview_Inventory[[#This Row],[Plumbing Fixtures]]*Lookups!$B$18</f>
        <v>20104.418000000001</v>
      </c>
      <c r="BQ2498" s="6">
        <f>Grandview_Inventory[[#This Row],[detatched_value]]*Lookups!$B$19</f>
        <v>0</v>
      </c>
      <c r="BR2498" s="6">
        <f>SUM(Grandview_Inventory[[#This Row],[Intercept]:[det_value]])*Grandview_Inventory[[#This Row],[res_pct]]</f>
        <v>301358.54052400001</v>
      </c>
      <c r="BS2498" s="6">
        <f>Grandview_Inventory[[#This Row],[land_value]]</f>
        <v>95781.032135634799</v>
      </c>
      <c r="BT2498" s="4">
        <f>_xlfn.IFNA(VLOOKUP(Grandview_Inventory[[#This Row],[quality]],Lookups!$A$26:$C$33,3,FALSE),1)</f>
        <v>0.98763855981004833</v>
      </c>
      <c r="BU2498" s="4">
        <f>_xlfn.IFNA(VLOOKUP(Grandview_Inventory[[#This Row],[condition]],Lookups!$A$37:$C$44,3,FALSE),1)</f>
        <v>0.96469275950863709</v>
      </c>
      <c r="BV2498" s="4">
        <f>IF(Grandview_Inventory[[#This Row],[bldg_style]]="",1,_xlfn.IFNA(VLOOKUP(Grandview_Inventory[[#This Row],[decade]],Lookups!$F$29:$H$43,3,FALSE),1))</f>
        <v>0.96737494181490646</v>
      </c>
      <c r="BW2498" s="4">
        <f>_xlfn.IFNA(VLOOKUP(Grandview_Inventory[[#This Row],[living_area_range]],Lookups!$F$47:$H$56,3,FALSE),1)</f>
        <v>0.95799442568048754</v>
      </c>
      <c r="BX2498" s="4">
        <f>AVERAGE(Grandview_Inventory[[#This Row],[qual_adj]:[size_adj]])</f>
        <v>0.96942517170351983</v>
      </c>
      <c r="BY2498" s="6">
        <f>IF(Grandview_Inventory[[#This Row],[pre_res]]&lt;0,0,Grandview_Inventory[[#This Row],[pre_res]]*Grandview_Inventory[[#This Row],[overall_adj]])</f>
        <v>292144.55489180086</v>
      </c>
      <c r="BZ2498" s="6">
        <f>(Grandview_Inventory[[#This Row],[sum_land]]-IF(Grandview_Inventory[[#This Row],[no_utilities]]=1,12000,0))/IF(Grandview_Inventory[[#This Row],[unbuildable]]=1,2,1)</f>
        <v>95781.032135634799</v>
      </c>
      <c r="CA2498">
        <f>IF(ROUND(Grandview_Inventory[[#This Row],[adj_land]]*Lookups!$M$28,-2)&lt;Grandview_Inventory[[#This Row],[min_land]],Grandview_Inventory[[#This Row],[min_land]],ROUND(Grandview_Inventory[[#This Row],[adj_land]]*Lookups!$M$28,-2))</f>
        <v>91000</v>
      </c>
      <c r="CB2498">
        <f>ROUND(Grandview_Inventory[[#This Row],[det_value]]*Lookups!$M$28,-2)</f>
        <v>0</v>
      </c>
      <c r="CC2498">
        <f>IF(ROUND(Grandview_Inventory[[#This Row],[adj_res]]*Lookups!$M$28,-2)&lt;Grandview_Inventory[[#This Row],[min_res]],Grandview_Inventory[[#This Row],[min_res]],ROUND(Grandview_Inventory[[#This Row],[adj_res]]*Lookups!$M$28,-2))</f>
        <v>277500</v>
      </c>
      <c r="CD2498">
        <f>Grandview_Inventory[[#This Row],[final_det]]+Grandview_Inventory[[#This Row],[final_res]]</f>
        <v>277500</v>
      </c>
      <c r="CE2498">
        <f>Grandview_Inventory[[#This Row],[final_land]]+Grandview_Inventory[[#This Row],[final_imp]]+Grandview_Inventory[[#This Row],[crop_value]]</f>
        <v>368500</v>
      </c>
      <c r="CG2498" t="str">
        <f t="shared" si="38"/>
        <v>update valuation set market_land =91000, market_bldg=277500, market_total =368500, market_mdno =401, market_date ='9/10/2023' where link_id = (select link_id from parcel where parcel_year = '2024' and parcel_id = '23092721410');</v>
      </c>
    </row>
    <row r="2499" spans="1:85" x14ac:dyDescent="0.25">
      <c r="A2499">
        <v>23092722405</v>
      </c>
      <c r="B2499">
        <v>10.56</v>
      </c>
      <c r="C2499">
        <v>460045</v>
      </c>
      <c r="D2499" t="s">
        <v>129</v>
      </c>
      <c r="E2499" t="s">
        <v>53</v>
      </c>
      <c r="F2499" t="s">
        <v>53</v>
      </c>
      <c r="G2499">
        <v>4</v>
      </c>
      <c r="H2499" t="s">
        <v>54</v>
      </c>
      <c r="I2499">
        <v>169800</v>
      </c>
      <c r="J2499">
        <v>86700</v>
      </c>
      <c r="K2499">
        <v>10.56</v>
      </c>
      <c r="L2499">
        <f>IF(Grandview_Inventory[[#This Row],[parcel_acres]]-Grandview_Inventory[[#This Row],[non_valued_acres]] =0,0,LN(Grandview_Inventory[[#This Row],[parcel_acres]]-Grandview_Inventory[[#This Row],[non_valued_acres]]))</f>
        <v>2.3570732782781154</v>
      </c>
      <c r="M2499">
        <v>0</v>
      </c>
      <c r="N2499">
        <v>0</v>
      </c>
      <c r="O2499">
        <v>0</v>
      </c>
      <c r="P2499">
        <v>13398.7528</v>
      </c>
      <c r="Q2499">
        <v>63903</v>
      </c>
      <c r="R2499">
        <f>(Grandview_Inventory[[#This Row],[ln_acres]]*Grandview_Inventory[[#This Row],[coeff]])+Grandview_Inventory[[#This Row],[const]]</f>
        <v>95484.842187134083</v>
      </c>
      <c r="S2499" t="s">
        <v>55</v>
      </c>
      <c r="T2499">
        <v>1</v>
      </c>
      <c r="U2499" t="s">
        <v>83</v>
      </c>
      <c r="V2499" t="s">
        <v>69</v>
      </c>
      <c r="W2499">
        <v>0</v>
      </c>
      <c r="X2499">
        <v>0</v>
      </c>
      <c r="Y2499">
        <v>74</v>
      </c>
      <c r="Z2499">
        <v>122</v>
      </c>
      <c r="AA2499">
        <v>130</v>
      </c>
      <c r="AB2499">
        <v>1500</v>
      </c>
      <c r="AC2499">
        <v>1016</v>
      </c>
      <c r="AD2499">
        <v>1016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418</v>
      </c>
      <c r="AL2499">
        <v>0</v>
      </c>
      <c r="AM2499">
        <v>0</v>
      </c>
      <c r="AN2499">
        <v>0</v>
      </c>
      <c r="AO2499">
        <v>0</v>
      </c>
      <c r="AP2499">
        <v>5</v>
      </c>
      <c r="AQ2499">
        <v>1</v>
      </c>
      <c r="AR2499">
        <v>0</v>
      </c>
      <c r="AS2499" t="s">
        <v>58</v>
      </c>
      <c r="AT2499">
        <v>0</v>
      </c>
      <c r="AU2499" t="s">
        <v>82</v>
      </c>
      <c r="AV2499" t="s">
        <v>135</v>
      </c>
      <c r="AW2499">
        <v>0</v>
      </c>
      <c r="AX2499">
        <v>3</v>
      </c>
      <c r="AY2499">
        <v>0</v>
      </c>
      <c r="AZ2499">
        <v>0</v>
      </c>
      <c r="BA2499">
        <v>100</v>
      </c>
      <c r="BB2499">
        <v>100</v>
      </c>
      <c r="BC2499">
        <v>100</v>
      </c>
      <c r="BD2499">
        <v>100</v>
      </c>
      <c r="BE2499">
        <v>1</v>
      </c>
      <c r="BF2499">
        <v>15000</v>
      </c>
      <c r="BG2499">
        <v>1000</v>
      </c>
      <c r="BH2499" s="6">
        <f>Grandview_Inventory[[#This Row],[land_extract]]*Lookups!$B$3</f>
        <v>110886.2894228449</v>
      </c>
      <c r="BI2499" s="6">
        <f>IF(Grandview_Inventory[[#This Row],[bldg_style]]="",0,Lookups!$B$2)</f>
        <v>155833.95000000001</v>
      </c>
      <c r="BJ2499" s="6">
        <f>_xlfn.IFNA(VLOOKUP(Grandview_Inventory[[#This Row],[quality]],Lookups!$H$2:$J$14,3,FALSE),0)</f>
        <v>-28558</v>
      </c>
      <c r="BK2499" s="6">
        <f>_xlfn.IFNA(VLOOKUP(Grandview_Inventory[[#This Row],[condition]],Lookups!$H$17:$J$24,3,FALSE),0)</f>
        <v>-4503</v>
      </c>
      <c r="BL2499" s="6">
        <f>Grandview_Inventory[[#This Row],[Eff_Age]]*Lookups!$B$14</f>
        <v>-17698.328399999999</v>
      </c>
      <c r="BM2499" s="6">
        <f>Grandview_Inventory[[#This Row],[living_area]]*Lookups!$B$15</f>
        <v>63378.946648000005</v>
      </c>
      <c r="BN2499" s="6">
        <f>Grandview_Inventory[[#This Row],[Fin BSMT]]*Lookups!$B$16</f>
        <v>0</v>
      </c>
      <c r="BO2499" s="6">
        <f>(Grandview_Inventory[[#This Row],[att_gar]]+Grandview_Inventory[[#This Row],[bltin_gar]])*Lookups!$B$17</f>
        <v>0</v>
      </c>
      <c r="BP2499" s="6">
        <f>Grandview_Inventory[[#This Row],[Plumbing Fixtures]]*Lookups!$B$18</f>
        <v>10052.209000000001</v>
      </c>
      <c r="BQ2499" s="6">
        <f>Grandview_Inventory[[#This Row],[detatched_value]]*Lookups!$B$19</f>
        <v>0</v>
      </c>
      <c r="BR2499" s="6">
        <f>SUM(Grandview_Inventory[[#This Row],[Intercept]:[det_value]])*Grandview_Inventory[[#This Row],[res_pct]]</f>
        <v>178505.77724800003</v>
      </c>
      <c r="BS2499" s="6">
        <f>Grandview_Inventory[[#This Row],[land_value]]</f>
        <v>110886.2894228449</v>
      </c>
      <c r="BT2499" s="4">
        <f>_xlfn.IFNA(VLOOKUP(Grandview_Inventory[[#This Row],[quality]],Lookups!$A$26:$C$33,3,FALSE),1)</f>
        <v>0.96329552998502799</v>
      </c>
      <c r="BU2499" s="4">
        <f>_xlfn.IFNA(VLOOKUP(Grandview_Inventory[[#This Row],[condition]],Lookups!$A$37:$C$44,3,FALSE),1)</f>
        <v>0.96469275950863709</v>
      </c>
      <c r="BV2499" s="4">
        <f>IF(Grandview_Inventory[[#This Row],[bldg_style]]="",1,_xlfn.IFNA(VLOOKUP(Grandview_Inventory[[#This Row],[decade]],Lookups!$F$29:$H$43,3,FALSE),1))</f>
        <v>0.9251738460551937</v>
      </c>
      <c r="BW2499" s="4">
        <f>_xlfn.IFNA(VLOOKUP(Grandview_Inventory[[#This Row],[living_area_range]],Lookups!$F$47:$H$56,3,FALSE),1)</f>
        <v>0.96135087979789358</v>
      </c>
      <c r="BX2499" s="4">
        <f>AVERAGE(Grandview_Inventory[[#This Row],[qual_adj]:[size_adj]])</f>
        <v>0.95362825383668803</v>
      </c>
      <c r="BY2499" s="6">
        <f>IF(Grandview_Inventory[[#This Row],[pre_res]]&lt;0,0,Grandview_Inventory[[#This Row],[pre_res]]*Grandview_Inventory[[#This Row],[overall_adj]])</f>
        <v>170228.15265677107</v>
      </c>
      <c r="BZ2499" s="6">
        <f>(Grandview_Inventory[[#This Row],[sum_land]]-IF(Grandview_Inventory[[#This Row],[no_utilities]]=1,12000,0))/IF(Grandview_Inventory[[#This Row],[unbuildable]]=1,2,1)</f>
        <v>110886.2894228449</v>
      </c>
      <c r="CA2499">
        <f>IF(ROUND(Grandview_Inventory[[#This Row],[adj_land]]*Lookups!$M$28,-2)&lt;Grandview_Inventory[[#This Row],[min_land]],Grandview_Inventory[[#This Row],[min_land]],ROUND(Grandview_Inventory[[#This Row],[adj_land]]*Lookups!$M$28,-2))</f>
        <v>105300</v>
      </c>
      <c r="CB2499">
        <f>ROUND(Grandview_Inventory[[#This Row],[det_value]]*Lookups!$M$28,-2)</f>
        <v>0</v>
      </c>
      <c r="CC2499">
        <f>IF(ROUND(Grandview_Inventory[[#This Row],[adj_res]]*Lookups!$M$28,-2)&lt;Grandview_Inventory[[#This Row],[min_res]],Grandview_Inventory[[#This Row],[min_res]],ROUND(Grandview_Inventory[[#This Row],[adj_res]]*Lookups!$M$28,-2))</f>
        <v>161700</v>
      </c>
      <c r="CD2499">
        <f>Grandview_Inventory[[#This Row],[final_det]]+Grandview_Inventory[[#This Row],[final_res]]</f>
        <v>161700</v>
      </c>
      <c r="CE2499">
        <f>Grandview_Inventory[[#This Row],[final_land]]+Grandview_Inventory[[#This Row],[final_imp]]+Grandview_Inventory[[#This Row],[crop_value]]</f>
        <v>267000</v>
      </c>
      <c r="CG2499" t="str">
        <f t="shared" ref="CG2499:CG2562" si="39">"update valuation set market_land ="&amp;CA2499&amp;", market_bldg="&amp;CD2499&amp;", market_total ="&amp;CE2499&amp;", market_mdno ="&amp;$CG$1&amp;", market_date ='"&amp;TEXT($CH$1,"m/d/yyyy")&amp;"' where link_id = (select link_id from parcel where parcel_year = '2024' and parcel_id = '"&amp;A2499&amp;"');"</f>
        <v>update valuation set market_land =105300, market_bldg=161700, market_total =267000, market_mdno =401, market_date ='9/10/2023' where link_id = (select link_id from parcel where parcel_year = '2024' and parcel_id = '23092722405');</v>
      </c>
    </row>
    <row r="2500" spans="1:85" x14ac:dyDescent="0.25">
      <c r="A2500">
        <v>23092722410</v>
      </c>
      <c r="B2500">
        <v>0.61</v>
      </c>
      <c r="C2500">
        <v>26405</v>
      </c>
      <c r="D2500" t="s">
        <v>129</v>
      </c>
      <c r="E2500" t="s">
        <v>53</v>
      </c>
      <c r="F2500" t="s">
        <v>53</v>
      </c>
      <c r="G2500">
        <v>4</v>
      </c>
      <c r="H2500" t="s">
        <v>54</v>
      </c>
      <c r="I2500">
        <v>122000</v>
      </c>
      <c r="J2500">
        <v>47000</v>
      </c>
      <c r="K2500">
        <v>0.61</v>
      </c>
      <c r="L2500">
        <f>IF(Grandview_Inventory[[#This Row],[parcel_acres]]-Grandview_Inventory[[#This Row],[non_valued_acres]] =0,0,LN(Grandview_Inventory[[#This Row],[parcel_acres]]-Grandview_Inventory[[#This Row],[non_valued_acres]]))</f>
        <v>-0.49429632181478012</v>
      </c>
      <c r="M2500">
        <v>0</v>
      </c>
      <c r="N2500">
        <v>0</v>
      </c>
      <c r="O2500">
        <v>0</v>
      </c>
      <c r="P2500">
        <v>13398.7528</v>
      </c>
      <c r="Q2500">
        <v>63903</v>
      </c>
      <c r="R2500">
        <f>(Grandview_Inventory[[#This Row],[ln_acres]]*Grandview_Inventory[[#This Row],[coeff]])+Grandview_Inventory[[#This Row],[const]]</f>
        <v>57280.04577405451</v>
      </c>
      <c r="S2500" t="s">
        <v>68</v>
      </c>
      <c r="T2500">
        <v>1</v>
      </c>
      <c r="U2500" t="s">
        <v>80</v>
      </c>
      <c r="V2500" t="s">
        <v>69</v>
      </c>
      <c r="W2500">
        <v>0</v>
      </c>
      <c r="X2500">
        <v>0</v>
      </c>
      <c r="Y2500">
        <v>57</v>
      </c>
      <c r="Z2500">
        <v>103</v>
      </c>
      <c r="AA2500">
        <v>110</v>
      </c>
      <c r="AB2500">
        <v>1000</v>
      </c>
      <c r="AC2500">
        <v>927</v>
      </c>
      <c r="AD2500">
        <v>927</v>
      </c>
      <c r="AE2500">
        <v>0</v>
      </c>
      <c r="AF2500">
        <v>0</v>
      </c>
      <c r="AG2500">
        <v>0</v>
      </c>
      <c r="AH2500">
        <v>463</v>
      </c>
      <c r="AI2500">
        <v>0</v>
      </c>
      <c r="AJ2500">
        <v>0</v>
      </c>
      <c r="AK2500">
        <v>0</v>
      </c>
      <c r="AL2500">
        <v>272</v>
      </c>
      <c r="AM2500">
        <v>0</v>
      </c>
      <c r="AN2500">
        <v>105</v>
      </c>
      <c r="AO2500">
        <v>0</v>
      </c>
      <c r="AP2500">
        <v>5</v>
      </c>
      <c r="AQ2500">
        <v>1</v>
      </c>
      <c r="AR2500">
        <v>0</v>
      </c>
      <c r="AS2500" t="s">
        <v>58</v>
      </c>
      <c r="AT2500">
        <v>1</v>
      </c>
      <c r="AU2500" t="s">
        <v>75</v>
      </c>
      <c r="AV2500" t="s">
        <v>60</v>
      </c>
      <c r="AW2500">
        <v>0</v>
      </c>
      <c r="AX2500">
        <v>1</v>
      </c>
      <c r="AY2500">
        <v>0</v>
      </c>
      <c r="AZ2500">
        <v>11700</v>
      </c>
      <c r="BA2500">
        <v>100</v>
      </c>
      <c r="BB2500">
        <v>100</v>
      </c>
      <c r="BC2500">
        <v>100</v>
      </c>
      <c r="BD2500">
        <v>100</v>
      </c>
      <c r="BE2500">
        <v>1</v>
      </c>
      <c r="BF2500">
        <v>15000</v>
      </c>
      <c r="BG2500">
        <v>1000</v>
      </c>
      <c r="BH2500" s="6">
        <f>Grandview_Inventory[[#This Row],[land_extract]]*Lookups!$B$3</f>
        <v>66519.162501285915</v>
      </c>
      <c r="BI2500" s="6">
        <f>IF(Grandview_Inventory[[#This Row],[bldg_style]]="",0,Lookups!$B$2)</f>
        <v>155833.95000000001</v>
      </c>
      <c r="BJ2500" s="6">
        <f>_xlfn.IFNA(VLOOKUP(Grandview_Inventory[[#This Row],[quality]],Lookups!$H$2:$J$14,3,FALSE),0)</f>
        <v>-28558</v>
      </c>
      <c r="BK2500" s="6">
        <f>_xlfn.IFNA(VLOOKUP(Grandview_Inventory[[#This Row],[condition]],Lookups!$H$17:$J$24,3,FALSE),0)</f>
        <v>-4503</v>
      </c>
      <c r="BL2500" s="6">
        <f>Grandview_Inventory[[#This Row],[Eff_Age]]*Lookups!$B$14</f>
        <v>-13632.4962</v>
      </c>
      <c r="BM2500" s="6">
        <f>Grandview_Inventory[[#This Row],[living_area]]*Lookups!$B$15</f>
        <v>57827.050731000003</v>
      </c>
      <c r="BN2500" s="6">
        <f>Grandview_Inventory[[#This Row],[Fin BSMT]]*Lookups!$B$16</f>
        <v>0</v>
      </c>
      <c r="BO2500" s="6">
        <f>(Grandview_Inventory[[#This Row],[att_gar]]+Grandview_Inventory[[#This Row],[bltin_gar]])*Lookups!$B$17</f>
        <v>0</v>
      </c>
      <c r="BP2500" s="6">
        <f>Grandview_Inventory[[#This Row],[Plumbing Fixtures]]*Lookups!$B$18</f>
        <v>10052.209000000001</v>
      </c>
      <c r="BQ2500" s="6">
        <f>Grandview_Inventory[[#This Row],[detatched_value]]*Lookups!$B$19</f>
        <v>9907.61967</v>
      </c>
      <c r="BR2500" s="6">
        <f>SUM(Grandview_Inventory[[#This Row],[Intercept]:[det_value]])*Grandview_Inventory[[#This Row],[res_pct]]</f>
        <v>186927.333201</v>
      </c>
      <c r="BS2500" s="6">
        <f>Grandview_Inventory[[#This Row],[land_value]]</f>
        <v>66519.162501285915</v>
      </c>
      <c r="BT2500" s="4">
        <f>_xlfn.IFNA(VLOOKUP(Grandview_Inventory[[#This Row],[quality]],Lookups!$A$26:$C$33,3,FALSE),1)</f>
        <v>0.9690360070159818</v>
      </c>
      <c r="BU2500" s="4">
        <f>_xlfn.IFNA(VLOOKUP(Grandview_Inventory[[#This Row],[condition]],Lookups!$A$37:$C$44,3,FALSE),1)</f>
        <v>0.96469275950863709</v>
      </c>
      <c r="BV2500" s="4">
        <f>IF(Grandview_Inventory[[#This Row],[bldg_style]]="",1,_xlfn.IFNA(VLOOKUP(Grandview_Inventory[[#This Row],[decade]],Lookups!$F$29:$H$43,3,FALSE),1))</f>
        <v>0.92255236374249616</v>
      </c>
      <c r="BW2500" s="4">
        <f>_xlfn.IFNA(VLOOKUP(Grandview_Inventory[[#This Row],[living_area_range]],Lookups!$F$47:$H$56,3,FALSE),1)</f>
        <v>0.94306777142782894</v>
      </c>
      <c r="BX2500" s="4">
        <f>AVERAGE(Grandview_Inventory[[#This Row],[qual_adj]:[size_adj]])</f>
        <v>0.94983722542373594</v>
      </c>
      <c r="BY2500" s="6">
        <f>IF(Grandview_Inventory[[#This Row],[pre_res]]&lt;0,0,Grandview_Inventory[[#This Row],[pre_res]]*Grandview_Inventory[[#This Row],[overall_adj]])</f>
        <v>177550.53952349603</v>
      </c>
      <c r="BZ2500" s="6">
        <f>(Grandview_Inventory[[#This Row],[sum_land]]-IF(Grandview_Inventory[[#This Row],[no_utilities]]=1,12000,0))/IF(Grandview_Inventory[[#This Row],[unbuildable]]=1,2,1)</f>
        <v>66519.162501285915</v>
      </c>
      <c r="CA2500">
        <f>IF(ROUND(Grandview_Inventory[[#This Row],[adj_land]]*Lookups!$M$28,-2)&lt;Grandview_Inventory[[#This Row],[min_land]],Grandview_Inventory[[#This Row],[min_land]],ROUND(Grandview_Inventory[[#This Row],[adj_land]]*Lookups!$M$28,-2))</f>
        <v>63200</v>
      </c>
      <c r="CB2500">
        <f>ROUND(Grandview_Inventory[[#This Row],[det_value]]*Lookups!$M$28,-2)</f>
        <v>9400</v>
      </c>
      <c r="CC2500">
        <f>IF(ROUND(Grandview_Inventory[[#This Row],[adj_res]]*Lookups!$M$28,-2)&lt;Grandview_Inventory[[#This Row],[min_res]],Grandview_Inventory[[#This Row],[min_res]],ROUND(Grandview_Inventory[[#This Row],[adj_res]]*Lookups!$M$28,-2))</f>
        <v>168700</v>
      </c>
      <c r="CD2500">
        <f>Grandview_Inventory[[#This Row],[final_det]]+Grandview_Inventory[[#This Row],[final_res]]</f>
        <v>178100</v>
      </c>
      <c r="CE2500">
        <f>Grandview_Inventory[[#This Row],[final_land]]+Grandview_Inventory[[#This Row],[final_imp]]+Grandview_Inventory[[#This Row],[crop_value]]</f>
        <v>241300</v>
      </c>
      <c r="CG2500" t="str">
        <f t="shared" si="39"/>
        <v>update valuation set market_land =63200, market_bldg=178100, market_total =241300, market_mdno =401, market_date ='9/10/2023' where link_id = (select link_id from parcel where parcel_year = '2024' and parcel_id = '23092722410');</v>
      </c>
    </row>
    <row r="2501" spans="1:85" x14ac:dyDescent="0.25">
      <c r="A2501">
        <v>23092722414</v>
      </c>
      <c r="B2501">
        <v>1.07</v>
      </c>
      <c r="C2501" t="s">
        <v>129</v>
      </c>
      <c r="D2501" t="s">
        <v>129</v>
      </c>
      <c r="E2501" t="s">
        <v>53</v>
      </c>
      <c r="F2501" t="s">
        <v>53</v>
      </c>
      <c r="G2501">
        <v>4</v>
      </c>
      <c r="H2501" t="s">
        <v>54</v>
      </c>
      <c r="I2501">
        <v>298000</v>
      </c>
      <c r="J2501">
        <v>48900</v>
      </c>
      <c r="K2501">
        <v>1.07</v>
      </c>
      <c r="L2501">
        <f>IF(Grandview_Inventory[[#This Row],[parcel_acres]]-Grandview_Inventory[[#This Row],[non_valued_acres]] =0,0,LN(Grandview_Inventory[[#This Row],[parcel_acres]]-Grandview_Inventory[[#This Row],[non_valued_acres]]))</f>
        <v>6.7658648473814864E-2</v>
      </c>
      <c r="M2501">
        <v>0</v>
      </c>
      <c r="N2501">
        <v>0</v>
      </c>
      <c r="O2501">
        <v>0</v>
      </c>
      <c r="P2501">
        <v>13398.7528</v>
      </c>
      <c r="Q2501">
        <v>63903</v>
      </c>
      <c r="R2501">
        <f>(Grandview_Inventory[[#This Row],[ln_acres]]*Grandview_Inventory[[#This Row],[coeff]])+Grandview_Inventory[[#This Row],[const]]</f>
        <v>64809.541505682741</v>
      </c>
      <c r="S2501" t="s">
        <v>58</v>
      </c>
      <c r="T2501">
        <v>1</v>
      </c>
      <c r="U2501" t="s">
        <v>64</v>
      </c>
      <c r="V2501" t="s">
        <v>67</v>
      </c>
      <c r="W2501">
        <v>0</v>
      </c>
      <c r="X2501">
        <v>0</v>
      </c>
      <c r="Y2501">
        <v>42</v>
      </c>
      <c r="Z2501">
        <v>42</v>
      </c>
      <c r="AA2501">
        <v>50</v>
      </c>
      <c r="AB2501">
        <v>2500</v>
      </c>
      <c r="AC2501">
        <v>2018</v>
      </c>
      <c r="AD2501">
        <v>2018</v>
      </c>
      <c r="AE2501">
        <v>0</v>
      </c>
      <c r="AF2501">
        <v>0</v>
      </c>
      <c r="AG2501">
        <v>0</v>
      </c>
      <c r="AH2501">
        <v>0</v>
      </c>
      <c r="AI2501">
        <v>480</v>
      </c>
      <c r="AJ2501">
        <v>0</v>
      </c>
      <c r="AK2501">
        <v>0</v>
      </c>
      <c r="AL2501">
        <v>0</v>
      </c>
      <c r="AM2501">
        <v>0</v>
      </c>
      <c r="AN2501">
        <v>48</v>
      </c>
      <c r="AO2501">
        <v>0</v>
      </c>
      <c r="AP2501">
        <v>8</v>
      </c>
      <c r="AQ2501">
        <v>0</v>
      </c>
      <c r="AR2501">
        <v>1</v>
      </c>
      <c r="AS2501" t="s">
        <v>58</v>
      </c>
      <c r="AT2501">
        <v>1</v>
      </c>
      <c r="AU2501" t="s">
        <v>59</v>
      </c>
      <c r="AV2501" t="s">
        <v>60</v>
      </c>
      <c r="AW2501">
        <v>1</v>
      </c>
      <c r="AX2501">
        <v>3</v>
      </c>
      <c r="AY2501">
        <v>0</v>
      </c>
      <c r="AZ2501">
        <v>4700</v>
      </c>
      <c r="BA2501">
        <v>100</v>
      </c>
      <c r="BB2501">
        <v>100</v>
      </c>
      <c r="BC2501">
        <v>100</v>
      </c>
      <c r="BD2501">
        <v>100</v>
      </c>
      <c r="BE2501">
        <v>1</v>
      </c>
      <c r="BF2501">
        <v>15000</v>
      </c>
      <c r="BG2501">
        <v>1000</v>
      </c>
      <c r="BH2501" s="6">
        <f>Grandview_Inventory[[#This Row],[land_extract]]*Lookups!$B$3</f>
        <v>75263.145564787294</v>
      </c>
      <c r="BI2501" s="6">
        <f>IF(Grandview_Inventory[[#This Row],[bldg_style]]="",0,Lookups!$B$2)</f>
        <v>155833.95000000001</v>
      </c>
      <c r="BJ2501" s="6">
        <f>_xlfn.IFNA(VLOOKUP(Grandview_Inventory[[#This Row],[quality]],Lookups!$H$2:$J$14,3,FALSE),0)</f>
        <v>20768</v>
      </c>
      <c r="BK2501" s="6">
        <f>_xlfn.IFNA(VLOOKUP(Grandview_Inventory[[#This Row],[condition]],Lookups!$H$17:$J$24,3,FALSE),0)</f>
        <v>22342</v>
      </c>
      <c r="BL2501" s="6">
        <f>Grandview_Inventory[[#This Row],[Eff_Age]]*Lookups!$B$14</f>
        <v>-10044.9972</v>
      </c>
      <c r="BM2501" s="6">
        <f>Grandview_Inventory[[#This Row],[living_area]]*Lookups!$B$15</f>
        <v>125884.561354</v>
      </c>
      <c r="BN2501" s="6">
        <f>Grandview_Inventory[[#This Row],[Fin BSMT]]*Lookups!$B$16</f>
        <v>0</v>
      </c>
      <c r="BO2501" s="6">
        <f>(Grandview_Inventory[[#This Row],[att_gar]]+Grandview_Inventory[[#This Row],[bltin_gar]])*Lookups!$B$17</f>
        <v>42009.809760000004</v>
      </c>
      <c r="BP2501" s="6">
        <f>Grandview_Inventory[[#This Row],[Plumbing Fixtures]]*Lookups!$B$18</f>
        <v>16083.5344</v>
      </c>
      <c r="BQ2501" s="6">
        <f>Grandview_Inventory[[#This Row],[detatched_value]]*Lookups!$B$19</f>
        <v>3979.9839699999998</v>
      </c>
      <c r="BR2501" s="6">
        <f>SUM(Grandview_Inventory[[#This Row],[Intercept]:[det_value]])*Grandview_Inventory[[#This Row],[res_pct]]</f>
        <v>376856.84228399995</v>
      </c>
      <c r="BS2501" s="6">
        <f>Grandview_Inventory[[#This Row],[land_value]]</f>
        <v>75263.145564787294</v>
      </c>
      <c r="BT2501" s="4">
        <f>_xlfn.IFNA(VLOOKUP(Grandview_Inventory[[#This Row],[quality]],Lookups!$A$26:$C$33,3,FALSE),1)</f>
        <v>0.94960540378902636</v>
      </c>
      <c r="BU2501" s="4">
        <f>_xlfn.IFNA(VLOOKUP(Grandview_Inventory[[#This Row],[condition]],Lookups!$A$37:$C$44,3,FALSE),1)</f>
        <v>0.97383723671140243</v>
      </c>
      <c r="BV2501" s="4">
        <f>IF(Grandview_Inventory[[#This Row],[bldg_style]]="",1,_xlfn.IFNA(VLOOKUP(Grandview_Inventory[[#This Row],[decade]],Lookups!$F$29:$H$43,3,FALSE),1))</f>
        <v>0.9871940091910919</v>
      </c>
      <c r="BW2501" s="4">
        <f>_xlfn.IFNA(VLOOKUP(Grandview_Inventory[[#This Row],[living_area_range]],Lookups!$F$47:$H$56,3,FALSE),1)</f>
        <v>0.95799442568048754</v>
      </c>
      <c r="BX2501" s="4">
        <f>AVERAGE(Grandview_Inventory[[#This Row],[qual_adj]:[size_adj]])</f>
        <v>0.96715776884300209</v>
      </c>
      <c r="BY2501" s="6">
        <f>IF(Grandview_Inventory[[#This Row],[pre_res]]&lt;0,0,Grandview_Inventory[[#This Row],[pre_res]]*Grandview_Inventory[[#This Row],[overall_adj]])</f>
        <v>364480.02275661251</v>
      </c>
      <c r="BZ2501" s="6">
        <f>(Grandview_Inventory[[#This Row],[sum_land]]-IF(Grandview_Inventory[[#This Row],[no_utilities]]=1,12000,0))/IF(Grandview_Inventory[[#This Row],[unbuildable]]=1,2,1)</f>
        <v>75263.145564787294</v>
      </c>
      <c r="CA2501">
        <f>IF(ROUND(Grandview_Inventory[[#This Row],[adj_land]]*Lookups!$M$28,-2)&lt;Grandview_Inventory[[#This Row],[min_land]],Grandview_Inventory[[#This Row],[min_land]],ROUND(Grandview_Inventory[[#This Row],[adj_land]]*Lookups!$M$28,-2))</f>
        <v>71500</v>
      </c>
      <c r="CB2501">
        <f>ROUND(Grandview_Inventory[[#This Row],[det_value]]*Lookups!$M$28,-2)</f>
        <v>3800</v>
      </c>
      <c r="CC2501">
        <f>IF(ROUND(Grandview_Inventory[[#This Row],[adj_res]]*Lookups!$M$28,-2)&lt;Grandview_Inventory[[#This Row],[min_res]],Grandview_Inventory[[#This Row],[min_res]],ROUND(Grandview_Inventory[[#This Row],[adj_res]]*Lookups!$M$28,-2))</f>
        <v>346300</v>
      </c>
      <c r="CD2501">
        <f>Grandview_Inventory[[#This Row],[final_det]]+Grandview_Inventory[[#This Row],[final_res]]</f>
        <v>350100</v>
      </c>
      <c r="CE2501">
        <f>Grandview_Inventory[[#This Row],[final_land]]+Grandview_Inventory[[#This Row],[final_imp]]+Grandview_Inventory[[#This Row],[crop_value]]</f>
        <v>421600</v>
      </c>
      <c r="CG2501" t="str">
        <f t="shared" si="39"/>
        <v>update valuation set market_land =71500, market_bldg=350100, market_total =421600, market_mdno =401, market_date ='9/10/2023' where link_id = (select link_id from parcel where parcel_year = '2024' and parcel_id = '23092722414');</v>
      </c>
    </row>
    <row r="2502" spans="1:85" x14ac:dyDescent="0.25">
      <c r="A2502">
        <v>23092722416</v>
      </c>
      <c r="B2502">
        <v>2.0699999999999998</v>
      </c>
      <c r="C2502">
        <v>90041</v>
      </c>
      <c r="D2502" t="s">
        <v>129</v>
      </c>
      <c r="E2502" t="s">
        <v>53</v>
      </c>
      <c r="F2502" t="s">
        <v>53</v>
      </c>
      <c r="G2502">
        <v>4</v>
      </c>
      <c r="H2502" t="s">
        <v>54</v>
      </c>
      <c r="I2502">
        <v>152100</v>
      </c>
      <c r="J2502">
        <v>51200</v>
      </c>
      <c r="K2502">
        <v>2.0699999999999998</v>
      </c>
      <c r="L2502">
        <f>IF(Grandview_Inventory[[#This Row],[parcel_acres]]-Grandview_Inventory[[#This Row],[non_valued_acres]] =0,0,LN(Grandview_Inventory[[#This Row],[parcel_acres]]-Grandview_Inventory[[#This Row],[non_valued_acres]]))</f>
        <v>0.72754860727727766</v>
      </c>
      <c r="M2502">
        <v>0</v>
      </c>
      <c r="N2502">
        <v>0</v>
      </c>
      <c r="O2502">
        <v>0</v>
      </c>
      <c r="P2502">
        <v>13398.7528</v>
      </c>
      <c r="Q2502">
        <v>63903</v>
      </c>
      <c r="R2502">
        <f>(Grandview_Inventory[[#This Row],[ln_acres]]*Grandview_Inventory[[#This Row],[coeff]])+Grandview_Inventory[[#This Row],[const]]</f>
        <v>73651.243938892527</v>
      </c>
      <c r="S2502" t="s">
        <v>68</v>
      </c>
      <c r="T2502">
        <v>1</v>
      </c>
      <c r="U2502" t="s">
        <v>80</v>
      </c>
      <c r="V2502" t="s">
        <v>69</v>
      </c>
      <c r="W2502">
        <v>0</v>
      </c>
      <c r="X2502">
        <v>0</v>
      </c>
      <c r="Y2502">
        <v>51</v>
      </c>
      <c r="Z2502">
        <v>78</v>
      </c>
      <c r="AA2502">
        <v>80</v>
      </c>
      <c r="AB2502">
        <v>2000</v>
      </c>
      <c r="AC2502">
        <v>1512</v>
      </c>
      <c r="AD2502">
        <v>1512</v>
      </c>
      <c r="AE2502">
        <v>0</v>
      </c>
      <c r="AF2502">
        <v>0</v>
      </c>
      <c r="AG2502">
        <v>0</v>
      </c>
      <c r="AH2502">
        <v>576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5</v>
      </c>
      <c r="AQ2502">
        <v>1</v>
      </c>
      <c r="AR2502">
        <v>0</v>
      </c>
      <c r="AS2502" t="s">
        <v>58</v>
      </c>
      <c r="AT2502">
        <v>1</v>
      </c>
      <c r="AU2502" t="s">
        <v>63</v>
      </c>
      <c r="AV2502" t="s">
        <v>60</v>
      </c>
      <c r="AW2502">
        <v>0</v>
      </c>
      <c r="AX2502">
        <v>3</v>
      </c>
      <c r="AY2502">
        <v>0</v>
      </c>
      <c r="AZ2502">
        <v>13500</v>
      </c>
      <c r="BA2502">
        <v>100</v>
      </c>
      <c r="BB2502">
        <v>100</v>
      </c>
      <c r="BC2502">
        <v>100</v>
      </c>
      <c r="BD2502">
        <v>100</v>
      </c>
      <c r="BE2502">
        <v>1</v>
      </c>
      <c r="BF2502">
        <v>15000</v>
      </c>
      <c r="BG2502">
        <v>1000</v>
      </c>
      <c r="BH2502" s="6">
        <f>Grandview_Inventory[[#This Row],[land_extract]]*Lookups!$B$3</f>
        <v>85530.990727877259</v>
      </c>
      <c r="BI2502" s="6">
        <f>IF(Grandview_Inventory[[#This Row],[bldg_style]]="",0,Lookups!$B$2)</f>
        <v>155833.95000000001</v>
      </c>
      <c r="BJ2502" s="6">
        <f>_xlfn.IFNA(VLOOKUP(Grandview_Inventory[[#This Row],[quality]],Lookups!$H$2:$J$14,3,FALSE),0)</f>
        <v>-28558</v>
      </c>
      <c r="BK2502" s="6">
        <f>_xlfn.IFNA(VLOOKUP(Grandview_Inventory[[#This Row],[condition]],Lookups!$H$17:$J$24,3,FALSE),0)</f>
        <v>-4503</v>
      </c>
      <c r="BL2502" s="6">
        <f>Grandview_Inventory[[#This Row],[Eff_Age]]*Lookups!$B$14</f>
        <v>-12197.496599999999</v>
      </c>
      <c r="BM2502" s="6">
        <f>Grandview_Inventory[[#This Row],[living_area]]*Lookups!$B$15</f>
        <v>94319.849736000004</v>
      </c>
      <c r="BN2502" s="6">
        <f>Grandview_Inventory[[#This Row],[Fin BSMT]]*Lookups!$B$16</f>
        <v>0</v>
      </c>
      <c r="BO2502" s="6">
        <f>(Grandview_Inventory[[#This Row],[att_gar]]+Grandview_Inventory[[#This Row],[bltin_gar]])*Lookups!$B$17</f>
        <v>0</v>
      </c>
      <c r="BP2502" s="6">
        <f>Grandview_Inventory[[#This Row],[Plumbing Fixtures]]*Lookups!$B$18</f>
        <v>10052.209000000001</v>
      </c>
      <c r="BQ2502" s="6">
        <f>Grandview_Inventory[[#This Row],[detatched_value]]*Lookups!$B$19</f>
        <v>11431.868849999999</v>
      </c>
      <c r="BR2502" s="6">
        <f>SUM(Grandview_Inventory[[#This Row],[Intercept]:[det_value]])*Grandview_Inventory[[#This Row],[res_pct]]</f>
        <v>226379.380986</v>
      </c>
      <c r="BS2502" s="6">
        <f>Grandview_Inventory[[#This Row],[land_value]]</f>
        <v>85530.990727877259</v>
      </c>
      <c r="BT2502" s="4">
        <f>_xlfn.IFNA(VLOOKUP(Grandview_Inventory[[#This Row],[quality]],Lookups!$A$26:$C$33,3,FALSE),1)</f>
        <v>0.9690360070159818</v>
      </c>
      <c r="BU2502" s="4">
        <f>_xlfn.IFNA(VLOOKUP(Grandview_Inventory[[#This Row],[condition]],Lookups!$A$37:$C$44,3,FALSE),1)</f>
        <v>0.96469275950863709</v>
      </c>
      <c r="BV2502" s="4">
        <f>IF(Grandview_Inventory[[#This Row],[bldg_style]]="",1,_xlfn.IFNA(VLOOKUP(Grandview_Inventory[[#This Row],[decade]],Lookups!$F$29:$H$43,3,FALSE),1))</f>
        <v>0.98763256963907298</v>
      </c>
      <c r="BW2502" s="4">
        <f>_xlfn.IFNA(VLOOKUP(Grandview_Inventory[[#This Row],[living_area_range]],Lookups!$F$47:$H$56,3,FALSE),1)</f>
        <v>0.96120133463014379</v>
      </c>
      <c r="BX2502" s="4">
        <f>AVERAGE(Grandview_Inventory[[#This Row],[qual_adj]:[size_adj]])</f>
        <v>0.97064066769845891</v>
      </c>
      <c r="BY2502" s="6">
        <f>IF(Grandview_Inventory[[#This Row],[pre_res]]&lt;0,0,Grandview_Inventory[[#This Row],[pre_res]]*Grandview_Inventory[[#This Row],[overall_adj]])</f>
        <v>219733.03351341485</v>
      </c>
      <c r="BZ2502" s="6">
        <f>(Grandview_Inventory[[#This Row],[sum_land]]-IF(Grandview_Inventory[[#This Row],[no_utilities]]=1,12000,0))/IF(Grandview_Inventory[[#This Row],[unbuildable]]=1,2,1)</f>
        <v>85530.990727877259</v>
      </c>
      <c r="CA2502">
        <f>IF(ROUND(Grandview_Inventory[[#This Row],[adj_land]]*Lookups!$M$28,-2)&lt;Grandview_Inventory[[#This Row],[min_land]],Grandview_Inventory[[#This Row],[min_land]],ROUND(Grandview_Inventory[[#This Row],[adj_land]]*Lookups!$M$28,-2))</f>
        <v>81300</v>
      </c>
      <c r="CB2502">
        <f>ROUND(Grandview_Inventory[[#This Row],[det_value]]*Lookups!$M$28,-2)</f>
        <v>10900</v>
      </c>
      <c r="CC2502">
        <f>IF(ROUND(Grandview_Inventory[[#This Row],[adj_res]]*Lookups!$M$28,-2)&lt;Grandview_Inventory[[#This Row],[min_res]],Grandview_Inventory[[#This Row],[min_res]],ROUND(Grandview_Inventory[[#This Row],[adj_res]]*Lookups!$M$28,-2))</f>
        <v>208700</v>
      </c>
      <c r="CD2502">
        <f>Grandview_Inventory[[#This Row],[final_det]]+Grandview_Inventory[[#This Row],[final_res]]</f>
        <v>219600</v>
      </c>
      <c r="CE2502">
        <f>Grandview_Inventory[[#This Row],[final_land]]+Grandview_Inventory[[#This Row],[final_imp]]+Grandview_Inventory[[#This Row],[crop_value]]</f>
        <v>300900</v>
      </c>
      <c r="CG2502" t="str">
        <f t="shared" si="39"/>
        <v>update valuation set market_land =81300, market_bldg=219600, market_total =300900, market_mdno =401, market_date ='9/10/2023' where link_id = (select link_id from parcel where parcel_year = '2024' and parcel_id = '23092722416');</v>
      </c>
    </row>
    <row r="2503" spans="1:85" x14ac:dyDescent="0.25">
      <c r="A2503">
        <v>23092722420</v>
      </c>
      <c r="B2503">
        <v>3.98</v>
      </c>
      <c r="C2503">
        <v>173236</v>
      </c>
      <c r="D2503" t="s">
        <v>129</v>
      </c>
      <c r="E2503" t="s">
        <v>53</v>
      </c>
      <c r="F2503" t="s">
        <v>53</v>
      </c>
      <c r="G2503">
        <v>4</v>
      </c>
      <c r="H2503" t="s">
        <v>54</v>
      </c>
      <c r="I2503">
        <v>95800</v>
      </c>
      <c r="J2503">
        <v>48200</v>
      </c>
      <c r="K2503">
        <v>3.98</v>
      </c>
      <c r="L2503">
        <f>IF(Grandview_Inventory[[#This Row],[parcel_acres]]-Grandview_Inventory[[#This Row],[non_valued_acres]] =0,0,LN(Grandview_Inventory[[#This Row],[parcel_acres]]-Grandview_Inventory[[#This Row],[non_valued_acres]]))</f>
        <v>1.3812818192963463</v>
      </c>
      <c r="M2503">
        <v>0</v>
      </c>
      <c r="N2503">
        <v>0</v>
      </c>
      <c r="O2503">
        <v>0</v>
      </c>
      <c r="P2503">
        <v>13398.7528</v>
      </c>
      <c r="Q2503">
        <v>63903</v>
      </c>
      <c r="R2503">
        <f>(Grandview_Inventory[[#This Row],[ln_acres]]*Grandview_Inventory[[#This Row],[coeff]])+Grandview_Inventory[[#This Row],[const]]</f>
        <v>82410.453643886023</v>
      </c>
      <c r="S2503" t="s">
        <v>68</v>
      </c>
      <c r="T2503">
        <v>1</v>
      </c>
      <c r="U2503" t="s">
        <v>70</v>
      </c>
      <c r="V2503" t="s">
        <v>78</v>
      </c>
      <c r="W2503">
        <v>0</v>
      </c>
      <c r="X2503">
        <v>0</v>
      </c>
      <c r="Y2503">
        <v>55</v>
      </c>
      <c r="Z2503">
        <v>98</v>
      </c>
      <c r="AA2503">
        <v>100</v>
      </c>
      <c r="AB2503">
        <v>1000</v>
      </c>
      <c r="AC2503">
        <v>924</v>
      </c>
      <c r="AD2503">
        <v>924</v>
      </c>
      <c r="AE2503">
        <v>0</v>
      </c>
      <c r="AF2503">
        <v>0</v>
      </c>
      <c r="AG2503">
        <v>0</v>
      </c>
      <c r="AH2503">
        <v>520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8</v>
      </c>
      <c r="AQ2503">
        <v>0</v>
      </c>
      <c r="AR2503">
        <v>0</v>
      </c>
      <c r="AS2503" t="s">
        <v>58</v>
      </c>
      <c r="AT2503">
        <v>1</v>
      </c>
      <c r="AU2503" t="s">
        <v>79</v>
      </c>
      <c r="AV2503" t="s">
        <v>64</v>
      </c>
      <c r="AW2503">
        <v>0</v>
      </c>
      <c r="AX2503">
        <v>2</v>
      </c>
      <c r="AY2503">
        <v>0</v>
      </c>
      <c r="AZ2503">
        <v>0</v>
      </c>
      <c r="BA2503">
        <v>100</v>
      </c>
      <c r="BB2503">
        <v>100</v>
      </c>
      <c r="BC2503">
        <v>100</v>
      </c>
      <c r="BD2503">
        <v>100</v>
      </c>
      <c r="BE2503">
        <v>1</v>
      </c>
      <c r="BF2503">
        <v>15000</v>
      </c>
      <c r="BG2503">
        <v>1000</v>
      </c>
      <c r="BH2503" s="6">
        <f>Grandview_Inventory[[#This Row],[land_extract]]*Lookups!$B$3</f>
        <v>95703.037308419996</v>
      </c>
      <c r="BI2503" s="6">
        <f>IF(Grandview_Inventory[[#This Row],[bldg_style]]="",0,Lookups!$B$2)</f>
        <v>155833.95000000001</v>
      </c>
      <c r="BJ2503" s="6">
        <f>_xlfn.IFNA(VLOOKUP(Grandview_Inventory[[#This Row],[quality]],Lookups!$H$2:$J$14,3,FALSE),0)</f>
        <v>10733</v>
      </c>
      <c r="BK2503" s="6">
        <f>_xlfn.IFNA(VLOOKUP(Grandview_Inventory[[#This Row],[condition]],Lookups!$H$17:$J$24,3,FALSE),0)</f>
        <v>-45357</v>
      </c>
      <c r="BL2503" s="6">
        <f>Grandview_Inventory[[#This Row],[Eff_Age]]*Lookups!$B$14</f>
        <v>-13154.162999999999</v>
      </c>
      <c r="BM2503" s="6">
        <f>Grandview_Inventory[[#This Row],[living_area]]*Lookups!$B$15</f>
        <v>57639.908172000003</v>
      </c>
      <c r="BN2503" s="6">
        <f>Grandview_Inventory[[#This Row],[Fin BSMT]]*Lookups!$B$16</f>
        <v>0</v>
      </c>
      <c r="BO2503" s="6">
        <f>(Grandview_Inventory[[#This Row],[att_gar]]+Grandview_Inventory[[#This Row],[bltin_gar]])*Lookups!$B$17</f>
        <v>0</v>
      </c>
      <c r="BP2503" s="6">
        <f>Grandview_Inventory[[#This Row],[Plumbing Fixtures]]*Lookups!$B$18</f>
        <v>16083.5344</v>
      </c>
      <c r="BQ2503" s="6">
        <f>Grandview_Inventory[[#This Row],[detatched_value]]*Lookups!$B$19</f>
        <v>0</v>
      </c>
      <c r="BR2503" s="6">
        <f>SUM(Grandview_Inventory[[#This Row],[Intercept]:[det_value]])*Grandview_Inventory[[#This Row],[res_pct]]</f>
        <v>181779.22957200001</v>
      </c>
      <c r="BS2503" s="6">
        <f>Grandview_Inventory[[#This Row],[land_value]]</f>
        <v>95703.037308419996</v>
      </c>
      <c r="BT2503" s="4">
        <f>_xlfn.IFNA(VLOOKUP(Grandview_Inventory[[#This Row],[quality]],Lookups!$A$26:$C$33,3,FALSE),1)</f>
        <v>0.98079741117310582</v>
      </c>
      <c r="BU2503" s="4">
        <f>_xlfn.IFNA(VLOOKUP(Grandview_Inventory[[#This Row],[condition]],Lookups!$A$37:$C$44,3,FALSE),1)</f>
        <v>0.97161819570155394</v>
      </c>
      <c r="BV2503" s="4">
        <f>IF(Grandview_Inventory[[#This Row],[bldg_style]]="",1,_xlfn.IFNA(VLOOKUP(Grandview_Inventory[[#This Row],[decade]],Lookups!$F$29:$H$43,3,FALSE),1))</f>
        <v>0.95244691841736806</v>
      </c>
      <c r="BW2503" s="4">
        <f>_xlfn.IFNA(VLOOKUP(Grandview_Inventory[[#This Row],[living_area_range]],Lookups!$F$47:$H$56,3,FALSE),1)</f>
        <v>0.94306777142782894</v>
      </c>
      <c r="BX2503" s="4">
        <f>AVERAGE(Grandview_Inventory[[#This Row],[qual_adj]:[size_adj]])</f>
        <v>0.96198257417996413</v>
      </c>
      <c r="BY2503" s="6">
        <f>IF(Grandview_Inventory[[#This Row],[pre_res]]&lt;0,0,Grandview_Inventory[[#This Row],[pre_res]]*Grandview_Inventory[[#This Row],[overall_adj]])</f>
        <v>174868.45119612323</v>
      </c>
      <c r="BZ2503" s="6">
        <f>(Grandview_Inventory[[#This Row],[sum_land]]-IF(Grandview_Inventory[[#This Row],[no_utilities]]=1,12000,0))/IF(Grandview_Inventory[[#This Row],[unbuildable]]=1,2,1)</f>
        <v>95703.037308419996</v>
      </c>
      <c r="CA2503">
        <f>IF(ROUND(Grandview_Inventory[[#This Row],[adj_land]]*Lookups!$M$28,-2)&lt;Grandview_Inventory[[#This Row],[min_land]],Grandview_Inventory[[#This Row],[min_land]],ROUND(Grandview_Inventory[[#This Row],[adj_land]]*Lookups!$M$28,-2))</f>
        <v>90900</v>
      </c>
      <c r="CB2503">
        <f>ROUND(Grandview_Inventory[[#This Row],[det_value]]*Lookups!$M$28,-2)</f>
        <v>0</v>
      </c>
      <c r="CC2503">
        <f>IF(ROUND(Grandview_Inventory[[#This Row],[adj_res]]*Lookups!$M$28,-2)&lt;Grandview_Inventory[[#This Row],[min_res]],Grandview_Inventory[[#This Row],[min_res]],ROUND(Grandview_Inventory[[#This Row],[adj_res]]*Lookups!$M$28,-2))</f>
        <v>166100</v>
      </c>
      <c r="CD2503">
        <f>Grandview_Inventory[[#This Row],[final_det]]+Grandview_Inventory[[#This Row],[final_res]]</f>
        <v>166100</v>
      </c>
      <c r="CE2503">
        <f>Grandview_Inventory[[#This Row],[final_land]]+Grandview_Inventory[[#This Row],[final_imp]]+Grandview_Inventory[[#This Row],[crop_value]]</f>
        <v>257000</v>
      </c>
      <c r="CG2503" t="str">
        <f t="shared" si="39"/>
        <v>update valuation set market_land =90900, market_bldg=166100, market_total =257000, market_mdno =401, market_date ='9/10/2023' where link_id = (select link_id from parcel where parcel_year = '2024' and parcel_id = '23092722420');</v>
      </c>
    </row>
    <row r="2504" spans="1:85" x14ac:dyDescent="0.25">
      <c r="A2504">
        <v>23092741003</v>
      </c>
      <c r="B2504">
        <v>0.91</v>
      </c>
      <c r="C2504">
        <v>39664</v>
      </c>
      <c r="D2504" t="s">
        <v>129</v>
      </c>
      <c r="E2504" t="s">
        <v>53</v>
      </c>
      <c r="F2504" t="s">
        <v>53</v>
      </c>
      <c r="G2504">
        <v>4</v>
      </c>
      <c r="H2504" t="s">
        <v>54</v>
      </c>
      <c r="I2504">
        <v>260400</v>
      </c>
      <c r="J2504">
        <v>48400</v>
      </c>
      <c r="K2504">
        <v>0.91</v>
      </c>
      <c r="L2504">
        <f>IF(Grandview_Inventory[[#This Row],[parcel_acres]]-Grandview_Inventory[[#This Row],[non_valued_acres]] =0,0,LN(Grandview_Inventory[[#This Row],[parcel_acres]]-Grandview_Inventory[[#This Row],[non_valued_acres]]))</f>
        <v>-9.431067947124129E-2</v>
      </c>
      <c r="M2504">
        <v>0</v>
      </c>
      <c r="N2504">
        <v>0</v>
      </c>
      <c r="O2504">
        <v>0</v>
      </c>
      <c r="P2504">
        <v>13398.7528</v>
      </c>
      <c r="Q2504">
        <v>63903</v>
      </c>
      <c r="R2504">
        <f>(Grandview_Inventory[[#This Row],[ln_acres]]*Grandview_Inventory[[#This Row],[coeff]])+Grandview_Inventory[[#This Row],[const]]</f>
        <v>62639.354519364802</v>
      </c>
      <c r="S2504" t="s">
        <v>58</v>
      </c>
      <c r="T2504">
        <v>1</v>
      </c>
      <c r="U2504" t="s">
        <v>62</v>
      </c>
      <c r="V2504" t="s">
        <v>69</v>
      </c>
      <c r="W2504">
        <v>0</v>
      </c>
      <c r="X2504">
        <v>0</v>
      </c>
      <c r="Y2504">
        <v>47</v>
      </c>
      <c r="Z2504">
        <v>57</v>
      </c>
      <c r="AA2504">
        <v>60</v>
      </c>
      <c r="AB2504">
        <v>3500</v>
      </c>
      <c r="AC2504">
        <v>3020</v>
      </c>
      <c r="AD2504">
        <v>1796</v>
      </c>
      <c r="AE2504">
        <v>0</v>
      </c>
      <c r="AF2504">
        <v>0</v>
      </c>
      <c r="AG2504">
        <v>1224</v>
      </c>
      <c r="AH2504">
        <v>76</v>
      </c>
      <c r="AI2504">
        <v>0</v>
      </c>
      <c r="AJ2504">
        <v>0</v>
      </c>
      <c r="AK2504">
        <v>583</v>
      </c>
      <c r="AL2504">
        <v>761</v>
      </c>
      <c r="AM2504">
        <v>114</v>
      </c>
      <c r="AN2504">
        <v>0</v>
      </c>
      <c r="AO2504">
        <v>875</v>
      </c>
      <c r="AP2504">
        <v>10</v>
      </c>
      <c r="AQ2504">
        <v>0</v>
      </c>
      <c r="AR2504">
        <v>1</v>
      </c>
      <c r="AS2504" t="s">
        <v>58</v>
      </c>
      <c r="AT2504">
        <v>1</v>
      </c>
      <c r="AU2504" t="s">
        <v>63</v>
      </c>
      <c r="AV2504" t="s">
        <v>60</v>
      </c>
      <c r="AW2504">
        <v>1</v>
      </c>
      <c r="AX2504">
        <v>3</v>
      </c>
      <c r="AY2504">
        <v>0</v>
      </c>
      <c r="AZ2504">
        <v>11800</v>
      </c>
      <c r="BA2504">
        <v>100</v>
      </c>
      <c r="BB2504">
        <v>100</v>
      </c>
      <c r="BC2504">
        <v>100</v>
      </c>
      <c r="BD2504">
        <v>100</v>
      </c>
      <c r="BE2504">
        <v>1</v>
      </c>
      <c r="BF2504">
        <v>15000</v>
      </c>
      <c r="BG2504">
        <v>1000</v>
      </c>
      <c r="BH2504" s="6">
        <f>Grandview_Inventory[[#This Row],[land_extract]]*Lookups!$B$3</f>
        <v>72742.913277081141</v>
      </c>
      <c r="BI2504" s="6">
        <f>IF(Grandview_Inventory[[#This Row],[bldg_style]]="",0,Lookups!$B$2)</f>
        <v>155833.95000000001</v>
      </c>
      <c r="BJ2504" s="6">
        <f>_xlfn.IFNA(VLOOKUP(Grandview_Inventory[[#This Row],[quality]],Lookups!$H$2:$J$14,3,FALSE),0)</f>
        <v>9808</v>
      </c>
      <c r="BK2504" s="6">
        <f>_xlfn.IFNA(VLOOKUP(Grandview_Inventory[[#This Row],[condition]],Lookups!$H$17:$J$24,3,FALSE),0)</f>
        <v>-4503</v>
      </c>
      <c r="BL2504" s="6">
        <f>Grandview_Inventory[[#This Row],[Eff_Age]]*Lookups!$B$14</f>
        <v>-11240.8302</v>
      </c>
      <c r="BM2504" s="6">
        <f>Grandview_Inventory[[#This Row],[living_area]]*Lookups!$B$15</f>
        <v>188390.17606</v>
      </c>
      <c r="BN2504" s="6">
        <f>Grandview_Inventory[[#This Row],[Fin BSMT]]*Lookups!$B$16</f>
        <v>-33169.46976</v>
      </c>
      <c r="BO2504" s="6">
        <f>(Grandview_Inventory[[#This Row],[att_gar]]+Grandview_Inventory[[#This Row],[bltin_gar]])*Lookups!$B$17</f>
        <v>0</v>
      </c>
      <c r="BP2504" s="6">
        <f>Grandview_Inventory[[#This Row],[Plumbing Fixtures]]*Lookups!$B$18</f>
        <v>20104.418000000001</v>
      </c>
      <c r="BQ2504" s="6">
        <f>Grandview_Inventory[[#This Row],[detatched_value]]*Lookups!$B$19</f>
        <v>9992.3001800000002</v>
      </c>
      <c r="BR2504" s="6">
        <f>SUM(Grandview_Inventory[[#This Row],[Intercept]:[det_value]])*Grandview_Inventory[[#This Row],[res_pct]]</f>
        <v>335215.54428000003</v>
      </c>
      <c r="BS2504" s="6">
        <f>Grandview_Inventory[[#This Row],[land_value]]</f>
        <v>72742.913277081141</v>
      </c>
      <c r="BT2504" s="4">
        <f>_xlfn.IFNA(VLOOKUP(Grandview_Inventory[[#This Row],[quality]],Lookups!$A$26:$C$33,3,FALSE),1)</f>
        <v>0.94295468617355149</v>
      </c>
      <c r="BU2504" s="4">
        <f>_xlfn.IFNA(VLOOKUP(Grandview_Inventory[[#This Row],[condition]],Lookups!$A$37:$C$44,3,FALSE),1)</f>
        <v>0.96469275950863709</v>
      </c>
      <c r="BV2504" s="4">
        <f>IF(Grandview_Inventory[[#This Row],[bldg_style]]="",1,_xlfn.IFNA(VLOOKUP(Grandview_Inventory[[#This Row],[decade]],Lookups!$F$29:$H$43,3,FALSE),1))</f>
        <v>0.95268620544463312</v>
      </c>
      <c r="BW2504" s="4">
        <f>_xlfn.IFNA(VLOOKUP(Grandview_Inventory[[#This Row],[living_area_range]],Lookups!$F$47:$H$56,3,FALSE),1)</f>
        <v>1.0170112215140563</v>
      </c>
      <c r="BX2504" s="4">
        <f>AVERAGE(Grandview_Inventory[[#This Row],[qual_adj]:[size_adj]])</f>
        <v>0.96933621816021942</v>
      </c>
      <c r="BY2504" s="6">
        <f>IF(Grandview_Inventory[[#This Row],[pre_res]]&lt;0,0,Grandview_Inventory[[#This Row],[pre_res]]*Grandview_Inventory[[#This Row],[overall_adj]])</f>
        <v>324936.56796089478</v>
      </c>
      <c r="BZ2504" s="6">
        <f>(Grandview_Inventory[[#This Row],[sum_land]]-IF(Grandview_Inventory[[#This Row],[no_utilities]]=1,12000,0))/IF(Grandview_Inventory[[#This Row],[unbuildable]]=1,2,1)</f>
        <v>72742.913277081141</v>
      </c>
      <c r="CA2504">
        <f>IF(ROUND(Grandview_Inventory[[#This Row],[adj_land]]*Lookups!$M$28,-2)&lt;Grandview_Inventory[[#This Row],[min_land]],Grandview_Inventory[[#This Row],[min_land]],ROUND(Grandview_Inventory[[#This Row],[adj_land]]*Lookups!$M$28,-2))</f>
        <v>69100</v>
      </c>
      <c r="CB2504">
        <f>ROUND(Grandview_Inventory[[#This Row],[det_value]]*Lookups!$M$28,-2)</f>
        <v>9500</v>
      </c>
      <c r="CC2504">
        <f>IF(ROUND(Grandview_Inventory[[#This Row],[adj_res]]*Lookups!$M$28,-2)&lt;Grandview_Inventory[[#This Row],[min_res]],Grandview_Inventory[[#This Row],[min_res]],ROUND(Grandview_Inventory[[#This Row],[adj_res]]*Lookups!$M$28,-2))</f>
        <v>308700</v>
      </c>
      <c r="CD2504">
        <f>Grandview_Inventory[[#This Row],[final_det]]+Grandview_Inventory[[#This Row],[final_res]]</f>
        <v>318200</v>
      </c>
      <c r="CE2504">
        <f>Grandview_Inventory[[#This Row],[final_land]]+Grandview_Inventory[[#This Row],[final_imp]]+Grandview_Inventory[[#This Row],[crop_value]]</f>
        <v>387300</v>
      </c>
      <c r="CG2504" t="str">
        <f t="shared" si="39"/>
        <v>update valuation set market_land =69100, market_bldg=318200, market_total =387300, market_mdno =401, market_date ='9/10/2023' where link_id = (select link_id from parcel where parcel_year = '2024' and parcel_id = '23092741003');</v>
      </c>
    </row>
    <row r="2505" spans="1:85" x14ac:dyDescent="0.25">
      <c r="A2505">
        <v>23092741402</v>
      </c>
      <c r="B2505">
        <v>0.59</v>
      </c>
      <c r="C2505" t="s">
        <v>129</v>
      </c>
      <c r="D2505" t="s">
        <v>129</v>
      </c>
      <c r="E2505" t="s">
        <v>53</v>
      </c>
      <c r="F2505" t="s">
        <v>53</v>
      </c>
      <c r="G2505">
        <v>4</v>
      </c>
      <c r="H2505" t="s">
        <v>54</v>
      </c>
      <c r="I2505">
        <v>232000</v>
      </c>
      <c r="J2505">
        <v>47000</v>
      </c>
      <c r="K2505">
        <v>0.59</v>
      </c>
      <c r="L2505">
        <f>IF(Grandview_Inventory[[#This Row],[parcel_acres]]-Grandview_Inventory[[#This Row],[non_valued_acres]] =0,0,LN(Grandview_Inventory[[#This Row],[parcel_acres]]-Grandview_Inventory[[#This Row],[non_valued_acres]]))</f>
        <v>-0.52763274208237199</v>
      </c>
      <c r="M2505">
        <v>0</v>
      </c>
      <c r="N2505">
        <v>0</v>
      </c>
      <c r="O2505">
        <v>0</v>
      </c>
      <c r="P2505">
        <v>13398.7528</v>
      </c>
      <c r="Q2505">
        <v>63903</v>
      </c>
      <c r="R2505">
        <f>(Grandview_Inventory[[#This Row],[ln_acres]]*Grandview_Inventory[[#This Row],[coeff]])+Grandview_Inventory[[#This Row],[const]]</f>
        <v>56833.379319652144</v>
      </c>
      <c r="S2505" t="s">
        <v>61</v>
      </c>
      <c r="T2505">
        <v>1</v>
      </c>
      <c r="U2505" t="s">
        <v>56</v>
      </c>
      <c r="V2505" t="s">
        <v>69</v>
      </c>
      <c r="W2505">
        <v>30700</v>
      </c>
      <c r="X2505">
        <v>0</v>
      </c>
      <c r="Y2505">
        <v>43</v>
      </c>
      <c r="Z2505">
        <v>45</v>
      </c>
      <c r="AA2505">
        <v>50</v>
      </c>
      <c r="AB2505">
        <v>3000</v>
      </c>
      <c r="AC2505">
        <v>2772</v>
      </c>
      <c r="AD2505">
        <v>1386</v>
      </c>
      <c r="AE2505">
        <v>0</v>
      </c>
      <c r="AF2505">
        <v>0</v>
      </c>
      <c r="AG2505">
        <v>1386</v>
      </c>
      <c r="AH2505">
        <v>0</v>
      </c>
      <c r="AI2505">
        <v>0</v>
      </c>
      <c r="AJ2505">
        <v>0</v>
      </c>
      <c r="AK2505">
        <v>720</v>
      </c>
      <c r="AL2505">
        <v>0</v>
      </c>
      <c r="AM2505">
        <v>222</v>
      </c>
      <c r="AN2505">
        <v>0</v>
      </c>
      <c r="AO2505">
        <v>0</v>
      </c>
      <c r="AP2505">
        <v>11</v>
      </c>
      <c r="AQ2505">
        <v>0</v>
      </c>
      <c r="AR2505">
        <v>1</v>
      </c>
      <c r="AS2505" t="s">
        <v>76</v>
      </c>
      <c r="AT2505">
        <v>1</v>
      </c>
      <c r="AU2505" t="s">
        <v>63</v>
      </c>
      <c r="AV2505" t="s">
        <v>60</v>
      </c>
      <c r="AW2505">
        <v>1</v>
      </c>
      <c r="AX2505">
        <v>3</v>
      </c>
      <c r="AY2505">
        <v>0</v>
      </c>
      <c r="AZ2505">
        <v>9700</v>
      </c>
      <c r="BA2505">
        <v>100</v>
      </c>
      <c r="BB2505">
        <v>100</v>
      </c>
      <c r="BC2505">
        <v>100</v>
      </c>
      <c r="BD2505">
        <v>100</v>
      </c>
      <c r="BE2505">
        <v>1</v>
      </c>
      <c r="BF2505">
        <v>15000</v>
      </c>
      <c r="BG2505">
        <v>1000</v>
      </c>
      <c r="BH2505" s="6">
        <f>Grandview_Inventory[[#This Row],[land_extract]]*Lookups!$B$3</f>
        <v>66000.449953787873</v>
      </c>
      <c r="BI2505" s="6">
        <f>IF(Grandview_Inventory[[#This Row],[bldg_style]]="",0,Lookups!$B$2)</f>
        <v>155833.95000000001</v>
      </c>
      <c r="BJ2505" s="6">
        <f>_xlfn.IFNA(VLOOKUP(Grandview_Inventory[[#This Row],[quality]],Lookups!$H$2:$J$14,3,FALSE),0)</f>
        <v>56323</v>
      </c>
      <c r="BK2505" s="6">
        <f>_xlfn.IFNA(VLOOKUP(Grandview_Inventory[[#This Row],[condition]],Lookups!$H$17:$J$24,3,FALSE),0)</f>
        <v>-4503</v>
      </c>
      <c r="BL2505" s="6">
        <f>Grandview_Inventory[[#This Row],[Eff_Age]]*Lookups!$B$14</f>
        <v>-10284.1638</v>
      </c>
      <c r="BM2505" s="6">
        <f>Grandview_Inventory[[#This Row],[living_area]]*Lookups!$B$15</f>
        <v>172919.72451600002</v>
      </c>
      <c r="BN2505" s="6">
        <f>Grandview_Inventory[[#This Row],[Fin BSMT]]*Lookups!$B$16</f>
        <v>-37559.54664</v>
      </c>
      <c r="BO2505" s="6">
        <f>(Grandview_Inventory[[#This Row],[att_gar]]+Grandview_Inventory[[#This Row],[bltin_gar]])*Lookups!$B$17</f>
        <v>0</v>
      </c>
      <c r="BP2505" s="6">
        <f>Grandview_Inventory[[#This Row],[Plumbing Fixtures]]*Lookups!$B$18</f>
        <v>22114.859800000002</v>
      </c>
      <c r="BQ2505" s="6">
        <f>Grandview_Inventory[[#This Row],[detatched_value]]*Lookups!$B$19</f>
        <v>8214.0094699999991</v>
      </c>
      <c r="BR2505" s="6">
        <f>SUM(Grandview_Inventory[[#This Row],[Intercept]:[det_value]])*Grandview_Inventory[[#This Row],[res_pct]]</f>
        <v>363058.83334599994</v>
      </c>
      <c r="BS2505" s="6">
        <f>Grandview_Inventory[[#This Row],[land_value]]</f>
        <v>66000.449953787873</v>
      </c>
      <c r="BT2505" s="4">
        <f>_xlfn.IFNA(VLOOKUP(Grandview_Inventory[[#This Row],[quality]],Lookups!$A$26:$C$33,3,FALSE),1)</f>
        <v>0.76437650671582003</v>
      </c>
      <c r="BU2505" s="4">
        <f>_xlfn.IFNA(VLOOKUP(Grandview_Inventory[[#This Row],[condition]],Lookups!$A$37:$C$44,3,FALSE),1)</f>
        <v>0.96469275950863709</v>
      </c>
      <c r="BV2505" s="4">
        <f>IF(Grandview_Inventory[[#This Row],[bldg_style]]="",1,_xlfn.IFNA(VLOOKUP(Grandview_Inventory[[#This Row],[decade]],Lookups!$F$29:$H$43,3,FALSE),1))</f>
        <v>0.9871940091910919</v>
      </c>
      <c r="BW2505" s="4">
        <f>_xlfn.IFNA(VLOOKUP(Grandview_Inventory[[#This Row],[living_area_range]],Lookups!$F$47:$H$56,3,FALSE),1)</f>
        <v>0.94224801443562123</v>
      </c>
      <c r="BX2505" s="4">
        <f>AVERAGE(Grandview_Inventory[[#This Row],[qual_adj]:[size_adj]])</f>
        <v>0.91462782246279262</v>
      </c>
      <c r="BY2505" s="6">
        <f>IF(Grandview_Inventory[[#This Row],[pre_res]]&lt;0,0,Grandview_Inventory[[#This Row],[pre_res]]*Grandview_Inventory[[#This Row],[overall_adj]])</f>
        <v>332063.71016913385</v>
      </c>
      <c r="BZ2505" s="6">
        <f>(Grandview_Inventory[[#This Row],[sum_land]]-IF(Grandview_Inventory[[#This Row],[no_utilities]]=1,12000,0))/IF(Grandview_Inventory[[#This Row],[unbuildable]]=1,2,1)</f>
        <v>66000.449953787873</v>
      </c>
      <c r="CA2505">
        <f>IF(ROUND(Grandview_Inventory[[#This Row],[adj_land]]*Lookups!$M$28,-2)&lt;Grandview_Inventory[[#This Row],[min_land]],Grandview_Inventory[[#This Row],[min_land]],ROUND(Grandview_Inventory[[#This Row],[adj_land]]*Lookups!$M$28,-2))</f>
        <v>62700</v>
      </c>
      <c r="CB2505">
        <f>ROUND(Grandview_Inventory[[#This Row],[det_value]]*Lookups!$M$28,-2)</f>
        <v>7800</v>
      </c>
      <c r="CC2505">
        <f>IF(ROUND(Grandview_Inventory[[#This Row],[adj_res]]*Lookups!$M$28,-2)&lt;Grandview_Inventory[[#This Row],[min_res]],Grandview_Inventory[[#This Row],[min_res]],ROUND(Grandview_Inventory[[#This Row],[adj_res]]*Lookups!$M$28,-2))</f>
        <v>315500</v>
      </c>
      <c r="CD2505">
        <f>Grandview_Inventory[[#This Row],[final_det]]+Grandview_Inventory[[#This Row],[final_res]]</f>
        <v>323300</v>
      </c>
      <c r="CE2505">
        <f>Grandview_Inventory[[#This Row],[final_land]]+Grandview_Inventory[[#This Row],[final_imp]]+Grandview_Inventory[[#This Row],[crop_value]]</f>
        <v>386000</v>
      </c>
      <c r="CG2505" t="str">
        <f t="shared" si="39"/>
        <v>update valuation set market_land =62700, market_bldg=323300, market_total =386000, market_mdno =401, market_date ='9/10/2023' where link_id = (select link_id from parcel where parcel_year = '2024' and parcel_id = '23092741402');</v>
      </c>
    </row>
    <row r="2506" spans="1:85" x14ac:dyDescent="0.25">
      <c r="A2506">
        <v>23092741403</v>
      </c>
      <c r="B2506">
        <v>0.5</v>
      </c>
      <c r="C2506" t="s">
        <v>129</v>
      </c>
      <c r="D2506" t="s">
        <v>129</v>
      </c>
      <c r="E2506" t="s">
        <v>53</v>
      </c>
      <c r="F2506" t="s">
        <v>53</v>
      </c>
      <c r="G2506">
        <v>4</v>
      </c>
      <c r="H2506" t="s">
        <v>54</v>
      </c>
      <c r="I2506">
        <v>262300</v>
      </c>
      <c r="J2506">
        <v>46600</v>
      </c>
      <c r="K2506">
        <v>0.5</v>
      </c>
      <c r="L2506">
        <f>IF(Grandview_Inventory[[#This Row],[parcel_acres]]-Grandview_Inventory[[#This Row],[non_valued_acres]] =0,0,LN(Grandview_Inventory[[#This Row],[parcel_acres]]-Grandview_Inventory[[#This Row],[non_valued_acres]]))</f>
        <v>-0.69314718055994529</v>
      </c>
      <c r="M2506">
        <v>0</v>
      </c>
      <c r="N2506">
        <v>0</v>
      </c>
      <c r="O2506">
        <v>0</v>
      </c>
      <c r="P2506">
        <v>13398.7528</v>
      </c>
      <c r="Q2506">
        <v>63903</v>
      </c>
      <c r="R2506">
        <f>(Grandview_Inventory[[#This Row],[ln_acres]]*Grandview_Inventory[[#This Row],[coeff]])+Grandview_Inventory[[#This Row],[const]]</f>
        <v>54615.69227366033</v>
      </c>
      <c r="S2506" t="s">
        <v>58</v>
      </c>
      <c r="T2506">
        <v>1</v>
      </c>
      <c r="U2506" t="s">
        <v>62</v>
      </c>
      <c r="V2506" t="s">
        <v>67</v>
      </c>
      <c r="W2506">
        <v>0</v>
      </c>
      <c r="X2506">
        <v>0</v>
      </c>
      <c r="Y2506">
        <v>12</v>
      </c>
      <c r="Z2506">
        <v>12</v>
      </c>
      <c r="AA2506">
        <v>20</v>
      </c>
      <c r="AB2506">
        <v>1500</v>
      </c>
      <c r="AC2506">
        <v>1248</v>
      </c>
      <c r="AD2506">
        <v>1248</v>
      </c>
      <c r="AE2506">
        <v>0</v>
      </c>
      <c r="AF2506">
        <v>0</v>
      </c>
      <c r="AG2506">
        <v>0</v>
      </c>
      <c r="AH2506">
        <v>0</v>
      </c>
      <c r="AI2506">
        <v>546</v>
      </c>
      <c r="AJ2506">
        <v>0</v>
      </c>
      <c r="AK2506">
        <v>0</v>
      </c>
      <c r="AL2506">
        <v>0</v>
      </c>
      <c r="AM2506">
        <v>0</v>
      </c>
      <c r="AN2506">
        <v>288</v>
      </c>
      <c r="AO2506">
        <v>0</v>
      </c>
      <c r="AP2506">
        <v>9</v>
      </c>
      <c r="AQ2506">
        <v>0</v>
      </c>
      <c r="AR2506">
        <v>0</v>
      </c>
      <c r="AS2506" t="s">
        <v>58</v>
      </c>
      <c r="AT2506">
        <v>1</v>
      </c>
      <c r="AU2506" t="s">
        <v>59</v>
      </c>
      <c r="AV2506" t="s">
        <v>60</v>
      </c>
      <c r="AW2506">
        <v>1</v>
      </c>
      <c r="AX2506">
        <v>3</v>
      </c>
      <c r="AY2506">
        <v>0</v>
      </c>
      <c r="AZ2506">
        <v>21200</v>
      </c>
      <c r="BA2506">
        <v>100</v>
      </c>
      <c r="BB2506">
        <v>100</v>
      </c>
      <c r="BC2506">
        <v>100</v>
      </c>
      <c r="BD2506">
        <v>100</v>
      </c>
      <c r="BE2506">
        <v>1</v>
      </c>
      <c r="BF2506">
        <v>15000</v>
      </c>
      <c r="BG2506">
        <v>1000</v>
      </c>
      <c r="BH2506" s="6">
        <f>Grandview_Inventory[[#This Row],[land_extract]]*Lookups!$B$3</f>
        <v>63425.055975032599</v>
      </c>
      <c r="BI2506" s="6">
        <f>IF(Grandview_Inventory[[#This Row],[bldg_style]]="",0,Lookups!$B$2)</f>
        <v>155833.95000000001</v>
      </c>
      <c r="BJ2506" s="6">
        <f>_xlfn.IFNA(VLOOKUP(Grandview_Inventory[[#This Row],[quality]],Lookups!$H$2:$J$14,3,FALSE),0)</f>
        <v>9808</v>
      </c>
      <c r="BK2506" s="6">
        <f>_xlfn.IFNA(VLOOKUP(Grandview_Inventory[[#This Row],[condition]],Lookups!$H$17:$J$24,3,FALSE),0)</f>
        <v>22342</v>
      </c>
      <c r="BL2506" s="6">
        <f>Grandview_Inventory[[#This Row],[Eff_Age]]*Lookups!$B$14</f>
        <v>-2869.9991999999997</v>
      </c>
      <c r="BM2506" s="6">
        <f>Grandview_Inventory[[#This Row],[living_area]]*Lookups!$B$15</f>
        <v>77851.304543999999</v>
      </c>
      <c r="BN2506" s="6">
        <f>Grandview_Inventory[[#This Row],[Fin BSMT]]*Lookups!$B$16</f>
        <v>0</v>
      </c>
      <c r="BO2506" s="6">
        <f>(Grandview_Inventory[[#This Row],[att_gar]]+Grandview_Inventory[[#This Row],[bltin_gar]])*Lookups!$B$17</f>
        <v>47786.158602000003</v>
      </c>
      <c r="BP2506" s="6">
        <f>Grandview_Inventory[[#This Row],[Plumbing Fixtures]]*Lookups!$B$18</f>
        <v>18093.976200000001</v>
      </c>
      <c r="BQ2506" s="6">
        <f>Grandview_Inventory[[#This Row],[detatched_value]]*Lookups!$B$19</f>
        <v>17952.268120000001</v>
      </c>
      <c r="BR2506" s="6">
        <f>SUM(Grandview_Inventory[[#This Row],[Intercept]:[det_value]])*Grandview_Inventory[[#This Row],[res_pct]]</f>
        <v>346797.65826599998</v>
      </c>
      <c r="BS2506" s="6">
        <f>Grandview_Inventory[[#This Row],[land_value]]</f>
        <v>63425.055975032599</v>
      </c>
      <c r="BT2506" s="4">
        <f>_xlfn.IFNA(VLOOKUP(Grandview_Inventory[[#This Row],[quality]],Lookups!$A$26:$C$33,3,FALSE),1)</f>
        <v>0.94295468617355149</v>
      </c>
      <c r="BU2506" s="4">
        <f>_xlfn.IFNA(VLOOKUP(Grandview_Inventory[[#This Row],[condition]],Lookups!$A$37:$C$44,3,FALSE),1)</f>
        <v>0.97383723671140243</v>
      </c>
      <c r="BV2506" s="4">
        <f>IF(Grandview_Inventory[[#This Row],[bldg_style]]="",1,_xlfn.IFNA(VLOOKUP(Grandview_Inventory[[#This Row],[decade]],Lookups!$F$29:$H$43,3,FALSE),1))</f>
        <v>0.96737494181490646</v>
      </c>
      <c r="BW2506" s="4">
        <f>_xlfn.IFNA(VLOOKUP(Grandview_Inventory[[#This Row],[living_area_range]],Lookups!$F$47:$H$56,3,FALSE),1)</f>
        <v>0.96135087979789358</v>
      </c>
      <c r="BX2506" s="4">
        <f>AVERAGE(Grandview_Inventory[[#This Row],[qual_adj]:[size_adj]])</f>
        <v>0.96137943612443855</v>
      </c>
      <c r="BY2506" s="6">
        <f>IF(Grandview_Inventory[[#This Row],[pre_res]]&lt;0,0,Grandview_Inventory[[#This Row],[pre_res]]*Grandview_Inventory[[#This Row],[overall_adj]])</f>
        <v>333404.13715304277</v>
      </c>
      <c r="BZ2506" s="6">
        <f>(Grandview_Inventory[[#This Row],[sum_land]]-IF(Grandview_Inventory[[#This Row],[no_utilities]]=1,12000,0))/IF(Grandview_Inventory[[#This Row],[unbuildable]]=1,2,1)</f>
        <v>63425.055975032599</v>
      </c>
      <c r="CA2506">
        <f>IF(ROUND(Grandview_Inventory[[#This Row],[adj_land]]*Lookups!$M$28,-2)&lt;Grandview_Inventory[[#This Row],[min_land]],Grandview_Inventory[[#This Row],[min_land]],ROUND(Grandview_Inventory[[#This Row],[adj_land]]*Lookups!$M$28,-2))</f>
        <v>60300</v>
      </c>
      <c r="CB2506">
        <f>ROUND(Grandview_Inventory[[#This Row],[det_value]]*Lookups!$M$28,-2)</f>
        <v>17100</v>
      </c>
      <c r="CC2506">
        <f>IF(ROUND(Grandview_Inventory[[#This Row],[adj_res]]*Lookups!$M$28,-2)&lt;Grandview_Inventory[[#This Row],[min_res]],Grandview_Inventory[[#This Row],[min_res]],ROUND(Grandview_Inventory[[#This Row],[adj_res]]*Lookups!$M$28,-2))</f>
        <v>316700</v>
      </c>
      <c r="CD2506">
        <f>Grandview_Inventory[[#This Row],[final_det]]+Grandview_Inventory[[#This Row],[final_res]]</f>
        <v>333800</v>
      </c>
      <c r="CE2506">
        <f>Grandview_Inventory[[#This Row],[final_land]]+Grandview_Inventory[[#This Row],[final_imp]]+Grandview_Inventory[[#This Row],[crop_value]]</f>
        <v>394100</v>
      </c>
      <c r="CG2506" t="str">
        <f t="shared" si="39"/>
        <v>update valuation set market_land =60300, market_bldg=333800, market_total =394100, market_mdno =401, market_date ='9/10/2023' where link_id = (select link_id from parcel where parcel_year = '2024' and parcel_id = '23092741403');</v>
      </c>
    </row>
    <row r="2507" spans="1:85" x14ac:dyDescent="0.25">
      <c r="A2507">
        <v>23092811407</v>
      </c>
      <c r="B2507">
        <v>0.4</v>
      </c>
      <c r="C2507" t="s">
        <v>129</v>
      </c>
      <c r="D2507" t="s">
        <v>129</v>
      </c>
      <c r="E2507" t="s">
        <v>53</v>
      </c>
      <c r="F2507" t="s">
        <v>53</v>
      </c>
      <c r="G2507">
        <v>4</v>
      </c>
      <c r="H2507" t="s">
        <v>54</v>
      </c>
      <c r="I2507">
        <v>245000</v>
      </c>
      <c r="J2507">
        <v>41100</v>
      </c>
      <c r="K2507">
        <v>0.4</v>
      </c>
      <c r="L2507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2507">
        <v>0</v>
      </c>
      <c r="N2507">
        <v>0</v>
      </c>
      <c r="O2507">
        <v>0</v>
      </c>
      <c r="P2507">
        <v>13398.7528</v>
      </c>
      <c r="Q2507">
        <v>63903</v>
      </c>
      <c r="R2507">
        <f>(Grandview_Inventory[[#This Row],[ln_acres]]*Grandview_Inventory[[#This Row],[coeff]])+Grandview_Inventory[[#This Row],[const]]</f>
        <v>51625.846990687118</v>
      </c>
      <c r="S2507" t="s">
        <v>61</v>
      </c>
      <c r="T2507">
        <v>1</v>
      </c>
      <c r="U2507" t="s">
        <v>65</v>
      </c>
      <c r="V2507" t="s">
        <v>69</v>
      </c>
      <c r="W2507">
        <v>0</v>
      </c>
      <c r="X2507">
        <v>0</v>
      </c>
      <c r="Y2507">
        <v>49</v>
      </c>
      <c r="Z2507">
        <v>66</v>
      </c>
      <c r="AA2507">
        <v>70</v>
      </c>
      <c r="AB2507">
        <v>2500</v>
      </c>
      <c r="AC2507">
        <v>2438</v>
      </c>
      <c r="AD2507">
        <v>2438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40</v>
      </c>
      <c r="AO2507">
        <v>0</v>
      </c>
      <c r="AP2507">
        <v>8</v>
      </c>
      <c r="AQ2507">
        <v>1</v>
      </c>
      <c r="AR2507">
        <v>0</v>
      </c>
      <c r="AS2507" t="s">
        <v>58</v>
      </c>
      <c r="AT2507">
        <v>1</v>
      </c>
      <c r="AU2507" t="s">
        <v>59</v>
      </c>
      <c r="AV2507" t="s">
        <v>60</v>
      </c>
      <c r="AW2507">
        <v>1</v>
      </c>
      <c r="AX2507">
        <v>3</v>
      </c>
      <c r="AY2507">
        <v>0</v>
      </c>
      <c r="AZ2507">
        <v>22100</v>
      </c>
      <c r="BA2507">
        <v>100</v>
      </c>
      <c r="BB2507">
        <v>100</v>
      </c>
      <c r="BC2507">
        <v>100</v>
      </c>
      <c r="BD2507">
        <v>100</v>
      </c>
      <c r="BE2507">
        <v>1</v>
      </c>
      <c r="BF2507">
        <v>15000</v>
      </c>
      <c r="BG2507">
        <v>1000</v>
      </c>
      <c r="BH2507" s="6">
        <f>Grandview_Inventory[[#This Row],[land_extract]]*Lookups!$B$3</f>
        <v>59952.95672049807</v>
      </c>
      <c r="BI2507" s="6">
        <f>IF(Grandview_Inventory[[#This Row],[bldg_style]]="",0,Lookups!$B$2)</f>
        <v>155833.95000000001</v>
      </c>
      <c r="BJ2507" s="6">
        <f>_xlfn.IFNA(VLOOKUP(Grandview_Inventory[[#This Row],[quality]],Lookups!$H$2:$J$14,3,FALSE),0)</f>
        <v>2251</v>
      </c>
      <c r="BK2507" s="6">
        <f>_xlfn.IFNA(VLOOKUP(Grandview_Inventory[[#This Row],[condition]],Lookups!$H$17:$J$24,3,FALSE),0)</f>
        <v>-4503</v>
      </c>
      <c r="BL2507" s="6">
        <f>Grandview_Inventory[[#This Row],[Eff_Age]]*Lookups!$B$14</f>
        <v>-11719.163399999999</v>
      </c>
      <c r="BM2507" s="6">
        <f>Grandview_Inventory[[#This Row],[living_area]]*Lookups!$B$15</f>
        <v>152084.51961400002</v>
      </c>
      <c r="BN2507" s="6">
        <f>Grandview_Inventory[[#This Row],[Fin BSMT]]*Lookups!$B$16</f>
        <v>0</v>
      </c>
      <c r="BO2507" s="6">
        <f>(Grandview_Inventory[[#This Row],[att_gar]]+Grandview_Inventory[[#This Row],[bltin_gar]])*Lookups!$B$17</f>
        <v>0</v>
      </c>
      <c r="BP2507" s="6">
        <f>Grandview_Inventory[[#This Row],[Plumbing Fixtures]]*Lookups!$B$18</f>
        <v>16083.5344</v>
      </c>
      <c r="BQ2507" s="6">
        <f>Grandview_Inventory[[#This Row],[detatched_value]]*Lookups!$B$19</f>
        <v>18714.39271</v>
      </c>
      <c r="BR2507" s="6">
        <f>SUM(Grandview_Inventory[[#This Row],[Intercept]:[det_value]])*Grandview_Inventory[[#This Row],[res_pct]]</f>
        <v>328745.23332400003</v>
      </c>
      <c r="BS2507" s="6">
        <f>Grandview_Inventory[[#This Row],[land_value]]</f>
        <v>59952.95672049807</v>
      </c>
      <c r="BT2507" s="4">
        <f>_xlfn.IFNA(VLOOKUP(Grandview_Inventory[[#This Row],[quality]],Lookups!$A$26:$C$33,3,FALSE),1)</f>
        <v>0.98763855981004833</v>
      </c>
      <c r="BU2507" s="4">
        <f>_xlfn.IFNA(VLOOKUP(Grandview_Inventory[[#This Row],[condition]],Lookups!$A$37:$C$44,3,FALSE),1)</f>
        <v>0.96469275950863709</v>
      </c>
      <c r="BV2507" s="4">
        <f>IF(Grandview_Inventory[[#This Row],[bldg_style]]="",1,_xlfn.IFNA(VLOOKUP(Grandview_Inventory[[#This Row],[decade]],Lookups!$F$29:$H$43,3,FALSE),1))</f>
        <v>0.99472141305414818</v>
      </c>
      <c r="BW2507" s="4">
        <f>_xlfn.IFNA(VLOOKUP(Grandview_Inventory[[#This Row],[living_area_range]],Lookups!$F$47:$H$56,3,FALSE),1)</f>
        <v>0.95799442568048754</v>
      </c>
      <c r="BX2507" s="4">
        <f>AVERAGE(Grandview_Inventory[[#This Row],[qual_adj]:[size_adj]])</f>
        <v>0.97626178951333031</v>
      </c>
      <c r="BY2507" s="6">
        <f>IF(Grandview_Inventory[[#This Row],[pre_res]]&lt;0,0,Grandview_Inventory[[#This Row],[pre_res]]*Grandview_Inventory[[#This Row],[overall_adj]])</f>
        <v>320941.40977886558</v>
      </c>
      <c r="BZ2507" s="6">
        <f>(Grandview_Inventory[[#This Row],[sum_land]]-IF(Grandview_Inventory[[#This Row],[no_utilities]]=1,12000,0))/IF(Grandview_Inventory[[#This Row],[unbuildable]]=1,2,1)</f>
        <v>59952.95672049807</v>
      </c>
      <c r="CA2507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2507">
        <f>ROUND(Grandview_Inventory[[#This Row],[det_value]]*Lookups!$M$28,-2)</f>
        <v>17800</v>
      </c>
      <c r="CC2507">
        <f>IF(ROUND(Grandview_Inventory[[#This Row],[adj_res]]*Lookups!$M$28,-2)&lt;Grandview_Inventory[[#This Row],[min_res]],Grandview_Inventory[[#This Row],[min_res]],ROUND(Grandview_Inventory[[#This Row],[adj_res]]*Lookups!$M$28,-2))</f>
        <v>304900</v>
      </c>
      <c r="CD2507">
        <f>Grandview_Inventory[[#This Row],[final_det]]+Grandview_Inventory[[#This Row],[final_res]]</f>
        <v>322700</v>
      </c>
      <c r="CE2507">
        <f>Grandview_Inventory[[#This Row],[final_land]]+Grandview_Inventory[[#This Row],[final_imp]]+Grandview_Inventory[[#This Row],[crop_value]]</f>
        <v>379700</v>
      </c>
      <c r="CG2507" t="str">
        <f t="shared" si="39"/>
        <v>update valuation set market_land =57000, market_bldg=322700, market_total =379700, market_mdno =401, market_date ='9/10/2023' where link_id = (select link_id from parcel where parcel_year = '2024' and parcel_id = '23092811407');</v>
      </c>
    </row>
    <row r="2508" spans="1:85" x14ac:dyDescent="0.25">
      <c r="A2508">
        <v>23092811408</v>
      </c>
      <c r="B2508">
        <v>0.86</v>
      </c>
      <c r="C2508">
        <v>37516</v>
      </c>
      <c r="D2508" t="s">
        <v>129</v>
      </c>
      <c r="E2508" t="s">
        <v>53</v>
      </c>
      <c r="F2508" t="s">
        <v>53</v>
      </c>
      <c r="G2508">
        <v>4</v>
      </c>
      <c r="H2508" t="s">
        <v>54</v>
      </c>
      <c r="I2508">
        <v>228500</v>
      </c>
      <c r="J2508">
        <v>43500</v>
      </c>
      <c r="K2508">
        <v>0.86</v>
      </c>
      <c r="L2508">
        <f>IF(Grandview_Inventory[[#This Row],[parcel_acres]]-Grandview_Inventory[[#This Row],[non_valued_acres]] =0,0,LN(Grandview_Inventory[[#This Row],[parcel_acres]]-Grandview_Inventory[[#This Row],[non_valued_acres]]))</f>
        <v>-0.15082288973458366</v>
      </c>
      <c r="M2508">
        <v>0</v>
      </c>
      <c r="N2508">
        <v>0</v>
      </c>
      <c r="O2508">
        <v>0</v>
      </c>
      <c r="P2508">
        <v>13398.7528</v>
      </c>
      <c r="Q2508">
        <v>63903</v>
      </c>
      <c r="R2508">
        <f>(Grandview_Inventory[[#This Row],[ln_acres]]*Grandview_Inventory[[#This Row],[coeff]])+Grandview_Inventory[[#This Row],[const]]</f>
        <v>61882.161383864659</v>
      </c>
      <c r="S2508" t="s">
        <v>61</v>
      </c>
      <c r="T2508">
        <v>1</v>
      </c>
      <c r="U2508" t="s">
        <v>65</v>
      </c>
      <c r="V2508" t="s">
        <v>69</v>
      </c>
      <c r="W2508">
        <v>0</v>
      </c>
      <c r="X2508">
        <v>0</v>
      </c>
      <c r="Y2508">
        <v>49</v>
      </c>
      <c r="Z2508">
        <v>66</v>
      </c>
      <c r="AA2508">
        <v>70</v>
      </c>
      <c r="AB2508">
        <v>2000</v>
      </c>
      <c r="AC2508">
        <v>1710</v>
      </c>
      <c r="AD2508">
        <v>1710</v>
      </c>
      <c r="AE2508">
        <v>0</v>
      </c>
      <c r="AF2508">
        <v>0</v>
      </c>
      <c r="AG2508">
        <v>0</v>
      </c>
      <c r="AH2508">
        <v>0</v>
      </c>
      <c r="AI2508">
        <v>483</v>
      </c>
      <c r="AJ2508">
        <v>0</v>
      </c>
      <c r="AK2508">
        <v>0</v>
      </c>
      <c r="AL2508">
        <v>0</v>
      </c>
      <c r="AM2508">
        <v>360</v>
      </c>
      <c r="AN2508">
        <v>28</v>
      </c>
      <c r="AO2508">
        <v>360</v>
      </c>
      <c r="AP2508">
        <v>8</v>
      </c>
      <c r="AQ2508">
        <v>0</v>
      </c>
      <c r="AR2508">
        <v>1</v>
      </c>
      <c r="AS2508" t="s">
        <v>58</v>
      </c>
      <c r="AT2508">
        <v>1</v>
      </c>
      <c r="AU2508" t="s">
        <v>59</v>
      </c>
      <c r="AV2508" t="s">
        <v>60</v>
      </c>
      <c r="AW2508">
        <v>1</v>
      </c>
      <c r="AX2508">
        <v>3</v>
      </c>
      <c r="AY2508">
        <v>0</v>
      </c>
      <c r="AZ2508">
        <v>12500</v>
      </c>
      <c r="BA2508">
        <v>100</v>
      </c>
      <c r="BB2508">
        <v>100</v>
      </c>
      <c r="BC2508">
        <v>100</v>
      </c>
      <c r="BD2508">
        <v>100</v>
      </c>
      <c r="BE2508">
        <v>1</v>
      </c>
      <c r="BF2508">
        <v>15000</v>
      </c>
      <c r="BG2508">
        <v>1000</v>
      </c>
      <c r="BH2508" s="6">
        <f>Grandview_Inventory[[#This Row],[land_extract]]*Lookups!$B$3</f>
        <v>71863.58693324629</v>
      </c>
      <c r="BI2508" s="6">
        <f>IF(Grandview_Inventory[[#This Row],[bldg_style]]="",0,Lookups!$B$2)</f>
        <v>155833.95000000001</v>
      </c>
      <c r="BJ2508" s="6">
        <f>_xlfn.IFNA(VLOOKUP(Grandview_Inventory[[#This Row],[quality]],Lookups!$H$2:$J$14,3,FALSE),0)</f>
        <v>2251</v>
      </c>
      <c r="BK2508" s="6">
        <f>_xlfn.IFNA(VLOOKUP(Grandview_Inventory[[#This Row],[condition]],Lookups!$H$17:$J$24,3,FALSE),0)</f>
        <v>-4503</v>
      </c>
      <c r="BL2508" s="6">
        <f>Grandview_Inventory[[#This Row],[Eff_Age]]*Lookups!$B$14</f>
        <v>-11719.163399999999</v>
      </c>
      <c r="BM2508" s="6">
        <f>Grandview_Inventory[[#This Row],[living_area]]*Lookups!$B$15</f>
        <v>106671.25863</v>
      </c>
      <c r="BN2508" s="6">
        <f>Grandview_Inventory[[#This Row],[Fin BSMT]]*Lookups!$B$16</f>
        <v>0</v>
      </c>
      <c r="BO2508" s="6">
        <f>(Grandview_Inventory[[#This Row],[att_gar]]+Grandview_Inventory[[#This Row],[bltin_gar]])*Lookups!$B$17</f>
        <v>42272.371071000001</v>
      </c>
      <c r="BP2508" s="6">
        <f>Grandview_Inventory[[#This Row],[Plumbing Fixtures]]*Lookups!$B$18</f>
        <v>16083.5344</v>
      </c>
      <c r="BQ2508" s="6">
        <f>Grandview_Inventory[[#This Row],[detatched_value]]*Lookups!$B$19</f>
        <v>10585.063749999999</v>
      </c>
      <c r="BR2508" s="6">
        <f>SUM(Grandview_Inventory[[#This Row],[Intercept]:[det_value]])*Grandview_Inventory[[#This Row],[res_pct]]</f>
        <v>317475.01445100002</v>
      </c>
      <c r="BS2508" s="6">
        <f>Grandview_Inventory[[#This Row],[land_value]]</f>
        <v>71863.58693324629</v>
      </c>
      <c r="BT2508" s="4">
        <f>_xlfn.IFNA(VLOOKUP(Grandview_Inventory[[#This Row],[quality]],Lookups!$A$26:$C$33,3,FALSE),1)</f>
        <v>0.98763855981004833</v>
      </c>
      <c r="BU2508" s="4">
        <f>_xlfn.IFNA(VLOOKUP(Grandview_Inventory[[#This Row],[condition]],Lookups!$A$37:$C$44,3,FALSE),1)</f>
        <v>0.96469275950863709</v>
      </c>
      <c r="BV2508" s="4">
        <f>IF(Grandview_Inventory[[#This Row],[bldg_style]]="",1,_xlfn.IFNA(VLOOKUP(Grandview_Inventory[[#This Row],[decade]],Lookups!$F$29:$H$43,3,FALSE),1))</f>
        <v>0.99472141305414818</v>
      </c>
      <c r="BW2508" s="4">
        <f>_xlfn.IFNA(VLOOKUP(Grandview_Inventory[[#This Row],[living_area_range]],Lookups!$F$47:$H$56,3,FALSE),1)</f>
        <v>0.96120133463014379</v>
      </c>
      <c r="BX2508" s="4">
        <f>AVERAGE(Grandview_Inventory[[#This Row],[qual_adj]:[size_adj]])</f>
        <v>0.97706351675074443</v>
      </c>
      <c r="BY2508" s="6">
        <f>IF(Grandview_Inventory[[#This Row],[pre_res]]&lt;0,0,Grandview_Inventory[[#This Row],[pre_res]]*Grandview_Inventory[[#This Row],[overall_adj]])</f>
        <v>310193.25409998751</v>
      </c>
      <c r="BZ2508" s="6">
        <f>(Grandview_Inventory[[#This Row],[sum_land]]-IF(Grandview_Inventory[[#This Row],[no_utilities]]=1,12000,0))/IF(Grandview_Inventory[[#This Row],[unbuildable]]=1,2,1)</f>
        <v>71863.58693324629</v>
      </c>
      <c r="CA2508">
        <f>IF(ROUND(Grandview_Inventory[[#This Row],[adj_land]]*Lookups!$M$28,-2)&lt;Grandview_Inventory[[#This Row],[min_land]],Grandview_Inventory[[#This Row],[min_land]],ROUND(Grandview_Inventory[[#This Row],[adj_land]]*Lookups!$M$28,-2))</f>
        <v>68300</v>
      </c>
      <c r="CB2508">
        <f>ROUND(Grandview_Inventory[[#This Row],[det_value]]*Lookups!$M$28,-2)</f>
        <v>10100</v>
      </c>
      <c r="CC2508">
        <f>IF(ROUND(Grandview_Inventory[[#This Row],[adj_res]]*Lookups!$M$28,-2)&lt;Grandview_Inventory[[#This Row],[min_res]],Grandview_Inventory[[#This Row],[min_res]],ROUND(Grandview_Inventory[[#This Row],[adj_res]]*Lookups!$M$28,-2))</f>
        <v>294700</v>
      </c>
      <c r="CD2508">
        <f>Grandview_Inventory[[#This Row],[final_det]]+Grandview_Inventory[[#This Row],[final_res]]</f>
        <v>304800</v>
      </c>
      <c r="CE2508">
        <f>Grandview_Inventory[[#This Row],[final_land]]+Grandview_Inventory[[#This Row],[final_imp]]+Grandview_Inventory[[#This Row],[crop_value]]</f>
        <v>373100</v>
      </c>
      <c r="CG2508" t="str">
        <f t="shared" si="39"/>
        <v>update valuation set market_land =68300, market_bldg=304800, market_total =373100, market_mdno =401, market_date ='9/10/2023' where link_id = (select link_id from parcel where parcel_year = '2024' and parcel_id = '23092811408');</v>
      </c>
    </row>
    <row r="2509" spans="1:85" x14ac:dyDescent="0.25">
      <c r="A2509">
        <v>23092811409</v>
      </c>
      <c r="B2509">
        <v>0.45</v>
      </c>
      <c r="C2509">
        <v>19756</v>
      </c>
      <c r="D2509" t="s">
        <v>129</v>
      </c>
      <c r="E2509" t="s">
        <v>53</v>
      </c>
      <c r="F2509" t="s">
        <v>53</v>
      </c>
      <c r="G2509">
        <v>4</v>
      </c>
      <c r="H2509" t="s">
        <v>54</v>
      </c>
      <c r="I2509">
        <v>351900</v>
      </c>
      <c r="J2509">
        <v>45900</v>
      </c>
      <c r="K2509">
        <v>0.45</v>
      </c>
      <c r="L2509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2509">
        <v>0</v>
      </c>
      <c r="N2509">
        <v>0</v>
      </c>
      <c r="O2509">
        <v>0</v>
      </c>
      <c r="P2509">
        <v>13398.7528</v>
      </c>
      <c r="Q2509">
        <v>63903</v>
      </c>
      <c r="R2509">
        <f>(Grandview_Inventory[[#This Row],[ln_acres]]*Grandview_Inventory[[#This Row],[coeff]])+Grandview_Inventory[[#This Row],[const]]</f>
        <v>53203.992769480581</v>
      </c>
      <c r="S2509" t="s">
        <v>55</v>
      </c>
      <c r="T2509">
        <v>2</v>
      </c>
      <c r="U2509" t="s">
        <v>64</v>
      </c>
      <c r="V2509" t="s">
        <v>69</v>
      </c>
      <c r="W2509">
        <v>0</v>
      </c>
      <c r="X2509">
        <v>0</v>
      </c>
      <c r="Y2509">
        <v>43</v>
      </c>
      <c r="Z2509">
        <v>44</v>
      </c>
      <c r="AA2509">
        <v>50</v>
      </c>
      <c r="AB2509">
        <v>3500</v>
      </c>
      <c r="AC2509">
        <v>3352</v>
      </c>
      <c r="AD2509">
        <v>1357</v>
      </c>
      <c r="AE2509">
        <v>1189</v>
      </c>
      <c r="AF2509">
        <v>0</v>
      </c>
      <c r="AG2509">
        <v>806</v>
      </c>
      <c r="AH2509">
        <v>0</v>
      </c>
      <c r="AI2509">
        <v>0</v>
      </c>
      <c r="AJ2509">
        <v>638</v>
      </c>
      <c r="AK2509">
        <v>0</v>
      </c>
      <c r="AL2509">
        <v>290</v>
      </c>
      <c r="AM2509">
        <v>290</v>
      </c>
      <c r="AN2509">
        <v>84</v>
      </c>
      <c r="AO2509">
        <v>0</v>
      </c>
      <c r="AP2509">
        <v>15</v>
      </c>
      <c r="AQ2509">
        <v>0</v>
      </c>
      <c r="AR2509">
        <v>1</v>
      </c>
      <c r="AS2509" t="s">
        <v>58</v>
      </c>
      <c r="AT2509">
        <v>1</v>
      </c>
      <c r="AU2509" t="s">
        <v>63</v>
      </c>
      <c r="AV2509" t="s">
        <v>64</v>
      </c>
      <c r="AW2509">
        <v>1</v>
      </c>
      <c r="AX2509">
        <v>5</v>
      </c>
      <c r="AY2509">
        <v>0</v>
      </c>
      <c r="AZ2509">
        <v>40600</v>
      </c>
      <c r="BA2509">
        <v>100</v>
      </c>
      <c r="BB2509">
        <v>100</v>
      </c>
      <c r="BC2509">
        <v>100</v>
      </c>
      <c r="BD2509">
        <v>100</v>
      </c>
      <c r="BE2509">
        <v>1</v>
      </c>
      <c r="BF2509">
        <v>15000</v>
      </c>
      <c r="BG2509">
        <v>1000</v>
      </c>
      <c r="BH2509" s="6">
        <f>Grandview_Inventory[[#This Row],[land_extract]]*Lookups!$B$3</f>
        <v>61785.653152417319</v>
      </c>
      <c r="BI2509" s="6">
        <f>IF(Grandview_Inventory[[#This Row],[bldg_style]]="",0,Lookups!$B$2)</f>
        <v>155833.95000000001</v>
      </c>
      <c r="BJ2509" s="6">
        <f>_xlfn.IFNA(VLOOKUP(Grandview_Inventory[[#This Row],[quality]],Lookups!$H$2:$J$14,3,FALSE),0)</f>
        <v>20768</v>
      </c>
      <c r="BK2509" s="6">
        <f>_xlfn.IFNA(VLOOKUP(Grandview_Inventory[[#This Row],[condition]],Lookups!$H$17:$J$24,3,FALSE),0)</f>
        <v>-4503</v>
      </c>
      <c r="BL2509" s="6">
        <f>Grandview_Inventory[[#This Row],[Eff_Age]]*Lookups!$B$14</f>
        <v>-10284.1638</v>
      </c>
      <c r="BM2509" s="6">
        <f>Grandview_Inventory[[#This Row],[living_area]]*Lookups!$B$15</f>
        <v>209100.61925600001</v>
      </c>
      <c r="BN2509" s="6">
        <f>Grandview_Inventory[[#This Row],[Fin BSMT]]*Lookups!$B$16</f>
        <v>-21841.987440000001</v>
      </c>
      <c r="BO2509" s="6">
        <f>(Grandview_Inventory[[#This Row],[att_gar]]+Grandview_Inventory[[#This Row],[bltin_gar]])*Lookups!$B$17</f>
        <v>55838.038806000004</v>
      </c>
      <c r="BP2509" s="6">
        <f>Grandview_Inventory[[#This Row],[Plumbing Fixtures]]*Lookups!$B$18</f>
        <v>30156.627</v>
      </c>
      <c r="BQ2509" s="6">
        <f>Grandview_Inventory[[#This Row],[detatched_value]]*Lookups!$B$19</f>
        <v>34380.287060000002</v>
      </c>
      <c r="BR2509" s="6">
        <f>SUM(Grandview_Inventory[[#This Row],[Intercept]:[det_value]])*Grandview_Inventory[[#This Row],[res_pct]]</f>
        <v>469448.37088200002</v>
      </c>
      <c r="BS2509" s="6">
        <f>Grandview_Inventory[[#This Row],[land_value]]</f>
        <v>61785.653152417319</v>
      </c>
      <c r="BT2509" s="4">
        <f>_xlfn.IFNA(VLOOKUP(Grandview_Inventory[[#This Row],[quality]],Lookups!$A$26:$C$33,3,FALSE),1)</f>
        <v>0.94960540378902636</v>
      </c>
      <c r="BU2509" s="4">
        <f>_xlfn.IFNA(VLOOKUP(Grandview_Inventory[[#This Row],[condition]],Lookups!$A$37:$C$44,3,FALSE),1)</f>
        <v>0.96469275950863709</v>
      </c>
      <c r="BV2509" s="4">
        <f>IF(Grandview_Inventory[[#This Row],[bldg_style]]="",1,_xlfn.IFNA(VLOOKUP(Grandview_Inventory[[#This Row],[decade]],Lookups!$F$29:$H$43,3,FALSE),1))</f>
        <v>0.9871940091910919</v>
      </c>
      <c r="BW2509" s="4">
        <f>_xlfn.IFNA(VLOOKUP(Grandview_Inventory[[#This Row],[living_area_range]],Lookups!$F$47:$H$56,3,FALSE),1)</f>
        <v>1.0170112215140563</v>
      </c>
      <c r="BX2509" s="4">
        <f>AVERAGE(Grandview_Inventory[[#This Row],[qual_adj]:[size_adj]])</f>
        <v>0.979625848500703</v>
      </c>
      <c r="BY2509" s="6">
        <f>IF(Grandview_Inventory[[#This Row],[pre_res]]&lt;0,0,Grandview_Inventory[[#This Row],[pre_res]]*Grandview_Inventory[[#This Row],[overall_adj]])</f>
        <v>459883.75865255197</v>
      </c>
      <c r="BZ2509" s="6">
        <f>(Grandview_Inventory[[#This Row],[sum_land]]-IF(Grandview_Inventory[[#This Row],[no_utilities]]=1,12000,0))/IF(Grandview_Inventory[[#This Row],[unbuildable]]=1,2,1)</f>
        <v>61785.653152417319</v>
      </c>
      <c r="CA2509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2509">
        <f>ROUND(Grandview_Inventory[[#This Row],[det_value]]*Lookups!$M$28,-2)</f>
        <v>32700</v>
      </c>
      <c r="CC2509">
        <f>IF(ROUND(Grandview_Inventory[[#This Row],[adj_res]]*Lookups!$M$28,-2)&lt;Grandview_Inventory[[#This Row],[min_res]],Grandview_Inventory[[#This Row],[min_res]],ROUND(Grandview_Inventory[[#This Row],[adj_res]]*Lookups!$M$28,-2))</f>
        <v>436900</v>
      </c>
      <c r="CD2509">
        <f>Grandview_Inventory[[#This Row],[final_det]]+Grandview_Inventory[[#This Row],[final_res]]</f>
        <v>469600</v>
      </c>
      <c r="CE2509">
        <f>Grandview_Inventory[[#This Row],[final_land]]+Grandview_Inventory[[#This Row],[final_imp]]+Grandview_Inventory[[#This Row],[crop_value]]</f>
        <v>528300</v>
      </c>
      <c r="CG2509" t="str">
        <f t="shared" si="39"/>
        <v>update valuation set market_land =58700, market_bldg=469600, market_total =528300, market_mdno =401, market_date ='9/10/2023' where link_id = (select link_id from parcel where parcel_year = '2024' and parcel_id = '23092811409');</v>
      </c>
    </row>
    <row r="2510" spans="1:85" x14ac:dyDescent="0.25">
      <c r="A2510">
        <v>23092811413</v>
      </c>
      <c r="B2510">
        <v>1.64</v>
      </c>
      <c r="C2510">
        <v>71547</v>
      </c>
      <c r="D2510" t="s">
        <v>129</v>
      </c>
      <c r="E2510" t="s">
        <v>53</v>
      </c>
      <c r="F2510" t="s">
        <v>53</v>
      </c>
      <c r="G2510">
        <v>4</v>
      </c>
      <c r="H2510" t="s">
        <v>54</v>
      </c>
      <c r="I2510">
        <v>123400</v>
      </c>
      <c r="J2510">
        <v>45600</v>
      </c>
      <c r="K2510">
        <v>1.64</v>
      </c>
      <c r="L2510">
        <f>IF(Grandview_Inventory[[#This Row],[parcel_acres]]-Grandview_Inventory[[#This Row],[non_valued_acres]] =0,0,LN(Grandview_Inventory[[#This Row],[parcel_acres]]-Grandview_Inventory[[#This Row],[non_valued_acres]]))</f>
        <v>0.494696241836107</v>
      </c>
      <c r="M2510">
        <v>0</v>
      </c>
      <c r="N2510">
        <v>0</v>
      </c>
      <c r="O2510">
        <v>0</v>
      </c>
      <c r="P2510">
        <v>13398.7528</v>
      </c>
      <c r="Q2510">
        <v>63903</v>
      </c>
      <c r="R2510">
        <f>(Grandview_Inventory[[#This Row],[ln_acres]]*Grandview_Inventory[[#This Row],[coeff]])+Grandview_Inventory[[#This Row],[const]]</f>
        <v>70531.312655451009</v>
      </c>
      <c r="S2510" t="s">
        <v>68</v>
      </c>
      <c r="T2510">
        <v>1</v>
      </c>
      <c r="U2510" t="s">
        <v>80</v>
      </c>
      <c r="V2510" t="s">
        <v>69</v>
      </c>
      <c r="W2510">
        <v>0</v>
      </c>
      <c r="X2510">
        <v>0</v>
      </c>
      <c r="Y2510">
        <v>57</v>
      </c>
      <c r="Z2510">
        <v>103</v>
      </c>
      <c r="AA2510">
        <v>110</v>
      </c>
      <c r="AB2510">
        <v>2000</v>
      </c>
      <c r="AC2510">
        <v>1560</v>
      </c>
      <c r="AD2510">
        <v>1008</v>
      </c>
      <c r="AE2510">
        <v>0</v>
      </c>
      <c r="AF2510">
        <v>0</v>
      </c>
      <c r="AG2510">
        <v>552</v>
      </c>
      <c r="AH2510">
        <v>276</v>
      </c>
      <c r="AI2510">
        <v>0</v>
      </c>
      <c r="AJ2510">
        <v>180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7</v>
      </c>
      <c r="AQ2510">
        <v>0</v>
      </c>
      <c r="AR2510">
        <v>0</v>
      </c>
      <c r="AS2510" t="s">
        <v>58</v>
      </c>
      <c r="AT2510">
        <v>1</v>
      </c>
      <c r="AU2510" t="s">
        <v>75</v>
      </c>
      <c r="AV2510" t="s">
        <v>60</v>
      </c>
      <c r="AW2510">
        <v>0</v>
      </c>
      <c r="AX2510">
        <v>2</v>
      </c>
      <c r="AY2510">
        <v>0</v>
      </c>
      <c r="AZ2510">
        <v>0</v>
      </c>
      <c r="BA2510">
        <v>100</v>
      </c>
      <c r="BB2510">
        <v>100</v>
      </c>
      <c r="BC2510">
        <v>100</v>
      </c>
      <c r="BD2510">
        <v>100</v>
      </c>
      <c r="BE2510">
        <v>1</v>
      </c>
      <c r="BF2510">
        <v>15000</v>
      </c>
      <c r="BG2510">
        <v>1000</v>
      </c>
      <c r="BH2510" s="6">
        <f>Grandview_Inventory[[#This Row],[land_extract]]*Lookups!$B$3</f>
        <v>81907.822952231087</v>
      </c>
      <c r="BI2510" s="6">
        <f>IF(Grandview_Inventory[[#This Row],[bldg_style]]="",0,Lookups!$B$2)</f>
        <v>155833.95000000001</v>
      </c>
      <c r="BJ2510" s="6">
        <f>_xlfn.IFNA(VLOOKUP(Grandview_Inventory[[#This Row],[quality]],Lookups!$H$2:$J$14,3,FALSE),0)</f>
        <v>-28558</v>
      </c>
      <c r="BK2510" s="6">
        <f>_xlfn.IFNA(VLOOKUP(Grandview_Inventory[[#This Row],[condition]],Lookups!$H$17:$J$24,3,FALSE),0)</f>
        <v>-4503</v>
      </c>
      <c r="BL2510" s="6">
        <f>Grandview_Inventory[[#This Row],[Eff_Age]]*Lookups!$B$14</f>
        <v>-13632.4962</v>
      </c>
      <c r="BM2510" s="6">
        <f>Grandview_Inventory[[#This Row],[living_area]]*Lookups!$B$15</f>
        <v>97314.130680000002</v>
      </c>
      <c r="BN2510" s="6">
        <f>Grandview_Inventory[[#This Row],[Fin BSMT]]*Lookups!$B$16</f>
        <v>-14958.780480000001</v>
      </c>
      <c r="BO2510" s="6">
        <f>(Grandview_Inventory[[#This Row],[att_gar]]+Grandview_Inventory[[#This Row],[bltin_gar]])*Lookups!$B$17</f>
        <v>15753.67866</v>
      </c>
      <c r="BP2510" s="6">
        <f>Grandview_Inventory[[#This Row],[Plumbing Fixtures]]*Lookups!$B$18</f>
        <v>14073.0926</v>
      </c>
      <c r="BQ2510" s="6">
        <f>Grandview_Inventory[[#This Row],[detatched_value]]*Lookups!$B$19</f>
        <v>0</v>
      </c>
      <c r="BR2510" s="6">
        <f>SUM(Grandview_Inventory[[#This Row],[Intercept]:[det_value]])*Grandview_Inventory[[#This Row],[res_pct]]</f>
        <v>221322.57526000001</v>
      </c>
      <c r="BS2510" s="6">
        <f>Grandview_Inventory[[#This Row],[land_value]]</f>
        <v>81907.822952231087</v>
      </c>
      <c r="BT2510" s="4">
        <f>_xlfn.IFNA(VLOOKUP(Grandview_Inventory[[#This Row],[quality]],Lookups!$A$26:$C$33,3,FALSE),1)</f>
        <v>0.9690360070159818</v>
      </c>
      <c r="BU2510" s="4">
        <f>_xlfn.IFNA(VLOOKUP(Grandview_Inventory[[#This Row],[condition]],Lookups!$A$37:$C$44,3,FALSE),1)</f>
        <v>0.96469275950863709</v>
      </c>
      <c r="BV2510" s="4">
        <f>IF(Grandview_Inventory[[#This Row],[bldg_style]]="",1,_xlfn.IFNA(VLOOKUP(Grandview_Inventory[[#This Row],[decade]],Lookups!$F$29:$H$43,3,FALSE),1))</f>
        <v>0.92255236374249616</v>
      </c>
      <c r="BW2510" s="4">
        <f>_xlfn.IFNA(VLOOKUP(Grandview_Inventory[[#This Row],[living_area_range]],Lookups!$F$47:$H$56,3,FALSE),1)</f>
        <v>0.96120133463014379</v>
      </c>
      <c r="BX2510" s="4">
        <f>AVERAGE(Grandview_Inventory[[#This Row],[qual_adj]:[size_adj]])</f>
        <v>0.95437061622431463</v>
      </c>
      <c r="BY2510" s="6">
        <f>IF(Grandview_Inventory[[#This Row],[pre_res]]&lt;0,0,Grandview_Inventory[[#This Row],[pre_res]]*Grandview_Inventory[[#This Row],[overall_adj]])</f>
        <v>211223.76253523846</v>
      </c>
      <c r="BZ2510" s="6">
        <f>(Grandview_Inventory[[#This Row],[sum_land]]-IF(Grandview_Inventory[[#This Row],[no_utilities]]=1,12000,0))/IF(Grandview_Inventory[[#This Row],[unbuildable]]=1,2,1)</f>
        <v>81907.822952231087</v>
      </c>
      <c r="CA2510">
        <f>IF(ROUND(Grandview_Inventory[[#This Row],[adj_land]]*Lookups!$M$28,-2)&lt;Grandview_Inventory[[#This Row],[min_land]],Grandview_Inventory[[#This Row],[min_land]],ROUND(Grandview_Inventory[[#This Row],[adj_land]]*Lookups!$M$28,-2))</f>
        <v>77800</v>
      </c>
      <c r="CB2510">
        <f>ROUND(Grandview_Inventory[[#This Row],[det_value]]*Lookups!$M$28,-2)</f>
        <v>0</v>
      </c>
      <c r="CC2510">
        <f>IF(ROUND(Grandview_Inventory[[#This Row],[adj_res]]*Lookups!$M$28,-2)&lt;Grandview_Inventory[[#This Row],[min_res]],Grandview_Inventory[[#This Row],[min_res]],ROUND(Grandview_Inventory[[#This Row],[adj_res]]*Lookups!$M$28,-2))</f>
        <v>200700</v>
      </c>
      <c r="CD2510">
        <f>Grandview_Inventory[[#This Row],[final_det]]+Grandview_Inventory[[#This Row],[final_res]]</f>
        <v>200700</v>
      </c>
      <c r="CE2510">
        <f>Grandview_Inventory[[#This Row],[final_land]]+Grandview_Inventory[[#This Row],[final_imp]]+Grandview_Inventory[[#This Row],[crop_value]]</f>
        <v>278500</v>
      </c>
      <c r="CG2510" t="str">
        <f t="shared" si="39"/>
        <v>update valuation set market_land =77800, market_bldg=200700, market_total =278500, market_mdno =401, market_date ='9/10/2023' where link_id = (select link_id from parcel where parcel_year = '2024' and parcel_id = '23092811413');</v>
      </c>
    </row>
    <row r="2511" spans="1:85" x14ac:dyDescent="0.25">
      <c r="A2511">
        <v>23092811417</v>
      </c>
      <c r="B2511">
        <v>0.52</v>
      </c>
      <c r="C2511">
        <v>22685</v>
      </c>
      <c r="D2511" t="s">
        <v>129</v>
      </c>
      <c r="E2511" t="s">
        <v>53</v>
      </c>
      <c r="F2511" t="s">
        <v>53</v>
      </c>
      <c r="G2511">
        <v>4</v>
      </c>
      <c r="H2511" t="s">
        <v>54</v>
      </c>
      <c r="I2511">
        <v>98900</v>
      </c>
      <c r="J2511">
        <v>41900</v>
      </c>
      <c r="K2511">
        <v>0.52</v>
      </c>
      <c r="L2511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2511">
        <v>0</v>
      </c>
      <c r="N2511">
        <v>0</v>
      </c>
      <c r="O2511">
        <v>0</v>
      </c>
      <c r="P2511">
        <v>13398.7528</v>
      </c>
      <c r="Q2511">
        <v>63903</v>
      </c>
      <c r="R2511">
        <f>(Grandview_Inventory[[#This Row],[ln_acres]]*Grandview_Inventory[[#This Row],[coeff]])+Grandview_Inventory[[#This Row],[const]]</f>
        <v>55141.200913840854</v>
      </c>
      <c r="S2511" t="s">
        <v>61</v>
      </c>
      <c r="T2511">
        <v>1</v>
      </c>
      <c r="U2511" t="s">
        <v>65</v>
      </c>
      <c r="V2511" t="s">
        <v>78</v>
      </c>
      <c r="W2511">
        <v>0</v>
      </c>
      <c r="X2511">
        <v>0</v>
      </c>
      <c r="Y2511">
        <v>49</v>
      </c>
      <c r="Z2511">
        <v>67</v>
      </c>
      <c r="AA2511">
        <v>70</v>
      </c>
      <c r="AB2511">
        <v>1500</v>
      </c>
      <c r="AC2511">
        <v>1058</v>
      </c>
      <c r="AD2511">
        <v>1058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5</v>
      </c>
      <c r="AQ2511">
        <v>1</v>
      </c>
      <c r="AR2511">
        <v>0</v>
      </c>
      <c r="AS2511" t="s">
        <v>58</v>
      </c>
      <c r="AT2511">
        <v>1</v>
      </c>
      <c r="AU2511" t="s">
        <v>63</v>
      </c>
      <c r="AV2511" t="s">
        <v>64</v>
      </c>
      <c r="AW2511">
        <v>0</v>
      </c>
      <c r="AX2511">
        <v>2</v>
      </c>
      <c r="AY2511">
        <v>0</v>
      </c>
      <c r="AZ2511">
        <v>3100</v>
      </c>
      <c r="BA2511">
        <v>100</v>
      </c>
      <c r="BB2511">
        <v>100</v>
      </c>
      <c r="BC2511">
        <v>100</v>
      </c>
      <c r="BD2511">
        <v>100</v>
      </c>
      <c r="BE2511">
        <v>1</v>
      </c>
      <c r="BF2511">
        <v>15000</v>
      </c>
      <c r="BG2511">
        <v>1000</v>
      </c>
      <c r="BH2511" s="6">
        <f>Grandview_Inventory[[#This Row],[land_extract]]*Lookups!$B$3</f>
        <v>64035.327740000917</v>
      </c>
      <c r="BI2511" s="6">
        <f>IF(Grandview_Inventory[[#This Row],[bldg_style]]="",0,Lookups!$B$2)</f>
        <v>155833.95000000001</v>
      </c>
      <c r="BJ2511" s="6">
        <f>_xlfn.IFNA(VLOOKUP(Grandview_Inventory[[#This Row],[quality]],Lookups!$H$2:$J$14,3,FALSE),0)</f>
        <v>2251</v>
      </c>
      <c r="BK2511" s="6">
        <f>_xlfn.IFNA(VLOOKUP(Grandview_Inventory[[#This Row],[condition]],Lookups!$H$17:$J$24,3,FALSE),0)</f>
        <v>-45357</v>
      </c>
      <c r="BL2511" s="6">
        <f>Grandview_Inventory[[#This Row],[Eff_Age]]*Lookups!$B$14</f>
        <v>-11719.163399999999</v>
      </c>
      <c r="BM2511" s="6">
        <f>Grandview_Inventory[[#This Row],[living_area]]*Lookups!$B$15</f>
        <v>65998.942473999996</v>
      </c>
      <c r="BN2511" s="6">
        <f>Grandview_Inventory[[#This Row],[Fin BSMT]]*Lookups!$B$16</f>
        <v>0</v>
      </c>
      <c r="BO2511" s="6">
        <f>(Grandview_Inventory[[#This Row],[att_gar]]+Grandview_Inventory[[#This Row],[bltin_gar]])*Lookups!$B$17</f>
        <v>0</v>
      </c>
      <c r="BP2511" s="6">
        <f>Grandview_Inventory[[#This Row],[Plumbing Fixtures]]*Lookups!$B$18</f>
        <v>10052.209000000001</v>
      </c>
      <c r="BQ2511" s="6">
        <f>Grandview_Inventory[[#This Row],[detatched_value]]*Lookups!$B$19</f>
        <v>2625.0958099999998</v>
      </c>
      <c r="BR2511" s="6">
        <f>SUM(Grandview_Inventory[[#This Row],[Intercept]:[det_value]])*Grandview_Inventory[[#This Row],[res_pct]]</f>
        <v>179685.033884</v>
      </c>
      <c r="BS2511" s="6">
        <f>Grandview_Inventory[[#This Row],[land_value]]</f>
        <v>64035.327740000917</v>
      </c>
      <c r="BT2511" s="4">
        <f>_xlfn.IFNA(VLOOKUP(Grandview_Inventory[[#This Row],[quality]],Lookups!$A$26:$C$33,3,FALSE),1)</f>
        <v>0.98763855981004833</v>
      </c>
      <c r="BU2511" s="4">
        <f>_xlfn.IFNA(VLOOKUP(Grandview_Inventory[[#This Row],[condition]],Lookups!$A$37:$C$44,3,FALSE),1)</f>
        <v>0.97161819570155394</v>
      </c>
      <c r="BV2511" s="4">
        <f>IF(Grandview_Inventory[[#This Row],[bldg_style]]="",1,_xlfn.IFNA(VLOOKUP(Grandview_Inventory[[#This Row],[decade]],Lookups!$F$29:$H$43,3,FALSE),1))</f>
        <v>0.99472141305414818</v>
      </c>
      <c r="BW2511" s="4">
        <f>_xlfn.IFNA(VLOOKUP(Grandview_Inventory[[#This Row],[living_area_range]],Lookups!$F$47:$H$56,3,FALSE),1)</f>
        <v>0.96135087979789358</v>
      </c>
      <c r="BX2511" s="4">
        <f>AVERAGE(Grandview_Inventory[[#This Row],[qual_adj]:[size_adj]])</f>
        <v>0.97883226209091101</v>
      </c>
      <c r="BY2511" s="6">
        <f>IF(Grandview_Inventory[[#This Row],[pre_res]]&lt;0,0,Grandview_Inventory[[#This Row],[pre_res]]*Grandview_Inventory[[#This Row],[overall_adj]])</f>
        <v>175881.50818055772</v>
      </c>
      <c r="BZ2511" s="6">
        <f>(Grandview_Inventory[[#This Row],[sum_land]]-IF(Grandview_Inventory[[#This Row],[no_utilities]]=1,12000,0))/IF(Grandview_Inventory[[#This Row],[unbuildable]]=1,2,1)</f>
        <v>64035.327740000917</v>
      </c>
      <c r="CA2511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2511">
        <f>ROUND(Grandview_Inventory[[#This Row],[det_value]]*Lookups!$M$28,-2)</f>
        <v>2500</v>
      </c>
      <c r="CC2511">
        <f>IF(ROUND(Grandview_Inventory[[#This Row],[adj_res]]*Lookups!$M$28,-2)&lt;Grandview_Inventory[[#This Row],[min_res]],Grandview_Inventory[[#This Row],[min_res]],ROUND(Grandview_Inventory[[#This Row],[adj_res]]*Lookups!$M$28,-2))</f>
        <v>167100</v>
      </c>
      <c r="CD2511">
        <f>Grandview_Inventory[[#This Row],[final_det]]+Grandview_Inventory[[#This Row],[final_res]]</f>
        <v>169600</v>
      </c>
      <c r="CE2511">
        <f>Grandview_Inventory[[#This Row],[final_land]]+Grandview_Inventory[[#This Row],[final_imp]]+Grandview_Inventory[[#This Row],[crop_value]]</f>
        <v>230400</v>
      </c>
      <c r="CG2511" t="str">
        <f t="shared" si="39"/>
        <v>update valuation set market_land =60800, market_bldg=169600, market_total =230400, market_mdno =401, market_date ='9/10/2023' where link_id = (select link_id from parcel where parcel_year = '2024' and parcel_id = '23092811417');</v>
      </c>
    </row>
    <row r="2512" spans="1:85" x14ac:dyDescent="0.25">
      <c r="A2512">
        <v>23092811423</v>
      </c>
      <c r="B2512">
        <v>2.92</v>
      </c>
      <c r="C2512">
        <v>126997</v>
      </c>
      <c r="D2512" t="s">
        <v>129</v>
      </c>
      <c r="E2512" t="s">
        <v>53</v>
      </c>
      <c r="F2512" t="s">
        <v>53</v>
      </c>
      <c r="G2512">
        <v>4</v>
      </c>
      <c r="H2512" t="s">
        <v>54</v>
      </c>
      <c r="I2512">
        <v>318700</v>
      </c>
      <c r="J2512">
        <v>52200</v>
      </c>
      <c r="K2512">
        <v>2.92</v>
      </c>
      <c r="L2512">
        <f>IF(Grandview_Inventory[[#This Row],[parcel_acres]]-Grandview_Inventory[[#This Row],[non_valued_acres]] =0,0,LN(Grandview_Inventory[[#This Row],[parcel_acres]]-Grandview_Inventory[[#This Row],[non_valued_acres]]))</f>
        <v>1.0715836162801904</v>
      </c>
      <c r="M2512">
        <v>0</v>
      </c>
      <c r="N2512">
        <v>0</v>
      </c>
      <c r="O2512">
        <v>0</v>
      </c>
      <c r="P2512">
        <v>13398.7528</v>
      </c>
      <c r="Q2512">
        <v>63903</v>
      </c>
      <c r="R2512">
        <f>(Grandview_Inventory[[#This Row],[ln_acres]]*Grandview_Inventory[[#This Row],[coeff]])+Grandview_Inventory[[#This Row],[const]]</f>
        <v>78260.883979068327</v>
      </c>
      <c r="S2512" t="s">
        <v>58</v>
      </c>
      <c r="T2512">
        <v>2</v>
      </c>
      <c r="U2512" t="s">
        <v>56</v>
      </c>
      <c r="V2512" t="s">
        <v>69</v>
      </c>
      <c r="W2512">
        <v>30700</v>
      </c>
      <c r="X2512">
        <v>0</v>
      </c>
      <c r="Y2512">
        <v>25</v>
      </c>
      <c r="Z2512">
        <v>25</v>
      </c>
      <c r="AA2512">
        <v>30</v>
      </c>
      <c r="AB2512">
        <v>3500</v>
      </c>
      <c r="AC2512">
        <v>3137</v>
      </c>
      <c r="AD2512">
        <v>1656</v>
      </c>
      <c r="AE2512">
        <v>1481</v>
      </c>
      <c r="AF2512">
        <v>0</v>
      </c>
      <c r="AG2512">
        <v>0</v>
      </c>
      <c r="AH2512">
        <v>0</v>
      </c>
      <c r="AI2512">
        <v>0</v>
      </c>
      <c r="AJ2512">
        <v>577</v>
      </c>
      <c r="AK2512">
        <v>0</v>
      </c>
      <c r="AL2512">
        <v>582</v>
      </c>
      <c r="AM2512">
        <v>0</v>
      </c>
      <c r="AN2512">
        <v>104</v>
      </c>
      <c r="AO2512">
        <v>0</v>
      </c>
      <c r="AP2512">
        <v>15</v>
      </c>
      <c r="AQ2512">
        <v>0</v>
      </c>
      <c r="AR2512">
        <v>0</v>
      </c>
      <c r="AS2512" t="s">
        <v>58</v>
      </c>
      <c r="AT2512">
        <v>1</v>
      </c>
      <c r="AU2512" t="s">
        <v>63</v>
      </c>
      <c r="AV2512" t="s">
        <v>60</v>
      </c>
      <c r="AW2512">
        <v>1</v>
      </c>
      <c r="AX2512">
        <v>5</v>
      </c>
      <c r="AY2512">
        <v>0</v>
      </c>
      <c r="AZ2512">
        <v>42400</v>
      </c>
      <c r="BA2512">
        <v>100</v>
      </c>
      <c r="BB2512">
        <v>100</v>
      </c>
      <c r="BC2512">
        <v>100</v>
      </c>
      <c r="BD2512">
        <v>100</v>
      </c>
      <c r="BE2512">
        <v>1</v>
      </c>
      <c r="BF2512">
        <v>15000</v>
      </c>
      <c r="BG2512">
        <v>1000</v>
      </c>
      <c r="BH2512" s="6">
        <f>Grandview_Inventory[[#This Row],[land_extract]]*Lookups!$B$3</f>
        <v>90884.153260505307</v>
      </c>
      <c r="BI2512" s="6">
        <f>IF(Grandview_Inventory[[#This Row],[bldg_style]]="",0,Lookups!$B$2)</f>
        <v>155833.95000000001</v>
      </c>
      <c r="BJ2512" s="6">
        <f>_xlfn.IFNA(VLOOKUP(Grandview_Inventory[[#This Row],[quality]],Lookups!$H$2:$J$14,3,FALSE),0)</f>
        <v>56323</v>
      </c>
      <c r="BK2512" s="6">
        <f>_xlfn.IFNA(VLOOKUP(Grandview_Inventory[[#This Row],[condition]],Lookups!$H$17:$J$24,3,FALSE),0)</f>
        <v>-4503</v>
      </c>
      <c r="BL2512" s="6">
        <f>Grandview_Inventory[[#This Row],[Eff_Age]]*Lookups!$B$14</f>
        <v>-5979.165</v>
      </c>
      <c r="BM2512" s="6">
        <f>Grandview_Inventory[[#This Row],[living_area]]*Lookups!$B$15</f>
        <v>195688.73586099999</v>
      </c>
      <c r="BN2512" s="6">
        <f>Grandview_Inventory[[#This Row],[Fin BSMT]]*Lookups!$B$16</f>
        <v>0</v>
      </c>
      <c r="BO2512" s="6">
        <f>(Grandview_Inventory[[#This Row],[att_gar]]+Grandview_Inventory[[#This Row],[bltin_gar]])*Lookups!$B$17</f>
        <v>50499.292149000001</v>
      </c>
      <c r="BP2512" s="6">
        <f>Grandview_Inventory[[#This Row],[Plumbing Fixtures]]*Lookups!$B$18</f>
        <v>30156.627</v>
      </c>
      <c r="BQ2512" s="6">
        <f>Grandview_Inventory[[#This Row],[detatched_value]]*Lookups!$B$19</f>
        <v>35904.536240000001</v>
      </c>
      <c r="BR2512" s="6">
        <f>SUM(Grandview_Inventory[[#This Row],[Intercept]:[det_value]])*Grandview_Inventory[[#This Row],[res_pct]]</f>
        <v>513923.97624999995</v>
      </c>
      <c r="BS2512" s="6">
        <f>Grandview_Inventory[[#This Row],[land_value]]</f>
        <v>90884.153260505307</v>
      </c>
      <c r="BT2512" s="4">
        <f>_xlfn.IFNA(VLOOKUP(Grandview_Inventory[[#This Row],[quality]],Lookups!$A$26:$C$33,3,FALSE),1)</f>
        <v>0.76437650671582003</v>
      </c>
      <c r="BU2512" s="4">
        <f>_xlfn.IFNA(VLOOKUP(Grandview_Inventory[[#This Row],[condition]],Lookups!$A$37:$C$44,3,FALSE),1)</f>
        <v>0.96469275950863709</v>
      </c>
      <c r="BV2512" s="4">
        <f>IF(Grandview_Inventory[[#This Row],[bldg_style]]="",1,_xlfn.IFNA(VLOOKUP(Grandview_Inventory[[#This Row],[decade]],Lookups!$F$29:$H$43,3,FALSE),1))</f>
        <v>0.98397821291089549</v>
      </c>
      <c r="BW2512" s="4">
        <f>_xlfn.IFNA(VLOOKUP(Grandview_Inventory[[#This Row],[living_area_range]],Lookups!$F$47:$H$56,3,FALSE),1)</f>
        <v>1.0170112215140563</v>
      </c>
      <c r="BX2512" s="4">
        <f>AVERAGE(Grandview_Inventory[[#This Row],[qual_adj]:[size_adj]])</f>
        <v>0.93251467516235231</v>
      </c>
      <c r="BY2512" s="6">
        <f>IF(Grandview_Inventory[[#This Row],[pre_res]]&lt;0,0,Grandview_Inventory[[#This Row],[pre_res]]*Grandview_Inventory[[#This Row],[overall_adj]])</f>
        <v>479241.64977091318</v>
      </c>
      <c r="BZ2512" s="6">
        <f>(Grandview_Inventory[[#This Row],[sum_land]]-IF(Grandview_Inventory[[#This Row],[no_utilities]]=1,12000,0))/IF(Grandview_Inventory[[#This Row],[unbuildable]]=1,2,1)</f>
        <v>90884.153260505307</v>
      </c>
      <c r="CA2512">
        <f>IF(ROUND(Grandview_Inventory[[#This Row],[adj_land]]*Lookups!$M$28,-2)&lt;Grandview_Inventory[[#This Row],[min_land]],Grandview_Inventory[[#This Row],[min_land]],ROUND(Grandview_Inventory[[#This Row],[adj_land]]*Lookups!$M$28,-2))</f>
        <v>86300</v>
      </c>
      <c r="CB2512">
        <f>ROUND(Grandview_Inventory[[#This Row],[det_value]]*Lookups!$M$28,-2)</f>
        <v>34100</v>
      </c>
      <c r="CC2512">
        <f>IF(ROUND(Grandview_Inventory[[#This Row],[adj_res]]*Lookups!$M$28,-2)&lt;Grandview_Inventory[[#This Row],[min_res]],Grandview_Inventory[[#This Row],[min_res]],ROUND(Grandview_Inventory[[#This Row],[adj_res]]*Lookups!$M$28,-2))</f>
        <v>455300</v>
      </c>
      <c r="CD2512">
        <f>Grandview_Inventory[[#This Row],[final_det]]+Grandview_Inventory[[#This Row],[final_res]]</f>
        <v>489400</v>
      </c>
      <c r="CE2512">
        <f>Grandview_Inventory[[#This Row],[final_land]]+Grandview_Inventory[[#This Row],[final_imp]]+Grandview_Inventory[[#This Row],[crop_value]]</f>
        <v>575700</v>
      </c>
      <c r="CG2512" t="str">
        <f t="shared" si="39"/>
        <v>update valuation set market_land =86300, market_bldg=489400, market_total =575700, market_mdno =401, market_date ='9/10/2023' where link_id = (select link_id from parcel where parcel_year = '2024' and parcel_id = '23092811423');</v>
      </c>
    </row>
    <row r="2513" spans="1:85" x14ac:dyDescent="0.25">
      <c r="A2513">
        <v>23092811424</v>
      </c>
      <c r="B2513">
        <v>2</v>
      </c>
      <c r="C2513" t="s">
        <v>129</v>
      </c>
      <c r="D2513" t="s">
        <v>129</v>
      </c>
      <c r="E2513" t="s">
        <v>53</v>
      </c>
      <c r="F2513" t="s">
        <v>53</v>
      </c>
      <c r="G2513">
        <v>4</v>
      </c>
      <c r="H2513" t="s">
        <v>54</v>
      </c>
      <c r="I2513">
        <v>317600</v>
      </c>
      <c r="J2513">
        <v>45800</v>
      </c>
      <c r="K2513">
        <v>2</v>
      </c>
      <c r="L2513">
        <f>IF(Grandview_Inventory[[#This Row],[parcel_acres]]-Grandview_Inventory[[#This Row],[non_valued_acres]] =0,0,LN(Grandview_Inventory[[#This Row],[parcel_acres]]-Grandview_Inventory[[#This Row],[non_valued_acres]]))</f>
        <v>0.69314718055994529</v>
      </c>
      <c r="M2513">
        <v>0</v>
      </c>
      <c r="N2513">
        <v>0</v>
      </c>
      <c r="O2513">
        <v>0</v>
      </c>
      <c r="P2513">
        <v>13398.7528</v>
      </c>
      <c r="Q2513">
        <v>63903</v>
      </c>
      <c r="R2513">
        <f>(Grandview_Inventory[[#This Row],[ln_acres]]*Grandview_Inventory[[#This Row],[coeff]])+Grandview_Inventory[[#This Row],[const]]</f>
        <v>73190.30772633967</v>
      </c>
      <c r="S2513" t="s">
        <v>58</v>
      </c>
      <c r="T2513">
        <v>1</v>
      </c>
      <c r="U2513" t="s">
        <v>64</v>
      </c>
      <c r="V2513" t="s">
        <v>69</v>
      </c>
      <c r="W2513">
        <v>0</v>
      </c>
      <c r="X2513">
        <v>0</v>
      </c>
      <c r="Y2513">
        <v>28</v>
      </c>
      <c r="Z2513">
        <v>28</v>
      </c>
      <c r="AA2513">
        <v>30</v>
      </c>
      <c r="AB2513">
        <v>3000</v>
      </c>
      <c r="AC2513">
        <v>2820</v>
      </c>
      <c r="AD2513">
        <v>2820</v>
      </c>
      <c r="AE2513">
        <v>0</v>
      </c>
      <c r="AF2513">
        <v>0</v>
      </c>
      <c r="AG2513">
        <v>0</v>
      </c>
      <c r="AH2513">
        <v>0</v>
      </c>
      <c r="AI2513">
        <v>870</v>
      </c>
      <c r="AJ2513">
        <v>0</v>
      </c>
      <c r="AK2513">
        <v>0</v>
      </c>
      <c r="AL2513">
        <v>0</v>
      </c>
      <c r="AM2513">
        <v>0</v>
      </c>
      <c r="AN2513">
        <v>748</v>
      </c>
      <c r="AO2513">
        <v>0</v>
      </c>
      <c r="AP2513">
        <v>12</v>
      </c>
      <c r="AQ2513">
        <v>0</v>
      </c>
      <c r="AR2513">
        <v>0</v>
      </c>
      <c r="AS2513" t="s">
        <v>58</v>
      </c>
      <c r="AT2513">
        <v>1</v>
      </c>
      <c r="AU2513" t="s">
        <v>59</v>
      </c>
      <c r="AV2513" t="s">
        <v>60</v>
      </c>
      <c r="AW2513">
        <v>1</v>
      </c>
      <c r="AX2513">
        <v>4</v>
      </c>
      <c r="AY2513">
        <v>0</v>
      </c>
      <c r="AZ2513">
        <v>0</v>
      </c>
      <c r="BA2513">
        <v>100</v>
      </c>
      <c r="BB2513">
        <v>100</v>
      </c>
      <c r="BC2513">
        <v>100</v>
      </c>
      <c r="BD2513">
        <v>100</v>
      </c>
      <c r="BE2513">
        <v>1</v>
      </c>
      <c r="BF2513">
        <v>15000</v>
      </c>
      <c r="BG2513">
        <v>1000</v>
      </c>
      <c r="BH2513" s="6">
        <f>Grandview_Inventory[[#This Row],[land_extract]]*Lookups!$B$3</f>
        <v>84995.706748767392</v>
      </c>
      <c r="BI2513" s="6">
        <f>IF(Grandview_Inventory[[#This Row],[bldg_style]]="",0,Lookups!$B$2)</f>
        <v>155833.95000000001</v>
      </c>
      <c r="BJ2513" s="6">
        <f>_xlfn.IFNA(VLOOKUP(Grandview_Inventory[[#This Row],[quality]],Lookups!$H$2:$J$14,3,FALSE),0)</f>
        <v>20768</v>
      </c>
      <c r="BK2513" s="6">
        <f>_xlfn.IFNA(VLOOKUP(Grandview_Inventory[[#This Row],[condition]],Lookups!$H$17:$J$24,3,FALSE),0)</f>
        <v>-4503</v>
      </c>
      <c r="BL2513" s="6">
        <f>Grandview_Inventory[[#This Row],[Eff_Age]]*Lookups!$B$14</f>
        <v>-6696.6647999999996</v>
      </c>
      <c r="BM2513" s="6">
        <f>Grandview_Inventory[[#This Row],[living_area]]*Lookups!$B$15</f>
        <v>175914.00546000001</v>
      </c>
      <c r="BN2513" s="6">
        <f>Grandview_Inventory[[#This Row],[Fin BSMT]]*Lookups!$B$16</f>
        <v>0</v>
      </c>
      <c r="BO2513" s="6">
        <f>(Grandview_Inventory[[#This Row],[att_gar]]+Grandview_Inventory[[#This Row],[bltin_gar]])*Lookups!$B$17</f>
        <v>76142.780190000005</v>
      </c>
      <c r="BP2513" s="6">
        <f>Grandview_Inventory[[#This Row],[Plumbing Fixtures]]*Lookups!$B$18</f>
        <v>24125.301599999999</v>
      </c>
      <c r="BQ2513" s="6">
        <f>Grandview_Inventory[[#This Row],[detatched_value]]*Lookups!$B$19</f>
        <v>0</v>
      </c>
      <c r="BR2513" s="6">
        <f>SUM(Grandview_Inventory[[#This Row],[Intercept]:[det_value]])*Grandview_Inventory[[#This Row],[res_pct]]</f>
        <v>441584.37245000008</v>
      </c>
      <c r="BS2513" s="6">
        <f>Grandview_Inventory[[#This Row],[land_value]]</f>
        <v>84995.706748767392</v>
      </c>
      <c r="BT2513" s="4">
        <f>_xlfn.IFNA(VLOOKUP(Grandview_Inventory[[#This Row],[quality]],Lookups!$A$26:$C$33,3,FALSE),1)</f>
        <v>0.94960540378902636</v>
      </c>
      <c r="BU2513" s="4">
        <f>_xlfn.IFNA(VLOOKUP(Grandview_Inventory[[#This Row],[condition]],Lookups!$A$37:$C$44,3,FALSE),1)</f>
        <v>0.96469275950863709</v>
      </c>
      <c r="BV2513" s="4">
        <f>IF(Grandview_Inventory[[#This Row],[bldg_style]]="",1,_xlfn.IFNA(VLOOKUP(Grandview_Inventory[[#This Row],[decade]],Lookups!$F$29:$H$43,3,FALSE),1))</f>
        <v>0.98397821291089549</v>
      </c>
      <c r="BW2513" s="4">
        <f>_xlfn.IFNA(VLOOKUP(Grandview_Inventory[[#This Row],[living_area_range]],Lookups!$F$47:$H$56,3,FALSE),1)</f>
        <v>0.94224801443562123</v>
      </c>
      <c r="BX2513" s="4">
        <f>AVERAGE(Grandview_Inventory[[#This Row],[qual_adj]:[size_adj]])</f>
        <v>0.9601310976610451</v>
      </c>
      <c r="BY2513" s="6">
        <f>IF(Grandview_Inventory[[#This Row],[pre_res]]&lt;0,0,Grandview_Inventory[[#This Row],[pre_res]]*Grandview_Inventory[[#This Row],[overall_adj]])</f>
        <v>423978.88823038235</v>
      </c>
      <c r="BZ2513" s="6">
        <f>(Grandview_Inventory[[#This Row],[sum_land]]-IF(Grandview_Inventory[[#This Row],[no_utilities]]=1,12000,0))/IF(Grandview_Inventory[[#This Row],[unbuildable]]=1,2,1)</f>
        <v>84995.706748767392</v>
      </c>
      <c r="CA2513">
        <f>IF(ROUND(Grandview_Inventory[[#This Row],[adj_land]]*Lookups!$M$28,-2)&lt;Grandview_Inventory[[#This Row],[min_land]],Grandview_Inventory[[#This Row],[min_land]],ROUND(Grandview_Inventory[[#This Row],[adj_land]]*Lookups!$M$28,-2))</f>
        <v>80700</v>
      </c>
      <c r="CB2513">
        <f>ROUND(Grandview_Inventory[[#This Row],[det_value]]*Lookups!$M$28,-2)</f>
        <v>0</v>
      </c>
      <c r="CC2513">
        <f>IF(ROUND(Grandview_Inventory[[#This Row],[adj_res]]*Lookups!$M$28,-2)&lt;Grandview_Inventory[[#This Row],[min_res]],Grandview_Inventory[[#This Row],[min_res]],ROUND(Grandview_Inventory[[#This Row],[adj_res]]*Lookups!$M$28,-2))</f>
        <v>402800</v>
      </c>
      <c r="CD2513">
        <f>Grandview_Inventory[[#This Row],[final_det]]+Grandview_Inventory[[#This Row],[final_res]]</f>
        <v>402800</v>
      </c>
      <c r="CE2513">
        <f>Grandview_Inventory[[#This Row],[final_land]]+Grandview_Inventory[[#This Row],[final_imp]]+Grandview_Inventory[[#This Row],[crop_value]]</f>
        <v>483500</v>
      </c>
      <c r="CG2513" t="str">
        <f t="shared" si="39"/>
        <v>update valuation set market_land =80700, market_bldg=402800, market_total =483500, market_mdno =401, market_date ='9/10/2023' where link_id = (select link_id from parcel where parcel_year = '2024' and parcel_id = '23092811424');</v>
      </c>
    </row>
    <row r="2514" spans="1:85" x14ac:dyDescent="0.25">
      <c r="A2514">
        <v>23092811427</v>
      </c>
      <c r="B2514">
        <v>2.86</v>
      </c>
      <c r="C2514" t="s">
        <v>129</v>
      </c>
      <c r="D2514" t="s">
        <v>129</v>
      </c>
      <c r="E2514" t="s">
        <v>53</v>
      </c>
      <c r="F2514" t="s">
        <v>53</v>
      </c>
      <c r="G2514">
        <v>4</v>
      </c>
      <c r="H2514" t="s">
        <v>54</v>
      </c>
      <c r="I2514">
        <v>204400</v>
      </c>
      <c r="J2514">
        <v>47200</v>
      </c>
      <c r="K2514">
        <v>2.86</v>
      </c>
      <c r="L2514">
        <f>IF(Grandview_Inventory[[#This Row],[parcel_acres]]-Grandview_Inventory[[#This Row],[non_valued_acres]] =0,0,LN(Grandview_Inventory[[#This Row],[parcel_acres]]-Grandview_Inventory[[#This Row],[non_valued_acres]]))</f>
        <v>1.0508216248317612</v>
      </c>
      <c r="M2514">
        <v>0</v>
      </c>
      <c r="N2514">
        <v>0</v>
      </c>
      <c r="O2514">
        <v>0</v>
      </c>
      <c r="P2514">
        <v>13398.7528</v>
      </c>
      <c r="Q2514">
        <v>63903</v>
      </c>
      <c r="R2514">
        <f>(Grandview_Inventory[[#This Row],[ln_acres]]*Grandview_Inventory[[#This Row],[coeff]])+Grandview_Inventory[[#This Row],[const]]</f>
        <v>77982.699188015104</v>
      </c>
      <c r="S2514" t="s">
        <v>68</v>
      </c>
      <c r="T2514">
        <v>1</v>
      </c>
      <c r="U2514" t="s">
        <v>64</v>
      </c>
      <c r="V2514" t="s">
        <v>69</v>
      </c>
      <c r="W2514">
        <v>0</v>
      </c>
      <c r="X2514">
        <v>0</v>
      </c>
      <c r="Y2514">
        <v>49</v>
      </c>
      <c r="Z2514">
        <v>66</v>
      </c>
      <c r="AA2514">
        <v>70</v>
      </c>
      <c r="AB2514">
        <v>1500</v>
      </c>
      <c r="AC2514">
        <v>1464</v>
      </c>
      <c r="AD2514">
        <v>1464</v>
      </c>
      <c r="AE2514">
        <v>0</v>
      </c>
      <c r="AF2514">
        <v>0</v>
      </c>
      <c r="AG2514">
        <v>0</v>
      </c>
      <c r="AH2514">
        <v>732</v>
      </c>
      <c r="AI2514">
        <v>0</v>
      </c>
      <c r="AJ2514">
        <v>0</v>
      </c>
      <c r="AK2514">
        <v>0</v>
      </c>
      <c r="AL2514">
        <v>0</v>
      </c>
      <c r="AM2514">
        <v>352</v>
      </c>
      <c r="AN2514">
        <v>30</v>
      </c>
      <c r="AO2514">
        <v>352</v>
      </c>
      <c r="AP2514">
        <v>8</v>
      </c>
      <c r="AQ2514">
        <v>0</v>
      </c>
      <c r="AR2514">
        <v>1</v>
      </c>
      <c r="AS2514" t="s">
        <v>71</v>
      </c>
      <c r="AT2514">
        <v>1</v>
      </c>
      <c r="AU2514" t="s">
        <v>75</v>
      </c>
      <c r="AV2514" t="s">
        <v>60</v>
      </c>
      <c r="AW2514">
        <v>0</v>
      </c>
      <c r="AX2514">
        <v>3</v>
      </c>
      <c r="AY2514">
        <v>0</v>
      </c>
      <c r="AZ2514">
        <v>35300</v>
      </c>
      <c r="BA2514">
        <v>100</v>
      </c>
      <c r="BB2514">
        <v>100</v>
      </c>
      <c r="BC2514">
        <v>100</v>
      </c>
      <c r="BD2514">
        <v>100</v>
      </c>
      <c r="BE2514">
        <v>1</v>
      </c>
      <c r="BF2514">
        <v>15000</v>
      </c>
      <c r="BG2514">
        <v>1000</v>
      </c>
      <c r="BH2514" s="6">
        <f>Grandview_Inventory[[#This Row],[land_extract]]*Lookups!$B$3</f>
        <v>90561.098013754134</v>
      </c>
      <c r="BI2514" s="6">
        <f>IF(Grandview_Inventory[[#This Row],[bldg_style]]="",0,Lookups!$B$2)</f>
        <v>155833.95000000001</v>
      </c>
      <c r="BJ2514" s="6">
        <f>_xlfn.IFNA(VLOOKUP(Grandview_Inventory[[#This Row],[quality]],Lookups!$H$2:$J$14,3,FALSE),0)</f>
        <v>20768</v>
      </c>
      <c r="BK2514" s="6">
        <f>_xlfn.IFNA(VLOOKUP(Grandview_Inventory[[#This Row],[condition]],Lookups!$H$17:$J$24,3,FALSE),0)</f>
        <v>-4503</v>
      </c>
      <c r="BL2514" s="6">
        <f>Grandview_Inventory[[#This Row],[Eff_Age]]*Lookups!$B$14</f>
        <v>-11719.163399999999</v>
      </c>
      <c r="BM2514" s="6">
        <f>Grandview_Inventory[[#This Row],[living_area]]*Lookups!$B$15</f>
        <v>91325.568792000005</v>
      </c>
      <c r="BN2514" s="6">
        <f>Grandview_Inventory[[#This Row],[Fin BSMT]]*Lookups!$B$16</f>
        <v>0</v>
      </c>
      <c r="BO2514" s="6">
        <f>(Grandview_Inventory[[#This Row],[att_gar]]+Grandview_Inventory[[#This Row],[bltin_gar]])*Lookups!$B$17</f>
        <v>0</v>
      </c>
      <c r="BP2514" s="6">
        <f>Grandview_Inventory[[#This Row],[Plumbing Fixtures]]*Lookups!$B$18</f>
        <v>16083.5344</v>
      </c>
      <c r="BQ2514" s="6">
        <f>Grandview_Inventory[[#This Row],[detatched_value]]*Lookups!$B$19</f>
        <v>29892.22003</v>
      </c>
      <c r="BR2514" s="6">
        <f>SUM(Grandview_Inventory[[#This Row],[Intercept]:[det_value]])*Grandview_Inventory[[#This Row],[res_pct]]</f>
        <v>297681.10982200003</v>
      </c>
      <c r="BS2514" s="6">
        <f>Grandview_Inventory[[#This Row],[land_value]]</f>
        <v>90561.098013754134</v>
      </c>
      <c r="BT2514" s="4">
        <f>_xlfn.IFNA(VLOOKUP(Grandview_Inventory[[#This Row],[quality]],Lookups!$A$26:$C$33,3,FALSE),1)</f>
        <v>0.94960540378902636</v>
      </c>
      <c r="BU2514" s="4">
        <f>_xlfn.IFNA(VLOOKUP(Grandview_Inventory[[#This Row],[condition]],Lookups!$A$37:$C$44,3,FALSE),1)</f>
        <v>0.96469275950863709</v>
      </c>
      <c r="BV2514" s="4">
        <f>IF(Grandview_Inventory[[#This Row],[bldg_style]]="",1,_xlfn.IFNA(VLOOKUP(Grandview_Inventory[[#This Row],[decade]],Lookups!$F$29:$H$43,3,FALSE),1))</f>
        <v>0.99472141305414818</v>
      </c>
      <c r="BW2514" s="4">
        <f>_xlfn.IFNA(VLOOKUP(Grandview_Inventory[[#This Row],[living_area_range]],Lookups!$F$47:$H$56,3,FALSE),1)</f>
        <v>0.96135087979789358</v>
      </c>
      <c r="BX2514" s="4">
        <f>AVERAGE(Grandview_Inventory[[#This Row],[qual_adj]:[size_adj]])</f>
        <v>0.96759261403742625</v>
      </c>
      <c r="BY2514" s="6">
        <f>IF(Grandview_Inventory[[#This Row],[pre_res]]&lt;0,0,Grandview_Inventory[[#This Row],[pre_res]]*Grandview_Inventory[[#This Row],[overall_adj]])</f>
        <v>288034.04320223117</v>
      </c>
      <c r="BZ2514" s="6">
        <f>(Grandview_Inventory[[#This Row],[sum_land]]-IF(Grandview_Inventory[[#This Row],[no_utilities]]=1,12000,0))/IF(Grandview_Inventory[[#This Row],[unbuildable]]=1,2,1)</f>
        <v>90561.098013754134</v>
      </c>
      <c r="CA2514">
        <f>IF(ROUND(Grandview_Inventory[[#This Row],[adj_land]]*Lookups!$M$28,-2)&lt;Grandview_Inventory[[#This Row],[min_land]],Grandview_Inventory[[#This Row],[min_land]],ROUND(Grandview_Inventory[[#This Row],[adj_land]]*Lookups!$M$28,-2))</f>
        <v>86000</v>
      </c>
      <c r="CB2514">
        <f>ROUND(Grandview_Inventory[[#This Row],[det_value]]*Lookups!$M$28,-2)</f>
        <v>28400</v>
      </c>
      <c r="CC2514">
        <f>IF(ROUND(Grandview_Inventory[[#This Row],[adj_res]]*Lookups!$M$28,-2)&lt;Grandview_Inventory[[#This Row],[min_res]],Grandview_Inventory[[#This Row],[min_res]],ROUND(Grandview_Inventory[[#This Row],[adj_res]]*Lookups!$M$28,-2))</f>
        <v>273600</v>
      </c>
      <c r="CD2514">
        <f>Grandview_Inventory[[#This Row],[final_det]]+Grandview_Inventory[[#This Row],[final_res]]</f>
        <v>302000</v>
      </c>
      <c r="CE2514">
        <f>Grandview_Inventory[[#This Row],[final_land]]+Grandview_Inventory[[#This Row],[final_imp]]+Grandview_Inventory[[#This Row],[crop_value]]</f>
        <v>388000</v>
      </c>
      <c r="CG2514" t="str">
        <f t="shared" si="39"/>
        <v>update valuation set market_land =86000, market_bldg=302000, market_total =388000, market_mdno =401, market_date ='9/10/2023' where link_id = (select link_id from parcel where parcel_year = '2024' and parcel_id = '23092811427');</v>
      </c>
    </row>
    <row r="2515" spans="1:85" x14ac:dyDescent="0.25">
      <c r="A2515">
        <v>23092811441</v>
      </c>
      <c r="B2515">
        <v>1.26</v>
      </c>
      <c r="C2515" t="s">
        <v>129</v>
      </c>
      <c r="D2515" t="s">
        <v>129</v>
      </c>
      <c r="E2515" t="s">
        <v>53</v>
      </c>
      <c r="F2515" t="s">
        <v>53</v>
      </c>
      <c r="G2515">
        <v>4</v>
      </c>
      <c r="H2515" t="s">
        <v>54</v>
      </c>
      <c r="I2515">
        <v>275900</v>
      </c>
      <c r="J2515">
        <v>44400</v>
      </c>
      <c r="K2515">
        <v>1.26</v>
      </c>
      <c r="L2515">
        <f>IF(Grandview_Inventory[[#This Row],[parcel_acres]]-Grandview_Inventory[[#This Row],[non_valued_acres]] =0,0,LN(Grandview_Inventory[[#This Row],[parcel_acres]]-Grandview_Inventory[[#This Row],[non_valued_acres]]))</f>
        <v>0.23111172096338664</v>
      </c>
      <c r="M2515">
        <v>0</v>
      </c>
      <c r="N2515">
        <v>0</v>
      </c>
      <c r="O2515">
        <v>0</v>
      </c>
      <c r="P2515">
        <v>13398.7528</v>
      </c>
      <c r="Q2515">
        <v>63903</v>
      </c>
      <c r="R2515">
        <f>(Grandview_Inventory[[#This Row],[ln_acres]]*Grandview_Inventory[[#This Row],[coeff]])+Grandview_Inventory[[#This Row],[const]]</f>
        <v>66999.608818370994</v>
      </c>
      <c r="S2515" t="s">
        <v>58</v>
      </c>
      <c r="T2515">
        <v>2</v>
      </c>
      <c r="U2515" t="s">
        <v>64</v>
      </c>
      <c r="V2515" t="s">
        <v>69</v>
      </c>
      <c r="W2515">
        <v>0</v>
      </c>
      <c r="X2515">
        <v>0</v>
      </c>
      <c r="Y2515">
        <v>19</v>
      </c>
      <c r="Z2515">
        <v>19</v>
      </c>
      <c r="AA2515">
        <v>20</v>
      </c>
      <c r="AB2515">
        <v>2500</v>
      </c>
      <c r="AC2515">
        <v>2221</v>
      </c>
      <c r="AD2515">
        <v>2025</v>
      </c>
      <c r="AE2515">
        <v>196</v>
      </c>
      <c r="AF2515">
        <v>0</v>
      </c>
      <c r="AG2515">
        <v>0</v>
      </c>
      <c r="AH2515">
        <v>0</v>
      </c>
      <c r="AI2515">
        <v>720</v>
      </c>
      <c r="AJ2515">
        <v>0</v>
      </c>
      <c r="AK2515">
        <v>0</v>
      </c>
      <c r="AL2515">
        <v>192</v>
      </c>
      <c r="AM2515">
        <v>0</v>
      </c>
      <c r="AN2515">
        <v>381</v>
      </c>
      <c r="AO2515">
        <v>0</v>
      </c>
      <c r="AP2515">
        <v>10</v>
      </c>
      <c r="AQ2515">
        <v>0</v>
      </c>
      <c r="AR2515">
        <v>0</v>
      </c>
      <c r="AS2515" t="s">
        <v>58</v>
      </c>
      <c r="AT2515">
        <v>1</v>
      </c>
      <c r="AU2515" t="s">
        <v>63</v>
      </c>
      <c r="AV2515" t="s">
        <v>60</v>
      </c>
      <c r="AW2515">
        <v>1</v>
      </c>
      <c r="AX2515">
        <v>3</v>
      </c>
      <c r="AY2515">
        <v>0</v>
      </c>
      <c r="AZ2515">
        <v>0</v>
      </c>
      <c r="BA2515">
        <v>100</v>
      </c>
      <c r="BB2515">
        <v>100</v>
      </c>
      <c r="BC2515">
        <v>100</v>
      </c>
      <c r="BD2515">
        <v>100</v>
      </c>
      <c r="BE2515">
        <v>1</v>
      </c>
      <c r="BF2515">
        <v>15000</v>
      </c>
      <c r="BG2515">
        <v>1000</v>
      </c>
      <c r="BH2515" s="6">
        <f>Grandview_Inventory[[#This Row],[land_extract]]*Lookups!$B$3</f>
        <v>77806.464821830421</v>
      </c>
      <c r="BI2515" s="6">
        <f>IF(Grandview_Inventory[[#This Row],[bldg_style]]="",0,Lookups!$B$2)</f>
        <v>155833.95000000001</v>
      </c>
      <c r="BJ2515" s="6">
        <f>_xlfn.IFNA(VLOOKUP(Grandview_Inventory[[#This Row],[quality]],Lookups!$H$2:$J$14,3,FALSE),0)</f>
        <v>20768</v>
      </c>
      <c r="BK2515" s="6">
        <f>_xlfn.IFNA(VLOOKUP(Grandview_Inventory[[#This Row],[condition]],Lookups!$H$17:$J$24,3,FALSE),0)</f>
        <v>-4503</v>
      </c>
      <c r="BL2515" s="6">
        <f>Grandview_Inventory[[#This Row],[Eff_Age]]*Lookups!$B$14</f>
        <v>-4544.1653999999999</v>
      </c>
      <c r="BM2515" s="6">
        <f>Grandview_Inventory[[#This Row],[living_area]]*Lookups!$B$15</f>
        <v>138547.87451300002</v>
      </c>
      <c r="BN2515" s="6">
        <f>Grandview_Inventory[[#This Row],[Fin BSMT]]*Lookups!$B$16</f>
        <v>0</v>
      </c>
      <c r="BO2515" s="6">
        <f>(Grandview_Inventory[[#This Row],[att_gar]]+Grandview_Inventory[[#This Row],[bltin_gar]])*Lookups!$B$17</f>
        <v>63014.714639999998</v>
      </c>
      <c r="BP2515" s="6">
        <f>Grandview_Inventory[[#This Row],[Plumbing Fixtures]]*Lookups!$B$18</f>
        <v>20104.418000000001</v>
      </c>
      <c r="BQ2515" s="6">
        <f>Grandview_Inventory[[#This Row],[detatched_value]]*Lookups!$B$19</f>
        <v>0</v>
      </c>
      <c r="BR2515" s="6">
        <f>SUM(Grandview_Inventory[[#This Row],[Intercept]:[det_value]])*Grandview_Inventory[[#This Row],[res_pct]]</f>
        <v>389221.79175300006</v>
      </c>
      <c r="BS2515" s="6">
        <f>Grandview_Inventory[[#This Row],[land_value]]</f>
        <v>77806.464821830421</v>
      </c>
      <c r="BT2515" s="4">
        <f>_xlfn.IFNA(VLOOKUP(Grandview_Inventory[[#This Row],[quality]],Lookups!$A$26:$C$33,3,FALSE),1)</f>
        <v>0.94960540378902636</v>
      </c>
      <c r="BU2515" s="4">
        <f>_xlfn.IFNA(VLOOKUP(Grandview_Inventory[[#This Row],[condition]],Lookups!$A$37:$C$44,3,FALSE),1)</f>
        <v>0.96469275950863709</v>
      </c>
      <c r="BV2515" s="4">
        <f>IF(Grandview_Inventory[[#This Row],[bldg_style]]="",1,_xlfn.IFNA(VLOOKUP(Grandview_Inventory[[#This Row],[decade]],Lookups!$F$29:$H$43,3,FALSE),1))</f>
        <v>0.96737494181490646</v>
      </c>
      <c r="BW2515" s="4">
        <f>_xlfn.IFNA(VLOOKUP(Grandview_Inventory[[#This Row],[living_area_range]],Lookups!$F$47:$H$56,3,FALSE),1)</f>
        <v>0.95799442568048754</v>
      </c>
      <c r="BX2515" s="4">
        <f>AVERAGE(Grandview_Inventory[[#This Row],[qual_adj]:[size_adj]])</f>
        <v>0.95991688269826436</v>
      </c>
      <c r="BY2515" s="6">
        <f>IF(Grandview_Inventory[[#This Row],[pre_res]]&lt;0,0,Grandview_Inventory[[#This Row],[pre_res]]*Grandview_Inventory[[#This Row],[overall_adj]])</f>
        <v>373620.56901777285</v>
      </c>
      <c r="BZ2515" s="6">
        <f>(Grandview_Inventory[[#This Row],[sum_land]]-IF(Grandview_Inventory[[#This Row],[no_utilities]]=1,12000,0))/IF(Grandview_Inventory[[#This Row],[unbuildable]]=1,2,1)</f>
        <v>77806.464821830421</v>
      </c>
      <c r="CA2515">
        <f>IF(ROUND(Grandview_Inventory[[#This Row],[adj_land]]*Lookups!$M$28,-2)&lt;Grandview_Inventory[[#This Row],[min_land]],Grandview_Inventory[[#This Row],[min_land]],ROUND(Grandview_Inventory[[#This Row],[adj_land]]*Lookups!$M$28,-2))</f>
        <v>73900</v>
      </c>
      <c r="CB2515">
        <f>ROUND(Grandview_Inventory[[#This Row],[det_value]]*Lookups!$M$28,-2)</f>
        <v>0</v>
      </c>
      <c r="CC2515">
        <f>IF(ROUND(Grandview_Inventory[[#This Row],[adj_res]]*Lookups!$M$28,-2)&lt;Grandview_Inventory[[#This Row],[min_res]],Grandview_Inventory[[#This Row],[min_res]],ROUND(Grandview_Inventory[[#This Row],[adj_res]]*Lookups!$M$28,-2))</f>
        <v>354900</v>
      </c>
      <c r="CD2515">
        <f>Grandview_Inventory[[#This Row],[final_det]]+Grandview_Inventory[[#This Row],[final_res]]</f>
        <v>354900</v>
      </c>
      <c r="CE2515">
        <f>Grandview_Inventory[[#This Row],[final_land]]+Grandview_Inventory[[#This Row],[final_imp]]+Grandview_Inventory[[#This Row],[crop_value]]</f>
        <v>428800</v>
      </c>
      <c r="CG2515" t="str">
        <f t="shared" si="39"/>
        <v>update valuation set market_land =73900, market_bldg=354900, market_total =428800, market_mdno =401, market_date ='9/10/2023' where link_id = (select link_id from parcel where parcel_year = '2024' and parcel_id = '23092811441');</v>
      </c>
    </row>
    <row r="2516" spans="1:85" x14ac:dyDescent="0.25">
      <c r="A2516">
        <v>23092811442</v>
      </c>
      <c r="B2516">
        <v>0.76</v>
      </c>
      <c r="C2516" t="s">
        <v>129</v>
      </c>
      <c r="D2516" t="s">
        <v>129</v>
      </c>
      <c r="E2516" t="s">
        <v>53</v>
      </c>
      <c r="F2516" t="s">
        <v>53</v>
      </c>
      <c r="G2516">
        <v>4</v>
      </c>
      <c r="H2516" t="s">
        <v>54</v>
      </c>
      <c r="I2516">
        <v>224300</v>
      </c>
      <c r="J2516">
        <v>43100</v>
      </c>
      <c r="K2516">
        <v>0.76</v>
      </c>
      <c r="L2516">
        <f>IF(Grandview_Inventory[[#This Row],[parcel_acres]]-Grandview_Inventory[[#This Row],[non_valued_acres]] =0,0,LN(Grandview_Inventory[[#This Row],[parcel_acres]]-Grandview_Inventory[[#This Row],[non_valued_acres]]))</f>
        <v>-0.2744368457017603</v>
      </c>
      <c r="M2516">
        <v>0</v>
      </c>
      <c r="N2516">
        <v>0</v>
      </c>
      <c r="O2516">
        <v>0</v>
      </c>
      <c r="P2516">
        <v>13398.7528</v>
      </c>
      <c r="Q2516">
        <v>63903</v>
      </c>
      <c r="R2516">
        <f>(Grandview_Inventory[[#This Row],[ln_acres]]*Grandview_Inventory[[#This Row],[coeff]])+Grandview_Inventory[[#This Row],[const]]</f>
        <v>60225.888545230373</v>
      </c>
      <c r="S2516" t="s">
        <v>61</v>
      </c>
      <c r="T2516">
        <v>1</v>
      </c>
      <c r="U2516" t="s">
        <v>65</v>
      </c>
      <c r="V2516" t="s">
        <v>69</v>
      </c>
      <c r="W2516">
        <v>0</v>
      </c>
      <c r="X2516">
        <v>0</v>
      </c>
      <c r="Y2516">
        <v>49</v>
      </c>
      <c r="Z2516">
        <v>65</v>
      </c>
      <c r="AA2516">
        <v>70</v>
      </c>
      <c r="AB2516">
        <v>2500</v>
      </c>
      <c r="AC2516">
        <v>2182</v>
      </c>
      <c r="AD2516">
        <v>1451</v>
      </c>
      <c r="AE2516">
        <v>0</v>
      </c>
      <c r="AF2516">
        <v>0</v>
      </c>
      <c r="AG2516">
        <v>731</v>
      </c>
      <c r="AH2516">
        <v>0</v>
      </c>
      <c r="AI2516">
        <v>0</v>
      </c>
      <c r="AJ2516">
        <v>0</v>
      </c>
      <c r="AK2516">
        <v>224</v>
      </c>
      <c r="AL2516">
        <v>0</v>
      </c>
      <c r="AM2516">
        <v>321</v>
      </c>
      <c r="AN2516">
        <v>0</v>
      </c>
      <c r="AO2516">
        <v>321</v>
      </c>
      <c r="AP2516">
        <v>8</v>
      </c>
      <c r="AQ2516">
        <v>0</v>
      </c>
      <c r="AR2516">
        <v>1</v>
      </c>
      <c r="AS2516" t="s">
        <v>58</v>
      </c>
      <c r="AT2516">
        <v>1</v>
      </c>
      <c r="AU2516" t="s">
        <v>59</v>
      </c>
      <c r="AV2516" t="s">
        <v>60</v>
      </c>
      <c r="AW2516">
        <v>1</v>
      </c>
      <c r="AX2516">
        <v>4</v>
      </c>
      <c r="AY2516">
        <v>0</v>
      </c>
      <c r="AZ2516">
        <v>28000</v>
      </c>
      <c r="BA2516">
        <v>100</v>
      </c>
      <c r="BB2516">
        <v>100</v>
      </c>
      <c r="BC2516">
        <v>100</v>
      </c>
      <c r="BD2516">
        <v>100</v>
      </c>
      <c r="BE2516">
        <v>1</v>
      </c>
      <c r="BF2516">
        <v>15000</v>
      </c>
      <c r="BG2516">
        <v>1000</v>
      </c>
      <c r="BH2516" s="6">
        <f>Grandview_Inventory[[#This Row],[land_extract]]*Lookups!$B$3</f>
        <v>69940.161757676964</v>
      </c>
      <c r="BI2516" s="6">
        <f>IF(Grandview_Inventory[[#This Row],[bldg_style]]="",0,Lookups!$B$2)</f>
        <v>155833.95000000001</v>
      </c>
      <c r="BJ2516" s="6">
        <f>_xlfn.IFNA(VLOOKUP(Grandview_Inventory[[#This Row],[quality]],Lookups!$H$2:$J$14,3,FALSE),0)</f>
        <v>2251</v>
      </c>
      <c r="BK2516" s="6">
        <f>_xlfn.IFNA(VLOOKUP(Grandview_Inventory[[#This Row],[condition]],Lookups!$H$17:$J$24,3,FALSE),0)</f>
        <v>-4503</v>
      </c>
      <c r="BL2516" s="6">
        <f>Grandview_Inventory[[#This Row],[Eff_Age]]*Lookups!$B$14</f>
        <v>-11719.163399999999</v>
      </c>
      <c r="BM2516" s="6">
        <f>Grandview_Inventory[[#This Row],[living_area]]*Lookups!$B$15</f>
        <v>136115.02124600002</v>
      </c>
      <c r="BN2516" s="6">
        <f>Grandview_Inventory[[#This Row],[Fin BSMT]]*Lookups!$B$16</f>
        <v>-19809.544440000001</v>
      </c>
      <c r="BO2516" s="6">
        <f>(Grandview_Inventory[[#This Row],[att_gar]]+Grandview_Inventory[[#This Row],[bltin_gar]])*Lookups!$B$17</f>
        <v>0</v>
      </c>
      <c r="BP2516" s="6">
        <f>Grandview_Inventory[[#This Row],[Plumbing Fixtures]]*Lookups!$B$18</f>
        <v>16083.5344</v>
      </c>
      <c r="BQ2516" s="6">
        <f>Grandview_Inventory[[#This Row],[detatched_value]]*Lookups!$B$19</f>
        <v>23710.542799999999</v>
      </c>
      <c r="BR2516" s="6">
        <f>SUM(Grandview_Inventory[[#This Row],[Intercept]:[det_value]])*Grandview_Inventory[[#This Row],[res_pct]]</f>
        <v>297962.34060600004</v>
      </c>
      <c r="BS2516" s="6">
        <f>Grandview_Inventory[[#This Row],[land_value]]</f>
        <v>69940.161757676964</v>
      </c>
      <c r="BT2516" s="4">
        <f>_xlfn.IFNA(VLOOKUP(Grandview_Inventory[[#This Row],[quality]],Lookups!$A$26:$C$33,3,FALSE),1)</f>
        <v>0.98763855981004833</v>
      </c>
      <c r="BU2516" s="4">
        <f>_xlfn.IFNA(VLOOKUP(Grandview_Inventory[[#This Row],[condition]],Lookups!$A$37:$C$44,3,FALSE),1)</f>
        <v>0.96469275950863709</v>
      </c>
      <c r="BV2516" s="4">
        <f>IF(Grandview_Inventory[[#This Row],[bldg_style]]="",1,_xlfn.IFNA(VLOOKUP(Grandview_Inventory[[#This Row],[decade]],Lookups!$F$29:$H$43,3,FALSE),1))</f>
        <v>0.99472141305414818</v>
      </c>
      <c r="BW2516" s="4">
        <f>_xlfn.IFNA(VLOOKUP(Grandview_Inventory[[#This Row],[living_area_range]],Lookups!$F$47:$H$56,3,FALSE),1)</f>
        <v>0.95799442568048754</v>
      </c>
      <c r="BX2516" s="4">
        <f>AVERAGE(Grandview_Inventory[[#This Row],[qual_adj]:[size_adj]])</f>
        <v>0.97626178951333031</v>
      </c>
      <c r="BY2516" s="6">
        <f>IF(Grandview_Inventory[[#This Row],[pre_res]]&lt;0,0,Grandview_Inventory[[#This Row],[pre_res]]*Grandview_Inventory[[#This Row],[overall_adj]])</f>
        <v>290889.24784759403</v>
      </c>
      <c r="BZ2516" s="6">
        <f>(Grandview_Inventory[[#This Row],[sum_land]]-IF(Grandview_Inventory[[#This Row],[no_utilities]]=1,12000,0))/IF(Grandview_Inventory[[#This Row],[unbuildable]]=1,2,1)</f>
        <v>69940.161757676964</v>
      </c>
      <c r="CA2516">
        <f>IF(ROUND(Grandview_Inventory[[#This Row],[adj_land]]*Lookups!$M$28,-2)&lt;Grandview_Inventory[[#This Row],[min_land]],Grandview_Inventory[[#This Row],[min_land]],ROUND(Grandview_Inventory[[#This Row],[adj_land]]*Lookups!$M$28,-2))</f>
        <v>66400</v>
      </c>
      <c r="CB2516">
        <f>ROUND(Grandview_Inventory[[#This Row],[det_value]]*Lookups!$M$28,-2)</f>
        <v>22500</v>
      </c>
      <c r="CC2516">
        <f>IF(ROUND(Grandview_Inventory[[#This Row],[adj_res]]*Lookups!$M$28,-2)&lt;Grandview_Inventory[[#This Row],[min_res]],Grandview_Inventory[[#This Row],[min_res]],ROUND(Grandview_Inventory[[#This Row],[adj_res]]*Lookups!$M$28,-2))</f>
        <v>276300</v>
      </c>
      <c r="CD2516">
        <f>Grandview_Inventory[[#This Row],[final_det]]+Grandview_Inventory[[#This Row],[final_res]]</f>
        <v>298800</v>
      </c>
      <c r="CE2516">
        <f>Grandview_Inventory[[#This Row],[final_land]]+Grandview_Inventory[[#This Row],[final_imp]]+Grandview_Inventory[[#This Row],[crop_value]]</f>
        <v>365200</v>
      </c>
      <c r="CG2516" t="str">
        <f t="shared" si="39"/>
        <v>update valuation set market_land =66400, market_bldg=298800, market_total =365200, market_mdno =401, market_date ='9/10/2023' where link_id = (select link_id from parcel where parcel_year = '2024' and parcel_id = '23092811442');</v>
      </c>
    </row>
    <row r="2517" spans="1:85" x14ac:dyDescent="0.25">
      <c r="A2517">
        <v>23090431006</v>
      </c>
      <c r="B2517">
        <v>1.53</v>
      </c>
      <c r="C2517">
        <v>66765</v>
      </c>
      <c r="D2517" t="s">
        <v>129</v>
      </c>
      <c r="E2517" t="s">
        <v>53</v>
      </c>
      <c r="F2517" t="s">
        <v>53</v>
      </c>
      <c r="G2517">
        <v>4</v>
      </c>
      <c r="H2517" t="s">
        <v>54</v>
      </c>
      <c r="I2517">
        <v>0</v>
      </c>
      <c r="J2517">
        <v>700</v>
      </c>
      <c r="K2517">
        <v>1.53</v>
      </c>
      <c r="L2517">
        <f>IF(Grandview_Inventory[[#This Row],[parcel_acres]]-Grandview_Inventory[[#This Row],[non_valued_acres]] =0,0,LN(Grandview_Inventory[[#This Row],[parcel_acres]]-Grandview_Inventory[[#This Row],[non_valued_acres]]))</f>
        <v>0.42526773540434409</v>
      </c>
      <c r="M2517">
        <v>0</v>
      </c>
      <c r="N2517">
        <v>1</v>
      </c>
      <c r="O2517">
        <v>0</v>
      </c>
      <c r="P2517">
        <v>13398.7528</v>
      </c>
      <c r="Q2517">
        <v>63903</v>
      </c>
      <c r="R2517">
        <f>(Grandview_Inventory[[#This Row],[ln_acres]]*Grandview_Inventory[[#This Row],[coeff]])+Grandview_Inventory[[#This Row],[const]]</f>
        <v>69601.057260498608</v>
      </c>
      <c r="AY2517">
        <v>0</v>
      </c>
      <c r="AZ2517">
        <v>0</v>
      </c>
      <c r="BE2517">
        <v>0</v>
      </c>
      <c r="BF2517">
        <v>12000</v>
      </c>
      <c r="BG2517">
        <v>0</v>
      </c>
      <c r="BH2517" s="6">
        <f>Grandview_Inventory[[#This Row],[land_extract]]*Lookups!$B$3</f>
        <v>80827.519873762431</v>
      </c>
      <c r="BI2517" s="6">
        <f>IF(Grandview_Inventory[[#This Row],[bldg_style]]="",0,Lookups!$B$2)</f>
        <v>0</v>
      </c>
      <c r="BJ2517" s="6">
        <f>_xlfn.IFNA(VLOOKUP(Grandview_Inventory[[#This Row],[quality]],Lookups!$H$2:$J$14,3,FALSE),0)</f>
        <v>0</v>
      </c>
      <c r="BK2517" s="6">
        <f>_xlfn.IFNA(VLOOKUP(Grandview_Inventory[[#This Row],[condition]],Lookups!$H$17:$J$24,3,FALSE),0)</f>
        <v>0</v>
      </c>
      <c r="BL2517" s="6">
        <f>Grandview_Inventory[[#This Row],[Eff_Age]]*Lookups!$B$14</f>
        <v>0</v>
      </c>
      <c r="BM2517" s="6">
        <f>Grandview_Inventory[[#This Row],[living_area]]*Lookups!$B$15</f>
        <v>0</v>
      </c>
      <c r="BN2517" s="6">
        <f>Grandview_Inventory[[#This Row],[Fin BSMT]]*Lookups!$B$16</f>
        <v>0</v>
      </c>
      <c r="BO2517" s="6">
        <f>(Grandview_Inventory[[#This Row],[att_gar]]+Grandview_Inventory[[#This Row],[bltin_gar]])*Lookups!$B$17</f>
        <v>0</v>
      </c>
      <c r="BP2517" s="6">
        <f>Grandview_Inventory[[#This Row],[Plumbing Fixtures]]*Lookups!$B$18</f>
        <v>0</v>
      </c>
      <c r="BQ2517" s="6">
        <f>Grandview_Inventory[[#This Row],[detatched_value]]*Lookups!$B$19</f>
        <v>0</v>
      </c>
      <c r="BR2517" s="6">
        <f>SUM(Grandview_Inventory[[#This Row],[Intercept]:[det_value]])*Grandview_Inventory[[#This Row],[res_pct]]</f>
        <v>0</v>
      </c>
      <c r="BS2517" s="6">
        <f>Grandview_Inventory[[#This Row],[land_value]]</f>
        <v>80827.519873762431</v>
      </c>
      <c r="BT2517" s="4">
        <f>_xlfn.IFNA(VLOOKUP(Grandview_Inventory[[#This Row],[quality]],Lookups!$A$26:$C$33,3,FALSE),1)</f>
        <v>1</v>
      </c>
      <c r="BU2517" s="4">
        <f>_xlfn.IFNA(VLOOKUP(Grandview_Inventory[[#This Row],[condition]],Lookups!$A$37:$C$44,3,FALSE),1)</f>
        <v>1</v>
      </c>
      <c r="BV2517" s="4">
        <f>IF(Grandview_Inventory[[#This Row],[bldg_style]]="",1,_xlfn.IFNA(VLOOKUP(Grandview_Inventory[[#This Row],[decade]],Lookups!$F$29:$H$43,3,FALSE),1))</f>
        <v>1</v>
      </c>
      <c r="BW2517" s="4">
        <f>_xlfn.IFNA(VLOOKUP(Grandview_Inventory[[#This Row],[living_area_range]],Lookups!$F$47:$H$56,3,FALSE),1)</f>
        <v>1</v>
      </c>
      <c r="BX2517" s="4">
        <f>AVERAGE(Grandview_Inventory[[#This Row],[qual_adj]:[size_adj]])</f>
        <v>1</v>
      </c>
      <c r="BY2517" s="6">
        <f>IF(Grandview_Inventory[[#This Row],[pre_res]]&lt;0,0,Grandview_Inventory[[#This Row],[pre_res]]*Grandview_Inventory[[#This Row],[overall_adj]])</f>
        <v>0</v>
      </c>
      <c r="BZ2517" s="6">
        <f>(Grandview_Inventory[[#This Row],[sum_land]]-IF(Grandview_Inventory[[#This Row],[no_utilities]]=1,12000,0))/IF(Grandview_Inventory[[#This Row],[unbuildable]]=1,2,1)</f>
        <v>40413.759936881215</v>
      </c>
      <c r="CA2517">
        <f>IF(ROUND(Grandview_Inventory[[#This Row],[adj_land]]*Lookups!$M$28,-2)&lt;Grandview_Inventory[[#This Row],[min_land]],Grandview_Inventory[[#This Row],[min_land]],ROUND(Grandview_Inventory[[#This Row],[adj_land]]*Lookups!$M$28,-2))</f>
        <v>38400</v>
      </c>
      <c r="CB2517">
        <f>ROUND(Grandview_Inventory[[#This Row],[det_value]]*Lookups!$M$28,-2)</f>
        <v>0</v>
      </c>
      <c r="CC251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17">
        <f>Grandview_Inventory[[#This Row],[final_det]]+Grandview_Inventory[[#This Row],[final_res]]</f>
        <v>0</v>
      </c>
      <c r="CE2517">
        <f>Grandview_Inventory[[#This Row],[final_land]]+Grandview_Inventory[[#This Row],[final_imp]]+Grandview_Inventory[[#This Row],[crop_value]]</f>
        <v>38400</v>
      </c>
      <c r="CG2517" t="str">
        <f t="shared" si="39"/>
        <v>update valuation set market_land =38400, market_bldg=0, market_total =38400, market_mdno =401, market_date ='9/10/2023' where link_id = (select link_id from parcel where parcel_year = '2024' and parcel_id = '23090431006');</v>
      </c>
    </row>
    <row r="2518" spans="1:85" x14ac:dyDescent="0.25">
      <c r="A2518">
        <v>23090432002</v>
      </c>
      <c r="B2518">
        <v>0.11</v>
      </c>
      <c r="C2518">
        <v>4610</v>
      </c>
      <c r="D2518" t="s">
        <v>129</v>
      </c>
      <c r="E2518" t="s">
        <v>53</v>
      </c>
      <c r="F2518" t="s">
        <v>53</v>
      </c>
      <c r="G2518">
        <v>4</v>
      </c>
      <c r="H2518" t="s">
        <v>54</v>
      </c>
      <c r="I2518">
        <v>0</v>
      </c>
      <c r="J2518">
        <v>500</v>
      </c>
      <c r="K2518">
        <v>0.11</v>
      </c>
      <c r="L2518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518">
        <v>0</v>
      </c>
      <c r="N2518">
        <v>1</v>
      </c>
      <c r="O2518">
        <v>0</v>
      </c>
      <c r="P2518">
        <v>13398.7528</v>
      </c>
      <c r="Q2518">
        <v>63903</v>
      </c>
      <c r="R2518">
        <f>(Grandview_Inventory[[#This Row],[ln_acres]]*Grandview_Inventory[[#This Row],[coeff]])+Grandview_Inventory[[#This Row],[const]]</f>
        <v>34328.269076529468</v>
      </c>
      <c r="AY2518">
        <v>0</v>
      </c>
      <c r="AZ2518">
        <v>0</v>
      </c>
      <c r="BE2518">
        <v>0</v>
      </c>
      <c r="BF2518">
        <v>12000</v>
      </c>
      <c r="BG2518">
        <v>0</v>
      </c>
      <c r="BH2518" s="6">
        <f>Grandview_Inventory[[#This Row],[land_extract]]*Lookups!$B$3</f>
        <v>39865.326192247165</v>
      </c>
      <c r="BI2518" s="6">
        <f>IF(Grandview_Inventory[[#This Row],[bldg_style]]="",0,Lookups!$B$2)</f>
        <v>0</v>
      </c>
      <c r="BJ2518" s="6">
        <f>_xlfn.IFNA(VLOOKUP(Grandview_Inventory[[#This Row],[quality]],Lookups!$H$2:$J$14,3,FALSE),0)</f>
        <v>0</v>
      </c>
      <c r="BK2518" s="6">
        <f>_xlfn.IFNA(VLOOKUP(Grandview_Inventory[[#This Row],[condition]],Lookups!$H$17:$J$24,3,FALSE),0)</f>
        <v>0</v>
      </c>
      <c r="BL2518" s="6">
        <f>Grandview_Inventory[[#This Row],[Eff_Age]]*Lookups!$B$14</f>
        <v>0</v>
      </c>
      <c r="BM2518" s="6">
        <f>Grandview_Inventory[[#This Row],[living_area]]*Lookups!$B$15</f>
        <v>0</v>
      </c>
      <c r="BN2518" s="6">
        <f>Grandview_Inventory[[#This Row],[Fin BSMT]]*Lookups!$B$16</f>
        <v>0</v>
      </c>
      <c r="BO2518" s="6">
        <f>(Grandview_Inventory[[#This Row],[att_gar]]+Grandview_Inventory[[#This Row],[bltin_gar]])*Lookups!$B$17</f>
        <v>0</v>
      </c>
      <c r="BP2518" s="6">
        <f>Grandview_Inventory[[#This Row],[Plumbing Fixtures]]*Lookups!$B$18</f>
        <v>0</v>
      </c>
      <c r="BQ2518" s="6">
        <f>Grandview_Inventory[[#This Row],[detatched_value]]*Lookups!$B$19</f>
        <v>0</v>
      </c>
      <c r="BR2518" s="6">
        <f>SUM(Grandview_Inventory[[#This Row],[Intercept]:[det_value]])*Grandview_Inventory[[#This Row],[res_pct]]</f>
        <v>0</v>
      </c>
      <c r="BS2518" s="6">
        <f>Grandview_Inventory[[#This Row],[land_value]]</f>
        <v>39865.326192247165</v>
      </c>
      <c r="BT2518" s="4">
        <f>_xlfn.IFNA(VLOOKUP(Grandview_Inventory[[#This Row],[quality]],Lookups!$A$26:$C$33,3,FALSE),1)</f>
        <v>1</v>
      </c>
      <c r="BU2518" s="4">
        <f>_xlfn.IFNA(VLOOKUP(Grandview_Inventory[[#This Row],[condition]],Lookups!$A$37:$C$44,3,FALSE),1)</f>
        <v>1</v>
      </c>
      <c r="BV2518" s="4">
        <f>IF(Grandview_Inventory[[#This Row],[bldg_style]]="",1,_xlfn.IFNA(VLOOKUP(Grandview_Inventory[[#This Row],[decade]],Lookups!$F$29:$H$43,3,FALSE),1))</f>
        <v>1</v>
      </c>
      <c r="BW2518" s="4">
        <f>_xlfn.IFNA(VLOOKUP(Grandview_Inventory[[#This Row],[living_area_range]],Lookups!$F$47:$H$56,3,FALSE),1)</f>
        <v>1</v>
      </c>
      <c r="BX2518" s="4">
        <f>AVERAGE(Grandview_Inventory[[#This Row],[qual_adj]:[size_adj]])</f>
        <v>1</v>
      </c>
      <c r="BY2518" s="6">
        <f>IF(Grandview_Inventory[[#This Row],[pre_res]]&lt;0,0,Grandview_Inventory[[#This Row],[pre_res]]*Grandview_Inventory[[#This Row],[overall_adj]])</f>
        <v>0</v>
      </c>
      <c r="BZ2518" s="6">
        <f>(Grandview_Inventory[[#This Row],[sum_land]]-IF(Grandview_Inventory[[#This Row],[no_utilities]]=1,12000,0))/IF(Grandview_Inventory[[#This Row],[unbuildable]]=1,2,1)</f>
        <v>19932.663096123582</v>
      </c>
      <c r="CA2518">
        <f>IF(ROUND(Grandview_Inventory[[#This Row],[adj_land]]*Lookups!$M$28,-2)&lt;Grandview_Inventory[[#This Row],[min_land]],Grandview_Inventory[[#This Row],[min_land]],ROUND(Grandview_Inventory[[#This Row],[adj_land]]*Lookups!$M$28,-2))</f>
        <v>18900</v>
      </c>
      <c r="CB2518">
        <f>ROUND(Grandview_Inventory[[#This Row],[det_value]]*Lookups!$M$28,-2)</f>
        <v>0</v>
      </c>
      <c r="CC251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18">
        <f>Grandview_Inventory[[#This Row],[final_det]]+Grandview_Inventory[[#This Row],[final_res]]</f>
        <v>0</v>
      </c>
      <c r="CE2518">
        <f>Grandview_Inventory[[#This Row],[final_land]]+Grandview_Inventory[[#This Row],[final_imp]]+Grandview_Inventory[[#This Row],[crop_value]]</f>
        <v>18900</v>
      </c>
      <c r="CG2518" t="str">
        <f t="shared" si="39"/>
        <v>update valuation set market_land =18900, market_bldg=0, market_total =18900, market_mdno =401, market_date ='9/10/2023' where link_id = (select link_id from parcel where parcel_year = '2024' and parcel_id = '23090432002');</v>
      </c>
    </row>
    <row r="2519" spans="1:85" x14ac:dyDescent="0.25">
      <c r="A2519">
        <v>23091023406</v>
      </c>
      <c r="B2519">
        <v>58.71</v>
      </c>
      <c r="C2519" t="s">
        <v>129</v>
      </c>
      <c r="D2519" t="s">
        <v>129</v>
      </c>
      <c r="E2519" t="s">
        <v>53</v>
      </c>
      <c r="F2519" t="s">
        <v>53</v>
      </c>
      <c r="G2519">
        <v>4</v>
      </c>
      <c r="H2519" t="s">
        <v>180</v>
      </c>
      <c r="I2519">
        <v>128800</v>
      </c>
      <c r="J2519">
        <v>330600</v>
      </c>
      <c r="K2519">
        <v>58.71</v>
      </c>
      <c r="L2519">
        <f>IF(Grandview_Inventory[[#This Row],[parcel_acres]]-Grandview_Inventory[[#This Row],[non_valued_acres]] =0,0,LN(Grandview_Inventory[[#This Row],[parcel_acres]]-Grandview_Inventory[[#This Row],[non_valued_acres]]))</f>
        <v>4.0726100700760943</v>
      </c>
      <c r="M2519">
        <v>0</v>
      </c>
      <c r="N2519">
        <v>0</v>
      </c>
      <c r="O2519">
        <v>0</v>
      </c>
      <c r="P2519">
        <v>13398.7528</v>
      </c>
      <c r="Q2519">
        <v>63903</v>
      </c>
      <c r="R2519">
        <f>(Grandview_Inventory[[#This Row],[ln_acres]]*Grandview_Inventory[[#This Row],[coeff]])+Grandview_Inventory[[#This Row],[const]]</f>
        <v>118470.89557974026</v>
      </c>
      <c r="AY2519">
        <v>128800</v>
      </c>
      <c r="AZ2519">
        <v>0</v>
      </c>
      <c r="BE2519">
        <v>0</v>
      </c>
      <c r="BF2519">
        <v>15000</v>
      </c>
      <c r="BG2519">
        <v>0</v>
      </c>
      <c r="BH2519" s="6">
        <f>Grandview_Inventory[[#This Row],[land_extract]]*Lookups!$B$3</f>
        <v>137579.9311653343</v>
      </c>
      <c r="BI2519" s="6">
        <f>IF(Grandview_Inventory[[#This Row],[bldg_style]]="",0,Lookups!$B$2)</f>
        <v>0</v>
      </c>
      <c r="BJ2519" s="6">
        <f>_xlfn.IFNA(VLOOKUP(Grandview_Inventory[[#This Row],[quality]],Lookups!$H$2:$J$14,3,FALSE),0)</f>
        <v>0</v>
      </c>
      <c r="BK2519" s="6">
        <f>_xlfn.IFNA(VLOOKUP(Grandview_Inventory[[#This Row],[condition]],Lookups!$H$17:$J$24,3,FALSE),0)</f>
        <v>0</v>
      </c>
      <c r="BL2519" s="6">
        <f>Grandview_Inventory[[#This Row],[Eff_Age]]*Lookups!$B$14</f>
        <v>0</v>
      </c>
      <c r="BM2519" s="6">
        <f>Grandview_Inventory[[#This Row],[living_area]]*Lookups!$B$15</f>
        <v>0</v>
      </c>
      <c r="BN2519" s="6">
        <f>Grandview_Inventory[[#This Row],[Fin BSMT]]*Lookups!$B$16</f>
        <v>0</v>
      </c>
      <c r="BO2519" s="6">
        <f>(Grandview_Inventory[[#This Row],[att_gar]]+Grandview_Inventory[[#This Row],[bltin_gar]])*Lookups!$B$17</f>
        <v>0</v>
      </c>
      <c r="BP2519" s="6">
        <f>Grandview_Inventory[[#This Row],[Plumbing Fixtures]]*Lookups!$B$18</f>
        <v>0</v>
      </c>
      <c r="BQ2519" s="6">
        <f>Grandview_Inventory[[#This Row],[detatched_value]]*Lookups!$B$19</f>
        <v>0</v>
      </c>
      <c r="BR2519" s="6">
        <f>SUM(Grandview_Inventory[[#This Row],[Intercept]:[det_value]])*Grandview_Inventory[[#This Row],[res_pct]]</f>
        <v>0</v>
      </c>
      <c r="BS2519" s="6">
        <f>Grandview_Inventory[[#This Row],[land_value]]</f>
        <v>137579.9311653343</v>
      </c>
      <c r="BT2519" s="4">
        <f>_xlfn.IFNA(VLOOKUP(Grandview_Inventory[[#This Row],[quality]],Lookups!$A$26:$C$33,3,FALSE),1)</f>
        <v>1</v>
      </c>
      <c r="BU2519" s="4">
        <f>_xlfn.IFNA(VLOOKUP(Grandview_Inventory[[#This Row],[condition]],Lookups!$A$37:$C$44,3,FALSE),1)</f>
        <v>1</v>
      </c>
      <c r="BV2519" s="4">
        <f>IF(Grandview_Inventory[[#This Row],[bldg_style]]="",1,_xlfn.IFNA(VLOOKUP(Grandview_Inventory[[#This Row],[decade]],Lookups!$F$29:$H$43,3,FALSE),1))</f>
        <v>1</v>
      </c>
      <c r="BW2519" s="4">
        <f>_xlfn.IFNA(VLOOKUP(Grandview_Inventory[[#This Row],[living_area_range]],Lookups!$F$47:$H$56,3,FALSE),1)</f>
        <v>1</v>
      </c>
      <c r="BX2519" s="4">
        <f>AVERAGE(Grandview_Inventory[[#This Row],[qual_adj]:[size_adj]])</f>
        <v>1</v>
      </c>
      <c r="BY2519" s="6">
        <f>IF(Grandview_Inventory[[#This Row],[pre_res]]&lt;0,0,Grandview_Inventory[[#This Row],[pre_res]]*Grandview_Inventory[[#This Row],[overall_adj]])</f>
        <v>0</v>
      </c>
      <c r="BZ2519" s="6">
        <f>(Grandview_Inventory[[#This Row],[sum_land]]-IF(Grandview_Inventory[[#This Row],[no_utilities]]=1,12000,0))/IF(Grandview_Inventory[[#This Row],[unbuildable]]=1,2,1)</f>
        <v>137579.9311653343</v>
      </c>
      <c r="CA2519">
        <f>IF(ROUND(Grandview_Inventory[[#This Row],[adj_land]]*Lookups!$M$28,-2)&lt;Grandview_Inventory[[#This Row],[min_land]],Grandview_Inventory[[#This Row],[min_land]],ROUND(Grandview_Inventory[[#This Row],[adj_land]]*Lookups!$M$28,-2))</f>
        <v>130700</v>
      </c>
      <c r="CB2519">
        <f>ROUND(Grandview_Inventory[[#This Row],[det_value]]*Lookups!$M$28,-2)</f>
        <v>0</v>
      </c>
      <c r="CC251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19">
        <f>Grandview_Inventory[[#This Row],[final_det]]+Grandview_Inventory[[#This Row],[final_res]]</f>
        <v>0</v>
      </c>
      <c r="CE2519">
        <f>Grandview_Inventory[[#This Row],[final_land]]+Grandview_Inventory[[#This Row],[final_imp]]+Grandview_Inventory[[#This Row],[crop_value]]</f>
        <v>259500</v>
      </c>
      <c r="CG2519" t="str">
        <f t="shared" si="39"/>
        <v>update valuation set market_land =130700, market_bldg=0, market_total =259500, market_mdno =401, market_date ='9/10/2023' where link_id = (select link_id from parcel where parcel_year = '2024' and parcel_id = '23091023406');</v>
      </c>
    </row>
    <row r="2520" spans="1:85" x14ac:dyDescent="0.25">
      <c r="A2520">
        <v>23091321002</v>
      </c>
      <c r="B2520">
        <v>17.579999999999998</v>
      </c>
      <c r="C2520" t="s">
        <v>129</v>
      </c>
      <c r="D2520" t="s">
        <v>129</v>
      </c>
      <c r="E2520" t="s">
        <v>53</v>
      </c>
      <c r="F2520" t="s">
        <v>53</v>
      </c>
      <c r="G2520">
        <v>4</v>
      </c>
      <c r="H2520" t="s">
        <v>54</v>
      </c>
      <c r="I2520">
        <v>41000</v>
      </c>
      <c r="J2520">
        <v>79900</v>
      </c>
      <c r="K2520">
        <v>17.579999999999998</v>
      </c>
      <c r="L2520">
        <f>IF(Grandview_Inventory[[#This Row],[parcel_acres]]-Grandview_Inventory[[#This Row],[non_valued_acres]] =0,0,LN(Grandview_Inventory[[#This Row],[parcel_acres]]-Grandview_Inventory[[#This Row],[non_valued_acres]]))</f>
        <v>2.8667618922570308</v>
      </c>
      <c r="M2520">
        <v>0</v>
      </c>
      <c r="N2520">
        <v>0</v>
      </c>
      <c r="O2520">
        <v>0</v>
      </c>
      <c r="P2520">
        <v>13398.7528</v>
      </c>
      <c r="Q2520">
        <v>63903</v>
      </c>
      <c r="R2520">
        <f>(Grandview_Inventory[[#This Row],[ln_acres]]*Grandview_Inventory[[#This Row],[coeff]])+Grandview_Inventory[[#This Row],[const]]</f>
        <v>102314.03393081219</v>
      </c>
      <c r="AY2520">
        <v>41000</v>
      </c>
      <c r="AZ2520">
        <v>0</v>
      </c>
      <c r="BE2520">
        <v>0</v>
      </c>
      <c r="BF2520">
        <v>15000</v>
      </c>
      <c r="BG2520">
        <v>0</v>
      </c>
      <c r="BH2520" s="6">
        <f>Grandview_Inventory[[#This Row],[land_extract]]*Lookups!$B$3</f>
        <v>118817.01135596058</v>
      </c>
      <c r="BI2520" s="6">
        <f>IF(Grandview_Inventory[[#This Row],[bldg_style]]="",0,Lookups!$B$2)</f>
        <v>0</v>
      </c>
      <c r="BJ2520" s="6">
        <f>_xlfn.IFNA(VLOOKUP(Grandview_Inventory[[#This Row],[quality]],Lookups!$H$2:$J$14,3,FALSE),0)</f>
        <v>0</v>
      </c>
      <c r="BK2520" s="6">
        <f>_xlfn.IFNA(VLOOKUP(Grandview_Inventory[[#This Row],[condition]],Lookups!$H$17:$J$24,3,FALSE),0)</f>
        <v>0</v>
      </c>
      <c r="BL2520" s="6">
        <f>Grandview_Inventory[[#This Row],[Eff_Age]]*Lookups!$B$14</f>
        <v>0</v>
      </c>
      <c r="BM2520" s="6">
        <f>Grandview_Inventory[[#This Row],[living_area]]*Lookups!$B$15</f>
        <v>0</v>
      </c>
      <c r="BN2520" s="6">
        <f>Grandview_Inventory[[#This Row],[Fin BSMT]]*Lookups!$B$16</f>
        <v>0</v>
      </c>
      <c r="BO2520" s="6">
        <f>(Grandview_Inventory[[#This Row],[att_gar]]+Grandview_Inventory[[#This Row],[bltin_gar]])*Lookups!$B$17</f>
        <v>0</v>
      </c>
      <c r="BP2520" s="6">
        <f>Grandview_Inventory[[#This Row],[Plumbing Fixtures]]*Lookups!$B$18</f>
        <v>0</v>
      </c>
      <c r="BQ2520" s="6">
        <f>Grandview_Inventory[[#This Row],[detatched_value]]*Lookups!$B$19</f>
        <v>0</v>
      </c>
      <c r="BR2520" s="6">
        <f>SUM(Grandview_Inventory[[#This Row],[Intercept]:[det_value]])*Grandview_Inventory[[#This Row],[res_pct]]</f>
        <v>0</v>
      </c>
      <c r="BS2520" s="6">
        <f>Grandview_Inventory[[#This Row],[land_value]]</f>
        <v>118817.01135596058</v>
      </c>
      <c r="BT2520" s="4">
        <f>_xlfn.IFNA(VLOOKUP(Grandview_Inventory[[#This Row],[quality]],Lookups!$A$26:$C$33,3,FALSE),1)</f>
        <v>1</v>
      </c>
      <c r="BU2520" s="4">
        <f>_xlfn.IFNA(VLOOKUP(Grandview_Inventory[[#This Row],[condition]],Lookups!$A$37:$C$44,3,FALSE),1)</f>
        <v>1</v>
      </c>
      <c r="BV2520" s="4">
        <f>IF(Grandview_Inventory[[#This Row],[bldg_style]]="",1,_xlfn.IFNA(VLOOKUP(Grandview_Inventory[[#This Row],[decade]],Lookups!$F$29:$H$43,3,FALSE),1))</f>
        <v>1</v>
      </c>
      <c r="BW2520" s="4">
        <f>_xlfn.IFNA(VLOOKUP(Grandview_Inventory[[#This Row],[living_area_range]],Lookups!$F$47:$H$56,3,FALSE),1)</f>
        <v>1</v>
      </c>
      <c r="BX2520" s="4">
        <f>AVERAGE(Grandview_Inventory[[#This Row],[qual_adj]:[size_adj]])</f>
        <v>1</v>
      </c>
      <c r="BY2520" s="6">
        <f>IF(Grandview_Inventory[[#This Row],[pre_res]]&lt;0,0,Grandview_Inventory[[#This Row],[pre_res]]*Grandview_Inventory[[#This Row],[overall_adj]])</f>
        <v>0</v>
      </c>
      <c r="BZ2520" s="6">
        <f>(Grandview_Inventory[[#This Row],[sum_land]]-IF(Grandview_Inventory[[#This Row],[no_utilities]]=1,12000,0))/IF(Grandview_Inventory[[#This Row],[unbuildable]]=1,2,1)</f>
        <v>118817.01135596058</v>
      </c>
      <c r="CA2520">
        <f>IF(ROUND(Grandview_Inventory[[#This Row],[adj_land]]*Lookups!$M$28,-2)&lt;Grandview_Inventory[[#This Row],[min_land]],Grandview_Inventory[[#This Row],[min_land]],ROUND(Grandview_Inventory[[#This Row],[adj_land]]*Lookups!$M$28,-2))</f>
        <v>112900</v>
      </c>
      <c r="CB2520">
        <f>ROUND(Grandview_Inventory[[#This Row],[det_value]]*Lookups!$M$28,-2)</f>
        <v>0</v>
      </c>
      <c r="CC252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0">
        <f>Grandview_Inventory[[#This Row],[final_det]]+Grandview_Inventory[[#This Row],[final_res]]</f>
        <v>0</v>
      </c>
      <c r="CE2520">
        <f>Grandview_Inventory[[#This Row],[final_land]]+Grandview_Inventory[[#This Row],[final_imp]]+Grandview_Inventory[[#This Row],[crop_value]]</f>
        <v>153900</v>
      </c>
      <c r="CG2520" t="str">
        <f t="shared" si="39"/>
        <v>update valuation set market_land =112900, market_bldg=0, market_total =153900, market_mdno =401, market_date ='9/10/2023' where link_id = (select link_id from parcel where parcel_year = '2024' and parcel_id = '23091321002');</v>
      </c>
    </row>
    <row r="2521" spans="1:85" x14ac:dyDescent="0.25">
      <c r="A2521">
        <v>23091322006</v>
      </c>
      <c r="B2521">
        <v>22.09</v>
      </c>
      <c r="C2521">
        <v>962316</v>
      </c>
      <c r="D2521" t="s">
        <v>129</v>
      </c>
      <c r="E2521" t="s">
        <v>53</v>
      </c>
      <c r="F2521" t="s">
        <v>53</v>
      </c>
      <c r="G2521">
        <v>4</v>
      </c>
      <c r="H2521" t="s">
        <v>180</v>
      </c>
      <c r="I2521">
        <v>57900</v>
      </c>
      <c r="J2521">
        <v>130400</v>
      </c>
      <c r="K2521">
        <v>22.09</v>
      </c>
      <c r="L2521">
        <f>IF(Grandview_Inventory[[#This Row],[parcel_acres]]-Grandview_Inventory[[#This Row],[non_valued_acres]] =0,0,LN(Grandview_Inventory[[#This Row],[parcel_acres]]-Grandview_Inventory[[#This Row],[non_valued_acres]]))</f>
        <v>3.0951250174320259</v>
      </c>
      <c r="M2521">
        <v>0</v>
      </c>
      <c r="N2521">
        <v>0</v>
      </c>
      <c r="O2521">
        <v>0</v>
      </c>
      <c r="P2521">
        <v>13398.7528</v>
      </c>
      <c r="Q2521">
        <v>63903</v>
      </c>
      <c r="R2521">
        <f>(Grandview_Inventory[[#This Row],[ln_acres]]*Grandview_Inventory[[#This Row],[coeff]])+Grandview_Inventory[[#This Row],[const]]</f>
        <v>105373.81499366742</v>
      </c>
      <c r="AY2521">
        <v>57900</v>
      </c>
      <c r="AZ2521">
        <v>0</v>
      </c>
      <c r="BE2521">
        <v>0</v>
      </c>
      <c r="BF2521">
        <v>15000</v>
      </c>
      <c r="BG2521">
        <v>0</v>
      </c>
      <c r="BH2521" s="6">
        <f>Grandview_Inventory[[#This Row],[land_extract]]*Lookups!$B$3</f>
        <v>122370.32684284549</v>
      </c>
      <c r="BI2521" s="6">
        <f>IF(Grandview_Inventory[[#This Row],[bldg_style]]="",0,Lookups!$B$2)</f>
        <v>0</v>
      </c>
      <c r="BJ2521" s="6">
        <f>_xlfn.IFNA(VLOOKUP(Grandview_Inventory[[#This Row],[quality]],Lookups!$H$2:$J$14,3,FALSE),0)</f>
        <v>0</v>
      </c>
      <c r="BK2521" s="6">
        <f>_xlfn.IFNA(VLOOKUP(Grandview_Inventory[[#This Row],[condition]],Lookups!$H$17:$J$24,3,FALSE),0)</f>
        <v>0</v>
      </c>
      <c r="BL2521" s="6">
        <f>Grandview_Inventory[[#This Row],[Eff_Age]]*Lookups!$B$14</f>
        <v>0</v>
      </c>
      <c r="BM2521" s="6">
        <f>Grandview_Inventory[[#This Row],[living_area]]*Lookups!$B$15</f>
        <v>0</v>
      </c>
      <c r="BN2521" s="6">
        <f>Grandview_Inventory[[#This Row],[Fin BSMT]]*Lookups!$B$16</f>
        <v>0</v>
      </c>
      <c r="BO2521" s="6">
        <f>(Grandview_Inventory[[#This Row],[att_gar]]+Grandview_Inventory[[#This Row],[bltin_gar]])*Lookups!$B$17</f>
        <v>0</v>
      </c>
      <c r="BP2521" s="6">
        <f>Grandview_Inventory[[#This Row],[Plumbing Fixtures]]*Lookups!$B$18</f>
        <v>0</v>
      </c>
      <c r="BQ2521" s="6">
        <f>Grandview_Inventory[[#This Row],[detatched_value]]*Lookups!$B$19</f>
        <v>0</v>
      </c>
      <c r="BR2521" s="6">
        <f>SUM(Grandview_Inventory[[#This Row],[Intercept]:[det_value]])*Grandview_Inventory[[#This Row],[res_pct]]</f>
        <v>0</v>
      </c>
      <c r="BS2521" s="6">
        <f>Grandview_Inventory[[#This Row],[land_value]]</f>
        <v>122370.32684284549</v>
      </c>
      <c r="BT2521" s="4">
        <f>_xlfn.IFNA(VLOOKUP(Grandview_Inventory[[#This Row],[quality]],Lookups!$A$26:$C$33,3,FALSE),1)</f>
        <v>1</v>
      </c>
      <c r="BU2521" s="4">
        <f>_xlfn.IFNA(VLOOKUP(Grandview_Inventory[[#This Row],[condition]],Lookups!$A$37:$C$44,3,FALSE),1)</f>
        <v>1</v>
      </c>
      <c r="BV2521" s="4">
        <f>IF(Grandview_Inventory[[#This Row],[bldg_style]]="",1,_xlfn.IFNA(VLOOKUP(Grandview_Inventory[[#This Row],[decade]],Lookups!$F$29:$H$43,3,FALSE),1))</f>
        <v>1</v>
      </c>
      <c r="BW2521" s="4">
        <f>_xlfn.IFNA(VLOOKUP(Grandview_Inventory[[#This Row],[living_area_range]],Lookups!$F$47:$H$56,3,FALSE),1)</f>
        <v>1</v>
      </c>
      <c r="BX2521" s="4">
        <f>AVERAGE(Grandview_Inventory[[#This Row],[qual_adj]:[size_adj]])</f>
        <v>1</v>
      </c>
      <c r="BY2521" s="6">
        <f>IF(Grandview_Inventory[[#This Row],[pre_res]]&lt;0,0,Grandview_Inventory[[#This Row],[pre_res]]*Grandview_Inventory[[#This Row],[overall_adj]])</f>
        <v>0</v>
      </c>
      <c r="BZ2521" s="6">
        <f>(Grandview_Inventory[[#This Row],[sum_land]]-IF(Grandview_Inventory[[#This Row],[no_utilities]]=1,12000,0))/IF(Grandview_Inventory[[#This Row],[unbuildable]]=1,2,1)</f>
        <v>122370.32684284549</v>
      </c>
      <c r="CA2521">
        <f>IF(ROUND(Grandview_Inventory[[#This Row],[adj_land]]*Lookups!$M$28,-2)&lt;Grandview_Inventory[[#This Row],[min_land]],Grandview_Inventory[[#This Row],[min_land]],ROUND(Grandview_Inventory[[#This Row],[adj_land]]*Lookups!$M$28,-2))</f>
        <v>116300</v>
      </c>
      <c r="CB2521">
        <f>ROUND(Grandview_Inventory[[#This Row],[det_value]]*Lookups!$M$28,-2)</f>
        <v>0</v>
      </c>
      <c r="CC252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1">
        <f>Grandview_Inventory[[#This Row],[final_det]]+Grandview_Inventory[[#This Row],[final_res]]</f>
        <v>0</v>
      </c>
      <c r="CE2521">
        <f>Grandview_Inventory[[#This Row],[final_land]]+Grandview_Inventory[[#This Row],[final_imp]]+Grandview_Inventory[[#This Row],[crop_value]]</f>
        <v>174200</v>
      </c>
      <c r="CG2521" t="str">
        <f t="shared" si="39"/>
        <v>update valuation set market_land =116300, market_bldg=0, market_total =174200, market_mdno =401, market_date ='9/10/2023' where link_id = (select link_id from parcel where parcel_year = '2024' and parcel_id = '23091322006');</v>
      </c>
    </row>
    <row r="2522" spans="1:85" x14ac:dyDescent="0.25">
      <c r="A2522">
        <v>23091323002</v>
      </c>
      <c r="B2522">
        <v>8.18</v>
      </c>
      <c r="C2522">
        <v>356528</v>
      </c>
      <c r="D2522" t="s">
        <v>129</v>
      </c>
      <c r="E2522" t="s">
        <v>53</v>
      </c>
      <c r="F2522" t="s">
        <v>53</v>
      </c>
      <c r="G2522">
        <v>4</v>
      </c>
      <c r="H2522" t="s">
        <v>54</v>
      </c>
      <c r="I2522">
        <v>33800</v>
      </c>
      <c r="J2522">
        <v>42300</v>
      </c>
      <c r="K2522">
        <v>8.18</v>
      </c>
      <c r="L2522">
        <f>IF(Grandview_Inventory[[#This Row],[parcel_acres]]-Grandview_Inventory[[#This Row],[non_valued_acres]] =0,0,LN(Grandview_Inventory[[#This Row],[parcel_acres]]-Grandview_Inventory[[#This Row],[non_valued_acres]]))</f>
        <v>2.1016921506146558</v>
      </c>
      <c r="M2522">
        <v>0</v>
      </c>
      <c r="N2522">
        <v>0</v>
      </c>
      <c r="O2522">
        <v>0</v>
      </c>
      <c r="P2522">
        <v>13398.7528</v>
      </c>
      <c r="Q2522">
        <v>63903</v>
      </c>
      <c r="R2522">
        <f>(Grandview_Inventory[[#This Row],[ln_acres]]*Grandview_Inventory[[#This Row],[coeff]])+Grandview_Inventory[[#This Row],[const]]</f>
        <v>92063.05358778614</v>
      </c>
      <c r="AY2522">
        <v>33800</v>
      </c>
      <c r="AZ2522">
        <v>0</v>
      </c>
      <c r="BE2522">
        <v>0</v>
      </c>
      <c r="BF2522">
        <v>15000</v>
      </c>
      <c r="BG2522">
        <v>0</v>
      </c>
      <c r="BH2522" s="6">
        <f>Grandview_Inventory[[#This Row],[land_extract]]*Lookups!$B$3</f>
        <v>106912.57556125136</v>
      </c>
      <c r="BI2522" s="6">
        <f>IF(Grandview_Inventory[[#This Row],[bldg_style]]="",0,Lookups!$B$2)</f>
        <v>0</v>
      </c>
      <c r="BJ2522" s="6">
        <f>_xlfn.IFNA(VLOOKUP(Grandview_Inventory[[#This Row],[quality]],Lookups!$H$2:$J$14,3,FALSE),0)</f>
        <v>0</v>
      </c>
      <c r="BK2522" s="6">
        <f>_xlfn.IFNA(VLOOKUP(Grandview_Inventory[[#This Row],[condition]],Lookups!$H$17:$J$24,3,FALSE),0)</f>
        <v>0</v>
      </c>
      <c r="BL2522" s="6">
        <f>Grandview_Inventory[[#This Row],[Eff_Age]]*Lookups!$B$14</f>
        <v>0</v>
      </c>
      <c r="BM2522" s="6">
        <f>Grandview_Inventory[[#This Row],[living_area]]*Lookups!$B$15</f>
        <v>0</v>
      </c>
      <c r="BN2522" s="6">
        <f>Grandview_Inventory[[#This Row],[Fin BSMT]]*Lookups!$B$16</f>
        <v>0</v>
      </c>
      <c r="BO2522" s="6">
        <f>(Grandview_Inventory[[#This Row],[att_gar]]+Grandview_Inventory[[#This Row],[bltin_gar]])*Lookups!$B$17</f>
        <v>0</v>
      </c>
      <c r="BP2522" s="6">
        <f>Grandview_Inventory[[#This Row],[Plumbing Fixtures]]*Lookups!$B$18</f>
        <v>0</v>
      </c>
      <c r="BQ2522" s="6">
        <f>Grandview_Inventory[[#This Row],[detatched_value]]*Lookups!$B$19</f>
        <v>0</v>
      </c>
      <c r="BR2522" s="6">
        <f>SUM(Grandview_Inventory[[#This Row],[Intercept]:[det_value]])*Grandview_Inventory[[#This Row],[res_pct]]</f>
        <v>0</v>
      </c>
      <c r="BS2522" s="6">
        <f>Grandview_Inventory[[#This Row],[land_value]]</f>
        <v>106912.57556125136</v>
      </c>
      <c r="BT2522" s="4">
        <f>_xlfn.IFNA(VLOOKUP(Grandview_Inventory[[#This Row],[quality]],Lookups!$A$26:$C$33,3,FALSE),1)</f>
        <v>1</v>
      </c>
      <c r="BU2522" s="4">
        <f>_xlfn.IFNA(VLOOKUP(Grandview_Inventory[[#This Row],[condition]],Lookups!$A$37:$C$44,3,FALSE),1)</f>
        <v>1</v>
      </c>
      <c r="BV2522" s="4">
        <f>IF(Grandview_Inventory[[#This Row],[bldg_style]]="",1,_xlfn.IFNA(VLOOKUP(Grandview_Inventory[[#This Row],[decade]],Lookups!$F$29:$H$43,3,FALSE),1))</f>
        <v>1</v>
      </c>
      <c r="BW2522" s="4">
        <f>_xlfn.IFNA(VLOOKUP(Grandview_Inventory[[#This Row],[living_area_range]],Lookups!$F$47:$H$56,3,FALSE),1)</f>
        <v>1</v>
      </c>
      <c r="BX2522" s="4">
        <f>AVERAGE(Grandview_Inventory[[#This Row],[qual_adj]:[size_adj]])</f>
        <v>1</v>
      </c>
      <c r="BY2522" s="6">
        <f>IF(Grandview_Inventory[[#This Row],[pre_res]]&lt;0,0,Grandview_Inventory[[#This Row],[pre_res]]*Grandview_Inventory[[#This Row],[overall_adj]])</f>
        <v>0</v>
      </c>
      <c r="BZ2522" s="6">
        <f>(Grandview_Inventory[[#This Row],[sum_land]]-IF(Grandview_Inventory[[#This Row],[no_utilities]]=1,12000,0))/IF(Grandview_Inventory[[#This Row],[unbuildable]]=1,2,1)</f>
        <v>106912.57556125136</v>
      </c>
      <c r="CA2522">
        <f>IF(ROUND(Grandview_Inventory[[#This Row],[adj_land]]*Lookups!$M$28,-2)&lt;Grandview_Inventory[[#This Row],[min_land]],Grandview_Inventory[[#This Row],[min_land]],ROUND(Grandview_Inventory[[#This Row],[adj_land]]*Lookups!$M$28,-2))</f>
        <v>101600</v>
      </c>
      <c r="CB2522">
        <f>ROUND(Grandview_Inventory[[#This Row],[det_value]]*Lookups!$M$28,-2)</f>
        <v>0</v>
      </c>
      <c r="CC252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2">
        <f>Grandview_Inventory[[#This Row],[final_det]]+Grandview_Inventory[[#This Row],[final_res]]</f>
        <v>0</v>
      </c>
      <c r="CE2522">
        <f>Grandview_Inventory[[#This Row],[final_land]]+Grandview_Inventory[[#This Row],[final_imp]]+Grandview_Inventory[[#This Row],[crop_value]]</f>
        <v>135400</v>
      </c>
      <c r="CG2522" t="str">
        <f t="shared" si="39"/>
        <v>update valuation set market_land =101600, market_bldg=0, market_total =135400, market_mdno =401, market_date ='9/10/2023' where link_id = (select link_id from parcel where parcel_year = '2024' and parcel_id = '23091323002');</v>
      </c>
    </row>
    <row r="2523" spans="1:85" x14ac:dyDescent="0.25">
      <c r="A2523">
        <v>23091323005</v>
      </c>
      <c r="B2523">
        <v>18.850000000000001</v>
      </c>
      <c r="C2523">
        <v>820898</v>
      </c>
      <c r="D2523" t="s">
        <v>129</v>
      </c>
      <c r="E2523" t="s">
        <v>53</v>
      </c>
      <c r="F2523" t="s">
        <v>53</v>
      </c>
      <c r="G2523">
        <v>4</v>
      </c>
      <c r="H2523" t="s">
        <v>54</v>
      </c>
      <c r="I2523">
        <v>40500</v>
      </c>
      <c r="J2523">
        <v>107400</v>
      </c>
      <c r="K2523">
        <v>18.850000000000001</v>
      </c>
      <c r="L2523">
        <f>IF(Grandview_Inventory[[#This Row],[parcel_acres]]-Grandview_Inventory[[#This Row],[non_valued_acres]] =0,0,LN(Grandview_Inventory[[#This Row],[parcel_acres]]-Grandview_Inventory[[#This Row],[non_valued_acres]]))</f>
        <v>2.93651291389402</v>
      </c>
      <c r="M2523">
        <v>0</v>
      </c>
      <c r="N2523">
        <v>0</v>
      </c>
      <c r="O2523">
        <v>0</v>
      </c>
      <c r="P2523">
        <v>13398.7528</v>
      </c>
      <c r="Q2523">
        <v>63903</v>
      </c>
      <c r="R2523">
        <f>(Grandview_Inventory[[#This Row],[ln_acres]]*Grandview_Inventory[[#This Row],[coeff]])+Grandview_Inventory[[#This Row],[const]]</f>
        <v>103248.61062727365</v>
      </c>
      <c r="AY2523">
        <v>40500</v>
      </c>
      <c r="AZ2523">
        <v>0</v>
      </c>
      <c r="BE2523">
        <v>0</v>
      </c>
      <c r="BF2523">
        <v>15000</v>
      </c>
      <c r="BG2523">
        <v>0</v>
      </c>
      <c r="BH2523" s="6">
        <f>Grandview_Inventory[[#This Row],[land_extract]]*Lookups!$B$3</f>
        <v>119902.33275020419</v>
      </c>
      <c r="BI2523" s="6">
        <f>IF(Grandview_Inventory[[#This Row],[bldg_style]]="",0,Lookups!$B$2)</f>
        <v>0</v>
      </c>
      <c r="BJ2523" s="6">
        <f>_xlfn.IFNA(VLOOKUP(Grandview_Inventory[[#This Row],[quality]],Lookups!$H$2:$J$14,3,FALSE),0)</f>
        <v>0</v>
      </c>
      <c r="BK2523" s="6">
        <f>_xlfn.IFNA(VLOOKUP(Grandview_Inventory[[#This Row],[condition]],Lookups!$H$17:$J$24,3,FALSE),0)</f>
        <v>0</v>
      </c>
      <c r="BL2523" s="6">
        <f>Grandview_Inventory[[#This Row],[Eff_Age]]*Lookups!$B$14</f>
        <v>0</v>
      </c>
      <c r="BM2523" s="6">
        <f>Grandview_Inventory[[#This Row],[living_area]]*Lookups!$B$15</f>
        <v>0</v>
      </c>
      <c r="BN2523" s="6">
        <f>Grandview_Inventory[[#This Row],[Fin BSMT]]*Lookups!$B$16</f>
        <v>0</v>
      </c>
      <c r="BO2523" s="6">
        <f>(Grandview_Inventory[[#This Row],[att_gar]]+Grandview_Inventory[[#This Row],[bltin_gar]])*Lookups!$B$17</f>
        <v>0</v>
      </c>
      <c r="BP2523" s="6">
        <f>Grandview_Inventory[[#This Row],[Plumbing Fixtures]]*Lookups!$B$18</f>
        <v>0</v>
      </c>
      <c r="BQ2523" s="6">
        <f>Grandview_Inventory[[#This Row],[detatched_value]]*Lookups!$B$19</f>
        <v>0</v>
      </c>
      <c r="BR2523" s="6">
        <f>SUM(Grandview_Inventory[[#This Row],[Intercept]:[det_value]])*Grandview_Inventory[[#This Row],[res_pct]]</f>
        <v>0</v>
      </c>
      <c r="BS2523" s="6">
        <f>Grandview_Inventory[[#This Row],[land_value]]</f>
        <v>119902.33275020419</v>
      </c>
      <c r="BT2523" s="4">
        <f>_xlfn.IFNA(VLOOKUP(Grandview_Inventory[[#This Row],[quality]],Lookups!$A$26:$C$33,3,FALSE),1)</f>
        <v>1</v>
      </c>
      <c r="BU2523" s="4">
        <f>_xlfn.IFNA(VLOOKUP(Grandview_Inventory[[#This Row],[condition]],Lookups!$A$37:$C$44,3,FALSE),1)</f>
        <v>1</v>
      </c>
      <c r="BV2523" s="4">
        <f>IF(Grandview_Inventory[[#This Row],[bldg_style]]="",1,_xlfn.IFNA(VLOOKUP(Grandview_Inventory[[#This Row],[decade]],Lookups!$F$29:$H$43,3,FALSE),1))</f>
        <v>1</v>
      </c>
      <c r="BW2523" s="4">
        <f>_xlfn.IFNA(VLOOKUP(Grandview_Inventory[[#This Row],[living_area_range]],Lookups!$F$47:$H$56,3,FALSE),1)</f>
        <v>1</v>
      </c>
      <c r="BX2523" s="4">
        <f>AVERAGE(Grandview_Inventory[[#This Row],[qual_adj]:[size_adj]])</f>
        <v>1</v>
      </c>
      <c r="BY2523" s="6">
        <f>IF(Grandview_Inventory[[#This Row],[pre_res]]&lt;0,0,Grandview_Inventory[[#This Row],[pre_res]]*Grandview_Inventory[[#This Row],[overall_adj]])</f>
        <v>0</v>
      </c>
      <c r="BZ2523" s="6">
        <f>(Grandview_Inventory[[#This Row],[sum_land]]-IF(Grandview_Inventory[[#This Row],[no_utilities]]=1,12000,0))/IF(Grandview_Inventory[[#This Row],[unbuildable]]=1,2,1)</f>
        <v>119902.33275020419</v>
      </c>
      <c r="CA2523">
        <f>IF(ROUND(Grandview_Inventory[[#This Row],[adj_land]]*Lookups!$M$28,-2)&lt;Grandview_Inventory[[#This Row],[min_land]],Grandview_Inventory[[#This Row],[min_land]],ROUND(Grandview_Inventory[[#This Row],[adj_land]]*Lookups!$M$28,-2))</f>
        <v>113900</v>
      </c>
      <c r="CB2523">
        <f>ROUND(Grandview_Inventory[[#This Row],[det_value]]*Lookups!$M$28,-2)</f>
        <v>0</v>
      </c>
      <c r="CC252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3">
        <f>Grandview_Inventory[[#This Row],[final_det]]+Grandview_Inventory[[#This Row],[final_res]]</f>
        <v>0</v>
      </c>
      <c r="CE2523">
        <f>Grandview_Inventory[[#This Row],[final_land]]+Grandview_Inventory[[#This Row],[final_imp]]+Grandview_Inventory[[#This Row],[crop_value]]</f>
        <v>154400</v>
      </c>
      <c r="CG2523" t="str">
        <f t="shared" si="39"/>
        <v>update valuation set market_land =113900, market_bldg=0, market_total =154400, market_mdno =401, market_date ='9/10/2023' where link_id = (select link_id from parcel where parcel_year = '2024' and parcel_id = '23091323005');</v>
      </c>
    </row>
    <row r="2524" spans="1:85" x14ac:dyDescent="0.25">
      <c r="A2524">
        <v>23091333013</v>
      </c>
      <c r="B2524">
        <v>0.16</v>
      </c>
      <c r="C2524" t="s">
        <v>129</v>
      </c>
      <c r="D2524" t="s">
        <v>129</v>
      </c>
      <c r="E2524" t="s">
        <v>53</v>
      </c>
      <c r="F2524" t="s">
        <v>53</v>
      </c>
      <c r="G2524">
        <v>4</v>
      </c>
      <c r="H2524" t="s">
        <v>54</v>
      </c>
      <c r="I2524">
        <v>0</v>
      </c>
      <c r="J2524">
        <v>5000</v>
      </c>
      <c r="K2524">
        <v>0.16</v>
      </c>
      <c r="L2524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524">
        <v>0</v>
      </c>
      <c r="N2524">
        <v>0</v>
      </c>
      <c r="O2524">
        <v>0</v>
      </c>
      <c r="P2524">
        <v>13398.7528</v>
      </c>
      <c r="Q2524">
        <v>63903</v>
      </c>
      <c r="R2524">
        <f>(Grandview_Inventory[[#This Row],[ln_acres]]*Grandview_Inventory[[#This Row],[coeff]])+Grandview_Inventory[[#This Row],[const]]</f>
        <v>39348.693981374228</v>
      </c>
      <c r="AY2524">
        <v>0</v>
      </c>
      <c r="AZ2524">
        <v>0</v>
      </c>
      <c r="BE2524">
        <v>0</v>
      </c>
      <c r="BF2524">
        <v>15000</v>
      </c>
      <c r="BG2524">
        <v>0</v>
      </c>
      <c r="BH2524" s="6">
        <f>Grandview_Inventory[[#This Row],[land_extract]]*Lookups!$B$3</f>
        <v>45695.532079096141</v>
      </c>
      <c r="BI2524" s="6">
        <f>IF(Grandview_Inventory[[#This Row],[bldg_style]]="",0,Lookups!$B$2)</f>
        <v>0</v>
      </c>
      <c r="BJ2524" s="6">
        <f>_xlfn.IFNA(VLOOKUP(Grandview_Inventory[[#This Row],[quality]],Lookups!$H$2:$J$14,3,FALSE),0)</f>
        <v>0</v>
      </c>
      <c r="BK2524" s="6">
        <f>_xlfn.IFNA(VLOOKUP(Grandview_Inventory[[#This Row],[condition]],Lookups!$H$17:$J$24,3,FALSE),0)</f>
        <v>0</v>
      </c>
      <c r="BL2524" s="6">
        <f>Grandview_Inventory[[#This Row],[Eff_Age]]*Lookups!$B$14</f>
        <v>0</v>
      </c>
      <c r="BM2524" s="6">
        <f>Grandview_Inventory[[#This Row],[living_area]]*Lookups!$B$15</f>
        <v>0</v>
      </c>
      <c r="BN2524" s="6">
        <f>Grandview_Inventory[[#This Row],[Fin BSMT]]*Lookups!$B$16</f>
        <v>0</v>
      </c>
      <c r="BO2524" s="6">
        <f>(Grandview_Inventory[[#This Row],[att_gar]]+Grandview_Inventory[[#This Row],[bltin_gar]])*Lookups!$B$17</f>
        <v>0</v>
      </c>
      <c r="BP2524" s="6">
        <f>Grandview_Inventory[[#This Row],[Plumbing Fixtures]]*Lookups!$B$18</f>
        <v>0</v>
      </c>
      <c r="BQ2524" s="6">
        <f>Grandview_Inventory[[#This Row],[detatched_value]]*Lookups!$B$19</f>
        <v>0</v>
      </c>
      <c r="BR2524" s="6">
        <f>SUM(Grandview_Inventory[[#This Row],[Intercept]:[det_value]])*Grandview_Inventory[[#This Row],[res_pct]]</f>
        <v>0</v>
      </c>
      <c r="BS2524" s="6">
        <f>Grandview_Inventory[[#This Row],[land_value]]</f>
        <v>45695.532079096141</v>
      </c>
      <c r="BT2524" s="4">
        <f>_xlfn.IFNA(VLOOKUP(Grandview_Inventory[[#This Row],[quality]],Lookups!$A$26:$C$33,3,FALSE),1)</f>
        <v>1</v>
      </c>
      <c r="BU2524" s="4">
        <f>_xlfn.IFNA(VLOOKUP(Grandview_Inventory[[#This Row],[condition]],Lookups!$A$37:$C$44,3,FALSE),1)</f>
        <v>1</v>
      </c>
      <c r="BV2524" s="4">
        <f>IF(Grandview_Inventory[[#This Row],[bldg_style]]="",1,_xlfn.IFNA(VLOOKUP(Grandview_Inventory[[#This Row],[decade]],Lookups!$F$29:$H$43,3,FALSE),1))</f>
        <v>1</v>
      </c>
      <c r="BW2524" s="4">
        <f>_xlfn.IFNA(VLOOKUP(Grandview_Inventory[[#This Row],[living_area_range]],Lookups!$F$47:$H$56,3,FALSE),1)</f>
        <v>1</v>
      </c>
      <c r="BX2524" s="4">
        <f>AVERAGE(Grandview_Inventory[[#This Row],[qual_adj]:[size_adj]])</f>
        <v>1</v>
      </c>
      <c r="BY2524" s="6">
        <f>IF(Grandview_Inventory[[#This Row],[pre_res]]&lt;0,0,Grandview_Inventory[[#This Row],[pre_res]]*Grandview_Inventory[[#This Row],[overall_adj]])</f>
        <v>0</v>
      </c>
      <c r="BZ2524" s="6">
        <f>(Grandview_Inventory[[#This Row],[sum_land]]-IF(Grandview_Inventory[[#This Row],[no_utilities]]=1,12000,0))/IF(Grandview_Inventory[[#This Row],[unbuildable]]=1,2,1)</f>
        <v>45695.532079096141</v>
      </c>
      <c r="CA2524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524">
        <f>ROUND(Grandview_Inventory[[#This Row],[det_value]]*Lookups!$M$28,-2)</f>
        <v>0</v>
      </c>
      <c r="CC252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4">
        <f>Grandview_Inventory[[#This Row],[final_det]]+Grandview_Inventory[[#This Row],[final_res]]</f>
        <v>0</v>
      </c>
      <c r="CE2524">
        <f>Grandview_Inventory[[#This Row],[final_land]]+Grandview_Inventory[[#This Row],[final_imp]]+Grandview_Inventory[[#This Row],[crop_value]]</f>
        <v>43400</v>
      </c>
      <c r="CG2524" t="str">
        <f t="shared" si="39"/>
        <v>update valuation set market_land =43400, market_bldg=0, market_total =43400, market_mdno =401, market_date ='9/10/2023' where link_id = (select link_id from parcel where parcel_year = '2024' and parcel_id = '23091333013');</v>
      </c>
    </row>
    <row r="2525" spans="1:85" x14ac:dyDescent="0.25">
      <c r="A2525">
        <v>23091333023</v>
      </c>
      <c r="B2525">
        <v>4.95</v>
      </c>
      <c r="C2525">
        <v>215750</v>
      </c>
      <c r="D2525" t="s">
        <v>129</v>
      </c>
      <c r="E2525" t="s">
        <v>53</v>
      </c>
      <c r="F2525" t="s">
        <v>53</v>
      </c>
      <c r="G2525">
        <v>4</v>
      </c>
      <c r="H2525" t="s">
        <v>54</v>
      </c>
      <c r="I2525">
        <v>0</v>
      </c>
      <c r="J2525">
        <v>40700</v>
      </c>
      <c r="K2525">
        <v>4.95</v>
      </c>
      <c r="L2525">
        <f>IF(Grandview_Inventory[[#This Row],[parcel_acres]]-Grandview_Inventory[[#This Row],[non_valued_acres]] =0,0,LN(Grandview_Inventory[[#This Row],[parcel_acres]]-Grandview_Inventory[[#This Row],[non_valued_acres]]))</f>
        <v>1.5993875765805989</v>
      </c>
      <c r="M2525">
        <v>0</v>
      </c>
      <c r="N2525">
        <v>0</v>
      </c>
      <c r="O2525">
        <v>0</v>
      </c>
      <c r="P2525">
        <v>13398.7528</v>
      </c>
      <c r="Q2525">
        <v>63903</v>
      </c>
      <c r="R2525">
        <f>(Grandview_Inventory[[#This Row],[ln_acres]]*Grandview_Inventory[[#This Row],[coeff]])+Grandview_Inventory[[#This Row],[const]]</f>
        <v>85332.798769994522</v>
      </c>
      <c r="AY2525">
        <v>0</v>
      </c>
      <c r="AZ2525">
        <v>0</v>
      </c>
      <c r="BE2525">
        <v>0</v>
      </c>
      <c r="BF2525">
        <v>15000</v>
      </c>
      <c r="BG2525">
        <v>0</v>
      </c>
      <c r="BH2525" s="6">
        <f>Grandview_Inventory[[#This Row],[land_extract]]*Lookups!$B$3</f>
        <v>99096.748813037964</v>
      </c>
      <c r="BI2525" s="6">
        <f>IF(Grandview_Inventory[[#This Row],[bldg_style]]="",0,Lookups!$B$2)</f>
        <v>0</v>
      </c>
      <c r="BJ2525" s="6">
        <f>_xlfn.IFNA(VLOOKUP(Grandview_Inventory[[#This Row],[quality]],Lookups!$H$2:$J$14,3,FALSE),0)</f>
        <v>0</v>
      </c>
      <c r="BK2525" s="6">
        <f>_xlfn.IFNA(VLOOKUP(Grandview_Inventory[[#This Row],[condition]],Lookups!$H$17:$J$24,3,FALSE),0)</f>
        <v>0</v>
      </c>
      <c r="BL2525" s="6">
        <f>Grandview_Inventory[[#This Row],[Eff_Age]]*Lookups!$B$14</f>
        <v>0</v>
      </c>
      <c r="BM2525" s="6">
        <f>Grandview_Inventory[[#This Row],[living_area]]*Lookups!$B$15</f>
        <v>0</v>
      </c>
      <c r="BN2525" s="6">
        <f>Grandview_Inventory[[#This Row],[Fin BSMT]]*Lookups!$B$16</f>
        <v>0</v>
      </c>
      <c r="BO2525" s="6">
        <f>(Grandview_Inventory[[#This Row],[att_gar]]+Grandview_Inventory[[#This Row],[bltin_gar]])*Lookups!$B$17</f>
        <v>0</v>
      </c>
      <c r="BP2525" s="6">
        <f>Grandview_Inventory[[#This Row],[Plumbing Fixtures]]*Lookups!$B$18</f>
        <v>0</v>
      </c>
      <c r="BQ2525" s="6">
        <f>Grandview_Inventory[[#This Row],[detatched_value]]*Lookups!$B$19</f>
        <v>0</v>
      </c>
      <c r="BR2525" s="6">
        <f>SUM(Grandview_Inventory[[#This Row],[Intercept]:[det_value]])*Grandview_Inventory[[#This Row],[res_pct]]</f>
        <v>0</v>
      </c>
      <c r="BS2525" s="6">
        <f>Grandview_Inventory[[#This Row],[land_value]]</f>
        <v>99096.748813037964</v>
      </c>
      <c r="BT2525" s="4">
        <f>_xlfn.IFNA(VLOOKUP(Grandview_Inventory[[#This Row],[quality]],Lookups!$A$26:$C$33,3,FALSE),1)</f>
        <v>1</v>
      </c>
      <c r="BU2525" s="4">
        <f>_xlfn.IFNA(VLOOKUP(Grandview_Inventory[[#This Row],[condition]],Lookups!$A$37:$C$44,3,FALSE),1)</f>
        <v>1</v>
      </c>
      <c r="BV2525" s="4">
        <f>IF(Grandview_Inventory[[#This Row],[bldg_style]]="",1,_xlfn.IFNA(VLOOKUP(Grandview_Inventory[[#This Row],[decade]],Lookups!$F$29:$H$43,3,FALSE),1))</f>
        <v>1</v>
      </c>
      <c r="BW2525" s="4">
        <f>_xlfn.IFNA(VLOOKUP(Grandview_Inventory[[#This Row],[living_area_range]],Lookups!$F$47:$H$56,3,FALSE),1)</f>
        <v>1</v>
      </c>
      <c r="BX2525" s="4">
        <f>AVERAGE(Grandview_Inventory[[#This Row],[qual_adj]:[size_adj]])</f>
        <v>1</v>
      </c>
      <c r="BY2525" s="6">
        <f>IF(Grandview_Inventory[[#This Row],[pre_res]]&lt;0,0,Grandview_Inventory[[#This Row],[pre_res]]*Grandview_Inventory[[#This Row],[overall_adj]])</f>
        <v>0</v>
      </c>
      <c r="BZ2525" s="6">
        <f>(Grandview_Inventory[[#This Row],[sum_land]]-IF(Grandview_Inventory[[#This Row],[no_utilities]]=1,12000,0))/IF(Grandview_Inventory[[#This Row],[unbuildable]]=1,2,1)</f>
        <v>99096.748813037964</v>
      </c>
      <c r="CA2525">
        <f>IF(ROUND(Grandview_Inventory[[#This Row],[adj_land]]*Lookups!$M$28,-2)&lt;Grandview_Inventory[[#This Row],[min_land]],Grandview_Inventory[[#This Row],[min_land]],ROUND(Grandview_Inventory[[#This Row],[adj_land]]*Lookups!$M$28,-2))</f>
        <v>94100</v>
      </c>
      <c r="CB2525">
        <f>ROUND(Grandview_Inventory[[#This Row],[det_value]]*Lookups!$M$28,-2)</f>
        <v>0</v>
      </c>
      <c r="CC252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5">
        <f>Grandview_Inventory[[#This Row],[final_det]]+Grandview_Inventory[[#This Row],[final_res]]</f>
        <v>0</v>
      </c>
      <c r="CE2525">
        <f>Grandview_Inventory[[#This Row],[final_land]]+Grandview_Inventory[[#This Row],[final_imp]]+Grandview_Inventory[[#This Row],[crop_value]]</f>
        <v>94100</v>
      </c>
      <c r="CG2525" t="str">
        <f t="shared" si="39"/>
        <v>update valuation set market_land =94100, market_bldg=0, market_total =94100, market_mdno =401, market_date ='9/10/2023' where link_id = (select link_id from parcel where parcel_year = '2024' and parcel_id = '23091333023');</v>
      </c>
    </row>
    <row r="2526" spans="1:85" x14ac:dyDescent="0.25">
      <c r="A2526">
        <v>23091333413</v>
      </c>
      <c r="B2526">
        <v>0.52</v>
      </c>
      <c r="C2526" t="s">
        <v>129</v>
      </c>
      <c r="D2526" t="s">
        <v>129</v>
      </c>
      <c r="E2526" t="s">
        <v>53</v>
      </c>
      <c r="F2526" t="s">
        <v>53</v>
      </c>
      <c r="G2526">
        <v>4</v>
      </c>
      <c r="H2526" t="s">
        <v>54</v>
      </c>
      <c r="I2526">
        <v>0</v>
      </c>
      <c r="J2526">
        <v>34900</v>
      </c>
      <c r="K2526">
        <v>0.52</v>
      </c>
      <c r="L2526">
        <f>IF(Grandview_Inventory[[#This Row],[parcel_acres]]-Grandview_Inventory[[#This Row],[non_valued_acres]] =0,0,LN(Grandview_Inventory[[#This Row],[parcel_acres]]-Grandview_Inventory[[#This Row],[non_valued_acres]]))</f>
        <v>-0.65392646740666394</v>
      </c>
      <c r="M2526">
        <v>0</v>
      </c>
      <c r="N2526">
        <v>0</v>
      </c>
      <c r="O2526">
        <v>0</v>
      </c>
      <c r="P2526">
        <v>13398.7528</v>
      </c>
      <c r="Q2526">
        <v>63903</v>
      </c>
      <c r="R2526">
        <f>(Grandview_Inventory[[#This Row],[ln_acres]]*Grandview_Inventory[[#This Row],[coeff]])+Grandview_Inventory[[#This Row],[const]]</f>
        <v>55141.200913840854</v>
      </c>
      <c r="AY2526">
        <v>0</v>
      </c>
      <c r="AZ2526">
        <v>0</v>
      </c>
      <c r="BE2526">
        <v>0</v>
      </c>
      <c r="BF2526">
        <v>15000</v>
      </c>
      <c r="BG2526">
        <v>0</v>
      </c>
      <c r="BH2526" s="6">
        <f>Grandview_Inventory[[#This Row],[land_extract]]*Lookups!$B$3</f>
        <v>64035.327740000917</v>
      </c>
      <c r="BI2526" s="6">
        <f>IF(Grandview_Inventory[[#This Row],[bldg_style]]="",0,Lookups!$B$2)</f>
        <v>0</v>
      </c>
      <c r="BJ2526" s="6">
        <f>_xlfn.IFNA(VLOOKUP(Grandview_Inventory[[#This Row],[quality]],Lookups!$H$2:$J$14,3,FALSE),0)</f>
        <v>0</v>
      </c>
      <c r="BK2526" s="6">
        <f>_xlfn.IFNA(VLOOKUP(Grandview_Inventory[[#This Row],[condition]],Lookups!$H$17:$J$24,3,FALSE),0)</f>
        <v>0</v>
      </c>
      <c r="BL2526" s="6">
        <f>Grandview_Inventory[[#This Row],[Eff_Age]]*Lookups!$B$14</f>
        <v>0</v>
      </c>
      <c r="BM2526" s="6">
        <f>Grandview_Inventory[[#This Row],[living_area]]*Lookups!$B$15</f>
        <v>0</v>
      </c>
      <c r="BN2526" s="6">
        <f>Grandview_Inventory[[#This Row],[Fin BSMT]]*Lookups!$B$16</f>
        <v>0</v>
      </c>
      <c r="BO2526" s="6">
        <f>(Grandview_Inventory[[#This Row],[att_gar]]+Grandview_Inventory[[#This Row],[bltin_gar]])*Lookups!$B$17</f>
        <v>0</v>
      </c>
      <c r="BP2526" s="6">
        <f>Grandview_Inventory[[#This Row],[Plumbing Fixtures]]*Lookups!$B$18</f>
        <v>0</v>
      </c>
      <c r="BQ2526" s="6">
        <f>Grandview_Inventory[[#This Row],[detatched_value]]*Lookups!$B$19</f>
        <v>0</v>
      </c>
      <c r="BR2526" s="6">
        <f>SUM(Grandview_Inventory[[#This Row],[Intercept]:[det_value]])*Grandview_Inventory[[#This Row],[res_pct]]</f>
        <v>0</v>
      </c>
      <c r="BS2526" s="6">
        <f>Grandview_Inventory[[#This Row],[land_value]]</f>
        <v>64035.327740000917</v>
      </c>
      <c r="BT2526" s="4">
        <f>_xlfn.IFNA(VLOOKUP(Grandview_Inventory[[#This Row],[quality]],Lookups!$A$26:$C$33,3,FALSE),1)</f>
        <v>1</v>
      </c>
      <c r="BU2526" s="4">
        <f>_xlfn.IFNA(VLOOKUP(Grandview_Inventory[[#This Row],[condition]],Lookups!$A$37:$C$44,3,FALSE),1)</f>
        <v>1</v>
      </c>
      <c r="BV2526" s="4">
        <f>IF(Grandview_Inventory[[#This Row],[bldg_style]]="",1,_xlfn.IFNA(VLOOKUP(Grandview_Inventory[[#This Row],[decade]],Lookups!$F$29:$H$43,3,FALSE),1))</f>
        <v>1</v>
      </c>
      <c r="BW2526" s="4">
        <f>_xlfn.IFNA(VLOOKUP(Grandview_Inventory[[#This Row],[living_area_range]],Lookups!$F$47:$H$56,3,FALSE),1)</f>
        <v>1</v>
      </c>
      <c r="BX2526" s="4">
        <f>AVERAGE(Grandview_Inventory[[#This Row],[qual_adj]:[size_adj]])</f>
        <v>1</v>
      </c>
      <c r="BY2526" s="6">
        <f>IF(Grandview_Inventory[[#This Row],[pre_res]]&lt;0,0,Grandview_Inventory[[#This Row],[pre_res]]*Grandview_Inventory[[#This Row],[overall_adj]])</f>
        <v>0</v>
      </c>
      <c r="BZ2526" s="6">
        <f>(Grandview_Inventory[[#This Row],[sum_land]]-IF(Grandview_Inventory[[#This Row],[no_utilities]]=1,12000,0))/IF(Grandview_Inventory[[#This Row],[unbuildable]]=1,2,1)</f>
        <v>64035.327740000917</v>
      </c>
      <c r="CA2526">
        <f>IF(ROUND(Grandview_Inventory[[#This Row],[adj_land]]*Lookups!$M$28,-2)&lt;Grandview_Inventory[[#This Row],[min_land]],Grandview_Inventory[[#This Row],[min_land]],ROUND(Grandview_Inventory[[#This Row],[adj_land]]*Lookups!$M$28,-2))</f>
        <v>60800</v>
      </c>
      <c r="CB2526">
        <f>ROUND(Grandview_Inventory[[#This Row],[det_value]]*Lookups!$M$28,-2)</f>
        <v>0</v>
      </c>
      <c r="CC252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6">
        <f>Grandview_Inventory[[#This Row],[final_det]]+Grandview_Inventory[[#This Row],[final_res]]</f>
        <v>0</v>
      </c>
      <c r="CE2526">
        <f>Grandview_Inventory[[#This Row],[final_land]]+Grandview_Inventory[[#This Row],[final_imp]]+Grandview_Inventory[[#This Row],[crop_value]]</f>
        <v>60800</v>
      </c>
      <c r="CG2526" t="str">
        <f t="shared" si="39"/>
        <v>update valuation set market_land =60800, market_bldg=0, market_total =60800, market_mdno =401, market_date ='9/10/2023' where link_id = (select link_id from parcel where parcel_year = '2024' and parcel_id = '23091333413');</v>
      </c>
    </row>
    <row r="2527" spans="1:85" x14ac:dyDescent="0.25">
      <c r="A2527">
        <v>23091334004</v>
      </c>
      <c r="B2527">
        <v>12.71</v>
      </c>
      <c r="C2527">
        <v>553521</v>
      </c>
      <c r="D2527" t="s">
        <v>129</v>
      </c>
      <c r="E2527" t="s">
        <v>53</v>
      </c>
      <c r="F2527" t="s">
        <v>53</v>
      </c>
      <c r="G2527">
        <v>4</v>
      </c>
      <c r="H2527" t="s">
        <v>54</v>
      </c>
      <c r="I2527">
        <v>18000</v>
      </c>
      <c r="J2527">
        <v>72400</v>
      </c>
      <c r="K2527">
        <v>12.71</v>
      </c>
      <c r="L2527">
        <f>IF(Grandview_Inventory[[#This Row],[parcel_acres]]-Grandview_Inventory[[#This Row],[non_valued_acres]] =0,0,LN(Grandview_Inventory[[#This Row],[parcel_acres]]-Grandview_Inventory[[#This Row],[non_valued_acres]]))</f>
        <v>2.5423890852013629</v>
      </c>
      <c r="M2527">
        <v>0</v>
      </c>
      <c r="N2527">
        <v>0</v>
      </c>
      <c r="O2527">
        <v>0</v>
      </c>
      <c r="P2527">
        <v>13398.7528</v>
      </c>
      <c r="Q2527">
        <v>63903</v>
      </c>
      <c r="R2527">
        <f>(Grandview_Inventory[[#This Row],[ln_acres]]*Grandview_Inventory[[#This Row],[coeff]])+Grandview_Inventory[[#This Row],[const]]</f>
        <v>97967.842874031194</v>
      </c>
      <c r="AY2527">
        <v>18000</v>
      </c>
      <c r="AZ2527">
        <v>0</v>
      </c>
      <c r="BE2527">
        <v>0</v>
      </c>
      <c r="BF2527">
        <v>15000</v>
      </c>
      <c r="BG2527">
        <v>0</v>
      </c>
      <c r="BH2527" s="6">
        <f>Grandview_Inventory[[#This Row],[land_extract]]*Lookups!$B$3</f>
        <v>113769.79141643667</v>
      </c>
      <c r="BI2527" s="6">
        <f>IF(Grandview_Inventory[[#This Row],[bldg_style]]="",0,Lookups!$B$2)</f>
        <v>0</v>
      </c>
      <c r="BJ2527" s="6">
        <f>_xlfn.IFNA(VLOOKUP(Grandview_Inventory[[#This Row],[quality]],Lookups!$H$2:$J$14,3,FALSE),0)</f>
        <v>0</v>
      </c>
      <c r="BK2527" s="6">
        <f>_xlfn.IFNA(VLOOKUP(Grandview_Inventory[[#This Row],[condition]],Lookups!$H$17:$J$24,3,FALSE),0)</f>
        <v>0</v>
      </c>
      <c r="BL2527" s="6">
        <f>Grandview_Inventory[[#This Row],[Eff_Age]]*Lookups!$B$14</f>
        <v>0</v>
      </c>
      <c r="BM2527" s="6">
        <f>Grandview_Inventory[[#This Row],[living_area]]*Lookups!$B$15</f>
        <v>0</v>
      </c>
      <c r="BN2527" s="6">
        <f>Grandview_Inventory[[#This Row],[Fin BSMT]]*Lookups!$B$16</f>
        <v>0</v>
      </c>
      <c r="BO2527" s="6">
        <f>(Grandview_Inventory[[#This Row],[att_gar]]+Grandview_Inventory[[#This Row],[bltin_gar]])*Lookups!$B$17</f>
        <v>0</v>
      </c>
      <c r="BP2527" s="6">
        <f>Grandview_Inventory[[#This Row],[Plumbing Fixtures]]*Lookups!$B$18</f>
        <v>0</v>
      </c>
      <c r="BQ2527" s="6">
        <f>Grandview_Inventory[[#This Row],[detatched_value]]*Lookups!$B$19</f>
        <v>0</v>
      </c>
      <c r="BR2527" s="6">
        <f>SUM(Grandview_Inventory[[#This Row],[Intercept]:[det_value]])*Grandview_Inventory[[#This Row],[res_pct]]</f>
        <v>0</v>
      </c>
      <c r="BS2527" s="6">
        <f>Grandview_Inventory[[#This Row],[land_value]]</f>
        <v>113769.79141643667</v>
      </c>
      <c r="BT2527" s="4">
        <f>_xlfn.IFNA(VLOOKUP(Grandview_Inventory[[#This Row],[quality]],Lookups!$A$26:$C$33,3,FALSE),1)</f>
        <v>1</v>
      </c>
      <c r="BU2527" s="4">
        <f>_xlfn.IFNA(VLOOKUP(Grandview_Inventory[[#This Row],[condition]],Lookups!$A$37:$C$44,3,FALSE),1)</f>
        <v>1</v>
      </c>
      <c r="BV2527" s="4">
        <f>IF(Grandview_Inventory[[#This Row],[bldg_style]]="",1,_xlfn.IFNA(VLOOKUP(Grandview_Inventory[[#This Row],[decade]],Lookups!$F$29:$H$43,3,FALSE),1))</f>
        <v>1</v>
      </c>
      <c r="BW2527" s="4">
        <f>_xlfn.IFNA(VLOOKUP(Grandview_Inventory[[#This Row],[living_area_range]],Lookups!$F$47:$H$56,3,FALSE),1)</f>
        <v>1</v>
      </c>
      <c r="BX2527" s="4">
        <f>AVERAGE(Grandview_Inventory[[#This Row],[qual_adj]:[size_adj]])</f>
        <v>1</v>
      </c>
      <c r="BY2527" s="6">
        <f>IF(Grandview_Inventory[[#This Row],[pre_res]]&lt;0,0,Grandview_Inventory[[#This Row],[pre_res]]*Grandview_Inventory[[#This Row],[overall_adj]])</f>
        <v>0</v>
      </c>
      <c r="BZ2527" s="6">
        <f>(Grandview_Inventory[[#This Row],[sum_land]]-IF(Grandview_Inventory[[#This Row],[no_utilities]]=1,12000,0))/IF(Grandview_Inventory[[#This Row],[unbuildable]]=1,2,1)</f>
        <v>113769.79141643667</v>
      </c>
      <c r="CA2527">
        <f>IF(ROUND(Grandview_Inventory[[#This Row],[adj_land]]*Lookups!$M$28,-2)&lt;Grandview_Inventory[[#This Row],[min_land]],Grandview_Inventory[[#This Row],[min_land]],ROUND(Grandview_Inventory[[#This Row],[adj_land]]*Lookups!$M$28,-2))</f>
        <v>108100</v>
      </c>
      <c r="CB2527">
        <f>ROUND(Grandview_Inventory[[#This Row],[det_value]]*Lookups!$M$28,-2)</f>
        <v>0</v>
      </c>
      <c r="CC252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7">
        <f>Grandview_Inventory[[#This Row],[final_det]]+Grandview_Inventory[[#This Row],[final_res]]</f>
        <v>0</v>
      </c>
      <c r="CE2527">
        <f>Grandview_Inventory[[#This Row],[final_land]]+Grandview_Inventory[[#This Row],[final_imp]]+Grandview_Inventory[[#This Row],[crop_value]]</f>
        <v>126100</v>
      </c>
      <c r="CG2527" t="str">
        <f t="shared" si="39"/>
        <v>update valuation set market_land =108100, market_bldg=0, market_total =126100, market_mdno =401, market_date ='9/10/2023' where link_id = (select link_id from parcel where parcel_year = '2024' and parcel_id = '23091334004');</v>
      </c>
    </row>
    <row r="2528" spans="1:85" x14ac:dyDescent="0.25">
      <c r="A2528">
        <v>23091334007</v>
      </c>
      <c r="B2528">
        <v>5.38</v>
      </c>
      <c r="C2528">
        <v>234523</v>
      </c>
      <c r="D2528" t="s">
        <v>129</v>
      </c>
      <c r="E2528" t="s">
        <v>53</v>
      </c>
      <c r="F2528" t="s">
        <v>53</v>
      </c>
      <c r="G2528">
        <v>4</v>
      </c>
      <c r="H2528" t="s">
        <v>54</v>
      </c>
      <c r="I2528">
        <v>7500</v>
      </c>
      <c r="J2528">
        <v>40700</v>
      </c>
      <c r="K2528">
        <v>5.38</v>
      </c>
      <c r="L2528">
        <f>IF(Grandview_Inventory[[#This Row],[parcel_acres]]-Grandview_Inventory[[#This Row],[non_valued_acres]] =0,0,LN(Grandview_Inventory[[#This Row],[parcel_acres]]-Grandview_Inventory[[#This Row],[non_valued_acres]]))</f>
        <v>1.6826883741736931</v>
      </c>
      <c r="M2528">
        <v>0</v>
      </c>
      <c r="N2528">
        <v>0</v>
      </c>
      <c r="O2528">
        <v>0</v>
      </c>
      <c r="P2528">
        <v>13398.7528</v>
      </c>
      <c r="Q2528">
        <v>63903</v>
      </c>
      <c r="R2528">
        <f>(Grandview_Inventory[[#This Row],[ln_acres]]*Grandview_Inventory[[#This Row],[coeff]])+Grandview_Inventory[[#This Row],[const]]</f>
        <v>86448.925564987221</v>
      </c>
      <c r="AY2528">
        <v>7500</v>
      </c>
      <c r="AZ2528">
        <v>0</v>
      </c>
      <c r="BE2528">
        <v>0</v>
      </c>
      <c r="BF2528">
        <v>15000</v>
      </c>
      <c r="BG2528">
        <v>0</v>
      </c>
      <c r="BH2528" s="6">
        <f>Grandview_Inventory[[#This Row],[land_extract]]*Lookups!$B$3</f>
        <v>100392.90384652064</v>
      </c>
      <c r="BI2528" s="6">
        <f>IF(Grandview_Inventory[[#This Row],[bldg_style]]="",0,Lookups!$B$2)</f>
        <v>0</v>
      </c>
      <c r="BJ2528" s="6">
        <f>_xlfn.IFNA(VLOOKUP(Grandview_Inventory[[#This Row],[quality]],Lookups!$H$2:$J$14,3,FALSE),0)</f>
        <v>0</v>
      </c>
      <c r="BK2528" s="6">
        <f>_xlfn.IFNA(VLOOKUP(Grandview_Inventory[[#This Row],[condition]],Lookups!$H$17:$J$24,3,FALSE),0)</f>
        <v>0</v>
      </c>
      <c r="BL2528" s="6">
        <f>Grandview_Inventory[[#This Row],[Eff_Age]]*Lookups!$B$14</f>
        <v>0</v>
      </c>
      <c r="BM2528" s="6">
        <f>Grandview_Inventory[[#This Row],[living_area]]*Lookups!$B$15</f>
        <v>0</v>
      </c>
      <c r="BN2528" s="6">
        <f>Grandview_Inventory[[#This Row],[Fin BSMT]]*Lookups!$B$16</f>
        <v>0</v>
      </c>
      <c r="BO2528" s="6">
        <f>(Grandview_Inventory[[#This Row],[att_gar]]+Grandview_Inventory[[#This Row],[bltin_gar]])*Lookups!$B$17</f>
        <v>0</v>
      </c>
      <c r="BP2528" s="6">
        <f>Grandview_Inventory[[#This Row],[Plumbing Fixtures]]*Lookups!$B$18</f>
        <v>0</v>
      </c>
      <c r="BQ2528" s="6">
        <f>Grandview_Inventory[[#This Row],[detatched_value]]*Lookups!$B$19</f>
        <v>0</v>
      </c>
      <c r="BR2528" s="6">
        <f>SUM(Grandview_Inventory[[#This Row],[Intercept]:[det_value]])*Grandview_Inventory[[#This Row],[res_pct]]</f>
        <v>0</v>
      </c>
      <c r="BS2528" s="6">
        <f>Grandview_Inventory[[#This Row],[land_value]]</f>
        <v>100392.90384652064</v>
      </c>
      <c r="BT2528" s="4">
        <f>_xlfn.IFNA(VLOOKUP(Grandview_Inventory[[#This Row],[quality]],Lookups!$A$26:$C$33,3,FALSE),1)</f>
        <v>1</v>
      </c>
      <c r="BU2528" s="4">
        <f>_xlfn.IFNA(VLOOKUP(Grandview_Inventory[[#This Row],[condition]],Lookups!$A$37:$C$44,3,FALSE),1)</f>
        <v>1</v>
      </c>
      <c r="BV2528" s="4">
        <f>IF(Grandview_Inventory[[#This Row],[bldg_style]]="",1,_xlfn.IFNA(VLOOKUP(Grandview_Inventory[[#This Row],[decade]],Lookups!$F$29:$H$43,3,FALSE),1))</f>
        <v>1</v>
      </c>
      <c r="BW2528" s="4">
        <f>_xlfn.IFNA(VLOOKUP(Grandview_Inventory[[#This Row],[living_area_range]],Lookups!$F$47:$H$56,3,FALSE),1)</f>
        <v>1</v>
      </c>
      <c r="BX2528" s="4">
        <f>AVERAGE(Grandview_Inventory[[#This Row],[qual_adj]:[size_adj]])</f>
        <v>1</v>
      </c>
      <c r="BY2528" s="6">
        <f>IF(Grandview_Inventory[[#This Row],[pre_res]]&lt;0,0,Grandview_Inventory[[#This Row],[pre_res]]*Grandview_Inventory[[#This Row],[overall_adj]])</f>
        <v>0</v>
      </c>
      <c r="BZ2528" s="6">
        <f>(Grandview_Inventory[[#This Row],[sum_land]]-IF(Grandview_Inventory[[#This Row],[no_utilities]]=1,12000,0))/IF(Grandview_Inventory[[#This Row],[unbuildable]]=1,2,1)</f>
        <v>100392.90384652064</v>
      </c>
      <c r="CA2528">
        <f>IF(ROUND(Grandview_Inventory[[#This Row],[adj_land]]*Lookups!$M$28,-2)&lt;Grandview_Inventory[[#This Row],[min_land]],Grandview_Inventory[[#This Row],[min_land]],ROUND(Grandview_Inventory[[#This Row],[adj_land]]*Lookups!$M$28,-2))</f>
        <v>95400</v>
      </c>
      <c r="CB2528">
        <f>ROUND(Grandview_Inventory[[#This Row],[det_value]]*Lookups!$M$28,-2)</f>
        <v>0</v>
      </c>
      <c r="CC252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8">
        <f>Grandview_Inventory[[#This Row],[final_det]]+Grandview_Inventory[[#This Row],[final_res]]</f>
        <v>0</v>
      </c>
      <c r="CE2528">
        <f>Grandview_Inventory[[#This Row],[final_land]]+Grandview_Inventory[[#This Row],[final_imp]]+Grandview_Inventory[[#This Row],[crop_value]]</f>
        <v>102900</v>
      </c>
      <c r="CG2528" t="str">
        <f t="shared" si="39"/>
        <v>update valuation set market_land =95400, market_bldg=0, market_total =102900, market_mdno =401, market_date ='9/10/2023' where link_id = (select link_id from parcel where parcel_year = '2024' and parcel_id = '23091334007');</v>
      </c>
    </row>
    <row r="2529" spans="1:85" x14ac:dyDescent="0.25">
      <c r="A2529">
        <v>23091334009</v>
      </c>
      <c r="B2529">
        <v>7.96</v>
      </c>
      <c r="C2529">
        <v>346732</v>
      </c>
      <c r="D2529" t="s">
        <v>129</v>
      </c>
      <c r="E2529" t="s">
        <v>53</v>
      </c>
      <c r="F2529" t="s">
        <v>53</v>
      </c>
      <c r="G2529">
        <v>4</v>
      </c>
      <c r="H2529" t="s">
        <v>54</v>
      </c>
      <c r="I2529">
        <v>21500</v>
      </c>
      <c r="J2529">
        <v>41800</v>
      </c>
      <c r="K2529">
        <v>7.96</v>
      </c>
      <c r="L2529">
        <f>IF(Grandview_Inventory[[#This Row],[parcel_acres]]-Grandview_Inventory[[#This Row],[non_valued_acres]] =0,0,LN(Grandview_Inventory[[#This Row],[parcel_acres]]-Grandview_Inventory[[#This Row],[non_valued_acres]]))</f>
        <v>2.0744289998562917</v>
      </c>
      <c r="M2529">
        <v>0</v>
      </c>
      <c r="N2529">
        <v>0</v>
      </c>
      <c r="O2529">
        <v>0</v>
      </c>
      <c r="P2529">
        <v>13398.7528</v>
      </c>
      <c r="Q2529">
        <v>63903</v>
      </c>
      <c r="R2529">
        <f>(Grandview_Inventory[[#This Row],[ln_acres]]*Grandview_Inventory[[#This Row],[coeff]])+Grandview_Inventory[[#This Row],[const]]</f>
        <v>91697.761370225693</v>
      </c>
      <c r="AY2529">
        <v>9900</v>
      </c>
      <c r="AZ2529">
        <v>9600</v>
      </c>
      <c r="BE2529">
        <v>0</v>
      </c>
      <c r="BF2529">
        <v>15000</v>
      </c>
      <c r="BG2529">
        <v>0</v>
      </c>
      <c r="BH2529" s="6">
        <f>Grandview_Inventory[[#This Row],[land_extract]]*Lookups!$B$3</f>
        <v>106488.36269528739</v>
      </c>
      <c r="BI2529" s="6">
        <f>IF(Grandview_Inventory[[#This Row],[bldg_style]]="",0,Lookups!$B$2)</f>
        <v>0</v>
      </c>
      <c r="BJ2529" s="6">
        <f>_xlfn.IFNA(VLOOKUP(Grandview_Inventory[[#This Row],[quality]],Lookups!$H$2:$J$14,3,FALSE),0)</f>
        <v>0</v>
      </c>
      <c r="BK2529" s="6">
        <f>_xlfn.IFNA(VLOOKUP(Grandview_Inventory[[#This Row],[condition]],Lookups!$H$17:$J$24,3,FALSE),0)</f>
        <v>0</v>
      </c>
      <c r="BL2529" s="6">
        <f>Grandview_Inventory[[#This Row],[Eff_Age]]*Lookups!$B$14</f>
        <v>0</v>
      </c>
      <c r="BM2529" s="6">
        <f>Grandview_Inventory[[#This Row],[living_area]]*Lookups!$B$15</f>
        <v>0</v>
      </c>
      <c r="BN2529" s="6">
        <f>Grandview_Inventory[[#This Row],[Fin BSMT]]*Lookups!$B$16</f>
        <v>0</v>
      </c>
      <c r="BO2529" s="6">
        <f>(Grandview_Inventory[[#This Row],[att_gar]]+Grandview_Inventory[[#This Row],[bltin_gar]])*Lookups!$B$17</f>
        <v>0</v>
      </c>
      <c r="BP2529" s="6">
        <f>Grandview_Inventory[[#This Row],[Plumbing Fixtures]]*Lookups!$B$18</f>
        <v>0</v>
      </c>
      <c r="BQ2529" s="6">
        <f>Grandview_Inventory[[#This Row],[detatched_value]]*Lookups!$B$19</f>
        <v>8129.3289599999998</v>
      </c>
      <c r="BR2529" s="6">
        <f>SUM(Grandview_Inventory[[#This Row],[Intercept]:[det_value]])*Grandview_Inventory[[#This Row],[res_pct]]</f>
        <v>0</v>
      </c>
      <c r="BS2529" s="6">
        <f>Grandview_Inventory[[#This Row],[land_value]]</f>
        <v>106488.36269528739</v>
      </c>
      <c r="BT2529" s="4">
        <f>_xlfn.IFNA(VLOOKUP(Grandview_Inventory[[#This Row],[quality]],Lookups!$A$26:$C$33,3,FALSE),1)</f>
        <v>1</v>
      </c>
      <c r="BU2529" s="4">
        <f>_xlfn.IFNA(VLOOKUP(Grandview_Inventory[[#This Row],[condition]],Lookups!$A$37:$C$44,3,FALSE),1)</f>
        <v>1</v>
      </c>
      <c r="BV2529" s="4">
        <f>IF(Grandview_Inventory[[#This Row],[bldg_style]]="",1,_xlfn.IFNA(VLOOKUP(Grandview_Inventory[[#This Row],[decade]],Lookups!$F$29:$H$43,3,FALSE),1))</f>
        <v>1</v>
      </c>
      <c r="BW2529" s="4">
        <f>_xlfn.IFNA(VLOOKUP(Grandview_Inventory[[#This Row],[living_area_range]],Lookups!$F$47:$H$56,3,FALSE),1)</f>
        <v>1</v>
      </c>
      <c r="BX2529" s="4">
        <f>AVERAGE(Grandview_Inventory[[#This Row],[qual_adj]:[size_adj]])</f>
        <v>1</v>
      </c>
      <c r="BY2529" s="6">
        <f>IF(Grandview_Inventory[[#This Row],[pre_res]]&lt;0,0,Grandview_Inventory[[#This Row],[pre_res]]*Grandview_Inventory[[#This Row],[overall_adj]])</f>
        <v>0</v>
      </c>
      <c r="BZ2529" s="6">
        <f>(Grandview_Inventory[[#This Row],[sum_land]]-IF(Grandview_Inventory[[#This Row],[no_utilities]]=1,12000,0))/IF(Grandview_Inventory[[#This Row],[unbuildable]]=1,2,1)</f>
        <v>106488.36269528739</v>
      </c>
      <c r="CA2529">
        <f>IF(ROUND(Grandview_Inventory[[#This Row],[adj_land]]*Lookups!$M$28,-2)&lt;Grandview_Inventory[[#This Row],[min_land]],Grandview_Inventory[[#This Row],[min_land]],ROUND(Grandview_Inventory[[#This Row],[adj_land]]*Lookups!$M$28,-2))</f>
        <v>101200</v>
      </c>
      <c r="CB2529">
        <f>ROUND(Grandview_Inventory[[#This Row],[det_value]]*Lookups!$M$28,-2)</f>
        <v>7700</v>
      </c>
      <c r="CC252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29">
        <f>Grandview_Inventory[[#This Row],[final_det]]+Grandview_Inventory[[#This Row],[final_res]]</f>
        <v>7700</v>
      </c>
      <c r="CE2529">
        <f>Grandview_Inventory[[#This Row],[final_land]]+Grandview_Inventory[[#This Row],[final_imp]]+Grandview_Inventory[[#This Row],[crop_value]]</f>
        <v>118800</v>
      </c>
      <c r="CG2529" t="str">
        <f t="shared" si="39"/>
        <v>update valuation set market_land =101200, market_bldg=7700, market_total =118800, market_mdno =401, market_date ='9/10/2023' where link_id = (select link_id from parcel where parcel_year = '2024' and parcel_id = '23091334009');</v>
      </c>
    </row>
    <row r="2530" spans="1:85" x14ac:dyDescent="0.25">
      <c r="A2530">
        <v>23091341003</v>
      </c>
      <c r="B2530">
        <v>10.07</v>
      </c>
      <c r="C2530">
        <v>438733</v>
      </c>
      <c r="D2530" t="s">
        <v>129</v>
      </c>
      <c r="E2530" t="s">
        <v>53</v>
      </c>
      <c r="F2530" t="s">
        <v>53</v>
      </c>
      <c r="G2530">
        <v>4</v>
      </c>
      <c r="H2530" t="s">
        <v>54</v>
      </c>
      <c r="I2530">
        <v>29100</v>
      </c>
      <c r="J2530">
        <v>64400</v>
      </c>
      <c r="K2530">
        <v>10.07</v>
      </c>
      <c r="L2530">
        <f>IF(Grandview_Inventory[[#This Row],[parcel_acres]]-Grandview_Inventory[[#This Row],[non_valued_acres]] =0,0,LN(Grandview_Inventory[[#This Row],[parcel_acres]]-Grandview_Inventory[[#This Row],[non_valued_acres]]))</f>
        <v>2.3095607067304709</v>
      </c>
      <c r="M2530">
        <v>0</v>
      </c>
      <c r="N2530">
        <v>0</v>
      </c>
      <c r="O2530">
        <v>0</v>
      </c>
      <c r="P2530">
        <v>13398.7528</v>
      </c>
      <c r="Q2530">
        <v>63903</v>
      </c>
      <c r="R2530">
        <f>(Grandview_Inventory[[#This Row],[ln_acres]]*Grandview_Inventory[[#This Row],[coeff]])+Grandview_Inventory[[#This Row],[const]]</f>
        <v>94848.232986074872</v>
      </c>
      <c r="AY2530">
        <v>29100</v>
      </c>
      <c r="AZ2530">
        <v>0</v>
      </c>
      <c r="BE2530">
        <v>0</v>
      </c>
      <c r="BF2530">
        <v>15000</v>
      </c>
      <c r="BG2530">
        <v>0</v>
      </c>
      <c r="BH2530" s="6">
        <f>Grandview_Inventory[[#This Row],[land_extract]]*Lookups!$B$3</f>
        <v>110146.99687649969</v>
      </c>
      <c r="BI2530" s="6">
        <f>IF(Grandview_Inventory[[#This Row],[bldg_style]]="",0,Lookups!$B$2)</f>
        <v>0</v>
      </c>
      <c r="BJ2530" s="6">
        <f>_xlfn.IFNA(VLOOKUP(Grandview_Inventory[[#This Row],[quality]],Lookups!$H$2:$J$14,3,FALSE),0)</f>
        <v>0</v>
      </c>
      <c r="BK2530" s="6">
        <f>_xlfn.IFNA(VLOOKUP(Grandview_Inventory[[#This Row],[condition]],Lookups!$H$17:$J$24,3,FALSE),0)</f>
        <v>0</v>
      </c>
      <c r="BL2530" s="6">
        <f>Grandview_Inventory[[#This Row],[Eff_Age]]*Lookups!$B$14</f>
        <v>0</v>
      </c>
      <c r="BM2530" s="6">
        <f>Grandview_Inventory[[#This Row],[living_area]]*Lookups!$B$15</f>
        <v>0</v>
      </c>
      <c r="BN2530" s="6">
        <f>Grandview_Inventory[[#This Row],[Fin BSMT]]*Lookups!$B$16</f>
        <v>0</v>
      </c>
      <c r="BO2530" s="6">
        <f>(Grandview_Inventory[[#This Row],[att_gar]]+Grandview_Inventory[[#This Row],[bltin_gar]])*Lookups!$B$17</f>
        <v>0</v>
      </c>
      <c r="BP2530" s="6">
        <f>Grandview_Inventory[[#This Row],[Plumbing Fixtures]]*Lookups!$B$18</f>
        <v>0</v>
      </c>
      <c r="BQ2530" s="6">
        <f>Grandview_Inventory[[#This Row],[detatched_value]]*Lookups!$B$19</f>
        <v>0</v>
      </c>
      <c r="BR2530" s="6">
        <f>SUM(Grandview_Inventory[[#This Row],[Intercept]:[det_value]])*Grandview_Inventory[[#This Row],[res_pct]]</f>
        <v>0</v>
      </c>
      <c r="BS2530" s="6">
        <f>Grandview_Inventory[[#This Row],[land_value]]</f>
        <v>110146.99687649969</v>
      </c>
      <c r="BT2530" s="4">
        <f>_xlfn.IFNA(VLOOKUP(Grandview_Inventory[[#This Row],[quality]],Lookups!$A$26:$C$33,3,FALSE),1)</f>
        <v>1</v>
      </c>
      <c r="BU2530" s="4">
        <f>_xlfn.IFNA(VLOOKUP(Grandview_Inventory[[#This Row],[condition]],Lookups!$A$37:$C$44,3,FALSE),1)</f>
        <v>1</v>
      </c>
      <c r="BV2530" s="4">
        <f>IF(Grandview_Inventory[[#This Row],[bldg_style]]="",1,_xlfn.IFNA(VLOOKUP(Grandview_Inventory[[#This Row],[decade]],Lookups!$F$29:$H$43,3,FALSE),1))</f>
        <v>1</v>
      </c>
      <c r="BW2530" s="4">
        <f>_xlfn.IFNA(VLOOKUP(Grandview_Inventory[[#This Row],[living_area_range]],Lookups!$F$47:$H$56,3,FALSE),1)</f>
        <v>1</v>
      </c>
      <c r="BX2530" s="4">
        <f>AVERAGE(Grandview_Inventory[[#This Row],[qual_adj]:[size_adj]])</f>
        <v>1</v>
      </c>
      <c r="BY2530" s="6">
        <f>IF(Grandview_Inventory[[#This Row],[pre_res]]&lt;0,0,Grandview_Inventory[[#This Row],[pre_res]]*Grandview_Inventory[[#This Row],[overall_adj]])</f>
        <v>0</v>
      </c>
      <c r="BZ2530" s="6">
        <f>(Grandview_Inventory[[#This Row],[sum_land]]-IF(Grandview_Inventory[[#This Row],[no_utilities]]=1,12000,0))/IF(Grandview_Inventory[[#This Row],[unbuildable]]=1,2,1)</f>
        <v>110146.99687649969</v>
      </c>
      <c r="CA2530">
        <f>IF(ROUND(Grandview_Inventory[[#This Row],[adj_land]]*Lookups!$M$28,-2)&lt;Grandview_Inventory[[#This Row],[min_land]],Grandview_Inventory[[#This Row],[min_land]],ROUND(Grandview_Inventory[[#This Row],[adj_land]]*Lookups!$M$28,-2))</f>
        <v>104600</v>
      </c>
      <c r="CB2530">
        <f>ROUND(Grandview_Inventory[[#This Row],[det_value]]*Lookups!$M$28,-2)</f>
        <v>0</v>
      </c>
      <c r="CC253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0">
        <f>Grandview_Inventory[[#This Row],[final_det]]+Grandview_Inventory[[#This Row],[final_res]]</f>
        <v>0</v>
      </c>
      <c r="CE2530">
        <f>Grandview_Inventory[[#This Row],[final_land]]+Grandview_Inventory[[#This Row],[final_imp]]+Grandview_Inventory[[#This Row],[crop_value]]</f>
        <v>133700</v>
      </c>
      <c r="CG2530" t="str">
        <f t="shared" si="39"/>
        <v>update valuation set market_land =104600, market_bldg=0, market_total =133700, market_mdno =401, market_date ='9/10/2023' where link_id = (select link_id from parcel where parcel_year = '2024' and parcel_id = '23091341003');</v>
      </c>
    </row>
    <row r="2531" spans="1:85" x14ac:dyDescent="0.25">
      <c r="A2531">
        <v>23091341004</v>
      </c>
      <c r="B2531">
        <v>18.93</v>
      </c>
      <c r="C2531">
        <v>824793</v>
      </c>
      <c r="D2531" t="s">
        <v>129</v>
      </c>
      <c r="E2531" t="s">
        <v>53</v>
      </c>
      <c r="F2531" t="s">
        <v>53</v>
      </c>
      <c r="G2531">
        <v>4</v>
      </c>
      <c r="H2531" t="s">
        <v>54</v>
      </c>
      <c r="I2531">
        <v>54000</v>
      </c>
      <c r="J2531">
        <v>107900</v>
      </c>
      <c r="K2531">
        <v>18.93</v>
      </c>
      <c r="L2531">
        <f>IF(Grandview_Inventory[[#This Row],[parcel_acres]]-Grandview_Inventory[[#This Row],[non_valued_acres]] =0,0,LN(Grandview_Inventory[[#This Row],[parcel_acres]]-Grandview_Inventory[[#This Row],[non_valued_acres]]))</f>
        <v>2.9407479652212314</v>
      </c>
      <c r="M2531">
        <v>0</v>
      </c>
      <c r="N2531">
        <v>0</v>
      </c>
      <c r="O2531">
        <v>0</v>
      </c>
      <c r="P2531">
        <v>13398.7528</v>
      </c>
      <c r="Q2531">
        <v>63903</v>
      </c>
      <c r="R2531">
        <f>(Grandview_Inventory[[#This Row],[ln_acres]]*Grandview_Inventory[[#This Row],[coeff]])+Grandview_Inventory[[#This Row],[const]]</f>
        <v>103305.35503310227</v>
      </c>
      <c r="AY2531">
        <v>54000</v>
      </c>
      <c r="AZ2531">
        <v>0</v>
      </c>
      <c r="BE2531">
        <v>0</v>
      </c>
      <c r="BF2531">
        <v>15000</v>
      </c>
      <c r="BG2531">
        <v>0</v>
      </c>
      <c r="BH2531" s="6">
        <f>Grandview_Inventory[[#This Row],[land_extract]]*Lookups!$B$3</f>
        <v>119968.22987548307</v>
      </c>
      <c r="BI2531" s="6">
        <f>IF(Grandview_Inventory[[#This Row],[bldg_style]]="",0,Lookups!$B$2)</f>
        <v>0</v>
      </c>
      <c r="BJ2531" s="6">
        <f>_xlfn.IFNA(VLOOKUP(Grandview_Inventory[[#This Row],[quality]],Lookups!$H$2:$J$14,3,FALSE),0)</f>
        <v>0</v>
      </c>
      <c r="BK2531" s="6">
        <f>_xlfn.IFNA(VLOOKUP(Grandview_Inventory[[#This Row],[condition]],Lookups!$H$17:$J$24,3,FALSE),0)</f>
        <v>0</v>
      </c>
      <c r="BL2531" s="6">
        <f>Grandview_Inventory[[#This Row],[Eff_Age]]*Lookups!$B$14</f>
        <v>0</v>
      </c>
      <c r="BM2531" s="6">
        <f>Grandview_Inventory[[#This Row],[living_area]]*Lookups!$B$15</f>
        <v>0</v>
      </c>
      <c r="BN2531" s="6">
        <f>Grandview_Inventory[[#This Row],[Fin BSMT]]*Lookups!$B$16</f>
        <v>0</v>
      </c>
      <c r="BO2531" s="6">
        <f>(Grandview_Inventory[[#This Row],[att_gar]]+Grandview_Inventory[[#This Row],[bltin_gar]])*Lookups!$B$17</f>
        <v>0</v>
      </c>
      <c r="BP2531" s="6">
        <f>Grandview_Inventory[[#This Row],[Plumbing Fixtures]]*Lookups!$B$18</f>
        <v>0</v>
      </c>
      <c r="BQ2531" s="6">
        <f>Grandview_Inventory[[#This Row],[detatched_value]]*Lookups!$B$19</f>
        <v>0</v>
      </c>
      <c r="BR2531" s="6">
        <f>SUM(Grandview_Inventory[[#This Row],[Intercept]:[det_value]])*Grandview_Inventory[[#This Row],[res_pct]]</f>
        <v>0</v>
      </c>
      <c r="BS2531" s="6">
        <f>Grandview_Inventory[[#This Row],[land_value]]</f>
        <v>119968.22987548307</v>
      </c>
      <c r="BT2531" s="4">
        <f>_xlfn.IFNA(VLOOKUP(Grandview_Inventory[[#This Row],[quality]],Lookups!$A$26:$C$33,3,FALSE),1)</f>
        <v>1</v>
      </c>
      <c r="BU2531" s="4">
        <f>_xlfn.IFNA(VLOOKUP(Grandview_Inventory[[#This Row],[condition]],Lookups!$A$37:$C$44,3,FALSE),1)</f>
        <v>1</v>
      </c>
      <c r="BV2531" s="4">
        <f>IF(Grandview_Inventory[[#This Row],[bldg_style]]="",1,_xlfn.IFNA(VLOOKUP(Grandview_Inventory[[#This Row],[decade]],Lookups!$F$29:$H$43,3,FALSE),1))</f>
        <v>1</v>
      </c>
      <c r="BW2531" s="4">
        <f>_xlfn.IFNA(VLOOKUP(Grandview_Inventory[[#This Row],[living_area_range]],Lookups!$F$47:$H$56,3,FALSE),1)</f>
        <v>1</v>
      </c>
      <c r="BX2531" s="4">
        <f>AVERAGE(Grandview_Inventory[[#This Row],[qual_adj]:[size_adj]])</f>
        <v>1</v>
      </c>
      <c r="BY2531" s="6">
        <f>IF(Grandview_Inventory[[#This Row],[pre_res]]&lt;0,0,Grandview_Inventory[[#This Row],[pre_res]]*Grandview_Inventory[[#This Row],[overall_adj]])</f>
        <v>0</v>
      </c>
      <c r="BZ2531" s="6">
        <f>(Grandview_Inventory[[#This Row],[sum_land]]-IF(Grandview_Inventory[[#This Row],[no_utilities]]=1,12000,0))/IF(Grandview_Inventory[[#This Row],[unbuildable]]=1,2,1)</f>
        <v>119968.22987548307</v>
      </c>
      <c r="CA2531">
        <f>IF(ROUND(Grandview_Inventory[[#This Row],[adj_land]]*Lookups!$M$28,-2)&lt;Grandview_Inventory[[#This Row],[min_land]],Grandview_Inventory[[#This Row],[min_land]],ROUND(Grandview_Inventory[[#This Row],[adj_land]]*Lookups!$M$28,-2))</f>
        <v>114000</v>
      </c>
      <c r="CB2531">
        <f>ROUND(Grandview_Inventory[[#This Row],[det_value]]*Lookups!$M$28,-2)</f>
        <v>0</v>
      </c>
      <c r="CC253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1">
        <f>Grandview_Inventory[[#This Row],[final_det]]+Grandview_Inventory[[#This Row],[final_res]]</f>
        <v>0</v>
      </c>
      <c r="CE2531">
        <f>Grandview_Inventory[[#This Row],[final_land]]+Grandview_Inventory[[#This Row],[final_imp]]+Grandview_Inventory[[#This Row],[crop_value]]</f>
        <v>168000</v>
      </c>
      <c r="CG2531" t="str">
        <f t="shared" si="39"/>
        <v>update valuation set market_land =114000, market_bldg=0, market_total =168000, market_mdno =401, market_date ='9/10/2023' where link_id = (select link_id from parcel where parcel_year = '2024' and parcel_id = '23091341004');</v>
      </c>
    </row>
    <row r="2532" spans="1:85" x14ac:dyDescent="0.25">
      <c r="A2532">
        <v>23091342004</v>
      </c>
      <c r="B2532">
        <v>28.21</v>
      </c>
      <c r="C2532">
        <v>1228835</v>
      </c>
      <c r="D2532" t="s">
        <v>129</v>
      </c>
      <c r="E2532" t="s">
        <v>53</v>
      </c>
      <c r="F2532" t="s">
        <v>53</v>
      </c>
      <c r="G2532">
        <v>4</v>
      </c>
      <c r="H2532" t="s">
        <v>180</v>
      </c>
      <c r="I2532">
        <v>42300</v>
      </c>
      <c r="J2532">
        <v>160800</v>
      </c>
      <c r="K2532">
        <v>28.21</v>
      </c>
      <c r="L2532">
        <f>IF(Grandview_Inventory[[#This Row],[parcel_acres]]-Grandview_Inventory[[#This Row],[non_valued_acres]] =0,0,LN(Grandview_Inventory[[#This Row],[parcel_acres]]-Grandview_Inventory[[#This Row],[non_valued_acres]]))</f>
        <v>3.3396765250139051</v>
      </c>
      <c r="M2532">
        <v>0</v>
      </c>
      <c r="N2532">
        <v>0</v>
      </c>
      <c r="O2532">
        <v>0</v>
      </c>
      <c r="P2532">
        <v>13398.7528</v>
      </c>
      <c r="Q2532">
        <v>63903</v>
      </c>
      <c r="R2532">
        <f>(Grandview_Inventory[[#This Row],[ln_acres]]*Grandview_Inventory[[#This Row],[coeff]])+Grandview_Inventory[[#This Row],[const]]</f>
        <v>108650.50019062433</v>
      </c>
      <c r="AY2532">
        <v>42300</v>
      </c>
      <c r="AZ2532">
        <v>0</v>
      </c>
      <c r="BE2532">
        <v>0</v>
      </c>
      <c r="BF2532">
        <v>15000</v>
      </c>
      <c r="BG2532">
        <v>0</v>
      </c>
      <c r="BH2532" s="6">
        <f>Grandview_Inventory[[#This Row],[land_extract]]*Lookups!$B$3</f>
        <v>126175.53251502151</v>
      </c>
      <c r="BI2532" s="6">
        <f>IF(Grandview_Inventory[[#This Row],[bldg_style]]="",0,Lookups!$B$2)</f>
        <v>0</v>
      </c>
      <c r="BJ2532" s="6">
        <f>_xlfn.IFNA(VLOOKUP(Grandview_Inventory[[#This Row],[quality]],Lookups!$H$2:$J$14,3,FALSE),0)</f>
        <v>0</v>
      </c>
      <c r="BK2532" s="6">
        <f>_xlfn.IFNA(VLOOKUP(Grandview_Inventory[[#This Row],[condition]],Lookups!$H$17:$J$24,3,FALSE),0)</f>
        <v>0</v>
      </c>
      <c r="BL2532" s="6">
        <f>Grandview_Inventory[[#This Row],[Eff_Age]]*Lookups!$B$14</f>
        <v>0</v>
      </c>
      <c r="BM2532" s="6">
        <f>Grandview_Inventory[[#This Row],[living_area]]*Lookups!$B$15</f>
        <v>0</v>
      </c>
      <c r="BN2532" s="6">
        <f>Grandview_Inventory[[#This Row],[Fin BSMT]]*Lookups!$B$16</f>
        <v>0</v>
      </c>
      <c r="BO2532" s="6">
        <f>(Grandview_Inventory[[#This Row],[att_gar]]+Grandview_Inventory[[#This Row],[bltin_gar]])*Lookups!$B$17</f>
        <v>0</v>
      </c>
      <c r="BP2532" s="6">
        <f>Grandview_Inventory[[#This Row],[Plumbing Fixtures]]*Lookups!$B$18</f>
        <v>0</v>
      </c>
      <c r="BQ2532" s="6">
        <f>Grandview_Inventory[[#This Row],[detatched_value]]*Lookups!$B$19</f>
        <v>0</v>
      </c>
      <c r="BR2532" s="6">
        <f>SUM(Grandview_Inventory[[#This Row],[Intercept]:[det_value]])*Grandview_Inventory[[#This Row],[res_pct]]</f>
        <v>0</v>
      </c>
      <c r="BS2532" s="6">
        <f>Grandview_Inventory[[#This Row],[land_value]]</f>
        <v>126175.53251502151</v>
      </c>
      <c r="BT2532" s="4">
        <f>_xlfn.IFNA(VLOOKUP(Grandview_Inventory[[#This Row],[quality]],Lookups!$A$26:$C$33,3,FALSE),1)</f>
        <v>1</v>
      </c>
      <c r="BU2532" s="4">
        <f>_xlfn.IFNA(VLOOKUP(Grandview_Inventory[[#This Row],[condition]],Lookups!$A$37:$C$44,3,FALSE),1)</f>
        <v>1</v>
      </c>
      <c r="BV2532" s="4">
        <f>IF(Grandview_Inventory[[#This Row],[bldg_style]]="",1,_xlfn.IFNA(VLOOKUP(Grandview_Inventory[[#This Row],[decade]],Lookups!$F$29:$H$43,3,FALSE),1))</f>
        <v>1</v>
      </c>
      <c r="BW2532" s="4">
        <f>_xlfn.IFNA(VLOOKUP(Grandview_Inventory[[#This Row],[living_area_range]],Lookups!$F$47:$H$56,3,FALSE),1)</f>
        <v>1</v>
      </c>
      <c r="BX2532" s="4">
        <f>AVERAGE(Grandview_Inventory[[#This Row],[qual_adj]:[size_adj]])</f>
        <v>1</v>
      </c>
      <c r="BY2532" s="6">
        <f>IF(Grandview_Inventory[[#This Row],[pre_res]]&lt;0,0,Grandview_Inventory[[#This Row],[pre_res]]*Grandview_Inventory[[#This Row],[overall_adj]])</f>
        <v>0</v>
      </c>
      <c r="BZ2532" s="6">
        <f>(Grandview_Inventory[[#This Row],[sum_land]]-IF(Grandview_Inventory[[#This Row],[no_utilities]]=1,12000,0))/IF(Grandview_Inventory[[#This Row],[unbuildable]]=1,2,1)</f>
        <v>126175.53251502151</v>
      </c>
      <c r="CA2532">
        <f>IF(ROUND(Grandview_Inventory[[#This Row],[adj_land]]*Lookups!$M$28,-2)&lt;Grandview_Inventory[[#This Row],[min_land]],Grandview_Inventory[[#This Row],[min_land]],ROUND(Grandview_Inventory[[#This Row],[adj_land]]*Lookups!$M$28,-2))</f>
        <v>119900</v>
      </c>
      <c r="CB2532">
        <f>ROUND(Grandview_Inventory[[#This Row],[det_value]]*Lookups!$M$28,-2)</f>
        <v>0</v>
      </c>
      <c r="CC253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2">
        <f>Grandview_Inventory[[#This Row],[final_det]]+Grandview_Inventory[[#This Row],[final_res]]</f>
        <v>0</v>
      </c>
      <c r="CE2532">
        <f>Grandview_Inventory[[#This Row],[final_land]]+Grandview_Inventory[[#This Row],[final_imp]]+Grandview_Inventory[[#This Row],[crop_value]]</f>
        <v>162200</v>
      </c>
      <c r="CG2532" t="str">
        <f t="shared" si="39"/>
        <v>update valuation set market_land =119900, market_bldg=0, market_total =162200, market_mdno =401, market_date ='9/10/2023' where link_id = (select link_id from parcel where parcel_year = '2024' and parcel_id = '23091342004');</v>
      </c>
    </row>
    <row r="2533" spans="1:85" x14ac:dyDescent="0.25">
      <c r="A2533">
        <v>23091343002</v>
      </c>
      <c r="B2533">
        <v>28.09</v>
      </c>
      <c r="C2533">
        <v>1223417</v>
      </c>
      <c r="D2533" t="s">
        <v>129</v>
      </c>
      <c r="E2533" t="s">
        <v>53</v>
      </c>
      <c r="F2533" t="s">
        <v>53</v>
      </c>
      <c r="G2533">
        <v>4</v>
      </c>
      <c r="H2533" t="s">
        <v>180</v>
      </c>
      <c r="I2533">
        <v>78900</v>
      </c>
      <c r="J2533">
        <v>160100</v>
      </c>
      <c r="K2533">
        <v>28.09</v>
      </c>
      <c r="L2533">
        <f>IF(Grandview_Inventory[[#This Row],[parcel_acres]]-Grandview_Inventory[[#This Row],[non_valued_acres]] =0,0,LN(Grandview_Inventory[[#This Row],[parcel_acres]]-Grandview_Inventory[[#This Row],[non_valued_acres]]))</f>
        <v>3.3354136411161521</v>
      </c>
      <c r="M2533">
        <v>0</v>
      </c>
      <c r="N2533">
        <v>0</v>
      </c>
      <c r="O2533">
        <v>0</v>
      </c>
      <c r="P2533">
        <v>13398.7528</v>
      </c>
      <c r="Q2533">
        <v>63903</v>
      </c>
      <c r="R2533">
        <f>(Grandview_Inventory[[#This Row],[ln_acres]]*Grandview_Inventory[[#This Row],[coeff]])+Grandview_Inventory[[#This Row],[const]]</f>
        <v>108593.38286306325</v>
      </c>
      <c r="AY2533">
        <v>78900</v>
      </c>
      <c r="AZ2533">
        <v>0</v>
      </c>
      <c r="BE2533">
        <v>0</v>
      </c>
      <c r="BF2533">
        <v>15000</v>
      </c>
      <c r="BG2533">
        <v>0</v>
      </c>
      <c r="BH2533" s="6">
        <f>Grandview_Inventory[[#This Row],[land_extract]]*Lookups!$B$3</f>
        <v>126109.20231674162</v>
      </c>
      <c r="BI2533" s="6">
        <f>IF(Grandview_Inventory[[#This Row],[bldg_style]]="",0,Lookups!$B$2)</f>
        <v>0</v>
      </c>
      <c r="BJ2533" s="6">
        <f>_xlfn.IFNA(VLOOKUP(Grandview_Inventory[[#This Row],[quality]],Lookups!$H$2:$J$14,3,FALSE),0)</f>
        <v>0</v>
      </c>
      <c r="BK2533" s="6">
        <f>_xlfn.IFNA(VLOOKUP(Grandview_Inventory[[#This Row],[condition]],Lookups!$H$17:$J$24,3,FALSE),0)</f>
        <v>0</v>
      </c>
      <c r="BL2533" s="6">
        <f>Grandview_Inventory[[#This Row],[Eff_Age]]*Lookups!$B$14</f>
        <v>0</v>
      </c>
      <c r="BM2533" s="6">
        <f>Grandview_Inventory[[#This Row],[living_area]]*Lookups!$B$15</f>
        <v>0</v>
      </c>
      <c r="BN2533" s="6">
        <f>Grandview_Inventory[[#This Row],[Fin BSMT]]*Lookups!$B$16</f>
        <v>0</v>
      </c>
      <c r="BO2533" s="6">
        <f>(Grandview_Inventory[[#This Row],[att_gar]]+Grandview_Inventory[[#This Row],[bltin_gar]])*Lookups!$B$17</f>
        <v>0</v>
      </c>
      <c r="BP2533" s="6">
        <f>Grandview_Inventory[[#This Row],[Plumbing Fixtures]]*Lookups!$B$18</f>
        <v>0</v>
      </c>
      <c r="BQ2533" s="6">
        <f>Grandview_Inventory[[#This Row],[detatched_value]]*Lookups!$B$19</f>
        <v>0</v>
      </c>
      <c r="BR2533" s="6">
        <f>SUM(Grandview_Inventory[[#This Row],[Intercept]:[det_value]])*Grandview_Inventory[[#This Row],[res_pct]]</f>
        <v>0</v>
      </c>
      <c r="BS2533" s="6">
        <f>Grandview_Inventory[[#This Row],[land_value]]</f>
        <v>126109.20231674162</v>
      </c>
      <c r="BT2533" s="4">
        <f>_xlfn.IFNA(VLOOKUP(Grandview_Inventory[[#This Row],[quality]],Lookups!$A$26:$C$33,3,FALSE),1)</f>
        <v>1</v>
      </c>
      <c r="BU2533" s="4">
        <f>_xlfn.IFNA(VLOOKUP(Grandview_Inventory[[#This Row],[condition]],Lookups!$A$37:$C$44,3,FALSE),1)</f>
        <v>1</v>
      </c>
      <c r="BV2533" s="4">
        <f>IF(Grandview_Inventory[[#This Row],[bldg_style]]="",1,_xlfn.IFNA(VLOOKUP(Grandview_Inventory[[#This Row],[decade]],Lookups!$F$29:$H$43,3,FALSE),1))</f>
        <v>1</v>
      </c>
      <c r="BW2533" s="4">
        <f>_xlfn.IFNA(VLOOKUP(Grandview_Inventory[[#This Row],[living_area_range]],Lookups!$F$47:$H$56,3,FALSE),1)</f>
        <v>1</v>
      </c>
      <c r="BX2533" s="4">
        <f>AVERAGE(Grandview_Inventory[[#This Row],[qual_adj]:[size_adj]])</f>
        <v>1</v>
      </c>
      <c r="BY2533" s="6">
        <f>IF(Grandview_Inventory[[#This Row],[pre_res]]&lt;0,0,Grandview_Inventory[[#This Row],[pre_res]]*Grandview_Inventory[[#This Row],[overall_adj]])</f>
        <v>0</v>
      </c>
      <c r="BZ2533" s="6">
        <f>(Grandview_Inventory[[#This Row],[sum_land]]-IF(Grandview_Inventory[[#This Row],[no_utilities]]=1,12000,0))/IF(Grandview_Inventory[[#This Row],[unbuildable]]=1,2,1)</f>
        <v>126109.20231674162</v>
      </c>
      <c r="CA2533">
        <f>IF(ROUND(Grandview_Inventory[[#This Row],[adj_land]]*Lookups!$M$28,-2)&lt;Grandview_Inventory[[#This Row],[min_land]],Grandview_Inventory[[#This Row],[min_land]],ROUND(Grandview_Inventory[[#This Row],[adj_land]]*Lookups!$M$28,-2))</f>
        <v>119800</v>
      </c>
      <c r="CB2533">
        <f>ROUND(Grandview_Inventory[[#This Row],[det_value]]*Lookups!$M$28,-2)</f>
        <v>0</v>
      </c>
      <c r="CC253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3">
        <f>Grandview_Inventory[[#This Row],[final_det]]+Grandview_Inventory[[#This Row],[final_res]]</f>
        <v>0</v>
      </c>
      <c r="CE2533">
        <f>Grandview_Inventory[[#This Row],[final_land]]+Grandview_Inventory[[#This Row],[final_imp]]+Grandview_Inventory[[#This Row],[crop_value]]</f>
        <v>198700</v>
      </c>
      <c r="CG2533" t="str">
        <f t="shared" si="39"/>
        <v>update valuation set market_land =119800, market_bldg=0, market_total =198700, market_mdno =401, market_date ='9/10/2023' where link_id = (select link_id from parcel where parcel_year = '2024' and parcel_id = '23091343002');</v>
      </c>
    </row>
    <row r="2534" spans="1:85" x14ac:dyDescent="0.25">
      <c r="A2534">
        <v>23091344001</v>
      </c>
      <c r="B2534">
        <v>10.26</v>
      </c>
      <c r="C2534">
        <v>446719</v>
      </c>
      <c r="D2534" t="s">
        <v>129</v>
      </c>
      <c r="E2534" t="s">
        <v>53</v>
      </c>
      <c r="F2534" t="s">
        <v>53</v>
      </c>
      <c r="G2534">
        <v>4</v>
      </c>
      <c r="H2534" t="s">
        <v>54</v>
      </c>
      <c r="I2534">
        <v>29400</v>
      </c>
      <c r="J2534">
        <v>65700</v>
      </c>
      <c r="K2534">
        <v>10.26</v>
      </c>
      <c r="L2534">
        <f>IF(Grandview_Inventory[[#This Row],[parcel_acres]]-Grandview_Inventory[[#This Row],[non_valued_acres]] =0,0,LN(Grandview_Inventory[[#This Row],[parcel_acres]]-Grandview_Inventory[[#This Row],[non_valued_acres]]))</f>
        <v>2.3282528397426234</v>
      </c>
      <c r="M2534">
        <v>0</v>
      </c>
      <c r="N2534">
        <v>0</v>
      </c>
      <c r="O2534">
        <v>0</v>
      </c>
      <c r="P2534">
        <v>13398.7528</v>
      </c>
      <c r="Q2534">
        <v>63903</v>
      </c>
      <c r="R2534">
        <f>(Grandview_Inventory[[#This Row],[ln_acres]]*Grandview_Inventory[[#This Row],[coeff]])+Grandview_Inventory[[#This Row],[const]]</f>
        <v>95098.684255609434</v>
      </c>
      <c r="AY2534">
        <v>29400</v>
      </c>
      <c r="AZ2534">
        <v>0</v>
      </c>
      <c r="BE2534">
        <v>0</v>
      </c>
      <c r="BF2534">
        <v>15000</v>
      </c>
      <c r="BG2534">
        <v>0</v>
      </c>
      <c r="BH2534" s="6">
        <f>Grandview_Inventory[[#This Row],[land_extract]]*Lookups!$B$3</f>
        <v>110437.84525959175</v>
      </c>
      <c r="BI2534" s="6">
        <f>IF(Grandview_Inventory[[#This Row],[bldg_style]]="",0,Lookups!$B$2)</f>
        <v>0</v>
      </c>
      <c r="BJ2534" s="6">
        <f>_xlfn.IFNA(VLOOKUP(Grandview_Inventory[[#This Row],[quality]],Lookups!$H$2:$J$14,3,FALSE),0)</f>
        <v>0</v>
      </c>
      <c r="BK2534" s="6">
        <f>_xlfn.IFNA(VLOOKUP(Grandview_Inventory[[#This Row],[condition]],Lookups!$H$17:$J$24,3,FALSE),0)</f>
        <v>0</v>
      </c>
      <c r="BL2534" s="6">
        <f>Grandview_Inventory[[#This Row],[Eff_Age]]*Lookups!$B$14</f>
        <v>0</v>
      </c>
      <c r="BM2534" s="6">
        <f>Grandview_Inventory[[#This Row],[living_area]]*Lookups!$B$15</f>
        <v>0</v>
      </c>
      <c r="BN2534" s="6">
        <f>Grandview_Inventory[[#This Row],[Fin BSMT]]*Lookups!$B$16</f>
        <v>0</v>
      </c>
      <c r="BO2534" s="6">
        <f>(Grandview_Inventory[[#This Row],[att_gar]]+Grandview_Inventory[[#This Row],[bltin_gar]])*Lookups!$B$17</f>
        <v>0</v>
      </c>
      <c r="BP2534" s="6">
        <f>Grandview_Inventory[[#This Row],[Plumbing Fixtures]]*Lookups!$B$18</f>
        <v>0</v>
      </c>
      <c r="BQ2534" s="6">
        <f>Grandview_Inventory[[#This Row],[detatched_value]]*Lookups!$B$19</f>
        <v>0</v>
      </c>
      <c r="BR2534" s="6">
        <f>SUM(Grandview_Inventory[[#This Row],[Intercept]:[det_value]])*Grandview_Inventory[[#This Row],[res_pct]]</f>
        <v>0</v>
      </c>
      <c r="BS2534" s="6">
        <f>Grandview_Inventory[[#This Row],[land_value]]</f>
        <v>110437.84525959175</v>
      </c>
      <c r="BT2534" s="4">
        <f>_xlfn.IFNA(VLOOKUP(Grandview_Inventory[[#This Row],[quality]],Lookups!$A$26:$C$33,3,FALSE),1)</f>
        <v>1</v>
      </c>
      <c r="BU2534" s="4">
        <f>_xlfn.IFNA(VLOOKUP(Grandview_Inventory[[#This Row],[condition]],Lookups!$A$37:$C$44,3,FALSE),1)</f>
        <v>1</v>
      </c>
      <c r="BV2534" s="4">
        <f>IF(Grandview_Inventory[[#This Row],[bldg_style]]="",1,_xlfn.IFNA(VLOOKUP(Grandview_Inventory[[#This Row],[decade]],Lookups!$F$29:$H$43,3,FALSE),1))</f>
        <v>1</v>
      </c>
      <c r="BW2534" s="4">
        <f>_xlfn.IFNA(VLOOKUP(Grandview_Inventory[[#This Row],[living_area_range]],Lookups!$F$47:$H$56,3,FALSE),1)</f>
        <v>1</v>
      </c>
      <c r="BX2534" s="4">
        <f>AVERAGE(Grandview_Inventory[[#This Row],[qual_adj]:[size_adj]])</f>
        <v>1</v>
      </c>
      <c r="BY2534" s="6">
        <f>IF(Grandview_Inventory[[#This Row],[pre_res]]&lt;0,0,Grandview_Inventory[[#This Row],[pre_res]]*Grandview_Inventory[[#This Row],[overall_adj]])</f>
        <v>0</v>
      </c>
      <c r="BZ2534" s="6">
        <f>(Grandview_Inventory[[#This Row],[sum_land]]-IF(Grandview_Inventory[[#This Row],[no_utilities]]=1,12000,0))/IF(Grandview_Inventory[[#This Row],[unbuildable]]=1,2,1)</f>
        <v>110437.84525959175</v>
      </c>
      <c r="CA2534">
        <f>IF(ROUND(Grandview_Inventory[[#This Row],[adj_land]]*Lookups!$M$28,-2)&lt;Grandview_Inventory[[#This Row],[min_land]],Grandview_Inventory[[#This Row],[min_land]],ROUND(Grandview_Inventory[[#This Row],[adj_land]]*Lookups!$M$28,-2))</f>
        <v>104900</v>
      </c>
      <c r="CB2534">
        <f>ROUND(Grandview_Inventory[[#This Row],[det_value]]*Lookups!$M$28,-2)</f>
        <v>0</v>
      </c>
      <c r="CC253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4">
        <f>Grandview_Inventory[[#This Row],[final_det]]+Grandview_Inventory[[#This Row],[final_res]]</f>
        <v>0</v>
      </c>
      <c r="CE2534">
        <f>Grandview_Inventory[[#This Row],[final_land]]+Grandview_Inventory[[#This Row],[final_imp]]+Grandview_Inventory[[#This Row],[crop_value]]</f>
        <v>134300</v>
      </c>
      <c r="CG2534" t="str">
        <f t="shared" si="39"/>
        <v>update valuation set market_land =104900, market_bldg=0, market_total =134300, market_mdno =401, market_date ='9/10/2023' where link_id = (select link_id from parcel where parcel_year = '2024' and parcel_id = '23091344001');</v>
      </c>
    </row>
    <row r="2535" spans="1:85" x14ac:dyDescent="0.25">
      <c r="A2535">
        <v>23091344401</v>
      </c>
      <c r="B2535">
        <v>14.63</v>
      </c>
      <c r="C2535">
        <v>637376</v>
      </c>
      <c r="D2535" t="s">
        <v>129</v>
      </c>
      <c r="E2535" t="s">
        <v>53</v>
      </c>
      <c r="F2535" t="s">
        <v>53</v>
      </c>
      <c r="G2535">
        <v>4</v>
      </c>
      <c r="H2535" t="s">
        <v>54</v>
      </c>
      <c r="I2535">
        <v>43500</v>
      </c>
      <c r="J2535">
        <v>83400</v>
      </c>
      <c r="K2535">
        <v>14.63</v>
      </c>
      <c r="L2535">
        <f>IF(Grandview_Inventory[[#This Row],[parcel_acres]]-Grandview_Inventory[[#This Row],[non_valued_acres]] =0,0,LN(Grandview_Inventory[[#This Row],[parcel_acres]]-Grandview_Inventory[[#This Row],[non_valued_acres]]))</f>
        <v>2.683074215032033</v>
      </c>
      <c r="M2535">
        <v>0</v>
      </c>
      <c r="N2535">
        <v>0</v>
      </c>
      <c r="O2535">
        <v>0</v>
      </c>
      <c r="P2535">
        <v>13398.7528</v>
      </c>
      <c r="Q2535">
        <v>63903</v>
      </c>
      <c r="R2535">
        <f>(Grandview_Inventory[[#This Row],[ln_acres]]*Grandview_Inventory[[#This Row],[coeff]])+Grandview_Inventory[[#This Row],[const]]</f>
        <v>99852.848151268263</v>
      </c>
      <c r="AY2535">
        <v>43500</v>
      </c>
      <c r="AZ2535">
        <v>0</v>
      </c>
      <c r="BE2535">
        <v>0</v>
      </c>
      <c r="BF2535">
        <v>15000</v>
      </c>
      <c r="BG2535">
        <v>0</v>
      </c>
      <c r="BH2535" s="6">
        <f>Grandview_Inventory[[#This Row],[land_extract]]*Lookups!$B$3</f>
        <v>115958.84295537783</v>
      </c>
      <c r="BI2535" s="6">
        <f>IF(Grandview_Inventory[[#This Row],[bldg_style]]="",0,Lookups!$B$2)</f>
        <v>0</v>
      </c>
      <c r="BJ2535" s="6">
        <f>_xlfn.IFNA(VLOOKUP(Grandview_Inventory[[#This Row],[quality]],Lookups!$H$2:$J$14,3,FALSE),0)</f>
        <v>0</v>
      </c>
      <c r="BK2535" s="6">
        <f>_xlfn.IFNA(VLOOKUP(Grandview_Inventory[[#This Row],[condition]],Lookups!$H$17:$J$24,3,FALSE),0)</f>
        <v>0</v>
      </c>
      <c r="BL2535" s="6">
        <f>Grandview_Inventory[[#This Row],[Eff_Age]]*Lookups!$B$14</f>
        <v>0</v>
      </c>
      <c r="BM2535" s="6">
        <f>Grandview_Inventory[[#This Row],[living_area]]*Lookups!$B$15</f>
        <v>0</v>
      </c>
      <c r="BN2535" s="6">
        <f>Grandview_Inventory[[#This Row],[Fin BSMT]]*Lookups!$B$16</f>
        <v>0</v>
      </c>
      <c r="BO2535" s="6">
        <f>(Grandview_Inventory[[#This Row],[att_gar]]+Grandview_Inventory[[#This Row],[bltin_gar]])*Lookups!$B$17</f>
        <v>0</v>
      </c>
      <c r="BP2535" s="6">
        <f>Grandview_Inventory[[#This Row],[Plumbing Fixtures]]*Lookups!$B$18</f>
        <v>0</v>
      </c>
      <c r="BQ2535" s="6">
        <f>Grandview_Inventory[[#This Row],[detatched_value]]*Lookups!$B$19</f>
        <v>0</v>
      </c>
      <c r="BR2535" s="6">
        <f>SUM(Grandview_Inventory[[#This Row],[Intercept]:[det_value]])*Grandview_Inventory[[#This Row],[res_pct]]</f>
        <v>0</v>
      </c>
      <c r="BS2535" s="6">
        <f>Grandview_Inventory[[#This Row],[land_value]]</f>
        <v>115958.84295537783</v>
      </c>
      <c r="BT2535" s="4">
        <f>_xlfn.IFNA(VLOOKUP(Grandview_Inventory[[#This Row],[quality]],Lookups!$A$26:$C$33,3,FALSE),1)</f>
        <v>1</v>
      </c>
      <c r="BU2535" s="4">
        <f>_xlfn.IFNA(VLOOKUP(Grandview_Inventory[[#This Row],[condition]],Lookups!$A$37:$C$44,3,FALSE),1)</f>
        <v>1</v>
      </c>
      <c r="BV2535" s="4">
        <f>IF(Grandview_Inventory[[#This Row],[bldg_style]]="",1,_xlfn.IFNA(VLOOKUP(Grandview_Inventory[[#This Row],[decade]],Lookups!$F$29:$H$43,3,FALSE),1))</f>
        <v>1</v>
      </c>
      <c r="BW2535" s="4">
        <f>_xlfn.IFNA(VLOOKUP(Grandview_Inventory[[#This Row],[living_area_range]],Lookups!$F$47:$H$56,3,FALSE),1)</f>
        <v>1</v>
      </c>
      <c r="BX2535" s="4">
        <f>AVERAGE(Grandview_Inventory[[#This Row],[qual_adj]:[size_adj]])</f>
        <v>1</v>
      </c>
      <c r="BY2535" s="6">
        <f>IF(Grandview_Inventory[[#This Row],[pre_res]]&lt;0,0,Grandview_Inventory[[#This Row],[pre_res]]*Grandview_Inventory[[#This Row],[overall_adj]])</f>
        <v>0</v>
      </c>
      <c r="BZ2535" s="6">
        <f>(Grandview_Inventory[[#This Row],[sum_land]]-IF(Grandview_Inventory[[#This Row],[no_utilities]]=1,12000,0))/IF(Grandview_Inventory[[#This Row],[unbuildable]]=1,2,1)</f>
        <v>115958.84295537783</v>
      </c>
      <c r="CA2535">
        <f>IF(ROUND(Grandview_Inventory[[#This Row],[adj_land]]*Lookups!$M$28,-2)&lt;Grandview_Inventory[[#This Row],[min_land]],Grandview_Inventory[[#This Row],[min_land]],ROUND(Grandview_Inventory[[#This Row],[adj_land]]*Lookups!$M$28,-2))</f>
        <v>110200</v>
      </c>
      <c r="CB2535">
        <f>ROUND(Grandview_Inventory[[#This Row],[det_value]]*Lookups!$M$28,-2)</f>
        <v>0</v>
      </c>
      <c r="CC253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5">
        <f>Grandview_Inventory[[#This Row],[final_det]]+Grandview_Inventory[[#This Row],[final_res]]</f>
        <v>0</v>
      </c>
      <c r="CE2535">
        <f>Grandview_Inventory[[#This Row],[final_land]]+Grandview_Inventory[[#This Row],[final_imp]]+Grandview_Inventory[[#This Row],[crop_value]]</f>
        <v>153700</v>
      </c>
      <c r="CG2535" t="str">
        <f t="shared" si="39"/>
        <v>update valuation set market_land =110200, market_bldg=0, market_total =153700, market_mdno =401, market_date ='9/10/2023' where link_id = (select link_id from parcel where parcel_year = '2024' and parcel_id = '23091344401');</v>
      </c>
    </row>
    <row r="2536" spans="1:85" x14ac:dyDescent="0.25">
      <c r="A2536">
        <v>23091344403</v>
      </c>
      <c r="B2536">
        <v>1.18</v>
      </c>
      <c r="C2536" t="s">
        <v>129</v>
      </c>
      <c r="D2536" t="s">
        <v>129</v>
      </c>
      <c r="E2536" t="s">
        <v>53</v>
      </c>
      <c r="F2536" t="s">
        <v>53</v>
      </c>
      <c r="G2536">
        <v>4</v>
      </c>
      <c r="H2536" t="s">
        <v>54</v>
      </c>
      <c r="I2536">
        <v>3000</v>
      </c>
      <c r="J2536">
        <v>15900</v>
      </c>
      <c r="K2536">
        <v>1.18</v>
      </c>
      <c r="L2536">
        <f>IF(Grandview_Inventory[[#This Row],[parcel_acres]]-Grandview_Inventory[[#This Row],[non_valued_acres]] =0,0,LN(Grandview_Inventory[[#This Row],[parcel_acres]]-Grandview_Inventory[[#This Row],[non_valued_acres]]))</f>
        <v>0.16551443847757333</v>
      </c>
      <c r="M2536">
        <v>0</v>
      </c>
      <c r="N2536">
        <v>0</v>
      </c>
      <c r="O2536">
        <v>1</v>
      </c>
      <c r="P2536">
        <v>13398.7528</v>
      </c>
      <c r="Q2536">
        <v>63903</v>
      </c>
      <c r="R2536">
        <f>(Grandview_Inventory[[#This Row],[ln_acres]]*Grandview_Inventory[[#This Row],[coeff]])+Grandview_Inventory[[#This Row],[const]]</f>
        <v>66120.687045991814</v>
      </c>
      <c r="AY2536">
        <v>3000</v>
      </c>
      <c r="AZ2536">
        <v>0</v>
      </c>
      <c r="BE2536">
        <v>0</v>
      </c>
      <c r="BF2536">
        <v>3000</v>
      </c>
      <c r="BG2536">
        <v>0</v>
      </c>
      <c r="BH2536" s="6">
        <f>Grandview_Inventory[[#This Row],[land_extract]]*Lookups!$B$3</f>
        <v>76785.775340655266</v>
      </c>
      <c r="BI2536" s="6">
        <f>IF(Grandview_Inventory[[#This Row],[bldg_style]]="",0,Lookups!$B$2)</f>
        <v>0</v>
      </c>
      <c r="BJ2536" s="6">
        <f>_xlfn.IFNA(VLOOKUP(Grandview_Inventory[[#This Row],[quality]],Lookups!$H$2:$J$14,3,FALSE),0)</f>
        <v>0</v>
      </c>
      <c r="BK2536" s="6">
        <f>_xlfn.IFNA(VLOOKUP(Grandview_Inventory[[#This Row],[condition]],Lookups!$H$17:$J$24,3,FALSE),0)</f>
        <v>0</v>
      </c>
      <c r="BL2536" s="6">
        <f>Grandview_Inventory[[#This Row],[Eff_Age]]*Lookups!$B$14</f>
        <v>0</v>
      </c>
      <c r="BM2536" s="6">
        <f>Grandview_Inventory[[#This Row],[living_area]]*Lookups!$B$15</f>
        <v>0</v>
      </c>
      <c r="BN2536" s="6">
        <f>Grandview_Inventory[[#This Row],[Fin BSMT]]*Lookups!$B$16</f>
        <v>0</v>
      </c>
      <c r="BO2536" s="6">
        <f>(Grandview_Inventory[[#This Row],[att_gar]]+Grandview_Inventory[[#This Row],[bltin_gar]])*Lookups!$B$17</f>
        <v>0</v>
      </c>
      <c r="BP2536" s="6">
        <f>Grandview_Inventory[[#This Row],[Plumbing Fixtures]]*Lookups!$B$18</f>
        <v>0</v>
      </c>
      <c r="BQ2536" s="6">
        <f>Grandview_Inventory[[#This Row],[detatched_value]]*Lookups!$B$19</f>
        <v>0</v>
      </c>
      <c r="BR2536" s="6">
        <f>SUM(Grandview_Inventory[[#This Row],[Intercept]:[det_value]])*Grandview_Inventory[[#This Row],[res_pct]]</f>
        <v>0</v>
      </c>
      <c r="BS2536" s="6">
        <f>Grandview_Inventory[[#This Row],[land_value]]</f>
        <v>76785.775340655266</v>
      </c>
      <c r="BT2536" s="4">
        <f>_xlfn.IFNA(VLOOKUP(Grandview_Inventory[[#This Row],[quality]],Lookups!$A$26:$C$33,3,FALSE),1)</f>
        <v>1</v>
      </c>
      <c r="BU2536" s="4">
        <f>_xlfn.IFNA(VLOOKUP(Grandview_Inventory[[#This Row],[condition]],Lookups!$A$37:$C$44,3,FALSE),1)</f>
        <v>1</v>
      </c>
      <c r="BV2536" s="4">
        <f>IF(Grandview_Inventory[[#This Row],[bldg_style]]="",1,_xlfn.IFNA(VLOOKUP(Grandview_Inventory[[#This Row],[decade]],Lookups!$F$29:$H$43,3,FALSE),1))</f>
        <v>1</v>
      </c>
      <c r="BW2536" s="4">
        <f>_xlfn.IFNA(VLOOKUP(Grandview_Inventory[[#This Row],[living_area_range]],Lookups!$F$47:$H$56,3,FALSE),1)</f>
        <v>1</v>
      </c>
      <c r="BX2536" s="4">
        <f>AVERAGE(Grandview_Inventory[[#This Row],[qual_adj]:[size_adj]])</f>
        <v>1</v>
      </c>
      <c r="BY2536" s="6">
        <f>IF(Grandview_Inventory[[#This Row],[pre_res]]&lt;0,0,Grandview_Inventory[[#This Row],[pre_res]]*Grandview_Inventory[[#This Row],[overall_adj]])</f>
        <v>0</v>
      </c>
      <c r="BZ2536" s="6">
        <f>(Grandview_Inventory[[#This Row],[sum_land]]-IF(Grandview_Inventory[[#This Row],[no_utilities]]=1,12000,0))/IF(Grandview_Inventory[[#This Row],[unbuildable]]=1,2,1)</f>
        <v>64785.775340655266</v>
      </c>
      <c r="CA2536">
        <f>IF(ROUND(Grandview_Inventory[[#This Row],[adj_land]]*Lookups!$M$28,-2)&lt;Grandview_Inventory[[#This Row],[min_land]],Grandview_Inventory[[#This Row],[min_land]],ROUND(Grandview_Inventory[[#This Row],[adj_land]]*Lookups!$M$28,-2))</f>
        <v>61500</v>
      </c>
      <c r="CB2536">
        <f>ROUND(Grandview_Inventory[[#This Row],[det_value]]*Lookups!$M$28,-2)</f>
        <v>0</v>
      </c>
      <c r="CC253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6">
        <f>Grandview_Inventory[[#This Row],[final_det]]+Grandview_Inventory[[#This Row],[final_res]]</f>
        <v>0</v>
      </c>
      <c r="CE2536">
        <f>Grandview_Inventory[[#This Row],[final_land]]+Grandview_Inventory[[#This Row],[final_imp]]+Grandview_Inventory[[#This Row],[crop_value]]</f>
        <v>64500</v>
      </c>
      <c r="CG2536" t="str">
        <f t="shared" si="39"/>
        <v>update valuation set market_land =61500, market_bldg=0, market_total =64500, market_mdno =401, market_date ='9/10/2023' where link_id = (select link_id from parcel where parcel_year = '2024' and parcel_id = '23091344403');</v>
      </c>
    </row>
    <row r="2537" spans="1:85" x14ac:dyDescent="0.25">
      <c r="A2537">
        <v>23091411002</v>
      </c>
      <c r="B2537">
        <v>14.45</v>
      </c>
      <c r="C2537">
        <v>629572</v>
      </c>
      <c r="D2537" t="s">
        <v>129</v>
      </c>
      <c r="E2537" t="s">
        <v>53</v>
      </c>
      <c r="F2537" t="s">
        <v>53</v>
      </c>
      <c r="G2537">
        <v>4</v>
      </c>
      <c r="H2537" t="s">
        <v>54</v>
      </c>
      <c r="I2537">
        <v>28000</v>
      </c>
      <c r="J2537">
        <v>82400</v>
      </c>
      <c r="K2537">
        <v>14.45</v>
      </c>
      <c r="L2537">
        <f>IF(Grandview_Inventory[[#This Row],[parcel_acres]]-Grandview_Inventory[[#This Row],[non_valued_acres]] =0,0,LN(Grandview_Inventory[[#This Row],[parcel_acres]]-Grandview_Inventory[[#This Row],[non_valued_acres]]))</f>
        <v>2.670694414558441</v>
      </c>
      <c r="M2537">
        <v>0</v>
      </c>
      <c r="N2537">
        <v>0</v>
      </c>
      <c r="O2537">
        <v>0</v>
      </c>
      <c r="P2537">
        <v>13398.7528</v>
      </c>
      <c r="Q2537">
        <v>63903</v>
      </c>
      <c r="R2537">
        <f>(Grandview_Inventory[[#This Row],[ln_acres]]*Grandview_Inventory[[#This Row],[coeff]])+Grandview_Inventory[[#This Row],[const]]</f>
        <v>99686.974265009281</v>
      </c>
      <c r="AY2537">
        <v>28000</v>
      </c>
      <c r="AZ2537">
        <v>0</v>
      </c>
      <c r="BE2537">
        <v>0</v>
      </c>
      <c r="BF2537">
        <v>15000</v>
      </c>
      <c r="BG2537">
        <v>0</v>
      </c>
      <c r="BH2537" s="6">
        <f>Grandview_Inventory[[#This Row],[land_extract]]*Lookups!$B$3</f>
        <v>115766.21405912476</v>
      </c>
      <c r="BI2537" s="6">
        <f>IF(Grandview_Inventory[[#This Row],[bldg_style]]="",0,Lookups!$B$2)</f>
        <v>0</v>
      </c>
      <c r="BJ2537" s="6">
        <f>_xlfn.IFNA(VLOOKUP(Grandview_Inventory[[#This Row],[quality]],Lookups!$H$2:$J$14,3,FALSE),0)</f>
        <v>0</v>
      </c>
      <c r="BK2537" s="6">
        <f>_xlfn.IFNA(VLOOKUP(Grandview_Inventory[[#This Row],[condition]],Lookups!$H$17:$J$24,3,FALSE),0)</f>
        <v>0</v>
      </c>
      <c r="BL2537" s="6">
        <f>Grandview_Inventory[[#This Row],[Eff_Age]]*Lookups!$B$14</f>
        <v>0</v>
      </c>
      <c r="BM2537" s="6">
        <f>Grandview_Inventory[[#This Row],[living_area]]*Lookups!$B$15</f>
        <v>0</v>
      </c>
      <c r="BN2537" s="6">
        <f>Grandview_Inventory[[#This Row],[Fin BSMT]]*Lookups!$B$16</f>
        <v>0</v>
      </c>
      <c r="BO2537" s="6">
        <f>(Grandview_Inventory[[#This Row],[att_gar]]+Grandview_Inventory[[#This Row],[bltin_gar]])*Lookups!$B$17</f>
        <v>0</v>
      </c>
      <c r="BP2537" s="6">
        <f>Grandview_Inventory[[#This Row],[Plumbing Fixtures]]*Lookups!$B$18</f>
        <v>0</v>
      </c>
      <c r="BQ2537" s="6">
        <f>Grandview_Inventory[[#This Row],[detatched_value]]*Lookups!$B$19</f>
        <v>0</v>
      </c>
      <c r="BR2537" s="6">
        <f>SUM(Grandview_Inventory[[#This Row],[Intercept]:[det_value]])*Grandview_Inventory[[#This Row],[res_pct]]</f>
        <v>0</v>
      </c>
      <c r="BS2537" s="6">
        <f>Grandview_Inventory[[#This Row],[land_value]]</f>
        <v>115766.21405912476</v>
      </c>
      <c r="BT2537" s="4">
        <f>_xlfn.IFNA(VLOOKUP(Grandview_Inventory[[#This Row],[quality]],Lookups!$A$26:$C$33,3,FALSE),1)</f>
        <v>1</v>
      </c>
      <c r="BU2537" s="4">
        <f>_xlfn.IFNA(VLOOKUP(Grandview_Inventory[[#This Row],[condition]],Lookups!$A$37:$C$44,3,FALSE),1)</f>
        <v>1</v>
      </c>
      <c r="BV2537" s="4">
        <f>IF(Grandview_Inventory[[#This Row],[bldg_style]]="",1,_xlfn.IFNA(VLOOKUP(Grandview_Inventory[[#This Row],[decade]],Lookups!$F$29:$H$43,3,FALSE),1))</f>
        <v>1</v>
      </c>
      <c r="BW2537" s="4">
        <f>_xlfn.IFNA(VLOOKUP(Grandview_Inventory[[#This Row],[living_area_range]],Lookups!$F$47:$H$56,3,FALSE),1)</f>
        <v>1</v>
      </c>
      <c r="BX2537" s="4">
        <f>AVERAGE(Grandview_Inventory[[#This Row],[qual_adj]:[size_adj]])</f>
        <v>1</v>
      </c>
      <c r="BY2537" s="6">
        <f>IF(Grandview_Inventory[[#This Row],[pre_res]]&lt;0,0,Grandview_Inventory[[#This Row],[pre_res]]*Grandview_Inventory[[#This Row],[overall_adj]])</f>
        <v>0</v>
      </c>
      <c r="BZ2537" s="6">
        <f>(Grandview_Inventory[[#This Row],[sum_land]]-IF(Grandview_Inventory[[#This Row],[no_utilities]]=1,12000,0))/IF(Grandview_Inventory[[#This Row],[unbuildable]]=1,2,1)</f>
        <v>115766.21405912476</v>
      </c>
      <c r="CA2537">
        <f>IF(ROUND(Grandview_Inventory[[#This Row],[adj_land]]*Lookups!$M$28,-2)&lt;Grandview_Inventory[[#This Row],[min_land]],Grandview_Inventory[[#This Row],[min_land]],ROUND(Grandview_Inventory[[#This Row],[adj_land]]*Lookups!$M$28,-2))</f>
        <v>110000</v>
      </c>
      <c r="CB2537">
        <f>ROUND(Grandview_Inventory[[#This Row],[det_value]]*Lookups!$M$28,-2)</f>
        <v>0</v>
      </c>
      <c r="CC253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7">
        <f>Grandview_Inventory[[#This Row],[final_det]]+Grandview_Inventory[[#This Row],[final_res]]</f>
        <v>0</v>
      </c>
      <c r="CE2537">
        <f>Grandview_Inventory[[#This Row],[final_land]]+Grandview_Inventory[[#This Row],[final_imp]]+Grandview_Inventory[[#This Row],[crop_value]]</f>
        <v>138000</v>
      </c>
      <c r="CG2537" t="str">
        <f t="shared" si="39"/>
        <v>update valuation set market_land =110000, market_bldg=0, market_total =138000, market_mdno =401, market_date ='9/10/2023' where link_id = (select link_id from parcel where parcel_year = '2024' and parcel_id = '23091411002');</v>
      </c>
    </row>
    <row r="2538" spans="1:85" x14ac:dyDescent="0.25">
      <c r="A2538">
        <v>23091411402</v>
      </c>
      <c r="B2538">
        <v>55.74</v>
      </c>
      <c r="C2538">
        <v>1683091</v>
      </c>
      <c r="D2538" t="s">
        <v>129</v>
      </c>
      <c r="E2538" t="s">
        <v>53</v>
      </c>
      <c r="F2538" t="s">
        <v>53</v>
      </c>
      <c r="G2538">
        <v>4</v>
      </c>
      <c r="H2538" t="s">
        <v>180</v>
      </c>
      <c r="I2538">
        <v>134400</v>
      </c>
      <c r="J2538">
        <v>317700</v>
      </c>
      <c r="K2538">
        <v>55.74</v>
      </c>
      <c r="L2538">
        <f>IF(Grandview_Inventory[[#This Row],[parcel_acres]]-Grandview_Inventory[[#This Row],[non_valued_acres]] =0,0,LN(Grandview_Inventory[[#This Row],[parcel_acres]]-Grandview_Inventory[[#This Row],[non_valued_acres]]))</f>
        <v>4.0206980220538018</v>
      </c>
      <c r="M2538">
        <v>0</v>
      </c>
      <c r="N2538">
        <v>0</v>
      </c>
      <c r="O2538">
        <v>0</v>
      </c>
      <c r="P2538">
        <v>13398.7528</v>
      </c>
      <c r="Q2538">
        <v>63903</v>
      </c>
      <c r="R2538">
        <f>(Grandview_Inventory[[#This Row],[ln_acres]]*Grandview_Inventory[[#This Row],[coeff]])+Grandview_Inventory[[#This Row],[const]]</f>
        <v>117775.33888094785</v>
      </c>
      <c r="AY2538">
        <v>134400</v>
      </c>
      <c r="AZ2538">
        <v>0</v>
      </c>
      <c r="BE2538">
        <v>0</v>
      </c>
      <c r="BF2538">
        <v>15000</v>
      </c>
      <c r="BG2538">
        <v>0</v>
      </c>
      <c r="BH2538" s="6">
        <f>Grandview_Inventory[[#This Row],[land_extract]]*Lookups!$B$3</f>
        <v>136772.18304902976</v>
      </c>
      <c r="BI2538" s="6">
        <f>IF(Grandview_Inventory[[#This Row],[bldg_style]]="",0,Lookups!$B$2)</f>
        <v>0</v>
      </c>
      <c r="BJ2538" s="6">
        <f>_xlfn.IFNA(VLOOKUP(Grandview_Inventory[[#This Row],[quality]],Lookups!$H$2:$J$14,3,FALSE),0)</f>
        <v>0</v>
      </c>
      <c r="BK2538" s="6">
        <f>_xlfn.IFNA(VLOOKUP(Grandview_Inventory[[#This Row],[condition]],Lookups!$H$17:$J$24,3,FALSE),0)</f>
        <v>0</v>
      </c>
      <c r="BL2538" s="6">
        <f>Grandview_Inventory[[#This Row],[Eff_Age]]*Lookups!$B$14</f>
        <v>0</v>
      </c>
      <c r="BM2538" s="6">
        <f>Grandview_Inventory[[#This Row],[living_area]]*Lookups!$B$15</f>
        <v>0</v>
      </c>
      <c r="BN2538" s="6">
        <f>Grandview_Inventory[[#This Row],[Fin BSMT]]*Lookups!$B$16</f>
        <v>0</v>
      </c>
      <c r="BO2538" s="6">
        <f>(Grandview_Inventory[[#This Row],[att_gar]]+Grandview_Inventory[[#This Row],[bltin_gar]])*Lookups!$B$17</f>
        <v>0</v>
      </c>
      <c r="BP2538" s="6">
        <f>Grandview_Inventory[[#This Row],[Plumbing Fixtures]]*Lookups!$B$18</f>
        <v>0</v>
      </c>
      <c r="BQ2538" s="6">
        <f>Grandview_Inventory[[#This Row],[detatched_value]]*Lookups!$B$19</f>
        <v>0</v>
      </c>
      <c r="BR2538" s="6">
        <f>SUM(Grandview_Inventory[[#This Row],[Intercept]:[det_value]])*Grandview_Inventory[[#This Row],[res_pct]]</f>
        <v>0</v>
      </c>
      <c r="BS2538" s="6">
        <f>Grandview_Inventory[[#This Row],[land_value]]</f>
        <v>136772.18304902976</v>
      </c>
      <c r="BT2538" s="4">
        <f>_xlfn.IFNA(VLOOKUP(Grandview_Inventory[[#This Row],[quality]],Lookups!$A$26:$C$33,3,FALSE),1)</f>
        <v>1</v>
      </c>
      <c r="BU2538" s="4">
        <f>_xlfn.IFNA(VLOOKUP(Grandview_Inventory[[#This Row],[condition]],Lookups!$A$37:$C$44,3,FALSE),1)</f>
        <v>1</v>
      </c>
      <c r="BV2538" s="4">
        <f>IF(Grandview_Inventory[[#This Row],[bldg_style]]="",1,_xlfn.IFNA(VLOOKUP(Grandview_Inventory[[#This Row],[decade]],Lookups!$F$29:$H$43,3,FALSE),1))</f>
        <v>1</v>
      </c>
      <c r="BW2538" s="4">
        <f>_xlfn.IFNA(VLOOKUP(Grandview_Inventory[[#This Row],[living_area_range]],Lookups!$F$47:$H$56,3,FALSE),1)</f>
        <v>1</v>
      </c>
      <c r="BX2538" s="4">
        <f>AVERAGE(Grandview_Inventory[[#This Row],[qual_adj]:[size_adj]])</f>
        <v>1</v>
      </c>
      <c r="BY2538" s="6">
        <f>IF(Grandview_Inventory[[#This Row],[pre_res]]&lt;0,0,Grandview_Inventory[[#This Row],[pre_res]]*Grandview_Inventory[[#This Row],[overall_adj]])</f>
        <v>0</v>
      </c>
      <c r="BZ2538" s="6">
        <f>(Grandview_Inventory[[#This Row],[sum_land]]-IF(Grandview_Inventory[[#This Row],[no_utilities]]=1,12000,0))/IF(Grandview_Inventory[[#This Row],[unbuildable]]=1,2,1)</f>
        <v>136772.18304902976</v>
      </c>
      <c r="CA2538">
        <f>IF(ROUND(Grandview_Inventory[[#This Row],[adj_land]]*Lookups!$M$28,-2)&lt;Grandview_Inventory[[#This Row],[min_land]],Grandview_Inventory[[#This Row],[min_land]],ROUND(Grandview_Inventory[[#This Row],[adj_land]]*Lookups!$M$28,-2))</f>
        <v>129900</v>
      </c>
      <c r="CB2538">
        <f>ROUND(Grandview_Inventory[[#This Row],[det_value]]*Lookups!$M$28,-2)</f>
        <v>0</v>
      </c>
      <c r="CC253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8">
        <f>Grandview_Inventory[[#This Row],[final_det]]+Grandview_Inventory[[#This Row],[final_res]]</f>
        <v>0</v>
      </c>
      <c r="CE2538">
        <f>Grandview_Inventory[[#This Row],[final_land]]+Grandview_Inventory[[#This Row],[final_imp]]+Grandview_Inventory[[#This Row],[crop_value]]</f>
        <v>264300</v>
      </c>
      <c r="CG2538" t="str">
        <f t="shared" si="39"/>
        <v>update valuation set market_land =129900, market_bldg=0, market_total =264300, market_mdno =401, market_date ='9/10/2023' where link_id = (select link_id from parcel where parcel_year = '2024' and parcel_id = '23091411402');</v>
      </c>
    </row>
    <row r="2539" spans="1:85" x14ac:dyDescent="0.25">
      <c r="A2539">
        <v>23091413402</v>
      </c>
      <c r="B2539">
        <v>19.02</v>
      </c>
      <c r="C2539">
        <v>828414</v>
      </c>
      <c r="D2539" t="s">
        <v>129</v>
      </c>
      <c r="E2539" t="s">
        <v>53</v>
      </c>
      <c r="F2539" t="s">
        <v>53</v>
      </c>
      <c r="G2539">
        <v>4</v>
      </c>
      <c r="H2539" t="s">
        <v>54</v>
      </c>
      <c r="I2539">
        <v>43800</v>
      </c>
      <c r="J2539">
        <v>108400</v>
      </c>
      <c r="K2539">
        <v>19.02</v>
      </c>
      <c r="L2539">
        <f>IF(Grandview_Inventory[[#This Row],[parcel_acres]]-Grandview_Inventory[[#This Row],[non_valued_acres]] =0,0,LN(Grandview_Inventory[[#This Row],[parcel_acres]]-Grandview_Inventory[[#This Row],[non_valued_acres]]))</f>
        <v>2.9454910571172443</v>
      </c>
      <c r="M2539">
        <v>0</v>
      </c>
      <c r="N2539">
        <v>0</v>
      </c>
      <c r="O2539">
        <v>0</v>
      </c>
      <c r="P2539">
        <v>13398.7528</v>
      </c>
      <c r="Q2539">
        <v>63903</v>
      </c>
      <c r="R2539">
        <f>(Grandview_Inventory[[#This Row],[ln_acres]]*Grandview_Inventory[[#This Row],[coeff]])+Grandview_Inventory[[#This Row],[const]]</f>
        <v>103368.90654892463</v>
      </c>
      <c r="AY2539">
        <v>43800</v>
      </c>
      <c r="AZ2539">
        <v>0</v>
      </c>
      <c r="BE2539">
        <v>0</v>
      </c>
      <c r="BF2539">
        <v>15000</v>
      </c>
      <c r="BG2539">
        <v>0</v>
      </c>
      <c r="BH2539" s="6">
        <f>Grandview_Inventory[[#This Row],[land_extract]]*Lookups!$B$3</f>
        <v>120042.03207921848</v>
      </c>
      <c r="BI2539" s="6">
        <f>IF(Grandview_Inventory[[#This Row],[bldg_style]]="",0,Lookups!$B$2)</f>
        <v>0</v>
      </c>
      <c r="BJ2539" s="6">
        <f>_xlfn.IFNA(VLOOKUP(Grandview_Inventory[[#This Row],[quality]],Lookups!$H$2:$J$14,3,FALSE),0)</f>
        <v>0</v>
      </c>
      <c r="BK2539" s="6">
        <f>_xlfn.IFNA(VLOOKUP(Grandview_Inventory[[#This Row],[condition]],Lookups!$H$17:$J$24,3,FALSE),0)</f>
        <v>0</v>
      </c>
      <c r="BL2539" s="6">
        <f>Grandview_Inventory[[#This Row],[Eff_Age]]*Lookups!$B$14</f>
        <v>0</v>
      </c>
      <c r="BM2539" s="6">
        <f>Grandview_Inventory[[#This Row],[living_area]]*Lookups!$B$15</f>
        <v>0</v>
      </c>
      <c r="BN2539" s="6">
        <f>Grandview_Inventory[[#This Row],[Fin BSMT]]*Lookups!$B$16</f>
        <v>0</v>
      </c>
      <c r="BO2539" s="6">
        <f>(Grandview_Inventory[[#This Row],[att_gar]]+Grandview_Inventory[[#This Row],[bltin_gar]])*Lookups!$B$17</f>
        <v>0</v>
      </c>
      <c r="BP2539" s="6">
        <f>Grandview_Inventory[[#This Row],[Plumbing Fixtures]]*Lookups!$B$18</f>
        <v>0</v>
      </c>
      <c r="BQ2539" s="6">
        <f>Grandview_Inventory[[#This Row],[detatched_value]]*Lookups!$B$19</f>
        <v>0</v>
      </c>
      <c r="BR2539" s="6">
        <f>SUM(Grandview_Inventory[[#This Row],[Intercept]:[det_value]])*Grandview_Inventory[[#This Row],[res_pct]]</f>
        <v>0</v>
      </c>
      <c r="BS2539" s="6">
        <f>Grandview_Inventory[[#This Row],[land_value]]</f>
        <v>120042.03207921848</v>
      </c>
      <c r="BT2539" s="4">
        <f>_xlfn.IFNA(VLOOKUP(Grandview_Inventory[[#This Row],[quality]],Lookups!$A$26:$C$33,3,FALSE),1)</f>
        <v>1</v>
      </c>
      <c r="BU2539" s="4">
        <f>_xlfn.IFNA(VLOOKUP(Grandview_Inventory[[#This Row],[condition]],Lookups!$A$37:$C$44,3,FALSE),1)</f>
        <v>1</v>
      </c>
      <c r="BV2539" s="4">
        <f>IF(Grandview_Inventory[[#This Row],[bldg_style]]="",1,_xlfn.IFNA(VLOOKUP(Grandview_Inventory[[#This Row],[decade]],Lookups!$F$29:$H$43,3,FALSE),1))</f>
        <v>1</v>
      </c>
      <c r="BW2539" s="4">
        <f>_xlfn.IFNA(VLOOKUP(Grandview_Inventory[[#This Row],[living_area_range]],Lookups!$F$47:$H$56,3,FALSE),1)</f>
        <v>1</v>
      </c>
      <c r="BX2539" s="4">
        <f>AVERAGE(Grandview_Inventory[[#This Row],[qual_adj]:[size_adj]])</f>
        <v>1</v>
      </c>
      <c r="BY2539" s="6">
        <f>IF(Grandview_Inventory[[#This Row],[pre_res]]&lt;0,0,Grandview_Inventory[[#This Row],[pre_res]]*Grandview_Inventory[[#This Row],[overall_adj]])</f>
        <v>0</v>
      </c>
      <c r="BZ2539" s="6">
        <f>(Grandview_Inventory[[#This Row],[sum_land]]-IF(Grandview_Inventory[[#This Row],[no_utilities]]=1,12000,0))/IF(Grandview_Inventory[[#This Row],[unbuildable]]=1,2,1)</f>
        <v>120042.03207921848</v>
      </c>
      <c r="CA2539">
        <f>IF(ROUND(Grandview_Inventory[[#This Row],[adj_land]]*Lookups!$M$28,-2)&lt;Grandview_Inventory[[#This Row],[min_land]],Grandview_Inventory[[#This Row],[min_land]],ROUND(Grandview_Inventory[[#This Row],[adj_land]]*Lookups!$M$28,-2))</f>
        <v>114000</v>
      </c>
      <c r="CB2539">
        <f>ROUND(Grandview_Inventory[[#This Row],[det_value]]*Lookups!$M$28,-2)</f>
        <v>0</v>
      </c>
      <c r="CC253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39">
        <f>Grandview_Inventory[[#This Row],[final_det]]+Grandview_Inventory[[#This Row],[final_res]]</f>
        <v>0</v>
      </c>
      <c r="CE2539">
        <f>Grandview_Inventory[[#This Row],[final_land]]+Grandview_Inventory[[#This Row],[final_imp]]+Grandview_Inventory[[#This Row],[crop_value]]</f>
        <v>157800</v>
      </c>
      <c r="CG2539" t="str">
        <f t="shared" si="39"/>
        <v>update valuation set market_land =114000, market_bldg=0, market_total =157800, market_mdno =401, market_date ='9/10/2023' where link_id = (select link_id from parcel where parcel_year = '2024' and parcel_id = '23091413402');</v>
      </c>
    </row>
    <row r="2540" spans="1:85" x14ac:dyDescent="0.25">
      <c r="A2540">
        <v>23091414006</v>
      </c>
      <c r="B2540">
        <v>5.28</v>
      </c>
      <c r="C2540">
        <v>229943</v>
      </c>
      <c r="D2540" t="s">
        <v>129</v>
      </c>
      <c r="E2540" t="s">
        <v>53</v>
      </c>
      <c r="F2540" t="s">
        <v>53</v>
      </c>
      <c r="G2540">
        <v>4</v>
      </c>
      <c r="H2540" t="s">
        <v>54</v>
      </c>
      <c r="I2540">
        <v>13500</v>
      </c>
      <c r="J2540">
        <v>41100</v>
      </c>
      <c r="K2540">
        <v>5.28</v>
      </c>
      <c r="L2540">
        <f>IF(Grandview_Inventory[[#This Row],[parcel_acres]]-Grandview_Inventory[[#This Row],[non_valued_acres]] =0,0,LN(Grandview_Inventory[[#This Row],[parcel_acres]]-Grandview_Inventory[[#This Row],[non_valued_acres]]))</f>
        <v>1.6639260977181702</v>
      </c>
      <c r="M2540">
        <v>0</v>
      </c>
      <c r="N2540">
        <v>0</v>
      </c>
      <c r="O2540">
        <v>0</v>
      </c>
      <c r="P2540">
        <v>13398.7528</v>
      </c>
      <c r="Q2540">
        <v>63903</v>
      </c>
      <c r="R2540">
        <f>(Grandview_Inventory[[#This Row],[ln_acres]]*Grandview_Inventory[[#This Row],[coeff]])+Grandview_Inventory[[#This Row],[const]]</f>
        <v>86197.534460794413</v>
      </c>
      <c r="AY2540">
        <v>13500</v>
      </c>
      <c r="AZ2540">
        <v>0</v>
      </c>
      <c r="BE2540">
        <v>0</v>
      </c>
      <c r="BF2540">
        <v>15000</v>
      </c>
      <c r="BG2540">
        <v>0</v>
      </c>
      <c r="BH2540" s="6">
        <f>Grandview_Inventory[[#This Row],[land_extract]]*Lookups!$B$3</f>
        <v>100100.96403597751</v>
      </c>
      <c r="BI2540" s="6">
        <f>IF(Grandview_Inventory[[#This Row],[bldg_style]]="",0,Lookups!$B$2)</f>
        <v>0</v>
      </c>
      <c r="BJ2540" s="6">
        <f>_xlfn.IFNA(VLOOKUP(Grandview_Inventory[[#This Row],[quality]],Lookups!$H$2:$J$14,3,FALSE),0)</f>
        <v>0</v>
      </c>
      <c r="BK2540" s="6">
        <f>_xlfn.IFNA(VLOOKUP(Grandview_Inventory[[#This Row],[condition]],Lookups!$H$17:$J$24,3,FALSE),0)</f>
        <v>0</v>
      </c>
      <c r="BL2540" s="6">
        <f>Grandview_Inventory[[#This Row],[Eff_Age]]*Lookups!$B$14</f>
        <v>0</v>
      </c>
      <c r="BM2540" s="6">
        <f>Grandview_Inventory[[#This Row],[living_area]]*Lookups!$B$15</f>
        <v>0</v>
      </c>
      <c r="BN2540" s="6">
        <f>Grandview_Inventory[[#This Row],[Fin BSMT]]*Lookups!$B$16</f>
        <v>0</v>
      </c>
      <c r="BO2540" s="6">
        <f>(Grandview_Inventory[[#This Row],[att_gar]]+Grandview_Inventory[[#This Row],[bltin_gar]])*Lookups!$B$17</f>
        <v>0</v>
      </c>
      <c r="BP2540" s="6">
        <f>Grandview_Inventory[[#This Row],[Plumbing Fixtures]]*Lookups!$B$18</f>
        <v>0</v>
      </c>
      <c r="BQ2540" s="6">
        <f>Grandview_Inventory[[#This Row],[detatched_value]]*Lookups!$B$19</f>
        <v>0</v>
      </c>
      <c r="BR2540" s="6">
        <f>SUM(Grandview_Inventory[[#This Row],[Intercept]:[det_value]])*Grandview_Inventory[[#This Row],[res_pct]]</f>
        <v>0</v>
      </c>
      <c r="BS2540" s="6">
        <f>Grandview_Inventory[[#This Row],[land_value]]</f>
        <v>100100.96403597751</v>
      </c>
      <c r="BT2540" s="4">
        <f>_xlfn.IFNA(VLOOKUP(Grandview_Inventory[[#This Row],[quality]],Lookups!$A$26:$C$33,3,FALSE),1)</f>
        <v>1</v>
      </c>
      <c r="BU2540" s="4">
        <f>_xlfn.IFNA(VLOOKUP(Grandview_Inventory[[#This Row],[condition]],Lookups!$A$37:$C$44,3,FALSE),1)</f>
        <v>1</v>
      </c>
      <c r="BV2540" s="4">
        <f>IF(Grandview_Inventory[[#This Row],[bldg_style]]="",1,_xlfn.IFNA(VLOOKUP(Grandview_Inventory[[#This Row],[decade]],Lookups!$F$29:$H$43,3,FALSE),1))</f>
        <v>1</v>
      </c>
      <c r="BW2540" s="4">
        <f>_xlfn.IFNA(VLOOKUP(Grandview_Inventory[[#This Row],[living_area_range]],Lookups!$F$47:$H$56,3,FALSE),1)</f>
        <v>1</v>
      </c>
      <c r="BX2540" s="4">
        <f>AVERAGE(Grandview_Inventory[[#This Row],[qual_adj]:[size_adj]])</f>
        <v>1</v>
      </c>
      <c r="BY2540" s="6">
        <f>IF(Grandview_Inventory[[#This Row],[pre_res]]&lt;0,0,Grandview_Inventory[[#This Row],[pre_res]]*Grandview_Inventory[[#This Row],[overall_adj]])</f>
        <v>0</v>
      </c>
      <c r="BZ2540" s="6">
        <f>(Grandview_Inventory[[#This Row],[sum_land]]-IF(Grandview_Inventory[[#This Row],[no_utilities]]=1,12000,0))/IF(Grandview_Inventory[[#This Row],[unbuildable]]=1,2,1)</f>
        <v>100100.96403597751</v>
      </c>
      <c r="CA2540">
        <f>IF(ROUND(Grandview_Inventory[[#This Row],[adj_land]]*Lookups!$M$28,-2)&lt;Grandview_Inventory[[#This Row],[min_land]],Grandview_Inventory[[#This Row],[min_land]],ROUND(Grandview_Inventory[[#This Row],[adj_land]]*Lookups!$M$28,-2))</f>
        <v>95100</v>
      </c>
      <c r="CB2540">
        <f>ROUND(Grandview_Inventory[[#This Row],[det_value]]*Lookups!$M$28,-2)</f>
        <v>0</v>
      </c>
      <c r="CC254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0">
        <f>Grandview_Inventory[[#This Row],[final_det]]+Grandview_Inventory[[#This Row],[final_res]]</f>
        <v>0</v>
      </c>
      <c r="CE2540">
        <f>Grandview_Inventory[[#This Row],[final_land]]+Grandview_Inventory[[#This Row],[final_imp]]+Grandview_Inventory[[#This Row],[crop_value]]</f>
        <v>108600</v>
      </c>
      <c r="CG2540" t="str">
        <f t="shared" si="39"/>
        <v>update valuation set market_land =95100, market_bldg=0, market_total =108600, market_mdno =401, market_date ='9/10/2023' where link_id = (select link_id from parcel where parcel_year = '2024' and parcel_id = '23091414006');</v>
      </c>
    </row>
    <row r="2541" spans="1:85" x14ac:dyDescent="0.25">
      <c r="A2541">
        <v>23091421005</v>
      </c>
      <c r="B2541">
        <v>2.73</v>
      </c>
      <c r="C2541">
        <v>119110</v>
      </c>
      <c r="D2541" t="s">
        <v>129</v>
      </c>
      <c r="E2541" t="s">
        <v>53</v>
      </c>
      <c r="F2541" t="s">
        <v>53</v>
      </c>
      <c r="G2541">
        <v>4</v>
      </c>
      <c r="H2541" t="s">
        <v>54</v>
      </c>
      <c r="I2541">
        <v>3800</v>
      </c>
      <c r="J2541">
        <v>18200</v>
      </c>
      <c r="K2541">
        <v>2.73</v>
      </c>
      <c r="L2541">
        <f>IF(Grandview_Inventory[[#This Row],[parcel_acres]]-Grandview_Inventory[[#This Row],[non_valued_acres]] =0,0,LN(Grandview_Inventory[[#This Row],[parcel_acres]]-Grandview_Inventory[[#This Row],[non_valued_acres]]))</f>
        <v>1.0043016091968684</v>
      </c>
      <c r="M2541">
        <v>0</v>
      </c>
      <c r="N2541">
        <v>0</v>
      </c>
      <c r="O2541">
        <v>1</v>
      </c>
      <c r="P2541">
        <v>13398.7528</v>
      </c>
      <c r="Q2541">
        <v>63903</v>
      </c>
      <c r="R2541">
        <f>(Grandview_Inventory[[#This Row],[ln_acres]]*Grandview_Inventory[[#This Row],[coeff]])+Grandview_Inventory[[#This Row],[const]]</f>
        <v>77359.388998271053</v>
      </c>
      <c r="AY2541">
        <v>3800</v>
      </c>
      <c r="AZ2541">
        <v>0</v>
      </c>
      <c r="BE2541">
        <v>0</v>
      </c>
      <c r="BF2541">
        <v>3000</v>
      </c>
      <c r="BG2541">
        <v>0</v>
      </c>
      <c r="BH2541" s="6">
        <f>Grandview_Inventory[[#This Row],[land_extract]]*Lookups!$B$3</f>
        <v>89837.249573341876</v>
      </c>
      <c r="BI2541" s="6">
        <f>IF(Grandview_Inventory[[#This Row],[bldg_style]]="",0,Lookups!$B$2)</f>
        <v>0</v>
      </c>
      <c r="BJ2541" s="6">
        <f>_xlfn.IFNA(VLOOKUP(Grandview_Inventory[[#This Row],[quality]],Lookups!$H$2:$J$14,3,FALSE),0)</f>
        <v>0</v>
      </c>
      <c r="BK2541" s="6">
        <f>_xlfn.IFNA(VLOOKUP(Grandview_Inventory[[#This Row],[condition]],Lookups!$H$17:$J$24,3,FALSE),0)</f>
        <v>0</v>
      </c>
      <c r="BL2541" s="6">
        <f>Grandview_Inventory[[#This Row],[Eff_Age]]*Lookups!$B$14</f>
        <v>0</v>
      </c>
      <c r="BM2541" s="6">
        <f>Grandview_Inventory[[#This Row],[living_area]]*Lookups!$B$15</f>
        <v>0</v>
      </c>
      <c r="BN2541" s="6">
        <f>Grandview_Inventory[[#This Row],[Fin BSMT]]*Lookups!$B$16</f>
        <v>0</v>
      </c>
      <c r="BO2541" s="6">
        <f>(Grandview_Inventory[[#This Row],[att_gar]]+Grandview_Inventory[[#This Row],[bltin_gar]])*Lookups!$B$17</f>
        <v>0</v>
      </c>
      <c r="BP2541" s="6">
        <f>Grandview_Inventory[[#This Row],[Plumbing Fixtures]]*Lookups!$B$18</f>
        <v>0</v>
      </c>
      <c r="BQ2541" s="6">
        <f>Grandview_Inventory[[#This Row],[detatched_value]]*Lookups!$B$19</f>
        <v>0</v>
      </c>
      <c r="BR2541" s="6">
        <f>SUM(Grandview_Inventory[[#This Row],[Intercept]:[det_value]])*Grandview_Inventory[[#This Row],[res_pct]]</f>
        <v>0</v>
      </c>
      <c r="BS2541" s="6">
        <f>Grandview_Inventory[[#This Row],[land_value]]</f>
        <v>89837.249573341876</v>
      </c>
      <c r="BT2541" s="4">
        <f>_xlfn.IFNA(VLOOKUP(Grandview_Inventory[[#This Row],[quality]],Lookups!$A$26:$C$33,3,FALSE),1)</f>
        <v>1</v>
      </c>
      <c r="BU2541" s="4">
        <f>_xlfn.IFNA(VLOOKUP(Grandview_Inventory[[#This Row],[condition]],Lookups!$A$37:$C$44,3,FALSE),1)</f>
        <v>1</v>
      </c>
      <c r="BV2541" s="4">
        <f>IF(Grandview_Inventory[[#This Row],[bldg_style]]="",1,_xlfn.IFNA(VLOOKUP(Grandview_Inventory[[#This Row],[decade]],Lookups!$F$29:$H$43,3,FALSE),1))</f>
        <v>1</v>
      </c>
      <c r="BW2541" s="4">
        <f>_xlfn.IFNA(VLOOKUP(Grandview_Inventory[[#This Row],[living_area_range]],Lookups!$F$47:$H$56,3,FALSE),1)</f>
        <v>1</v>
      </c>
      <c r="BX2541" s="4">
        <f>AVERAGE(Grandview_Inventory[[#This Row],[qual_adj]:[size_adj]])</f>
        <v>1</v>
      </c>
      <c r="BY2541" s="6">
        <f>IF(Grandview_Inventory[[#This Row],[pre_res]]&lt;0,0,Grandview_Inventory[[#This Row],[pre_res]]*Grandview_Inventory[[#This Row],[overall_adj]])</f>
        <v>0</v>
      </c>
      <c r="BZ2541" s="6">
        <f>(Grandview_Inventory[[#This Row],[sum_land]]-IF(Grandview_Inventory[[#This Row],[no_utilities]]=1,12000,0))/IF(Grandview_Inventory[[#This Row],[unbuildable]]=1,2,1)</f>
        <v>77837.249573341876</v>
      </c>
      <c r="CA2541">
        <f>IF(ROUND(Grandview_Inventory[[#This Row],[adj_land]]*Lookups!$M$28,-2)&lt;Grandview_Inventory[[#This Row],[min_land]],Grandview_Inventory[[#This Row],[min_land]],ROUND(Grandview_Inventory[[#This Row],[adj_land]]*Lookups!$M$28,-2))</f>
        <v>73900</v>
      </c>
      <c r="CB2541">
        <f>ROUND(Grandview_Inventory[[#This Row],[det_value]]*Lookups!$M$28,-2)</f>
        <v>0</v>
      </c>
      <c r="CC254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1">
        <f>Grandview_Inventory[[#This Row],[final_det]]+Grandview_Inventory[[#This Row],[final_res]]</f>
        <v>0</v>
      </c>
      <c r="CE2541">
        <f>Grandview_Inventory[[#This Row],[final_land]]+Grandview_Inventory[[#This Row],[final_imp]]+Grandview_Inventory[[#This Row],[crop_value]]</f>
        <v>77700</v>
      </c>
      <c r="CG2541" t="str">
        <f t="shared" si="39"/>
        <v>update valuation set market_land =73900, market_bldg=0, market_total =77700, market_mdno =401, market_date ='9/10/2023' where link_id = (select link_id from parcel where parcel_year = '2024' and parcel_id = '23091421005');</v>
      </c>
    </row>
    <row r="2542" spans="1:85" x14ac:dyDescent="0.25">
      <c r="A2542">
        <v>23091422006</v>
      </c>
      <c r="B2542">
        <v>19.22</v>
      </c>
      <c r="C2542" t="s">
        <v>129</v>
      </c>
      <c r="D2542" t="s">
        <v>129</v>
      </c>
      <c r="E2542" t="s">
        <v>53</v>
      </c>
      <c r="F2542" t="s">
        <v>53</v>
      </c>
      <c r="G2542">
        <v>4</v>
      </c>
      <c r="H2542" t="s">
        <v>54</v>
      </c>
      <c r="I2542">
        <v>66300</v>
      </c>
      <c r="J2542">
        <v>109200</v>
      </c>
      <c r="K2542">
        <v>19.22</v>
      </c>
      <c r="L2542">
        <f>IF(Grandview_Inventory[[#This Row],[parcel_acres]]-Grandview_Inventory[[#This Row],[non_valued_acres]] =0,0,LN(Grandview_Inventory[[#This Row],[parcel_acres]]-Grandview_Inventory[[#This Row],[non_valued_acres]]))</f>
        <v>2.9559514035421466</v>
      </c>
      <c r="M2542">
        <v>0</v>
      </c>
      <c r="N2542">
        <v>0</v>
      </c>
      <c r="O2542">
        <v>0</v>
      </c>
      <c r="P2542">
        <v>13398.7528</v>
      </c>
      <c r="Q2542">
        <v>63903</v>
      </c>
      <c r="R2542">
        <f>(Grandview_Inventory[[#This Row],[ln_acres]]*Grandview_Inventory[[#This Row],[coeff]])+Grandview_Inventory[[#This Row],[const]]</f>
        <v>103509.06214487427</v>
      </c>
      <c r="AY2542">
        <v>43800</v>
      </c>
      <c r="AZ2542">
        <v>24300</v>
      </c>
      <c r="BE2542">
        <v>0</v>
      </c>
      <c r="BF2542">
        <v>15000</v>
      </c>
      <c r="BG2542">
        <v>0</v>
      </c>
      <c r="BH2542" s="6">
        <f>Grandview_Inventory[[#This Row],[land_extract]]*Lookups!$B$3</f>
        <v>120204.79439437471</v>
      </c>
      <c r="BI2542" s="6">
        <f>IF(Grandview_Inventory[[#This Row],[bldg_style]]="",0,Lookups!$B$2)</f>
        <v>0</v>
      </c>
      <c r="BJ2542" s="6">
        <f>_xlfn.IFNA(VLOOKUP(Grandview_Inventory[[#This Row],[quality]],Lookups!$H$2:$J$14,3,FALSE),0)</f>
        <v>0</v>
      </c>
      <c r="BK2542" s="6">
        <f>_xlfn.IFNA(VLOOKUP(Grandview_Inventory[[#This Row],[condition]],Lookups!$H$17:$J$24,3,FALSE),0)</f>
        <v>0</v>
      </c>
      <c r="BL2542" s="6">
        <f>Grandview_Inventory[[#This Row],[Eff_Age]]*Lookups!$B$14</f>
        <v>0</v>
      </c>
      <c r="BM2542" s="6">
        <f>Grandview_Inventory[[#This Row],[living_area]]*Lookups!$B$15</f>
        <v>0</v>
      </c>
      <c r="BN2542" s="6">
        <f>Grandview_Inventory[[#This Row],[Fin BSMT]]*Lookups!$B$16</f>
        <v>0</v>
      </c>
      <c r="BO2542" s="6">
        <f>(Grandview_Inventory[[#This Row],[att_gar]]+Grandview_Inventory[[#This Row],[bltin_gar]])*Lookups!$B$17</f>
        <v>0</v>
      </c>
      <c r="BP2542" s="6">
        <f>Grandview_Inventory[[#This Row],[Plumbing Fixtures]]*Lookups!$B$18</f>
        <v>0</v>
      </c>
      <c r="BQ2542" s="6">
        <f>Grandview_Inventory[[#This Row],[detatched_value]]*Lookups!$B$19</f>
        <v>20577.36393</v>
      </c>
      <c r="BR2542" s="6">
        <f>SUM(Grandview_Inventory[[#This Row],[Intercept]:[det_value]])*Grandview_Inventory[[#This Row],[res_pct]]</f>
        <v>0</v>
      </c>
      <c r="BS2542" s="6">
        <f>Grandview_Inventory[[#This Row],[land_value]]</f>
        <v>120204.79439437471</v>
      </c>
      <c r="BT2542" s="4">
        <f>_xlfn.IFNA(VLOOKUP(Grandview_Inventory[[#This Row],[quality]],Lookups!$A$26:$C$33,3,FALSE),1)</f>
        <v>1</v>
      </c>
      <c r="BU2542" s="4">
        <f>_xlfn.IFNA(VLOOKUP(Grandview_Inventory[[#This Row],[condition]],Lookups!$A$37:$C$44,3,FALSE),1)</f>
        <v>1</v>
      </c>
      <c r="BV2542" s="4">
        <f>IF(Grandview_Inventory[[#This Row],[bldg_style]]="",1,_xlfn.IFNA(VLOOKUP(Grandview_Inventory[[#This Row],[decade]],Lookups!$F$29:$H$43,3,FALSE),1))</f>
        <v>1</v>
      </c>
      <c r="BW2542" s="4">
        <f>_xlfn.IFNA(VLOOKUP(Grandview_Inventory[[#This Row],[living_area_range]],Lookups!$F$47:$H$56,3,FALSE),1)</f>
        <v>1</v>
      </c>
      <c r="BX2542" s="4">
        <f>AVERAGE(Grandview_Inventory[[#This Row],[qual_adj]:[size_adj]])</f>
        <v>1</v>
      </c>
      <c r="BY2542" s="6">
        <f>IF(Grandview_Inventory[[#This Row],[pre_res]]&lt;0,0,Grandview_Inventory[[#This Row],[pre_res]]*Grandview_Inventory[[#This Row],[overall_adj]])</f>
        <v>0</v>
      </c>
      <c r="BZ2542" s="6">
        <f>(Grandview_Inventory[[#This Row],[sum_land]]-IF(Grandview_Inventory[[#This Row],[no_utilities]]=1,12000,0))/IF(Grandview_Inventory[[#This Row],[unbuildable]]=1,2,1)</f>
        <v>120204.79439437471</v>
      </c>
      <c r="CA2542">
        <f>IF(ROUND(Grandview_Inventory[[#This Row],[adj_land]]*Lookups!$M$28,-2)&lt;Grandview_Inventory[[#This Row],[min_land]],Grandview_Inventory[[#This Row],[min_land]],ROUND(Grandview_Inventory[[#This Row],[adj_land]]*Lookups!$M$28,-2))</f>
        <v>114200</v>
      </c>
      <c r="CB2542">
        <f>ROUND(Grandview_Inventory[[#This Row],[det_value]]*Lookups!$M$28,-2)</f>
        <v>19500</v>
      </c>
      <c r="CC254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2">
        <f>Grandview_Inventory[[#This Row],[final_det]]+Grandview_Inventory[[#This Row],[final_res]]</f>
        <v>19500</v>
      </c>
      <c r="CE2542">
        <f>Grandview_Inventory[[#This Row],[final_land]]+Grandview_Inventory[[#This Row],[final_imp]]+Grandview_Inventory[[#This Row],[crop_value]]</f>
        <v>177500</v>
      </c>
      <c r="CG2542" t="str">
        <f t="shared" si="39"/>
        <v>update valuation set market_land =114200, market_bldg=19500, market_total =177500, market_mdno =401, market_date ='9/10/2023' where link_id = (select link_id from parcel where parcel_year = '2024' and parcel_id = '23091422006');</v>
      </c>
    </row>
    <row r="2543" spans="1:85" x14ac:dyDescent="0.25">
      <c r="A2543">
        <v>23091423002</v>
      </c>
      <c r="B2543">
        <v>22.64</v>
      </c>
      <c r="C2543">
        <v>986008</v>
      </c>
      <c r="D2543" t="s">
        <v>129</v>
      </c>
      <c r="E2543" t="s">
        <v>53</v>
      </c>
      <c r="F2543" t="s">
        <v>53</v>
      </c>
      <c r="G2543">
        <v>4</v>
      </c>
      <c r="H2543" t="s">
        <v>54</v>
      </c>
      <c r="I2543">
        <v>52500</v>
      </c>
      <c r="J2543">
        <v>815000</v>
      </c>
      <c r="K2543">
        <v>22.64</v>
      </c>
      <c r="L2543">
        <f>IF(Grandview_Inventory[[#This Row],[parcel_acres]]-Grandview_Inventory[[#This Row],[non_valued_acres]] =0,0,LN(Grandview_Inventory[[#This Row],[parcel_acres]]-Grandview_Inventory[[#This Row],[non_valued_acres]]))</f>
        <v>3.1197182533349821</v>
      </c>
      <c r="M2543">
        <v>0</v>
      </c>
      <c r="N2543">
        <v>0</v>
      </c>
      <c r="O2543">
        <v>0</v>
      </c>
      <c r="P2543">
        <v>13398.7528</v>
      </c>
      <c r="Q2543">
        <v>63903</v>
      </c>
      <c r="R2543">
        <f>(Grandview_Inventory[[#This Row],[ln_acres]]*Grandview_Inventory[[#This Row],[coeff]])+Grandview_Inventory[[#This Row],[const]]</f>
        <v>105703.3336820832</v>
      </c>
      <c r="AY2543">
        <v>52500</v>
      </c>
      <c r="AZ2543">
        <v>0</v>
      </c>
      <c r="BE2543">
        <v>0</v>
      </c>
      <c r="BF2543">
        <v>15000</v>
      </c>
      <c r="BG2543">
        <v>0</v>
      </c>
      <c r="BH2543" s="6">
        <f>Grandview_Inventory[[#This Row],[land_extract]]*Lookups!$B$3</f>
        <v>122752.99600600229</v>
      </c>
      <c r="BI2543" s="6">
        <f>IF(Grandview_Inventory[[#This Row],[bldg_style]]="",0,Lookups!$B$2)</f>
        <v>0</v>
      </c>
      <c r="BJ2543" s="6">
        <f>_xlfn.IFNA(VLOOKUP(Grandview_Inventory[[#This Row],[quality]],Lookups!$H$2:$J$14,3,FALSE),0)</f>
        <v>0</v>
      </c>
      <c r="BK2543" s="6">
        <f>_xlfn.IFNA(VLOOKUP(Grandview_Inventory[[#This Row],[condition]],Lookups!$H$17:$J$24,3,FALSE),0)</f>
        <v>0</v>
      </c>
      <c r="BL2543" s="6">
        <f>Grandview_Inventory[[#This Row],[Eff_Age]]*Lookups!$B$14</f>
        <v>0</v>
      </c>
      <c r="BM2543" s="6">
        <f>Grandview_Inventory[[#This Row],[living_area]]*Lookups!$B$15</f>
        <v>0</v>
      </c>
      <c r="BN2543" s="6">
        <f>Grandview_Inventory[[#This Row],[Fin BSMT]]*Lookups!$B$16</f>
        <v>0</v>
      </c>
      <c r="BO2543" s="6">
        <f>(Grandview_Inventory[[#This Row],[att_gar]]+Grandview_Inventory[[#This Row],[bltin_gar]])*Lookups!$B$17</f>
        <v>0</v>
      </c>
      <c r="BP2543" s="6">
        <f>Grandview_Inventory[[#This Row],[Plumbing Fixtures]]*Lookups!$B$18</f>
        <v>0</v>
      </c>
      <c r="BQ2543" s="6">
        <f>Grandview_Inventory[[#This Row],[detatched_value]]*Lookups!$B$19</f>
        <v>0</v>
      </c>
      <c r="BR2543" s="6">
        <f>SUM(Grandview_Inventory[[#This Row],[Intercept]:[det_value]])*Grandview_Inventory[[#This Row],[res_pct]]</f>
        <v>0</v>
      </c>
      <c r="BS2543" s="6">
        <f>Grandview_Inventory[[#This Row],[land_value]]</f>
        <v>122752.99600600229</v>
      </c>
      <c r="BT2543" s="4">
        <f>_xlfn.IFNA(VLOOKUP(Grandview_Inventory[[#This Row],[quality]],Lookups!$A$26:$C$33,3,FALSE),1)</f>
        <v>1</v>
      </c>
      <c r="BU2543" s="4">
        <f>_xlfn.IFNA(VLOOKUP(Grandview_Inventory[[#This Row],[condition]],Lookups!$A$37:$C$44,3,FALSE),1)</f>
        <v>1</v>
      </c>
      <c r="BV2543" s="4">
        <f>IF(Grandview_Inventory[[#This Row],[bldg_style]]="",1,_xlfn.IFNA(VLOOKUP(Grandview_Inventory[[#This Row],[decade]],Lookups!$F$29:$H$43,3,FALSE),1))</f>
        <v>1</v>
      </c>
      <c r="BW2543" s="4">
        <f>_xlfn.IFNA(VLOOKUP(Grandview_Inventory[[#This Row],[living_area_range]],Lookups!$F$47:$H$56,3,FALSE),1)</f>
        <v>1</v>
      </c>
      <c r="BX2543" s="4">
        <f>AVERAGE(Grandview_Inventory[[#This Row],[qual_adj]:[size_adj]])</f>
        <v>1</v>
      </c>
      <c r="BY2543" s="6">
        <f>IF(Grandview_Inventory[[#This Row],[pre_res]]&lt;0,0,Grandview_Inventory[[#This Row],[pre_res]]*Grandview_Inventory[[#This Row],[overall_adj]])</f>
        <v>0</v>
      </c>
      <c r="BZ2543" s="6">
        <f>(Grandview_Inventory[[#This Row],[sum_land]]-IF(Grandview_Inventory[[#This Row],[no_utilities]]=1,12000,0))/IF(Grandview_Inventory[[#This Row],[unbuildable]]=1,2,1)</f>
        <v>122752.99600600229</v>
      </c>
      <c r="CA2543">
        <f>IF(ROUND(Grandview_Inventory[[#This Row],[adj_land]]*Lookups!$M$28,-2)&lt;Grandview_Inventory[[#This Row],[min_land]],Grandview_Inventory[[#This Row],[min_land]],ROUND(Grandview_Inventory[[#This Row],[adj_land]]*Lookups!$M$28,-2))</f>
        <v>116600</v>
      </c>
      <c r="CB2543">
        <f>ROUND(Grandview_Inventory[[#This Row],[det_value]]*Lookups!$M$28,-2)</f>
        <v>0</v>
      </c>
      <c r="CC254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3">
        <f>Grandview_Inventory[[#This Row],[final_det]]+Grandview_Inventory[[#This Row],[final_res]]</f>
        <v>0</v>
      </c>
      <c r="CE2543">
        <f>Grandview_Inventory[[#This Row],[final_land]]+Grandview_Inventory[[#This Row],[final_imp]]+Grandview_Inventory[[#This Row],[crop_value]]</f>
        <v>169100</v>
      </c>
      <c r="CG2543" t="str">
        <f t="shared" si="39"/>
        <v>update valuation set market_land =116600, market_bldg=0, market_total =169100, market_mdno =401, market_date ='9/10/2023' where link_id = (select link_id from parcel where parcel_year = '2024' and parcel_id = '23091423002');</v>
      </c>
    </row>
    <row r="2544" spans="1:85" x14ac:dyDescent="0.25">
      <c r="A2544">
        <v>23091423400</v>
      </c>
      <c r="B2544" t="s">
        <v>129</v>
      </c>
      <c r="C2544">
        <v>8314</v>
      </c>
      <c r="D2544" t="s">
        <v>129</v>
      </c>
      <c r="E2544" t="s">
        <v>53</v>
      </c>
      <c r="F2544" t="s">
        <v>53</v>
      </c>
      <c r="G2544">
        <v>4</v>
      </c>
      <c r="H2544" t="s">
        <v>54</v>
      </c>
      <c r="I2544" t="s">
        <v>129</v>
      </c>
      <c r="J2544" t="s">
        <v>129</v>
      </c>
      <c r="K2544">
        <v>0.19</v>
      </c>
      <c r="L254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544">
        <v>0</v>
      </c>
      <c r="N2544">
        <v>0</v>
      </c>
      <c r="O2544">
        <v>0</v>
      </c>
      <c r="P2544">
        <v>13398.7528</v>
      </c>
      <c r="Q2544">
        <v>63903</v>
      </c>
      <c r="R2544">
        <f>(Grandview_Inventory[[#This Row],[ln_acres]]*Grandview_Inventory[[#This Row],[coeff]])+Grandview_Inventory[[#This Row],[const]]</f>
        <v>41651.273092551026</v>
      </c>
      <c r="AY2544">
        <v>0</v>
      </c>
      <c r="AZ2544">
        <v>0</v>
      </c>
      <c r="BE2544">
        <v>0</v>
      </c>
      <c r="BF2544">
        <v>15000</v>
      </c>
      <c r="BG2544">
        <v>0</v>
      </c>
      <c r="BH2544" s="6">
        <f>Grandview_Inventory[[#This Row],[land_extract]]*Lookups!$B$3</f>
        <v>48369.510983942157</v>
      </c>
      <c r="BI2544" s="6">
        <f>IF(Grandview_Inventory[[#This Row],[bldg_style]]="",0,Lookups!$B$2)</f>
        <v>0</v>
      </c>
      <c r="BJ2544" s="6">
        <f>_xlfn.IFNA(VLOOKUP(Grandview_Inventory[[#This Row],[quality]],Lookups!$H$2:$J$14,3,FALSE),0)</f>
        <v>0</v>
      </c>
      <c r="BK2544" s="6">
        <f>_xlfn.IFNA(VLOOKUP(Grandview_Inventory[[#This Row],[condition]],Lookups!$H$17:$J$24,3,FALSE),0)</f>
        <v>0</v>
      </c>
      <c r="BL2544" s="6">
        <f>Grandview_Inventory[[#This Row],[Eff_Age]]*Lookups!$B$14</f>
        <v>0</v>
      </c>
      <c r="BM2544" s="6">
        <f>Grandview_Inventory[[#This Row],[living_area]]*Lookups!$B$15</f>
        <v>0</v>
      </c>
      <c r="BN2544" s="6">
        <f>Grandview_Inventory[[#This Row],[Fin BSMT]]*Lookups!$B$16</f>
        <v>0</v>
      </c>
      <c r="BO2544" s="6">
        <f>(Grandview_Inventory[[#This Row],[att_gar]]+Grandview_Inventory[[#This Row],[bltin_gar]])*Lookups!$B$17</f>
        <v>0</v>
      </c>
      <c r="BP2544" s="6">
        <f>Grandview_Inventory[[#This Row],[Plumbing Fixtures]]*Lookups!$B$18</f>
        <v>0</v>
      </c>
      <c r="BQ2544" s="6">
        <f>Grandview_Inventory[[#This Row],[detatched_value]]*Lookups!$B$19</f>
        <v>0</v>
      </c>
      <c r="BR2544" s="6">
        <f>SUM(Grandview_Inventory[[#This Row],[Intercept]:[det_value]])*Grandview_Inventory[[#This Row],[res_pct]]</f>
        <v>0</v>
      </c>
      <c r="BS2544" s="6">
        <f>Grandview_Inventory[[#This Row],[land_value]]</f>
        <v>48369.510983942157</v>
      </c>
      <c r="BT2544" s="4">
        <f>_xlfn.IFNA(VLOOKUP(Grandview_Inventory[[#This Row],[quality]],Lookups!$A$26:$C$33,3,FALSE),1)</f>
        <v>1</v>
      </c>
      <c r="BU2544" s="4">
        <f>_xlfn.IFNA(VLOOKUP(Grandview_Inventory[[#This Row],[condition]],Lookups!$A$37:$C$44,3,FALSE),1)</f>
        <v>1</v>
      </c>
      <c r="BV2544" s="4">
        <f>IF(Grandview_Inventory[[#This Row],[bldg_style]]="",1,_xlfn.IFNA(VLOOKUP(Grandview_Inventory[[#This Row],[decade]],Lookups!$F$29:$H$43,3,FALSE),1))</f>
        <v>1</v>
      </c>
      <c r="BW2544" s="4">
        <f>_xlfn.IFNA(VLOOKUP(Grandview_Inventory[[#This Row],[living_area_range]],Lookups!$F$47:$H$56,3,FALSE),1)</f>
        <v>1</v>
      </c>
      <c r="BX2544" s="4">
        <f>AVERAGE(Grandview_Inventory[[#This Row],[qual_adj]:[size_adj]])</f>
        <v>1</v>
      </c>
      <c r="BY2544" s="6">
        <f>IF(Grandview_Inventory[[#This Row],[pre_res]]&lt;0,0,Grandview_Inventory[[#This Row],[pre_res]]*Grandview_Inventory[[#This Row],[overall_adj]])</f>
        <v>0</v>
      </c>
      <c r="BZ2544" s="6">
        <f>(Grandview_Inventory[[#This Row],[sum_land]]-IF(Grandview_Inventory[[#This Row],[no_utilities]]=1,12000,0))/IF(Grandview_Inventory[[#This Row],[unbuildable]]=1,2,1)</f>
        <v>48369.510983942157</v>
      </c>
      <c r="CA254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544">
        <f>ROUND(Grandview_Inventory[[#This Row],[det_value]]*Lookups!$M$28,-2)</f>
        <v>0</v>
      </c>
      <c r="CC254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4">
        <f>Grandview_Inventory[[#This Row],[final_det]]+Grandview_Inventory[[#This Row],[final_res]]</f>
        <v>0</v>
      </c>
      <c r="CE2544">
        <f>Grandview_Inventory[[#This Row],[final_land]]+Grandview_Inventory[[#This Row],[final_imp]]+Grandview_Inventory[[#This Row],[crop_value]]</f>
        <v>46000</v>
      </c>
      <c r="CG2544" t="str">
        <f t="shared" si="39"/>
        <v>update valuation set market_land =46000, market_bldg=0, market_total =46000, market_mdno =401, market_date ='9/10/2023' where link_id = (select link_id from parcel where parcel_year = '2024' and parcel_id = '23091423400');</v>
      </c>
    </row>
    <row r="2545" spans="1:85" x14ac:dyDescent="0.25">
      <c r="A2545">
        <v>23091423401</v>
      </c>
      <c r="B2545" t="s">
        <v>129</v>
      </c>
      <c r="C2545">
        <v>7521</v>
      </c>
      <c r="D2545" t="s">
        <v>129</v>
      </c>
      <c r="E2545" t="s">
        <v>53</v>
      </c>
      <c r="F2545" t="s">
        <v>53</v>
      </c>
      <c r="G2545">
        <v>4</v>
      </c>
      <c r="H2545" t="s">
        <v>54</v>
      </c>
      <c r="I2545" t="s">
        <v>129</v>
      </c>
      <c r="J2545" t="s">
        <v>129</v>
      </c>
      <c r="K2545">
        <v>0.17</v>
      </c>
      <c r="L254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45">
        <v>0</v>
      </c>
      <c r="N2545">
        <v>0</v>
      </c>
      <c r="O2545">
        <v>0</v>
      </c>
      <c r="P2545">
        <v>13398.7528</v>
      </c>
      <c r="Q2545">
        <v>63903</v>
      </c>
      <c r="R2545">
        <f>(Grandview_Inventory[[#This Row],[ln_acres]]*Grandview_Inventory[[#This Row],[coeff]])+Grandview_Inventory[[#This Row],[const]]</f>
        <v>40160.988302686128</v>
      </c>
      <c r="AY2545">
        <v>0</v>
      </c>
      <c r="AZ2545">
        <v>0</v>
      </c>
      <c r="BE2545">
        <v>0</v>
      </c>
      <c r="BF2545">
        <v>15000</v>
      </c>
      <c r="BG2545">
        <v>0</v>
      </c>
      <c r="BH2545" s="6">
        <f>Grandview_Inventory[[#This Row],[land_extract]]*Lookups!$B$3</f>
        <v>46638.847281240982</v>
      </c>
      <c r="BI2545" s="6">
        <f>IF(Grandview_Inventory[[#This Row],[bldg_style]]="",0,Lookups!$B$2)</f>
        <v>0</v>
      </c>
      <c r="BJ2545" s="6">
        <f>_xlfn.IFNA(VLOOKUP(Grandview_Inventory[[#This Row],[quality]],Lookups!$H$2:$J$14,3,FALSE),0)</f>
        <v>0</v>
      </c>
      <c r="BK2545" s="6">
        <f>_xlfn.IFNA(VLOOKUP(Grandview_Inventory[[#This Row],[condition]],Lookups!$H$17:$J$24,3,FALSE),0)</f>
        <v>0</v>
      </c>
      <c r="BL2545" s="6">
        <f>Grandview_Inventory[[#This Row],[Eff_Age]]*Lookups!$B$14</f>
        <v>0</v>
      </c>
      <c r="BM2545" s="6">
        <f>Grandview_Inventory[[#This Row],[living_area]]*Lookups!$B$15</f>
        <v>0</v>
      </c>
      <c r="BN2545" s="6">
        <f>Grandview_Inventory[[#This Row],[Fin BSMT]]*Lookups!$B$16</f>
        <v>0</v>
      </c>
      <c r="BO2545" s="6">
        <f>(Grandview_Inventory[[#This Row],[att_gar]]+Grandview_Inventory[[#This Row],[bltin_gar]])*Lookups!$B$17</f>
        <v>0</v>
      </c>
      <c r="BP2545" s="6">
        <f>Grandview_Inventory[[#This Row],[Plumbing Fixtures]]*Lookups!$B$18</f>
        <v>0</v>
      </c>
      <c r="BQ2545" s="6">
        <f>Grandview_Inventory[[#This Row],[detatched_value]]*Lookups!$B$19</f>
        <v>0</v>
      </c>
      <c r="BR2545" s="6">
        <f>SUM(Grandview_Inventory[[#This Row],[Intercept]:[det_value]])*Grandview_Inventory[[#This Row],[res_pct]]</f>
        <v>0</v>
      </c>
      <c r="BS2545" s="6">
        <f>Grandview_Inventory[[#This Row],[land_value]]</f>
        <v>46638.847281240982</v>
      </c>
      <c r="BT2545" s="4">
        <f>_xlfn.IFNA(VLOOKUP(Grandview_Inventory[[#This Row],[quality]],Lookups!$A$26:$C$33,3,FALSE),1)</f>
        <v>1</v>
      </c>
      <c r="BU2545" s="4">
        <f>_xlfn.IFNA(VLOOKUP(Grandview_Inventory[[#This Row],[condition]],Lookups!$A$37:$C$44,3,FALSE),1)</f>
        <v>1</v>
      </c>
      <c r="BV2545" s="4">
        <f>IF(Grandview_Inventory[[#This Row],[bldg_style]]="",1,_xlfn.IFNA(VLOOKUP(Grandview_Inventory[[#This Row],[decade]],Lookups!$F$29:$H$43,3,FALSE),1))</f>
        <v>1</v>
      </c>
      <c r="BW2545" s="4">
        <f>_xlfn.IFNA(VLOOKUP(Grandview_Inventory[[#This Row],[living_area_range]],Lookups!$F$47:$H$56,3,FALSE),1)</f>
        <v>1</v>
      </c>
      <c r="BX2545" s="4">
        <f>AVERAGE(Grandview_Inventory[[#This Row],[qual_adj]:[size_adj]])</f>
        <v>1</v>
      </c>
      <c r="BY2545" s="6">
        <f>IF(Grandview_Inventory[[#This Row],[pre_res]]&lt;0,0,Grandview_Inventory[[#This Row],[pre_res]]*Grandview_Inventory[[#This Row],[overall_adj]])</f>
        <v>0</v>
      </c>
      <c r="BZ2545" s="6">
        <f>(Grandview_Inventory[[#This Row],[sum_land]]-IF(Grandview_Inventory[[#This Row],[no_utilities]]=1,12000,0))/IF(Grandview_Inventory[[#This Row],[unbuildable]]=1,2,1)</f>
        <v>46638.847281240982</v>
      </c>
      <c r="CA254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45">
        <f>ROUND(Grandview_Inventory[[#This Row],[det_value]]*Lookups!$M$28,-2)</f>
        <v>0</v>
      </c>
      <c r="CC254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5">
        <f>Grandview_Inventory[[#This Row],[final_det]]+Grandview_Inventory[[#This Row],[final_res]]</f>
        <v>0</v>
      </c>
      <c r="CE2545">
        <f>Grandview_Inventory[[#This Row],[final_land]]+Grandview_Inventory[[#This Row],[final_imp]]+Grandview_Inventory[[#This Row],[crop_value]]</f>
        <v>44300</v>
      </c>
      <c r="CG2545" t="str">
        <f t="shared" si="39"/>
        <v>update valuation set market_land =44300, market_bldg=0, market_total =44300, market_mdno =401, market_date ='9/10/2023' where link_id = (select link_id from parcel where parcel_year = '2024' and parcel_id = '23091423401');</v>
      </c>
    </row>
    <row r="2546" spans="1:85" x14ac:dyDescent="0.25">
      <c r="A2546">
        <v>23091423402</v>
      </c>
      <c r="B2546" t="s">
        <v>129</v>
      </c>
      <c r="C2546">
        <v>7521</v>
      </c>
      <c r="D2546" t="s">
        <v>129</v>
      </c>
      <c r="E2546" t="s">
        <v>53</v>
      </c>
      <c r="F2546" t="s">
        <v>53</v>
      </c>
      <c r="G2546">
        <v>4</v>
      </c>
      <c r="H2546" t="s">
        <v>54</v>
      </c>
      <c r="I2546" t="s">
        <v>129</v>
      </c>
      <c r="J2546" t="s">
        <v>129</v>
      </c>
      <c r="K2546">
        <v>0.17</v>
      </c>
      <c r="L254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46">
        <v>0</v>
      </c>
      <c r="N2546">
        <v>0</v>
      </c>
      <c r="O2546">
        <v>0</v>
      </c>
      <c r="P2546">
        <v>13398.7528</v>
      </c>
      <c r="Q2546">
        <v>63903</v>
      </c>
      <c r="R2546">
        <f>(Grandview_Inventory[[#This Row],[ln_acres]]*Grandview_Inventory[[#This Row],[coeff]])+Grandview_Inventory[[#This Row],[const]]</f>
        <v>40160.988302686128</v>
      </c>
      <c r="AY2546">
        <v>0</v>
      </c>
      <c r="AZ2546">
        <v>0</v>
      </c>
      <c r="BE2546">
        <v>0</v>
      </c>
      <c r="BF2546">
        <v>15000</v>
      </c>
      <c r="BG2546">
        <v>0</v>
      </c>
      <c r="BH2546" s="6">
        <f>Grandview_Inventory[[#This Row],[land_extract]]*Lookups!$B$3</f>
        <v>46638.847281240982</v>
      </c>
      <c r="BI2546" s="6">
        <f>IF(Grandview_Inventory[[#This Row],[bldg_style]]="",0,Lookups!$B$2)</f>
        <v>0</v>
      </c>
      <c r="BJ2546" s="6">
        <f>_xlfn.IFNA(VLOOKUP(Grandview_Inventory[[#This Row],[quality]],Lookups!$H$2:$J$14,3,FALSE),0)</f>
        <v>0</v>
      </c>
      <c r="BK2546" s="6">
        <f>_xlfn.IFNA(VLOOKUP(Grandview_Inventory[[#This Row],[condition]],Lookups!$H$17:$J$24,3,FALSE),0)</f>
        <v>0</v>
      </c>
      <c r="BL2546" s="6">
        <f>Grandview_Inventory[[#This Row],[Eff_Age]]*Lookups!$B$14</f>
        <v>0</v>
      </c>
      <c r="BM2546" s="6">
        <f>Grandview_Inventory[[#This Row],[living_area]]*Lookups!$B$15</f>
        <v>0</v>
      </c>
      <c r="BN2546" s="6">
        <f>Grandview_Inventory[[#This Row],[Fin BSMT]]*Lookups!$B$16</f>
        <v>0</v>
      </c>
      <c r="BO2546" s="6">
        <f>(Grandview_Inventory[[#This Row],[att_gar]]+Grandview_Inventory[[#This Row],[bltin_gar]])*Lookups!$B$17</f>
        <v>0</v>
      </c>
      <c r="BP2546" s="6">
        <f>Grandview_Inventory[[#This Row],[Plumbing Fixtures]]*Lookups!$B$18</f>
        <v>0</v>
      </c>
      <c r="BQ2546" s="6">
        <f>Grandview_Inventory[[#This Row],[detatched_value]]*Lookups!$B$19</f>
        <v>0</v>
      </c>
      <c r="BR2546" s="6">
        <f>SUM(Grandview_Inventory[[#This Row],[Intercept]:[det_value]])*Grandview_Inventory[[#This Row],[res_pct]]</f>
        <v>0</v>
      </c>
      <c r="BS2546" s="6">
        <f>Grandview_Inventory[[#This Row],[land_value]]</f>
        <v>46638.847281240982</v>
      </c>
      <c r="BT2546" s="4">
        <f>_xlfn.IFNA(VLOOKUP(Grandview_Inventory[[#This Row],[quality]],Lookups!$A$26:$C$33,3,FALSE),1)</f>
        <v>1</v>
      </c>
      <c r="BU2546" s="4">
        <f>_xlfn.IFNA(VLOOKUP(Grandview_Inventory[[#This Row],[condition]],Lookups!$A$37:$C$44,3,FALSE),1)</f>
        <v>1</v>
      </c>
      <c r="BV2546" s="4">
        <f>IF(Grandview_Inventory[[#This Row],[bldg_style]]="",1,_xlfn.IFNA(VLOOKUP(Grandview_Inventory[[#This Row],[decade]],Lookups!$F$29:$H$43,3,FALSE),1))</f>
        <v>1</v>
      </c>
      <c r="BW2546" s="4">
        <f>_xlfn.IFNA(VLOOKUP(Grandview_Inventory[[#This Row],[living_area_range]],Lookups!$F$47:$H$56,3,FALSE),1)</f>
        <v>1</v>
      </c>
      <c r="BX2546" s="4">
        <f>AVERAGE(Grandview_Inventory[[#This Row],[qual_adj]:[size_adj]])</f>
        <v>1</v>
      </c>
      <c r="BY2546" s="6">
        <f>IF(Grandview_Inventory[[#This Row],[pre_res]]&lt;0,0,Grandview_Inventory[[#This Row],[pre_res]]*Grandview_Inventory[[#This Row],[overall_adj]])</f>
        <v>0</v>
      </c>
      <c r="BZ2546" s="6">
        <f>(Grandview_Inventory[[#This Row],[sum_land]]-IF(Grandview_Inventory[[#This Row],[no_utilities]]=1,12000,0))/IF(Grandview_Inventory[[#This Row],[unbuildable]]=1,2,1)</f>
        <v>46638.847281240982</v>
      </c>
      <c r="CA254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46">
        <f>ROUND(Grandview_Inventory[[#This Row],[det_value]]*Lookups!$M$28,-2)</f>
        <v>0</v>
      </c>
      <c r="CC254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6">
        <f>Grandview_Inventory[[#This Row],[final_det]]+Grandview_Inventory[[#This Row],[final_res]]</f>
        <v>0</v>
      </c>
      <c r="CE2546">
        <f>Grandview_Inventory[[#This Row],[final_land]]+Grandview_Inventory[[#This Row],[final_imp]]+Grandview_Inventory[[#This Row],[crop_value]]</f>
        <v>44300</v>
      </c>
      <c r="CG2546" t="str">
        <f t="shared" si="39"/>
        <v>update valuation set market_land =44300, market_bldg=0, market_total =44300, market_mdno =401, market_date ='9/10/2023' where link_id = (select link_id from parcel where parcel_year = '2024' and parcel_id = '23091423402');</v>
      </c>
    </row>
    <row r="2547" spans="1:85" x14ac:dyDescent="0.25">
      <c r="A2547">
        <v>23091423403</v>
      </c>
      <c r="B2547" t="s">
        <v>129</v>
      </c>
      <c r="C2547">
        <v>7521</v>
      </c>
      <c r="D2547" t="s">
        <v>129</v>
      </c>
      <c r="E2547" t="s">
        <v>53</v>
      </c>
      <c r="F2547" t="s">
        <v>53</v>
      </c>
      <c r="G2547">
        <v>4</v>
      </c>
      <c r="H2547" t="s">
        <v>54</v>
      </c>
      <c r="I2547" t="s">
        <v>129</v>
      </c>
      <c r="J2547" t="s">
        <v>129</v>
      </c>
      <c r="K2547">
        <v>0.17</v>
      </c>
      <c r="L254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47">
        <v>0</v>
      </c>
      <c r="N2547">
        <v>0</v>
      </c>
      <c r="O2547">
        <v>0</v>
      </c>
      <c r="P2547">
        <v>13398.7528</v>
      </c>
      <c r="Q2547">
        <v>63903</v>
      </c>
      <c r="R2547">
        <f>(Grandview_Inventory[[#This Row],[ln_acres]]*Grandview_Inventory[[#This Row],[coeff]])+Grandview_Inventory[[#This Row],[const]]</f>
        <v>40160.988302686128</v>
      </c>
      <c r="AY2547">
        <v>0</v>
      </c>
      <c r="AZ2547">
        <v>0</v>
      </c>
      <c r="BE2547">
        <v>0</v>
      </c>
      <c r="BF2547">
        <v>15000</v>
      </c>
      <c r="BG2547">
        <v>0</v>
      </c>
      <c r="BH2547" s="6">
        <f>Grandview_Inventory[[#This Row],[land_extract]]*Lookups!$B$3</f>
        <v>46638.847281240982</v>
      </c>
      <c r="BI2547" s="6">
        <f>IF(Grandview_Inventory[[#This Row],[bldg_style]]="",0,Lookups!$B$2)</f>
        <v>0</v>
      </c>
      <c r="BJ2547" s="6">
        <f>_xlfn.IFNA(VLOOKUP(Grandview_Inventory[[#This Row],[quality]],Lookups!$H$2:$J$14,3,FALSE),0)</f>
        <v>0</v>
      </c>
      <c r="BK2547" s="6">
        <f>_xlfn.IFNA(VLOOKUP(Grandview_Inventory[[#This Row],[condition]],Lookups!$H$17:$J$24,3,FALSE),0)</f>
        <v>0</v>
      </c>
      <c r="BL2547" s="6">
        <f>Grandview_Inventory[[#This Row],[Eff_Age]]*Lookups!$B$14</f>
        <v>0</v>
      </c>
      <c r="BM2547" s="6">
        <f>Grandview_Inventory[[#This Row],[living_area]]*Lookups!$B$15</f>
        <v>0</v>
      </c>
      <c r="BN2547" s="6">
        <f>Grandview_Inventory[[#This Row],[Fin BSMT]]*Lookups!$B$16</f>
        <v>0</v>
      </c>
      <c r="BO2547" s="6">
        <f>(Grandview_Inventory[[#This Row],[att_gar]]+Grandview_Inventory[[#This Row],[bltin_gar]])*Lookups!$B$17</f>
        <v>0</v>
      </c>
      <c r="BP2547" s="6">
        <f>Grandview_Inventory[[#This Row],[Plumbing Fixtures]]*Lookups!$B$18</f>
        <v>0</v>
      </c>
      <c r="BQ2547" s="6">
        <f>Grandview_Inventory[[#This Row],[detatched_value]]*Lookups!$B$19</f>
        <v>0</v>
      </c>
      <c r="BR2547" s="6">
        <f>SUM(Grandview_Inventory[[#This Row],[Intercept]:[det_value]])*Grandview_Inventory[[#This Row],[res_pct]]</f>
        <v>0</v>
      </c>
      <c r="BS2547" s="6">
        <f>Grandview_Inventory[[#This Row],[land_value]]</f>
        <v>46638.847281240982</v>
      </c>
      <c r="BT2547" s="4">
        <f>_xlfn.IFNA(VLOOKUP(Grandview_Inventory[[#This Row],[quality]],Lookups!$A$26:$C$33,3,FALSE),1)</f>
        <v>1</v>
      </c>
      <c r="BU2547" s="4">
        <f>_xlfn.IFNA(VLOOKUP(Grandview_Inventory[[#This Row],[condition]],Lookups!$A$37:$C$44,3,FALSE),1)</f>
        <v>1</v>
      </c>
      <c r="BV2547" s="4">
        <f>IF(Grandview_Inventory[[#This Row],[bldg_style]]="",1,_xlfn.IFNA(VLOOKUP(Grandview_Inventory[[#This Row],[decade]],Lookups!$F$29:$H$43,3,FALSE),1))</f>
        <v>1</v>
      </c>
      <c r="BW2547" s="4">
        <f>_xlfn.IFNA(VLOOKUP(Grandview_Inventory[[#This Row],[living_area_range]],Lookups!$F$47:$H$56,3,FALSE),1)</f>
        <v>1</v>
      </c>
      <c r="BX2547" s="4">
        <f>AVERAGE(Grandview_Inventory[[#This Row],[qual_adj]:[size_adj]])</f>
        <v>1</v>
      </c>
      <c r="BY2547" s="6">
        <f>IF(Grandview_Inventory[[#This Row],[pre_res]]&lt;0,0,Grandview_Inventory[[#This Row],[pre_res]]*Grandview_Inventory[[#This Row],[overall_adj]])</f>
        <v>0</v>
      </c>
      <c r="BZ2547" s="6">
        <f>(Grandview_Inventory[[#This Row],[sum_land]]-IF(Grandview_Inventory[[#This Row],[no_utilities]]=1,12000,0))/IF(Grandview_Inventory[[#This Row],[unbuildable]]=1,2,1)</f>
        <v>46638.847281240982</v>
      </c>
      <c r="CA254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47">
        <f>ROUND(Grandview_Inventory[[#This Row],[det_value]]*Lookups!$M$28,-2)</f>
        <v>0</v>
      </c>
      <c r="CC254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7">
        <f>Grandview_Inventory[[#This Row],[final_det]]+Grandview_Inventory[[#This Row],[final_res]]</f>
        <v>0</v>
      </c>
      <c r="CE2547">
        <f>Grandview_Inventory[[#This Row],[final_land]]+Grandview_Inventory[[#This Row],[final_imp]]+Grandview_Inventory[[#This Row],[crop_value]]</f>
        <v>44300</v>
      </c>
      <c r="CG2547" t="str">
        <f t="shared" si="39"/>
        <v>update valuation set market_land =44300, market_bldg=0, market_total =44300, market_mdno =401, market_date ='9/10/2023' where link_id = (select link_id from parcel where parcel_year = '2024' and parcel_id = '23091423403');</v>
      </c>
    </row>
    <row r="2548" spans="1:85" x14ac:dyDescent="0.25">
      <c r="A2548">
        <v>23091423404</v>
      </c>
      <c r="B2548" t="s">
        <v>129</v>
      </c>
      <c r="C2548">
        <v>7727</v>
      </c>
      <c r="D2548" t="s">
        <v>129</v>
      </c>
      <c r="E2548" t="s">
        <v>53</v>
      </c>
      <c r="F2548" t="s">
        <v>53</v>
      </c>
      <c r="G2548">
        <v>4</v>
      </c>
      <c r="H2548" t="s">
        <v>54</v>
      </c>
      <c r="I2548" t="s">
        <v>129</v>
      </c>
      <c r="J2548" t="s">
        <v>129</v>
      </c>
      <c r="K2548">
        <v>0.18</v>
      </c>
      <c r="L254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48">
        <v>0</v>
      </c>
      <c r="N2548">
        <v>0</v>
      </c>
      <c r="O2548">
        <v>0</v>
      </c>
      <c r="P2548">
        <v>13398.7528</v>
      </c>
      <c r="Q2548">
        <v>63903</v>
      </c>
      <c r="R2548">
        <f>(Grandview_Inventory[[#This Row],[ln_acres]]*Grandview_Inventory[[#This Row],[coeff]])+Grandview_Inventory[[#This Row],[const]]</f>
        <v>40926.839760167699</v>
      </c>
      <c r="AY2548">
        <v>0</v>
      </c>
      <c r="AZ2548">
        <v>0</v>
      </c>
      <c r="BE2548">
        <v>0</v>
      </c>
      <c r="BF2548">
        <v>15000</v>
      </c>
      <c r="BG2548">
        <v>0</v>
      </c>
      <c r="BH2548" s="6">
        <f>Grandview_Inventory[[#This Row],[land_extract]]*Lookups!$B$3</f>
        <v>47528.228511015397</v>
      </c>
      <c r="BI2548" s="6">
        <f>IF(Grandview_Inventory[[#This Row],[bldg_style]]="",0,Lookups!$B$2)</f>
        <v>0</v>
      </c>
      <c r="BJ2548" s="6">
        <f>_xlfn.IFNA(VLOOKUP(Grandview_Inventory[[#This Row],[quality]],Lookups!$H$2:$J$14,3,FALSE),0)</f>
        <v>0</v>
      </c>
      <c r="BK2548" s="6">
        <f>_xlfn.IFNA(VLOOKUP(Grandview_Inventory[[#This Row],[condition]],Lookups!$H$17:$J$24,3,FALSE),0)</f>
        <v>0</v>
      </c>
      <c r="BL2548" s="6">
        <f>Grandview_Inventory[[#This Row],[Eff_Age]]*Lookups!$B$14</f>
        <v>0</v>
      </c>
      <c r="BM2548" s="6">
        <f>Grandview_Inventory[[#This Row],[living_area]]*Lookups!$B$15</f>
        <v>0</v>
      </c>
      <c r="BN2548" s="6">
        <f>Grandview_Inventory[[#This Row],[Fin BSMT]]*Lookups!$B$16</f>
        <v>0</v>
      </c>
      <c r="BO2548" s="6">
        <f>(Grandview_Inventory[[#This Row],[att_gar]]+Grandview_Inventory[[#This Row],[bltin_gar]])*Lookups!$B$17</f>
        <v>0</v>
      </c>
      <c r="BP2548" s="6">
        <f>Grandview_Inventory[[#This Row],[Plumbing Fixtures]]*Lookups!$B$18</f>
        <v>0</v>
      </c>
      <c r="BQ2548" s="6">
        <f>Grandview_Inventory[[#This Row],[detatched_value]]*Lookups!$B$19</f>
        <v>0</v>
      </c>
      <c r="BR2548" s="6">
        <f>SUM(Grandview_Inventory[[#This Row],[Intercept]:[det_value]])*Grandview_Inventory[[#This Row],[res_pct]]</f>
        <v>0</v>
      </c>
      <c r="BS2548" s="6">
        <f>Grandview_Inventory[[#This Row],[land_value]]</f>
        <v>47528.228511015397</v>
      </c>
      <c r="BT2548" s="4">
        <f>_xlfn.IFNA(VLOOKUP(Grandview_Inventory[[#This Row],[quality]],Lookups!$A$26:$C$33,3,FALSE),1)</f>
        <v>1</v>
      </c>
      <c r="BU2548" s="4">
        <f>_xlfn.IFNA(VLOOKUP(Grandview_Inventory[[#This Row],[condition]],Lookups!$A$37:$C$44,3,FALSE),1)</f>
        <v>1</v>
      </c>
      <c r="BV2548" s="4">
        <f>IF(Grandview_Inventory[[#This Row],[bldg_style]]="",1,_xlfn.IFNA(VLOOKUP(Grandview_Inventory[[#This Row],[decade]],Lookups!$F$29:$H$43,3,FALSE),1))</f>
        <v>1</v>
      </c>
      <c r="BW2548" s="4">
        <f>_xlfn.IFNA(VLOOKUP(Grandview_Inventory[[#This Row],[living_area_range]],Lookups!$F$47:$H$56,3,FALSE),1)</f>
        <v>1</v>
      </c>
      <c r="BX2548" s="4">
        <f>AVERAGE(Grandview_Inventory[[#This Row],[qual_adj]:[size_adj]])</f>
        <v>1</v>
      </c>
      <c r="BY2548" s="6">
        <f>IF(Grandview_Inventory[[#This Row],[pre_res]]&lt;0,0,Grandview_Inventory[[#This Row],[pre_res]]*Grandview_Inventory[[#This Row],[overall_adj]])</f>
        <v>0</v>
      </c>
      <c r="BZ2548" s="6">
        <f>(Grandview_Inventory[[#This Row],[sum_land]]-IF(Grandview_Inventory[[#This Row],[no_utilities]]=1,12000,0))/IF(Grandview_Inventory[[#This Row],[unbuildable]]=1,2,1)</f>
        <v>47528.228511015397</v>
      </c>
      <c r="CA254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48">
        <f>ROUND(Grandview_Inventory[[#This Row],[det_value]]*Lookups!$M$28,-2)</f>
        <v>0</v>
      </c>
      <c r="CC254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8">
        <f>Grandview_Inventory[[#This Row],[final_det]]+Grandview_Inventory[[#This Row],[final_res]]</f>
        <v>0</v>
      </c>
      <c r="CE2548">
        <f>Grandview_Inventory[[#This Row],[final_land]]+Grandview_Inventory[[#This Row],[final_imp]]+Grandview_Inventory[[#This Row],[crop_value]]</f>
        <v>45200</v>
      </c>
      <c r="CG2548" t="str">
        <f t="shared" si="39"/>
        <v>update valuation set market_land =45200, market_bldg=0, market_total =45200, market_mdno =401, market_date ='9/10/2023' where link_id = (select link_id from parcel where parcel_year = '2024' and parcel_id = '23091423404');</v>
      </c>
    </row>
    <row r="2549" spans="1:85" x14ac:dyDescent="0.25">
      <c r="A2549">
        <v>23091423405</v>
      </c>
      <c r="B2549" t="s">
        <v>129</v>
      </c>
      <c r="C2549">
        <v>7727</v>
      </c>
      <c r="D2549" t="s">
        <v>129</v>
      </c>
      <c r="E2549" t="s">
        <v>53</v>
      </c>
      <c r="F2549" t="s">
        <v>53</v>
      </c>
      <c r="G2549">
        <v>4</v>
      </c>
      <c r="H2549" t="s">
        <v>54</v>
      </c>
      <c r="I2549" t="s">
        <v>129</v>
      </c>
      <c r="J2549" t="s">
        <v>129</v>
      </c>
      <c r="K2549">
        <v>0.18</v>
      </c>
      <c r="L254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49">
        <v>0</v>
      </c>
      <c r="N2549">
        <v>0</v>
      </c>
      <c r="O2549">
        <v>0</v>
      </c>
      <c r="P2549">
        <v>13398.7528</v>
      </c>
      <c r="Q2549">
        <v>63903</v>
      </c>
      <c r="R2549">
        <f>(Grandview_Inventory[[#This Row],[ln_acres]]*Grandview_Inventory[[#This Row],[coeff]])+Grandview_Inventory[[#This Row],[const]]</f>
        <v>40926.839760167699</v>
      </c>
      <c r="AY2549">
        <v>0</v>
      </c>
      <c r="AZ2549">
        <v>0</v>
      </c>
      <c r="BE2549">
        <v>0</v>
      </c>
      <c r="BF2549">
        <v>15000</v>
      </c>
      <c r="BG2549">
        <v>0</v>
      </c>
      <c r="BH2549" s="6">
        <f>Grandview_Inventory[[#This Row],[land_extract]]*Lookups!$B$3</f>
        <v>47528.228511015397</v>
      </c>
      <c r="BI2549" s="6">
        <f>IF(Grandview_Inventory[[#This Row],[bldg_style]]="",0,Lookups!$B$2)</f>
        <v>0</v>
      </c>
      <c r="BJ2549" s="6">
        <f>_xlfn.IFNA(VLOOKUP(Grandview_Inventory[[#This Row],[quality]],Lookups!$H$2:$J$14,3,FALSE),0)</f>
        <v>0</v>
      </c>
      <c r="BK2549" s="6">
        <f>_xlfn.IFNA(VLOOKUP(Grandview_Inventory[[#This Row],[condition]],Lookups!$H$17:$J$24,3,FALSE),0)</f>
        <v>0</v>
      </c>
      <c r="BL2549" s="6">
        <f>Grandview_Inventory[[#This Row],[Eff_Age]]*Lookups!$B$14</f>
        <v>0</v>
      </c>
      <c r="BM2549" s="6">
        <f>Grandview_Inventory[[#This Row],[living_area]]*Lookups!$B$15</f>
        <v>0</v>
      </c>
      <c r="BN2549" s="6">
        <f>Grandview_Inventory[[#This Row],[Fin BSMT]]*Lookups!$B$16</f>
        <v>0</v>
      </c>
      <c r="BO2549" s="6">
        <f>(Grandview_Inventory[[#This Row],[att_gar]]+Grandview_Inventory[[#This Row],[bltin_gar]])*Lookups!$B$17</f>
        <v>0</v>
      </c>
      <c r="BP2549" s="6">
        <f>Grandview_Inventory[[#This Row],[Plumbing Fixtures]]*Lookups!$B$18</f>
        <v>0</v>
      </c>
      <c r="BQ2549" s="6">
        <f>Grandview_Inventory[[#This Row],[detatched_value]]*Lookups!$B$19</f>
        <v>0</v>
      </c>
      <c r="BR2549" s="6">
        <f>SUM(Grandview_Inventory[[#This Row],[Intercept]:[det_value]])*Grandview_Inventory[[#This Row],[res_pct]]</f>
        <v>0</v>
      </c>
      <c r="BS2549" s="6">
        <f>Grandview_Inventory[[#This Row],[land_value]]</f>
        <v>47528.228511015397</v>
      </c>
      <c r="BT2549" s="4">
        <f>_xlfn.IFNA(VLOOKUP(Grandview_Inventory[[#This Row],[quality]],Lookups!$A$26:$C$33,3,FALSE),1)</f>
        <v>1</v>
      </c>
      <c r="BU2549" s="4">
        <f>_xlfn.IFNA(VLOOKUP(Grandview_Inventory[[#This Row],[condition]],Lookups!$A$37:$C$44,3,FALSE),1)</f>
        <v>1</v>
      </c>
      <c r="BV2549" s="4">
        <f>IF(Grandview_Inventory[[#This Row],[bldg_style]]="",1,_xlfn.IFNA(VLOOKUP(Grandview_Inventory[[#This Row],[decade]],Lookups!$F$29:$H$43,3,FALSE),1))</f>
        <v>1</v>
      </c>
      <c r="BW2549" s="4">
        <f>_xlfn.IFNA(VLOOKUP(Grandview_Inventory[[#This Row],[living_area_range]],Lookups!$F$47:$H$56,3,FALSE),1)</f>
        <v>1</v>
      </c>
      <c r="BX2549" s="4">
        <f>AVERAGE(Grandview_Inventory[[#This Row],[qual_adj]:[size_adj]])</f>
        <v>1</v>
      </c>
      <c r="BY2549" s="6">
        <f>IF(Grandview_Inventory[[#This Row],[pre_res]]&lt;0,0,Grandview_Inventory[[#This Row],[pre_res]]*Grandview_Inventory[[#This Row],[overall_adj]])</f>
        <v>0</v>
      </c>
      <c r="BZ2549" s="6">
        <f>(Grandview_Inventory[[#This Row],[sum_land]]-IF(Grandview_Inventory[[#This Row],[no_utilities]]=1,12000,0))/IF(Grandview_Inventory[[#This Row],[unbuildable]]=1,2,1)</f>
        <v>47528.228511015397</v>
      </c>
      <c r="CA254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49">
        <f>ROUND(Grandview_Inventory[[#This Row],[det_value]]*Lookups!$M$28,-2)</f>
        <v>0</v>
      </c>
      <c r="CC254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49">
        <f>Grandview_Inventory[[#This Row],[final_det]]+Grandview_Inventory[[#This Row],[final_res]]</f>
        <v>0</v>
      </c>
      <c r="CE2549">
        <f>Grandview_Inventory[[#This Row],[final_land]]+Grandview_Inventory[[#This Row],[final_imp]]+Grandview_Inventory[[#This Row],[crop_value]]</f>
        <v>45200</v>
      </c>
      <c r="CG2549" t="str">
        <f t="shared" si="39"/>
        <v>update valuation set market_land =45200, market_bldg=0, market_total =45200, market_mdno =401, market_date ='9/10/2023' where link_id = (select link_id from parcel where parcel_year = '2024' and parcel_id = '23091423405');</v>
      </c>
    </row>
    <row r="2550" spans="1:85" x14ac:dyDescent="0.25">
      <c r="A2550">
        <v>23091423406</v>
      </c>
      <c r="B2550" t="s">
        <v>129</v>
      </c>
      <c r="C2550">
        <v>7727</v>
      </c>
      <c r="D2550" t="s">
        <v>129</v>
      </c>
      <c r="E2550" t="s">
        <v>53</v>
      </c>
      <c r="F2550" t="s">
        <v>53</v>
      </c>
      <c r="G2550">
        <v>4</v>
      </c>
      <c r="H2550" t="s">
        <v>54</v>
      </c>
      <c r="I2550" t="s">
        <v>129</v>
      </c>
      <c r="J2550" t="s">
        <v>129</v>
      </c>
      <c r="K2550">
        <v>0.18</v>
      </c>
      <c r="L255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50">
        <v>0</v>
      </c>
      <c r="N2550">
        <v>0</v>
      </c>
      <c r="O2550">
        <v>0</v>
      </c>
      <c r="P2550">
        <v>13398.7528</v>
      </c>
      <c r="Q2550">
        <v>63903</v>
      </c>
      <c r="R2550">
        <f>(Grandview_Inventory[[#This Row],[ln_acres]]*Grandview_Inventory[[#This Row],[coeff]])+Grandview_Inventory[[#This Row],[const]]</f>
        <v>40926.839760167699</v>
      </c>
      <c r="AY2550">
        <v>0</v>
      </c>
      <c r="AZ2550">
        <v>0</v>
      </c>
      <c r="BE2550">
        <v>0</v>
      </c>
      <c r="BF2550">
        <v>15000</v>
      </c>
      <c r="BG2550">
        <v>0</v>
      </c>
      <c r="BH2550" s="6">
        <f>Grandview_Inventory[[#This Row],[land_extract]]*Lookups!$B$3</f>
        <v>47528.228511015397</v>
      </c>
      <c r="BI2550" s="6">
        <f>IF(Grandview_Inventory[[#This Row],[bldg_style]]="",0,Lookups!$B$2)</f>
        <v>0</v>
      </c>
      <c r="BJ2550" s="6">
        <f>_xlfn.IFNA(VLOOKUP(Grandview_Inventory[[#This Row],[quality]],Lookups!$H$2:$J$14,3,FALSE),0)</f>
        <v>0</v>
      </c>
      <c r="BK2550" s="6">
        <f>_xlfn.IFNA(VLOOKUP(Grandview_Inventory[[#This Row],[condition]],Lookups!$H$17:$J$24,3,FALSE),0)</f>
        <v>0</v>
      </c>
      <c r="BL2550" s="6">
        <f>Grandview_Inventory[[#This Row],[Eff_Age]]*Lookups!$B$14</f>
        <v>0</v>
      </c>
      <c r="BM2550" s="6">
        <f>Grandview_Inventory[[#This Row],[living_area]]*Lookups!$B$15</f>
        <v>0</v>
      </c>
      <c r="BN2550" s="6">
        <f>Grandview_Inventory[[#This Row],[Fin BSMT]]*Lookups!$B$16</f>
        <v>0</v>
      </c>
      <c r="BO2550" s="6">
        <f>(Grandview_Inventory[[#This Row],[att_gar]]+Grandview_Inventory[[#This Row],[bltin_gar]])*Lookups!$B$17</f>
        <v>0</v>
      </c>
      <c r="BP2550" s="6">
        <f>Grandview_Inventory[[#This Row],[Plumbing Fixtures]]*Lookups!$B$18</f>
        <v>0</v>
      </c>
      <c r="BQ2550" s="6">
        <f>Grandview_Inventory[[#This Row],[detatched_value]]*Lookups!$B$19</f>
        <v>0</v>
      </c>
      <c r="BR2550" s="6">
        <f>SUM(Grandview_Inventory[[#This Row],[Intercept]:[det_value]])*Grandview_Inventory[[#This Row],[res_pct]]</f>
        <v>0</v>
      </c>
      <c r="BS2550" s="6">
        <f>Grandview_Inventory[[#This Row],[land_value]]</f>
        <v>47528.228511015397</v>
      </c>
      <c r="BT2550" s="4">
        <f>_xlfn.IFNA(VLOOKUP(Grandview_Inventory[[#This Row],[quality]],Lookups!$A$26:$C$33,3,FALSE),1)</f>
        <v>1</v>
      </c>
      <c r="BU2550" s="4">
        <f>_xlfn.IFNA(VLOOKUP(Grandview_Inventory[[#This Row],[condition]],Lookups!$A$37:$C$44,3,FALSE),1)</f>
        <v>1</v>
      </c>
      <c r="BV2550" s="4">
        <f>IF(Grandview_Inventory[[#This Row],[bldg_style]]="",1,_xlfn.IFNA(VLOOKUP(Grandview_Inventory[[#This Row],[decade]],Lookups!$F$29:$H$43,3,FALSE),1))</f>
        <v>1</v>
      </c>
      <c r="BW2550" s="4">
        <f>_xlfn.IFNA(VLOOKUP(Grandview_Inventory[[#This Row],[living_area_range]],Lookups!$F$47:$H$56,3,FALSE),1)</f>
        <v>1</v>
      </c>
      <c r="BX2550" s="4">
        <f>AVERAGE(Grandview_Inventory[[#This Row],[qual_adj]:[size_adj]])</f>
        <v>1</v>
      </c>
      <c r="BY2550" s="6">
        <f>IF(Grandview_Inventory[[#This Row],[pre_res]]&lt;0,0,Grandview_Inventory[[#This Row],[pre_res]]*Grandview_Inventory[[#This Row],[overall_adj]])</f>
        <v>0</v>
      </c>
      <c r="BZ2550" s="6">
        <f>(Grandview_Inventory[[#This Row],[sum_land]]-IF(Grandview_Inventory[[#This Row],[no_utilities]]=1,12000,0))/IF(Grandview_Inventory[[#This Row],[unbuildable]]=1,2,1)</f>
        <v>47528.228511015397</v>
      </c>
      <c r="CA255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50">
        <f>ROUND(Grandview_Inventory[[#This Row],[det_value]]*Lookups!$M$28,-2)</f>
        <v>0</v>
      </c>
      <c r="CC255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0">
        <f>Grandview_Inventory[[#This Row],[final_det]]+Grandview_Inventory[[#This Row],[final_res]]</f>
        <v>0</v>
      </c>
      <c r="CE2550">
        <f>Grandview_Inventory[[#This Row],[final_land]]+Grandview_Inventory[[#This Row],[final_imp]]+Grandview_Inventory[[#This Row],[crop_value]]</f>
        <v>45200</v>
      </c>
      <c r="CG2550" t="str">
        <f t="shared" si="39"/>
        <v>update valuation set market_land =45200, market_bldg=0, market_total =45200, market_mdno =401, market_date ='9/10/2023' where link_id = (select link_id from parcel where parcel_year = '2024' and parcel_id = '23091423406');</v>
      </c>
    </row>
    <row r="2551" spans="1:85" x14ac:dyDescent="0.25">
      <c r="A2551">
        <v>23091423407</v>
      </c>
      <c r="B2551" t="s">
        <v>129</v>
      </c>
      <c r="C2551">
        <v>8567</v>
      </c>
      <c r="D2551" t="s">
        <v>129</v>
      </c>
      <c r="E2551" t="s">
        <v>53</v>
      </c>
      <c r="F2551" t="s">
        <v>53</v>
      </c>
      <c r="G2551">
        <v>4</v>
      </c>
      <c r="H2551" t="s">
        <v>54</v>
      </c>
      <c r="I2551" t="s">
        <v>129</v>
      </c>
      <c r="J2551" t="s">
        <v>129</v>
      </c>
      <c r="K2551">
        <v>0.2</v>
      </c>
      <c r="L2551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551">
        <v>0</v>
      </c>
      <c r="N2551">
        <v>0</v>
      </c>
      <c r="O2551">
        <v>0</v>
      </c>
      <c r="P2551">
        <v>13398.7528</v>
      </c>
      <c r="Q2551">
        <v>63903</v>
      </c>
      <c r="R2551">
        <f>(Grandview_Inventory[[#This Row],[ln_acres]]*Grandview_Inventory[[#This Row],[coeff]])+Grandview_Inventory[[#This Row],[const]]</f>
        <v>42338.539264347448</v>
      </c>
      <c r="AY2551">
        <v>0</v>
      </c>
      <c r="AZ2551">
        <v>0</v>
      </c>
      <c r="BE2551">
        <v>0</v>
      </c>
      <c r="BF2551">
        <v>15000</v>
      </c>
      <c r="BG2551">
        <v>0</v>
      </c>
      <c r="BH2551" s="6">
        <f>Grandview_Inventory[[#This Row],[land_extract]]*Lookups!$B$3</f>
        <v>49167.631333630678</v>
      </c>
      <c r="BI2551" s="6">
        <f>IF(Grandview_Inventory[[#This Row],[bldg_style]]="",0,Lookups!$B$2)</f>
        <v>0</v>
      </c>
      <c r="BJ2551" s="6">
        <f>_xlfn.IFNA(VLOOKUP(Grandview_Inventory[[#This Row],[quality]],Lookups!$H$2:$J$14,3,FALSE),0)</f>
        <v>0</v>
      </c>
      <c r="BK2551" s="6">
        <f>_xlfn.IFNA(VLOOKUP(Grandview_Inventory[[#This Row],[condition]],Lookups!$H$17:$J$24,3,FALSE),0)</f>
        <v>0</v>
      </c>
      <c r="BL2551" s="6">
        <f>Grandview_Inventory[[#This Row],[Eff_Age]]*Lookups!$B$14</f>
        <v>0</v>
      </c>
      <c r="BM2551" s="6">
        <f>Grandview_Inventory[[#This Row],[living_area]]*Lookups!$B$15</f>
        <v>0</v>
      </c>
      <c r="BN2551" s="6">
        <f>Grandview_Inventory[[#This Row],[Fin BSMT]]*Lookups!$B$16</f>
        <v>0</v>
      </c>
      <c r="BO2551" s="6">
        <f>(Grandview_Inventory[[#This Row],[att_gar]]+Grandview_Inventory[[#This Row],[bltin_gar]])*Lookups!$B$17</f>
        <v>0</v>
      </c>
      <c r="BP2551" s="6">
        <f>Grandview_Inventory[[#This Row],[Plumbing Fixtures]]*Lookups!$B$18</f>
        <v>0</v>
      </c>
      <c r="BQ2551" s="6">
        <f>Grandview_Inventory[[#This Row],[detatched_value]]*Lookups!$B$19</f>
        <v>0</v>
      </c>
      <c r="BR2551" s="6">
        <f>SUM(Grandview_Inventory[[#This Row],[Intercept]:[det_value]])*Grandview_Inventory[[#This Row],[res_pct]]</f>
        <v>0</v>
      </c>
      <c r="BS2551" s="6">
        <f>Grandview_Inventory[[#This Row],[land_value]]</f>
        <v>49167.631333630678</v>
      </c>
      <c r="BT2551" s="4">
        <f>_xlfn.IFNA(VLOOKUP(Grandview_Inventory[[#This Row],[quality]],Lookups!$A$26:$C$33,3,FALSE),1)</f>
        <v>1</v>
      </c>
      <c r="BU2551" s="4">
        <f>_xlfn.IFNA(VLOOKUP(Grandview_Inventory[[#This Row],[condition]],Lookups!$A$37:$C$44,3,FALSE),1)</f>
        <v>1</v>
      </c>
      <c r="BV2551" s="4">
        <f>IF(Grandview_Inventory[[#This Row],[bldg_style]]="",1,_xlfn.IFNA(VLOOKUP(Grandview_Inventory[[#This Row],[decade]],Lookups!$F$29:$H$43,3,FALSE),1))</f>
        <v>1</v>
      </c>
      <c r="BW2551" s="4">
        <f>_xlfn.IFNA(VLOOKUP(Grandview_Inventory[[#This Row],[living_area_range]],Lookups!$F$47:$H$56,3,FALSE),1)</f>
        <v>1</v>
      </c>
      <c r="BX2551" s="4">
        <f>AVERAGE(Grandview_Inventory[[#This Row],[qual_adj]:[size_adj]])</f>
        <v>1</v>
      </c>
      <c r="BY2551" s="6">
        <f>IF(Grandview_Inventory[[#This Row],[pre_res]]&lt;0,0,Grandview_Inventory[[#This Row],[pre_res]]*Grandview_Inventory[[#This Row],[overall_adj]])</f>
        <v>0</v>
      </c>
      <c r="BZ2551" s="6">
        <f>(Grandview_Inventory[[#This Row],[sum_land]]-IF(Grandview_Inventory[[#This Row],[no_utilities]]=1,12000,0))/IF(Grandview_Inventory[[#This Row],[unbuildable]]=1,2,1)</f>
        <v>49167.631333630678</v>
      </c>
      <c r="CA2551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551">
        <f>ROUND(Grandview_Inventory[[#This Row],[det_value]]*Lookups!$M$28,-2)</f>
        <v>0</v>
      </c>
      <c r="CC255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1">
        <f>Grandview_Inventory[[#This Row],[final_det]]+Grandview_Inventory[[#This Row],[final_res]]</f>
        <v>0</v>
      </c>
      <c r="CE2551">
        <f>Grandview_Inventory[[#This Row],[final_land]]+Grandview_Inventory[[#This Row],[final_imp]]+Grandview_Inventory[[#This Row],[crop_value]]</f>
        <v>46700</v>
      </c>
      <c r="CG2551" t="str">
        <f t="shared" si="39"/>
        <v>update valuation set market_land =46700, market_bldg=0, market_total =46700, market_mdno =401, market_date ='9/10/2023' where link_id = (select link_id from parcel where parcel_year = '2024' and parcel_id = '23091423407');</v>
      </c>
    </row>
    <row r="2552" spans="1:85" x14ac:dyDescent="0.25">
      <c r="A2552">
        <v>23091423408</v>
      </c>
      <c r="B2552" t="s">
        <v>129</v>
      </c>
      <c r="C2552">
        <v>7740</v>
      </c>
      <c r="D2552" t="s">
        <v>129</v>
      </c>
      <c r="E2552" t="s">
        <v>53</v>
      </c>
      <c r="F2552" t="s">
        <v>53</v>
      </c>
      <c r="G2552">
        <v>4</v>
      </c>
      <c r="H2552" t="s">
        <v>54</v>
      </c>
      <c r="I2552" t="s">
        <v>129</v>
      </c>
      <c r="J2552" t="s">
        <v>129</v>
      </c>
      <c r="K2552">
        <v>0.18</v>
      </c>
      <c r="L255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52">
        <v>0</v>
      </c>
      <c r="N2552">
        <v>0</v>
      </c>
      <c r="O2552">
        <v>0</v>
      </c>
      <c r="P2552">
        <v>13398.7528</v>
      </c>
      <c r="Q2552">
        <v>63903</v>
      </c>
      <c r="R2552">
        <f>(Grandview_Inventory[[#This Row],[ln_acres]]*Grandview_Inventory[[#This Row],[coeff]])+Grandview_Inventory[[#This Row],[const]]</f>
        <v>40926.839760167699</v>
      </c>
      <c r="AY2552">
        <v>0</v>
      </c>
      <c r="AZ2552">
        <v>0</v>
      </c>
      <c r="BE2552">
        <v>0</v>
      </c>
      <c r="BF2552">
        <v>15000</v>
      </c>
      <c r="BG2552">
        <v>0</v>
      </c>
      <c r="BH2552" s="6">
        <f>Grandview_Inventory[[#This Row],[land_extract]]*Lookups!$B$3</f>
        <v>47528.228511015397</v>
      </c>
      <c r="BI2552" s="6">
        <f>IF(Grandview_Inventory[[#This Row],[bldg_style]]="",0,Lookups!$B$2)</f>
        <v>0</v>
      </c>
      <c r="BJ2552" s="6">
        <f>_xlfn.IFNA(VLOOKUP(Grandview_Inventory[[#This Row],[quality]],Lookups!$H$2:$J$14,3,FALSE),0)</f>
        <v>0</v>
      </c>
      <c r="BK2552" s="6">
        <f>_xlfn.IFNA(VLOOKUP(Grandview_Inventory[[#This Row],[condition]],Lookups!$H$17:$J$24,3,FALSE),0)</f>
        <v>0</v>
      </c>
      <c r="BL2552" s="6">
        <f>Grandview_Inventory[[#This Row],[Eff_Age]]*Lookups!$B$14</f>
        <v>0</v>
      </c>
      <c r="BM2552" s="6">
        <f>Grandview_Inventory[[#This Row],[living_area]]*Lookups!$B$15</f>
        <v>0</v>
      </c>
      <c r="BN2552" s="6">
        <f>Grandview_Inventory[[#This Row],[Fin BSMT]]*Lookups!$B$16</f>
        <v>0</v>
      </c>
      <c r="BO2552" s="6">
        <f>(Grandview_Inventory[[#This Row],[att_gar]]+Grandview_Inventory[[#This Row],[bltin_gar]])*Lookups!$B$17</f>
        <v>0</v>
      </c>
      <c r="BP2552" s="6">
        <f>Grandview_Inventory[[#This Row],[Plumbing Fixtures]]*Lookups!$B$18</f>
        <v>0</v>
      </c>
      <c r="BQ2552" s="6">
        <f>Grandview_Inventory[[#This Row],[detatched_value]]*Lookups!$B$19</f>
        <v>0</v>
      </c>
      <c r="BR2552" s="6">
        <f>SUM(Grandview_Inventory[[#This Row],[Intercept]:[det_value]])*Grandview_Inventory[[#This Row],[res_pct]]</f>
        <v>0</v>
      </c>
      <c r="BS2552" s="6">
        <f>Grandview_Inventory[[#This Row],[land_value]]</f>
        <v>47528.228511015397</v>
      </c>
      <c r="BT2552" s="4">
        <f>_xlfn.IFNA(VLOOKUP(Grandview_Inventory[[#This Row],[quality]],Lookups!$A$26:$C$33,3,FALSE),1)</f>
        <v>1</v>
      </c>
      <c r="BU2552" s="4">
        <f>_xlfn.IFNA(VLOOKUP(Grandview_Inventory[[#This Row],[condition]],Lookups!$A$37:$C$44,3,FALSE),1)</f>
        <v>1</v>
      </c>
      <c r="BV2552" s="4">
        <f>IF(Grandview_Inventory[[#This Row],[bldg_style]]="",1,_xlfn.IFNA(VLOOKUP(Grandview_Inventory[[#This Row],[decade]],Lookups!$F$29:$H$43,3,FALSE),1))</f>
        <v>1</v>
      </c>
      <c r="BW2552" s="4">
        <f>_xlfn.IFNA(VLOOKUP(Grandview_Inventory[[#This Row],[living_area_range]],Lookups!$F$47:$H$56,3,FALSE),1)</f>
        <v>1</v>
      </c>
      <c r="BX2552" s="4">
        <f>AVERAGE(Grandview_Inventory[[#This Row],[qual_adj]:[size_adj]])</f>
        <v>1</v>
      </c>
      <c r="BY2552" s="6">
        <f>IF(Grandview_Inventory[[#This Row],[pre_res]]&lt;0,0,Grandview_Inventory[[#This Row],[pre_res]]*Grandview_Inventory[[#This Row],[overall_adj]])</f>
        <v>0</v>
      </c>
      <c r="BZ2552" s="6">
        <f>(Grandview_Inventory[[#This Row],[sum_land]]-IF(Grandview_Inventory[[#This Row],[no_utilities]]=1,12000,0))/IF(Grandview_Inventory[[#This Row],[unbuildable]]=1,2,1)</f>
        <v>47528.228511015397</v>
      </c>
      <c r="CA255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52">
        <f>ROUND(Grandview_Inventory[[#This Row],[det_value]]*Lookups!$M$28,-2)</f>
        <v>0</v>
      </c>
      <c r="CC255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2">
        <f>Grandview_Inventory[[#This Row],[final_det]]+Grandview_Inventory[[#This Row],[final_res]]</f>
        <v>0</v>
      </c>
      <c r="CE2552">
        <f>Grandview_Inventory[[#This Row],[final_land]]+Grandview_Inventory[[#This Row],[final_imp]]+Grandview_Inventory[[#This Row],[crop_value]]</f>
        <v>45200</v>
      </c>
      <c r="CG2552" t="str">
        <f t="shared" si="39"/>
        <v>update valuation set market_land =45200, market_bldg=0, market_total =45200, market_mdno =401, market_date ='9/10/2023' where link_id = (select link_id from parcel where parcel_year = '2024' and parcel_id = '23091423408');</v>
      </c>
    </row>
    <row r="2553" spans="1:85" x14ac:dyDescent="0.25">
      <c r="A2553">
        <v>23091423409</v>
      </c>
      <c r="B2553" t="s">
        <v>129</v>
      </c>
      <c r="C2553">
        <v>7740</v>
      </c>
      <c r="D2553" t="s">
        <v>129</v>
      </c>
      <c r="E2553" t="s">
        <v>53</v>
      </c>
      <c r="F2553" t="s">
        <v>53</v>
      </c>
      <c r="G2553">
        <v>4</v>
      </c>
      <c r="H2553" t="s">
        <v>54</v>
      </c>
      <c r="I2553" t="s">
        <v>129</v>
      </c>
      <c r="J2553" t="s">
        <v>129</v>
      </c>
      <c r="K2553">
        <v>0.18</v>
      </c>
      <c r="L255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53">
        <v>0</v>
      </c>
      <c r="N2553">
        <v>0</v>
      </c>
      <c r="O2553">
        <v>0</v>
      </c>
      <c r="P2553">
        <v>13398.7528</v>
      </c>
      <c r="Q2553">
        <v>63903</v>
      </c>
      <c r="R2553">
        <f>(Grandview_Inventory[[#This Row],[ln_acres]]*Grandview_Inventory[[#This Row],[coeff]])+Grandview_Inventory[[#This Row],[const]]</f>
        <v>40926.839760167699</v>
      </c>
      <c r="AY2553">
        <v>0</v>
      </c>
      <c r="AZ2553">
        <v>0</v>
      </c>
      <c r="BE2553">
        <v>0</v>
      </c>
      <c r="BF2553">
        <v>15000</v>
      </c>
      <c r="BG2553">
        <v>0</v>
      </c>
      <c r="BH2553" s="6">
        <f>Grandview_Inventory[[#This Row],[land_extract]]*Lookups!$B$3</f>
        <v>47528.228511015397</v>
      </c>
      <c r="BI2553" s="6">
        <f>IF(Grandview_Inventory[[#This Row],[bldg_style]]="",0,Lookups!$B$2)</f>
        <v>0</v>
      </c>
      <c r="BJ2553" s="6">
        <f>_xlfn.IFNA(VLOOKUP(Grandview_Inventory[[#This Row],[quality]],Lookups!$H$2:$J$14,3,FALSE),0)</f>
        <v>0</v>
      </c>
      <c r="BK2553" s="6">
        <f>_xlfn.IFNA(VLOOKUP(Grandview_Inventory[[#This Row],[condition]],Lookups!$H$17:$J$24,3,FALSE),0)</f>
        <v>0</v>
      </c>
      <c r="BL2553" s="6">
        <f>Grandview_Inventory[[#This Row],[Eff_Age]]*Lookups!$B$14</f>
        <v>0</v>
      </c>
      <c r="BM2553" s="6">
        <f>Grandview_Inventory[[#This Row],[living_area]]*Lookups!$B$15</f>
        <v>0</v>
      </c>
      <c r="BN2553" s="6">
        <f>Grandview_Inventory[[#This Row],[Fin BSMT]]*Lookups!$B$16</f>
        <v>0</v>
      </c>
      <c r="BO2553" s="6">
        <f>(Grandview_Inventory[[#This Row],[att_gar]]+Grandview_Inventory[[#This Row],[bltin_gar]])*Lookups!$B$17</f>
        <v>0</v>
      </c>
      <c r="BP2553" s="6">
        <f>Grandview_Inventory[[#This Row],[Plumbing Fixtures]]*Lookups!$B$18</f>
        <v>0</v>
      </c>
      <c r="BQ2553" s="6">
        <f>Grandview_Inventory[[#This Row],[detatched_value]]*Lookups!$B$19</f>
        <v>0</v>
      </c>
      <c r="BR2553" s="6">
        <f>SUM(Grandview_Inventory[[#This Row],[Intercept]:[det_value]])*Grandview_Inventory[[#This Row],[res_pct]]</f>
        <v>0</v>
      </c>
      <c r="BS2553" s="6">
        <f>Grandview_Inventory[[#This Row],[land_value]]</f>
        <v>47528.228511015397</v>
      </c>
      <c r="BT2553" s="4">
        <f>_xlfn.IFNA(VLOOKUP(Grandview_Inventory[[#This Row],[quality]],Lookups!$A$26:$C$33,3,FALSE),1)</f>
        <v>1</v>
      </c>
      <c r="BU2553" s="4">
        <f>_xlfn.IFNA(VLOOKUP(Grandview_Inventory[[#This Row],[condition]],Lookups!$A$37:$C$44,3,FALSE),1)</f>
        <v>1</v>
      </c>
      <c r="BV2553" s="4">
        <f>IF(Grandview_Inventory[[#This Row],[bldg_style]]="",1,_xlfn.IFNA(VLOOKUP(Grandview_Inventory[[#This Row],[decade]],Lookups!$F$29:$H$43,3,FALSE),1))</f>
        <v>1</v>
      </c>
      <c r="BW2553" s="4">
        <f>_xlfn.IFNA(VLOOKUP(Grandview_Inventory[[#This Row],[living_area_range]],Lookups!$F$47:$H$56,3,FALSE),1)</f>
        <v>1</v>
      </c>
      <c r="BX2553" s="4">
        <f>AVERAGE(Grandview_Inventory[[#This Row],[qual_adj]:[size_adj]])</f>
        <v>1</v>
      </c>
      <c r="BY2553" s="6">
        <f>IF(Grandview_Inventory[[#This Row],[pre_res]]&lt;0,0,Grandview_Inventory[[#This Row],[pre_res]]*Grandview_Inventory[[#This Row],[overall_adj]])</f>
        <v>0</v>
      </c>
      <c r="BZ2553" s="6">
        <f>(Grandview_Inventory[[#This Row],[sum_land]]-IF(Grandview_Inventory[[#This Row],[no_utilities]]=1,12000,0))/IF(Grandview_Inventory[[#This Row],[unbuildable]]=1,2,1)</f>
        <v>47528.228511015397</v>
      </c>
      <c r="CA255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53">
        <f>ROUND(Grandview_Inventory[[#This Row],[det_value]]*Lookups!$M$28,-2)</f>
        <v>0</v>
      </c>
      <c r="CC255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3">
        <f>Grandview_Inventory[[#This Row],[final_det]]+Grandview_Inventory[[#This Row],[final_res]]</f>
        <v>0</v>
      </c>
      <c r="CE2553">
        <f>Grandview_Inventory[[#This Row],[final_land]]+Grandview_Inventory[[#This Row],[final_imp]]+Grandview_Inventory[[#This Row],[crop_value]]</f>
        <v>45200</v>
      </c>
      <c r="CG2553" t="str">
        <f t="shared" si="39"/>
        <v>update valuation set market_land =45200, market_bldg=0, market_total =45200, market_mdno =401, market_date ='9/10/2023' where link_id = (select link_id from parcel where parcel_year = '2024' and parcel_id = '23091423409');</v>
      </c>
    </row>
    <row r="2554" spans="1:85" x14ac:dyDescent="0.25">
      <c r="A2554">
        <v>23091423410</v>
      </c>
      <c r="B2554" t="s">
        <v>129</v>
      </c>
      <c r="C2554">
        <v>7740</v>
      </c>
      <c r="D2554" t="s">
        <v>129</v>
      </c>
      <c r="E2554" t="s">
        <v>53</v>
      </c>
      <c r="F2554" t="s">
        <v>53</v>
      </c>
      <c r="G2554">
        <v>4</v>
      </c>
      <c r="H2554" t="s">
        <v>54</v>
      </c>
      <c r="I2554" t="s">
        <v>129</v>
      </c>
      <c r="J2554" t="s">
        <v>129</v>
      </c>
      <c r="K2554">
        <v>0.18</v>
      </c>
      <c r="L255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54">
        <v>0</v>
      </c>
      <c r="N2554">
        <v>0</v>
      </c>
      <c r="O2554">
        <v>0</v>
      </c>
      <c r="P2554">
        <v>13398.7528</v>
      </c>
      <c r="Q2554">
        <v>63903</v>
      </c>
      <c r="R2554">
        <f>(Grandview_Inventory[[#This Row],[ln_acres]]*Grandview_Inventory[[#This Row],[coeff]])+Grandview_Inventory[[#This Row],[const]]</f>
        <v>40926.839760167699</v>
      </c>
      <c r="AY2554">
        <v>0</v>
      </c>
      <c r="AZ2554">
        <v>0</v>
      </c>
      <c r="BE2554">
        <v>0</v>
      </c>
      <c r="BF2554">
        <v>15000</v>
      </c>
      <c r="BG2554">
        <v>0</v>
      </c>
      <c r="BH2554" s="6">
        <f>Grandview_Inventory[[#This Row],[land_extract]]*Lookups!$B$3</f>
        <v>47528.228511015397</v>
      </c>
      <c r="BI2554" s="6">
        <f>IF(Grandview_Inventory[[#This Row],[bldg_style]]="",0,Lookups!$B$2)</f>
        <v>0</v>
      </c>
      <c r="BJ2554" s="6">
        <f>_xlfn.IFNA(VLOOKUP(Grandview_Inventory[[#This Row],[quality]],Lookups!$H$2:$J$14,3,FALSE),0)</f>
        <v>0</v>
      </c>
      <c r="BK2554" s="6">
        <f>_xlfn.IFNA(VLOOKUP(Grandview_Inventory[[#This Row],[condition]],Lookups!$H$17:$J$24,3,FALSE),0)</f>
        <v>0</v>
      </c>
      <c r="BL2554" s="6">
        <f>Grandview_Inventory[[#This Row],[Eff_Age]]*Lookups!$B$14</f>
        <v>0</v>
      </c>
      <c r="BM2554" s="6">
        <f>Grandview_Inventory[[#This Row],[living_area]]*Lookups!$B$15</f>
        <v>0</v>
      </c>
      <c r="BN2554" s="6">
        <f>Grandview_Inventory[[#This Row],[Fin BSMT]]*Lookups!$B$16</f>
        <v>0</v>
      </c>
      <c r="BO2554" s="6">
        <f>(Grandview_Inventory[[#This Row],[att_gar]]+Grandview_Inventory[[#This Row],[bltin_gar]])*Lookups!$B$17</f>
        <v>0</v>
      </c>
      <c r="BP2554" s="6">
        <f>Grandview_Inventory[[#This Row],[Plumbing Fixtures]]*Lookups!$B$18</f>
        <v>0</v>
      </c>
      <c r="BQ2554" s="6">
        <f>Grandview_Inventory[[#This Row],[detatched_value]]*Lookups!$B$19</f>
        <v>0</v>
      </c>
      <c r="BR2554" s="6">
        <f>SUM(Grandview_Inventory[[#This Row],[Intercept]:[det_value]])*Grandview_Inventory[[#This Row],[res_pct]]</f>
        <v>0</v>
      </c>
      <c r="BS2554" s="6">
        <f>Grandview_Inventory[[#This Row],[land_value]]</f>
        <v>47528.228511015397</v>
      </c>
      <c r="BT2554" s="4">
        <f>_xlfn.IFNA(VLOOKUP(Grandview_Inventory[[#This Row],[quality]],Lookups!$A$26:$C$33,3,FALSE),1)</f>
        <v>1</v>
      </c>
      <c r="BU2554" s="4">
        <f>_xlfn.IFNA(VLOOKUP(Grandview_Inventory[[#This Row],[condition]],Lookups!$A$37:$C$44,3,FALSE),1)</f>
        <v>1</v>
      </c>
      <c r="BV2554" s="4">
        <f>IF(Grandview_Inventory[[#This Row],[bldg_style]]="",1,_xlfn.IFNA(VLOOKUP(Grandview_Inventory[[#This Row],[decade]],Lookups!$F$29:$H$43,3,FALSE),1))</f>
        <v>1</v>
      </c>
      <c r="BW2554" s="4">
        <f>_xlfn.IFNA(VLOOKUP(Grandview_Inventory[[#This Row],[living_area_range]],Lookups!$F$47:$H$56,3,FALSE),1)</f>
        <v>1</v>
      </c>
      <c r="BX2554" s="4">
        <f>AVERAGE(Grandview_Inventory[[#This Row],[qual_adj]:[size_adj]])</f>
        <v>1</v>
      </c>
      <c r="BY2554" s="6">
        <f>IF(Grandview_Inventory[[#This Row],[pre_res]]&lt;0,0,Grandview_Inventory[[#This Row],[pre_res]]*Grandview_Inventory[[#This Row],[overall_adj]])</f>
        <v>0</v>
      </c>
      <c r="BZ2554" s="6">
        <f>(Grandview_Inventory[[#This Row],[sum_land]]-IF(Grandview_Inventory[[#This Row],[no_utilities]]=1,12000,0))/IF(Grandview_Inventory[[#This Row],[unbuildable]]=1,2,1)</f>
        <v>47528.228511015397</v>
      </c>
      <c r="CA255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54">
        <f>ROUND(Grandview_Inventory[[#This Row],[det_value]]*Lookups!$M$28,-2)</f>
        <v>0</v>
      </c>
      <c r="CC255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4">
        <f>Grandview_Inventory[[#This Row],[final_det]]+Grandview_Inventory[[#This Row],[final_res]]</f>
        <v>0</v>
      </c>
      <c r="CE2554">
        <f>Grandview_Inventory[[#This Row],[final_land]]+Grandview_Inventory[[#This Row],[final_imp]]+Grandview_Inventory[[#This Row],[crop_value]]</f>
        <v>45200</v>
      </c>
      <c r="CG2554" t="str">
        <f t="shared" si="39"/>
        <v>update valuation set market_land =45200, market_bldg=0, market_total =45200, market_mdno =401, market_date ='9/10/2023' where link_id = (select link_id from parcel where parcel_year = '2024' and parcel_id = '23091423410');</v>
      </c>
    </row>
    <row r="2555" spans="1:85" x14ac:dyDescent="0.25">
      <c r="A2555">
        <v>23091423411</v>
      </c>
      <c r="B2555" t="s">
        <v>129</v>
      </c>
      <c r="C2555">
        <v>8482</v>
      </c>
      <c r="D2555" t="s">
        <v>129</v>
      </c>
      <c r="E2555" t="s">
        <v>53</v>
      </c>
      <c r="F2555" t="s">
        <v>53</v>
      </c>
      <c r="G2555">
        <v>4</v>
      </c>
      <c r="H2555" t="s">
        <v>54</v>
      </c>
      <c r="I2555" t="s">
        <v>129</v>
      </c>
      <c r="J2555" t="s">
        <v>129</v>
      </c>
      <c r="K2555">
        <v>0.19</v>
      </c>
      <c r="L255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555">
        <v>0</v>
      </c>
      <c r="N2555">
        <v>0</v>
      </c>
      <c r="O2555">
        <v>0</v>
      </c>
      <c r="P2555">
        <v>13398.7528</v>
      </c>
      <c r="Q2555">
        <v>63903</v>
      </c>
      <c r="R2555">
        <f>(Grandview_Inventory[[#This Row],[ln_acres]]*Grandview_Inventory[[#This Row],[coeff]])+Grandview_Inventory[[#This Row],[const]]</f>
        <v>41651.273092551026</v>
      </c>
      <c r="AY2555">
        <v>0</v>
      </c>
      <c r="AZ2555">
        <v>0</v>
      </c>
      <c r="BE2555">
        <v>0</v>
      </c>
      <c r="BF2555">
        <v>15000</v>
      </c>
      <c r="BG2555">
        <v>0</v>
      </c>
      <c r="BH2555" s="6">
        <f>Grandview_Inventory[[#This Row],[land_extract]]*Lookups!$B$3</f>
        <v>48369.510983942157</v>
      </c>
      <c r="BI2555" s="6">
        <f>IF(Grandview_Inventory[[#This Row],[bldg_style]]="",0,Lookups!$B$2)</f>
        <v>0</v>
      </c>
      <c r="BJ2555" s="6">
        <f>_xlfn.IFNA(VLOOKUP(Grandview_Inventory[[#This Row],[quality]],Lookups!$H$2:$J$14,3,FALSE),0)</f>
        <v>0</v>
      </c>
      <c r="BK2555" s="6">
        <f>_xlfn.IFNA(VLOOKUP(Grandview_Inventory[[#This Row],[condition]],Lookups!$H$17:$J$24,3,FALSE),0)</f>
        <v>0</v>
      </c>
      <c r="BL2555" s="6">
        <f>Grandview_Inventory[[#This Row],[Eff_Age]]*Lookups!$B$14</f>
        <v>0</v>
      </c>
      <c r="BM2555" s="6">
        <f>Grandview_Inventory[[#This Row],[living_area]]*Lookups!$B$15</f>
        <v>0</v>
      </c>
      <c r="BN2555" s="6">
        <f>Grandview_Inventory[[#This Row],[Fin BSMT]]*Lookups!$B$16</f>
        <v>0</v>
      </c>
      <c r="BO2555" s="6">
        <f>(Grandview_Inventory[[#This Row],[att_gar]]+Grandview_Inventory[[#This Row],[bltin_gar]])*Lookups!$B$17</f>
        <v>0</v>
      </c>
      <c r="BP2555" s="6">
        <f>Grandview_Inventory[[#This Row],[Plumbing Fixtures]]*Lookups!$B$18</f>
        <v>0</v>
      </c>
      <c r="BQ2555" s="6">
        <f>Grandview_Inventory[[#This Row],[detatched_value]]*Lookups!$B$19</f>
        <v>0</v>
      </c>
      <c r="BR2555" s="6">
        <f>SUM(Grandview_Inventory[[#This Row],[Intercept]:[det_value]])*Grandview_Inventory[[#This Row],[res_pct]]</f>
        <v>0</v>
      </c>
      <c r="BS2555" s="6">
        <f>Grandview_Inventory[[#This Row],[land_value]]</f>
        <v>48369.510983942157</v>
      </c>
      <c r="BT2555" s="4">
        <f>_xlfn.IFNA(VLOOKUP(Grandview_Inventory[[#This Row],[quality]],Lookups!$A$26:$C$33,3,FALSE),1)</f>
        <v>1</v>
      </c>
      <c r="BU2555" s="4">
        <f>_xlfn.IFNA(VLOOKUP(Grandview_Inventory[[#This Row],[condition]],Lookups!$A$37:$C$44,3,FALSE),1)</f>
        <v>1</v>
      </c>
      <c r="BV2555" s="4">
        <f>IF(Grandview_Inventory[[#This Row],[bldg_style]]="",1,_xlfn.IFNA(VLOOKUP(Grandview_Inventory[[#This Row],[decade]],Lookups!$F$29:$H$43,3,FALSE),1))</f>
        <v>1</v>
      </c>
      <c r="BW2555" s="4">
        <f>_xlfn.IFNA(VLOOKUP(Grandview_Inventory[[#This Row],[living_area_range]],Lookups!$F$47:$H$56,3,FALSE),1)</f>
        <v>1</v>
      </c>
      <c r="BX2555" s="4">
        <f>AVERAGE(Grandview_Inventory[[#This Row],[qual_adj]:[size_adj]])</f>
        <v>1</v>
      </c>
      <c r="BY2555" s="6">
        <f>IF(Grandview_Inventory[[#This Row],[pre_res]]&lt;0,0,Grandview_Inventory[[#This Row],[pre_res]]*Grandview_Inventory[[#This Row],[overall_adj]])</f>
        <v>0</v>
      </c>
      <c r="BZ2555" s="6">
        <f>(Grandview_Inventory[[#This Row],[sum_land]]-IF(Grandview_Inventory[[#This Row],[no_utilities]]=1,12000,0))/IF(Grandview_Inventory[[#This Row],[unbuildable]]=1,2,1)</f>
        <v>48369.510983942157</v>
      </c>
      <c r="CA255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555">
        <f>ROUND(Grandview_Inventory[[#This Row],[det_value]]*Lookups!$M$28,-2)</f>
        <v>0</v>
      </c>
      <c r="CC255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5">
        <f>Grandview_Inventory[[#This Row],[final_det]]+Grandview_Inventory[[#This Row],[final_res]]</f>
        <v>0</v>
      </c>
      <c r="CE2555">
        <f>Grandview_Inventory[[#This Row],[final_land]]+Grandview_Inventory[[#This Row],[final_imp]]+Grandview_Inventory[[#This Row],[crop_value]]</f>
        <v>46000</v>
      </c>
      <c r="CG2555" t="str">
        <f t="shared" si="39"/>
        <v>update valuation set market_land =46000, market_bldg=0, market_total =46000, market_mdno =401, market_date ='9/10/2023' where link_id = (select link_id from parcel where parcel_year = '2024' and parcel_id = '23091423411');</v>
      </c>
    </row>
    <row r="2556" spans="1:85" x14ac:dyDescent="0.25">
      <c r="A2556">
        <v>23091423412</v>
      </c>
      <c r="B2556" t="s">
        <v>129</v>
      </c>
      <c r="C2556">
        <v>8482</v>
      </c>
      <c r="D2556" t="s">
        <v>129</v>
      </c>
      <c r="E2556" t="s">
        <v>53</v>
      </c>
      <c r="F2556" t="s">
        <v>53</v>
      </c>
      <c r="G2556">
        <v>4</v>
      </c>
      <c r="H2556" t="s">
        <v>54</v>
      </c>
      <c r="I2556" t="s">
        <v>129</v>
      </c>
      <c r="J2556" t="s">
        <v>129</v>
      </c>
      <c r="K2556">
        <v>0.19</v>
      </c>
      <c r="L255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556">
        <v>0</v>
      </c>
      <c r="N2556">
        <v>0</v>
      </c>
      <c r="O2556">
        <v>0</v>
      </c>
      <c r="P2556">
        <v>13398.7528</v>
      </c>
      <c r="Q2556">
        <v>63903</v>
      </c>
      <c r="R2556">
        <f>(Grandview_Inventory[[#This Row],[ln_acres]]*Grandview_Inventory[[#This Row],[coeff]])+Grandview_Inventory[[#This Row],[const]]</f>
        <v>41651.273092551026</v>
      </c>
      <c r="AY2556">
        <v>0</v>
      </c>
      <c r="AZ2556">
        <v>0</v>
      </c>
      <c r="BE2556">
        <v>0</v>
      </c>
      <c r="BF2556">
        <v>15000</v>
      </c>
      <c r="BG2556">
        <v>0</v>
      </c>
      <c r="BH2556" s="6">
        <f>Grandview_Inventory[[#This Row],[land_extract]]*Lookups!$B$3</f>
        <v>48369.510983942157</v>
      </c>
      <c r="BI2556" s="6">
        <f>IF(Grandview_Inventory[[#This Row],[bldg_style]]="",0,Lookups!$B$2)</f>
        <v>0</v>
      </c>
      <c r="BJ2556" s="6">
        <f>_xlfn.IFNA(VLOOKUP(Grandview_Inventory[[#This Row],[quality]],Lookups!$H$2:$J$14,3,FALSE),0)</f>
        <v>0</v>
      </c>
      <c r="BK2556" s="6">
        <f>_xlfn.IFNA(VLOOKUP(Grandview_Inventory[[#This Row],[condition]],Lookups!$H$17:$J$24,3,FALSE),0)</f>
        <v>0</v>
      </c>
      <c r="BL2556" s="6">
        <f>Grandview_Inventory[[#This Row],[Eff_Age]]*Lookups!$B$14</f>
        <v>0</v>
      </c>
      <c r="BM2556" s="6">
        <f>Grandview_Inventory[[#This Row],[living_area]]*Lookups!$B$15</f>
        <v>0</v>
      </c>
      <c r="BN2556" s="6">
        <f>Grandview_Inventory[[#This Row],[Fin BSMT]]*Lookups!$B$16</f>
        <v>0</v>
      </c>
      <c r="BO2556" s="6">
        <f>(Grandview_Inventory[[#This Row],[att_gar]]+Grandview_Inventory[[#This Row],[bltin_gar]])*Lookups!$B$17</f>
        <v>0</v>
      </c>
      <c r="BP2556" s="6">
        <f>Grandview_Inventory[[#This Row],[Plumbing Fixtures]]*Lookups!$B$18</f>
        <v>0</v>
      </c>
      <c r="BQ2556" s="6">
        <f>Grandview_Inventory[[#This Row],[detatched_value]]*Lookups!$B$19</f>
        <v>0</v>
      </c>
      <c r="BR2556" s="6">
        <f>SUM(Grandview_Inventory[[#This Row],[Intercept]:[det_value]])*Grandview_Inventory[[#This Row],[res_pct]]</f>
        <v>0</v>
      </c>
      <c r="BS2556" s="6">
        <f>Grandview_Inventory[[#This Row],[land_value]]</f>
        <v>48369.510983942157</v>
      </c>
      <c r="BT2556" s="4">
        <f>_xlfn.IFNA(VLOOKUP(Grandview_Inventory[[#This Row],[quality]],Lookups!$A$26:$C$33,3,FALSE),1)</f>
        <v>1</v>
      </c>
      <c r="BU2556" s="4">
        <f>_xlfn.IFNA(VLOOKUP(Grandview_Inventory[[#This Row],[condition]],Lookups!$A$37:$C$44,3,FALSE),1)</f>
        <v>1</v>
      </c>
      <c r="BV2556" s="4">
        <f>IF(Grandview_Inventory[[#This Row],[bldg_style]]="",1,_xlfn.IFNA(VLOOKUP(Grandview_Inventory[[#This Row],[decade]],Lookups!$F$29:$H$43,3,FALSE),1))</f>
        <v>1</v>
      </c>
      <c r="BW2556" s="4">
        <f>_xlfn.IFNA(VLOOKUP(Grandview_Inventory[[#This Row],[living_area_range]],Lookups!$F$47:$H$56,3,FALSE),1)</f>
        <v>1</v>
      </c>
      <c r="BX2556" s="4">
        <f>AVERAGE(Grandview_Inventory[[#This Row],[qual_adj]:[size_adj]])</f>
        <v>1</v>
      </c>
      <c r="BY2556" s="6">
        <f>IF(Grandview_Inventory[[#This Row],[pre_res]]&lt;0,0,Grandview_Inventory[[#This Row],[pre_res]]*Grandview_Inventory[[#This Row],[overall_adj]])</f>
        <v>0</v>
      </c>
      <c r="BZ2556" s="6">
        <f>(Grandview_Inventory[[#This Row],[sum_land]]-IF(Grandview_Inventory[[#This Row],[no_utilities]]=1,12000,0))/IF(Grandview_Inventory[[#This Row],[unbuildable]]=1,2,1)</f>
        <v>48369.510983942157</v>
      </c>
      <c r="CA255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556">
        <f>ROUND(Grandview_Inventory[[#This Row],[det_value]]*Lookups!$M$28,-2)</f>
        <v>0</v>
      </c>
      <c r="CC255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6">
        <f>Grandview_Inventory[[#This Row],[final_det]]+Grandview_Inventory[[#This Row],[final_res]]</f>
        <v>0</v>
      </c>
      <c r="CE2556">
        <f>Grandview_Inventory[[#This Row],[final_land]]+Grandview_Inventory[[#This Row],[final_imp]]+Grandview_Inventory[[#This Row],[crop_value]]</f>
        <v>46000</v>
      </c>
      <c r="CG2556" t="str">
        <f t="shared" si="39"/>
        <v>update valuation set market_land =46000, market_bldg=0, market_total =46000, market_mdno =401, market_date ='9/10/2023' where link_id = (select link_id from parcel where parcel_year = '2024' and parcel_id = '23091423412');</v>
      </c>
    </row>
    <row r="2557" spans="1:85" x14ac:dyDescent="0.25">
      <c r="A2557">
        <v>23091423413</v>
      </c>
      <c r="B2557" t="s">
        <v>129</v>
      </c>
      <c r="C2557">
        <v>8482</v>
      </c>
      <c r="D2557" t="s">
        <v>129</v>
      </c>
      <c r="E2557" t="s">
        <v>53</v>
      </c>
      <c r="F2557" t="s">
        <v>53</v>
      </c>
      <c r="G2557">
        <v>4</v>
      </c>
      <c r="H2557" t="s">
        <v>54</v>
      </c>
      <c r="I2557" t="s">
        <v>129</v>
      </c>
      <c r="J2557" t="s">
        <v>129</v>
      </c>
      <c r="K2557">
        <v>0.19</v>
      </c>
      <c r="L255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557">
        <v>0</v>
      </c>
      <c r="N2557">
        <v>0</v>
      </c>
      <c r="O2557">
        <v>0</v>
      </c>
      <c r="P2557">
        <v>13398.7528</v>
      </c>
      <c r="Q2557">
        <v>63903</v>
      </c>
      <c r="R2557">
        <f>(Grandview_Inventory[[#This Row],[ln_acres]]*Grandview_Inventory[[#This Row],[coeff]])+Grandview_Inventory[[#This Row],[const]]</f>
        <v>41651.273092551026</v>
      </c>
      <c r="AY2557">
        <v>0</v>
      </c>
      <c r="AZ2557">
        <v>0</v>
      </c>
      <c r="BE2557">
        <v>0</v>
      </c>
      <c r="BF2557">
        <v>15000</v>
      </c>
      <c r="BG2557">
        <v>0</v>
      </c>
      <c r="BH2557" s="6">
        <f>Grandview_Inventory[[#This Row],[land_extract]]*Lookups!$B$3</f>
        <v>48369.510983942157</v>
      </c>
      <c r="BI2557" s="6">
        <f>IF(Grandview_Inventory[[#This Row],[bldg_style]]="",0,Lookups!$B$2)</f>
        <v>0</v>
      </c>
      <c r="BJ2557" s="6">
        <f>_xlfn.IFNA(VLOOKUP(Grandview_Inventory[[#This Row],[quality]],Lookups!$H$2:$J$14,3,FALSE),0)</f>
        <v>0</v>
      </c>
      <c r="BK2557" s="6">
        <f>_xlfn.IFNA(VLOOKUP(Grandview_Inventory[[#This Row],[condition]],Lookups!$H$17:$J$24,3,FALSE),0)</f>
        <v>0</v>
      </c>
      <c r="BL2557" s="6">
        <f>Grandview_Inventory[[#This Row],[Eff_Age]]*Lookups!$B$14</f>
        <v>0</v>
      </c>
      <c r="BM2557" s="6">
        <f>Grandview_Inventory[[#This Row],[living_area]]*Lookups!$B$15</f>
        <v>0</v>
      </c>
      <c r="BN2557" s="6">
        <f>Grandview_Inventory[[#This Row],[Fin BSMT]]*Lookups!$B$16</f>
        <v>0</v>
      </c>
      <c r="BO2557" s="6">
        <f>(Grandview_Inventory[[#This Row],[att_gar]]+Grandview_Inventory[[#This Row],[bltin_gar]])*Lookups!$B$17</f>
        <v>0</v>
      </c>
      <c r="BP2557" s="6">
        <f>Grandview_Inventory[[#This Row],[Plumbing Fixtures]]*Lookups!$B$18</f>
        <v>0</v>
      </c>
      <c r="BQ2557" s="6">
        <f>Grandview_Inventory[[#This Row],[detatched_value]]*Lookups!$B$19</f>
        <v>0</v>
      </c>
      <c r="BR2557" s="6">
        <f>SUM(Grandview_Inventory[[#This Row],[Intercept]:[det_value]])*Grandview_Inventory[[#This Row],[res_pct]]</f>
        <v>0</v>
      </c>
      <c r="BS2557" s="6">
        <f>Grandview_Inventory[[#This Row],[land_value]]</f>
        <v>48369.510983942157</v>
      </c>
      <c r="BT2557" s="4">
        <f>_xlfn.IFNA(VLOOKUP(Grandview_Inventory[[#This Row],[quality]],Lookups!$A$26:$C$33,3,FALSE),1)</f>
        <v>1</v>
      </c>
      <c r="BU2557" s="4">
        <f>_xlfn.IFNA(VLOOKUP(Grandview_Inventory[[#This Row],[condition]],Lookups!$A$37:$C$44,3,FALSE),1)</f>
        <v>1</v>
      </c>
      <c r="BV2557" s="4">
        <f>IF(Grandview_Inventory[[#This Row],[bldg_style]]="",1,_xlfn.IFNA(VLOOKUP(Grandview_Inventory[[#This Row],[decade]],Lookups!$F$29:$H$43,3,FALSE),1))</f>
        <v>1</v>
      </c>
      <c r="BW2557" s="4">
        <f>_xlfn.IFNA(VLOOKUP(Grandview_Inventory[[#This Row],[living_area_range]],Lookups!$F$47:$H$56,3,FALSE),1)</f>
        <v>1</v>
      </c>
      <c r="BX2557" s="4">
        <f>AVERAGE(Grandview_Inventory[[#This Row],[qual_adj]:[size_adj]])</f>
        <v>1</v>
      </c>
      <c r="BY2557" s="6">
        <f>IF(Grandview_Inventory[[#This Row],[pre_res]]&lt;0,0,Grandview_Inventory[[#This Row],[pre_res]]*Grandview_Inventory[[#This Row],[overall_adj]])</f>
        <v>0</v>
      </c>
      <c r="BZ2557" s="6">
        <f>(Grandview_Inventory[[#This Row],[sum_land]]-IF(Grandview_Inventory[[#This Row],[no_utilities]]=1,12000,0))/IF(Grandview_Inventory[[#This Row],[unbuildable]]=1,2,1)</f>
        <v>48369.510983942157</v>
      </c>
      <c r="CA255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557">
        <f>ROUND(Grandview_Inventory[[#This Row],[det_value]]*Lookups!$M$28,-2)</f>
        <v>0</v>
      </c>
      <c r="CC255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7">
        <f>Grandview_Inventory[[#This Row],[final_det]]+Grandview_Inventory[[#This Row],[final_res]]</f>
        <v>0</v>
      </c>
      <c r="CE2557">
        <f>Grandview_Inventory[[#This Row],[final_land]]+Grandview_Inventory[[#This Row],[final_imp]]+Grandview_Inventory[[#This Row],[crop_value]]</f>
        <v>46000</v>
      </c>
      <c r="CG2557" t="str">
        <f t="shared" si="39"/>
        <v>update valuation set market_land =46000, market_bldg=0, market_total =46000, market_mdno =401, market_date ='9/10/2023' where link_id = (select link_id from parcel where parcel_year = '2024' and parcel_id = '23091423413');</v>
      </c>
    </row>
    <row r="2558" spans="1:85" x14ac:dyDescent="0.25">
      <c r="A2558">
        <v>23091423414</v>
      </c>
      <c r="B2558" t="s">
        <v>129</v>
      </c>
      <c r="C2558">
        <v>9292</v>
      </c>
      <c r="D2558" t="s">
        <v>129</v>
      </c>
      <c r="E2558" t="s">
        <v>53</v>
      </c>
      <c r="F2558" t="s">
        <v>53</v>
      </c>
      <c r="G2558">
        <v>4</v>
      </c>
      <c r="H2558" t="s">
        <v>54</v>
      </c>
      <c r="I2558" t="s">
        <v>129</v>
      </c>
      <c r="J2558" t="s">
        <v>129</v>
      </c>
      <c r="K2558">
        <v>0.21</v>
      </c>
      <c r="L255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558">
        <v>0</v>
      </c>
      <c r="N2558">
        <v>0</v>
      </c>
      <c r="O2558">
        <v>0</v>
      </c>
      <c r="P2558">
        <v>13398.7528</v>
      </c>
      <c r="Q2558">
        <v>63903</v>
      </c>
      <c r="R2558">
        <f>(Grandview_Inventory[[#This Row],[ln_acres]]*Grandview_Inventory[[#This Row],[coeff]])+Grandview_Inventory[[#This Row],[const]]</f>
        <v>42992.266613125081</v>
      </c>
      <c r="AY2558">
        <v>0</v>
      </c>
      <c r="AZ2558">
        <v>0</v>
      </c>
      <c r="BE2558">
        <v>0</v>
      </c>
      <c r="BF2558">
        <v>15000</v>
      </c>
      <c r="BG2558">
        <v>0</v>
      </c>
      <c r="BH2558" s="6">
        <f>Grandview_Inventory[[#This Row],[land_extract]]*Lookups!$B$3</f>
        <v>49926.8031387023</v>
      </c>
      <c r="BI2558" s="6">
        <f>IF(Grandview_Inventory[[#This Row],[bldg_style]]="",0,Lookups!$B$2)</f>
        <v>0</v>
      </c>
      <c r="BJ2558" s="6">
        <f>_xlfn.IFNA(VLOOKUP(Grandview_Inventory[[#This Row],[quality]],Lookups!$H$2:$J$14,3,FALSE),0)</f>
        <v>0</v>
      </c>
      <c r="BK2558" s="6">
        <f>_xlfn.IFNA(VLOOKUP(Grandview_Inventory[[#This Row],[condition]],Lookups!$H$17:$J$24,3,FALSE),0)</f>
        <v>0</v>
      </c>
      <c r="BL2558" s="6">
        <f>Grandview_Inventory[[#This Row],[Eff_Age]]*Lookups!$B$14</f>
        <v>0</v>
      </c>
      <c r="BM2558" s="6">
        <f>Grandview_Inventory[[#This Row],[living_area]]*Lookups!$B$15</f>
        <v>0</v>
      </c>
      <c r="BN2558" s="6">
        <f>Grandview_Inventory[[#This Row],[Fin BSMT]]*Lookups!$B$16</f>
        <v>0</v>
      </c>
      <c r="BO2558" s="6">
        <f>(Grandview_Inventory[[#This Row],[att_gar]]+Grandview_Inventory[[#This Row],[bltin_gar]])*Lookups!$B$17</f>
        <v>0</v>
      </c>
      <c r="BP2558" s="6">
        <f>Grandview_Inventory[[#This Row],[Plumbing Fixtures]]*Lookups!$B$18</f>
        <v>0</v>
      </c>
      <c r="BQ2558" s="6">
        <f>Grandview_Inventory[[#This Row],[detatched_value]]*Lookups!$B$19</f>
        <v>0</v>
      </c>
      <c r="BR2558" s="6">
        <f>SUM(Grandview_Inventory[[#This Row],[Intercept]:[det_value]])*Grandview_Inventory[[#This Row],[res_pct]]</f>
        <v>0</v>
      </c>
      <c r="BS2558" s="6">
        <f>Grandview_Inventory[[#This Row],[land_value]]</f>
        <v>49926.8031387023</v>
      </c>
      <c r="BT2558" s="4">
        <f>_xlfn.IFNA(VLOOKUP(Grandview_Inventory[[#This Row],[quality]],Lookups!$A$26:$C$33,3,FALSE),1)</f>
        <v>1</v>
      </c>
      <c r="BU2558" s="4">
        <f>_xlfn.IFNA(VLOOKUP(Grandview_Inventory[[#This Row],[condition]],Lookups!$A$37:$C$44,3,FALSE),1)</f>
        <v>1</v>
      </c>
      <c r="BV2558" s="4">
        <f>IF(Grandview_Inventory[[#This Row],[bldg_style]]="",1,_xlfn.IFNA(VLOOKUP(Grandview_Inventory[[#This Row],[decade]],Lookups!$F$29:$H$43,3,FALSE),1))</f>
        <v>1</v>
      </c>
      <c r="BW2558" s="4">
        <f>_xlfn.IFNA(VLOOKUP(Grandview_Inventory[[#This Row],[living_area_range]],Lookups!$F$47:$H$56,3,FALSE),1)</f>
        <v>1</v>
      </c>
      <c r="BX2558" s="4">
        <f>AVERAGE(Grandview_Inventory[[#This Row],[qual_adj]:[size_adj]])</f>
        <v>1</v>
      </c>
      <c r="BY2558" s="6">
        <f>IF(Grandview_Inventory[[#This Row],[pre_res]]&lt;0,0,Grandview_Inventory[[#This Row],[pre_res]]*Grandview_Inventory[[#This Row],[overall_adj]])</f>
        <v>0</v>
      </c>
      <c r="BZ2558" s="6">
        <f>(Grandview_Inventory[[#This Row],[sum_land]]-IF(Grandview_Inventory[[#This Row],[no_utilities]]=1,12000,0))/IF(Grandview_Inventory[[#This Row],[unbuildable]]=1,2,1)</f>
        <v>49926.8031387023</v>
      </c>
      <c r="CA255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558">
        <f>ROUND(Grandview_Inventory[[#This Row],[det_value]]*Lookups!$M$28,-2)</f>
        <v>0</v>
      </c>
      <c r="CC255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8">
        <f>Grandview_Inventory[[#This Row],[final_det]]+Grandview_Inventory[[#This Row],[final_res]]</f>
        <v>0</v>
      </c>
      <c r="CE2558">
        <f>Grandview_Inventory[[#This Row],[final_land]]+Grandview_Inventory[[#This Row],[final_imp]]+Grandview_Inventory[[#This Row],[crop_value]]</f>
        <v>47400</v>
      </c>
      <c r="CG2558" t="str">
        <f t="shared" si="39"/>
        <v>update valuation set market_land =47400, market_bldg=0, market_total =47400, market_mdno =401, market_date ='9/10/2023' where link_id = (select link_id from parcel where parcel_year = '2024' and parcel_id = '23091423414');</v>
      </c>
    </row>
    <row r="2559" spans="1:85" x14ac:dyDescent="0.25">
      <c r="A2559">
        <v>23091423415</v>
      </c>
      <c r="B2559" t="s">
        <v>129</v>
      </c>
      <c r="C2559">
        <v>8591</v>
      </c>
      <c r="D2559" t="s">
        <v>129</v>
      </c>
      <c r="E2559" t="s">
        <v>53</v>
      </c>
      <c r="F2559" t="s">
        <v>53</v>
      </c>
      <c r="G2559">
        <v>4</v>
      </c>
      <c r="H2559" t="s">
        <v>54</v>
      </c>
      <c r="I2559" t="s">
        <v>129</v>
      </c>
      <c r="J2559" t="s">
        <v>129</v>
      </c>
      <c r="K2559">
        <v>0.2</v>
      </c>
      <c r="L255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559">
        <v>0</v>
      </c>
      <c r="N2559">
        <v>0</v>
      </c>
      <c r="O2559">
        <v>0</v>
      </c>
      <c r="P2559">
        <v>13398.7528</v>
      </c>
      <c r="Q2559">
        <v>63903</v>
      </c>
      <c r="R2559">
        <f>(Grandview_Inventory[[#This Row],[ln_acres]]*Grandview_Inventory[[#This Row],[coeff]])+Grandview_Inventory[[#This Row],[const]]</f>
        <v>42338.539264347448</v>
      </c>
      <c r="AY2559">
        <v>0</v>
      </c>
      <c r="AZ2559">
        <v>0</v>
      </c>
      <c r="BE2559">
        <v>0</v>
      </c>
      <c r="BF2559">
        <v>15000</v>
      </c>
      <c r="BG2559">
        <v>0</v>
      </c>
      <c r="BH2559" s="6">
        <f>Grandview_Inventory[[#This Row],[land_extract]]*Lookups!$B$3</f>
        <v>49167.631333630678</v>
      </c>
      <c r="BI2559" s="6">
        <f>IF(Grandview_Inventory[[#This Row],[bldg_style]]="",0,Lookups!$B$2)</f>
        <v>0</v>
      </c>
      <c r="BJ2559" s="6">
        <f>_xlfn.IFNA(VLOOKUP(Grandview_Inventory[[#This Row],[quality]],Lookups!$H$2:$J$14,3,FALSE),0)</f>
        <v>0</v>
      </c>
      <c r="BK2559" s="6">
        <f>_xlfn.IFNA(VLOOKUP(Grandview_Inventory[[#This Row],[condition]],Lookups!$H$17:$J$24,3,FALSE),0)</f>
        <v>0</v>
      </c>
      <c r="BL2559" s="6">
        <f>Grandview_Inventory[[#This Row],[Eff_Age]]*Lookups!$B$14</f>
        <v>0</v>
      </c>
      <c r="BM2559" s="6">
        <f>Grandview_Inventory[[#This Row],[living_area]]*Lookups!$B$15</f>
        <v>0</v>
      </c>
      <c r="BN2559" s="6">
        <f>Grandview_Inventory[[#This Row],[Fin BSMT]]*Lookups!$B$16</f>
        <v>0</v>
      </c>
      <c r="BO2559" s="6">
        <f>(Grandview_Inventory[[#This Row],[att_gar]]+Grandview_Inventory[[#This Row],[bltin_gar]])*Lookups!$B$17</f>
        <v>0</v>
      </c>
      <c r="BP2559" s="6">
        <f>Grandview_Inventory[[#This Row],[Plumbing Fixtures]]*Lookups!$B$18</f>
        <v>0</v>
      </c>
      <c r="BQ2559" s="6">
        <f>Grandview_Inventory[[#This Row],[detatched_value]]*Lookups!$B$19</f>
        <v>0</v>
      </c>
      <c r="BR2559" s="6">
        <f>SUM(Grandview_Inventory[[#This Row],[Intercept]:[det_value]])*Grandview_Inventory[[#This Row],[res_pct]]</f>
        <v>0</v>
      </c>
      <c r="BS2559" s="6">
        <f>Grandview_Inventory[[#This Row],[land_value]]</f>
        <v>49167.631333630678</v>
      </c>
      <c r="BT2559" s="4">
        <f>_xlfn.IFNA(VLOOKUP(Grandview_Inventory[[#This Row],[quality]],Lookups!$A$26:$C$33,3,FALSE),1)</f>
        <v>1</v>
      </c>
      <c r="BU2559" s="4">
        <f>_xlfn.IFNA(VLOOKUP(Grandview_Inventory[[#This Row],[condition]],Lookups!$A$37:$C$44,3,FALSE),1)</f>
        <v>1</v>
      </c>
      <c r="BV2559" s="4">
        <f>IF(Grandview_Inventory[[#This Row],[bldg_style]]="",1,_xlfn.IFNA(VLOOKUP(Grandview_Inventory[[#This Row],[decade]],Lookups!$F$29:$H$43,3,FALSE),1))</f>
        <v>1</v>
      </c>
      <c r="BW2559" s="4">
        <f>_xlfn.IFNA(VLOOKUP(Grandview_Inventory[[#This Row],[living_area_range]],Lookups!$F$47:$H$56,3,FALSE),1)</f>
        <v>1</v>
      </c>
      <c r="BX2559" s="4">
        <f>AVERAGE(Grandview_Inventory[[#This Row],[qual_adj]:[size_adj]])</f>
        <v>1</v>
      </c>
      <c r="BY2559" s="6">
        <f>IF(Grandview_Inventory[[#This Row],[pre_res]]&lt;0,0,Grandview_Inventory[[#This Row],[pre_res]]*Grandview_Inventory[[#This Row],[overall_adj]])</f>
        <v>0</v>
      </c>
      <c r="BZ2559" s="6">
        <f>(Grandview_Inventory[[#This Row],[sum_land]]-IF(Grandview_Inventory[[#This Row],[no_utilities]]=1,12000,0))/IF(Grandview_Inventory[[#This Row],[unbuildable]]=1,2,1)</f>
        <v>49167.631333630678</v>
      </c>
      <c r="CA255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559">
        <f>ROUND(Grandview_Inventory[[#This Row],[det_value]]*Lookups!$M$28,-2)</f>
        <v>0</v>
      </c>
      <c r="CC255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59">
        <f>Grandview_Inventory[[#This Row],[final_det]]+Grandview_Inventory[[#This Row],[final_res]]</f>
        <v>0</v>
      </c>
      <c r="CE2559">
        <f>Grandview_Inventory[[#This Row],[final_land]]+Grandview_Inventory[[#This Row],[final_imp]]+Grandview_Inventory[[#This Row],[crop_value]]</f>
        <v>46700</v>
      </c>
      <c r="CG2559" t="str">
        <f t="shared" si="39"/>
        <v>update valuation set market_land =46700, market_bldg=0, market_total =46700, market_mdno =401, market_date ='9/10/2023' where link_id = (select link_id from parcel where parcel_year = '2024' and parcel_id = '23091423415');</v>
      </c>
    </row>
    <row r="2560" spans="1:85" x14ac:dyDescent="0.25">
      <c r="A2560">
        <v>23091423416</v>
      </c>
      <c r="B2560" t="s">
        <v>129</v>
      </c>
      <c r="C2560">
        <v>7602</v>
      </c>
      <c r="D2560" t="s">
        <v>129</v>
      </c>
      <c r="E2560" t="s">
        <v>53</v>
      </c>
      <c r="F2560" t="s">
        <v>53</v>
      </c>
      <c r="G2560">
        <v>4</v>
      </c>
      <c r="H2560" t="s">
        <v>54</v>
      </c>
      <c r="I2560" t="s">
        <v>129</v>
      </c>
      <c r="J2560" t="s">
        <v>129</v>
      </c>
      <c r="K2560">
        <v>0.17</v>
      </c>
      <c r="L2560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60">
        <v>0</v>
      </c>
      <c r="N2560">
        <v>0</v>
      </c>
      <c r="O2560">
        <v>0</v>
      </c>
      <c r="P2560">
        <v>13398.7528</v>
      </c>
      <c r="Q2560">
        <v>63903</v>
      </c>
      <c r="R2560">
        <f>(Grandview_Inventory[[#This Row],[ln_acres]]*Grandview_Inventory[[#This Row],[coeff]])+Grandview_Inventory[[#This Row],[const]]</f>
        <v>40160.988302686128</v>
      </c>
      <c r="AY2560">
        <v>0</v>
      </c>
      <c r="AZ2560">
        <v>0</v>
      </c>
      <c r="BE2560">
        <v>0</v>
      </c>
      <c r="BF2560">
        <v>15000</v>
      </c>
      <c r="BG2560">
        <v>0</v>
      </c>
      <c r="BH2560" s="6">
        <f>Grandview_Inventory[[#This Row],[land_extract]]*Lookups!$B$3</f>
        <v>46638.847281240982</v>
      </c>
      <c r="BI2560" s="6">
        <f>IF(Grandview_Inventory[[#This Row],[bldg_style]]="",0,Lookups!$B$2)</f>
        <v>0</v>
      </c>
      <c r="BJ2560" s="6">
        <f>_xlfn.IFNA(VLOOKUP(Grandview_Inventory[[#This Row],[quality]],Lookups!$H$2:$J$14,3,FALSE),0)</f>
        <v>0</v>
      </c>
      <c r="BK2560" s="6">
        <f>_xlfn.IFNA(VLOOKUP(Grandview_Inventory[[#This Row],[condition]],Lookups!$H$17:$J$24,3,FALSE),0)</f>
        <v>0</v>
      </c>
      <c r="BL2560" s="6">
        <f>Grandview_Inventory[[#This Row],[Eff_Age]]*Lookups!$B$14</f>
        <v>0</v>
      </c>
      <c r="BM2560" s="6">
        <f>Grandview_Inventory[[#This Row],[living_area]]*Lookups!$B$15</f>
        <v>0</v>
      </c>
      <c r="BN2560" s="6">
        <f>Grandview_Inventory[[#This Row],[Fin BSMT]]*Lookups!$B$16</f>
        <v>0</v>
      </c>
      <c r="BO2560" s="6">
        <f>(Grandview_Inventory[[#This Row],[att_gar]]+Grandview_Inventory[[#This Row],[bltin_gar]])*Lookups!$B$17</f>
        <v>0</v>
      </c>
      <c r="BP2560" s="6">
        <f>Grandview_Inventory[[#This Row],[Plumbing Fixtures]]*Lookups!$B$18</f>
        <v>0</v>
      </c>
      <c r="BQ2560" s="6">
        <f>Grandview_Inventory[[#This Row],[detatched_value]]*Lookups!$B$19</f>
        <v>0</v>
      </c>
      <c r="BR2560" s="6">
        <f>SUM(Grandview_Inventory[[#This Row],[Intercept]:[det_value]])*Grandview_Inventory[[#This Row],[res_pct]]</f>
        <v>0</v>
      </c>
      <c r="BS2560" s="6">
        <f>Grandview_Inventory[[#This Row],[land_value]]</f>
        <v>46638.847281240982</v>
      </c>
      <c r="BT2560" s="4">
        <f>_xlfn.IFNA(VLOOKUP(Grandview_Inventory[[#This Row],[quality]],Lookups!$A$26:$C$33,3,FALSE),1)</f>
        <v>1</v>
      </c>
      <c r="BU2560" s="4">
        <f>_xlfn.IFNA(VLOOKUP(Grandview_Inventory[[#This Row],[condition]],Lookups!$A$37:$C$44,3,FALSE),1)</f>
        <v>1</v>
      </c>
      <c r="BV2560" s="4">
        <f>IF(Grandview_Inventory[[#This Row],[bldg_style]]="",1,_xlfn.IFNA(VLOOKUP(Grandview_Inventory[[#This Row],[decade]],Lookups!$F$29:$H$43,3,FALSE),1))</f>
        <v>1</v>
      </c>
      <c r="BW2560" s="4">
        <f>_xlfn.IFNA(VLOOKUP(Grandview_Inventory[[#This Row],[living_area_range]],Lookups!$F$47:$H$56,3,FALSE),1)</f>
        <v>1</v>
      </c>
      <c r="BX2560" s="4">
        <f>AVERAGE(Grandview_Inventory[[#This Row],[qual_adj]:[size_adj]])</f>
        <v>1</v>
      </c>
      <c r="BY2560" s="6">
        <f>IF(Grandview_Inventory[[#This Row],[pre_res]]&lt;0,0,Grandview_Inventory[[#This Row],[pre_res]]*Grandview_Inventory[[#This Row],[overall_adj]])</f>
        <v>0</v>
      </c>
      <c r="BZ2560" s="6">
        <f>(Grandview_Inventory[[#This Row],[sum_land]]-IF(Grandview_Inventory[[#This Row],[no_utilities]]=1,12000,0))/IF(Grandview_Inventory[[#This Row],[unbuildable]]=1,2,1)</f>
        <v>46638.847281240982</v>
      </c>
      <c r="CA2560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60">
        <f>ROUND(Grandview_Inventory[[#This Row],[det_value]]*Lookups!$M$28,-2)</f>
        <v>0</v>
      </c>
      <c r="CC256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0">
        <f>Grandview_Inventory[[#This Row],[final_det]]+Grandview_Inventory[[#This Row],[final_res]]</f>
        <v>0</v>
      </c>
      <c r="CE2560">
        <f>Grandview_Inventory[[#This Row],[final_land]]+Grandview_Inventory[[#This Row],[final_imp]]+Grandview_Inventory[[#This Row],[crop_value]]</f>
        <v>44300</v>
      </c>
      <c r="CG2560" t="str">
        <f t="shared" si="39"/>
        <v>update valuation set market_land =44300, market_bldg=0, market_total =44300, market_mdno =401, market_date ='9/10/2023' where link_id = (select link_id from parcel where parcel_year = '2024' and parcel_id = '23091423416');</v>
      </c>
    </row>
    <row r="2561" spans="1:85" x14ac:dyDescent="0.25">
      <c r="A2561">
        <v>23091423417</v>
      </c>
      <c r="B2561" t="s">
        <v>129</v>
      </c>
      <c r="C2561">
        <v>7602</v>
      </c>
      <c r="D2561" t="s">
        <v>129</v>
      </c>
      <c r="E2561" t="s">
        <v>53</v>
      </c>
      <c r="F2561" t="s">
        <v>53</v>
      </c>
      <c r="G2561">
        <v>4</v>
      </c>
      <c r="H2561" t="s">
        <v>54</v>
      </c>
      <c r="I2561" t="s">
        <v>129</v>
      </c>
      <c r="J2561" t="s">
        <v>129</v>
      </c>
      <c r="K2561">
        <v>0.17</v>
      </c>
      <c r="L256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61">
        <v>0</v>
      </c>
      <c r="N2561">
        <v>0</v>
      </c>
      <c r="O2561">
        <v>0</v>
      </c>
      <c r="P2561">
        <v>13398.7528</v>
      </c>
      <c r="Q2561">
        <v>63903</v>
      </c>
      <c r="R2561">
        <f>(Grandview_Inventory[[#This Row],[ln_acres]]*Grandview_Inventory[[#This Row],[coeff]])+Grandview_Inventory[[#This Row],[const]]</f>
        <v>40160.988302686128</v>
      </c>
      <c r="AY2561">
        <v>0</v>
      </c>
      <c r="AZ2561">
        <v>0</v>
      </c>
      <c r="BE2561">
        <v>0</v>
      </c>
      <c r="BF2561">
        <v>15000</v>
      </c>
      <c r="BG2561">
        <v>0</v>
      </c>
      <c r="BH2561" s="6">
        <f>Grandview_Inventory[[#This Row],[land_extract]]*Lookups!$B$3</f>
        <v>46638.847281240982</v>
      </c>
      <c r="BI2561" s="6">
        <f>IF(Grandview_Inventory[[#This Row],[bldg_style]]="",0,Lookups!$B$2)</f>
        <v>0</v>
      </c>
      <c r="BJ2561" s="6">
        <f>_xlfn.IFNA(VLOOKUP(Grandview_Inventory[[#This Row],[quality]],Lookups!$H$2:$J$14,3,FALSE),0)</f>
        <v>0</v>
      </c>
      <c r="BK2561" s="6">
        <f>_xlfn.IFNA(VLOOKUP(Grandview_Inventory[[#This Row],[condition]],Lookups!$H$17:$J$24,3,FALSE),0)</f>
        <v>0</v>
      </c>
      <c r="BL2561" s="6">
        <f>Grandview_Inventory[[#This Row],[Eff_Age]]*Lookups!$B$14</f>
        <v>0</v>
      </c>
      <c r="BM2561" s="6">
        <f>Grandview_Inventory[[#This Row],[living_area]]*Lookups!$B$15</f>
        <v>0</v>
      </c>
      <c r="BN2561" s="6">
        <f>Grandview_Inventory[[#This Row],[Fin BSMT]]*Lookups!$B$16</f>
        <v>0</v>
      </c>
      <c r="BO2561" s="6">
        <f>(Grandview_Inventory[[#This Row],[att_gar]]+Grandview_Inventory[[#This Row],[bltin_gar]])*Lookups!$B$17</f>
        <v>0</v>
      </c>
      <c r="BP2561" s="6">
        <f>Grandview_Inventory[[#This Row],[Plumbing Fixtures]]*Lookups!$B$18</f>
        <v>0</v>
      </c>
      <c r="BQ2561" s="6">
        <f>Grandview_Inventory[[#This Row],[detatched_value]]*Lookups!$B$19</f>
        <v>0</v>
      </c>
      <c r="BR2561" s="6">
        <f>SUM(Grandview_Inventory[[#This Row],[Intercept]:[det_value]])*Grandview_Inventory[[#This Row],[res_pct]]</f>
        <v>0</v>
      </c>
      <c r="BS2561" s="6">
        <f>Grandview_Inventory[[#This Row],[land_value]]</f>
        <v>46638.847281240982</v>
      </c>
      <c r="BT2561" s="4">
        <f>_xlfn.IFNA(VLOOKUP(Grandview_Inventory[[#This Row],[quality]],Lookups!$A$26:$C$33,3,FALSE),1)</f>
        <v>1</v>
      </c>
      <c r="BU2561" s="4">
        <f>_xlfn.IFNA(VLOOKUP(Grandview_Inventory[[#This Row],[condition]],Lookups!$A$37:$C$44,3,FALSE),1)</f>
        <v>1</v>
      </c>
      <c r="BV2561" s="4">
        <f>IF(Grandview_Inventory[[#This Row],[bldg_style]]="",1,_xlfn.IFNA(VLOOKUP(Grandview_Inventory[[#This Row],[decade]],Lookups!$F$29:$H$43,3,FALSE),1))</f>
        <v>1</v>
      </c>
      <c r="BW2561" s="4">
        <f>_xlfn.IFNA(VLOOKUP(Grandview_Inventory[[#This Row],[living_area_range]],Lookups!$F$47:$H$56,3,FALSE),1)</f>
        <v>1</v>
      </c>
      <c r="BX2561" s="4">
        <f>AVERAGE(Grandview_Inventory[[#This Row],[qual_adj]:[size_adj]])</f>
        <v>1</v>
      </c>
      <c r="BY2561" s="6">
        <f>IF(Grandview_Inventory[[#This Row],[pre_res]]&lt;0,0,Grandview_Inventory[[#This Row],[pre_res]]*Grandview_Inventory[[#This Row],[overall_adj]])</f>
        <v>0</v>
      </c>
      <c r="BZ2561" s="6">
        <f>(Grandview_Inventory[[#This Row],[sum_land]]-IF(Grandview_Inventory[[#This Row],[no_utilities]]=1,12000,0))/IF(Grandview_Inventory[[#This Row],[unbuildable]]=1,2,1)</f>
        <v>46638.847281240982</v>
      </c>
      <c r="CA256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61">
        <f>ROUND(Grandview_Inventory[[#This Row],[det_value]]*Lookups!$M$28,-2)</f>
        <v>0</v>
      </c>
      <c r="CC256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1">
        <f>Grandview_Inventory[[#This Row],[final_det]]+Grandview_Inventory[[#This Row],[final_res]]</f>
        <v>0</v>
      </c>
      <c r="CE2561">
        <f>Grandview_Inventory[[#This Row],[final_land]]+Grandview_Inventory[[#This Row],[final_imp]]+Grandview_Inventory[[#This Row],[crop_value]]</f>
        <v>44300</v>
      </c>
      <c r="CG2561" t="str">
        <f t="shared" si="39"/>
        <v>update valuation set market_land =44300, market_bldg=0, market_total =44300, market_mdno =401, market_date ='9/10/2023' where link_id = (select link_id from parcel where parcel_year = '2024' and parcel_id = '23091423417');</v>
      </c>
    </row>
    <row r="2562" spans="1:85" x14ac:dyDescent="0.25">
      <c r="A2562">
        <v>23091423418</v>
      </c>
      <c r="B2562" t="s">
        <v>129</v>
      </c>
      <c r="C2562">
        <v>7621</v>
      </c>
      <c r="D2562" t="s">
        <v>129</v>
      </c>
      <c r="E2562" t="s">
        <v>53</v>
      </c>
      <c r="F2562" t="s">
        <v>53</v>
      </c>
      <c r="G2562">
        <v>4</v>
      </c>
      <c r="H2562" t="s">
        <v>54</v>
      </c>
      <c r="I2562" t="s">
        <v>129</v>
      </c>
      <c r="J2562" t="s">
        <v>129</v>
      </c>
      <c r="K2562">
        <v>0.17</v>
      </c>
      <c r="L2562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62">
        <v>0</v>
      </c>
      <c r="N2562">
        <v>0</v>
      </c>
      <c r="O2562">
        <v>0</v>
      </c>
      <c r="P2562">
        <v>13398.7528</v>
      </c>
      <c r="Q2562">
        <v>63903</v>
      </c>
      <c r="R2562">
        <f>(Grandview_Inventory[[#This Row],[ln_acres]]*Grandview_Inventory[[#This Row],[coeff]])+Grandview_Inventory[[#This Row],[const]]</f>
        <v>40160.988302686128</v>
      </c>
      <c r="AY2562">
        <v>0</v>
      </c>
      <c r="AZ2562">
        <v>0</v>
      </c>
      <c r="BE2562">
        <v>0</v>
      </c>
      <c r="BF2562">
        <v>15000</v>
      </c>
      <c r="BG2562">
        <v>0</v>
      </c>
      <c r="BH2562" s="6">
        <f>Grandview_Inventory[[#This Row],[land_extract]]*Lookups!$B$3</f>
        <v>46638.847281240982</v>
      </c>
      <c r="BI2562" s="6">
        <f>IF(Grandview_Inventory[[#This Row],[bldg_style]]="",0,Lookups!$B$2)</f>
        <v>0</v>
      </c>
      <c r="BJ2562" s="6">
        <f>_xlfn.IFNA(VLOOKUP(Grandview_Inventory[[#This Row],[quality]],Lookups!$H$2:$J$14,3,FALSE),0)</f>
        <v>0</v>
      </c>
      <c r="BK2562" s="6">
        <f>_xlfn.IFNA(VLOOKUP(Grandview_Inventory[[#This Row],[condition]],Lookups!$H$17:$J$24,3,FALSE),0)</f>
        <v>0</v>
      </c>
      <c r="BL2562" s="6">
        <f>Grandview_Inventory[[#This Row],[Eff_Age]]*Lookups!$B$14</f>
        <v>0</v>
      </c>
      <c r="BM2562" s="6">
        <f>Grandview_Inventory[[#This Row],[living_area]]*Lookups!$B$15</f>
        <v>0</v>
      </c>
      <c r="BN2562" s="6">
        <f>Grandview_Inventory[[#This Row],[Fin BSMT]]*Lookups!$B$16</f>
        <v>0</v>
      </c>
      <c r="BO2562" s="6">
        <f>(Grandview_Inventory[[#This Row],[att_gar]]+Grandview_Inventory[[#This Row],[bltin_gar]])*Lookups!$B$17</f>
        <v>0</v>
      </c>
      <c r="BP2562" s="6">
        <f>Grandview_Inventory[[#This Row],[Plumbing Fixtures]]*Lookups!$B$18</f>
        <v>0</v>
      </c>
      <c r="BQ2562" s="6">
        <f>Grandview_Inventory[[#This Row],[detatched_value]]*Lookups!$B$19</f>
        <v>0</v>
      </c>
      <c r="BR2562" s="6">
        <f>SUM(Grandview_Inventory[[#This Row],[Intercept]:[det_value]])*Grandview_Inventory[[#This Row],[res_pct]]</f>
        <v>0</v>
      </c>
      <c r="BS2562" s="6">
        <f>Grandview_Inventory[[#This Row],[land_value]]</f>
        <v>46638.847281240982</v>
      </c>
      <c r="BT2562" s="4">
        <f>_xlfn.IFNA(VLOOKUP(Grandview_Inventory[[#This Row],[quality]],Lookups!$A$26:$C$33,3,FALSE),1)</f>
        <v>1</v>
      </c>
      <c r="BU2562" s="4">
        <f>_xlfn.IFNA(VLOOKUP(Grandview_Inventory[[#This Row],[condition]],Lookups!$A$37:$C$44,3,FALSE),1)</f>
        <v>1</v>
      </c>
      <c r="BV2562" s="4">
        <f>IF(Grandview_Inventory[[#This Row],[bldg_style]]="",1,_xlfn.IFNA(VLOOKUP(Grandview_Inventory[[#This Row],[decade]],Lookups!$F$29:$H$43,3,FALSE),1))</f>
        <v>1</v>
      </c>
      <c r="BW2562" s="4">
        <f>_xlfn.IFNA(VLOOKUP(Grandview_Inventory[[#This Row],[living_area_range]],Lookups!$F$47:$H$56,3,FALSE),1)</f>
        <v>1</v>
      </c>
      <c r="BX2562" s="4">
        <f>AVERAGE(Grandview_Inventory[[#This Row],[qual_adj]:[size_adj]])</f>
        <v>1</v>
      </c>
      <c r="BY2562" s="6">
        <f>IF(Grandview_Inventory[[#This Row],[pre_res]]&lt;0,0,Grandview_Inventory[[#This Row],[pre_res]]*Grandview_Inventory[[#This Row],[overall_adj]])</f>
        <v>0</v>
      </c>
      <c r="BZ2562" s="6">
        <f>(Grandview_Inventory[[#This Row],[sum_land]]-IF(Grandview_Inventory[[#This Row],[no_utilities]]=1,12000,0))/IF(Grandview_Inventory[[#This Row],[unbuildable]]=1,2,1)</f>
        <v>46638.847281240982</v>
      </c>
      <c r="CA2562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62">
        <f>ROUND(Grandview_Inventory[[#This Row],[det_value]]*Lookups!$M$28,-2)</f>
        <v>0</v>
      </c>
      <c r="CC256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2">
        <f>Grandview_Inventory[[#This Row],[final_det]]+Grandview_Inventory[[#This Row],[final_res]]</f>
        <v>0</v>
      </c>
      <c r="CE2562">
        <f>Grandview_Inventory[[#This Row],[final_land]]+Grandview_Inventory[[#This Row],[final_imp]]+Grandview_Inventory[[#This Row],[crop_value]]</f>
        <v>44300</v>
      </c>
      <c r="CG2562" t="str">
        <f t="shared" si="39"/>
        <v>update valuation set market_land =44300, market_bldg=0, market_total =44300, market_mdno =401, market_date ='9/10/2023' where link_id = (select link_id from parcel where parcel_year = '2024' and parcel_id = '23091423418');</v>
      </c>
    </row>
    <row r="2563" spans="1:85" x14ac:dyDescent="0.25">
      <c r="A2563">
        <v>23091423419</v>
      </c>
      <c r="B2563" t="s">
        <v>129</v>
      </c>
      <c r="C2563">
        <v>7887</v>
      </c>
      <c r="D2563" t="s">
        <v>129</v>
      </c>
      <c r="E2563" t="s">
        <v>53</v>
      </c>
      <c r="F2563" t="s">
        <v>53</v>
      </c>
      <c r="G2563">
        <v>4</v>
      </c>
      <c r="H2563" t="s">
        <v>54</v>
      </c>
      <c r="I2563" t="s">
        <v>129</v>
      </c>
      <c r="J2563" t="s">
        <v>129</v>
      </c>
      <c r="K2563">
        <v>0.18</v>
      </c>
      <c r="L256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63">
        <v>0</v>
      </c>
      <c r="N2563">
        <v>0</v>
      </c>
      <c r="O2563">
        <v>0</v>
      </c>
      <c r="P2563">
        <v>13398.7528</v>
      </c>
      <c r="Q2563">
        <v>63903</v>
      </c>
      <c r="R2563">
        <f>(Grandview_Inventory[[#This Row],[ln_acres]]*Grandview_Inventory[[#This Row],[coeff]])+Grandview_Inventory[[#This Row],[const]]</f>
        <v>40926.839760167699</v>
      </c>
      <c r="AY2563">
        <v>0</v>
      </c>
      <c r="AZ2563">
        <v>0</v>
      </c>
      <c r="BE2563">
        <v>0</v>
      </c>
      <c r="BF2563">
        <v>15000</v>
      </c>
      <c r="BG2563">
        <v>0</v>
      </c>
      <c r="BH2563" s="6">
        <f>Grandview_Inventory[[#This Row],[land_extract]]*Lookups!$B$3</f>
        <v>47528.228511015397</v>
      </c>
      <c r="BI2563" s="6">
        <f>IF(Grandview_Inventory[[#This Row],[bldg_style]]="",0,Lookups!$B$2)</f>
        <v>0</v>
      </c>
      <c r="BJ2563" s="6">
        <f>_xlfn.IFNA(VLOOKUP(Grandview_Inventory[[#This Row],[quality]],Lookups!$H$2:$J$14,3,FALSE),0)</f>
        <v>0</v>
      </c>
      <c r="BK2563" s="6">
        <f>_xlfn.IFNA(VLOOKUP(Grandview_Inventory[[#This Row],[condition]],Lookups!$H$17:$J$24,3,FALSE),0)</f>
        <v>0</v>
      </c>
      <c r="BL2563" s="6">
        <f>Grandview_Inventory[[#This Row],[Eff_Age]]*Lookups!$B$14</f>
        <v>0</v>
      </c>
      <c r="BM2563" s="6">
        <f>Grandview_Inventory[[#This Row],[living_area]]*Lookups!$B$15</f>
        <v>0</v>
      </c>
      <c r="BN2563" s="6">
        <f>Grandview_Inventory[[#This Row],[Fin BSMT]]*Lookups!$B$16</f>
        <v>0</v>
      </c>
      <c r="BO2563" s="6">
        <f>(Grandview_Inventory[[#This Row],[att_gar]]+Grandview_Inventory[[#This Row],[bltin_gar]])*Lookups!$B$17</f>
        <v>0</v>
      </c>
      <c r="BP2563" s="6">
        <f>Grandview_Inventory[[#This Row],[Plumbing Fixtures]]*Lookups!$B$18</f>
        <v>0</v>
      </c>
      <c r="BQ2563" s="6">
        <f>Grandview_Inventory[[#This Row],[detatched_value]]*Lookups!$B$19</f>
        <v>0</v>
      </c>
      <c r="BR2563" s="6">
        <f>SUM(Grandview_Inventory[[#This Row],[Intercept]:[det_value]])*Grandview_Inventory[[#This Row],[res_pct]]</f>
        <v>0</v>
      </c>
      <c r="BS2563" s="6">
        <f>Grandview_Inventory[[#This Row],[land_value]]</f>
        <v>47528.228511015397</v>
      </c>
      <c r="BT2563" s="4">
        <f>_xlfn.IFNA(VLOOKUP(Grandview_Inventory[[#This Row],[quality]],Lookups!$A$26:$C$33,3,FALSE),1)</f>
        <v>1</v>
      </c>
      <c r="BU2563" s="4">
        <f>_xlfn.IFNA(VLOOKUP(Grandview_Inventory[[#This Row],[condition]],Lookups!$A$37:$C$44,3,FALSE),1)</f>
        <v>1</v>
      </c>
      <c r="BV2563" s="4">
        <f>IF(Grandview_Inventory[[#This Row],[bldg_style]]="",1,_xlfn.IFNA(VLOOKUP(Grandview_Inventory[[#This Row],[decade]],Lookups!$F$29:$H$43,3,FALSE),1))</f>
        <v>1</v>
      </c>
      <c r="BW2563" s="4">
        <f>_xlfn.IFNA(VLOOKUP(Grandview_Inventory[[#This Row],[living_area_range]],Lookups!$F$47:$H$56,3,FALSE),1)</f>
        <v>1</v>
      </c>
      <c r="BX2563" s="4">
        <f>AVERAGE(Grandview_Inventory[[#This Row],[qual_adj]:[size_adj]])</f>
        <v>1</v>
      </c>
      <c r="BY2563" s="6">
        <f>IF(Grandview_Inventory[[#This Row],[pre_res]]&lt;0,0,Grandview_Inventory[[#This Row],[pre_res]]*Grandview_Inventory[[#This Row],[overall_adj]])</f>
        <v>0</v>
      </c>
      <c r="BZ2563" s="6">
        <f>(Grandview_Inventory[[#This Row],[sum_land]]-IF(Grandview_Inventory[[#This Row],[no_utilities]]=1,12000,0))/IF(Grandview_Inventory[[#This Row],[unbuildable]]=1,2,1)</f>
        <v>47528.228511015397</v>
      </c>
      <c r="CA256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63">
        <f>ROUND(Grandview_Inventory[[#This Row],[det_value]]*Lookups!$M$28,-2)</f>
        <v>0</v>
      </c>
      <c r="CC256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3">
        <f>Grandview_Inventory[[#This Row],[final_det]]+Grandview_Inventory[[#This Row],[final_res]]</f>
        <v>0</v>
      </c>
      <c r="CE2563">
        <f>Grandview_Inventory[[#This Row],[final_land]]+Grandview_Inventory[[#This Row],[final_imp]]+Grandview_Inventory[[#This Row],[crop_value]]</f>
        <v>45200</v>
      </c>
      <c r="CG2563" t="str">
        <f t="shared" ref="CG2563:CG2626" si="40">"update valuation set market_land ="&amp;CA2563&amp;", market_bldg="&amp;CD2563&amp;", market_total ="&amp;CE2563&amp;", market_mdno ="&amp;$CG$1&amp;", market_date ='"&amp;TEXT($CH$1,"m/d/yyyy")&amp;"' where link_id = (select link_id from parcel where parcel_year = '2024' and parcel_id = '"&amp;A2563&amp;"');"</f>
        <v>update valuation set market_land =45200, market_bldg=0, market_total =45200, market_mdno =401, market_date ='9/10/2023' where link_id = (select link_id from parcel where parcel_year = '2024' and parcel_id = '23091423419');</v>
      </c>
    </row>
    <row r="2564" spans="1:85" x14ac:dyDescent="0.25">
      <c r="A2564">
        <v>23091423420</v>
      </c>
      <c r="B2564" t="s">
        <v>129</v>
      </c>
      <c r="C2564">
        <v>10539</v>
      </c>
      <c r="D2564" t="s">
        <v>129</v>
      </c>
      <c r="E2564" t="s">
        <v>53</v>
      </c>
      <c r="F2564" t="s">
        <v>53</v>
      </c>
      <c r="G2564">
        <v>4</v>
      </c>
      <c r="H2564" t="s">
        <v>54</v>
      </c>
      <c r="I2564" t="s">
        <v>129</v>
      </c>
      <c r="J2564" t="s">
        <v>129</v>
      </c>
      <c r="K2564">
        <v>0.24</v>
      </c>
      <c r="L256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564">
        <v>0</v>
      </c>
      <c r="N2564">
        <v>0</v>
      </c>
      <c r="O2564">
        <v>0</v>
      </c>
      <c r="P2564">
        <v>13398.7528</v>
      </c>
      <c r="Q2564">
        <v>63903</v>
      </c>
      <c r="R2564">
        <f>(Grandview_Inventory[[#This Row],[ln_acres]]*Grandview_Inventory[[#This Row],[coeff]])+Grandview_Inventory[[#This Row],[const]]</f>
        <v>44781.420733940802</v>
      </c>
      <c r="AY2564">
        <v>0</v>
      </c>
      <c r="AZ2564">
        <v>0</v>
      </c>
      <c r="BE2564">
        <v>0</v>
      </c>
      <c r="BF2564">
        <v>15000</v>
      </c>
      <c r="BG2564">
        <v>0</v>
      </c>
      <c r="BH2564" s="6">
        <f>Grandview_Inventory[[#This Row],[land_extract]]*Lookups!$B$3</f>
        <v>52004.542988489469</v>
      </c>
      <c r="BI2564" s="6">
        <f>IF(Grandview_Inventory[[#This Row],[bldg_style]]="",0,Lookups!$B$2)</f>
        <v>0</v>
      </c>
      <c r="BJ2564" s="6">
        <f>_xlfn.IFNA(VLOOKUP(Grandview_Inventory[[#This Row],[quality]],Lookups!$H$2:$J$14,3,FALSE),0)</f>
        <v>0</v>
      </c>
      <c r="BK2564" s="6">
        <f>_xlfn.IFNA(VLOOKUP(Grandview_Inventory[[#This Row],[condition]],Lookups!$H$17:$J$24,3,FALSE),0)</f>
        <v>0</v>
      </c>
      <c r="BL2564" s="6">
        <f>Grandview_Inventory[[#This Row],[Eff_Age]]*Lookups!$B$14</f>
        <v>0</v>
      </c>
      <c r="BM2564" s="6">
        <f>Grandview_Inventory[[#This Row],[living_area]]*Lookups!$B$15</f>
        <v>0</v>
      </c>
      <c r="BN2564" s="6">
        <f>Grandview_Inventory[[#This Row],[Fin BSMT]]*Lookups!$B$16</f>
        <v>0</v>
      </c>
      <c r="BO2564" s="6">
        <f>(Grandview_Inventory[[#This Row],[att_gar]]+Grandview_Inventory[[#This Row],[bltin_gar]])*Lookups!$B$17</f>
        <v>0</v>
      </c>
      <c r="BP2564" s="6">
        <f>Grandview_Inventory[[#This Row],[Plumbing Fixtures]]*Lookups!$B$18</f>
        <v>0</v>
      </c>
      <c r="BQ2564" s="6">
        <f>Grandview_Inventory[[#This Row],[detatched_value]]*Lookups!$B$19</f>
        <v>0</v>
      </c>
      <c r="BR2564" s="6">
        <f>SUM(Grandview_Inventory[[#This Row],[Intercept]:[det_value]])*Grandview_Inventory[[#This Row],[res_pct]]</f>
        <v>0</v>
      </c>
      <c r="BS2564" s="6">
        <f>Grandview_Inventory[[#This Row],[land_value]]</f>
        <v>52004.542988489469</v>
      </c>
      <c r="BT2564" s="4">
        <f>_xlfn.IFNA(VLOOKUP(Grandview_Inventory[[#This Row],[quality]],Lookups!$A$26:$C$33,3,FALSE),1)</f>
        <v>1</v>
      </c>
      <c r="BU2564" s="4">
        <f>_xlfn.IFNA(VLOOKUP(Grandview_Inventory[[#This Row],[condition]],Lookups!$A$37:$C$44,3,FALSE),1)</f>
        <v>1</v>
      </c>
      <c r="BV2564" s="4">
        <f>IF(Grandview_Inventory[[#This Row],[bldg_style]]="",1,_xlfn.IFNA(VLOOKUP(Grandview_Inventory[[#This Row],[decade]],Lookups!$F$29:$H$43,3,FALSE),1))</f>
        <v>1</v>
      </c>
      <c r="BW2564" s="4">
        <f>_xlfn.IFNA(VLOOKUP(Grandview_Inventory[[#This Row],[living_area_range]],Lookups!$F$47:$H$56,3,FALSE),1)</f>
        <v>1</v>
      </c>
      <c r="BX2564" s="4">
        <f>AVERAGE(Grandview_Inventory[[#This Row],[qual_adj]:[size_adj]])</f>
        <v>1</v>
      </c>
      <c r="BY2564" s="6">
        <f>IF(Grandview_Inventory[[#This Row],[pre_res]]&lt;0,0,Grandview_Inventory[[#This Row],[pre_res]]*Grandview_Inventory[[#This Row],[overall_adj]])</f>
        <v>0</v>
      </c>
      <c r="BZ2564" s="6">
        <f>(Grandview_Inventory[[#This Row],[sum_land]]-IF(Grandview_Inventory[[#This Row],[no_utilities]]=1,12000,0))/IF(Grandview_Inventory[[#This Row],[unbuildable]]=1,2,1)</f>
        <v>52004.542988489469</v>
      </c>
      <c r="CA256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564">
        <f>ROUND(Grandview_Inventory[[#This Row],[det_value]]*Lookups!$M$28,-2)</f>
        <v>0</v>
      </c>
      <c r="CC256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4">
        <f>Grandview_Inventory[[#This Row],[final_det]]+Grandview_Inventory[[#This Row],[final_res]]</f>
        <v>0</v>
      </c>
      <c r="CE2564">
        <f>Grandview_Inventory[[#This Row],[final_land]]+Grandview_Inventory[[#This Row],[final_imp]]+Grandview_Inventory[[#This Row],[crop_value]]</f>
        <v>49400</v>
      </c>
      <c r="CG2564" t="str">
        <f t="shared" si="40"/>
        <v>update valuation set market_land =49400, market_bldg=0, market_total =49400, market_mdno =401, market_date ='9/10/2023' where link_id = (select link_id from parcel where parcel_year = '2024' and parcel_id = '23091423420');</v>
      </c>
    </row>
    <row r="2565" spans="1:85" x14ac:dyDescent="0.25">
      <c r="A2565">
        <v>23091423421</v>
      </c>
      <c r="B2565" t="s">
        <v>129</v>
      </c>
      <c r="C2565">
        <v>10384</v>
      </c>
      <c r="D2565" t="s">
        <v>129</v>
      </c>
      <c r="E2565" t="s">
        <v>53</v>
      </c>
      <c r="F2565" t="s">
        <v>53</v>
      </c>
      <c r="G2565">
        <v>4</v>
      </c>
      <c r="H2565" t="s">
        <v>54</v>
      </c>
      <c r="I2565" t="s">
        <v>129</v>
      </c>
      <c r="J2565" t="s">
        <v>129</v>
      </c>
      <c r="K2565">
        <v>0.24</v>
      </c>
      <c r="L256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565">
        <v>0</v>
      </c>
      <c r="N2565">
        <v>0</v>
      </c>
      <c r="O2565">
        <v>0</v>
      </c>
      <c r="P2565">
        <v>13398.7528</v>
      </c>
      <c r="Q2565">
        <v>63903</v>
      </c>
      <c r="R2565">
        <f>(Grandview_Inventory[[#This Row],[ln_acres]]*Grandview_Inventory[[#This Row],[coeff]])+Grandview_Inventory[[#This Row],[const]]</f>
        <v>44781.420733940802</v>
      </c>
      <c r="AY2565">
        <v>0</v>
      </c>
      <c r="AZ2565">
        <v>0</v>
      </c>
      <c r="BE2565">
        <v>0</v>
      </c>
      <c r="BF2565">
        <v>15000</v>
      </c>
      <c r="BG2565">
        <v>0</v>
      </c>
      <c r="BH2565" s="6">
        <f>Grandview_Inventory[[#This Row],[land_extract]]*Lookups!$B$3</f>
        <v>52004.542988489469</v>
      </c>
      <c r="BI2565" s="6">
        <f>IF(Grandview_Inventory[[#This Row],[bldg_style]]="",0,Lookups!$B$2)</f>
        <v>0</v>
      </c>
      <c r="BJ2565" s="6">
        <f>_xlfn.IFNA(VLOOKUP(Grandview_Inventory[[#This Row],[quality]],Lookups!$H$2:$J$14,3,FALSE),0)</f>
        <v>0</v>
      </c>
      <c r="BK2565" s="6">
        <f>_xlfn.IFNA(VLOOKUP(Grandview_Inventory[[#This Row],[condition]],Lookups!$H$17:$J$24,3,FALSE),0)</f>
        <v>0</v>
      </c>
      <c r="BL2565" s="6">
        <f>Grandview_Inventory[[#This Row],[Eff_Age]]*Lookups!$B$14</f>
        <v>0</v>
      </c>
      <c r="BM2565" s="6">
        <f>Grandview_Inventory[[#This Row],[living_area]]*Lookups!$B$15</f>
        <v>0</v>
      </c>
      <c r="BN2565" s="6">
        <f>Grandview_Inventory[[#This Row],[Fin BSMT]]*Lookups!$B$16</f>
        <v>0</v>
      </c>
      <c r="BO2565" s="6">
        <f>(Grandview_Inventory[[#This Row],[att_gar]]+Grandview_Inventory[[#This Row],[bltin_gar]])*Lookups!$B$17</f>
        <v>0</v>
      </c>
      <c r="BP2565" s="6">
        <f>Grandview_Inventory[[#This Row],[Plumbing Fixtures]]*Lookups!$B$18</f>
        <v>0</v>
      </c>
      <c r="BQ2565" s="6">
        <f>Grandview_Inventory[[#This Row],[detatched_value]]*Lookups!$B$19</f>
        <v>0</v>
      </c>
      <c r="BR2565" s="6">
        <f>SUM(Grandview_Inventory[[#This Row],[Intercept]:[det_value]])*Grandview_Inventory[[#This Row],[res_pct]]</f>
        <v>0</v>
      </c>
      <c r="BS2565" s="6">
        <f>Grandview_Inventory[[#This Row],[land_value]]</f>
        <v>52004.542988489469</v>
      </c>
      <c r="BT2565" s="4">
        <f>_xlfn.IFNA(VLOOKUP(Grandview_Inventory[[#This Row],[quality]],Lookups!$A$26:$C$33,3,FALSE),1)</f>
        <v>1</v>
      </c>
      <c r="BU2565" s="4">
        <f>_xlfn.IFNA(VLOOKUP(Grandview_Inventory[[#This Row],[condition]],Lookups!$A$37:$C$44,3,FALSE),1)</f>
        <v>1</v>
      </c>
      <c r="BV2565" s="4">
        <f>IF(Grandview_Inventory[[#This Row],[bldg_style]]="",1,_xlfn.IFNA(VLOOKUP(Grandview_Inventory[[#This Row],[decade]],Lookups!$F$29:$H$43,3,FALSE),1))</f>
        <v>1</v>
      </c>
      <c r="BW2565" s="4">
        <f>_xlfn.IFNA(VLOOKUP(Grandview_Inventory[[#This Row],[living_area_range]],Lookups!$F$47:$H$56,3,FALSE),1)</f>
        <v>1</v>
      </c>
      <c r="BX2565" s="4">
        <f>AVERAGE(Grandview_Inventory[[#This Row],[qual_adj]:[size_adj]])</f>
        <v>1</v>
      </c>
      <c r="BY2565" s="6">
        <f>IF(Grandview_Inventory[[#This Row],[pre_res]]&lt;0,0,Grandview_Inventory[[#This Row],[pre_res]]*Grandview_Inventory[[#This Row],[overall_adj]])</f>
        <v>0</v>
      </c>
      <c r="BZ2565" s="6">
        <f>(Grandview_Inventory[[#This Row],[sum_land]]-IF(Grandview_Inventory[[#This Row],[no_utilities]]=1,12000,0))/IF(Grandview_Inventory[[#This Row],[unbuildable]]=1,2,1)</f>
        <v>52004.542988489469</v>
      </c>
      <c r="CA256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565">
        <f>ROUND(Grandview_Inventory[[#This Row],[det_value]]*Lookups!$M$28,-2)</f>
        <v>0</v>
      </c>
      <c r="CC256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5">
        <f>Grandview_Inventory[[#This Row],[final_det]]+Grandview_Inventory[[#This Row],[final_res]]</f>
        <v>0</v>
      </c>
      <c r="CE2565">
        <f>Grandview_Inventory[[#This Row],[final_land]]+Grandview_Inventory[[#This Row],[final_imp]]+Grandview_Inventory[[#This Row],[crop_value]]</f>
        <v>49400</v>
      </c>
      <c r="CG2565" t="str">
        <f t="shared" si="40"/>
        <v>update valuation set market_land =49400, market_bldg=0, market_total =49400, market_mdno =401, market_date ='9/10/2023' where link_id = (select link_id from parcel where parcel_year = '2024' and parcel_id = '23091423421');</v>
      </c>
    </row>
    <row r="2566" spans="1:85" x14ac:dyDescent="0.25">
      <c r="A2566">
        <v>23091423422</v>
      </c>
      <c r="B2566" t="s">
        <v>129</v>
      </c>
      <c r="C2566">
        <v>7811</v>
      </c>
      <c r="D2566" t="s">
        <v>129</v>
      </c>
      <c r="E2566" t="s">
        <v>53</v>
      </c>
      <c r="F2566" t="s">
        <v>53</v>
      </c>
      <c r="G2566">
        <v>4</v>
      </c>
      <c r="H2566" t="s">
        <v>54</v>
      </c>
      <c r="I2566" t="s">
        <v>129</v>
      </c>
      <c r="J2566" t="s">
        <v>129</v>
      </c>
      <c r="K2566">
        <v>0.18</v>
      </c>
      <c r="L256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66">
        <v>0</v>
      </c>
      <c r="N2566">
        <v>0</v>
      </c>
      <c r="O2566">
        <v>0</v>
      </c>
      <c r="P2566">
        <v>13398.7528</v>
      </c>
      <c r="Q2566">
        <v>63903</v>
      </c>
      <c r="R2566">
        <f>(Grandview_Inventory[[#This Row],[ln_acres]]*Grandview_Inventory[[#This Row],[coeff]])+Grandview_Inventory[[#This Row],[const]]</f>
        <v>40926.839760167699</v>
      </c>
      <c r="AY2566">
        <v>0</v>
      </c>
      <c r="AZ2566">
        <v>0</v>
      </c>
      <c r="BE2566">
        <v>0</v>
      </c>
      <c r="BF2566">
        <v>15000</v>
      </c>
      <c r="BG2566">
        <v>0</v>
      </c>
      <c r="BH2566" s="6">
        <f>Grandview_Inventory[[#This Row],[land_extract]]*Lookups!$B$3</f>
        <v>47528.228511015397</v>
      </c>
      <c r="BI2566" s="6">
        <f>IF(Grandview_Inventory[[#This Row],[bldg_style]]="",0,Lookups!$B$2)</f>
        <v>0</v>
      </c>
      <c r="BJ2566" s="6">
        <f>_xlfn.IFNA(VLOOKUP(Grandview_Inventory[[#This Row],[quality]],Lookups!$H$2:$J$14,3,FALSE),0)</f>
        <v>0</v>
      </c>
      <c r="BK2566" s="6">
        <f>_xlfn.IFNA(VLOOKUP(Grandview_Inventory[[#This Row],[condition]],Lookups!$H$17:$J$24,3,FALSE),0)</f>
        <v>0</v>
      </c>
      <c r="BL2566" s="6">
        <f>Grandview_Inventory[[#This Row],[Eff_Age]]*Lookups!$B$14</f>
        <v>0</v>
      </c>
      <c r="BM2566" s="6">
        <f>Grandview_Inventory[[#This Row],[living_area]]*Lookups!$B$15</f>
        <v>0</v>
      </c>
      <c r="BN2566" s="6">
        <f>Grandview_Inventory[[#This Row],[Fin BSMT]]*Lookups!$B$16</f>
        <v>0</v>
      </c>
      <c r="BO2566" s="6">
        <f>(Grandview_Inventory[[#This Row],[att_gar]]+Grandview_Inventory[[#This Row],[bltin_gar]])*Lookups!$B$17</f>
        <v>0</v>
      </c>
      <c r="BP2566" s="6">
        <f>Grandview_Inventory[[#This Row],[Plumbing Fixtures]]*Lookups!$B$18</f>
        <v>0</v>
      </c>
      <c r="BQ2566" s="6">
        <f>Grandview_Inventory[[#This Row],[detatched_value]]*Lookups!$B$19</f>
        <v>0</v>
      </c>
      <c r="BR2566" s="6">
        <f>SUM(Grandview_Inventory[[#This Row],[Intercept]:[det_value]])*Grandview_Inventory[[#This Row],[res_pct]]</f>
        <v>0</v>
      </c>
      <c r="BS2566" s="6">
        <f>Grandview_Inventory[[#This Row],[land_value]]</f>
        <v>47528.228511015397</v>
      </c>
      <c r="BT2566" s="4">
        <f>_xlfn.IFNA(VLOOKUP(Grandview_Inventory[[#This Row],[quality]],Lookups!$A$26:$C$33,3,FALSE),1)</f>
        <v>1</v>
      </c>
      <c r="BU2566" s="4">
        <f>_xlfn.IFNA(VLOOKUP(Grandview_Inventory[[#This Row],[condition]],Lookups!$A$37:$C$44,3,FALSE),1)</f>
        <v>1</v>
      </c>
      <c r="BV2566" s="4">
        <f>IF(Grandview_Inventory[[#This Row],[bldg_style]]="",1,_xlfn.IFNA(VLOOKUP(Grandview_Inventory[[#This Row],[decade]],Lookups!$F$29:$H$43,3,FALSE),1))</f>
        <v>1</v>
      </c>
      <c r="BW2566" s="4">
        <f>_xlfn.IFNA(VLOOKUP(Grandview_Inventory[[#This Row],[living_area_range]],Lookups!$F$47:$H$56,3,FALSE),1)</f>
        <v>1</v>
      </c>
      <c r="BX2566" s="4">
        <f>AVERAGE(Grandview_Inventory[[#This Row],[qual_adj]:[size_adj]])</f>
        <v>1</v>
      </c>
      <c r="BY2566" s="6">
        <f>IF(Grandview_Inventory[[#This Row],[pre_res]]&lt;0,0,Grandview_Inventory[[#This Row],[pre_res]]*Grandview_Inventory[[#This Row],[overall_adj]])</f>
        <v>0</v>
      </c>
      <c r="BZ2566" s="6">
        <f>(Grandview_Inventory[[#This Row],[sum_land]]-IF(Grandview_Inventory[[#This Row],[no_utilities]]=1,12000,0))/IF(Grandview_Inventory[[#This Row],[unbuildable]]=1,2,1)</f>
        <v>47528.228511015397</v>
      </c>
      <c r="CA256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66">
        <f>ROUND(Grandview_Inventory[[#This Row],[det_value]]*Lookups!$M$28,-2)</f>
        <v>0</v>
      </c>
      <c r="CC256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6">
        <f>Grandview_Inventory[[#This Row],[final_det]]+Grandview_Inventory[[#This Row],[final_res]]</f>
        <v>0</v>
      </c>
      <c r="CE2566">
        <f>Grandview_Inventory[[#This Row],[final_land]]+Grandview_Inventory[[#This Row],[final_imp]]+Grandview_Inventory[[#This Row],[crop_value]]</f>
        <v>45200</v>
      </c>
      <c r="CG2566" t="str">
        <f t="shared" si="40"/>
        <v>update valuation set market_land =45200, market_bldg=0, market_total =45200, market_mdno =401, market_date ='9/10/2023' where link_id = (select link_id from parcel where parcel_year = '2024' and parcel_id = '23091423422');</v>
      </c>
    </row>
    <row r="2567" spans="1:85" x14ac:dyDescent="0.25">
      <c r="A2567">
        <v>23091423423</v>
      </c>
      <c r="B2567" t="s">
        <v>129</v>
      </c>
      <c r="C2567">
        <v>8210</v>
      </c>
      <c r="D2567" t="s">
        <v>129</v>
      </c>
      <c r="E2567" t="s">
        <v>53</v>
      </c>
      <c r="F2567" t="s">
        <v>53</v>
      </c>
      <c r="G2567">
        <v>4</v>
      </c>
      <c r="H2567" t="s">
        <v>54</v>
      </c>
      <c r="I2567" t="s">
        <v>129</v>
      </c>
      <c r="J2567" t="s">
        <v>129</v>
      </c>
      <c r="K2567">
        <v>0.19</v>
      </c>
      <c r="L256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567">
        <v>0</v>
      </c>
      <c r="N2567">
        <v>0</v>
      </c>
      <c r="O2567">
        <v>0</v>
      </c>
      <c r="P2567">
        <v>13398.7528</v>
      </c>
      <c r="Q2567">
        <v>63903</v>
      </c>
      <c r="R2567">
        <f>(Grandview_Inventory[[#This Row],[ln_acres]]*Grandview_Inventory[[#This Row],[coeff]])+Grandview_Inventory[[#This Row],[const]]</f>
        <v>41651.273092551026</v>
      </c>
      <c r="AY2567">
        <v>0</v>
      </c>
      <c r="AZ2567">
        <v>0</v>
      </c>
      <c r="BE2567">
        <v>0</v>
      </c>
      <c r="BF2567">
        <v>15000</v>
      </c>
      <c r="BG2567">
        <v>0</v>
      </c>
      <c r="BH2567" s="6">
        <f>Grandview_Inventory[[#This Row],[land_extract]]*Lookups!$B$3</f>
        <v>48369.510983942157</v>
      </c>
      <c r="BI2567" s="6">
        <f>IF(Grandview_Inventory[[#This Row],[bldg_style]]="",0,Lookups!$B$2)</f>
        <v>0</v>
      </c>
      <c r="BJ2567" s="6">
        <f>_xlfn.IFNA(VLOOKUP(Grandview_Inventory[[#This Row],[quality]],Lookups!$H$2:$J$14,3,FALSE),0)</f>
        <v>0</v>
      </c>
      <c r="BK2567" s="6">
        <f>_xlfn.IFNA(VLOOKUP(Grandview_Inventory[[#This Row],[condition]],Lookups!$H$17:$J$24,3,FALSE),0)</f>
        <v>0</v>
      </c>
      <c r="BL2567" s="6">
        <f>Grandview_Inventory[[#This Row],[Eff_Age]]*Lookups!$B$14</f>
        <v>0</v>
      </c>
      <c r="BM2567" s="6">
        <f>Grandview_Inventory[[#This Row],[living_area]]*Lookups!$B$15</f>
        <v>0</v>
      </c>
      <c r="BN2567" s="6">
        <f>Grandview_Inventory[[#This Row],[Fin BSMT]]*Lookups!$B$16</f>
        <v>0</v>
      </c>
      <c r="BO2567" s="6">
        <f>(Grandview_Inventory[[#This Row],[att_gar]]+Grandview_Inventory[[#This Row],[bltin_gar]])*Lookups!$B$17</f>
        <v>0</v>
      </c>
      <c r="BP2567" s="6">
        <f>Grandview_Inventory[[#This Row],[Plumbing Fixtures]]*Lookups!$B$18</f>
        <v>0</v>
      </c>
      <c r="BQ2567" s="6">
        <f>Grandview_Inventory[[#This Row],[detatched_value]]*Lookups!$B$19</f>
        <v>0</v>
      </c>
      <c r="BR2567" s="6">
        <f>SUM(Grandview_Inventory[[#This Row],[Intercept]:[det_value]])*Grandview_Inventory[[#This Row],[res_pct]]</f>
        <v>0</v>
      </c>
      <c r="BS2567" s="6">
        <f>Grandview_Inventory[[#This Row],[land_value]]</f>
        <v>48369.510983942157</v>
      </c>
      <c r="BT2567" s="4">
        <f>_xlfn.IFNA(VLOOKUP(Grandview_Inventory[[#This Row],[quality]],Lookups!$A$26:$C$33,3,FALSE),1)</f>
        <v>1</v>
      </c>
      <c r="BU2567" s="4">
        <f>_xlfn.IFNA(VLOOKUP(Grandview_Inventory[[#This Row],[condition]],Lookups!$A$37:$C$44,3,FALSE),1)</f>
        <v>1</v>
      </c>
      <c r="BV2567" s="4">
        <f>IF(Grandview_Inventory[[#This Row],[bldg_style]]="",1,_xlfn.IFNA(VLOOKUP(Grandview_Inventory[[#This Row],[decade]],Lookups!$F$29:$H$43,3,FALSE),1))</f>
        <v>1</v>
      </c>
      <c r="BW2567" s="4">
        <f>_xlfn.IFNA(VLOOKUP(Grandview_Inventory[[#This Row],[living_area_range]],Lookups!$F$47:$H$56,3,FALSE),1)</f>
        <v>1</v>
      </c>
      <c r="BX2567" s="4">
        <f>AVERAGE(Grandview_Inventory[[#This Row],[qual_adj]:[size_adj]])</f>
        <v>1</v>
      </c>
      <c r="BY2567" s="6">
        <f>IF(Grandview_Inventory[[#This Row],[pre_res]]&lt;0,0,Grandview_Inventory[[#This Row],[pre_res]]*Grandview_Inventory[[#This Row],[overall_adj]])</f>
        <v>0</v>
      </c>
      <c r="BZ2567" s="6">
        <f>(Grandview_Inventory[[#This Row],[sum_land]]-IF(Grandview_Inventory[[#This Row],[no_utilities]]=1,12000,0))/IF(Grandview_Inventory[[#This Row],[unbuildable]]=1,2,1)</f>
        <v>48369.510983942157</v>
      </c>
      <c r="CA256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567">
        <f>ROUND(Grandview_Inventory[[#This Row],[det_value]]*Lookups!$M$28,-2)</f>
        <v>0</v>
      </c>
      <c r="CC256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7">
        <f>Grandview_Inventory[[#This Row],[final_det]]+Grandview_Inventory[[#This Row],[final_res]]</f>
        <v>0</v>
      </c>
      <c r="CE2567">
        <f>Grandview_Inventory[[#This Row],[final_land]]+Grandview_Inventory[[#This Row],[final_imp]]+Grandview_Inventory[[#This Row],[crop_value]]</f>
        <v>46000</v>
      </c>
      <c r="CG2567" t="str">
        <f t="shared" si="40"/>
        <v>update valuation set market_land =46000, market_bldg=0, market_total =46000, market_mdno =401, market_date ='9/10/2023' where link_id = (select link_id from parcel where parcel_year = '2024' and parcel_id = '23091423423');</v>
      </c>
    </row>
    <row r="2568" spans="1:85" x14ac:dyDescent="0.25">
      <c r="A2568">
        <v>23091423424</v>
      </c>
      <c r="B2568" t="s">
        <v>129</v>
      </c>
      <c r="C2568">
        <v>7545</v>
      </c>
      <c r="D2568" t="s">
        <v>129</v>
      </c>
      <c r="E2568" t="s">
        <v>53</v>
      </c>
      <c r="F2568" t="s">
        <v>53</v>
      </c>
      <c r="G2568">
        <v>4</v>
      </c>
      <c r="H2568" t="s">
        <v>54</v>
      </c>
      <c r="I2568" t="s">
        <v>129</v>
      </c>
      <c r="J2568" t="s">
        <v>129</v>
      </c>
      <c r="K2568">
        <v>0.17</v>
      </c>
      <c r="L256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68">
        <v>0</v>
      </c>
      <c r="N2568">
        <v>0</v>
      </c>
      <c r="O2568">
        <v>0</v>
      </c>
      <c r="P2568">
        <v>13398.7528</v>
      </c>
      <c r="Q2568">
        <v>63903</v>
      </c>
      <c r="R2568">
        <f>(Grandview_Inventory[[#This Row],[ln_acres]]*Grandview_Inventory[[#This Row],[coeff]])+Grandview_Inventory[[#This Row],[const]]</f>
        <v>40160.988302686128</v>
      </c>
      <c r="AY2568">
        <v>0</v>
      </c>
      <c r="AZ2568">
        <v>0</v>
      </c>
      <c r="BE2568">
        <v>0</v>
      </c>
      <c r="BF2568">
        <v>15000</v>
      </c>
      <c r="BG2568">
        <v>0</v>
      </c>
      <c r="BH2568" s="6">
        <f>Grandview_Inventory[[#This Row],[land_extract]]*Lookups!$B$3</f>
        <v>46638.847281240982</v>
      </c>
      <c r="BI2568" s="6">
        <f>IF(Grandview_Inventory[[#This Row],[bldg_style]]="",0,Lookups!$B$2)</f>
        <v>0</v>
      </c>
      <c r="BJ2568" s="6">
        <f>_xlfn.IFNA(VLOOKUP(Grandview_Inventory[[#This Row],[quality]],Lookups!$H$2:$J$14,3,FALSE),0)</f>
        <v>0</v>
      </c>
      <c r="BK2568" s="6">
        <f>_xlfn.IFNA(VLOOKUP(Grandview_Inventory[[#This Row],[condition]],Lookups!$H$17:$J$24,3,FALSE),0)</f>
        <v>0</v>
      </c>
      <c r="BL2568" s="6">
        <f>Grandview_Inventory[[#This Row],[Eff_Age]]*Lookups!$B$14</f>
        <v>0</v>
      </c>
      <c r="BM2568" s="6">
        <f>Grandview_Inventory[[#This Row],[living_area]]*Lookups!$B$15</f>
        <v>0</v>
      </c>
      <c r="BN2568" s="6">
        <f>Grandview_Inventory[[#This Row],[Fin BSMT]]*Lookups!$B$16</f>
        <v>0</v>
      </c>
      <c r="BO2568" s="6">
        <f>(Grandview_Inventory[[#This Row],[att_gar]]+Grandview_Inventory[[#This Row],[bltin_gar]])*Lookups!$B$17</f>
        <v>0</v>
      </c>
      <c r="BP2568" s="6">
        <f>Grandview_Inventory[[#This Row],[Plumbing Fixtures]]*Lookups!$B$18</f>
        <v>0</v>
      </c>
      <c r="BQ2568" s="6">
        <f>Grandview_Inventory[[#This Row],[detatched_value]]*Lookups!$B$19</f>
        <v>0</v>
      </c>
      <c r="BR2568" s="6">
        <f>SUM(Grandview_Inventory[[#This Row],[Intercept]:[det_value]])*Grandview_Inventory[[#This Row],[res_pct]]</f>
        <v>0</v>
      </c>
      <c r="BS2568" s="6">
        <f>Grandview_Inventory[[#This Row],[land_value]]</f>
        <v>46638.847281240982</v>
      </c>
      <c r="BT2568" s="4">
        <f>_xlfn.IFNA(VLOOKUP(Grandview_Inventory[[#This Row],[quality]],Lookups!$A$26:$C$33,3,FALSE),1)</f>
        <v>1</v>
      </c>
      <c r="BU2568" s="4">
        <f>_xlfn.IFNA(VLOOKUP(Grandview_Inventory[[#This Row],[condition]],Lookups!$A$37:$C$44,3,FALSE),1)</f>
        <v>1</v>
      </c>
      <c r="BV2568" s="4">
        <f>IF(Grandview_Inventory[[#This Row],[bldg_style]]="",1,_xlfn.IFNA(VLOOKUP(Grandview_Inventory[[#This Row],[decade]],Lookups!$F$29:$H$43,3,FALSE),1))</f>
        <v>1</v>
      </c>
      <c r="BW2568" s="4">
        <f>_xlfn.IFNA(VLOOKUP(Grandview_Inventory[[#This Row],[living_area_range]],Lookups!$F$47:$H$56,3,FALSE),1)</f>
        <v>1</v>
      </c>
      <c r="BX2568" s="4">
        <f>AVERAGE(Grandview_Inventory[[#This Row],[qual_adj]:[size_adj]])</f>
        <v>1</v>
      </c>
      <c r="BY2568" s="6">
        <f>IF(Grandview_Inventory[[#This Row],[pre_res]]&lt;0,0,Grandview_Inventory[[#This Row],[pre_res]]*Grandview_Inventory[[#This Row],[overall_adj]])</f>
        <v>0</v>
      </c>
      <c r="BZ2568" s="6">
        <f>(Grandview_Inventory[[#This Row],[sum_land]]-IF(Grandview_Inventory[[#This Row],[no_utilities]]=1,12000,0))/IF(Grandview_Inventory[[#This Row],[unbuildable]]=1,2,1)</f>
        <v>46638.847281240982</v>
      </c>
      <c r="CA256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68">
        <f>ROUND(Grandview_Inventory[[#This Row],[det_value]]*Lookups!$M$28,-2)</f>
        <v>0</v>
      </c>
      <c r="CC256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8">
        <f>Grandview_Inventory[[#This Row],[final_det]]+Grandview_Inventory[[#This Row],[final_res]]</f>
        <v>0</v>
      </c>
      <c r="CE2568">
        <f>Grandview_Inventory[[#This Row],[final_land]]+Grandview_Inventory[[#This Row],[final_imp]]+Grandview_Inventory[[#This Row],[crop_value]]</f>
        <v>44300</v>
      </c>
      <c r="CG2568" t="str">
        <f t="shared" si="40"/>
        <v>update valuation set market_land =44300, market_bldg=0, market_total =44300, market_mdno =401, market_date ='9/10/2023' where link_id = (select link_id from parcel where parcel_year = '2024' and parcel_id = '23091423424');</v>
      </c>
    </row>
    <row r="2569" spans="1:85" x14ac:dyDescent="0.25">
      <c r="A2569">
        <v>23091423425</v>
      </c>
      <c r="B2569" t="s">
        <v>129</v>
      </c>
      <c r="C2569">
        <v>7545</v>
      </c>
      <c r="D2569" t="s">
        <v>129</v>
      </c>
      <c r="E2569" t="s">
        <v>53</v>
      </c>
      <c r="F2569" t="s">
        <v>53</v>
      </c>
      <c r="G2569">
        <v>4</v>
      </c>
      <c r="H2569" t="s">
        <v>54</v>
      </c>
      <c r="I2569" t="s">
        <v>129</v>
      </c>
      <c r="J2569" t="s">
        <v>129</v>
      </c>
      <c r="K2569">
        <v>0.17</v>
      </c>
      <c r="L256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569">
        <v>0</v>
      </c>
      <c r="N2569">
        <v>0</v>
      </c>
      <c r="O2569">
        <v>0</v>
      </c>
      <c r="P2569">
        <v>13398.7528</v>
      </c>
      <c r="Q2569">
        <v>63903</v>
      </c>
      <c r="R2569">
        <f>(Grandview_Inventory[[#This Row],[ln_acres]]*Grandview_Inventory[[#This Row],[coeff]])+Grandview_Inventory[[#This Row],[const]]</f>
        <v>40160.988302686128</v>
      </c>
      <c r="AY2569">
        <v>0</v>
      </c>
      <c r="AZ2569">
        <v>0</v>
      </c>
      <c r="BE2569">
        <v>0</v>
      </c>
      <c r="BF2569">
        <v>15000</v>
      </c>
      <c r="BG2569">
        <v>0</v>
      </c>
      <c r="BH2569" s="6">
        <f>Grandview_Inventory[[#This Row],[land_extract]]*Lookups!$B$3</f>
        <v>46638.847281240982</v>
      </c>
      <c r="BI2569" s="6">
        <f>IF(Grandview_Inventory[[#This Row],[bldg_style]]="",0,Lookups!$B$2)</f>
        <v>0</v>
      </c>
      <c r="BJ2569" s="6">
        <f>_xlfn.IFNA(VLOOKUP(Grandview_Inventory[[#This Row],[quality]],Lookups!$H$2:$J$14,3,FALSE),0)</f>
        <v>0</v>
      </c>
      <c r="BK2569" s="6">
        <f>_xlfn.IFNA(VLOOKUP(Grandview_Inventory[[#This Row],[condition]],Lookups!$H$17:$J$24,3,FALSE),0)</f>
        <v>0</v>
      </c>
      <c r="BL2569" s="6">
        <f>Grandview_Inventory[[#This Row],[Eff_Age]]*Lookups!$B$14</f>
        <v>0</v>
      </c>
      <c r="BM2569" s="6">
        <f>Grandview_Inventory[[#This Row],[living_area]]*Lookups!$B$15</f>
        <v>0</v>
      </c>
      <c r="BN2569" s="6">
        <f>Grandview_Inventory[[#This Row],[Fin BSMT]]*Lookups!$B$16</f>
        <v>0</v>
      </c>
      <c r="BO2569" s="6">
        <f>(Grandview_Inventory[[#This Row],[att_gar]]+Grandview_Inventory[[#This Row],[bltin_gar]])*Lookups!$B$17</f>
        <v>0</v>
      </c>
      <c r="BP2569" s="6">
        <f>Grandview_Inventory[[#This Row],[Plumbing Fixtures]]*Lookups!$B$18</f>
        <v>0</v>
      </c>
      <c r="BQ2569" s="6">
        <f>Grandview_Inventory[[#This Row],[detatched_value]]*Lookups!$B$19</f>
        <v>0</v>
      </c>
      <c r="BR2569" s="6">
        <f>SUM(Grandview_Inventory[[#This Row],[Intercept]:[det_value]])*Grandview_Inventory[[#This Row],[res_pct]]</f>
        <v>0</v>
      </c>
      <c r="BS2569" s="6">
        <f>Grandview_Inventory[[#This Row],[land_value]]</f>
        <v>46638.847281240982</v>
      </c>
      <c r="BT2569" s="4">
        <f>_xlfn.IFNA(VLOOKUP(Grandview_Inventory[[#This Row],[quality]],Lookups!$A$26:$C$33,3,FALSE),1)</f>
        <v>1</v>
      </c>
      <c r="BU2569" s="4">
        <f>_xlfn.IFNA(VLOOKUP(Grandview_Inventory[[#This Row],[condition]],Lookups!$A$37:$C$44,3,FALSE),1)</f>
        <v>1</v>
      </c>
      <c r="BV2569" s="4">
        <f>IF(Grandview_Inventory[[#This Row],[bldg_style]]="",1,_xlfn.IFNA(VLOOKUP(Grandview_Inventory[[#This Row],[decade]],Lookups!$F$29:$H$43,3,FALSE),1))</f>
        <v>1</v>
      </c>
      <c r="BW2569" s="4">
        <f>_xlfn.IFNA(VLOOKUP(Grandview_Inventory[[#This Row],[living_area_range]],Lookups!$F$47:$H$56,3,FALSE),1)</f>
        <v>1</v>
      </c>
      <c r="BX2569" s="4">
        <f>AVERAGE(Grandview_Inventory[[#This Row],[qual_adj]:[size_adj]])</f>
        <v>1</v>
      </c>
      <c r="BY2569" s="6">
        <f>IF(Grandview_Inventory[[#This Row],[pre_res]]&lt;0,0,Grandview_Inventory[[#This Row],[pre_res]]*Grandview_Inventory[[#This Row],[overall_adj]])</f>
        <v>0</v>
      </c>
      <c r="BZ2569" s="6">
        <f>(Grandview_Inventory[[#This Row],[sum_land]]-IF(Grandview_Inventory[[#This Row],[no_utilities]]=1,12000,0))/IF(Grandview_Inventory[[#This Row],[unbuildable]]=1,2,1)</f>
        <v>46638.847281240982</v>
      </c>
      <c r="CA256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569">
        <f>ROUND(Grandview_Inventory[[#This Row],[det_value]]*Lookups!$M$28,-2)</f>
        <v>0</v>
      </c>
      <c r="CC256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69">
        <f>Grandview_Inventory[[#This Row],[final_det]]+Grandview_Inventory[[#This Row],[final_res]]</f>
        <v>0</v>
      </c>
      <c r="CE2569">
        <f>Grandview_Inventory[[#This Row],[final_land]]+Grandview_Inventory[[#This Row],[final_imp]]+Grandview_Inventory[[#This Row],[crop_value]]</f>
        <v>44300</v>
      </c>
      <c r="CG2569" t="str">
        <f t="shared" si="40"/>
        <v>update valuation set market_land =44300, market_bldg=0, market_total =44300, market_mdno =401, market_date ='9/10/2023' where link_id = (select link_id from parcel where parcel_year = '2024' and parcel_id = '23091423425');</v>
      </c>
    </row>
    <row r="2570" spans="1:85" x14ac:dyDescent="0.25">
      <c r="A2570">
        <v>23091423426</v>
      </c>
      <c r="B2570" t="s">
        <v>129</v>
      </c>
      <c r="C2570">
        <v>8306</v>
      </c>
      <c r="D2570" t="s">
        <v>129</v>
      </c>
      <c r="E2570" t="s">
        <v>53</v>
      </c>
      <c r="F2570" t="s">
        <v>53</v>
      </c>
      <c r="G2570">
        <v>4</v>
      </c>
      <c r="H2570" t="s">
        <v>54</v>
      </c>
      <c r="I2570" t="s">
        <v>129</v>
      </c>
      <c r="J2570" t="s">
        <v>129</v>
      </c>
      <c r="K2570">
        <v>0.19</v>
      </c>
      <c r="L257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570">
        <v>0</v>
      </c>
      <c r="N2570">
        <v>0</v>
      </c>
      <c r="O2570">
        <v>0</v>
      </c>
      <c r="P2570">
        <v>13398.7528</v>
      </c>
      <c r="Q2570">
        <v>63903</v>
      </c>
      <c r="R2570">
        <f>(Grandview_Inventory[[#This Row],[ln_acres]]*Grandview_Inventory[[#This Row],[coeff]])+Grandview_Inventory[[#This Row],[const]]</f>
        <v>41651.273092551026</v>
      </c>
      <c r="AY2570">
        <v>0</v>
      </c>
      <c r="AZ2570">
        <v>0</v>
      </c>
      <c r="BE2570">
        <v>0</v>
      </c>
      <c r="BF2570">
        <v>15000</v>
      </c>
      <c r="BG2570">
        <v>0</v>
      </c>
      <c r="BH2570" s="6">
        <f>Grandview_Inventory[[#This Row],[land_extract]]*Lookups!$B$3</f>
        <v>48369.510983942157</v>
      </c>
      <c r="BI2570" s="6">
        <f>IF(Grandview_Inventory[[#This Row],[bldg_style]]="",0,Lookups!$B$2)</f>
        <v>0</v>
      </c>
      <c r="BJ2570" s="6">
        <f>_xlfn.IFNA(VLOOKUP(Grandview_Inventory[[#This Row],[quality]],Lookups!$H$2:$J$14,3,FALSE),0)</f>
        <v>0</v>
      </c>
      <c r="BK2570" s="6">
        <f>_xlfn.IFNA(VLOOKUP(Grandview_Inventory[[#This Row],[condition]],Lookups!$H$17:$J$24,3,FALSE),0)</f>
        <v>0</v>
      </c>
      <c r="BL2570" s="6">
        <f>Grandview_Inventory[[#This Row],[Eff_Age]]*Lookups!$B$14</f>
        <v>0</v>
      </c>
      <c r="BM2570" s="6">
        <f>Grandview_Inventory[[#This Row],[living_area]]*Lookups!$B$15</f>
        <v>0</v>
      </c>
      <c r="BN2570" s="6">
        <f>Grandview_Inventory[[#This Row],[Fin BSMT]]*Lookups!$B$16</f>
        <v>0</v>
      </c>
      <c r="BO2570" s="6">
        <f>(Grandview_Inventory[[#This Row],[att_gar]]+Grandview_Inventory[[#This Row],[bltin_gar]])*Lookups!$B$17</f>
        <v>0</v>
      </c>
      <c r="BP2570" s="6">
        <f>Grandview_Inventory[[#This Row],[Plumbing Fixtures]]*Lookups!$B$18</f>
        <v>0</v>
      </c>
      <c r="BQ2570" s="6">
        <f>Grandview_Inventory[[#This Row],[detatched_value]]*Lookups!$B$19</f>
        <v>0</v>
      </c>
      <c r="BR2570" s="6">
        <f>SUM(Grandview_Inventory[[#This Row],[Intercept]:[det_value]])*Grandview_Inventory[[#This Row],[res_pct]]</f>
        <v>0</v>
      </c>
      <c r="BS2570" s="6">
        <f>Grandview_Inventory[[#This Row],[land_value]]</f>
        <v>48369.510983942157</v>
      </c>
      <c r="BT2570" s="4">
        <f>_xlfn.IFNA(VLOOKUP(Grandview_Inventory[[#This Row],[quality]],Lookups!$A$26:$C$33,3,FALSE),1)</f>
        <v>1</v>
      </c>
      <c r="BU2570" s="4">
        <f>_xlfn.IFNA(VLOOKUP(Grandview_Inventory[[#This Row],[condition]],Lookups!$A$37:$C$44,3,FALSE),1)</f>
        <v>1</v>
      </c>
      <c r="BV2570" s="4">
        <f>IF(Grandview_Inventory[[#This Row],[bldg_style]]="",1,_xlfn.IFNA(VLOOKUP(Grandview_Inventory[[#This Row],[decade]],Lookups!$F$29:$H$43,3,FALSE),1))</f>
        <v>1</v>
      </c>
      <c r="BW2570" s="4">
        <f>_xlfn.IFNA(VLOOKUP(Grandview_Inventory[[#This Row],[living_area_range]],Lookups!$F$47:$H$56,3,FALSE),1)</f>
        <v>1</v>
      </c>
      <c r="BX2570" s="4">
        <f>AVERAGE(Grandview_Inventory[[#This Row],[qual_adj]:[size_adj]])</f>
        <v>1</v>
      </c>
      <c r="BY2570" s="6">
        <f>IF(Grandview_Inventory[[#This Row],[pre_res]]&lt;0,0,Grandview_Inventory[[#This Row],[pre_res]]*Grandview_Inventory[[#This Row],[overall_adj]])</f>
        <v>0</v>
      </c>
      <c r="BZ2570" s="6">
        <f>(Grandview_Inventory[[#This Row],[sum_land]]-IF(Grandview_Inventory[[#This Row],[no_utilities]]=1,12000,0))/IF(Grandview_Inventory[[#This Row],[unbuildable]]=1,2,1)</f>
        <v>48369.510983942157</v>
      </c>
      <c r="CA257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570">
        <f>ROUND(Grandview_Inventory[[#This Row],[det_value]]*Lookups!$M$28,-2)</f>
        <v>0</v>
      </c>
      <c r="CC257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0">
        <f>Grandview_Inventory[[#This Row],[final_det]]+Grandview_Inventory[[#This Row],[final_res]]</f>
        <v>0</v>
      </c>
      <c r="CE2570">
        <f>Grandview_Inventory[[#This Row],[final_land]]+Grandview_Inventory[[#This Row],[final_imp]]+Grandview_Inventory[[#This Row],[crop_value]]</f>
        <v>46000</v>
      </c>
      <c r="CG2570" t="str">
        <f t="shared" si="40"/>
        <v>update valuation set market_land =46000, market_bldg=0, market_total =46000, market_mdno =401, market_date ='9/10/2023' where link_id = (select link_id from parcel where parcel_year = '2024' and parcel_id = '23091423426');</v>
      </c>
    </row>
    <row r="2571" spans="1:85" x14ac:dyDescent="0.25">
      <c r="A2571">
        <v>23091423427</v>
      </c>
      <c r="B2571" t="s">
        <v>129</v>
      </c>
      <c r="C2571">
        <v>9861</v>
      </c>
      <c r="D2571" t="s">
        <v>129</v>
      </c>
      <c r="E2571" t="s">
        <v>53</v>
      </c>
      <c r="F2571" t="s">
        <v>53</v>
      </c>
      <c r="G2571">
        <v>4</v>
      </c>
      <c r="H2571" t="s">
        <v>54</v>
      </c>
      <c r="I2571" t="s">
        <v>129</v>
      </c>
      <c r="J2571" t="s">
        <v>129</v>
      </c>
      <c r="K2571">
        <v>0.23</v>
      </c>
      <c r="L2571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571">
        <v>0</v>
      </c>
      <c r="N2571">
        <v>0</v>
      </c>
      <c r="O2571">
        <v>0</v>
      </c>
      <c r="P2571">
        <v>13398.7528</v>
      </c>
      <c r="Q2571">
        <v>63903</v>
      </c>
      <c r="R2571">
        <f>(Grandview_Inventory[[#This Row],[ln_acres]]*Grandview_Inventory[[#This Row],[coeff]])+Grandview_Inventory[[#This Row],[const]]</f>
        <v>44211.174981080039</v>
      </c>
      <c r="AY2571">
        <v>0</v>
      </c>
      <c r="AZ2571">
        <v>0</v>
      </c>
      <c r="BE2571">
        <v>0</v>
      </c>
      <c r="BF2571">
        <v>15000</v>
      </c>
      <c r="BG2571">
        <v>0</v>
      </c>
      <c r="BH2571" s="6">
        <f>Grandview_Inventory[[#This Row],[land_extract]]*Lookups!$B$3</f>
        <v>51342.318135355803</v>
      </c>
      <c r="BI2571" s="6">
        <f>IF(Grandview_Inventory[[#This Row],[bldg_style]]="",0,Lookups!$B$2)</f>
        <v>0</v>
      </c>
      <c r="BJ2571" s="6">
        <f>_xlfn.IFNA(VLOOKUP(Grandview_Inventory[[#This Row],[quality]],Lookups!$H$2:$J$14,3,FALSE),0)</f>
        <v>0</v>
      </c>
      <c r="BK2571" s="6">
        <f>_xlfn.IFNA(VLOOKUP(Grandview_Inventory[[#This Row],[condition]],Lookups!$H$17:$J$24,3,FALSE),0)</f>
        <v>0</v>
      </c>
      <c r="BL2571" s="6">
        <f>Grandview_Inventory[[#This Row],[Eff_Age]]*Lookups!$B$14</f>
        <v>0</v>
      </c>
      <c r="BM2571" s="6">
        <f>Grandview_Inventory[[#This Row],[living_area]]*Lookups!$B$15</f>
        <v>0</v>
      </c>
      <c r="BN2571" s="6">
        <f>Grandview_Inventory[[#This Row],[Fin BSMT]]*Lookups!$B$16</f>
        <v>0</v>
      </c>
      <c r="BO2571" s="6">
        <f>(Grandview_Inventory[[#This Row],[att_gar]]+Grandview_Inventory[[#This Row],[bltin_gar]])*Lookups!$B$17</f>
        <v>0</v>
      </c>
      <c r="BP2571" s="6">
        <f>Grandview_Inventory[[#This Row],[Plumbing Fixtures]]*Lookups!$B$18</f>
        <v>0</v>
      </c>
      <c r="BQ2571" s="6">
        <f>Grandview_Inventory[[#This Row],[detatched_value]]*Lookups!$B$19</f>
        <v>0</v>
      </c>
      <c r="BR2571" s="6">
        <f>SUM(Grandview_Inventory[[#This Row],[Intercept]:[det_value]])*Grandview_Inventory[[#This Row],[res_pct]]</f>
        <v>0</v>
      </c>
      <c r="BS2571" s="6">
        <f>Grandview_Inventory[[#This Row],[land_value]]</f>
        <v>51342.318135355803</v>
      </c>
      <c r="BT2571" s="4">
        <f>_xlfn.IFNA(VLOOKUP(Grandview_Inventory[[#This Row],[quality]],Lookups!$A$26:$C$33,3,FALSE),1)</f>
        <v>1</v>
      </c>
      <c r="BU2571" s="4">
        <f>_xlfn.IFNA(VLOOKUP(Grandview_Inventory[[#This Row],[condition]],Lookups!$A$37:$C$44,3,FALSE),1)</f>
        <v>1</v>
      </c>
      <c r="BV2571" s="4">
        <f>IF(Grandview_Inventory[[#This Row],[bldg_style]]="",1,_xlfn.IFNA(VLOOKUP(Grandview_Inventory[[#This Row],[decade]],Lookups!$F$29:$H$43,3,FALSE),1))</f>
        <v>1</v>
      </c>
      <c r="BW2571" s="4">
        <f>_xlfn.IFNA(VLOOKUP(Grandview_Inventory[[#This Row],[living_area_range]],Lookups!$F$47:$H$56,3,FALSE),1)</f>
        <v>1</v>
      </c>
      <c r="BX2571" s="4">
        <f>AVERAGE(Grandview_Inventory[[#This Row],[qual_adj]:[size_adj]])</f>
        <v>1</v>
      </c>
      <c r="BY2571" s="6">
        <f>IF(Grandview_Inventory[[#This Row],[pre_res]]&lt;0,0,Grandview_Inventory[[#This Row],[pre_res]]*Grandview_Inventory[[#This Row],[overall_adj]])</f>
        <v>0</v>
      </c>
      <c r="BZ2571" s="6">
        <f>(Grandview_Inventory[[#This Row],[sum_land]]-IF(Grandview_Inventory[[#This Row],[no_utilities]]=1,12000,0))/IF(Grandview_Inventory[[#This Row],[unbuildable]]=1,2,1)</f>
        <v>51342.318135355803</v>
      </c>
      <c r="CA2571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571">
        <f>ROUND(Grandview_Inventory[[#This Row],[det_value]]*Lookups!$M$28,-2)</f>
        <v>0</v>
      </c>
      <c r="CC257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1">
        <f>Grandview_Inventory[[#This Row],[final_det]]+Grandview_Inventory[[#This Row],[final_res]]</f>
        <v>0</v>
      </c>
      <c r="CE2571">
        <f>Grandview_Inventory[[#This Row],[final_land]]+Grandview_Inventory[[#This Row],[final_imp]]+Grandview_Inventory[[#This Row],[crop_value]]</f>
        <v>48800</v>
      </c>
      <c r="CG2571" t="str">
        <f t="shared" si="40"/>
        <v>update valuation set market_land =48800, market_bldg=0, market_total =48800, market_mdno =401, market_date ='9/10/2023' where link_id = (select link_id from parcel where parcel_year = '2024' and parcel_id = '23091423427');</v>
      </c>
    </row>
    <row r="2572" spans="1:85" x14ac:dyDescent="0.25">
      <c r="A2572">
        <v>23091423428</v>
      </c>
      <c r="B2572" t="s">
        <v>129</v>
      </c>
      <c r="C2572">
        <v>8011</v>
      </c>
      <c r="D2572" t="s">
        <v>129</v>
      </c>
      <c r="E2572" t="s">
        <v>53</v>
      </c>
      <c r="F2572" t="s">
        <v>53</v>
      </c>
      <c r="G2572">
        <v>4</v>
      </c>
      <c r="H2572" t="s">
        <v>54</v>
      </c>
      <c r="I2572" t="s">
        <v>129</v>
      </c>
      <c r="J2572" t="s">
        <v>129</v>
      </c>
      <c r="K2572">
        <v>0.18</v>
      </c>
      <c r="L257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72">
        <v>0</v>
      </c>
      <c r="N2572">
        <v>0</v>
      </c>
      <c r="O2572">
        <v>0</v>
      </c>
      <c r="P2572">
        <v>13398.7528</v>
      </c>
      <c r="Q2572">
        <v>63903</v>
      </c>
      <c r="R2572">
        <f>(Grandview_Inventory[[#This Row],[ln_acres]]*Grandview_Inventory[[#This Row],[coeff]])+Grandview_Inventory[[#This Row],[const]]</f>
        <v>40926.839760167699</v>
      </c>
      <c r="AY2572">
        <v>0</v>
      </c>
      <c r="AZ2572">
        <v>0</v>
      </c>
      <c r="BE2572">
        <v>0</v>
      </c>
      <c r="BF2572">
        <v>15000</v>
      </c>
      <c r="BG2572">
        <v>0</v>
      </c>
      <c r="BH2572" s="6">
        <f>Grandview_Inventory[[#This Row],[land_extract]]*Lookups!$B$3</f>
        <v>47528.228511015397</v>
      </c>
      <c r="BI2572" s="6">
        <f>IF(Grandview_Inventory[[#This Row],[bldg_style]]="",0,Lookups!$B$2)</f>
        <v>0</v>
      </c>
      <c r="BJ2572" s="6">
        <f>_xlfn.IFNA(VLOOKUP(Grandview_Inventory[[#This Row],[quality]],Lookups!$H$2:$J$14,3,FALSE),0)</f>
        <v>0</v>
      </c>
      <c r="BK2572" s="6">
        <f>_xlfn.IFNA(VLOOKUP(Grandview_Inventory[[#This Row],[condition]],Lookups!$H$17:$J$24,3,FALSE),0)</f>
        <v>0</v>
      </c>
      <c r="BL2572" s="6">
        <f>Grandview_Inventory[[#This Row],[Eff_Age]]*Lookups!$B$14</f>
        <v>0</v>
      </c>
      <c r="BM2572" s="6">
        <f>Grandview_Inventory[[#This Row],[living_area]]*Lookups!$B$15</f>
        <v>0</v>
      </c>
      <c r="BN2572" s="6">
        <f>Grandview_Inventory[[#This Row],[Fin BSMT]]*Lookups!$B$16</f>
        <v>0</v>
      </c>
      <c r="BO2572" s="6">
        <f>(Grandview_Inventory[[#This Row],[att_gar]]+Grandview_Inventory[[#This Row],[bltin_gar]])*Lookups!$B$17</f>
        <v>0</v>
      </c>
      <c r="BP2572" s="6">
        <f>Grandview_Inventory[[#This Row],[Plumbing Fixtures]]*Lookups!$B$18</f>
        <v>0</v>
      </c>
      <c r="BQ2572" s="6">
        <f>Grandview_Inventory[[#This Row],[detatched_value]]*Lookups!$B$19</f>
        <v>0</v>
      </c>
      <c r="BR2572" s="6">
        <f>SUM(Grandview_Inventory[[#This Row],[Intercept]:[det_value]])*Grandview_Inventory[[#This Row],[res_pct]]</f>
        <v>0</v>
      </c>
      <c r="BS2572" s="6">
        <f>Grandview_Inventory[[#This Row],[land_value]]</f>
        <v>47528.228511015397</v>
      </c>
      <c r="BT2572" s="4">
        <f>_xlfn.IFNA(VLOOKUP(Grandview_Inventory[[#This Row],[quality]],Lookups!$A$26:$C$33,3,FALSE),1)</f>
        <v>1</v>
      </c>
      <c r="BU2572" s="4">
        <f>_xlfn.IFNA(VLOOKUP(Grandview_Inventory[[#This Row],[condition]],Lookups!$A$37:$C$44,3,FALSE),1)</f>
        <v>1</v>
      </c>
      <c r="BV2572" s="4">
        <f>IF(Grandview_Inventory[[#This Row],[bldg_style]]="",1,_xlfn.IFNA(VLOOKUP(Grandview_Inventory[[#This Row],[decade]],Lookups!$F$29:$H$43,3,FALSE),1))</f>
        <v>1</v>
      </c>
      <c r="BW2572" s="4">
        <f>_xlfn.IFNA(VLOOKUP(Grandview_Inventory[[#This Row],[living_area_range]],Lookups!$F$47:$H$56,3,FALSE),1)</f>
        <v>1</v>
      </c>
      <c r="BX2572" s="4">
        <f>AVERAGE(Grandview_Inventory[[#This Row],[qual_adj]:[size_adj]])</f>
        <v>1</v>
      </c>
      <c r="BY2572" s="6">
        <f>IF(Grandview_Inventory[[#This Row],[pre_res]]&lt;0,0,Grandview_Inventory[[#This Row],[pre_res]]*Grandview_Inventory[[#This Row],[overall_adj]])</f>
        <v>0</v>
      </c>
      <c r="BZ2572" s="6">
        <f>(Grandview_Inventory[[#This Row],[sum_land]]-IF(Grandview_Inventory[[#This Row],[no_utilities]]=1,12000,0))/IF(Grandview_Inventory[[#This Row],[unbuildable]]=1,2,1)</f>
        <v>47528.228511015397</v>
      </c>
      <c r="CA257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72">
        <f>ROUND(Grandview_Inventory[[#This Row],[det_value]]*Lookups!$M$28,-2)</f>
        <v>0</v>
      </c>
      <c r="CC257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2">
        <f>Grandview_Inventory[[#This Row],[final_det]]+Grandview_Inventory[[#This Row],[final_res]]</f>
        <v>0</v>
      </c>
      <c r="CE2572">
        <f>Grandview_Inventory[[#This Row],[final_land]]+Grandview_Inventory[[#This Row],[final_imp]]+Grandview_Inventory[[#This Row],[crop_value]]</f>
        <v>45200</v>
      </c>
      <c r="CG2572" t="str">
        <f t="shared" si="40"/>
        <v>update valuation set market_land =45200, market_bldg=0, market_total =45200, market_mdno =401, market_date ='9/10/2023' where link_id = (select link_id from parcel where parcel_year = '2024' and parcel_id = '23091423428');</v>
      </c>
    </row>
    <row r="2573" spans="1:85" x14ac:dyDescent="0.25">
      <c r="A2573">
        <v>23091423429</v>
      </c>
      <c r="B2573" t="s">
        <v>129</v>
      </c>
      <c r="C2573">
        <v>8011</v>
      </c>
      <c r="D2573" t="s">
        <v>129</v>
      </c>
      <c r="E2573" t="s">
        <v>53</v>
      </c>
      <c r="F2573" t="s">
        <v>53</v>
      </c>
      <c r="G2573">
        <v>4</v>
      </c>
      <c r="H2573" t="s">
        <v>54</v>
      </c>
      <c r="I2573" t="s">
        <v>129</v>
      </c>
      <c r="J2573" t="s">
        <v>129</v>
      </c>
      <c r="K2573">
        <v>0.18</v>
      </c>
      <c r="L257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73">
        <v>0</v>
      </c>
      <c r="N2573">
        <v>0</v>
      </c>
      <c r="O2573">
        <v>0</v>
      </c>
      <c r="P2573">
        <v>13398.7528</v>
      </c>
      <c r="Q2573">
        <v>63903</v>
      </c>
      <c r="R2573">
        <f>(Grandview_Inventory[[#This Row],[ln_acres]]*Grandview_Inventory[[#This Row],[coeff]])+Grandview_Inventory[[#This Row],[const]]</f>
        <v>40926.839760167699</v>
      </c>
      <c r="AY2573">
        <v>0</v>
      </c>
      <c r="AZ2573">
        <v>0</v>
      </c>
      <c r="BE2573">
        <v>0</v>
      </c>
      <c r="BF2573">
        <v>15000</v>
      </c>
      <c r="BG2573">
        <v>0</v>
      </c>
      <c r="BH2573" s="6">
        <f>Grandview_Inventory[[#This Row],[land_extract]]*Lookups!$B$3</f>
        <v>47528.228511015397</v>
      </c>
      <c r="BI2573" s="6">
        <f>IF(Grandview_Inventory[[#This Row],[bldg_style]]="",0,Lookups!$B$2)</f>
        <v>0</v>
      </c>
      <c r="BJ2573" s="6">
        <f>_xlfn.IFNA(VLOOKUP(Grandview_Inventory[[#This Row],[quality]],Lookups!$H$2:$J$14,3,FALSE),0)</f>
        <v>0</v>
      </c>
      <c r="BK2573" s="6">
        <f>_xlfn.IFNA(VLOOKUP(Grandview_Inventory[[#This Row],[condition]],Lookups!$H$17:$J$24,3,FALSE),0)</f>
        <v>0</v>
      </c>
      <c r="BL2573" s="6">
        <f>Grandview_Inventory[[#This Row],[Eff_Age]]*Lookups!$B$14</f>
        <v>0</v>
      </c>
      <c r="BM2573" s="6">
        <f>Grandview_Inventory[[#This Row],[living_area]]*Lookups!$B$15</f>
        <v>0</v>
      </c>
      <c r="BN2573" s="6">
        <f>Grandview_Inventory[[#This Row],[Fin BSMT]]*Lookups!$B$16</f>
        <v>0</v>
      </c>
      <c r="BO2573" s="6">
        <f>(Grandview_Inventory[[#This Row],[att_gar]]+Grandview_Inventory[[#This Row],[bltin_gar]])*Lookups!$B$17</f>
        <v>0</v>
      </c>
      <c r="BP2573" s="6">
        <f>Grandview_Inventory[[#This Row],[Plumbing Fixtures]]*Lookups!$B$18</f>
        <v>0</v>
      </c>
      <c r="BQ2573" s="6">
        <f>Grandview_Inventory[[#This Row],[detatched_value]]*Lookups!$B$19</f>
        <v>0</v>
      </c>
      <c r="BR2573" s="6">
        <f>SUM(Grandview_Inventory[[#This Row],[Intercept]:[det_value]])*Grandview_Inventory[[#This Row],[res_pct]]</f>
        <v>0</v>
      </c>
      <c r="BS2573" s="6">
        <f>Grandview_Inventory[[#This Row],[land_value]]</f>
        <v>47528.228511015397</v>
      </c>
      <c r="BT2573" s="4">
        <f>_xlfn.IFNA(VLOOKUP(Grandview_Inventory[[#This Row],[quality]],Lookups!$A$26:$C$33,3,FALSE),1)</f>
        <v>1</v>
      </c>
      <c r="BU2573" s="4">
        <f>_xlfn.IFNA(VLOOKUP(Grandview_Inventory[[#This Row],[condition]],Lookups!$A$37:$C$44,3,FALSE),1)</f>
        <v>1</v>
      </c>
      <c r="BV2573" s="4">
        <f>IF(Grandview_Inventory[[#This Row],[bldg_style]]="",1,_xlfn.IFNA(VLOOKUP(Grandview_Inventory[[#This Row],[decade]],Lookups!$F$29:$H$43,3,FALSE),1))</f>
        <v>1</v>
      </c>
      <c r="BW2573" s="4">
        <f>_xlfn.IFNA(VLOOKUP(Grandview_Inventory[[#This Row],[living_area_range]],Lookups!$F$47:$H$56,3,FALSE),1)</f>
        <v>1</v>
      </c>
      <c r="BX2573" s="4">
        <f>AVERAGE(Grandview_Inventory[[#This Row],[qual_adj]:[size_adj]])</f>
        <v>1</v>
      </c>
      <c r="BY2573" s="6">
        <f>IF(Grandview_Inventory[[#This Row],[pre_res]]&lt;0,0,Grandview_Inventory[[#This Row],[pre_res]]*Grandview_Inventory[[#This Row],[overall_adj]])</f>
        <v>0</v>
      </c>
      <c r="BZ2573" s="6">
        <f>(Grandview_Inventory[[#This Row],[sum_land]]-IF(Grandview_Inventory[[#This Row],[no_utilities]]=1,12000,0))/IF(Grandview_Inventory[[#This Row],[unbuildable]]=1,2,1)</f>
        <v>47528.228511015397</v>
      </c>
      <c r="CA257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73">
        <f>ROUND(Grandview_Inventory[[#This Row],[det_value]]*Lookups!$M$28,-2)</f>
        <v>0</v>
      </c>
      <c r="CC257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3">
        <f>Grandview_Inventory[[#This Row],[final_det]]+Grandview_Inventory[[#This Row],[final_res]]</f>
        <v>0</v>
      </c>
      <c r="CE2573">
        <f>Grandview_Inventory[[#This Row],[final_land]]+Grandview_Inventory[[#This Row],[final_imp]]+Grandview_Inventory[[#This Row],[crop_value]]</f>
        <v>45200</v>
      </c>
      <c r="CG2573" t="str">
        <f t="shared" si="40"/>
        <v>update valuation set market_land =45200, market_bldg=0, market_total =45200, market_mdno =401, market_date ='9/10/2023' where link_id = (select link_id from parcel where parcel_year = '2024' and parcel_id = '23091423429');</v>
      </c>
    </row>
    <row r="2574" spans="1:85" x14ac:dyDescent="0.25">
      <c r="A2574">
        <v>23091423430</v>
      </c>
      <c r="B2574" t="s">
        <v>129</v>
      </c>
      <c r="C2574">
        <v>8011</v>
      </c>
      <c r="D2574" t="s">
        <v>129</v>
      </c>
      <c r="E2574" t="s">
        <v>53</v>
      </c>
      <c r="F2574" t="s">
        <v>53</v>
      </c>
      <c r="G2574">
        <v>4</v>
      </c>
      <c r="H2574" t="s">
        <v>54</v>
      </c>
      <c r="I2574" t="s">
        <v>129</v>
      </c>
      <c r="J2574" t="s">
        <v>129</v>
      </c>
      <c r="K2574">
        <v>0.18</v>
      </c>
      <c r="L257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74">
        <v>0</v>
      </c>
      <c r="N2574">
        <v>0</v>
      </c>
      <c r="O2574">
        <v>0</v>
      </c>
      <c r="P2574">
        <v>13398.7528</v>
      </c>
      <c r="Q2574">
        <v>63903</v>
      </c>
      <c r="R2574">
        <f>(Grandview_Inventory[[#This Row],[ln_acres]]*Grandview_Inventory[[#This Row],[coeff]])+Grandview_Inventory[[#This Row],[const]]</f>
        <v>40926.839760167699</v>
      </c>
      <c r="AY2574">
        <v>0</v>
      </c>
      <c r="AZ2574">
        <v>0</v>
      </c>
      <c r="BE2574">
        <v>0</v>
      </c>
      <c r="BF2574">
        <v>15000</v>
      </c>
      <c r="BG2574">
        <v>0</v>
      </c>
      <c r="BH2574" s="6">
        <f>Grandview_Inventory[[#This Row],[land_extract]]*Lookups!$B$3</f>
        <v>47528.228511015397</v>
      </c>
      <c r="BI2574" s="6">
        <f>IF(Grandview_Inventory[[#This Row],[bldg_style]]="",0,Lookups!$B$2)</f>
        <v>0</v>
      </c>
      <c r="BJ2574" s="6">
        <f>_xlfn.IFNA(VLOOKUP(Grandview_Inventory[[#This Row],[quality]],Lookups!$H$2:$J$14,3,FALSE),0)</f>
        <v>0</v>
      </c>
      <c r="BK2574" s="6">
        <f>_xlfn.IFNA(VLOOKUP(Grandview_Inventory[[#This Row],[condition]],Lookups!$H$17:$J$24,3,FALSE),0)</f>
        <v>0</v>
      </c>
      <c r="BL2574" s="6">
        <f>Grandview_Inventory[[#This Row],[Eff_Age]]*Lookups!$B$14</f>
        <v>0</v>
      </c>
      <c r="BM2574" s="6">
        <f>Grandview_Inventory[[#This Row],[living_area]]*Lookups!$B$15</f>
        <v>0</v>
      </c>
      <c r="BN2574" s="6">
        <f>Grandview_Inventory[[#This Row],[Fin BSMT]]*Lookups!$B$16</f>
        <v>0</v>
      </c>
      <c r="BO2574" s="6">
        <f>(Grandview_Inventory[[#This Row],[att_gar]]+Grandview_Inventory[[#This Row],[bltin_gar]])*Lookups!$B$17</f>
        <v>0</v>
      </c>
      <c r="BP2574" s="6">
        <f>Grandview_Inventory[[#This Row],[Plumbing Fixtures]]*Lookups!$B$18</f>
        <v>0</v>
      </c>
      <c r="BQ2574" s="6">
        <f>Grandview_Inventory[[#This Row],[detatched_value]]*Lookups!$B$19</f>
        <v>0</v>
      </c>
      <c r="BR2574" s="6">
        <f>SUM(Grandview_Inventory[[#This Row],[Intercept]:[det_value]])*Grandview_Inventory[[#This Row],[res_pct]]</f>
        <v>0</v>
      </c>
      <c r="BS2574" s="6">
        <f>Grandview_Inventory[[#This Row],[land_value]]</f>
        <v>47528.228511015397</v>
      </c>
      <c r="BT2574" s="4">
        <f>_xlfn.IFNA(VLOOKUP(Grandview_Inventory[[#This Row],[quality]],Lookups!$A$26:$C$33,3,FALSE),1)</f>
        <v>1</v>
      </c>
      <c r="BU2574" s="4">
        <f>_xlfn.IFNA(VLOOKUP(Grandview_Inventory[[#This Row],[condition]],Lookups!$A$37:$C$44,3,FALSE),1)</f>
        <v>1</v>
      </c>
      <c r="BV2574" s="4">
        <f>IF(Grandview_Inventory[[#This Row],[bldg_style]]="",1,_xlfn.IFNA(VLOOKUP(Grandview_Inventory[[#This Row],[decade]],Lookups!$F$29:$H$43,3,FALSE),1))</f>
        <v>1</v>
      </c>
      <c r="BW2574" s="4">
        <f>_xlfn.IFNA(VLOOKUP(Grandview_Inventory[[#This Row],[living_area_range]],Lookups!$F$47:$H$56,3,FALSE),1)</f>
        <v>1</v>
      </c>
      <c r="BX2574" s="4">
        <f>AVERAGE(Grandview_Inventory[[#This Row],[qual_adj]:[size_adj]])</f>
        <v>1</v>
      </c>
      <c r="BY2574" s="6">
        <f>IF(Grandview_Inventory[[#This Row],[pre_res]]&lt;0,0,Grandview_Inventory[[#This Row],[pre_res]]*Grandview_Inventory[[#This Row],[overall_adj]])</f>
        <v>0</v>
      </c>
      <c r="BZ2574" s="6">
        <f>(Grandview_Inventory[[#This Row],[sum_land]]-IF(Grandview_Inventory[[#This Row],[no_utilities]]=1,12000,0))/IF(Grandview_Inventory[[#This Row],[unbuildable]]=1,2,1)</f>
        <v>47528.228511015397</v>
      </c>
      <c r="CA257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74">
        <f>ROUND(Grandview_Inventory[[#This Row],[det_value]]*Lookups!$M$28,-2)</f>
        <v>0</v>
      </c>
      <c r="CC257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4">
        <f>Grandview_Inventory[[#This Row],[final_det]]+Grandview_Inventory[[#This Row],[final_res]]</f>
        <v>0</v>
      </c>
      <c r="CE2574">
        <f>Grandview_Inventory[[#This Row],[final_land]]+Grandview_Inventory[[#This Row],[final_imp]]+Grandview_Inventory[[#This Row],[crop_value]]</f>
        <v>45200</v>
      </c>
      <c r="CG2574" t="str">
        <f t="shared" si="40"/>
        <v>update valuation set market_land =45200, market_bldg=0, market_total =45200, market_mdno =401, market_date ='9/10/2023' where link_id = (select link_id from parcel where parcel_year = '2024' and parcel_id = '23091423430');</v>
      </c>
    </row>
    <row r="2575" spans="1:85" x14ac:dyDescent="0.25">
      <c r="A2575">
        <v>23091423431</v>
      </c>
      <c r="B2575" t="s">
        <v>129</v>
      </c>
      <c r="C2575">
        <v>8011</v>
      </c>
      <c r="D2575" t="s">
        <v>129</v>
      </c>
      <c r="E2575" t="s">
        <v>53</v>
      </c>
      <c r="F2575" t="s">
        <v>53</v>
      </c>
      <c r="G2575">
        <v>4</v>
      </c>
      <c r="H2575" t="s">
        <v>54</v>
      </c>
      <c r="I2575" t="s">
        <v>129</v>
      </c>
      <c r="J2575" t="s">
        <v>129</v>
      </c>
      <c r="K2575">
        <v>0.18</v>
      </c>
      <c r="L257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75">
        <v>0</v>
      </c>
      <c r="N2575">
        <v>0</v>
      </c>
      <c r="O2575">
        <v>0</v>
      </c>
      <c r="P2575">
        <v>13398.7528</v>
      </c>
      <c r="Q2575">
        <v>63903</v>
      </c>
      <c r="R2575">
        <f>(Grandview_Inventory[[#This Row],[ln_acres]]*Grandview_Inventory[[#This Row],[coeff]])+Grandview_Inventory[[#This Row],[const]]</f>
        <v>40926.839760167699</v>
      </c>
      <c r="AY2575">
        <v>0</v>
      </c>
      <c r="AZ2575">
        <v>0</v>
      </c>
      <c r="BE2575">
        <v>0</v>
      </c>
      <c r="BF2575">
        <v>15000</v>
      </c>
      <c r="BG2575">
        <v>0</v>
      </c>
      <c r="BH2575" s="6">
        <f>Grandview_Inventory[[#This Row],[land_extract]]*Lookups!$B$3</f>
        <v>47528.228511015397</v>
      </c>
      <c r="BI2575" s="6">
        <f>IF(Grandview_Inventory[[#This Row],[bldg_style]]="",0,Lookups!$B$2)</f>
        <v>0</v>
      </c>
      <c r="BJ2575" s="6">
        <f>_xlfn.IFNA(VLOOKUP(Grandview_Inventory[[#This Row],[quality]],Lookups!$H$2:$J$14,3,FALSE),0)</f>
        <v>0</v>
      </c>
      <c r="BK2575" s="6">
        <f>_xlfn.IFNA(VLOOKUP(Grandview_Inventory[[#This Row],[condition]],Lookups!$H$17:$J$24,3,FALSE),0)</f>
        <v>0</v>
      </c>
      <c r="BL2575" s="6">
        <f>Grandview_Inventory[[#This Row],[Eff_Age]]*Lookups!$B$14</f>
        <v>0</v>
      </c>
      <c r="BM2575" s="6">
        <f>Grandview_Inventory[[#This Row],[living_area]]*Lookups!$B$15</f>
        <v>0</v>
      </c>
      <c r="BN2575" s="6">
        <f>Grandview_Inventory[[#This Row],[Fin BSMT]]*Lookups!$B$16</f>
        <v>0</v>
      </c>
      <c r="BO2575" s="6">
        <f>(Grandview_Inventory[[#This Row],[att_gar]]+Grandview_Inventory[[#This Row],[bltin_gar]])*Lookups!$B$17</f>
        <v>0</v>
      </c>
      <c r="BP2575" s="6">
        <f>Grandview_Inventory[[#This Row],[Plumbing Fixtures]]*Lookups!$B$18</f>
        <v>0</v>
      </c>
      <c r="BQ2575" s="6">
        <f>Grandview_Inventory[[#This Row],[detatched_value]]*Lookups!$B$19</f>
        <v>0</v>
      </c>
      <c r="BR2575" s="6">
        <f>SUM(Grandview_Inventory[[#This Row],[Intercept]:[det_value]])*Grandview_Inventory[[#This Row],[res_pct]]</f>
        <v>0</v>
      </c>
      <c r="BS2575" s="6">
        <f>Grandview_Inventory[[#This Row],[land_value]]</f>
        <v>47528.228511015397</v>
      </c>
      <c r="BT2575" s="4">
        <f>_xlfn.IFNA(VLOOKUP(Grandview_Inventory[[#This Row],[quality]],Lookups!$A$26:$C$33,3,FALSE),1)</f>
        <v>1</v>
      </c>
      <c r="BU2575" s="4">
        <f>_xlfn.IFNA(VLOOKUP(Grandview_Inventory[[#This Row],[condition]],Lookups!$A$37:$C$44,3,FALSE),1)</f>
        <v>1</v>
      </c>
      <c r="BV2575" s="4">
        <f>IF(Grandview_Inventory[[#This Row],[bldg_style]]="",1,_xlfn.IFNA(VLOOKUP(Grandview_Inventory[[#This Row],[decade]],Lookups!$F$29:$H$43,3,FALSE),1))</f>
        <v>1</v>
      </c>
      <c r="BW2575" s="4">
        <f>_xlfn.IFNA(VLOOKUP(Grandview_Inventory[[#This Row],[living_area_range]],Lookups!$F$47:$H$56,3,FALSE),1)</f>
        <v>1</v>
      </c>
      <c r="BX2575" s="4">
        <f>AVERAGE(Grandview_Inventory[[#This Row],[qual_adj]:[size_adj]])</f>
        <v>1</v>
      </c>
      <c r="BY2575" s="6">
        <f>IF(Grandview_Inventory[[#This Row],[pre_res]]&lt;0,0,Grandview_Inventory[[#This Row],[pre_res]]*Grandview_Inventory[[#This Row],[overall_adj]])</f>
        <v>0</v>
      </c>
      <c r="BZ2575" s="6">
        <f>(Grandview_Inventory[[#This Row],[sum_land]]-IF(Grandview_Inventory[[#This Row],[no_utilities]]=1,12000,0))/IF(Grandview_Inventory[[#This Row],[unbuildable]]=1,2,1)</f>
        <v>47528.228511015397</v>
      </c>
      <c r="CA257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75">
        <f>ROUND(Grandview_Inventory[[#This Row],[det_value]]*Lookups!$M$28,-2)</f>
        <v>0</v>
      </c>
      <c r="CC257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5">
        <f>Grandview_Inventory[[#This Row],[final_det]]+Grandview_Inventory[[#This Row],[final_res]]</f>
        <v>0</v>
      </c>
      <c r="CE2575">
        <f>Grandview_Inventory[[#This Row],[final_land]]+Grandview_Inventory[[#This Row],[final_imp]]+Grandview_Inventory[[#This Row],[crop_value]]</f>
        <v>45200</v>
      </c>
      <c r="CG2575" t="str">
        <f t="shared" si="40"/>
        <v>update valuation set market_land =45200, market_bldg=0, market_total =45200, market_mdno =401, market_date ='9/10/2023' where link_id = (select link_id from parcel where parcel_year = '2024' and parcel_id = '23091423431');</v>
      </c>
    </row>
    <row r="2576" spans="1:85" x14ac:dyDescent="0.25">
      <c r="A2576">
        <v>23091423432</v>
      </c>
      <c r="B2576" t="s">
        <v>129</v>
      </c>
      <c r="C2576">
        <v>8057</v>
      </c>
      <c r="D2576" t="s">
        <v>129</v>
      </c>
      <c r="E2576" t="s">
        <v>53</v>
      </c>
      <c r="F2576" t="s">
        <v>53</v>
      </c>
      <c r="G2576">
        <v>4</v>
      </c>
      <c r="H2576" t="s">
        <v>54</v>
      </c>
      <c r="I2576" t="s">
        <v>129</v>
      </c>
      <c r="J2576" t="s">
        <v>129</v>
      </c>
      <c r="K2576">
        <v>0.18</v>
      </c>
      <c r="L257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576">
        <v>0</v>
      </c>
      <c r="N2576">
        <v>0</v>
      </c>
      <c r="O2576">
        <v>0</v>
      </c>
      <c r="P2576">
        <v>13398.7528</v>
      </c>
      <c r="Q2576">
        <v>63903</v>
      </c>
      <c r="R2576">
        <f>(Grandview_Inventory[[#This Row],[ln_acres]]*Grandview_Inventory[[#This Row],[coeff]])+Grandview_Inventory[[#This Row],[const]]</f>
        <v>40926.839760167699</v>
      </c>
      <c r="AY2576">
        <v>0</v>
      </c>
      <c r="AZ2576">
        <v>0</v>
      </c>
      <c r="BE2576">
        <v>0</v>
      </c>
      <c r="BF2576">
        <v>15000</v>
      </c>
      <c r="BG2576">
        <v>0</v>
      </c>
      <c r="BH2576" s="6">
        <f>Grandview_Inventory[[#This Row],[land_extract]]*Lookups!$B$3</f>
        <v>47528.228511015397</v>
      </c>
      <c r="BI2576" s="6">
        <f>IF(Grandview_Inventory[[#This Row],[bldg_style]]="",0,Lookups!$B$2)</f>
        <v>0</v>
      </c>
      <c r="BJ2576" s="6">
        <f>_xlfn.IFNA(VLOOKUP(Grandview_Inventory[[#This Row],[quality]],Lookups!$H$2:$J$14,3,FALSE),0)</f>
        <v>0</v>
      </c>
      <c r="BK2576" s="6">
        <f>_xlfn.IFNA(VLOOKUP(Grandview_Inventory[[#This Row],[condition]],Lookups!$H$17:$J$24,3,FALSE),0)</f>
        <v>0</v>
      </c>
      <c r="BL2576" s="6">
        <f>Grandview_Inventory[[#This Row],[Eff_Age]]*Lookups!$B$14</f>
        <v>0</v>
      </c>
      <c r="BM2576" s="6">
        <f>Grandview_Inventory[[#This Row],[living_area]]*Lookups!$B$15</f>
        <v>0</v>
      </c>
      <c r="BN2576" s="6">
        <f>Grandview_Inventory[[#This Row],[Fin BSMT]]*Lookups!$B$16</f>
        <v>0</v>
      </c>
      <c r="BO2576" s="6">
        <f>(Grandview_Inventory[[#This Row],[att_gar]]+Grandview_Inventory[[#This Row],[bltin_gar]])*Lookups!$B$17</f>
        <v>0</v>
      </c>
      <c r="BP2576" s="6">
        <f>Grandview_Inventory[[#This Row],[Plumbing Fixtures]]*Lookups!$B$18</f>
        <v>0</v>
      </c>
      <c r="BQ2576" s="6">
        <f>Grandview_Inventory[[#This Row],[detatched_value]]*Lookups!$B$19</f>
        <v>0</v>
      </c>
      <c r="BR2576" s="6">
        <f>SUM(Grandview_Inventory[[#This Row],[Intercept]:[det_value]])*Grandview_Inventory[[#This Row],[res_pct]]</f>
        <v>0</v>
      </c>
      <c r="BS2576" s="6">
        <f>Grandview_Inventory[[#This Row],[land_value]]</f>
        <v>47528.228511015397</v>
      </c>
      <c r="BT2576" s="4">
        <f>_xlfn.IFNA(VLOOKUP(Grandview_Inventory[[#This Row],[quality]],Lookups!$A$26:$C$33,3,FALSE),1)</f>
        <v>1</v>
      </c>
      <c r="BU2576" s="4">
        <f>_xlfn.IFNA(VLOOKUP(Grandview_Inventory[[#This Row],[condition]],Lookups!$A$37:$C$44,3,FALSE),1)</f>
        <v>1</v>
      </c>
      <c r="BV2576" s="4">
        <f>IF(Grandview_Inventory[[#This Row],[bldg_style]]="",1,_xlfn.IFNA(VLOOKUP(Grandview_Inventory[[#This Row],[decade]],Lookups!$F$29:$H$43,3,FALSE),1))</f>
        <v>1</v>
      </c>
      <c r="BW2576" s="4">
        <f>_xlfn.IFNA(VLOOKUP(Grandview_Inventory[[#This Row],[living_area_range]],Lookups!$F$47:$H$56,3,FALSE),1)</f>
        <v>1</v>
      </c>
      <c r="BX2576" s="4">
        <f>AVERAGE(Grandview_Inventory[[#This Row],[qual_adj]:[size_adj]])</f>
        <v>1</v>
      </c>
      <c r="BY2576" s="6">
        <f>IF(Grandview_Inventory[[#This Row],[pre_res]]&lt;0,0,Grandview_Inventory[[#This Row],[pre_res]]*Grandview_Inventory[[#This Row],[overall_adj]])</f>
        <v>0</v>
      </c>
      <c r="BZ2576" s="6">
        <f>(Grandview_Inventory[[#This Row],[sum_land]]-IF(Grandview_Inventory[[#This Row],[no_utilities]]=1,12000,0))/IF(Grandview_Inventory[[#This Row],[unbuildable]]=1,2,1)</f>
        <v>47528.228511015397</v>
      </c>
      <c r="CA257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576">
        <f>ROUND(Grandview_Inventory[[#This Row],[det_value]]*Lookups!$M$28,-2)</f>
        <v>0</v>
      </c>
      <c r="CC257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6">
        <f>Grandview_Inventory[[#This Row],[final_det]]+Grandview_Inventory[[#This Row],[final_res]]</f>
        <v>0</v>
      </c>
      <c r="CE2576">
        <f>Grandview_Inventory[[#This Row],[final_land]]+Grandview_Inventory[[#This Row],[final_imp]]+Grandview_Inventory[[#This Row],[crop_value]]</f>
        <v>45200</v>
      </c>
      <c r="CG2576" t="str">
        <f t="shared" si="40"/>
        <v>update valuation set market_land =45200, market_bldg=0, market_total =45200, market_mdno =401, market_date ='9/10/2023' where link_id = (select link_id from parcel where parcel_year = '2024' and parcel_id = '23091423432');</v>
      </c>
    </row>
    <row r="2577" spans="1:85" x14ac:dyDescent="0.25">
      <c r="A2577">
        <v>23091423433</v>
      </c>
      <c r="B2577" t="s">
        <v>129</v>
      </c>
      <c r="C2577">
        <v>11851</v>
      </c>
      <c r="D2577" t="s">
        <v>129</v>
      </c>
      <c r="E2577" t="s">
        <v>53</v>
      </c>
      <c r="F2577" t="s">
        <v>53</v>
      </c>
      <c r="G2577">
        <v>4</v>
      </c>
      <c r="H2577" t="s">
        <v>54</v>
      </c>
      <c r="I2577" t="s">
        <v>129</v>
      </c>
      <c r="J2577" t="s">
        <v>129</v>
      </c>
      <c r="K2577">
        <v>0.27</v>
      </c>
      <c r="L2577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577">
        <v>0</v>
      </c>
      <c r="N2577">
        <v>0</v>
      </c>
      <c r="O2577">
        <v>0</v>
      </c>
      <c r="P2577">
        <v>13398.7528</v>
      </c>
      <c r="Q2577">
        <v>63903</v>
      </c>
      <c r="R2577">
        <f>(Grandview_Inventory[[#This Row],[ln_acres]]*Grandview_Inventory[[#This Row],[coeff]])+Grandview_Inventory[[#This Row],[const]]</f>
        <v>46359.566512734265</v>
      </c>
      <c r="AY2577">
        <v>0</v>
      </c>
      <c r="AZ2577">
        <v>0</v>
      </c>
      <c r="BE2577">
        <v>0</v>
      </c>
      <c r="BF2577">
        <v>15000</v>
      </c>
      <c r="BG2577">
        <v>0</v>
      </c>
      <c r="BH2577" s="6">
        <f>Grandview_Inventory[[#This Row],[land_extract]]*Lookups!$B$3</f>
        <v>53837.239420408718</v>
      </c>
      <c r="BI2577" s="6">
        <f>IF(Grandview_Inventory[[#This Row],[bldg_style]]="",0,Lookups!$B$2)</f>
        <v>0</v>
      </c>
      <c r="BJ2577" s="6">
        <f>_xlfn.IFNA(VLOOKUP(Grandview_Inventory[[#This Row],[quality]],Lookups!$H$2:$J$14,3,FALSE),0)</f>
        <v>0</v>
      </c>
      <c r="BK2577" s="6">
        <f>_xlfn.IFNA(VLOOKUP(Grandview_Inventory[[#This Row],[condition]],Lookups!$H$17:$J$24,3,FALSE),0)</f>
        <v>0</v>
      </c>
      <c r="BL2577" s="6">
        <f>Grandview_Inventory[[#This Row],[Eff_Age]]*Lookups!$B$14</f>
        <v>0</v>
      </c>
      <c r="BM2577" s="6">
        <f>Grandview_Inventory[[#This Row],[living_area]]*Lookups!$B$15</f>
        <v>0</v>
      </c>
      <c r="BN2577" s="6">
        <f>Grandview_Inventory[[#This Row],[Fin BSMT]]*Lookups!$B$16</f>
        <v>0</v>
      </c>
      <c r="BO2577" s="6">
        <f>(Grandview_Inventory[[#This Row],[att_gar]]+Grandview_Inventory[[#This Row],[bltin_gar]])*Lookups!$B$17</f>
        <v>0</v>
      </c>
      <c r="BP2577" s="6">
        <f>Grandview_Inventory[[#This Row],[Plumbing Fixtures]]*Lookups!$B$18</f>
        <v>0</v>
      </c>
      <c r="BQ2577" s="6">
        <f>Grandview_Inventory[[#This Row],[detatched_value]]*Lookups!$B$19</f>
        <v>0</v>
      </c>
      <c r="BR2577" s="6">
        <f>SUM(Grandview_Inventory[[#This Row],[Intercept]:[det_value]])*Grandview_Inventory[[#This Row],[res_pct]]</f>
        <v>0</v>
      </c>
      <c r="BS2577" s="6">
        <f>Grandview_Inventory[[#This Row],[land_value]]</f>
        <v>53837.239420408718</v>
      </c>
      <c r="BT2577" s="4">
        <f>_xlfn.IFNA(VLOOKUP(Grandview_Inventory[[#This Row],[quality]],Lookups!$A$26:$C$33,3,FALSE),1)</f>
        <v>1</v>
      </c>
      <c r="BU2577" s="4">
        <f>_xlfn.IFNA(VLOOKUP(Grandview_Inventory[[#This Row],[condition]],Lookups!$A$37:$C$44,3,FALSE),1)</f>
        <v>1</v>
      </c>
      <c r="BV2577" s="4">
        <f>IF(Grandview_Inventory[[#This Row],[bldg_style]]="",1,_xlfn.IFNA(VLOOKUP(Grandview_Inventory[[#This Row],[decade]],Lookups!$F$29:$H$43,3,FALSE),1))</f>
        <v>1</v>
      </c>
      <c r="BW2577" s="4">
        <f>_xlfn.IFNA(VLOOKUP(Grandview_Inventory[[#This Row],[living_area_range]],Lookups!$F$47:$H$56,3,FALSE),1)</f>
        <v>1</v>
      </c>
      <c r="BX2577" s="4">
        <f>AVERAGE(Grandview_Inventory[[#This Row],[qual_adj]:[size_adj]])</f>
        <v>1</v>
      </c>
      <c r="BY2577" s="6">
        <f>IF(Grandview_Inventory[[#This Row],[pre_res]]&lt;0,0,Grandview_Inventory[[#This Row],[pre_res]]*Grandview_Inventory[[#This Row],[overall_adj]])</f>
        <v>0</v>
      </c>
      <c r="BZ2577" s="6">
        <f>(Grandview_Inventory[[#This Row],[sum_land]]-IF(Grandview_Inventory[[#This Row],[no_utilities]]=1,12000,0))/IF(Grandview_Inventory[[#This Row],[unbuildable]]=1,2,1)</f>
        <v>53837.239420408718</v>
      </c>
      <c r="CA2577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577">
        <f>ROUND(Grandview_Inventory[[#This Row],[det_value]]*Lookups!$M$28,-2)</f>
        <v>0</v>
      </c>
      <c r="CC257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7">
        <f>Grandview_Inventory[[#This Row],[final_det]]+Grandview_Inventory[[#This Row],[final_res]]</f>
        <v>0</v>
      </c>
      <c r="CE2577">
        <f>Grandview_Inventory[[#This Row],[final_land]]+Grandview_Inventory[[#This Row],[final_imp]]+Grandview_Inventory[[#This Row],[crop_value]]</f>
        <v>51100</v>
      </c>
      <c r="CG2577" t="str">
        <f t="shared" si="40"/>
        <v>update valuation set market_land =51100, market_bldg=0, market_total =51100, market_mdno =401, market_date ='9/10/2023' where link_id = (select link_id from parcel where parcel_year = '2024' and parcel_id = '23091423433');</v>
      </c>
    </row>
    <row r="2578" spans="1:85" x14ac:dyDescent="0.25">
      <c r="A2578">
        <v>23091423434</v>
      </c>
      <c r="B2578" t="s">
        <v>129</v>
      </c>
      <c r="C2578">
        <v>4121</v>
      </c>
      <c r="D2578" t="s">
        <v>129</v>
      </c>
      <c r="E2578" t="s">
        <v>53</v>
      </c>
      <c r="F2578" t="s">
        <v>53</v>
      </c>
      <c r="G2578">
        <v>4</v>
      </c>
      <c r="H2578" t="s">
        <v>54</v>
      </c>
      <c r="I2578" t="s">
        <v>129</v>
      </c>
      <c r="J2578" t="s">
        <v>129</v>
      </c>
      <c r="K2578">
        <v>0.09</v>
      </c>
      <c r="L2578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2578">
        <v>0</v>
      </c>
      <c r="N2578">
        <v>0</v>
      </c>
      <c r="O2578">
        <v>0</v>
      </c>
      <c r="P2578">
        <v>13398.7528</v>
      </c>
      <c r="Q2578">
        <v>63903</v>
      </c>
      <c r="R2578">
        <f>(Grandview_Inventory[[#This Row],[ln_acres]]*Grandview_Inventory[[#This Row],[coeff]])+Grandview_Inventory[[#This Row],[const]]</f>
        <v>31639.532033828022</v>
      </c>
      <c r="AY2578">
        <v>0</v>
      </c>
      <c r="AZ2578">
        <v>0</v>
      </c>
      <c r="BE2578">
        <v>0</v>
      </c>
      <c r="BF2578">
        <v>15000</v>
      </c>
      <c r="BG2578">
        <v>0</v>
      </c>
      <c r="BH2578" s="6">
        <f>Grandview_Inventory[[#This Row],[land_extract]]*Lookups!$B$3</f>
        <v>36742.90312414799</v>
      </c>
      <c r="BI2578" s="6">
        <f>IF(Grandview_Inventory[[#This Row],[bldg_style]]="",0,Lookups!$B$2)</f>
        <v>0</v>
      </c>
      <c r="BJ2578" s="6">
        <f>_xlfn.IFNA(VLOOKUP(Grandview_Inventory[[#This Row],[quality]],Lookups!$H$2:$J$14,3,FALSE),0)</f>
        <v>0</v>
      </c>
      <c r="BK2578" s="6">
        <f>_xlfn.IFNA(VLOOKUP(Grandview_Inventory[[#This Row],[condition]],Lookups!$H$17:$J$24,3,FALSE),0)</f>
        <v>0</v>
      </c>
      <c r="BL2578" s="6">
        <f>Grandview_Inventory[[#This Row],[Eff_Age]]*Lookups!$B$14</f>
        <v>0</v>
      </c>
      <c r="BM2578" s="6">
        <f>Grandview_Inventory[[#This Row],[living_area]]*Lookups!$B$15</f>
        <v>0</v>
      </c>
      <c r="BN2578" s="6">
        <f>Grandview_Inventory[[#This Row],[Fin BSMT]]*Lookups!$B$16</f>
        <v>0</v>
      </c>
      <c r="BO2578" s="6">
        <f>(Grandview_Inventory[[#This Row],[att_gar]]+Grandview_Inventory[[#This Row],[bltin_gar]])*Lookups!$B$17</f>
        <v>0</v>
      </c>
      <c r="BP2578" s="6">
        <f>Grandview_Inventory[[#This Row],[Plumbing Fixtures]]*Lookups!$B$18</f>
        <v>0</v>
      </c>
      <c r="BQ2578" s="6">
        <f>Grandview_Inventory[[#This Row],[detatched_value]]*Lookups!$B$19</f>
        <v>0</v>
      </c>
      <c r="BR2578" s="6">
        <f>SUM(Grandview_Inventory[[#This Row],[Intercept]:[det_value]])*Grandview_Inventory[[#This Row],[res_pct]]</f>
        <v>0</v>
      </c>
      <c r="BS2578" s="6">
        <f>Grandview_Inventory[[#This Row],[land_value]]</f>
        <v>36742.90312414799</v>
      </c>
      <c r="BT2578" s="4">
        <f>_xlfn.IFNA(VLOOKUP(Grandview_Inventory[[#This Row],[quality]],Lookups!$A$26:$C$33,3,FALSE),1)</f>
        <v>1</v>
      </c>
      <c r="BU2578" s="4">
        <f>_xlfn.IFNA(VLOOKUP(Grandview_Inventory[[#This Row],[condition]],Lookups!$A$37:$C$44,3,FALSE),1)</f>
        <v>1</v>
      </c>
      <c r="BV2578" s="4">
        <f>IF(Grandview_Inventory[[#This Row],[bldg_style]]="",1,_xlfn.IFNA(VLOOKUP(Grandview_Inventory[[#This Row],[decade]],Lookups!$F$29:$H$43,3,FALSE),1))</f>
        <v>1</v>
      </c>
      <c r="BW2578" s="4">
        <f>_xlfn.IFNA(VLOOKUP(Grandview_Inventory[[#This Row],[living_area_range]],Lookups!$F$47:$H$56,3,FALSE),1)</f>
        <v>1</v>
      </c>
      <c r="BX2578" s="4">
        <f>AVERAGE(Grandview_Inventory[[#This Row],[qual_adj]:[size_adj]])</f>
        <v>1</v>
      </c>
      <c r="BY2578" s="6">
        <f>IF(Grandview_Inventory[[#This Row],[pre_res]]&lt;0,0,Grandview_Inventory[[#This Row],[pre_res]]*Grandview_Inventory[[#This Row],[overall_adj]])</f>
        <v>0</v>
      </c>
      <c r="BZ2578" s="6">
        <f>(Grandview_Inventory[[#This Row],[sum_land]]-IF(Grandview_Inventory[[#This Row],[no_utilities]]=1,12000,0))/IF(Grandview_Inventory[[#This Row],[unbuildable]]=1,2,1)</f>
        <v>36742.90312414799</v>
      </c>
      <c r="CA2578">
        <f>IF(ROUND(Grandview_Inventory[[#This Row],[adj_land]]*Lookups!$M$28,-2)&lt;Grandview_Inventory[[#This Row],[min_land]],Grandview_Inventory[[#This Row],[min_land]],ROUND(Grandview_Inventory[[#This Row],[adj_land]]*Lookups!$M$28,-2))</f>
        <v>34900</v>
      </c>
      <c r="CB2578">
        <f>ROUND(Grandview_Inventory[[#This Row],[det_value]]*Lookups!$M$28,-2)</f>
        <v>0</v>
      </c>
      <c r="CC257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8">
        <f>Grandview_Inventory[[#This Row],[final_det]]+Grandview_Inventory[[#This Row],[final_res]]</f>
        <v>0</v>
      </c>
      <c r="CE2578">
        <f>Grandview_Inventory[[#This Row],[final_land]]+Grandview_Inventory[[#This Row],[final_imp]]+Grandview_Inventory[[#This Row],[crop_value]]</f>
        <v>34900</v>
      </c>
      <c r="CG2578" t="str">
        <f t="shared" si="40"/>
        <v>update valuation set market_land =34900, market_bldg=0, market_total =34900, market_mdno =401, market_date ='9/10/2023' where link_id = (select link_id from parcel where parcel_year = '2024' and parcel_id = '23091423434');</v>
      </c>
    </row>
    <row r="2579" spans="1:85" x14ac:dyDescent="0.25">
      <c r="A2579">
        <v>23091423435</v>
      </c>
      <c r="B2579">
        <v>7.32</v>
      </c>
      <c r="C2579">
        <v>318859</v>
      </c>
      <c r="D2579">
        <v>7.32</v>
      </c>
      <c r="E2579" t="s">
        <v>53</v>
      </c>
      <c r="F2579" t="s">
        <v>53</v>
      </c>
      <c r="G2579">
        <v>4</v>
      </c>
      <c r="H2579" t="s">
        <v>54</v>
      </c>
      <c r="I2579" t="s">
        <v>129</v>
      </c>
      <c r="J2579" t="s">
        <v>129</v>
      </c>
      <c r="K2579">
        <v>7.32</v>
      </c>
      <c r="L2579">
        <f>IF(Grandview_Inventory[[#This Row],[parcel_acres]]-Grandview_Inventory[[#This Row],[non_valued_acres]] =0,0,LN(Grandview_Inventory[[#This Row],[parcel_acres]]-Grandview_Inventory[[#This Row],[non_valued_acres]]))</f>
        <v>1.9906103279732201</v>
      </c>
      <c r="M2579">
        <v>0</v>
      </c>
      <c r="N2579">
        <v>0</v>
      </c>
      <c r="O2579">
        <v>0</v>
      </c>
      <c r="P2579">
        <v>13398.7528</v>
      </c>
      <c r="Q2579">
        <v>63903</v>
      </c>
      <c r="R2579">
        <f>(Grandview_Inventory[[#This Row],[ln_acres]]*Grandview_Inventory[[#This Row],[coeff]])+Grandview_Inventory[[#This Row],[const]]</f>
        <v>90574.695705640101</v>
      </c>
      <c r="AY2579">
        <v>0</v>
      </c>
      <c r="AZ2579">
        <v>0</v>
      </c>
      <c r="BE2579">
        <v>0</v>
      </c>
      <c r="BF2579">
        <v>15000</v>
      </c>
      <c r="BG2579">
        <v>0</v>
      </c>
      <c r="BH2579" s="6">
        <f>Grandview_Inventory[[#This Row],[land_extract]]*Lookups!$B$3</f>
        <v>105184.14957128144</v>
      </c>
      <c r="BI2579" s="6">
        <f>IF(Grandview_Inventory[[#This Row],[bldg_style]]="",0,Lookups!$B$2)</f>
        <v>0</v>
      </c>
      <c r="BJ2579" s="6">
        <f>_xlfn.IFNA(VLOOKUP(Grandview_Inventory[[#This Row],[quality]],Lookups!$H$2:$J$14,3,FALSE),0)</f>
        <v>0</v>
      </c>
      <c r="BK2579" s="6">
        <f>_xlfn.IFNA(VLOOKUP(Grandview_Inventory[[#This Row],[condition]],Lookups!$H$17:$J$24,3,FALSE),0)</f>
        <v>0</v>
      </c>
      <c r="BL2579" s="6">
        <f>Grandview_Inventory[[#This Row],[Eff_Age]]*Lookups!$B$14</f>
        <v>0</v>
      </c>
      <c r="BM2579" s="6">
        <f>Grandview_Inventory[[#This Row],[living_area]]*Lookups!$B$15</f>
        <v>0</v>
      </c>
      <c r="BN2579" s="6">
        <f>Grandview_Inventory[[#This Row],[Fin BSMT]]*Lookups!$B$16</f>
        <v>0</v>
      </c>
      <c r="BO2579" s="6">
        <f>(Grandview_Inventory[[#This Row],[att_gar]]+Grandview_Inventory[[#This Row],[bltin_gar]])*Lookups!$B$17</f>
        <v>0</v>
      </c>
      <c r="BP2579" s="6">
        <f>Grandview_Inventory[[#This Row],[Plumbing Fixtures]]*Lookups!$B$18</f>
        <v>0</v>
      </c>
      <c r="BQ2579" s="6">
        <f>Grandview_Inventory[[#This Row],[detatched_value]]*Lookups!$B$19</f>
        <v>0</v>
      </c>
      <c r="BR2579" s="6">
        <f>SUM(Grandview_Inventory[[#This Row],[Intercept]:[det_value]])*Grandview_Inventory[[#This Row],[res_pct]]</f>
        <v>0</v>
      </c>
      <c r="BS2579" s="6">
        <f>Grandview_Inventory[[#This Row],[land_value]]</f>
        <v>105184.14957128144</v>
      </c>
      <c r="BT2579" s="4">
        <f>_xlfn.IFNA(VLOOKUP(Grandview_Inventory[[#This Row],[quality]],Lookups!$A$26:$C$33,3,FALSE),1)</f>
        <v>1</v>
      </c>
      <c r="BU2579" s="4">
        <f>_xlfn.IFNA(VLOOKUP(Grandview_Inventory[[#This Row],[condition]],Lookups!$A$37:$C$44,3,FALSE),1)</f>
        <v>1</v>
      </c>
      <c r="BV2579" s="4">
        <f>IF(Grandview_Inventory[[#This Row],[bldg_style]]="",1,_xlfn.IFNA(VLOOKUP(Grandview_Inventory[[#This Row],[decade]],Lookups!$F$29:$H$43,3,FALSE),1))</f>
        <v>1</v>
      </c>
      <c r="BW2579" s="4">
        <f>_xlfn.IFNA(VLOOKUP(Grandview_Inventory[[#This Row],[living_area_range]],Lookups!$F$47:$H$56,3,FALSE),1)</f>
        <v>1</v>
      </c>
      <c r="BX2579" s="4">
        <f>AVERAGE(Grandview_Inventory[[#This Row],[qual_adj]:[size_adj]])</f>
        <v>1</v>
      </c>
      <c r="BY2579" s="6">
        <f>IF(Grandview_Inventory[[#This Row],[pre_res]]&lt;0,0,Grandview_Inventory[[#This Row],[pre_res]]*Grandview_Inventory[[#This Row],[overall_adj]])</f>
        <v>0</v>
      </c>
      <c r="BZ2579" s="6">
        <f>(Grandview_Inventory[[#This Row],[sum_land]]-IF(Grandview_Inventory[[#This Row],[no_utilities]]=1,12000,0))/IF(Grandview_Inventory[[#This Row],[unbuildable]]=1,2,1)</f>
        <v>105184.14957128144</v>
      </c>
      <c r="CA2579">
        <f>IF(ROUND(Grandview_Inventory[[#This Row],[adj_land]]*Lookups!$M$28,-2)&lt;Grandview_Inventory[[#This Row],[min_land]],Grandview_Inventory[[#This Row],[min_land]],ROUND(Grandview_Inventory[[#This Row],[adj_land]]*Lookups!$M$28,-2))</f>
        <v>99900</v>
      </c>
      <c r="CB2579">
        <f>ROUND(Grandview_Inventory[[#This Row],[det_value]]*Lookups!$M$28,-2)</f>
        <v>0</v>
      </c>
      <c r="CC257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79">
        <f>Grandview_Inventory[[#This Row],[final_det]]+Grandview_Inventory[[#This Row],[final_res]]</f>
        <v>0</v>
      </c>
      <c r="CE2579">
        <f>Grandview_Inventory[[#This Row],[final_land]]+Grandview_Inventory[[#This Row],[final_imp]]+Grandview_Inventory[[#This Row],[crop_value]]</f>
        <v>99900</v>
      </c>
      <c r="CG2579" t="str">
        <f t="shared" si="40"/>
        <v>update valuation set market_land =99900, market_bldg=0, market_total =99900, market_mdno =401, market_date ='9/10/2023' where link_id = (select link_id from parcel where parcel_year = '2024' and parcel_id = '23091423435');</v>
      </c>
    </row>
    <row r="2580" spans="1:85" x14ac:dyDescent="0.25">
      <c r="A2580">
        <v>23091423436</v>
      </c>
      <c r="B2580">
        <v>7.11</v>
      </c>
      <c r="C2580">
        <v>309712</v>
      </c>
      <c r="D2580">
        <v>7.11</v>
      </c>
      <c r="E2580" t="s">
        <v>53</v>
      </c>
      <c r="F2580" t="s">
        <v>53</v>
      </c>
      <c r="G2580">
        <v>4</v>
      </c>
      <c r="H2580" t="s">
        <v>54</v>
      </c>
      <c r="I2580" t="s">
        <v>129</v>
      </c>
      <c r="J2580" t="s">
        <v>129</v>
      </c>
      <c r="K2580">
        <v>7.11</v>
      </c>
      <c r="L2580">
        <f>IF(Grandview_Inventory[[#This Row],[parcel_acres]]-Grandview_Inventory[[#This Row],[non_valued_acres]] =0,0,LN(Grandview_Inventory[[#This Row],[parcel_acres]]-Grandview_Inventory[[#This Row],[non_valued_acres]]))</f>
        <v>1.9615022438151495</v>
      </c>
      <c r="M2580">
        <v>0</v>
      </c>
      <c r="N2580">
        <v>0</v>
      </c>
      <c r="O2580">
        <v>0</v>
      </c>
      <c r="P2580">
        <v>13398.7528</v>
      </c>
      <c r="Q2580">
        <v>63903</v>
      </c>
      <c r="R2580">
        <f>(Grandview_Inventory[[#This Row],[ln_acres]]*Grandview_Inventory[[#This Row],[coeff]])+Grandview_Inventory[[#This Row],[const]]</f>
        <v>90184.683681524519</v>
      </c>
      <c r="AY2580">
        <v>0</v>
      </c>
      <c r="AZ2580">
        <v>0</v>
      </c>
      <c r="BE2580">
        <v>0</v>
      </c>
      <c r="BF2580">
        <v>15000</v>
      </c>
      <c r="BG2580">
        <v>0</v>
      </c>
      <c r="BH2580" s="6">
        <f>Grandview_Inventory[[#This Row],[land_extract]]*Lookups!$B$3</f>
        <v>104731.22966070849</v>
      </c>
      <c r="BI2580" s="6">
        <f>IF(Grandview_Inventory[[#This Row],[bldg_style]]="",0,Lookups!$B$2)</f>
        <v>0</v>
      </c>
      <c r="BJ2580" s="6">
        <f>_xlfn.IFNA(VLOOKUP(Grandview_Inventory[[#This Row],[quality]],Lookups!$H$2:$J$14,3,FALSE),0)</f>
        <v>0</v>
      </c>
      <c r="BK2580" s="6">
        <f>_xlfn.IFNA(VLOOKUP(Grandview_Inventory[[#This Row],[condition]],Lookups!$H$17:$J$24,3,FALSE),0)</f>
        <v>0</v>
      </c>
      <c r="BL2580" s="6">
        <f>Grandview_Inventory[[#This Row],[Eff_Age]]*Lookups!$B$14</f>
        <v>0</v>
      </c>
      <c r="BM2580" s="6">
        <f>Grandview_Inventory[[#This Row],[living_area]]*Lookups!$B$15</f>
        <v>0</v>
      </c>
      <c r="BN2580" s="6">
        <f>Grandview_Inventory[[#This Row],[Fin BSMT]]*Lookups!$B$16</f>
        <v>0</v>
      </c>
      <c r="BO2580" s="6">
        <f>(Grandview_Inventory[[#This Row],[att_gar]]+Grandview_Inventory[[#This Row],[bltin_gar]])*Lookups!$B$17</f>
        <v>0</v>
      </c>
      <c r="BP2580" s="6">
        <f>Grandview_Inventory[[#This Row],[Plumbing Fixtures]]*Lookups!$B$18</f>
        <v>0</v>
      </c>
      <c r="BQ2580" s="6">
        <f>Grandview_Inventory[[#This Row],[detatched_value]]*Lookups!$B$19</f>
        <v>0</v>
      </c>
      <c r="BR2580" s="6">
        <f>SUM(Grandview_Inventory[[#This Row],[Intercept]:[det_value]])*Grandview_Inventory[[#This Row],[res_pct]]</f>
        <v>0</v>
      </c>
      <c r="BS2580" s="6">
        <f>Grandview_Inventory[[#This Row],[land_value]]</f>
        <v>104731.22966070849</v>
      </c>
      <c r="BT2580" s="4">
        <f>_xlfn.IFNA(VLOOKUP(Grandview_Inventory[[#This Row],[quality]],Lookups!$A$26:$C$33,3,FALSE),1)</f>
        <v>1</v>
      </c>
      <c r="BU2580" s="4">
        <f>_xlfn.IFNA(VLOOKUP(Grandview_Inventory[[#This Row],[condition]],Lookups!$A$37:$C$44,3,FALSE),1)</f>
        <v>1</v>
      </c>
      <c r="BV2580" s="4">
        <f>IF(Grandview_Inventory[[#This Row],[bldg_style]]="",1,_xlfn.IFNA(VLOOKUP(Grandview_Inventory[[#This Row],[decade]],Lookups!$F$29:$H$43,3,FALSE),1))</f>
        <v>1</v>
      </c>
      <c r="BW2580" s="4">
        <f>_xlfn.IFNA(VLOOKUP(Grandview_Inventory[[#This Row],[living_area_range]],Lookups!$F$47:$H$56,3,FALSE),1)</f>
        <v>1</v>
      </c>
      <c r="BX2580" s="4">
        <f>AVERAGE(Grandview_Inventory[[#This Row],[qual_adj]:[size_adj]])</f>
        <v>1</v>
      </c>
      <c r="BY2580" s="6">
        <f>IF(Grandview_Inventory[[#This Row],[pre_res]]&lt;0,0,Grandview_Inventory[[#This Row],[pre_res]]*Grandview_Inventory[[#This Row],[overall_adj]])</f>
        <v>0</v>
      </c>
      <c r="BZ2580" s="6">
        <f>(Grandview_Inventory[[#This Row],[sum_land]]-IF(Grandview_Inventory[[#This Row],[no_utilities]]=1,12000,0))/IF(Grandview_Inventory[[#This Row],[unbuildable]]=1,2,1)</f>
        <v>104731.22966070849</v>
      </c>
      <c r="CA2580">
        <f>IF(ROUND(Grandview_Inventory[[#This Row],[adj_land]]*Lookups!$M$28,-2)&lt;Grandview_Inventory[[#This Row],[min_land]],Grandview_Inventory[[#This Row],[min_land]],ROUND(Grandview_Inventory[[#This Row],[adj_land]]*Lookups!$M$28,-2))</f>
        <v>99500</v>
      </c>
      <c r="CB2580">
        <f>ROUND(Grandview_Inventory[[#This Row],[det_value]]*Lookups!$M$28,-2)</f>
        <v>0</v>
      </c>
      <c r="CC258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0">
        <f>Grandview_Inventory[[#This Row],[final_det]]+Grandview_Inventory[[#This Row],[final_res]]</f>
        <v>0</v>
      </c>
      <c r="CE2580">
        <f>Grandview_Inventory[[#This Row],[final_land]]+Grandview_Inventory[[#This Row],[final_imp]]+Grandview_Inventory[[#This Row],[crop_value]]</f>
        <v>99500</v>
      </c>
      <c r="CG2580" t="str">
        <f t="shared" si="40"/>
        <v>update valuation set market_land =99500, market_bldg=0, market_total =99500, market_mdno =401, market_date ='9/10/2023' where link_id = (select link_id from parcel where parcel_year = '2024' and parcel_id = '23091423436');</v>
      </c>
    </row>
    <row r="2581" spans="1:85" x14ac:dyDescent="0.25">
      <c r="A2581">
        <v>23091424010</v>
      </c>
      <c r="B2581">
        <v>0.93</v>
      </c>
      <c r="C2581">
        <v>40383</v>
      </c>
      <c r="D2581" t="s">
        <v>129</v>
      </c>
      <c r="E2581" t="s">
        <v>53</v>
      </c>
      <c r="F2581" t="s">
        <v>53</v>
      </c>
      <c r="G2581">
        <v>4</v>
      </c>
      <c r="H2581" t="s">
        <v>54</v>
      </c>
      <c r="I2581">
        <v>0</v>
      </c>
      <c r="J2581">
        <v>6300</v>
      </c>
      <c r="K2581">
        <v>0.93</v>
      </c>
      <c r="L2581">
        <f>IF(Grandview_Inventory[[#This Row],[parcel_acres]]-Grandview_Inventory[[#This Row],[non_valued_acres]] =0,0,LN(Grandview_Inventory[[#This Row],[parcel_acres]]-Grandview_Inventory[[#This Row],[non_valued_acres]]))</f>
        <v>-7.2570692834835374E-2</v>
      </c>
      <c r="M2581">
        <v>0</v>
      </c>
      <c r="N2581">
        <v>0</v>
      </c>
      <c r="O2581">
        <v>0</v>
      </c>
      <c r="P2581">
        <v>13398.7528</v>
      </c>
      <c r="Q2581">
        <v>63903</v>
      </c>
      <c r="R2581">
        <f>(Grandview_Inventory[[#This Row],[ln_acres]]*Grandview_Inventory[[#This Row],[coeff]])+Grandview_Inventory[[#This Row],[const]]</f>
        <v>62930.64322618131</v>
      </c>
      <c r="AY2581">
        <v>0</v>
      </c>
      <c r="AZ2581">
        <v>0</v>
      </c>
      <c r="BE2581">
        <v>0</v>
      </c>
      <c r="BF2581">
        <v>15000</v>
      </c>
      <c r="BG2581">
        <v>0</v>
      </c>
      <c r="BH2581" s="6">
        <f>Grandview_Inventory[[#This Row],[land_extract]]*Lookups!$B$3</f>
        <v>73081.186065827642</v>
      </c>
      <c r="BI2581" s="6">
        <f>IF(Grandview_Inventory[[#This Row],[bldg_style]]="",0,Lookups!$B$2)</f>
        <v>0</v>
      </c>
      <c r="BJ2581" s="6">
        <f>_xlfn.IFNA(VLOOKUP(Grandview_Inventory[[#This Row],[quality]],Lookups!$H$2:$J$14,3,FALSE),0)</f>
        <v>0</v>
      </c>
      <c r="BK2581" s="6">
        <f>_xlfn.IFNA(VLOOKUP(Grandview_Inventory[[#This Row],[condition]],Lookups!$H$17:$J$24,3,FALSE),0)</f>
        <v>0</v>
      </c>
      <c r="BL2581" s="6">
        <f>Grandview_Inventory[[#This Row],[Eff_Age]]*Lookups!$B$14</f>
        <v>0</v>
      </c>
      <c r="BM2581" s="6">
        <f>Grandview_Inventory[[#This Row],[living_area]]*Lookups!$B$15</f>
        <v>0</v>
      </c>
      <c r="BN2581" s="6">
        <f>Grandview_Inventory[[#This Row],[Fin BSMT]]*Lookups!$B$16</f>
        <v>0</v>
      </c>
      <c r="BO2581" s="6">
        <f>(Grandview_Inventory[[#This Row],[att_gar]]+Grandview_Inventory[[#This Row],[bltin_gar]])*Lookups!$B$17</f>
        <v>0</v>
      </c>
      <c r="BP2581" s="6">
        <f>Grandview_Inventory[[#This Row],[Plumbing Fixtures]]*Lookups!$B$18</f>
        <v>0</v>
      </c>
      <c r="BQ2581" s="6">
        <f>Grandview_Inventory[[#This Row],[detatched_value]]*Lookups!$B$19</f>
        <v>0</v>
      </c>
      <c r="BR2581" s="6">
        <f>SUM(Grandview_Inventory[[#This Row],[Intercept]:[det_value]])*Grandview_Inventory[[#This Row],[res_pct]]</f>
        <v>0</v>
      </c>
      <c r="BS2581" s="6">
        <f>Grandview_Inventory[[#This Row],[land_value]]</f>
        <v>73081.186065827642</v>
      </c>
      <c r="BT2581" s="4">
        <f>_xlfn.IFNA(VLOOKUP(Grandview_Inventory[[#This Row],[quality]],Lookups!$A$26:$C$33,3,FALSE),1)</f>
        <v>1</v>
      </c>
      <c r="BU2581" s="4">
        <f>_xlfn.IFNA(VLOOKUP(Grandview_Inventory[[#This Row],[condition]],Lookups!$A$37:$C$44,3,FALSE),1)</f>
        <v>1</v>
      </c>
      <c r="BV2581" s="4">
        <f>IF(Grandview_Inventory[[#This Row],[bldg_style]]="",1,_xlfn.IFNA(VLOOKUP(Grandview_Inventory[[#This Row],[decade]],Lookups!$F$29:$H$43,3,FALSE),1))</f>
        <v>1</v>
      </c>
      <c r="BW2581" s="4">
        <f>_xlfn.IFNA(VLOOKUP(Grandview_Inventory[[#This Row],[living_area_range]],Lookups!$F$47:$H$56,3,FALSE),1)</f>
        <v>1</v>
      </c>
      <c r="BX2581" s="4">
        <f>AVERAGE(Grandview_Inventory[[#This Row],[qual_adj]:[size_adj]])</f>
        <v>1</v>
      </c>
      <c r="BY2581" s="6">
        <f>IF(Grandview_Inventory[[#This Row],[pre_res]]&lt;0,0,Grandview_Inventory[[#This Row],[pre_res]]*Grandview_Inventory[[#This Row],[overall_adj]])</f>
        <v>0</v>
      </c>
      <c r="BZ2581" s="6">
        <f>(Grandview_Inventory[[#This Row],[sum_land]]-IF(Grandview_Inventory[[#This Row],[no_utilities]]=1,12000,0))/IF(Grandview_Inventory[[#This Row],[unbuildable]]=1,2,1)</f>
        <v>73081.186065827642</v>
      </c>
      <c r="CA2581">
        <f>IF(ROUND(Grandview_Inventory[[#This Row],[adj_land]]*Lookups!$M$28,-2)&lt;Grandview_Inventory[[#This Row],[min_land]],Grandview_Inventory[[#This Row],[min_land]],ROUND(Grandview_Inventory[[#This Row],[adj_land]]*Lookups!$M$28,-2))</f>
        <v>69400</v>
      </c>
      <c r="CB2581">
        <f>ROUND(Grandview_Inventory[[#This Row],[det_value]]*Lookups!$M$28,-2)</f>
        <v>0</v>
      </c>
      <c r="CC258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1">
        <f>Grandview_Inventory[[#This Row],[final_det]]+Grandview_Inventory[[#This Row],[final_res]]</f>
        <v>0</v>
      </c>
      <c r="CE2581">
        <f>Grandview_Inventory[[#This Row],[final_land]]+Grandview_Inventory[[#This Row],[final_imp]]+Grandview_Inventory[[#This Row],[crop_value]]</f>
        <v>69400</v>
      </c>
      <c r="CG2581" t="str">
        <f t="shared" si="40"/>
        <v>update valuation set market_land =69400, market_bldg=0, market_total =69400, market_mdno =401, market_date ='9/10/2023' where link_id = (select link_id from parcel where parcel_year = '2024' and parcel_id = '23091424010');</v>
      </c>
    </row>
    <row r="2582" spans="1:85" x14ac:dyDescent="0.25">
      <c r="A2582">
        <v>23091431401</v>
      </c>
      <c r="B2582">
        <v>36.17</v>
      </c>
      <c r="C2582" t="s">
        <v>129</v>
      </c>
      <c r="D2582">
        <v>36.17</v>
      </c>
      <c r="E2582" t="s">
        <v>53</v>
      </c>
      <c r="F2582" t="s">
        <v>53</v>
      </c>
      <c r="G2582">
        <v>4</v>
      </c>
      <c r="H2582" t="s">
        <v>54</v>
      </c>
      <c r="I2582">
        <v>87300</v>
      </c>
      <c r="J2582">
        <v>1198600</v>
      </c>
      <c r="K2582">
        <v>36.17</v>
      </c>
      <c r="L2582">
        <f>IF(Grandview_Inventory[[#This Row],[parcel_acres]]-Grandview_Inventory[[#This Row],[non_valued_acres]] =0,0,LN(Grandview_Inventory[[#This Row],[parcel_acres]]-Grandview_Inventory[[#This Row],[non_valued_acres]]))</f>
        <v>3.5882300459640066</v>
      </c>
      <c r="M2582">
        <v>0</v>
      </c>
      <c r="N2582">
        <v>0</v>
      </c>
      <c r="O2582">
        <v>0</v>
      </c>
      <c r="P2582">
        <v>13398.7528</v>
      </c>
      <c r="Q2582">
        <v>63903</v>
      </c>
      <c r="R2582">
        <f>(Grandview_Inventory[[#This Row],[ln_acres]]*Grandview_Inventory[[#This Row],[coeff]])+Grandview_Inventory[[#This Row],[const]]</f>
        <v>111980.80737540437</v>
      </c>
      <c r="AY2582">
        <v>83800</v>
      </c>
      <c r="AZ2582">
        <v>3700</v>
      </c>
      <c r="BE2582">
        <v>0</v>
      </c>
      <c r="BF2582">
        <v>15000</v>
      </c>
      <c r="BG2582">
        <v>0</v>
      </c>
      <c r="BH2582" s="6">
        <f>Grandview_Inventory[[#This Row],[land_extract]]*Lookups!$B$3</f>
        <v>130043.00925687718</v>
      </c>
      <c r="BI2582" s="6">
        <f>IF(Grandview_Inventory[[#This Row],[bldg_style]]="",0,Lookups!$B$2)</f>
        <v>0</v>
      </c>
      <c r="BJ2582" s="6">
        <f>_xlfn.IFNA(VLOOKUP(Grandview_Inventory[[#This Row],[quality]],Lookups!$H$2:$J$14,3,FALSE),0)</f>
        <v>0</v>
      </c>
      <c r="BK2582" s="6">
        <f>_xlfn.IFNA(VLOOKUP(Grandview_Inventory[[#This Row],[condition]],Lookups!$H$17:$J$24,3,FALSE),0)</f>
        <v>0</v>
      </c>
      <c r="BL2582" s="6">
        <f>Grandview_Inventory[[#This Row],[Eff_Age]]*Lookups!$B$14</f>
        <v>0</v>
      </c>
      <c r="BM2582" s="6">
        <f>Grandview_Inventory[[#This Row],[living_area]]*Lookups!$B$15</f>
        <v>0</v>
      </c>
      <c r="BN2582" s="6">
        <f>Grandview_Inventory[[#This Row],[Fin BSMT]]*Lookups!$B$16</f>
        <v>0</v>
      </c>
      <c r="BO2582" s="6">
        <f>(Grandview_Inventory[[#This Row],[att_gar]]+Grandview_Inventory[[#This Row],[bltin_gar]])*Lookups!$B$17</f>
        <v>0</v>
      </c>
      <c r="BP2582" s="6">
        <f>Grandview_Inventory[[#This Row],[Plumbing Fixtures]]*Lookups!$B$18</f>
        <v>0</v>
      </c>
      <c r="BQ2582" s="6">
        <f>Grandview_Inventory[[#This Row],[detatched_value]]*Lookups!$B$19</f>
        <v>3133.1788699999997</v>
      </c>
      <c r="BR2582" s="6">
        <f>SUM(Grandview_Inventory[[#This Row],[Intercept]:[det_value]])*Grandview_Inventory[[#This Row],[res_pct]]</f>
        <v>0</v>
      </c>
      <c r="BS2582" s="6">
        <f>Grandview_Inventory[[#This Row],[land_value]]</f>
        <v>130043.00925687718</v>
      </c>
      <c r="BT2582" s="4">
        <f>_xlfn.IFNA(VLOOKUP(Grandview_Inventory[[#This Row],[quality]],Lookups!$A$26:$C$33,3,FALSE),1)</f>
        <v>1</v>
      </c>
      <c r="BU2582" s="4">
        <f>_xlfn.IFNA(VLOOKUP(Grandview_Inventory[[#This Row],[condition]],Lookups!$A$37:$C$44,3,FALSE),1)</f>
        <v>1</v>
      </c>
      <c r="BV2582" s="4">
        <f>IF(Grandview_Inventory[[#This Row],[bldg_style]]="",1,_xlfn.IFNA(VLOOKUP(Grandview_Inventory[[#This Row],[decade]],Lookups!$F$29:$H$43,3,FALSE),1))</f>
        <v>1</v>
      </c>
      <c r="BW2582" s="4">
        <f>_xlfn.IFNA(VLOOKUP(Grandview_Inventory[[#This Row],[living_area_range]],Lookups!$F$47:$H$56,3,FALSE),1)</f>
        <v>1</v>
      </c>
      <c r="BX2582" s="4">
        <f>AVERAGE(Grandview_Inventory[[#This Row],[qual_adj]:[size_adj]])</f>
        <v>1</v>
      </c>
      <c r="BY2582" s="6">
        <f>IF(Grandview_Inventory[[#This Row],[pre_res]]&lt;0,0,Grandview_Inventory[[#This Row],[pre_res]]*Grandview_Inventory[[#This Row],[overall_adj]])</f>
        <v>0</v>
      </c>
      <c r="BZ2582" s="6">
        <f>(Grandview_Inventory[[#This Row],[sum_land]]-IF(Grandview_Inventory[[#This Row],[no_utilities]]=1,12000,0))/IF(Grandview_Inventory[[#This Row],[unbuildable]]=1,2,1)</f>
        <v>130043.00925687718</v>
      </c>
      <c r="CA2582">
        <f>IF(ROUND(Grandview_Inventory[[#This Row],[adj_land]]*Lookups!$M$28,-2)&lt;Grandview_Inventory[[#This Row],[min_land]],Grandview_Inventory[[#This Row],[min_land]],ROUND(Grandview_Inventory[[#This Row],[adj_land]]*Lookups!$M$28,-2))</f>
        <v>123500</v>
      </c>
      <c r="CB2582">
        <f>ROUND(Grandview_Inventory[[#This Row],[det_value]]*Lookups!$M$28,-2)</f>
        <v>3000</v>
      </c>
      <c r="CC258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2">
        <f>Grandview_Inventory[[#This Row],[final_det]]+Grandview_Inventory[[#This Row],[final_res]]</f>
        <v>3000</v>
      </c>
      <c r="CE2582">
        <f>Grandview_Inventory[[#This Row],[final_land]]+Grandview_Inventory[[#This Row],[final_imp]]+Grandview_Inventory[[#This Row],[crop_value]]</f>
        <v>210300</v>
      </c>
      <c r="CG2582" t="str">
        <f t="shared" si="40"/>
        <v>update valuation set market_land =123500, market_bldg=3000, market_total =210300, market_mdno =401, market_date ='9/10/2023' where link_id = (select link_id from parcel where parcel_year = '2024' and parcel_id = '23091431401');</v>
      </c>
    </row>
    <row r="2583" spans="1:85" x14ac:dyDescent="0.25">
      <c r="A2583">
        <v>23091432001</v>
      </c>
      <c r="B2583">
        <v>10.83</v>
      </c>
      <c r="C2583" t="s">
        <v>129</v>
      </c>
      <c r="D2583" t="s">
        <v>129</v>
      </c>
      <c r="E2583" t="s">
        <v>53</v>
      </c>
      <c r="F2583" t="s">
        <v>53</v>
      </c>
      <c r="G2583">
        <v>4</v>
      </c>
      <c r="H2583" t="s">
        <v>54</v>
      </c>
      <c r="I2583">
        <v>0</v>
      </c>
      <c r="J2583">
        <v>394900</v>
      </c>
      <c r="K2583">
        <v>10.83</v>
      </c>
      <c r="L2583">
        <f>IF(Grandview_Inventory[[#This Row],[parcel_acres]]-Grandview_Inventory[[#This Row],[non_valued_acres]] =0,0,LN(Grandview_Inventory[[#This Row],[parcel_acres]]-Grandview_Inventory[[#This Row],[non_valued_acres]]))</f>
        <v>2.3823200610128992</v>
      </c>
      <c r="M2583">
        <v>0</v>
      </c>
      <c r="N2583">
        <v>0</v>
      </c>
      <c r="O2583">
        <v>0</v>
      </c>
      <c r="P2583">
        <v>13398.7528</v>
      </c>
      <c r="Q2583">
        <v>63903</v>
      </c>
      <c r="R2583">
        <f>(Grandview_Inventory[[#This Row],[ln_acres]]*Grandview_Inventory[[#This Row],[coeff]])+Grandview_Inventory[[#This Row],[const]]</f>
        <v>95823.117587992747</v>
      </c>
      <c r="AY2583">
        <v>0</v>
      </c>
      <c r="AZ2583">
        <v>0</v>
      </c>
      <c r="BE2583">
        <v>0</v>
      </c>
      <c r="BF2583">
        <v>15000</v>
      </c>
      <c r="BG2583">
        <v>0</v>
      </c>
      <c r="BH2583" s="6">
        <f>Grandview_Inventory[[#This Row],[land_extract]]*Lookups!$B$3</f>
        <v>111279.12773251849</v>
      </c>
      <c r="BI2583" s="6">
        <f>IF(Grandview_Inventory[[#This Row],[bldg_style]]="",0,Lookups!$B$2)</f>
        <v>0</v>
      </c>
      <c r="BJ2583" s="6">
        <f>_xlfn.IFNA(VLOOKUP(Grandview_Inventory[[#This Row],[quality]],Lookups!$H$2:$J$14,3,FALSE),0)</f>
        <v>0</v>
      </c>
      <c r="BK2583" s="6">
        <f>_xlfn.IFNA(VLOOKUP(Grandview_Inventory[[#This Row],[condition]],Lookups!$H$17:$J$24,3,FALSE),0)</f>
        <v>0</v>
      </c>
      <c r="BL2583" s="6">
        <f>Grandview_Inventory[[#This Row],[Eff_Age]]*Lookups!$B$14</f>
        <v>0</v>
      </c>
      <c r="BM2583" s="6">
        <f>Grandview_Inventory[[#This Row],[living_area]]*Lookups!$B$15</f>
        <v>0</v>
      </c>
      <c r="BN2583" s="6">
        <f>Grandview_Inventory[[#This Row],[Fin BSMT]]*Lookups!$B$16</f>
        <v>0</v>
      </c>
      <c r="BO2583" s="6">
        <f>(Grandview_Inventory[[#This Row],[att_gar]]+Grandview_Inventory[[#This Row],[bltin_gar]])*Lookups!$B$17</f>
        <v>0</v>
      </c>
      <c r="BP2583" s="6">
        <f>Grandview_Inventory[[#This Row],[Plumbing Fixtures]]*Lookups!$B$18</f>
        <v>0</v>
      </c>
      <c r="BQ2583" s="6">
        <f>Grandview_Inventory[[#This Row],[detatched_value]]*Lookups!$B$19</f>
        <v>0</v>
      </c>
      <c r="BR2583" s="6">
        <f>SUM(Grandview_Inventory[[#This Row],[Intercept]:[det_value]])*Grandview_Inventory[[#This Row],[res_pct]]</f>
        <v>0</v>
      </c>
      <c r="BS2583" s="6">
        <f>Grandview_Inventory[[#This Row],[land_value]]</f>
        <v>111279.12773251849</v>
      </c>
      <c r="BT2583" s="4">
        <f>_xlfn.IFNA(VLOOKUP(Grandview_Inventory[[#This Row],[quality]],Lookups!$A$26:$C$33,3,FALSE),1)</f>
        <v>1</v>
      </c>
      <c r="BU2583" s="4">
        <f>_xlfn.IFNA(VLOOKUP(Grandview_Inventory[[#This Row],[condition]],Lookups!$A$37:$C$44,3,FALSE),1)</f>
        <v>1</v>
      </c>
      <c r="BV2583" s="4">
        <f>IF(Grandview_Inventory[[#This Row],[bldg_style]]="",1,_xlfn.IFNA(VLOOKUP(Grandview_Inventory[[#This Row],[decade]],Lookups!$F$29:$H$43,3,FALSE),1))</f>
        <v>1</v>
      </c>
      <c r="BW2583" s="4">
        <f>_xlfn.IFNA(VLOOKUP(Grandview_Inventory[[#This Row],[living_area_range]],Lookups!$F$47:$H$56,3,FALSE),1)</f>
        <v>1</v>
      </c>
      <c r="BX2583" s="4">
        <f>AVERAGE(Grandview_Inventory[[#This Row],[qual_adj]:[size_adj]])</f>
        <v>1</v>
      </c>
      <c r="BY2583" s="6">
        <f>IF(Grandview_Inventory[[#This Row],[pre_res]]&lt;0,0,Grandview_Inventory[[#This Row],[pre_res]]*Grandview_Inventory[[#This Row],[overall_adj]])</f>
        <v>0</v>
      </c>
      <c r="BZ2583" s="6">
        <f>(Grandview_Inventory[[#This Row],[sum_land]]-IF(Grandview_Inventory[[#This Row],[no_utilities]]=1,12000,0))/IF(Grandview_Inventory[[#This Row],[unbuildable]]=1,2,1)</f>
        <v>111279.12773251849</v>
      </c>
      <c r="CA2583">
        <f>IF(ROUND(Grandview_Inventory[[#This Row],[adj_land]]*Lookups!$M$28,-2)&lt;Grandview_Inventory[[#This Row],[min_land]],Grandview_Inventory[[#This Row],[min_land]],ROUND(Grandview_Inventory[[#This Row],[adj_land]]*Lookups!$M$28,-2))</f>
        <v>105700</v>
      </c>
      <c r="CB2583">
        <f>ROUND(Grandview_Inventory[[#This Row],[det_value]]*Lookups!$M$28,-2)</f>
        <v>0</v>
      </c>
      <c r="CC258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3">
        <f>Grandview_Inventory[[#This Row],[final_det]]+Grandview_Inventory[[#This Row],[final_res]]</f>
        <v>0</v>
      </c>
      <c r="CE2583">
        <f>Grandview_Inventory[[#This Row],[final_land]]+Grandview_Inventory[[#This Row],[final_imp]]+Grandview_Inventory[[#This Row],[crop_value]]</f>
        <v>105700</v>
      </c>
      <c r="CG2583" t="str">
        <f t="shared" si="40"/>
        <v>update valuation set market_land =105700, market_bldg=0, market_total =105700, market_mdno =401, market_date ='9/10/2023' where link_id = (select link_id from parcel where parcel_year = '2024' and parcel_id = '23091432001');</v>
      </c>
    </row>
    <row r="2584" spans="1:85" x14ac:dyDescent="0.25">
      <c r="A2584">
        <v>23091432463</v>
      </c>
      <c r="B2584">
        <v>1.77</v>
      </c>
      <c r="C2584" t="s">
        <v>129</v>
      </c>
      <c r="D2584" t="s">
        <v>129</v>
      </c>
      <c r="E2584" t="s">
        <v>53</v>
      </c>
      <c r="F2584" t="s">
        <v>53</v>
      </c>
      <c r="G2584">
        <v>4</v>
      </c>
      <c r="H2584" t="s">
        <v>54</v>
      </c>
      <c r="I2584" t="s">
        <v>129</v>
      </c>
      <c r="J2584" t="s">
        <v>129</v>
      </c>
      <c r="K2584">
        <v>1.77</v>
      </c>
      <c r="L2584">
        <f>IF(Grandview_Inventory[[#This Row],[parcel_acres]]-Grandview_Inventory[[#This Row],[non_valued_acres]] =0,0,LN(Grandview_Inventory[[#This Row],[parcel_acres]]-Grandview_Inventory[[#This Row],[non_valued_acres]]))</f>
        <v>0.5709795465857378</v>
      </c>
      <c r="M2584">
        <v>0</v>
      </c>
      <c r="N2584">
        <v>0</v>
      </c>
      <c r="O2584">
        <v>0</v>
      </c>
      <c r="P2584">
        <v>13398.7528</v>
      </c>
      <c r="Q2584">
        <v>63903</v>
      </c>
      <c r="R2584">
        <f>(Grandview_Inventory[[#This Row],[ln_acres]]*Grandview_Inventory[[#This Row],[coeff]])+Grandview_Inventory[[#This Row],[const]]</f>
        <v>71553.41379855838</v>
      </c>
      <c r="AY2584">
        <v>0</v>
      </c>
      <c r="AZ2584">
        <v>0</v>
      </c>
      <c r="BE2584">
        <v>0</v>
      </c>
      <c r="BF2584">
        <v>15000</v>
      </c>
      <c r="BG2584">
        <v>0</v>
      </c>
      <c r="BH2584" s="6">
        <f>Grandview_Inventory[[#This Row],[land_extract]]*Lookups!$B$3</f>
        <v>83094.786250048594</v>
      </c>
      <c r="BI2584" s="6">
        <f>IF(Grandview_Inventory[[#This Row],[bldg_style]]="",0,Lookups!$B$2)</f>
        <v>0</v>
      </c>
      <c r="BJ2584" s="6">
        <f>_xlfn.IFNA(VLOOKUP(Grandview_Inventory[[#This Row],[quality]],Lookups!$H$2:$J$14,3,FALSE),0)</f>
        <v>0</v>
      </c>
      <c r="BK2584" s="6">
        <f>_xlfn.IFNA(VLOOKUP(Grandview_Inventory[[#This Row],[condition]],Lookups!$H$17:$J$24,3,FALSE),0)</f>
        <v>0</v>
      </c>
      <c r="BL2584" s="6">
        <f>Grandview_Inventory[[#This Row],[Eff_Age]]*Lookups!$B$14</f>
        <v>0</v>
      </c>
      <c r="BM2584" s="6">
        <f>Grandview_Inventory[[#This Row],[living_area]]*Lookups!$B$15</f>
        <v>0</v>
      </c>
      <c r="BN2584" s="6">
        <f>Grandview_Inventory[[#This Row],[Fin BSMT]]*Lookups!$B$16</f>
        <v>0</v>
      </c>
      <c r="BO2584" s="6">
        <f>(Grandview_Inventory[[#This Row],[att_gar]]+Grandview_Inventory[[#This Row],[bltin_gar]])*Lookups!$B$17</f>
        <v>0</v>
      </c>
      <c r="BP2584" s="6">
        <f>Grandview_Inventory[[#This Row],[Plumbing Fixtures]]*Lookups!$B$18</f>
        <v>0</v>
      </c>
      <c r="BQ2584" s="6">
        <f>Grandview_Inventory[[#This Row],[detatched_value]]*Lookups!$B$19</f>
        <v>0</v>
      </c>
      <c r="BR2584" s="6">
        <f>SUM(Grandview_Inventory[[#This Row],[Intercept]:[det_value]])*Grandview_Inventory[[#This Row],[res_pct]]</f>
        <v>0</v>
      </c>
      <c r="BS2584" s="6">
        <f>Grandview_Inventory[[#This Row],[land_value]]</f>
        <v>83094.786250048594</v>
      </c>
      <c r="BT2584" s="4">
        <f>_xlfn.IFNA(VLOOKUP(Grandview_Inventory[[#This Row],[quality]],Lookups!$A$26:$C$33,3,FALSE),1)</f>
        <v>1</v>
      </c>
      <c r="BU2584" s="4">
        <f>_xlfn.IFNA(VLOOKUP(Grandview_Inventory[[#This Row],[condition]],Lookups!$A$37:$C$44,3,FALSE),1)</f>
        <v>1</v>
      </c>
      <c r="BV2584" s="4">
        <f>IF(Grandview_Inventory[[#This Row],[bldg_style]]="",1,_xlfn.IFNA(VLOOKUP(Grandview_Inventory[[#This Row],[decade]],Lookups!$F$29:$H$43,3,FALSE),1))</f>
        <v>1</v>
      </c>
      <c r="BW2584" s="4">
        <f>_xlfn.IFNA(VLOOKUP(Grandview_Inventory[[#This Row],[living_area_range]],Lookups!$F$47:$H$56,3,FALSE),1)</f>
        <v>1</v>
      </c>
      <c r="BX2584" s="4">
        <f>AVERAGE(Grandview_Inventory[[#This Row],[qual_adj]:[size_adj]])</f>
        <v>1</v>
      </c>
      <c r="BY2584" s="6">
        <f>IF(Grandview_Inventory[[#This Row],[pre_res]]&lt;0,0,Grandview_Inventory[[#This Row],[pre_res]]*Grandview_Inventory[[#This Row],[overall_adj]])</f>
        <v>0</v>
      </c>
      <c r="BZ2584" s="6">
        <f>(Grandview_Inventory[[#This Row],[sum_land]]-IF(Grandview_Inventory[[#This Row],[no_utilities]]=1,12000,0))/IF(Grandview_Inventory[[#This Row],[unbuildable]]=1,2,1)</f>
        <v>83094.786250048594</v>
      </c>
      <c r="CA2584">
        <f>IF(ROUND(Grandview_Inventory[[#This Row],[adj_land]]*Lookups!$M$28,-2)&lt;Grandview_Inventory[[#This Row],[min_land]],Grandview_Inventory[[#This Row],[min_land]],ROUND(Grandview_Inventory[[#This Row],[adj_land]]*Lookups!$M$28,-2))</f>
        <v>78900</v>
      </c>
      <c r="CB2584">
        <f>ROUND(Grandview_Inventory[[#This Row],[det_value]]*Lookups!$M$28,-2)</f>
        <v>0</v>
      </c>
      <c r="CC258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4">
        <f>Grandview_Inventory[[#This Row],[final_det]]+Grandview_Inventory[[#This Row],[final_res]]</f>
        <v>0</v>
      </c>
      <c r="CE2584">
        <f>Grandview_Inventory[[#This Row],[final_land]]+Grandview_Inventory[[#This Row],[final_imp]]+Grandview_Inventory[[#This Row],[crop_value]]</f>
        <v>78900</v>
      </c>
      <c r="CG2584" t="str">
        <f t="shared" si="40"/>
        <v>update valuation set market_land =78900, market_bldg=0, market_total =78900, market_mdno =401, market_date ='9/10/2023' where link_id = (select link_id from parcel where parcel_year = '2024' and parcel_id = '23091432463');</v>
      </c>
    </row>
    <row r="2585" spans="1:85" x14ac:dyDescent="0.25">
      <c r="A2585">
        <v>23091432464</v>
      </c>
      <c r="B2585">
        <v>4.7</v>
      </c>
      <c r="C2585" t="s">
        <v>129</v>
      </c>
      <c r="D2585" t="s">
        <v>129</v>
      </c>
      <c r="E2585" t="s">
        <v>53</v>
      </c>
      <c r="F2585" t="s">
        <v>53</v>
      </c>
      <c r="G2585">
        <v>4</v>
      </c>
      <c r="H2585" t="s">
        <v>54</v>
      </c>
      <c r="I2585" t="s">
        <v>129</v>
      </c>
      <c r="J2585" t="s">
        <v>129</v>
      </c>
      <c r="K2585">
        <v>4.7</v>
      </c>
      <c r="L2585">
        <f>IF(Grandview_Inventory[[#This Row],[parcel_acres]]-Grandview_Inventory[[#This Row],[non_valued_acres]] =0,0,LN(Grandview_Inventory[[#This Row],[parcel_acres]]-Grandview_Inventory[[#This Row],[non_valued_acres]]))</f>
        <v>1.547562508716013</v>
      </c>
      <c r="M2585">
        <v>0</v>
      </c>
      <c r="N2585">
        <v>0</v>
      </c>
      <c r="O2585">
        <v>0</v>
      </c>
      <c r="P2585">
        <v>13398.7528</v>
      </c>
      <c r="Q2585">
        <v>63903</v>
      </c>
      <c r="R2585">
        <f>(Grandview_Inventory[[#This Row],[ln_acres]]*Grandview_Inventory[[#This Row],[coeff]])+Grandview_Inventory[[#This Row],[const]]</f>
        <v>84638.407496833708</v>
      </c>
      <c r="AY2585">
        <v>0</v>
      </c>
      <c r="AZ2585">
        <v>0</v>
      </c>
      <c r="BE2585">
        <v>0</v>
      </c>
      <c r="BF2585">
        <v>15000</v>
      </c>
      <c r="BG2585">
        <v>0</v>
      </c>
      <c r="BH2585" s="6">
        <f>Grandview_Inventory[[#This Row],[land_extract]]*Lookups!$B$3</f>
        <v>98290.354102372745</v>
      </c>
      <c r="BI2585" s="6">
        <f>IF(Grandview_Inventory[[#This Row],[bldg_style]]="",0,Lookups!$B$2)</f>
        <v>0</v>
      </c>
      <c r="BJ2585" s="6">
        <f>_xlfn.IFNA(VLOOKUP(Grandview_Inventory[[#This Row],[quality]],Lookups!$H$2:$J$14,3,FALSE),0)</f>
        <v>0</v>
      </c>
      <c r="BK2585" s="6">
        <f>_xlfn.IFNA(VLOOKUP(Grandview_Inventory[[#This Row],[condition]],Lookups!$H$17:$J$24,3,FALSE),0)</f>
        <v>0</v>
      </c>
      <c r="BL2585" s="6">
        <f>Grandview_Inventory[[#This Row],[Eff_Age]]*Lookups!$B$14</f>
        <v>0</v>
      </c>
      <c r="BM2585" s="6">
        <f>Grandview_Inventory[[#This Row],[living_area]]*Lookups!$B$15</f>
        <v>0</v>
      </c>
      <c r="BN2585" s="6">
        <f>Grandview_Inventory[[#This Row],[Fin BSMT]]*Lookups!$B$16</f>
        <v>0</v>
      </c>
      <c r="BO2585" s="6">
        <f>(Grandview_Inventory[[#This Row],[att_gar]]+Grandview_Inventory[[#This Row],[bltin_gar]])*Lookups!$B$17</f>
        <v>0</v>
      </c>
      <c r="BP2585" s="6">
        <f>Grandview_Inventory[[#This Row],[Plumbing Fixtures]]*Lookups!$B$18</f>
        <v>0</v>
      </c>
      <c r="BQ2585" s="6">
        <f>Grandview_Inventory[[#This Row],[detatched_value]]*Lookups!$B$19</f>
        <v>0</v>
      </c>
      <c r="BR2585" s="6">
        <f>SUM(Grandview_Inventory[[#This Row],[Intercept]:[det_value]])*Grandview_Inventory[[#This Row],[res_pct]]</f>
        <v>0</v>
      </c>
      <c r="BS2585" s="6">
        <f>Grandview_Inventory[[#This Row],[land_value]]</f>
        <v>98290.354102372745</v>
      </c>
      <c r="BT2585" s="4">
        <f>_xlfn.IFNA(VLOOKUP(Grandview_Inventory[[#This Row],[quality]],Lookups!$A$26:$C$33,3,FALSE),1)</f>
        <v>1</v>
      </c>
      <c r="BU2585" s="4">
        <f>_xlfn.IFNA(VLOOKUP(Grandview_Inventory[[#This Row],[condition]],Lookups!$A$37:$C$44,3,FALSE),1)</f>
        <v>1</v>
      </c>
      <c r="BV2585" s="4">
        <f>IF(Grandview_Inventory[[#This Row],[bldg_style]]="",1,_xlfn.IFNA(VLOOKUP(Grandview_Inventory[[#This Row],[decade]],Lookups!$F$29:$H$43,3,FALSE),1))</f>
        <v>1</v>
      </c>
      <c r="BW2585" s="4">
        <f>_xlfn.IFNA(VLOOKUP(Grandview_Inventory[[#This Row],[living_area_range]],Lookups!$F$47:$H$56,3,FALSE),1)</f>
        <v>1</v>
      </c>
      <c r="BX2585" s="4">
        <f>AVERAGE(Grandview_Inventory[[#This Row],[qual_adj]:[size_adj]])</f>
        <v>1</v>
      </c>
      <c r="BY2585" s="6">
        <f>IF(Grandview_Inventory[[#This Row],[pre_res]]&lt;0,0,Grandview_Inventory[[#This Row],[pre_res]]*Grandview_Inventory[[#This Row],[overall_adj]])</f>
        <v>0</v>
      </c>
      <c r="BZ2585" s="6">
        <f>(Grandview_Inventory[[#This Row],[sum_land]]-IF(Grandview_Inventory[[#This Row],[no_utilities]]=1,12000,0))/IF(Grandview_Inventory[[#This Row],[unbuildable]]=1,2,1)</f>
        <v>98290.354102372745</v>
      </c>
      <c r="CA2585">
        <f>IF(ROUND(Grandview_Inventory[[#This Row],[adj_land]]*Lookups!$M$28,-2)&lt;Grandview_Inventory[[#This Row],[min_land]],Grandview_Inventory[[#This Row],[min_land]],ROUND(Grandview_Inventory[[#This Row],[adj_land]]*Lookups!$M$28,-2))</f>
        <v>93400</v>
      </c>
      <c r="CB2585">
        <f>ROUND(Grandview_Inventory[[#This Row],[det_value]]*Lookups!$M$28,-2)</f>
        <v>0</v>
      </c>
      <c r="CC258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5">
        <f>Grandview_Inventory[[#This Row],[final_det]]+Grandview_Inventory[[#This Row],[final_res]]</f>
        <v>0</v>
      </c>
      <c r="CE2585">
        <f>Grandview_Inventory[[#This Row],[final_land]]+Grandview_Inventory[[#This Row],[final_imp]]+Grandview_Inventory[[#This Row],[crop_value]]</f>
        <v>93400</v>
      </c>
      <c r="CG2585" t="str">
        <f t="shared" si="40"/>
        <v>update valuation set market_land =93400, market_bldg=0, market_total =93400, market_mdno =401, market_date ='9/10/2023' where link_id = (select link_id from parcel where parcel_year = '2024' and parcel_id = '23091432464');</v>
      </c>
    </row>
    <row r="2586" spans="1:85" x14ac:dyDescent="0.25">
      <c r="A2586">
        <v>23091432465</v>
      </c>
      <c r="B2586" t="s">
        <v>129</v>
      </c>
      <c r="C2586">
        <v>6901</v>
      </c>
      <c r="D2586" t="s">
        <v>129</v>
      </c>
      <c r="E2586" t="s">
        <v>53</v>
      </c>
      <c r="F2586" t="s">
        <v>53</v>
      </c>
      <c r="G2586">
        <v>4</v>
      </c>
      <c r="H2586" t="s">
        <v>54</v>
      </c>
      <c r="I2586" t="s">
        <v>129</v>
      </c>
      <c r="J2586" t="s">
        <v>129</v>
      </c>
      <c r="K2586">
        <v>0.16</v>
      </c>
      <c r="L258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586">
        <v>0</v>
      </c>
      <c r="N2586">
        <v>0</v>
      </c>
      <c r="O2586">
        <v>0</v>
      </c>
      <c r="P2586">
        <v>13398.7528</v>
      </c>
      <c r="Q2586">
        <v>63903</v>
      </c>
      <c r="R2586">
        <f>(Grandview_Inventory[[#This Row],[ln_acres]]*Grandview_Inventory[[#This Row],[coeff]])+Grandview_Inventory[[#This Row],[const]]</f>
        <v>39348.693981374228</v>
      </c>
      <c r="AY2586">
        <v>0</v>
      </c>
      <c r="AZ2586">
        <v>0</v>
      </c>
      <c r="BE2586">
        <v>0</v>
      </c>
      <c r="BF2586">
        <v>15000</v>
      </c>
      <c r="BG2586">
        <v>0</v>
      </c>
      <c r="BH2586" s="6">
        <f>Grandview_Inventory[[#This Row],[land_extract]]*Lookups!$B$3</f>
        <v>45695.532079096141</v>
      </c>
      <c r="BI2586" s="6">
        <f>IF(Grandview_Inventory[[#This Row],[bldg_style]]="",0,Lookups!$B$2)</f>
        <v>0</v>
      </c>
      <c r="BJ2586" s="6">
        <f>_xlfn.IFNA(VLOOKUP(Grandview_Inventory[[#This Row],[quality]],Lookups!$H$2:$J$14,3,FALSE),0)</f>
        <v>0</v>
      </c>
      <c r="BK2586" s="6">
        <f>_xlfn.IFNA(VLOOKUP(Grandview_Inventory[[#This Row],[condition]],Lookups!$H$17:$J$24,3,FALSE),0)</f>
        <v>0</v>
      </c>
      <c r="BL2586" s="6">
        <f>Grandview_Inventory[[#This Row],[Eff_Age]]*Lookups!$B$14</f>
        <v>0</v>
      </c>
      <c r="BM2586" s="6">
        <f>Grandview_Inventory[[#This Row],[living_area]]*Lookups!$B$15</f>
        <v>0</v>
      </c>
      <c r="BN2586" s="6">
        <f>Grandview_Inventory[[#This Row],[Fin BSMT]]*Lookups!$B$16</f>
        <v>0</v>
      </c>
      <c r="BO2586" s="6">
        <f>(Grandview_Inventory[[#This Row],[att_gar]]+Grandview_Inventory[[#This Row],[bltin_gar]])*Lookups!$B$17</f>
        <v>0</v>
      </c>
      <c r="BP2586" s="6">
        <f>Grandview_Inventory[[#This Row],[Plumbing Fixtures]]*Lookups!$B$18</f>
        <v>0</v>
      </c>
      <c r="BQ2586" s="6">
        <f>Grandview_Inventory[[#This Row],[detatched_value]]*Lookups!$B$19</f>
        <v>0</v>
      </c>
      <c r="BR2586" s="6">
        <f>SUM(Grandview_Inventory[[#This Row],[Intercept]:[det_value]])*Grandview_Inventory[[#This Row],[res_pct]]</f>
        <v>0</v>
      </c>
      <c r="BS2586" s="6">
        <f>Grandview_Inventory[[#This Row],[land_value]]</f>
        <v>45695.532079096141</v>
      </c>
      <c r="BT2586" s="4">
        <f>_xlfn.IFNA(VLOOKUP(Grandview_Inventory[[#This Row],[quality]],Lookups!$A$26:$C$33,3,FALSE),1)</f>
        <v>1</v>
      </c>
      <c r="BU2586" s="4">
        <f>_xlfn.IFNA(VLOOKUP(Grandview_Inventory[[#This Row],[condition]],Lookups!$A$37:$C$44,3,FALSE),1)</f>
        <v>1</v>
      </c>
      <c r="BV2586" s="4">
        <f>IF(Grandview_Inventory[[#This Row],[bldg_style]]="",1,_xlfn.IFNA(VLOOKUP(Grandview_Inventory[[#This Row],[decade]],Lookups!$F$29:$H$43,3,FALSE),1))</f>
        <v>1</v>
      </c>
      <c r="BW2586" s="4">
        <f>_xlfn.IFNA(VLOOKUP(Grandview_Inventory[[#This Row],[living_area_range]],Lookups!$F$47:$H$56,3,FALSE),1)</f>
        <v>1</v>
      </c>
      <c r="BX2586" s="4">
        <f>AVERAGE(Grandview_Inventory[[#This Row],[qual_adj]:[size_adj]])</f>
        <v>1</v>
      </c>
      <c r="BY2586" s="6">
        <f>IF(Grandview_Inventory[[#This Row],[pre_res]]&lt;0,0,Grandview_Inventory[[#This Row],[pre_res]]*Grandview_Inventory[[#This Row],[overall_adj]])</f>
        <v>0</v>
      </c>
      <c r="BZ2586" s="6">
        <f>(Grandview_Inventory[[#This Row],[sum_land]]-IF(Grandview_Inventory[[#This Row],[no_utilities]]=1,12000,0))/IF(Grandview_Inventory[[#This Row],[unbuildable]]=1,2,1)</f>
        <v>45695.532079096141</v>
      </c>
      <c r="CA258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586">
        <f>ROUND(Grandview_Inventory[[#This Row],[det_value]]*Lookups!$M$28,-2)</f>
        <v>0</v>
      </c>
      <c r="CC258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6">
        <f>Grandview_Inventory[[#This Row],[final_det]]+Grandview_Inventory[[#This Row],[final_res]]</f>
        <v>0</v>
      </c>
      <c r="CE2586">
        <f>Grandview_Inventory[[#This Row],[final_land]]+Grandview_Inventory[[#This Row],[final_imp]]+Grandview_Inventory[[#This Row],[crop_value]]</f>
        <v>43400</v>
      </c>
      <c r="CG2586" t="str">
        <f t="shared" si="40"/>
        <v>update valuation set market_land =43400, market_bldg=0, market_total =43400, market_mdno =401, market_date ='9/10/2023' where link_id = (select link_id from parcel where parcel_year = '2024' and parcel_id = '23091432465');</v>
      </c>
    </row>
    <row r="2587" spans="1:85" x14ac:dyDescent="0.25">
      <c r="A2587">
        <v>23091432466</v>
      </c>
      <c r="B2587" t="s">
        <v>129</v>
      </c>
      <c r="C2587">
        <v>5340</v>
      </c>
      <c r="D2587" t="s">
        <v>129</v>
      </c>
      <c r="E2587" t="s">
        <v>53</v>
      </c>
      <c r="F2587" t="s">
        <v>53</v>
      </c>
      <c r="G2587">
        <v>4</v>
      </c>
      <c r="H2587" t="s">
        <v>54</v>
      </c>
      <c r="I2587" t="s">
        <v>129</v>
      </c>
      <c r="J2587" t="s">
        <v>129</v>
      </c>
      <c r="K2587">
        <v>0.12</v>
      </c>
      <c r="L258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87">
        <v>0</v>
      </c>
      <c r="N2587">
        <v>0</v>
      </c>
      <c r="O2587">
        <v>0</v>
      </c>
      <c r="P2587">
        <v>13398.7528</v>
      </c>
      <c r="Q2587">
        <v>63903</v>
      </c>
      <c r="R2587">
        <f>(Grandview_Inventory[[#This Row],[ln_acres]]*Grandview_Inventory[[#This Row],[coeff]])+Grandview_Inventory[[#This Row],[const]]</f>
        <v>35494.113007601132</v>
      </c>
      <c r="AY2587">
        <v>0</v>
      </c>
      <c r="AZ2587">
        <v>0</v>
      </c>
      <c r="BE2587">
        <v>0</v>
      </c>
      <c r="BF2587">
        <v>15000</v>
      </c>
      <c r="BG2587">
        <v>0</v>
      </c>
      <c r="BH2587" s="6">
        <f>Grandview_Inventory[[#This Row],[land_extract]]*Lookups!$B$3</f>
        <v>41219.217601622076</v>
      </c>
      <c r="BI2587" s="6">
        <f>IF(Grandview_Inventory[[#This Row],[bldg_style]]="",0,Lookups!$B$2)</f>
        <v>0</v>
      </c>
      <c r="BJ2587" s="6">
        <f>_xlfn.IFNA(VLOOKUP(Grandview_Inventory[[#This Row],[quality]],Lookups!$H$2:$J$14,3,FALSE),0)</f>
        <v>0</v>
      </c>
      <c r="BK2587" s="6">
        <f>_xlfn.IFNA(VLOOKUP(Grandview_Inventory[[#This Row],[condition]],Lookups!$H$17:$J$24,3,FALSE),0)</f>
        <v>0</v>
      </c>
      <c r="BL2587" s="6">
        <f>Grandview_Inventory[[#This Row],[Eff_Age]]*Lookups!$B$14</f>
        <v>0</v>
      </c>
      <c r="BM2587" s="6">
        <f>Grandview_Inventory[[#This Row],[living_area]]*Lookups!$B$15</f>
        <v>0</v>
      </c>
      <c r="BN2587" s="6">
        <f>Grandview_Inventory[[#This Row],[Fin BSMT]]*Lookups!$B$16</f>
        <v>0</v>
      </c>
      <c r="BO2587" s="6">
        <f>(Grandview_Inventory[[#This Row],[att_gar]]+Grandview_Inventory[[#This Row],[bltin_gar]])*Lookups!$B$17</f>
        <v>0</v>
      </c>
      <c r="BP2587" s="6">
        <f>Grandview_Inventory[[#This Row],[Plumbing Fixtures]]*Lookups!$B$18</f>
        <v>0</v>
      </c>
      <c r="BQ2587" s="6">
        <f>Grandview_Inventory[[#This Row],[detatched_value]]*Lookups!$B$19</f>
        <v>0</v>
      </c>
      <c r="BR2587" s="6">
        <f>SUM(Grandview_Inventory[[#This Row],[Intercept]:[det_value]])*Grandview_Inventory[[#This Row],[res_pct]]</f>
        <v>0</v>
      </c>
      <c r="BS2587" s="6">
        <f>Grandview_Inventory[[#This Row],[land_value]]</f>
        <v>41219.217601622076</v>
      </c>
      <c r="BT2587" s="4">
        <f>_xlfn.IFNA(VLOOKUP(Grandview_Inventory[[#This Row],[quality]],Lookups!$A$26:$C$33,3,FALSE),1)</f>
        <v>1</v>
      </c>
      <c r="BU2587" s="4">
        <f>_xlfn.IFNA(VLOOKUP(Grandview_Inventory[[#This Row],[condition]],Lookups!$A$37:$C$44,3,FALSE),1)</f>
        <v>1</v>
      </c>
      <c r="BV2587" s="4">
        <f>IF(Grandview_Inventory[[#This Row],[bldg_style]]="",1,_xlfn.IFNA(VLOOKUP(Grandview_Inventory[[#This Row],[decade]],Lookups!$F$29:$H$43,3,FALSE),1))</f>
        <v>1</v>
      </c>
      <c r="BW2587" s="4">
        <f>_xlfn.IFNA(VLOOKUP(Grandview_Inventory[[#This Row],[living_area_range]],Lookups!$F$47:$H$56,3,FALSE),1)</f>
        <v>1</v>
      </c>
      <c r="BX2587" s="4">
        <f>AVERAGE(Grandview_Inventory[[#This Row],[qual_adj]:[size_adj]])</f>
        <v>1</v>
      </c>
      <c r="BY2587" s="6">
        <f>IF(Grandview_Inventory[[#This Row],[pre_res]]&lt;0,0,Grandview_Inventory[[#This Row],[pre_res]]*Grandview_Inventory[[#This Row],[overall_adj]])</f>
        <v>0</v>
      </c>
      <c r="BZ2587" s="6">
        <f>(Grandview_Inventory[[#This Row],[sum_land]]-IF(Grandview_Inventory[[#This Row],[no_utilities]]=1,12000,0))/IF(Grandview_Inventory[[#This Row],[unbuildable]]=1,2,1)</f>
        <v>41219.217601622076</v>
      </c>
      <c r="CA258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87">
        <f>ROUND(Grandview_Inventory[[#This Row],[det_value]]*Lookups!$M$28,-2)</f>
        <v>0</v>
      </c>
      <c r="CC258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7">
        <f>Grandview_Inventory[[#This Row],[final_det]]+Grandview_Inventory[[#This Row],[final_res]]</f>
        <v>0</v>
      </c>
      <c r="CE2587">
        <f>Grandview_Inventory[[#This Row],[final_land]]+Grandview_Inventory[[#This Row],[final_imp]]+Grandview_Inventory[[#This Row],[crop_value]]</f>
        <v>39200</v>
      </c>
      <c r="CG2587" t="str">
        <f t="shared" si="40"/>
        <v>update valuation set market_land =39200, market_bldg=0, market_total =39200, market_mdno =401, market_date ='9/10/2023' where link_id = (select link_id from parcel where parcel_year = '2024' and parcel_id = '23091432466');</v>
      </c>
    </row>
    <row r="2588" spans="1:85" x14ac:dyDescent="0.25">
      <c r="A2588">
        <v>23091432467</v>
      </c>
      <c r="B2588" t="s">
        <v>129</v>
      </c>
      <c r="C2588">
        <v>5340</v>
      </c>
      <c r="D2588" t="s">
        <v>129</v>
      </c>
      <c r="E2588" t="s">
        <v>53</v>
      </c>
      <c r="F2588" t="s">
        <v>53</v>
      </c>
      <c r="G2588">
        <v>4</v>
      </c>
      <c r="H2588" t="s">
        <v>54</v>
      </c>
      <c r="I2588" t="s">
        <v>129</v>
      </c>
      <c r="J2588" t="s">
        <v>129</v>
      </c>
      <c r="K2588">
        <v>0.12</v>
      </c>
      <c r="L258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88">
        <v>0</v>
      </c>
      <c r="N2588">
        <v>0</v>
      </c>
      <c r="O2588">
        <v>0</v>
      </c>
      <c r="P2588">
        <v>13398.7528</v>
      </c>
      <c r="Q2588">
        <v>63903</v>
      </c>
      <c r="R2588">
        <f>(Grandview_Inventory[[#This Row],[ln_acres]]*Grandview_Inventory[[#This Row],[coeff]])+Grandview_Inventory[[#This Row],[const]]</f>
        <v>35494.113007601132</v>
      </c>
      <c r="AY2588">
        <v>0</v>
      </c>
      <c r="AZ2588">
        <v>0</v>
      </c>
      <c r="BE2588">
        <v>0</v>
      </c>
      <c r="BF2588">
        <v>15000</v>
      </c>
      <c r="BG2588">
        <v>0</v>
      </c>
      <c r="BH2588" s="6">
        <f>Grandview_Inventory[[#This Row],[land_extract]]*Lookups!$B$3</f>
        <v>41219.217601622076</v>
      </c>
      <c r="BI2588" s="6">
        <f>IF(Grandview_Inventory[[#This Row],[bldg_style]]="",0,Lookups!$B$2)</f>
        <v>0</v>
      </c>
      <c r="BJ2588" s="6">
        <f>_xlfn.IFNA(VLOOKUP(Grandview_Inventory[[#This Row],[quality]],Lookups!$H$2:$J$14,3,FALSE),0)</f>
        <v>0</v>
      </c>
      <c r="BK2588" s="6">
        <f>_xlfn.IFNA(VLOOKUP(Grandview_Inventory[[#This Row],[condition]],Lookups!$H$17:$J$24,3,FALSE),0)</f>
        <v>0</v>
      </c>
      <c r="BL2588" s="6">
        <f>Grandview_Inventory[[#This Row],[Eff_Age]]*Lookups!$B$14</f>
        <v>0</v>
      </c>
      <c r="BM2588" s="6">
        <f>Grandview_Inventory[[#This Row],[living_area]]*Lookups!$B$15</f>
        <v>0</v>
      </c>
      <c r="BN2588" s="6">
        <f>Grandview_Inventory[[#This Row],[Fin BSMT]]*Lookups!$B$16</f>
        <v>0</v>
      </c>
      <c r="BO2588" s="6">
        <f>(Grandview_Inventory[[#This Row],[att_gar]]+Grandview_Inventory[[#This Row],[bltin_gar]])*Lookups!$B$17</f>
        <v>0</v>
      </c>
      <c r="BP2588" s="6">
        <f>Grandview_Inventory[[#This Row],[Plumbing Fixtures]]*Lookups!$B$18</f>
        <v>0</v>
      </c>
      <c r="BQ2588" s="6">
        <f>Grandview_Inventory[[#This Row],[detatched_value]]*Lookups!$B$19</f>
        <v>0</v>
      </c>
      <c r="BR2588" s="6">
        <f>SUM(Grandview_Inventory[[#This Row],[Intercept]:[det_value]])*Grandview_Inventory[[#This Row],[res_pct]]</f>
        <v>0</v>
      </c>
      <c r="BS2588" s="6">
        <f>Grandview_Inventory[[#This Row],[land_value]]</f>
        <v>41219.217601622076</v>
      </c>
      <c r="BT2588" s="4">
        <f>_xlfn.IFNA(VLOOKUP(Grandview_Inventory[[#This Row],[quality]],Lookups!$A$26:$C$33,3,FALSE),1)</f>
        <v>1</v>
      </c>
      <c r="BU2588" s="4">
        <f>_xlfn.IFNA(VLOOKUP(Grandview_Inventory[[#This Row],[condition]],Lookups!$A$37:$C$44,3,FALSE),1)</f>
        <v>1</v>
      </c>
      <c r="BV2588" s="4">
        <f>IF(Grandview_Inventory[[#This Row],[bldg_style]]="",1,_xlfn.IFNA(VLOOKUP(Grandview_Inventory[[#This Row],[decade]],Lookups!$F$29:$H$43,3,FALSE),1))</f>
        <v>1</v>
      </c>
      <c r="BW2588" s="4">
        <f>_xlfn.IFNA(VLOOKUP(Grandview_Inventory[[#This Row],[living_area_range]],Lookups!$F$47:$H$56,3,FALSE),1)</f>
        <v>1</v>
      </c>
      <c r="BX2588" s="4">
        <f>AVERAGE(Grandview_Inventory[[#This Row],[qual_adj]:[size_adj]])</f>
        <v>1</v>
      </c>
      <c r="BY2588" s="6">
        <f>IF(Grandview_Inventory[[#This Row],[pre_res]]&lt;0,0,Grandview_Inventory[[#This Row],[pre_res]]*Grandview_Inventory[[#This Row],[overall_adj]])</f>
        <v>0</v>
      </c>
      <c r="BZ2588" s="6">
        <f>(Grandview_Inventory[[#This Row],[sum_land]]-IF(Grandview_Inventory[[#This Row],[no_utilities]]=1,12000,0))/IF(Grandview_Inventory[[#This Row],[unbuildable]]=1,2,1)</f>
        <v>41219.217601622076</v>
      </c>
      <c r="CA258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88">
        <f>ROUND(Grandview_Inventory[[#This Row],[det_value]]*Lookups!$M$28,-2)</f>
        <v>0</v>
      </c>
      <c r="CC258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8">
        <f>Grandview_Inventory[[#This Row],[final_det]]+Grandview_Inventory[[#This Row],[final_res]]</f>
        <v>0</v>
      </c>
      <c r="CE2588">
        <f>Grandview_Inventory[[#This Row],[final_land]]+Grandview_Inventory[[#This Row],[final_imp]]+Grandview_Inventory[[#This Row],[crop_value]]</f>
        <v>39200</v>
      </c>
      <c r="CG2588" t="str">
        <f t="shared" si="40"/>
        <v>update valuation set market_land =39200, market_bldg=0, market_total =39200, market_mdno =401, market_date ='9/10/2023' where link_id = (select link_id from parcel where parcel_year = '2024' and parcel_id = '23091432467');</v>
      </c>
    </row>
    <row r="2589" spans="1:85" x14ac:dyDescent="0.25">
      <c r="A2589">
        <v>23091432468</v>
      </c>
      <c r="B2589" t="s">
        <v>129</v>
      </c>
      <c r="C2589">
        <v>5340</v>
      </c>
      <c r="D2589" t="s">
        <v>129</v>
      </c>
      <c r="E2589" t="s">
        <v>53</v>
      </c>
      <c r="F2589" t="s">
        <v>53</v>
      </c>
      <c r="G2589">
        <v>4</v>
      </c>
      <c r="H2589" t="s">
        <v>54</v>
      </c>
      <c r="I2589" t="s">
        <v>129</v>
      </c>
      <c r="J2589" t="s">
        <v>129</v>
      </c>
      <c r="K2589">
        <v>0.12</v>
      </c>
      <c r="L258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89">
        <v>0</v>
      </c>
      <c r="N2589">
        <v>0</v>
      </c>
      <c r="O2589">
        <v>0</v>
      </c>
      <c r="P2589">
        <v>13398.7528</v>
      </c>
      <c r="Q2589">
        <v>63903</v>
      </c>
      <c r="R2589">
        <f>(Grandview_Inventory[[#This Row],[ln_acres]]*Grandview_Inventory[[#This Row],[coeff]])+Grandview_Inventory[[#This Row],[const]]</f>
        <v>35494.113007601132</v>
      </c>
      <c r="AY2589">
        <v>0</v>
      </c>
      <c r="AZ2589">
        <v>0</v>
      </c>
      <c r="BE2589">
        <v>0</v>
      </c>
      <c r="BF2589">
        <v>15000</v>
      </c>
      <c r="BG2589">
        <v>0</v>
      </c>
      <c r="BH2589" s="6">
        <f>Grandview_Inventory[[#This Row],[land_extract]]*Lookups!$B$3</f>
        <v>41219.217601622076</v>
      </c>
      <c r="BI2589" s="6">
        <f>IF(Grandview_Inventory[[#This Row],[bldg_style]]="",0,Lookups!$B$2)</f>
        <v>0</v>
      </c>
      <c r="BJ2589" s="6">
        <f>_xlfn.IFNA(VLOOKUP(Grandview_Inventory[[#This Row],[quality]],Lookups!$H$2:$J$14,3,FALSE),0)</f>
        <v>0</v>
      </c>
      <c r="BK2589" s="6">
        <f>_xlfn.IFNA(VLOOKUP(Grandview_Inventory[[#This Row],[condition]],Lookups!$H$17:$J$24,3,FALSE),0)</f>
        <v>0</v>
      </c>
      <c r="BL2589" s="6">
        <f>Grandview_Inventory[[#This Row],[Eff_Age]]*Lookups!$B$14</f>
        <v>0</v>
      </c>
      <c r="BM2589" s="6">
        <f>Grandview_Inventory[[#This Row],[living_area]]*Lookups!$B$15</f>
        <v>0</v>
      </c>
      <c r="BN2589" s="6">
        <f>Grandview_Inventory[[#This Row],[Fin BSMT]]*Lookups!$B$16</f>
        <v>0</v>
      </c>
      <c r="BO2589" s="6">
        <f>(Grandview_Inventory[[#This Row],[att_gar]]+Grandview_Inventory[[#This Row],[bltin_gar]])*Lookups!$B$17</f>
        <v>0</v>
      </c>
      <c r="BP2589" s="6">
        <f>Grandview_Inventory[[#This Row],[Plumbing Fixtures]]*Lookups!$B$18</f>
        <v>0</v>
      </c>
      <c r="BQ2589" s="6">
        <f>Grandview_Inventory[[#This Row],[detatched_value]]*Lookups!$B$19</f>
        <v>0</v>
      </c>
      <c r="BR2589" s="6">
        <f>SUM(Grandview_Inventory[[#This Row],[Intercept]:[det_value]])*Grandview_Inventory[[#This Row],[res_pct]]</f>
        <v>0</v>
      </c>
      <c r="BS2589" s="6">
        <f>Grandview_Inventory[[#This Row],[land_value]]</f>
        <v>41219.217601622076</v>
      </c>
      <c r="BT2589" s="4">
        <f>_xlfn.IFNA(VLOOKUP(Grandview_Inventory[[#This Row],[quality]],Lookups!$A$26:$C$33,3,FALSE),1)</f>
        <v>1</v>
      </c>
      <c r="BU2589" s="4">
        <f>_xlfn.IFNA(VLOOKUP(Grandview_Inventory[[#This Row],[condition]],Lookups!$A$37:$C$44,3,FALSE),1)</f>
        <v>1</v>
      </c>
      <c r="BV2589" s="4">
        <f>IF(Grandview_Inventory[[#This Row],[bldg_style]]="",1,_xlfn.IFNA(VLOOKUP(Grandview_Inventory[[#This Row],[decade]],Lookups!$F$29:$H$43,3,FALSE),1))</f>
        <v>1</v>
      </c>
      <c r="BW2589" s="4">
        <f>_xlfn.IFNA(VLOOKUP(Grandview_Inventory[[#This Row],[living_area_range]],Lookups!$F$47:$H$56,3,FALSE),1)</f>
        <v>1</v>
      </c>
      <c r="BX2589" s="4">
        <f>AVERAGE(Grandview_Inventory[[#This Row],[qual_adj]:[size_adj]])</f>
        <v>1</v>
      </c>
      <c r="BY2589" s="6">
        <f>IF(Grandview_Inventory[[#This Row],[pre_res]]&lt;0,0,Grandview_Inventory[[#This Row],[pre_res]]*Grandview_Inventory[[#This Row],[overall_adj]])</f>
        <v>0</v>
      </c>
      <c r="BZ2589" s="6">
        <f>(Grandview_Inventory[[#This Row],[sum_land]]-IF(Grandview_Inventory[[#This Row],[no_utilities]]=1,12000,0))/IF(Grandview_Inventory[[#This Row],[unbuildable]]=1,2,1)</f>
        <v>41219.217601622076</v>
      </c>
      <c r="CA258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89">
        <f>ROUND(Grandview_Inventory[[#This Row],[det_value]]*Lookups!$M$28,-2)</f>
        <v>0</v>
      </c>
      <c r="CC258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89">
        <f>Grandview_Inventory[[#This Row],[final_det]]+Grandview_Inventory[[#This Row],[final_res]]</f>
        <v>0</v>
      </c>
      <c r="CE2589">
        <f>Grandview_Inventory[[#This Row],[final_land]]+Grandview_Inventory[[#This Row],[final_imp]]+Grandview_Inventory[[#This Row],[crop_value]]</f>
        <v>39200</v>
      </c>
      <c r="CG2589" t="str">
        <f t="shared" si="40"/>
        <v>update valuation set market_land =39200, market_bldg=0, market_total =39200, market_mdno =401, market_date ='9/10/2023' where link_id = (select link_id from parcel where parcel_year = '2024' and parcel_id = '23091432468');</v>
      </c>
    </row>
    <row r="2590" spans="1:85" x14ac:dyDescent="0.25">
      <c r="A2590">
        <v>23091432469</v>
      </c>
      <c r="B2590" t="s">
        <v>129</v>
      </c>
      <c r="C2590">
        <v>5340</v>
      </c>
      <c r="D2590" t="s">
        <v>129</v>
      </c>
      <c r="E2590" t="s">
        <v>53</v>
      </c>
      <c r="F2590" t="s">
        <v>53</v>
      </c>
      <c r="G2590">
        <v>4</v>
      </c>
      <c r="H2590" t="s">
        <v>54</v>
      </c>
      <c r="I2590" t="s">
        <v>129</v>
      </c>
      <c r="J2590" t="s">
        <v>129</v>
      </c>
      <c r="K2590">
        <v>0.12</v>
      </c>
      <c r="L259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0">
        <v>0</v>
      </c>
      <c r="N2590">
        <v>0</v>
      </c>
      <c r="O2590">
        <v>0</v>
      </c>
      <c r="P2590">
        <v>13398.7528</v>
      </c>
      <c r="Q2590">
        <v>63903</v>
      </c>
      <c r="R2590">
        <f>(Grandview_Inventory[[#This Row],[ln_acres]]*Grandview_Inventory[[#This Row],[coeff]])+Grandview_Inventory[[#This Row],[const]]</f>
        <v>35494.113007601132</v>
      </c>
      <c r="AY2590">
        <v>0</v>
      </c>
      <c r="AZ2590">
        <v>0</v>
      </c>
      <c r="BE2590">
        <v>0</v>
      </c>
      <c r="BF2590">
        <v>15000</v>
      </c>
      <c r="BG2590">
        <v>0</v>
      </c>
      <c r="BH2590" s="6">
        <f>Grandview_Inventory[[#This Row],[land_extract]]*Lookups!$B$3</f>
        <v>41219.217601622076</v>
      </c>
      <c r="BI2590" s="6">
        <f>IF(Grandview_Inventory[[#This Row],[bldg_style]]="",0,Lookups!$B$2)</f>
        <v>0</v>
      </c>
      <c r="BJ2590" s="6">
        <f>_xlfn.IFNA(VLOOKUP(Grandview_Inventory[[#This Row],[quality]],Lookups!$H$2:$J$14,3,FALSE),0)</f>
        <v>0</v>
      </c>
      <c r="BK2590" s="6">
        <f>_xlfn.IFNA(VLOOKUP(Grandview_Inventory[[#This Row],[condition]],Lookups!$H$17:$J$24,3,FALSE),0)</f>
        <v>0</v>
      </c>
      <c r="BL2590" s="6">
        <f>Grandview_Inventory[[#This Row],[Eff_Age]]*Lookups!$B$14</f>
        <v>0</v>
      </c>
      <c r="BM2590" s="6">
        <f>Grandview_Inventory[[#This Row],[living_area]]*Lookups!$B$15</f>
        <v>0</v>
      </c>
      <c r="BN2590" s="6">
        <f>Grandview_Inventory[[#This Row],[Fin BSMT]]*Lookups!$B$16</f>
        <v>0</v>
      </c>
      <c r="BO2590" s="6">
        <f>(Grandview_Inventory[[#This Row],[att_gar]]+Grandview_Inventory[[#This Row],[bltin_gar]])*Lookups!$B$17</f>
        <v>0</v>
      </c>
      <c r="BP2590" s="6">
        <f>Grandview_Inventory[[#This Row],[Plumbing Fixtures]]*Lookups!$B$18</f>
        <v>0</v>
      </c>
      <c r="BQ2590" s="6">
        <f>Grandview_Inventory[[#This Row],[detatched_value]]*Lookups!$B$19</f>
        <v>0</v>
      </c>
      <c r="BR2590" s="6">
        <f>SUM(Grandview_Inventory[[#This Row],[Intercept]:[det_value]])*Grandview_Inventory[[#This Row],[res_pct]]</f>
        <v>0</v>
      </c>
      <c r="BS2590" s="6">
        <f>Grandview_Inventory[[#This Row],[land_value]]</f>
        <v>41219.217601622076</v>
      </c>
      <c r="BT2590" s="4">
        <f>_xlfn.IFNA(VLOOKUP(Grandview_Inventory[[#This Row],[quality]],Lookups!$A$26:$C$33,3,FALSE),1)</f>
        <v>1</v>
      </c>
      <c r="BU2590" s="4">
        <f>_xlfn.IFNA(VLOOKUP(Grandview_Inventory[[#This Row],[condition]],Lookups!$A$37:$C$44,3,FALSE),1)</f>
        <v>1</v>
      </c>
      <c r="BV2590" s="4">
        <f>IF(Grandview_Inventory[[#This Row],[bldg_style]]="",1,_xlfn.IFNA(VLOOKUP(Grandview_Inventory[[#This Row],[decade]],Lookups!$F$29:$H$43,3,FALSE),1))</f>
        <v>1</v>
      </c>
      <c r="BW2590" s="4">
        <f>_xlfn.IFNA(VLOOKUP(Grandview_Inventory[[#This Row],[living_area_range]],Lookups!$F$47:$H$56,3,FALSE),1)</f>
        <v>1</v>
      </c>
      <c r="BX2590" s="4">
        <f>AVERAGE(Grandview_Inventory[[#This Row],[qual_adj]:[size_adj]])</f>
        <v>1</v>
      </c>
      <c r="BY2590" s="6">
        <f>IF(Grandview_Inventory[[#This Row],[pre_res]]&lt;0,0,Grandview_Inventory[[#This Row],[pre_res]]*Grandview_Inventory[[#This Row],[overall_adj]])</f>
        <v>0</v>
      </c>
      <c r="BZ2590" s="6">
        <f>(Grandview_Inventory[[#This Row],[sum_land]]-IF(Grandview_Inventory[[#This Row],[no_utilities]]=1,12000,0))/IF(Grandview_Inventory[[#This Row],[unbuildable]]=1,2,1)</f>
        <v>41219.217601622076</v>
      </c>
      <c r="CA259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0">
        <f>ROUND(Grandview_Inventory[[#This Row],[det_value]]*Lookups!$M$28,-2)</f>
        <v>0</v>
      </c>
      <c r="CC259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0">
        <f>Grandview_Inventory[[#This Row],[final_det]]+Grandview_Inventory[[#This Row],[final_res]]</f>
        <v>0</v>
      </c>
      <c r="CE2590">
        <f>Grandview_Inventory[[#This Row],[final_land]]+Grandview_Inventory[[#This Row],[final_imp]]+Grandview_Inventory[[#This Row],[crop_value]]</f>
        <v>39200</v>
      </c>
      <c r="CG2590" t="str">
        <f t="shared" si="40"/>
        <v>update valuation set market_land =39200, market_bldg=0, market_total =39200, market_mdno =401, market_date ='9/10/2023' where link_id = (select link_id from parcel where parcel_year = '2024' and parcel_id = '23091432469');</v>
      </c>
    </row>
    <row r="2591" spans="1:85" x14ac:dyDescent="0.25">
      <c r="A2591">
        <v>23091432470</v>
      </c>
      <c r="B2591" t="s">
        <v>129</v>
      </c>
      <c r="C2591">
        <v>5340</v>
      </c>
      <c r="D2591" t="s">
        <v>129</v>
      </c>
      <c r="E2591" t="s">
        <v>53</v>
      </c>
      <c r="F2591" t="s">
        <v>53</v>
      </c>
      <c r="G2591">
        <v>4</v>
      </c>
      <c r="H2591" t="s">
        <v>54</v>
      </c>
      <c r="I2591" t="s">
        <v>129</v>
      </c>
      <c r="J2591" t="s">
        <v>129</v>
      </c>
      <c r="K2591">
        <v>0.12</v>
      </c>
      <c r="L2591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1">
        <v>0</v>
      </c>
      <c r="N2591">
        <v>0</v>
      </c>
      <c r="O2591">
        <v>0</v>
      </c>
      <c r="P2591">
        <v>13398.7528</v>
      </c>
      <c r="Q2591">
        <v>63903</v>
      </c>
      <c r="R2591">
        <f>(Grandview_Inventory[[#This Row],[ln_acres]]*Grandview_Inventory[[#This Row],[coeff]])+Grandview_Inventory[[#This Row],[const]]</f>
        <v>35494.113007601132</v>
      </c>
      <c r="AY2591">
        <v>0</v>
      </c>
      <c r="AZ2591">
        <v>0</v>
      </c>
      <c r="BE2591">
        <v>0</v>
      </c>
      <c r="BF2591">
        <v>15000</v>
      </c>
      <c r="BG2591">
        <v>0</v>
      </c>
      <c r="BH2591" s="6">
        <f>Grandview_Inventory[[#This Row],[land_extract]]*Lookups!$B$3</f>
        <v>41219.217601622076</v>
      </c>
      <c r="BI2591" s="6">
        <f>IF(Grandview_Inventory[[#This Row],[bldg_style]]="",0,Lookups!$B$2)</f>
        <v>0</v>
      </c>
      <c r="BJ2591" s="6">
        <f>_xlfn.IFNA(VLOOKUP(Grandview_Inventory[[#This Row],[quality]],Lookups!$H$2:$J$14,3,FALSE),0)</f>
        <v>0</v>
      </c>
      <c r="BK2591" s="6">
        <f>_xlfn.IFNA(VLOOKUP(Grandview_Inventory[[#This Row],[condition]],Lookups!$H$17:$J$24,3,FALSE),0)</f>
        <v>0</v>
      </c>
      <c r="BL2591" s="6">
        <f>Grandview_Inventory[[#This Row],[Eff_Age]]*Lookups!$B$14</f>
        <v>0</v>
      </c>
      <c r="BM2591" s="6">
        <f>Grandview_Inventory[[#This Row],[living_area]]*Lookups!$B$15</f>
        <v>0</v>
      </c>
      <c r="BN2591" s="6">
        <f>Grandview_Inventory[[#This Row],[Fin BSMT]]*Lookups!$B$16</f>
        <v>0</v>
      </c>
      <c r="BO2591" s="6">
        <f>(Grandview_Inventory[[#This Row],[att_gar]]+Grandview_Inventory[[#This Row],[bltin_gar]])*Lookups!$B$17</f>
        <v>0</v>
      </c>
      <c r="BP2591" s="6">
        <f>Grandview_Inventory[[#This Row],[Plumbing Fixtures]]*Lookups!$B$18</f>
        <v>0</v>
      </c>
      <c r="BQ2591" s="6">
        <f>Grandview_Inventory[[#This Row],[detatched_value]]*Lookups!$B$19</f>
        <v>0</v>
      </c>
      <c r="BR2591" s="6">
        <f>SUM(Grandview_Inventory[[#This Row],[Intercept]:[det_value]])*Grandview_Inventory[[#This Row],[res_pct]]</f>
        <v>0</v>
      </c>
      <c r="BS2591" s="6">
        <f>Grandview_Inventory[[#This Row],[land_value]]</f>
        <v>41219.217601622076</v>
      </c>
      <c r="BT2591" s="4">
        <f>_xlfn.IFNA(VLOOKUP(Grandview_Inventory[[#This Row],[quality]],Lookups!$A$26:$C$33,3,FALSE),1)</f>
        <v>1</v>
      </c>
      <c r="BU2591" s="4">
        <f>_xlfn.IFNA(VLOOKUP(Grandview_Inventory[[#This Row],[condition]],Lookups!$A$37:$C$44,3,FALSE),1)</f>
        <v>1</v>
      </c>
      <c r="BV2591" s="4">
        <f>IF(Grandview_Inventory[[#This Row],[bldg_style]]="",1,_xlfn.IFNA(VLOOKUP(Grandview_Inventory[[#This Row],[decade]],Lookups!$F$29:$H$43,3,FALSE),1))</f>
        <v>1</v>
      </c>
      <c r="BW2591" s="4">
        <f>_xlfn.IFNA(VLOOKUP(Grandview_Inventory[[#This Row],[living_area_range]],Lookups!$F$47:$H$56,3,FALSE),1)</f>
        <v>1</v>
      </c>
      <c r="BX2591" s="4">
        <f>AVERAGE(Grandview_Inventory[[#This Row],[qual_adj]:[size_adj]])</f>
        <v>1</v>
      </c>
      <c r="BY2591" s="6">
        <f>IF(Grandview_Inventory[[#This Row],[pre_res]]&lt;0,0,Grandview_Inventory[[#This Row],[pre_res]]*Grandview_Inventory[[#This Row],[overall_adj]])</f>
        <v>0</v>
      </c>
      <c r="BZ2591" s="6">
        <f>(Grandview_Inventory[[#This Row],[sum_land]]-IF(Grandview_Inventory[[#This Row],[no_utilities]]=1,12000,0))/IF(Grandview_Inventory[[#This Row],[unbuildable]]=1,2,1)</f>
        <v>41219.217601622076</v>
      </c>
      <c r="CA2591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1">
        <f>ROUND(Grandview_Inventory[[#This Row],[det_value]]*Lookups!$M$28,-2)</f>
        <v>0</v>
      </c>
      <c r="CC259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1">
        <f>Grandview_Inventory[[#This Row],[final_det]]+Grandview_Inventory[[#This Row],[final_res]]</f>
        <v>0</v>
      </c>
      <c r="CE2591">
        <f>Grandview_Inventory[[#This Row],[final_land]]+Grandview_Inventory[[#This Row],[final_imp]]+Grandview_Inventory[[#This Row],[crop_value]]</f>
        <v>39200</v>
      </c>
      <c r="CG2591" t="str">
        <f t="shared" si="40"/>
        <v>update valuation set market_land =39200, market_bldg=0, market_total =39200, market_mdno =401, market_date ='9/10/2023' where link_id = (select link_id from parcel where parcel_year = '2024' and parcel_id = '23091432470');</v>
      </c>
    </row>
    <row r="2592" spans="1:85" x14ac:dyDescent="0.25">
      <c r="A2592">
        <v>23091432471</v>
      </c>
      <c r="B2592" t="s">
        <v>129</v>
      </c>
      <c r="C2592">
        <v>5340</v>
      </c>
      <c r="D2592" t="s">
        <v>129</v>
      </c>
      <c r="E2592" t="s">
        <v>53</v>
      </c>
      <c r="F2592" t="s">
        <v>53</v>
      </c>
      <c r="G2592">
        <v>4</v>
      </c>
      <c r="H2592" t="s">
        <v>54</v>
      </c>
      <c r="I2592" t="s">
        <v>129</v>
      </c>
      <c r="J2592" t="s">
        <v>129</v>
      </c>
      <c r="K2592">
        <v>0.12</v>
      </c>
      <c r="L259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2">
        <v>0</v>
      </c>
      <c r="N2592">
        <v>0</v>
      </c>
      <c r="O2592">
        <v>0</v>
      </c>
      <c r="P2592">
        <v>13398.7528</v>
      </c>
      <c r="Q2592">
        <v>63903</v>
      </c>
      <c r="R2592">
        <f>(Grandview_Inventory[[#This Row],[ln_acres]]*Grandview_Inventory[[#This Row],[coeff]])+Grandview_Inventory[[#This Row],[const]]</f>
        <v>35494.113007601132</v>
      </c>
      <c r="AY2592">
        <v>0</v>
      </c>
      <c r="AZ2592">
        <v>0</v>
      </c>
      <c r="BE2592">
        <v>0</v>
      </c>
      <c r="BF2592">
        <v>15000</v>
      </c>
      <c r="BG2592">
        <v>0</v>
      </c>
      <c r="BH2592" s="6">
        <f>Grandview_Inventory[[#This Row],[land_extract]]*Lookups!$B$3</f>
        <v>41219.217601622076</v>
      </c>
      <c r="BI2592" s="6">
        <f>IF(Grandview_Inventory[[#This Row],[bldg_style]]="",0,Lookups!$B$2)</f>
        <v>0</v>
      </c>
      <c r="BJ2592" s="6">
        <f>_xlfn.IFNA(VLOOKUP(Grandview_Inventory[[#This Row],[quality]],Lookups!$H$2:$J$14,3,FALSE),0)</f>
        <v>0</v>
      </c>
      <c r="BK2592" s="6">
        <f>_xlfn.IFNA(VLOOKUP(Grandview_Inventory[[#This Row],[condition]],Lookups!$H$17:$J$24,3,FALSE),0)</f>
        <v>0</v>
      </c>
      <c r="BL2592" s="6">
        <f>Grandview_Inventory[[#This Row],[Eff_Age]]*Lookups!$B$14</f>
        <v>0</v>
      </c>
      <c r="BM2592" s="6">
        <f>Grandview_Inventory[[#This Row],[living_area]]*Lookups!$B$15</f>
        <v>0</v>
      </c>
      <c r="BN2592" s="6">
        <f>Grandview_Inventory[[#This Row],[Fin BSMT]]*Lookups!$B$16</f>
        <v>0</v>
      </c>
      <c r="BO2592" s="6">
        <f>(Grandview_Inventory[[#This Row],[att_gar]]+Grandview_Inventory[[#This Row],[bltin_gar]])*Lookups!$B$17</f>
        <v>0</v>
      </c>
      <c r="BP2592" s="6">
        <f>Grandview_Inventory[[#This Row],[Plumbing Fixtures]]*Lookups!$B$18</f>
        <v>0</v>
      </c>
      <c r="BQ2592" s="6">
        <f>Grandview_Inventory[[#This Row],[detatched_value]]*Lookups!$B$19</f>
        <v>0</v>
      </c>
      <c r="BR2592" s="6">
        <f>SUM(Grandview_Inventory[[#This Row],[Intercept]:[det_value]])*Grandview_Inventory[[#This Row],[res_pct]]</f>
        <v>0</v>
      </c>
      <c r="BS2592" s="6">
        <f>Grandview_Inventory[[#This Row],[land_value]]</f>
        <v>41219.217601622076</v>
      </c>
      <c r="BT2592" s="4">
        <f>_xlfn.IFNA(VLOOKUP(Grandview_Inventory[[#This Row],[quality]],Lookups!$A$26:$C$33,3,FALSE),1)</f>
        <v>1</v>
      </c>
      <c r="BU2592" s="4">
        <f>_xlfn.IFNA(VLOOKUP(Grandview_Inventory[[#This Row],[condition]],Lookups!$A$37:$C$44,3,FALSE),1)</f>
        <v>1</v>
      </c>
      <c r="BV2592" s="4">
        <f>IF(Grandview_Inventory[[#This Row],[bldg_style]]="",1,_xlfn.IFNA(VLOOKUP(Grandview_Inventory[[#This Row],[decade]],Lookups!$F$29:$H$43,3,FALSE),1))</f>
        <v>1</v>
      </c>
      <c r="BW2592" s="4">
        <f>_xlfn.IFNA(VLOOKUP(Grandview_Inventory[[#This Row],[living_area_range]],Lookups!$F$47:$H$56,3,FALSE),1)</f>
        <v>1</v>
      </c>
      <c r="BX2592" s="4">
        <f>AVERAGE(Grandview_Inventory[[#This Row],[qual_adj]:[size_adj]])</f>
        <v>1</v>
      </c>
      <c r="BY2592" s="6">
        <f>IF(Grandview_Inventory[[#This Row],[pre_res]]&lt;0,0,Grandview_Inventory[[#This Row],[pre_res]]*Grandview_Inventory[[#This Row],[overall_adj]])</f>
        <v>0</v>
      </c>
      <c r="BZ2592" s="6">
        <f>(Grandview_Inventory[[#This Row],[sum_land]]-IF(Grandview_Inventory[[#This Row],[no_utilities]]=1,12000,0))/IF(Grandview_Inventory[[#This Row],[unbuildable]]=1,2,1)</f>
        <v>41219.217601622076</v>
      </c>
      <c r="CA259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2">
        <f>ROUND(Grandview_Inventory[[#This Row],[det_value]]*Lookups!$M$28,-2)</f>
        <v>0</v>
      </c>
      <c r="CC259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2">
        <f>Grandview_Inventory[[#This Row],[final_det]]+Grandview_Inventory[[#This Row],[final_res]]</f>
        <v>0</v>
      </c>
      <c r="CE2592">
        <f>Grandview_Inventory[[#This Row],[final_land]]+Grandview_Inventory[[#This Row],[final_imp]]+Grandview_Inventory[[#This Row],[crop_value]]</f>
        <v>39200</v>
      </c>
      <c r="CG2592" t="str">
        <f t="shared" si="40"/>
        <v>update valuation set market_land =39200, market_bldg=0, market_total =39200, market_mdno =401, market_date ='9/10/2023' where link_id = (select link_id from parcel where parcel_year = '2024' and parcel_id = '23091432471');</v>
      </c>
    </row>
    <row r="2593" spans="1:85" x14ac:dyDescent="0.25">
      <c r="A2593">
        <v>23091432472</v>
      </c>
      <c r="B2593" t="s">
        <v>129</v>
      </c>
      <c r="C2593">
        <v>5340</v>
      </c>
      <c r="D2593" t="s">
        <v>129</v>
      </c>
      <c r="E2593" t="s">
        <v>53</v>
      </c>
      <c r="F2593" t="s">
        <v>53</v>
      </c>
      <c r="G2593">
        <v>4</v>
      </c>
      <c r="H2593" t="s">
        <v>54</v>
      </c>
      <c r="I2593" t="s">
        <v>129</v>
      </c>
      <c r="J2593" t="s">
        <v>129</v>
      </c>
      <c r="K2593">
        <v>0.12</v>
      </c>
      <c r="L2593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3">
        <v>0</v>
      </c>
      <c r="N2593">
        <v>0</v>
      </c>
      <c r="O2593">
        <v>0</v>
      </c>
      <c r="P2593">
        <v>13398.7528</v>
      </c>
      <c r="Q2593">
        <v>63903</v>
      </c>
      <c r="R2593">
        <f>(Grandview_Inventory[[#This Row],[ln_acres]]*Grandview_Inventory[[#This Row],[coeff]])+Grandview_Inventory[[#This Row],[const]]</f>
        <v>35494.113007601132</v>
      </c>
      <c r="AY2593">
        <v>0</v>
      </c>
      <c r="AZ2593">
        <v>0</v>
      </c>
      <c r="BE2593">
        <v>0</v>
      </c>
      <c r="BF2593">
        <v>15000</v>
      </c>
      <c r="BG2593">
        <v>0</v>
      </c>
      <c r="BH2593" s="6">
        <f>Grandview_Inventory[[#This Row],[land_extract]]*Lookups!$B$3</f>
        <v>41219.217601622076</v>
      </c>
      <c r="BI2593" s="6">
        <f>IF(Grandview_Inventory[[#This Row],[bldg_style]]="",0,Lookups!$B$2)</f>
        <v>0</v>
      </c>
      <c r="BJ2593" s="6">
        <f>_xlfn.IFNA(VLOOKUP(Grandview_Inventory[[#This Row],[quality]],Lookups!$H$2:$J$14,3,FALSE),0)</f>
        <v>0</v>
      </c>
      <c r="BK2593" s="6">
        <f>_xlfn.IFNA(VLOOKUP(Grandview_Inventory[[#This Row],[condition]],Lookups!$H$17:$J$24,3,FALSE),0)</f>
        <v>0</v>
      </c>
      <c r="BL2593" s="6">
        <f>Grandview_Inventory[[#This Row],[Eff_Age]]*Lookups!$B$14</f>
        <v>0</v>
      </c>
      <c r="BM2593" s="6">
        <f>Grandview_Inventory[[#This Row],[living_area]]*Lookups!$B$15</f>
        <v>0</v>
      </c>
      <c r="BN2593" s="6">
        <f>Grandview_Inventory[[#This Row],[Fin BSMT]]*Lookups!$B$16</f>
        <v>0</v>
      </c>
      <c r="BO2593" s="6">
        <f>(Grandview_Inventory[[#This Row],[att_gar]]+Grandview_Inventory[[#This Row],[bltin_gar]])*Lookups!$B$17</f>
        <v>0</v>
      </c>
      <c r="BP2593" s="6">
        <f>Grandview_Inventory[[#This Row],[Plumbing Fixtures]]*Lookups!$B$18</f>
        <v>0</v>
      </c>
      <c r="BQ2593" s="6">
        <f>Grandview_Inventory[[#This Row],[detatched_value]]*Lookups!$B$19</f>
        <v>0</v>
      </c>
      <c r="BR2593" s="6">
        <f>SUM(Grandview_Inventory[[#This Row],[Intercept]:[det_value]])*Grandview_Inventory[[#This Row],[res_pct]]</f>
        <v>0</v>
      </c>
      <c r="BS2593" s="6">
        <f>Grandview_Inventory[[#This Row],[land_value]]</f>
        <v>41219.217601622076</v>
      </c>
      <c r="BT2593" s="4">
        <f>_xlfn.IFNA(VLOOKUP(Grandview_Inventory[[#This Row],[quality]],Lookups!$A$26:$C$33,3,FALSE),1)</f>
        <v>1</v>
      </c>
      <c r="BU2593" s="4">
        <f>_xlfn.IFNA(VLOOKUP(Grandview_Inventory[[#This Row],[condition]],Lookups!$A$37:$C$44,3,FALSE),1)</f>
        <v>1</v>
      </c>
      <c r="BV2593" s="4">
        <f>IF(Grandview_Inventory[[#This Row],[bldg_style]]="",1,_xlfn.IFNA(VLOOKUP(Grandview_Inventory[[#This Row],[decade]],Lookups!$F$29:$H$43,3,FALSE),1))</f>
        <v>1</v>
      </c>
      <c r="BW2593" s="4">
        <f>_xlfn.IFNA(VLOOKUP(Grandview_Inventory[[#This Row],[living_area_range]],Lookups!$F$47:$H$56,3,FALSE),1)</f>
        <v>1</v>
      </c>
      <c r="BX2593" s="4">
        <f>AVERAGE(Grandview_Inventory[[#This Row],[qual_adj]:[size_adj]])</f>
        <v>1</v>
      </c>
      <c r="BY2593" s="6">
        <f>IF(Grandview_Inventory[[#This Row],[pre_res]]&lt;0,0,Grandview_Inventory[[#This Row],[pre_res]]*Grandview_Inventory[[#This Row],[overall_adj]])</f>
        <v>0</v>
      </c>
      <c r="BZ2593" s="6">
        <f>(Grandview_Inventory[[#This Row],[sum_land]]-IF(Grandview_Inventory[[#This Row],[no_utilities]]=1,12000,0))/IF(Grandview_Inventory[[#This Row],[unbuildable]]=1,2,1)</f>
        <v>41219.217601622076</v>
      </c>
      <c r="CA2593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3">
        <f>ROUND(Grandview_Inventory[[#This Row],[det_value]]*Lookups!$M$28,-2)</f>
        <v>0</v>
      </c>
      <c r="CC259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3">
        <f>Grandview_Inventory[[#This Row],[final_det]]+Grandview_Inventory[[#This Row],[final_res]]</f>
        <v>0</v>
      </c>
      <c r="CE2593">
        <f>Grandview_Inventory[[#This Row],[final_land]]+Grandview_Inventory[[#This Row],[final_imp]]+Grandview_Inventory[[#This Row],[crop_value]]</f>
        <v>39200</v>
      </c>
      <c r="CG2593" t="str">
        <f t="shared" si="40"/>
        <v>update valuation set market_land =39200, market_bldg=0, market_total =39200, market_mdno =401, market_date ='9/10/2023' where link_id = (select link_id from parcel where parcel_year = '2024' and parcel_id = '23091432472');</v>
      </c>
    </row>
    <row r="2594" spans="1:85" x14ac:dyDescent="0.25">
      <c r="A2594">
        <v>23091432473</v>
      </c>
      <c r="B2594" t="s">
        <v>129</v>
      </c>
      <c r="C2594">
        <v>5340</v>
      </c>
      <c r="D2594" t="s">
        <v>129</v>
      </c>
      <c r="E2594" t="s">
        <v>53</v>
      </c>
      <c r="F2594" t="s">
        <v>53</v>
      </c>
      <c r="G2594">
        <v>4</v>
      </c>
      <c r="H2594" t="s">
        <v>54</v>
      </c>
      <c r="I2594" t="s">
        <v>129</v>
      </c>
      <c r="J2594" t="s">
        <v>129</v>
      </c>
      <c r="K2594">
        <v>0.12</v>
      </c>
      <c r="L259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4">
        <v>0</v>
      </c>
      <c r="N2594">
        <v>0</v>
      </c>
      <c r="O2594">
        <v>0</v>
      </c>
      <c r="P2594">
        <v>13398.7528</v>
      </c>
      <c r="Q2594">
        <v>63903</v>
      </c>
      <c r="R2594">
        <f>(Grandview_Inventory[[#This Row],[ln_acres]]*Grandview_Inventory[[#This Row],[coeff]])+Grandview_Inventory[[#This Row],[const]]</f>
        <v>35494.113007601132</v>
      </c>
      <c r="AY2594">
        <v>0</v>
      </c>
      <c r="AZ2594">
        <v>0</v>
      </c>
      <c r="BE2594">
        <v>0</v>
      </c>
      <c r="BF2594">
        <v>15000</v>
      </c>
      <c r="BG2594">
        <v>0</v>
      </c>
      <c r="BH2594" s="6">
        <f>Grandview_Inventory[[#This Row],[land_extract]]*Lookups!$B$3</f>
        <v>41219.217601622076</v>
      </c>
      <c r="BI2594" s="6">
        <f>IF(Grandview_Inventory[[#This Row],[bldg_style]]="",0,Lookups!$B$2)</f>
        <v>0</v>
      </c>
      <c r="BJ2594" s="6">
        <f>_xlfn.IFNA(VLOOKUP(Grandview_Inventory[[#This Row],[quality]],Lookups!$H$2:$J$14,3,FALSE),0)</f>
        <v>0</v>
      </c>
      <c r="BK2594" s="6">
        <f>_xlfn.IFNA(VLOOKUP(Grandview_Inventory[[#This Row],[condition]],Lookups!$H$17:$J$24,3,FALSE),0)</f>
        <v>0</v>
      </c>
      <c r="BL2594" s="6">
        <f>Grandview_Inventory[[#This Row],[Eff_Age]]*Lookups!$B$14</f>
        <v>0</v>
      </c>
      <c r="BM2594" s="6">
        <f>Grandview_Inventory[[#This Row],[living_area]]*Lookups!$B$15</f>
        <v>0</v>
      </c>
      <c r="BN2594" s="6">
        <f>Grandview_Inventory[[#This Row],[Fin BSMT]]*Lookups!$B$16</f>
        <v>0</v>
      </c>
      <c r="BO2594" s="6">
        <f>(Grandview_Inventory[[#This Row],[att_gar]]+Grandview_Inventory[[#This Row],[bltin_gar]])*Lookups!$B$17</f>
        <v>0</v>
      </c>
      <c r="BP2594" s="6">
        <f>Grandview_Inventory[[#This Row],[Plumbing Fixtures]]*Lookups!$B$18</f>
        <v>0</v>
      </c>
      <c r="BQ2594" s="6">
        <f>Grandview_Inventory[[#This Row],[detatched_value]]*Lookups!$B$19</f>
        <v>0</v>
      </c>
      <c r="BR2594" s="6">
        <f>SUM(Grandview_Inventory[[#This Row],[Intercept]:[det_value]])*Grandview_Inventory[[#This Row],[res_pct]]</f>
        <v>0</v>
      </c>
      <c r="BS2594" s="6">
        <f>Grandview_Inventory[[#This Row],[land_value]]</f>
        <v>41219.217601622076</v>
      </c>
      <c r="BT2594" s="4">
        <f>_xlfn.IFNA(VLOOKUP(Grandview_Inventory[[#This Row],[quality]],Lookups!$A$26:$C$33,3,FALSE),1)</f>
        <v>1</v>
      </c>
      <c r="BU2594" s="4">
        <f>_xlfn.IFNA(VLOOKUP(Grandview_Inventory[[#This Row],[condition]],Lookups!$A$37:$C$44,3,FALSE),1)</f>
        <v>1</v>
      </c>
      <c r="BV2594" s="4">
        <f>IF(Grandview_Inventory[[#This Row],[bldg_style]]="",1,_xlfn.IFNA(VLOOKUP(Grandview_Inventory[[#This Row],[decade]],Lookups!$F$29:$H$43,3,FALSE),1))</f>
        <v>1</v>
      </c>
      <c r="BW2594" s="4">
        <f>_xlfn.IFNA(VLOOKUP(Grandview_Inventory[[#This Row],[living_area_range]],Lookups!$F$47:$H$56,3,FALSE),1)</f>
        <v>1</v>
      </c>
      <c r="BX2594" s="4">
        <f>AVERAGE(Grandview_Inventory[[#This Row],[qual_adj]:[size_adj]])</f>
        <v>1</v>
      </c>
      <c r="BY2594" s="6">
        <f>IF(Grandview_Inventory[[#This Row],[pre_res]]&lt;0,0,Grandview_Inventory[[#This Row],[pre_res]]*Grandview_Inventory[[#This Row],[overall_adj]])</f>
        <v>0</v>
      </c>
      <c r="BZ2594" s="6">
        <f>(Grandview_Inventory[[#This Row],[sum_land]]-IF(Grandview_Inventory[[#This Row],[no_utilities]]=1,12000,0))/IF(Grandview_Inventory[[#This Row],[unbuildable]]=1,2,1)</f>
        <v>41219.217601622076</v>
      </c>
      <c r="CA259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4">
        <f>ROUND(Grandview_Inventory[[#This Row],[det_value]]*Lookups!$M$28,-2)</f>
        <v>0</v>
      </c>
      <c r="CC259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4">
        <f>Grandview_Inventory[[#This Row],[final_det]]+Grandview_Inventory[[#This Row],[final_res]]</f>
        <v>0</v>
      </c>
      <c r="CE2594">
        <f>Grandview_Inventory[[#This Row],[final_land]]+Grandview_Inventory[[#This Row],[final_imp]]+Grandview_Inventory[[#This Row],[crop_value]]</f>
        <v>39200</v>
      </c>
      <c r="CG2594" t="str">
        <f t="shared" si="40"/>
        <v>update valuation set market_land =39200, market_bldg=0, market_total =39200, market_mdno =401, market_date ='9/10/2023' where link_id = (select link_id from parcel where parcel_year = '2024' and parcel_id = '23091432473');</v>
      </c>
    </row>
    <row r="2595" spans="1:85" x14ac:dyDescent="0.25">
      <c r="A2595">
        <v>23091432474</v>
      </c>
      <c r="B2595" t="s">
        <v>129</v>
      </c>
      <c r="C2595">
        <v>5340</v>
      </c>
      <c r="D2595" t="s">
        <v>129</v>
      </c>
      <c r="E2595" t="s">
        <v>53</v>
      </c>
      <c r="F2595" t="s">
        <v>53</v>
      </c>
      <c r="G2595">
        <v>4</v>
      </c>
      <c r="H2595" t="s">
        <v>54</v>
      </c>
      <c r="I2595" t="s">
        <v>129</v>
      </c>
      <c r="J2595" t="s">
        <v>129</v>
      </c>
      <c r="K2595">
        <v>0.12</v>
      </c>
      <c r="L2595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5">
        <v>0</v>
      </c>
      <c r="N2595">
        <v>0</v>
      </c>
      <c r="O2595">
        <v>0</v>
      </c>
      <c r="P2595">
        <v>13398.7528</v>
      </c>
      <c r="Q2595">
        <v>63903</v>
      </c>
      <c r="R2595">
        <f>(Grandview_Inventory[[#This Row],[ln_acres]]*Grandview_Inventory[[#This Row],[coeff]])+Grandview_Inventory[[#This Row],[const]]</f>
        <v>35494.113007601132</v>
      </c>
      <c r="AY2595">
        <v>0</v>
      </c>
      <c r="AZ2595">
        <v>0</v>
      </c>
      <c r="BE2595">
        <v>0</v>
      </c>
      <c r="BF2595">
        <v>15000</v>
      </c>
      <c r="BG2595">
        <v>0</v>
      </c>
      <c r="BH2595" s="6">
        <f>Grandview_Inventory[[#This Row],[land_extract]]*Lookups!$B$3</f>
        <v>41219.217601622076</v>
      </c>
      <c r="BI2595" s="6">
        <f>IF(Grandview_Inventory[[#This Row],[bldg_style]]="",0,Lookups!$B$2)</f>
        <v>0</v>
      </c>
      <c r="BJ2595" s="6">
        <f>_xlfn.IFNA(VLOOKUP(Grandview_Inventory[[#This Row],[quality]],Lookups!$H$2:$J$14,3,FALSE),0)</f>
        <v>0</v>
      </c>
      <c r="BK2595" s="6">
        <f>_xlfn.IFNA(VLOOKUP(Grandview_Inventory[[#This Row],[condition]],Lookups!$H$17:$J$24,3,FALSE),0)</f>
        <v>0</v>
      </c>
      <c r="BL2595" s="6">
        <f>Grandview_Inventory[[#This Row],[Eff_Age]]*Lookups!$B$14</f>
        <v>0</v>
      </c>
      <c r="BM2595" s="6">
        <f>Grandview_Inventory[[#This Row],[living_area]]*Lookups!$B$15</f>
        <v>0</v>
      </c>
      <c r="BN2595" s="6">
        <f>Grandview_Inventory[[#This Row],[Fin BSMT]]*Lookups!$B$16</f>
        <v>0</v>
      </c>
      <c r="BO2595" s="6">
        <f>(Grandview_Inventory[[#This Row],[att_gar]]+Grandview_Inventory[[#This Row],[bltin_gar]])*Lookups!$B$17</f>
        <v>0</v>
      </c>
      <c r="BP2595" s="6">
        <f>Grandview_Inventory[[#This Row],[Plumbing Fixtures]]*Lookups!$B$18</f>
        <v>0</v>
      </c>
      <c r="BQ2595" s="6">
        <f>Grandview_Inventory[[#This Row],[detatched_value]]*Lookups!$B$19</f>
        <v>0</v>
      </c>
      <c r="BR2595" s="6">
        <f>SUM(Grandview_Inventory[[#This Row],[Intercept]:[det_value]])*Grandview_Inventory[[#This Row],[res_pct]]</f>
        <v>0</v>
      </c>
      <c r="BS2595" s="6">
        <f>Grandview_Inventory[[#This Row],[land_value]]</f>
        <v>41219.217601622076</v>
      </c>
      <c r="BT2595" s="4">
        <f>_xlfn.IFNA(VLOOKUP(Grandview_Inventory[[#This Row],[quality]],Lookups!$A$26:$C$33,3,FALSE),1)</f>
        <v>1</v>
      </c>
      <c r="BU2595" s="4">
        <f>_xlfn.IFNA(VLOOKUP(Grandview_Inventory[[#This Row],[condition]],Lookups!$A$37:$C$44,3,FALSE),1)</f>
        <v>1</v>
      </c>
      <c r="BV2595" s="4">
        <f>IF(Grandview_Inventory[[#This Row],[bldg_style]]="",1,_xlfn.IFNA(VLOOKUP(Grandview_Inventory[[#This Row],[decade]],Lookups!$F$29:$H$43,3,FALSE),1))</f>
        <v>1</v>
      </c>
      <c r="BW2595" s="4">
        <f>_xlfn.IFNA(VLOOKUP(Grandview_Inventory[[#This Row],[living_area_range]],Lookups!$F$47:$H$56,3,FALSE),1)</f>
        <v>1</v>
      </c>
      <c r="BX2595" s="4">
        <f>AVERAGE(Grandview_Inventory[[#This Row],[qual_adj]:[size_adj]])</f>
        <v>1</v>
      </c>
      <c r="BY2595" s="6">
        <f>IF(Grandview_Inventory[[#This Row],[pre_res]]&lt;0,0,Grandview_Inventory[[#This Row],[pre_res]]*Grandview_Inventory[[#This Row],[overall_adj]])</f>
        <v>0</v>
      </c>
      <c r="BZ2595" s="6">
        <f>(Grandview_Inventory[[#This Row],[sum_land]]-IF(Grandview_Inventory[[#This Row],[no_utilities]]=1,12000,0))/IF(Grandview_Inventory[[#This Row],[unbuildable]]=1,2,1)</f>
        <v>41219.217601622076</v>
      </c>
      <c r="CA2595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5">
        <f>ROUND(Grandview_Inventory[[#This Row],[det_value]]*Lookups!$M$28,-2)</f>
        <v>0</v>
      </c>
      <c r="CC259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5">
        <f>Grandview_Inventory[[#This Row],[final_det]]+Grandview_Inventory[[#This Row],[final_res]]</f>
        <v>0</v>
      </c>
      <c r="CE2595">
        <f>Grandview_Inventory[[#This Row],[final_land]]+Grandview_Inventory[[#This Row],[final_imp]]+Grandview_Inventory[[#This Row],[crop_value]]</f>
        <v>39200</v>
      </c>
      <c r="CG2595" t="str">
        <f t="shared" si="40"/>
        <v>update valuation set market_land =39200, market_bldg=0, market_total =39200, market_mdno =401, market_date ='9/10/2023' where link_id = (select link_id from parcel where parcel_year = '2024' and parcel_id = '23091432474');</v>
      </c>
    </row>
    <row r="2596" spans="1:85" x14ac:dyDescent="0.25">
      <c r="A2596">
        <v>23091432475</v>
      </c>
      <c r="B2596" t="s">
        <v>129</v>
      </c>
      <c r="C2596">
        <v>5340</v>
      </c>
      <c r="D2596" t="s">
        <v>129</v>
      </c>
      <c r="E2596" t="s">
        <v>53</v>
      </c>
      <c r="F2596" t="s">
        <v>53</v>
      </c>
      <c r="G2596">
        <v>4</v>
      </c>
      <c r="H2596" t="s">
        <v>54</v>
      </c>
      <c r="I2596" t="s">
        <v>129</v>
      </c>
      <c r="J2596" t="s">
        <v>129</v>
      </c>
      <c r="K2596">
        <v>0.12</v>
      </c>
      <c r="L2596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6">
        <v>0</v>
      </c>
      <c r="N2596">
        <v>0</v>
      </c>
      <c r="O2596">
        <v>0</v>
      </c>
      <c r="P2596">
        <v>13398.7528</v>
      </c>
      <c r="Q2596">
        <v>63903</v>
      </c>
      <c r="R2596">
        <f>(Grandview_Inventory[[#This Row],[ln_acres]]*Grandview_Inventory[[#This Row],[coeff]])+Grandview_Inventory[[#This Row],[const]]</f>
        <v>35494.113007601132</v>
      </c>
      <c r="AY2596">
        <v>0</v>
      </c>
      <c r="AZ2596">
        <v>0</v>
      </c>
      <c r="BE2596">
        <v>0</v>
      </c>
      <c r="BF2596">
        <v>15000</v>
      </c>
      <c r="BG2596">
        <v>0</v>
      </c>
      <c r="BH2596" s="6">
        <f>Grandview_Inventory[[#This Row],[land_extract]]*Lookups!$B$3</f>
        <v>41219.217601622076</v>
      </c>
      <c r="BI2596" s="6">
        <f>IF(Grandview_Inventory[[#This Row],[bldg_style]]="",0,Lookups!$B$2)</f>
        <v>0</v>
      </c>
      <c r="BJ2596" s="6">
        <f>_xlfn.IFNA(VLOOKUP(Grandview_Inventory[[#This Row],[quality]],Lookups!$H$2:$J$14,3,FALSE),0)</f>
        <v>0</v>
      </c>
      <c r="BK2596" s="6">
        <f>_xlfn.IFNA(VLOOKUP(Grandview_Inventory[[#This Row],[condition]],Lookups!$H$17:$J$24,3,FALSE),0)</f>
        <v>0</v>
      </c>
      <c r="BL2596" s="6">
        <f>Grandview_Inventory[[#This Row],[Eff_Age]]*Lookups!$B$14</f>
        <v>0</v>
      </c>
      <c r="BM2596" s="6">
        <f>Grandview_Inventory[[#This Row],[living_area]]*Lookups!$B$15</f>
        <v>0</v>
      </c>
      <c r="BN2596" s="6">
        <f>Grandview_Inventory[[#This Row],[Fin BSMT]]*Lookups!$B$16</f>
        <v>0</v>
      </c>
      <c r="BO2596" s="6">
        <f>(Grandview_Inventory[[#This Row],[att_gar]]+Grandview_Inventory[[#This Row],[bltin_gar]])*Lookups!$B$17</f>
        <v>0</v>
      </c>
      <c r="BP2596" s="6">
        <f>Grandview_Inventory[[#This Row],[Plumbing Fixtures]]*Lookups!$B$18</f>
        <v>0</v>
      </c>
      <c r="BQ2596" s="6">
        <f>Grandview_Inventory[[#This Row],[detatched_value]]*Lookups!$B$19</f>
        <v>0</v>
      </c>
      <c r="BR2596" s="6">
        <f>SUM(Grandview_Inventory[[#This Row],[Intercept]:[det_value]])*Grandview_Inventory[[#This Row],[res_pct]]</f>
        <v>0</v>
      </c>
      <c r="BS2596" s="6">
        <f>Grandview_Inventory[[#This Row],[land_value]]</f>
        <v>41219.217601622076</v>
      </c>
      <c r="BT2596" s="4">
        <f>_xlfn.IFNA(VLOOKUP(Grandview_Inventory[[#This Row],[quality]],Lookups!$A$26:$C$33,3,FALSE),1)</f>
        <v>1</v>
      </c>
      <c r="BU2596" s="4">
        <f>_xlfn.IFNA(VLOOKUP(Grandview_Inventory[[#This Row],[condition]],Lookups!$A$37:$C$44,3,FALSE),1)</f>
        <v>1</v>
      </c>
      <c r="BV2596" s="4">
        <f>IF(Grandview_Inventory[[#This Row],[bldg_style]]="",1,_xlfn.IFNA(VLOOKUP(Grandview_Inventory[[#This Row],[decade]],Lookups!$F$29:$H$43,3,FALSE),1))</f>
        <v>1</v>
      </c>
      <c r="BW2596" s="4">
        <f>_xlfn.IFNA(VLOOKUP(Grandview_Inventory[[#This Row],[living_area_range]],Lookups!$F$47:$H$56,3,FALSE),1)</f>
        <v>1</v>
      </c>
      <c r="BX2596" s="4">
        <f>AVERAGE(Grandview_Inventory[[#This Row],[qual_adj]:[size_adj]])</f>
        <v>1</v>
      </c>
      <c r="BY2596" s="6">
        <f>IF(Grandview_Inventory[[#This Row],[pre_res]]&lt;0,0,Grandview_Inventory[[#This Row],[pre_res]]*Grandview_Inventory[[#This Row],[overall_adj]])</f>
        <v>0</v>
      </c>
      <c r="BZ2596" s="6">
        <f>(Grandview_Inventory[[#This Row],[sum_land]]-IF(Grandview_Inventory[[#This Row],[no_utilities]]=1,12000,0))/IF(Grandview_Inventory[[#This Row],[unbuildable]]=1,2,1)</f>
        <v>41219.217601622076</v>
      </c>
      <c r="CA2596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6">
        <f>ROUND(Grandview_Inventory[[#This Row],[det_value]]*Lookups!$M$28,-2)</f>
        <v>0</v>
      </c>
      <c r="CC259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6">
        <f>Grandview_Inventory[[#This Row],[final_det]]+Grandview_Inventory[[#This Row],[final_res]]</f>
        <v>0</v>
      </c>
      <c r="CE2596">
        <f>Grandview_Inventory[[#This Row],[final_land]]+Grandview_Inventory[[#This Row],[final_imp]]+Grandview_Inventory[[#This Row],[crop_value]]</f>
        <v>39200</v>
      </c>
      <c r="CG2596" t="str">
        <f t="shared" si="40"/>
        <v>update valuation set market_land =39200, market_bldg=0, market_total =39200, market_mdno =401, market_date ='9/10/2023' where link_id = (select link_id from parcel where parcel_year = '2024' and parcel_id = '23091432475');</v>
      </c>
    </row>
    <row r="2597" spans="1:85" x14ac:dyDescent="0.25">
      <c r="A2597">
        <v>23091432476</v>
      </c>
      <c r="B2597" t="s">
        <v>129</v>
      </c>
      <c r="C2597">
        <v>5340</v>
      </c>
      <c r="D2597" t="s">
        <v>129</v>
      </c>
      <c r="E2597" t="s">
        <v>53</v>
      </c>
      <c r="F2597" t="s">
        <v>53</v>
      </c>
      <c r="G2597">
        <v>4</v>
      </c>
      <c r="H2597" t="s">
        <v>54</v>
      </c>
      <c r="I2597" t="s">
        <v>129</v>
      </c>
      <c r="J2597" t="s">
        <v>129</v>
      </c>
      <c r="K2597">
        <v>0.12</v>
      </c>
      <c r="L2597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7">
        <v>0</v>
      </c>
      <c r="N2597">
        <v>0</v>
      </c>
      <c r="O2597">
        <v>0</v>
      </c>
      <c r="P2597">
        <v>13398.7528</v>
      </c>
      <c r="Q2597">
        <v>63903</v>
      </c>
      <c r="R2597">
        <f>(Grandview_Inventory[[#This Row],[ln_acres]]*Grandview_Inventory[[#This Row],[coeff]])+Grandview_Inventory[[#This Row],[const]]</f>
        <v>35494.113007601132</v>
      </c>
      <c r="AY2597">
        <v>0</v>
      </c>
      <c r="AZ2597">
        <v>0</v>
      </c>
      <c r="BE2597">
        <v>0</v>
      </c>
      <c r="BF2597">
        <v>15000</v>
      </c>
      <c r="BG2597">
        <v>0</v>
      </c>
      <c r="BH2597" s="6">
        <f>Grandview_Inventory[[#This Row],[land_extract]]*Lookups!$B$3</f>
        <v>41219.217601622076</v>
      </c>
      <c r="BI2597" s="6">
        <f>IF(Grandview_Inventory[[#This Row],[bldg_style]]="",0,Lookups!$B$2)</f>
        <v>0</v>
      </c>
      <c r="BJ2597" s="6">
        <f>_xlfn.IFNA(VLOOKUP(Grandview_Inventory[[#This Row],[quality]],Lookups!$H$2:$J$14,3,FALSE),0)</f>
        <v>0</v>
      </c>
      <c r="BK2597" s="6">
        <f>_xlfn.IFNA(VLOOKUP(Grandview_Inventory[[#This Row],[condition]],Lookups!$H$17:$J$24,3,FALSE),0)</f>
        <v>0</v>
      </c>
      <c r="BL2597" s="6">
        <f>Grandview_Inventory[[#This Row],[Eff_Age]]*Lookups!$B$14</f>
        <v>0</v>
      </c>
      <c r="BM2597" s="6">
        <f>Grandview_Inventory[[#This Row],[living_area]]*Lookups!$B$15</f>
        <v>0</v>
      </c>
      <c r="BN2597" s="6">
        <f>Grandview_Inventory[[#This Row],[Fin BSMT]]*Lookups!$B$16</f>
        <v>0</v>
      </c>
      <c r="BO2597" s="6">
        <f>(Grandview_Inventory[[#This Row],[att_gar]]+Grandview_Inventory[[#This Row],[bltin_gar]])*Lookups!$B$17</f>
        <v>0</v>
      </c>
      <c r="BP2597" s="6">
        <f>Grandview_Inventory[[#This Row],[Plumbing Fixtures]]*Lookups!$B$18</f>
        <v>0</v>
      </c>
      <c r="BQ2597" s="6">
        <f>Grandview_Inventory[[#This Row],[detatched_value]]*Lookups!$B$19</f>
        <v>0</v>
      </c>
      <c r="BR2597" s="6">
        <f>SUM(Grandview_Inventory[[#This Row],[Intercept]:[det_value]])*Grandview_Inventory[[#This Row],[res_pct]]</f>
        <v>0</v>
      </c>
      <c r="BS2597" s="6">
        <f>Grandview_Inventory[[#This Row],[land_value]]</f>
        <v>41219.217601622076</v>
      </c>
      <c r="BT2597" s="4">
        <f>_xlfn.IFNA(VLOOKUP(Grandview_Inventory[[#This Row],[quality]],Lookups!$A$26:$C$33,3,FALSE),1)</f>
        <v>1</v>
      </c>
      <c r="BU2597" s="4">
        <f>_xlfn.IFNA(VLOOKUP(Grandview_Inventory[[#This Row],[condition]],Lookups!$A$37:$C$44,3,FALSE),1)</f>
        <v>1</v>
      </c>
      <c r="BV2597" s="4">
        <f>IF(Grandview_Inventory[[#This Row],[bldg_style]]="",1,_xlfn.IFNA(VLOOKUP(Grandview_Inventory[[#This Row],[decade]],Lookups!$F$29:$H$43,3,FALSE),1))</f>
        <v>1</v>
      </c>
      <c r="BW2597" s="4">
        <f>_xlfn.IFNA(VLOOKUP(Grandview_Inventory[[#This Row],[living_area_range]],Lookups!$F$47:$H$56,3,FALSE),1)</f>
        <v>1</v>
      </c>
      <c r="BX2597" s="4">
        <f>AVERAGE(Grandview_Inventory[[#This Row],[qual_adj]:[size_adj]])</f>
        <v>1</v>
      </c>
      <c r="BY2597" s="6">
        <f>IF(Grandview_Inventory[[#This Row],[pre_res]]&lt;0,0,Grandview_Inventory[[#This Row],[pre_res]]*Grandview_Inventory[[#This Row],[overall_adj]])</f>
        <v>0</v>
      </c>
      <c r="BZ2597" s="6">
        <f>(Grandview_Inventory[[#This Row],[sum_land]]-IF(Grandview_Inventory[[#This Row],[no_utilities]]=1,12000,0))/IF(Grandview_Inventory[[#This Row],[unbuildable]]=1,2,1)</f>
        <v>41219.217601622076</v>
      </c>
      <c r="CA259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7">
        <f>ROUND(Grandview_Inventory[[#This Row],[det_value]]*Lookups!$M$28,-2)</f>
        <v>0</v>
      </c>
      <c r="CC259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7">
        <f>Grandview_Inventory[[#This Row],[final_det]]+Grandview_Inventory[[#This Row],[final_res]]</f>
        <v>0</v>
      </c>
      <c r="CE2597">
        <f>Grandview_Inventory[[#This Row],[final_land]]+Grandview_Inventory[[#This Row],[final_imp]]+Grandview_Inventory[[#This Row],[crop_value]]</f>
        <v>39200</v>
      </c>
      <c r="CG2597" t="str">
        <f t="shared" si="40"/>
        <v>update valuation set market_land =39200, market_bldg=0, market_total =39200, market_mdno =401, market_date ='9/10/2023' where link_id = (select link_id from parcel where parcel_year = '2024' and parcel_id = '23091432476');</v>
      </c>
    </row>
    <row r="2598" spans="1:85" x14ac:dyDescent="0.25">
      <c r="A2598">
        <v>23091432477</v>
      </c>
      <c r="B2598" t="s">
        <v>129</v>
      </c>
      <c r="C2598">
        <v>5340</v>
      </c>
      <c r="D2598" t="s">
        <v>129</v>
      </c>
      <c r="E2598" t="s">
        <v>53</v>
      </c>
      <c r="F2598" t="s">
        <v>53</v>
      </c>
      <c r="G2598">
        <v>4</v>
      </c>
      <c r="H2598" t="s">
        <v>54</v>
      </c>
      <c r="I2598" t="s">
        <v>129</v>
      </c>
      <c r="J2598" t="s">
        <v>129</v>
      </c>
      <c r="K2598">
        <v>0.12</v>
      </c>
      <c r="L2598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8">
        <v>0</v>
      </c>
      <c r="N2598">
        <v>0</v>
      </c>
      <c r="O2598">
        <v>0</v>
      </c>
      <c r="P2598">
        <v>13398.7528</v>
      </c>
      <c r="Q2598">
        <v>63903</v>
      </c>
      <c r="R2598">
        <f>(Grandview_Inventory[[#This Row],[ln_acres]]*Grandview_Inventory[[#This Row],[coeff]])+Grandview_Inventory[[#This Row],[const]]</f>
        <v>35494.113007601132</v>
      </c>
      <c r="AY2598">
        <v>0</v>
      </c>
      <c r="AZ2598">
        <v>0</v>
      </c>
      <c r="BE2598">
        <v>0</v>
      </c>
      <c r="BF2598">
        <v>15000</v>
      </c>
      <c r="BG2598">
        <v>0</v>
      </c>
      <c r="BH2598" s="6">
        <f>Grandview_Inventory[[#This Row],[land_extract]]*Lookups!$B$3</f>
        <v>41219.217601622076</v>
      </c>
      <c r="BI2598" s="6">
        <f>IF(Grandview_Inventory[[#This Row],[bldg_style]]="",0,Lookups!$B$2)</f>
        <v>0</v>
      </c>
      <c r="BJ2598" s="6">
        <f>_xlfn.IFNA(VLOOKUP(Grandview_Inventory[[#This Row],[quality]],Lookups!$H$2:$J$14,3,FALSE),0)</f>
        <v>0</v>
      </c>
      <c r="BK2598" s="6">
        <f>_xlfn.IFNA(VLOOKUP(Grandview_Inventory[[#This Row],[condition]],Lookups!$H$17:$J$24,3,FALSE),0)</f>
        <v>0</v>
      </c>
      <c r="BL2598" s="6">
        <f>Grandview_Inventory[[#This Row],[Eff_Age]]*Lookups!$B$14</f>
        <v>0</v>
      </c>
      <c r="BM2598" s="6">
        <f>Grandview_Inventory[[#This Row],[living_area]]*Lookups!$B$15</f>
        <v>0</v>
      </c>
      <c r="BN2598" s="6">
        <f>Grandview_Inventory[[#This Row],[Fin BSMT]]*Lookups!$B$16</f>
        <v>0</v>
      </c>
      <c r="BO2598" s="6">
        <f>(Grandview_Inventory[[#This Row],[att_gar]]+Grandview_Inventory[[#This Row],[bltin_gar]])*Lookups!$B$17</f>
        <v>0</v>
      </c>
      <c r="BP2598" s="6">
        <f>Grandview_Inventory[[#This Row],[Plumbing Fixtures]]*Lookups!$B$18</f>
        <v>0</v>
      </c>
      <c r="BQ2598" s="6">
        <f>Grandview_Inventory[[#This Row],[detatched_value]]*Lookups!$B$19</f>
        <v>0</v>
      </c>
      <c r="BR2598" s="6">
        <f>SUM(Grandview_Inventory[[#This Row],[Intercept]:[det_value]])*Grandview_Inventory[[#This Row],[res_pct]]</f>
        <v>0</v>
      </c>
      <c r="BS2598" s="6">
        <f>Grandview_Inventory[[#This Row],[land_value]]</f>
        <v>41219.217601622076</v>
      </c>
      <c r="BT2598" s="4">
        <f>_xlfn.IFNA(VLOOKUP(Grandview_Inventory[[#This Row],[quality]],Lookups!$A$26:$C$33,3,FALSE),1)</f>
        <v>1</v>
      </c>
      <c r="BU2598" s="4">
        <f>_xlfn.IFNA(VLOOKUP(Grandview_Inventory[[#This Row],[condition]],Lookups!$A$37:$C$44,3,FALSE),1)</f>
        <v>1</v>
      </c>
      <c r="BV2598" s="4">
        <f>IF(Grandview_Inventory[[#This Row],[bldg_style]]="",1,_xlfn.IFNA(VLOOKUP(Grandview_Inventory[[#This Row],[decade]],Lookups!$F$29:$H$43,3,FALSE),1))</f>
        <v>1</v>
      </c>
      <c r="BW2598" s="4">
        <f>_xlfn.IFNA(VLOOKUP(Grandview_Inventory[[#This Row],[living_area_range]],Lookups!$F$47:$H$56,3,FALSE),1)</f>
        <v>1</v>
      </c>
      <c r="BX2598" s="4">
        <f>AVERAGE(Grandview_Inventory[[#This Row],[qual_adj]:[size_adj]])</f>
        <v>1</v>
      </c>
      <c r="BY2598" s="6">
        <f>IF(Grandview_Inventory[[#This Row],[pre_res]]&lt;0,0,Grandview_Inventory[[#This Row],[pre_res]]*Grandview_Inventory[[#This Row],[overall_adj]])</f>
        <v>0</v>
      </c>
      <c r="BZ2598" s="6">
        <f>(Grandview_Inventory[[#This Row],[sum_land]]-IF(Grandview_Inventory[[#This Row],[no_utilities]]=1,12000,0))/IF(Grandview_Inventory[[#This Row],[unbuildable]]=1,2,1)</f>
        <v>41219.217601622076</v>
      </c>
      <c r="CA2598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8">
        <f>ROUND(Grandview_Inventory[[#This Row],[det_value]]*Lookups!$M$28,-2)</f>
        <v>0</v>
      </c>
      <c r="CC259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8">
        <f>Grandview_Inventory[[#This Row],[final_det]]+Grandview_Inventory[[#This Row],[final_res]]</f>
        <v>0</v>
      </c>
      <c r="CE2598">
        <f>Grandview_Inventory[[#This Row],[final_land]]+Grandview_Inventory[[#This Row],[final_imp]]+Grandview_Inventory[[#This Row],[crop_value]]</f>
        <v>39200</v>
      </c>
      <c r="CG2598" t="str">
        <f t="shared" si="40"/>
        <v>update valuation set market_land =39200, market_bldg=0, market_total =39200, market_mdno =401, market_date ='9/10/2023' where link_id = (select link_id from parcel where parcel_year = '2024' and parcel_id = '23091432477');</v>
      </c>
    </row>
    <row r="2599" spans="1:85" x14ac:dyDescent="0.25">
      <c r="A2599">
        <v>23091432478</v>
      </c>
      <c r="B2599" t="s">
        <v>129</v>
      </c>
      <c r="C2599">
        <v>5121</v>
      </c>
      <c r="D2599" t="s">
        <v>129</v>
      </c>
      <c r="E2599" t="s">
        <v>53</v>
      </c>
      <c r="F2599" t="s">
        <v>53</v>
      </c>
      <c r="G2599">
        <v>4</v>
      </c>
      <c r="H2599" t="s">
        <v>54</v>
      </c>
      <c r="I2599" t="s">
        <v>129</v>
      </c>
      <c r="J2599" t="s">
        <v>129</v>
      </c>
      <c r="K2599">
        <v>0.12</v>
      </c>
      <c r="L259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599">
        <v>0</v>
      </c>
      <c r="N2599">
        <v>0</v>
      </c>
      <c r="O2599">
        <v>0</v>
      </c>
      <c r="P2599">
        <v>13398.7528</v>
      </c>
      <c r="Q2599">
        <v>63903</v>
      </c>
      <c r="R2599">
        <f>(Grandview_Inventory[[#This Row],[ln_acres]]*Grandview_Inventory[[#This Row],[coeff]])+Grandview_Inventory[[#This Row],[const]]</f>
        <v>35494.113007601132</v>
      </c>
      <c r="AY2599">
        <v>0</v>
      </c>
      <c r="AZ2599">
        <v>0</v>
      </c>
      <c r="BE2599">
        <v>0</v>
      </c>
      <c r="BF2599">
        <v>15000</v>
      </c>
      <c r="BG2599">
        <v>0</v>
      </c>
      <c r="BH2599" s="6">
        <f>Grandview_Inventory[[#This Row],[land_extract]]*Lookups!$B$3</f>
        <v>41219.217601622076</v>
      </c>
      <c r="BI2599" s="6">
        <f>IF(Grandview_Inventory[[#This Row],[bldg_style]]="",0,Lookups!$B$2)</f>
        <v>0</v>
      </c>
      <c r="BJ2599" s="6">
        <f>_xlfn.IFNA(VLOOKUP(Grandview_Inventory[[#This Row],[quality]],Lookups!$H$2:$J$14,3,FALSE),0)</f>
        <v>0</v>
      </c>
      <c r="BK2599" s="6">
        <f>_xlfn.IFNA(VLOOKUP(Grandview_Inventory[[#This Row],[condition]],Lookups!$H$17:$J$24,3,FALSE),0)</f>
        <v>0</v>
      </c>
      <c r="BL2599" s="6">
        <f>Grandview_Inventory[[#This Row],[Eff_Age]]*Lookups!$B$14</f>
        <v>0</v>
      </c>
      <c r="BM2599" s="6">
        <f>Grandview_Inventory[[#This Row],[living_area]]*Lookups!$B$15</f>
        <v>0</v>
      </c>
      <c r="BN2599" s="6">
        <f>Grandview_Inventory[[#This Row],[Fin BSMT]]*Lookups!$B$16</f>
        <v>0</v>
      </c>
      <c r="BO2599" s="6">
        <f>(Grandview_Inventory[[#This Row],[att_gar]]+Grandview_Inventory[[#This Row],[bltin_gar]])*Lookups!$B$17</f>
        <v>0</v>
      </c>
      <c r="BP2599" s="6">
        <f>Grandview_Inventory[[#This Row],[Plumbing Fixtures]]*Lookups!$B$18</f>
        <v>0</v>
      </c>
      <c r="BQ2599" s="6">
        <f>Grandview_Inventory[[#This Row],[detatched_value]]*Lookups!$B$19</f>
        <v>0</v>
      </c>
      <c r="BR2599" s="6">
        <f>SUM(Grandview_Inventory[[#This Row],[Intercept]:[det_value]])*Grandview_Inventory[[#This Row],[res_pct]]</f>
        <v>0</v>
      </c>
      <c r="BS2599" s="6">
        <f>Grandview_Inventory[[#This Row],[land_value]]</f>
        <v>41219.217601622076</v>
      </c>
      <c r="BT2599" s="4">
        <f>_xlfn.IFNA(VLOOKUP(Grandview_Inventory[[#This Row],[quality]],Lookups!$A$26:$C$33,3,FALSE),1)</f>
        <v>1</v>
      </c>
      <c r="BU2599" s="4">
        <f>_xlfn.IFNA(VLOOKUP(Grandview_Inventory[[#This Row],[condition]],Lookups!$A$37:$C$44,3,FALSE),1)</f>
        <v>1</v>
      </c>
      <c r="BV2599" s="4">
        <f>IF(Grandview_Inventory[[#This Row],[bldg_style]]="",1,_xlfn.IFNA(VLOOKUP(Grandview_Inventory[[#This Row],[decade]],Lookups!$F$29:$H$43,3,FALSE),1))</f>
        <v>1</v>
      </c>
      <c r="BW2599" s="4">
        <f>_xlfn.IFNA(VLOOKUP(Grandview_Inventory[[#This Row],[living_area_range]],Lookups!$F$47:$H$56,3,FALSE),1)</f>
        <v>1</v>
      </c>
      <c r="BX2599" s="4">
        <f>AVERAGE(Grandview_Inventory[[#This Row],[qual_adj]:[size_adj]])</f>
        <v>1</v>
      </c>
      <c r="BY2599" s="6">
        <f>IF(Grandview_Inventory[[#This Row],[pre_res]]&lt;0,0,Grandview_Inventory[[#This Row],[pre_res]]*Grandview_Inventory[[#This Row],[overall_adj]])</f>
        <v>0</v>
      </c>
      <c r="BZ2599" s="6">
        <f>(Grandview_Inventory[[#This Row],[sum_land]]-IF(Grandview_Inventory[[#This Row],[no_utilities]]=1,12000,0))/IF(Grandview_Inventory[[#This Row],[unbuildable]]=1,2,1)</f>
        <v>41219.217601622076</v>
      </c>
      <c r="CA259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599">
        <f>ROUND(Grandview_Inventory[[#This Row],[det_value]]*Lookups!$M$28,-2)</f>
        <v>0</v>
      </c>
      <c r="CC259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599">
        <f>Grandview_Inventory[[#This Row],[final_det]]+Grandview_Inventory[[#This Row],[final_res]]</f>
        <v>0</v>
      </c>
      <c r="CE2599">
        <f>Grandview_Inventory[[#This Row],[final_land]]+Grandview_Inventory[[#This Row],[final_imp]]+Grandview_Inventory[[#This Row],[crop_value]]</f>
        <v>39200</v>
      </c>
      <c r="CG2599" t="str">
        <f t="shared" si="40"/>
        <v>update valuation set market_land =39200, market_bldg=0, market_total =39200, market_mdno =401, market_date ='9/10/2023' where link_id = (select link_id from parcel where parcel_year = '2024' and parcel_id = '23091432478');</v>
      </c>
    </row>
    <row r="2600" spans="1:85" x14ac:dyDescent="0.25">
      <c r="A2600">
        <v>23091432479</v>
      </c>
      <c r="B2600" t="s">
        <v>129</v>
      </c>
      <c r="C2600">
        <v>5753</v>
      </c>
      <c r="D2600" t="s">
        <v>129</v>
      </c>
      <c r="E2600" t="s">
        <v>53</v>
      </c>
      <c r="F2600" t="s">
        <v>53</v>
      </c>
      <c r="G2600">
        <v>4</v>
      </c>
      <c r="H2600" t="s">
        <v>54</v>
      </c>
      <c r="I2600" t="s">
        <v>129</v>
      </c>
      <c r="J2600" t="s">
        <v>129</v>
      </c>
      <c r="K2600">
        <v>0.13</v>
      </c>
      <c r="L2600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00">
        <v>0</v>
      </c>
      <c r="N2600">
        <v>0</v>
      </c>
      <c r="O2600">
        <v>0</v>
      </c>
      <c r="P2600">
        <v>13398.7528</v>
      </c>
      <c r="Q2600">
        <v>63903</v>
      </c>
      <c r="R2600">
        <f>(Grandview_Inventory[[#This Row],[ln_acres]]*Grandview_Inventory[[#This Row],[coeff]])+Grandview_Inventory[[#This Row],[const]]</f>
        <v>36566.585461161507</v>
      </c>
      <c r="AY2600">
        <v>0</v>
      </c>
      <c r="AZ2600">
        <v>0</v>
      </c>
      <c r="BE2600">
        <v>0</v>
      </c>
      <c r="BF2600">
        <v>15000</v>
      </c>
      <c r="BG2600">
        <v>0</v>
      </c>
      <c r="BH2600" s="6">
        <f>Grandview_Inventory[[#This Row],[land_extract]]*Lookups!$B$3</f>
        <v>42464.67696626611</v>
      </c>
      <c r="BI2600" s="6">
        <f>IF(Grandview_Inventory[[#This Row],[bldg_style]]="",0,Lookups!$B$2)</f>
        <v>0</v>
      </c>
      <c r="BJ2600" s="6">
        <f>_xlfn.IFNA(VLOOKUP(Grandview_Inventory[[#This Row],[quality]],Lookups!$H$2:$J$14,3,FALSE),0)</f>
        <v>0</v>
      </c>
      <c r="BK2600" s="6">
        <f>_xlfn.IFNA(VLOOKUP(Grandview_Inventory[[#This Row],[condition]],Lookups!$H$17:$J$24,3,FALSE),0)</f>
        <v>0</v>
      </c>
      <c r="BL2600" s="6">
        <f>Grandview_Inventory[[#This Row],[Eff_Age]]*Lookups!$B$14</f>
        <v>0</v>
      </c>
      <c r="BM2600" s="6">
        <f>Grandview_Inventory[[#This Row],[living_area]]*Lookups!$B$15</f>
        <v>0</v>
      </c>
      <c r="BN2600" s="6">
        <f>Grandview_Inventory[[#This Row],[Fin BSMT]]*Lookups!$B$16</f>
        <v>0</v>
      </c>
      <c r="BO2600" s="6">
        <f>(Grandview_Inventory[[#This Row],[att_gar]]+Grandview_Inventory[[#This Row],[bltin_gar]])*Lookups!$B$17</f>
        <v>0</v>
      </c>
      <c r="BP2600" s="6">
        <f>Grandview_Inventory[[#This Row],[Plumbing Fixtures]]*Lookups!$B$18</f>
        <v>0</v>
      </c>
      <c r="BQ2600" s="6">
        <f>Grandview_Inventory[[#This Row],[detatched_value]]*Lookups!$B$19</f>
        <v>0</v>
      </c>
      <c r="BR2600" s="6">
        <f>SUM(Grandview_Inventory[[#This Row],[Intercept]:[det_value]])*Grandview_Inventory[[#This Row],[res_pct]]</f>
        <v>0</v>
      </c>
      <c r="BS2600" s="6">
        <f>Grandview_Inventory[[#This Row],[land_value]]</f>
        <v>42464.67696626611</v>
      </c>
      <c r="BT2600" s="4">
        <f>_xlfn.IFNA(VLOOKUP(Grandview_Inventory[[#This Row],[quality]],Lookups!$A$26:$C$33,3,FALSE),1)</f>
        <v>1</v>
      </c>
      <c r="BU2600" s="4">
        <f>_xlfn.IFNA(VLOOKUP(Grandview_Inventory[[#This Row],[condition]],Lookups!$A$37:$C$44,3,FALSE),1)</f>
        <v>1</v>
      </c>
      <c r="BV2600" s="4">
        <f>IF(Grandview_Inventory[[#This Row],[bldg_style]]="",1,_xlfn.IFNA(VLOOKUP(Grandview_Inventory[[#This Row],[decade]],Lookups!$F$29:$H$43,3,FALSE),1))</f>
        <v>1</v>
      </c>
      <c r="BW2600" s="4">
        <f>_xlfn.IFNA(VLOOKUP(Grandview_Inventory[[#This Row],[living_area_range]],Lookups!$F$47:$H$56,3,FALSE),1)</f>
        <v>1</v>
      </c>
      <c r="BX2600" s="4">
        <f>AVERAGE(Grandview_Inventory[[#This Row],[qual_adj]:[size_adj]])</f>
        <v>1</v>
      </c>
      <c r="BY2600" s="6">
        <f>IF(Grandview_Inventory[[#This Row],[pre_res]]&lt;0,0,Grandview_Inventory[[#This Row],[pre_res]]*Grandview_Inventory[[#This Row],[overall_adj]])</f>
        <v>0</v>
      </c>
      <c r="BZ2600" s="6">
        <f>(Grandview_Inventory[[#This Row],[sum_land]]-IF(Grandview_Inventory[[#This Row],[no_utilities]]=1,12000,0))/IF(Grandview_Inventory[[#This Row],[unbuildable]]=1,2,1)</f>
        <v>42464.67696626611</v>
      </c>
      <c r="CA2600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00">
        <f>ROUND(Grandview_Inventory[[#This Row],[det_value]]*Lookups!$M$28,-2)</f>
        <v>0</v>
      </c>
      <c r="CC260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0">
        <f>Grandview_Inventory[[#This Row],[final_det]]+Grandview_Inventory[[#This Row],[final_res]]</f>
        <v>0</v>
      </c>
      <c r="CE2600">
        <f>Grandview_Inventory[[#This Row],[final_land]]+Grandview_Inventory[[#This Row],[final_imp]]+Grandview_Inventory[[#This Row],[crop_value]]</f>
        <v>40300</v>
      </c>
      <c r="CG2600" t="str">
        <f t="shared" si="40"/>
        <v>update valuation set market_land =40300, market_bldg=0, market_total =40300, market_mdno =401, market_date ='9/10/2023' where link_id = (select link_id from parcel where parcel_year = '2024' and parcel_id = '23091432479');</v>
      </c>
    </row>
    <row r="2601" spans="1:85" x14ac:dyDescent="0.25">
      <c r="A2601">
        <v>23091432480</v>
      </c>
      <c r="B2601" t="s">
        <v>129</v>
      </c>
      <c r="C2601">
        <v>7293</v>
      </c>
      <c r="D2601" t="s">
        <v>129</v>
      </c>
      <c r="E2601" t="s">
        <v>53</v>
      </c>
      <c r="F2601" t="s">
        <v>53</v>
      </c>
      <c r="G2601">
        <v>4</v>
      </c>
      <c r="H2601" t="s">
        <v>54</v>
      </c>
      <c r="I2601" t="s">
        <v>129</v>
      </c>
      <c r="J2601" t="s">
        <v>129</v>
      </c>
      <c r="K2601">
        <v>0.17</v>
      </c>
      <c r="L2601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01">
        <v>0</v>
      </c>
      <c r="N2601">
        <v>0</v>
      </c>
      <c r="O2601">
        <v>0</v>
      </c>
      <c r="P2601">
        <v>13398.7528</v>
      </c>
      <c r="Q2601">
        <v>63903</v>
      </c>
      <c r="R2601">
        <f>(Grandview_Inventory[[#This Row],[ln_acres]]*Grandview_Inventory[[#This Row],[coeff]])+Grandview_Inventory[[#This Row],[const]]</f>
        <v>40160.988302686128</v>
      </c>
      <c r="AY2601">
        <v>0</v>
      </c>
      <c r="AZ2601">
        <v>0</v>
      </c>
      <c r="BE2601">
        <v>0</v>
      </c>
      <c r="BF2601">
        <v>15000</v>
      </c>
      <c r="BG2601">
        <v>0</v>
      </c>
      <c r="BH2601" s="6">
        <f>Grandview_Inventory[[#This Row],[land_extract]]*Lookups!$B$3</f>
        <v>46638.847281240982</v>
      </c>
      <c r="BI2601" s="6">
        <f>IF(Grandview_Inventory[[#This Row],[bldg_style]]="",0,Lookups!$B$2)</f>
        <v>0</v>
      </c>
      <c r="BJ2601" s="6">
        <f>_xlfn.IFNA(VLOOKUP(Grandview_Inventory[[#This Row],[quality]],Lookups!$H$2:$J$14,3,FALSE),0)</f>
        <v>0</v>
      </c>
      <c r="BK2601" s="6">
        <f>_xlfn.IFNA(VLOOKUP(Grandview_Inventory[[#This Row],[condition]],Lookups!$H$17:$J$24,3,FALSE),0)</f>
        <v>0</v>
      </c>
      <c r="BL2601" s="6">
        <f>Grandview_Inventory[[#This Row],[Eff_Age]]*Lookups!$B$14</f>
        <v>0</v>
      </c>
      <c r="BM2601" s="6">
        <f>Grandview_Inventory[[#This Row],[living_area]]*Lookups!$B$15</f>
        <v>0</v>
      </c>
      <c r="BN2601" s="6">
        <f>Grandview_Inventory[[#This Row],[Fin BSMT]]*Lookups!$B$16</f>
        <v>0</v>
      </c>
      <c r="BO2601" s="6">
        <f>(Grandview_Inventory[[#This Row],[att_gar]]+Grandview_Inventory[[#This Row],[bltin_gar]])*Lookups!$B$17</f>
        <v>0</v>
      </c>
      <c r="BP2601" s="6">
        <f>Grandview_Inventory[[#This Row],[Plumbing Fixtures]]*Lookups!$B$18</f>
        <v>0</v>
      </c>
      <c r="BQ2601" s="6">
        <f>Grandview_Inventory[[#This Row],[detatched_value]]*Lookups!$B$19</f>
        <v>0</v>
      </c>
      <c r="BR2601" s="6">
        <f>SUM(Grandview_Inventory[[#This Row],[Intercept]:[det_value]])*Grandview_Inventory[[#This Row],[res_pct]]</f>
        <v>0</v>
      </c>
      <c r="BS2601" s="6">
        <f>Grandview_Inventory[[#This Row],[land_value]]</f>
        <v>46638.847281240982</v>
      </c>
      <c r="BT2601" s="4">
        <f>_xlfn.IFNA(VLOOKUP(Grandview_Inventory[[#This Row],[quality]],Lookups!$A$26:$C$33,3,FALSE),1)</f>
        <v>1</v>
      </c>
      <c r="BU2601" s="4">
        <f>_xlfn.IFNA(VLOOKUP(Grandview_Inventory[[#This Row],[condition]],Lookups!$A$37:$C$44,3,FALSE),1)</f>
        <v>1</v>
      </c>
      <c r="BV2601" s="4">
        <f>IF(Grandview_Inventory[[#This Row],[bldg_style]]="",1,_xlfn.IFNA(VLOOKUP(Grandview_Inventory[[#This Row],[decade]],Lookups!$F$29:$H$43,3,FALSE),1))</f>
        <v>1</v>
      </c>
      <c r="BW2601" s="4">
        <f>_xlfn.IFNA(VLOOKUP(Grandview_Inventory[[#This Row],[living_area_range]],Lookups!$F$47:$H$56,3,FALSE),1)</f>
        <v>1</v>
      </c>
      <c r="BX2601" s="4">
        <f>AVERAGE(Grandview_Inventory[[#This Row],[qual_adj]:[size_adj]])</f>
        <v>1</v>
      </c>
      <c r="BY2601" s="6">
        <f>IF(Grandview_Inventory[[#This Row],[pre_res]]&lt;0,0,Grandview_Inventory[[#This Row],[pre_res]]*Grandview_Inventory[[#This Row],[overall_adj]])</f>
        <v>0</v>
      </c>
      <c r="BZ2601" s="6">
        <f>(Grandview_Inventory[[#This Row],[sum_land]]-IF(Grandview_Inventory[[#This Row],[no_utilities]]=1,12000,0))/IF(Grandview_Inventory[[#This Row],[unbuildable]]=1,2,1)</f>
        <v>46638.847281240982</v>
      </c>
      <c r="CA2601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01">
        <f>ROUND(Grandview_Inventory[[#This Row],[det_value]]*Lookups!$M$28,-2)</f>
        <v>0</v>
      </c>
      <c r="CC260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1">
        <f>Grandview_Inventory[[#This Row],[final_det]]+Grandview_Inventory[[#This Row],[final_res]]</f>
        <v>0</v>
      </c>
      <c r="CE2601">
        <f>Grandview_Inventory[[#This Row],[final_land]]+Grandview_Inventory[[#This Row],[final_imp]]+Grandview_Inventory[[#This Row],[crop_value]]</f>
        <v>44300</v>
      </c>
      <c r="CG2601" t="str">
        <f t="shared" si="40"/>
        <v>update valuation set market_land =44300, market_bldg=0, market_total =44300, market_mdno =401, market_date ='9/10/2023' where link_id = (select link_id from parcel where parcel_year = '2024' and parcel_id = '23091432480');</v>
      </c>
    </row>
    <row r="2602" spans="1:85" x14ac:dyDescent="0.25">
      <c r="A2602">
        <v>23091432482</v>
      </c>
      <c r="B2602" t="s">
        <v>129</v>
      </c>
      <c r="C2602">
        <v>5236</v>
      </c>
      <c r="D2602" t="s">
        <v>129</v>
      </c>
      <c r="E2602" t="s">
        <v>53</v>
      </c>
      <c r="F2602" t="s">
        <v>53</v>
      </c>
      <c r="G2602">
        <v>4</v>
      </c>
      <c r="H2602" t="s">
        <v>54</v>
      </c>
      <c r="I2602" t="s">
        <v>129</v>
      </c>
      <c r="J2602" t="s">
        <v>129</v>
      </c>
      <c r="K2602">
        <v>0.12</v>
      </c>
      <c r="L260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602">
        <v>0</v>
      </c>
      <c r="N2602">
        <v>0</v>
      </c>
      <c r="O2602">
        <v>0</v>
      </c>
      <c r="P2602">
        <v>13398.7528</v>
      </c>
      <c r="Q2602">
        <v>63903</v>
      </c>
      <c r="R2602">
        <f>(Grandview_Inventory[[#This Row],[ln_acres]]*Grandview_Inventory[[#This Row],[coeff]])+Grandview_Inventory[[#This Row],[const]]</f>
        <v>35494.113007601132</v>
      </c>
      <c r="AY2602">
        <v>0</v>
      </c>
      <c r="AZ2602">
        <v>0</v>
      </c>
      <c r="BE2602">
        <v>0</v>
      </c>
      <c r="BF2602">
        <v>15000</v>
      </c>
      <c r="BG2602">
        <v>0</v>
      </c>
      <c r="BH2602" s="6">
        <f>Grandview_Inventory[[#This Row],[land_extract]]*Lookups!$B$3</f>
        <v>41219.217601622076</v>
      </c>
      <c r="BI2602" s="6">
        <f>IF(Grandview_Inventory[[#This Row],[bldg_style]]="",0,Lookups!$B$2)</f>
        <v>0</v>
      </c>
      <c r="BJ2602" s="6">
        <f>_xlfn.IFNA(VLOOKUP(Grandview_Inventory[[#This Row],[quality]],Lookups!$H$2:$J$14,3,FALSE),0)</f>
        <v>0</v>
      </c>
      <c r="BK2602" s="6">
        <f>_xlfn.IFNA(VLOOKUP(Grandview_Inventory[[#This Row],[condition]],Lookups!$H$17:$J$24,3,FALSE),0)</f>
        <v>0</v>
      </c>
      <c r="BL2602" s="6">
        <f>Grandview_Inventory[[#This Row],[Eff_Age]]*Lookups!$B$14</f>
        <v>0</v>
      </c>
      <c r="BM2602" s="6">
        <f>Grandview_Inventory[[#This Row],[living_area]]*Lookups!$B$15</f>
        <v>0</v>
      </c>
      <c r="BN2602" s="6">
        <f>Grandview_Inventory[[#This Row],[Fin BSMT]]*Lookups!$B$16</f>
        <v>0</v>
      </c>
      <c r="BO2602" s="6">
        <f>(Grandview_Inventory[[#This Row],[att_gar]]+Grandview_Inventory[[#This Row],[bltin_gar]])*Lookups!$B$17</f>
        <v>0</v>
      </c>
      <c r="BP2602" s="6">
        <f>Grandview_Inventory[[#This Row],[Plumbing Fixtures]]*Lookups!$B$18</f>
        <v>0</v>
      </c>
      <c r="BQ2602" s="6">
        <f>Grandview_Inventory[[#This Row],[detatched_value]]*Lookups!$B$19</f>
        <v>0</v>
      </c>
      <c r="BR2602" s="6">
        <f>SUM(Grandview_Inventory[[#This Row],[Intercept]:[det_value]])*Grandview_Inventory[[#This Row],[res_pct]]</f>
        <v>0</v>
      </c>
      <c r="BS2602" s="6">
        <f>Grandview_Inventory[[#This Row],[land_value]]</f>
        <v>41219.217601622076</v>
      </c>
      <c r="BT2602" s="4">
        <f>_xlfn.IFNA(VLOOKUP(Grandview_Inventory[[#This Row],[quality]],Lookups!$A$26:$C$33,3,FALSE),1)</f>
        <v>1</v>
      </c>
      <c r="BU2602" s="4">
        <f>_xlfn.IFNA(VLOOKUP(Grandview_Inventory[[#This Row],[condition]],Lookups!$A$37:$C$44,3,FALSE),1)</f>
        <v>1</v>
      </c>
      <c r="BV2602" s="4">
        <f>IF(Grandview_Inventory[[#This Row],[bldg_style]]="",1,_xlfn.IFNA(VLOOKUP(Grandview_Inventory[[#This Row],[decade]],Lookups!$F$29:$H$43,3,FALSE),1))</f>
        <v>1</v>
      </c>
      <c r="BW2602" s="4">
        <f>_xlfn.IFNA(VLOOKUP(Grandview_Inventory[[#This Row],[living_area_range]],Lookups!$F$47:$H$56,3,FALSE),1)</f>
        <v>1</v>
      </c>
      <c r="BX2602" s="4">
        <f>AVERAGE(Grandview_Inventory[[#This Row],[qual_adj]:[size_adj]])</f>
        <v>1</v>
      </c>
      <c r="BY2602" s="6">
        <f>IF(Grandview_Inventory[[#This Row],[pre_res]]&lt;0,0,Grandview_Inventory[[#This Row],[pre_res]]*Grandview_Inventory[[#This Row],[overall_adj]])</f>
        <v>0</v>
      </c>
      <c r="BZ2602" s="6">
        <f>(Grandview_Inventory[[#This Row],[sum_land]]-IF(Grandview_Inventory[[#This Row],[no_utilities]]=1,12000,0))/IF(Grandview_Inventory[[#This Row],[unbuildable]]=1,2,1)</f>
        <v>41219.217601622076</v>
      </c>
      <c r="CA260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602">
        <f>ROUND(Grandview_Inventory[[#This Row],[det_value]]*Lookups!$M$28,-2)</f>
        <v>0</v>
      </c>
      <c r="CC260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2">
        <f>Grandview_Inventory[[#This Row],[final_det]]+Grandview_Inventory[[#This Row],[final_res]]</f>
        <v>0</v>
      </c>
      <c r="CE2602">
        <f>Grandview_Inventory[[#This Row],[final_land]]+Grandview_Inventory[[#This Row],[final_imp]]+Grandview_Inventory[[#This Row],[crop_value]]</f>
        <v>39200</v>
      </c>
      <c r="CG2602" t="str">
        <f t="shared" si="40"/>
        <v>update valuation set market_land =39200, market_bldg=0, market_total =39200, market_mdno =401, market_date ='9/10/2023' where link_id = (select link_id from parcel where parcel_year = '2024' and parcel_id = '23091432482');</v>
      </c>
    </row>
    <row r="2603" spans="1:85" x14ac:dyDescent="0.25">
      <c r="A2603">
        <v>23091432485</v>
      </c>
      <c r="B2603" t="s">
        <v>129</v>
      </c>
      <c r="C2603">
        <v>6258</v>
      </c>
      <c r="D2603" t="s">
        <v>129</v>
      </c>
      <c r="E2603" t="s">
        <v>53</v>
      </c>
      <c r="F2603" t="s">
        <v>53</v>
      </c>
      <c r="G2603">
        <v>4</v>
      </c>
      <c r="H2603" t="s">
        <v>54</v>
      </c>
      <c r="I2603" t="s">
        <v>129</v>
      </c>
      <c r="J2603" t="s">
        <v>129</v>
      </c>
      <c r="K2603">
        <v>0.14000000000000001</v>
      </c>
      <c r="L2603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2603">
        <v>0</v>
      </c>
      <c r="N2603">
        <v>0</v>
      </c>
      <c r="O2603">
        <v>0</v>
      </c>
      <c r="P2603">
        <v>13398.7528</v>
      </c>
      <c r="Q2603">
        <v>63903</v>
      </c>
      <c r="R2603">
        <f>(Grandview_Inventory[[#This Row],[ln_acres]]*Grandview_Inventory[[#This Row],[coeff]])+Grandview_Inventory[[#This Row],[const]]</f>
        <v>37559.539860558507</v>
      </c>
      <c r="AY2603">
        <v>0</v>
      </c>
      <c r="AZ2603">
        <v>0</v>
      </c>
      <c r="BE2603">
        <v>0</v>
      </c>
      <c r="BF2603">
        <v>15000</v>
      </c>
      <c r="BG2603">
        <v>0</v>
      </c>
      <c r="BH2603" s="6">
        <f>Grandview_Inventory[[#This Row],[land_extract]]*Lookups!$B$3</f>
        <v>43617.792229308972</v>
      </c>
      <c r="BI2603" s="6">
        <f>IF(Grandview_Inventory[[#This Row],[bldg_style]]="",0,Lookups!$B$2)</f>
        <v>0</v>
      </c>
      <c r="BJ2603" s="6">
        <f>_xlfn.IFNA(VLOOKUP(Grandview_Inventory[[#This Row],[quality]],Lookups!$H$2:$J$14,3,FALSE),0)</f>
        <v>0</v>
      </c>
      <c r="BK2603" s="6">
        <f>_xlfn.IFNA(VLOOKUP(Grandview_Inventory[[#This Row],[condition]],Lookups!$H$17:$J$24,3,FALSE),0)</f>
        <v>0</v>
      </c>
      <c r="BL2603" s="6">
        <f>Grandview_Inventory[[#This Row],[Eff_Age]]*Lookups!$B$14</f>
        <v>0</v>
      </c>
      <c r="BM2603" s="6">
        <f>Grandview_Inventory[[#This Row],[living_area]]*Lookups!$B$15</f>
        <v>0</v>
      </c>
      <c r="BN2603" s="6">
        <f>Grandview_Inventory[[#This Row],[Fin BSMT]]*Lookups!$B$16</f>
        <v>0</v>
      </c>
      <c r="BO2603" s="6">
        <f>(Grandview_Inventory[[#This Row],[att_gar]]+Grandview_Inventory[[#This Row],[bltin_gar]])*Lookups!$B$17</f>
        <v>0</v>
      </c>
      <c r="BP2603" s="6">
        <f>Grandview_Inventory[[#This Row],[Plumbing Fixtures]]*Lookups!$B$18</f>
        <v>0</v>
      </c>
      <c r="BQ2603" s="6">
        <f>Grandview_Inventory[[#This Row],[detatched_value]]*Lookups!$B$19</f>
        <v>0</v>
      </c>
      <c r="BR2603" s="6">
        <f>SUM(Grandview_Inventory[[#This Row],[Intercept]:[det_value]])*Grandview_Inventory[[#This Row],[res_pct]]</f>
        <v>0</v>
      </c>
      <c r="BS2603" s="6">
        <f>Grandview_Inventory[[#This Row],[land_value]]</f>
        <v>43617.792229308972</v>
      </c>
      <c r="BT2603" s="4">
        <f>_xlfn.IFNA(VLOOKUP(Grandview_Inventory[[#This Row],[quality]],Lookups!$A$26:$C$33,3,FALSE),1)</f>
        <v>1</v>
      </c>
      <c r="BU2603" s="4">
        <f>_xlfn.IFNA(VLOOKUP(Grandview_Inventory[[#This Row],[condition]],Lookups!$A$37:$C$44,3,FALSE),1)</f>
        <v>1</v>
      </c>
      <c r="BV2603" s="4">
        <f>IF(Grandview_Inventory[[#This Row],[bldg_style]]="",1,_xlfn.IFNA(VLOOKUP(Grandview_Inventory[[#This Row],[decade]],Lookups!$F$29:$H$43,3,FALSE),1))</f>
        <v>1</v>
      </c>
      <c r="BW2603" s="4">
        <f>_xlfn.IFNA(VLOOKUP(Grandview_Inventory[[#This Row],[living_area_range]],Lookups!$F$47:$H$56,3,FALSE),1)</f>
        <v>1</v>
      </c>
      <c r="BX2603" s="4">
        <f>AVERAGE(Grandview_Inventory[[#This Row],[qual_adj]:[size_adj]])</f>
        <v>1</v>
      </c>
      <c r="BY2603" s="6">
        <f>IF(Grandview_Inventory[[#This Row],[pre_res]]&lt;0,0,Grandview_Inventory[[#This Row],[pre_res]]*Grandview_Inventory[[#This Row],[overall_adj]])</f>
        <v>0</v>
      </c>
      <c r="BZ2603" s="6">
        <f>(Grandview_Inventory[[#This Row],[sum_land]]-IF(Grandview_Inventory[[#This Row],[no_utilities]]=1,12000,0))/IF(Grandview_Inventory[[#This Row],[unbuildable]]=1,2,1)</f>
        <v>43617.792229308972</v>
      </c>
      <c r="CA2603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2603">
        <f>ROUND(Grandview_Inventory[[#This Row],[det_value]]*Lookups!$M$28,-2)</f>
        <v>0</v>
      </c>
      <c r="CC260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3">
        <f>Grandview_Inventory[[#This Row],[final_det]]+Grandview_Inventory[[#This Row],[final_res]]</f>
        <v>0</v>
      </c>
      <c r="CE2603">
        <f>Grandview_Inventory[[#This Row],[final_land]]+Grandview_Inventory[[#This Row],[final_imp]]+Grandview_Inventory[[#This Row],[crop_value]]</f>
        <v>41400</v>
      </c>
      <c r="CG2603" t="str">
        <f t="shared" si="40"/>
        <v>update valuation set market_land =41400, market_bldg=0, market_total =41400, market_mdno =401, market_date ='9/10/2023' where link_id = (select link_id from parcel where parcel_year = '2024' and parcel_id = '23091432485');</v>
      </c>
    </row>
    <row r="2604" spans="1:85" x14ac:dyDescent="0.25">
      <c r="A2604">
        <v>23091432486</v>
      </c>
      <c r="B2604" t="s">
        <v>129</v>
      </c>
      <c r="C2604">
        <v>5806</v>
      </c>
      <c r="D2604" t="s">
        <v>129</v>
      </c>
      <c r="E2604" t="s">
        <v>53</v>
      </c>
      <c r="F2604" t="s">
        <v>53</v>
      </c>
      <c r="G2604">
        <v>4</v>
      </c>
      <c r="H2604" t="s">
        <v>54</v>
      </c>
      <c r="I2604" t="s">
        <v>129</v>
      </c>
      <c r="J2604" t="s">
        <v>129</v>
      </c>
      <c r="K2604">
        <v>0.13</v>
      </c>
      <c r="L2604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04">
        <v>0</v>
      </c>
      <c r="N2604">
        <v>0</v>
      </c>
      <c r="O2604">
        <v>0</v>
      </c>
      <c r="P2604">
        <v>13398.7528</v>
      </c>
      <c r="Q2604">
        <v>63903</v>
      </c>
      <c r="R2604">
        <f>(Grandview_Inventory[[#This Row],[ln_acres]]*Grandview_Inventory[[#This Row],[coeff]])+Grandview_Inventory[[#This Row],[const]]</f>
        <v>36566.585461161507</v>
      </c>
      <c r="AY2604">
        <v>0</v>
      </c>
      <c r="AZ2604">
        <v>0</v>
      </c>
      <c r="BE2604">
        <v>0</v>
      </c>
      <c r="BF2604">
        <v>15000</v>
      </c>
      <c r="BG2604">
        <v>0</v>
      </c>
      <c r="BH2604" s="6">
        <f>Grandview_Inventory[[#This Row],[land_extract]]*Lookups!$B$3</f>
        <v>42464.67696626611</v>
      </c>
      <c r="BI2604" s="6">
        <f>IF(Grandview_Inventory[[#This Row],[bldg_style]]="",0,Lookups!$B$2)</f>
        <v>0</v>
      </c>
      <c r="BJ2604" s="6">
        <f>_xlfn.IFNA(VLOOKUP(Grandview_Inventory[[#This Row],[quality]],Lookups!$H$2:$J$14,3,FALSE),0)</f>
        <v>0</v>
      </c>
      <c r="BK2604" s="6">
        <f>_xlfn.IFNA(VLOOKUP(Grandview_Inventory[[#This Row],[condition]],Lookups!$H$17:$J$24,3,FALSE),0)</f>
        <v>0</v>
      </c>
      <c r="BL2604" s="6">
        <f>Grandview_Inventory[[#This Row],[Eff_Age]]*Lookups!$B$14</f>
        <v>0</v>
      </c>
      <c r="BM2604" s="6">
        <f>Grandview_Inventory[[#This Row],[living_area]]*Lookups!$B$15</f>
        <v>0</v>
      </c>
      <c r="BN2604" s="6">
        <f>Grandview_Inventory[[#This Row],[Fin BSMT]]*Lookups!$B$16</f>
        <v>0</v>
      </c>
      <c r="BO2604" s="6">
        <f>(Grandview_Inventory[[#This Row],[att_gar]]+Grandview_Inventory[[#This Row],[bltin_gar]])*Lookups!$B$17</f>
        <v>0</v>
      </c>
      <c r="BP2604" s="6">
        <f>Grandview_Inventory[[#This Row],[Plumbing Fixtures]]*Lookups!$B$18</f>
        <v>0</v>
      </c>
      <c r="BQ2604" s="6">
        <f>Grandview_Inventory[[#This Row],[detatched_value]]*Lookups!$B$19</f>
        <v>0</v>
      </c>
      <c r="BR2604" s="6">
        <f>SUM(Grandview_Inventory[[#This Row],[Intercept]:[det_value]])*Grandview_Inventory[[#This Row],[res_pct]]</f>
        <v>0</v>
      </c>
      <c r="BS2604" s="6">
        <f>Grandview_Inventory[[#This Row],[land_value]]</f>
        <v>42464.67696626611</v>
      </c>
      <c r="BT2604" s="4">
        <f>_xlfn.IFNA(VLOOKUP(Grandview_Inventory[[#This Row],[quality]],Lookups!$A$26:$C$33,3,FALSE),1)</f>
        <v>1</v>
      </c>
      <c r="BU2604" s="4">
        <f>_xlfn.IFNA(VLOOKUP(Grandview_Inventory[[#This Row],[condition]],Lookups!$A$37:$C$44,3,FALSE),1)</f>
        <v>1</v>
      </c>
      <c r="BV2604" s="4">
        <f>IF(Grandview_Inventory[[#This Row],[bldg_style]]="",1,_xlfn.IFNA(VLOOKUP(Grandview_Inventory[[#This Row],[decade]],Lookups!$F$29:$H$43,3,FALSE),1))</f>
        <v>1</v>
      </c>
      <c r="BW2604" s="4">
        <f>_xlfn.IFNA(VLOOKUP(Grandview_Inventory[[#This Row],[living_area_range]],Lookups!$F$47:$H$56,3,FALSE),1)</f>
        <v>1</v>
      </c>
      <c r="BX2604" s="4">
        <f>AVERAGE(Grandview_Inventory[[#This Row],[qual_adj]:[size_adj]])</f>
        <v>1</v>
      </c>
      <c r="BY2604" s="6">
        <f>IF(Grandview_Inventory[[#This Row],[pre_res]]&lt;0,0,Grandview_Inventory[[#This Row],[pre_res]]*Grandview_Inventory[[#This Row],[overall_adj]])</f>
        <v>0</v>
      </c>
      <c r="BZ2604" s="6">
        <f>(Grandview_Inventory[[#This Row],[sum_land]]-IF(Grandview_Inventory[[#This Row],[no_utilities]]=1,12000,0))/IF(Grandview_Inventory[[#This Row],[unbuildable]]=1,2,1)</f>
        <v>42464.67696626611</v>
      </c>
      <c r="CA2604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04">
        <f>ROUND(Grandview_Inventory[[#This Row],[det_value]]*Lookups!$M$28,-2)</f>
        <v>0</v>
      </c>
      <c r="CC260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4">
        <f>Grandview_Inventory[[#This Row],[final_det]]+Grandview_Inventory[[#This Row],[final_res]]</f>
        <v>0</v>
      </c>
      <c r="CE2604">
        <f>Grandview_Inventory[[#This Row],[final_land]]+Grandview_Inventory[[#This Row],[final_imp]]+Grandview_Inventory[[#This Row],[crop_value]]</f>
        <v>40300</v>
      </c>
      <c r="CG2604" t="str">
        <f t="shared" si="40"/>
        <v>update valuation set market_land =40300, market_bldg=0, market_total =40300, market_mdno =401, market_date ='9/10/2023' where link_id = (select link_id from parcel where parcel_year = '2024' and parcel_id = '23091432486');</v>
      </c>
    </row>
    <row r="2605" spans="1:85" x14ac:dyDescent="0.25">
      <c r="A2605">
        <v>23091432488</v>
      </c>
      <c r="B2605" t="s">
        <v>129</v>
      </c>
      <c r="C2605">
        <v>6435</v>
      </c>
      <c r="D2605" t="s">
        <v>129</v>
      </c>
      <c r="E2605" t="s">
        <v>53</v>
      </c>
      <c r="F2605" t="s">
        <v>53</v>
      </c>
      <c r="G2605">
        <v>4</v>
      </c>
      <c r="H2605" t="s">
        <v>54</v>
      </c>
      <c r="I2605" t="s">
        <v>129</v>
      </c>
      <c r="J2605" t="s">
        <v>129</v>
      </c>
      <c r="K2605">
        <v>0.15</v>
      </c>
      <c r="L2605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605">
        <v>0</v>
      </c>
      <c r="N2605">
        <v>0</v>
      </c>
      <c r="O2605">
        <v>0</v>
      </c>
      <c r="P2605">
        <v>13398.7528</v>
      </c>
      <c r="Q2605">
        <v>63903</v>
      </c>
      <c r="R2605">
        <f>(Grandview_Inventory[[#This Row],[ln_acres]]*Grandview_Inventory[[#This Row],[coeff]])+Grandview_Inventory[[#This Row],[const]]</f>
        <v>38483.958290574345</v>
      </c>
      <c r="AY2605">
        <v>0</v>
      </c>
      <c r="AZ2605">
        <v>0</v>
      </c>
      <c r="BE2605">
        <v>0</v>
      </c>
      <c r="BF2605">
        <v>15000</v>
      </c>
      <c r="BG2605">
        <v>0</v>
      </c>
      <c r="BH2605" s="6">
        <f>Grandview_Inventory[[#This Row],[land_extract]]*Lookups!$B$3</f>
        <v>44691.316856156598</v>
      </c>
      <c r="BI2605" s="6">
        <f>IF(Grandview_Inventory[[#This Row],[bldg_style]]="",0,Lookups!$B$2)</f>
        <v>0</v>
      </c>
      <c r="BJ2605" s="6">
        <f>_xlfn.IFNA(VLOOKUP(Grandview_Inventory[[#This Row],[quality]],Lookups!$H$2:$J$14,3,FALSE),0)</f>
        <v>0</v>
      </c>
      <c r="BK2605" s="6">
        <f>_xlfn.IFNA(VLOOKUP(Grandview_Inventory[[#This Row],[condition]],Lookups!$H$17:$J$24,3,FALSE),0)</f>
        <v>0</v>
      </c>
      <c r="BL2605" s="6">
        <f>Grandview_Inventory[[#This Row],[Eff_Age]]*Lookups!$B$14</f>
        <v>0</v>
      </c>
      <c r="BM2605" s="6">
        <f>Grandview_Inventory[[#This Row],[living_area]]*Lookups!$B$15</f>
        <v>0</v>
      </c>
      <c r="BN2605" s="6">
        <f>Grandview_Inventory[[#This Row],[Fin BSMT]]*Lookups!$B$16</f>
        <v>0</v>
      </c>
      <c r="BO2605" s="6">
        <f>(Grandview_Inventory[[#This Row],[att_gar]]+Grandview_Inventory[[#This Row],[bltin_gar]])*Lookups!$B$17</f>
        <v>0</v>
      </c>
      <c r="BP2605" s="6">
        <f>Grandview_Inventory[[#This Row],[Plumbing Fixtures]]*Lookups!$B$18</f>
        <v>0</v>
      </c>
      <c r="BQ2605" s="6">
        <f>Grandview_Inventory[[#This Row],[detatched_value]]*Lookups!$B$19</f>
        <v>0</v>
      </c>
      <c r="BR2605" s="6">
        <f>SUM(Grandview_Inventory[[#This Row],[Intercept]:[det_value]])*Grandview_Inventory[[#This Row],[res_pct]]</f>
        <v>0</v>
      </c>
      <c r="BS2605" s="6">
        <f>Grandview_Inventory[[#This Row],[land_value]]</f>
        <v>44691.316856156598</v>
      </c>
      <c r="BT2605" s="4">
        <f>_xlfn.IFNA(VLOOKUP(Grandview_Inventory[[#This Row],[quality]],Lookups!$A$26:$C$33,3,FALSE),1)</f>
        <v>1</v>
      </c>
      <c r="BU2605" s="4">
        <f>_xlfn.IFNA(VLOOKUP(Grandview_Inventory[[#This Row],[condition]],Lookups!$A$37:$C$44,3,FALSE),1)</f>
        <v>1</v>
      </c>
      <c r="BV2605" s="4">
        <f>IF(Grandview_Inventory[[#This Row],[bldg_style]]="",1,_xlfn.IFNA(VLOOKUP(Grandview_Inventory[[#This Row],[decade]],Lookups!$F$29:$H$43,3,FALSE),1))</f>
        <v>1</v>
      </c>
      <c r="BW2605" s="4">
        <f>_xlfn.IFNA(VLOOKUP(Grandview_Inventory[[#This Row],[living_area_range]],Lookups!$F$47:$H$56,3,FALSE),1)</f>
        <v>1</v>
      </c>
      <c r="BX2605" s="4">
        <f>AVERAGE(Grandview_Inventory[[#This Row],[qual_adj]:[size_adj]])</f>
        <v>1</v>
      </c>
      <c r="BY2605" s="6">
        <f>IF(Grandview_Inventory[[#This Row],[pre_res]]&lt;0,0,Grandview_Inventory[[#This Row],[pre_res]]*Grandview_Inventory[[#This Row],[overall_adj]])</f>
        <v>0</v>
      </c>
      <c r="BZ2605" s="6">
        <f>(Grandview_Inventory[[#This Row],[sum_land]]-IF(Grandview_Inventory[[#This Row],[no_utilities]]=1,12000,0))/IF(Grandview_Inventory[[#This Row],[unbuildable]]=1,2,1)</f>
        <v>44691.316856156598</v>
      </c>
      <c r="CA2605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605">
        <f>ROUND(Grandview_Inventory[[#This Row],[det_value]]*Lookups!$M$28,-2)</f>
        <v>0</v>
      </c>
      <c r="CC260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5">
        <f>Grandview_Inventory[[#This Row],[final_det]]+Grandview_Inventory[[#This Row],[final_res]]</f>
        <v>0</v>
      </c>
      <c r="CE2605">
        <f>Grandview_Inventory[[#This Row],[final_land]]+Grandview_Inventory[[#This Row],[final_imp]]+Grandview_Inventory[[#This Row],[crop_value]]</f>
        <v>42500</v>
      </c>
      <c r="CG2605" t="str">
        <f t="shared" si="40"/>
        <v>update valuation set market_land =42500, market_bldg=0, market_total =42500, market_mdno =401, market_date ='9/10/2023' where link_id = (select link_id from parcel where parcel_year = '2024' and parcel_id = '23091432488');</v>
      </c>
    </row>
    <row r="2606" spans="1:85" x14ac:dyDescent="0.25">
      <c r="A2606">
        <v>23091432489</v>
      </c>
      <c r="B2606" t="s">
        <v>129</v>
      </c>
      <c r="C2606">
        <v>5806</v>
      </c>
      <c r="D2606" t="s">
        <v>129</v>
      </c>
      <c r="E2606" t="s">
        <v>53</v>
      </c>
      <c r="F2606" t="s">
        <v>53</v>
      </c>
      <c r="G2606">
        <v>4</v>
      </c>
      <c r="H2606" t="s">
        <v>54</v>
      </c>
      <c r="I2606" t="s">
        <v>129</v>
      </c>
      <c r="J2606" t="s">
        <v>129</v>
      </c>
      <c r="K2606">
        <v>0.13</v>
      </c>
      <c r="L2606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06">
        <v>0</v>
      </c>
      <c r="N2606">
        <v>0</v>
      </c>
      <c r="O2606">
        <v>0</v>
      </c>
      <c r="P2606">
        <v>13398.7528</v>
      </c>
      <c r="Q2606">
        <v>63903</v>
      </c>
      <c r="R2606">
        <f>(Grandview_Inventory[[#This Row],[ln_acres]]*Grandview_Inventory[[#This Row],[coeff]])+Grandview_Inventory[[#This Row],[const]]</f>
        <v>36566.585461161507</v>
      </c>
      <c r="AY2606">
        <v>0</v>
      </c>
      <c r="AZ2606">
        <v>0</v>
      </c>
      <c r="BE2606">
        <v>0</v>
      </c>
      <c r="BF2606">
        <v>15000</v>
      </c>
      <c r="BG2606">
        <v>0</v>
      </c>
      <c r="BH2606" s="6">
        <f>Grandview_Inventory[[#This Row],[land_extract]]*Lookups!$B$3</f>
        <v>42464.67696626611</v>
      </c>
      <c r="BI2606" s="6">
        <f>IF(Grandview_Inventory[[#This Row],[bldg_style]]="",0,Lookups!$B$2)</f>
        <v>0</v>
      </c>
      <c r="BJ2606" s="6">
        <f>_xlfn.IFNA(VLOOKUP(Grandview_Inventory[[#This Row],[quality]],Lookups!$H$2:$J$14,3,FALSE),0)</f>
        <v>0</v>
      </c>
      <c r="BK2606" s="6">
        <f>_xlfn.IFNA(VLOOKUP(Grandview_Inventory[[#This Row],[condition]],Lookups!$H$17:$J$24,3,FALSE),0)</f>
        <v>0</v>
      </c>
      <c r="BL2606" s="6">
        <f>Grandview_Inventory[[#This Row],[Eff_Age]]*Lookups!$B$14</f>
        <v>0</v>
      </c>
      <c r="BM2606" s="6">
        <f>Grandview_Inventory[[#This Row],[living_area]]*Lookups!$B$15</f>
        <v>0</v>
      </c>
      <c r="BN2606" s="6">
        <f>Grandview_Inventory[[#This Row],[Fin BSMT]]*Lookups!$B$16</f>
        <v>0</v>
      </c>
      <c r="BO2606" s="6">
        <f>(Grandview_Inventory[[#This Row],[att_gar]]+Grandview_Inventory[[#This Row],[bltin_gar]])*Lookups!$B$17</f>
        <v>0</v>
      </c>
      <c r="BP2606" s="6">
        <f>Grandview_Inventory[[#This Row],[Plumbing Fixtures]]*Lookups!$B$18</f>
        <v>0</v>
      </c>
      <c r="BQ2606" s="6">
        <f>Grandview_Inventory[[#This Row],[detatched_value]]*Lookups!$B$19</f>
        <v>0</v>
      </c>
      <c r="BR2606" s="6">
        <f>SUM(Grandview_Inventory[[#This Row],[Intercept]:[det_value]])*Grandview_Inventory[[#This Row],[res_pct]]</f>
        <v>0</v>
      </c>
      <c r="BS2606" s="6">
        <f>Grandview_Inventory[[#This Row],[land_value]]</f>
        <v>42464.67696626611</v>
      </c>
      <c r="BT2606" s="4">
        <f>_xlfn.IFNA(VLOOKUP(Grandview_Inventory[[#This Row],[quality]],Lookups!$A$26:$C$33,3,FALSE),1)</f>
        <v>1</v>
      </c>
      <c r="BU2606" s="4">
        <f>_xlfn.IFNA(VLOOKUP(Grandview_Inventory[[#This Row],[condition]],Lookups!$A$37:$C$44,3,FALSE),1)</f>
        <v>1</v>
      </c>
      <c r="BV2606" s="4">
        <f>IF(Grandview_Inventory[[#This Row],[bldg_style]]="",1,_xlfn.IFNA(VLOOKUP(Grandview_Inventory[[#This Row],[decade]],Lookups!$F$29:$H$43,3,FALSE),1))</f>
        <v>1</v>
      </c>
      <c r="BW2606" s="4">
        <f>_xlfn.IFNA(VLOOKUP(Grandview_Inventory[[#This Row],[living_area_range]],Lookups!$F$47:$H$56,3,FALSE),1)</f>
        <v>1</v>
      </c>
      <c r="BX2606" s="4">
        <f>AVERAGE(Grandview_Inventory[[#This Row],[qual_adj]:[size_adj]])</f>
        <v>1</v>
      </c>
      <c r="BY2606" s="6">
        <f>IF(Grandview_Inventory[[#This Row],[pre_res]]&lt;0,0,Grandview_Inventory[[#This Row],[pre_res]]*Grandview_Inventory[[#This Row],[overall_adj]])</f>
        <v>0</v>
      </c>
      <c r="BZ2606" s="6">
        <f>(Grandview_Inventory[[#This Row],[sum_land]]-IF(Grandview_Inventory[[#This Row],[no_utilities]]=1,12000,0))/IF(Grandview_Inventory[[#This Row],[unbuildable]]=1,2,1)</f>
        <v>42464.67696626611</v>
      </c>
      <c r="CA2606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06">
        <f>ROUND(Grandview_Inventory[[#This Row],[det_value]]*Lookups!$M$28,-2)</f>
        <v>0</v>
      </c>
      <c r="CC260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6">
        <f>Grandview_Inventory[[#This Row],[final_det]]+Grandview_Inventory[[#This Row],[final_res]]</f>
        <v>0</v>
      </c>
      <c r="CE2606">
        <f>Grandview_Inventory[[#This Row],[final_land]]+Grandview_Inventory[[#This Row],[final_imp]]+Grandview_Inventory[[#This Row],[crop_value]]</f>
        <v>40300</v>
      </c>
      <c r="CG2606" t="str">
        <f t="shared" si="40"/>
        <v>update valuation set market_land =40300, market_bldg=0, market_total =40300, market_mdno =401, market_date ='9/10/2023' where link_id = (select link_id from parcel where parcel_year = '2024' and parcel_id = '23091432489');</v>
      </c>
    </row>
    <row r="2607" spans="1:85" x14ac:dyDescent="0.25">
      <c r="A2607">
        <v>23091432490</v>
      </c>
      <c r="B2607" t="s">
        <v>129</v>
      </c>
      <c r="C2607">
        <v>6441</v>
      </c>
      <c r="D2607" t="s">
        <v>129</v>
      </c>
      <c r="E2607" t="s">
        <v>53</v>
      </c>
      <c r="F2607" t="s">
        <v>53</v>
      </c>
      <c r="G2607">
        <v>4</v>
      </c>
      <c r="H2607" t="s">
        <v>54</v>
      </c>
      <c r="I2607" t="s">
        <v>129</v>
      </c>
      <c r="J2607" t="s">
        <v>129</v>
      </c>
      <c r="K2607">
        <v>0.15</v>
      </c>
      <c r="L260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607">
        <v>0</v>
      </c>
      <c r="N2607">
        <v>0</v>
      </c>
      <c r="O2607">
        <v>0</v>
      </c>
      <c r="P2607">
        <v>13398.7528</v>
      </c>
      <c r="Q2607">
        <v>63903</v>
      </c>
      <c r="R2607">
        <f>(Grandview_Inventory[[#This Row],[ln_acres]]*Grandview_Inventory[[#This Row],[coeff]])+Grandview_Inventory[[#This Row],[const]]</f>
        <v>38483.958290574345</v>
      </c>
      <c r="AY2607">
        <v>0</v>
      </c>
      <c r="AZ2607">
        <v>0</v>
      </c>
      <c r="BE2607">
        <v>0</v>
      </c>
      <c r="BF2607">
        <v>15000</v>
      </c>
      <c r="BG2607">
        <v>0</v>
      </c>
      <c r="BH2607" s="6">
        <f>Grandview_Inventory[[#This Row],[land_extract]]*Lookups!$B$3</f>
        <v>44691.316856156598</v>
      </c>
      <c r="BI2607" s="6">
        <f>IF(Grandview_Inventory[[#This Row],[bldg_style]]="",0,Lookups!$B$2)</f>
        <v>0</v>
      </c>
      <c r="BJ2607" s="6">
        <f>_xlfn.IFNA(VLOOKUP(Grandview_Inventory[[#This Row],[quality]],Lookups!$H$2:$J$14,3,FALSE),0)</f>
        <v>0</v>
      </c>
      <c r="BK2607" s="6">
        <f>_xlfn.IFNA(VLOOKUP(Grandview_Inventory[[#This Row],[condition]],Lookups!$H$17:$J$24,3,FALSE),0)</f>
        <v>0</v>
      </c>
      <c r="BL2607" s="6">
        <f>Grandview_Inventory[[#This Row],[Eff_Age]]*Lookups!$B$14</f>
        <v>0</v>
      </c>
      <c r="BM2607" s="6">
        <f>Grandview_Inventory[[#This Row],[living_area]]*Lookups!$B$15</f>
        <v>0</v>
      </c>
      <c r="BN2607" s="6">
        <f>Grandview_Inventory[[#This Row],[Fin BSMT]]*Lookups!$B$16</f>
        <v>0</v>
      </c>
      <c r="BO2607" s="6">
        <f>(Grandview_Inventory[[#This Row],[att_gar]]+Grandview_Inventory[[#This Row],[bltin_gar]])*Lookups!$B$17</f>
        <v>0</v>
      </c>
      <c r="BP2607" s="6">
        <f>Grandview_Inventory[[#This Row],[Plumbing Fixtures]]*Lookups!$B$18</f>
        <v>0</v>
      </c>
      <c r="BQ2607" s="6">
        <f>Grandview_Inventory[[#This Row],[detatched_value]]*Lookups!$B$19</f>
        <v>0</v>
      </c>
      <c r="BR2607" s="6">
        <f>SUM(Grandview_Inventory[[#This Row],[Intercept]:[det_value]])*Grandview_Inventory[[#This Row],[res_pct]]</f>
        <v>0</v>
      </c>
      <c r="BS2607" s="6">
        <f>Grandview_Inventory[[#This Row],[land_value]]</f>
        <v>44691.316856156598</v>
      </c>
      <c r="BT2607" s="4">
        <f>_xlfn.IFNA(VLOOKUP(Grandview_Inventory[[#This Row],[quality]],Lookups!$A$26:$C$33,3,FALSE),1)</f>
        <v>1</v>
      </c>
      <c r="BU2607" s="4">
        <f>_xlfn.IFNA(VLOOKUP(Grandview_Inventory[[#This Row],[condition]],Lookups!$A$37:$C$44,3,FALSE),1)</f>
        <v>1</v>
      </c>
      <c r="BV2607" s="4">
        <f>IF(Grandview_Inventory[[#This Row],[bldg_style]]="",1,_xlfn.IFNA(VLOOKUP(Grandview_Inventory[[#This Row],[decade]],Lookups!$F$29:$H$43,3,FALSE),1))</f>
        <v>1</v>
      </c>
      <c r="BW2607" s="4">
        <f>_xlfn.IFNA(VLOOKUP(Grandview_Inventory[[#This Row],[living_area_range]],Lookups!$F$47:$H$56,3,FALSE),1)</f>
        <v>1</v>
      </c>
      <c r="BX2607" s="4">
        <f>AVERAGE(Grandview_Inventory[[#This Row],[qual_adj]:[size_adj]])</f>
        <v>1</v>
      </c>
      <c r="BY2607" s="6">
        <f>IF(Grandview_Inventory[[#This Row],[pre_res]]&lt;0,0,Grandview_Inventory[[#This Row],[pre_res]]*Grandview_Inventory[[#This Row],[overall_adj]])</f>
        <v>0</v>
      </c>
      <c r="BZ2607" s="6">
        <f>(Grandview_Inventory[[#This Row],[sum_land]]-IF(Grandview_Inventory[[#This Row],[no_utilities]]=1,12000,0))/IF(Grandview_Inventory[[#This Row],[unbuildable]]=1,2,1)</f>
        <v>44691.316856156598</v>
      </c>
      <c r="CA260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607">
        <f>ROUND(Grandview_Inventory[[#This Row],[det_value]]*Lookups!$M$28,-2)</f>
        <v>0</v>
      </c>
      <c r="CC260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7">
        <f>Grandview_Inventory[[#This Row],[final_det]]+Grandview_Inventory[[#This Row],[final_res]]</f>
        <v>0</v>
      </c>
      <c r="CE2607">
        <f>Grandview_Inventory[[#This Row],[final_land]]+Grandview_Inventory[[#This Row],[final_imp]]+Grandview_Inventory[[#This Row],[crop_value]]</f>
        <v>42500</v>
      </c>
      <c r="CG2607" t="str">
        <f t="shared" si="40"/>
        <v>update valuation set market_land =42500, market_bldg=0, market_total =42500, market_mdno =401, market_date ='9/10/2023' where link_id = (select link_id from parcel where parcel_year = '2024' and parcel_id = '23091432490');</v>
      </c>
    </row>
    <row r="2608" spans="1:85" x14ac:dyDescent="0.25">
      <c r="A2608">
        <v>23091432491</v>
      </c>
      <c r="B2608" t="s">
        <v>129</v>
      </c>
      <c r="C2608">
        <v>5548</v>
      </c>
      <c r="D2608" t="s">
        <v>129</v>
      </c>
      <c r="E2608" t="s">
        <v>53</v>
      </c>
      <c r="F2608" t="s">
        <v>53</v>
      </c>
      <c r="G2608">
        <v>4</v>
      </c>
      <c r="H2608" t="s">
        <v>54</v>
      </c>
      <c r="I2608" t="s">
        <v>129</v>
      </c>
      <c r="J2608" t="s">
        <v>129</v>
      </c>
      <c r="K2608">
        <v>0.13</v>
      </c>
      <c r="L2608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08">
        <v>0</v>
      </c>
      <c r="N2608">
        <v>0</v>
      </c>
      <c r="O2608">
        <v>0</v>
      </c>
      <c r="P2608">
        <v>13398.7528</v>
      </c>
      <c r="Q2608">
        <v>63903</v>
      </c>
      <c r="R2608">
        <f>(Grandview_Inventory[[#This Row],[ln_acres]]*Grandview_Inventory[[#This Row],[coeff]])+Grandview_Inventory[[#This Row],[const]]</f>
        <v>36566.585461161507</v>
      </c>
      <c r="AY2608">
        <v>0</v>
      </c>
      <c r="AZ2608">
        <v>0</v>
      </c>
      <c r="BE2608">
        <v>0</v>
      </c>
      <c r="BF2608">
        <v>15000</v>
      </c>
      <c r="BG2608">
        <v>0</v>
      </c>
      <c r="BH2608" s="6">
        <f>Grandview_Inventory[[#This Row],[land_extract]]*Lookups!$B$3</f>
        <v>42464.67696626611</v>
      </c>
      <c r="BI2608" s="6">
        <f>IF(Grandview_Inventory[[#This Row],[bldg_style]]="",0,Lookups!$B$2)</f>
        <v>0</v>
      </c>
      <c r="BJ2608" s="6">
        <f>_xlfn.IFNA(VLOOKUP(Grandview_Inventory[[#This Row],[quality]],Lookups!$H$2:$J$14,3,FALSE),0)</f>
        <v>0</v>
      </c>
      <c r="BK2608" s="6">
        <f>_xlfn.IFNA(VLOOKUP(Grandview_Inventory[[#This Row],[condition]],Lookups!$H$17:$J$24,3,FALSE),0)</f>
        <v>0</v>
      </c>
      <c r="BL2608" s="6">
        <f>Grandview_Inventory[[#This Row],[Eff_Age]]*Lookups!$B$14</f>
        <v>0</v>
      </c>
      <c r="BM2608" s="6">
        <f>Grandview_Inventory[[#This Row],[living_area]]*Lookups!$B$15</f>
        <v>0</v>
      </c>
      <c r="BN2608" s="6">
        <f>Grandview_Inventory[[#This Row],[Fin BSMT]]*Lookups!$B$16</f>
        <v>0</v>
      </c>
      <c r="BO2608" s="6">
        <f>(Grandview_Inventory[[#This Row],[att_gar]]+Grandview_Inventory[[#This Row],[bltin_gar]])*Lookups!$B$17</f>
        <v>0</v>
      </c>
      <c r="BP2608" s="6">
        <f>Grandview_Inventory[[#This Row],[Plumbing Fixtures]]*Lookups!$B$18</f>
        <v>0</v>
      </c>
      <c r="BQ2608" s="6">
        <f>Grandview_Inventory[[#This Row],[detatched_value]]*Lookups!$B$19</f>
        <v>0</v>
      </c>
      <c r="BR2608" s="6">
        <f>SUM(Grandview_Inventory[[#This Row],[Intercept]:[det_value]])*Grandview_Inventory[[#This Row],[res_pct]]</f>
        <v>0</v>
      </c>
      <c r="BS2608" s="6">
        <f>Grandview_Inventory[[#This Row],[land_value]]</f>
        <v>42464.67696626611</v>
      </c>
      <c r="BT2608" s="4">
        <f>_xlfn.IFNA(VLOOKUP(Grandview_Inventory[[#This Row],[quality]],Lookups!$A$26:$C$33,3,FALSE),1)</f>
        <v>1</v>
      </c>
      <c r="BU2608" s="4">
        <f>_xlfn.IFNA(VLOOKUP(Grandview_Inventory[[#This Row],[condition]],Lookups!$A$37:$C$44,3,FALSE),1)</f>
        <v>1</v>
      </c>
      <c r="BV2608" s="4">
        <f>IF(Grandview_Inventory[[#This Row],[bldg_style]]="",1,_xlfn.IFNA(VLOOKUP(Grandview_Inventory[[#This Row],[decade]],Lookups!$F$29:$H$43,3,FALSE),1))</f>
        <v>1</v>
      </c>
      <c r="BW2608" s="4">
        <f>_xlfn.IFNA(VLOOKUP(Grandview_Inventory[[#This Row],[living_area_range]],Lookups!$F$47:$H$56,3,FALSE),1)</f>
        <v>1</v>
      </c>
      <c r="BX2608" s="4">
        <f>AVERAGE(Grandview_Inventory[[#This Row],[qual_adj]:[size_adj]])</f>
        <v>1</v>
      </c>
      <c r="BY2608" s="6">
        <f>IF(Grandview_Inventory[[#This Row],[pre_res]]&lt;0,0,Grandview_Inventory[[#This Row],[pre_res]]*Grandview_Inventory[[#This Row],[overall_adj]])</f>
        <v>0</v>
      </c>
      <c r="BZ2608" s="6">
        <f>(Grandview_Inventory[[#This Row],[sum_land]]-IF(Grandview_Inventory[[#This Row],[no_utilities]]=1,12000,0))/IF(Grandview_Inventory[[#This Row],[unbuildable]]=1,2,1)</f>
        <v>42464.67696626611</v>
      </c>
      <c r="CA2608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08">
        <f>ROUND(Grandview_Inventory[[#This Row],[det_value]]*Lookups!$M$28,-2)</f>
        <v>0</v>
      </c>
      <c r="CC260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8">
        <f>Grandview_Inventory[[#This Row],[final_det]]+Grandview_Inventory[[#This Row],[final_res]]</f>
        <v>0</v>
      </c>
      <c r="CE2608">
        <f>Grandview_Inventory[[#This Row],[final_land]]+Grandview_Inventory[[#This Row],[final_imp]]+Grandview_Inventory[[#This Row],[crop_value]]</f>
        <v>40300</v>
      </c>
      <c r="CG2608" t="str">
        <f t="shared" si="40"/>
        <v>update valuation set market_land =40300, market_bldg=0, market_total =40300, market_mdno =401, market_date ='9/10/2023' where link_id = (select link_id from parcel where parcel_year = '2024' and parcel_id = '23091432491');</v>
      </c>
    </row>
    <row r="2609" spans="1:85" x14ac:dyDescent="0.25">
      <c r="A2609">
        <v>23091432492</v>
      </c>
      <c r="B2609" t="s">
        <v>129</v>
      </c>
      <c r="C2609">
        <v>5292</v>
      </c>
      <c r="D2609" t="s">
        <v>129</v>
      </c>
      <c r="E2609" t="s">
        <v>53</v>
      </c>
      <c r="F2609" t="s">
        <v>53</v>
      </c>
      <c r="G2609">
        <v>4</v>
      </c>
      <c r="H2609" t="s">
        <v>54</v>
      </c>
      <c r="I2609" t="s">
        <v>129</v>
      </c>
      <c r="J2609" t="s">
        <v>129</v>
      </c>
      <c r="K2609">
        <v>0.12</v>
      </c>
      <c r="L2609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609">
        <v>0</v>
      </c>
      <c r="N2609">
        <v>0</v>
      </c>
      <c r="O2609">
        <v>0</v>
      </c>
      <c r="P2609">
        <v>13398.7528</v>
      </c>
      <c r="Q2609">
        <v>63903</v>
      </c>
      <c r="R2609">
        <f>(Grandview_Inventory[[#This Row],[ln_acres]]*Grandview_Inventory[[#This Row],[coeff]])+Grandview_Inventory[[#This Row],[const]]</f>
        <v>35494.113007601132</v>
      </c>
      <c r="AY2609">
        <v>0</v>
      </c>
      <c r="AZ2609">
        <v>0</v>
      </c>
      <c r="BE2609">
        <v>0</v>
      </c>
      <c r="BF2609">
        <v>15000</v>
      </c>
      <c r="BG2609">
        <v>0</v>
      </c>
      <c r="BH2609" s="6">
        <f>Grandview_Inventory[[#This Row],[land_extract]]*Lookups!$B$3</f>
        <v>41219.217601622076</v>
      </c>
      <c r="BI2609" s="6">
        <f>IF(Grandview_Inventory[[#This Row],[bldg_style]]="",0,Lookups!$B$2)</f>
        <v>0</v>
      </c>
      <c r="BJ2609" s="6">
        <f>_xlfn.IFNA(VLOOKUP(Grandview_Inventory[[#This Row],[quality]],Lookups!$H$2:$J$14,3,FALSE),0)</f>
        <v>0</v>
      </c>
      <c r="BK2609" s="6">
        <f>_xlfn.IFNA(VLOOKUP(Grandview_Inventory[[#This Row],[condition]],Lookups!$H$17:$J$24,3,FALSE),0)</f>
        <v>0</v>
      </c>
      <c r="BL2609" s="6">
        <f>Grandview_Inventory[[#This Row],[Eff_Age]]*Lookups!$B$14</f>
        <v>0</v>
      </c>
      <c r="BM2609" s="6">
        <f>Grandview_Inventory[[#This Row],[living_area]]*Lookups!$B$15</f>
        <v>0</v>
      </c>
      <c r="BN2609" s="6">
        <f>Grandview_Inventory[[#This Row],[Fin BSMT]]*Lookups!$B$16</f>
        <v>0</v>
      </c>
      <c r="BO2609" s="6">
        <f>(Grandview_Inventory[[#This Row],[att_gar]]+Grandview_Inventory[[#This Row],[bltin_gar]])*Lookups!$B$17</f>
        <v>0</v>
      </c>
      <c r="BP2609" s="6">
        <f>Grandview_Inventory[[#This Row],[Plumbing Fixtures]]*Lookups!$B$18</f>
        <v>0</v>
      </c>
      <c r="BQ2609" s="6">
        <f>Grandview_Inventory[[#This Row],[detatched_value]]*Lookups!$B$19</f>
        <v>0</v>
      </c>
      <c r="BR2609" s="6">
        <f>SUM(Grandview_Inventory[[#This Row],[Intercept]:[det_value]])*Grandview_Inventory[[#This Row],[res_pct]]</f>
        <v>0</v>
      </c>
      <c r="BS2609" s="6">
        <f>Grandview_Inventory[[#This Row],[land_value]]</f>
        <v>41219.217601622076</v>
      </c>
      <c r="BT2609" s="4">
        <f>_xlfn.IFNA(VLOOKUP(Grandview_Inventory[[#This Row],[quality]],Lookups!$A$26:$C$33,3,FALSE),1)</f>
        <v>1</v>
      </c>
      <c r="BU2609" s="4">
        <f>_xlfn.IFNA(VLOOKUP(Grandview_Inventory[[#This Row],[condition]],Lookups!$A$37:$C$44,3,FALSE),1)</f>
        <v>1</v>
      </c>
      <c r="BV2609" s="4">
        <f>IF(Grandview_Inventory[[#This Row],[bldg_style]]="",1,_xlfn.IFNA(VLOOKUP(Grandview_Inventory[[#This Row],[decade]],Lookups!$F$29:$H$43,3,FALSE),1))</f>
        <v>1</v>
      </c>
      <c r="BW2609" s="4">
        <f>_xlfn.IFNA(VLOOKUP(Grandview_Inventory[[#This Row],[living_area_range]],Lookups!$F$47:$H$56,3,FALSE),1)</f>
        <v>1</v>
      </c>
      <c r="BX2609" s="4">
        <f>AVERAGE(Grandview_Inventory[[#This Row],[qual_adj]:[size_adj]])</f>
        <v>1</v>
      </c>
      <c r="BY2609" s="6">
        <f>IF(Grandview_Inventory[[#This Row],[pre_res]]&lt;0,0,Grandview_Inventory[[#This Row],[pre_res]]*Grandview_Inventory[[#This Row],[overall_adj]])</f>
        <v>0</v>
      </c>
      <c r="BZ2609" s="6">
        <f>(Grandview_Inventory[[#This Row],[sum_land]]-IF(Grandview_Inventory[[#This Row],[no_utilities]]=1,12000,0))/IF(Grandview_Inventory[[#This Row],[unbuildable]]=1,2,1)</f>
        <v>41219.217601622076</v>
      </c>
      <c r="CA2609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609">
        <f>ROUND(Grandview_Inventory[[#This Row],[det_value]]*Lookups!$M$28,-2)</f>
        <v>0</v>
      </c>
      <c r="CC260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09">
        <f>Grandview_Inventory[[#This Row],[final_det]]+Grandview_Inventory[[#This Row],[final_res]]</f>
        <v>0</v>
      </c>
      <c r="CE2609">
        <f>Grandview_Inventory[[#This Row],[final_land]]+Grandview_Inventory[[#This Row],[final_imp]]+Grandview_Inventory[[#This Row],[crop_value]]</f>
        <v>39200</v>
      </c>
      <c r="CG2609" t="str">
        <f t="shared" si="40"/>
        <v>update valuation set market_land =39200, market_bldg=0, market_total =39200, market_mdno =401, market_date ='9/10/2023' where link_id = (select link_id from parcel where parcel_year = '2024' and parcel_id = '23091432492');</v>
      </c>
    </row>
    <row r="2610" spans="1:85" x14ac:dyDescent="0.25">
      <c r="A2610">
        <v>23091432493</v>
      </c>
      <c r="B2610" t="s">
        <v>129</v>
      </c>
      <c r="C2610">
        <v>5292</v>
      </c>
      <c r="D2610" t="s">
        <v>129</v>
      </c>
      <c r="E2610" t="s">
        <v>53</v>
      </c>
      <c r="F2610" t="s">
        <v>53</v>
      </c>
      <c r="G2610">
        <v>4</v>
      </c>
      <c r="H2610" t="s">
        <v>54</v>
      </c>
      <c r="I2610" t="s">
        <v>129</v>
      </c>
      <c r="J2610" t="s">
        <v>129</v>
      </c>
      <c r="K2610">
        <v>0.12</v>
      </c>
      <c r="L2610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610">
        <v>0</v>
      </c>
      <c r="N2610">
        <v>0</v>
      </c>
      <c r="O2610">
        <v>0</v>
      </c>
      <c r="P2610">
        <v>13398.7528</v>
      </c>
      <c r="Q2610">
        <v>63903</v>
      </c>
      <c r="R2610">
        <f>(Grandview_Inventory[[#This Row],[ln_acres]]*Grandview_Inventory[[#This Row],[coeff]])+Grandview_Inventory[[#This Row],[const]]</f>
        <v>35494.113007601132</v>
      </c>
      <c r="AY2610">
        <v>0</v>
      </c>
      <c r="AZ2610">
        <v>0</v>
      </c>
      <c r="BE2610">
        <v>0</v>
      </c>
      <c r="BF2610">
        <v>15000</v>
      </c>
      <c r="BG2610">
        <v>0</v>
      </c>
      <c r="BH2610" s="6">
        <f>Grandview_Inventory[[#This Row],[land_extract]]*Lookups!$B$3</f>
        <v>41219.217601622076</v>
      </c>
      <c r="BI2610" s="6">
        <f>IF(Grandview_Inventory[[#This Row],[bldg_style]]="",0,Lookups!$B$2)</f>
        <v>0</v>
      </c>
      <c r="BJ2610" s="6">
        <f>_xlfn.IFNA(VLOOKUP(Grandview_Inventory[[#This Row],[quality]],Lookups!$H$2:$J$14,3,FALSE),0)</f>
        <v>0</v>
      </c>
      <c r="BK2610" s="6">
        <f>_xlfn.IFNA(VLOOKUP(Grandview_Inventory[[#This Row],[condition]],Lookups!$H$17:$J$24,3,FALSE),0)</f>
        <v>0</v>
      </c>
      <c r="BL2610" s="6">
        <f>Grandview_Inventory[[#This Row],[Eff_Age]]*Lookups!$B$14</f>
        <v>0</v>
      </c>
      <c r="BM2610" s="6">
        <f>Grandview_Inventory[[#This Row],[living_area]]*Lookups!$B$15</f>
        <v>0</v>
      </c>
      <c r="BN2610" s="6">
        <f>Grandview_Inventory[[#This Row],[Fin BSMT]]*Lookups!$B$16</f>
        <v>0</v>
      </c>
      <c r="BO2610" s="6">
        <f>(Grandview_Inventory[[#This Row],[att_gar]]+Grandview_Inventory[[#This Row],[bltin_gar]])*Lookups!$B$17</f>
        <v>0</v>
      </c>
      <c r="BP2610" s="6">
        <f>Grandview_Inventory[[#This Row],[Plumbing Fixtures]]*Lookups!$B$18</f>
        <v>0</v>
      </c>
      <c r="BQ2610" s="6">
        <f>Grandview_Inventory[[#This Row],[detatched_value]]*Lookups!$B$19</f>
        <v>0</v>
      </c>
      <c r="BR2610" s="6">
        <f>SUM(Grandview_Inventory[[#This Row],[Intercept]:[det_value]])*Grandview_Inventory[[#This Row],[res_pct]]</f>
        <v>0</v>
      </c>
      <c r="BS2610" s="6">
        <f>Grandview_Inventory[[#This Row],[land_value]]</f>
        <v>41219.217601622076</v>
      </c>
      <c r="BT2610" s="4">
        <f>_xlfn.IFNA(VLOOKUP(Grandview_Inventory[[#This Row],[quality]],Lookups!$A$26:$C$33,3,FALSE),1)</f>
        <v>1</v>
      </c>
      <c r="BU2610" s="4">
        <f>_xlfn.IFNA(VLOOKUP(Grandview_Inventory[[#This Row],[condition]],Lookups!$A$37:$C$44,3,FALSE),1)</f>
        <v>1</v>
      </c>
      <c r="BV2610" s="4">
        <f>IF(Grandview_Inventory[[#This Row],[bldg_style]]="",1,_xlfn.IFNA(VLOOKUP(Grandview_Inventory[[#This Row],[decade]],Lookups!$F$29:$H$43,3,FALSE),1))</f>
        <v>1</v>
      </c>
      <c r="BW2610" s="4">
        <f>_xlfn.IFNA(VLOOKUP(Grandview_Inventory[[#This Row],[living_area_range]],Lookups!$F$47:$H$56,3,FALSE),1)</f>
        <v>1</v>
      </c>
      <c r="BX2610" s="4">
        <f>AVERAGE(Grandview_Inventory[[#This Row],[qual_adj]:[size_adj]])</f>
        <v>1</v>
      </c>
      <c r="BY2610" s="6">
        <f>IF(Grandview_Inventory[[#This Row],[pre_res]]&lt;0,0,Grandview_Inventory[[#This Row],[pre_res]]*Grandview_Inventory[[#This Row],[overall_adj]])</f>
        <v>0</v>
      </c>
      <c r="BZ2610" s="6">
        <f>(Grandview_Inventory[[#This Row],[sum_land]]-IF(Grandview_Inventory[[#This Row],[no_utilities]]=1,12000,0))/IF(Grandview_Inventory[[#This Row],[unbuildable]]=1,2,1)</f>
        <v>41219.217601622076</v>
      </c>
      <c r="CA2610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610">
        <f>ROUND(Grandview_Inventory[[#This Row],[det_value]]*Lookups!$M$28,-2)</f>
        <v>0</v>
      </c>
      <c r="CC261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0">
        <f>Grandview_Inventory[[#This Row],[final_det]]+Grandview_Inventory[[#This Row],[final_res]]</f>
        <v>0</v>
      </c>
      <c r="CE2610">
        <f>Grandview_Inventory[[#This Row],[final_land]]+Grandview_Inventory[[#This Row],[final_imp]]+Grandview_Inventory[[#This Row],[crop_value]]</f>
        <v>39200</v>
      </c>
      <c r="CG2610" t="str">
        <f t="shared" si="40"/>
        <v>update valuation set market_land =39200, market_bldg=0, market_total =39200, market_mdno =401, market_date ='9/10/2023' where link_id = (select link_id from parcel where parcel_year = '2024' and parcel_id = '23091432493');</v>
      </c>
    </row>
    <row r="2611" spans="1:85" x14ac:dyDescent="0.25">
      <c r="A2611">
        <v>23091432494</v>
      </c>
      <c r="B2611" t="s">
        <v>129</v>
      </c>
      <c r="C2611">
        <v>5292</v>
      </c>
      <c r="D2611" t="s">
        <v>129</v>
      </c>
      <c r="E2611" t="s">
        <v>53</v>
      </c>
      <c r="F2611" t="s">
        <v>53</v>
      </c>
      <c r="G2611">
        <v>4</v>
      </c>
      <c r="H2611" t="s">
        <v>54</v>
      </c>
      <c r="I2611" t="s">
        <v>129</v>
      </c>
      <c r="J2611" t="s">
        <v>129</v>
      </c>
      <c r="K2611">
        <v>0.12</v>
      </c>
      <c r="L2611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611">
        <v>0</v>
      </c>
      <c r="N2611">
        <v>0</v>
      </c>
      <c r="O2611">
        <v>0</v>
      </c>
      <c r="P2611">
        <v>13398.7528</v>
      </c>
      <c r="Q2611">
        <v>63903</v>
      </c>
      <c r="R2611">
        <f>(Grandview_Inventory[[#This Row],[ln_acres]]*Grandview_Inventory[[#This Row],[coeff]])+Grandview_Inventory[[#This Row],[const]]</f>
        <v>35494.113007601132</v>
      </c>
      <c r="AY2611">
        <v>0</v>
      </c>
      <c r="AZ2611">
        <v>0</v>
      </c>
      <c r="BE2611">
        <v>0</v>
      </c>
      <c r="BF2611">
        <v>15000</v>
      </c>
      <c r="BG2611">
        <v>0</v>
      </c>
      <c r="BH2611" s="6">
        <f>Grandview_Inventory[[#This Row],[land_extract]]*Lookups!$B$3</f>
        <v>41219.217601622076</v>
      </c>
      <c r="BI2611" s="6">
        <f>IF(Grandview_Inventory[[#This Row],[bldg_style]]="",0,Lookups!$B$2)</f>
        <v>0</v>
      </c>
      <c r="BJ2611" s="6">
        <f>_xlfn.IFNA(VLOOKUP(Grandview_Inventory[[#This Row],[quality]],Lookups!$H$2:$J$14,3,FALSE),0)</f>
        <v>0</v>
      </c>
      <c r="BK2611" s="6">
        <f>_xlfn.IFNA(VLOOKUP(Grandview_Inventory[[#This Row],[condition]],Lookups!$H$17:$J$24,3,FALSE),0)</f>
        <v>0</v>
      </c>
      <c r="BL2611" s="6">
        <f>Grandview_Inventory[[#This Row],[Eff_Age]]*Lookups!$B$14</f>
        <v>0</v>
      </c>
      <c r="BM2611" s="6">
        <f>Grandview_Inventory[[#This Row],[living_area]]*Lookups!$B$15</f>
        <v>0</v>
      </c>
      <c r="BN2611" s="6">
        <f>Grandview_Inventory[[#This Row],[Fin BSMT]]*Lookups!$B$16</f>
        <v>0</v>
      </c>
      <c r="BO2611" s="6">
        <f>(Grandview_Inventory[[#This Row],[att_gar]]+Grandview_Inventory[[#This Row],[bltin_gar]])*Lookups!$B$17</f>
        <v>0</v>
      </c>
      <c r="BP2611" s="6">
        <f>Grandview_Inventory[[#This Row],[Plumbing Fixtures]]*Lookups!$B$18</f>
        <v>0</v>
      </c>
      <c r="BQ2611" s="6">
        <f>Grandview_Inventory[[#This Row],[detatched_value]]*Lookups!$B$19</f>
        <v>0</v>
      </c>
      <c r="BR2611" s="6">
        <f>SUM(Grandview_Inventory[[#This Row],[Intercept]:[det_value]])*Grandview_Inventory[[#This Row],[res_pct]]</f>
        <v>0</v>
      </c>
      <c r="BS2611" s="6">
        <f>Grandview_Inventory[[#This Row],[land_value]]</f>
        <v>41219.217601622076</v>
      </c>
      <c r="BT2611" s="4">
        <f>_xlfn.IFNA(VLOOKUP(Grandview_Inventory[[#This Row],[quality]],Lookups!$A$26:$C$33,3,FALSE),1)</f>
        <v>1</v>
      </c>
      <c r="BU2611" s="4">
        <f>_xlfn.IFNA(VLOOKUP(Grandview_Inventory[[#This Row],[condition]],Lookups!$A$37:$C$44,3,FALSE),1)</f>
        <v>1</v>
      </c>
      <c r="BV2611" s="4">
        <f>IF(Grandview_Inventory[[#This Row],[bldg_style]]="",1,_xlfn.IFNA(VLOOKUP(Grandview_Inventory[[#This Row],[decade]],Lookups!$F$29:$H$43,3,FALSE),1))</f>
        <v>1</v>
      </c>
      <c r="BW2611" s="4">
        <f>_xlfn.IFNA(VLOOKUP(Grandview_Inventory[[#This Row],[living_area_range]],Lookups!$F$47:$H$56,3,FALSE),1)</f>
        <v>1</v>
      </c>
      <c r="BX2611" s="4">
        <f>AVERAGE(Grandview_Inventory[[#This Row],[qual_adj]:[size_adj]])</f>
        <v>1</v>
      </c>
      <c r="BY2611" s="6">
        <f>IF(Grandview_Inventory[[#This Row],[pre_res]]&lt;0,0,Grandview_Inventory[[#This Row],[pre_res]]*Grandview_Inventory[[#This Row],[overall_adj]])</f>
        <v>0</v>
      </c>
      <c r="BZ2611" s="6">
        <f>(Grandview_Inventory[[#This Row],[sum_land]]-IF(Grandview_Inventory[[#This Row],[no_utilities]]=1,12000,0))/IF(Grandview_Inventory[[#This Row],[unbuildable]]=1,2,1)</f>
        <v>41219.217601622076</v>
      </c>
      <c r="CA2611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611">
        <f>ROUND(Grandview_Inventory[[#This Row],[det_value]]*Lookups!$M$28,-2)</f>
        <v>0</v>
      </c>
      <c r="CC261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1">
        <f>Grandview_Inventory[[#This Row],[final_det]]+Grandview_Inventory[[#This Row],[final_res]]</f>
        <v>0</v>
      </c>
      <c r="CE2611">
        <f>Grandview_Inventory[[#This Row],[final_land]]+Grandview_Inventory[[#This Row],[final_imp]]+Grandview_Inventory[[#This Row],[crop_value]]</f>
        <v>39200</v>
      </c>
      <c r="CG2611" t="str">
        <f t="shared" si="40"/>
        <v>update valuation set market_land =39200, market_bldg=0, market_total =39200, market_mdno =401, market_date ='9/10/2023' where link_id = (select link_id from parcel where parcel_year = '2024' and parcel_id = '23091432494');</v>
      </c>
    </row>
    <row r="2612" spans="1:85" x14ac:dyDescent="0.25">
      <c r="A2612">
        <v>23091432495</v>
      </c>
      <c r="B2612" t="s">
        <v>129</v>
      </c>
      <c r="C2612">
        <v>5292</v>
      </c>
      <c r="D2612" t="s">
        <v>129</v>
      </c>
      <c r="E2612" t="s">
        <v>53</v>
      </c>
      <c r="F2612" t="s">
        <v>53</v>
      </c>
      <c r="G2612">
        <v>4</v>
      </c>
      <c r="H2612" t="s">
        <v>54</v>
      </c>
      <c r="I2612" t="s">
        <v>129</v>
      </c>
      <c r="J2612" t="s">
        <v>129</v>
      </c>
      <c r="K2612">
        <v>0.12</v>
      </c>
      <c r="L2612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612">
        <v>0</v>
      </c>
      <c r="N2612">
        <v>0</v>
      </c>
      <c r="O2612">
        <v>0</v>
      </c>
      <c r="P2612">
        <v>13398.7528</v>
      </c>
      <c r="Q2612">
        <v>63903</v>
      </c>
      <c r="R2612">
        <f>(Grandview_Inventory[[#This Row],[ln_acres]]*Grandview_Inventory[[#This Row],[coeff]])+Grandview_Inventory[[#This Row],[const]]</f>
        <v>35494.113007601132</v>
      </c>
      <c r="AY2612">
        <v>0</v>
      </c>
      <c r="AZ2612">
        <v>0</v>
      </c>
      <c r="BE2612">
        <v>0</v>
      </c>
      <c r="BF2612">
        <v>15000</v>
      </c>
      <c r="BG2612">
        <v>0</v>
      </c>
      <c r="BH2612" s="6">
        <f>Grandview_Inventory[[#This Row],[land_extract]]*Lookups!$B$3</f>
        <v>41219.217601622076</v>
      </c>
      <c r="BI2612" s="6">
        <f>IF(Grandview_Inventory[[#This Row],[bldg_style]]="",0,Lookups!$B$2)</f>
        <v>0</v>
      </c>
      <c r="BJ2612" s="6">
        <f>_xlfn.IFNA(VLOOKUP(Grandview_Inventory[[#This Row],[quality]],Lookups!$H$2:$J$14,3,FALSE),0)</f>
        <v>0</v>
      </c>
      <c r="BK2612" s="6">
        <f>_xlfn.IFNA(VLOOKUP(Grandview_Inventory[[#This Row],[condition]],Lookups!$H$17:$J$24,3,FALSE),0)</f>
        <v>0</v>
      </c>
      <c r="BL2612" s="6">
        <f>Grandview_Inventory[[#This Row],[Eff_Age]]*Lookups!$B$14</f>
        <v>0</v>
      </c>
      <c r="BM2612" s="6">
        <f>Grandview_Inventory[[#This Row],[living_area]]*Lookups!$B$15</f>
        <v>0</v>
      </c>
      <c r="BN2612" s="6">
        <f>Grandview_Inventory[[#This Row],[Fin BSMT]]*Lookups!$B$16</f>
        <v>0</v>
      </c>
      <c r="BO2612" s="6">
        <f>(Grandview_Inventory[[#This Row],[att_gar]]+Grandview_Inventory[[#This Row],[bltin_gar]])*Lookups!$B$17</f>
        <v>0</v>
      </c>
      <c r="BP2612" s="6">
        <f>Grandview_Inventory[[#This Row],[Plumbing Fixtures]]*Lookups!$B$18</f>
        <v>0</v>
      </c>
      <c r="BQ2612" s="6">
        <f>Grandview_Inventory[[#This Row],[detatched_value]]*Lookups!$B$19</f>
        <v>0</v>
      </c>
      <c r="BR2612" s="6">
        <f>SUM(Grandview_Inventory[[#This Row],[Intercept]:[det_value]])*Grandview_Inventory[[#This Row],[res_pct]]</f>
        <v>0</v>
      </c>
      <c r="BS2612" s="6">
        <f>Grandview_Inventory[[#This Row],[land_value]]</f>
        <v>41219.217601622076</v>
      </c>
      <c r="BT2612" s="4">
        <f>_xlfn.IFNA(VLOOKUP(Grandview_Inventory[[#This Row],[quality]],Lookups!$A$26:$C$33,3,FALSE),1)</f>
        <v>1</v>
      </c>
      <c r="BU2612" s="4">
        <f>_xlfn.IFNA(VLOOKUP(Grandview_Inventory[[#This Row],[condition]],Lookups!$A$37:$C$44,3,FALSE),1)</f>
        <v>1</v>
      </c>
      <c r="BV2612" s="4">
        <f>IF(Grandview_Inventory[[#This Row],[bldg_style]]="",1,_xlfn.IFNA(VLOOKUP(Grandview_Inventory[[#This Row],[decade]],Lookups!$F$29:$H$43,3,FALSE),1))</f>
        <v>1</v>
      </c>
      <c r="BW2612" s="4">
        <f>_xlfn.IFNA(VLOOKUP(Grandview_Inventory[[#This Row],[living_area_range]],Lookups!$F$47:$H$56,3,FALSE),1)</f>
        <v>1</v>
      </c>
      <c r="BX2612" s="4">
        <f>AVERAGE(Grandview_Inventory[[#This Row],[qual_adj]:[size_adj]])</f>
        <v>1</v>
      </c>
      <c r="BY2612" s="6">
        <f>IF(Grandview_Inventory[[#This Row],[pre_res]]&lt;0,0,Grandview_Inventory[[#This Row],[pre_res]]*Grandview_Inventory[[#This Row],[overall_adj]])</f>
        <v>0</v>
      </c>
      <c r="BZ2612" s="6">
        <f>(Grandview_Inventory[[#This Row],[sum_land]]-IF(Grandview_Inventory[[#This Row],[no_utilities]]=1,12000,0))/IF(Grandview_Inventory[[#This Row],[unbuildable]]=1,2,1)</f>
        <v>41219.217601622076</v>
      </c>
      <c r="CA2612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612">
        <f>ROUND(Grandview_Inventory[[#This Row],[det_value]]*Lookups!$M$28,-2)</f>
        <v>0</v>
      </c>
      <c r="CC261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2">
        <f>Grandview_Inventory[[#This Row],[final_det]]+Grandview_Inventory[[#This Row],[final_res]]</f>
        <v>0</v>
      </c>
      <c r="CE2612">
        <f>Grandview_Inventory[[#This Row],[final_land]]+Grandview_Inventory[[#This Row],[final_imp]]+Grandview_Inventory[[#This Row],[crop_value]]</f>
        <v>39200</v>
      </c>
      <c r="CG2612" t="str">
        <f t="shared" si="40"/>
        <v>update valuation set market_land =39200, market_bldg=0, market_total =39200, market_mdno =401, market_date ='9/10/2023' where link_id = (select link_id from parcel where parcel_year = '2024' and parcel_id = '23091432495');</v>
      </c>
    </row>
    <row r="2613" spans="1:85" x14ac:dyDescent="0.25">
      <c r="A2613">
        <v>23091432496</v>
      </c>
      <c r="B2613" t="s">
        <v>129</v>
      </c>
      <c r="C2613">
        <v>5559</v>
      </c>
      <c r="D2613" t="s">
        <v>129</v>
      </c>
      <c r="E2613" t="s">
        <v>53</v>
      </c>
      <c r="F2613" t="s">
        <v>53</v>
      </c>
      <c r="G2613">
        <v>4</v>
      </c>
      <c r="H2613" t="s">
        <v>54</v>
      </c>
      <c r="I2613" t="s">
        <v>129</v>
      </c>
      <c r="J2613" t="s">
        <v>129</v>
      </c>
      <c r="K2613">
        <v>0.13</v>
      </c>
      <c r="L2613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13">
        <v>0</v>
      </c>
      <c r="N2613">
        <v>0</v>
      </c>
      <c r="O2613">
        <v>0</v>
      </c>
      <c r="P2613">
        <v>13398.7528</v>
      </c>
      <c r="Q2613">
        <v>63903</v>
      </c>
      <c r="R2613">
        <f>(Grandview_Inventory[[#This Row],[ln_acres]]*Grandview_Inventory[[#This Row],[coeff]])+Grandview_Inventory[[#This Row],[const]]</f>
        <v>36566.585461161507</v>
      </c>
      <c r="AY2613">
        <v>0</v>
      </c>
      <c r="AZ2613">
        <v>0</v>
      </c>
      <c r="BE2613">
        <v>0</v>
      </c>
      <c r="BF2613">
        <v>15000</v>
      </c>
      <c r="BG2613">
        <v>0</v>
      </c>
      <c r="BH2613" s="6">
        <f>Grandview_Inventory[[#This Row],[land_extract]]*Lookups!$B$3</f>
        <v>42464.67696626611</v>
      </c>
      <c r="BI2613" s="6">
        <f>IF(Grandview_Inventory[[#This Row],[bldg_style]]="",0,Lookups!$B$2)</f>
        <v>0</v>
      </c>
      <c r="BJ2613" s="6">
        <f>_xlfn.IFNA(VLOOKUP(Grandview_Inventory[[#This Row],[quality]],Lookups!$H$2:$J$14,3,FALSE),0)</f>
        <v>0</v>
      </c>
      <c r="BK2613" s="6">
        <f>_xlfn.IFNA(VLOOKUP(Grandview_Inventory[[#This Row],[condition]],Lookups!$H$17:$J$24,3,FALSE),0)</f>
        <v>0</v>
      </c>
      <c r="BL2613" s="6">
        <f>Grandview_Inventory[[#This Row],[Eff_Age]]*Lookups!$B$14</f>
        <v>0</v>
      </c>
      <c r="BM2613" s="6">
        <f>Grandview_Inventory[[#This Row],[living_area]]*Lookups!$B$15</f>
        <v>0</v>
      </c>
      <c r="BN2613" s="6">
        <f>Grandview_Inventory[[#This Row],[Fin BSMT]]*Lookups!$B$16</f>
        <v>0</v>
      </c>
      <c r="BO2613" s="6">
        <f>(Grandview_Inventory[[#This Row],[att_gar]]+Grandview_Inventory[[#This Row],[bltin_gar]])*Lookups!$B$17</f>
        <v>0</v>
      </c>
      <c r="BP2613" s="6">
        <f>Grandview_Inventory[[#This Row],[Plumbing Fixtures]]*Lookups!$B$18</f>
        <v>0</v>
      </c>
      <c r="BQ2613" s="6">
        <f>Grandview_Inventory[[#This Row],[detatched_value]]*Lookups!$B$19</f>
        <v>0</v>
      </c>
      <c r="BR2613" s="6">
        <f>SUM(Grandview_Inventory[[#This Row],[Intercept]:[det_value]])*Grandview_Inventory[[#This Row],[res_pct]]</f>
        <v>0</v>
      </c>
      <c r="BS2613" s="6">
        <f>Grandview_Inventory[[#This Row],[land_value]]</f>
        <v>42464.67696626611</v>
      </c>
      <c r="BT2613" s="4">
        <f>_xlfn.IFNA(VLOOKUP(Grandview_Inventory[[#This Row],[quality]],Lookups!$A$26:$C$33,3,FALSE),1)</f>
        <v>1</v>
      </c>
      <c r="BU2613" s="4">
        <f>_xlfn.IFNA(VLOOKUP(Grandview_Inventory[[#This Row],[condition]],Lookups!$A$37:$C$44,3,FALSE),1)</f>
        <v>1</v>
      </c>
      <c r="BV2613" s="4">
        <f>IF(Grandview_Inventory[[#This Row],[bldg_style]]="",1,_xlfn.IFNA(VLOOKUP(Grandview_Inventory[[#This Row],[decade]],Lookups!$F$29:$H$43,3,FALSE),1))</f>
        <v>1</v>
      </c>
      <c r="BW2613" s="4">
        <f>_xlfn.IFNA(VLOOKUP(Grandview_Inventory[[#This Row],[living_area_range]],Lookups!$F$47:$H$56,3,FALSE),1)</f>
        <v>1</v>
      </c>
      <c r="BX2613" s="4">
        <f>AVERAGE(Grandview_Inventory[[#This Row],[qual_adj]:[size_adj]])</f>
        <v>1</v>
      </c>
      <c r="BY2613" s="6">
        <f>IF(Grandview_Inventory[[#This Row],[pre_res]]&lt;0,0,Grandview_Inventory[[#This Row],[pre_res]]*Grandview_Inventory[[#This Row],[overall_adj]])</f>
        <v>0</v>
      </c>
      <c r="BZ2613" s="6">
        <f>(Grandview_Inventory[[#This Row],[sum_land]]-IF(Grandview_Inventory[[#This Row],[no_utilities]]=1,12000,0))/IF(Grandview_Inventory[[#This Row],[unbuildable]]=1,2,1)</f>
        <v>42464.67696626611</v>
      </c>
      <c r="CA2613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13">
        <f>ROUND(Grandview_Inventory[[#This Row],[det_value]]*Lookups!$M$28,-2)</f>
        <v>0</v>
      </c>
      <c r="CC261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3">
        <f>Grandview_Inventory[[#This Row],[final_det]]+Grandview_Inventory[[#This Row],[final_res]]</f>
        <v>0</v>
      </c>
      <c r="CE2613">
        <f>Grandview_Inventory[[#This Row],[final_land]]+Grandview_Inventory[[#This Row],[final_imp]]+Grandview_Inventory[[#This Row],[crop_value]]</f>
        <v>40300</v>
      </c>
      <c r="CG2613" t="str">
        <f t="shared" si="40"/>
        <v>update valuation set market_land =40300, market_bldg=0, market_total =40300, market_mdno =401, market_date ='9/10/2023' where link_id = (select link_id from parcel where parcel_year = '2024' and parcel_id = '23091432496');</v>
      </c>
    </row>
    <row r="2614" spans="1:85" x14ac:dyDescent="0.25">
      <c r="A2614">
        <v>23091432497</v>
      </c>
      <c r="B2614" t="s">
        <v>129</v>
      </c>
      <c r="C2614">
        <v>5560</v>
      </c>
      <c r="D2614" t="s">
        <v>129</v>
      </c>
      <c r="E2614" t="s">
        <v>53</v>
      </c>
      <c r="F2614" t="s">
        <v>53</v>
      </c>
      <c r="G2614">
        <v>4</v>
      </c>
      <c r="H2614" t="s">
        <v>54</v>
      </c>
      <c r="I2614" t="s">
        <v>129</v>
      </c>
      <c r="J2614" t="s">
        <v>129</v>
      </c>
      <c r="K2614">
        <v>0.13</v>
      </c>
      <c r="L2614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14">
        <v>0</v>
      </c>
      <c r="N2614">
        <v>0</v>
      </c>
      <c r="O2614">
        <v>0</v>
      </c>
      <c r="P2614">
        <v>13398.7528</v>
      </c>
      <c r="Q2614">
        <v>63903</v>
      </c>
      <c r="R2614">
        <f>(Grandview_Inventory[[#This Row],[ln_acres]]*Grandview_Inventory[[#This Row],[coeff]])+Grandview_Inventory[[#This Row],[const]]</f>
        <v>36566.585461161507</v>
      </c>
      <c r="AY2614">
        <v>0</v>
      </c>
      <c r="AZ2614">
        <v>0</v>
      </c>
      <c r="BE2614">
        <v>0</v>
      </c>
      <c r="BF2614">
        <v>15000</v>
      </c>
      <c r="BG2614">
        <v>0</v>
      </c>
      <c r="BH2614" s="6">
        <f>Grandview_Inventory[[#This Row],[land_extract]]*Lookups!$B$3</f>
        <v>42464.67696626611</v>
      </c>
      <c r="BI2614" s="6">
        <f>IF(Grandview_Inventory[[#This Row],[bldg_style]]="",0,Lookups!$B$2)</f>
        <v>0</v>
      </c>
      <c r="BJ2614" s="6">
        <f>_xlfn.IFNA(VLOOKUP(Grandview_Inventory[[#This Row],[quality]],Lookups!$H$2:$J$14,3,FALSE),0)</f>
        <v>0</v>
      </c>
      <c r="BK2614" s="6">
        <f>_xlfn.IFNA(VLOOKUP(Grandview_Inventory[[#This Row],[condition]],Lookups!$H$17:$J$24,3,FALSE),0)</f>
        <v>0</v>
      </c>
      <c r="BL2614" s="6">
        <f>Grandview_Inventory[[#This Row],[Eff_Age]]*Lookups!$B$14</f>
        <v>0</v>
      </c>
      <c r="BM2614" s="6">
        <f>Grandview_Inventory[[#This Row],[living_area]]*Lookups!$B$15</f>
        <v>0</v>
      </c>
      <c r="BN2614" s="6">
        <f>Grandview_Inventory[[#This Row],[Fin BSMT]]*Lookups!$B$16</f>
        <v>0</v>
      </c>
      <c r="BO2614" s="6">
        <f>(Grandview_Inventory[[#This Row],[att_gar]]+Grandview_Inventory[[#This Row],[bltin_gar]])*Lookups!$B$17</f>
        <v>0</v>
      </c>
      <c r="BP2614" s="6">
        <f>Grandview_Inventory[[#This Row],[Plumbing Fixtures]]*Lookups!$B$18</f>
        <v>0</v>
      </c>
      <c r="BQ2614" s="6">
        <f>Grandview_Inventory[[#This Row],[detatched_value]]*Lookups!$B$19</f>
        <v>0</v>
      </c>
      <c r="BR2614" s="6">
        <f>SUM(Grandview_Inventory[[#This Row],[Intercept]:[det_value]])*Grandview_Inventory[[#This Row],[res_pct]]</f>
        <v>0</v>
      </c>
      <c r="BS2614" s="6">
        <f>Grandview_Inventory[[#This Row],[land_value]]</f>
        <v>42464.67696626611</v>
      </c>
      <c r="BT2614" s="4">
        <f>_xlfn.IFNA(VLOOKUP(Grandview_Inventory[[#This Row],[quality]],Lookups!$A$26:$C$33,3,FALSE),1)</f>
        <v>1</v>
      </c>
      <c r="BU2614" s="4">
        <f>_xlfn.IFNA(VLOOKUP(Grandview_Inventory[[#This Row],[condition]],Lookups!$A$37:$C$44,3,FALSE),1)</f>
        <v>1</v>
      </c>
      <c r="BV2614" s="4">
        <f>IF(Grandview_Inventory[[#This Row],[bldg_style]]="",1,_xlfn.IFNA(VLOOKUP(Grandview_Inventory[[#This Row],[decade]],Lookups!$F$29:$H$43,3,FALSE),1))</f>
        <v>1</v>
      </c>
      <c r="BW2614" s="4">
        <f>_xlfn.IFNA(VLOOKUP(Grandview_Inventory[[#This Row],[living_area_range]],Lookups!$F$47:$H$56,3,FALSE),1)</f>
        <v>1</v>
      </c>
      <c r="BX2614" s="4">
        <f>AVERAGE(Grandview_Inventory[[#This Row],[qual_adj]:[size_adj]])</f>
        <v>1</v>
      </c>
      <c r="BY2614" s="6">
        <f>IF(Grandview_Inventory[[#This Row],[pre_res]]&lt;0,0,Grandview_Inventory[[#This Row],[pre_res]]*Grandview_Inventory[[#This Row],[overall_adj]])</f>
        <v>0</v>
      </c>
      <c r="BZ2614" s="6">
        <f>(Grandview_Inventory[[#This Row],[sum_land]]-IF(Grandview_Inventory[[#This Row],[no_utilities]]=1,12000,0))/IF(Grandview_Inventory[[#This Row],[unbuildable]]=1,2,1)</f>
        <v>42464.67696626611</v>
      </c>
      <c r="CA2614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14">
        <f>ROUND(Grandview_Inventory[[#This Row],[det_value]]*Lookups!$M$28,-2)</f>
        <v>0</v>
      </c>
      <c r="CC261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4">
        <f>Grandview_Inventory[[#This Row],[final_det]]+Grandview_Inventory[[#This Row],[final_res]]</f>
        <v>0</v>
      </c>
      <c r="CE2614">
        <f>Grandview_Inventory[[#This Row],[final_land]]+Grandview_Inventory[[#This Row],[final_imp]]+Grandview_Inventory[[#This Row],[crop_value]]</f>
        <v>40300</v>
      </c>
      <c r="CG2614" t="str">
        <f t="shared" si="40"/>
        <v>update valuation set market_land =40300, market_bldg=0, market_total =40300, market_mdno =401, market_date ='9/10/2023' where link_id = (select link_id from parcel where parcel_year = '2024' and parcel_id = '23091432497');</v>
      </c>
    </row>
    <row r="2615" spans="1:85" x14ac:dyDescent="0.25">
      <c r="A2615">
        <v>23091432498</v>
      </c>
      <c r="B2615" t="s">
        <v>129</v>
      </c>
      <c r="C2615">
        <v>5548</v>
      </c>
      <c r="D2615" t="s">
        <v>129</v>
      </c>
      <c r="E2615" t="s">
        <v>53</v>
      </c>
      <c r="F2615" t="s">
        <v>53</v>
      </c>
      <c r="G2615">
        <v>4</v>
      </c>
      <c r="H2615" t="s">
        <v>54</v>
      </c>
      <c r="I2615" t="s">
        <v>129</v>
      </c>
      <c r="J2615" t="s">
        <v>129</v>
      </c>
      <c r="K2615">
        <v>0.13</v>
      </c>
      <c r="L2615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15">
        <v>0</v>
      </c>
      <c r="N2615">
        <v>0</v>
      </c>
      <c r="O2615">
        <v>0</v>
      </c>
      <c r="P2615">
        <v>13398.7528</v>
      </c>
      <c r="Q2615">
        <v>63903</v>
      </c>
      <c r="R2615">
        <f>(Grandview_Inventory[[#This Row],[ln_acres]]*Grandview_Inventory[[#This Row],[coeff]])+Grandview_Inventory[[#This Row],[const]]</f>
        <v>36566.585461161507</v>
      </c>
      <c r="AY2615">
        <v>0</v>
      </c>
      <c r="AZ2615">
        <v>0</v>
      </c>
      <c r="BE2615">
        <v>0</v>
      </c>
      <c r="BF2615">
        <v>15000</v>
      </c>
      <c r="BG2615">
        <v>0</v>
      </c>
      <c r="BH2615" s="6">
        <f>Grandview_Inventory[[#This Row],[land_extract]]*Lookups!$B$3</f>
        <v>42464.67696626611</v>
      </c>
      <c r="BI2615" s="6">
        <f>IF(Grandview_Inventory[[#This Row],[bldg_style]]="",0,Lookups!$B$2)</f>
        <v>0</v>
      </c>
      <c r="BJ2615" s="6">
        <f>_xlfn.IFNA(VLOOKUP(Grandview_Inventory[[#This Row],[quality]],Lookups!$H$2:$J$14,3,FALSE),0)</f>
        <v>0</v>
      </c>
      <c r="BK2615" s="6">
        <f>_xlfn.IFNA(VLOOKUP(Grandview_Inventory[[#This Row],[condition]],Lookups!$H$17:$J$24,3,FALSE),0)</f>
        <v>0</v>
      </c>
      <c r="BL2615" s="6">
        <f>Grandview_Inventory[[#This Row],[Eff_Age]]*Lookups!$B$14</f>
        <v>0</v>
      </c>
      <c r="BM2615" s="6">
        <f>Grandview_Inventory[[#This Row],[living_area]]*Lookups!$B$15</f>
        <v>0</v>
      </c>
      <c r="BN2615" s="6">
        <f>Grandview_Inventory[[#This Row],[Fin BSMT]]*Lookups!$B$16</f>
        <v>0</v>
      </c>
      <c r="BO2615" s="6">
        <f>(Grandview_Inventory[[#This Row],[att_gar]]+Grandview_Inventory[[#This Row],[bltin_gar]])*Lookups!$B$17</f>
        <v>0</v>
      </c>
      <c r="BP2615" s="6">
        <f>Grandview_Inventory[[#This Row],[Plumbing Fixtures]]*Lookups!$B$18</f>
        <v>0</v>
      </c>
      <c r="BQ2615" s="6">
        <f>Grandview_Inventory[[#This Row],[detatched_value]]*Lookups!$B$19</f>
        <v>0</v>
      </c>
      <c r="BR2615" s="6">
        <f>SUM(Grandview_Inventory[[#This Row],[Intercept]:[det_value]])*Grandview_Inventory[[#This Row],[res_pct]]</f>
        <v>0</v>
      </c>
      <c r="BS2615" s="6">
        <f>Grandview_Inventory[[#This Row],[land_value]]</f>
        <v>42464.67696626611</v>
      </c>
      <c r="BT2615" s="4">
        <f>_xlfn.IFNA(VLOOKUP(Grandview_Inventory[[#This Row],[quality]],Lookups!$A$26:$C$33,3,FALSE),1)</f>
        <v>1</v>
      </c>
      <c r="BU2615" s="4">
        <f>_xlfn.IFNA(VLOOKUP(Grandview_Inventory[[#This Row],[condition]],Lookups!$A$37:$C$44,3,FALSE),1)</f>
        <v>1</v>
      </c>
      <c r="BV2615" s="4">
        <f>IF(Grandview_Inventory[[#This Row],[bldg_style]]="",1,_xlfn.IFNA(VLOOKUP(Grandview_Inventory[[#This Row],[decade]],Lookups!$F$29:$H$43,3,FALSE),1))</f>
        <v>1</v>
      </c>
      <c r="BW2615" s="4">
        <f>_xlfn.IFNA(VLOOKUP(Grandview_Inventory[[#This Row],[living_area_range]],Lookups!$F$47:$H$56,3,FALSE),1)</f>
        <v>1</v>
      </c>
      <c r="BX2615" s="4">
        <f>AVERAGE(Grandview_Inventory[[#This Row],[qual_adj]:[size_adj]])</f>
        <v>1</v>
      </c>
      <c r="BY2615" s="6">
        <f>IF(Grandview_Inventory[[#This Row],[pre_res]]&lt;0,0,Grandview_Inventory[[#This Row],[pre_res]]*Grandview_Inventory[[#This Row],[overall_adj]])</f>
        <v>0</v>
      </c>
      <c r="BZ2615" s="6">
        <f>(Grandview_Inventory[[#This Row],[sum_land]]-IF(Grandview_Inventory[[#This Row],[no_utilities]]=1,12000,0))/IF(Grandview_Inventory[[#This Row],[unbuildable]]=1,2,1)</f>
        <v>42464.67696626611</v>
      </c>
      <c r="CA2615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15">
        <f>ROUND(Grandview_Inventory[[#This Row],[det_value]]*Lookups!$M$28,-2)</f>
        <v>0</v>
      </c>
      <c r="CC261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5">
        <f>Grandview_Inventory[[#This Row],[final_det]]+Grandview_Inventory[[#This Row],[final_res]]</f>
        <v>0</v>
      </c>
      <c r="CE2615">
        <f>Grandview_Inventory[[#This Row],[final_land]]+Grandview_Inventory[[#This Row],[final_imp]]+Grandview_Inventory[[#This Row],[crop_value]]</f>
        <v>40300</v>
      </c>
      <c r="CG2615" t="str">
        <f t="shared" si="40"/>
        <v>update valuation set market_land =40300, market_bldg=0, market_total =40300, market_mdno =401, market_date ='9/10/2023' where link_id = (select link_id from parcel where parcel_year = '2024' and parcel_id = '23091432498');</v>
      </c>
    </row>
    <row r="2616" spans="1:85" x14ac:dyDescent="0.25">
      <c r="A2616">
        <v>23091432499</v>
      </c>
      <c r="B2616" t="s">
        <v>129</v>
      </c>
      <c r="C2616">
        <v>5561</v>
      </c>
      <c r="D2616" t="s">
        <v>129</v>
      </c>
      <c r="E2616" t="s">
        <v>53</v>
      </c>
      <c r="F2616" t="s">
        <v>53</v>
      </c>
      <c r="G2616">
        <v>4</v>
      </c>
      <c r="H2616" t="s">
        <v>54</v>
      </c>
      <c r="I2616" t="s">
        <v>129</v>
      </c>
      <c r="J2616" t="s">
        <v>129</v>
      </c>
      <c r="K2616">
        <v>0.13</v>
      </c>
      <c r="L2616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16">
        <v>0</v>
      </c>
      <c r="N2616">
        <v>0</v>
      </c>
      <c r="O2616">
        <v>0</v>
      </c>
      <c r="P2616">
        <v>13398.7528</v>
      </c>
      <c r="Q2616">
        <v>63903</v>
      </c>
      <c r="R2616">
        <f>(Grandview_Inventory[[#This Row],[ln_acres]]*Grandview_Inventory[[#This Row],[coeff]])+Grandview_Inventory[[#This Row],[const]]</f>
        <v>36566.585461161507</v>
      </c>
      <c r="AY2616">
        <v>0</v>
      </c>
      <c r="AZ2616">
        <v>0</v>
      </c>
      <c r="BE2616">
        <v>0</v>
      </c>
      <c r="BF2616">
        <v>15000</v>
      </c>
      <c r="BG2616">
        <v>0</v>
      </c>
      <c r="BH2616" s="6">
        <f>Grandview_Inventory[[#This Row],[land_extract]]*Lookups!$B$3</f>
        <v>42464.67696626611</v>
      </c>
      <c r="BI2616" s="6">
        <f>IF(Grandview_Inventory[[#This Row],[bldg_style]]="",0,Lookups!$B$2)</f>
        <v>0</v>
      </c>
      <c r="BJ2616" s="6">
        <f>_xlfn.IFNA(VLOOKUP(Grandview_Inventory[[#This Row],[quality]],Lookups!$H$2:$J$14,3,FALSE),0)</f>
        <v>0</v>
      </c>
      <c r="BK2616" s="6">
        <f>_xlfn.IFNA(VLOOKUP(Grandview_Inventory[[#This Row],[condition]],Lookups!$H$17:$J$24,3,FALSE),0)</f>
        <v>0</v>
      </c>
      <c r="BL2616" s="6">
        <f>Grandview_Inventory[[#This Row],[Eff_Age]]*Lookups!$B$14</f>
        <v>0</v>
      </c>
      <c r="BM2616" s="6">
        <f>Grandview_Inventory[[#This Row],[living_area]]*Lookups!$B$15</f>
        <v>0</v>
      </c>
      <c r="BN2616" s="6">
        <f>Grandview_Inventory[[#This Row],[Fin BSMT]]*Lookups!$B$16</f>
        <v>0</v>
      </c>
      <c r="BO2616" s="6">
        <f>(Grandview_Inventory[[#This Row],[att_gar]]+Grandview_Inventory[[#This Row],[bltin_gar]])*Lookups!$B$17</f>
        <v>0</v>
      </c>
      <c r="BP2616" s="6">
        <f>Grandview_Inventory[[#This Row],[Plumbing Fixtures]]*Lookups!$B$18</f>
        <v>0</v>
      </c>
      <c r="BQ2616" s="6">
        <f>Grandview_Inventory[[#This Row],[detatched_value]]*Lookups!$B$19</f>
        <v>0</v>
      </c>
      <c r="BR2616" s="6">
        <f>SUM(Grandview_Inventory[[#This Row],[Intercept]:[det_value]])*Grandview_Inventory[[#This Row],[res_pct]]</f>
        <v>0</v>
      </c>
      <c r="BS2616" s="6">
        <f>Grandview_Inventory[[#This Row],[land_value]]</f>
        <v>42464.67696626611</v>
      </c>
      <c r="BT2616" s="4">
        <f>_xlfn.IFNA(VLOOKUP(Grandview_Inventory[[#This Row],[quality]],Lookups!$A$26:$C$33,3,FALSE),1)</f>
        <v>1</v>
      </c>
      <c r="BU2616" s="4">
        <f>_xlfn.IFNA(VLOOKUP(Grandview_Inventory[[#This Row],[condition]],Lookups!$A$37:$C$44,3,FALSE),1)</f>
        <v>1</v>
      </c>
      <c r="BV2616" s="4">
        <f>IF(Grandview_Inventory[[#This Row],[bldg_style]]="",1,_xlfn.IFNA(VLOOKUP(Grandview_Inventory[[#This Row],[decade]],Lookups!$F$29:$H$43,3,FALSE),1))</f>
        <v>1</v>
      </c>
      <c r="BW2616" s="4">
        <f>_xlfn.IFNA(VLOOKUP(Grandview_Inventory[[#This Row],[living_area_range]],Lookups!$F$47:$H$56,3,FALSE),1)</f>
        <v>1</v>
      </c>
      <c r="BX2616" s="4">
        <f>AVERAGE(Grandview_Inventory[[#This Row],[qual_adj]:[size_adj]])</f>
        <v>1</v>
      </c>
      <c r="BY2616" s="6">
        <f>IF(Grandview_Inventory[[#This Row],[pre_res]]&lt;0,0,Grandview_Inventory[[#This Row],[pre_res]]*Grandview_Inventory[[#This Row],[overall_adj]])</f>
        <v>0</v>
      </c>
      <c r="BZ2616" s="6">
        <f>(Grandview_Inventory[[#This Row],[sum_land]]-IF(Grandview_Inventory[[#This Row],[no_utilities]]=1,12000,0))/IF(Grandview_Inventory[[#This Row],[unbuildable]]=1,2,1)</f>
        <v>42464.67696626611</v>
      </c>
      <c r="CA2616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16">
        <f>ROUND(Grandview_Inventory[[#This Row],[det_value]]*Lookups!$M$28,-2)</f>
        <v>0</v>
      </c>
      <c r="CC261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6">
        <f>Grandview_Inventory[[#This Row],[final_det]]+Grandview_Inventory[[#This Row],[final_res]]</f>
        <v>0</v>
      </c>
      <c r="CE2616">
        <f>Grandview_Inventory[[#This Row],[final_land]]+Grandview_Inventory[[#This Row],[final_imp]]+Grandview_Inventory[[#This Row],[crop_value]]</f>
        <v>40300</v>
      </c>
      <c r="CG2616" t="str">
        <f t="shared" si="40"/>
        <v>update valuation set market_land =40300, market_bldg=0, market_total =40300, market_mdno =401, market_date ='9/10/2023' where link_id = (select link_id from parcel where parcel_year = '2024' and parcel_id = '23091432499');</v>
      </c>
    </row>
    <row r="2617" spans="1:85" x14ac:dyDescent="0.25">
      <c r="A2617">
        <v>23091432500</v>
      </c>
      <c r="B2617" t="s">
        <v>129</v>
      </c>
      <c r="C2617">
        <v>5548</v>
      </c>
      <c r="D2617" t="s">
        <v>129</v>
      </c>
      <c r="E2617" t="s">
        <v>53</v>
      </c>
      <c r="F2617" t="s">
        <v>53</v>
      </c>
      <c r="G2617">
        <v>4</v>
      </c>
      <c r="H2617" t="s">
        <v>54</v>
      </c>
      <c r="I2617" t="s">
        <v>129</v>
      </c>
      <c r="J2617" t="s">
        <v>129</v>
      </c>
      <c r="K2617">
        <v>0.13</v>
      </c>
      <c r="L2617">
        <f>IF(Grandview_Inventory[[#This Row],[parcel_acres]]-Grandview_Inventory[[#This Row],[non_valued_acres]] =0,0,LN(Grandview_Inventory[[#This Row],[parcel_acres]]-Grandview_Inventory[[#This Row],[non_valued_acres]]))</f>
        <v>-2.0402208285265546</v>
      </c>
      <c r="M2617">
        <v>0</v>
      </c>
      <c r="N2617">
        <v>0</v>
      </c>
      <c r="O2617">
        <v>0</v>
      </c>
      <c r="P2617">
        <v>13398.7528</v>
      </c>
      <c r="Q2617">
        <v>63903</v>
      </c>
      <c r="R2617">
        <f>(Grandview_Inventory[[#This Row],[ln_acres]]*Grandview_Inventory[[#This Row],[coeff]])+Grandview_Inventory[[#This Row],[const]]</f>
        <v>36566.585461161507</v>
      </c>
      <c r="AY2617">
        <v>0</v>
      </c>
      <c r="AZ2617">
        <v>0</v>
      </c>
      <c r="BE2617">
        <v>0</v>
      </c>
      <c r="BF2617">
        <v>15000</v>
      </c>
      <c r="BG2617">
        <v>0</v>
      </c>
      <c r="BH2617" s="6">
        <f>Grandview_Inventory[[#This Row],[land_extract]]*Lookups!$B$3</f>
        <v>42464.67696626611</v>
      </c>
      <c r="BI2617" s="6">
        <f>IF(Grandview_Inventory[[#This Row],[bldg_style]]="",0,Lookups!$B$2)</f>
        <v>0</v>
      </c>
      <c r="BJ2617" s="6">
        <f>_xlfn.IFNA(VLOOKUP(Grandview_Inventory[[#This Row],[quality]],Lookups!$H$2:$J$14,3,FALSE),0)</f>
        <v>0</v>
      </c>
      <c r="BK2617" s="6">
        <f>_xlfn.IFNA(VLOOKUP(Grandview_Inventory[[#This Row],[condition]],Lookups!$H$17:$J$24,3,FALSE),0)</f>
        <v>0</v>
      </c>
      <c r="BL2617" s="6">
        <f>Grandview_Inventory[[#This Row],[Eff_Age]]*Lookups!$B$14</f>
        <v>0</v>
      </c>
      <c r="BM2617" s="6">
        <f>Grandview_Inventory[[#This Row],[living_area]]*Lookups!$B$15</f>
        <v>0</v>
      </c>
      <c r="BN2617" s="6">
        <f>Grandview_Inventory[[#This Row],[Fin BSMT]]*Lookups!$B$16</f>
        <v>0</v>
      </c>
      <c r="BO2617" s="6">
        <f>(Grandview_Inventory[[#This Row],[att_gar]]+Grandview_Inventory[[#This Row],[bltin_gar]])*Lookups!$B$17</f>
        <v>0</v>
      </c>
      <c r="BP2617" s="6">
        <f>Grandview_Inventory[[#This Row],[Plumbing Fixtures]]*Lookups!$B$18</f>
        <v>0</v>
      </c>
      <c r="BQ2617" s="6">
        <f>Grandview_Inventory[[#This Row],[detatched_value]]*Lookups!$B$19</f>
        <v>0</v>
      </c>
      <c r="BR2617" s="6">
        <f>SUM(Grandview_Inventory[[#This Row],[Intercept]:[det_value]])*Grandview_Inventory[[#This Row],[res_pct]]</f>
        <v>0</v>
      </c>
      <c r="BS2617" s="6">
        <f>Grandview_Inventory[[#This Row],[land_value]]</f>
        <v>42464.67696626611</v>
      </c>
      <c r="BT2617" s="4">
        <f>_xlfn.IFNA(VLOOKUP(Grandview_Inventory[[#This Row],[quality]],Lookups!$A$26:$C$33,3,FALSE),1)</f>
        <v>1</v>
      </c>
      <c r="BU2617" s="4">
        <f>_xlfn.IFNA(VLOOKUP(Grandview_Inventory[[#This Row],[condition]],Lookups!$A$37:$C$44,3,FALSE),1)</f>
        <v>1</v>
      </c>
      <c r="BV2617" s="4">
        <f>IF(Grandview_Inventory[[#This Row],[bldg_style]]="",1,_xlfn.IFNA(VLOOKUP(Grandview_Inventory[[#This Row],[decade]],Lookups!$F$29:$H$43,3,FALSE),1))</f>
        <v>1</v>
      </c>
      <c r="BW2617" s="4">
        <f>_xlfn.IFNA(VLOOKUP(Grandview_Inventory[[#This Row],[living_area_range]],Lookups!$F$47:$H$56,3,FALSE),1)</f>
        <v>1</v>
      </c>
      <c r="BX2617" s="4">
        <f>AVERAGE(Grandview_Inventory[[#This Row],[qual_adj]:[size_adj]])</f>
        <v>1</v>
      </c>
      <c r="BY2617" s="6">
        <f>IF(Grandview_Inventory[[#This Row],[pre_res]]&lt;0,0,Grandview_Inventory[[#This Row],[pre_res]]*Grandview_Inventory[[#This Row],[overall_adj]])</f>
        <v>0</v>
      </c>
      <c r="BZ2617" s="6">
        <f>(Grandview_Inventory[[#This Row],[sum_land]]-IF(Grandview_Inventory[[#This Row],[no_utilities]]=1,12000,0))/IF(Grandview_Inventory[[#This Row],[unbuildable]]=1,2,1)</f>
        <v>42464.67696626611</v>
      </c>
      <c r="CA2617">
        <f>IF(ROUND(Grandview_Inventory[[#This Row],[adj_land]]*Lookups!$M$28,-2)&lt;Grandview_Inventory[[#This Row],[min_land]],Grandview_Inventory[[#This Row],[min_land]],ROUND(Grandview_Inventory[[#This Row],[adj_land]]*Lookups!$M$28,-2))</f>
        <v>40300</v>
      </c>
      <c r="CB2617">
        <f>ROUND(Grandview_Inventory[[#This Row],[det_value]]*Lookups!$M$28,-2)</f>
        <v>0</v>
      </c>
      <c r="CC261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7">
        <f>Grandview_Inventory[[#This Row],[final_det]]+Grandview_Inventory[[#This Row],[final_res]]</f>
        <v>0</v>
      </c>
      <c r="CE2617">
        <f>Grandview_Inventory[[#This Row],[final_land]]+Grandview_Inventory[[#This Row],[final_imp]]+Grandview_Inventory[[#This Row],[crop_value]]</f>
        <v>40300</v>
      </c>
      <c r="CG2617" t="str">
        <f t="shared" si="40"/>
        <v>update valuation set market_land =40300, market_bldg=0, market_total =40300, market_mdno =401, market_date ='9/10/2023' where link_id = (select link_id from parcel where parcel_year = '2024' and parcel_id = '23091432500');</v>
      </c>
    </row>
    <row r="2618" spans="1:85" x14ac:dyDescent="0.25">
      <c r="A2618">
        <v>23091433400</v>
      </c>
      <c r="B2618">
        <v>0.18</v>
      </c>
      <c r="C2618" t="s">
        <v>129</v>
      </c>
      <c r="D2618" t="s">
        <v>129</v>
      </c>
      <c r="E2618" t="s">
        <v>53</v>
      </c>
      <c r="F2618" t="s">
        <v>53</v>
      </c>
      <c r="G2618">
        <v>4</v>
      </c>
      <c r="H2618" t="s">
        <v>54</v>
      </c>
      <c r="I2618">
        <v>0</v>
      </c>
      <c r="J2618">
        <v>32500</v>
      </c>
      <c r="K2618">
        <v>0.18</v>
      </c>
      <c r="L261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618">
        <v>0</v>
      </c>
      <c r="N2618">
        <v>0</v>
      </c>
      <c r="O2618">
        <v>0</v>
      </c>
      <c r="P2618">
        <v>13398.7528</v>
      </c>
      <c r="Q2618">
        <v>63903</v>
      </c>
      <c r="R2618">
        <f>(Grandview_Inventory[[#This Row],[ln_acres]]*Grandview_Inventory[[#This Row],[coeff]])+Grandview_Inventory[[#This Row],[const]]</f>
        <v>40926.839760167699</v>
      </c>
      <c r="AY2618">
        <v>0</v>
      </c>
      <c r="AZ2618">
        <v>0</v>
      </c>
      <c r="BE2618">
        <v>0</v>
      </c>
      <c r="BF2618">
        <v>15000</v>
      </c>
      <c r="BG2618">
        <v>0</v>
      </c>
      <c r="BH2618" s="6">
        <f>Grandview_Inventory[[#This Row],[land_extract]]*Lookups!$B$3</f>
        <v>47528.228511015397</v>
      </c>
      <c r="BI2618" s="6">
        <f>IF(Grandview_Inventory[[#This Row],[bldg_style]]="",0,Lookups!$B$2)</f>
        <v>0</v>
      </c>
      <c r="BJ2618" s="6">
        <f>_xlfn.IFNA(VLOOKUP(Grandview_Inventory[[#This Row],[quality]],Lookups!$H$2:$J$14,3,FALSE),0)</f>
        <v>0</v>
      </c>
      <c r="BK2618" s="6">
        <f>_xlfn.IFNA(VLOOKUP(Grandview_Inventory[[#This Row],[condition]],Lookups!$H$17:$J$24,3,FALSE),0)</f>
        <v>0</v>
      </c>
      <c r="BL2618" s="6">
        <f>Grandview_Inventory[[#This Row],[Eff_Age]]*Lookups!$B$14</f>
        <v>0</v>
      </c>
      <c r="BM2618" s="6">
        <f>Grandview_Inventory[[#This Row],[living_area]]*Lookups!$B$15</f>
        <v>0</v>
      </c>
      <c r="BN2618" s="6">
        <f>Grandview_Inventory[[#This Row],[Fin BSMT]]*Lookups!$B$16</f>
        <v>0</v>
      </c>
      <c r="BO2618" s="6">
        <f>(Grandview_Inventory[[#This Row],[att_gar]]+Grandview_Inventory[[#This Row],[bltin_gar]])*Lookups!$B$17</f>
        <v>0</v>
      </c>
      <c r="BP2618" s="6">
        <f>Grandview_Inventory[[#This Row],[Plumbing Fixtures]]*Lookups!$B$18</f>
        <v>0</v>
      </c>
      <c r="BQ2618" s="6">
        <f>Grandview_Inventory[[#This Row],[detatched_value]]*Lookups!$B$19</f>
        <v>0</v>
      </c>
      <c r="BR2618" s="6">
        <f>SUM(Grandview_Inventory[[#This Row],[Intercept]:[det_value]])*Grandview_Inventory[[#This Row],[res_pct]]</f>
        <v>0</v>
      </c>
      <c r="BS2618" s="6">
        <f>Grandview_Inventory[[#This Row],[land_value]]</f>
        <v>47528.228511015397</v>
      </c>
      <c r="BT2618" s="4">
        <f>_xlfn.IFNA(VLOOKUP(Grandview_Inventory[[#This Row],[quality]],Lookups!$A$26:$C$33,3,FALSE),1)</f>
        <v>1</v>
      </c>
      <c r="BU2618" s="4">
        <f>_xlfn.IFNA(VLOOKUP(Grandview_Inventory[[#This Row],[condition]],Lookups!$A$37:$C$44,3,FALSE),1)</f>
        <v>1</v>
      </c>
      <c r="BV2618" s="4">
        <f>IF(Grandview_Inventory[[#This Row],[bldg_style]]="",1,_xlfn.IFNA(VLOOKUP(Grandview_Inventory[[#This Row],[decade]],Lookups!$F$29:$H$43,3,FALSE),1))</f>
        <v>1</v>
      </c>
      <c r="BW2618" s="4">
        <f>_xlfn.IFNA(VLOOKUP(Grandview_Inventory[[#This Row],[living_area_range]],Lookups!$F$47:$H$56,3,FALSE),1)</f>
        <v>1</v>
      </c>
      <c r="BX2618" s="4">
        <f>AVERAGE(Grandview_Inventory[[#This Row],[qual_adj]:[size_adj]])</f>
        <v>1</v>
      </c>
      <c r="BY2618" s="6">
        <f>IF(Grandview_Inventory[[#This Row],[pre_res]]&lt;0,0,Grandview_Inventory[[#This Row],[pre_res]]*Grandview_Inventory[[#This Row],[overall_adj]])</f>
        <v>0</v>
      </c>
      <c r="BZ2618" s="6">
        <f>(Grandview_Inventory[[#This Row],[sum_land]]-IF(Grandview_Inventory[[#This Row],[no_utilities]]=1,12000,0))/IF(Grandview_Inventory[[#This Row],[unbuildable]]=1,2,1)</f>
        <v>47528.228511015397</v>
      </c>
      <c r="CA261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618">
        <f>ROUND(Grandview_Inventory[[#This Row],[det_value]]*Lookups!$M$28,-2)</f>
        <v>0</v>
      </c>
      <c r="CC261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8">
        <f>Grandview_Inventory[[#This Row],[final_det]]+Grandview_Inventory[[#This Row],[final_res]]</f>
        <v>0</v>
      </c>
      <c r="CE2618">
        <f>Grandview_Inventory[[#This Row],[final_land]]+Grandview_Inventory[[#This Row],[final_imp]]+Grandview_Inventory[[#This Row],[crop_value]]</f>
        <v>45200</v>
      </c>
      <c r="CG2618" t="str">
        <f t="shared" si="40"/>
        <v>update valuation set market_land =45200, market_bldg=0, market_total =45200, market_mdno =401, market_date ='9/10/2023' where link_id = (select link_id from parcel where parcel_year = '2024' and parcel_id = '23091433400');</v>
      </c>
    </row>
    <row r="2619" spans="1:85" x14ac:dyDescent="0.25">
      <c r="A2619">
        <v>23091433410</v>
      </c>
      <c r="B2619">
        <v>0.11</v>
      </c>
      <c r="C2619">
        <v>4985</v>
      </c>
      <c r="D2619" t="s">
        <v>129</v>
      </c>
      <c r="E2619" t="s">
        <v>53</v>
      </c>
      <c r="F2619" t="s">
        <v>53</v>
      </c>
      <c r="G2619">
        <v>4</v>
      </c>
      <c r="H2619" t="s">
        <v>54</v>
      </c>
      <c r="I2619">
        <v>9400</v>
      </c>
      <c r="J2619">
        <v>15700</v>
      </c>
      <c r="K2619">
        <v>0.11</v>
      </c>
      <c r="L2619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619">
        <v>0</v>
      </c>
      <c r="N2619">
        <v>1</v>
      </c>
      <c r="O2619">
        <v>0</v>
      </c>
      <c r="P2619">
        <v>13398.7528</v>
      </c>
      <c r="Q2619">
        <v>63903</v>
      </c>
      <c r="R2619">
        <f>(Grandview_Inventory[[#This Row],[ln_acres]]*Grandview_Inventory[[#This Row],[coeff]])+Grandview_Inventory[[#This Row],[const]]</f>
        <v>34328.269076529468</v>
      </c>
      <c r="AY2619">
        <v>0</v>
      </c>
      <c r="AZ2619">
        <v>8700</v>
      </c>
      <c r="BE2619">
        <v>0</v>
      </c>
      <c r="BF2619">
        <v>12000</v>
      </c>
      <c r="BG2619">
        <v>0</v>
      </c>
      <c r="BH2619" s="6">
        <f>Grandview_Inventory[[#This Row],[land_extract]]*Lookups!$B$3</f>
        <v>39865.326192247165</v>
      </c>
      <c r="BI2619" s="6">
        <f>IF(Grandview_Inventory[[#This Row],[bldg_style]]="",0,Lookups!$B$2)</f>
        <v>0</v>
      </c>
      <c r="BJ2619" s="6">
        <f>_xlfn.IFNA(VLOOKUP(Grandview_Inventory[[#This Row],[quality]],Lookups!$H$2:$J$14,3,FALSE),0)</f>
        <v>0</v>
      </c>
      <c r="BK2619" s="6">
        <f>_xlfn.IFNA(VLOOKUP(Grandview_Inventory[[#This Row],[condition]],Lookups!$H$17:$J$24,3,FALSE),0)</f>
        <v>0</v>
      </c>
      <c r="BL2619" s="6">
        <f>Grandview_Inventory[[#This Row],[Eff_Age]]*Lookups!$B$14</f>
        <v>0</v>
      </c>
      <c r="BM2619" s="6">
        <f>Grandview_Inventory[[#This Row],[living_area]]*Lookups!$B$15</f>
        <v>0</v>
      </c>
      <c r="BN2619" s="6">
        <f>Grandview_Inventory[[#This Row],[Fin BSMT]]*Lookups!$B$16</f>
        <v>0</v>
      </c>
      <c r="BO2619" s="6">
        <f>(Grandview_Inventory[[#This Row],[att_gar]]+Grandview_Inventory[[#This Row],[bltin_gar]])*Lookups!$B$17</f>
        <v>0</v>
      </c>
      <c r="BP2619" s="6">
        <f>Grandview_Inventory[[#This Row],[Plumbing Fixtures]]*Lookups!$B$18</f>
        <v>0</v>
      </c>
      <c r="BQ2619" s="6">
        <f>Grandview_Inventory[[#This Row],[detatched_value]]*Lookups!$B$19</f>
        <v>7367.2043699999995</v>
      </c>
      <c r="BR2619" s="6">
        <f>SUM(Grandview_Inventory[[#This Row],[Intercept]:[det_value]])*Grandview_Inventory[[#This Row],[res_pct]]</f>
        <v>0</v>
      </c>
      <c r="BS2619" s="6">
        <f>Grandview_Inventory[[#This Row],[land_value]]</f>
        <v>39865.326192247165</v>
      </c>
      <c r="BT2619" s="4">
        <f>_xlfn.IFNA(VLOOKUP(Grandview_Inventory[[#This Row],[quality]],Lookups!$A$26:$C$33,3,FALSE),1)</f>
        <v>1</v>
      </c>
      <c r="BU2619" s="4">
        <f>_xlfn.IFNA(VLOOKUP(Grandview_Inventory[[#This Row],[condition]],Lookups!$A$37:$C$44,3,FALSE),1)</f>
        <v>1</v>
      </c>
      <c r="BV2619" s="4">
        <f>IF(Grandview_Inventory[[#This Row],[bldg_style]]="",1,_xlfn.IFNA(VLOOKUP(Grandview_Inventory[[#This Row],[decade]],Lookups!$F$29:$H$43,3,FALSE),1))</f>
        <v>1</v>
      </c>
      <c r="BW2619" s="4">
        <f>_xlfn.IFNA(VLOOKUP(Grandview_Inventory[[#This Row],[living_area_range]],Lookups!$F$47:$H$56,3,FALSE),1)</f>
        <v>1</v>
      </c>
      <c r="BX2619" s="4">
        <f>AVERAGE(Grandview_Inventory[[#This Row],[qual_adj]:[size_adj]])</f>
        <v>1</v>
      </c>
      <c r="BY2619" s="6">
        <f>IF(Grandview_Inventory[[#This Row],[pre_res]]&lt;0,0,Grandview_Inventory[[#This Row],[pre_res]]*Grandview_Inventory[[#This Row],[overall_adj]])</f>
        <v>0</v>
      </c>
      <c r="BZ2619" s="6">
        <f>(Grandview_Inventory[[#This Row],[sum_land]]-IF(Grandview_Inventory[[#This Row],[no_utilities]]=1,12000,0))/IF(Grandview_Inventory[[#This Row],[unbuildable]]=1,2,1)</f>
        <v>19932.663096123582</v>
      </c>
      <c r="CA2619">
        <f>IF(ROUND(Grandview_Inventory[[#This Row],[adj_land]]*Lookups!$M$28,-2)&lt;Grandview_Inventory[[#This Row],[min_land]],Grandview_Inventory[[#This Row],[min_land]],ROUND(Grandview_Inventory[[#This Row],[adj_land]]*Lookups!$M$28,-2))</f>
        <v>18900</v>
      </c>
      <c r="CB2619">
        <f>ROUND(Grandview_Inventory[[#This Row],[det_value]]*Lookups!$M$28,-2)</f>
        <v>7000</v>
      </c>
      <c r="CC261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19">
        <f>Grandview_Inventory[[#This Row],[final_det]]+Grandview_Inventory[[#This Row],[final_res]]</f>
        <v>7000</v>
      </c>
      <c r="CE2619">
        <f>Grandview_Inventory[[#This Row],[final_land]]+Grandview_Inventory[[#This Row],[final_imp]]+Grandview_Inventory[[#This Row],[crop_value]]</f>
        <v>25900</v>
      </c>
      <c r="CG2619" t="str">
        <f t="shared" si="40"/>
        <v>update valuation set market_land =18900, market_bldg=7000, market_total =25900, market_mdno =401, market_date ='9/10/2023' where link_id = (select link_id from parcel where parcel_year = '2024' and parcel_id = '23091433410');</v>
      </c>
    </row>
    <row r="2620" spans="1:85" x14ac:dyDescent="0.25">
      <c r="A2620">
        <v>23091433411</v>
      </c>
      <c r="B2620">
        <v>0.11</v>
      </c>
      <c r="C2620">
        <v>4971</v>
      </c>
      <c r="D2620" t="s">
        <v>129</v>
      </c>
      <c r="E2620" t="s">
        <v>53</v>
      </c>
      <c r="F2620" t="s">
        <v>53</v>
      </c>
      <c r="G2620">
        <v>4</v>
      </c>
      <c r="H2620" t="s">
        <v>54</v>
      </c>
      <c r="I2620">
        <v>30500</v>
      </c>
      <c r="J2620">
        <v>37900</v>
      </c>
      <c r="K2620">
        <v>0.11</v>
      </c>
      <c r="L2620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620">
        <v>0</v>
      </c>
      <c r="N2620">
        <v>0</v>
      </c>
      <c r="O2620">
        <v>0</v>
      </c>
      <c r="P2620">
        <v>13398.7528</v>
      </c>
      <c r="Q2620">
        <v>63903</v>
      </c>
      <c r="R2620">
        <f>(Grandview_Inventory[[#This Row],[ln_acres]]*Grandview_Inventory[[#This Row],[coeff]])+Grandview_Inventory[[#This Row],[const]]</f>
        <v>34328.269076529468</v>
      </c>
      <c r="AY2620">
        <v>0</v>
      </c>
      <c r="AZ2620">
        <v>28300</v>
      </c>
      <c r="BE2620">
        <v>0</v>
      </c>
      <c r="BF2620">
        <v>15000</v>
      </c>
      <c r="BG2620">
        <v>0</v>
      </c>
      <c r="BH2620" s="6">
        <f>Grandview_Inventory[[#This Row],[land_extract]]*Lookups!$B$3</f>
        <v>39865.326192247165</v>
      </c>
      <c r="BI2620" s="6">
        <f>IF(Grandview_Inventory[[#This Row],[bldg_style]]="",0,Lookups!$B$2)</f>
        <v>0</v>
      </c>
      <c r="BJ2620" s="6">
        <f>_xlfn.IFNA(VLOOKUP(Grandview_Inventory[[#This Row],[quality]],Lookups!$H$2:$J$14,3,FALSE),0)</f>
        <v>0</v>
      </c>
      <c r="BK2620" s="6">
        <f>_xlfn.IFNA(VLOOKUP(Grandview_Inventory[[#This Row],[condition]],Lookups!$H$17:$J$24,3,FALSE),0)</f>
        <v>0</v>
      </c>
      <c r="BL2620" s="6">
        <f>Grandview_Inventory[[#This Row],[Eff_Age]]*Lookups!$B$14</f>
        <v>0</v>
      </c>
      <c r="BM2620" s="6">
        <f>Grandview_Inventory[[#This Row],[living_area]]*Lookups!$B$15</f>
        <v>0</v>
      </c>
      <c r="BN2620" s="6">
        <f>Grandview_Inventory[[#This Row],[Fin BSMT]]*Lookups!$B$16</f>
        <v>0</v>
      </c>
      <c r="BO2620" s="6">
        <f>(Grandview_Inventory[[#This Row],[att_gar]]+Grandview_Inventory[[#This Row],[bltin_gar]])*Lookups!$B$17</f>
        <v>0</v>
      </c>
      <c r="BP2620" s="6">
        <f>Grandview_Inventory[[#This Row],[Plumbing Fixtures]]*Lookups!$B$18</f>
        <v>0</v>
      </c>
      <c r="BQ2620" s="6">
        <f>Grandview_Inventory[[#This Row],[detatched_value]]*Lookups!$B$19</f>
        <v>23964.584329999998</v>
      </c>
      <c r="BR2620" s="6">
        <f>SUM(Grandview_Inventory[[#This Row],[Intercept]:[det_value]])*Grandview_Inventory[[#This Row],[res_pct]]</f>
        <v>0</v>
      </c>
      <c r="BS2620" s="6">
        <f>Grandview_Inventory[[#This Row],[land_value]]</f>
        <v>39865.326192247165</v>
      </c>
      <c r="BT2620" s="4">
        <f>_xlfn.IFNA(VLOOKUP(Grandview_Inventory[[#This Row],[quality]],Lookups!$A$26:$C$33,3,FALSE),1)</f>
        <v>1</v>
      </c>
      <c r="BU2620" s="4">
        <f>_xlfn.IFNA(VLOOKUP(Grandview_Inventory[[#This Row],[condition]],Lookups!$A$37:$C$44,3,FALSE),1)</f>
        <v>1</v>
      </c>
      <c r="BV2620" s="4">
        <f>IF(Grandview_Inventory[[#This Row],[bldg_style]]="",1,_xlfn.IFNA(VLOOKUP(Grandview_Inventory[[#This Row],[decade]],Lookups!$F$29:$H$43,3,FALSE),1))</f>
        <v>1</v>
      </c>
      <c r="BW2620" s="4">
        <f>_xlfn.IFNA(VLOOKUP(Grandview_Inventory[[#This Row],[living_area_range]],Lookups!$F$47:$H$56,3,FALSE),1)</f>
        <v>1</v>
      </c>
      <c r="BX2620" s="4">
        <f>AVERAGE(Grandview_Inventory[[#This Row],[qual_adj]:[size_adj]])</f>
        <v>1</v>
      </c>
      <c r="BY2620" s="6">
        <f>IF(Grandview_Inventory[[#This Row],[pre_res]]&lt;0,0,Grandview_Inventory[[#This Row],[pre_res]]*Grandview_Inventory[[#This Row],[overall_adj]])</f>
        <v>0</v>
      </c>
      <c r="BZ2620" s="6">
        <f>(Grandview_Inventory[[#This Row],[sum_land]]-IF(Grandview_Inventory[[#This Row],[no_utilities]]=1,12000,0))/IF(Grandview_Inventory[[#This Row],[unbuildable]]=1,2,1)</f>
        <v>39865.326192247165</v>
      </c>
      <c r="CA2620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2620">
        <f>ROUND(Grandview_Inventory[[#This Row],[det_value]]*Lookups!$M$28,-2)</f>
        <v>22800</v>
      </c>
      <c r="CC262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0">
        <f>Grandview_Inventory[[#This Row],[final_det]]+Grandview_Inventory[[#This Row],[final_res]]</f>
        <v>22800</v>
      </c>
      <c r="CE2620">
        <f>Grandview_Inventory[[#This Row],[final_land]]+Grandview_Inventory[[#This Row],[final_imp]]+Grandview_Inventory[[#This Row],[crop_value]]</f>
        <v>60700</v>
      </c>
      <c r="CG2620" t="str">
        <f t="shared" si="40"/>
        <v>update valuation set market_land =37900, market_bldg=22800, market_total =60700, market_mdno =401, market_date ='9/10/2023' where link_id = (select link_id from parcel where parcel_year = '2024' and parcel_id = '23091433411');</v>
      </c>
    </row>
    <row r="2621" spans="1:85" x14ac:dyDescent="0.25">
      <c r="A2621">
        <v>23091433421</v>
      </c>
      <c r="B2621">
        <v>0.16</v>
      </c>
      <c r="C2621">
        <v>6893</v>
      </c>
      <c r="D2621" t="s">
        <v>129</v>
      </c>
      <c r="E2621" t="s">
        <v>53</v>
      </c>
      <c r="F2621" t="s">
        <v>53</v>
      </c>
      <c r="G2621">
        <v>4</v>
      </c>
      <c r="H2621" t="s">
        <v>54</v>
      </c>
      <c r="I2621">
        <v>0</v>
      </c>
      <c r="J2621">
        <v>32100</v>
      </c>
      <c r="K2621">
        <v>0.16</v>
      </c>
      <c r="L2621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621">
        <v>0</v>
      </c>
      <c r="N2621">
        <v>0</v>
      </c>
      <c r="O2621">
        <v>0</v>
      </c>
      <c r="P2621">
        <v>13398.7528</v>
      </c>
      <c r="Q2621">
        <v>63903</v>
      </c>
      <c r="R2621">
        <f>(Grandview_Inventory[[#This Row],[ln_acres]]*Grandview_Inventory[[#This Row],[coeff]])+Grandview_Inventory[[#This Row],[const]]</f>
        <v>39348.693981374228</v>
      </c>
      <c r="AY2621">
        <v>0</v>
      </c>
      <c r="AZ2621">
        <v>0</v>
      </c>
      <c r="BE2621">
        <v>0</v>
      </c>
      <c r="BF2621">
        <v>15000</v>
      </c>
      <c r="BG2621">
        <v>0</v>
      </c>
      <c r="BH2621" s="6">
        <f>Grandview_Inventory[[#This Row],[land_extract]]*Lookups!$B$3</f>
        <v>45695.532079096141</v>
      </c>
      <c r="BI2621" s="6">
        <f>IF(Grandview_Inventory[[#This Row],[bldg_style]]="",0,Lookups!$B$2)</f>
        <v>0</v>
      </c>
      <c r="BJ2621" s="6">
        <f>_xlfn.IFNA(VLOOKUP(Grandview_Inventory[[#This Row],[quality]],Lookups!$H$2:$J$14,3,FALSE),0)</f>
        <v>0</v>
      </c>
      <c r="BK2621" s="6">
        <f>_xlfn.IFNA(VLOOKUP(Grandview_Inventory[[#This Row],[condition]],Lookups!$H$17:$J$24,3,FALSE),0)</f>
        <v>0</v>
      </c>
      <c r="BL2621" s="6">
        <f>Grandview_Inventory[[#This Row],[Eff_Age]]*Lookups!$B$14</f>
        <v>0</v>
      </c>
      <c r="BM2621" s="6">
        <f>Grandview_Inventory[[#This Row],[living_area]]*Lookups!$B$15</f>
        <v>0</v>
      </c>
      <c r="BN2621" s="6">
        <f>Grandview_Inventory[[#This Row],[Fin BSMT]]*Lookups!$B$16</f>
        <v>0</v>
      </c>
      <c r="BO2621" s="6">
        <f>(Grandview_Inventory[[#This Row],[att_gar]]+Grandview_Inventory[[#This Row],[bltin_gar]])*Lookups!$B$17</f>
        <v>0</v>
      </c>
      <c r="BP2621" s="6">
        <f>Grandview_Inventory[[#This Row],[Plumbing Fixtures]]*Lookups!$B$18</f>
        <v>0</v>
      </c>
      <c r="BQ2621" s="6">
        <f>Grandview_Inventory[[#This Row],[detatched_value]]*Lookups!$B$19</f>
        <v>0</v>
      </c>
      <c r="BR2621" s="6">
        <f>SUM(Grandview_Inventory[[#This Row],[Intercept]:[det_value]])*Grandview_Inventory[[#This Row],[res_pct]]</f>
        <v>0</v>
      </c>
      <c r="BS2621" s="6">
        <f>Grandview_Inventory[[#This Row],[land_value]]</f>
        <v>45695.532079096141</v>
      </c>
      <c r="BT2621" s="4">
        <f>_xlfn.IFNA(VLOOKUP(Grandview_Inventory[[#This Row],[quality]],Lookups!$A$26:$C$33,3,FALSE),1)</f>
        <v>1</v>
      </c>
      <c r="BU2621" s="4">
        <f>_xlfn.IFNA(VLOOKUP(Grandview_Inventory[[#This Row],[condition]],Lookups!$A$37:$C$44,3,FALSE),1)</f>
        <v>1</v>
      </c>
      <c r="BV2621" s="4">
        <f>IF(Grandview_Inventory[[#This Row],[bldg_style]]="",1,_xlfn.IFNA(VLOOKUP(Grandview_Inventory[[#This Row],[decade]],Lookups!$F$29:$H$43,3,FALSE),1))</f>
        <v>1</v>
      </c>
      <c r="BW2621" s="4">
        <f>_xlfn.IFNA(VLOOKUP(Grandview_Inventory[[#This Row],[living_area_range]],Lookups!$F$47:$H$56,3,FALSE),1)</f>
        <v>1</v>
      </c>
      <c r="BX2621" s="4">
        <f>AVERAGE(Grandview_Inventory[[#This Row],[qual_adj]:[size_adj]])</f>
        <v>1</v>
      </c>
      <c r="BY2621" s="6">
        <f>IF(Grandview_Inventory[[#This Row],[pre_res]]&lt;0,0,Grandview_Inventory[[#This Row],[pre_res]]*Grandview_Inventory[[#This Row],[overall_adj]])</f>
        <v>0</v>
      </c>
      <c r="BZ2621" s="6">
        <f>(Grandview_Inventory[[#This Row],[sum_land]]-IF(Grandview_Inventory[[#This Row],[no_utilities]]=1,12000,0))/IF(Grandview_Inventory[[#This Row],[unbuildable]]=1,2,1)</f>
        <v>45695.532079096141</v>
      </c>
      <c r="CA2621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621">
        <f>ROUND(Grandview_Inventory[[#This Row],[det_value]]*Lookups!$M$28,-2)</f>
        <v>0</v>
      </c>
      <c r="CC262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1">
        <f>Grandview_Inventory[[#This Row],[final_det]]+Grandview_Inventory[[#This Row],[final_res]]</f>
        <v>0</v>
      </c>
      <c r="CE2621">
        <f>Grandview_Inventory[[#This Row],[final_land]]+Grandview_Inventory[[#This Row],[final_imp]]+Grandview_Inventory[[#This Row],[crop_value]]</f>
        <v>43400</v>
      </c>
      <c r="CG2621" t="str">
        <f t="shared" si="40"/>
        <v>update valuation set market_land =43400, market_bldg=0, market_total =43400, market_mdno =401, market_date ='9/10/2023' where link_id = (select link_id from parcel where parcel_year = '2024' and parcel_id = '23091433421');</v>
      </c>
    </row>
    <row r="2622" spans="1:85" x14ac:dyDescent="0.25">
      <c r="A2622">
        <v>23091433432</v>
      </c>
      <c r="B2622">
        <v>0.01</v>
      </c>
      <c r="C2622" t="s">
        <v>129</v>
      </c>
      <c r="D2622" t="s">
        <v>129</v>
      </c>
      <c r="E2622" t="s">
        <v>53</v>
      </c>
      <c r="F2622" t="s">
        <v>53</v>
      </c>
      <c r="G2622">
        <v>4</v>
      </c>
      <c r="H2622" t="s">
        <v>54</v>
      </c>
      <c r="I2622">
        <v>0</v>
      </c>
      <c r="J2622">
        <v>300</v>
      </c>
      <c r="K2622">
        <v>0.01</v>
      </c>
      <c r="L2622">
        <f>IF(Grandview_Inventory[[#This Row],[parcel_acres]]-Grandview_Inventory[[#This Row],[non_valued_acres]] =0,0,LN(Grandview_Inventory[[#This Row],[parcel_acres]]-Grandview_Inventory[[#This Row],[non_valued_acres]]))</f>
        <v>-4.6051701859880909</v>
      </c>
      <c r="M2622">
        <v>0</v>
      </c>
      <c r="N2622">
        <v>1</v>
      </c>
      <c r="O2622">
        <v>0</v>
      </c>
      <c r="P2622">
        <v>13398.7528</v>
      </c>
      <c r="Q2622">
        <v>63903</v>
      </c>
      <c r="R2622">
        <f>(Grandview_Inventory[[#This Row],[ln_acres]]*Grandview_Inventory[[#This Row],[coeff]])+Grandview_Inventory[[#This Row],[const]]</f>
        <v>2199.4630760155487</v>
      </c>
      <c r="AY2622">
        <v>0</v>
      </c>
      <c r="AZ2622">
        <v>0</v>
      </c>
      <c r="BE2622">
        <v>0</v>
      </c>
      <c r="BF2622">
        <v>12000</v>
      </c>
      <c r="BG2622">
        <v>0</v>
      </c>
      <c r="BH2622" s="6">
        <f>Grandview_Inventory[[#This Row],[land_extract]]*Lookups!$B$3</f>
        <v>2554.2305316265515</v>
      </c>
      <c r="BI2622" s="6">
        <f>IF(Grandview_Inventory[[#This Row],[bldg_style]]="",0,Lookups!$B$2)</f>
        <v>0</v>
      </c>
      <c r="BJ2622" s="6">
        <f>_xlfn.IFNA(VLOOKUP(Grandview_Inventory[[#This Row],[quality]],Lookups!$H$2:$J$14,3,FALSE),0)</f>
        <v>0</v>
      </c>
      <c r="BK2622" s="6">
        <f>_xlfn.IFNA(VLOOKUP(Grandview_Inventory[[#This Row],[condition]],Lookups!$H$17:$J$24,3,FALSE),0)</f>
        <v>0</v>
      </c>
      <c r="BL2622" s="6">
        <f>Grandview_Inventory[[#This Row],[Eff_Age]]*Lookups!$B$14</f>
        <v>0</v>
      </c>
      <c r="BM2622" s="6">
        <f>Grandview_Inventory[[#This Row],[living_area]]*Lookups!$B$15</f>
        <v>0</v>
      </c>
      <c r="BN2622" s="6">
        <f>Grandview_Inventory[[#This Row],[Fin BSMT]]*Lookups!$B$16</f>
        <v>0</v>
      </c>
      <c r="BO2622" s="6">
        <f>(Grandview_Inventory[[#This Row],[att_gar]]+Grandview_Inventory[[#This Row],[bltin_gar]])*Lookups!$B$17</f>
        <v>0</v>
      </c>
      <c r="BP2622" s="6">
        <f>Grandview_Inventory[[#This Row],[Plumbing Fixtures]]*Lookups!$B$18</f>
        <v>0</v>
      </c>
      <c r="BQ2622" s="6">
        <f>Grandview_Inventory[[#This Row],[detatched_value]]*Lookups!$B$19</f>
        <v>0</v>
      </c>
      <c r="BR2622" s="6">
        <f>SUM(Grandview_Inventory[[#This Row],[Intercept]:[det_value]])*Grandview_Inventory[[#This Row],[res_pct]]</f>
        <v>0</v>
      </c>
      <c r="BS2622" s="6">
        <f>Grandview_Inventory[[#This Row],[land_value]]</f>
        <v>2554.2305316265515</v>
      </c>
      <c r="BT2622" s="4">
        <f>_xlfn.IFNA(VLOOKUP(Grandview_Inventory[[#This Row],[quality]],Lookups!$A$26:$C$33,3,FALSE),1)</f>
        <v>1</v>
      </c>
      <c r="BU2622" s="4">
        <f>_xlfn.IFNA(VLOOKUP(Grandview_Inventory[[#This Row],[condition]],Lookups!$A$37:$C$44,3,FALSE),1)</f>
        <v>1</v>
      </c>
      <c r="BV2622" s="4">
        <f>IF(Grandview_Inventory[[#This Row],[bldg_style]]="",1,_xlfn.IFNA(VLOOKUP(Grandview_Inventory[[#This Row],[decade]],Lookups!$F$29:$H$43,3,FALSE),1))</f>
        <v>1</v>
      </c>
      <c r="BW2622" s="4">
        <f>_xlfn.IFNA(VLOOKUP(Grandview_Inventory[[#This Row],[living_area_range]],Lookups!$F$47:$H$56,3,FALSE),1)</f>
        <v>1</v>
      </c>
      <c r="BX2622" s="4">
        <f>AVERAGE(Grandview_Inventory[[#This Row],[qual_adj]:[size_adj]])</f>
        <v>1</v>
      </c>
      <c r="BY2622" s="6">
        <f>IF(Grandview_Inventory[[#This Row],[pre_res]]&lt;0,0,Grandview_Inventory[[#This Row],[pre_res]]*Grandview_Inventory[[#This Row],[overall_adj]])</f>
        <v>0</v>
      </c>
      <c r="BZ2622" s="6">
        <f>(Grandview_Inventory[[#This Row],[sum_land]]-IF(Grandview_Inventory[[#This Row],[no_utilities]]=1,12000,0))/IF(Grandview_Inventory[[#This Row],[unbuildable]]=1,2,1)</f>
        <v>1277.1152658132758</v>
      </c>
      <c r="CA2622">
        <f>IF(ROUND(Grandview_Inventory[[#This Row],[adj_land]]*Lookups!$M$28,-2)&lt;Grandview_Inventory[[#This Row],[min_land]],Grandview_Inventory[[#This Row],[min_land]],ROUND(Grandview_Inventory[[#This Row],[adj_land]]*Lookups!$M$28,-2))</f>
        <v>12000</v>
      </c>
      <c r="CB2622">
        <f>ROUND(Grandview_Inventory[[#This Row],[det_value]]*Lookups!$M$28,-2)</f>
        <v>0</v>
      </c>
      <c r="CC262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2">
        <f>Grandview_Inventory[[#This Row],[final_det]]+Grandview_Inventory[[#This Row],[final_res]]</f>
        <v>0</v>
      </c>
      <c r="CE2622">
        <f>Grandview_Inventory[[#This Row],[final_land]]+Grandview_Inventory[[#This Row],[final_imp]]+Grandview_Inventory[[#This Row],[crop_value]]</f>
        <v>12000</v>
      </c>
      <c r="CG2622" t="str">
        <f t="shared" si="40"/>
        <v>update valuation set market_land =12000, market_bldg=0, market_total =12000, market_mdno =401, market_date ='9/10/2023' where link_id = (select link_id from parcel where parcel_year = '2024' and parcel_id = '23091433432');</v>
      </c>
    </row>
    <row r="2623" spans="1:85" x14ac:dyDescent="0.25">
      <c r="A2623">
        <v>23091433449</v>
      </c>
      <c r="B2623">
        <v>0.11</v>
      </c>
      <c r="C2623">
        <v>4938</v>
      </c>
      <c r="D2623" t="s">
        <v>129</v>
      </c>
      <c r="E2623" t="s">
        <v>53</v>
      </c>
      <c r="F2623" t="s">
        <v>53</v>
      </c>
      <c r="G2623">
        <v>4</v>
      </c>
      <c r="H2623" t="s">
        <v>54</v>
      </c>
      <c r="I2623">
        <v>4300</v>
      </c>
      <c r="J2623">
        <v>31400</v>
      </c>
      <c r="K2623">
        <v>0.11</v>
      </c>
      <c r="L2623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623">
        <v>0</v>
      </c>
      <c r="N2623">
        <v>0</v>
      </c>
      <c r="O2623">
        <v>0</v>
      </c>
      <c r="P2623">
        <v>13398.7528</v>
      </c>
      <c r="Q2623">
        <v>63903</v>
      </c>
      <c r="R2623">
        <f>(Grandview_Inventory[[#This Row],[ln_acres]]*Grandview_Inventory[[#This Row],[coeff]])+Grandview_Inventory[[#This Row],[const]]</f>
        <v>34328.269076529468</v>
      </c>
      <c r="AY2623">
        <v>0</v>
      </c>
      <c r="AZ2623">
        <v>4000</v>
      </c>
      <c r="BE2623">
        <v>0</v>
      </c>
      <c r="BF2623">
        <v>15000</v>
      </c>
      <c r="BG2623">
        <v>0</v>
      </c>
      <c r="BH2623" s="6">
        <f>Grandview_Inventory[[#This Row],[land_extract]]*Lookups!$B$3</f>
        <v>39865.326192247165</v>
      </c>
      <c r="BI2623" s="6">
        <f>IF(Grandview_Inventory[[#This Row],[bldg_style]]="",0,Lookups!$B$2)</f>
        <v>0</v>
      </c>
      <c r="BJ2623" s="6">
        <f>_xlfn.IFNA(VLOOKUP(Grandview_Inventory[[#This Row],[quality]],Lookups!$H$2:$J$14,3,FALSE),0)</f>
        <v>0</v>
      </c>
      <c r="BK2623" s="6">
        <f>_xlfn.IFNA(VLOOKUP(Grandview_Inventory[[#This Row],[condition]],Lookups!$H$17:$J$24,3,FALSE),0)</f>
        <v>0</v>
      </c>
      <c r="BL2623" s="6">
        <f>Grandview_Inventory[[#This Row],[Eff_Age]]*Lookups!$B$14</f>
        <v>0</v>
      </c>
      <c r="BM2623" s="6">
        <f>Grandview_Inventory[[#This Row],[living_area]]*Lookups!$B$15</f>
        <v>0</v>
      </c>
      <c r="BN2623" s="6">
        <f>Grandview_Inventory[[#This Row],[Fin BSMT]]*Lookups!$B$16</f>
        <v>0</v>
      </c>
      <c r="BO2623" s="6">
        <f>(Grandview_Inventory[[#This Row],[att_gar]]+Grandview_Inventory[[#This Row],[bltin_gar]])*Lookups!$B$17</f>
        <v>0</v>
      </c>
      <c r="BP2623" s="6">
        <f>Grandview_Inventory[[#This Row],[Plumbing Fixtures]]*Lookups!$B$18</f>
        <v>0</v>
      </c>
      <c r="BQ2623" s="6">
        <f>Grandview_Inventory[[#This Row],[detatched_value]]*Lookups!$B$19</f>
        <v>3387.2203999999997</v>
      </c>
      <c r="BR2623" s="6">
        <f>SUM(Grandview_Inventory[[#This Row],[Intercept]:[det_value]])*Grandview_Inventory[[#This Row],[res_pct]]</f>
        <v>0</v>
      </c>
      <c r="BS2623" s="6">
        <f>Grandview_Inventory[[#This Row],[land_value]]</f>
        <v>39865.326192247165</v>
      </c>
      <c r="BT2623" s="4">
        <f>_xlfn.IFNA(VLOOKUP(Grandview_Inventory[[#This Row],[quality]],Lookups!$A$26:$C$33,3,FALSE),1)</f>
        <v>1</v>
      </c>
      <c r="BU2623" s="4">
        <f>_xlfn.IFNA(VLOOKUP(Grandview_Inventory[[#This Row],[condition]],Lookups!$A$37:$C$44,3,FALSE),1)</f>
        <v>1</v>
      </c>
      <c r="BV2623" s="4">
        <f>IF(Grandview_Inventory[[#This Row],[bldg_style]]="",1,_xlfn.IFNA(VLOOKUP(Grandview_Inventory[[#This Row],[decade]],Lookups!$F$29:$H$43,3,FALSE),1))</f>
        <v>1</v>
      </c>
      <c r="BW2623" s="4">
        <f>_xlfn.IFNA(VLOOKUP(Grandview_Inventory[[#This Row],[living_area_range]],Lookups!$F$47:$H$56,3,FALSE),1)</f>
        <v>1</v>
      </c>
      <c r="BX2623" s="4">
        <f>AVERAGE(Grandview_Inventory[[#This Row],[qual_adj]:[size_adj]])</f>
        <v>1</v>
      </c>
      <c r="BY2623" s="6">
        <f>IF(Grandview_Inventory[[#This Row],[pre_res]]&lt;0,0,Grandview_Inventory[[#This Row],[pre_res]]*Grandview_Inventory[[#This Row],[overall_adj]])</f>
        <v>0</v>
      </c>
      <c r="BZ2623" s="6">
        <f>(Grandview_Inventory[[#This Row],[sum_land]]-IF(Grandview_Inventory[[#This Row],[no_utilities]]=1,12000,0))/IF(Grandview_Inventory[[#This Row],[unbuildable]]=1,2,1)</f>
        <v>39865.326192247165</v>
      </c>
      <c r="CA2623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2623">
        <f>ROUND(Grandview_Inventory[[#This Row],[det_value]]*Lookups!$M$28,-2)</f>
        <v>3200</v>
      </c>
      <c r="CC262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3">
        <f>Grandview_Inventory[[#This Row],[final_det]]+Grandview_Inventory[[#This Row],[final_res]]</f>
        <v>3200</v>
      </c>
      <c r="CE2623">
        <f>Grandview_Inventory[[#This Row],[final_land]]+Grandview_Inventory[[#This Row],[final_imp]]+Grandview_Inventory[[#This Row],[crop_value]]</f>
        <v>41100</v>
      </c>
      <c r="CG2623" t="str">
        <f t="shared" si="40"/>
        <v>update valuation set market_land =37900, market_bldg=3200, market_total =41100, market_mdno =401, market_date ='9/10/2023' where link_id = (select link_id from parcel where parcel_year = '2024' and parcel_id = '23091433449');</v>
      </c>
    </row>
    <row r="2624" spans="1:85" x14ac:dyDescent="0.25">
      <c r="A2624">
        <v>23091433513</v>
      </c>
      <c r="B2624">
        <v>0.12</v>
      </c>
      <c r="C2624">
        <v>5302</v>
      </c>
      <c r="D2624" t="s">
        <v>129</v>
      </c>
      <c r="E2624" t="s">
        <v>53</v>
      </c>
      <c r="F2624" t="s">
        <v>53</v>
      </c>
      <c r="G2624">
        <v>4</v>
      </c>
      <c r="H2624" t="s">
        <v>54</v>
      </c>
      <c r="I2624">
        <v>25200</v>
      </c>
      <c r="J2624">
        <v>15900</v>
      </c>
      <c r="K2624">
        <v>0.12</v>
      </c>
      <c r="L262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624">
        <v>0</v>
      </c>
      <c r="N2624">
        <v>1</v>
      </c>
      <c r="O2624">
        <v>0</v>
      </c>
      <c r="P2624">
        <v>13398.7528</v>
      </c>
      <c r="Q2624">
        <v>63903</v>
      </c>
      <c r="R2624">
        <f>(Grandview_Inventory[[#This Row],[ln_acres]]*Grandview_Inventory[[#This Row],[coeff]])+Grandview_Inventory[[#This Row],[const]]</f>
        <v>35494.113007601132</v>
      </c>
      <c r="AY2624">
        <v>0</v>
      </c>
      <c r="AZ2624">
        <v>22600</v>
      </c>
      <c r="BE2624">
        <v>0</v>
      </c>
      <c r="BF2624">
        <v>12000</v>
      </c>
      <c r="BG2624">
        <v>0</v>
      </c>
      <c r="BH2624" s="6">
        <f>Grandview_Inventory[[#This Row],[land_extract]]*Lookups!$B$3</f>
        <v>41219.217601622076</v>
      </c>
      <c r="BI2624" s="6">
        <f>IF(Grandview_Inventory[[#This Row],[bldg_style]]="",0,Lookups!$B$2)</f>
        <v>0</v>
      </c>
      <c r="BJ2624" s="6">
        <f>_xlfn.IFNA(VLOOKUP(Grandview_Inventory[[#This Row],[quality]],Lookups!$H$2:$J$14,3,FALSE),0)</f>
        <v>0</v>
      </c>
      <c r="BK2624" s="6">
        <f>_xlfn.IFNA(VLOOKUP(Grandview_Inventory[[#This Row],[condition]],Lookups!$H$17:$J$24,3,FALSE),0)</f>
        <v>0</v>
      </c>
      <c r="BL2624" s="6">
        <f>Grandview_Inventory[[#This Row],[Eff_Age]]*Lookups!$B$14</f>
        <v>0</v>
      </c>
      <c r="BM2624" s="6">
        <f>Grandview_Inventory[[#This Row],[living_area]]*Lookups!$B$15</f>
        <v>0</v>
      </c>
      <c r="BN2624" s="6">
        <f>Grandview_Inventory[[#This Row],[Fin BSMT]]*Lookups!$B$16</f>
        <v>0</v>
      </c>
      <c r="BO2624" s="6">
        <f>(Grandview_Inventory[[#This Row],[att_gar]]+Grandview_Inventory[[#This Row],[bltin_gar]])*Lookups!$B$17</f>
        <v>0</v>
      </c>
      <c r="BP2624" s="6">
        <f>Grandview_Inventory[[#This Row],[Plumbing Fixtures]]*Lookups!$B$18</f>
        <v>0</v>
      </c>
      <c r="BQ2624" s="6">
        <f>Grandview_Inventory[[#This Row],[detatched_value]]*Lookups!$B$19</f>
        <v>19137.795259999999</v>
      </c>
      <c r="BR2624" s="6">
        <f>SUM(Grandview_Inventory[[#This Row],[Intercept]:[det_value]])*Grandview_Inventory[[#This Row],[res_pct]]</f>
        <v>0</v>
      </c>
      <c r="BS2624" s="6">
        <f>Grandview_Inventory[[#This Row],[land_value]]</f>
        <v>41219.217601622076</v>
      </c>
      <c r="BT2624" s="4">
        <f>_xlfn.IFNA(VLOOKUP(Grandview_Inventory[[#This Row],[quality]],Lookups!$A$26:$C$33,3,FALSE),1)</f>
        <v>1</v>
      </c>
      <c r="BU2624" s="4">
        <f>_xlfn.IFNA(VLOOKUP(Grandview_Inventory[[#This Row],[condition]],Lookups!$A$37:$C$44,3,FALSE),1)</f>
        <v>1</v>
      </c>
      <c r="BV2624" s="4">
        <f>IF(Grandview_Inventory[[#This Row],[bldg_style]]="",1,_xlfn.IFNA(VLOOKUP(Grandview_Inventory[[#This Row],[decade]],Lookups!$F$29:$H$43,3,FALSE),1))</f>
        <v>1</v>
      </c>
      <c r="BW2624" s="4">
        <f>_xlfn.IFNA(VLOOKUP(Grandview_Inventory[[#This Row],[living_area_range]],Lookups!$F$47:$H$56,3,FALSE),1)</f>
        <v>1</v>
      </c>
      <c r="BX2624" s="4">
        <f>AVERAGE(Grandview_Inventory[[#This Row],[qual_adj]:[size_adj]])</f>
        <v>1</v>
      </c>
      <c r="BY2624" s="6">
        <f>IF(Grandview_Inventory[[#This Row],[pre_res]]&lt;0,0,Grandview_Inventory[[#This Row],[pre_res]]*Grandview_Inventory[[#This Row],[overall_adj]])</f>
        <v>0</v>
      </c>
      <c r="BZ2624" s="6">
        <f>(Grandview_Inventory[[#This Row],[sum_land]]-IF(Grandview_Inventory[[#This Row],[no_utilities]]=1,12000,0))/IF(Grandview_Inventory[[#This Row],[unbuildable]]=1,2,1)</f>
        <v>20609.608800811038</v>
      </c>
      <c r="CA2624">
        <f>IF(ROUND(Grandview_Inventory[[#This Row],[adj_land]]*Lookups!$M$28,-2)&lt;Grandview_Inventory[[#This Row],[min_land]],Grandview_Inventory[[#This Row],[min_land]],ROUND(Grandview_Inventory[[#This Row],[adj_land]]*Lookups!$M$28,-2))</f>
        <v>19600</v>
      </c>
      <c r="CB2624">
        <f>ROUND(Grandview_Inventory[[#This Row],[det_value]]*Lookups!$M$28,-2)</f>
        <v>18200</v>
      </c>
      <c r="CC262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4">
        <f>Grandview_Inventory[[#This Row],[final_det]]+Grandview_Inventory[[#This Row],[final_res]]</f>
        <v>18200</v>
      </c>
      <c r="CE2624">
        <f>Grandview_Inventory[[#This Row],[final_land]]+Grandview_Inventory[[#This Row],[final_imp]]+Grandview_Inventory[[#This Row],[crop_value]]</f>
        <v>37800</v>
      </c>
      <c r="CG2624" t="str">
        <f t="shared" si="40"/>
        <v>update valuation set market_land =19600, market_bldg=18200, market_total =37800, market_mdno =401, market_date ='9/10/2023' where link_id = (select link_id from parcel where parcel_year = '2024' and parcel_id = '23091433513');</v>
      </c>
    </row>
    <row r="2625" spans="1:85" x14ac:dyDescent="0.25">
      <c r="A2625">
        <v>23091433520</v>
      </c>
      <c r="B2625">
        <v>0.34</v>
      </c>
      <c r="C2625">
        <v>14810</v>
      </c>
      <c r="D2625" t="s">
        <v>129</v>
      </c>
      <c r="E2625" t="s">
        <v>53</v>
      </c>
      <c r="F2625" t="s">
        <v>53</v>
      </c>
      <c r="G2625">
        <v>4</v>
      </c>
      <c r="H2625" t="s">
        <v>54</v>
      </c>
      <c r="I2625">
        <v>8800</v>
      </c>
      <c r="J2625">
        <v>34400</v>
      </c>
      <c r="K2625">
        <v>0.34</v>
      </c>
      <c r="L2625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2625">
        <v>0</v>
      </c>
      <c r="N2625">
        <v>0</v>
      </c>
      <c r="O2625">
        <v>0</v>
      </c>
      <c r="P2625">
        <v>13398.7528</v>
      </c>
      <c r="Q2625">
        <v>63903</v>
      </c>
      <c r="R2625">
        <f>(Grandview_Inventory[[#This Row],[ln_acres]]*Grandview_Inventory[[#This Row],[coeff]])+Grandview_Inventory[[#This Row],[const]]</f>
        <v>49448.296029025805</v>
      </c>
      <c r="AY2625">
        <v>0</v>
      </c>
      <c r="AZ2625">
        <v>8100</v>
      </c>
      <c r="BE2625">
        <v>0</v>
      </c>
      <c r="BF2625">
        <v>15000</v>
      </c>
      <c r="BG2625">
        <v>0</v>
      </c>
      <c r="BH2625" s="6">
        <f>Grandview_Inventory[[#This Row],[land_extract]]*Lookups!$B$3</f>
        <v>57424.172668108389</v>
      </c>
      <c r="BI2625" s="6">
        <f>IF(Grandview_Inventory[[#This Row],[bldg_style]]="",0,Lookups!$B$2)</f>
        <v>0</v>
      </c>
      <c r="BJ2625" s="6">
        <f>_xlfn.IFNA(VLOOKUP(Grandview_Inventory[[#This Row],[quality]],Lookups!$H$2:$J$14,3,FALSE),0)</f>
        <v>0</v>
      </c>
      <c r="BK2625" s="6">
        <f>_xlfn.IFNA(VLOOKUP(Grandview_Inventory[[#This Row],[condition]],Lookups!$H$17:$J$24,3,FALSE),0)</f>
        <v>0</v>
      </c>
      <c r="BL2625" s="6">
        <f>Grandview_Inventory[[#This Row],[Eff_Age]]*Lookups!$B$14</f>
        <v>0</v>
      </c>
      <c r="BM2625" s="6">
        <f>Grandview_Inventory[[#This Row],[living_area]]*Lookups!$B$15</f>
        <v>0</v>
      </c>
      <c r="BN2625" s="6">
        <f>Grandview_Inventory[[#This Row],[Fin BSMT]]*Lookups!$B$16</f>
        <v>0</v>
      </c>
      <c r="BO2625" s="6">
        <f>(Grandview_Inventory[[#This Row],[att_gar]]+Grandview_Inventory[[#This Row],[bltin_gar]])*Lookups!$B$17</f>
        <v>0</v>
      </c>
      <c r="BP2625" s="6">
        <f>Grandview_Inventory[[#This Row],[Plumbing Fixtures]]*Lookups!$B$18</f>
        <v>0</v>
      </c>
      <c r="BQ2625" s="6">
        <f>Grandview_Inventory[[#This Row],[detatched_value]]*Lookups!$B$19</f>
        <v>6859.1213099999995</v>
      </c>
      <c r="BR2625" s="6">
        <f>SUM(Grandview_Inventory[[#This Row],[Intercept]:[det_value]])*Grandview_Inventory[[#This Row],[res_pct]]</f>
        <v>0</v>
      </c>
      <c r="BS2625" s="6">
        <f>Grandview_Inventory[[#This Row],[land_value]]</f>
        <v>57424.172668108389</v>
      </c>
      <c r="BT2625" s="4">
        <f>_xlfn.IFNA(VLOOKUP(Grandview_Inventory[[#This Row],[quality]],Lookups!$A$26:$C$33,3,FALSE),1)</f>
        <v>1</v>
      </c>
      <c r="BU2625" s="4">
        <f>_xlfn.IFNA(VLOOKUP(Grandview_Inventory[[#This Row],[condition]],Lookups!$A$37:$C$44,3,FALSE),1)</f>
        <v>1</v>
      </c>
      <c r="BV2625" s="4">
        <f>IF(Grandview_Inventory[[#This Row],[bldg_style]]="",1,_xlfn.IFNA(VLOOKUP(Grandview_Inventory[[#This Row],[decade]],Lookups!$F$29:$H$43,3,FALSE),1))</f>
        <v>1</v>
      </c>
      <c r="BW2625" s="4">
        <f>_xlfn.IFNA(VLOOKUP(Grandview_Inventory[[#This Row],[living_area_range]],Lookups!$F$47:$H$56,3,FALSE),1)</f>
        <v>1</v>
      </c>
      <c r="BX2625" s="4">
        <f>AVERAGE(Grandview_Inventory[[#This Row],[qual_adj]:[size_adj]])</f>
        <v>1</v>
      </c>
      <c r="BY2625" s="6">
        <f>IF(Grandview_Inventory[[#This Row],[pre_res]]&lt;0,0,Grandview_Inventory[[#This Row],[pre_res]]*Grandview_Inventory[[#This Row],[overall_adj]])</f>
        <v>0</v>
      </c>
      <c r="BZ2625" s="6">
        <f>(Grandview_Inventory[[#This Row],[sum_land]]-IF(Grandview_Inventory[[#This Row],[no_utilities]]=1,12000,0))/IF(Grandview_Inventory[[#This Row],[unbuildable]]=1,2,1)</f>
        <v>57424.172668108389</v>
      </c>
      <c r="CA2625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2625">
        <f>ROUND(Grandview_Inventory[[#This Row],[det_value]]*Lookups!$M$28,-2)</f>
        <v>6500</v>
      </c>
      <c r="CC262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5">
        <f>Grandview_Inventory[[#This Row],[final_det]]+Grandview_Inventory[[#This Row],[final_res]]</f>
        <v>6500</v>
      </c>
      <c r="CE2625">
        <f>Grandview_Inventory[[#This Row],[final_land]]+Grandview_Inventory[[#This Row],[final_imp]]+Grandview_Inventory[[#This Row],[crop_value]]</f>
        <v>61100</v>
      </c>
      <c r="CG2625" t="str">
        <f t="shared" si="40"/>
        <v>update valuation set market_land =54600, market_bldg=6500, market_total =61100, market_mdno =401, market_date ='9/10/2023' where link_id = (select link_id from parcel where parcel_year = '2024' and parcel_id = '23091433520');</v>
      </c>
    </row>
    <row r="2626" spans="1:85" x14ac:dyDescent="0.25">
      <c r="A2626">
        <v>23091433586</v>
      </c>
      <c r="B2626">
        <v>0.16</v>
      </c>
      <c r="C2626" t="s">
        <v>129</v>
      </c>
      <c r="D2626" t="s">
        <v>129</v>
      </c>
      <c r="E2626" t="s">
        <v>53</v>
      </c>
      <c r="F2626" t="s">
        <v>53</v>
      </c>
      <c r="G2626">
        <v>4</v>
      </c>
      <c r="H2626" t="s">
        <v>54</v>
      </c>
      <c r="I2626">
        <v>0</v>
      </c>
      <c r="J2626">
        <v>32100</v>
      </c>
      <c r="K2626">
        <v>0.16</v>
      </c>
      <c r="L2626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626">
        <v>0</v>
      </c>
      <c r="N2626">
        <v>0</v>
      </c>
      <c r="O2626">
        <v>0</v>
      </c>
      <c r="P2626">
        <v>13398.7528</v>
      </c>
      <c r="Q2626">
        <v>63903</v>
      </c>
      <c r="R2626">
        <f>(Grandview_Inventory[[#This Row],[ln_acres]]*Grandview_Inventory[[#This Row],[coeff]])+Grandview_Inventory[[#This Row],[const]]</f>
        <v>39348.693981374228</v>
      </c>
      <c r="AY2626">
        <v>0</v>
      </c>
      <c r="AZ2626">
        <v>0</v>
      </c>
      <c r="BE2626">
        <v>0</v>
      </c>
      <c r="BF2626">
        <v>15000</v>
      </c>
      <c r="BG2626">
        <v>0</v>
      </c>
      <c r="BH2626" s="6">
        <f>Grandview_Inventory[[#This Row],[land_extract]]*Lookups!$B$3</f>
        <v>45695.532079096141</v>
      </c>
      <c r="BI2626" s="6">
        <f>IF(Grandview_Inventory[[#This Row],[bldg_style]]="",0,Lookups!$B$2)</f>
        <v>0</v>
      </c>
      <c r="BJ2626" s="6">
        <f>_xlfn.IFNA(VLOOKUP(Grandview_Inventory[[#This Row],[quality]],Lookups!$H$2:$J$14,3,FALSE),0)</f>
        <v>0</v>
      </c>
      <c r="BK2626" s="6">
        <f>_xlfn.IFNA(VLOOKUP(Grandview_Inventory[[#This Row],[condition]],Lookups!$H$17:$J$24,3,FALSE),0)</f>
        <v>0</v>
      </c>
      <c r="BL2626" s="6">
        <f>Grandview_Inventory[[#This Row],[Eff_Age]]*Lookups!$B$14</f>
        <v>0</v>
      </c>
      <c r="BM2626" s="6">
        <f>Grandview_Inventory[[#This Row],[living_area]]*Lookups!$B$15</f>
        <v>0</v>
      </c>
      <c r="BN2626" s="6">
        <f>Grandview_Inventory[[#This Row],[Fin BSMT]]*Lookups!$B$16</f>
        <v>0</v>
      </c>
      <c r="BO2626" s="6">
        <f>(Grandview_Inventory[[#This Row],[att_gar]]+Grandview_Inventory[[#This Row],[bltin_gar]])*Lookups!$B$17</f>
        <v>0</v>
      </c>
      <c r="BP2626" s="6">
        <f>Grandview_Inventory[[#This Row],[Plumbing Fixtures]]*Lookups!$B$18</f>
        <v>0</v>
      </c>
      <c r="BQ2626" s="6">
        <f>Grandview_Inventory[[#This Row],[detatched_value]]*Lookups!$B$19</f>
        <v>0</v>
      </c>
      <c r="BR2626" s="6">
        <f>SUM(Grandview_Inventory[[#This Row],[Intercept]:[det_value]])*Grandview_Inventory[[#This Row],[res_pct]]</f>
        <v>0</v>
      </c>
      <c r="BS2626" s="6">
        <f>Grandview_Inventory[[#This Row],[land_value]]</f>
        <v>45695.532079096141</v>
      </c>
      <c r="BT2626" s="4">
        <f>_xlfn.IFNA(VLOOKUP(Grandview_Inventory[[#This Row],[quality]],Lookups!$A$26:$C$33,3,FALSE),1)</f>
        <v>1</v>
      </c>
      <c r="BU2626" s="4">
        <f>_xlfn.IFNA(VLOOKUP(Grandview_Inventory[[#This Row],[condition]],Lookups!$A$37:$C$44,3,FALSE),1)</f>
        <v>1</v>
      </c>
      <c r="BV2626" s="4">
        <f>IF(Grandview_Inventory[[#This Row],[bldg_style]]="",1,_xlfn.IFNA(VLOOKUP(Grandview_Inventory[[#This Row],[decade]],Lookups!$F$29:$H$43,3,FALSE),1))</f>
        <v>1</v>
      </c>
      <c r="BW2626" s="4">
        <f>_xlfn.IFNA(VLOOKUP(Grandview_Inventory[[#This Row],[living_area_range]],Lookups!$F$47:$H$56,3,FALSE),1)</f>
        <v>1</v>
      </c>
      <c r="BX2626" s="4">
        <f>AVERAGE(Grandview_Inventory[[#This Row],[qual_adj]:[size_adj]])</f>
        <v>1</v>
      </c>
      <c r="BY2626" s="6">
        <f>IF(Grandview_Inventory[[#This Row],[pre_res]]&lt;0,0,Grandview_Inventory[[#This Row],[pre_res]]*Grandview_Inventory[[#This Row],[overall_adj]])</f>
        <v>0</v>
      </c>
      <c r="BZ2626" s="6">
        <f>(Grandview_Inventory[[#This Row],[sum_land]]-IF(Grandview_Inventory[[#This Row],[no_utilities]]=1,12000,0))/IF(Grandview_Inventory[[#This Row],[unbuildable]]=1,2,1)</f>
        <v>45695.532079096141</v>
      </c>
      <c r="CA2626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626">
        <f>ROUND(Grandview_Inventory[[#This Row],[det_value]]*Lookups!$M$28,-2)</f>
        <v>0</v>
      </c>
      <c r="CC262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6">
        <f>Grandview_Inventory[[#This Row],[final_det]]+Grandview_Inventory[[#This Row],[final_res]]</f>
        <v>0</v>
      </c>
      <c r="CE2626">
        <f>Grandview_Inventory[[#This Row],[final_land]]+Grandview_Inventory[[#This Row],[final_imp]]+Grandview_Inventory[[#This Row],[crop_value]]</f>
        <v>43400</v>
      </c>
      <c r="CG2626" t="str">
        <f t="shared" si="40"/>
        <v>update valuation set market_land =43400, market_bldg=0, market_total =43400, market_mdno =401, market_date ='9/10/2023' where link_id = (select link_id from parcel where parcel_year = '2024' and parcel_id = '23091433586');</v>
      </c>
    </row>
    <row r="2627" spans="1:85" x14ac:dyDescent="0.25">
      <c r="A2627">
        <v>23091433608</v>
      </c>
      <c r="B2627">
        <v>0.26</v>
      </c>
      <c r="C2627">
        <v>11152</v>
      </c>
      <c r="D2627" t="s">
        <v>129</v>
      </c>
      <c r="E2627" t="s">
        <v>53</v>
      </c>
      <c r="F2627" t="s">
        <v>53</v>
      </c>
      <c r="G2627">
        <v>4</v>
      </c>
      <c r="H2627" t="s">
        <v>54</v>
      </c>
      <c r="I2627">
        <v>0</v>
      </c>
      <c r="J2627">
        <v>12400</v>
      </c>
      <c r="K2627">
        <v>0.26</v>
      </c>
      <c r="L2627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627">
        <v>0</v>
      </c>
      <c r="N2627">
        <v>0</v>
      </c>
      <c r="O2627">
        <v>1</v>
      </c>
      <c r="P2627">
        <v>13398.7528</v>
      </c>
      <c r="Q2627">
        <v>63903</v>
      </c>
      <c r="R2627">
        <f>(Grandview_Inventory[[#This Row],[ln_acres]]*Grandview_Inventory[[#This Row],[coeff]])+Grandview_Inventory[[#This Row],[const]]</f>
        <v>45853.893187501177</v>
      </c>
      <c r="AY2627">
        <v>0</v>
      </c>
      <c r="AZ2627">
        <v>0</v>
      </c>
      <c r="BE2627">
        <v>0</v>
      </c>
      <c r="BF2627">
        <v>3000</v>
      </c>
      <c r="BG2627">
        <v>0</v>
      </c>
      <c r="BH2627" s="6">
        <f>Grandview_Inventory[[#This Row],[land_extract]]*Lookups!$B$3</f>
        <v>53250.00235313351</v>
      </c>
      <c r="BI2627" s="6">
        <f>IF(Grandview_Inventory[[#This Row],[bldg_style]]="",0,Lookups!$B$2)</f>
        <v>0</v>
      </c>
      <c r="BJ2627" s="6">
        <f>_xlfn.IFNA(VLOOKUP(Grandview_Inventory[[#This Row],[quality]],Lookups!$H$2:$J$14,3,FALSE),0)</f>
        <v>0</v>
      </c>
      <c r="BK2627" s="6">
        <f>_xlfn.IFNA(VLOOKUP(Grandview_Inventory[[#This Row],[condition]],Lookups!$H$17:$J$24,3,FALSE),0)</f>
        <v>0</v>
      </c>
      <c r="BL2627" s="6">
        <f>Grandview_Inventory[[#This Row],[Eff_Age]]*Lookups!$B$14</f>
        <v>0</v>
      </c>
      <c r="BM2627" s="6">
        <f>Grandview_Inventory[[#This Row],[living_area]]*Lookups!$B$15</f>
        <v>0</v>
      </c>
      <c r="BN2627" s="6">
        <f>Grandview_Inventory[[#This Row],[Fin BSMT]]*Lookups!$B$16</f>
        <v>0</v>
      </c>
      <c r="BO2627" s="6">
        <f>(Grandview_Inventory[[#This Row],[att_gar]]+Grandview_Inventory[[#This Row],[bltin_gar]])*Lookups!$B$17</f>
        <v>0</v>
      </c>
      <c r="BP2627" s="6">
        <f>Grandview_Inventory[[#This Row],[Plumbing Fixtures]]*Lookups!$B$18</f>
        <v>0</v>
      </c>
      <c r="BQ2627" s="6">
        <f>Grandview_Inventory[[#This Row],[detatched_value]]*Lookups!$B$19</f>
        <v>0</v>
      </c>
      <c r="BR2627" s="6">
        <f>SUM(Grandview_Inventory[[#This Row],[Intercept]:[det_value]])*Grandview_Inventory[[#This Row],[res_pct]]</f>
        <v>0</v>
      </c>
      <c r="BS2627" s="6">
        <f>Grandview_Inventory[[#This Row],[land_value]]</f>
        <v>53250.00235313351</v>
      </c>
      <c r="BT2627" s="4">
        <f>_xlfn.IFNA(VLOOKUP(Grandview_Inventory[[#This Row],[quality]],Lookups!$A$26:$C$33,3,FALSE),1)</f>
        <v>1</v>
      </c>
      <c r="BU2627" s="4">
        <f>_xlfn.IFNA(VLOOKUP(Grandview_Inventory[[#This Row],[condition]],Lookups!$A$37:$C$44,3,FALSE),1)</f>
        <v>1</v>
      </c>
      <c r="BV2627" s="4">
        <f>IF(Grandview_Inventory[[#This Row],[bldg_style]]="",1,_xlfn.IFNA(VLOOKUP(Grandview_Inventory[[#This Row],[decade]],Lookups!$F$29:$H$43,3,FALSE),1))</f>
        <v>1</v>
      </c>
      <c r="BW2627" s="4">
        <f>_xlfn.IFNA(VLOOKUP(Grandview_Inventory[[#This Row],[living_area_range]],Lookups!$F$47:$H$56,3,FALSE),1)</f>
        <v>1</v>
      </c>
      <c r="BX2627" s="4">
        <f>AVERAGE(Grandview_Inventory[[#This Row],[qual_adj]:[size_adj]])</f>
        <v>1</v>
      </c>
      <c r="BY2627" s="6">
        <f>IF(Grandview_Inventory[[#This Row],[pre_res]]&lt;0,0,Grandview_Inventory[[#This Row],[pre_res]]*Grandview_Inventory[[#This Row],[overall_adj]])</f>
        <v>0</v>
      </c>
      <c r="BZ2627" s="6">
        <f>(Grandview_Inventory[[#This Row],[sum_land]]-IF(Grandview_Inventory[[#This Row],[no_utilities]]=1,12000,0))/IF(Grandview_Inventory[[#This Row],[unbuildable]]=1,2,1)</f>
        <v>41250.00235313351</v>
      </c>
      <c r="CA2627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627">
        <f>ROUND(Grandview_Inventory[[#This Row],[det_value]]*Lookups!$M$28,-2)</f>
        <v>0</v>
      </c>
      <c r="CC262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7">
        <f>Grandview_Inventory[[#This Row],[final_det]]+Grandview_Inventory[[#This Row],[final_res]]</f>
        <v>0</v>
      </c>
      <c r="CE2627">
        <f>Grandview_Inventory[[#This Row],[final_land]]+Grandview_Inventory[[#This Row],[final_imp]]+Grandview_Inventory[[#This Row],[crop_value]]</f>
        <v>39200</v>
      </c>
      <c r="CG2627" t="str">
        <f t="shared" ref="CG2627:CG2690" si="41">"update valuation set market_land ="&amp;CA2627&amp;", market_bldg="&amp;CD2627&amp;", market_total ="&amp;CE2627&amp;", market_mdno ="&amp;$CG$1&amp;", market_date ='"&amp;TEXT($CH$1,"m/d/yyyy")&amp;"' where link_id = (select link_id from parcel where parcel_year = '2024' and parcel_id = '"&amp;A2627&amp;"');"</f>
        <v>update valuation set market_land =39200, market_bldg=0, market_total =39200, market_mdno =401, market_date ='9/10/2023' where link_id = (select link_id from parcel where parcel_year = '2024' and parcel_id = '23091433608');</v>
      </c>
    </row>
    <row r="2628" spans="1:85" x14ac:dyDescent="0.25">
      <c r="A2628">
        <v>23091434418</v>
      </c>
      <c r="B2628">
        <v>0.22</v>
      </c>
      <c r="C2628">
        <v>9620</v>
      </c>
      <c r="D2628" t="s">
        <v>129</v>
      </c>
      <c r="E2628" t="s">
        <v>53</v>
      </c>
      <c r="F2628" t="s">
        <v>53</v>
      </c>
      <c r="G2628">
        <v>4</v>
      </c>
      <c r="H2628" t="s">
        <v>54</v>
      </c>
      <c r="I2628">
        <v>0</v>
      </c>
      <c r="J2628">
        <v>32800</v>
      </c>
      <c r="K2628">
        <v>0.22</v>
      </c>
      <c r="L2628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628">
        <v>0</v>
      </c>
      <c r="N2628">
        <v>0</v>
      </c>
      <c r="O2628">
        <v>0</v>
      </c>
      <c r="P2628">
        <v>13398.7528</v>
      </c>
      <c r="Q2628">
        <v>63903</v>
      </c>
      <c r="R2628">
        <f>(Grandview_Inventory[[#This Row],[ln_acres]]*Grandview_Inventory[[#This Row],[coeff]])+Grandview_Inventory[[#This Row],[const]]</f>
        <v>43615.576802869145</v>
      </c>
      <c r="AY2628">
        <v>0</v>
      </c>
      <c r="AZ2628">
        <v>0</v>
      </c>
      <c r="BE2628">
        <v>0</v>
      </c>
      <c r="BF2628">
        <v>15000</v>
      </c>
      <c r="BG2628">
        <v>0</v>
      </c>
      <c r="BH2628" s="6">
        <f>Grandview_Inventory[[#This Row],[land_extract]]*Lookups!$B$3</f>
        <v>50650.651579114572</v>
      </c>
      <c r="BI2628" s="6">
        <f>IF(Grandview_Inventory[[#This Row],[bldg_style]]="",0,Lookups!$B$2)</f>
        <v>0</v>
      </c>
      <c r="BJ2628" s="6">
        <f>_xlfn.IFNA(VLOOKUP(Grandview_Inventory[[#This Row],[quality]],Lookups!$H$2:$J$14,3,FALSE),0)</f>
        <v>0</v>
      </c>
      <c r="BK2628" s="6">
        <f>_xlfn.IFNA(VLOOKUP(Grandview_Inventory[[#This Row],[condition]],Lookups!$H$17:$J$24,3,FALSE),0)</f>
        <v>0</v>
      </c>
      <c r="BL2628" s="6">
        <f>Grandview_Inventory[[#This Row],[Eff_Age]]*Lookups!$B$14</f>
        <v>0</v>
      </c>
      <c r="BM2628" s="6">
        <f>Grandview_Inventory[[#This Row],[living_area]]*Lookups!$B$15</f>
        <v>0</v>
      </c>
      <c r="BN2628" s="6">
        <f>Grandview_Inventory[[#This Row],[Fin BSMT]]*Lookups!$B$16</f>
        <v>0</v>
      </c>
      <c r="BO2628" s="6">
        <f>(Grandview_Inventory[[#This Row],[att_gar]]+Grandview_Inventory[[#This Row],[bltin_gar]])*Lookups!$B$17</f>
        <v>0</v>
      </c>
      <c r="BP2628" s="6">
        <f>Grandview_Inventory[[#This Row],[Plumbing Fixtures]]*Lookups!$B$18</f>
        <v>0</v>
      </c>
      <c r="BQ2628" s="6">
        <f>Grandview_Inventory[[#This Row],[detatched_value]]*Lookups!$B$19</f>
        <v>0</v>
      </c>
      <c r="BR2628" s="6">
        <f>SUM(Grandview_Inventory[[#This Row],[Intercept]:[det_value]])*Grandview_Inventory[[#This Row],[res_pct]]</f>
        <v>0</v>
      </c>
      <c r="BS2628" s="6">
        <f>Grandview_Inventory[[#This Row],[land_value]]</f>
        <v>50650.651579114572</v>
      </c>
      <c r="BT2628" s="4">
        <f>_xlfn.IFNA(VLOOKUP(Grandview_Inventory[[#This Row],[quality]],Lookups!$A$26:$C$33,3,FALSE),1)</f>
        <v>1</v>
      </c>
      <c r="BU2628" s="4">
        <f>_xlfn.IFNA(VLOOKUP(Grandview_Inventory[[#This Row],[condition]],Lookups!$A$37:$C$44,3,FALSE),1)</f>
        <v>1</v>
      </c>
      <c r="BV2628" s="4">
        <f>IF(Grandview_Inventory[[#This Row],[bldg_style]]="",1,_xlfn.IFNA(VLOOKUP(Grandview_Inventory[[#This Row],[decade]],Lookups!$F$29:$H$43,3,FALSE),1))</f>
        <v>1</v>
      </c>
      <c r="BW2628" s="4">
        <f>_xlfn.IFNA(VLOOKUP(Grandview_Inventory[[#This Row],[living_area_range]],Lookups!$F$47:$H$56,3,FALSE),1)</f>
        <v>1</v>
      </c>
      <c r="BX2628" s="4">
        <f>AVERAGE(Grandview_Inventory[[#This Row],[qual_adj]:[size_adj]])</f>
        <v>1</v>
      </c>
      <c r="BY2628" s="6">
        <f>IF(Grandview_Inventory[[#This Row],[pre_res]]&lt;0,0,Grandview_Inventory[[#This Row],[pre_res]]*Grandview_Inventory[[#This Row],[overall_adj]])</f>
        <v>0</v>
      </c>
      <c r="BZ2628" s="6">
        <f>(Grandview_Inventory[[#This Row],[sum_land]]-IF(Grandview_Inventory[[#This Row],[no_utilities]]=1,12000,0))/IF(Grandview_Inventory[[#This Row],[unbuildable]]=1,2,1)</f>
        <v>50650.651579114572</v>
      </c>
      <c r="CA2628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628">
        <f>ROUND(Grandview_Inventory[[#This Row],[det_value]]*Lookups!$M$28,-2)</f>
        <v>0</v>
      </c>
      <c r="CC262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8">
        <f>Grandview_Inventory[[#This Row],[final_det]]+Grandview_Inventory[[#This Row],[final_res]]</f>
        <v>0</v>
      </c>
      <c r="CE2628">
        <f>Grandview_Inventory[[#This Row],[final_land]]+Grandview_Inventory[[#This Row],[final_imp]]+Grandview_Inventory[[#This Row],[crop_value]]</f>
        <v>48100</v>
      </c>
      <c r="CG2628" t="str">
        <f t="shared" si="41"/>
        <v>update valuation set market_land =48100, market_bldg=0, market_total =48100, market_mdno =401, market_date ='9/10/2023' where link_id = (select link_id from parcel where parcel_year = '2024' and parcel_id = '23091434418');</v>
      </c>
    </row>
    <row r="2629" spans="1:85" x14ac:dyDescent="0.25">
      <c r="A2629">
        <v>23091441002</v>
      </c>
      <c r="B2629">
        <v>16.510000000000002</v>
      </c>
      <c r="C2629">
        <v>719354</v>
      </c>
      <c r="D2629" t="s">
        <v>129</v>
      </c>
      <c r="E2629" t="s">
        <v>53</v>
      </c>
      <c r="F2629" t="s">
        <v>53</v>
      </c>
      <c r="G2629">
        <v>4</v>
      </c>
      <c r="H2629" t="s">
        <v>54</v>
      </c>
      <c r="I2629">
        <v>0</v>
      </c>
      <c r="J2629">
        <v>94100</v>
      </c>
      <c r="K2629">
        <v>16.510000000000002</v>
      </c>
      <c r="L2629">
        <f>IF(Grandview_Inventory[[#This Row],[parcel_acres]]-Grandview_Inventory[[#This Row],[non_valued_acres]] =0,0,LN(Grandview_Inventory[[#This Row],[parcel_acres]]-Grandview_Inventory[[#This Row],[non_valued_acres]]))</f>
        <v>2.8039662579320366</v>
      </c>
      <c r="M2629">
        <v>0</v>
      </c>
      <c r="N2629">
        <v>0</v>
      </c>
      <c r="O2629">
        <v>0</v>
      </c>
      <c r="P2629">
        <v>13398.7528</v>
      </c>
      <c r="Q2629">
        <v>63903</v>
      </c>
      <c r="R2629">
        <f>(Grandview_Inventory[[#This Row],[ln_acres]]*Grandview_Inventory[[#This Row],[coeff]])+Grandview_Inventory[[#This Row],[const]]</f>
        <v>101472.65074957241</v>
      </c>
      <c r="AY2629">
        <v>0</v>
      </c>
      <c r="AZ2629">
        <v>0</v>
      </c>
      <c r="BE2629">
        <v>0</v>
      </c>
      <c r="BF2629">
        <v>15000</v>
      </c>
      <c r="BG2629">
        <v>0</v>
      </c>
      <c r="BH2629" s="6">
        <f>Grandview_Inventory[[#This Row],[land_extract]]*Lookups!$B$3</f>
        <v>117839.91533932141</v>
      </c>
      <c r="BI2629" s="6">
        <f>IF(Grandview_Inventory[[#This Row],[bldg_style]]="",0,Lookups!$B$2)</f>
        <v>0</v>
      </c>
      <c r="BJ2629" s="6">
        <f>_xlfn.IFNA(VLOOKUP(Grandview_Inventory[[#This Row],[quality]],Lookups!$H$2:$J$14,3,FALSE),0)</f>
        <v>0</v>
      </c>
      <c r="BK2629" s="6">
        <f>_xlfn.IFNA(VLOOKUP(Grandview_Inventory[[#This Row],[condition]],Lookups!$H$17:$J$24,3,FALSE),0)</f>
        <v>0</v>
      </c>
      <c r="BL2629" s="6">
        <f>Grandview_Inventory[[#This Row],[Eff_Age]]*Lookups!$B$14</f>
        <v>0</v>
      </c>
      <c r="BM2629" s="6">
        <f>Grandview_Inventory[[#This Row],[living_area]]*Lookups!$B$15</f>
        <v>0</v>
      </c>
      <c r="BN2629" s="6">
        <f>Grandview_Inventory[[#This Row],[Fin BSMT]]*Lookups!$B$16</f>
        <v>0</v>
      </c>
      <c r="BO2629" s="6">
        <f>(Grandview_Inventory[[#This Row],[att_gar]]+Grandview_Inventory[[#This Row],[bltin_gar]])*Lookups!$B$17</f>
        <v>0</v>
      </c>
      <c r="BP2629" s="6">
        <f>Grandview_Inventory[[#This Row],[Plumbing Fixtures]]*Lookups!$B$18</f>
        <v>0</v>
      </c>
      <c r="BQ2629" s="6">
        <f>Grandview_Inventory[[#This Row],[detatched_value]]*Lookups!$B$19</f>
        <v>0</v>
      </c>
      <c r="BR2629" s="6">
        <f>SUM(Grandview_Inventory[[#This Row],[Intercept]:[det_value]])*Grandview_Inventory[[#This Row],[res_pct]]</f>
        <v>0</v>
      </c>
      <c r="BS2629" s="6">
        <f>Grandview_Inventory[[#This Row],[land_value]]</f>
        <v>117839.91533932141</v>
      </c>
      <c r="BT2629" s="4">
        <f>_xlfn.IFNA(VLOOKUP(Grandview_Inventory[[#This Row],[quality]],Lookups!$A$26:$C$33,3,FALSE),1)</f>
        <v>1</v>
      </c>
      <c r="BU2629" s="4">
        <f>_xlfn.IFNA(VLOOKUP(Grandview_Inventory[[#This Row],[condition]],Lookups!$A$37:$C$44,3,FALSE),1)</f>
        <v>1</v>
      </c>
      <c r="BV2629" s="4">
        <f>IF(Grandview_Inventory[[#This Row],[bldg_style]]="",1,_xlfn.IFNA(VLOOKUP(Grandview_Inventory[[#This Row],[decade]],Lookups!$F$29:$H$43,3,FALSE),1))</f>
        <v>1</v>
      </c>
      <c r="BW2629" s="4">
        <f>_xlfn.IFNA(VLOOKUP(Grandview_Inventory[[#This Row],[living_area_range]],Lookups!$F$47:$H$56,3,FALSE),1)</f>
        <v>1</v>
      </c>
      <c r="BX2629" s="4">
        <f>AVERAGE(Grandview_Inventory[[#This Row],[qual_adj]:[size_adj]])</f>
        <v>1</v>
      </c>
      <c r="BY2629" s="6">
        <f>IF(Grandview_Inventory[[#This Row],[pre_res]]&lt;0,0,Grandview_Inventory[[#This Row],[pre_res]]*Grandview_Inventory[[#This Row],[overall_adj]])</f>
        <v>0</v>
      </c>
      <c r="BZ2629" s="6">
        <f>(Grandview_Inventory[[#This Row],[sum_land]]-IF(Grandview_Inventory[[#This Row],[no_utilities]]=1,12000,0))/IF(Grandview_Inventory[[#This Row],[unbuildable]]=1,2,1)</f>
        <v>117839.91533932141</v>
      </c>
      <c r="CA2629">
        <f>IF(ROUND(Grandview_Inventory[[#This Row],[adj_land]]*Lookups!$M$28,-2)&lt;Grandview_Inventory[[#This Row],[min_land]],Grandview_Inventory[[#This Row],[min_land]],ROUND(Grandview_Inventory[[#This Row],[adj_land]]*Lookups!$M$28,-2))</f>
        <v>111900</v>
      </c>
      <c r="CB2629">
        <f>ROUND(Grandview_Inventory[[#This Row],[det_value]]*Lookups!$M$28,-2)</f>
        <v>0</v>
      </c>
      <c r="CC262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29">
        <f>Grandview_Inventory[[#This Row],[final_det]]+Grandview_Inventory[[#This Row],[final_res]]</f>
        <v>0</v>
      </c>
      <c r="CE2629">
        <f>Grandview_Inventory[[#This Row],[final_land]]+Grandview_Inventory[[#This Row],[final_imp]]+Grandview_Inventory[[#This Row],[crop_value]]</f>
        <v>111900</v>
      </c>
      <c r="CG2629" t="str">
        <f t="shared" si="41"/>
        <v>update valuation set market_land =111900, market_bldg=0, market_total =111900, market_mdno =401, market_date ='9/10/2023' where link_id = (select link_id from parcel where parcel_year = '2024' and parcel_id = '23091441002');</v>
      </c>
    </row>
    <row r="2630" spans="1:85" x14ac:dyDescent="0.25">
      <c r="A2630">
        <v>23091441005</v>
      </c>
      <c r="B2630">
        <v>9.2200000000000006</v>
      </c>
      <c r="C2630">
        <v>401675</v>
      </c>
      <c r="D2630" t="s">
        <v>129</v>
      </c>
      <c r="E2630" t="s">
        <v>53</v>
      </c>
      <c r="F2630" t="s">
        <v>53</v>
      </c>
      <c r="G2630">
        <v>4</v>
      </c>
      <c r="H2630" t="s">
        <v>54</v>
      </c>
      <c r="I2630">
        <v>0</v>
      </c>
      <c r="J2630">
        <v>63600</v>
      </c>
      <c r="K2630">
        <v>9.2200000000000006</v>
      </c>
      <c r="L2630">
        <f>IF(Grandview_Inventory[[#This Row],[parcel_acres]]-Grandview_Inventory[[#This Row],[non_valued_acres]] =0,0,LN(Grandview_Inventory[[#This Row],[parcel_acres]]-Grandview_Inventory[[#This Row],[non_valued_acres]]))</f>
        <v>2.2213750375685026</v>
      </c>
      <c r="M2630">
        <v>0</v>
      </c>
      <c r="N2630">
        <v>0</v>
      </c>
      <c r="O2630">
        <v>0</v>
      </c>
      <c r="P2630">
        <v>13398.7528</v>
      </c>
      <c r="Q2630">
        <v>63903</v>
      </c>
      <c r="R2630">
        <f>(Grandview_Inventory[[#This Row],[ln_acres]]*Grandview_Inventory[[#This Row],[coeff]])+Grandview_Inventory[[#This Row],[const]]</f>
        <v>93666.655004471075</v>
      </c>
      <c r="AY2630">
        <v>0</v>
      </c>
      <c r="AZ2630">
        <v>0</v>
      </c>
      <c r="BE2630">
        <v>0</v>
      </c>
      <c r="BF2630">
        <v>15000</v>
      </c>
      <c r="BG2630">
        <v>0</v>
      </c>
      <c r="BH2630" s="6">
        <f>Grandview_Inventory[[#This Row],[land_extract]]*Lookups!$B$3</f>
        <v>108774.83355672375</v>
      </c>
      <c r="BI2630" s="6">
        <f>IF(Grandview_Inventory[[#This Row],[bldg_style]]="",0,Lookups!$B$2)</f>
        <v>0</v>
      </c>
      <c r="BJ2630" s="6">
        <f>_xlfn.IFNA(VLOOKUP(Grandview_Inventory[[#This Row],[quality]],Lookups!$H$2:$J$14,3,FALSE),0)</f>
        <v>0</v>
      </c>
      <c r="BK2630" s="6">
        <f>_xlfn.IFNA(VLOOKUP(Grandview_Inventory[[#This Row],[condition]],Lookups!$H$17:$J$24,3,FALSE),0)</f>
        <v>0</v>
      </c>
      <c r="BL2630" s="6">
        <f>Grandview_Inventory[[#This Row],[Eff_Age]]*Lookups!$B$14</f>
        <v>0</v>
      </c>
      <c r="BM2630" s="6">
        <f>Grandview_Inventory[[#This Row],[living_area]]*Lookups!$B$15</f>
        <v>0</v>
      </c>
      <c r="BN2630" s="6">
        <f>Grandview_Inventory[[#This Row],[Fin BSMT]]*Lookups!$B$16</f>
        <v>0</v>
      </c>
      <c r="BO2630" s="6">
        <f>(Grandview_Inventory[[#This Row],[att_gar]]+Grandview_Inventory[[#This Row],[bltin_gar]])*Lookups!$B$17</f>
        <v>0</v>
      </c>
      <c r="BP2630" s="6">
        <f>Grandview_Inventory[[#This Row],[Plumbing Fixtures]]*Lookups!$B$18</f>
        <v>0</v>
      </c>
      <c r="BQ2630" s="6">
        <f>Grandview_Inventory[[#This Row],[detatched_value]]*Lookups!$B$19</f>
        <v>0</v>
      </c>
      <c r="BR2630" s="6">
        <f>SUM(Grandview_Inventory[[#This Row],[Intercept]:[det_value]])*Grandview_Inventory[[#This Row],[res_pct]]</f>
        <v>0</v>
      </c>
      <c r="BS2630" s="6">
        <f>Grandview_Inventory[[#This Row],[land_value]]</f>
        <v>108774.83355672375</v>
      </c>
      <c r="BT2630" s="4">
        <f>_xlfn.IFNA(VLOOKUP(Grandview_Inventory[[#This Row],[quality]],Lookups!$A$26:$C$33,3,FALSE),1)</f>
        <v>1</v>
      </c>
      <c r="BU2630" s="4">
        <f>_xlfn.IFNA(VLOOKUP(Grandview_Inventory[[#This Row],[condition]],Lookups!$A$37:$C$44,3,FALSE),1)</f>
        <v>1</v>
      </c>
      <c r="BV2630" s="4">
        <f>IF(Grandview_Inventory[[#This Row],[bldg_style]]="",1,_xlfn.IFNA(VLOOKUP(Grandview_Inventory[[#This Row],[decade]],Lookups!$F$29:$H$43,3,FALSE),1))</f>
        <v>1</v>
      </c>
      <c r="BW2630" s="4">
        <f>_xlfn.IFNA(VLOOKUP(Grandview_Inventory[[#This Row],[living_area_range]],Lookups!$F$47:$H$56,3,FALSE),1)</f>
        <v>1</v>
      </c>
      <c r="BX2630" s="4">
        <f>AVERAGE(Grandview_Inventory[[#This Row],[qual_adj]:[size_adj]])</f>
        <v>1</v>
      </c>
      <c r="BY2630" s="6">
        <f>IF(Grandview_Inventory[[#This Row],[pre_res]]&lt;0,0,Grandview_Inventory[[#This Row],[pre_res]]*Grandview_Inventory[[#This Row],[overall_adj]])</f>
        <v>0</v>
      </c>
      <c r="BZ2630" s="6">
        <f>(Grandview_Inventory[[#This Row],[sum_land]]-IF(Grandview_Inventory[[#This Row],[no_utilities]]=1,12000,0))/IF(Grandview_Inventory[[#This Row],[unbuildable]]=1,2,1)</f>
        <v>108774.83355672375</v>
      </c>
      <c r="CA2630">
        <f>IF(ROUND(Grandview_Inventory[[#This Row],[adj_land]]*Lookups!$M$28,-2)&lt;Grandview_Inventory[[#This Row],[min_land]],Grandview_Inventory[[#This Row],[min_land]],ROUND(Grandview_Inventory[[#This Row],[adj_land]]*Lookups!$M$28,-2))</f>
        <v>103300</v>
      </c>
      <c r="CB2630">
        <f>ROUND(Grandview_Inventory[[#This Row],[det_value]]*Lookups!$M$28,-2)</f>
        <v>0</v>
      </c>
      <c r="CC263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0">
        <f>Grandview_Inventory[[#This Row],[final_det]]+Grandview_Inventory[[#This Row],[final_res]]</f>
        <v>0</v>
      </c>
      <c r="CE2630">
        <f>Grandview_Inventory[[#This Row],[final_land]]+Grandview_Inventory[[#This Row],[final_imp]]+Grandview_Inventory[[#This Row],[crop_value]]</f>
        <v>103300</v>
      </c>
      <c r="CG2630" t="str">
        <f t="shared" si="41"/>
        <v>update valuation set market_land =103300, market_bldg=0, market_total =103300, market_mdno =401, market_date ='9/10/2023' where link_id = (select link_id from parcel where parcel_year = '2024' and parcel_id = '23091441005');</v>
      </c>
    </row>
    <row r="2631" spans="1:85" x14ac:dyDescent="0.25">
      <c r="A2631">
        <v>23091441007</v>
      </c>
      <c r="B2631">
        <v>2.86</v>
      </c>
      <c r="C2631">
        <v>124571</v>
      </c>
      <c r="D2631" t="s">
        <v>129</v>
      </c>
      <c r="E2631" t="s">
        <v>53</v>
      </c>
      <c r="F2631" t="s">
        <v>53</v>
      </c>
      <c r="G2631">
        <v>4</v>
      </c>
      <c r="H2631" t="s">
        <v>54</v>
      </c>
      <c r="I2631">
        <v>0</v>
      </c>
      <c r="J2631">
        <v>19700</v>
      </c>
      <c r="K2631">
        <v>2.86</v>
      </c>
      <c r="L2631">
        <f>IF(Grandview_Inventory[[#This Row],[parcel_acres]]-Grandview_Inventory[[#This Row],[non_valued_acres]] =0,0,LN(Grandview_Inventory[[#This Row],[parcel_acres]]-Grandview_Inventory[[#This Row],[non_valued_acres]]))</f>
        <v>1.0508216248317612</v>
      </c>
      <c r="M2631">
        <v>0</v>
      </c>
      <c r="N2631">
        <v>0</v>
      </c>
      <c r="O2631">
        <v>1</v>
      </c>
      <c r="P2631">
        <v>13398.7528</v>
      </c>
      <c r="Q2631">
        <v>63903</v>
      </c>
      <c r="R2631">
        <f>(Grandview_Inventory[[#This Row],[ln_acres]]*Grandview_Inventory[[#This Row],[coeff]])+Grandview_Inventory[[#This Row],[const]]</f>
        <v>77982.699188015104</v>
      </c>
      <c r="AY2631">
        <v>0</v>
      </c>
      <c r="AZ2631">
        <v>0</v>
      </c>
      <c r="BE2631">
        <v>0</v>
      </c>
      <c r="BF2631">
        <v>3000</v>
      </c>
      <c r="BG2631">
        <v>0</v>
      </c>
      <c r="BH2631" s="6">
        <f>Grandview_Inventory[[#This Row],[land_extract]]*Lookups!$B$3</f>
        <v>90561.098013754134</v>
      </c>
      <c r="BI2631" s="6">
        <f>IF(Grandview_Inventory[[#This Row],[bldg_style]]="",0,Lookups!$B$2)</f>
        <v>0</v>
      </c>
      <c r="BJ2631" s="6">
        <f>_xlfn.IFNA(VLOOKUP(Grandview_Inventory[[#This Row],[quality]],Lookups!$H$2:$J$14,3,FALSE),0)</f>
        <v>0</v>
      </c>
      <c r="BK2631" s="6">
        <f>_xlfn.IFNA(VLOOKUP(Grandview_Inventory[[#This Row],[condition]],Lookups!$H$17:$J$24,3,FALSE),0)</f>
        <v>0</v>
      </c>
      <c r="BL2631" s="6">
        <f>Grandview_Inventory[[#This Row],[Eff_Age]]*Lookups!$B$14</f>
        <v>0</v>
      </c>
      <c r="BM2631" s="6">
        <f>Grandview_Inventory[[#This Row],[living_area]]*Lookups!$B$15</f>
        <v>0</v>
      </c>
      <c r="BN2631" s="6">
        <f>Grandview_Inventory[[#This Row],[Fin BSMT]]*Lookups!$B$16</f>
        <v>0</v>
      </c>
      <c r="BO2631" s="6">
        <f>(Grandview_Inventory[[#This Row],[att_gar]]+Grandview_Inventory[[#This Row],[bltin_gar]])*Lookups!$B$17</f>
        <v>0</v>
      </c>
      <c r="BP2631" s="6">
        <f>Grandview_Inventory[[#This Row],[Plumbing Fixtures]]*Lookups!$B$18</f>
        <v>0</v>
      </c>
      <c r="BQ2631" s="6">
        <f>Grandview_Inventory[[#This Row],[detatched_value]]*Lookups!$B$19</f>
        <v>0</v>
      </c>
      <c r="BR2631" s="6">
        <f>SUM(Grandview_Inventory[[#This Row],[Intercept]:[det_value]])*Grandview_Inventory[[#This Row],[res_pct]]</f>
        <v>0</v>
      </c>
      <c r="BS2631" s="6">
        <f>Grandview_Inventory[[#This Row],[land_value]]</f>
        <v>90561.098013754134</v>
      </c>
      <c r="BT2631" s="4">
        <f>_xlfn.IFNA(VLOOKUP(Grandview_Inventory[[#This Row],[quality]],Lookups!$A$26:$C$33,3,FALSE),1)</f>
        <v>1</v>
      </c>
      <c r="BU2631" s="4">
        <f>_xlfn.IFNA(VLOOKUP(Grandview_Inventory[[#This Row],[condition]],Lookups!$A$37:$C$44,3,FALSE),1)</f>
        <v>1</v>
      </c>
      <c r="BV2631" s="4">
        <f>IF(Grandview_Inventory[[#This Row],[bldg_style]]="",1,_xlfn.IFNA(VLOOKUP(Grandview_Inventory[[#This Row],[decade]],Lookups!$F$29:$H$43,3,FALSE),1))</f>
        <v>1</v>
      </c>
      <c r="BW2631" s="4">
        <f>_xlfn.IFNA(VLOOKUP(Grandview_Inventory[[#This Row],[living_area_range]],Lookups!$F$47:$H$56,3,FALSE),1)</f>
        <v>1</v>
      </c>
      <c r="BX2631" s="4">
        <f>AVERAGE(Grandview_Inventory[[#This Row],[qual_adj]:[size_adj]])</f>
        <v>1</v>
      </c>
      <c r="BY2631" s="6">
        <f>IF(Grandview_Inventory[[#This Row],[pre_res]]&lt;0,0,Grandview_Inventory[[#This Row],[pre_res]]*Grandview_Inventory[[#This Row],[overall_adj]])</f>
        <v>0</v>
      </c>
      <c r="BZ2631" s="6">
        <f>(Grandview_Inventory[[#This Row],[sum_land]]-IF(Grandview_Inventory[[#This Row],[no_utilities]]=1,12000,0))/IF(Grandview_Inventory[[#This Row],[unbuildable]]=1,2,1)</f>
        <v>78561.098013754134</v>
      </c>
      <c r="CA2631">
        <f>IF(ROUND(Grandview_Inventory[[#This Row],[adj_land]]*Lookups!$M$28,-2)&lt;Grandview_Inventory[[#This Row],[min_land]],Grandview_Inventory[[#This Row],[min_land]],ROUND(Grandview_Inventory[[#This Row],[adj_land]]*Lookups!$M$28,-2))</f>
        <v>74600</v>
      </c>
      <c r="CB2631">
        <f>ROUND(Grandview_Inventory[[#This Row],[det_value]]*Lookups!$M$28,-2)</f>
        <v>0</v>
      </c>
      <c r="CC263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1">
        <f>Grandview_Inventory[[#This Row],[final_det]]+Grandview_Inventory[[#This Row],[final_res]]</f>
        <v>0</v>
      </c>
      <c r="CE2631">
        <f>Grandview_Inventory[[#This Row],[final_land]]+Grandview_Inventory[[#This Row],[final_imp]]+Grandview_Inventory[[#This Row],[crop_value]]</f>
        <v>74600</v>
      </c>
      <c r="CG2631" t="str">
        <f t="shared" si="41"/>
        <v>update valuation set market_land =74600, market_bldg=0, market_total =74600, market_mdno =401, market_date ='9/10/2023' where link_id = (select link_id from parcel where parcel_year = '2024' and parcel_id = '23091441007');</v>
      </c>
    </row>
    <row r="2632" spans="1:85" x14ac:dyDescent="0.25">
      <c r="A2632">
        <v>23091441008</v>
      </c>
      <c r="B2632">
        <v>3.2</v>
      </c>
      <c r="C2632">
        <v>139193</v>
      </c>
      <c r="D2632" t="s">
        <v>129</v>
      </c>
      <c r="E2632" t="s">
        <v>53</v>
      </c>
      <c r="F2632" t="s">
        <v>53</v>
      </c>
      <c r="G2632">
        <v>4</v>
      </c>
      <c r="H2632" t="s">
        <v>54</v>
      </c>
      <c r="I2632">
        <v>0</v>
      </c>
      <c r="J2632">
        <v>20100</v>
      </c>
      <c r="K2632">
        <v>3.2</v>
      </c>
      <c r="L2632">
        <f>IF(Grandview_Inventory[[#This Row],[parcel_acres]]-Grandview_Inventory[[#This Row],[non_valued_acres]] =0,0,LN(Grandview_Inventory[[#This Row],[parcel_acres]]-Grandview_Inventory[[#This Row],[non_valued_acres]]))</f>
        <v>1.1631508098056809</v>
      </c>
      <c r="M2632">
        <v>0</v>
      </c>
      <c r="N2632">
        <v>0</v>
      </c>
      <c r="O2632">
        <v>1</v>
      </c>
      <c r="P2632">
        <v>13398.7528</v>
      </c>
      <c r="Q2632">
        <v>63903</v>
      </c>
      <c r="R2632">
        <f>(Grandview_Inventory[[#This Row],[ln_acres]]*Grandview_Inventory[[#This Row],[coeff]])+Grandview_Inventory[[#This Row],[const]]</f>
        <v>79487.770169706142</v>
      </c>
      <c r="AY2632">
        <v>0</v>
      </c>
      <c r="AZ2632">
        <v>0</v>
      </c>
      <c r="BE2632">
        <v>0</v>
      </c>
      <c r="BF2632">
        <v>3000</v>
      </c>
      <c r="BG2632">
        <v>0</v>
      </c>
      <c r="BH2632" s="6">
        <f>Grandview_Inventory[[#This Row],[land_extract]]*Lookups!$B$3</f>
        <v>92308.932881100278</v>
      </c>
      <c r="BI2632" s="6">
        <f>IF(Grandview_Inventory[[#This Row],[bldg_style]]="",0,Lookups!$B$2)</f>
        <v>0</v>
      </c>
      <c r="BJ2632" s="6">
        <f>_xlfn.IFNA(VLOOKUP(Grandview_Inventory[[#This Row],[quality]],Lookups!$H$2:$J$14,3,FALSE),0)</f>
        <v>0</v>
      </c>
      <c r="BK2632" s="6">
        <f>_xlfn.IFNA(VLOOKUP(Grandview_Inventory[[#This Row],[condition]],Lookups!$H$17:$J$24,3,FALSE),0)</f>
        <v>0</v>
      </c>
      <c r="BL2632" s="6">
        <f>Grandview_Inventory[[#This Row],[Eff_Age]]*Lookups!$B$14</f>
        <v>0</v>
      </c>
      <c r="BM2632" s="6">
        <f>Grandview_Inventory[[#This Row],[living_area]]*Lookups!$B$15</f>
        <v>0</v>
      </c>
      <c r="BN2632" s="6">
        <f>Grandview_Inventory[[#This Row],[Fin BSMT]]*Lookups!$B$16</f>
        <v>0</v>
      </c>
      <c r="BO2632" s="6">
        <f>(Grandview_Inventory[[#This Row],[att_gar]]+Grandview_Inventory[[#This Row],[bltin_gar]])*Lookups!$B$17</f>
        <v>0</v>
      </c>
      <c r="BP2632" s="6">
        <f>Grandview_Inventory[[#This Row],[Plumbing Fixtures]]*Lookups!$B$18</f>
        <v>0</v>
      </c>
      <c r="BQ2632" s="6">
        <f>Grandview_Inventory[[#This Row],[detatched_value]]*Lookups!$B$19</f>
        <v>0</v>
      </c>
      <c r="BR2632" s="6">
        <f>SUM(Grandview_Inventory[[#This Row],[Intercept]:[det_value]])*Grandview_Inventory[[#This Row],[res_pct]]</f>
        <v>0</v>
      </c>
      <c r="BS2632" s="6">
        <f>Grandview_Inventory[[#This Row],[land_value]]</f>
        <v>92308.932881100278</v>
      </c>
      <c r="BT2632" s="4">
        <f>_xlfn.IFNA(VLOOKUP(Grandview_Inventory[[#This Row],[quality]],Lookups!$A$26:$C$33,3,FALSE),1)</f>
        <v>1</v>
      </c>
      <c r="BU2632" s="4">
        <f>_xlfn.IFNA(VLOOKUP(Grandview_Inventory[[#This Row],[condition]],Lookups!$A$37:$C$44,3,FALSE),1)</f>
        <v>1</v>
      </c>
      <c r="BV2632" s="4">
        <f>IF(Grandview_Inventory[[#This Row],[bldg_style]]="",1,_xlfn.IFNA(VLOOKUP(Grandview_Inventory[[#This Row],[decade]],Lookups!$F$29:$H$43,3,FALSE),1))</f>
        <v>1</v>
      </c>
      <c r="BW2632" s="4">
        <f>_xlfn.IFNA(VLOOKUP(Grandview_Inventory[[#This Row],[living_area_range]],Lookups!$F$47:$H$56,3,FALSE),1)</f>
        <v>1</v>
      </c>
      <c r="BX2632" s="4">
        <f>AVERAGE(Grandview_Inventory[[#This Row],[qual_adj]:[size_adj]])</f>
        <v>1</v>
      </c>
      <c r="BY2632" s="6">
        <f>IF(Grandview_Inventory[[#This Row],[pre_res]]&lt;0,0,Grandview_Inventory[[#This Row],[pre_res]]*Grandview_Inventory[[#This Row],[overall_adj]])</f>
        <v>0</v>
      </c>
      <c r="BZ2632" s="6">
        <f>(Grandview_Inventory[[#This Row],[sum_land]]-IF(Grandview_Inventory[[#This Row],[no_utilities]]=1,12000,0))/IF(Grandview_Inventory[[#This Row],[unbuildable]]=1,2,1)</f>
        <v>80308.932881100278</v>
      </c>
      <c r="CA2632">
        <f>IF(ROUND(Grandview_Inventory[[#This Row],[adj_land]]*Lookups!$M$28,-2)&lt;Grandview_Inventory[[#This Row],[min_land]],Grandview_Inventory[[#This Row],[min_land]],ROUND(Grandview_Inventory[[#This Row],[adj_land]]*Lookups!$M$28,-2))</f>
        <v>76300</v>
      </c>
      <c r="CB2632">
        <f>ROUND(Grandview_Inventory[[#This Row],[det_value]]*Lookups!$M$28,-2)</f>
        <v>0</v>
      </c>
      <c r="CC263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2">
        <f>Grandview_Inventory[[#This Row],[final_det]]+Grandview_Inventory[[#This Row],[final_res]]</f>
        <v>0</v>
      </c>
      <c r="CE2632">
        <f>Grandview_Inventory[[#This Row],[final_land]]+Grandview_Inventory[[#This Row],[final_imp]]+Grandview_Inventory[[#This Row],[crop_value]]</f>
        <v>76300</v>
      </c>
      <c r="CG2632" t="str">
        <f t="shared" si="41"/>
        <v>update valuation set market_land =76300, market_bldg=0, market_total =76300, market_mdno =401, market_date ='9/10/2023' where link_id = (select link_id from parcel where parcel_year = '2024' and parcel_id = '23091441008');</v>
      </c>
    </row>
    <row r="2633" spans="1:85" x14ac:dyDescent="0.25">
      <c r="A2633">
        <v>23091444004</v>
      </c>
      <c r="B2633">
        <v>4.79</v>
      </c>
      <c r="C2633">
        <v>208763</v>
      </c>
      <c r="D2633" t="s">
        <v>129</v>
      </c>
      <c r="E2633" t="s">
        <v>53</v>
      </c>
      <c r="F2633" t="s">
        <v>53</v>
      </c>
      <c r="G2633">
        <v>4</v>
      </c>
      <c r="H2633" t="s">
        <v>54</v>
      </c>
      <c r="I2633">
        <v>0</v>
      </c>
      <c r="J2633">
        <v>40500</v>
      </c>
      <c r="K2633">
        <v>4.79</v>
      </c>
      <c r="L2633">
        <f>IF(Grandview_Inventory[[#This Row],[parcel_acres]]-Grandview_Inventory[[#This Row],[non_valued_acres]] =0,0,LN(Grandview_Inventory[[#This Row],[parcel_acres]]-Grandview_Inventory[[#This Row],[non_valued_acres]]))</f>
        <v>1.5665304114228238</v>
      </c>
      <c r="M2633">
        <v>0</v>
      </c>
      <c r="N2633">
        <v>0</v>
      </c>
      <c r="O2633">
        <v>0</v>
      </c>
      <c r="P2633">
        <v>13398.7528</v>
      </c>
      <c r="Q2633">
        <v>63903</v>
      </c>
      <c r="R2633">
        <f>(Grandview_Inventory[[#This Row],[ln_acres]]*Grandview_Inventory[[#This Row],[coeff]])+Grandview_Inventory[[#This Row],[const]]</f>
        <v>84892.553736336704</v>
      </c>
      <c r="AY2633">
        <v>0</v>
      </c>
      <c r="AZ2633">
        <v>0</v>
      </c>
      <c r="BE2633">
        <v>0</v>
      </c>
      <c r="BF2633">
        <v>15000</v>
      </c>
      <c r="BG2633">
        <v>0</v>
      </c>
      <c r="BH2633" s="6">
        <f>Grandview_Inventory[[#This Row],[land_extract]]*Lookups!$B$3</f>
        <v>98585.493444112726</v>
      </c>
      <c r="BI2633" s="6">
        <f>IF(Grandview_Inventory[[#This Row],[bldg_style]]="",0,Lookups!$B$2)</f>
        <v>0</v>
      </c>
      <c r="BJ2633" s="6">
        <f>_xlfn.IFNA(VLOOKUP(Grandview_Inventory[[#This Row],[quality]],Lookups!$H$2:$J$14,3,FALSE),0)</f>
        <v>0</v>
      </c>
      <c r="BK2633" s="6">
        <f>_xlfn.IFNA(VLOOKUP(Grandview_Inventory[[#This Row],[condition]],Lookups!$H$17:$J$24,3,FALSE),0)</f>
        <v>0</v>
      </c>
      <c r="BL2633" s="6">
        <f>Grandview_Inventory[[#This Row],[Eff_Age]]*Lookups!$B$14</f>
        <v>0</v>
      </c>
      <c r="BM2633" s="6">
        <f>Grandview_Inventory[[#This Row],[living_area]]*Lookups!$B$15</f>
        <v>0</v>
      </c>
      <c r="BN2633" s="6">
        <f>Grandview_Inventory[[#This Row],[Fin BSMT]]*Lookups!$B$16</f>
        <v>0</v>
      </c>
      <c r="BO2633" s="6">
        <f>(Grandview_Inventory[[#This Row],[att_gar]]+Grandview_Inventory[[#This Row],[bltin_gar]])*Lookups!$B$17</f>
        <v>0</v>
      </c>
      <c r="BP2633" s="6">
        <f>Grandview_Inventory[[#This Row],[Plumbing Fixtures]]*Lookups!$B$18</f>
        <v>0</v>
      </c>
      <c r="BQ2633" s="6">
        <f>Grandview_Inventory[[#This Row],[detatched_value]]*Lookups!$B$19</f>
        <v>0</v>
      </c>
      <c r="BR2633" s="6">
        <f>SUM(Grandview_Inventory[[#This Row],[Intercept]:[det_value]])*Grandview_Inventory[[#This Row],[res_pct]]</f>
        <v>0</v>
      </c>
      <c r="BS2633" s="6">
        <f>Grandview_Inventory[[#This Row],[land_value]]</f>
        <v>98585.493444112726</v>
      </c>
      <c r="BT2633" s="4">
        <f>_xlfn.IFNA(VLOOKUP(Grandview_Inventory[[#This Row],[quality]],Lookups!$A$26:$C$33,3,FALSE),1)</f>
        <v>1</v>
      </c>
      <c r="BU2633" s="4">
        <f>_xlfn.IFNA(VLOOKUP(Grandview_Inventory[[#This Row],[condition]],Lookups!$A$37:$C$44,3,FALSE),1)</f>
        <v>1</v>
      </c>
      <c r="BV2633" s="4">
        <f>IF(Grandview_Inventory[[#This Row],[bldg_style]]="",1,_xlfn.IFNA(VLOOKUP(Grandview_Inventory[[#This Row],[decade]],Lookups!$F$29:$H$43,3,FALSE),1))</f>
        <v>1</v>
      </c>
      <c r="BW2633" s="4">
        <f>_xlfn.IFNA(VLOOKUP(Grandview_Inventory[[#This Row],[living_area_range]],Lookups!$F$47:$H$56,3,FALSE),1)</f>
        <v>1</v>
      </c>
      <c r="BX2633" s="4">
        <f>AVERAGE(Grandview_Inventory[[#This Row],[qual_adj]:[size_adj]])</f>
        <v>1</v>
      </c>
      <c r="BY2633" s="6">
        <f>IF(Grandview_Inventory[[#This Row],[pre_res]]&lt;0,0,Grandview_Inventory[[#This Row],[pre_res]]*Grandview_Inventory[[#This Row],[overall_adj]])</f>
        <v>0</v>
      </c>
      <c r="BZ2633" s="6">
        <f>(Grandview_Inventory[[#This Row],[sum_land]]-IF(Grandview_Inventory[[#This Row],[no_utilities]]=1,12000,0))/IF(Grandview_Inventory[[#This Row],[unbuildable]]=1,2,1)</f>
        <v>98585.493444112726</v>
      </c>
      <c r="CA2633">
        <f>IF(ROUND(Grandview_Inventory[[#This Row],[adj_land]]*Lookups!$M$28,-2)&lt;Grandview_Inventory[[#This Row],[min_land]],Grandview_Inventory[[#This Row],[min_land]],ROUND(Grandview_Inventory[[#This Row],[adj_land]]*Lookups!$M$28,-2))</f>
        <v>93700</v>
      </c>
      <c r="CB2633">
        <f>ROUND(Grandview_Inventory[[#This Row],[det_value]]*Lookups!$M$28,-2)</f>
        <v>0</v>
      </c>
      <c r="CC263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3">
        <f>Grandview_Inventory[[#This Row],[final_det]]+Grandview_Inventory[[#This Row],[final_res]]</f>
        <v>0</v>
      </c>
      <c r="CE2633">
        <f>Grandview_Inventory[[#This Row],[final_land]]+Grandview_Inventory[[#This Row],[final_imp]]+Grandview_Inventory[[#This Row],[crop_value]]</f>
        <v>93700</v>
      </c>
      <c r="CG2633" t="str">
        <f t="shared" si="41"/>
        <v>update valuation set market_land =93700, market_bldg=0, market_total =93700, market_mdno =401, market_date ='9/10/2023' where link_id = (select link_id from parcel where parcel_year = '2024' and parcel_id = '23091444004');</v>
      </c>
    </row>
    <row r="2634" spans="1:85" x14ac:dyDescent="0.25">
      <c r="A2634">
        <v>23091444401</v>
      </c>
      <c r="B2634">
        <v>5.09</v>
      </c>
      <c r="C2634">
        <v>221595</v>
      </c>
      <c r="D2634" t="s">
        <v>129</v>
      </c>
      <c r="E2634" t="s">
        <v>53</v>
      </c>
      <c r="F2634" t="s">
        <v>53</v>
      </c>
      <c r="G2634">
        <v>4</v>
      </c>
      <c r="H2634" t="s">
        <v>54</v>
      </c>
      <c r="I2634">
        <v>0</v>
      </c>
      <c r="J2634">
        <v>40900</v>
      </c>
      <c r="K2634">
        <v>5.09</v>
      </c>
      <c r="L2634">
        <f>IF(Grandview_Inventory[[#This Row],[parcel_acres]]-Grandview_Inventory[[#This Row],[non_valued_acres]] =0,0,LN(Grandview_Inventory[[#This Row],[parcel_acres]]-Grandview_Inventory[[#This Row],[non_valued_acres]]))</f>
        <v>1.6272778305624314</v>
      </c>
      <c r="M2634">
        <v>0</v>
      </c>
      <c r="N2634">
        <v>0</v>
      </c>
      <c r="O2634">
        <v>0</v>
      </c>
      <c r="P2634">
        <v>13398.7528</v>
      </c>
      <c r="Q2634">
        <v>63903</v>
      </c>
      <c r="R2634">
        <f>(Grandview_Inventory[[#This Row],[ln_acres]]*Grandview_Inventory[[#This Row],[coeff]])+Grandview_Inventory[[#This Row],[const]]</f>
        <v>85706.493388626302</v>
      </c>
      <c r="AY2634">
        <v>0</v>
      </c>
      <c r="AZ2634">
        <v>0</v>
      </c>
      <c r="BE2634">
        <v>0</v>
      </c>
      <c r="BF2634">
        <v>15000</v>
      </c>
      <c r="BG2634">
        <v>0</v>
      </c>
      <c r="BH2634" s="6">
        <f>Grandview_Inventory[[#This Row],[land_extract]]*Lookups!$B$3</f>
        <v>99530.719364679579</v>
      </c>
      <c r="BI2634" s="6">
        <f>IF(Grandview_Inventory[[#This Row],[bldg_style]]="",0,Lookups!$B$2)</f>
        <v>0</v>
      </c>
      <c r="BJ2634" s="6">
        <f>_xlfn.IFNA(VLOOKUP(Grandview_Inventory[[#This Row],[quality]],Lookups!$H$2:$J$14,3,FALSE),0)</f>
        <v>0</v>
      </c>
      <c r="BK2634" s="6">
        <f>_xlfn.IFNA(VLOOKUP(Grandview_Inventory[[#This Row],[condition]],Lookups!$H$17:$J$24,3,FALSE),0)</f>
        <v>0</v>
      </c>
      <c r="BL2634" s="6">
        <f>Grandview_Inventory[[#This Row],[Eff_Age]]*Lookups!$B$14</f>
        <v>0</v>
      </c>
      <c r="BM2634" s="6">
        <f>Grandview_Inventory[[#This Row],[living_area]]*Lookups!$B$15</f>
        <v>0</v>
      </c>
      <c r="BN2634" s="6">
        <f>Grandview_Inventory[[#This Row],[Fin BSMT]]*Lookups!$B$16</f>
        <v>0</v>
      </c>
      <c r="BO2634" s="6">
        <f>(Grandview_Inventory[[#This Row],[att_gar]]+Grandview_Inventory[[#This Row],[bltin_gar]])*Lookups!$B$17</f>
        <v>0</v>
      </c>
      <c r="BP2634" s="6">
        <f>Grandview_Inventory[[#This Row],[Plumbing Fixtures]]*Lookups!$B$18</f>
        <v>0</v>
      </c>
      <c r="BQ2634" s="6">
        <f>Grandview_Inventory[[#This Row],[detatched_value]]*Lookups!$B$19</f>
        <v>0</v>
      </c>
      <c r="BR2634" s="6">
        <f>SUM(Grandview_Inventory[[#This Row],[Intercept]:[det_value]])*Grandview_Inventory[[#This Row],[res_pct]]</f>
        <v>0</v>
      </c>
      <c r="BS2634" s="6">
        <f>Grandview_Inventory[[#This Row],[land_value]]</f>
        <v>99530.719364679579</v>
      </c>
      <c r="BT2634" s="4">
        <f>_xlfn.IFNA(VLOOKUP(Grandview_Inventory[[#This Row],[quality]],Lookups!$A$26:$C$33,3,FALSE),1)</f>
        <v>1</v>
      </c>
      <c r="BU2634" s="4">
        <f>_xlfn.IFNA(VLOOKUP(Grandview_Inventory[[#This Row],[condition]],Lookups!$A$37:$C$44,3,FALSE),1)</f>
        <v>1</v>
      </c>
      <c r="BV2634" s="4">
        <f>IF(Grandview_Inventory[[#This Row],[bldg_style]]="",1,_xlfn.IFNA(VLOOKUP(Grandview_Inventory[[#This Row],[decade]],Lookups!$F$29:$H$43,3,FALSE),1))</f>
        <v>1</v>
      </c>
      <c r="BW2634" s="4">
        <f>_xlfn.IFNA(VLOOKUP(Grandview_Inventory[[#This Row],[living_area_range]],Lookups!$F$47:$H$56,3,FALSE),1)</f>
        <v>1</v>
      </c>
      <c r="BX2634" s="4">
        <f>AVERAGE(Grandview_Inventory[[#This Row],[qual_adj]:[size_adj]])</f>
        <v>1</v>
      </c>
      <c r="BY2634" s="6">
        <f>IF(Grandview_Inventory[[#This Row],[pre_res]]&lt;0,0,Grandview_Inventory[[#This Row],[pre_res]]*Grandview_Inventory[[#This Row],[overall_adj]])</f>
        <v>0</v>
      </c>
      <c r="BZ2634" s="6">
        <f>(Grandview_Inventory[[#This Row],[sum_land]]-IF(Grandview_Inventory[[#This Row],[no_utilities]]=1,12000,0))/IF(Grandview_Inventory[[#This Row],[unbuildable]]=1,2,1)</f>
        <v>99530.719364679579</v>
      </c>
      <c r="CA2634">
        <f>IF(ROUND(Grandview_Inventory[[#This Row],[adj_land]]*Lookups!$M$28,-2)&lt;Grandview_Inventory[[#This Row],[min_land]],Grandview_Inventory[[#This Row],[min_land]],ROUND(Grandview_Inventory[[#This Row],[adj_land]]*Lookups!$M$28,-2))</f>
        <v>94600</v>
      </c>
      <c r="CB2634">
        <f>ROUND(Grandview_Inventory[[#This Row],[det_value]]*Lookups!$M$28,-2)</f>
        <v>0</v>
      </c>
      <c r="CC263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4">
        <f>Grandview_Inventory[[#This Row],[final_det]]+Grandview_Inventory[[#This Row],[final_res]]</f>
        <v>0</v>
      </c>
      <c r="CE2634">
        <f>Grandview_Inventory[[#This Row],[final_land]]+Grandview_Inventory[[#This Row],[final_imp]]+Grandview_Inventory[[#This Row],[crop_value]]</f>
        <v>94600</v>
      </c>
      <c r="CG2634" t="str">
        <f t="shared" si="41"/>
        <v>update valuation set market_land =94600, market_bldg=0, market_total =94600, market_mdno =401, market_date ='9/10/2023' where link_id = (select link_id from parcel where parcel_year = '2024' and parcel_id = '23091444401');</v>
      </c>
    </row>
    <row r="2635" spans="1:85" x14ac:dyDescent="0.25">
      <c r="A2635">
        <v>23091514007</v>
      </c>
      <c r="B2635">
        <v>0.63</v>
      </c>
      <c r="C2635">
        <v>27361</v>
      </c>
      <c r="D2635" t="s">
        <v>129</v>
      </c>
      <c r="E2635" t="s">
        <v>53</v>
      </c>
      <c r="F2635" t="s">
        <v>53</v>
      </c>
      <c r="G2635">
        <v>4</v>
      </c>
      <c r="H2635" t="s">
        <v>54</v>
      </c>
      <c r="I2635">
        <v>0</v>
      </c>
      <c r="J2635">
        <v>14300</v>
      </c>
      <c r="K2635">
        <v>0.63</v>
      </c>
      <c r="L2635">
        <f>IF(Grandview_Inventory[[#This Row],[parcel_acres]]-Grandview_Inventory[[#This Row],[non_valued_acres]] =0,0,LN(Grandview_Inventory[[#This Row],[parcel_acres]]-Grandview_Inventory[[#This Row],[non_valued_acres]]))</f>
        <v>-0.46203545959655867</v>
      </c>
      <c r="M2635">
        <v>0</v>
      </c>
      <c r="N2635">
        <v>0</v>
      </c>
      <c r="O2635">
        <v>1</v>
      </c>
      <c r="P2635">
        <v>13398.7528</v>
      </c>
      <c r="Q2635">
        <v>63903</v>
      </c>
      <c r="R2635">
        <f>(Grandview_Inventory[[#This Row],[ln_acres]]*Grandview_Inventory[[#This Row],[coeff]])+Grandview_Inventory[[#This Row],[const]]</f>
        <v>57712.301092031325</v>
      </c>
      <c r="AY2635">
        <v>0</v>
      </c>
      <c r="AZ2635">
        <v>0</v>
      </c>
      <c r="BE2635">
        <v>0</v>
      </c>
      <c r="BF2635">
        <v>3000</v>
      </c>
      <c r="BG2635">
        <v>0</v>
      </c>
      <c r="BH2635" s="6">
        <f>Grandview_Inventory[[#This Row],[land_extract]]*Lookups!$B$3</f>
        <v>67021.139434963028</v>
      </c>
      <c r="BI2635" s="6">
        <f>IF(Grandview_Inventory[[#This Row],[bldg_style]]="",0,Lookups!$B$2)</f>
        <v>0</v>
      </c>
      <c r="BJ2635" s="6">
        <f>_xlfn.IFNA(VLOOKUP(Grandview_Inventory[[#This Row],[quality]],Lookups!$H$2:$J$14,3,FALSE),0)</f>
        <v>0</v>
      </c>
      <c r="BK2635" s="6">
        <f>_xlfn.IFNA(VLOOKUP(Grandview_Inventory[[#This Row],[condition]],Lookups!$H$17:$J$24,3,FALSE),0)</f>
        <v>0</v>
      </c>
      <c r="BL2635" s="6">
        <f>Grandview_Inventory[[#This Row],[Eff_Age]]*Lookups!$B$14</f>
        <v>0</v>
      </c>
      <c r="BM2635" s="6">
        <f>Grandview_Inventory[[#This Row],[living_area]]*Lookups!$B$15</f>
        <v>0</v>
      </c>
      <c r="BN2635" s="6">
        <f>Grandview_Inventory[[#This Row],[Fin BSMT]]*Lookups!$B$16</f>
        <v>0</v>
      </c>
      <c r="BO2635" s="6">
        <f>(Grandview_Inventory[[#This Row],[att_gar]]+Grandview_Inventory[[#This Row],[bltin_gar]])*Lookups!$B$17</f>
        <v>0</v>
      </c>
      <c r="BP2635" s="6">
        <f>Grandview_Inventory[[#This Row],[Plumbing Fixtures]]*Lookups!$B$18</f>
        <v>0</v>
      </c>
      <c r="BQ2635" s="6">
        <f>Grandview_Inventory[[#This Row],[detatched_value]]*Lookups!$B$19</f>
        <v>0</v>
      </c>
      <c r="BR2635" s="6">
        <f>SUM(Grandview_Inventory[[#This Row],[Intercept]:[det_value]])*Grandview_Inventory[[#This Row],[res_pct]]</f>
        <v>0</v>
      </c>
      <c r="BS2635" s="6">
        <f>Grandview_Inventory[[#This Row],[land_value]]</f>
        <v>67021.139434963028</v>
      </c>
      <c r="BT2635" s="4">
        <f>_xlfn.IFNA(VLOOKUP(Grandview_Inventory[[#This Row],[quality]],Lookups!$A$26:$C$33,3,FALSE),1)</f>
        <v>1</v>
      </c>
      <c r="BU2635" s="4">
        <f>_xlfn.IFNA(VLOOKUP(Grandview_Inventory[[#This Row],[condition]],Lookups!$A$37:$C$44,3,FALSE),1)</f>
        <v>1</v>
      </c>
      <c r="BV2635" s="4">
        <f>IF(Grandview_Inventory[[#This Row],[bldg_style]]="",1,_xlfn.IFNA(VLOOKUP(Grandview_Inventory[[#This Row],[decade]],Lookups!$F$29:$H$43,3,FALSE),1))</f>
        <v>1</v>
      </c>
      <c r="BW2635" s="4">
        <f>_xlfn.IFNA(VLOOKUP(Grandview_Inventory[[#This Row],[living_area_range]],Lookups!$F$47:$H$56,3,FALSE),1)</f>
        <v>1</v>
      </c>
      <c r="BX2635" s="4">
        <f>AVERAGE(Grandview_Inventory[[#This Row],[qual_adj]:[size_adj]])</f>
        <v>1</v>
      </c>
      <c r="BY2635" s="6">
        <f>IF(Grandview_Inventory[[#This Row],[pre_res]]&lt;0,0,Grandview_Inventory[[#This Row],[pre_res]]*Grandview_Inventory[[#This Row],[overall_adj]])</f>
        <v>0</v>
      </c>
      <c r="BZ2635" s="6">
        <f>(Grandview_Inventory[[#This Row],[sum_land]]-IF(Grandview_Inventory[[#This Row],[no_utilities]]=1,12000,0))/IF(Grandview_Inventory[[#This Row],[unbuildable]]=1,2,1)</f>
        <v>55021.139434963028</v>
      </c>
      <c r="CA2635">
        <f>IF(ROUND(Grandview_Inventory[[#This Row],[adj_land]]*Lookups!$M$28,-2)&lt;Grandview_Inventory[[#This Row],[min_land]],Grandview_Inventory[[#This Row],[min_land]],ROUND(Grandview_Inventory[[#This Row],[adj_land]]*Lookups!$M$28,-2))</f>
        <v>52300</v>
      </c>
      <c r="CB2635">
        <f>ROUND(Grandview_Inventory[[#This Row],[det_value]]*Lookups!$M$28,-2)</f>
        <v>0</v>
      </c>
      <c r="CC263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5">
        <f>Grandview_Inventory[[#This Row],[final_det]]+Grandview_Inventory[[#This Row],[final_res]]</f>
        <v>0</v>
      </c>
      <c r="CE2635">
        <f>Grandview_Inventory[[#This Row],[final_land]]+Grandview_Inventory[[#This Row],[final_imp]]+Grandview_Inventory[[#This Row],[crop_value]]</f>
        <v>52300</v>
      </c>
      <c r="CG2635" t="str">
        <f t="shared" si="41"/>
        <v>update valuation set market_land =52300, market_bldg=0, market_total =52300, market_mdno =401, market_date ='9/10/2023' where link_id = (select link_id from parcel where parcel_year = '2024' and parcel_id = '23091514007');</v>
      </c>
    </row>
    <row r="2636" spans="1:85" x14ac:dyDescent="0.25">
      <c r="A2636">
        <v>23091523001</v>
      </c>
      <c r="B2636">
        <v>19.34</v>
      </c>
      <c r="C2636">
        <v>842637</v>
      </c>
      <c r="D2636" t="s">
        <v>129</v>
      </c>
      <c r="E2636" t="s">
        <v>53</v>
      </c>
      <c r="F2636" t="s">
        <v>53</v>
      </c>
      <c r="G2636">
        <v>4</v>
      </c>
      <c r="H2636" t="s">
        <v>54</v>
      </c>
      <c r="I2636">
        <v>51000</v>
      </c>
      <c r="J2636">
        <v>110200</v>
      </c>
      <c r="K2636">
        <v>19.34</v>
      </c>
      <c r="L2636">
        <f>IF(Grandview_Inventory[[#This Row],[parcel_acres]]-Grandview_Inventory[[#This Row],[non_valued_acres]] =0,0,LN(Grandview_Inventory[[#This Row],[parcel_acres]]-Grandview_Inventory[[#This Row],[non_valued_acres]]))</f>
        <v>2.9621754900251482</v>
      </c>
      <c r="M2636">
        <v>0</v>
      </c>
      <c r="N2636">
        <v>0</v>
      </c>
      <c r="O2636">
        <v>0</v>
      </c>
      <c r="P2636">
        <v>13398.7528</v>
      </c>
      <c r="Q2636">
        <v>63903</v>
      </c>
      <c r="R2636">
        <f>(Grandview_Inventory[[#This Row],[ln_acres]]*Grandview_Inventory[[#This Row],[coeff]])+Grandview_Inventory[[#This Row],[const]]</f>
        <v>103592.45714106582</v>
      </c>
      <c r="AY2636">
        <v>51000</v>
      </c>
      <c r="AZ2636">
        <v>0</v>
      </c>
      <c r="BE2636">
        <v>0</v>
      </c>
      <c r="BF2636">
        <v>15000</v>
      </c>
      <c r="BG2636">
        <v>0</v>
      </c>
      <c r="BH2636" s="6">
        <f>Grandview_Inventory[[#This Row],[land_extract]]*Lookups!$B$3</f>
        <v>120301.64077828547</v>
      </c>
      <c r="BI2636" s="6">
        <f>IF(Grandview_Inventory[[#This Row],[bldg_style]]="",0,Lookups!$B$2)</f>
        <v>0</v>
      </c>
      <c r="BJ2636" s="6">
        <f>_xlfn.IFNA(VLOOKUP(Grandview_Inventory[[#This Row],[quality]],Lookups!$H$2:$J$14,3,FALSE),0)</f>
        <v>0</v>
      </c>
      <c r="BK2636" s="6">
        <f>_xlfn.IFNA(VLOOKUP(Grandview_Inventory[[#This Row],[condition]],Lookups!$H$17:$J$24,3,FALSE),0)</f>
        <v>0</v>
      </c>
      <c r="BL2636" s="6">
        <f>Grandview_Inventory[[#This Row],[Eff_Age]]*Lookups!$B$14</f>
        <v>0</v>
      </c>
      <c r="BM2636" s="6">
        <f>Grandview_Inventory[[#This Row],[living_area]]*Lookups!$B$15</f>
        <v>0</v>
      </c>
      <c r="BN2636" s="6">
        <f>Grandview_Inventory[[#This Row],[Fin BSMT]]*Lookups!$B$16</f>
        <v>0</v>
      </c>
      <c r="BO2636" s="6">
        <f>(Grandview_Inventory[[#This Row],[att_gar]]+Grandview_Inventory[[#This Row],[bltin_gar]])*Lookups!$B$17</f>
        <v>0</v>
      </c>
      <c r="BP2636" s="6">
        <f>Grandview_Inventory[[#This Row],[Plumbing Fixtures]]*Lookups!$B$18</f>
        <v>0</v>
      </c>
      <c r="BQ2636" s="6">
        <f>Grandview_Inventory[[#This Row],[detatched_value]]*Lookups!$B$19</f>
        <v>0</v>
      </c>
      <c r="BR2636" s="6">
        <f>SUM(Grandview_Inventory[[#This Row],[Intercept]:[det_value]])*Grandview_Inventory[[#This Row],[res_pct]]</f>
        <v>0</v>
      </c>
      <c r="BS2636" s="6">
        <f>Grandview_Inventory[[#This Row],[land_value]]</f>
        <v>120301.64077828547</v>
      </c>
      <c r="BT2636" s="4">
        <f>_xlfn.IFNA(VLOOKUP(Grandview_Inventory[[#This Row],[quality]],Lookups!$A$26:$C$33,3,FALSE),1)</f>
        <v>1</v>
      </c>
      <c r="BU2636" s="4">
        <f>_xlfn.IFNA(VLOOKUP(Grandview_Inventory[[#This Row],[condition]],Lookups!$A$37:$C$44,3,FALSE),1)</f>
        <v>1</v>
      </c>
      <c r="BV2636" s="4">
        <f>IF(Grandview_Inventory[[#This Row],[bldg_style]]="",1,_xlfn.IFNA(VLOOKUP(Grandview_Inventory[[#This Row],[decade]],Lookups!$F$29:$H$43,3,FALSE),1))</f>
        <v>1</v>
      </c>
      <c r="BW2636" s="4">
        <f>_xlfn.IFNA(VLOOKUP(Grandview_Inventory[[#This Row],[living_area_range]],Lookups!$F$47:$H$56,3,FALSE),1)</f>
        <v>1</v>
      </c>
      <c r="BX2636" s="4">
        <f>AVERAGE(Grandview_Inventory[[#This Row],[qual_adj]:[size_adj]])</f>
        <v>1</v>
      </c>
      <c r="BY2636" s="6">
        <f>IF(Grandview_Inventory[[#This Row],[pre_res]]&lt;0,0,Grandview_Inventory[[#This Row],[pre_res]]*Grandview_Inventory[[#This Row],[overall_adj]])</f>
        <v>0</v>
      </c>
      <c r="BZ2636" s="6">
        <f>(Grandview_Inventory[[#This Row],[sum_land]]-IF(Grandview_Inventory[[#This Row],[no_utilities]]=1,12000,0))/IF(Grandview_Inventory[[#This Row],[unbuildable]]=1,2,1)</f>
        <v>120301.64077828547</v>
      </c>
      <c r="CA2636">
        <f>IF(ROUND(Grandview_Inventory[[#This Row],[adj_land]]*Lookups!$M$28,-2)&lt;Grandview_Inventory[[#This Row],[min_land]],Grandview_Inventory[[#This Row],[min_land]],ROUND(Grandview_Inventory[[#This Row],[adj_land]]*Lookups!$M$28,-2))</f>
        <v>114300</v>
      </c>
      <c r="CB2636">
        <f>ROUND(Grandview_Inventory[[#This Row],[det_value]]*Lookups!$M$28,-2)</f>
        <v>0</v>
      </c>
      <c r="CC263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6">
        <f>Grandview_Inventory[[#This Row],[final_det]]+Grandview_Inventory[[#This Row],[final_res]]</f>
        <v>0</v>
      </c>
      <c r="CE2636">
        <f>Grandview_Inventory[[#This Row],[final_land]]+Grandview_Inventory[[#This Row],[final_imp]]+Grandview_Inventory[[#This Row],[crop_value]]</f>
        <v>165300</v>
      </c>
      <c r="CG2636" t="str">
        <f t="shared" si="41"/>
        <v>update valuation set market_land =114300, market_bldg=0, market_total =165300, market_mdno =401, market_date ='9/10/2023' where link_id = (select link_id from parcel where parcel_year = '2024' and parcel_id = '23091523001');</v>
      </c>
    </row>
    <row r="2637" spans="1:85" x14ac:dyDescent="0.25">
      <c r="A2637">
        <v>23091531006</v>
      </c>
      <c r="B2637">
        <v>70.48</v>
      </c>
      <c r="C2637" t="s">
        <v>129</v>
      </c>
      <c r="D2637" t="s">
        <v>129</v>
      </c>
      <c r="E2637" t="s">
        <v>53</v>
      </c>
      <c r="F2637" t="s">
        <v>53</v>
      </c>
      <c r="G2637">
        <v>4</v>
      </c>
      <c r="H2637" t="s">
        <v>180</v>
      </c>
      <c r="I2637">
        <v>188300</v>
      </c>
      <c r="J2637">
        <v>401700</v>
      </c>
      <c r="K2637">
        <v>70.48</v>
      </c>
      <c r="L2637">
        <f>IF(Grandview_Inventory[[#This Row],[parcel_acres]]-Grandview_Inventory[[#This Row],[non_valued_acres]] =0,0,LN(Grandview_Inventory[[#This Row],[parcel_acres]]-Grandview_Inventory[[#This Row],[non_valued_acres]]))</f>
        <v>4.2553289816279243</v>
      </c>
      <c r="M2637">
        <v>0</v>
      </c>
      <c r="N2637">
        <v>0</v>
      </c>
      <c r="O2637">
        <v>0</v>
      </c>
      <c r="P2637">
        <v>13398.7528</v>
      </c>
      <c r="Q2637">
        <v>63903</v>
      </c>
      <c r="R2637">
        <f>(Grandview_Inventory[[#This Row],[ln_acres]]*Grandview_Inventory[[#This Row],[coeff]])+Grandview_Inventory[[#This Row],[const]]</f>
        <v>120919.10110750829</v>
      </c>
      <c r="AY2637">
        <v>188300</v>
      </c>
      <c r="AZ2637">
        <v>0</v>
      </c>
      <c r="BE2637">
        <v>0</v>
      </c>
      <c r="BF2637">
        <v>15000</v>
      </c>
      <c r="BG2637">
        <v>0</v>
      </c>
      <c r="BH2637" s="6">
        <f>Grandview_Inventory[[#This Row],[land_extract]]*Lookups!$B$3</f>
        <v>140423.02563457639</v>
      </c>
      <c r="BI2637" s="6">
        <f>IF(Grandview_Inventory[[#This Row],[bldg_style]]="",0,Lookups!$B$2)</f>
        <v>0</v>
      </c>
      <c r="BJ2637" s="6">
        <f>_xlfn.IFNA(VLOOKUP(Grandview_Inventory[[#This Row],[quality]],Lookups!$H$2:$J$14,3,FALSE),0)</f>
        <v>0</v>
      </c>
      <c r="BK2637" s="6">
        <f>_xlfn.IFNA(VLOOKUP(Grandview_Inventory[[#This Row],[condition]],Lookups!$H$17:$J$24,3,FALSE),0)</f>
        <v>0</v>
      </c>
      <c r="BL2637" s="6">
        <f>Grandview_Inventory[[#This Row],[Eff_Age]]*Lookups!$B$14</f>
        <v>0</v>
      </c>
      <c r="BM2637" s="6">
        <f>Grandview_Inventory[[#This Row],[living_area]]*Lookups!$B$15</f>
        <v>0</v>
      </c>
      <c r="BN2637" s="6">
        <f>Grandview_Inventory[[#This Row],[Fin BSMT]]*Lookups!$B$16</f>
        <v>0</v>
      </c>
      <c r="BO2637" s="6">
        <f>(Grandview_Inventory[[#This Row],[att_gar]]+Grandview_Inventory[[#This Row],[bltin_gar]])*Lookups!$B$17</f>
        <v>0</v>
      </c>
      <c r="BP2637" s="6">
        <f>Grandview_Inventory[[#This Row],[Plumbing Fixtures]]*Lookups!$B$18</f>
        <v>0</v>
      </c>
      <c r="BQ2637" s="6">
        <f>Grandview_Inventory[[#This Row],[detatched_value]]*Lookups!$B$19</f>
        <v>0</v>
      </c>
      <c r="BR2637" s="6">
        <f>SUM(Grandview_Inventory[[#This Row],[Intercept]:[det_value]])*Grandview_Inventory[[#This Row],[res_pct]]</f>
        <v>0</v>
      </c>
      <c r="BS2637" s="6">
        <f>Grandview_Inventory[[#This Row],[land_value]]</f>
        <v>140423.02563457639</v>
      </c>
      <c r="BT2637" s="4">
        <f>_xlfn.IFNA(VLOOKUP(Grandview_Inventory[[#This Row],[quality]],Lookups!$A$26:$C$33,3,FALSE),1)</f>
        <v>1</v>
      </c>
      <c r="BU2637" s="4">
        <f>_xlfn.IFNA(VLOOKUP(Grandview_Inventory[[#This Row],[condition]],Lookups!$A$37:$C$44,3,FALSE),1)</f>
        <v>1</v>
      </c>
      <c r="BV2637" s="4">
        <f>IF(Grandview_Inventory[[#This Row],[bldg_style]]="",1,_xlfn.IFNA(VLOOKUP(Grandview_Inventory[[#This Row],[decade]],Lookups!$F$29:$H$43,3,FALSE),1))</f>
        <v>1</v>
      </c>
      <c r="BW2637" s="4">
        <f>_xlfn.IFNA(VLOOKUP(Grandview_Inventory[[#This Row],[living_area_range]],Lookups!$F$47:$H$56,3,FALSE),1)</f>
        <v>1</v>
      </c>
      <c r="BX2637" s="4">
        <f>AVERAGE(Grandview_Inventory[[#This Row],[qual_adj]:[size_adj]])</f>
        <v>1</v>
      </c>
      <c r="BY2637" s="6">
        <f>IF(Grandview_Inventory[[#This Row],[pre_res]]&lt;0,0,Grandview_Inventory[[#This Row],[pre_res]]*Grandview_Inventory[[#This Row],[overall_adj]])</f>
        <v>0</v>
      </c>
      <c r="BZ2637" s="6">
        <f>(Grandview_Inventory[[#This Row],[sum_land]]-IF(Grandview_Inventory[[#This Row],[no_utilities]]=1,12000,0))/IF(Grandview_Inventory[[#This Row],[unbuildable]]=1,2,1)</f>
        <v>140423.02563457639</v>
      </c>
      <c r="CA2637">
        <f>IF(ROUND(Grandview_Inventory[[#This Row],[adj_land]]*Lookups!$M$28,-2)&lt;Grandview_Inventory[[#This Row],[min_land]],Grandview_Inventory[[#This Row],[min_land]],ROUND(Grandview_Inventory[[#This Row],[adj_land]]*Lookups!$M$28,-2))</f>
        <v>133400</v>
      </c>
      <c r="CB2637">
        <f>ROUND(Grandview_Inventory[[#This Row],[det_value]]*Lookups!$M$28,-2)</f>
        <v>0</v>
      </c>
      <c r="CC263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7">
        <f>Grandview_Inventory[[#This Row],[final_det]]+Grandview_Inventory[[#This Row],[final_res]]</f>
        <v>0</v>
      </c>
      <c r="CE2637">
        <f>Grandview_Inventory[[#This Row],[final_land]]+Grandview_Inventory[[#This Row],[final_imp]]+Grandview_Inventory[[#This Row],[crop_value]]</f>
        <v>321700</v>
      </c>
      <c r="CG2637" t="str">
        <f t="shared" si="41"/>
        <v>update valuation set market_land =133400, market_bldg=0, market_total =321700, market_mdno =401, market_date ='9/10/2023' where link_id = (select link_id from parcel where parcel_year = '2024' and parcel_id = '23091531006');</v>
      </c>
    </row>
    <row r="2638" spans="1:85" x14ac:dyDescent="0.25">
      <c r="A2638">
        <v>23091532001</v>
      </c>
      <c r="B2638">
        <v>19.61</v>
      </c>
      <c r="C2638" t="s">
        <v>129</v>
      </c>
      <c r="D2638" t="s">
        <v>129</v>
      </c>
      <c r="E2638" t="s">
        <v>53</v>
      </c>
      <c r="F2638" t="s">
        <v>53</v>
      </c>
      <c r="G2638">
        <v>4</v>
      </c>
      <c r="H2638" t="s">
        <v>54</v>
      </c>
      <c r="I2638">
        <v>41500</v>
      </c>
      <c r="J2638">
        <v>111400</v>
      </c>
      <c r="K2638">
        <v>19.61</v>
      </c>
      <c r="L2638">
        <f>IF(Grandview_Inventory[[#This Row],[parcel_acres]]-Grandview_Inventory[[#This Row],[non_valued_acres]] =0,0,LN(Grandview_Inventory[[#This Row],[parcel_acres]]-Grandview_Inventory[[#This Row],[non_valued_acres]]))</f>
        <v>2.976039640208255</v>
      </c>
      <c r="M2638">
        <v>0</v>
      </c>
      <c r="N2638">
        <v>0</v>
      </c>
      <c r="O2638">
        <v>0</v>
      </c>
      <c r="P2638">
        <v>13398.7528</v>
      </c>
      <c r="Q2638">
        <v>63903</v>
      </c>
      <c r="R2638">
        <f>(Grandview_Inventory[[#This Row],[ln_acres]]*Grandview_Inventory[[#This Row],[coeff]])+Grandview_Inventory[[#This Row],[const]]</f>
        <v>103778.21946215135</v>
      </c>
      <c r="AY2638">
        <v>41500</v>
      </c>
      <c r="AZ2638">
        <v>0</v>
      </c>
      <c r="BE2638">
        <v>0</v>
      </c>
      <c r="BF2638">
        <v>15000</v>
      </c>
      <c r="BG2638">
        <v>0</v>
      </c>
      <c r="BH2638" s="6">
        <f>Grandview_Inventory[[#This Row],[land_extract]]*Lookups!$B$3</f>
        <v>120517.36606020381</v>
      </c>
      <c r="BI2638" s="6">
        <f>IF(Grandview_Inventory[[#This Row],[bldg_style]]="",0,Lookups!$B$2)</f>
        <v>0</v>
      </c>
      <c r="BJ2638" s="6">
        <f>_xlfn.IFNA(VLOOKUP(Grandview_Inventory[[#This Row],[quality]],Lookups!$H$2:$J$14,3,FALSE),0)</f>
        <v>0</v>
      </c>
      <c r="BK2638" s="6">
        <f>_xlfn.IFNA(VLOOKUP(Grandview_Inventory[[#This Row],[condition]],Lookups!$H$17:$J$24,3,FALSE),0)</f>
        <v>0</v>
      </c>
      <c r="BL2638" s="6">
        <f>Grandview_Inventory[[#This Row],[Eff_Age]]*Lookups!$B$14</f>
        <v>0</v>
      </c>
      <c r="BM2638" s="6">
        <f>Grandview_Inventory[[#This Row],[living_area]]*Lookups!$B$15</f>
        <v>0</v>
      </c>
      <c r="BN2638" s="6">
        <f>Grandview_Inventory[[#This Row],[Fin BSMT]]*Lookups!$B$16</f>
        <v>0</v>
      </c>
      <c r="BO2638" s="6">
        <f>(Grandview_Inventory[[#This Row],[att_gar]]+Grandview_Inventory[[#This Row],[bltin_gar]])*Lookups!$B$17</f>
        <v>0</v>
      </c>
      <c r="BP2638" s="6">
        <f>Grandview_Inventory[[#This Row],[Plumbing Fixtures]]*Lookups!$B$18</f>
        <v>0</v>
      </c>
      <c r="BQ2638" s="6">
        <f>Grandview_Inventory[[#This Row],[detatched_value]]*Lookups!$B$19</f>
        <v>0</v>
      </c>
      <c r="BR2638" s="6">
        <f>SUM(Grandview_Inventory[[#This Row],[Intercept]:[det_value]])*Grandview_Inventory[[#This Row],[res_pct]]</f>
        <v>0</v>
      </c>
      <c r="BS2638" s="6">
        <f>Grandview_Inventory[[#This Row],[land_value]]</f>
        <v>120517.36606020381</v>
      </c>
      <c r="BT2638" s="4">
        <f>_xlfn.IFNA(VLOOKUP(Grandview_Inventory[[#This Row],[quality]],Lookups!$A$26:$C$33,3,FALSE),1)</f>
        <v>1</v>
      </c>
      <c r="BU2638" s="4">
        <f>_xlfn.IFNA(VLOOKUP(Grandview_Inventory[[#This Row],[condition]],Lookups!$A$37:$C$44,3,FALSE),1)</f>
        <v>1</v>
      </c>
      <c r="BV2638" s="4">
        <f>IF(Grandview_Inventory[[#This Row],[bldg_style]]="",1,_xlfn.IFNA(VLOOKUP(Grandview_Inventory[[#This Row],[decade]],Lookups!$F$29:$H$43,3,FALSE),1))</f>
        <v>1</v>
      </c>
      <c r="BW2638" s="4">
        <f>_xlfn.IFNA(VLOOKUP(Grandview_Inventory[[#This Row],[living_area_range]],Lookups!$F$47:$H$56,3,FALSE),1)</f>
        <v>1</v>
      </c>
      <c r="BX2638" s="4">
        <f>AVERAGE(Grandview_Inventory[[#This Row],[qual_adj]:[size_adj]])</f>
        <v>1</v>
      </c>
      <c r="BY2638" s="6">
        <f>IF(Grandview_Inventory[[#This Row],[pre_res]]&lt;0,0,Grandview_Inventory[[#This Row],[pre_res]]*Grandview_Inventory[[#This Row],[overall_adj]])</f>
        <v>0</v>
      </c>
      <c r="BZ2638" s="6">
        <f>(Grandview_Inventory[[#This Row],[sum_land]]-IF(Grandview_Inventory[[#This Row],[no_utilities]]=1,12000,0))/IF(Grandview_Inventory[[#This Row],[unbuildable]]=1,2,1)</f>
        <v>120517.36606020381</v>
      </c>
      <c r="CA2638">
        <f>IF(ROUND(Grandview_Inventory[[#This Row],[adj_land]]*Lookups!$M$28,-2)&lt;Grandview_Inventory[[#This Row],[min_land]],Grandview_Inventory[[#This Row],[min_land]],ROUND(Grandview_Inventory[[#This Row],[adj_land]]*Lookups!$M$28,-2))</f>
        <v>114500</v>
      </c>
      <c r="CB2638">
        <f>ROUND(Grandview_Inventory[[#This Row],[det_value]]*Lookups!$M$28,-2)</f>
        <v>0</v>
      </c>
      <c r="CC263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8">
        <f>Grandview_Inventory[[#This Row],[final_det]]+Grandview_Inventory[[#This Row],[final_res]]</f>
        <v>0</v>
      </c>
      <c r="CE2638">
        <f>Grandview_Inventory[[#This Row],[final_land]]+Grandview_Inventory[[#This Row],[final_imp]]+Grandview_Inventory[[#This Row],[crop_value]]</f>
        <v>156000</v>
      </c>
      <c r="CG2638" t="str">
        <f t="shared" si="41"/>
        <v>update valuation set market_land =114500, market_bldg=0, market_total =156000, market_mdno =401, market_date ='9/10/2023' where link_id = (select link_id from parcel where parcel_year = '2024' and parcel_id = '23091532001');</v>
      </c>
    </row>
    <row r="2639" spans="1:85" x14ac:dyDescent="0.25">
      <c r="A2639">
        <v>23091532002</v>
      </c>
      <c r="B2639">
        <v>55.27</v>
      </c>
      <c r="C2639" t="s">
        <v>129</v>
      </c>
      <c r="D2639" t="s">
        <v>129</v>
      </c>
      <c r="E2639" t="s">
        <v>53</v>
      </c>
      <c r="F2639" t="s">
        <v>53</v>
      </c>
      <c r="G2639">
        <v>4</v>
      </c>
      <c r="H2639" t="s">
        <v>180</v>
      </c>
      <c r="I2639">
        <v>159800</v>
      </c>
      <c r="J2639">
        <v>315000</v>
      </c>
      <c r="K2639">
        <v>55.27</v>
      </c>
      <c r="L2639">
        <f>IF(Grandview_Inventory[[#This Row],[parcel_acres]]-Grandview_Inventory[[#This Row],[non_valued_acres]] =0,0,LN(Grandview_Inventory[[#This Row],[parcel_acres]]-Grandview_Inventory[[#This Row],[non_valued_acres]]))</f>
        <v>4.0122302658451714</v>
      </c>
      <c r="M2639">
        <v>0</v>
      </c>
      <c r="N2639">
        <v>0</v>
      </c>
      <c r="O2639">
        <v>0</v>
      </c>
      <c r="P2639">
        <v>13398.7528</v>
      </c>
      <c r="Q2639">
        <v>63903</v>
      </c>
      <c r="R2639">
        <f>(Grandview_Inventory[[#This Row],[ln_acres]]*Grandview_Inventory[[#This Row],[coeff]])+Grandview_Inventory[[#This Row],[const]]</f>
        <v>117661.88150873774</v>
      </c>
      <c r="AY2639">
        <v>159800</v>
      </c>
      <c r="AZ2639">
        <v>0</v>
      </c>
      <c r="BE2639">
        <v>0</v>
      </c>
      <c r="BF2639">
        <v>15000</v>
      </c>
      <c r="BG2639">
        <v>0</v>
      </c>
      <c r="BH2639" s="6">
        <f>Grandview_Inventory[[#This Row],[land_extract]]*Lookups!$B$3</f>
        <v>136640.42530901707</v>
      </c>
      <c r="BI2639" s="6">
        <f>IF(Grandview_Inventory[[#This Row],[bldg_style]]="",0,Lookups!$B$2)</f>
        <v>0</v>
      </c>
      <c r="BJ2639" s="6">
        <f>_xlfn.IFNA(VLOOKUP(Grandview_Inventory[[#This Row],[quality]],Lookups!$H$2:$J$14,3,FALSE),0)</f>
        <v>0</v>
      </c>
      <c r="BK2639" s="6">
        <f>_xlfn.IFNA(VLOOKUP(Grandview_Inventory[[#This Row],[condition]],Lookups!$H$17:$J$24,3,FALSE),0)</f>
        <v>0</v>
      </c>
      <c r="BL2639" s="6">
        <f>Grandview_Inventory[[#This Row],[Eff_Age]]*Lookups!$B$14</f>
        <v>0</v>
      </c>
      <c r="BM2639" s="6">
        <f>Grandview_Inventory[[#This Row],[living_area]]*Lookups!$B$15</f>
        <v>0</v>
      </c>
      <c r="BN2639" s="6">
        <f>Grandview_Inventory[[#This Row],[Fin BSMT]]*Lookups!$B$16</f>
        <v>0</v>
      </c>
      <c r="BO2639" s="6">
        <f>(Grandview_Inventory[[#This Row],[att_gar]]+Grandview_Inventory[[#This Row],[bltin_gar]])*Lookups!$B$17</f>
        <v>0</v>
      </c>
      <c r="BP2639" s="6">
        <f>Grandview_Inventory[[#This Row],[Plumbing Fixtures]]*Lookups!$B$18</f>
        <v>0</v>
      </c>
      <c r="BQ2639" s="6">
        <f>Grandview_Inventory[[#This Row],[detatched_value]]*Lookups!$B$19</f>
        <v>0</v>
      </c>
      <c r="BR2639" s="6">
        <f>SUM(Grandview_Inventory[[#This Row],[Intercept]:[det_value]])*Grandview_Inventory[[#This Row],[res_pct]]</f>
        <v>0</v>
      </c>
      <c r="BS2639" s="6">
        <f>Grandview_Inventory[[#This Row],[land_value]]</f>
        <v>136640.42530901707</v>
      </c>
      <c r="BT2639" s="4">
        <f>_xlfn.IFNA(VLOOKUP(Grandview_Inventory[[#This Row],[quality]],Lookups!$A$26:$C$33,3,FALSE),1)</f>
        <v>1</v>
      </c>
      <c r="BU2639" s="4">
        <f>_xlfn.IFNA(VLOOKUP(Grandview_Inventory[[#This Row],[condition]],Lookups!$A$37:$C$44,3,FALSE),1)</f>
        <v>1</v>
      </c>
      <c r="BV2639" s="4">
        <f>IF(Grandview_Inventory[[#This Row],[bldg_style]]="",1,_xlfn.IFNA(VLOOKUP(Grandview_Inventory[[#This Row],[decade]],Lookups!$F$29:$H$43,3,FALSE),1))</f>
        <v>1</v>
      </c>
      <c r="BW2639" s="4">
        <f>_xlfn.IFNA(VLOOKUP(Grandview_Inventory[[#This Row],[living_area_range]],Lookups!$F$47:$H$56,3,FALSE),1)</f>
        <v>1</v>
      </c>
      <c r="BX2639" s="4">
        <f>AVERAGE(Grandview_Inventory[[#This Row],[qual_adj]:[size_adj]])</f>
        <v>1</v>
      </c>
      <c r="BY2639" s="6">
        <f>IF(Grandview_Inventory[[#This Row],[pre_res]]&lt;0,0,Grandview_Inventory[[#This Row],[pre_res]]*Grandview_Inventory[[#This Row],[overall_adj]])</f>
        <v>0</v>
      </c>
      <c r="BZ2639" s="6">
        <f>(Grandview_Inventory[[#This Row],[sum_land]]-IF(Grandview_Inventory[[#This Row],[no_utilities]]=1,12000,0))/IF(Grandview_Inventory[[#This Row],[unbuildable]]=1,2,1)</f>
        <v>136640.42530901707</v>
      </c>
      <c r="CA2639">
        <f>IF(ROUND(Grandview_Inventory[[#This Row],[adj_land]]*Lookups!$M$28,-2)&lt;Grandview_Inventory[[#This Row],[min_land]],Grandview_Inventory[[#This Row],[min_land]],ROUND(Grandview_Inventory[[#This Row],[adj_land]]*Lookups!$M$28,-2))</f>
        <v>129800</v>
      </c>
      <c r="CB2639">
        <f>ROUND(Grandview_Inventory[[#This Row],[det_value]]*Lookups!$M$28,-2)</f>
        <v>0</v>
      </c>
      <c r="CC263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39">
        <f>Grandview_Inventory[[#This Row],[final_det]]+Grandview_Inventory[[#This Row],[final_res]]</f>
        <v>0</v>
      </c>
      <c r="CE2639">
        <f>Grandview_Inventory[[#This Row],[final_land]]+Grandview_Inventory[[#This Row],[final_imp]]+Grandview_Inventory[[#This Row],[crop_value]]</f>
        <v>289600</v>
      </c>
      <c r="CG2639" t="str">
        <f t="shared" si="41"/>
        <v>update valuation set market_land =129800, market_bldg=0, market_total =289600, market_mdno =401, market_date ='9/10/2023' where link_id = (select link_id from parcel where parcel_year = '2024' and parcel_id = '23091532002');</v>
      </c>
    </row>
    <row r="2640" spans="1:85" x14ac:dyDescent="0.25">
      <c r="A2640">
        <v>23091541415</v>
      </c>
      <c r="B2640">
        <v>0.2</v>
      </c>
      <c r="C2640">
        <v>8865</v>
      </c>
      <c r="D2640" t="s">
        <v>129</v>
      </c>
      <c r="E2640" t="s">
        <v>53</v>
      </c>
      <c r="F2640" t="s">
        <v>53</v>
      </c>
      <c r="G2640">
        <v>4</v>
      </c>
      <c r="H2640" t="s">
        <v>54</v>
      </c>
      <c r="I2640">
        <v>0</v>
      </c>
      <c r="J2640">
        <v>32700</v>
      </c>
      <c r="K2640">
        <v>0.2</v>
      </c>
      <c r="L264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640">
        <v>0</v>
      </c>
      <c r="N2640">
        <v>0</v>
      </c>
      <c r="O2640">
        <v>0</v>
      </c>
      <c r="P2640">
        <v>13398.7528</v>
      </c>
      <c r="Q2640">
        <v>63903</v>
      </c>
      <c r="R2640">
        <f>(Grandview_Inventory[[#This Row],[ln_acres]]*Grandview_Inventory[[#This Row],[coeff]])+Grandview_Inventory[[#This Row],[const]]</f>
        <v>42338.539264347448</v>
      </c>
      <c r="AY2640">
        <v>0</v>
      </c>
      <c r="AZ2640">
        <v>0</v>
      </c>
      <c r="BE2640">
        <v>0</v>
      </c>
      <c r="BF2640">
        <v>15000</v>
      </c>
      <c r="BG2640">
        <v>0</v>
      </c>
      <c r="BH2640" s="6">
        <f>Grandview_Inventory[[#This Row],[land_extract]]*Lookups!$B$3</f>
        <v>49167.631333630678</v>
      </c>
      <c r="BI2640" s="6">
        <f>IF(Grandview_Inventory[[#This Row],[bldg_style]]="",0,Lookups!$B$2)</f>
        <v>0</v>
      </c>
      <c r="BJ2640" s="6">
        <f>_xlfn.IFNA(VLOOKUP(Grandview_Inventory[[#This Row],[quality]],Lookups!$H$2:$J$14,3,FALSE),0)</f>
        <v>0</v>
      </c>
      <c r="BK2640" s="6">
        <f>_xlfn.IFNA(VLOOKUP(Grandview_Inventory[[#This Row],[condition]],Lookups!$H$17:$J$24,3,FALSE),0)</f>
        <v>0</v>
      </c>
      <c r="BL2640" s="6">
        <f>Grandview_Inventory[[#This Row],[Eff_Age]]*Lookups!$B$14</f>
        <v>0</v>
      </c>
      <c r="BM2640" s="6">
        <f>Grandview_Inventory[[#This Row],[living_area]]*Lookups!$B$15</f>
        <v>0</v>
      </c>
      <c r="BN2640" s="6">
        <f>Grandview_Inventory[[#This Row],[Fin BSMT]]*Lookups!$B$16</f>
        <v>0</v>
      </c>
      <c r="BO2640" s="6">
        <f>(Grandview_Inventory[[#This Row],[att_gar]]+Grandview_Inventory[[#This Row],[bltin_gar]])*Lookups!$B$17</f>
        <v>0</v>
      </c>
      <c r="BP2640" s="6">
        <f>Grandview_Inventory[[#This Row],[Plumbing Fixtures]]*Lookups!$B$18</f>
        <v>0</v>
      </c>
      <c r="BQ2640" s="6">
        <f>Grandview_Inventory[[#This Row],[detatched_value]]*Lookups!$B$19</f>
        <v>0</v>
      </c>
      <c r="BR2640" s="6">
        <f>SUM(Grandview_Inventory[[#This Row],[Intercept]:[det_value]])*Grandview_Inventory[[#This Row],[res_pct]]</f>
        <v>0</v>
      </c>
      <c r="BS2640" s="6">
        <f>Grandview_Inventory[[#This Row],[land_value]]</f>
        <v>49167.631333630678</v>
      </c>
      <c r="BT2640" s="4">
        <f>_xlfn.IFNA(VLOOKUP(Grandview_Inventory[[#This Row],[quality]],Lookups!$A$26:$C$33,3,FALSE),1)</f>
        <v>1</v>
      </c>
      <c r="BU2640" s="4">
        <f>_xlfn.IFNA(VLOOKUP(Grandview_Inventory[[#This Row],[condition]],Lookups!$A$37:$C$44,3,FALSE),1)</f>
        <v>1</v>
      </c>
      <c r="BV2640" s="4">
        <f>IF(Grandview_Inventory[[#This Row],[bldg_style]]="",1,_xlfn.IFNA(VLOOKUP(Grandview_Inventory[[#This Row],[decade]],Lookups!$F$29:$H$43,3,FALSE),1))</f>
        <v>1</v>
      </c>
      <c r="BW2640" s="4">
        <f>_xlfn.IFNA(VLOOKUP(Grandview_Inventory[[#This Row],[living_area_range]],Lookups!$F$47:$H$56,3,FALSE),1)</f>
        <v>1</v>
      </c>
      <c r="BX2640" s="4">
        <f>AVERAGE(Grandview_Inventory[[#This Row],[qual_adj]:[size_adj]])</f>
        <v>1</v>
      </c>
      <c r="BY2640" s="6">
        <f>IF(Grandview_Inventory[[#This Row],[pre_res]]&lt;0,0,Grandview_Inventory[[#This Row],[pre_res]]*Grandview_Inventory[[#This Row],[overall_adj]])</f>
        <v>0</v>
      </c>
      <c r="BZ2640" s="6">
        <f>(Grandview_Inventory[[#This Row],[sum_land]]-IF(Grandview_Inventory[[#This Row],[no_utilities]]=1,12000,0))/IF(Grandview_Inventory[[#This Row],[unbuildable]]=1,2,1)</f>
        <v>49167.631333630678</v>
      </c>
      <c r="CA264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640">
        <f>ROUND(Grandview_Inventory[[#This Row],[det_value]]*Lookups!$M$28,-2)</f>
        <v>0</v>
      </c>
      <c r="CC264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0">
        <f>Grandview_Inventory[[#This Row],[final_det]]+Grandview_Inventory[[#This Row],[final_res]]</f>
        <v>0</v>
      </c>
      <c r="CE2640">
        <f>Grandview_Inventory[[#This Row],[final_land]]+Grandview_Inventory[[#This Row],[final_imp]]+Grandview_Inventory[[#This Row],[crop_value]]</f>
        <v>46700</v>
      </c>
      <c r="CG2640" t="str">
        <f t="shared" si="41"/>
        <v>update valuation set market_land =46700, market_bldg=0, market_total =46700, market_mdno =401, market_date ='9/10/2023' where link_id = (select link_id from parcel where parcel_year = '2024' and parcel_id = '23091541415');</v>
      </c>
    </row>
    <row r="2641" spans="1:85" x14ac:dyDescent="0.25">
      <c r="A2641">
        <v>23091911444</v>
      </c>
      <c r="B2641">
        <v>0.9</v>
      </c>
      <c r="C2641">
        <v>39107</v>
      </c>
      <c r="D2641" t="s">
        <v>129</v>
      </c>
      <c r="E2641" t="s">
        <v>53</v>
      </c>
      <c r="F2641" t="s">
        <v>53</v>
      </c>
      <c r="G2641">
        <v>4</v>
      </c>
      <c r="H2641" t="s">
        <v>54</v>
      </c>
      <c r="I2641">
        <v>0</v>
      </c>
      <c r="J2641">
        <v>5000</v>
      </c>
      <c r="K2641">
        <v>0.9</v>
      </c>
      <c r="L2641">
        <f>IF(Grandview_Inventory[[#This Row],[parcel_acres]]-Grandview_Inventory[[#This Row],[non_valued_acres]] =0,0,LN(Grandview_Inventory[[#This Row],[parcel_acres]]-Grandview_Inventory[[#This Row],[non_valued_acres]]))</f>
        <v>-0.10536051565782628</v>
      </c>
      <c r="M2641">
        <v>0</v>
      </c>
      <c r="N2641">
        <v>0</v>
      </c>
      <c r="O2641">
        <v>0</v>
      </c>
      <c r="P2641">
        <v>13398.7528</v>
      </c>
      <c r="Q2641">
        <v>63903</v>
      </c>
      <c r="R2641">
        <f>(Grandview_Inventory[[#This Row],[ln_acres]]*Grandview_Inventory[[#This Row],[coeff]])+Grandview_Inventory[[#This Row],[const]]</f>
        <v>62491.300495820258</v>
      </c>
      <c r="AY2641">
        <v>0</v>
      </c>
      <c r="AZ2641">
        <v>0</v>
      </c>
      <c r="BE2641">
        <v>0</v>
      </c>
      <c r="BF2641">
        <v>15000</v>
      </c>
      <c r="BG2641">
        <v>0</v>
      </c>
      <c r="BH2641" s="6">
        <f>Grandview_Inventory[[#This Row],[land_extract]]*Lookups!$B$3</f>
        <v>72570.978539284726</v>
      </c>
      <c r="BI2641" s="6">
        <f>IF(Grandview_Inventory[[#This Row],[bldg_style]]="",0,Lookups!$B$2)</f>
        <v>0</v>
      </c>
      <c r="BJ2641" s="6">
        <f>_xlfn.IFNA(VLOOKUP(Grandview_Inventory[[#This Row],[quality]],Lookups!$H$2:$J$14,3,FALSE),0)</f>
        <v>0</v>
      </c>
      <c r="BK2641" s="6">
        <f>_xlfn.IFNA(VLOOKUP(Grandview_Inventory[[#This Row],[condition]],Lookups!$H$17:$J$24,3,FALSE),0)</f>
        <v>0</v>
      </c>
      <c r="BL2641" s="6">
        <f>Grandview_Inventory[[#This Row],[Eff_Age]]*Lookups!$B$14</f>
        <v>0</v>
      </c>
      <c r="BM2641" s="6">
        <f>Grandview_Inventory[[#This Row],[living_area]]*Lookups!$B$15</f>
        <v>0</v>
      </c>
      <c r="BN2641" s="6">
        <f>Grandview_Inventory[[#This Row],[Fin BSMT]]*Lookups!$B$16</f>
        <v>0</v>
      </c>
      <c r="BO2641" s="6">
        <f>(Grandview_Inventory[[#This Row],[att_gar]]+Grandview_Inventory[[#This Row],[bltin_gar]])*Lookups!$B$17</f>
        <v>0</v>
      </c>
      <c r="BP2641" s="6">
        <f>Grandview_Inventory[[#This Row],[Plumbing Fixtures]]*Lookups!$B$18</f>
        <v>0</v>
      </c>
      <c r="BQ2641" s="6">
        <f>Grandview_Inventory[[#This Row],[detatched_value]]*Lookups!$B$19</f>
        <v>0</v>
      </c>
      <c r="BR2641" s="6">
        <f>SUM(Grandview_Inventory[[#This Row],[Intercept]:[det_value]])*Grandview_Inventory[[#This Row],[res_pct]]</f>
        <v>0</v>
      </c>
      <c r="BS2641" s="6">
        <f>Grandview_Inventory[[#This Row],[land_value]]</f>
        <v>72570.978539284726</v>
      </c>
      <c r="BT2641" s="4">
        <f>_xlfn.IFNA(VLOOKUP(Grandview_Inventory[[#This Row],[quality]],Lookups!$A$26:$C$33,3,FALSE),1)</f>
        <v>1</v>
      </c>
      <c r="BU2641" s="4">
        <f>_xlfn.IFNA(VLOOKUP(Grandview_Inventory[[#This Row],[condition]],Lookups!$A$37:$C$44,3,FALSE),1)</f>
        <v>1</v>
      </c>
      <c r="BV2641" s="4">
        <f>IF(Grandview_Inventory[[#This Row],[bldg_style]]="",1,_xlfn.IFNA(VLOOKUP(Grandview_Inventory[[#This Row],[decade]],Lookups!$F$29:$H$43,3,FALSE),1))</f>
        <v>1</v>
      </c>
      <c r="BW2641" s="4">
        <f>_xlfn.IFNA(VLOOKUP(Grandview_Inventory[[#This Row],[living_area_range]],Lookups!$F$47:$H$56,3,FALSE),1)</f>
        <v>1</v>
      </c>
      <c r="BX2641" s="4">
        <f>AVERAGE(Grandview_Inventory[[#This Row],[qual_adj]:[size_adj]])</f>
        <v>1</v>
      </c>
      <c r="BY2641" s="6">
        <f>IF(Grandview_Inventory[[#This Row],[pre_res]]&lt;0,0,Grandview_Inventory[[#This Row],[pre_res]]*Grandview_Inventory[[#This Row],[overall_adj]])</f>
        <v>0</v>
      </c>
      <c r="BZ2641" s="6">
        <f>(Grandview_Inventory[[#This Row],[sum_land]]-IF(Grandview_Inventory[[#This Row],[no_utilities]]=1,12000,0))/IF(Grandview_Inventory[[#This Row],[unbuildable]]=1,2,1)</f>
        <v>72570.978539284726</v>
      </c>
      <c r="CA2641">
        <f>IF(ROUND(Grandview_Inventory[[#This Row],[adj_land]]*Lookups!$M$28,-2)&lt;Grandview_Inventory[[#This Row],[min_land]],Grandview_Inventory[[#This Row],[min_land]],ROUND(Grandview_Inventory[[#This Row],[adj_land]]*Lookups!$M$28,-2))</f>
        <v>68900</v>
      </c>
      <c r="CB2641">
        <f>ROUND(Grandview_Inventory[[#This Row],[det_value]]*Lookups!$M$28,-2)</f>
        <v>0</v>
      </c>
      <c r="CC264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1">
        <f>Grandview_Inventory[[#This Row],[final_det]]+Grandview_Inventory[[#This Row],[final_res]]</f>
        <v>0</v>
      </c>
      <c r="CE2641">
        <f>Grandview_Inventory[[#This Row],[final_land]]+Grandview_Inventory[[#This Row],[final_imp]]+Grandview_Inventory[[#This Row],[crop_value]]</f>
        <v>68900</v>
      </c>
      <c r="CG2641" t="str">
        <f t="shared" si="41"/>
        <v>update valuation set market_land =68900, market_bldg=0, market_total =68900, market_mdno =401, market_date ='9/10/2023' where link_id = (select link_id from parcel where parcel_year = '2024' and parcel_id = '23091911444');</v>
      </c>
    </row>
    <row r="2642" spans="1:85" x14ac:dyDescent="0.25">
      <c r="A2642">
        <v>23091911451</v>
      </c>
      <c r="B2642">
        <v>0.48</v>
      </c>
      <c r="C2642">
        <v>20915</v>
      </c>
      <c r="D2642" t="s">
        <v>129</v>
      </c>
      <c r="E2642" t="s">
        <v>53</v>
      </c>
      <c r="F2642" t="s">
        <v>53</v>
      </c>
      <c r="G2642">
        <v>4</v>
      </c>
      <c r="H2642" t="s">
        <v>54</v>
      </c>
      <c r="I2642">
        <v>0</v>
      </c>
      <c r="J2642">
        <v>200</v>
      </c>
      <c r="K2642">
        <v>0.48</v>
      </c>
      <c r="L2642">
        <f>IF(Grandview_Inventory[[#This Row],[parcel_acres]]-Grandview_Inventory[[#This Row],[non_valued_acres]] =0,0,LN(Grandview_Inventory[[#This Row],[parcel_acres]]-Grandview_Inventory[[#This Row],[non_valued_acres]]))</f>
        <v>-0.73396917508020043</v>
      </c>
      <c r="M2642">
        <v>0</v>
      </c>
      <c r="N2642">
        <v>0</v>
      </c>
      <c r="O2642">
        <v>0</v>
      </c>
      <c r="P2642">
        <v>13398.7528</v>
      </c>
      <c r="Q2642">
        <v>63903</v>
      </c>
      <c r="R2642">
        <f>(Grandview_Inventory[[#This Row],[ln_acres]]*Grandview_Inventory[[#This Row],[coeff]])+Grandview_Inventory[[#This Row],[const]]</f>
        <v>54068.728460280472</v>
      </c>
      <c r="AY2642">
        <v>0</v>
      </c>
      <c r="AZ2642">
        <v>0</v>
      </c>
      <c r="BE2642">
        <v>0</v>
      </c>
      <c r="BF2642">
        <v>15000</v>
      </c>
      <c r="BG2642">
        <v>0</v>
      </c>
      <c r="BH2642" s="6">
        <f>Grandview_Inventory[[#This Row],[land_extract]]*Lookups!$B$3</f>
        <v>62789.868375356869</v>
      </c>
      <c r="BI2642" s="6">
        <f>IF(Grandview_Inventory[[#This Row],[bldg_style]]="",0,Lookups!$B$2)</f>
        <v>0</v>
      </c>
      <c r="BJ2642" s="6">
        <f>_xlfn.IFNA(VLOOKUP(Grandview_Inventory[[#This Row],[quality]],Lookups!$H$2:$J$14,3,FALSE),0)</f>
        <v>0</v>
      </c>
      <c r="BK2642" s="6">
        <f>_xlfn.IFNA(VLOOKUP(Grandview_Inventory[[#This Row],[condition]],Lookups!$H$17:$J$24,3,FALSE),0)</f>
        <v>0</v>
      </c>
      <c r="BL2642" s="6">
        <f>Grandview_Inventory[[#This Row],[Eff_Age]]*Lookups!$B$14</f>
        <v>0</v>
      </c>
      <c r="BM2642" s="6">
        <f>Grandview_Inventory[[#This Row],[living_area]]*Lookups!$B$15</f>
        <v>0</v>
      </c>
      <c r="BN2642" s="6">
        <f>Grandview_Inventory[[#This Row],[Fin BSMT]]*Lookups!$B$16</f>
        <v>0</v>
      </c>
      <c r="BO2642" s="6">
        <f>(Grandview_Inventory[[#This Row],[att_gar]]+Grandview_Inventory[[#This Row],[bltin_gar]])*Lookups!$B$17</f>
        <v>0</v>
      </c>
      <c r="BP2642" s="6">
        <f>Grandview_Inventory[[#This Row],[Plumbing Fixtures]]*Lookups!$B$18</f>
        <v>0</v>
      </c>
      <c r="BQ2642" s="6">
        <f>Grandview_Inventory[[#This Row],[detatched_value]]*Lookups!$B$19</f>
        <v>0</v>
      </c>
      <c r="BR2642" s="6">
        <f>SUM(Grandview_Inventory[[#This Row],[Intercept]:[det_value]])*Grandview_Inventory[[#This Row],[res_pct]]</f>
        <v>0</v>
      </c>
      <c r="BS2642" s="6">
        <f>Grandview_Inventory[[#This Row],[land_value]]</f>
        <v>62789.868375356869</v>
      </c>
      <c r="BT2642" s="4">
        <f>_xlfn.IFNA(VLOOKUP(Grandview_Inventory[[#This Row],[quality]],Lookups!$A$26:$C$33,3,FALSE),1)</f>
        <v>1</v>
      </c>
      <c r="BU2642" s="4">
        <f>_xlfn.IFNA(VLOOKUP(Grandview_Inventory[[#This Row],[condition]],Lookups!$A$37:$C$44,3,FALSE),1)</f>
        <v>1</v>
      </c>
      <c r="BV2642" s="4">
        <f>IF(Grandview_Inventory[[#This Row],[bldg_style]]="",1,_xlfn.IFNA(VLOOKUP(Grandview_Inventory[[#This Row],[decade]],Lookups!$F$29:$H$43,3,FALSE),1))</f>
        <v>1</v>
      </c>
      <c r="BW2642" s="4">
        <f>_xlfn.IFNA(VLOOKUP(Grandview_Inventory[[#This Row],[living_area_range]],Lookups!$F$47:$H$56,3,FALSE),1)</f>
        <v>1</v>
      </c>
      <c r="BX2642" s="4">
        <f>AVERAGE(Grandview_Inventory[[#This Row],[qual_adj]:[size_adj]])</f>
        <v>1</v>
      </c>
      <c r="BY2642" s="6">
        <f>IF(Grandview_Inventory[[#This Row],[pre_res]]&lt;0,0,Grandview_Inventory[[#This Row],[pre_res]]*Grandview_Inventory[[#This Row],[overall_adj]])</f>
        <v>0</v>
      </c>
      <c r="BZ2642" s="6">
        <f>(Grandview_Inventory[[#This Row],[sum_land]]-IF(Grandview_Inventory[[#This Row],[no_utilities]]=1,12000,0))/IF(Grandview_Inventory[[#This Row],[unbuildable]]=1,2,1)</f>
        <v>62789.868375356869</v>
      </c>
      <c r="CA2642">
        <f>IF(ROUND(Grandview_Inventory[[#This Row],[adj_land]]*Lookups!$M$28,-2)&lt;Grandview_Inventory[[#This Row],[min_land]],Grandview_Inventory[[#This Row],[min_land]],ROUND(Grandview_Inventory[[#This Row],[adj_land]]*Lookups!$M$28,-2))</f>
        <v>59700</v>
      </c>
      <c r="CB2642">
        <f>ROUND(Grandview_Inventory[[#This Row],[det_value]]*Lookups!$M$28,-2)</f>
        <v>0</v>
      </c>
      <c r="CC264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2">
        <f>Grandview_Inventory[[#This Row],[final_det]]+Grandview_Inventory[[#This Row],[final_res]]</f>
        <v>0</v>
      </c>
      <c r="CE2642">
        <f>Grandview_Inventory[[#This Row],[final_land]]+Grandview_Inventory[[#This Row],[final_imp]]+Grandview_Inventory[[#This Row],[crop_value]]</f>
        <v>59700</v>
      </c>
      <c r="CG2642" t="str">
        <f t="shared" si="41"/>
        <v>update valuation set market_land =59700, market_bldg=0, market_total =59700, market_mdno =401, market_date ='9/10/2023' where link_id = (select link_id from parcel where parcel_year = '2024' and parcel_id = '23091911451');</v>
      </c>
    </row>
    <row r="2643" spans="1:85" x14ac:dyDescent="0.25">
      <c r="A2643">
        <v>23092111407</v>
      </c>
      <c r="B2643">
        <v>1.77</v>
      </c>
      <c r="C2643">
        <v>77115</v>
      </c>
      <c r="D2643" t="s">
        <v>129</v>
      </c>
      <c r="E2643" t="s">
        <v>53</v>
      </c>
      <c r="F2643" t="s">
        <v>53</v>
      </c>
      <c r="G2643">
        <v>4</v>
      </c>
      <c r="H2643" t="s">
        <v>54</v>
      </c>
      <c r="I2643">
        <v>0</v>
      </c>
      <c r="J2643">
        <v>34200</v>
      </c>
      <c r="K2643">
        <v>1.77</v>
      </c>
      <c r="L2643">
        <f>IF(Grandview_Inventory[[#This Row],[parcel_acres]]-Grandview_Inventory[[#This Row],[non_valued_acres]] =0,0,LN(Grandview_Inventory[[#This Row],[parcel_acres]]-Grandview_Inventory[[#This Row],[non_valued_acres]]))</f>
        <v>0.5709795465857378</v>
      </c>
      <c r="M2643">
        <v>0</v>
      </c>
      <c r="N2643">
        <v>0</v>
      </c>
      <c r="O2643">
        <v>1</v>
      </c>
      <c r="P2643">
        <v>13398.7528</v>
      </c>
      <c r="Q2643">
        <v>63903</v>
      </c>
      <c r="R2643">
        <f>(Grandview_Inventory[[#This Row],[ln_acres]]*Grandview_Inventory[[#This Row],[coeff]])+Grandview_Inventory[[#This Row],[const]]</f>
        <v>71553.41379855838</v>
      </c>
      <c r="AY2643">
        <v>0</v>
      </c>
      <c r="AZ2643">
        <v>0</v>
      </c>
      <c r="BE2643">
        <v>0</v>
      </c>
      <c r="BF2643">
        <v>3000</v>
      </c>
      <c r="BG2643">
        <v>0</v>
      </c>
      <c r="BH2643" s="6">
        <f>Grandview_Inventory[[#This Row],[land_extract]]*Lookups!$B$3</f>
        <v>83094.786250048594</v>
      </c>
      <c r="BI2643" s="6">
        <f>IF(Grandview_Inventory[[#This Row],[bldg_style]]="",0,Lookups!$B$2)</f>
        <v>0</v>
      </c>
      <c r="BJ2643" s="6">
        <f>_xlfn.IFNA(VLOOKUP(Grandview_Inventory[[#This Row],[quality]],Lookups!$H$2:$J$14,3,FALSE),0)</f>
        <v>0</v>
      </c>
      <c r="BK2643" s="6">
        <f>_xlfn.IFNA(VLOOKUP(Grandview_Inventory[[#This Row],[condition]],Lookups!$H$17:$J$24,3,FALSE),0)</f>
        <v>0</v>
      </c>
      <c r="BL2643" s="6">
        <f>Grandview_Inventory[[#This Row],[Eff_Age]]*Lookups!$B$14</f>
        <v>0</v>
      </c>
      <c r="BM2643" s="6">
        <f>Grandview_Inventory[[#This Row],[living_area]]*Lookups!$B$15</f>
        <v>0</v>
      </c>
      <c r="BN2643" s="6">
        <f>Grandview_Inventory[[#This Row],[Fin BSMT]]*Lookups!$B$16</f>
        <v>0</v>
      </c>
      <c r="BO2643" s="6">
        <f>(Grandview_Inventory[[#This Row],[att_gar]]+Grandview_Inventory[[#This Row],[bltin_gar]])*Lookups!$B$17</f>
        <v>0</v>
      </c>
      <c r="BP2643" s="6">
        <f>Grandview_Inventory[[#This Row],[Plumbing Fixtures]]*Lookups!$B$18</f>
        <v>0</v>
      </c>
      <c r="BQ2643" s="6">
        <f>Grandview_Inventory[[#This Row],[detatched_value]]*Lookups!$B$19</f>
        <v>0</v>
      </c>
      <c r="BR2643" s="6">
        <f>SUM(Grandview_Inventory[[#This Row],[Intercept]:[det_value]])*Grandview_Inventory[[#This Row],[res_pct]]</f>
        <v>0</v>
      </c>
      <c r="BS2643" s="6">
        <f>Grandview_Inventory[[#This Row],[land_value]]</f>
        <v>83094.786250048594</v>
      </c>
      <c r="BT2643" s="4">
        <f>_xlfn.IFNA(VLOOKUP(Grandview_Inventory[[#This Row],[quality]],Lookups!$A$26:$C$33,3,FALSE),1)</f>
        <v>1</v>
      </c>
      <c r="BU2643" s="4">
        <f>_xlfn.IFNA(VLOOKUP(Grandview_Inventory[[#This Row],[condition]],Lookups!$A$37:$C$44,3,FALSE),1)</f>
        <v>1</v>
      </c>
      <c r="BV2643" s="4">
        <f>IF(Grandview_Inventory[[#This Row],[bldg_style]]="",1,_xlfn.IFNA(VLOOKUP(Grandview_Inventory[[#This Row],[decade]],Lookups!$F$29:$H$43,3,FALSE),1))</f>
        <v>1</v>
      </c>
      <c r="BW2643" s="4">
        <f>_xlfn.IFNA(VLOOKUP(Grandview_Inventory[[#This Row],[living_area_range]],Lookups!$F$47:$H$56,3,FALSE),1)</f>
        <v>1</v>
      </c>
      <c r="BX2643" s="4">
        <f>AVERAGE(Grandview_Inventory[[#This Row],[qual_adj]:[size_adj]])</f>
        <v>1</v>
      </c>
      <c r="BY2643" s="6">
        <f>IF(Grandview_Inventory[[#This Row],[pre_res]]&lt;0,0,Grandview_Inventory[[#This Row],[pre_res]]*Grandview_Inventory[[#This Row],[overall_adj]])</f>
        <v>0</v>
      </c>
      <c r="BZ2643" s="6">
        <f>(Grandview_Inventory[[#This Row],[sum_land]]-IF(Grandview_Inventory[[#This Row],[no_utilities]]=1,12000,0))/IF(Grandview_Inventory[[#This Row],[unbuildable]]=1,2,1)</f>
        <v>71094.786250048594</v>
      </c>
      <c r="CA2643">
        <f>IF(ROUND(Grandview_Inventory[[#This Row],[adj_land]]*Lookups!$M$28,-2)&lt;Grandview_Inventory[[#This Row],[min_land]],Grandview_Inventory[[#This Row],[min_land]],ROUND(Grandview_Inventory[[#This Row],[adj_land]]*Lookups!$M$28,-2))</f>
        <v>67500</v>
      </c>
      <c r="CB2643">
        <f>ROUND(Grandview_Inventory[[#This Row],[det_value]]*Lookups!$M$28,-2)</f>
        <v>0</v>
      </c>
      <c r="CC264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3">
        <f>Grandview_Inventory[[#This Row],[final_det]]+Grandview_Inventory[[#This Row],[final_res]]</f>
        <v>0</v>
      </c>
      <c r="CE2643">
        <f>Grandview_Inventory[[#This Row],[final_land]]+Grandview_Inventory[[#This Row],[final_imp]]+Grandview_Inventory[[#This Row],[crop_value]]</f>
        <v>67500</v>
      </c>
      <c r="CG2643" t="str">
        <f t="shared" si="41"/>
        <v>update valuation set market_land =67500, market_bldg=0, market_total =67500, market_mdno =401, market_date ='9/10/2023' where link_id = (select link_id from parcel where parcel_year = '2024' and parcel_id = '23092111407');</v>
      </c>
    </row>
    <row r="2644" spans="1:85" x14ac:dyDescent="0.25">
      <c r="A2644">
        <v>23092111414</v>
      </c>
      <c r="B2644">
        <v>2</v>
      </c>
      <c r="C2644" t="s">
        <v>129</v>
      </c>
      <c r="D2644" t="s">
        <v>129</v>
      </c>
      <c r="E2644" t="s">
        <v>53</v>
      </c>
      <c r="F2644" t="s">
        <v>53</v>
      </c>
      <c r="G2644">
        <v>4</v>
      </c>
      <c r="H2644" t="s">
        <v>54</v>
      </c>
      <c r="I2644">
        <v>0</v>
      </c>
      <c r="J2644">
        <v>56600</v>
      </c>
      <c r="K2644">
        <v>2</v>
      </c>
      <c r="L2644">
        <f>IF(Grandview_Inventory[[#This Row],[parcel_acres]]-Grandview_Inventory[[#This Row],[non_valued_acres]] =0,0,LN(Grandview_Inventory[[#This Row],[parcel_acres]]-Grandview_Inventory[[#This Row],[non_valued_acres]]))</f>
        <v>0.69314718055994529</v>
      </c>
      <c r="M2644">
        <v>0</v>
      </c>
      <c r="N2644">
        <v>0</v>
      </c>
      <c r="O2644">
        <v>0</v>
      </c>
      <c r="P2644">
        <v>13398.7528</v>
      </c>
      <c r="Q2644">
        <v>63903</v>
      </c>
      <c r="R2644">
        <f>(Grandview_Inventory[[#This Row],[ln_acres]]*Grandview_Inventory[[#This Row],[coeff]])+Grandview_Inventory[[#This Row],[const]]</f>
        <v>73190.30772633967</v>
      </c>
      <c r="AY2644">
        <v>0</v>
      </c>
      <c r="AZ2644">
        <v>0</v>
      </c>
      <c r="BE2644">
        <v>0</v>
      </c>
      <c r="BF2644">
        <v>15000</v>
      </c>
      <c r="BG2644">
        <v>0</v>
      </c>
      <c r="BH2644" s="6">
        <f>Grandview_Inventory[[#This Row],[land_extract]]*Lookups!$B$3</f>
        <v>84995.706748767392</v>
      </c>
      <c r="BI2644" s="6">
        <f>IF(Grandview_Inventory[[#This Row],[bldg_style]]="",0,Lookups!$B$2)</f>
        <v>0</v>
      </c>
      <c r="BJ2644" s="6">
        <f>_xlfn.IFNA(VLOOKUP(Grandview_Inventory[[#This Row],[quality]],Lookups!$H$2:$J$14,3,FALSE),0)</f>
        <v>0</v>
      </c>
      <c r="BK2644" s="6">
        <f>_xlfn.IFNA(VLOOKUP(Grandview_Inventory[[#This Row],[condition]],Lookups!$H$17:$J$24,3,FALSE),0)</f>
        <v>0</v>
      </c>
      <c r="BL2644" s="6">
        <f>Grandview_Inventory[[#This Row],[Eff_Age]]*Lookups!$B$14</f>
        <v>0</v>
      </c>
      <c r="BM2644" s="6">
        <f>Grandview_Inventory[[#This Row],[living_area]]*Lookups!$B$15</f>
        <v>0</v>
      </c>
      <c r="BN2644" s="6">
        <f>Grandview_Inventory[[#This Row],[Fin BSMT]]*Lookups!$B$16</f>
        <v>0</v>
      </c>
      <c r="BO2644" s="6">
        <f>(Grandview_Inventory[[#This Row],[att_gar]]+Grandview_Inventory[[#This Row],[bltin_gar]])*Lookups!$B$17</f>
        <v>0</v>
      </c>
      <c r="BP2644" s="6">
        <f>Grandview_Inventory[[#This Row],[Plumbing Fixtures]]*Lookups!$B$18</f>
        <v>0</v>
      </c>
      <c r="BQ2644" s="6">
        <f>Grandview_Inventory[[#This Row],[detatched_value]]*Lookups!$B$19</f>
        <v>0</v>
      </c>
      <c r="BR2644" s="6">
        <f>SUM(Grandview_Inventory[[#This Row],[Intercept]:[det_value]])*Grandview_Inventory[[#This Row],[res_pct]]</f>
        <v>0</v>
      </c>
      <c r="BS2644" s="6">
        <f>Grandview_Inventory[[#This Row],[land_value]]</f>
        <v>84995.706748767392</v>
      </c>
      <c r="BT2644" s="4">
        <f>_xlfn.IFNA(VLOOKUP(Grandview_Inventory[[#This Row],[quality]],Lookups!$A$26:$C$33,3,FALSE),1)</f>
        <v>1</v>
      </c>
      <c r="BU2644" s="4">
        <f>_xlfn.IFNA(VLOOKUP(Grandview_Inventory[[#This Row],[condition]],Lookups!$A$37:$C$44,3,FALSE),1)</f>
        <v>1</v>
      </c>
      <c r="BV2644" s="4">
        <f>IF(Grandview_Inventory[[#This Row],[bldg_style]]="",1,_xlfn.IFNA(VLOOKUP(Grandview_Inventory[[#This Row],[decade]],Lookups!$F$29:$H$43,3,FALSE),1))</f>
        <v>1</v>
      </c>
      <c r="BW2644" s="4">
        <f>_xlfn.IFNA(VLOOKUP(Grandview_Inventory[[#This Row],[living_area_range]],Lookups!$F$47:$H$56,3,FALSE),1)</f>
        <v>1</v>
      </c>
      <c r="BX2644" s="4">
        <f>AVERAGE(Grandview_Inventory[[#This Row],[qual_adj]:[size_adj]])</f>
        <v>1</v>
      </c>
      <c r="BY2644" s="6">
        <f>IF(Grandview_Inventory[[#This Row],[pre_res]]&lt;0,0,Grandview_Inventory[[#This Row],[pre_res]]*Grandview_Inventory[[#This Row],[overall_adj]])</f>
        <v>0</v>
      </c>
      <c r="BZ2644" s="6">
        <f>(Grandview_Inventory[[#This Row],[sum_land]]-IF(Grandview_Inventory[[#This Row],[no_utilities]]=1,12000,0))/IF(Grandview_Inventory[[#This Row],[unbuildable]]=1,2,1)</f>
        <v>84995.706748767392</v>
      </c>
      <c r="CA2644">
        <f>IF(ROUND(Grandview_Inventory[[#This Row],[adj_land]]*Lookups!$M$28,-2)&lt;Grandview_Inventory[[#This Row],[min_land]],Grandview_Inventory[[#This Row],[min_land]],ROUND(Grandview_Inventory[[#This Row],[adj_land]]*Lookups!$M$28,-2))</f>
        <v>80700</v>
      </c>
      <c r="CB2644">
        <f>ROUND(Grandview_Inventory[[#This Row],[det_value]]*Lookups!$M$28,-2)</f>
        <v>0</v>
      </c>
      <c r="CC264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4">
        <f>Grandview_Inventory[[#This Row],[final_det]]+Grandview_Inventory[[#This Row],[final_res]]</f>
        <v>0</v>
      </c>
      <c r="CE2644">
        <f>Grandview_Inventory[[#This Row],[final_land]]+Grandview_Inventory[[#This Row],[final_imp]]+Grandview_Inventory[[#This Row],[crop_value]]</f>
        <v>80700</v>
      </c>
      <c r="CG2644" t="str">
        <f t="shared" si="41"/>
        <v>update valuation set market_land =80700, market_bldg=0, market_total =80700, market_mdno =401, market_date ='9/10/2023' where link_id = (select link_id from parcel where parcel_year = '2024' and parcel_id = '23092111414');</v>
      </c>
    </row>
    <row r="2645" spans="1:85" x14ac:dyDescent="0.25">
      <c r="A2645">
        <v>23092114404</v>
      </c>
      <c r="B2645">
        <v>4.76</v>
      </c>
      <c r="C2645">
        <v>207380</v>
      </c>
      <c r="D2645" t="s">
        <v>129</v>
      </c>
      <c r="E2645" t="s">
        <v>53</v>
      </c>
      <c r="F2645" t="s">
        <v>53</v>
      </c>
      <c r="G2645">
        <v>4</v>
      </c>
      <c r="H2645" t="s">
        <v>54</v>
      </c>
      <c r="I2645">
        <v>0</v>
      </c>
      <c r="J2645">
        <v>68700</v>
      </c>
      <c r="K2645">
        <v>4.76</v>
      </c>
      <c r="L2645">
        <f>IF(Grandview_Inventory[[#This Row],[parcel_acres]]-Grandview_Inventory[[#This Row],[non_valued_acres]] =0,0,LN(Grandview_Inventory[[#This Row],[parcel_acres]]-Grandview_Inventory[[#This Row],[non_valued_acres]]))</f>
        <v>1.5602476682433286</v>
      </c>
      <c r="M2645">
        <v>0</v>
      </c>
      <c r="N2645">
        <v>0</v>
      </c>
      <c r="O2645">
        <v>0</v>
      </c>
      <c r="P2645">
        <v>13398.7528</v>
      </c>
      <c r="Q2645">
        <v>63903</v>
      </c>
      <c r="R2645">
        <f>(Grandview_Inventory[[#This Row],[ln_acres]]*Grandview_Inventory[[#This Row],[coeff]])+Grandview_Inventory[[#This Row],[const]]</f>
        <v>84808.372813568771</v>
      </c>
      <c r="AY2645">
        <v>0</v>
      </c>
      <c r="AZ2645">
        <v>0</v>
      </c>
      <c r="BE2645">
        <v>0</v>
      </c>
      <c r="BF2645">
        <v>15000</v>
      </c>
      <c r="BG2645">
        <v>0</v>
      </c>
      <c r="BH2645" s="6">
        <f>Grandview_Inventory[[#This Row],[land_extract]]*Lookups!$B$3</f>
        <v>98487.73436579082</v>
      </c>
      <c r="BI2645" s="6">
        <f>IF(Grandview_Inventory[[#This Row],[bldg_style]]="",0,Lookups!$B$2)</f>
        <v>0</v>
      </c>
      <c r="BJ2645" s="6">
        <f>_xlfn.IFNA(VLOOKUP(Grandview_Inventory[[#This Row],[quality]],Lookups!$H$2:$J$14,3,FALSE),0)</f>
        <v>0</v>
      </c>
      <c r="BK2645" s="6">
        <f>_xlfn.IFNA(VLOOKUP(Grandview_Inventory[[#This Row],[condition]],Lookups!$H$17:$J$24,3,FALSE),0)</f>
        <v>0</v>
      </c>
      <c r="BL2645" s="6">
        <f>Grandview_Inventory[[#This Row],[Eff_Age]]*Lookups!$B$14</f>
        <v>0</v>
      </c>
      <c r="BM2645" s="6">
        <f>Grandview_Inventory[[#This Row],[living_area]]*Lookups!$B$15</f>
        <v>0</v>
      </c>
      <c r="BN2645" s="6">
        <f>Grandview_Inventory[[#This Row],[Fin BSMT]]*Lookups!$B$16</f>
        <v>0</v>
      </c>
      <c r="BO2645" s="6">
        <f>(Grandview_Inventory[[#This Row],[att_gar]]+Grandview_Inventory[[#This Row],[bltin_gar]])*Lookups!$B$17</f>
        <v>0</v>
      </c>
      <c r="BP2645" s="6">
        <f>Grandview_Inventory[[#This Row],[Plumbing Fixtures]]*Lookups!$B$18</f>
        <v>0</v>
      </c>
      <c r="BQ2645" s="6">
        <f>Grandview_Inventory[[#This Row],[detatched_value]]*Lookups!$B$19</f>
        <v>0</v>
      </c>
      <c r="BR2645" s="6">
        <f>SUM(Grandview_Inventory[[#This Row],[Intercept]:[det_value]])*Grandview_Inventory[[#This Row],[res_pct]]</f>
        <v>0</v>
      </c>
      <c r="BS2645" s="6">
        <f>Grandview_Inventory[[#This Row],[land_value]]</f>
        <v>98487.73436579082</v>
      </c>
      <c r="BT2645" s="4">
        <f>_xlfn.IFNA(VLOOKUP(Grandview_Inventory[[#This Row],[quality]],Lookups!$A$26:$C$33,3,FALSE),1)</f>
        <v>1</v>
      </c>
      <c r="BU2645" s="4">
        <f>_xlfn.IFNA(VLOOKUP(Grandview_Inventory[[#This Row],[condition]],Lookups!$A$37:$C$44,3,FALSE),1)</f>
        <v>1</v>
      </c>
      <c r="BV2645" s="4">
        <f>IF(Grandview_Inventory[[#This Row],[bldg_style]]="",1,_xlfn.IFNA(VLOOKUP(Grandview_Inventory[[#This Row],[decade]],Lookups!$F$29:$H$43,3,FALSE),1))</f>
        <v>1</v>
      </c>
      <c r="BW2645" s="4">
        <f>_xlfn.IFNA(VLOOKUP(Grandview_Inventory[[#This Row],[living_area_range]],Lookups!$F$47:$H$56,3,FALSE),1)</f>
        <v>1</v>
      </c>
      <c r="BX2645" s="4">
        <f>AVERAGE(Grandview_Inventory[[#This Row],[qual_adj]:[size_adj]])</f>
        <v>1</v>
      </c>
      <c r="BY2645" s="6">
        <f>IF(Grandview_Inventory[[#This Row],[pre_res]]&lt;0,0,Grandview_Inventory[[#This Row],[pre_res]]*Grandview_Inventory[[#This Row],[overall_adj]])</f>
        <v>0</v>
      </c>
      <c r="BZ2645" s="6">
        <f>(Grandview_Inventory[[#This Row],[sum_land]]-IF(Grandview_Inventory[[#This Row],[no_utilities]]=1,12000,0))/IF(Grandview_Inventory[[#This Row],[unbuildable]]=1,2,1)</f>
        <v>98487.73436579082</v>
      </c>
      <c r="CA2645">
        <f>IF(ROUND(Grandview_Inventory[[#This Row],[adj_land]]*Lookups!$M$28,-2)&lt;Grandview_Inventory[[#This Row],[min_land]],Grandview_Inventory[[#This Row],[min_land]],ROUND(Grandview_Inventory[[#This Row],[adj_land]]*Lookups!$M$28,-2))</f>
        <v>93600</v>
      </c>
      <c r="CB2645">
        <f>ROUND(Grandview_Inventory[[#This Row],[det_value]]*Lookups!$M$28,-2)</f>
        <v>0</v>
      </c>
      <c r="CC264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5">
        <f>Grandview_Inventory[[#This Row],[final_det]]+Grandview_Inventory[[#This Row],[final_res]]</f>
        <v>0</v>
      </c>
      <c r="CE2645">
        <f>Grandview_Inventory[[#This Row],[final_land]]+Grandview_Inventory[[#This Row],[final_imp]]+Grandview_Inventory[[#This Row],[crop_value]]</f>
        <v>93600</v>
      </c>
      <c r="CG2645" t="str">
        <f t="shared" si="41"/>
        <v>update valuation set market_land =93600, market_bldg=0, market_total =93600, market_mdno =401, market_date ='9/10/2023' where link_id = (select link_id from parcel where parcel_year = '2024' and parcel_id = '23092114404');</v>
      </c>
    </row>
    <row r="2646" spans="1:85" x14ac:dyDescent="0.25">
      <c r="A2646">
        <v>23092114409</v>
      </c>
      <c r="B2646">
        <v>1.31</v>
      </c>
      <c r="C2646">
        <v>56848</v>
      </c>
      <c r="D2646" t="s">
        <v>129</v>
      </c>
      <c r="E2646" t="s">
        <v>53</v>
      </c>
      <c r="F2646" t="s">
        <v>53</v>
      </c>
      <c r="G2646">
        <v>4</v>
      </c>
      <c r="H2646" t="s">
        <v>54</v>
      </c>
      <c r="I2646">
        <v>23800</v>
      </c>
      <c r="J2646">
        <v>44900</v>
      </c>
      <c r="K2646">
        <v>1.31</v>
      </c>
      <c r="L2646">
        <f>IF(Grandview_Inventory[[#This Row],[parcel_acres]]-Grandview_Inventory[[#This Row],[non_valued_acres]] =0,0,LN(Grandview_Inventory[[#This Row],[parcel_acres]]-Grandview_Inventory[[#This Row],[non_valued_acres]]))</f>
        <v>0.27002713721306021</v>
      </c>
      <c r="M2646">
        <v>0</v>
      </c>
      <c r="N2646">
        <v>0</v>
      </c>
      <c r="O2646">
        <v>0</v>
      </c>
      <c r="P2646">
        <v>13398.7528</v>
      </c>
      <c r="Q2646">
        <v>63903</v>
      </c>
      <c r="R2646">
        <f>(Grandview_Inventory[[#This Row],[ln_acres]]*Grandview_Inventory[[#This Row],[coeff]])+Grandview_Inventory[[#This Row],[const]]</f>
        <v>67521.026860809478</v>
      </c>
      <c r="AY2646">
        <v>0</v>
      </c>
      <c r="AZ2646">
        <v>21600</v>
      </c>
      <c r="BE2646">
        <v>0</v>
      </c>
      <c r="BF2646">
        <v>15000</v>
      </c>
      <c r="BG2646">
        <v>0</v>
      </c>
      <c r="BH2646" s="6">
        <f>Grandview_Inventory[[#This Row],[land_extract]]*Lookups!$B$3</f>
        <v>78411.986186685521</v>
      </c>
      <c r="BI2646" s="6">
        <f>IF(Grandview_Inventory[[#This Row],[bldg_style]]="",0,Lookups!$B$2)</f>
        <v>0</v>
      </c>
      <c r="BJ2646" s="6">
        <f>_xlfn.IFNA(VLOOKUP(Grandview_Inventory[[#This Row],[quality]],Lookups!$H$2:$J$14,3,FALSE),0)</f>
        <v>0</v>
      </c>
      <c r="BK2646" s="6">
        <f>_xlfn.IFNA(VLOOKUP(Grandview_Inventory[[#This Row],[condition]],Lookups!$H$17:$J$24,3,FALSE),0)</f>
        <v>0</v>
      </c>
      <c r="BL2646" s="6">
        <f>Grandview_Inventory[[#This Row],[Eff_Age]]*Lookups!$B$14</f>
        <v>0</v>
      </c>
      <c r="BM2646" s="6">
        <f>Grandview_Inventory[[#This Row],[living_area]]*Lookups!$B$15</f>
        <v>0</v>
      </c>
      <c r="BN2646" s="6">
        <f>Grandview_Inventory[[#This Row],[Fin BSMT]]*Lookups!$B$16</f>
        <v>0</v>
      </c>
      <c r="BO2646" s="6">
        <f>(Grandview_Inventory[[#This Row],[att_gar]]+Grandview_Inventory[[#This Row],[bltin_gar]])*Lookups!$B$17</f>
        <v>0</v>
      </c>
      <c r="BP2646" s="6">
        <f>Grandview_Inventory[[#This Row],[Plumbing Fixtures]]*Lookups!$B$18</f>
        <v>0</v>
      </c>
      <c r="BQ2646" s="6">
        <f>Grandview_Inventory[[#This Row],[detatched_value]]*Lookups!$B$19</f>
        <v>18290.990160000001</v>
      </c>
      <c r="BR2646" s="6">
        <f>SUM(Grandview_Inventory[[#This Row],[Intercept]:[det_value]])*Grandview_Inventory[[#This Row],[res_pct]]</f>
        <v>0</v>
      </c>
      <c r="BS2646" s="6">
        <f>Grandview_Inventory[[#This Row],[land_value]]</f>
        <v>78411.986186685521</v>
      </c>
      <c r="BT2646" s="4">
        <f>_xlfn.IFNA(VLOOKUP(Grandview_Inventory[[#This Row],[quality]],Lookups!$A$26:$C$33,3,FALSE),1)</f>
        <v>1</v>
      </c>
      <c r="BU2646" s="4">
        <f>_xlfn.IFNA(VLOOKUP(Grandview_Inventory[[#This Row],[condition]],Lookups!$A$37:$C$44,3,FALSE),1)</f>
        <v>1</v>
      </c>
      <c r="BV2646" s="4">
        <f>IF(Grandview_Inventory[[#This Row],[bldg_style]]="",1,_xlfn.IFNA(VLOOKUP(Grandview_Inventory[[#This Row],[decade]],Lookups!$F$29:$H$43,3,FALSE),1))</f>
        <v>1</v>
      </c>
      <c r="BW2646" s="4">
        <f>_xlfn.IFNA(VLOOKUP(Grandview_Inventory[[#This Row],[living_area_range]],Lookups!$F$47:$H$56,3,FALSE),1)</f>
        <v>1</v>
      </c>
      <c r="BX2646" s="4">
        <f>AVERAGE(Grandview_Inventory[[#This Row],[qual_adj]:[size_adj]])</f>
        <v>1</v>
      </c>
      <c r="BY2646" s="6">
        <f>IF(Grandview_Inventory[[#This Row],[pre_res]]&lt;0,0,Grandview_Inventory[[#This Row],[pre_res]]*Grandview_Inventory[[#This Row],[overall_adj]])</f>
        <v>0</v>
      </c>
      <c r="BZ2646" s="6">
        <f>(Grandview_Inventory[[#This Row],[sum_land]]-IF(Grandview_Inventory[[#This Row],[no_utilities]]=1,12000,0))/IF(Grandview_Inventory[[#This Row],[unbuildable]]=1,2,1)</f>
        <v>78411.986186685521</v>
      </c>
      <c r="CA2646">
        <f>IF(ROUND(Grandview_Inventory[[#This Row],[adj_land]]*Lookups!$M$28,-2)&lt;Grandview_Inventory[[#This Row],[min_land]],Grandview_Inventory[[#This Row],[min_land]],ROUND(Grandview_Inventory[[#This Row],[adj_land]]*Lookups!$M$28,-2))</f>
        <v>74500</v>
      </c>
      <c r="CB2646">
        <f>ROUND(Grandview_Inventory[[#This Row],[det_value]]*Lookups!$M$28,-2)</f>
        <v>17400</v>
      </c>
      <c r="CC264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6">
        <f>Grandview_Inventory[[#This Row],[final_det]]+Grandview_Inventory[[#This Row],[final_res]]</f>
        <v>17400</v>
      </c>
      <c r="CE2646">
        <f>Grandview_Inventory[[#This Row],[final_land]]+Grandview_Inventory[[#This Row],[final_imp]]+Grandview_Inventory[[#This Row],[crop_value]]</f>
        <v>91900</v>
      </c>
      <c r="CG2646" t="str">
        <f t="shared" si="41"/>
        <v>update valuation set market_land =74500, market_bldg=17400, market_total =91900, market_mdno =401, market_date ='9/10/2023' where link_id = (select link_id from parcel where parcel_year = '2024' and parcel_id = '23092114409');</v>
      </c>
    </row>
    <row r="2647" spans="1:85" x14ac:dyDescent="0.25">
      <c r="A2647">
        <v>23092114410</v>
      </c>
      <c r="B2647">
        <v>4.0999999999999996</v>
      </c>
      <c r="C2647">
        <v>178665</v>
      </c>
      <c r="D2647" t="s">
        <v>129</v>
      </c>
      <c r="E2647" t="s">
        <v>53</v>
      </c>
      <c r="F2647" t="s">
        <v>53</v>
      </c>
      <c r="G2647">
        <v>4</v>
      </c>
      <c r="H2647" t="s">
        <v>54</v>
      </c>
      <c r="I2647">
        <v>0</v>
      </c>
      <c r="J2647">
        <v>66600</v>
      </c>
      <c r="K2647">
        <v>4.0999999999999996</v>
      </c>
      <c r="L2647">
        <f>IF(Grandview_Inventory[[#This Row],[parcel_acres]]-Grandview_Inventory[[#This Row],[non_valued_acres]] =0,0,LN(Grandview_Inventory[[#This Row],[parcel_acres]]-Grandview_Inventory[[#This Row],[non_valued_acres]]))</f>
        <v>1.410986973710262</v>
      </c>
      <c r="M2647">
        <v>0</v>
      </c>
      <c r="N2647">
        <v>0</v>
      </c>
      <c r="O2647">
        <v>0</v>
      </c>
      <c r="P2647">
        <v>13398.7528</v>
      </c>
      <c r="Q2647">
        <v>63903</v>
      </c>
      <c r="R2647">
        <f>(Grandview_Inventory[[#This Row],[ln_acres]]*Grandview_Inventory[[#This Row],[coeff]])+Grandview_Inventory[[#This Row],[const]]</f>
        <v>82808.465664763906</v>
      </c>
      <c r="AY2647">
        <v>0</v>
      </c>
      <c r="AZ2647">
        <v>0</v>
      </c>
      <c r="BE2647">
        <v>0</v>
      </c>
      <c r="BF2647">
        <v>15000</v>
      </c>
      <c r="BG2647">
        <v>0</v>
      </c>
      <c r="BH2647" s="6">
        <f>Grandview_Inventory[[#This Row],[land_extract]]*Lookups!$B$3</f>
        <v>96165.24759363303</v>
      </c>
      <c r="BI2647" s="6">
        <f>IF(Grandview_Inventory[[#This Row],[bldg_style]]="",0,Lookups!$B$2)</f>
        <v>0</v>
      </c>
      <c r="BJ2647" s="6">
        <f>_xlfn.IFNA(VLOOKUP(Grandview_Inventory[[#This Row],[quality]],Lookups!$H$2:$J$14,3,FALSE),0)</f>
        <v>0</v>
      </c>
      <c r="BK2647" s="6">
        <f>_xlfn.IFNA(VLOOKUP(Grandview_Inventory[[#This Row],[condition]],Lookups!$H$17:$J$24,3,FALSE),0)</f>
        <v>0</v>
      </c>
      <c r="BL2647" s="6">
        <f>Grandview_Inventory[[#This Row],[Eff_Age]]*Lookups!$B$14</f>
        <v>0</v>
      </c>
      <c r="BM2647" s="6">
        <f>Grandview_Inventory[[#This Row],[living_area]]*Lookups!$B$15</f>
        <v>0</v>
      </c>
      <c r="BN2647" s="6">
        <f>Grandview_Inventory[[#This Row],[Fin BSMT]]*Lookups!$B$16</f>
        <v>0</v>
      </c>
      <c r="BO2647" s="6">
        <f>(Grandview_Inventory[[#This Row],[att_gar]]+Grandview_Inventory[[#This Row],[bltin_gar]])*Lookups!$B$17</f>
        <v>0</v>
      </c>
      <c r="BP2647" s="6">
        <f>Grandview_Inventory[[#This Row],[Plumbing Fixtures]]*Lookups!$B$18</f>
        <v>0</v>
      </c>
      <c r="BQ2647" s="6">
        <f>Grandview_Inventory[[#This Row],[detatched_value]]*Lookups!$B$19</f>
        <v>0</v>
      </c>
      <c r="BR2647" s="6">
        <f>SUM(Grandview_Inventory[[#This Row],[Intercept]:[det_value]])*Grandview_Inventory[[#This Row],[res_pct]]</f>
        <v>0</v>
      </c>
      <c r="BS2647" s="6">
        <f>Grandview_Inventory[[#This Row],[land_value]]</f>
        <v>96165.24759363303</v>
      </c>
      <c r="BT2647" s="4">
        <f>_xlfn.IFNA(VLOOKUP(Grandview_Inventory[[#This Row],[quality]],Lookups!$A$26:$C$33,3,FALSE),1)</f>
        <v>1</v>
      </c>
      <c r="BU2647" s="4">
        <f>_xlfn.IFNA(VLOOKUP(Grandview_Inventory[[#This Row],[condition]],Lookups!$A$37:$C$44,3,FALSE),1)</f>
        <v>1</v>
      </c>
      <c r="BV2647" s="4">
        <f>IF(Grandview_Inventory[[#This Row],[bldg_style]]="",1,_xlfn.IFNA(VLOOKUP(Grandview_Inventory[[#This Row],[decade]],Lookups!$F$29:$H$43,3,FALSE),1))</f>
        <v>1</v>
      </c>
      <c r="BW2647" s="4">
        <f>_xlfn.IFNA(VLOOKUP(Grandview_Inventory[[#This Row],[living_area_range]],Lookups!$F$47:$H$56,3,FALSE),1)</f>
        <v>1</v>
      </c>
      <c r="BX2647" s="4">
        <f>AVERAGE(Grandview_Inventory[[#This Row],[qual_adj]:[size_adj]])</f>
        <v>1</v>
      </c>
      <c r="BY2647" s="6">
        <f>IF(Grandview_Inventory[[#This Row],[pre_res]]&lt;0,0,Grandview_Inventory[[#This Row],[pre_res]]*Grandview_Inventory[[#This Row],[overall_adj]])</f>
        <v>0</v>
      </c>
      <c r="BZ2647" s="6">
        <f>(Grandview_Inventory[[#This Row],[sum_land]]-IF(Grandview_Inventory[[#This Row],[no_utilities]]=1,12000,0))/IF(Grandview_Inventory[[#This Row],[unbuildable]]=1,2,1)</f>
        <v>96165.24759363303</v>
      </c>
      <c r="CA2647">
        <f>IF(ROUND(Grandview_Inventory[[#This Row],[adj_land]]*Lookups!$M$28,-2)&lt;Grandview_Inventory[[#This Row],[min_land]],Grandview_Inventory[[#This Row],[min_land]],ROUND(Grandview_Inventory[[#This Row],[adj_land]]*Lookups!$M$28,-2))</f>
        <v>91400</v>
      </c>
      <c r="CB2647">
        <f>ROUND(Grandview_Inventory[[#This Row],[det_value]]*Lookups!$M$28,-2)</f>
        <v>0</v>
      </c>
      <c r="CC264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7">
        <f>Grandview_Inventory[[#This Row],[final_det]]+Grandview_Inventory[[#This Row],[final_res]]</f>
        <v>0</v>
      </c>
      <c r="CE2647">
        <f>Grandview_Inventory[[#This Row],[final_land]]+Grandview_Inventory[[#This Row],[final_imp]]+Grandview_Inventory[[#This Row],[crop_value]]</f>
        <v>91400</v>
      </c>
      <c r="CG2647" t="str">
        <f t="shared" si="41"/>
        <v>update valuation set market_land =91400, market_bldg=0, market_total =91400, market_mdno =401, market_date ='9/10/2023' where link_id = (select link_id from parcel where parcel_year = '2024' and parcel_id = '23092114410');</v>
      </c>
    </row>
    <row r="2648" spans="1:85" x14ac:dyDescent="0.25">
      <c r="A2648">
        <v>23092141403</v>
      </c>
      <c r="B2648">
        <v>0.36</v>
      </c>
      <c r="C2648" t="s">
        <v>129</v>
      </c>
      <c r="D2648" t="s">
        <v>129</v>
      </c>
      <c r="E2648" t="s">
        <v>53</v>
      </c>
      <c r="F2648" t="s">
        <v>53</v>
      </c>
      <c r="G2648">
        <v>4</v>
      </c>
      <c r="H2648" t="s">
        <v>54</v>
      </c>
      <c r="I2648">
        <v>0</v>
      </c>
      <c r="J2648">
        <v>38600</v>
      </c>
      <c r="K2648">
        <v>0.36</v>
      </c>
      <c r="L2648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2648">
        <v>0</v>
      </c>
      <c r="N2648">
        <v>0</v>
      </c>
      <c r="O2648">
        <v>0</v>
      </c>
      <c r="P2648">
        <v>13398.7528</v>
      </c>
      <c r="Q2648">
        <v>63903</v>
      </c>
      <c r="R2648">
        <f>(Grandview_Inventory[[#This Row],[ln_acres]]*Grandview_Inventory[[#This Row],[coeff]])+Grandview_Inventory[[#This Row],[const]]</f>
        <v>50214.147486507369</v>
      </c>
      <c r="AY2648">
        <v>0</v>
      </c>
      <c r="AZ2648">
        <v>0</v>
      </c>
      <c r="BE2648">
        <v>0</v>
      </c>
      <c r="BF2648">
        <v>15000</v>
      </c>
      <c r="BG2648">
        <v>0</v>
      </c>
      <c r="BH2648" s="6">
        <f>Grandview_Inventory[[#This Row],[land_extract]]*Lookups!$B$3</f>
        <v>58313.55389788279</v>
      </c>
      <c r="BI2648" s="6">
        <f>IF(Grandview_Inventory[[#This Row],[bldg_style]]="",0,Lookups!$B$2)</f>
        <v>0</v>
      </c>
      <c r="BJ2648" s="6">
        <f>_xlfn.IFNA(VLOOKUP(Grandview_Inventory[[#This Row],[quality]],Lookups!$H$2:$J$14,3,FALSE),0)</f>
        <v>0</v>
      </c>
      <c r="BK2648" s="6">
        <f>_xlfn.IFNA(VLOOKUP(Grandview_Inventory[[#This Row],[condition]],Lookups!$H$17:$J$24,3,FALSE),0)</f>
        <v>0</v>
      </c>
      <c r="BL2648" s="6">
        <f>Grandview_Inventory[[#This Row],[Eff_Age]]*Lookups!$B$14</f>
        <v>0</v>
      </c>
      <c r="BM2648" s="6">
        <f>Grandview_Inventory[[#This Row],[living_area]]*Lookups!$B$15</f>
        <v>0</v>
      </c>
      <c r="BN2648" s="6">
        <f>Grandview_Inventory[[#This Row],[Fin BSMT]]*Lookups!$B$16</f>
        <v>0</v>
      </c>
      <c r="BO2648" s="6">
        <f>(Grandview_Inventory[[#This Row],[att_gar]]+Grandview_Inventory[[#This Row],[bltin_gar]])*Lookups!$B$17</f>
        <v>0</v>
      </c>
      <c r="BP2648" s="6">
        <f>Grandview_Inventory[[#This Row],[Plumbing Fixtures]]*Lookups!$B$18</f>
        <v>0</v>
      </c>
      <c r="BQ2648" s="6">
        <f>Grandview_Inventory[[#This Row],[detatched_value]]*Lookups!$B$19</f>
        <v>0</v>
      </c>
      <c r="BR2648" s="6">
        <f>SUM(Grandview_Inventory[[#This Row],[Intercept]:[det_value]])*Grandview_Inventory[[#This Row],[res_pct]]</f>
        <v>0</v>
      </c>
      <c r="BS2648" s="6">
        <f>Grandview_Inventory[[#This Row],[land_value]]</f>
        <v>58313.55389788279</v>
      </c>
      <c r="BT2648" s="4">
        <f>_xlfn.IFNA(VLOOKUP(Grandview_Inventory[[#This Row],[quality]],Lookups!$A$26:$C$33,3,FALSE),1)</f>
        <v>1</v>
      </c>
      <c r="BU2648" s="4">
        <f>_xlfn.IFNA(VLOOKUP(Grandview_Inventory[[#This Row],[condition]],Lookups!$A$37:$C$44,3,FALSE),1)</f>
        <v>1</v>
      </c>
      <c r="BV2648" s="4">
        <f>IF(Grandview_Inventory[[#This Row],[bldg_style]]="",1,_xlfn.IFNA(VLOOKUP(Grandview_Inventory[[#This Row],[decade]],Lookups!$F$29:$H$43,3,FALSE),1))</f>
        <v>1</v>
      </c>
      <c r="BW2648" s="4">
        <f>_xlfn.IFNA(VLOOKUP(Grandview_Inventory[[#This Row],[living_area_range]],Lookups!$F$47:$H$56,3,FALSE),1)</f>
        <v>1</v>
      </c>
      <c r="BX2648" s="4">
        <f>AVERAGE(Grandview_Inventory[[#This Row],[qual_adj]:[size_adj]])</f>
        <v>1</v>
      </c>
      <c r="BY2648" s="6">
        <f>IF(Grandview_Inventory[[#This Row],[pre_res]]&lt;0,0,Grandview_Inventory[[#This Row],[pre_res]]*Grandview_Inventory[[#This Row],[overall_adj]])</f>
        <v>0</v>
      </c>
      <c r="BZ2648" s="6">
        <f>(Grandview_Inventory[[#This Row],[sum_land]]-IF(Grandview_Inventory[[#This Row],[no_utilities]]=1,12000,0))/IF(Grandview_Inventory[[#This Row],[unbuildable]]=1,2,1)</f>
        <v>58313.55389788279</v>
      </c>
      <c r="CA2648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2648">
        <f>ROUND(Grandview_Inventory[[#This Row],[det_value]]*Lookups!$M$28,-2)</f>
        <v>0</v>
      </c>
      <c r="CC264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8">
        <f>Grandview_Inventory[[#This Row],[final_det]]+Grandview_Inventory[[#This Row],[final_res]]</f>
        <v>0</v>
      </c>
      <c r="CE2648">
        <f>Grandview_Inventory[[#This Row],[final_land]]+Grandview_Inventory[[#This Row],[final_imp]]+Grandview_Inventory[[#This Row],[crop_value]]</f>
        <v>55400</v>
      </c>
      <c r="CG2648" t="str">
        <f t="shared" si="41"/>
        <v>update valuation set market_land =55400, market_bldg=0, market_total =55400, market_mdno =401, market_date ='9/10/2023' where link_id = (select link_id from parcel where parcel_year = '2024' and parcel_id = '23092141403');</v>
      </c>
    </row>
    <row r="2649" spans="1:85" x14ac:dyDescent="0.25">
      <c r="A2649">
        <v>23092141416</v>
      </c>
      <c r="B2649">
        <v>18.45</v>
      </c>
      <c r="C2649" t="s">
        <v>129</v>
      </c>
      <c r="D2649" t="s">
        <v>129</v>
      </c>
      <c r="E2649" t="s">
        <v>53</v>
      </c>
      <c r="F2649" t="s">
        <v>53</v>
      </c>
      <c r="G2649">
        <v>4</v>
      </c>
      <c r="H2649" t="s">
        <v>54</v>
      </c>
      <c r="I2649">
        <v>0</v>
      </c>
      <c r="J2649">
        <v>284600</v>
      </c>
      <c r="K2649">
        <v>18.45</v>
      </c>
      <c r="L2649">
        <f>IF(Grandview_Inventory[[#This Row],[parcel_acres]]-Grandview_Inventory[[#This Row],[non_valued_acres]] =0,0,LN(Grandview_Inventory[[#This Row],[parcel_acres]]-Grandview_Inventory[[#This Row],[non_valued_acres]]))</f>
        <v>2.9150643704865362</v>
      </c>
      <c r="M2649">
        <v>0</v>
      </c>
      <c r="N2649">
        <v>0</v>
      </c>
      <c r="O2649">
        <v>0</v>
      </c>
      <c r="P2649">
        <v>13398.7528</v>
      </c>
      <c r="Q2649">
        <v>63903</v>
      </c>
      <c r="R2649">
        <f>(Grandview_Inventory[[#This Row],[ln_acres]]*Grandview_Inventory[[#This Row],[coeff]])+Grandview_Inventory[[#This Row],[const]]</f>
        <v>102961.22689623671</v>
      </c>
      <c r="AY2649">
        <v>77900</v>
      </c>
      <c r="AZ2649">
        <v>0</v>
      </c>
      <c r="BE2649">
        <v>0</v>
      </c>
      <c r="BF2649">
        <v>15000</v>
      </c>
      <c r="BG2649">
        <v>0</v>
      </c>
      <c r="BH2649" s="6">
        <f>Grandview_Inventory[[#This Row],[land_extract]]*Lookups!$B$3</f>
        <v>119568.59479928706</v>
      </c>
      <c r="BI2649" s="6">
        <f>IF(Grandview_Inventory[[#This Row],[bldg_style]]="",0,Lookups!$B$2)</f>
        <v>0</v>
      </c>
      <c r="BJ2649" s="6">
        <f>_xlfn.IFNA(VLOOKUP(Grandview_Inventory[[#This Row],[quality]],Lookups!$H$2:$J$14,3,FALSE),0)</f>
        <v>0</v>
      </c>
      <c r="BK2649" s="6">
        <f>_xlfn.IFNA(VLOOKUP(Grandview_Inventory[[#This Row],[condition]],Lookups!$H$17:$J$24,3,FALSE),0)</f>
        <v>0</v>
      </c>
      <c r="BL2649" s="6">
        <f>Grandview_Inventory[[#This Row],[Eff_Age]]*Lookups!$B$14</f>
        <v>0</v>
      </c>
      <c r="BM2649" s="6">
        <f>Grandview_Inventory[[#This Row],[living_area]]*Lookups!$B$15</f>
        <v>0</v>
      </c>
      <c r="BN2649" s="6">
        <f>Grandview_Inventory[[#This Row],[Fin BSMT]]*Lookups!$B$16</f>
        <v>0</v>
      </c>
      <c r="BO2649" s="6">
        <f>(Grandview_Inventory[[#This Row],[att_gar]]+Grandview_Inventory[[#This Row],[bltin_gar]])*Lookups!$B$17</f>
        <v>0</v>
      </c>
      <c r="BP2649" s="6">
        <f>Grandview_Inventory[[#This Row],[Plumbing Fixtures]]*Lookups!$B$18</f>
        <v>0</v>
      </c>
      <c r="BQ2649" s="6">
        <f>Grandview_Inventory[[#This Row],[detatched_value]]*Lookups!$B$19</f>
        <v>0</v>
      </c>
      <c r="BR2649" s="6">
        <f>SUM(Grandview_Inventory[[#This Row],[Intercept]:[det_value]])*Grandview_Inventory[[#This Row],[res_pct]]</f>
        <v>0</v>
      </c>
      <c r="BS2649" s="6">
        <f>Grandview_Inventory[[#This Row],[land_value]]</f>
        <v>119568.59479928706</v>
      </c>
      <c r="BT2649" s="4">
        <f>_xlfn.IFNA(VLOOKUP(Grandview_Inventory[[#This Row],[quality]],Lookups!$A$26:$C$33,3,FALSE),1)</f>
        <v>1</v>
      </c>
      <c r="BU2649" s="4">
        <f>_xlfn.IFNA(VLOOKUP(Grandview_Inventory[[#This Row],[condition]],Lookups!$A$37:$C$44,3,FALSE),1)</f>
        <v>1</v>
      </c>
      <c r="BV2649" s="4">
        <f>IF(Grandview_Inventory[[#This Row],[bldg_style]]="",1,_xlfn.IFNA(VLOOKUP(Grandview_Inventory[[#This Row],[decade]],Lookups!$F$29:$H$43,3,FALSE),1))</f>
        <v>1</v>
      </c>
      <c r="BW2649" s="4">
        <f>_xlfn.IFNA(VLOOKUP(Grandview_Inventory[[#This Row],[living_area_range]],Lookups!$F$47:$H$56,3,FALSE),1)</f>
        <v>1</v>
      </c>
      <c r="BX2649" s="4">
        <f>AVERAGE(Grandview_Inventory[[#This Row],[qual_adj]:[size_adj]])</f>
        <v>1</v>
      </c>
      <c r="BY2649" s="6">
        <f>IF(Grandview_Inventory[[#This Row],[pre_res]]&lt;0,0,Grandview_Inventory[[#This Row],[pre_res]]*Grandview_Inventory[[#This Row],[overall_adj]])</f>
        <v>0</v>
      </c>
      <c r="BZ2649" s="6">
        <f>(Grandview_Inventory[[#This Row],[sum_land]]-IF(Grandview_Inventory[[#This Row],[no_utilities]]=1,12000,0))/IF(Grandview_Inventory[[#This Row],[unbuildable]]=1,2,1)</f>
        <v>119568.59479928706</v>
      </c>
      <c r="CA2649">
        <f>IF(ROUND(Grandview_Inventory[[#This Row],[adj_land]]*Lookups!$M$28,-2)&lt;Grandview_Inventory[[#This Row],[min_land]],Grandview_Inventory[[#This Row],[min_land]],ROUND(Grandview_Inventory[[#This Row],[adj_land]]*Lookups!$M$28,-2))</f>
        <v>113600</v>
      </c>
      <c r="CB2649">
        <f>ROUND(Grandview_Inventory[[#This Row],[det_value]]*Lookups!$M$28,-2)</f>
        <v>0</v>
      </c>
      <c r="CC264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49">
        <f>Grandview_Inventory[[#This Row],[final_det]]+Grandview_Inventory[[#This Row],[final_res]]</f>
        <v>0</v>
      </c>
      <c r="CE2649">
        <f>Grandview_Inventory[[#This Row],[final_land]]+Grandview_Inventory[[#This Row],[final_imp]]+Grandview_Inventory[[#This Row],[crop_value]]</f>
        <v>191500</v>
      </c>
      <c r="CG2649" t="str">
        <f t="shared" si="41"/>
        <v>update valuation set market_land =113600, market_bldg=0, market_total =191500, market_mdno =401, market_date ='9/10/2023' where link_id = (select link_id from parcel where parcel_year = '2024' and parcel_id = '23092141416');</v>
      </c>
    </row>
    <row r="2650" spans="1:85" x14ac:dyDescent="0.25">
      <c r="A2650">
        <v>23092144408</v>
      </c>
      <c r="B2650">
        <v>4.96</v>
      </c>
      <c r="C2650" t="s">
        <v>129</v>
      </c>
      <c r="D2650" t="s">
        <v>129</v>
      </c>
      <c r="E2650" t="s">
        <v>53</v>
      </c>
      <c r="F2650" t="s">
        <v>53</v>
      </c>
      <c r="G2650">
        <v>4</v>
      </c>
      <c r="H2650" t="s">
        <v>54</v>
      </c>
      <c r="I2650">
        <v>0</v>
      </c>
      <c r="J2650">
        <v>69200</v>
      </c>
      <c r="K2650">
        <v>4.96</v>
      </c>
      <c r="L2650">
        <f>IF(Grandview_Inventory[[#This Row],[parcel_acres]]-Grandview_Inventory[[#This Row],[non_valued_acres]] =0,0,LN(Grandview_Inventory[[#This Row],[parcel_acres]]-Grandview_Inventory[[#This Row],[non_valued_acres]]))</f>
        <v>1.6014057407368361</v>
      </c>
      <c r="M2650">
        <v>0</v>
      </c>
      <c r="N2650">
        <v>0</v>
      </c>
      <c r="O2650">
        <v>0</v>
      </c>
      <c r="P2650">
        <v>13398.7528</v>
      </c>
      <c r="Q2650">
        <v>63903</v>
      </c>
      <c r="R2650">
        <f>(Grandview_Inventory[[#This Row],[ln_acres]]*Grandview_Inventory[[#This Row],[coeff]])+Grandview_Inventory[[#This Row],[const]]</f>
        <v>85359.83965263376</v>
      </c>
      <c r="AY2650">
        <v>0</v>
      </c>
      <c r="AZ2650">
        <v>0</v>
      </c>
      <c r="BE2650">
        <v>0</v>
      </c>
      <c r="BF2650">
        <v>15000</v>
      </c>
      <c r="BG2650">
        <v>0</v>
      </c>
      <c r="BH2650" s="6">
        <f>Grandview_Inventory[[#This Row],[land_extract]]*Lookups!$B$3</f>
        <v>99128.151317036522</v>
      </c>
      <c r="BI2650" s="6">
        <f>IF(Grandview_Inventory[[#This Row],[bldg_style]]="",0,Lookups!$B$2)</f>
        <v>0</v>
      </c>
      <c r="BJ2650" s="6">
        <f>_xlfn.IFNA(VLOOKUP(Grandview_Inventory[[#This Row],[quality]],Lookups!$H$2:$J$14,3,FALSE),0)</f>
        <v>0</v>
      </c>
      <c r="BK2650" s="6">
        <f>_xlfn.IFNA(VLOOKUP(Grandview_Inventory[[#This Row],[condition]],Lookups!$H$17:$J$24,3,FALSE),0)</f>
        <v>0</v>
      </c>
      <c r="BL2650" s="6">
        <f>Grandview_Inventory[[#This Row],[Eff_Age]]*Lookups!$B$14</f>
        <v>0</v>
      </c>
      <c r="BM2650" s="6">
        <f>Grandview_Inventory[[#This Row],[living_area]]*Lookups!$B$15</f>
        <v>0</v>
      </c>
      <c r="BN2650" s="6">
        <f>Grandview_Inventory[[#This Row],[Fin BSMT]]*Lookups!$B$16</f>
        <v>0</v>
      </c>
      <c r="BO2650" s="6">
        <f>(Grandview_Inventory[[#This Row],[att_gar]]+Grandview_Inventory[[#This Row],[bltin_gar]])*Lookups!$B$17</f>
        <v>0</v>
      </c>
      <c r="BP2650" s="6">
        <f>Grandview_Inventory[[#This Row],[Plumbing Fixtures]]*Lookups!$B$18</f>
        <v>0</v>
      </c>
      <c r="BQ2650" s="6">
        <f>Grandview_Inventory[[#This Row],[detatched_value]]*Lookups!$B$19</f>
        <v>0</v>
      </c>
      <c r="BR2650" s="6">
        <f>SUM(Grandview_Inventory[[#This Row],[Intercept]:[det_value]])*Grandview_Inventory[[#This Row],[res_pct]]</f>
        <v>0</v>
      </c>
      <c r="BS2650" s="6">
        <f>Grandview_Inventory[[#This Row],[land_value]]</f>
        <v>99128.151317036522</v>
      </c>
      <c r="BT2650" s="4">
        <f>_xlfn.IFNA(VLOOKUP(Grandview_Inventory[[#This Row],[quality]],Lookups!$A$26:$C$33,3,FALSE),1)</f>
        <v>1</v>
      </c>
      <c r="BU2650" s="4">
        <f>_xlfn.IFNA(VLOOKUP(Grandview_Inventory[[#This Row],[condition]],Lookups!$A$37:$C$44,3,FALSE),1)</f>
        <v>1</v>
      </c>
      <c r="BV2650" s="4">
        <f>IF(Grandview_Inventory[[#This Row],[bldg_style]]="",1,_xlfn.IFNA(VLOOKUP(Grandview_Inventory[[#This Row],[decade]],Lookups!$F$29:$H$43,3,FALSE),1))</f>
        <v>1</v>
      </c>
      <c r="BW2650" s="4">
        <f>_xlfn.IFNA(VLOOKUP(Grandview_Inventory[[#This Row],[living_area_range]],Lookups!$F$47:$H$56,3,FALSE),1)</f>
        <v>1</v>
      </c>
      <c r="BX2650" s="4">
        <f>AVERAGE(Grandview_Inventory[[#This Row],[qual_adj]:[size_adj]])</f>
        <v>1</v>
      </c>
      <c r="BY2650" s="6">
        <f>IF(Grandview_Inventory[[#This Row],[pre_res]]&lt;0,0,Grandview_Inventory[[#This Row],[pre_res]]*Grandview_Inventory[[#This Row],[overall_adj]])</f>
        <v>0</v>
      </c>
      <c r="BZ2650" s="6">
        <f>(Grandview_Inventory[[#This Row],[sum_land]]-IF(Grandview_Inventory[[#This Row],[no_utilities]]=1,12000,0))/IF(Grandview_Inventory[[#This Row],[unbuildable]]=1,2,1)</f>
        <v>99128.151317036522</v>
      </c>
      <c r="CA2650">
        <f>IF(ROUND(Grandview_Inventory[[#This Row],[adj_land]]*Lookups!$M$28,-2)&lt;Grandview_Inventory[[#This Row],[min_land]],Grandview_Inventory[[#This Row],[min_land]],ROUND(Grandview_Inventory[[#This Row],[adj_land]]*Lookups!$M$28,-2))</f>
        <v>94200</v>
      </c>
      <c r="CB2650">
        <f>ROUND(Grandview_Inventory[[#This Row],[det_value]]*Lookups!$M$28,-2)</f>
        <v>0</v>
      </c>
      <c r="CC265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0">
        <f>Grandview_Inventory[[#This Row],[final_det]]+Grandview_Inventory[[#This Row],[final_res]]</f>
        <v>0</v>
      </c>
      <c r="CE2650">
        <f>Grandview_Inventory[[#This Row],[final_land]]+Grandview_Inventory[[#This Row],[final_imp]]+Grandview_Inventory[[#This Row],[crop_value]]</f>
        <v>94200</v>
      </c>
      <c r="CG2650" t="str">
        <f t="shared" si="41"/>
        <v>update valuation set market_land =94200, market_bldg=0, market_total =94200, market_mdno =401, market_date ='9/10/2023' where link_id = (select link_id from parcel where parcel_year = '2024' and parcel_id = '23092144408');</v>
      </c>
    </row>
    <row r="2651" spans="1:85" x14ac:dyDescent="0.25">
      <c r="A2651">
        <v>23092212002</v>
      </c>
      <c r="B2651">
        <v>4.5199999999999996</v>
      </c>
      <c r="C2651">
        <v>196764</v>
      </c>
      <c r="D2651" t="s">
        <v>129</v>
      </c>
      <c r="E2651" t="s">
        <v>53</v>
      </c>
      <c r="F2651" t="s">
        <v>53</v>
      </c>
      <c r="G2651">
        <v>4</v>
      </c>
      <c r="H2651" t="s">
        <v>54</v>
      </c>
      <c r="I2651">
        <v>0</v>
      </c>
      <c r="J2651">
        <v>40400</v>
      </c>
      <c r="K2651">
        <v>4.5199999999999996</v>
      </c>
      <c r="L2651">
        <f>IF(Grandview_Inventory[[#This Row],[parcel_acres]]-Grandview_Inventory[[#This Row],[non_valued_acres]] =0,0,LN(Grandview_Inventory[[#This Row],[parcel_acres]]-Grandview_Inventory[[#This Row],[non_valued_acres]]))</f>
        <v>1.5085119938441398</v>
      </c>
      <c r="M2651">
        <v>0</v>
      </c>
      <c r="N2651">
        <v>0</v>
      </c>
      <c r="O2651">
        <v>0</v>
      </c>
      <c r="P2651">
        <v>13398.7528</v>
      </c>
      <c r="Q2651">
        <v>63903</v>
      </c>
      <c r="R2651">
        <f>(Grandview_Inventory[[#This Row],[ln_acres]]*Grandview_Inventory[[#This Row],[coeff]])+Grandview_Inventory[[#This Row],[const]]</f>
        <v>84115.179301352749</v>
      </c>
      <c r="AY2651">
        <v>0</v>
      </c>
      <c r="AZ2651">
        <v>0</v>
      </c>
      <c r="BE2651">
        <v>0</v>
      </c>
      <c r="BF2651">
        <v>15000</v>
      </c>
      <c r="BG2651">
        <v>0</v>
      </c>
      <c r="BH2651" s="6">
        <f>Grandview_Inventory[[#This Row],[land_extract]]*Lookups!$B$3</f>
        <v>97682.73061167683</v>
      </c>
      <c r="BI2651" s="6">
        <f>IF(Grandview_Inventory[[#This Row],[bldg_style]]="",0,Lookups!$B$2)</f>
        <v>0</v>
      </c>
      <c r="BJ2651" s="6">
        <f>_xlfn.IFNA(VLOOKUP(Grandview_Inventory[[#This Row],[quality]],Lookups!$H$2:$J$14,3,FALSE),0)</f>
        <v>0</v>
      </c>
      <c r="BK2651" s="6">
        <f>_xlfn.IFNA(VLOOKUP(Grandview_Inventory[[#This Row],[condition]],Lookups!$H$17:$J$24,3,FALSE),0)</f>
        <v>0</v>
      </c>
      <c r="BL2651" s="6">
        <f>Grandview_Inventory[[#This Row],[Eff_Age]]*Lookups!$B$14</f>
        <v>0</v>
      </c>
      <c r="BM2651" s="6">
        <f>Grandview_Inventory[[#This Row],[living_area]]*Lookups!$B$15</f>
        <v>0</v>
      </c>
      <c r="BN2651" s="6">
        <f>Grandview_Inventory[[#This Row],[Fin BSMT]]*Lookups!$B$16</f>
        <v>0</v>
      </c>
      <c r="BO2651" s="6">
        <f>(Grandview_Inventory[[#This Row],[att_gar]]+Grandview_Inventory[[#This Row],[bltin_gar]])*Lookups!$B$17</f>
        <v>0</v>
      </c>
      <c r="BP2651" s="6">
        <f>Grandview_Inventory[[#This Row],[Plumbing Fixtures]]*Lookups!$B$18</f>
        <v>0</v>
      </c>
      <c r="BQ2651" s="6">
        <f>Grandview_Inventory[[#This Row],[detatched_value]]*Lookups!$B$19</f>
        <v>0</v>
      </c>
      <c r="BR2651" s="6">
        <f>SUM(Grandview_Inventory[[#This Row],[Intercept]:[det_value]])*Grandview_Inventory[[#This Row],[res_pct]]</f>
        <v>0</v>
      </c>
      <c r="BS2651" s="6">
        <f>Grandview_Inventory[[#This Row],[land_value]]</f>
        <v>97682.73061167683</v>
      </c>
      <c r="BT2651" s="4">
        <f>_xlfn.IFNA(VLOOKUP(Grandview_Inventory[[#This Row],[quality]],Lookups!$A$26:$C$33,3,FALSE),1)</f>
        <v>1</v>
      </c>
      <c r="BU2651" s="4">
        <f>_xlfn.IFNA(VLOOKUP(Grandview_Inventory[[#This Row],[condition]],Lookups!$A$37:$C$44,3,FALSE),1)</f>
        <v>1</v>
      </c>
      <c r="BV2651" s="4">
        <f>IF(Grandview_Inventory[[#This Row],[bldg_style]]="",1,_xlfn.IFNA(VLOOKUP(Grandview_Inventory[[#This Row],[decade]],Lookups!$F$29:$H$43,3,FALSE),1))</f>
        <v>1</v>
      </c>
      <c r="BW2651" s="4">
        <f>_xlfn.IFNA(VLOOKUP(Grandview_Inventory[[#This Row],[living_area_range]],Lookups!$F$47:$H$56,3,FALSE),1)</f>
        <v>1</v>
      </c>
      <c r="BX2651" s="4">
        <f>AVERAGE(Grandview_Inventory[[#This Row],[qual_adj]:[size_adj]])</f>
        <v>1</v>
      </c>
      <c r="BY2651" s="6">
        <f>IF(Grandview_Inventory[[#This Row],[pre_res]]&lt;0,0,Grandview_Inventory[[#This Row],[pre_res]]*Grandview_Inventory[[#This Row],[overall_adj]])</f>
        <v>0</v>
      </c>
      <c r="BZ2651" s="6">
        <f>(Grandview_Inventory[[#This Row],[sum_land]]-IF(Grandview_Inventory[[#This Row],[no_utilities]]=1,12000,0))/IF(Grandview_Inventory[[#This Row],[unbuildable]]=1,2,1)</f>
        <v>97682.73061167683</v>
      </c>
      <c r="CA2651">
        <f>IF(ROUND(Grandview_Inventory[[#This Row],[adj_land]]*Lookups!$M$28,-2)&lt;Grandview_Inventory[[#This Row],[min_land]],Grandview_Inventory[[#This Row],[min_land]],ROUND(Grandview_Inventory[[#This Row],[adj_land]]*Lookups!$M$28,-2))</f>
        <v>92800</v>
      </c>
      <c r="CB2651">
        <f>ROUND(Grandview_Inventory[[#This Row],[det_value]]*Lookups!$M$28,-2)</f>
        <v>0</v>
      </c>
      <c r="CC265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1">
        <f>Grandview_Inventory[[#This Row],[final_det]]+Grandview_Inventory[[#This Row],[final_res]]</f>
        <v>0</v>
      </c>
      <c r="CE2651">
        <f>Grandview_Inventory[[#This Row],[final_land]]+Grandview_Inventory[[#This Row],[final_imp]]+Grandview_Inventory[[#This Row],[crop_value]]</f>
        <v>92800</v>
      </c>
      <c r="CG2651" t="str">
        <f t="shared" si="41"/>
        <v>update valuation set market_land =92800, market_bldg=0, market_total =92800, market_mdno =401, market_date ='9/10/2023' where link_id = (select link_id from parcel where parcel_year = '2024' and parcel_id = '23092212002');</v>
      </c>
    </row>
    <row r="2652" spans="1:85" x14ac:dyDescent="0.25">
      <c r="A2652">
        <v>23092212004</v>
      </c>
      <c r="B2652">
        <v>0.95</v>
      </c>
      <c r="C2652">
        <v>41393</v>
      </c>
      <c r="D2652" t="s">
        <v>129</v>
      </c>
      <c r="E2652" t="s">
        <v>53</v>
      </c>
      <c r="F2652" t="s">
        <v>53</v>
      </c>
      <c r="G2652">
        <v>4</v>
      </c>
      <c r="H2652" t="s">
        <v>54</v>
      </c>
      <c r="I2652">
        <v>0</v>
      </c>
      <c r="J2652">
        <v>43700</v>
      </c>
      <c r="K2652">
        <v>0.95</v>
      </c>
      <c r="L2652">
        <f>IF(Grandview_Inventory[[#This Row],[parcel_acres]]-Grandview_Inventory[[#This Row],[non_valued_acres]] =0,0,LN(Grandview_Inventory[[#This Row],[parcel_acres]]-Grandview_Inventory[[#This Row],[non_valued_acres]]))</f>
        <v>-5.1293294387550578E-2</v>
      </c>
      <c r="M2652">
        <v>0</v>
      </c>
      <c r="N2652">
        <v>0</v>
      </c>
      <c r="O2652">
        <v>0</v>
      </c>
      <c r="P2652">
        <v>13398.7528</v>
      </c>
      <c r="Q2652">
        <v>63903</v>
      </c>
      <c r="R2652">
        <f>(Grandview_Inventory[[#This Row],[ln_acres]]*Grandview_Inventory[[#This Row],[coeff]])+Grandview_Inventory[[#This Row],[const]]</f>
        <v>63215.733828203585</v>
      </c>
      <c r="AY2652">
        <v>0</v>
      </c>
      <c r="AZ2652">
        <v>0</v>
      </c>
      <c r="BE2652">
        <v>0</v>
      </c>
      <c r="BF2652">
        <v>15000</v>
      </c>
      <c r="BG2652">
        <v>0</v>
      </c>
      <c r="BH2652" s="6">
        <f>Grandview_Inventory[[#This Row],[land_extract]]*Lookups!$B$3</f>
        <v>73412.261012211486</v>
      </c>
      <c r="BI2652" s="6">
        <f>IF(Grandview_Inventory[[#This Row],[bldg_style]]="",0,Lookups!$B$2)</f>
        <v>0</v>
      </c>
      <c r="BJ2652" s="6">
        <f>_xlfn.IFNA(VLOOKUP(Grandview_Inventory[[#This Row],[quality]],Lookups!$H$2:$J$14,3,FALSE),0)</f>
        <v>0</v>
      </c>
      <c r="BK2652" s="6">
        <f>_xlfn.IFNA(VLOOKUP(Grandview_Inventory[[#This Row],[condition]],Lookups!$H$17:$J$24,3,FALSE),0)</f>
        <v>0</v>
      </c>
      <c r="BL2652" s="6">
        <f>Grandview_Inventory[[#This Row],[Eff_Age]]*Lookups!$B$14</f>
        <v>0</v>
      </c>
      <c r="BM2652" s="6">
        <f>Grandview_Inventory[[#This Row],[living_area]]*Lookups!$B$15</f>
        <v>0</v>
      </c>
      <c r="BN2652" s="6">
        <f>Grandview_Inventory[[#This Row],[Fin BSMT]]*Lookups!$B$16</f>
        <v>0</v>
      </c>
      <c r="BO2652" s="6">
        <f>(Grandview_Inventory[[#This Row],[att_gar]]+Grandview_Inventory[[#This Row],[bltin_gar]])*Lookups!$B$17</f>
        <v>0</v>
      </c>
      <c r="BP2652" s="6">
        <f>Grandview_Inventory[[#This Row],[Plumbing Fixtures]]*Lookups!$B$18</f>
        <v>0</v>
      </c>
      <c r="BQ2652" s="6">
        <f>Grandview_Inventory[[#This Row],[detatched_value]]*Lookups!$B$19</f>
        <v>0</v>
      </c>
      <c r="BR2652" s="6">
        <f>SUM(Grandview_Inventory[[#This Row],[Intercept]:[det_value]])*Grandview_Inventory[[#This Row],[res_pct]]</f>
        <v>0</v>
      </c>
      <c r="BS2652" s="6">
        <f>Grandview_Inventory[[#This Row],[land_value]]</f>
        <v>73412.261012211486</v>
      </c>
      <c r="BT2652" s="4">
        <f>_xlfn.IFNA(VLOOKUP(Grandview_Inventory[[#This Row],[quality]],Lookups!$A$26:$C$33,3,FALSE),1)</f>
        <v>1</v>
      </c>
      <c r="BU2652" s="4">
        <f>_xlfn.IFNA(VLOOKUP(Grandview_Inventory[[#This Row],[condition]],Lookups!$A$37:$C$44,3,FALSE),1)</f>
        <v>1</v>
      </c>
      <c r="BV2652" s="4">
        <f>IF(Grandview_Inventory[[#This Row],[bldg_style]]="",1,_xlfn.IFNA(VLOOKUP(Grandview_Inventory[[#This Row],[decade]],Lookups!$F$29:$H$43,3,FALSE),1))</f>
        <v>1</v>
      </c>
      <c r="BW2652" s="4">
        <f>_xlfn.IFNA(VLOOKUP(Grandview_Inventory[[#This Row],[living_area_range]],Lookups!$F$47:$H$56,3,FALSE),1)</f>
        <v>1</v>
      </c>
      <c r="BX2652" s="4">
        <f>AVERAGE(Grandview_Inventory[[#This Row],[qual_adj]:[size_adj]])</f>
        <v>1</v>
      </c>
      <c r="BY2652" s="6">
        <f>IF(Grandview_Inventory[[#This Row],[pre_res]]&lt;0,0,Grandview_Inventory[[#This Row],[pre_res]]*Grandview_Inventory[[#This Row],[overall_adj]])</f>
        <v>0</v>
      </c>
      <c r="BZ2652" s="6">
        <f>(Grandview_Inventory[[#This Row],[sum_land]]-IF(Grandview_Inventory[[#This Row],[no_utilities]]=1,12000,0))/IF(Grandview_Inventory[[#This Row],[unbuildable]]=1,2,1)</f>
        <v>73412.261012211486</v>
      </c>
      <c r="CA2652">
        <f>IF(ROUND(Grandview_Inventory[[#This Row],[adj_land]]*Lookups!$M$28,-2)&lt;Grandview_Inventory[[#This Row],[min_land]],Grandview_Inventory[[#This Row],[min_land]],ROUND(Grandview_Inventory[[#This Row],[adj_land]]*Lookups!$M$28,-2))</f>
        <v>69700</v>
      </c>
      <c r="CB2652">
        <f>ROUND(Grandview_Inventory[[#This Row],[det_value]]*Lookups!$M$28,-2)</f>
        <v>0</v>
      </c>
      <c r="CC265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2">
        <f>Grandview_Inventory[[#This Row],[final_det]]+Grandview_Inventory[[#This Row],[final_res]]</f>
        <v>0</v>
      </c>
      <c r="CE2652">
        <f>Grandview_Inventory[[#This Row],[final_land]]+Grandview_Inventory[[#This Row],[final_imp]]+Grandview_Inventory[[#This Row],[crop_value]]</f>
        <v>69700</v>
      </c>
      <c r="CG2652" t="str">
        <f t="shared" si="41"/>
        <v>update valuation set market_land =69700, market_bldg=0, market_total =69700, market_mdno =401, market_date ='9/10/2023' where link_id = (select link_id from parcel where parcel_year = '2024' and parcel_id = '23092212004');</v>
      </c>
    </row>
    <row r="2653" spans="1:85" x14ac:dyDescent="0.25">
      <c r="A2653">
        <v>23092212006</v>
      </c>
      <c r="B2653">
        <v>0.93</v>
      </c>
      <c r="C2653">
        <v>40490</v>
      </c>
      <c r="D2653" t="s">
        <v>129</v>
      </c>
      <c r="E2653" t="s">
        <v>53</v>
      </c>
      <c r="F2653" t="s">
        <v>53</v>
      </c>
      <c r="G2653">
        <v>4</v>
      </c>
      <c r="H2653" t="s">
        <v>54</v>
      </c>
      <c r="I2653">
        <v>0</v>
      </c>
      <c r="J2653">
        <v>15400</v>
      </c>
      <c r="K2653">
        <v>0.93</v>
      </c>
      <c r="L2653">
        <f>IF(Grandview_Inventory[[#This Row],[parcel_acres]]-Grandview_Inventory[[#This Row],[non_valued_acres]] =0,0,LN(Grandview_Inventory[[#This Row],[parcel_acres]]-Grandview_Inventory[[#This Row],[non_valued_acres]]))</f>
        <v>-7.2570692834835374E-2</v>
      </c>
      <c r="M2653">
        <v>0</v>
      </c>
      <c r="N2653">
        <v>0</v>
      </c>
      <c r="O2653">
        <v>1</v>
      </c>
      <c r="P2653">
        <v>13398.7528</v>
      </c>
      <c r="Q2653">
        <v>63903</v>
      </c>
      <c r="R2653">
        <f>(Grandview_Inventory[[#This Row],[ln_acres]]*Grandview_Inventory[[#This Row],[coeff]])+Grandview_Inventory[[#This Row],[const]]</f>
        <v>62930.64322618131</v>
      </c>
      <c r="AY2653">
        <v>0</v>
      </c>
      <c r="AZ2653">
        <v>0</v>
      </c>
      <c r="BE2653">
        <v>0</v>
      </c>
      <c r="BF2653">
        <v>3000</v>
      </c>
      <c r="BG2653">
        <v>0</v>
      </c>
      <c r="BH2653" s="6">
        <f>Grandview_Inventory[[#This Row],[land_extract]]*Lookups!$B$3</f>
        <v>73081.186065827642</v>
      </c>
      <c r="BI2653" s="6">
        <f>IF(Grandview_Inventory[[#This Row],[bldg_style]]="",0,Lookups!$B$2)</f>
        <v>0</v>
      </c>
      <c r="BJ2653" s="6">
        <f>_xlfn.IFNA(VLOOKUP(Grandview_Inventory[[#This Row],[quality]],Lookups!$H$2:$J$14,3,FALSE),0)</f>
        <v>0</v>
      </c>
      <c r="BK2653" s="6">
        <f>_xlfn.IFNA(VLOOKUP(Grandview_Inventory[[#This Row],[condition]],Lookups!$H$17:$J$24,3,FALSE),0)</f>
        <v>0</v>
      </c>
      <c r="BL2653" s="6">
        <f>Grandview_Inventory[[#This Row],[Eff_Age]]*Lookups!$B$14</f>
        <v>0</v>
      </c>
      <c r="BM2653" s="6">
        <f>Grandview_Inventory[[#This Row],[living_area]]*Lookups!$B$15</f>
        <v>0</v>
      </c>
      <c r="BN2653" s="6">
        <f>Grandview_Inventory[[#This Row],[Fin BSMT]]*Lookups!$B$16</f>
        <v>0</v>
      </c>
      <c r="BO2653" s="6">
        <f>(Grandview_Inventory[[#This Row],[att_gar]]+Grandview_Inventory[[#This Row],[bltin_gar]])*Lookups!$B$17</f>
        <v>0</v>
      </c>
      <c r="BP2653" s="6">
        <f>Grandview_Inventory[[#This Row],[Plumbing Fixtures]]*Lookups!$B$18</f>
        <v>0</v>
      </c>
      <c r="BQ2653" s="6">
        <f>Grandview_Inventory[[#This Row],[detatched_value]]*Lookups!$B$19</f>
        <v>0</v>
      </c>
      <c r="BR2653" s="6">
        <f>SUM(Grandview_Inventory[[#This Row],[Intercept]:[det_value]])*Grandview_Inventory[[#This Row],[res_pct]]</f>
        <v>0</v>
      </c>
      <c r="BS2653" s="6">
        <f>Grandview_Inventory[[#This Row],[land_value]]</f>
        <v>73081.186065827642</v>
      </c>
      <c r="BT2653" s="4">
        <f>_xlfn.IFNA(VLOOKUP(Grandview_Inventory[[#This Row],[quality]],Lookups!$A$26:$C$33,3,FALSE),1)</f>
        <v>1</v>
      </c>
      <c r="BU2653" s="4">
        <f>_xlfn.IFNA(VLOOKUP(Grandview_Inventory[[#This Row],[condition]],Lookups!$A$37:$C$44,3,FALSE),1)</f>
        <v>1</v>
      </c>
      <c r="BV2653" s="4">
        <f>IF(Grandview_Inventory[[#This Row],[bldg_style]]="",1,_xlfn.IFNA(VLOOKUP(Grandview_Inventory[[#This Row],[decade]],Lookups!$F$29:$H$43,3,FALSE),1))</f>
        <v>1</v>
      </c>
      <c r="BW2653" s="4">
        <f>_xlfn.IFNA(VLOOKUP(Grandview_Inventory[[#This Row],[living_area_range]],Lookups!$F$47:$H$56,3,FALSE),1)</f>
        <v>1</v>
      </c>
      <c r="BX2653" s="4">
        <f>AVERAGE(Grandview_Inventory[[#This Row],[qual_adj]:[size_adj]])</f>
        <v>1</v>
      </c>
      <c r="BY2653" s="6">
        <f>IF(Grandview_Inventory[[#This Row],[pre_res]]&lt;0,0,Grandview_Inventory[[#This Row],[pre_res]]*Grandview_Inventory[[#This Row],[overall_adj]])</f>
        <v>0</v>
      </c>
      <c r="BZ2653" s="6">
        <f>(Grandview_Inventory[[#This Row],[sum_land]]-IF(Grandview_Inventory[[#This Row],[no_utilities]]=1,12000,0))/IF(Grandview_Inventory[[#This Row],[unbuildable]]=1,2,1)</f>
        <v>61081.186065827642</v>
      </c>
      <c r="CA2653">
        <f>IF(ROUND(Grandview_Inventory[[#This Row],[adj_land]]*Lookups!$M$28,-2)&lt;Grandview_Inventory[[#This Row],[min_land]],Grandview_Inventory[[#This Row],[min_land]],ROUND(Grandview_Inventory[[#This Row],[adj_land]]*Lookups!$M$28,-2))</f>
        <v>58000</v>
      </c>
      <c r="CB2653">
        <f>ROUND(Grandview_Inventory[[#This Row],[det_value]]*Lookups!$M$28,-2)</f>
        <v>0</v>
      </c>
      <c r="CC265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3">
        <f>Grandview_Inventory[[#This Row],[final_det]]+Grandview_Inventory[[#This Row],[final_res]]</f>
        <v>0</v>
      </c>
      <c r="CE2653">
        <f>Grandview_Inventory[[#This Row],[final_land]]+Grandview_Inventory[[#This Row],[final_imp]]+Grandview_Inventory[[#This Row],[crop_value]]</f>
        <v>58000</v>
      </c>
      <c r="CG2653" t="str">
        <f t="shared" si="41"/>
        <v>update valuation set market_land =58000, market_bldg=0, market_total =58000, market_mdno =401, market_date ='9/10/2023' where link_id = (select link_id from parcel where parcel_year = '2024' and parcel_id = '23092212006');</v>
      </c>
    </row>
    <row r="2654" spans="1:85" x14ac:dyDescent="0.25">
      <c r="A2654">
        <v>23092212010</v>
      </c>
      <c r="B2654">
        <v>1.46</v>
      </c>
      <c r="C2654" t="s">
        <v>129</v>
      </c>
      <c r="D2654">
        <v>1.46</v>
      </c>
      <c r="E2654" t="s">
        <v>53</v>
      </c>
      <c r="F2654" t="s">
        <v>53</v>
      </c>
      <c r="G2654">
        <v>4</v>
      </c>
      <c r="H2654" t="s">
        <v>54</v>
      </c>
      <c r="I2654">
        <v>0</v>
      </c>
      <c r="J2654">
        <v>300</v>
      </c>
      <c r="K2654">
        <v>1.46</v>
      </c>
      <c r="L2654">
        <f>IF(Grandview_Inventory[[#This Row],[parcel_acres]]-Grandview_Inventory[[#This Row],[non_valued_acres]] =0,0,LN(Grandview_Inventory[[#This Row],[parcel_acres]]-Grandview_Inventory[[#This Row],[non_valued_acres]]))</f>
        <v>0.37843643572024505</v>
      </c>
      <c r="M2654">
        <v>0</v>
      </c>
      <c r="N2654">
        <v>1</v>
      </c>
      <c r="O2654">
        <v>0</v>
      </c>
      <c r="P2654">
        <v>13398.7528</v>
      </c>
      <c r="Q2654">
        <v>63903</v>
      </c>
      <c r="R2654">
        <f>(Grandview_Inventory[[#This Row],[ln_acres]]*Grandview_Inventory[[#This Row],[coeff]])+Grandview_Inventory[[#This Row],[const]]</f>
        <v>68973.576252728657</v>
      </c>
      <c r="AY2654">
        <v>0</v>
      </c>
      <c r="AZ2654">
        <v>0</v>
      </c>
      <c r="BE2654">
        <v>0</v>
      </c>
      <c r="BF2654">
        <v>12000</v>
      </c>
      <c r="BG2654">
        <v>0</v>
      </c>
      <c r="BH2654" s="6">
        <f>Grandview_Inventory[[#This Row],[land_extract]]*Lookups!$B$3</f>
        <v>80098.8278736379</v>
      </c>
      <c r="BI2654" s="6">
        <f>IF(Grandview_Inventory[[#This Row],[bldg_style]]="",0,Lookups!$B$2)</f>
        <v>0</v>
      </c>
      <c r="BJ2654" s="6">
        <f>_xlfn.IFNA(VLOOKUP(Grandview_Inventory[[#This Row],[quality]],Lookups!$H$2:$J$14,3,FALSE),0)</f>
        <v>0</v>
      </c>
      <c r="BK2654" s="6">
        <f>_xlfn.IFNA(VLOOKUP(Grandview_Inventory[[#This Row],[condition]],Lookups!$H$17:$J$24,3,FALSE),0)</f>
        <v>0</v>
      </c>
      <c r="BL2654" s="6">
        <f>Grandview_Inventory[[#This Row],[Eff_Age]]*Lookups!$B$14</f>
        <v>0</v>
      </c>
      <c r="BM2654" s="6">
        <f>Grandview_Inventory[[#This Row],[living_area]]*Lookups!$B$15</f>
        <v>0</v>
      </c>
      <c r="BN2654" s="6">
        <f>Grandview_Inventory[[#This Row],[Fin BSMT]]*Lookups!$B$16</f>
        <v>0</v>
      </c>
      <c r="BO2654" s="6">
        <f>(Grandview_Inventory[[#This Row],[att_gar]]+Grandview_Inventory[[#This Row],[bltin_gar]])*Lookups!$B$17</f>
        <v>0</v>
      </c>
      <c r="BP2654" s="6">
        <f>Grandview_Inventory[[#This Row],[Plumbing Fixtures]]*Lookups!$B$18</f>
        <v>0</v>
      </c>
      <c r="BQ2654" s="6">
        <f>Grandview_Inventory[[#This Row],[detatched_value]]*Lookups!$B$19</f>
        <v>0</v>
      </c>
      <c r="BR2654" s="6">
        <f>SUM(Grandview_Inventory[[#This Row],[Intercept]:[det_value]])*Grandview_Inventory[[#This Row],[res_pct]]</f>
        <v>0</v>
      </c>
      <c r="BS2654" s="6">
        <f>Grandview_Inventory[[#This Row],[land_value]]</f>
        <v>80098.8278736379</v>
      </c>
      <c r="BT2654" s="4">
        <f>_xlfn.IFNA(VLOOKUP(Grandview_Inventory[[#This Row],[quality]],Lookups!$A$26:$C$33,3,FALSE),1)</f>
        <v>1</v>
      </c>
      <c r="BU2654" s="4">
        <f>_xlfn.IFNA(VLOOKUP(Grandview_Inventory[[#This Row],[condition]],Lookups!$A$37:$C$44,3,FALSE),1)</f>
        <v>1</v>
      </c>
      <c r="BV2654" s="4">
        <f>IF(Grandview_Inventory[[#This Row],[bldg_style]]="",1,_xlfn.IFNA(VLOOKUP(Grandview_Inventory[[#This Row],[decade]],Lookups!$F$29:$H$43,3,FALSE),1))</f>
        <v>1</v>
      </c>
      <c r="BW2654" s="4">
        <f>_xlfn.IFNA(VLOOKUP(Grandview_Inventory[[#This Row],[living_area_range]],Lookups!$F$47:$H$56,3,FALSE),1)</f>
        <v>1</v>
      </c>
      <c r="BX2654" s="4">
        <f>AVERAGE(Grandview_Inventory[[#This Row],[qual_adj]:[size_adj]])</f>
        <v>1</v>
      </c>
      <c r="BY2654" s="6">
        <f>IF(Grandview_Inventory[[#This Row],[pre_res]]&lt;0,0,Grandview_Inventory[[#This Row],[pre_res]]*Grandview_Inventory[[#This Row],[overall_adj]])</f>
        <v>0</v>
      </c>
      <c r="BZ2654" s="6">
        <f>(Grandview_Inventory[[#This Row],[sum_land]]-IF(Grandview_Inventory[[#This Row],[no_utilities]]=1,12000,0))/IF(Grandview_Inventory[[#This Row],[unbuildable]]=1,2,1)</f>
        <v>40049.41393681895</v>
      </c>
      <c r="CA2654">
        <f>IF(ROUND(Grandview_Inventory[[#This Row],[adj_land]]*Lookups!$M$28,-2)&lt;Grandview_Inventory[[#This Row],[min_land]],Grandview_Inventory[[#This Row],[min_land]],ROUND(Grandview_Inventory[[#This Row],[adj_land]]*Lookups!$M$28,-2))</f>
        <v>38000</v>
      </c>
      <c r="CB2654">
        <f>ROUND(Grandview_Inventory[[#This Row],[det_value]]*Lookups!$M$28,-2)</f>
        <v>0</v>
      </c>
      <c r="CC265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4">
        <f>Grandview_Inventory[[#This Row],[final_det]]+Grandview_Inventory[[#This Row],[final_res]]</f>
        <v>0</v>
      </c>
      <c r="CE2654">
        <f>Grandview_Inventory[[#This Row],[final_land]]+Grandview_Inventory[[#This Row],[final_imp]]+Grandview_Inventory[[#This Row],[crop_value]]</f>
        <v>38000</v>
      </c>
      <c r="CG2654" t="str">
        <f t="shared" si="41"/>
        <v>update valuation set market_land =38000, market_bldg=0, market_total =38000, market_mdno =401, market_date ='9/10/2023' where link_id = (select link_id from parcel where parcel_year = '2024' and parcel_id = '23092212010');</v>
      </c>
    </row>
    <row r="2655" spans="1:85" x14ac:dyDescent="0.25">
      <c r="A2655">
        <v>23092221003</v>
      </c>
      <c r="B2655">
        <v>0.54</v>
      </c>
      <c r="C2655">
        <v>23351</v>
      </c>
      <c r="D2655" t="s">
        <v>129</v>
      </c>
      <c r="E2655" t="s">
        <v>53</v>
      </c>
      <c r="F2655" t="s">
        <v>53</v>
      </c>
      <c r="G2655">
        <v>4</v>
      </c>
      <c r="H2655" t="s">
        <v>54</v>
      </c>
      <c r="I2655">
        <v>18900</v>
      </c>
      <c r="J2655">
        <v>41900</v>
      </c>
      <c r="K2655">
        <v>0.54</v>
      </c>
      <c r="L2655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655">
        <v>0</v>
      </c>
      <c r="N2655">
        <v>0</v>
      </c>
      <c r="O2655">
        <v>0</v>
      </c>
      <c r="P2655">
        <v>13398.7528</v>
      </c>
      <c r="Q2655">
        <v>63903</v>
      </c>
      <c r="R2655">
        <f>(Grandview_Inventory[[#This Row],[ln_acres]]*Grandview_Inventory[[#This Row],[coeff]])+Grandview_Inventory[[#This Row],[const]]</f>
        <v>55646.874239073943</v>
      </c>
      <c r="AY2655">
        <v>0</v>
      </c>
      <c r="AZ2655">
        <v>16100</v>
      </c>
      <c r="BE2655">
        <v>0</v>
      </c>
      <c r="BF2655">
        <v>15000</v>
      </c>
      <c r="BG2655">
        <v>0</v>
      </c>
      <c r="BH2655" s="6">
        <f>Grandview_Inventory[[#This Row],[land_extract]]*Lookups!$B$3</f>
        <v>64622.564807276125</v>
      </c>
      <c r="BI2655" s="6">
        <f>IF(Grandview_Inventory[[#This Row],[bldg_style]]="",0,Lookups!$B$2)</f>
        <v>0</v>
      </c>
      <c r="BJ2655" s="6">
        <f>_xlfn.IFNA(VLOOKUP(Grandview_Inventory[[#This Row],[quality]],Lookups!$H$2:$J$14,3,FALSE),0)</f>
        <v>0</v>
      </c>
      <c r="BK2655" s="6">
        <f>_xlfn.IFNA(VLOOKUP(Grandview_Inventory[[#This Row],[condition]],Lookups!$H$17:$J$24,3,FALSE),0)</f>
        <v>0</v>
      </c>
      <c r="BL2655" s="6">
        <f>Grandview_Inventory[[#This Row],[Eff_Age]]*Lookups!$B$14</f>
        <v>0</v>
      </c>
      <c r="BM2655" s="6">
        <f>Grandview_Inventory[[#This Row],[living_area]]*Lookups!$B$15</f>
        <v>0</v>
      </c>
      <c r="BN2655" s="6">
        <f>Grandview_Inventory[[#This Row],[Fin BSMT]]*Lookups!$B$16</f>
        <v>0</v>
      </c>
      <c r="BO2655" s="6">
        <f>(Grandview_Inventory[[#This Row],[att_gar]]+Grandview_Inventory[[#This Row],[bltin_gar]])*Lookups!$B$17</f>
        <v>0</v>
      </c>
      <c r="BP2655" s="6">
        <f>Grandview_Inventory[[#This Row],[Plumbing Fixtures]]*Lookups!$B$18</f>
        <v>0</v>
      </c>
      <c r="BQ2655" s="6">
        <f>Grandview_Inventory[[#This Row],[detatched_value]]*Lookups!$B$19</f>
        <v>13633.562109999999</v>
      </c>
      <c r="BR2655" s="6">
        <f>SUM(Grandview_Inventory[[#This Row],[Intercept]:[det_value]])*Grandview_Inventory[[#This Row],[res_pct]]</f>
        <v>0</v>
      </c>
      <c r="BS2655" s="6">
        <f>Grandview_Inventory[[#This Row],[land_value]]</f>
        <v>64622.564807276125</v>
      </c>
      <c r="BT2655" s="4">
        <f>_xlfn.IFNA(VLOOKUP(Grandview_Inventory[[#This Row],[quality]],Lookups!$A$26:$C$33,3,FALSE),1)</f>
        <v>1</v>
      </c>
      <c r="BU2655" s="4">
        <f>_xlfn.IFNA(VLOOKUP(Grandview_Inventory[[#This Row],[condition]],Lookups!$A$37:$C$44,3,FALSE),1)</f>
        <v>1</v>
      </c>
      <c r="BV2655" s="4">
        <f>IF(Grandview_Inventory[[#This Row],[bldg_style]]="",1,_xlfn.IFNA(VLOOKUP(Grandview_Inventory[[#This Row],[decade]],Lookups!$F$29:$H$43,3,FALSE),1))</f>
        <v>1</v>
      </c>
      <c r="BW2655" s="4">
        <f>_xlfn.IFNA(VLOOKUP(Grandview_Inventory[[#This Row],[living_area_range]],Lookups!$F$47:$H$56,3,FALSE),1)</f>
        <v>1</v>
      </c>
      <c r="BX2655" s="4">
        <f>AVERAGE(Grandview_Inventory[[#This Row],[qual_adj]:[size_adj]])</f>
        <v>1</v>
      </c>
      <c r="BY2655" s="6">
        <f>IF(Grandview_Inventory[[#This Row],[pre_res]]&lt;0,0,Grandview_Inventory[[#This Row],[pre_res]]*Grandview_Inventory[[#This Row],[overall_adj]])</f>
        <v>0</v>
      </c>
      <c r="BZ2655" s="6">
        <f>(Grandview_Inventory[[#This Row],[sum_land]]-IF(Grandview_Inventory[[#This Row],[no_utilities]]=1,12000,0))/IF(Grandview_Inventory[[#This Row],[unbuildable]]=1,2,1)</f>
        <v>64622.564807276125</v>
      </c>
      <c r="CA2655">
        <f>IF(ROUND(Grandview_Inventory[[#This Row],[adj_land]]*Lookups!$M$28,-2)&lt;Grandview_Inventory[[#This Row],[min_land]],Grandview_Inventory[[#This Row],[min_land]],ROUND(Grandview_Inventory[[#This Row],[adj_land]]*Lookups!$M$28,-2))</f>
        <v>61400</v>
      </c>
      <c r="CB2655">
        <f>ROUND(Grandview_Inventory[[#This Row],[det_value]]*Lookups!$M$28,-2)</f>
        <v>13000</v>
      </c>
      <c r="CC265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5">
        <f>Grandview_Inventory[[#This Row],[final_det]]+Grandview_Inventory[[#This Row],[final_res]]</f>
        <v>13000</v>
      </c>
      <c r="CE2655">
        <f>Grandview_Inventory[[#This Row],[final_land]]+Grandview_Inventory[[#This Row],[final_imp]]+Grandview_Inventory[[#This Row],[crop_value]]</f>
        <v>74400</v>
      </c>
      <c r="CG2655" t="str">
        <f t="shared" si="41"/>
        <v>update valuation set market_land =61400, market_bldg=13000, market_total =74400, market_mdno =401, market_date ='9/10/2023' where link_id = (select link_id from parcel where parcel_year = '2024' and parcel_id = '23092221003');</v>
      </c>
    </row>
    <row r="2656" spans="1:85" x14ac:dyDescent="0.25">
      <c r="A2656">
        <v>23092221400</v>
      </c>
      <c r="B2656" t="s">
        <v>129</v>
      </c>
      <c r="C2656">
        <v>16441</v>
      </c>
      <c r="D2656" t="s">
        <v>129</v>
      </c>
      <c r="E2656" t="s">
        <v>53</v>
      </c>
      <c r="F2656" t="s">
        <v>53</v>
      </c>
      <c r="G2656">
        <v>4</v>
      </c>
      <c r="H2656" t="s">
        <v>54</v>
      </c>
      <c r="I2656" t="s">
        <v>129</v>
      </c>
      <c r="J2656">
        <v>19600</v>
      </c>
      <c r="K2656">
        <v>0.38</v>
      </c>
      <c r="L2656">
        <f>IF(Grandview_Inventory[[#This Row],[parcel_acres]]-Grandview_Inventory[[#This Row],[non_valued_acres]] =0,0,LN(Grandview_Inventory[[#This Row],[parcel_acres]]-Grandview_Inventory[[#This Row],[non_valued_acres]]))</f>
        <v>-0.96758402626170559</v>
      </c>
      <c r="M2656">
        <v>0</v>
      </c>
      <c r="N2656">
        <v>0</v>
      </c>
      <c r="O2656">
        <v>0</v>
      </c>
      <c r="P2656">
        <v>13398.7528</v>
      </c>
      <c r="Q2656">
        <v>63903</v>
      </c>
      <c r="R2656">
        <f>(Grandview_Inventory[[#This Row],[ln_acres]]*Grandview_Inventory[[#This Row],[coeff]])+Grandview_Inventory[[#This Row],[const]]</f>
        <v>50938.580818890696</v>
      </c>
      <c r="AY2656">
        <v>0</v>
      </c>
      <c r="AZ2656">
        <v>0</v>
      </c>
      <c r="BE2656">
        <v>0</v>
      </c>
      <c r="BF2656">
        <v>15000</v>
      </c>
      <c r="BG2656">
        <v>0</v>
      </c>
      <c r="BH2656" s="6">
        <f>Grandview_Inventory[[#This Row],[land_extract]]*Lookups!$B$3</f>
        <v>59154.836370809549</v>
      </c>
      <c r="BI2656" s="6">
        <f>IF(Grandview_Inventory[[#This Row],[bldg_style]]="",0,Lookups!$B$2)</f>
        <v>0</v>
      </c>
      <c r="BJ2656" s="6">
        <f>_xlfn.IFNA(VLOOKUP(Grandview_Inventory[[#This Row],[quality]],Lookups!$H$2:$J$14,3,FALSE),0)</f>
        <v>0</v>
      </c>
      <c r="BK2656" s="6">
        <f>_xlfn.IFNA(VLOOKUP(Grandview_Inventory[[#This Row],[condition]],Lookups!$H$17:$J$24,3,FALSE),0)</f>
        <v>0</v>
      </c>
      <c r="BL2656" s="6">
        <f>Grandview_Inventory[[#This Row],[Eff_Age]]*Lookups!$B$14</f>
        <v>0</v>
      </c>
      <c r="BM2656" s="6">
        <f>Grandview_Inventory[[#This Row],[living_area]]*Lookups!$B$15</f>
        <v>0</v>
      </c>
      <c r="BN2656" s="6">
        <f>Grandview_Inventory[[#This Row],[Fin BSMT]]*Lookups!$B$16</f>
        <v>0</v>
      </c>
      <c r="BO2656" s="6">
        <f>(Grandview_Inventory[[#This Row],[att_gar]]+Grandview_Inventory[[#This Row],[bltin_gar]])*Lookups!$B$17</f>
        <v>0</v>
      </c>
      <c r="BP2656" s="6">
        <f>Grandview_Inventory[[#This Row],[Plumbing Fixtures]]*Lookups!$B$18</f>
        <v>0</v>
      </c>
      <c r="BQ2656" s="6">
        <f>Grandview_Inventory[[#This Row],[detatched_value]]*Lookups!$B$19</f>
        <v>0</v>
      </c>
      <c r="BR2656" s="6">
        <f>SUM(Grandview_Inventory[[#This Row],[Intercept]:[det_value]])*Grandview_Inventory[[#This Row],[res_pct]]</f>
        <v>0</v>
      </c>
      <c r="BS2656" s="6">
        <f>Grandview_Inventory[[#This Row],[land_value]]</f>
        <v>59154.836370809549</v>
      </c>
      <c r="BT2656" s="4">
        <f>_xlfn.IFNA(VLOOKUP(Grandview_Inventory[[#This Row],[quality]],Lookups!$A$26:$C$33,3,FALSE),1)</f>
        <v>1</v>
      </c>
      <c r="BU2656" s="4">
        <f>_xlfn.IFNA(VLOOKUP(Grandview_Inventory[[#This Row],[condition]],Lookups!$A$37:$C$44,3,FALSE),1)</f>
        <v>1</v>
      </c>
      <c r="BV2656" s="4">
        <f>IF(Grandview_Inventory[[#This Row],[bldg_style]]="",1,_xlfn.IFNA(VLOOKUP(Grandview_Inventory[[#This Row],[decade]],Lookups!$F$29:$H$43,3,FALSE),1))</f>
        <v>1</v>
      </c>
      <c r="BW2656" s="4">
        <f>_xlfn.IFNA(VLOOKUP(Grandview_Inventory[[#This Row],[living_area_range]],Lookups!$F$47:$H$56,3,FALSE),1)</f>
        <v>1</v>
      </c>
      <c r="BX2656" s="4">
        <f>AVERAGE(Grandview_Inventory[[#This Row],[qual_adj]:[size_adj]])</f>
        <v>1</v>
      </c>
      <c r="BY2656" s="6">
        <f>IF(Grandview_Inventory[[#This Row],[pre_res]]&lt;0,0,Grandview_Inventory[[#This Row],[pre_res]]*Grandview_Inventory[[#This Row],[overall_adj]])</f>
        <v>0</v>
      </c>
      <c r="BZ2656" s="6">
        <f>(Grandview_Inventory[[#This Row],[sum_land]]-IF(Grandview_Inventory[[#This Row],[no_utilities]]=1,12000,0))/IF(Grandview_Inventory[[#This Row],[unbuildable]]=1,2,1)</f>
        <v>59154.836370809549</v>
      </c>
      <c r="CA2656">
        <f>IF(ROUND(Grandview_Inventory[[#This Row],[adj_land]]*Lookups!$M$28,-2)&lt;Grandview_Inventory[[#This Row],[min_land]],Grandview_Inventory[[#This Row],[min_land]],ROUND(Grandview_Inventory[[#This Row],[adj_land]]*Lookups!$M$28,-2))</f>
        <v>56200</v>
      </c>
      <c r="CB2656">
        <f>ROUND(Grandview_Inventory[[#This Row],[det_value]]*Lookups!$M$28,-2)</f>
        <v>0</v>
      </c>
      <c r="CC265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6">
        <f>Grandview_Inventory[[#This Row],[final_det]]+Grandview_Inventory[[#This Row],[final_res]]</f>
        <v>0</v>
      </c>
      <c r="CE2656">
        <f>Grandview_Inventory[[#This Row],[final_land]]+Grandview_Inventory[[#This Row],[final_imp]]+Grandview_Inventory[[#This Row],[crop_value]]</f>
        <v>56200</v>
      </c>
      <c r="CG2656" t="str">
        <f t="shared" si="41"/>
        <v>update valuation set market_land =56200, market_bldg=0, market_total =56200, market_mdno =401, market_date ='9/10/2023' where link_id = (select link_id from parcel where parcel_year = '2024' and parcel_id = '23092221400');</v>
      </c>
    </row>
    <row r="2657" spans="1:85" x14ac:dyDescent="0.25">
      <c r="A2657">
        <v>23092221402</v>
      </c>
      <c r="B2657" t="s">
        <v>129</v>
      </c>
      <c r="C2657">
        <v>7853</v>
      </c>
      <c r="D2657" t="s">
        <v>129</v>
      </c>
      <c r="E2657" t="s">
        <v>53</v>
      </c>
      <c r="F2657" t="s">
        <v>53</v>
      </c>
      <c r="G2657">
        <v>4</v>
      </c>
      <c r="H2657" t="s">
        <v>54</v>
      </c>
      <c r="I2657" t="s">
        <v>129</v>
      </c>
      <c r="J2657">
        <v>18500</v>
      </c>
      <c r="K2657">
        <v>0.18</v>
      </c>
      <c r="L265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657">
        <v>0</v>
      </c>
      <c r="N2657">
        <v>0</v>
      </c>
      <c r="O2657">
        <v>0</v>
      </c>
      <c r="P2657">
        <v>13398.7528</v>
      </c>
      <c r="Q2657">
        <v>63903</v>
      </c>
      <c r="R2657">
        <f>(Grandview_Inventory[[#This Row],[ln_acres]]*Grandview_Inventory[[#This Row],[coeff]])+Grandview_Inventory[[#This Row],[const]]</f>
        <v>40926.839760167699</v>
      </c>
      <c r="AY2657">
        <v>0</v>
      </c>
      <c r="AZ2657">
        <v>0</v>
      </c>
      <c r="BE2657">
        <v>0</v>
      </c>
      <c r="BF2657">
        <v>15000</v>
      </c>
      <c r="BG2657">
        <v>0</v>
      </c>
      <c r="BH2657" s="6">
        <f>Grandview_Inventory[[#This Row],[land_extract]]*Lookups!$B$3</f>
        <v>47528.228511015397</v>
      </c>
      <c r="BI2657" s="6">
        <f>IF(Grandview_Inventory[[#This Row],[bldg_style]]="",0,Lookups!$B$2)</f>
        <v>0</v>
      </c>
      <c r="BJ2657" s="6">
        <f>_xlfn.IFNA(VLOOKUP(Grandview_Inventory[[#This Row],[quality]],Lookups!$H$2:$J$14,3,FALSE),0)</f>
        <v>0</v>
      </c>
      <c r="BK2657" s="6">
        <f>_xlfn.IFNA(VLOOKUP(Grandview_Inventory[[#This Row],[condition]],Lookups!$H$17:$J$24,3,FALSE),0)</f>
        <v>0</v>
      </c>
      <c r="BL2657" s="6">
        <f>Grandview_Inventory[[#This Row],[Eff_Age]]*Lookups!$B$14</f>
        <v>0</v>
      </c>
      <c r="BM2657" s="6">
        <f>Grandview_Inventory[[#This Row],[living_area]]*Lookups!$B$15</f>
        <v>0</v>
      </c>
      <c r="BN2657" s="6">
        <f>Grandview_Inventory[[#This Row],[Fin BSMT]]*Lookups!$B$16</f>
        <v>0</v>
      </c>
      <c r="BO2657" s="6">
        <f>(Grandview_Inventory[[#This Row],[att_gar]]+Grandview_Inventory[[#This Row],[bltin_gar]])*Lookups!$B$17</f>
        <v>0</v>
      </c>
      <c r="BP2657" s="6">
        <f>Grandview_Inventory[[#This Row],[Plumbing Fixtures]]*Lookups!$B$18</f>
        <v>0</v>
      </c>
      <c r="BQ2657" s="6">
        <f>Grandview_Inventory[[#This Row],[detatched_value]]*Lookups!$B$19</f>
        <v>0</v>
      </c>
      <c r="BR2657" s="6">
        <f>SUM(Grandview_Inventory[[#This Row],[Intercept]:[det_value]])*Grandview_Inventory[[#This Row],[res_pct]]</f>
        <v>0</v>
      </c>
      <c r="BS2657" s="6">
        <f>Grandview_Inventory[[#This Row],[land_value]]</f>
        <v>47528.228511015397</v>
      </c>
      <c r="BT2657" s="4">
        <f>_xlfn.IFNA(VLOOKUP(Grandview_Inventory[[#This Row],[quality]],Lookups!$A$26:$C$33,3,FALSE),1)</f>
        <v>1</v>
      </c>
      <c r="BU2657" s="4">
        <f>_xlfn.IFNA(VLOOKUP(Grandview_Inventory[[#This Row],[condition]],Lookups!$A$37:$C$44,3,FALSE),1)</f>
        <v>1</v>
      </c>
      <c r="BV2657" s="4">
        <f>IF(Grandview_Inventory[[#This Row],[bldg_style]]="",1,_xlfn.IFNA(VLOOKUP(Grandview_Inventory[[#This Row],[decade]],Lookups!$F$29:$H$43,3,FALSE),1))</f>
        <v>1</v>
      </c>
      <c r="BW2657" s="4">
        <f>_xlfn.IFNA(VLOOKUP(Grandview_Inventory[[#This Row],[living_area_range]],Lookups!$F$47:$H$56,3,FALSE),1)</f>
        <v>1</v>
      </c>
      <c r="BX2657" s="4">
        <f>AVERAGE(Grandview_Inventory[[#This Row],[qual_adj]:[size_adj]])</f>
        <v>1</v>
      </c>
      <c r="BY2657" s="6">
        <f>IF(Grandview_Inventory[[#This Row],[pre_res]]&lt;0,0,Grandview_Inventory[[#This Row],[pre_res]]*Grandview_Inventory[[#This Row],[overall_adj]])</f>
        <v>0</v>
      </c>
      <c r="BZ2657" s="6">
        <f>(Grandview_Inventory[[#This Row],[sum_land]]-IF(Grandview_Inventory[[#This Row],[no_utilities]]=1,12000,0))/IF(Grandview_Inventory[[#This Row],[unbuildable]]=1,2,1)</f>
        <v>47528.228511015397</v>
      </c>
      <c r="CA265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657">
        <f>ROUND(Grandview_Inventory[[#This Row],[det_value]]*Lookups!$M$28,-2)</f>
        <v>0</v>
      </c>
      <c r="CC265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7">
        <f>Grandview_Inventory[[#This Row],[final_det]]+Grandview_Inventory[[#This Row],[final_res]]</f>
        <v>0</v>
      </c>
      <c r="CE2657">
        <f>Grandview_Inventory[[#This Row],[final_land]]+Grandview_Inventory[[#This Row],[final_imp]]+Grandview_Inventory[[#This Row],[crop_value]]</f>
        <v>45200</v>
      </c>
      <c r="CG2657" t="str">
        <f t="shared" si="41"/>
        <v>update valuation set market_land =45200, market_bldg=0, market_total =45200, market_mdno =401, market_date ='9/10/2023' where link_id = (select link_id from parcel where parcel_year = '2024' and parcel_id = '23092221402');</v>
      </c>
    </row>
    <row r="2658" spans="1:85" x14ac:dyDescent="0.25">
      <c r="A2658">
        <v>23092221403</v>
      </c>
      <c r="B2658" t="s">
        <v>129</v>
      </c>
      <c r="C2658">
        <v>66106</v>
      </c>
      <c r="D2658" t="s">
        <v>129</v>
      </c>
      <c r="E2658" t="s">
        <v>53</v>
      </c>
      <c r="F2658" t="s">
        <v>53</v>
      </c>
      <c r="G2658">
        <v>4</v>
      </c>
      <c r="H2658" t="s">
        <v>54</v>
      </c>
      <c r="I2658" t="s">
        <v>129</v>
      </c>
      <c r="J2658">
        <v>21500</v>
      </c>
      <c r="K2658">
        <v>1.52</v>
      </c>
      <c r="L2658">
        <f>IF(Grandview_Inventory[[#This Row],[parcel_acres]]-Grandview_Inventory[[#This Row],[non_valued_acres]] =0,0,LN(Grandview_Inventory[[#This Row],[parcel_acres]]-Grandview_Inventory[[#This Row],[non_valued_acres]]))</f>
        <v>0.41871033485818504</v>
      </c>
      <c r="M2658">
        <v>0</v>
      </c>
      <c r="N2658">
        <v>0</v>
      </c>
      <c r="O2658">
        <v>0</v>
      </c>
      <c r="P2658">
        <v>13398.7528</v>
      </c>
      <c r="Q2658">
        <v>63903</v>
      </c>
      <c r="R2658">
        <f>(Grandview_Inventory[[#This Row],[ln_acres]]*Grandview_Inventory[[#This Row],[coeff]])+Grandview_Inventory[[#This Row],[const]]</f>
        <v>69513.19627157005</v>
      </c>
      <c r="AY2658">
        <v>0</v>
      </c>
      <c r="AZ2658">
        <v>0</v>
      </c>
      <c r="BE2658">
        <v>0</v>
      </c>
      <c r="BF2658">
        <v>15000</v>
      </c>
      <c r="BG2658">
        <v>0</v>
      </c>
      <c r="BH2658" s="6">
        <f>Grandview_Inventory[[#This Row],[land_extract]]*Lookups!$B$3</f>
        <v>80725.487144544371</v>
      </c>
      <c r="BI2658" s="6">
        <f>IF(Grandview_Inventory[[#This Row],[bldg_style]]="",0,Lookups!$B$2)</f>
        <v>0</v>
      </c>
      <c r="BJ2658" s="6">
        <f>_xlfn.IFNA(VLOOKUP(Grandview_Inventory[[#This Row],[quality]],Lookups!$H$2:$J$14,3,FALSE),0)</f>
        <v>0</v>
      </c>
      <c r="BK2658" s="6">
        <f>_xlfn.IFNA(VLOOKUP(Grandview_Inventory[[#This Row],[condition]],Lookups!$H$17:$J$24,3,FALSE),0)</f>
        <v>0</v>
      </c>
      <c r="BL2658" s="6">
        <f>Grandview_Inventory[[#This Row],[Eff_Age]]*Lookups!$B$14</f>
        <v>0</v>
      </c>
      <c r="BM2658" s="6">
        <f>Grandview_Inventory[[#This Row],[living_area]]*Lookups!$B$15</f>
        <v>0</v>
      </c>
      <c r="BN2658" s="6">
        <f>Grandview_Inventory[[#This Row],[Fin BSMT]]*Lookups!$B$16</f>
        <v>0</v>
      </c>
      <c r="BO2658" s="6">
        <f>(Grandview_Inventory[[#This Row],[att_gar]]+Grandview_Inventory[[#This Row],[bltin_gar]])*Lookups!$B$17</f>
        <v>0</v>
      </c>
      <c r="BP2658" s="6">
        <f>Grandview_Inventory[[#This Row],[Plumbing Fixtures]]*Lookups!$B$18</f>
        <v>0</v>
      </c>
      <c r="BQ2658" s="6">
        <f>Grandview_Inventory[[#This Row],[detatched_value]]*Lookups!$B$19</f>
        <v>0</v>
      </c>
      <c r="BR2658" s="6">
        <f>SUM(Grandview_Inventory[[#This Row],[Intercept]:[det_value]])*Grandview_Inventory[[#This Row],[res_pct]]</f>
        <v>0</v>
      </c>
      <c r="BS2658" s="6">
        <f>Grandview_Inventory[[#This Row],[land_value]]</f>
        <v>80725.487144544371</v>
      </c>
      <c r="BT2658" s="4">
        <f>_xlfn.IFNA(VLOOKUP(Grandview_Inventory[[#This Row],[quality]],Lookups!$A$26:$C$33,3,FALSE),1)</f>
        <v>1</v>
      </c>
      <c r="BU2658" s="4">
        <f>_xlfn.IFNA(VLOOKUP(Grandview_Inventory[[#This Row],[condition]],Lookups!$A$37:$C$44,3,FALSE),1)</f>
        <v>1</v>
      </c>
      <c r="BV2658" s="4">
        <f>IF(Grandview_Inventory[[#This Row],[bldg_style]]="",1,_xlfn.IFNA(VLOOKUP(Grandview_Inventory[[#This Row],[decade]],Lookups!$F$29:$H$43,3,FALSE),1))</f>
        <v>1</v>
      </c>
      <c r="BW2658" s="4">
        <f>_xlfn.IFNA(VLOOKUP(Grandview_Inventory[[#This Row],[living_area_range]],Lookups!$F$47:$H$56,3,FALSE),1)</f>
        <v>1</v>
      </c>
      <c r="BX2658" s="4">
        <f>AVERAGE(Grandview_Inventory[[#This Row],[qual_adj]:[size_adj]])</f>
        <v>1</v>
      </c>
      <c r="BY2658" s="6">
        <f>IF(Grandview_Inventory[[#This Row],[pre_res]]&lt;0,0,Grandview_Inventory[[#This Row],[pre_res]]*Grandview_Inventory[[#This Row],[overall_adj]])</f>
        <v>0</v>
      </c>
      <c r="BZ2658" s="6">
        <f>(Grandview_Inventory[[#This Row],[sum_land]]-IF(Grandview_Inventory[[#This Row],[no_utilities]]=1,12000,0))/IF(Grandview_Inventory[[#This Row],[unbuildable]]=1,2,1)</f>
        <v>80725.487144544371</v>
      </c>
      <c r="CA2658">
        <f>IF(ROUND(Grandview_Inventory[[#This Row],[adj_land]]*Lookups!$M$28,-2)&lt;Grandview_Inventory[[#This Row],[min_land]],Grandview_Inventory[[#This Row],[min_land]],ROUND(Grandview_Inventory[[#This Row],[adj_land]]*Lookups!$M$28,-2))</f>
        <v>76700</v>
      </c>
      <c r="CB2658">
        <f>ROUND(Grandview_Inventory[[#This Row],[det_value]]*Lookups!$M$28,-2)</f>
        <v>0</v>
      </c>
      <c r="CC265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8">
        <f>Grandview_Inventory[[#This Row],[final_det]]+Grandview_Inventory[[#This Row],[final_res]]</f>
        <v>0</v>
      </c>
      <c r="CE2658">
        <f>Grandview_Inventory[[#This Row],[final_land]]+Grandview_Inventory[[#This Row],[final_imp]]+Grandview_Inventory[[#This Row],[crop_value]]</f>
        <v>76700</v>
      </c>
      <c r="CG2658" t="str">
        <f t="shared" si="41"/>
        <v>update valuation set market_land =76700, market_bldg=0, market_total =76700, market_mdno =401, market_date ='9/10/2023' where link_id = (select link_id from parcel where parcel_year = '2024' and parcel_id = '23092221403');</v>
      </c>
    </row>
    <row r="2659" spans="1:85" x14ac:dyDescent="0.25">
      <c r="A2659">
        <v>23092221407</v>
      </c>
      <c r="B2659" t="s">
        <v>129</v>
      </c>
      <c r="C2659">
        <v>7515</v>
      </c>
      <c r="D2659" t="s">
        <v>129</v>
      </c>
      <c r="E2659" t="s">
        <v>53</v>
      </c>
      <c r="F2659" t="s">
        <v>53</v>
      </c>
      <c r="G2659">
        <v>4</v>
      </c>
      <c r="H2659" t="s">
        <v>54</v>
      </c>
      <c r="I2659" t="s">
        <v>129</v>
      </c>
      <c r="J2659">
        <v>32300</v>
      </c>
      <c r="K2659">
        <v>0.17</v>
      </c>
      <c r="L2659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59">
        <v>0</v>
      </c>
      <c r="N2659">
        <v>0</v>
      </c>
      <c r="O2659">
        <v>0</v>
      </c>
      <c r="P2659">
        <v>13398.7528</v>
      </c>
      <c r="Q2659">
        <v>63903</v>
      </c>
      <c r="R2659">
        <f>(Grandview_Inventory[[#This Row],[ln_acres]]*Grandview_Inventory[[#This Row],[coeff]])+Grandview_Inventory[[#This Row],[const]]</f>
        <v>40160.988302686128</v>
      </c>
      <c r="AY2659">
        <v>0</v>
      </c>
      <c r="AZ2659">
        <v>0</v>
      </c>
      <c r="BE2659">
        <v>0</v>
      </c>
      <c r="BF2659">
        <v>15000</v>
      </c>
      <c r="BG2659">
        <v>0</v>
      </c>
      <c r="BH2659" s="6">
        <f>Grandview_Inventory[[#This Row],[land_extract]]*Lookups!$B$3</f>
        <v>46638.847281240982</v>
      </c>
      <c r="BI2659" s="6">
        <f>IF(Grandview_Inventory[[#This Row],[bldg_style]]="",0,Lookups!$B$2)</f>
        <v>0</v>
      </c>
      <c r="BJ2659" s="6">
        <f>_xlfn.IFNA(VLOOKUP(Grandview_Inventory[[#This Row],[quality]],Lookups!$H$2:$J$14,3,FALSE),0)</f>
        <v>0</v>
      </c>
      <c r="BK2659" s="6">
        <f>_xlfn.IFNA(VLOOKUP(Grandview_Inventory[[#This Row],[condition]],Lookups!$H$17:$J$24,3,FALSE),0)</f>
        <v>0</v>
      </c>
      <c r="BL2659" s="6">
        <f>Grandview_Inventory[[#This Row],[Eff_Age]]*Lookups!$B$14</f>
        <v>0</v>
      </c>
      <c r="BM2659" s="6">
        <f>Grandview_Inventory[[#This Row],[living_area]]*Lookups!$B$15</f>
        <v>0</v>
      </c>
      <c r="BN2659" s="6">
        <f>Grandview_Inventory[[#This Row],[Fin BSMT]]*Lookups!$B$16</f>
        <v>0</v>
      </c>
      <c r="BO2659" s="6">
        <f>(Grandview_Inventory[[#This Row],[att_gar]]+Grandview_Inventory[[#This Row],[bltin_gar]])*Lookups!$B$17</f>
        <v>0</v>
      </c>
      <c r="BP2659" s="6">
        <f>Grandview_Inventory[[#This Row],[Plumbing Fixtures]]*Lookups!$B$18</f>
        <v>0</v>
      </c>
      <c r="BQ2659" s="6">
        <f>Grandview_Inventory[[#This Row],[detatched_value]]*Lookups!$B$19</f>
        <v>0</v>
      </c>
      <c r="BR2659" s="6">
        <f>SUM(Grandview_Inventory[[#This Row],[Intercept]:[det_value]])*Grandview_Inventory[[#This Row],[res_pct]]</f>
        <v>0</v>
      </c>
      <c r="BS2659" s="6">
        <f>Grandview_Inventory[[#This Row],[land_value]]</f>
        <v>46638.847281240982</v>
      </c>
      <c r="BT2659" s="4">
        <f>_xlfn.IFNA(VLOOKUP(Grandview_Inventory[[#This Row],[quality]],Lookups!$A$26:$C$33,3,FALSE),1)</f>
        <v>1</v>
      </c>
      <c r="BU2659" s="4">
        <f>_xlfn.IFNA(VLOOKUP(Grandview_Inventory[[#This Row],[condition]],Lookups!$A$37:$C$44,3,FALSE),1)</f>
        <v>1</v>
      </c>
      <c r="BV2659" s="4">
        <f>IF(Grandview_Inventory[[#This Row],[bldg_style]]="",1,_xlfn.IFNA(VLOOKUP(Grandview_Inventory[[#This Row],[decade]],Lookups!$F$29:$H$43,3,FALSE),1))</f>
        <v>1</v>
      </c>
      <c r="BW2659" s="4">
        <f>_xlfn.IFNA(VLOOKUP(Grandview_Inventory[[#This Row],[living_area_range]],Lookups!$F$47:$H$56,3,FALSE),1)</f>
        <v>1</v>
      </c>
      <c r="BX2659" s="4">
        <f>AVERAGE(Grandview_Inventory[[#This Row],[qual_adj]:[size_adj]])</f>
        <v>1</v>
      </c>
      <c r="BY2659" s="6">
        <f>IF(Grandview_Inventory[[#This Row],[pre_res]]&lt;0,0,Grandview_Inventory[[#This Row],[pre_res]]*Grandview_Inventory[[#This Row],[overall_adj]])</f>
        <v>0</v>
      </c>
      <c r="BZ2659" s="6">
        <f>(Grandview_Inventory[[#This Row],[sum_land]]-IF(Grandview_Inventory[[#This Row],[no_utilities]]=1,12000,0))/IF(Grandview_Inventory[[#This Row],[unbuildable]]=1,2,1)</f>
        <v>46638.847281240982</v>
      </c>
      <c r="CA2659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59">
        <f>ROUND(Grandview_Inventory[[#This Row],[det_value]]*Lookups!$M$28,-2)</f>
        <v>0</v>
      </c>
      <c r="CC265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59">
        <f>Grandview_Inventory[[#This Row],[final_det]]+Grandview_Inventory[[#This Row],[final_res]]</f>
        <v>0</v>
      </c>
      <c r="CE2659">
        <f>Grandview_Inventory[[#This Row],[final_land]]+Grandview_Inventory[[#This Row],[final_imp]]+Grandview_Inventory[[#This Row],[crop_value]]</f>
        <v>44300</v>
      </c>
      <c r="CG2659" t="str">
        <f t="shared" si="41"/>
        <v>update valuation set market_land =44300, market_bldg=0, market_total =44300, market_mdno =401, market_date ='9/10/2023' where link_id = (select link_id from parcel where parcel_year = '2024' and parcel_id = '23092221407');</v>
      </c>
    </row>
    <row r="2660" spans="1:85" x14ac:dyDescent="0.25">
      <c r="A2660">
        <v>23092221408</v>
      </c>
      <c r="B2660" t="s">
        <v>129</v>
      </c>
      <c r="C2660">
        <v>14869</v>
      </c>
      <c r="D2660" t="s">
        <v>129</v>
      </c>
      <c r="E2660" t="s">
        <v>53</v>
      </c>
      <c r="F2660" t="s">
        <v>53</v>
      </c>
      <c r="G2660">
        <v>4</v>
      </c>
      <c r="H2660" t="s">
        <v>54</v>
      </c>
      <c r="I2660" t="s">
        <v>129</v>
      </c>
      <c r="J2660">
        <v>34400</v>
      </c>
      <c r="K2660">
        <v>0.34</v>
      </c>
      <c r="L2660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2660">
        <v>0</v>
      </c>
      <c r="N2660">
        <v>0</v>
      </c>
      <c r="O2660">
        <v>0</v>
      </c>
      <c r="P2660">
        <v>13398.7528</v>
      </c>
      <c r="Q2660">
        <v>63903</v>
      </c>
      <c r="R2660">
        <f>(Grandview_Inventory[[#This Row],[ln_acres]]*Grandview_Inventory[[#This Row],[coeff]])+Grandview_Inventory[[#This Row],[const]]</f>
        <v>49448.296029025805</v>
      </c>
      <c r="AY2660">
        <v>0</v>
      </c>
      <c r="AZ2660">
        <v>0</v>
      </c>
      <c r="BE2660">
        <v>0</v>
      </c>
      <c r="BF2660">
        <v>15000</v>
      </c>
      <c r="BG2660">
        <v>0</v>
      </c>
      <c r="BH2660" s="6">
        <f>Grandview_Inventory[[#This Row],[land_extract]]*Lookups!$B$3</f>
        <v>57424.172668108389</v>
      </c>
      <c r="BI2660" s="6">
        <f>IF(Grandview_Inventory[[#This Row],[bldg_style]]="",0,Lookups!$B$2)</f>
        <v>0</v>
      </c>
      <c r="BJ2660" s="6">
        <f>_xlfn.IFNA(VLOOKUP(Grandview_Inventory[[#This Row],[quality]],Lookups!$H$2:$J$14,3,FALSE),0)</f>
        <v>0</v>
      </c>
      <c r="BK2660" s="6">
        <f>_xlfn.IFNA(VLOOKUP(Grandview_Inventory[[#This Row],[condition]],Lookups!$H$17:$J$24,3,FALSE),0)</f>
        <v>0</v>
      </c>
      <c r="BL2660" s="6">
        <f>Grandview_Inventory[[#This Row],[Eff_Age]]*Lookups!$B$14</f>
        <v>0</v>
      </c>
      <c r="BM2660" s="6">
        <f>Grandview_Inventory[[#This Row],[living_area]]*Lookups!$B$15</f>
        <v>0</v>
      </c>
      <c r="BN2660" s="6">
        <f>Grandview_Inventory[[#This Row],[Fin BSMT]]*Lookups!$B$16</f>
        <v>0</v>
      </c>
      <c r="BO2660" s="6">
        <f>(Grandview_Inventory[[#This Row],[att_gar]]+Grandview_Inventory[[#This Row],[bltin_gar]])*Lookups!$B$17</f>
        <v>0</v>
      </c>
      <c r="BP2660" s="6">
        <f>Grandview_Inventory[[#This Row],[Plumbing Fixtures]]*Lookups!$B$18</f>
        <v>0</v>
      </c>
      <c r="BQ2660" s="6">
        <f>Grandview_Inventory[[#This Row],[detatched_value]]*Lookups!$B$19</f>
        <v>0</v>
      </c>
      <c r="BR2660" s="6">
        <f>SUM(Grandview_Inventory[[#This Row],[Intercept]:[det_value]])*Grandview_Inventory[[#This Row],[res_pct]]</f>
        <v>0</v>
      </c>
      <c r="BS2660" s="6">
        <f>Grandview_Inventory[[#This Row],[land_value]]</f>
        <v>57424.172668108389</v>
      </c>
      <c r="BT2660" s="4">
        <f>_xlfn.IFNA(VLOOKUP(Grandview_Inventory[[#This Row],[quality]],Lookups!$A$26:$C$33,3,FALSE),1)</f>
        <v>1</v>
      </c>
      <c r="BU2660" s="4">
        <f>_xlfn.IFNA(VLOOKUP(Grandview_Inventory[[#This Row],[condition]],Lookups!$A$37:$C$44,3,FALSE),1)</f>
        <v>1</v>
      </c>
      <c r="BV2660" s="4">
        <f>IF(Grandview_Inventory[[#This Row],[bldg_style]]="",1,_xlfn.IFNA(VLOOKUP(Grandview_Inventory[[#This Row],[decade]],Lookups!$F$29:$H$43,3,FALSE),1))</f>
        <v>1</v>
      </c>
      <c r="BW2660" s="4">
        <f>_xlfn.IFNA(VLOOKUP(Grandview_Inventory[[#This Row],[living_area_range]],Lookups!$F$47:$H$56,3,FALSE),1)</f>
        <v>1</v>
      </c>
      <c r="BX2660" s="4">
        <f>AVERAGE(Grandview_Inventory[[#This Row],[qual_adj]:[size_adj]])</f>
        <v>1</v>
      </c>
      <c r="BY2660" s="6">
        <f>IF(Grandview_Inventory[[#This Row],[pre_res]]&lt;0,0,Grandview_Inventory[[#This Row],[pre_res]]*Grandview_Inventory[[#This Row],[overall_adj]])</f>
        <v>0</v>
      </c>
      <c r="BZ2660" s="6">
        <f>(Grandview_Inventory[[#This Row],[sum_land]]-IF(Grandview_Inventory[[#This Row],[no_utilities]]=1,12000,0))/IF(Grandview_Inventory[[#This Row],[unbuildable]]=1,2,1)</f>
        <v>57424.172668108389</v>
      </c>
      <c r="CA2660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2660">
        <f>ROUND(Grandview_Inventory[[#This Row],[det_value]]*Lookups!$M$28,-2)</f>
        <v>0</v>
      </c>
      <c r="CC266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0">
        <f>Grandview_Inventory[[#This Row],[final_det]]+Grandview_Inventory[[#This Row],[final_res]]</f>
        <v>0</v>
      </c>
      <c r="CE2660">
        <f>Grandview_Inventory[[#This Row],[final_land]]+Grandview_Inventory[[#This Row],[final_imp]]+Grandview_Inventory[[#This Row],[crop_value]]</f>
        <v>54600</v>
      </c>
      <c r="CG2660" t="str">
        <f t="shared" si="41"/>
        <v>update valuation set market_land =54600, market_bldg=0, market_total =54600, market_mdno =401, market_date ='9/10/2023' where link_id = (select link_id from parcel where parcel_year = '2024' and parcel_id = '23092221408');</v>
      </c>
    </row>
    <row r="2661" spans="1:85" x14ac:dyDescent="0.25">
      <c r="A2661">
        <v>23092221409</v>
      </c>
      <c r="B2661" t="s">
        <v>129</v>
      </c>
      <c r="C2661">
        <v>15504</v>
      </c>
      <c r="D2661" t="s">
        <v>129</v>
      </c>
      <c r="E2661" t="s">
        <v>53</v>
      </c>
      <c r="F2661" t="s">
        <v>53</v>
      </c>
      <c r="G2661">
        <v>4</v>
      </c>
      <c r="H2661" t="s">
        <v>54</v>
      </c>
      <c r="I2661" t="s">
        <v>129</v>
      </c>
      <c r="J2661">
        <v>34200</v>
      </c>
      <c r="K2661">
        <v>0.36</v>
      </c>
      <c r="L2661">
        <f>IF(Grandview_Inventory[[#This Row],[parcel_acres]]-Grandview_Inventory[[#This Row],[non_valued_acres]] =0,0,LN(Grandview_Inventory[[#This Row],[parcel_acres]]-Grandview_Inventory[[#This Row],[non_valued_acres]]))</f>
        <v>-1.0216512475319814</v>
      </c>
      <c r="M2661">
        <v>0</v>
      </c>
      <c r="N2661">
        <v>0</v>
      </c>
      <c r="O2661">
        <v>0</v>
      </c>
      <c r="P2661">
        <v>13398.7528</v>
      </c>
      <c r="Q2661">
        <v>63903</v>
      </c>
      <c r="R2661">
        <f>(Grandview_Inventory[[#This Row],[ln_acres]]*Grandview_Inventory[[#This Row],[coeff]])+Grandview_Inventory[[#This Row],[const]]</f>
        <v>50214.147486507369</v>
      </c>
      <c r="AY2661">
        <v>0</v>
      </c>
      <c r="AZ2661">
        <v>0</v>
      </c>
      <c r="BE2661">
        <v>0</v>
      </c>
      <c r="BF2661">
        <v>15000</v>
      </c>
      <c r="BG2661">
        <v>0</v>
      </c>
      <c r="BH2661" s="6">
        <f>Grandview_Inventory[[#This Row],[land_extract]]*Lookups!$B$3</f>
        <v>58313.55389788279</v>
      </c>
      <c r="BI2661" s="6">
        <f>IF(Grandview_Inventory[[#This Row],[bldg_style]]="",0,Lookups!$B$2)</f>
        <v>0</v>
      </c>
      <c r="BJ2661" s="6">
        <f>_xlfn.IFNA(VLOOKUP(Grandview_Inventory[[#This Row],[quality]],Lookups!$H$2:$J$14,3,FALSE),0)</f>
        <v>0</v>
      </c>
      <c r="BK2661" s="6">
        <f>_xlfn.IFNA(VLOOKUP(Grandview_Inventory[[#This Row],[condition]],Lookups!$H$17:$J$24,3,FALSE),0)</f>
        <v>0</v>
      </c>
      <c r="BL2661" s="6">
        <f>Grandview_Inventory[[#This Row],[Eff_Age]]*Lookups!$B$14</f>
        <v>0</v>
      </c>
      <c r="BM2661" s="6">
        <f>Grandview_Inventory[[#This Row],[living_area]]*Lookups!$B$15</f>
        <v>0</v>
      </c>
      <c r="BN2661" s="6">
        <f>Grandview_Inventory[[#This Row],[Fin BSMT]]*Lookups!$B$16</f>
        <v>0</v>
      </c>
      <c r="BO2661" s="6">
        <f>(Grandview_Inventory[[#This Row],[att_gar]]+Grandview_Inventory[[#This Row],[bltin_gar]])*Lookups!$B$17</f>
        <v>0</v>
      </c>
      <c r="BP2661" s="6">
        <f>Grandview_Inventory[[#This Row],[Plumbing Fixtures]]*Lookups!$B$18</f>
        <v>0</v>
      </c>
      <c r="BQ2661" s="6">
        <f>Grandview_Inventory[[#This Row],[detatched_value]]*Lookups!$B$19</f>
        <v>0</v>
      </c>
      <c r="BR2661" s="6">
        <f>SUM(Grandview_Inventory[[#This Row],[Intercept]:[det_value]])*Grandview_Inventory[[#This Row],[res_pct]]</f>
        <v>0</v>
      </c>
      <c r="BS2661" s="6">
        <f>Grandview_Inventory[[#This Row],[land_value]]</f>
        <v>58313.55389788279</v>
      </c>
      <c r="BT2661" s="4">
        <f>_xlfn.IFNA(VLOOKUP(Grandview_Inventory[[#This Row],[quality]],Lookups!$A$26:$C$33,3,FALSE),1)</f>
        <v>1</v>
      </c>
      <c r="BU2661" s="4">
        <f>_xlfn.IFNA(VLOOKUP(Grandview_Inventory[[#This Row],[condition]],Lookups!$A$37:$C$44,3,FALSE),1)</f>
        <v>1</v>
      </c>
      <c r="BV2661" s="4">
        <f>IF(Grandview_Inventory[[#This Row],[bldg_style]]="",1,_xlfn.IFNA(VLOOKUP(Grandview_Inventory[[#This Row],[decade]],Lookups!$F$29:$H$43,3,FALSE),1))</f>
        <v>1</v>
      </c>
      <c r="BW2661" s="4">
        <f>_xlfn.IFNA(VLOOKUP(Grandview_Inventory[[#This Row],[living_area_range]],Lookups!$F$47:$H$56,3,FALSE),1)</f>
        <v>1</v>
      </c>
      <c r="BX2661" s="4">
        <f>AVERAGE(Grandview_Inventory[[#This Row],[qual_adj]:[size_adj]])</f>
        <v>1</v>
      </c>
      <c r="BY2661" s="6">
        <f>IF(Grandview_Inventory[[#This Row],[pre_res]]&lt;0,0,Grandview_Inventory[[#This Row],[pre_res]]*Grandview_Inventory[[#This Row],[overall_adj]])</f>
        <v>0</v>
      </c>
      <c r="BZ2661" s="6">
        <f>(Grandview_Inventory[[#This Row],[sum_land]]-IF(Grandview_Inventory[[#This Row],[no_utilities]]=1,12000,0))/IF(Grandview_Inventory[[#This Row],[unbuildable]]=1,2,1)</f>
        <v>58313.55389788279</v>
      </c>
      <c r="CA2661">
        <f>IF(ROUND(Grandview_Inventory[[#This Row],[adj_land]]*Lookups!$M$28,-2)&lt;Grandview_Inventory[[#This Row],[min_land]],Grandview_Inventory[[#This Row],[min_land]],ROUND(Grandview_Inventory[[#This Row],[adj_land]]*Lookups!$M$28,-2))</f>
        <v>55400</v>
      </c>
      <c r="CB2661">
        <f>ROUND(Grandview_Inventory[[#This Row],[det_value]]*Lookups!$M$28,-2)</f>
        <v>0</v>
      </c>
      <c r="CC266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1">
        <f>Grandview_Inventory[[#This Row],[final_det]]+Grandview_Inventory[[#This Row],[final_res]]</f>
        <v>0</v>
      </c>
      <c r="CE2661">
        <f>Grandview_Inventory[[#This Row],[final_land]]+Grandview_Inventory[[#This Row],[final_imp]]+Grandview_Inventory[[#This Row],[crop_value]]</f>
        <v>55400</v>
      </c>
      <c r="CG2661" t="str">
        <f t="shared" si="41"/>
        <v>update valuation set market_land =55400, market_bldg=0, market_total =55400, market_mdno =401, market_date ='9/10/2023' where link_id = (select link_id from parcel where parcel_year = '2024' and parcel_id = '23092221409');</v>
      </c>
    </row>
    <row r="2662" spans="1:85" x14ac:dyDescent="0.25">
      <c r="A2662">
        <v>23092221411</v>
      </c>
      <c r="B2662" t="s">
        <v>129</v>
      </c>
      <c r="C2662">
        <v>7639</v>
      </c>
      <c r="D2662" t="s">
        <v>129</v>
      </c>
      <c r="E2662" t="s">
        <v>53</v>
      </c>
      <c r="F2662" t="s">
        <v>53</v>
      </c>
      <c r="G2662">
        <v>4</v>
      </c>
      <c r="H2662" t="s">
        <v>54</v>
      </c>
      <c r="I2662" t="s">
        <v>129</v>
      </c>
      <c r="J2662">
        <v>32300</v>
      </c>
      <c r="K2662">
        <v>0.18</v>
      </c>
      <c r="L266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662">
        <v>0</v>
      </c>
      <c r="N2662">
        <v>0</v>
      </c>
      <c r="O2662">
        <v>0</v>
      </c>
      <c r="P2662">
        <v>13398.7528</v>
      </c>
      <c r="Q2662">
        <v>63903</v>
      </c>
      <c r="R2662">
        <f>(Grandview_Inventory[[#This Row],[ln_acres]]*Grandview_Inventory[[#This Row],[coeff]])+Grandview_Inventory[[#This Row],[const]]</f>
        <v>40926.839760167699</v>
      </c>
      <c r="AY2662">
        <v>0</v>
      </c>
      <c r="AZ2662">
        <v>0</v>
      </c>
      <c r="BE2662">
        <v>0</v>
      </c>
      <c r="BF2662">
        <v>15000</v>
      </c>
      <c r="BG2662">
        <v>0</v>
      </c>
      <c r="BH2662" s="6">
        <f>Grandview_Inventory[[#This Row],[land_extract]]*Lookups!$B$3</f>
        <v>47528.228511015397</v>
      </c>
      <c r="BI2662" s="6">
        <f>IF(Grandview_Inventory[[#This Row],[bldg_style]]="",0,Lookups!$B$2)</f>
        <v>0</v>
      </c>
      <c r="BJ2662" s="6">
        <f>_xlfn.IFNA(VLOOKUP(Grandview_Inventory[[#This Row],[quality]],Lookups!$H$2:$J$14,3,FALSE),0)</f>
        <v>0</v>
      </c>
      <c r="BK2662" s="6">
        <f>_xlfn.IFNA(VLOOKUP(Grandview_Inventory[[#This Row],[condition]],Lookups!$H$17:$J$24,3,FALSE),0)</f>
        <v>0</v>
      </c>
      <c r="BL2662" s="6">
        <f>Grandview_Inventory[[#This Row],[Eff_Age]]*Lookups!$B$14</f>
        <v>0</v>
      </c>
      <c r="BM2662" s="6">
        <f>Grandview_Inventory[[#This Row],[living_area]]*Lookups!$B$15</f>
        <v>0</v>
      </c>
      <c r="BN2662" s="6">
        <f>Grandview_Inventory[[#This Row],[Fin BSMT]]*Lookups!$B$16</f>
        <v>0</v>
      </c>
      <c r="BO2662" s="6">
        <f>(Grandview_Inventory[[#This Row],[att_gar]]+Grandview_Inventory[[#This Row],[bltin_gar]])*Lookups!$B$17</f>
        <v>0</v>
      </c>
      <c r="BP2662" s="6">
        <f>Grandview_Inventory[[#This Row],[Plumbing Fixtures]]*Lookups!$B$18</f>
        <v>0</v>
      </c>
      <c r="BQ2662" s="6">
        <f>Grandview_Inventory[[#This Row],[detatched_value]]*Lookups!$B$19</f>
        <v>0</v>
      </c>
      <c r="BR2662" s="6">
        <f>SUM(Grandview_Inventory[[#This Row],[Intercept]:[det_value]])*Grandview_Inventory[[#This Row],[res_pct]]</f>
        <v>0</v>
      </c>
      <c r="BS2662" s="6">
        <f>Grandview_Inventory[[#This Row],[land_value]]</f>
        <v>47528.228511015397</v>
      </c>
      <c r="BT2662" s="4">
        <f>_xlfn.IFNA(VLOOKUP(Grandview_Inventory[[#This Row],[quality]],Lookups!$A$26:$C$33,3,FALSE),1)</f>
        <v>1</v>
      </c>
      <c r="BU2662" s="4">
        <f>_xlfn.IFNA(VLOOKUP(Grandview_Inventory[[#This Row],[condition]],Lookups!$A$37:$C$44,3,FALSE),1)</f>
        <v>1</v>
      </c>
      <c r="BV2662" s="4">
        <f>IF(Grandview_Inventory[[#This Row],[bldg_style]]="",1,_xlfn.IFNA(VLOOKUP(Grandview_Inventory[[#This Row],[decade]],Lookups!$F$29:$H$43,3,FALSE),1))</f>
        <v>1</v>
      </c>
      <c r="BW2662" s="4">
        <f>_xlfn.IFNA(VLOOKUP(Grandview_Inventory[[#This Row],[living_area_range]],Lookups!$F$47:$H$56,3,FALSE),1)</f>
        <v>1</v>
      </c>
      <c r="BX2662" s="4">
        <f>AVERAGE(Grandview_Inventory[[#This Row],[qual_adj]:[size_adj]])</f>
        <v>1</v>
      </c>
      <c r="BY2662" s="6">
        <f>IF(Grandview_Inventory[[#This Row],[pre_res]]&lt;0,0,Grandview_Inventory[[#This Row],[pre_res]]*Grandview_Inventory[[#This Row],[overall_adj]])</f>
        <v>0</v>
      </c>
      <c r="BZ2662" s="6">
        <f>(Grandview_Inventory[[#This Row],[sum_land]]-IF(Grandview_Inventory[[#This Row],[no_utilities]]=1,12000,0))/IF(Grandview_Inventory[[#This Row],[unbuildable]]=1,2,1)</f>
        <v>47528.228511015397</v>
      </c>
      <c r="CA266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662">
        <f>ROUND(Grandview_Inventory[[#This Row],[det_value]]*Lookups!$M$28,-2)</f>
        <v>0</v>
      </c>
      <c r="CC266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2">
        <f>Grandview_Inventory[[#This Row],[final_det]]+Grandview_Inventory[[#This Row],[final_res]]</f>
        <v>0</v>
      </c>
      <c r="CE2662">
        <f>Grandview_Inventory[[#This Row],[final_land]]+Grandview_Inventory[[#This Row],[final_imp]]+Grandview_Inventory[[#This Row],[crop_value]]</f>
        <v>45200</v>
      </c>
      <c r="CG2662" t="str">
        <f t="shared" si="41"/>
        <v>update valuation set market_land =45200, market_bldg=0, market_total =45200, market_mdno =401, market_date ='9/10/2023' where link_id = (select link_id from parcel where parcel_year = '2024' and parcel_id = '23092221411');</v>
      </c>
    </row>
    <row r="2663" spans="1:85" x14ac:dyDescent="0.25">
      <c r="A2663">
        <v>23092221412</v>
      </c>
      <c r="B2663" t="s">
        <v>129</v>
      </c>
      <c r="C2663">
        <v>7500</v>
      </c>
      <c r="D2663" t="s">
        <v>129</v>
      </c>
      <c r="E2663" t="s">
        <v>53</v>
      </c>
      <c r="F2663" t="s">
        <v>53</v>
      </c>
      <c r="G2663">
        <v>4</v>
      </c>
      <c r="H2663" t="s">
        <v>54</v>
      </c>
      <c r="I2663" t="s">
        <v>129</v>
      </c>
      <c r="J2663">
        <v>32300</v>
      </c>
      <c r="K2663">
        <v>0.17</v>
      </c>
      <c r="L2663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63">
        <v>0</v>
      </c>
      <c r="N2663">
        <v>0</v>
      </c>
      <c r="O2663">
        <v>0</v>
      </c>
      <c r="P2663">
        <v>13398.7528</v>
      </c>
      <c r="Q2663">
        <v>63903</v>
      </c>
      <c r="R2663">
        <f>(Grandview_Inventory[[#This Row],[ln_acres]]*Grandview_Inventory[[#This Row],[coeff]])+Grandview_Inventory[[#This Row],[const]]</f>
        <v>40160.988302686128</v>
      </c>
      <c r="AY2663">
        <v>0</v>
      </c>
      <c r="AZ2663">
        <v>0</v>
      </c>
      <c r="BE2663">
        <v>0</v>
      </c>
      <c r="BF2663">
        <v>15000</v>
      </c>
      <c r="BG2663">
        <v>0</v>
      </c>
      <c r="BH2663" s="6">
        <f>Grandview_Inventory[[#This Row],[land_extract]]*Lookups!$B$3</f>
        <v>46638.847281240982</v>
      </c>
      <c r="BI2663" s="6">
        <f>IF(Grandview_Inventory[[#This Row],[bldg_style]]="",0,Lookups!$B$2)</f>
        <v>0</v>
      </c>
      <c r="BJ2663" s="6">
        <f>_xlfn.IFNA(VLOOKUP(Grandview_Inventory[[#This Row],[quality]],Lookups!$H$2:$J$14,3,FALSE),0)</f>
        <v>0</v>
      </c>
      <c r="BK2663" s="6">
        <f>_xlfn.IFNA(VLOOKUP(Grandview_Inventory[[#This Row],[condition]],Lookups!$H$17:$J$24,3,FALSE),0)</f>
        <v>0</v>
      </c>
      <c r="BL2663" s="6">
        <f>Grandview_Inventory[[#This Row],[Eff_Age]]*Lookups!$B$14</f>
        <v>0</v>
      </c>
      <c r="BM2663" s="6">
        <f>Grandview_Inventory[[#This Row],[living_area]]*Lookups!$B$15</f>
        <v>0</v>
      </c>
      <c r="BN2663" s="6">
        <f>Grandview_Inventory[[#This Row],[Fin BSMT]]*Lookups!$B$16</f>
        <v>0</v>
      </c>
      <c r="BO2663" s="6">
        <f>(Grandview_Inventory[[#This Row],[att_gar]]+Grandview_Inventory[[#This Row],[bltin_gar]])*Lookups!$B$17</f>
        <v>0</v>
      </c>
      <c r="BP2663" s="6">
        <f>Grandview_Inventory[[#This Row],[Plumbing Fixtures]]*Lookups!$B$18</f>
        <v>0</v>
      </c>
      <c r="BQ2663" s="6">
        <f>Grandview_Inventory[[#This Row],[detatched_value]]*Lookups!$B$19</f>
        <v>0</v>
      </c>
      <c r="BR2663" s="6">
        <f>SUM(Grandview_Inventory[[#This Row],[Intercept]:[det_value]])*Grandview_Inventory[[#This Row],[res_pct]]</f>
        <v>0</v>
      </c>
      <c r="BS2663" s="6">
        <f>Grandview_Inventory[[#This Row],[land_value]]</f>
        <v>46638.847281240982</v>
      </c>
      <c r="BT2663" s="4">
        <f>_xlfn.IFNA(VLOOKUP(Grandview_Inventory[[#This Row],[quality]],Lookups!$A$26:$C$33,3,FALSE),1)</f>
        <v>1</v>
      </c>
      <c r="BU2663" s="4">
        <f>_xlfn.IFNA(VLOOKUP(Grandview_Inventory[[#This Row],[condition]],Lookups!$A$37:$C$44,3,FALSE),1)</f>
        <v>1</v>
      </c>
      <c r="BV2663" s="4">
        <f>IF(Grandview_Inventory[[#This Row],[bldg_style]]="",1,_xlfn.IFNA(VLOOKUP(Grandview_Inventory[[#This Row],[decade]],Lookups!$F$29:$H$43,3,FALSE),1))</f>
        <v>1</v>
      </c>
      <c r="BW2663" s="4">
        <f>_xlfn.IFNA(VLOOKUP(Grandview_Inventory[[#This Row],[living_area_range]],Lookups!$F$47:$H$56,3,FALSE),1)</f>
        <v>1</v>
      </c>
      <c r="BX2663" s="4">
        <f>AVERAGE(Grandview_Inventory[[#This Row],[qual_adj]:[size_adj]])</f>
        <v>1</v>
      </c>
      <c r="BY2663" s="6">
        <f>IF(Grandview_Inventory[[#This Row],[pre_res]]&lt;0,0,Grandview_Inventory[[#This Row],[pre_res]]*Grandview_Inventory[[#This Row],[overall_adj]])</f>
        <v>0</v>
      </c>
      <c r="BZ2663" s="6">
        <f>(Grandview_Inventory[[#This Row],[sum_land]]-IF(Grandview_Inventory[[#This Row],[no_utilities]]=1,12000,0))/IF(Grandview_Inventory[[#This Row],[unbuildable]]=1,2,1)</f>
        <v>46638.847281240982</v>
      </c>
      <c r="CA2663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63">
        <f>ROUND(Grandview_Inventory[[#This Row],[det_value]]*Lookups!$M$28,-2)</f>
        <v>0</v>
      </c>
      <c r="CC266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3">
        <f>Grandview_Inventory[[#This Row],[final_det]]+Grandview_Inventory[[#This Row],[final_res]]</f>
        <v>0</v>
      </c>
      <c r="CE2663">
        <f>Grandview_Inventory[[#This Row],[final_land]]+Grandview_Inventory[[#This Row],[final_imp]]+Grandview_Inventory[[#This Row],[crop_value]]</f>
        <v>44300</v>
      </c>
      <c r="CG2663" t="str">
        <f t="shared" si="41"/>
        <v>update valuation set market_land =44300, market_bldg=0, market_total =44300, market_mdno =401, market_date ='9/10/2023' where link_id = (select link_id from parcel where parcel_year = '2024' and parcel_id = '23092221412');</v>
      </c>
    </row>
    <row r="2664" spans="1:85" x14ac:dyDescent="0.25">
      <c r="A2664">
        <v>23092221413</v>
      </c>
      <c r="B2664" t="s">
        <v>129</v>
      </c>
      <c r="C2664">
        <v>7500</v>
      </c>
      <c r="D2664" t="s">
        <v>129</v>
      </c>
      <c r="E2664" t="s">
        <v>53</v>
      </c>
      <c r="F2664" t="s">
        <v>53</v>
      </c>
      <c r="G2664">
        <v>4</v>
      </c>
      <c r="H2664" t="s">
        <v>54</v>
      </c>
      <c r="I2664" t="s">
        <v>129</v>
      </c>
      <c r="J2664">
        <v>32300</v>
      </c>
      <c r="K2664">
        <v>0.17</v>
      </c>
      <c r="L266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64">
        <v>0</v>
      </c>
      <c r="N2664">
        <v>0</v>
      </c>
      <c r="O2664">
        <v>0</v>
      </c>
      <c r="P2664">
        <v>13398.7528</v>
      </c>
      <c r="Q2664">
        <v>63903</v>
      </c>
      <c r="R2664">
        <f>(Grandview_Inventory[[#This Row],[ln_acres]]*Grandview_Inventory[[#This Row],[coeff]])+Grandview_Inventory[[#This Row],[const]]</f>
        <v>40160.988302686128</v>
      </c>
      <c r="AY2664">
        <v>0</v>
      </c>
      <c r="AZ2664">
        <v>0</v>
      </c>
      <c r="BE2664">
        <v>0</v>
      </c>
      <c r="BF2664">
        <v>15000</v>
      </c>
      <c r="BG2664">
        <v>0</v>
      </c>
      <c r="BH2664" s="6">
        <f>Grandview_Inventory[[#This Row],[land_extract]]*Lookups!$B$3</f>
        <v>46638.847281240982</v>
      </c>
      <c r="BI2664" s="6">
        <f>IF(Grandview_Inventory[[#This Row],[bldg_style]]="",0,Lookups!$B$2)</f>
        <v>0</v>
      </c>
      <c r="BJ2664" s="6">
        <f>_xlfn.IFNA(VLOOKUP(Grandview_Inventory[[#This Row],[quality]],Lookups!$H$2:$J$14,3,FALSE),0)</f>
        <v>0</v>
      </c>
      <c r="BK2664" s="6">
        <f>_xlfn.IFNA(VLOOKUP(Grandview_Inventory[[#This Row],[condition]],Lookups!$H$17:$J$24,3,FALSE),0)</f>
        <v>0</v>
      </c>
      <c r="BL2664" s="6">
        <f>Grandview_Inventory[[#This Row],[Eff_Age]]*Lookups!$B$14</f>
        <v>0</v>
      </c>
      <c r="BM2664" s="6">
        <f>Grandview_Inventory[[#This Row],[living_area]]*Lookups!$B$15</f>
        <v>0</v>
      </c>
      <c r="BN2664" s="6">
        <f>Grandview_Inventory[[#This Row],[Fin BSMT]]*Lookups!$B$16</f>
        <v>0</v>
      </c>
      <c r="BO2664" s="6">
        <f>(Grandview_Inventory[[#This Row],[att_gar]]+Grandview_Inventory[[#This Row],[bltin_gar]])*Lookups!$B$17</f>
        <v>0</v>
      </c>
      <c r="BP2664" s="6">
        <f>Grandview_Inventory[[#This Row],[Plumbing Fixtures]]*Lookups!$B$18</f>
        <v>0</v>
      </c>
      <c r="BQ2664" s="6">
        <f>Grandview_Inventory[[#This Row],[detatched_value]]*Lookups!$B$19</f>
        <v>0</v>
      </c>
      <c r="BR2664" s="6">
        <f>SUM(Grandview_Inventory[[#This Row],[Intercept]:[det_value]])*Grandview_Inventory[[#This Row],[res_pct]]</f>
        <v>0</v>
      </c>
      <c r="BS2664" s="6">
        <f>Grandview_Inventory[[#This Row],[land_value]]</f>
        <v>46638.847281240982</v>
      </c>
      <c r="BT2664" s="4">
        <f>_xlfn.IFNA(VLOOKUP(Grandview_Inventory[[#This Row],[quality]],Lookups!$A$26:$C$33,3,FALSE),1)</f>
        <v>1</v>
      </c>
      <c r="BU2664" s="4">
        <f>_xlfn.IFNA(VLOOKUP(Grandview_Inventory[[#This Row],[condition]],Lookups!$A$37:$C$44,3,FALSE),1)</f>
        <v>1</v>
      </c>
      <c r="BV2664" s="4">
        <f>IF(Grandview_Inventory[[#This Row],[bldg_style]]="",1,_xlfn.IFNA(VLOOKUP(Grandview_Inventory[[#This Row],[decade]],Lookups!$F$29:$H$43,3,FALSE),1))</f>
        <v>1</v>
      </c>
      <c r="BW2664" s="4">
        <f>_xlfn.IFNA(VLOOKUP(Grandview_Inventory[[#This Row],[living_area_range]],Lookups!$F$47:$H$56,3,FALSE),1)</f>
        <v>1</v>
      </c>
      <c r="BX2664" s="4">
        <f>AVERAGE(Grandview_Inventory[[#This Row],[qual_adj]:[size_adj]])</f>
        <v>1</v>
      </c>
      <c r="BY2664" s="6">
        <f>IF(Grandview_Inventory[[#This Row],[pre_res]]&lt;0,0,Grandview_Inventory[[#This Row],[pre_res]]*Grandview_Inventory[[#This Row],[overall_adj]])</f>
        <v>0</v>
      </c>
      <c r="BZ2664" s="6">
        <f>(Grandview_Inventory[[#This Row],[sum_land]]-IF(Grandview_Inventory[[#This Row],[no_utilities]]=1,12000,0))/IF(Grandview_Inventory[[#This Row],[unbuildable]]=1,2,1)</f>
        <v>46638.847281240982</v>
      </c>
      <c r="CA2664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64">
        <f>ROUND(Grandview_Inventory[[#This Row],[det_value]]*Lookups!$M$28,-2)</f>
        <v>0</v>
      </c>
      <c r="CC266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4">
        <f>Grandview_Inventory[[#This Row],[final_det]]+Grandview_Inventory[[#This Row],[final_res]]</f>
        <v>0</v>
      </c>
      <c r="CE2664">
        <f>Grandview_Inventory[[#This Row],[final_land]]+Grandview_Inventory[[#This Row],[final_imp]]+Grandview_Inventory[[#This Row],[crop_value]]</f>
        <v>44300</v>
      </c>
      <c r="CG2664" t="str">
        <f t="shared" si="41"/>
        <v>update valuation set market_land =44300, market_bldg=0, market_total =44300, market_mdno =401, market_date ='9/10/2023' where link_id = (select link_id from parcel where parcel_year = '2024' and parcel_id = '23092221413');</v>
      </c>
    </row>
    <row r="2665" spans="1:85" x14ac:dyDescent="0.25">
      <c r="A2665">
        <v>23092221414</v>
      </c>
      <c r="B2665" t="s">
        <v>129</v>
      </c>
      <c r="C2665">
        <v>7500</v>
      </c>
      <c r="D2665" t="s">
        <v>129</v>
      </c>
      <c r="E2665" t="s">
        <v>53</v>
      </c>
      <c r="F2665" t="s">
        <v>53</v>
      </c>
      <c r="G2665">
        <v>4</v>
      </c>
      <c r="H2665" t="s">
        <v>54</v>
      </c>
      <c r="I2665" t="s">
        <v>129</v>
      </c>
      <c r="J2665">
        <v>32300</v>
      </c>
      <c r="K2665">
        <v>0.17</v>
      </c>
      <c r="L266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65">
        <v>0</v>
      </c>
      <c r="N2665">
        <v>0</v>
      </c>
      <c r="O2665">
        <v>0</v>
      </c>
      <c r="P2665">
        <v>13398.7528</v>
      </c>
      <c r="Q2665">
        <v>63903</v>
      </c>
      <c r="R2665">
        <f>(Grandview_Inventory[[#This Row],[ln_acres]]*Grandview_Inventory[[#This Row],[coeff]])+Grandview_Inventory[[#This Row],[const]]</f>
        <v>40160.988302686128</v>
      </c>
      <c r="AY2665">
        <v>0</v>
      </c>
      <c r="AZ2665">
        <v>0</v>
      </c>
      <c r="BE2665">
        <v>0</v>
      </c>
      <c r="BF2665">
        <v>15000</v>
      </c>
      <c r="BG2665">
        <v>0</v>
      </c>
      <c r="BH2665" s="6">
        <f>Grandview_Inventory[[#This Row],[land_extract]]*Lookups!$B$3</f>
        <v>46638.847281240982</v>
      </c>
      <c r="BI2665" s="6">
        <f>IF(Grandview_Inventory[[#This Row],[bldg_style]]="",0,Lookups!$B$2)</f>
        <v>0</v>
      </c>
      <c r="BJ2665" s="6">
        <f>_xlfn.IFNA(VLOOKUP(Grandview_Inventory[[#This Row],[quality]],Lookups!$H$2:$J$14,3,FALSE),0)</f>
        <v>0</v>
      </c>
      <c r="BK2665" s="6">
        <f>_xlfn.IFNA(VLOOKUP(Grandview_Inventory[[#This Row],[condition]],Lookups!$H$17:$J$24,3,FALSE),0)</f>
        <v>0</v>
      </c>
      <c r="BL2665" s="6">
        <f>Grandview_Inventory[[#This Row],[Eff_Age]]*Lookups!$B$14</f>
        <v>0</v>
      </c>
      <c r="BM2665" s="6">
        <f>Grandview_Inventory[[#This Row],[living_area]]*Lookups!$B$15</f>
        <v>0</v>
      </c>
      <c r="BN2665" s="6">
        <f>Grandview_Inventory[[#This Row],[Fin BSMT]]*Lookups!$B$16</f>
        <v>0</v>
      </c>
      <c r="BO2665" s="6">
        <f>(Grandview_Inventory[[#This Row],[att_gar]]+Grandview_Inventory[[#This Row],[bltin_gar]])*Lookups!$B$17</f>
        <v>0</v>
      </c>
      <c r="BP2665" s="6">
        <f>Grandview_Inventory[[#This Row],[Plumbing Fixtures]]*Lookups!$B$18</f>
        <v>0</v>
      </c>
      <c r="BQ2665" s="6">
        <f>Grandview_Inventory[[#This Row],[detatched_value]]*Lookups!$B$19</f>
        <v>0</v>
      </c>
      <c r="BR2665" s="6">
        <f>SUM(Grandview_Inventory[[#This Row],[Intercept]:[det_value]])*Grandview_Inventory[[#This Row],[res_pct]]</f>
        <v>0</v>
      </c>
      <c r="BS2665" s="6">
        <f>Grandview_Inventory[[#This Row],[land_value]]</f>
        <v>46638.847281240982</v>
      </c>
      <c r="BT2665" s="4">
        <f>_xlfn.IFNA(VLOOKUP(Grandview_Inventory[[#This Row],[quality]],Lookups!$A$26:$C$33,3,FALSE),1)</f>
        <v>1</v>
      </c>
      <c r="BU2665" s="4">
        <f>_xlfn.IFNA(VLOOKUP(Grandview_Inventory[[#This Row],[condition]],Lookups!$A$37:$C$44,3,FALSE),1)</f>
        <v>1</v>
      </c>
      <c r="BV2665" s="4">
        <f>IF(Grandview_Inventory[[#This Row],[bldg_style]]="",1,_xlfn.IFNA(VLOOKUP(Grandview_Inventory[[#This Row],[decade]],Lookups!$F$29:$H$43,3,FALSE),1))</f>
        <v>1</v>
      </c>
      <c r="BW2665" s="4">
        <f>_xlfn.IFNA(VLOOKUP(Grandview_Inventory[[#This Row],[living_area_range]],Lookups!$F$47:$H$56,3,FALSE),1)</f>
        <v>1</v>
      </c>
      <c r="BX2665" s="4">
        <f>AVERAGE(Grandview_Inventory[[#This Row],[qual_adj]:[size_adj]])</f>
        <v>1</v>
      </c>
      <c r="BY2665" s="6">
        <f>IF(Grandview_Inventory[[#This Row],[pre_res]]&lt;0,0,Grandview_Inventory[[#This Row],[pre_res]]*Grandview_Inventory[[#This Row],[overall_adj]])</f>
        <v>0</v>
      </c>
      <c r="BZ2665" s="6">
        <f>(Grandview_Inventory[[#This Row],[sum_land]]-IF(Grandview_Inventory[[#This Row],[no_utilities]]=1,12000,0))/IF(Grandview_Inventory[[#This Row],[unbuildable]]=1,2,1)</f>
        <v>46638.847281240982</v>
      </c>
      <c r="CA2665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65">
        <f>ROUND(Grandview_Inventory[[#This Row],[det_value]]*Lookups!$M$28,-2)</f>
        <v>0</v>
      </c>
      <c r="CC266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5">
        <f>Grandview_Inventory[[#This Row],[final_det]]+Grandview_Inventory[[#This Row],[final_res]]</f>
        <v>0</v>
      </c>
      <c r="CE2665">
        <f>Grandview_Inventory[[#This Row],[final_land]]+Grandview_Inventory[[#This Row],[final_imp]]+Grandview_Inventory[[#This Row],[crop_value]]</f>
        <v>44300</v>
      </c>
      <c r="CG2665" t="str">
        <f t="shared" si="41"/>
        <v>update valuation set market_land =44300, market_bldg=0, market_total =44300, market_mdno =401, market_date ='9/10/2023' where link_id = (select link_id from parcel where parcel_year = '2024' and parcel_id = '23092221414');</v>
      </c>
    </row>
    <row r="2666" spans="1:85" x14ac:dyDescent="0.25">
      <c r="A2666">
        <v>23092221415</v>
      </c>
      <c r="B2666" t="s">
        <v>129</v>
      </c>
      <c r="C2666">
        <v>7500</v>
      </c>
      <c r="D2666" t="s">
        <v>129</v>
      </c>
      <c r="E2666" t="s">
        <v>53</v>
      </c>
      <c r="F2666" t="s">
        <v>53</v>
      </c>
      <c r="G2666">
        <v>4</v>
      </c>
      <c r="H2666" t="s">
        <v>54</v>
      </c>
      <c r="I2666" t="s">
        <v>129</v>
      </c>
      <c r="J2666">
        <v>32300</v>
      </c>
      <c r="K2666">
        <v>0.17</v>
      </c>
      <c r="L2666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66">
        <v>0</v>
      </c>
      <c r="N2666">
        <v>0</v>
      </c>
      <c r="O2666">
        <v>0</v>
      </c>
      <c r="P2666">
        <v>13398.7528</v>
      </c>
      <c r="Q2666">
        <v>63903</v>
      </c>
      <c r="R2666">
        <f>(Grandview_Inventory[[#This Row],[ln_acres]]*Grandview_Inventory[[#This Row],[coeff]])+Grandview_Inventory[[#This Row],[const]]</f>
        <v>40160.988302686128</v>
      </c>
      <c r="AY2666">
        <v>0</v>
      </c>
      <c r="AZ2666">
        <v>0</v>
      </c>
      <c r="BE2666">
        <v>0</v>
      </c>
      <c r="BF2666">
        <v>15000</v>
      </c>
      <c r="BG2666">
        <v>0</v>
      </c>
      <c r="BH2666" s="6">
        <f>Grandview_Inventory[[#This Row],[land_extract]]*Lookups!$B$3</f>
        <v>46638.847281240982</v>
      </c>
      <c r="BI2666" s="6">
        <f>IF(Grandview_Inventory[[#This Row],[bldg_style]]="",0,Lookups!$B$2)</f>
        <v>0</v>
      </c>
      <c r="BJ2666" s="6">
        <f>_xlfn.IFNA(VLOOKUP(Grandview_Inventory[[#This Row],[quality]],Lookups!$H$2:$J$14,3,FALSE),0)</f>
        <v>0</v>
      </c>
      <c r="BK2666" s="6">
        <f>_xlfn.IFNA(VLOOKUP(Grandview_Inventory[[#This Row],[condition]],Lookups!$H$17:$J$24,3,FALSE),0)</f>
        <v>0</v>
      </c>
      <c r="BL2666" s="6">
        <f>Grandview_Inventory[[#This Row],[Eff_Age]]*Lookups!$B$14</f>
        <v>0</v>
      </c>
      <c r="BM2666" s="6">
        <f>Grandview_Inventory[[#This Row],[living_area]]*Lookups!$B$15</f>
        <v>0</v>
      </c>
      <c r="BN2666" s="6">
        <f>Grandview_Inventory[[#This Row],[Fin BSMT]]*Lookups!$B$16</f>
        <v>0</v>
      </c>
      <c r="BO2666" s="6">
        <f>(Grandview_Inventory[[#This Row],[att_gar]]+Grandview_Inventory[[#This Row],[bltin_gar]])*Lookups!$B$17</f>
        <v>0</v>
      </c>
      <c r="BP2666" s="6">
        <f>Grandview_Inventory[[#This Row],[Plumbing Fixtures]]*Lookups!$B$18</f>
        <v>0</v>
      </c>
      <c r="BQ2666" s="6">
        <f>Grandview_Inventory[[#This Row],[detatched_value]]*Lookups!$B$19</f>
        <v>0</v>
      </c>
      <c r="BR2666" s="6">
        <f>SUM(Grandview_Inventory[[#This Row],[Intercept]:[det_value]])*Grandview_Inventory[[#This Row],[res_pct]]</f>
        <v>0</v>
      </c>
      <c r="BS2666" s="6">
        <f>Grandview_Inventory[[#This Row],[land_value]]</f>
        <v>46638.847281240982</v>
      </c>
      <c r="BT2666" s="4">
        <f>_xlfn.IFNA(VLOOKUP(Grandview_Inventory[[#This Row],[quality]],Lookups!$A$26:$C$33,3,FALSE),1)</f>
        <v>1</v>
      </c>
      <c r="BU2666" s="4">
        <f>_xlfn.IFNA(VLOOKUP(Grandview_Inventory[[#This Row],[condition]],Lookups!$A$37:$C$44,3,FALSE),1)</f>
        <v>1</v>
      </c>
      <c r="BV2666" s="4">
        <f>IF(Grandview_Inventory[[#This Row],[bldg_style]]="",1,_xlfn.IFNA(VLOOKUP(Grandview_Inventory[[#This Row],[decade]],Lookups!$F$29:$H$43,3,FALSE),1))</f>
        <v>1</v>
      </c>
      <c r="BW2666" s="4">
        <f>_xlfn.IFNA(VLOOKUP(Grandview_Inventory[[#This Row],[living_area_range]],Lookups!$F$47:$H$56,3,FALSE),1)</f>
        <v>1</v>
      </c>
      <c r="BX2666" s="4">
        <f>AVERAGE(Grandview_Inventory[[#This Row],[qual_adj]:[size_adj]])</f>
        <v>1</v>
      </c>
      <c r="BY2666" s="6">
        <f>IF(Grandview_Inventory[[#This Row],[pre_res]]&lt;0,0,Grandview_Inventory[[#This Row],[pre_res]]*Grandview_Inventory[[#This Row],[overall_adj]])</f>
        <v>0</v>
      </c>
      <c r="BZ2666" s="6">
        <f>(Grandview_Inventory[[#This Row],[sum_land]]-IF(Grandview_Inventory[[#This Row],[no_utilities]]=1,12000,0))/IF(Grandview_Inventory[[#This Row],[unbuildable]]=1,2,1)</f>
        <v>46638.847281240982</v>
      </c>
      <c r="CA2666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66">
        <f>ROUND(Grandview_Inventory[[#This Row],[det_value]]*Lookups!$M$28,-2)</f>
        <v>0</v>
      </c>
      <c r="CC266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6">
        <f>Grandview_Inventory[[#This Row],[final_det]]+Grandview_Inventory[[#This Row],[final_res]]</f>
        <v>0</v>
      </c>
      <c r="CE2666">
        <f>Grandview_Inventory[[#This Row],[final_land]]+Grandview_Inventory[[#This Row],[final_imp]]+Grandview_Inventory[[#This Row],[crop_value]]</f>
        <v>44300</v>
      </c>
      <c r="CG2666" t="str">
        <f t="shared" si="41"/>
        <v>update valuation set market_land =44300, market_bldg=0, market_total =44300, market_mdno =401, market_date ='9/10/2023' where link_id = (select link_id from parcel where parcel_year = '2024' and parcel_id = '23092221415');</v>
      </c>
    </row>
    <row r="2667" spans="1:85" x14ac:dyDescent="0.25">
      <c r="A2667">
        <v>23092221416</v>
      </c>
      <c r="B2667" t="s">
        <v>129</v>
      </c>
      <c r="C2667">
        <v>7500</v>
      </c>
      <c r="D2667" t="s">
        <v>129</v>
      </c>
      <c r="E2667" t="s">
        <v>53</v>
      </c>
      <c r="F2667" t="s">
        <v>53</v>
      </c>
      <c r="G2667">
        <v>4</v>
      </c>
      <c r="H2667" t="s">
        <v>54</v>
      </c>
      <c r="I2667" t="s">
        <v>129</v>
      </c>
      <c r="J2667">
        <v>32300</v>
      </c>
      <c r="K2667">
        <v>0.17</v>
      </c>
      <c r="L266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67">
        <v>0</v>
      </c>
      <c r="N2667">
        <v>0</v>
      </c>
      <c r="O2667">
        <v>0</v>
      </c>
      <c r="P2667">
        <v>13398.7528</v>
      </c>
      <c r="Q2667">
        <v>63903</v>
      </c>
      <c r="R2667">
        <f>(Grandview_Inventory[[#This Row],[ln_acres]]*Grandview_Inventory[[#This Row],[coeff]])+Grandview_Inventory[[#This Row],[const]]</f>
        <v>40160.988302686128</v>
      </c>
      <c r="AY2667">
        <v>0</v>
      </c>
      <c r="AZ2667">
        <v>0</v>
      </c>
      <c r="BE2667">
        <v>0</v>
      </c>
      <c r="BF2667">
        <v>15000</v>
      </c>
      <c r="BG2667">
        <v>0</v>
      </c>
      <c r="BH2667" s="6">
        <f>Grandview_Inventory[[#This Row],[land_extract]]*Lookups!$B$3</f>
        <v>46638.847281240982</v>
      </c>
      <c r="BI2667" s="6">
        <f>IF(Grandview_Inventory[[#This Row],[bldg_style]]="",0,Lookups!$B$2)</f>
        <v>0</v>
      </c>
      <c r="BJ2667" s="6">
        <f>_xlfn.IFNA(VLOOKUP(Grandview_Inventory[[#This Row],[quality]],Lookups!$H$2:$J$14,3,FALSE),0)</f>
        <v>0</v>
      </c>
      <c r="BK2667" s="6">
        <f>_xlfn.IFNA(VLOOKUP(Grandview_Inventory[[#This Row],[condition]],Lookups!$H$17:$J$24,3,FALSE),0)</f>
        <v>0</v>
      </c>
      <c r="BL2667" s="6">
        <f>Grandview_Inventory[[#This Row],[Eff_Age]]*Lookups!$B$14</f>
        <v>0</v>
      </c>
      <c r="BM2667" s="6">
        <f>Grandview_Inventory[[#This Row],[living_area]]*Lookups!$B$15</f>
        <v>0</v>
      </c>
      <c r="BN2667" s="6">
        <f>Grandview_Inventory[[#This Row],[Fin BSMT]]*Lookups!$B$16</f>
        <v>0</v>
      </c>
      <c r="BO2667" s="6">
        <f>(Grandview_Inventory[[#This Row],[att_gar]]+Grandview_Inventory[[#This Row],[bltin_gar]])*Lookups!$B$17</f>
        <v>0</v>
      </c>
      <c r="BP2667" s="6">
        <f>Grandview_Inventory[[#This Row],[Plumbing Fixtures]]*Lookups!$B$18</f>
        <v>0</v>
      </c>
      <c r="BQ2667" s="6">
        <f>Grandview_Inventory[[#This Row],[detatched_value]]*Lookups!$B$19</f>
        <v>0</v>
      </c>
      <c r="BR2667" s="6">
        <f>SUM(Grandview_Inventory[[#This Row],[Intercept]:[det_value]])*Grandview_Inventory[[#This Row],[res_pct]]</f>
        <v>0</v>
      </c>
      <c r="BS2667" s="6">
        <f>Grandview_Inventory[[#This Row],[land_value]]</f>
        <v>46638.847281240982</v>
      </c>
      <c r="BT2667" s="4">
        <f>_xlfn.IFNA(VLOOKUP(Grandview_Inventory[[#This Row],[quality]],Lookups!$A$26:$C$33,3,FALSE),1)</f>
        <v>1</v>
      </c>
      <c r="BU2667" s="4">
        <f>_xlfn.IFNA(VLOOKUP(Grandview_Inventory[[#This Row],[condition]],Lookups!$A$37:$C$44,3,FALSE),1)</f>
        <v>1</v>
      </c>
      <c r="BV2667" s="4">
        <f>IF(Grandview_Inventory[[#This Row],[bldg_style]]="",1,_xlfn.IFNA(VLOOKUP(Grandview_Inventory[[#This Row],[decade]],Lookups!$F$29:$H$43,3,FALSE),1))</f>
        <v>1</v>
      </c>
      <c r="BW2667" s="4">
        <f>_xlfn.IFNA(VLOOKUP(Grandview_Inventory[[#This Row],[living_area_range]],Lookups!$F$47:$H$56,3,FALSE),1)</f>
        <v>1</v>
      </c>
      <c r="BX2667" s="4">
        <f>AVERAGE(Grandview_Inventory[[#This Row],[qual_adj]:[size_adj]])</f>
        <v>1</v>
      </c>
      <c r="BY2667" s="6">
        <f>IF(Grandview_Inventory[[#This Row],[pre_res]]&lt;0,0,Grandview_Inventory[[#This Row],[pre_res]]*Grandview_Inventory[[#This Row],[overall_adj]])</f>
        <v>0</v>
      </c>
      <c r="BZ2667" s="6">
        <f>(Grandview_Inventory[[#This Row],[sum_land]]-IF(Grandview_Inventory[[#This Row],[no_utilities]]=1,12000,0))/IF(Grandview_Inventory[[#This Row],[unbuildable]]=1,2,1)</f>
        <v>46638.847281240982</v>
      </c>
      <c r="CA266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67">
        <f>ROUND(Grandview_Inventory[[#This Row],[det_value]]*Lookups!$M$28,-2)</f>
        <v>0</v>
      </c>
      <c r="CC266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7">
        <f>Grandview_Inventory[[#This Row],[final_det]]+Grandview_Inventory[[#This Row],[final_res]]</f>
        <v>0</v>
      </c>
      <c r="CE2667">
        <f>Grandview_Inventory[[#This Row],[final_land]]+Grandview_Inventory[[#This Row],[final_imp]]+Grandview_Inventory[[#This Row],[crop_value]]</f>
        <v>44300</v>
      </c>
      <c r="CG2667" t="str">
        <f t="shared" si="41"/>
        <v>update valuation set market_land =44300, market_bldg=0, market_total =44300, market_mdno =401, market_date ='9/10/2023' where link_id = (select link_id from parcel where parcel_year = '2024' and parcel_id = '23092221416');</v>
      </c>
    </row>
    <row r="2668" spans="1:85" x14ac:dyDescent="0.25">
      <c r="A2668">
        <v>23092221417</v>
      </c>
      <c r="B2668" t="s">
        <v>129</v>
      </c>
      <c r="C2668">
        <v>7500</v>
      </c>
      <c r="D2668" t="s">
        <v>129</v>
      </c>
      <c r="E2668" t="s">
        <v>53</v>
      </c>
      <c r="F2668" t="s">
        <v>53</v>
      </c>
      <c r="G2668">
        <v>4</v>
      </c>
      <c r="H2668" t="s">
        <v>54</v>
      </c>
      <c r="I2668" t="s">
        <v>129</v>
      </c>
      <c r="J2668">
        <v>32300</v>
      </c>
      <c r="K2668">
        <v>0.17</v>
      </c>
      <c r="L266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668">
        <v>0</v>
      </c>
      <c r="N2668">
        <v>0</v>
      </c>
      <c r="O2668">
        <v>0</v>
      </c>
      <c r="P2668">
        <v>13398.7528</v>
      </c>
      <c r="Q2668">
        <v>63903</v>
      </c>
      <c r="R2668">
        <f>(Grandview_Inventory[[#This Row],[ln_acres]]*Grandview_Inventory[[#This Row],[coeff]])+Grandview_Inventory[[#This Row],[const]]</f>
        <v>40160.988302686128</v>
      </c>
      <c r="AY2668">
        <v>0</v>
      </c>
      <c r="AZ2668">
        <v>0</v>
      </c>
      <c r="BE2668">
        <v>0</v>
      </c>
      <c r="BF2668">
        <v>15000</v>
      </c>
      <c r="BG2668">
        <v>0</v>
      </c>
      <c r="BH2668" s="6">
        <f>Grandview_Inventory[[#This Row],[land_extract]]*Lookups!$B$3</f>
        <v>46638.847281240982</v>
      </c>
      <c r="BI2668" s="6">
        <f>IF(Grandview_Inventory[[#This Row],[bldg_style]]="",0,Lookups!$B$2)</f>
        <v>0</v>
      </c>
      <c r="BJ2668" s="6">
        <f>_xlfn.IFNA(VLOOKUP(Grandview_Inventory[[#This Row],[quality]],Lookups!$H$2:$J$14,3,FALSE),0)</f>
        <v>0</v>
      </c>
      <c r="BK2668" s="6">
        <f>_xlfn.IFNA(VLOOKUP(Grandview_Inventory[[#This Row],[condition]],Lookups!$H$17:$J$24,3,FALSE),0)</f>
        <v>0</v>
      </c>
      <c r="BL2668" s="6">
        <f>Grandview_Inventory[[#This Row],[Eff_Age]]*Lookups!$B$14</f>
        <v>0</v>
      </c>
      <c r="BM2668" s="6">
        <f>Grandview_Inventory[[#This Row],[living_area]]*Lookups!$B$15</f>
        <v>0</v>
      </c>
      <c r="BN2668" s="6">
        <f>Grandview_Inventory[[#This Row],[Fin BSMT]]*Lookups!$B$16</f>
        <v>0</v>
      </c>
      <c r="BO2668" s="6">
        <f>(Grandview_Inventory[[#This Row],[att_gar]]+Grandview_Inventory[[#This Row],[bltin_gar]])*Lookups!$B$17</f>
        <v>0</v>
      </c>
      <c r="BP2668" s="6">
        <f>Grandview_Inventory[[#This Row],[Plumbing Fixtures]]*Lookups!$B$18</f>
        <v>0</v>
      </c>
      <c r="BQ2668" s="6">
        <f>Grandview_Inventory[[#This Row],[detatched_value]]*Lookups!$B$19</f>
        <v>0</v>
      </c>
      <c r="BR2668" s="6">
        <f>SUM(Grandview_Inventory[[#This Row],[Intercept]:[det_value]])*Grandview_Inventory[[#This Row],[res_pct]]</f>
        <v>0</v>
      </c>
      <c r="BS2668" s="6">
        <f>Grandview_Inventory[[#This Row],[land_value]]</f>
        <v>46638.847281240982</v>
      </c>
      <c r="BT2668" s="4">
        <f>_xlfn.IFNA(VLOOKUP(Grandview_Inventory[[#This Row],[quality]],Lookups!$A$26:$C$33,3,FALSE),1)</f>
        <v>1</v>
      </c>
      <c r="BU2668" s="4">
        <f>_xlfn.IFNA(VLOOKUP(Grandview_Inventory[[#This Row],[condition]],Lookups!$A$37:$C$44,3,FALSE),1)</f>
        <v>1</v>
      </c>
      <c r="BV2668" s="4">
        <f>IF(Grandview_Inventory[[#This Row],[bldg_style]]="",1,_xlfn.IFNA(VLOOKUP(Grandview_Inventory[[#This Row],[decade]],Lookups!$F$29:$H$43,3,FALSE),1))</f>
        <v>1</v>
      </c>
      <c r="BW2668" s="4">
        <f>_xlfn.IFNA(VLOOKUP(Grandview_Inventory[[#This Row],[living_area_range]],Lookups!$F$47:$H$56,3,FALSE),1)</f>
        <v>1</v>
      </c>
      <c r="BX2668" s="4">
        <f>AVERAGE(Grandview_Inventory[[#This Row],[qual_adj]:[size_adj]])</f>
        <v>1</v>
      </c>
      <c r="BY2668" s="6">
        <f>IF(Grandview_Inventory[[#This Row],[pre_res]]&lt;0,0,Grandview_Inventory[[#This Row],[pre_res]]*Grandview_Inventory[[#This Row],[overall_adj]])</f>
        <v>0</v>
      </c>
      <c r="BZ2668" s="6">
        <f>(Grandview_Inventory[[#This Row],[sum_land]]-IF(Grandview_Inventory[[#This Row],[no_utilities]]=1,12000,0))/IF(Grandview_Inventory[[#This Row],[unbuildable]]=1,2,1)</f>
        <v>46638.847281240982</v>
      </c>
      <c r="CA266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668">
        <f>ROUND(Grandview_Inventory[[#This Row],[det_value]]*Lookups!$M$28,-2)</f>
        <v>0</v>
      </c>
      <c r="CC266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8">
        <f>Grandview_Inventory[[#This Row],[final_det]]+Grandview_Inventory[[#This Row],[final_res]]</f>
        <v>0</v>
      </c>
      <c r="CE2668">
        <f>Grandview_Inventory[[#This Row],[final_land]]+Grandview_Inventory[[#This Row],[final_imp]]+Grandview_Inventory[[#This Row],[crop_value]]</f>
        <v>44300</v>
      </c>
      <c r="CG2668" t="str">
        <f t="shared" si="41"/>
        <v>update valuation set market_land =44300, market_bldg=0, market_total =44300, market_mdno =401, market_date ='9/10/2023' where link_id = (select link_id from parcel where parcel_year = '2024' and parcel_id = '23092221417');</v>
      </c>
    </row>
    <row r="2669" spans="1:85" x14ac:dyDescent="0.25">
      <c r="A2669">
        <v>23092221421</v>
      </c>
      <c r="B2669" t="s">
        <v>129</v>
      </c>
      <c r="C2669">
        <v>8965</v>
      </c>
      <c r="D2669" t="s">
        <v>129</v>
      </c>
      <c r="E2669" t="s">
        <v>53</v>
      </c>
      <c r="F2669" t="s">
        <v>53</v>
      </c>
      <c r="G2669">
        <v>4</v>
      </c>
      <c r="H2669" t="s">
        <v>54</v>
      </c>
      <c r="I2669" t="s">
        <v>129</v>
      </c>
      <c r="J2669">
        <v>32700</v>
      </c>
      <c r="K2669">
        <v>0.21</v>
      </c>
      <c r="L2669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669">
        <v>0</v>
      </c>
      <c r="N2669">
        <v>0</v>
      </c>
      <c r="O2669">
        <v>0</v>
      </c>
      <c r="P2669">
        <v>13398.7528</v>
      </c>
      <c r="Q2669">
        <v>63903</v>
      </c>
      <c r="R2669">
        <f>(Grandview_Inventory[[#This Row],[ln_acres]]*Grandview_Inventory[[#This Row],[coeff]])+Grandview_Inventory[[#This Row],[const]]</f>
        <v>42992.266613125081</v>
      </c>
      <c r="AY2669">
        <v>0</v>
      </c>
      <c r="AZ2669">
        <v>0</v>
      </c>
      <c r="BE2669">
        <v>0</v>
      </c>
      <c r="BF2669">
        <v>15000</v>
      </c>
      <c r="BG2669">
        <v>0</v>
      </c>
      <c r="BH2669" s="6">
        <f>Grandview_Inventory[[#This Row],[land_extract]]*Lookups!$B$3</f>
        <v>49926.8031387023</v>
      </c>
      <c r="BI2669" s="6">
        <f>IF(Grandview_Inventory[[#This Row],[bldg_style]]="",0,Lookups!$B$2)</f>
        <v>0</v>
      </c>
      <c r="BJ2669" s="6">
        <f>_xlfn.IFNA(VLOOKUP(Grandview_Inventory[[#This Row],[quality]],Lookups!$H$2:$J$14,3,FALSE),0)</f>
        <v>0</v>
      </c>
      <c r="BK2669" s="6">
        <f>_xlfn.IFNA(VLOOKUP(Grandview_Inventory[[#This Row],[condition]],Lookups!$H$17:$J$24,3,FALSE),0)</f>
        <v>0</v>
      </c>
      <c r="BL2669" s="6">
        <f>Grandview_Inventory[[#This Row],[Eff_Age]]*Lookups!$B$14</f>
        <v>0</v>
      </c>
      <c r="BM2669" s="6">
        <f>Grandview_Inventory[[#This Row],[living_area]]*Lookups!$B$15</f>
        <v>0</v>
      </c>
      <c r="BN2669" s="6">
        <f>Grandview_Inventory[[#This Row],[Fin BSMT]]*Lookups!$B$16</f>
        <v>0</v>
      </c>
      <c r="BO2669" s="6">
        <f>(Grandview_Inventory[[#This Row],[att_gar]]+Grandview_Inventory[[#This Row],[bltin_gar]])*Lookups!$B$17</f>
        <v>0</v>
      </c>
      <c r="BP2669" s="6">
        <f>Grandview_Inventory[[#This Row],[Plumbing Fixtures]]*Lookups!$B$18</f>
        <v>0</v>
      </c>
      <c r="BQ2669" s="6">
        <f>Grandview_Inventory[[#This Row],[detatched_value]]*Lookups!$B$19</f>
        <v>0</v>
      </c>
      <c r="BR2669" s="6">
        <f>SUM(Grandview_Inventory[[#This Row],[Intercept]:[det_value]])*Grandview_Inventory[[#This Row],[res_pct]]</f>
        <v>0</v>
      </c>
      <c r="BS2669" s="6">
        <f>Grandview_Inventory[[#This Row],[land_value]]</f>
        <v>49926.8031387023</v>
      </c>
      <c r="BT2669" s="4">
        <f>_xlfn.IFNA(VLOOKUP(Grandview_Inventory[[#This Row],[quality]],Lookups!$A$26:$C$33,3,FALSE),1)</f>
        <v>1</v>
      </c>
      <c r="BU2669" s="4">
        <f>_xlfn.IFNA(VLOOKUP(Grandview_Inventory[[#This Row],[condition]],Lookups!$A$37:$C$44,3,FALSE),1)</f>
        <v>1</v>
      </c>
      <c r="BV2669" s="4">
        <f>IF(Grandview_Inventory[[#This Row],[bldg_style]]="",1,_xlfn.IFNA(VLOOKUP(Grandview_Inventory[[#This Row],[decade]],Lookups!$F$29:$H$43,3,FALSE),1))</f>
        <v>1</v>
      </c>
      <c r="BW2669" s="4">
        <f>_xlfn.IFNA(VLOOKUP(Grandview_Inventory[[#This Row],[living_area_range]],Lookups!$F$47:$H$56,3,FALSE),1)</f>
        <v>1</v>
      </c>
      <c r="BX2669" s="4">
        <f>AVERAGE(Grandview_Inventory[[#This Row],[qual_adj]:[size_adj]])</f>
        <v>1</v>
      </c>
      <c r="BY2669" s="6">
        <f>IF(Grandview_Inventory[[#This Row],[pre_res]]&lt;0,0,Grandview_Inventory[[#This Row],[pre_res]]*Grandview_Inventory[[#This Row],[overall_adj]])</f>
        <v>0</v>
      </c>
      <c r="BZ2669" s="6">
        <f>(Grandview_Inventory[[#This Row],[sum_land]]-IF(Grandview_Inventory[[#This Row],[no_utilities]]=1,12000,0))/IF(Grandview_Inventory[[#This Row],[unbuildable]]=1,2,1)</f>
        <v>49926.8031387023</v>
      </c>
      <c r="CA2669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669">
        <f>ROUND(Grandview_Inventory[[#This Row],[det_value]]*Lookups!$M$28,-2)</f>
        <v>0</v>
      </c>
      <c r="CC266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69">
        <f>Grandview_Inventory[[#This Row],[final_det]]+Grandview_Inventory[[#This Row],[final_res]]</f>
        <v>0</v>
      </c>
      <c r="CE2669">
        <f>Grandview_Inventory[[#This Row],[final_land]]+Grandview_Inventory[[#This Row],[final_imp]]+Grandview_Inventory[[#This Row],[crop_value]]</f>
        <v>47400</v>
      </c>
      <c r="CG2669" t="str">
        <f t="shared" si="41"/>
        <v>update valuation set market_land =47400, market_bldg=0, market_total =47400, market_mdno =401, market_date ='9/10/2023' where link_id = (select link_id from parcel where parcel_year = '2024' and parcel_id = '23092221421');</v>
      </c>
    </row>
    <row r="2670" spans="1:85" x14ac:dyDescent="0.25">
      <c r="A2670">
        <v>23092221423</v>
      </c>
      <c r="B2670" t="s">
        <v>129</v>
      </c>
      <c r="C2670">
        <v>8000</v>
      </c>
      <c r="D2670" t="s">
        <v>129</v>
      </c>
      <c r="E2670" t="s">
        <v>53</v>
      </c>
      <c r="F2670" t="s">
        <v>53</v>
      </c>
      <c r="G2670">
        <v>4</v>
      </c>
      <c r="H2670" t="s">
        <v>54</v>
      </c>
      <c r="I2670" t="s">
        <v>129</v>
      </c>
      <c r="J2670">
        <v>32500</v>
      </c>
      <c r="K2670">
        <v>0.18</v>
      </c>
      <c r="L267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670">
        <v>0</v>
      </c>
      <c r="N2670">
        <v>0</v>
      </c>
      <c r="O2670">
        <v>0</v>
      </c>
      <c r="P2670">
        <v>13398.7528</v>
      </c>
      <c r="Q2670">
        <v>63903</v>
      </c>
      <c r="R2670">
        <f>(Grandview_Inventory[[#This Row],[ln_acres]]*Grandview_Inventory[[#This Row],[coeff]])+Grandview_Inventory[[#This Row],[const]]</f>
        <v>40926.839760167699</v>
      </c>
      <c r="AY2670">
        <v>0</v>
      </c>
      <c r="AZ2670">
        <v>0</v>
      </c>
      <c r="BE2670">
        <v>0</v>
      </c>
      <c r="BF2670">
        <v>15000</v>
      </c>
      <c r="BG2670">
        <v>0</v>
      </c>
      <c r="BH2670" s="6">
        <f>Grandview_Inventory[[#This Row],[land_extract]]*Lookups!$B$3</f>
        <v>47528.228511015397</v>
      </c>
      <c r="BI2670" s="6">
        <f>IF(Grandview_Inventory[[#This Row],[bldg_style]]="",0,Lookups!$B$2)</f>
        <v>0</v>
      </c>
      <c r="BJ2670" s="6">
        <f>_xlfn.IFNA(VLOOKUP(Grandview_Inventory[[#This Row],[quality]],Lookups!$H$2:$J$14,3,FALSE),0)</f>
        <v>0</v>
      </c>
      <c r="BK2670" s="6">
        <f>_xlfn.IFNA(VLOOKUP(Grandview_Inventory[[#This Row],[condition]],Lookups!$H$17:$J$24,3,FALSE),0)</f>
        <v>0</v>
      </c>
      <c r="BL2670" s="6">
        <f>Grandview_Inventory[[#This Row],[Eff_Age]]*Lookups!$B$14</f>
        <v>0</v>
      </c>
      <c r="BM2670" s="6">
        <f>Grandview_Inventory[[#This Row],[living_area]]*Lookups!$B$15</f>
        <v>0</v>
      </c>
      <c r="BN2670" s="6">
        <f>Grandview_Inventory[[#This Row],[Fin BSMT]]*Lookups!$B$16</f>
        <v>0</v>
      </c>
      <c r="BO2670" s="6">
        <f>(Grandview_Inventory[[#This Row],[att_gar]]+Grandview_Inventory[[#This Row],[bltin_gar]])*Lookups!$B$17</f>
        <v>0</v>
      </c>
      <c r="BP2670" s="6">
        <f>Grandview_Inventory[[#This Row],[Plumbing Fixtures]]*Lookups!$B$18</f>
        <v>0</v>
      </c>
      <c r="BQ2670" s="6">
        <f>Grandview_Inventory[[#This Row],[detatched_value]]*Lookups!$B$19</f>
        <v>0</v>
      </c>
      <c r="BR2670" s="6">
        <f>SUM(Grandview_Inventory[[#This Row],[Intercept]:[det_value]])*Grandview_Inventory[[#This Row],[res_pct]]</f>
        <v>0</v>
      </c>
      <c r="BS2670" s="6">
        <f>Grandview_Inventory[[#This Row],[land_value]]</f>
        <v>47528.228511015397</v>
      </c>
      <c r="BT2670" s="4">
        <f>_xlfn.IFNA(VLOOKUP(Grandview_Inventory[[#This Row],[quality]],Lookups!$A$26:$C$33,3,FALSE),1)</f>
        <v>1</v>
      </c>
      <c r="BU2670" s="4">
        <f>_xlfn.IFNA(VLOOKUP(Grandview_Inventory[[#This Row],[condition]],Lookups!$A$37:$C$44,3,FALSE),1)</f>
        <v>1</v>
      </c>
      <c r="BV2670" s="4">
        <f>IF(Grandview_Inventory[[#This Row],[bldg_style]]="",1,_xlfn.IFNA(VLOOKUP(Grandview_Inventory[[#This Row],[decade]],Lookups!$F$29:$H$43,3,FALSE),1))</f>
        <v>1</v>
      </c>
      <c r="BW2670" s="4">
        <f>_xlfn.IFNA(VLOOKUP(Grandview_Inventory[[#This Row],[living_area_range]],Lookups!$F$47:$H$56,3,FALSE),1)</f>
        <v>1</v>
      </c>
      <c r="BX2670" s="4">
        <f>AVERAGE(Grandview_Inventory[[#This Row],[qual_adj]:[size_adj]])</f>
        <v>1</v>
      </c>
      <c r="BY2670" s="6">
        <f>IF(Grandview_Inventory[[#This Row],[pre_res]]&lt;0,0,Grandview_Inventory[[#This Row],[pre_res]]*Grandview_Inventory[[#This Row],[overall_adj]])</f>
        <v>0</v>
      </c>
      <c r="BZ2670" s="6">
        <f>(Grandview_Inventory[[#This Row],[sum_land]]-IF(Grandview_Inventory[[#This Row],[no_utilities]]=1,12000,0))/IF(Grandview_Inventory[[#This Row],[unbuildable]]=1,2,1)</f>
        <v>47528.228511015397</v>
      </c>
      <c r="CA267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670">
        <f>ROUND(Grandview_Inventory[[#This Row],[det_value]]*Lookups!$M$28,-2)</f>
        <v>0</v>
      </c>
      <c r="CC267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0">
        <f>Grandview_Inventory[[#This Row],[final_det]]+Grandview_Inventory[[#This Row],[final_res]]</f>
        <v>0</v>
      </c>
      <c r="CE2670">
        <f>Grandview_Inventory[[#This Row],[final_land]]+Grandview_Inventory[[#This Row],[final_imp]]+Grandview_Inventory[[#This Row],[crop_value]]</f>
        <v>45200</v>
      </c>
      <c r="CG2670" t="str">
        <f t="shared" si="41"/>
        <v>update valuation set market_land =45200, market_bldg=0, market_total =45200, market_mdno =401, market_date ='9/10/2023' where link_id = (select link_id from parcel where parcel_year = '2024' and parcel_id = '23092221423');</v>
      </c>
    </row>
    <row r="2671" spans="1:85" x14ac:dyDescent="0.25">
      <c r="A2671">
        <v>23092221424</v>
      </c>
      <c r="B2671" t="s">
        <v>129</v>
      </c>
      <c r="C2671">
        <v>8100</v>
      </c>
      <c r="D2671" t="s">
        <v>129</v>
      </c>
      <c r="E2671" t="s">
        <v>53</v>
      </c>
      <c r="F2671" t="s">
        <v>53</v>
      </c>
      <c r="G2671">
        <v>4</v>
      </c>
      <c r="H2671" t="s">
        <v>54</v>
      </c>
      <c r="I2671" t="s">
        <v>129</v>
      </c>
      <c r="J2671">
        <v>32500</v>
      </c>
      <c r="K2671">
        <v>0.19</v>
      </c>
      <c r="L267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1">
        <v>0</v>
      </c>
      <c r="N2671">
        <v>0</v>
      </c>
      <c r="O2671">
        <v>0</v>
      </c>
      <c r="P2671">
        <v>13398.7528</v>
      </c>
      <c r="Q2671">
        <v>63903</v>
      </c>
      <c r="R2671">
        <f>(Grandview_Inventory[[#This Row],[ln_acres]]*Grandview_Inventory[[#This Row],[coeff]])+Grandview_Inventory[[#This Row],[const]]</f>
        <v>41651.273092551026</v>
      </c>
      <c r="AY2671">
        <v>0</v>
      </c>
      <c r="AZ2671">
        <v>0</v>
      </c>
      <c r="BE2671">
        <v>0</v>
      </c>
      <c r="BF2671">
        <v>15000</v>
      </c>
      <c r="BG2671">
        <v>0</v>
      </c>
      <c r="BH2671" s="6">
        <f>Grandview_Inventory[[#This Row],[land_extract]]*Lookups!$B$3</f>
        <v>48369.510983942157</v>
      </c>
      <c r="BI2671" s="6">
        <f>IF(Grandview_Inventory[[#This Row],[bldg_style]]="",0,Lookups!$B$2)</f>
        <v>0</v>
      </c>
      <c r="BJ2671" s="6">
        <f>_xlfn.IFNA(VLOOKUP(Grandview_Inventory[[#This Row],[quality]],Lookups!$H$2:$J$14,3,FALSE),0)</f>
        <v>0</v>
      </c>
      <c r="BK2671" s="6">
        <f>_xlfn.IFNA(VLOOKUP(Grandview_Inventory[[#This Row],[condition]],Lookups!$H$17:$J$24,3,FALSE),0)</f>
        <v>0</v>
      </c>
      <c r="BL2671" s="6">
        <f>Grandview_Inventory[[#This Row],[Eff_Age]]*Lookups!$B$14</f>
        <v>0</v>
      </c>
      <c r="BM2671" s="6">
        <f>Grandview_Inventory[[#This Row],[living_area]]*Lookups!$B$15</f>
        <v>0</v>
      </c>
      <c r="BN2671" s="6">
        <f>Grandview_Inventory[[#This Row],[Fin BSMT]]*Lookups!$B$16</f>
        <v>0</v>
      </c>
      <c r="BO2671" s="6">
        <f>(Grandview_Inventory[[#This Row],[att_gar]]+Grandview_Inventory[[#This Row],[bltin_gar]])*Lookups!$B$17</f>
        <v>0</v>
      </c>
      <c r="BP2671" s="6">
        <f>Grandview_Inventory[[#This Row],[Plumbing Fixtures]]*Lookups!$B$18</f>
        <v>0</v>
      </c>
      <c r="BQ2671" s="6">
        <f>Grandview_Inventory[[#This Row],[detatched_value]]*Lookups!$B$19</f>
        <v>0</v>
      </c>
      <c r="BR2671" s="6">
        <f>SUM(Grandview_Inventory[[#This Row],[Intercept]:[det_value]])*Grandview_Inventory[[#This Row],[res_pct]]</f>
        <v>0</v>
      </c>
      <c r="BS2671" s="6">
        <f>Grandview_Inventory[[#This Row],[land_value]]</f>
        <v>48369.510983942157</v>
      </c>
      <c r="BT2671" s="4">
        <f>_xlfn.IFNA(VLOOKUP(Grandview_Inventory[[#This Row],[quality]],Lookups!$A$26:$C$33,3,FALSE),1)</f>
        <v>1</v>
      </c>
      <c r="BU2671" s="4">
        <f>_xlfn.IFNA(VLOOKUP(Grandview_Inventory[[#This Row],[condition]],Lookups!$A$37:$C$44,3,FALSE),1)</f>
        <v>1</v>
      </c>
      <c r="BV2671" s="4">
        <f>IF(Grandview_Inventory[[#This Row],[bldg_style]]="",1,_xlfn.IFNA(VLOOKUP(Grandview_Inventory[[#This Row],[decade]],Lookups!$F$29:$H$43,3,FALSE),1))</f>
        <v>1</v>
      </c>
      <c r="BW2671" s="4">
        <f>_xlfn.IFNA(VLOOKUP(Grandview_Inventory[[#This Row],[living_area_range]],Lookups!$F$47:$H$56,3,FALSE),1)</f>
        <v>1</v>
      </c>
      <c r="BX2671" s="4">
        <f>AVERAGE(Grandview_Inventory[[#This Row],[qual_adj]:[size_adj]])</f>
        <v>1</v>
      </c>
      <c r="BY2671" s="6">
        <f>IF(Grandview_Inventory[[#This Row],[pre_res]]&lt;0,0,Grandview_Inventory[[#This Row],[pre_res]]*Grandview_Inventory[[#This Row],[overall_adj]])</f>
        <v>0</v>
      </c>
      <c r="BZ2671" s="6">
        <f>(Grandview_Inventory[[#This Row],[sum_land]]-IF(Grandview_Inventory[[#This Row],[no_utilities]]=1,12000,0))/IF(Grandview_Inventory[[#This Row],[unbuildable]]=1,2,1)</f>
        <v>48369.510983942157</v>
      </c>
      <c r="CA267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1">
        <f>ROUND(Grandview_Inventory[[#This Row],[det_value]]*Lookups!$M$28,-2)</f>
        <v>0</v>
      </c>
      <c r="CC267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1">
        <f>Grandview_Inventory[[#This Row],[final_det]]+Grandview_Inventory[[#This Row],[final_res]]</f>
        <v>0</v>
      </c>
      <c r="CE2671">
        <f>Grandview_Inventory[[#This Row],[final_land]]+Grandview_Inventory[[#This Row],[final_imp]]+Grandview_Inventory[[#This Row],[crop_value]]</f>
        <v>46000</v>
      </c>
      <c r="CG2671" t="str">
        <f t="shared" si="41"/>
        <v>update valuation set market_land =46000, market_bldg=0, market_total =46000, market_mdno =401, market_date ='9/10/2023' where link_id = (select link_id from parcel where parcel_year = '2024' and parcel_id = '23092221424');</v>
      </c>
    </row>
    <row r="2672" spans="1:85" x14ac:dyDescent="0.25">
      <c r="A2672">
        <v>23092221425</v>
      </c>
      <c r="B2672" t="s">
        <v>129</v>
      </c>
      <c r="C2672">
        <v>8200</v>
      </c>
      <c r="D2672" t="s">
        <v>129</v>
      </c>
      <c r="E2672" t="s">
        <v>53</v>
      </c>
      <c r="F2672" t="s">
        <v>53</v>
      </c>
      <c r="G2672">
        <v>4</v>
      </c>
      <c r="H2672" t="s">
        <v>54</v>
      </c>
      <c r="I2672" t="s">
        <v>129</v>
      </c>
      <c r="J2672">
        <v>32500</v>
      </c>
      <c r="K2672">
        <v>0.19</v>
      </c>
      <c r="L267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2">
        <v>0</v>
      </c>
      <c r="N2672">
        <v>0</v>
      </c>
      <c r="O2672">
        <v>0</v>
      </c>
      <c r="P2672">
        <v>13398.7528</v>
      </c>
      <c r="Q2672">
        <v>63903</v>
      </c>
      <c r="R2672">
        <f>(Grandview_Inventory[[#This Row],[ln_acres]]*Grandview_Inventory[[#This Row],[coeff]])+Grandview_Inventory[[#This Row],[const]]</f>
        <v>41651.273092551026</v>
      </c>
      <c r="AY2672">
        <v>0</v>
      </c>
      <c r="AZ2672">
        <v>0</v>
      </c>
      <c r="BE2672">
        <v>0</v>
      </c>
      <c r="BF2672">
        <v>15000</v>
      </c>
      <c r="BG2672">
        <v>0</v>
      </c>
      <c r="BH2672" s="6">
        <f>Grandview_Inventory[[#This Row],[land_extract]]*Lookups!$B$3</f>
        <v>48369.510983942157</v>
      </c>
      <c r="BI2672" s="6">
        <f>IF(Grandview_Inventory[[#This Row],[bldg_style]]="",0,Lookups!$B$2)</f>
        <v>0</v>
      </c>
      <c r="BJ2672" s="6">
        <f>_xlfn.IFNA(VLOOKUP(Grandview_Inventory[[#This Row],[quality]],Lookups!$H$2:$J$14,3,FALSE),0)</f>
        <v>0</v>
      </c>
      <c r="BK2672" s="6">
        <f>_xlfn.IFNA(VLOOKUP(Grandview_Inventory[[#This Row],[condition]],Lookups!$H$17:$J$24,3,FALSE),0)</f>
        <v>0</v>
      </c>
      <c r="BL2672" s="6">
        <f>Grandview_Inventory[[#This Row],[Eff_Age]]*Lookups!$B$14</f>
        <v>0</v>
      </c>
      <c r="BM2672" s="6">
        <f>Grandview_Inventory[[#This Row],[living_area]]*Lookups!$B$15</f>
        <v>0</v>
      </c>
      <c r="BN2672" s="6">
        <f>Grandview_Inventory[[#This Row],[Fin BSMT]]*Lookups!$B$16</f>
        <v>0</v>
      </c>
      <c r="BO2672" s="6">
        <f>(Grandview_Inventory[[#This Row],[att_gar]]+Grandview_Inventory[[#This Row],[bltin_gar]])*Lookups!$B$17</f>
        <v>0</v>
      </c>
      <c r="BP2672" s="6">
        <f>Grandview_Inventory[[#This Row],[Plumbing Fixtures]]*Lookups!$B$18</f>
        <v>0</v>
      </c>
      <c r="BQ2672" s="6">
        <f>Grandview_Inventory[[#This Row],[detatched_value]]*Lookups!$B$19</f>
        <v>0</v>
      </c>
      <c r="BR2672" s="6">
        <f>SUM(Grandview_Inventory[[#This Row],[Intercept]:[det_value]])*Grandview_Inventory[[#This Row],[res_pct]]</f>
        <v>0</v>
      </c>
      <c r="BS2672" s="6">
        <f>Grandview_Inventory[[#This Row],[land_value]]</f>
        <v>48369.510983942157</v>
      </c>
      <c r="BT2672" s="4">
        <f>_xlfn.IFNA(VLOOKUP(Grandview_Inventory[[#This Row],[quality]],Lookups!$A$26:$C$33,3,FALSE),1)</f>
        <v>1</v>
      </c>
      <c r="BU2672" s="4">
        <f>_xlfn.IFNA(VLOOKUP(Grandview_Inventory[[#This Row],[condition]],Lookups!$A$37:$C$44,3,FALSE),1)</f>
        <v>1</v>
      </c>
      <c r="BV2672" s="4">
        <f>IF(Grandview_Inventory[[#This Row],[bldg_style]]="",1,_xlfn.IFNA(VLOOKUP(Grandview_Inventory[[#This Row],[decade]],Lookups!$F$29:$H$43,3,FALSE),1))</f>
        <v>1</v>
      </c>
      <c r="BW2672" s="4">
        <f>_xlfn.IFNA(VLOOKUP(Grandview_Inventory[[#This Row],[living_area_range]],Lookups!$F$47:$H$56,3,FALSE),1)</f>
        <v>1</v>
      </c>
      <c r="BX2672" s="4">
        <f>AVERAGE(Grandview_Inventory[[#This Row],[qual_adj]:[size_adj]])</f>
        <v>1</v>
      </c>
      <c r="BY2672" s="6">
        <f>IF(Grandview_Inventory[[#This Row],[pre_res]]&lt;0,0,Grandview_Inventory[[#This Row],[pre_res]]*Grandview_Inventory[[#This Row],[overall_adj]])</f>
        <v>0</v>
      </c>
      <c r="BZ2672" s="6">
        <f>(Grandview_Inventory[[#This Row],[sum_land]]-IF(Grandview_Inventory[[#This Row],[no_utilities]]=1,12000,0))/IF(Grandview_Inventory[[#This Row],[unbuildable]]=1,2,1)</f>
        <v>48369.510983942157</v>
      </c>
      <c r="CA267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2">
        <f>ROUND(Grandview_Inventory[[#This Row],[det_value]]*Lookups!$M$28,-2)</f>
        <v>0</v>
      </c>
      <c r="CC267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2">
        <f>Grandview_Inventory[[#This Row],[final_det]]+Grandview_Inventory[[#This Row],[final_res]]</f>
        <v>0</v>
      </c>
      <c r="CE2672">
        <f>Grandview_Inventory[[#This Row],[final_land]]+Grandview_Inventory[[#This Row],[final_imp]]+Grandview_Inventory[[#This Row],[crop_value]]</f>
        <v>46000</v>
      </c>
      <c r="CG2672" t="str">
        <f t="shared" si="41"/>
        <v>update valuation set market_land =46000, market_bldg=0, market_total =46000, market_mdno =401, market_date ='9/10/2023' where link_id = (select link_id from parcel where parcel_year = '2024' and parcel_id = '23092221425');</v>
      </c>
    </row>
    <row r="2673" spans="1:85" x14ac:dyDescent="0.25">
      <c r="A2673">
        <v>23092221426</v>
      </c>
      <c r="B2673" t="s">
        <v>129</v>
      </c>
      <c r="C2673">
        <v>8200</v>
      </c>
      <c r="D2673" t="s">
        <v>129</v>
      </c>
      <c r="E2673" t="s">
        <v>53</v>
      </c>
      <c r="F2673" t="s">
        <v>53</v>
      </c>
      <c r="G2673">
        <v>4</v>
      </c>
      <c r="H2673" t="s">
        <v>54</v>
      </c>
      <c r="I2673" t="s">
        <v>129</v>
      </c>
      <c r="J2673">
        <v>32500</v>
      </c>
      <c r="K2673">
        <v>0.19</v>
      </c>
      <c r="L267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3">
        <v>0</v>
      </c>
      <c r="N2673">
        <v>0</v>
      </c>
      <c r="O2673">
        <v>0</v>
      </c>
      <c r="P2673">
        <v>13398.7528</v>
      </c>
      <c r="Q2673">
        <v>63903</v>
      </c>
      <c r="R2673">
        <f>(Grandview_Inventory[[#This Row],[ln_acres]]*Grandview_Inventory[[#This Row],[coeff]])+Grandview_Inventory[[#This Row],[const]]</f>
        <v>41651.273092551026</v>
      </c>
      <c r="AY2673">
        <v>0</v>
      </c>
      <c r="AZ2673">
        <v>0</v>
      </c>
      <c r="BE2673">
        <v>0</v>
      </c>
      <c r="BF2673">
        <v>15000</v>
      </c>
      <c r="BG2673">
        <v>0</v>
      </c>
      <c r="BH2673" s="6">
        <f>Grandview_Inventory[[#This Row],[land_extract]]*Lookups!$B$3</f>
        <v>48369.510983942157</v>
      </c>
      <c r="BI2673" s="6">
        <f>IF(Grandview_Inventory[[#This Row],[bldg_style]]="",0,Lookups!$B$2)</f>
        <v>0</v>
      </c>
      <c r="BJ2673" s="6">
        <f>_xlfn.IFNA(VLOOKUP(Grandview_Inventory[[#This Row],[quality]],Lookups!$H$2:$J$14,3,FALSE),0)</f>
        <v>0</v>
      </c>
      <c r="BK2673" s="6">
        <f>_xlfn.IFNA(VLOOKUP(Grandview_Inventory[[#This Row],[condition]],Lookups!$H$17:$J$24,3,FALSE),0)</f>
        <v>0</v>
      </c>
      <c r="BL2673" s="6">
        <f>Grandview_Inventory[[#This Row],[Eff_Age]]*Lookups!$B$14</f>
        <v>0</v>
      </c>
      <c r="BM2673" s="6">
        <f>Grandview_Inventory[[#This Row],[living_area]]*Lookups!$B$15</f>
        <v>0</v>
      </c>
      <c r="BN2673" s="6">
        <f>Grandview_Inventory[[#This Row],[Fin BSMT]]*Lookups!$B$16</f>
        <v>0</v>
      </c>
      <c r="BO2673" s="6">
        <f>(Grandview_Inventory[[#This Row],[att_gar]]+Grandview_Inventory[[#This Row],[bltin_gar]])*Lookups!$B$17</f>
        <v>0</v>
      </c>
      <c r="BP2673" s="6">
        <f>Grandview_Inventory[[#This Row],[Plumbing Fixtures]]*Lookups!$B$18</f>
        <v>0</v>
      </c>
      <c r="BQ2673" s="6">
        <f>Grandview_Inventory[[#This Row],[detatched_value]]*Lookups!$B$19</f>
        <v>0</v>
      </c>
      <c r="BR2673" s="6">
        <f>SUM(Grandview_Inventory[[#This Row],[Intercept]:[det_value]])*Grandview_Inventory[[#This Row],[res_pct]]</f>
        <v>0</v>
      </c>
      <c r="BS2673" s="6">
        <f>Grandview_Inventory[[#This Row],[land_value]]</f>
        <v>48369.510983942157</v>
      </c>
      <c r="BT2673" s="4">
        <f>_xlfn.IFNA(VLOOKUP(Grandview_Inventory[[#This Row],[quality]],Lookups!$A$26:$C$33,3,FALSE),1)</f>
        <v>1</v>
      </c>
      <c r="BU2673" s="4">
        <f>_xlfn.IFNA(VLOOKUP(Grandview_Inventory[[#This Row],[condition]],Lookups!$A$37:$C$44,3,FALSE),1)</f>
        <v>1</v>
      </c>
      <c r="BV2673" s="4">
        <f>IF(Grandview_Inventory[[#This Row],[bldg_style]]="",1,_xlfn.IFNA(VLOOKUP(Grandview_Inventory[[#This Row],[decade]],Lookups!$F$29:$H$43,3,FALSE),1))</f>
        <v>1</v>
      </c>
      <c r="BW2673" s="4">
        <f>_xlfn.IFNA(VLOOKUP(Grandview_Inventory[[#This Row],[living_area_range]],Lookups!$F$47:$H$56,3,FALSE),1)</f>
        <v>1</v>
      </c>
      <c r="BX2673" s="4">
        <f>AVERAGE(Grandview_Inventory[[#This Row],[qual_adj]:[size_adj]])</f>
        <v>1</v>
      </c>
      <c r="BY2673" s="6">
        <f>IF(Grandview_Inventory[[#This Row],[pre_res]]&lt;0,0,Grandview_Inventory[[#This Row],[pre_res]]*Grandview_Inventory[[#This Row],[overall_adj]])</f>
        <v>0</v>
      </c>
      <c r="BZ2673" s="6">
        <f>(Grandview_Inventory[[#This Row],[sum_land]]-IF(Grandview_Inventory[[#This Row],[no_utilities]]=1,12000,0))/IF(Grandview_Inventory[[#This Row],[unbuildable]]=1,2,1)</f>
        <v>48369.510983942157</v>
      </c>
      <c r="CA267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3">
        <f>ROUND(Grandview_Inventory[[#This Row],[det_value]]*Lookups!$M$28,-2)</f>
        <v>0</v>
      </c>
      <c r="CC267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3">
        <f>Grandview_Inventory[[#This Row],[final_det]]+Grandview_Inventory[[#This Row],[final_res]]</f>
        <v>0</v>
      </c>
      <c r="CE2673">
        <f>Grandview_Inventory[[#This Row],[final_land]]+Grandview_Inventory[[#This Row],[final_imp]]+Grandview_Inventory[[#This Row],[crop_value]]</f>
        <v>46000</v>
      </c>
      <c r="CG2673" t="str">
        <f t="shared" si="41"/>
        <v>update valuation set market_land =46000, market_bldg=0, market_total =46000, market_mdno =401, market_date ='9/10/2023' where link_id = (select link_id from parcel where parcel_year = '2024' and parcel_id = '23092221426');</v>
      </c>
    </row>
    <row r="2674" spans="1:85" x14ac:dyDescent="0.25">
      <c r="A2674">
        <v>23092221427</v>
      </c>
      <c r="B2674" t="s">
        <v>129</v>
      </c>
      <c r="C2674">
        <v>8200</v>
      </c>
      <c r="D2674" t="s">
        <v>129</v>
      </c>
      <c r="E2674" t="s">
        <v>53</v>
      </c>
      <c r="F2674" t="s">
        <v>53</v>
      </c>
      <c r="G2674">
        <v>4</v>
      </c>
      <c r="H2674" t="s">
        <v>54</v>
      </c>
      <c r="I2674" t="s">
        <v>129</v>
      </c>
      <c r="J2674">
        <v>32500</v>
      </c>
      <c r="K2674">
        <v>0.19</v>
      </c>
      <c r="L267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4">
        <v>0</v>
      </c>
      <c r="N2674">
        <v>0</v>
      </c>
      <c r="O2674">
        <v>0</v>
      </c>
      <c r="P2674">
        <v>13398.7528</v>
      </c>
      <c r="Q2674">
        <v>63903</v>
      </c>
      <c r="R2674">
        <f>(Grandview_Inventory[[#This Row],[ln_acres]]*Grandview_Inventory[[#This Row],[coeff]])+Grandview_Inventory[[#This Row],[const]]</f>
        <v>41651.273092551026</v>
      </c>
      <c r="AY2674">
        <v>0</v>
      </c>
      <c r="AZ2674">
        <v>0</v>
      </c>
      <c r="BE2674">
        <v>0</v>
      </c>
      <c r="BF2674">
        <v>15000</v>
      </c>
      <c r="BG2674">
        <v>0</v>
      </c>
      <c r="BH2674" s="6">
        <f>Grandview_Inventory[[#This Row],[land_extract]]*Lookups!$B$3</f>
        <v>48369.510983942157</v>
      </c>
      <c r="BI2674" s="6">
        <f>IF(Grandview_Inventory[[#This Row],[bldg_style]]="",0,Lookups!$B$2)</f>
        <v>0</v>
      </c>
      <c r="BJ2674" s="6">
        <f>_xlfn.IFNA(VLOOKUP(Grandview_Inventory[[#This Row],[quality]],Lookups!$H$2:$J$14,3,FALSE),0)</f>
        <v>0</v>
      </c>
      <c r="BK2674" s="6">
        <f>_xlfn.IFNA(VLOOKUP(Grandview_Inventory[[#This Row],[condition]],Lookups!$H$17:$J$24,3,FALSE),0)</f>
        <v>0</v>
      </c>
      <c r="BL2674" s="6">
        <f>Grandview_Inventory[[#This Row],[Eff_Age]]*Lookups!$B$14</f>
        <v>0</v>
      </c>
      <c r="BM2674" s="6">
        <f>Grandview_Inventory[[#This Row],[living_area]]*Lookups!$B$15</f>
        <v>0</v>
      </c>
      <c r="BN2674" s="6">
        <f>Grandview_Inventory[[#This Row],[Fin BSMT]]*Lookups!$B$16</f>
        <v>0</v>
      </c>
      <c r="BO2674" s="6">
        <f>(Grandview_Inventory[[#This Row],[att_gar]]+Grandview_Inventory[[#This Row],[bltin_gar]])*Lookups!$B$17</f>
        <v>0</v>
      </c>
      <c r="BP2674" s="6">
        <f>Grandview_Inventory[[#This Row],[Plumbing Fixtures]]*Lookups!$B$18</f>
        <v>0</v>
      </c>
      <c r="BQ2674" s="6">
        <f>Grandview_Inventory[[#This Row],[detatched_value]]*Lookups!$B$19</f>
        <v>0</v>
      </c>
      <c r="BR2674" s="6">
        <f>SUM(Grandview_Inventory[[#This Row],[Intercept]:[det_value]])*Grandview_Inventory[[#This Row],[res_pct]]</f>
        <v>0</v>
      </c>
      <c r="BS2674" s="6">
        <f>Grandview_Inventory[[#This Row],[land_value]]</f>
        <v>48369.510983942157</v>
      </c>
      <c r="BT2674" s="4">
        <f>_xlfn.IFNA(VLOOKUP(Grandview_Inventory[[#This Row],[quality]],Lookups!$A$26:$C$33,3,FALSE),1)</f>
        <v>1</v>
      </c>
      <c r="BU2674" s="4">
        <f>_xlfn.IFNA(VLOOKUP(Grandview_Inventory[[#This Row],[condition]],Lookups!$A$37:$C$44,3,FALSE),1)</f>
        <v>1</v>
      </c>
      <c r="BV2674" s="4">
        <f>IF(Grandview_Inventory[[#This Row],[bldg_style]]="",1,_xlfn.IFNA(VLOOKUP(Grandview_Inventory[[#This Row],[decade]],Lookups!$F$29:$H$43,3,FALSE),1))</f>
        <v>1</v>
      </c>
      <c r="BW2674" s="4">
        <f>_xlfn.IFNA(VLOOKUP(Grandview_Inventory[[#This Row],[living_area_range]],Lookups!$F$47:$H$56,3,FALSE),1)</f>
        <v>1</v>
      </c>
      <c r="BX2674" s="4">
        <f>AVERAGE(Grandview_Inventory[[#This Row],[qual_adj]:[size_adj]])</f>
        <v>1</v>
      </c>
      <c r="BY2674" s="6">
        <f>IF(Grandview_Inventory[[#This Row],[pre_res]]&lt;0,0,Grandview_Inventory[[#This Row],[pre_res]]*Grandview_Inventory[[#This Row],[overall_adj]])</f>
        <v>0</v>
      </c>
      <c r="BZ2674" s="6">
        <f>(Grandview_Inventory[[#This Row],[sum_land]]-IF(Grandview_Inventory[[#This Row],[no_utilities]]=1,12000,0))/IF(Grandview_Inventory[[#This Row],[unbuildable]]=1,2,1)</f>
        <v>48369.510983942157</v>
      </c>
      <c r="CA267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4">
        <f>ROUND(Grandview_Inventory[[#This Row],[det_value]]*Lookups!$M$28,-2)</f>
        <v>0</v>
      </c>
      <c r="CC267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4">
        <f>Grandview_Inventory[[#This Row],[final_det]]+Grandview_Inventory[[#This Row],[final_res]]</f>
        <v>0</v>
      </c>
      <c r="CE2674">
        <f>Grandview_Inventory[[#This Row],[final_land]]+Grandview_Inventory[[#This Row],[final_imp]]+Grandview_Inventory[[#This Row],[crop_value]]</f>
        <v>46000</v>
      </c>
      <c r="CG2674" t="str">
        <f t="shared" si="41"/>
        <v>update valuation set market_land =46000, market_bldg=0, market_total =46000, market_mdno =401, market_date ='9/10/2023' where link_id = (select link_id from parcel where parcel_year = '2024' and parcel_id = '23092221427');</v>
      </c>
    </row>
    <row r="2675" spans="1:85" x14ac:dyDescent="0.25">
      <c r="A2675">
        <v>23092221429</v>
      </c>
      <c r="B2675" t="s">
        <v>129</v>
      </c>
      <c r="C2675">
        <v>8200</v>
      </c>
      <c r="D2675" t="s">
        <v>129</v>
      </c>
      <c r="E2675" t="s">
        <v>53</v>
      </c>
      <c r="F2675" t="s">
        <v>53</v>
      </c>
      <c r="G2675">
        <v>4</v>
      </c>
      <c r="H2675" t="s">
        <v>54</v>
      </c>
      <c r="I2675" t="s">
        <v>129</v>
      </c>
      <c r="J2675">
        <v>32500</v>
      </c>
      <c r="K2675">
        <v>0.19</v>
      </c>
      <c r="L26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5">
        <v>0</v>
      </c>
      <c r="N2675">
        <v>0</v>
      </c>
      <c r="O2675">
        <v>0</v>
      </c>
      <c r="P2675">
        <v>13398.7528</v>
      </c>
      <c r="Q2675">
        <v>63903</v>
      </c>
      <c r="R2675">
        <f>(Grandview_Inventory[[#This Row],[ln_acres]]*Grandview_Inventory[[#This Row],[coeff]])+Grandview_Inventory[[#This Row],[const]]</f>
        <v>41651.273092551026</v>
      </c>
      <c r="AY2675">
        <v>0</v>
      </c>
      <c r="AZ2675">
        <v>0</v>
      </c>
      <c r="BE2675">
        <v>0</v>
      </c>
      <c r="BF2675">
        <v>15000</v>
      </c>
      <c r="BG2675">
        <v>0</v>
      </c>
      <c r="BH2675" s="6">
        <f>Grandview_Inventory[[#This Row],[land_extract]]*Lookups!$B$3</f>
        <v>48369.510983942157</v>
      </c>
      <c r="BI2675" s="6">
        <f>IF(Grandview_Inventory[[#This Row],[bldg_style]]="",0,Lookups!$B$2)</f>
        <v>0</v>
      </c>
      <c r="BJ2675" s="6">
        <f>_xlfn.IFNA(VLOOKUP(Grandview_Inventory[[#This Row],[quality]],Lookups!$H$2:$J$14,3,FALSE),0)</f>
        <v>0</v>
      </c>
      <c r="BK2675" s="6">
        <f>_xlfn.IFNA(VLOOKUP(Grandview_Inventory[[#This Row],[condition]],Lookups!$H$17:$J$24,3,FALSE),0)</f>
        <v>0</v>
      </c>
      <c r="BL2675" s="6">
        <f>Grandview_Inventory[[#This Row],[Eff_Age]]*Lookups!$B$14</f>
        <v>0</v>
      </c>
      <c r="BM2675" s="6">
        <f>Grandview_Inventory[[#This Row],[living_area]]*Lookups!$B$15</f>
        <v>0</v>
      </c>
      <c r="BN2675" s="6">
        <f>Grandview_Inventory[[#This Row],[Fin BSMT]]*Lookups!$B$16</f>
        <v>0</v>
      </c>
      <c r="BO2675" s="6">
        <f>(Grandview_Inventory[[#This Row],[att_gar]]+Grandview_Inventory[[#This Row],[bltin_gar]])*Lookups!$B$17</f>
        <v>0</v>
      </c>
      <c r="BP2675" s="6">
        <f>Grandview_Inventory[[#This Row],[Plumbing Fixtures]]*Lookups!$B$18</f>
        <v>0</v>
      </c>
      <c r="BQ2675" s="6">
        <f>Grandview_Inventory[[#This Row],[detatched_value]]*Lookups!$B$19</f>
        <v>0</v>
      </c>
      <c r="BR2675" s="6">
        <f>SUM(Grandview_Inventory[[#This Row],[Intercept]:[det_value]])*Grandview_Inventory[[#This Row],[res_pct]]</f>
        <v>0</v>
      </c>
      <c r="BS2675" s="6">
        <f>Grandview_Inventory[[#This Row],[land_value]]</f>
        <v>48369.510983942157</v>
      </c>
      <c r="BT2675" s="4">
        <f>_xlfn.IFNA(VLOOKUP(Grandview_Inventory[[#This Row],[quality]],Lookups!$A$26:$C$33,3,FALSE),1)</f>
        <v>1</v>
      </c>
      <c r="BU2675" s="4">
        <f>_xlfn.IFNA(VLOOKUP(Grandview_Inventory[[#This Row],[condition]],Lookups!$A$37:$C$44,3,FALSE),1)</f>
        <v>1</v>
      </c>
      <c r="BV2675" s="4">
        <f>IF(Grandview_Inventory[[#This Row],[bldg_style]]="",1,_xlfn.IFNA(VLOOKUP(Grandview_Inventory[[#This Row],[decade]],Lookups!$F$29:$H$43,3,FALSE),1))</f>
        <v>1</v>
      </c>
      <c r="BW2675" s="4">
        <f>_xlfn.IFNA(VLOOKUP(Grandview_Inventory[[#This Row],[living_area_range]],Lookups!$F$47:$H$56,3,FALSE),1)</f>
        <v>1</v>
      </c>
      <c r="BX2675" s="4">
        <f>AVERAGE(Grandview_Inventory[[#This Row],[qual_adj]:[size_adj]])</f>
        <v>1</v>
      </c>
      <c r="BY2675" s="6">
        <f>IF(Grandview_Inventory[[#This Row],[pre_res]]&lt;0,0,Grandview_Inventory[[#This Row],[pre_res]]*Grandview_Inventory[[#This Row],[overall_adj]])</f>
        <v>0</v>
      </c>
      <c r="BZ2675" s="6">
        <f>(Grandview_Inventory[[#This Row],[sum_land]]-IF(Grandview_Inventory[[#This Row],[no_utilities]]=1,12000,0))/IF(Grandview_Inventory[[#This Row],[unbuildable]]=1,2,1)</f>
        <v>48369.510983942157</v>
      </c>
      <c r="CA26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5">
        <f>ROUND(Grandview_Inventory[[#This Row],[det_value]]*Lookups!$M$28,-2)</f>
        <v>0</v>
      </c>
      <c r="CC267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5">
        <f>Grandview_Inventory[[#This Row],[final_det]]+Grandview_Inventory[[#This Row],[final_res]]</f>
        <v>0</v>
      </c>
      <c r="CE2675">
        <f>Grandview_Inventory[[#This Row],[final_land]]+Grandview_Inventory[[#This Row],[final_imp]]+Grandview_Inventory[[#This Row],[crop_value]]</f>
        <v>46000</v>
      </c>
      <c r="CG2675" t="str">
        <f t="shared" si="41"/>
        <v>update valuation set market_land =46000, market_bldg=0, market_total =46000, market_mdno =401, market_date ='9/10/2023' where link_id = (select link_id from parcel where parcel_year = '2024' and parcel_id = '23092221429');</v>
      </c>
    </row>
    <row r="2676" spans="1:85" x14ac:dyDescent="0.25">
      <c r="A2676">
        <v>23092221431</v>
      </c>
      <c r="B2676" t="s">
        <v>129</v>
      </c>
      <c r="C2676">
        <v>8066</v>
      </c>
      <c r="D2676" t="s">
        <v>129</v>
      </c>
      <c r="E2676" t="s">
        <v>53</v>
      </c>
      <c r="F2676" t="s">
        <v>53</v>
      </c>
      <c r="G2676">
        <v>4</v>
      </c>
      <c r="H2676" t="s">
        <v>54</v>
      </c>
      <c r="I2676" t="s">
        <v>129</v>
      </c>
      <c r="J2676">
        <v>32500</v>
      </c>
      <c r="K2676">
        <v>0.19</v>
      </c>
      <c r="L267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6">
        <v>0</v>
      </c>
      <c r="N2676">
        <v>0</v>
      </c>
      <c r="O2676">
        <v>0</v>
      </c>
      <c r="P2676">
        <v>13398.7528</v>
      </c>
      <c r="Q2676">
        <v>63903</v>
      </c>
      <c r="R2676">
        <f>(Grandview_Inventory[[#This Row],[ln_acres]]*Grandview_Inventory[[#This Row],[coeff]])+Grandview_Inventory[[#This Row],[const]]</f>
        <v>41651.273092551026</v>
      </c>
      <c r="AY2676">
        <v>0</v>
      </c>
      <c r="AZ2676">
        <v>0</v>
      </c>
      <c r="BE2676">
        <v>0</v>
      </c>
      <c r="BF2676">
        <v>15000</v>
      </c>
      <c r="BG2676">
        <v>0</v>
      </c>
      <c r="BH2676" s="6">
        <f>Grandview_Inventory[[#This Row],[land_extract]]*Lookups!$B$3</f>
        <v>48369.510983942157</v>
      </c>
      <c r="BI2676" s="6">
        <f>IF(Grandview_Inventory[[#This Row],[bldg_style]]="",0,Lookups!$B$2)</f>
        <v>0</v>
      </c>
      <c r="BJ2676" s="6">
        <f>_xlfn.IFNA(VLOOKUP(Grandview_Inventory[[#This Row],[quality]],Lookups!$H$2:$J$14,3,FALSE),0)</f>
        <v>0</v>
      </c>
      <c r="BK2676" s="6">
        <f>_xlfn.IFNA(VLOOKUP(Grandview_Inventory[[#This Row],[condition]],Lookups!$H$17:$J$24,3,FALSE),0)</f>
        <v>0</v>
      </c>
      <c r="BL2676" s="6">
        <f>Grandview_Inventory[[#This Row],[Eff_Age]]*Lookups!$B$14</f>
        <v>0</v>
      </c>
      <c r="BM2676" s="6">
        <f>Grandview_Inventory[[#This Row],[living_area]]*Lookups!$B$15</f>
        <v>0</v>
      </c>
      <c r="BN2676" s="6">
        <f>Grandview_Inventory[[#This Row],[Fin BSMT]]*Lookups!$B$16</f>
        <v>0</v>
      </c>
      <c r="BO2676" s="6">
        <f>(Grandview_Inventory[[#This Row],[att_gar]]+Grandview_Inventory[[#This Row],[bltin_gar]])*Lookups!$B$17</f>
        <v>0</v>
      </c>
      <c r="BP2676" s="6">
        <f>Grandview_Inventory[[#This Row],[Plumbing Fixtures]]*Lookups!$B$18</f>
        <v>0</v>
      </c>
      <c r="BQ2676" s="6">
        <f>Grandview_Inventory[[#This Row],[detatched_value]]*Lookups!$B$19</f>
        <v>0</v>
      </c>
      <c r="BR2676" s="6">
        <f>SUM(Grandview_Inventory[[#This Row],[Intercept]:[det_value]])*Grandview_Inventory[[#This Row],[res_pct]]</f>
        <v>0</v>
      </c>
      <c r="BS2676" s="6">
        <f>Grandview_Inventory[[#This Row],[land_value]]</f>
        <v>48369.510983942157</v>
      </c>
      <c r="BT2676" s="4">
        <f>_xlfn.IFNA(VLOOKUP(Grandview_Inventory[[#This Row],[quality]],Lookups!$A$26:$C$33,3,FALSE),1)</f>
        <v>1</v>
      </c>
      <c r="BU2676" s="4">
        <f>_xlfn.IFNA(VLOOKUP(Grandview_Inventory[[#This Row],[condition]],Lookups!$A$37:$C$44,3,FALSE),1)</f>
        <v>1</v>
      </c>
      <c r="BV2676" s="4">
        <f>IF(Grandview_Inventory[[#This Row],[bldg_style]]="",1,_xlfn.IFNA(VLOOKUP(Grandview_Inventory[[#This Row],[decade]],Lookups!$F$29:$H$43,3,FALSE),1))</f>
        <v>1</v>
      </c>
      <c r="BW2676" s="4">
        <f>_xlfn.IFNA(VLOOKUP(Grandview_Inventory[[#This Row],[living_area_range]],Lookups!$F$47:$H$56,3,FALSE),1)</f>
        <v>1</v>
      </c>
      <c r="BX2676" s="4">
        <f>AVERAGE(Grandview_Inventory[[#This Row],[qual_adj]:[size_adj]])</f>
        <v>1</v>
      </c>
      <c r="BY2676" s="6">
        <f>IF(Grandview_Inventory[[#This Row],[pre_res]]&lt;0,0,Grandview_Inventory[[#This Row],[pre_res]]*Grandview_Inventory[[#This Row],[overall_adj]])</f>
        <v>0</v>
      </c>
      <c r="BZ2676" s="6">
        <f>(Grandview_Inventory[[#This Row],[sum_land]]-IF(Grandview_Inventory[[#This Row],[no_utilities]]=1,12000,0))/IF(Grandview_Inventory[[#This Row],[unbuildable]]=1,2,1)</f>
        <v>48369.510983942157</v>
      </c>
      <c r="CA267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6">
        <f>ROUND(Grandview_Inventory[[#This Row],[det_value]]*Lookups!$M$28,-2)</f>
        <v>0</v>
      </c>
      <c r="CC267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6">
        <f>Grandview_Inventory[[#This Row],[final_det]]+Grandview_Inventory[[#This Row],[final_res]]</f>
        <v>0</v>
      </c>
      <c r="CE2676">
        <f>Grandview_Inventory[[#This Row],[final_land]]+Grandview_Inventory[[#This Row],[final_imp]]+Grandview_Inventory[[#This Row],[crop_value]]</f>
        <v>46000</v>
      </c>
      <c r="CG2676" t="str">
        <f t="shared" si="41"/>
        <v>update valuation set market_land =46000, market_bldg=0, market_total =46000, market_mdno =401, market_date ='9/10/2023' where link_id = (select link_id from parcel where parcel_year = '2024' and parcel_id = '23092221431');</v>
      </c>
    </row>
    <row r="2677" spans="1:85" x14ac:dyDescent="0.25">
      <c r="A2677">
        <v>23092221433</v>
      </c>
      <c r="B2677" t="s">
        <v>129</v>
      </c>
      <c r="C2677">
        <v>8000</v>
      </c>
      <c r="D2677" t="s">
        <v>129</v>
      </c>
      <c r="E2677" t="s">
        <v>53</v>
      </c>
      <c r="F2677" t="s">
        <v>53</v>
      </c>
      <c r="G2677">
        <v>4</v>
      </c>
      <c r="H2677" t="s">
        <v>54</v>
      </c>
      <c r="I2677" t="s">
        <v>129</v>
      </c>
      <c r="J2677">
        <v>32500</v>
      </c>
      <c r="K2677">
        <v>0.18</v>
      </c>
      <c r="L2677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677">
        <v>0</v>
      </c>
      <c r="N2677">
        <v>0</v>
      </c>
      <c r="O2677">
        <v>0</v>
      </c>
      <c r="P2677">
        <v>13398.7528</v>
      </c>
      <c r="Q2677">
        <v>63903</v>
      </c>
      <c r="R2677">
        <f>(Grandview_Inventory[[#This Row],[ln_acres]]*Grandview_Inventory[[#This Row],[coeff]])+Grandview_Inventory[[#This Row],[const]]</f>
        <v>40926.839760167699</v>
      </c>
      <c r="AY2677">
        <v>0</v>
      </c>
      <c r="AZ2677">
        <v>0</v>
      </c>
      <c r="BE2677">
        <v>0</v>
      </c>
      <c r="BF2677">
        <v>15000</v>
      </c>
      <c r="BG2677">
        <v>0</v>
      </c>
      <c r="BH2677" s="6">
        <f>Grandview_Inventory[[#This Row],[land_extract]]*Lookups!$B$3</f>
        <v>47528.228511015397</v>
      </c>
      <c r="BI2677" s="6">
        <f>IF(Grandview_Inventory[[#This Row],[bldg_style]]="",0,Lookups!$B$2)</f>
        <v>0</v>
      </c>
      <c r="BJ2677" s="6">
        <f>_xlfn.IFNA(VLOOKUP(Grandview_Inventory[[#This Row],[quality]],Lookups!$H$2:$J$14,3,FALSE),0)</f>
        <v>0</v>
      </c>
      <c r="BK2677" s="6">
        <f>_xlfn.IFNA(VLOOKUP(Grandview_Inventory[[#This Row],[condition]],Lookups!$H$17:$J$24,3,FALSE),0)</f>
        <v>0</v>
      </c>
      <c r="BL2677" s="6">
        <f>Grandview_Inventory[[#This Row],[Eff_Age]]*Lookups!$B$14</f>
        <v>0</v>
      </c>
      <c r="BM2677" s="6">
        <f>Grandview_Inventory[[#This Row],[living_area]]*Lookups!$B$15</f>
        <v>0</v>
      </c>
      <c r="BN2677" s="6">
        <f>Grandview_Inventory[[#This Row],[Fin BSMT]]*Lookups!$B$16</f>
        <v>0</v>
      </c>
      <c r="BO2677" s="6">
        <f>(Grandview_Inventory[[#This Row],[att_gar]]+Grandview_Inventory[[#This Row],[bltin_gar]])*Lookups!$B$17</f>
        <v>0</v>
      </c>
      <c r="BP2677" s="6">
        <f>Grandview_Inventory[[#This Row],[Plumbing Fixtures]]*Lookups!$B$18</f>
        <v>0</v>
      </c>
      <c r="BQ2677" s="6">
        <f>Grandview_Inventory[[#This Row],[detatched_value]]*Lookups!$B$19</f>
        <v>0</v>
      </c>
      <c r="BR2677" s="6">
        <f>SUM(Grandview_Inventory[[#This Row],[Intercept]:[det_value]])*Grandview_Inventory[[#This Row],[res_pct]]</f>
        <v>0</v>
      </c>
      <c r="BS2677" s="6">
        <f>Grandview_Inventory[[#This Row],[land_value]]</f>
        <v>47528.228511015397</v>
      </c>
      <c r="BT2677" s="4">
        <f>_xlfn.IFNA(VLOOKUP(Grandview_Inventory[[#This Row],[quality]],Lookups!$A$26:$C$33,3,FALSE),1)</f>
        <v>1</v>
      </c>
      <c r="BU2677" s="4">
        <f>_xlfn.IFNA(VLOOKUP(Grandview_Inventory[[#This Row],[condition]],Lookups!$A$37:$C$44,3,FALSE),1)</f>
        <v>1</v>
      </c>
      <c r="BV2677" s="4">
        <f>IF(Grandview_Inventory[[#This Row],[bldg_style]]="",1,_xlfn.IFNA(VLOOKUP(Grandview_Inventory[[#This Row],[decade]],Lookups!$F$29:$H$43,3,FALSE),1))</f>
        <v>1</v>
      </c>
      <c r="BW2677" s="4">
        <f>_xlfn.IFNA(VLOOKUP(Grandview_Inventory[[#This Row],[living_area_range]],Lookups!$F$47:$H$56,3,FALSE),1)</f>
        <v>1</v>
      </c>
      <c r="BX2677" s="4">
        <f>AVERAGE(Grandview_Inventory[[#This Row],[qual_adj]:[size_adj]])</f>
        <v>1</v>
      </c>
      <c r="BY2677" s="6">
        <f>IF(Grandview_Inventory[[#This Row],[pre_res]]&lt;0,0,Grandview_Inventory[[#This Row],[pre_res]]*Grandview_Inventory[[#This Row],[overall_adj]])</f>
        <v>0</v>
      </c>
      <c r="BZ2677" s="6">
        <f>(Grandview_Inventory[[#This Row],[sum_land]]-IF(Grandview_Inventory[[#This Row],[no_utilities]]=1,12000,0))/IF(Grandview_Inventory[[#This Row],[unbuildable]]=1,2,1)</f>
        <v>47528.228511015397</v>
      </c>
      <c r="CA2677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677">
        <f>ROUND(Grandview_Inventory[[#This Row],[det_value]]*Lookups!$M$28,-2)</f>
        <v>0</v>
      </c>
      <c r="CC267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7">
        <f>Grandview_Inventory[[#This Row],[final_det]]+Grandview_Inventory[[#This Row],[final_res]]</f>
        <v>0</v>
      </c>
      <c r="CE2677">
        <f>Grandview_Inventory[[#This Row],[final_land]]+Grandview_Inventory[[#This Row],[final_imp]]+Grandview_Inventory[[#This Row],[crop_value]]</f>
        <v>45200</v>
      </c>
      <c r="CG2677" t="str">
        <f t="shared" si="41"/>
        <v>update valuation set market_land =45200, market_bldg=0, market_total =45200, market_mdno =401, market_date ='9/10/2023' where link_id = (select link_id from parcel where parcel_year = '2024' and parcel_id = '23092221433');</v>
      </c>
    </row>
    <row r="2678" spans="1:85" x14ac:dyDescent="0.25">
      <c r="A2678">
        <v>23092221434</v>
      </c>
      <c r="B2678" t="s">
        <v>129</v>
      </c>
      <c r="C2678">
        <v>8100</v>
      </c>
      <c r="D2678" t="s">
        <v>129</v>
      </c>
      <c r="E2678" t="s">
        <v>53</v>
      </c>
      <c r="F2678" t="s">
        <v>53</v>
      </c>
      <c r="G2678">
        <v>4</v>
      </c>
      <c r="H2678" t="s">
        <v>54</v>
      </c>
      <c r="I2678" t="s">
        <v>129</v>
      </c>
      <c r="J2678">
        <v>32500</v>
      </c>
      <c r="K2678">
        <v>0.19</v>
      </c>
      <c r="L267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8">
        <v>0</v>
      </c>
      <c r="N2678">
        <v>0</v>
      </c>
      <c r="O2678">
        <v>0</v>
      </c>
      <c r="P2678">
        <v>13398.7528</v>
      </c>
      <c r="Q2678">
        <v>63903</v>
      </c>
      <c r="R2678">
        <f>(Grandview_Inventory[[#This Row],[ln_acres]]*Grandview_Inventory[[#This Row],[coeff]])+Grandview_Inventory[[#This Row],[const]]</f>
        <v>41651.273092551026</v>
      </c>
      <c r="AY2678">
        <v>0</v>
      </c>
      <c r="AZ2678">
        <v>0</v>
      </c>
      <c r="BE2678">
        <v>0</v>
      </c>
      <c r="BF2678">
        <v>15000</v>
      </c>
      <c r="BG2678">
        <v>0</v>
      </c>
      <c r="BH2678" s="6">
        <f>Grandview_Inventory[[#This Row],[land_extract]]*Lookups!$B$3</f>
        <v>48369.510983942157</v>
      </c>
      <c r="BI2678" s="6">
        <f>IF(Grandview_Inventory[[#This Row],[bldg_style]]="",0,Lookups!$B$2)</f>
        <v>0</v>
      </c>
      <c r="BJ2678" s="6">
        <f>_xlfn.IFNA(VLOOKUP(Grandview_Inventory[[#This Row],[quality]],Lookups!$H$2:$J$14,3,FALSE),0)</f>
        <v>0</v>
      </c>
      <c r="BK2678" s="6">
        <f>_xlfn.IFNA(VLOOKUP(Grandview_Inventory[[#This Row],[condition]],Lookups!$H$17:$J$24,3,FALSE),0)</f>
        <v>0</v>
      </c>
      <c r="BL2678" s="6">
        <f>Grandview_Inventory[[#This Row],[Eff_Age]]*Lookups!$B$14</f>
        <v>0</v>
      </c>
      <c r="BM2678" s="6">
        <f>Grandview_Inventory[[#This Row],[living_area]]*Lookups!$B$15</f>
        <v>0</v>
      </c>
      <c r="BN2678" s="6">
        <f>Grandview_Inventory[[#This Row],[Fin BSMT]]*Lookups!$B$16</f>
        <v>0</v>
      </c>
      <c r="BO2678" s="6">
        <f>(Grandview_Inventory[[#This Row],[att_gar]]+Grandview_Inventory[[#This Row],[bltin_gar]])*Lookups!$B$17</f>
        <v>0</v>
      </c>
      <c r="BP2678" s="6">
        <f>Grandview_Inventory[[#This Row],[Plumbing Fixtures]]*Lookups!$B$18</f>
        <v>0</v>
      </c>
      <c r="BQ2678" s="6">
        <f>Grandview_Inventory[[#This Row],[detatched_value]]*Lookups!$B$19</f>
        <v>0</v>
      </c>
      <c r="BR2678" s="6">
        <f>SUM(Grandview_Inventory[[#This Row],[Intercept]:[det_value]])*Grandview_Inventory[[#This Row],[res_pct]]</f>
        <v>0</v>
      </c>
      <c r="BS2678" s="6">
        <f>Grandview_Inventory[[#This Row],[land_value]]</f>
        <v>48369.510983942157</v>
      </c>
      <c r="BT2678" s="4">
        <f>_xlfn.IFNA(VLOOKUP(Grandview_Inventory[[#This Row],[quality]],Lookups!$A$26:$C$33,3,FALSE),1)</f>
        <v>1</v>
      </c>
      <c r="BU2678" s="4">
        <f>_xlfn.IFNA(VLOOKUP(Grandview_Inventory[[#This Row],[condition]],Lookups!$A$37:$C$44,3,FALSE),1)</f>
        <v>1</v>
      </c>
      <c r="BV2678" s="4">
        <f>IF(Grandview_Inventory[[#This Row],[bldg_style]]="",1,_xlfn.IFNA(VLOOKUP(Grandview_Inventory[[#This Row],[decade]],Lookups!$F$29:$H$43,3,FALSE),1))</f>
        <v>1</v>
      </c>
      <c r="BW2678" s="4">
        <f>_xlfn.IFNA(VLOOKUP(Grandview_Inventory[[#This Row],[living_area_range]],Lookups!$F$47:$H$56,3,FALSE),1)</f>
        <v>1</v>
      </c>
      <c r="BX2678" s="4">
        <f>AVERAGE(Grandview_Inventory[[#This Row],[qual_adj]:[size_adj]])</f>
        <v>1</v>
      </c>
      <c r="BY2678" s="6">
        <f>IF(Grandview_Inventory[[#This Row],[pre_res]]&lt;0,0,Grandview_Inventory[[#This Row],[pre_res]]*Grandview_Inventory[[#This Row],[overall_adj]])</f>
        <v>0</v>
      </c>
      <c r="BZ2678" s="6">
        <f>(Grandview_Inventory[[#This Row],[sum_land]]-IF(Grandview_Inventory[[#This Row],[no_utilities]]=1,12000,0))/IF(Grandview_Inventory[[#This Row],[unbuildable]]=1,2,1)</f>
        <v>48369.510983942157</v>
      </c>
      <c r="CA267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8">
        <f>ROUND(Grandview_Inventory[[#This Row],[det_value]]*Lookups!$M$28,-2)</f>
        <v>0</v>
      </c>
      <c r="CC267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8">
        <f>Grandview_Inventory[[#This Row],[final_det]]+Grandview_Inventory[[#This Row],[final_res]]</f>
        <v>0</v>
      </c>
      <c r="CE2678">
        <f>Grandview_Inventory[[#This Row],[final_land]]+Grandview_Inventory[[#This Row],[final_imp]]+Grandview_Inventory[[#This Row],[crop_value]]</f>
        <v>46000</v>
      </c>
      <c r="CG2678" t="str">
        <f t="shared" si="41"/>
        <v>update valuation set market_land =46000, market_bldg=0, market_total =46000, market_mdno =401, market_date ='9/10/2023' where link_id = (select link_id from parcel where parcel_year = '2024' and parcel_id = '23092221434');</v>
      </c>
    </row>
    <row r="2679" spans="1:85" x14ac:dyDescent="0.25">
      <c r="A2679">
        <v>23092221435</v>
      </c>
      <c r="B2679" t="s">
        <v>129</v>
      </c>
      <c r="C2679">
        <v>8200</v>
      </c>
      <c r="D2679" t="s">
        <v>129</v>
      </c>
      <c r="E2679" t="s">
        <v>53</v>
      </c>
      <c r="F2679" t="s">
        <v>53</v>
      </c>
      <c r="G2679">
        <v>4</v>
      </c>
      <c r="H2679" t="s">
        <v>54</v>
      </c>
      <c r="I2679" t="s">
        <v>129</v>
      </c>
      <c r="J2679">
        <v>32500</v>
      </c>
      <c r="K2679">
        <v>0.19</v>
      </c>
      <c r="L26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79">
        <v>0</v>
      </c>
      <c r="N2679">
        <v>0</v>
      </c>
      <c r="O2679">
        <v>0</v>
      </c>
      <c r="P2679">
        <v>13398.7528</v>
      </c>
      <c r="Q2679">
        <v>63903</v>
      </c>
      <c r="R2679">
        <f>(Grandview_Inventory[[#This Row],[ln_acres]]*Grandview_Inventory[[#This Row],[coeff]])+Grandview_Inventory[[#This Row],[const]]</f>
        <v>41651.273092551026</v>
      </c>
      <c r="AY2679">
        <v>0</v>
      </c>
      <c r="AZ2679">
        <v>0</v>
      </c>
      <c r="BE2679">
        <v>0</v>
      </c>
      <c r="BF2679">
        <v>15000</v>
      </c>
      <c r="BG2679">
        <v>0</v>
      </c>
      <c r="BH2679" s="6">
        <f>Grandview_Inventory[[#This Row],[land_extract]]*Lookups!$B$3</f>
        <v>48369.510983942157</v>
      </c>
      <c r="BI2679" s="6">
        <f>IF(Grandview_Inventory[[#This Row],[bldg_style]]="",0,Lookups!$B$2)</f>
        <v>0</v>
      </c>
      <c r="BJ2679" s="6">
        <f>_xlfn.IFNA(VLOOKUP(Grandview_Inventory[[#This Row],[quality]],Lookups!$H$2:$J$14,3,FALSE),0)</f>
        <v>0</v>
      </c>
      <c r="BK2679" s="6">
        <f>_xlfn.IFNA(VLOOKUP(Grandview_Inventory[[#This Row],[condition]],Lookups!$H$17:$J$24,3,FALSE),0)</f>
        <v>0</v>
      </c>
      <c r="BL2679" s="6">
        <f>Grandview_Inventory[[#This Row],[Eff_Age]]*Lookups!$B$14</f>
        <v>0</v>
      </c>
      <c r="BM2679" s="6">
        <f>Grandview_Inventory[[#This Row],[living_area]]*Lookups!$B$15</f>
        <v>0</v>
      </c>
      <c r="BN2679" s="6">
        <f>Grandview_Inventory[[#This Row],[Fin BSMT]]*Lookups!$B$16</f>
        <v>0</v>
      </c>
      <c r="BO2679" s="6">
        <f>(Grandview_Inventory[[#This Row],[att_gar]]+Grandview_Inventory[[#This Row],[bltin_gar]])*Lookups!$B$17</f>
        <v>0</v>
      </c>
      <c r="BP2679" s="6">
        <f>Grandview_Inventory[[#This Row],[Plumbing Fixtures]]*Lookups!$B$18</f>
        <v>0</v>
      </c>
      <c r="BQ2679" s="6">
        <f>Grandview_Inventory[[#This Row],[detatched_value]]*Lookups!$B$19</f>
        <v>0</v>
      </c>
      <c r="BR2679" s="6">
        <f>SUM(Grandview_Inventory[[#This Row],[Intercept]:[det_value]])*Grandview_Inventory[[#This Row],[res_pct]]</f>
        <v>0</v>
      </c>
      <c r="BS2679" s="6">
        <f>Grandview_Inventory[[#This Row],[land_value]]</f>
        <v>48369.510983942157</v>
      </c>
      <c r="BT2679" s="4">
        <f>_xlfn.IFNA(VLOOKUP(Grandview_Inventory[[#This Row],[quality]],Lookups!$A$26:$C$33,3,FALSE),1)</f>
        <v>1</v>
      </c>
      <c r="BU2679" s="4">
        <f>_xlfn.IFNA(VLOOKUP(Grandview_Inventory[[#This Row],[condition]],Lookups!$A$37:$C$44,3,FALSE),1)</f>
        <v>1</v>
      </c>
      <c r="BV2679" s="4">
        <f>IF(Grandview_Inventory[[#This Row],[bldg_style]]="",1,_xlfn.IFNA(VLOOKUP(Grandview_Inventory[[#This Row],[decade]],Lookups!$F$29:$H$43,3,FALSE),1))</f>
        <v>1</v>
      </c>
      <c r="BW2679" s="4">
        <f>_xlfn.IFNA(VLOOKUP(Grandview_Inventory[[#This Row],[living_area_range]],Lookups!$F$47:$H$56,3,FALSE),1)</f>
        <v>1</v>
      </c>
      <c r="BX2679" s="4">
        <f>AVERAGE(Grandview_Inventory[[#This Row],[qual_adj]:[size_adj]])</f>
        <v>1</v>
      </c>
      <c r="BY2679" s="6">
        <f>IF(Grandview_Inventory[[#This Row],[pre_res]]&lt;0,0,Grandview_Inventory[[#This Row],[pre_res]]*Grandview_Inventory[[#This Row],[overall_adj]])</f>
        <v>0</v>
      </c>
      <c r="BZ2679" s="6">
        <f>(Grandview_Inventory[[#This Row],[sum_land]]-IF(Grandview_Inventory[[#This Row],[no_utilities]]=1,12000,0))/IF(Grandview_Inventory[[#This Row],[unbuildable]]=1,2,1)</f>
        <v>48369.510983942157</v>
      </c>
      <c r="CA26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79">
        <f>ROUND(Grandview_Inventory[[#This Row],[det_value]]*Lookups!$M$28,-2)</f>
        <v>0</v>
      </c>
      <c r="CC267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79">
        <f>Grandview_Inventory[[#This Row],[final_det]]+Grandview_Inventory[[#This Row],[final_res]]</f>
        <v>0</v>
      </c>
      <c r="CE2679">
        <f>Grandview_Inventory[[#This Row],[final_land]]+Grandview_Inventory[[#This Row],[final_imp]]+Grandview_Inventory[[#This Row],[crop_value]]</f>
        <v>46000</v>
      </c>
      <c r="CG2679" t="str">
        <f t="shared" si="41"/>
        <v>update valuation set market_land =46000, market_bldg=0, market_total =46000, market_mdno =401, market_date ='9/10/2023' where link_id = (select link_id from parcel where parcel_year = '2024' and parcel_id = '23092221435');</v>
      </c>
    </row>
    <row r="2680" spans="1:85" x14ac:dyDescent="0.25">
      <c r="A2680">
        <v>23092221436</v>
      </c>
      <c r="B2680" t="s">
        <v>129</v>
      </c>
      <c r="C2680">
        <v>8200</v>
      </c>
      <c r="D2680" t="s">
        <v>129</v>
      </c>
      <c r="E2680" t="s">
        <v>53</v>
      </c>
      <c r="F2680" t="s">
        <v>53</v>
      </c>
      <c r="G2680">
        <v>4</v>
      </c>
      <c r="H2680" t="s">
        <v>54</v>
      </c>
      <c r="I2680" t="s">
        <v>129</v>
      </c>
      <c r="J2680">
        <v>32500</v>
      </c>
      <c r="K2680">
        <v>0.19</v>
      </c>
      <c r="L268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680">
        <v>0</v>
      </c>
      <c r="N2680">
        <v>0</v>
      </c>
      <c r="O2680">
        <v>0</v>
      </c>
      <c r="P2680">
        <v>13398.7528</v>
      </c>
      <c r="Q2680">
        <v>63903</v>
      </c>
      <c r="R2680">
        <f>(Grandview_Inventory[[#This Row],[ln_acres]]*Grandview_Inventory[[#This Row],[coeff]])+Grandview_Inventory[[#This Row],[const]]</f>
        <v>41651.273092551026</v>
      </c>
      <c r="AY2680">
        <v>0</v>
      </c>
      <c r="AZ2680">
        <v>0</v>
      </c>
      <c r="BE2680">
        <v>0</v>
      </c>
      <c r="BF2680">
        <v>15000</v>
      </c>
      <c r="BG2680">
        <v>0</v>
      </c>
      <c r="BH2680" s="6">
        <f>Grandview_Inventory[[#This Row],[land_extract]]*Lookups!$B$3</f>
        <v>48369.510983942157</v>
      </c>
      <c r="BI2680" s="6">
        <f>IF(Grandview_Inventory[[#This Row],[bldg_style]]="",0,Lookups!$B$2)</f>
        <v>0</v>
      </c>
      <c r="BJ2680" s="6">
        <f>_xlfn.IFNA(VLOOKUP(Grandview_Inventory[[#This Row],[quality]],Lookups!$H$2:$J$14,3,FALSE),0)</f>
        <v>0</v>
      </c>
      <c r="BK2680" s="6">
        <f>_xlfn.IFNA(VLOOKUP(Grandview_Inventory[[#This Row],[condition]],Lookups!$H$17:$J$24,3,FALSE),0)</f>
        <v>0</v>
      </c>
      <c r="BL2680" s="6">
        <f>Grandview_Inventory[[#This Row],[Eff_Age]]*Lookups!$B$14</f>
        <v>0</v>
      </c>
      <c r="BM2680" s="6">
        <f>Grandview_Inventory[[#This Row],[living_area]]*Lookups!$B$15</f>
        <v>0</v>
      </c>
      <c r="BN2680" s="6">
        <f>Grandview_Inventory[[#This Row],[Fin BSMT]]*Lookups!$B$16</f>
        <v>0</v>
      </c>
      <c r="BO2680" s="6">
        <f>(Grandview_Inventory[[#This Row],[att_gar]]+Grandview_Inventory[[#This Row],[bltin_gar]])*Lookups!$B$17</f>
        <v>0</v>
      </c>
      <c r="BP2680" s="6">
        <f>Grandview_Inventory[[#This Row],[Plumbing Fixtures]]*Lookups!$B$18</f>
        <v>0</v>
      </c>
      <c r="BQ2680" s="6">
        <f>Grandview_Inventory[[#This Row],[detatched_value]]*Lookups!$B$19</f>
        <v>0</v>
      </c>
      <c r="BR2680" s="6">
        <f>SUM(Grandview_Inventory[[#This Row],[Intercept]:[det_value]])*Grandview_Inventory[[#This Row],[res_pct]]</f>
        <v>0</v>
      </c>
      <c r="BS2680" s="6">
        <f>Grandview_Inventory[[#This Row],[land_value]]</f>
        <v>48369.510983942157</v>
      </c>
      <c r="BT2680" s="4">
        <f>_xlfn.IFNA(VLOOKUP(Grandview_Inventory[[#This Row],[quality]],Lookups!$A$26:$C$33,3,FALSE),1)</f>
        <v>1</v>
      </c>
      <c r="BU2680" s="4">
        <f>_xlfn.IFNA(VLOOKUP(Grandview_Inventory[[#This Row],[condition]],Lookups!$A$37:$C$44,3,FALSE),1)</f>
        <v>1</v>
      </c>
      <c r="BV2680" s="4">
        <f>IF(Grandview_Inventory[[#This Row],[bldg_style]]="",1,_xlfn.IFNA(VLOOKUP(Grandview_Inventory[[#This Row],[decade]],Lookups!$F$29:$H$43,3,FALSE),1))</f>
        <v>1</v>
      </c>
      <c r="BW2680" s="4">
        <f>_xlfn.IFNA(VLOOKUP(Grandview_Inventory[[#This Row],[living_area_range]],Lookups!$F$47:$H$56,3,FALSE),1)</f>
        <v>1</v>
      </c>
      <c r="BX2680" s="4">
        <f>AVERAGE(Grandview_Inventory[[#This Row],[qual_adj]:[size_adj]])</f>
        <v>1</v>
      </c>
      <c r="BY2680" s="6">
        <f>IF(Grandview_Inventory[[#This Row],[pre_res]]&lt;0,0,Grandview_Inventory[[#This Row],[pre_res]]*Grandview_Inventory[[#This Row],[overall_adj]])</f>
        <v>0</v>
      </c>
      <c r="BZ2680" s="6">
        <f>(Grandview_Inventory[[#This Row],[sum_land]]-IF(Grandview_Inventory[[#This Row],[no_utilities]]=1,12000,0))/IF(Grandview_Inventory[[#This Row],[unbuildable]]=1,2,1)</f>
        <v>48369.510983942157</v>
      </c>
      <c r="CA268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680">
        <f>ROUND(Grandview_Inventory[[#This Row],[det_value]]*Lookups!$M$28,-2)</f>
        <v>0</v>
      </c>
      <c r="CC268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0">
        <f>Grandview_Inventory[[#This Row],[final_det]]+Grandview_Inventory[[#This Row],[final_res]]</f>
        <v>0</v>
      </c>
      <c r="CE2680">
        <f>Grandview_Inventory[[#This Row],[final_land]]+Grandview_Inventory[[#This Row],[final_imp]]+Grandview_Inventory[[#This Row],[crop_value]]</f>
        <v>46000</v>
      </c>
      <c r="CG2680" t="str">
        <f t="shared" si="41"/>
        <v>update valuation set market_land =46000, market_bldg=0, market_total =46000, market_mdno =401, market_date ='9/10/2023' where link_id = (select link_id from parcel where parcel_year = '2024' and parcel_id = '23092221436');</v>
      </c>
    </row>
    <row r="2681" spans="1:85" x14ac:dyDescent="0.25">
      <c r="A2681">
        <v>23092221442</v>
      </c>
      <c r="B2681" t="s">
        <v>129</v>
      </c>
      <c r="C2681">
        <v>13086</v>
      </c>
      <c r="D2681" t="s">
        <v>129</v>
      </c>
      <c r="E2681" t="s">
        <v>53</v>
      </c>
      <c r="F2681" t="s">
        <v>53</v>
      </c>
      <c r="G2681">
        <v>4</v>
      </c>
      <c r="H2681" t="s">
        <v>54</v>
      </c>
      <c r="I2681" t="s">
        <v>129</v>
      </c>
      <c r="J2681">
        <v>34100</v>
      </c>
      <c r="K2681">
        <v>0.3</v>
      </c>
      <c r="L2681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2681">
        <v>0</v>
      </c>
      <c r="N2681">
        <v>0</v>
      </c>
      <c r="O2681">
        <v>0</v>
      </c>
      <c r="P2681">
        <v>13398.7528</v>
      </c>
      <c r="Q2681">
        <v>63903</v>
      </c>
      <c r="R2681">
        <f>(Grandview_Inventory[[#This Row],[ln_acres]]*Grandview_Inventory[[#This Row],[coeff]])+Grandview_Inventory[[#This Row],[const]]</f>
        <v>47771.266016914014</v>
      </c>
      <c r="AY2681">
        <v>0</v>
      </c>
      <c r="AZ2681">
        <v>0</v>
      </c>
      <c r="BE2681">
        <v>0</v>
      </c>
      <c r="BF2681">
        <v>15000</v>
      </c>
      <c r="BG2681">
        <v>0</v>
      </c>
      <c r="BH2681" s="6">
        <f>Grandview_Inventory[[#This Row],[land_extract]]*Lookups!$B$3</f>
        <v>55476.642243023998</v>
      </c>
      <c r="BI2681" s="6">
        <f>IF(Grandview_Inventory[[#This Row],[bldg_style]]="",0,Lookups!$B$2)</f>
        <v>0</v>
      </c>
      <c r="BJ2681" s="6">
        <f>_xlfn.IFNA(VLOOKUP(Grandview_Inventory[[#This Row],[quality]],Lookups!$H$2:$J$14,3,FALSE),0)</f>
        <v>0</v>
      </c>
      <c r="BK2681" s="6">
        <f>_xlfn.IFNA(VLOOKUP(Grandview_Inventory[[#This Row],[condition]],Lookups!$H$17:$J$24,3,FALSE),0)</f>
        <v>0</v>
      </c>
      <c r="BL2681" s="6">
        <f>Grandview_Inventory[[#This Row],[Eff_Age]]*Lookups!$B$14</f>
        <v>0</v>
      </c>
      <c r="BM2681" s="6">
        <f>Grandview_Inventory[[#This Row],[living_area]]*Lookups!$B$15</f>
        <v>0</v>
      </c>
      <c r="BN2681" s="6">
        <f>Grandview_Inventory[[#This Row],[Fin BSMT]]*Lookups!$B$16</f>
        <v>0</v>
      </c>
      <c r="BO2681" s="6">
        <f>(Grandview_Inventory[[#This Row],[att_gar]]+Grandview_Inventory[[#This Row],[bltin_gar]])*Lookups!$B$17</f>
        <v>0</v>
      </c>
      <c r="BP2681" s="6">
        <f>Grandview_Inventory[[#This Row],[Plumbing Fixtures]]*Lookups!$B$18</f>
        <v>0</v>
      </c>
      <c r="BQ2681" s="6">
        <f>Grandview_Inventory[[#This Row],[detatched_value]]*Lookups!$B$19</f>
        <v>0</v>
      </c>
      <c r="BR2681" s="6">
        <f>SUM(Grandview_Inventory[[#This Row],[Intercept]:[det_value]])*Grandview_Inventory[[#This Row],[res_pct]]</f>
        <v>0</v>
      </c>
      <c r="BS2681" s="6">
        <f>Grandview_Inventory[[#This Row],[land_value]]</f>
        <v>55476.642243023998</v>
      </c>
      <c r="BT2681" s="4">
        <f>_xlfn.IFNA(VLOOKUP(Grandview_Inventory[[#This Row],[quality]],Lookups!$A$26:$C$33,3,FALSE),1)</f>
        <v>1</v>
      </c>
      <c r="BU2681" s="4">
        <f>_xlfn.IFNA(VLOOKUP(Grandview_Inventory[[#This Row],[condition]],Lookups!$A$37:$C$44,3,FALSE),1)</f>
        <v>1</v>
      </c>
      <c r="BV2681" s="4">
        <f>IF(Grandview_Inventory[[#This Row],[bldg_style]]="",1,_xlfn.IFNA(VLOOKUP(Grandview_Inventory[[#This Row],[decade]],Lookups!$F$29:$H$43,3,FALSE),1))</f>
        <v>1</v>
      </c>
      <c r="BW2681" s="4">
        <f>_xlfn.IFNA(VLOOKUP(Grandview_Inventory[[#This Row],[living_area_range]],Lookups!$F$47:$H$56,3,FALSE),1)</f>
        <v>1</v>
      </c>
      <c r="BX2681" s="4">
        <f>AVERAGE(Grandview_Inventory[[#This Row],[qual_adj]:[size_adj]])</f>
        <v>1</v>
      </c>
      <c r="BY2681" s="6">
        <f>IF(Grandview_Inventory[[#This Row],[pre_res]]&lt;0,0,Grandview_Inventory[[#This Row],[pre_res]]*Grandview_Inventory[[#This Row],[overall_adj]])</f>
        <v>0</v>
      </c>
      <c r="BZ2681" s="6">
        <f>(Grandview_Inventory[[#This Row],[sum_land]]-IF(Grandview_Inventory[[#This Row],[no_utilities]]=1,12000,0))/IF(Grandview_Inventory[[#This Row],[unbuildable]]=1,2,1)</f>
        <v>55476.642243023998</v>
      </c>
      <c r="CA2681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2681">
        <f>ROUND(Grandview_Inventory[[#This Row],[det_value]]*Lookups!$M$28,-2)</f>
        <v>0</v>
      </c>
      <c r="CC268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1">
        <f>Grandview_Inventory[[#This Row],[final_det]]+Grandview_Inventory[[#This Row],[final_res]]</f>
        <v>0</v>
      </c>
      <c r="CE2681">
        <f>Grandview_Inventory[[#This Row],[final_land]]+Grandview_Inventory[[#This Row],[final_imp]]+Grandview_Inventory[[#This Row],[crop_value]]</f>
        <v>52700</v>
      </c>
      <c r="CG2681" t="str">
        <f t="shared" si="41"/>
        <v>update valuation set market_land =52700, market_bldg=0, market_total =52700, market_mdno =401, market_date ='9/10/2023' where link_id = (select link_id from parcel where parcel_year = '2024' and parcel_id = '23092221442');</v>
      </c>
    </row>
    <row r="2682" spans="1:85" x14ac:dyDescent="0.25">
      <c r="A2682">
        <v>23092221451</v>
      </c>
      <c r="B2682" t="s">
        <v>129</v>
      </c>
      <c r="C2682">
        <v>10114</v>
      </c>
      <c r="D2682" t="s">
        <v>129</v>
      </c>
      <c r="E2682" t="s">
        <v>53</v>
      </c>
      <c r="F2682" t="s">
        <v>53</v>
      </c>
      <c r="G2682">
        <v>4</v>
      </c>
      <c r="H2682" t="s">
        <v>54</v>
      </c>
      <c r="I2682" t="s">
        <v>129</v>
      </c>
      <c r="J2682">
        <v>33000</v>
      </c>
      <c r="K2682">
        <v>0.23</v>
      </c>
      <c r="L2682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682">
        <v>0</v>
      </c>
      <c r="N2682">
        <v>0</v>
      </c>
      <c r="O2682">
        <v>0</v>
      </c>
      <c r="P2682">
        <v>13398.7528</v>
      </c>
      <c r="Q2682">
        <v>63903</v>
      </c>
      <c r="R2682">
        <f>(Grandview_Inventory[[#This Row],[ln_acres]]*Grandview_Inventory[[#This Row],[coeff]])+Grandview_Inventory[[#This Row],[const]]</f>
        <v>44211.174981080039</v>
      </c>
      <c r="AY2682">
        <v>0</v>
      </c>
      <c r="AZ2682">
        <v>0</v>
      </c>
      <c r="BE2682">
        <v>0</v>
      </c>
      <c r="BF2682">
        <v>15000</v>
      </c>
      <c r="BG2682">
        <v>0</v>
      </c>
      <c r="BH2682" s="6">
        <f>Grandview_Inventory[[#This Row],[land_extract]]*Lookups!$B$3</f>
        <v>51342.318135355803</v>
      </c>
      <c r="BI2682" s="6">
        <f>IF(Grandview_Inventory[[#This Row],[bldg_style]]="",0,Lookups!$B$2)</f>
        <v>0</v>
      </c>
      <c r="BJ2682" s="6">
        <f>_xlfn.IFNA(VLOOKUP(Grandview_Inventory[[#This Row],[quality]],Lookups!$H$2:$J$14,3,FALSE),0)</f>
        <v>0</v>
      </c>
      <c r="BK2682" s="6">
        <f>_xlfn.IFNA(VLOOKUP(Grandview_Inventory[[#This Row],[condition]],Lookups!$H$17:$J$24,3,FALSE),0)</f>
        <v>0</v>
      </c>
      <c r="BL2682" s="6">
        <f>Grandview_Inventory[[#This Row],[Eff_Age]]*Lookups!$B$14</f>
        <v>0</v>
      </c>
      <c r="BM2682" s="6">
        <f>Grandview_Inventory[[#This Row],[living_area]]*Lookups!$B$15</f>
        <v>0</v>
      </c>
      <c r="BN2682" s="6">
        <f>Grandview_Inventory[[#This Row],[Fin BSMT]]*Lookups!$B$16</f>
        <v>0</v>
      </c>
      <c r="BO2682" s="6">
        <f>(Grandview_Inventory[[#This Row],[att_gar]]+Grandview_Inventory[[#This Row],[bltin_gar]])*Lookups!$B$17</f>
        <v>0</v>
      </c>
      <c r="BP2682" s="6">
        <f>Grandview_Inventory[[#This Row],[Plumbing Fixtures]]*Lookups!$B$18</f>
        <v>0</v>
      </c>
      <c r="BQ2682" s="6">
        <f>Grandview_Inventory[[#This Row],[detatched_value]]*Lookups!$B$19</f>
        <v>0</v>
      </c>
      <c r="BR2682" s="6">
        <f>SUM(Grandview_Inventory[[#This Row],[Intercept]:[det_value]])*Grandview_Inventory[[#This Row],[res_pct]]</f>
        <v>0</v>
      </c>
      <c r="BS2682" s="6">
        <f>Grandview_Inventory[[#This Row],[land_value]]</f>
        <v>51342.318135355803</v>
      </c>
      <c r="BT2682" s="4">
        <f>_xlfn.IFNA(VLOOKUP(Grandview_Inventory[[#This Row],[quality]],Lookups!$A$26:$C$33,3,FALSE),1)</f>
        <v>1</v>
      </c>
      <c r="BU2682" s="4">
        <f>_xlfn.IFNA(VLOOKUP(Grandview_Inventory[[#This Row],[condition]],Lookups!$A$37:$C$44,3,FALSE),1)</f>
        <v>1</v>
      </c>
      <c r="BV2682" s="4">
        <f>IF(Grandview_Inventory[[#This Row],[bldg_style]]="",1,_xlfn.IFNA(VLOOKUP(Grandview_Inventory[[#This Row],[decade]],Lookups!$F$29:$H$43,3,FALSE),1))</f>
        <v>1</v>
      </c>
      <c r="BW2682" s="4">
        <f>_xlfn.IFNA(VLOOKUP(Grandview_Inventory[[#This Row],[living_area_range]],Lookups!$F$47:$H$56,3,FALSE),1)</f>
        <v>1</v>
      </c>
      <c r="BX2682" s="4">
        <f>AVERAGE(Grandview_Inventory[[#This Row],[qual_adj]:[size_adj]])</f>
        <v>1</v>
      </c>
      <c r="BY2682" s="6">
        <f>IF(Grandview_Inventory[[#This Row],[pre_res]]&lt;0,0,Grandview_Inventory[[#This Row],[pre_res]]*Grandview_Inventory[[#This Row],[overall_adj]])</f>
        <v>0</v>
      </c>
      <c r="BZ2682" s="6">
        <f>(Grandview_Inventory[[#This Row],[sum_land]]-IF(Grandview_Inventory[[#This Row],[no_utilities]]=1,12000,0))/IF(Grandview_Inventory[[#This Row],[unbuildable]]=1,2,1)</f>
        <v>51342.318135355803</v>
      </c>
      <c r="CA2682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682">
        <f>ROUND(Grandview_Inventory[[#This Row],[det_value]]*Lookups!$M$28,-2)</f>
        <v>0</v>
      </c>
      <c r="CC268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2">
        <f>Grandview_Inventory[[#This Row],[final_det]]+Grandview_Inventory[[#This Row],[final_res]]</f>
        <v>0</v>
      </c>
      <c r="CE2682">
        <f>Grandview_Inventory[[#This Row],[final_land]]+Grandview_Inventory[[#This Row],[final_imp]]+Grandview_Inventory[[#This Row],[crop_value]]</f>
        <v>48800</v>
      </c>
      <c r="CG2682" t="str">
        <f t="shared" si="41"/>
        <v>update valuation set market_land =48800, market_bldg=0, market_total =48800, market_mdno =401, market_date ='9/10/2023' where link_id = (select link_id from parcel where parcel_year = '2024' and parcel_id = '23092221451');</v>
      </c>
    </row>
    <row r="2683" spans="1:85" x14ac:dyDescent="0.25">
      <c r="A2683">
        <v>23092221457</v>
      </c>
      <c r="B2683" t="s">
        <v>129</v>
      </c>
      <c r="C2683">
        <v>3718</v>
      </c>
      <c r="D2683" t="s">
        <v>129</v>
      </c>
      <c r="E2683" t="s">
        <v>53</v>
      </c>
      <c r="F2683" t="s">
        <v>53</v>
      </c>
      <c r="G2683">
        <v>4</v>
      </c>
      <c r="H2683" t="s">
        <v>54</v>
      </c>
      <c r="I2683" t="s">
        <v>129</v>
      </c>
      <c r="J2683">
        <v>17700</v>
      </c>
      <c r="K2683">
        <v>0.09</v>
      </c>
      <c r="L2683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2683">
        <v>0</v>
      </c>
      <c r="N2683">
        <v>0</v>
      </c>
      <c r="O2683">
        <v>0</v>
      </c>
      <c r="P2683">
        <v>13398.7528</v>
      </c>
      <c r="Q2683">
        <v>63903</v>
      </c>
      <c r="R2683">
        <f>(Grandview_Inventory[[#This Row],[ln_acres]]*Grandview_Inventory[[#This Row],[coeff]])+Grandview_Inventory[[#This Row],[const]]</f>
        <v>31639.532033828022</v>
      </c>
      <c r="AY2683">
        <v>0</v>
      </c>
      <c r="AZ2683">
        <v>0</v>
      </c>
      <c r="BE2683">
        <v>0</v>
      </c>
      <c r="BF2683">
        <v>15000</v>
      </c>
      <c r="BG2683">
        <v>0</v>
      </c>
      <c r="BH2683" s="6">
        <f>Grandview_Inventory[[#This Row],[land_extract]]*Lookups!$B$3</f>
        <v>36742.90312414799</v>
      </c>
      <c r="BI2683" s="6">
        <f>IF(Grandview_Inventory[[#This Row],[bldg_style]]="",0,Lookups!$B$2)</f>
        <v>0</v>
      </c>
      <c r="BJ2683" s="6">
        <f>_xlfn.IFNA(VLOOKUP(Grandview_Inventory[[#This Row],[quality]],Lookups!$H$2:$J$14,3,FALSE),0)</f>
        <v>0</v>
      </c>
      <c r="BK2683" s="6">
        <f>_xlfn.IFNA(VLOOKUP(Grandview_Inventory[[#This Row],[condition]],Lookups!$H$17:$J$24,3,FALSE),0)</f>
        <v>0</v>
      </c>
      <c r="BL2683" s="6">
        <f>Grandview_Inventory[[#This Row],[Eff_Age]]*Lookups!$B$14</f>
        <v>0</v>
      </c>
      <c r="BM2683" s="6">
        <f>Grandview_Inventory[[#This Row],[living_area]]*Lookups!$B$15</f>
        <v>0</v>
      </c>
      <c r="BN2683" s="6">
        <f>Grandview_Inventory[[#This Row],[Fin BSMT]]*Lookups!$B$16</f>
        <v>0</v>
      </c>
      <c r="BO2683" s="6">
        <f>(Grandview_Inventory[[#This Row],[att_gar]]+Grandview_Inventory[[#This Row],[bltin_gar]])*Lookups!$B$17</f>
        <v>0</v>
      </c>
      <c r="BP2683" s="6">
        <f>Grandview_Inventory[[#This Row],[Plumbing Fixtures]]*Lookups!$B$18</f>
        <v>0</v>
      </c>
      <c r="BQ2683" s="6">
        <f>Grandview_Inventory[[#This Row],[detatched_value]]*Lookups!$B$19</f>
        <v>0</v>
      </c>
      <c r="BR2683" s="6">
        <f>SUM(Grandview_Inventory[[#This Row],[Intercept]:[det_value]])*Grandview_Inventory[[#This Row],[res_pct]]</f>
        <v>0</v>
      </c>
      <c r="BS2683" s="6">
        <f>Grandview_Inventory[[#This Row],[land_value]]</f>
        <v>36742.90312414799</v>
      </c>
      <c r="BT2683" s="4">
        <f>_xlfn.IFNA(VLOOKUP(Grandview_Inventory[[#This Row],[quality]],Lookups!$A$26:$C$33,3,FALSE),1)</f>
        <v>1</v>
      </c>
      <c r="BU2683" s="4">
        <f>_xlfn.IFNA(VLOOKUP(Grandview_Inventory[[#This Row],[condition]],Lookups!$A$37:$C$44,3,FALSE),1)</f>
        <v>1</v>
      </c>
      <c r="BV2683" s="4">
        <f>IF(Grandview_Inventory[[#This Row],[bldg_style]]="",1,_xlfn.IFNA(VLOOKUP(Grandview_Inventory[[#This Row],[decade]],Lookups!$F$29:$H$43,3,FALSE),1))</f>
        <v>1</v>
      </c>
      <c r="BW2683" s="4">
        <f>_xlfn.IFNA(VLOOKUP(Grandview_Inventory[[#This Row],[living_area_range]],Lookups!$F$47:$H$56,3,FALSE),1)</f>
        <v>1</v>
      </c>
      <c r="BX2683" s="4">
        <f>AVERAGE(Grandview_Inventory[[#This Row],[qual_adj]:[size_adj]])</f>
        <v>1</v>
      </c>
      <c r="BY2683" s="6">
        <f>IF(Grandview_Inventory[[#This Row],[pre_res]]&lt;0,0,Grandview_Inventory[[#This Row],[pre_res]]*Grandview_Inventory[[#This Row],[overall_adj]])</f>
        <v>0</v>
      </c>
      <c r="BZ2683" s="6">
        <f>(Grandview_Inventory[[#This Row],[sum_land]]-IF(Grandview_Inventory[[#This Row],[no_utilities]]=1,12000,0))/IF(Grandview_Inventory[[#This Row],[unbuildable]]=1,2,1)</f>
        <v>36742.90312414799</v>
      </c>
      <c r="CA2683">
        <f>IF(ROUND(Grandview_Inventory[[#This Row],[adj_land]]*Lookups!$M$28,-2)&lt;Grandview_Inventory[[#This Row],[min_land]],Grandview_Inventory[[#This Row],[min_land]],ROUND(Grandview_Inventory[[#This Row],[adj_land]]*Lookups!$M$28,-2))</f>
        <v>34900</v>
      </c>
      <c r="CB2683">
        <f>ROUND(Grandview_Inventory[[#This Row],[det_value]]*Lookups!$M$28,-2)</f>
        <v>0</v>
      </c>
      <c r="CC268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3">
        <f>Grandview_Inventory[[#This Row],[final_det]]+Grandview_Inventory[[#This Row],[final_res]]</f>
        <v>0</v>
      </c>
      <c r="CE2683">
        <f>Grandview_Inventory[[#This Row],[final_land]]+Grandview_Inventory[[#This Row],[final_imp]]+Grandview_Inventory[[#This Row],[crop_value]]</f>
        <v>34900</v>
      </c>
      <c r="CG2683" t="str">
        <f t="shared" si="41"/>
        <v>update valuation set market_land =34900, market_bldg=0, market_total =34900, market_mdno =401, market_date ='9/10/2023' where link_id = (select link_id from parcel where parcel_year = '2024' and parcel_id = '23092221457');</v>
      </c>
    </row>
    <row r="2684" spans="1:85" x14ac:dyDescent="0.25">
      <c r="A2684">
        <v>23092222002</v>
      </c>
      <c r="B2684">
        <v>2.4500000000000002</v>
      </c>
      <c r="C2684">
        <v>106666</v>
      </c>
      <c r="D2684" t="s">
        <v>129</v>
      </c>
      <c r="E2684" t="s">
        <v>53</v>
      </c>
      <c r="F2684" t="s">
        <v>53</v>
      </c>
      <c r="G2684">
        <v>4</v>
      </c>
      <c r="H2684" t="s">
        <v>54</v>
      </c>
      <c r="I2684">
        <v>0</v>
      </c>
      <c r="J2684">
        <v>17800</v>
      </c>
      <c r="K2684">
        <v>2.4500000000000002</v>
      </c>
      <c r="L2684">
        <f>IF(Grandview_Inventory[[#This Row],[parcel_acres]]-Grandview_Inventory[[#This Row],[non_valued_acres]] =0,0,LN(Grandview_Inventory[[#This Row],[parcel_acres]]-Grandview_Inventory[[#This Row],[non_valued_acres]]))</f>
        <v>0.89608802455663572</v>
      </c>
      <c r="M2684">
        <v>0</v>
      </c>
      <c r="N2684">
        <v>0</v>
      </c>
      <c r="O2684">
        <v>1</v>
      </c>
      <c r="P2684">
        <v>13398.7528</v>
      </c>
      <c r="Q2684">
        <v>63903</v>
      </c>
      <c r="R2684">
        <f>(Grandview_Inventory[[#This Row],[ln_acres]]*Grandview_Inventory[[#This Row],[coeff]])+Grandview_Inventory[[#This Row],[const]]</f>
        <v>75909.461928074685</v>
      </c>
      <c r="AY2684">
        <v>0</v>
      </c>
      <c r="AZ2684">
        <v>0</v>
      </c>
      <c r="BE2684">
        <v>0</v>
      </c>
      <c r="BF2684">
        <v>3000</v>
      </c>
      <c r="BG2684">
        <v>0</v>
      </c>
      <c r="BH2684" s="6">
        <f>Grandview_Inventory[[#This Row],[land_extract]]*Lookups!$B$3</f>
        <v>88153.453181525925</v>
      </c>
      <c r="BI2684" s="6">
        <f>IF(Grandview_Inventory[[#This Row],[bldg_style]]="",0,Lookups!$B$2)</f>
        <v>0</v>
      </c>
      <c r="BJ2684" s="6">
        <f>_xlfn.IFNA(VLOOKUP(Grandview_Inventory[[#This Row],[quality]],Lookups!$H$2:$J$14,3,FALSE),0)</f>
        <v>0</v>
      </c>
      <c r="BK2684" s="6">
        <f>_xlfn.IFNA(VLOOKUP(Grandview_Inventory[[#This Row],[condition]],Lookups!$H$17:$J$24,3,FALSE),0)</f>
        <v>0</v>
      </c>
      <c r="BL2684" s="6">
        <f>Grandview_Inventory[[#This Row],[Eff_Age]]*Lookups!$B$14</f>
        <v>0</v>
      </c>
      <c r="BM2684" s="6">
        <f>Grandview_Inventory[[#This Row],[living_area]]*Lookups!$B$15</f>
        <v>0</v>
      </c>
      <c r="BN2684" s="6">
        <f>Grandview_Inventory[[#This Row],[Fin BSMT]]*Lookups!$B$16</f>
        <v>0</v>
      </c>
      <c r="BO2684" s="6">
        <f>(Grandview_Inventory[[#This Row],[att_gar]]+Grandview_Inventory[[#This Row],[bltin_gar]])*Lookups!$B$17</f>
        <v>0</v>
      </c>
      <c r="BP2684" s="6">
        <f>Grandview_Inventory[[#This Row],[Plumbing Fixtures]]*Lookups!$B$18</f>
        <v>0</v>
      </c>
      <c r="BQ2684" s="6">
        <f>Grandview_Inventory[[#This Row],[detatched_value]]*Lookups!$B$19</f>
        <v>0</v>
      </c>
      <c r="BR2684" s="6">
        <f>SUM(Grandview_Inventory[[#This Row],[Intercept]:[det_value]])*Grandview_Inventory[[#This Row],[res_pct]]</f>
        <v>0</v>
      </c>
      <c r="BS2684" s="6">
        <f>Grandview_Inventory[[#This Row],[land_value]]</f>
        <v>88153.453181525925</v>
      </c>
      <c r="BT2684" s="4">
        <f>_xlfn.IFNA(VLOOKUP(Grandview_Inventory[[#This Row],[quality]],Lookups!$A$26:$C$33,3,FALSE),1)</f>
        <v>1</v>
      </c>
      <c r="BU2684" s="4">
        <f>_xlfn.IFNA(VLOOKUP(Grandview_Inventory[[#This Row],[condition]],Lookups!$A$37:$C$44,3,FALSE),1)</f>
        <v>1</v>
      </c>
      <c r="BV2684" s="4">
        <f>IF(Grandview_Inventory[[#This Row],[bldg_style]]="",1,_xlfn.IFNA(VLOOKUP(Grandview_Inventory[[#This Row],[decade]],Lookups!$F$29:$H$43,3,FALSE),1))</f>
        <v>1</v>
      </c>
      <c r="BW2684" s="4">
        <f>_xlfn.IFNA(VLOOKUP(Grandview_Inventory[[#This Row],[living_area_range]],Lookups!$F$47:$H$56,3,FALSE),1)</f>
        <v>1</v>
      </c>
      <c r="BX2684" s="4">
        <f>AVERAGE(Grandview_Inventory[[#This Row],[qual_adj]:[size_adj]])</f>
        <v>1</v>
      </c>
      <c r="BY2684" s="6">
        <f>IF(Grandview_Inventory[[#This Row],[pre_res]]&lt;0,0,Grandview_Inventory[[#This Row],[pre_res]]*Grandview_Inventory[[#This Row],[overall_adj]])</f>
        <v>0</v>
      </c>
      <c r="BZ2684" s="6">
        <f>(Grandview_Inventory[[#This Row],[sum_land]]-IF(Grandview_Inventory[[#This Row],[no_utilities]]=1,12000,0))/IF(Grandview_Inventory[[#This Row],[unbuildable]]=1,2,1)</f>
        <v>76153.453181525925</v>
      </c>
      <c r="CA2684">
        <f>IF(ROUND(Grandview_Inventory[[#This Row],[adj_land]]*Lookups!$M$28,-2)&lt;Grandview_Inventory[[#This Row],[min_land]],Grandview_Inventory[[#This Row],[min_land]],ROUND(Grandview_Inventory[[#This Row],[adj_land]]*Lookups!$M$28,-2))</f>
        <v>72300</v>
      </c>
      <c r="CB2684">
        <f>ROUND(Grandview_Inventory[[#This Row],[det_value]]*Lookups!$M$28,-2)</f>
        <v>0</v>
      </c>
      <c r="CC268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4">
        <f>Grandview_Inventory[[#This Row],[final_det]]+Grandview_Inventory[[#This Row],[final_res]]</f>
        <v>0</v>
      </c>
      <c r="CE2684">
        <f>Grandview_Inventory[[#This Row],[final_land]]+Grandview_Inventory[[#This Row],[final_imp]]+Grandview_Inventory[[#This Row],[crop_value]]</f>
        <v>72300</v>
      </c>
      <c r="CG2684" t="str">
        <f t="shared" si="41"/>
        <v>update valuation set market_land =72300, market_bldg=0, market_total =72300, market_mdno =401, market_date ='9/10/2023' where link_id = (select link_id from parcel where parcel_year = '2024' and parcel_id = '23092222002');</v>
      </c>
    </row>
    <row r="2685" spans="1:85" x14ac:dyDescent="0.25">
      <c r="A2685">
        <v>23092223002</v>
      </c>
      <c r="B2685">
        <v>4.29</v>
      </c>
      <c r="C2685" t="s">
        <v>129</v>
      </c>
      <c r="D2685" t="s">
        <v>129</v>
      </c>
      <c r="E2685" t="s">
        <v>53</v>
      </c>
      <c r="F2685" t="s">
        <v>53</v>
      </c>
      <c r="G2685">
        <v>4</v>
      </c>
      <c r="H2685" t="s">
        <v>54</v>
      </c>
      <c r="I2685">
        <v>16900</v>
      </c>
      <c r="J2685">
        <v>40700</v>
      </c>
      <c r="K2685">
        <v>4.29</v>
      </c>
      <c r="L2685">
        <f>IF(Grandview_Inventory[[#This Row],[parcel_acres]]-Grandview_Inventory[[#This Row],[non_valued_acres]] =0,0,LN(Grandview_Inventory[[#This Row],[parcel_acres]]-Grandview_Inventory[[#This Row],[non_valued_acres]]))</f>
        <v>1.4562867329399256</v>
      </c>
      <c r="M2685">
        <v>0</v>
      </c>
      <c r="N2685">
        <v>0</v>
      </c>
      <c r="O2685">
        <v>0</v>
      </c>
      <c r="P2685">
        <v>13398.7528</v>
      </c>
      <c r="Q2685">
        <v>63903</v>
      </c>
      <c r="R2685">
        <f>(Grandview_Inventory[[#This Row],[ln_acres]]*Grandview_Inventory[[#This Row],[coeff]])+Grandview_Inventory[[#This Row],[const]]</f>
        <v>83415.425940581685</v>
      </c>
      <c r="AY2685">
        <v>16900</v>
      </c>
      <c r="AZ2685">
        <v>0</v>
      </c>
      <c r="BE2685">
        <v>0</v>
      </c>
      <c r="BF2685">
        <v>15000</v>
      </c>
      <c r="BG2685">
        <v>0</v>
      </c>
      <c r="BH2685" s="6">
        <f>Grandview_Inventory[[#This Row],[land_extract]]*Lookups!$B$3</f>
        <v>96870.108923147476</v>
      </c>
      <c r="BI2685" s="6">
        <f>IF(Grandview_Inventory[[#This Row],[bldg_style]]="",0,Lookups!$B$2)</f>
        <v>0</v>
      </c>
      <c r="BJ2685" s="6">
        <f>_xlfn.IFNA(VLOOKUP(Grandview_Inventory[[#This Row],[quality]],Lookups!$H$2:$J$14,3,FALSE),0)</f>
        <v>0</v>
      </c>
      <c r="BK2685" s="6">
        <f>_xlfn.IFNA(VLOOKUP(Grandview_Inventory[[#This Row],[condition]],Lookups!$H$17:$J$24,3,FALSE),0)</f>
        <v>0</v>
      </c>
      <c r="BL2685" s="6">
        <f>Grandview_Inventory[[#This Row],[Eff_Age]]*Lookups!$B$14</f>
        <v>0</v>
      </c>
      <c r="BM2685" s="6">
        <f>Grandview_Inventory[[#This Row],[living_area]]*Lookups!$B$15</f>
        <v>0</v>
      </c>
      <c r="BN2685" s="6">
        <f>Grandview_Inventory[[#This Row],[Fin BSMT]]*Lookups!$B$16</f>
        <v>0</v>
      </c>
      <c r="BO2685" s="6">
        <f>(Grandview_Inventory[[#This Row],[att_gar]]+Grandview_Inventory[[#This Row],[bltin_gar]])*Lookups!$B$17</f>
        <v>0</v>
      </c>
      <c r="BP2685" s="6">
        <f>Grandview_Inventory[[#This Row],[Plumbing Fixtures]]*Lookups!$B$18</f>
        <v>0</v>
      </c>
      <c r="BQ2685" s="6">
        <f>Grandview_Inventory[[#This Row],[detatched_value]]*Lookups!$B$19</f>
        <v>0</v>
      </c>
      <c r="BR2685" s="6">
        <f>SUM(Grandview_Inventory[[#This Row],[Intercept]:[det_value]])*Grandview_Inventory[[#This Row],[res_pct]]</f>
        <v>0</v>
      </c>
      <c r="BS2685" s="6">
        <f>Grandview_Inventory[[#This Row],[land_value]]</f>
        <v>96870.108923147476</v>
      </c>
      <c r="BT2685" s="4">
        <f>_xlfn.IFNA(VLOOKUP(Grandview_Inventory[[#This Row],[quality]],Lookups!$A$26:$C$33,3,FALSE),1)</f>
        <v>1</v>
      </c>
      <c r="BU2685" s="4">
        <f>_xlfn.IFNA(VLOOKUP(Grandview_Inventory[[#This Row],[condition]],Lookups!$A$37:$C$44,3,FALSE),1)</f>
        <v>1</v>
      </c>
      <c r="BV2685" s="4">
        <f>IF(Grandview_Inventory[[#This Row],[bldg_style]]="",1,_xlfn.IFNA(VLOOKUP(Grandview_Inventory[[#This Row],[decade]],Lookups!$F$29:$H$43,3,FALSE),1))</f>
        <v>1</v>
      </c>
      <c r="BW2685" s="4">
        <f>_xlfn.IFNA(VLOOKUP(Grandview_Inventory[[#This Row],[living_area_range]],Lookups!$F$47:$H$56,3,FALSE),1)</f>
        <v>1</v>
      </c>
      <c r="BX2685" s="4">
        <f>AVERAGE(Grandview_Inventory[[#This Row],[qual_adj]:[size_adj]])</f>
        <v>1</v>
      </c>
      <c r="BY2685" s="6">
        <f>IF(Grandview_Inventory[[#This Row],[pre_res]]&lt;0,0,Grandview_Inventory[[#This Row],[pre_res]]*Grandview_Inventory[[#This Row],[overall_adj]])</f>
        <v>0</v>
      </c>
      <c r="BZ2685" s="6">
        <f>(Grandview_Inventory[[#This Row],[sum_land]]-IF(Grandview_Inventory[[#This Row],[no_utilities]]=1,12000,0))/IF(Grandview_Inventory[[#This Row],[unbuildable]]=1,2,1)</f>
        <v>96870.108923147476</v>
      </c>
      <c r="CA2685">
        <f>IF(ROUND(Grandview_Inventory[[#This Row],[adj_land]]*Lookups!$M$28,-2)&lt;Grandview_Inventory[[#This Row],[min_land]],Grandview_Inventory[[#This Row],[min_land]],ROUND(Grandview_Inventory[[#This Row],[adj_land]]*Lookups!$M$28,-2))</f>
        <v>92000</v>
      </c>
      <c r="CB2685">
        <f>ROUND(Grandview_Inventory[[#This Row],[det_value]]*Lookups!$M$28,-2)</f>
        <v>0</v>
      </c>
      <c r="CC268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5">
        <f>Grandview_Inventory[[#This Row],[final_det]]+Grandview_Inventory[[#This Row],[final_res]]</f>
        <v>0</v>
      </c>
      <c r="CE2685">
        <f>Grandview_Inventory[[#This Row],[final_land]]+Grandview_Inventory[[#This Row],[final_imp]]+Grandview_Inventory[[#This Row],[crop_value]]</f>
        <v>108900</v>
      </c>
      <c r="CG2685" t="str">
        <f t="shared" si="41"/>
        <v>update valuation set market_land =92000, market_bldg=0, market_total =108900, market_mdno =401, market_date ='9/10/2023' where link_id = (select link_id from parcel where parcel_year = '2024' and parcel_id = '23092223002');</v>
      </c>
    </row>
    <row r="2686" spans="1:85" x14ac:dyDescent="0.25">
      <c r="A2686">
        <v>23092223003</v>
      </c>
      <c r="B2686">
        <v>4.6100000000000003</v>
      </c>
      <c r="C2686">
        <v>200825</v>
      </c>
      <c r="D2686" t="s">
        <v>129</v>
      </c>
      <c r="E2686" t="s">
        <v>53</v>
      </c>
      <c r="F2686" t="s">
        <v>53</v>
      </c>
      <c r="G2686">
        <v>4</v>
      </c>
      <c r="H2686" t="s">
        <v>54</v>
      </c>
      <c r="I2686">
        <v>20400</v>
      </c>
      <c r="J2686">
        <v>40200</v>
      </c>
      <c r="K2686">
        <v>4.6100000000000003</v>
      </c>
      <c r="L2686">
        <f>IF(Grandview_Inventory[[#This Row],[parcel_acres]]-Grandview_Inventory[[#This Row],[non_valued_acres]] =0,0,LN(Grandview_Inventory[[#This Row],[parcel_acres]]-Grandview_Inventory[[#This Row],[non_valued_acres]]))</f>
        <v>1.5282278570085572</v>
      </c>
      <c r="M2686">
        <v>0</v>
      </c>
      <c r="N2686">
        <v>0</v>
      </c>
      <c r="O2686">
        <v>0</v>
      </c>
      <c r="P2686">
        <v>13398.7528</v>
      </c>
      <c r="Q2686">
        <v>63903</v>
      </c>
      <c r="R2686">
        <f>(Grandview_Inventory[[#This Row],[ln_acres]]*Grandview_Inventory[[#This Row],[coeff]])+Grandview_Inventory[[#This Row],[const]]</f>
        <v>84379.347278131405</v>
      </c>
      <c r="AY2686">
        <v>18500</v>
      </c>
      <c r="AZ2686">
        <v>1800</v>
      </c>
      <c r="BE2686">
        <v>0</v>
      </c>
      <c r="BF2686">
        <v>15000</v>
      </c>
      <c r="BG2686">
        <v>0</v>
      </c>
      <c r="BH2686" s="6">
        <f>Grandview_Inventory[[#This Row],[land_extract]]*Lookups!$B$3</f>
        <v>97989.508169856344</v>
      </c>
      <c r="BI2686" s="6">
        <f>IF(Grandview_Inventory[[#This Row],[bldg_style]]="",0,Lookups!$B$2)</f>
        <v>0</v>
      </c>
      <c r="BJ2686" s="6">
        <f>_xlfn.IFNA(VLOOKUP(Grandview_Inventory[[#This Row],[quality]],Lookups!$H$2:$J$14,3,FALSE),0)</f>
        <v>0</v>
      </c>
      <c r="BK2686" s="6">
        <f>_xlfn.IFNA(VLOOKUP(Grandview_Inventory[[#This Row],[condition]],Lookups!$H$17:$J$24,3,FALSE),0)</f>
        <v>0</v>
      </c>
      <c r="BL2686" s="6">
        <f>Grandview_Inventory[[#This Row],[Eff_Age]]*Lookups!$B$14</f>
        <v>0</v>
      </c>
      <c r="BM2686" s="6">
        <f>Grandview_Inventory[[#This Row],[living_area]]*Lookups!$B$15</f>
        <v>0</v>
      </c>
      <c r="BN2686" s="6">
        <f>Grandview_Inventory[[#This Row],[Fin BSMT]]*Lookups!$B$16</f>
        <v>0</v>
      </c>
      <c r="BO2686" s="6">
        <f>(Grandview_Inventory[[#This Row],[att_gar]]+Grandview_Inventory[[#This Row],[bltin_gar]])*Lookups!$B$17</f>
        <v>0</v>
      </c>
      <c r="BP2686" s="6">
        <f>Grandview_Inventory[[#This Row],[Plumbing Fixtures]]*Lookups!$B$18</f>
        <v>0</v>
      </c>
      <c r="BQ2686" s="6">
        <f>Grandview_Inventory[[#This Row],[detatched_value]]*Lookups!$B$19</f>
        <v>1524.24918</v>
      </c>
      <c r="BR2686" s="6">
        <f>SUM(Grandview_Inventory[[#This Row],[Intercept]:[det_value]])*Grandview_Inventory[[#This Row],[res_pct]]</f>
        <v>0</v>
      </c>
      <c r="BS2686" s="6">
        <f>Grandview_Inventory[[#This Row],[land_value]]</f>
        <v>97989.508169856344</v>
      </c>
      <c r="BT2686" s="4">
        <f>_xlfn.IFNA(VLOOKUP(Grandview_Inventory[[#This Row],[quality]],Lookups!$A$26:$C$33,3,FALSE),1)</f>
        <v>1</v>
      </c>
      <c r="BU2686" s="4">
        <f>_xlfn.IFNA(VLOOKUP(Grandview_Inventory[[#This Row],[condition]],Lookups!$A$37:$C$44,3,FALSE),1)</f>
        <v>1</v>
      </c>
      <c r="BV2686" s="4">
        <f>IF(Grandview_Inventory[[#This Row],[bldg_style]]="",1,_xlfn.IFNA(VLOOKUP(Grandview_Inventory[[#This Row],[decade]],Lookups!$F$29:$H$43,3,FALSE),1))</f>
        <v>1</v>
      </c>
      <c r="BW2686" s="4">
        <f>_xlfn.IFNA(VLOOKUP(Grandview_Inventory[[#This Row],[living_area_range]],Lookups!$F$47:$H$56,3,FALSE),1)</f>
        <v>1</v>
      </c>
      <c r="BX2686" s="4">
        <f>AVERAGE(Grandview_Inventory[[#This Row],[qual_adj]:[size_adj]])</f>
        <v>1</v>
      </c>
      <c r="BY2686" s="6">
        <f>IF(Grandview_Inventory[[#This Row],[pre_res]]&lt;0,0,Grandview_Inventory[[#This Row],[pre_res]]*Grandview_Inventory[[#This Row],[overall_adj]])</f>
        <v>0</v>
      </c>
      <c r="BZ2686" s="6">
        <f>(Grandview_Inventory[[#This Row],[sum_land]]-IF(Grandview_Inventory[[#This Row],[no_utilities]]=1,12000,0))/IF(Grandview_Inventory[[#This Row],[unbuildable]]=1,2,1)</f>
        <v>97989.508169856344</v>
      </c>
      <c r="CA2686">
        <f>IF(ROUND(Grandview_Inventory[[#This Row],[adj_land]]*Lookups!$M$28,-2)&lt;Grandview_Inventory[[#This Row],[min_land]],Grandview_Inventory[[#This Row],[min_land]],ROUND(Grandview_Inventory[[#This Row],[adj_land]]*Lookups!$M$28,-2))</f>
        <v>93100</v>
      </c>
      <c r="CB2686">
        <f>ROUND(Grandview_Inventory[[#This Row],[det_value]]*Lookups!$M$28,-2)</f>
        <v>1400</v>
      </c>
      <c r="CC268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6">
        <f>Grandview_Inventory[[#This Row],[final_det]]+Grandview_Inventory[[#This Row],[final_res]]</f>
        <v>1400</v>
      </c>
      <c r="CE2686">
        <f>Grandview_Inventory[[#This Row],[final_land]]+Grandview_Inventory[[#This Row],[final_imp]]+Grandview_Inventory[[#This Row],[crop_value]]</f>
        <v>113000</v>
      </c>
      <c r="CG2686" t="str">
        <f t="shared" si="41"/>
        <v>update valuation set market_land =93100, market_bldg=1400, market_total =113000, market_mdno =401, market_date ='9/10/2023' where link_id = (select link_id from parcel where parcel_year = '2024' and parcel_id = '23092223003');</v>
      </c>
    </row>
    <row r="2687" spans="1:85" x14ac:dyDescent="0.25">
      <c r="A2687">
        <v>23092223004</v>
      </c>
      <c r="B2687">
        <v>4.8</v>
      </c>
      <c r="C2687">
        <v>209268</v>
      </c>
      <c r="D2687" t="s">
        <v>129</v>
      </c>
      <c r="E2687" t="s">
        <v>53</v>
      </c>
      <c r="F2687" t="s">
        <v>53</v>
      </c>
      <c r="G2687">
        <v>4</v>
      </c>
      <c r="H2687" t="s">
        <v>54</v>
      </c>
      <c r="I2687">
        <v>19400</v>
      </c>
      <c r="J2687">
        <v>40700</v>
      </c>
      <c r="K2687">
        <v>4.8</v>
      </c>
      <c r="L2687">
        <f>IF(Grandview_Inventory[[#This Row],[parcel_acres]]-Grandview_Inventory[[#This Row],[non_valued_acres]] =0,0,LN(Grandview_Inventory[[#This Row],[parcel_acres]]-Grandview_Inventory[[#This Row],[non_valued_acres]]))</f>
        <v>1.5686159179138452</v>
      </c>
      <c r="M2687">
        <v>0</v>
      </c>
      <c r="N2687">
        <v>0</v>
      </c>
      <c r="O2687">
        <v>0</v>
      </c>
      <c r="P2687">
        <v>13398.7528</v>
      </c>
      <c r="Q2687">
        <v>63903</v>
      </c>
      <c r="R2687">
        <f>(Grandview_Inventory[[#This Row],[ln_acres]]*Grandview_Inventory[[#This Row],[coeff]])+Grandview_Inventory[[#This Row],[const]]</f>
        <v>84920.496922272709</v>
      </c>
      <c r="AY2687">
        <v>19400</v>
      </c>
      <c r="AZ2687">
        <v>0</v>
      </c>
      <c r="BE2687">
        <v>0</v>
      </c>
      <c r="BF2687">
        <v>15000</v>
      </c>
      <c r="BG2687">
        <v>0</v>
      </c>
      <c r="BH2687" s="6">
        <f>Grandview_Inventory[[#This Row],[land_extract]]*Lookups!$B$3</f>
        <v>98617.943790493606</v>
      </c>
      <c r="BI2687" s="6">
        <f>IF(Grandview_Inventory[[#This Row],[bldg_style]]="",0,Lookups!$B$2)</f>
        <v>0</v>
      </c>
      <c r="BJ2687" s="6">
        <f>_xlfn.IFNA(VLOOKUP(Grandview_Inventory[[#This Row],[quality]],Lookups!$H$2:$J$14,3,FALSE),0)</f>
        <v>0</v>
      </c>
      <c r="BK2687" s="6">
        <f>_xlfn.IFNA(VLOOKUP(Grandview_Inventory[[#This Row],[condition]],Lookups!$H$17:$J$24,3,FALSE),0)</f>
        <v>0</v>
      </c>
      <c r="BL2687" s="6">
        <f>Grandview_Inventory[[#This Row],[Eff_Age]]*Lookups!$B$14</f>
        <v>0</v>
      </c>
      <c r="BM2687" s="6">
        <f>Grandview_Inventory[[#This Row],[living_area]]*Lookups!$B$15</f>
        <v>0</v>
      </c>
      <c r="BN2687" s="6">
        <f>Grandview_Inventory[[#This Row],[Fin BSMT]]*Lookups!$B$16</f>
        <v>0</v>
      </c>
      <c r="BO2687" s="6">
        <f>(Grandview_Inventory[[#This Row],[att_gar]]+Grandview_Inventory[[#This Row],[bltin_gar]])*Lookups!$B$17</f>
        <v>0</v>
      </c>
      <c r="BP2687" s="6">
        <f>Grandview_Inventory[[#This Row],[Plumbing Fixtures]]*Lookups!$B$18</f>
        <v>0</v>
      </c>
      <c r="BQ2687" s="6">
        <f>Grandview_Inventory[[#This Row],[detatched_value]]*Lookups!$B$19</f>
        <v>0</v>
      </c>
      <c r="BR2687" s="6">
        <f>SUM(Grandview_Inventory[[#This Row],[Intercept]:[det_value]])*Grandview_Inventory[[#This Row],[res_pct]]</f>
        <v>0</v>
      </c>
      <c r="BS2687" s="6">
        <f>Grandview_Inventory[[#This Row],[land_value]]</f>
        <v>98617.943790493606</v>
      </c>
      <c r="BT2687" s="4">
        <f>_xlfn.IFNA(VLOOKUP(Grandview_Inventory[[#This Row],[quality]],Lookups!$A$26:$C$33,3,FALSE),1)</f>
        <v>1</v>
      </c>
      <c r="BU2687" s="4">
        <f>_xlfn.IFNA(VLOOKUP(Grandview_Inventory[[#This Row],[condition]],Lookups!$A$37:$C$44,3,FALSE),1)</f>
        <v>1</v>
      </c>
      <c r="BV2687" s="4">
        <f>IF(Grandview_Inventory[[#This Row],[bldg_style]]="",1,_xlfn.IFNA(VLOOKUP(Grandview_Inventory[[#This Row],[decade]],Lookups!$F$29:$H$43,3,FALSE),1))</f>
        <v>1</v>
      </c>
      <c r="BW2687" s="4">
        <f>_xlfn.IFNA(VLOOKUP(Grandview_Inventory[[#This Row],[living_area_range]],Lookups!$F$47:$H$56,3,FALSE),1)</f>
        <v>1</v>
      </c>
      <c r="BX2687" s="4">
        <f>AVERAGE(Grandview_Inventory[[#This Row],[qual_adj]:[size_adj]])</f>
        <v>1</v>
      </c>
      <c r="BY2687" s="6">
        <f>IF(Grandview_Inventory[[#This Row],[pre_res]]&lt;0,0,Grandview_Inventory[[#This Row],[pre_res]]*Grandview_Inventory[[#This Row],[overall_adj]])</f>
        <v>0</v>
      </c>
      <c r="BZ2687" s="6">
        <f>(Grandview_Inventory[[#This Row],[sum_land]]-IF(Grandview_Inventory[[#This Row],[no_utilities]]=1,12000,0))/IF(Grandview_Inventory[[#This Row],[unbuildable]]=1,2,1)</f>
        <v>98617.943790493606</v>
      </c>
      <c r="CA2687">
        <f>IF(ROUND(Grandview_Inventory[[#This Row],[adj_land]]*Lookups!$M$28,-2)&lt;Grandview_Inventory[[#This Row],[min_land]],Grandview_Inventory[[#This Row],[min_land]],ROUND(Grandview_Inventory[[#This Row],[adj_land]]*Lookups!$M$28,-2))</f>
        <v>93700</v>
      </c>
      <c r="CB2687">
        <f>ROUND(Grandview_Inventory[[#This Row],[det_value]]*Lookups!$M$28,-2)</f>
        <v>0</v>
      </c>
      <c r="CC268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7">
        <f>Grandview_Inventory[[#This Row],[final_det]]+Grandview_Inventory[[#This Row],[final_res]]</f>
        <v>0</v>
      </c>
      <c r="CE2687">
        <f>Grandview_Inventory[[#This Row],[final_land]]+Grandview_Inventory[[#This Row],[final_imp]]+Grandview_Inventory[[#This Row],[crop_value]]</f>
        <v>113100</v>
      </c>
      <c r="CG2687" t="str">
        <f t="shared" si="41"/>
        <v>update valuation set market_land =93700, market_bldg=0, market_total =113100, market_mdno =401, market_date ='9/10/2023' where link_id = (select link_id from parcel where parcel_year = '2024' and parcel_id = '23092223004');</v>
      </c>
    </row>
    <row r="2688" spans="1:85" x14ac:dyDescent="0.25">
      <c r="A2688">
        <v>23092223005</v>
      </c>
      <c r="B2688">
        <v>9.57</v>
      </c>
      <c r="C2688">
        <v>416730</v>
      </c>
      <c r="D2688" t="s">
        <v>129</v>
      </c>
      <c r="E2688" t="s">
        <v>53</v>
      </c>
      <c r="F2688" t="s">
        <v>53</v>
      </c>
      <c r="G2688">
        <v>4</v>
      </c>
      <c r="H2688" t="s">
        <v>54</v>
      </c>
      <c r="I2688">
        <v>32700</v>
      </c>
      <c r="J2688">
        <v>42600</v>
      </c>
      <c r="K2688">
        <v>9.57</v>
      </c>
      <c r="L2688">
        <f>IF(Grandview_Inventory[[#This Row],[parcel_acres]]-Grandview_Inventory[[#This Row],[non_valued_acres]] =0,0,LN(Grandview_Inventory[[#This Row],[parcel_acres]]-Grandview_Inventory[[#This Row],[non_valued_acres]]))</f>
        <v>2.258633205464863</v>
      </c>
      <c r="M2688">
        <v>0</v>
      </c>
      <c r="N2688">
        <v>0</v>
      </c>
      <c r="O2688">
        <v>0</v>
      </c>
      <c r="P2688">
        <v>13398.7528</v>
      </c>
      <c r="Q2688">
        <v>63903</v>
      </c>
      <c r="R2688">
        <f>(Grandview_Inventory[[#This Row],[ln_acres]]*Grandview_Inventory[[#This Row],[coeff]])+Grandview_Inventory[[#This Row],[const]]</f>
        <v>94165.867985895311</v>
      </c>
      <c r="AY2688">
        <v>32700</v>
      </c>
      <c r="AZ2688">
        <v>0</v>
      </c>
      <c r="BE2688">
        <v>0</v>
      </c>
      <c r="BF2688">
        <v>15000</v>
      </c>
      <c r="BG2688">
        <v>0</v>
      </c>
      <c r="BH2688" s="6">
        <f>Grandview_Inventory[[#This Row],[land_extract]]*Lookups!$B$3</f>
        <v>109354.56824417665</v>
      </c>
      <c r="BI2688" s="6">
        <f>IF(Grandview_Inventory[[#This Row],[bldg_style]]="",0,Lookups!$B$2)</f>
        <v>0</v>
      </c>
      <c r="BJ2688" s="6">
        <f>_xlfn.IFNA(VLOOKUP(Grandview_Inventory[[#This Row],[quality]],Lookups!$H$2:$J$14,3,FALSE),0)</f>
        <v>0</v>
      </c>
      <c r="BK2688" s="6">
        <f>_xlfn.IFNA(VLOOKUP(Grandview_Inventory[[#This Row],[condition]],Lookups!$H$17:$J$24,3,FALSE),0)</f>
        <v>0</v>
      </c>
      <c r="BL2688" s="6">
        <f>Grandview_Inventory[[#This Row],[Eff_Age]]*Lookups!$B$14</f>
        <v>0</v>
      </c>
      <c r="BM2688" s="6">
        <f>Grandview_Inventory[[#This Row],[living_area]]*Lookups!$B$15</f>
        <v>0</v>
      </c>
      <c r="BN2688" s="6">
        <f>Grandview_Inventory[[#This Row],[Fin BSMT]]*Lookups!$B$16</f>
        <v>0</v>
      </c>
      <c r="BO2688" s="6">
        <f>(Grandview_Inventory[[#This Row],[att_gar]]+Grandview_Inventory[[#This Row],[bltin_gar]])*Lookups!$B$17</f>
        <v>0</v>
      </c>
      <c r="BP2688" s="6">
        <f>Grandview_Inventory[[#This Row],[Plumbing Fixtures]]*Lookups!$B$18</f>
        <v>0</v>
      </c>
      <c r="BQ2688" s="6">
        <f>Grandview_Inventory[[#This Row],[detatched_value]]*Lookups!$B$19</f>
        <v>0</v>
      </c>
      <c r="BR2688" s="6">
        <f>SUM(Grandview_Inventory[[#This Row],[Intercept]:[det_value]])*Grandview_Inventory[[#This Row],[res_pct]]</f>
        <v>0</v>
      </c>
      <c r="BS2688" s="6">
        <f>Grandview_Inventory[[#This Row],[land_value]]</f>
        <v>109354.56824417665</v>
      </c>
      <c r="BT2688" s="4">
        <f>_xlfn.IFNA(VLOOKUP(Grandview_Inventory[[#This Row],[quality]],Lookups!$A$26:$C$33,3,FALSE),1)</f>
        <v>1</v>
      </c>
      <c r="BU2688" s="4">
        <f>_xlfn.IFNA(VLOOKUP(Grandview_Inventory[[#This Row],[condition]],Lookups!$A$37:$C$44,3,FALSE),1)</f>
        <v>1</v>
      </c>
      <c r="BV2688" s="4">
        <f>IF(Grandview_Inventory[[#This Row],[bldg_style]]="",1,_xlfn.IFNA(VLOOKUP(Grandview_Inventory[[#This Row],[decade]],Lookups!$F$29:$H$43,3,FALSE),1))</f>
        <v>1</v>
      </c>
      <c r="BW2688" s="4">
        <f>_xlfn.IFNA(VLOOKUP(Grandview_Inventory[[#This Row],[living_area_range]],Lookups!$F$47:$H$56,3,FALSE),1)</f>
        <v>1</v>
      </c>
      <c r="BX2688" s="4">
        <f>AVERAGE(Grandview_Inventory[[#This Row],[qual_adj]:[size_adj]])</f>
        <v>1</v>
      </c>
      <c r="BY2688" s="6">
        <f>IF(Grandview_Inventory[[#This Row],[pre_res]]&lt;0,0,Grandview_Inventory[[#This Row],[pre_res]]*Grandview_Inventory[[#This Row],[overall_adj]])</f>
        <v>0</v>
      </c>
      <c r="BZ2688" s="6">
        <f>(Grandview_Inventory[[#This Row],[sum_land]]-IF(Grandview_Inventory[[#This Row],[no_utilities]]=1,12000,0))/IF(Grandview_Inventory[[#This Row],[unbuildable]]=1,2,1)</f>
        <v>109354.56824417665</v>
      </c>
      <c r="CA2688">
        <f>IF(ROUND(Grandview_Inventory[[#This Row],[adj_land]]*Lookups!$M$28,-2)&lt;Grandview_Inventory[[#This Row],[min_land]],Grandview_Inventory[[#This Row],[min_land]],ROUND(Grandview_Inventory[[#This Row],[adj_land]]*Lookups!$M$28,-2))</f>
        <v>103900</v>
      </c>
      <c r="CB2688">
        <f>ROUND(Grandview_Inventory[[#This Row],[det_value]]*Lookups!$M$28,-2)</f>
        <v>0</v>
      </c>
      <c r="CC268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8">
        <f>Grandview_Inventory[[#This Row],[final_det]]+Grandview_Inventory[[#This Row],[final_res]]</f>
        <v>0</v>
      </c>
      <c r="CE2688">
        <f>Grandview_Inventory[[#This Row],[final_land]]+Grandview_Inventory[[#This Row],[final_imp]]+Grandview_Inventory[[#This Row],[crop_value]]</f>
        <v>136600</v>
      </c>
      <c r="CG2688" t="str">
        <f t="shared" si="41"/>
        <v>update valuation set market_land =103900, market_bldg=0, market_total =136600, market_mdno =401, market_date ='9/10/2023' where link_id = (select link_id from parcel where parcel_year = '2024' and parcel_id = '23092223005');</v>
      </c>
    </row>
    <row r="2689" spans="1:85" x14ac:dyDescent="0.25">
      <c r="A2689">
        <v>23092223006</v>
      </c>
      <c r="B2689">
        <v>4.9800000000000004</v>
      </c>
      <c r="C2689">
        <v>216883</v>
      </c>
      <c r="D2689" t="s">
        <v>129</v>
      </c>
      <c r="E2689" t="s">
        <v>53</v>
      </c>
      <c r="F2689" t="s">
        <v>53</v>
      </c>
      <c r="G2689">
        <v>4</v>
      </c>
      <c r="H2689" t="s">
        <v>54</v>
      </c>
      <c r="I2689">
        <v>16900</v>
      </c>
      <c r="J2689">
        <v>40900</v>
      </c>
      <c r="K2689">
        <v>4.9800000000000004</v>
      </c>
      <c r="L2689">
        <f>IF(Grandview_Inventory[[#This Row],[parcel_acres]]-Grandview_Inventory[[#This Row],[non_valued_acres]] =0,0,LN(Grandview_Inventory[[#This Row],[parcel_acres]]-Grandview_Inventory[[#This Row],[non_valued_acres]]))</f>
        <v>1.6054298910365616</v>
      </c>
      <c r="M2689">
        <v>0</v>
      </c>
      <c r="N2689">
        <v>0</v>
      </c>
      <c r="O2689">
        <v>0</v>
      </c>
      <c r="P2689">
        <v>13398.7528</v>
      </c>
      <c r="Q2689">
        <v>63903</v>
      </c>
      <c r="R2689">
        <f>(Grandview_Inventory[[#This Row],[ln_acres]]*Grandview_Inventory[[#This Row],[coeff]])+Grandview_Inventory[[#This Row],[const]]</f>
        <v>85413.758247729827</v>
      </c>
      <c r="AY2689">
        <v>16900</v>
      </c>
      <c r="AZ2689">
        <v>0</v>
      </c>
      <c r="BE2689">
        <v>0</v>
      </c>
      <c r="BF2689">
        <v>15000</v>
      </c>
      <c r="BG2689">
        <v>0</v>
      </c>
      <c r="BH2689" s="6">
        <f>Grandview_Inventory[[#This Row],[land_extract]]*Lookups!$B$3</f>
        <v>99190.76683594138</v>
      </c>
      <c r="BI2689" s="6">
        <f>IF(Grandview_Inventory[[#This Row],[bldg_style]]="",0,Lookups!$B$2)</f>
        <v>0</v>
      </c>
      <c r="BJ2689" s="6">
        <f>_xlfn.IFNA(VLOOKUP(Grandview_Inventory[[#This Row],[quality]],Lookups!$H$2:$J$14,3,FALSE),0)</f>
        <v>0</v>
      </c>
      <c r="BK2689" s="6">
        <f>_xlfn.IFNA(VLOOKUP(Grandview_Inventory[[#This Row],[condition]],Lookups!$H$17:$J$24,3,FALSE),0)</f>
        <v>0</v>
      </c>
      <c r="BL2689" s="6">
        <f>Grandview_Inventory[[#This Row],[Eff_Age]]*Lookups!$B$14</f>
        <v>0</v>
      </c>
      <c r="BM2689" s="6">
        <f>Grandview_Inventory[[#This Row],[living_area]]*Lookups!$B$15</f>
        <v>0</v>
      </c>
      <c r="BN2689" s="6">
        <f>Grandview_Inventory[[#This Row],[Fin BSMT]]*Lookups!$B$16</f>
        <v>0</v>
      </c>
      <c r="BO2689" s="6">
        <f>(Grandview_Inventory[[#This Row],[att_gar]]+Grandview_Inventory[[#This Row],[bltin_gar]])*Lookups!$B$17</f>
        <v>0</v>
      </c>
      <c r="BP2689" s="6">
        <f>Grandview_Inventory[[#This Row],[Plumbing Fixtures]]*Lookups!$B$18</f>
        <v>0</v>
      </c>
      <c r="BQ2689" s="6">
        <f>Grandview_Inventory[[#This Row],[detatched_value]]*Lookups!$B$19</f>
        <v>0</v>
      </c>
      <c r="BR2689" s="6">
        <f>SUM(Grandview_Inventory[[#This Row],[Intercept]:[det_value]])*Grandview_Inventory[[#This Row],[res_pct]]</f>
        <v>0</v>
      </c>
      <c r="BS2689" s="6">
        <f>Grandview_Inventory[[#This Row],[land_value]]</f>
        <v>99190.76683594138</v>
      </c>
      <c r="BT2689" s="4">
        <f>_xlfn.IFNA(VLOOKUP(Grandview_Inventory[[#This Row],[quality]],Lookups!$A$26:$C$33,3,FALSE),1)</f>
        <v>1</v>
      </c>
      <c r="BU2689" s="4">
        <f>_xlfn.IFNA(VLOOKUP(Grandview_Inventory[[#This Row],[condition]],Lookups!$A$37:$C$44,3,FALSE),1)</f>
        <v>1</v>
      </c>
      <c r="BV2689" s="4">
        <f>IF(Grandview_Inventory[[#This Row],[bldg_style]]="",1,_xlfn.IFNA(VLOOKUP(Grandview_Inventory[[#This Row],[decade]],Lookups!$F$29:$H$43,3,FALSE),1))</f>
        <v>1</v>
      </c>
      <c r="BW2689" s="4">
        <f>_xlfn.IFNA(VLOOKUP(Grandview_Inventory[[#This Row],[living_area_range]],Lookups!$F$47:$H$56,3,FALSE),1)</f>
        <v>1</v>
      </c>
      <c r="BX2689" s="4">
        <f>AVERAGE(Grandview_Inventory[[#This Row],[qual_adj]:[size_adj]])</f>
        <v>1</v>
      </c>
      <c r="BY2689" s="6">
        <f>IF(Grandview_Inventory[[#This Row],[pre_res]]&lt;0,0,Grandview_Inventory[[#This Row],[pre_res]]*Grandview_Inventory[[#This Row],[overall_adj]])</f>
        <v>0</v>
      </c>
      <c r="BZ2689" s="6">
        <f>(Grandview_Inventory[[#This Row],[sum_land]]-IF(Grandview_Inventory[[#This Row],[no_utilities]]=1,12000,0))/IF(Grandview_Inventory[[#This Row],[unbuildable]]=1,2,1)</f>
        <v>99190.76683594138</v>
      </c>
      <c r="CA2689">
        <f>IF(ROUND(Grandview_Inventory[[#This Row],[adj_land]]*Lookups!$M$28,-2)&lt;Grandview_Inventory[[#This Row],[min_land]],Grandview_Inventory[[#This Row],[min_land]],ROUND(Grandview_Inventory[[#This Row],[adj_land]]*Lookups!$M$28,-2))</f>
        <v>94200</v>
      </c>
      <c r="CB2689">
        <f>ROUND(Grandview_Inventory[[#This Row],[det_value]]*Lookups!$M$28,-2)</f>
        <v>0</v>
      </c>
      <c r="CC268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89">
        <f>Grandview_Inventory[[#This Row],[final_det]]+Grandview_Inventory[[#This Row],[final_res]]</f>
        <v>0</v>
      </c>
      <c r="CE2689">
        <f>Grandview_Inventory[[#This Row],[final_land]]+Grandview_Inventory[[#This Row],[final_imp]]+Grandview_Inventory[[#This Row],[crop_value]]</f>
        <v>111100</v>
      </c>
      <c r="CG2689" t="str">
        <f t="shared" si="41"/>
        <v>update valuation set market_land =94200, market_bldg=0, market_total =111100, market_mdno =401, market_date ='9/10/2023' where link_id = (select link_id from parcel where parcel_year = '2024' and parcel_id = '23092223006');</v>
      </c>
    </row>
    <row r="2690" spans="1:85" x14ac:dyDescent="0.25">
      <c r="A2690">
        <v>23092223007</v>
      </c>
      <c r="B2690">
        <v>5.76</v>
      </c>
      <c r="C2690">
        <v>250970</v>
      </c>
      <c r="D2690" t="s">
        <v>129</v>
      </c>
      <c r="E2690" t="s">
        <v>53</v>
      </c>
      <c r="F2690" t="s">
        <v>53</v>
      </c>
      <c r="G2690">
        <v>4</v>
      </c>
      <c r="H2690" t="s">
        <v>54</v>
      </c>
      <c r="I2690">
        <v>18600</v>
      </c>
      <c r="J2690">
        <v>44400</v>
      </c>
      <c r="K2690">
        <v>5.76</v>
      </c>
      <c r="L2690">
        <f>IF(Grandview_Inventory[[#This Row],[parcel_acres]]-Grandview_Inventory[[#This Row],[non_valued_acres]] =0,0,LN(Grandview_Inventory[[#This Row],[parcel_acres]]-Grandview_Inventory[[#This Row],[non_valued_acres]]))</f>
        <v>1.7509374747077999</v>
      </c>
      <c r="M2690">
        <v>0</v>
      </c>
      <c r="N2690">
        <v>0</v>
      </c>
      <c r="O2690">
        <v>0</v>
      </c>
      <c r="P2690">
        <v>13398.7528</v>
      </c>
      <c r="Q2690">
        <v>63903</v>
      </c>
      <c r="R2690">
        <f>(Grandview_Inventory[[#This Row],[ln_acres]]*Grandview_Inventory[[#This Row],[coeff]])+Grandview_Inventory[[#This Row],[const]]</f>
        <v>87363.378391866063</v>
      </c>
      <c r="AY2690">
        <v>18600</v>
      </c>
      <c r="AZ2690">
        <v>0</v>
      </c>
      <c r="BE2690">
        <v>0</v>
      </c>
      <c r="BF2690">
        <v>15000</v>
      </c>
      <c r="BG2690">
        <v>0</v>
      </c>
      <c r="BH2690" s="6">
        <f>Grandview_Inventory[[#This Row],[land_extract]]*Lookups!$B$3</f>
        <v>101454.8554453524</v>
      </c>
      <c r="BI2690" s="6">
        <f>IF(Grandview_Inventory[[#This Row],[bldg_style]]="",0,Lookups!$B$2)</f>
        <v>0</v>
      </c>
      <c r="BJ2690" s="6">
        <f>_xlfn.IFNA(VLOOKUP(Grandview_Inventory[[#This Row],[quality]],Lookups!$H$2:$J$14,3,FALSE),0)</f>
        <v>0</v>
      </c>
      <c r="BK2690" s="6">
        <f>_xlfn.IFNA(VLOOKUP(Grandview_Inventory[[#This Row],[condition]],Lookups!$H$17:$J$24,3,FALSE),0)</f>
        <v>0</v>
      </c>
      <c r="BL2690" s="6">
        <f>Grandview_Inventory[[#This Row],[Eff_Age]]*Lookups!$B$14</f>
        <v>0</v>
      </c>
      <c r="BM2690" s="6">
        <f>Grandview_Inventory[[#This Row],[living_area]]*Lookups!$B$15</f>
        <v>0</v>
      </c>
      <c r="BN2690" s="6">
        <f>Grandview_Inventory[[#This Row],[Fin BSMT]]*Lookups!$B$16</f>
        <v>0</v>
      </c>
      <c r="BO2690" s="6">
        <f>(Grandview_Inventory[[#This Row],[att_gar]]+Grandview_Inventory[[#This Row],[bltin_gar]])*Lookups!$B$17</f>
        <v>0</v>
      </c>
      <c r="BP2690" s="6">
        <f>Grandview_Inventory[[#This Row],[Plumbing Fixtures]]*Lookups!$B$18</f>
        <v>0</v>
      </c>
      <c r="BQ2690" s="6">
        <f>Grandview_Inventory[[#This Row],[detatched_value]]*Lookups!$B$19</f>
        <v>0</v>
      </c>
      <c r="BR2690" s="6">
        <f>SUM(Grandview_Inventory[[#This Row],[Intercept]:[det_value]])*Grandview_Inventory[[#This Row],[res_pct]]</f>
        <v>0</v>
      </c>
      <c r="BS2690" s="6">
        <f>Grandview_Inventory[[#This Row],[land_value]]</f>
        <v>101454.8554453524</v>
      </c>
      <c r="BT2690" s="4">
        <f>_xlfn.IFNA(VLOOKUP(Grandview_Inventory[[#This Row],[quality]],Lookups!$A$26:$C$33,3,FALSE),1)</f>
        <v>1</v>
      </c>
      <c r="BU2690" s="4">
        <f>_xlfn.IFNA(VLOOKUP(Grandview_Inventory[[#This Row],[condition]],Lookups!$A$37:$C$44,3,FALSE),1)</f>
        <v>1</v>
      </c>
      <c r="BV2690" s="4">
        <f>IF(Grandview_Inventory[[#This Row],[bldg_style]]="",1,_xlfn.IFNA(VLOOKUP(Grandview_Inventory[[#This Row],[decade]],Lookups!$F$29:$H$43,3,FALSE),1))</f>
        <v>1</v>
      </c>
      <c r="BW2690" s="4">
        <f>_xlfn.IFNA(VLOOKUP(Grandview_Inventory[[#This Row],[living_area_range]],Lookups!$F$47:$H$56,3,FALSE),1)</f>
        <v>1</v>
      </c>
      <c r="BX2690" s="4">
        <f>AVERAGE(Grandview_Inventory[[#This Row],[qual_adj]:[size_adj]])</f>
        <v>1</v>
      </c>
      <c r="BY2690" s="6">
        <f>IF(Grandview_Inventory[[#This Row],[pre_res]]&lt;0,0,Grandview_Inventory[[#This Row],[pre_res]]*Grandview_Inventory[[#This Row],[overall_adj]])</f>
        <v>0</v>
      </c>
      <c r="BZ2690" s="6">
        <f>(Grandview_Inventory[[#This Row],[sum_land]]-IF(Grandview_Inventory[[#This Row],[no_utilities]]=1,12000,0))/IF(Grandview_Inventory[[#This Row],[unbuildable]]=1,2,1)</f>
        <v>101454.8554453524</v>
      </c>
      <c r="CA2690">
        <f>IF(ROUND(Grandview_Inventory[[#This Row],[adj_land]]*Lookups!$M$28,-2)&lt;Grandview_Inventory[[#This Row],[min_land]],Grandview_Inventory[[#This Row],[min_land]],ROUND(Grandview_Inventory[[#This Row],[adj_land]]*Lookups!$M$28,-2))</f>
        <v>96400</v>
      </c>
      <c r="CB2690">
        <f>ROUND(Grandview_Inventory[[#This Row],[det_value]]*Lookups!$M$28,-2)</f>
        <v>0</v>
      </c>
      <c r="CC269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0">
        <f>Grandview_Inventory[[#This Row],[final_det]]+Grandview_Inventory[[#This Row],[final_res]]</f>
        <v>0</v>
      </c>
      <c r="CE2690">
        <f>Grandview_Inventory[[#This Row],[final_land]]+Grandview_Inventory[[#This Row],[final_imp]]+Grandview_Inventory[[#This Row],[crop_value]]</f>
        <v>115000</v>
      </c>
      <c r="CG2690" t="str">
        <f t="shared" si="41"/>
        <v>update valuation set market_land =96400, market_bldg=0, market_total =115000, market_mdno =401, market_date ='9/10/2023' where link_id = (select link_id from parcel where parcel_year = '2024' and parcel_id = '23092223007');</v>
      </c>
    </row>
    <row r="2691" spans="1:85" x14ac:dyDescent="0.25">
      <c r="A2691">
        <v>23092224400</v>
      </c>
      <c r="B2691">
        <v>0.22</v>
      </c>
      <c r="C2691">
        <v>9501</v>
      </c>
      <c r="D2691" t="s">
        <v>129</v>
      </c>
      <c r="E2691" t="s">
        <v>53</v>
      </c>
      <c r="F2691" t="s">
        <v>53</v>
      </c>
      <c r="G2691">
        <v>4</v>
      </c>
      <c r="H2691" t="s">
        <v>54</v>
      </c>
      <c r="I2691">
        <v>0</v>
      </c>
      <c r="J2691">
        <v>32800</v>
      </c>
      <c r="K2691">
        <v>0.22</v>
      </c>
      <c r="L2691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691">
        <v>0</v>
      </c>
      <c r="N2691">
        <v>0</v>
      </c>
      <c r="O2691">
        <v>0</v>
      </c>
      <c r="P2691">
        <v>13398.7528</v>
      </c>
      <c r="Q2691">
        <v>63903</v>
      </c>
      <c r="R2691">
        <f>(Grandview_Inventory[[#This Row],[ln_acres]]*Grandview_Inventory[[#This Row],[coeff]])+Grandview_Inventory[[#This Row],[const]]</f>
        <v>43615.576802869145</v>
      </c>
      <c r="AY2691">
        <v>0</v>
      </c>
      <c r="AZ2691">
        <v>0</v>
      </c>
      <c r="BE2691">
        <v>0</v>
      </c>
      <c r="BF2691">
        <v>15000</v>
      </c>
      <c r="BG2691">
        <v>0</v>
      </c>
      <c r="BH2691" s="6">
        <f>Grandview_Inventory[[#This Row],[land_extract]]*Lookups!$B$3</f>
        <v>50650.651579114572</v>
      </c>
      <c r="BI2691" s="6">
        <f>IF(Grandview_Inventory[[#This Row],[bldg_style]]="",0,Lookups!$B$2)</f>
        <v>0</v>
      </c>
      <c r="BJ2691" s="6">
        <f>_xlfn.IFNA(VLOOKUP(Grandview_Inventory[[#This Row],[quality]],Lookups!$H$2:$J$14,3,FALSE),0)</f>
        <v>0</v>
      </c>
      <c r="BK2691" s="6">
        <f>_xlfn.IFNA(VLOOKUP(Grandview_Inventory[[#This Row],[condition]],Lookups!$H$17:$J$24,3,FALSE),0)</f>
        <v>0</v>
      </c>
      <c r="BL2691" s="6">
        <f>Grandview_Inventory[[#This Row],[Eff_Age]]*Lookups!$B$14</f>
        <v>0</v>
      </c>
      <c r="BM2691" s="6">
        <f>Grandview_Inventory[[#This Row],[living_area]]*Lookups!$B$15</f>
        <v>0</v>
      </c>
      <c r="BN2691" s="6">
        <f>Grandview_Inventory[[#This Row],[Fin BSMT]]*Lookups!$B$16</f>
        <v>0</v>
      </c>
      <c r="BO2691" s="6">
        <f>(Grandview_Inventory[[#This Row],[att_gar]]+Grandview_Inventory[[#This Row],[bltin_gar]])*Lookups!$B$17</f>
        <v>0</v>
      </c>
      <c r="BP2691" s="6">
        <f>Grandview_Inventory[[#This Row],[Plumbing Fixtures]]*Lookups!$B$18</f>
        <v>0</v>
      </c>
      <c r="BQ2691" s="6">
        <f>Grandview_Inventory[[#This Row],[detatched_value]]*Lookups!$B$19</f>
        <v>0</v>
      </c>
      <c r="BR2691" s="6">
        <f>SUM(Grandview_Inventory[[#This Row],[Intercept]:[det_value]])*Grandview_Inventory[[#This Row],[res_pct]]</f>
        <v>0</v>
      </c>
      <c r="BS2691" s="6">
        <f>Grandview_Inventory[[#This Row],[land_value]]</f>
        <v>50650.651579114572</v>
      </c>
      <c r="BT2691" s="4">
        <f>_xlfn.IFNA(VLOOKUP(Grandview_Inventory[[#This Row],[quality]],Lookups!$A$26:$C$33,3,FALSE),1)</f>
        <v>1</v>
      </c>
      <c r="BU2691" s="4">
        <f>_xlfn.IFNA(VLOOKUP(Grandview_Inventory[[#This Row],[condition]],Lookups!$A$37:$C$44,3,FALSE),1)</f>
        <v>1</v>
      </c>
      <c r="BV2691" s="4">
        <f>IF(Grandview_Inventory[[#This Row],[bldg_style]]="",1,_xlfn.IFNA(VLOOKUP(Grandview_Inventory[[#This Row],[decade]],Lookups!$F$29:$H$43,3,FALSE),1))</f>
        <v>1</v>
      </c>
      <c r="BW2691" s="4">
        <f>_xlfn.IFNA(VLOOKUP(Grandview_Inventory[[#This Row],[living_area_range]],Lookups!$F$47:$H$56,3,FALSE),1)</f>
        <v>1</v>
      </c>
      <c r="BX2691" s="4">
        <f>AVERAGE(Grandview_Inventory[[#This Row],[qual_adj]:[size_adj]])</f>
        <v>1</v>
      </c>
      <c r="BY2691" s="6">
        <f>IF(Grandview_Inventory[[#This Row],[pre_res]]&lt;0,0,Grandview_Inventory[[#This Row],[pre_res]]*Grandview_Inventory[[#This Row],[overall_adj]])</f>
        <v>0</v>
      </c>
      <c r="BZ2691" s="6">
        <f>(Grandview_Inventory[[#This Row],[sum_land]]-IF(Grandview_Inventory[[#This Row],[no_utilities]]=1,12000,0))/IF(Grandview_Inventory[[#This Row],[unbuildable]]=1,2,1)</f>
        <v>50650.651579114572</v>
      </c>
      <c r="CA2691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691">
        <f>ROUND(Grandview_Inventory[[#This Row],[det_value]]*Lookups!$M$28,-2)</f>
        <v>0</v>
      </c>
      <c r="CC269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1">
        <f>Grandview_Inventory[[#This Row],[final_det]]+Grandview_Inventory[[#This Row],[final_res]]</f>
        <v>0</v>
      </c>
      <c r="CE2691">
        <f>Grandview_Inventory[[#This Row],[final_land]]+Grandview_Inventory[[#This Row],[final_imp]]+Grandview_Inventory[[#This Row],[crop_value]]</f>
        <v>48100</v>
      </c>
      <c r="CG2691" t="str">
        <f t="shared" ref="CG2691:CG2754" si="42">"update valuation set market_land ="&amp;CA2691&amp;", market_bldg="&amp;CD2691&amp;", market_total ="&amp;CE2691&amp;", market_mdno ="&amp;$CG$1&amp;", market_date ='"&amp;TEXT($CH$1,"m/d/yyyy")&amp;"' where link_id = (select link_id from parcel where parcel_year = '2024' and parcel_id = '"&amp;A2691&amp;"');"</f>
        <v>update valuation set market_land =48100, market_bldg=0, market_total =48100, market_mdno =401, market_date ='9/10/2023' where link_id = (select link_id from parcel where parcel_year = '2024' and parcel_id = '23092224400');</v>
      </c>
    </row>
    <row r="2692" spans="1:85" x14ac:dyDescent="0.25">
      <c r="A2692">
        <v>23092224441</v>
      </c>
      <c r="B2692">
        <v>0.2</v>
      </c>
      <c r="C2692">
        <v>8542</v>
      </c>
      <c r="D2692" t="s">
        <v>129</v>
      </c>
      <c r="E2692" t="s">
        <v>53</v>
      </c>
      <c r="F2692" t="s">
        <v>53</v>
      </c>
      <c r="G2692">
        <v>4</v>
      </c>
      <c r="H2692" t="s">
        <v>54</v>
      </c>
      <c r="I2692">
        <v>18400</v>
      </c>
      <c r="J2692">
        <v>32700</v>
      </c>
      <c r="K2692">
        <v>0.2</v>
      </c>
      <c r="L269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692">
        <v>0</v>
      </c>
      <c r="N2692">
        <v>0</v>
      </c>
      <c r="O2692">
        <v>0</v>
      </c>
      <c r="P2692">
        <v>13398.7528</v>
      </c>
      <c r="Q2692">
        <v>63903</v>
      </c>
      <c r="R2692">
        <f>(Grandview_Inventory[[#This Row],[ln_acres]]*Grandview_Inventory[[#This Row],[coeff]])+Grandview_Inventory[[#This Row],[const]]</f>
        <v>42338.539264347448</v>
      </c>
      <c r="AY2692">
        <v>0</v>
      </c>
      <c r="AZ2692">
        <v>16700</v>
      </c>
      <c r="BE2692">
        <v>0</v>
      </c>
      <c r="BF2692">
        <v>15000</v>
      </c>
      <c r="BG2692">
        <v>0</v>
      </c>
      <c r="BH2692" s="6">
        <f>Grandview_Inventory[[#This Row],[land_extract]]*Lookups!$B$3</f>
        <v>49167.631333630678</v>
      </c>
      <c r="BI2692" s="6">
        <f>IF(Grandview_Inventory[[#This Row],[bldg_style]]="",0,Lookups!$B$2)</f>
        <v>0</v>
      </c>
      <c r="BJ2692" s="6">
        <f>_xlfn.IFNA(VLOOKUP(Grandview_Inventory[[#This Row],[quality]],Lookups!$H$2:$J$14,3,FALSE),0)</f>
        <v>0</v>
      </c>
      <c r="BK2692" s="6">
        <f>_xlfn.IFNA(VLOOKUP(Grandview_Inventory[[#This Row],[condition]],Lookups!$H$17:$J$24,3,FALSE),0)</f>
        <v>0</v>
      </c>
      <c r="BL2692" s="6">
        <f>Grandview_Inventory[[#This Row],[Eff_Age]]*Lookups!$B$14</f>
        <v>0</v>
      </c>
      <c r="BM2692" s="6">
        <f>Grandview_Inventory[[#This Row],[living_area]]*Lookups!$B$15</f>
        <v>0</v>
      </c>
      <c r="BN2692" s="6">
        <f>Grandview_Inventory[[#This Row],[Fin BSMT]]*Lookups!$B$16</f>
        <v>0</v>
      </c>
      <c r="BO2692" s="6">
        <f>(Grandview_Inventory[[#This Row],[att_gar]]+Grandview_Inventory[[#This Row],[bltin_gar]])*Lookups!$B$17</f>
        <v>0</v>
      </c>
      <c r="BP2692" s="6">
        <f>Grandview_Inventory[[#This Row],[Plumbing Fixtures]]*Lookups!$B$18</f>
        <v>0</v>
      </c>
      <c r="BQ2692" s="6">
        <f>Grandview_Inventory[[#This Row],[detatched_value]]*Lookups!$B$19</f>
        <v>14141.64517</v>
      </c>
      <c r="BR2692" s="6">
        <f>SUM(Grandview_Inventory[[#This Row],[Intercept]:[det_value]])*Grandview_Inventory[[#This Row],[res_pct]]</f>
        <v>0</v>
      </c>
      <c r="BS2692" s="6">
        <f>Grandview_Inventory[[#This Row],[land_value]]</f>
        <v>49167.631333630678</v>
      </c>
      <c r="BT2692" s="4">
        <f>_xlfn.IFNA(VLOOKUP(Grandview_Inventory[[#This Row],[quality]],Lookups!$A$26:$C$33,3,FALSE),1)</f>
        <v>1</v>
      </c>
      <c r="BU2692" s="4">
        <f>_xlfn.IFNA(VLOOKUP(Grandview_Inventory[[#This Row],[condition]],Lookups!$A$37:$C$44,3,FALSE),1)</f>
        <v>1</v>
      </c>
      <c r="BV2692" s="4">
        <f>IF(Grandview_Inventory[[#This Row],[bldg_style]]="",1,_xlfn.IFNA(VLOOKUP(Grandview_Inventory[[#This Row],[decade]],Lookups!$F$29:$H$43,3,FALSE),1))</f>
        <v>1</v>
      </c>
      <c r="BW2692" s="4">
        <f>_xlfn.IFNA(VLOOKUP(Grandview_Inventory[[#This Row],[living_area_range]],Lookups!$F$47:$H$56,3,FALSE),1)</f>
        <v>1</v>
      </c>
      <c r="BX2692" s="4">
        <f>AVERAGE(Grandview_Inventory[[#This Row],[qual_adj]:[size_adj]])</f>
        <v>1</v>
      </c>
      <c r="BY2692" s="6">
        <f>IF(Grandview_Inventory[[#This Row],[pre_res]]&lt;0,0,Grandview_Inventory[[#This Row],[pre_res]]*Grandview_Inventory[[#This Row],[overall_adj]])</f>
        <v>0</v>
      </c>
      <c r="BZ2692" s="6">
        <f>(Grandview_Inventory[[#This Row],[sum_land]]-IF(Grandview_Inventory[[#This Row],[no_utilities]]=1,12000,0))/IF(Grandview_Inventory[[#This Row],[unbuildable]]=1,2,1)</f>
        <v>49167.631333630678</v>
      </c>
      <c r="CA269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692">
        <f>ROUND(Grandview_Inventory[[#This Row],[det_value]]*Lookups!$M$28,-2)</f>
        <v>13400</v>
      </c>
      <c r="CC269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2">
        <f>Grandview_Inventory[[#This Row],[final_det]]+Grandview_Inventory[[#This Row],[final_res]]</f>
        <v>13400</v>
      </c>
      <c r="CE2692">
        <f>Grandview_Inventory[[#This Row],[final_land]]+Grandview_Inventory[[#This Row],[final_imp]]+Grandview_Inventory[[#This Row],[crop_value]]</f>
        <v>60100</v>
      </c>
      <c r="CG2692" t="str">
        <f t="shared" si="42"/>
        <v>update valuation set market_land =46700, market_bldg=13400, market_total =60100, market_mdno =401, market_date ='9/10/2023' where link_id = (select link_id from parcel where parcel_year = '2024' and parcel_id = '23092224441');</v>
      </c>
    </row>
    <row r="2693" spans="1:85" x14ac:dyDescent="0.25">
      <c r="A2693">
        <v>23092231503</v>
      </c>
      <c r="B2693">
        <v>2.76</v>
      </c>
      <c r="C2693" t="s">
        <v>129</v>
      </c>
      <c r="D2693" t="s">
        <v>129</v>
      </c>
      <c r="E2693" t="s">
        <v>53</v>
      </c>
      <c r="F2693" t="s">
        <v>53</v>
      </c>
      <c r="G2693">
        <v>4</v>
      </c>
      <c r="H2693" t="s">
        <v>54</v>
      </c>
      <c r="I2693">
        <v>0</v>
      </c>
      <c r="J2693">
        <v>39100</v>
      </c>
      <c r="K2693">
        <v>2.76</v>
      </c>
      <c r="L2693">
        <f>IF(Grandview_Inventory[[#This Row],[parcel_acres]]-Grandview_Inventory[[#This Row],[non_valued_acres]] =0,0,LN(Grandview_Inventory[[#This Row],[parcel_acres]]-Grandview_Inventory[[#This Row],[non_valued_acres]]))</f>
        <v>1.0152306797290584</v>
      </c>
      <c r="M2693">
        <v>0</v>
      </c>
      <c r="N2693">
        <v>0</v>
      </c>
      <c r="O2693">
        <v>0</v>
      </c>
      <c r="P2693">
        <v>13398.7528</v>
      </c>
      <c r="Q2693">
        <v>63903</v>
      </c>
      <c r="R2693">
        <f>(Grandview_Inventory[[#This Row],[ln_acres]]*Grandview_Inventory[[#This Row],[coeff]])+Grandview_Inventory[[#This Row],[const]]</f>
        <v>77505.82491266563</v>
      </c>
      <c r="AY2693">
        <v>0</v>
      </c>
      <c r="AZ2693">
        <v>0</v>
      </c>
      <c r="BE2693">
        <v>0</v>
      </c>
      <c r="BF2693">
        <v>15000</v>
      </c>
      <c r="BG2693">
        <v>0</v>
      </c>
      <c r="BH2693" s="6">
        <f>Grandview_Inventory[[#This Row],[land_extract]]*Lookups!$B$3</f>
        <v>90007.305205351324</v>
      </c>
      <c r="BI2693" s="6">
        <f>IF(Grandview_Inventory[[#This Row],[bldg_style]]="",0,Lookups!$B$2)</f>
        <v>0</v>
      </c>
      <c r="BJ2693" s="6">
        <f>_xlfn.IFNA(VLOOKUP(Grandview_Inventory[[#This Row],[quality]],Lookups!$H$2:$J$14,3,FALSE),0)</f>
        <v>0</v>
      </c>
      <c r="BK2693" s="6">
        <f>_xlfn.IFNA(VLOOKUP(Grandview_Inventory[[#This Row],[condition]],Lookups!$H$17:$J$24,3,FALSE),0)</f>
        <v>0</v>
      </c>
      <c r="BL2693" s="6">
        <f>Grandview_Inventory[[#This Row],[Eff_Age]]*Lookups!$B$14</f>
        <v>0</v>
      </c>
      <c r="BM2693" s="6">
        <f>Grandview_Inventory[[#This Row],[living_area]]*Lookups!$B$15</f>
        <v>0</v>
      </c>
      <c r="BN2693" s="6">
        <f>Grandview_Inventory[[#This Row],[Fin BSMT]]*Lookups!$B$16</f>
        <v>0</v>
      </c>
      <c r="BO2693" s="6">
        <f>(Grandview_Inventory[[#This Row],[att_gar]]+Grandview_Inventory[[#This Row],[bltin_gar]])*Lookups!$B$17</f>
        <v>0</v>
      </c>
      <c r="BP2693" s="6">
        <f>Grandview_Inventory[[#This Row],[Plumbing Fixtures]]*Lookups!$B$18</f>
        <v>0</v>
      </c>
      <c r="BQ2693" s="6">
        <f>Grandview_Inventory[[#This Row],[detatched_value]]*Lookups!$B$19</f>
        <v>0</v>
      </c>
      <c r="BR2693" s="6">
        <f>SUM(Grandview_Inventory[[#This Row],[Intercept]:[det_value]])*Grandview_Inventory[[#This Row],[res_pct]]</f>
        <v>0</v>
      </c>
      <c r="BS2693" s="6">
        <f>Grandview_Inventory[[#This Row],[land_value]]</f>
        <v>90007.305205351324</v>
      </c>
      <c r="BT2693" s="4">
        <f>_xlfn.IFNA(VLOOKUP(Grandview_Inventory[[#This Row],[quality]],Lookups!$A$26:$C$33,3,FALSE),1)</f>
        <v>1</v>
      </c>
      <c r="BU2693" s="4">
        <f>_xlfn.IFNA(VLOOKUP(Grandview_Inventory[[#This Row],[condition]],Lookups!$A$37:$C$44,3,FALSE),1)</f>
        <v>1</v>
      </c>
      <c r="BV2693" s="4">
        <f>IF(Grandview_Inventory[[#This Row],[bldg_style]]="",1,_xlfn.IFNA(VLOOKUP(Grandview_Inventory[[#This Row],[decade]],Lookups!$F$29:$H$43,3,FALSE),1))</f>
        <v>1</v>
      </c>
      <c r="BW2693" s="4">
        <f>_xlfn.IFNA(VLOOKUP(Grandview_Inventory[[#This Row],[living_area_range]],Lookups!$F$47:$H$56,3,FALSE),1)</f>
        <v>1</v>
      </c>
      <c r="BX2693" s="4">
        <f>AVERAGE(Grandview_Inventory[[#This Row],[qual_adj]:[size_adj]])</f>
        <v>1</v>
      </c>
      <c r="BY2693" s="6">
        <f>IF(Grandview_Inventory[[#This Row],[pre_res]]&lt;0,0,Grandview_Inventory[[#This Row],[pre_res]]*Grandview_Inventory[[#This Row],[overall_adj]])</f>
        <v>0</v>
      </c>
      <c r="BZ2693" s="6">
        <f>(Grandview_Inventory[[#This Row],[sum_land]]-IF(Grandview_Inventory[[#This Row],[no_utilities]]=1,12000,0))/IF(Grandview_Inventory[[#This Row],[unbuildable]]=1,2,1)</f>
        <v>90007.305205351324</v>
      </c>
      <c r="CA2693">
        <f>IF(ROUND(Grandview_Inventory[[#This Row],[adj_land]]*Lookups!$M$28,-2)&lt;Grandview_Inventory[[#This Row],[min_land]],Grandview_Inventory[[#This Row],[min_land]],ROUND(Grandview_Inventory[[#This Row],[adj_land]]*Lookups!$M$28,-2))</f>
        <v>85500</v>
      </c>
      <c r="CB2693">
        <f>ROUND(Grandview_Inventory[[#This Row],[det_value]]*Lookups!$M$28,-2)</f>
        <v>0</v>
      </c>
      <c r="CC269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3">
        <f>Grandview_Inventory[[#This Row],[final_det]]+Grandview_Inventory[[#This Row],[final_res]]</f>
        <v>0</v>
      </c>
      <c r="CE2693">
        <f>Grandview_Inventory[[#This Row],[final_land]]+Grandview_Inventory[[#This Row],[final_imp]]+Grandview_Inventory[[#This Row],[crop_value]]</f>
        <v>85500</v>
      </c>
      <c r="CG2693" t="str">
        <f t="shared" si="42"/>
        <v>update valuation set market_land =85500, market_bldg=0, market_total =85500, market_mdno =401, market_date ='9/10/2023' where link_id = (select link_id from parcel where parcel_year = '2024' and parcel_id = '23092231503');</v>
      </c>
    </row>
    <row r="2694" spans="1:85" x14ac:dyDescent="0.25">
      <c r="A2694">
        <v>23092234400</v>
      </c>
      <c r="B2694">
        <v>5.98</v>
      </c>
      <c r="C2694">
        <v>260395</v>
      </c>
      <c r="D2694" t="s">
        <v>129</v>
      </c>
      <c r="E2694" t="s">
        <v>53</v>
      </c>
      <c r="F2694" t="s">
        <v>53</v>
      </c>
      <c r="G2694">
        <v>4</v>
      </c>
      <c r="H2694" t="s">
        <v>54</v>
      </c>
      <c r="I2694">
        <v>30900</v>
      </c>
      <c r="J2694">
        <v>62700</v>
      </c>
      <c r="K2694">
        <v>5.98</v>
      </c>
      <c r="L2694">
        <f>IF(Grandview_Inventory[[#This Row],[parcel_acres]]-Grandview_Inventory[[#This Row],[non_valued_acres]] =0,0,LN(Grandview_Inventory[[#This Row],[parcel_acres]]-Grandview_Inventory[[#This Row],[non_valued_acres]]))</f>
        <v>1.7884205679625405</v>
      </c>
      <c r="M2694">
        <v>0</v>
      </c>
      <c r="N2694">
        <v>0</v>
      </c>
      <c r="O2694">
        <v>0</v>
      </c>
      <c r="P2694">
        <v>13398.7528</v>
      </c>
      <c r="Q2694">
        <v>63903</v>
      </c>
      <c r="R2694">
        <f>(Grandview_Inventory[[#This Row],[ln_acres]]*Grandview_Inventory[[#This Row],[coeff]])+Grandview_Inventory[[#This Row],[const]]</f>
        <v>87865.605092565675</v>
      </c>
      <c r="AY2694">
        <v>0</v>
      </c>
      <c r="AZ2694">
        <v>26200</v>
      </c>
      <c r="BE2694">
        <v>0</v>
      </c>
      <c r="BF2694">
        <v>15000</v>
      </c>
      <c r="BG2694">
        <v>0</v>
      </c>
      <c r="BH2694" s="6">
        <f>Grandview_Inventory[[#This Row],[land_extract]]*Lookups!$B$3</f>
        <v>102038.08995686276</v>
      </c>
      <c r="BI2694" s="6">
        <f>IF(Grandview_Inventory[[#This Row],[bldg_style]]="",0,Lookups!$B$2)</f>
        <v>0</v>
      </c>
      <c r="BJ2694" s="6">
        <f>_xlfn.IFNA(VLOOKUP(Grandview_Inventory[[#This Row],[quality]],Lookups!$H$2:$J$14,3,FALSE),0)</f>
        <v>0</v>
      </c>
      <c r="BK2694" s="6">
        <f>_xlfn.IFNA(VLOOKUP(Grandview_Inventory[[#This Row],[condition]],Lookups!$H$17:$J$24,3,FALSE),0)</f>
        <v>0</v>
      </c>
      <c r="BL2694" s="6">
        <f>Grandview_Inventory[[#This Row],[Eff_Age]]*Lookups!$B$14</f>
        <v>0</v>
      </c>
      <c r="BM2694" s="6">
        <f>Grandview_Inventory[[#This Row],[living_area]]*Lookups!$B$15</f>
        <v>0</v>
      </c>
      <c r="BN2694" s="6">
        <f>Grandview_Inventory[[#This Row],[Fin BSMT]]*Lookups!$B$16</f>
        <v>0</v>
      </c>
      <c r="BO2694" s="6">
        <f>(Grandview_Inventory[[#This Row],[att_gar]]+Grandview_Inventory[[#This Row],[bltin_gar]])*Lookups!$B$17</f>
        <v>0</v>
      </c>
      <c r="BP2694" s="6">
        <f>Grandview_Inventory[[#This Row],[Plumbing Fixtures]]*Lookups!$B$18</f>
        <v>0</v>
      </c>
      <c r="BQ2694" s="6">
        <f>Grandview_Inventory[[#This Row],[detatched_value]]*Lookups!$B$19</f>
        <v>22186.29362</v>
      </c>
      <c r="BR2694" s="6">
        <f>SUM(Grandview_Inventory[[#This Row],[Intercept]:[det_value]])*Grandview_Inventory[[#This Row],[res_pct]]</f>
        <v>0</v>
      </c>
      <c r="BS2694" s="6">
        <f>Grandview_Inventory[[#This Row],[land_value]]</f>
        <v>102038.08995686276</v>
      </c>
      <c r="BT2694" s="4">
        <f>_xlfn.IFNA(VLOOKUP(Grandview_Inventory[[#This Row],[quality]],Lookups!$A$26:$C$33,3,FALSE),1)</f>
        <v>1</v>
      </c>
      <c r="BU2694" s="4">
        <f>_xlfn.IFNA(VLOOKUP(Grandview_Inventory[[#This Row],[condition]],Lookups!$A$37:$C$44,3,FALSE),1)</f>
        <v>1</v>
      </c>
      <c r="BV2694" s="4">
        <f>IF(Grandview_Inventory[[#This Row],[bldg_style]]="",1,_xlfn.IFNA(VLOOKUP(Grandview_Inventory[[#This Row],[decade]],Lookups!$F$29:$H$43,3,FALSE),1))</f>
        <v>1</v>
      </c>
      <c r="BW2694" s="4">
        <f>_xlfn.IFNA(VLOOKUP(Grandview_Inventory[[#This Row],[living_area_range]],Lookups!$F$47:$H$56,3,FALSE),1)</f>
        <v>1</v>
      </c>
      <c r="BX2694" s="4">
        <f>AVERAGE(Grandview_Inventory[[#This Row],[qual_adj]:[size_adj]])</f>
        <v>1</v>
      </c>
      <c r="BY2694" s="6">
        <f>IF(Grandview_Inventory[[#This Row],[pre_res]]&lt;0,0,Grandview_Inventory[[#This Row],[pre_res]]*Grandview_Inventory[[#This Row],[overall_adj]])</f>
        <v>0</v>
      </c>
      <c r="BZ2694" s="6">
        <f>(Grandview_Inventory[[#This Row],[sum_land]]-IF(Grandview_Inventory[[#This Row],[no_utilities]]=1,12000,0))/IF(Grandview_Inventory[[#This Row],[unbuildable]]=1,2,1)</f>
        <v>102038.08995686276</v>
      </c>
      <c r="CA2694">
        <f>IF(ROUND(Grandview_Inventory[[#This Row],[adj_land]]*Lookups!$M$28,-2)&lt;Grandview_Inventory[[#This Row],[min_land]],Grandview_Inventory[[#This Row],[min_land]],ROUND(Grandview_Inventory[[#This Row],[adj_land]]*Lookups!$M$28,-2))</f>
        <v>96900</v>
      </c>
      <c r="CB2694">
        <f>ROUND(Grandview_Inventory[[#This Row],[det_value]]*Lookups!$M$28,-2)</f>
        <v>21100</v>
      </c>
      <c r="CC269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4">
        <f>Grandview_Inventory[[#This Row],[final_det]]+Grandview_Inventory[[#This Row],[final_res]]</f>
        <v>21100</v>
      </c>
      <c r="CE2694">
        <f>Grandview_Inventory[[#This Row],[final_land]]+Grandview_Inventory[[#This Row],[final_imp]]+Grandview_Inventory[[#This Row],[crop_value]]</f>
        <v>118000</v>
      </c>
      <c r="CG2694" t="str">
        <f t="shared" si="42"/>
        <v>update valuation set market_land =96900, market_bldg=21100, market_total =118000, market_mdno =401, market_date ='9/10/2023' where link_id = (select link_id from parcel where parcel_year = '2024' and parcel_id = '23092234400');</v>
      </c>
    </row>
    <row r="2695" spans="1:85" x14ac:dyDescent="0.25">
      <c r="A2695">
        <v>23092234401</v>
      </c>
      <c r="B2695">
        <v>10.09</v>
      </c>
      <c r="C2695">
        <v>439446</v>
      </c>
      <c r="D2695" t="s">
        <v>129</v>
      </c>
      <c r="E2695" t="s">
        <v>53</v>
      </c>
      <c r="F2695" t="s">
        <v>53</v>
      </c>
      <c r="G2695">
        <v>4</v>
      </c>
      <c r="H2695" t="s">
        <v>54</v>
      </c>
      <c r="I2695">
        <v>42800</v>
      </c>
      <c r="J2695">
        <v>60500</v>
      </c>
      <c r="K2695">
        <v>10.09</v>
      </c>
      <c r="L2695">
        <f>IF(Grandview_Inventory[[#This Row],[parcel_acres]]-Grandview_Inventory[[#This Row],[non_valued_acres]] =0,0,LN(Grandview_Inventory[[#This Row],[parcel_acres]]-Grandview_Inventory[[#This Row],[non_valued_acres]]))</f>
        <v>2.3115448343655176</v>
      </c>
      <c r="M2695">
        <v>0</v>
      </c>
      <c r="N2695">
        <v>0</v>
      </c>
      <c r="O2695">
        <v>0</v>
      </c>
      <c r="P2695">
        <v>13398.7528</v>
      </c>
      <c r="Q2695">
        <v>63903</v>
      </c>
      <c r="R2695">
        <f>(Grandview_Inventory[[#This Row],[ln_acres]]*Grandview_Inventory[[#This Row],[coeff]])+Grandview_Inventory[[#This Row],[const]]</f>
        <v>94874.817821780511</v>
      </c>
      <c r="AY2695">
        <v>34200</v>
      </c>
      <c r="AZ2695">
        <v>0</v>
      </c>
      <c r="BE2695">
        <v>0</v>
      </c>
      <c r="BF2695">
        <v>15000</v>
      </c>
      <c r="BG2695">
        <v>0</v>
      </c>
      <c r="BH2695" s="6">
        <f>Grandview_Inventory[[#This Row],[land_extract]]*Lookups!$B$3</f>
        <v>110177.86977442559</v>
      </c>
      <c r="BI2695" s="6">
        <f>IF(Grandview_Inventory[[#This Row],[bldg_style]]="",0,Lookups!$B$2)</f>
        <v>0</v>
      </c>
      <c r="BJ2695" s="6">
        <f>_xlfn.IFNA(VLOOKUP(Grandview_Inventory[[#This Row],[quality]],Lookups!$H$2:$J$14,3,FALSE),0)</f>
        <v>0</v>
      </c>
      <c r="BK2695" s="6">
        <f>_xlfn.IFNA(VLOOKUP(Grandview_Inventory[[#This Row],[condition]],Lookups!$H$17:$J$24,3,FALSE),0)</f>
        <v>0</v>
      </c>
      <c r="BL2695" s="6">
        <f>Grandview_Inventory[[#This Row],[Eff_Age]]*Lookups!$B$14</f>
        <v>0</v>
      </c>
      <c r="BM2695" s="6">
        <f>Grandview_Inventory[[#This Row],[living_area]]*Lookups!$B$15</f>
        <v>0</v>
      </c>
      <c r="BN2695" s="6">
        <f>Grandview_Inventory[[#This Row],[Fin BSMT]]*Lookups!$B$16</f>
        <v>0</v>
      </c>
      <c r="BO2695" s="6">
        <f>(Grandview_Inventory[[#This Row],[att_gar]]+Grandview_Inventory[[#This Row],[bltin_gar]])*Lookups!$B$17</f>
        <v>0</v>
      </c>
      <c r="BP2695" s="6">
        <f>Grandview_Inventory[[#This Row],[Plumbing Fixtures]]*Lookups!$B$18</f>
        <v>0</v>
      </c>
      <c r="BQ2695" s="6">
        <f>Grandview_Inventory[[#This Row],[detatched_value]]*Lookups!$B$19</f>
        <v>0</v>
      </c>
      <c r="BR2695" s="6">
        <f>SUM(Grandview_Inventory[[#This Row],[Intercept]:[det_value]])*Grandview_Inventory[[#This Row],[res_pct]]</f>
        <v>0</v>
      </c>
      <c r="BS2695" s="6">
        <f>Grandview_Inventory[[#This Row],[land_value]]</f>
        <v>110177.86977442559</v>
      </c>
      <c r="BT2695" s="4">
        <f>_xlfn.IFNA(VLOOKUP(Grandview_Inventory[[#This Row],[quality]],Lookups!$A$26:$C$33,3,FALSE),1)</f>
        <v>1</v>
      </c>
      <c r="BU2695" s="4">
        <f>_xlfn.IFNA(VLOOKUP(Grandview_Inventory[[#This Row],[condition]],Lookups!$A$37:$C$44,3,FALSE),1)</f>
        <v>1</v>
      </c>
      <c r="BV2695" s="4">
        <f>IF(Grandview_Inventory[[#This Row],[bldg_style]]="",1,_xlfn.IFNA(VLOOKUP(Grandview_Inventory[[#This Row],[decade]],Lookups!$F$29:$H$43,3,FALSE),1))</f>
        <v>1</v>
      </c>
      <c r="BW2695" s="4">
        <f>_xlfn.IFNA(VLOOKUP(Grandview_Inventory[[#This Row],[living_area_range]],Lookups!$F$47:$H$56,3,FALSE),1)</f>
        <v>1</v>
      </c>
      <c r="BX2695" s="4">
        <f>AVERAGE(Grandview_Inventory[[#This Row],[qual_adj]:[size_adj]])</f>
        <v>1</v>
      </c>
      <c r="BY2695" s="6">
        <f>IF(Grandview_Inventory[[#This Row],[pre_res]]&lt;0,0,Grandview_Inventory[[#This Row],[pre_res]]*Grandview_Inventory[[#This Row],[overall_adj]])</f>
        <v>0</v>
      </c>
      <c r="BZ2695" s="6">
        <f>(Grandview_Inventory[[#This Row],[sum_land]]-IF(Grandview_Inventory[[#This Row],[no_utilities]]=1,12000,0))/IF(Grandview_Inventory[[#This Row],[unbuildable]]=1,2,1)</f>
        <v>110177.86977442559</v>
      </c>
      <c r="CA2695">
        <f>IF(ROUND(Grandview_Inventory[[#This Row],[adj_land]]*Lookups!$M$28,-2)&lt;Grandview_Inventory[[#This Row],[min_land]],Grandview_Inventory[[#This Row],[min_land]],ROUND(Grandview_Inventory[[#This Row],[adj_land]]*Lookups!$M$28,-2))</f>
        <v>104700</v>
      </c>
      <c r="CB2695">
        <f>ROUND(Grandview_Inventory[[#This Row],[det_value]]*Lookups!$M$28,-2)</f>
        <v>0</v>
      </c>
      <c r="CC269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5">
        <f>Grandview_Inventory[[#This Row],[final_det]]+Grandview_Inventory[[#This Row],[final_res]]</f>
        <v>0</v>
      </c>
      <c r="CE2695">
        <f>Grandview_Inventory[[#This Row],[final_land]]+Grandview_Inventory[[#This Row],[final_imp]]+Grandview_Inventory[[#This Row],[crop_value]]</f>
        <v>138900</v>
      </c>
      <c r="CG2695" t="str">
        <f t="shared" si="42"/>
        <v>update valuation set market_land =104700, market_bldg=0, market_total =138900, market_mdno =401, market_date ='9/10/2023' where link_id = (select link_id from parcel where parcel_year = '2024' and parcel_id = '23092234401');</v>
      </c>
    </row>
    <row r="2696" spans="1:85" x14ac:dyDescent="0.25">
      <c r="A2696">
        <v>23092234402</v>
      </c>
      <c r="B2696">
        <v>15.68</v>
      </c>
      <c r="C2696" t="s">
        <v>129</v>
      </c>
      <c r="D2696" t="s">
        <v>129</v>
      </c>
      <c r="E2696" t="s">
        <v>53</v>
      </c>
      <c r="F2696" t="s">
        <v>53</v>
      </c>
      <c r="G2696">
        <v>4</v>
      </c>
      <c r="H2696" t="s">
        <v>54</v>
      </c>
      <c r="I2696">
        <v>50800</v>
      </c>
      <c r="J2696">
        <v>94100</v>
      </c>
      <c r="K2696">
        <v>15.68</v>
      </c>
      <c r="L2696">
        <f>IF(Grandview_Inventory[[#This Row],[parcel_acres]]-Grandview_Inventory[[#This Row],[non_valued_acres]] =0,0,LN(Grandview_Inventory[[#This Row],[parcel_acres]]-Grandview_Inventory[[#This Row],[non_valued_acres]]))</f>
        <v>2.7523860149222616</v>
      </c>
      <c r="M2696">
        <v>0</v>
      </c>
      <c r="N2696">
        <v>0</v>
      </c>
      <c r="O2696">
        <v>0</v>
      </c>
      <c r="P2696">
        <v>13398.7528</v>
      </c>
      <c r="Q2696">
        <v>63903</v>
      </c>
      <c r="R2696">
        <f>(Grandview_Inventory[[#This Row],[ln_acres]]*Grandview_Inventory[[#This Row],[coeff]])+Grandview_Inventory[[#This Row],[const]]</f>
        <v>100781.5398241205</v>
      </c>
      <c r="AY2696">
        <v>50800</v>
      </c>
      <c r="AZ2696">
        <v>0</v>
      </c>
      <c r="BE2696">
        <v>0</v>
      </c>
      <c r="BF2696">
        <v>15000</v>
      </c>
      <c r="BG2696">
        <v>0</v>
      </c>
      <c r="BH2696" s="6">
        <f>Grandview_Inventory[[#This Row],[land_extract]]*Lookups!$B$3</f>
        <v>117037.33008759361</v>
      </c>
      <c r="BI2696" s="6">
        <f>IF(Grandview_Inventory[[#This Row],[bldg_style]]="",0,Lookups!$B$2)</f>
        <v>0</v>
      </c>
      <c r="BJ2696" s="6">
        <f>_xlfn.IFNA(VLOOKUP(Grandview_Inventory[[#This Row],[quality]],Lookups!$H$2:$J$14,3,FALSE),0)</f>
        <v>0</v>
      </c>
      <c r="BK2696" s="6">
        <f>_xlfn.IFNA(VLOOKUP(Grandview_Inventory[[#This Row],[condition]],Lookups!$H$17:$J$24,3,FALSE),0)</f>
        <v>0</v>
      </c>
      <c r="BL2696" s="6">
        <f>Grandview_Inventory[[#This Row],[Eff_Age]]*Lookups!$B$14</f>
        <v>0</v>
      </c>
      <c r="BM2696" s="6">
        <f>Grandview_Inventory[[#This Row],[living_area]]*Lookups!$B$15</f>
        <v>0</v>
      </c>
      <c r="BN2696" s="6">
        <f>Grandview_Inventory[[#This Row],[Fin BSMT]]*Lookups!$B$16</f>
        <v>0</v>
      </c>
      <c r="BO2696" s="6">
        <f>(Grandview_Inventory[[#This Row],[att_gar]]+Grandview_Inventory[[#This Row],[bltin_gar]])*Lookups!$B$17</f>
        <v>0</v>
      </c>
      <c r="BP2696" s="6">
        <f>Grandview_Inventory[[#This Row],[Plumbing Fixtures]]*Lookups!$B$18</f>
        <v>0</v>
      </c>
      <c r="BQ2696" s="6">
        <f>Grandview_Inventory[[#This Row],[detatched_value]]*Lookups!$B$19</f>
        <v>0</v>
      </c>
      <c r="BR2696" s="6">
        <f>SUM(Grandview_Inventory[[#This Row],[Intercept]:[det_value]])*Grandview_Inventory[[#This Row],[res_pct]]</f>
        <v>0</v>
      </c>
      <c r="BS2696" s="6">
        <f>Grandview_Inventory[[#This Row],[land_value]]</f>
        <v>117037.33008759361</v>
      </c>
      <c r="BT2696" s="4">
        <f>_xlfn.IFNA(VLOOKUP(Grandview_Inventory[[#This Row],[quality]],Lookups!$A$26:$C$33,3,FALSE),1)</f>
        <v>1</v>
      </c>
      <c r="BU2696" s="4">
        <f>_xlfn.IFNA(VLOOKUP(Grandview_Inventory[[#This Row],[condition]],Lookups!$A$37:$C$44,3,FALSE),1)</f>
        <v>1</v>
      </c>
      <c r="BV2696" s="4">
        <f>IF(Grandview_Inventory[[#This Row],[bldg_style]]="",1,_xlfn.IFNA(VLOOKUP(Grandview_Inventory[[#This Row],[decade]],Lookups!$F$29:$H$43,3,FALSE),1))</f>
        <v>1</v>
      </c>
      <c r="BW2696" s="4">
        <f>_xlfn.IFNA(VLOOKUP(Grandview_Inventory[[#This Row],[living_area_range]],Lookups!$F$47:$H$56,3,FALSE),1)</f>
        <v>1</v>
      </c>
      <c r="BX2696" s="4">
        <f>AVERAGE(Grandview_Inventory[[#This Row],[qual_adj]:[size_adj]])</f>
        <v>1</v>
      </c>
      <c r="BY2696" s="6">
        <f>IF(Grandview_Inventory[[#This Row],[pre_res]]&lt;0,0,Grandview_Inventory[[#This Row],[pre_res]]*Grandview_Inventory[[#This Row],[overall_adj]])</f>
        <v>0</v>
      </c>
      <c r="BZ2696" s="6">
        <f>(Grandview_Inventory[[#This Row],[sum_land]]-IF(Grandview_Inventory[[#This Row],[no_utilities]]=1,12000,0))/IF(Grandview_Inventory[[#This Row],[unbuildable]]=1,2,1)</f>
        <v>117037.33008759361</v>
      </c>
      <c r="CA2696">
        <f>IF(ROUND(Grandview_Inventory[[#This Row],[adj_land]]*Lookups!$M$28,-2)&lt;Grandview_Inventory[[#This Row],[min_land]],Grandview_Inventory[[#This Row],[min_land]],ROUND(Grandview_Inventory[[#This Row],[adj_land]]*Lookups!$M$28,-2))</f>
        <v>111200</v>
      </c>
      <c r="CB2696">
        <f>ROUND(Grandview_Inventory[[#This Row],[det_value]]*Lookups!$M$28,-2)</f>
        <v>0</v>
      </c>
      <c r="CC269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6">
        <f>Grandview_Inventory[[#This Row],[final_det]]+Grandview_Inventory[[#This Row],[final_res]]</f>
        <v>0</v>
      </c>
      <c r="CE2696">
        <f>Grandview_Inventory[[#This Row],[final_land]]+Grandview_Inventory[[#This Row],[final_imp]]+Grandview_Inventory[[#This Row],[crop_value]]</f>
        <v>162000</v>
      </c>
      <c r="CG2696" t="str">
        <f t="shared" si="42"/>
        <v>update valuation set market_land =111200, market_bldg=0, market_total =162000, market_mdno =401, market_date ='9/10/2023' where link_id = (select link_id from parcel where parcel_year = '2024' and parcel_id = '23092234402');</v>
      </c>
    </row>
    <row r="2697" spans="1:85" x14ac:dyDescent="0.25">
      <c r="A2697">
        <v>23092241405</v>
      </c>
      <c r="B2697">
        <v>0.09</v>
      </c>
      <c r="C2697">
        <v>4075</v>
      </c>
      <c r="D2697" t="s">
        <v>129</v>
      </c>
      <c r="E2697" t="s">
        <v>53</v>
      </c>
      <c r="F2697" t="s">
        <v>53</v>
      </c>
      <c r="G2697">
        <v>4</v>
      </c>
      <c r="H2697" t="s">
        <v>54</v>
      </c>
      <c r="I2697">
        <v>0</v>
      </c>
      <c r="J2697">
        <v>15500</v>
      </c>
      <c r="K2697">
        <v>0.09</v>
      </c>
      <c r="L2697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2697">
        <v>0</v>
      </c>
      <c r="N2697">
        <v>1</v>
      </c>
      <c r="O2697">
        <v>0</v>
      </c>
      <c r="P2697">
        <v>13398.7528</v>
      </c>
      <c r="Q2697">
        <v>63903</v>
      </c>
      <c r="R2697">
        <f>(Grandview_Inventory[[#This Row],[ln_acres]]*Grandview_Inventory[[#This Row],[coeff]])+Grandview_Inventory[[#This Row],[const]]</f>
        <v>31639.532033828022</v>
      </c>
      <c r="AY2697">
        <v>0</v>
      </c>
      <c r="AZ2697">
        <v>0</v>
      </c>
      <c r="BE2697">
        <v>0</v>
      </c>
      <c r="BF2697">
        <v>12000</v>
      </c>
      <c r="BG2697">
        <v>0</v>
      </c>
      <c r="BH2697" s="6">
        <f>Grandview_Inventory[[#This Row],[land_extract]]*Lookups!$B$3</f>
        <v>36742.90312414799</v>
      </c>
      <c r="BI2697" s="6">
        <f>IF(Grandview_Inventory[[#This Row],[bldg_style]]="",0,Lookups!$B$2)</f>
        <v>0</v>
      </c>
      <c r="BJ2697" s="6">
        <f>_xlfn.IFNA(VLOOKUP(Grandview_Inventory[[#This Row],[quality]],Lookups!$H$2:$J$14,3,FALSE),0)</f>
        <v>0</v>
      </c>
      <c r="BK2697" s="6">
        <f>_xlfn.IFNA(VLOOKUP(Grandview_Inventory[[#This Row],[condition]],Lookups!$H$17:$J$24,3,FALSE),0)</f>
        <v>0</v>
      </c>
      <c r="BL2697" s="6">
        <f>Grandview_Inventory[[#This Row],[Eff_Age]]*Lookups!$B$14</f>
        <v>0</v>
      </c>
      <c r="BM2697" s="6">
        <f>Grandview_Inventory[[#This Row],[living_area]]*Lookups!$B$15</f>
        <v>0</v>
      </c>
      <c r="BN2697" s="6">
        <f>Grandview_Inventory[[#This Row],[Fin BSMT]]*Lookups!$B$16</f>
        <v>0</v>
      </c>
      <c r="BO2697" s="6">
        <f>(Grandview_Inventory[[#This Row],[att_gar]]+Grandview_Inventory[[#This Row],[bltin_gar]])*Lookups!$B$17</f>
        <v>0</v>
      </c>
      <c r="BP2697" s="6">
        <f>Grandview_Inventory[[#This Row],[Plumbing Fixtures]]*Lookups!$B$18</f>
        <v>0</v>
      </c>
      <c r="BQ2697" s="6">
        <f>Grandview_Inventory[[#This Row],[detatched_value]]*Lookups!$B$19</f>
        <v>0</v>
      </c>
      <c r="BR2697" s="6">
        <f>SUM(Grandview_Inventory[[#This Row],[Intercept]:[det_value]])*Grandview_Inventory[[#This Row],[res_pct]]</f>
        <v>0</v>
      </c>
      <c r="BS2697" s="6">
        <f>Grandview_Inventory[[#This Row],[land_value]]</f>
        <v>36742.90312414799</v>
      </c>
      <c r="BT2697" s="4">
        <f>_xlfn.IFNA(VLOOKUP(Grandview_Inventory[[#This Row],[quality]],Lookups!$A$26:$C$33,3,FALSE),1)</f>
        <v>1</v>
      </c>
      <c r="BU2697" s="4">
        <f>_xlfn.IFNA(VLOOKUP(Grandview_Inventory[[#This Row],[condition]],Lookups!$A$37:$C$44,3,FALSE),1)</f>
        <v>1</v>
      </c>
      <c r="BV2697" s="4">
        <f>IF(Grandview_Inventory[[#This Row],[bldg_style]]="",1,_xlfn.IFNA(VLOOKUP(Grandview_Inventory[[#This Row],[decade]],Lookups!$F$29:$H$43,3,FALSE),1))</f>
        <v>1</v>
      </c>
      <c r="BW2697" s="4">
        <f>_xlfn.IFNA(VLOOKUP(Grandview_Inventory[[#This Row],[living_area_range]],Lookups!$F$47:$H$56,3,FALSE),1)</f>
        <v>1</v>
      </c>
      <c r="BX2697" s="4">
        <f>AVERAGE(Grandview_Inventory[[#This Row],[qual_adj]:[size_adj]])</f>
        <v>1</v>
      </c>
      <c r="BY2697" s="6">
        <f>IF(Grandview_Inventory[[#This Row],[pre_res]]&lt;0,0,Grandview_Inventory[[#This Row],[pre_res]]*Grandview_Inventory[[#This Row],[overall_adj]])</f>
        <v>0</v>
      </c>
      <c r="BZ2697" s="6">
        <f>(Grandview_Inventory[[#This Row],[sum_land]]-IF(Grandview_Inventory[[#This Row],[no_utilities]]=1,12000,0))/IF(Grandview_Inventory[[#This Row],[unbuildable]]=1,2,1)</f>
        <v>18371.451562073995</v>
      </c>
      <c r="CA2697">
        <f>IF(ROUND(Grandview_Inventory[[#This Row],[adj_land]]*Lookups!$M$28,-2)&lt;Grandview_Inventory[[#This Row],[min_land]],Grandview_Inventory[[#This Row],[min_land]],ROUND(Grandview_Inventory[[#This Row],[adj_land]]*Lookups!$M$28,-2))</f>
        <v>17500</v>
      </c>
      <c r="CB2697">
        <f>ROUND(Grandview_Inventory[[#This Row],[det_value]]*Lookups!$M$28,-2)</f>
        <v>0</v>
      </c>
      <c r="CC269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7">
        <f>Grandview_Inventory[[#This Row],[final_det]]+Grandview_Inventory[[#This Row],[final_res]]</f>
        <v>0</v>
      </c>
      <c r="CE2697">
        <f>Grandview_Inventory[[#This Row],[final_land]]+Grandview_Inventory[[#This Row],[final_imp]]+Grandview_Inventory[[#This Row],[crop_value]]</f>
        <v>17500</v>
      </c>
      <c r="CG2697" t="str">
        <f t="shared" si="42"/>
        <v>update valuation set market_land =17500, market_bldg=0, market_total =17500, market_mdno =401, market_date ='9/10/2023' where link_id = (select link_id from parcel where parcel_year = '2024' and parcel_id = '23092241405');</v>
      </c>
    </row>
    <row r="2698" spans="1:85" x14ac:dyDescent="0.25">
      <c r="A2698">
        <v>23092241429</v>
      </c>
      <c r="B2698">
        <v>0.01</v>
      </c>
      <c r="C2698">
        <v>270</v>
      </c>
      <c r="D2698" t="s">
        <v>129</v>
      </c>
      <c r="E2698" t="s">
        <v>53</v>
      </c>
      <c r="F2698" t="s">
        <v>53</v>
      </c>
      <c r="G2698">
        <v>4</v>
      </c>
      <c r="H2698" t="s">
        <v>54</v>
      </c>
      <c r="I2698">
        <v>0</v>
      </c>
      <c r="J2698">
        <v>300</v>
      </c>
      <c r="K2698">
        <v>0.01</v>
      </c>
      <c r="L2698">
        <f>IF(Grandview_Inventory[[#This Row],[parcel_acres]]-Grandview_Inventory[[#This Row],[non_valued_acres]] =0,0,LN(Grandview_Inventory[[#This Row],[parcel_acres]]-Grandview_Inventory[[#This Row],[non_valued_acres]]))</f>
        <v>-4.6051701859880909</v>
      </c>
      <c r="M2698">
        <v>0</v>
      </c>
      <c r="N2698">
        <v>1</v>
      </c>
      <c r="O2698">
        <v>0</v>
      </c>
      <c r="P2698">
        <v>13398.7528</v>
      </c>
      <c r="Q2698">
        <v>63903</v>
      </c>
      <c r="R2698">
        <f>(Grandview_Inventory[[#This Row],[ln_acres]]*Grandview_Inventory[[#This Row],[coeff]])+Grandview_Inventory[[#This Row],[const]]</f>
        <v>2199.4630760155487</v>
      </c>
      <c r="AY2698">
        <v>0</v>
      </c>
      <c r="AZ2698">
        <v>0</v>
      </c>
      <c r="BE2698">
        <v>0</v>
      </c>
      <c r="BF2698">
        <v>12000</v>
      </c>
      <c r="BG2698">
        <v>0</v>
      </c>
      <c r="BH2698" s="6">
        <f>Grandview_Inventory[[#This Row],[land_extract]]*Lookups!$B$3</f>
        <v>2554.2305316265515</v>
      </c>
      <c r="BI2698" s="6">
        <f>IF(Grandview_Inventory[[#This Row],[bldg_style]]="",0,Lookups!$B$2)</f>
        <v>0</v>
      </c>
      <c r="BJ2698" s="6">
        <f>_xlfn.IFNA(VLOOKUP(Grandview_Inventory[[#This Row],[quality]],Lookups!$H$2:$J$14,3,FALSE),0)</f>
        <v>0</v>
      </c>
      <c r="BK2698" s="6">
        <f>_xlfn.IFNA(VLOOKUP(Grandview_Inventory[[#This Row],[condition]],Lookups!$H$17:$J$24,3,FALSE),0)</f>
        <v>0</v>
      </c>
      <c r="BL2698" s="6">
        <f>Grandview_Inventory[[#This Row],[Eff_Age]]*Lookups!$B$14</f>
        <v>0</v>
      </c>
      <c r="BM2698" s="6">
        <f>Grandview_Inventory[[#This Row],[living_area]]*Lookups!$B$15</f>
        <v>0</v>
      </c>
      <c r="BN2698" s="6">
        <f>Grandview_Inventory[[#This Row],[Fin BSMT]]*Lookups!$B$16</f>
        <v>0</v>
      </c>
      <c r="BO2698" s="6">
        <f>(Grandview_Inventory[[#This Row],[att_gar]]+Grandview_Inventory[[#This Row],[bltin_gar]])*Lookups!$B$17</f>
        <v>0</v>
      </c>
      <c r="BP2698" s="6">
        <f>Grandview_Inventory[[#This Row],[Plumbing Fixtures]]*Lookups!$B$18</f>
        <v>0</v>
      </c>
      <c r="BQ2698" s="6">
        <f>Grandview_Inventory[[#This Row],[detatched_value]]*Lookups!$B$19</f>
        <v>0</v>
      </c>
      <c r="BR2698" s="6">
        <f>SUM(Grandview_Inventory[[#This Row],[Intercept]:[det_value]])*Grandview_Inventory[[#This Row],[res_pct]]</f>
        <v>0</v>
      </c>
      <c r="BS2698" s="6">
        <f>Grandview_Inventory[[#This Row],[land_value]]</f>
        <v>2554.2305316265515</v>
      </c>
      <c r="BT2698" s="4">
        <f>_xlfn.IFNA(VLOOKUP(Grandview_Inventory[[#This Row],[quality]],Lookups!$A$26:$C$33,3,FALSE),1)</f>
        <v>1</v>
      </c>
      <c r="BU2698" s="4">
        <f>_xlfn.IFNA(VLOOKUP(Grandview_Inventory[[#This Row],[condition]],Lookups!$A$37:$C$44,3,FALSE),1)</f>
        <v>1</v>
      </c>
      <c r="BV2698" s="4">
        <f>IF(Grandview_Inventory[[#This Row],[bldg_style]]="",1,_xlfn.IFNA(VLOOKUP(Grandview_Inventory[[#This Row],[decade]],Lookups!$F$29:$H$43,3,FALSE),1))</f>
        <v>1</v>
      </c>
      <c r="BW2698" s="4">
        <f>_xlfn.IFNA(VLOOKUP(Grandview_Inventory[[#This Row],[living_area_range]],Lookups!$F$47:$H$56,3,FALSE),1)</f>
        <v>1</v>
      </c>
      <c r="BX2698" s="4">
        <f>AVERAGE(Grandview_Inventory[[#This Row],[qual_adj]:[size_adj]])</f>
        <v>1</v>
      </c>
      <c r="BY2698" s="6">
        <f>IF(Grandview_Inventory[[#This Row],[pre_res]]&lt;0,0,Grandview_Inventory[[#This Row],[pre_res]]*Grandview_Inventory[[#This Row],[overall_adj]])</f>
        <v>0</v>
      </c>
      <c r="BZ2698" s="6">
        <f>(Grandview_Inventory[[#This Row],[sum_land]]-IF(Grandview_Inventory[[#This Row],[no_utilities]]=1,12000,0))/IF(Grandview_Inventory[[#This Row],[unbuildable]]=1,2,1)</f>
        <v>1277.1152658132758</v>
      </c>
      <c r="CA2698">
        <f>IF(ROUND(Grandview_Inventory[[#This Row],[adj_land]]*Lookups!$M$28,-2)&lt;Grandview_Inventory[[#This Row],[min_land]],Grandview_Inventory[[#This Row],[min_land]],ROUND(Grandview_Inventory[[#This Row],[adj_land]]*Lookups!$M$28,-2))</f>
        <v>12000</v>
      </c>
      <c r="CB2698">
        <f>ROUND(Grandview_Inventory[[#This Row],[det_value]]*Lookups!$M$28,-2)</f>
        <v>0</v>
      </c>
      <c r="CC269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8">
        <f>Grandview_Inventory[[#This Row],[final_det]]+Grandview_Inventory[[#This Row],[final_res]]</f>
        <v>0</v>
      </c>
      <c r="CE2698">
        <f>Grandview_Inventory[[#This Row],[final_land]]+Grandview_Inventory[[#This Row],[final_imp]]+Grandview_Inventory[[#This Row],[crop_value]]</f>
        <v>12000</v>
      </c>
      <c r="CG2698" t="str">
        <f t="shared" si="42"/>
        <v>update valuation set market_land =12000, market_bldg=0, market_total =12000, market_mdno =401, market_date ='9/10/2023' where link_id = (select link_id from parcel where parcel_year = '2024' and parcel_id = '23092241429');</v>
      </c>
    </row>
    <row r="2699" spans="1:85" x14ac:dyDescent="0.25">
      <c r="A2699">
        <v>23092243462</v>
      </c>
      <c r="B2699">
        <v>0.27</v>
      </c>
      <c r="C2699">
        <v>11780</v>
      </c>
      <c r="D2699" t="s">
        <v>129</v>
      </c>
      <c r="E2699" t="s">
        <v>53</v>
      </c>
      <c r="F2699" t="s">
        <v>53</v>
      </c>
      <c r="G2699">
        <v>4</v>
      </c>
      <c r="H2699" t="s">
        <v>54</v>
      </c>
      <c r="I2699">
        <v>0</v>
      </c>
      <c r="J2699">
        <v>12400</v>
      </c>
      <c r="K2699">
        <v>0.27</v>
      </c>
      <c r="L2699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699">
        <v>0</v>
      </c>
      <c r="N2699">
        <v>0</v>
      </c>
      <c r="O2699">
        <v>1</v>
      </c>
      <c r="P2699">
        <v>13398.7528</v>
      </c>
      <c r="Q2699">
        <v>63903</v>
      </c>
      <c r="R2699">
        <f>(Grandview_Inventory[[#This Row],[ln_acres]]*Grandview_Inventory[[#This Row],[coeff]])+Grandview_Inventory[[#This Row],[const]]</f>
        <v>46359.566512734265</v>
      </c>
      <c r="AY2699">
        <v>0</v>
      </c>
      <c r="AZ2699">
        <v>0</v>
      </c>
      <c r="BE2699">
        <v>0</v>
      </c>
      <c r="BF2699">
        <v>3000</v>
      </c>
      <c r="BG2699">
        <v>0</v>
      </c>
      <c r="BH2699" s="6">
        <f>Grandview_Inventory[[#This Row],[land_extract]]*Lookups!$B$3</f>
        <v>53837.239420408718</v>
      </c>
      <c r="BI2699" s="6">
        <f>IF(Grandview_Inventory[[#This Row],[bldg_style]]="",0,Lookups!$B$2)</f>
        <v>0</v>
      </c>
      <c r="BJ2699" s="6">
        <f>_xlfn.IFNA(VLOOKUP(Grandview_Inventory[[#This Row],[quality]],Lookups!$H$2:$J$14,3,FALSE),0)</f>
        <v>0</v>
      </c>
      <c r="BK2699" s="6">
        <f>_xlfn.IFNA(VLOOKUP(Grandview_Inventory[[#This Row],[condition]],Lookups!$H$17:$J$24,3,FALSE),0)</f>
        <v>0</v>
      </c>
      <c r="BL2699" s="6">
        <f>Grandview_Inventory[[#This Row],[Eff_Age]]*Lookups!$B$14</f>
        <v>0</v>
      </c>
      <c r="BM2699" s="6">
        <f>Grandview_Inventory[[#This Row],[living_area]]*Lookups!$B$15</f>
        <v>0</v>
      </c>
      <c r="BN2699" s="6">
        <f>Grandview_Inventory[[#This Row],[Fin BSMT]]*Lookups!$B$16</f>
        <v>0</v>
      </c>
      <c r="BO2699" s="6">
        <f>(Grandview_Inventory[[#This Row],[att_gar]]+Grandview_Inventory[[#This Row],[bltin_gar]])*Lookups!$B$17</f>
        <v>0</v>
      </c>
      <c r="BP2699" s="6">
        <f>Grandview_Inventory[[#This Row],[Plumbing Fixtures]]*Lookups!$B$18</f>
        <v>0</v>
      </c>
      <c r="BQ2699" s="6">
        <f>Grandview_Inventory[[#This Row],[detatched_value]]*Lookups!$B$19</f>
        <v>0</v>
      </c>
      <c r="BR2699" s="6">
        <f>SUM(Grandview_Inventory[[#This Row],[Intercept]:[det_value]])*Grandview_Inventory[[#This Row],[res_pct]]</f>
        <v>0</v>
      </c>
      <c r="BS2699" s="6">
        <f>Grandview_Inventory[[#This Row],[land_value]]</f>
        <v>53837.239420408718</v>
      </c>
      <c r="BT2699" s="4">
        <f>_xlfn.IFNA(VLOOKUP(Grandview_Inventory[[#This Row],[quality]],Lookups!$A$26:$C$33,3,FALSE),1)</f>
        <v>1</v>
      </c>
      <c r="BU2699" s="4">
        <f>_xlfn.IFNA(VLOOKUP(Grandview_Inventory[[#This Row],[condition]],Lookups!$A$37:$C$44,3,FALSE),1)</f>
        <v>1</v>
      </c>
      <c r="BV2699" s="4">
        <f>IF(Grandview_Inventory[[#This Row],[bldg_style]]="",1,_xlfn.IFNA(VLOOKUP(Grandview_Inventory[[#This Row],[decade]],Lookups!$F$29:$H$43,3,FALSE),1))</f>
        <v>1</v>
      </c>
      <c r="BW2699" s="4">
        <f>_xlfn.IFNA(VLOOKUP(Grandview_Inventory[[#This Row],[living_area_range]],Lookups!$F$47:$H$56,3,FALSE),1)</f>
        <v>1</v>
      </c>
      <c r="BX2699" s="4">
        <f>AVERAGE(Grandview_Inventory[[#This Row],[qual_adj]:[size_adj]])</f>
        <v>1</v>
      </c>
      <c r="BY2699" s="6">
        <f>IF(Grandview_Inventory[[#This Row],[pre_res]]&lt;0,0,Grandview_Inventory[[#This Row],[pre_res]]*Grandview_Inventory[[#This Row],[overall_adj]])</f>
        <v>0</v>
      </c>
      <c r="BZ2699" s="6">
        <f>(Grandview_Inventory[[#This Row],[sum_land]]-IF(Grandview_Inventory[[#This Row],[no_utilities]]=1,12000,0))/IF(Grandview_Inventory[[#This Row],[unbuildable]]=1,2,1)</f>
        <v>41837.239420408718</v>
      </c>
      <c r="CA2699">
        <f>IF(ROUND(Grandview_Inventory[[#This Row],[adj_land]]*Lookups!$M$28,-2)&lt;Grandview_Inventory[[#This Row],[min_land]],Grandview_Inventory[[#This Row],[min_land]],ROUND(Grandview_Inventory[[#This Row],[adj_land]]*Lookups!$M$28,-2))</f>
        <v>39700</v>
      </c>
      <c r="CB2699">
        <f>ROUND(Grandview_Inventory[[#This Row],[det_value]]*Lookups!$M$28,-2)</f>
        <v>0</v>
      </c>
      <c r="CC269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699">
        <f>Grandview_Inventory[[#This Row],[final_det]]+Grandview_Inventory[[#This Row],[final_res]]</f>
        <v>0</v>
      </c>
      <c r="CE2699">
        <f>Grandview_Inventory[[#This Row],[final_land]]+Grandview_Inventory[[#This Row],[final_imp]]+Grandview_Inventory[[#This Row],[crop_value]]</f>
        <v>39700</v>
      </c>
      <c r="CG2699" t="str">
        <f t="shared" si="42"/>
        <v>update valuation set market_land =39700, market_bldg=0, market_total =39700, market_mdno =401, market_date ='9/10/2023' where link_id = (select link_id from parcel where parcel_year = '2024' and parcel_id = '23092243462');</v>
      </c>
    </row>
    <row r="2700" spans="1:85" x14ac:dyDescent="0.25">
      <c r="A2700">
        <v>23092243484</v>
      </c>
      <c r="B2700">
        <v>0.19</v>
      </c>
      <c r="C2700">
        <v>8285</v>
      </c>
      <c r="D2700" t="s">
        <v>129</v>
      </c>
      <c r="E2700" t="s">
        <v>53</v>
      </c>
      <c r="F2700" t="s">
        <v>53</v>
      </c>
      <c r="G2700">
        <v>4</v>
      </c>
      <c r="H2700" t="s">
        <v>54</v>
      </c>
      <c r="I2700">
        <v>0</v>
      </c>
      <c r="J2700">
        <v>11700</v>
      </c>
      <c r="K2700">
        <v>0.19</v>
      </c>
      <c r="L27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00">
        <v>0</v>
      </c>
      <c r="N2700">
        <v>0</v>
      </c>
      <c r="O2700">
        <v>1</v>
      </c>
      <c r="P2700">
        <v>13398.7528</v>
      </c>
      <c r="Q2700">
        <v>63903</v>
      </c>
      <c r="R2700">
        <f>(Grandview_Inventory[[#This Row],[ln_acres]]*Grandview_Inventory[[#This Row],[coeff]])+Grandview_Inventory[[#This Row],[const]]</f>
        <v>41651.273092551026</v>
      </c>
      <c r="AY2700">
        <v>0</v>
      </c>
      <c r="AZ2700">
        <v>0</v>
      </c>
      <c r="BE2700">
        <v>0</v>
      </c>
      <c r="BF2700">
        <v>3000</v>
      </c>
      <c r="BG2700">
        <v>0</v>
      </c>
      <c r="BH2700" s="6">
        <f>Grandview_Inventory[[#This Row],[land_extract]]*Lookups!$B$3</f>
        <v>48369.510983942157</v>
      </c>
      <c r="BI2700" s="6">
        <f>IF(Grandview_Inventory[[#This Row],[bldg_style]]="",0,Lookups!$B$2)</f>
        <v>0</v>
      </c>
      <c r="BJ2700" s="6">
        <f>_xlfn.IFNA(VLOOKUP(Grandview_Inventory[[#This Row],[quality]],Lookups!$H$2:$J$14,3,FALSE),0)</f>
        <v>0</v>
      </c>
      <c r="BK2700" s="6">
        <f>_xlfn.IFNA(VLOOKUP(Grandview_Inventory[[#This Row],[condition]],Lookups!$H$17:$J$24,3,FALSE),0)</f>
        <v>0</v>
      </c>
      <c r="BL2700" s="6">
        <f>Grandview_Inventory[[#This Row],[Eff_Age]]*Lookups!$B$14</f>
        <v>0</v>
      </c>
      <c r="BM2700" s="6">
        <f>Grandview_Inventory[[#This Row],[living_area]]*Lookups!$B$15</f>
        <v>0</v>
      </c>
      <c r="BN2700" s="6">
        <f>Grandview_Inventory[[#This Row],[Fin BSMT]]*Lookups!$B$16</f>
        <v>0</v>
      </c>
      <c r="BO2700" s="6">
        <f>(Grandview_Inventory[[#This Row],[att_gar]]+Grandview_Inventory[[#This Row],[bltin_gar]])*Lookups!$B$17</f>
        <v>0</v>
      </c>
      <c r="BP2700" s="6">
        <f>Grandview_Inventory[[#This Row],[Plumbing Fixtures]]*Lookups!$B$18</f>
        <v>0</v>
      </c>
      <c r="BQ2700" s="6">
        <f>Grandview_Inventory[[#This Row],[detatched_value]]*Lookups!$B$19</f>
        <v>0</v>
      </c>
      <c r="BR2700" s="6">
        <f>SUM(Grandview_Inventory[[#This Row],[Intercept]:[det_value]])*Grandview_Inventory[[#This Row],[res_pct]]</f>
        <v>0</v>
      </c>
      <c r="BS2700" s="6">
        <f>Grandview_Inventory[[#This Row],[land_value]]</f>
        <v>48369.510983942157</v>
      </c>
      <c r="BT2700" s="4">
        <f>_xlfn.IFNA(VLOOKUP(Grandview_Inventory[[#This Row],[quality]],Lookups!$A$26:$C$33,3,FALSE),1)</f>
        <v>1</v>
      </c>
      <c r="BU2700" s="4">
        <f>_xlfn.IFNA(VLOOKUP(Grandview_Inventory[[#This Row],[condition]],Lookups!$A$37:$C$44,3,FALSE),1)</f>
        <v>1</v>
      </c>
      <c r="BV2700" s="4">
        <f>IF(Grandview_Inventory[[#This Row],[bldg_style]]="",1,_xlfn.IFNA(VLOOKUP(Grandview_Inventory[[#This Row],[decade]],Lookups!$F$29:$H$43,3,FALSE),1))</f>
        <v>1</v>
      </c>
      <c r="BW2700" s="4">
        <f>_xlfn.IFNA(VLOOKUP(Grandview_Inventory[[#This Row],[living_area_range]],Lookups!$F$47:$H$56,3,FALSE),1)</f>
        <v>1</v>
      </c>
      <c r="BX2700" s="4">
        <f>AVERAGE(Grandview_Inventory[[#This Row],[qual_adj]:[size_adj]])</f>
        <v>1</v>
      </c>
      <c r="BY2700" s="6">
        <f>IF(Grandview_Inventory[[#This Row],[pre_res]]&lt;0,0,Grandview_Inventory[[#This Row],[pre_res]]*Grandview_Inventory[[#This Row],[overall_adj]])</f>
        <v>0</v>
      </c>
      <c r="BZ2700" s="6">
        <f>(Grandview_Inventory[[#This Row],[sum_land]]-IF(Grandview_Inventory[[#This Row],[no_utilities]]=1,12000,0))/IF(Grandview_Inventory[[#This Row],[unbuildable]]=1,2,1)</f>
        <v>36369.510983942157</v>
      </c>
      <c r="CA2700">
        <f>IF(ROUND(Grandview_Inventory[[#This Row],[adj_land]]*Lookups!$M$28,-2)&lt;Grandview_Inventory[[#This Row],[min_land]],Grandview_Inventory[[#This Row],[min_land]],ROUND(Grandview_Inventory[[#This Row],[adj_land]]*Lookups!$M$28,-2))</f>
        <v>34600</v>
      </c>
      <c r="CB2700">
        <f>ROUND(Grandview_Inventory[[#This Row],[det_value]]*Lookups!$M$28,-2)</f>
        <v>0</v>
      </c>
      <c r="CC270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0">
        <f>Grandview_Inventory[[#This Row],[final_det]]+Grandview_Inventory[[#This Row],[final_res]]</f>
        <v>0</v>
      </c>
      <c r="CE2700">
        <f>Grandview_Inventory[[#This Row],[final_land]]+Grandview_Inventory[[#This Row],[final_imp]]+Grandview_Inventory[[#This Row],[crop_value]]</f>
        <v>34600</v>
      </c>
      <c r="CG2700" t="str">
        <f t="shared" si="42"/>
        <v>update valuation set market_land =34600, market_bldg=0, market_total =34600, market_mdno =401, market_date ='9/10/2023' where link_id = (select link_id from parcel where parcel_year = '2024' and parcel_id = '23092243484');</v>
      </c>
    </row>
    <row r="2701" spans="1:85" x14ac:dyDescent="0.25">
      <c r="A2701">
        <v>23092243485</v>
      </c>
      <c r="B2701">
        <v>0.18</v>
      </c>
      <c r="C2701">
        <v>7800</v>
      </c>
      <c r="D2701" t="s">
        <v>129</v>
      </c>
      <c r="E2701" t="s">
        <v>53</v>
      </c>
      <c r="F2701" t="s">
        <v>53</v>
      </c>
      <c r="G2701">
        <v>4</v>
      </c>
      <c r="H2701" t="s">
        <v>54</v>
      </c>
      <c r="I2701">
        <v>0</v>
      </c>
      <c r="J2701">
        <v>11400</v>
      </c>
      <c r="K2701">
        <v>0.18</v>
      </c>
      <c r="L270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701">
        <v>0</v>
      </c>
      <c r="N2701">
        <v>0</v>
      </c>
      <c r="O2701">
        <v>1</v>
      </c>
      <c r="P2701">
        <v>13398.7528</v>
      </c>
      <c r="Q2701">
        <v>63903</v>
      </c>
      <c r="R2701">
        <f>(Grandview_Inventory[[#This Row],[ln_acres]]*Grandview_Inventory[[#This Row],[coeff]])+Grandview_Inventory[[#This Row],[const]]</f>
        <v>40926.839760167699</v>
      </c>
      <c r="AY2701">
        <v>0</v>
      </c>
      <c r="AZ2701">
        <v>0</v>
      </c>
      <c r="BE2701">
        <v>0</v>
      </c>
      <c r="BF2701">
        <v>3000</v>
      </c>
      <c r="BG2701">
        <v>0</v>
      </c>
      <c r="BH2701" s="6">
        <f>Grandview_Inventory[[#This Row],[land_extract]]*Lookups!$B$3</f>
        <v>47528.228511015397</v>
      </c>
      <c r="BI2701" s="6">
        <f>IF(Grandview_Inventory[[#This Row],[bldg_style]]="",0,Lookups!$B$2)</f>
        <v>0</v>
      </c>
      <c r="BJ2701" s="6">
        <f>_xlfn.IFNA(VLOOKUP(Grandview_Inventory[[#This Row],[quality]],Lookups!$H$2:$J$14,3,FALSE),0)</f>
        <v>0</v>
      </c>
      <c r="BK2701" s="6">
        <f>_xlfn.IFNA(VLOOKUP(Grandview_Inventory[[#This Row],[condition]],Lookups!$H$17:$J$24,3,FALSE),0)</f>
        <v>0</v>
      </c>
      <c r="BL2701" s="6">
        <f>Grandview_Inventory[[#This Row],[Eff_Age]]*Lookups!$B$14</f>
        <v>0</v>
      </c>
      <c r="BM2701" s="6">
        <f>Grandview_Inventory[[#This Row],[living_area]]*Lookups!$B$15</f>
        <v>0</v>
      </c>
      <c r="BN2701" s="6">
        <f>Grandview_Inventory[[#This Row],[Fin BSMT]]*Lookups!$B$16</f>
        <v>0</v>
      </c>
      <c r="BO2701" s="6">
        <f>(Grandview_Inventory[[#This Row],[att_gar]]+Grandview_Inventory[[#This Row],[bltin_gar]])*Lookups!$B$17</f>
        <v>0</v>
      </c>
      <c r="BP2701" s="6">
        <f>Grandview_Inventory[[#This Row],[Plumbing Fixtures]]*Lookups!$B$18</f>
        <v>0</v>
      </c>
      <c r="BQ2701" s="6">
        <f>Grandview_Inventory[[#This Row],[detatched_value]]*Lookups!$B$19</f>
        <v>0</v>
      </c>
      <c r="BR2701" s="6">
        <f>SUM(Grandview_Inventory[[#This Row],[Intercept]:[det_value]])*Grandview_Inventory[[#This Row],[res_pct]]</f>
        <v>0</v>
      </c>
      <c r="BS2701" s="6">
        <f>Grandview_Inventory[[#This Row],[land_value]]</f>
        <v>47528.228511015397</v>
      </c>
      <c r="BT2701" s="4">
        <f>_xlfn.IFNA(VLOOKUP(Grandview_Inventory[[#This Row],[quality]],Lookups!$A$26:$C$33,3,FALSE),1)</f>
        <v>1</v>
      </c>
      <c r="BU2701" s="4">
        <f>_xlfn.IFNA(VLOOKUP(Grandview_Inventory[[#This Row],[condition]],Lookups!$A$37:$C$44,3,FALSE),1)</f>
        <v>1</v>
      </c>
      <c r="BV2701" s="4">
        <f>IF(Grandview_Inventory[[#This Row],[bldg_style]]="",1,_xlfn.IFNA(VLOOKUP(Grandview_Inventory[[#This Row],[decade]],Lookups!$F$29:$H$43,3,FALSE),1))</f>
        <v>1</v>
      </c>
      <c r="BW2701" s="4">
        <f>_xlfn.IFNA(VLOOKUP(Grandview_Inventory[[#This Row],[living_area_range]],Lookups!$F$47:$H$56,3,FALSE),1)</f>
        <v>1</v>
      </c>
      <c r="BX2701" s="4">
        <f>AVERAGE(Grandview_Inventory[[#This Row],[qual_adj]:[size_adj]])</f>
        <v>1</v>
      </c>
      <c r="BY2701" s="6">
        <f>IF(Grandview_Inventory[[#This Row],[pre_res]]&lt;0,0,Grandview_Inventory[[#This Row],[pre_res]]*Grandview_Inventory[[#This Row],[overall_adj]])</f>
        <v>0</v>
      </c>
      <c r="BZ2701" s="6">
        <f>(Grandview_Inventory[[#This Row],[sum_land]]-IF(Grandview_Inventory[[#This Row],[no_utilities]]=1,12000,0))/IF(Grandview_Inventory[[#This Row],[unbuildable]]=1,2,1)</f>
        <v>35528.228511015397</v>
      </c>
      <c r="CA2701">
        <f>IF(ROUND(Grandview_Inventory[[#This Row],[adj_land]]*Lookups!$M$28,-2)&lt;Grandview_Inventory[[#This Row],[min_land]],Grandview_Inventory[[#This Row],[min_land]],ROUND(Grandview_Inventory[[#This Row],[adj_land]]*Lookups!$M$28,-2))</f>
        <v>33800</v>
      </c>
      <c r="CB2701">
        <f>ROUND(Grandview_Inventory[[#This Row],[det_value]]*Lookups!$M$28,-2)</f>
        <v>0</v>
      </c>
      <c r="CC270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1">
        <f>Grandview_Inventory[[#This Row],[final_det]]+Grandview_Inventory[[#This Row],[final_res]]</f>
        <v>0</v>
      </c>
      <c r="CE2701">
        <f>Grandview_Inventory[[#This Row],[final_land]]+Grandview_Inventory[[#This Row],[final_imp]]+Grandview_Inventory[[#This Row],[crop_value]]</f>
        <v>33800</v>
      </c>
      <c r="CG2701" t="str">
        <f t="shared" si="42"/>
        <v>update valuation set market_land =33800, market_bldg=0, market_total =33800, market_mdno =401, market_date ='9/10/2023' where link_id = (select link_id from parcel where parcel_year = '2024' and parcel_id = '23092243485');</v>
      </c>
    </row>
    <row r="2702" spans="1:85" x14ac:dyDescent="0.25">
      <c r="A2702">
        <v>23092243486</v>
      </c>
      <c r="B2702">
        <v>0.2</v>
      </c>
      <c r="C2702">
        <v>8704</v>
      </c>
      <c r="D2702" t="s">
        <v>129</v>
      </c>
      <c r="E2702" t="s">
        <v>53</v>
      </c>
      <c r="F2702" t="s">
        <v>53</v>
      </c>
      <c r="G2702">
        <v>4</v>
      </c>
      <c r="H2702" t="s">
        <v>54</v>
      </c>
      <c r="I2702">
        <v>0</v>
      </c>
      <c r="J2702">
        <v>11700</v>
      </c>
      <c r="K2702">
        <v>0.2</v>
      </c>
      <c r="L270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702">
        <v>0</v>
      </c>
      <c r="N2702">
        <v>0</v>
      </c>
      <c r="O2702">
        <v>1</v>
      </c>
      <c r="P2702">
        <v>13398.7528</v>
      </c>
      <c r="Q2702">
        <v>63903</v>
      </c>
      <c r="R2702">
        <f>(Grandview_Inventory[[#This Row],[ln_acres]]*Grandview_Inventory[[#This Row],[coeff]])+Grandview_Inventory[[#This Row],[const]]</f>
        <v>42338.539264347448</v>
      </c>
      <c r="AY2702">
        <v>0</v>
      </c>
      <c r="AZ2702">
        <v>0</v>
      </c>
      <c r="BE2702">
        <v>0</v>
      </c>
      <c r="BF2702">
        <v>3000</v>
      </c>
      <c r="BG2702">
        <v>0</v>
      </c>
      <c r="BH2702" s="6">
        <f>Grandview_Inventory[[#This Row],[land_extract]]*Lookups!$B$3</f>
        <v>49167.631333630678</v>
      </c>
      <c r="BI2702" s="6">
        <f>IF(Grandview_Inventory[[#This Row],[bldg_style]]="",0,Lookups!$B$2)</f>
        <v>0</v>
      </c>
      <c r="BJ2702" s="6">
        <f>_xlfn.IFNA(VLOOKUP(Grandview_Inventory[[#This Row],[quality]],Lookups!$H$2:$J$14,3,FALSE),0)</f>
        <v>0</v>
      </c>
      <c r="BK2702" s="6">
        <f>_xlfn.IFNA(VLOOKUP(Grandview_Inventory[[#This Row],[condition]],Lookups!$H$17:$J$24,3,FALSE),0)</f>
        <v>0</v>
      </c>
      <c r="BL2702" s="6">
        <f>Grandview_Inventory[[#This Row],[Eff_Age]]*Lookups!$B$14</f>
        <v>0</v>
      </c>
      <c r="BM2702" s="6">
        <f>Grandview_Inventory[[#This Row],[living_area]]*Lookups!$B$15</f>
        <v>0</v>
      </c>
      <c r="BN2702" s="6">
        <f>Grandview_Inventory[[#This Row],[Fin BSMT]]*Lookups!$B$16</f>
        <v>0</v>
      </c>
      <c r="BO2702" s="6">
        <f>(Grandview_Inventory[[#This Row],[att_gar]]+Grandview_Inventory[[#This Row],[bltin_gar]])*Lookups!$B$17</f>
        <v>0</v>
      </c>
      <c r="BP2702" s="6">
        <f>Grandview_Inventory[[#This Row],[Plumbing Fixtures]]*Lookups!$B$18</f>
        <v>0</v>
      </c>
      <c r="BQ2702" s="6">
        <f>Grandview_Inventory[[#This Row],[detatched_value]]*Lookups!$B$19</f>
        <v>0</v>
      </c>
      <c r="BR2702" s="6">
        <f>SUM(Grandview_Inventory[[#This Row],[Intercept]:[det_value]])*Grandview_Inventory[[#This Row],[res_pct]]</f>
        <v>0</v>
      </c>
      <c r="BS2702" s="6">
        <f>Grandview_Inventory[[#This Row],[land_value]]</f>
        <v>49167.631333630678</v>
      </c>
      <c r="BT2702" s="4">
        <f>_xlfn.IFNA(VLOOKUP(Grandview_Inventory[[#This Row],[quality]],Lookups!$A$26:$C$33,3,FALSE),1)</f>
        <v>1</v>
      </c>
      <c r="BU2702" s="4">
        <f>_xlfn.IFNA(VLOOKUP(Grandview_Inventory[[#This Row],[condition]],Lookups!$A$37:$C$44,3,FALSE),1)</f>
        <v>1</v>
      </c>
      <c r="BV2702" s="4">
        <f>IF(Grandview_Inventory[[#This Row],[bldg_style]]="",1,_xlfn.IFNA(VLOOKUP(Grandview_Inventory[[#This Row],[decade]],Lookups!$F$29:$H$43,3,FALSE),1))</f>
        <v>1</v>
      </c>
      <c r="BW2702" s="4">
        <f>_xlfn.IFNA(VLOOKUP(Grandview_Inventory[[#This Row],[living_area_range]],Lookups!$F$47:$H$56,3,FALSE),1)</f>
        <v>1</v>
      </c>
      <c r="BX2702" s="4">
        <f>AVERAGE(Grandview_Inventory[[#This Row],[qual_adj]:[size_adj]])</f>
        <v>1</v>
      </c>
      <c r="BY2702" s="6">
        <f>IF(Grandview_Inventory[[#This Row],[pre_res]]&lt;0,0,Grandview_Inventory[[#This Row],[pre_res]]*Grandview_Inventory[[#This Row],[overall_adj]])</f>
        <v>0</v>
      </c>
      <c r="BZ2702" s="6">
        <f>(Grandview_Inventory[[#This Row],[sum_land]]-IF(Grandview_Inventory[[#This Row],[no_utilities]]=1,12000,0))/IF(Grandview_Inventory[[#This Row],[unbuildable]]=1,2,1)</f>
        <v>37167.631333630678</v>
      </c>
      <c r="CA2702">
        <f>IF(ROUND(Grandview_Inventory[[#This Row],[adj_land]]*Lookups!$M$28,-2)&lt;Grandview_Inventory[[#This Row],[min_land]],Grandview_Inventory[[#This Row],[min_land]],ROUND(Grandview_Inventory[[#This Row],[adj_land]]*Lookups!$M$28,-2))</f>
        <v>35300</v>
      </c>
      <c r="CB2702">
        <f>ROUND(Grandview_Inventory[[#This Row],[det_value]]*Lookups!$M$28,-2)</f>
        <v>0</v>
      </c>
      <c r="CC270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2">
        <f>Grandview_Inventory[[#This Row],[final_det]]+Grandview_Inventory[[#This Row],[final_res]]</f>
        <v>0</v>
      </c>
      <c r="CE2702">
        <f>Grandview_Inventory[[#This Row],[final_land]]+Grandview_Inventory[[#This Row],[final_imp]]+Grandview_Inventory[[#This Row],[crop_value]]</f>
        <v>35300</v>
      </c>
      <c r="CG2702" t="str">
        <f t="shared" si="42"/>
        <v>update valuation set market_land =35300, market_bldg=0, market_total =35300, market_mdno =401, market_date ='9/10/2023' where link_id = (select link_id from parcel where parcel_year = '2024' and parcel_id = '23092243486');</v>
      </c>
    </row>
    <row r="2703" spans="1:85" x14ac:dyDescent="0.25">
      <c r="A2703">
        <v>23092243487</v>
      </c>
      <c r="B2703">
        <v>0.2</v>
      </c>
      <c r="C2703">
        <v>8917</v>
      </c>
      <c r="D2703" t="s">
        <v>129</v>
      </c>
      <c r="E2703" t="s">
        <v>53</v>
      </c>
      <c r="F2703" t="s">
        <v>53</v>
      </c>
      <c r="G2703">
        <v>4</v>
      </c>
      <c r="H2703" t="s">
        <v>54</v>
      </c>
      <c r="I2703">
        <v>0</v>
      </c>
      <c r="J2703">
        <v>11700</v>
      </c>
      <c r="K2703">
        <v>0.2</v>
      </c>
      <c r="L2703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703">
        <v>0</v>
      </c>
      <c r="N2703">
        <v>0</v>
      </c>
      <c r="O2703">
        <v>1</v>
      </c>
      <c r="P2703">
        <v>13398.7528</v>
      </c>
      <c r="Q2703">
        <v>63903</v>
      </c>
      <c r="R2703">
        <f>(Grandview_Inventory[[#This Row],[ln_acres]]*Grandview_Inventory[[#This Row],[coeff]])+Grandview_Inventory[[#This Row],[const]]</f>
        <v>42338.539264347448</v>
      </c>
      <c r="AY2703">
        <v>0</v>
      </c>
      <c r="AZ2703">
        <v>0</v>
      </c>
      <c r="BE2703">
        <v>0</v>
      </c>
      <c r="BF2703">
        <v>3000</v>
      </c>
      <c r="BG2703">
        <v>0</v>
      </c>
      <c r="BH2703" s="6">
        <f>Grandview_Inventory[[#This Row],[land_extract]]*Lookups!$B$3</f>
        <v>49167.631333630678</v>
      </c>
      <c r="BI2703" s="6">
        <f>IF(Grandview_Inventory[[#This Row],[bldg_style]]="",0,Lookups!$B$2)</f>
        <v>0</v>
      </c>
      <c r="BJ2703" s="6">
        <f>_xlfn.IFNA(VLOOKUP(Grandview_Inventory[[#This Row],[quality]],Lookups!$H$2:$J$14,3,FALSE),0)</f>
        <v>0</v>
      </c>
      <c r="BK2703" s="6">
        <f>_xlfn.IFNA(VLOOKUP(Grandview_Inventory[[#This Row],[condition]],Lookups!$H$17:$J$24,3,FALSE),0)</f>
        <v>0</v>
      </c>
      <c r="BL2703" s="6">
        <f>Grandview_Inventory[[#This Row],[Eff_Age]]*Lookups!$B$14</f>
        <v>0</v>
      </c>
      <c r="BM2703" s="6">
        <f>Grandview_Inventory[[#This Row],[living_area]]*Lookups!$B$15</f>
        <v>0</v>
      </c>
      <c r="BN2703" s="6">
        <f>Grandview_Inventory[[#This Row],[Fin BSMT]]*Lookups!$B$16</f>
        <v>0</v>
      </c>
      <c r="BO2703" s="6">
        <f>(Grandview_Inventory[[#This Row],[att_gar]]+Grandview_Inventory[[#This Row],[bltin_gar]])*Lookups!$B$17</f>
        <v>0</v>
      </c>
      <c r="BP2703" s="6">
        <f>Grandview_Inventory[[#This Row],[Plumbing Fixtures]]*Lookups!$B$18</f>
        <v>0</v>
      </c>
      <c r="BQ2703" s="6">
        <f>Grandview_Inventory[[#This Row],[detatched_value]]*Lookups!$B$19</f>
        <v>0</v>
      </c>
      <c r="BR2703" s="6">
        <f>SUM(Grandview_Inventory[[#This Row],[Intercept]:[det_value]])*Grandview_Inventory[[#This Row],[res_pct]]</f>
        <v>0</v>
      </c>
      <c r="BS2703" s="6">
        <f>Grandview_Inventory[[#This Row],[land_value]]</f>
        <v>49167.631333630678</v>
      </c>
      <c r="BT2703" s="4">
        <f>_xlfn.IFNA(VLOOKUP(Grandview_Inventory[[#This Row],[quality]],Lookups!$A$26:$C$33,3,FALSE),1)</f>
        <v>1</v>
      </c>
      <c r="BU2703" s="4">
        <f>_xlfn.IFNA(VLOOKUP(Grandview_Inventory[[#This Row],[condition]],Lookups!$A$37:$C$44,3,FALSE),1)</f>
        <v>1</v>
      </c>
      <c r="BV2703" s="4">
        <f>IF(Grandview_Inventory[[#This Row],[bldg_style]]="",1,_xlfn.IFNA(VLOOKUP(Grandview_Inventory[[#This Row],[decade]],Lookups!$F$29:$H$43,3,FALSE),1))</f>
        <v>1</v>
      </c>
      <c r="BW2703" s="4">
        <f>_xlfn.IFNA(VLOOKUP(Grandview_Inventory[[#This Row],[living_area_range]],Lookups!$F$47:$H$56,3,FALSE),1)</f>
        <v>1</v>
      </c>
      <c r="BX2703" s="4">
        <f>AVERAGE(Grandview_Inventory[[#This Row],[qual_adj]:[size_adj]])</f>
        <v>1</v>
      </c>
      <c r="BY2703" s="6">
        <f>IF(Grandview_Inventory[[#This Row],[pre_res]]&lt;0,0,Grandview_Inventory[[#This Row],[pre_res]]*Grandview_Inventory[[#This Row],[overall_adj]])</f>
        <v>0</v>
      </c>
      <c r="BZ2703" s="6">
        <f>(Grandview_Inventory[[#This Row],[sum_land]]-IF(Grandview_Inventory[[#This Row],[no_utilities]]=1,12000,0))/IF(Grandview_Inventory[[#This Row],[unbuildable]]=1,2,1)</f>
        <v>37167.631333630678</v>
      </c>
      <c r="CA2703">
        <f>IF(ROUND(Grandview_Inventory[[#This Row],[adj_land]]*Lookups!$M$28,-2)&lt;Grandview_Inventory[[#This Row],[min_land]],Grandview_Inventory[[#This Row],[min_land]],ROUND(Grandview_Inventory[[#This Row],[adj_land]]*Lookups!$M$28,-2))</f>
        <v>35300</v>
      </c>
      <c r="CB2703">
        <f>ROUND(Grandview_Inventory[[#This Row],[det_value]]*Lookups!$M$28,-2)</f>
        <v>0</v>
      </c>
      <c r="CC270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3">
        <f>Grandview_Inventory[[#This Row],[final_det]]+Grandview_Inventory[[#This Row],[final_res]]</f>
        <v>0</v>
      </c>
      <c r="CE2703">
        <f>Grandview_Inventory[[#This Row],[final_land]]+Grandview_Inventory[[#This Row],[final_imp]]+Grandview_Inventory[[#This Row],[crop_value]]</f>
        <v>35300</v>
      </c>
      <c r="CG2703" t="str">
        <f t="shared" si="42"/>
        <v>update valuation set market_land =35300, market_bldg=0, market_total =35300, market_mdno =401, market_date ='9/10/2023' where link_id = (select link_id from parcel where parcel_year = '2024' and parcel_id = '23092243487');</v>
      </c>
    </row>
    <row r="2704" spans="1:85" x14ac:dyDescent="0.25">
      <c r="A2704">
        <v>23092243488</v>
      </c>
      <c r="B2704">
        <v>0.19</v>
      </c>
      <c r="C2704">
        <v>8279</v>
      </c>
      <c r="D2704" t="s">
        <v>129</v>
      </c>
      <c r="E2704" t="s">
        <v>53</v>
      </c>
      <c r="F2704" t="s">
        <v>53</v>
      </c>
      <c r="G2704">
        <v>4</v>
      </c>
      <c r="H2704" t="s">
        <v>54</v>
      </c>
      <c r="I2704">
        <v>0</v>
      </c>
      <c r="J2704">
        <v>11700</v>
      </c>
      <c r="K2704">
        <v>0.19</v>
      </c>
      <c r="L270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04">
        <v>0</v>
      </c>
      <c r="N2704">
        <v>0</v>
      </c>
      <c r="O2704">
        <v>1</v>
      </c>
      <c r="P2704">
        <v>13398.7528</v>
      </c>
      <c r="Q2704">
        <v>63903</v>
      </c>
      <c r="R2704">
        <f>(Grandview_Inventory[[#This Row],[ln_acres]]*Grandview_Inventory[[#This Row],[coeff]])+Grandview_Inventory[[#This Row],[const]]</f>
        <v>41651.273092551026</v>
      </c>
      <c r="AY2704">
        <v>0</v>
      </c>
      <c r="AZ2704">
        <v>0</v>
      </c>
      <c r="BE2704">
        <v>0</v>
      </c>
      <c r="BF2704">
        <v>3000</v>
      </c>
      <c r="BG2704">
        <v>0</v>
      </c>
      <c r="BH2704" s="6">
        <f>Grandview_Inventory[[#This Row],[land_extract]]*Lookups!$B$3</f>
        <v>48369.510983942157</v>
      </c>
      <c r="BI2704" s="6">
        <f>IF(Grandview_Inventory[[#This Row],[bldg_style]]="",0,Lookups!$B$2)</f>
        <v>0</v>
      </c>
      <c r="BJ2704" s="6">
        <f>_xlfn.IFNA(VLOOKUP(Grandview_Inventory[[#This Row],[quality]],Lookups!$H$2:$J$14,3,FALSE),0)</f>
        <v>0</v>
      </c>
      <c r="BK2704" s="6">
        <f>_xlfn.IFNA(VLOOKUP(Grandview_Inventory[[#This Row],[condition]],Lookups!$H$17:$J$24,3,FALSE),0)</f>
        <v>0</v>
      </c>
      <c r="BL2704" s="6">
        <f>Grandview_Inventory[[#This Row],[Eff_Age]]*Lookups!$B$14</f>
        <v>0</v>
      </c>
      <c r="BM2704" s="6">
        <f>Grandview_Inventory[[#This Row],[living_area]]*Lookups!$B$15</f>
        <v>0</v>
      </c>
      <c r="BN2704" s="6">
        <f>Grandview_Inventory[[#This Row],[Fin BSMT]]*Lookups!$B$16</f>
        <v>0</v>
      </c>
      <c r="BO2704" s="6">
        <f>(Grandview_Inventory[[#This Row],[att_gar]]+Grandview_Inventory[[#This Row],[bltin_gar]])*Lookups!$B$17</f>
        <v>0</v>
      </c>
      <c r="BP2704" s="6">
        <f>Grandview_Inventory[[#This Row],[Plumbing Fixtures]]*Lookups!$B$18</f>
        <v>0</v>
      </c>
      <c r="BQ2704" s="6">
        <f>Grandview_Inventory[[#This Row],[detatched_value]]*Lookups!$B$19</f>
        <v>0</v>
      </c>
      <c r="BR2704" s="6">
        <f>SUM(Grandview_Inventory[[#This Row],[Intercept]:[det_value]])*Grandview_Inventory[[#This Row],[res_pct]]</f>
        <v>0</v>
      </c>
      <c r="BS2704" s="6">
        <f>Grandview_Inventory[[#This Row],[land_value]]</f>
        <v>48369.510983942157</v>
      </c>
      <c r="BT2704" s="4">
        <f>_xlfn.IFNA(VLOOKUP(Grandview_Inventory[[#This Row],[quality]],Lookups!$A$26:$C$33,3,FALSE),1)</f>
        <v>1</v>
      </c>
      <c r="BU2704" s="4">
        <f>_xlfn.IFNA(VLOOKUP(Grandview_Inventory[[#This Row],[condition]],Lookups!$A$37:$C$44,3,FALSE),1)</f>
        <v>1</v>
      </c>
      <c r="BV2704" s="4">
        <f>IF(Grandview_Inventory[[#This Row],[bldg_style]]="",1,_xlfn.IFNA(VLOOKUP(Grandview_Inventory[[#This Row],[decade]],Lookups!$F$29:$H$43,3,FALSE),1))</f>
        <v>1</v>
      </c>
      <c r="BW2704" s="4">
        <f>_xlfn.IFNA(VLOOKUP(Grandview_Inventory[[#This Row],[living_area_range]],Lookups!$F$47:$H$56,3,FALSE),1)</f>
        <v>1</v>
      </c>
      <c r="BX2704" s="4">
        <f>AVERAGE(Grandview_Inventory[[#This Row],[qual_adj]:[size_adj]])</f>
        <v>1</v>
      </c>
      <c r="BY2704" s="6">
        <f>IF(Grandview_Inventory[[#This Row],[pre_res]]&lt;0,0,Grandview_Inventory[[#This Row],[pre_res]]*Grandview_Inventory[[#This Row],[overall_adj]])</f>
        <v>0</v>
      </c>
      <c r="BZ2704" s="6">
        <f>(Grandview_Inventory[[#This Row],[sum_land]]-IF(Grandview_Inventory[[#This Row],[no_utilities]]=1,12000,0))/IF(Grandview_Inventory[[#This Row],[unbuildable]]=1,2,1)</f>
        <v>36369.510983942157</v>
      </c>
      <c r="CA2704">
        <f>IF(ROUND(Grandview_Inventory[[#This Row],[adj_land]]*Lookups!$M$28,-2)&lt;Grandview_Inventory[[#This Row],[min_land]],Grandview_Inventory[[#This Row],[min_land]],ROUND(Grandview_Inventory[[#This Row],[adj_land]]*Lookups!$M$28,-2))</f>
        <v>34600</v>
      </c>
      <c r="CB2704">
        <f>ROUND(Grandview_Inventory[[#This Row],[det_value]]*Lookups!$M$28,-2)</f>
        <v>0</v>
      </c>
      <c r="CC270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4">
        <f>Grandview_Inventory[[#This Row],[final_det]]+Grandview_Inventory[[#This Row],[final_res]]</f>
        <v>0</v>
      </c>
      <c r="CE2704">
        <f>Grandview_Inventory[[#This Row],[final_land]]+Grandview_Inventory[[#This Row],[final_imp]]+Grandview_Inventory[[#This Row],[crop_value]]</f>
        <v>34600</v>
      </c>
      <c r="CG2704" t="str">
        <f t="shared" si="42"/>
        <v>update valuation set market_land =34600, market_bldg=0, market_total =34600, market_mdno =401, market_date ='9/10/2023' where link_id = (select link_id from parcel where parcel_year = '2024' and parcel_id = '23092243488');</v>
      </c>
    </row>
    <row r="2705" spans="1:85" x14ac:dyDescent="0.25">
      <c r="A2705">
        <v>23092243489</v>
      </c>
      <c r="B2705">
        <v>0.17</v>
      </c>
      <c r="C2705">
        <v>7593</v>
      </c>
      <c r="D2705" t="s">
        <v>129</v>
      </c>
      <c r="E2705" t="s">
        <v>53</v>
      </c>
      <c r="F2705" t="s">
        <v>53</v>
      </c>
      <c r="G2705">
        <v>4</v>
      </c>
      <c r="H2705" t="s">
        <v>54</v>
      </c>
      <c r="I2705">
        <v>0</v>
      </c>
      <c r="J2705">
        <v>11400</v>
      </c>
      <c r="K2705">
        <v>0.17</v>
      </c>
      <c r="L2705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705">
        <v>0</v>
      </c>
      <c r="N2705">
        <v>0</v>
      </c>
      <c r="O2705">
        <v>1</v>
      </c>
      <c r="P2705">
        <v>13398.7528</v>
      </c>
      <c r="Q2705">
        <v>63903</v>
      </c>
      <c r="R2705">
        <f>(Grandview_Inventory[[#This Row],[ln_acres]]*Grandview_Inventory[[#This Row],[coeff]])+Grandview_Inventory[[#This Row],[const]]</f>
        <v>40160.988302686128</v>
      </c>
      <c r="AY2705">
        <v>0</v>
      </c>
      <c r="AZ2705">
        <v>0</v>
      </c>
      <c r="BE2705">
        <v>0</v>
      </c>
      <c r="BF2705">
        <v>3000</v>
      </c>
      <c r="BG2705">
        <v>0</v>
      </c>
      <c r="BH2705" s="6">
        <f>Grandview_Inventory[[#This Row],[land_extract]]*Lookups!$B$3</f>
        <v>46638.847281240982</v>
      </c>
      <c r="BI2705" s="6">
        <f>IF(Grandview_Inventory[[#This Row],[bldg_style]]="",0,Lookups!$B$2)</f>
        <v>0</v>
      </c>
      <c r="BJ2705" s="6">
        <f>_xlfn.IFNA(VLOOKUP(Grandview_Inventory[[#This Row],[quality]],Lookups!$H$2:$J$14,3,FALSE),0)</f>
        <v>0</v>
      </c>
      <c r="BK2705" s="6">
        <f>_xlfn.IFNA(VLOOKUP(Grandview_Inventory[[#This Row],[condition]],Lookups!$H$17:$J$24,3,FALSE),0)</f>
        <v>0</v>
      </c>
      <c r="BL2705" s="6">
        <f>Grandview_Inventory[[#This Row],[Eff_Age]]*Lookups!$B$14</f>
        <v>0</v>
      </c>
      <c r="BM2705" s="6">
        <f>Grandview_Inventory[[#This Row],[living_area]]*Lookups!$B$15</f>
        <v>0</v>
      </c>
      <c r="BN2705" s="6">
        <f>Grandview_Inventory[[#This Row],[Fin BSMT]]*Lookups!$B$16</f>
        <v>0</v>
      </c>
      <c r="BO2705" s="6">
        <f>(Grandview_Inventory[[#This Row],[att_gar]]+Grandview_Inventory[[#This Row],[bltin_gar]])*Lookups!$B$17</f>
        <v>0</v>
      </c>
      <c r="BP2705" s="6">
        <f>Grandview_Inventory[[#This Row],[Plumbing Fixtures]]*Lookups!$B$18</f>
        <v>0</v>
      </c>
      <c r="BQ2705" s="6">
        <f>Grandview_Inventory[[#This Row],[detatched_value]]*Lookups!$B$19</f>
        <v>0</v>
      </c>
      <c r="BR2705" s="6">
        <f>SUM(Grandview_Inventory[[#This Row],[Intercept]:[det_value]])*Grandview_Inventory[[#This Row],[res_pct]]</f>
        <v>0</v>
      </c>
      <c r="BS2705" s="6">
        <f>Grandview_Inventory[[#This Row],[land_value]]</f>
        <v>46638.847281240982</v>
      </c>
      <c r="BT2705" s="4">
        <f>_xlfn.IFNA(VLOOKUP(Grandview_Inventory[[#This Row],[quality]],Lookups!$A$26:$C$33,3,FALSE),1)</f>
        <v>1</v>
      </c>
      <c r="BU2705" s="4">
        <f>_xlfn.IFNA(VLOOKUP(Grandview_Inventory[[#This Row],[condition]],Lookups!$A$37:$C$44,3,FALSE),1)</f>
        <v>1</v>
      </c>
      <c r="BV2705" s="4">
        <f>IF(Grandview_Inventory[[#This Row],[bldg_style]]="",1,_xlfn.IFNA(VLOOKUP(Grandview_Inventory[[#This Row],[decade]],Lookups!$F$29:$H$43,3,FALSE),1))</f>
        <v>1</v>
      </c>
      <c r="BW2705" s="4">
        <f>_xlfn.IFNA(VLOOKUP(Grandview_Inventory[[#This Row],[living_area_range]],Lookups!$F$47:$H$56,3,FALSE),1)</f>
        <v>1</v>
      </c>
      <c r="BX2705" s="4">
        <f>AVERAGE(Grandview_Inventory[[#This Row],[qual_adj]:[size_adj]])</f>
        <v>1</v>
      </c>
      <c r="BY2705" s="6">
        <f>IF(Grandview_Inventory[[#This Row],[pre_res]]&lt;0,0,Grandview_Inventory[[#This Row],[pre_res]]*Grandview_Inventory[[#This Row],[overall_adj]])</f>
        <v>0</v>
      </c>
      <c r="BZ2705" s="6">
        <f>(Grandview_Inventory[[#This Row],[sum_land]]-IF(Grandview_Inventory[[#This Row],[no_utilities]]=1,12000,0))/IF(Grandview_Inventory[[#This Row],[unbuildable]]=1,2,1)</f>
        <v>34638.847281240982</v>
      </c>
      <c r="CA2705">
        <f>IF(ROUND(Grandview_Inventory[[#This Row],[adj_land]]*Lookups!$M$28,-2)&lt;Grandview_Inventory[[#This Row],[min_land]],Grandview_Inventory[[#This Row],[min_land]],ROUND(Grandview_Inventory[[#This Row],[adj_land]]*Lookups!$M$28,-2))</f>
        <v>32900</v>
      </c>
      <c r="CB2705">
        <f>ROUND(Grandview_Inventory[[#This Row],[det_value]]*Lookups!$M$28,-2)</f>
        <v>0</v>
      </c>
      <c r="CC270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5">
        <f>Grandview_Inventory[[#This Row],[final_det]]+Grandview_Inventory[[#This Row],[final_res]]</f>
        <v>0</v>
      </c>
      <c r="CE2705">
        <f>Grandview_Inventory[[#This Row],[final_land]]+Grandview_Inventory[[#This Row],[final_imp]]+Grandview_Inventory[[#This Row],[crop_value]]</f>
        <v>32900</v>
      </c>
      <c r="CG2705" t="str">
        <f t="shared" si="42"/>
        <v>update valuation set market_land =32900, market_bldg=0, market_total =32900, market_mdno =401, market_date ='9/10/2023' where link_id = (select link_id from parcel where parcel_year = '2024' and parcel_id = '23092243489');</v>
      </c>
    </row>
    <row r="2706" spans="1:85" x14ac:dyDescent="0.25">
      <c r="A2706">
        <v>23092243490</v>
      </c>
      <c r="B2706">
        <v>0.21</v>
      </c>
      <c r="C2706">
        <v>9133</v>
      </c>
      <c r="D2706" t="s">
        <v>129</v>
      </c>
      <c r="E2706" t="s">
        <v>53</v>
      </c>
      <c r="F2706" t="s">
        <v>53</v>
      </c>
      <c r="G2706">
        <v>4</v>
      </c>
      <c r="H2706" t="s">
        <v>54</v>
      </c>
      <c r="I2706">
        <v>0</v>
      </c>
      <c r="J2706">
        <v>11900</v>
      </c>
      <c r="K2706">
        <v>0.21</v>
      </c>
      <c r="L2706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706">
        <v>0</v>
      </c>
      <c r="N2706">
        <v>0</v>
      </c>
      <c r="O2706">
        <v>1</v>
      </c>
      <c r="P2706">
        <v>13398.7528</v>
      </c>
      <c r="Q2706">
        <v>63903</v>
      </c>
      <c r="R2706">
        <f>(Grandview_Inventory[[#This Row],[ln_acres]]*Grandview_Inventory[[#This Row],[coeff]])+Grandview_Inventory[[#This Row],[const]]</f>
        <v>42992.266613125081</v>
      </c>
      <c r="AY2706">
        <v>0</v>
      </c>
      <c r="AZ2706">
        <v>0</v>
      </c>
      <c r="BE2706">
        <v>0</v>
      </c>
      <c r="BF2706">
        <v>3000</v>
      </c>
      <c r="BG2706">
        <v>0</v>
      </c>
      <c r="BH2706" s="6">
        <f>Grandview_Inventory[[#This Row],[land_extract]]*Lookups!$B$3</f>
        <v>49926.8031387023</v>
      </c>
      <c r="BI2706" s="6">
        <f>IF(Grandview_Inventory[[#This Row],[bldg_style]]="",0,Lookups!$B$2)</f>
        <v>0</v>
      </c>
      <c r="BJ2706" s="6">
        <f>_xlfn.IFNA(VLOOKUP(Grandview_Inventory[[#This Row],[quality]],Lookups!$H$2:$J$14,3,FALSE),0)</f>
        <v>0</v>
      </c>
      <c r="BK2706" s="6">
        <f>_xlfn.IFNA(VLOOKUP(Grandview_Inventory[[#This Row],[condition]],Lookups!$H$17:$J$24,3,FALSE),0)</f>
        <v>0</v>
      </c>
      <c r="BL2706" s="6">
        <f>Grandview_Inventory[[#This Row],[Eff_Age]]*Lookups!$B$14</f>
        <v>0</v>
      </c>
      <c r="BM2706" s="6">
        <f>Grandview_Inventory[[#This Row],[living_area]]*Lookups!$B$15</f>
        <v>0</v>
      </c>
      <c r="BN2706" s="6">
        <f>Grandview_Inventory[[#This Row],[Fin BSMT]]*Lookups!$B$16</f>
        <v>0</v>
      </c>
      <c r="BO2706" s="6">
        <f>(Grandview_Inventory[[#This Row],[att_gar]]+Grandview_Inventory[[#This Row],[bltin_gar]])*Lookups!$B$17</f>
        <v>0</v>
      </c>
      <c r="BP2706" s="6">
        <f>Grandview_Inventory[[#This Row],[Plumbing Fixtures]]*Lookups!$B$18</f>
        <v>0</v>
      </c>
      <c r="BQ2706" s="6">
        <f>Grandview_Inventory[[#This Row],[detatched_value]]*Lookups!$B$19</f>
        <v>0</v>
      </c>
      <c r="BR2706" s="6">
        <f>SUM(Grandview_Inventory[[#This Row],[Intercept]:[det_value]])*Grandview_Inventory[[#This Row],[res_pct]]</f>
        <v>0</v>
      </c>
      <c r="BS2706" s="6">
        <f>Grandview_Inventory[[#This Row],[land_value]]</f>
        <v>49926.8031387023</v>
      </c>
      <c r="BT2706" s="4">
        <f>_xlfn.IFNA(VLOOKUP(Grandview_Inventory[[#This Row],[quality]],Lookups!$A$26:$C$33,3,FALSE),1)</f>
        <v>1</v>
      </c>
      <c r="BU2706" s="4">
        <f>_xlfn.IFNA(VLOOKUP(Grandview_Inventory[[#This Row],[condition]],Lookups!$A$37:$C$44,3,FALSE),1)</f>
        <v>1</v>
      </c>
      <c r="BV2706" s="4">
        <f>IF(Grandview_Inventory[[#This Row],[bldg_style]]="",1,_xlfn.IFNA(VLOOKUP(Grandview_Inventory[[#This Row],[decade]],Lookups!$F$29:$H$43,3,FALSE),1))</f>
        <v>1</v>
      </c>
      <c r="BW2706" s="4">
        <f>_xlfn.IFNA(VLOOKUP(Grandview_Inventory[[#This Row],[living_area_range]],Lookups!$F$47:$H$56,3,FALSE),1)</f>
        <v>1</v>
      </c>
      <c r="BX2706" s="4">
        <f>AVERAGE(Grandview_Inventory[[#This Row],[qual_adj]:[size_adj]])</f>
        <v>1</v>
      </c>
      <c r="BY2706" s="6">
        <f>IF(Grandview_Inventory[[#This Row],[pre_res]]&lt;0,0,Grandview_Inventory[[#This Row],[pre_res]]*Grandview_Inventory[[#This Row],[overall_adj]])</f>
        <v>0</v>
      </c>
      <c r="BZ2706" s="6">
        <f>(Grandview_Inventory[[#This Row],[sum_land]]-IF(Grandview_Inventory[[#This Row],[no_utilities]]=1,12000,0))/IF(Grandview_Inventory[[#This Row],[unbuildable]]=1,2,1)</f>
        <v>37926.8031387023</v>
      </c>
      <c r="CA2706">
        <f>IF(ROUND(Grandview_Inventory[[#This Row],[adj_land]]*Lookups!$M$28,-2)&lt;Grandview_Inventory[[#This Row],[min_land]],Grandview_Inventory[[#This Row],[min_land]],ROUND(Grandview_Inventory[[#This Row],[adj_land]]*Lookups!$M$28,-2))</f>
        <v>36000</v>
      </c>
      <c r="CB2706">
        <f>ROUND(Grandview_Inventory[[#This Row],[det_value]]*Lookups!$M$28,-2)</f>
        <v>0</v>
      </c>
      <c r="CC270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6">
        <f>Grandview_Inventory[[#This Row],[final_det]]+Grandview_Inventory[[#This Row],[final_res]]</f>
        <v>0</v>
      </c>
      <c r="CE2706">
        <f>Grandview_Inventory[[#This Row],[final_land]]+Grandview_Inventory[[#This Row],[final_imp]]+Grandview_Inventory[[#This Row],[crop_value]]</f>
        <v>36000</v>
      </c>
      <c r="CG2706" t="str">
        <f t="shared" si="42"/>
        <v>update valuation set market_land =36000, market_bldg=0, market_total =36000, market_mdno =401, market_date ='9/10/2023' where link_id = (select link_id from parcel where parcel_year = '2024' and parcel_id = '23092243490');</v>
      </c>
    </row>
    <row r="2707" spans="1:85" x14ac:dyDescent="0.25">
      <c r="A2707">
        <v>23092243491</v>
      </c>
      <c r="B2707">
        <v>0.21</v>
      </c>
      <c r="C2707">
        <v>9289</v>
      </c>
      <c r="D2707" t="s">
        <v>129</v>
      </c>
      <c r="E2707" t="s">
        <v>53</v>
      </c>
      <c r="F2707" t="s">
        <v>53</v>
      </c>
      <c r="G2707">
        <v>4</v>
      </c>
      <c r="H2707" t="s">
        <v>54</v>
      </c>
      <c r="I2707">
        <v>0</v>
      </c>
      <c r="J2707">
        <v>11900</v>
      </c>
      <c r="K2707">
        <v>0.21</v>
      </c>
      <c r="L2707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707">
        <v>0</v>
      </c>
      <c r="N2707">
        <v>0</v>
      </c>
      <c r="O2707">
        <v>1</v>
      </c>
      <c r="P2707">
        <v>13398.7528</v>
      </c>
      <c r="Q2707">
        <v>63903</v>
      </c>
      <c r="R2707">
        <f>(Grandview_Inventory[[#This Row],[ln_acres]]*Grandview_Inventory[[#This Row],[coeff]])+Grandview_Inventory[[#This Row],[const]]</f>
        <v>42992.266613125081</v>
      </c>
      <c r="AY2707">
        <v>0</v>
      </c>
      <c r="AZ2707">
        <v>0</v>
      </c>
      <c r="BE2707">
        <v>0</v>
      </c>
      <c r="BF2707">
        <v>3000</v>
      </c>
      <c r="BG2707">
        <v>0</v>
      </c>
      <c r="BH2707" s="6">
        <f>Grandview_Inventory[[#This Row],[land_extract]]*Lookups!$B$3</f>
        <v>49926.8031387023</v>
      </c>
      <c r="BI2707" s="6">
        <f>IF(Grandview_Inventory[[#This Row],[bldg_style]]="",0,Lookups!$B$2)</f>
        <v>0</v>
      </c>
      <c r="BJ2707" s="6">
        <f>_xlfn.IFNA(VLOOKUP(Grandview_Inventory[[#This Row],[quality]],Lookups!$H$2:$J$14,3,FALSE),0)</f>
        <v>0</v>
      </c>
      <c r="BK2707" s="6">
        <f>_xlfn.IFNA(VLOOKUP(Grandview_Inventory[[#This Row],[condition]],Lookups!$H$17:$J$24,3,FALSE),0)</f>
        <v>0</v>
      </c>
      <c r="BL2707" s="6">
        <f>Grandview_Inventory[[#This Row],[Eff_Age]]*Lookups!$B$14</f>
        <v>0</v>
      </c>
      <c r="BM2707" s="6">
        <f>Grandview_Inventory[[#This Row],[living_area]]*Lookups!$B$15</f>
        <v>0</v>
      </c>
      <c r="BN2707" s="6">
        <f>Grandview_Inventory[[#This Row],[Fin BSMT]]*Lookups!$B$16</f>
        <v>0</v>
      </c>
      <c r="BO2707" s="6">
        <f>(Grandview_Inventory[[#This Row],[att_gar]]+Grandview_Inventory[[#This Row],[bltin_gar]])*Lookups!$B$17</f>
        <v>0</v>
      </c>
      <c r="BP2707" s="6">
        <f>Grandview_Inventory[[#This Row],[Plumbing Fixtures]]*Lookups!$B$18</f>
        <v>0</v>
      </c>
      <c r="BQ2707" s="6">
        <f>Grandview_Inventory[[#This Row],[detatched_value]]*Lookups!$B$19</f>
        <v>0</v>
      </c>
      <c r="BR2707" s="6">
        <f>SUM(Grandview_Inventory[[#This Row],[Intercept]:[det_value]])*Grandview_Inventory[[#This Row],[res_pct]]</f>
        <v>0</v>
      </c>
      <c r="BS2707" s="6">
        <f>Grandview_Inventory[[#This Row],[land_value]]</f>
        <v>49926.8031387023</v>
      </c>
      <c r="BT2707" s="4">
        <f>_xlfn.IFNA(VLOOKUP(Grandview_Inventory[[#This Row],[quality]],Lookups!$A$26:$C$33,3,FALSE),1)</f>
        <v>1</v>
      </c>
      <c r="BU2707" s="4">
        <f>_xlfn.IFNA(VLOOKUP(Grandview_Inventory[[#This Row],[condition]],Lookups!$A$37:$C$44,3,FALSE),1)</f>
        <v>1</v>
      </c>
      <c r="BV2707" s="4">
        <f>IF(Grandview_Inventory[[#This Row],[bldg_style]]="",1,_xlfn.IFNA(VLOOKUP(Grandview_Inventory[[#This Row],[decade]],Lookups!$F$29:$H$43,3,FALSE),1))</f>
        <v>1</v>
      </c>
      <c r="BW2707" s="4">
        <f>_xlfn.IFNA(VLOOKUP(Grandview_Inventory[[#This Row],[living_area_range]],Lookups!$F$47:$H$56,3,FALSE),1)</f>
        <v>1</v>
      </c>
      <c r="BX2707" s="4">
        <f>AVERAGE(Grandview_Inventory[[#This Row],[qual_adj]:[size_adj]])</f>
        <v>1</v>
      </c>
      <c r="BY2707" s="6">
        <f>IF(Grandview_Inventory[[#This Row],[pre_res]]&lt;0,0,Grandview_Inventory[[#This Row],[pre_res]]*Grandview_Inventory[[#This Row],[overall_adj]])</f>
        <v>0</v>
      </c>
      <c r="BZ2707" s="6">
        <f>(Grandview_Inventory[[#This Row],[sum_land]]-IF(Grandview_Inventory[[#This Row],[no_utilities]]=1,12000,0))/IF(Grandview_Inventory[[#This Row],[unbuildable]]=1,2,1)</f>
        <v>37926.8031387023</v>
      </c>
      <c r="CA2707">
        <f>IF(ROUND(Grandview_Inventory[[#This Row],[adj_land]]*Lookups!$M$28,-2)&lt;Grandview_Inventory[[#This Row],[min_land]],Grandview_Inventory[[#This Row],[min_land]],ROUND(Grandview_Inventory[[#This Row],[adj_land]]*Lookups!$M$28,-2))</f>
        <v>36000</v>
      </c>
      <c r="CB2707">
        <f>ROUND(Grandview_Inventory[[#This Row],[det_value]]*Lookups!$M$28,-2)</f>
        <v>0</v>
      </c>
      <c r="CC270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7">
        <f>Grandview_Inventory[[#This Row],[final_det]]+Grandview_Inventory[[#This Row],[final_res]]</f>
        <v>0</v>
      </c>
      <c r="CE2707">
        <f>Grandview_Inventory[[#This Row],[final_land]]+Grandview_Inventory[[#This Row],[final_imp]]+Grandview_Inventory[[#This Row],[crop_value]]</f>
        <v>36000</v>
      </c>
      <c r="CG2707" t="str">
        <f t="shared" si="42"/>
        <v>update valuation set market_land =36000, market_bldg=0, market_total =36000, market_mdno =401, market_date ='9/10/2023' where link_id = (select link_id from parcel where parcel_year = '2024' and parcel_id = '23092243491');</v>
      </c>
    </row>
    <row r="2708" spans="1:85" x14ac:dyDescent="0.25">
      <c r="A2708">
        <v>23092244405</v>
      </c>
      <c r="B2708">
        <v>0.19</v>
      </c>
      <c r="C2708">
        <v>8090</v>
      </c>
      <c r="D2708" t="s">
        <v>129</v>
      </c>
      <c r="E2708" t="s">
        <v>53</v>
      </c>
      <c r="F2708" t="s">
        <v>53</v>
      </c>
      <c r="G2708">
        <v>4</v>
      </c>
      <c r="H2708" t="s">
        <v>54</v>
      </c>
      <c r="I2708">
        <v>0</v>
      </c>
      <c r="J2708">
        <v>16400</v>
      </c>
      <c r="K2708">
        <v>0.19</v>
      </c>
      <c r="L270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08">
        <v>0</v>
      </c>
      <c r="N2708">
        <v>1</v>
      </c>
      <c r="O2708">
        <v>0</v>
      </c>
      <c r="P2708">
        <v>13398.7528</v>
      </c>
      <c r="Q2708">
        <v>63903</v>
      </c>
      <c r="R2708">
        <f>(Grandview_Inventory[[#This Row],[ln_acres]]*Grandview_Inventory[[#This Row],[coeff]])+Grandview_Inventory[[#This Row],[const]]</f>
        <v>41651.273092551026</v>
      </c>
      <c r="AY2708">
        <v>0</v>
      </c>
      <c r="AZ2708">
        <v>0</v>
      </c>
      <c r="BE2708">
        <v>0</v>
      </c>
      <c r="BF2708">
        <v>12000</v>
      </c>
      <c r="BG2708">
        <v>0</v>
      </c>
      <c r="BH2708" s="6">
        <f>Grandview_Inventory[[#This Row],[land_extract]]*Lookups!$B$3</f>
        <v>48369.510983942157</v>
      </c>
      <c r="BI2708" s="6">
        <f>IF(Grandview_Inventory[[#This Row],[bldg_style]]="",0,Lookups!$B$2)</f>
        <v>0</v>
      </c>
      <c r="BJ2708" s="6">
        <f>_xlfn.IFNA(VLOOKUP(Grandview_Inventory[[#This Row],[quality]],Lookups!$H$2:$J$14,3,FALSE),0)</f>
        <v>0</v>
      </c>
      <c r="BK2708" s="6">
        <f>_xlfn.IFNA(VLOOKUP(Grandview_Inventory[[#This Row],[condition]],Lookups!$H$17:$J$24,3,FALSE),0)</f>
        <v>0</v>
      </c>
      <c r="BL2708" s="6">
        <f>Grandview_Inventory[[#This Row],[Eff_Age]]*Lookups!$B$14</f>
        <v>0</v>
      </c>
      <c r="BM2708" s="6">
        <f>Grandview_Inventory[[#This Row],[living_area]]*Lookups!$B$15</f>
        <v>0</v>
      </c>
      <c r="BN2708" s="6">
        <f>Grandview_Inventory[[#This Row],[Fin BSMT]]*Lookups!$B$16</f>
        <v>0</v>
      </c>
      <c r="BO2708" s="6">
        <f>(Grandview_Inventory[[#This Row],[att_gar]]+Grandview_Inventory[[#This Row],[bltin_gar]])*Lookups!$B$17</f>
        <v>0</v>
      </c>
      <c r="BP2708" s="6">
        <f>Grandview_Inventory[[#This Row],[Plumbing Fixtures]]*Lookups!$B$18</f>
        <v>0</v>
      </c>
      <c r="BQ2708" s="6">
        <f>Grandview_Inventory[[#This Row],[detatched_value]]*Lookups!$B$19</f>
        <v>0</v>
      </c>
      <c r="BR2708" s="6">
        <f>SUM(Grandview_Inventory[[#This Row],[Intercept]:[det_value]])*Grandview_Inventory[[#This Row],[res_pct]]</f>
        <v>0</v>
      </c>
      <c r="BS2708" s="6">
        <f>Grandview_Inventory[[#This Row],[land_value]]</f>
        <v>48369.510983942157</v>
      </c>
      <c r="BT2708" s="4">
        <f>_xlfn.IFNA(VLOOKUP(Grandview_Inventory[[#This Row],[quality]],Lookups!$A$26:$C$33,3,FALSE),1)</f>
        <v>1</v>
      </c>
      <c r="BU2708" s="4">
        <f>_xlfn.IFNA(VLOOKUP(Grandview_Inventory[[#This Row],[condition]],Lookups!$A$37:$C$44,3,FALSE),1)</f>
        <v>1</v>
      </c>
      <c r="BV2708" s="4">
        <f>IF(Grandview_Inventory[[#This Row],[bldg_style]]="",1,_xlfn.IFNA(VLOOKUP(Grandview_Inventory[[#This Row],[decade]],Lookups!$F$29:$H$43,3,FALSE),1))</f>
        <v>1</v>
      </c>
      <c r="BW2708" s="4">
        <f>_xlfn.IFNA(VLOOKUP(Grandview_Inventory[[#This Row],[living_area_range]],Lookups!$F$47:$H$56,3,FALSE),1)</f>
        <v>1</v>
      </c>
      <c r="BX2708" s="4">
        <f>AVERAGE(Grandview_Inventory[[#This Row],[qual_adj]:[size_adj]])</f>
        <v>1</v>
      </c>
      <c r="BY2708" s="6">
        <f>IF(Grandview_Inventory[[#This Row],[pre_res]]&lt;0,0,Grandview_Inventory[[#This Row],[pre_res]]*Grandview_Inventory[[#This Row],[overall_adj]])</f>
        <v>0</v>
      </c>
      <c r="BZ2708" s="6">
        <f>(Grandview_Inventory[[#This Row],[sum_land]]-IF(Grandview_Inventory[[#This Row],[no_utilities]]=1,12000,0))/IF(Grandview_Inventory[[#This Row],[unbuildable]]=1,2,1)</f>
        <v>24184.755491971078</v>
      </c>
      <c r="CA2708">
        <f>IF(ROUND(Grandview_Inventory[[#This Row],[adj_land]]*Lookups!$M$28,-2)&lt;Grandview_Inventory[[#This Row],[min_land]],Grandview_Inventory[[#This Row],[min_land]],ROUND(Grandview_Inventory[[#This Row],[adj_land]]*Lookups!$M$28,-2))</f>
        <v>23000</v>
      </c>
      <c r="CB2708">
        <f>ROUND(Grandview_Inventory[[#This Row],[det_value]]*Lookups!$M$28,-2)</f>
        <v>0</v>
      </c>
      <c r="CC270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8">
        <f>Grandview_Inventory[[#This Row],[final_det]]+Grandview_Inventory[[#This Row],[final_res]]</f>
        <v>0</v>
      </c>
      <c r="CE2708">
        <f>Grandview_Inventory[[#This Row],[final_land]]+Grandview_Inventory[[#This Row],[final_imp]]+Grandview_Inventory[[#This Row],[crop_value]]</f>
        <v>23000</v>
      </c>
      <c r="CG2708" t="str">
        <f t="shared" si="42"/>
        <v>update valuation set market_land =23000, market_bldg=0, market_total =23000, market_mdno =401, market_date ='9/10/2023' where link_id = (select link_id from parcel where parcel_year = '2024' and parcel_id = '23092244405');</v>
      </c>
    </row>
    <row r="2709" spans="1:85" x14ac:dyDescent="0.25">
      <c r="A2709">
        <v>23092244408</v>
      </c>
      <c r="B2709">
        <v>0.1</v>
      </c>
      <c r="C2709">
        <v>4259</v>
      </c>
      <c r="D2709" t="s">
        <v>129</v>
      </c>
      <c r="E2709" t="s">
        <v>53</v>
      </c>
      <c r="F2709" t="s">
        <v>53</v>
      </c>
      <c r="G2709">
        <v>4</v>
      </c>
      <c r="H2709" t="s">
        <v>54</v>
      </c>
      <c r="I2709">
        <v>0</v>
      </c>
      <c r="J2709">
        <v>15700</v>
      </c>
      <c r="K2709">
        <v>0.1</v>
      </c>
      <c r="L2709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2709">
        <v>0</v>
      </c>
      <c r="N2709">
        <v>1</v>
      </c>
      <c r="O2709">
        <v>0</v>
      </c>
      <c r="P2709">
        <v>13398.7528</v>
      </c>
      <c r="Q2709">
        <v>63903</v>
      </c>
      <c r="R2709">
        <f>(Grandview_Inventory[[#This Row],[ln_acres]]*Grandview_Inventory[[#This Row],[coeff]])+Grandview_Inventory[[#This Row],[const]]</f>
        <v>33051.231538007778</v>
      </c>
      <c r="AY2709">
        <v>0</v>
      </c>
      <c r="AZ2709">
        <v>0</v>
      </c>
      <c r="BE2709">
        <v>0</v>
      </c>
      <c r="BF2709">
        <v>12000</v>
      </c>
      <c r="BG2709">
        <v>0</v>
      </c>
      <c r="BH2709" s="6">
        <f>Grandview_Inventory[[#This Row],[land_extract]]*Lookups!$B$3</f>
        <v>38382.305946763277</v>
      </c>
      <c r="BI2709" s="6">
        <f>IF(Grandview_Inventory[[#This Row],[bldg_style]]="",0,Lookups!$B$2)</f>
        <v>0</v>
      </c>
      <c r="BJ2709" s="6">
        <f>_xlfn.IFNA(VLOOKUP(Grandview_Inventory[[#This Row],[quality]],Lookups!$H$2:$J$14,3,FALSE),0)</f>
        <v>0</v>
      </c>
      <c r="BK2709" s="6">
        <f>_xlfn.IFNA(VLOOKUP(Grandview_Inventory[[#This Row],[condition]],Lookups!$H$17:$J$24,3,FALSE),0)</f>
        <v>0</v>
      </c>
      <c r="BL2709" s="6">
        <f>Grandview_Inventory[[#This Row],[Eff_Age]]*Lookups!$B$14</f>
        <v>0</v>
      </c>
      <c r="BM2709" s="6">
        <f>Grandview_Inventory[[#This Row],[living_area]]*Lookups!$B$15</f>
        <v>0</v>
      </c>
      <c r="BN2709" s="6">
        <f>Grandview_Inventory[[#This Row],[Fin BSMT]]*Lookups!$B$16</f>
        <v>0</v>
      </c>
      <c r="BO2709" s="6">
        <f>(Grandview_Inventory[[#This Row],[att_gar]]+Grandview_Inventory[[#This Row],[bltin_gar]])*Lookups!$B$17</f>
        <v>0</v>
      </c>
      <c r="BP2709" s="6">
        <f>Grandview_Inventory[[#This Row],[Plumbing Fixtures]]*Lookups!$B$18</f>
        <v>0</v>
      </c>
      <c r="BQ2709" s="6">
        <f>Grandview_Inventory[[#This Row],[detatched_value]]*Lookups!$B$19</f>
        <v>0</v>
      </c>
      <c r="BR2709" s="6">
        <f>SUM(Grandview_Inventory[[#This Row],[Intercept]:[det_value]])*Grandview_Inventory[[#This Row],[res_pct]]</f>
        <v>0</v>
      </c>
      <c r="BS2709" s="6">
        <f>Grandview_Inventory[[#This Row],[land_value]]</f>
        <v>38382.305946763277</v>
      </c>
      <c r="BT2709" s="4">
        <f>_xlfn.IFNA(VLOOKUP(Grandview_Inventory[[#This Row],[quality]],Lookups!$A$26:$C$33,3,FALSE),1)</f>
        <v>1</v>
      </c>
      <c r="BU2709" s="4">
        <f>_xlfn.IFNA(VLOOKUP(Grandview_Inventory[[#This Row],[condition]],Lookups!$A$37:$C$44,3,FALSE),1)</f>
        <v>1</v>
      </c>
      <c r="BV2709" s="4">
        <f>IF(Grandview_Inventory[[#This Row],[bldg_style]]="",1,_xlfn.IFNA(VLOOKUP(Grandview_Inventory[[#This Row],[decade]],Lookups!$F$29:$H$43,3,FALSE),1))</f>
        <v>1</v>
      </c>
      <c r="BW2709" s="4">
        <f>_xlfn.IFNA(VLOOKUP(Grandview_Inventory[[#This Row],[living_area_range]],Lookups!$F$47:$H$56,3,FALSE),1)</f>
        <v>1</v>
      </c>
      <c r="BX2709" s="4">
        <f>AVERAGE(Grandview_Inventory[[#This Row],[qual_adj]:[size_adj]])</f>
        <v>1</v>
      </c>
      <c r="BY2709" s="6">
        <f>IF(Grandview_Inventory[[#This Row],[pre_res]]&lt;0,0,Grandview_Inventory[[#This Row],[pre_res]]*Grandview_Inventory[[#This Row],[overall_adj]])</f>
        <v>0</v>
      </c>
      <c r="BZ2709" s="6">
        <f>(Grandview_Inventory[[#This Row],[sum_land]]-IF(Grandview_Inventory[[#This Row],[no_utilities]]=1,12000,0))/IF(Grandview_Inventory[[#This Row],[unbuildable]]=1,2,1)</f>
        <v>19191.152973381639</v>
      </c>
      <c r="CA2709">
        <f>IF(ROUND(Grandview_Inventory[[#This Row],[adj_land]]*Lookups!$M$28,-2)&lt;Grandview_Inventory[[#This Row],[min_land]],Grandview_Inventory[[#This Row],[min_land]],ROUND(Grandview_Inventory[[#This Row],[adj_land]]*Lookups!$M$28,-2))</f>
        <v>18200</v>
      </c>
      <c r="CB2709">
        <f>ROUND(Grandview_Inventory[[#This Row],[det_value]]*Lookups!$M$28,-2)</f>
        <v>0</v>
      </c>
      <c r="CC270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09">
        <f>Grandview_Inventory[[#This Row],[final_det]]+Grandview_Inventory[[#This Row],[final_res]]</f>
        <v>0</v>
      </c>
      <c r="CE2709">
        <f>Grandview_Inventory[[#This Row],[final_land]]+Grandview_Inventory[[#This Row],[final_imp]]+Grandview_Inventory[[#This Row],[crop_value]]</f>
        <v>18200</v>
      </c>
      <c r="CG2709" t="str">
        <f t="shared" si="42"/>
        <v>update valuation set market_land =18200, market_bldg=0, market_total =18200, market_mdno =401, market_date ='9/10/2023' where link_id = (select link_id from parcel where parcel_year = '2024' and parcel_id = '23092244408');</v>
      </c>
    </row>
    <row r="2710" spans="1:85" x14ac:dyDescent="0.25">
      <c r="A2710">
        <v>23092244456</v>
      </c>
      <c r="B2710">
        <v>0.11</v>
      </c>
      <c r="C2710">
        <v>4639</v>
      </c>
      <c r="D2710" t="s">
        <v>129</v>
      </c>
      <c r="E2710" t="s">
        <v>53</v>
      </c>
      <c r="F2710" t="s">
        <v>53</v>
      </c>
      <c r="G2710">
        <v>4</v>
      </c>
      <c r="H2710" t="s">
        <v>54</v>
      </c>
      <c r="I2710">
        <v>0</v>
      </c>
      <c r="J2710">
        <v>31600</v>
      </c>
      <c r="K2710">
        <v>0.11</v>
      </c>
      <c r="L2710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710">
        <v>0</v>
      </c>
      <c r="N2710">
        <v>0</v>
      </c>
      <c r="O2710">
        <v>0</v>
      </c>
      <c r="P2710">
        <v>13398.7528</v>
      </c>
      <c r="Q2710">
        <v>63903</v>
      </c>
      <c r="R2710">
        <f>(Grandview_Inventory[[#This Row],[ln_acres]]*Grandview_Inventory[[#This Row],[coeff]])+Grandview_Inventory[[#This Row],[const]]</f>
        <v>34328.269076529468</v>
      </c>
      <c r="AY2710">
        <v>0</v>
      </c>
      <c r="AZ2710">
        <v>0</v>
      </c>
      <c r="BE2710">
        <v>0</v>
      </c>
      <c r="BF2710">
        <v>15000</v>
      </c>
      <c r="BG2710">
        <v>0</v>
      </c>
      <c r="BH2710" s="6">
        <f>Grandview_Inventory[[#This Row],[land_extract]]*Lookups!$B$3</f>
        <v>39865.326192247165</v>
      </c>
      <c r="BI2710" s="6">
        <f>IF(Grandview_Inventory[[#This Row],[bldg_style]]="",0,Lookups!$B$2)</f>
        <v>0</v>
      </c>
      <c r="BJ2710" s="6">
        <f>_xlfn.IFNA(VLOOKUP(Grandview_Inventory[[#This Row],[quality]],Lookups!$H$2:$J$14,3,FALSE),0)</f>
        <v>0</v>
      </c>
      <c r="BK2710" s="6">
        <f>_xlfn.IFNA(VLOOKUP(Grandview_Inventory[[#This Row],[condition]],Lookups!$H$17:$J$24,3,FALSE),0)</f>
        <v>0</v>
      </c>
      <c r="BL2710" s="6">
        <f>Grandview_Inventory[[#This Row],[Eff_Age]]*Lookups!$B$14</f>
        <v>0</v>
      </c>
      <c r="BM2710" s="6">
        <f>Grandview_Inventory[[#This Row],[living_area]]*Lookups!$B$15</f>
        <v>0</v>
      </c>
      <c r="BN2710" s="6">
        <f>Grandview_Inventory[[#This Row],[Fin BSMT]]*Lookups!$B$16</f>
        <v>0</v>
      </c>
      <c r="BO2710" s="6">
        <f>(Grandview_Inventory[[#This Row],[att_gar]]+Grandview_Inventory[[#This Row],[bltin_gar]])*Lookups!$B$17</f>
        <v>0</v>
      </c>
      <c r="BP2710" s="6">
        <f>Grandview_Inventory[[#This Row],[Plumbing Fixtures]]*Lookups!$B$18</f>
        <v>0</v>
      </c>
      <c r="BQ2710" s="6">
        <f>Grandview_Inventory[[#This Row],[detatched_value]]*Lookups!$B$19</f>
        <v>0</v>
      </c>
      <c r="BR2710" s="6">
        <f>SUM(Grandview_Inventory[[#This Row],[Intercept]:[det_value]])*Grandview_Inventory[[#This Row],[res_pct]]</f>
        <v>0</v>
      </c>
      <c r="BS2710" s="6">
        <f>Grandview_Inventory[[#This Row],[land_value]]</f>
        <v>39865.326192247165</v>
      </c>
      <c r="BT2710" s="4">
        <f>_xlfn.IFNA(VLOOKUP(Grandview_Inventory[[#This Row],[quality]],Lookups!$A$26:$C$33,3,FALSE),1)</f>
        <v>1</v>
      </c>
      <c r="BU2710" s="4">
        <f>_xlfn.IFNA(VLOOKUP(Grandview_Inventory[[#This Row],[condition]],Lookups!$A$37:$C$44,3,FALSE),1)</f>
        <v>1</v>
      </c>
      <c r="BV2710" s="4">
        <f>IF(Grandview_Inventory[[#This Row],[bldg_style]]="",1,_xlfn.IFNA(VLOOKUP(Grandview_Inventory[[#This Row],[decade]],Lookups!$F$29:$H$43,3,FALSE),1))</f>
        <v>1</v>
      </c>
      <c r="BW2710" s="4">
        <f>_xlfn.IFNA(VLOOKUP(Grandview_Inventory[[#This Row],[living_area_range]],Lookups!$F$47:$H$56,3,FALSE),1)</f>
        <v>1</v>
      </c>
      <c r="BX2710" s="4">
        <f>AVERAGE(Grandview_Inventory[[#This Row],[qual_adj]:[size_adj]])</f>
        <v>1</v>
      </c>
      <c r="BY2710" s="6">
        <f>IF(Grandview_Inventory[[#This Row],[pre_res]]&lt;0,0,Grandview_Inventory[[#This Row],[pre_res]]*Grandview_Inventory[[#This Row],[overall_adj]])</f>
        <v>0</v>
      </c>
      <c r="BZ2710" s="6">
        <f>(Grandview_Inventory[[#This Row],[sum_land]]-IF(Grandview_Inventory[[#This Row],[no_utilities]]=1,12000,0))/IF(Grandview_Inventory[[#This Row],[unbuildable]]=1,2,1)</f>
        <v>39865.326192247165</v>
      </c>
      <c r="CA2710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2710">
        <f>ROUND(Grandview_Inventory[[#This Row],[det_value]]*Lookups!$M$28,-2)</f>
        <v>0</v>
      </c>
      <c r="CC271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0">
        <f>Grandview_Inventory[[#This Row],[final_det]]+Grandview_Inventory[[#This Row],[final_res]]</f>
        <v>0</v>
      </c>
      <c r="CE2710">
        <f>Grandview_Inventory[[#This Row],[final_land]]+Grandview_Inventory[[#This Row],[final_imp]]+Grandview_Inventory[[#This Row],[crop_value]]</f>
        <v>37900</v>
      </c>
      <c r="CG2710" t="str">
        <f t="shared" si="42"/>
        <v>update valuation set market_land =37900, market_bldg=0, market_total =37900, market_mdno =401, market_date ='9/10/2023' where link_id = (select link_id from parcel where parcel_year = '2024' and parcel_id = '23092244456');</v>
      </c>
    </row>
    <row r="2711" spans="1:85" x14ac:dyDescent="0.25">
      <c r="A2711">
        <v>23092244457</v>
      </c>
      <c r="B2711">
        <v>0.1</v>
      </c>
      <c r="C2711">
        <v>4268</v>
      </c>
      <c r="D2711" t="s">
        <v>129</v>
      </c>
      <c r="E2711" t="s">
        <v>53</v>
      </c>
      <c r="F2711" t="s">
        <v>53</v>
      </c>
      <c r="G2711">
        <v>4</v>
      </c>
      <c r="H2711" t="s">
        <v>54</v>
      </c>
      <c r="I2711">
        <v>0</v>
      </c>
      <c r="J2711">
        <v>31600</v>
      </c>
      <c r="K2711">
        <v>0.1</v>
      </c>
      <c r="L2711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2711">
        <v>0</v>
      </c>
      <c r="N2711">
        <v>0</v>
      </c>
      <c r="O2711">
        <v>0</v>
      </c>
      <c r="P2711">
        <v>13398.7528</v>
      </c>
      <c r="Q2711">
        <v>63903</v>
      </c>
      <c r="R2711">
        <f>(Grandview_Inventory[[#This Row],[ln_acres]]*Grandview_Inventory[[#This Row],[coeff]])+Grandview_Inventory[[#This Row],[const]]</f>
        <v>33051.231538007778</v>
      </c>
      <c r="AY2711">
        <v>0</v>
      </c>
      <c r="AZ2711">
        <v>0</v>
      </c>
      <c r="BE2711">
        <v>0</v>
      </c>
      <c r="BF2711">
        <v>15000</v>
      </c>
      <c r="BG2711">
        <v>0</v>
      </c>
      <c r="BH2711" s="6">
        <f>Grandview_Inventory[[#This Row],[land_extract]]*Lookups!$B$3</f>
        <v>38382.305946763277</v>
      </c>
      <c r="BI2711" s="6">
        <f>IF(Grandview_Inventory[[#This Row],[bldg_style]]="",0,Lookups!$B$2)</f>
        <v>0</v>
      </c>
      <c r="BJ2711" s="6">
        <f>_xlfn.IFNA(VLOOKUP(Grandview_Inventory[[#This Row],[quality]],Lookups!$H$2:$J$14,3,FALSE),0)</f>
        <v>0</v>
      </c>
      <c r="BK2711" s="6">
        <f>_xlfn.IFNA(VLOOKUP(Grandview_Inventory[[#This Row],[condition]],Lookups!$H$17:$J$24,3,FALSE),0)</f>
        <v>0</v>
      </c>
      <c r="BL2711" s="6">
        <f>Grandview_Inventory[[#This Row],[Eff_Age]]*Lookups!$B$14</f>
        <v>0</v>
      </c>
      <c r="BM2711" s="6">
        <f>Grandview_Inventory[[#This Row],[living_area]]*Lookups!$B$15</f>
        <v>0</v>
      </c>
      <c r="BN2711" s="6">
        <f>Grandview_Inventory[[#This Row],[Fin BSMT]]*Lookups!$B$16</f>
        <v>0</v>
      </c>
      <c r="BO2711" s="6">
        <f>(Grandview_Inventory[[#This Row],[att_gar]]+Grandview_Inventory[[#This Row],[bltin_gar]])*Lookups!$B$17</f>
        <v>0</v>
      </c>
      <c r="BP2711" s="6">
        <f>Grandview_Inventory[[#This Row],[Plumbing Fixtures]]*Lookups!$B$18</f>
        <v>0</v>
      </c>
      <c r="BQ2711" s="6">
        <f>Grandview_Inventory[[#This Row],[detatched_value]]*Lookups!$B$19</f>
        <v>0</v>
      </c>
      <c r="BR2711" s="6">
        <f>SUM(Grandview_Inventory[[#This Row],[Intercept]:[det_value]])*Grandview_Inventory[[#This Row],[res_pct]]</f>
        <v>0</v>
      </c>
      <c r="BS2711" s="6">
        <f>Grandview_Inventory[[#This Row],[land_value]]</f>
        <v>38382.305946763277</v>
      </c>
      <c r="BT2711" s="4">
        <f>_xlfn.IFNA(VLOOKUP(Grandview_Inventory[[#This Row],[quality]],Lookups!$A$26:$C$33,3,FALSE),1)</f>
        <v>1</v>
      </c>
      <c r="BU2711" s="4">
        <f>_xlfn.IFNA(VLOOKUP(Grandview_Inventory[[#This Row],[condition]],Lookups!$A$37:$C$44,3,FALSE),1)</f>
        <v>1</v>
      </c>
      <c r="BV2711" s="4">
        <f>IF(Grandview_Inventory[[#This Row],[bldg_style]]="",1,_xlfn.IFNA(VLOOKUP(Grandview_Inventory[[#This Row],[decade]],Lookups!$F$29:$H$43,3,FALSE),1))</f>
        <v>1</v>
      </c>
      <c r="BW2711" s="4">
        <f>_xlfn.IFNA(VLOOKUP(Grandview_Inventory[[#This Row],[living_area_range]],Lookups!$F$47:$H$56,3,FALSE),1)</f>
        <v>1</v>
      </c>
      <c r="BX2711" s="4">
        <f>AVERAGE(Grandview_Inventory[[#This Row],[qual_adj]:[size_adj]])</f>
        <v>1</v>
      </c>
      <c r="BY2711" s="6">
        <f>IF(Grandview_Inventory[[#This Row],[pre_res]]&lt;0,0,Grandview_Inventory[[#This Row],[pre_res]]*Grandview_Inventory[[#This Row],[overall_adj]])</f>
        <v>0</v>
      </c>
      <c r="BZ2711" s="6">
        <f>(Grandview_Inventory[[#This Row],[sum_land]]-IF(Grandview_Inventory[[#This Row],[no_utilities]]=1,12000,0))/IF(Grandview_Inventory[[#This Row],[unbuildable]]=1,2,1)</f>
        <v>38382.305946763277</v>
      </c>
      <c r="CA2711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2711">
        <f>ROUND(Grandview_Inventory[[#This Row],[det_value]]*Lookups!$M$28,-2)</f>
        <v>0</v>
      </c>
      <c r="CC271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1">
        <f>Grandview_Inventory[[#This Row],[final_det]]+Grandview_Inventory[[#This Row],[final_res]]</f>
        <v>0</v>
      </c>
      <c r="CE2711">
        <f>Grandview_Inventory[[#This Row],[final_land]]+Grandview_Inventory[[#This Row],[final_imp]]+Grandview_Inventory[[#This Row],[crop_value]]</f>
        <v>36500</v>
      </c>
      <c r="CG2711" t="str">
        <f t="shared" si="42"/>
        <v>update valuation set market_land =36500, market_bldg=0, market_total =36500, market_mdno =401, market_date ='9/10/2023' where link_id = (select link_id from parcel where parcel_year = '2024' and parcel_id = '23092244457');</v>
      </c>
    </row>
    <row r="2712" spans="1:85" x14ac:dyDescent="0.25">
      <c r="A2712">
        <v>23092311456</v>
      </c>
      <c r="B2712">
        <v>0.74</v>
      </c>
      <c r="C2712">
        <v>32108</v>
      </c>
      <c r="D2712" t="s">
        <v>129</v>
      </c>
      <c r="E2712" t="s">
        <v>53</v>
      </c>
      <c r="F2712" t="s">
        <v>53</v>
      </c>
      <c r="G2712">
        <v>4</v>
      </c>
      <c r="H2712" t="s">
        <v>54</v>
      </c>
      <c r="I2712">
        <v>0</v>
      </c>
      <c r="J2712">
        <v>16800</v>
      </c>
      <c r="K2712">
        <v>0.74</v>
      </c>
      <c r="L2712">
        <f>IF(Grandview_Inventory[[#This Row],[parcel_acres]]-Grandview_Inventory[[#This Row],[non_valued_acres]] =0,0,LN(Grandview_Inventory[[#This Row],[parcel_acres]]-Grandview_Inventory[[#This Row],[non_valued_acres]]))</f>
        <v>-0.30110509278392161</v>
      </c>
      <c r="M2712">
        <v>0</v>
      </c>
      <c r="N2712">
        <v>0</v>
      </c>
      <c r="O2712">
        <v>1</v>
      </c>
      <c r="P2712">
        <v>13398.7528</v>
      </c>
      <c r="Q2712">
        <v>63903</v>
      </c>
      <c r="R2712">
        <f>(Grandview_Inventory[[#This Row],[ln_acres]]*Grandview_Inventory[[#This Row],[coeff]])+Grandview_Inventory[[#This Row],[const]]</f>
        <v>59868.567294967172</v>
      </c>
      <c r="AY2712">
        <v>0</v>
      </c>
      <c r="AZ2712">
        <v>0</v>
      </c>
      <c r="BE2712">
        <v>0</v>
      </c>
      <c r="BF2712">
        <v>3000</v>
      </c>
      <c r="BG2712">
        <v>0</v>
      </c>
      <c r="BH2712" s="6">
        <f>Grandview_Inventory[[#This Row],[land_extract]]*Lookups!$B$3</f>
        <v>69525.205554513683</v>
      </c>
      <c r="BI2712" s="6">
        <f>IF(Grandview_Inventory[[#This Row],[bldg_style]]="",0,Lookups!$B$2)</f>
        <v>0</v>
      </c>
      <c r="BJ2712" s="6">
        <f>_xlfn.IFNA(VLOOKUP(Grandview_Inventory[[#This Row],[quality]],Lookups!$H$2:$J$14,3,FALSE),0)</f>
        <v>0</v>
      </c>
      <c r="BK2712" s="6">
        <f>_xlfn.IFNA(VLOOKUP(Grandview_Inventory[[#This Row],[condition]],Lookups!$H$17:$J$24,3,FALSE),0)</f>
        <v>0</v>
      </c>
      <c r="BL2712" s="6">
        <f>Grandview_Inventory[[#This Row],[Eff_Age]]*Lookups!$B$14</f>
        <v>0</v>
      </c>
      <c r="BM2712" s="6">
        <f>Grandview_Inventory[[#This Row],[living_area]]*Lookups!$B$15</f>
        <v>0</v>
      </c>
      <c r="BN2712" s="6">
        <f>Grandview_Inventory[[#This Row],[Fin BSMT]]*Lookups!$B$16</f>
        <v>0</v>
      </c>
      <c r="BO2712" s="6">
        <f>(Grandview_Inventory[[#This Row],[att_gar]]+Grandview_Inventory[[#This Row],[bltin_gar]])*Lookups!$B$17</f>
        <v>0</v>
      </c>
      <c r="BP2712" s="6">
        <f>Grandview_Inventory[[#This Row],[Plumbing Fixtures]]*Lookups!$B$18</f>
        <v>0</v>
      </c>
      <c r="BQ2712" s="6">
        <f>Grandview_Inventory[[#This Row],[detatched_value]]*Lookups!$B$19</f>
        <v>0</v>
      </c>
      <c r="BR2712" s="6">
        <f>SUM(Grandview_Inventory[[#This Row],[Intercept]:[det_value]])*Grandview_Inventory[[#This Row],[res_pct]]</f>
        <v>0</v>
      </c>
      <c r="BS2712" s="6">
        <f>Grandview_Inventory[[#This Row],[land_value]]</f>
        <v>69525.205554513683</v>
      </c>
      <c r="BT2712" s="4">
        <f>_xlfn.IFNA(VLOOKUP(Grandview_Inventory[[#This Row],[quality]],Lookups!$A$26:$C$33,3,FALSE),1)</f>
        <v>1</v>
      </c>
      <c r="BU2712" s="4">
        <f>_xlfn.IFNA(VLOOKUP(Grandview_Inventory[[#This Row],[condition]],Lookups!$A$37:$C$44,3,FALSE),1)</f>
        <v>1</v>
      </c>
      <c r="BV2712" s="4">
        <f>IF(Grandview_Inventory[[#This Row],[bldg_style]]="",1,_xlfn.IFNA(VLOOKUP(Grandview_Inventory[[#This Row],[decade]],Lookups!$F$29:$H$43,3,FALSE),1))</f>
        <v>1</v>
      </c>
      <c r="BW2712" s="4">
        <f>_xlfn.IFNA(VLOOKUP(Grandview_Inventory[[#This Row],[living_area_range]],Lookups!$F$47:$H$56,3,FALSE),1)</f>
        <v>1</v>
      </c>
      <c r="BX2712" s="4">
        <f>AVERAGE(Grandview_Inventory[[#This Row],[qual_adj]:[size_adj]])</f>
        <v>1</v>
      </c>
      <c r="BY2712" s="6">
        <f>IF(Grandview_Inventory[[#This Row],[pre_res]]&lt;0,0,Grandview_Inventory[[#This Row],[pre_res]]*Grandview_Inventory[[#This Row],[overall_adj]])</f>
        <v>0</v>
      </c>
      <c r="BZ2712" s="6">
        <f>(Grandview_Inventory[[#This Row],[sum_land]]-IF(Grandview_Inventory[[#This Row],[no_utilities]]=1,12000,0))/IF(Grandview_Inventory[[#This Row],[unbuildable]]=1,2,1)</f>
        <v>57525.205554513683</v>
      </c>
      <c r="CA2712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2712">
        <f>ROUND(Grandview_Inventory[[#This Row],[det_value]]*Lookups!$M$28,-2)</f>
        <v>0</v>
      </c>
      <c r="CC271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2">
        <f>Grandview_Inventory[[#This Row],[final_det]]+Grandview_Inventory[[#This Row],[final_res]]</f>
        <v>0</v>
      </c>
      <c r="CE2712">
        <f>Grandview_Inventory[[#This Row],[final_land]]+Grandview_Inventory[[#This Row],[final_imp]]+Grandview_Inventory[[#This Row],[crop_value]]</f>
        <v>54600</v>
      </c>
      <c r="CG2712" t="str">
        <f t="shared" si="42"/>
        <v>update valuation set market_land =54600, market_bldg=0, market_total =54600, market_mdno =401, market_date ='9/10/2023' where link_id = (select link_id from parcel where parcel_year = '2024' and parcel_id = '23092311456');</v>
      </c>
    </row>
    <row r="2713" spans="1:85" x14ac:dyDescent="0.25">
      <c r="A2713">
        <v>23092311499</v>
      </c>
      <c r="B2713">
        <v>5.3</v>
      </c>
      <c r="C2713">
        <v>230901</v>
      </c>
      <c r="D2713" t="s">
        <v>129</v>
      </c>
      <c r="E2713" t="s">
        <v>53</v>
      </c>
      <c r="F2713" t="s">
        <v>53</v>
      </c>
      <c r="G2713">
        <v>4</v>
      </c>
      <c r="H2713" t="s">
        <v>54</v>
      </c>
      <c r="I2713">
        <v>0</v>
      </c>
      <c r="J2713">
        <v>43000</v>
      </c>
      <c r="K2713">
        <v>5.3</v>
      </c>
      <c r="L2713">
        <f>IF(Grandview_Inventory[[#This Row],[parcel_acres]]-Grandview_Inventory[[#This Row],[non_valued_acres]] =0,0,LN(Grandview_Inventory[[#This Row],[parcel_acres]]-Grandview_Inventory[[#This Row],[non_valued_acres]]))</f>
        <v>1.6677068205580761</v>
      </c>
      <c r="M2713">
        <v>0</v>
      </c>
      <c r="N2713">
        <v>0</v>
      </c>
      <c r="O2713">
        <v>0</v>
      </c>
      <c r="P2713">
        <v>13398.7528</v>
      </c>
      <c r="Q2713">
        <v>63903</v>
      </c>
      <c r="R2713">
        <f>(Grandview_Inventory[[#This Row],[ln_acres]]*Grandview_Inventory[[#This Row],[coeff]])+Grandview_Inventory[[#This Row],[const]]</f>
        <v>86248.191431531624</v>
      </c>
      <c r="AY2713">
        <v>0</v>
      </c>
      <c r="AZ2713">
        <v>0</v>
      </c>
      <c r="BE2713">
        <v>0</v>
      </c>
      <c r="BF2713">
        <v>15000</v>
      </c>
      <c r="BG2713">
        <v>0</v>
      </c>
      <c r="BH2713" s="6">
        <f>Grandview_Inventory[[#This Row],[land_extract]]*Lookups!$B$3</f>
        <v>100159.79183932081</v>
      </c>
      <c r="BI2713" s="6">
        <f>IF(Grandview_Inventory[[#This Row],[bldg_style]]="",0,Lookups!$B$2)</f>
        <v>0</v>
      </c>
      <c r="BJ2713" s="6">
        <f>_xlfn.IFNA(VLOOKUP(Grandview_Inventory[[#This Row],[quality]],Lookups!$H$2:$J$14,3,FALSE),0)</f>
        <v>0</v>
      </c>
      <c r="BK2713" s="6">
        <f>_xlfn.IFNA(VLOOKUP(Grandview_Inventory[[#This Row],[condition]],Lookups!$H$17:$J$24,3,FALSE),0)</f>
        <v>0</v>
      </c>
      <c r="BL2713" s="6">
        <f>Grandview_Inventory[[#This Row],[Eff_Age]]*Lookups!$B$14</f>
        <v>0</v>
      </c>
      <c r="BM2713" s="6">
        <f>Grandview_Inventory[[#This Row],[living_area]]*Lookups!$B$15</f>
        <v>0</v>
      </c>
      <c r="BN2713" s="6">
        <f>Grandview_Inventory[[#This Row],[Fin BSMT]]*Lookups!$B$16</f>
        <v>0</v>
      </c>
      <c r="BO2713" s="6">
        <f>(Grandview_Inventory[[#This Row],[att_gar]]+Grandview_Inventory[[#This Row],[bltin_gar]])*Lookups!$B$17</f>
        <v>0</v>
      </c>
      <c r="BP2713" s="6">
        <f>Grandview_Inventory[[#This Row],[Plumbing Fixtures]]*Lookups!$B$18</f>
        <v>0</v>
      </c>
      <c r="BQ2713" s="6">
        <f>Grandview_Inventory[[#This Row],[detatched_value]]*Lookups!$B$19</f>
        <v>0</v>
      </c>
      <c r="BR2713" s="6">
        <f>SUM(Grandview_Inventory[[#This Row],[Intercept]:[det_value]])*Grandview_Inventory[[#This Row],[res_pct]]</f>
        <v>0</v>
      </c>
      <c r="BS2713" s="6">
        <f>Grandview_Inventory[[#This Row],[land_value]]</f>
        <v>100159.79183932081</v>
      </c>
      <c r="BT2713" s="4">
        <f>_xlfn.IFNA(VLOOKUP(Grandview_Inventory[[#This Row],[quality]],Lookups!$A$26:$C$33,3,FALSE),1)</f>
        <v>1</v>
      </c>
      <c r="BU2713" s="4">
        <f>_xlfn.IFNA(VLOOKUP(Grandview_Inventory[[#This Row],[condition]],Lookups!$A$37:$C$44,3,FALSE),1)</f>
        <v>1</v>
      </c>
      <c r="BV2713" s="4">
        <f>IF(Grandview_Inventory[[#This Row],[bldg_style]]="",1,_xlfn.IFNA(VLOOKUP(Grandview_Inventory[[#This Row],[decade]],Lookups!$F$29:$H$43,3,FALSE),1))</f>
        <v>1</v>
      </c>
      <c r="BW2713" s="4">
        <f>_xlfn.IFNA(VLOOKUP(Grandview_Inventory[[#This Row],[living_area_range]],Lookups!$F$47:$H$56,3,FALSE),1)</f>
        <v>1</v>
      </c>
      <c r="BX2713" s="4">
        <f>AVERAGE(Grandview_Inventory[[#This Row],[qual_adj]:[size_adj]])</f>
        <v>1</v>
      </c>
      <c r="BY2713" s="6">
        <f>IF(Grandview_Inventory[[#This Row],[pre_res]]&lt;0,0,Grandview_Inventory[[#This Row],[pre_res]]*Grandview_Inventory[[#This Row],[overall_adj]])</f>
        <v>0</v>
      </c>
      <c r="BZ2713" s="6">
        <f>(Grandview_Inventory[[#This Row],[sum_land]]-IF(Grandview_Inventory[[#This Row],[no_utilities]]=1,12000,0))/IF(Grandview_Inventory[[#This Row],[unbuildable]]=1,2,1)</f>
        <v>100159.79183932081</v>
      </c>
      <c r="CA2713">
        <f>IF(ROUND(Grandview_Inventory[[#This Row],[adj_land]]*Lookups!$M$28,-2)&lt;Grandview_Inventory[[#This Row],[min_land]],Grandview_Inventory[[#This Row],[min_land]],ROUND(Grandview_Inventory[[#This Row],[adj_land]]*Lookups!$M$28,-2))</f>
        <v>95200</v>
      </c>
      <c r="CB2713">
        <f>ROUND(Grandview_Inventory[[#This Row],[det_value]]*Lookups!$M$28,-2)</f>
        <v>0</v>
      </c>
      <c r="CC271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3">
        <f>Grandview_Inventory[[#This Row],[final_det]]+Grandview_Inventory[[#This Row],[final_res]]</f>
        <v>0</v>
      </c>
      <c r="CE2713">
        <f>Grandview_Inventory[[#This Row],[final_land]]+Grandview_Inventory[[#This Row],[final_imp]]+Grandview_Inventory[[#This Row],[crop_value]]</f>
        <v>95200</v>
      </c>
      <c r="CG2713" t="str">
        <f t="shared" si="42"/>
        <v>update valuation set market_land =95200, market_bldg=0, market_total =95200, market_mdno =401, market_date ='9/10/2023' where link_id = (select link_id from parcel where parcel_year = '2024' and parcel_id = '23092311499');</v>
      </c>
    </row>
    <row r="2714" spans="1:85" x14ac:dyDescent="0.25">
      <c r="A2714">
        <v>23092314417</v>
      </c>
      <c r="B2714">
        <v>0.17</v>
      </c>
      <c r="C2714">
        <v>7405</v>
      </c>
      <c r="D2714" t="s">
        <v>129</v>
      </c>
      <c r="E2714" t="s">
        <v>53</v>
      </c>
      <c r="F2714" t="s">
        <v>53</v>
      </c>
      <c r="G2714">
        <v>4</v>
      </c>
      <c r="H2714" t="s">
        <v>54</v>
      </c>
      <c r="I2714">
        <v>0</v>
      </c>
      <c r="J2714">
        <v>16400</v>
      </c>
      <c r="K2714">
        <v>0.17</v>
      </c>
      <c r="L2714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714">
        <v>0</v>
      </c>
      <c r="N2714">
        <v>1</v>
      </c>
      <c r="O2714">
        <v>0</v>
      </c>
      <c r="P2714">
        <v>13398.7528</v>
      </c>
      <c r="Q2714">
        <v>63903</v>
      </c>
      <c r="R2714">
        <f>(Grandview_Inventory[[#This Row],[ln_acres]]*Grandview_Inventory[[#This Row],[coeff]])+Grandview_Inventory[[#This Row],[const]]</f>
        <v>40160.988302686128</v>
      </c>
      <c r="AY2714">
        <v>0</v>
      </c>
      <c r="AZ2714">
        <v>0</v>
      </c>
      <c r="BE2714">
        <v>0</v>
      </c>
      <c r="BF2714">
        <v>12000</v>
      </c>
      <c r="BG2714">
        <v>0</v>
      </c>
      <c r="BH2714" s="6">
        <f>Grandview_Inventory[[#This Row],[land_extract]]*Lookups!$B$3</f>
        <v>46638.847281240982</v>
      </c>
      <c r="BI2714" s="6">
        <f>IF(Grandview_Inventory[[#This Row],[bldg_style]]="",0,Lookups!$B$2)</f>
        <v>0</v>
      </c>
      <c r="BJ2714" s="6">
        <f>_xlfn.IFNA(VLOOKUP(Grandview_Inventory[[#This Row],[quality]],Lookups!$H$2:$J$14,3,FALSE),0)</f>
        <v>0</v>
      </c>
      <c r="BK2714" s="6">
        <f>_xlfn.IFNA(VLOOKUP(Grandview_Inventory[[#This Row],[condition]],Lookups!$H$17:$J$24,3,FALSE),0)</f>
        <v>0</v>
      </c>
      <c r="BL2714" s="6">
        <f>Grandview_Inventory[[#This Row],[Eff_Age]]*Lookups!$B$14</f>
        <v>0</v>
      </c>
      <c r="BM2714" s="6">
        <f>Grandview_Inventory[[#This Row],[living_area]]*Lookups!$B$15</f>
        <v>0</v>
      </c>
      <c r="BN2714" s="6">
        <f>Grandview_Inventory[[#This Row],[Fin BSMT]]*Lookups!$B$16</f>
        <v>0</v>
      </c>
      <c r="BO2714" s="6">
        <f>(Grandview_Inventory[[#This Row],[att_gar]]+Grandview_Inventory[[#This Row],[bltin_gar]])*Lookups!$B$17</f>
        <v>0</v>
      </c>
      <c r="BP2714" s="6">
        <f>Grandview_Inventory[[#This Row],[Plumbing Fixtures]]*Lookups!$B$18</f>
        <v>0</v>
      </c>
      <c r="BQ2714" s="6">
        <f>Grandview_Inventory[[#This Row],[detatched_value]]*Lookups!$B$19</f>
        <v>0</v>
      </c>
      <c r="BR2714" s="6">
        <f>SUM(Grandview_Inventory[[#This Row],[Intercept]:[det_value]])*Grandview_Inventory[[#This Row],[res_pct]]</f>
        <v>0</v>
      </c>
      <c r="BS2714" s="6">
        <f>Grandview_Inventory[[#This Row],[land_value]]</f>
        <v>46638.847281240982</v>
      </c>
      <c r="BT2714" s="4">
        <f>_xlfn.IFNA(VLOOKUP(Grandview_Inventory[[#This Row],[quality]],Lookups!$A$26:$C$33,3,FALSE),1)</f>
        <v>1</v>
      </c>
      <c r="BU2714" s="4">
        <f>_xlfn.IFNA(VLOOKUP(Grandview_Inventory[[#This Row],[condition]],Lookups!$A$37:$C$44,3,FALSE),1)</f>
        <v>1</v>
      </c>
      <c r="BV2714" s="4">
        <f>IF(Grandview_Inventory[[#This Row],[bldg_style]]="",1,_xlfn.IFNA(VLOOKUP(Grandview_Inventory[[#This Row],[decade]],Lookups!$F$29:$H$43,3,FALSE),1))</f>
        <v>1</v>
      </c>
      <c r="BW2714" s="4">
        <f>_xlfn.IFNA(VLOOKUP(Grandview_Inventory[[#This Row],[living_area_range]],Lookups!$F$47:$H$56,3,FALSE),1)</f>
        <v>1</v>
      </c>
      <c r="BX2714" s="4">
        <f>AVERAGE(Grandview_Inventory[[#This Row],[qual_adj]:[size_adj]])</f>
        <v>1</v>
      </c>
      <c r="BY2714" s="6">
        <f>IF(Grandview_Inventory[[#This Row],[pre_res]]&lt;0,0,Grandview_Inventory[[#This Row],[pre_res]]*Grandview_Inventory[[#This Row],[overall_adj]])</f>
        <v>0</v>
      </c>
      <c r="BZ2714" s="6">
        <f>(Grandview_Inventory[[#This Row],[sum_land]]-IF(Grandview_Inventory[[#This Row],[no_utilities]]=1,12000,0))/IF(Grandview_Inventory[[#This Row],[unbuildable]]=1,2,1)</f>
        <v>23319.423640620491</v>
      </c>
      <c r="CA2714">
        <f>IF(ROUND(Grandview_Inventory[[#This Row],[adj_land]]*Lookups!$M$28,-2)&lt;Grandview_Inventory[[#This Row],[min_land]],Grandview_Inventory[[#This Row],[min_land]],ROUND(Grandview_Inventory[[#This Row],[adj_land]]*Lookups!$M$28,-2))</f>
        <v>22200</v>
      </c>
      <c r="CB2714">
        <f>ROUND(Grandview_Inventory[[#This Row],[det_value]]*Lookups!$M$28,-2)</f>
        <v>0</v>
      </c>
      <c r="CC271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4">
        <f>Grandview_Inventory[[#This Row],[final_det]]+Grandview_Inventory[[#This Row],[final_res]]</f>
        <v>0</v>
      </c>
      <c r="CE2714">
        <f>Grandview_Inventory[[#This Row],[final_land]]+Grandview_Inventory[[#This Row],[final_imp]]+Grandview_Inventory[[#This Row],[crop_value]]</f>
        <v>22200</v>
      </c>
      <c r="CG2714" t="str">
        <f t="shared" si="42"/>
        <v>update valuation set market_land =22200, market_bldg=0, market_total =22200, market_mdno =401, market_date ='9/10/2023' where link_id = (select link_id from parcel where parcel_year = '2024' and parcel_id = '23092314417');</v>
      </c>
    </row>
    <row r="2715" spans="1:85" x14ac:dyDescent="0.25">
      <c r="A2715">
        <v>23092314497</v>
      </c>
      <c r="B2715">
        <v>0.1</v>
      </c>
      <c r="C2715">
        <v>4371</v>
      </c>
      <c r="D2715" t="s">
        <v>129</v>
      </c>
      <c r="E2715" t="s">
        <v>53</v>
      </c>
      <c r="F2715" t="s">
        <v>53</v>
      </c>
      <c r="G2715">
        <v>4</v>
      </c>
      <c r="H2715" t="s">
        <v>54</v>
      </c>
      <c r="I2715">
        <v>0</v>
      </c>
      <c r="J2715">
        <v>31400</v>
      </c>
      <c r="K2715">
        <v>0.1</v>
      </c>
      <c r="L2715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2715">
        <v>0</v>
      </c>
      <c r="N2715">
        <v>0</v>
      </c>
      <c r="O2715">
        <v>0</v>
      </c>
      <c r="P2715">
        <v>13398.7528</v>
      </c>
      <c r="Q2715">
        <v>63903</v>
      </c>
      <c r="R2715">
        <f>(Grandview_Inventory[[#This Row],[ln_acres]]*Grandview_Inventory[[#This Row],[coeff]])+Grandview_Inventory[[#This Row],[const]]</f>
        <v>33051.231538007778</v>
      </c>
      <c r="AY2715">
        <v>0</v>
      </c>
      <c r="AZ2715">
        <v>0</v>
      </c>
      <c r="BE2715">
        <v>0</v>
      </c>
      <c r="BF2715">
        <v>15000</v>
      </c>
      <c r="BG2715">
        <v>0</v>
      </c>
      <c r="BH2715" s="6">
        <f>Grandview_Inventory[[#This Row],[land_extract]]*Lookups!$B$3</f>
        <v>38382.305946763277</v>
      </c>
      <c r="BI2715" s="6">
        <f>IF(Grandview_Inventory[[#This Row],[bldg_style]]="",0,Lookups!$B$2)</f>
        <v>0</v>
      </c>
      <c r="BJ2715" s="6">
        <f>_xlfn.IFNA(VLOOKUP(Grandview_Inventory[[#This Row],[quality]],Lookups!$H$2:$J$14,3,FALSE),0)</f>
        <v>0</v>
      </c>
      <c r="BK2715" s="6">
        <f>_xlfn.IFNA(VLOOKUP(Grandview_Inventory[[#This Row],[condition]],Lookups!$H$17:$J$24,3,FALSE),0)</f>
        <v>0</v>
      </c>
      <c r="BL2715" s="6">
        <f>Grandview_Inventory[[#This Row],[Eff_Age]]*Lookups!$B$14</f>
        <v>0</v>
      </c>
      <c r="BM2715" s="6">
        <f>Grandview_Inventory[[#This Row],[living_area]]*Lookups!$B$15</f>
        <v>0</v>
      </c>
      <c r="BN2715" s="6">
        <f>Grandview_Inventory[[#This Row],[Fin BSMT]]*Lookups!$B$16</f>
        <v>0</v>
      </c>
      <c r="BO2715" s="6">
        <f>(Grandview_Inventory[[#This Row],[att_gar]]+Grandview_Inventory[[#This Row],[bltin_gar]])*Lookups!$B$17</f>
        <v>0</v>
      </c>
      <c r="BP2715" s="6">
        <f>Grandview_Inventory[[#This Row],[Plumbing Fixtures]]*Lookups!$B$18</f>
        <v>0</v>
      </c>
      <c r="BQ2715" s="6">
        <f>Grandview_Inventory[[#This Row],[detatched_value]]*Lookups!$B$19</f>
        <v>0</v>
      </c>
      <c r="BR2715" s="6">
        <f>SUM(Grandview_Inventory[[#This Row],[Intercept]:[det_value]])*Grandview_Inventory[[#This Row],[res_pct]]</f>
        <v>0</v>
      </c>
      <c r="BS2715" s="6">
        <f>Grandview_Inventory[[#This Row],[land_value]]</f>
        <v>38382.305946763277</v>
      </c>
      <c r="BT2715" s="4">
        <f>_xlfn.IFNA(VLOOKUP(Grandview_Inventory[[#This Row],[quality]],Lookups!$A$26:$C$33,3,FALSE),1)</f>
        <v>1</v>
      </c>
      <c r="BU2715" s="4">
        <f>_xlfn.IFNA(VLOOKUP(Grandview_Inventory[[#This Row],[condition]],Lookups!$A$37:$C$44,3,FALSE),1)</f>
        <v>1</v>
      </c>
      <c r="BV2715" s="4">
        <f>IF(Grandview_Inventory[[#This Row],[bldg_style]]="",1,_xlfn.IFNA(VLOOKUP(Grandview_Inventory[[#This Row],[decade]],Lookups!$F$29:$H$43,3,FALSE),1))</f>
        <v>1</v>
      </c>
      <c r="BW2715" s="4">
        <f>_xlfn.IFNA(VLOOKUP(Grandview_Inventory[[#This Row],[living_area_range]],Lookups!$F$47:$H$56,3,FALSE),1)</f>
        <v>1</v>
      </c>
      <c r="BX2715" s="4">
        <f>AVERAGE(Grandview_Inventory[[#This Row],[qual_adj]:[size_adj]])</f>
        <v>1</v>
      </c>
      <c r="BY2715" s="6">
        <f>IF(Grandview_Inventory[[#This Row],[pre_res]]&lt;0,0,Grandview_Inventory[[#This Row],[pre_res]]*Grandview_Inventory[[#This Row],[overall_adj]])</f>
        <v>0</v>
      </c>
      <c r="BZ2715" s="6">
        <f>(Grandview_Inventory[[#This Row],[sum_land]]-IF(Grandview_Inventory[[#This Row],[no_utilities]]=1,12000,0))/IF(Grandview_Inventory[[#This Row],[unbuildable]]=1,2,1)</f>
        <v>38382.305946763277</v>
      </c>
      <c r="CA2715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2715">
        <f>ROUND(Grandview_Inventory[[#This Row],[det_value]]*Lookups!$M$28,-2)</f>
        <v>0</v>
      </c>
      <c r="CC271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5">
        <f>Grandview_Inventory[[#This Row],[final_det]]+Grandview_Inventory[[#This Row],[final_res]]</f>
        <v>0</v>
      </c>
      <c r="CE2715">
        <f>Grandview_Inventory[[#This Row],[final_land]]+Grandview_Inventory[[#This Row],[final_imp]]+Grandview_Inventory[[#This Row],[crop_value]]</f>
        <v>36500</v>
      </c>
      <c r="CG2715" t="str">
        <f t="shared" si="42"/>
        <v>update valuation set market_land =36500, market_bldg=0, market_total =36500, market_mdno =401, market_date ='9/10/2023' where link_id = (select link_id from parcel where parcel_year = '2024' and parcel_id = '23092314497');</v>
      </c>
    </row>
    <row r="2716" spans="1:85" x14ac:dyDescent="0.25">
      <c r="A2716">
        <v>23092314498</v>
      </c>
      <c r="B2716">
        <v>0.01</v>
      </c>
      <c r="C2716">
        <v>442</v>
      </c>
      <c r="D2716" t="s">
        <v>129</v>
      </c>
      <c r="E2716" t="s">
        <v>53</v>
      </c>
      <c r="F2716" t="s">
        <v>53</v>
      </c>
      <c r="G2716">
        <v>4</v>
      </c>
      <c r="H2716" t="s">
        <v>54</v>
      </c>
      <c r="I2716">
        <v>0</v>
      </c>
      <c r="J2716">
        <v>300</v>
      </c>
      <c r="K2716">
        <v>0.01</v>
      </c>
      <c r="L2716">
        <f>IF(Grandview_Inventory[[#This Row],[parcel_acres]]-Grandview_Inventory[[#This Row],[non_valued_acres]] =0,0,LN(Grandview_Inventory[[#This Row],[parcel_acres]]-Grandview_Inventory[[#This Row],[non_valued_acres]]))</f>
        <v>-4.6051701859880909</v>
      </c>
      <c r="M2716">
        <v>0</v>
      </c>
      <c r="N2716">
        <v>1</v>
      </c>
      <c r="O2716">
        <v>0</v>
      </c>
      <c r="P2716">
        <v>13398.7528</v>
      </c>
      <c r="Q2716">
        <v>63903</v>
      </c>
      <c r="R2716">
        <f>(Grandview_Inventory[[#This Row],[ln_acres]]*Grandview_Inventory[[#This Row],[coeff]])+Grandview_Inventory[[#This Row],[const]]</f>
        <v>2199.4630760155487</v>
      </c>
      <c r="AY2716">
        <v>0</v>
      </c>
      <c r="AZ2716">
        <v>0</v>
      </c>
      <c r="BE2716">
        <v>0</v>
      </c>
      <c r="BF2716">
        <v>12000</v>
      </c>
      <c r="BG2716">
        <v>0</v>
      </c>
      <c r="BH2716" s="6">
        <f>Grandview_Inventory[[#This Row],[land_extract]]*Lookups!$B$3</f>
        <v>2554.2305316265515</v>
      </c>
      <c r="BI2716" s="6">
        <f>IF(Grandview_Inventory[[#This Row],[bldg_style]]="",0,Lookups!$B$2)</f>
        <v>0</v>
      </c>
      <c r="BJ2716" s="6">
        <f>_xlfn.IFNA(VLOOKUP(Grandview_Inventory[[#This Row],[quality]],Lookups!$H$2:$J$14,3,FALSE),0)</f>
        <v>0</v>
      </c>
      <c r="BK2716" s="6">
        <f>_xlfn.IFNA(VLOOKUP(Grandview_Inventory[[#This Row],[condition]],Lookups!$H$17:$J$24,3,FALSE),0)</f>
        <v>0</v>
      </c>
      <c r="BL2716" s="6">
        <f>Grandview_Inventory[[#This Row],[Eff_Age]]*Lookups!$B$14</f>
        <v>0</v>
      </c>
      <c r="BM2716" s="6">
        <f>Grandview_Inventory[[#This Row],[living_area]]*Lookups!$B$15</f>
        <v>0</v>
      </c>
      <c r="BN2716" s="6">
        <f>Grandview_Inventory[[#This Row],[Fin BSMT]]*Lookups!$B$16</f>
        <v>0</v>
      </c>
      <c r="BO2716" s="6">
        <f>(Grandview_Inventory[[#This Row],[att_gar]]+Grandview_Inventory[[#This Row],[bltin_gar]])*Lookups!$B$17</f>
        <v>0</v>
      </c>
      <c r="BP2716" s="6">
        <f>Grandview_Inventory[[#This Row],[Plumbing Fixtures]]*Lookups!$B$18</f>
        <v>0</v>
      </c>
      <c r="BQ2716" s="6">
        <f>Grandview_Inventory[[#This Row],[detatched_value]]*Lookups!$B$19</f>
        <v>0</v>
      </c>
      <c r="BR2716" s="6">
        <f>SUM(Grandview_Inventory[[#This Row],[Intercept]:[det_value]])*Grandview_Inventory[[#This Row],[res_pct]]</f>
        <v>0</v>
      </c>
      <c r="BS2716" s="6">
        <f>Grandview_Inventory[[#This Row],[land_value]]</f>
        <v>2554.2305316265515</v>
      </c>
      <c r="BT2716" s="4">
        <f>_xlfn.IFNA(VLOOKUP(Grandview_Inventory[[#This Row],[quality]],Lookups!$A$26:$C$33,3,FALSE),1)</f>
        <v>1</v>
      </c>
      <c r="BU2716" s="4">
        <f>_xlfn.IFNA(VLOOKUP(Grandview_Inventory[[#This Row],[condition]],Lookups!$A$37:$C$44,3,FALSE),1)</f>
        <v>1</v>
      </c>
      <c r="BV2716" s="4">
        <f>IF(Grandview_Inventory[[#This Row],[bldg_style]]="",1,_xlfn.IFNA(VLOOKUP(Grandview_Inventory[[#This Row],[decade]],Lookups!$F$29:$H$43,3,FALSE),1))</f>
        <v>1</v>
      </c>
      <c r="BW2716" s="4">
        <f>_xlfn.IFNA(VLOOKUP(Grandview_Inventory[[#This Row],[living_area_range]],Lookups!$F$47:$H$56,3,FALSE),1)</f>
        <v>1</v>
      </c>
      <c r="BX2716" s="4">
        <f>AVERAGE(Grandview_Inventory[[#This Row],[qual_adj]:[size_adj]])</f>
        <v>1</v>
      </c>
      <c r="BY2716" s="6">
        <f>IF(Grandview_Inventory[[#This Row],[pre_res]]&lt;0,0,Grandview_Inventory[[#This Row],[pre_res]]*Grandview_Inventory[[#This Row],[overall_adj]])</f>
        <v>0</v>
      </c>
      <c r="BZ2716" s="6">
        <f>(Grandview_Inventory[[#This Row],[sum_land]]-IF(Grandview_Inventory[[#This Row],[no_utilities]]=1,12000,0))/IF(Grandview_Inventory[[#This Row],[unbuildable]]=1,2,1)</f>
        <v>1277.1152658132758</v>
      </c>
      <c r="CA2716">
        <f>IF(ROUND(Grandview_Inventory[[#This Row],[adj_land]]*Lookups!$M$28,-2)&lt;Grandview_Inventory[[#This Row],[min_land]],Grandview_Inventory[[#This Row],[min_land]],ROUND(Grandview_Inventory[[#This Row],[adj_land]]*Lookups!$M$28,-2))</f>
        <v>12000</v>
      </c>
      <c r="CB2716">
        <f>ROUND(Grandview_Inventory[[#This Row],[det_value]]*Lookups!$M$28,-2)</f>
        <v>0</v>
      </c>
      <c r="CC271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6">
        <f>Grandview_Inventory[[#This Row],[final_det]]+Grandview_Inventory[[#This Row],[final_res]]</f>
        <v>0</v>
      </c>
      <c r="CE2716">
        <f>Grandview_Inventory[[#This Row],[final_land]]+Grandview_Inventory[[#This Row],[final_imp]]+Grandview_Inventory[[#This Row],[crop_value]]</f>
        <v>12000</v>
      </c>
      <c r="CG2716" t="str">
        <f t="shared" si="42"/>
        <v>update valuation set market_land =12000, market_bldg=0, market_total =12000, market_mdno =401, market_date ='9/10/2023' where link_id = (select link_id from parcel where parcel_year = '2024' and parcel_id = '23092314498');</v>
      </c>
    </row>
    <row r="2717" spans="1:85" x14ac:dyDescent="0.25">
      <c r="A2717">
        <v>23092314548</v>
      </c>
      <c r="B2717">
        <v>0.82</v>
      </c>
      <c r="C2717">
        <v>35696</v>
      </c>
      <c r="D2717" t="s">
        <v>129</v>
      </c>
      <c r="E2717" t="s">
        <v>53</v>
      </c>
      <c r="F2717" t="s">
        <v>53</v>
      </c>
      <c r="G2717">
        <v>4</v>
      </c>
      <c r="H2717" t="s">
        <v>54</v>
      </c>
      <c r="I2717">
        <v>0</v>
      </c>
      <c r="J2717">
        <v>36500</v>
      </c>
      <c r="K2717">
        <v>0.82</v>
      </c>
      <c r="L2717">
        <f>IF(Grandview_Inventory[[#This Row],[parcel_acres]]-Grandview_Inventory[[#This Row],[non_valued_acres]] =0,0,LN(Grandview_Inventory[[#This Row],[parcel_acres]]-Grandview_Inventory[[#This Row],[non_valued_acres]]))</f>
        <v>-0.19845093872383832</v>
      </c>
      <c r="M2717">
        <v>0</v>
      </c>
      <c r="N2717">
        <v>0</v>
      </c>
      <c r="O2717">
        <v>0</v>
      </c>
      <c r="P2717">
        <v>13398.7528</v>
      </c>
      <c r="Q2717">
        <v>63903</v>
      </c>
      <c r="R2717">
        <f>(Grandview_Inventory[[#This Row],[ln_acres]]*Grandview_Inventory[[#This Row],[coeff]])+Grandview_Inventory[[#This Row],[const]]</f>
        <v>61244.004929111339</v>
      </c>
      <c r="AY2717">
        <v>0</v>
      </c>
      <c r="AZ2717">
        <v>0</v>
      </c>
      <c r="BE2717">
        <v>0</v>
      </c>
      <c r="BF2717">
        <v>15000</v>
      </c>
      <c r="BG2717">
        <v>0</v>
      </c>
      <c r="BH2717" s="6">
        <f>Grandview_Inventory[[#This Row],[land_extract]]*Lookups!$B$3</f>
        <v>71122.497565363694</v>
      </c>
      <c r="BI2717" s="6">
        <f>IF(Grandview_Inventory[[#This Row],[bldg_style]]="",0,Lookups!$B$2)</f>
        <v>0</v>
      </c>
      <c r="BJ2717" s="6">
        <f>_xlfn.IFNA(VLOOKUP(Grandview_Inventory[[#This Row],[quality]],Lookups!$H$2:$J$14,3,FALSE),0)</f>
        <v>0</v>
      </c>
      <c r="BK2717" s="6">
        <f>_xlfn.IFNA(VLOOKUP(Grandview_Inventory[[#This Row],[condition]],Lookups!$H$17:$J$24,3,FALSE),0)</f>
        <v>0</v>
      </c>
      <c r="BL2717" s="6">
        <f>Grandview_Inventory[[#This Row],[Eff_Age]]*Lookups!$B$14</f>
        <v>0</v>
      </c>
      <c r="BM2717" s="6">
        <f>Grandview_Inventory[[#This Row],[living_area]]*Lookups!$B$15</f>
        <v>0</v>
      </c>
      <c r="BN2717" s="6">
        <f>Grandview_Inventory[[#This Row],[Fin BSMT]]*Lookups!$B$16</f>
        <v>0</v>
      </c>
      <c r="BO2717" s="6">
        <f>(Grandview_Inventory[[#This Row],[att_gar]]+Grandview_Inventory[[#This Row],[bltin_gar]])*Lookups!$B$17</f>
        <v>0</v>
      </c>
      <c r="BP2717" s="6">
        <f>Grandview_Inventory[[#This Row],[Plumbing Fixtures]]*Lookups!$B$18</f>
        <v>0</v>
      </c>
      <c r="BQ2717" s="6">
        <f>Grandview_Inventory[[#This Row],[detatched_value]]*Lookups!$B$19</f>
        <v>0</v>
      </c>
      <c r="BR2717" s="6">
        <f>SUM(Grandview_Inventory[[#This Row],[Intercept]:[det_value]])*Grandview_Inventory[[#This Row],[res_pct]]</f>
        <v>0</v>
      </c>
      <c r="BS2717" s="6">
        <f>Grandview_Inventory[[#This Row],[land_value]]</f>
        <v>71122.497565363694</v>
      </c>
      <c r="BT2717" s="4">
        <f>_xlfn.IFNA(VLOOKUP(Grandview_Inventory[[#This Row],[quality]],Lookups!$A$26:$C$33,3,FALSE),1)</f>
        <v>1</v>
      </c>
      <c r="BU2717" s="4">
        <f>_xlfn.IFNA(VLOOKUP(Grandview_Inventory[[#This Row],[condition]],Lookups!$A$37:$C$44,3,FALSE),1)</f>
        <v>1</v>
      </c>
      <c r="BV2717" s="4">
        <f>IF(Grandview_Inventory[[#This Row],[bldg_style]]="",1,_xlfn.IFNA(VLOOKUP(Grandview_Inventory[[#This Row],[decade]],Lookups!$F$29:$H$43,3,FALSE),1))</f>
        <v>1</v>
      </c>
      <c r="BW2717" s="4">
        <f>_xlfn.IFNA(VLOOKUP(Grandview_Inventory[[#This Row],[living_area_range]],Lookups!$F$47:$H$56,3,FALSE),1)</f>
        <v>1</v>
      </c>
      <c r="BX2717" s="4">
        <f>AVERAGE(Grandview_Inventory[[#This Row],[qual_adj]:[size_adj]])</f>
        <v>1</v>
      </c>
      <c r="BY2717" s="6">
        <f>IF(Grandview_Inventory[[#This Row],[pre_res]]&lt;0,0,Grandview_Inventory[[#This Row],[pre_res]]*Grandview_Inventory[[#This Row],[overall_adj]])</f>
        <v>0</v>
      </c>
      <c r="BZ2717" s="6">
        <f>(Grandview_Inventory[[#This Row],[sum_land]]-IF(Grandview_Inventory[[#This Row],[no_utilities]]=1,12000,0))/IF(Grandview_Inventory[[#This Row],[unbuildable]]=1,2,1)</f>
        <v>71122.497565363694</v>
      </c>
      <c r="CA2717">
        <f>IF(ROUND(Grandview_Inventory[[#This Row],[adj_land]]*Lookups!$M$28,-2)&lt;Grandview_Inventory[[#This Row],[min_land]],Grandview_Inventory[[#This Row],[min_land]],ROUND(Grandview_Inventory[[#This Row],[adj_land]]*Lookups!$M$28,-2))</f>
        <v>67600</v>
      </c>
      <c r="CB2717">
        <f>ROUND(Grandview_Inventory[[#This Row],[det_value]]*Lookups!$M$28,-2)</f>
        <v>0</v>
      </c>
      <c r="CC271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7">
        <f>Grandview_Inventory[[#This Row],[final_det]]+Grandview_Inventory[[#This Row],[final_res]]</f>
        <v>0</v>
      </c>
      <c r="CE2717">
        <f>Grandview_Inventory[[#This Row],[final_land]]+Grandview_Inventory[[#This Row],[final_imp]]+Grandview_Inventory[[#This Row],[crop_value]]</f>
        <v>67600</v>
      </c>
      <c r="CG2717" t="str">
        <f t="shared" si="42"/>
        <v>update valuation set market_land =67600, market_bldg=0, market_total =67600, market_mdno =401, market_date ='9/10/2023' where link_id = (select link_id from parcel where parcel_year = '2024' and parcel_id = '23092314548');</v>
      </c>
    </row>
    <row r="2718" spans="1:85" x14ac:dyDescent="0.25">
      <c r="A2718">
        <v>23092314552</v>
      </c>
      <c r="B2718">
        <v>0.11</v>
      </c>
      <c r="C2718">
        <v>4811</v>
      </c>
      <c r="D2718" t="s">
        <v>129</v>
      </c>
      <c r="E2718" t="s">
        <v>53</v>
      </c>
      <c r="F2718" t="s">
        <v>53</v>
      </c>
      <c r="G2718">
        <v>4</v>
      </c>
      <c r="H2718" t="s">
        <v>54</v>
      </c>
      <c r="I2718">
        <v>0</v>
      </c>
      <c r="J2718">
        <v>38100</v>
      </c>
      <c r="K2718">
        <v>0.11</v>
      </c>
      <c r="L2718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718">
        <v>0</v>
      </c>
      <c r="N2718">
        <v>0</v>
      </c>
      <c r="O2718">
        <v>0</v>
      </c>
      <c r="P2718">
        <v>13398.7528</v>
      </c>
      <c r="Q2718">
        <v>63903</v>
      </c>
      <c r="R2718">
        <f>(Grandview_Inventory[[#This Row],[ln_acres]]*Grandview_Inventory[[#This Row],[coeff]])+Grandview_Inventory[[#This Row],[const]]</f>
        <v>34328.269076529468</v>
      </c>
      <c r="AY2718">
        <v>0</v>
      </c>
      <c r="AZ2718">
        <v>0</v>
      </c>
      <c r="BE2718">
        <v>0</v>
      </c>
      <c r="BF2718">
        <v>15000</v>
      </c>
      <c r="BG2718">
        <v>0</v>
      </c>
      <c r="BH2718" s="6">
        <f>Grandview_Inventory[[#This Row],[land_extract]]*Lookups!$B$3</f>
        <v>39865.326192247165</v>
      </c>
      <c r="BI2718" s="6">
        <f>IF(Grandview_Inventory[[#This Row],[bldg_style]]="",0,Lookups!$B$2)</f>
        <v>0</v>
      </c>
      <c r="BJ2718" s="6">
        <f>_xlfn.IFNA(VLOOKUP(Grandview_Inventory[[#This Row],[quality]],Lookups!$H$2:$J$14,3,FALSE),0)</f>
        <v>0</v>
      </c>
      <c r="BK2718" s="6">
        <f>_xlfn.IFNA(VLOOKUP(Grandview_Inventory[[#This Row],[condition]],Lookups!$H$17:$J$24,3,FALSE),0)</f>
        <v>0</v>
      </c>
      <c r="BL2718" s="6">
        <f>Grandview_Inventory[[#This Row],[Eff_Age]]*Lookups!$B$14</f>
        <v>0</v>
      </c>
      <c r="BM2718" s="6">
        <f>Grandview_Inventory[[#This Row],[living_area]]*Lookups!$B$15</f>
        <v>0</v>
      </c>
      <c r="BN2718" s="6">
        <f>Grandview_Inventory[[#This Row],[Fin BSMT]]*Lookups!$B$16</f>
        <v>0</v>
      </c>
      <c r="BO2718" s="6">
        <f>(Grandview_Inventory[[#This Row],[att_gar]]+Grandview_Inventory[[#This Row],[bltin_gar]])*Lookups!$B$17</f>
        <v>0</v>
      </c>
      <c r="BP2718" s="6">
        <f>Grandview_Inventory[[#This Row],[Plumbing Fixtures]]*Lookups!$B$18</f>
        <v>0</v>
      </c>
      <c r="BQ2718" s="6">
        <f>Grandview_Inventory[[#This Row],[detatched_value]]*Lookups!$B$19</f>
        <v>0</v>
      </c>
      <c r="BR2718" s="6">
        <f>SUM(Grandview_Inventory[[#This Row],[Intercept]:[det_value]])*Grandview_Inventory[[#This Row],[res_pct]]</f>
        <v>0</v>
      </c>
      <c r="BS2718" s="6">
        <f>Grandview_Inventory[[#This Row],[land_value]]</f>
        <v>39865.326192247165</v>
      </c>
      <c r="BT2718" s="4">
        <f>_xlfn.IFNA(VLOOKUP(Grandview_Inventory[[#This Row],[quality]],Lookups!$A$26:$C$33,3,FALSE),1)</f>
        <v>1</v>
      </c>
      <c r="BU2718" s="4">
        <f>_xlfn.IFNA(VLOOKUP(Grandview_Inventory[[#This Row],[condition]],Lookups!$A$37:$C$44,3,FALSE),1)</f>
        <v>1</v>
      </c>
      <c r="BV2718" s="4">
        <f>IF(Grandview_Inventory[[#This Row],[bldg_style]]="",1,_xlfn.IFNA(VLOOKUP(Grandview_Inventory[[#This Row],[decade]],Lookups!$F$29:$H$43,3,FALSE),1))</f>
        <v>1</v>
      </c>
      <c r="BW2718" s="4">
        <f>_xlfn.IFNA(VLOOKUP(Grandview_Inventory[[#This Row],[living_area_range]],Lookups!$F$47:$H$56,3,FALSE),1)</f>
        <v>1</v>
      </c>
      <c r="BX2718" s="4">
        <f>AVERAGE(Grandview_Inventory[[#This Row],[qual_adj]:[size_adj]])</f>
        <v>1</v>
      </c>
      <c r="BY2718" s="6">
        <f>IF(Grandview_Inventory[[#This Row],[pre_res]]&lt;0,0,Grandview_Inventory[[#This Row],[pre_res]]*Grandview_Inventory[[#This Row],[overall_adj]])</f>
        <v>0</v>
      </c>
      <c r="BZ2718" s="6">
        <f>(Grandview_Inventory[[#This Row],[sum_land]]-IF(Grandview_Inventory[[#This Row],[no_utilities]]=1,12000,0))/IF(Grandview_Inventory[[#This Row],[unbuildable]]=1,2,1)</f>
        <v>39865.326192247165</v>
      </c>
      <c r="CA2718">
        <f>IF(ROUND(Grandview_Inventory[[#This Row],[adj_land]]*Lookups!$M$28,-2)&lt;Grandview_Inventory[[#This Row],[min_land]],Grandview_Inventory[[#This Row],[min_land]],ROUND(Grandview_Inventory[[#This Row],[adj_land]]*Lookups!$M$28,-2))</f>
        <v>37900</v>
      </c>
      <c r="CB2718">
        <f>ROUND(Grandview_Inventory[[#This Row],[det_value]]*Lookups!$M$28,-2)</f>
        <v>0</v>
      </c>
      <c r="CC271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8">
        <f>Grandview_Inventory[[#This Row],[final_det]]+Grandview_Inventory[[#This Row],[final_res]]</f>
        <v>0</v>
      </c>
      <c r="CE2718">
        <f>Grandview_Inventory[[#This Row],[final_land]]+Grandview_Inventory[[#This Row],[final_imp]]+Grandview_Inventory[[#This Row],[crop_value]]</f>
        <v>37900</v>
      </c>
      <c r="CG2718" t="str">
        <f t="shared" si="42"/>
        <v>update valuation set market_land =37900, market_bldg=0, market_total =37900, market_mdno =401, market_date ='9/10/2023' where link_id = (select link_id from parcel where parcel_year = '2024' and parcel_id = '23092314552');</v>
      </c>
    </row>
    <row r="2719" spans="1:85" x14ac:dyDescent="0.25">
      <c r="A2719">
        <v>23092321431</v>
      </c>
      <c r="B2719">
        <v>0.16</v>
      </c>
      <c r="C2719">
        <v>6990</v>
      </c>
      <c r="D2719" t="s">
        <v>129</v>
      </c>
      <c r="E2719" t="s">
        <v>53</v>
      </c>
      <c r="F2719" t="s">
        <v>53</v>
      </c>
      <c r="G2719">
        <v>4</v>
      </c>
      <c r="H2719" t="s">
        <v>54</v>
      </c>
      <c r="I2719">
        <v>0</v>
      </c>
      <c r="J2719">
        <v>36300</v>
      </c>
      <c r="K2719">
        <v>0.16</v>
      </c>
      <c r="L2719">
        <f>IF(Grandview_Inventory[[#This Row],[parcel_acres]]-Grandview_Inventory[[#This Row],[non_valued_acres]] =0,0,LN(Grandview_Inventory[[#This Row],[parcel_acres]]-Grandview_Inventory[[#This Row],[non_valued_acres]]))</f>
        <v>-1.8325814637483102</v>
      </c>
      <c r="M2719">
        <v>0</v>
      </c>
      <c r="N2719">
        <v>0</v>
      </c>
      <c r="O2719">
        <v>0</v>
      </c>
      <c r="P2719">
        <v>13398.7528</v>
      </c>
      <c r="Q2719">
        <v>63903</v>
      </c>
      <c r="R2719">
        <f>(Grandview_Inventory[[#This Row],[ln_acres]]*Grandview_Inventory[[#This Row],[coeff]])+Grandview_Inventory[[#This Row],[const]]</f>
        <v>39348.693981374228</v>
      </c>
      <c r="AY2719">
        <v>0</v>
      </c>
      <c r="AZ2719">
        <v>0</v>
      </c>
      <c r="BE2719">
        <v>0</v>
      </c>
      <c r="BF2719">
        <v>15000</v>
      </c>
      <c r="BG2719">
        <v>0</v>
      </c>
      <c r="BH2719" s="6">
        <f>Grandview_Inventory[[#This Row],[land_extract]]*Lookups!$B$3</f>
        <v>45695.532079096141</v>
      </c>
      <c r="BI2719" s="6">
        <f>IF(Grandview_Inventory[[#This Row],[bldg_style]]="",0,Lookups!$B$2)</f>
        <v>0</v>
      </c>
      <c r="BJ2719" s="6">
        <f>_xlfn.IFNA(VLOOKUP(Grandview_Inventory[[#This Row],[quality]],Lookups!$H$2:$J$14,3,FALSE),0)</f>
        <v>0</v>
      </c>
      <c r="BK2719" s="6">
        <f>_xlfn.IFNA(VLOOKUP(Grandview_Inventory[[#This Row],[condition]],Lookups!$H$17:$J$24,3,FALSE),0)</f>
        <v>0</v>
      </c>
      <c r="BL2719" s="6">
        <f>Grandview_Inventory[[#This Row],[Eff_Age]]*Lookups!$B$14</f>
        <v>0</v>
      </c>
      <c r="BM2719" s="6">
        <f>Grandview_Inventory[[#This Row],[living_area]]*Lookups!$B$15</f>
        <v>0</v>
      </c>
      <c r="BN2719" s="6">
        <f>Grandview_Inventory[[#This Row],[Fin BSMT]]*Lookups!$B$16</f>
        <v>0</v>
      </c>
      <c r="BO2719" s="6">
        <f>(Grandview_Inventory[[#This Row],[att_gar]]+Grandview_Inventory[[#This Row],[bltin_gar]])*Lookups!$B$17</f>
        <v>0</v>
      </c>
      <c r="BP2719" s="6">
        <f>Grandview_Inventory[[#This Row],[Plumbing Fixtures]]*Lookups!$B$18</f>
        <v>0</v>
      </c>
      <c r="BQ2719" s="6">
        <f>Grandview_Inventory[[#This Row],[detatched_value]]*Lookups!$B$19</f>
        <v>0</v>
      </c>
      <c r="BR2719" s="6">
        <f>SUM(Grandview_Inventory[[#This Row],[Intercept]:[det_value]])*Grandview_Inventory[[#This Row],[res_pct]]</f>
        <v>0</v>
      </c>
      <c r="BS2719" s="6">
        <f>Grandview_Inventory[[#This Row],[land_value]]</f>
        <v>45695.532079096141</v>
      </c>
      <c r="BT2719" s="4">
        <f>_xlfn.IFNA(VLOOKUP(Grandview_Inventory[[#This Row],[quality]],Lookups!$A$26:$C$33,3,FALSE),1)</f>
        <v>1</v>
      </c>
      <c r="BU2719" s="4">
        <f>_xlfn.IFNA(VLOOKUP(Grandview_Inventory[[#This Row],[condition]],Lookups!$A$37:$C$44,3,FALSE),1)</f>
        <v>1</v>
      </c>
      <c r="BV2719" s="4">
        <f>IF(Grandview_Inventory[[#This Row],[bldg_style]]="",1,_xlfn.IFNA(VLOOKUP(Grandview_Inventory[[#This Row],[decade]],Lookups!$F$29:$H$43,3,FALSE),1))</f>
        <v>1</v>
      </c>
      <c r="BW2719" s="4">
        <f>_xlfn.IFNA(VLOOKUP(Grandview_Inventory[[#This Row],[living_area_range]],Lookups!$F$47:$H$56,3,FALSE),1)</f>
        <v>1</v>
      </c>
      <c r="BX2719" s="4">
        <f>AVERAGE(Grandview_Inventory[[#This Row],[qual_adj]:[size_adj]])</f>
        <v>1</v>
      </c>
      <c r="BY2719" s="6">
        <f>IF(Grandview_Inventory[[#This Row],[pre_res]]&lt;0,0,Grandview_Inventory[[#This Row],[pre_res]]*Grandview_Inventory[[#This Row],[overall_adj]])</f>
        <v>0</v>
      </c>
      <c r="BZ2719" s="6">
        <f>(Grandview_Inventory[[#This Row],[sum_land]]-IF(Grandview_Inventory[[#This Row],[no_utilities]]=1,12000,0))/IF(Grandview_Inventory[[#This Row],[unbuildable]]=1,2,1)</f>
        <v>45695.532079096141</v>
      </c>
      <c r="CA2719">
        <f>IF(ROUND(Grandview_Inventory[[#This Row],[adj_land]]*Lookups!$M$28,-2)&lt;Grandview_Inventory[[#This Row],[min_land]],Grandview_Inventory[[#This Row],[min_land]],ROUND(Grandview_Inventory[[#This Row],[adj_land]]*Lookups!$M$28,-2))</f>
        <v>43400</v>
      </c>
      <c r="CB2719">
        <f>ROUND(Grandview_Inventory[[#This Row],[det_value]]*Lookups!$M$28,-2)</f>
        <v>0</v>
      </c>
      <c r="CC271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19">
        <f>Grandview_Inventory[[#This Row],[final_det]]+Grandview_Inventory[[#This Row],[final_res]]</f>
        <v>0</v>
      </c>
      <c r="CE2719">
        <f>Grandview_Inventory[[#This Row],[final_land]]+Grandview_Inventory[[#This Row],[final_imp]]+Grandview_Inventory[[#This Row],[crop_value]]</f>
        <v>43400</v>
      </c>
      <c r="CG2719" t="str">
        <f t="shared" si="42"/>
        <v>update valuation set market_land =43400, market_bldg=0, market_total =43400, market_mdno =401, market_date ='9/10/2023' where link_id = (select link_id from parcel where parcel_year = '2024' and parcel_id = '23092321431');</v>
      </c>
    </row>
    <row r="2720" spans="1:85" x14ac:dyDescent="0.25">
      <c r="A2720">
        <v>23092323401</v>
      </c>
      <c r="B2720">
        <v>0.08</v>
      </c>
      <c r="C2720">
        <v>3297</v>
      </c>
      <c r="D2720" t="s">
        <v>129</v>
      </c>
      <c r="E2720" t="s">
        <v>53</v>
      </c>
      <c r="F2720" t="s">
        <v>53</v>
      </c>
      <c r="G2720">
        <v>4</v>
      </c>
      <c r="H2720" t="s">
        <v>54</v>
      </c>
      <c r="I2720">
        <v>0</v>
      </c>
      <c r="J2720">
        <v>31100</v>
      </c>
      <c r="K2720">
        <v>0.08</v>
      </c>
      <c r="L2720">
        <f>IF(Grandview_Inventory[[#This Row],[parcel_acres]]-Grandview_Inventory[[#This Row],[non_valued_acres]] =0,0,LN(Grandview_Inventory[[#This Row],[parcel_acres]]-Grandview_Inventory[[#This Row],[non_valued_acres]]))</f>
        <v>-2.5257286443082556</v>
      </c>
      <c r="M2720">
        <v>0</v>
      </c>
      <c r="N2720">
        <v>0</v>
      </c>
      <c r="O2720">
        <v>0</v>
      </c>
      <c r="P2720">
        <v>13398.7528</v>
      </c>
      <c r="Q2720">
        <v>63903</v>
      </c>
      <c r="R2720">
        <f>(Grandview_Inventory[[#This Row],[ln_acres]]*Grandview_Inventory[[#This Row],[coeff]])+Grandview_Inventory[[#This Row],[const]]</f>
        <v>30061.386255034558</v>
      </c>
      <c r="AY2720">
        <v>0</v>
      </c>
      <c r="AZ2720">
        <v>0</v>
      </c>
      <c r="BE2720">
        <v>0</v>
      </c>
      <c r="BF2720">
        <v>15000</v>
      </c>
      <c r="BG2720">
        <v>0</v>
      </c>
      <c r="BH2720" s="6">
        <f>Grandview_Inventory[[#This Row],[land_extract]]*Lookups!$B$3</f>
        <v>34910.206692228741</v>
      </c>
      <c r="BI2720" s="6">
        <f>IF(Grandview_Inventory[[#This Row],[bldg_style]]="",0,Lookups!$B$2)</f>
        <v>0</v>
      </c>
      <c r="BJ2720" s="6">
        <f>_xlfn.IFNA(VLOOKUP(Grandview_Inventory[[#This Row],[quality]],Lookups!$H$2:$J$14,3,FALSE),0)</f>
        <v>0</v>
      </c>
      <c r="BK2720" s="6">
        <f>_xlfn.IFNA(VLOOKUP(Grandview_Inventory[[#This Row],[condition]],Lookups!$H$17:$J$24,3,FALSE),0)</f>
        <v>0</v>
      </c>
      <c r="BL2720" s="6">
        <f>Grandview_Inventory[[#This Row],[Eff_Age]]*Lookups!$B$14</f>
        <v>0</v>
      </c>
      <c r="BM2720" s="6">
        <f>Grandview_Inventory[[#This Row],[living_area]]*Lookups!$B$15</f>
        <v>0</v>
      </c>
      <c r="BN2720" s="6">
        <f>Grandview_Inventory[[#This Row],[Fin BSMT]]*Lookups!$B$16</f>
        <v>0</v>
      </c>
      <c r="BO2720" s="6">
        <f>(Grandview_Inventory[[#This Row],[att_gar]]+Grandview_Inventory[[#This Row],[bltin_gar]])*Lookups!$B$17</f>
        <v>0</v>
      </c>
      <c r="BP2720" s="6">
        <f>Grandview_Inventory[[#This Row],[Plumbing Fixtures]]*Lookups!$B$18</f>
        <v>0</v>
      </c>
      <c r="BQ2720" s="6">
        <f>Grandview_Inventory[[#This Row],[detatched_value]]*Lookups!$B$19</f>
        <v>0</v>
      </c>
      <c r="BR2720" s="6">
        <f>SUM(Grandview_Inventory[[#This Row],[Intercept]:[det_value]])*Grandview_Inventory[[#This Row],[res_pct]]</f>
        <v>0</v>
      </c>
      <c r="BS2720" s="6">
        <f>Grandview_Inventory[[#This Row],[land_value]]</f>
        <v>34910.206692228741</v>
      </c>
      <c r="BT2720" s="4">
        <f>_xlfn.IFNA(VLOOKUP(Grandview_Inventory[[#This Row],[quality]],Lookups!$A$26:$C$33,3,FALSE),1)</f>
        <v>1</v>
      </c>
      <c r="BU2720" s="4">
        <f>_xlfn.IFNA(VLOOKUP(Grandview_Inventory[[#This Row],[condition]],Lookups!$A$37:$C$44,3,FALSE),1)</f>
        <v>1</v>
      </c>
      <c r="BV2720" s="4">
        <f>IF(Grandview_Inventory[[#This Row],[bldg_style]]="",1,_xlfn.IFNA(VLOOKUP(Grandview_Inventory[[#This Row],[decade]],Lookups!$F$29:$H$43,3,FALSE),1))</f>
        <v>1</v>
      </c>
      <c r="BW2720" s="4">
        <f>_xlfn.IFNA(VLOOKUP(Grandview_Inventory[[#This Row],[living_area_range]],Lookups!$F$47:$H$56,3,FALSE),1)</f>
        <v>1</v>
      </c>
      <c r="BX2720" s="4">
        <f>AVERAGE(Grandview_Inventory[[#This Row],[qual_adj]:[size_adj]])</f>
        <v>1</v>
      </c>
      <c r="BY2720" s="6">
        <f>IF(Grandview_Inventory[[#This Row],[pre_res]]&lt;0,0,Grandview_Inventory[[#This Row],[pre_res]]*Grandview_Inventory[[#This Row],[overall_adj]])</f>
        <v>0</v>
      </c>
      <c r="BZ2720" s="6">
        <f>(Grandview_Inventory[[#This Row],[sum_land]]-IF(Grandview_Inventory[[#This Row],[no_utilities]]=1,12000,0))/IF(Grandview_Inventory[[#This Row],[unbuildable]]=1,2,1)</f>
        <v>34910.206692228741</v>
      </c>
      <c r="CA2720">
        <f>IF(ROUND(Grandview_Inventory[[#This Row],[adj_land]]*Lookups!$M$28,-2)&lt;Grandview_Inventory[[#This Row],[min_land]],Grandview_Inventory[[#This Row],[min_land]],ROUND(Grandview_Inventory[[#This Row],[adj_land]]*Lookups!$M$28,-2))</f>
        <v>33200</v>
      </c>
      <c r="CB2720">
        <f>ROUND(Grandview_Inventory[[#This Row],[det_value]]*Lookups!$M$28,-2)</f>
        <v>0</v>
      </c>
      <c r="CC272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0">
        <f>Grandview_Inventory[[#This Row],[final_det]]+Grandview_Inventory[[#This Row],[final_res]]</f>
        <v>0</v>
      </c>
      <c r="CE2720">
        <f>Grandview_Inventory[[#This Row],[final_land]]+Grandview_Inventory[[#This Row],[final_imp]]+Grandview_Inventory[[#This Row],[crop_value]]</f>
        <v>33200</v>
      </c>
      <c r="CG2720" t="str">
        <f t="shared" si="42"/>
        <v>update valuation set market_land =33200, market_bldg=0, market_total =33200, market_mdno =401, market_date ='9/10/2023' where link_id = (select link_id from parcel where parcel_year = '2024' and parcel_id = '23092323401');</v>
      </c>
    </row>
    <row r="2721" spans="1:85" x14ac:dyDescent="0.25">
      <c r="A2721">
        <v>23092323409</v>
      </c>
      <c r="B2721">
        <v>0.11</v>
      </c>
      <c r="C2721">
        <v>4929</v>
      </c>
      <c r="D2721" t="s">
        <v>129</v>
      </c>
      <c r="E2721" t="s">
        <v>53</v>
      </c>
      <c r="F2721" t="s">
        <v>53</v>
      </c>
      <c r="G2721">
        <v>4</v>
      </c>
      <c r="H2721" t="s">
        <v>54</v>
      </c>
      <c r="I2721">
        <v>0</v>
      </c>
      <c r="J2721">
        <v>15900</v>
      </c>
      <c r="K2721">
        <v>0.11</v>
      </c>
      <c r="L2721">
        <f>IF(Grandview_Inventory[[#This Row],[parcel_acres]]-Grandview_Inventory[[#This Row],[non_valued_acres]] =0,0,LN(Grandview_Inventory[[#This Row],[parcel_acres]]-Grandview_Inventory[[#This Row],[non_valued_acres]]))</f>
        <v>-2.2072749131897207</v>
      </c>
      <c r="M2721">
        <v>0</v>
      </c>
      <c r="N2721">
        <v>1</v>
      </c>
      <c r="O2721">
        <v>0</v>
      </c>
      <c r="P2721">
        <v>13398.7528</v>
      </c>
      <c r="Q2721">
        <v>63903</v>
      </c>
      <c r="R2721">
        <f>(Grandview_Inventory[[#This Row],[ln_acres]]*Grandview_Inventory[[#This Row],[coeff]])+Grandview_Inventory[[#This Row],[const]]</f>
        <v>34328.269076529468</v>
      </c>
      <c r="AY2721">
        <v>0</v>
      </c>
      <c r="AZ2721">
        <v>0</v>
      </c>
      <c r="BE2721">
        <v>0</v>
      </c>
      <c r="BF2721">
        <v>12000</v>
      </c>
      <c r="BG2721">
        <v>0</v>
      </c>
      <c r="BH2721" s="6">
        <f>Grandview_Inventory[[#This Row],[land_extract]]*Lookups!$B$3</f>
        <v>39865.326192247165</v>
      </c>
      <c r="BI2721" s="6">
        <f>IF(Grandview_Inventory[[#This Row],[bldg_style]]="",0,Lookups!$B$2)</f>
        <v>0</v>
      </c>
      <c r="BJ2721" s="6">
        <f>_xlfn.IFNA(VLOOKUP(Grandview_Inventory[[#This Row],[quality]],Lookups!$H$2:$J$14,3,FALSE),0)</f>
        <v>0</v>
      </c>
      <c r="BK2721" s="6">
        <f>_xlfn.IFNA(VLOOKUP(Grandview_Inventory[[#This Row],[condition]],Lookups!$H$17:$J$24,3,FALSE),0)</f>
        <v>0</v>
      </c>
      <c r="BL2721" s="6">
        <f>Grandview_Inventory[[#This Row],[Eff_Age]]*Lookups!$B$14</f>
        <v>0</v>
      </c>
      <c r="BM2721" s="6">
        <f>Grandview_Inventory[[#This Row],[living_area]]*Lookups!$B$15</f>
        <v>0</v>
      </c>
      <c r="BN2721" s="6">
        <f>Grandview_Inventory[[#This Row],[Fin BSMT]]*Lookups!$B$16</f>
        <v>0</v>
      </c>
      <c r="BO2721" s="6">
        <f>(Grandview_Inventory[[#This Row],[att_gar]]+Grandview_Inventory[[#This Row],[bltin_gar]])*Lookups!$B$17</f>
        <v>0</v>
      </c>
      <c r="BP2721" s="6">
        <f>Grandview_Inventory[[#This Row],[Plumbing Fixtures]]*Lookups!$B$18</f>
        <v>0</v>
      </c>
      <c r="BQ2721" s="6">
        <f>Grandview_Inventory[[#This Row],[detatched_value]]*Lookups!$B$19</f>
        <v>0</v>
      </c>
      <c r="BR2721" s="6">
        <f>SUM(Grandview_Inventory[[#This Row],[Intercept]:[det_value]])*Grandview_Inventory[[#This Row],[res_pct]]</f>
        <v>0</v>
      </c>
      <c r="BS2721" s="6">
        <f>Grandview_Inventory[[#This Row],[land_value]]</f>
        <v>39865.326192247165</v>
      </c>
      <c r="BT2721" s="4">
        <f>_xlfn.IFNA(VLOOKUP(Grandview_Inventory[[#This Row],[quality]],Lookups!$A$26:$C$33,3,FALSE),1)</f>
        <v>1</v>
      </c>
      <c r="BU2721" s="4">
        <f>_xlfn.IFNA(VLOOKUP(Grandview_Inventory[[#This Row],[condition]],Lookups!$A$37:$C$44,3,FALSE),1)</f>
        <v>1</v>
      </c>
      <c r="BV2721" s="4">
        <f>IF(Grandview_Inventory[[#This Row],[bldg_style]]="",1,_xlfn.IFNA(VLOOKUP(Grandview_Inventory[[#This Row],[decade]],Lookups!$F$29:$H$43,3,FALSE),1))</f>
        <v>1</v>
      </c>
      <c r="BW2721" s="4">
        <f>_xlfn.IFNA(VLOOKUP(Grandview_Inventory[[#This Row],[living_area_range]],Lookups!$F$47:$H$56,3,FALSE),1)</f>
        <v>1</v>
      </c>
      <c r="BX2721" s="4">
        <f>AVERAGE(Grandview_Inventory[[#This Row],[qual_adj]:[size_adj]])</f>
        <v>1</v>
      </c>
      <c r="BY2721" s="6">
        <f>IF(Grandview_Inventory[[#This Row],[pre_res]]&lt;0,0,Grandview_Inventory[[#This Row],[pre_res]]*Grandview_Inventory[[#This Row],[overall_adj]])</f>
        <v>0</v>
      </c>
      <c r="BZ2721" s="6">
        <f>(Grandview_Inventory[[#This Row],[sum_land]]-IF(Grandview_Inventory[[#This Row],[no_utilities]]=1,12000,0))/IF(Grandview_Inventory[[#This Row],[unbuildable]]=1,2,1)</f>
        <v>19932.663096123582</v>
      </c>
      <c r="CA2721">
        <f>IF(ROUND(Grandview_Inventory[[#This Row],[adj_land]]*Lookups!$M$28,-2)&lt;Grandview_Inventory[[#This Row],[min_land]],Grandview_Inventory[[#This Row],[min_land]],ROUND(Grandview_Inventory[[#This Row],[adj_land]]*Lookups!$M$28,-2))</f>
        <v>18900</v>
      </c>
      <c r="CB2721">
        <f>ROUND(Grandview_Inventory[[#This Row],[det_value]]*Lookups!$M$28,-2)</f>
        <v>0</v>
      </c>
      <c r="CC272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1">
        <f>Grandview_Inventory[[#This Row],[final_det]]+Grandview_Inventory[[#This Row],[final_res]]</f>
        <v>0</v>
      </c>
      <c r="CE2721">
        <f>Grandview_Inventory[[#This Row],[final_land]]+Grandview_Inventory[[#This Row],[final_imp]]+Grandview_Inventory[[#This Row],[crop_value]]</f>
        <v>18900</v>
      </c>
      <c r="CG2721" t="str">
        <f t="shared" si="42"/>
        <v>update valuation set market_land =18900, market_bldg=0, market_total =18900, market_mdno =401, market_date ='9/10/2023' where link_id = (select link_id from parcel where parcel_year = '2024' and parcel_id = '23092323409');</v>
      </c>
    </row>
    <row r="2722" spans="1:85" x14ac:dyDescent="0.25">
      <c r="A2722">
        <v>23092323435</v>
      </c>
      <c r="B2722">
        <v>0.08</v>
      </c>
      <c r="C2722">
        <v>3377</v>
      </c>
      <c r="D2722" t="s">
        <v>129</v>
      </c>
      <c r="E2722" t="s">
        <v>53</v>
      </c>
      <c r="F2722" t="s">
        <v>53</v>
      </c>
      <c r="G2722">
        <v>4</v>
      </c>
      <c r="H2722" t="s">
        <v>54</v>
      </c>
      <c r="I2722">
        <v>0</v>
      </c>
      <c r="J2722">
        <v>15500</v>
      </c>
      <c r="K2722">
        <v>0.08</v>
      </c>
      <c r="L2722">
        <f>IF(Grandview_Inventory[[#This Row],[parcel_acres]]-Grandview_Inventory[[#This Row],[non_valued_acres]] =0,0,LN(Grandview_Inventory[[#This Row],[parcel_acres]]-Grandview_Inventory[[#This Row],[non_valued_acres]]))</f>
        <v>-2.5257286443082556</v>
      </c>
      <c r="M2722">
        <v>0</v>
      </c>
      <c r="N2722">
        <v>1</v>
      </c>
      <c r="O2722">
        <v>0</v>
      </c>
      <c r="P2722">
        <v>13398.7528</v>
      </c>
      <c r="Q2722">
        <v>63903</v>
      </c>
      <c r="R2722">
        <f>(Grandview_Inventory[[#This Row],[ln_acres]]*Grandview_Inventory[[#This Row],[coeff]])+Grandview_Inventory[[#This Row],[const]]</f>
        <v>30061.386255034558</v>
      </c>
      <c r="AY2722">
        <v>0</v>
      </c>
      <c r="AZ2722">
        <v>0</v>
      </c>
      <c r="BE2722">
        <v>0</v>
      </c>
      <c r="BF2722">
        <v>12000</v>
      </c>
      <c r="BG2722">
        <v>0</v>
      </c>
      <c r="BH2722" s="6">
        <f>Grandview_Inventory[[#This Row],[land_extract]]*Lookups!$B$3</f>
        <v>34910.206692228741</v>
      </c>
      <c r="BI2722" s="6">
        <f>IF(Grandview_Inventory[[#This Row],[bldg_style]]="",0,Lookups!$B$2)</f>
        <v>0</v>
      </c>
      <c r="BJ2722" s="6">
        <f>_xlfn.IFNA(VLOOKUP(Grandview_Inventory[[#This Row],[quality]],Lookups!$H$2:$J$14,3,FALSE),0)</f>
        <v>0</v>
      </c>
      <c r="BK2722" s="6">
        <f>_xlfn.IFNA(VLOOKUP(Grandview_Inventory[[#This Row],[condition]],Lookups!$H$17:$J$24,3,FALSE),0)</f>
        <v>0</v>
      </c>
      <c r="BL2722" s="6">
        <f>Grandview_Inventory[[#This Row],[Eff_Age]]*Lookups!$B$14</f>
        <v>0</v>
      </c>
      <c r="BM2722" s="6">
        <f>Grandview_Inventory[[#This Row],[living_area]]*Lookups!$B$15</f>
        <v>0</v>
      </c>
      <c r="BN2722" s="6">
        <f>Grandview_Inventory[[#This Row],[Fin BSMT]]*Lookups!$B$16</f>
        <v>0</v>
      </c>
      <c r="BO2722" s="6">
        <f>(Grandview_Inventory[[#This Row],[att_gar]]+Grandview_Inventory[[#This Row],[bltin_gar]])*Lookups!$B$17</f>
        <v>0</v>
      </c>
      <c r="BP2722" s="6">
        <f>Grandview_Inventory[[#This Row],[Plumbing Fixtures]]*Lookups!$B$18</f>
        <v>0</v>
      </c>
      <c r="BQ2722" s="6">
        <f>Grandview_Inventory[[#This Row],[detatched_value]]*Lookups!$B$19</f>
        <v>0</v>
      </c>
      <c r="BR2722" s="6">
        <f>SUM(Grandview_Inventory[[#This Row],[Intercept]:[det_value]])*Grandview_Inventory[[#This Row],[res_pct]]</f>
        <v>0</v>
      </c>
      <c r="BS2722" s="6">
        <f>Grandview_Inventory[[#This Row],[land_value]]</f>
        <v>34910.206692228741</v>
      </c>
      <c r="BT2722" s="4">
        <f>_xlfn.IFNA(VLOOKUP(Grandview_Inventory[[#This Row],[quality]],Lookups!$A$26:$C$33,3,FALSE),1)</f>
        <v>1</v>
      </c>
      <c r="BU2722" s="4">
        <f>_xlfn.IFNA(VLOOKUP(Grandview_Inventory[[#This Row],[condition]],Lookups!$A$37:$C$44,3,FALSE),1)</f>
        <v>1</v>
      </c>
      <c r="BV2722" s="4">
        <f>IF(Grandview_Inventory[[#This Row],[bldg_style]]="",1,_xlfn.IFNA(VLOOKUP(Grandview_Inventory[[#This Row],[decade]],Lookups!$F$29:$H$43,3,FALSE),1))</f>
        <v>1</v>
      </c>
      <c r="BW2722" s="4">
        <f>_xlfn.IFNA(VLOOKUP(Grandview_Inventory[[#This Row],[living_area_range]],Lookups!$F$47:$H$56,3,FALSE),1)</f>
        <v>1</v>
      </c>
      <c r="BX2722" s="4">
        <f>AVERAGE(Grandview_Inventory[[#This Row],[qual_adj]:[size_adj]])</f>
        <v>1</v>
      </c>
      <c r="BY2722" s="6">
        <f>IF(Grandview_Inventory[[#This Row],[pre_res]]&lt;0,0,Grandview_Inventory[[#This Row],[pre_res]]*Grandview_Inventory[[#This Row],[overall_adj]])</f>
        <v>0</v>
      </c>
      <c r="BZ2722" s="6">
        <f>(Grandview_Inventory[[#This Row],[sum_land]]-IF(Grandview_Inventory[[#This Row],[no_utilities]]=1,12000,0))/IF(Grandview_Inventory[[#This Row],[unbuildable]]=1,2,1)</f>
        <v>17455.103346114371</v>
      </c>
      <c r="CA2722">
        <f>IF(ROUND(Grandview_Inventory[[#This Row],[adj_land]]*Lookups!$M$28,-2)&lt;Grandview_Inventory[[#This Row],[min_land]],Grandview_Inventory[[#This Row],[min_land]],ROUND(Grandview_Inventory[[#This Row],[adj_land]]*Lookups!$M$28,-2))</f>
        <v>16600</v>
      </c>
      <c r="CB2722">
        <f>ROUND(Grandview_Inventory[[#This Row],[det_value]]*Lookups!$M$28,-2)</f>
        <v>0</v>
      </c>
      <c r="CC272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2">
        <f>Grandview_Inventory[[#This Row],[final_det]]+Grandview_Inventory[[#This Row],[final_res]]</f>
        <v>0</v>
      </c>
      <c r="CE2722">
        <f>Grandview_Inventory[[#This Row],[final_land]]+Grandview_Inventory[[#This Row],[final_imp]]+Grandview_Inventory[[#This Row],[crop_value]]</f>
        <v>16600</v>
      </c>
      <c r="CG2722" t="str">
        <f t="shared" si="42"/>
        <v>update valuation set market_land =16600, market_bldg=0, market_total =16600, market_mdno =401, market_date ='9/10/2023' where link_id = (select link_id from parcel where parcel_year = '2024' and parcel_id = '23092323435');</v>
      </c>
    </row>
    <row r="2723" spans="1:85" x14ac:dyDescent="0.25">
      <c r="A2723">
        <v>23092323450</v>
      </c>
      <c r="B2723">
        <v>0.09</v>
      </c>
      <c r="C2723">
        <v>3790</v>
      </c>
      <c r="D2723" t="s">
        <v>129</v>
      </c>
      <c r="E2723" t="s">
        <v>53</v>
      </c>
      <c r="F2723" t="s">
        <v>53</v>
      </c>
      <c r="G2723">
        <v>4</v>
      </c>
      <c r="H2723" t="s">
        <v>54</v>
      </c>
      <c r="I2723">
        <v>0</v>
      </c>
      <c r="J2723">
        <v>31300</v>
      </c>
      <c r="K2723">
        <v>0.09</v>
      </c>
      <c r="L2723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2723">
        <v>0</v>
      </c>
      <c r="N2723">
        <v>0</v>
      </c>
      <c r="O2723">
        <v>0</v>
      </c>
      <c r="P2723">
        <v>13398.7528</v>
      </c>
      <c r="Q2723">
        <v>63903</v>
      </c>
      <c r="R2723">
        <f>(Grandview_Inventory[[#This Row],[ln_acres]]*Grandview_Inventory[[#This Row],[coeff]])+Grandview_Inventory[[#This Row],[const]]</f>
        <v>31639.532033828022</v>
      </c>
      <c r="AY2723">
        <v>0</v>
      </c>
      <c r="AZ2723">
        <v>0</v>
      </c>
      <c r="BE2723">
        <v>0</v>
      </c>
      <c r="BF2723">
        <v>15000</v>
      </c>
      <c r="BG2723">
        <v>0</v>
      </c>
      <c r="BH2723" s="6">
        <f>Grandview_Inventory[[#This Row],[land_extract]]*Lookups!$B$3</f>
        <v>36742.90312414799</v>
      </c>
      <c r="BI2723" s="6">
        <f>IF(Grandview_Inventory[[#This Row],[bldg_style]]="",0,Lookups!$B$2)</f>
        <v>0</v>
      </c>
      <c r="BJ2723" s="6">
        <f>_xlfn.IFNA(VLOOKUP(Grandview_Inventory[[#This Row],[quality]],Lookups!$H$2:$J$14,3,FALSE),0)</f>
        <v>0</v>
      </c>
      <c r="BK2723" s="6">
        <f>_xlfn.IFNA(VLOOKUP(Grandview_Inventory[[#This Row],[condition]],Lookups!$H$17:$J$24,3,FALSE),0)</f>
        <v>0</v>
      </c>
      <c r="BL2723" s="6">
        <f>Grandview_Inventory[[#This Row],[Eff_Age]]*Lookups!$B$14</f>
        <v>0</v>
      </c>
      <c r="BM2723" s="6">
        <f>Grandview_Inventory[[#This Row],[living_area]]*Lookups!$B$15</f>
        <v>0</v>
      </c>
      <c r="BN2723" s="6">
        <f>Grandview_Inventory[[#This Row],[Fin BSMT]]*Lookups!$B$16</f>
        <v>0</v>
      </c>
      <c r="BO2723" s="6">
        <f>(Grandview_Inventory[[#This Row],[att_gar]]+Grandview_Inventory[[#This Row],[bltin_gar]])*Lookups!$B$17</f>
        <v>0</v>
      </c>
      <c r="BP2723" s="6">
        <f>Grandview_Inventory[[#This Row],[Plumbing Fixtures]]*Lookups!$B$18</f>
        <v>0</v>
      </c>
      <c r="BQ2723" s="6">
        <f>Grandview_Inventory[[#This Row],[detatched_value]]*Lookups!$B$19</f>
        <v>0</v>
      </c>
      <c r="BR2723" s="6">
        <f>SUM(Grandview_Inventory[[#This Row],[Intercept]:[det_value]])*Grandview_Inventory[[#This Row],[res_pct]]</f>
        <v>0</v>
      </c>
      <c r="BS2723" s="6">
        <f>Grandview_Inventory[[#This Row],[land_value]]</f>
        <v>36742.90312414799</v>
      </c>
      <c r="BT2723" s="4">
        <f>_xlfn.IFNA(VLOOKUP(Grandview_Inventory[[#This Row],[quality]],Lookups!$A$26:$C$33,3,FALSE),1)</f>
        <v>1</v>
      </c>
      <c r="BU2723" s="4">
        <f>_xlfn.IFNA(VLOOKUP(Grandview_Inventory[[#This Row],[condition]],Lookups!$A$37:$C$44,3,FALSE),1)</f>
        <v>1</v>
      </c>
      <c r="BV2723" s="4">
        <f>IF(Grandview_Inventory[[#This Row],[bldg_style]]="",1,_xlfn.IFNA(VLOOKUP(Grandview_Inventory[[#This Row],[decade]],Lookups!$F$29:$H$43,3,FALSE),1))</f>
        <v>1</v>
      </c>
      <c r="BW2723" s="4">
        <f>_xlfn.IFNA(VLOOKUP(Grandview_Inventory[[#This Row],[living_area_range]],Lookups!$F$47:$H$56,3,FALSE),1)</f>
        <v>1</v>
      </c>
      <c r="BX2723" s="4">
        <f>AVERAGE(Grandview_Inventory[[#This Row],[qual_adj]:[size_adj]])</f>
        <v>1</v>
      </c>
      <c r="BY2723" s="6">
        <f>IF(Grandview_Inventory[[#This Row],[pre_res]]&lt;0,0,Grandview_Inventory[[#This Row],[pre_res]]*Grandview_Inventory[[#This Row],[overall_adj]])</f>
        <v>0</v>
      </c>
      <c r="BZ2723" s="6">
        <f>(Grandview_Inventory[[#This Row],[sum_land]]-IF(Grandview_Inventory[[#This Row],[no_utilities]]=1,12000,0))/IF(Grandview_Inventory[[#This Row],[unbuildable]]=1,2,1)</f>
        <v>36742.90312414799</v>
      </c>
      <c r="CA2723">
        <f>IF(ROUND(Grandview_Inventory[[#This Row],[adj_land]]*Lookups!$M$28,-2)&lt;Grandview_Inventory[[#This Row],[min_land]],Grandview_Inventory[[#This Row],[min_land]],ROUND(Grandview_Inventory[[#This Row],[adj_land]]*Lookups!$M$28,-2))</f>
        <v>34900</v>
      </c>
      <c r="CB2723">
        <f>ROUND(Grandview_Inventory[[#This Row],[det_value]]*Lookups!$M$28,-2)</f>
        <v>0</v>
      </c>
      <c r="CC272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3">
        <f>Grandview_Inventory[[#This Row],[final_det]]+Grandview_Inventory[[#This Row],[final_res]]</f>
        <v>0</v>
      </c>
      <c r="CE2723">
        <f>Grandview_Inventory[[#This Row],[final_land]]+Grandview_Inventory[[#This Row],[final_imp]]+Grandview_Inventory[[#This Row],[crop_value]]</f>
        <v>34900</v>
      </c>
      <c r="CG2723" t="str">
        <f t="shared" si="42"/>
        <v>update valuation set market_land =34900, market_bldg=0, market_total =34900, market_mdno =401, market_date ='9/10/2023' where link_id = (select link_id from parcel where parcel_year = '2024' and parcel_id = '23092323450');</v>
      </c>
    </row>
    <row r="2724" spans="1:85" x14ac:dyDescent="0.25">
      <c r="A2724">
        <v>23092323454</v>
      </c>
      <c r="B2724">
        <v>0.03</v>
      </c>
      <c r="C2724">
        <v>1477</v>
      </c>
      <c r="D2724" t="s">
        <v>129</v>
      </c>
      <c r="E2724" t="s">
        <v>53</v>
      </c>
      <c r="F2724" t="s">
        <v>53</v>
      </c>
      <c r="G2724">
        <v>4</v>
      </c>
      <c r="H2724" t="s">
        <v>54</v>
      </c>
      <c r="I2724">
        <v>0</v>
      </c>
      <c r="J2724">
        <v>1000</v>
      </c>
      <c r="K2724">
        <v>0.03</v>
      </c>
      <c r="L2724">
        <f>IF(Grandview_Inventory[[#This Row],[parcel_acres]]-Grandview_Inventory[[#This Row],[non_valued_acres]] =0,0,LN(Grandview_Inventory[[#This Row],[parcel_acres]]-Grandview_Inventory[[#This Row],[non_valued_acres]]))</f>
        <v>-3.5065578973199818</v>
      </c>
      <c r="M2724">
        <v>0</v>
      </c>
      <c r="N2724">
        <v>1</v>
      </c>
      <c r="O2724">
        <v>0</v>
      </c>
      <c r="P2724">
        <v>13398.7528</v>
      </c>
      <c r="Q2724">
        <v>63903</v>
      </c>
      <c r="R2724">
        <f>(Grandview_Inventory[[#This Row],[ln_acres]]*Grandview_Inventory[[#This Row],[coeff]])+Grandview_Inventory[[#This Row],[const]]</f>
        <v>16919.497554921778</v>
      </c>
      <c r="AY2724">
        <v>0</v>
      </c>
      <c r="AZ2724">
        <v>0</v>
      </c>
      <c r="BE2724">
        <v>0</v>
      </c>
      <c r="BF2724">
        <v>12000</v>
      </c>
      <c r="BG2724">
        <v>0</v>
      </c>
      <c r="BH2724" s="6">
        <f>Grandview_Inventory[[#This Row],[land_extract]]*Lookups!$B$3</f>
        <v>19648.566827887262</v>
      </c>
      <c r="BI2724" s="6">
        <f>IF(Grandview_Inventory[[#This Row],[bldg_style]]="",0,Lookups!$B$2)</f>
        <v>0</v>
      </c>
      <c r="BJ2724" s="6">
        <f>_xlfn.IFNA(VLOOKUP(Grandview_Inventory[[#This Row],[quality]],Lookups!$H$2:$J$14,3,FALSE),0)</f>
        <v>0</v>
      </c>
      <c r="BK2724" s="6">
        <f>_xlfn.IFNA(VLOOKUP(Grandview_Inventory[[#This Row],[condition]],Lookups!$H$17:$J$24,3,FALSE),0)</f>
        <v>0</v>
      </c>
      <c r="BL2724" s="6">
        <f>Grandview_Inventory[[#This Row],[Eff_Age]]*Lookups!$B$14</f>
        <v>0</v>
      </c>
      <c r="BM2724" s="6">
        <f>Grandview_Inventory[[#This Row],[living_area]]*Lookups!$B$15</f>
        <v>0</v>
      </c>
      <c r="BN2724" s="6">
        <f>Grandview_Inventory[[#This Row],[Fin BSMT]]*Lookups!$B$16</f>
        <v>0</v>
      </c>
      <c r="BO2724" s="6">
        <f>(Grandview_Inventory[[#This Row],[att_gar]]+Grandview_Inventory[[#This Row],[bltin_gar]])*Lookups!$B$17</f>
        <v>0</v>
      </c>
      <c r="BP2724" s="6">
        <f>Grandview_Inventory[[#This Row],[Plumbing Fixtures]]*Lookups!$B$18</f>
        <v>0</v>
      </c>
      <c r="BQ2724" s="6">
        <f>Grandview_Inventory[[#This Row],[detatched_value]]*Lookups!$B$19</f>
        <v>0</v>
      </c>
      <c r="BR2724" s="6">
        <f>SUM(Grandview_Inventory[[#This Row],[Intercept]:[det_value]])*Grandview_Inventory[[#This Row],[res_pct]]</f>
        <v>0</v>
      </c>
      <c r="BS2724" s="6">
        <f>Grandview_Inventory[[#This Row],[land_value]]</f>
        <v>19648.566827887262</v>
      </c>
      <c r="BT2724" s="4">
        <f>_xlfn.IFNA(VLOOKUP(Grandview_Inventory[[#This Row],[quality]],Lookups!$A$26:$C$33,3,FALSE),1)</f>
        <v>1</v>
      </c>
      <c r="BU2724" s="4">
        <f>_xlfn.IFNA(VLOOKUP(Grandview_Inventory[[#This Row],[condition]],Lookups!$A$37:$C$44,3,FALSE),1)</f>
        <v>1</v>
      </c>
      <c r="BV2724" s="4">
        <f>IF(Grandview_Inventory[[#This Row],[bldg_style]]="",1,_xlfn.IFNA(VLOOKUP(Grandview_Inventory[[#This Row],[decade]],Lookups!$F$29:$H$43,3,FALSE),1))</f>
        <v>1</v>
      </c>
      <c r="BW2724" s="4">
        <f>_xlfn.IFNA(VLOOKUP(Grandview_Inventory[[#This Row],[living_area_range]],Lookups!$F$47:$H$56,3,FALSE),1)</f>
        <v>1</v>
      </c>
      <c r="BX2724" s="4">
        <f>AVERAGE(Grandview_Inventory[[#This Row],[qual_adj]:[size_adj]])</f>
        <v>1</v>
      </c>
      <c r="BY2724" s="6">
        <f>IF(Grandview_Inventory[[#This Row],[pre_res]]&lt;0,0,Grandview_Inventory[[#This Row],[pre_res]]*Grandview_Inventory[[#This Row],[overall_adj]])</f>
        <v>0</v>
      </c>
      <c r="BZ2724" s="6">
        <f>(Grandview_Inventory[[#This Row],[sum_land]]-IF(Grandview_Inventory[[#This Row],[no_utilities]]=1,12000,0))/IF(Grandview_Inventory[[#This Row],[unbuildable]]=1,2,1)</f>
        <v>9824.2834139436309</v>
      </c>
      <c r="CA2724">
        <f>IF(ROUND(Grandview_Inventory[[#This Row],[adj_land]]*Lookups!$M$28,-2)&lt;Grandview_Inventory[[#This Row],[min_land]],Grandview_Inventory[[#This Row],[min_land]],ROUND(Grandview_Inventory[[#This Row],[adj_land]]*Lookups!$M$28,-2))</f>
        <v>12000</v>
      </c>
      <c r="CB2724">
        <f>ROUND(Grandview_Inventory[[#This Row],[det_value]]*Lookups!$M$28,-2)</f>
        <v>0</v>
      </c>
      <c r="CC272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4">
        <f>Grandview_Inventory[[#This Row],[final_det]]+Grandview_Inventory[[#This Row],[final_res]]</f>
        <v>0</v>
      </c>
      <c r="CE2724">
        <f>Grandview_Inventory[[#This Row],[final_land]]+Grandview_Inventory[[#This Row],[final_imp]]+Grandview_Inventory[[#This Row],[crop_value]]</f>
        <v>12000</v>
      </c>
      <c r="CG2724" t="str">
        <f t="shared" si="42"/>
        <v>update valuation set market_land =12000, market_bldg=0, market_total =12000, market_mdno =401, market_date ='9/10/2023' where link_id = (select link_id from parcel where parcel_year = '2024' and parcel_id = '23092323454');</v>
      </c>
    </row>
    <row r="2725" spans="1:85" x14ac:dyDescent="0.25">
      <c r="A2725">
        <v>23092323467</v>
      </c>
      <c r="B2725">
        <v>0.22</v>
      </c>
      <c r="C2725">
        <v>9588</v>
      </c>
      <c r="D2725" t="s">
        <v>129</v>
      </c>
      <c r="E2725" t="s">
        <v>53</v>
      </c>
      <c r="F2725" t="s">
        <v>53</v>
      </c>
      <c r="G2725">
        <v>4</v>
      </c>
      <c r="H2725" t="s">
        <v>54</v>
      </c>
      <c r="I2725">
        <v>0</v>
      </c>
      <c r="J2725">
        <v>33400</v>
      </c>
      <c r="K2725">
        <v>0.22</v>
      </c>
      <c r="L2725">
        <f>IF(Grandview_Inventory[[#This Row],[parcel_acres]]-Grandview_Inventory[[#This Row],[non_valued_acres]] =0,0,LN(Grandview_Inventory[[#This Row],[parcel_acres]]-Grandview_Inventory[[#This Row],[non_valued_acres]]))</f>
        <v>-1.5141277326297755</v>
      </c>
      <c r="M2725">
        <v>0</v>
      </c>
      <c r="N2725">
        <v>0</v>
      </c>
      <c r="O2725">
        <v>0</v>
      </c>
      <c r="P2725">
        <v>13398.7528</v>
      </c>
      <c r="Q2725">
        <v>63903</v>
      </c>
      <c r="R2725">
        <f>(Grandview_Inventory[[#This Row],[ln_acres]]*Grandview_Inventory[[#This Row],[coeff]])+Grandview_Inventory[[#This Row],[const]]</f>
        <v>43615.576802869145</v>
      </c>
      <c r="AY2725">
        <v>0</v>
      </c>
      <c r="AZ2725">
        <v>0</v>
      </c>
      <c r="BE2725">
        <v>0</v>
      </c>
      <c r="BF2725">
        <v>15000</v>
      </c>
      <c r="BG2725">
        <v>0</v>
      </c>
      <c r="BH2725" s="6">
        <f>Grandview_Inventory[[#This Row],[land_extract]]*Lookups!$B$3</f>
        <v>50650.651579114572</v>
      </c>
      <c r="BI2725" s="6">
        <f>IF(Grandview_Inventory[[#This Row],[bldg_style]]="",0,Lookups!$B$2)</f>
        <v>0</v>
      </c>
      <c r="BJ2725" s="6">
        <f>_xlfn.IFNA(VLOOKUP(Grandview_Inventory[[#This Row],[quality]],Lookups!$H$2:$J$14,3,FALSE),0)</f>
        <v>0</v>
      </c>
      <c r="BK2725" s="6">
        <f>_xlfn.IFNA(VLOOKUP(Grandview_Inventory[[#This Row],[condition]],Lookups!$H$17:$J$24,3,FALSE),0)</f>
        <v>0</v>
      </c>
      <c r="BL2725" s="6">
        <f>Grandview_Inventory[[#This Row],[Eff_Age]]*Lookups!$B$14</f>
        <v>0</v>
      </c>
      <c r="BM2725" s="6">
        <f>Grandview_Inventory[[#This Row],[living_area]]*Lookups!$B$15</f>
        <v>0</v>
      </c>
      <c r="BN2725" s="6">
        <f>Grandview_Inventory[[#This Row],[Fin BSMT]]*Lookups!$B$16</f>
        <v>0</v>
      </c>
      <c r="BO2725" s="6">
        <f>(Grandview_Inventory[[#This Row],[att_gar]]+Grandview_Inventory[[#This Row],[bltin_gar]])*Lookups!$B$17</f>
        <v>0</v>
      </c>
      <c r="BP2725" s="6">
        <f>Grandview_Inventory[[#This Row],[Plumbing Fixtures]]*Lookups!$B$18</f>
        <v>0</v>
      </c>
      <c r="BQ2725" s="6">
        <f>Grandview_Inventory[[#This Row],[detatched_value]]*Lookups!$B$19</f>
        <v>0</v>
      </c>
      <c r="BR2725" s="6">
        <f>SUM(Grandview_Inventory[[#This Row],[Intercept]:[det_value]])*Grandview_Inventory[[#This Row],[res_pct]]</f>
        <v>0</v>
      </c>
      <c r="BS2725" s="6">
        <f>Grandview_Inventory[[#This Row],[land_value]]</f>
        <v>50650.651579114572</v>
      </c>
      <c r="BT2725" s="4">
        <f>_xlfn.IFNA(VLOOKUP(Grandview_Inventory[[#This Row],[quality]],Lookups!$A$26:$C$33,3,FALSE),1)</f>
        <v>1</v>
      </c>
      <c r="BU2725" s="4">
        <f>_xlfn.IFNA(VLOOKUP(Grandview_Inventory[[#This Row],[condition]],Lookups!$A$37:$C$44,3,FALSE),1)</f>
        <v>1</v>
      </c>
      <c r="BV2725" s="4">
        <f>IF(Grandview_Inventory[[#This Row],[bldg_style]]="",1,_xlfn.IFNA(VLOOKUP(Grandview_Inventory[[#This Row],[decade]],Lookups!$F$29:$H$43,3,FALSE),1))</f>
        <v>1</v>
      </c>
      <c r="BW2725" s="4">
        <f>_xlfn.IFNA(VLOOKUP(Grandview_Inventory[[#This Row],[living_area_range]],Lookups!$F$47:$H$56,3,FALSE),1)</f>
        <v>1</v>
      </c>
      <c r="BX2725" s="4">
        <f>AVERAGE(Grandview_Inventory[[#This Row],[qual_adj]:[size_adj]])</f>
        <v>1</v>
      </c>
      <c r="BY2725" s="6">
        <f>IF(Grandview_Inventory[[#This Row],[pre_res]]&lt;0,0,Grandview_Inventory[[#This Row],[pre_res]]*Grandview_Inventory[[#This Row],[overall_adj]])</f>
        <v>0</v>
      </c>
      <c r="BZ2725" s="6">
        <f>(Grandview_Inventory[[#This Row],[sum_land]]-IF(Grandview_Inventory[[#This Row],[no_utilities]]=1,12000,0))/IF(Grandview_Inventory[[#This Row],[unbuildable]]=1,2,1)</f>
        <v>50650.651579114572</v>
      </c>
      <c r="CA2725">
        <f>IF(ROUND(Grandview_Inventory[[#This Row],[adj_land]]*Lookups!$M$28,-2)&lt;Grandview_Inventory[[#This Row],[min_land]],Grandview_Inventory[[#This Row],[min_land]],ROUND(Grandview_Inventory[[#This Row],[adj_land]]*Lookups!$M$28,-2))</f>
        <v>48100</v>
      </c>
      <c r="CB2725">
        <f>ROUND(Grandview_Inventory[[#This Row],[det_value]]*Lookups!$M$28,-2)</f>
        <v>0</v>
      </c>
      <c r="CC272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5">
        <f>Grandview_Inventory[[#This Row],[final_det]]+Grandview_Inventory[[#This Row],[final_res]]</f>
        <v>0</v>
      </c>
      <c r="CE2725">
        <f>Grandview_Inventory[[#This Row],[final_land]]+Grandview_Inventory[[#This Row],[final_imp]]+Grandview_Inventory[[#This Row],[crop_value]]</f>
        <v>48100</v>
      </c>
      <c r="CG2725" t="str">
        <f t="shared" si="42"/>
        <v>update valuation set market_land =48100, market_bldg=0, market_total =48100, market_mdno =401, market_date ='9/10/2023' where link_id = (select link_id from parcel where parcel_year = '2024' and parcel_id = '23092323467');</v>
      </c>
    </row>
    <row r="2726" spans="1:85" x14ac:dyDescent="0.25">
      <c r="A2726">
        <v>23092323549</v>
      </c>
      <c r="B2726">
        <v>0.18</v>
      </c>
      <c r="C2726" t="s">
        <v>129</v>
      </c>
      <c r="D2726" t="s">
        <v>129</v>
      </c>
      <c r="E2726" t="s">
        <v>53</v>
      </c>
      <c r="F2726" t="s">
        <v>53</v>
      </c>
      <c r="G2726">
        <v>4</v>
      </c>
      <c r="H2726" t="s">
        <v>54</v>
      </c>
      <c r="I2726">
        <v>0</v>
      </c>
      <c r="J2726">
        <v>26400</v>
      </c>
      <c r="K2726">
        <v>0.18</v>
      </c>
      <c r="L272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726">
        <v>0</v>
      </c>
      <c r="N2726">
        <v>1</v>
      </c>
      <c r="O2726">
        <v>0</v>
      </c>
      <c r="P2726">
        <v>13398.7528</v>
      </c>
      <c r="Q2726">
        <v>63903</v>
      </c>
      <c r="R2726">
        <f>(Grandview_Inventory[[#This Row],[ln_acres]]*Grandview_Inventory[[#This Row],[coeff]])+Grandview_Inventory[[#This Row],[const]]</f>
        <v>40926.839760167699</v>
      </c>
      <c r="AY2726">
        <v>0</v>
      </c>
      <c r="AZ2726">
        <v>0</v>
      </c>
      <c r="BE2726">
        <v>0</v>
      </c>
      <c r="BF2726">
        <v>12000</v>
      </c>
      <c r="BG2726">
        <v>0</v>
      </c>
      <c r="BH2726" s="6">
        <f>Grandview_Inventory[[#This Row],[land_extract]]*Lookups!$B$3</f>
        <v>47528.228511015397</v>
      </c>
      <c r="BI2726" s="6">
        <f>IF(Grandview_Inventory[[#This Row],[bldg_style]]="",0,Lookups!$B$2)</f>
        <v>0</v>
      </c>
      <c r="BJ2726" s="6">
        <f>_xlfn.IFNA(VLOOKUP(Grandview_Inventory[[#This Row],[quality]],Lookups!$H$2:$J$14,3,FALSE),0)</f>
        <v>0</v>
      </c>
      <c r="BK2726" s="6">
        <f>_xlfn.IFNA(VLOOKUP(Grandview_Inventory[[#This Row],[condition]],Lookups!$H$17:$J$24,3,FALSE),0)</f>
        <v>0</v>
      </c>
      <c r="BL2726" s="6">
        <f>Grandview_Inventory[[#This Row],[Eff_Age]]*Lookups!$B$14</f>
        <v>0</v>
      </c>
      <c r="BM2726" s="6">
        <f>Grandview_Inventory[[#This Row],[living_area]]*Lookups!$B$15</f>
        <v>0</v>
      </c>
      <c r="BN2726" s="6">
        <f>Grandview_Inventory[[#This Row],[Fin BSMT]]*Lookups!$B$16</f>
        <v>0</v>
      </c>
      <c r="BO2726" s="6">
        <f>(Grandview_Inventory[[#This Row],[att_gar]]+Grandview_Inventory[[#This Row],[bltin_gar]])*Lookups!$B$17</f>
        <v>0</v>
      </c>
      <c r="BP2726" s="6">
        <f>Grandview_Inventory[[#This Row],[Plumbing Fixtures]]*Lookups!$B$18</f>
        <v>0</v>
      </c>
      <c r="BQ2726" s="6">
        <f>Grandview_Inventory[[#This Row],[detatched_value]]*Lookups!$B$19</f>
        <v>0</v>
      </c>
      <c r="BR2726" s="6">
        <f>SUM(Grandview_Inventory[[#This Row],[Intercept]:[det_value]])*Grandview_Inventory[[#This Row],[res_pct]]</f>
        <v>0</v>
      </c>
      <c r="BS2726" s="6">
        <f>Grandview_Inventory[[#This Row],[land_value]]</f>
        <v>47528.228511015397</v>
      </c>
      <c r="BT2726" s="4">
        <f>_xlfn.IFNA(VLOOKUP(Grandview_Inventory[[#This Row],[quality]],Lookups!$A$26:$C$33,3,FALSE),1)</f>
        <v>1</v>
      </c>
      <c r="BU2726" s="4">
        <f>_xlfn.IFNA(VLOOKUP(Grandview_Inventory[[#This Row],[condition]],Lookups!$A$37:$C$44,3,FALSE),1)</f>
        <v>1</v>
      </c>
      <c r="BV2726" s="4">
        <f>IF(Grandview_Inventory[[#This Row],[bldg_style]]="",1,_xlfn.IFNA(VLOOKUP(Grandview_Inventory[[#This Row],[decade]],Lookups!$F$29:$H$43,3,FALSE),1))</f>
        <v>1</v>
      </c>
      <c r="BW2726" s="4">
        <f>_xlfn.IFNA(VLOOKUP(Grandview_Inventory[[#This Row],[living_area_range]],Lookups!$F$47:$H$56,3,FALSE),1)</f>
        <v>1</v>
      </c>
      <c r="BX2726" s="4">
        <f>AVERAGE(Grandview_Inventory[[#This Row],[qual_adj]:[size_adj]])</f>
        <v>1</v>
      </c>
      <c r="BY2726" s="6">
        <f>IF(Grandview_Inventory[[#This Row],[pre_res]]&lt;0,0,Grandview_Inventory[[#This Row],[pre_res]]*Grandview_Inventory[[#This Row],[overall_adj]])</f>
        <v>0</v>
      </c>
      <c r="BZ2726" s="6">
        <f>(Grandview_Inventory[[#This Row],[sum_land]]-IF(Grandview_Inventory[[#This Row],[no_utilities]]=1,12000,0))/IF(Grandview_Inventory[[#This Row],[unbuildable]]=1,2,1)</f>
        <v>23764.114255507699</v>
      </c>
      <c r="CA2726">
        <f>IF(ROUND(Grandview_Inventory[[#This Row],[adj_land]]*Lookups!$M$28,-2)&lt;Grandview_Inventory[[#This Row],[min_land]],Grandview_Inventory[[#This Row],[min_land]],ROUND(Grandview_Inventory[[#This Row],[adj_land]]*Lookups!$M$28,-2))</f>
        <v>22600</v>
      </c>
      <c r="CB2726">
        <f>ROUND(Grandview_Inventory[[#This Row],[det_value]]*Lookups!$M$28,-2)</f>
        <v>0</v>
      </c>
      <c r="CC272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6">
        <f>Grandview_Inventory[[#This Row],[final_det]]+Grandview_Inventory[[#This Row],[final_res]]</f>
        <v>0</v>
      </c>
      <c r="CE2726">
        <f>Grandview_Inventory[[#This Row],[final_land]]+Grandview_Inventory[[#This Row],[final_imp]]+Grandview_Inventory[[#This Row],[crop_value]]</f>
        <v>22600</v>
      </c>
      <c r="CG2726" t="str">
        <f t="shared" si="42"/>
        <v>update valuation set market_land =22600, market_bldg=0, market_total =22600, market_mdno =401, market_date ='9/10/2023' where link_id = (select link_id from parcel where parcel_year = '2024' and parcel_id = '23092323549');</v>
      </c>
    </row>
    <row r="2727" spans="1:85" x14ac:dyDescent="0.25">
      <c r="A2727">
        <v>23092323552</v>
      </c>
      <c r="B2727">
        <v>0.17</v>
      </c>
      <c r="C2727">
        <v>7391</v>
      </c>
      <c r="D2727" t="s">
        <v>129</v>
      </c>
      <c r="E2727" t="s">
        <v>53</v>
      </c>
      <c r="F2727" t="s">
        <v>53</v>
      </c>
      <c r="G2727">
        <v>4</v>
      </c>
      <c r="H2727" t="s">
        <v>54</v>
      </c>
      <c r="I2727">
        <v>0</v>
      </c>
      <c r="J2727">
        <v>32700</v>
      </c>
      <c r="K2727">
        <v>0.17</v>
      </c>
      <c r="L2727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727">
        <v>0</v>
      </c>
      <c r="N2727">
        <v>0</v>
      </c>
      <c r="O2727">
        <v>0</v>
      </c>
      <c r="P2727">
        <v>13398.7528</v>
      </c>
      <c r="Q2727">
        <v>63903</v>
      </c>
      <c r="R2727">
        <f>(Grandview_Inventory[[#This Row],[ln_acres]]*Grandview_Inventory[[#This Row],[coeff]])+Grandview_Inventory[[#This Row],[const]]</f>
        <v>40160.988302686128</v>
      </c>
      <c r="AY2727">
        <v>0</v>
      </c>
      <c r="AZ2727">
        <v>0</v>
      </c>
      <c r="BE2727">
        <v>0</v>
      </c>
      <c r="BF2727">
        <v>15000</v>
      </c>
      <c r="BG2727">
        <v>0</v>
      </c>
      <c r="BH2727" s="6">
        <f>Grandview_Inventory[[#This Row],[land_extract]]*Lookups!$B$3</f>
        <v>46638.847281240982</v>
      </c>
      <c r="BI2727" s="6">
        <f>IF(Grandview_Inventory[[#This Row],[bldg_style]]="",0,Lookups!$B$2)</f>
        <v>0</v>
      </c>
      <c r="BJ2727" s="6">
        <f>_xlfn.IFNA(VLOOKUP(Grandview_Inventory[[#This Row],[quality]],Lookups!$H$2:$J$14,3,FALSE),0)</f>
        <v>0</v>
      </c>
      <c r="BK2727" s="6">
        <f>_xlfn.IFNA(VLOOKUP(Grandview_Inventory[[#This Row],[condition]],Lookups!$H$17:$J$24,3,FALSE),0)</f>
        <v>0</v>
      </c>
      <c r="BL2727" s="6">
        <f>Grandview_Inventory[[#This Row],[Eff_Age]]*Lookups!$B$14</f>
        <v>0</v>
      </c>
      <c r="BM2727" s="6">
        <f>Grandview_Inventory[[#This Row],[living_area]]*Lookups!$B$15</f>
        <v>0</v>
      </c>
      <c r="BN2727" s="6">
        <f>Grandview_Inventory[[#This Row],[Fin BSMT]]*Lookups!$B$16</f>
        <v>0</v>
      </c>
      <c r="BO2727" s="6">
        <f>(Grandview_Inventory[[#This Row],[att_gar]]+Grandview_Inventory[[#This Row],[bltin_gar]])*Lookups!$B$17</f>
        <v>0</v>
      </c>
      <c r="BP2727" s="6">
        <f>Grandview_Inventory[[#This Row],[Plumbing Fixtures]]*Lookups!$B$18</f>
        <v>0</v>
      </c>
      <c r="BQ2727" s="6">
        <f>Grandview_Inventory[[#This Row],[detatched_value]]*Lookups!$B$19</f>
        <v>0</v>
      </c>
      <c r="BR2727" s="6">
        <f>SUM(Grandview_Inventory[[#This Row],[Intercept]:[det_value]])*Grandview_Inventory[[#This Row],[res_pct]]</f>
        <v>0</v>
      </c>
      <c r="BS2727" s="6">
        <f>Grandview_Inventory[[#This Row],[land_value]]</f>
        <v>46638.847281240982</v>
      </c>
      <c r="BT2727" s="4">
        <f>_xlfn.IFNA(VLOOKUP(Grandview_Inventory[[#This Row],[quality]],Lookups!$A$26:$C$33,3,FALSE),1)</f>
        <v>1</v>
      </c>
      <c r="BU2727" s="4">
        <f>_xlfn.IFNA(VLOOKUP(Grandview_Inventory[[#This Row],[condition]],Lookups!$A$37:$C$44,3,FALSE),1)</f>
        <v>1</v>
      </c>
      <c r="BV2727" s="4">
        <f>IF(Grandview_Inventory[[#This Row],[bldg_style]]="",1,_xlfn.IFNA(VLOOKUP(Grandview_Inventory[[#This Row],[decade]],Lookups!$F$29:$H$43,3,FALSE),1))</f>
        <v>1</v>
      </c>
      <c r="BW2727" s="4">
        <f>_xlfn.IFNA(VLOOKUP(Grandview_Inventory[[#This Row],[living_area_range]],Lookups!$F$47:$H$56,3,FALSE),1)</f>
        <v>1</v>
      </c>
      <c r="BX2727" s="4">
        <f>AVERAGE(Grandview_Inventory[[#This Row],[qual_adj]:[size_adj]])</f>
        <v>1</v>
      </c>
      <c r="BY2727" s="6">
        <f>IF(Grandview_Inventory[[#This Row],[pre_res]]&lt;0,0,Grandview_Inventory[[#This Row],[pre_res]]*Grandview_Inventory[[#This Row],[overall_adj]])</f>
        <v>0</v>
      </c>
      <c r="BZ2727" s="6">
        <f>(Grandview_Inventory[[#This Row],[sum_land]]-IF(Grandview_Inventory[[#This Row],[no_utilities]]=1,12000,0))/IF(Grandview_Inventory[[#This Row],[unbuildable]]=1,2,1)</f>
        <v>46638.847281240982</v>
      </c>
      <c r="CA2727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727">
        <f>ROUND(Grandview_Inventory[[#This Row],[det_value]]*Lookups!$M$28,-2)</f>
        <v>0</v>
      </c>
      <c r="CC272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7">
        <f>Grandview_Inventory[[#This Row],[final_det]]+Grandview_Inventory[[#This Row],[final_res]]</f>
        <v>0</v>
      </c>
      <c r="CE2727">
        <f>Grandview_Inventory[[#This Row],[final_land]]+Grandview_Inventory[[#This Row],[final_imp]]+Grandview_Inventory[[#This Row],[crop_value]]</f>
        <v>44300</v>
      </c>
      <c r="CG2727" t="str">
        <f t="shared" si="42"/>
        <v>update valuation set market_land =44300, market_bldg=0, market_total =44300, market_mdno =401, market_date ='9/10/2023' where link_id = (select link_id from parcel where parcel_year = '2024' and parcel_id = '23092323552');</v>
      </c>
    </row>
    <row r="2728" spans="1:85" x14ac:dyDescent="0.25">
      <c r="A2728">
        <v>23092323592</v>
      </c>
      <c r="B2728">
        <v>0.27</v>
      </c>
      <c r="C2728">
        <v>11856</v>
      </c>
      <c r="D2728" t="s">
        <v>129</v>
      </c>
      <c r="E2728" t="s">
        <v>53</v>
      </c>
      <c r="F2728" t="s">
        <v>53</v>
      </c>
      <c r="G2728">
        <v>4</v>
      </c>
      <c r="H2728" t="s">
        <v>54</v>
      </c>
      <c r="I2728">
        <v>0</v>
      </c>
      <c r="J2728">
        <v>12800</v>
      </c>
      <c r="K2728">
        <v>0.27</v>
      </c>
      <c r="L2728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728">
        <v>0</v>
      </c>
      <c r="N2728">
        <v>0</v>
      </c>
      <c r="O2728">
        <v>1</v>
      </c>
      <c r="P2728">
        <v>13398.7528</v>
      </c>
      <c r="Q2728">
        <v>63903</v>
      </c>
      <c r="R2728">
        <f>(Grandview_Inventory[[#This Row],[ln_acres]]*Grandview_Inventory[[#This Row],[coeff]])+Grandview_Inventory[[#This Row],[const]]</f>
        <v>46359.566512734265</v>
      </c>
      <c r="AY2728">
        <v>0</v>
      </c>
      <c r="AZ2728">
        <v>0</v>
      </c>
      <c r="BE2728">
        <v>0</v>
      </c>
      <c r="BF2728">
        <v>3000</v>
      </c>
      <c r="BG2728">
        <v>0</v>
      </c>
      <c r="BH2728" s="6">
        <f>Grandview_Inventory[[#This Row],[land_extract]]*Lookups!$B$3</f>
        <v>53837.239420408718</v>
      </c>
      <c r="BI2728" s="6">
        <f>IF(Grandview_Inventory[[#This Row],[bldg_style]]="",0,Lookups!$B$2)</f>
        <v>0</v>
      </c>
      <c r="BJ2728" s="6">
        <f>_xlfn.IFNA(VLOOKUP(Grandview_Inventory[[#This Row],[quality]],Lookups!$H$2:$J$14,3,FALSE),0)</f>
        <v>0</v>
      </c>
      <c r="BK2728" s="6">
        <f>_xlfn.IFNA(VLOOKUP(Grandview_Inventory[[#This Row],[condition]],Lookups!$H$17:$J$24,3,FALSE),0)</f>
        <v>0</v>
      </c>
      <c r="BL2728" s="6">
        <f>Grandview_Inventory[[#This Row],[Eff_Age]]*Lookups!$B$14</f>
        <v>0</v>
      </c>
      <c r="BM2728" s="6">
        <f>Grandview_Inventory[[#This Row],[living_area]]*Lookups!$B$15</f>
        <v>0</v>
      </c>
      <c r="BN2728" s="6">
        <f>Grandview_Inventory[[#This Row],[Fin BSMT]]*Lookups!$B$16</f>
        <v>0</v>
      </c>
      <c r="BO2728" s="6">
        <f>(Grandview_Inventory[[#This Row],[att_gar]]+Grandview_Inventory[[#This Row],[bltin_gar]])*Lookups!$B$17</f>
        <v>0</v>
      </c>
      <c r="BP2728" s="6">
        <f>Grandview_Inventory[[#This Row],[Plumbing Fixtures]]*Lookups!$B$18</f>
        <v>0</v>
      </c>
      <c r="BQ2728" s="6">
        <f>Grandview_Inventory[[#This Row],[detatched_value]]*Lookups!$B$19</f>
        <v>0</v>
      </c>
      <c r="BR2728" s="6">
        <f>SUM(Grandview_Inventory[[#This Row],[Intercept]:[det_value]])*Grandview_Inventory[[#This Row],[res_pct]]</f>
        <v>0</v>
      </c>
      <c r="BS2728" s="6">
        <f>Grandview_Inventory[[#This Row],[land_value]]</f>
        <v>53837.239420408718</v>
      </c>
      <c r="BT2728" s="4">
        <f>_xlfn.IFNA(VLOOKUP(Grandview_Inventory[[#This Row],[quality]],Lookups!$A$26:$C$33,3,FALSE),1)</f>
        <v>1</v>
      </c>
      <c r="BU2728" s="4">
        <f>_xlfn.IFNA(VLOOKUP(Grandview_Inventory[[#This Row],[condition]],Lookups!$A$37:$C$44,3,FALSE),1)</f>
        <v>1</v>
      </c>
      <c r="BV2728" s="4">
        <f>IF(Grandview_Inventory[[#This Row],[bldg_style]]="",1,_xlfn.IFNA(VLOOKUP(Grandview_Inventory[[#This Row],[decade]],Lookups!$F$29:$H$43,3,FALSE),1))</f>
        <v>1</v>
      </c>
      <c r="BW2728" s="4">
        <f>_xlfn.IFNA(VLOOKUP(Grandview_Inventory[[#This Row],[living_area_range]],Lookups!$F$47:$H$56,3,FALSE),1)</f>
        <v>1</v>
      </c>
      <c r="BX2728" s="4">
        <f>AVERAGE(Grandview_Inventory[[#This Row],[qual_adj]:[size_adj]])</f>
        <v>1</v>
      </c>
      <c r="BY2728" s="6">
        <f>IF(Grandview_Inventory[[#This Row],[pre_res]]&lt;0,0,Grandview_Inventory[[#This Row],[pre_res]]*Grandview_Inventory[[#This Row],[overall_adj]])</f>
        <v>0</v>
      </c>
      <c r="BZ2728" s="6">
        <f>(Grandview_Inventory[[#This Row],[sum_land]]-IF(Grandview_Inventory[[#This Row],[no_utilities]]=1,12000,0))/IF(Grandview_Inventory[[#This Row],[unbuildable]]=1,2,1)</f>
        <v>41837.239420408718</v>
      </c>
      <c r="CA2728">
        <f>IF(ROUND(Grandview_Inventory[[#This Row],[adj_land]]*Lookups!$M$28,-2)&lt;Grandview_Inventory[[#This Row],[min_land]],Grandview_Inventory[[#This Row],[min_land]],ROUND(Grandview_Inventory[[#This Row],[adj_land]]*Lookups!$M$28,-2))</f>
        <v>39700</v>
      </c>
      <c r="CB2728">
        <f>ROUND(Grandview_Inventory[[#This Row],[det_value]]*Lookups!$M$28,-2)</f>
        <v>0</v>
      </c>
      <c r="CC272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8">
        <f>Grandview_Inventory[[#This Row],[final_det]]+Grandview_Inventory[[#This Row],[final_res]]</f>
        <v>0</v>
      </c>
      <c r="CE2728">
        <f>Grandview_Inventory[[#This Row],[final_land]]+Grandview_Inventory[[#This Row],[final_imp]]+Grandview_Inventory[[#This Row],[crop_value]]</f>
        <v>39700</v>
      </c>
      <c r="CG2728" t="str">
        <f t="shared" si="42"/>
        <v>update valuation set market_land =39700, market_bldg=0, market_total =39700, market_mdno =401, market_date ='9/10/2023' where link_id = (select link_id from parcel where parcel_year = '2024' and parcel_id = '23092323592');</v>
      </c>
    </row>
    <row r="2729" spans="1:85" x14ac:dyDescent="0.25">
      <c r="A2729">
        <v>23092324451</v>
      </c>
      <c r="B2729">
        <v>0.09</v>
      </c>
      <c r="C2729">
        <v>3769</v>
      </c>
      <c r="D2729" t="s">
        <v>129</v>
      </c>
      <c r="E2729" t="s">
        <v>53</v>
      </c>
      <c r="F2729" t="s">
        <v>53</v>
      </c>
      <c r="G2729">
        <v>4</v>
      </c>
      <c r="H2729" t="s">
        <v>54</v>
      </c>
      <c r="I2729">
        <v>0</v>
      </c>
      <c r="J2729">
        <v>15700</v>
      </c>
      <c r="K2729">
        <v>0.09</v>
      </c>
      <c r="L2729">
        <f>IF(Grandview_Inventory[[#This Row],[parcel_acres]]-Grandview_Inventory[[#This Row],[non_valued_acres]] =0,0,LN(Grandview_Inventory[[#This Row],[parcel_acres]]-Grandview_Inventory[[#This Row],[non_valued_acres]]))</f>
        <v>-2.4079456086518722</v>
      </c>
      <c r="M2729">
        <v>0</v>
      </c>
      <c r="N2729">
        <v>1</v>
      </c>
      <c r="O2729">
        <v>0</v>
      </c>
      <c r="P2729">
        <v>13398.7528</v>
      </c>
      <c r="Q2729">
        <v>63903</v>
      </c>
      <c r="R2729">
        <f>(Grandview_Inventory[[#This Row],[ln_acres]]*Grandview_Inventory[[#This Row],[coeff]])+Grandview_Inventory[[#This Row],[const]]</f>
        <v>31639.532033828022</v>
      </c>
      <c r="AY2729">
        <v>0</v>
      </c>
      <c r="AZ2729">
        <v>0</v>
      </c>
      <c r="BE2729">
        <v>0</v>
      </c>
      <c r="BF2729">
        <v>12000</v>
      </c>
      <c r="BG2729">
        <v>0</v>
      </c>
      <c r="BH2729" s="6">
        <f>Grandview_Inventory[[#This Row],[land_extract]]*Lookups!$B$3</f>
        <v>36742.90312414799</v>
      </c>
      <c r="BI2729" s="6">
        <f>IF(Grandview_Inventory[[#This Row],[bldg_style]]="",0,Lookups!$B$2)</f>
        <v>0</v>
      </c>
      <c r="BJ2729" s="6">
        <f>_xlfn.IFNA(VLOOKUP(Grandview_Inventory[[#This Row],[quality]],Lookups!$H$2:$J$14,3,FALSE),0)</f>
        <v>0</v>
      </c>
      <c r="BK2729" s="6">
        <f>_xlfn.IFNA(VLOOKUP(Grandview_Inventory[[#This Row],[condition]],Lookups!$H$17:$J$24,3,FALSE),0)</f>
        <v>0</v>
      </c>
      <c r="BL2729" s="6">
        <f>Grandview_Inventory[[#This Row],[Eff_Age]]*Lookups!$B$14</f>
        <v>0</v>
      </c>
      <c r="BM2729" s="6">
        <f>Grandview_Inventory[[#This Row],[living_area]]*Lookups!$B$15</f>
        <v>0</v>
      </c>
      <c r="BN2729" s="6">
        <f>Grandview_Inventory[[#This Row],[Fin BSMT]]*Lookups!$B$16</f>
        <v>0</v>
      </c>
      <c r="BO2729" s="6">
        <f>(Grandview_Inventory[[#This Row],[att_gar]]+Grandview_Inventory[[#This Row],[bltin_gar]])*Lookups!$B$17</f>
        <v>0</v>
      </c>
      <c r="BP2729" s="6">
        <f>Grandview_Inventory[[#This Row],[Plumbing Fixtures]]*Lookups!$B$18</f>
        <v>0</v>
      </c>
      <c r="BQ2729" s="6">
        <f>Grandview_Inventory[[#This Row],[detatched_value]]*Lookups!$B$19</f>
        <v>0</v>
      </c>
      <c r="BR2729" s="6">
        <f>SUM(Grandview_Inventory[[#This Row],[Intercept]:[det_value]])*Grandview_Inventory[[#This Row],[res_pct]]</f>
        <v>0</v>
      </c>
      <c r="BS2729" s="6">
        <f>Grandview_Inventory[[#This Row],[land_value]]</f>
        <v>36742.90312414799</v>
      </c>
      <c r="BT2729" s="4">
        <f>_xlfn.IFNA(VLOOKUP(Grandview_Inventory[[#This Row],[quality]],Lookups!$A$26:$C$33,3,FALSE),1)</f>
        <v>1</v>
      </c>
      <c r="BU2729" s="4">
        <f>_xlfn.IFNA(VLOOKUP(Grandview_Inventory[[#This Row],[condition]],Lookups!$A$37:$C$44,3,FALSE),1)</f>
        <v>1</v>
      </c>
      <c r="BV2729" s="4">
        <f>IF(Grandview_Inventory[[#This Row],[bldg_style]]="",1,_xlfn.IFNA(VLOOKUP(Grandview_Inventory[[#This Row],[decade]],Lookups!$F$29:$H$43,3,FALSE),1))</f>
        <v>1</v>
      </c>
      <c r="BW2729" s="4">
        <f>_xlfn.IFNA(VLOOKUP(Grandview_Inventory[[#This Row],[living_area_range]],Lookups!$F$47:$H$56,3,FALSE),1)</f>
        <v>1</v>
      </c>
      <c r="BX2729" s="4">
        <f>AVERAGE(Grandview_Inventory[[#This Row],[qual_adj]:[size_adj]])</f>
        <v>1</v>
      </c>
      <c r="BY2729" s="6">
        <f>IF(Grandview_Inventory[[#This Row],[pre_res]]&lt;0,0,Grandview_Inventory[[#This Row],[pre_res]]*Grandview_Inventory[[#This Row],[overall_adj]])</f>
        <v>0</v>
      </c>
      <c r="BZ2729" s="6">
        <f>(Grandview_Inventory[[#This Row],[sum_land]]-IF(Grandview_Inventory[[#This Row],[no_utilities]]=1,12000,0))/IF(Grandview_Inventory[[#This Row],[unbuildable]]=1,2,1)</f>
        <v>18371.451562073995</v>
      </c>
      <c r="CA2729">
        <f>IF(ROUND(Grandview_Inventory[[#This Row],[adj_land]]*Lookups!$M$28,-2)&lt;Grandview_Inventory[[#This Row],[min_land]],Grandview_Inventory[[#This Row],[min_land]],ROUND(Grandview_Inventory[[#This Row],[adj_land]]*Lookups!$M$28,-2))</f>
        <v>17500</v>
      </c>
      <c r="CB2729">
        <f>ROUND(Grandview_Inventory[[#This Row],[det_value]]*Lookups!$M$28,-2)</f>
        <v>0</v>
      </c>
      <c r="CC272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29">
        <f>Grandview_Inventory[[#This Row],[final_det]]+Grandview_Inventory[[#This Row],[final_res]]</f>
        <v>0</v>
      </c>
      <c r="CE2729">
        <f>Grandview_Inventory[[#This Row],[final_land]]+Grandview_Inventory[[#This Row],[final_imp]]+Grandview_Inventory[[#This Row],[crop_value]]</f>
        <v>17500</v>
      </c>
      <c r="CG2729" t="str">
        <f t="shared" si="42"/>
        <v>update valuation set market_land =17500, market_bldg=0, market_total =17500, market_mdno =401, market_date ='9/10/2023' where link_id = (select link_id from parcel where parcel_year = '2024' and parcel_id = '23092324451');</v>
      </c>
    </row>
    <row r="2730" spans="1:85" x14ac:dyDescent="0.25">
      <c r="A2730">
        <v>23092324476</v>
      </c>
      <c r="B2730">
        <v>0.14000000000000001</v>
      </c>
      <c r="C2730">
        <v>6195</v>
      </c>
      <c r="D2730" t="s">
        <v>129</v>
      </c>
      <c r="E2730" t="s">
        <v>53</v>
      </c>
      <c r="F2730" t="s">
        <v>53</v>
      </c>
      <c r="G2730">
        <v>4</v>
      </c>
      <c r="H2730" t="s">
        <v>54</v>
      </c>
      <c r="I2730">
        <v>2800</v>
      </c>
      <c r="J2730">
        <v>32300</v>
      </c>
      <c r="K2730">
        <v>0.14000000000000001</v>
      </c>
      <c r="L2730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2730">
        <v>0</v>
      </c>
      <c r="N2730">
        <v>0</v>
      </c>
      <c r="O2730">
        <v>0</v>
      </c>
      <c r="P2730">
        <v>13398.7528</v>
      </c>
      <c r="Q2730">
        <v>63903</v>
      </c>
      <c r="R2730">
        <f>(Grandview_Inventory[[#This Row],[ln_acres]]*Grandview_Inventory[[#This Row],[coeff]])+Grandview_Inventory[[#This Row],[const]]</f>
        <v>37559.539860558507</v>
      </c>
      <c r="AY2730">
        <v>0</v>
      </c>
      <c r="AZ2730">
        <v>2500</v>
      </c>
      <c r="BE2730">
        <v>0</v>
      </c>
      <c r="BF2730">
        <v>15000</v>
      </c>
      <c r="BG2730">
        <v>0</v>
      </c>
      <c r="BH2730" s="6">
        <f>Grandview_Inventory[[#This Row],[land_extract]]*Lookups!$B$3</f>
        <v>43617.792229308972</v>
      </c>
      <c r="BI2730" s="6">
        <f>IF(Grandview_Inventory[[#This Row],[bldg_style]]="",0,Lookups!$B$2)</f>
        <v>0</v>
      </c>
      <c r="BJ2730" s="6">
        <f>_xlfn.IFNA(VLOOKUP(Grandview_Inventory[[#This Row],[quality]],Lookups!$H$2:$J$14,3,FALSE),0)</f>
        <v>0</v>
      </c>
      <c r="BK2730" s="6">
        <f>_xlfn.IFNA(VLOOKUP(Grandview_Inventory[[#This Row],[condition]],Lookups!$H$17:$J$24,3,FALSE),0)</f>
        <v>0</v>
      </c>
      <c r="BL2730" s="6">
        <f>Grandview_Inventory[[#This Row],[Eff_Age]]*Lookups!$B$14</f>
        <v>0</v>
      </c>
      <c r="BM2730" s="6">
        <f>Grandview_Inventory[[#This Row],[living_area]]*Lookups!$B$15</f>
        <v>0</v>
      </c>
      <c r="BN2730" s="6">
        <f>Grandview_Inventory[[#This Row],[Fin BSMT]]*Lookups!$B$16</f>
        <v>0</v>
      </c>
      <c r="BO2730" s="6">
        <f>(Grandview_Inventory[[#This Row],[att_gar]]+Grandview_Inventory[[#This Row],[bltin_gar]])*Lookups!$B$17</f>
        <v>0</v>
      </c>
      <c r="BP2730" s="6">
        <f>Grandview_Inventory[[#This Row],[Plumbing Fixtures]]*Lookups!$B$18</f>
        <v>0</v>
      </c>
      <c r="BQ2730" s="6">
        <f>Grandview_Inventory[[#This Row],[detatched_value]]*Lookups!$B$19</f>
        <v>2117.0127499999999</v>
      </c>
      <c r="BR2730" s="6">
        <f>SUM(Grandview_Inventory[[#This Row],[Intercept]:[det_value]])*Grandview_Inventory[[#This Row],[res_pct]]</f>
        <v>0</v>
      </c>
      <c r="BS2730" s="6">
        <f>Grandview_Inventory[[#This Row],[land_value]]</f>
        <v>43617.792229308972</v>
      </c>
      <c r="BT2730" s="4">
        <f>_xlfn.IFNA(VLOOKUP(Grandview_Inventory[[#This Row],[quality]],Lookups!$A$26:$C$33,3,FALSE),1)</f>
        <v>1</v>
      </c>
      <c r="BU2730" s="4">
        <f>_xlfn.IFNA(VLOOKUP(Grandview_Inventory[[#This Row],[condition]],Lookups!$A$37:$C$44,3,FALSE),1)</f>
        <v>1</v>
      </c>
      <c r="BV2730" s="4">
        <f>IF(Grandview_Inventory[[#This Row],[bldg_style]]="",1,_xlfn.IFNA(VLOOKUP(Grandview_Inventory[[#This Row],[decade]],Lookups!$F$29:$H$43,3,FALSE),1))</f>
        <v>1</v>
      </c>
      <c r="BW2730" s="4">
        <f>_xlfn.IFNA(VLOOKUP(Grandview_Inventory[[#This Row],[living_area_range]],Lookups!$F$47:$H$56,3,FALSE),1)</f>
        <v>1</v>
      </c>
      <c r="BX2730" s="4">
        <f>AVERAGE(Grandview_Inventory[[#This Row],[qual_adj]:[size_adj]])</f>
        <v>1</v>
      </c>
      <c r="BY2730" s="6">
        <f>IF(Grandview_Inventory[[#This Row],[pre_res]]&lt;0,0,Grandview_Inventory[[#This Row],[pre_res]]*Grandview_Inventory[[#This Row],[overall_adj]])</f>
        <v>0</v>
      </c>
      <c r="BZ2730" s="6">
        <f>(Grandview_Inventory[[#This Row],[sum_land]]-IF(Grandview_Inventory[[#This Row],[no_utilities]]=1,12000,0))/IF(Grandview_Inventory[[#This Row],[unbuildable]]=1,2,1)</f>
        <v>43617.792229308972</v>
      </c>
      <c r="CA2730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2730">
        <f>ROUND(Grandview_Inventory[[#This Row],[det_value]]*Lookups!$M$28,-2)</f>
        <v>2000</v>
      </c>
      <c r="CC273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0">
        <f>Grandview_Inventory[[#This Row],[final_det]]+Grandview_Inventory[[#This Row],[final_res]]</f>
        <v>2000</v>
      </c>
      <c r="CE2730">
        <f>Grandview_Inventory[[#This Row],[final_land]]+Grandview_Inventory[[#This Row],[final_imp]]+Grandview_Inventory[[#This Row],[crop_value]]</f>
        <v>43400</v>
      </c>
      <c r="CG2730" t="str">
        <f t="shared" si="42"/>
        <v>update valuation set market_land =41400, market_bldg=2000, market_total =43400, market_mdno =401, market_date ='9/10/2023' where link_id = (select link_id from parcel where parcel_year = '2024' and parcel_id = '23092324476');</v>
      </c>
    </row>
    <row r="2731" spans="1:85" x14ac:dyDescent="0.25">
      <c r="A2731">
        <v>23092324477</v>
      </c>
      <c r="B2731">
        <v>0.14000000000000001</v>
      </c>
      <c r="C2731">
        <v>6140</v>
      </c>
      <c r="D2731" t="s">
        <v>129</v>
      </c>
      <c r="E2731" t="s">
        <v>53</v>
      </c>
      <c r="F2731" t="s">
        <v>53</v>
      </c>
      <c r="G2731">
        <v>4</v>
      </c>
      <c r="H2731" t="s">
        <v>54</v>
      </c>
      <c r="I2731">
        <v>0</v>
      </c>
      <c r="J2731">
        <v>38800</v>
      </c>
      <c r="K2731">
        <v>0.14000000000000001</v>
      </c>
      <c r="L2731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2731">
        <v>0</v>
      </c>
      <c r="N2731">
        <v>0</v>
      </c>
      <c r="O2731">
        <v>0</v>
      </c>
      <c r="P2731">
        <v>13398.7528</v>
      </c>
      <c r="Q2731">
        <v>63903</v>
      </c>
      <c r="R2731">
        <f>(Grandview_Inventory[[#This Row],[ln_acres]]*Grandview_Inventory[[#This Row],[coeff]])+Grandview_Inventory[[#This Row],[const]]</f>
        <v>37559.539860558507</v>
      </c>
      <c r="AY2731">
        <v>0</v>
      </c>
      <c r="AZ2731">
        <v>0</v>
      </c>
      <c r="BE2731">
        <v>0</v>
      </c>
      <c r="BF2731">
        <v>15000</v>
      </c>
      <c r="BG2731">
        <v>0</v>
      </c>
      <c r="BH2731" s="6">
        <f>Grandview_Inventory[[#This Row],[land_extract]]*Lookups!$B$3</f>
        <v>43617.792229308972</v>
      </c>
      <c r="BI2731" s="6">
        <f>IF(Grandview_Inventory[[#This Row],[bldg_style]]="",0,Lookups!$B$2)</f>
        <v>0</v>
      </c>
      <c r="BJ2731" s="6">
        <f>_xlfn.IFNA(VLOOKUP(Grandview_Inventory[[#This Row],[quality]],Lookups!$H$2:$J$14,3,FALSE),0)</f>
        <v>0</v>
      </c>
      <c r="BK2731" s="6">
        <f>_xlfn.IFNA(VLOOKUP(Grandview_Inventory[[#This Row],[condition]],Lookups!$H$17:$J$24,3,FALSE),0)</f>
        <v>0</v>
      </c>
      <c r="BL2731" s="6">
        <f>Grandview_Inventory[[#This Row],[Eff_Age]]*Lookups!$B$14</f>
        <v>0</v>
      </c>
      <c r="BM2731" s="6">
        <f>Grandview_Inventory[[#This Row],[living_area]]*Lookups!$B$15</f>
        <v>0</v>
      </c>
      <c r="BN2731" s="6">
        <f>Grandview_Inventory[[#This Row],[Fin BSMT]]*Lookups!$B$16</f>
        <v>0</v>
      </c>
      <c r="BO2731" s="6">
        <f>(Grandview_Inventory[[#This Row],[att_gar]]+Grandview_Inventory[[#This Row],[bltin_gar]])*Lookups!$B$17</f>
        <v>0</v>
      </c>
      <c r="BP2731" s="6">
        <f>Grandview_Inventory[[#This Row],[Plumbing Fixtures]]*Lookups!$B$18</f>
        <v>0</v>
      </c>
      <c r="BQ2731" s="6">
        <f>Grandview_Inventory[[#This Row],[detatched_value]]*Lookups!$B$19</f>
        <v>0</v>
      </c>
      <c r="BR2731" s="6">
        <f>SUM(Grandview_Inventory[[#This Row],[Intercept]:[det_value]])*Grandview_Inventory[[#This Row],[res_pct]]</f>
        <v>0</v>
      </c>
      <c r="BS2731" s="6">
        <f>Grandview_Inventory[[#This Row],[land_value]]</f>
        <v>43617.792229308972</v>
      </c>
      <c r="BT2731" s="4">
        <f>_xlfn.IFNA(VLOOKUP(Grandview_Inventory[[#This Row],[quality]],Lookups!$A$26:$C$33,3,FALSE),1)</f>
        <v>1</v>
      </c>
      <c r="BU2731" s="4">
        <f>_xlfn.IFNA(VLOOKUP(Grandview_Inventory[[#This Row],[condition]],Lookups!$A$37:$C$44,3,FALSE),1)</f>
        <v>1</v>
      </c>
      <c r="BV2731" s="4">
        <f>IF(Grandview_Inventory[[#This Row],[bldg_style]]="",1,_xlfn.IFNA(VLOOKUP(Grandview_Inventory[[#This Row],[decade]],Lookups!$F$29:$H$43,3,FALSE),1))</f>
        <v>1</v>
      </c>
      <c r="BW2731" s="4">
        <f>_xlfn.IFNA(VLOOKUP(Grandview_Inventory[[#This Row],[living_area_range]],Lookups!$F$47:$H$56,3,FALSE),1)</f>
        <v>1</v>
      </c>
      <c r="BX2731" s="4">
        <f>AVERAGE(Grandview_Inventory[[#This Row],[qual_adj]:[size_adj]])</f>
        <v>1</v>
      </c>
      <c r="BY2731" s="6">
        <f>IF(Grandview_Inventory[[#This Row],[pre_res]]&lt;0,0,Grandview_Inventory[[#This Row],[pre_res]]*Grandview_Inventory[[#This Row],[overall_adj]])</f>
        <v>0</v>
      </c>
      <c r="BZ2731" s="6">
        <f>(Grandview_Inventory[[#This Row],[sum_land]]-IF(Grandview_Inventory[[#This Row],[no_utilities]]=1,12000,0))/IF(Grandview_Inventory[[#This Row],[unbuildable]]=1,2,1)</f>
        <v>43617.792229308972</v>
      </c>
      <c r="CA2731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2731">
        <f>ROUND(Grandview_Inventory[[#This Row],[det_value]]*Lookups!$M$28,-2)</f>
        <v>0</v>
      </c>
      <c r="CC273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1">
        <f>Grandview_Inventory[[#This Row],[final_det]]+Grandview_Inventory[[#This Row],[final_res]]</f>
        <v>0</v>
      </c>
      <c r="CE2731">
        <f>Grandview_Inventory[[#This Row],[final_land]]+Grandview_Inventory[[#This Row],[final_imp]]+Grandview_Inventory[[#This Row],[crop_value]]</f>
        <v>41400</v>
      </c>
      <c r="CG2731" t="str">
        <f t="shared" si="42"/>
        <v>update valuation set market_land =41400, market_bldg=0, market_total =41400, market_mdno =401, market_date ='9/10/2023' where link_id = (select link_id from parcel where parcel_year = '2024' and parcel_id = '23092324477');</v>
      </c>
    </row>
    <row r="2732" spans="1:85" x14ac:dyDescent="0.25">
      <c r="A2732">
        <v>23092324479</v>
      </c>
      <c r="B2732">
        <v>0.08</v>
      </c>
      <c r="C2732">
        <v>3551</v>
      </c>
      <c r="D2732" t="s">
        <v>129</v>
      </c>
      <c r="E2732" t="s">
        <v>53</v>
      </c>
      <c r="F2732" t="s">
        <v>53</v>
      </c>
      <c r="G2732">
        <v>4</v>
      </c>
      <c r="H2732" t="s">
        <v>54</v>
      </c>
      <c r="I2732">
        <v>0</v>
      </c>
      <c r="J2732">
        <v>31100</v>
      </c>
      <c r="K2732">
        <v>0.08</v>
      </c>
      <c r="L2732">
        <f>IF(Grandview_Inventory[[#This Row],[parcel_acres]]-Grandview_Inventory[[#This Row],[non_valued_acres]] =0,0,LN(Grandview_Inventory[[#This Row],[parcel_acres]]-Grandview_Inventory[[#This Row],[non_valued_acres]]))</f>
        <v>-2.5257286443082556</v>
      </c>
      <c r="M2732">
        <v>0</v>
      </c>
      <c r="N2732">
        <v>0</v>
      </c>
      <c r="O2732">
        <v>0</v>
      </c>
      <c r="P2732">
        <v>13398.7528</v>
      </c>
      <c r="Q2732">
        <v>63903</v>
      </c>
      <c r="R2732">
        <f>(Grandview_Inventory[[#This Row],[ln_acres]]*Grandview_Inventory[[#This Row],[coeff]])+Grandview_Inventory[[#This Row],[const]]</f>
        <v>30061.386255034558</v>
      </c>
      <c r="AY2732">
        <v>0</v>
      </c>
      <c r="AZ2732">
        <v>0</v>
      </c>
      <c r="BE2732">
        <v>0</v>
      </c>
      <c r="BF2732">
        <v>15000</v>
      </c>
      <c r="BG2732">
        <v>0</v>
      </c>
      <c r="BH2732" s="6">
        <f>Grandview_Inventory[[#This Row],[land_extract]]*Lookups!$B$3</f>
        <v>34910.206692228741</v>
      </c>
      <c r="BI2732" s="6">
        <f>IF(Grandview_Inventory[[#This Row],[bldg_style]]="",0,Lookups!$B$2)</f>
        <v>0</v>
      </c>
      <c r="BJ2732" s="6">
        <f>_xlfn.IFNA(VLOOKUP(Grandview_Inventory[[#This Row],[quality]],Lookups!$H$2:$J$14,3,FALSE),0)</f>
        <v>0</v>
      </c>
      <c r="BK2732" s="6">
        <f>_xlfn.IFNA(VLOOKUP(Grandview_Inventory[[#This Row],[condition]],Lookups!$H$17:$J$24,3,FALSE),0)</f>
        <v>0</v>
      </c>
      <c r="BL2732" s="6">
        <f>Grandview_Inventory[[#This Row],[Eff_Age]]*Lookups!$B$14</f>
        <v>0</v>
      </c>
      <c r="BM2732" s="6">
        <f>Grandview_Inventory[[#This Row],[living_area]]*Lookups!$B$15</f>
        <v>0</v>
      </c>
      <c r="BN2732" s="6">
        <f>Grandview_Inventory[[#This Row],[Fin BSMT]]*Lookups!$B$16</f>
        <v>0</v>
      </c>
      <c r="BO2732" s="6">
        <f>(Grandview_Inventory[[#This Row],[att_gar]]+Grandview_Inventory[[#This Row],[bltin_gar]])*Lookups!$B$17</f>
        <v>0</v>
      </c>
      <c r="BP2732" s="6">
        <f>Grandview_Inventory[[#This Row],[Plumbing Fixtures]]*Lookups!$B$18</f>
        <v>0</v>
      </c>
      <c r="BQ2732" s="6">
        <f>Grandview_Inventory[[#This Row],[detatched_value]]*Lookups!$B$19</f>
        <v>0</v>
      </c>
      <c r="BR2732" s="6">
        <f>SUM(Grandview_Inventory[[#This Row],[Intercept]:[det_value]])*Grandview_Inventory[[#This Row],[res_pct]]</f>
        <v>0</v>
      </c>
      <c r="BS2732" s="6">
        <f>Grandview_Inventory[[#This Row],[land_value]]</f>
        <v>34910.206692228741</v>
      </c>
      <c r="BT2732" s="4">
        <f>_xlfn.IFNA(VLOOKUP(Grandview_Inventory[[#This Row],[quality]],Lookups!$A$26:$C$33,3,FALSE),1)</f>
        <v>1</v>
      </c>
      <c r="BU2732" s="4">
        <f>_xlfn.IFNA(VLOOKUP(Grandview_Inventory[[#This Row],[condition]],Lookups!$A$37:$C$44,3,FALSE),1)</f>
        <v>1</v>
      </c>
      <c r="BV2732" s="4">
        <f>IF(Grandview_Inventory[[#This Row],[bldg_style]]="",1,_xlfn.IFNA(VLOOKUP(Grandview_Inventory[[#This Row],[decade]],Lookups!$F$29:$H$43,3,FALSE),1))</f>
        <v>1</v>
      </c>
      <c r="BW2732" s="4">
        <f>_xlfn.IFNA(VLOOKUP(Grandview_Inventory[[#This Row],[living_area_range]],Lookups!$F$47:$H$56,3,FALSE),1)</f>
        <v>1</v>
      </c>
      <c r="BX2732" s="4">
        <f>AVERAGE(Grandview_Inventory[[#This Row],[qual_adj]:[size_adj]])</f>
        <v>1</v>
      </c>
      <c r="BY2732" s="6">
        <f>IF(Grandview_Inventory[[#This Row],[pre_res]]&lt;0,0,Grandview_Inventory[[#This Row],[pre_res]]*Grandview_Inventory[[#This Row],[overall_adj]])</f>
        <v>0</v>
      </c>
      <c r="BZ2732" s="6">
        <f>(Grandview_Inventory[[#This Row],[sum_land]]-IF(Grandview_Inventory[[#This Row],[no_utilities]]=1,12000,0))/IF(Grandview_Inventory[[#This Row],[unbuildable]]=1,2,1)</f>
        <v>34910.206692228741</v>
      </c>
      <c r="CA2732">
        <f>IF(ROUND(Grandview_Inventory[[#This Row],[adj_land]]*Lookups!$M$28,-2)&lt;Grandview_Inventory[[#This Row],[min_land]],Grandview_Inventory[[#This Row],[min_land]],ROUND(Grandview_Inventory[[#This Row],[adj_land]]*Lookups!$M$28,-2))</f>
        <v>33200</v>
      </c>
      <c r="CB2732">
        <f>ROUND(Grandview_Inventory[[#This Row],[det_value]]*Lookups!$M$28,-2)</f>
        <v>0</v>
      </c>
      <c r="CC273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2">
        <f>Grandview_Inventory[[#This Row],[final_det]]+Grandview_Inventory[[#This Row],[final_res]]</f>
        <v>0</v>
      </c>
      <c r="CE2732">
        <f>Grandview_Inventory[[#This Row],[final_land]]+Grandview_Inventory[[#This Row],[final_imp]]+Grandview_Inventory[[#This Row],[crop_value]]</f>
        <v>33200</v>
      </c>
      <c r="CG2732" t="str">
        <f t="shared" si="42"/>
        <v>update valuation set market_land =33200, market_bldg=0, market_total =33200, market_mdno =401, market_date ='9/10/2023' where link_id = (select link_id from parcel where parcel_year = '2024' and parcel_id = '23092324479');</v>
      </c>
    </row>
    <row r="2733" spans="1:85" x14ac:dyDescent="0.25">
      <c r="A2733">
        <v>23092332413</v>
      </c>
      <c r="B2733">
        <v>0.23</v>
      </c>
      <c r="C2733">
        <v>9873</v>
      </c>
      <c r="D2733" t="s">
        <v>129</v>
      </c>
      <c r="E2733" t="s">
        <v>53</v>
      </c>
      <c r="F2733" t="s">
        <v>53</v>
      </c>
      <c r="G2733">
        <v>4</v>
      </c>
      <c r="H2733" t="s">
        <v>54</v>
      </c>
      <c r="I2733">
        <v>0</v>
      </c>
      <c r="J2733">
        <v>32800</v>
      </c>
      <c r="K2733">
        <v>0.23</v>
      </c>
      <c r="L2733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733">
        <v>0</v>
      </c>
      <c r="N2733">
        <v>0</v>
      </c>
      <c r="O2733">
        <v>0</v>
      </c>
      <c r="P2733">
        <v>13398.7528</v>
      </c>
      <c r="Q2733">
        <v>63903</v>
      </c>
      <c r="R2733">
        <f>(Grandview_Inventory[[#This Row],[ln_acres]]*Grandview_Inventory[[#This Row],[coeff]])+Grandview_Inventory[[#This Row],[const]]</f>
        <v>44211.174981080039</v>
      </c>
      <c r="AY2733">
        <v>0</v>
      </c>
      <c r="AZ2733">
        <v>0</v>
      </c>
      <c r="BE2733">
        <v>0</v>
      </c>
      <c r="BF2733">
        <v>15000</v>
      </c>
      <c r="BG2733">
        <v>0</v>
      </c>
      <c r="BH2733" s="6">
        <f>Grandview_Inventory[[#This Row],[land_extract]]*Lookups!$B$3</f>
        <v>51342.318135355803</v>
      </c>
      <c r="BI2733" s="6">
        <f>IF(Grandview_Inventory[[#This Row],[bldg_style]]="",0,Lookups!$B$2)</f>
        <v>0</v>
      </c>
      <c r="BJ2733" s="6">
        <f>_xlfn.IFNA(VLOOKUP(Grandview_Inventory[[#This Row],[quality]],Lookups!$H$2:$J$14,3,FALSE),0)</f>
        <v>0</v>
      </c>
      <c r="BK2733" s="6">
        <f>_xlfn.IFNA(VLOOKUP(Grandview_Inventory[[#This Row],[condition]],Lookups!$H$17:$J$24,3,FALSE),0)</f>
        <v>0</v>
      </c>
      <c r="BL2733" s="6">
        <f>Grandview_Inventory[[#This Row],[Eff_Age]]*Lookups!$B$14</f>
        <v>0</v>
      </c>
      <c r="BM2733" s="6">
        <f>Grandview_Inventory[[#This Row],[living_area]]*Lookups!$B$15</f>
        <v>0</v>
      </c>
      <c r="BN2733" s="6">
        <f>Grandview_Inventory[[#This Row],[Fin BSMT]]*Lookups!$B$16</f>
        <v>0</v>
      </c>
      <c r="BO2733" s="6">
        <f>(Grandview_Inventory[[#This Row],[att_gar]]+Grandview_Inventory[[#This Row],[bltin_gar]])*Lookups!$B$17</f>
        <v>0</v>
      </c>
      <c r="BP2733" s="6">
        <f>Grandview_Inventory[[#This Row],[Plumbing Fixtures]]*Lookups!$B$18</f>
        <v>0</v>
      </c>
      <c r="BQ2733" s="6">
        <f>Grandview_Inventory[[#This Row],[detatched_value]]*Lookups!$B$19</f>
        <v>0</v>
      </c>
      <c r="BR2733" s="6">
        <f>SUM(Grandview_Inventory[[#This Row],[Intercept]:[det_value]])*Grandview_Inventory[[#This Row],[res_pct]]</f>
        <v>0</v>
      </c>
      <c r="BS2733" s="6">
        <f>Grandview_Inventory[[#This Row],[land_value]]</f>
        <v>51342.318135355803</v>
      </c>
      <c r="BT2733" s="4">
        <f>_xlfn.IFNA(VLOOKUP(Grandview_Inventory[[#This Row],[quality]],Lookups!$A$26:$C$33,3,FALSE),1)</f>
        <v>1</v>
      </c>
      <c r="BU2733" s="4">
        <f>_xlfn.IFNA(VLOOKUP(Grandview_Inventory[[#This Row],[condition]],Lookups!$A$37:$C$44,3,FALSE),1)</f>
        <v>1</v>
      </c>
      <c r="BV2733" s="4">
        <f>IF(Grandview_Inventory[[#This Row],[bldg_style]]="",1,_xlfn.IFNA(VLOOKUP(Grandview_Inventory[[#This Row],[decade]],Lookups!$F$29:$H$43,3,FALSE),1))</f>
        <v>1</v>
      </c>
      <c r="BW2733" s="4">
        <f>_xlfn.IFNA(VLOOKUP(Grandview_Inventory[[#This Row],[living_area_range]],Lookups!$F$47:$H$56,3,FALSE),1)</f>
        <v>1</v>
      </c>
      <c r="BX2733" s="4">
        <f>AVERAGE(Grandview_Inventory[[#This Row],[qual_adj]:[size_adj]])</f>
        <v>1</v>
      </c>
      <c r="BY2733" s="6">
        <f>IF(Grandview_Inventory[[#This Row],[pre_res]]&lt;0,0,Grandview_Inventory[[#This Row],[pre_res]]*Grandview_Inventory[[#This Row],[overall_adj]])</f>
        <v>0</v>
      </c>
      <c r="BZ2733" s="6">
        <f>(Grandview_Inventory[[#This Row],[sum_land]]-IF(Grandview_Inventory[[#This Row],[no_utilities]]=1,12000,0))/IF(Grandview_Inventory[[#This Row],[unbuildable]]=1,2,1)</f>
        <v>51342.318135355803</v>
      </c>
      <c r="CA2733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733">
        <f>ROUND(Grandview_Inventory[[#This Row],[det_value]]*Lookups!$M$28,-2)</f>
        <v>0</v>
      </c>
      <c r="CC273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3">
        <f>Grandview_Inventory[[#This Row],[final_det]]+Grandview_Inventory[[#This Row],[final_res]]</f>
        <v>0</v>
      </c>
      <c r="CE2733">
        <f>Grandview_Inventory[[#This Row],[final_land]]+Grandview_Inventory[[#This Row],[final_imp]]+Grandview_Inventory[[#This Row],[crop_value]]</f>
        <v>48800</v>
      </c>
      <c r="CG2733" t="str">
        <f t="shared" si="42"/>
        <v>update valuation set market_land =48800, market_bldg=0, market_total =48800, market_mdno =401, market_date ='9/10/2023' where link_id = (select link_id from parcel where parcel_year = '2024' and parcel_id = '23092332413');</v>
      </c>
    </row>
    <row r="2734" spans="1:85" x14ac:dyDescent="0.25">
      <c r="A2734">
        <v>23092332494</v>
      </c>
      <c r="B2734">
        <v>0.02</v>
      </c>
      <c r="C2734">
        <v>1024</v>
      </c>
      <c r="D2734" t="s">
        <v>129</v>
      </c>
      <c r="E2734" t="s">
        <v>53</v>
      </c>
      <c r="F2734" t="s">
        <v>53</v>
      </c>
      <c r="G2734">
        <v>4</v>
      </c>
      <c r="H2734" t="s">
        <v>54</v>
      </c>
      <c r="I2734">
        <v>0</v>
      </c>
      <c r="J2734">
        <v>300</v>
      </c>
      <c r="K2734">
        <v>0.02</v>
      </c>
      <c r="L2734">
        <f>IF(Grandview_Inventory[[#This Row],[parcel_acres]]-Grandview_Inventory[[#This Row],[non_valued_acres]] =0,0,LN(Grandview_Inventory[[#This Row],[parcel_acres]]-Grandview_Inventory[[#This Row],[non_valued_acres]]))</f>
        <v>-3.912023005428146</v>
      </c>
      <c r="M2734">
        <v>0</v>
      </c>
      <c r="N2734">
        <v>1</v>
      </c>
      <c r="O2734">
        <v>0</v>
      </c>
      <c r="P2734">
        <v>13398.7528</v>
      </c>
      <c r="Q2734">
        <v>63903</v>
      </c>
      <c r="R2734">
        <f>(Grandview_Inventory[[#This Row],[ln_acres]]*Grandview_Inventory[[#This Row],[coeff]])+Grandview_Inventory[[#This Row],[const]]</f>
        <v>11486.770802355211</v>
      </c>
      <c r="AY2734">
        <v>0</v>
      </c>
      <c r="AZ2734">
        <v>0</v>
      </c>
      <c r="BE2734">
        <v>0</v>
      </c>
      <c r="BF2734">
        <v>12000</v>
      </c>
      <c r="BG2734">
        <v>0</v>
      </c>
      <c r="BH2734" s="6">
        <f>Grandview_Inventory[[#This Row],[land_extract]]*Lookups!$B$3</f>
        <v>13339.555918493941</v>
      </c>
      <c r="BI2734" s="6">
        <f>IF(Grandview_Inventory[[#This Row],[bldg_style]]="",0,Lookups!$B$2)</f>
        <v>0</v>
      </c>
      <c r="BJ2734" s="6">
        <f>_xlfn.IFNA(VLOOKUP(Grandview_Inventory[[#This Row],[quality]],Lookups!$H$2:$J$14,3,FALSE),0)</f>
        <v>0</v>
      </c>
      <c r="BK2734" s="6">
        <f>_xlfn.IFNA(VLOOKUP(Grandview_Inventory[[#This Row],[condition]],Lookups!$H$17:$J$24,3,FALSE),0)</f>
        <v>0</v>
      </c>
      <c r="BL2734" s="6">
        <f>Grandview_Inventory[[#This Row],[Eff_Age]]*Lookups!$B$14</f>
        <v>0</v>
      </c>
      <c r="BM2734" s="6">
        <f>Grandview_Inventory[[#This Row],[living_area]]*Lookups!$B$15</f>
        <v>0</v>
      </c>
      <c r="BN2734" s="6">
        <f>Grandview_Inventory[[#This Row],[Fin BSMT]]*Lookups!$B$16</f>
        <v>0</v>
      </c>
      <c r="BO2734" s="6">
        <f>(Grandview_Inventory[[#This Row],[att_gar]]+Grandview_Inventory[[#This Row],[bltin_gar]])*Lookups!$B$17</f>
        <v>0</v>
      </c>
      <c r="BP2734" s="6">
        <f>Grandview_Inventory[[#This Row],[Plumbing Fixtures]]*Lookups!$B$18</f>
        <v>0</v>
      </c>
      <c r="BQ2734" s="6">
        <f>Grandview_Inventory[[#This Row],[detatched_value]]*Lookups!$B$19</f>
        <v>0</v>
      </c>
      <c r="BR2734" s="6">
        <f>SUM(Grandview_Inventory[[#This Row],[Intercept]:[det_value]])*Grandview_Inventory[[#This Row],[res_pct]]</f>
        <v>0</v>
      </c>
      <c r="BS2734" s="6">
        <f>Grandview_Inventory[[#This Row],[land_value]]</f>
        <v>13339.555918493941</v>
      </c>
      <c r="BT2734" s="4">
        <f>_xlfn.IFNA(VLOOKUP(Grandview_Inventory[[#This Row],[quality]],Lookups!$A$26:$C$33,3,FALSE),1)</f>
        <v>1</v>
      </c>
      <c r="BU2734" s="4">
        <f>_xlfn.IFNA(VLOOKUP(Grandview_Inventory[[#This Row],[condition]],Lookups!$A$37:$C$44,3,FALSE),1)</f>
        <v>1</v>
      </c>
      <c r="BV2734" s="4">
        <f>IF(Grandview_Inventory[[#This Row],[bldg_style]]="",1,_xlfn.IFNA(VLOOKUP(Grandview_Inventory[[#This Row],[decade]],Lookups!$F$29:$H$43,3,FALSE),1))</f>
        <v>1</v>
      </c>
      <c r="BW2734" s="4">
        <f>_xlfn.IFNA(VLOOKUP(Grandview_Inventory[[#This Row],[living_area_range]],Lookups!$F$47:$H$56,3,FALSE),1)</f>
        <v>1</v>
      </c>
      <c r="BX2734" s="4">
        <f>AVERAGE(Grandview_Inventory[[#This Row],[qual_adj]:[size_adj]])</f>
        <v>1</v>
      </c>
      <c r="BY2734" s="6">
        <f>IF(Grandview_Inventory[[#This Row],[pre_res]]&lt;0,0,Grandview_Inventory[[#This Row],[pre_res]]*Grandview_Inventory[[#This Row],[overall_adj]])</f>
        <v>0</v>
      </c>
      <c r="BZ2734" s="6">
        <f>(Grandview_Inventory[[#This Row],[sum_land]]-IF(Grandview_Inventory[[#This Row],[no_utilities]]=1,12000,0))/IF(Grandview_Inventory[[#This Row],[unbuildable]]=1,2,1)</f>
        <v>6669.7779592469706</v>
      </c>
      <c r="CA2734">
        <f>IF(ROUND(Grandview_Inventory[[#This Row],[adj_land]]*Lookups!$M$28,-2)&lt;Grandview_Inventory[[#This Row],[min_land]],Grandview_Inventory[[#This Row],[min_land]],ROUND(Grandview_Inventory[[#This Row],[adj_land]]*Lookups!$M$28,-2))</f>
        <v>12000</v>
      </c>
      <c r="CB2734">
        <f>ROUND(Grandview_Inventory[[#This Row],[det_value]]*Lookups!$M$28,-2)</f>
        <v>0</v>
      </c>
      <c r="CC273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4">
        <f>Grandview_Inventory[[#This Row],[final_det]]+Grandview_Inventory[[#This Row],[final_res]]</f>
        <v>0</v>
      </c>
      <c r="CE2734">
        <f>Grandview_Inventory[[#This Row],[final_land]]+Grandview_Inventory[[#This Row],[final_imp]]+Grandview_Inventory[[#This Row],[crop_value]]</f>
        <v>12000</v>
      </c>
      <c r="CG2734" t="str">
        <f t="shared" si="42"/>
        <v>update valuation set market_land =12000, market_bldg=0, market_total =12000, market_mdno =401, market_date ='9/10/2023' where link_id = (select link_id from parcel where parcel_year = '2024' and parcel_id = '23092332494');</v>
      </c>
    </row>
    <row r="2735" spans="1:85" x14ac:dyDescent="0.25">
      <c r="A2735">
        <v>23092332503</v>
      </c>
      <c r="B2735">
        <v>0.05</v>
      </c>
      <c r="C2735">
        <v>2139</v>
      </c>
      <c r="D2735" t="s">
        <v>129</v>
      </c>
      <c r="E2735" t="s">
        <v>53</v>
      </c>
      <c r="F2735" t="s">
        <v>53</v>
      </c>
      <c r="G2735">
        <v>4</v>
      </c>
      <c r="H2735" t="s">
        <v>54</v>
      </c>
      <c r="I2735">
        <v>0</v>
      </c>
      <c r="J2735">
        <v>300</v>
      </c>
      <c r="K2735">
        <v>0.05</v>
      </c>
      <c r="L2735">
        <f>IF(Grandview_Inventory[[#This Row],[parcel_acres]]-Grandview_Inventory[[#This Row],[non_valued_acres]] =0,0,LN(Grandview_Inventory[[#This Row],[parcel_acres]]-Grandview_Inventory[[#This Row],[non_valued_acres]]))</f>
        <v>-2.9957322735539909</v>
      </c>
      <c r="M2735">
        <v>0</v>
      </c>
      <c r="N2735">
        <v>1</v>
      </c>
      <c r="O2735">
        <v>0</v>
      </c>
      <c r="P2735">
        <v>13398.7528</v>
      </c>
      <c r="Q2735">
        <v>63903</v>
      </c>
      <c r="R2735">
        <f>(Grandview_Inventory[[#This Row],[ln_acres]]*Grandview_Inventory[[#This Row],[coeff]])+Grandview_Inventory[[#This Row],[const]]</f>
        <v>23763.923811668101</v>
      </c>
      <c r="AY2735">
        <v>0</v>
      </c>
      <c r="AZ2735">
        <v>0</v>
      </c>
      <c r="BE2735">
        <v>0</v>
      </c>
      <c r="BF2735">
        <v>12000</v>
      </c>
      <c r="BG2735">
        <v>0</v>
      </c>
      <c r="BH2735" s="6">
        <f>Grandview_Inventory[[#This Row],[land_extract]]*Lookups!$B$3</f>
        <v>27596.980559895874</v>
      </c>
      <c r="BI2735" s="6">
        <f>IF(Grandview_Inventory[[#This Row],[bldg_style]]="",0,Lookups!$B$2)</f>
        <v>0</v>
      </c>
      <c r="BJ2735" s="6">
        <f>_xlfn.IFNA(VLOOKUP(Grandview_Inventory[[#This Row],[quality]],Lookups!$H$2:$J$14,3,FALSE),0)</f>
        <v>0</v>
      </c>
      <c r="BK2735" s="6">
        <f>_xlfn.IFNA(VLOOKUP(Grandview_Inventory[[#This Row],[condition]],Lookups!$H$17:$J$24,3,FALSE),0)</f>
        <v>0</v>
      </c>
      <c r="BL2735" s="6">
        <f>Grandview_Inventory[[#This Row],[Eff_Age]]*Lookups!$B$14</f>
        <v>0</v>
      </c>
      <c r="BM2735" s="6">
        <f>Grandview_Inventory[[#This Row],[living_area]]*Lookups!$B$15</f>
        <v>0</v>
      </c>
      <c r="BN2735" s="6">
        <f>Grandview_Inventory[[#This Row],[Fin BSMT]]*Lookups!$B$16</f>
        <v>0</v>
      </c>
      <c r="BO2735" s="6">
        <f>(Grandview_Inventory[[#This Row],[att_gar]]+Grandview_Inventory[[#This Row],[bltin_gar]])*Lookups!$B$17</f>
        <v>0</v>
      </c>
      <c r="BP2735" s="6">
        <f>Grandview_Inventory[[#This Row],[Plumbing Fixtures]]*Lookups!$B$18</f>
        <v>0</v>
      </c>
      <c r="BQ2735" s="6">
        <f>Grandview_Inventory[[#This Row],[detatched_value]]*Lookups!$B$19</f>
        <v>0</v>
      </c>
      <c r="BR2735" s="6">
        <f>SUM(Grandview_Inventory[[#This Row],[Intercept]:[det_value]])*Grandview_Inventory[[#This Row],[res_pct]]</f>
        <v>0</v>
      </c>
      <c r="BS2735" s="6">
        <f>Grandview_Inventory[[#This Row],[land_value]]</f>
        <v>27596.980559895874</v>
      </c>
      <c r="BT2735" s="4">
        <f>_xlfn.IFNA(VLOOKUP(Grandview_Inventory[[#This Row],[quality]],Lookups!$A$26:$C$33,3,FALSE),1)</f>
        <v>1</v>
      </c>
      <c r="BU2735" s="4">
        <f>_xlfn.IFNA(VLOOKUP(Grandview_Inventory[[#This Row],[condition]],Lookups!$A$37:$C$44,3,FALSE),1)</f>
        <v>1</v>
      </c>
      <c r="BV2735" s="4">
        <f>IF(Grandview_Inventory[[#This Row],[bldg_style]]="",1,_xlfn.IFNA(VLOOKUP(Grandview_Inventory[[#This Row],[decade]],Lookups!$F$29:$H$43,3,FALSE),1))</f>
        <v>1</v>
      </c>
      <c r="BW2735" s="4">
        <f>_xlfn.IFNA(VLOOKUP(Grandview_Inventory[[#This Row],[living_area_range]],Lookups!$F$47:$H$56,3,FALSE),1)</f>
        <v>1</v>
      </c>
      <c r="BX2735" s="4">
        <f>AVERAGE(Grandview_Inventory[[#This Row],[qual_adj]:[size_adj]])</f>
        <v>1</v>
      </c>
      <c r="BY2735" s="6">
        <f>IF(Grandview_Inventory[[#This Row],[pre_res]]&lt;0,0,Grandview_Inventory[[#This Row],[pre_res]]*Grandview_Inventory[[#This Row],[overall_adj]])</f>
        <v>0</v>
      </c>
      <c r="BZ2735" s="6">
        <f>(Grandview_Inventory[[#This Row],[sum_land]]-IF(Grandview_Inventory[[#This Row],[no_utilities]]=1,12000,0))/IF(Grandview_Inventory[[#This Row],[unbuildable]]=1,2,1)</f>
        <v>13798.490279947937</v>
      </c>
      <c r="CA2735">
        <f>IF(ROUND(Grandview_Inventory[[#This Row],[adj_land]]*Lookups!$M$28,-2)&lt;Grandview_Inventory[[#This Row],[min_land]],Grandview_Inventory[[#This Row],[min_land]],ROUND(Grandview_Inventory[[#This Row],[adj_land]]*Lookups!$M$28,-2))</f>
        <v>13100</v>
      </c>
      <c r="CB2735">
        <f>ROUND(Grandview_Inventory[[#This Row],[det_value]]*Lookups!$M$28,-2)</f>
        <v>0</v>
      </c>
      <c r="CC273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5">
        <f>Grandview_Inventory[[#This Row],[final_det]]+Grandview_Inventory[[#This Row],[final_res]]</f>
        <v>0</v>
      </c>
      <c r="CE2735">
        <f>Grandview_Inventory[[#This Row],[final_land]]+Grandview_Inventory[[#This Row],[final_imp]]+Grandview_Inventory[[#This Row],[crop_value]]</f>
        <v>13100</v>
      </c>
      <c r="CG2735" t="str">
        <f t="shared" si="42"/>
        <v>update valuation set market_land =13100, market_bldg=0, market_total =13100, market_mdno =401, market_date ='9/10/2023' where link_id = (select link_id from parcel where parcel_year = '2024' and parcel_id = '23092332503');</v>
      </c>
    </row>
    <row r="2736" spans="1:85" x14ac:dyDescent="0.25">
      <c r="A2736">
        <v>23092332513</v>
      </c>
      <c r="B2736">
        <v>0.23</v>
      </c>
      <c r="C2736">
        <v>9806</v>
      </c>
      <c r="D2736" t="s">
        <v>129</v>
      </c>
      <c r="E2736" t="s">
        <v>53</v>
      </c>
      <c r="F2736" t="s">
        <v>53</v>
      </c>
      <c r="G2736">
        <v>4</v>
      </c>
      <c r="H2736" t="s">
        <v>54</v>
      </c>
      <c r="I2736">
        <v>36000</v>
      </c>
      <c r="J2736">
        <v>16400</v>
      </c>
      <c r="K2736">
        <v>0.23</v>
      </c>
      <c r="L2736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736">
        <v>0</v>
      </c>
      <c r="N2736">
        <v>1</v>
      </c>
      <c r="O2736">
        <v>0</v>
      </c>
      <c r="P2736">
        <v>13398.7528</v>
      </c>
      <c r="Q2736">
        <v>63903</v>
      </c>
      <c r="R2736">
        <f>(Grandview_Inventory[[#This Row],[ln_acres]]*Grandview_Inventory[[#This Row],[coeff]])+Grandview_Inventory[[#This Row],[const]]</f>
        <v>44211.174981080039</v>
      </c>
      <c r="AY2736">
        <v>0</v>
      </c>
      <c r="AZ2736">
        <v>31000</v>
      </c>
      <c r="BE2736">
        <v>0</v>
      </c>
      <c r="BF2736">
        <v>12000</v>
      </c>
      <c r="BG2736">
        <v>0</v>
      </c>
      <c r="BH2736" s="6">
        <f>Grandview_Inventory[[#This Row],[land_extract]]*Lookups!$B$3</f>
        <v>51342.318135355803</v>
      </c>
      <c r="BI2736" s="6">
        <f>IF(Grandview_Inventory[[#This Row],[bldg_style]]="",0,Lookups!$B$2)</f>
        <v>0</v>
      </c>
      <c r="BJ2736" s="6">
        <f>_xlfn.IFNA(VLOOKUP(Grandview_Inventory[[#This Row],[quality]],Lookups!$H$2:$J$14,3,FALSE),0)</f>
        <v>0</v>
      </c>
      <c r="BK2736" s="6">
        <f>_xlfn.IFNA(VLOOKUP(Grandview_Inventory[[#This Row],[condition]],Lookups!$H$17:$J$24,3,FALSE),0)</f>
        <v>0</v>
      </c>
      <c r="BL2736" s="6">
        <f>Grandview_Inventory[[#This Row],[Eff_Age]]*Lookups!$B$14</f>
        <v>0</v>
      </c>
      <c r="BM2736" s="6">
        <f>Grandview_Inventory[[#This Row],[living_area]]*Lookups!$B$15</f>
        <v>0</v>
      </c>
      <c r="BN2736" s="6">
        <f>Grandview_Inventory[[#This Row],[Fin BSMT]]*Lookups!$B$16</f>
        <v>0</v>
      </c>
      <c r="BO2736" s="6">
        <f>(Grandview_Inventory[[#This Row],[att_gar]]+Grandview_Inventory[[#This Row],[bltin_gar]])*Lookups!$B$17</f>
        <v>0</v>
      </c>
      <c r="BP2736" s="6">
        <f>Grandview_Inventory[[#This Row],[Plumbing Fixtures]]*Lookups!$B$18</f>
        <v>0</v>
      </c>
      <c r="BQ2736" s="6">
        <f>Grandview_Inventory[[#This Row],[detatched_value]]*Lookups!$B$19</f>
        <v>26250.9581</v>
      </c>
      <c r="BR2736" s="6">
        <f>SUM(Grandview_Inventory[[#This Row],[Intercept]:[det_value]])*Grandview_Inventory[[#This Row],[res_pct]]</f>
        <v>0</v>
      </c>
      <c r="BS2736" s="6">
        <f>Grandview_Inventory[[#This Row],[land_value]]</f>
        <v>51342.318135355803</v>
      </c>
      <c r="BT2736" s="4">
        <f>_xlfn.IFNA(VLOOKUP(Grandview_Inventory[[#This Row],[quality]],Lookups!$A$26:$C$33,3,FALSE),1)</f>
        <v>1</v>
      </c>
      <c r="BU2736" s="4">
        <f>_xlfn.IFNA(VLOOKUP(Grandview_Inventory[[#This Row],[condition]],Lookups!$A$37:$C$44,3,FALSE),1)</f>
        <v>1</v>
      </c>
      <c r="BV2736" s="4">
        <f>IF(Grandview_Inventory[[#This Row],[bldg_style]]="",1,_xlfn.IFNA(VLOOKUP(Grandview_Inventory[[#This Row],[decade]],Lookups!$F$29:$H$43,3,FALSE),1))</f>
        <v>1</v>
      </c>
      <c r="BW2736" s="4">
        <f>_xlfn.IFNA(VLOOKUP(Grandview_Inventory[[#This Row],[living_area_range]],Lookups!$F$47:$H$56,3,FALSE),1)</f>
        <v>1</v>
      </c>
      <c r="BX2736" s="4">
        <f>AVERAGE(Grandview_Inventory[[#This Row],[qual_adj]:[size_adj]])</f>
        <v>1</v>
      </c>
      <c r="BY2736" s="6">
        <f>IF(Grandview_Inventory[[#This Row],[pre_res]]&lt;0,0,Grandview_Inventory[[#This Row],[pre_res]]*Grandview_Inventory[[#This Row],[overall_adj]])</f>
        <v>0</v>
      </c>
      <c r="BZ2736" s="6">
        <f>(Grandview_Inventory[[#This Row],[sum_land]]-IF(Grandview_Inventory[[#This Row],[no_utilities]]=1,12000,0))/IF(Grandview_Inventory[[#This Row],[unbuildable]]=1,2,1)</f>
        <v>25671.159067677901</v>
      </c>
      <c r="CA2736">
        <f>IF(ROUND(Grandview_Inventory[[#This Row],[adj_land]]*Lookups!$M$28,-2)&lt;Grandview_Inventory[[#This Row],[min_land]],Grandview_Inventory[[#This Row],[min_land]],ROUND(Grandview_Inventory[[#This Row],[adj_land]]*Lookups!$M$28,-2))</f>
        <v>24400</v>
      </c>
      <c r="CB2736">
        <f>ROUND(Grandview_Inventory[[#This Row],[det_value]]*Lookups!$M$28,-2)</f>
        <v>24900</v>
      </c>
      <c r="CC273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6">
        <f>Grandview_Inventory[[#This Row],[final_det]]+Grandview_Inventory[[#This Row],[final_res]]</f>
        <v>24900</v>
      </c>
      <c r="CE2736">
        <f>Grandview_Inventory[[#This Row],[final_land]]+Grandview_Inventory[[#This Row],[final_imp]]+Grandview_Inventory[[#This Row],[crop_value]]</f>
        <v>49300</v>
      </c>
      <c r="CG2736" t="str">
        <f t="shared" si="42"/>
        <v>update valuation set market_land =24400, market_bldg=24900, market_total =49300, market_mdno =401, market_date ='9/10/2023' where link_id = (select link_id from parcel where parcel_year = '2024' and parcel_id = '23092332513');</v>
      </c>
    </row>
    <row r="2737" spans="1:85" x14ac:dyDescent="0.25">
      <c r="A2737">
        <v>23092333012</v>
      </c>
      <c r="B2737">
        <v>0.14000000000000001</v>
      </c>
      <c r="C2737">
        <v>6278</v>
      </c>
      <c r="D2737" t="s">
        <v>129</v>
      </c>
      <c r="E2737" t="s">
        <v>53</v>
      </c>
      <c r="F2737" t="s">
        <v>53</v>
      </c>
      <c r="G2737">
        <v>4</v>
      </c>
      <c r="H2737" t="s">
        <v>54</v>
      </c>
      <c r="I2737">
        <v>0</v>
      </c>
      <c r="J2737">
        <v>5000</v>
      </c>
      <c r="K2737">
        <v>0.14000000000000001</v>
      </c>
      <c r="L2737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2737">
        <v>0</v>
      </c>
      <c r="N2737">
        <v>0</v>
      </c>
      <c r="O2737">
        <v>0</v>
      </c>
      <c r="P2737">
        <v>13398.7528</v>
      </c>
      <c r="Q2737">
        <v>63903</v>
      </c>
      <c r="R2737">
        <f>(Grandview_Inventory[[#This Row],[ln_acres]]*Grandview_Inventory[[#This Row],[coeff]])+Grandview_Inventory[[#This Row],[const]]</f>
        <v>37559.539860558507</v>
      </c>
      <c r="AY2737">
        <v>0</v>
      </c>
      <c r="AZ2737">
        <v>0</v>
      </c>
      <c r="BE2737">
        <v>0</v>
      </c>
      <c r="BF2737">
        <v>15000</v>
      </c>
      <c r="BG2737">
        <v>0</v>
      </c>
      <c r="BH2737" s="6">
        <f>Grandview_Inventory[[#This Row],[land_extract]]*Lookups!$B$3</f>
        <v>43617.792229308972</v>
      </c>
      <c r="BI2737" s="6">
        <f>IF(Grandview_Inventory[[#This Row],[bldg_style]]="",0,Lookups!$B$2)</f>
        <v>0</v>
      </c>
      <c r="BJ2737" s="6">
        <f>_xlfn.IFNA(VLOOKUP(Grandview_Inventory[[#This Row],[quality]],Lookups!$H$2:$J$14,3,FALSE),0)</f>
        <v>0</v>
      </c>
      <c r="BK2737" s="6">
        <f>_xlfn.IFNA(VLOOKUP(Grandview_Inventory[[#This Row],[condition]],Lookups!$H$17:$J$24,3,FALSE),0)</f>
        <v>0</v>
      </c>
      <c r="BL2737" s="6">
        <f>Grandview_Inventory[[#This Row],[Eff_Age]]*Lookups!$B$14</f>
        <v>0</v>
      </c>
      <c r="BM2737" s="6">
        <f>Grandview_Inventory[[#This Row],[living_area]]*Lookups!$B$15</f>
        <v>0</v>
      </c>
      <c r="BN2737" s="6">
        <f>Grandview_Inventory[[#This Row],[Fin BSMT]]*Lookups!$B$16</f>
        <v>0</v>
      </c>
      <c r="BO2737" s="6">
        <f>(Grandview_Inventory[[#This Row],[att_gar]]+Grandview_Inventory[[#This Row],[bltin_gar]])*Lookups!$B$17</f>
        <v>0</v>
      </c>
      <c r="BP2737" s="6">
        <f>Grandview_Inventory[[#This Row],[Plumbing Fixtures]]*Lookups!$B$18</f>
        <v>0</v>
      </c>
      <c r="BQ2737" s="6">
        <f>Grandview_Inventory[[#This Row],[detatched_value]]*Lookups!$B$19</f>
        <v>0</v>
      </c>
      <c r="BR2737" s="6">
        <f>SUM(Grandview_Inventory[[#This Row],[Intercept]:[det_value]])*Grandview_Inventory[[#This Row],[res_pct]]</f>
        <v>0</v>
      </c>
      <c r="BS2737" s="6">
        <f>Grandview_Inventory[[#This Row],[land_value]]</f>
        <v>43617.792229308972</v>
      </c>
      <c r="BT2737" s="4">
        <f>_xlfn.IFNA(VLOOKUP(Grandview_Inventory[[#This Row],[quality]],Lookups!$A$26:$C$33,3,FALSE),1)</f>
        <v>1</v>
      </c>
      <c r="BU2737" s="4">
        <f>_xlfn.IFNA(VLOOKUP(Grandview_Inventory[[#This Row],[condition]],Lookups!$A$37:$C$44,3,FALSE),1)</f>
        <v>1</v>
      </c>
      <c r="BV2737" s="4">
        <f>IF(Grandview_Inventory[[#This Row],[bldg_style]]="",1,_xlfn.IFNA(VLOOKUP(Grandview_Inventory[[#This Row],[decade]],Lookups!$F$29:$H$43,3,FALSE),1))</f>
        <v>1</v>
      </c>
      <c r="BW2737" s="4">
        <f>_xlfn.IFNA(VLOOKUP(Grandview_Inventory[[#This Row],[living_area_range]],Lookups!$F$47:$H$56,3,FALSE),1)</f>
        <v>1</v>
      </c>
      <c r="BX2737" s="4">
        <f>AVERAGE(Grandview_Inventory[[#This Row],[qual_adj]:[size_adj]])</f>
        <v>1</v>
      </c>
      <c r="BY2737" s="6">
        <f>IF(Grandview_Inventory[[#This Row],[pre_res]]&lt;0,0,Grandview_Inventory[[#This Row],[pre_res]]*Grandview_Inventory[[#This Row],[overall_adj]])</f>
        <v>0</v>
      </c>
      <c r="BZ2737" s="6">
        <f>(Grandview_Inventory[[#This Row],[sum_land]]-IF(Grandview_Inventory[[#This Row],[no_utilities]]=1,12000,0))/IF(Grandview_Inventory[[#This Row],[unbuildable]]=1,2,1)</f>
        <v>43617.792229308972</v>
      </c>
      <c r="CA2737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2737">
        <f>ROUND(Grandview_Inventory[[#This Row],[det_value]]*Lookups!$M$28,-2)</f>
        <v>0</v>
      </c>
      <c r="CC273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7">
        <f>Grandview_Inventory[[#This Row],[final_det]]+Grandview_Inventory[[#This Row],[final_res]]</f>
        <v>0</v>
      </c>
      <c r="CE2737">
        <f>Grandview_Inventory[[#This Row],[final_land]]+Grandview_Inventory[[#This Row],[final_imp]]+Grandview_Inventory[[#This Row],[crop_value]]</f>
        <v>41400</v>
      </c>
      <c r="CG2737" t="str">
        <f t="shared" si="42"/>
        <v>update valuation set market_land =41400, market_bldg=0, market_total =41400, market_mdno =401, market_date ='9/10/2023' where link_id = (select link_id from parcel where parcel_year = '2024' and parcel_id = '23092333012');</v>
      </c>
    </row>
    <row r="2738" spans="1:85" x14ac:dyDescent="0.25">
      <c r="A2738">
        <v>23092333436</v>
      </c>
      <c r="B2738">
        <v>0.26</v>
      </c>
      <c r="C2738">
        <v>11243</v>
      </c>
      <c r="D2738" t="s">
        <v>129</v>
      </c>
      <c r="E2738" t="s">
        <v>53</v>
      </c>
      <c r="F2738" t="s">
        <v>53</v>
      </c>
      <c r="G2738">
        <v>4</v>
      </c>
      <c r="H2738" t="s">
        <v>54</v>
      </c>
      <c r="I2738">
        <v>0</v>
      </c>
      <c r="J2738">
        <v>33400</v>
      </c>
      <c r="K2738">
        <v>0.26</v>
      </c>
      <c r="L2738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738">
        <v>0</v>
      </c>
      <c r="N2738">
        <v>0</v>
      </c>
      <c r="O2738">
        <v>0</v>
      </c>
      <c r="P2738">
        <v>13398.7528</v>
      </c>
      <c r="Q2738">
        <v>63903</v>
      </c>
      <c r="R2738">
        <f>(Grandview_Inventory[[#This Row],[ln_acres]]*Grandview_Inventory[[#This Row],[coeff]])+Grandview_Inventory[[#This Row],[const]]</f>
        <v>45853.893187501177</v>
      </c>
      <c r="AY2738">
        <v>0</v>
      </c>
      <c r="AZ2738">
        <v>0</v>
      </c>
      <c r="BE2738">
        <v>0</v>
      </c>
      <c r="BF2738">
        <v>15000</v>
      </c>
      <c r="BG2738">
        <v>0</v>
      </c>
      <c r="BH2738" s="6">
        <f>Grandview_Inventory[[#This Row],[land_extract]]*Lookups!$B$3</f>
        <v>53250.00235313351</v>
      </c>
      <c r="BI2738" s="6">
        <f>IF(Grandview_Inventory[[#This Row],[bldg_style]]="",0,Lookups!$B$2)</f>
        <v>0</v>
      </c>
      <c r="BJ2738" s="6">
        <f>_xlfn.IFNA(VLOOKUP(Grandview_Inventory[[#This Row],[quality]],Lookups!$H$2:$J$14,3,FALSE),0)</f>
        <v>0</v>
      </c>
      <c r="BK2738" s="6">
        <f>_xlfn.IFNA(VLOOKUP(Grandview_Inventory[[#This Row],[condition]],Lookups!$H$17:$J$24,3,FALSE),0)</f>
        <v>0</v>
      </c>
      <c r="BL2738" s="6">
        <f>Grandview_Inventory[[#This Row],[Eff_Age]]*Lookups!$B$14</f>
        <v>0</v>
      </c>
      <c r="BM2738" s="6">
        <f>Grandview_Inventory[[#This Row],[living_area]]*Lookups!$B$15</f>
        <v>0</v>
      </c>
      <c r="BN2738" s="6">
        <f>Grandview_Inventory[[#This Row],[Fin BSMT]]*Lookups!$B$16</f>
        <v>0</v>
      </c>
      <c r="BO2738" s="6">
        <f>(Grandview_Inventory[[#This Row],[att_gar]]+Grandview_Inventory[[#This Row],[bltin_gar]])*Lookups!$B$17</f>
        <v>0</v>
      </c>
      <c r="BP2738" s="6">
        <f>Grandview_Inventory[[#This Row],[Plumbing Fixtures]]*Lookups!$B$18</f>
        <v>0</v>
      </c>
      <c r="BQ2738" s="6">
        <f>Grandview_Inventory[[#This Row],[detatched_value]]*Lookups!$B$19</f>
        <v>0</v>
      </c>
      <c r="BR2738" s="6">
        <f>SUM(Grandview_Inventory[[#This Row],[Intercept]:[det_value]])*Grandview_Inventory[[#This Row],[res_pct]]</f>
        <v>0</v>
      </c>
      <c r="BS2738" s="6">
        <f>Grandview_Inventory[[#This Row],[land_value]]</f>
        <v>53250.00235313351</v>
      </c>
      <c r="BT2738" s="4">
        <f>_xlfn.IFNA(VLOOKUP(Grandview_Inventory[[#This Row],[quality]],Lookups!$A$26:$C$33,3,FALSE),1)</f>
        <v>1</v>
      </c>
      <c r="BU2738" s="4">
        <f>_xlfn.IFNA(VLOOKUP(Grandview_Inventory[[#This Row],[condition]],Lookups!$A$37:$C$44,3,FALSE),1)</f>
        <v>1</v>
      </c>
      <c r="BV2738" s="4">
        <f>IF(Grandview_Inventory[[#This Row],[bldg_style]]="",1,_xlfn.IFNA(VLOOKUP(Grandview_Inventory[[#This Row],[decade]],Lookups!$F$29:$H$43,3,FALSE),1))</f>
        <v>1</v>
      </c>
      <c r="BW2738" s="4">
        <f>_xlfn.IFNA(VLOOKUP(Grandview_Inventory[[#This Row],[living_area_range]],Lookups!$F$47:$H$56,3,FALSE),1)</f>
        <v>1</v>
      </c>
      <c r="BX2738" s="4">
        <f>AVERAGE(Grandview_Inventory[[#This Row],[qual_adj]:[size_adj]])</f>
        <v>1</v>
      </c>
      <c r="BY2738" s="6">
        <f>IF(Grandview_Inventory[[#This Row],[pre_res]]&lt;0,0,Grandview_Inventory[[#This Row],[pre_res]]*Grandview_Inventory[[#This Row],[overall_adj]])</f>
        <v>0</v>
      </c>
      <c r="BZ2738" s="6">
        <f>(Grandview_Inventory[[#This Row],[sum_land]]-IF(Grandview_Inventory[[#This Row],[no_utilities]]=1,12000,0))/IF(Grandview_Inventory[[#This Row],[unbuildable]]=1,2,1)</f>
        <v>53250.00235313351</v>
      </c>
      <c r="CA2738">
        <f>IF(ROUND(Grandview_Inventory[[#This Row],[adj_land]]*Lookups!$M$28,-2)&lt;Grandview_Inventory[[#This Row],[min_land]],Grandview_Inventory[[#This Row],[min_land]],ROUND(Grandview_Inventory[[#This Row],[adj_land]]*Lookups!$M$28,-2))</f>
        <v>50600</v>
      </c>
      <c r="CB2738">
        <f>ROUND(Grandview_Inventory[[#This Row],[det_value]]*Lookups!$M$28,-2)</f>
        <v>0</v>
      </c>
      <c r="CC273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8">
        <f>Grandview_Inventory[[#This Row],[final_det]]+Grandview_Inventory[[#This Row],[final_res]]</f>
        <v>0</v>
      </c>
      <c r="CE2738">
        <f>Grandview_Inventory[[#This Row],[final_land]]+Grandview_Inventory[[#This Row],[final_imp]]+Grandview_Inventory[[#This Row],[crop_value]]</f>
        <v>50600</v>
      </c>
      <c r="CG2738" t="str">
        <f t="shared" si="42"/>
        <v>update valuation set market_land =50600, market_bldg=0, market_total =50600, market_mdno =401, market_date ='9/10/2023' where link_id = (select link_id from parcel where parcel_year = '2024' and parcel_id = '23092333436');</v>
      </c>
    </row>
    <row r="2739" spans="1:85" x14ac:dyDescent="0.25">
      <c r="A2739">
        <v>23092334406</v>
      </c>
      <c r="B2739">
        <v>0.92</v>
      </c>
      <c r="C2739">
        <v>40051</v>
      </c>
      <c r="D2739" t="s">
        <v>129</v>
      </c>
      <c r="E2739" t="s">
        <v>53</v>
      </c>
      <c r="F2739" t="s">
        <v>53</v>
      </c>
      <c r="G2739">
        <v>4</v>
      </c>
      <c r="H2739" t="s">
        <v>54</v>
      </c>
      <c r="I2739">
        <v>0</v>
      </c>
      <c r="J2739">
        <v>36300</v>
      </c>
      <c r="K2739">
        <v>0.92</v>
      </c>
      <c r="L2739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2739">
        <v>0</v>
      </c>
      <c r="N2739">
        <v>0</v>
      </c>
      <c r="O2739">
        <v>0</v>
      </c>
      <c r="P2739">
        <v>13398.7528</v>
      </c>
      <c r="Q2739">
        <v>63903</v>
      </c>
      <c r="R2739">
        <f>(Grandview_Inventory[[#This Row],[ln_acres]]*Grandview_Inventory[[#This Row],[coeff]])+Grandview_Inventory[[#This Row],[const]]</f>
        <v>62785.790433759386</v>
      </c>
      <c r="AY2739">
        <v>0</v>
      </c>
      <c r="AZ2739">
        <v>0</v>
      </c>
      <c r="BE2739">
        <v>0</v>
      </c>
      <c r="BF2739">
        <v>15000</v>
      </c>
      <c r="BG2739">
        <v>0</v>
      </c>
      <c r="BH2739" s="6">
        <f>Grandview_Inventory[[#This Row],[land_extract]]*Lookups!$B$3</f>
        <v>72912.968909090603</v>
      </c>
      <c r="BI2739" s="6">
        <f>IF(Grandview_Inventory[[#This Row],[bldg_style]]="",0,Lookups!$B$2)</f>
        <v>0</v>
      </c>
      <c r="BJ2739" s="6">
        <f>_xlfn.IFNA(VLOOKUP(Grandview_Inventory[[#This Row],[quality]],Lookups!$H$2:$J$14,3,FALSE),0)</f>
        <v>0</v>
      </c>
      <c r="BK2739" s="6">
        <f>_xlfn.IFNA(VLOOKUP(Grandview_Inventory[[#This Row],[condition]],Lookups!$H$17:$J$24,3,FALSE),0)</f>
        <v>0</v>
      </c>
      <c r="BL2739" s="6">
        <f>Grandview_Inventory[[#This Row],[Eff_Age]]*Lookups!$B$14</f>
        <v>0</v>
      </c>
      <c r="BM2739" s="6">
        <f>Grandview_Inventory[[#This Row],[living_area]]*Lookups!$B$15</f>
        <v>0</v>
      </c>
      <c r="BN2739" s="6">
        <f>Grandview_Inventory[[#This Row],[Fin BSMT]]*Lookups!$B$16</f>
        <v>0</v>
      </c>
      <c r="BO2739" s="6">
        <f>(Grandview_Inventory[[#This Row],[att_gar]]+Grandview_Inventory[[#This Row],[bltin_gar]])*Lookups!$B$17</f>
        <v>0</v>
      </c>
      <c r="BP2739" s="6">
        <f>Grandview_Inventory[[#This Row],[Plumbing Fixtures]]*Lookups!$B$18</f>
        <v>0</v>
      </c>
      <c r="BQ2739" s="6">
        <f>Grandview_Inventory[[#This Row],[detatched_value]]*Lookups!$B$19</f>
        <v>0</v>
      </c>
      <c r="BR2739" s="6">
        <f>SUM(Grandview_Inventory[[#This Row],[Intercept]:[det_value]])*Grandview_Inventory[[#This Row],[res_pct]]</f>
        <v>0</v>
      </c>
      <c r="BS2739" s="6">
        <f>Grandview_Inventory[[#This Row],[land_value]]</f>
        <v>72912.968909090603</v>
      </c>
      <c r="BT2739" s="4">
        <f>_xlfn.IFNA(VLOOKUP(Grandview_Inventory[[#This Row],[quality]],Lookups!$A$26:$C$33,3,FALSE),1)</f>
        <v>1</v>
      </c>
      <c r="BU2739" s="4">
        <f>_xlfn.IFNA(VLOOKUP(Grandview_Inventory[[#This Row],[condition]],Lookups!$A$37:$C$44,3,FALSE),1)</f>
        <v>1</v>
      </c>
      <c r="BV2739" s="4">
        <f>IF(Grandview_Inventory[[#This Row],[bldg_style]]="",1,_xlfn.IFNA(VLOOKUP(Grandview_Inventory[[#This Row],[decade]],Lookups!$F$29:$H$43,3,FALSE),1))</f>
        <v>1</v>
      </c>
      <c r="BW2739" s="4">
        <f>_xlfn.IFNA(VLOOKUP(Grandview_Inventory[[#This Row],[living_area_range]],Lookups!$F$47:$H$56,3,FALSE),1)</f>
        <v>1</v>
      </c>
      <c r="BX2739" s="4">
        <f>AVERAGE(Grandview_Inventory[[#This Row],[qual_adj]:[size_adj]])</f>
        <v>1</v>
      </c>
      <c r="BY2739" s="6">
        <f>IF(Grandview_Inventory[[#This Row],[pre_res]]&lt;0,0,Grandview_Inventory[[#This Row],[pre_res]]*Grandview_Inventory[[#This Row],[overall_adj]])</f>
        <v>0</v>
      </c>
      <c r="BZ2739" s="6">
        <f>(Grandview_Inventory[[#This Row],[sum_land]]-IF(Grandview_Inventory[[#This Row],[no_utilities]]=1,12000,0))/IF(Grandview_Inventory[[#This Row],[unbuildable]]=1,2,1)</f>
        <v>72912.968909090603</v>
      </c>
      <c r="CA2739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2739">
        <f>ROUND(Grandview_Inventory[[#This Row],[det_value]]*Lookups!$M$28,-2)</f>
        <v>0</v>
      </c>
      <c r="CC273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39">
        <f>Grandview_Inventory[[#This Row],[final_det]]+Grandview_Inventory[[#This Row],[final_res]]</f>
        <v>0</v>
      </c>
      <c r="CE2739">
        <f>Grandview_Inventory[[#This Row],[final_land]]+Grandview_Inventory[[#This Row],[final_imp]]+Grandview_Inventory[[#This Row],[crop_value]]</f>
        <v>69300</v>
      </c>
      <c r="CG2739" t="str">
        <f t="shared" si="42"/>
        <v>update valuation set market_land =69300, market_bldg=0, market_total =69300, market_mdno =401, market_date ='9/10/2023' where link_id = (select link_id from parcel where parcel_year = '2024' and parcel_id = '23092334406');</v>
      </c>
    </row>
    <row r="2740" spans="1:85" x14ac:dyDescent="0.25">
      <c r="A2740">
        <v>23092334408</v>
      </c>
      <c r="B2740">
        <v>0.92</v>
      </c>
      <c r="C2740">
        <v>40051</v>
      </c>
      <c r="D2740" t="s">
        <v>129</v>
      </c>
      <c r="E2740" t="s">
        <v>53</v>
      </c>
      <c r="F2740" t="s">
        <v>53</v>
      </c>
      <c r="G2740">
        <v>4</v>
      </c>
      <c r="H2740" t="s">
        <v>54</v>
      </c>
      <c r="I2740">
        <v>9500</v>
      </c>
      <c r="J2740">
        <v>36300</v>
      </c>
      <c r="K2740">
        <v>0.92</v>
      </c>
      <c r="L2740">
        <f>IF(Grandview_Inventory[[#This Row],[parcel_acres]]-Grandview_Inventory[[#This Row],[non_valued_acres]] =0,0,LN(Grandview_Inventory[[#This Row],[parcel_acres]]-Grandview_Inventory[[#This Row],[non_valued_acres]]))</f>
        <v>-8.3381608939051013E-2</v>
      </c>
      <c r="M2740">
        <v>0</v>
      </c>
      <c r="N2740">
        <v>0</v>
      </c>
      <c r="O2740">
        <v>0</v>
      </c>
      <c r="P2740">
        <v>13398.7528</v>
      </c>
      <c r="Q2740">
        <v>63903</v>
      </c>
      <c r="R2740">
        <f>(Grandview_Inventory[[#This Row],[ln_acres]]*Grandview_Inventory[[#This Row],[coeff]])+Grandview_Inventory[[#This Row],[const]]</f>
        <v>62785.790433759386</v>
      </c>
      <c r="AY2740">
        <v>0</v>
      </c>
      <c r="AZ2740">
        <v>8700</v>
      </c>
      <c r="BE2740">
        <v>0</v>
      </c>
      <c r="BF2740">
        <v>15000</v>
      </c>
      <c r="BG2740">
        <v>0</v>
      </c>
      <c r="BH2740" s="6">
        <f>Grandview_Inventory[[#This Row],[land_extract]]*Lookups!$B$3</f>
        <v>72912.968909090603</v>
      </c>
      <c r="BI2740" s="6">
        <f>IF(Grandview_Inventory[[#This Row],[bldg_style]]="",0,Lookups!$B$2)</f>
        <v>0</v>
      </c>
      <c r="BJ2740" s="6">
        <f>_xlfn.IFNA(VLOOKUP(Grandview_Inventory[[#This Row],[quality]],Lookups!$H$2:$J$14,3,FALSE),0)</f>
        <v>0</v>
      </c>
      <c r="BK2740" s="6">
        <f>_xlfn.IFNA(VLOOKUP(Grandview_Inventory[[#This Row],[condition]],Lookups!$H$17:$J$24,3,FALSE),0)</f>
        <v>0</v>
      </c>
      <c r="BL2740" s="6">
        <f>Grandview_Inventory[[#This Row],[Eff_Age]]*Lookups!$B$14</f>
        <v>0</v>
      </c>
      <c r="BM2740" s="6">
        <f>Grandview_Inventory[[#This Row],[living_area]]*Lookups!$B$15</f>
        <v>0</v>
      </c>
      <c r="BN2740" s="6">
        <f>Grandview_Inventory[[#This Row],[Fin BSMT]]*Lookups!$B$16</f>
        <v>0</v>
      </c>
      <c r="BO2740" s="6">
        <f>(Grandview_Inventory[[#This Row],[att_gar]]+Grandview_Inventory[[#This Row],[bltin_gar]])*Lookups!$B$17</f>
        <v>0</v>
      </c>
      <c r="BP2740" s="6">
        <f>Grandview_Inventory[[#This Row],[Plumbing Fixtures]]*Lookups!$B$18</f>
        <v>0</v>
      </c>
      <c r="BQ2740" s="6">
        <f>Grandview_Inventory[[#This Row],[detatched_value]]*Lookups!$B$19</f>
        <v>7367.2043699999995</v>
      </c>
      <c r="BR2740" s="6">
        <f>SUM(Grandview_Inventory[[#This Row],[Intercept]:[det_value]])*Grandview_Inventory[[#This Row],[res_pct]]</f>
        <v>0</v>
      </c>
      <c r="BS2740" s="6">
        <f>Grandview_Inventory[[#This Row],[land_value]]</f>
        <v>72912.968909090603</v>
      </c>
      <c r="BT2740" s="4">
        <f>_xlfn.IFNA(VLOOKUP(Grandview_Inventory[[#This Row],[quality]],Lookups!$A$26:$C$33,3,FALSE),1)</f>
        <v>1</v>
      </c>
      <c r="BU2740" s="4">
        <f>_xlfn.IFNA(VLOOKUP(Grandview_Inventory[[#This Row],[condition]],Lookups!$A$37:$C$44,3,FALSE),1)</f>
        <v>1</v>
      </c>
      <c r="BV2740" s="4">
        <f>IF(Grandview_Inventory[[#This Row],[bldg_style]]="",1,_xlfn.IFNA(VLOOKUP(Grandview_Inventory[[#This Row],[decade]],Lookups!$F$29:$H$43,3,FALSE),1))</f>
        <v>1</v>
      </c>
      <c r="BW2740" s="4">
        <f>_xlfn.IFNA(VLOOKUP(Grandview_Inventory[[#This Row],[living_area_range]],Lookups!$F$47:$H$56,3,FALSE),1)</f>
        <v>1</v>
      </c>
      <c r="BX2740" s="4">
        <f>AVERAGE(Grandview_Inventory[[#This Row],[qual_adj]:[size_adj]])</f>
        <v>1</v>
      </c>
      <c r="BY2740" s="6">
        <f>IF(Grandview_Inventory[[#This Row],[pre_res]]&lt;0,0,Grandview_Inventory[[#This Row],[pre_res]]*Grandview_Inventory[[#This Row],[overall_adj]])</f>
        <v>0</v>
      </c>
      <c r="BZ2740" s="6">
        <f>(Grandview_Inventory[[#This Row],[sum_land]]-IF(Grandview_Inventory[[#This Row],[no_utilities]]=1,12000,0))/IF(Grandview_Inventory[[#This Row],[unbuildable]]=1,2,1)</f>
        <v>72912.968909090603</v>
      </c>
      <c r="CA2740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2740">
        <f>ROUND(Grandview_Inventory[[#This Row],[det_value]]*Lookups!$M$28,-2)</f>
        <v>7000</v>
      </c>
      <c r="CC274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0">
        <f>Grandview_Inventory[[#This Row],[final_det]]+Grandview_Inventory[[#This Row],[final_res]]</f>
        <v>7000</v>
      </c>
      <c r="CE2740">
        <f>Grandview_Inventory[[#This Row],[final_land]]+Grandview_Inventory[[#This Row],[final_imp]]+Grandview_Inventory[[#This Row],[crop_value]]</f>
        <v>76300</v>
      </c>
      <c r="CG2740" t="str">
        <f t="shared" si="42"/>
        <v>update valuation set market_land =69300, market_bldg=7000, market_total =76300, market_mdno =401, market_date ='9/10/2023' where link_id = (select link_id from parcel where parcel_year = '2024' and parcel_id = '23092334408');</v>
      </c>
    </row>
    <row r="2741" spans="1:85" x14ac:dyDescent="0.25">
      <c r="A2741">
        <v>23092334429</v>
      </c>
      <c r="B2741">
        <v>0.31</v>
      </c>
      <c r="C2741">
        <v>13699</v>
      </c>
      <c r="D2741" t="s">
        <v>129</v>
      </c>
      <c r="E2741" t="s">
        <v>53</v>
      </c>
      <c r="F2741" t="s">
        <v>53</v>
      </c>
      <c r="G2741">
        <v>4</v>
      </c>
      <c r="H2741" t="s">
        <v>54</v>
      </c>
      <c r="I2741">
        <v>0</v>
      </c>
      <c r="J2741">
        <v>34200</v>
      </c>
      <c r="K2741">
        <v>0.31</v>
      </c>
      <c r="L2741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2741">
        <v>0</v>
      </c>
      <c r="N2741">
        <v>0</v>
      </c>
      <c r="O2741">
        <v>0</v>
      </c>
      <c r="P2741">
        <v>13398.7528</v>
      </c>
      <c r="Q2741">
        <v>63903</v>
      </c>
      <c r="R2741">
        <f>(Grandview_Inventory[[#This Row],[ln_acres]]*Grandview_Inventory[[#This Row],[coeff]])+Grandview_Inventory[[#This Row],[const]]</f>
        <v>48210.608747275066</v>
      </c>
      <c r="AY2741">
        <v>0</v>
      </c>
      <c r="AZ2741">
        <v>0</v>
      </c>
      <c r="BE2741">
        <v>0</v>
      </c>
      <c r="BF2741">
        <v>15000</v>
      </c>
      <c r="BG2741">
        <v>0</v>
      </c>
      <c r="BH2741" s="6">
        <f>Grandview_Inventory[[#This Row],[land_extract]]*Lookups!$B$3</f>
        <v>55986.849769566914</v>
      </c>
      <c r="BI2741" s="6">
        <f>IF(Grandview_Inventory[[#This Row],[bldg_style]]="",0,Lookups!$B$2)</f>
        <v>0</v>
      </c>
      <c r="BJ2741" s="6">
        <f>_xlfn.IFNA(VLOOKUP(Grandview_Inventory[[#This Row],[quality]],Lookups!$H$2:$J$14,3,FALSE),0)</f>
        <v>0</v>
      </c>
      <c r="BK2741" s="6">
        <f>_xlfn.IFNA(VLOOKUP(Grandview_Inventory[[#This Row],[condition]],Lookups!$H$17:$J$24,3,FALSE),0)</f>
        <v>0</v>
      </c>
      <c r="BL2741" s="6">
        <f>Grandview_Inventory[[#This Row],[Eff_Age]]*Lookups!$B$14</f>
        <v>0</v>
      </c>
      <c r="BM2741" s="6">
        <f>Grandview_Inventory[[#This Row],[living_area]]*Lookups!$B$15</f>
        <v>0</v>
      </c>
      <c r="BN2741" s="6">
        <f>Grandview_Inventory[[#This Row],[Fin BSMT]]*Lookups!$B$16</f>
        <v>0</v>
      </c>
      <c r="BO2741" s="6">
        <f>(Grandview_Inventory[[#This Row],[att_gar]]+Grandview_Inventory[[#This Row],[bltin_gar]])*Lookups!$B$17</f>
        <v>0</v>
      </c>
      <c r="BP2741" s="6">
        <f>Grandview_Inventory[[#This Row],[Plumbing Fixtures]]*Lookups!$B$18</f>
        <v>0</v>
      </c>
      <c r="BQ2741" s="6">
        <f>Grandview_Inventory[[#This Row],[detatched_value]]*Lookups!$B$19</f>
        <v>0</v>
      </c>
      <c r="BR2741" s="6">
        <f>SUM(Grandview_Inventory[[#This Row],[Intercept]:[det_value]])*Grandview_Inventory[[#This Row],[res_pct]]</f>
        <v>0</v>
      </c>
      <c r="BS2741" s="6">
        <f>Grandview_Inventory[[#This Row],[land_value]]</f>
        <v>55986.849769566914</v>
      </c>
      <c r="BT2741" s="4">
        <f>_xlfn.IFNA(VLOOKUP(Grandview_Inventory[[#This Row],[quality]],Lookups!$A$26:$C$33,3,FALSE),1)</f>
        <v>1</v>
      </c>
      <c r="BU2741" s="4">
        <f>_xlfn.IFNA(VLOOKUP(Grandview_Inventory[[#This Row],[condition]],Lookups!$A$37:$C$44,3,FALSE),1)</f>
        <v>1</v>
      </c>
      <c r="BV2741" s="4">
        <f>IF(Grandview_Inventory[[#This Row],[bldg_style]]="",1,_xlfn.IFNA(VLOOKUP(Grandview_Inventory[[#This Row],[decade]],Lookups!$F$29:$H$43,3,FALSE),1))</f>
        <v>1</v>
      </c>
      <c r="BW2741" s="4">
        <f>_xlfn.IFNA(VLOOKUP(Grandview_Inventory[[#This Row],[living_area_range]],Lookups!$F$47:$H$56,3,FALSE),1)</f>
        <v>1</v>
      </c>
      <c r="BX2741" s="4">
        <f>AVERAGE(Grandview_Inventory[[#This Row],[qual_adj]:[size_adj]])</f>
        <v>1</v>
      </c>
      <c r="BY2741" s="6">
        <f>IF(Grandview_Inventory[[#This Row],[pre_res]]&lt;0,0,Grandview_Inventory[[#This Row],[pre_res]]*Grandview_Inventory[[#This Row],[overall_adj]])</f>
        <v>0</v>
      </c>
      <c r="BZ2741" s="6">
        <f>(Grandview_Inventory[[#This Row],[sum_land]]-IF(Grandview_Inventory[[#This Row],[no_utilities]]=1,12000,0))/IF(Grandview_Inventory[[#This Row],[unbuildable]]=1,2,1)</f>
        <v>55986.849769566914</v>
      </c>
      <c r="CA2741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2741">
        <f>ROUND(Grandview_Inventory[[#This Row],[det_value]]*Lookups!$M$28,-2)</f>
        <v>0</v>
      </c>
      <c r="CC274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1">
        <f>Grandview_Inventory[[#This Row],[final_det]]+Grandview_Inventory[[#This Row],[final_res]]</f>
        <v>0</v>
      </c>
      <c r="CE2741">
        <f>Grandview_Inventory[[#This Row],[final_land]]+Grandview_Inventory[[#This Row],[final_imp]]+Grandview_Inventory[[#This Row],[crop_value]]</f>
        <v>53200</v>
      </c>
      <c r="CG2741" t="str">
        <f t="shared" si="42"/>
        <v>update valuation set market_land =53200, market_bldg=0, market_total =53200, market_mdno =401, market_date ='9/10/2023' where link_id = (select link_id from parcel where parcel_year = '2024' and parcel_id = '23092334429');</v>
      </c>
    </row>
    <row r="2742" spans="1:85" x14ac:dyDescent="0.25">
      <c r="A2742">
        <v>23092334434</v>
      </c>
      <c r="B2742">
        <v>0.27</v>
      </c>
      <c r="C2742">
        <v>11830</v>
      </c>
      <c r="D2742" t="s">
        <v>129</v>
      </c>
      <c r="E2742" t="s">
        <v>53</v>
      </c>
      <c r="F2742" t="s">
        <v>53</v>
      </c>
      <c r="G2742">
        <v>4</v>
      </c>
      <c r="H2742" t="s">
        <v>54</v>
      </c>
      <c r="I2742">
        <v>0</v>
      </c>
      <c r="J2742">
        <v>33400</v>
      </c>
      <c r="K2742">
        <v>0.27</v>
      </c>
      <c r="L274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742">
        <v>0</v>
      </c>
      <c r="N2742">
        <v>0</v>
      </c>
      <c r="O2742">
        <v>0</v>
      </c>
      <c r="P2742">
        <v>13398.7528</v>
      </c>
      <c r="Q2742">
        <v>63903</v>
      </c>
      <c r="R2742">
        <f>(Grandview_Inventory[[#This Row],[ln_acres]]*Grandview_Inventory[[#This Row],[coeff]])+Grandview_Inventory[[#This Row],[const]]</f>
        <v>46359.566512734265</v>
      </c>
      <c r="AY2742">
        <v>0</v>
      </c>
      <c r="AZ2742">
        <v>0</v>
      </c>
      <c r="BE2742">
        <v>0</v>
      </c>
      <c r="BF2742">
        <v>15000</v>
      </c>
      <c r="BG2742">
        <v>0</v>
      </c>
      <c r="BH2742" s="6">
        <f>Grandview_Inventory[[#This Row],[land_extract]]*Lookups!$B$3</f>
        <v>53837.239420408718</v>
      </c>
      <c r="BI2742" s="6">
        <f>IF(Grandview_Inventory[[#This Row],[bldg_style]]="",0,Lookups!$B$2)</f>
        <v>0</v>
      </c>
      <c r="BJ2742" s="6">
        <f>_xlfn.IFNA(VLOOKUP(Grandview_Inventory[[#This Row],[quality]],Lookups!$H$2:$J$14,3,FALSE),0)</f>
        <v>0</v>
      </c>
      <c r="BK2742" s="6">
        <f>_xlfn.IFNA(VLOOKUP(Grandview_Inventory[[#This Row],[condition]],Lookups!$H$17:$J$24,3,FALSE),0)</f>
        <v>0</v>
      </c>
      <c r="BL2742" s="6">
        <f>Grandview_Inventory[[#This Row],[Eff_Age]]*Lookups!$B$14</f>
        <v>0</v>
      </c>
      <c r="BM2742" s="6">
        <f>Grandview_Inventory[[#This Row],[living_area]]*Lookups!$B$15</f>
        <v>0</v>
      </c>
      <c r="BN2742" s="6">
        <f>Grandview_Inventory[[#This Row],[Fin BSMT]]*Lookups!$B$16</f>
        <v>0</v>
      </c>
      <c r="BO2742" s="6">
        <f>(Grandview_Inventory[[#This Row],[att_gar]]+Grandview_Inventory[[#This Row],[bltin_gar]])*Lookups!$B$17</f>
        <v>0</v>
      </c>
      <c r="BP2742" s="6">
        <f>Grandview_Inventory[[#This Row],[Plumbing Fixtures]]*Lookups!$B$18</f>
        <v>0</v>
      </c>
      <c r="BQ2742" s="6">
        <f>Grandview_Inventory[[#This Row],[detatched_value]]*Lookups!$B$19</f>
        <v>0</v>
      </c>
      <c r="BR2742" s="6">
        <f>SUM(Grandview_Inventory[[#This Row],[Intercept]:[det_value]])*Grandview_Inventory[[#This Row],[res_pct]]</f>
        <v>0</v>
      </c>
      <c r="BS2742" s="6">
        <f>Grandview_Inventory[[#This Row],[land_value]]</f>
        <v>53837.239420408718</v>
      </c>
      <c r="BT2742" s="4">
        <f>_xlfn.IFNA(VLOOKUP(Grandview_Inventory[[#This Row],[quality]],Lookups!$A$26:$C$33,3,FALSE),1)</f>
        <v>1</v>
      </c>
      <c r="BU2742" s="4">
        <f>_xlfn.IFNA(VLOOKUP(Grandview_Inventory[[#This Row],[condition]],Lookups!$A$37:$C$44,3,FALSE),1)</f>
        <v>1</v>
      </c>
      <c r="BV2742" s="4">
        <f>IF(Grandview_Inventory[[#This Row],[bldg_style]]="",1,_xlfn.IFNA(VLOOKUP(Grandview_Inventory[[#This Row],[decade]],Lookups!$F$29:$H$43,3,FALSE),1))</f>
        <v>1</v>
      </c>
      <c r="BW2742" s="4">
        <f>_xlfn.IFNA(VLOOKUP(Grandview_Inventory[[#This Row],[living_area_range]],Lookups!$F$47:$H$56,3,FALSE),1)</f>
        <v>1</v>
      </c>
      <c r="BX2742" s="4">
        <f>AVERAGE(Grandview_Inventory[[#This Row],[qual_adj]:[size_adj]])</f>
        <v>1</v>
      </c>
      <c r="BY2742" s="6">
        <f>IF(Grandview_Inventory[[#This Row],[pre_res]]&lt;0,0,Grandview_Inventory[[#This Row],[pre_res]]*Grandview_Inventory[[#This Row],[overall_adj]])</f>
        <v>0</v>
      </c>
      <c r="BZ2742" s="6">
        <f>(Grandview_Inventory[[#This Row],[sum_land]]-IF(Grandview_Inventory[[#This Row],[no_utilities]]=1,12000,0))/IF(Grandview_Inventory[[#This Row],[unbuildable]]=1,2,1)</f>
        <v>53837.239420408718</v>
      </c>
      <c r="CA274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742">
        <f>ROUND(Grandview_Inventory[[#This Row],[det_value]]*Lookups!$M$28,-2)</f>
        <v>0</v>
      </c>
      <c r="CC274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2">
        <f>Grandview_Inventory[[#This Row],[final_det]]+Grandview_Inventory[[#This Row],[final_res]]</f>
        <v>0</v>
      </c>
      <c r="CE2742">
        <f>Grandview_Inventory[[#This Row],[final_land]]+Grandview_Inventory[[#This Row],[final_imp]]+Grandview_Inventory[[#This Row],[crop_value]]</f>
        <v>51100</v>
      </c>
      <c r="CG2742" t="str">
        <f t="shared" si="42"/>
        <v>update valuation set market_land =51100, market_bldg=0, market_total =51100, market_mdno =401, market_date ='9/10/2023' where link_id = (select link_id from parcel where parcel_year = '2024' and parcel_id = '23092334434');</v>
      </c>
    </row>
    <row r="2743" spans="1:85" x14ac:dyDescent="0.25">
      <c r="A2743">
        <v>23092334450</v>
      </c>
      <c r="B2743">
        <v>0.55000000000000004</v>
      </c>
      <c r="C2743" t="s">
        <v>129</v>
      </c>
      <c r="D2743" t="s">
        <v>129</v>
      </c>
      <c r="E2743" t="s">
        <v>53</v>
      </c>
      <c r="F2743" t="s">
        <v>53</v>
      </c>
      <c r="G2743">
        <v>4</v>
      </c>
      <c r="H2743" t="s">
        <v>54</v>
      </c>
      <c r="I2743">
        <v>0</v>
      </c>
      <c r="J2743">
        <v>34900</v>
      </c>
      <c r="K2743">
        <v>0.55000000000000004</v>
      </c>
      <c r="L2743">
        <f>IF(Grandview_Inventory[[#This Row],[parcel_acres]]-Grandview_Inventory[[#This Row],[non_valued_acres]] =0,0,LN(Grandview_Inventory[[#This Row],[parcel_acres]]-Grandview_Inventory[[#This Row],[non_valued_acres]]))</f>
        <v>-0.59783700075562041</v>
      </c>
      <c r="M2743">
        <v>0</v>
      </c>
      <c r="N2743">
        <v>0</v>
      </c>
      <c r="O2743">
        <v>0</v>
      </c>
      <c r="P2743">
        <v>13398.7528</v>
      </c>
      <c r="Q2743">
        <v>63903</v>
      </c>
      <c r="R2743">
        <f>(Grandview_Inventory[[#This Row],[ln_acres]]*Grandview_Inventory[[#This Row],[coeff]])+Grandview_Inventory[[#This Row],[const]]</f>
        <v>55892.729812182028</v>
      </c>
      <c r="AY2743">
        <v>0</v>
      </c>
      <c r="AZ2743">
        <v>0</v>
      </c>
      <c r="BE2743">
        <v>0</v>
      </c>
      <c r="BF2743">
        <v>15000</v>
      </c>
      <c r="BG2743">
        <v>0</v>
      </c>
      <c r="BH2743" s="6">
        <f>Grandview_Inventory[[#This Row],[land_extract]]*Lookups!$B$3</f>
        <v>64908.076220516494</v>
      </c>
      <c r="BI2743" s="6">
        <f>IF(Grandview_Inventory[[#This Row],[bldg_style]]="",0,Lookups!$B$2)</f>
        <v>0</v>
      </c>
      <c r="BJ2743" s="6">
        <f>_xlfn.IFNA(VLOOKUP(Grandview_Inventory[[#This Row],[quality]],Lookups!$H$2:$J$14,3,FALSE),0)</f>
        <v>0</v>
      </c>
      <c r="BK2743" s="6">
        <f>_xlfn.IFNA(VLOOKUP(Grandview_Inventory[[#This Row],[condition]],Lookups!$H$17:$J$24,3,FALSE),0)</f>
        <v>0</v>
      </c>
      <c r="BL2743" s="6">
        <f>Grandview_Inventory[[#This Row],[Eff_Age]]*Lookups!$B$14</f>
        <v>0</v>
      </c>
      <c r="BM2743" s="6">
        <f>Grandview_Inventory[[#This Row],[living_area]]*Lookups!$B$15</f>
        <v>0</v>
      </c>
      <c r="BN2743" s="6">
        <f>Grandview_Inventory[[#This Row],[Fin BSMT]]*Lookups!$B$16</f>
        <v>0</v>
      </c>
      <c r="BO2743" s="6">
        <f>(Grandview_Inventory[[#This Row],[att_gar]]+Grandview_Inventory[[#This Row],[bltin_gar]])*Lookups!$B$17</f>
        <v>0</v>
      </c>
      <c r="BP2743" s="6">
        <f>Grandview_Inventory[[#This Row],[Plumbing Fixtures]]*Lookups!$B$18</f>
        <v>0</v>
      </c>
      <c r="BQ2743" s="6">
        <f>Grandview_Inventory[[#This Row],[detatched_value]]*Lookups!$B$19</f>
        <v>0</v>
      </c>
      <c r="BR2743" s="6">
        <f>SUM(Grandview_Inventory[[#This Row],[Intercept]:[det_value]])*Grandview_Inventory[[#This Row],[res_pct]]</f>
        <v>0</v>
      </c>
      <c r="BS2743" s="6">
        <f>Grandview_Inventory[[#This Row],[land_value]]</f>
        <v>64908.076220516494</v>
      </c>
      <c r="BT2743" s="4">
        <f>_xlfn.IFNA(VLOOKUP(Grandview_Inventory[[#This Row],[quality]],Lookups!$A$26:$C$33,3,FALSE),1)</f>
        <v>1</v>
      </c>
      <c r="BU2743" s="4">
        <f>_xlfn.IFNA(VLOOKUP(Grandview_Inventory[[#This Row],[condition]],Lookups!$A$37:$C$44,3,FALSE),1)</f>
        <v>1</v>
      </c>
      <c r="BV2743" s="4">
        <f>IF(Grandview_Inventory[[#This Row],[bldg_style]]="",1,_xlfn.IFNA(VLOOKUP(Grandview_Inventory[[#This Row],[decade]],Lookups!$F$29:$H$43,3,FALSE),1))</f>
        <v>1</v>
      </c>
      <c r="BW2743" s="4">
        <f>_xlfn.IFNA(VLOOKUP(Grandview_Inventory[[#This Row],[living_area_range]],Lookups!$F$47:$H$56,3,FALSE),1)</f>
        <v>1</v>
      </c>
      <c r="BX2743" s="4">
        <f>AVERAGE(Grandview_Inventory[[#This Row],[qual_adj]:[size_adj]])</f>
        <v>1</v>
      </c>
      <c r="BY2743" s="6">
        <f>IF(Grandview_Inventory[[#This Row],[pre_res]]&lt;0,0,Grandview_Inventory[[#This Row],[pre_res]]*Grandview_Inventory[[#This Row],[overall_adj]])</f>
        <v>0</v>
      </c>
      <c r="BZ2743" s="6">
        <f>(Grandview_Inventory[[#This Row],[sum_land]]-IF(Grandview_Inventory[[#This Row],[no_utilities]]=1,12000,0))/IF(Grandview_Inventory[[#This Row],[unbuildable]]=1,2,1)</f>
        <v>64908.076220516494</v>
      </c>
      <c r="CA2743">
        <f>IF(ROUND(Grandview_Inventory[[#This Row],[adj_land]]*Lookups!$M$28,-2)&lt;Grandview_Inventory[[#This Row],[min_land]],Grandview_Inventory[[#This Row],[min_land]],ROUND(Grandview_Inventory[[#This Row],[adj_land]]*Lookups!$M$28,-2))</f>
        <v>61700</v>
      </c>
      <c r="CB2743">
        <f>ROUND(Grandview_Inventory[[#This Row],[det_value]]*Lookups!$M$28,-2)</f>
        <v>0</v>
      </c>
      <c r="CC274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3">
        <f>Grandview_Inventory[[#This Row],[final_det]]+Grandview_Inventory[[#This Row],[final_res]]</f>
        <v>0</v>
      </c>
      <c r="CE2743">
        <f>Grandview_Inventory[[#This Row],[final_land]]+Grandview_Inventory[[#This Row],[final_imp]]+Grandview_Inventory[[#This Row],[crop_value]]</f>
        <v>61700</v>
      </c>
      <c r="CG2743" t="str">
        <f t="shared" ref="CG2743" si="43">"update valuation set market_land ="&amp;CA2743&amp;", market_bldg="&amp;CD2743&amp;", market_total ="&amp;CE2743&amp;", market_mdno ="&amp;$CG$1&amp;", market_date ='"&amp;TEXT($CH$1,"m/d/yyyy")&amp;"' where link_id = (select link_id from parcel where parcel_year = '2024' and parcel_id = '"&amp;A2743&amp;"');"</f>
        <v>update valuation set market_land =61700, market_bldg=0, market_total =61700, market_mdno =401, market_date ='9/10/2023' where link_id = (select link_id from parcel where parcel_year = '2024' and parcel_id = '23092334450');</v>
      </c>
    </row>
    <row r="2744" spans="1:85" x14ac:dyDescent="0.25">
      <c r="A2744">
        <v>23092334452</v>
      </c>
      <c r="B2744">
        <v>0.24</v>
      </c>
      <c r="C2744" t="s">
        <v>129</v>
      </c>
      <c r="D2744" t="s">
        <v>129</v>
      </c>
      <c r="E2744" t="s">
        <v>53</v>
      </c>
      <c r="F2744" t="s">
        <v>53</v>
      </c>
      <c r="G2744">
        <v>4</v>
      </c>
      <c r="H2744" t="s">
        <v>54</v>
      </c>
      <c r="I2744">
        <v>0</v>
      </c>
      <c r="J2744">
        <v>33200</v>
      </c>
      <c r="K2744">
        <v>0.24</v>
      </c>
      <c r="L2744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744">
        <v>0</v>
      </c>
      <c r="N2744">
        <v>0</v>
      </c>
      <c r="O2744">
        <v>0</v>
      </c>
      <c r="P2744">
        <v>13398.7528</v>
      </c>
      <c r="Q2744">
        <v>63903</v>
      </c>
      <c r="R2744">
        <f>(Grandview_Inventory[[#This Row],[ln_acres]]*Grandview_Inventory[[#This Row],[coeff]])+Grandview_Inventory[[#This Row],[const]]</f>
        <v>44781.420733940802</v>
      </c>
      <c r="AY2744">
        <v>0</v>
      </c>
      <c r="AZ2744">
        <v>0</v>
      </c>
      <c r="BE2744">
        <v>0</v>
      </c>
      <c r="BF2744">
        <v>15000</v>
      </c>
      <c r="BG2744">
        <v>0</v>
      </c>
      <c r="BH2744" s="6">
        <f>Grandview_Inventory[[#This Row],[land_extract]]*Lookups!$B$3</f>
        <v>52004.542988489469</v>
      </c>
      <c r="BI2744" s="6">
        <f>IF(Grandview_Inventory[[#This Row],[bldg_style]]="",0,Lookups!$B$2)</f>
        <v>0</v>
      </c>
      <c r="BJ2744" s="6">
        <f>_xlfn.IFNA(VLOOKUP(Grandview_Inventory[[#This Row],[quality]],Lookups!$H$2:$J$14,3,FALSE),0)</f>
        <v>0</v>
      </c>
      <c r="BK2744" s="6">
        <f>_xlfn.IFNA(VLOOKUP(Grandview_Inventory[[#This Row],[condition]],Lookups!$H$17:$J$24,3,FALSE),0)</f>
        <v>0</v>
      </c>
      <c r="BL2744" s="6">
        <f>Grandview_Inventory[[#This Row],[Eff_Age]]*Lookups!$B$14</f>
        <v>0</v>
      </c>
      <c r="BM2744" s="6">
        <f>Grandview_Inventory[[#This Row],[living_area]]*Lookups!$B$15</f>
        <v>0</v>
      </c>
      <c r="BN2744" s="6">
        <f>Grandview_Inventory[[#This Row],[Fin BSMT]]*Lookups!$B$16</f>
        <v>0</v>
      </c>
      <c r="BO2744" s="6">
        <f>(Grandview_Inventory[[#This Row],[att_gar]]+Grandview_Inventory[[#This Row],[bltin_gar]])*Lookups!$B$17</f>
        <v>0</v>
      </c>
      <c r="BP2744" s="6">
        <f>Grandview_Inventory[[#This Row],[Plumbing Fixtures]]*Lookups!$B$18</f>
        <v>0</v>
      </c>
      <c r="BQ2744" s="6">
        <f>Grandview_Inventory[[#This Row],[detatched_value]]*Lookups!$B$19</f>
        <v>0</v>
      </c>
      <c r="BR2744" s="6">
        <f>SUM(Grandview_Inventory[[#This Row],[Intercept]:[det_value]])*Grandview_Inventory[[#This Row],[res_pct]]</f>
        <v>0</v>
      </c>
      <c r="BS2744" s="6">
        <f>Grandview_Inventory[[#This Row],[land_value]]</f>
        <v>52004.542988489469</v>
      </c>
      <c r="BT2744" s="4">
        <f>_xlfn.IFNA(VLOOKUP(Grandview_Inventory[[#This Row],[quality]],Lookups!$A$26:$C$33,3,FALSE),1)</f>
        <v>1</v>
      </c>
      <c r="BU2744" s="4">
        <f>_xlfn.IFNA(VLOOKUP(Grandview_Inventory[[#This Row],[condition]],Lookups!$A$37:$C$44,3,FALSE),1)</f>
        <v>1</v>
      </c>
      <c r="BV2744" s="4">
        <f>IF(Grandview_Inventory[[#This Row],[bldg_style]]="",1,_xlfn.IFNA(VLOOKUP(Grandview_Inventory[[#This Row],[decade]],Lookups!$F$29:$H$43,3,FALSE),1))</f>
        <v>1</v>
      </c>
      <c r="BW2744" s="4">
        <f>_xlfn.IFNA(VLOOKUP(Grandview_Inventory[[#This Row],[living_area_range]],Lookups!$F$47:$H$56,3,FALSE),1)</f>
        <v>1</v>
      </c>
      <c r="BX2744" s="4">
        <f>AVERAGE(Grandview_Inventory[[#This Row],[qual_adj]:[size_adj]])</f>
        <v>1</v>
      </c>
      <c r="BY2744" s="6">
        <f>IF(Grandview_Inventory[[#This Row],[pre_res]]&lt;0,0,Grandview_Inventory[[#This Row],[pre_res]]*Grandview_Inventory[[#This Row],[overall_adj]])</f>
        <v>0</v>
      </c>
      <c r="BZ2744" s="6">
        <f>(Grandview_Inventory[[#This Row],[sum_land]]-IF(Grandview_Inventory[[#This Row],[no_utilities]]=1,12000,0))/IF(Grandview_Inventory[[#This Row],[unbuildable]]=1,2,1)</f>
        <v>52004.542988489469</v>
      </c>
      <c r="CA2744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744">
        <f>ROUND(Grandview_Inventory[[#This Row],[det_value]]*Lookups!$M$28,-2)</f>
        <v>0</v>
      </c>
      <c r="CC274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4">
        <f>Grandview_Inventory[[#This Row],[final_det]]+Grandview_Inventory[[#This Row],[final_res]]</f>
        <v>0</v>
      </c>
      <c r="CE2744">
        <f>Grandview_Inventory[[#This Row],[final_land]]+Grandview_Inventory[[#This Row],[final_imp]]+Grandview_Inventory[[#This Row],[crop_value]]</f>
        <v>49400</v>
      </c>
      <c r="CG2744" t="str">
        <f t="shared" si="42"/>
        <v>update valuation set market_land =49400, market_bldg=0, market_total =49400, market_mdno =401, market_date ='9/10/2023' where link_id = (select link_id from parcel where parcel_year = '2024' and parcel_id = '23092334452');</v>
      </c>
    </row>
    <row r="2745" spans="1:85" x14ac:dyDescent="0.25">
      <c r="A2745">
        <v>23092334453</v>
      </c>
      <c r="B2745">
        <v>0.24</v>
      </c>
      <c r="C2745">
        <v>10484</v>
      </c>
      <c r="D2745" t="s">
        <v>129</v>
      </c>
      <c r="E2745" t="s">
        <v>53</v>
      </c>
      <c r="F2745" t="s">
        <v>53</v>
      </c>
      <c r="G2745">
        <v>4</v>
      </c>
      <c r="H2745" t="s">
        <v>54</v>
      </c>
      <c r="I2745">
        <v>0</v>
      </c>
      <c r="J2745">
        <v>33200</v>
      </c>
      <c r="K2745">
        <v>0.24</v>
      </c>
      <c r="L2745">
        <f>IF(Grandview_Inventory[[#This Row],[parcel_acres]]-Grandview_Inventory[[#This Row],[non_valued_acres]] =0,0,LN(Grandview_Inventory[[#This Row],[parcel_acres]]-Grandview_Inventory[[#This Row],[non_valued_acres]]))</f>
        <v>-1.4271163556401458</v>
      </c>
      <c r="M2745">
        <v>0</v>
      </c>
      <c r="N2745">
        <v>0</v>
      </c>
      <c r="O2745">
        <v>0</v>
      </c>
      <c r="P2745">
        <v>13398.7528</v>
      </c>
      <c r="Q2745">
        <v>63903</v>
      </c>
      <c r="R2745">
        <f>(Grandview_Inventory[[#This Row],[ln_acres]]*Grandview_Inventory[[#This Row],[coeff]])+Grandview_Inventory[[#This Row],[const]]</f>
        <v>44781.420733940802</v>
      </c>
      <c r="AY2745">
        <v>0</v>
      </c>
      <c r="AZ2745">
        <v>0</v>
      </c>
      <c r="BE2745">
        <v>0</v>
      </c>
      <c r="BF2745">
        <v>15000</v>
      </c>
      <c r="BG2745">
        <v>0</v>
      </c>
      <c r="BH2745" s="6">
        <f>Grandview_Inventory[[#This Row],[land_extract]]*Lookups!$B$3</f>
        <v>52004.542988489469</v>
      </c>
      <c r="BI2745" s="6">
        <f>IF(Grandview_Inventory[[#This Row],[bldg_style]]="",0,Lookups!$B$2)</f>
        <v>0</v>
      </c>
      <c r="BJ2745" s="6">
        <f>_xlfn.IFNA(VLOOKUP(Grandview_Inventory[[#This Row],[quality]],Lookups!$H$2:$J$14,3,FALSE),0)</f>
        <v>0</v>
      </c>
      <c r="BK2745" s="6">
        <f>_xlfn.IFNA(VLOOKUP(Grandview_Inventory[[#This Row],[condition]],Lookups!$H$17:$J$24,3,FALSE),0)</f>
        <v>0</v>
      </c>
      <c r="BL2745" s="6">
        <f>Grandview_Inventory[[#This Row],[Eff_Age]]*Lookups!$B$14</f>
        <v>0</v>
      </c>
      <c r="BM2745" s="6">
        <f>Grandview_Inventory[[#This Row],[living_area]]*Lookups!$B$15</f>
        <v>0</v>
      </c>
      <c r="BN2745" s="6">
        <f>Grandview_Inventory[[#This Row],[Fin BSMT]]*Lookups!$B$16</f>
        <v>0</v>
      </c>
      <c r="BO2745" s="6">
        <f>(Grandview_Inventory[[#This Row],[att_gar]]+Grandview_Inventory[[#This Row],[bltin_gar]])*Lookups!$B$17</f>
        <v>0</v>
      </c>
      <c r="BP2745" s="6">
        <f>Grandview_Inventory[[#This Row],[Plumbing Fixtures]]*Lookups!$B$18</f>
        <v>0</v>
      </c>
      <c r="BQ2745" s="6">
        <f>Grandview_Inventory[[#This Row],[detatched_value]]*Lookups!$B$19</f>
        <v>0</v>
      </c>
      <c r="BR2745" s="6">
        <f>SUM(Grandview_Inventory[[#This Row],[Intercept]:[det_value]])*Grandview_Inventory[[#This Row],[res_pct]]</f>
        <v>0</v>
      </c>
      <c r="BS2745" s="6">
        <f>Grandview_Inventory[[#This Row],[land_value]]</f>
        <v>52004.542988489469</v>
      </c>
      <c r="BT2745" s="4">
        <f>_xlfn.IFNA(VLOOKUP(Grandview_Inventory[[#This Row],[quality]],Lookups!$A$26:$C$33,3,FALSE),1)</f>
        <v>1</v>
      </c>
      <c r="BU2745" s="4">
        <f>_xlfn.IFNA(VLOOKUP(Grandview_Inventory[[#This Row],[condition]],Lookups!$A$37:$C$44,3,FALSE),1)</f>
        <v>1</v>
      </c>
      <c r="BV2745" s="4">
        <f>IF(Grandview_Inventory[[#This Row],[bldg_style]]="",1,_xlfn.IFNA(VLOOKUP(Grandview_Inventory[[#This Row],[decade]],Lookups!$F$29:$H$43,3,FALSE),1))</f>
        <v>1</v>
      </c>
      <c r="BW2745" s="4">
        <f>_xlfn.IFNA(VLOOKUP(Grandview_Inventory[[#This Row],[living_area_range]],Lookups!$F$47:$H$56,3,FALSE),1)</f>
        <v>1</v>
      </c>
      <c r="BX2745" s="4">
        <f>AVERAGE(Grandview_Inventory[[#This Row],[qual_adj]:[size_adj]])</f>
        <v>1</v>
      </c>
      <c r="BY2745" s="6">
        <f>IF(Grandview_Inventory[[#This Row],[pre_res]]&lt;0,0,Grandview_Inventory[[#This Row],[pre_res]]*Grandview_Inventory[[#This Row],[overall_adj]])</f>
        <v>0</v>
      </c>
      <c r="BZ2745" s="6">
        <f>(Grandview_Inventory[[#This Row],[sum_land]]-IF(Grandview_Inventory[[#This Row],[no_utilities]]=1,12000,0))/IF(Grandview_Inventory[[#This Row],[unbuildable]]=1,2,1)</f>
        <v>52004.542988489469</v>
      </c>
      <c r="CA2745">
        <f>IF(ROUND(Grandview_Inventory[[#This Row],[adj_land]]*Lookups!$M$28,-2)&lt;Grandview_Inventory[[#This Row],[min_land]],Grandview_Inventory[[#This Row],[min_land]],ROUND(Grandview_Inventory[[#This Row],[adj_land]]*Lookups!$M$28,-2))</f>
        <v>49400</v>
      </c>
      <c r="CB2745">
        <f>ROUND(Grandview_Inventory[[#This Row],[det_value]]*Lookups!$M$28,-2)</f>
        <v>0</v>
      </c>
      <c r="CC274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5">
        <f>Grandview_Inventory[[#This Row],[final_det]]+Grandview_Inventory[[#This Row],[final_res]]</f>
        <v>0</v>
      </c>
      <c r="CE2745">
        <f>Grandview_Inventory[[#This Row],[final_land]]+Grandview_Inventory[[#This Row],[final_imp]]+Grandview_Inventory[[#This Row],[crop_value]]</f>
        <v>49400</v>
      </c>
      <c r="CG2745" t="str">
        <f t="shared" si="42"/>
        <v>update valuation set market_land =49400, market_bldg=0, market_total =49400, market_mdno =401, market_date ='9/10/2023' where link_id = (select link_id from parcel where parcel_year = '2024' and parcel_id = '23092334453');</v>
      </c>
    </row>
    <row r="2746" spans="1:85" x14ac:dyDescent="0.25">
      <c r="A2746">
        <v>23092334466</v>
      </c>
      <c r="B2746">
        <v>1.3</v>
      </c>
      <c r="C2746">
        <v>56438</v>
      </c>
      <c r="D2746" t="s">
        <v>129</v>
      </c>
      <c r="E2746" t="s">
        <v>53</v>
      </c>
      <c r="F2746" t="s">
        <v>53</v>
      </c>
      <c r="G2746">
        <v>4</v>
      </c>
      <c r="H2746" t="s">
        <v>54</v>
      </c>
      <c r="I2746">
        <v>0</v>
      </c>
      <c r="J2746">
        <v>37200</v>
      </c>
      <c r="K2746">
        <v>1.3</v>
      </c>
      <c r="L2746">
        <f>IF(Grandview_Inventory[[#This Row],[parcel_acres]]-Grandview_Inventory[[#This Row],[non_valued_acres]] =0,0,LN(Grandview_Inventory[[#This Row],[parcel_acres]]-Grandview_Inventory[[#This Row],[non_valued_acres]]))</f>
        <v>0.26236426446749106</v>
      </c>
      <c r="M2746">
        <v>0</v>
      </c>
      <c r="N2746">
        <v>0</v>
      </c>
      <c r="O2746">
        <v>0</v>
      </c>
      <c r="P2746">
        <v>13398.7528</v>
      </c>
      <c r="Q2746">
        <v>63903</v>
      </c>
      <c r="R2746">
        <f>(Grandview_Inventory[[#This Row],[ln_acres]]*Grandview_Inventory[[#This Row],[coeff]])+Grandview_Inventory[[#This Row],[const]]</f>
        <v>67418.353923153743</v>
      </c>
      <c r="AY2746">
        <v>0</v>
      </c>
      <c r="AZ2746">
        <v>0</v>
      </c>
      <c r="BE2746">
        <v>0</v>
      </c>
      <c r="BF2746">
        <v>15000</v>
      </c>
      <c r="BG2746">
        <v>0</v>
      </c>
      <c r="BH2746" s="6">
        <f>Grandview_Inventory[[#This Row],[land_extract]]*Lookups!$B$3</f>
        <v>78292.752381402854</v>
      </c>
      <c r="BI2746" s="6">
        <f>IF(Grandview_Inventory[[#This Row],[bldg_style]]="",0,Lookups!$B$2)</f>
        <v>0</v>
      </c>
      <c r="BJ2746" s="6">
        <f>_xlfn.IFNA(VLOOKUP(Grandview_Inventory[[#This Row],[quality]],Lookups!$H$2:$J$14,3,FALSE),0)</f>
        <v>0</v>
      </c>
      <c r="BK2746" s="6">
        <f>_xlfn.IFNA(VLOOKUP(Grandview_Inventory[[#This Row],[condition]],Lookups!$H$17:$J$24,3,FALSE),0)</f>
        <v>0</v>
      </c>
      <c r="BL2746" s="6">
        <f>Grandview_Inventory[[#This Row],[Eff_Age]]*Lookups!$B$14</f>
        <v>0</v>
      </c>
      <c r="BM2746" s="6">
        <f>Grandview_Inventory[[#This Row],[living_area]]*Lookups!$B$15</f>
        <v>0</v>
      </c>
      <c r="BN2746" s="6">
        <f>Grandview_Inventory[[#This Row],[Fin BSMT]]*Lookups!$B$16</f>
        <v>0</v>
      </c>
      <c r="BO2746" s="6">
        <f>(Grandview_Inventory[[#This Row],[att_gar]]+Grandview_Inventory[[#This Row],[bltin_gar]])*Lookups!$B$17</f>
        <v>0</v>
      </c>
      <c r="BP2746" s="6">
        <f>Grandview_Inventory[[#This Row],[Plumbing Fixtures]]*Lookups!$B$18</f>
        <v>0</v>
      </c>
      <c r="BQ2746" s="6">
        <f>Grandview_Inventory[[#This Row],[detatched_value]]*Lookups!$B$19</f>
        <v>0</v>
      </c>
      <c r="BR2746" s="6">
        <f>SUM(Grandview_Inventory[[#This Row],[Intercept]:[det_value]])*Grandview_Inventory[[#This Row],[res_pct]]</f>
        <v>0</v>
      </c>
      <c r="BS2746" s="6">
        <f>Grandview_Inventory[[#This Row],[land_value]]</f>
        <v>78292.752381402854</v>
      </c>
      <c r="BT2746" s="4">
        <f>_xlfn.IFNA(VLOOKUP(Grandview_Inventory[[#This Row],[quality]],Lookups!$A$26:$C$33,3,FALSE),1)</f>
        <v>1</v>
      </c>
      <c r="BU2746" s="4">
        <f>_xlfn.IFNA(VLOOKUP(Grandview_Inventory[[#This Row],[condition]],Lookups!$A$37:$C$44,3,FALSE),1)</f>
        <v>1</v>
      </c>
      <c r="BV2746" s="4">
        <f>IF(Grandview_Inventory[[#This Row],[bldg_style]]="",1,_xlfn.IFNA(VLOOKUP(Grandview_Inventory[[#This Row],[decade]],Lookups!$F$29:$H$43,3,FALSE),1))</f>
        <v>1</v>
      </c>
      <c r="BW2746" s="4">
        <f>_xlfn.IFNA(VLOOKUP(Grandview_Inventory[[#This Row],[living_area_range]],Lookups!$F$47:$H$56,3,FALSE),1)</f>
        <v>1</v>
      </c>
      <c r="BX2746" s="4">
        <f>AVERAGE(Grandview_Inventory[[#This Row],[qual_adj]:[size_adj]])</f>
        <v>1</v>
      </c>
      <c r="BY2746" s="6">
        <f>IF(Grandview_Inventory[[#This Row],[pre_res]]&lt;0,0,Grandview_Inventory[[#This Row],[pre_res]]*Grandview_Inventory[[#This Row],[overall_adj]])</f>
        <v>0</v>
      </c>
      <c r="BZ2746" s="6">
        <f>(Grandview_Inventory[[#This Row],[sum_land]]-IF(Grandview_Inventory[[#This Row],[no_utilities]]=1,12000,0))/IF(Grandview_Inventory[[#This Row],[unbuildable]]=1,2,1)</f>
        <v>78292.752381402854</v>
      </c>
      <c r="CA2746">
        <f>IF(ROUND(Grandview_Inventory[[#This Row],[adj_land]]*Lookups!$M$28,-2)&lt;Grandview_Inventory[[#This Row],[min_land]],Grandview_Inventory[[#This Row],[min_land]],ROUND(Grandview_Inventory[[#This Row],[adj_land]]*Lookups!$M$28,-2))</f>
        <v>74400</v>
      </c>
      <c r="CB2746">
        <f>ROUND(Grandview_Inventory[[#This Row],[det_value]]*Lookups!$M$28,-2)</f>
        <v>0</v>
      </c>
      <c r="CC274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6">
        <f>Grandview_Inventory[[#This Row],[final_det]]+Grandview_Inventory[[#This Row],[final_res]]</f>
        <v>0</v>
      </c>
      <c r="CE2746">
        <f>Grandview_Inventory[[#This Row],[final_land]]+Grandview_Inventory[[#This Row],[final_imp]]+Grandview_Inventory[[#This Row],[crop_value]]</f>
        <v>74400</v>
      </c>
      <c r="CG2746" t="str">
        <f t="shared" si="42"/>
        <v>update valuation set market_land =74400, market_bldg=0, market_total =74400, market_mdno =401, market_date ='9/10/2023' where link_id = (select link_id from parcel where parcel_year = '2024' and parcel_id = '23092334466');</v>
      </c>
    </row>
    <row r="2747" spans="1:85" x14ac:dyDescent="0.25">
      <c r="A2747">
        <v>23092341410</v>
      </c>
      <c r="B2747" t="s">
        <v>129</v>
      </c>
      <c r="C2747">
        <v>8300</v>
      </c>
      <c r="D2747" t="s">
        <v>129</v>
      </c>
      <c r="E2747" t="s">
        <v>53</v>
      </c>
      <c r="F2747" t="s">
        <v>53</v>
      </c>
      <c r="G2747">
        <v>4</v>
      </c>
      <c r="H2747" t="s">
        <v>54</v>
      </c>
      <c r="I2747" t="s">
        <v>129</v>
      </c>
      <c r="J2747">
        <v>32700</v>
      </c>
      <c r="K2747">
        <v>0.19</v>
      </c>
      <c r="L274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47">
        <v>0</v>
      </c>
      <c r="N2747">
        <v>0</v>
      </c>
      <c r="O2747">
        <v>0</v>
      </c>
      <c r="P2747">
        <v>13398.7528</v>
      </c>
      <c r="Q2747">
        <v>63903</v>
      </c>
      <c r="R2747">
        <f>(Grandview_Inventory[[#This Row],[ln_acres]]*Grandview_Inventory[[#This Row],[coeff]])+Grandview_Inventory[[#This Row],[const]]</f>
        <v>41651.273092551026</v>
      </c>
      <c r="AY2747">
        <v>0</v>
      </c>
      <c r="AZ2747">
        <v>0</v>
      </c>
      <c r="BE2747">
        <v>0</v>
      </c>
      <c r="BF2747">
        <v>15000</v>
      </c>
      <c r="BG2747">
        <v>0</v>
      </c>
      <c r="BH2747" s="6">
        <f>Grandview_Inventory[[#This Row],[land_extract]]*Lookups!$B$3</f>
        <v>48369.510983942157</v>
      </c>
      <c r="BI2747" s="6">
        <f>IF(Grandview_Inventory[[#This Row],[bldg_style]]="",0,Lookups!$B$2)</f>
        <v>0</v>
      </c>
      <c r="BJ2747" s="6">
        <f>_xlfn.IFNA(VLOOKUP(Grandview_Inventory[[#This Row],[quality]],Lookups!$H$2:$J$14,3,FALSE),0)</f>
        <v>0</v>
      </c>
      <c r="BK2747" s="6">
        <f>_xlfn.IFNA(VLOOKUP(Grandview_Inventory[[#This Row],[condition]],Lookups!$H$17:$J$24,3,FALSE),0)</f>
        <v>0</v>
      </c>
      <c r="BL2747" s="6">
        <f>Grandview_Inventory[[#This Row],[Eff_Age]]*Lookups!$B$14</f>
        <v>0</v>
      </c>
      <c r="BM2747" s="6">
        <f>Grandview_Inventory[[#This Row],[living_area]]*Lookups!$B$15</f>
        <v>0</v>
      </c>
      <c r="BN2747" s="6">
        <f>Grandview_Inventory[[#This Row],[Fin BSMT]]*Lookups!$B$16</f>
        <v>0</v>
      </c>
      <c r="BO2747" s="6">
        <f>(Grandview_Inventory[[#This Row],[att_gar]]+Grandview_Inventory[[#This Row],[bltin_gar]])*Lookups!$B$17</f>
        <v>0</v>
      </c>
      <c r="BP2747" s="6">
        <f>Grandview_Inventory[[#This Row],[Plumbing Fixtures]]*Lookups!$B$18</f>
        <v>0</v>
      </c>
      <c r="BQ2747" s="6">
        <f>Grandview_Inventory[[#This Row],[detatched_value]]*Lookups!$B$19</f>
        <v>0</v>
      </c>
      <c r="BR2747" s="6">
        <f>SUM(Grandview_Inventory[[#This Row],[Intercept]:[det_value]])*Grandview_Inventory[[#This Row],[res_pct]]</f>
        <v>0</v>
      </c>
      <c r="BS2747" s="6">
        <f>Grandview_Inventory[[#This Row],[land_value]]</f>
        <v>48369.510983942157</v>
      </c>
      <c r="BT2747" s="4">
        <f>_xlfn.IFNA(VLOOKUP(Grandview_Inventory[[#This Row],[quality]],Lookups!$A$26:$C$33,3,FALSE),1)</f>
        <v>1</v>
      </c>
      <c r="BU2747" s="4">
        <f>_xlfn.IFNA(VLOOKUP(Grandview_Inventory[[#This Row],[condition]],Lookups!$A$37:$C$44,3,FALSE),1)</f>
        <v>1</v>
      </c>
      <c r="BV2747" s="4">
        <f>IF(Grandview_Inventory[[#This Row],[bldg_style]]="",1,_xlfn.IFNA(VLOOKUP(Grandview_Inventory[[#This Row],[decade]],Lookups!$F$29:$H$43,3,FALSE),1))</f>
        <v>1</v>
      </c>
      <c r="BW2747" s="4">
        <f>_xlfn.IFNA(VLOOKUP(Grandview_Inventory[[#This Row],[living_area_range]],Lookups!$F$47:$H$56,3,FALSE),1)</f>
        <v>1</v>
      </c>
      <c r="BX2747" s="4">
        <f>AVERAGE(Grandview_Inventory[[#This Row],[qual_adj]:[size_adj]])</f>
        <v>1</v>
      </c>
      <c r="BY2747" s="6">
        <f>IF(Grandview_Inventory[[#This Row],[pre_res]]&lt;0,0,Grandview_Inventory[[#This Row],[pre_res]]*Grandview_Inventory[[#This Row],[overall_adj]])</f>
        <v>0</v>
      </c>
      <c r="BZ2747" s="6">
        <f>(Grandview_Inventory[[#This Row],[sum_land]]-IF(Grandview_Inventory[[#This Row],[no_utilities]]=1,12000,0))/IF(Grandview_Inventory[[#This Row],[unbuildable]]=1,2,1)</f>
        <v>48369.510983942157</v>
      </c>
      <c r="CA274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47">
        <f>ROUND(Grandview_Inventory[[#This Row],[det_value]]*Lookups!$M$28,-2)</f>
        <v>0</v>
      </c>
      <c r="CC274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7">
        <f>Grandview_Inventory[[#This Row],[final_det]]+Grandview_Inventory[[#This Row],[final_res]]</f>
        <v>0</v>
      </c>
      <c r="CE2747">
        <f>Grandview_Inventory[[#This Row],[final_land]]+Grandview_Inventory[[#This Row],[final_imp]]+Grandview_Inventory[[#This Row],[crop_value]]</f>
        <v>46000</v>
      </c>
      <c r="CG2747" t="str">
        <f t="shared" si="42"/>
        <v>update valuation set market_land =46000, market_bldg=0, market_total =46000, market_mdno =401, market_date ='9/10/2023' where link_id = (select link_id from parcel where parcel_year = '2024' and parcel_id = '23092341410');</v>
      </c>
    </row>
    <row r="2748" spans="1:85" x14ac:dyDescent="0.25">
      <c r="A2748">
        <v>23092341412</v>
      </c>
      <c r="B2748" t="s">
        <v>129</v>
      </c>
      <c r="C2748">
        <v>20000</v>
      </c>
      <c r="D2748" t="s">
        <v>129</v>
      </c>
      <c r="E2748" t="s">
        <v>53</v>
      </c>
      <c r="F2748" t="s">
        <v>53</v>
      </c>
      <c r="G2748">
        <v>4</v>
      </c>
      <c r="H2748" t="s">
        <v>54</v>
      </c>
      <c r="I2748">
        <v>22100</v>
      </c>
      <c r="J2748">
        <v>34600</v>
      </c>
      <c r="K2748">
        <v>0.46</v>
      </c>
      <c r="L2748">
        <f>IF(Grandview_Inventory[[#This Row],[parcel_acres]]-Grandview_Inventory[[#This Row],[non_valued_acres]] =0,0,LN(Grandview_Inventory[[#This Row],[parcel_acres]]-Grandview_Inventory[[#This Row],[non_valued_acres]]))</f>
        <v>-0.77652878949899629</v>
      </c>
      <c r="M2748">
        <v>0</v>
      </c>
      <c r="N2748">
        <v>0</v>
      </c>
      <c r="O2748">
        <v>0</v>
      </c>
      <c r="P2748">
        <v>13398.7528</v>
      </c>
      <c r="Q2748">
        <v>63903</v>
      </c>
      <c r="R2748">
        <f>(Grandview_Inventory[[#This Row],[ln_acres]]*Grandview_Inventory[[#This Row],[coeff]])+Grandview_Inventory[[#This Row],[const]]</f>
        <v>53498.482707419709</v>
      </c>
      <c r="AY2748">
        <v>0</v>
      </c>
      <c r="AZ2748">
        <v>20400</v>
      </c>
      <c r="BE2748">
        <v>0</v>
      </c>
      <c r="BF2748">
        <v>15000</v>
      </c>
      <c r="BG2748">
        <v>0</v>
      </c>
      <c r="BH2748" s="6">
        <f>Grandview_Inventory[[#This Row],[land_extract]]*Lookups!$B$3</f>
        <v>62127.643522223196</v>
      </c>
      <c r="BI2748" s="6">
        <f>IF(Grandview_Inventory[[#This Row],[bldg_style]]="",0,Lookups!$B$2)</f>
        <v>0</v>
      </c>
      <c r="BJ2748" s="6">
        <f>_xlfn.IFNA(VLOOKUP(Grandview_Inventory[[#This Row],[quality]],Lookups!$H$2:$J$14,3,FALSE),0)</f>
        <v>0</v>
      </c>
      <c r="BK2748" s="6">
        <f>_xlfn.IFNA(VLOOKUP(Grandview_Inventory[[#This Row],[condition]],Lookups!$H$17:$J$24,3,FALSE),0)</f>
        <v>0</v>
      </c>
      <c r="BL2748" s="6">
        <f>Grandview_Inventory[[#This Row],[Eff_Age]]*Lookups!$B$14</f>
        <v>0</v>
      </c>
      <c r="BM2748" s="6">
        <f>Grandview_Inventory[[#This Row],[living_area]]*Lookups!$B$15</f>
        <v>0</v>
      </c>
      <c r="BN2748" s="6">
        <f>Grandview_Inventory[[#This Row],[Fin BSMT]]*Lookups!$B$16</f>
        <v>0</v>
      </c>
      <c r="BO2748" s="6">
        <f>(Grandview_Inventory[[#This Row],[att_gar]]+Grandview_Inventory[[#This Row],[bltin_gar]])*Lookups!$B$17</f>
        <v>0</v>
      </c>
      <c r="BP2748" s="6">
        <f>Grandview_Inventory[[#This Row],[Plumbing Fixtures]]*Lookups!$B$18</f>
        <v>0</v>
      </c>
      <c r="BQ2748" s="6">
        <f>Grandview_Inventory[[#This Row],[detatched_value]]*Lookups!$B$19</f>
        <v>17274.82404</v>
      </c>
      <c r="BR2748" s="6">
        <f>SUM(Grandview_Inventory[[#This Row],[Intercept]:[det_value]])*Grandview_Inventory[[#This Row],[res_pct]]</f>
        <v>0</v>
      </c>
      <c r="BS2748" s="6">
        <f>Grandview_Inventory[[#This Row],[land_value]]</f>
        <v>62127.643522223196</v>
      </c>
      <c r="BT2748" s="4">
        <f>_xlfn.IFNA(VLOOKUP(Grandview_Inventory[[#This Row],[quality]],Lookups!$A$26:$C$33,3,FALSE),1)</f>
        <v>1</v>
      </c>
      <c r="BU2748" s="4">
        <f>_xlfn.IFNA(VLOOKUP(Grandview_Inventory[[#This Row],[condition]],Lookups!$A$37:$C$44,3,FALSE),1)</f>
        <v>1</v>
      </c>
      <c r="BV2748" s="4">
        <f>IF(Grandview_Inventory[[#This Row],[bldg_style]]="",1,_xlfn.IFNA(VLOOKUP(Grandview_Inventory[[#This Row],[decade]],Lookups!$F$29:$H$43,3,FALSE),1))</f>
        <v>1</v>
      </c>
      <c r="BW2748" s="4">
        <f>_xlfn.IFNA(VLOOKUP(Grandview_Inventory[[#This Row],[living_area_range]],Lookups!$F$47:$H$56,3,FALSE),1)</f>
        <v>1</v>
      </c>
      <c r="BX2748" s="4">
        <f>AVERAGE(Grandview_Inventory[[#This Row],[qual_adj]:[size_adj]])</f>
        <v>1</v>
      </c>
      <c r="BY2748" s="6">
        <f>IF(Grandview_Inventory[[#This Row],[pre_res]]&lt;0,0,Grandview_Inventory[[#This Row],[pre_res]]*Grandview_Inventory[[#This Row],[overall_adj]])</f>
        <v>0</v>
      </c>
      <c r="BZ2748" s="6">
        <f>(Grandview_Inventory[[#This Row],[sum_land]]-IF(Grandview_Inventory[[#This Row],[no_utilities]]=1,12000,0))/IF(Grandview_Inventory[[#This Row],[unbuildable]]=1,2,1)</f>
        <v>62127.643522223196</v>
      </c>
      <c r="CA2748">
        <f>IF(ROUND(Grandview_Inventory[[#This Row],[adj_land]]*Lookups!$M$28,-2)&lt;Grandview_Inventory[[#This Row],[min_land]],Grandview_Inventory[[#This Row],[min_land]],ROUND(Grandview_Inventory[[#This Row],[adj_land]]*Lookups!$M$28,-2))</f>
        <v>59000</v>
      </c>
      <c r="CB2748">
        <f>ROUND(Grandview_Inventory[[#This Row],[det_value]]*Lookups!$M$28,-2)</f>
        <v>16400</v>
      </c>
      <c r="CC274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8">
        <f>Grandview_Inventory[[#This Row],[final_det]]+Grandview_Inventory[[#This Row],[final_res]]</f>
        <v>16400</v>
      </c>
      <c r="CE2748">
        <f>Grandview_Inventory[[#This Row],[final_land]]+Grandview_Inventory[[#This Row],[final_imp]]+Grandview_Inventory[[#This Row],[crop_value]]</f>
        <v>75400</v>
      </c>
      <c r="CG2748" t="str">
        <f t="shared" si="42"/>
        <v>update valuation set market_land =59000, market_bldg=16400, market_total =75400, market_mdno =401, market_date ='9/10/2023' where link_id = (select link_id from parcel where parcel_year = '2024' and parcel_id = '23092341412');</v>
      </c>
    </row>
    <row r="2749" spans="1:85" x14ac:dyDescent="0.25">
      <c r="A2749">
        <v>23092342409</v>
      </c>
      <c r="B2749">
        <v>0.15</v>
      </c>
      <c r="C2749">
        <v>6357</v>
      </c>
      <c r="D2749" t="s">
        <v>129</v>
      </c>
      <c r="E2749" t="s">
        <v>53</v>
      </c>
      <c r="F2749" t="s">
        <v>53</v>
      </c>
      <c r="G2749">
        <v>4</v>
      </c>
      <c r="H2749" t="s">
        <v>54</v>
      </c>
      <c r="I2749">
        <v>0</v>
      </c>
      <c r="J2749">
        <v>32300</v>
      </c>
      <c r="K2749">
        <v>0.15</v>
      </c>
      <c r="L2749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749">
        <v>0</v>
      </c>
      <c r="N2749">
        <v>0</v>
      </c>
      <c r="O2749">
        <v>0</v>
      </c>
      <c r="P2749">
        <v>13398.7528</v>
      </c>
      <c r="Q2749">
        <v>63903</v>
      </c>
      <c r="R2749">
        <f>(Grandview_Inventory[[#This Row],[ln_acres]]*Grandview_Inventory[[#This Row],[coeff]])+Grandview_Inventory[[#This Row],[const]]</f>
        <v>38483.958290574345</v>
      </c>
      <c r="AY2749">
        <v>0</v>
      </c>
      <c r="AZ2749">
        <v>0</v>
      </c>
      <c r="BE2749">
        <v>0</v>
      </c>
      <c r="BF2749">
        <v>15000</v>
      </c>
      <c r="BG2749">
        <v>0</v>
      </c>
      <c r="BH2749" s="6">
        <f>Grandview_Inventory[[#This Row],[land_extract]]*Lookups!$B$3</f>
        <v>44691.316856156598</v>
      </c>
      <c r="BI2749" s="6">
        <f>IF(Grandview_Inventory[[#This Row],[bldg_style]]="",0,Lookups!$B$2)</f>
        <v>0</v>
      </c>
      <c r="BJ2749" s="6">
        <f>_xlfn.IFNA(VLOOKUP(Grandview_Inventory[[#This Row],[quality]],Lookups!$H$2:$J$14,3,FALSE),0)</f>
        <v>0</v>
      </c>
      <c r="BK2749" s="6">
        <f>_xlfn.IFNA(VLOOKUP(Grandview_Inventory[[#This Row],[condition]],Lookups!$H$17:$J$24,3,FALSE),0)</f>
        <v>0</v>
      </c>
      <c r="BL2749" s="6">
        <f>Grandview_Inventory[[#This Row],[Eff_Age]]*Lookups!$B$14</f>
        <v>0</v>
      </c>
      <c r="BM2749" s="6">
        <f>Grandview_Inventory[[#This Row],[living_area]]*Lookups!$B$15</f>
        <v>0</v>
      </c>
      <c r="BN2749" s="6">
        <f>Grandview_Inventory[[#This Row],[Fin BSMT]]*Lookups!$B$16</f>
        <v>0</v>
      </c>
      <c r="BO2749" s="6">
        <f>(Grandview_Inventory[[#This Row],[att_gar]]+Grandview_Inventory[[#This Row],[bltin_gar]])*Lookups!$B$17</f>
        <v>0</v>
      </c>
      <c r="BP2749" s="6">
        <f>Grandview_Inventory[[#This Row],[Plumbing Fixtures]]*Lookups!$B$18</f>
        <v>0</v>
      </c>
      <c r="BQ2749" s="6">
        <f>Grandview_Inventory[[#This Row],[detatched_value]]*Lookups!$B$19</f>
        <v>0</v>
      </c>
      <c r="BR2749" s="6">
        <f>SUM(Grandview_Inventory[[#This Row],[Intercept]:[det_value]])*Grandview_Inventory[[#This Row],[res_pct]]</f>
        <v>0</v>
      </c>
      <c r="BS2749" s="6">
        <f>Grandview_Inventory[[#This Row],[land_value]]</f>
        <v>44691.316856156598</v>
      </c>
      <c r="BT2749" s="4">
        <f>_xlfn.IFNA(VLOOKUP(Grandview_Inventory[[#This Row],[quality]],Lookups!$A$26:$C$33,3,FALSE),1)</f>
        <v>1</v>
      </c>
      <c r="BU2749" s="4">
        <f>_xlfn.IFNA(VLOOKUP(Grandview_Inventory[[#This Row],[condition]],Lookups!$A$37:$C$44,3,FALSE),1)</f>
        <v>1</v>
      </c>
      <c r="BV2749" s="4">
        <f>IF(Grandview_Inventory[[#This Row],[bldg_style]]="",1,_xlfn.IFNA(VLOOKUP(Grandview_Inventory[[#This Row],[decade]],Lookups!$F$29:$H$43,3,FALSE),1))</f>
        <v>1</v>
      </c>
      <c r="BW2749" s="4">
        <f>_xlfn.IFNA(VLOOKUP(Grandview_Inventory[[#This Row],[living_area_range]],Lookups!$F$47:$H$56,3,FALSE),1)</f>
        <v>1</v>
      </c>
      <c r="BX2749" s="4">
        <f>AVERAGE(Grandview_Inventory[[#This Row],[qual_adj]:[size_adj]])</f>
        <v>1</v>
      </c>
      <c r="BY2749" s="6">
        <f>IF(Grandview_Inventory[[#This Row],[pre_res]]&lt;0,0,Grandview_Inventory[[#This Row],[pre_res]]*Grandview_Inventory[[#This Row],[overall_adj]])</f>
        <v>0</v>
      </c>
      <c r="BZ2749" s="6">
        <f>(Grandview_Inventory[[#This Row],[sum_land]]-IF(Grandview_Inventory[[#This Row],[no_utilities]]=1,12000,0))/IF(Grandview_Inventory[[#This Row],[unbuildable]]=1,2,1)</f>
        <v>44691.316856156598</v>
      </c>
      <c r="CA2749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749">
        <f>ROUND(Grandview_Inventory[[#This Row],[det_value]]*Lookups!$M$28,-2)</f>
        <v>0</v>
      </c>
      <c r="CC274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49">
        <f>Grandview_Inventory[[#This Row],[final_det]]+Grandview_Inventory[[#This Row],[final_res]]</f>
        <v>0</v>
      </c>
      <c r="CE2749">
        <f>Grandview_Inventory[[#This Row],[final_land]]+Grandview_Inventory[[#This Row],[final_imp]]+Grandview_Inventory[[#This Row],[crop_value]]</f>
        <v>42500</v>
      </c>
      <c r="CG2749" t="str">
        <f t="shared" si="42"/>
        <v>update valuation set market_land =42500, market_bldg=0, market_total =42500, market_mdno =401, market_date ='9/10/2023' where link_id = (select link_id from parcel where parcel_year = '2024' and parcel_id = '23092342409');</v>
      </c>
    </row>
    <row r="2750" spans="1:85" x14ac:dyDescent="0.25">
      <c r="A2750">
        <v>23092342425</v>
      </c>
      <c r="B2750">
        <v>0.02</v>
      </c>
      <c r="C2750">
        <v>808</v>
      </c>
      <c r="D2750" t="s">
        <v>129</v>
      </c>
      <c r="E2750" t="s">
        <v>53</v>
      </c>
      <c r="F2750" t="s">
        <v>53</v>
      </c>
      <c r="G2750">
        <v>4</v>
      </c>
      <c r="H2750" t="s">
        <v>54</v>
      </c>
      <c r="I2750">
        <v>0</v>
      </c>
      <c r="J2750">
        <v>500</v>
      </c>
      <c r="K2750">
        <v>0.02</v>
      </c>
      <c r="L2750">
        <f>IF(Grandview_Inventory[[#This Row],[parcel_acres]]-Grandview_Inventory[[#This Row],[non_valued_acres]] =0,0,LN(Grandview_Inventory[[#This Row],[parcel_acres]]-Grandview_Inventory[[#This Row],[non_valued_acres]]))</f>
        <v>-3.912023005428146</v>
      </c>
      <c r="M2750">
        <v>0</v>
      </c>
      <c r="N2750">
        <v>0</v>
      </c>
      <c r="O2750">
        <v>0</v>
      </c>
      <c r="P2750">
        <v>13398.7528</v>
      </c>
      <c r="Q2750">
        <v>63903</v>
      </c>
      <c r="R2750">
        <f>(Grandview_Inventory[[#This Row],[ln_acres]]*Grandview_Inventory[[#This Row],[coeff]])+Grandview_Inventory[[#This Row],[const]]</f>
        <v>11486.770802355211</v>
      </c>
      <c r="AY2750">
        <v>0</v>
      </c>
      <c r="AZ2750">
        <v>0</v>
      </c>
      <c r="BE2750">
        <v>0</v>
      </c>
      <c r="BF2750">
        <v>15000</v>
      </c>
      <c r="BG2750">
        <v>0</v>
      </c>
      <c r="BH2750" s="6">
        <f>Grandview_Inventory[[#This Row],[land_extract]]*Lookups!$B$3</f>
        <v>13339.555918493941</v>
      </c>
      <c r="BI2750" s="6">
        <f>IF(Grandview_Inventory[[#This Row],[bldg_style]]="",0,Lookups!$B$2)</f>
        <v>0</v>
      </c>
      <c r="BJ2750" s="6">
        <f>_xlfn.IFNA(VLOOKUP(Grandview_Inventory[[#This Row],[quality]],Lookups!$H$2:$J$14,3,FALSE),0)</f>
        <v>0</v>
      </c>
      <c r="BK2750" s="6">
        <f>_xlfn.IFNA(VLOOKUP(Grandview_Inventory[[#This Row],[condition]],Lookups!$H$17:$J$24,3,FALSE),0)</f>
        <v>0</v>
      </c>
      <c r="BL2750" s="6">
        <f>Grandview_Inventory[[#This Row],[Eff_Age]]*Lookups!$B$14</f>
        <v>0</v>
      </c>
      <c r="BM2750" s="6">
        <f>Grandview_Inventory[[#This Row],[living_area]]*Lookups!$B$15</f>
        <v>0</v>
      </c>
      <c r="BN2750" s="6">
        <f>Grandview_Inventory[[#This Row],[Fin BSMT]]*Lookups!$B$16</f>
        <v>0</v>
      </c>
      <c r="BO2750" s="6">
        <f>(Grandview_Inventory[[#This Row],[att_gar]]+Grandview_Inventory[[#This Row],[bltin_gar]])*Lookups!$B$17</f>
        <v>0</v>
      </c>
      <c r="BP2750" s="6">
        <f>Grandview_Inventory[[#This Row],[Plumbing Fixtures]]*Lookups!$B$18</f>
        <v>0</v>
      </c>
      <c r="BQ2750" s="6">
        <f>Grandview_Inventory[[#This Row],[detatched_value]]*Lookups!$B$19</f>
        <v>0</v>
      </c>
      <c r="BR2750" s="6">
        <f>SUM(Grandview_Inventory[[#This Row],[Intercept]:[det_value]])*Grandview_Inventory[[#This Row],[res_pct]]</f>
        <v>0</v>
      </c>
      <c r="BS2750" s="6">
        <f>Grandview_Inventory[[#This Row],[land_value]]</f>
        <v>13339.555918493941</v>
      </c>
      <c r="BT2750" s="4">
        <f>_xlfn.IFNA(VLOOKUP(Grandview_Inventory[[#This Row],[quality]],Lookups!$A$26:$C$33,3,FALSE),1)</f>
        <v>1</v>
      </c>
      <c r="BU2750" s="4">
        <f>_xlfn.IFNA(VLOOKUP(Grandview_Inventory[[#This Row],[condition]],Lookups!$A$37:$C$44,3,FALSE),1)</f>
        <v>1</v>
      </c>
      <c r="BV2750" s="4">
        <f>IF(Grandview_Inventory[[#This Row],[bldg_style]]="",1,_xlfn.IFNA(VLOOKUP(Grandview_Inventory[[#This Row],[decade]],Lookups!$F$29:$H$43,3,FALSE),1))</f>
        <v>1</v>
      </c>
      <c r="BW2750" s="4">
        <f>_xlfn.IFNA(VLOOKUP(Grandview_Inventory[[#This Row],[living_area_range]],Lookups!$F$47:$H$56,3,FALSE),1)</f>
        <v>1</v>
      </c>
      <c r="BX2750" s="4">
        <f>AVERAGE(Grandview_Inventory[[#This Row],[qual_adj]:[size_adj]])</f>
        <v>1</v>
      </c>
      <c r="BY2750" s="6">
        <f>IF(Grandview_Inventory[[#This Row],[pre_res]]&lt;0,0,Grandview_Inventory[[#This Row],[pre_res]]*Grandview_Inventory[[#This Row],[overall_adj]])</f>
        <v>0</v>
      </c>
      <c r="BZ2750" s="6">
        <f>(Grandview_Inventory[[#This Row],[sum_land]]-IF(Grandview_Inventory[[#This Row],[no_utilities]]=1,12000,0))/IF(Grandview_Inventory[[#This Row],[unbuildable]]=1,2,1)</f>
        <v>13339.555918493941</v>
      </c>
      <c r="CA2750">
        <f>IF(ROUND(Grandview_Inventory[[#This Row],[adj_land]]*Lookups!$M$28,-2)&lt;Grandview_Inventory[[#This Row],[min_land]],Grandview_Inventory[[#This Row],[min_land]],ROUND(Grandview_Inventory[[#This Row],[adj_land]]*Lookups!$M$28,-2))</f>
        <v>15000</v>
      </c>
      <c r="CB2750">
        <f>ROUND(Grandview_Inventory[[#This Row],[det_value]]*Lookups!$M$28,-2)</f>
        <v>0</v>
      </c>
      <c r="CC275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0">
        <f>Grandview_Inventory[[#This Row],[final_det]]+Grandview_Inventory[[#This Row],[final_res]]</f>
        <v>0</v>
      </c>
      <c r="CE2750">
        <f>Grandview_Inventory[[#This Row],[final_land]]+Grandview_Inventory[[#This Row],[final_imp]]+Grandview_Inventory[[#This Row],[crop_value]]</f>
        <v>15000</v>
      </c>
      <c r="CG2750" t="str">
        <f t="shared" si="42"/>
        <v>update valuation set market_land =15000, market_bldg=0, market_total =15000, market_mdno =401, market_date ='9/10/2023' where link_id = (select link_id from parcel where parcel_year = '2024' and parcel_id = '23092342425');</v>
      </c>
    </row>
    <row r="2751" spans="1:85" x14ac:dyDescent="0.25">
      <c r="A2751">
        <v>23092342438</v>
      </c>
      <c r="B2751">
        <v>0.03</v>
      </c>
      <c r="C2751">
        <v>1393</v>
      </c>
      <c r="D2751" t="s">
        <v>129</v>
      </c>
      <c r="E2751" t="s">
        <v>53</v>
      </c>
      <c r="F2751" t="s">
        <v>53</v>
      </c>
      <c r="G2751">
        <v>4</v>
      </c>
      <c r="H2751" t="s">
        <v>54</v>
      </c>
      <c r="I2751">
        <v>0</v>
      </c>
      <c r="J2751">
        <v>300</v>
      </c>
      <c r="K2751">
        <v>0.03</v>
      </c>
      <c r="L2751">
        <f>IF(Grandview_Inventory[[#This Row],[parcel_acres]]-Grandview_Inventory[[#This Row],[non_valued_acres]] =0,0,LN(Grandview_Inventory[[#This Row],[parcel_acres]]-Grandview_Inventory[[#This Row],[non_valued_acres]]))</f>
        <v>-3.5065578973199818</v>
      </c>
      <c r="M2751">
        <v>0</v>
      </c>
      <c r="N2751">
        <v>1</v>
      </c>
      <c r="O2751">
        <v>0</v>
      </c>
      <c r="P2751">
        <v>13398.7528</v>
      </c>
      <c r="Q2751">
        <v>63903</v>
      </c>
      <c r="R2751">
        <f>(Grandview_Inventory[[#This Row],[ln_acres]]*Grandview_Inventory[[#This Row],[coeff]])+Grandview_Inventory[[#This Row],[const]]</f>
        <v>16919.497554921778</v>
      </c>
      <c r="AY2751">
        <v>0</v>
      </c>
      <c r="AZ2751">
        <v>0</v>
      </c>
      <c r="BE2751">
        <v>0</v>
      </c>
      <c r="BF2751">
        <v>12000</v>
      </c>
      <c r="BG2751">
        <v>0</v>
      </c>
      <c r="BH2751" s="6">
        <f>Grandview_Inventory[[#This Row],[land_extract]]*Lookups!$B$3</f>
        <v>19648.566827887262</v>
      </c>
      <c r="BI2751" s="6">
        <f>IF(Grandview_Inventory[[#This Row],[bldg_style]]="",0,Lookups!$B$2)</f>
        <v>0</v>
      </c>
      <c r="BJ2751" s="6">
        <f>_xlfn.IFNA(VLOOKUP(Grandview_Inventory[[#This Row],[quality]],Lookups!$H$2:$J$14,3,FALSE),0)</f>
        <v>0</v>
      </c>
      <c r="BK2751" s="6">
        <f>_xlfn.IFNA(VLOOKUP(Grandview_Inventory[[#This Row],[condition]],Lookups!$H$17:$J$24,3,FALSE),0)</f>
        <v>0</v>
      </c>
      <c r="BL2751" s="6">
        <f>Grandview_Inventory[[#This Row],[Eff_Age]]*Lookups!$B$14</f>
        <v>0</v>
      </c>
      <c r="BM2751" s="6">
        <f>Grandview_Inventory[[#This Row],[living_area]]*Lookups!$B$15</f>
        <v>0</v>
      </c>
      <c r="BN2751" s="6">
        <f>Grandview_Inventory[[#This Row],[Fin BSMT]]*Lookups!$B$16</f>
        <v>0</v>
      </c>
      <c r="BO2751" s="6">
        <f>(Grandview_Inventory[[#This Row],[att_gar]]+Grandview_Inventory[[#This Row],[bltin_gar]])*Lookups!$B$17</f>
        <v>0</v>
      </c>
      <c r="BP2751" s="6">
        <f>Grandview_Inventory[[#This Row],[Plumbing Fixtures]]*Lookups!$B$18</f>
        <v>0</v>
      </c>
      <c r="BQ2751" s="6">
        <f>Grandview_Inventory[[#This Row],[detatched_value]]*Lookups!$B$19</f>
        <v>0</v>
      </c>
      <c r="BR2751" s="6">
        <f>SUM(Grandview_Inventory[[#This Row],[Intercept]:[det_value]])*Grandview_Inventory[[#This Row],[res_pct]]</f>
        <v>0</v>
      </c>
      <c r="BS2751" s="6">
        <f>Grandview_Inventory[[#This Row],[land_value]]</f>
        <v>19648.566827887262</v>
      </c>
      <c r="BT2751" s="4">
        <f>_xlfn.IFNA(VLOOKUP(Grandview_Inventory[[#This Row],[quality]],Lookups!$A$26:$C$33,3,FALSE),1)</f>
        <v>1</v>
      </c>
      <c r="BU2751" s="4">
        <f>_xlfn.IFNA(VLOOKUP(Grandview_Inventory[[#This Row],[condition]],Lookups!$A$37:$C$44,3,FALSE),1)</f>
        <v>1</v>
      </c>
      <c r="BV2751" s="4">
        <f>IF(Grandview_Inventory[[#This Row],[bldg_style]]="",1,_xlfn.IFNA(VLOOKUP(Grandview_Inventory[[#This Row],[decade]],Lookups!$F$29:$H$43,3,FALSE),1))</f>
        <v>1</v>
      </c>
      <c r="BW2751" s="4">
        <f>_xlfn.IFNA(VLOOKUP(Grandview_Inventory[[#This Row],[living_area_range]],Lookups!$F$47:$H$56,3,FALSE),1)</f>
        <v>1</v>
      </c>
      <c r="BX2751" s="4">
        <f>AVERAGE(Grandview_Inventory[[#This Row],[qual_adj]:[size_adj]])</f>
        <v>1</v>
      </c>
      <c r="BY2751" s="6">
        <f>IF(Grandview_Inventory[[#This Row],[pre_res]]&lt;0,0,Grandview_Inventory[[#This Row],[pre_res]]*Grandview_Inventory[[#This Row],[overall_adj]])</f>
        <v>0</v>
      </c>
      <c r="BZ2751" s="6">
        <f>(Grandview_Inventory[[#This Row],[sum_land]]-IF(Grandview_Inventory[[#This Row],[no_utilities]]=1,12000,0))/IF(Grandview_Inventory[[#This Row],[unbuildable]]=1,2,1)</f>
        <v>9824.2834139436309</v>
      </c>
      <c r="CA2751">
        <f>IF(ROUND(Grandview_Inventory[[#This Row],[adj_land]]*Lookups!$M$28,-2)&lt;Grandview_Inventory[[#This Row],[min_land]],Grandview_Inventory[[#This Row],[min_land]],ROUND(Grandview_Inventory[[#This Row],[adj_land]]*Lookups!$M$28,-2))</f>
        <v>12000</v>
      </c>
      <c r="CB2751">
        <f>ROUND(Grandview_Inventory[[#This Row],[det_value]]*Lookups!$M$28,-2)</f>
        <v>0</v>
      </c>
      <c r="CC275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1">
        <f>Grandview_Inventory[[#This Row],[final_det]]+Grandview_Inventory[[#This Row],[final_res]]</f>
        <v>0</v>
      </c>
      <c r="CE2751">
        <f>Grandview_Inventory[[#This Row],[final_land]]+Grandview_Inventory[[#This Row],[final_imp]]+Grandview_Inventory[[#This Row],[crop_value]]</f>
        <v>12000</v>
      </c>
      <c r="CG2751" t="str">
        <f t="shared" si="42"/>
        <v>update valuation set market_land =12000, market_bldg=0, market_total =12000, market_mdno =401, market_date ='9/10/2023' where link_id = (select link_id from parcel where parcel_year = '2024' and parcel_id = '23092342438');</v>
      </c>
    </row>
    <row r="2752" spans="1:85" x14ac:dyDescent="0.25">
      <c r="A2752">
        <v>23092342459</v>
      </c>
      <c r="B2752">
        <v>0.27</v>
      </c>
      <c r="C2752">
        <v>11857</v>
      </c>
      <c r="D2752" t="s">
        <v>129</v>
      </c>
      <c r="E2752" t="s">
        <v>53</v>
      </c>
      <c r="F2752" t="s">
        <v>53</v>
      </c>
      <c r="G2752">
        <v>4</v>
      </c>
      <c r="H2752" t="s">
        <v>54</v>
      </c>
      <c r="I2752">
        <v>14600</v>
      </c>
      <c r="J2752">
        <v>40500</v>
      </c>
      <c r="K2752">
        <v>0.27</v>
      </c>
      <c r="L275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752">
        <v>0</v>
      </c>
      <c r="N2752">
        <v>0</v>
      </c>
      <c r="O2752">
        <v>0</v>
      </c>
      <c r="P2752">
        <v>13398.7528</v>
      </c>
      <c r="Q2752">
        <v>63903</v>
      </c>
      <c r="R2752">
        <f>(Grandview_Inventory[[#This Row],[ln_acres]]*Grandview_Inventory[[#This Row],[coeff]])+Grandview_Inventory[[#This Row],[const]]</f>
        <v>46359.566512734265</v>
      </c>
      <c r="AY2752">
        <v>0</v>
      </c>
      <c r="AZ2752">
        <v>13300</v>
      </c>
      <c r="BE2752">
        <v>0</v>
      </c>
      <c r="BF2752">
        <v>15000</v>
      </c>
      <c r="BG2752">
        <v>0</v>
      </c>
      <c r="BH2752" s="6">
        <f>Grandview_Inventory[[#This Row],[land_extract]]*Lookups!$B$3</f>
        <v>53837.239420408718</v>
      </c>
      <c r="BI2752" s="6">
        <f>IF(Grandview_Inventory[[#This Row],[bldg_style]]="",0,Lookups!$B$2)</f>
        <v>0</v>
      </c>
      <c r="BJ2752" s="6">
        <f>_xlfn.IFNA(VLOOKUP(Grandview_Inventory[[#This Row],[quality]],Lookups!$H$2:$J$14,3,FALSE),0)</f>
        <v>0</v>
      </c>
      <c r="BK2752" s="6">
        <f>_xlfn.IFNA(VLOOKUP(Grandview_Inventory[[#This Row],[condition]],Lookups!$H$17:$J$24,3,FALSE),0)</f>
        <v>0</v>
      </c>
      <c r="BL2752" s="6">
        <f>Grandview_Inventory[[#This Row],[Eff_Age]]*Lookups!$B$14</f>
        <v>0</v>
      </c>
      <c r="BM2752" s="6">
        <f>Grandview_Inventory[[#This Row],[living_area]]*Lookups!$B$15</f>
        <v>0</v>
      </c>
      <c r="BN2752" s="6">
        <f>Grandview_Inventory[[#This Row],[Fin BSMT]]*Lookups!$B$16</f>
        <v>0</v>
      </c>
      <c r="BO2752" s="6">
        <f>(Grandview_Inventory[[#This Row],[att_gar]]+Grandview_Inventory[[#This Row],[bltin_gar]])*Lookups!$B$17</f>
        <v>0</v>
      </c>
      <c r="BP2752" s="6">
        <f>Grandview_Inventory[[#This Row],[Plumbing Fixtures]]*Lookups!$B$18</f>
        <v>0</v>
      </c>
      <c r="BQ2752" s="6">
        <f>Grandview_Inventory[[#This Row],[detatched_value]]*Lookups!$B$19</f>
        <v>11262.50783</v>
      </c>
      <c r="BR2752" s="6">
        <f>SUM(Grandview_Inventory[[#This Row],[Intercept]:[det_value]])*Grandview_Inventory[[#This Row],[res_pct]]</f>
        <v>0</v>
      </c>
      <c r="BS2752" s="6">
        <f>Grandview_Inventory[[#This Row],[land_value]]</f>
        <v>53837.239420408718</v>
      </c>
      <c r="BT2752" s="4">
        <f>_xlfn.IFNA(VLOOKUP(Grandview_Inventory[[#This Row],[quality]],Lookups!$A$26:$C$33,3,FALSE),1)</f>
        <v>1</v>
      </c>
      <c r="BU2752" s="4">
        <f>_xlfn.IFNA(VLOOKUP(Grandview_Inventory[[#This Row],[condition]],Lookups!$A$37:$C$44,3,FALSE),1)</f>
        <v>1</v>
      </c>
      <c r="BV2752" s="4">
        <f>IF(Grandview_Inventory[[#This Row],[bldg_style]]="",1,_xlfn.IFNA(VLOOKUP(Grandview_Inventory[[#This Row],[decade]],Lookups!$F$29:$H$43,3,FALSE),1))</f>
        <v>1</v>
      </c>
      <c r="BW2752" s="4">
        <f>_xlfn.IFNA(VLOOKUP(Grandview_Inventory[[#This Row],[living_area_range]],Lookups!$F$47:$H$56,3,FALSE),1)</f>
        <v>1</v>
      </c>
      <c r="BX2752" s="4">
        <f>AVERAGE(Grandview_Inventory[[#This Row],[qual_adj]:[size_adj]])</f>
        <v>1</v>
      </c>
      <c r="BY2752" s="6">
        <f>IF(Grandview_Inventory[[#This Row],[pre_res]]&lt;0,0,Grandview_Inventory[[#This Row],[pre_res]]*Grandview_Inventory[[#This Row],[overall_adj]])</f>
        <v>0</v>
      </c>
      <c r="BZ2752" s="6">
        <f>(Grandview_Inventory[[#This Row],[sum_land]]-IF(Grandview_Inventory[[#This Row],[no_utilities]]=1,12000,0))/IF(Grandview_Inventory[[#This Row],[unbuildable]]=1,2,1)</f>
        <v>53837.239420408718</v>
      </c>
      <c r="CA275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752">
        <f>ROUND(Grandview_Inventory[[#This Row],[det_value]]*Lookups!$M$28,-2)</f>
        <v>10700</v>
      </c>
      <c r="CC275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2">
        <f>Grandview_Inventory[[#This Row],[final_det]]+Grandview_Inventory[[#This Row],[final_res]]</f>
        <v>10700</v>
      </c>
      <c r="CE2752">
        <f>Grandview_Inventory[[#This Row],[final_land]]+Grandview_Inventory[[#This Row],[final_imp]]+Grandview_Inventory[[#This Row],[crop_value]]</f>
        <v>61800</v>
      </c>
      <c r="CG2752" t="str">
        <f t="shared" si="42"/>
        <v>update valuation set market_land =51100, market_bldg=10700, market_total =61800, market_mdno =401, market_date ='9/10/2023' where link_id = (select link_id from parcel where parcel_year = '2024' and parcel_id = '23092342459');</v>
      </c>
    </row>
    <row r="2753" spans="1:85" x14ac:dyDescent="0.25">
      <c r="A2753">
        <v>23092342491</v>
      </c>
      <c r="B2753">
        <v>0.45</v>
      </c>
      <c r="C2753">
        <v>19413</v>
      </c>
      <c r="D2753" t="s">
        <v>129</v>
      </c>
      <c r="E2753" t="s">
        <v>53</v>
      </c>
      <c r="F2753" t="s">
        <v>53</v>
      </c>
      <c r="G2753">
        <v>4</v>
      </c>
      <c r="H2753" t="s">
        <v>54</v>
      </c>
      <c r="I2753">
        <v>0</v>
      </c>
      <c r="J2753">
        <v>34900</v>
      </c>
      <c r="K2753">
        <v>0.45</v>
      </c>
      <c r="L2753">
        <f>IF(Grandview_Inventory[[#This Row],[parcel_acres]]-Grandview_Inventory[[#This Row],[non_valued_acres]] =0,0,LN(Grandview_Inventory[[#This Row],[parcel_acres]]-Grandview_Inventory[[#This Row],[non_valued_acres]]))</f>
        <v>-0.79850769621777162</v>
      </c>
      <c r="M2753">
        <v>0</v>
      </c>
      <c r="N2753">
        <v>0</v>
      </c>
      <c r="O2753">
        <v>0</v>
      </c>
      <c r="P2753">
        <v>13398.7528</v>
      </c>
      <c r="Q2753">
        <v>63903</v>
      </c>
      <c r="R2753">
        <f>(Grandview_Inventory[[#This Row],[ln_acres]]*Grandview_Inventory[[#This Row],[coeff]])+Grandview_Inventory[[#This Row],[const]]</f>
        <v>53203.992769480581</v>
      </c>
      <c r="AY2753">
        <v>0</v>
      </c>
      <c r="AZ2753">
        <v>0</v>
      </c>
      <c r="BE2753">
        <v>0</v>
      </c>
      <c r="BF2753">
        <v>15000</v>
      </c>
      <c r="BG2753">
        <v>0</v>
      </c>
      <c r="BH2753" s="6">
        <f>Grandview_Inventory[[#This Row],[land_extract]]*Lookups!$B$3</f>
        <v>61785.653152417319</v>
      </c>
      <c r="BI2753" s="6">
        <f>IF(Grandview_Inventory[[#This Row],[bldg_style]]="",0,Lookups!$B$2)</f>
        <v>0</v>
      </c>
      <c r="BJ2753" s="6">
        <f>_xlfn.IFNA(VLOOKUP(Grandview_Inventory[[#This Row],[quality]],Lookups!$H$2:$J$14,3,FALSE),0)</f>
        <v>0</v>
      </c>
      <c r="BK2753" s="6">
        <f>_xlfn.IFNA(VLOOKUP(Grandview_Inventory[[#This Row],[condition]],Lookups!$H$17:$J$24,3,FALSE),0)</f>
        <v>0</v>
      </c>
      <c r="BL2753" s="6">
        <f>Grandview_Inventory[[#This Row],[Eff_Age]]*Lookups!$B$14</f>
        <v>0</v>
      </c>
      <c r="BM2753" s="6">
        <f>Grandview_Inventory[[#This Row],[living_area]]*Lookups!$B$15</f>
        <v>0</v>
      </c>
      <c r="BN2753" s="6">
        <f>Grandview_Inventory[[#This Row],[Fin BSMT]]*Lookups!$B$16</f>
        <v>0</v>
      </c>
      <c r="BO2753" s="6">
        <f>(Grandview_Inventory[[#This Row],[att_gar]]+Grandview_Inventory[[#This Row],[bltin_gar]])*Lookups!$B$17</f>
        <v>0</v>
      </c>
      <c r="BP2753" s="6">
        <f>Grandview_Inventory[[#This Row],[Plumbing Fixtures]]*Lookups!$B$18</f>
        <v>0</v>
      </c>
      <c r="BQ2753" s="6">
        <f>Grandview_Inventory[[#This Row],[detatched_value]]*Lookups!$B$19</f>
        <v>0</v>
      </c>
      <c r="BR2753" s="6">
        <f>SUM(Grandview_Inventory[[#This Row],[Intercept]:[det_value]])*Grandview_Inventory[[#This Row],[res_pct]]</f>
        <v>0</v>
      </c>
      <c r="BS2753" s="6">
        <f>Grandview_Inventory[[#This Row],[land_value]]</f>
        <v>61785.653152417319</v>
      </c>
      <c r="BT2753" s="4">
        <f>_xlfn.IFNA(VLOOKUP(Grandview_Inventory[[#This Row],[quality]],Lookups!$A$26:$C$33,3,FALSE),1)</f>
        <v>1</v>
      </c>
      <c r="BU2753" s="4">
        <f>_xlfn.IFNA(VLOOKUP(Grandview_Inventory[[#This Row],[condition]],Lookups!$A$37:$C$44,3,FALSE),1)</f>
        <v>1</v>
      </c>
      <c r="BV2753" s="4">
        <f>IF(Grandview_Inventory[[#This Row],[bldg_style]]="",1,_xlfn.IFNA(VLOOKUP(Grandview_Inventory[[#This Row],[decade]],Lookups!$F$29:$H$43,3,FALSE),1))</f>
        <v>1</v>
      </c>
      <c r="BW2753" s="4">
        <f>_xlfn.IFNA(VLOOKUP(Grandview_Inventory[[#This Row],[living_area_range]],Lookups!$F$47:$H$56,3,FALSE),1)</f>
        <v>1</v>
      </c>
      <c r="BX2753" s="4">
        <f>AVERAGE(Grandview_Inventory[[#This Row],[qual_adj]:[size_adj]])</f>
        <v>1</v>
      </c>
      <c r="BY2753" s="6">
        <f>IF(Grandview_Inventory[[#This Row],[pre_res]]&lt;0,0,Grandview_Inventory[[#This Row],[pre_res]]*Grandview_Inventory[[#This Row],[overall_adj]])</f>
        <v>0</v>
      </c>
      <c r="BZ2753" s="6">
        <f>(Grandview_Inventory[[#This Row],[sum_land]]-IF(Grandview_Inventory[[#This Row],[no_utilities]]=1,12000,0))/IF(Grandview_Inventory[[#This Row],[unbuildable]]=1,2,1)</f>
        <v>61785.653152417319</v>
      </c>
      <c r="CA2753">
        <f>IF(ROUND(Grandview_Inventory[[#This Row],[adj_land]]*Lookups!$M$28,-2)&lt;Grandview_Inventory[[#This Row],[min_land]],Grandview_Inventory[[#This Row],[min_land]],ROUND(Grandview_Inventory[[#This Row],[adj_land]]*Lookups!$M$28,-2))</f>
        <v>58700</v>
      </c>
      <c r="CB2753">
        <f>ROUND(Grandview_Inventory[[#This Row],[det_value]]*Lookups!$M$28,-2)</f>
        <v>0</v>
      </c>
      <c r="CC275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3">
        <f>Grandview_Inventory[[#This Row],[final_det]]+Grandview_Inventory[[#This Row],[final_res]]</f>
        <v>0</v>
      </c>
      <c r="CE2753">
        <f>Grandview_Inventory[[#This Row],[final_land]]+Grandview_Inventory[[#This Row],[final_imp]]+Grandview_Inventory[[#This Row],[crop_value]]</f>
        <v>58700</v>
      </c>
      <c r="CG2753" t="str">
        <f t="shared" si="42"/>
        <v>update valuation set market_land =58700, market_bldg=0, market_total =58700, market_mdno =401, market_date ='9/10/2023' where link_id = (select link_id from parcel where parcel_year = '2024' and parcel_id = '23092342491');</v>
      </c>
    </row>
    <row r="2754" spans="1:85" x14ac:dyDescent="0.25">
      <c r="A2754">
        <v>23092344004</v>
      </c>
      <c r="B2754">
        <v>4.88</v>
      </c>
      <c r="C2754">
        <v>212625</v>
      </c>
      <c r="D2754" t="s">
        <v>129</v>
      </c>
      <c r="E2754" t="s">
        <v>53</v>
      </c>
      <c r="F2754" t="s">
        <v>53</v>
      </c>
      <c r="G2754">
        <v>4</v>
      </c>
      <c r="H2754" t="s">
        <v>54</v>
      </c>
      <c r="I2754">
        <v>17100</v>
      </c>
      <c r="J2754">
        <v>40700</v>
      </c>
      <c r="K2754">
        <v>4.88</v>
      </c>
      <c r="L2754">
        <f>IF(Grandview_Inventory[[#This Row],[parcel_acres]]-Grandview_Inventory[[#This Row],[non_valued_acres]] =0,0,LN(Grandview_Inventory[[#This Row],[parcel_acres]]-Grandview_Inventory[[#This Row],[non_valued_acres]]))</f>
        <v>1.5851452198650557</v>
      </c>
      <c r="M2754">
        <v>0</v>
      </c>
      <c r="N2754">
        <v>0</v>
      </c>
      <c r="O2754">
        <v>0</v>
      </c>
      <c r="P2754">
        <v>13398.7528</v>
      </c>
      <c r="Q2754">
        <v>63903</v>
      </c>
      <c r="R2754">
        <f>(Grandview_Inventory[[#This Row],[ln_acres]]*Grandview_Inventory[[#This Row],[coeff]])+Grandview_Inventory[[#This Row],[const]]</f>
        <v>85141.968953073534</v>
      </c>
      <c r="AY2754">
        <v>17100</v>
      </c>
      <c r="AZ2754">
        <v>0</v>
      </c>
      <c r="BE2754">
        <v>0</v>
      </c>
      <c r="BF2754">
        <v>15000</v>
      </c>
      <c r="BG2754">
        <v>0</v>
      </c>
      <c r="BH2754" s="6">
        <f>Grandview_Inventory[[#This Row],[land_extract]]*Lookups!$B$3</f>
        <v>98875.138661888122</v>
      </c>
      <c r="BI2754" s="6">
        <f>IF(Grandview_Inventory[[#This Row],[bldg_style]]="",0,Lookups!$B$2)</f>
        <v>0</v>
      </c>
      <c r="BJ2754" s="6">
        <f>_xlfn.IFNA(VLOOKUP(Grandview_Inventory[[#This Row],[quality]],Lookups!$H$2:$J$14,3,FALSE),0)</f>
        <v>0</v>
      </c>
      <c r="BK2754" s="6">
        <f>_xlfn.IFNA(VLOOKUP(Grandview_Inventory[[#This Row],[condition]],Lookups!$H$17:$J$24,3,FALSE),0)</f>
        <v>0</v>
      </c>
      <c r="BL2754" s="6">
        <f>Grandview_Inventory[[#This Row],[Eff_Age]]*Lookups!$B$14</f>
        <v>0</v>
      </c>
      <c r="BM2754" s="6">
        <f>Grandview_Inventory[[#This Row],[living_area]]*Lookups!$B$15</f>
        <v>0</v>
      </c>
      <c r="BN2754" s="6">
        <f>Grandview_Inventory[[#This Row],[Fin BSMT]]*Lookups!$B$16</f>
        <v>0</v>
      </c>
      <c r="BO2754" s="6">
        <f>(Grandview_Inventory[[#This Row],[att_gar]]+Grandview_Inventory[[#This Row],[bltin_gar]])*Lookups!$B$17</f>
        <v>0</v>
      </c>
      <c r="BP2754" s="6">
        <f>Grandview_Inventory[[#This Row],[Plumbing Fixtures]]*Lookups!$B$18</f>
        <v>0</v>
      </c>
      <c r="BQ2754" s="6">
        <f>Grandview_Inventory[[#This Row],[detatched_value]]*Lookups!$B$19</f>
        <v>0</v>
      </c>
      <c r="BR2754" s="6">
        <f>SUM(Grandview_Inventory[[#This Row],[Intercept]:[det_value]])*Grandview_Inventory[[#This Row],[res_pct]]</f>
        <v>0</v>
      </c>
      <c r="BS2754" s="6">
        <f>Grandview_Inventory[[#This Row],[land_value]]</f>
        <v>98875.138661888122</v>
      </c>
      <c r="BT2754" s="4">
        <f>_xlfn.IFNA(VLOOKUP(Grandview_Inventory[[#This Row],[quality]],Lookups!$A$26:$C$33,3,FALSE),1)</f>
        <v>1</v>
      </c>
      <c r="BU2754" s="4">
        <f>_xlfn.IFNA(VLOOKUP(Grandview_Inventory[[#This Row],[condition]],Lookups!$A$37:$C$44,3,FALSE),1)</f>
        <v>1</v>
      </c>
      <c r="BV2754" s="4">
        <f>IF(Grandview_Inventory[[#This Row],[bldg_style]]="",1,_xlfn.IFNA(VLOOKUP(Grandview_Inventory[[#This Row],[decade]],Lookups!$F$29:$H$43,3,FALSE),1))</f>
        <v>1</v>
      </c>
      <c r="BW2754" s="4">
        <f>_xlfn.IFNA(VLOOKUP(Grandview_Inventory[[#This Row],[living_area_range]],Lookups!$F$47:$H$56,3,FALSE),1)</f>
        <v>1</v>
      </c>
      <c r="BX2754" s="4">
        <f>AVERAGE(Grandview_Inventory[[#This Row],[qual_adj]:[size_adj]])</f>
        <v>1</v>
      </c>
      <c r="BY2754" s="6">
        <f>IF(Grandview_Inventory[[#This Row],[pre_res]]&lt;0,0,Grandview_Inventory[[#This Row],[pre_res]]*Grandview_Inventory[[#This Row],[overall_adj]])</f>
        <v>0</v>
      </c>
      <c r="BZ2754" s="6">
        <f>(Grandview_Inventory[[#This Row],[sum_land]]-IF(Grandview_Inventory[[#This Row],[no_utilities]]=1,12000,0))/IF(Grandview_Inventory[[#This Row],[unbuildable]]=1,2,1)</f>
        <v>98875.138661888122</v>
      </c>
      <c r="CA2754">
        <f>IF(ROUND(Grandview_Inventory[[#This Row],[adj_land]]*Lookups!$M$28,-2)&lt;Grandview_Inventory[[#This Row],[min_land]],Grandview_Inventory[[#This Row],[min_land]],ROUND(Grandview_Inventory[[#This Row],[adj_land]]*Lookups!$M$28,-2))</f>
        <v>93900</v>
      </c>
      <c r="CB2754">
        <f>ROUND(Grandview_Inventory[[#This Row],[det_value]]*Lookups!$M$28,-2)</f>
        <v>0</v>
      </c>
      <c r="CC275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4">
        <f>Grandview_Inventory[[#This Row],[final_det]]+Grandview_Inventory[[#This Row],[final_res]]</f>
        <v>0</v>
      </c>
      <c r="CE2754">
        <f>Grandview_Inventory[[#This Row],[final_land]]+Grandview_Inventory[[#This Row],[final_imp]]+Grandview_Inventory[[#This Row],[crop_value]]</f>
        <v>111000</v>
      </c>
      <c r="CG2754" t="str">
        <f t="shared" si="42"/>
        <v>update valuation set market_land =93900, market_bldg=0, market_total =111000, market_mdno =401, market_date ='9/10/2023' where link_id = (select link_id from parcel where parcel_year = '2024' and parcel_id = '23092344004');</v>
      </c>
    </row>
    <row r="2755" spans="1:85" x14ac:dyDescent="0.25">
      <c r="A2755">
        <v>23092344006</v>
      </c>
      <c r="B2755">
        <v>2.61</v>
      </c>
      <c r="C2755">
        <v>113797</v>
      </c>
      <c r="D2755" t="s">
        <v>129</v>
      </c>
      <c r="E2755" t="s">
        <v>53</v>
      </c>
      <c r="F2755" t="s">
        <v>53</v>
      </c>
      <c r="G2755">
        <v>4</v>
      </c>
      <c r="H2755" t="s">
        <v>54</v>
      </c>
      <c r="I2755">
        <v>9000</v>
      </c>
      <c r="J2755">
        <v>38800</v>
      </c>
      <c r="K2755">
        <v>2.61</v>
      </c>
      <c r="L2755">
        <f>IF(Grandview_Inventory[[#This Row],[parcel_acres]]-Grandview_Inventory[[#This Row],[non_valued_acres]] =0,0,LN(Grandview_Inventory[[#This Row],[parcel_acres]]-Grandview_Inventory[[#This Row],[non_valued_acres]]))</f>
        <v>0.95935022133460202</v>
      </c>
      <c r="M2755">
        <v>0</v>
      </c>
      <c r="N2755">
        <v>0</v>
      </c>
      <c r="O2755">
        <v>0</v>
      </c>
      <c r="P2755">
        <v>13398.7528</v>
      </c>
      <c r="Q2755">
        <v>63903</v>
      </c>
      <c r="R2755">
        <f>(Grandview_Inventory[[#This Row],[ln_acres]]*Grandview_Inventory[[#This Row],[coeff]])+Grandview_Inventory[[#This Row],[const]]</f>
        <v>76757.096464287621</v>
      </c>
      <c r="AY2755">
        <v>9000</v>
      </c>
      <c r="AZ2755">
        <v>0</v>
      </c>
      <c r="BE2755">
        <v>0</v>
      </c>
      <c r="BF2755">
        <v>15000</v>
      </c>
      <c r="BG2755">
        <v>0</v>
      </c>
      <c r="BH2755" s="6">
        <f>Grandview_Inventory[[#This Row],[land_extract]]*Lookups!$B$3</f>
        <v>89137.808879816759</v>
      </c>
      <c r="BI2755" s="6">
        <f>IF(Grandview_Inventory[[#This Row],[bldg_style]]="",0,Lookups!$B$2)</f>
        <v>0</v>
      </c>
      <c r="BJ2755" s="6">
        <f>_xlfn.IFNA(VLOOKUP(Grandview_Inventory[[#This Row],[quality]],Lookups!$H$2:$J$14,3,FALSE),0)</f>
        <v>0</v>
      </c>
      <c r="BK2755" s="6">
        <f>_xlfn.IFNA(VLOOKUP(Grandview_Inventory[[#This Row],[condition]],Lookups!$H$17:$J$24,3,FALSE),0)</f>
        <v>0</v>
      </c>
      <c r="BL2755" s="6">
        <f>Grandview_Inventory[[#This Row],[Eff_Age]]*Lookups!$B$14</f>
        <v>0</v>
      </c>
      <c r="BM2755" s="6">
        <f>Grandview_Inventory[[#This Row],[living_area]]*Lookups!$B$15</f>
        <v>0</v>
      </c>
      <c r="BN2755" s="6">
        <f>Grandview_Inventory[[#This Row],[Fin BSMT]]*Lookups!$B$16</f>
        <v>0</v>
      </c>
      <c r="BO2755" s="6">
        <f>(Grandview_Inventory[[#This Row],[att_gar]]+Grandview_Inventory[[#This Row],[bltin_gar]])*Lookups!$B$17</f>
        <v>0</v>
      </c>
      <c r="BP2755" s="6">
        <f>Grandview_Inventory[[#This Row],[Plumbing Fixtures]]*Lookups!$B$18</f>
        <v>0</v>
      </c>
      <c r="BQ2755" s="6">
        <f>Grandview_Inventory[[#This Row],[detatched_value]]*Lookups!$B$19</f>
        <v>0</v>
      </c>
      <c r="BR2755" s="6">
        <f>SUM(Grandview_Inventory[[#This Row],[Intercept]:[det_value]])*Grandview_Inventory[[#This Row],[res_pct]]</f>
        <v>0</v>
      </c>
      <c r="BS2755" s="6">
        <f>Grandview_Inventory[[#This Row],[land_value]]</f>
        <v>89137.808879816759</v>
      </c>
      <c r="BT2755" s="4">
        <f>_xlfn.IFNA(VLOOKUP(Grandview_Inventory[[#This Row],[quality]],Lookups!$A$26:$C$33,3,FALSE),1)</f>
        <v>1</v>
      </c>
      <c r="BU2755" s="4">
        <f>_xlfn.IFNA(VLOOKUP(Grandview_Inventory[[#This Row],[condition]],Lookups!$A$37:$C$44,3,FALSE),1)</f>
        <v>1</v>
      </c>
      <c r="BV2755" s="4">
        <f>IF(Grandview_Inventory[[#This Row],[bldg_style]]="",1,_xlfn.IFNA(VLOOKUP(Grandview_Inventory[[#This Row],[decade]],Lookups!$F$29:$H$43,3,FALSE),1))</f>
        <v>1</v>
      </c>
      <c r="BW2755" s="4">
        <f>_xlfn.IFNA(VLOOKUP(Grandview_Inventory[[#This Row],[living_area_range]],Lookups!$F$47:$H$56,3,FALSE),1)</f>
        <v>1</v>
      </c>
      <c r="BX2755" s="4">
        <f>AVERAGE(Grandview_Inventory[[#This Row],[qual_adj]:[size_adj]])</f>
        <v>1</v>
      </c>
      <c r="BY2755" s="6">
        <f>IF(Grandview_Inventory[[#This Row],[pre_res]]&lt;0,0,Grandview_Inventory[[#This Row],[pre_res]]*Grandview_Inventory[[#This Row],[overall_adj]])</f>
        <v>0</v>
      </c>
      <c r="BZ2755" s="6">
        <f>(Grandview_Inventory[[#This Row],[sum_land]]-IF(Grandview_Inventory[[#This Row],[no_utilities]]=1,12000,0))/IF(Grandview_Inventory[[#This Row],[unbuildable]]=1,2,1)</f>
        <v>89137.808879816759</v>
      </c>
      <c r="CA2755">
        <f>IF(ROUND(Grandview_Inventory[[#This Row],[adj_land]]*Lookups!$M$28,-2)&lt;Grandview_Inventory[[#This Row],[min_land]],Grandview_Inventory[[#This Row],[min_land]],ROUND(Grandview_Inventory[[#This Row],[adj_land]]*Lookups!$M$28,-2))</f>
        <v>84700</v>
      </c>
      <c r="CB2755">
        <f>ROUND(Grandview_Inventory[[#This Row],[det_value]]*Lookups!$M$28,-2)</f>
        <v>0</v>
      </c>
      <c r="CC275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5">
        <f>Grandview_Inventory[[#This Row],[final_det]]+Grandview_Inventory[[#This Row],[final_res]]</f>
        <v>0</v>
      </c>
      <c r="CE2755">
        <f>Grandview_Inventory[[#This Row],[final_land]]+Grandview_Inventory[[#This Row],[final_imp]]+Grandview_Inventory[[#This Row],[crop_value]]</f>
        <v>93700</v>
      </c>
      <c r="CG2755" t="str">
        <f t="shared" ref="CG2755:CG2818" si="44">"update valuation set market_land ="&amp;CA2755&amp;", market_bldg="&amp;CD2755&amp;", market_total ="&amp;CE2755&amp;", market_mdno ="&amp;$CG$1&amp;", market_date ='"&amp;TEXT($CH$1,"m/d/yyyy")&amp;"' where link_id = (select link_id from parcel where parcel_year = '2024' and parcel_id = '"&amp;A2755&amp;"');"</f>
        <v>update valuation set market_land =84700, market_bldg=0, market_total =93700, market_mdno =401, market_date ='9/10/2023' where link_id = (select link_id from parcel where parcel_year = '2024' and parcel_id = '23092344006');</v>
      </c>
    </row>
    <row r="2756" spans="1:85" x14ac:dyDescent="0.25">
      <c r="A2756">
        <v>23092344010</v>
      </c>
      <c r="B2756">
        <v>9.59</v>
      </c>
      <c r="C2756">
        <v>417815</v>
      </c>
      <c r="D2756" t="s">
        <v>129</v>
      </c>
      <c r="E2756" t="s">
        <v>53</v>
      </c>
      <c r="F2756" t="s">
        <v>53</v>
      </c>
      <c r="G2756">
        <v>4</v>
      </c>
      <c r="H2756" t="s">
        <v>54</v>
      </c>
      <c r="I2756">
        <v>0</v>
      </c>
      <c r="J2756">
        <v>124700</v>
      </c>
      <c r="K2756">
        <v>9.59</v>
      </c>
      <c r="L2756">
        <f>IF(Grandview_Inventory[[#This Row],[parcel_acres]]-Grandview_Inventory[[#This Row],[non_valued_acres]] =0,0,LN(Grandview_Inventory[[#This Row],[parcel_acres]]-Grandview_Inventory[[#This Row],[non_valued_acres]]))</f>
        <v>2.2607208888953467</v>
      </c>
      <c r="M2756">
        <v>0</v>
      </c>
      <c r="N2756">
        <v>0</v>
      </c>
      <c r="O2756">
        <v>0</v>
      </c>
      <c r="P2756">
        <v>13398.7528</v>
      </c>
      <c r="Q2756">
        <v>63903</v>
      </c>
      <c r="R2756">
        <f>(Grandview_Inventory[[#This Row],[ln_acres]]*Grandview_Inventory[[#This Row],[coeff]])+Grandview_Inventory[[#This Row],[const]]</f>
        <v>94193.840340105016</v>
      </c>
      <c r="AY2756">
        <v>0</v>
      </c>
      <c r="AZ2756">
        <v>0</v>
      </c>
      <c r="BE2756">
        <v>0</v>
      </c>
      <c r="BF2756">
        <v>15000</v>
      </c>
      <c r="BG2756">
        <v>0</v>
      </c>
      <c r="BH2756" s="6">
        <f>Grandview_Inventory[[#This Row],[land_extract]]*Lookups!$B$3</f>
        <v>109387.05246359503</v>
      </c>
      <c r="BI2756" s="6">
        <f>IF(Grandview_Inventory[[#This Row],[bldg_style]]="",0,Lookups!$B$2)</f>
        <v>0</v>
      </c>
      <c r="BJ2756" s="6">
        <f>_xlfn.IFNA(VLOOKUP(Grandview_Inventory[[#This Row],[quality]],Lookups!$H$2:$J$14,3,FALSE),0)</f>
        <v>0</v>
      </c>
      <c r="BK2756" s="6">
        <f>_xlfn.IFNA(VLOOKUP(Grandview_Inventory[[#This Row],[condition]],Lookups!$H$17:$J$24,3,FALSE),0)</f>
        <v>0</v>
      </c>
      <c r="BL2756" s="6">
        <f>Grandview_Inventory[[#This Row],[Eff_Age]]*Lookups!$B$14</f>
        <v>0</v>
      </c>
      <c r="BM2756" s="6">
        <f>Grandview_Inventory[[#This Row],[living_area]]*Lookups!$B$15</f>
        <v>0</v>
      </c>
      <c r="BN2756" s="6">
        <f>Grandview_Inventory[[#This Row],[Fin BSMT]]*Lookups!$B$16</f>
        <v>0</v>
      </c>
      <c r="BO2756" s="6">
        <f>(Grandview_Inventory[[#This Row],[att_gar]]+Grandview_Inventory[[#This Row],[bltin_gar]])*Lookups!$B$17</f>
        <v>0</v>
      </c>
      <c r="BP2756" s="6">
        <f>Grandview_Inventory[[#This Row],[Plumbing Fixtures]]*Lookups!$B$18</f>
        <v>0</v>
      </c>
      <c r="BQ2756" s="6">
        <f>Grandview_Inventory[[#This Row],[detatched_value]]*Lookups!$B$19</f>
        <v>0</v>
      </c>
      <c r="BR2756" s="6">
        <f>SUM(Grandview_Inventory[[#This Row],[Intercept]:[det_value]])*Grandview_Inventory[[#This Row],[res_pct]]</f>
        <v>0</v>
      </c>
      <c r="BS2756" s="6">
        <f>Grandview_Inventory[[#This Row],[land_value]]</f>
        <v>109387.05246359503</v>
      </c>
      <c r="BT2756" s="4">
        <f>_xlfn.IFNA(VLOOKUP(Grandview_Inventory[[#This Row],[quality]],Lookups!$A$26:$C$33,3,FALSE),1)</f>
        <v>1</v>
      </c>
      <c r="BU2756" s="4">
        <f>_xlfn.IFNA(VLOOKUP(Grandview_Inventory[[#This Row],[condition]],Lookups!$A$37:$C$44,3,FALSE),1)</f>
        <v>1</v>
      </c>
      <c r="BV2756" s="4">
        <f>IF(Grandview_Inventory[[#This Row],[bldg_style]]="",1,_xlfn.IFNA(VLOOKUP(Grandview_Inventory[[#This Row],[decade]],Lookups!$F$29:$H$43,3,FALSE),1))</f>
        <v>1</v>
      </c>
      <c r="BW2756" s="4">
        <f>_xlfn.IFNA(VLOOKUP(Grandview_Inventory[[#This Row],[living_area_range]],Lookups!$F$47:$H$56,3,FALSE),1)</f>
        <v>1</v>
      </c>
      <c r="BX2756" s="4">
        <f>AVERAGE(Grandview_Inventory[[#This Row],[qual_adj]:[size_adj]])</f>
        <v>1</v>
      </c>
      <c r="BY2756" s="6">
        <f>IF(Grandview_Inventory[[#This Row],[pre_res]]&lt;0,0,Grandview_Inventory[[#This Row],[pre_res]]*Grandview_Inventory[[#This Row],[overall_adj]])</f>
        <v>0</v>
      </c>
      <c r="BZ2756" s="6">
        <f>(Grandview_Inventory[[#This Row],[sum_land]]-IF(Grandview_Inventory[[#This Row],[no_utilities]]=1,12000,0))/IF(Grandview_Inventory[[#This Row],[unbuildable]]=1,2,1)</f>
        <v>109387.05246359503</v>
      </c>
      <c r="CA2756">
        <f>IF(ROUND(Grandview_Inventory[[#This Row],[adj_land]]*Lookups!$M$28,-2)&lt;Grandview_Inventory[[#This Row],[min_land]],Grandview_Inventory[[#This Row],[min_land]],ROUND(Grandview_Inventory[[#This Row],[adj_land]]*Lookups!$M$28,-2))</f>
        <v>103900</v>
      </c>
      <c r="CB2756">
        <f>ROUND(Grandview_Inventory[[#This Row],[det_value]]*Lookups!$M$28,-2)</f>
        <v>0</v>
      </c>
      <c r="CC275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6">
        <f>Grandview_Inventory[[#This Row],[final_det]]+Grandview_Inventory[[#This Row],[final_res]]</f>
        <v>0</v>
      </c>
      <c r="CE2756">
        <f>Grandview_Inventory[[#This Row],[final_land]]+Grandview_Inventory[[#This Row],[final_imp]]+Grandview_Inventory[[#This Row],[crop_value]]</f>
        <v>103900</v>
      </c>
      <c r="CG2756" t="str">
        <f t="shared" si="44"/>
        <v>update valuation set market_land =103900, market_bldg=0, market_total =103900, market_mdno =401, market_date ='9/10/2023' where link_id = (select link_id from parcel where parcel_year = '2024' and parcel_id = '23092344010');</v>
      </c>
    </row>
    <row r="2757" spans="1:85" x14ac:dyDescent="0.25">
      <c r="A2757">
        <v>23092414411</v>
      </c>
      <c r="B2757">
        <v>0.75</v>
      </c>
      <c r="C2757">
        <v>32597</v>
      </c>
      <c r="D2757" t="s">
        <v>129</v>
      </c>
      <c r="E2757" t="s">
        <v>53</v>
      </c>
      <c r="F2757" t="s">
        <v>53</v>
      </c>
      <c r="G2757">
        <v>4</v>
      </c>
      <c r="H2757" t="s">
        <v>54</v>
      </c>
      <c r="I2757">
        <v>0</v>
      </c>
      <c r="J2757">
        <v>22700</v>
      </c>
      <c r="K2757">
        <v>0.75</v>
      </c>
      <c r="L2757">
        <f>IF(Grandview_Inventory[[#This Row],[parcel_acres]]-Grandview_Inventory[[#This Row],[non_valued_acres]] =0,0,LN(Grandview_Inventory[[#This Row],[parcel_acres]]-Grandview_Inventory[[#This Row],[non_valued_acres]]))</f>
        <v>-0.2876820724517809</v>
      </c>
      <c r="M2757">
        <v>0</v>
      </c>
      <c r="N2757">
        <v>1</v>
      </c>
      <c r="O2757">
        <v>0</v>
      </c>
      <c r="P2757">
        <v>13398.7528</v>
      </c>
      <c r="Q2757">
        <v>63903</v>
      </c>
      <c r="R2757">
        <f>(Grandview_Inventory[[#This Row],[ln_acres]]*Grandview_Inventory[[#This Row],[coeff]])+Grandview_Inventory[[#This Row],[const]]</f>
        <v>60048.419026226897</v>
      </c>
      <c r="AY2757">
        <v>0</v>
      </c>
      <c r="AZ2757">
        <v>0</v>
      </c>
      <c r="BE2757">
        <v>0</v>
      </c>
      <c r="BF2757">
        <v>12000</v>
      </c>
      <c r="BG2757">
        <v>0</v>
      </c>
      <c r="BH2757" s="6">
        <f>Grandview_Inventory[[#This Row],[land_extract]]*Lookups!$B$3</f>
        <v>69734.06688442592</v>
      </c>
      <c r="BI2757" s="6">
        <f>IF(Grandview_Inventory[[#This Row],[bldg_style]]="",0,Lookups!$B$2)</f>
        <v>0</v>
      </c>
      <c r="BJ2757" s="6">
        <f>_xlfn.IFNA(VLOOKUP(Grandview_Inventory[[#This Row],[quality]],Lookups!$H$2:$J$14,3,FALSE),0)</f>
        <v>0</v>
      </c>
      <c r="BK2757" s="6">
        <f>_xlfn.IFNA(VLOOKUP(Grandview_Inventory[[#This Row],[condition]],Lookups!$H$17:$J$24,3,FALSE),0)</f>
        <v>0</v>
      </c>
      <c r="BL2757" s="6">
        <f>Grandview_Inventory[[#This Row],[Eff_Age]]*Lookups!$B$14</f>
        <v>0</v>
      </c>
      <c r="BM2757" s="6">
        <f>Grandview_Inventory[[#This Row],[living_area]]*Lookups!$B$15</f>
        <v>0</v>
      </c>
      <c r="BN2757" s="6">
        <f>Grandview_Inventory[[#This Row],[Fin BSMT]]*Lookups!$B$16</f>
        <v>0</v>
      </c>
      <c r="BO2757" s="6">
        <f>(Grandview_Inventory[[#This Row],[att_gar]]+Grandview_Inventory[[#This Row],[bltin_gar]])*Lookups!$B$17</f>
        <v>0</v>
      </c>
      <c r="BP2757" s="6">
        <f>Grandview_Inventory[[#This Row],[Plumbing Fixtures]]*Lookups!$B$18</f>
        <v>0</v>
      </c>
      <c r="BQ2757" s="6">
        <f>Grandview_Inventory[[#This Row],[detatched_value]]*Lookups!$B$19</f>
        <v>0</v>
      </c>
      <c r="BR2757" s="6">
        <f>SUM(Grandview_Inventory[[#This Row],[Intercept]:[det_value]])*Grandview_Inventory[[#This Row],[res_pct]]</f>
        <v>0</v>
      </c>
      <c r="BS2757" s="6">
        <f>Grandview_Inventory[[#This Row],[land_value]]</f>
        <v>69734.06688442592</v>
      </c>
      <c r="BT2757" s="4">
        <f>_xlfn.IFNA(VLOOKUP(Grandview_Inventory[[#This Row],[quality]],Lookups!$A$26:$C$33,3,FALSE),1)</f>
        <v>1</v>
      </c>
      <c r="BU2757" s="4">
        <f>_xlfn.IFNA(VLOOKUP(Grandview_Inventory[[#This Row],[condition]],Lookups!$A$37:$C$44,3,FALSE),1)</f>
        <v>1</v>
      </c>
      <c r="BV2757" s="4">
        <f>IF(Grandview_Inventory[[#This Row],[bldg_style]]="",1,_xlfn.IFNA(VLOOKUP(Grandview_Inventory[[#This Row],[decade]],Lookups!$F$29:$H$43,3,FALSE),1))</f>
        <v>1</v>
      </c>
      <c r="BW2757" s="4">
        <f>_xlfn.IFNA(VLOOKUP(Grandview_Inventory[[#This Row],[living_area_range]],Lookups!$F$47:$H$56,3,FALSE),1)</f>
        <v>1</v>
      </c>
      <c r="BX2757" s="4">
        <f>AVERAGE(Grandview_Inventory[[#This Row],[qual_adj]:[size_adj]])</f>
        <v>1</v>
      </c>
      <c r="BY2757" s="6">
        <f>IF(Grandview_Inventory[[#This Row],[pre_res]]&lt;0,0,Grandview_Inventory[[#This Row],[pre_res]]*Grandview_Inventory[[#This Row],[overall_adj]])</f>
        <v>0</v>
      </c>
      <c r="BZ2757" s="6">
        <f>(Grandview_Inventory[[#This Row],[sum_land]]-IF(Grandview_Inventory[[#This Row],[no_utilities]]=1,12000,0))/IF(Grandview_Inventory[[#This Row],[unbuildable]]=1,2,1)</f>
        <v>34867.03344221296</v>
      </c>
      <c r="CA2757">
        <f>IF(ROUND(Grandview_Inventory[[#This Row],[adj_land]]*Lookups!$M$28,-2)&lt;Grandview_Inventory[[#This Row],[min_land]],Grandview_Inventory[[#This Row],[min_land]],ROUND(Grandview_Inventory[[#This Row],[adj_land]]*Lookups!$M$28,-2))</f>
        <v>33100</v>
      </c>
      <c r="CB2757">
        <f>ROUND(Grandview_Inventory[[#This Row],[det_value]]*Lookups!$M$28,-2)</f>
        <v>0</v>
      </c>
      <c r="CC275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7">
        <f>Grandview_Inventory[[#This Row],[final_det]]+Grandview_Inventory[[#This Row],[final_res]]</f>
        <v>0</v>
      </c>
      <c r="CE2757">
        <f>Grandview_Inventory[[#This Row],[final_land]]+Grandview_Inventory[[#This Row],[final_imp]]+Grandview_Inventory[[#This Row],[crop_value]]</f>
        <v>33100</v>
      </c>
      <c r="CG2757" t="str">
        <f t="shared" si="44"/>
        <v>update valuation set market_land =33100, market_bldg=0, market_total =33100, market_mdno =401, market_date ='9/10/2023' where link_id = (select link_id from parcel where parcel_year = '2024' and parcel_id = '23092414411');</v>
      </c>
    </row>
    <row r="2758" spans="1:85" x14ac:dyDescent="0.25">
      <c r="A2758">
        <v>23092421020</v>
      </c>
      <c r="B2758">
        <v>0.1</v>
      </c>
      <c r="C2758" t="s">
        <v>129</v>
      </c>
      <c r="D2758" t="s">
        <v>129</v>
      </c>
      <c r="E2758" t="s">
        <v>53</v>
      </c>
      <c r="F2758" t="s">
        <v>53</v>
      </c>
      <c r="G2758">
        <v>4</v>
      </c>
      <c r="H2758" t="s">
        <v>54</v>
      </c>
      <c r="I2758">
        <v>0</v>
      </c>
      <c r="J2758">
        <v>500</v>
      </c>
      <c r="K2758">
        <v>0.1</v>
      </c>
      <c r="L2758">
        <f>IF(Grandview_Inventory[[#This Row],[parcel_acres]]-Grandview_Inventory[[#This Row],[non_valued_acres]] =0,0,LN(Grandview_Inventory[[#This Row],[parcel_acres]]-Grandview_Inventory[[#This Row],[non_valued_acres]]))</f>
        <v>-2.3025850929940455</v>
      </c>
      <c r="M2758">
        <v>0</v>
      </c>
      <c r="N2758">
        <v>0</v>
      </c>
      <c r="O2758">
        <v>0</v>
      </c>
      <c r="P2758">
        <v>13398.7528</v>
      </c>
      <c r="Q2758">
        <v>63903</v>
      </c>
      <c r="R2758">
        <f>(Grandview_Inventory[[#This Row],[ln_acres]]*Grandview_Inventory[[#This Row],[coeff]])+Grandview_Inventory[[#This Row],[const]]</f>
        <v>33051.231538007778</v>
      </c>
      <c r="AY2758">
        <v>0</v>
      </c>
      <c r="AZ2758">
        <v>0</v>
      </c>
      <c r="BE2758">
        <v>0</v>
      </c>
      <c r="BF2758">
        <v>15000</v>
      </c>
      <c r="BG2758">
        <v>0</v>
      </c>
      <c r="BH2758" s="6">
        <f>Grandview_Inventory[[#This Row],[land_extract]]*Lookups!$B$3</f>
        <v>38382.305946763277</v>
      </c>
      <c r="BI2758" s="6">
        <f>IF(Grandview_Inventory[[#This Row],[bldg_style]]="",0,Lookups!$B$2)</f>
        <v>0</v>
      </c>
      <c r="BJ2758" s="6">
        <f>_xlfn.IFNA(VLOOKUP(Grandview_Inventory[[#This Row],[quality]],Lookups!$H$2:$J$14,3,FALSE),0)</f>
        <v>0</v>
      </c>
      <c r="BK2758" s="6">
        <f>_xlfn.IFNA(VLOOKUP(Grandview_Inventory[[#This Row],[condition]],Lookups!$H$17:$J$24,3,FALSE),0)</f>
        <v>0</v>
      </c>
      <c r="BL2758" s="6">
        <f>Grandview_Inventory[[#This Row],[Eff_Age]]*Lookups!$B$14</f>
        <v>0</v>
      </c>
      <c r="BM2758" s="6">
        <f>Grandview_Inventory[[#This Row],[living_area]]*Lookups!$B$15</f>
        <v>0</v>
      </c>
      <c r="BN2758" s="6">
        <f>Grandview_Inventory[[#This Row],[Fin BSMT]]*Lookups!$B$16</f>
        <v>0</v>
      </c>
      <c r="BO2758" s="6">
        <f>(Grandview_Inventory[[#This Row],[att_gar]]+Grandview_Inventory[[#This Row],[bltin_gar]])*Lookups!$B$17</f>
        <v>0</v>
      </c>
      <c r="BP2758" s="6">
        <f>Grandview_Inventory[[#This Row],[Plumbing Fixtures]]*Lookups!$B$18</f>
        <v>0</v>
      </c>
      <c r="BQ2758" s="6">
        <f>Grandview_Inventory[[#This Row],[detatched_value]]*Lookups!$B$19</f>
        <v>0</v>
      </c>
      <c r="BR2758" s="6">
        <f>SUM(Grandview_Inventory[[#This Row],[Intercept]:[det_value]])*Grandview_Inventory[[#This Row],[res_pct]]</f>
        <v>0</v>
      </c>
      <c r="BS2758" s="6">
        <f>Grandview_Inventory[[#This Row],[land_value]]</f>
        <v>38382.305946763277</v>
      </c>
      <c r="BT2758" s="4">
        <f>_xlfn.IFNA(VLOOKUP(Grandview_Inventory[[#This Row],[quality]],Lookups!$A$26:$C$33,3,FALSE),1)</f>
        <v>1</v>
      </c>
      <c r="BU2758" s="4">
        <f>_xlfn.IFNA(VLOOKUP(Grandview_Inventory[[#This Row],[condition]],Lookups!$A$37:$C$44,3,FALSE),1)</f>
        <v>1</v>
      </c>
      <c r="BV2758" s="4">
        <f>IF(Grandview_Inventory[[#This Row],[bldg_style]]="",1,_xlfn.IFNA(VLOOKUP(Grandview_Inventory[[#This Row],[decade]],Lookups!$F$29:$H$43,3,FALSE),1))</f>
        <v>1</v>
      </c>
      <c r="BW2758" s="4">
        <f>_xlfn.IFNA(VLOOKUP(Grandview_Inventory[[#This Row],[living_area_range]],Lookups!$F$47:$H$56,3,FALSE),1)</f>
        <v>1</v>
      </c>
      <c r="BX2758" s="4">
        <f>AVERAGE(Grandview_Inventory[[#This Row],[qual_adj]:[size_adj]])</f>
        <v>1</v>
      </c>
      <c r="BY2758" s="6">
        <f>IF(Grandview_Inventory[[#This Row],[pre_res]]&lt;0,0,Grandview_Inventory[[#This Row],[pre_res]]*Grandview_Inventory[[#This Row],[overall_adj]])</f>
        <v>0</v>
      </c>
      <c r="BZ2758" s="6">
        <f>(Grandview_Inventory[[#This Row],[sum_land]]-IF(Grandview_Inventory[[#This Row],[no_utilities]]=1,12000,0))/IF(Grandview_Inventory[[#This Row],[unbuildable]]=1,2,1)</f>
        <v>38382.305946763277</v>
      </c>
      <c r="CA2758">
        <f>IF(ROUND(Grandview_Inventory[[#This Row],[adj_land]]*Lookups!$M$28,-2)&lt;Grandview_Inventory[[#This Row],[min_land]],Grandview_Inventory[[#This Row],[min_land]],ROUND(Grandview_Inventory[[#This Row],[adj_land]]*Lookups!$M$28,-2))</f>
        <v>36500</v>
      </c>
      <c r="CB2758">
        <f>ROUND(Grandview_Inventory[[#This Row],[det_value]]*Lookups!$M$28,-2)</f>
        <v>0</v>
      </c>
      <c r="CC275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8">
        <f>Grandview_Inventory[[#This Row],[final_det]]+Grandview_Inventory[[#This Row],[final_res]]</f>
        <v>0</v>
      </c>
      <c r="CE2758">
        <f>Grandview_Inventory[[#This Row],[final_land]]+Grandview_Inventory[[#This Row],[final_imp]]+Grandview_Inventory[[#This Row],[crop_value]]</f>
        <v>36500</v>
      </c>
      <c r="CG2758" t="str">
        <f t="shared" si="44"/>
        <v>update valuation set market_land =36500, market_bldg=0, market_total =36500, market_mdno =401, market_date ='9/10/2023' where link_id = (select link_id from parcel where parcel_year = '2024' and parcel_id = '23092421020');</v>
      </c>
    </row>
    <row r="2759" spans="1:85" x14ac:dyDescent="0.25">
      <c r="A2759">
        <v>23092421025</v>
      </c>
      <c r="B2759">
        <v>14.5</v>
      </c>
      <c r="C2759" t="s">
        <v>129</v>
      </c>
      <c r="D2759" t="s">
        <v>129</v>
      </c>
      <c r="E2759" t="s">
        <v>53</v>
      </c>
      <c r="F2759" t="s">
        <v>53</v>
      </c>
      <c r="G2759">
        <v>4</v>
      </c>
      <c r="H2759" t="s">
        <v>54</v>
      </c>
      <c r="I2759">
        <v>14300</v>
      </c>
      <c r="J2759">
        <v>72300</v>
      </c>
      <c r="K2759">
        <v>14.5</v>
      </c>
      <c r="L2759">
        <f>IF(Grandview_Inventory[[#This Row],[parcel_acres]]-Grandview_Inventory[[#This Row],[non_valued_acres]] =0,0,LN(Grandview_Inventory[[#This Row],[parcel_acres]]-Grandview_Inventory[[#This Row],[non_valued_acres]]))</f>
        <v>2.6741486494265287</v>
      </c>
      <c r="M2759">
        <v>0</v>
      </c>
      <c r="N2759">
        <v>0</v>
      </c>
      <c r="O2759">
        <v>0</v>
      </c>
      <c r="P2759">
        <v>13398.7528</v>
      </c>
      <c r="Q2759">
        <v>63903</v>
      </c>
      <c r="R2759">
        <f>(Grandview_Inventory[[#This Row],[ln_acres]]*Grandview_Inventory[[#This Row],[coeff]])+Grandview_Inventory[[#This Row],[const]]</f>
        <v>99733.256704119922</v>
      </c>
      <c r="AY2759">
        <v>14300</v>
      </c>
      <c r="AZ2759">
        <v>0</v>
      </c>
      <c r="BE2759">
        <v>0</v>
      </c>
      <c r="BF2759">
        <v>15000</v>
      </c>
      <c r="BG2759">
        <v>0</v>
      </c>
      <c r="BH2759" s="6">
        <f>Grandview_Inventory[[#This Row],[land_extract]]*Lookups!$B$3</f>
        <v>115819.96173070137</v>
      </c>
      <c r="BI2759" s="6">
        <f>IF(Grandview_Inventory[[#This Row],[bldg_style]]="",0,Lookups!$B$2)</f>
        <v>0</v>
      </c>
      <c r="BJ2759" s="6">
        <f>_xlfn.IFNA(VLOOKUP(Grandview_Inventory[[#This Row],[quality]],Lookups!$H$2:$J$14,3,FALSE),0)</f>
        <v>0</v>
      </c>
      <c r="BK2759" s="6">
        <f>_xlfn.IFNA(VLOOKUP(Grandview_Inventory[[#This Row],[condition]],Lookups!$H$17:$J$24,3,FALSE),0)</f>
        <v>0</v>
      </c>
      <c r="BL2759" s="6">
        <f>Grandview_Inventory[[#This Row],[Eff_Age]]*Lookups!$B$14</f>
        <v>0</v>
      </c>
      <c r="BM2759" s="6">
        <f>Grandview_Inventory[[#This Row],[living_area]]*Lookups!$B$15</f>
        <v>0</v>
      </c>
      <c r="BN2759" s="6">
        <f>Grandview_Inventory[[#This Row],[Fin BSMT]]*Lookups!$B$16</f>
        <v>0</v>
      </c>
      <c r="BO2759" s="6">
        <f>(Grandview_Inventory[[#This Row],[att_gar]]+Grandview_Inventory[[#This Row],[bltin_gar]])*Lookups!$B$17</f>
        <v>0</v>
      </c>
      <c r="BP2759" s="6">
        <f>Grandview_Inventory[[#This Row],[Plumbing Fixtures]]*Lookups!$B$18</f>
        <v>0</v>
      </c>
      <c r="BQ2759" s="6">
        <f>Grandview_Inventory[[#This Row],[detatched_value]]*Lookups!$B$19</f>
        <v>0</v>
      </c>
      <c r="BR2759" s="6">
        <f>SUM(Grandview_Inventory[[#This Row],[Intercept]:[det_value]])*Grandview_Inventory[[#This Row],[res_pct]]</f>
        <v>0</v>
      </c>
      <c r="BS2759" s="6">
        <f>Grandview_Inventory[[#This Row],[land_value]]</f>
        <v>115819.96173070137</v>
      </c>
      <c r="BT2759" s="4">
        <f>_xlfn.IFNA(VLOOKUP(Grandview_Inventory[[#This Row],[quality]],Lookups!$A$26:$C$33,3,FALSE),1)</f>
        <v>1</v>
      </c>
      <c r="BU2759" s="4">
        <f>_xlfn.IFNA(VLOOKUP(Grandview_Inventory[[#This Row],[condition]],Lookups!$A$37:$C$44,3,FALSE),1)</f>
        <v>1</v>
      </c>
      <c r="BV2759" s="4">
        <f>IF(Grandview_Inventory[[#This Row],[bldg_style]]="",1,_xlfn.IFNA(VLOOKUP(Grandview_Inventory[[#This Row],[decade]],Lookups!$F$29:$H$43,3,FALSE),1))</f>
        <v>1</v>
      </c>
      <c r="BW2759" s="4">
        <f>_xlfn.IFNA(VLOOKUP(Grandview_Inventory[[#This Row],[living_area_range]],Lookups!$F$47:$H$56,3,FALSE),1)</f>
        <v>1</v>
      </c>
      <c r="BX2759" s="4">
        <f>AVERAGE(Grandview_Inventory[[#This Row],[qual_adj]:[size_adj]])</f>
        <v>1</v>
      </c>
      <c r="BY2759" s="6">
        <f>IF(Grandview_Inventory[[#This Row],[pre_res]]&lt;0,0,Grandview_Inventory[[#This Row],[pre_res]]*Grandview_Inventory[[#This Row],[overall_adj]])</f>
        <v>0</v>
      </c>
      <c r="BZ2759" s="6">
        <f>(Grandview_Inventory[[#This Row],[sum_land]]-IF(Grandview_Inventory[[#This Row],[no_utilities]]=1,12000,0))/IF(Grandview_Inventory[[#This Row],[unbuildable]]=1,2,1)</f>
        <v>115819.96173070137</v>
      </c>
      <c r="CA2759">
        <f>IF(ROUND(Grandview_Inventory[[#This Row],[adj_land]]*Lookups!$M$28,-2)&lt;Grandview_Inventory[[#This Row],[min_land]],Grandview_Inventory[[#This Row],[min_land]],ROUND(Grandview_Inventory[[#This Row],[adj_land]]*Lookups!$M$28,-2))</f>
        <v>110000</v>
      </c>
      <c r="CB2759">
        <f>ROUND(Grandview_Inventory[[#This Row],[det_value]]*Lookups!$M$28,-2)</f>
        <v>0</v>
      </c>
      <c r="CC275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59">
        <f>Grandview_Inventory[[#This Row],[final_det]]+Grandview_Inventory[[#This Row],[final_res]]</f>
        <v>0</v>
      </c>
      <c r="CE2759">
        <f>Grandview_Inventory[[#This Row],[final_land]]+Grandview_Inventory[[#This Row],[final_imp]]+Grandview_Inventory[[#This Row],[crop_value]]</f>
        <v>124300</v>
      </c>
      <c r="CG2759" t="str">
        <f t="shared" si="44"/>
        <v>update valuation set market_land =110000, market_bldg=0, market_total =124300, market_mdno =401, market_date ='9/10/2023' where link_id = (select link_id from parcel where parcel_year = '2024' and parcel_id = '23092421025');</v>
      </c>
    </row>
    <row r="2760" spans="1:85" x14ac:dyDescent="0.25">
      <c r="A2760">
        <v>23092422409</v>
      </c>
      <c r="B2760">
        <v>0.31</v>
      </c>
      <c r="C2760">
        <v>13680</v>
      </c>
      <c r="D2760" t="s">
        <v>129</v>
      </c>
      <c r="E2760" t="s">
        <v>53</v>
      </c>
      <c r="F2760" t="s">
        <v>53</v>
      </c>
      <c r="G2760">
        <v>4</v>
      </c>
      <c r="H2760" t="s">
        <v>54</v>
      </c>
      <c r="I2760">
        <v>0</v>
      </c>
      <c r="J2760">
        <v>34200</v>
      </c>
      <c r="K2760">
        <v>0.31</v>
      </c>
      <c r="L2760">
        <f>IF(Grandview_Inventory[[#This Row],[parcel_acres]]-Grandview_Inventory[[#This Row],[non_valued_acres]] =0,0,LN(Grandview_Inventory[[#This Row],[parcel_acres]]-Grandview_Inventory[[#This Row],[non_valued_acres]]))</f>
        <v>-1.1711829815029451</v>
      </c>
      <c r="M2760">
        <v>0</v>
      </c>
      <c r="N2760">
        <v>0</v>
      </c>
      <c r="O2760">
        <v>0</v>
      </c>
      <c r="P2760">
        <v>13398.7528</v>
      </c>
      <c r="Q2760">
        <v>63903</v>
      </c>
      <c r="R2760">
        <f>(Grandview_Inventory[[#This Row],[ln_acres]]*Grandview_Inventory[[#This Row],[coeff]])+Grandview_Inventory[[#This Row],[const]]</f>
        <v>48210.608747275066</v>
      </c>
      <c r="AY2760">
        <v>0</v>
      </c>
      <c r="AZ2760">
        <v>0</v>
      </c>
      <c r="BE2760">
        <v>0</v>
      </c>
      <c r="BF2760">
        <v>15000</v>
      </c>
      <c r="BG2760">
        <v>0</v>
      </c>
      <c r="BH2760" s="6">
        <f>Grandview_Inventory[[#This Row],[land_extract]]*Lookups!$B$3</f>
        <v>55986.849769566914</v>
      </c>
      <c r="BI2760" s="6">
        <f>IF(Grandview_Inventory[[#This Row],[bldg_style]]="",0,Lookups!$B$2)</f>
        <v>0</v>
      </c>
      <c r="BJ2760" s="6">
        <f>_xlfn.IFNA(VLOOKUP(Grandview_Inventory[[#This Row],[quality]],Lookups!$H$2:$J$14,3,FALSE),0)</f>
        <v>0</v>
      </c>
      <c r="BK2760" s="6">
        <f>_xlfn.IFNA(VLOOKUP(Grandview_Inventory[[#This Row],[condition]],Lookups!$H$17:$J$24,3,FALSE),0)</f>
        <v>0</v>
      </c>
      <c r="BL2760" s="6">
        <f>Grandview_Inventory[[#This Row],[Eff_Age]]*Lookups!$B$14</f>
        <v>0</v>
      </c>
      <c r="BM2760" s="6">
        <f>Grandview_Inventory[[#This Row],[living_area]]*Lookups!$B$15</f>
        <v>0</v>
      </c>
      <c r="BN2760" s="6">
        <f>Grandview_Inventory[[#This Row],[Fin BSMT]]*Lookups!$B$16</f>
        <v>0</v>
      </c>
      <c r="BO2760" s="6">
        <f>(Grandview_Inventory[[#This Row],[att_gar]]+Grandview_Inventory[[#This Row],[bltin_gar]])*Lookups!$B$17</f>
        <v>0</v>
      </c>
      <c r="BP2760" s="6">
        <f>Grandview_Inventory[[#This Row],[Plumbing Fixtures]]*Lookups!$B$18</f>
        <v>0</v>
      </c>
      <c r="BQ2760" s="6">
        <f>Grandview_Inventory[[#This Row],[detatched_value]]*Lookups!$B$19</f>
        <v>0</v>
      </c>
      <c r="BR2760" s="6">
        <f>SUM(Grandview_Inventory[[#This Row],[Intercept]:[det_value]])*Grandview_Inventory[[#This Row],[res_pct]]</f>
        <v>0</v>
      </c>
      <c r="BS2760" s="6">
        <f>Grandview_Inventory[[#This Row],[land_value]]</f>
        <v>55986.849769566914</v>
      </c>
      <c r="BT2760" s="4">
        <f>_xlfn.IFNA(VLOOKUP(Grandview_Inventory[[#This Row],[quality]],Lookups!$A$26:$C$33,3,FALSE),1)</f>
        <v>1</v>
      </c>
      <c r="BU2760" s="4">
        <f>_xlfn.IFNA(VLOOKUP(Grandview_Inventory[[#This Row],[condition]],Lookups!$A$37:$C$44,3,FALSE),1)</f>
        <v>1</v>
      </c>
      <c r="BV2760" s="4">
        <f>IF(Grandview_Inventory[[#This Row],[bldg_style]]="",1,_xlfn.IFNA(VLOOKUP(Grandview_Inventory[[#This Row],[decade]],Lookups!$F$29:$H$43,3,FALSE),1))</f>
        <v>1</v>
      </c>
      <c r="BW2760" s="4">
        <f>_xlfn.IFNA(VLOOKUP(Grandview_Inventory[[#This Row],[living_area_range]],Lookups!$F$47:$H$56,3,FALSE),1)</f>
        <v>1</v>
      </c>
      <c r="BX2760" s="4">
        <f>AVERAGE(Grandview_Inventory[[#This Row],[qual_adj]:[size_adj]])</f>
        <v>1</v>
      </c>
      <c r="BY2760" s="6">
        <f>IF(Grandview_Inventory[[#This Row],[pre_res]]&lt;0,0,Grandview_Inventory[[#This Row],[pre_res]]*Grandview_Inventory[[#This Row],[overall_adj]])</f>
        <v>0</v>
      </c>
      <c r="BZ2760" s="6">
        <f>(Grandview_Inventory[[#This Row],[sum_land]]-IF(Grandview_Inventory[[#This Row],[no_utilities]]=1,12000,0))/IF(Grandview_Inventory[[#This Row],[unbuildable]]=1,2,1)</f>
        <v>55986.849769566914</v>
      </c>
      <c r="CA2760">
        <f>IF(ROUND(Grandview_Inventory[[#This Row],[adj_land]]*Lookups!$M$28,-2)&lt;Grandview_Inventory[[#This Row],[min_land]],Grandview_Inventory[[#This Row],[min_land]],ROUND(Grandview_Inventory[[#This Row],[adj_land]]*Lookups!$M$28,-2))</f>
        <v>53200</v>
      </c>
      <c r="CB2760">
        <f>ROUND(Grandview_Inventory[[#This Row],[det_value]]*Lookups!$M$28,-2)</f>
        <v>0</v>
      </c>
      <c r="CC276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0">
        <f>Grandview_Inventory[[#This Row],[final_det]]+Grandview_Inventory[[#This Row],[final_res]]</f>
        <v>0</v>
      </c>
      <c r="CE2760">
        <f>Grandview_Inventory[[#This Row],[final_land]]+Grandview_Inventory[[#This Row],[final_imp]]+Grandview_Inventory[[#This Row],[crop_value]]</f>
        <v>53200</v>
      </c>
      <c r="CG2760" t="str">
        <f t="shared" si="44"/>
        <v>update valuation set market_land =53200, market_bldg=0, market_total =53200, market_mdno =401, market_date ='9/10/2023' where link_id = (select link_id from parcel where parcel_year = '2024' and parcel_id = '23092422409');</v>
      </c>
    </row>
    <row r="2761" spans="1:85" x14ac:dyDescent="0.25">
      <c r="A2761">
        <v>23092422417</v>
      </c>
      <c r="B2761">
        <v>0.14000000000000001</v>
      </c>
      <c r="C2761">
        <v>6100</v>
      </c>
      <c r="D2761" t="s">
        <v>129</v>
      </c>
      <c r="E2761" t="s">
        <v>53</v>
      </c>
      <c r="F2761" t="s">
        <v>53</v>
      </c>
      <c r="G2761">
        <v>4</v>
      </c>
      <c r="H2761" t="s">
        <v>54</v>
      </c>
      <c r="I2761">
        <v>0</v>
      </c>
      <c r="J2761">
        <v>15900</v>
      </c>
      <c r="K2761">
        <v>0.14000000000000001</v>
      </c>
      <c r="L2761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2761">
        <v>0</v>
      </c>
      <c r="N2761">
        <v>1</v>
      </c>
      <c r="O2761">
        <v>0</v>
      </c>
      <c r="P2761">
        <v>13398.7528</v>
      </c>
      <c r="Q2761">
        <v>63903</v>
      </c>
      <c r="R2761">
        <f>(Grandview_Inventory[[#This Row],[ln_acres]]*Grandview_Inventory[[#This Row],[coeff]])+Grandview_Inventory[[#This Row],[const]]</f>
        <v>37559.539860558507</v>
      </c>
      <c r="AY2761">
        <v>0</v>
      </c>
      <c r="AZ2761">
        <v>0</v>
      </c>
      <c r="BE2761">
        <v>0</v>
      </c>
      <c r="BF2761">
        <v>12000</v>
      </c>
      <c r="BG2761">
        <v>0</v>
      </c>
      <c r="BH2761" s="6">
        <f>Grandview_Inventory[[#This Row],[land_extract]]*Lookups!$B$3</f>
        <v>43617.792229308972</v>
      </c>
      <c r="BI2761" s="6">
        <f>IF(Grandview_Inventory[[#This Row],[bldg_style]]="",0,Lookups!$B$2)</f>
        <v>0</v>
      </c>
      <c r="BJ2761" s="6">
        <f>_xlfn.IFNA(VLOOKUP(Grandview_Inventory[[#This Row],[quality]],Lookups!$H$2:$J$14,3,FALSE),0)</f>
        <v>0</v>
      </c>
      <c r="BK2761" s="6">
        <f>_xlfn.IFNA(VLOOKUP(Grandview_Inventory[[#This Row],[condition]],Lookups!$H$17:$J$24,3,FALSE),0)</f>
        <v>0</v>
      </c>
      <c r="BL2761" s="6">
        <f>Grandview_Inventory[[#This Row],[Eff_Age]]*Lookups!$B$14</f>
        <v>0</v>
      </c>
      <c r="BM2761" s="6">
        <f>Grandview_Inventory[[#This Row],[living_area]]*Lookups!$B$15</f>
        <v>0</v>
      </c>
      <c r="BN2761" s="6">
        <f>Grandview_Inventory[[#This Row],[Fin BSMT]]*Lookups!$B$16</f>
        <v>0</v>
      </c>
      <c r="BO2761" s="6">
        <f>(Grandview_Inventory[[#This Row],[att_gar]]+Grandview_Inventory[[#This Row],[bltin_gar]])*Lookups!$B$17</f>
        <v>0</v>
      </c>
      <c r="BP2761" s="6">
        <f>Grandview_Inventory[[#This Row],[Plumbing Fixtures]]*Lookups!$B$18</f>
        <v>0</v>
      </c>
      <c r="BQ2761" s="6">
        <f>Grandview_Inventory[[#This Row],[detatched_value]]*Lookups!$B$19</f>
        <v>0</v>
      </c>
      <c r="BR2761" s="6">
        <f>SUM(Grandview_Inventory[[#This Row],[Intercept]:[det_value]])*Grandview_Inventory[[#This Row],[res_pct]]</f>
        <v>0</v>
      </c>
      <c r="BS2761" s="6">
        <f>Grandview_Inventory[[#This Row],[land_value]]</f>
        <v>43617.792229308972</v>
      </c>
      <c r="BT2761" s="4">
        <f>_xlfn.IFNA(VLOOKUP(Grandview_Inventory[[#This Row],[quality]],Lookups!$A$26:$C$33,3,FALSE),1)</f>
        <v>1</v>
      </c>
      <c r="BU2761" s="4">
        <f>_xlfn.IFNA(VLOOKUP(Grandview_Inventory[[#This Row],[condition]],Lookups!$A$37:$C$44,3,FALSE),1)</f>
        <v>1</v>
      </c>
      <c r="BV2761" s="4">
        <f>IF(Grandview_Inventory[[#This Row],[bldg_style]]="",1,_xlfn.IFNA(VLOOKUP(Grandview_Inventory[[#This Row],[decade]],Lookups!$F$29:$H$43,3,FALSE),1))</f>
        <v>1</v>
      </c>
      <c r="BW2761" s="4">
        <f>_xlfn.IFNA(VLOOKUP(Grandview_Inventory[[#This Row],[living_area_range]],Lookups!$F$47:$H$56,3,FALSE),1)</f>
        <v>1</v>
      </c>
      <c r="BX2761" s="4">
        <f>AVERAGE(Grandview_Inventory[[#This Row],[qual_adj]:[size_adj]])</f>
        <v>1</v>
      </c>
      <c r="BY2761" s="6">
        <f>IF(Grandview_Inventory[[#This Row],[pre_res]]&lt;0,0,Grandview_Inventory[[#This Row],[pre_res]]*Grandview_Inventory[[#This Row],[overall_adj]])</f>
        <v>0</v>
      </c>
      <c r="BZ2761" s="6">
        <f>(Grandview_Inventory[[#This Row],[sum_land]]-IF(Grandview_Inventory[[#This Row],[no_utilities]]=1,12000,0))/IF(Grandview_Inventory[[#This Row],[unbuildable]]=1,2,1)</f>
        <v>21808.896114654486</v>
      </c>
      <c r="CA2761">
        <f>IF(ROUND(Grandview_Inventory[[#This Row],[adj_land]]*Lookups!$M$28,-2)&lt;Grandview_Inventory[[#This Row],[min_land]],Grandview_Inventory[[#This Row],[min_land]],ROUND(Grandview_Inventory[[#This Row],[adj_land]]*Lookups!$M$28,-2))</f>
        <v>20700</v>
      </c>
      <c r="CB2761">
        <f>ROUND(Grandview_Inventory[[#This Row],[det_value]]*Lookups!$M$28,-2)</f>
        <v>0</v>
      </c>
      <c r="CC276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1">
        <f>Grandview_Inventory[[#This Row],[final_det]]+Grandview_Inventory[[#This Row],[final_res]]</f>
        <v>0</v>
      </c>
      <c r="CE2761">
        <f>Grandview_Inventory[[#This Row],[final_land]]+Grandview_Inventory[[#This Row],[final_imp]]+Grandview_Inventory[[#This Row],[crop_value]]</f>
        <v>20700</v>
      </c>
      <c r="CG2761" t="str">
        <f t="shared" si="44"/>
        <v>update valuation set market_land =20700, market_bldg=0, market_total =20700, market_mdno =401, market_date ='9/10/2023' where link_id = (select link_id from parcel where parcel_year = '2024' and parcel_id = '23092422417');</v>
      </c>
    </row>
    <row r="2762" spans="1:85" x14ac:dyDescent="0.25">
      <c r="A2762">
        <v>23092423520</v>
      </c>
      <c r="B2762">
        <v>0.27</v>
      </c>
      <c r="C2762" t="s">
        <v>129</v>
      </c>
      <c r="D2762" t="s">
        <v>129</v>
      </c>
      <c r="E2762" t="s">
        <v>53</v>
      </c>
      <c r="F2762" t="s">
        <v>53</v>
      </c>
      <c r="G2762">
        <v>4</v>
      </c>
      <c r="H2762" t="s">
        <v>54</v>
      </c>
      <c r="I2762">
        <v>0</v>
      </c>
      <c r="J2762">
        <v>40000</v>
      </c>
      <c r="K2762">
        <v>0.27</v>
      </c>
      <c r="L2762">
        <f>IF(Grandview_Inventory[[#This Row],[parcel_acres]]-Grandview_Inventory[[#This Row],[non_valued_acres]] =0,0,LN(Grandview_Inventory[[#This Row],[parcel_acres]]-Grandview_Inventory[[#This Row],[non_valued_acres]]))</f>
        <v>-1.3093333199837622</v>
      </c>
      <c r="M2762">
        <v>0</v>
      </c>
      <c r="N2762">
        <v>0</v>
      </c>
      <c r="O2762">
        <v>0</v>
      </c>
      <c r="P2762">
        <v>13398.7528</v>
      </c>
      <c r="Q2762">
        <v>63903</v>
      </c>
      <c r="R2762">
        <f>(Grandview_Inventory[[#This Row],[ln_acres]]*Grandview_Inventory[[#This Row],[coeff]])+Grandview_Inventory[[#This Row],[const]]</f>
        <v>46359.566512734265</v>
      </c>
      <c r="AY2762">
        <v>0</v>
      </c>
      <c r="AZ2762">
        <v>0</v>
      </c>
      <c r="BE2762">
        <v>0</v>
      </c>
      <c r="BF2762">
        <v>15000</v>
      </c>
      <c r="BG2762">
        <v>0</v>
      </c>
      <c r="BH2762" s="6">
        <f>Grandview_Inventory[[#This Row],[land_extract]]*Lookups!$B$3</f>
        <v>53837.239420408718</v>
      </c>
      <c r="BI2762" s="6">
        <f>IF(Grandview_Inventory[[#This Row],[bldg_style]]="",0,Lookups!$B$2)</f>
        <v>0</v>
      </c>
      <c r="BJ2762" s="6">
        <f>_xlfn.IFNA(VLOOKUP(Grandview_Inventory[[#This Row],[quality]],Lookups!$H$2:$J$14,3,FALSE),0)</f>
        <v>0</v>
      </c>
      <c r="BK2762" s="6">
        <f>_xlfn.IFNA(VLOOKUP(Grandview_Inventory[[#This Row],[condition]],Lookups!$H$17:$J$24,3,FALSE),0)</f>
        <v>0</v>
      </c>
      <c r="BL2762" s="6">
        <f>Grandview_Inventory[[#This Row],[Eff_Age]]*Lookups!$B$14</f>
        <v>0</v>
      </c>
      <c r="BM2762" s="6">
        <f>Grandview_Inventory[[#This Row],[living_area]]*Lookups!$B$15</f>
        <v>0</v>
      </c>
      <c r="BN2762" s="6">
        <f>Grandview_Inventory[[#This Row],[Fin BSMT]]*Lookups!$B$16</f>
        <v>0</v>
      </c>
      <c r="BO2762" s="6">
        <f>(Grandview_Inventory[[#This Row],[att_gar]]+Grandview_Inventory[[#This Row],[bltin_gar]])*Lookups!$B$17</f>
        <v>0</v>
      </c>
      <c r="BP2762" s="6">
        <f>Grandview_Inventory[[#This Row],[Plumbing Fixtures]]*Lookups!$B$18</f>
        <v>0</v>
      </c>
      <c r="BQ2762" s="6">
        <f>Grandview_Inventory[[#This Row],[detatched_value]]*Lookups!$B$19</f>
        <v>0</v>
      </c>
      <c r="BR2762" s="6">
        <f>SUM(Grandview_Inventory[[#This Row],[Intercept]:[det_value]])*Grandview_Inventory[[#This Row],[res_pct]]</f>
        <v>0</v>
      </c>
      <c r="BS2762" s="6">
        <f>Grandview_Inventory[[#This Row],[land_value]]</f>
        <v>53837.239420408718</v>
      </c>
      <c r="BT2762" s="4">
        <f>_xlfn.IFNA(VLOOKUP(Grandview_Inventory[[#This Row],[quality]],Lookups!$A$26:$C$33,3,FALSE),1)</f>
        <v>1</v>
      </c>
      <c r="BU2762" s="4">
        <f>_xlfn.IFNA(VLOOKUP(Grandview_Inventory[[#This Row],[condition]],Lookups!$A$37:$C$44,3,FALSE),1)</f>
        <v>1</v>
      </c>
      <c r="BV2762" s="4">
        <f>IF(Grandview_Inventory[[#This Row],[bldg_style]]="",1,_xlfn.IFNA(VLOOKUP(Grandview_Inventory[[#This Row],[decade]],Lookups!$F$29:$H$43,3,FALSE),1))</f>
        <v>1</v>
      </c>
      <c r="BW2762" s="4">
        <f>_xlfn.IFNA(VLOOKUP(Grandview_Inventory[[#This Row],[living_area_range]],Lookups!$F$47:$H$56,3,FALSE),1)</f>
        <v>1</v>
      </c>
      <c r="BX2762" s="4">
        <f>AVERAGE(Grandview_Inventory[[#This Row],[qual_adj]:[size_adj]])</f>
        <v>1</v>
      </c>
      <c r="BY2762" s="6">
        <f>IF(Grandview_Inventory[[#This Row],[pre_res]]&lt;0,0,Grandview_Inventory[[#This Row],[pre_res]]*Grandview_Inventory[[#This Row],[overall_adj]])</f>
        <v>0</v>
      </c>
      <c r="BZ2762" s="6">
        <f>(Grandview_Inventory[[#This Row],[sum_land]]-IF(Grandview_Inventory[[#This Row],[no_utilities]]=1,12000,0))/IF(Grandview_Inventory[[#This Row],[unbuildable]]=1,2,1)</f>
        <v>53837.239420408718</v>
      </c>
      <c r="CA2762">
        <f>IF(ROUND(Grandview_Inventory[[#This Row],[adj_land]]*Lookups!$M$28,-2)&lt;Grandview_Inventory[[#This Row],[min_land]],Grandview_Inventory[[#This Row],[min_land]],ROUND(Grandview_Inventory[[#This Row],[adj_land]]*Lookups!$M$28,-2))</f>
        <v>51100</v>
      </c>
      <c r="CB2762">
        <f>ROUND(Grandview_Inventory[[#This Row],[det_value]]*Lookups!$M$28,-2)</f>
        <v>0</v>
      </c>
      <c r="CC276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2">
        <f>Grandview_Inventory[[#This Row],[final_det]]+Grandview_Inventory[[#This Row],[final_res]]</f>
        <v>0</v>
      </c>
      <c r="CE2762">
        <f>Grandview_Inventory[[#This Row],[final_land]]+Grandview_Inventory[[#This Row],[final_imp]]+Grandview_Inventory[[#This Row],[crop_value]]</f>
        <v>51100</v>
      </c>
      <c r="CG2762" t="str">
        <f t="shared" si="44"/>
        <v>update valuation set market_land =51100, market_bldg=0, market_total =51100, market_mdno =401, market_date ='9/10/2023' where link_id = (select link_id from parcel where parcel_year = '2024' and parcel_id = '23092423520');</v>
      </c>
    </row>
    <row r="2763" spans="1:85" x14ac:dyDescent="0.25">
      <c r="A2763">
        <v>23092423524</v>
      </c>
      <c r="B2763">
        <v>0.19</v>
      </c>
      <c r="C2763">
        <v>8327</v>
      </c>
      <c r="D2763" t="s">
        <v>129</v>
      </c>
      <c r="E2763" t="s">
        <v>53</v>
      </c>
      <c r="F2763" t="s">
        <v>53</v>
      </c>
      <c r="G2763">
        <v>4</v>
      </c>
      <c r="H2763" t="s">
        <v>54</v>
      </c>
      <c r="I2763">
        <v>0</v>
      </c>
      <c r="J2763">
        <v>39100</v>
      </c>
      <c r="K2763">
        <v>0.19</v>
      </c>
      <c r="L276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63">
        <v>0</v>
      </c>
      <c r="N2763">
        <v>0</v>
      </c>
      <c r="O2763">
        <v>0</v>
      </c>
      <c r="P2763">
        <v>13398.7528</v>
      </c>
      <c r="Q2763">
        <v>63903</v>
      </c>
      <c r="R2763">
        <f>(Grandview_Inventory[[#This Row],[ln_acres]]*Grandview_Inventory[[#This Row],[coeff]])+Grandview_Inventory[[#This Row],[const]]</f>
        <v>41651.273092551026</v>
      </c>
      <c r="AY2763">
        <v>0</v>
      </c>
      <c r="AZ2763">
        <v>0</v>
      </c>
      <c r="BE2763">
        <v>0</v>
      </c>
      <c r="BF2763">
        <v>15000</v>
      </c>
      <c r="BG2763">
        <v>0</v>
      </c>
      <c r="BH2763" s="6">
        <f>Grandview_Inventory[[#This Row],[land_extract]]*Lookups!$B$3</f>
        <v>48369.510983942157</v>
      </c>
      <c r="BI2763" s="6">
        <f>IF(Grandview_Inventory[[#This Row],[bldg_style]]="",0,Lookups!$B$2)</f>
        <v>0</v>
      </c>
      <c r="BJ2763" s="6">
        <f>_xlfn.IFNA(VLOOKUP(Grandview_Inventory[[#This Row],[quality]],Lookups!$H$2:$J$14,3,FALSE),0)</f>
        <v>0</v>
      </c>
      <c r="BK2763" s="6">
        <f>_xlfn.IFNA(VLOOKUP(Grandview_Inventory[[#This Row],[condition]],Lookups!$H$17:$J$24,3,FALSE),0)</f>
        <v>0</v>
      </c>
      <c r="BL2763" s="6">
        <f>Grandview_Inventory[[#This Row],[Eff_Age]]*Lookups!$B$14</f>
        <v>0</v>
      </c>
      <c r="BM2763" s="6">
        <f>Grandview_Inventory[[#This Row],[living_area]]*Lookups!$B$15</f>
        <v>0</v>
      </c>
      <c r="BN2763" s="6">
        <f>Grandview_Inventory[[#This Row],[Fin BSMT]]*Lookups!$B$16</f>
        <v>0</v>
      </c>
      <c r="BO2763" s="6">
        <f>(Grandview_Inventory[[#This Row],[att_gar]]+Grandview_Inventory[[#This Row],[bltin_gar]])*Lookups!$B$17</f>
        <v>0</v>
      </c>
      <c r="BP2763" s="6">
        <f>Grandview_Inventory[[#This Row],[Plumbing Fixtures]]*Lookups!$B$18</f>
        <v>0</v>
      </c>
      <c r="BQ2763" s="6">
        <f>Grandview_Inventory[[#This Row],[detatched_value]]*Lookups!$B$19</f>
        <v>0</v>
      </c>
      <c r="BR2763" s="6">
        <f>SUM(Grandview_Inventory[[#This Row],[Intercept]:[det_value]])*Grandview_Inventory[[#This Row],[res_pct]]</f>
        <v>0</v>
      </c>
      <c r="BS2763" s="6">
        <f>Grandview_Inventory[[#This Row],[land_value]]</f>
        <v>48369.510983942157</v>
      </c>
      <c r="BT2763" s="4">
        <f>_xlfn.IFNA(VLOOKUP(Grandview_Inventory[[#This Row],[quality]],Lookups!$A$26:$C$33,3,FALSE),1)</f>
        <v>1</v>
      </c>
      <c r="BU2763" s="4">
        <f>_xlfn.IFNA(VLOOKUP(Grandview_Inventory[[#This Row],[condition]],Lookups!$A$37:$C$44,3,FALSE),1)</f>
        <v>1</v>
      </c>
      <c r="BV2763" s="4">
        <f>IF(Grandview_Inventory[[#This Row],[bldg_style]]="",1,_xlfn.IFNA(VLOOKUP(Grandview_Inventory[[#This Row],[decade]],Lookups!$F$29:$H$43,3,FALSE),1))</f>
        <v>1</v>
      </c>
      <c r="BW2763" s="4">
        <f>_xlfn.IFNA(VLOOKUP(Grandview_Inventory[[#This Row],[living_area_range]],Lookups!$F$47:$H$56,3,FALSE),1)</f>
        <v>1</v>
      </c>
      <c r="BX2763" s="4">
        <f>AVERAGE(Grandview_Inventory[[#This Row],[qual_adj]:[size_adj]])</f>
        <v>1</v>
      </c>
      <c r="BY2763" s="6">
        <f>IF(Grandview_Inventory[[#This Row],[pre_res]]&lt;0,0,Grandview_Inventory[[#This Row],[pre_res]]*Grandview_Inventory[[#This Row],[overall_adj]])</f>
        <v>0</v>
      </c>
      <c r="BZ2763" s="6">
        <f>(Grandview_Inventory[[#This Row],[sum_land]]-IF(Grandview_Inventory[[#This Row],[no_utilities]]=1,12000,0))/IF(Grandview_Inventory[[#This Row],[unbuildable]]=1,2,1)</f>
        <v>48369.510983942157</v>
      </c>
      <c r="CA276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63">
        <f>ROUND(Grandview_Inventory[[#This Row],[det_value]]*Lookups!$M$28,-2)</f>
        <v>0</v>
      </c>
      <c r="CC276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3">
        <f>Grandview_Inventory[[#This Row],[final_det]]+Grandview_Inventory[[#This Row],[final_res]]</f>
        <v>0</v>
      </c>
      <c r="CE2763">
        <f>Grandview_Inventory[[#This Row],[final_land]]+Grandview_Inventory[[#This Row],[final_imp]]+Grandview_Inventory[[#This Row],[crop_value]]</f>
        <v>46000</v>
      </c>
      <c r="CG2763" t="str">
        <f t="shared" si="44"/>
        <v>update valuation set market_land =46000, market_bldg=0, market_total =46000, market_mdno =401, market_date ='9/10/2023' where link_id = (select link_id from parcel where parcel_year = '2024' and parcel_id = '23092423524');</v>
      </c>
    </row>
    <row r="2764" spans="1:85" x14ac:dyDescent="0.25">
      <c r="A2764">
        <v>23092423541</v>
      </c>
      <c r="B2764" t="s">
        <v>129</v>
      </c>
      <c r="C2764">
        <v>14818</v>
      </c>
      <c r="D2764" t="s">
        <v>129</v>
      </c>
      <c r="E2764" t="s">
        <v>53</v>
      </c>
      <c r="F2764" t="s">
        <v>53</v>
      </c>
      <c r="G2764">
        <v>4</v>
      </c>
      <c r="H2764" t="s">
        <v>54</v>
      </c>
      <c r="I2764">
        <v>0</v>
      </c>
      <c r="J2764">
        <v>34400</v>
      </c>
      <c r="K2764">
        <v>0.34</v>
      </c>
      <c r="L2764">
        <f>IF(Grandview_Inventory[[#This Row],[parcel_acres]]-Grandview_Inventory[[#This Row],[non_valued_acres]] =0,0,LN(Grandview_Inventory[[#This Row],[parcel_acres]]-Grandview_Inventory[[#This Row],[non_valued_acres]]))</f>
        <v>-1.0788096613719298</v>
      </c>
      <c r="M2764">
        <v>0</v>
      </c>
      <c r="N2764">
        <v>0</v>
      </c>
      <c r="O2764">
        <v>0</v>
      </c>
      <c r="P2764">
        <v>13398.7528</v>
      </c>
      <c r="Q2764">
        <v>63903</v>
      </c>
      <c r="R2764">
        <f>(Grandview_Inventory[[#This Row],[ln_acres]]*Grandview_Inventory[[#This Row],[coeff]])+Grandview_Inventory[[#This Row],[const]]</f>
        <v>49448.296029025805</v>
      </c>
      <c r="AY2764">
        <v>0</v>
      </c>
      <c r="AZ2764">
        <v>0</v>
      </c>
      <c r="BE2764">
        <v>0</v>
      </c>
      <c r="BF2764">
        <v>15000</v>
      </c>
      <c r="BG2764">
        <v>0</v>
      </c>
      <c r="BH2764" s="6">
        <f>Grandview_Inventory[[#This Row],[land_extract]]*Lookups!$B$3</f>
        <v>57424.172668108389</v>
      </c>
      <c r="BI2764" s="6">
        <f>IF(Grandview_Inventory[[#This Row],[bldg_style]]="",0,Lookups!$B$2)</f>
        <v>0</v>
      </c>
      <c r="BJ2764" s="6">
        <f>_xlfn.IFNA(VLOOKUP(Grandview_Inventory[[#This Row],[quality]],Lookups!$H$2:$J$14,3,FALSE),0)</f>
        <v>0</v>
      </c>
      <c r="BK2764" s="6">
        <f>_xlfn.IFNA(VLOOKUP(Grandview_Inventory[[#This Row],[condition]],Lookups!$H$17:$J$24,3,FALSE),0)</f>
        <v>0</v>
      </c>
      <c r="BL2764" s="6">
        <f>Grandview_Inventory[[#This Row],[Eff_Age]]*Lookups!$B$14</f>
        <v>0</v>
      </c>
      <c r="BM2764" s="6">
        <f>Grandview_Inventory[[#This Row],[living_area]]*Lookups!$B$15</f>
        <v>0</v>
      </c>
      <c r="BN2764" s="6">
        <f>Grandview_Inventory[[#This Row],[Fin BSMT]]*Lookups!$B$16</f>
        <v>0</v>
      </c>
      <c r="BO2764" s="6">
        <f>(Grandview_Inventory[[#This Row],[att_gar]]+Grandview_Inventory[[#This Row],[bltin_gar]])*Lookups!$B$17</f>
        <v>0</v>
      </c>
      <c r="BP2764" s="6">
        <f>Grandview_Inventory[[#This Row],[Plumbing Fixtures]]*Lookups!$B$18</f>
        <v>0</v>
      </c>
      <c r="BQ2764" s="6">
        <f>Grandview_Inventory[[#This Row],[detatched_value]]*Lookups!$B$19</f>
        <v>0</v>
      </c>
      <c r="BR2764" s="6">
        <f>SUM(Grandview_Inventory[[#This Row],[Intercept]:[det_value]])*Grandview_Inventory[[#This Row],[res_pct]]</f>
        <v>0</v>
      </c>
      <c r="BS2764" s="6">
        <f>Grandview_Inventory[[#This Row],[land_value]]</f>
        <v>57424.172668108389</v>
      </c>
      <c r="BT2764" s="4">
        <f>_xlfn.IFNA(VLOOKUP(Grandview_Inventory[[#This Row],[quality]],Lookups!$A$26:$C$33,3,FALSE),1)</f>
        <v>1</v>
      </c>
      <c r="BU2764" s="4">
        <f>_xlfn.IFNA(VLOOKUP(Grandview_Inventory[[#This Row],[condition]],Lookups!$A$37:$C$44,3,FALSE),1)</f>
        <v>1</v>
      </c>
      <c r="BV2764" s="4">
        <f>IF(Grandview_Inventory[[#This Row],[bldg_style]]="",1,_xlfn.IFNA(VLOOKUP(Grandview_Inventory[[#This Row],[decade]],Lookups!$F$29:$H$43,3,FALSE),1))</f>
        <v>1</v>
      </c>
      <c r="BW2764" s="4">
        <f>_xlfn.IFNA(VLOOKUP(Grandview_Inventory[[#This Row],[living_area_range]],Lookups!$F$47:$H$56,3,FALSE),1)</f>
        <v>1</v>
      </c>
      <c r="BX2764" s="4">
        <f>AVERAGE(Grandview_Inventory[[#This Row],[qual_adj]:[size_adj]])</f>
        <v>1</v>
      </c>
      <c r="BY2764" s="6">
        <f>IF(Grandview_Inventory[[#This Row],[pre_res]]&lt;0,0,Grandview_Inventory[[#This Row],[pre_res]]*Grandview_Inventory[[#This Row],[overall_adj]])</f>
        <v>0</v>
      </c>
      <c r="BZ2764" s="6">
        <f>(Grandview_Inventory[[#This Row],[sum_land]]-IF(Grandview_Inventory[[#This Row],[no_utilities]]=1,12000,0))/IF(Grandview_Inventory[[#This Row],[unbuildable]]=1,2,1)</f>
        <v>57424.172668108389</v>
      </c>
      <c r="CA2764">
        <f>IF(ROUND(Grandview_Inventory[[#This Row],[adj_land]]*Lookups!$M$28,-2)&lt;Grandview_Inventory[[#This Row],[min_land]],Grandview_Inventory[[#This Row],[min_land]],ROUND(Grandview_Inventory[[#This Row],[adj_land]]*Lookups!$M$28,-2))</f>
        <v>54600</v>
      </c>
      <c r="CB2764">
        <f>ROUND(Grandview_Inventory[[#This Row],[det_value]]*Lookups!$M$28,-2)</f>
        <v>0</v>
      </c>
      <c r="CC276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4">
        <f>Grandview_Inventory[[#This Row],[final_det]]+Grandview_Inventory[[#This Row],[final_res]]</f>
        <v>0</v>
      </c>
      <c r="CE2764">
        <f>Grandview_Inventory[[#This Row],[final_land]]+Grandview_Inventory[[#This Row],[final_imp]]+Grandview_Inventory[[#This Row],[crop_value]]</f>
        <v>54600</v>
      </c>
      <c r="CG2764" t="str">
        <f t="shared" si="44"/>
        <v>update valuation set market_land =54600, market_bldg=0, market_total =54600, market_mdno =401, market_date ='9/10/2023' where link_id = (select link_id from parcel where parcel_year = '2024' and parcel_id = '23092423541');</v>
      </c>
    </row>
    <row r="2765" spans="1:85" x14ac:dyDescent="0.25">
      <c r="A2765">
        <v>23092424453</v>
      </c>
      <c r="B2765">
        <v>7.0000000000000007E-2</v>
      </c>
      <c r="C2765">
        <v>2931</v>
      </c>
      <c r="D2765" t="s">
        <v>129</v>
      </c>
      <c r="E2765" t="s">
        <v>53</v>
      </c>
      <c r="F2765" t="s">
        <v>53</v>
      </c>
      <c r="G2765">
        <v>4</v>
      </c>
      <c r="H2765" t="s">
        <v>54</v>
      </c>
      <c r="I2765">
        <v>0</v>
      </c>
      <c r="J2765">
        <v>300</v>
      </c>
      <c r="K2765">
        <v>7.0000000000000007E-2</v>
      </c>
      <c r="L2765">
        <f>IF(Grandview_Inventory[[#This Row],[parcel_acres]]-Grandview_Inventory[[#This Row],[non_valued_acres]] =0,0,LN(Grandview_Inventory[[#This Row],[parcel_acres]]-Grandview_Inventory[[#This Row],[non_valued_acres]]))</f>
        <v>-2.6592600369327779</v>
      </c>
      <c r="M2765">
        <v>0</v>
      </c>
      <c r="N2765">
        <v>1</v>
      </c>
      <c r="O2765">
        <v>0</v>
      </c>
      <c r="P2765">
        <v>13398.7528</v>
      </c>
      <c r="Q2765">
        <v>63903</v>
      </c>
      <c r="R2765">
        <f>(Grandview_Inventory[[#This Row],[ln_acres]]*Grandview_Inventory[[#This Row],[coeff]])+Grandview_Inventory[[#This Row],[const]]</f>
        <v>28272.232134218837</v>
      </c>
      <c r="AY2765">
        <v>0</v>
      </c>
      <c r="AZ2765">
        <v>0</v>
      </c>
      <c r="BE2765">
        <v>0</v>
      </c>
      <c r="BF2765">
        <v>12000</v>
      </c>
      <c r="BG2765">
        <v>0</v>
      </c>
      <c r="BH2765" s="6">
        <f>Grandview_Inventory[[#This Row],[land_extract]]*Lookups!$B$3</f>
        <v>32832.466842441572</v>
      </c>
      <c r="BI2765" s="6">
        <f>IF(Grandview_Inventory[[#This Row],[bldg_style]]="",0,Lookups!$B$2)</f>
        <v>0</v>
      </c>
      <c r="BJ2765" s="6">
        <f>_xlfn.IFNA(VLOOKUP(Grandview_Inventory[[#This Row],[quality]],Lookups!$H$2:$J$14,3,FALSE),0)</f>
        <v>0</v>
      </c>
      <c r="BK2765" s="6">
        <f>_xlfn.IFNA(VLOOKUP(Grandview_Inventory[[#This Row],[condition]],Lookups!$H$17:$J$24,3,FALSE),0)</f>
        <v>0</v>
      </c>
      <c r="BL2765" s="6">
        <f>Grandview_Inventory[[#This Row],[Eff_Age]]*Lookups!$B$14</f>
        <v>0</v>
      </c>
      <c r="BM2765" s="6">
        <f>Grandview_Inventory[[#This Row],[living_area]]*Lookups!$B$15</f>
        <v>0</v>
      </c>
      <c r="BN2765" s="6">
        <f>Grandview_Inventory[[#This Row],[Fin BSMT]]*Lookups!$B$16</f>
        <v>0</v>
      </c>
      <c r="BO2765" s="6">
        <f>(Grandview_Inventory[[#This Row],[att_gar]]+Grandview_Inventory[[#This Row],[bltin_gar]])*Lookups!$B$17</f>
        <v>0</v>
      </c>
      <c r="BP2765" s="6">
        <f>Grandview_Inventory[[#This Row],[Plumbing Fixtures]]*Lookups!$B$18</f>
        <v>0</v>
      </c>
      <c r="BQ2765" s="6">
        <f>Grandview_Inventory[[#This Row],[detatched_value]]*Lookups!$B$19</f>
        <v>0</v>
      </c>
      <c r="BR2765" s="6">
        <f>SUM(Grandview_Inventory[[#This Row],[Intercept]:[det_value]])*Grandview_Inventory[[#This Row],[res_pct]]</f>
        <v>0</v>
      </c>
      <c r="BS2765" s="6">
        <f>Grandview_Inventory[[#This Row],[land_value]]</f>
        <v>32832.466842441572</v>
      </c>
      <c r="BT2765" s="4">
        <f>_xlfn.IFNA(VLOOKUP(Grandview_Inventory[[#This Row],[quality]],Lookups!$A$26:$C$33,3,FALSE),1)</f>
        <v>1</v>
      </c>
      <c r="BU2765" s="4">
        <f>_xlfn.IFNA(VLOOKUP(Grandview_Inventory[[#This Row],[condition]],Lookups!$A$37:$C$44,3,FALSE),1)</f>
        <v>1</v>
      </c>
      <c r="BV2765" s="4">
        <f>IF(Grandview_Inventory[[#This Row],[bldg_style]]="",1,_xlfn.IFNA(VLOOKUP(Grandview_Inventory[[#This Row],[decade]],Lookups!$F$29:$H$43,3,FALSE),1))</f>
        <v>1</v>
      </c>
      <c r="BW2765" s="4">
        <f>_xlfn.IFNA(VLOOKUP(Grandview_Inventory[[#This Row],[living_area_range]],Lookups!$F$47:$H$56,3,FALSE),1)</f>
        <v>1</v>
      </c>
      <c r="BX2765" s="4">
        <f>AVERAGE(Grandview_Inventory[[#This Row],[qual_adj]:[size_adj]])</f>
        <v>1</v>
      </c>
      <c r="BY2765" s="6">
        <f>IF(Grandview_Inventory[[#This Row],[pre_res]]&lt;0,0,Grandview_Inventory[[#This Row],[pre_res]]*Grandview_Inventory[[#This Row],[overall_adj]])</f>
        <v>0</v>
      </c>
      <c r="BZ2765" s="6">
        <f>(Grandview_Inventory[[#This Row],[sum_land]]-IF(Grandview_Inventory[[#This Row],[no_utilities]]=1,12000,0))/IF(Grandview_Inventory[[#This Row],[unbuildable]]=1,2,1)</f>
        <v>16416.233421220786</v>
      </c>
      <c r="CA2765">
        <f>IF(ROUND(Grandview_Inventory[[#This Row],[adj_land]]*Lookups!$M$28,-2)&lt;Grandview_Inventory[[#This Row],[min_land]],Grandview_Inventory[[#This Row],[min_land]],ROUND(Grandview_Inventory[[#This Row],[adj_land]]*Lookups!$M$28,-2))</f>
        <v>15600</v>
      </c>
      <c r="CB2765">
        <f>ROUND(Grandview_Inventory[[#This Row],[det_value]]*Lookups!$M$28,-2)</f>
        <v>0</v>
      </c>
      <c r="CC276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5">
        <f>Grandview_Inventory[[#This Row],[final_det]]+Grandview_Inventory[[#This Row],[final_res]]</f>
        <v>0</v>
      </c>
      <c r="CE2765">
        <f>Grandview_Inventory[[#This Row],[final_land]]+Grandview_Inventory[[#This Row],[final_imp]]+Grandview_Inventory[[#This Row],[crop_value]]</f>
        <v>15600</v>
      </c>
      <c r="CG2765" t="str">
        <f t="shared" si="44"/>
        <v>update valuation set market_land =15600, market_bldg=0, market_total =15600, market_mdno =401, market_date ='9/10/2023' where link_id = (select link_id from parcel where parcel_year = '2024' and parcel_id = '23092424453');</v>
      </c>
    </row>
    <row r="2766" spans="1:85" x14ac:dyDescent="0.25">
      <c r="A2766">
        <v>23092621400</v>
      </c>
      <c r="B2766">
        <v>11.43</v>
      </c>
      <c r="C2766" t="s">
        <v>129</v>
      </c>
      <c r="D2766" t="s">
        <v>129</v>
      </c>
      <c r="E2766" t="s">
        <v>53</v>
      </c>
      <c r="F2766" t="s">
        <v>53</v>
      </c>
      <c r="G2766">
        <v>4</v>
      </c>
      <c r="H2766" t="s">
        <v>54</v>
      </c>
      <c r="I2766">
        <v>0</v>
      </c>
      <c r="J2766">
        <v>342900</v>
      </c>
      <c r="K2766">
        <v>11.43</v>
      </c>
      <c r="L2766">
        <f>IF(Grandview_Inventory[[#This Row],[parcel_acres]]-Grandview_Inventory[[#This Row],[non_valued_acres]] =0,0,LN(Grandview_Inventory[[#This Row],[parcel_acres]]-Grandview_Inventory[[#This Row],[non_valued_acres]]))</f>
        <v>2.4362414778067194</v>
      </c>
      <c r="M2766">
        <v>0</v>
      </c>
      <c r="N2766">
        <v>0</v>
      </c>
      <c r="O2766">
        <v>0</v>
      </c>
      <c r="P2766">
        <v>13398.7528</v>
      </c>
      <c r="Q2766">
        <v>63903</v>
      </c>
      <c r="R2766">
        <f>(Grandview_Inventory[[#This Row],[ln_acres]]*Grandview_Inventory[[#This Row],[coeff]])+Grandview_Inventory[[#This Row],[const]]</f>
        <v>96545.597322238915</v>
      </c>
      <c r="AY2766">
        <v>0</v>
      </c>
      <c r="AZ2766">
        <v>0</v>
      </c>
      <c r="BE2766">
        <v>0</v>
      </c>
      <c r="BF2766">
        <v>15000</v>
      </c>
      <c r="BG2766">
        <v>0</v>
      </c>
      <c r="BH2766" s="6">
        <f>Grandview_Inventory[[#This Row],[land_extract]]*Lookups!$B$3</f>
        <v>112118.14149720328</v>
      </c>
      <c r="BI2766" s="6">
        <f>IF(Grandview_Inventory[[#This Row],[bldg_style]]="",0,Lookups!$B$2)</f>
        <v>0</v>
      </c>
      <c r="BJ2766" s="6">
        <f>_xlfn.IFNA(VLOOKUP(Grandview_Inventory[[#This Row],[quality]],Lookups!$H$2:$J$14,3,FALSE),0)</f>
        <v>0</v>
      </c>
      <c r="BK2766" s="6">
        <f>_xlfn.IFNA(VLOOKUP(Grandview_Inventory[[#This Row],[condition]],Lookups!$H$17:$J$24,3,FALSE),0)</f>
        <v>0</v>
      </c>
      <c r="BL2766" s="6">
        <f>Grandview_Inventory[[#This Row],[Eff_Age]]*Lookups!$B$14</f>
        <v>0</v>
      </c>
      <c r="BM2766" s="6">
        <f>Grandview_Inventory[[#This Row],[living_area]]*Lookups!$B$15</f>
        <v>0</v>
      </c>
      <c r="BN2766" s="6">
        <f>Grandview_Inventory[[#This Row],[Fin BSMT]]*Lookups!$B$16</f>
        <v>0</v>
      </c>
      <c r="BO2766" s="6">
        <f>(Grandview_Inventory[[#This Row],[att_gar]]+Grandview_Inventory[[#This Row],[bltin_gar]])*Lookups!$B$17</f>
        <v>0</v>
      </c>
      <c r="BP2766" s="6">
        <f>Grandview_Inventory[[#This Row],[Plumbing Fixtures]]*Lookups!$B$18</f>
        <v>0</v>
      </c>
      <c r="BQ2766" s="6">
        <f>Grandview_Inventory[[#This Row],[detatched_value]]*Lookups!$B$19</f>
        <v>0</v>
      </c>
      <c r="BR2766" s="6">
        <f>SUM(Grandview_Inventory[[#This Row],[Intercept]:[det_value]])*Grandview_Inventory[[#This Row],[res_pct]]</f>
        <v>0</v>
      </c>
      <c r="BS2766" s="6">
        <f>Grandview_Inventory[[#This Row],[land_value]]</f>
        <v>112118.14149720328</v>
      </c>
      <c r="BT2766" s="4">
        <f>_xlfn.IFNA(VLOOKUP(Grandview_Inventory[[#This Row],[quality]],Lookups!$A$26:$C$33,3,FALSE),1)</f>
        <v>1</v>
      </c>
      <c r="BU2766" s="4">
        <f>_xlfn.IFNA(VLOOKUP(Grandview_Inventory[[#This Row],[condition]],Lookups!$A$37:$C$44,3,FALSE),1)</f>
        <v>1</v>
      </c>
      <c r="BV2766" s="4">
        <f>IF(Grandview_Inventory[[#This Row],[bldg_style]]="",1,_xlfn.IFNA(VLOOKUP(Grandview_Inventory[[#This Row],[decade]],Lookups!$F$29:$H$43,3,FALSE),1))</f>
        <v>1</v>
      </c>
      <c r="BW2766" s="4">
        <f>_xlfn.IFNA(VLOOKUP(Grandview_Inventory[[#This Row],[living_area_range]],Lookups!$F$47:$H$56,3,FALSE),1)</f>
        <v>1</v>
      </c>
      <c r="BX2766" s="4">
        <f>AVERAGE(Grandview_Inventory[[#This Row],[qual_adj]:[size_adj]])</f>
        <v>1</v>
      </c>
      <c r="BY2766" s="6">
        <f>IF(Grandview_Inventory[[#This Row],[pre_res]]&lt;0,0,Grandview_Inventory[[#This Row],[pre_res]]*Grandview_Inventory[[#This Row],[overall_adj]])</f>
        <v>0</v>
      </c>
      <c r="BZ2766" s="6">
        <f>(Grandview_Inventory[[#This Row],[sum_land]]-IF(Grandview_Inventory[[#This Row],[no_utilities]]=1,12000,0))/IF(Grandview_Inventory[[#This Row],[unbuildable]]=1,2,1)</f>
        <v>112118.14149720328</v>
      </c>
      <c r="CA2766">
        <f>IF(ROUND(Grandview_Inventory[[#This Row],[adj_land]]*Lookups!$M$28,-2)&lt;Grandview_Inventory[[#This Row],[min_land]],Grandview_Inventory[[#This Row],[min_land]],ROUND(Grandview_Inventory[[#This Row],[adj_land]]*Lookups!$M$28,-2))</f>
        <v>106500</v>
      </c>
      <c r="CB2766">
        <f>ROUND(Grandview_Inventory[[#This Row],[det_value]]*Lookups!$M$28,-2)</f>
        <v>0</v>
      </c>
      <c r="CC276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6">
        <f>Grandview_Inventory[[#This Row],[final_det]]+Grandview_Inventory[[#This Row],[final_res]]</f>
        <v>0</v>
      </c>
      <c r="CE2766">
        <f>Grandview_Inventory[[#This Row],[final_land]]+Grandview_Inventory[[#This Row],[final_imp]]+Grandview_Inventory[[#This Row],[crop_value]]</f>
        <v>106500</v>
      </c>
      <c r="CG2766" t="str">
        <f t="shared" si="44"/>
        <v>update valuation set market_land =106500, market_bldg=0, market_total =106500, market_mdno =401, market_date ='9/10/2023' where link_id = (select link_id from parcel where parcel_year = '2024' and parcel_id = '23092621400');</v>
      </c>
    </row>
    <row r="2767" spans="1:85" x14ac:dyDescent="0.25">
      <c r="A2767">
        <v>23092621426</v>
      </c>
      <c r="B2767">
        <v>0.4</v>
      </c>
      <c r="C2767" t="s">
        <v>129</v>
      </c>
      <c r="D2767" t="s">
        <v>129</v>
      </c>
      <c r="E2767" t="s">
        <v>53</v>
      </c>
      <c r="F2767" t="s">
        <v>53</v>
      </c>
      <c r="G2767">
        <v>4</v>
      </c>
      <c r="H2767" t="s">
        <v>54</v>
      </c>
      <c r="I2767">
        <v>0</v>
      </c>
      <c r="J2767">
        <v>34200</v>
      </c>
      <c r="K2767">
        <v>0.4</v>
      </c>
      <c r="L2767">
        <f>IF(Grandview_Inventory[[#This Row],[parcel_acres]]-Grandview_Inventory[[#This Row],[non_valued_acres]] =0,0,LN(Grandview_Inventory[[#This Row],[parcel_acres]]-Grandview_Inventory[[#This Row],[non_valued_acres]]))</f>
        <v>-0.916290731874155</v>
      </c>
      <c r="M2767">
        <v>0</v>
      </c>
      <c r="N2767">
        <v>0</v>
      </c>
      <c r="O2767">
        <v>0</v>
      </c>
      <c r="P2767">
        <v>13398.7528</v>
      </c>
      <c r="Q2767">
        <v>63903</v>
      </c>
      <c r="R2767">
        <f>(Grandview_Inventory[[#This Row],[ln_acres]]*Grandview_Inventory[[#This Row],[coeff]])+Grandview_Inventory[[#This Row],[const]]</f>
        <v>51625.846990687118</v>
      </c>
      <c r="AY2767">
        <v>0</v>
      </c>
      <c r="AZ2767">
        <v>0</v>
      </c>
      <c r="BE2767">
        <v>0</v>
      </c>
      <c r="BF2767">
        <v>15000</v>
      </c>
      <c r="BG2767">
        <v>0</v>
      </c>
      <c r="BH2767" s="6">
        <f>Grandview_Inventory[[#This Row],[land_extract]]*Lookups!$B$3</f>
        <v>59952.95672049807</v>
      </c>
      <c r="BI2767" s="6">
        <f>IF(Grandview_Inventory[[#This Row],[bldg_style]]="",0,Lookups!$B$2)</f>
        <v>0</v>
      </c>
      <c r="BJ2767" s="6">
        <f>_xlfn.IFNA(VLOOKUP(Grandview_Inventory[[#This Row],[quality]],Lookups!$H$2:$J$14,3,FALSE),0)</f>
        <v>0</v>
      </c>
      <c r="BK2767" s="6">
        <f>_xlfn.IFNA(VLOOKUP(Grandview_Inventory[[#This Row],[condition]],Lookups!$H$17:$J$24,3,FALSE),0)</f>
        <v>0</v>
      </c>
      <c r="BL2767" s="6">
        <f>Grandview_Inventory[[#This Row],[Eff_Age]]*Lookups!$B$14</f>
        <v>0</v>
      </c>
      <c r="BM2767" s="6">
        <f>Grandview_Inventory[[#This Row],[living_area]]*Lookups!$B$15</f>
        <v>0</v>
      </c>
      <c r="BN2767" s="6">
        <f>Grandview_Inventory[[#This Row],[Fin BSMT]]*Lookups!$B$16</f>
        <v>0</v>
      </c>
      <c r="BO2767" s="6">
        <f>(Grandview_Inventory[[#This Row],[att_gar]]+Grandview_Inventory[[#This Row],[bltin_gar]])*Lookups!$B$17</f>
        <v>0</v>
      </c>
      <c r="BP2767" s="6">
        <f>Grandview_Inventory[[#This Row],[Plumbing Fixtures]]*Lookups!$B$18</f>
        <v>0</v>
      </c>
      <c r="BQ2767" s="6">
        <f>Grandview_Inventory[[#This Row],[detatched_value]]*Lookups!$B$19</f>
        <v>0</v>
      </c>
      <c r="BR2767" s="6">
        <f>SUM(Grandview_Inventory[[#This Row],[Intercept]:[det_value]])*Grandview_Inventory[[#This Row],[res_pct]]</f>
        <v>0</v>
      </c>
      <c r="BS2767" s="6">
        <f>Grandview_Inventory[[#This Row],[land_value]]</f>
        <v>59952.95672049807</v>
      </c>
      <c r="BT2767" s="4">
        <f>_xlfn.IFNA(VLOOKUP(Grandview_Inventory[[#This Row],[quality]],Lookups!$A$26:$C$33,3,FALSE),1)</f>
        <v>1</v>
      </c>
      <c r="BU2767" s="4">
        <f>_xlfn.IFNA(VLOOKUP(Grandview_Inventory[[#This Row],[condition]],Lookups!$A$37:$C$44,3,FALSE),1)</f>
        <v>1</v>
      </c>
      <c r="BV2767" s="4">
        <f>IF(Grandview_Inventory[[#This Row],[bldg_style]]="",1,_xlfn.IFNA(VLOOKUP(Grandview_Inventory[[#This Row],[decade]],Lookups!$F$29:$H$43,3,FALSE),1))</f>
        <v>1</v>
      </c>
      <c r="BW2767" s="4">
        <f>_xlfn.IFNA(VLOOKUP(Grandview_Inventory[[#This Row],[living_area_range]],Lookups!$F$47:$H$56,3,FALSE),1)</f>
        <v>1</v>
      </c>
      <c r="BX2767" s="4">
        <f>AVERAGE(Grandview_Inventory[[#This Row],[qual_adj]:[size_adj]])</f>
        <v>1</v>
      </c>
      <c r="BY2767" s="6">
        <f>IF(Grandview_Inventory[[#This Row],[pre_res]]&lt;0,0,Grandview_Inventory[[#This Row],[pre_res]]*Grandview_Inventory[[#This Row],[overall_adj]])</f>
        <v>0</v>
      </c>
      <c r="BZ2767" s="6">
        <f>(Grandview_Inventory[[#This Row],[sum_land]]-IF(Grandview_Inventory[[#This Row],[no_utilities]]=1,12000,0))/IF(Grandview_Inventory[[#This Row],[unbuildable]]=1,2,1)</f>
        <v>59952.95672049807</v>
      </c>
      <c r="CA2767">
        <f>IF(ROUND(Grandview_Inventory[[#This Row],[adj_land]]*Lookups!$M$28,-2)&lt;Grandview_Inventory[[#This Row],[min_land]],Grandview_Inventory[[#This Row],[min_land]],ROUND(Grandview_Inventory[[#This Row],[adj_land]]*Lookups!$M$28,-2))</f>
        <v>57000</v>
      </c>
      <c r="CB2767">
        <f>ROUND(Grandview_Inventory[[#This Row],[det_value]]*Lookups!$M$28,-2)</f>
        <v>0</v>
      </c>
      <c r="CC276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7">
        <f>Grandview_Inventory[[#This Row],[final_det]]+Grandview_Inventory[[#This Row],[final_res]]</f>
        <v>0</v>
      </c>
      <c r="CE2767">
        <f>Grandview_Inventory[[#This Row],[final_land]]+Grandview_Inventory[[#This Row],[final_imp]]+Grandview_Inventory[[#This Row],[crop_value]]</f>
        <v>57000</v>
      </c>
      <c r="CG2767" t="str">
        <f t="shared" si="44"/>
        <v>update valuation set market_land =57000, market_bldg=0, market_total =57000, market_mdno =401, market_date ='9/10/2023' where link_id = (select link_id from parcel where parcel_year = '2024' and parcel_id = '23092621426');</v>
      </c>
    </row>
    <row r="2768" spans="1:85" x14ac:dyDescent="0.25">
      <c r="A2768">
        <v>23092621613</v>
      </c>
      <c r="B2768" t="s">
        <v>129</v>
      </c>
      <c r="C2768">
        <v>8140</v>
      </c>
      <c r="D2768" t="s">
        <v>129</v>
      </c>
      <c r="E2768" t="s">
        <v>53</v>
      </c>
      <c r="F2768" t="s">
        <v>53</v>
      </c>
      <c r="G2768">
        <v>4</v>
      </c>
      <c r="H2768" t="s">
        <v>54</v>
      </c>
      <c r="I2768">
        <v>0</v>
      </c>
      <c r="J2768">
        <v>32500</v>
      </c>
      <c r="K2768">
        <v>0.19</v>
      </c>
      <c r="L276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68">
        <v>0</v>
      </c>
      <c r="N2768">
        <v>0</v>
      </c>
      <c r="O2768">
        <v>0</v>
      </c>
      <c r="P2768">
        <v>13398.7528</v>
      </c>
      <c r="Q2768">
        <v>63903</v>
      </c>
      <c r="R2768">
        <f>(Grandview_Inventory[[#This Row],[ln_acres]]*Grandview_Inventory[[#This Row],[coeff]])+Grandview_Inventory[[#This Row],[const]]</f>
        <v>41651.273092551026</v>
      </c>
      <c r="AY2768">
        <v>0</v>
      </c>
      <c r="AZ2768">
        <v>0</v>
      </c>
      <c r="BE2768">
        <v>0</v>
      </c>
      <c r="BF2768">
        <v>15000</v>
      </c>
      <c r="BG2768">
        <v>0</v>
      </c>
      <c r="BH2768" s="6">
        <f>Grandview_Inventory[[#This Row],[land_extract]]*Lookups!$B$3</f>
        <v>48369.510983942157</v>
      </c>
      <c r="BI2768" s="6">
        <f>IF(Grandview_Inventory[[#This Row],[bldg_style]]="",0,Lookups!$B$2)</f>
        <v>0</v>
      </c>
      <c r="BJ2768" s="6">
        <f>_xlfn.IFNA(VLOOKUP(Grandview_Inventory[[#This Row],[quality]],Lookups!$H$2:$J$14,3,FALSE),0)</f>
        <v>0</v>
      </c>
      <c r="BK2768" s="6">
        <f>_xlfn.IFNA(VLOOKUP(Grandview_Inventory[[#This Row],[condition]],Lookups!$H$17:$J$24,3,FALSE),0)</f>
        <v>0</v>
      </c>
      <c r="BL2768" s="6">
        <f>Grandview_Inventory[[#This Row],[Eff_Age]]*Lookups!$B$14</f>
        <v>0</v>
      </c>
      <c r="BM2768" s="6">
        <f>Grandview_Inventory[[#This Row],[living_area]]*Lookups!$B$15</f>
        <v>0</v>
      </c>
      <c r="BN2768" s="6">
        <f>Grandview_Inventory[[#This Row],[Fin BSMT]]*Lookups!$B$16</f>
        <v>0</v>
      </c>
      <c r="BO2768" s="6">
        <f>(Grandview_Inventory[[#This Row],[att_gar]]+Grandview_Inventory[[#This Row],[bltin_gar]])*Lookups!$B$17</f>
        <v>0</v>
      </c>
      <c r="BP2768" s="6">
        <f>Grandview_Inventory[[#This Row],[Plumbing Fixtures]]*Lookups!$B$18</f>
        <v>0</v>
      </c>
      <c r="BQ2768" s="6">
        <f>Grandview_Inventory[[#This Row],[detatched_value]]*Lookups!$B$19</f>
        <v>0</v>
      </c>
      <c r="BR2768" s="6">
        <f>SUM(Grandview_Inventory[[#This Row],[Intercept]:[det_value]])*Grandview_Inventory[[#This Row],[res_pct]]</f>
        <v>0</v>
      </c>
      <c r="BS2768" s="6">
        <f>Grandview_Inventory[[#This Row],[land_value]]</f>
        <v>48369.510983942157</v>
      </c>
      <c r="BT2768" s="4">
        <f>_xlfn.IFNA(VLOOKUP(Grandview_Inventory[[#This Row],[quality]],Lookups!$A$26:$C$33,3,FALSE),1)</f>
        <v>1</v>
      </c>
      <c r="BU2768" s="4">
        <f>_xlfn.IFNA(VLOOKUP(Grandview_Inventory[[#This Row],[condition]],Lookups!$A$37:$C$44,3,FALSE),1)</f>
        <v>1</v>
      </c>
      <c r="BV2768" s="4">
        <f>IF(Grandview_Inventory[[#This Row],[bldg_style]]="",1,_xlfn.IFNA(VLOOKUP(Grandview_Inventory[[#This Row],[decade]],Lookups!$F$29:$H$43,3,FALSE),1))</f>
        <v>1</v>
      </c>
      <c r="BW2768" s="4">
        <f>_xlfn.IFNA(VLOOKUP(Grandview_Inventory[[#This Row],[living_area_range]],Lookups!$F$47:$H$56,3,FALSE),1)</f>
        <v>1</v>
      </c>
      <c r="BX2768" s="4">
        <f>AVERAGE(Grandview_Inventory[[#This Row],[qual_adj]:[size_adj]])</f>
        <v>1</v>
      </c>
      <c r="BY2768" s="6">
        <f>IF(Grandview_Inventory[[#This Row],[pre_res]]&lt;0,0,Grandview_Inventory[[#This Row],[pre_res]]*Grandview_Inventory[[#This Row],[overall_adj]])</f>
        <v>0</v>
      </c>
      <c r="BZ2768" s="6">
        <f>(Grandview_Inventory[[#This Row],[sum_land]]-IF(Grandview_Inventory[[#This Row],[no_utilities]]=1,12000,0))/IF(Grandview_Inventory[[#This Row],[unbuildable]]=1,2,1)</f>
        <v>48369.510983942157</v>
      </c>
      <c r="CA276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68">
        <f>ROUND(Grandview_Inventory[[#This Row],[det_value]]*Lookups!$M$28,-2)</f>
        <v>0</v>
      </c>
      <c r="CC276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8">
        <f>Grandview_Inventory[[#This Row],[final_det]]+Grandview_Inventory[[#This Row],[final_res]]</f>
        <v>0</v>
      </c>
      <c r="CE2768">
        <f>Grandview_Inventory[[#This Row],[final_land]]+Grandview_Inventory[[#This Row],[final_imp]]+Grandview_Inventory[[#This Row],[crop_value]]</f>
        <v>46000</v>
      </c>
      <c r="CG2768" t="str">
        <f t="shared" si="44"/>
        <v>update valuation set market_land =46000, market_bldg=0, market_total =46000, market_mdno =401, market_date ='9/10/2023' where link_id = (select link_id from parcel where parcel_year = '2024' and parcel_id = '23092621613');</v>
      </c>
    </row>
    <row r="2769" spans="1:85" x14ac:dyDescent="0.25">
      <c r="A2769">
        <v>23092621615</v>
      </c>
      <c r="B2769" t="s">
        <v>129</v>
      </c>
      <c r="C2769">
        <v>8140</v>
      </c>
      <c r="D2769" t="s">
        <v>129</v>
      </c>
      <c r="E2769" t="s">
        <v>53</v>
      </c>
      <c r="F2769" t="s">
        <v>53</v>
      </c>
      <c r="G2769">
        <v>4</v>
      </c>
      <c r="H2769" t="s">
        <v>54</v>
      </c>
      <c r="I2769">
        <v>0</v>
      </c>
      <c r="J2769">
        <v>32500</v>
      </c>
      <c r="K2769">
        <v>0.19</v>
      </c>
      <c r="L276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69">
        <v>0</v>
      </c>
      <c r="N2769">
        <v>0</v>
      </c>
      <c r="O2769">
        <v>0</v>
      </c>
      <c r="P2769">
        <v>13398.7528</v>
      </c>
      <c r="Q2769">
        <v>63903</v>
      </c>
      <c r="R2769">
        <f>(Grandview_Inventory[[#This Row],[ln_acres]]*Grandview_Inventory[[#This Row],[coeff]])+Grandview_Inventory[[#This Row],[const]]</f>
        <v>41651.273092551026</v>
      </c>
      <c r="AY2769">
        <v>0</v>
      </c>
      <c r="AZ2769">
        <v>0</v>
      </c>
      <c r="BE2769">
        <v>0</v>
      </c>
      <c r="BF2769">
        <v>15000</v>
      </c>
      <c r="BG2769">
        <v>0</v>
      </c>
      <c r="BH2769" s="6">
        <f>Grandview_Inventory[[#This Row],[land_extract]]*Lookups!$B$3</f>
        <v>48369.510983942157</v>
      </c>
      <c r="BI2769" s="6">
        <f>IF(Grandview_Inventory[[#This Row],[bldg_style]]="",0,Lookups!$B$2)</f>
        <v>0</v>
      </c>
      <c r="BJ2769" s="6">
        <f>_xlfn.IFNA(VLOOKUP(Grandview_Inventory[[#This Row],[quality]],Lookups!$H$2:$J$14,3,FALSE),0)</f>
        <v>0</v>
      </c>
      <c r="BK2769" s="6">
        <f>_xlfn.IFNA(VLOOKUP(Grandview_Inventory[[#This Row],[condition]],Lookups!$H$17:$J$24,3,FALSE),0)</f>
        <v>0</v>
      </c>
      <c r="BL2769" s="6">
        <f>Grandview_Inventory[[#This Row],[Eff_Age]]*Lookups!$B$14</f>
        <v>0</v>
      </c>
      <c r="BM2769" s="6">
        <f>Grandview_Inventory[[#This Row],[living_area]]*Lookups!$B$15</f>
        <v>0</v>
      </c>
      <c r="BN2769" s="6">
        <f>Grandview_Inventory[[#This Row],[Fin BSMT]]*Lookups!$B$16</f>
        <v>0</v>
      </c>
      <c r="BO2769" s="6">
        <f>(Grandview_Inventory[[#This Row],[att_gar]]+Grandview_Inventory[[#This Row],[bltin_gar]])*Lookups!$B$17</f>
        <v>0</v>
      </c>
      <c r="BP2769" s="6">
        <f>Grandview_Inventory[[#This Row],[Plumbing Fixtures]]*Lookups!$B$18</f>
        <v>0</v>
      </c>
      <c r="BQ2769" s="6">
        <f>Grandview_Inventory[[#This Row],[detatched_value]]*Lookups!$B$19</f>
        <v>0</v>
      </c>
      <c r="BR2769" s="6">
        <f>SUM(Grandview_Inventory[[#This Row],[Intercept]:[det_value]])*Grandview_Inventory[[#This Row],[res_pct]]</f>
        <v>0</v>
      </c>
      <c r="BS2769" s="6">
        <f>Grandview_Inventory[[#This Row],[land_value]]</f>
        <v>48369.510983942157</v>
      </c>
      <c r="BT2769" s="4">
        <f>_xlfn.IFNA(VLOOKUP(Grandview_Inventory[[#This Row],[quality]],Lookups!$A$26:$C$33,3,FALSE),1)</f>
        <v>1</v>
      </c>
      <c r="BU2769" s="4">
        <f>_xlfn.IFNA(VLOOKUP(Grandview_Inventory[[#This Row],[condition]],Lookups!$A$37:$C$44,3,FALSE),1)</f>
        <v>1</v>
      </c>
      <c r="BV2769" s="4">
        <f>IF(Grandview_Inventory[[#This Row],[bldg_style]]="",1,_xlfn.IFNA(VLOOKUP(Grandview_Inventory[[#This Row],[decade]],Lookups!$F$29:$H$43,3,FALSE),1))</f>
        <v>1</v>
      </c>
      <c r="BW2769" s="4">
        <f>_xlfn.IFNA(VLOOKUP(Grandview_Inventory[[#This Row],[living_area_range]],Lookups!$F$47:$H$56,3,FALSE),1)</f>
        <v>1</v>
      </c>
      <c r="BX2769" s="4">
        <f>AVERAGE(Grandview_Inventory[[#This Row],[qual_adj]:[size_adj]])</f>
        <v>1</v>
      </c>
      <c r="BY2769" s="6">
        <f>IF(Grandview_Inventory[[#This Row],[pre_res]]&lt;0,0,Grandview_Inventory[[#This Row],[pre_res]]*Grandview_Inventory[[#This Row],[overall_adj]])</f>
        <v>0</v>
      </c>
      <c r="BZ2769" s="6">
        <f>(Grandview_Inventory[[#This Row],[sum_land]]-IF(Grandview_Inventory[[#This Row],[no_utilities]]=1,12000,0))/IF(Grandview_Inventory[[#This Row],[unbuildable]]=1,2,1)</f>
        <v>48369.510983942157</v>
      </c>
      <c r="CA276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69">
        <f>ROUND(Grandview_Inventory[[#This Row],[det_value]]*Lookups!$M$28,-2)</f>
        <v>0</v>
      </c>
      <c r="CC276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69">
        <f>Grandview_Inventory[[#This Row],[final_det]]+Grandview_Inventory[[#This Row],[final_res]]</f>
        <v>0</v>
      </c>
      <c r="CE2769">
        <f>Grandview_Inventory[[#This Row],[final_land]]+Grandview_Inventory[[#This Row],[final_imp]]+Grandview_Inventory[[#This Row],[crop_value]]</f>
        <v>46000</v>
      </c>
      <c r="CG2769" t="str">
        <f t="shared" si="44"/>
        <v>update valuation set market_land =46000, market_bldg=0, market_total =46000, market_mdno =401, market_date ='9/10/2023' where link_id = (select link_id from parcel where parcel_year = '2024' and parcel_id = '23092621615');</v>
      </c>
    </row>
    <row r="2770" spans="1:85" x14ac:dyDescent="0.25">
      <c r="A2770">
        <v>23092621617</v>
      </c>
      <c r="B2770" t="s">
        <v>129</v>
      </c>
      <c r="C2770">
        <v>8140</v>
      </c>
      <c r="D2770" t="s">
        <v>129</v>
      </c>
      <c r="E2770" t="s">
        <v>53</v>
      </c>
      <c r="F2770" t="s">
        <v>53</v>
      </c>
      <c r="G2770">
        <v>4</v>
      </c>
      <c r="H2770" t="s">
        <v>54</v>
      </c>
      <c r="I2770">
        <v>0</v>
      </c>
      <c r="J2770">
        <v>32500</v>
      </c>
      <c r="K2770">
        <v>0.19</v>
      </c>
      <c r="L277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0">
        <v>0</v>
      </c>
      <c r="N2770">
        <v>0</v>
      </c>
      <c r="O2770">
        <v>0</v>
      </c>
      <c r="P2770">
        <v>13398.7528</v>
      </c>
      <c r="Q2770">
        <v>63903</v>
      </c>
      <c r="R2770">
        <f>(Grandview_Inventory[[#This Row],[ln_acres]]*Grandview_Inventory[[#This Row],[coeff]])+Grandview_Inventory[[#This Row],[const]]</f>
        <v>41651.273092551026</v>
      </c>
      <c r="AY2770">
        <v>0</v>
      </c>
      <c r="AZ2770">
        <v>0</v>
      </c>
      <c r="BE2770">
        <v>0</v>
      </c>
      <c r="BF2770">
        <v>15000</v>
      </c>
      <c r="BG2770">
        <v>0</v>
      </c>
      <c r="BH2770" s="6">
        <f>Grandview_Inventory[[#This Row],[land_extract]]*Lookups!$B$3</f>
        <v>48369.510983942157</v>
      </c>
      <c r="BI2770" s="6">
        <f>IF(Grandview_Inventory[[#This Row],[bldg_style]]="",0,Lookups!$B$2)</f>
        <v>0</v>
      </c>
      <c r="BJ2770" s="6">
        <f>_xlfn.IFNA(VLOOKUP(Grandview_Inventory[[#This Row],[quality]],Lookups!$H$2:$J$14,3,FALSE),0)</f>
        <v>0</v>
      </c>
      <c r="BK2770" s="6">
        <f>_xlfn.IFNA(VLOOKUP(Grandview_Inventory[[#This Row],[condition]],Lookups!$H$17:$J$24,3,FALSE),0)</f>
        <v>0</v>
      </c>
      <c r="BL2770" s="6">
        <f>Grandview_Inventory[[#This Row],[Eff_Age]]*Lookups!$B$14</f>
        <v>0</v>
      </c>
      <c r="BM2770" s="6">
        <f>Grandview_Inventory[[#This Row],[living_area]]*Lookups!$B$15</f>
        <v>0</v>
      </c>
      <c r="BN2770" s="6">
        <f>Grandview_Inventory[[#This Row],[Fin BSMT]]*Lookups!$B$16</f>
        <v>0</v>
      </c>
      <c r="BO2770" s="6">
        <f>(Grandview_Inventory[[#This Row],[att_gar]]+Grandview_Inventory[[#This Row],[bltin_gar]])*Lookups!$B$17</f>
        <v>0</v>
      </c>
      <c r="BP2770" s="6">
        <f>Grandview_Inventory[[#This Row],[Plumbing Fixtures]]*Lookups!$B$18</f>
        <v>0</v>
      </c>
      <c r="BQ2770" s="6">
        <f>Grandview_Inventory[[#This Row],[detatched_value]]*Lookups!$B$19</f>
        <v>0</v>
      </c>
      <c r="BR2770" s="6">
        <f>SUM(Grandview_Inventory[[#This Row],[Intercept]:[det_value]])*Grandview_Inventory[[#This Row],[res_pct]]</f>
        <v>0</v>
      </c>
      <c r="BS2770" s="6">
        <f>Grandview_Inventory[[#This Row],[land_value]]</f>
        <v>48369.510983942157</v>
      </c>
      <c r="BT2770" s="4">
        <f>_xlfn.IFNA(VLOOKUP(Grandview_Inventory[[#This Row],[quality]],Lookups!$A$26:$C$33,3,FALSE),1)</f>
        <v>1</v>
      </c>
      <c r="BU2770" s="4">
        <f>_xlfn.IFNA(VLOOKUP(Grandview_Inventory[[#This Row],[condition]],Lookups!$A$37:$C$44,3,FALSE),1)</f>
        <v>1</v>
      </c>
      <c r="BV2770" s="4">
        <f>IF(Grandview_Inventory[[#This Row],[bldg_style]]="",1,_xlfn.IFNA(VLOOKUP(Grandview_Inventory[[#This Row],[decade]],Lookups!$F$29:$H$43,3,FALSE),1))</f>
        <v>1</v>
      </c>
      <c r="BW2770" s="4">
        <f>_xlfn.IFNA(VLOOKUP(Grandview_Inventory[[#This Row],[living_area_range]],Lookups!$F$47:$H$56,3,FALSE),1)</f>
        <v>1</v>
      </c>
      <c r="BX2770" s="4">
        <f>AVERAGE(Grandview_Inventory[[#This Row],[qual_adj]:[size_adj]])</f>
        <v>1</v>
      </c>
      <c r="BY2770" s="6">
        <f>IF(Grandview_Inventory[[#This Row],[pre_res]]&lt;0,0,Grandview_Inventory[[#This Row],[pre_res]]*Grandview_Inventory[[#This Row],[overall_adj]])</f>
        <v>0</v>
      </c>
      <c r="BZ2770" s="6">
        <f>(Grandview_Inventory[[#This Row],[sum_land]]-IF(Grandview_Inventory[[#This Row],[no_utilities]]=1,12000,0))/IF(Grandview_Inventory[[#This Row],[unbuildable]]=1,2,1)</f>
        <v>48369.510983942157</v>
      </c>
      <c r="CA277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0">
        <f>ROUND(Grandview_Inventory[[#This Row],[det_value]]*Lookups!$M$28,-2)</f>
        <v>0</v>
      </c>
      <c r="CC277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0">
        <f>Grandview_Inventory[[#This Row],[final_det]]+Grandview_Inventory[[#This Row],[final_res]]</f>
        <v>0</v>
      </c>
      <c r="CE2770">
        <f>Grandview_Inventory[[#This Row],[final_land]]+Grandview_Inventory[[#This Row],[final_imp]]+Grandview_Inventory[[#This Row],[crop_value]]</f>
        <v>46000</v>
      </c>
      <c r="CG2770" t="str">
        <f t="shared" si="44"/>
        <v>update valuation set market_land =46000, market_bldg=0, market_total =46000, market_mdno =401, market_date ='9/10/2023' where link_id = (select link_id from parcel where parcel_year = '2024' and parcel_id = '23092621617');</v>
      </c>
    </row>
    <row r="2771" spans="1:85" x14ac:dyDescent="0.25">
      <c r="A2771">
        <v>23092621627</v>
      </c>
      <c r="B2771" t="s">
        <v>129</v>
      </c>
      <c r="C2771">
        <v>8140</v>
      </c>
      <c r="D2771" t="s">
        <v>129</v>
      </c>
      <c r="E2771" t="s">
        <v>53</v>
      </c>
      <c r="F2771" t="s">
        <v>53</v>
      </c>
      <c r="G2771">
        <v>4</v>
      </c>
      <c r="H2771" t="s">
        <v>54</v>
      </c>
      <c r="I2771">
        <v>0</v>
      </c>
      <c r="J2771">
        <v>32500</v>
      </c>
      <c r="K2771">
        <v>0.19</v>
      </c>
      <c r="L277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1">
        <v>0</v>
      </c>
      <c r="N2771">
        <v>0</v>
      </c>
      <c r="O2771">
        <v>0</v>
      </c>
      <c r="P2771">
        <v>13398.7528</v>
      </c>
      <c r="Q2771">
        <v>63903</v>
      </c>
      <c r="R2771">
        <f>(Grandview_Inventory[[#This Row],[ln_acres]]*Grandview_Inventory[[#This Row],[coeff]])+Grandview_Inventory[[#This Row],[const]]</f>
        <v>41651.273092551026</v>
      </c>
      <c r="AY2771">
        <v>0</v>
      </c>
      <c r="AZ2771">
        <v>0</v>
      </c>
      <c r="BE2771">
        <v>0</v>
      </c>
      <c r="BF2771">
        <v>15000</v>
      </c>
      <c r="BG2771">
        <v>0</v>
      </c>
      <c r="BH2771" s="6">
        <f>Grandview_Inventory[[#This Row],[land_extract]]*Lookups!$B$3</f>
        <v>48369.510983942157</v>
      </c>
      <c r="BI2771" s="6">
        <f>IF(Grandview_Inventory[[#This Row],[bldg_style]]="",0,Lookups!$B$2)</f>
        <v>0</v>
      </c>
      <c r="BJ2771" s="6">
        <f>_xlfn.IFNA(VLOOKUP(Grandview_Inventory[[#This Row],[quality]],Lookups!$H$2:$J$14,3,FALSE),0)</f>
        <v>0</v>
      </c>
      <c r="BK2771" s="6">
        <f>_xlfn.IFNA(VLOOKUP(Grandview_Inventory[[#This Row],[condition]],Lookups!$H$17:$J$24,3,FALSE),0)</f>
        <v>0</v>
      </c>
      <c r="BL2771" s="6">
        <f>Grandview_Inventory[[#This Row],[Eff_Age]]*Lookups!$B$14</f>
        <v>0</v>
      </c>
      <c r="BM2771" s="6">
        <f>Grandview_Inventory[[#This Row],[living_area]]*Lookups!$B$15</f>
        <v>0</v>
      </c>
      <c r="BN2771" s="6">
        <f>Grandview_Inventory[[#This Row],[Fin BSMT]]*Lookups!$B$16</f>
        <v>0</v>
      </c>
      <c r="BO2771" s="6">
        <f>(Grandview_Inventory[[#This Row],[att_gar]]+Grandview_Inventory[[#This Row],[bltin_gar]])*Lookups!$B$17</f>
        <v>0</v>
      </c>
      <c r="BP2771" s="6">
        <f>Grandview_Inventory[[#This Row],[Plumbing Fixtures]]*Lookups!$B$18</f>
        <v>0</v>
      </c>
      <c r="BQ2771" s="6">
        <f>Grandview_Inventory[[#This Row],[detatched_value]]*Lookups!$B$19</f>
        <v>0</v>
      </c>
      <c r="BR2771" s="6">
        <f>SUM(Grandview_Inventory[[#This Row],[Intercept]:[det_value]])*Grandview_Inventory[[#This Row],[res_pct]]</f>
        <v>0</v>
      </c>
      <c r="BS2771" s="6">
        <f>Grandview_Inventory[[#This Row],[land_value]]</f>
        <v>48369.510983942157</v>
      </c>
      <c r="BT2771" s="4">
        <f>_xlfn.IFNA(VLOOKUP(Grandview_Inventory[[#This Row],[quality]],Lookups!$A$26:$C$33,3,FALSE),1)</f>
        <v>1</v>
      </c>
      <c r="BU2771" s="4">
        <f>_xlfn.IFNA(VLOOKUP(Grandview_Inventory[[#This Row],[condition]],Lookups!$A$37:$C$44,3,FALSE),1)</f>
        <v>1</v>
      </c>
      <c r="BV2771" s="4">
        <f>IF(Grandview_Inventory[[#This Row],[bldg_style]]="",1,_xlfn.IFNA(VLOOKUP(Grandview_Inventory[[#This Row],[decade]],Lookups!$F$29:$H$43,3,FALSE),1))</f>
        <v>1</v>
      </c>
      <c r="BW2771" s="4">
        <f>_xlfn.IFNA(VLOOKUP(Grandview_Inventory[[#This Row],[living_area_range]],Lookups!$F$47:$H$56,3,FALSE),1)</f>
        <v>1</v>
      </c>
      <c r="BX2771" s="4">
        <f>AVERAGE(Grandview_Inventory[[#This Row],[qual_adj]:[size_adj]])</f>
        <v>1</v>
      </c>
      <c r="BY2771" s="6">
        <f>IF(Grandview_Inventory[[#This Row],[pre_res]]&lt;0,0,Grandview_Inventory[[#This Row],[pre_res]]*Grandview_Inventory[[#This Row],[overall_adj]])</f>
        <v>0</v>
      </c>
      <c r="BZ2771" s="6">
        <f>(Grandview_Inventory[[#This Row],[sum_land]]-IF(Grandview_Inventory[[#This Row],[no_utilities]]=1,12000,0))/IF(Grandview_Inventory[[#This Row],[unbuildable]]=1,2,1)</f>
        <v>48369.510983942157</v>
      </c>
      <c r="CA277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1">
        <f>ROUND(Grandview_Inventory[[#This Row],[det_value]]*Lookups!$M$28,-2)</f>
        <v>0</v>
      </c>
      <c r="CC277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1">
        <f>Grandview_Inventory[[#This Row],[final_det]]+Grandview_Inventory[[#This Row],[final_res]]</f>
        <v>0</v>
      </c>
      <c r="CE2771">
        <f>Grandview_Inventory[[#This Row],[final_land]]+Grandview_Inventory[[#This Row],[final_imp]]+Grandview_Inventory[[#This Row],[crop_value]]</f>
        <v>46000</v>
      </c>
      <c r="CG2771" t="str">
        <f t="shared" si="44"/>
        <v>update valuation set market_land =46000, market_bldg=0, market_total =46000, market_mdno =401, market_date ='9/10/2023' where link_id = (select link_id from parcel where parcel_year = '2024' and parcel_id = '23092621627');</v>
      </c>
    </row>
    <row r="2772" spans="1:85" x14ac:dyDescent="0.25">
      <c r="A2772">
        <v>23092621628</v>
      </c>
      <c r="B2772" t="s">
        <v>129</v>
      </c>
      <c r="C2772">
        <v>8140</v>
      </c>
      <c r="D2772" t="s">
        <v>129</v>
      </c>
      <c r="E2772" t="s">
        <v>53</v>
      </c>
      <c r="F2772" t="s">
        <v>53</v>
      </c>
      <c r="G2772">
        <v>4</v>
      </c>
      <c r="H2772" t="s">
        <v>54</v>
      </c>
      <c r="I2772">
        <v>0</v>
      </c>
      <c r="J2772">
        <v>32500</v>
      </c>
      <c r="K2772">
        <v>0.19</v>
      </c>
      <c r="L277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2">
        <v>0</v>
      </c>
      <c r="N2772">
        <v>0</v>
      </c>
      <c r="O2772">
        <v>0</v>
      </c>
      <c r="P2772">
        <v>13398.7528</v>
      </c>
      <c r="Q2772">
        <v>63903</v>
      </c>
      <c r="R2772">
        <f>(Grandview_Inventory[[#This Row],[ln_acres]]*Grandview_Inventory[[#This Row],[coeff]])+Grandview_Inventory[[#This Row],[const]]</f>
        <v>41651.273092551026</v>
      </c>
      <c r="AY2772">
        <v>0</v>
      </c>
      <c r="AZ2772">
        <v>0</v>
      </c>
      <c r="BE2772">
        <v>0</v>
      </c>
      <c r="BF2772">
        <v>15000</v>
      </c>
      <c r="BG2772">
        <v>0</v>
      </c>
      <c r="BH2772" s="6">
        <f>Grandview_Inventory[[#This Row],[land_extract]]*Lookups!$B$3</f>
        <v>48369.510983942157</v>
      </c>
      <c r="BI2772" s="6">
        <f>IF(Grandview_Inventory[[#This Row],[bldg_style]]="",0,Lookups!$B$2)</f>
        <v>0</v>
      </c>
      <c r="BJ2772" s="6">
        <f>_xlfn.IFNA(VLOOKUP(Grandview_Inventory[[#This Row],[quality]],Lookups!$H$2:$J$14,3,FALSE),0)</f>
        <v>0</v>
      </c>
      <c r="BK2772" s="6">
        <f>_xlfn.IFNA(VLOOKUP(Grandview_Inventory[[#This Row],[condition]],Lookups!$H$17:$J$24,3,FALSE),0)</f>
        <v>0</v>
      </c>
      <c r="BL2772" s="6">
        <f>Grandview_Inventory[[#This Row],[Eff_Age]]*Lookups!$B$14</f>
        <v>0</v>
      </c>
      <c r="BM2772" s="6">
        <f>Grandview_Inventory[[#This Row],[living_area]]*Lookups!$B$15</f>
        <v>0</v>
      </c>
      <c r="BN2772" s="6">
        <f>Grandview_Inventory[[#This Row],[Fin BSMT]]*Lookups!$B$16</f>
        <v>0</v>
      </c>
      <c r="BO2772" s="6">
        <f>(Grandview_Inventory[[#This Row],[att_gar]]+Grandview_Inventory[[#This Row],[bltin_gar]])*Lookups!$B$17</f>
        <v>0</v>
      </c>
      <c r="BP2772" s="6">
        <f>Grandview_Inventory[[#This Row],[Plumbing Fixtures]]*Lookups!$B$18</f>
        <v>0</v>
      </c>
      <c r="BQ2772" s="6">
        <f>Grandview_Inventory[[#This Row],[detatched_value]]*Lookups!$B$19</f>
        <v>0</v>
      </c>
      <c r="BR2772" s="6">
        <f>SUM(Grandview_Inventory[[#This Row],[Intercept]:[det_value]])*Grandview_Inventory[[#This Row],[res_pct]]</f>
        <v>0</v>
      </c>
      <c r="BS2772" s="6">
        <f>Grandview_Inventory[[#This Row],[land_value]]</f>
        <v>48369.510983942157</v>
      </c>
      <c r="BT2772" s="4">
        <f>_xlfn.IFNA(VLOOKUP(Grandview_Inventory[[#This Row],[quality]],Lookups!$A$26:$C$33,3,FALSE),1)</f>
        <v>1</v>
      </c>
      <c r="BU2772" s="4">
        <f>_xlfn.IFNA(VLOOKUP(Grandview_Inventory[[#This Row],[condition]],Lookups!$A$37:$C$44,3,FALSE),1)</f>
        <v>1</v>
      </c>
      <c r="BV2772" s="4">
        <f>IF(Grandview_Inventory[[#This Row],[bldg_style]]="",1,_xlfn.IFNA(VLOOKUP(Grandview_Inventory[[#This Row],[decade]],Lookups!$F$29:$H$43,3,FALSE),1))</f>
        <v>1</v>
      </c>
      <c r="BW2772" s="4">
        <f>_xlfn.IFNA(VLOOKUP(Grandview_Inventory[[#This Row],[living_area_range]],Lookups!$F$47:$H$56,3,FALSE),1)</f>
        <v>1</v>
      </c>
      <c r="BX2772" s="4">
        <f>AVERAGE(Grandview_Inventory[[#This Row],[qual_adj]:[size_adj]])</f>
        <v>1</v>
      </c>
      <c r="BY2772" s="6">
        <f>IF(Grandview_Inventory[[#This Row],[pre_res]]&lt;0,0,Grandview_Inventory[[#This Row],[pre_res]]*Grandview_Inventory[[#This Row],[overall_adj]])</f>
        <v>0</v>
      </c>
      <c r="BZ2772" s="6">
        <f>(Grandview_Inventory[[#This Row],[sum_land]]-IF(Grandview_Inventory[[#This Row],[no_utilities]]=1,12000,0))/IF(Grandview_Inventory[[#This Row],[unbuildable]]=1,2,1)</f>
        <v>48369.510983942157</v>
      </c>
      <c r="CA277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2">
        <f>ROUND(Grandview_Inventory[[#This Row],[det_value]]*Lookups!$M$28,-2)</f>
        <v>0</v>
      </c>
      <c r="CC277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2">
        <f>Grandview_Inventory[[#This Row],[final_det]]+Grandview_Inventory[[#This Row],[final_res]]</f>
        <v>0</v>
      </c>
      <c r="CE2772">
        <f>Grandview_Inventory[[#This Row],[final_land]]+Grandview_Inventory[[#This Row],[final_imp]]+Grandview_Inventory[[#This Row],[crop_value]]</f>
        <v>46000</v>
      </c>
      <c r="CG2772" t="str">
        <f t="shared" si="44"/>
        <v>update valuation set market_land =46000, market_bldg=0, market_total =46000, market_mdno =401, market_date ='9/10/2023' where link_id = (select link_id from parcel where parcel_year = '2024' and parcel_id = '23092621628');</v>
      </c>
    </row>
    <row r="2773" spans="1:85" x14ac:dyDescent="0.25">
      <c r="A2773">
        <v>23092621629</v>
      </c>
      <c r="B2773" t="s">
        <v>129</v>
      </c>
      <c r="C2773">
        <v>8140</v>
      </c>
      <c r="D2773" t="s">
        <v>129</v>
      </c>
      <c r="E2773" t="s">
        <v>53</v>
      </c>
      <c r="F2773" t="s">
        <v>53</v>
      </c>
      <c r="G2773">
        <v>4</v>
      </c>
      <c r="H2773" t="s">
        <v>54</v>
      </c>
      <c r="I2773">
        <v>0</v>
      </c>
      <c r="J2773">
        <v>32500</v>
      </c>
      <c r="K2773">
        <v>0.19</v>
      </c>
      <c r="L277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3">
        <v>0</v>
      </c>
      <c r="N2773">
        <v>0</v>
      </c>
      <c r="O2773">
        <v>0</v>
      </c>
      <c r="P2773">
        <v>13398.7528</v>
      </c>
      <c r="Q2773">
        <v>63903</v>
      </c>
      <c r="R2773">
        <f>(Grandview_Inventory[[#This Row],[ln_acres]]*Grandview_Inventory[[#This Row],[coeff]])+Grandview_Inventory[[#This Row],[const]]</f>
        <v>41651.273092551026</v>
      </c>
      <c r="AY2773">
        <v>0</v>
      </c>
      <c r="AZ2773">
        <v>0</v>
      </c>
      <c r="BE2773">
        <v>0</v>
      </c>
      <c r="BF2773">
        <v>15000</v>
      </c>
      <c r="BG2773">
        <v>0</v>
      </c>
      <c r="BH2773" s="6">
        <f>Grandview_Inventory[[#This Row],[land_extract]]*Lookups!$B$3</f>
        <v>48369.510983942157</v>
      </c>
      <c r="BI2773" s="6">
        <f>IF(Grandview_Inventory[[#This Row],[bldg_style]]="",0,Lookups!$B$2)</f>
        <v>0</v>
      </c>
      <c r="BJ2773" s="6">
        <f>_xlfn.IFNA(VLOOKUP(Grandview_Inventory[[#This Row],[quality]],Lookups!$H$2:$J$14,3,FALSE),0)</f>
        <v>0</v>
      </c>
      <c r="BK2773" s="6">
        <f>_xlfn.IFNA(VLOOKUP(Grandview_Inventory[[#This Row],[condition]],Lookups!$H$17:$J$24,3,FALSE),0)</f>
        <v>0</v>
      </c>
      <c r="BL2773" s="6">
        <f>Grandview_Inventory[[#This Row],[Eff_Age]]*Lookups!$B$14</f>
        <v>0</v>
      </c>
      <c r="BM2773" s="6">
        <f>Grandview_Inventory[[#This Row],[living_area]]*Lookups!$B$15</f>
        <v>0</v>
      </c>
      <c r="BN2773" s="6">
        <f>Grandview_Inventory[[#This Row],[Fin BSMT]]*Lookups!$B$16</f>
        <v>0</v>
      </c>
      <c r="BO2773" s="6">
        <f>(Grandview_Inventory[[#This Row],[att_gar]]+Grandview_Inventory[[#This Row],[bltin_gar]])*Lookups!$B$17</f>
        <v>0</v>
      </c>
      <c r="BP2773" s="6">
        <f>Grandview_Inventory[[#This Row],[Plumbing Fixtures]]*Lookups!$B$18</f>
        <v>0</v>
      </c>
      <c r="BQ2773" s="6">
        <f>Grandview_Inventory[[#This Row],[detatched_value]]*Lookups!$B$19</f>
        <v>0</v>
      </c>
      <c r="BR2773" s="6">
        <f>SUM(Grandview_Inventory[[#This Row],[Intercept]:[det_value]])*Grandview_Inventory[[#This Row],[res_pct]]</f>
        <v>0</v>
      </c>
      <c r="BS2773" s="6">
        <f>Grandview_Inventory[[#This Row],[land_value]]</f>
        <v>48369.510983942157</v>
      </c>
      <c r="BT2773" s="4">
        <f>_xlfn.IFNA(VLOOKUP(Grandview_Inventory[[#This Row],[quality]],Lookups!$A$26:$C$33,3,FALSE),1)</f>
        <v>1</v>
      </c>
      <c r="BU2773" s="4">
        <f>_xlfn.IFNA(VLOOKUP(Grandview_Inventory[[#This Row],[condition]],Lookups!$A$37:$C$44,3,FALSE),1)</f>
        <v>1</v>
      </c>
      <c r="BV2773" s="4">
        <f>IF(Grandview_Inventory[[#This Row],[bldg_style]]="",1,_xlfn.IFNA(VLOOKUP(Grandview_Inventory[[#This Row],[decade]],Lookups!$F$29:$H$43,3,FALSE),1))</f>
        <v>1</v>
      </c>
      <c r="BW2773" s="4">
        <f>_xlfn.IFNA(VLOOKUP(Grandview_Inventory[[#This Row],[living_area_range]],Lookups!$F$47:$H$56,3,FALSE),1)</f>
        <v>1</v>
      </c>
      <c r="BX2773" s="4">
        <f>AVERAGE(Grandview_Inventory[[#This Row],[qual_adj]:[size_adj]])</f>
        <v>1</v>
      </c>
      <c r="BY2773" s="6">
        <f>IF(Grandview_Inventory[[#This Row],[pre_res]]&lt;0,0,Grandview_Inventory[[#This Row],[pre_res]]*Grandview_Inventory[[#This Row],[overall_adj]])</f>
        <v>0</v>
      </c>
      <c r="BZ2773" s="6">
        <f>(Grandview_Inventory[[#This Row],[sum_land]]-IF(Grandview_Inventory[[#This Row],[no_utilities]]=1,12000,0))/IF(Grandview_Inventory[[#This Row],[unbuildable]]=1,2,1)</f>
        <v>48369.510983942157</v>
      </c>
      <c r="CA277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3">
        <f>ROUND(Grandview_Inventory[[#This Row],[det_value]]*Lookups!$M$28,-2)</f>
        <v>0</v>
      </c>
      <c r="CC277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3">
        <f>Grandview_Inventory[[#This Row],[final_det]]+Grandview_Inventory[[#This Row],[final_res]]</f>
        <v>0</v>
      </c>
      <c r="CE2773">
        <f>Grandview_Inventory[[#This Row],[final_land]]+Grandview_Inventory[[#This Row],[final_imp]]+Grandview_Inventory[[#This Row],[crop_value]]</f>
        <v>46000</v>
      </c>
      <c r="CG2773" t="str">
        <f t="shared" si="44"/>
        <v>update valuation set market_land =46000, market_bldg=0, market_total =46000, market_mdno =401, market_date ='9/10/2023' where link_id = (select link_id from parcel where parcel_year = '2024' and parcel_id = '23092621629');</v>
      </c>
    </row>
    <row r="2774" spans="1:85" x14ac:dyDescent="0.25">
      <c r="A2774">
        <v>23092621630</v>
      </c>
      <c r="B2774" t="s">
        <v>129</v>
      </c>
      <c r="C2774">
        <v>8140</v>
      </c>
      <c r="D2774" t="s">
        <v>129</v>
      </c>
      <c r="E2774" t="s">
        <v>53</v>
      </c>
      <c r="F2774" t="s">
        <v>53</v>
      </c>
      <c r="G2774">
        <v>4</v>
      </c>
      <c r="H2774" t="s">
        <v>54</v>
      </c>
      <c r="I2774">
        <v>0</v>
      </c>
      <c r="J2774">
        <v>32500</v>
      </c>
      <c r="K2774">
        <v>0.19</v>
      </c>
      <c r="L277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4">
        <v>0</v>
      </c>
      <c r="N2774">
        <v>0</v>
      </c>
      <c r="O2774">
        <v>0</v>
      </c>
      <c r="P2774">
        <v>13398.7528</v>
      </c>
      <c r="Q2774">
        <v>63903</v>
      </c>
      <c r="R2774">
        <f>(Grandview_Inventory[[#This Row],[ln_acres]]*Grandview_Inventory[[#This Row],[coeff]])+Grandview_Inventory[[#This Row],[const]]</f>
        <v>41651.273092551026</v>
      </c>
      <c r="AY2774">
        <v>0</v>
      </c>
      <c r="AZ2774">
        <v>0</v>
      </c>
      <c r="BE2774">
        <v>0</v>
      </c>
      <c r="BF2774">
        <v>15000</v>
      </c>
      <c r="BG2774">
        <v>0</v>
      </c>
      <c r="BH2774" s="6">
        <f>Grandview_Inventory[[#This Row],[land_extract]]*Lookups!$B$3</f>
        <v>48369.510983942157</v>
      </c>
      <c r="BI2774" s="6">
        <f>IF(Grandview_Inventory[[#This Row],[bldg_style]]="",0,Lookups!$B$2)</f>
        <v>0</v>
      </c>
      <c r="BJ2774" s="6">
        <f>_xlfn.IFNA(VLOOKUP(Grandview_Inventory[[#This Row],[quality]],Lookups!$H$2:$J$14,3,FALSE),0)</f>
        <v>0</v>
      </c>
      <c r="BK2774" s="6">
        <f>_xlfn.IFNA(VLOOKUP(Grandview_Inventory[[#This Row],[condition]],Lookups!$H$17:$J$24,3,FALSE),0)</f>
        <v>0</v>
      </c>
      <c r="BL2774" s="6">
        <f>Grandview_Inventory[[#This Row],[Eff_Age]]*Lookups!$B$14</f>
        <v>0</v>
      </c>
      <c r="BM2774" s="6">
        <f>Grandview_Inventory[[#This Row],[living_area]]*Lookups!$B$15</f>
        <v>0</v>
      </c>
      <c r="BN2774" s="6">
        <f>Grandview_Inventory[[#This Row],[Fin BSMT]]*Lookups!$B$16</f>
        <v>0</v>
      </c>
      <c r="BO2774" s="6">
        <f>(Grandview_Inventory[[#This Row],[att_gar]]+Grandview_Inventory[[#This Row],[bltin_gar]])*Lookups!$B$17</f>
        <v>0</v>
      </c>
      <c r="BP2774" s="6">
        <f>Grandview_Inventory[[#This Row],[Plumbing Fixtures]]*Lookups!$B$18</f>
        <v>0</v>
      </c>
      <c r="BQ2774" s="6">
        <f>Grandview_Inventory[[#This Row],[detatched_value]]*Lookups!$B$19</f>
        <v>0</v>
      </c>
      <c r="BR2774" s="6">
        <f>SUM(Grandview_Inventory[[#This Row],[Intercept]:[det_value]])*Grandview_Inventory[[#This Row],[res_pct]]</f>
        <v>0</v>
      </c>
      <c r="BS2774" s="6">
        <f>Grandview_Inventory[[#This Row],[land_value]]</f>
        <v>48369.510983942157</v>
      </c>
      <c r="BT2774" s="4">
        <f>_xlfn.IFNA(VLOOKUP(Grandview_Inventory[[#This Row],[quality]],Lookups!$A$26:$C$33,3,FALSE),1)</f>
        <v>1</v>
      </c>
      <c r="BU2774" s="4">
        <f>_xlfn.IFNA(VLOOKUP(Grandview_Inventory[[#This Row],[condition]],Lookups!$A$37:$C$44,3,FALSE),1)</f>
        <v>1</v>
      </c>
      <c r="BV2774" s="4">
        <f>IF(Grandview_Inventory[[#This Row],[bldg_style]]="",1,_xlfn.IFNA(VLOOKUP(Grandview_Inventory[[#This Row],[decade]],Lookups!$F$29:$H$43,3,FALSE),1))</f>
        <v>1</v>
      </c>
      <c r="BW2774" s="4">
        <f>_xlfn.IFNA(VLOOKUP(Grandview_Inventory[[#This Row],[living_area_range]],Lookups!$F$47:$H$56,3,FALSE),1)</f>
        <v>1</v>
      </c>
      <c r="BX2774" s="4">
        <f>AVERAGE(Grandview_Inventory[[#This Row],[qual_adj]:[size_adj]])</f>
        <v>1</v>
      </c>
      <c r="BY2774" s="6">
        <f>IF(Grandview_Inventory[[#This Row],[pre_res]]&lt;0,0,Grandview_Inventory[[#This Row],[pre_res]]*Grandview_Inventory[[#This Row],[overall_adj]])</f>
        <v>0</v>
      </c>
      <c r="BZ2774" s="6">
        <f>(Grandview_Inventory[[#This Row],[sum_land]]-IF(Grandview_Inventory[[#This Row],[no_utilities]]=1,12000,0))/IF(Grandview_Inventory[[#This Row],[unbuildable]]=1,2,1)</f>
        <v>48369.510983942157</v>
      </c>
      <c r="CA277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4">
        <f>ROUND(Grandview_Inventory[[#This Row],[det_value]]*Lookups!$M$28,-2)</f>
        <v>0</v>
      </c>
      <c r="CC277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4">
        <f>Grandview_Inventory[[#This Row],[final_det]]+Grandview_Inventory[[#This Row],[final_res]]</f>
        <v>0</v>
      </c>
      <c r="CE2774">
        <f>Grandview_Inventory[[#This Row],[final_land]]+Grandview_Inventory[[#This Row],[final_imp]]+Grandview_Inventory[[#This Row],[crop_value]]</f>
        <v>46000</v>
      </c>
      <c r="CG2774" t="str">
        <f t="shared" si="44"/>
        <v>update valuation set market_land =46000, market_bldg=0, market_total =46000, market_mdno =401, market_date ='9/10/2023' where link_id = (select link_id from parcel where parcel_year = '2024' and parcel_id = '23092621630');</v>
      </c>
    </row>
    <row r="2775" spans="1:85" x14ac:dyDescent="0.25">
      <c r="A2775">
        <v>23092621631</v>
      </c>
      <c r="B2775" t="s">
        <v>129</v>
      </c>
      <c r="C2775">
        <v>8140</v>
      </c>
      <c r="D2775" t="s">
        <v>129</v>
      </c>
      <c r="E2775" t="s">
        <v>53</v>
      </c>
      <c r="F2775" t="s">
        <v>53</v>
      </c>
      <c r="G2775">
        <v>4</v>
      </c>
      <c r="H2775" t="s">
        <v>54</v>
      </c>
      <c r="I2775">
        <v>0</v>
      </c>
      <c r="J2775">
        <v>32500</v>
      </c>
      <c r="K2775">
        <v>0.19</v>
      </c>
      <c r="L277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5">
        <v>0</v>
      </c>
      <c r="N2775">
        <v>0</v>
      </c>
      <c r="O2775">
        <v>0</v>
      </c>
      <c r="P2775">
        <v>13398.7528</v>
      </c>
      <c r="Q2775">
        <v>63903</v>
      </c>
      <c r="R2775">
        <f>(Grandview_Inventory[[#This Row],[ln_acres]]*Grandview_Inventory[[#This Row],[coeff]])+Grandview_Inventory[[#This Row],[const]]</f>
        <v>41651.273092551026</v>
      </c>
      <c r="AY2775">
        <v>0</v>
      </c>
      <c r="AZ2775">
        <v>0</v>
      </c>
      <c r="BE2775">
        <v>0</v>
      </c>
      <c r="BF2775">
        <v>15000</v>
      </c>
      <c r="BG2775">
        <v>0</v>
      </c>
      <c r="BH2775" s="6">
        <f>Grandview_Inventory[[#This Row],[land_extract]]*Lookups!$B$3</f>
        <v>48369.510983942157</v>
      </c>
      <c r="BI2775" s="6">
        <f>IF(Grandview_Inventory[[#This Row],[bldg_style]]="",0,Lookups!$B$2)</f>
        <v>0</v>
      </c>
      <c r="BJ2775" s="6">
        <f>_xlfn.IFNA(VLOOKUP(Grandview_Inventory[[#This Row],[quality]],Lookups!$H$2:$J$14,3,FALSE),0)</f>
        <v>0</v>
      </c>
      <c r="BK2775" s="6">
        <f>_xlfn.IFNA(VLOOKUP(Grandview_Inventory[[#This Row],[condition]],Lookups!$H$17:$J$24,3,FALSE),0)</f>
        <v>0</v>
      </c>
      <c r="BL2775" s="6">
        <f>Grandview_Inventory[[#This Row],[Eff_Age]]*Lookups!$B$14</f>
        <v>0</v>
      </c>
      <c r="BM2775" s="6">
        <f>Grandview_Inventory[[#This Row],[living_area]]*Lookups!$B$15</f>
        <v>0</v>
      </c>
      <c r="BN2775" s="6">
        <f>Grandview_Inventory[[#This Row],[Fin BSMT]]*Lookups!$B$16</f>
        <v>0</v>
      </c>
      <c r="BO2775" s="6">
        <f>(Grandview_Inventory[[#This Row],[att_gar]]+Grandview_Inventory[[#This Row],[bltin_gar]])*Lookups!$B$17</f>
        <v>0</v>
      </c>
      <c r="BP2775" s="6">
        <f>Grandview_Inventory[[#This Row],[Plumbing Fixtures]]*Lookups!$B$18</f>
        <v>0</v>
      </c>
      <c r="BQ2775" s="6">
        <f>Grandview_Inventory[[#This Row],[detatched_value]]*Lookups!$B$19</f>
        <v>0</v>
      </c>
      <c r="BR2775" s="6">
        <f>SUM(Grandview_Inventory[[#This Row],[Intercept]:[det_value]])*Grandview_Inventory[[#This Row],[res_pct]]</f>
        <v>0</v>
      </c>
      <c r="BS2775" s="6">
        <f>Grandview_Inventory[[#This Row],[land_value]]</f>
        <v>48369.510983942157</v>
      </c>
      <c r="BT2775" s="4">
        <f>_xlfn.IFNA(VLOOKUP(Grandview_Inventory[[#This Row],[quality]],Lookups!$A$26:$C$33,3,FALSE),1)</f>
        <v>1</v>
      </c>
      <c r="BU2775" s="4">
        <f>_xlfn.IFNA(VLOOKUP(Grandview_Inventory[[#This Row],[condition]],Lookups!$A$37:$C$44,3,FALSE),1)</f>
        <v>1</v>
      </c>
      <c r="BV2775" s="4">
        <f>IF(Grandview_Inventory[[#This Row],[bldg_style]]="",1,_xlfn.IFNA(VLOOKUP(Grandview_Inventory[[#This Row],[decade]],Lookups!$F$29:$H$43,3,FALSE),1))</f>
        <v>1</v>
      </c>
      <c r="BW2775" s="4">
        <f>_xlfn.IFNA(VLOOKUP(Grandview_Inventory[[#This Row],[living_area_range]],Lookups!$F$47:$H$56,3,FALSE),1)</f>
        <v>1</v>
      </c>
      <c r="BX2775" s="4">
        <f>AVERAGE(Grandview_Inventory[[#This Row],[qual_adj]:[size_adj]])</f>
        <v>1</v>
      </c>
      <c r="BY2775" s="6">
        <f>IF(Grandview_Inventory[[#This Row],[pre_res]]&lt;0,0,Grandview_Inventory[[#This Row],[pre_res]]*Grandview_Inventory[[#This Row],[overall_adj]])</f>
        <v>0</v>
      </c>
      <c r="BZ2775" s="6">
        <f>(Grandview_Inventory[[#This Row],[sum_land]]-IF(Grandview_Inventory[[#This Row],[no_utilities]]=1,12000,0))/IF(Grandview_Inventory[[#This Row],[unbuildable]]=1,2,1)</f>
        <v>48369.510983942157</v>
      </c>
      <c r="CA277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5">
        <f>ROUND(Grandview_Inventory[[#This Row],[det_value]]*Lookups!$M$28,-2)</f>
        <v>0</v>
      </c>
      <c r="CC277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5">
        <f>Grandview_Inventory[[#This Row],[final_det]]+Grandview_Inventory[[#This Row],[final_res]]</f>
        <v>0</v>
      </c>
      <c r="CE2775">
        <f>Grandview_Inventory[[#This Row],[final_land]]+Grandview_Inventory[[#This Row],[final_imp]]+Grandview_Inventory[[#This Row],[crop_value]]</f>
        <v>46000</v>
      </c>
      <c r="CG2775" t="str">
        <f t="shared" si="44"/>
        <v>update valuation set market_land =46000, market_bldg=0, market_total =46000, market_mdno =401, market_date ='9/10/2023' where link_id = (select link_id from parcel where parcel_year = '2024' and parcel_id = '23092621631');</v>
      </c>
    </row>
    <row r="2776" spans="1:85" x14ac:dyDescent="0.25">
      <c r="A2776">
        <v>23092621632</v>
      </c>
      <c r="B2776" t="s">
        <v>129</v>
      </c>
      <c r="C2776">
        <v>8140</v>
      </c>
      <c r="D2776" t="s">
        <v>129</v>
      </c>
      <c r="E2776" t="s">
        <v>53</v>
      </c>
      <c r="F2776" t="s">
        <v>53</v>
      </c>
      <c r="G2776">
        <v>4</v>
      </c>
      <c r="H2776" t="s">
        <v>54</v>
      </c>
      <c r="I2776">
        <v>0</v>
      </c>
      <c r="J2776">
        <v>32500</v>
      </c>
      <c r="K2776">
        <v>0.19</v>
      </c>
      <c r="L277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6">
        <v>0</v>
      </c>
      <c r="N2776">
        <v>0</v>
      </c>
      <c r="O2776">
        <v>0</v>
      </c>
      <c r="P2776">
        <v>13398.7528</v>
      </c>
      <c r="Q2776">
        <v>63903</v>
      </c>
      <c r="R2776">
        <f>(Grandview_Inventory[[#This Row],[ln_acres]]*Grandview_Inventory[[#This Row],[coeff]])+Grandview_Inventory[[#This Row],[const]]</f>
        <v>41651.273092551026</v>
      </c>
      <c r="AY2776">
        <v>0</v>
      </c>
      <c r="AZ2776">
        <v>0</v>
      </c>
      <c r="BE2776">
        <v>0</v>
      </c>
      <c r="BF2776">
        <v>15000</v>
      </c>
      <c r="BG2776">
        <v>0</v>
      </c>
      <c r="BH2776" s="6">
        <f>Grandview_Inventory[[#This Row],[land_extract]]*Lookups!$B$3</f>
        <v>48369.510983942157</v>
      </c>
      <c r="BI2776" s="6">
        <f>IF(Grandview_Inventory[[#This Row],[bldg_style]]="",0,Lookups!$B$2)</f>
        <v>0</v>
      </c>
      <c r="BJ2776" s="6">
        <f>_xlfn.IFNA(VLOOKUP(Grandview_Inventory[[#This Row],[quality]],Lookups!$H$2:$J$14,3,FALSE),0)</f>
        <v>0</v>
      </c>
      <c r="BK2776" s="6">
        <f>_xlfn.IFNA(VLOOKUP(Grandview_Inventory[[#This Row],[condition]],Lookups!$H$17:$J$24,3,FALSE),0)</f>
        <v>0</v>
      </c>
      <c r="BL2776" s="6">
        <f>Grandview_Inventory[[#This Row],[Eff_Age]]*Lookups!$B$14</f>
        <v>0</v>
      </c>
      <c r="BM2776" s="6">
        <f>Grandview_Inventory[[#This Row],[living_area]]*Lookups!$B$15</f>
        <v>0</v>
      </c>
      <c r="BN2776" s="6">
        <f>Grandview_Inventory[[#This Row],[Fin BSMT]]*Lookups!$B$16</f>
        <v>0</v>
      </c>
      <c r="BO2776" s="6">
        <f>(Grandview_Inventory[[#This Row],[att_gar]]+Grandview_Inventory[[#This Row],[bltin_gar]])*Lookups!$B$17</f>
        <v>0</v>
      </c>
      <c r="BP2776" s="6">
        <f>Grandview_Inventory[[#This Row],[Plumbing Fixtures]]*Lookups!$B$18</f>
        <v>0</v>
      </c>
      <c r="BQ2776" s="6">
        <f>Grandview_Inventory[[#This Row],[detatched_value]]*Lookups!$B$19</f>
        <v>0</v>
      </c>
      <c r="BR2776" s="6">
        <f>SUM(Grandview_Inventory[[#This Row],[Intercept]:[det_value]])*Grandview_Inventory[[#This Row],[res_pct]]</f>
        <v>0</v>
      </c>
      <c r="BS2776" s="6">
        <f>Grandview_Inventory[[#This Row],[land_value]]</f>
        <v>48369.510983942157</v>
      </c>
      <c r="BT2776" s="4">
        <f>_xlfn.IFNA(VLOOKUP(Grandview_Inventory[[#This Row],[quality]],Lookups!$A$26:$C$33,3,FALSE),1)</f>
        <v>1</v>
      </c>
      <c r="BU2776" s="4">
        <f>_xlfn.IFNA(VLOOKUP(Grandview_Inventory[[#This Row],[condition]],Lookups!$A$37:$C$44,3,FALSE),1)</f>
        <v>1</v>
      </c>
      <c r="BV2776" s="4">
        <f>IF(Grandview_Inventory[[#This Row],[bldg_style]]="",1,_xlfn.IFNA(VLOOKUP(Grandview_Inventory[[#This Row],[decade]],Lookups!$F$29:$H$43,3,FALSE),1))</f>
        <v>1</v>
      </c>
      <c r="BW2776" s="4">
        <f>_xlfn.IFNA(VLOOKUP(Grandview_Inventory[[#This Row],[living_area_range]],Lookups!$F$47:$H$56,3,FALSE),1)</f>
        <v>1</v>
      </c>
      <c r="BX2776" s="4">
        <f>AVERAGE(Grandview_Inventory[[#This Row],[qual_adj]:[size_adj]])</f>
        <v>1</v>
      </c>
      <c r="BY2776" s="6">
        <f>IF(Grandview_Inventory[[#This Row],[pre_res]]&lt;0,0,Grandview_Inventory[[#This Row],[pre_res]]*Grandview_Inventory[[#This Row],[overall_adj]])</f>
        <v>0</v>
      </c>
      <c r="BZ2776" s="6">
        <f>(Grandview_Inventory[[#This Row],[sum_land]]-IF(Grandview_Inventory[[#This Row],[no_utilities]]=1,12000,0))/IF(Grandview_Inventory[[#This Row],[unbuildable]]=1,2,1)</f>
        <v>48369.510983942157</v>
      </c>
      <c r="CA277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6">
        <f>ROUND(Grandview_Inventory[[#This Row],[det_value]]*Lookups!$M$28,-2)</f>
        <v>0</v>
      </c>
      <c r="CC277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6">
        <f>Grandview_Inventory[[#This Row],[final_det]]+Grandview_Inventory[[#This Row],[final_res]]</f>
        <v>0</v>
      </c>
      <c r="CE2776">
        <f>Grandview_Inventory[[#This Row],[final_land]]+Grandview_Inventory[[#This Row],[final_imp]]+Grandview_Inventory[[#This Row],[crop_value]]</f>
        <v>46000</v>
      </c>
      <c r="CG2776" t="str">
        <f t="shared" si="44"/>
        <v>update valuation set market_land =46000, market_bldg=0, market_total =46000, market_mdno =401, market_date ='9/10/2023' where link_id = (select link_id from parcel where parcel_year = '2024' and parcel_id = '23092621632');</v>
      </c>
    </row>
    <row r="2777" spans="1:85" x14ac:dyDescent="0.25">
      <c r="A2777">
        <v>23092621633</v>
      </c>
      <c r="B2777" t="s">
        <v>129</v>
      </c>
      <c r="C2777">
        <v>8140</v>
      </c>
      <c r="D2777" t="s">
        <v>129</v>
      </c>
      <c r="E2777" t="s">
        <v>53</v>
      </c>
      <c r="F2777" t="s">
        <v>53</v>
      </c>
      <c r="G2777">
        <v>4</v>
      </c>
      <c r="H2777" t="s">
        <v>54</v>
      </c>
      <c r="I2777">
        <v>0</v>
      </c>
      <c r="J2777">
        <v>32500</v>
      </c>
      <c r="K2777">
        <v>0.19</v>
      </c>
      <c r="L277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7">
        <v>0</v>
      </c>
      <c r="N2777">
        <v>0</v>
      </c>
      <c r="O2777">
        <v>0</v>
      </c>
      <c r="P2777">
        <v>13398.7528</v>
      </c>
      <c r="Q2777">
        <v>63903</v>
      </c>
      <c r="R2777">
        <f>(Grandview_Inventory[[#This Row],[ln_acres]]*Grandview_Inventory[[#This Row],[coeff]])+Grandview_Inventory[[#This Row],[const]]</f>
        <v>41651.273092551026</v>
      </c>
      <c r="AY2777">
        <v>0</v>
      </c>
      <c r="AZ2777">
        <v>0</v>
      </c>
      <c r="BE2777">
        <v>0</v>
      </c>
      <c r="BF2777">
        <v>15000</v>
      </c>
      <c r="BG2777">
        <v>0</v>
      </c>
      <c r="BH2777" s="6">
        <f>Grandview_Inventory[[#This Row],[land_extract]]*Lookups!$B$3</f>
        <v>48369.510983942157</v>
      </c>
      <c r="BI2777" s="6">
        <f>IF(Grandview_Inventory[[#This Row],[bldg_style]]="",0,Lookups!$B$2)</f>
        <v>0</v>
      </c>
      <c r="BJ2777" s="6">
        <f>_xlfn.IFNA(VLOOKUP(Grandview_Inventory[[#This Row],[quality]],Lookups!$H$2:$J$14,3,FALSE),0)</f>
        <v>0</v>
      </c>
      <c r="BK2777" s="6">
        <f>_xlfn.IFNA(VLOOKUP(Grandview_Inventory[[#This Row],[condition]],Lookups!$H$17:$J$24,3,FALSE),0)</f>
        <v>0</v>
      </c>
      <c r="BL2777" s="6">
        <f>Grandview_Inventory[[#This Row],[Eff_Age]]*Lookups!$B$14</f>
        <v>0</v>
      </c>
      <c r="BM2777" s="6">
        <f>Grandview_Inventory[[#This Row],[living_area]]*Lookups!$B$15</f>
        <v>0</v>
      </c>
      <c r="BN2777" s="6">
        <f>Grandview_Inventory[[#This Row],[Fin BSMT]]*Lookups!$B$16</f>
        <v>0</v>
      </c>
      <c r="BO2777" s="6">
        <f>(Grandview_Inventory[[#This Row],[att_gar]]+Grandview_Inventory[[#This Row],[bltin_gar]])*Lookups!$B$17</f>
        <v>0</v>
      </c>
      <c r="BP2777" s="6">
        <f>Grandview_Inventory[[#This Row],[Plumbing Fixtures]]*Lookups!$B$18</f>
        <v>0</v>
      </c>
      <c r="BQ2777" s="6">
        <f>Grandview_Inventory[[#This Row],[detatched_value]]*Lookups!$B$19</f>
        <v>0</v>
      </c>
      <c r="BR2777" s="6">
        <f>SUM(Grandview_Inventory[[#This Row],[Intercept]:[det_value]])*Grandview_Inventory[[#This Row],[res_pct]]</f>
        <v>0</v>
      </c>
      <c r="BS2777" s="6">
        <f>Grandview_Inventory[[#This Row],[land_value]]</f>
        <v>48369.510983942157</v>
      </c>
      <c r="BT2777" s="4">
        <f>_xlfn.IFNA(VLOOKUP(Grandview_Inventory[[#This Row],[quality]],Lookups!$A$26:$C$33,3,FALSE),1)</f>
        <v>1</v>
      </c>
      <c r="BU2777" s="4">
        <f>_xlfn.IFNA(VLOOKUP(Grandview_Inventory[[#This Row],[condition]],Lookups!$A$37:$C$44,3,FALSE),1)</f>
        <v>1</v>
      </c>
      <c r="BV2777" s="4">
        <f>IF(Grandview_Inventory[[#This Row],[bldg_style]]="",1,_xlfn.IFNA(VLOOKUP(Grandview_Inventory[[#This Row],[decade]],Lookups!$F$29:$H$43,3,FALSE),1))</f>
        <v>1</v>
      </c>
      <c r="BW2777" s="4">
        <f>_xlfn.IFNA(VLOOKUP(Grandview_Inventory[[#This Row],[living_area_range]],Lookups!$F$47:$H$56,3,FALSE),1)</f>
        <v>1</v>
      </c>
      <c r="BX2777" s="4">
        <f>AVERAGE(Grandview_Inventory[[#This Row],[qual_adj]:[size_adj]])</f>
        <v>1</v>
      </c>
      <c r="BY2777" s="6">
        <f>IF(Grandview_Inventory[[#This Row],[pre_res]]&lt;0,0,Grandview_Inventory[[#This Row],[pre_res]]*Grandview_Inventory[[#This Row],[overall_adj]])</f>
        <v>0</v>
      </c>
      <c r="BZ2777" s="6">
        <f>(Grandview_Inventory[[#This Row],[sum_land]]-IF(Grandview_Inventory[[#This Row],[no_utilities]]=1,12000,0))/IF(Grandview_Inventory[[#This Row],[unbuildable]]=1,2,1)</f>
        <v>48369.510983942157</v>
      </c>
      <c r="CA277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7">
        <f>ROUND(Grandview_Inventory[[#This Row],[det_value]]*Lookups!$M$28,-2)</f>
        <v>0</v>
      </c>
      <c r="CC277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7">
        <f>Grandview_Inventory[[#This Row],[final_det]]+Grandview_Inventory[[#This Row],[final_res]]</f>
        <v>0</v>
      </c>
      <c r="CE2777">
        <f>Grandview_Inventory[[#This Row],[final_land]]+Grandview_Inventory[[#This Row],[final_imp]]+Grandview_Inventory[[#This Row],[crop_value]]</f>
        <v>46000</v>
      </c>
      <c r="CG2777" t="str">
        <f t="shared" si="44"/>
        <v>update valuation set market_land =46000, market_bldg=0, market_total =46000, market_mdno =401, market_date ='9/10/2023' where link_id = (select link_id from parcel where parcel_year = '2024' and parcel_id = '23092621633');</v>
      </c>
    </row>
    <row r="2778" spans="1:85" x14ac:dyDescent="0.25">
      <c r="A2778">
        <v>23092621634</v>
      </c>
      <c r="B2778" t="s">
        <v>129</v>
      </c>
      <c r="C2778">
        <v>8140</v>
      </c>
      <c r="D2778" t="s">
        <v>129</v>
      </c>
      <c r="E2778" t="s">
        <v>53</v>
      </c>
      <c r="F2778" t="s">
        <v>53</v>
      </c>
      <c r="G2778">
        <v>4</v>
      </c>
      <c r="H2778" t="s">
        <v>54</v>
      </c>
      <c r="I2778">
        <v>0</v>
      </c>
      <c r="J2778">
        <v>32500</v>
      </c>
      <c r="K2778">
        <v>0.19</v>
      </c>
      <c r="L277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8">
        <v>0</v>
      </c>
      <c r="N2778">
        <v>0</v>
      </c>
      <c r="O2778">
        <v>0</v>
      </c>
      <c r="P2778">
        <v>13398.7528</v>
      </c>
      <c r="Q2778">
        <v>63903</v>
      </c>
      <c r="R2778">
        <f>(Grandview_Inventory[[#This Row],[ln_acres]]*Grandview_Inventory[[#This Row],[coeff]])+Grandview_Inventory[[#This Row],[const]]</f>
        <v>41651.273092551026</v>
      </c>
      <c r="AY2778">
        <v>0</v>
      </c>
      <c r="AZ2778">
        <v>0</v>
      </c>
      <c r="BE2778">
        <v>0</v>
      </c>
      <c r="BF2778">
        <v>15000</v>
      </c>
      <c r="BG2778">
        <v>0</v>
      </c>
      <c r="BH2778" s="6">
        <f>Grandview_Inventory[[#This Row],[land_extract]]*Lookups!$B$3</f>
        <v>48369.510983942157</v>
      </c>
      <c r="BI2778" s="6">
        <f>IF(Grandview_Inventory[[#This Row],[bldg_style]]="",0,Lookups!$B$2)</f>
        <v>0</v>
      </c>
      <c r="BJ2778" s="6">
        <f>_xlfn.IFNA(VLOOKUP(Grandview_Inventory[[#This Row],[quality]],Lookups!$H$2:$J$14,3,FALSE),0)</f>
        <v>0</v>
      </c>
      <c r="BK2778" s="6">
        <f>_xlfn.IFNA(VLOOKUP(Grandview_Inventory[[#This Row],[condition]],Lookups!$H$17:$J$24,3,FALSE),0)</f>
        <v>0</v>
      </c>
      <c r="BL2778" s="6">
        <f>Grandview_Inventory[[#This Row],[Eff_Age]]*Lookups!$B$14</f>
        <v>0</v>
      </c>
      <c r="BM2778" s="6">
        <f>Grandview_Inventory[[#This Row],[living_area]]*Lookups!$B$15</f>
        <v>0</v>
      </c>
      <c r="BN2778" s="6">
        <f>Grandview_Inventory[[#This Row],[Fin BSMT]]*Lookups!$B$16</f>
        <v>0</v>
      </c>
      <c r="BO2778" s="6">
        <f>(Grandview_Inventory[[#This Row],[att_gar]]+Grandview_Inventory[[#This Row],[bltin_gar]])*Lookups!$B$17</f>
        <v>0</v>
      </c>
      <c r="BP2778" s="6">
        <f>Grandview_Inventory[[#This Row],[Plumbing Fixtures]]*Lookups!$B$18</f>
        <v>0</v>
      </c>
      <c r="BQ2778" s="6">
        <f>Grandview_Inventory[[#This Row],[detatched_value]]*Lookups!$B$19</f>
        <v>0</v>
      </c>
      <c r="BR2778" s="6">
        <f>SUM(Grandview_Inventory[[#This Row],[Intercept]:[det_value]])*Grandview_Inventory[[#This Row],[res_pct]]</f>
        <v>0</v>
      </c>
      <c r="BS2778" s="6">
        <f>Grandview_Inventory[[#This Row],[land_value]]</f>
        <v>48369.510983942157</v>
      </c>
      <c r="BT2778" s="4">
        <f>_xlfn.IFNA(VLOOKUP(Grandview_Inventory[[#This Row],[quality]],Lookups!$A$26:$C$33,3,FALSE),1)</f>
        <v>1</v>
      </c>
      <c r="BU2778" s="4">
        <f>_xlfn.IFNA(VLOOKUP(Grandview_Inventory[[#This Row],[condition]],Lookups!$A$37:$C$44,3,FALSE),1)</f>
        <v>1</v>
      </c>
      <c r="BV2778" s="4">
        <f>IF(Grandview_Inventory[[#This Row],[bldg_style]]="",1,_xlfn.IFNA(VLOOKUP(Grandview_Inventory[[#This Row],[decade]],Lookups!$F$29:$H$43,3,FALSE),1))</f>
        <v>1</v>
      </c>
      <c r="BW2778" s="4">
        <f>_xlfn.IFNA(VLOOKUP(Grandview_Inventory[[#This Row],[living_area_range]],Lookups!$F$47:$H$56,3,FALSE),1)</f>
        <v>1</v>
      </c>
      <c r="BX2778" s="4">
        <f>AVERAGE(Grandview_Inventory[[#This Row],[qual_adj]:[size_adj]])</f>
        <v>1</v>
      </c>
      <c r="BY2778" s="6">
        <f>IF(Grandview_Inventory[[#This Row],[pre_res]]&lt;0,0,Grandview_Inventory[[#This Row],[pre_res]]*Grandview_Inventory[[#This Row],[overall_adj]])</f>
        <v>0</v>
      </c>
      <c r="BZ2778" s="6">
        <f>(Grandview_Inventory[[#This Row],[sum_land]]-IF(Grandview_Inventory[[#This Row],[no_utilities]]=1,12000,0))/IF(Grandview_Inventory[[#This Row],[unbuildable]]=1,2,1)</f>
        <v>48369.510983942157</v>
      </c>
      <c r="CA277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8">
        <f>ROUND(Grandview_Inventory[[#This Row],[det_value]]*Lookups!$M$28,-2)</f>
        <v>0</v>
      </c>
      <c r="CC277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8">
        <f>Grandview_Inventory[[#This Row],[final_det]]+Grandview_Inventory[[#This Row],[final_res]]</f>
        <v>0</v>
      </c>
      <c r="CE2778">
        <f>Grandview_Inventory[[#This Row],[final_land]]+Grandview_Inventory[[#This Row],[final_imp]]+Grandview_Inventory[[#This Row],[crop_value]]</f>
        <v>46000</v>
      </c>
      <c r="CG2778" t="str">
        <f t="shared" si="44"/>
        <v>update valuation set market_land =46000, market_bldg=0, market_total =46000, market_mdno =401, market_date ='9/10/2023' where link_id = (select link_id from parcel where parcel_year = '2024' and parcel_id = '23092621634');</v>
      </c>
    </row>
    <row r="2779" spans="1:85" x14ac:dyDescent="0.25">
      <c r="A2779">
        <v>23092621635</v>
      </c>
      <c r="B2779" t="s">
        <v>129</v>
      </c>
      <c r="C2779">
        <v>8140</v>
      </c>
      <c r="D2779" t="s">
        <v>129</v>
      </c>
      <c r="E2779" t="s">
        <v>53</v>
      </c>
      <c r="F2779" t="s">
        <v>53</v>
      </c>
      <c r="G2779">
        <v>4</v>
      </c>
      <c r="H2779" t="s">
        <v>54</v>
      </c>
      <c r="I2779">
        <v>0</v>
      </c>
      <c r="J2779">
        <v>32500</v>
      </c>
      <c r="K2779">
        <v>0.19</v>
      </c>
      <c r="L277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79">
        <v>0</v>
      </c>
      <c r="N2779">
        <v>0</v>
      </c>
      <c r="O2779">
        <v>0</v>
      </c>
      <c r="P2779">
        <v>13398.7528</v>
      </c>
      <c r="Q2779">
        <v>63903</v>
      </c>
      <c r="R2779">
        <f>(Grandview_Inventory[[#This Row],[ln_acres]]*Grandview_Inventory[[#This Row],[coeff]])+Grandview_Inventory[[#This Row],[const]]</f>
        <v>41651.273092551026</v>
      </c>
      <c r="AY2779">
        <v>0</v>
      </c>
      <c r="AZ2779">
        <v>0</v>
      </c>
      <c r="BE2779">
        <v>0</v>
      </c>
      <c r="BF2779">
        <v>15000</v>
      </c>
      <c r="BG2779">
        <v>0</v>
      </c>
      <c r="BH2779" s="6">
        <f>Grandview_Inventory[[#This Row],[land_extract]]*Lookups!$B$3</f>
        <v>48369.510983942157</v>
      </c>
      <c r="BI2779" s="6">
        <f>IF(Grandview_Inventory[[#This Row],[bldg_style]]="",0,Lookups!$B$2)</f>
        <v>0</v>
      </c>
      <c r="BJ2779" s="6">
        <f>_xlfn.IFNA(VLOOKUP(Grandview_Inventory[[#This Row],[quality]],Lookups!$H$2:$J$14,3,FALSE),0)</f>
        <v>0</v>
      </c>
      <c r="BK2779" s="6">
        <f>_xlfn.IFNA(VLOOKUP(Grandview_Inventory[[#This Row],[condition]],Lookups!$H$17:$J$24,3,FALSE),0)</f>
        <v>0</v>
      </c>
      <c r="BL2779" s="6">
        <f>Grandview_Inventory[[#This Row],[Eff_Age]]*Lookups!$B$14</f>
        <v>0</v>
      </c>
      <c r="BM2779" s="6">
        <f>Grandview_Inventory[[#This Row],[living_area]]*Lookups!$B$15</f>
        <v>0</v>
      </c>
      <c r="BN2779" s="6">
        <f>Grandview_Inventory[[#This Row],[Fin BSMT]]*Lookups!$B$16</f>
        <v>0</v>
      </c>
      <c r="BO2779" s="6">
        <f>(Grandview_Inventory[[#This Row],[att_gar]]+Grandview_Inventory[[#This Row],[bltin_gar]])*Lookups!$B$17</f>
        <v>0</v>
      </c>
      <c r="BP2779" s="6">
        <f>Grandview_Inventory[[#This Row],[Plumbing Fixtures]]*Lookups!$B$18</f>
        <v>0</v>
      </c>
      <c r="BQ2779" s="6">
        <f>Grandview_Inventory[[#This Row],[detatched_value]]*Lookups!$B$19</f>
        <v>0</v>
      </c>
      <c r="BR2779" s="6">
        <f>SUM(Grandview_Inventory[[#This Row],[Intercept]:[det_value]])*Grandview_Inventory[[#This Row],[res_pct]]</f>
        <v>0</v>
      </c>
      <c r="BS2779" s="6">
        <f>Grandview_Inventory[[#This Row],[land_value]]</f>
        <v>48369.510983942157</v>
      </c>
      <c r="BT2779" s="4">
        <f>_xlfn.IFNA(VLOOKUP(Grandview_Inventory[[#This Row],[quality]],Lookups!$A$26:$C$33,3,FALSE),1)</f>
        <v>1</v>
      </c>
      <c r="BU2779" s="4">
        <f>_xlfn.IFNA(VLOOKUP(Grandview_Inventory[[#This Row],[condition]],Lookups!$A$37:$C$44,3,FALSE),1)</f>
        <v>1</v>
      </c>
      <c r="BV2779" s="4">
        <f>IF(Grandview_Inventory[[#This Row],[bldg_style]]="",1,_xlfn.IFNA(VLOOKUP(Grandview_Inventory[[#This Row],[decade]],Lookups!$F$29:$H$43,3,FALSE),1))</f>
        <v>1</v>
      </c>
      <c r="BW2779" s="4">
        <f>_xlfn.IFNA(VLOOKUP(Grandview_Inventory[[#This Row],[living_area_range]],Lookups!$F$47:$H$56,3,FALSE),1)</f>
        <v>1</v>
      </c>
      <c r="BX2779" s="4">
        <f>AVERAGE(Grandview_Inventory[[#This Row],[qual_adj]:[size_adj]])</f>
        <v>1</v>
      </c>
      <c r="BY2779" s="6">
        <f>IF(Grandview_Inventory[[#This Row],[pre_res]]&lt;0,0,Grandview_Inventory[[#This Row],[pre_res]]*Grandview_Inventory[[#This Row],[overall_adj]])</f>
        <v>0</v>
      </c>
      <c r="BZ2779" s="6">
        <f>(Grandview_Inventory[[#This Row],[sum_land]]-IF(Grandview_Inventory[[#This Row],[no_utilities]]=1,12000,0))/IF(Grandview_Inventory[[#This Row],[unbuildable]]=1,2,1)</f>
        <v>48369.510983942157</v>
      </c>
      <c r="CA277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79">
        <f>ROUND(Grandview_Inventory[[#This Row],[det_value]]*Lookups!$M$28,-2)</f>
        <v>0</v>
      </c>
      <c r="CC277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79">
        <f>Grandview_Inventory[[#This Row],[final_det]]+Grandview_Inventory[[#This Row],[final_res]]</f>
        <v>0</v>
      </c>
      <c r="CE2779">
        <f>Grandview_Inventory[[#This Row],[final_land]]+Grandview_Inventory[[#This Row],[final_imp]]+Grandview_Inventory[[#This Row],[crop_value]]</f>
        <v>46000</v>
      </c>
      <c r="CG2779" t="str">
        <f t="shared" si="44"/>
        <v>update valuation set market_land =46000, market_bldg=0, market_total =46000, market_mdno =401, market_date ='9/10/2023' where link_id = (select link_id from parcel where parcel_year = '2024' and parcel_id = '23092621635');</v>
      </c>
    </row>
    <row r="2780" spans="1:85" x14ac:dyDescent="0.25">
      <c r="A2780">
        <v>23092621637</v>
      </c>
      <c r="B2780" t="s">
        <v>129</v>
      </c>
      <c r="C2780">
        <v>8352</v>
      </c>
      <c r="D2780" t="s">
        <v>129</v>
      </c>
      <c r="E2780" t="s">
        <v>53</v>
      </c>
      <c r="F2780" t="s">
        <v>53</v>
      </c>
      <c r="G2780">
        <v>4</v>
      </c>
      <c r="H2780" t="s">
        <v>54</v>
      </c>
      <c r="I2780">
        <v>0</v>
      </c>
      <c r="J2780">
        <v>32700</v>
      </c>
      <c r="K2780">
        <v>0.19</v>
      </c>
      <c r="L278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0">
        <v>0</v>
      </c>
      <c r="N2780">
        <v>0</v>
      </c>
      <c r="O2780">
        <v>0</v>
      </c>
      <c r="P2780">
        <v>13398.7528</v>
      </c>
      <c r="Q2780">
        <v>63903</v>
      </c>
      <c r="R2780">
        <f>(Grandview_Inventory[[#This Row],[ln_acres]]*Grandview_Inventory[[#This Row],[coeff]])+Grandview_Inventory[[#This Row],[const]]</f>
        <v>41651.273092551026</v>
      </c>
      <c r="AY2780">
        <v>0</v>
      </c>
      <c r="AZ2780">
        <v>0</v>
      </c>
      <c r="BE2780">
        <v>0</v>
      </c>
      <c r="BF2780">
        <v>15000</v>
      </c>
      <c r="BG2780">
        <v>0</v>
      </c>
      <c r="BH2780" s="6">
        <f>Grandview_Inventory[[#This Row],[land_extract]]*Lookups!$B$3</f>
        <v>48369.510983942157</v>
      </c>
      <c r="BI2780" s="6">
        <f>IF(Grandview_Inventory[[#This Row],[bldg_style]]="",0,Lookups!$B$2)</f>
        <v>0</v>
      </c>
      <c r="BJ2780" s="6">
        <f>_xlfn.IFNA(VLOOKUP(Grandview_Inventory[[#This Row],[quality]],Lookups!$H$2:$J$14,3,FALSE),0)</f>
        <v>0</v>
      </c>
      <c r="BK2780" s="6">
        <f>_xlfn.IFNA(VLOOKUP(Grandview_Inventory[[#This Row],[condition]],Lookups!$H$17:$J$24,3,FALSE),0)</f>
        <v>0</v>
      </c>
      <c r="BL2780" s="6">
        <f>Grandview_Inventory[[#This Row],[Eff_Age]]*Lookups!$B$14</f>
        <v>0</v>
      </c>
      <c r="BM2780" s="6">
        <f>Grandview_Inventory[[#This Row],[living_area]]*Lookups!$B$15</f>
        <v>0</v>
      </c>
      <c r="BN2780" s="6">
        <f>Grandview_Inventory[[#This Row],[Fin BSMT]]*Lookups!$B$16</f>
        <v>0</v>
      </c>
      <c r="BO2780" s="6">
        <f>(Grandview_Inventory[[#This Row],[att_gar]]+Grandview_Inventory[[#This Row],[bltin_gar]])*Lookups!$B$17</f>
        <v>0</v>
      </c>
      <c r="BP2780" s="6">
        <f>Grandview_Inventory[[#This Row],[Plumbing Fixtures]]*Lookups!$B$18</f>
        <v>0</v>
      </c>
      <c r="BQ2780" s="6">
        <f>Grandview_Inventory[[#This Row],[detatched_value]]*Lookups!$B$19</f>
        <v>0</v>
      </c>
      <c r="BR2780" s="6">
        <f>SUM(Grandview_Inventory[[#This Row],[Intercept]:[det_value]])*Grandview_Inventory[[#This Row],[res_pct]]</f>
        <v>0</v>
      </c>
      <c r="BS2780" s="6">
        <f>Grandview_Inventory[[#This Row],[land_value]]</f>
        <v>48369.510983942157</v>
      </c>
      <c r="BT2780" s="4">
        <f>_xlfn.IFNA(VLOOKUP(Grandview_Inventory[[#This Row],[quality]],Lookups!$A$26:$C$33,3,FALSE),1)</f>
        <v>1</v>
      </c>
      <c r="BU2780" s="4">
        <f>_xlfn.IFNA(VLOOKUP(Grandview_Inventory[[#This Row],[condition]],Lookups!$A$37:$C$44,3,FALSE),1)</f>
        <v>1</v>
      </c>
      <c r="BV2780" s="4">
        <f>IF(Grandview_Inventory[[#This Row],[bldg_style]]="",1,_xlfn.IFNA(VLOOKUP(Grandview_Inventory[[#This Row],[decade]],Lookups!$F$29:$H$43,3,FALSE),1))</f>
        <v>1</v>
      </c>
      <c r="BW2780" s="4">
        <f>_xlfn.IFNA(VLOOKUP(Grandview_Inventory[[#This Row],[living_area_range]],Lookups!$F$47:$H$56,3,FALSE),1)</f>
        <v>1</v>
      </c>
      <c r="BX2780" s="4">
        <f>AVERAGE(Grandview_Inventory[[#This Row],[qual_adj]:[size_adj]])</f>
        <v>1</v>
      </c>
      <c r="BY2780" s="6">
        <f>IF(Grandview_Inventory[[#This Row],[pre_res]]&lt;0,0,Grandview_Inventory[[#This Row],[pre_res]]*Grandview_Inventory[[#This Row],[overall_adj]])</f>
        <v>0</v>
      </c>
      <c r="BZ2780" s="6">
        <f>(Grandview_Inventory[[#This Row],[sum_land]]-IF(Grandview_Inventory[[#This Row],[no_utilities]]=1,12000,0))/IF(Grandview_Inventory[[#This Row],[unbuildable]]=1,2,1)</f>
        <v>48369.510983942157</v>
      </c>
      <c r="CA278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0">
        <f>ROUND(Grandview_Inventory[[#This Row],[det_value]]*Lookups!$M$28,-2)</f>
        <v>0</v>
      </c>
      <c r="CC278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0">
        <f>Grandview_Inventory[[#This Row],[final_det]]+Grandview_Inventory[[#This Row],[final_res]]</f>
        <v>0</v>
      </c>
      <c r="CE2780">
        <f>Grandview_Inventory[[#This Row],[final_land]]+Grandview_Inventory[[#This Row],[final_imp]]+Grandview_Inventory[[#This Row],[crop_value]]</f>
        <v>46000</v>
      </c>
      <c r="CG2780" t="str">
        <f t="shared" si="44"/>
        <v>update valuation set market_land =46000, market_bldg=0, market_total =46000, market_mdno =401, market_date ='9/10/2023' where link_id = (select link_id from parcel where parcel_year = '2024' and parcel_id = '23092621637');</v>
      </c>
    </row>
    <row r="2781" spans="1:85" x14ac:dyDescent="0.25">
      <c r="A2781">
        <v>23092621638</v>
      </c>
      <c r="B2781" t="s">
        <v>129</v>
      </c>
      <c r="C2781">
        <v>8030</v>
      </c>
      <c r="D2781" t="s">
        <v>129</v>
      </c>
      <c r="E2781" t="s">
        <v>53</v>
      </c>
      <c r="F2781" t="s">
        <v>53</v>
      </c>
      <c r="G2781">
        <v>4</v>
      </c>
      <c r="H2781" t="s">
        <v>54</v>
      </c>
      <c r="I2781">
        <v>0</v>
      </c>
      <c r="J2781">
        <v>32500</v>
      </c>
      <c r="K2781">
        <v>0.18</v>
      </c>
      <c r="L278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781">
        <v>0</v>
      </c>
      <c r="N2781">
        <v>0</v>
      </c>
      <c r="O2781">
        <v>0</v>
      </c>
      <c r="P2781">
        <v>13398.7528</v>
      </c>
      <c r="Q2781">
        <v>63903</v>
      </c>
      <c r="R2781">
        <f>(Grandview_Inventory[[#This Row],[ln_acres]]*Grandview_Inventory[[#This Row],[coeff]])+Grandview_Inventory[[#This Row],[const]]</f>
        <v>40926.839760167699</v>
      </c>
      <c r="AY2781">
        <v>0</v>
      </c>
      <c r="AZ2781">
        <v>0</v>
      </c>
      <c r="BE2781">
        <v>0</v>
      </c>
      <c r="BF2781">
        <v>15000</v>
      </c>
      <c r="BG2781">
        <v>0</v>
      </c>
      <c r="BH2781" s="6">
        <f>Grandview_Inventory[[#This Row],[land_extract]]*Lookups!$B$3</f>
        <v>47528.228511015397</v>
      </c>
      <c r="BI2781" s="6">
        <f>IF(Grandview_Inventory[[#This Row],[bldg_style]]="",0,Lookups!$B$2)</f>
        <v>0</v>
      </c>
      <c r="BJ2781" s="6">
        <f>_xlfn.IFNA(VLOOKUP(Grandview_Inventory[[#This Row],[quality]],Lookups!$H$2:$J$14,3,FALSE),0)</f>
        <v>0</v>
      </c>
      <c r="BK2781" s="6">
        <f>_xlfn.IFNA(VLOOKUP(Grandview_Inventory[[#This Row],[condition]],Lookups!$H$17:$J$24,3,FALSE),0)</f>
        <v>0</v>
      </c>
      <c r="BL2781" s="6">
        <f>Grandview_Inventory[[#This Row],[Eff_Age]]*Lookups!$B$14</f>
        <v>0</v>
      </c>
      <c r="BM2781" s="6">
        <f>Grandview_Inventory[[#This Row],[living_area]]*Lookups!$B$15</f>
        <v>0</v>
      </c>
      <c r="BN2781" s="6">
        <f>Grandview_Inventory[[#This Row],[Fin BSMT]]*Lookups!$B$16</f>
        <v>0</v>
      </c>
      <c r="BO2781" s="6">
        <f>(Grandview_Inventory[[#This Row],[att_gar]]+Grandview_Inventory[[#This Row],[bltin_gar]])*Lookups!$B$17</f>
        <v>0</v>
      </c>
      <c r="BP2781" s="6">
        <f>Grandview_Inventory[[#This Row],[Plumbing Fixtures]]*Lookups!$B$18</f>
        <v>0</v>
      </c>
      <c r="BQ2781" s="6">
        <f>Grandview_Inventory[[#This Row],[detatched_value]]*Lookups!$B$19</f>
        <v>0</v>
      </c>
      <c r="BR2781" s="6">
        <f>SUM(Grandview_Inventory[[#This Row],[Intercept]:[det_value]])*Grandview_Inventory[[#This Row],[res_pct]]</f>
        <v>0</v>
      </c>
      <c r="BS2781" s="6">
        <f>Grandview_Inventory[[#This Row],[land_value]]</f>
        <v>47528.228511015397</v>
      </c>
      <c r="BT2781" s="4">
        <f>_xlfn.IFNA(VLOOKUP(Grandview_Inventory[[#This Row],[quality]],Lookups!$A$26:$C$33,3,FALSE),1)</f>
        <v>1</v>
      </c>
      <c r="BU2781" s="4">
        <f>_xlfn.IFNA(VLOOKUP(Grandview_Inventory[[#This Row],[condition]],Lookups!$A$37:$C$44,3,FALSE),1)</f>
        <v>1</v>
      </c>
      <c r="BV2781" s="4">
        <f>IF(Grandview_Inventory[[#This Row],[bldg_style]]="",1,_xlfn.IFNA(VLOOKUP(Grandview_Inventory[[#This Row],[decade]],Lookups!$F$29:$H$43,3,FALSE),1))</f>
        <v>1</v>
      </c>
      <c r="BW2781" s="4">
        <f>_xlfn.IFNA(VLOOKUP(Grandview_Inventory[[#This Row],[living_area_range]],Lookups!$F$47:$H$56,3,FALSE),1)</f>
        <v>1</v>
      </c>
      <c r="BX2781" s="4">
        <f>AVERAGE(Grandview_Inventory[[#This Row],[qual_adj]:[size_adj]])</f>
        <v>1</v>
      </c>
      <c r="BY2781" s="6">
        <f>IF(Grandview_Inventory[[#This Row],[pre_res]]&lt;0,0,Grandview_Inventory[[#This Row],[pre_res]]*Grandview_Inventory[[#This Row],[overall_adj]])</f>
        <v>0</v>
      </c>
      <c r="BZ2781" s="6">
        <f>(Grandview_Inventory[[#This Row],[sum_land]]-IF(Grandview_Inventory[[#This Row],[no_utilities]]=1,12000,0))/IF(Grandview_Inventory[[#This Row],[unbuildable]]=1,2,1)</f>
        <v>47528.228511015397</v>
      </c>
      <c r="CA278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781">
        <f>ROUND(Grandview_Inventory[[#This Row],[det_value]]*Lookups!$M$28,-2)</f>
        <v>0</v>
      </c>
      <c r="CC278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1">
        <f>Grandview_Inventory[[#This Row],[final_det]]+Grandview_Inventory[[#This Row],[final_res]]</f>
        <v>0</v>
      </c>
      <c r="CE2781">
        <f>Grandview_Inventory[[#This Row],[final_land]]+Grandview_Inventory[[#This Row],[final_imp]]+Grandview_Inventory[[#This Row],[crop_value]]</f>
        <v>45200</v>
      </c>
      <c r="CG2781" t="str">
        <f t="shared" si="44"/>
        <v>update valuation set market_land =45200, market_bldg=0, market_total =45200, market_mdno =401, market_date ='9/10/2023' where link_id = (select link_id from parcel where parcel_year = '2024' and parcel_id = '23092621638');</v>
      </c>
    </row>
    <row r="2782" spans="1:85" x14ac:dyDescent="0.25">
      <c r="A2782">
        <v>23092621640</v>
      </c>
      <c r="B2782" t="s">
        <v>129</v>
      </c>
      <c r="C2782">
        <v>8085</v>
      </c>
      <c r="D2782" t="s">
        <v>129</v>
      </c>
      <c r="E2782" t="s">
        <v>53</v>
      </c>
      <c r="F2782" t="s">
        <v>53</v>
      </c>
      <c r="G2782">
        <v>4</v>
      </c>
      <c r="H2782" t="s">
        <v>54</v>
      </c>
      <c r="I2782">
        <v>0</v>
      </c>
      <c r="J2782">
        <v>32500</v>
      </c>
      <c r="K2782">
        <v>0.19</v>
      </c>
      <c r="L278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2">
        <v>0</v>
      </c>
      <c r="N2782">
        <v>0</v>
      </c>
      <c r="O2782">
        <v>0</v>
      </c>
      <c r="P2782">
        <v>13398.7528</v>
      </c>
      <c r="Q2782">
        <v>63903</v>
      </c>
      <c r="R2782">
        <f>(Grandview_Inventory[[#This Row],[ln_acres]]*Grandview_Inventory[[#This Row],[coeff]])+Grandview_Inventory[[#This Row],[const]]</f>
        <v>41651.273092551026</v>
      </c>
      <c r="AY2782">
        <v>0</v>
      </c>
      <c r="AZ2782">
        <v>0</v>
      </c>
      <c r="BE2782">
        <v>0</v>
      </c>
      <c r="BF2782">
        <v>15000</v>
      </c>
      <c r="BG2782">
        <v>0</v>
      </c>
      <c r="BH2782" s="6">
        <f>Grandview_Inventory[[#This Row],[land_extract]]*Lookups!$B$3</f>
        <v>48369.510983942157</v>
      </c>
      <c r="BI2782" s="6">
        <f>IF(Grandview_Inventory[[#This Row],[bldg_style]]="",0,Lookups!$B$2)</f>
        <v>0</v>
      </c>
      <c r="BJ2782" s="6">
        <f>_xlfn.IFNA(VLOOKUP(Grandview_Inventory[[#This Row],[quality]],Lookups!$H$2:$J$14,3,FALSE),0)</f>
        <v>0</v>
      </c>
      <c r="BK2782" s="6">
        <f>_xlfn.IFNA(VLOOKUP(Grandview_Inventory[[#This Row],[condition]],Lookups!$H$17:$J$24,3,FALSE),0)</f>
        <v>0</v>
      </c>
      <c r="BL2782" s="6">
        <f>Grandview_Inventory[[#This Row],[Eff_Age]]*Lookups!$B$14</f>
        <v>0</v>
      </c>
      <c r="BM2782" s="6">
        <f>Grandview_Inventory[[#This Row],[living_area]]*Lookups!$B$15</f>
        <v>0</v>
      </c>
      <c r="BN2782" s="6">
        <f>Grandview_Inventory[[#This Row],[Fin BSMT]]*Lookups!$B$16</f>
        <v>0</v>
      </c>
      <c r="BO2782" s="6">
        <f>(Grandview_Inventory[[#This Row],[att_gar]]+Grandview_Inventory[[#This Row],[bltin_gar]])*Lookups!$B$17</f>
        <v>0</v>
      </c>
      <c r="BP2782" s="6">
        <f>Grandview_Inventory[[#This Row],[Plumbing Fixtures]]*Lookups!$B$18</f>
        <v>0</v>
      </c>
      <c r="BQ2782" s="6">
        <f>Grandview_Inventory[[#This Row],[detatched_value]]*Lookups!$B$19</f>
        <v>0</v>
      </c>
      <c r="BR2782" s="6">
        <f>SUM(Grandview_Inventory[[#This Row],[Intercept]:[det_value]])*Grandview_Inventory[[#This Row],[res_pct]]</f>
        <v>0</v>
      </c>
      <c r="BS2782" s="6">
        <f>Grandview_Inventory[[#This Row],[land_value]]</f>
        <v>48369.510983942157</v>
      </c>
      <c r="BT2782" s="4">
        <f>_xlfn.IFNA(VLOOKUP(Grandview_Inventory[[#This Row],[quality]],Lookups!$A$26:$C$33,3,FALSE),1)</f>
        <v>1</v>
      </c>
      <c r="BU2782" s="4">
        <f>_xlfn.IFNA(VLOOKUP(Grandview_Inventory[[#This Row],[condition]],Lookups!$A$37:$C$44,3,FALSE),1)</f>
        <v>1</v>
      </c>
      <c r="BV2782" s="4">
        <f>IF(Grandview_Inventory[[#This Row],[bldg_style]]="",1,_xlfn.IFNA(VLOOKUP(Grandview_Inventory[[#This Row],[decade]],Lookups!$F$29:$H$43,3,FALSE),1))</f>
        <v>1</v>
      </c>
      <c r="BW2782" s="4">
        <f>_xlfn.IFNA(VLOOKUP(Grandview_Inventory[[#This Row],[living_area_range]],Lookups!$F$47:$H$56,3,FALSE),1)</f>
        <v>1</v>
      </c>
      <c r="BX2782" s="4">
        <f>AVERAGE(Grandview_Inventory[[#This Row],[qual_adj]:[size_adj]])</f>
        <v>1</v>
      </c>
      <c r="BY2782" s="6">
        <f>IF(Grandview_Inventory[[#This Row],[pre_res]]&lt;0,0,Grandview_Inventory[[#This Row],[pre_res]]*Grandview_Inventory[[#This Row],[overall_adj]])</f>
        <v>0</v>
      </c>
      <c r="BZ2782" s="6">
        <f>(Grandview_Inventory[[#This Row],[sum_land]]-IF(Grandview_Inventory[[#This Row],[no_utilities]]=1,12000,0))/IF(Grandview_Inventory[[#This Row],[unbuildable]]=1,2,1)</f>
        <v>48369.510983942157</v>
      </c>
      <c r="CA278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2">
        <f>ROUND(Grandview_Inventory[[#This Row],[det_value]]*Lookups!$M$28,-2)</f>
        <v>0</v>
      </c>
      <c r="CC278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2">
        <f>Grandview_Inventory[[#This Row],[final_det]]+Grandview_Inventory[[#This Row],[final_res]]</f>
        <v>0</v>
      </c>
      <c r="CE2782">
        <f>Grandview_Inventory[[#This Row],[final_land]]+Grandview_Inventory[[#This Row],[final_imp]]+Grandview_Inventory[[#This Row],[crop_value]]</f>
        <v>46000</v>
      </c>
      <c r="CG2782" t="str">
        <f t="shared" si="44"/>
        <v>update valuation set market_land =46000, market_bldg=0, market_total =46000, market_mdno =401, market_date ='9/10/2023' where link_id = (select link_id from parcel where parcel_year = '2024' and parcel_id = '23092621640');</v>
      </c>
    </row>
    <row r="2783" spans="1:85" x14ac:dyDescent="0.25">
      <c r="A2783">
        <v>23092621641</v>
      </c>
      <c r="B2783" t="s">
        <v>129</v>
      </c>
      <c r="C2783">
        <v>8085</v>
      </c>
      <c r="D2783" t="s">
        <v>129</v>
      </c>
      <c r="E2783" t="s">
        <v>53</v>
      </c>
      <c r="F2783" t="s">
        <v>53</v>
      </c>
      <c r="G2783">
        <v>4</v>
      </c>
      <c r="H2783" t="s">
        <v>54</v>
      </c>
      <c r="I2783">
        <v>0</v>
      </c>
      <c r="J2783">
        <v>32500</v>
      </c>
      <c r="K2783">
        <v>0.19</v>
      </c>
      <c r="L278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3">
        <v>0</v>
      </c>
      <c r="N2783">
        <v>0</v>
      </c>
      <c r="O2783">
        <v>0</v>
      </c>
      <c r="P2783">
        <v>13398.7528</v>
      </c>
      <c r="Q2783">
        <v>63903</v>
      </c>
      <c r="R2783">
        <f>(Grandview_Inventory[[#This Row],[ln_acres]]*Grandview_Inventory[[#This Row],[coeff]])+Grandview_Inventory[[#This Row],[const]]</f>
        <v>41651.273092551026</v>
      </c>
      <c r="AY2783">
        <v>0</v>
      </c>
      <c r="AZ2783">
        <v>0</v>
      </c>
      <c r="BE2783">
        <v>0</v>
      </c>
      <c r="BF2783">
        <v>15000</v>
      </c>
      <c r="BG2783">
        <v>0</v>
      </c>
      <c r="BH2783" s="6">
        <f>Grandview_Inventory[[#This Row],[land_extract]]*Lookups!$B$3</f>
        <v>48369.510983942157</v>
      </c>
      <c r="BI2783" s="6">
        <f>IF(Grandview_Inventory[[#This Row],[bldg_style]]="",0,Lookups!$B$2)</f>
        <v>0</v>
      </c>
      <c r="BJ2783" s="6">
        <f>_xlfn.IFNA(VLOOKUP(Grandview_Inventory[[#This Row],[quality]],Lookups!$H$2:$J$14,3,FALSE),0)</f>
        <v>0</v>
      </c>
      <c r="BK2783" s="6">
        <f>_xlfn.IFNA(VLOOKUP(Grandview_Inventory[[#This Row],[condition]],Lookups!$H$17:$J$24,3,FALSE),0)</f>
        <v>0</v>
      </c>
      <c r="BL2783" s="6">
        <f>Grandview_Inventory[[#This Row],[Eff_Age]]*Lookups!$B$14</f>
        <v>0</v>
      </c>
      <c r="BM2783" s="6">
        <f>Grandview_Inventory[[#This Row],[living_area]]*Lookups!$B$15</f>
        <v>0</v>
      </c>
      <c r="BN2783" s="6">
        <f>Grandview_Inventory[[#This Row],[Fin BSMT]]*Lookups!$B$16</f>
        <v>0</v>
      </c>
      <c r="BO2783" s="6">
        <f>(Grandview_Inventory[[#This Row],[att_gar]]+Grandview_Inventory[[#This Row],[bltin_gar]])*Lookups!$B$17</f>
        <v>0</v>
      </c>
      <c r="BP2783" s="6">
        <f>Grandview_Inventory[[#This Row],[Plumbing Fixtures]]*Lookups!$B$18</f>
        <v>0</v>
      </c>
      <c r="BQ2783" s="6">
        <f>Grandview_Inventory[[#This Row],[detatched_value]]*Lookups!$B$19</f>
        <v>0</v>
      </c>
      <c r="BR2783" s="6">
        <f>SUM(Grandview_Inventory[[#This Row],[Intercept]:[det_value]])*Grandview_Inventory[[#This Row],[res_pct]]</f>
        <v>0</v>
      </c>
      <c r="BS2783" s="6">
        <f>Grandview_Inventory[[#This Row],[land_value]]</f>
        <v>48369.510983942157</v>
      </c>
      <c r="BT2783" s="4">
        <f>_xlfn.IFNA(VLOOKUP(Grandview_Inventory[[#This Row],[quality]],Lookups!$A$26:$C$33,3,FALSE),1)</f>
        <v>1</v>
      </c>
      <c r="BU2783" s="4">
        <f>_xlfn.IFNA(VLOOKUP(Grandview_Inventory[[#This Row],[condition]],Lookups!$A$37:$C$44,3,FALSE),1)</f>
        <v>1</v>
      </c>
      <c r="BV2783" s="4">
        <f>IF(Grandview_Inventory[[#This Row],[bldg_style]]="",1,_xlfn.IFNA(VLOOKUP(Grandview_Inventory[[#This Row],[decade]],Lookups!$F$29:$H$43,3,FALSE),1))</f>
        <v>1</v>
      </c>
      <c r="BW2783" s="4">
        <f>_xlfn.IFNA(VLOOKUP(Grandview_Inventory[[#This Row],[living_area_range]],Lookups!$F$47:$H$56,3,FALSE),1)</f>
        <v>1</v>
      </c>
      <c r="BX2783" s="4">
        <f>AVERAGE(Grandview_Inventory[[#This Row],[qual_adj]:[size_adj]])</f>
        <v>1</v>
      </c>
      <c r="BY2783" s="6">
        <f>IF(Grandview_Inventory[[#This Row],[pre_res]]&lt;0,0,Grandview_Inventory[[#This Row],[pre_res]]*Grandview_Inventory[[#This Row],[overall_adj]])</f>
        <v>0</v>
      </c>
      <c r="BZ2783" s="6">
        <f>(Grandview_Inventory[[#This Row],[sum_land]]-IF(Grandview_Inventory[[#This Row],[no_utilities]]=1,12000,0))/IF(Grandview_Inventory[[#This Row],[unbuildable]]=1,2,1)</f>
        <v>48369.510983942157</v>
      </c>
      <c r="CA278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3">
        <f>ROUND(Grandview_Inventory[[#This Row],[det_value]]*Lookups!$M$28,-2)</f>
        <v>0</v>
      </c>
      <c r="CC278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3">
        <f>Grandview_Inventory[[#This Row],[final_det]]+Grandview_Inventory[[#This Row],[final_res]]</f>
        <v>0</v>
      </c>
      <c r="CE2783">
        <f>Grandview_Inventory[[#This Row],[final_land]]+Grandview_Inventory[[#This Row],[final_imp]]+Grandview_Inventory[[#This Row],[crop_value]]</f>
        <v>46000</v>
      </c>
      <c r="CG2783" t="str">
        <f t="shared" si="44"/>
        <v>update valuation set market_land =46000, market_bldg=0, market_total =46000, market_mdno =401, market_date ='9/10/2023' where link_id = (select link_id from parcel where parcel_year = '2024' and parcel_id = '23092621641');</v>
      </c>
    </row>
    <row r="2784" spans="1:85" x14ac:dyDescent="0.25">
      <c r="A2784">
        <v>23092621642</v>
      </c>
      <c r="B2784" t="s">
        <v>129</v>
      </c>
      <c r="C2784">
        <v>8085</v>
      </c>
      <c r="D2784" t="s">
        <v>129</v>
      </c>
      <c r="E2784" t="s">
        <v>53</v>
      </c>
      <c r="F2784" t="s">
        <v>53</v>
      </c>
      <c r="G2784">
        <v>4</v>
      </c>
      <c r="H2784" t="s">
        <v>54</v>
      </c>
      <c r="I2784">
        <v>0</v>
      </c>
      <c r="J2784">
        <v>32500</v>
      </c>
      <c r="K2784">
        <v>0.19</v>
      </c>
      <c r="L278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4">
        <v>0</v>
      </c>
      <c r="N2784">
        <v>0</v>
      </c>
      <c r="O2784">
        <v>0</v>
      </c>
      <c r="P2784">
        <v>13398.7528</v>
      </c>
      <c r="Q2784">
        <v>63903</v>
      </c>
      <c r="R2784">
        <f>(Grandview_Inventory[[#This Row],[ln_acres]]*Grandview_Inventory[[#This Row],[coeff]])+Grandview_Inventory[[#This Row],[const]]</f>
        <v>41651.273092551026</v>
      </c>
      <c r="AY2784">
        <v>0</v>
      </c>
      <c r="AZ2784">
        <v>0</v>
      </c>
      <c r="BE2784">
        <v>0</v>
      </c>
      <c r="BF2784">
        <v>15000</v>
      </c>
      <c r="BG2784">
        <v>0</v>
      </c>
      <c r="BH2784" s="6">
        <f>Grandview_Inventory[[#This Row],[land_extract]]*Lookups!$B$3</f>
        <v>48369.510983942157</v>
      </c>
      <c r="BI2784" s="6">
        <f>IF(Grandview_Inventory[[#This Row],[bldg_style]]="",0,Lookups!$B$2)</f>
        <v>0</v>
      </c>
      <c r="BJ2784" s="6">
        <f>_xlfn.IFNA(VLOOKUP(Grandview_Inventory[[#This Row],[quality]],Lookups!$H$2:$J$14,3,FALSE),0)</f>
        <v>0</v>
      </c>
      <c r="BK2784" s="6">
        <f>_xlfn.IFNA(VLOOKUP(Grandview_Inventory[[#This Row],[condition]],Lookups!$H$17:$J$24,3,FALSE),0)</f>
        <v>0</v>
      </c>
      <c r="BL2784" s="6">
        <f>Grandview_Inventory[[#This Row],[Eff_Age]]*Lookups!$B$14</f>
        <v>0</v>
      </c>
      <c r="BM2784" s="6">
        <f>Grandview_Inventory[[#This Row],[living_area]]*Lookups!$B$15</f>
        <v>0</v>
      </c>
      <c r="BN2784" s="6">
        <f>Grandview_Inventory[[#This Row],[Fin BSMT]]*Lookups!$B$16</f>
        <v>0</v>
      </c>
      <c r="BO2784" s="6">
        <f>(Grandview_Inventory[[#This Row],[att_gar]]+Grandview_Inventory[[#This Row],[bltin_gar]])*Lookups!$B$17</f>
        <v>0</v>
      </c>
      <c r="BP2784" s="6">
        <f>Grandview_Inventory[[#This Row],[Plumbing Fixtures]]*Lookups!$B$18</f>
        <v>0</v>
      </c>
      <c r="BQ2784" s="6">
        <f>Grandview_Inventory[[#This Row],[detatched_value]]*Lookups!$B$19</f>
        <v>0</v>
      </c>
      <c r="BR2784" s="6">
        <f>SUM(Grandview_Inventory[[#This Row],[Intercept]:[det_value]])*Grandview_Inventory[[#This Row],[res_pct]]</f>
        <v>0</v>
      </c>
      <c r="BS2784" s="6">
        <f>Grandview_Inventory[[#This Row],[land_value]]</f>
        <v>48369.510983942157</v>
      </c>
      <c r="BT2784" s="4">
        <f>_xlfn.IFNA(VLOOKUP(Grandview_Inventory[[#This Row],[quality]],Lookups!$A$26:$C$33,3,FALSE),1)</f>
        <v>1</v>
      </c>
      <c r="BU2784" s="4">
        <f>_xlfn.IFNA(VLOOKUP(Grandview_Inventory[[#This Row],[condition]],Lookups!$A$37:$C$44,3,FALSE),1)</f>
        <v>1</v>
      </c>
      <c r="BV2784" s="4">
        <f>IF(Grandview_Inventory[[#This Row],[bldg_style]]="",1,_xlfn.IFNA(VLOOKUP(Grandview_Inventory[[#This Row],[decade]],Lookups!$F$29:$H$43,3,FALSE),1))</f>
        <v>1</v>
      </c>
      <c r="BW2784" s="4">
        <f>_xlfn.IFNA(VLOOKUP(Grandview_Inventory[[#This Row],[living_area_range]],Lookups!$F$47:$H$56,3,FALSE),1)</f>
        <v>1</v>
      </c>
      <c r="BX2784" s="4">
        <f>AVERAGE(Grandview_Inventory[[#This Row],[qual_adj]:[size_adj]])</f>
        <v>1</v>
      </c>
      <c r="BY2784" s="6">
        <f>IF(Grandview_Inventory[[#This Row],[pre_res]]&lt;0,0,Grandview_Inventory[[#This Row],[pre_res]]*Grandview_Inventory[[#This Row],[overall_adj]])</f>
        <v>0</v>
      </c>
      <c r="BZ2784" s="6">
        <f>(Grandview_Inventory[[#This Row],[sum_land]]-IF(Grandview_Inventory[[#This Row],[no_utilities]]=1,12000,0))/IF(Grandview_Inventory[[#This Row],[unbuildable]]=1,2,1)</f>
        <v>48369.510983942157</v>
      </c>
      <c r="CA278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4">
        <f>ROUND(Grandview_Inventory[[#This Row],[det_value]]*Lookups!$M$28,-2)</f>
        <v>0</v>
      </c>
      <c r="CC278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4">
        <f>Grandview_Inventory[[#This Row],[final_det]]+Grandview_Inventory[[#This Row],[final_res]]</f>
        <v>0</v>
      </c>
      <c r="CE2784">
        <f>Grandview_Inventory[[#This Row],[final_land]]+Grandview_Inventory[[#This Row],[final_imp]]+Grandview_Inventory[[#This Row],[crop_value]]</f>
        <v>46000</v>
      </c>
      <c r="CG2784" t="str">
        <f t="shared" si="44"/>
        <v>update valuation set market_land =46000, market_bldg=0, market_total =46000, market_mdno =401, market_date ='9/10/2023' where link_id = (select link_id from parcel where parcel_year = '2024' and parcel_id = '23092621642');</v>
      </c>
    </row>
    <row r="2785" spans="1:85" x14ac:dyDescent="0.25">
      <c r="A2785">
        <v>23092621643</v>
      </c>
      <c r="B2785" t="s">
        <v>129</v>
      </c>
      <c r="C2785">
        <v>8085</v>
      </c>
      <c r="D2785" t="s">
        <v>129</v>
      </c>
      <c r="E2785" t="s">
        <v>53</v>
      </c>
      <c r="F2785" t="s">
        <v>53</v>
      </c>
      <c r="G2785">
        <v>4</v>
      </c>
      <c r="H2785" t="s">
        <v>54</v>
      </c>
      <c r="I2785">
        <v>0</v>
      </c>
      <c r="J2785">
        <v>32500</v>
      </c>
      <c r="K2785">
        <v>0.19</v>
      </c>
      <c r="L278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5">
        <v>0</v>
      </c>
      <c r="N2785">
        <v>0</v>
      </c>
      <c r="O2785">
        <v>0</v>
      </c>
      <c r="P2785">
        <v>13398.7528</v>
      </c>
      <c r="Q2785">
        <v>63903</v>
      </c>
      <c r="R2785">
        <f>(Grandview_Inventory[[#This Row],[ln_acres]]*Grandview_Inventory[[#This Row],[coeff]])+Grandview_Inventory[[#This Row],[const]]</f>
        <v>41651.273092551026</v>
      </c>
      <c r="AY2785">
        <v>0</v>
      </c>
      <c r="AZ2785">
        <v>0</v>
      </c>
      <c r="BE2785">
        <v>0</v>
      </c>
      <c r="BF2785">
        <v>15000</v>
      </c>
      <c r="BG2785">
        <v>0</v>
      </c>
      <c r="BH2785" s="6">
        <f>Grandview_Inventory[[#This Row],[land_extract]]*Lookups!$B$3</f>
        <v>48369.510983942157</v>
      </c>
      <c r="BI2785" s="6">
        <f>IF(Grandview_Inventory[[#This Row],[bldg_style]]="",0,Lookups!$B$2)</f>
        <v>0</v>
      </c>
      <c r="BJ2785" s="6">
        <f>_xlfn.IFNA(VLOOKUP(Grandview_Inventory[[#This Row],[quality]],Lookups!$H$2:$J$14,3,FALSE),0)</f>
        <v>0</v>
      </c>
      <c r="BK2785" s="6">
        <f>_xlfn.IFNA(VLOOKUP(Grandview_Inventory[[#This Row],[condition]],Lookups!$H$17:$J$24,3,FALSE),0)</f>
        <v>0</v>
      </c>
      <c r="BL2785" s="6">
        <f>Grandview_Inventory[[#This Row],[Eff_Age]]*Lookups!$B$14</f>
        <v>0</v>
      </c>
      <c r="BM2785" s="6">
        <f>Grandview_Inventory[[#This Row],[living_area]]*Lookups!$B$15</f>
        <v>0</v>
      </c>
      <c r="BN2785" s="6">
        <f>Grandview_Inventory[[#This Row],[Fin BSMT]]*Lookups!$B$16</f>
        <v>0</v>
      </c>
      <c r="BO2785" s="6">
        <f>(Grandview_Inventory[[#This Row],[att_gar]]+Grandview_Inventory[[#This Row],[bltin_gar]])*Lookups!$B$17</f>
        <v>0</v>
      </c>
      <c r="BP2785" s="6">
        <f>Grandview_Inventory[[#This Row],[Plumbing Fixtures]]*Lookups!$B$18</f>
        <v>0</v>
      </c>
      <c r="BQ2785" s="6">
        <f>Grandview_Inventory[[#This Row],[detatched_value]]*Lookups!$B$19</f>
        <v>0</v>
      </c>
      <c r="BR2785" s="6">
        <f>SUM(Grandview_Inventory[[#This Row],[Intercept]:[det_value]])*Grandview_Inventory[[#This Row],[res_pct]]</f>
        <v>0</v>
      </c>
      <c r="BS2785" s="6">
        <f>Grandview_Inventory[[#This Row],[land_value]]</f>
        <v>48369.510983942157</v>
      </c>
      <c r="BT2785" s="4">
        <f>_xlfn.IFNA(VLOOKUP(Grandview_Inventory[[#This Row],[quality]],Lookups!$A$26:$C$33,3,FALSE),1)</f>
        <v>1</v>
      </c>
      <c r="BU2785" s="4">
        <f>_xlfn.IFNA(VLOOKUP(Grandview_Inventory[[#This Row],[condition]],Lookups!$A$37:$C$44,3,FALSE),1)</f>
        <v>1</v>
      </c>
      <c r="BV2785" s="4">
        <f>IF(Grandview_Inventory[[#This Row],[bldg_style]]="",1,_xlfn.IFNA(VLOOKUP(Grandview_Inventory[[#This Row],[decade]],Lookups!$F$29:$H$43,3,FALSE),1))</f>
        <v>1</v>
      </c>
      <c r="BW2785" s="4">
        <f>_xlfn.IFNA(VLOOKUP(Grandview_Inventory[[#This Row],[living_area_range]],Lookups!$F$47:$H$56,3,FALSE),1)</f>
        <v>1</v>
      </c>
      <c r="BX2785" s="4">
        <f>AVERAGE(Grandview_Inventory[[#This Row],[qual_adj]:[size_adj]])</f>
        <v>1</v>
      </c>
      <c r="BY2785" s="6">
        <f>IF(Grandview_Inventory[[#This Row],[pre_res]]&lt;0,0,Grandview_Inventory[[#This Row],[pre_res]]*Grandview_Inventory[[#This Row],[overall_adj]])</f>
        <v>0</v>
      </c>
      <c r="BZ2785" s="6">
        <f>(Grandview_Inventory[[#This Row],[sum_land]]-IF(Grandview_Inventory[[#This Row],[no_utilities]]=1,12000,0))/IF(Grandview_Inventory[[#This Row],[unbuildable]]=1,2,1)</f>
        <v>48369.510983942157</v>
      </c>
      <c r="CA278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5">
        <f>ROUND(Grandview_Inventory[[#This Row],[det_value]]*Lookups!$M$28,-2)</f>
        <v>0</v>
      </c>
      <c r="CC278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5">
        <f>Grandview_Inventory[[#This Row],[final_det]]+Grandview_Inventory[[#This Row],[final_res]]</f>
        <v>0</v>
      </c>
      <c r="CE2785">
        <f>Grandview_Inventory[[#This Row],[final_land]]+Grandview_Inventory[[#This Row],[final_imp]]+Grandview_Inventory[[#This Row],[crop_value]]</f>
        <v>46000</v>
      </c>
      <c r="CG2785" t="str">
        <f t="shared" si="44"/>
        <v>update valuation set market_land =46000, market_bldg=0, market_total =46000, market_mdno =401, market_date ='9/10/2023' where link_id = (select link_id from parcel where parcel_year = '2024' and parcel_id = '23092621643');</v>
      </c>
    </row>
    <row r="2786" spans="1:85" x14ac:dyDescent="0.25">
      <c r="A2786">
        <v>23092621644</v>
      </c>
      <c r="B2786" t="s">
        <v>129</v>
      </c>
      <c r="C2786">
        <v>8085</v>
      </c>
      <c r="D2786" t="s">
        <v>129</v>
      </c>
      <c r="E2786" t="s">
        <v>53</v>
      </c>
      <c r="F2786" t="s">
        <v>53</v>
      </c>
      <c r="G2786">
        <v>4</v>
      </c>
      <c r="H2786" t="s">
        <v>54</v>
      </c>
      <c r="I2786">
        <v>0</v>
      </c>
      <c r="J2786">
        <v>32500</v>
      </c>
      <c r="K2786">
        <v>0.19</v>
      </c>
      <c r="L278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6">
        <v>0</v>
      </c>
      <c r="N2786">
        <v>0</v>
      </c>
      <c r="O2786">
        <v>0</v>
      </c>
      <c r="P2786">
        <v>13398.7528</v>
      </c>
      <c r="Q2786">
        <v>63903</v>
      </c>
      <c r="R2786">
        <f>(Grandview_Inventory[[#This Row],[ln_acres]]*Grandview_Inventory[[#This Row],[coeff]])+Grandview_Inventory[[#This Row],[const]]</f>
        <v>41651.273092551026</v>
      </c>
      <c r="AY2786">
        <v>0</v>
      </c>
      <c r="AZ2786">
        <v>0</v>
      </c>
      <c r="BE2786">
        <v>0</v>
      </c>
      <c r="BF2786">
        <v>15000</v>
      </c>
      <c r="BG2786">
        <v>0</v>
      </c>
      <c r="BH2786" s="6">
        <f>Grandview_Inventory[[#This Row],[land_extract]]*Lookups!$B$3</f>
        <v>48369.510983942157</v>
      </c>
      <c r="BI2786" s="6">
        <f>IF(Grandview_Inventory[[#This Row],[bldg_style]]="",0,Lookups!$B$2)</f>
        <v>0</v>
      </c>
      <c r="BJ2786" s="6">
        <f>_xlfn.IFNA(VLOOKUP(Grandview_Inventory[[#This Row],[quality]],Lookups!$H$2:$J$14,3,FALSE),0)</f>
        <v>0</v>
      </c>
      <c r="BK2786" s="6">
        <f>_xlfn.IFNA(VLOOKUP(Grandview_Inventory[[#This Row],[condition]],Lookups!$H$17:$J$24,3,FALSE),0)</f>
        <v>0</v>
      </c>
      <c r="BL2786" s="6">
        <f>Grandview_Inventory[[#This Row],[Eff_Age]]*Lookups!$B$14</f>
        <v>0</v>
      </c>
      <c r="BM2786" s="6">
        <f>Grandview_Inventory[[#This Row],[living_area]]*Lookups!$B$15</f>
        <v>0</v>
      </c>
      <c r="BN2786" s="6">
        <f>Grandview_Inventory[[#This Row],[Fin BSMT]]*Lookups!$B$16</f>
        <v>0</v>
      </c>
      <c r="BO2786" s="6">
        <f>(Grandview_Inventory[[#This Row],[att_gar]]+Grandview_Inventory[[#This Row],[bltin_gar]])*Lookups!$B$17</f>
        <v>0</v>
      </c>
      <c r="BP2786" s="6">
        <f>Grandview_Inventory[[#This Row],[Plumbing Fixtures]]*Lookups!$B$18</f>
        <v>0</v>
      </c>
      <c r="BQ2786" s="6">
        <f>Grandview_Inventory[[#This Row],[detatched_value]]*Lookups!$B$19</f>
        <v>0</v>
      </c>
      <c r="BR2786" s="6">
        <f>SUM(Grandview_Inventory[[#This Row],[Intercept]:[det_value]])*Grandview_Inventory[[#This Row],[res_pct]]</f>
        <v>0</v>
      </c>
      <c r="BS2786" s="6">
        <f>Grandview_Inventory[[#This Row],[land_value]]</f>
        <v>48369.510983942157</v>
      </c>
      <c r="BT2786" s="4">
        <f>_xlfn.IFNA(VLOOKUP(Grandview_Inventory[[#This Row],[quality]],Lookups!$A$26:$C$33,3,FALSE),1)</f>
        <v>1</v>
      </c>
      <c r="BU2786" s="4">
        <f>_xlfn.IFNA(VLOOKUP(Grandview_Inventory[[#This Row],[condition]],Lookups!$A$37:$C$44,3,FALSE),1)</f>
        <v>1</v>
      </c>
      <c r="BV2786" s="4">
        <f>IF(Grandview_Inventory[[#This Row],[bldg_style]]="",1,_xlfn.IFNA(VLOOKUP(Grandview_Inventory[[#This Row],[decade]],Lookups!$F$29:$H$43,3,FALSE),1))</f>
        <v>1</v>
      </c>
      <c r="BW2786" s="4">
        <f>_xlfn.IFNA(VLOOKUP(Grandview_Inventory[[#This Row],[living_area_range]],Lookups!$F$47:$H$56,3,FALSE),1)</f>
        <v>1</v>
      </c>
      <c r="BX2786" s="4">
        <f>AVERAGE(Grandview_Inventory[[#This Row],[qual_adj]:[size_adj]])</f>
        <v>1</v>
      </c>
      <c r="BY2786" s="6">
        <f>IF(Grandview_Inventory[[#This Row],[pre_res]]&lt;0,0,Grandview_Inventory[[#This Row],[pre_res]]*Grandview_Inventory[[#This Row],[overall_adj]])</f>
        <v>0</v>
      </c>
      <c r="BZ2786" s="6">
        <f>(Grandview_Inventory[[#This Row],[sum_land]]-IF(Grandview_Inventory[[#This Row],[no_utilities]]=1,12000,0))/IF(Grandview_Inventory[[#This Row],[unbuildable]]=1,2,1)</f>
        <v>48369.510983942157</v>
      </c>
      <c r="CA278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6">
        <f>ROUND(Grandview_Inventory[[#This Row],[det_value]]*Lookups!$M$28,-2)</f>
        <v>0</v>
      </c>
      <c r="CC278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6">
        <f>Grandview_Inventory[[#This Row],[final_det]]+Grandview_Inventory[[#This Row],[final_res]]</f>
        <v>0</v>
      </c>
      <c r="CE2786">
        <f>Grandview_Inventory[[#This Row],[final_land]]+Grandview_Inventory[[#This Row],[final_imp]]+Grandview_Inventory[[#This Row],[crop_value]]</f>
        <v>46000</v>
      </c>
      <c r="CG2786" t="str">
        <f t="shared" si="44"/>
        <v>update valuation set market_land =46000, market_bldg=0, market_total =46000, market_mdno =401, market_date ='9/10/2023' where link_id = (select link_id from parcel where parcel_year = '2024' and parcel_id = '23092621644');</v>
      </c>
    </row>
    <row r="2787" spans="1:85" x14ac:dyDescent="0.25">
      <c r="A2787">
        <v>23092621645</v>
      </c>
      <c r="B2787" t="s">
        <v>129</v>
      </c>
      <c r="C2787">
        <v>8085</v>
      </c>
      <c r="D2787" t="s">
        <v>129</v>
      </c>
      <c r="E2787" t="s">
        <v>53</v>
      </c>
      <c r="F2787" t="s">
        <v>53</v>
      </c>
      <c r="G2787">
        <v>4</v>
      </c>
      <c r="H2787" t="s">
        <v>54</v>
      </c>
      <c r="I2787">
        <v>0</v>
      </c>
      <c r="J2787">
        <v>32500</v>
      </c>
      <c r="K2787">
        <v>0.19</v>
      </c>
      <c r="L278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7">
        <v>0</v>
      </c>
      <c r="N2787">
        <v>0</v>
      </c>
      <c r="O2787">
        <v>0</v>
      </c>
      <c r="P2787">
        <v>13398.7528</v>
      </c>
      <c r="Q2787">
        <v>63903</v>
      </c>
      <c r="R2787">
        <f>(Grandview_Inventory[[#This Row],[ln_acres]]*Grandview_Inventory[[#This Row],[coeff]])+Grandview_Inventory[[#This Row],[const]]</f>
        <v>41651.273092551026</v>
      </c>
      <c r="AY2787">
        <v>0</v>
      </c>
      <c r="AZ2787">
        <v>0</v>
      </c>
      <c r="BE2787">
        <v>0</v>
      </c>
      <c r="BF2787">
        <v>15000</v>
      </c>
      <c r="BG2787">
        <v>0</v>
      </c>
      <c r="BH2787" s="6">
        <f>Grandview_Inventory[[#This Row],[land_extract]]*Lookups!$B$3</f>
        <v>48369.510983942157</v>
      </c>
      <c r="BI2787" s="6">
        <f>IF(Grandview_Inventory[[#This Row],[bldg_style]]="",0,Lookups!$B$2)</f>
        <v>0</v>
      </c>
      <c r="BJ2787" s="6">
        <f>_xlfn.IFNA(VLOOKUP(Grandview_Inventory[[#This Row],[quality]],Lookups!$H$2:$J$14,3,FALSE),0)</f>
        <v>0</v>
      </c>
      <c r="BK2787" s="6">
        <f>_xlfn.IFNA(VLOOKUP(Grandview_Inventory[[#This Row],[condition]],Lookups!$H$17:$J$24,3,FALSE),0)</f>
        <v>0</v>
      </c>
      <c r="BL2787" s="6">
        <f>Grandview_Inventory[[#This Row],[Eff_Age]]*Lookups!$B$14</f>
        <v>0</v>
      </c>
      <c r="BM2787" s="6">
        <f>Grandview_Inventory[[#This Row],[living_area]]*Lookups!$B$15</f>
        <v>0</v>
      </c>
      <c r="BN2787" s="6">
        <f>Grandview_Inventory[[#This Row],[Fin BSMT]]*Lookups!$B$16</f>
        <v>0</v>
      </c>
      <c r="BO2787" s="6">
        <f>(Grandview_Inventory[[#This Row],[att_gar]]+Grandview_Inventory[[#This Row],[bltin_gar]])*Lookups!$B$17</f>
        <v>0</v>
      </c>
      <c r="BP2787" s="6">
        <f>Grandview_Inventory[[#This Row],[Plumbing Fixtures]]*Lookups!$B$18</f>
        <v>0</v>
      </c>
      <c r="BQ2787" s="6">
        <f>Grandview_Inventory[[#This Row],[detatched_value]]*Lookups!$B$19</f>
        <v>0</v>
      </c>
      <c r="BR2787" s="6">
        <f>SUM(Grandview_Inventory[[#This Row],[Intercept]:[det_value]])*Grandview_Inventory[[#This Row],[res_pct]]</f>
        <v>0</v>
      </c>
      <c r="BS2787" s="6">
        <f>Grandview_Inventory[[#This Row],[land_value]]</f>
        <v>48369.510983942157</v>
      </c>
      <c r="BT2787" s="4">
        <f>_xlfn.IFNA(VLOOKUP(Grandview_Inventory[[#This Row],[quality]],Lookups!$A$26:$C$33,3,FALSE),1)</f>
        <v>1</v>
      </c>
      <c r="BU2787" s="4">
        <f>_xlfn.IFNA(VLOOKUP(Grandview_Inventory[[#This Row],[condition]],Lookups!$A$37:$C$44,3,FALSE),1)</f>
        <v>1</v>
      </c>
      <c r="BV2787" s="4">
        <f>IF(Grandview_Inventory[[#This Row],[bldg_style]]="",1,_xlfn.IFNA(VLOOKUP(Grandview_Inventory[[#This Row],[decade]],Lookups!$F$29:$H$43,3,FALSE),1))</f>
        <v>1</v>
      </c>
      <c r="BW2787" s="4">
        <f>_xlfn.IFNA(VLOOKUP(Grandview_Inventory[[#This Row],[living_area_range]],Lookups!$F$47:$H$56,3,FALSE),1)</f>
        <v>1</v>
      </c>
      <c r="BX2787" s="4">
        <f>AVERAGE(Grandview_Inventory[[#This Row],[qual_adj]:[size_adj]])</f>
        <v>1</v>
      </c>
      <c r="BY2787" s="6">
        <f>IF(Grandview_Inventory[[#This Row],[pre_res]]&lt;0,0,Grandview_Inventory[[#This Row],[pre_res]]*Grandview_Inventory[[#This Row],[overall_adj]])</f>
        <v>0</v>
      </c>
      <c r="BZ2787" s="6">
        <f>(Grandview_Inventory[[#This Row],[sum_land]]-IF(Grandview_Inventory[[#This Row],[no_utilities]]=1,12000,0))/IF(Grandview_Inventory[[#This Row],[unbuildable]]=1,2,1)</f>
        <v>48369.510983942157</v>
      </c>
      <c r="CA278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7">
        <f>ROUND(Grandview_Inventory[[#This Row],[det_value]]*Lookups!$M$28,-2)</f>
        <v>0</v>
      </c>
      <c r="CC278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7">
        <f>Grandview_Inventory[[#This Row],[final_det]]+Grandview_Inventory[[#This Row],[final_res]]</f>
        <v>0</v>
      </c>
      <c r="CE2787">
        <f>Grandview_Inventory[[#This Row],[final_land]]+Grandview_Inventory[[#This Row],[final_imp]]+Grandview_Inventory[[#This Row],[crop_value]]</f>
        <v>46000</v>
      </c>
      <c r="CG2787" t="str">
        <f t="shared" si="44"/>
        <v>update valuation set market_land =46000, market_bldg=0, market_total =46000, market_mdno =401, market_date ='9/10/2023' where link_id = (select link_id from parcel where parcel_year = '2024' and parcel_id = '23092621645');</v>
      </c>
    </row>
    <row r="2788" spans="1:85" x14ac:dyDescent="0.25">
      <c r="A2788">
        <v>23092621646</v>
      </c>
      <c r="B2788" t="s">
        <v>129</v>
      </c>
      <c r="C2788">
        <v>8085</v>
      </c>
      <c r="D2788" t="s">
        <v>129</v>
      </c>
      <c r="E2788" t="s">
        <v>53</v>
      </c>
      <c r="F2788" t="s">
        <v>53</v>
      </c>
      <c r="G2788">
        <v>4</v>
      </c>
      <c r="H2788" t="s">
        <v>54</v>
      </c>
      <c r="I2788">
        <v>0</v>
      </c>
      <c r="J2788">
        <v>32500</v>
      </c>
      <c r="K2788">
        <v>0.19</v>
      </c>
      <c r="L278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8">
        <v>0</v>
      </c>
      <c r="N2788">
        <v>0</v>
      </c>
      <c r="O2788">
        <v>0</v>
      </c>
      <c r="P2788">
        <v>13398.7528</v>
      </c>
      <c r="Q2788">
        <v>63903</v>
      </c>
      <c r="R2788">
        <f>(Grandview_Inventory[[#This Row],[ln_acres]]*Grandview_Inventory[[#This Row],[coeff]])+Grandview_Inventory[[#This Row],[const]]</f>
        <v>41651.273092551026</v>
      </c>
      <c r="AY2788">
        <v>0</v>
      </c>
      <c r="AZ2788">
        <v>0</v>
      </c>
      <c r="BE2788">
        <v>0</v>
      </c>
      <c r="BF2788">
        <v>15000</v>
      </c>
      <c r="BG2788">
        <v>0</v>
      </c>
      <c r="BH2788" s="6">
        <f>Grandview_Inventory[[#This Row],[land_extract]]*Lookups!$B$3</f>
        <v>48369.510983942157</v>
      </c>
      <c r="BI2788" s="6">
        <f>IF(Grandview_Inventory[[#This Row],[bldg_style]]="",0,Lookups!$B$2)</f>
        <v>0</v>
      </c>
      <c r="BJ2788" s="6">
        <f>_xlfn.IFNA(VLOOKUP(Grandview_Inventory[[#This Row],[quality]],Lookups!$H$2:$J$14,3,FALSE),0)</f>
        <v>0</v>
      </c>
      <c r="BK2788" s="6">
        <f>_xlfn.IFNA(VLOOKUP(Grandview_Inventory[[#This Row],[condition]],Lookups!$H$17:$J$24,3,FALSE),0)</f>
        <v>0</v>
      </c>
      <c r="BL2788" s="6">
        <f>Grandview_Inventory[[#This Row],[Eff_Age]]*Lookups!$B$14</f>
        <v>0</v>
      </c>
      <c r="BM2788" s="6">
        <f>Grandview_Inventory[[#This Row],[living_area]]*Lookups!$B$15</f>
        <v>0</v>
      </c>
      <c r="BN2788" s="6">
        <f>Grandview_Inventory[[#This Row],[Fin BSMT]]*Lookups!$B$16</f>
        <v>0</v>
      </c>
      <c r="BO2788" s="6">
        <f>(Grandview_Inventory[[#This Row],[att_gar]]+Grandview_Inventory[[#This Row],[bltin_gar]])*Lookups!$B$17</f>
        <v>0</v>
      </c>
      <c r="BP2788" s="6">
        <f>Grandview_Inventory[[#This Row],[Plumbing Fixtures]]*Lookups!$B$18</f>
        <v>0</v>
      </c>
      <c r="BQ2788" s="6">
        <f>Grandview_Inventory[[#This Row],[detatched_value]]*Lookups!$B$19</f>
        <v>0</v>
      </c>
      <c r="BR2788" s="6">
        <f>SUM(Grandview_Inventory[[#This Row],[Intercept]:[det_value]])*Grandview_Inventory[[#This Row],[res_pct]]</f>
        <v>0</v>
      </c>
      <c r="BS2788" s="6">
        <f>Grandview_Inventory[[#This Row],[land_value]]</f>
        <v>48369.510983942157</v>
      </c>
      <c r="BT2788" s="4">
        <f>_xlfn.IFNA(VLOOKUP(Grandview_Inventory[[#This Row],[quality]],Lookups!$A$26:$C$33,3,FALSE),1)</f>
        <v>1</v>
      </c>
      <c r="BU2788" s="4">
        <f>_xlfn.IFNA(VLOOKUP(Grandview_Inventory[[#This Row],[condition]],Lookups!$A$37:$C$44,3,FALSE),1)</f>
        <v>1</v>
      </c>
      <c r="BV2788" s="4">
        <f>IF(Grandview_Inventory[[#This Row],[bldg_style]]="",1,_xlfn.IFNA(VLOOKUP(Grandview_Inventory[[#This Row],[decade]],Lookups!$F$29:$H$43,3,FALSE),1))</f>
        <v>1</v>
      </c>
      <c r="BW2788" s="4">
        <f>_xlfn.IFNA(VLOOKUP(Grandview_Inventory[[#This Row],[living_area_range]],Lookups!$F$47:$H$56,3,FALSE),1)</f>
        <v>1</v>
      </c>
      <c r="BX2788" s="4">
        <f>AVERAGE(Grandview_Inventory[[#This Row],[qual_adj]:[size_adj]])</f>
        <v>1</v>
      </c>
      <c r="BY2788" s="6">
        <f>IF(Grandview_Inventory[[#This Row],[pre_res]]&lt;0,0,Grandview_Inventory[[#This Row],[pre_res]]*Grandview_Inventory[[#This Row],[overall_adj]])</f>
        <v>0</v>
      </c>
      <c r="BZ2788" s="6">
        <f>(Grandview_Inventory[[#This Row],[sum_land]]-IF(Grandview_Inventory[[#This Row],[no_utilities]]=1,12000,0))/IF(Grandview_Inventory[[#This Row],[unbuildable]]=1,2,1)</f>
        <v>48369.510983942157</v>
      </c>
      <c r="CA278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8">
        <f>ROUND(Grandview_Inventory[[#This Row],[det_value]]*Lookups!$M$28,-2)</f>
        <v>0</v>
      </c>
      <c r="CC278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8">
        <f>Grandview_Inventory[[#This Row],[final_det]]+Grandview_Inventory[[#This Row],[final_res]]</f>
        <v>0</v>
      </c>
      <c r="CE2788">
        <f>Grandview_Inventory[[#This Row],[final_land]]+Grandview_Inventory[[#This Row],[final_imp]]+Grandview_Inventory[[#This Row],[crop_value]]</f>
        <v>46000</v>
      </c>
      <c r="CG2788" t="str">
        <f t="shared" si="44"/>
        <v>update valuation set market_land =46000, market_bldg=0, market_total =46000, market_mdno =401, market_date ='9/10/2023' where link_id = (select link_id from parcel where parcel_year = '2024' and parcel_id = '23092621646');</v>
      </c>
    </row>
    <row r="2789" spans="1:85" x14ac:dyDescent="0.25">
      <c r="A2789">
        <v>23092621647</v>
      </c>
      <c r="B2789" t="s">
        <v>129</v>
      </c>
      <c r="C2789">
        <v>8085</v>
      </c>
      <c r="D2789" t="s">
        <v>129</v>
      </c>
      <c r="E2789" t="s">
        <v>53</v>
      </c>
      <c r="F2789" t="s">
        <v>53</v>
      </c>
      <c r="G2789">
        <v>4</v>
      </c>
      <c r="H2789" t="s">
        <v>54</v>
      </c>
      <c r="I2789">
        <v>0</v>
      </c>
      <c r="J2789">
        <v>32500</v>
      </c>
      <c r="K2789">
        <v>0.19</v>
      </c>
      <c r="L278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89">
        <v>0</v>
      </c>
      <c r="N2789">
        <v>0</v>
      </c>
      <c r="O2789">
        <v>0</v>
      </c>
      <c r="P2789">
        <v>13398.7528</v>
      </c>
      <c r="Q2789">
        <v>63903</v>
      </c>
      <c r="R2789">
        <f>(Grandview_Inventory[[#This Row],[ln_acres]]*Grandview_Inventory[[#This Row],[coeff]])+Grandview_Inventory[[#This Row],[const]]</f>
        <v>41651.273092551026</v>
      </c>
      <c r="AY2789">
        <v>0</v>
      </c>
      <c r="AZ2789">
        <v>0</v>
      </c>
      <c r="BE2789">
        <v>0</v>
      </c>
      <c r="BF2789">
        <v>15000</v>
      </c>
      <c r="BG2789">
        <v>0</v>
      </c>
      <c r="BH2789" s="6">
        <f>Grandview_Inventory[[#This Row],[land_extract]]*Lookups!$B$3</f>
        <v>48369.510983942157</v>
      </c>
      <c r="BI2789" s="6">
        <f>IF(Grandview_Inventory[[#This Row],[bldg_style]]="",0,Lookups!$B$2)</f>
        <v>0</v>
      </c>
      <c r="BJ2789" s="6">
        <f>_xlfn.IFNA(VLOOKUP(Grandview_Inventory[[#This Row],[quality]],Lookups!$H$2:$J$14,3,FALSE),0)</f>
        <v>0</v>
      </c>
      <c r="BK2789" s="6">
        <f>_xlfn.IFNA(VLOOKUP(Grandview_Inventory[[#This Row],[condition]],Lookups!$H$17:$J$24,3,FALSE),0)</f>
        <v>0</v>
      </c>
      <c r="BL2789" s="6">
        <f>Grandview_Inventory[[#This Row],[Eff_Age]]*Lookups!$B$14</f>
        <v>0</v>
      </c>
      <c r="BM2789" s="6">
        <f>Grandview_Inventory[[#This Row],[living_area]]*Lookups!$B$15</f>
        <v>0</v>
      </c>
      <c r="BN2789" s="6">
        <f>Grandview_Inventory[[#This Row],[Fin BSMT]]*Lookups!$B$16</f>
        <v>0</v>
      </c>
      <c r="BO2789" s="6">
        <f>(Grandview_Inventory[[#This Row],[att_gar]]+Grandview_Inventory[[#This Row],[bltin_gar]])*Lookups!$B$17</f>
        <v>0</v>
      </c>
      <c r="BP2789" s="6">
        <f>Grandview_Inventory[[#This Row],[Plumbing Fixtures]]*Lookups!$B$18</f>
        <v>0</v>
      </c>
      <c r="BQ2789" s="6">
        <f>Grandview_Inventory[[#This Row],[detatched_value]]*Lookups!$B$19</f>
        <v>0</v>
      </c>
      <c r="BR2789" s="6">
        <f>SUM(Grandview_Inventory[[#This Row],[Intercept]:[det_value]])*Grandview_Inventory[[#This Row],[res_pct]]</f>
        <v>0</v>
      </c>
      <c r="BS2789" s="6">
        <f>Grandview_Inventory[[#This Row],[land_value]]</f>
        <v>48369.510983942157</v>
      </c>
      <c r="BT2789" s="4">
        <f>_xlfn.IFNA(VLOOKUP(Grandview_Inventory[[#This Row],[quality]],Lookups!$A$26:$C$33,3,FALSE),1)</f>
        <v>1</v>
      </c>
      <c r="BU2789" s="4">
        <f>_xlfn.IFNA(VLOOKUP(Grandview_Inventory[[#This Row],[condition]],Lookups!$A$37:$C$44,3,FALSE),1)</f>
        <v>1</v>
      </c>
      <c r="BV2789" s="4">
        <f>IF(Grandview_Inventory[[#This Row],[bldg_style]]="",1,_xlfn.IFNA(VLOOKUP(Grandview_Inventory[[#This Row],[decade]],Lookups!$F$29:$H$43,3,FALSE),1))</f>
        <v>1</v>
      </c>
      <c r="BW2789" s="4">
        <f>_xlfn.IFNA(VLOOKUP(Grandview_Inventory[[#This Row],[living_area_range]],Lookups!$F$47:$H$56,3,FALSE),1)</f>
        <v>1</v>
      </c>
      <c r="BX2789" s="4">
        <f>AVERAGE(Grandview_Inventory[[#This Row],[qual_adj]:[size_adj]])</f>
        <v>1</v>
      </c>
      <c r="BY2789" s="6">
        <f>IF(Grandview_Inventory[[#This Row],[pre_res]]&lt;0,0,Grandview_Inventory[[#This Row],[pre_res]]*Grandview_Inventory[[#This Row],[overall_adj]])</f>
        <v>0</v>
      </c>
      <c r="BZ2789" s="6">
        <f>(Grandview_Inventory[[#This Row],[sum_land]]-IF(Grandview_Inventory[[#This Row],[no_utilities]]=1,12000,0))/IF(Grandview_Inventory[[#This Row],[unbuildable]]=1,2,1)</f>
        <v>48369.510983942157</v>
      </c>
      <c r="CA278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89">
        <f>ROUND(Grandview_Inventory[[#This Row],[det_value]]*Lookups!$M$28,-2)</f>
        <v>0</v>
      </c>
      <c r="CC278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89">
        <f>Grandview_Inventory[[#This Row],[final_det]]+Grandview_Inventory[[#This Row],[final_res]]</f>
        <v>0</v>
      </c>
      <c r="CE2789">
        <f>Grandview_Inventory[[#This Row],[final_land]]+Grandview_Inventory[[#This Row],[final_imp]]+Grandview_Inventory[[#This Row],[crop_value]]</f>
        <v>46000</v>
      </c>
      <c r="CG2789" t="str">
        <f t="shared" si="44"/>
        <v>update valuation set market_land =46000, market_bldg=0, market_total =46000, market_mdno =401, market_date ='9/10/2023' where link_id = (select link_id from parcel where parcel_year = '2024' and parcel_id = '23092621647');</v>
      </c>
    </row>
    <row r="2790" spans="1:85" x14ac:dyDescent="0.25">
      <c r="A2790">
        <v>23092621648</v>
      </c>
      <c r="B2790" t="s">
        <v>129</v>
      </c>
      <c r="C2790">
        <v>8085</v>
      </c>
      <c r="D2790" t="s">
        <v>129</v>
      </c>
      <c r="E2790" t="s">
        <v>53</v>
      </c>
      <c r="F2790" t="s">
        <v>53</v>
      </c>
      <c r="G2790">
        <v>4</v>
      </c>
      <c r="H2790" t="s">
        <v>54</v>
      </c>
      <c r="I2790">
        <v>0</v>
      </c>
      <c r="J2790">
        <v>32500</v>
      </c>
      <c r="K2790">
        <v>0.19</v>
      </c>
      <c r="L279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0">
        <v>0</v>
      </c>
      <c r="N2790">
        <v>0</v>
      </c>
      <c r="O2790">
        <v>0</v>
      </c>
      <c r="P2790">
        <v>13398.7528</v>
      </c>
      <c r="Q2790">
        <v>63903</v>
      </c>
      <c r="R2790">
        <f>(Grandview_Inventory[[#This Row],[ln_acres]]*Grandview_Inventory[[#This Row],[coeff]])+Grandview_Inventory[[#This Row],[const]]</f>
        <v>41651.273092551026</v>
      </c>
      <c r="AY2790">
        <v>0</v>
      </c>
      <c r="AZ2790">
        <v>0</v>
      </c>
      <c r="BE2790">
        <v>0</v>
      </c>
      <c r="BF2790">
        <v>15000</v>
      </c>
      <c r="BG2790">
        <v>0</v>
      </c>
      <c r="BH2790" s="6">
        <f>Grandview_Inventory[[#This Row],[land_extract]]*Lookups!$B$3</f>
        <v>48369.510983942157</v>
      </c>
      <c r="BI2790" s="6">
        <f>IF(Grandview_Inventory[[#This Row],[bldg_style]]="",0,Lookups!$B$2)</f>
        <v>0</v>
      </c>
      <c r="BJ2790" s="6">
        <f>_xlfn.IFNA(VLOOKUP(Grandview_Inventory[[#This Row],[quality]],Lookups!$H$2:$J$14,3,FALSE),0)</f>
        <v>0</v>
      </c>
      <c r="BK2790" s="6">
        <f>_xlfn.IFNA(VLOOKUP(Grandview_Inventory[[#This Row],[condition]],Lookups!$H$17:$J$24,3,FALSE),0)</f>
        <v>0</v>
      </c>
      <c r="BL2790" s="6">
        <f>Grandview_Inventory[[#This Row],[Eff_Age]]*Lookups!$B$14</f>
        <v>0</v>
      </c>
      <c r="BM2790" s="6">
        <f>Grandview_Inventory[[#This Row],[living_area]]*Lookups!$B$15</f>
        <v>0</v>
      </c>
      <c r="BN2790" s="6">
        <f>Grandview_Inventory[[#This Row],[Fin BSMT]]*Lookups!$B$16</f>
        <v>0</v>
      </c>
      <c r="BO2790" s="6">
        <f>(Grandview_Inventory[[#This Row],[att_gar]]+Grandview_Inventory[[#This Row],[bltin_gar]])*Lookups!$B$17</f>
        <v>0</v>
      </c>
      <c r="BP2790" s="6">
        <f>Grandview_Inventory[[#This Row],[Plumbing Fixtures]]*Lookups!$B$18</f>
        <v>0</v>
      </c>
      <c r="BQ2790" s="6">
        <f>Grandview_Inventory[[#This Row],[detatched_value]]*Lookups!$B$19</f>
        <v>0</v>
      </c>
      <c r="BR2790" s="6">
        <f>SUM(Grandview_Inventory[[#This Row],[Intercept]:[det_value]])*Grandview_Inventory[[#This Row],[res_pct]]</f>
        <v>0</v>
      </c>
      <c r="BS2790" s="6">
        <f>Grandview_Inventory[[#This Row],[land_value]]</f>
        <v>48369.510983942157</v>
      </c>
      <c r="BT2790" s="4">
        <f>_xlfn.IFNA(VLOOKUP(Grandview_Inventory[[#This Row],[quality]],Lookups!$A$26:$C$33,3,FALSE),1)</f>
        <v>1</v>
      </c>
      <c r="BU2790" s="4">
        <f>_xlfn.IFNA(VLOOKUP(Grandview_Inventory[[#This Row],[condition]],Lookups!$A$37:$C$44,3,FALSE),1)</f>
        <v>1</v>
      </c>
      <c r="BV2790" s="4">
        <f>IF(Grandview_Inventory[[#This Row],[bldg_style]]="",1,_xlfn.IFNA(VLOOKUP(Grandview_Inventory[[#This Row],[decade]],Lookups!$F$29:$H$43,3,FALSE),1))</f>
        <v>1</v>
      </c>
      <c r="BW2790" s="4">
        <f>_xlfn.IFNA(VLOOKUP(Grandview_Inventory[[#This Row],[living_area_range]],Lookups!$F$47:$H$56,3,FALSE),1)</f>
        <v>1</v>
      </c>
      <c r="BX2790" s="4">
        <f>AVERAGE(Grandview_Inventory[[#This Row],[qual_adj]:[size_adj]])</f>
        <v>1</v>
      </c>
      <c r="BY2790" s="6">
        <f>IF(Grandview_Inventory[[#This Row],[pre_res]]&lt;0,0,Grandview_Inventory[[#This Row],[pre_res]]*Grandview_Inventory[[#This Row],[overall_adj]])</f>
        <v>0</v>
      </c>
      <c r="BZ2790" s="6">
        <f>(Grandview_Inventory[[#This Row],[sum_land]]-IF(Grandview_Inventory[[#This Row],[no_utilities]]=1,12000,0))/IF(Grandview_Inventory[[#This Row],[unbuildable]]=1,2,1)</f>
        <v>48369.510983942157</v>
      </c>
      <c r="CA279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0">
        <f>ROUND(Grandview_Inventory[[#This Row],[det_value]]*Lookups!$M$28,-2)</f>
        <v>0</v>
      </c>
      <c r="CC279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0">
        <f>Grandview_Inventory[[#This Row],[final_det]]+Grandview_Inventory[[#This Row],[final_res]]</f>
        <v>0</v>
      </c>
      <c r="CE2790">
        <f>Grandview_Inventory[[#This Row],[final_land]]+Grandview_Inventory[[#This Row],[final_imp]]+Grandview_Inventory[[#This Row],[crop_value]]</f>
        <v>46000</v>
      </c>
      <c r="CG2790" t="str">
        <f t="shared" si="44"/>
        <v>update valuation set market_land =46000, market_bldg=0, market_total =46000, market_mdno =401, market_date ='9/10/2023' where link_id = (select link_id from parcel where parcel_year = '2024' and parcel_id = '23092621648');</v>
      </c>
    </row>
    <row r="2791" spans="1:85" x14ac:dyDescent="0.25">
      <c r="A2791">
        <v>23092621649</v>
      </c>
      <c r="B2791" t="s">
        <v>129</v>
      </c>
      <c r="C2791">
        <v>8085</v>
      </c>
      <c r="D2791" t="s">
        <v>129</v>
      </c>
      <c r="E2791" t="s">
        <v>53</v>
      </c>
      <c r="F2791" t="s">
        <v>53</v>
      </c>
      <c r="G2791">
        <v>4</v>
      </c>
      <c r="H2791" t="s">
        <v>54</v>
      </c>
      <c r="I2791">
        <v>0</v>
      </c>
      <c r="J2791">
        <v>32500</v>
      </c>
      <c r="K2791">
        <v>0.19</v>
      </c>
      <c r="L279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1">
        <v>0</v>
      </c>
      <c r="N2791">
        <v>0</v>
      </c>
      <c r="O2791">
        <v>0</v>
      </c>
      <c r="P2791">
        <v>13398.7528</v>
      </c>
      <c r="Q2791">
        <v>63903</v>
      </c>
      <c r="R2791">
        <f>(Grandview_Inventory[[#This Row],[ln_acres]]*Grandview_Inventory[[#This Row],[coeff]])+Grandview_Inventory[[#This Row],[const]]</f>
        <v>41651.273092551026</v>
      </c>
      <c r="AY2791">
        <v>0</v>
      </c>
      <c r="AZ2791">
        <v>0</v>
      </c>
      <c r="BE2791">
        <v>0</v>
      </c>
      <c r="BF2791">
        <v>15000</v>
      </c>
      <c r="BG2791">
        <v>0</v>
      </c>
      <c r="BH2791" s="6">
        <f>Grandview_Inventory[[#This Row],[land_extract]]*Lookups!$B$3</f>
        <v>48369.510983942157</v>
      </c>
      <c r="BI2791" s="6">
        <f>IF(Grandview_Inventory[[#This Row],[bldg_style]]="",0,Lookups!$B$2)</f>
        <v>0</v>
      </c>
      <c r="BJ2791" s="6">
        <f>_xlfn.IFNA(VLOOKUP(Grandview_Inventory[[#This Row],[quality]],Lookups!$H$2:$J$14,3,FALSE),0)</f>
        <v>0</v>
      </c>
      <c r="BK2791" s="6">
        <f>_xlfn.IFNA(VLOOKUP(Grandview_Inventory[[#This Row],[condition]],Lookups!$H$17:$J$24,3,FALSE),0)</f>
        <v>0</v>
      </c>
      <c r="BL2791" s="6">
        <f>Grandview_Inventory[[#This Row],[Eff_Age]]*Lookups!$B$14</f>
        <v>0</v>
      </c>
      <c r="BM2791" s="6">
        <f>Grandview_Inventory[[#This Row],[living_area]]*Lookups!$B$15</f>
        <v>0</v>
      </c>
      <c r="BN2791" s="6">
        <f>Grandview_Inventory[[#This Row],[Fin BSMT]]*Lookups!$B$16</f>
        <v>0</v>
      </c>
      <c r="BO2791" s="6">
        <f>(Grandview_Inventory[[#This Row],[att_gar]]+Grandview_Inventory[[#This Row],[bltin_gar]])*Lookups!$B$17</f>
        <v>0</v>
      </c>
      <c r="BP2791" s="6">
        <f>Grandview_Inventory[[#This Row],[Plumbing Fixtures]]*Lookups!$B$18</f>
        <v>0</v>
      </c>
      <c r="BQ2791" s="6">
        <f>Grandview_Inventory[[#This Row],[detatched_value]]*Lookups!$B$19</f>
        <v>0</v>
      </c>
      <c r="BR2791" s="6">
        <f>SUM(Grandview_Inventory[[#This Row],[Intercept]:[det_value]])*Grandview_Inventory[[#This Row],[res_pct]]</f>
        <v>0</v>
      </c>
      <c r="BS2791" s="6">
        <f>Grandview_Inventory[[#This Row],[land_value]]</f>
        <v>48369.510983942157</v>
      </c>
      <c r="BT2791" s="4">
        <f>_xlfn.IFNA(VLOOKUP(Grandview_Inventory[[#This Row],[quality]],Lookups!$A$26:$C$33,3,FALSE),1)</f>
        <v>1</v>
      </c>
      <c r="BU2791" s="4">
        <f>_xlfn.IFNA(VLOOKUP(Grandview_Inventory[[#This Row],[condition]],Lookups!$A$37:$C$44,3,FALSE),1)</f>
        <v>1</v>
      </c>
      <c r="BV2791" s="4">
        <f>IF(Grandview_Inventory[[#This Row],[bldg_style]]="",1,_xlfn.IFNA(VLOOKUP(Grandview_Inventory[[#This Row],[decade]],Lookups!$F$29:$H$43,3,FALSE),1))</f>
        <v>1</v>
      </c>
      <c r="BW2791" s="4">
        <f>_xlfn.IFNA(VLOOKUP(Grandview_Inventory[[#This Row],[living_area_range]],Lookups!$F$47:$H$56,3,FALSE),1)</f>
        <v>1</v>
      </c>
      <c r="BX2791" s="4">
        <f>AVERAGE(Grandview_Inventory[[#This Row],[qual_adj]:[size_adj]])</f>
        <v>1</v>
      </c>
      <c r="BY2791" s="6">
        <f>IF(Grandview_Inventory[[#This Row],[pre_res]]&lt;0,0,Grandview_Inventory[[#This Row],[pre_res]]*Grandview_Inventory[[#This Row],[overall_adj]])</f>
        <v>0</v>
      </c>
      <c r="BZ2791" s="6">
        <f>(Grandview_Inventory[[#This Row],[sum_land]]-IF(Grandview_Inventory[[#This Row],[no_utilities]]=1,12000,0))/IF(Grandview_Inventory[[#This Row],[unbuildable]]=1,2,1)</f>
        <v>48369.510983942157</v>
      </c>
      <c r="CA279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1">
        <f>ROUND(Grandview_Inventory[[#This Row],[det_value]]*Lookups!$M$28,-2)</f>
        <v>0</v>
      </c>
      <c r="CC279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1">
        <f>Grandview_Inventory[[#This Row],[final_det]]+Grandview_Inventory[[#This Row],[final_res]]</f>
        <v>0</v>
      </c>
      <c r="CE2791">
        <f>Grandview_Inventory[[#This Row],[final_land]]+Grandview_Inventory[[#This Row],[final_imp]]+Grandview_Inventory[[#This Row],[crop_value]]</f>
        <v>46000</v>
      </c>
      <c r="CG2791" t="str">
        <f t="shared" si="44"/>
        <v>update valuation set market_land =46000, market_bldg=0, market_total =46000, market_mdno =401, market_date ='9/10/2023' where link_id = (select link_id from parcel where parcel_year = '2024' and parcel_id = '23092621649');</v>
      </c>
    </row>
    <row r="2792" spans="1:85" x14ac:dyDescent="0.25">
      <c r="A2792">
        <v>23092621650</v>
      </c>
      <c r="B2792" t="s">
        <v>129</v>
      </c>
      <c r="C2792">
        <v>8085</v>
      </c>
      <c r="D2792" t="s">
        <v>129</v>
      </c>
      <c r="E2792" t="s">
        <v>53</v>
      </c>
      <c r="F2792" t="s">
        <v>53</v>
      </c>
      <c r="G2792">
        <v>4</v>
      </c>
      <c r="H2792" t="s">
        <v>54</v>
      </c>
      <c r="I2792">
        <v>0</v>
      </c>
      <c r="J2792">
        <v>32500</v>
      </c>
      <c r="K2792">
        <v>0.19</v>
      </c>
      <c r="L279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2">
        <v>0</v>
      </c>
      <c r="N2792">
        <v>0</v>
      </c>
      <c r="O2792">
        <v>0</v>
      </c>
      <c r="P2792">
        <v>13398.7528</v>
      </c>
      <c r="Q2792">
        <v>63903</v>
      </c>
      <c r="R2792">
        <f>(Grandview_Inventory[[#This Row],[ln_acres]]*Grandview_Inventory[[#This Row],[coeff]])+Grandview_Inventory[[#This Row],[const]]</f>
        <v>41651.273092551026</v>
      </c>
      <c r="AY2792">
        <v>0</v>
      </c>
      <c r="AZ2792">
        <v>0</v>
      </c>
      <c r="BE2792">
        <v>0</v>
      </c>
      <c r="BF2792">
        <v>15000</v>
      </c>
      <c r="BG2792">
        <v>0</v>
      </c>
      <c r="BH2792" s="6">
        <f>Grandview_Inventory[[#This Row],[land_extract]]*Lookups!$B$3</f>
        <v>48369.510983942157</v>
      </c>
      <c r="BI2792" s="6">
        <f>IF(Grandview_Inventory[[#This Row],[bldg_style]]="",0,Lookups!$B$2)</f>
        <v>0</v>
      </c>
      <c r="BJ2792" s="6">
        <f>_xlfn.IFNA(VLOOKUP(Grandview_Inventory[[#This Row],[quality]],Lookups!$H$2:$J$14,3,FALSE),0)</f>
        <v>0</v>
      </c>
      <c r="BK2792" s="6">
        <f>_xlfn.IFNA(VLOOKUP(Grandview_Inventory[[#This Row],[condition]],Lookups!$H$17:$J$24,3,FALSE),0)</f>
        <v>0</v>
      </c>
      <c r="BL2792" s="6">
        <f>Grandview_Inventory[[#This Row],[Eff_Age]]*Lookups!$B$14</f>
        <v>0</v>
      </c>
      <c r="BM2792" s="6">
        <f>Grandview_Inventory[[#This Row],[living_area]]*Lookups!$B$15</f>
        <v>0</v>
      </c>
      <c r="BN2792" s="6">
        <f>Grandview_Inventory[[#This Row],[Fin BSMT]]*Lookups!$B$16</f>
        <v>0</v>
      </c>
      <c r="BO2792" s="6">
        <f>(Grandview_Inventory[[#This Row],[att_gar]]+Grandview_Inventory[[#This Row],[bltin_gar]])*Lookups!$B$17</f>
        <v>0</v>
      </c>
      <c r="BP2792" s="6">
        <f>Grandview_Inventory[[#This Row],[Plumbing Fixtures]]*Lookups!$B$18</f>
        <v>0</v>
      </c>
      <c r="BQ2792" s="6">
        <f>Grandview_Inventory[[#This Row],[detatched_value]]*Lookups!$B$19</f>
        <v>0</v>
      </c>
      <c r="BR2792" s="6">
        <f>SUM(Grandview_Inventory[[#This Row],[Intercept]:[det_value]])*Grandview_Inventory[[#This Row],[res_pct]]</f>
        <v>0</v>
      </c>
      <c r="BS2792" s="6">
        <f>Grandview_Inventory[[#This Row],[land_value]]</f>
        <v>48369.510983942157</v>
      </c>
      <c r="BT2792" s="4">
        <f>_xlfn.IFNA(VLOOKUP(Grandview_Inventory[[#This Row],[quality]],Lookups!$A$26:$C$33,3,FALSE),1)</f>
        <v>1</v>
      </c>
      <c r="BU2792" s="4">
        <f>_xlfn.IFNA(VLOOKUP(Grandview_Inventory[[#This Row],[condition]],Lookups!$A$37:$C$44,3,FALSE),1)</f>
        <v>1</v>
      </c>
      <c r="BV2792" s="4">
        <f>IF(Grandview_Inventory[[#This Row],[bldg_style]]="",1,_xlfn.IFNA(VLOOKUP(Grandview_Inventory[[#This Row],[decade]],Lookups!$F$29:$H$43,3,FALSE),1))</f>
        <v>1</v>
      </c>
      <c r="BW2792" s="4">
        <f>_xlfn.IFNA(VLOOKUP(Grandview_Inventory[[#This Row],[living_area_range]],Lookups!$F$47:$H$56,3,FALSE),1)</f>
        <v>1</v>
      </c>
      <c r="BX2792" s="4">
        <f>AVERAGE(Grandview_Inventory[[#This Row],[qual_adj]:[size_adj]])</f>
        <v>1</v>
      </c>
      <c r="BY2792" s="6">
        <f>IF(Grandview_Inventory[[#This Row],[pre_res]]&lt;0,0,Grandview_Inventory[[#This Row],[pre_res]]*Grandview_Inventory[[#This Row],[overall_adj]])</f>
        <v>0</v>
      </c>
      <c r="BZ2792" s="6">
        <f>(Grandview_Inventory[[#This Row],[sum_land]]-IF(Grandview_Inventory[[#This Row],[no_utilities]]=1,12000,0))/IF(Grandview_Inventory[[#This Row],[unbuildable]]=1,2,1)</f>
        <v>48369.510983942157</v>
      </c>
      <c r="CA279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2">
        <f>ROUND(Grandview_Inventory[[#This Row],[det_value]]*Lookups!$M$28,-2)</f>
        <v>0</v>
      </c>
      <c r="CC279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2">
        <f>Grandview_Inventory[[#This Row],[final_det]]+Grandview_Inventory[[#This Row],[final_res]]</f>
        <v>0</v>
      </c>
      <c r="CE2792">
        <f>Grandview_Inventory[[#This Row],[final_land]]+Grandview_Inventory[[#This Row],[final_imp]]+Grandview_Inventory[[#This Row],[crop_value]]</f>
        <v>46000</v>
      </c>
      <c r="CG2792" t="str">
        <f t="shared" si="44"/>
        <v>update valuation set market_land =46000, market_bldg=0, market_total =46000, market_mdno =401, market_date ='9/10/2023' where link_id = (select link_id from parcel where parcel_year = '2024' and parcel_id = '23092621650');</v>
      </c>
    </row>
    <row r="2793" spans="1:85" x14ac:dyDescent="0.25">
      <c r="A2793">
        <v>23092621651</v>
      </c>
      <c r="B2793" t="s">
        <v>129</v>
      </c>
      <c r="C2793">
        <v>8085</v>
      </c>
      <c r="D2793" t="s">
        <v>129</v>
      </c>
      <c r="E2793" t="s">
        <v>53</v>
      </c>
      <c r="F2793" t="s">
        <v>53</v>
      </c>
      <c r="G2793">
        <v>4</v>
      </c>
      <c r="H2793" t="s">
        <v>54</v>
      </c>
      <c r="I2793">
        <v>0</v>
      </c>
      <c r="J2793">
        <v>32500</v>
      </c>
      <c r="K2793">
        <v>0.19</v>
      </c>
      <c r="L279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3">
        <v>0</v>
      </c>
      <c r="N2793">
        <v>0</v>
      </c>
      <c r="O2793">
        <v>0</v>
      </c>
      <c r="P2793">
        <v>13398.7528</v>
      </c>
      <c r="Q2793">
        <v>63903</v>
      </c>
      <c r="R2793">
        <f>(Grandview_Inventory[[#This Row],[ln_acres]]*Grandview_Inventory[[#This Row],[coeff]])+Grandview_Inventory[[#This Row],[const]]</f>
        <v>41651.273092551026</v>
      </c>
      <c r="AY2793">
        <v>0</v>
      </c>
      <c r="AZ2793">
        <v>0</v>
      </c>
      <c r="BE2793">
        <v>0</v>
      </c>
      <c r="BF2793">
        <v>15000</v>
      </c>
      <c r="BG2793">
        <v>0</v>
      </c>
      <c r="BH2793" s="6">
        <f>Grandview_Inventory[[#This Row],[land_extract]]*Lookups!$B$3</f>
        <v>48369.510983942157</v>
      </c>
      <c r="BI2793" s="6">
        <f>IF(Grandview_Inventory[[#This Row],[bldg_style]]="",0,Lookups!$B$2)</f>
        <v>0</v>
      </c>
      <c r="BJ2793" s="6">
        <f>_xlfn.IFNA(VLOOKUP(Grandview_Inventory[[#This Row],[quality]],Lookups!$H$2:$J$14,3,FALSE),0)</f>
        <v>0</v>
      </c>
      <c r="BK2793" s="6">
        <f>_xlfn.IFNA(VLOOKUP(Grandview_Inventory[[#This Row],[condition]],Lookups!$H$17:$J$24,3,FALSE),0)</f>
        <v>0</v>
      </c>
      <c r="BL2793" s="6">
        <f>Grandview_Inventory[[#This Row],[Eff_Age]]*Lookups!$B$14</f>
        <v>0</v>
      </c>
      <c r="BM2793" s="6">
        <f>Grandview_Inventory[[#This Row],[living_area]]*Lookups!$B$15</f>
        <v>0</v>
      </c>
      <c r="BN2793" s="6">
        <f>Grandview_Inventory[[#This Row],[Fin BSMT]]*Lookups!$B$16</f>
        <v>0</v>
      </c>
      <c r="BO2793" s="6">
        <f>(Grandview_Inventory[[#This Row],[att_gar]]+Grandview_Inventory[[#This Row],[bltin_gar]])*Lookups!$B$17</f>
        <v>0</v>
      </c>
      <c r="BP2793" s="6">
        <f>Grandview_Inventory[[#This Row],[Plumbing Fixtures]]*Lookups!$B$18</f>
        <v>0</v>
      </c>
      <c r="BQ2793" s="6">
        <f>Grandview_Inventory[[#This Row],[detatched_value]]*Lookups!$B$19</f>
        <v>0</v>
      </c>
      <c r="BR2793" s="6">
        <f>SUM(Grandview_Inventory[[#This Row],[Intercept]:[det_value]])*Grandview_Inventory[[#This Row],[res_pct]]</f>
        <v>0</v>
      </c>
      <c r="BS2793" s="6">
        <f>Grandview_Inventory[[#This Row],[land_value]]</f>
        <v>48369.510983942157</v>
      </c>
      <c r="BT2793" s="4">
        <f>_xlfn.IFNA(VLOOKUP(Grandview_Inventory[[#This Row],[quality]],Lookups!$A$26:$C$33,3,FALSE),1)</f>
        <v>1</v>
      </c>
      <c r="BU2793" s="4">
        <f>_xlfn.IFNA(VLOOKUP(Grandview_Inventory[[#This Row],[condition]],Lookups!$A$37:$C$44,3,FALSE),1)</f>
        <v>1</v>
      </c>
      <c r="BV2793" s="4">
        <f>IF(Grandview_Inventory[[#This Row],[bldg_style]]="",1,_xlfn.IFNA(VLOOKUP(Grandview_Inventory[[#This Row],[decade]],Lookups!$F$29:$H$43,3,FALSE),1))</f>
        <v>1</v>
      </c>
      <c r="BW2793" s="4">
        <f>_xlfn.IFNA(VLOOKUP(Grandview_Inventory[[#This Row],[living_area_range]],Lookups!$F$47:$H$56,3,FALSE),1)</f>
        <v>1</v>
      </c>
      <c r="BX2793" s="4">
        <f>AVERAGE(Grandview_Inventory[[#This Row],[qual_adj]:[size_adj]])</f>
        <v>1</v>
      </c>
      <c r="BY2793" s="6">
        <f>IF(Grandview_Inventory[[#This Row],[pre_res]]&lt;0,0,Grandview_Inventory[[#This Row],[pre_res]]*Grandview_Inventory[[#This Row],[overall_adj]])</f>
        <v>0</v>
      </c>
      <c r="BZ2793" s="6">
        <f>(Grandview_Inventory[[#This Row],[sum_land]]-IF(Grandview_Inventory[[#This Row],[no_utilities]]=1,12000,0))/IF(Grandview_Inventory[[#This Row],[unbuildable]]=1,2,1)</f>
        <v>48369.510983942157</v>
      </c>
      <c r="CA279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3">
        <f>ROUND(Grandview_Inventory[[#This Row],[det_value]]*Lookups!$M$28,-2)</f>
        <v>0</v>
      </c>
      <c r="CC279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3">
        <f>Grandview_Inventory[[#This Row],[final_det]]+Grandview_Inventory[[#This Row],[final_res]]</f>
        <v>0</v>
      </c>
      <c r="CE2793">
        <f>Grandview_Inventory[[#This Row],[final_land]]+Grandview_Inventory[[#This Row],[final_imp]]+Grandview_Inventory[[#This Row],[crop_value]]</f>
        <v>46000</v>
      </c>
      <c r="CG2793" t="str">
        <f t="shared" si="44"/>
        <v>update valuation set market_land =46000, market_bldg=0, market_total =46000, market_mdno =401, market_date ='9/10/2023' where link_id = (select link_id from parcel where parcel_year = '2024' and parcel_id = '23092621651');</v>
      </c>
    </row>
    <row r="2794" spans="1:85" x14ac:dyDescent="0.25">
      <c r="A2794">
        <v>23092621652</v>
      </c>
      <c r="B2794" t="s">
        <v>129</v>
      </c>
      <c r="C2794">
        <v>8085</v>
      </c>
      <c r="D2794" t="s">
        <v>129</v>
      </c>
      <c r="E2794" t="s">
        <v>53</v>
      </c>
      <c r="F2794" t="s">
        <v>53</v>
      </c>
      <c r="G2794">
        <v>4</v>
      </c>
      <c r="H2794" t="s">
        <v>54</v>
      </c>
      <c r="I2794">
        <v>0</v>
      </c>
      <c r="J2794">
        <v>32500</v>
      </c>
      <c r="K2794">
        <v>0.19</v>
      </c>
      <c r="L279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4">
        <v>0</v>
      </c>
      <c r="N2794">
        <v>0</v>
      </c>
      <c r="O2794">
        <v>0</v>
      </c>
      <c r="P2794">
        <v>13398.7528</v>
      </c>
      <c r="Q2794">
        <v>63903</v>
      </c>
      <c r="R2794">
        <f>(Grandview_Inventory[[#This Row],[ln_acres]]*Grandview_Inventory[[#This Row],[coeff]])+Grandview_Inventory[[#This Row],[const]]</f>
        <v>41651.273092551026</v>
      </c>
      <c r="AY2794">
        <v>0</v>
      </c>
      <c r="AZ2794">
        <v>0</v>
      </c>
      <c r="BE2794">
        <v>0</v>
      </c>
      <c r="BF2794">
        <v>15000</v>
      </c>
      <c r="BG2794">
        <v>0</v>
      </c>
      <c r="BH2794" s="6">
        <f>Grandview_Inventory[[#This Row],[land_extract]]*Lookups!$B$3</f>
        <v>48369.510983942157</v>
      </c>
      <c r="BI2794" s="6">
        <f>IF(Grandview_Inventory[[#This Row],[bldg_style]]="",0,Lookups!$B$2)</f>
        <v>0</v>
      </c>
      <c r="BJ2794" s="6">
        <f>_xlfn.IFNA(VLOOKUP(Grandview_Inventory[[#This Row],[quality]],Lookups!$H$2:$J$14,3,FALSE),0)</f>
        <v>0</v>
      </c>
      <c r="BK2794" s="6">
        <f>_xlfn.IFNA(VLOOKUP(Grandview_Inventory[[#This Row],[condition]],Lookups!$H$17:$J$24,3,FALSE),0)</f>
        <v>0</v>
      </c>
      <c r="BL2794" s="6">
        <f>Grandview_Inventory[[#This Row],[Eff_Age]]*Lookups!$B$14</f>
        <v>0</v>
      </c>
      <c r="BM2794" s="6">
        <f>Grandview_Inventory[[#This Row],[living_area]]*Lookups!$B$15</f>
        <v>0</v>
      </c>
      <c r="BN2794" s="6">
        <f>Grandview_Inventory[[#This Row],[Fin BSMT]]*Lookups!$B$16</f>
        <v>0</v>
      </c>
      <c r="BO2794" s="6">
        <f>(Grandview_Inventory[[#This Row],[att_gar]]+Grandview_Inventory[[#This Row],[bltin_gar]])*Lookups!$B$17</f>
        <v>0</v>
      </c>
      <c r="BP2794" s="6">
        <f>Grandview_Inventory[[#This Row],[Plumbing Fixtures]]*Lookups!$B$18</f>
        <v>0</v>
      </c>
      <c r="BQ2794" s="6">
        <f>Grandview_Inventory[[#This Row],[detatched_value]]*Lookups!$B$19</f>
        <v>0</v>
      </c>
      <c r="BR2794" s="6">
        <f>SUM(Grandview_Inventory[[#This Row],[Intercept]:[det_value]])*Grandview_Inventory[[#This Row],[res_pct]]</f>
        <v>0</v>
      </c>
      <c r="BS2794" s="6">
        <f>Grandview_Inventory[[#This Row],[land_value]]</f>
        <v>48369.510983942157</v>
      </c>
      <c r="BT2794" s="4">
        <f>_xlfn.IFNA(VLOOKUP(Grandview_Inventory[[#This Row],[quality]],Lookups!$A$26:$C$33,3,FALSE),1)</f>
        <v>1</v>
      </c>
      <c r="BU2794" s="4">
        <f>_xlfn.IFNA(VLOOKUP(Grandview_Inventory[[#This Row],[condition]],Lookups!$A$37:$C$44,3,FALSE),1)</f>
        <v>1</v>
      </c>
      <c r="BV2794" s="4">
        <f>IF(Grandview_Inventory[[#This Row],[bldg_style]]="",1,_xlfn.IFNA(VLOOKUP(Grandview_Inventory[[#This Row],[decade]],Lookups!$F$29:$H$43,3,FALSE),1))</f>
        <v>1</v>
      </c>
      <c r="BW2794" s="4">
        <f>_xlfn.IFNA(VLOOKUP(Grandview_Inventory[[#This Row],[living_area_range]],Lookups!$F$47:$H$56,3,FALSE),1)</f>
        <v>1</v>
      </c>
      <c r="BX2794" s="4">
        <f>AVERAGE(Grandview_Inventory[[#This Row],[qual_adj]:[size_adj]])</f>
        <v>1</v>
      </c>
      <c r="BY2794" s="6">
        <f>IF(Grandview_Inventory[[#This Row],[pre_res]]&lt;0,0,Grandview_Inventory[[#This Row],[pre_res]]*Grandview_Inventory[[#This Row],[overall_adj]])</f>
        <v>0</v>
      </c>
      <c r="BZ2794" s="6">
        <f>(Grandview_Inventory[[#This Row],[sum_land]]-IF(Grandview_Inventory[[#This Row],[no_utilities]]=1,12000,0))/IF(Grandview_Inventory[[#This Row],[unbuildable]]=1,2,1)</f>
        <v>48369.510983942157</v>
      </c>
      <c r="CA279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4">
        <f>ROUND(Grandview_Inventory[[#This Row],[det_value]]*Lookups!$M$28,-2)</f>
        <v>0</v>
      </c>
      <c r="CC279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4">
        <f>Grandview_Inventory[[#This Row],[final_det]]+Grandview_Inventory[[#This Row],[final_res]]</f>
        <v>0</v>
      </c>
      <c r="CE2794">
        <f>Grandview_Inventory[[#This Row],[final_land]]+Grandview_Inventory[[#This Row],[final_imp]]+Grandview_Inventory[[#This Row],[crop_value]]</f>
        <v>46000</v>
      </c>
      <c r="CG2794" t="str">
        <f t="shared" si="44"/>
        <v>update valuation set market_land =46000, market_bldg=0, market_total =46000, market_mdno =401, market_date ='9/10/2023' where link_id = (select link_id from parcel where parcel_year = '2024' and parcel_id = '23092621652');</v>
      </c>
    </row>
    <row r="2795" spans="1:85" x14ac:dyDescent="0.25">
      <c r="A2795">
        <v>23092621653</v>
      </c>
      <c r="B2795" t="s">
        <v>129</v>
      </c>
      <c r="C2795">
        <v>8085</v>
      </c>
      <c r="D2795" t="s">
        <v>129</v>
      </c>
      <c r="E2795" t="s">
        <v>53</v>
      </c>
      <c r="F2795" t="s">
        <v>53</v>
      </c>
      <c r="G2795">
        <v>4</v>
      </c>
      <c r="H2795" t="s">
        <v>54</v>
      </c>
      <c r="I2795">
        <v>0</v>
      </c>
      <c r="J2795">
        <v>32500</v>
      </c>
      <c r="K2795">
        <v>0.19</v>
      </c>
      <c r="L279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5">
        <v>0</v>
      </c>
      <c r="N2795">
        <v>0</v>
      </c>
      <c r="O2795">
        <v>0</v>
      </c>
      <c r="P2795">
        <v>13398.7528</v>
      </c>
      <c r="Q2795">
        <v>63903</v>
      </c>
      <c r="R2795">
        <f>(Grandview_Inventory[[#This Row],[ln_acres]]*Grandview_Inventory[[#This Row],[coeff]])+Grandview_Inventory[[#This Row],[const]]</f>
        <v>41651.273092551026</v>
      </c>
      <c r="AY2795">
        <v>0</v>
      </c>
      <c r="AZ2795">
        <v>0</v>
      </c>
      <c r="BE2795">
        <v>0</v>
      </c>
      <c r="BF2795">
        <v>15000</v>
      </c>
      <c r="BG2795">
        <v>0</v>
      </c>
      <c r="BH2795" s="6">
        <f>Grandview_Inventory[[#This Row],[land_extract]]*Lookups!$B$3</f>
        <v>48369.510983942157</v>
      </c>
      <c r="BI2795" s="6">
        <f>IF(Grandview_Inventory[[#This Row],[bldg_style]]="",0,Lookups!$B$2)</f>
        <v>0</v>
      </c>
      <c r="BJ2795" s="6">
        <f>_xlfn.IFNA(VLOOKUP(Grandview_Inventory[[#This Row],[quality]],Lookups!$H$2:$J$14,3,FALSE),0)</f>
        <v>0</v>
      </c>
      <c r="BK2795" s="6">
        <f>_xlfn.IFNA(VLOOKUP(Grandview_Inventory[[#This Row],[condition]],Lookups!$H$17:$J$24,3,FALSE),0)</f>
        <v>0</v>
      </c>
      <c r="BL2795" s="6">
        <f>Grandview_Inventory[[#This Row],[Eff_Age]]*Lookups!$B$14</f>
        <v>0</v>
      </c>
      <c r="BM2795" s="6">
        <f>Grandview_Inventory[[#This Row],[living_area]]*Lookups!$B$15</f>
        <v>0</v>
      </c>
      <c r="BN2795" s="6">
        <f>Grandview_Inventory[[#This Row],[Fin BSMT]]*Lookups!$B$16</f>
        <v>0</v>
      </c>
      <c r="BO2795" s="6">
        <f>(Grandview_Inventory[[#This Row],[att_gar]]+Grandview_Inventory[[#This Row],[bltin_gar]])*Lookups!$B$17</f>
        <v>0</v>
      </c>
      <c r="BP2795" s="6">
        <f>Grandview_Inventory[[#This Row],[Plumbing Fixtures]]*Lookups!$B$18</f>
        <v>0</v>
      </c>
      <c r="BQ2795" s="6">
        <f>Grandview_Inventory[[#This Row],[detatched_value]]*Lookups!$B$19</f>
        <v>0</v>
      </c>
      <c r="BR2795" s="6">
        <f>SUM(Grandview_Inventory[[#This Row],[Intercept]:[det_value]])*Grandview_Inventory[[#This Row],[res_pct]]</f>
        <v>0</v>
      </c>
      <c r="BS2795" s="6">
        <f>Grandview_Inventory[[#This Row],[land_value]]</f>
        <v>48369.510983942157</v>
      </c>
      <c r="BT2795" s="4">
        <f>_xlfn.IFNA(VLOOKUP(Grandview_Inventory[[#This Row],[quality]],Lookups!$A$26:$C$33,3,FALSE),1)</f>
        <v>1</v>
      </c>
      <c r="BU2795" s="4">
        <f>_xlfn.IFNA(VLOOKUP(Grandview_Inventory[[#This Row],[condition]],Lookups!$A$37:$C$44,3,FALSE),1)</f>
        <v>1</v>
      </c>
      <c r="BV2795" s="4">
        <f>IF(Grandview_Inventory[[#This Row],[bldg_style]]="",1,_xlfn.IFNA(VLOOKUP(Grandview_Inventory[[#This Row],[decade]],Lookups!$F$29:$H$43,3,FALSE),1))</f>
        <v>1</v>
      </c>
      <c r="BW2795" s="4">
        <f>_xlfn.IFNA(VLOOKUP(Grandview_Inventory[[#This Row],[living_area_range]],Lookups!$F$47:$H$56,3,FALSE),1)</f>
        <v>1</v>
      </c>
      <c r="BX2795" s="4">
        <f>AVERAGE(Grandview_Inventory[[#This Row],[qual_adj]:[size_adj]])</f>
        <v>1</v>
      </c>
      <c r="BY2795" s="6">
        <f>IF(Grandview_Inventory[[#This Row],[pre_res]]&lt;0,0,Grandview_Inventory[[#This Row],[pre_res]]*Grandview_Inventory[[#This Row],[overall_adj]])</f>
        <v>0</v>
      </c>
      <c r="BZ2795" s="6">
        <f>(Grandview_Inventory[[#This Row],[sum_land]]-IF(Grandview_Inventory[[#This Row],[no_utilities]]=1,12000,0))/IF(Grandview_Inventory[[#This Row],[unbuildable]]=1,2,1)</f>
        <v>48369.510983942157</v>
      </c>
      <c r="CA279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5">
        <f>ROUND(Grandview_Inventory[[#This Row],[det_value]]*Lookups!$M$28,-2)</f>
        <v>0</v>
      </c>
      <c r="CC279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5">
        <f>Grandview_Inventory[[#This Row],[final_det]]+Grandview_Inventory[[#This Row],[final_res]]</f>
        <v>0</v>
      </c>
      <c r="CE2795">
        <f>Grandview_Inventory[[#This Row],[final_land]]+Grandview_Inventory[[#This Row],[final_imp]]+Grandview_Inventory[[#This Row],[crop_value]]</f>
        <v>46000</v>
      </c>
      <c r="CG2795" t="str">
        <f t="shared" si="44"/>
        <v>update valuation set market_land =46000, market_bldg=0, market_total =46000, market_mdno =401, market_date ='9/10/2023' where link_id = (select link_id from parcel where parcel_year = '2024' and parcel_id = '23092621653');</v>
      </c>
    </row>
    <row r="2796" spans="1:85" x14ac:dyDescent="0.25">
      <c r="A2796">
        <v>23092621656</v>
      </c>
      <c r="B2796" t="s">
        <v>129</v>
      </c>
      <c r="C2796">
        <v>8165</v>
      </c>
      <c r="D2796" t="s">
        <v>129</v>
      </c>
      <c r="E2796" t="s">
        <v>53</v>
      </c>
      <c r="F2796" t="s">
        <v>53</v>
      </c>
      <c r="G2796">
        <v>4</v>
      </c>
      <c r="H2796" t="s">
        <v>54</v>
      </c>
      <c r="I2796">
        <v>0</v>
      </c>
      <c r="J2796">
        <v>32500</v>
      </c>
      <c r="K2796">
        <v>0.19</v>
      </c>
      <c r="L279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796">
        <v>0</v>
      </c>
      <c r="N2796">
        <v>0</v>
      </c>
      <c r="O2796">
        <v>0</v>
      </c>
      <c r="P2796">
        <v>13398.7528</v>
      </c>
      <c r="Q2796">
        <v>63903</v>
      </c>
      <c r="R2796">
        <f>(Grandview_Inventory[[#This Row],[ln_acres]]*Grandview_Inventory[[#This Row],[coeff]])+Grandview_Inventory[[#This Row],[const]]</f>
        <v>41651.273092551026</v>
      </c>
      <c r="AY2796">
        <v>0</v>
      </c>
      <c r="AZ2796">
        <v>0</v>
      </c>
      <c r="BE2796">
        <v>0</v>
      </c>
      <c r="BF2796">
        <v>15000</v>
      </c>
      <c r="BG2796">
        <v>0</v>
      </c>
      <c r="BH2796" s="6">
        <f>Grandview_Inventory[[#This Row],[land_extract]]*Lookups!$B$3</f>
        <v>48369.510983942157</v>
      </c>
      <c r="BI2796" s="6">
        <f>IF(Grandview_Inventory[[#This Row],[bldg_style]]="",0,Lookups!$B$2)</f>
        <v>0</v>
      </c>
      <c r="BJ2796" s="6">
        <f>_xlfn.IFNA(VLOOKUP(Grandview_Inventory[[#This Row],[quality]],Lookups!$H$2:$J$14,3,FALSE),0)</f>
        <v>0</v>
      </c>
      <c r="BK2796" s="6">
        <f>_xlfn.IFNA(VLOOKUP(Grandview_Inventory[[#This Row],[condition]],Lookups!$H$17:$J$24,3,FALSE),0)</f>
        <v>0</v>
      </c>
      <c r="BL2796" s="6">
        <f>Grandview_Inventory[[#This Row],[Eff_Age]]*Lookups!$B$14</f>
        <v>0</v>
      </c>
      <c r="BM2796" s="6">
        <f>Grandview_Inventory[[#This Row],[living_area]]*Lookups!$B$15</f>
        <v>0</v>
      </c>
      <c r="BN2796" s="6">
        <f>Grandview_Inventory[[#This Row],[Fin BSMT]]*Lookups!$B$16</f>
        <v>0</v>
      </c>
      <c r="BO2796" s="6">
        <f>(Grandview_Inventory[[#This Row],[att_gar]]+Grandview_Inventory[[#This Row],[bltin_gar]])*Lookups!$B$17</f>
        <v>0</v>
      </c>
      <c r="BP2796" s="6">
        <f>Grandview_Inventory[[#This Row],[Plumbing Fixtures]]*Lookups!$B$18</f>
        <v>0</v>
      </c>
      <c r="BQ2796" s="6">
        <f>Grandview_Inventory[[#This Row],[detatched_value]]*Lookups!$B$19</f>
        <v>0</v>
      </c>
      <c r="BR2796" s="6">
        <f>SUM(Grandview_Inventory[[#This Row],[Intercept]:[det_value]])*Grandview_Inventory[[#This Row],[res_pct]]</f>
        <v>0</v>
      </c>
      <c r="BS2796" s="6">
        <f>Grandview_Inventory[[#This Row],[land_value]]</f>
        <v>48369.510983942157</v>
      </c>
      <c r="BT2796" s="4">
        <f>_xlfn.IFNA(VLOOKUP(Grandview_Inventory[[#This Row],[quality]],Lookups!$A$26:$C$33,3,FALSE),1)</f>
        <v>1</v>
      </c>
      <c r="BU2796" s="4">
        <f>_xlfn.IFNA(VLOOKUP(Grandview_Inventory[[#This Row],[condition]],Lookups!$A$37:$C$44,3,FALSE),1)</f>
        <v>1</v>
      </c>
      <c r="BV2796" s="4">
        <f>IF(Grandview_Inventory[[#This Row],[bldg_style]]="",1,_xlfn.IFNA(VLOOKUP(Grandview_Inventory[[#This Row],[decade]],Lookups!$F$29:$H$43,3,FALSE),1))</f>
        <v>1</v>
      </c>
      <c r="BW2796" s="4">
        <f>_xlfn.IFNA(VLOOKUP(Grandview_Inventory[[#This Row],[living_area_range]],Lookups!$F$47:$H$56,3,FALSE),1)</f>
        <v>1</v>
      </c>
      <c r="BX2796" s="4">
        <f>AVERAGE(Grandview_Inventory[[#This Row],[qual_adj]:[size_adj]])</f>
        <v>1</v>
      </c>
      <c r="BY2796" s="6">
        <f>IF(Grandview_Inventory[[#This Row],[pre_res]]&lt;0,0,Grandview_Inventory[[#This Row],[pre_res]]*Grandview_Inventory[[#This Row],[overall_adj]])</f>
        <v>0</v>
      </c>
      <c r="BZ2796" s="6">
        <f>(Grandview_Inventory[[#This Row],[sum_land]]-IF(Grandview_Inventory[[#This Row],[no_utilities]]=1,12000,0))/IF(Grandview_Inventory[[#This Row],[unbuildable]]=1,2,1)</f>
        <v>48369.510983942157</v>
      </c>
      <c r="CA279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796">
        <f>ROUND(Grandview_Inventory[[#This Row],[det_value]]*Lookups!$M$28,-2)</f>
        <v>0</v>
      </c>
      <c r="CC279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6">
        <f>Grandview_Inventory[[#This Row],[final_det]]+Grandview_Inventory[[#This Row],[final_res]]</f>
        <v>0</v>
      </c>
      <c r="CE2796">
        <f>Grandview_Inventory[[#This Row],[final_land]]+Grandview_Inventory[[#This Row],[final_imp]]+Grandview_Inventory[[#This Row],[crop_value]]</f>
        <v>46000</v>
      </c>
      <c r="CG2796" t="str">
        <f t="shared" si="44"/>
        <v>update valuation set market_land =46000, market_bldg=0, market_total =46000, market_mdno =401, market_date ='9/10/2023' where link_id = (select link_id from parcel where parcel_year = '2024' and parcel_id = '23092621656');</v>
      </c>
    </row>
    <row r="2797" spans="1:85" x14ac:dyDescent="0.25">
      <c r="A2797">
        <v>23092621658</v>
      </c>
      <c r="B2797" t="s">
        <v>129</v>
      </c>
      <c r="C2797">
        <v>8625</v>
      </c>
      <c r="D2797" t="s">
        <v>129</v>
      </c>
      <c r="E2797" t="s">
        <v>53</v>
      </c>
      <c r="F2797" t="s">
        <v>53</v>
      </c>
      <c r="G2797">
        <v>4</v>
      </c>
      <c r="H2797" t="s">
        <v>54</v>
      </c>
      <c r="I2797">
        <v>0</v>
      </c>
      <c r="J2797">
        <v>32700</v>
      </c>
      <c r="K2797">
        <v>0.2</v>
      </c>
      <c r="L279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797">
        <v>0</v>
      </c>
      <c r="N2797">
        <v>0</v>
      </c>
      <c r="O2797">
        <v>0</v>
      </c>
      <c r="P2797">
        <v>13398.7528</v>
      </c>
      <c r="Q2797">
        <v>63903</v>
      </c>
      <c r="R2797">
        <f>(Grandview_Inventory[[#This Row],[ln_acres]]*Grandview_Inventory[[#This Row],[coeff]])+Grandview_Inventory[[#This Row],[const]]</f>
        <v>42338.539264347448</v>
      </c>
      <c r="AY2797">
        <v>0</v>
      </c>
      <c r="AZ2797">
        <v>0</v>
      </c>
      <c r="BE2797">
        <v>0</v>
      </c>
      <c r="BF2797">
        <v>15000</v>
      </c>
      <c r="BG2797">
        <v>0</v>
      </c>
      <c r="BH2797" s="6">
        <f>Grandview_Inventory[[#This Row],[land_extract]]*Lookups!$B$3</f>
        <v>49167.631333630678</v>
      </c>
      <c r="BI2797" s="6">
        <f>IF(Grandview_Inventory[[#This Row],[bldg_style]]="",0,Lookups!$B$2)</f>
        <v>0</v>
      </c>
      <c r="BJ2797" s="6">
        <f>_xlfn.IFNA(VLOOKUP(Grandview_Inventory[[#This Row],[quality]],Lookups!$H$2:$J$14,3,FALSE),0)</f>
        <v>0</v>
      </c>
      <c r="BK2797" s="6">
        <f>_xlfn.IFNA(VLOOKUP(Grandview_Inventory[[#This Row],[condition]],Lookups!$H$17:$J$24,3,FALSE),0)</f>
        <v>0</v>
      </c>
      <c r="BL2797" s="6">
        <f>Grandview_Inventory[[#This Row],[Eff_Age]]*Lookups!$B$14</f>
        <v>0</v>
      </c>
      <c r="BM2797" s="6">
        <f>Grandview_Inventory[[#This Row],[living_area]]*Lookups!$B$15</f>
        <v>0</v>
      </c>
      <c r="BN2797" s="6">
        <f>Grandview_Inventory[[#This Row],[Fin BSMT]]*Lookups!$B$16</f>
        <v>0</v>
      </c>
      <c r="BO2797" s="6">
        <f>(Grandview_Inventory[[#This Row],[att_gar]]+Grandview_Inventory[[#This Row],[bltin_gar]])*Lookups!$B$17</f>
        <v>0</v>
      </c>
      <c r="BP2797" s="6">
        <f>Grandview_Inventory[[#This Row],[Plumbing Fixtures]]*Lookups!$B$18</f>
        <v>0</v>
      </c>
      <c r="BQ2797" s="6">
        <f>Grandview_Inventory[[#This Row],[detatched_value]]*Lookups!$B$19</f>
        <v>0</v>
      </c>
      <c r="BR2797" s="6">
        <f>SUM(Grandview_Inventory[[#This Row],[Intercept]:[det_value]])*Grandview_Inventory[[#This Row],[res_pct]]</f>
        <v>0</v>
      </c>
      <c r="BS2797" s="6">
        <f>Grandview_Inventory[[#This Row],[land_value]]</f>
        <v>49167.631333630678</v>
      </c>
      <c r="BT2797" s="4">
        <f>_xlfn.IFNA(VLOOKUP(Grandview_Inventory[[#This Row],[quality]],Lookups!$A$26:$C$33,3,FALSE),1)</f>
        <v>1</v>
      </c>
      <c r="BU2797" s="4">
        <f>_xlfn.IFNA(VLOOKUP(Grandview_Inventory[[#This Row],[condition]],Lookups!$A$37:$C$44,3,FALSE),1)</f>
        <v>1</v>
      </c>
      <c r="BV2797" s="4">
        <f>IF(Grandview_Inventory[[#This Row],[bldg_style]]="",1,_xlfn.IFNA(VLOOKUP(Grandview_Inventory[[#This Row],[decade]],Lookups!$F$29:$H$43,3,FALSE),1))</f>
        <v>1</v>
      </c>
      <c r="BW2797" s="4">
        <f>_xlfn.IFNA(VLOOKUP(Grandview_Inventory[[#This Row],[living_area_range]],Lookups!$F$47:$H$56,3,FALSE),1)</f>
        <v>1</v>
      </c>
      <c r="BX2797" s="4">
        <f>AVERAGE(Grandview_Inventory[[#This Row],[qual_adj]:[size_adj]])</f>
        <v>1</v>
      </c>
      <c r="BY2797" s="6">
        <f>IF(Grandview_Inventory[[#This Row],[pre_res]]&lt;0,0,Grandview_Inventory[[#This Row],[pre_res]]*Grandview_Inventory[[#This Row],[overall_adj]])</f>
        <v>0</v>
      </c>
      <c r="BZ2797" s="6">
        <f>(Grandview_Inventory[[#This Row],[sum_land]]-IF(Grandview_Inventory[[#This Row],[no_utilities]]=1,12000,0))/IF(Grandview_Inventory[[#This Row],[unbuildable]]=1,2,1)</f>
        <v>49167.631333630678</v>
      </c>
      <c r="CA279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797">
        <f>ROUND(Grandview_Inventory[[#This Row],[det_value]]*Lookups!$M$28,-2)</f>
        <v>0</v>
      </c>
      <c r="CC279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7">
        <f>Grandview_Inventory[[#This Row],[final_det]]+Grandview_Inventory[[#This Row],[final_res]]</f>
        <v>0</v>
      </c>
      <c r="CE2797">
        <f>Grandview_Inventory[[#This Row],[final_land]]+Grandview_Inventory[[#This Row],[final_imp]]+Grandview_Inventory[[#This Row],[crop_value]]</f>
        <v>46700</v>
      </c>
      <c r="CG2797" t="str">
        <f t="shared" si="44"/>
        <v>update valuation set market_land =46700, market_bldg=0, market_total =46700, market_mdno =401, market_date ='9/10/2023' where link_id = (select link_id from parcel where parcel_year = '2024' and parcel_id = '23092621658');</v>
      </c>
    </row>
    <row r="2798" spans="1:85" x14ac:dyDescent="0.25">
      <c r="A2798">
        <v>23092621659</v>
      </c>
      <c r="B2798" t="s">
        <v>129</v>
      </c>
      <c r="C2798">
        <v>9858</v>
      </c>
      <c r="D2798" t="s">
        <v>129</v>
      </c>
      <c r="E2798" t="s">
        <v>53</v>
      </c>
      <c r="F2798" t="s">
        <v>53</v>
      </c>
      <c r="G2798">
        <v>4</v>
      </c>
      <c r="H2798" t="s">
        <v>54</v>
      </c>
      <c r="I2798" t="s">
        <v>129</v>
      </c>
      <c r="J2798">
        <v>33000</v>
      </c>
      <c r="K2798">
        <v>0.23</v>
      </c>
      <c r="L2798">
        <f>IF(Grandview_Inventory[[#This Row],[parcel_acres]]-Grandview_Inventory[[#This Row],[non_valued_acres]] =0,0,LN(Grandview_Inventory[[#This Row],[parcel_acres]]-Grandview_Inventory[[#This Row],[non_valued_acres]]))</f>
        <v>-1.4696759700589417</v>
      </c>
      <c r="M2798">
        <v>0</v>
      </c>
      <c r="N2798">
        <v>0</v>
      </c>
      <c r="O2798">
        <v>0</v>
      </c>
      <c r="P2798">
        <v>13398.7528</v>
      </c>
      <c r="Q2798">
        <v>63903</v>
      </c>
      <c r="R2798">
        <f>(Grandview_Inventory[[#This Row],[ln_acres]]*Grandview_Inventory[[#This Row],[coeff]])+Grandview_Inventory[[#This Row],[const]]</f>
        <v>44211.174981080039</v>
      </c>
      <c r="AY2798">
        <v>0</v>
      </c>
      <c r="AZ2798">
        <v>0</v>
      </c>
      <c r="BE2798">
        <v>0</v>
      </c>
      <c r="BF2798">
        <v>15000</v>
      </c>
      <c r="BG2798">
        <v>0</v>
      </c>
      <c r="BH2798" s="6">
        <f>Grandview_Inventory[[#This Row],[land_extract]]*Lookups!$B$3</f>
        <v>51342.318135355803</v>
      </c>
      <c r="BI2798" s="6">
        <f>IF(Grandview_Inventory[[#This Row],[bldg_style]]="",0,Lookups!$B$2)</f>
        <v>0</v>
      </c>
      <c r="BJ2798" s="6">
        <f>_xlfn.IFNA(VLOOKUP(Grandview_Inventory[[#This Row],[quality]],Lookups!$H$2:$J$14,3,FALSE),0)</f>
        <v>0</v>
      </c>
      <c r="BK2798" s="6">
        <f>_xlfn.IFNA(VLOOKUP(Grandview_Inventory[[#This Row],[condition]],Lookups!$H$17:$J$24,3,FALSE),0)</f>
        <v>0</v>
      </c>
      <c r="BL2798" s="6">
        <f>Grandview_Inventory[[#This Row],[Eff_Age]]*Lookups!$B$14</f>
        <v>0</v>
      </c>
      <c r="BM2798" s="6">
        <f>Grandview_Inventory[[#This Row],[living_area]]*Lookups!$B$15</f>
        <v>0</v>
      </c>
      <c r="BN2798" s="6">
        <f>Grandview_Inventory[[#This Row],[Fin BSMT]]*Lookups!$B$16</f>
        <v>0</v>
      </c>
      <c r="BO2798" s="6">
        <f>(Grandview_Inventory[[#This Row],[att_gar]]+Grandview_Inventory[[#This Row],[bltin_gar]])*Lookups!$B$17</f>
        <v>0</v>
      </c>
      <c r="BP2798" s="6">
        <f>Grandview_Inventory[[#This Row],[Plumbing Fixtures]]*Lookups!$B$18</f>
        <v>0</v>
      </c>
      <c r="BQ2798" s="6">
        <f>Grandview_Inventory[[#This Row],[detatched_value]]*Lookups!$B$19</f>
        <v>0</v>
      </c>
      <c r="BR2798" s="6">
        <f>SUM(Grandview_Inventory[[#This Row],[Intercept]:[det_value]])*Grandview_Inventory[[#This Row],[res_pct]]</f>
        <v>0</v>
      </c>
      <c r="BS2798" s="6">
        <f>Grandview_Inventory[[#This Row],[land_value]]</f>
        <v>51342.318135355803</v>
      </c>
      <c r="BT2798" s="4">
        <f>_xlfn.IFNA(VLOOKUP(Grandview_Inventory[[#This Row],[quality]],Lookups!$A$26:$C$33,3,FALSE),1)</f>
        <v>1</v>
      </c>
      <c r="BU2798" s="4">
        <f>_xlfn.IFNA(VLOOKUP(Grandview_Inventory[[#This Row],[condition]],Lookups!$A$37:$C$44,3,FALSE),1)</f>
        <v>1</v>
      </c>
      <c r="BV2798" s="4">
        <f>IF(Grandview_Inventory[[#This Row],[bldg_style]]="",1,_xlfn.IFNA(VLOOKUP(Grandview_Inventory[[#This Row],[decade]],Lookups!$F$29:$H$43,3,FALSE),1))</f>
        <v>1</v>
      </c>
      <c r="BW2798" s="4">
        <f>_xlfn.IFNA(VLOOKUP(Grandview_Inventory[[#This Row],[living_area_range]],Lookups!$F$47:$H$56,3,FALSE),1)</f>
        <v>1</v>
      </c>
      <c r="BX2798" s="4">
        <f>AVERAGE(Grandview_Inventory[[#This Row],[qual_adj]:[size_adj]])</f>
        <v>1</v>
      </c>
      <c r="BY2798" s="6">
        <f>IF(Grandview_Inventory[[#This Row],[pre_res]]&lt;0,0,Grandview_Inventory[[#This Row],[pre_res]]*Grandview_Inventory[[#This Row],[overall_adj]])</f>
        <v>0</v>
      </c>
      <c r="BZ2798" s="6">
        <f>(Grandview_Inventory[[#This Row],[sum_land]]-IF(Grandview_Inventory[[#This Row],[no_utilities]]=1,12000,0))/IF(Grandview_Inventory[[#This Row],[unbuildable]]=1,2,1)</f>
        <v>51342.318135355803</v>
      </c>
      <c r="CA2798">
        <f>IF(ROUND(Grandview_Inventory[[#This Row],[adj_land]]*Lookups!$M$28,-2)&lt;Grandview_Inventory[[#This Row],[min_land]],Grandview_Inventory[[#This Row],[min_land]],ROUND(Grandview_Inventory[[#This Row],[adj_land]]*Lookups!$M$28,-2))</f>
        <v>48800</v>
      </c>
      <c r="CB2798">
        <f>ROUND(Grandview_Inventory[[#This Row],[det_value]]*Lookups!$M$28,-2)</f>
        <v>0</v>
      </c>
      <c r="CC279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8">
        <f>Grandview_Inventory[[#This Row],[final_det]]+Grandview_Inventory[[#This Row],[final_res]]</f>
        <v>0</v>
      </c>
      <c r="CE2798">
        <f>Grandview_Inventory[[#This Row],[final_land]]+Grandview_Inventory[[#This Row],[final_imp]]+Grandview_Inventory[[#This Row],[crop_value]]</f>
        <v>48800</v>
      </c>
      <c r="CG2798" t="str">
        <f t="shared" si="44"/>
        <v>update valuation set market_land =48800, market_bldg=0, market_total =48800, market_mdno =401, market_date ='9/10/2023' where link_id = (select link_id from parcel where parcel_year = '2024' and parcel_id = '23092621659');</v>
      </c>
    </row>
    <row r="2799" spans="1:85" x14ac:dyDescent="0.25">
      <c r="A2799">
        <v>23092621660</v>
      </c>
      <c r="B2799" t="s">
        <v>129</v>
      </c>
      <c r="C2799">
        <v>8714</v>
      </c>
      <c r="D2799" t="s">
        <v>129</v>
      </c>
      <c r="E2799" t="s">
        <v>53</v>
      </c>
      <c r="F2799" t="s">
        <v>53</v>
      </c>
      <c r="G2799">
        <v>4</v>
      </c>
      <c r="H2799" t="s">
        <v>54</v>
      </c>
      <c r="I2799" t="s">
        <v>129</v>
      </c>
      <c r="J2799">
        <v>32800</v>
      </c>
      <c r="K2799">
        <v>0.2</v>
      </c>
      <c r="L2799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799">
        <v>0</v>
      </c>
      <c r="N2799">
        <v>0</v>
      </c>
      <c r="O2799">
        <v>0</v>
      </c>
      <c r="P2799">
        <v>13398.7528</v>
      </c>
      <c r="Q2799">
        <v>63903</v>
      </c>
      <c r="R2799">
        <f>(Grandview_Inventory[[#This Row],[ln_acres]]*Grandview_Inventory[[#This Row],[coeff]])+Grandview_Inventory[[#This Row],[const]]</f>
        <v>42338.539264347448</v>
      </c>
      <c r="AY2799">
        <v>0</v>
      </c>
      <c r="AZ2799">
        <v>0</v>
      </c>
      <c r="BE2799">
        <v>0</v>
      </c>
      <c r="BF2799">
        <v>15000</v>
      </c>
      <c r="BG2799">
        <v>0</v>
      </c>
      <c r="BH2799" s="6">
        <f>Grandview_Inventory[[#This Row],[land_extract]]*Lookups!$B$3</f>
        <v>49167.631333630678</v>
      </c>
      <c r="BI2799" s="6">
        <f>IF(Grandview_Inventory[[#This Row],[bldg_style]]="",0,Lookups!$B$2)</f>
        <v>0</v>
      </c>
      <c r="BJ2799" s="6">
        <f>_xlfn.IFNA(VLOOKUP(Grandview_Inventory[[#This Row],[quality]],Lookups!$H$2:$J$14,3,FALSE),0)</f>
        <v>0</v>
      </c>
      <c r="BK2799" s="6">
        <f>_xlfn.IFNA(VLOOKUP(Grandview_Inventory[[#This Row],[condition]],Lookups!$H$17:$J$24,3,FALSE),0)</f>
        <v>0</v>
      </c>
      <c r="BL2799" s="6">
        <f>Grandview_Inventory[[#This Row],[Eff_Age]]*Lookups!$B$14</f>
        <v>0</v>
      </c>
      <c r="BM2799" s="6">
        <f>Grandview_Inventory[[#This Row],[living_area]]*Lookups!$B$15</f>
        <v>0</v>
      </c>
      <c r="BN2799" s="6">
        <f>Grandview_Inventory[[#This Row],[Fin BSMT]]*Lookups!$B$16</f>
        <v>0</v>
      </c>
      <c r="BO2799" s="6">
        <f>(Grandview_Inventory[[#This Row],[att_gar]]+Grandview_Inventory[[#This Row],[bltin_gar]])*Lookups!$B$17</f>
        <v>0</v>
      </c>
      <c r="BP2799" s="6">
        <f>Grandview_Inventory[[#This Row],[Plumbing Fixtures]]*Lookups!$B$18</f>
        <v>0</v>
      </c>
      <c r="BQ2799" s="6">
        <f>Grandview_Inventory[[#This Row],[detatched_value]]*Lookups!$B$19</f>
        <v>0</v>
      </c>
      <c r="BR2799" s="6">
        <f>SUM(Grandview_Inventory[[#This Row],[Intercept]:[det_value]])*Grandview_Inventory[[#This Row],[res_pct]]</f>
        <v>0</v>
      </c>
      <c r="BS2799" s="6">
        <f>Grandview_Inventory[[#This Row],[land_value]]</f>
        <v>49167.631333630678</v>
      </c>
      <c r="BT2799" s="4">
        <f>_xlfn.IFNA(VLOOKUP(Grandview_Inventory[[#This Row],[quality]],Lookups!$A$26:$C$33,3,FALSE),1)</f>
        <v>1</v>
      </c>
      <c r="BU2799" s="4">
        <f>_xlfn.IFNA(VLOOKUP(Grandview_Inventory[[#This Row],[condition]],Lookups!$A$37:$C$44,3,FALSE),1)</f>
        <v>1</v>
      </c>
      <c r="BV2799" s="4">
        <f>IF(Grandview_Inventory[[#This Row],[bldg_style]]="",1,_xlfn.IFNA(VLOOKUP(Grandview_Inventory[[#This Row],[decade]],Lookups!$F$29:$H$43,3,FALSE),1))</f>
        <v>1</v>
      </c>
      <c r="BW2799" s="4">
        <f>_xlfn.IFNA(VLOOKUP(Grandview_Inventory[[#This Row],[living_area_range]],Lookups!$F$47:$H$56,3,FALSE),1)</f>
        <v>1</v>
      </c>
      <c r="BX2799" s="4">
        <f>AVERAGE(Grandview_Inventory[[#This Row],[qual_adj]:[size_adj]])</f>
        <v>1</v>
      </c>
      <c r="BY2799" s="6">
        <f>IF(Grandview_Inventory[[#This Row],[pre_res]]&lt;0,0,Grandview_Inventory[[#This Row],[pre_res]]*Grandview_Inventory[[#This Row],[overall_adj]])</f>
        <v>0</v>
      </c>
      <c r="BZ2799" s="6">
        <f>(Grandview_Inventory[[#This Row],[sum_land]]-IF(Grandview_Inventory[[#This Row],[no_utilities]]=1,12000,0))/IF(Grandview_Inventory[[#This Row],[unbuildable]]=1,2,1)</f>
        <v>49167.631333630678</v>
      </c>
      <c r="CA2799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799">
        <f>ROUND(Grandview_Inventory[[#This Row],[det_value]]*Lookups!$M$28,-2)</f>
        <v>0</v>
      </c>
      <c r="CC279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799">
        <f>Grandview_Inventory[[#This Row],[final_det]]+Grandview_Inventory[[#This Row],[final_res]]</f>
        <v>0</v>
      </c>
      <c r="CE2799">
        <f>Grandview_Inventory[[#This Row],[final_land]]+Grandview_Inventory[[#This Row],[final_imp]]+Grandview_Inventory[[#This Row],[crop_value]]</f>
        <v>46700</v>
      </c>
      <c r="CG2799" t="str">
        <f t="shared" si="44"/>
        <v>update valuation set market_land =46700, market_bldg=0, market_total =46700, market_mdno =401, market_date ='9/10/2023' where link_id = (select link_id from parcel where parcel_year = '2024' and parcel_id = '23092621660');</v>
      </c>
    </row>
    <row r="2800" spans="1:85" x14ac:dyDescent="0.25">
      <c r="A2800">
        <v>23092621661</v>
      </c>
      <c r="B2800" t="s">
        <v>129</v>
      </c>
      <c r="C2800">
        <v>8085</v>
      </c>
      <c r="D2800" t="s">
        <v>129</v>
      </c>
      <c r="E2800" t="s">
        <v>53</v>
      </c>
      <c r="F2800" t="s">
        <v>53</v>
      </c>
      <c r="G2800">
        <v>4</v>
      </c>
      <c r="H2800" t="s">
        <v>54</v>
      </c>
      <c r="I2800" t="s">
        <v>129</v>
      </c>
      <c r="J2800">
        <v>32500</v>
      </c>
      <c r="K2800">
        <v>0.19</v>
      </c>
      <c r="L280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0">
        <v>0</v>
      </c>
      <c r="N2800">
        <v>0</v>
      </c>
      <c r="O2800">
        <v>0</v>
      </c>
      <c r="P2800">
        <v>13398.7528</v>
      </c>
      <c r="Q2800">
        <v>63903</v>
      </c>
      <c r="R2800">
        <f>(Grandview_Inventory[[#This Row],[ln_acres]]*Grandview_Inventory[[#This Row],[coeff]])+Grandview_Inventory[[#This Row],[const]]</f>
        <v>41651.273092551026</v>
      </c>
      <c r="AY2800">
        <v>0</v>
      </c>
      <c r="AZ2800">
        <v>0</v>
      </c>
      <c r="BE2800">
        <v>0</v>
      </c>
      <c r="BF2800">
        <v>15000</v>
      </c>
      <c r="BG2800">
        <v>0</v>
      </c>
      <c r="BH2800" s="6">
        <f>Grandview_Inventory[[#This Row],[land_extract]]*Lookups!$B$3</f>
        <v>48369.510983942157</v>
      </c>
      <c r="BI2800" s="6">
        <f>IF(Grandview_Inventory[[#This Row],[bldg_style]]="",0,Lookups!$B$2)</f>
        <v>0</v>
      </c>
      <c r="BJ2800" s="6">
        <f>_xlfn.IFNA(VLOOKUP(Grandview_Inventory[[#This Row],[quality]],Lookups!$H$2:$J$14,3,FALSE),0)</f>
        <v>0</v>
      </c>
      <c r="BK2800" s="6">
        <f>_xlfn.IFNA(VLOOKUP(Grandview_Inventory[[#This Row],[condition]],Lookups!$H$17:$J$24,3,FALSE),0)</f>
        <v>0</v>
      </c>
      <c r="BL2800" s="6">
        <f>Grandview_Inventory[[#This Row],[Eff_Age]]*Lookups!$B$14</f>
        <v>0</v>
      </c>
      <c r="BM2800" s="6">
        <f>Grandview_Inventory[[#This Row],[living_area]]*Lookups!$B$15</f>
        <v>0</v>
      </c>
      <c r="BN2800" s="6">
        <f>Grandview_Inventory[[#This Row],[Fin BSMT]]*Lookups!$B$16</f>
        <v>0</v>
      </c>
      <c r="BO2800" s="6">
        <f>(Grandview_Inventory[[#This Row],[att_gar]]+Grandview_Inventory[[#This Row],[bltin_gar]])*Lookups!$B$17</f>
        <v>0</v>
      </c>
      <c r="BP2800" s="6">
        <f>Grandview_Inventory[[#This Row],[Plumbing Fixtures]]*Lookups!$B$18</f>
        <v>0</v>
      </c>
      <c r="BQ2800" s="6">
        <f>Grandview_Inventory[[#This Row],[detatched_value]]*Lookups!$B$19</f>
        <v>0</v>
      </c>
      <c r="BR2800" s="6">
        <f>SUM(Grandview_Inventory[[#This Row],[Intercept]:[det_value]])*Grandview_Inventory[[#This Row],[res_pct]]</f>
        <v>0</v>
      </c>
      <c r="BS2800" s="6">
        <f>Grandview_Inventory[[#This Row],[land_value]]</f>
        <v>48369.510983942157</v>
      </c>
      <c r="BT2800" s="4">
        <f>_xlfn.IFNA(VLOOKUP(Grandview_Inventory[[#This Row],[quality]],Lookups!$A$26:$C$33,3,FALSE),1)</f>
        <v>1</v>
      </c>
      <c r="BU2800" s="4">
        <f>_xlfn.IFNA(VLOOKUP(Grandview_Inventory[[#This Row],[condition]],Lookups!$A$37:$C$44,3,FALSE),1)</f>
        <v>1</v>
      </c>
      <c r="BV2800" s="4">
        <f>IF(Grandview_Inventory[[#This Row],[bldg_style]]="",1,_xlfn.IFNA(VLOOKUP(Grandview_Inventory[[#This Row],[decade]],Lookups!$F$29:$H$43,3,FALSE),1))</f>
        <v>1</v>
      </c>
      <c r="BW2800" s="4">
        <f>_xlfn.IFNA(VLOOKUP(Grandview_Inventory[[#This Row],[living_area_range]],Lookups!$F$47:$H$56,3,FALSE),1)</f>
        <v>1</v>
      </c>
      <c r="BX2800" s="4">
        <f>AVERAGE(Grandview_Inventory[[#This Row],[qual_adj]:[size_adj]])</f>
        <v>1</v>
      </c>
      <c r="BY2800" s="6">
        <f>IF(Grandview_Inventory[[#This Row],[pre_res]]&lt;0,0,Grandview_Inventory[[#This Row],[pre_res]]*Grandview_Inventory[[#This Row],[overall_adj]])</f>
        <v>0</v>
      </c>
      <c r="BZ2800" s="6">
        <f>(Grandview_Inventory[[#This Row],[sum_land]]-IF(Grandview_Inventory[[#This Row],[no_utilities]]=1,12000,0))/IF(Grandview_Inventory[[#This Row],[unbuildable]]=1,2,1)</f>
        <v>48369.510983942157</v>
      </c>
      <c r="CA280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0">
        <f>ROUND(Grandview_Inventory[[#This Row],[det_value]]*Lookups!$M$28,-2)</f>
        <v>0</v>
      </c>
      <c r="CC280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0">
        <f>Grandview_Inventory[[#This Row],[final_det]]+Grandview_Inventory[[#This Row],[final_res]]</f>
        <v>0</v>
      </c>
      <c r="CE2800">
        <f>Grandview_Inventory[[#This Row],[final_land]]+Grandview_Inventory[[#This Row],[final_imp]]+Grandview_Inventory[[#This Row],[crop_value]]</f>
        <v>46000</v>
      </c>
      <c r="CG2800" t="str">
        <f t="shared" si="44"/>
        <v>update valuation set market_land =46000, market_bldg=0, market_total =46000, market_mdno =401, market_date ='9/10/2023' where link_id = (select link_id from parcel where parcel_year = '2024' and parcel_id = '23092621661');</v>
      </c>
    </row>
    <row r="2801" spans="1:85" x14ac:dyDescent="0.25">
      <c r="A2801">
        <v>23092621662</v>
      </c>
      <c r="B2801" t="s">
        <v>129</v>
      </c>
      <c r="C2801">
        <v>8085</v>
      </c>
      <c r="D2801" t="s">
        <v>129</v>
      </c>
      <c r="E2801" t="s">
        <v>53</v>
      </c>
      <c r="F2801" t="s">
        <v>53</v>
      </c>
      <c r="G2801">
        <v>4</v>
      </c>
      <c r="H2801" t="s">
        <v>54</v>
      </c>
      <c r="I2801" t="s">
        <v>129</v>
      </c>
      <c r="J2801">
        <v>32500</v>
      </c>
      <c r="K2801">
        <v>0.19</v>
      </c>
      <c r="L280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1">
        <v>0</v>
      </c>
      <c r="N2801">
        <v>0</v>
      </c>
      <c r="O2801">
        <v>0</v>
      </c>
      <c r="P2801">
        <v>13398.7528</v>
      </c>
      <c r="Q2801">
        <v>63903</v>
      </c>
      <c r="R2801">
        <f>(Grandview_Inventory[[#This Row],[ln_acres]]*Grandview_Inventory[[#This Row],[coeff]])+Grandview_Inventory[[#This Row],[const]]</f>
        <v>41651.273092551026</v>
      </c>
      <c r="AY2801">
        <v>0</v>
      </c>
      <c r="AZ2801">
        <v>0</v>
      </c>
      <c r="BE2801">
        <v>0</v>
      </c>
      <c r="BF2801">
        <v>15000</v>
      </c>
      <c r="BG2801">
        <v>0</v>
      </c>
      <c r="BH2801" s="6">
        <f>Grandview_Inventory[[#This Row],[land_extract]]*Lookups!$B$3</f>
        <v>48369.510983942157</v>
      </c>
      <c r="BI2801" s="6">
        <f>IF(Grandview_Inventory[[#This Row],[bldg_style]]="",0,Lookups!$B$2)</f>
        <v>0</v>
      </c>
      <c r="BJ2801" s="6">
        <f>_xlfn.IFNA(VLOOKUP(Grandview_Inventory[[#This Row],[quality]],Lookups!$H$2:$J$14,3,FALSE),0)</f>
        <v>0</v>
      </c>
      <c r="BK2801" s="6">
        <f>_xlfn.IFNA(VLOOKUP(Grandview_Inventory[[#This Row],[condition]],Lookups!$H$17:$J$24,3,FALSE),0)</f>
        <v>0</v>
      </c>
      <c r="BL2801" s="6">
        <f>Grandview_Inventory[[#This Row],[Eff_Age]]*Lookups!$B$14</f>
        <v>0</v>
      </c>
      <c r="BM2801" s="6">
        <f>Grandview_Inventory[[#This Row],[living_area]]*Lookups!$B$15</f>
        <v>0</v>
      </c>
      <c r="BN2801" s="6">
        <f>Grandview_Inventory[[#This Row],[Fin BSMT]]*Lookups!$B$16</f>
        <v>0</v>
      </c>
      <c r="BO2801" s="6">
        <f>(Grandview_Inventory[[#This Row],[att_gar]]+Grandview_Inventory[[#This Row],[bltin_gar]])*Lookups!$B$17</f>
        <v>0</v>
      </c>
      <c r="BP2801" s="6">
        <f>Grandview_Inventory[[#This Row],[Plumbing Fixtures]]*Lookups!$B$18</f>
        <v>0</v>
      </c>
      <c r="BQ2801" s="6">
        <f>Grandview_Inventory[[#This Row],[detatched_value]]*Lookups!$B$19</f>
        <v>0</v>
      </c>
      <c r="BR2801" s="6">
        <f>SUM(Grandview_Inventory[[#This Row],[Intercept]:[det_value]])*Grandview_Inventory[[#This Row],[res_pct]]</f>
        <v>0</v>
      </c>
      <c r="BS2801" s="6">
        <f>Grandview_Inventory[[#This Row],[land_value]]</f>
        <v>48369.510983942157</v>
      </c>
      <c r="BT2801" s="4">
        <f>_xlfn.IFNA(VLOOKUP(Grandview_Inventory[[#This Row],[quality]],Lookups!$A$26:$C$33,3,FALSE),1)</f>
        <v>1</v>
      </c>
      <c r="BU2801" s="4">
        <f>_xlfn.IFNA(VLOOKUP(Grandview_Inventory[[#This Row],[condition]],Lookups!$A$37:$C$44,3,FALSE),1)</f>
        <v>1</v>
      </c>
      <c r="BV2801" s="4">
        <f>IF(Grandview_Inventory[[#This Row],[bldg_style]]="",1,_xlfn.IFNA(VLOOKUP(Grandview_Inventory[[#This Row],[decade]],Lookups!$F$29:$H$43,3,FALSE),1))</f>
        <v>1</v>
      </c>
      <c r="BW2801" s="4">
        <f>_xlfn.IFNA(VLOOKUP(Grandview_Inventory[[#This Row],[living_area_range]],Lookups!$F$47:$H$56,3,FALSE),1)</f>
        <v>1</v>
      </c>
      <c r="BX2801" s="4">
        <f>AVERAGE(Grandview_Inventory[[#This Row],[qual_adj]:[size_adj]])</f>
        <v>1</v>
      </c>
      <c r="BY2801" s="6">
        <f>IF(Grandview_Inventory[[#This Row],[pre_res]]&lt;0,0,Grandview_Inventory[[#This Row],[pre_res]]*Grandview_Inventory[[#This Row],[overall_adj]])</f>
        <v>0</v>
      </c>
      <c r="BZ2801" s="6">
        <f>(Grandview_Inventory[[#This Row],[sum_land]]-IF(Grandview_Inventory[[#This Row],[no_utilities]]=1,12000,0))/IF(Grandview_Inventory[[#This Row],[unbuildable]]=1,2,1)</f>
        <v>48369.510983942157</v>
      </c>
      <c r="CA280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1">
        <f>ROUND(Grandview_Inventory[[#This Row],[det_value]]*Lookups!$M$28,-2)</f>
        <v>0</v>
      </c>
      <c r="CC280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1">
        <f>Grandview_Inventory[[#This Row],[final_det]]+Grandview_Inventory[[#This Row],[final_res]]</f>
        <v>0</v>
      </c>
      <c r="CE2801">
        <f>Grandview_Inventory[[#This Row],[final_land]]+Grandview_Inventory[[#This Row],[final_imp]]+Grandview_Inventory[[#This Row],[crop_value]]</f>
        <v>46000</v>
      </c>
      <c r="CG2801" t="str">
        <f t="shared" si="44"/>
        <v>update valuation set market_land =46000, market_bldg=0, market_total =46000, market_mdno =401, market_date ='9/10/2023' where link_id = (select link_id from parcel where parcel_year = '2024' and parcel_id = '23092621662');</v>
      </c>
    </row>
    <row r="2802" spans="1:85" x14ac:dyDescent="0.25">
      <c r="A2802">
        <v>23092621663</v>
      </c>
      <c r="B2802" t="s">
        <v>129</v>
      </c>
      <c r="C2802">
        <v>8085</v>
      </c>
      <c r="D2802" t="s">
        <v>129</v>
      </c>
      <c r="E2802" t="s">
        <v>53</v>
      </c>
      <c r="F2802" t="s">
        <v>53</v>
      </c>
      <c r="G2802">
        <v>4</v>
      </c>
      <c r="H2802" t="s">
        <v>54</v>
      </c>
      <c r="I2802" t="s">
        <v>129</v>
      </c>
      <c r="J2802">
        <v>32500</v>
      </c>
      <c r="K2802">
        <v>0.19</v>
      </c>
      <c r="L280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2">
        <v>0</v>
      </c>
      <c r="N2802">
        <v>0</v>
      </c>
      <c r="O2802">
        <v>0</v>
      </c>
      <c r="P2802">
        <v>13398.7528</v>
      </c>
      <c r="Q2802">
        <v>63903</v>
      </c>
      <c r="R2802">
        <f>(Grandview_Inventory[[#This Row],[ln_acres]]*Grandview_Inventory[[#This Row],[coeff]])+Grandview_Inventory[[#This Row],[const]]</f>
        <v>41651.273092551026</v>
      </c>
      <c r="AY2802">
        <v>0</v>
      </c>
      <c r="AZ2802">
        <v>0</v>
      </c>
      <c r="BE2802">
        <v>0</v>
      </c>
      <c r="BF2802">
        <v>15000</v>
      </c>
      <c r="BG2802">
        <v>0</v>
      </c>
      <c r="BH2802" s="6">
        <f>Grandview_Inventory[[#This Row],[land_extract]]*Lookups!$B$3</f>
        <v>48369.510983942157</v>
      </c>
      <c r="BI2802" s="6">
        <f>IF(Grandview_Inventory[[#This Row],[bldg_style]]="",0,Lookups!$B$2)</f>
        <v>0</v>
      </c>
      <c r="BJ2802" s="6">
        <f>_xlfn.IFNA(VLOOKUP(Grandview_Inventory[[#This Row],[quality]],Lookups!$H$2:$J$14,3,FALSE),0)</f>
        <v>0</v>
      </c>
      <c r="BK2802" s="6">
        <f>_xlfn.IFNA(VLOOKUP(Grandview_Inventory[[#This Row],[condition]],Lookups!$H$17:$J$24,3,FALSE),0)</f>
        <v>0</v>
      </c>
      <c r="BL2802" s="6">
        <f>Grandview_Inventory[[#This Row],[Eff_Age]]*Lookups!$B$14</f>
        <v>0</v>
      </c>
      <c r="BM2802" s="6">
        <f>Grandview_Inventory[[#This Row],[living_area]]*Lookups!$B$15</f>
        <v>0</v>
      </c>
      <c r="BN2802" s="6">
        <f>Grandview_Inventory[[#This Row],[Fin BSMT]]*Lookups!$B$16</f>
        <v>0</v>
      </c>
      <c r="BO2802" s="6">
        <f>(Grandview_Inventory[[#This Row],[att_gar]]+Grandview_Inventory[[#This Row],[bltin_gar]])*Lookups!$B$17</f>
        <v>0</v>
      </c>
      <c r="BP2802" s="6">
        <f>Grandview_Inventory[[#This Row],[Plumbing Fixtures]]*Lookups!$B$18</f>
        <v>0</v>
      </c>
      <c r="BQ2802" s="6">
        <f>Grandview_Inventory[[#This Row],[detatched_value]]*Lookups!$B$19</f>
        <v>0</v>
      </c>
      <c r="BR2802" s="6">
        <f>SUM(Grandview_Inventory[[#This Row],[Intercept]:[det_value]])*Grandview_Inventory[[#This Row],[res_pct]]</f>
        <v>0</v>
      </c>
      <c r="BS2802" s="6">
        <f>Grandview_Inventory[[#This Row],[land_value]]</f>
        <v>48369.510983942157</v>
      </c>
      <c r="BT2802" s="4">
        <f>_xlfn.IFNA(VLOOKUP(Grandview_Inventory[[#This Row],[quality]],Lookups!$A$26:$C$33,3,FALSE),1)</f>
        <v>1</v>
      </c>
      <c r="BU2802" s="4">
        <f>_xlfn.IFNA(VLOOKUP(Grandview_Inventory[[#This Row],[condition]],Lookups!$A$37:$C$44,3,FALSE),1)</f>
        <v>1</v>
      </c>
      <c r="BV2802" s="4">
        <f>IF(Grandview_Inventory[[#This Row],[bldg_style]]="",1,_xlfn.IFNA(VLOOKUP(Grandview_Inventory[[#This Row],[decade]],Lookups!$F$29:$H$43,3,FALSE),1))</f>
        <v>1</v>
      </c>
      <c r="BW2802" s="4">
        <f>_xlfn.IFNA(VLOOKUP(Grandview_Inventory[[#This Row],[living_area_range]],Lookups!$F$47:$H$56,3,FALSE),1)</f>
        <v>1</v>
      </c>
      <c r="BX2802" s="4">
        <f>AVERAGE(Grandview_Inventory[[#This Row],[qual_adj]:[size_adj]])</f>
        <v>1</v>
      </c>
      <c r="BY2802" s="6">
        <f>IF(Grandview_Inventory[[#This Row],[pre_res]]&lt;0,0,Grandview_Inventory[[#This Row],[pre_res]]*Grandview_Inventory[[#This Row],[overall_adj]])</f>
        <v>0</v>
      </c>
      <c r="BZ2802" s="6">
        <f>(Grandview_Inventory[[#This Row],[sum_land]]-IF(Grandview_Inventory[[#This Row],[no_utilities]]=1,12000,0))/IF(Grandview_Inventory[[#This Row],[unbuildable]]=1,2,1)</f>
        <v>48369.510983942157</v>
      </c>
      <c r="CA280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2">
        <f>ROUND(Grandview_Inventory[[#This Row],[det_value]]*Lookups!$M$28,-2)</f>
        <v>0</v>
      </c>
      <c r="CC280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2">
        <f>Grandview_Inventory[[#This Row],[final_det]]+Grandview_Inventory[[#This Row],[final_res]]</f>
        <v>0</v>
      </c>
      <c r="CE2802">
        <f>Grandview_Inventory[[#This Row],[final_land]]+Grandview_Inventory[[#This Row],[final_imp]]+Grandview_Inventory[[#This Row],[crop_value]]</f>
        <v>46000</v>
      </c>
      <c r="CG2802" t="str">
        <f t="shared" si="44"/>
        <v>update valuation set market_land =46000, market_bldg=0, market_total =46000, market_mdno =401, market_date ='9/10/2023' where link_id = (select link_id from parcel where parcel_year = '2024' and parcel_id = '23092621663');</v>
      </c>
    </row>
    <row r="2803" spans="1:85" x14ac:dyDescent="0.25">
      <c r="A2803">
        <v>23092621664</v>
      </c>
      <c r="B2803" t="s">
        <v>129</v>
      </c>
      <c r="C2803">
        <v>8085</v>
      </c>
      <c r="D2803" t="s">
        <v>129</v>
      </c>
      <c r="E2803" t="s">
        <v>53</v>
      </c>
      <c r="F2803" t="s">
        <v>53</v>
      </c>
      <c r="G2803">
        <v>4</v>
      </c>
      <c r="H2803" t="s">
        <v>54</v>
      </c>
      <c r="I2803" t="s">
        <v>129</v>
      </c>
      <c r="J2803">
        <v>32500</v>
      </c>
      <c r="K2803">
        <v>0.19</v>
      </c>
      <c r="L280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3">
        <v>0</v>
      </c>
      <c r="N2803">
        <v>0</v>
      </c>
      <c r="O2803">
        <v>0</v>
      </c>
      <c r="P2803">
        <v>13398.7528</v>
      </c>
      <c r="Q2803">
        <v>63903</v>
      </c>
      <c r="R2803">
        <f>(Grandview_Inventory[[#This Row],[ln_acres]]*Grandview_Inventory[[#This Row],[coeff]])+Grandview_Inventory[[#This Row],[const]]</f>
        <v>41651.273092551026</v>
      </c>
      <c r="AY2803">
        <v>0</v>
      </c>
      <c r="AZ2803">
        <v>0</v>
      </c>
      <c r="BE2803">
        <v>0</v>
      </c>
      <c r="BF2803">
        <v>15000</v>
      </c>
      <c r="BG2803">
        <v>0</v>
      </c>
      <c r="BH2803" s="6">
        <f>Grandview_Inventory[[#This Row],[land_extract]]*Lookups!$B$3</f>
        <v>48369.510983942157</v>
      </c>
      <c r="BI2803" s="6">
        <f>IF(Grandview_Inventory[[#This Row],[bldg_style]]="",0,Lookups!$B$2)</f>
        <v>0</v>
      </c>
      <c r="BJ2803" s="6">
        <f>_xlfn.IFNA(VLOOKUP(Grandview_Inventory[[#This Row],[quality]],Lookups!$H$2:$J$14,3,FALSE),0)</f>
        <v>0</v>
      </c>
      <c r="BK2803" s="6">
        <f>_xlfn.IFNA(VLOOKUP(Grandview_Inventory[[#This Row],[condition]],Lookups!$H$17:$J$24,3,FALSE),0)</f>
        <v>0</v>
      </c>
      <c r="BL2803" s="6">
        <f>Grandview_Inventory[[#This Row],[Eff_Age]]*Lookups!$B$14</f>
        <v>0</v>
      </c>
      <c r="BM2803" s="6">
        <f>Grandview_Inventory[[#This Row],[living_area]]*Lookups!$B$15</f>
        <v>0</v>
      </c>
      <c r="BN2803" s="6">
        <f>Grandview_Inventory[[#This Row],[Fin BSMT]]*Lookups!$B$16</f>
        <v>0</v>
      </c>
      <c r="BO2803" s="6">
        <f>(Grandview_Inventory[[#This Row],[att_gar]]+Grandview_Inventory[[#This Row],[bltin_gar]])*Lookups!$B$17</f>
        <v>0</v>
      </c>
      <c r="BP2803" s="6">
        <f>Grandview_Inventory[[#This Row],[Plumbing Fixtures]]*Lookups!$B$18</f>
        <v>0</v>
      </c>
      <c r="BQ2803" s="6">
        <f>Grandview_Inventory[[#This Row],[detatched_value]]*Lookups!$B$19</f>
        <v>0</v>
      </c>
      <c r="BR2803" s="6">
        <f>SUM(Grandview_Inventory[[#This Row],[Intercept]:[det_value]])*Grandview_Inventory[[#This Row],[res_pct]]</f>
        <v>0</v>
      </c>
      <c r="BS2803" s="6">
        <f>Grandview_Inventory[[#This Row],[land_value]]</f>
        <v>48369.510983942157</v>
      </c>
      <c r="BT2803" s="4">
        <f>_xlfn.IFNA(VLOOKUP(Grandview_Inventory[[#This Row],[quality]],Lookups!$A$26:$C$33,3,FALSE),1)</f>
        <v>1</v>
      </c>
      <c r="BU2803" s="4">
        <f>_xlfn.IFNA(VLOOKUP(Grandview_Inventory[[#This Row],[condition]],Lookups!$A$37:$C$44,3,FALSE),1)</f>
        <v>1</v>
      </c>
      <c r="BV2803" s="4">
        <f>IF(Grandview_Inventory[[#This Row],[bldg_style]]="",1,_xlfn.IFNA(VLOOKUP(Grandview_Inventory[[#This Row],[decade]],Lookups!$F$29:$H$43,3,FALSE),1))</f>
        <v>1</v>
      </c>
      <c r="BW2803" s="4">
        <f>_xlfn.IFNA(VLOOKUP(Grandview_Inventory[[#This Row],[living_area_range]],Lookups!$F$47:$H$56,3,FALSE),1)</f>
        <v>1</v>
      </c>
      <c r="BX2803" s="4">
        <f>AVERAGE(Grandview_Inventory[[#This Row],[qual_adj]:[size_adj]])</f>
        <v>1</v>
      </c>
      <c r="BY2803" s="6">
        <f>IF(Grandview_Inventory[[#This Row],[pre_res]]&lt;0,0,Grandview_Inventory[[#This Row],[pre_res]]*Grandview_Inventory[[#This Row],[overall_adj]])</f>
        <v>0</v>
      </c>
      <c r="BZ2803" s="6">
        <f>(Grandview_Inventory[[#This Row],[sum_land]]-IF(Grandview_Inventory[[#This Row],[no_utilities]]=1,12000,0))/IF(Grandview_Inventory[[#This Row],[unbuildable]]=1,2,1)</f>
        <v>48369.510983942157</v>
      </c>
      <c r="CA280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3">
        <f>ROUND(Grandview_Inventory[[#This Row],[det_value]]*Lookups!$M$28,-2)</f>
        <v>0</v>
      </c>
      <c r="CC280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3">
        <f>Grandview_Inventory[[#This Row],[final_det]]+Grandview_Inventory[[#This Row],[final_res]]</f>
        <v>0</v>
      </c>
      <c r="CE2803">
        <f>Grandview_Inventory[[#This Row],[final_land]]+Grandview_Inventory[[#This Row],[final_imp]]+Grandview_Inventory[[#This Row],[crop_value]]</f>
        <v>46000</v>
      </c>
      <c r="CG2803" t="str">
        <f t="shared" si="44"/>
        <v>update valuation set market_land =46000, market_bldg=0, market_total =46000, market_mdno =401, market_date ='9/10/2023' where link_id = (select link_id from parcel where parcel_year = '2024' and parcel_id = '23092621664');</v>
      </c>
    </row>
    <row r="2804" spans="1:85" x14ac:dyDescent="0.25">
      <c r="A2804">
        <v>23092621665</v>
      </c>
      <c r="B2804" t="s">
        <v>129</v>
      </c>
      <c r="C2804">
        <v>8085</v>
      </c>
      <c r="D2804" t="s">
        <v>129</v>
      </c>
      <c r="E2804" t="s">
        <v>53</v>
      </c>
      <c r="F2804" t="s">
        <v>53</v>
      </c>
      <c r="G2804">
        <v>4</v>
      </c>
      <c r="H2804" t="s">
        <v>54</v>
      </c>
      <c r="I2804" t="s">
        <v>129</v>
      </c>
      <c r="J2804">
        <v>32500</v>
      </c>
      <c r="K2804">
        <v>0.19</v>
      </c>
      <c r="L280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4">
        <v>0</v>
      </c>
      <c r="N2804">
        <v>0</v>
      </c>
      <c r="O2804">
        <v>0</v>
      </c>
      <c r="P2804">
        <v>13398.7528</v>
      </c>
      <c r="Q2804">
        <v>63903</v>
      </c>
      <c r="R2804">
        <f>(Grandview_Inventory[[#This Row],[ln_acres]]*Grandview_Inventory[[#This Row],[coeff]])+Grandview_Inventory[[#This Row],[const]]</f>
        <v>41651.273092551026</v>
      </c>
      <c r="AY2804">
        <v>0</v>
      </c>
      <c r="AZ2804">
        <v>0</v>
      </c>
      <c r="BE2804">
        <v>0</v>
      </c>
      <c r="BF2804">
        <v>15000</v>
      </c>
      <c r="BG2804">
        <v>0</v>
      </c>
      <c r="BH2804" s="6">
        <f>Grandview_Inventory[[#This Row],[land_extract]]*Lookups!$B$3</f>
        <v>48369.510983942157</v>
      </c>
      <c r="BI2804" s="6">
        <f>IF(Grandview_Inventory[[#This Row],[bldg_style]]="",0,Lookups!$B$2)</f>
        <v>0</v>
      </c>
      <c r="BJ2804" s="6">
        <f>_xlfn.IFNA(VLOOKUP(Grandview_Inventory[[#This Row],[quality]],Lookups!$H$2:$J$14,3,FALSE),0)</f>
        <v>0</v>
      </c>
      <c r="BK2804" s="6">
        <f>_xlfn.IFNA(VLOOKUP(Grandview_Inventory[[#This Row],[condition]],Lookups!$H$17:$J$24,3,FALSE),0)</f>
        <v>0</v>
      </c>
      <c r="BL2804" s="6">
        <f>Grandview_Inventory[[#This Row],[Eff_Age]]*Lookups!$B$14</f>
        <v>0</v>
      </c>
      <c r="BM2804" s="6">
        <f>Grandview_Inventory[[#This Row],[living_area]]*Lookups!$B$15</f>
        <v>0</v>
      </c>
      <c r="BN2804" s="6">
        <f>Grandview_Inventory[[#This Row],[Fin BSMT]]*Lookups!$B$16</f>
        <v>0</v>
      </c>
      <c r="BO2804" s="6">
        <f>(Grandview_Inventory[[#This Row],[att_gar]]+Grandview_Inventory[[#This Row],[bltin_gar]])*Lookups!$B$17</f>
        <v>0</v>
      </c>
      <c r="BP2804" s="6">
        <f>Grandview_Inventory[[#This Row],[Plumbing Fixtures]]*Lookups!$B$18</f>
        <v>0</v>
      </c>
      <c r="BQ2804" s="6">
        <f>Grandview_Inventory[[#This Row],[detatched_value]]*Lookups!$B$19</f>
        <v>0</v>
      </c>
      <c r="BR2804" s="6">
        <f>SUM(Grandview_Inventory[[#This Row],[Intercept]:[det_value]])*Grandview_Inventory[[#This Row],[res_pct]]</f>
        <v>0</v>
      </c>
      <c r="BS2804" s="6">
        <f>Grandview_Inventory[[#This Row],[land_value]]</f>
        <v>48369.510983942157</v>
      </c>
      <c r="BT2804" s="4">
        <f>_xlfn.IFNA(VLOOKUP(Grandview_Inventory[[#This Row],[quality]],Lookups!$A$26:$C$33,3,FALSE),1)</f>
        <v>1</v>
      </c>
      <c r="BU2804" s="4">
        <f>_xlfn.IFNA(VLOOKUP(Grandview_Inventory[[#This Row],[condition]],Lookups!$A$37:$C$44,3,FALSE),1)</f>
        <v>1</v>
      </c>
      <c r="BV2804" s="4">
        <f>IF(Grandview_Inventory[[#This Row],[bldg_style]]="",1,_xlfn.IFNA(VLOOKUP(Grandview_Inventory[[#This Row],[decade]],Lookups!$F$29:$H$43,3,FALSE),1))</f>
        <v>1</v>
      </c>
      <c r="BW2804" s="4">
        <f>_xlfn.IFNA(VLOOKUP(Grandview_Inventory[[#This Row],[living_area_range]],Lookups!$F$47:$H$56,3,FALSE),1)</f>
        <v>1</v>
      </c>
      <c r="BX2804" s="4">
        <f>AVERAGE(Grandview_Inventory[[#This Row],[qual_adj]:[size_adj]])</f>
        <v>1</v>
      </c>
      <c r="BY2804" s="6">
        <f>IF(Grandview_Inventory[[#This Row],[pre_res]]&lt;0,0,Grandview_Inventory[[#This Row],[pre_res]]*Grandview_Inventory[[#This Row],[overall_adj]])</f>
        <v>0</v>
      </c>
      <c r="BZ2804" s="6">
        <f>(Grandview_Inventory[[#This Row],[sum_land]]-IF(Grandview_Inventory[[#This Row],[no_utilities]]=1,12000,0))/IF(Grandview_Inventory[[#This Row],[unbuildable]]=1,2,1)</f>
        <v>48369.510983942157</v>
      </c>
      <c r="CA280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4">
        <f>ROUND(Grandview_Inventory[[#This Row],[det_value]]*Lookups!$M$28,-2)</f>
        <v>0</v>
      </c>
      <c r="CC280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4">
        <f>Grandview_Inventory[[#This Row],[final_det]]+Grandview_Inventory[[#This Row],[final_res]]</f>
        <v>0</v>
      </c>
      <c r="CE2804">
        <f>Grandview_Inventory[[#This Row],[final_land]]+Grandview_Inventory[[#This Row],[final_imp]]+Grandview_Inventory[[#This Row],[crop_value]]</f>
        <v>46000</v>
      </c>
      <c r="CG2804" t="str">
        <f t="shared" si="44"/>
        <v>update valuation set market_land =46000, market_bldg=0, market_total =46000, market_mdno =401, market_date ='9/10/2023' where link_id = (select link_id from parcel where parcel_year = '2024' and parcel_id = '23092621665');</v>
      </c>
    </row>
    <row r="2805" spans="1:85" x14ac:dyDescent="0.25">
      <c r="A2805">
        <v>23092621666</v>
      </c>
      <c r="B2805" t="s">
        <v>129</v>
      </c>
      <c r="C2805">
        <v>8085</v>
      </c>
      <c r="D2805" t="s">
        <v>129</v>
      </c>
      <c r="E2805" t="s">
        <v>53</v>
      </c>
      <c r="F2805" t="s">
        <v>53</v>
      </c>
      <c r="G2805">
        <v>4</v>
      </c>
      <c r="H2805" t="s">
        <v>54</v>
      </c>
      <c r="I2805" t="s">
        <v>129</v>
      </c>
      <c r="J2805">
        <v>32500</v>
      </c>
      <c r="K2805">
        <v>0.19</v>
      </c>
      <c r="L280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5">
        <v>0</v>
      </c>
      <c r="N2805">
        <v>0</v>
      </c>
      <c r="O2805">
        <v>0</v>
      </c>
      <c r="P2805">
        <v>13398.7528</v>
      </c>
      <c r="Q2805">
        <v>63903</v>
      </c>
      <c r="R2805">
        <f>(Grandview_Inventory[[#This Row],[ln_acres]]*Grandview_Inventory[[#This Row],[coeff]])+Grandview_Inventory[[#This Row],[const]]</f>
        <v>41651.273092551026</v>
      </c>
      <c r="AY2805">
        <v>0</v>
      </c>
      <c r="AZ2805">
        <v>0</v>
      </c>
      <c r="BE2805">
        <v>0</v>
      </c>
      <c r="BF2805">
        <v>15000</v>
      </c>
      <c r="BG2805">
        <v>0</v>
      </c>
      <c r="BH2805" s="6">
        <f>Grandview_Inventory[[#This Row],[land_extract]]*Lookups!$B$3</f>
        <v>48369.510983942157</v>
      </c>
      <c r="BI2805" s="6">
        <f>IF(Grandview_Inventory[[#This Row],[bldg_style]]="",0,Lookups!$B$2)</f>
        <v>0</v>
      </c>
      <c r="BJ2805" s="6">
        <f>_xlfn.IFNA(VLOOKUP(Grandview_Inventory[[#This Row],[quality]],Lookups!$H$2:$J$14,3,FALSE),0)</f>
        <v>0</v>
      </c>
      <c r="BK2805" s="6">
        <f>_xlfn.IFNA(VLOOKUP(Grandview_Inventory[[#This Row],[condition]],Lookups!$H$17:$J$24,3,FALSE),0)</f>
        <v>0</v>
      </c>
      <c r="BL2805" s="6">
        <f>Grandview_Inventory[[#This Row],[Eff_Age]]*Lookups!$B$14</f>
        <v>0</v>
      </c>
      <c r="BM2805" s="6">
        <f>Grandview_Inventory[[#This Row],[living_area]]*Lookups!$B$15</f>
        <v>0</v>
      </c>
      <c r="BN2805" s="6">
        <f>Grandview_Inventory[[#This Row],[Fin BSMT]]*Lookups!$B$16</f>
        <v>0</v>
      </c>
      <c r="BO2805" s="6">
        <f>(Grandview_Inventory[[#This Row],[att_gar]]+Grandview_Inventory[[#This Row],[bltin_gar]])*Lookups!$B$17</f>
        <v>0</v>
      </c>
      <c r="BP2805" s="6">
        <f>Grandview_Inventory[[#This Row],[Plumbing Fixtures]]*Lookups!$B$18</f>
        <v>0</v>
      </c>
      <c r="BQ2805" s="6">
        <f>Grandview_Inventory[[#This Row],[detatched_value]]*Lookups!$B$19</f>
        <v>0</v>
      </c>
      <c r="BR2805" s="6">
        <f>SUM(Grandview_Inventory[[#This Row],[Intercept]:[det_value]])*Grandview_Inventory[[#This Row],[res_pct]]</f>
        <v>0</v>
      </c>
      <c r="BS2805" s="6">
        <f>Grandview_Inventory[[#This Row],[land_value]]</f>
        <v>48369.510983942157</v>
      </c>
      <c r="BT2805" s="4">
        <f>_xlfn.IFNA(VLOOKUP(Grandview_Inventory[[#This Row],[quality]],Lookups!$A$26:$C$33,3,FALSE),1)</f>
        <v>1</v>
      </c>
      <c r="BU2805" s="4">
        <f>_xlfn.IFNA(VLOOKUP(Grandview_Inventory[[#This Row],[condition]],Lookups!$A$37:$C$44,3,FALSE),1)</f>
        <v>1</v>
      </c>
      <c r="BV2805" s="4">
        <f>IF(Grandview_Inventory[[#This Row],[bldg_style]]="",1,_xlfn.IFNA(VLOOKUP(Grandview_Inventory[[#This Row],[decade]],Lookups!$F$29:$H$43,3,FALSE),1))</f>
        <v>1</v>
      </c>
      <c r="BW2805" s="4">
        <f>_xlfn.IFNA(VLOOKUP(Grandview_Inventory[[#This Row],[living_area_range]],Lookups!$F$47:$H$56,3,FALSE),1)</f>
        <v>1</v>
      </c>
      <c r="BX2805" s="4">
        <f>AVERAGE(Grandview_Inventory[[#This Row],[qual_adj]:[size_adj]])</f>
        <v>1</v>
      </c>
      <c r="BY2805" s="6">
        <f>IF(Grandview_Inventory[[#This Row],[pre_res]]&lt;0,0,Grandview_Inventory[[#This Row],[pre_res]]*Grandview_Inventory[[#This Row],[overall_adj]])</f>
        <v>0</v>
      </c>
      <c r="BZ2805" s="6">
        <f>(Grandview_Inventory[[#This Row],[sum_land]]-IF(Grandview_Inventory[[#This Row],[no_utilities]]=1,12000,0))/IF(Grandview_Inventory[[#This Row],[unbuildable]]=1,2,1)</f>
        <v>48369.510983942157</v>
      </c>
      <c r="CA280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5">
        <f>ROUND(Grandview_Inventory[[#This Row],[det_value]]*Lookups!$M$28,-2)</f>
        <v>0</v>
      </c>
      <c r="CC280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5">
        <f>Grandview_Inventory[[#This Row],[final_det]]+Grandview_Inventory[[#This Row],[final_res]]</f>
        <v>0</v>
      </c>
      <c r="CE2805">
        <f>Grandview_Inventory[[#This Row],[final_land]]+Grandview_Inventory[[#This Row],[final_imp]]+Grandview_Inventory[[#This Row],[crop_value]]</f>
        <v>46000</v>
      </c>
      <c r="CG2805" t="str">
        <f t="shared" si="44"/>
        <v>update valuation set market_land =46000, market_bldg=0, market_total =46000, market_mdno =401, market_date ='9/10/2023' where link_id = (select link_id from parcel where parcel_year = '2024' and parcel_id = '23092621666');</v>
      </c>
    </row>
    <row r="2806" spans="1:85" x14ac:dyDescent="0.25">
      <c r="A2806">
        <v>23092621667</v>
      </c>
      <c r="B2806" t="s">
        <v>129</v>
      </c>
      <c r="C2806">
        <v>8085</v>
      </c>
      <c r="D2806" t="s">
        <v>129</v>
      </c>
      <c r="E2806" t="s">
        <v>53</v>
      </c>
      <c r="F2806" t="s">
        <v>53</v>
      </c>
      <c r="G2806">
        <v>4</v>
      </c>
      <c r="H2806" t="s">
        <v>54</v>
      </c>
      <c r="I2806" t="s">
        <v>129</v>
      </c>
      <c r="J2806">
        <v>32500</v>
      </c>
      <c r="K2806">
        <v>0.19</v>
      </c>
      <c r="L2806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6">
        <v>0</v>
      </c>
      <c r="N2806">
        <v>0</v>
      </c>
      <c r="O2806">
        <v>0</v>
      </c>
      <c r="P2806">
        <v>13398.7528</v>
      </c>
      <c r="Q2806">
        <v>63903</v>
      </c>
      <c r="R2806">
        <f>(Grandview_Inventory[[#This Row],[ln_acres]]*Grandview_Inventory[[#This Row],[coeff]])+Grandview_Inventory[[#This Row],[const]]</f>
        <v>41651.273092551026</v>
      </c>
      <c r="AY2806">
        <v>0</v>
      </c>
      <c r="AZ2806">
        <v>0</v>
      </c>
      <c r="BE2806">
        <v>0</v>
      </c>
      <c r="BF2806">
        <v>15000</v>
      </c>
      <c r="BG2806">
        <v>0</v>
      </c>
      <c r="BH2806" s="6">
        <f>Grandview_Inventory[[#This Row],[land_extract]]*Lookups!$B$3</f>
        <v>48369.510983942157</v>
      </c>
      <c r="BI2806" s="6">
        <f>IF(Grandview_Inventory[[#This Row],[bldg_style]]="",0,Lookups!$B$2)</f>
        <v>0</v>
      </c>
      <c r="BJ2806" s="6">
        <f>_xlfn.IFNA(VLOOKUP(Grandview_Inventory[[#This Row],[quality]],Lookups!$H$2:$J$14,3,FALSE),0)</f>
        <v>0</v>
      </c>
      <c r="BK2806" s="6">
        <f>_xlfn.IFNA(VLOOKUP(Grandview_Inventory[[#This Row],[condition]],Lookups!$H$17:$J$24,3,FALSE),0)</f>
        <v>0</v>
      </c>
      <c r="BL2806" s="6">
        <f>Grandview_Inventory[[#This Row],[Eff_Age]]*Lookups!$B$14</f>
        <v>0</v>
      </c>
      <c r="BM2806" s="6">
        <f>Grandview_Inventory[[#This Row],[living_area]]*Lookups!$B$15</f>
        <v>0</v>
      </c>
      <c r="BN2806" s="6">
        <f>Grandview_Inventory[[#This Row],[Fin BSMT]]*Lookups!$B$16</f>
        <v>0</v>
      </c>
      <c r="BO2806" s="6">
        <f>(Grandview_Inventory[[#This Row],[att_gar]]+Grandview_Inventory[[#This Row],[bltin_gar]])*Lookups!$B$17</f>
        <v>0</v>
      </c>
      <c r="BP2806" s="6">
        <f>Grandview_Inventory[[#This Row],[Plumbing Fixtures]]*Lookups!$B$18</f>
        <v>0</v>
      </c>
      <c r="BQ2806" s="6">
        <f>Grandview_Inventory[[#This Row],[detatched_value]]*Lookups!$B$19</f>
        <v>0</v>
      </c>
      <c r="BR2806" s="6">
        <f>SUM(Grandview_Inventory[[#This Row],[Intercept]:[det_value]])*Grandview_Inventory[[#This Row],[res_pct]]</f>
        <v>0</v>
      </c>
      <c r="BS2806" s="6">
        <f>Grandview_Inventory[[#This Row],[land_value]]</f>
        <v>48369.510983942157</v>
      </c>
      <c r="BT2806" s="4">
        <f>_xlfn.IFNA(VLOOKUP(Grandview_Inventory[[#This Row],[quality]],Lookups!$A$26:$C$33,3,FALSE),1)</f>
        <v>1</v>
      </c>
      <c r="BU2806" s="4">
        <f>_xlfn.IFNA(VLOOKUP(Grandview_Inventory[[#This Row],[condition]],Lookups!$A$37:$C$44,3,FALSE),1)</f>
        <v>1</v>
      </c>
      <c r="BV2806" s="4">
        <f>IF(Grandview_Inventory[[#This Row],[bldg_style]]="",1,_xlfn.IFNA(VLOOKUP(Grandview_Inventory[[#This Row],[decade]],Lookups!$F$29:$H$43,3,FALSE),1))</f>
        <v>1</v>
      </c>
      <c r="BW2806" s="4">
        <f>_xlfn.IFNA(VLOOKUP(Grandview_Inventory[[#This Row],[living_area_range]],Lookups!$F$47:$H$56,3,FALSE),1)</f>
        <v>1</v>
      </c>
      <c r="BX2806" s="4">
        <f>AVERAGE(Grandview_Inventory[[#This Row],[qual_adj]:[size_adj]])</f>
        <v>1</v>
      </c>
      <c r="BY2806" s="6">
        <f>IF(Grandview_Inventory[[#This Row],[pre_res]]&lt;0,0,Grandview_Inventory[[#This Row],[pre_res]]*Grandview_Inventory[[#This Row],[overall_adj]])</f>
        <v>0</v>
      </c>
      <c r="BZ2806" s="6">
        <f>(Grandview_Inventory[[#This Row],[sum_land]]-IF(Grandview_Inventory[[#This Row],[no_utilities]]=1,12000,0))/IF(Grandview_Inventory[[#This Row],[unbuildable]]=1,2,1)</f>
        <v>48369.510983942157</v>
      </c>
      <c r="CA2806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6">
        <f>ROUND(Grandview_Inventory[[#This Row],[det_value]]*Lookups!$M$28,-2)</f>
        <v>0</v>
      </c>
      <c r="CC280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6">
        <f>Grandview_Inventory[[#This Row],[final_det]]+Grandview_Inventory[[#This Row],[final_res]]</f>
        <v>0</v>
      </c>
      <c r="CE2806">
        <f>Grandview_Inventory[[#This Row],[final_land]]+Grandview_Inventory[[#This Row],[final_imp]]+Grandview_Inventory[[#This Row],[crop_value]]</f>
        <v>46000</v>
      </c>
      <c r="CG2806" t="str">
        <f t="shared" si="44"/>
        <v>update valuation set market_land =46000, market_bldg=0, market_total =46000, market_mdno =401, market_date ='9/10/2023' where link_id = (select link_id from parcel where parcel_year = '2024' and parcel_id = '23092621667');</v>
      </c>
    </row>
    <row r="2807" spans="1:85" x14ac:dyDescent="0.25">
      <c r="A2807">
        <v>23092621668</v>
      </c>
      <c r="B2807" t="s">
        <v>129</v>
      </c>
      <c r="C2807">
        <v>8085</v>
      </c>
      <c r="D2807" t="s">
        <v>129</v>
      </c>
      <c r="E2807" t="s">
        <v>53</v>
      </c>
      <c r="F2807" t="s">
        <v>53</v>
      </c>
      <c r="G2807">
        <v>4</v>
      </c>
      <c r="H2807" t="s">
        <v>54</v>
      </c>
      <c r="I2807" t="s">
        <v>129</v>
      </c>
      <c r="J2807">
        <v>32500</v>
      </c>
      <c r="K2807">
        <v>0.19</v>
      </c>
      <c r="L2807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7">
        <v>0</v>
      </c>
      <c r="N2807">
        <v>0</v>
      </c>
      <c r="O2807">
        <v>0</v>
      </c>
      <c r="P2807">
        <v>13398.7528</v>
      </c>
      <c r="Q2807">
        <v>63903</v>
      </c>
      <c r="R2807">
        <f>(Grandview_Inventory[[#This Row],[ln_acres]]*Grandview_Inventory[[#This Row],[coeff]])+Grandview_Inventory[[#This Row],[const]]</f>
        <v>41651.273092551026</v>
      </c>
      <c r="AY2807">
        <v>0</v>
      </c>
      <c r="AZ2807">
        <v>0</v>
      </c>
      <c r="BE2807">
        <v>0</v>
      </c>
      <c r="BF2807">
        <v>15000</v>
      </c>
      <c r="BG2807">
        <v>0</v>
      </c>
      <c r="BH2807" s="6">
        <f>Grandview_Inventory[[#This Row],[land_extract]]*Lookups!$B$3</f>
        <v>48369.510983942157</v>
      </c>
      <c r="BI2807" s="6">
        <f>IF(Grandview_Inventory[[#This Row],[bldg_style]]="",0,Lookups!$B$2)</f>
        <v>0</v>
      </c>
      <c r="BJ2807" s="6">
        <f>_xlfn.IFNA(VLOOKUP(Grandview_Inventory[[#This Row],[quality]],Lookups!$H$2:$J$14,3,FALSE),0)</f>
        <v>0</v>
      </c>
      <c r="BK2807" s="6">
        <f>_xlfn.IFNA(VLOOKUP(Grandview_Inventory[[#This Row],[condition]],Lookups!$H$17:$J$24,3,FALSE),0)</f>
        <v>0</v>
      </c>
      <c r="BL2807" s="6">
        <f>Grandview_Inventory[[#This Row],[Eff_Age]]*Lookups!$B$14</f>
        <v>0</v>
      </c>
      <c r="BM2807" s="6">
        <f>Grandview_Inventory[[#This Row],[living_area]]*Lookups!$B$15</f>
        <v>0</v>
      </c>
      <c r="BN2807" s="6">
        <f>Grandview_Inventory[[#This Row],[Fin BSMT]]*Lookups!$B$16</f>
        <v>0</v>
      </c>
      <c r="BO2807" s="6">
        <f>(Grandview_Inventory[[#This Row],[att_gar]]+Grandview_Inventory[[#This Row],[bltin_gar]])*Lookups!$B$17</f>
        <v>0</v>
      </c>
      <c r="BP2807" s="6">
        <f>Grandview_Inventory[[#This Row],[Plumbing Fixtures]]*Lookups!$B$18</f>
        <v>0</v>
      </c>
      <c r="BQ2807" s="6">
        <f>Grandview_Inventory[[#This Row],[detatched_value]]*Lookups!$B$19</f>
        <v>0</v>
      </c>
      <c r="BR2807" s="6">
        <f>SUM(Grandview_Inventory[[#This Row],[Intercept]:[det_value]])*Grandview_Inventory[[#This Row],[res_pct]]</f>
        <v>0</v>
      </c>
      <c r="BS2807" s="6">
        <f>Grandview_Inventory[[#This Row],[land_value]]</f>
        <v>48369.510983942157</v>
      </c>
      <c r="BT2807" s="4">
        <f>_xlfn.IFNA(VLOOKUP(Grandview_Inventory[[#This Row],[quality]],Lookups!$A$26:$C$33,3,FALSE),1)</f>
        <v>1</v>
      </c>
      <c r="BU2807" s="4">
        <f>_xlfn.IFNA(VLOOKUP(Grandview_Inventory[[#This Row],[condition]],Lookups!$A$37:$C$44,3,FALSE),1)</f>
        <v>1</v>
      </c>
      <c r="BV2807" s="4">
        <f>IF(Grandview_Inventory[[#This Row],[bldg_style]]="",1,_xlfn.IFNA(VLOOKUP(Grandview_Inventory[[#This Row],[decade]],Lookups!$F$29:$H$43,3,FALSE),1))</f>
        <v>1</v>
      </c>
      <c r="BW2807" s="4">
        <f>_xlfn.IFNA(VLOOKUP(Grandview_Inventory[[#This Row],[living_area_range]],Lookups!$F$47:$H$56,3,FALSE),1)</f>
        <v>1</v>
      </c>
      <c r="BX2807" s="4">
        <f>AVERAGE(Grandview_Inventory[[#This Row],[qual_adj]:[size_adj]])</f>
        <v>1</v>
      </c>
      <c r="BY2807" s="6">
        <f>IF(Grandview_Inventory[[#This Row],[pre_res]]&lt;0,0,Grandview_Inventory[[#This Row],[pre_res]]*Grandview_Inventory[[#This Row],[overall_adj]])</f>
        <v>0</v>
      </c>
      <c r="BZ2807" s="6">
        <f>(Grandview_Inventory[[#This Row],[sum_land]]-IF(Grandview_Inventory[[#This Row],[no_utilities]]=1,12000,0))/IF(Grandview_Inventory[[#This Row],[unbuildable]]=1,2,1)</f>
        <v>48369.510983942157</v>
      </c>
      <c r="CA2807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7">
        <f>ROUND(Grandview_Inventory[[#This Row],[det_value]]*Lookups!$M$28,-2)</f>
        <v>0</v>
      </c>
      <c r="CC280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7">
        <f>Grandview_Inventory[[#This Row],[final_det]]+Grandview_Inventory[[#This Row],[final_res]]</f>
        <v>0</v>
      </c>
      <c r="CE2807">
        <f>Grandview_Inventory[[#This Row],[final_land]]+Grandview_Inventory[[#This Row],[final_imp]]+Grandview_Inventory[[#This Row],[crop_value]]</f>
        <v>46000</v>
      </c>
      <c r="CG2807" t="str">
        <f t="shared" si="44"/>
        <v>update valuation set market_land =46000, market_bldg=0, market_total =46000, market_mdno =401, market_date ='9/10/2023' where link_id = (select link_id from parcel where parcel_year = '2024' and parcel_id = '23092621668');</v>
      </c>
    </row>
    <row r="2808" spans="1:85" x14ac:dyDescent="0.25">
      <c r="A2808">
        <v>23092621669</v>
      </c>
      <c r="B2808" t="s">
        <v>129</v>
      </c>
      <c r="C2808">
        <v>8085</v>
      </c>
      <c r="D2808" t="s">
        <v>129</v>
      </c>
      <c r="E2808" t="s">
        <v>53</v>
      </c>
      <c r="F2808" t="s">
        <v>53</v>
      </c>
      <c r="G2808">
        <v>4</v>
      </c>
      <c r="H2808" t="s">
        <v>54</v>
      </c>
      <c r="I2808" t="s">
        <v>129</v>
      </c>
      <c r="J2808">
        <v>32500</v>
      </c>
      <c r="K2808">
        <v>0.19</v>
      </c>
      <c r="L2808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8">
        <v>0</v>
      </c>
      <c r="N2808">
        <v>0</v>
      </c>
      <c r="O2808">
        <v>0</v>
      </c>
      <c r="P2808">
        <v>13398.7528</v>
      </c>
      <c r="Q2808">
        <v>63903</v>
      </c>
      <c r="R2808">
        <f>(Grandview_Inventory[[#This Row],[ln_acres]]*Grandview_Inventory[[#This Row],[coeff]])+Grandview_Inventory[[#This Row],[const]]</f>
        <v>41651.273092551026</v>
      </c>
      <c r="AY2808">
        <v>0</v>
      </c>
      <c r="AZ2808">
        <v>0</v>
      </c>
      <c r="BE2808">
        <v>0</v>
      </c>
      <c r="BF2808">
        <v>15000</v>
      </c>
      <c r="BG2808">
        <v>0</v>
      </c>
      <c r="BH2808" s="6">
        <f>Grandview_Inventory[[#This Row],[land_extract]]*Lookups!$B$3</f>
        <v>48369.510983942157</v>
      </c>
      <c r="BI2808" s="6">
        <f>IF(Grandview_Inventory[[#This Row],[bldg_style]]="",0,Lookups!$B$2)</f>
        <v>0</v>
      </c>
      <c r="BJ2808" s="6">
        <f>_xlfn.IFNA(VLOOKUP(Grandview_Inventory[[#This Row],[quality]],Lookups!$H$2:$J$14,3,FALSE),0)</f>
        <v>0</v>
      </c>
      <c r="BK2808" s="6">
        <f>_xlfn.IFNA(VLOOKUP(Grandview_Inventory[[#This Row],[condition]],Lookups!$H$17:$J$24,3,FALSE),0)</f>
        <v>0</v>
      </c>
      <c r="BL2808" s="6">
        <f>Grandview_Inventory[[#This Row],[Eff_Age]]*Lookups!$B$14</f>
        <v>0</v>
      </c>
      <c r="BM2808" s="6">
        <f>Grandview_Inventory[[#This Row],[living_area]]*Lookups!$B$15</f>
        <v>0</v>
      </c>
      <c r="BN2808" s="6">
        <f>Grandview_Inventory[[#This Row],[Fin BSMT]]*Lookups!$B$16</f>
        <v>0</v>
      </c>
      <c r="BO2808" s="6">
        <f>(Grandview_Inventory[[#This Row],[att_gar]]+Grandview_Inventory[[#This Row],[bltin_gar]])*Lookups!$B$17</f>
        <v>0</v>
      </c>
      <c r="BP2808" s="6">
        <f>Grandview_Inventory[[#This Row],[Plumbing Fixtures]]*Lookups!$B$18</f>
        <v>0</v>
      </c>
      <c r="BQ2808" s="6">
        <f>Grandview_Inventory[[#This Row],[detatched_value]]*Lookups!$B$19</f>
        <v>0</v>
      </c>
      <c r="BR2808" s="6">
        <f>SUM(Grandview_Inventory[[#This Row],[Intercept]:[det_value]])*Grandview_Inventory[[#This Row],[res_pct]]</f>
        <v>0</v>
      </c>
      <c r="BS2808" s="6">
        <f>Grandview_Inventory[[#This Row],[land_value]]</f>
        <v>48369.510983942157</v>
      </c>
      <c r="BT2808" s="4">
        <f>_xlfn.IFNA(VLOOKUP(Grandview_Inventory[[#This Row],[quality]],Lookups!$A$26:$C$33,3,FALSE),1)</f>
        <v>1</v>
      </c>
      <c r="BU2808" s="4">
        <f>_xlfn.IFNA(VLOOKUP(Grandview_Inventory[[#This Row],[condition]],Lookups!$A$37:$C$44,3,FALSE),1)</f>
        <v>1</v>
      </c>
      <c r="BV2808" s="4">
        <f>IF(Grandview_Inventory[[#This Row],[bldg_style]]="",1,_xlfn.IFNA(VLOOKUP(Grandview_Inventory[[#This Row],[decade]],Lookups!$F$29:$H$43,3,FALSE),1))</f>
        <v>1</v>
      </c>
      <c r="BW2808" s="4">
        <f>_xlfn.IFNA(VLOOKUP(Grandview_Inventory[[#This Row],[living_area_range]],Lookups!$F$47:$H$56,3,FALSE),1)</f>
        <v>1</v>
      </c>
      <c r="BX2808" s="4">
        <f>AVERAGE(Grandview_Inventory[[#This Row],[qual_adj]:[size_adj]])</f>
        <v>1</v>
      </c>
      <c r="BY2808" s="6">
        <f>IF(Grandview_Inventory[[#This Row],[pre_res]]&lt;0,0,Grandview_Inventory[[#This Row],[pre_res]]*Grandview_Inventory[[#This Row],[overall_adj]])</f>
        <v>0</v>
      </c>
      <c r="BZ2808" s="6">
        <f>(Grandview_Inventory[[#This Row],[sum_land]]-IF(Grandview_Inventory[[#This Row],[no_utilities]]=1,12000,0))/IF(Grandview_Inventory[[#This Row],[unbuildable]]=1,2,1)</f>
        <v>48369.510983942157</v>
      </c>
      <c r="CA2808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8">
        <f>ROUND(Grandview_Inventory[[#This Row],[det_value]]*Lookups!$M$28,-2)</f>
        <v>0</v>
      </c>
      <c r="CC280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8">
        <f>Grandview_Inventory[[#This Row],[final_det]]+Grandview_Inventory[[#This Row],[final_res]]</f>
        <v>0</v>
      </c>
      <c r="CE2808">
        <f>Grandview_Inventory[[#This Row],[final_land]]+Grandview_Inventory[[#This Row],[final_imp]]+Grandview_Inventory[[#This Row],[crop_value]]</f>
        <v>46000</v>
      </c>
      <c r="CG2808" t="str">
        <f t="shared" si="44"/>
        <v>update valuation set market_land =46000, market_bldg=0, market_total =46000, market_mdno =401, market_date ='9/10/2023' where link_id = (select link_id from parcel where parcel_year = '2024' and parcel_id = '23092621669');</v>
      </c>
    </row>
    <row r="2809" spans="1:85" x14ac:dyDescent="0.25">
      <c r="A2809">
        <v>23092621670</v>
      </c>
      <c r="B2809" t="s">
        <v>129</v>
      </c>
      <c r="C2809">
        <v>8085</v>
      </c>
      <c r="D2809" t="s">
        <v>129</v>
      </c>
      <c r="E2809" t="s">
        <v>53</v>
      </c>
      <c r="F2809" t="s">
        <v>53</v>
      </c>
      <c r="G2809">
        <v>4</v>
      </c>
      <c r="H2809" t="s">
        <v>54</v>
      </c>
      <c r="I2809" t="s">
        <v>129</v>
      </c>
      <c r="J2809">
        <v>32500</v>
      </c>
      <c r="K2809">
        <v>0.19</v>
      </c>
      <c r="L280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09">
        <v>0</v>
      </c>
      <c r="N2809">
        <v>0</v>
      </c>
      <c r="O2809">
        <v>0</v>
      </c>
      <c r="P2809">
        <v>13398.7528</v>
      </c>
      <c r="Q2809">
        <v>63903</v>
      </c>
      <c r="R2809">
        <f>(Grandview_Inventory[[#This Row],[ln_acres]]*Grandview_Inventory[[#This Row],[coeff]])+Grandview_Inventory[[#This Row],[const]]</f>
        <v>41651.273092551026</v>
      </c>
      <c r="AY2809">
        <v>0</v>
      </c>
      <c r="AZ2809">
        <v>0</v>
      </c>
      <c r="BE2809">
        <v>0</v>
      </c>
      <c r="BF2809">
        <v>15000</v>
      </c>
      <c r="BG2809">
        <v>0</v>
      </c>
      <c r="BH2809" s="6">
        <f>Grandview_Inventory[[#This Row],[land_extract]]*Lookups!$B$3</f>
        <v>48369.510983942157</v>
      </c>
      <c r="BI2809" s="6">
        <f>IF(Grandview_Inventory[[#This Row],[bldg_style]]="",0,Lookups!$B$2)</f>
        <v>0</v>
      </c>
      <c r="BJ2809" s="6">
        <f>_xlfn.IFNA(VLOOKUP(Grandview_Inventory[[#This Row],[quality]],Lookups!$H$2:$J$14,3,FALSE),0)</f>
        <v>0</v>
      </c>
      <c r="BK2809" s="6">
        <f>_xlfn.IFNA(VLOOKUP(Grandview_Inventory[[#This Row],[condition]],Lookups!$H$17:$J$24,3,FALSE),0)</f>
        <v>0</v>
      </c>
      <c r="BL2809" s="6">
        <f>Grandview_Inventory[[#This Row],[Eff_Age]]*Lookups!$B$14</f>
        <v>0</v>
      </c>
      <c r="BM2809" s="6">
        <f>Grandview_Inventory[[#This Row],[living_area]]*Lookups!$B$15</f>
        <v>0</v>
      </c>
      <c r="BN2809" s="6">
        <f>Grandview_Inventory[[#This Row],[Fin BSMT]]*Lookups!$B$16</f>
        <v>0</v>
      </c>
      <c r="BO2809" s="6">
        <f>(Grandview_Inventory[[#This Row],[att_gar]]+Grandview_Inventory[[#This Row],[bltin_gar]])*Lookups!$B$17</f>
        <v>0</v>
      </c>
      <c r="BP2809" s="6">
        <f>Grandview_Inventory[[#This Row],[Plumbing Fixtures]]*Lookups!$B$18</f>
        <v>0</v>
      </c>
      <c r="BQ2809" s="6">
        <f>Grandview_Inventory[[#This Row],[detatched_value]]*Lookups!$B$19</f>
        <v>0</v>
      </c>
      <c r="BR2809" s="6">
        <f>SUM(Grandview_Inventory[[#This Row],[Intercept]:[det_value]])*Grandview_Inventory[[#This Row],[res_pct]]</f>
        <v>0</v>
      </c>
      <c r="BS2809" s="6">
        <f>Grandview_Inventory[[#This Row],[land_value]]</f>
        <v>48369.510983942157</v>
      </c>
      <c r="BT2809" s="4">
        <f>_xlfn.IFNA(VLOOKUP(Grandview_Inventory[[#This Row],[quality]],Lookups!$A$26:$C$33,3,FALSE),1)</f>
        <v>1</v>
      </c>
      <c r="BU2809" s="4">
        <f>_xlfn.IFNA(VLOOKUP(Grandview_Inventory[[#This Row],[condition]],Lookups!$A$37:$C$44,3,FALSE),1)</f>
        <v>1</v>
      </c>
      <c r="BV2809" s="4">
        <f>IF(Grandview_Inventory[[#This Row],[bldg_style]]="",1,_xlfn.IFNA(VLOOKUP(Grandview_Inventory[[#This Row],[decade]],Lookups!$F$29:$H$43,3,FALSE),1))</f>
        <v>1</v>
      </c>
      <c r="BW2809" s="4">
        <f>_xlfn.IFNA(VLOOKUP(Grandview_Inventory[[#This Row],[living_area_range]],Lookups!$F$47:$H$56,3,FALSE),1)</f>
        <v>1</v>
      </c>
      <c r="BX2809" s="4">
        <f>AVERAGE(Grandview_Inventory[[#This Row],[qual_adj]:[size_adj]])</f>
        <v>1</v>
      </c>
      <c r="BY2809" s="6">
        <f>IF(Grandview_Inventory[[#This Row],[pre_res]]&lt;0,0,Grandview_Inventory[[#This Row],[pre_res]]*Grandview_Inventory[[#This Row],[overall_adj]])</f>
        <v>0</v>
      </c>
      <c r="BZ2809" s="6">
        <f>(Grandview_Inventory[[#This Row],[sum_land]]-IF(Grandview_Inventory[[#This Row],[no_utilities]]=1,12000,0))/IF(Grandview_Inventory[[#This Row],[unbuildable]]=1,2,1)</f>
        <v>48369.510983942157</v>
      </c>
      <c r="CA280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09">
        <f>ROUND(Grandview_Inventory[[#This Row],[det_value]]*Lookups!$M$28,-2)</f>
        <v>0</v>
      </c>
      <c r="CC280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09">
        <f>Grandview_Inventory[[#This Row],[final_det]]+Grandview_Inventory[[#This Row],[final_res]]</f>
        <v>0</v>
      </c>
      <c r="CE2809">
        <f>Grandview_Inventory[[#This Row],[final_land]]+Grandview_Inventory[[#This Row],[final_imp]]+Grandview_Inventory[[#This Row],[crop_value]]</f>
        <v>46000</v>
      </c>
      <c r="CG2809" t="str">
        <f t="shared" si="44"/>
        <v>update valuation set market_land =46000, market_bldg=0, market_total =46000, market_mdno =401, market_date ='9/10/2023' where link_id = (select link_id from parcel where parcel_year = '2024' and parcel_id = '23092621670');</v>
      </c>
    </row>
    <row r="2810" spans="1:85" x14ac:dyDescent="0.25">
      <c r="A2810">
        <v>23092621671</v>
      </c>
      <c r="B2810" t="s">
        <v>129</v>
      </c>
      <c r="C2810">
        <v>8085</v>
      </c>
      <c r="D2810" t="s">
        <v>129</v>
      </c>
      <c r="E2810" t="s">
        <v>53</v>
      </c>
      <c r="F2810" t="s">
        <v>53</v>
      </c>
      <c r="G2810">
        <v>4</v>
      </c>
      <c r="H2810" t="s">
        <v>54</v>
      </c>
      <c r="I2810" t="s">
        <v>129</v>
      </c>
      <c r="J2810">
        <v>32500</v>
      </c>
      <c r="K2810">
        <v>0.19</v>
      </c>
      <c r="L2810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10">
        <v>0</v>
      </c>
      <c r="N2810">
        <v>0</v>
      </c>
      <c r="O2810">
        <v>0</v>
      </c>
      <c r="P2810">
        <v>13398.7528</v>
      </c>
      <c r="Q2810">
        <v>63903</v>
      </c>
      <c r="R2810">
        <f>(Grandview_Inventory[[#This Row],[ln_acres]]*Grandview_Inventory[[#This Row],[coeff]])+Grandview_Inventory[[#This Row],[const]]</f>
        <v>41651.273092551026</v>
      </c>
      <c r="AY2810">
        <v>0</v>
      </c>
      <c r="AZ2810">
        <v>0</v>
      </c>
      <c r="BE2810">
        <v>0</v>
      </c>
      <c r="BF2810">
        <v>15000</v>
      </c>
      <c r="BG2810">
        <v>0</v>
      </c>
      <c r="BH2810" s="6">
        <f>Grandview_Inventory[[#This Row],[land_extract]]*Lookups!$B$3</f>
        <v>48369.510983942157</v>
      </c>
      <c r="BI2810" s="6">
        <f>IF(Grandview_Inventory[[#This Row],[bldg_style]]="",0,Lookups!$B$2)</f>
        <v>0</v>
      </c>
      <c r="BJ2810" s="6">
        <f>_xlfn.IFNA(VLOOKUP(Grandview_Inventory[[#This Row],[quality]],Lookups!$H$2:$J$14,3,FALSE),0)</f>
        <v>0</v>
      </c>
      <c r="BK2810" s="6">
        <f>_xlfn.IFNA(VLOOKUP(Grandview_Inventory[[#This Row],[condition]],Lookups!$H$17:$J$24,3,FALSE),0)</f>
        <v>0</v>
      </c>
      <c r="BL2810" s="6">
        <f>Grandview_Inventory[[#This Row],[Eff_Age]]*Lookups!$B$14</f>
        <v>0</v>
      </c>
      <c r="BM2810" s="6">
        <f>Grandview_Inventory[[#This Row],[living_area]]*Lookups!$B$15</f>
        <v>0</v>
      </c>
      <c r="BN2810" s="6">
        <f>Grandview_Inventory[[#This Row],[Fin BSMT]]*Lookups!$B$16</f>
        <v>0</v>
      </c>
      <c r="BO2810" s="6">
        <f>(Grandview_Inventory[[#This Row],[att_gar]]+Grandview_Inventory[[#This Row],[bltin_gar]])*Lookups!$B$17</f>
        <v>0</v>
      </c>
      <c r="BP2810" s="6">
        <f>Grandview_Inventory[[#This Row],[Plumbing Fixtures]]*Lookups!$B$18</f>
        <v>0</v>
      </c>
      <c r="BQ2810" s="6">
        <f>Grandview_Inventory[[#This Row],[detatched_value]]*Lookups!$B$19</f>
        <v>0</v>
      </c>
      <c r="BR2810" s="6">
        <f>SUM(Grandview_Inventory[[#This Row],[Intercept]:[det_value]])*Grandview_Inventory[[#This Row],[res_pct]]</f>
        <v>0</v>
      </c>
      <c r="BS2810" s="6">
        <f>Grandview_Inventory[[#This Row],[land_value]]</f>
        <v>48369.510983942157</v>
      </c>
      <c r="BT2810" s="4">
        <f>_xlfn.IFNA(VLOOKUP(Grandview_Inventory[[#This Row],[quality]],Lookups!$A$26:$C$33,3,FALSE),1)</f>
        <v>1</v>
      </c>
      <c r="BU2810" s="4">
        <f>_xlfn.IFNA(VLOOKUP(Grandview_Inventory[[#This Row],[condition]],Lookups!$A$37:$C$44,3,FALSE),1)</f>
        <v>1</v>
      </c>
      <c r="BV2810" s="4">
        <f>IF(Grandview_Inventory[[#This Row],[bldg_style]]="",1,_xlfn.IFNA(VLOOKUP(Grandview_Inventory[[#This Row],[decade]],Lookups!$F$29:$H$43,3,FALSE),1))</f>
        <v>1</v>
      </c>
      <c r="BW2810" s="4">
        <f>_xlfn.IFNA(VLOOKUP(Grandview_Inventory[[#This Row],[living_area_range]],Lookups!$F$47:$H$56,3,FALSE),1)</f>
        <v>1</v>
      </c>
      <c r="BX2810" s="4">
        <f>AVERAGE(Grandview_Inventory[[#This Row],[qual_adj]:[size_adj]])</f>
        <v>1</v>
      </c>
      <c r="BY2810" s="6">
        <f>IF(Grandview_Inventory[[#This Row],[pre_res]]&lt;0,0,Grandview_Inventory[[#This Row],[pre_res]]*Grandview_Inventory[[#This Row],[overall_adj]])</f>
        <v>0</v>
      </c>
      <c r="BZ2810" s="6">
        <f>(Grandview_Inventory[[#This Row],[sum_land]]-IF(Grandview_Inventory[[#This Row],[no_utilities]]=1,12000,0))/IF(Grandview_Inventory[[#This Row],[unbuildable]]=1,2,1)</f>
        <v>48369.510983942157</v>
      </c>
      <c r="CA2810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10">
        <f>ROUND(Grandview_Inventory[[#This Row],[det_value]]*Lookups!$M$28,-2)</f>
        <v>0</v>
      </c>
      <c r="CC281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0">
        <f>Grandview_Inventory[[#This Row],[final_det]]+Grandview_Inventory[[#This Row],[final_res]]</f>
        <v>0</v>
      </c>
      <c r="CE2810">
        <f>Grandview_Inventory[[#This Row],[final_land]]+Grandview_Inventory[[#This Row],[final_imp]]+Grandview_Inventory[[#This Row],[crop_value]]</f>
        <v>46000</v>
      </c>
      <c r="CG2810" t="str">
        <f t="shared" si="44"/>
        <v>update valuation set market_land =46000, market_bldg=0, market_total =46000, market_mdno =401, market_date ='9/10/2023' where link_id = (select link_id from parcel where parcel_year = '2024' and parcel_id = '23092621671');</v>
      </c>
    </row>
    <row r="2811" spans="1:85" x14ac:dyDescent="0.25">
      <c r="A2811">
        <v>23092621672</v>
      </c>
      <c r="B2811" t="s">
        <v>129</v>
      </c>
      <c r="C2811">
        <v>8085</v>
      </c>
      <c r="D2811" t="s">
        <v>129</v>
      </c>
      <c r="E2811" t="s">
        <v>53</v>
      </c>
      <c r="F2811" t="s">
        <v>53</v>
      </c>
      <c r="G2811">
        <v>4</v>
      </c>
      <c r="H2811" t="s">
        <v>54</v>
      </c>
      <c r="I2811" t="s">
        <v>129</v>
      </c>
      <c r="J2811">
        <v>32500</v>
      </c>
      <c r="K2811">
        <v>0.19</v>
      </c>
      <c r="L2811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11">
        <v>0</v>
      </c>
      <c r="N2811">
        <v>0</v>
      </c>
      <c r="O2811">
        <v>0</v>
      </c>
      <c r="P2811">
        <v>13398.7528</v>
      </c>
      <c r="Q2811">
        <v>63903</v>
      </c>
      <c r="R2811">
        <f>(Grandview_Inventory[[#This Row],[ln_acres]]*Grandview_Inventory[[#This Row],[coeff]])+Grandview_Inventory[[#This Row],[const]]</f>
        <v>41651.273092551026</v>
      </c>
      <c r="AY2811">
        <v>0</v>
      </c>
      <c r="AZ2811">
        <v>0</v>
      </c>
      <c r="BE2811">
        <v>0</v>
      </c>
      <c r="BF2811">
        <v>15000</v>
      </c>
      <c r="BG2811">
        <v>0</v>
      </c>
      <c r="BH2811" s="6">
        <f>Grandview_Inventory[[#This Row],[land_extract]]*Lookups!$B$3</f>
        <v>48369.510983942157</v>
      </c>
      <c r="BI2811" s="6">
        <f>IF(Grandview_Inventory[[#This Row],[bldg_style]]="",0,Lookups!$B$2)</f>
        <v>0</v>
      </c>
      <c r="BJ2811" s="6">
        <f>_xlfn.IFNA(VLOOKUP(Grandview_Inventory[[#This Row],[quality]],Lookups!$H$2:$J$14,3,FALSE),0)</f>
        <v>0</v>
      </c>
      <c r="BK2811" s="6">
        <f>_xlfn.IFNA(VLOOKUP(Grandview_Inventory[[#This Row],[condition]],Lookups!$H$17:$J$24,3,FALSE),0)</f>
        <v>0</v>
      </c>
      <c r="BL2811" s="6">
        <f>Grandview_Inventory[[#This Row],[Eff_Age]]*Lookups!$B$14</f>
        <v>0</v>
      </c>
      <c r="BM2811" s="6">
        <f>Grandview_Inventory[[#This Row],[living_area]]*Lookups!$B$15</f>
        <v>0</v>
      </c>
      <c r="BN2811" s="6">
        <f>Grandview_Inventory[[#This Row],[Fin BSMT]]*Lookups!$B$16</f>
        <v>0</v>
      </c>
      <c r="BO2811" s="6">
        <f>(Grandview_Inventory[[#This Row],[att_gar]]+Grandview_Inventory[[#This Row],[bltin_gar]])*Lookups!$B$17</f>
        <v>0</v>
      </c>
      <c r="BP2811" s="6">
        <f>Grandview_Inventory[[#This Row],[Plumbing Fixtures]]*Lookups!$B$18</f>
        <v>0</v>
      </c>
      <c r="BQ2811" s="6">
        <f>Grandview_Inventory[[#This Row],[detatched_value]]*Lookups!$B$19</f>
        <v>0</v>
      </c>
      <c r="BR2811" s="6">
        <f>SUM(Grandview_Inventory[[#This Row],[Intercept]:[det_value]])*Grandview_Inventory[[#This Row],[res_pct]]</f>
        <v>0</v>
      </c>
      <c r="BS2811" s="6">
        <f>Grandview_Inventory[[#This Row],[land_value]]</f>
        <v>48369.510983942157</v>
      </c>
      <c r="BT2811" s="4">
        <f>_xlfn.IFNA(VLOOKUP(Grandview_Inventory[[#This Row],[quality]],Lookups!$A$26:$C$33,3,FALSE),1)</f>
        <v>1</v>
      </c>
      <c r="BU2811" s="4">
        <f>_xlfn.IFNA(VLOOKUP(Grandview_Inventory[[#This Row],[condition]],Lookups!$A$37:$C$44,3,FALSE),1)</f>
        <v>1</v>
      </c>
      <c r="BV2811" s="4">
        <f>IF(Grandview_Inventory[[#This Row],[bldg_style]]="",1,_xlfn.IFNA(VLOOKUP(Grandview_Inventory[[#This Row],[decade]],Lookups!$F$29:$H$43,3,FALSE),1))</f>
        <v>1</v>
      </c>
      <c r="BW2811" s="4">
        <f>_xlfn.IFNA(VLOOKUP(Grandview_Inventory[[#This Row],[living_area_range]],Lookups!$F$47:$H$56,3,FALSE),1)</f>
        <v>1</v>
      </c>
      <c r="BX2811" s="4">
        <f>AVERAGE(Grandview_Inventory[[#This Row],[qual_adj]:[size_adj]])</f>
        <v>1</v>
      </c>
      <c r="BY2811" s="6">
        <f>IF(Grandview_Inventory[[#This Row],[pre_res]]&lt;0,0,Grandview_Inventory[[#This Row],[pre_res]]*Grandview_Inventory[[#This Row],[overall_adj]])</f>
        <v>0</v>
      </c>
      <c r="BZ2811" s="6">
        <f>(Grandview_Inventory[[#This Row],[sum_land]]-IF(Grandview_Inventory[[#This Row],[no_utilities]]=1,12000,0))/IF(Grandview_Inventory[[#This Row],[unbuildable]]=1,2,1)</f>
        <v>48369.510983942157</v>
      </c>
      <c r="CA2811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11">
        <f>ROUND(Grandview_Inventory[[#This Row],[det_value]]*Lookups!$M$28,-2)</f>
        <v>0</v>
      </c>
      <c r="CC281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1">
        <f>Grandview_Inventory[[#This Row],[final_det]]+Grandview_Inventory[[#This Row],[final_res]]</f>
        <v>0</v>
      </c>
      <c r="CE2811">
        <f>Grandview_Inventory[[#This Row],[final_land]]+Grandview_Inventory[[#This Row],[final_imp]]+Grandview_Inventory[[#This Row],[crop_value]]</f>
        <v>46000</v>
      </c>
      <c r="CG2811" t="str">
        <f t="shared" si="44"/>
        <v>update valuation set market_land =46000, market_bldg=0, market_total =46000, market_mdno =401, market_date ='9/10/2023' where link_id = (select link_id from parcel where parcel_year = '2024' and parcel_id = '23092621672');</v>
      </c>
    </row>
    <row r="2812" spans="1:85" x14ac:dyDescent="0.25">
      <c r="A2812">
        <v>23092621673</v>
      </c>
      <c r="B2812" t="s">
        <v>129</v>
      </c>
      <c r="C2812">
        <v>8085</v>
      </c>
      <c r="D2812" t="s">
        <v>129</v>
      </c>
      <c r="E2812" t="s">
        <v>53</v>
      </c>
      <c r="F2812" t="s">
        <v>53</v>
      </c>
      <c r="G2812">
        <v>4</v>
      </c>
      <c r="H2812" t="s">
        <v>54</v>
      </c>
      <c r="I2812" t="s">
        <v>129</v>
      </c>
      <c r="J2812">
        <v>32500</v>
      </c>
      <c r="K2812">
        <v>0.19</v>
      </c>
      <c r="L2812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12">
        <v>0</v>
      </c>
      <c r="N2812">
        <v>0</v>
      </c>
      <c r="O2812">
        <v>0</v>
      </c>
      <c r="P2812">
        <v>13398.7528</v>
      </c>
      <c r="Q2812">
        <v>63903</v>
      </c>
      <c r="R2812">
        <f>(Grandview_Inventory[[#This Row],[ln_acres]]*Grandview_Inventory[[#This Row],[coeff]])+Grandview_Inventory[[#This Row],[const]]</f>
        <v>41651.273092551026</v>
      </c>
      <c r="AY2812">
        <v>0</v>
      </c>
      <c r="AZ2812">
        <v>0</v>
      </c>
      <c r="BE2812">
        <v>0</v>
      </c>
      <c r="BF2812">
        <v>15000</v>
      </c>
      <c r="BG2812">
        <v>0</v>
      </c>
      <c r="BH2812" s="6">
        <f>Grandview_Inventory[[#This Row],[land_extract]]*Lookups!$B$3</f>
        <v>48369.510983942157</v>
      </c>
      <c r="BI2812" s="6">
        <f>IF(Grandview_Inventory[[#This Row],[bldg_style]]="",0,Lookups!$B$2)</f>
        <v>0</v>
      </c>
      <c r="BJ2812" s="6">
        <f>_xlfn.IFNA(VLOOKUP(Grandview_Inventory[[#This Row],[quality]],Lookups!$H$2:$J$14,3,FALSE),0)</f>
        <v>0</v>
      </c>
      <c r="BK2812" s="6">
        <f>_xlfn.IFNA(VLOOKUP(Grandview_Inventory[[#This Row],[condition]],Lookups!$H$17:$J$24,3,FALSE),0)</f>
        <v>0</v>
      </c>
      <c r="BL2812" s="6">
        <f>Grandview_Inventory[[#This Row],[Eff_Age]]*Lookups!$B$14</f>
        <v>0</v>
      </c>
      <c r="BM2812" s="6">
        <f>Grandview_Inventory[[#This Row],[living_area]]*Lookups!$B$15</f>
        <v>0</v>
      </c>
      <c r="BN2812" s="6">
        <f>Grandview_Inventory[[#This Row],[Fin BSMT]]*Lookups!$B$16</f>
        <v>0</v>
      </c>
      <c r="BO2812" s="6">
        <f>(Grandview_Inventory[[#This Row],[att_gar]]+Grandview_Inventory[[#This Row],[bltin_gar]])*Lookups!$B$17</f>
        <v>0</v>
      </c>
      <c r="BP2812" s="6">
        <f>Grandview_Inventory[[#This Row],[Plumbing Fixtures]]*Lookups!$B$18</f>
        <v>0</v>
      </c>
      <c r="BQ2812" s="6">
        <f>Grandview_Inventory[[#This Row],[detatched_value]]*Lookups!$B$19</f>
        <v>0</v>
      </c>
      <c r="BR2812" s="6">
        <f>SUM(Grandview_Inventory[[#This Row],[Intercept]:[det_value]])*Grandview_Inventory[[#This Row],[res_pct]]</f>
        <v>0</v>
      </c>
      <c r="BS2812" s="6">
        <f>Grandview_Inventory[[#This Row],[land_value]]</f>
        <v>48369.510983942157</v>
      </c>
      <c r="BT2812" s="4">
        <f>_xlfn.IFNA(VLOOKUP(Grandview_Inventory[[#This Row],[quality]],Lookups!$A$26:$C$33,3,FALSE),1)</f>
        <v>1</v>
      </c>
      <c r="BU2812" s="4">
        <f>_xlfn.IFNA(VLOOKUP(Grandview_Inventory[[#This Row],[condition]],Lookups!$A$37:$C$44,3,FALSE),1)</f>
        <v>1</v>
      </c>
      <c r="BV2812" s="4">
        <f>IF(Grandview_Inventory[[#This Row],[bldg_style]]="",1,_xlfn.IFNA(VLOOKUP(Grandview_Inventory[[#This Row],[decade]],Lookups!$F$29:$H$43,3,FALSE),1))</f>
        <v>1</v>
      </c>
      <c r="BW2812" s="4">
        <f>_xlfn.IFNA(VLOOKUP(Grandview_Inventory[[#This Row],[living_area_range]],Lookups!$F$47:$H$56,3,FALSE),1)</f>
        <v>1</v>
      </c>
      <c r="BX2812" s="4">
        <f>AVERAGE(Grandview_Inventory[[#This Row],[qual_adj]:[size_adj]])</f>
        <v>1</v>
      </c>
      <c r="BY2812" s="6">
        <f>IF(Grandview_Inventory[[#This Row],[pre_res]]&lt;0,0,Grandview_Inventory[[#This Row],[pre_res]]*Grandview_Inventory[[#This Row],[overall_adj]])</f>
        <v>0</v>
      </c>
      <c r="BZ2812" s="6">
        <f>(Grandview_Inventory[[#This Row],[sum_land]]-IF(Grandview_Inventory[[#This Row],[no_utilities]]=1,12000,0))/IF(Grandview_Inventory[[#This Row],[unbuildable]]=1,2,1)</f>
        <v>48369.510983942157</v>
      </c>
      <c r="CA2812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12">
        <f>ROUND(Grandview_Inventory[[#This Row],[det_value]]*Lookups!$M$28,-2)</f>
        <v>0</v>
      </c>
      <c r="CC281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2">
        <f>Grandview_Inventory[[#This Row],[final_det]]+Grandview_Inventory[[#This Row],[final_res]]</f>
        <v>0</v>
      </c>
      <c r="CE2812">
        <f>Grandview_Inventory[[#This Row],[final_land]]+Grandview_Inventory[[#This Row],[final_imp]]+Grandview_Inventory[[#This Row],[crop_value]]</f>
        <v>46000</v>
      </c>
      <c r="CG2812" t="str">
        <f t="shared" si="44"/>
        <v>update valuation set market_land =46000, market_bldg=0, market_total =46000, market_mdno =401, market_date ='9/10/2023' where link_id = (select link_id from parcel where parcel_year = '2024' and parcel_id = '23092621673');</v>
      </c>
    </row>
    <row r="2813" spans="1:85" x14ac:dyDescent="0.25">
      <c r="A2813">
        <v>23092621674</v>
      </c>
      <c r="B2813" t="s">
        <v>129</v>
      </c>
      <c r="C2813">
        <v>8085</v>
      </c>
      <c r="D2813" t="s">
        <v>129</v>
      </c>
      <c r="E2813" t="s">
        <v>53</v>
      </c>
      <c r="F2813" t="s">
        <v>53</v>
      </c>
      <c r="G2813">
        <v>4</v>
      </c>
      <c r="H2813" t="s">
        <v>54</v>
      </c>
      <c r="I2813" t="s">
        <v>129</v>
      </c>
      <c r="J2813">
        <v>32500</v>
      </c>
      <c r="K2813">
        <v>0.19</v>
      </c>
      <c r="L2813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13">
        <v>0</v>
      </c>
      <c r="N2813">
        <v>0</v>
      </c>
      <c r="O2813">
        <v>0</v>
      </c>
      <c r="P2813">
        <v>13398.7528</v>
      </c>
      <c r="Q2813">
        <v>63903</v>
      </c>
      <c r="R2813">
        <f>(Grandview_Inventory[[#This Row],[ln_acres]]*Grandview_Inventory[[#This Row],[coeff]])+Grandview_Inventory[[#This Row],[const]]</f>
        <v>41651.273092551026</v>
      </c>
      <c r="AY2813">
        <v>0</v>
      </c>
      <c r="AZ2813">
        <v>0</v>
      </c>
      <c r="BE2813">
        <v>0</v>
      </c>
      <c r="BF2813">
        <v>15000</v>
      </c>
      <c r="BG2813">
        <v>0</v>
      </c>
      <c r="BH2813" s="6">
        <f>Grandview_Inventory[[#This Row],[land_extract]]*Lookups!$B$3</f>
        <v>48369.510983942157</v>
      </c>
      <c r="BI2813" s="6">
        <f>IF(Grandview_Inventory[[#This Row],[bldg_style]]="",0,Lookups!$B$2)</f>
        <v>0</v>
      </c>
      <c r="BJ2813" s="6">
        <f>_xlfn.IFNA(VLOOKUP(Grandview_Inventory[[#This Row],[quality]],Lookups!$H$2:$J$14,3,FALSE),0)</f>
        <v>0</v>
      </c>
      <c r="BK2813" s="6">
        <f>_xlfn.IFNA(VLOOKUP(Grandview_Inventory[[#This Row],[condition]],Lookups!$H$17:$J$24,3,FALSE),0)</f>
        <v>0</v>
      </c>
      <c r="BL2813" s="6">
        <f>Grandview_Inventory[[#This Row],[Eff_Age]]*Lookups!$B$14</f>
        <v>0</v>
      </c>
      <c r="BM2813" s="6">
        <f>Grandview_Inventory[[#This Row],[living_area]]*Lookups!$B$15</f>
        <v>0</v>
      </c>
      <c r="BN2813" s="6">
        <f>Grandview_Inventory[[#This Row],[Fin BSMT]]*Lookups!$B$16</f>
        <v>0</v>
      </c>
      <c r="BO2813" s="6">
        <f>(Grandview_Inventory[[#This Row],[att_gar]]+Grandview_Inventory[[#This Row],[bltin_gar]])*Lookups!$B$17</f>
        <v>0</v>
      </c>
      <c r="BP2813" s="6">
        <f>Grandview_Inventory[[#This Row],[Plumbing Fixtures]]*Lookups!$B$18</f>
        <v>0</v>
      </c>
      <c r="BQ2813" s="6">
        <f>Grandview_Inventory[[#This Row],[detatched_value]]*Lookups!$B$19</f>
        <v>0</v>
      </c>
      <c r="BR2813" s="6">
        <f>SUM(Grandview_Inventory[[#This Row],[Intercept]:[det_value]])*Grandview_Inventory[[#This Row],[res_pct]]</f>
        <v>0</v>
      </c>
      <c r="BS2813" s="6">
        <f>Grandview_Inventory[[#This Row],[land_value]]</f>
        <v>48369.510983942157</v>
      </c>
      <c r="BT2813" s="4">
        <f>_xlfn.IFNA(VLOOKUP(Grandview_Inventory[[#This Row],[quality]],Lookups!$A$26:$C$33,3,FALSE),1)</f>
        <v>1</v>
      </c>
      <c r="BU2813" s="4">
        <f>_xlfn.IFNA(VLOOKUP(Grandview_Inventory[[#This Row],[condition]],Lookups!$A$37:$C$44,3,FALSE),1)</f>
        <v>1</v>
      </c>
      <c r="BV2813" s="4">
        <f>IF(Grandview_Inventory[[#This Row],[bldg_style]]="",1,_xlfn.IFNA(VLOOKUP(Grandview_Inventory[[#This Row],[decade]],Lookups!$F$29:$H$43,3,FALSE),1))</f>
        <v>1</v>
      </c>
      <c r="BW2813" s="4">
        <f>_xlfn.IFNA(VLOOKUP(Grandview_Inventory[[#This Row],[living_area_range]],Lookups!$F$47:$H$56,3,FALSE),1)</f>
        <v>1</v>
      </c>
      <c r="BX2813" s="4">
        <f>AVERAGE(Grandview_Inventory[[#This Row],[qual_adj]:[size_adj]])</f>
        <v>1</v>
      </c>
      <c r="BY2813" s="6">
        <f>IF(Grandview_Inventory[[#This Row],[pre_res]]&lt;0,0,Grandview_Inventory[[#This Row],[pre_res]]*Grandview_Inventory[[#This Row],[overall_adj]])</f>
        <v>0</v>
      </c>
      <c r="BZ2813" s="6">
        <f>(Grandview_Inventory[[#This Row],[sum_land]]-IF(Grandview_Inventory[[#This Row],[no_utilities]]=1,12000,0))/IF(Grandview_Inventory[[#This Row],[unbuildable]]=1,2,1)</f>
        <v>48369.510983942157</v>
      </c>
      <c r="CA2813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13">
        <f>ROUND(Grandview_Inventory[[#This Row],[det_value]]*Lookups!$M$28,-2)</f>
        <v>0</v>
      </c>
      <c r="CC281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3">
        <f>Grandview_Inventory[[#This Row],[final_det]]+Grandview_Inventory[[#This Row],[final_res]]</f>
        <v>0</v>
      </c>
      <c r="CE2813">
        <f>Grandview_Inventory[[#This Row],[final_land]]+Grandview_Inventory[[#This Row],[final_imp]]+Grandview_Inventory[[#This Row],[crop_value]]</f>
        <v>46000</v>
      </c>
      <c r="CG2813" t="str">
        <f t="shared" si="44"/>
        <v>update valuation set market_land =46000, market_bldg=0, market_total =46000, market_mdno =401, market_date ='9/10/2023' where link_id = (select link_id from parcel where parcel_year = '2024' and parcel_id = '23092621674');</v>
      </c>
    </row>
    <row r="2814" spans="1:85" x14ac:dyDescent="0.25">
      <c r="A2814">
        <v>23092621675</v>
      </c>
      <c r="B2814" t="s">
        <v>129</v>
      </c>
      <c r="C2814">
        <v>8470</v>
      </c>
      <c r="D2814" t="s">
        <v>129</v>
      </c>
      <c r="E2814" t="s">
        <v>53</v>
      </c>
      <c r="F2814" t="s">
        <v>53</v>
      </c>
      <c r="G2814">
        <v>4</v>
      </c>
      <c r="H2814" t="s">
        <v>54</v>
      </c>
      <c r="I2814" t="s">
        <v>129</v>
      </c>
      <c r="J2814">
        <v>32700</v>
      </c>
      <c r="K2814">
        <v>0.19</v>
      </c>
      <c r="L2814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14">
        <v>0</v>
      </c>
      <c r="N2814">
        <v>0</v>
      </c>
      <c r="O2814">
        <v>0</v>
      </c>
      <c r="P2814">
        <v>13398.7528</v>
      </c>
      <c r="Q2814">
        <v>63903</v>
      </c>
      <c r="R2814">
        <f>(Grandview_Inventory[[#This Row],[ln_acres]]*Grandview_Inventory[[#This Row],[coeff]])+Grandview_Inventory[[#This Row],[const]]</f>
        <v>41651.273092551026</v>
      </c>
      <c r="AY2814">
        <v>0</v>
      </c>
      <c r="AZ2814">
        <v>0</v>
      </c>
      <c r="BE2814">
        <v>0</v>
      </c>
      <c r="BF2814">
        <v>15000</v>
      </c>
      <c r="BG2814">
        <v>0</v>
      </c>
      <c r="BH2814" s="6">
        <f>Grandview_Inventory[[#This Row],[land_extract]]*Lookups!$B$3</f>
        <v>48369.510983942157</v>
      </c>
      <c r="BI2814" s="6">
        <f>IF(Grandview_Inventory[[#This Row],[bldg_style]]="",0,Lookups!$B$2)</f>
        <v>0</v>
      </c>
      <c r="BJ2814" s="6">
        <f>_xlfn.IFNA(VLOOKUP(Grandview_Inventory[[#This Row],[quality]],Lookups!$H$2:$J$14,3,FALSE),0)</f>
        <v>0</v>
      </c>
      <c r="BK2814" s="6">
        <f>_xlfn.IFNA(VLOOKUP(Grandview_Inventory[[#This Row],[condition]],Lookups!$H$17:$J$24,3,FALSE),0)</f>
        <v>0</v>
      </c>
      <c r="BL2814" s="6">
        <f>Grandview_Inventory[[#This Row],[Eff_Age]]*Lookups!$B$14</f>
        <v>0</v>
      </c>
      <c r="BM2814" s="6">
        <f>Grandview_Inventory[[#This Row],[living_area]]*Lookups!$B$15</f>
        <v>0</v>
      </c>
      <c r="BN2814" s="6">
        <f>Grandview_Inventory[[#This Row],[Fin BSMT]]*Lookups!$B$16</f>
        <v>0</v>
      </c>
      <c r="BO2814" s="6">
        <f>(Grandview_Inventory[[#This Row],[att_gar]]+Grandview_Inventory[[#This Row],[bltin_gar]])*Lookups!$B$17</f>
        <v>0</v>
      </c>
      <c r="BP2814" s="6">
        <f>Grandview_Inventory[[#This Row],[Plumbing Fixtures]]*Lookups!$B$18</f>
        <v>0</v>
      </c>
      <c r="BQ2814" s="6">
        <f>Grandview_Inventory[[#This Row],[detatched_value]]*Lookups!$B$19</f>
        <v>0</v>
      </c>
      <c r="BR2814" s="6">
        <f>SUM(Grandview_Inventory[[#This Row],[Intercept]:[det_value]])*Grandview_Inventory[[#This Row],[res_pct]]</f>
        <v>0</v>
      </c>
      <c r="BS2814" s="6">
        <f>Grandview_Inventory[[#This Row],[land_value]]</f>
        <v>48369.510983942157</v>
      </c>
      <c r="BT2814" s="4">
        <f>_xlfn.IFNA(VLOOKUP(Grandview_Inventory[[#This Row],[quality]],Lookups!$A$26:$C$33,3,FALSE),1)</f>
        <v>1</v>
      </c>
      <c r="BU2814" s="4">
        <f>_xlfn.IFNA(VLOOKUP(Grandview_Inventory[[#This Row],[condition]],Lookups!$A$37:$C$44,3,FALSE),1)</f>
        <v>1</v>
      </c>
      <c r="BV2814" s="4">
        <f>IF(Grandview_Inventory[[#This Row],[bldg_style]]="",1,_xlfn.IFNA(VLOOKUP(Grandview_Inventory[[#This Row],[decade]],Lookups!$F$29:$H$43,3,FALSE),1))</f>
        <v>1</v>
      </c>
      <c r="BW2814" s="4">
        <f>_xlfn.IFNA(VLOOKUP(Grandview_Inventory[[#This Row],[living_area_range]],Lookups!$F$47:$H$56,3,FALSE),1)</f>
        <v>1</v>
      </c>
      <c r="BX2814" s="4">
        <f>AVERAGE(Grandview_Inventory[[#This Row],[qual_adj]:[size_adj]])</f>
        <v>1</v>
      </c>
      <c r="BY2814" s="6">
        <f>IF(Grandview_Inventory[[#This Row],[pre_res]]&lt;0,0,Grandview_Inventory[[#This Row],[pre_res]]*Grandview_Inventory[[#This Row],[overall_adj]])</f>
        <v>0</v>
      </c>
      <c r="BZ2814" s="6">
        <f>(Grandview_Inventory[[#This Row],[sum_land]]-IF(Grandview_Inventory[[#This Row],[no_utilities]]=1,12000,0))/IF(Grandview_Inventory[[#This Row],[unbuildable]]=1,2,1)</f>
        <v>48369.510983942157</v>
      </c>
      <c r="CA2814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14">
        <f>ROUND(Grandview_Inventory[[#This Row],[det_value]]*Lookups!$M$28,-2)</f>
        <v>0</v>
      </c>
      <c r="CC281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4">
        <f>Grandview_Inventory[[#This Row],[final_det]]+Grandview_Inventory[[#This Row],[final_res]]</f>
        <v>0</v>
      </c>
      <c r="CE2814">
        <f>Grandview_Inventory[[#This Row],[final_land]]+Grandview_Inventory[[#This Row],[final_imp]]+Grandview_Inventory[[#This Row],[crop_value]]</f>
        <v>46000</v>
      </c>
      <c r="CG2814" t="str">
        <f t="shared" si="44"/>
        <v>update valuation set market_land =46000, market_bldg=0, market_total =46000, market_mdno =401, market_date ='9/10/2023' where link_id = (select link_id from parcel where parcel_year = '2024' and parcel_id = '23092621675');</v>
      </c>
    </row>
    <row r="2815" spans="1:85" x14ac:dyDescent="0.25">
      <c r="A2815">
        <v>23092621676</v>
      </c>
      <c r="B2815" t="s">
        <v>129</v>
      </c>
      <c r="C2815">
        <v>8470</v>
      </c>
      <c r="D2815" t="s">
        <v>129</v>
      </c>
      <c r="E2815" t="s">
        <v>53</v>
      </c>
      <c r="F2815" t="s">
        <v>53</v>
      </c>
      <c r="G2815">
        <v>4</v>
      </c>
      <c r="H2815" t="s">
        <v>54</v>
      </c>
      <c r="I2815" t="s">
        <v>129</v>
      </c>
      <c r="J2815">
        <v>32700</v>
      </c>
      <c r="K2815">
        <v>0.19</v>
      </c>
      <c r="L2815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15">
        <v>0</v>
      </c>
      <c r="N2815">
        <v>0</v>
      </c>
      <c r="O2815">
        <v>0</v>
      </c>
      <c r="P2815">
        <v>13398.7528</v>
      </c>
      <c r="Q2815">
        <v>63903</v>
      </c>
      <c r="R2815">
        <f>(Grandview_Inventory[[#This Row],[ln_acres]]*Grandview_Inventory[[#This Row],[coeff]])+Grandview_Inventory[[#This Row],[const]]</f>
        <v>41651.273092551026</v>
      </c>
      <c r="AY2815">
        <v>0</v>
      </c>
      <c r="AZ2815">
        <v>0</v>
      </c>
      <c r="BE2815">
        <v>0</v>
      </c>
      <c r="BF2815">
        <v>15000</v>
      </c>
      <c r="BG2815">
        <v>0</v>
      </c>
      <c r="BH2815" s="6">
        <f>Grandview_Inventory[[#This Row],[land_extract]]*Lookups!$B$3</f>
        <v>48369.510983942157</v>
      </c>
      <c r="BI2815" s="6">
        <f>IF(Grandview_Inventory[[#This Row],[bldg_style]]="",0,Lookups!$B$2)</f>
        <v>0</v>
      </c>
      <c r="BJ2815" s="6">
        <f>_xlfn.IFNA(VLOOKUP(Grandview_Inventory[[#This Row],[quality]],Lookups!$H$2:$J$14,3,FALSE),0)</f>
        <v>0</v>
      </c>
      <c r="BK2815" s="6">
        <f>_xlfn.IFNA(VLOOKUP(Grandview_Inventory[[#This Row],[condition]],Lookups!$H$17:$J$24,3,FALSE),0)</f>
        <v>0</v>
      </c>
      <c r="BL2815" s="6">
        <f>Grandview_Inventory[[#This Row],[Eff_Age]]*Lookups!$B$14</f>
        <v>0</v>
      </c>
      <c r="BM2815" s="6">
        <f>Grandview_Inventory[[#This Row],[living_area]]*Lookups!$B$15</f>
        <v>0</v>
      </c>
      <c r="BN2815" s="6">
        <f>Grandview_Inventory[[#This Row],[Fin BSMT]]*Lookups!$B$16</f>
        <v>0</v>
      </c>
      <c r="BO2815" s="6">
        <f>(Grandview_Inventory[[#This Row],[att_gar]]+Grandview_Inventory[[#This Row],[bltin_gar]])*Lookups!$B$17</f>
        <v>0</v>
      </c>
      <c r="BP2815" s="6">
        <f>Grandview_Inventory[[#This Row],[Plumbing Fixtures]]*Lookups!$B$18</f>
        <v>0</v>
      </c>
      <c r="BQ2815" s="6">
        <f>Grandview_Inventory[[#This Row],[detatched_value]]*Lookups!$B$19</f>
        <v>0</v>
      </c>
      <c r="BR2815" s="6">
        <f>SUM(Grandview_Inventory[[#This Row],[Intercept]:[det_value]])*Grandview_Inventory[[#This Row],[res_pct]]</f>
        <v>0</v>
      </c>
      <c r="BS2815" s="6">
        <f>Grandview_Inventory[[#This Row],[land_value]]</f>
        <v>48369.510983942157</v>
      </c>
      <c r="BT2815" s="4">
        <f>_xlfn.IFNA(VLOOKUP(Grandview_Inventory[[#This Row],[quality]],Lookups!$A$26:$C$33,3,FALSE),1)</f>
        <v>1</v>
      </c>
      <c r="BU2815" s="4">
        <f>_xlfn.IFNA(VLOOKUP(Grandview_Inventory[[#This Row],[condition]],Lookups!$A$37:$C$44,3,FALSE),1)</f>
        <v>1</v>
      </c>
      <c r="BV2815" s="4">
        <f>IF(Grandview_Inventory[[#This Row],[bldg_style]]="",1,_xlfn.IFNA(VLOOKUP(Grandview_Inventory[[#This Row],[decade]],Lookups!$F$29:$H$43,3,FALSE),1))</f>
        <v>1</v>
      </c>
      <c r="BW2815" s="4">
        <f>_xlfn.IFNA(VLOOKUP(Grandview_Inventory[[#This Row],[living_area_range]],Lookups!$F$47:$H$56,3,FALSE),1)</f>
        <v>1</v>
      </c>
      <c r="BX2815" s="4">
        <f>AVERAGE(Grandview_Inventory[[#This Row],[qual_adj]:[size_adj]])</f>
        <v>1</v>
      </c>
      <c r="BY2815" s="6">
        <f>IF(Grandview_Inventory[[#This Row],[pre_res]]&lt;0,0,Grandview_Inventory[[#This Row],[pre_res]]*Grandview_Inventory[[#This Row],[overall_adj]])</f>
        <v>0</v>
      </c>
      <c r="BZ2815" s="6">
        <f>(Grandview_Inventory[[#This Row],[sum_land]]-IF(Grandview_Inventory[[#This Row],[no_utilities]]=1,12000,0))/IF(Grandview_Inventory[[#This Row],[unbuildable]]=1,2,1)</f>
        <v>48369.510983942157</v>
      </c>
      <c r="CA2815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15">
        <f>ROUND(Grandview_Inventory[[#This Row],[det_value]]*Lookups!$M$28,-2)</f>
        <v>0</v>
      </c>
      <c r="CC281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5">
        <f>Grandview_Inventory[[#This Row],[final_det]]+Grandview_Inventory[[#This Row],[final_res]]</f>
        <v>0</v>
      </c>
      <c r="CE2815">
        <f>Grandview_Inventory[[#This Row],[final_land]]+Grandview_Inventory[[#This Row],[final_imp]]+Grandview_Inventory[[#This Row],[crop_value]]</f>
        <v>46000</v>
      </c>
      <c r="CG2815" t="str">
        <f t="shared" si="44"/>
        <v>update valuation set market_land =46000, market_bldg=0, market_total =46000, market_mdno =401, market_date ='9/10/2023' where link_id = (select link_id from parcel where parcel_year = '2024' and parcel_id = '23092621676');</v>
      </c>
    </row>
    <row r="2816" spans="1:85" x14ac:dyDescent="0.25">
      <c r="A2816">
        <v>23092621677</v>
      </c>
      <c r="B2816" t="s">
        <v>129</v>
      </c>
      <c r="C2816">
        <v>8714</v>
      </c>
      <c r="D2816" t="s">
        <v>129</v>
      </c>
      <c r="E2816" t="s">
        <v>53</v>
      </c>
      <c r="F2816" t="s">
        <v>53</v>
      </c>
      <c r="G2816">
        <v>4</v>
      </c>
      <c r="H2816" t="s">
        <v>54</v>
      </c>
      <c r="I2816" t="s">
        <v>129</v>
      </c>
      <c r="J2816">
        <v>32800</v>
      </c>
      <c r="K2816">
        <v>0.2</v>
      </c>
      <c r="L2816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816">
        <v>0</v>
      </c>
      <c r="N2816">
        <v>0</v>
      </c>
      <c r="O2816">
        <v>0</v>
      </c>
      <c r="P2816">
        <v>13398.7528</v>
      </c>
      <c r="Q2816">
        <v>63903</v>
      </c>
      <c r="R2816">
        <f>(Grandview_Inventory[[#This Row],[ln_acres]]*Grandview_Inventory[[#This Row],[coeff]])+Grandview_Inventory[[#This Row],[const]]</f>
        <v>42338.539264347448</v>
      </c>
      <c r="AY2816">
        <v>0</v>
      </c>
      <c r="AZ2816">
        <v>0</v>
      </c>
      <c r="BE2816">
        <v>0</v>
      </c>
      <c r="BF2816">
        <v>15000</v>
      </c>
      <c r="BG2816">
        <v>0</v>
      </c>
      <c r="BH2816" s="6">
        <f>Grandview_Inventory[[#This Row],[land_extract]]*Lookups!$B$3</f>
        <v>49167.631333630678</v>
      </c>
      <c r="BI2816" s="6">
        <f>IF(Grandview_Inventory[[#This Row],[bldg_style]]="",0,Lookups!$B$2)</f>
        <v>0</v>
      </c>
      <c r="BJ2816" s="6">
        <f>_xlfn.IFNA(VLOOKUP(Grandview_Inventory[[#This Row],[quality]],Lookups!$H$2:$J$14,3,FALSE),0)</f>
        <v>0</v>
      </c>
      <c r="BK2816" s="6">
        <f>_xlfn.IFNA(VLOOKUP(Grandview_Inventory[[#This Row],[condition]],Lookups!$H$17:$J$24,3,FALSE),0)</f>
        <v>0</v>
      </c>
      <c r="BL2816" s="6">
        <f>Grandview_Inventory[[#This Row],[Eff_Age]]*Lookups!$B$14</f>
        <v>0</v>
      </c>
      <c r="BM2816" s="6">
        <f>Grandview_Inventory[[#This Row],[living_area]]*Lookups!$B$15</f>
        <v>0</v>
      </c>
      <c r="BN2816" s="6">
        <f>Grandview_Inventory[[#This Row],[Fin BSMT]]*Lookups!$B$16</f>
        <v>0</v>
      </c>
      <c r="BO2816" s="6">
        <f>(Grandview_Inventory[[#This Row],[att_gar]]+Grandview_Inventory[[#This Row],[bltin_gar]])*Lookups!$B$17</f>
        <v>0</v>
      </c>
      <c r="BP2816" s="6">
        <f>Grandview_Inventory[[#This Row],[Plumbing Fixtures]]*Lookups!$B$18</f>
        <v>0</v>
      </c>
      <c r="BQ2816" s="6">
        <f>Grandview_Inventory[[#This Row],[detatched_value]]*Lookups!$B$19</f>
        <v>0</v>
      </c>
      <c r="BR2816" s="6">
        <f>SUM(Grandview_Inventory[[#This Row],[Intercept]:[det_value]])*Grandview_Inventory[[#This Row],[res_pct]]</f>
        <v>0</v>
      </c>
      <c r="BS2816" s="6">
        <f>Grandview_Inventory[[#This Row],[land_value]]</f>
        <v>49167.631333630678</v>
      </c>
      <c r="BT2816" s="4">
        <f>_xlfn.IFNA(VLOOKUP(Grandview_Inventory[[#This Row],[quality]],Lookups!$A$26:$C$33,3,FALSE),1)</f>
        <v>1</v>
      </c>
      <c r="BU2816" s="4">
        <f>_xlfn.IFNA(VLOOKUP(Grandview_Inventory[[#This Row],[condition]],Lookups!$A$37:$C$44,3,FALSE),1)</f>
        <v>1</v>
      </c>
      <c r="BV2816" s="4">
        <f>IF(Grandview_Inventory[[#This Row],[bldg_style]]="",1,_xlfn.IFNA(VLOOKUP(Grandview_Inventory[[#This Row],[decade]],Lookups!$F$29:$H$43,3,FALSE),1))</f>
        <v>1</v>
      </c>
      <c r="BW2816" s="4">
        <f>_xlfn.IFNA(VLOOKUP(Grandview_Inventory[[#This Row],[living_area_range]],Lookups!$F$47:$H$56,3,FALSE),1)</f>
        <v>1</v>
      </c>
      <c r="BX2816" s="4">
        <f>AVERAGE(Grandview_Inventory[[#This Row],[qual_adj]:[size_adj]])</f>
        <v>1</v>
      </c>
      <c r="BY2816" s="6">
        <f>IF(Grandview_Inventory[[#This Row],[pre_res]]&lt;0,0,Grandview_Inventory[[#This Row],[pre_res]]*Grandview_Inventory[[#This Row],[overall_adj]])</f>
        <v>0</v>
      </c>
      <c r="BZ2816" s="6">
        <f>(Grandview_Inventory[[#This Row],[sum_land]]-IF(Grandview_Inventory[[#This Row],[no_utilities]]=1,12000,0))/IF(Grandview_Inventory[[#This Row],[unbuildable]]=1,2,1)</f>
        <v>49167.631333630678</v>
      </c>
      <c r="CA2816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816">
        <f>ROUND(Grandview_Inventory[[#This Row],[det_value]]*Lookups!$M$28,-2)</f>
        <v>0</v>
      </c>
      <c r="CC281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6">
        <f>Grandview_Inventory[[#This Row],[final_det]]+Grandview_Inventory[[#This Row],[final_res]]</f>
        <v>0</v>
      </c>
      <c r="CE2816">
        <f>Grandview_Inventory[[#This Row],[final_land]]+Grandview_Inventory[[#This Row],[final_imp]]+Grandview_Inventory[[#This Row],[crop_value]]</f>
        <v>46700</v>
      </c>
      <c r="CG2816" t="str">
        <f t="shared" si="44"/>
        <v>update valuation set market_land =46700, market_bldg=0, market_total =46700, market_mdno =401, market_date ='9/10/2023' where link_id = (select link_id from parcel where parcel_year = '2024' and parcel_id = '23092621677');</v>
      </c>
    </row>
    <row r="2817" spans="1:85" x14ac:dyDescent="0.25">
      <c r="A2817">
        <v>23092621678</v>
      </c>
      <c r="B2817" t="s">
        <v>129</v>
      </c>
      <c r="C2817">
        <v>8879</v>
      </c>
      <c r="D2817" t="s">
        <v>129</v>
      </c>
      <c r="E2817" t="s">
        <v>53</v>
      </c>
      <c r="F2817" t="s">
        <v>53</v>
      </c>
      <c r="G2817">
        <v>4</v>
      </c>
      <c r="H2817" t="s">
        <v>54</v>
      </c>
      <c r="I2817" t="s">
        <v>129</v>
      </c>
      <c r="J2817">
        <v>32800</v>
      </c>
      <c r="K2817">
        <v>0.2</v>
      </c>
      <c r="L281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817">
        <v>0</v>
      </c>
      <c r="N2817">
        <v>0</v>
      </c>
      <c r="O2817">
        <v>0</v>
      </c>
      <c r="P2817">
        <v>13398.7528</v>
      </c>
      <c r="Q2817">
        <v>63903</v>
      </c>
      <c r="R2817">
        <f>(Grandview_Inventory[[#This Row],[ln_acres]]*Grandview_Inventory[[#This Row],[coeff]])+Grandview_Inventory[[#This Row],[const]]</f>
        <v>42338.539264347448</v>
      </c>
      <c r="AY2817">
        <v>0</v>
      </c>
      <c r="AZ2817">
        <v>0</v>
      </c>
      <c r="BE2817">
        <v>0</v>
      </c>
      <c r="BF2817">
        <v>15000</v>
      </c>
      <c r="BG2817">
        <v>0</v>
      </c>
      <c r="BH2817" s="6">
        <f>Grandview_Inventory[[#This Row],[land_extract]]*Lookups!$B$3</f>
        <v>49167.631333630678</v>
      </c>
      <c r="BI2817" s="6">
        <f>IF(Grandview_Inventory[[#This Row],[bldg_style]]="",0,Lookups!$B$2)</f>
        <v>0</v>
      </c>
      <c r="BJ2817" s="6">
        <f>_xlfn.IFNA(VLOOKUP(Grandview_Inventory[[#This Row],[quality]],Lookups!$H$2:$J$14,3,FALSE),0)</f>
        <v>0</v>
      </c>
      <c r="BK2817" s="6">
        <f>_xlfn.IFNA(VLOOKUP(Grandview_Inventory[[#This Row],[condition]],Lookups!$H$17:$J$24,3,FALSE),0)</f>
        <v>0</v>
      </c>
      <c r="BL2817" s="6">
        <f>Grandview_Inventory[[#This Row],[Eff_Age]]*Lookups!$B$14</f>
        <v>0</v>
      </c>
      <c r="BM2817" s="6">
        <f>Grandview_Inventory[[#This Row],[living_area]]*Lookups!$B$15</f>
        <v>0</v>
      </c>
      <c r="BN2817" s="6">
        <f>Grandview_Inventory[[#This Row],[Fin BSMT]]*Lookups!$B$16</f>
        <v>0</v>
      </c>
      <c r="BO2817" s="6">
        <f>(Grandview_Inventory[[#This Row],[att_gar]]+Grandview_Inventory[[#This Row],[bltin_gar]])*Lookups!$B$17</f>
        <v>0</v>
      </c>
      <c r="BP2817" s="6">
        <f>Grandview_Inventory[[#This Row],[Plumbing Fixtures]]*Lookups!$B$18</f>
        <v>0</v>
      </c>
      <c r="BQ2817" s="6">
        <f>Grandview_Inventory[[#This Row],[detatched_value]]*Lookups!$B$19</f>
        <v>0</v>
      </c>
      <c r="BR2817" s="6">
        <f>SUM(Grandview_Inventory[[#This Row],[Intercept]:[det_value]])*Grandview_Inventory[[#This Row],[res_pct]]</f>
        <v>0</v>
      </c>
      <c r="BS2817" s="6">
        <f>Grandview_Inventory[[#This Row],[land_value]]</f>
        <v>49167.631333630678</v>
      </c>
      <c r="BT2817" s="4">
        <f>_xlfn.IFNA(VLOOKUP(Grandview_Inventory[[#This Row],[quality]],Lookups!$A$26:$C$33,3,FALSE),1)</f>
        <v>1</v>
      </c>
      <c r="BU2817" s="4">
        <f>_xlfn.IFNA(VLOOKUP(Grandview_Inventory[[#This Row],[condition]],Lookups!$A$37:$C$44,3,FALSE),1)</f>
        <v>1</v>
      </c>
      <c r="BV2817" s="4">
        <f>IF(Grandview_Inventory[[#This Row],[bldg_style]]="",1,_xlfn.IFNA(VLOOKUP(Grandview_Inventory[[#This Row],[decade]],Lookups!$F$29:$H$43,3,FALSE),1))</f>
        <v>1</v>
      </c>
      <c r="BW2817" s="4">
        <f>_xlfn.IFNA(VLOOKUP(Grandview_Inventory[[#This Row],[living_area_range]],Lookups!$F$47:$H$56,3,FALSE),1)</f>
        <v>1</v>
      </c>
      <c r="BX2817" s="4">
        <f>AVERAGE(Grandview_Inventory[[#This Row],[qual_adj]:[size_adj]])</f>
        <v>1</v>
      </c>
      <c r="BY2817" s="6">
        <f>IF(Grandview_Inventory[[#This Row],[pre_res]]&lt;0,0,Grandview_Inventory[[#This Row],[pre_res]]*Grandview_Inventory[[#This Row],[overall_adj]])</f>
        <v>0</v>
      </c>
      <c r="BZ2817" s="6">
        <f>(Grandview_Inventory[[#This Row],[sum_land]]-IF(Grandview_Inventory[[#This Row],[no_utilities]]=1,12000,0))/IF(Grandview_Inventory[[#This Row],[unbuildable]]=1,2,1)</f>
        <v>49167.631333630678</v>
      </c>
      <c r="CA281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817">
        <f>ROUND(Grandview_Inventory[[#This Row],[det_value]]*Lookups!$M$28,-2)</f>
        <v>0</v>
      </c>
      <c r="CC281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7">
        <f>Grandview_Inventory[[#This Row],[final_det]]+Grandview_Inventory[[#This Row],[final_res]]</f>
        <v>0</v>
      </c>
      <c r="CE2817">
        <f>Grandview_Inventory[[#This Row],[final_land]]+Grandview_Inventory[[#This Row],[final_imp]]+Grandview_Inventory[[#This Row],[crop_value]]</f>
        <v>46700</v>
      </c>
      <c r="CG2817" t="str">
        <f t="shared" si="44"/>
        <v>update valuation set market_land =46700, market_bldg=0, market_total =46700, market_mdno =401, market_date ='9/10/2023' where link_id = (select link_id from parcel where parcel_year = '2024' and parcel_id = '23092621678');</v>
      </c>
    </row>
    <row r="2818" spans="1:85" x14ac:dyDescent="0.25">
      <c r="A2818">
        <v>23092621679</v>
      </c>
      <c r="B2818" t="s">
        <v>129</v>
      </c>
      <c r="C2818">
        <v>7810</v>
      </c>
      <c r="D2818" t="s">
        <v>129</v>
      </c>
      <c r="E2818" t="s">
        <v>53</v>
      </c>
      <c r="F2818" t="s">
        <v>53</v>
      </c>
      <c r="G2818">
        <v>4</v>
      </c>
      <c r="H2818" t="s">
        <v>54</v>
      </c>
      <c r="I2818" t="s">
        <v>129</v>
      </c>
      <c r="J2818">
        <v>32500</v>
      </c>
      <c r="K2818">
        <v>0.18</v>
      </c>
      <c r="L2818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18">
        <v>0</v>
      </c>
      <c r="N2818">
        <v>0</v>
      </c>
      <c r="O2818">
        <v>0</v>
      </c>
      <c r="P2818">
        <v>13398.7528</v>
      </c>
      <c r="Q2818">
        <v>63903</v>
      </c>
      <c r="R2818">
        <f>(Grandview_Inventory[[#This Row],[ln_acres]]*Grandview_Inventory[[#This Row],[coeff]])+Grandview_Inventory[[#This Row],[const]]</f>
        <v>40926.839760167699</v>
      </c>
      <c r="AY2818">
        <v>0</v>
      </c>
      <c r="AZ2818">
        <v>0</v>
      </c>
      <c r="BE2818">
        <v>0</v>
      </c>
      <c r="BF2818">
        <v>15000</v>
      </c>
      <c r="BG2818">
        <v>0</v>
      </c>
      <c r="BH2818" s="6">
        <f>Grandview_Inventory[[#This Row],[land_extract]]*Lookups!$B$3</f>
        <v>47528.228511015397</v>
      </c>
      <c r="BI2818" s="6">
        <f>IF(Grandview_Inventory[[#This Row],[bldg_style]]="",0,Lookups!$B$2)</f>
        <v>0</v>
      </c>
      <c r="BJ2818" s="6">
        <f>_xlfn.IFNA(VLOOKUP(Grandview_Inventory[[#This Row],[quality]],Lookups!$H$2:$J$14,3,FALSE),0)</f>
        <v>0</v>
      </c>
      <c r="BK2818" s="6">
        <f>_xlfn.IFNA(VLOOKUP(Grandview_Inventory[[#This Row],[condition]],Lookups!$H$17:$J$24,3,FALSE),0)</f>
        <v>0</v>
      </c>
      <c r="BL2818" s="6">
        <f>Grandview_Inventory[[#This Row],[Eff_Age]]*Lookups!$B$14</f>
        <v>0</v>
      </c>
      <c r="BM2818" s="6">
        <f>Grandview_Inventory[[#This Row],[living_area]]*Lookups!$B$15</f>
        <v>0</v>
      </c>
      <c r="BN2818" s="6">
        <f>Grandview_Inventory[[#This Row],[Fin BSMT]]*Lookups!$B$16</f>
        <v>0</v>
      </c>
      <c r="BO2818" s="6">
        <f>(Grandview_Inventory[[#This Row],[att_gar]]+Grandview_Inventory[[#This Row],[bltin_gar]])*Lookups!$B$17</f>
        <v>0</v>
      </c>
      <c r="BP2818" s="6">
        <f>Grandview_Inventory[[#This Row],[Plumbing Fixtures]]*Lookups!$B$18</f>
        <v>0</v>
      </c>
      <c r="BQ2818" s="6">
        <f>Grandview_Inventory[[#This Row],[detatched_value]]*Lookups!$B$19</f>
        <v>0</v>
      </c>
      <c r="BR2818" s="6">
        <f>SUM(Grandview_Inventory[[#This Row],[Intercept]:[det_value]])*Grandview_Inventory[[#This Row],[res_pct]]</f>
        <v>0</v>
      </c>
      <c r="BS2818" s="6">
        <f>Grandview_Inventory[[#This Row],[land_value]]</f>
        <v>47528.228511015397</v>
      </c>
      <c r="BT2818" s="4">
        <f>_xlfn.IFNA(VLOOKUP(Grandview_Inventory[[#This Row],[quality]],Lookups!$A$26:$C$33,3,FALSE),1)</f>
        <v>1</v>
      </c>
      <c r="BU2818" s="4">
        <f>_xlfn.IFNA(VLOOKUP(Grandview_Inventory[[#This Row],[condition]],Lookups!$A$37:$C$44,3,FALSE),1)</f>
        <v>1</v>
      </c>
      <c r="BV2818" s="4">
        <f>IF(Grandview_Inventory[[#This Row],[bldg_style]]="",1,_xlfn.IFNA(VLOOKUP(Grandview_Inventory[[#This Row],[decade]],Lookups!$F$29:$H$43,3,FALSE),1))</f>
        <v>1</v>
      </c>
      <c r="BW2818" s="4">
        <f>_xlfn.IFNA(VLOOKUP(Grandview_Inventory[[#This Row],[living_area_range]],Lookups!$F$47:$H$56,3,FALSE),1)</f>
        <v>1</v>
      </c>
      <c r="BX2818" s="4">
        <f>AVERAGE(Grandview_Inventory[[#This Row],[qual_adj]:[size_adj]])</f>
        <v>1</v>
      </c>
      <c r="BY2818" s="6">
        <f>IF(Grandview_Inventory[[#This Row],[pre_res]]&lt;0,0,Grandview_Inventory[[#This Row],[pre_res]]*Grandview_Inventory[[#This Row],[overall_adj]])</f>
        <v>0</v>
      </c>
      <c r="BZ2818" s="6">
        <f>(Grandview_Inventory[[#This Row],[sum_land]]-IF(Grandview_Inventory[[#This Row],[no_utilities]]=1,12000,0))/IF(Grandview_Inventory[[#This Row],[unbuildable]]=1,2,1)</f>
        <v>47528.228511015397</v>
      </c>
      <c r="CA2818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18">
        <f>ROUND(Grandview_Inventory[[#This Row],[det_value]]*Lookups!$M$28,-2)</f>
        <v>0</v>
      </c>
      <c r="CC281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8">
        <f>Grandview_Inventory[[#This Row],[final_det]]+Grandview_Inventory[[#This Row],[final_res]]</f>
        <v>0</v>
      </c>
      <c r="CE2818">
        <f>Grandview_Inventory[[#This Row],[final_land]]+Grandview_Inventory[[#This Row],[final_imp]]+Grandview_Inventory[[#This Row],[crop_value]]</f>
        <v>45200</v>
      </c>
      <c r="CG2818" t="str">
        <f t="shared" si="44"/>
        <v>update valuation set market_land =45200, market_bldg=0, market_total =45200, market_mdno =401, market_date ='9/10/2023' where link_id = (select link_id from parcel where parcel_year = '2024' and parcel_id = '23092621679');</v>
      </c>
    </row>
    <row r="2819" spans="1:85" x14ac:dyDescent="0.25">
      <c r="A2819">
        <v>23092621680</v>
      </c>
      <c r="B2819" t="s">
        <v>129</v>
      </c>
      <c r="C2819">
        <v>7810</v>
      </c>
      <c r="D2819" t="s">
        <v>129</v>
      </c>
      <c r="E2819" t="s">
        <v>53</v>
      </c>
      <c r="F2819" t="s">
        <v>53</v>
      </c>
      <c r="G2819">
        <v>4</v>
      </c>
      <c r="H2819" t="s">
        <v>54</v>
      </c>
      <c r="I2819" t="s">
        <v>129</v>
      </c>
      <c r="J2819">
        <v>32500</v>
      </c>
      <c r="K2819">
        <v>0.18</v>
      </c>
      <c r="L2819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19">
        <v>0</v>
      </c>
      <c r="N2819">
        <v>0</v>
      </c>
      <c r="O2819">
        <v>0</v>
      </c>
      <c r="P2819">
        <v>13398.7528</v>
      </c>
      <c r="Q2819">
        <v>63903</v>
      </c>
      <c r="R2819">
        <f>(Grandview_Inventory[[#This Row],[ln_acres]]*Grandview_Inventory[[#This Row],[coeff]])+Grandview_Inventory[[#This Row],[const]]</f>
        <v>40926.839760167699</v>
      </c>
      <c r="AY2819">
        <v>0</v>
      </c>
      <c r="AZ2819">
        <v>0</v>
      </c>
      <c r="BE2819">
        <v>0</v>
      </c>
      <c r="BF2819">
        <v>15000</v>
      </c>
      <c r="BG2819">
        <v>0</v>
      </c>
      <c r="BH2819" s="6">
        <f>Grandview_Inventory[[#This Row],[land_extract]]*Lookups!$B$3</f>
        <v>47528.228511015397</v>
      </c>
      <c r="BI2819" s="6">
        <f>IF(Grandview_Inventory[[#This Row],[bldg_style]]="",0,Lookups!$B$2)</f>
        <v>0</v>
      </c>
      <c r="BJ2819" s="6">
        <f>_xlfn.IFNA(VLOOKUP(Grandview_Inventory[[#This Row],[quality]],Lookups!$H$2:$J$14,3,FALSE),0)</f>
        <v>0</v>
      </c>
      <c r="BK2819" s="6">
        <f>_xlfn.IFNA(VLOOKUP(Grandview_Inventory[[#This Row],[condition]],Lookups!$H$17:$J$24,3,FALSE),0)</f>
        <v>0</v>
      </c>
      <c r="BL2819" s="6">
        <f>Grandview_Inventory[[#This Row],[Eff_Age]]*Lookups!$B$14</f>
        <v>0</v>
      </c>
      <c r="BM2819" s="6">
        <f>Grandview_Inventory[[#This Row],[living_area]]*Lookups!$B$15</f>
        <v>0</v>
      </c>
      <c r="BN2819" s="6">
        <f>Grandview_Inventory[[#This Row],[Fin BSMT]]*Lookups!$B$16</f>
        <v>0</v>
      </c>
      <c r="BO2819" s="6">
        <f>(Grandview_Inventory[[#This Row],[att_gar]]+Grandview_Inventory[[#This Row],[bltin_gar]])*Lookups!$B$17</f>
        <v>0</v>
      </c>
      <c r="BP2819" s="6">
        <f>Grandview_Inventory[[#This Row],[Plumbing Fixtures]]*Lookups!$B$18</f>
        <v>0</v>
      </c>
      <c r="BQ2819" s="6">
        <f>Grandview_Inventory[[#This Row],[detatched_value]]*Lookups!$B$19</f>
        <v>0</v>
      </c>
      <c r="BR2819" s="6">
        <f>SUM(Grandview_Inventory[[#This Row],[Intercept]:[det_value]])*Grandview_Inventory[[#This Row],[res_pct]]</f>
        <v>0</v>
      </c>
      <c r="BS2819" s="6">
        <f>Grandview_Inventory[[#This Row],[land_value]]</f>
        <v>47528.228511015397</v>
      </c>
      <c r="BT2819" s="4">
        <f>_xlfn.IFNA(VLOOKUP(Grandview_Inventory[[#This Row],[quality]],Lookups!$A$26:$C$33,3,FALSE),1)</f>
        <v>1</v>
      </c>
      <c r="BU2819" s="4">
        <f>_xlfn.IFNA(VLOOKUP(Grandview_Inventory[[#This Row],[condition]],Lookups!$A$37:$C$44,3,FALSE),1)</f>
        <v>1</v>
      </c>
      <c r="BV2819" s="4">
        <f>IF(Grandview_Inventory[[#This Row],[bldg_style]]="",1,_xlfn.IFNA(VLOOKUP(Grandview_Inventory[[#This Row],[decade]],Lookups!$F$29:$H$43,3,FALSE),1))</f>
        <v>1</v>
      </c>
      <c r="BW2819" s="4">
        <f>_xlfn.IFNA(VLOOKUP(Grandview_Inventory[[#This Row],[living_area_range]],Lookups!$F$47:$H$56,3,FALSE),1)</f>
        <v>1</v>
      </c>
      <c r="BX2819" s="4">
        <f>AVERAGE(Grandview_Inventory[[#This Row],[qual_adj]:[size_adj]])</f>
        <v>1</v>
      </c>
      <c r="BY2819" s="6">
        <f>IF(Grandview_Inventory[[#This Row],[pre_res]]&lt;0,0,Grandview_Inventory[[#This Row],[pre_res]]*Grandview_Inventory[[#This Row],[overall_adj]])</f>
        <v>0</v>
      </c>
      <c r="BZ2819" s="6">
        <f>(Grandview_Inventory[[#This Row],[sum_land]]-IF(Grandview_Inventory[[#This Row],[no_utilities]]=1,12000,0))/IF(Grandview_Inventory[[#This Row],[unbuildable]]=1,2,1)</f>
        <v>47528.228511015397</v>
      </c>
      <c r="CA2819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19">
        <f>ROUND(Grandview_Inventory[[#This Row],[det_value]]*Lookups!$M$28,-2)</f>
        <v>0</v>
      </c>
      <c r="CC281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19">
        <f>Grandview_Inventory[[#This Row],[final_det]]+Grandview_Inventory[[#This Row],[final_res]]</f>
        <v>0</v>
      </c>
      <c r="CE2819">
        <f>Grandview_Inventory[[#This Row],[final_land]]+Grandview_Inventory[[#This Row],[final_imp]]+Grandview_Inventory[[#This Row],[crop_value]]</f>
        <v>45200</v>
      </c>
      <c r="CG2819" t="str">
        <f t="shared" ref="CG2819:CG2872" si="45">"update valuation set market_land ="&amp;CA2819&amp;", market_bldg="&amp;CD2819&amp;", market_total ="&amp;CE2819&amp;", market_mdno ="&amp;$CG$1&amp;", market_date ='"&amp;TEXT($CH$1,"m/d/yyyy")&amp;"' where link_id = (select link_id from parcel where parcel_year = '2024' and parcel_id = '"&amp;A2819&amp;"');"</f>
        <v>update valuation set market_land =45200, market_bldg=0, market_total =45200, market_mdno =401, market_date ='9/10/2023' where link_id = (select link_id from parcel where parcel_year = '2024' and parcel_id = '23092621680');</v>
      </c>
    </row>
    <row r="2820" spans="1:85" x14ac:dyDescent="0.25">
      <c r="A2820">
        <v>23092621681</v>
      </c>
      <c r="B2820" t="s">
        <v>129</v>
      </c>
      <c r="C2820">
        <v>7810</v>
      </c>
      <c r="D2820" t="s">
        <v>129</v>
      </c>
      <c r="E2820" t="s">
        <v>53</v>
      </c>
      <c r="F2820" t="s">
        <v>53</v>
      </c>
      <c r="G2820">
        <v>4</v>
      </c>
      <c r="H2820" t="s">
        <v>54</v>
      </c>
      <c r="I2820" t="s">
        <v>129</v>
      </c>
      <c r="J2820">
        <v>32500</v>
      </c>
      <c r="K2820">
        <v>0.18</v>
      </c>
      <c r="L2820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0">
        <v>0</v>
      </c>
      <c r="N2820">
        <v>0</v>
      </c>
      <c r="O2820">
        <v>0</v>
      </c>
      <c r="P2820">
        <v>13398.7528</v>
      </c>
      <c r="Q2820">
        <v>63903</v>
      </c>
      <c r="R2820">
        <f>(Grandview_Inventory[[#This Row],[ln_acres]]*Grandview_Inventory[[#This Row],[coeff]])+Grandview_Inventory[[#This Row],[const]]</f>
        <v>40926.839760167699</v>
      </c>
      <c r="AY2820">
        <v>0</v>
      </c>
      <c r="AZ2820">
        <v>0</v>
      </c>
      <c r="BE2820">
        <v>0</v>
      </c>
      <c r="BF2820">
        <v>15000</v>
      </c>
      <c r="BG2820">
        <v>0</v>
      </c>
      <c r="BH2820" s="6">
        <f>Grandview_Inventory[[#This Row],[land_extract]]*Lookups!$B$3</f>
        <v>47528.228511015397</v>
      </c>
      <c r="BI2820" s="6">
        <f>IF(Grandview_Inventory[[#This Row],[bldg_style]]="",0,Lookups!$B$2)</f>
        <v>0</v>
      </c>
      <c r="BJ2820" s="6">
        <f>_xlfn.IFNA(VLOOKUP(Grandview_Inventory[[#This Row],[quality]],Lookups!$H$2:$J$14,3,FALSE),0)</f>
        <v>0</v>
      </c>
      <c r="BK2820" s="6">
        <f>_xlfn.IFNA(VLOOKUP(Grandview_Inventory[[#This Row],[condition]],Lookups!$H$17:$J$24,3,FALSE),0)</f>
        <v>0</v>
      </c>
      <c r="BL2820" s="6">
        <f>Grandview_Inventory[[#This Row],[Eff_Age]]*Lookups!$B$14</f>
        <v>0</v>
      </c>
      <c r="BM2820" s="6">
        <f>Grandview_Inventory[[#This Row],[living_area]]*Lookups!$B$15</f>
        <v>0</v>
      </c>
      <c r="BN2820" s="6">
        <f>Grandview_Inventory[[#This Row],[Fin BSMT]]*Lookups!$B$16</f>
        <v>0</v>
      </c>
      <c r="BO2820" s="6">
        <f>(Grandview_Inventory[[#This Row],[att_gar]]+Grandview_Inventory[[#This Row],[bltin_gar]])*Lookups!$B$17</f>
        <v>0</v>
      </c>
      <c r="BP2820" s="6">
        <f>Grandview_Inventory[[#This Row],[Plumbing Fixtures]]*Lookups!$B$18</f>
        <v>0</v>
      </c>
      <c r="BQ2820" s="6">
        <f>Grandview_Inventory[[#This Row],[detatched_value]]*Lookups!$B$19</f>
        <v>0</v>
      </c>
      <c r="BR2820" s="6">
        <f>SUM(Grandview_Inventory[[#This Row],[Intercept]:[det_value]])*Grandview_Inventory[[#This Row],[res_pct]]</f>
        <v>0</v>
      </c>
      <c r="BS2820" s="6">
        <f>Grandview_Inventory[[#This Row],[land_value]]</f>
        <v>47528.228511015397</v>
      </c>
      <c r="BT2820" s="4">
        <f>_xlfn.IFNA(VLOOKUP(Grandview_Inventory[[#This Row],[quality]],Lookups!$A$26:$C$33,3,FALSE),1)</f>
        <v>1</v>
      </c>
      <c r="BU2820" s="4">
        <f>_xlfn.IFNA(VLOOKUP(Grandview_Inventory[[#This Row],[condition]],Lookups!$A$37:$C$44,3,FALSE),1)</f>
        <v>1</v>
      </c>
      <c r="BV2820" s="4">
        <f>IF(Grandview_Inventory[[#This Row],[bldg_style]]="",1,_xlfn.IFNA(VLOOKUP(Grandview_Inventory[[#This Row],[decade]],Lookups!$F$29:$H$43,3,FALSE),1))</f>
        <v>1</v>
      </c>
      <c r="BW2820" s="4">
        <f>_xlfn.IFNA(VLOOKUP(Grandview_Inventory[[#This Row],[living_area_range]],Lookups!$F$47:$H$56,3,FALSE),1)</f>
        <v>1</v>
      </c>
      <c r="BX2820" s="4">
        <f>AVERAGE(Grandview_Inventory[[#This Row],[qual_adj]:[size_adj]])</f>
        <v>1</v>
      </c>
      <c r="BY2820" s="6">
        <f>IF(Grandview_Inventory[[#This Row],[pre_res]]&lt;0,0,Grandview_Inventory[[#This Row],[pre_res]]*Grandview_Inventory[[#This Row],[overall_adj]])</f>
        <v>0</v>
      </c>
      <c r="BZ2820" s="6">
        <f>(Grandview_Inventory[[#This Row],[sum_land]]-IF(Grandview_Inventory[[#This Row],[no_utilities]]=1,12000,0))/IF(Grandview_Inventory[[#This Row],[unbuildable]]=1,2,1)</f>
        <v>47528.228511015397</v>
      </c>
      <c r="CA2820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0">
        <f>ROUND(Grandview_Inventory[[#This Row],[det_value]]*Lookups!$M$28,-2)</f>
        <v>0</v>
      </c>
      <c r="CC282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0">
        <f>Grandview_Inventory[[#This Row],[final_det]]+Grandview_Inventory[[#This Row],[final_res]]</f>
        <v>0</v>
      </c>
      <c r="CE2820">
        <f>Grandview_Inventory[[#This Row],[final_land]]+Grandview_Inventory[[#This Row],[final_imp]]+Grandview_Inventory[[#This Row],[crop_value]]</f>
        <v>45200</v>
      </c>
      <c r="CG2820" t="str">
        <f t="shared" ref="CG2820" si="46">"update valuation set market_land ="&amp;CA2820&amp;", market_bldg="&amp;CD2820&amp;", market_total ="&amp;CE2820&amp;", market_mdno ="&amp;$CG$1&amp;", market_date ='"&amp;TEXT($CH$1,"m/d/yyyy")&amp;"' where link_id = (select link_id from parcel where parcel_year = '2024' and parcel_id = '"&amp;A2820&amp;"');"</f>
        <v>update valuation set market_land =45200, market_bldg=0, market_total =45200, market_mdno =401, market_date ='9/10/2023' where link_id = (select link_id from parcel where parcel_year = '2024' and parcel_id = '23092621681');</v>
      </c>
    </row>
    <row r="2821" spans="1:85" x14ac:dyDescent="0.25">
      <c r="A2821">
        <v>23092621682</v>
      </c>
      <c r="B2821" t="s">
        <v>129</v>
      </c>
      <c r="C2821">
        <v>7810</v>
      </c>
      <c r="D2821" t="s">
        <v>129</v>
      </c>
      <c r="E2821" t="s">
        <v>53</v>
      </c>
      <c r="F2821" t="s">
        <v>53</v>
      </c>
      <c r="G2821">
        <v>4</v>
      </c>
      <c r="H2821" t="s">
        <v>54</v>
      </c>
      <c r="I2821" t="s">
        <v>129</v>
      </c>
      <c r="J2821">
        <v>32500</v>
      </c>
      <c r="K2821">
        <v>0.18</v>
      </c>
      <c r="L282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1">
        <v>0</v>
      </c>
      <c r="N2821">
        <v>0</v>
      </c>
      <c r="O2821">
        <v>0</v>
      </c>
      <c r="P2821">
        <v>13398.7528</v>
      </c>
      <c r="Q2821">
        <v>63903</v>
      </c>
      <c r="R2821">
        <f>(Grandview_Inventory[[#This Row],[ln_acres]]*Grandview_Inventory[[#This Row],[coeff]])+Grandview_Inventory[[#This Row],[const]]</f>
        <v>40926.839760167699</v>
      </c>
      <c r="AY2821">
        <v>0</v>
      </c>
      <c r="AZ2821">
        <v>0</v>
      </c>
      <c r="BE2821">
        <v>0</v>
      </c>
      <c r="BF2821">
        <v>15000</v>
      </c>
      <c r="BG2821">
        <v>0</v>
      </c>
      <c r="BH2821" s="6">
        <f>Grandview_Inventory[[#This Row],[land_extract]]*Lookups!$B$3</f>
        <v>47528.228511015397</v>
      </c>
      <c r="BI2821" s="6">
        <f>IF(Grandview_Inventory[[#This Row],[bldg_style]]="",0,Lookups!$B$2)</f>
        <v>0</v>
      </c>
      <c r="BJ2821" s="6">
        <f>_xlfn.IFNA(VLOOKUP(Grandview_Inventory[[#This Row],[quality]],Lookups!$H$2:$J$14,3,FALSE),0)</f>
        <v>0</v>
      </c>
      <c r="BK2821" s="6">
        <f>_xlfn.IFNA(VLOOKUP(Grandview_Inventory[[#This Row],[condition]],Lookups!$H$17:$J$24,3,FALSE),0)</f>
        <v>0</v>
      </c>
      <c r="BL2821" s="6">
        <f>Grandview_Inventory[[#This Row],[Eff_Age]]*Lookups!$B$14</f>
        <v>0</v>
      </c>
      <c r="BM2821" s="6">
        <f>Grandview_Inventory[[#This Row],[living_area]]*Lookups!$B$15</f>
        <v>0</v>
      </c>
      <c r="BN2821" s="6">
        <f>Grandview_Inventory[[#This Row],[Fin BSMT]]*Lookups!$B$16</f>
        <v>0</v>
      </c>
      <c r="BO2821" s="6">
        <f>(Grandview_Inventory[[#This Row],[att_gar]]+Grandview_Inventory[[#This Row],[bltin_gar]])*Lookups!$B$17</f>
        <v>0</v>
      </c>
      <c r="BP2821" s="6">
        <f>Grandview_Inventory[[#This Row],[Plumbing Fixtures]]*Lookups!$B$18</f>
        <v>0</v>
      </c>
      <c r="BQ2821" s="6">
        <f>Grandview_Inventory[[#This Row],[detatched_value]]*Lookups!$B$19</f>
        <v>0</v>
      </c>
      <c r="BR2821" s="6">
        <f>SUM(Grandview_Inventory[[#This Row],[Intercept]:[det_value]])*Grandview_Inventory[[#This Row],[res_pct]]</f>
        <v>0</v>
      </c>
      <c r="BS2821" s="6">
        <f>Grandview_Inventory[[#This Row],[land_value]]</f>
        <v>47528.228511015397</v>
      </c>
      <c r="BT2821" s="4">
        <f>_xlfn.IFNA(VLOOKUP(Grandview_Inventory[[#This Row],[quality]],Lookups!$A$26:$C$33,3,FALSE),1)</f>
        <v>1</v>
      </c>
      <c r="BU2821" s="4">
        <f>_xlfn.IFNA(VLOOKUP(Grandview_Inventory[[#This Row],[condition]],Lookups!$A$37:$C$44,3,FALSE),1)</f>
        <v>1</v>
      </c>
      <c r="BV2821" s="4">
        <f>IF(Grandview_Inventory[[#This Row],[bldg_style]]="",1,_xlfn.IFNA(VLOOKUP(Grandview_Inventory[[#This Row],[decade]],Lookups!$F$29:$H$43,3,FALSE),1))</f>
        <v>1</v>
      </c>
      <c r="BW2821" s="4">
        <f>_xlfn.IFNA(VLOOKUP(Grandview_Inventory[[#This Row],[living_area_range]],Lookups!$F$47:$H$56,3,FALSE),1)</f>
        <v>1</v>
      </c>
      <c r="BX2821" s="4">
        <f>AVERAGE(Grandview_Inventory[[#This Row],[qual_adj]:[size_adj]])</f>
        <v>1</v>
      </c>
      <c r="BY2821" s="6">
        <f>IF(Grandview_Inventory[[#This Row],[pre_res]]&lt;0,0,Grandview_Inventory[[#This Row],[pre_res]]*Grandview_Inventory[[#This Row],[overall_adj]])</f>
        <v>0</v>
      </c>
      <c r="BZ2821" s="6">
        <f>(Grandview_Inventory[[#This Row],[sum_land]]-IF(Grandview_Inventory[[#This Row],[no_utilities]]=1,12000,0))/IF(Grandview_Inventory[[#This Row],[unbuildable]]=1,2,1)</f>
        <v>47528.228511015397</v>
      </c>
      <c r="CA282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1">
        <f>ROUND(Grandview_Inventory[[#This Row],[det_value]]*Lookups!$M$28,-2)</f>
        <v>0</v>
      </c>
      <c r="CC282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1">
        <f>Grandview_Inventory[[#This Row],[final_det]]+Grandview_Inventory[[#This Row],[final_res]]</f>
        <v>0</v>
      </c>
      <c r="CE2821">
        <f>Grandview_Inventory[[#This Row],[final_land]]+Grandview_Inventory[[#This Row],[final_imp]]+Grandview_Inventory[[#This Row],[crop_value]]</f>
        <v>45200</v>
      </c>
      <c r="CG2821" t="str">
        <f t="shared" si="45"/>
        <v>update valuation set market_land =45200, market_bldg=0, market_total =45200, market_mdno =401, market_date ='9/10/2023' where link_id = (select link_id from parcel where parcel_year = '2024' and parcel_id = '23092621682');</v>
      </c>
    </row>
    <row r="2822" spans="1:85" x14ac:dyDescent="0.25">
      <c r="A2822">
        <v>23092621683</v>
      </c>
      <c r="B2822" t="s">
        <v>129</v>
      </c>
      <c r="C2822">
        <v>7810</v>
      </c>
      <c r="D2822" t="s">
        <v>129</v>
      </c>
      <c r="E2822" t="s">
        <v>53</v>
      </c>
      <c r="F2822" t="s">
        <v>53</v>
      </c>
      <c r="G2822">
        <v>4</v>
      </c>
      <c r="H2822" t="s">
        <v>54</v>
      </c>
      <c r="I2822" t="s">
        <v>129</v>
      </c>
      <c r="J2822">
        <v>32500</v>
      </c>
      <c r="K2822">
        <v>0.18</v>
      </c>
      <c r="L2822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2">
        <v>0</v>
      </c>
      <c r="N2822">
        <v>0</v>
      </c>
      <c r="O2822">
        <v>0</v>
      </c>
      <c r="P2822">
        <v>13398.7528</v>
      </c>
      <c r="Q2822">
        <v>63903</v>
      </c>
      <c r="R2822">
        <f>(Grandview_Inventory[[#This Row],[ln_acres]]*Grandview_Inventory[[#This Row],[coeff]])+Grandview_Inventory[[#This Row],[const]]</f>
        <v>40926.839760167699</v>
      </c>
      <c r="AY2822">
        <v>0</v>
      </c>
      <c r="AZ2822">
        <v>0</v>
      </c>
      <c r="BE2822">
        <v>0</v>
      </c>
      <c r="BF2822">
        <v>15000</v>
      </c>
      <c r="BG2822">
        <v>0</v>
      </c>
      <c r="BH2822" s="6">
        <f>Grandview_Inventory[[#This Row],[land_extract]]*Lookups!$B$3</f>
        <v>47528.228511015397</v>
      </c>
      <c r="BI2822" s="6">
        <f>IF(Grandview_Inventory[[#This Row],[bldg_style]]="",0,Lookups!$B$2)</f>
        <v>0</v>
      </c>
      <c r="BJ2822" s="6">
        <f>_xlfn.IFNA(VLOOKUP(Grandview_Inventory[[#This Row],[quality]],Lookups!$H$2:$J$14,3,FALSE),0)</f>
        <v>0</v>
      </c>
      <c r="BK2822" s="6">
        <f>_xlfn.IFNA(VLOOKUP(Grandview_Inventory[[#This Row],[condition]],Lookups!$H$17:$J$24,3,FALSE),0)</f>
        <v>0</v>
      </c>
      <c r="BL2822" s="6">
        <f>Grandview_Inventory[[#This Row],[Eff_Age]]*Lookups!$B$14</f>
        <v>0</v>
      </c>
      <c r="BM2822" s="6">
        <f>Grandview_Inventory[[#This Row],[living_area]]*Lookups!$B$15</f>
        <v>0</v>
      </c>
      <c r="BN2822" s="6">
        <f>Grandview_Inventory[[#This Row],[Fin BSMT]]*Lookups!$B$16</f>
        <v>0</v>
      </c>
      <c r="BO2822" s="6">
        <f>(Grandview_Inventory[[#This Row],[att_gar]]+Grandview_Inventory[[#This Row],[bltin_gar]])*Lookups!$B$17</f>
        <v>0</v>
      </c>
      <c r="BP2822" s="6">
        <f>Grandview_Inventory[[#This Row],[Plumbing Fixtures]]*Lookups!$B$18</f>
        <v>0</v>
      </c>
      <c r="BQ2822" s="6">
        <f>Grandview_Inventory[[#This Row],[detatched_value]]*Lookups!$B$19</f>
        <v>0</v>
      </c>
      <c r="BR2822" s="6">
        <f>SUM(Grandview_Inventory[[#This Row],[Intercept]:[det_value]])*Grandview_Inventory[[#This Row],[res_pct]]</f>
        <v>0</v>
      </c>
      <c r="BS2822" s="6">
        <f>Grandview_Inventory[[#This Row],[land_value]]</f>
        <v>47528.228511015397</v>
      </c>
      <c r="BT2822" s="4">
        <f>_xlfn.IFNA(VLOOKUP(Grandview_Inventory[[#This Row],[quality]],Lookups!$A$26:$C$33,3,FALSE),1)</f>
        <v>1</v>
      </c>
      <c r="BU2822" s="4">
        <f>_xlfn.IFNA(VLOOKUP(Grandview_Inventory[[#This Row],[condition]],Lookups!$A$37:$C$44,3,FALSE),1)</f>
        <v>1</v>
      </c>
      <c r="BV2822" s="4">
        <f>IF(Grandview_Inventory[[#This Row],[bldg_style]]="",1,_xlfn.IFNA(VLOOKUP(Grandview_Inventory[[#This Row],[decade]],Lookups!$F$29:$H$43,3,FALSE),1))</f>
        <v>1</v>
      </c>
      <c r="BW2822" s="4">
        <f>_xlfn.IFNA(VLOOKUP(Grandview_Inventory[[#This Row],[living_area_range]],Lookups!$F$47:$H$56,3,FALSE),1)</f>
        <v>1</v>
      </c>
      <c r="BX2822" s="4">
        <f>AVERAGE(Grandview_Inventory[[#This Row],[qual_adj]:[size_adj]])</f>
        <v>1</v>
      </c>
      <c r="BY2822" s="6">
        <f>IF(Grandview_Inventory[[#This Row],[pre_res]]&lt;0,0,Grandview_Inventory[[#This Row],[pre_res]]*Grandview_Inventory[[#This Row],[overall_adj]])</f>
        <v>0</v>
      </c>
      <c r="BZ2822" s="6">
        <f>(Grandview_Inventory[[#This Row],[sum_land]]-IF(Grandview_Inventory[[#This Row],[no_utilities]]=1,12000,0))/IF(Grandview_Inventory[[#This Row],[unbuildable]]=1,2,1)</f>
        <v>47528.228511015397</v>
      </c>
      <c r="CA2822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2">
        <f>ROUND(Grandview_Inventory[[#This Row],[det_value]]*Lookups!$M$28,-2)</f>
        <v>0</v>
      </c>
      <c r="CC282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2">
        <f>Grandview_Inventory[[#This Row],[final_det]]+Grandview_Inventory[[#This Row],[final_res]]</f>
        <v>0</v>
      </c>
      <c r="CE2822">
        <f>Grandview_Inventory[[#This Row],[final_land]]+Grandview_Inventory[[#This Row],[final_imp]]+Grandview_Inventory[[#This Row],[crop_value]]</f>
        <v>45200</v>
      </c>
      <c r="CG2822" t="str">
        <f t="shared" si="45"/>
        <v>update valuation set market_land =45200, market_bldg=0, market_total =45200, market_mdno =401, market_date ='9/10/2023' where link_id = (select link_id from parcel where parcel_year = '2024' and parcel_id = '23092621683');</v>
      </c>
    </row>
    <row r="2823" spans="1:85" x14ac:dyDescent="0.25">
      <c r="A2823">
        <v>23092621684</v>
      </c>
      <c r="B2823" t="s">
        <v>129</v>
      </c>
      <c r="C2823">
        <v>7810</v>
      </c>
      <c r="D2823" t="s">
        <v>129</v>
      </c>
      <c r="E2823" t="s">
        <v>53</v>
      </c>
      <c r="F2823" t="s">
        <v>53</v>
      </c>
      <c r="G2823">
        <v>4</v>
      </c>
      <c r="H2823" t="s">
        <v>54</v>
      </c>
      <c r="I2823" t="s">
        <v>129</v>
      </c>
      <c r="J2823">
        <v>32500</v>
      </c>
      <c r="K2823">
        <v>0.18</v>
      </c>
      <c r="L2823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3">
        <v>0</v>
      </c>
      <c r="N2823">
        <v>0</v>
      </c>
      <c r="O2823">
        <v>0</v>
      </c>
      <c r="P2823">
        <v>13398.7528</v>
      </c>
      <c r="Q2823">
        <v>63903</v>
      </c>
      <c r="R2823">
        <f>(Grandview_Inventory[[#This Row],[ln_acres]]*Grandview_Inventory[[#This Row],[coeff]])+Grandview_Inventory[[#This Row],[const]]</f>
        <v>40926.839760167699</v>
      </c>
      <c r="AY2823">
        <v>0</v>
      </c>
      <c r="AZ2823">
        <v>0</v>
      </c>
      <c r="BE2823">
        <v>0</v>
      </c>
      <c r="BF2823">
        <v>15000</v>
      </c>
      <c r="BG2823">
        <v>0</v>
      </c>
      <c r="BH2823" s="6">
        <f>Grandview_Inventory[[#This Row],[land_extract]]*Lookups!$B$3</f>
        <v>47528.228511015397</v>
      </c>
      <c r="BI2823" s="6">
        <f>IF(Grandview_Inventory[[#This Row],[bldg_style]]="",0,Lookups!$B$2)</f>
        <v>0</v>
      </c>
      <c r="BJ2823" s="6">
        <f>_xlfn.IFNA(VLOOKUP(Grandview_Inventory[[#This Row],[quality]],Lookups!$H$2:$J$14,3,FALSE),0)</f>
        <v>0</v>
      </c>
      <c r="BK2823" s="6">
        <f>_xlfn.IFNA(VLOOKUP(Grandview_Inventory[[#This Row],[condition]],Lookups!$H$17:$J$24,3,FALSE),0)</f>
        <v>0</v>
      </c>
      <c r="BL2823" s="6">
        <f>Grandview_Inventory[[#This Row],[Eff_Age]]*Lookups!$B$14</f>
        <v>0</v>
      </c>
      <c r="BM2823" s="6">
        <f>Grandview_Inventory[[#This Row],[living_area]]*Lookups!$B$15</f>
        <v>0</v>
      </c>
      <c r="BN2823" s="6">
        <f>Grandview_Inventory[[#This Row],[Fin BSMT]]*Lookups!$B$16</f>
        <v>0</v>
      </c>
      <c r="BO2823" s="6">
        <f>(Grandview_Inventory[[#This Row],[att_gar]]+Grandview_Inventory[[#This Row],[bltin_gar]])*Lookups!$B$17</f>
        <v>0</v>
      </c>
      <c r="BP2823" s="6">
        <f>Grandview_Inventory[[#This Row],[Plumbing Fixtures]]*Lookups!$B$18</f>
        <v>0</v>
      </c>
      <c r="BQ2823" s="6">
        <f>Grandview_Inventory[[#This Row],[detatched_value]]*Lookups!$B$19</f>
        <v>0</v>
      </c>
      <c r="BR2823" s="6">
        <f>SUM(Grandview_Inventory[[#This Row],[Intercept]:[det_value]])*Grandview_Inventory[[#This Row],[res_pct]]</f>
        <v>0</v>
      </c>
      <c r="BS2823" s="6">
        <f>Grandview_Inventory[[#This Row],[land_value]]</f>
        <v>47528.228511015397</v>
      </c>
      <c r="BT2823" s="4">
        <f>_xlfn.IFNA(VLOOKUP(Grandview_Inventory[[#This Row],[quality]],Lookups!$A$26:$C$33,3,FALSE),1)</f>
        <v>1</v>
      </c>
      <c r="BU2823" s="4">
        <f>_xlfn.IFNA(VLOOKUP(Grandview_Inventory[[#This Row],[condition]],Lookups!$A$37:$C$44,3,FALSE),1)</f>
        <v>1</v>
      </c>
      <c r="BV2823" s="4">
        <f>IF(Grandview_Inventory[[#This Row],[bldg_style]]="",1,_xlfn.IFNA(VLOOKUP(Grandview_Inventory[[#This Row],[decade]],Lookups!$F$29:$H$43,3,FALSE),1))</f>
        <v>1</v>
      </c>
      <c r="BW2823" s="4">
        <f>_xlfn.IFNA(VLOOKUP(Grandview_Inventory[[#This Row],[living_area_range]],Lookups!$F$47:$H$56,3,FALSE),1)</f>
        <v>1</v>
      </c>
      <c r="BX2823" s="4">
        <f>AVERAGE(Grandview_Inventory[[#This Row],[qual_adj]:[size_adj]])</f>
        <v>1</v>
      </c>
      <c r="BY2823" s="6">
        <f>IF(Grandview_Inventory[[#This Row],[pre_res]]&lt;0,0,Grandview_Inventory[[#This Row],[pre_res]]*Grandview_Inventory[[#This Row],[overall_adj]])</f>
        <v>0</v>
      </c>
      <c r="BZ2823" s="6">
        <f>(Grandview_Inventory[[#This Row],[sum_land]]-IF(Grandview_Inventory[[#This Row],[no_utilities]]=1,12000,0))/IF(Grandview_Inventory[[#This Row],[unbuildable]]=1,2,1)</f>
        <v>47528.228511015397</v>
      </c>
      <c r="CA2823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3">
        <f>ROUND(Grandview_Inventory[[#This Row],[det_value]]*Lookups!$M$28,-2)</f>
        <v>0</v>
      </c>
      <c r="CC282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3">
        <f>Grandview_Inventory[[#This Row],[final_det]]+Grandview_Inventory[[#This Row],[final_res]]</f>
        <v>0</v>
      </c>
      <c r="CE2823">
        <f>Grandview_Inventory[[#This Row],[final_land]]+Grandview_Inventory[[#This Row],[final_imp]]+Grandview_Inventory[[#This Row],[crop_value]]</f>
        <v>45200</v>
      </c>
      <c r="CG2823" t="str">
        <f t="shared" si="45"/>
        <v>update valuation set market_land =45200, market_bldg=0, market_total =45200, market_mdno =401, market_date ='9/10/2023' where link_id = (select link_id from parcel where parcel_year = '2024' and parcel_id = '23092621684');</v>
      </c>
    </row>
    <row r="2824" spans="1:85" x14ac:dyDescent="0.25">
      <c r="A2824">
        <v>23092621685</v>
      </c>
      <c r="B2824" t="s">
        <v>129</v>
      </c>
      <c r="C2824">
        <v>7810</v>
      </c>
      <c r="D2824" t="s">
        <v>129</v>
      </c>
      <c r="E2824" t="s">
        <v>53</v>
      </c>
      <c r="F2824" t="s">
        <v>53</v>
      </c>
      <c r="G2824">
        <v>4</v>
      </c>
      <c r="H2824" t="s">
        <v>54</v>
      </c>
      <c r="I2824" t="s">
        <v>129</v>
      </c>
      <c r="J2824">
        <v>32500</v>
      </c>
      <c r="K2824">
        <v>0.18</v>
      </c>
      <c r="L2824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4">
        <v>0</v>
      </c>
      <c r="N2824">
        <v>0</v>
      </c>
      <c r="O2824">
        <v>0</v>
      </c>
      <c r="P2824">
        <v>13398.7528</v>
      </c>
      <c r="Q2824">
        <v>63903</v>
      </c>
      <c r="R2824">
        <f>(Grandview_Inventory[[#This Row],[ln_acres]]*Grandview_Inventory[[#This Row],[coeff]])+Grandview_Inventory[[#This Row],[const]]</f>
        <v>40926.839760167699</v>
      </c>
      <c r="AY2824">
        <v>0</v>
      </c>
      <c r="AZ2824">
        <v>0</v>
      </c>
      <c r="BE2824">
        <v>0</v>
      </c>
      <c r="BF2824">
        <v>15000</v>
      </c>
      <c r="BG2824">
        <v>0</v>
      </c>
      <c r="BH2824" s="6">
        <f>Grandview_Inventory[[#This Row],[land_extract]]*Lookups!$B$3</f>
        <v>47528.228511015397</v>
      </c>
      <c r="BI2824" s="6">
        <f>IF(Grandview_Inventory[[#This Row],[bldg_style]]="",0,Lookups!$B$2)</f>
        <v>0</v>
      </c>
      <c r="BJ2824" s="6">
        <f>_xlfn.IFNA(VLOOKUP(Grandview_Inventory[[#This Row],[quality]],Lookups!$H$2:$J$14,3,FALSE),0)</f>
        <v>0</v>
      </c>
      <c r="BK2824" s="6">
        <f>_xlfn.IFNA(VLOOKUP(Grandview_Inventory[[#This Row],[condition]],Lookups!$H$17:$J$24,3,FALSE),0)</f>
        <v>0</v>
      </c>
      <c r="BL2824" s="6">
        <f>Grandview_Inventory[[#This Row],[Eff_Age]]*Lookups!$B$14</f>
        <v>0</v>
      </c>
      <c r="BM2824" s="6">
        <f>Grandview_Inventory[[#This Row],[living_area]]*Lookups!$B$15</f>
        <v>0</v>
      </c>
      <c r="BN2824" s="6">
        <f>Grandview_Inventory[[#This Row],[Fin BSMT]]*Lookups!$B$16</f>
        <v>0</v>
      </c>
      <c r="BO2824" s="6">
        <f>(Grandview_Inventory[[#This Row],[att_gar]]+Grandview_Inventory[[#This Row],[bltin_gar]])*Lookups!$B$17</f>
        <v>0</v>
      </c>
      <c r="BP2824" s="6">
        <f>Grandview_Inventory[[#This Row],[Plumbing Fixtures]]*Lookups!$B$18</f>
        <v>0</v>
      </c>
      <c r="BQ2824" s="6">
        <f>Grandview_Inventory[[#This Row],[detatched_value]]*Lookups!$B$19</f>
        <v>0</v>
      </c>
      <c r="BR2824" s="6">
        <f>SUM(Grandview_Inventory[[#This Row],[Intercept]:[det_value]])*Grandview_Inventory[[#This Row],[res_pct]]</f>
        <v>0</v>
      </c>
      <c r="BS2824" s="6">
        <f>Grandview_Inventory[[#This Row],[land_value]]</f>
        <v>47528.228511015397</v>
      </c>
      <c r="BT2824" s="4">
        <f>_xlfn.IFNA(VLOOKUP(Grandview_Inventory[[#This Row],[quality]],Lookups!$A$26:$C$33,3,FALSE),1)</f>
        <v>1</v>
      </c>
      <c r="BU2824" s="4">
        <f>_xlfn.IFNA(VLOOKUP(Grandview_Inventory[[#This Row],[condition]],Lookups!$A$37:$C$44,3,FALSE),1)</f>
        <v>1</v>
      </c>
      <c r="BV2824" s="4">
        <f>IF(Grandview_Inventory[[#This Row],[bldg_style]]="",1,_xlfn.IFNA(VLOOKUP(Grandview_Inventory[[#This Row],[decade]],Lookups!$F$29:$H$43,3,FALSE),1))</f>
        <v>1</v>
      </c>
      <c r="BW2824" s="4">
        <f>_xlfn.IFNA(VLOOKUP(Grandview_Inventory[[#This Row],[living_area_range]],Lookups!$F$47:$H$56,3,FALSE),1)</f>
        <v>1</v>
      </c>
      <c r="BX2824" s="4">
        <f>AVERAGE(Grandview_Inventory[[#This Row],[qual_adj]:[size_adj]])</f>
        <v>1</v>
      </c>
      <c r="BY2824" s="6">
        <f>IF(Grandview_Inventory[[#This Row],[pre_res]]&lt;0,0,Grandview_Inventory[[#This Row],[pre_res]]*Grandview_Inventory[[#This Row],[overall_adj]])</f>
        <v>0</v>
      </c>
      <c r="BZ2824" s="6">
        <f>(Grandview_Inventory[[#This Row],[sum_land]]-IF(Grandview_Inventory[[#This Row],[no_utilities]]=1,12000,0))/IF(Grandview_Inventory[[#This Row],[unbuildable]]=1,2,1)</f>
        <v>47528.228511015397</v>
      </c>
      <c r="CA2824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4">
        <f>ROUND(Grandview_Inventory[[#This Row],[det_value]]*Lookups!$M$28,-2)</f>
        <v>0</v>
      </c>
      <c r="CC282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4">
        <f>Grandview_Inventory[[#This Row],[final_det]]+Grandview_Inventory[[#This Row],[final_res]]</f>
        <v>0</v>
      </c>
      <c r="CE2824">
        <f>Grandview_Inventory[[#This Row],[final_land]]+Grandview_Inventory[[#This Row],[final_imp]]+Grandview_Inventory[[#This Row],[crop_value]]</f>
        <v>45200</v>
      </c>
      <c r="CG2824" t="str">
        <f t="shared" si="45"/>
        <v>update valuation set market_land =45200, market_bldg=0, market_total =45200, market_mdno =401, market_date ='9/10/2023' where link_id = (select link_id from parcel where parcel_year = '2024' and parcel_id = '23092621685');</v>
      </c>
    </row>
    <row r="2825" spans="1:85" x14ac:dyDescent="0.25">
      <c r="A2825">
        <v>23092621686</v>
      </c>
      <c r="B2825" t="s">
        <v>129</v>
      </c>
      <c r="C2825">
        <v>7810</v>
      </c>
      <c r="D2825" t="s">
        <v>129</v>
      </c>
      <c r="E2825" t="s">
        <v>53</v>
      </c>
      <c r="F2825" t="s">
        <v>53</v>
      </c>
      <c r="G2825">
        <v>4</v>
      </c>
      <c r="H2825" t="s">
        <v>54</v>
      </c>
      <c r="I2825" t="s">
        <v>129</v>
      </c>
      <c r="J2825">
        <v>32500</v>
      </c>
      <c r="K2825">
        <v>0.18</v>
      </c>
      <c r="L2825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5">
        <v>0</v>
      </c>
      <c r="N2825">
        <v>0</v>
      </c>
      <c r="O2825">
        <v>0</v>
      </c>
      <c r="P2825">
        <v>13398.7528</v>
      </c>
      <c r="Q2825">
        <v>63903</v>
      </c>
      <c r="R2825">
        <f>(Grandview_Inventory[[#This Row],[ln_acres]]*Grandview_Inventory[[#This Row],[coeff]])+Grandview_Inventory[[#This Row],[const]]</f>
        <v>40926.839760167699</v>
      </c>
      <c r="AY2825">
        <v>0</v>
      </c>
      <c r="AZ2825">
        <v>0</v>
      </c>
      <c r="BE2825">
        <v>0</v>
      </c>
      <c r="BF2825">
        <v>15000</v>
      </c>
      <c r="BG2825">
        <v>0</v>
      </c>
      <c r="BH2825" s="6">
        <f>Grandview_Inventory[[#This Row],[land_extract]]*Lookups!$B$3</f>
        <v>47528.228511015397</v>
      </c>
      <c r="BI2825" s="6">
        <f>IF(Grandview_Inventory[[#This Row],[bldg_style]]="",0,Lookups!$B$2)</f>
        <v>0</v>
      </c>
      <c r="BJ2825" s="6">
        <f>_xlfn.IFNA(VLOOKUP(Grandview_Inventory[[#This Row],[quality]],Lookups!$H$2:$J$14,3,FALSE),0)</f>
        <v>0</v>
      </c>
      <c r="BK2825" s="6">
        <f>_xlfn.IFNA(VLOOKUP(Grandview_Inventory[[#This Row],[condition]],Lookups!$H$17:$J$24,3,FALSE),0)</f>
        <v>0</v>
      </c>
      <c r="BL2825" s="6">
        <f>Grandview_Inventory[[#This Row],[Eff_Age]]*Lookups!$B$14</f>
        <v>0</v>
      </c>
      <c r="BM2825" s="6">
        <f>Grandview_Inventory[[#This Row],[living_area]]*Lookups!$B$15</f>
        <v>0</v>
      </c>
      <c r="BN2825" s="6">
        <f>Grandview_Inventory[[#This Row],[Fin BSMT]]*Lookups!$B$16</f>
        <v>0</v>
      </c>
      <c r="BO2825" s="6">
        <f>(Grandview_Inventory[[#This Row],[att_gar]]+Grandview_Inventory[[#This Row],[bltin_gar]])*Lookups!$B$17</f>
        <v>0</v>
      </c>
      <c r="BP2825" s="6">
        <f>Grandview_Inventory[[#This Row],[Plumbing Fixtures]]*Lookups!$B$18</f>
        <v>0</v>
      </c>
      <c r="BQ2825" s="6">
        <f>Grandview_Inventory[[#This Row],[detatched_value]]*Lookups!$B$19</f>
        <v>0</v>
      </c>
      <c r="BR2825" s="6">
        <f>SUM(Grandview_Inventory[[#This Row],[Intercept]:[det_value]])*Grandview_Inventory[[#This Row],[res_pct]]</f>
        <v>0</v>
      </c>
      <c r="BS2825" s="6">
        <f>Grandview_Inventory[[#This Row],[land_value]]</f>
        <v>47528.228511015397</v>
      </c>
      <c r="BT2825" s="4">
        <f>_xlfn.IFNA(VLOOKUP(Grandview_Inventory[[#This Row],[quality]],Lookups!$A$26:$C$33,3,FALSE),1)</f>
        <v>1</v>
      </c>
      <c r="BU2825" s="4">
        <f>_xlfn.IFNA(VLOOKUP(Grandview_Inventory[[#This Row],[condition]],Lookups!$A$37:$C$44,3,FALSE),1)</f>
        <v>1</v>
      </c>
      <c r="BV2825" s="4">
        <f>IF(Grandview_Inventory[[#This Row],[bldg_style]]="",1,_xlfn.IFNA(VLOOKUP(Grandview_Inventory[[#This Row],[decade]],Lookups!$F$29:$H$43,3,FALSE),1))</f>
        <v>1</v>
      </c>
      <c r="BW2825" s="4">
        <f>_xlfn.IFNA(VLOOKUP(Grandview_Inventory[[#This Row],[living_area_range]],Lookups!$F$47:$H$56,3,FALSE),1)</f>
        <v>1</v>
      </c>
      <c r="BX2825" s="4">
        <f>AVERAGE(Grandview_Inventory[[#This Row],[qual_adj]:[size_adj]])</f>
        <v>1</v>
      </c>
      <c r="BY2825" s="6">
        <f>IF(Grandview_Inventory[[#This Row],[pre_res]]&lt;0,0,Grandview_Inventory[[#This Row],[pre_res]]*Grandview_Inventory[[#This Row],[overall_adj]])</f>
        <v>0</v>
      </c>
      <c r="BZ2825" s="6">
        <f>(Grandview_Inventory[[#This Row],[sum_land]]-IF(Grandview_Inventory[[#This Row],[no_utilities]]=1,12000,0))/IF(Grandview_Inventory[[#This Row],[unbuildable]]=1,2,1)</f>
        <v>47528.228511015397</v>
      </c>
      <c r="CA2825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5">
        <f>ROUND(Grandview_Inventory[[#This Row],[det_value]]*Lookups!$M$28,-2)</f>
        <v>0</v>
      </c>
      <c r="CC282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5">
        <f>Grandview_Inventory[[#This Row],[final_det]]+Grandview_Inventory[[#This Row],[final_res]]</f>
        <v>0</v>
      </c>
      <c r="CE2825">
        <f>Grandview_Inventory[[#This Row],[final_land]]+Grandview_Inventory[[#This Row],[final_imp]]+Grandview_Inventory[[#This Row],[crop_value]]</f>
        <v>45200</v>
      </c>
      <c r="CG2825" t="str">
        <f t="shared" si="45"/>
        <v>update valuation set market_land =45200, market_bldg=0, market_total =45200, market_mdno =401, market_date ='9/10/2023' where link_id = (select link_id from parcel where parcel_year = '2024' and parcel_id = '23092621686');</v>
      </c>
    </row>
    <row r="2826" spans="1:85" x14ac:dyDescent="0.25">
      <c r="A2826">
        <v>23092621687</v>
      </c>
      <c r="B2826" t="s">
        <v>129</v>
      </c>
      <c r="C2826">
        <v>7810</v>
      </c>
      <c r="D2826" t="s">
        <v>129</v>
      </c>
      <c r="E2826" t="s">
        <v>53</v>
      </c>
      <c r="F2826" t="s">
        <v>53</v>
      </c>
      <c r="G2826">
        <v>4</v>
      </c>
      <c r="H2826" t="s">
        <v>54</v>
      </c>
      <c r="I2826" t="s">
        <v>129</v>
      </c>
      <c r="J2826">
        <v>32500</v>
      </c>
      <c r="K2826">
        <v>0.18</v>
      </c>
      <c r="L2826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26">
        <v>0</v>
      </c>
      <c r="N2826">
        <v>0</v>
      </c>
      <c r="O2826">
        <v>0</v>
      </c>
      <c r="P2826">
        <v>13398.7528</v>
      </c>
      <c r="Q2826">
        <v>63903</v>
      </c>
      <c r="R2826">
        <f>(Grandview_Inventory[[#This Row],[ln_acres]]*Grandview_Inventory[[#This Row],[coeff]])+Grandview_Inventory[[#This Row],[const]]</f>
        <v>40926.839760167699</v>
      </c>
      <c r="AY2826">
        <v>0</v>
      </c>
      <c r="AZ2826">
        <v>0</v>
      </c>
      <c r="BE2826">
        <v>0</v>
      </c>
      <c r="BF2826">
        <v>15000</v>
      </c>
      <c r="BG2826">
        <v>0</v>
      </c>
      <c r="BH2826" s="6">
        <f>Grandview_Inventory[[#This Row],[land_extract]]*Lookups!$B$3</f>
        <v>47528.228511015397</v>
      </c>
      <c r="BI2826" s="6">
        <f>IF(Grandview_Inventory[[#This Row],[bldg_style]]="",0,Lookups!$B$2)</f>
        <v>0</v>
      </c>
      <c r="BJ2826" s="6">
        <f>_xlfn.IFNA(VLOOKUP(Grandview_Inventory[[#This Row],[quality]],Lookups!$H$2:$J$14,3,FALSE),0)</f>
        <v>0</v>
      </c>
      <c r="BK2826" s="6">
        <f>_xlfn.IFNA(VLOOKUP(Grandview_Inventory[[#This Row],[condition]],Lookups!$H$17:$J$24,3,FALSE),0)</f>
        <v>0</v>
      </c>
      <c r="BL2826" s="6">
        <f>Grandview_Inventory[[#This Row],[Eff_Age]]*Lookups!$B$14</f>
        <v>0</v>
      </c>
      <c r="BM2826" s="6">
        <f>Grandview_Inventory[[#This Row],[living_area]]*Lookups!$B$15</f>
        <v>0</v>
      </c>
      <c r="BN2826" s="6">
        <f>Grandview_Inventory[[#This Row],[Fin BSMT]]*Lookups!$B$16</f>
        <v>0</v>
      </c>
      <c r="BO2826" s="6">
        <f>(Grandview_Inventory[[#This Row],[att_gar]]+Grandview_Inventory[[#This Row],[bltin_gar]])*Lookups!$B$17</f>
        <v>0</v>
      </c>
      <c r="BP2826" s="6">
        <f>Grandview_Inventory[[#This Row],[Plumbing Fixtures]]*Lookups!$B$18</f>
        <v>0</v>
      </c>
      <c r="BQ2826" s="6">
        <f>Grandview_Inventory[[#This Row],[detatched_value]]*Lookups!$B$19</f>
        <v>0</v>
      </c>
      <c r="BR2826" s="6">
        <f>SUM(Grandview_Inventory[[#This Row],[Intercept]:[det_value]])*Grandview_Inventory[[#This Row],[res_pct]]</f>
        <v>0</v>
      </c>
      <c r="BS2826" s="6">
        <f>Grandview_Inventory[[#This Row],[land_value]]</f>
        <v>47528.228511015397</v>
      </c>
      <c r="BT2826" s="4">
        <f>_xlfn.IFNA(VLOOKUP(Grandview_Inventory[[#This Row],[quality]],Lookups!$A$26:$C$33,3,FALSE),1)</f>
        <v>1</v>
      </c>
      <c r="BU2826" s="4">
        <f>_xlfn.IFNA(VLOOKUP(Grandview_Inventory[[#This Row],[condition]],Lookups!$A$37:$C$44,3,FALSE),1)</f>
        <v>1</v>
      </c>
      <c r="BV2826" s="4">
        <f>IF(Grandview_Inventory[[#This Row],[bldg_style]]="",1,_xlfn.IFNA(VLOOKUP(Grandview_Inventory[[#This Row],[decade]],Lookups!$F$29:$H$43,3,FALSE),1))</f>
        <v>1</v>
      </c>
      <c r="BW2826" s="4">
        <f>_xlfn.IFNA(VLOOKUP(Grandview_Inventory[[#This Row],[living_area_range]],Lookups!$F$47:$H$56,3,FALSE),1)</f>
        <v>1</v>
      </c>
      <c r="BX2826" s="4">
        <f>AVERAGE(Grandview_Inventory[[#This Row],[qual_adj]:[size_adj]])</f>
        <v>1</v>
      </c>
      <c r="BY2826" s="6">
        <f>IF(Grandview_Inventory[[#This Row],[pre_res]]&lt;0,0,Grandview_Inventory[[#This Row],[pre_res]]*Grandview_Inventory[[#This Row],[overall_adj]])</f>
        <v>0</v>
      </c>
      <c r="BZ2826" s="6">
        <f>(Grandview_Inventory[[#This Row],[sum_land]]-IF(Grandview_Inventory[[#This Row],[no_utilities]]=1,12000,0))/IF(Grandview_Inventory[[#This Row],[unbuildable]]=1,2,1)</f>
        <v>47528.228511015397</v>
      </c>
      <c r="CA2826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26">
        <f>ROUND(Grandview_Inventory[[#This Row],[det_value]]*Lookups!$M$28,-2)</f>
        <v>0</v>
      </c>
      <c r="CC282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6">
        <f>Grandview_Inventory[[#This Row],[final_det]]+Grandview_Inventory[[#This Row],[final_res]]</f>
        <v>0</v>
      </c>
      <c r="CE2826">
        <f>Grandview_Inventory[[#This Row],[final_land]]+Grandview_Inventory[[#This Row],[final_imp]]+Grandview_Inventory[[#This Row],[crop_value]]</f>
        <v>45200</v>
      </c>
      <c r="CG2826" t="str">
        <f t="shared" si="45"/>
        <v>update valuation set market_land =45200, market_bldg=0, market_total =45200, market_mdno =401, market_date ='9/10/2023' where link_id = (select link_id from parcel where parcel_year = '2024' and parcel_id = '23092621687');</v>
      </c>
    </row>
    <row r="2827" spans="1:85" x14ac:dyDescent="0.25">
      <c r="A2827">
        <v>23092621688</v>
      </c>
      <c r="B2827" t="s">
        <v>129</v>
      </c>
      <c r="C2827">
        <v>8879</v>
      </c>
      <c r="D2827" t="s">
        <v>129</v>
      </c>
      <c r="E2827" t="s">
        <v>53</v>
      </c>
      <c r="F2827" t="s">
        <v>53</v>
      </c>
      <c r="G2827">
        <v>4</v>
      </c>
      <c r="H2827" t="s">
        <v>54</v>
      </c>
      <c r="I2827" t="s">
        <v>129</v>
      </c>
      <c r="J2827">
        <v>32800</v>
      </c>
      <c r="K2827">
        <v>0.2</v>
      </c>
      <c r="L2827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827">
        <v>0</v>
      </c>
      <c r="N2827">
        <v>0</v>
      </c>
      <c r="O2827">
        <v>0</v>
      </c>
      <c r="P2827">
        <v>13398.7528</v>
      </c>
      <c r="Q2827">
        <v>63903</v>
      </c>
      <c r="R2827">
        <f>(Grandview_Inventory[[#This Row],[ln_acres]]*Grandview_Inventory[[#This Row],[coeff]])+Grandview_Inventory[[#This Row],[const]]</f>
        <v>42338.539264347448</v>
      </c>
      <c r="AY2827">
        <v>0</v>
      </c>
      <c r="AZ2827">
        <v>0</v>
      </c>
      <c r="BE2827">
        <v>0</v>
      </c>
      <c r="BF2827">
        <v>15000</v>
      </c>
      <c r="BG2827">
        <v>0</v>
      </c>
      <c r="BH2827" s="6">
        <f>Grandview_Inventory[[#This Row],[land_extract]]*Lookups!$B$3</f>
        <v>49167.631333630678</v>
      </c>
      <c r="BI2827" s="6">
        <f>IF(Grandview_Inventory[[#This Row],[bldg_style]]="",0,Lookups!$B$2)</f>
        <v>0</v>
      </c>
      <c r="BJ2827" s="6">
        <f>_xlfn.IFNA(VLOOKUP(Grandview_Inventory[[#This Row],[quality]],Lookups!$H$2:$J$14,3,FALSE),0)</f>
        <v>0</v>
      </c>
      <c r="BK2827" s="6">
        <f>_xlfn.IFNA(VLOOKUP(Grandview_Inventory[[#This Row],[condition]],Lookups!$H$17:$J$24,3,FALSE),0)</f>
        <v>0</v>
      </c>
      <c r="BL2827" s="6">
        <f>Grandview_Inventory[[#This Row],[Eff_Age]]*Lookups!$B$14</f>
        <v>0</v>
      </c>
      <c r="BM2827" s="6">
        <f>Grandview_Inventory[[#This Row],[living_area]]*Lookups!$B$15</f>
        <v>0</v>
      </c>
      <c r="BN2827" s="6">
        <f>Grandview_Inventory[[#This Row],[Fin BSMT]]*Lookups!$B$16</f>
        <v>0</v>
      </c>
      <c r="BO2827" s="6">
        <f>(Grandview_Inventory[[#This Row],[att_gar]]+Grandview_Inventory[[#This Row],[bltin_gar]])*Lookups!$B$17</f>
        <v>0</v>
      </c>
      <c r="BP2827" s="6">
        <f>Grandview_Inventory[[#This Row],[Plumbing Fixtures]]*Lookups!$B$18</f>
        <v>0</v>
      </c>
      <c r="BQ2827" s="6">
        <f>Grandview_Inventory[[#This Row],[detatched_value]]*Lookups!$B$19</f>
        <v>0</v>
      </c>
      <c r="BR2827" s="6">
        <f>SUM(Grandview_Inventory[[#This Row],[Intercept]:[det_value]])*Grandview_Inventory[[#This Row],[res_pct]]</f>
        <v>0</v>
      </c>
      <c r="BS2827" s="6">
        <f>Grandview_Inventory[[#This Row],[land_value]]</f>
        <v>49167.631333630678</v>
      </c>
      <c r="BT2827" s="4">
        <f>_xlfn.IFNA(VLOOKUP(Grandview_Inventory[[#This Row],[quality]],Lookups!$A$26:$C$33,3,FALSE),1)</f>
        <v>1</v>
      </c>
      <c r="BU2827" s="4">
        <f>_xlfn.IFNA(VLOOKUP(Grandview_Inventory[[#This Row],[condition]],Lookups!$A$37:$C$44,3,FALSE),1)</f>
        <v>1</v>
      </c>
      <c r="BV2827" s="4">
        <f>IF(Grandview_Inventory[[#This Row],[bldg_style]]="",1,_xlfn.IFNA(VLOOKUP(Grandview_Inventory[[#This Row],[decade]],Lookups!$F$29:$H$43,3,FALSE),1))</f>
        <v>1</v>
      </c>
      <c r="BW2827" s="4">
        <f>_xlfn.IFNA(VLOOKUP(Grandview_Inventory[[#This Row],[living_area_range]],Lookups!$F$47:$H$56,3,FALSE),1)</f>
        <v>1</v>
      </c>
      <c r="BX2827" s="4">
        <f>AVERAGE(Grandview_Inventory[[#This Row],[qual_adj]:[size_adj]])</f>
        <v>1</v>
      </c>
      <c r="BY2827" s="6">
        <f>IF(Grandview_Inventory[[#This Row],[pre_res]]&lt;0,0,Grandview_Inventory[[#This Row],[pre_res]]*Grandview_Inventory[[#This Row],[overall_adj]])</f>
        <v>0</v>
      </c>
      <c r="BZ2827" s="6">
        <f>(Grandview_Inventory[[#This Row],[sum_land]]-IF(Grandview_Inventory[[#This Row],[no_utilities]]=1,12000,0))/IF(Grandview_Inventory[[#This Row],[unbuildable]]=1,2,1)</f>
        <v>49167.631333630678</v>
      </c>
      <c r="CA2827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827">
        <f>ROUND(Grandview_Inventory[[#This Row],[det_value]]*Lookups!$M$28,-2)</f>
        <v>0</v>
      </c>
      <c r="CC282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7">
        <f>Grandview_Inventory[[#This Row],[final_det]]+Grandview_Inventory[[#This Row],[final_res]]</f>
        <v>0</v>
      </c>
      <c r="CE2827">
        <f>Grandview_Inventory[[#This Row],[final_land]]+Grandview_Inventory[[#This Row],[final_imp]]+Grandview_Inventory[[#This Row],[crop_value]]</f>
        <v>46700</v>
      </c>
      <c r="CG2827" t="str">
        <f t="shared" si="45"/>
        <v>update valuation set market_land =46700, market_bldg=0, market_total =46700, market_mdno =401, market_date ='9/10/2023' where link_id = (select link_id from parcel where parcel_year = '2024' and parcel_id = '23092621688');</v>
      </c>
    </row>
    <row r="2828" spans="1:85" x14ac:dyDescent="0.25">
      <c r="A2828">
        <v>23092621689</v>
      </c>
      <c r="B2828" t="s">
        <v>129</v>
      </c>
      <c r="C2828">
        <v>9028</v>
      </c>
      <c r="D2828" t="s">
        <v>129</v>
      </c>
      <c r="E2828" t="s">
        <v>53</v>
      </c>
      <c r="F2828" t="s">
        <v>53</v>
      </c>
      <c r="G2828">
        <v>4</v>
      </c>
      <c r="H2828" t="s">
        <v>54</v>
      </c>
      <c r="I2828" t="s">
        <v>129</v>
      </c>
      <c r="J2828">
        <v>32800</v>
      </c>
      <c r="K2828">
        <v>0.21</v>
      </c>
      <c r="L2828">
        <f>IF(Grandview_Inventory[[#This Row],[parcel_acres]]-Grandview_Inventory[[#This Row],[non_valued_acres]] =0,0,LN(Grandview_Inventory[[#This Row],[parcel_acres]]-Grandview_Inventory[[#This Row],[non_valued_acres]]))</f>
        <v>-1.5606477482646683</v>
      </c>
      <c r="M2828">
        <v>0</v>
      </c>
      <c r="N2828">
        <v>0</v>
      </c>
      <c r="O2828">
        <v>0</v>
      </c>
      <c r="P2828">
        <v>13398.7528</v>
      </c>
      <c r="Q2828">
        <v>63903</v>
      </c>
      <c r="R2828">
        <f>(Grandview_Inventory[[#This Row],[ln_acres]]*Grandview_Inventory[[#This Row],[coeff]])+Grandview_Inventory[[#This Row],[const]]</f>
        <v>42992.266613125081</v>
      </c>
      <c r="AY2828">
        <v>0</v>
      </c>
      <c r="AZ2828">
        <v>0</v>
      </c>
      <c r="BE2828">
        <v>0</v>
      </c>
      <c r="BF2828">
        <v>15000</v>
      </c>
      <c r="BG2828">
        <v>0</v>
      </c>
      <c r="BH2828" s="6">
        <f>Grandview_Inventory[[#This Row],[land_extract]]*Lookups!$B$3</f>
        <v>49926.8031387023</v>
      </c>
      <c r="BI2828" s="6">
        <f>IF(Grandview_Inventory[[#This Row],[bldg_style]]="",0,Lookups!$B$2)</f>
        <v>0</v>
      </c>
      <c r="BJ2828" s="6">
        <f>_xlfn.IFNA(VLOOKUP(Grandview_Inventory[[#This Row],[quality]],Lookups!$H$2:$J$14,3,FALSE),0)</f>
        <v>0</v>
      </c>
      <c r="BK2828" s="6">
        <f>_xlfn.IFNA(VLOOKUP(Grandview_Inventory[[#This Row],[condition]],Lookups!$H$17:$J$24,3,FALSE),0)</f>
        <v>0</v>
      </c>
      <c r="BL2828" s="6">
        <f>Grandview_Inventory[[#This Row],[Eff_Age]]*Lookups!$B$14</f>
        <v>0</v>
      </c>
      <c r="BM2828" s="6">
        <f>Grandview_Inventory[[#This Row],[living_area]]*Lookups!$B$15</f>
        <v>0</v>
      </c>
      <c r="BN2828" s="6">
        <f>Grandview_Inventory[[#This Row],[Fin BSMT]]*Lookups!$B$16</f>
        <v>0</v>
      </c>
      <c r="BO2828" s="6">
        <f>(Grandview_Inventory[[#This Row],[att_gar]]+Grandview_Inventory[[#This Row],[bltin_gar]])*Lookups!$B$17</f>
        <v>0</v>
      </c>
      <c r="BP2828" s="6">
        <f>Grandview_Inventory[[#This Row],[Plumbing Fixtures]]*Lookups!$B$18</f>
        <v>0</v>
      </c>
      <c r="BQ2828" s="6">
        <f>Grandview_Inventory[[#This Row],[detatched_value]]*Lookups!$B$19</f>
        <v>0</v>
      </c>
      <c r="BR2828" s="6">
        <f>SUM(Grandview_Inventory[[#This Row],[Intercept]:[det_value]])*Grandview_Inventory[[#This Row],[res_pct]]</f>
        <v>0</v>
      </c>
      <c r="BS2828" s="6">
        <f>Grandview_Inventory[[#This Row],[land_value]]</f>
        <v>49926.8031387023</v>
      </c>
      <c r="BT2828" s="4">
        <f>_xlfn.IFNA(VLOOKUP(Grandview_Inventory[[#This Row],[quality]],Lookups!$A$26:$C$33,3,FALSE),1)</f>
        <v>1</v>
      </c>
      <c r="BU2828" s="4">
        <f>_xlfn.IFNA(VLOOKUP(Grandview_Inventory[[#This Row],[condition]],Lookups!$A$37:$C$44,3,FALSE),1)</f>
        <v>1</v>
      </c>
      <c r="BV2828" s="4">
        <f>IF(Grandview_Inventory[[#This Row],[bldg_style]]="",1,_xlfn.IFNA(VLOOKUP(Grandview_Inventory[[#This Row],[decade]],Lookups!$F$29:$H$43,3,FALSE),1))</f>
        <v>1</v>
      </c>
      <c r="BW2828" s="4">
        <f>_xlfn.IFNA(VLOOKUP(Grandview_Inventory[[#This Row],[living_area_range]],Lookups!$F$47:$H$56,3,FALSE),1)</f>
        <v>1</v>
      </c>
      <c r="BX2828" s="4">
        <f>AVERAGE(Grandview_Inventory[[#This Row],[qual_adj]:[size_adj]])</f>
        <v>1</v>
      </c>
      <c r="BY2828" s="6">
        <f>IF(Grandview_Inventory[[#This Row],[pre_res]]&lt;0,0,Grandview_Inventory[[#This Row],[pre_res]]*Grandview_Inventory[[#This Row],[overall_adj]])</f>
        <v>0</v>
      </c>
      <c r="BZ2828" s="6">
        <f>(Grandview_Inventory[[#This Row],[sum_land]]-IF(Grandview_Inventory[[#This Row],[no_utilities]]=1,12000,0))/IF(Grandview_Inventory[[#This Row],[unbuildable]]=1,2,1)</f>
        <v>49926.8031387023</v>
      </c>
      <c r="CA2828">
        <f>IF(ROUND(Grandview_Inventory[[#This Row],[adj_land]]*Lookups!$M$28,-2)&lt;Grandview_Inventory[[#This Row],[min_land]],Grandview_Inventory[[#This Row],[min_land]],ROUND(Grandview_Inventory[[#This Row],[adj_land]]*Lookups!$M$28,-2))</f>
        <v>47400</v>
      </c>
      <c r="CB2828">
        <f>ROUND(Grandview_Inventory[[#This Row],[det_value]]*Lookups!$M$28,-2)</f>
        <v>0</v>
      </c>
      <c r="CC282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8">
        <f>Grandview_Inventory[[#This Row],[final_det]]+Grandview_Inventory[[#This Row],[final_res]]</f>
        <v>0</v>
      </c>
      <c r="CE2828">
        <f>Grandview_Inventory[[#This Row],[final_land]]+Grandview_Inventory[[#This Row],[final_imp]]+Grandview_Inventory[[#This Row],[crop_value]]</f>
        <v>47400</v>
      </c>
      <c r="CG2828" t="str">
        <f t="shared" si="45"/>
        <v>update valuation set market_land =47400, market_bldg=0, market_total =47400, market_mdno =401, market_date ='9/10/2023' where link_id = (select link_id from parcel where parcel_year = '2024' and parcel_id = '23092621689');</v>
      </c>
    </row>
    <row r="2829" spans="1:85" x14ac:dyDescent="0.25">
      <c r="A2829">
        <v>23092621690</v>
      </c>
      <c r="B2829" t="s">
        <v>129</v>
      </c>
      <c r="C2829">
        <v>8280</v>
      </c>
      <c r="D2829" t="s">
        <v>129</v>
      </c>
      <c r="E2829" t="s">
        <v>53</v>
      </c>
      <c r="F2829" t="s">
        <v>53</v>
      </c>
      <c r="G2829">
        <v>4</v>
      </c>
      <c r="H2829" t="s">
        <v>54</v>
      </c>
      <c r="I2829" t="s">
        <v>129</v>
      </c>
      <c r="J2829">
        <v>32700</v>
      </c>
      <c r="K2829">
        <v>0.19</v>
      </c>
      <c r="L282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29">
        <v>0</v>
      </c>
      <c r="N2829">
        <v>0</v>
      </c>
      <c r="O2829">
        <v>0</v>
      </c>
      <c r="P2829">
        <v>13398.7528</v>
      </c>
      <c r="Q2829">
        <v>63903</v>
      </c>
      <c r="R2829">
        <f>(Grandview_Inventory[[#This Row],[ln_acres]]*Grandview_Inventory[[#This Row],[coeff]])+Grandview_Inventory[[#This Row],[const]]</f>
        <v>41651.273092551026</v>
      </c>
      <c r="AY2829">
        <v>0</v>
      </c>
      <c r="AZ2829">
        <v>0</v>
      </c>
      <c r="BE2829">
        <v>0</v>
      </c>
      <c r="BF2829">
        <v>15000</v>
      </c>
      <c r="BG2829">
        <v>0</v>
      </c>
      <c r="BH2829" s="6">
        <f>Grandview_Inventory[[#This Row],[land_extract]]*Lookups!$B$3</f>
        <v>48369.510983942157</v>
      </c>
      <c r="BI2829" s="6">
        <f>IF(Grandview_Inventory[[#This Row],[bldg_style]]="",0,Lookups!$B$2)</f>
        <v>0</v>
      </c>
      <c r="BJ2829" s="6">
        <f>_xlfn.IFNA(VLOOKUP(Grandview_Inventory[[#This Row],[quality]],Lookups!$H$2:$J$14,3,FALSE),0)</f>
        <v>0</v>
      </c>
      <c r="BK2829" s="6">
        <f>_xlfn.IFNA(VLOOKUP(Grandview_Inventory[[#This Row],[condition]],Lookups!$H$17:$J$24,3,FALSE),0)</f>
        <v>0</v>
      </c>
      <c r="BL2829" s="6">
        <f>Grandview_Inventory[[#This Row],[Eff_Age]]*Lookups!$B$14</f>
        <v>0</v>
      </c>
      <c r="BM2829" s="6">
        <f>Grandview_Inventory[[#This Row],[living_area]]*Lookups!$B$15</f>
        <v>0</v>
      </c>
      <c r="BN2829" s="6">
        <f>Grandview_Inventory[[#This Row],[Fin BSMT]]*Lookups!$B$16</f>
        <v>0</v>
      </c>
      <c r="BO2829" s="6">
        <f>(Grandview_Inventory[[#This Row],[att_gar]]+Grandview_Inventory[[#This Row],[bltin_gar]])*Lookups!$B$17</f>
        <v>0</v>
      </c>
      <c r="BP2829" s="6">
        <f>Grandview_Inventory[[#This Row],[Plumbing Fixtures]]*Lookups!$B$18</f>
        <v>0</v>
      </c>
      <c r="BQ2829" s="6">
        <f>Grandview_Inventory[[#This Row],[detatched_value]]*Lookups!$B$19</f>
        <v>0</v>
      </c>
      <c r="BR2829" s="6">
        <f>SUM(Grandview_Inventory[[#This Row],[Intercept]:[det_value]])*Grandview_Inventory[[#This Row],[res_pct]]</f>
        <v>0</v>
      </c>
      <c r="BS2829" s="6">
        <f>Grandview_Inventory[[#This Row],[land_value]]</f>
        <v>48369.510983942157</v>
      </c>
      <c r="BT2829" s="4">
        <f>_xlfn.IFNA(VLOOKUP(Grandview_Inventory[[#This Row],[quality]],Lookups!$A$26:$C$33,3,FALSE),1)</f>
        <v>1</v>
      </c>
      <c r="BU2829" s="4">
        <f>_xlfn.IFNA(VLOOKUP(Grandview_Inventory[[#This Row],[condition]],Lookups!$A$37:$C$44,3,FALSE),1)</f>
        <v>1</v>
      </c>
      <c r="BV2829" s="4">
        <f>IF(Grandview_Inventory[[#This Row],[bldg_style]]="",1,_xlfn.IFNA(VLOOKUP(Grandview_Inventory[[#This Row],[decade]],Lookups!$F$29:$H$43,3,FALSE),1))</f>
        <v>1</v>
      </c>
      <c r="BW2829" s="4">
        <f>_xlfn.IFNA(VLOOKUP(Grandview_Inventory[[#This Row],[living_area_range]],Lookups!$F$47:$H$56,3,FALSE),1)</f>
        <v>1</v>
      </c>
      <c r="BX2829" s="4">
        <f>AVERAGE(Grandview_Inventory[[#This Row],[qual_adj]:[size_adj]])</f>
        <v>1</v>
      </c>
      <c r="BY2829" s="6">
        <f>IF(Grandview_Inventory[[#This Row],[pre_res]]&lt;0,0,Grandview_Inventory[[#This Row],[pre_res]]*Grandview_Inventory[[#This Row],[overall_adj]])</f>
        <v>0</v>
      </c>
      <c r="BZ2829" s="6">
        <f>(Grandview_Inventory[[#This Row],[sum_land]]-IF(Grandview_Inventory[[#This Row],[no_utilities]]=1,12000,0))/IF(Grandview_Inventory[[#This Row],[unbuildable]]=1,2,1)</f>
        <v>48369.510983942157</v>
      </c>
      <c r="CA282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29">
        <f>ROUND(Grandview_Inventory[[#This Row],[det_value]]*Lookups!$M$28,-2)</f>
        <v>0</v>
      </c>
      <c r="CC282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29">
        <f>Grandview_Inventory[[#This Row],[final_det]]+Grandview_Inventory[[#This Row],[final_res]]</f>
        <v>0</v>
      </c>
      <c r="CE2829">
        <f>Grandview_Inventory[[#This Row],[final_land]]+Grandview_Inventory[[#This Row],[final_imp]]+Grandview_Inventory[[#This Row],[crop_value]]</f>
        <v>46000</v>
      </c>
      <c r="CG2829" t="str">
        <f t="shared" si="45"/>
        <v>update valuation set market_land =46000, market_bldg=0, market_total =46000, market_mdno =401, market_date ='9/10/2023' where link_id = (select link_id from parcel where parcel_year = '2024' and parcel_id = '23092621690');</v>
      </c>
    </row>
    <row r="2830" spans="1:85" x14ac:dyDescent="0.25">
      <c r="A2830">
        <v>23092622010</v>
      </c>
      <c r="B2830">
        <v>5.8</v>
      </c>
      <c r="C2830">
        <v>252684</v>
      </c>
      <c r="D2830" t="s">
        <v>129</v>
      </c>
      <c r="E2830" t="s">
        <v>53</v>
      </c>
      <c r="F2830" t="s">
        <v>53</v>
      </c>
      <c r="G2830">
        <v>4</v>
      </c>
      <c r="H2830" t="s">
        <v>54</v>
      </c>
      <c r="I2830">
        <v>13800</v>
      </c>
      <c r="J2830">
        <v>174000</v>
      </c>
      <c r="K2830">
        <v>5.8</v>
      </c>
      <c r="L2830">
        <f>IF(Grandview_Inventory[[#This Row],[parcel_acres]]-Grandview_Inventory[[#This Row],[non_valued_acres]] =0,0,LN(Grandview_Inventory[[#This Row],[parcel_acres]]-Grandview_Inventory[[#This Row],[non_valued_acres]]))</f>
        <v>1.7578579175523736</v>
      </c>
      <c r="M2830">
        <v>0</v>
      </c>
      <c r="N2830">
        <v>0</v>
      </c>
      <c r="O2830">
        <v>0</v>
      </c>
      <c r="P2830">
        <v>13398.7528</v>
      </c>
      <c r="Q2830">
        <v>63903</v>
      </c>
      <c r="R2830">
        <f>(Grandview_Inventory[[#This Row],[ln_acres]]*Grandview_Inventory[[#This Row],[coeff]])+Grandview_Inventory[[#This Row],[const]]</f>
        <v>87456.10369480704</v>
      </c>
      <c r="AY2830">
        <v>13800</v>
      </c>
      <c r="AZ2830">
        <v>0</v>
      </c>
      <c r="BE2830">
        <v>0</v>
      </c>
      <c r="BF2830">
        <v>15000</v>
      </c>
      <c r="BG2830">
        <v>0</v>
      </c>
      <c r="BH2830" s="6">
        <f>Grandview_Inventory[[#This Row],[land_extract]]*Lookups!$B$3</f>
        <v>101562.53708929944</v>
      </c>
      <c r="BI2830" s="6">
        <f>IF(Grandview_Inventory[[#This Row],[bldg_style]]="",0,Lookups!$B$2)</f>
        <v>0</v>
      </c>
      <c r="BJ2830" s="6">
        <f>_xlfn.IFNA(VLOOKUP(Grandview_Inventory[[#This Row],[quality]],Lookups!$H$2:$J$14,3,FALSE),0)</f>
        <v>0</v>
      </c>
      <c r="BK2830" s="6">
        <f>_xlfn.IFNA(VLOOKUP(Grandview_Inventory[[#This Row],[condition]],Lookups!$H$17:$J$24,3,FALSE),0)</f>
        <v>0</v>
      </c>
      <c r="BL2830" s="6">
        <f>Grandview_Inventory[[#This Row],[Eff_Age]]*Lookups!$B$14</f>
        <v>0</v>
      </c>
      <c r="BM2830" s="6">
        <f>Grandview_Inventory[[#This Row],[living_area]]*Lookups!$B$15</f>
        <v>0</v>
      </c>
      <c r="BN2830" s="6">
        <f>Grandview_Inventory[[#This Row],[Fin BSMT]]*Lookups!$B$16</f>
        <v>0</v>
      </c>
      <c r="BO2830" s="6">
        <f>(Grandview_Inventory[[#This Row],[att_gar]]+Grandview_Inventory[[#This Row],[bltin_gar]])*Lookups!$B$17</f>
        <v>0</v>
      </c>
      <c r="BP2830" s="6">
        <f>Grandview_Inventory[[#This Row],[Plumbing Fixtures]]*Lookups!$B$18</f>
        <v>0</v>
      </c>
      <c r="BQ2830" s="6">
        <f>Grandview_Inventory[[#This Row],[detatched_value]]*Lookups!$B$19</f>
        <v>0</v>
      </c>
      <c r="BR2830" s="6">
        <f>SUM(Grandview_Inventory[[#This Row],[Intercept]:[det_value]])*Grandview_Inventory[[#This Row],[res_pct]]</f>
        <v>0</v>
      </c>
      <c r="BS2830" s="6">
        <f>Grandview_Inventory[[#This Row],[land_value]]</f>
        <v>101562.53708929944</v>
      </c>
      <c r="BT2830" s="4">
        <f>_xlfn.IFNA(VLOOKUP(Grandview_Inventory[[#This Row],[quality]],Lookups!$A$26:$C$33,3,FALSE),1)</f>
        <v>1</v>
      </c>
      <c r="BU2830" s="4">
        <f>_xlfn.IFNA(VLOOKUP(Grandview_Inventory[[#This Row],[condition]],Lookups!$A$37:$C$44,3,FALSE),1)</f>
        <v>1</v>
      </c>
      <c r="BV2830" s="4">
        <f>IF(Grandview_Inventory[[#This Row],[bldg_style]]="",1,_xlfn.IFNA(VLOOKUP(Grandview_Inventory[[#This Row],[decade]],Lookups!$F$29:$H$43,3,FALSE),1))</f>
        <v>1</v>
      </c>
      <c r="BW2830" s="4">
        <f>_xlfn.IFNA(VLOOKUP(Grandview_Inventory[[#This Row],[living_area_range]],Lookups!$F$47:$H$56,3,FALSE),1)</f>
        <v>1</v>
      </c>
      <c r="BX2830" s="4">
        <f>AVERAGE(Grandview_Inventory[[#This Row],[qual_adj]:[size_adj]])</f>
        <v>1</v>
      </c>
      <c r="BY2830" s="6">
        <f>IF(Grandview_Inventory[[#This Row],[pre_res]]&lt;0,0,Grandview_Inventory[[#This Row],[pre_res]]*Grandview_Inventory[[#This Row],[overall_adj]])</f>
        <v>0</v>
      </c>
      <c r="BZ2830" s="6">
        <f>(Grandview_Inventory[[#This Row],[sum_land]]-IF(Grandview_Inventory[[#This Row],[no_utilities]]=1,12000,0))/IF(Grandview_Inventory[[#This Row],[unbuildable]]=1,2,1)</f>
        <v>101562.53708929944</v>
      </c>
      <c r="CA2830">
        <f>IF(ROUND(Grandview_Inventory[[#This Row],[adj_land]]*Lookups!$M$28,-2)&lt;Grandview_Inventory[[#This Row],[min_land]],Grandview_Inventory[[#This Row],[min_land]],ROUND(Grandview_Inventory[[#This Row],[adj_land]]*Lookups!$M$28,-2))</f>
        <v>96500</v>
      </c>
      <c r="CB2830">
        <f>ROUND(Grandview_Inventory[[#This Row],[det_value]]*Lookups!$M$28,-2)</f>
        <v>0</v>
      </c>
      <c r="CC283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0">
        <f>Grandview_Inventory[[#This Row],[final_det]]+Grandview_Inventory[[#This Row],[final_res]]</f>
        <v>0</v>
      </c>
      <c r="CE2830">
        <f>Grandview_Inventory[[#This Row],[final_land]]+Grandview_Inventory[[#This Row],[final_imp]]+Grandview_Inventory[[#This Row],[crop_value]]</f>
        <v>110300</v>
      </c>
      <c r="CG2830" t="str">
        <f t="shared" si="45"/>
        <v>update valuation set market_land =96500, market_bldg=0, market_total =110300, market_mdno =401, market_date ='9/10/2023' where link_id = (select link_id from parcel where parcel_year = '2024' and parcel_id = '23092622010');</v>
      </c>
    </row>
    <row r="2831" spans="1:85" x14ac:dyDescent="0.25">
      <c r="A2831">
        <v>23092622011</v>
      </c>
      <c r="B2831">
        <v>13.49</v>
      </c>
      <c r="C2831">
        <v>587584</v>
      </c>
      <c r="D2831" t="s">
        <v>129</v>
      </c>
      <c r="E2831" t="s">
        <v>53</v>
      </c>
      <c r="F2831" t="s">
        <v>53</v>
      </c>
      <c r="G2831">
        <v>4</v>
      </c>
      <c r="H2831" t="s">
        <v>54</v>
      </c>
      <c r="I2831">
        <v>31300</v>
      </c>
      <c r="J2831">
        <v>404700</v>
      </c>
      <c r="K2831">
        <v>13.49</v>
      </c>
      <c r="L2831">
        <f>IF(Grandview_Inventory[[#This Row],[parcel_acres]]-Grandview_Inventory[[#This Row],[non_valued_acres]] =0,0,LN(Grandview_Inventory[[#This Row],[parcel_acres]]-Grandview_Inventory[[#This Row],[non_valued_acres]]))</f>
        <v>2.6019486702196644</v>
      </c>
      <c r="M2831">
        <v>0</v>
      </c>
      <c r="N2831">
        <v>0</v>
      </c>
      <c r="O2831">
        <v>0</v>
      </c>
      <c r="P2831">
        <v>13398.7528</v>
      </c>
      <c r="Q2831">
        <v>63903</v>
      </c>
      <c r="R2831">
        <f>(Grandview_Inventory[[#This Row],[ln_acres]]*Grandview_Inventory[[#This Row],[coeff]])+Grandview_Inventory[[#This Row],[const]]</f>
        <v>98765.867030562003</v>
      </c>
      <c r="AY2831">
        <v>31300</v>
      </c>
      <c r="AZ2831">
        <v>0</v>
      </c>
      <c r="BE2831">
        <v>0</v>
      </c>
      <c r="BF2831">
        <v>15000</v>
      </c>
      <c r="BG2831">
        <v>0</v>
      </c>
      <c r="BH2831" s="6">
        <f>Grandview_Inventory[[#This Row],[land_extract]]*Lookups!$B$3</f>
        <v>114696.53471475067</v>
      </c>
      <c r="BI2831" s="6">
        <f>IF(Grandview_Inventory[[#This Row],[bldg_style]]="",0,Lookups!$B$2)</f>
        <v>0</v>
      </c>
      <c r="BJ2831" s="6">
        <f>_xlfn.IFNA(VLOOKUP(Grandview_Inventory[[#This Row],[quality]],Lookups!$H$2:$J$14,3,FALSE),0)</f>
        <v>0</v>
      </c>
      <c r="BK2831" s="6">
        <f>_xlfn.IFNA(VLOOKUP(Grandview_Inventory[[#This Row],[condition]],Lookups!$H$17:$J$24,3,FALSE),0)</f>
        <v>0</v>
      </c>
      <c r="BL2831" s="6">
        <f>Grandview_Inventory[[#This Row],[Eff_Age]]*Lookups!$B$14</f>
        <v>0</v>
      </c>
      <c r="BM2831" s="6">
        <f>Grandview_Inventory[[#This Row],[living_area]]*Lookups!$B$15</f>
        <v>0</v>
      </c>
      <c r="BN2831" s="6">
        <f>Grandview_Inventory[[#This Row],[Fin BSMT]]*Lookups!$B$16</f>
        <v>0</v>
      </c>
      <c r="BO2831" s="6">
        <f>(Grandview_Inventory[[#This Row],[att_gar]]+Grandview_Inventory[[#This Row],[bltin_gar]])*Lookups!$B$17</f>
        <v>0</v>
      </c>
      <c r="BP2831" s="6">
        <f>Grandview_Inventory[[#This Row],[Plumbing Fixtures]]*Lookups!$B$18</f>
        <v>0</v>
      </c>
      <c r="BQ2831" s="6">
        <f>Grandview_Inventory[[#This Row],[detatched_value]]*Lookups!$B$19</f>
        <v>0</v>
      </c>
      <c r="BR2831" s="6">
        <f>SUM(Grandview_Inventory[[#This Row],[Intercept]:[det_value]])*Grandview_Inventory[[#This Row],[res_pct]]</f>
        <v>0</v>
      </c>
      <c r="BS2831" s="6">
        <f>Grandview_Inventory[[#This Row],[land_value]]</f>
        <v>114696.53471475067</v>
      </c>
      <c r="BT2831" s="4">
        <f>_xlfn.IFNA(VLOOKUP(Grandview_Inventory[[#This Row],[quality]],Lookups!$A$26:$C$33,3,FALSE),1)</f>
        <v>1</v>
      </c>
      <c r="BU2831" s="4">
        <f>_xlfn.IFNA(VLOOKUP(Grandview_Inventory[[#This Row],[condition]],Lookups!$A$37:$C$44,3,FALSE),1)</f>
        <v>1</v>
      </c>
      <c r="BV2831" s="4">
        <f>IF(Grandview_Inventory[[#This Row],[bldg_style]]="",1,_xlfn.IFNA(VLOOKUP(Grandview_Inventory[[#This Row],[decade]],Lookups!$F$29:$H$43,3,FALSE),1))</f>
        <v>1</v>
      </c>
      <c r="BW2831" s="4">
        <f>_xlfn.IFNA(VLOOKUP(Grandview_Inventory[[#This Row],[living_area_range]],Lookups!$F$47:$H$56,3,FALSE),1)</f>
        <v>1</v>
      </c>
      <c r="BX2831" s="4">
        <f>AVERAGE(Grandview_Inventory[[#This Row],[qual_adj]:[size_adj]])</f>
        <v>1</v>
      </c>
      <c r="BY2831" s="6">
        <f>IF(Grandview_Inventory[[#This Row],[pre_res]]&lt;0,0,Grandview_Inventory[[#This Row],[pre_res]]*Grandview_Inventory[[#This Row],[overall_adj]])</f>
        <v>0</v>
      </c>
      <c r="BZ2831" s="6">
        <f>(Grandview_Inventory[[#This Row],[sum_land]]-IF(Grandview_Inventory[[#This Row],[no_utilities]]=1,12000,0))/IF(Grandview_Inventory[[#This Row],[unbuildable]]=1,2,1)</f>
        <v>114696.53471475067</v>
      </c>
      <c r="CA2831">
        <f>IF(ROUND(Grandview_Inventory[[#This Row],[adj_land]]*Lookups!$M$28,-2)&lt;Grandview_Inventory[[#This Row],[min_land]],Grandview_Inventory[[#This Row],[min_land]],ROUND(Grandview_Inventory[[#This Row],[adj_land]]*Lookups!$M$28,-2))</f>
        <v>109000</v>
      </c>
      <c r="CB2831">
        <f>ROUND(Grandview_Inventory[[#This Row],[det_value]]*Lookups!$M$28,-2)</f>
        <v>0</v>
      </c>
      <c r="CC283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1">
        <f>Grandview_Inventory[[#This Row],[final_det]]+Grandview_Inventory[[#This Row],[final_res]]</f>
        <v>0</v>
      </c>
      <c r="CE2831">
        <f>Grandview_Inventory[[#This Row],[final_land]]+Grandview_Inventory[[#This Row],[final_imp]]+Grandview_Inventory[[#This Row],[crop_value]]</f>
        <v>140300</v>
      </c>
      <c r="CG2831" t="str">
        <f t="shared" si="45"/>
        <v>update valuation set market_land =109000, market_bldg=0, market_total =140300, market_mdno =401, market_date ='9/10/2023' where link_id = (select link_id from parcel where parcel_year = '2024' and parcel_id = '23092622011');</v>
      </c>
    </row>
    <row r="2832" spans="1:85" x14ac:dyDescent="0.25">
      <c r="A2832">
        <v>23092622012</v>
      </c>
      <c r="B2832">
        <v>13.71</v>
      </c>
      <c r="C2832" t="s">
        <v>129</v>
      </c>
      <c r="D2832" t="s">
        <v>129</v>
      </c>
      <c r="E2832" t="s">
        <v>53</v>
      </c>
      <c r="F2832" t="s">
        <v>53</v>
      </c>
      <c r="G2832">
        <v>4</v>
      </c>
      <c r="H2832" t="s">
        <v>54</v>
      </c>
      <c r="I2832">
        <v>46800</v>
      </c>
      <c r="J2832">
        <v>421300</v>
      </c>
      <c r="K2832">
        <v>13.71</v>
      </c>
      <c r="L2832">
        <f>IF(Grandview_Inventory[[#This Row],[parcel_acres]]-Grandview_Inventory[[#This Row],[non_valued_acres]] =0,0,LN(Grandview_Inventory[[#This Row],[parcel_acres]]-Grandview_Inventory[[#This Row],[non_valued_acres]]))</f>
        <v>2.6181254935742233</v>
      </c>
      <c r="M2832">
        <v>0</v>
      </c>
      <c r="N2832">
        <v>0</v>
      </c>
      <c r="O2832">
        <v>0</v>
      </c>
      <c r="P2832">
        <v>13398.7528</v>
      </c>
      <c r="Q2832">
        <v>63903</v>
      </c>
      <c r="R2832">
        <f>(Grandview_Inventory[[#This Row],[ln_acres]]*Grandview_Inventory[[#This Row],[coeff]])+Grandview_Inventory[[#This Row],[const]]</f>
        <v>98982.616287779005</v>
      </c>
      <c r="AY2832">
        <v>46800</v>
      </c>
      <c r="AZ2832">
        <v>0</v>
      </c>
      <c r="BE2832">
        <v>0</v>
      </c>
      <c r="BF2832">
        <v>15000</v>
      </c>
      <c r="BG2832">
        <v>0</v>
      </c>
      <c r="BH2832" s="6">
        <f>Grandview_Inventory[[#This Row],[land_extract]]*Lookups!$B$3</f>
        <v>114948.24504193378</v>
      </c>
      <c r="BI2832" s="6">
        <f>IF(Grandview_Inventory[[#This Row],[bldg_style]]="",0,Lookups!$B$2)</f>
        <v>0</v>
      </c>
      <c r="BJ2832" s="6">
        <f>_xlfn.IFNA(VLOOKUP(Grandview_Inventory[[#This Row],[quality]],Lookups!$H$2:$J$14,3,FALSE),0)</f>
        <v>0</v>
      </c>
      <c r="BK2832" s="6">
        <f>_xlfn.IFNA(VLOOKUP(Grandview_Inventory[[#This Row],[condition]],Lookups!$H$17:$J$24,3,FALSE),0)</f>
        <v>0</v>
      </c>
      <c r="BL2832" s="6">
        <f>Grandview_Inventory[[#This Row],[Eff_Age]]*Lookups!$B$14</f>
        <v>0</v>
      </c>
      <c r="BM2832" s="6">
        <f>Grandview_Inventory[[#This Row],[living_area]]*Lookups!$B$15</f>
        <v>0</v>
      </c>
      <c r="BN2832" s="6">
        <f>Grandview_Inventory[[#This Row],[Fin BSMT]]*Lookups!$B$16</f>
        <v>0</v>
      </c>
      <c r="BO2832" s="6">
        <f>(Grandview_Inventory[[#This Row],[att_gar]]+Grandview_Inventory[[#This Row],[bltin_gar]])*Lookups!$B$17</f>
        <v>0</v>
      </c>
      <c r="BP2832" s="6">
        <f>Grandview_Inventory[[#This Row],[Plumbing Fixtures]]*Lookups!$B$18</f>
        <v>0</v>
      </c>
      <c r="BQ2832" s="6">
        <f>Grandview_Inventory[[#This Row],[detatched_value]]*Lookups!$B$19</f>
        <v>0</v>
      </c>
      <c r="BR2832" s="6">
        <f>SUM(Grandview_Inventory[[#This Row],[Intercept]:[det_value]])*Grandview_Inventory[[#This Row],[res_pct]]</f>
        <v>0</v>
      </c>
      <c r="BS2832" s="6">
        <f>Grandview_Inventory[[#This Row],[land_value]]</f>
        <v>114948.24504193378</v>
      </c>
      <c r="BT2832" s="4">
        <f>_xlfn.IFNA(VLOOKUP(Grandview_Inventory[[#This Row],[quality]],Lookups!$A$26:$C$33,3,FALSE),1)</f>
        <v>1</v>
      </c>
      <c r="BU2832" s="4">
        <f>_xlfn.IFNA(VLOOKUP(Grandview_Inventory[[#This Row],[condition]],Lookups!$A$37:$C$44,3,FALSE),1)</f>
        <v>1</v>
      </c>
      <c r="BV2832" s="4">
        <f>IF(Grandview_Inventory[[#This Row],[bldg_style]]="",1,_xlfn.IFNA(VLOOKUP(Grandview_Inventory[[#This Row],[decade]],Lookups!$F$29:$H$43,3,FALSE),1))</f>
        <v>1</v>
      </c>
      <c r="BW2832" s="4">
        <f>_xlfn.IFNA(VLOOKUP(Grandview_Inventory[[#This Row],[living_area_range]],Lookups!$F$47:$H$56,3,FALSE),1)</f>
        <v>1</v>
      </c>
      <c r="BX2832" s="4">
        <f>AVERAGE(Grandview_Inventory[[#This Row],[qual_adj]:[size_adj]])</f>
        <v>1</v>
      </c>
      <c r="BY2832" s="6">
        <f>IF(Grandview_Inventory[[#This Row],[pre_res]]&lt;0,0,Grandview_Inventory[[#This Row],[pre_res]]*Grandview_Inventory[[#This Row],[overall_adj]])</f>
        <v>0</v>
      </c>
      <c r="BZ2832" s="6">
        <f>(Grandview_Inventory[[#This Row],[sum_land]]-IF(Grandview_Inventory[[#This Row],[no_utilities]]=1,12000,0))/IF(Grandview_Inventory[[#This Row],[unbuildable]]=1,2,1)</f>
        <v>114948.24504193378</v>
      </c>
      <c r="CA2832">
        <f>IF(ROUND(Grandview_Inventory[[#This Row],[adj_land]]*Lookups!$M$28,-2)&lt;Grandview_Inventory[[#This Row],[min_land]],Grandview_Inventory[[#This Row],[min_land]],ROUND(Grandview_Inventory[[#This Row],[adj_land]]*Lookups!$M$28,-2))</f>
        <v>109200</v>
      </c>
      <c r="CB2832">
        <f>ROUND(Grandview_Inventory[[#This Row],[det_value]]*Lookups!$M$28,-2)</f>
        <v>0</v>
      </c>
      <c r="CC283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2">
        <f>Grandview_Inventory[[#This Row],[final_det]]+Grandview_Inventory[[#This Row],[final_res]]</f>
        <v>0</v>
      </c>
      <c r="CE2832">
        <f>Grandview_Inventory[[#This Row],[final_land]]+Grandview_Inventory[[#This Row],[final_imp]]+Grandview_Inventory[[#This Row],[crop_value]]</f>
        <v>156000</v>
      </c>
      <c r="CG2832" t="str">
        <f t="shared" si="45"/>
        <v>update valuation set market_land =109200, market_bldg=0, market_total =156000, market_mdno =401, market_date ='9/10/2023' where link_id = (select link_id from parcel where parcel_year = '2024' and parcel_id = '23092622012');</v>
      </c>
    </row>
    <row r="2833" spans="1:85" x14ac:dyDescent="0.25">
      <c r="A2833">
        <v>23092622014</v>
      </c>
      <c r="B2833">
        <v>0.3</v>
      </c>
      <c r="C2833">
        <v>12913</v>
      </c>
      <c r="D2833" t="s">
        <v>129</v>
      </c>
      <c r="E2833" t="s">
        <v>53</v>
      </c>
      <c r="F2833" t="s">
        <v>53</v>
      </c>
      <c r="G2833">
        <v>4</v>
      </c>
      <c r="H2833" t="s">
        <v>54</v>
      </c>
      <c r="I2833">
        <v>0</v>
      </c>
      <c r="J2833">
        <v>33900</v>
      </c>
      <c r="K2833">
        <v>0.3</v>
      </c>
      <c r="L2833">
        <f>IF(Grandview_Inventory[[#This Row],[parcel_acres]]-Grandview_Inventory[[#This Row],[non_valued_acres]] =0,0,LN(Grandview_Inventory[[#This Row],[parcel_acres]]-Grandview_Inventory[[#This Row],[non_valued_acres]]))</f>
        <v>-1.2039728043259361</v>
      </c>
      <c r="M2833">
        <v>0</v>
      </c>
      <c r="N2833">
        <v>0</v>
      </c>
      <c r="O2833">
        <v>0</v>
      </c>
      <c r="P2833">
        <v>13398.7528</v>
      </c>
      <c r="Q2833">
        <v>63903</v>
      </c>
      <c r="R2833">
        <f>(Grandview_Inventory[[#This Row],[ln_acres]]*Grandview_Inventory[[#This Row],[coeff]])+Grandview_Inventory[[#This Row],[const]]</f>
        <v>47771.266016914014</v>
      </c>
      <c r="AY2833">
        <v>0</v>
      </c>
      <c r="AZ2833">
        <v>0</v>
      </c>
      <c r="BE2833">
        <v>0</v>
      </c>
      <c r="BF2833">
        <v>15000</v>
      </c>
      <c r="BG2833">
        <v>0</v>
      </c>
      <c r="BH2833" s="6">
        <f>Grandview_Inventory[[#This Row],[land_extract]]*Lookups!$B$3</f>
        <v>55476.642243023998</v>
      </c>
      <c r="BI2833" s="6">
        <f>IF(Grandview_Inventory[[#This Row],[bldg_style]]="",0,Lookups!$B$2)</f>
        <v>0</v>
      </c>
      <c r="BJ2833" s="6">
        <f>_xlfn.IFNA(VLOOKUP(Grandview_Inventory[[#This Row],[quality]],Lookups!$H$2:$J$14,3,FALSE),0)</f>
        <v>0</v>
      </c>
      <c r="BK2833" s="6">
        <f>_xlfn.IFNA(VLOOKUP(Grandview_Inventory[[#This Row],[condition]],Lookups!$H$17:$J$24,3,FALSE),0)</f>
        <v>0</v>
      </c>
      <c r="BL2833" s="6">
        <f>Grandview_Inventory[[#This Row],[Eff_Age]]*Lookups!$B$14</f>
        <v>0</v>
      </c>
      <c r="BM2833" s="6">
        <f>Grandview_Inventory[[#This Row],[living_area]]*Lookups!$B$15</f>
        <v>0</v>
      </c>
      <c r="BN2833" s="6">
        <f>Grandview_Inventory[[#This Row],[Fin BSMT]]*Lookups!$B$16</f>
        <v>0</v>
      </c>
      <c r="BO2833" s="6">
        <f>(Grandview_Inventory[[#This Row],[att_gar]]+Grandview_Inventory[[#This Row],[bltin_gar]])*Lookups!$B$17</f>
        <v>0</v>
      </c>
      <c r="BP2833" s="6">
        <f>Grandview_Inventory[[#This Row],[Plumbing Fixtures]]*Lookups!$B$18</f>
        <v>0</v>
      </c>
      <c r="BQ2833" s="6">
        <f>Grandview_Inventory[[#This Row],[detatched_value]]*Lookups!$B$19</f>
        <v>0</v>
      </c>
      <c r="BR2833" s="6">
        <f>SUM(Grandview_Inventory[[#This Row],[Intercept]:[det_value]])*Grandview_Inventory[[#This Row],[res_pct]]</f>
        <v>0</v>
      </c>
      <c r="BS2833" s="6">
        <f>Grandview_Inventory[[#This Row],[land_value]]</f>
        <v>55476.642243023998</v>
      </c>
      <c r="BT2833" s="4">
        <f>_xlfn.IFNA(VLOOKUP(Grandview_Inventory[[#This Row],[quality]],Lookups!$A$26:$C$33,3,FALSE),1)</f>
        <v>1</v>
      </c>
      <c r="BU2833" s="4">
        <f>_xlfn.IFNA(VLOOKUP(Grandview_Inventory[[#This Row],[condition]],Lookups!$A$37:$C$44,3,FALSE),1)</f>
        <v>1</v>
      </c>
      <c r="BV2833" s="4">
        <f>IF(Grandview_Inventory[[#This Row],[bldg_style]]="",1,_xlfn.IFNA(VLOOKUP(Grandview_Inventory[[#This Row],[decade]],Lookups!$F$29:$H$43,3,FALSE),1))</f>
        <v>1</v>
      </c>
      <c r="BW2833" s="4">
        <f>_xlfn.IFNA(VLOOKUP(Grandview_Inventory[[#This Row],[living_area_range]],Lookups!$F$47:$H$56,3,FALSE),1)</f>
        <v>1</v>
      </c>
      <c r="BX2833" s="4">
        <f>AVERAGE(Grandview_Inventory[[#This Row],[qual_adj]:[size_adj]])</f>
        <v>1</v>
      </c>
      <c r="BY2833" s="6">
        <f>IF(Grandview_Inventory[[#This Row],[pre_res]]&lt;0,0,Grandview_Inventory[[#This Row],[pre_res]]*Grandview_Inventory[[#This Row],[overall_adj]])</f>
        <v>0</v>
      </c>
      <c r="BZ2833" s="6">
        <f>(Grandview_Inventory[[#This Row],[sum_land]]-IF(Grandview_Inventory[[#This Row],[no_utilities]]=1,12000,0))/IF(Grandview_Inventory[[#This Row],[unbuildable]]=1,2,1)</f>
        <v>55476.642243023998</v>
      </c>
      <c r="CA2833">
        <f>IF(ROUND(Grandview_Inventory[[#This Row],[adj_land]]*Lookups!$M$28,-2)&lt;Grandview_Inventory[[#This Row],[min_land]],Grandview_Inventory[[#This Row],[min_land]],ROUND(Grandview_Inventory[[#This Row],[adj_land]]*Lookups!$M$28,-2))</f>
        <v>52700</v>
      </c>
      <c r="CB2833">
        <f>ROUND(Grandview_Inventory[[#This Row],[det_value]]*Lookups!$M$28,-2)</f>
        <v>0</v>
      </c>
      <c r="CC283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3">
        <f>Grandview_Inventory[[#This Row],[final_det]]+Grandview_Inventory[[#This Row],[final_res]]</f>
        <v>0</v>
      </c>
      <c r="CE2833">
        <f>Grandview_Inventory[[#This Row],[final_land]]+Grandview_Inventory[[#This Row],[final_imp]]+Grandview_Inventory[[#This Row],[crop_value]]</f>
        <v>52700</v>
      </c>
      <c r="CG2833" t="str">
        <f t="shared" si="45"/>
        <v>update valuation set market_land =52700, market_bldg=0, market_total =52700, market_mdno =401, market_date ='9/10/2023' where link_id = (select link_id from parcel where parcel_year = '2024' and parcel_id = '23092622014');</v>
      </c>
    </row>
    <row r="2834" spans="1:85" x14ac:dyDescent="0.25">
      <c r="A2834">
        <v>23092623002</v>
      </c>
      <c r="B2834">
        <v>5.8</v>
      </c>
      <c r="C2834">
        <v>252594</v>
      </c>
      <c r="D2834" t="s">
        <v>129</v>
      </c>
      <c r="E2834" t="s">
        <v>53</v>
      </c>
      <c r="F2834" t="s">
        <v>53</v>
      </c>
      <c r="G2834">
        <v>4</v>
      </c>
      <c r="H2834" t="s">
        <v>54</v>
      </c>
      <c r="I2834">
        <v>25900</v>
      </c>
      <c r="J2834">
        <v>43100</v>
      </c>
      <c r="K2834">
        <v>5.8</v>
      </c>
      <c r="L2834">
        <f>IF(Grandview_Inventory[[#This Row],[parcel_acres]]-Grandview_Inventory[[#This Row],[non_valued_acres]] =0,0,LN(Grandview_Inventory[[#This Row],[parcel_acres]]-Grandview_Inventory[[#This Row],[non_valued_acres]]))</f>
        <v>1.7578579175523736</v>
      </c>
      <c r="M2834">
        <v>0</v>
      </c>
      <c r="N2834">
        <v>0</v>
      </c>
      <c r="O2834">
        <v>0</v>
      </c>
      <c r="P2834">
        <v>13398.7528</v>
      </c>
      <c r="Q2834">
        <v>63903</v>
      </c>
      <c r="R2834">
        <f>(Grandview_Inventory[[#This Row],[ln_acres]]*Grandview_Inventory[[#This Row],[coeff]])+Grandview_Inventory[[#This Row],[const]]</f>
        <v>87456.10369480704</v>
      </c>
      <c r="AY2834">
        <v>25900</v>
      </c>
      <c r="AZ2834">
        <v>0</v>
      </c>
      <c r="BE2834">
        <v>0</v>
      </c>
      <c r="BF2834">
        <v>15000</v>
      </c>
      <c r="BG2834">
        <v>0</v>
      </c>
      <c r="BH2834" s="6">
        <f>Grandview_Inventory[[#This Row],[land_extract]]*Lookups!$B$3</f>
        <v>101562.53708929944</v>
      </c>
      <c r="BI2834" s="6">
        <f>IF(Grandview_Inventory[[#This Row],[bldg_style]]="",0,Lookups!$B$2)</f>
        <v>0</v>
      </c>
      <c r="BJ2834" s="6">
        <f>_xlfn.IFNA(VLOOKUP(Grandview_Inventory[[#This Row],[quality]],Lookups!$H$2:$J$14,3,FALSE),0)</f>
        <v>0</v>
      </c>
      <c r="BK2834" s="6">
        <f>_xlfn.IFNA(VLOOKUP(Grandview_Inventory[[#This Row],[condition]],Lookups!$H$17:$J$24,3,FALSE),0)</f>
        <v>0</v>
      </c>
      <c r="BL2834" s="6">
        <f>Grandview_Inventory[[#This Row],[Eff_Age]]*Lookups!$B$14</f>
        <v>0</v>
      </c>
      <c r="BM2834" s="6">
        <f>Grandview_Inventory[[#This Row],[living_area]]*Lookups!$B$15</f>
        <v>0</v>
      </c>
      <c r="BN2834" s="6">
        <f>Grandview_Inventory[[#This Row],[Fin BSMT]]*Lookups!$B$16</f>
        <v>0</v>
      </c>
      <c r="BO2834" s="6">
        <f>(Grandview_Inventory[[#This Row],[att_gar]]+Grandview_Inventory[[#This Row],[bltin_gar]])*Lookups!$B$17</f>
        <v>0</v>
      </c>
      <c r="BP2834" s="6">
        <f>Grandview_Inventory[[#This Row],[Plumbing Fixtures]]*Lookups!$B$18</f>
        <v>0</v>
      </c>
      <c r="BQ2834" s="6">
        <f>Grandview_Inventory[[#This Row],[detatched_value]]*Lookups!$B$19</f>
        <v>0</v>
      </c>
      <c r="BR2834" s="6">
        <f>SUM(Grandview_Inventory[[#This Row],[Intercept]:[det_value]])*Grandview_Inventory[[#This Row],[res_pct]]</f>
        <v>0</v>
      </c>
      <c r="BS2834" s="6">
        <f>Grandview_Inventory[[#This Row],[land_value]]</f>
        <v>101562.53708929944</v>
      </c>
      <c r="BT2834" s="4">
        <f>_xlfn.IFNA(VLOOKUP(Grandview_Inventory[[#This Row],[quality]],Lookups!$A$26:$C$33,3,FALSE),1)</f>
        <v>1</v>
      </c>
      <c r="BU2834" s="4">
        <f>_xlfn.IFNA(VLOOKUP(Grandview_Inventory[[#This Row],[condition]],Lookups!$A$37:$C$44,3,FALSE),1)</f>
        <v>1</v>
      </c>
      <c r="BV2834" s="4">
        <f>IF(Grandview_Inventory[[#This Row],[bldg_style]]="",1,_xlfn.IFNA(VLOOKUP(Grandview_Inventory[[#This Row],[decade]],Lookups!$F$29:$H$43,3,FALSE),1))</f>
        <v>1</v>
      </c>
      <c r="BW2834" s="4">
        <f>_xlfn.IFNA(VLOOKUP(Grandview_Inventory[[#This Row],[living_area_range]],Lookups!$F$47:$H$56,3,FALSE),1)</f>
        <v>1</v>
      </c>
      <c r="BX2834" s="4">
        <f>AVERAGE(Grandview_Inventory[[#This Row],[qual_adj]:[size_adj]])</f>
        <v>1</v>
      </c>
      <c r="BY2834" s="6">
        <f>IF(Grandview_Inventory[[#This Row],[pre_res]]&lt;0,0,Grandview_Inventory[[#This Row],[pre_res]]*Grandview_Inventory[[#This Row],[overall_adj]])</f>
        <v>0</v>
      </c>
      <c r="BZ2834" s="6">
        <f>(Grandview_Inventory[[#This Row],[sum_land]]-IF(Grandview_Inventory[[#This Row],[no_utilities]]=1,12000,0))/IF(Grandview_Inventory[[#This Row],[unbuildable]]=1,2,1)</f>
        <v>101562.53708929944</v>
      </c>
      <c r="CA2834">
        <f>IF(ROUND(Grandview_Inventory[[#This Row],[adj_land]]*Lookups!$M$28,-2)&lt;Grandview_Inventory[[#This Row],[min_land]],Grandview_Inventory[[#This Row],[min_land]],ROUND(Grandview_Inventory[[#This Row],[adj_land]]*Lookups!$M$28,-2))</f>
        <v>96500</v>
      </c>
      <c r="CB2834">
        <f>ROUND(Grandview_Inventory[[#This Row],[det_value]]*Lookups!$M$28,-2)</f>
        <v>0</v>
      </c>
      <c r="CC283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4">
        <f>Grandview_Inventory[[#This Row],[final_det]]+Grandview_Inventory[[#This Row],[final_res]]</f>
        <v>0</v>
      </c>
      <c r="CE2834">
        <f>Grandview_Inventory[[#This Row],[final_land]]+Grandview_Inventory[[#This Row],[final_imp]]+Grandview_Inventory[[#This Row],[crop_value]]</f>
        <v>122400</v>
      </c>
      <c r="CG2834" t="str">
        <f t="shared" si="45"/>
        <v>update valuation set market_land =96500, market_bldg=0, market_total =122400, market_mdno =401, market_date ='9/10/2023' where link_id = (select link_id from parcel where parcel_year = '2024' and parcel_id = '23092623002');</v>
      </c>
    </row>
    <row r="2835" spans="1:85" x14ac:dyDescent="0.25">
      <c r="A2835">
        <v>23092623006</v>
      </c>
      <c r="B2835">
        <v>2.38</v>
      </c>
      <c r="C2835">
        <v>103822</v>
      </c>
      <c r="D2835" t="s">
        <v>129</v>
      </c>
      <c r="E2835" t="s">
        <v>53</v>
      </c>
      <c r="F2835" t="s">
        <v>53</v>
      </c>
      <c r="G2835">
        <v>4</v>
      </c>
      <c r="H2835" t="s">
        <v>54</v>
      </c>
      <c r="I2835">
        <v>0</v>
      </c>
      <c r="J2835">
        <v>38800</v>
      </c>
      <c r="K2835">
        <v>2.38</v>
      </c>
      <c r="L2835">
        <f>IF(Grandview_Inventory[[#This Row],[parcel_acres]]-Grandview_Inventory[[#This Row],[non_valued_acres]] =0,0,LN(Grandview_Inventory[[#This Row],[parcel_acres]]-Grandview_Inventory[[#This Row],[non_valued_acres]]))</f>
        <v>0.86710048768338333</v>
      </c>
      <c r="M2835">
        <v>0</v>
      </c>
      <c r="N2835">
        <v>0</v>
      </c>
      <c r="O2835">
        <v>0</v>
      </c>
      <c r="P2835">
        <v>13398.7528</v>
      </c>
      <c r="Q2835">
        <v>63903</v>
      </c>
      <c r="R2835">
        <f>(Grandview_Inventory[[#This Row],[ln_acres]]*Grandview_Inventory[[#This Row],[coeff]])+Grandview_Inventory[[#This Row],[const]]</f>
        <v>75521.065087229101</v>
      </c>
      <c r="AY2835">
        <v>0</v>
      </c>
      <c r="AZ2835">
        <v>0</v>
      </c>
      <c r="BE2835">
        <v>0</v>
      </c>
      <c r="BF2835">
        <v>15000</v>
      </c>
      <c r="BG2835">
        <v>0</v>
      </c>
      <c r="BH2835" s="6">
        <f>Grandview_Inventory[[#This Row],[land_extract]]*Lookups!$B$3</f>
        <v>87702.408978923413</v>
      </c>
      <c r="BI2835" s="6">
        <f>IF(Grandview_Inventory[[#This Row],[bldg_style]]="",0,Lookups!$B$2)</f>
        <v>0</v>
      </c>
      <c r="BJ2835" s="6">
        <f>_xlfn.IFNA(VLOOKUP(Grandview_Inventory[[#This Row],[quality]],Lookups!$H$2:$J$14,3,FALSE),0)</f>
        <v>0</v>
      </c>
      <c r="BK2835" s="6">
        <f>_xlfn.IFNA(VLOOKUP(Grandview_Inventory[[#This Row],[condition]],Lookups!$H$17:$J$24,3,FALSE),0)</f>
        <v>0</v>
      </c>
      <c r="BL2835" s="6">
        <f>Grandview_Inventory[[#This Row],[Eff_Age]]*Lookups!$B$14</f>
        <v>0</v>
      </c>
      <c r="BM2835" s="6">
        <f>Grandview_Inventory[[#This Row],[living_area]]*Lookups!$B$15</f>
        <v>0</v>
      </c>
      <c r="BN2835" s="6">
        <f>Grandview_Inventory[[#This Row],[Fin BSMT]]*Lookups!$B$16</f>
        <v>0</v>
      </c>
      <c r="BO2835" s="6">
        <f>(Grandview_Inventory[[#This Row],[att_gar]]+Grandview_Inventory[[#This Row],[bltin_gar]])*Lookups!$B$17</f>
        <v>0</v>
      </c>
      <c r="BP2835" s="6">
        <f>Grandview_Inventory[[#This Row],[Plumbing Fixtures]]*Lookups!$B$18</f>
        <v>0</v>
      </c>
      <c r="BQ2835" s="6">
        <f>Grandview_Inventory[[#This Row],[detatched_value]]*Lookups!$B$19</f>
        <v>0</v>
      </c>
      <c r="BR2835" s="6">
        <f>SUM(Grandview_Inventory[[#This Row],[Intercept]:[det_value]])*Grandview_Inventory[[#This Row],[res_pct]]</f>
        <v>0</v>
      </c>
      <c r="BS2835" s="6">
        <f>Grandview_Inventory[[#This Row],[land_value]]</f>
        <v>87702.408978923413</v>
      </c>
      <c r="BT2835" s="4">
        <f>_xlfn.IFNA(VLOOKUP(Grandview_Inventory[[#This Row],[quality]],Lookups!$A$26:$C$33,3,FALSE),1)</f>
        <v>1</v>
      </c>
      <c r="BU2835" s="4">
        <f>_xlfn.IFNA(VLOOKUP(Grandview_Inventory[[#This Row],[condition]],Lookups!$A$37:$C$44,3,FALSE),1)</f>
        <v>1</v>
      </c>
      <c r="BV2835" s="4">
        <f>IF(Grandview_Inventory[[#This Row],[bldg_style]]="",1,_xlfn.IFNA(VLOOKUP(Grandview_Inventory[[#This Row],[decade]],Lookups!$F$29:$H$43,3,FALSE),1))</f>
        <v>1</v>
      </c>
      <c r="BW2835" s="4">
        <f>_xlfn.IFNA(VLOOKUP(Grandview_Inventory[[#This Row],[living_area_range]],Lookups!$F$47:$H$56,3,FALSE),1)</f>
        <v>1</v>
      </c>
      <c r="BX2835" s="4">
        <f>AVERAGE(Grandview_Inventory[[#This Row],[qual_adj]:[size_adj]])</f>
        <v>1</v>
      </c>
      <c r="BY2835" s="6">
        <f>IF(Grandview_Inventory[[#This Row],[pre_res]]&lt;0,0,Grandview_Inventory[[#This Row],[pre_res]]*Grandview_Inventory[[#This Row],[overall_adj]])</f>
        <v>0</v>
      </c>
      <c r="BZ2835" s="6">
        <f>(Grandview_Inventory[[#This Row],[sum_land]]-IF(Grandview_Inventory[[#This Row],[no_utilities]]=1,12000,0))/IF(Grandview_Inventory[[#This Row],[unbuildable]]=1,2,1)</f>
        <v>87702.408978923413</v>
      </c>
      <c r="CA2835">
        <f>IF(ROUND(Grandview_Inventory[[#This Row],[adj_land]]*Lookups!$M$28,-2)&lt;Grandview_Inventory[[#This Row],[min_land]],Grandview_Inventory[[#This Row],[min_land]],ROUND(Grandview_Inventory[[#This Row],[adj_land]]*Lookups!$M$28,-2))</f>
        <v>83300</v>
      </c>
      <c r="CB2835">
        <f>ROUND(Grandview_Inventory[[#This Row],[det_value]]*Lookups!$M$28,-2)</f>
        <v>0</v>
      </c>
      <c r="CC283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5">
        <f>Grandview_Inventory[[#This Row],[final_det]]+Grandview_Inventory[[#This Row],[final_res]]</f>
        <v>0</v>
      </c>
      <c r="CE2835">
        <f>Grandview_Inventory[[#This Row],[final_land]]+Grandview_Inventory[[#This Row],[final_imp]]+Grandview_Inventory[[#This Row],[crop_value]]</f>
        <v>83300</v>
      </c>
      <c r="CG2835" t="str">
        <f t="shared" si="45"/>
        <v>update valuation set market_land =83300, market_bldg=0, market_total =83300, market_mdno =401, market_date ='9/10/2023' where link_id = (select link_id from parcel where parcel_year = '2024' and parcel_id = '23092623006');</v>
      </c>
    </row>
    <row r="2836" spans="1:85" x14ac:dyDescent="0.25">
      <c r="A2836">
        <v>23092623008</v>
      </c>
      <c r="B2836">
        <v>10.24</v>
      </c>
      <c r="C2836">
        <v>446136</v>
      </c>
      <c r="D2836" t="s">
        <v>129</v>
      </c>
      <c r="E2836" t="s">
        <v>53</v>
      </c>
      <c r="F2836" t="s">
        <v>53</v>
      </c>
      <c r="G2836">
        <v>4</v>
      </c>
      <c r="H2836" t="s">
        <v>54</v>
      </c>
      <c r="I2836">
        <v>36800</v>
      </c>
      <c r="J2836">
        <v>307200</v>
      </c>
      <c r="K2836">
        <v>10.24</v>
      </c>
      <c r="L2836">
        <f>IF(Grandview_Inventory[[#This Row],[parcel_acres]]-Grandview_Inventory[[#This Row],[non_valued_acres]] =0,0,LN(Grandview_Inventory[[#This Row],[parcel_acres]]-Grandview_Inventory[[#This Row],[non_valued_acres]]))</f>
        <v>2.3263016196113617</v>
      </c>
      <c r="M2836">
        <v>0</v>
      </c>
      <c r="N2836">
        <v>0</v>
      </c>
      <c r="O2836">
        <v>0</v>
      </c>
      <c r="P2836">
        <v>13398.7528</v>
      </c>
      <c r="Q2836">
        <v>63903</v>
      </c>
      <c r="R2836">
        <f>(Grandview_Inventory[[#This Row],[ln_acres]]*Grandview_Inventory[[#This Row],[coeff]])+Grandview_Inventory[[#This Row],[const]]</f>
        <v>95072.54033941227</v>
      </c>
      <c r="AY2836">
        <v>36800</v>
      </c>
      <c r="AZ2836">
        <v>0</v>
      </c>
      <c r="BE2836">
        <v>0</v>
      </c>
      <c r="BF2836">
        <v>15000</v>
      </c>
      <c r="BG2836">
        <v>0</v>
      </c>
      <c r="BH2836" s="6">
        <f>Grandview_Inventory[[#This Row],[land_extract]]*Lookups!$B$3</f>
        <v>110407.48440030056</v>
      </c>
      <c r="BI2836" s="6">
        <f>IF(Grandview_Inventory[[#This Row],[bldg_style]]="",0,Lookups!$B$2)</f>
        <v>0</v>
      </c>
      <c r="BJ2836" s="6">
        <f>_xlfn.IFNA(VLOOKUP(Grandview_Inventory[[#This Row],[quality]],Lookups!$H$2:$J$14,3,FALSE),0)</f>
        <v>0</v>
      </c>
      <c r="BK2836" s="6">
        <f>_xlfn.IFNA(VLOOKUP(Grandview_Inventory[[#This Row],[condition]],Lookups!$H$17:$J$24,3,FALSE),0)</f>
        <v>0</v>
      </c>
      <c r="BL2836" s="6">
        <f>Grandview_Inventory[[#This Row],[Eff_Age]]*Lookups!$B$14</f>
        <v>0</v>
      </c>
      <c r="BM2836" s="6">
        <f>Grandview_Inventory[[#This Row],[living_area]]*Lookups!$B$15</f>
        <v>0</v>
      </c>
      <c r="BN2836" s="6">
        <f>Grandview_Inventory[[#This Row],[Fin BSMT]]*Lookups!$B$16</f>
        <v>0</v>
      </c>
      <c r="BO2836" s="6">
        <f>(Grandview_Inventory[[#This Row],[att_gar]]+Grandview_Inventory[[#This Row],[bltin_gar]])*Lookups!$B$17</f>
        <v>0</v>
      </c>
      <c r="BP2836" s="6">
        <f>Grandview_Inventory[[#This Row],[Plumbing Fixtures]]*Lookups!$B$18</f>
        <v>0</v>
      </c>
      <c r="BQ2836" s="6">
        <f>Grandview_Inventory[[#This Row],[detatched_value]]*Lookups!$B$19</f>
        <v>0</v>
      </c>
      <c r="BR2836" s="6">
        <f>SUM(Grandview_Inventory[[#This Row],[Intercept]:[det_value]])*Grandview_Inventory[[#This Row],[res_pct]]</f>
        <v>0</v>
      </c>
      <c r="BS2836" s="6">
        <f>Grandview_Inventory[[#This Row],[land_value]]</f>
        <v>110407.48440030056</v>
      </c>
      <c r="BT2836" s="4">
        <f>_xlfn.IFNA(VLOOKUP(Grandview_Inventory[[#This Row],[quality]],Lookups!$A$26:$C$33,3,FALSE),1)</f>
        <v>1</v>
      </c>
      <c r="BU2836" s="4">
        <f>_xlfn.IFNA(VLOOKUP(Grandview_Inventory[[#This Row],[condition]],Lookups!$A$37:$C$44,3,FALSE),1)</f>
        <v>1</v>
      </c>
      <c r="BV2836" s="4">
        <f>IF(Grandview_Inventory[[#This Row],[bldg_style]]="",1,_xlfn.IFNA(VLOOKUP(Grandview_Inventory[[#This Row],[decade]],Lookups!$F$29:$H$43,3,FALSE),1))</f>
        <v>1</v>
      </c>
      <c r="BW2836" s="4">
        <f>_xlfn.IFNA(VLOOKUP(Grandview_Inventory[[#This Row],[living_area_range]],Lookups!$F$47:$H$56,3,FALSE),1)</f>
        <v>1</v>
      </c>
      <c r="BX2836" s="4">
        <f>AVERAGE(Grandview_Inventory[[#This Row],[qual_adj]:[size_adj]])</f>
        <v>1</v>
      </c>
      <c r="BY2836" s="6">
        <f>IF(Grandview_Inventory[[#This Row],[pre_res]]&lt;0,0,Grandview_Inventory[[#This Row],[pre_res]]*Grandview_Inventory[[#This Row],[overall_adj]])</f>
        <v>0</v>
      </c>
      <c r="BZ2836" s="6">
        <f>(Grandview_Inventory[[#This Row],[sum_land]]-IF(Grandview_Inventory[[#This Row],[no_utilities]]=1,12000,0))/IF(Grandview_Inventory[[#This Row],[unbuildable]]=1,2,1)</f>
        <v>110407.48440030056</v>
      </c>
      <c r="CA2836">
        <f>IF(ROUND(Grandview_Inventory[[#This Row],[adj_land]]*Lookups!$M$28,-2)&lt;Grandview_Inventory[[#This Row],[min_land]],Grandview_Inventory[[#This Row],[min_land]],ROUND(Grandview_Inventory[[#This Row],[adj_land]]*Lookups!$M$28,-2))</f>
        <v>104900</v>
      </c>
      <c r="CB2836">
        <f>ROUND(Grandview_Inventory[[#This Row],[det_value]]*Lookups!$M$28,-2)</f>
        <v>0</v>
      </c>
      <c r="CC283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6">
        <f>Grandview_Inventory[[#This Row],[final_det]]+Grandview_Inventory[[#This Row],[final_res]]</f>
        <v>0</v>
      </c>
      <c r="CE2836">
        <f>Grandview_Inventory[[#This Row],[final_land]]+Grandview_Inventory[[#This Row],[final_imp]]+Grandview_Inventory[[#This Row],[crop_value]]</f>
        <v>141700</v>
      </c>
      <c r="CG2836" t="str">
        <f t="shared" si="45"/>
        <v>update valuation set market_land =104900, market_bldg=0, market_total =141700, market_mdno =401, market_date ='9/10/2023' where link_id = (select link_id from parcel where parcel_year = '2024' and parcel_id = '23092623008');</v>
      </c>
    </row>
    <row r="2837" spans="1:85" x14ac:dyDescent="0.25">
      <c r="A2837">
        <v>23092624400</v>
      </c>
      <c r="B2837">
        <v>18.670000000000002</v>
      </c>
      <c r="C2837" t="s">
        <v>129</v>
      </c>
      <c r="D2837" t="s">
        <v>129</v>
      </c>
      <c r="E2837" t="s">
        <v>53</v>
      </c>
      <c r="F2837" t="s">
        <v>53</v>
      </c>
      <c r="G2837">
        <v>4</v>
      </c>
      <c r="H2837" t="s">
        <v>54</v>
      </c>
      <c r="I2837">
        <v>0</v>
      </c>
      <c r="J2837">
        <v>560100</v>
      </c>
      <c r="K2837">
        <v>18.670000000000002</v>
      </c>
      <c r="L2837">
        <f>IF(Grandview_Inventory[[#This Row],[parcel_acres]]-Grandview_Inventory[[#This Row],[non_valued_acres]] =0,0,LN(Grandview_Inventory[[#This Row],[parcel_acres]]-Grandview_Inventory[[#This Row],[non_valued_acres]]))</f>
        <v>2.9269179575536315</v>
      </c>
      <c r="M2837">
        <v>0</v>
      </c>
      <c r="N2837">
        <v>0</v>
      </c>
      <c r="O2837">
        <v>0</v>
      </c>
      <c r="P2837">
        <v>13398.7528</v>
      </c>
      <c r="Q2837">
        <v>63903</v>
      </c>
      <c r="R2837">
        <f>(Grandview_Inventory[[#This Row],[ln_acres]]*Grandview_Inventory[[#This Row],[coeff]])+Grandview_Inventory[[#This Row],[const]]</f>
        <v>103120.05017914201</v>
      </c>
      <c r="AY2837">
        <v>0</v>
      </c>
      <c r="AZ2837">
        <v>0</v>
      </c>
      <c r="BE2837">
        <v>0</v>
      </c>
      <c r="BF2837">
        <v>15000</v>
      </c>
      <c r="BG2837">
        <v>0</v>
      </c>
      <c r="BH2837" s="6">
        <f>Grandview_Inventory[[#This Row],[land_extract]]*Lookups!$B$3</f>
        <v>119753.03584890213</v>
      </c>
      <c r="BI2837" s="6">
        <f>IF(Grandview_Inventory[[#This Row],[bldg_style]]="",0,Lookups!$B$2)</f>
        <v>0</v>
      </c>
      <c r="BJ2837" s="6">
        <f>_xlfn.IFNA(VLOOKUP(Grandview_Inventory[[#This Row],[quality]],Lookups!$H$2:$J$14,3,FALSE),0)</f>
        <v>0</v>
      </c>
      <c r="BK2837" s="6">
        <f>_xlfn.IFNA(VLOOKUP(Grandview_Inventory[[#This Row],[condition]],Lookups!$H$17:$J$24,3,FALSE),0)</f>
        <v>0</v>
      </c>
      <c r="BL2837" s="6">
        <f>Grandview_Inventory[[#This Row],[Eff_Age]]*Lookups!$B$14</f>
        <v>0</v>
      </c>
      <c r="BM2837" s="6">
        <f>Grandview_Inventory[[#This Row],[living_area]]*Lookups!$B$15</f>
        <v>0</v>
      </c>
      <c r="BN2837" s="6">
        <f>Grandview_Inventory[[#This Row],[Fin BSMT]]*Lookups!$B$16</f>
        <v>0</v>
      </c>
      <c r="BO2837" s="6">
        <f>(Grandview_Inventory[[#This Row],[att_gar]]+Grandview_Inventory[[#This Row],[bltin_gar]])*Lookups!$B$17</f>
        <v>0</v>
      </c>
      <c r="BP2837" s="6">
        <f>Grandview_Inventory[[#This Row],[Plumbing Fixtures]]*Lookups!$B$18</f>
        <v>0</v>
      </c>
      <c r="BQ2837" s="6">
        <f>Grandview_Inventory[[#This Row],[detatched_value]]*Lookups!$B$19</f>
        <v>0</v>
      </c>
      <c r="BR2837" s="6">
        <f>SUM(Grandview_Inventory[[#This Row],[Intercept]:[det_value]])*Grandview_Inventory[[#This Row],[res_pct]]</f>
        <v>0</v>
      </c>
      <c r="BS2837" s="6">
        <f>Grandview_Inventory[[#This Row],[land_value]]</f>
        <v>119753.03584890213</v>
      </c>
      <c r="BT2837" s="4">
        <f>_xlfn.IFNA(VLOOKUP(Grandview_Inventory[[#This Row],[quality]],Lookups!$A$26:$C$33,3,FALSE),1)</f>
        <v>1</v>
      </c>
      <c r="BU2837" s="4">
        <f>_xlfn.IFNA(VLOOKUP(Grandview_Inventory[[#This Row],[condition]],Lookups!$A$37:$C$44,3,FALSE),1)</f>
        <v>1</v>
      </c>
      <c r="BV2837" s="4">
        <f>IF(Grandview_Inventory[[#This Row],[bldg_style]]="",1,_xlfn.IFNA(VLOOKUP(Grandview_Inventory[[#This Row],[decade]],Lookups!$F$29:$H$43,3,FALSE),1))</f>
        <v>1</v>
      </c>
      <c r="BW2837" s="4">
        <f>_xlfn.IFNA(VLOOKUP(Grandview_Inventory[[#This Row],[living_area_range]],Lookups!$F$47:$H$56,3,FALSE),1)</f>
        <v>1</v>
      </c>
      <c r="BX2837" s="4">
        <f>AVERAGE(Grandview_Inventory[[#This Row],[qual_adj]:[size_adj]])</f>
        <v>1</v>
      </c>
      <c r="BY2837" s="6">
        <f>IF(Grandview_Inventory[[#This Row],[pre_res]]&lt;0,0,Grandview_Inventory[[#This Row],[pre_res]]*Grandview_Inventory[[#This Row],[overall_adj]])</f>
        <v>0</v>
      </c>
      <c r="BZ2837" s="6">
        <f>(Grandview_Inventory[[#This Row],[sum_land]]-IF(Grandview_Inventory[[#This Row],[no_utilities]]=1,12000,0))/IF(Grandview_Inventory[[#This Row],[unbuildable]]=1,2,1)</f>
        <v>119753.03584890213</v>
      </c>
      <c r="CA2837">
        <f>IF(ROUND(Grandview_Inventory[[#This Row],[adj_land]]*Lookups!$M$28,-2)&lt;Grandview_Inventory[[#This Row],[min_land]],Grandview_Inventory[[#This Row],[min_land]],ROUND(Grandview_Inventory[[#This Row],[adj_land]]*Lookups!$M$28,-2))</f>
        <v>113800</v>
      </c>
      <c r="CB2837">
        <f>ROUND(Grandview_Inventory[[#This Row],[det_value]]*Lookups!$M$28,-2)</f>
        <v>0</v>
      </c>
      <c r="CC283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7">
        <f>Grandview_Inventory[[#This Row],[final_det]]+Grandview_Inventory[[#This Row],[final_res]]</f>
        <v>0</v>
      </c>
      <c r="CE2837">
        <f>Grandview_Inventory[[#This Row],[final_land]]+Grandview_Inventory[[#This Row],[final_imp]]+Grandview_Inventory[[#This Row],[crop_value]]</f>
        <v>113800</v>
      </c>
      <c r="CG2837" t="str">
        <f t="shared" si="45"/>
        <v>update valuation set market_land =113800, market_bldg=0, market_total =113800, market_mdno =401, market_date ='9/10/2023' where link_id = (select link_id from parcel where parcel_year = '2024' and parcel_id = '23092624400');</v>
      </c>
    </row>
    <row r="2838" spans="1:85" x14ac:dyDescent="0.25">
      <c r="A2838">
        <v>23092624401</v>
      </c>
      <c r="B2838">
        <v>26.84</v>
      </c>
      <c r="C2838" t="s">
        <v>129</v>
      </c>
      <c r="D2838" t="s">
        <v>129</v>
      </c>
      <c r="E2838" t="s">
        <v>53</v>
      </c>
      <c r="F2838" t="s">
        <v>53</v>
      </c>
      <c r="G2838">
        <v>4</v>
      </c>
      <c r="H2838" t="s">
        <v>54</v>
      </c>
      <c r="I2838" t="s">
        <v>129</v>
      </c>
      <c r="J2838" t="s">
        <v>129</v>
      </c>
      <c r="K2838">
        <v>26.84</v>
      </c>
      <c r="L2838">
        <f>IF(Grandview_Inventory[[#This Row],[parcel_acres]]-Grandview_Inventory[[#This Row],[non_valued_acres]] =0,0,LN(Grandview_Inventory[[#This Row],[parcel_acres]]-Grandview_Inventory[[#This Row],[non_valued_acres]]))</f>
        <v>3.289893312103481</v>
      </c>
      <c r="M2838">
        <v>0</v>
      </c>
      <c r="N2838">
        <v>0</v>
      </c>
      <c r="O2838">
        <v>0</v>
      </c>
      <c r="P2838">
        <v>13398.7528</v>
      </c>
      <c r="Q2838">
        <v>63903</v>
      </c>
      <c r="R2838">
        <f>(Grandview_Inventory[[#This Row],[ln_acres]]*Grandview_Inventory[[#This Row],[coeff]])+Grandview_Inventory[[#This Row],[const]]</f>
        <v>107983.46722724779</v>
      </c>
      <c r="AY2838">
        <v>24000</v>
      </c>
      <c r="AZ2838">
        <v>0</v>
      </c>
      <c r="BE2838">
        <v>0</v>
      </c>
      <c r="BF2838">
        <v>15000</v>
      </c>
      <c r="BG2838">
        <v>0</v>
      </c>
      <c r="BH2838" s="6">
        <f>Grandview_Inventory[[#This Row],[land_extract]]*Lookups!$B$3</f>
        <v>125400.90893564135</v>
      </c>
      <c r="BI2838" s="6">
        <f>IF(Grandview_Inventory[[#This Row],[bldg_style]]="",0,Lookups!$B$2)</f>
        <v>0</v>
      </c>
      <c r="BJ2838" s="6">
        <f>_xlfn.IFNA(VLOOKUP(Grandview_Inventory[[#This Row],[quality]],Lookups!$H$2:$J$14,3,FALSE),0)</f>
        <v>0</v>
      </c>
      <c r="BK2838" s="6">
        <f>_xlfn.IFNA(VLOOKUP(Grandview_Inventory[[#This Row],[condition]],Lookups!$H$17:$J$24,3,FALSE),0)</f>
        <v>0</v>
      </c>
      <c r="BL2838" s="6">
        <f>Grandview_Inventory[[#This Row],[Eff_Age]]*Lookups!$B$14</f>
        <v>0</v>
      </c>
      <c r="BM2838" s="6">
        <f>Grandview_Inventory[[#This Row],[living_area]]*Lookups!$B$15</f>
        <v>0</v>
      </c>
      <c r="BN2838" s="6">
        <f>Grandview_Inventory[[#This Row],[Fin BSMT]]*Lookups!$B$16</f>
        <v>0</v>
      </c>
      <c r="BO2838" s="6">
        <f>(Grandview_Inventory[[#This Row],[att_gar]]+Grandview_Inventory[[#This Row],[bltin_gar]])*Lookups!$B$17</f>
        <v>0</v>
      </c>
      <c r="BP2838" s="6">
        <f>Grandview_Inventory[[#This Row],[Plumbing Fixtures]]*Lookups!$B$18</f>
        <v>0</v>
      </c>
      <c r="BQ2838" s="6">
        <f>Grandview_Inventory[[#This Row],[detatched_value]]*Lookups!$B$19</f>
        <v>0</v>
      </c>
      <c r="BR2838" s="6">
        <f>SUM(Grandview_Inventory[[#This Row],[Intercept]:[det_value]])*Grandview_Inventory[[#This Row],[res_pct]]</f>
        <v>0</v>
      </c>
      <c r="BS2838" s="6">
        <f>Grandview_Inventory[[#This Row],[land_value]]</f>
        <v>125400.90893564135</v>
      </c>
      <c r="BT2838" s="4">
        <f>_xlfn.IFNA(VLOOKUP(Grandview_Inventory[[#This Row],[quality]],Lookups!$A$26:$C$33,3,FALSE),1)</f>
        <v>1</v>
      </c>
      <c r="BU2838" s="4">
        <f>_xlfn.IFNA(VLOOKUP(Grandview_Inventory[[#This Row],[condition]],Lookups!$A$37:$C$44,3,FALSE),1)</f>
        <v>1</v>
      </c>
      <c r="BV2838" s="4">
        <f>IF(Grandview_Inventory[[#This Row],[bldg_style]]="",1,_xlfn.IFNA(VLOOKUP(Grandview_Inventory[[#This Row],[decade]],Lookups!$F$29:$H$43,3,FALSE),1))</f>
        <v>1</v>
      </c>
      <c r="BW2838" s="4">
        <f>_xlfn.IFNA(VLOOKUP(Grandview_Inventory[[#This Row],[living_area_range]],Lookups!$F$47:$H$56,3,FALSE),1)</f>
        <v>1</v>
      </c>
      <c r="BX2838" s="4">
        <f>AVERAGE(Grandview_Inventory[[#This Row],[qual_adj]:[size_adj]])</f>
        <v>1</v>
      </c>
      <c r="BY2838" s="6">
        <f>IF(Grandview_Inventory[[#This Row],[pre_res]]&lt;0,0,Grandview_Inventory[[#This Row],[pre_res]]*Grandview_Inventory[[#This Row],[overall_adj]])</f>
        <v>0</v>
      </c>
      <c r="BZ2838" s="6">
        <f>(Grandview_Inventory[[#This Row],[sum_land]]-IF(Grandview_Inventory[[#This Row],[no_utilities]]=1,12000,0))/IF(Grandview_Inventory[[#This Row],[unbuildable]]=1,2,1)</f>
        <v>125400.90893564135</v>
      </c>
      <c r="CA2838">
        <f>IF(ROUND(Grandview_Inventory[[#This Row],[adj_land]]*Lookups!$M$28,-2)&lt;Grandview_Inventory[[#This Row],[min_land]],Grandview_Inventory[[#This Row],[min_land]],ROUND(Grandview_Inventory[[#This Row],[adj_land]]*Lookups!$M$28,-2))</f>
        <v>119100</v>
      </c>
      <c r="CB2838">
        <f>ROUND(Grandview_Inventory[[#This Row],[det_value]]*Lookups!$M$28,-2)</f>
        <v>0</v>
      </c>
      <c r="CC283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8">
        <f>Grandview_Inventory[[#This Row],[final_det]]+Grandview_Inventory[[#This Row],[final_res]]</f>
        <v>0</v>
      </c>
      <c r="CE2838">
        <f>Grandview_Inventory[[#This Row],[final_land]]+Grandview_Inventory[[#This Row],[final_imp]]+Grandview_Inventory[[#This Row],[crop_value]]</f>
        <v>143100</v>
      </c>
      <c r="CG2838" t="str">
        <f t="shared" si="45"/>
        <v>update valuation set market_land =119100, market_bldg=0, market_total =143100, market_mdno =401, market_date ='9/10/2023' where link_id = (select link_id from parcel where parcel_year = '2024' and parcel_id = '23092624401');</v>
      </c>
    </row>
    <row r="2839" spans="1:85" x14ac:dyDescent="0.25">
      <c r="A2839">
        <v>23092711407</v>
      </c>
      <c r="B2839">
        <v>1.99</v>
      </c>
      <c r="C2839">
        <v>86778</v>
      </c>
      <c r="D2839" t="s">
        <v>129</v>
      </c>
      <c r="E2839" t="s">
        <v>53</v>
      </c>
      <c r="F2839" t="s">
        <v>53</v>
      </c>
      <c r="G2839">
        <v>4</v>
      </c>
      <c r="H2839" t="s">
        <v>54</v>
      </c>
      <c r="I2839">
        <v>0</v>
      </c>
      <c r="J2839">
        <v>35600</v>
      </c>
      <c r="K2839">
        <v>1.99</v>
      </c>
      <c r="L2839">
        <f>IF(Grandview_Inventory[[#This Row],[parcel_acres]]-Grandview_Inventory[[#This Row],[non_valued_acres]] =0,0,LN(Grandview_Inventory[[#This Row],[parcel_acres]]-Grandview_Inventory[[#This Row],[non_valued_acres]]))</f>
        <v>0.68813463873640102</v>
      </c>
      <c r="M2839">
        <v>0</v>
      </c>
      <c r="N2839">
        <v>0</v>
      </c>
      <c r="O2839">
        <v>1</v>
      </c>
      <c r="P2839">
        <v>13398.7528</v>
      </c>
      <c r="Q2839">
        <v>63903</v>
      </c>
      <c r="R2839">
        <f>(Grandview_Inventory[[#This Row],[ln_acres]]*Grandview_Inventory[[#This Row],[coeff]])+Grandview_Inventory[[#This Row],[const]]</f>
        <v>73123.145917546339</v>
      </c>
      <c r="AY2839">
        <v>0</v>
      </c>
      <c r="AZ2839">
        <v>0</v>
      </c>
      <c r="BE2839">
        <v>0</v>
      </c>
      <c r="BF2839">
        <v>3000</v>
      </c>
      <c r="BG2839">
        <v>0</v>
      </c>
      <c r="BH2839" s="6">
        <f>Grandview_Inventory[[#This Row],[land_extract]]*Lookups!$B$3</f>
        <v>84917.711921552589</v>
      </c>
      <c r="BI2839" s="6">
        <f>IF(Grandview_Inventory[[#This Row],[bldg_style]]="",0,Lookups!$B$2)</f>
        <v>0</v>
      </c>
      <c r="BJ2839" s="6">
        <f>_xlfn.IFNA(VLOOKUP(Grandview_Inventory[[#This Row],[quality]],Lookups!$H$2:$J$14,3,FALSE),0)</f>
        <v>0</v>
      </c>
      <c r="BK2839" s="6">
        <f>_xlfn.IFNA(VLOOKUP(Grandview_Inventory[[#This Row],[condition]],Lookups!$H$17:$J$24,3,FALSE),0)</f>
        <v>0</v>
      </c>
      <c r="BL2839" s="6">
        <f>Grandview_Inventory[[#This Row],[Eff_Age]]*Lookups!$B$14</f>
        <v>0</v>
      </c>
      <c r="BM2839" s="6">
        <f>Grandview_Inventory[[#This Row],[living_area]]*Lookups!$B$15</f>
        <v>0</v>
      </c>
      <c r="BN2839" s="6">
        <f>Grandview_Inventory[[#This Row],[Fin BSMT]]*Lookups!$B$16</f>
        <v>0</v>
      </c>
      <c r="BO2839" s="6">
        <f>(Grandview_Inventory[[#This Row],[att_gar]]+Grandview_Inventory[[#This Row],[bltin_gar]])*Lookups!$B$17</f>
        <v>0</v>
      </c>
      <c r="BP2839" s="6">
        <f>Grandview_Inventory[[#This Row],[Plumbing Fixtures]]*Lookups!$B$18</f>
        <v>0</v>
      </c>
      <c r="BQ2839" s="6">
        <f>Grandview_Inventory[[#This Row],[detatched_value]]*Lookups!$B$19</f>
        <v>0</v>
      </c>
      <c r="BR2839" s="6">
        <f>SUM(Grandview_Inventory[[#This Row],[Intercept]:[det_value]])*Grandview_Inventory[[#This Row],[res_pct]]</f>
        <v>0</v>
      </c>
      <c r="BS2839" s="6">
        <f>Grandview_Inventory[[#This Row],[land_value]]</f>
        <v>84917.711921552589</v>
      </c>
      <c r="BT2839" s="4">
        <f>_xlfn.IFNA(VLOOKUP(Grandview_Inventory[[#This Row],[quality]],Lookups!$A$26:$C$33,3,FALSE),1)</f>
        <v>1</v>
      </c>
      <c r="BU2839" s="4">
        <f>_xlfn.IFNA(VLOOKUP(Grandview_Inventory[[#This Row],[condition]],Lookups!$A$37:$C$44,3,FALSE),1)</f>
        <v>1</v>
      </c>
      <c r="BV2839" s="4">
        <f>IF(Grandview_Inventory[[#This Row],[bldg_style]]="",1,_xlfn.IFNA(VLOOKUP(Grandview_Inventory[[#This Row],[decade]],Lookups!$F$29:$H$43,3,FALSE),1))</f>
        <v>1</v>
      </c>
      <c r="BW2839" s="4">
        <f>_xlfn.IFNA(VLOOKUP(Grandview_Inventory[[#This Row],[living_area_range]],Lookups!$F$47:$H$56,3,FALSE),1)</f>
        <v>1</v>
      </c>
      <c r="BX2839" s="4">
        <f>AVERAGE(Grandview_Inventory[[#This Row],[qual_adj]:[size_adj]])</f>
        <v>1</v>
      </c>
      <c r="BY2839" s="6">
        <f>IF(Grandview_Inventory[[#This Row],[pre_res]]&lt;0,0,Grandview_Inventory[[#This Row],[pre_res]]*Grandview_Inventory[[#This Row],[overall_adj]])</f>
        <v>0</v>
      </c>
      <c r="BZ2839" s="6">
        <f>(Grandview_Inventory[[#This Row],[sum_land]]-IF(Grandview_Inventory[[#This Row],[no_utilities]]=1,12000,0))/IF(Grandview_Inventory[[#This Row],[unbuildable]]=1,2,1)</f>
        <v>72917.711921552589</v>
      </c>
      <c r="CA2839">
        <f>IF(ROUND(Grandview_Inventory[[#This Row],[adj_land]]*Lookups!$M$28,-2)&lt;Grandview_Inventory[[#This Row],[min_land]],Grandview_Inventory[[#This Row],[min_land]],ROUND(Grandview_Inventory[[#This Row],[adj_land]]*Lookups!$M$28,-2))</f>
        <v>69300</v>
      </c>
      <c r="CB2839">
        <f>ROUND(Grandview_Inventory[[#This Row],[det_value]]*Lookups!$M$28,-2)</f>
        <v>0</v>
      </c>
      <c r="CC283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39">
        <f>Grandview_Inventory[[#This Row],[final_det]]+Grandview_Inventory[[#This Row],[final_res]]</f>
        <v>0</v>
      </c>
      <c r="CE2839">
        <f>Grandview_Inventory[[#This Row],[final_land]]+Grandview_Inventory[[#This Row],[final_imp]]+Grandview_Inventory[[#This Row],[crop_value]]</f>
        <v>69300</v>
      </c>
      <c r="CG2839" t="str">
        <f t="shared" si="45"/>
        <v>update valuation set market_land =69300, market_bldg=0, market_total =69300, market_mdno =401, market_date ='9/10/2023' where link_id = (select link_id from parcel where parcel_year = '2024' and parcel_id = '23092711407');</v>
      </c>
    </row>
    <row r="2840" spans="1:85" x14ac:dyDescent="0.25">
      <c r="A2840">
        <v>23092711409</v>
      </c>
      <c r="B2840">
        <v>0.62</v>
      </c>
      <c r="C2840">
        <v>26921</v>
      </c>
      <c r="D2840" t="s">
        <v>129</v>
      </c>
      <c r="E2840" t="s">
        <v>53</v>
      </c>
      <c r="F2840" t="s">
        <v>53</v>
      </c>
      <c r="G2840">
        <v>4</v>
      </c>
      <c r="H2840" t="s">
        <v>54</v>
      </c>
      <c r="I2840">
        <v>0</v>
      </c>
      <c r="J2840">
        <v>22700</v>
      </c>
      <c r="K2840">
        <v>0.62</v>
      </c>
      <c r="L2840">
        <f>IF(Grandview_Inventory[[#This Row],[parcel_acres]]-Grandview_Inventory[[#This Row],[non_valued_acres]] =0,0,LN(Grandview_Inventory[[#This Row],[parcel_acres]]-Grandview_Inventory[[#This Row],[non_valued_acres]]))</f>
        <v>-0.4780358009429998</v>
      </c>
      <c r="M2840">
        <v>0</v>
      </c>
      <c r="N2840">
        <v>0</v>
      </c>
      <c r="O2840">
        <v>1</v>
      </c>
      <c r="P2840">
        <v>13398.7528</v>
      </c>
      <c r="Q2840">
        <v>63903</v>
      </c>
      <c r="R2840">
        <f>(Grandview_Inventory[[#This Row],[ln_acres]]*Grandview_Inventory[[#This Row],[coeff]])+Grandview_Inventory[[#This Row],[const]]</f>
        <v>57497.916473614736</v>
      </c>
      <c r="AY2840">
        <v>0</v>
      </c>
      <c r="AZ2840">
        <v>0</v>
      </c>
      <c r="BE2840">
        <v>0</v>
      </c>
      <c r="BF2840">
        <v>3000</v>
      </c>
      <c r="BG2840">
        <v>0</v>
      </c>
      <c r="BH2840" s="6">
        <f>Grandview_Inventory[[#This Row],[land_extract]]*Lookups!$B$3</f>
        <v>66772.175156434314</v>
      </c>
      <c r="BI2840" s="6">
        <f>IF(Grandview_Inventory[[#This Row],[bldg_style]]="",0,Lookups!$B$2)</f>
        <v>0</v>
      </c>
      <c r="BJ2840" s="6">
        <f>_xlfn.IFNA(VLOOKUP(Grandview_Inventory[[#This Row],[quality]],Lookups!$H$2:$J$14,3,FALSE),0)</f>
        <v>0</v>
      </c>
      <c r="BK2840" s="6">
        <f>_xlfn.IFNA(VLOOKUP(Grandview_Inventory[[#This Row],[condition]],Lookups!$H$17:$J$24,3,FALSE),0)</f>
        <v>0</v>
      </c>
      <c r="BL2840" s="6">
        <f>Grandview_Inventory[[#This Row],[Eff_Age]]*Lookups!$B$14</f>
        <v>0</v>
      </c>
      <c r="BM2840" s="6">
        <f>Grandview_Inventory[[#This Row],[living_area]]*Lookups!$B$15</f>
        <v>0</v>
      </c>
      <c r="BN2840" s="6">
        <f>Grandview_Inventory[[#This Row],[Fin BSMT]]*Lookups!$B$16</f>
        <v>0</v>
      </c>
      <c r="BO2840" s="6">
        <f>(Grandview_Inventory[[#This Row],[att_gar]]+Grandview_Inventory[[#This Row],[bltin_gar]])*Lookups!$B$17</f>
        <v>0</v>
      </c>
      <c r="BP2840" s="6">
        <f>Grandview_Inventory[[#This Row],[Plumbing Fixtures]]*Lookups!$B$18</f>
        <v>0</v>
      </c>
      <c r="BQ2840" s="6">
        <f>Grandview_Inventory[[#This Row],[detatched_value]]*Lookups!$B$19</f>
        <v>0</v>
      </c>
      <c r="BR2840" s="6">
        <f>SUM(Grandview_Inventory[[#This Row],[Intercept]:[det_value]])*Grandview_Inventory[[#This Row],[res_pct]]</f>
        <v>0</v>
      </c>
      <c r="BS2840" s="6">
        <f>Grandview_Inventory[[#This Row],[land_value]]</f>
        <v>66772.175156434314</v>
      </c>
      <c r="BT2840" s="4">
        <f>_xlfn.IFNA(VLOOKUP(Grandview_Inventory[[#This Row],[quality]],Lookups!$A$26:$C$33,3,FALSE),1)</f>
        <v>1</v>
      </c>
      <c r="BU2840" s="4">
        <f>_xlfn.IFNA(VLOOKUP(Grandview_Inventory[[#This Row],[condition]],Lookups!$A$37:$C$44,3,FALSE),1)</f>
        <v>1</v>
      </c>
      <c r="BV2840" s="4">
        <f>IF(Grandview_Inventory[[#This Row],[bldg_style]]="",1,_xlfn.IFNA(VLOOKUP(Grandview_Inventory[[#This Row],[decade]],Lookups!$F$29:$H$43,3,FALSE),1))</f>
        <v>1</v>
      </c>
      <c r="BW2840" s="4">
        <f>_xlfn.IFNA(VLOOKUP(Grandview_Inventory[[#This Row],[living_area_range]],Lookups!$F$47:$H$56,3,FALSE),1)</f>
        <v>1</v>
      </c>
      <c r="BX2840" s="4">
        <f>AVERAGE(Grandview_Inventory[[#This Row],[qual_adj]:[size_adj]])</f>
        <v>1</v>
      </c>
      <c r="BY2840" s="6">
        <f>IF(Grandview_Inventory[[#This Row],[pre_res]]&lt;0,0,Grandview_Inventory[[#This Row],[pre_res]]*Grandview_Inventory[[#This Row],[overall_adj]])</f>
        <v>0</v>
      </c>
      <c r="BZ2840" s="6">
        <f>(Grandview_Inventory[[#This Row],[sum_land]]-IF(Grandview_Inventory[[#This Row],[no_utilities]]=1,12000,0))/IF(Grandview_Inventory[[#This Row],[unbuildable]]=1,2,1)</f>
        <v>54772.175156434314</v>
      </c>
      <c r="CA2840">
        <f>IF(ROUND(Grandview_Inventory[[#This Row],[adj_land]]*Lookups!$M$28,-2)&lt;Grandview_Inventory[[#This Row],[min_land]],Grandview_Inventory[[#This Row],[min_land]],ROUND(Grandview_Inventory[[#This Row],[adj_land]]*Lookups!$M$28,-2))</f>
        <v>52000</v>
      </c>
      <c r="CB2840">
        <f>ROUND(Grandview_Inventory[[#This Row],[det_value]]*Lookups!$M$28,-2)</f>
        <v>0</v>
      </c>
      <c r="CC284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0">
        <f>Grandview_Inventory[[#This Row],[final_det]]+Grandview_Inventory[[#This Row],[final_res]]</f>
        <v>0</v>
      </c>
      <c r="CE2840">
        <f>Grandview_Inventory[[#This Row],[final_land]]+Grandview_Inventory[[#This Row],[final_imp]]+Grandview_Inventory[[#This Row],[crop_value]]</f>
        <v>52000</v>
      </c>
      <c r="CG2840" t="str">
        <f t="shared" si="45"/>
        <v>update valuation set market_land =52000, market_bldg=0, market_total =52000, market_mdno =401, market_date ='9/10/2023' where link_id = (select link_id from parcel where parcel_year = '2024' and parcel_id = '23092711409');</v>
      </c>
    </row>
    <row r="2841" spans="1:85" x14ac:dyDescent="0.25">
      <c r="A2841">
        <v>23092711416</v>
      </c>
      <c r="B2841">
        <v>1.1399999999999999</v>
      </c>
      <c r="C2841">
        <v>49831</v>
      </c>
      <c r="D2841" t="s">
        <v>129</v>
      </c>
      <c r="E2841" t="s">
        <v>53</v>
      </c>
      <c r="F2841" t="s">
        <v>53</v>
      </c>
      <c r="G2841">
        <v>4</v>
      </c>
      <c r="H2841" t="s">
        <v>54</v>
      </c>
      <c r="I2841">
        <v>0</v>
      </c>
      <c r="J2841">
        <v>29200</v>
      </c>
      <c r="K2841">
        <v>1.1399999999999999</v>
      </c>
      <c r="L2841">
        <f>IF(Grandview_Inventory[[#This Row],[parcel_acres]]-Grandview_Inventory[[#This Row],[non_valued_acres]] =0,0,LN(Grandview_Inventory[[#This Row],[parcel_acres]]-Grandview_Inventory[[#This Row],[non_valued_acres]]))</f>
        <v>0.131028262406404</v>
      </c>
      <c r="M2841">
        <v>0</v>
      </c>
      <c r="N2841">
        <v>0</v>
      </c>
      <c r="O2841">
        <v>1</v>
      </c>
      <c r="P2841">
        <v>13398.7528</v>
      </c>
      <c r="Q2841">
        <v>63903</v>
      </c>
      <c r="R2841">
        <f>(Grandview_Inventory[[#This Row],[ln_acres]]*Grandview_Inventory[[#This Row],[coeff]])+Grandview_Inventory[[#This Row],[const]]</f>
        <v>65658.615297796947</v>
      </c>
      <c r="AY2841">
        <v>0</v>
      </c>
      <c r="AZ2841">
        <v>0</v>
      </c>
      <c r="BE2841">
        <v>0</v>
      </c>
      <c r="BF2841">
        <v>3000</v>
      </c>
      <c r="BG2841">
        <v>0</v>
      </c>
      <c r="BH2841" s="6">
        <f>Grandview_Inventory[[#This Row],[land_extract]]*Lookups!$B$3</f>
        <v>76249.172667070292</v>
      </c>
      <c r="BI2841" s="6">
        <f>IF(Grandview_Inventory[[#This Row],[bldg_style]]="",0,Lookups!$B$2)</f>
        <v>0</v>
      </c>
      <c r="BJ2841" s="6">
        <f>_xlfn.IFNA(VLOOKUP(Grandview_Inventory[[#This Row],[quality]],Lookups!$H$2:$J$14,3,FALSE),0)</f>
        <v>0</v>
      </c>
      <c r="BK2841" s="6">
        <f>_xlfn.IFNA(VLOOKUP(Grandview_Inventory[[#This Row],[condition]],Lookups!$H$17:$J$24,3,FALSE),0)</f>
        <v>0</v>
      </c>
      <c r="BL2841" s="6">
        <f>Grandview_Inventory[[#This Row],[Eff_Age]]*Lookups!$B$14</f>
        <v>0</v>
      </c>
      <c r="BM2841" s="6">
        <f>Grandview_Inventory[[#This Row],[living_area]]*Lookups!$B$15</f>
        <v>0</v>
      </c>
      <c r="BN2841" s="6">
        <f>Grandview_Inventory[[#This Row],[Fin BSMT]]*Lookups!$B$16</f>
        <v>0</v>
      </c>
      <c r="BO2841" s="6">
        <f>(Grandview_Inventory[[#This Row],[att_gar]]+Grandview_Inventory[[#This Row],[bltin_gar]])*Lookups!$B$17</f>
        <v>0</v>
      </c>
      <c r="BP2841" s="6">
        <f>Grandview_Inventory[[#This Row],[Plumbing Fixtures]]*Lookups!$B$18</f>
        <v>0</v>
      </c>
      <c r="BQ2841" s="6">
        <f>Grandview_Inventory[[#This Row],[detatched_value]]*Lookups!$B$19</f>
        <v>0</v>
      </c>
      <c r="BR2841" s="6">
        <f>SUM(Grandview_Inventory[[#This Row],[Intercept]:[det_value]])*Grandview_Inventory[[#This Row],[res_pct]]</f>
        <v>0</v>
      </c>
      <c r="BS2841" s="6">
        <f>Grandview_Inventory[[#This Row],[land_value]]</f>
        <v>76249.172667070292</v>
      </c>
      <c r="BT2841" s="4">
        <f>_xlfn.IFNA(VLOOKUP(Grandview_Inventory[[#This Row],[quality]],Lookups!$A$26:$C$33,3,FALSE),1)</f>
        <v>1</v>
      </c>
      <c r="BU2841" s="4">
        <f>_xlfn.IFNA(VLOOKUP(Grandview_Inventory[[#This Row],[condition]],Lookups!$A$37:$C$44,3,FALSE),1)</f>
        <v>1</v>
      </c>
      <c r="BV2841" s="4">
        <f>IF(Grandview_Inventory[[#This Row],[bldg_style]]="",1,_xlfn.IFNA(VLOOKUP(Grandview_Inventory[[#This Row],[decade]],Lookups!$F$29:$H$43,3,FALSE),1))</f>
        <v>1</v>
      </c>
      <c r="BW2841" s="4">
        <f>_xlfn.IFNA(VLOOKUP(Grandview_Inventory[[#This Row],[living_area_range]],Lookups!$F$47:$H$56,3,FALSE),1)</f>
        <v>1</v>
      </c>
      <c r="BX2841" s="4">
        <f>AVERAGE(Grandview_Inventory[[#This Row],[qual_adj]:[size_adj]])</f>
        <v>1</v>
      </c>
      <c r="BY2841" s="6">
        <f>IF(Grandview_Inventory[[#This Row],[pre_res]]&lt;0,0,Grandview_Inventory[[#This Row],[pre_res]]*Grandview_Inventory[[#This Row],[overall_adj]])</f>
        <v>0</v>
      </c>
      <c r="BZ2841" s="6">
        <f>(Grandview_Inventory[[#This Row],[sum_land]]-IF(Grandview_Inventory[[#This Row],[no_utilities]]=1,12000,0))/IF(Grandview_Inventory[[#This Row],[unbuildable]]=1,2,1)</f>
        <v>64249.172667070292</v>
      </c>
      <c r="CA2841">
        <f>IF(ROUND(Grandview_Inventory[[#This Row],[adj_land]]*Lookups!$M$28,-2)&lt;Grandview_Inventory[[#This Row],[min_land]],Grandview_Inventory[[#This Row],[min_land]],ROUND(Grandview_Inventory[[#This Row],[adj_land]]*Lookups!$M$28,-2))</f>
        <v>61000</v>
      </c>
      <c r="CB2841">
        <f>ROUND(Grandview_Inventory[[#This Row],[det_value]]*Lookups!$M$28,-2)</f>
        <v>0</v>
      </c>
      <c r="CC284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1">
        <f>Grandview_Inventory[[#This Row],[final_det]]+Grandview_Inventory[[#This Row],[final_res]]</f>
        <v>0</v>
      </c>
      <c r="CE2841">
        <f>Grandview_Inventory[[#This Row],[final_land]]+Grandview_Inventory[[#This Row],[final_imp]]+Grandview_Inventory[[#This Row],[crop_value]]</f>
        <v>61000</v>
      </c>
      <c r="CG2841" t="str">
        <f t="shared" si="45"/>
        <v>update valuation set market_land =61000, market_bldg=0, market_total =61000, market_mdno =401, market_date ='9/10/2023' where link_id = (select link_id from parcel where parcel_year = '2024' and parcel_id = '23092711416');</v>
      </c>
    </row>
    <row r="2842" spans="1:85" x14ac:dyDescent="0.25">
      <c r="A2842">
        <v>23092711418</v>
      </c>
      <c r="B2842">
        <v>1.94</v>
      </c>
      <c r="C2842">
        <v>84422</v>
      </c>
      <c r="D2842" t="s">
        <v>129</v>
      </c>
      <c r="E2842" t="s">
        <v>53</v>
      </c>
      <c r="F2842" t="s">
        <v>53</v>
      </c>
      <c r="G2842">
        <v>4</v>
      </c>
      <c r="H2842" t="s">
        <v>54</v>
      </c>
      <c r="I2842">
        <v>0</v>
      </c>
      <c r="J2842">
        <v>56200</v>
      </c>
      <c r="K2842">
        <v>1.94</v>
      </c>
      <c r="L2842">
        <f>IF(Grandview_Inventory[[#This Row],[parcel_acres]]-Grandview_Inventory[[#This Row],[non_valued_acres]] =0,0,LN(Grandview_Inventory[[#This Row],[parcel_acres]]-Grandview_Inventory[[#This Row],[non_valued_acres]]))</f>
        <v>0.66268797307523675</v>
      </c>
      <c r="M2842">
        <v>0</v>
      </c>
      <c r="N2842">
        <v>0</v>
      </c>
      <c r="O2842">
        <v>0</v>
      </c>
      <c r="P2842">
        <v>13398.7528</v>
      </c>
      <c r="Q2842">
        <v>63903</v>
      </c>
      <c r="R2842">
        <f>(Grandview_Inventory[[#This Row],[ln_acres]]*Grandview_Inventory[[#This Row],[coeff]])+Grandview_Inventory[[#This Row],[const]]</f>
        <v>72782.192334768159</v>
      </c>
      <c r="AY2842">
        <v>0</v>
      </c>
      <c r="AZ2842">
        <v>0</v>
      </c>
      <c r="BE2842">
        <v>0</v>
      </c>
      <c r="BF2842">
        <v>15000</v>
      </c>
      <c r="BG2842">
        <v>0</v>
      </c>
      <c r="BH2842" s="6">
        <f>Grandview_Inventory[[#This Row],[land_extract]]*Lookups!$B$3</f>
        <v>84521.763446446959</v>
      </c>
      <c r="BI2842" s="6">
        <f>IF(Grandview_Inventory[[#This Row],[bldg_style]]="",0,Lookups!$B$2)</f>
        <v>0</v>
      </c>
      <c r="BJ2842" s="6">
        <f>_xlfn.IFNA(VLOOKUP(Grandview_Inventory[[#This Row],[quality]],Lookups!$H$2:$J$14,3,FALSE),0)</f>
        <v>0</v>
      </c>
      <c r="BK2842" s="6">
        <f>_xlfn.IFNA(VLOOKUP(Grandview_Inventory[[#This Row],[condition]],Lookups!$H$17:$J$24,3,FALSE),0)</f>
        <v>0</v>
      </c>
      <c r="BL2842" s="6">
        <f>Grandview_Inventory[[#This Row],[Eff_Age]]*Lookups!$B$14</f>
        <v>0</v>
      </c>
      <c r="BM2842" s="6">
        <f>Grandview_Inventory[[#This Row],[living_area]]*Lookups!$B$15</f>
        <v>0</v>
      </c>
      <c r="BN2842" s="6">
        <f>Grandview_Inventory[[#This Row],[Fin BSMT]]*Lookups!$B$16</f>
        <v>0</v>
      </c>
      <c r="BO2842" s="6">
        <f>(Grandview_Inventory[[#This Row],[att_gar]]+Grandview_Inventory[[#This Row],[bltin_gar]])*Lookups!$B$17</f>
        <v>0</v>
      </c>
      <c r="BP2842" s="6">
        <f>Grandview_Inventory[[#This Row],[Plumbing Fixtures]]*Lookups!$B$18</f>
        <v>0</v>
      </c>
      <c r="BQ2842" s="6">
        <f>Grandview_Inventory[[#This Row],[detatched_value]]*Lookups!$B$19</f>
        <v>0</v>
      </c>
      <c r="BR2842" s="6">
        <f>SUM(Grandview_Inventory[[#This Row],[Intercept]:[det_value]])*Grandview_Inventory[[#This Row],[res_pct]]</f>
        <v>0</v>
      </c>
      <c r="BS2842" s="6">
        <f>Grandview_Inventory[[#This Row],[land_value]]</f>
        <v>84521.763446446959</v>
      </c>
      <c r="BT2842" s="4">
        <f>_xlfn.IFNA(VLOOKUP(Grandview_Inventory[[#This Row],[quality]],Lookups!$A$26:$C$33,3,FALSE),1)</f>
        <v>1</v>
      </c>
      <c r="BU2842" s="4">
        <f>_xlfn.IFNA(VLOOKUP(Grandview_Inventory[[#This Row],[condition]],Lookups!$A$37:$C$44,3,FALSE),1)</f>
        <v>1</v>
      </c>
      <c r="BV2842" s="4">
        <f>IF(Grandview_Inventory[[#This Row],[bldg_style]]="",1,_xlfn.IFNA(VLOOKUP(Grandview_Inventory[[#This Row],[decade]],Lookups!$F$29:$H$43,3,FALSE),1))</f>
        <v>1</v>
      </c>
      <c r="BW2842" s="4">
        <f>_xlfn.IFNA(VLOOKUP(Grandview_Inventory[[#This Row],[living_area_range]],Lookups!$F$47:$H$56,3,FALSE),1)</f>
        <v>1</v>
      </c>
      <c r="BX2842" s="4">
        <f>AVERAGE(Grandview_Inventory[[#This Row],[qual_adj]:[size_adj]])</f>
        <v>1</v>
      </c>
      <c r="BY2842" s="6">
        <f>IF(Grandview_Inventory[[#This Row],[pre_res]]&lt;0,0,Grandview_Inventory[[#This Row],[pre_res]]*Grandview_Inventory[[#This Row],[overall_adj]])</f>
        <v>0</v>
      </c>
      <c r="BZ2842" s="6">
        <f>(Grandview_Inventory[[#This Row],[sum_land]]-IF(Grandview_Inventory[[#This Row],[no_utilities]]=1,12000,0))/IF(Grandview_Inventory[[#This Row],[unbuildable]]=1,2,1)</f>
        <v>84521.763446446959</v>
      </c>
      <c r="CA2842">
        <f>IF(ROUND(Grandview_Inventory[[#This Row],[adj_land]]*Lookups!$M$28,-2)&lt;Grandview_Inventory[[#This Row],[min_land]],Grandview_Inventory[[#This Row],[min_land]],ROUND(Grandview_Inventory[[#This Row],[adj_land]]*Lookups!$M$28,-2))</f>
        <v>80300</v>
      </c>
      <c r="CB2842">
        <f>ROUND(Grandview_Inventory[[#This Row],[det_value]]*Lookups!$M$28,-2)</f>
        <v>0</v>
      </c>
      <c r="CC284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2">
        <f>Grandview_Inventory[[#This Row],[final_det]]+Grandview_Inventory[[#This Row],[final_res]]</f>
        <v>0</v>
      </c>
      <c r="CE2842">
        <f>Grandview_Inventory[[#This Row],[final_land]]+Grandview_Inventory[[#This Row],[final_imp]]+Grandview_Inventory[[#This Row],[crop_value]]</f>
        <v>80300</v>
      </c>
      <c r="CG2842" t="str">
        <f t="shared" si="45"/>
        <v>update valuation set market_land =80300, market_bldg=0, market_total =80300, market_mdno =401, market_date ='9/10/2023' where link_id = (select link_id from parcel where parcel_year = '2024' and parcel_id = '23092711418');</v>
      </c>
    </row>
    <row r="2843" spans="1:85" x14ac:dyDescent="0.25">
      <c r="A2843">
        <v>23092711425</v>
      </c>
      <c r="B2843">
        <v>1.77</v>
      </c>
      <c r="C2843">
        <v>77012</v>
      </c>
      <c r="D2843" t="s">
        <v>129</v>
      </c>
      <c r="E2843" t="s">
        <v>53</v>
      </c>
      <c r="F2843" t="s">
        <v>53</v>
      </c>
      <c r="G2843">
        <v>4</v>
      </c>
      <c r="H2843" t="s">
        <v>54</v>
      </c>
      <c r="I2843">
        <v>0</v>
      </c>
      <c r="J2843">
        <v>34200</v>
      </c>
      <c r="K2843">
        <v>1.77</v>
      </c>
      <c r="L2843">
        <f>IF(Grandview_Inventory[[#This Row],[parcel_acres]]-Grandview_Inventory[[#This Row],[non_valued_acres]] =0,0,LN(Grandview_Inventory[[#This Row],[parcel_acres]]-Grandview_Inventory[[#This Row],[non_valued_acres]]))</f>
        <v>0.5709795465857378</v>
      </c>
      <c r="M2843">
        <v>0</v>
      </c>
      <c r="N2843">
        <v>0</v>
      </c>
      <c r="O2843">
        <v>1</v>
      </c>
      <c r="P2843">
        <v>13398.7528</v>
      </c>
      <c r="Q2843">
        <v>63903</v>
      </c>
      <c r="R2843">
        <f>(Grandview_Inventory[[#This Row],[ln_acres]]*Grandview_Inventory[[#This Row],[coeff]])+Grandview_Inventory[[#This Row],[const]]</f>
        <v>71553.41379855838</v>
      </c>
      <c r="AY2843">
        <v>0</v>
      </c>
      <c r="AZ2843">
        <v>0</v>
      </c>
      <c r="BE2843">
        <v>0</v>
      </c>
      <c r="BF2843">
        <v>3000</v>
      </c>
      <c r="BG2843">
        <v>0</v>
      </c>
      <c r="BH2843" s="6">
        <f>Grandview_Inventory[[#This Row],[land_extract]]*Lookups!$B$3</f>
        <v>83094.786250048594</v>
      </c>
      <c r="BI2843" s="6">
        <f>IF(Grandview_Inventory[[#This Row],[bldg_style]]="",0,Lookups!$B$2)</f>
        <v>0</v>
      </c>
      <c r="BJ2843" s="6">
        <f>_xlfn.IFNA(VLOOKUP(Grandview_Inventory[[#This Row],[quality]],Lookups!$H$2:$J$14,3,FALSE),0)</f>
        <v>0</v>
      </c>
      <c r="BK2843" s="6">
        <f>_xlfn.IFNA(VLOOKUP(Grandview_Inventory[[#This Row],[condition]],Lookups!$H$17:$J$24,3,FALSE),0)</f>
        <v>0</v>
      </c>
      <c r="BL2843" s="6">
        <f>Grandview_Inventory[[#This Row],[Eff_Age]]*Lookups!$B$14</f>
        <v>0</v>
      </c>
      <c r="BM2843" s="6">
        <f>Grandview_Inventory[[#This Row],[living_area]]*Lookups!$B$15</f>
        <v>0</v>
      </c>
      <c r="BN2843" s="6">
        <f>Grandview_Inventory[[#This Row],[Fin BSMT]]*Lookups!$B$16</f>
        <v>0</v>
      </c>
      <c r="BO2843" s="6">
        <f>(Grandview_Inventory[[#This Row],[att_gar]]+Grandview_Inventory[[#This Row],[bltin_gar]])*Lookups!$B$17</f>
        <v>0</v>
      </c>
      <c r="BP2843" s="6">
        <f>Grandview_Inventory[[#This Row],[Plumbing Fixtures]]*Lookups!$B$18</f>
        <v>0</v>
      </c>
      <c r="BQ2843" s="6">
        <f>Grandview_Inventory[[#This Row],[detatched_value]]*Lookups!$B$19</f>
        <v>0</v>
      </c>
      <c r="BR2843" s="6">
        <f>SUM(Grandview_Inventory[[#This Row],[Intercept]:[det_value]])*Grandview_Inventory[[#This Row],[res_pct]]</f>
        <v>0</v>
      </c>
      <c r="BS2843" s="6">
        <f>Grandview_Inventory[[#This Row],[land_value]]</f>
        <v>83094.786250048594</v>
      </c>
      <c r="BT2843" s="4">
        <f>_xlfn.IFNA(VLOOKUP(Grandview_Inventory[[#This Row],[quality]],Lookups!$A$26:$C$33,3,FALSE),1)</f>
        <v>1</v>
      </c>
      <c r="BU2843" s="4">
        <f>_xlfn.IFNA(VLOOKUP(Grandview_Inventory[[#This Row],[condition]],Lookups!$A$37:$C$44,3,FALSE),1)</f>
        <v>1</v>
      </c>
      <c r="BV2843" s="4">
        <f>IF(Grandview_Inventory[[#This Row],[bldg_style]]="",1,_xlfn.IFNA(VLOOKUP(Grandview_Inventory[[#This Row],[decade]],Lookups!$F$29:$H$43,3,FALSE),1))</f>
        <v>1</v>
      </c>
      <c r="BW2843" s="4">
        <f>_xlfn.IFNA(VLOOKUP(Grandview_Inventory[[#This Row],[living_area_range]],Lookups!$F$47:$H$56,3,FALSE),1)</f>
        <v>1</v>
      </c>
      <c r="BX2843" s="4">
        <f>AVERAGE(Grandview_Inventory[[#This Row],[qual_adj]:[size_adj]])</f>
        <v>1</v>
      </c>
      <c r="BY2843" s="6">
        <f>IF(Grandview_Inventory[[#This Row],[pre_res]]&lt;0,0,Grandview_Inventory[[#This Row],[pre_res]]*Grandview_Inventory[[#This Row],[overall_adj]])</f>
        <v>0</v>
      </c>
      <c r="BZ2843" s="6">
        <f>(Grandview_Inventory[[#This Row],[sum_land]]-IF(Grandview_Inventory[[#This Row],[no_utilities]]=1,12000,0))/IF(Grandview_Inventory[[#This Row],[unbuildable]]=1,2,1)</f>
        <v>71094.786250048594</v>
      </c>
      <c r="CA2843">
        <f>IF(ROUND(Grandview_Inventory[[#This Row],[adj_land]]*Lookups!$M$28,-2)&lt;Grandview_Inventory[[#This Row],[min_land]],Grandview_Inventory[[#This Row],[min_land]],ROUND(Grandview_Inventory[[#This Row],[adj_land]]*Lookups!$M$28,-2))</f>
        <v>67500</v>
      </c>
      <c r="CB2843">
        <f>ROUND(Grandview_Inventory[[#This Row],[det_value]]*Lookups!$M$28,-2)</f>
        <v>0</v>
      </c>
      <c r="CC284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3">
        <f>Grandview_Inventory[[#This Row],[final_det]]+Grandview_Inventory[[#This Row],[final_res]]</f>
        <v>0</v>
      </c>
      <c r="CE2843">
        <f>Grandview_Inventory[[#This Row],[final_land]]+Grandview_Inventory[[#This Row],[final_imp]]+Grandview_Inventory[[#This Row],[crop_value]]</f>
        <v>67500</v>
      </c>
      <c r="CG2843" t="str">
        <f t="shared" si="45"/>
        <v>update valuation set market_land =67500, market_bldg=0, market_total =67500, market_mdno =401, market_date ='9/10/2023' where link_id = (select link_id from parcel where parcel_year = '2024' and parcel_id = '23092711425');</v>
      </c>
    </row>
    <row r="2844" spans="1:85" x14ac:dyDescent="0.25">
      <c r="A2844">
        <v>23092711427</v>
      </c>
      <c r="B2844">
        <v>4.79</v>
      </c>
      <c r="C2844">
        <v>208662</v>
      </c>
      <c r="D2844" t="s">
        <v>129</v>
      </c>
      <c r="E2844" t="s">
        <v>53</v>
      </c>
      <c r="F2844" t="s">
        <v>53</v>
      </c>
      <c r="G2844">
        <v>4</v>
      </c>
      <c r="H2844" t="s">
        <v>54</v>
      </c>
      <c r="I2844">
        <v>0</v>
      </c>
      <c r="J2844">
        <v>68700</v>
      </c>
      <c r="K2844">
        <v>4.79</v>
      </c>
      <c r="L2844">
        <f>IF(Grandview_Inventory[[#This Row],[parcel_acres]]-Grandview_Inventory[[#This Row],[non_valued_acres]] =0,0,LN(Grandview_Inventory[[#This Row],[parcel_acres]]-Grandview_Inventory[[#This Row],[non_valued_acres]]))</f>
        <v>1.5665304114228238</v>
      </c>
      <c r="M2844">
        <v>0</v>
      </c>
      <c r="N2844">
        <v>0</v>
      </c>
      <c r="O2844">
        <v>0</v>
      </c>
      <c r="P2844">
        <v>13398.7528</v>
      </c>
      <c r="Q2844">
        <v>63903</v>
      </c>
      <c r="R2844">
        <f>(Grandview_Inventory[[#This Row],[ln_acres]]*Grandview_Inventory[[#This Row],[coeff]])+Grandview_Inventory[[#This Row],[const]]</f>
        <v>84892.553736336704</v>
      </c>
      <c r="AY2844">
        <v>0</v>
      </c>
      <c r="AZ2844">
        <v>0</v>
      </c>
      <c r="BE2844">
        <v>0</v>
      </c>
      <c r="BF2844">
        <v>15000</v>
      </c>
      <c r="BG2844">
        <v>0</v>
      </c>
      <c r="BH2844" s="6">
        <f>Grandview_Inventory[[#This Row],[land_extract]]*Lookups!$B$3</f>
        <v>98585.493444112726</v>
      </c>
      <c r="BI2844" s="6">
        <f>IF(Grandview_Inventory[[#This Row],[bldg_style]]="",0,Lookups!$B$2)</f>
        <v>0</v>
      </c>
      <c r="BJ2844" s="6">
        <f>_xlfn.IFNA(VLOOKUP(Grandview_Inventory[[#This Row],[quality]],Lookups!$H$2:$J$14,3,FALSE),0)</f>
        <v>0</v>
      </c>
      <c r="BK2844" s="6">
        <f>_xlfn.IFNA(VLOOKUP(Grandview_Inventory[[#This Row],[condition]],Lookups!$H$17:$J$24,3,FALSE),0)</f>
        <v>0</v>
      </c>
      <c r="BL2844" s="6">
        <f>Grandview_Inventory[[#This Row],[Eff_Age]]*Lookups!$B$14</f>
        <v>0</v>
      </c>
      <c r="BM2844" s="6">
        <f>Grandview_Inventory[[#This Row],[living_area]]*Lookups!$B$15</f>
        <v>0</v>
      </c>
      <c r="BN2844" s="6">
        <f>Grandview_Inventory[[#This Row],[Fin BSMT]]*Lookups!$B$16</f>
        <v>0</v>
      </c>
      <c r="BO2844" s="6">
        <f>(Grandview_Inventory[[#This Row],[att_gar]]+Grandview_Inventory[[#This Row],[bltin_gar]])*Lookups!$B$17</f>
        <v>0</v>
      </c>
      <c r="BP2844" s="6">
        <f>Grandview_Inventory[[#This Row],[Plumbing Fixtures]]*Lookups!$B$18</f>
        <v>0</v>
      </c>
      <c r="BQ2844" s="6">
        <f>Grandview_Inventory[[#This Row],[detatched_value]]*Lookups!$B$19</f>
        <v>0</v>
      </c>
      <c r="BR2844" s="6">
        <f>SUM(Grandview_Inventory[[#This Row],[Intercept]:[det_value]])*Grandview_Inventory[[#This Row],[res_pct]]</f>
        <v>0</v>
      </c>
      <c r="BS2844" s="6">
        <f>Grandview_Inventory[[#This Row],[land_value]]</f>
        <v>98585.493444112726</v>
      </c>
      <c r="BT2844" s="4">
        <f>_xlfn.IFNA(VLOOKUP(Grandview_Inventory[[#This Row],[quality]],Lookups!$A$26:$C$33,3,FALSE),1)</f>
        <v>1</v>
      </c>
      <c r="BU2844" s="4">
        <f>_xlfn.IFNA(VLOOKUP(Grandview_Inventory[[#This Row],[condition]],Lookups!$A$37:$C$44,3,FALSE),1)</f>
        <v>1</v>
      </c>
      <c r="BV2844" s="4">
        <f>IF(Grandview_Inventory[[#This Row],[bldg_style]]="",1,_xlfn.IFNA(VLOOKUP(Grandview_Inventory[[#This Row],[decade]],Lookups!$F$29:$H$43,3,FALSE),1))</f>
        <v>1</v>
      </c>
      <c r="BW2844" s="4">
        <f>_xlfn.IFNA(VLOOKUP(Grandview_Inventory[[#This Row],[living_area_range]],Lookups!$F$47:$H$56,3,FALSE),1)</f>
        <v>1</v>
      </c>
      <c r="BX2844" s="4">
        <f>AVERAGE(Grandview_Inventory[[#This Row],[qual_adj]:[size_adj]])</f>
        <v>1</v>
      </c>
      <c r="BY2844" s="6">
        <f>IF(Grandview_Inventory[[#This Row],[pre_res]]&lt;0,0,Grandview_Inventory[[#This Row],[pre_res]]*Grandview_Inventory[[#This Row],[overall_adj]])</f>
        <v>0</v>
      </c>
      <c r="BZ2844" s="6">
        <f>(Grandview_Inventory[[#This Row],[sum_land]]-IF(Grandview_Inventory[[#This Row],[no_utilities]]=1,12000,0))/IF(Grandview_Inventory[[#This Row],[unbuildable]]=1,2,1)</f>
        <v>98585.493444112726</v>
      </c>
      <c r="CA2844">
        <f>IF(ROUND(Grandview_Inventory[[#This Row],[adj_land]]*Lookups!$M$28,-2)&lt;Grandview_Inventory[[#This Row],[min_land]],Grandview_Inventory[[#This Row],[min_land]],ROUND(Grandview_Inventory[[#This Row],[adj_land]]*Lookups!$M$28,-2))</f>
        <v>93700</v>
      </c>
      <c r="CB2844">
        <f>ROUND(Grandview_Inventory[[#This Row],[det_value]]*Lookups!$M$28,-2)</f>
        <v>0</v>
      </c>
      <c r="CC284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4">
        <f>Grandview_Inventory[[#This Row],[final_det]]+Grandview_Inventory[[#This Row],[final_res]]</f>
        <v>0</v>
      </c>
      <c r="CE2844">
        <f>Grandview_Inventory[[#This Row],[final_land]]+Grandview_Inventory[[#This Row],[final_imp]]+Grandview_Inventory[[#This Row],[crop_value]]</f>
        <v>93700</v>
      </c>
      <c r="CG2844" t="str">
        <f t="shared" si="45"/>
        <v>update valuation set market_land =93700, market_bldg=0, market_total =93700, market_mdno =401, market_date ='9/10/2023' where link_id = (select link_id from parcel where parcel_year = '2024' and parcel_id = '23092711427');</v>
      </c>
    </row>
    <row r="2845" spans="1:85" x14ac:dyDescent="0.25">
      <c r="A2845">
        <v>23092712007</v>
      </c>
      <c r="B2845">
        <v>4.22</v>
      </c>
      <c r="C2845">
        <v>183625</v>
      </c>
      <c r="D2845" t="s">
        <v>129</v>
      </c>
      <c r="E2845" t="s">
        <v>53</v>
      </c>
      <c r="F2845" t="s">
        <v>53</v>
      </c>
      <c r="G2845">
        <v>4</v>
      </c>
      <c r="H2845" t="s">
        <v>54</v>
      </c>
      <c r="I2845">
        <v>4500</v>
      </c>
      <c r="J2845">
        <v>66700</v>
      </c>
      <c r="K2845">
        <v>4.22</v>
      </c>
      <c r="L2845">
        <f>IF(Grandview_Inventory[[#This Row],[parcel_acres]]-Grandview_Inventory[[#This Row],[non_valued_acres]] =0,0,LN(Grandview_Inventory[[#This Row],[parcel_acres]]-Grandview_Inventory[[#This Row],[non_valued_acres]]))</f>
        <v>1.4398351280479205</v>
      </c>
      <c r="M2845">
        <v>0</v>
      </c>
      <c r="N2845">
        <v>0</v>
      </c>
      <c r="O2845">
        <v>0</v>
      </c>
      <c r="P2845">
        <v>13398.7528</v>
      </c>
      <c r="Q2845">
        <v>63903</v>
      </c>
      <c r="R2845">
        <f>(Grandview_Inventory[[#This Row],[ln_acres]]*Grandview_Inventory[[#This Row],[coeff]])+Grandview_Inventory[[#This Row],[const]]</f>
        <v>83194.994953470436</v>
      </c>
      <c r="AY2845">
        <v>4500</v>
      </c>
      <c r="AZ2845">
        <v>0</v>
      </c>
      <c r="BE2845">
        <v>0</v>
      </c>
      <c r="BF2845">
        <v>15000</v>
      </c>
      <c r="BG2845">
        <v>0</v>
      </c>
      <c r="BH2845" s="6">
        <f>Grandview_Inventory[[#This Row],[land_extract]]*Lookups!$B$3</f>
        <v>96614.123012978846</v>
      </c>
      <c r="BI2845" s="6">
        <f>IF(Grandview_Inventory[[#This Row],[bldg_style]]="",0,Lookups!$B$2)</f>
        <v>0</v>
      </c>
      <c r="BJ2845" s="6">
        <f>_xlfn.IFNA(VLOOKUP(Grandview_Inventory[[#This Row],[quality]],Lookups!$H$2:$J$14,3,FALSE),0)</f>
        <v>0</v>
      </c>
      <c r="BK2845" s="6">
        <f>_xlfn.IFNA(VLOOKUP(Grandview_Inventory[[#This Row],[condition]],Lookups!$H$17:$J$24,3,FALSE),0)</f>
        <v>0</v>
      </c>
      <c r="BL2845" s="6">
        <f>Grandview_Inventory[[#This Row],[Eff_Age]]*Lookups!$B$14</f>
        <v>0</v>
      </c>
      <c r="BM2845" s="6">
        <f>Grandview_Inventory[[#This Row],[living_area]]*Lookups!$B$15</f>
        <v>0</v>
      </c>
      <c r="BN2845" s="6">
        <f>Grandview_Inventory[[#This Row],[Fin BSMT]]*Lookups!$B$16</f>
        <v>0</v>
      </c>
      <c r="BO2845" s="6">
        <f>(Grandview_Inventory[[#This Row],[att_gar]]+Grandview_Inventory[[#This Row],[bltin_gar]])*Lookups!$B$17</f>
        <v>0</v>
      </c>
      <c r="BP2845" s="6">
        <f>Grandview_Inventory[[#This Row],[Plumbing Fixtures]]*Lookups!$B$18</f>
        <v>0</v>
      </c>
      <c r="BQ2845" s="6">
        <f>Grandview_Inventory[[#This Row],[detatched_value]]*Lookups!$B$19</f>
        <v>0</v>
      </c>
      <c r="BR2845" s="6">
        <f>SUM(Grandview_Inventory[[#This Row],[Intercept]:[det_value]])*Grandview_Inventory[[#This Row],[res_pct]]</f>
        <v>0</v>
      </c>
      <c r="BS2845" s="6">
        <f>Grandview_Inventory[[#This Row],[land_value]]</f>
        <v>96614.123012978846</v>
      </c>
      <c r="BT2845" s="4">
        <f>_xlfn.IFNA(VLOOKUP(Grandview_Inventory[[#This Row],[quality]],Lookups!$A$26:$C$33,3,FALSE),1)</f>
        <v>1</v>
      </c>
      <c r="BU2845" s="4">
        <f>_xlfn.IFNA(VLOOKUP(Grandview_Inventory[[#This Row],[condition]],Lookups!$A$37:$C$44,3,FALSE),1)</f>
        <v>1</v>
      </c>
      <c r="BV2845" s="4">
        <f>IF(Grandview_Inventory[[#This Row],[bldg_style]]="",1,_xlfn.IFNA(VLOOKUP(Grandview_Inventory[[#This Row],[decade]],Lookups!$F$29:$H$43,3,FALSE),1))</f>
        <v>1</v>
      </c>
      <c r="BW2845" s="4">
        <f>_xlfn.IFNA(VLOOKUP(Grandview_Inventory[[#This Row],[living_area_range]],Lookups!$F$47:$H$56,3,FALSE),1)</f>
        <v>1</v>
      </c>
      <c r="BX2845" s="4">
        <f>AVERAGE(Grandview_Inventory[[#This Row],[qual_adj]:[size_adj]])</f>
        <v>1</v>
      </c>
      <c r="BY2845" s="6">
        <f>IF(Grandview_Inventory[[#This Row],[pre_res]]&lt;0,0,Grandview_Inventory[[#This Row],[pre_res]]*Grandview_Inventory[[#This Row],[overall_adj]])</f>
        <v>0</v>
      </c>
      <c r="BZ2845" s="6">
        <f>(Grandview_Inventory[[#This Row],[sum_land]]-IF(Grandview_Inventory[[#This Row],[no_utilities]]=1,12000,0))/IF(Grandview_Inventory[[#This Row],[unbuildable]]=1,2,1)</f>
        <v>96614.123012978846</v>
      </c>
      <c r="CA2845">
        <f>IF(ROUND(Grandview_Inventory[[#This Row],[adj_land]]*Lookups!$M$28,-2)&lt;Grandview_Inventory[[#This Row],[min_land]],Grandview_Inventory[[#This Row],[min_land]],ROUND(Grandview_Inventory[[#This Row],[adj_land]]*Lookups!$M$28,-2))</f>
        <v>91800</v>
      </c>
      <c r="CB2845">
        <f>ROUND(Grandview_Inventory[[#This Row],[det_value]]*Lookups!$M$28,-2)</f>
        <v>0</v>
      </c>
      <c r="CC284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5">
        <f>Grandview_Inventory[[#This Row],[final_det]]+Grandview_Inventory[[#This Row],[final_res]]</f>
        <v>0</v>
      </c>
      <c r="CE2845">
        <f>Grandview_Inventory[[#This Row],[final_land]]+Grandview_Inventory[[#This Row],[final_imp]]+Grandview_Inventory[[#This Row],[crop_value]]</f>
        <v>96300</v>
      </c>
      <c r="CG2845" t="str">
        <f t="shared" si="45"/>
        <v>update valuation set market_land =91800, market_bldg=0, market_total =96300, market_mdno =401, market_date ='9/10/2023' where link_id = (select link_id from parcel where parcel_year = '2024' and parcel_id = '23092712007');</v>
      </c>
    </row>
    <row r="2846" spans="1:85" x14ac:dyDescent="0.25">
      <c r="A2846">
        <v>23092712411</v>
      </c>
      <c r="B2846">
        <v>9.8800000000000008</v>
      </c>
      <c r="C2846">
        <v>430522</v>
      </c>
      <c r="D2846" t="s">
        <v>129</v>
      </c>
      <c r="E2846" t="s">
        <v>53</v>
      </c>
      <c r="F2846" t="s">
        <v>53</v>
      </c>
      <c r="G2846">
        <v>4</v>
      </c>
      <c r="H2846" t="s">
        <v>54</v>
      </c>
      <c r="I2846">
        <v>30400</v>
      </c>
      <c r="J2846">
        <v>80500</v>
      </c>
      <c r="K2846">
        <v>9.8800000000000008</v>
      </c>
      <c r="L2846">
        <f>IF(Grandview_Inventory[[#This Row],[parcel_acres]]-Grandview_Inventory[[#This Row],[non_valued_acres]] =0,0,LN(Grandview_Inventory[[#This Row],[parcel_acres]]-Grandview_Inventory[[#This Row],[non_valued_acres]]))</f>
        <v>2.2905125117597764</v>
      </c>
      <c r="M2846">
        <v>0</v>
      </c>
      <c r="N2846">
        <v>0</v>
      </c>
      <c r="O2846">
        <v>0</v>
      </c>
      <c r="P2846">
        <v>13398.7528</v>
      </c>
      <c r="Q2846">
        <v>63903</v>
      </c>
      <c r="R2846">
        <f>(Grandview_Inventory[[#This Row],[ln_acres]]*Grandview_Inventory[[#This Row],[coeff]])+Grandview_Inventory[[#This Row],[const]]</f>
        <v>94593.010930376331</v>
      </c>
      <c r="AY2846">
        <v>30400</v>
      </c>
      <c r="AZ2846">
        <v>0</v>
      </c>
      <c r="BE2846">
        <v>0</v>
      </c>
      <c r="BF2846">
        <v>15000</v>
      </c>
      <c r="BG2846">
        <v>0</v>
      </c>
      <c r="BH2846" s="6">
        <f>Grandview_Inventory[[#This Row],[land_extract]]*Lookups!$B$3</f>
        <v>109850.60819231652</v>
      </c>
      <c r="BI2846" s="6">
        <f>IF(Grandview_Inventory[[#This Row],[bldg_style]]="",0,Lookups!$B$2)</f>
        <v>0</v>
      </c>
      <c r="BJ2846" s="6">
        <f>_xlfn.IFNA(VLOOKUP(Grandview_Inventory[[#This Row],[quality]],Lookups!$H$2:$J$14,3,FALSE),0)</f>
        <v>0</v>
      </c>
      <c r="BK2846" s="6">
        <f>_xlfn.IFNA(VLOOKUP(Grandview_Inventory[[#This Row],[condition]],Lookups!$H$17:$J$24,3,FALSE),0)</f>
        <v>0</v>
      </c>
      <c r="BL2846" s="6">
        <f>Grandview_Inventory[[#This Row],[Eff_Age]]*Lookups!$B$14</f>
        <v>0</v>
      </c>
      <c r="BM2846" s="6">
        <f>Grandview_Inventory[[#This Row],[living_area]]*Lookups!$B$15</f>
        <v>0</v>
      </c>
      <c r="BN2846" s="6">
        <f>Grandview_Inventory[[#This Row],[Fin BSMT]]*Lookups!$B$16</f>
        <v>0</v>
      </c>
      <c r="BO2846" s="6">
        <f>(Grandview_Inventory[[#This Row],[att_gar]]+Grandview_Inventory[[#This Row],[bltin_gar]])*Lookups!$B$17</f>
        <v>0</v>
      </c>
      <c r="BP2846" s="6">
        <f>Grandview_Inventory[[#This Row],[Plumbing Fixtures]]*Lookups!$B$18</f>
        <v>0</v>
      </c>
      <c r="BQ2846" s="6">
        <f>Grandview_Inventory[[#This Row],[detatched_value]]*Lookups!$B$19</f>
        <v>0</v>
      </c>
      <c r="BR2846" s="6">
        <f>SUM(Grandview_Inventory[[#This Row],[Intercept]:[det_value]])*Grandview_Inventory[[#This Row],[res_pct]]</f>
        <v>0</v>
      </c>
      <c r="BS2846" s="6">
        <f>Grandview_Inventory[[#This Row],[land_value]]</f>
        <v>109850.60819231652</v>
      </c>
      <c r="BT2846" s="4">
        <f>_xlfn.IFNA(VLOOKUP(Grandview_Inventory[[#This Row],[quality]],Lookups!$A$26:$C$33,3,FALSE),1)</f>
        <v>1</v>
      </c>
      <c r="BU2846" s="4">
        <f>_xlfn.IFNA(VLOOKUP(Grandview_Inventory[[#This Row],[condition]],Lookups!$A$37:$C$44,3,FALSE),1)</f>
        <v>1</v>
      </c>
      <c r="BV2846" s="4">
        <f>IF(Grandview_Inventory[[#This Row],[bldg_style]]="",1,_xlfn.IFNA(VLOOKUP(Grandview_Inventory[[#This Row],[decade]],Lookups!$F$29:$H$43,3,FALSE),1))</f>
        <v>1</v>
      </c>
      <c r="BW2846" s="4">
        <f>_xlfn.IFNA(VLOOKUP(Grandview_Inventory[[#This Row],[living_area_range]],Lookups!$F$47:$H$56,3,FALSE),1)</f>
        <v>1</v>
      </c>
      <c r="BX2846" s="4">
        <f>AVERAGE(Grandview_Inventory[[#This Row],[qual_adj]:[size_adj]])</f>
        <v>1</v>
      </c>
      <c r="BY2846" s="6">
        <f>IF(Grandview_Inventory[[#This Row],[pre_res]]&lt;0,0,Grandview_Inventory[[#This Row],[pre_res]]*Grandview_Inventory[[#This Row],[overall_adj]])</f>
        <v>0</v>
      </c>
      <c r="BZ2846" s="6">
        <f>(Grandview_Inventory[[#This Row],[sum_land]]-IF(Grandview_Inventory[[#This Row],[no_utilities]]=1,12000,0))/IF(Grandview_Inventory[[#This Row],[unbuildable]]=1,2,1)</f>
        <v>109850.60819231652</v>
      </c>
      <c r="CA2846">
        <f>IF(ROUND(Grandview_Inventory[[#This Row],[adj_land]]*Lookups!$M$28,-2)&lt;Grandview_Inventory[[#This Row],[min_land]],Grandview_Inventory[[#This Row],[min_land]],ROUND(Grandview_Inventory[[#This Row],[adj_land]]*Lookups!$M$28,-2))</f>
        <v>104400</v>
      </c>
      <c r="CB2846">
        <f>ROUND(Grandview_Inventory[[#This Row],[det_value]]*Lookups!$M$28,-2)</f>
        <v>0</v>
      </c>
      <c r="CC284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6">
        <f>Grandview_Inventory[[#This Row],[final_det]]+Grandview_Inventory[[#This Row],[final_res]]</f>
        <v>0</v>
      </c>
      <c r="CE2846">
        <f>Grandview_Inventory[[#This Row],[final_land]]+Grandview_Inventory[[#This Row],[final_imp]]+Grandview_Inventory[[#This Row],[crop_value]]</f>
        <v>134800</v>
      </c>
      <c r="CG2846" t="str">
        <f t="shared" si="45"/>
        <v>update valuation set market_land =104400, market_bldg=0, market_total =134800, market_mdno =401, market_date ='9/10/2023' where link_id = (select link_id from parcel where parcel_year = '2024' and parcel_id = '23092712411');</v>
      </c>
    </row>
    <row r="2847" spans="1:85" x14ac:dyDescent="0.25">
      <c r="A2847">
        <v>23092713419</v>
      </c>
      <c r="B2847">
        <v>2.23</v>
      </c>
      <c r="C2847">
        <v>97161</v>
      </c>
      <c r="D2847" t="s">
        <v>129</v>
      </c>
      <c r="E2847" t="s">
        <v>53</v>
      </c>
      <c r="F2847" t="s">
        <v>53</v>
      </c>
      <c r="G2847">
        <v>4</v>
      </c>
      <c r="H2847" t="s">
        <v>54</v>
      </c>
      <c r="I2847">
        <v>0</v>
      </c>
      <c r="J2847">
        <v>37200</v>
      </c>
      <c r="K2847">
        <v>2.23</v>
      </c>
      <c r="L2847">
        <f>IF(Grandview_Inventory[[#This Row],[parcel_acres]]-Grandview_Inventory[[#This Row],[non_valued_acres]] =0,0,LN(Grandview_Inventory[[#This Row],[parcel_acres]]-Grandview_Inventory[[#This Row],[non_valued_acres]]))</f>
        <v>0.80200158547202738</v>
      </c>
      <c r="M2847">
        <v>0</v>
      </c>
      <c r="N2847">
        <v>0</v>
      </c>
      <c r="O2847">
        <v>1</v>
      </c>
      <c r="P2847">
        <v>13398.7528</v>
      </c>
      <c r="Q2847">
        <v>63903</v>
      </c>
      <c r="R2847">
        <f>(Grandview_Inventory[[#This Row],[ln_acres]]*Grandview_Inventory[[#This Row],[coeff]])+Grandview_Inventory[[#This Row],[const]]</f>
        <v>74648.820988947758</v>
      </c>
      <c r="AY2847">
        <v>0</v>
      </c>
      <c r="AZ2847">
        <v>0</v>
      </c>
      <c r="BE2847">
        <v>0</v>
      </c>
      <c r="BF2847">
        <v>3000</v>
      </c>
      <c r="BG2847">
        <v>0</v>
      </c>
      <c r="BH2847" s="6">
        <f>Grandview_Inventory[[#This Row],[land_extract]]*Lookups!$B$3</f>
        <v>86689.474262648364</v>
      </c>
      <c r="BI2847" s="6">
        <f>IF(Grandview_Inventory[[#This Row],[bldg_style]]="",0,Lookups!$B$2)</f>
        <v>0</v>
      </c>
      <c r="BJ2847" s="6">
        <f>_xlfn.IFNA(VLOOKUP(Grandview_Inventory[[#This Row],[quality]],Lookups!$H$2:$J$14,3,FALSE),0)</f>
        <v>0</v>
      </c>
      <c r="BK2847" s="6">
        <f>_xlfn.IFNA(VLOOKUP(Grandview_Inventory[[#This Row],[condition]],Lookups!$H$17:$J$24,3,FALSE),0)</f>
        <v>0</v>
      </c>
      <c r="BL2847" s="6">
        <f>Grandview_Inventory[[#This Row],[Eff_Age]]*Lookups!$B$14</f>
        <v>0</v>
      </c>
      <c r="BM2847" s="6">
        <f>Grandview_Inventory[[#This Row],[living_area]]*Lookups!$B$15</f>
        <v>0</v>
      </c>
      <c r="BN2847" s="6">
        <f>Grandview_Inventory[[#This Row],[Fin BSMT]]*Lookups!$B$16</f>
        <v>0</v>
      </c>
      <c r="BO2847" s="6">
        <f>(Grandview_Inventory[[#This Row],[att_gar]]+Grandview_Inventory[[#This Row],[bltin_gar]])*Lookups!$B$17</f>
        <v>0</v>
      </c>
      <c r="BP2847" s="6">
        <f>Grandview_Inventory[[#This Row],[Plumbing Fixtures]]*Lookups!$B$18</f>
        <v>0</v>
      </c>
      <c r="BQ2847" s="6">
        <f>Grandview_Inventory[[#This Row],[detatched_value]]*Lookups!$B$19</f>
        <v>0</v>
      </c>
      <c r="BR2847" s="6">
        <f>SUM(Grandview_Inventory[[#This Row],[Intercept]:[det_value]])*Grandview_Inventory[[#This Row],[res_pct]]</f>
        <v>0</v>
      </c>
      <c r="BS2847" s="6">
        <f>Grandview_Inventory[[#This Row],[land_value]]</f>
        <v>86689.474262648364</v>
      </c>
      <c r="BT2847" s="4">
        <f>_xlfn.IFNA(VLOOKUP(Grandview_Inventory[[#This Row],[quality]],Lookups!$A$26:$C$33,3,FALSE),1)</f>
        <v>1</v>
      </c>
      <c r="BU2847" s="4">
        <f>_xlfn.IFNA(VLOOKUP(Grandview_Inventory[[#This Row],[condition]],Lookups!$A$37:$C$44,3,FALSE),1)</f>
        <v>1</v>
      </c>
      <c r="BV2847" s="4">
        <f>IF(Grandview_Inventory[[#This Row],[bldg_style]]="",1,_xlfn.IFNA(VLOOKUP(Grandview_Inventory[[#This Row],[decade]],Lookups!$F$29:$H$43,3,FALSE),1))</f>
        <v>1</v>
      </c>
      <c r="BW2847" s="4">
        <f>_xlfn.IFNA(VLOOKUP(Grandview_Inventory[[#This Row],[living_area_range]],Lookups!$F$47:$H$56,3,FALSE),1)</f>
        <v>1</v>
      </c>
      <c r="BX2847" s="4">
        <f>AVERAGE(Grandview_Inventory[[#This Row],[qual_adj]:[size_adj]])</f>
        <v>1</v>
      </c>
      <c r="BY2847" s="6">
        <f>IF(Grandview_Inventory[[#This Row],[pre_res]]&lt;0,0,Grandview_Inventory[[#This Row],[pre_res]]*Grandview_Inventory[[#This Row],[overall_adj]])</f>
        <v>0</v>
      </c>
      <c r="BZ2847" s="6">
        <f>(Grandview_Inventory[[#This Row],[sum_land]]-IF(Grandview_Inventory[[#This Row],[no_utilities]]=1,12000,0))/IF(Grandview_Inventory[[#This Row],[unbuildable]]=1,2,1)</f>
        <v>74689.474262648364</v>
      </c>
      <c r="CA2847">
        <f>IF(ROUND(Grandview_Inventory[[#This Row],[adj_land]]*Lookups!$M$28,-2)&lt;Grandview_Inventory[[#This Row],[min_land]],Grandview_Inventory[[#This Row],[min_land]],ROUND(Grandview_Inventory[[#This Row],[adj_land]]*Lookups!$M$28,-2))</f>
        <v>71000</v>
      </c>
      <c r="CB2847">
        <f>ROUND(Grandview_Inventory[[#This Row],[det_value]]*Lookups!$M$28,-2)</f>
        <v>0</v>
      </c>
      <c r="CC284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7">
        <f>Grandview_Inventory[[#This Row],[final_det]]+Grandview_Inventory[[#This Row],[final_res]]</f>
        <v>0</v>
      </c>
      <c r="CE2847">
        <f>Grandview_Inventory[[#This Row],[final_land]]+Grandview_Inventory[[#This Row],[final_imp]]+Grandview_Inventory[[#This Row],[crop_value]]</f>
        <v>71000</v>
      </c>
      <c r="CG2847" t="str">
        <f t="shared" si="45"/>
        <v>update valuation set market_land =71000, market_bldg=0, market_total =71000, market_mdno =401, market_date ='9/10/2023' where link_id = (select link_id from parcel where parcel_year = '2024' and parcel_id = '23092713419');</v>
      </c>
    </row>
    <row r="2848" spans="1:85" x14ac:dyDescent="0.25">
      <c r="A2848">
        <v>23092713421</v>
      </c>
      <c r="B2848">
        <v>2.4900000000000002</v>
      </c>
      <c r="C2848">
        <v>108383</v>
      </c>
      <c r="D2848" t="s">
        <v>129</v>
      </c>
      <c r="E2848" t="s">
        <v>53</v>
      </c>
      <c r="F2848" t="s">
        <v>53</v>
      </c>
      <c r="G2848">
        <v>4</v>
      </c>
      <c r="H2848" t="s">
        <v>54</v>
      </c>
      <c r="I2848">
        <v>0</v>
      </c>
      <c r="J2848">
        <v>38400</v>
      </c>
      <c r="K2848">
        <v>2.4900000000000002</v>
      </c>
      <c r="L2848">
        <f>IF(Grandview_Inventory[[#This Row],[parcel_acres]]-Grandview_Inventory[[#This Row],[non_valued_acres]] =0,0,LN(Grandview_Inventory[[#This Row],[parcel_acres]]-Grandview_Inventory[[#This Row],[non_valued_acres]]))</f>
        <v>0.91228271047661635</v>
      </c>
      <c r="M2848">
        <v>0</v>
      </c>
      <c r="N2848">
        <v>0</v>
      </c>
      <c r="O2848">
        <v>1</v>
      </c>
      <c r="P2848">
        <v>13398.7528</v>
      </c>
      <c r="Q2848">
        <v>63903</v>
      </c>
      <c r="R2848">
        <f>(Grandview_Inventory[[#This Row],[ln_acres]]*Grandview_Inventory[[#This Row],[coeff]])+Grandview_Inventory[[#This Row],[const]]</f>
        <v>76126.450521390158</v>
      </c>
      <c r="AY2848">
        <v>0</v>
      </c>
      <c r="AZ2848">
        <v>0</v>
      </c>
      <c r="BE2848">
        <v>0</v>
      </c>
      <c r="BF2848">
        <v>3000</v>
      </c>
      <c r="BG2848">
        <v>0</v>
      </c>
      <c r="BH2848" s="6">
        <f>Grandview_Inventory[[#This Row],[land_extract]]*Lookups!$B$3</f>
        <v>88405.441449073987</v>
      </c>
      <c r="BI2848" s="6">
        <f>IF(Grandview_Inventory[[#This Row],[bldg_style]]="",0,Lookups!$B$2)</f>
        <v>0</v>
      </c>
      <c r="BJ2848" s="6">
        <f>_xlfn.IFNA(VLOOKUP(Grandview_Inventory[[#This Row],[quality]],Lookups!$H$2:$J$14,3,FALSE),0)</f>
        <v>0</v>
      </c>
      <c r="BK2848" s="6">
        <f>_xlfn.IFNA(VLOOKUP(Grandview_Inventory[[#This Row],[condition]],Lookups!$H$17:$J$24,3,FALSE),0)</f>
        <v>0</v>
      </c>
      <c r="BL2848" s="6">
        <f>Grandview_Inventory[[#This Row],[Eff_Age]]*Lookups!$B$14</f>
        <v>0</v>
      </c>
      <c r="BM2848" s="6">
        <f>Grandview_Inventory[[#This Row],[living_area]]*Lookups!$B$15</f>
        <v>0</v>
      </c>
      <c r="BN2848" s="6">
        <f>Grandview_Inventory[[#This Row],[Fin BSMT]]*Lookups!$B$16</f>
        <v>0</v>
      </c>
      <c r="BO2848" s="6">
        <f>(Grandview_Inventory[[#This Row],[att_gar]]+Grandview_Inventory[[#This Row],[bltin_gar]])*Lookups!$B$17</f>
        <v>0</v>
      </c>
      <c r="BP2848" s="6">
        <f>Grandview_Inventory[[#This Row],[Plumbing Fixtures]]*Lookups!$B$18</f>
        <v>0</v>
      </c>
      <c r="BQ2848" s="6">
        <f>Grandview_Inventory[[#This Row],[detatched_value]]*Lookups!$B$19</f>
        <v>0</v>
      </c>
      <c r="BR2848" s="6">
        <f>SUM(Grandview_Inventory[[#This Row],[Intercept]:[det_value]])*Grandview_Inventory[[#This Row],[res_pct]]</f>
        <v>0</v>
      </c>
      <c r="BS2848" s="6">
        <f>Grandview_Inventory[[#This Row],[land_value]]</f>
        <v>88405.441449073987</v>
      </c>
      <c r="BT2848" s="4">
        <f>_xlfn.IFNA(VLOOKUP(Grandview_Inventory[[#This Row],[quality]],Lookups!$A$26:$C$33,3,FALSE),1)</f>
        <v>1</v>
      </c>
      <c r="BU2848" s="4">
        <f>_xlfn.IFNA(VLOOKUP(Grandview_Inventory[[#This Row],[condition]],Lookups!$A$37:$C$44,3,FALSE),1)</f>
        <v>1</v>
      </c>
      <c r="BV2848" s="4">
        <f>IF(Grandview_Inventory[[#This Row],[bldg_style]]="",1,_xlfn.IFNA(VLOOKUP(Grandview_Inventory[[#This Row],[decade]],Lookups!$F$29:$H$43,3,FALSE),1))</f>
        <v>1</v>
      </c>
      <c r="BW2848" s="4">
        <f>_xlfn.IFNA(VLOOKUP(Grandview_Inventory[[#This Row],[living_area_range]],Lookups!$F$47:$H$56,3,FALSE),1)</f>
        <v>1</v>
      </c>
      <c r="BX2848" s="4">
        <f>AVERAGE(Grandview_Inventory[[#This Row],[qual_adj]:[size_adj]])</f>
        <v>1</v>
      </c>
      <c r="BY2848" s="6">
        <f>IF(Grandview_Inventory[[#This Row],[pre_res]]&lt;0,0,Grandview_Inventory[[#This Row],[pre_res]]*Grandview_Inventory[[#This Row],[overall_adj]])</f>
        <v>0</v>
      </c>
      <c r="BZ2848" s="6">
        <f>(Grandview_Inventory[[#This Row],[sum_land]]-IF(Grandview_Inventory[[#This Row],[no_utilities]]=1,12000,0))/IF(Grandview_Inventory[[#This Row],[unbuildable]]=1,2,1)</f>
        <v>76405.441449073987</v>
      </c>
      <c r="CA2848">
        <f>IF(ROUND(Grandview_Inventory[[#This Row],[adj_land]]*Lookups!$M$28,-2)&lt;Grandview_Inventory[[#This Row],[min_land]],Grandview_Inventory[[#This Row],[min_land]],ROUND(Grandview_Inventory[[#This Row],[adj_land]]*Lookups!$M$28,-2))</f>
        <v>72600</v>
      </c>
      <c r="CB2848">
        <f>ROUND(Grandview_Inventory[[#This Row],[det_value]]*Lookups!$M$28,-2)</f>
        <v>0</v>
      </c>
      <c r="CC284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8">
        <f>Grandview_Inventory[[#This Row],[final_det]]+Grandview_Inventory[[#This Row],[final_res]]</f>
        <v>0</v>
      </c>
      <c r="CE2848">
        <f>Grandview_Inventory[[#This Row],[final_land]]+Grandview_Inventory[[#This Row],[final_imp]]+Grandview_Inventory[[#This Row],[crop_value]]</f>
        <v>72600</v>
      </c>
      <c r="CG2848" t="str">
        <f t="shared" si="45"/>
        <v>update valuation set market_land =72600, market_bldg=0, market_total =72600, market_mdno =401, market_date ='9/10/2023' where link_id = (select link_id from parcel where parcel_year = '2024' and parcel_id = '23092713421');</v>
      </c>
    </row>
    <row r="2849" spans="1:85" x14ac:dyDescent="0.25">
      <c r="A2849">
        <v>23092713422</v>
      </c>
      <c r="B2849">
        <v>2.46</v>
      </c>
      <c r="C2849">
        <v>107057</v>
      </c>
      <c r="D2849" t="s">
        <v>129</v>
      </c>
      <c r="E2849" t="s">
        <v>53</v>
      </c>
      <c r="F2849" t="s">
        <v>53</v>
      </c>
      <c r="G2849">
        <v>4</v>
      </c>
      <c r="H2849" t="s">
        <v>54</v>
      </c>
      <c r="I2849">
        <v>0</v>
      </c>
      <c r="J2849">
        <v>38400</v>
      </c>
      <c r="K2849">
        <v>2.46</v>
      </c>
      <c r="L2849">
        <f>IF(Grandview_Inventory[[#This Row],[parcel_acres]]-Grandview_Inventory[[#This Row],[non_valued_acres]] =0,0,LN(Grandview_Inventory[[#This Row],[parcel_acres]]-Grandview_Inventory[[#This Row],[non_valued_acres]]))</f>
        <v>0.90016134994427144</v>
      </c>
      <c r="M2849">
        <v>0</v>
      </c>
      <c r="N2849">
        <v>0</v>
      </c>
      <c r="O2849">
        <v>1</v>
      </c>
      <c r="P2849">
        <v>13398.7528</v>
      </c>
      <c r="Q2849">
        <v>63903</v>
      </c>
      <c r="R2849">
        <f>(Grandview_Inventory[[#This Row],[ln_acres]]*Grandview_Inventory[[#This Row],[coeff]])+Grandview_Inventory[[#This Row],[const]]</f>
        <v>75964.03940801759</v>
      </c>
      <c r="AY2849">
        <v>0</v>
      </c>
      <c r="AZ2849">
        <v>0</v>
      </c>
      <c r="BE2849">
        <v>0</v>
      </c>
      <c r="BF2849">
        <v>3000</v>
      </c>
      <c r="BG2849">
        <v>0</v>
      </c>
      <c r="BH2849" s="6">
        <f>Grandview_Inventory[[#This Row],[land_extract]]*Lookups!$B$3</f>
        <v>88216.833861624429</v>
      </c>
      <c r="BI2849" s="6">
        <f>IF(Grandview_Inventory[[#This Row],[bldg_style]]="",0,Lookups!$B$2)</f>
        <v>0</v>
      </c>
      <c r="BJ2849" s="6">
        <f>_xlfn.IFNA(VLOOKUP(Grandview_Inventory[[#This Row],[quality]],Lookups!$H$2:$J$14,3,FALSE),0)</f>
        <v>0</v>
      </c>
      <c r="BK2849" s="6">
        <f>_xlfn.IFNA(VLOOKUP(Grandview_Inventory[[#This Row],[condition]],Lookups!$H$17:$J$24,3,FALSE),0)</f>
        <v>0</v>
      </c>
      <c r="BL2849" s="6">
        <f>Grandview_Inventory[[#This Row],[Eff_Age]]*Lookups!$B$14</f>
        <v>0</v>
      </c>
      <c r="BM2849" s="6">
        <f>Grandview_Inventory[[#This Row],[living_area]]*Lookups!$B$15</f>
        <v>0</v>
      </c>
      <c r="BN2849" s="6">
        <f>Grandview_Inventory[[#This Row],[Fin BSMT]]*Lookups!$B$16</f>
        <v>0</v>
      </c>
      <c r="BO2849" s="6">
        <f>(Grandview_Inventory[[#This Row],[att_gar]]+Grandview_Inventory[[#This Row],[bltin_gar]])*Lookups!$B$17</f>
        <v>0</v>
      </c>
      <c r="BP2849" s="6">
        <f>Grandview_Inventory[[#This Row],[Plumbing Fixtures]]*Lookups!$B$18</f>
        <v>0</v>
      </c>
      <c r="BQ2849" s="6">
        <f>Grandview_Inventory[[#This Row],[detatched_value]]*Lookups!$B$19</f>
        <v>0</v>
      </c>
      <c r="BR2849" s="6">
        <f>SUM(Grandview_Inventory[[#This Row],[Intercept]:[det_value]])*Grandview_Inventory[[#This Row],[res_pct]]</f>
        <v>0</v>
      </c>
      <c r="BS2849" s="6">
        <f>Grandview_Inventory[[#This Row],[land_value]]</f>
        <v>88216.833861624429</v>
      </c>
      <c r="BT2849" s="4">
        <f>_xlfn.IFNA(VLOOKUP(Grandview_Inventory[[#This Row],[quality]],Lookups!$A$26:$C$33,3,FALSE),1)</f>
        <v>1</v>
      </c>
      <c r="BU2849" s="4">
        <f>_xlfn.IFNA(VLOOKUP(Grandview_Inventory[[#This Row],[condition]],Lookups!$A$37:$C$44,3,FALSE),1)</f>
        <v>1</v>
      </c>
      <c r="BV2849" s="4">
        <f>IF(Grandview_Inventory[[#This Row],[bldg_style]]="",1,_xlfn.IFNA(VLOOKUP(Grandview_Inventory[[#This Row],[decade]],Lookups!$F$29:$H$43,3,FALSE),1))</f>
        <v>1</v>
      </c>
      <c r="BW2849" s="4">
        <f>_xlfn.IFNA(VLOOKUP(Grandview_Inventory[[#This Row],[living_area_range]],Lookups!$F$47:$H$56,3,FALSE),1)</f>
        <v>1</v>
      </c>
      <c r="BX2849" s="4">
        <f>AVERAGE(Grandview_Inventory[[#This Row],[qual_adj]:[size_adj]])</f>
        <v>1</v>
      </c>
      <c r="BY2849" s="6">
        <f>IF(Grandview_Inventory[[#This Row],[pre_res]]&lt;0,0,Grandview_Inventory[[#This Row],[pre_res]]*Grandview_Inventory[[#This Row],[overall_adj]])</f>
        <v>0</v>
      </c>
      <c r="BZ2849" s="6">
        <f>(Grandview_Inventory[[#This Row],[sum_land]]-IF(Grandview_Inventory[[#This Row],[no_utilities]]=1,12000,0))/IF(Grandview_Inventory[[#This Row],[unbuildable]]=1,2,1)</f>
        <v>76216.833861624429</v>
      </c>
      <c r="CA2849">
        <f>IF(ROUND(Grandview_Inventory[[#This Row],[adj_land]]*Lookups!$M$28,-2)&lt;Grandview_Inventory[[#This Row],[min_land]],Grandview_Inventory[[#This Row],[min_land]],ROUND(Grandview_Inventory[[#This Row],[adj_land]]*Lookups!$M$28,-2))</f>
        <v>72400</v>
      </c>
      <c r="CB2849">
        <f>ROUND(Grandview_Inventory[[#This Row],[det_value]]*Lookups!$M$28,-2)</f>
        <v>0</v>
      </c>
      <c r="CC284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49">
        <f>Grandview_Inventory[[#This Row],[final_det]]+Grandview_Inventory[[#This Row],[final_res]]</f>
        <v>0</v>
      </c>
      <c r="CE2849">
        <f>Grandview_Inventory[[#This Row],[final_land]]+Grandview_Inventory[[#This Row],[final_imp]]+Grandview_Inventory[[#This Row],[crop_value]]</f>
        <v>72400</v>
      </c>
      <c r="CG2849" t="str">
        <f t="shared" si="45"/>
        <v>update valuation set market_land =72400, market_bldg=0, market_total =72400, market_mdno =401, market_date ='9/10/2023' where link_id = (select link_id from parcel where parcel_year = '2024' and parcel_id = '23092713422');</v>
      </c>
    </row>
    <row r="2850" spans="1:85" x14ac:dyDescent="0.25">
      <c r="A2850">
        <v>23092714411</v>
      </c>
      <c r="B2850">
        <v>0.54</v>
      </c>
      <c r="C2850" t="s">
        <v>129</v>
      </c>
      <c r="D2850" t="s">
        <v>129</v>
      </c>
      <c r="E2850" t="s">
        <v>53</v>
      </c>
      <c r="F2850" t="s">
        <v>53</v>
      </c>
      <c r="G2850">
        <v>4</v>
      </c>
      <c r="H2850" t="s">
        <v>54</v>
      </c>
      <c r="I2850">
        <v>0</v>
      </c>
      <c r="J2850">
        <v>21100</v>
      </c>
      <c r="K2850">
        <v>0.54</v>
      </c>
      <c r="L2850">
        <f>IF(Grandview_Inventory[[#This Row],[parcel_acres]]-Grandview_Inventory[[#This Row],[non_valued_acres]] =0,0,LN(Grandview_Inventory[[#This Row],[parcel_acres]]-Grandview_Inventory[[#This Row],[non_valued_acres]]))</f>
        <v>-0.61618613942381695</v>
      </c>
      <c r="M2850">
        <v>0</v>
      </c>
      <c r="N2850">
        <v>1</v>
      </c>
      <c r="O2850">
        <v>0</v>
      </c>
      <c r="P2850">
        <v>13398.7528</v>
      </c>
      <c r="Q2850">
        <v>63903</v>
      </c>
      <c r="R2850">
        <f>(Grandview_Inventory[[#This Row],[ln_acres]]*Grandview_Inventory[[#This Row],[coeff]])+Grandview_Inventory[[#This Row],[const]]</f>
        <v>55646.874239073943</v>
      </c>
      <c r="AY2850">
        <v>0</v>
      </c>
      <c r="AZ2850">
        <v>0</v>
      </c>
      <c r="BE2850">
        <v>0</v>
      </c>
      <c r="BF2850">
        <v>12000</v>
      </c>
      <c r="BG2850">
        <v>0</v>
      </c>
      <c r="BH2850" s="6">
        <f>Grandview_Inventory[[#This Row],[land_extract]]*Lookups!$B$3</f>
        <v>64622.564807276125</v>
      </c>
      <c r="BI2850" s="6">
        <f>IF(Grandview_Inventory[[#This Row],[bldg_style]]="",0,Lookups!$B$2)</f>
        <v>0</v>
      </c>
      <c r="BJ2850" s="6">
        <f>_xlfn.IFNA(VLOOKUP(Grandview_Inventory[[#This Row],[quality]],Lookups!$H$2:$J$14,3,FALSE),0)</f>
        <v>0</v>
      </c>
      <c r="BK2850" s="6">
        <f>_xlfn.IFNA(VLOOKUP(Grandview_Inventory[[#This Row],[condition]],Lookups!$H$17:$J$24,3,FALSE),0)</f>
        <v>0</v>
      </c>
      <c r="BL2850" s="6">
        <f>Grandview_Inventory[[#This Row],[Eff_Age]]*Lookups!$B$14</f>
        <v>0</v>
      </c>
      <c r="BM2850" s="6">
        <f>Grandview_Inventory[[#This Row],[living_area]]*Lookups!$B$15</f>
        <v>0</v>
      </c>
      <c r="BN2850" s="6">
        <f>Grandview_Inventory[[#This Row],[Fin BSMT]]*Lookups!$B$16</f>
        <v>0</v>
      </c>
      <c r="BO2850" s="6">
        <f>(Grandview_Inventory[[#This Row],[att_gar]]+Grandview_Inventory[[#This Row],[bltin_gar]])*Lookups!$B$17</f>
        <v>0</v>
      </c>
      <c r="BP2850" s="6">
        <f>Grandview_Inventory[[#This Row],[Plumbing Fixtures]]*Lookups!$B$18</f>
        <v>0</v>
      </c>
      <c r="BQ2850" s="6">
        <f>Grandview_Inventory[[#This Row],[detatched_value]]*Lookups!$B$19</f>
        <v>0</v>
      </c>
      <c r="BR2850" s="6">
        <f>SUM(Grandview_Inventory[[#This Row],[Intercept]:[det_value]])*Grandview_Inventory[[#This Row],[res_pct]]</f>
        <v>0</v>
      </c>
      <c r="BS2850" s="6">
        <f>Grandview_Inventory[[#This Row],[land_value]]</f>
        <v>64622.564807276125</v>
      </c>
      <c r="BT2850" s="4">
        <f>_xlfn.IFNA(VLOOKUP(Grandview_Inventory[[#This Row],[quality]],Lookups!$A$26:$C$33,3,FALSE),1)</f>
        <v>1</v>
      </c>
      <c r="BU2850" s="4">
        <f>_xlfn.IFNA(VLOOKUP(Grandview_Inventory[[#This Row],[condition]],Lookups!$A$37:$C$44,3,FALSE),1)</f>
        <v>1</v>
      </c>
      <c r="BV2850" s="4">
        <f>IF(Grandview_Inventory[[#This Row],[bldg_style]]="",1,_xlfn.IFNA(VLOOKUP(Grandview_Inventory[[#This Row],[decade]],Lookups!$F$29:$H$43,3,FALSE),1))</f>
        <v>1</v>
      </c>
      <c r="BW2850" s="4">
        <f>_xlfn.IFNA(VLOOKUP(Grandview_Inventory[[#This Row],[living_area_range]],Lookups!$F$47:$H$56,3,FALSE),1)</f>
        <v>1</v>
      </c>
      <c r="BX2850" s="4">
        <f>AVERAGE(Grandview_Inventory[[#This Row],[qual_adj]:[size_adj]])</f>
        <v>1</v>
      </c>
      <c r="BY2850" s="6">
        <f>IF(Grandview_Inventory[[#This Row],[pre_res]]&lt;0,0,Grandview_Inventory[[#This Row],[pre_res]]*Grandview_Inventory[[#This Row],[overall_adj]])</f>
        <v>0</v>
      </c>
      <c r="BZ2850" s="6">
        <f>(Grandview_Inventory[[#This Row],[sum_land]]-IF(Grandview_Inventory[[#This Row],[no_utilities]]=1,12000,0))/IF(Grandview_Inventory[[#This Row],[unbuildable]]=1,2,1)</f>
        <v>32311.282403638063</v>
      </c>
      <c r="CA2850">
        <f>IF(ROUND(Grandview_Inventory[[#This Row],[adj_land]]*Lookups!$M$28,-2)&lt;Grandview_Inventory[[#This Row],[min_land]],Grandview_Inventory[[#This Row],[min_land]],ROUND(Grandview_Inventory[[#This Row],[adj_land]]*Lookups!$M$28,-2))</f>
        <v>30700</v>
      </c>
      <c r="CB2850">
        <f>ROUND(Grandview_Inventory[[#This Row],[det_value]]*Lookups!$M$28,-2)</f>
        <v>0</v>
      </c>
      <c r="CC285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0">
        <f>Grandview_Inventory[[#This Row],[final_det]]+Grandview_Inventory[[#This Row],[final_res]]</f>
        <v>0</v>
      </c>
      <c r="CE2850">
        <f>Grandview_Inventory[[#This Row],[final_land]]+Grandview_Inventory[[#This Row],[final_imp]]+Grandview_Inventory[[#This Row],[crop_value]]</f>
        <v>30700</v>
      </c>
      <c r="CG2850" t="str">
        <f t="shared" si="45"/>
        <v>update valuation set market_land =30700, market_bldg=0, market_total =30700, market_mdno =401, market_date ='9/10/2023' where link_id = (select link_id from parcel where parcel_year = '2024' and parcel_id = '23092714411');</v>
      </c>
    </row>
    <row r="2851" spans="1:85" x14ac:dyDescent="0.25">
      <c r="A2851">
        <v>23092714413</v>
      </c>
      <c r="B2851">
        <v>2.0299999999999998</v>
      </c>
      <c r="C2851">
        <v>88619</v>
      </c>
      <c r="D2851" t="s">
        <v>129</v>
      </c>
      <c r="E2851" t="s">
        <v>53</v>
      </c>
      <c r="F2851" t="s">
        <v>53</v>
      </c>
      <c r="G2851">
        <v>4</v>
      </c>
      <c r="H2851" t="s">
        <v>54</v>
      </c>
      <c r="I2851">
        <v>0</v>
      </c>
      <c r="J2851">
        <v>56900</v>
      </c>
      <c r="K2851">
        <v>2.0299999999999998</v>
      </c>
      <c r="L2851">
        <f>IF(Grandview_Inventory[[#This Row],[parcel_acres]]-Grandview_Inventory[[#This Row],[non_valued_acres]] =0,0,LN(Grandview_Inventory[[#This Row],[parcel_acres]]-Grandview_Inventory[[#This Row],[non_valued_acres]]))</f>
        <v>0.70803579305369591</v>
      </c>
      <c r="M2851">
        <v>0</v>
      </c>
      <c r="N2851">
        <v>0</v>
      </c>
      <c r="O2851">
        <v>0</v>
      </c>
      <c r="P2851">
        <v>13398.7528</v>
      </c>
      <c r="Q2851">
        <v>63903</v>
      </c>
      <c r="R2851">
        <f>(Grandview_Inventory[[#This Row],[ln_acres]]*Grandview_Inventory[[#This Row],[coeff]])+Grandview_Inventory[[#This Row],[const]]</f>
        <v>73389.796564678429</v>
      </c>
      <c r="AY2851">
        <v>0</v>
      </c>
      <c r="AZ2851">
        <v>0</v>
      </c>
      <c r="BE2851">
        <v>0</v>
      </c>
      <c r="BF2851">
        <v>15000</v>
      </c>
      <c r="BG2851">
        <v>0</v>
      </c>
      <c r="BH2851" s="6">
        <f>Grandview_Inventory[[#This Row],[land_extract]]*Lookups!$B$3</f>
        <v>85227.372598110334</v>
      </c>
      <c r="BI2851" s="6">
        <f>IF(Grandview_Inventory[[#This Row],[bldg_style]]="",0,Lookups!$B$2)</f>
        <v>0</v>
      </c>
      <c r="BJ2851" s="6">
        <f>_xlfn.IFNA(VLOOKUP(Grandview_Inventory[[#This Row],[quality]],Lookups!$H$2:$J$14,3,FALSE),0)</f>
        <v>0</v>
      </c>
      <c r="BK2851" s="6">
        <f>_xlfn.IFNA(VLOOKUP(Grandview_Inventory[[#This Row],[condition]],Lookups!$H$17:$J$24,3,FALSE),0)</f>
        <v>0</v>
      </c>
      <c r="BL2851" s="6">
        <f>Grandview_Inventory[[#This Row],[Eff_Age]]*Lookups!$B$14</f>
        <v>0</v>
      </c>
      <c r="BM2851" s="6">
        <f>Grandview_Inventory[[#This Row],[living_area]]*Lookups!$B$15</f>
        <v>0</v>
      </c>
      <c r="BN2851" s="6">
        <f>Grandview_Inventory[[#This Row],[Fin BSMT]]*Lookups!$B$16</f>
        <v>0</v>
      </c>
      <c r="BO2851" s="6">
        <f>(Grandview_Inventory[[#This Row],[att_gar]]+Grandview_Inventory[[#This Row],[bltin_gar]])*Lookups!$B$17</f>
        <v>0</v>
      </c>
      <c r="BP2851" s="6">
        <f>Grandview_Inventory[[#This Row],[Plumbing Fixtures]]*Lookups!$B$18</f>
        <v>0</v>
      </c>
      <c r="BQ2851" s="6">
        <f>Grandview_Inventory[[#This Row],[detatched_value]]*Lookups!$B$19</f>
        <v>0</v>
      </c>
      <c r="BR2851" s="6">
        <f>SUM(Grandview_Inventory[[#This Row],[Intercept]:[det_value]])*Grandview_Inventory[[#This Row],[res_pct]]</f>
        <v>0</v>
      </c>
      <c r="BS2851" s="6">
        <f>Grandview_Inventory[[#This Row],[land_value]]</f>
        <v>85227.372598110334</v>
      </c>
      <c r="BT2851" s="4">
        <f>_xlfn.IFNA(VLOOKUP(Grandview_Inventory[[#This Row],[quality]],Lookups!$A$26:$C$33,3,FALSE),1)</f>
        <v>1</v>
      </c>
      <c r="BU2851" s="4">
        <f>_xlfn.IFNA(VLOOKUP(Grandview_Inventory[[#This Row],[condition]],Lookups!$A$37:$C$44,3,FALSE),1)</f>
        <v>1</v>
      </c>
      <c r="BV2851" s="4">
        <f>IF(Grandview_Inventory[[#This Row],[bldg_style]]="",1,_xlfn.IFNA(VLOOKUP(Grandview_Inventory[[#This Row],[decade]],Lookups!$F$29:$H$43,3,FALSE),1))</f>
        <v>1</v>
      </c>
      <c r="BW2851" s="4">
        <f>_xlfn.IFNA(VLOOKUP(Grandview_Inventory[[#This Row],[living_area_range]],Lookups!$F$47:$H$56,3,FALSE),1)</f>
        <v>1</v>
      </c>
      <c r="BX2851" s="4">
        <f>AVERAGE(Grandview_Inventory[[#This Row],[qual_adj]:[size_adj]])</f>
        <v>1</v>
      </c>
      <c r="BY2851" s="6">
        <f>IF(Grandview_Inventory[[#This Row],[pre_res]]&lt;0,0,Grandview_Inventory[[#This Row],[pre_res]]*Grandview_Inventory[[#This Row],[overall_adj]])</f>
        <v>0</v>
      </c>
      <c r="BZ2851" s="6">
        <f>(Grandview_Inventory[[#This Row],[sum_land]]-IF(Grandview_Inventory[[#This Row],[no_utilities]]=1,12000,0))/IF(Grandview_Inventory[[#This Row],[unbuildable]]=1,2,1)</f>
        <v>85227.372598110334</v>
      </c>
      <c r="CA2851">
        <f>IF(ROUND(Grandview_Inventory[[#This Row],[adj_land]]*Lookups!$M$28,-2)&lt;Grandview_Inventory[[#This Row],[min_land]],Grandview_Inventory[[#This Row],[min_land]],ROUND(Grandview_Inventory[[#This Row],[adj_land]]*Lookups!$M$28,-2))</f>
        <v>81000</v>
      </c>
      <c r="CB2851">
        <f>ROUND(Grandview_Inventory[[#This Row],[det_value]]*Lookups!$M$28,-2)</f>
        <v>0</v>
      </c>
      <c r="CC285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1">
        <f>Grandview_Inventory[[#This Row],[final_det]]+Grandview_Inventory[[#This Row],[final_res]]</f>
        <v>0</v>
      </c>
      <c r="CE2851">
        <f>Grandview_Inventory[[#This Row],[final_land]]+Grandview_Inventory[[#This Row],[final_imp]]+Grandview_Inventory[[#This Row],[crop_value]]</f>
        <v>81000</v>
      </c>
      <c r="CG2851" t="str">
        <f t="shared" si="45"/>
        <v>update valuation set market_land =81000, market_bldg=0, market_total =81000, market_mdno =401, market_date ='9/10/2023' where link_id = (select link_id from parcel where parcel_year = '2024' and parcel_id = '23092714413');</v>
      </c>
    </row>
    <row r="2852" spans="1:85" x14ac:dyDescent="0.25">
      <c r="A2852">
        <v>23092714414</v>
      </c>
      <c r="B2852">
        <v>1.73</v>
      </c>
      <c r="C2852">
        <v>75258</v>
      </c>
      <c r="D2852" t="s">
        <v>129</v>
      </c>
      <c r="E2852" t="s">
        <v>53</v>
      </c>
      <c r="F2852" t="s">
        <v>53</v>
      </c>
      <c r="G2852">
        <v>4</v>
      </c>
      <c r="H2852" t="s">
        <v>54</v>
      </c>
      <c r="I2852">
        <v>0</v>
      </c>
      <c r="J2852">
        <v>55000</v>
      </c>
      <c r="K2852">
        <v>1.73</v>
      </c>
      <c r="L2852">
        <f>IF(Grandview_Inventory[[#This Row],[parcel_acres]]-Grandview_Inventory[[#This Row],[non_valued_acres]] =0,0,LN(Grandview_Inventory[[#This Row],[parcel_acres]]-Grandview_Inventory[[#This Row],[non_valued_acres]]))</f>
        <v>0.5481214085096876</v>
      </c>
      <c r="M2852">
        <v>0</v>
      </c>
      <c r="N2852">
        <v>0</v>
      </c>
      <c r="O2852">
        <v>0</v>
      </c>
      <c r="P2852">
        <v>13398.7528</v>
      </c>
      <c r="Q2852">
        <v>63903</v>
      </c>
      <c r="R2852">
        <f>(Grandview_Inventory[[#This Row],[ln_acres]]*Grandview_Inventory[[#This Row],[coeff]])+Grandview_Inventory[[#This Row],[const]]</f>
        <v>71247.143257009127</v>
      </c>
      <c r="AY2852">
        <v>0</v>
      </c>
      <c r="AZ2852">
        <v>0</v>
      </c>
      <c r="BE2852">
        <v>0</v>
      </c>
      <c r="BF2852">
        <v>15000</v>
      </c>
      <c r="BG2852">
        <v>0</v>
      </c>
      <c r="BH2852" s="6">
        <f>Grandview_Inventory[[#This Row],[land_extract]]*Lookups!$B$3</f>
        <v>82739.115097077898</v>
      </c>
      <c r="BI2852" s="6">
        <f>IF(Grandview_Inventory[[#This Row],[bldg_style]]="",0,Lookups!$B$2)</f>
        <v>0</v>
      </c>
      <c r="BJ2852" s="6">
        <f>_xlfn.IFNA(VLOOKUP(Grandview_Inventory[[#This Row],[quality]],Lookups!$H$2:$J$14,3,FALSE),0)</f>
        <v>0</v>
      </c>
      <c r="BK2852" s="6">
        <f>_xlfn.IFNA(VLOOKUP(Grandview_Inventory[[#This Row],[condition]],Lookups!$H$17:$J$24,3,FALSE),0)</f>
        <v>0</v>
      </c>
      <c r="BL2852" s="6">
        <f>Grandview_Inventory[[#This Row],[Eff_Age]]*Lookups!$B$14</f>
        <v>0</v>
      </c>
      <c r="BM2852" s="6">
        <f>Grandview_Inventory[[#This Row],[living_area]]*Lookups!$B$15</f>
        <v>0</v>
      </c>
      <c r="BN2852" s="6">
        <f>Grandview_Inventory[[#This Row],[Fin BSMT]]*Lookups!$B$16</f>
        <v>0</v>
      </c>
      <c r="BO2852" s="6">
        <f>(Grandview_Inventory[[#This Row],[att_gar]]+Grandview_Inventory[[#This Row],[bltin_gar]])*Lookups!$B$17</f>
        <v>0</v>
      </c>
      <c r="BP2852" s="6">
        <f>Grandview_Inventory[[#This Row],[Plumbing Fixtures]]*Lookups!$B$18</f>
        <v>0</v>
      </c>
      <c r="BQ2852" s="6">
        <f>Grandview_Inventory[[#This Row],[detatched_value]]*Lookups!$B$19</f>
        <v>0</v>
      </c>
      <c r="BR2852" s="6">
        <f>SUM(Grandview_Inventory[[#This Row],[Intercept]:[det_value]])*Grandview_Inventory[[#This Row],[res_pct]]</f>
        <v>0</v>
      </c>
      <c r="BS2852" s="6">
        <f>Grandview_Inventory[[#This Row],[land_value]]</f>
        <v>82739.115097077898</v>
      </c>
      <c r="BT2852" s="4">
        <f>_xlfn.IFNA(VLOOKUP(Grandview_Inventory[[#This Row],[quality]],Lookups!$A$26:$C$33,3,FALSE),1)</f>
        <v>1</v>
      </c>
      <c r="BU2852" s="4">
        <f>_xlfn.IFNA(VLOOKUP(Grandview_Inventory[[#This Row],[condition]],Lookups!$A$37:$C$44,3,FALSE),1)</f>
        <v>1</v>
      </c>
      <c r="BV2852" s="4">
        <f>IF(Grandview_Inventory[[#This Row],[bldg_style]]="",1,_xlfn.IFNA(VLOOKUP(Grandview_Inventory[[#This Row],[decade]],Lookups!$F$29:$H$43,3,FALSE),1))</f>
        <v>1</v>
      </c>
      <c r="BW2852" s="4">
        <f>_xlfn.IFNA(VLOOKUP(Grandview_Inventory[[#This Row],[living_area_range]],Lookups!$F$47:$H$56,3,FALSE),1)</f>
        <v>1</v>
      </c>
      <c r="BX2852" s="4">
        <f>AVERAGE(Grandview_Inventory[[#This Row],[qual_adj]:[size_adj]])</f>
        <v>1</v>
      </c>
      <c r="BY2852" s="6">
        <f>IF(Grandview_Inventory[[#This Row],[pre_res]]&lt;0,0,Grandview_Inventory[[#This Row],[pre_res]]*Grandview_Inventory[[#This Row],[overall_adj]])</f>
        <v>0</v>
      </c>
      <c r="BZ2852" s="6">
        <f>(Grandview_Inventory[[#This Row],[sum_land]]-IF(Grandview_Inventory[[#This Row],[no_utilities]]=1,12000,0))/IF(Grandview_Inventory[[#This Row],[unbuildable]]=1,2,1)</f>
        <v>82739.115097077898</v>
      </c>
      <c r="CA2852">
        <f>IF(ROUND(Grandview_Inventory[[#This Row],[adj_land]]*Lookups!$M$28,-2)&lt;Grandview_Inventory[[#This Row],[min_land]],Grandview_Inventory[[#This Row],[min_land]],ROUND(Grandview_Inventory[[#This Row],[adj_land]]*Lookups!$M$28,-2))</f>
        <v>78600</v>
      </c>
      <c r="CB2852">
        <f>ROUND(Grandview_Inventory[[#This Row],[det_value]]*Lookups!$M$28,-2)</f>
        <v>0</v>
      </c>
      <c r="CC285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2">
        <f>Grandview_Inventory[[#This Row],[final_det]]+Grandview_Inventory[[#This Row],[final_res]]</f>
        <v>0</v>
      </c>
      <c r="CE2852">
        <f>Grandview_Inventory[[#This Row],[final_land]]+Grandview_Inventory[[#This Row],[final_imp]]+Grandview_Inventory[[#This Row],[crop_value]]</f>
        <v>78600</v>
      </c>
      <c r="CG2852" t="str">
        <f t="shared" si="45"/>
        <v>update valuation set market_land =78600, market_bldg=0, market_total =78600, market_mdno =401, market_date ='9/10/2023' where link_id = (select link_id from parcel where parcel_year = '2024' and parcel_id = '23092714414');</v>
      </c>
    </row>
    <row r="2853" spans="1:85" x14ac:dyDescent="0.25">
      <c r="A2853">
        <v>23092714417</v>
      </c>
      <c r="B2853">
        <v>1.33</v>
      </c>
      <c r="C2853">
        <v>57920</v>
      </c>
      <c r="D2853" t="s">
        <v>129</v>
      </c>
      <c r="E2853" t="s">
        <v>53</v>
      </c>
      <c r="F2853" t="s">
        <v>53</v>
      </c>
      <c r="G2853">
        <v>4</v>
      </c>
      <c r="H2853" t="s">
        <v>54</v>
      </c>
      <c r="I2853">
        <v>0</v>
      </c>
      <c r="J2853">
        <v>25900</v>
      </c>
      <c r="K2853">
        <v>1.33</v>
      </c>
      <c r="L2853">
        <f>IF(Grandview_Inventory[[#This Row],[parcel_acres]]-Grandview_Inventory[[#This Row],[non_valued_acres]] =0,0,LN(Grandview_Inventory[[#This Row],[parcel_acres]]-Grandview_Inventory[[#This Row],[non_valued_acres]]))</f>
        <v>0.28517894223366247</v>
      </c>
      <c r="M2853">
        <v>0</v>
      </c>
      <c r="N2853">
        <v>1</v>
      </c>
      <c r="O2853">
        <v>0</v>
      </c>
      <c r="P2853">
        <v>13398.7528</v>
      </c>
      <c r="Q2853">
        <v>63903</v>
      </c>
      <c r="R2853">
        <f>(Grandview_Inventory[[#This Row],[ln_acres]]*Grandview_Inventory[[#This Row],[coeff]])+Grandview_Inventory[[#This Row],[const]]</f>
        <v>67724.042150754321</v>
      </c>
      <c r="AY2853">
        <v>0</v>
      </c>
      <c r="AZ2853">
        <v>0</v>
      </c>
      <c r="BE2853">
        <v>0</v>
      </c>
      <c r="BF2853">
        <v>12000</v>
      </c>
      <c r="BG2853">
        <v>0</v>
      </c>
      <c r="BH2853" s="6">
        <f>Grandview_Inventory[[#This Row],[land_extract]]*Lookups!$B$3</f>
        <v>78647.74729475718</v>
      </c>
      <c r="BI2853" s="6">
        <f>IF(Grandview_Inventory[[#This Row],[bldg_style]]="",0,Lookups!$B$2)</f>
        <v>0</v>
      </c>
      <c r="BJ2853" s="6">
        <f>_xlfn.IFNA(VLOOKUP(Grandview_Inventory[[#This Row],[quality]],Lookups!$H$2:$J$14,3,FALSE),0)</f>
        <v>0</v>
      </c>
      <c r="BK2853" s="6">
        <f>_xlfn.IFNA(VLOOKUP(Grandview_Inventory[[#This Row],[condition]],Lookups!$H$17:$J$24,3,FALSE),0)</f>
        <v>0</v>
      </c>
      <c r="BL2853" s="6">
        <f>Grandview_Inventory[[#This Row],[Eff_Age]]*Lookups!$B$14</f>
        <v>0</v>
      </c>
      <c r="BM2853" s="6">
        <f>Grandview_Inventory[[#This Row],[living_area]]*Lookups!$B$15</f>
        <v>0</v>
      </c>
      <c r="BN2853" s="6">
        <f>Grandview_Inventory[[#This Row],[Fin BSMT]]*Lookups!$B$16</f>
        <v>0</v>
      </c>
      <c r="BO2853" s="6">
        <f>(Grandview_Inventory[[#This Row],[att_gar]]+Grandview_Inventory[[#This Row],[bltin_gar]])*Lookups!$B$17</f>
        <v>0</v>
      </c>
      <c r="BP2853" s="6">
        <f>Grandview_Inventory[[#This Row],[Plumbing Fixtures]]*Lookups!$B$18</f>
        <v>0</v>
      </c>
      <c r="BQ2853" s="6">
        <f>Grandview_Inventory[[#This Row],[detatched_value]]*Lookups!$B$19</f>
        <v>0</v>
      </c>
      <c r="BR2853" s="6">
        <f>SUM(Grandview_Inventory[[#This Row],[Intercept]:[det_value]])*Grandview_Inventory[[#This Row],[res_pct]]</f>
        <v>0</v>
      </c>
      <c r="BS2853" s="6">
        <f>Grandview_Inventory[[#This Row],[land_value]]</f>
        <v>78647.74729475718</v>
      </c>
      <c r="BT2853" s="4">
        <f>_xlfn.IFNA(VLOOKUP(Grandview_Inventory[[#This Row],[quality]],Lookups!$A$26:$C$33,3,FALSE),1)</f>
        <v>1</v>
      </c>
      <c r="BU2853" s="4">
        <f>_xlfn.IFNA(VLOOKUP(Grandview_Inventory[[#This Row],[condition]],Lookups!$A$37:$C$44,3,FALSE),1)</f>
        <v>1</v>
      </c>
      <c r="BV2853" s="4">
        <f>IF(Grandview_Inventory[[#This Row],[bldg_style]]="",1,_xlfn.IFNA(VLOOKUP(Grandview_Inventory[[#This Row],[decade]],Lookups!$F$29:$H$43,3,FALSE),1))</f>
        <v>1</v>
      </c>
      <c r="BW2853" s="4">
        <f>_xlfn.IFNA(VLOOKUP(Grandview_Inventory[[#This Row],[living_area_range]],Lookups!$F$47:$H$56,3,FALSE),1)</f>
        <v>1</v>
      </c>
      <c r="BX2853" s="4">
        <f>AVERAGE(Grandview_Inventory[[#This Row],[qual_adj]:[size_adj]])</f>
        <v>1</v>
      </c>
      <c r="BY2853" s="6">
        <f>IF(Grandview_Inventory[[#This Row],[pre_res]]&lt;0,0,Grandview_Inventory[[#This Row],[pre_res]]*Grandview_Inventory[[#This Row],[overall_adj]])</f>
        <v>0</v>
      </c>
      <c r="BZ2853" s="6">
        <f>(Grandview_Inventory[[#This Row],[sum_land]]-IF(Grandview_Inventory[[#This Row],[no_utilities]]=1,12000,0))/IF(Grandview_Inventory[[#This Row],[unbuildable]]=1,2,1)</f>
        <v>39323.87364737859</v>
      </c>
      <c r="CA2853">
        <f>IF(ROUND(Grandview_Inventory[[#This Row],[adj_land]]*Lookups!$M$28,-2)&lt;Grandview_Inventory[[#This Row],[min_land]],Grandview_Inventory[[#This Row],[min_land]],ROUND(Grandview_Inventory[[#This Row],[adj_land]]*Lookups!$M$28,-2))</f>
        <v>37400</v>
      </c>
      <c r="CB2853">
        <f>ROUND(Grandview_Inventory[[#This Row],[det_value]]*Lookups!$M$28,-2)</f>
        <v>0</v>
      </c>
      <c r="CC285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3">
        <f>Grandview_Inventory[[#This Row],[final_det]]+Grandview_Inventory[[#This Row],[final_res]]</f>
        <v>0</v>
      </c>
      <c r="CE2853">
        <f>Grandview_Inventory[[#This Row],[final_land]]+Grandview_Inventory[[#This Row],[final_imp]]+Grandview_Inventory[[#This Row],[crop_value]]</f>
        <v>37400</v>
      </c>
      <c r="CG2853" t="str">
        <f t="shared" si="45"/>
        <v>update valuation set market_land =37400, market_bldg=0, market_total =37400, market_mdno =401, market_date ='9/10/2023' where link_id = (select link_id from parcel where parcel_year = '2024' and parcel_id = '23092714417');</v>
      </c>
    </row>
    <row r="2854" spans="1:85" x14ac:dyDescent="0.25">
      <c r="A2854">
        <v>23092714420</v>
      </c>
      <c r="B2854">
        <v>1.55</v>
      </c>
      <c r="C2854">
        <v>67671</v>
      </c>
      <c r="D2854" t="s">
        <v>129</v>
      </c>
      <c r="E2854" t="s">
        <v>53</v>
      </c>
      <c r="F2854" t="s">
        <v>53</v>
      </c>
      <c r="G2854">
        <v>4</v>
      </c>
      <c r="H2854" t="s">
        <v>54</v>
      </c>
      <c r="I2854">
        <v>0</v>
      </c>
      <c r="J2854">
        <v>53600</v>
      </c>
      <c r="K2854">
        <v>1.55</v>
      </c>
      <c r="L2854">
        <f>IF(Grandview_Inventory[[#This Row],[parcel_acres]]-Grandview_Inventory[[#This Row],[non_valued_acres]] =0,0,LN(Grandview_Inventory[[#This Row],[parcel_acres]]-Grandview_Inventory[[#This Row],[non_valued_acres]]))</f>
        <v>0.43825493093115531</v>
      </c>
      <c r="M2854">
        <v>0</v>
      </c>
      <c r="N2854">
        <v>0</v>
      </c>
      <c r="O2854">
        <v>0</v>
      </c>
      <c r="P2854">
        <v>13398.7528</v>
      </c>
      <c r="Q2854">
        <v>63903</v>
      </c>
      <c r="R2854">
        <f>(Grandview_Inventory[[#This Row],[ln_acres]]*Grandview_Inventory[[#This Row],[coeff]])+Grandview_Inventory[[#This Row],[const]]</f>
        <v>69775.069482927618</v>
      </c>
      <c r="AY2854">
        <v>0</v>
      </c>
      <c r="AZ2854">
        <v>0</v>
      </c>
      <c r="BE2854">
        <v>0</v>
      </c>
      <c r="BF2854">
        <v>15000</v>
      </c>
      <c r="BG2854">
        <v>0</v>
      </c>
      <c r="BH2854" s="6">
        <f>Grandview_Inventory[[#This Row],[land_extract]]*Lookups!$B$3</f>
        <v>81029.599797836243</v>
      </c>
      <c r="BI2854" s="6">
        <f>IF(Grandview_Inventory[[#This Row],[bldg_style]]="",0,Lookups!$B$2)</f>
        <v>0</v>
      </c>
      <c r="BJ2854" s="6">
        <f>_xlfn.IFNA(VLOOKUP(Grandview_Inventory[[#This Row],[quality]],Lookups!$H$2:$J$14,3,FALSE),0)</f>
        <v>0</v>
      </c>
      <c r="BK2854" s="6">
        <f>_xlfn.IFNA(VLOOKUP(Grandview_Inventory[[#This Row],[condition]],Lookups!$H$17:$J$24,3,FALSE),0)</f>
        <v>0</v>
      </c>
      <c r="BL2854" s="6">
        <f>Grandview_Inventory[[#This Row],[Eff_Age]]*Lookups!$B$14</f>
        <v>0</v>
      </c>
      <c r="BM2854" s="6">
        <f>Grandview_Inventory[[#This Row],[living_area]]*Lookups!$B$15</f>
        <v>0</v>
      </c>
      <c r="BN2854" s="6">
        <f>Grandview_Inventory[[#This Row],[Fin BSMT]]*Lookups!$B$16</f>
        <v>0</v>
      </c>
      <c r="BO2854" s="6">
        <f>(Grandview_Inventory[[#This Row],[att_gar]]+Grandview_Inventory[[#This Row],[bltin_gar]])*Lookups!$B$17</f>
        <v>0</v>
      </c>
      <c r="BP2854" s="6">
        <f>Grandview_Inventory[[#This Row],[Plumbing Fixtures]]*Lookups!$B$18</f>
        <v>0</v>
      </c>
      <c r="BQ2854" s="6">
        <f>Grandview_Inventory[[#This Row],[detatched_value]]*Lookups!$B$19</f>
        <v>0</v>
      </c>
      <c r="BR2854" s="6">
        <f>SUM(Grandview_Inventory[[#This Row],[Intercept]:[det_value]])*Grandview_Inventory[[#This Row],[res_pct]]</f>
        <v>0</v>
      </c>
      <c r="BS2854" s="6">
        <f>Grandview_Inventory[[#This Row],[land_value]]</f>
        <v>81029.599797836243</v>
      </c>
      <c r="BT2854" s="4">
        <f>_xlfn.IFNA(VLOOKUP(Grandview_Inventory[[#This Row],[quality]],Lookups!$A$26:$C$33,3,FALSE),1)</f>
        <v>1</v>
      </c>
      <c r="BU2854" s="4">
        <f>_xlfn.IFNA(VLOOKUP(Grandview_Inventory[[#This Row],[condition]],Lookups!$A$37:$C$44,3,FALSE),1)</f>
        <v>1</v>
      </c>
      <c r="BV2854" s="4">
        <f>IF(Grandview_Inventory[[#This Row],[bldg_style]]="",1,_xlfn.IFNA(VLOOKUP(Grandview_Inventory[[#This Row],[decade]],Lookups!$F$29:$H$43,3,FALSE),1))</f>
        <v>1</v>
      </c>
      <c r="BW2854" s="4">
        <f>_xlfn.IFNA(VLOOKUP(Grandview_Inventory[[#This Row],[living_area_range]],Lookups!$F$47:$H$56,3,FALSE),1)</f>
        <v>1</v>
      </c>
      <c r="BX2854" s="4">
        <f>AVERAGE(Grandview_Inventory[[#This Row],[qual_adj]:[size_adj]])</f>
        <v>1</v>
      </c>
      <c r="BY2854" s="6">
        <f>IF(Grandview_Inventory[[#This Row],[pre_res]]&lt;0,0,Grandview_Inventory[[#This Row],[pre_res]]*Grandview_Inventory[[#This Row],[overall_adj]])</f>
        <v>0</v>
      </c>
      <c r="BZ2854" s="6">
        <f>(Grandview_Inventory[[#This Row],[sum_land]]-IF(Grandview_Inventory[[#This Row],[no_utilities]]=1,12000,0))/IF(Grandview_Inventory[[#This Row],[unbuildable]]=1,2,1)</f>
        <v>81029.599797836243</v>
      </c>
      <c r="CA2854">
        <f>IF(ROUND(Grandview_Inventory[[#This Row],[adj_land]]*Lookups!$M$28,-2)&lt;Grandview_Inventory[[#This Row],[min_land]],Grandview_Inventory[[#This Row],[min_land]],ROUND(Grandview_Inventory[[#This Row],[adj_land]]*Lookups!$M$28,-2))</f>
        <v>77000</v>
      </c>
      <c r="CB2854">
        <f>ROUND(Grandview_Inventory[[#This Row],[det_value]]*Lookups!$M$28,-2)</f>
        <v>0</v>
      </c>
      <c r="CC285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4">
        <f>Grandview_Inventory[[#This Row],[final_det]]+Grandview_Inventory[[#This Row],[final_res]]</f>
        <v>0</v>
      </c>
      <c r="CE2854">
        <f>Grandview_Inventory[[#This Row],[final_land]]+Grandview_Inventory[[#This Row],[final_imp]]+Grandview_Inventory[[#This Row],[crop_value]]</f>
        <v>77000</v>
      </c>
      <c r="CG2854" t="str">
        <f t="shared" si="45"/>
        <v>update valuation set market_land =77000, market_bldg=0, market_total =77000, market_mdno =401, market_date ='9/10/2023' where link_id = (select link_id from parcel where parcel_year = '2024' and parcel_id = '23092714420');</v>
      </c>
    </row>
    <row r="2855" spans="1:85" x14ac:dyDescent="0.25">
      <c r="A2855">
        <v>23092714449</v>
      </c>
      <c r="B2855">
        <v>1.18</v>
      </c>
      <c r="C2855" t="s">
        <v>129</v>
      </c>
      <c r="D2855" t="s">
        <v>129</v>
      </c>
      <c r="E2855" t="s">
        <v>53</v>
      </c>
      <c r="F2855" t="s">
        <v>53</v>
      </c>
      <c r="G2855">
        <v>4</v>
      </c>
      <c r="H2855" t="s">
        <v>54</v>
      </c>
      <c r="I2855">
        <v>0</v>
      </c>
      <c r="J2855">
        <v>50500</v>
      </c>
      <c r="K2855">
        <v>1.18</v>
      </c>
      <c r="L2855">
        <f>IF(Grandview_Inventory[[#This Row],[parcel_acres]]-Grandview_Inventory[[#This Row],[non_valued_acres]] =0,0,LN(Grandview_Inventory[[#This Row],[parcel_acres]]-Grandview_Inventory[[#This Row],[non_valued_acres]]))</f>
        <v>0.16551443847757333</v>
      </c>
      <c r="M2855">
        <v>0</v>
      </c>
      <c r="N2855">
        <v>0</v>
      </c>
      <c r="O2855">
        <v>0</v>
      </c>
      <c r="P2855">
        <v>13398.7528</v>
      </c>
      <c r="Q2855">
        <v>63903</v>
      </c>
      <c r="R2855">
        <f>(Grandview_Inventory[[#This Row],[ln_acres]]*Grandview_Inventory[[#This Row],[coeff]])+Grandview_Inventory[[#This Row],[const]]</f>
        <v>66120.687045991814</v>
      </c>
      <c r="AY2855">
        <v>0</v>
      </c>
      <c r="AZ2855">
        <v>0</v>
      </c>
      <c r="BE2855">
        <v>0</v>
      </c>
      <c r="BF2855">
        <v>15000</v>
      </c>
      <c r="BG2855">
        <v>0</v>
      </c>
      <c r="BH2855" s="6">
        <f>Grandview_Inventory[[#This Row],[land_extract]]*Lookups!$B$3</f>
        <v>76785.775340655266</v>
      </c>
      <c r="BI2855" s="6">
        <f>IF(Grandview_Inventory[[#This Row],[bldg_style]]="",0,Lookups!$B$2)</f>
        <v>0</v>
      </c>
      <c r="BJ2855" s="6">
        <f>_xlfn.IFNA(VLOOKUP(Grandview_Inventory[[#This Row],[quality]],Lookups!$H$2:$J$14,3,FALSE),0)</f>
        <v>0</v>
      </c>
      <c r="BK2855" s="6">
        <f>_xlfn.IFNA(VLOOKUP(Grandview_Inventory[[#This Row],[condition]],Lookups!$H$17:$J$24,3,FALSE),0)</f>
        <v>0</v>
      </c>
      <c r="BL2855" s="6">
        <f>Grandview_Inventory[[#This Row],[Eff_Age]]*Lookups!$B$14</f>
        <v>0</v>
      </c>
      <c r="BM2855" s="6">
        <f>Grandview_Inventory[[#This Row],[living_area]]*Lookups!$B$15</f>
        <v>0</v>
      </c>
      <c r="BN2855" s="6">
        <f>Grandview_Inventory[[#This Row],[Fin BSMT]]*Lookups!$B$16</f>
        <v>0</v>
      </c>
      <c r="BO2855" s="6">
        <f>(Grandview_Inventory[[#This Row],[att_gar]]+Grandview_Inventory[[#This Row],[bltin_gar]])*Lookups!$B$17</f>
        <v>0</v>
      </c>
      <c r="BP2855" s="6">
        <f>Grandview_Inventory[[#This Row],[Plumbing Fixtures]]*Lookups!$B$18</f>
        <v>0</v>
      </c>
      <c r="BQ2855" s="6">
        <f>Grandview_Inventory[[#This Row],[detatched_value]]*Lookups!$B$19</f>
        <v>0</v>
      </c>
      <c r="BR2855" s="6">
        <f>SUM(Grandview_Inventory[[#This Row],[Intercept]:[det_value]])*Grandview_Inventory[[#This Row],[res_pct]]</f>
        <v>0</v>
      </c>
      <c r="BS2855" s="6">
        <f>Grandview_Inventory[[#This Row],[land_value]]</f>
        <v>76785.775340655266</v>
      </c>
      <c r="BT2855" s="4">
        <f>_xlfn.IFNA(VLOOKUP(Grandview_Inventory[[#This Row],[quality]],Lookups!$A$26:$C$33,3,FALSE),1)</f>
        <v>1</v>
      </c>
      <c r="BU2855" s="4">
        <f>_xlfn.IFNA(VLOOKUP(Grandview_Inventory[[#This Row],[condition]],Lookups!$A$37:$C$44,3,FALSE),1)</f>
        <v>1</v>
      </c>
      <c r="BV2855" s="4">
        <f>IF(Grandview_Inventory[[#This Row],[bldg_style]]="",1,_xlfn.IFNA(VLOOKUP(Grandview_Inventory[[#This Row],[decade]],Lookups!$F$29:$H$43,3,FALSE),1))</f>
        <v>1</v>
      </c>
      <c r="BW2855" s="4">
        <f>_xlfn.IFNA(VLOOKUP(Grandview_Inventory[[#This Row],[living_area_range]],Lookups!$F$47:$H$56,3,FALSE),1)</f>
        <v>1</v>
      </c>
      <c r="BX2855" s="4">
        <f>AVERAGE(Grandview_Inventory[[#This Row],[qual_adj]:[size_adj]])</f>
        <v>1</v>
      </c>
      <c r="BY2855" s="6">
        <f>IF(Grandview_Inventory[[#This Row],[pre_res]]&lt;0,0,Grandview_Inventory[[#This Row],[pre_res]]*Grandview_Inventory[[#This Row],[overall_adj]])</f>
        <v>0</v>
      </c>
      <c r="BZ2855" s="6">
        <f>(Grandview_Inventory[[#This Row],[sum_land]]-IF(Grandview_Inventory[[#This Row],[no_utilities]]=1,12000,0))/IF(Grandview_Inventory[[#This Row],[unbuildable]]=1,2,1)</f>
        <v>76785.775340655266</v>
      </c>
      <c r="CA2855">
        <f>IF(ROUND(Grandview_Inventory[[#This Row],[adj_land]]*Lookups!$M$28,-2)&lt;Grandview_Inventory[[#This Row],[min_land]],Grandview_Inventory[[#This Row],[min_land]],ROUND(Grandview_Inventory[[#This Row],[adj_land]]*Lookups!$M$28,-2))</f>
        <v>72900</v>
      </c>
      <c r="CB2855">
        <f>ROUND(Grandview_Inventory[[#This Row],[det_value]]*Lookups!$M$28,-2)</f>
        <v>0</v>
      </c>
      <c r="CC285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5">
        <f>Grandview_Inventory[[#This Row],[final_det]]+Grandview_Inventory[[#This Row],[final_res]]</f>
        <v>0</v>
      </c>
      <c r="CE2855">
        <f>Grandview_Inventory[[#This Row],[final_land]]+Grandview_Inventory[[#This Row],[final_imp]]+Grandview_Inventory[[#This Row],[crop_value]]</f>
        <v>72900</v>
      </c>
      <c r="CG2855" t="str">
        <f t="shared" si="45"/>
        <v>update valuation set market_land =72900, market_bldg=0, market_total =72900, market_mdno =401, market_date ='9/10/2023' where link_id = (select link_id from parcel where parcel_year = '2024' and parcel_id = '23092714449');</v>
      </c>
    </row>
    <row r="2856" spans="1:85" x14ac:dyDescent="0.25">
      <c r="A2856">
        <v>23092721005</v>
      </c>
      <c r="B2856">
        <v>1.26</v>
      </c>
      <c r="C2856">
        <v>54793</v>
      </c>
      <c r="D2856" t="s">
        <v>129</v>
      </c>
      <c r="E2856" t="s">
        <v>53</v>
      </c>
      <c r="F2856" t="s">
        <v>53</v>
      </c>
      <c r="G2856">
        <v>4</v>
      </c>
      <c r="H2856" t="s">
        <v>54</v>
      </c>
      <c r="I2856">
        <v>0</v>
      </c>
      <c r="J2856">
        <v>30200</v>
      </c>
      <c r="K2856">
        <v>1.26</v>
      </c>
      <c r="L2856">
        <f>IF(Grandview_Inventory[[#This Row],[parcel_acres]]-Grandview_Inventory[[#This Row],[non_valued_acres]] =0,0,LN(Grandview_Inventory[[#This Row],[parcel_acres]]-Grandview_Inventory[[#This Row],[non_valued_acres]]))</f>
        <v>0.23111172096338664</v>
      </c>
      <c r="M2856">
        <v>0</v>
      </c>
      <c r="N2856">
        <v>0</v>
      </c>
      <c r="O2856">
        <v>1</v>
      </c>
      <c r="P2856">
        <v>13398.7528</v>
      </c>
      <c r="Q2856">
        <v>63903</v>
      </c>
      <c r="R2856">
        <f>(Grandview_Inventory[[#This Row],[ln_acres]]*Grandview_Inventory[[#This Row],[coeff]])+Grandview_Inventory[[#This Row],[const]]</f>
        <v>66999.608818370994</v>
      </c>
      <c r="AY2856">
        <v>0</v>
      </c>
      <c r="AZ2856">
        <v>0</v>
      </c>
      <c r="BE2856">
        <v>0</v>
      </c>
      <c r="BF2856">
        <v>3000</v>
      </c>
      <c r="BG2856">
        <v>0</v>
      </c>
      <c r="BH2856" s="6">
        <f>Grandview_Inventory[[#This Row],[land_extract]]*Lookups!$B$3</f>
        <v>77806.464821830421</v>
      </c>
      <c r="BI2856" s="6">
        <f>IF(Grandview_Inventory[[#This Row],[bldg_style]]="",0,Lookups!$B$2)</f>
        <v>0</v>
      </c>
      <c r="BJ2856" s="6">
        <f>_xlfn.IFNA(VLOOKUP(Grandview_Inventory[[#This Row],[quality]],Lookups!$H$2:$J$14,3,FALSE),0)</f>
        <v>0</v>
      </c>
      <c r="BK2856" s="6">
        <f>_xlfn.IFNA(VLOOKUP(Grandview_Inventory[[#This Row],[condition]],Lookups!$H$17:$J$24,3,FALSE),0)</f>
        <v>0</v>
      </c>
      <c r="BL2856" s="6">
        <f>Grandview_Inventory[[#This Row],[Eff_Age]]*Lookups!$B$14</f>
        <v>0</v>
      </c>
      <c r="BM2856" s="6">
        <f>Grandview_Inventory[[#This Row],[living_area]]*Lookups!$B$15</f>
        <v>0</v>
      </c>
      <c r="BN2856" s="6">
        <f>Grandview_Inventory[[#This Row],[Fin BSMT]]*Lookups!$B$16</f>
        <v>0</v>
      </c>
      <c r="BO2856" s="6">
        <f>(Grandview_Inventory[[#This Row],[att_gar]]+Grandview_Inventory[[#This Row],[bltin_gar]])*Lookups!$B$17</f>
        <v>0</v>
      </c>
      <c r="BP2856" s="6">
        <f>Grandview_Inventory[[#This Row],[Plumbing Fixtures]]*Lookups!$B$18</f>
        <v>0</v>
      </c>
      <c r="BQ2856" s="6">
        <f>Grandview_Inventory[[#This Row],[detatched_value]]*Lookups!$B$19</f>
        <v>0</v>
      </c>
      <c r="BR2856" s="6">
        <f>SUM(Grandview_Inventory[[#This Row],[Intercept]:[det_value]])*Grandview_Inventory[[#This Row],[res_pct]]</f>
        <v>0</v>
      </c>
      <c r="BS2856" s="6">
        <f>Grandview_Inventory[[#This Row],[land_value]]</f>
        <v>77806.464821830421</v>
      </c>
      <c r="BT2856" s="4">
        <f>_xlfn.IFNA(VLOOKUP(Grandview_Inventory[[#This Row],[quality]],Lookups!$A$26:$C$33,3,FALSE),1)</f>
        <v>1</v>
      </c>
      <c r="BU2856" s="4">
        <f>_xlfn.IFNA(VLOOKUP(Grandview_Inventory[[#This Row],[condition]],Lookups!$A$37:$C$44,3,FALSE),1)</f>
        <v>1</v>
      </c>
      <c r="BV2856" s="4">
        <f>IF(Grandview_Inventory[[#This Row],[bldg_style]]="",1,_xlfn.IFNA(VLOOKUP(Grandview_Inventory[[#This Row],[decade]],Lookups!$F$29:$H$43,3,FALSE),1))</f>
        <v>1</v>
      </c>
      <c r="BW2856" s="4">
        <f>_xlfn.IFNA(VLOOKUP(Grandview_Inventory[[#This Row],[living_area_range]],Lookups!$F$47:$H$56,3,FALSE),1)</f>
        <v>1</v>
      </c>
      <c r="BX2856" s="4">
        <f>AVERAGE(Grandview_Inventory[[#This Row],[qual_adj]:[size_adj]])</f>
        <v>1</v>
      </c>
      <c r="BY2856" s="6">
        <f>IF(Grandview_Inventory[[#This Row],[pre_res]]&lt;0,0,Grandview_Inventory[[#This Row],[pre_res]]*Grandview_Inventory[[#This Row],[overall_adj]])</f>
        <v>0</v>
      </c>
      <c r="BZ2856" s="6">
        <f>(Grandview_Inventory[[#This Row],[sum_land]]-IF(Grandview_Inventory[[#This Row],[no_utilities]]=1,12000,0))/IF(Grandview_Inventory[[#This Row],[unbuildable]]=1,2,1)</f>
        <v>65806.464821830421</v>
      </c>
      <c r="CA2856">
        <f>IF(ROUND(Grandview_Inventory[[#This Row],[adj_land]]*Lookups!$M$28,-2)&lt;Grandview_Inventory[[#This Row],[min_land]],Grandview_Inventory[[#This Row],[min_land]],ROUND(Grandview_Inventory[[#This Row],[adj_land]]*Lookups!$M$28,-2))</f>
        <v>62500</v>
      </c>
      <c r="CB2856">
        <f>ROUND(Grandview_Inventory[[#This Row],[det_value]]*Lookups!$M$28,-2)</f>
        <v>0</v>
      </c>
      <c r="CC285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6">
        <f>Grandview_Inventory[[#This Row],[final_det]]+Grandview_Inventory[[#This Row],[final_res]]</f>
        <v>0</v>
      </c>
      <c r="CE2856">
        <f>Grandview_Inventory[[#This Row],[final_land]]+Grandview_Inventory[[#This Row],[final_imp]]+Grandview_Inventory[[#This Row],[crop_value]]</f>
        <v>62500</v>
      </c>
      <c r="CG2856" t="str">
        <f t="shared" si="45"/>
        <v>update valuation set market_land =62500, market_bldg=0, market_total =62500, market_mdno =401, market_date ='9/10/2023' where link_id = (select link_id from parcel where parcel_year = '2024' and parcel_id = '23092721005');</v>
      </c>
    </row>
    <row r="2857" spans="1:85" x14ac:dyDescent="0.25">
      <c r="A2857">
        <v>23092722413</v>
      </c>
      <c r="B2857">
        <v>1.03</v>
      </c>
      <c r="C2857">
        <v>44734</v>
      </c>
      <c r="D2857" t="s">
        <v>129</v>
      </c>
      <c r="E2857" t="s">
        <v>53</v>
      </c>
      <c r="F2857" t="s">
        <v>53</v>
      </c>
      <c r="G2857">
        <v>4</v>
      </c>
      <c r="H2857" t="s">
        <v>54</v>
      </c>
      <c r="I2857">
        <v>0</v>
      </c>
      <c r="J2857">
        <v>28800</v>
      </c>
      <c r="K2857">
        <v>1.03</v>
      </c>
      <c r="L2857">
        <f>IF(Grandview_Inventory[[#This Row],[parcel_acres]]-Grandview_Inventory[[#This Row],[non_valued_acres]] =0,0,LN(Grandview_Inventory[[#This Row],[parcel_acres]]-Grandview_Inventory[[#This Row],[non_valued_acres]]))</f>
        <v>2.9558802241544429E-2</v>
      </c>
      <c r="M2857">
        <v>0</v>
      </c>
      <c r="N2857">
        <v>0</v>
      </c>
      <c r="O2857">
        <v>0</v>
      </c>
      <c r="P2857">
        <v>13398.7528</v>
      </c>
      <c r="Q2857">
        <v>63903</v>
      </c>
      <c r="R2857">
        <f>(Grandview_Inventory[[#This Row],[ln_acres]]*Grandview_Inventory[[#This Row],[coeff]])+Grandview_Inventory[[#This Row],[const]]</f>
        <v>64299.051084298539</v>
      </c>
      <c r="AY2857">
        <v>0</v>
      </c>
      <c r="AZ2857">
        <v>0</v>
      </c>
      <c r="BE2857">
        <v>0</v>
      </c>
      <c r="BF2857">
        <v>15000</v>
      </c>
      <c r="BG2857">
        <v>0</v>
      </c>
      <c r="BH2857" s="6">
        <f>Grandview_Inventory[[#This Row],[land_extract]]*Lookups!$B$3</f>
        <v>74670.314416757959</v>
      </c>
      <c r="BI2857" s="6">
        <f>IF(Grandview_Inventory[[#This Row],[bldg_style]]="",0,Lookups!$B$2)</f>
        <v>0</v>
      </c>
      <c r="BJ2857" s="6">
        <f>_xlfn.IFNA(VLOOKUP(Grandview_Inventory[[#This Row],[quality]],Lookups!$H$2:$J$14,3,FALSE),0)</f>
        <v>0</v>
      </c>
      <c r="BK2857" s="6">
        <f>_xlfn.IFNA(VLOOKUP(Grandview_Inventory[[#This Row],[condition]],Lookups!$H$17:$J$24,3,FALSE),0)</f>
        <v>0</v>
      </c>
      <c r="BL2857" s="6">
        <f>Grandview_Inventory[[#This Row],[Eff_Age]]*Lookups!$B$14</f>
        <v>0</v>
      </c>
      <c r="BM2857" s="6">
        <f>Grandview_Inventory[[#This Row],[living_area]]*Lookups!$B$15</f>
        <v>0</v>
      </c>
      <c r="BN2857" s="6">
        <f>Grandview_Inventory[[#This Row],[Fin BSMT]]*Lookups!$B$16</f>
        <v>0</v>
      </c>
      <c r="BO2857" s="6">
        <f>(Grandview_Inventory[[#This Row],[att_gar]]+Grandview_Inventory[[#This Row],[bltin_gar]])*Lookups!$B$17</f>
        <v>0</v>
      </c>
      <c r="BP2857" s="6">
        <f>Grandview_Inventory[[#This Row],[Plumbing Fixtures]]*Lookups!$B$18</f>
        <v>0</v>
      </c>
      <c r="BQ2857" s="6">
        <f>Grandview_Inventory[[#This Row],[detatched_value]]*Lookups!$B$19</f>
        <v>0</v>
      </c>
      <c r="BR2857" s="6">
        <f>SUM(Grandview_Inventory[[#This Row],[Intercept]:[det_value]])*Grandview_Inventory[[#This Row],[res_pct]]</f>
        <v>0</v>
      </c>
      <c r="BS2857" s="6">
        <f>Grandview_Inventory[[#This Row],[land_value]]</f>
        <v>74670.314416757959</v>
      </c>
      <c r="BT2857" s="4">
        <f>_xlfn.IFNA(VLOOKUP(Grandview_Inventory[[#This Row],[quality]],Lookups!$A$26:$C$33,3,FALSE),1)</f>
        <v>1</v>
      </c>
      <c r="BU2857" s="4">
        <f>_xlfn.IFNA(VLOOKUP(Grandview_Inventory[[#This Row],[condition]],Lookups!$A$37:$C$44,3,FALSE),1)</f>
        <v>1</v>
      </c>
      <c r="BV2857" s="4">
        <f>IF(Grandview_Inventory[[#This Row],[bldg_style]]="",1,_xlfn.IFNA(VLOOKUP(Grandview_Inventory[[#This Row],[decade]],Lookups!$F$29:$H$43,3,FALSE),1))</f>
        <v>1</v>
      </c>
      <c r="BW2857" s="4">
        <f>_xlfn.IFNA(VLOOKUP(Grandview_Inventory[[#This Row],[living_area_range]],Lookups!$F$47:$H$56,3,FALSE),1)</f>
        <v>1</v>
      </c>
      <c r="BX2857" s="4">
        <f>AVERAGE(Grandview_Inventory[[#This Row],[qual_adj]:[size_adj]])</f>
        <v>1</v>
      </c>
      <c r="BY2857" s="6">
        <f>IF(Grandview_Inventory[[#This Row],[pre_res]]&lt;0,0,Grandview_Inventory[[#This Row],[pre_res]]*Grandview_Inventory[[#This Row],[overall_adj]])</f>
        <v>0</v>
      </c>
      <c r="BZ2857" s="6">
        <f>(Grandview_Inventory[[#This Row],[sum_land]]-IF(Grandview_Inventory[[#This Row],[no_utilities]]=1,12000,0))/IF(Grandview_Inventory[[#This Row],[unbuildable]]=1,2,1)</f>
        <v>74670.314416757959</v>
      </c>
      <c r="CA2857">
        <f>IF(ROUND(Grandview_Inventory[[#This Row],[adj_land]]*Lookups!$M$28,-2)&lt;Grandview_Inventory[[#This Row],[min_land]],Grandview_Inventory[[#This Row],[min_land]],ROUND(Grandview_Inventory[[#This Row],[adj_land]]*Lookups!$M$28,-2))</f>
        <v>70900</v>
      </c>
      <c r="CB2857">
        <f>ROUND(Grandview_Inventory[[#This Row],[det_value]]*Lookups!$M$28,-2)</f>
        <v>0</v>
      </c>
      <c r="CC285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7">
        <f>Grandview_Inventory[[#This Row],[final_det]]+Grandview_Inventory[[#This Row],[final_res]]</f>
        <v>0</v>
      </c>
      <c r="CE2857">
        <f>Grandview_Inventory[[#This Row],[final_land]]+Grandview_Inventory[[#This Row],[final_imp]]+Grandview_Inventory[[#This Row],[crop_value]]</f>
        <v>70900</v>
      </c>
      <c r="CG2857" t="str">
        <f t="shared" si="45"/>
        <v>update valuation set market_land =70900, market_bldg=0, market_total =70900, market_mdno =401, market_date ='9/10/2023' where link_id = (select link_id from parcel where parcel_year = '2024' and parcel_id = '23092722413');</v>
      </c>
    </row>
    <row r="2858" spans="1:85" x14ac:dyDescent="0.25">
      <c r="A2858">
        <v>23092722415</v>
      </c>
      <c r="B2858">
        <v>1.37</v>
      </c>
      <c r="C2858" t="s">
        <v>129</v>
      </c>
      <c r="D2858" t="s">
        <v>129</v>
      </c>
      <c r="E2858" t="s">
        <v>53</v>
      </c>
      <c r="F2858" t="s">
        <v>53</v>
      </c>
      <c r="G2858">
        <v>4</v>
      </c>
      <c r="H2858" t="s">
        <v>54</v>
      </c>
      <c r="I2858">
        <v>0</v>
      </c>
      <c r="J2858">
        <v>16600</v>
      </c>
      <c r="K2858">
        <v>1.37</v>
      </c>
      <c r="L2858">
        <f>IF(Grandview_Inventory[[#This Row],[parcel_acres]]-Grandview_Inventory[[#This Row],[non_valued_acres]] =0,0,LN(Grandview_Inventory[[#This Row],[parcel_acres]]-Grandview_Inventory[[#This Row],[non_valued_acres]]))</f>
        <v>0.3148107398400336</v>
      </c>
      <c r="M2858">
        <v>0</v>
      </c>
      <c r="N2858">
        <v>0</v>
      </c>
      <c r="O2858">
        <v>1</v>
      </c>
      <c r="P2858">
        <v>13398.7528</v>
      </c>
      <c r="Q2858">
        <v>63903</v>
      </c>
      <c r="R2858">
        <f>(Grandview_Inventory[[#This Row],[ln_acres]]*Grandview_Inventory[[#This Row],[coeff]])+Grandview_Inventory[[#This Row],[const]]</f>
        <v>68121.071281901721</v>
      </c>
      <c r="AY2858">
        <v>0</v>
      </c>
      <c r="AZ2858">
        <v>0</v>
      </c>
      <c r="BE2858">
        <v>0</v>
      </c>
      <c r="BF2858">
        <v>3000</v>
      </c>
      <c r="BG2858">
        <v>0</v>
      </c>
      <c r="BH2858" s="6">
        <f>Grandview_Inventory[[#This Row],[land_extract]]*Lookups!$B$3</f>
        <v>79108.816152780011</v>
      </c>
      <c r="BI2858" s="6">
        <f>IF(Grandview_Inventory[[#This Row],[bldg_style]]="",0,Lookups!$B$2)</f>
        <v>0</v>
      </c>
      <c r="BJ2858" s="6">
        <f>_xlfn.IFNA(VLOOKUP(Grandview_Inventory[[#This Row],[quality]],Lookups!$H$2:$J$14,3,FALSE),0)</f>
        <v>0</v>
      </c>
      <c r="BK2858" s="6">
        <f>_xlfn.IFNA(VLOOKUP(Grandview_Inventory[[#This Row],[condition]],Lookups!$H$17:$J$24,3,FALSE),0)</f>
        <v>0</v>
      </c>
      <c r="BL2858" s="6">
        <f>Grandview_Inventory[[#This Row],[Eff_Age]]*Lookups!$B$14</f>
        <v>0</v>
      </c>
      <c r="BM2858" s="6">
        <f>Grandview_Inventory[[#This Row],[living_area]]*Lookups!$B$15</f>
        <v>0</v>
      </c>
      <c r="BN2858" s="6">
        <f>Grandview_Inventory[[#This Row],[Fin BSMT]]*Lookups!$B$16</f>
        <v>0</v>
      </c>
      <c r="BO2858" s="6">
        <f>(Grandview_Inventory[[#This Row],[att_gar]]+Grandview_Inventory[[#This Row],[bltin_gar]])*Lookups!$B$17</f>
        <v>0</v>
      </c>
      <c r="BP2858" s="6">
        <f>Grandview_Inventory[[#This Row],[Plumbing Fixtures]]*Lookups!$B$18</f>
        <v>0</v>
      </c>
      <c r="BQ2858" s="6">
        <f>Grandview_Inventory[[#This Row],[detatched_value]]*Lookups!$B$19</f>
        <v>0</v>
      </c>
      <c r="BR2858" s="6">
        <f>SUM(Grandview_Inventory[[#This Row],[Intercept]:[det_value]])*Grandview_Inventory[[#This Row],[res_pct]]</f>
        <v>0</v>
      </c>
      <c r="BS2858" s="6">
        <f>Grandview_Inventory[[#This Row],[land_value]]</f>
        <v>79108.816152780011</v>
      </c>
      <c r="BT2858" s="4">
        <f>_xlfn.IFNA(VLOOKUP(Grandview_Inventory[[#This Row],[quality]],Lookups!$A$26:$C$33,3,FALSE),1)</f>
        <v>1</v>
      </c>
      <c r="BU2858" s="4">
        <f>_xlfn.IFNA(VLOOKUP(Grandview_Inventory[[#This Row],[condition]],Lookups!$A$37:$C$44,3,FALSE),1)</f>
        <v>1</v>
      </c>
      <c r="BV2858" s="4">
        <f>IF(Grandview_Inventory[[#This Row],[bldg_style]]="",1,_xlfn.IFNA(VLOOKUP(Grandview_Inventory[[#This Row],[decade]],Lookups!$F$29:$H$43,3,FALSE),1))</f>
        <v>1</v>
      </c>
      <c r="BW2858" s="4">
        <f>_xlfn.IFNA(VLOOKUP(Grandview_Inventory[[#This Row],[living_area_range]],Lookups!$F$47:$H$56,3,FALSE),1)</f>
        <v>1</v>
      </c>
      <c r="BX2858" s="4">
        <f>AVERAGE(Grandview_Inventory[[#This Row],[qual_adj]:[size_adj]])</f>
        <v>1</v>
      </c>
      <c r="BY2858" s="6">
        <f>IF(Grandview_Inventory[[#This Row],[pre_res]]&lt;0,0,Grandview_Inventory[[#This Row],[pre_res]]*Grandview_Inventory[[#This Row],[overall_adj]])</f>
        <v>0</v>
      </c>
      <c r="BZ2858" s="6">
        <f>(Grandview_Inventory[[#This Row],[sum_land]]-IF(Grandview_Inventory[[#This Row],[no_utilities]]=1,12000,0))/IF(Grandview_Inventory[[#This Row],[unbuildable]]=1,2,1)</f>
        <v>67108.816152780011</v>
      </c>
      <c r="CA2858">
        <f>IF(ROUND(Grandview_Inventory[[#This Row],[adj_land]]*Lookups!$M$28,-2)&lt;Grandview_Inventory[[#This Row],[min_land]],Grandview_Inventory[[#This Row],[min_land]],ROUND(Grandview_Inventory[[#This Row],[adj_land]]*Lookups!$M$28,-2))</f>
        <v>63800</v>
      </c>
      <c r="CB2858">
        <f>ROUND(Grandview_Inventory[[#This Row],[det_value]]*Lookups!$M$28,-2)</f>
        <v>0</v>
      </c>
      <c r="CC285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8">
        <f>Grandview_Inventory[[#This Row],[final_det]]+Grandview_Inventory[[#This Row],[final_res]]</f>
        <v>0</v>
      </c>
      <c r="CE2858">
        <f>Grandview_Inventory[[#This Row],[final_land]]+Grandview_Inventory[[#This Row],[final_imp]]+Grandview_Inventory[[#This Row],[crop_value]]</f>
        <v>63800</v>
      </c>
      <c r="CG2858" t="str">
        <f t="shared" si="45"/>
        <v>update valuation set market_land =63800, market_bldg=0, market_total =63800, market_mdno =401, market_date ='9/10/2023' where link_id = (select link_id from parcel where parcel_year = '2024' and parcel_id = '23092722415');</v>
      </c>
    </row>
    <row r="2859" spans="1:85" x14ac:dyDescent="0.25">
      <c r="A2859">
        <v>23092722419</v>
      </c>
      <c r="B2859">
        <v>0.87</v>
      </c>
      <c r="C2859" t="s">
        <v>129</v>
      </c>
      <c r="D2859" t="s">
        <v>129</v>
      </c>
      <c r="E2859" t="s">
        <v>53</v>
      </c>
      <c r="F2859" t="s">
        <v>53</v>
      </c>
      <c r="G2859">
        <v>4</v>
      </c>
      <c r="H2859" t="s">
        <v>54</v>
      </c>
      <c r="I2859">
        <v>0</v>
      </c>
      <c r="J2859">
        <v>43500</v>
      </c>
      <c r="K2859">
        <v>0.87</v>
      </c>
      <c r="L2859">
        <f>IF(Grandview_Inventory[[#This Row],[parcel_acres]]-Grandview_Inventory[[#This Row],[non_valued_acres]] =0,0,LN(Grandview_Inventory[[#This Row],[parcel_acres]]-Grandview_Inventory[[#This Row],[non_valued_acres]]))</f>
        <v>-0.13926206733350766</v>
      </c>
      <c r="M2859">
        <v>0</v>
      </c>
      <c r="N2859">
        <v>0</v>
      </c>
      <c r="O2859">
        <v>0</v>
      </c>
      <c r="P2859">
        <v>13398.7528</v>
      </c>
      <c r="Q2859">
        <v>63903</v>
      </c>
      <c r="R2859">
        <f>(Grandview_Inventory[[#This Row],[ln_acres]]*Grandview_Inventory[[#This Row],[coeff]])+Grandview_Inventory[[#This Row],[const]]</f>
        <v>62037.061985381377</v>
      </c>
      <c r="AY2859">
        <v>0</v>
      </c>
      <c r="AZ2859">
        <v>0</v>
      </c>
      <c r="BE2859">
        <v>0</v>
      </c>
      <c r="BF2859">
        <v>15000</v>
      </c>
      <c r="BG2859">
        <v>0</v>
      </c>
      <c r="BH2859" s="6">
        <f>Grandview_Inventory[[#This Row],[land_extract]]*Lookups!$B$3</f>
        <v>72043.472583556024</v>
      </c>
      <c r="BI2859" s="6">
        <f>IF(Grandview_Inventory[[#This Row],[bldg_style]]="",0,Lookups!$B$2)</f>
        <v>0</v>
      </c>
      <c r="BJ2859" s="6">
        <f>_xlfn.IFNA(VLOOKUP(Grandview_Inventory[[#This Row],[quality]],Lookups!$H$2:$J$14,3,FALSE),0)</f>
        <v>0</v>
      </c>
      <c r="BK2859" s="6">
        <f>_xlfn.IFNA(VLOOKUP(Grandview_Inventory[[#This Row],[condition]],Lookups!$H$17:$J$24,3,FALSE),0)</f>
        <v>0</v>
      </c>
      <c r="BL2859" s="6">
        <f>Grandview_Inventory[[#This Row],[Eff_Age]]*Lookups!$B$14</f>
        <v>0</v>
      </c>
      <c r="BM2859" s="6">
        <f>Grandview_Inventory[[#This Row],[living_area]]*Lookups!$B$15</f>
        <v>0</v>
      </c>
      <c r="BN2859" s="6">
        <f>Grandview_Inventory[[#This Row],[Fin BSMT]]*Lookups!$B$16</f>
        <v>0</v>
      </c>
      <c r="BO2859" s="6">
        <f>(Grandview_Inventory[[#This Row],[att_gar]]+Grandview_Inventory[[#This Row],[bltin_gar]])*Lookups!$B$17</f>
        <v>0</v>
      </c>
      <c r="BP2859" s="6">
        <f>Grandview_Inventory[[#This Row],[Plumbing Fixtures]]*Lookups!$B$18</f>
        <v>0</v>
      </c>
      <c r="BQ2859" s="6">
        <f>Grandview_Inventory[[#This Row],[detatched_value]]*Lookups!$B$19</f>
        <v>0</v>
      </c>
      <c r="BR2859" s="6">
        <f>SUM(Grandview_Inventory[[#This Row],[Intercept]:[det_value]])*Grandview_Inventory[[#This Row],[res_pct]]</f>
        <v>0</v>
      </c>
      <c r="BS2859" s="6">
        <f>Grandview_Inventory[[#This Row],[land_value]]</f>
        <v>72043.472583556024</v>
      </c>
      <c r="BT2859" s="4">
        <f>_xlfn.IFNA(VLOOKUP(Grandview_Inventory[[#This Row],[quality]],Lookups!$A$26:$C$33,3,FALSE),1)</f>
        <v>1</v>
      </c>
      <c r="BU2859" s="4">
        <f>_xlfn.IFNA(VLOOKUP(Grandview_Inventory[[#This Row],[condition]],Lookups!$A$37:$C$44,3,FALSE),1)</f>
        <v>1</v>
      </c>
      <c r="BV2859" s="4">
        <f>IF(Grandview_Inventory[[#This Row],[bldg_style]]="",1,_xlfn.IFNA(VLOOKUP(Grandview_Inventory[[#This Row],[decade]],Lookups!$F$29:$H$43,3,FALSE),1))</f>
        <v>1</v>
      </c>
      <c r="BW2859" s="4">
        <f>_xlfn.IFNA(VLOOKUP(Grandview_Inventory[[#This Row],[living_area_range]],Lookups!$F$47:$H$56,3,FALSE),1)</f>
        <v>1</v>
      </c>
      <c r="BX2859" s="4">
        <f>AVERAGE(Grandview_Inventory[[#This Row],[qual_adj]:[size_adj]])</f>
        <v>1</v>
      </c>
      <c r="BY2859" s="6">
        <f>IF(Grandview_Inventory[[#This Row],[pre_res]]&lt;0,0,Grandview_Inventory[[#This Row],[pre_res]]*Grandview_Inventory[[#This Row],[overall_adj]])</f>
        <v>0</v>
      </c>
      <c r="BZ2859" s="6">
        <f>(Grandview_Inventory[[#This Row],[sum_land]]-IF(Grandview_Inventory[[#This Row],[no_utilities]]=1,12000,0))/IF(Grandview_Inventory[[#This Row],[unbuildable]]=1,2,1)</f>
        <v>72043.472583556024</v>
      </c>
      <c r="CA2859">
        <f>IF(ROUND(Grandview_Inventory[[#This Row],[adj_land]]*Lookups!$M$28,-2)&lt;Grandview_Inventory[[#This Row],[min_land]],Grandview_Inventory[[#This Row],[min_land]],ROUND(Grandview_Inventory[[#This Row],[adj_land]]*Lookups!$M$28,-2))</f>
        <v>68400</v>
      </c>
      <c r="CB2859">
        <f>ROUND(Grandview_Inventory[[#This Row],[det_value]]*Lookups!$M$28,-2)</f>
        <v>0</v>
      </c>
      <c r="CC285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59">
        <f>Grandview_Inventory[[#This Row],[final_det]]+Grandview_Inventory[[#This Row],[final_res]]</f>
        <v>0</v>
      </c>
      <c r="CE2859">
        <f>Grandview_Inventory[[#This Row],[final_land]]+Grandview_Inventory[[#This Row],[final_imp]]+Grandview_Inventory[[#This Row],[crop_value]]</f>
        <v>68400</v>
      </c>
      <c r="CG2859" t="str">
        <f t="shared" si="45"/>
        <v>update valuation set market_land =68400, market_bldg=0, market_total =68400, market_mdno =401, market_date ='9/10/2023' where link_id = (select link_id from parcel where parcel_year = '2024' and parcel_id = '23092722419');</v>
      </c>
    </row>
    <row r="2860" spans="1:85" x14ac:dyDescent="0.25">
      <c r="A2860">
        <v>23092741001</v>
      </c>
      <c r="B2860">
        <v>25.57</v>
      </c>
      <c r="C2860" t="s">
        <v>129</v>
      </c>
      <c r="D2860" t="s">
        <v>129</v>
      </c>
      <c r="E2860" t="s">
        <v>53</v>
      </c>
      <c r="F2860" t="s">
        <v>53</v>
      </c>
      <c r="G2860">
        <v>4</v>
      </c>
      <c r="H2860" t="s">
        <v>180</v>
      </c>
      <c r="I2860">
        <v>61200</v>
      </c>
      <c r="J2860">
        <v>131200</v>
      </c>
      <c r="K2860">
        <v>25.57</v>
      </c>
      <c r="L2860">
        <f>IF(Grandview_Inventory[[#This Row],[parcel_acres]]-Grandview_Inventory[[#This Row],[non_valued_acres]] =0,0,LN(Grandview_Inventory[[#This Row],[parcel_acres]]-Grandview_Inventory[[#This Row],[non_valued_acres]]))</f>
        <v>3.2414197893030954</v>
      </c>
      <c r="M2860">
        <v>0</v>
      </c>
      <c r="N2860">
        <v>0</v>
      </c>
      <c r="O2860">
        <v>0</v>
      </c>
      <c r="P2860">
        <v>13398.7528</v>
      </c>
      <c r="Q2860">
        <v>63903</v>
      </c>
      <c r="R2860">
        <f>(Grandview_Inventory[[#This Row],[ln_acres]]*Grandview_Inventory[[#This Row],[coeff]])+Grandview_Inventory[[#This Row],[const]]</f>
        <v>107333.98247790025</v>
      </c>
      <c r="AY2860">
        <v>61200</v>
      </c>
      <c r="AZ2860">
        <v>0</v>
      </c>
      <c r="BE2860">
        <v>0</v>
      </c>
      <c r="BF2860">
        <v>15000</v>
      </c>
      <c r="BG2860">
        <v>0</v>
      </c>
      <c r="BH2860" s="6">
        <f>Grandview_Inventory[[#This Row],[land_extract]]*Lookups!$B$3</f>
        <v>124646.66404983286</v>
      </c>
      <c r="BI2860" s="6">
        <f>IF(Grandview_Inventory[[#This Row],[bldg_style]]="",0,Lookups!$B$2)</f>
        <v>0</v>
      </c>
      <c r="BJ2860" s="6">
        <f>_xlfn.IFNA(VLOOKUP(Grandview_Inventory[[#This Row],[quality]],Lookups!$H$2:$J$14,3,FALSE),0)</f>
        <v>0</v>
      </c>
      <c r="BK2860" s="6">
        <f>_xlfn.IFNA(VLOOKUP(Grandview_Inventory[[#This Row],[condition]],Lookups!$H$17:$J$24,3,FALSE),0)</f>
        <v>0</v>
      </c>
      <c r="BL2860" s="6">
        <f>Grandview_Inventory[[#This Row],[Eff_Age]]*Lookups!$B$14</f>
        <v>0</v>
      </c>
      <c r="BM2860" s="6">
        <f>Grandview_Inventory[[#This Row],[living_area]]*Lookups!$B$15</f>
        <v>0</v>
      </c>
      <c r="BN2860" s="6">
        <f>Grandview_Inventory[[#This Row],[Fin BSMT]]*Lookups!$B$16</f>
        <v>0</v>
      </c>
      <c r="BO2860" s="6">
        <f>(Grandview_Inventory[[#This Row],[att_gar]]+Grandview_Inventory[[#This Row],[bltin_gar]])*Lookups!$B$17</f>
        <v>0</v>
      </c>
      <c r="BP2860" s="6">
        <f>Grandview_Inventory[[#This Row],[Plumbing Fixtures]]*Lookups!$B$18</f>
        <v>0</v>
      </c>
      <c r="BQ2860" s="6">
        <f>Grandview_Inventory[[#This Row],[detatched_value]]*Lookups!$B$19</f>
        <v>0</v>
      </c>
      <c r="BR2860" s="6">
        <f>SUM(Grandview_Inventory[[#This Row],[Intercept]:[det_value]])*Grandview_Inventory[[#This Row],[res_pct]]</f>
        <v>0</v>
      </c>
      <c r="BS2860" s="6">
        <f>Grandview_Inventory[[#This Row],[land_value]]</f>
        <v>124646.66404983286</v>
      </c>
      <c r="BT2860" s="4">
        <f>_xlfn.IFNA(VLOOKUP(Grandview_Inventory[[#This Row],[quality]],Lookups!$A$26:$C$33,3,FALSE),1)</f>
        <v>1</v>
      </c>
      <c r="BU2860" s="4">
        <f>_xlfn.IFNA(VLOOKUP(Grandview_Inventory[[#This Row],[condition]],Lookups!$A$37:$C$44,3,FALSE),1)</f>
        <v>1</v>
      </c>
      <c r="BV2860" s="4">
        <f>IF(Grandview_Inventory[[#This Row],[bldg_style]]="",1,_xlfn.IFNA(VLOOKUP(Grandview_Inventory[[#This Row],[decade]],Lookups!$F$29:$H$43,3,FALSE),1))</f>
        <v>1</v>
      </c>
      <c r="BW2860" s="4">
        <f>_xlfn.IFNA(VLOOKUP(Grandview_Inventory[[#This Row],[living_area_range]],Lookups!$F$47:$H$56,3,FALSE),1)</f>
        <v>1</v>
      </c>
      <c r="BX2860" s="4">
        <f>AVERAGE(Grandview_Inventory[[#This Row],[qual_adj]:[size_adj]])</f>
        <v>1</v>
      </c>
      <c r="BY2860" s="6">
        <f>IF(Grandview_Inventory[[#This Row],[pre_res]]&lt;0,0,Grandview_Inventory[[#This Row],[pre_res]]*Grandview_Inventory[[#This Row],[overall_adj]])</f>
        <v>0</v>
      </c>
      <c r="BZ2860" s="6">
        <f>(Grandview_Inventory[[#This Row],[sum_land]]-IF(Grandview_Inventory[[#This Row],[no_utilities]]=1,12000,0))/IF(Grandview_Inventory[[#This Row],[unbuildable]]=1,2,1)</f>
        <v>124646.66404983286</v>
      </c>
      <c r="CA2860">
        <f>IF(ROUND(Grandview_Inventory[[#This Row],[adj_land]]*Lookups!$M$28,-2)&lt;Grandview_Inventory[[#This Row],[min_land]],Grandview_Inventory[[#This Row],[min_land]],ROUND(Grandview_Inventory[[#This Row],[adj_land]]*Lookups!$M$28,-2))</f>
        <v>118400</v>
      </c>
      <c r="CB2860">
        <f>ROUND(Grandview_Inventory[[#This Row],[det_value]]*Lookups!$M$28,-2)</f>
        <v>0</v>
      </c>
      <c r="CC286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0">
        <f>Grandview_Inventory[[#This Row],[final_det]]+Grandview_Inventory[[#This Row],[final_res]]</f>
        <v>0</v>
      </c>
      <c r="CE2860">
        <f>Grandview_Inventory[[#This Row],[final_land]]+Grandview_Inventory[[#This Row],[final_imp]]+Grandview_Inventory[[#This Row],[crop_value]]</f>
        <v>179600</v>
      </c>
      <c r="CG2860" t="str">
        <f t="shared" si="45"/>
        <v>update valuation set market_land =118400, market_bldg=0, market_total =179600, market_mdno =401, market_date ='9/10/2023' where link_id = (select link_id from parcel where parcel_year = '2024' and parcel_id = '23092741001');</v>
      </c>
    </row>
    <row r="2861" spans="1:85" x14ac:dyDescent="0.25">
      <c r="A2861">
        <v>23092741401</v>
      </c>
      <c r="B2861">
        <v>6.33</v>
      </c>
      <c r="C2861" t="s">
        <v>129</v>
      </c>
      <c r="D2861" t="s">
        <v>129</v>
      </c>
      <c r="E2861" t="s">
        <v>53</v>
      </c>
      <c r="F2861" t="s">
        <v>53</v>
      </c>
      <c r="G2861">
        <v>4</v>
      </c>
      <c r="H2861" t="s">
        <v>54</v>
      </c>
      <c r="I2861">
        <v>52000</v>
      </c>
      <c r="J2861">
        <v>41400</v>
      </c>
      <c r="K2861">
        <v>6.33</v>
      </c>
      <c r="L2861">
        <f>IF(Grandview_Inventory[[#This Row],[parcel_acres]]-Grandview_Inventory[[#This Row],[non_valued_acres]] =0,0,LN(Grandview_Inventory[[#This Row],[parcel_acres]]-Grandview_Inventory[[#This Row],[non_valued_acres]]))</f>
        <v>1.8453002361560848</v>
      </c>
      <c r="M2861">
        <v>0</v>
      </c>
      <c r="N2861">
        <v>0</v>
      </c>
      <c r="O2861">
        <v>0</v>
      </c>
      <c r="P2861">
        <v>13398.7528</v>
      </c>
      <c r="Q2861">
        <v>63903</v>
      </c>
      <c r="R2861">
        <f>(Grandview_Inventory[[#This Row],[ln_acres]]*Grandview_Inventory[[#This Row],[coeff]])+Grandview_Inventory[[#This Row],[const]]</f>
        <v>88627.721706037002</v>
      </c>
      <c r="AY2861">
        <v>33200</v>
      </c>
      <c r="AZ2861">
        <v>15900</v>
      </c>
      <c r="BE2861">
        <v>0</v>
      </c>
      <c r="BF2861">
        <v>15000</v>
      </c>
      <c r="BG2861">
        <v>0</v>
      </c>
      <c r="BH2861" s="6">
        <f>Grandview_Inventory[[#This Row],[land_extract]]*Lookups!$B$3</f>
        <v>102923.13392237216</v>
      </c>
      <c r="BI2861" s="6">
        <f>IF(Grandview_Inventory[[#This Row],[bldg_style]]="",0,Lookups!$B$2)</f>
        <v>0</v>
      </c>
      <c r="BJ2861" s="6">
        <f>_xlfn.IFNA(VLOOKUP(Grandview_Inventory[[#This Row],[quality]],Lookups!$H$2:$J$14,3,FALSE),0)</f>
        <v>0</v>
      </c>
      <c r="BK2861" s="6">
        <f>_xlfn.IFNA(VLOOKUP(Grandview_Inventory[[#This Row],[condition]],Lookups!$H$17:$J$24,3,FALSE),0)</f>
        <v>0</v>
      </c>
      <c r="BL2861" s="6">
        <f>Grandview_Inventory[[#This Row],[Eff_Age]]*Lookups!$B$14</f>
        <v>0</v>
      </c>
      <c r="BM2861" s="6">
        <f>Grandview_Inventory[[#This Row],[living_area]]*Lookups!$B$15</f>
        <v>0</v>
      </c>
      <c r="BN2861" s="6">
        <f>Grandview_Inventory[[#This Row],[Fin BSMT]]*Lookups!$B$16</f>
        <v>0</v>
      </c>
      <c r="BO2861" s="6">
        <f>(Grandview_Inventory[[#This Row],[att_gar]]+Grandview_Inventory[[#This Row],[bltin_gar]])*Lookups!$B$17</f>
        <v>0</v>
      </c>
      <c r="BP2861" s="6">
        <f>Grandview_Inventory[[#This Row],[Plumbing Fixtures]]*Lookups!$B$18</f>
        <v>0</v>
      </c>
      <c r="BQ2861" s="6">
        <f>Grandview_Inventory[[#This Row],[detatched_value]]*Lookups!$B$19</f>
        <v>13464.20109</v>
      </c>
      <c r="BR2861" s="6">
        <f>SUM(Grandview_Inventory[[#This Row],[Intercept]:[det_value]])*Grandview_Inventory[[#This Row],[res_pct]]</f>
        <v>0</v>
      </c>
      <c r="BS2861" s="6">
        <f>Grandview_Inventory[[#This Row],[land_value]]</f>
        <v>102923.13392237216</v>
      </c>
      <c r="BT2861" s="4">
        <f>_xlfn.IFNA(VLOOKUP(Grandview_Inventory[[#This Row],[quality]],Lookups!$A$26:$C$33,3,FALSE),1)</f>
        <v>1</v>
      </c>
      <c r="BU2861" s="4">
        <f>_xlfn.IFNA(VLOOKUP(Grandview_Inventory[[#This Row],[condition]],Lookups!$A$37:$C$44,3,FALSE),1)</f>
        <v>1</v>
      </c>
      <c r="BV2861" s="4">
        <f>IF(Grandview_Inventory[[#This Row],[bldg_style]]="",1,_xlfn.IFNA(VLOOKUP(Grandview_Inventory[[#This Row],[decade]],Lookups!$F$29:$H$43,3,FALSE),1))</f>
        <v>1</v>
      </c>
      <c r="BW2861" s="4">
        <f>_xlfn.IFNA(VLOOKUP(Grandview_Inventory[[#This Row],[living_area_range]],Lookups!$F$47:$H$56,3,FALSE),1)</f>
        <v>1</v>
      </c>
      <c r="BX2861" s="4">
        <f>AVERAGE(Grandview_Inventory[[#This Row],[qual_adj]:[size_adj]])</f>
        <v>1</v>
      </c>
      <c r="BY2861" s="6">
        <f>IF(Grandview_Inventory[[#This Row],[pre_res]]&lt;0,0,Grandview_Inventory[[#This Row],[pre_res]]*Grandview_Inventory[[#This Row],[overall_adj]])</f>
        <v>0</v>
      </c>
      <c r="BZ2861" s="6">
        <f>(Grandview_Inventory[[#This Row],[sum_land]]-IF(Grandview_Inventory[[#This Row],[no_utilities]]=1,12000,0))/IF(Grandview_Inventory[[#This Row],[unbuildable]]=1,2,1)</f>
        <v>102923.13392237216</v>
      </c>
      <c r="CA2861">
        <f>IF(ROUND(Grandview_Inventory[[#This Row],[adj_land]]*Lookups!$M$28,-2)&lt;Grandview_Inventory[[#This Row],[min_land]],Grandview_Inventory[[#This Row],[min_land]],ROUND(Grandview_Inventory[[#This Row],[adj_land]]*Lookups!$M$28,-2))</f>
        <v>97800</v>
      </c>
      <c r="CB2861">
        <f>ROUND(Grandview_Inventory[[#This Row],[det_value]]*Lookups!$M$28,-2)</f>
        <v>12800</v>
      </c>
      <c r="CC286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1">
        <f>Grandview_Inventory[[#This Row],[final_det]]+Grandview_Inventory[[#This Row],[final_res]]</f>
        <v>12800</v>
      </c>
      <c r="CE2861">
        <f>Grandview_Inventory[[#This Row],[final_land]]+Grandview_Inventory[[#This Row],[final_imp]]+Grandview_Inventory[[#This Row],[crop_value]]</f>
        <v>143800</v>
      </c>
      <c r="CG2861" t="str">
        <f t="shared" si="45"/>
        <v>update valuation set market_land =97800, market_bldg=12800, market_total =143800, market_mdno =401, market_date ='9/10/2023' where link_id = (select link_id from parcel where parcel_year = '2024' and parcel_id = '23092741401');</v>
      </c>
    </row>
    <row r="2862" spans="1:85" x14ac:dyDescent="0.25">
      <c r="A2862">
        <v>23092811414</v>
      </c>
      <c r="B2862">
        <v>0.26</v>
      </c>
      <c r="C2862">
        <v>11247</v>
      </c>
      <c r="D2862" t="s">
        <v>129</v>
      </c>
      <c r="E2862" t="s">
        <v>53</v>
      </c>
      <c r="F2862" t="s">
        <v>53</v>
      </c>
      <c r="G2862">
        <v>4</v>
      </c>
      <c r="H2862" t="s">
        <v>54</v>
      </c>
      <c r="I2862">
        <v>1100</v>
      </c>
      <c r="J2862">
        <v>8900</v>
      </c>
      <c r="K2862">
        <v>0.26</v>
      </c>
      <c r="L2862">
        <f>IF(Grandview_Inventory[[#This Row],[parcel_acres]]-Grandview_Inventory[[#This Row],[non_valued_acres]] =0,0,LN(Grandview_Inventory[[#This Row],[parcel_acres]]-Grandview_Inventory[[#This Row],[non_valued_acres]]))</f>
        <v>-1.3470736479666092</v>
      </c>
      <c r="M2862">
        <v>0</v>
      </c>
      <c r="N2862">
        <v>1</v>
      </c>
      <c r="O2862">
        <v>0</v>
      </c>
      <c r="P2862">
        <v>13398.7528</v>
      </c>
      <c r="Q2862">
        <v>63903</v>
      </c>
      <c r="R2862">
        <f>(Grandview_Inventory[[#This Row],[ln_acres]]*Grandview_Inventory[[#This Row],[coeff]])+Grandview_Inventory[[#This Row],[const]]</f>
        <v>45853.893187501177</v>
      </c>
      <c r="AY2862">
        <v>0</v>
      </c>
      <c r="AZ2862">
        <v>1100</v>
      </c>
      <c r="BE2862">
        <v>0</v>
      </c>
      <c r="BF2862">
        <v>12000</v>
      </c>
      <c r="BG2862">
        <v>0</v>
      </c>
      <c r="BH2862" s="6">
        <f>Grandview_Inventory[[#This Row],[land_extract]]*Lookups!$B$3</f>
        <v>53250.00235313351</v>
      </c>
      <c r="BI2862" s="6">
        <f>IF(Grandview_Inventory[[#This Row],[bldg_style]]="",0,Lookups!$B$2)</f>
        <v>0</v>
      </c>
      <c r="BJ2862" s="6">
        <f>_xlfn.IFNA(VLOOKUP(Grandview_Inventory[[#This Row],[quality]],Lookups!$H$2:$J$14,3,FALSE),0)</f>
        <v>0</v>
      </c>
      <c r="BK2862" s="6">
        <f>_xlfn.IFNA(VLOOKUP(Grandview_Inventory[[#This Row],[condition]],Lookups!$H$17:$J$24,3,FALSE),0)</f>
        <v>0</v>
      </c>
      <c r="BL2862" s="6">
        <f>Grandview_Inventory[[#This Row],[Eff_Age]]*Lookups!$B$14</f>
        <v>0</v>
      </c>
      <c r="BM2862" s="6">
        <f>Grandview_Inventory[[#This Row],[living_area]]*Lookups!$B$15</f>
        <v>0</v>
      </c>
      <c r="BN2862" s="6">
        <f>Grandview_Inventory[[#This Row],[Fin BSMT]]*Lookups!$B$16</f>
        <v>0</v>
      </c>
      <c r="BO2862" s="6">
        <f>(Grandview_Inventory[[#This Row],[att_gar]]+Grandview_Inventory[[#This Row],[bltin_gar]])*Lookups!$B$17</f>
        <v>0</v>
      </c>
      <c r="BP2862" s="6">
        <f>Grandview_Inventory[[#This Row],[Plumbing Fixtures]]*Lookups!$B$18</f>
        <v>0</v>
      </c>
      <c r="BQ2862" s="6">
        <f>Grandview_Inventory[[#This Row],[detatched_value]]*Lookups!$B$19</f>
        <v>931.48560999999995</v>
      </c>
      <c r="BR2862" s="6">
        <f>SUM(Grandview_Inventory[[#This Row],[Intercept]:[det_value]])*Grandview_Inventory[[#This Row],[res_pct]]</f>
        <v>0</v>
      </c>
      <c r="BS2862" s="6">
        <f>Grandview_Inventory[[#This Row],[land_value]]</f>
        <v>53250.00235313351</v>
      </c>
      <c r="BT2862" s="4">
        <f>_xlfn.IFNA(VLOOKUP(Grandview_Inventory[[#This Row],[quality]],Lookups!$A$26:$C$33,3,FALSE),1)</f>
        <v>1</v>
      </c>
      <c r="BU2862" s="4">
        <f>_xlfn.IFNA(VLOOKUP(Grandview_Inventory[[#This Row],[condition]],Lookups!$A$37:$C$44,3,FALSE),1)</f>
        <v>1</v>
      </c>
      <c r="BV2862" s="4">
        <f>IF(Grandview_Inventory[[#This Row],[bldg_style]]="",1,_xlfn.IFNA(VLOOKUP(Grandview_Inventory[[#This Row],[decade]],Lookups!$F$29:$H$43,3,FALSE),1))</f>
        <v>1</v>
      </c>
      <c r="BW2862" s="4">
        <f>_xlfn.IFNA(VLOOKUP(Grandview_Inventory[[#This Row],[living_area_range]],Lookups!$F$47:$H$56,3,FALSE),1)</f>
        <v>1</v>
      </c>
      <c r="BX2862" s="4">
        <f>AVERAGE(Grandview_Inventory[[#This Row],[qual_adj]:[size_adj]])</f>
        <v>1</v>
      </c>
      <c r="BY2862" s="6">
        <f>IF(Grandview_Inventory[[#This Row],[pre_res]]&lt;0,0,Grandview_Inventory[[#This Row],[pre_res]]*Grandview_Inventory[[#This Row],[overall_adj]])</f>
        <v>0</v>
      </c>
      <c r="BZ2862" s="6">
        <f>(Grandview_Inventory[[#This Row],[sum_land]]-IF(Grandview_Inventory[[#This Row],[no_utilities]]=1,12000,0))/IF(Grandview_Inventory[[#This Row],[unbuildable]]=1,2,1)</f>
        <v>26625.001176566755</v>
      </c>
      <c r="CA2862">
        <f>IF(ROUND(Grandview_Inventory[[#This Row],[adj_land]]*Lookups!$M$28,-2)&lt;Grandview_Inventory[[#This Row],[min_land]],Grandview_Inventory[[#This Row],[min_land]],ROUND(Grandview_Inventory[[#This Row],[adj_land]]*Lookups!$M$28,-2))</f>
        <v>25300</v>
      </c>
      <c r="CB2862">
        <f>ROUND(Grandview_Inventory[[#This Row],[det_value]]*Lookups!$M$28,-2)</f>
        <v>900</v>
      </c>
      <c r="CC286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2">
        <f>Grandview_Inventory[[#This Row],[final_det]]+Grandview_Inventory[[#This Row],[final_res]]</f>
        <v>900</v>
      </c>
      <c r="CE2862">
        <f>Grandview_Inventory[[#This Row],[final_land]]+Grandview_Inventory[[#This Row],[final_imp]]+Grandview_Inventory[[#This Row],[crop_value]]</f>
        <v>26200</v>
      </c>
      <c r="CG2862" t="str">
        <f t="shared" si="45"/>
        <v>update valuation set market_land =25300, market_bldg=900, market_total =26200, market_mdno =401, market_date ='9/10/2023' where link_id = (select link_id from parcel where parcel_year = '2024' and parcel_id = '23092811414');</v>
      </c>
    </row>
    <row r="2863" spans="1:85" x14ac:dyDescent="0.25">
      <c r="A2863">
        <v>23092811428</v>
      </c>
      <c r="B2863">
        <v>15.04</v>
      </c>
      <c r="C2863" t="s">
        <v>129</v>
      </c>
      <c r="D2863" t="s">
        <v>129</v>
      </c>
      <c r="E2863" t="s">
        <v>53</v>
      </c>
      <c r="F2863" t="s">
        <v>53</v>
      </c>
      <c r="G2863">
        <v>4</v>
      </c>
      <c r="H2863" t="s">
        <v>54</v>
      </c>
      <c r="I2863">
        <v>34600</v>
      </c>
      <c r="J2863">
        <v>90200</v>
      </c>
      <c r="K2863">
        <v>15.04</v>
      </c>
      <c r="L2863">
        <f>IF(Grandview_Inventory[[#This Row],[parcel_acres]]-Grandview_Inventory[[#This Row],[non_valued_acres]] =0,0,LN(Grandview_Inventory[[#This Row],[parcel_acres]]-Grandview_Inventory[[#This Row],[non_valued_acres]]))</f>
        <v>2.7107133185216936</v>
      </c>
      <c r="M2863">
        <v>0</v>
      </c>
      <c r="N2863">
        <v>0</v>
      </c>
      <c r="O2863">
        <v>0</v>
      </c>
      <c r="P2863">
        <v>13398.7528</v>
      </c>
      <c r="Q2863">
        <v>63903</v>
      </c>
      <c r="R2863">
        <f>(Grandview_Inventory[[#This Row],[ln_acres]]*Grandview_Inventory[[#This Row],[coeff]])+Grandview_Inventory[[#This Row],[const]]</f>
        <v>100223.17766653984</v>
      </c>
      <c r="AY2863">
        <v>34600</v>
      </c>
      <c r="AZ2863">
        <v>0</v>
      </c>
      <c r="BE2863">
        <v>0</v>
      </c>
      <c r="BF2863">
        <v>15000</v>
      </c>
      <c r="BG2863">
        <v>0</v>
      </c>
      <c r="BH2863" s="6">
        <f>Grandview_Inventory[[#This Row],[land_extract]]*Lookups!$B$3</f>
        <v>116388.90562157301</v>
      </c>
      <c r="BI2863" s="6">
        <f>IF(Grandview_Inventory[[#This Row],[bldg_style]]="",0,Lookups!$B$2)</f>
        <v>0</v>
      </c>
      <c r="BJ2863" s="6">
        <f>_xlfn.IFNA(VLOOKUP(Grandview_Inventory[[#This Row],[quality]],Lookups!$H$2:$J$14,3,FALSE),0)</f>
        <v>0</v>
      </c>
      <c r="BK2863" s="6">
        <f>_xlfn.IFNA(VLOOKUP(Grandview_Inventory[[#This Row],[condition]],Lookups!$H$17:$J$24,3,FALSE),0)</f>
        <v>0</v>
      </c>
      <c r="BL2863" s="6">
        <f>Grandview_Inventory[[#This Row],[Eff_Age]]*Lookups!$B$14</f>
        <v>0</v>
      </c>
      <c r="BM2863" s="6">
        <f>Grandview_Inventory[[#This Row],[living_area]]*Lookups!$B$15</f>
        <v>0</v>
      </c>
      <c r="BN2863" s="6">
        <f>Grandview_Inventory[[#This Row],[Fin BSMT]]*Lookups!$B$16</f>
        <v>0</v>
      </c>
      <c r="BO2863" s="6">
        <f>(Grandview_Inventory[[#This Row],[att_gar]]+Grandview_Inventory[[#This Row],[bltin_gar]])*Lookups!$B$17</f>
        <v>0</v>
      </c>
      <c r="BP2863" s="6">
        <f>Grandview_Inventory[[#This Row],[Plumbing Fixtures]]*Lookups!$B$18</f>
        <v>0</v>
      </c>
      <c r="BQ2863" s="6">
        <f>Grandview_Inventory[[#This Row],[detatched_value]]*Lookups!$B$19</f>
        <v>0</v>
      </c>
      <c r="BR2863" s="6">
        <f>SUM(Grandview_Inventory[[#This Row],[Intercept]:[det_value]])*Grandview_Inventory[[#This Row],[res_pct]]</f>
        <v>0</v>
      </c>
      <c r="BS2863" s="6">
        <f>Grandview_Inventory[[#This Row],[land_value]]</f>
        <v>116388.90562157301</v>
      </c>
      <c r="BT2863" s="4">
        <f>_xlfn.IFNA(VLOOKUP(Grandview_Inventory[[#This Row],[quality]],Lookups!$A$26:$C$33,3,FALSE),1)</f>
        <v>1</v>
      </c>
      <c r="BU2863" s="4">
        <f>_xlfn.IFNA(VLOOKUP(Grandview_Inventory[[#This Row],[condition]],Lookups!$A$37:$C$44,3,FALSE),1)</f>
        <v>1</v>
      </c>
      <c r="BV2863" s="4">
        <f>IF(Grandview_Inventory[[#This Row],[bldg_style]]="",1,_xlfn.IFNA(VLOOKUP(Grandview_Inventory[[#This Row],[decade]],Lookups!$F$29:$H$43,3,FALSE),1))</f>
        <v>1</v>
      </c>
      <c r="BW2863" s="4">
        <f>_xlfn.IFNA(VLOOKUP(Grandview_Inventory[[#This Row],[living_area_range]],Lookups!$F$47:$H$56,3,FALSE),1)</f>
        <v>1</v>
      </c>
      <c r="BX2863" s="4">
        <f>AVERAGE(Grandview_Inventory[[#This Row],[qual_adj]:[size_adj]])</f>
        <v>1</v>
      </c>
      <c r="BY2863" s="6">
        <f>IF(Grandview_Inventory[[#This Row],[pre_res]]&lt;0,0,Grandview_Inventory[[#This Row],[pre_res]]*Grandview_Inventory[[#This Row],[overall_adj]])</f>
        <v>0</v>
      </c>
      <c r="BZ2863" s="6">
        <f>(Grandview_Inventory[[#This Row],[sum_land]]-IF(Grandview_Inventory[[#This Row],[no_utilities]]=1,12000,0))/IF(Grandview_Inventory[[#This Row],[unbuildable]]=1,2,1)</f>
        <v>116388.90562157301</v>
      </c>
      <c r="CA2863">
        <f>IF(ROUND(Grandview_Inventory[[#This Row],[adj_land]]*Lookups!$M$28,-2)&lt;Grandview_Inventory[[#This Row],[min_land]],Grandview_Inventory[[#This Row],[min_land]],ROUND(Grandview_Inventory[[#This Row],[adj_land]]*Lookups!$M$28,-2))</f>
        <v>110600</v>
      </c>
      <c r="CB2863">
        <f>ROUND(Grandview_Inventory[[#This Row],[det_value]]*Lookups!$M$28,-2)</f>
        <v>0</v>
      </c>
      <c r="CC2863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3">
        <f>Grandview_Inventory[[#This Row],[final_det]]+Grandview_Inventory[[#This Row],[final_res]]</f>
        <v>0</v>
      </c>
      <c r="CE2863">
        <f>Grandview_Inventory[[#This Row],[final_land]]+Grandview_Inventory[[#This Row],[final_imp]]+Grandview_Inventory[[#This Row],[crop_value]]</f>
        <v>145200</v>
      </c>
      <c r="CG2863" t="str">
        <f t="shared" si="45"/>
        <v>update valuation set market_land =110600, market_bldg=0, market_total =145200, market_mdno =401, market_date ='9/10/2023' where link_id = (select link_id from parcel where parcel_year = '2024' and parcel_id = '23092811428');</v>
      </c>
    </row>
    <row r="2864" spans="1:85" x14ac:dyDescent="0.25">
      <c r="A2864">
        <v>23091432481</v>
      </c>
      <c r="B2864" t="s">
        <v>129</v>
      </c>
      <c r="C2864">
        <v>5209</v>
      </c>
      <c r="D2864" t="s">
        <v>129</v>
      </c>
      <c r="E2864" t="s">
        <v>53</v>
      </c>
      <c r="F2864" t="s">
        <v>53</v>
      </c>
      <c r="G2864">
        <v>4</v>
      </c>
      <c r="H2864" t="s">
        <v>54</v>
      </c>
      <c r="I2864" t="s">
        <v>129</v>
      </c>
      <c r="J2864" t="s">
        <v>129</v>
      </c>
      <c r="K2864">
        <v>0.12</v>
      </c>
      <c r="L2864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864">
        <v>0</v>
      </c>
      <c r="N2864">
        <v>0</v>
      </c>
      <c r="O2864">
        <v>0</v>
      </c>
      <c r="P2864">
        <v>13398.7528</v>
      </c>
      <c r="Q2864">
        <v>63903</v>
      </c>
      <c r="R2864">
        <f>(Grandview_Inventory[[#This Row],[ln_acres]]*Grandview_Inventory[[#This Row],[coeff]])+Grandview_Inventory[[#This Row],[const]]</f>
        <v>35494.113007601132</v>
      </c>
      <c r="S2864" t="s">
        <v>61</v>
      </c>
      <c r="T2864">
        <v>1</v>
      </c>
      <c r="U2864" t="s">
        <v>65</v>
      </c>
      <c r="V2864" t="s">
        <v>57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1500</v>
      </c>
      <c r="AC2864">
        <v>1008</v>
      </c>
      <c r="AD2864">
        <v>1008</v>
      </c>
      <c r="AE2864">
        <v>0</v>
      </c>
      <c r="AF2864">
        <v>0</v>
      </c>
      <c r="AG2864">
        <v>0</v>
      </c>
      <c r="AH2864">
        <v>0</v>
      </c>
      <c r="AI2864">
        <v>400</v>
      </c>
      <c r="AJ2864">
        <v>0</v>
      </c>
      <c r="AK2864">
        <v>0</v>
      </c>
      <c r="AL2864">
        <v>0</v>
      </c>
      <c r="AM2864">
        <v>100</v>
      </c>
      <c r="AN2864">
        <v>108</v>
      </c>
      <c r="AO2864">
        <v>0</v>
      </c>
      <c r="AP2864">
        <v>8</v>
      </c>
      <c r="AQ2864">
        <v>0</v>
      </c>
      <c r="AR2864">
        <v>0</v>
      </c>
      <c r="AS2864" t="s">
        <v>58</v>
      </c>
      <c r="AT2864">
        <v>1</v>
      </c>
      <c r="AU2864" t="s">
        <v>59</v>
      </c>
      <c r="AV2864" t="s">
        <v>60</v>
      </c>
      <c r="AW2864">
        <v>1</v>
      </c>
      <c r="AX2864">
        <v>2</v>
      </c>
      <c r="AY2864">
        <v>0</v>
      </c>
      <c r="AZ2864">
        <v>0</v>
      </c>
      <c r="BA2864">
        <v>100</v>
      </c>
      <c r="BB2864">
        <v>100</v>
      </c>
      <c r="BC2864">
        <v>100</v>
      </c>
      <c r="BD2864">
        <v>8</v>
      </c>
      <c r="BE2864">
        <v>0</v>
      </c>
      <c r="BF2864">
        <v>15000</v>
      </c>
      <c r="BG2864">
        <v>0</v>
      </c>
      <c r="BH2864" s="6">
        <f>Grandview_Inventory[[#This Row],[land_extract]]*Lookups!$B$3</f>
        <v>41219.217601622076</v>
      </c>
      <c r="BI2864" s="6">
        <f>IF(Grandview_Inventory[[#This Row],[bldg_style]]="",0,Lookups!$B$2)</f>
        <v>155833.95000000001</v>
      </c>
      <c r="BJ2864" s="6">
        <f>_xlfn.IFNA(VLOOKUP(Grandview_Inventory[[#This Row],[quality]],Lookups!$H$2:$J$14,3,FALSE),0)</f>
        <v>2251</v>
      </c>
      <c r="BK2864" s="6">
        <f>_xlfn.IFNA(VLOOKUP(Grandview_Inventory[[#This Row],[condition]],Lookups!$H$17:$J$24,3,FALSE),0)</f>
        <v>25780</v>
      </c>
      <c r="BL2864" s="6">
        <f>Grandview_Inventory[[#This Row],[Eff_Age]]*Lookups!$B$14</f>
        <v>0</v>
      </c>
      <c r="BM2864" s="6">
        <f>Grandview_Inventory[[#This Row],[living_area]]*Lookups!$B$15</f>
        <v>62879.899824</v>
      </c>
      <c r="BN2864" s="6">
        <f>Grandview_Inventory[[#This Row],[Fin BSMT]]*Lookups!$B$16</f>
        <v>0</v>
      </c>
      <c r="BO2864" s="6">
        <f>(Grandview_Inventory[[#This Row],[att_gar]]+Grandview_Inventory[[#This Row],[bltin_gar]])*Lookups!$B$17</f>
        <v>35008.174800000001</v>
      </c>
      <c r="BP2864" s="6">
        <f>Grandview_Inventory[[#This Row],[Plumbing Fixtures]]*Lookups!$B$18</f>
        <v>16083.5344</v>
      </c>
      <c r="BQ2864" s="6">
        <f>Grandview_Inventory[[#This Row],[detatched_value]]*Lookups!$B$19</f>
        <v>0</v>
      </c>
      <c r="BR2864" s="6">
        <f>SUM(Grandview_Inventory[[#This Row],[Intercept]:[det_value]])*Grandview_Inventory[[#This Row],[res_pct]]</f>
        <v>0</v>
      </c>
      <c r="BS2864" s="6">
        <f>Grandview_Inventory[[#This Row],[land_value]]</f>
        <v>41219.217601622076</v>
      </c>
      <c r="BT2864" s="4">
        <f>_xlfn.IFNA(VLOOKUP(Grandview_Inventory[[#This Row],[quality]],Lookups!$A$26:$C$33,3,FALSE),1)</f>
        <v>0.98763855981004833</v>
      </c>
      <c r="BU2864" s="4">
        <f>_xlfn.IFNA(VLOOKUP(Grandview_Inventory[[#This Row],[condition]],Lookups!$A$37:$C$44,3,FALSE),1)</f>
        <v>0.94347925387812148</v>
      </c>
      <c r="BV2864" s="4">
        <f>IF(Grandview_Inventory[[#This Row],[bldg_style]]="",1,_xlfn.IFNA(VLOOKUP(Grandview_Inventory[[#This Row],[decade]],Lookups!$F$29:$H$43,3,FALSE),1))</f>
        <v>0.9413635517371044</v>
      </c>
      <c r="BW2864" s="4">
        <f>_xlfn.IFNA(VLOOKUP(Grandview_Inventory[[#This Row],[living_area_range]],Lookups!$F$47:$H$56,3,FALSE),1)</f>
        <v>0.96135087979789358</v>
      </c>
      <c r="BX2864" s="4">
        <f>AVERAGE(Grandview_Inventory[[#This Row],[qual_adj]:[size_adj]])</f>
        <v>0.95845806130579192</v>
      </c>
      <c r="BY2864" s="6">
        <f>IF(Grandview_Inventory[[#This Row],[pre_res]]&lt;0,0,Grandview_Inventory[[#This Row],[pre_res]]*Grandview_Inventory[[#This Row],[overall_adj]])</f>
        <v>0</v>
      </c>
      <c r="BZ2864" s="6">
        <f>(Grandview_Inventory[[#This Row],[sum_land]]-IF(Grandview_Inventory[[#This Row],[no_utilities]]=1,12000,0))/IF(Grandview_Inventory[[#This Row],[unbuildable]]=1,2,1)</f>
        <v>41219.217601622076</v>
      </c>
      <c r="CA2864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864">
        <f>ROUND(Grandview_Inventory[[#This Row],[det_value]]*Lookups!$M$28,-2)</f>
        <v>0</v>
      </c>
      <c r="CC2864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4">
        <f>Grandview_Inventory[[#This Row],[final_det]]+Grandview_Inventory[[#This Row],[final_res]]</f>
        <v>0</v>
      </c>
      <c r="CE2864">
        <f>Grandview_Inventory[[#This Row],[final_land]]+Grandview_Inventory[[#This Row],[final_imp]]+Grandview_Inventory[[#This Row],[crop_value]]</f>
        <v>39200</v>
      </c>
      <c r="CG2864" t="str">
        <f t="shared" si="45"/>
        <v>update valuation set market_land =39200, market_bldg=0, market_total =39200, market_mdno =401, market_date ='9/10/2023' where link_id = (select link_id from parcel where parcel_year = '2024' and parcel_id = '23091432481');</v>
      </c>
    </row>
    <row r="2865" spans="1:85" x14ac:dyDescent="0.25">
      <c r="A2865">
        <v>23091432483</v>
      </c>
      <c r="B2865" t="s">
        <v>129</v>
      </c>
      <c r="C2865">
        <v>5280</v>
      </c>
      <c r="D2865" t="s">
        <v>129</v>
      </c>
      <c r="E2865" t="s">
        <v>53</v>
      </c>
      <c r="F2865" t="s">
        <v>53</v>
      </c>
      <c r="G2865">
        <v>4</v>
      </c>
      <c r="H2865" t="s">
        <v>54</v>
      </c>
      <c r="I2865" t="s">
        <v>129</v>
      </c>
      <c r="J2865" t="s">
        <v>129</v>
      </c>
      <c r="K2865">
        <v>0.12</v>
      </c>
      <c r="L2865">
        <f>IF(Grandview_Inventory[[#This Row],[parcel_acres]]-Grandview_Inventory[[#This Row],[non_valued_acres]] =0,0,LN(Grandview_Inventory[[#This Row],[parcel_acres]]-Grandview_Inventory[[#This Row],[non_valued_acres]]))</f>
        <v>-2.120263536200091</v>
      </c>
      <c r="M2865">
        <v>0</v>
      </c>
      <c r="N2865">
        <v>0</v>
      </c>
      <c r="O2865">
        <v>0</v>
      </c>
      <c r="P2865">
        <v>13398.7528</v>
      </c>
      <c r="Q2865">
        <v>63903</v>
      </c>
      <c r="R2865">
        <f>(Grandview_Inventory[[#This Row],[ln_acres]]*Grandview_Inventory[[#This Row],[coeff]])+Grandview_Inventory[[#This Row],[const]]</f>
        <v>35494.113007601132</v>
      </c>
      <c r="S2865" t="s">
        <v>61</v>
      </c>
      <c r="T2865">
        <v>1</v>
      </c>
      <c r="U2865" t="s">
        <v>62</v>
      </c>
      <c r="V2865" t="s">
        <v>57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1500</v>
      </c>
      <c r="AC2865">
        <v>1152</v>
      </c>
      <c r="AD2865">
        <v>1152</v>
      </c>
      <c r="AE2865">
        <v>0</v>
      </c>
      <c r="AF2865">
        <v>0</v>
      </c>
      <c r="AG2865">
        <v>0</v>
      </c>
      <c r="AH2865">
        <v>0</v>
      </c>
      <c r="AI2865">
        <v>400</v>
      </c>
      <c r="AJ2865">
        <v>0</v>
      </c>
      <c r="AK2865">
        <v>0</v>
      </c>
      <c r="AL2865">
        <v>0</v>
      </c>
      <c r="AM2865">
        <v>100</v>
      </c>
      <c r="AN2865">
        <v>32</v>
      </c>
      <c r="AO2865">
        <v>0</v>
      </c>
      <c r="AP2865">
        <v>8</v>
      </c>
      <c r="AQ2865">
        <v>0</v>
      </c>
      <c r="AR2865">
        <v>0</v>
      </c>
      <c r="AS2865" t="s">
        <v>58</v>
      </c>
      <c r="AT2865">
        <v>1</v>
      </c>
      <c r="AU2865" t="s">
        <v>59</v>
      </c>
      <c r="AV2865" t="s">
        <v>60</v>
      </c>
      <c r="AW2865">
        <v>1</v>
      </c>
      <c r="AX2865">
        <v>3</v>
      </c>
      <c r="AY2865">
        <v>0</v>
      </c>
      <c r="AZ2865">
        <v>0</v>
      </c>
      <c r="BA2865">
        <v>100</v>
      </c>
      <c r="BB2865">
        <v>100</v>
      </c>
      <c r="BC2865">
        <v>100</v>
      </c>
      <c r="BD2865">
        <v>8</v>
      </c>
      <c r="BE2865">
        <v>0</v>
      </c>
      <c r="BF2865">
        <v>15000</v>
      </c>
      <c r="BG2865">
        <v>0</v>
      </c>
      <c r="BH2865" s="6">
        <f>Grandview_Inventory[[#This Row],[land_extract]]*Lookups!$B$3</f>
        <v>41219.217601622076</v>
      </c>
      <c r="BI2865" s="6">
        <f>IF(Grandview_Inventory[[#This Row],[bldg_style]]="",0,Lookups!$B$2)</f>
        <v>155833.95000000001</v>
      </c>
      <c r="BJ2865" s="6">
        <f>_xlfn.IFNA(VLOOKUP(Grandview_Inventory[[#This Row],[quality]],Lookups!$H$2:$J$14,3,FALSE),0)</f>
        <v>9808</v>
      </c>
      <c r="BK2865" s="6">
        <f>_xlfn.IFNA(VLOOKUP(Grandview_Inventory[[#This Row],[condition]],Lookups!$H$17:$J$24,3,FALSE),0)</f>
        <v>25780</v>
      </c>
      <c r="BL2865" s="6">
        <f>Grandview_Inventory[[#This Row],[Eff_Age]]*Lookups!$B$14</f>
        <v>0</v>
      </c>
      <c r="BM2865" s="6">
        <f>Grandview_Inventory[[#This Row],[living_area]]*Lookups!$B$15</f>
        <v>71862.742656000002</v>
      </c>
      <c r="BN2865" s="6">
        <f>Grandview_Inventory[[#This Row],[Fin BSMT]]*Lookups!$B$16</f>
        <v>0</v>
      </c>
      <c r="BO2865" s="6">
        <f>(Grandview_Inventory[[#This Row],[att_gar]]+Grandview_Inventory[[#This Row],[bltin_gar]])*Lookups!$B$17</f>
        <v>35008.174800000001</v>
      </c>
      <c r="BP2865" s="6">
        <f>Grandview_Inventory[[#This Row],[Plumbing Fixtures]]*Lookups!$B$18</f>
        <v>16083.5344</v>
      </c>
      <c r="BQ2865" s="6">
        <f>Grandview_Inventory[[#This Row],[detatched_value]]*Lookups!$B$19</f>
        <v>0</v>
      </c>
      <c r="BR2865" s="6">
        <f>SUM(Grandview_Inventory[[#This Row],[Intercept]:[det_value]])*Grandview_Inventory[[#This Row],[res_pct]]</f>
        <v>0</v>
      </c>
      <c r="BS2865" s="6">
        <f>Grandview_Inventory[[#This Row],[land_value]]</f>
        <v>41219.217601622076</v>
      </c>
      <c r="BT2865" s="4">
        <f>_xlfn.IFNA(VLOOKUP(Grandview_Inventory[[#This Row],[quality]],Lookups!$A$26:$C$33,3,FALSE),1)</f>
        <v>0.94295468617355149</v>
      </c>
      <c r="BU2865" s="4">
        <f>_xlfn.IFNA(VLOOKUP(Grandview_Inventory[[#This Row],[condition]],Lookups!$A$37:$C$44,3,FALSE),1)</f>
        <v>0.94347925387812148</v>
      </c>
      <c r="BV2865" s="4">
        <f>IF(Grandview_Inventory[[#This Row],[bldg_style]]="",1,_xlfn.IFNA(VLOOKUP(Grandview_Inventory[[#This Row],[decade]],Lookups!$F$29:$H$43,3,FALSE),1))</f>
        <v>0.9413635517371044</v>
      </c>
      <c r="BW2865" s="4">
        <f>_xlfn.IFNA(VLOOKUP(Grandview_Inventory[[#This Row],[living_area_range]],Lookups!$F$47:$H$56,3,FALSE),1)</f>
        <v>0.96135087979789358</v>
      </c>
      <c r="BX2865" s="4">
        <f>AVERAGE(Grandview_Inventory[[#This Row],[qual_adj]:[size_adj]])</f>
        <v>0.94728709289666768</v>
      </c>
      <c r="BY2865" s="6">
        <f>IF(Grandview_Inventory[[#This Row],[pre_res]]&lt;0,0,Grandview_Inventory[[#This Row],[pre_res]]*Grandview_Inventory[[#This Row],[overall_adj]])</f>
        <v>0</v>
      </c>
      <c r="BZ2865" s="6">
        <f>(Grandview_Inventory[[#This Row],[sum_land]]-IF(Grandview_Inventory[[#This Row],[no_utilities]]=1,12000,0))/IF(Grandview_Inventory[[#This Row],[unbuildable]]=1,2,1)</f>
        <v>41219.217601622076</v>
      </c>
      <c r="CA2865">
        <f>IF(ROUND(Grandview_Inventory[[#This Row],[adj_land]]*Lookups!$M$28,-2)&lt;Grandview_Inventory[[#This Row],[min_land]],Grandview_Inventory[[#This Row],[min_land]],ROUND(Grandview_Inventory[[#This Row],[adj_land]]*Lookups!$M$28,-2))</f>
        <v>39200</v>
      </c>
      <c r="CB2865">
        <f>ROUND(Grandview_Inventory[[#This Row],[det_value]]*Lookups!$M$28,-2)</f>
        <v>0</v>
      </c>
      <c r="CC2865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5">
        <f>Grandview_Inventory[[#This Row],[final_det]]+Grandview_Inventory[[#This Row],[final_res]]</f>
        <v>0</v>
      </c>
      <c r="CE2865">
        <f>Grandview_Inventory[[#This Row],[final_land]]+Grandview_Inventory[[#This Row],[final_imp]]+Grandview_Inventory[[#This Row],[crop_value]]</f>
        <v>39200</v>
      </c>
      <c r="CG2865" t="str">
        <f t="shared" si="45"/>
        <v>update valuation set market_land =39200, market_bldg=0, market_total =39200, market_mdno =401, market_date ='9/10/2023' where link_id = (select link_id from parcel where parcel_year = '2024' and parcel_id = '23091432483');</v>
      </c>
    </row>
    <row r="2866" spans="1:85" x14ac:dyDescent="0.25">
      <c r="A2866">
        <v>23091432484</v>
      </c>
      <c r="B2866" t="s">
        <v>129</v>
      </c>
      <c r="C2866">
        <v>5910</v>
      </c>
      <c r="D2866" t="s">
        <v>129</v>
      </c>
      <c r="E2866" t="s">
        <v>53</v>
      </c>
      <c r="F2866" t="s">
        <v>53</v>
      </c>
      <c r="G2866">
        <v>4</v>
      </c>
      <c r="H2866" t="s">
        <v>54</v>
      </c>
      <c r="I2866" t="s">
        <v>129</v>
      </c>
      <c r="J2866" t="s">
        <v>129</v>
      </c>
      <c r="K2866">
        <v>0.14000000000000001</v>
      </c>
      <c r="L2866">
        <f>IF(Grandview_Inventory[[#This Row],[parcel_acres]]-Grandview_Inventory[[#This Row],[non_valued_acres]] =0,0,LN(Grandview_Inventory[[#This Row],[parcel_acres]]-Grandview_Inventory[[#This Row],[non_valued_acres]]))</f>
        <v>-1.9661128563728327</v>
      </c>
      <c r="M2866">
        <v>0</v>
      </c>
      <c r="N2866">
        <v>0</v>
      </c>
      <c r="O2866">
        <v>0</v>
      </c>
      <c r="P2866">
        <v>13398.7528</v>
      </c>
      <c r="Q2866">
        <v>63903</v>
      </c>
      <c r="R2866">
        <f>(Grandview_Inventory[[#This Row],[ln_acres]]*Grandview_Inventory[[#This Row],[coeff]])+Grandview_Inventory[[#This Row],[const]]</f>
        <v>37559.539860558507</v>
      </c>
      <c r="S2866" t="s">
        <v>61</v>
      </c>
      <c r="T2866">
        <v>1</v>
      </c>
      <c r="U2866" t="s">
        <v>62</v>
      </c>
      <c r="V2866" t="s">
        <v>57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1500</v>
      </c>
      <c r="AC2866">
        <v>1412</v>
      </c>
      <c r="AD2866">
        <v>1412</v>
      </c>
      <c r="AE2866">
        <v>0</v>
      </c>
      <c r="AF2866">
        <v>0</v>
      </c>
      <c r="AG2866">
        <v>0</v>
      </c>
      <c r="AH2866">
        <v>0</v>
      </c>
      <c r="AI2866">
        <v>400</v>
      </c>
      <c r="AJ2866">
        <v>0</v>
      </c>
      <c r="AK2866">
        <v>0</v>
      </c>
      <c r="AL2866">
        <v>0</v>
      </c>
      <c r="AM2866">
        <v>100</v>
      </c>
      <c r="AN2866">
        <v>24</v>
      </c>
      <c r="AO2866">
        <v>0</v>
      </c>
      <c r="AP2866">
        <v>9</v>
      </c>
      <c r="AQ2866">
        <v>0</v>
      </c>
      <c r="AR2866">
        <v>0</v>
      </c>
      <c r="AS2866" t="s">
        <v>58</v>
      </c>
      <c r="AT2866">
        <v>1</v>
      </c>
      <c r="AU2866" t="s">
        <v>59</v>
      </c>
      <c r="AV2866" t="s">
        <v>60</v>
      </c>
      <c r="AW2866">
        <v>1</v>
      </c>
      <c r="AX2866">
        <v>3</v>
      </c>
      <c r="AY2866">
        <v>0</v>
      </c>
      <c r="AZ2866">
        <v>0</v>
      </c>
      <c r="BA2866">
        <v>100</v>
      </c>
      <c r="BB2866">
        <v>100</v>
      </c>
      <c r="BC2866">
        <v>100</v>
      </c>
      <c r="BD2866">
        <v>8</v>
      </c>
      <c r="BE2866">
        <v>0</v>
      </c>
      <c r="BF2866">
        <v>15000</v>
      </c>
      <c r="BG2866">
        <v>0</v>
      </c>
      <c r="BH2866" s="6">
        <f>Grandview_Inventory[[#This Row],[land_extract]]*Lookups!$B$3</f>
        <v>43617.792229308972</v>
      </c>
      <c r="BI2866" s="6">
        <f>IF(Grandview_Inventory[[#This Row],[bldg_style]]="",0,Lookups!$B$2)</f>
        <v>155833.95000000001</v>
      </c>
      <c r="BJ2866" s="6">
        <f>_xlfn.IFNA(VLOOKUP(Grandview_Inventory[[#This Row],[quality]],Lookups!$H$2:$J$14,3,FALSE),0)</f>
        <v>9808</v>
      </c>
      <c r="BK2866" s="6">
        <f>_xlfn.IFNA(VLOOKUP(Grandview_Inventory[[#This Row],[condition]],Lookups!$H$17:$J$24,3,FALSE),0)</f>
        <v>25780</v>
      </c>
      <c r="BL2866" s="6">
        <f>Grandview_Inventory[[#This Row],[Eff_Age]]*Lookups!$B$14</f>
        <v>0</v>
      </c>
      <c r="BM2866" s="6">
        <f>Grandview_Inventory[[#This Row],[living_area]]*Lookups!$B$15</f>
        <v>88081.764435999998</v>
      </c>
      <c r="BN2866" s="6">
        <f>Grandview_Inventory[[#This Row],[Fin BSMT]]*Lookups!$B$16</f>
        <v>0</v>
      </c>
      <c r="BO2866" s="6">
        <f>(Grandview_Inventory[[#This Row],[att_gar]]+Grandview_Inventory[[#This Row],[bltin_gar]])*Lookups!$B$17</f>
        <v>35008.174800000001</v>
      </c>
      <c r="BP2866" s="6">
        <f>Grandview_Inventory[[#This Row],[Plumbing Fixtures]]*Lookups!$B$18</f>
        <v>18093.976200000001</v>
      </c>
      <c r="BQ2866" s="6">
        <f>Grandview_Inventory[[#This Row],[detatched_value]]*Lookups!$B$19</f>
        <v>0</v>
      </c>
      <c r="BR2866" s="6">
        <f>SUM(Grandview_Inventory[[#This Row],[Intercept]:[det_value]])*Grandview_Inventory[[#This Row],[res_pct]]</f>
        <v>0</v>
      </c>
      <c r="BS2866" s="6">
        <f>Grandview_Inventory[[#This Row],[land_value]]</f>
        <v>43617.792229308972</v>
      </c>
      <c r="BT2866" s="4">
        <f>_xlfn.IFNA(VLOOKUP(Grandview_Inventory[[#This Row],[quality]],Lookups!$A$26:$C$33,3,FALSE),1)</f>
        <v>0.94295468617355149</v>
      </c>
      <c r="BU2866" s="4">
        <f>_xlfn.IFNA(VLOOKUP(Grandview_Inventory[[#This Row],[condition]],Lookups!$A$37:$C$44,3,FALSE),1)</f>
        <v>0.94347925387812148</v>
      </c>
      <c r="BV2866" s="4">
        <f>IF(Grandview_Inventory[[#This Row],[bldg_style]]="",1,_xlfn.IFNA(VLOOKUP(Grandview_Inventory[[#This Row],[decade]],Lookups!$F$29:$H$43,3,FALSE),1))</f>
        <v>0.9413635517371044</v>
      </c>
      <c r="BW2866" s="4">
        <f>_xlfn.IFNA(VLOOKUP(Grandview_Inventory[[#This Row],[living_area_range]],Lookups!$F$47:$H$56,3,FALSE),1)</f>
        <v>0.96135087979789358</v>
      </c>
      <c r="BX2866" s="4">
        <f>AVERAGE(Grandview_Inventory[[#This Row],[qual_adj]:[size_adj]])</f>
        <v>0.94728709289666768</v>
      </c>
      <c r="BY2866" s="6">
        <f>IF(Grandview_Inventory[[#This Row],[pre_res]]&lt;0,0,Grandview_Inventory[[#This Row],[pre_res]]*Grandview_Inventory[[#This Row],[overall_adj]])</f>
        <v>0</v>
      </c>
      <c r="BZ2866" s="6">
        <f>(Grandview_Inventory[[#This Row],[sum_land]]-IF(Grandview_Inventory[[#This Row],[no_utilities]]=1,12000,0))/IF(Grandview_Inventory[[#This Row],[unbuildable]]=1,2,1)</f>
        <v>43617.792229308972</v>
      </c>
      <c r="CA2866">
        <f>IF(ROUND(Grandview_Inventory[[#This Row],[adj_land]]*Lookups!$M$28,-2)&lt;Grandview_Inventory[[#This Row],[min_land]],Grandview_Inventory[[#This Row],[min_land]],ROUND(Grandview_Inventory[[#This Row],[adj_land]]*Lookups!$M$28,-2))</f>
        <v>41400</v>
      </c>
      <c r="CB2866">
        <f>ROUND(Grandview_Inventory[[#This Row],[det_value]]*Lookups!$M$28,-2)</f>
        <v>0</v>
      </c>
      <c r="CC2866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6">
        <f>Grandview_Inventory[[#This Row],[final_det]]+Grandview_Inventory[[#This Row],[final_res]]</f>
        <v>0</v>
      </c>
      <c r="CE2866">
        <f>Grandview_Inventory[[#This Row],[final_land]]+Grandview_Inventory[[#This Row],[final_imp]]+Grandview_Inventory[[#This Row],[crop_value]]</f>
        <v>41400</v>
      </c>
      <c r="CG2866" t="str">
        <f t="shared" si="45"/>
        <v>update valuation set market_land =41400, market_bldg=0, market_total =41400, market_mdno =401, market_date ='9/10/2023' where link_id = (select link_id from parcel where parcel_year = '2024' and parcel_id = '23091432484');</v>
      </c>
    </row>
    <row r="2867" spans="1:85" x14ac:dyDescent="0.25">
      <c r="A2867">
        <v>23091432487</v>
      </c>
      <c r="B2867" t="s">
        <v>129</v>
      </c>
      <c r="C2867">
        <v>6435</v>
      </c>
      <c r="D2867" t="s">
        <v>129</v>
      </c>
      <c r="E2867" t="s">
        <v>53</v>
      </c>
      <c r="F2867" t="s">
        <v>53</v>
      </c>
      <c r="G2867">
        <v>4</v>
      </c>
      <c r="H2867" t="s">
        <v>54</v>
      </c>
      <c r="I2867" t="s">
        <v>129</v>
      </c>
      <c r="J2867" t="s">
        <v>129</v>
      </c>
      <c r="K2867">
        <v>0.15</v>
      </c>
      <c r="L2867">
        <f>IF(Grandview_Inventory[[#This Row],[parcel_acres]]-Grandview_Inventory[[#This Row],[non_valued_acres]] =0,0,LN(Grandview_Inventory[[#This Row],[parcel_acres]]-Grandview_Inventory[[#This Row],[non_valued_acres]]))</f>
        <v>-1.8971199848858813</v>
      </c>
      <c r="M2867">
        <v>0</v>
      </c>
      <c r="N2867">
        <v>0</v>
      </c>
      <c r="O2867">
        <v>0</v>
      </c>
      <c r="P2867">
        <v>13398.7528</v>
      </c>
      <c r="Q2867">
        <v>63903</v>
      </c>
      <c r="R2867">
        <f>(Grandview_Inventory[[#This Row],[ln_acres]]*Grandview_Inventory[[#This Row],[coeff]])+Grandview_Inventory[[#This Row],[const]]</f>
        <v>38483.958290574345</v>
      </c>
      <c r="S2867" t="s">
        <v>55</v>
      </c>
      <c r="T2867">
        <v>1</v>
      </c>
      <c r="U2867" t="s">
        <v>62</v>
      </c>
      <c r="V2867" t="s">
        <v>57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2000</v>
      </c>
      <c r="AC2867">
        <v>1580</v>
      </c>
      <c r="AD2867">
        <v>1580</v>
      </c>
      <c r="AE2867">
        <v>0</v>
      </c>
      <c r="AF2867">
        <v>0</v>
      </c>
      <c r="AG2867">
        <v>0</v>
      </c>
      <c r="AH2867">
        <v>0</v>
      </c>
      <c r="AI2867">
        <v>400</v>
      </c>
      <c r="AJ2867">
        <v>0</v>
      </c>
      <c r="AK2867">
        <v>0</v>
      </c>
      <c r="AL2867">
        <v>0</v>
      </c>
      <c r="AM2867">
        <v>0</v>
      </c>
      <c r="AN2867">
        <v>264</v>
      </c>
      <c r="AO2867">
        <v>0</v>
      </c>
      <c r="AP2867">
        <v>9</v>
      </c>
      <c r="AQ2867">
        <v>0</v>
      </c>
      <c r="AR2867">
        <v>0</v>
      </c>
      <c r="AS2867" t="s">
        <v>58</v>
      </c>
      <c r="AT2867">
        <v>1</v>
      </c>
      <c r="AU2867" t="s">
        <v>59</v>
      </c>
      <c r="AV2867" t="s">
        <v>64</v>
      </c>
      <c r="AW2867">
        <v>1</v>
      </c>
      <c r="AX2867">
        <v>3</v>
      </c>
      <c r="AY2867">
        <v>0</v>
      </c>
      <c r="AZ2867">
        <v>0</v>
      </c>
      <c r="BA2867">
        <v>100</v>
      </c>
      <c r="BB2867">
        <v>100</v>
      </c>
      <c r="BC2867">
        <v>100</v>
      </c>
      <c r="BD2867">
        <v>8</v>
      </c>
      <c r="BE2867">
        <v>0</v>
      </c>
      <c r="BF2867">
        <v>15000</v>
      </c>
      <c r="BG2867">
        <v>0</v>
      </c>
      <c r="BH2867" s="6">
        <f>Grandview_Inventory[[#This Row],[land_extract]]*Lookups!$B$3</f>
        <v>44691.316856156598</v>
      </c>
      <c r="BI2867" s="6">
        <f>IF(Grandview_Inventory[[#This Row],[bldg_style]]="",0,Lookups!$B$2)</f>
        <v>155833.95000000001</v>
      </c>
      <c r="BJ2867" s="6">
        <f>_xlfn.IFNA(VLOOKUP(Grandview_Inventory[[#This Row],[quality]],Lookups!$H$2:$J$14,3,FALSE),0)</f>
        <v>9808</v>
      </c>
      <c r="BK2867" s="6">
        <f>_xlfn.IFNA(VLOOKUP(Grandview_Inventory[[#This Row],[condition]],Lookups!$H$17:$J$24,3,FALSE),0)</f>
        <v>25780</v>
      </c>
      <c r="BL2867" s="6">
        <f>Grandview_Inventory[[#This Row],[Eff_Age]]*Lookups!$B$14</f>
        <v>0</v>
      </c>
      <c r="BM2867" s="6">
        <f>Grandview_Inventory[[#This Row],[living_area]]*Lookups!$B$15</f>
        <v>98561.747740000006</v>
      </c>
      <c r="BN2867" s="6">
        <f>Grandview_Inventory[[#This Row],[Fin BSMT]]*Lookups!$B$16</f>
        <v>0</v>
      </c>
      <c r="BO2867" s="6">
        <f>(Grandview_Inventory[[#This Row],[att_gar]]+Grandview_Inventory[[#This Row],[bltin_gar]])*Lookups!$B$17</f>
        <v>35008.174800000001</v>
      </c>
      <c r="BP2867" s="6">
        <f>Grandview_Inventory[[#This Row],[Plumbing Fixtures]]*Lookups!$B$18</f>
        <v>18093.976200000001</v>
      </c>
      <c r="BQ2867" s="6">
        <f>Grandview_Inventory[[#This Row],[detatched_value]]*Lookups!$B$19</f>
        <v>0</v>
      </c>
      <c r="BR2867" s="6">
        <f>SUM(Grandview_Inventory[[#This Row],[Intercept]:[det_value]])*Grandview_Inventory[[#This Row],[res_pct]]</f>
        <v>0</v>
      </c>
      <c r="BS2867" s="6">
        <f>Grandview_Inventory[[#This Row],[land_value]]</f>
        <v>44691.316856156598</v>
      </c>
      <c r="BT2867" s="4">
        <f>_xlfn.IFNA(VLOOKUP(Grandview_Inventory[[#This Row],[quality]],Lookups!$A$26:$C$33,3,FALSE),1)</f>
        <v>0.94295468617355149</v>
      </c>
      <c r="BU2867" s="4">
        <f>_xlfn.IFNA(VLOOKUP(Grandview_Inventory[[#This Row],[condition]],Lookups!$A$37:$C$44,3,FALSE),1)</f>
        <v>0.94347925387812148</v>
      </c>
      <c r="BV2867" s="4">
        <f>IF(Grandview_Inventory[[#This Row],[bldg_style]]="",1,_xlfn.IFNA(VLOOKUP(Grandview_Inventory[[#This Row],[decade]],Lookups!$F$29:$H$43,3,FALSE),1))</f>
        <v>0.9413635517371044</v>
      </c>
      <c r="BW2867" s="4">
        <f>_xlfn.IFNA(VLOOKUP(Grandview_Inventory[[#This Row],[living_area_range]],Lookups!$F$47:$H$56,3,FALSE),1)</f>
        <v>0.96120133463014379</v>
      </c>
      <c r="BX2867" s="4">
        <f>AVERAGE(Grandview_Inventory[[#This Row],[qual_adj]:[size_adj]])</f>
        <v>0.94724970660473029</v>
      </c>
      <c r="BY2867" s="6">
        <f>IF(Grandview_Inventory[[#This Row],[pre_res]]&lt;0,0,Grandview_Inventory[[#This Row],[pre_res]]*Grandview_Inventory[[#This Row],[overall_adj]])</f>
        <v>0</v>
      </c>
      <c r="BZ2867" s="6">
        <f>(Grandview_Inventory[[#This Row],[sum_land]]-IF(Grandview_Inventory[[#This Row],[no_utilities]]=1,12000,0))/IF(Grandview_Inventory[[#This Row],[unbuildable]]=1,2,1)</f>
        <v>44691.316856156598</v>
      </c>
      <c r="CA2867">
        <f>IF(ROUND(Grandview_Inventory[[#This Row],[adj_land]]*Lookups!$M$28,-2)&lt;Grandview_Inventory[[#This Row],[min_land]],Grandview_Inventory[[#This Row],[min_land]],ROUND(Grandview_Inventory[[#This Row],[adj_land]]*Lookups!$M$28,-2))</f>
        <v>42500</v>
      </c>
      <c r="CB2867">
        <f>ROUND(Grandview_Inventory[[#This Row],[det_value]]*Lookups!$M$28,-2)</f>
        <v>0</v>
      </c>
      <c r="CC2867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7">
        <f>Grandview_Inventory[[#This Row],[final_det]]+Grandview_Inventory[[#This Row],[final_res]]</f>
        <v>0</v>
      </c>
      <c r="CE2867">
        <f>Grandview_Inventory[[#This Row],[final_land]]+Grandview_Inventory[[#This Row],[final_imp]]+Grandview_Inventory[[#This Row],[crop_value]]</f>
        <v>42500</v>
      </c>
      <c r="CG2867" t="str">
        <f t="shared" si="45"/>
        <v>update valuation set market_land =42500, market_bldg=0, market_total =42500, market_mdno =401, market_date ='9/10/2023' where link_id = (select link_id from parcel where parcel_year = '2024' and parcel_id = '23091432487');</v>
      </c>
    </row>
    <row r="2868" spans="1:85" x14ac:dyDescent="0.25">
      <c r="A2868">
        <v>23092221418</v>
      </c>
      <c r="B2868" t="s">
        <v>129</v>
      </c>
      <c r="C2868">
        <v>7500</v>
      </c>
      <c r="D2868" t="s">
        <v>129</v>
      </c>
      <c r="E2868" t="s">
        <v>53</v>
      </c>
      <c r="F2868" t="s">
        <v>53</v>
      </c>
      <c r="G2868">
        <v>4</v>
      </c>
      <c r="H2868" t="s">
        <v>54</v>
      </c>
      <c r="I2868" t="s">
        <v>129</v>
      </c>
      <c r="J2868">
        <v>32300</v>
      </c>
      <c r="K2868">
        <v>0.17</v>
      </c>
      <c r="L2868">
        <f>IF(Grandview_Inventory[[#This Row],[parcel_acres]]-Grandview_Inventory[[#This Row],[non_valued_acres]] =0,0,LN(Grandview_Inventory[[#This Row],[parcel_acres]]-Grandview_Inventory[[#This Row],[non_valued_acres]]))</f>
        <v>-1.7719568419318752</v>
      </c>
      <c r="M2868">
        <v>0</v>
      </c>
      <c r="N2868">
        <v>0</v>
      </c>
      <c r="O2868">
        <v>0</v>
      </c>
      <c r="P2868">
        <v>13398.7528</v>
      </c>
      <c r="Q2868">
        <v>63903</v>
      </c>
      <c r="R2868">
        <f>(Grandview_Inventory[[#This Row],[ln_acres]]*Grandview_Inventory[[#This Row],[coeff]])+Grandview_Inventory[[#This Row],[const]]</f>
        <v>40160.988302686128</v>
      </c>
      <c r="S2868" t="s">
        <v>61</v>
      </c>
      <c r="T2868">
        <v>1</v>
      </c>
      <c r="U2868" t="s">
        <v>62</v>
      </c>
      <c r="V2868" t="s">
        <v>57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1500</v>
      </c>
      <c r="AC2868">
        <v>1152</v>
      </c>
      <c r="AD2868">
        <v>1152</v>
      </c>
      <c r="AE2868">
        <v>0</v>
      </c>
      <c r="AF2868">
        <v>0</v>
      </c>
      <c r="AG2868">
        <v>0</v>
      </c>
      <c r="AH2868">
        <v>0</v>
      </c>
      <c r="AI2868">
        <v>400</v>
      </c>
      <c r="AJ2868">
        <v>0</v>
      </c>
      <c r="AK2868">
        <v>0</v>
      </c>
      <c r="AL2868">
        <v>0</v>
      </c>
      <c r="AM2868">
        <v>100</v>
      </c>
      <c r="AN2868">
        <v>32</v>
      </c>
      <c r="AO2868">
        <v>0</v>
      </c>
      <c r="AP2868">
        <v>8</v>
      </c>
      <c r="AQ2868">
        <v>0</v>
      </c>
      <c r="AR2868">
        <v>0</v>
      </c>
      <c r="AS2868" t="s">
        <v>58</v>
      </c>
      <c r="AT2868">
        <v>1</v>
      </c>
      <c r="AU2868" t="s">
        <v>59</v>
      </c>
      <c r="AV2868" t="s">
        <v>60</v>
      </c>
      <c r="AW2868">
        <v>1</v>
      </c>
      <c r="AX2868">
        <v>3</v>
      </c>
      <c r="AY2868">
        <v>0</v>
      </c>
      <c r="AZ2868">
        <v>0</v>
      </c>
      <c r="BA2868">
        <v>100</v>
      </c>
      <c r="BB2868">
        <v>100</v>
      </c>
      <c r="BC2868">
        <v>100</v>
      </c>
      <c r="BD2868">
        <v>12</v>
      </c>
      <c r="BE2868">
        <v>0</v>
      </c>
      <c r="BF2868">
        <v>15000</v>
      </c>
      <c r="BG2868">
        <v>0</v>
      </c>
      <c r="BH2868" s="6">
        <f>Grandview_Inventory[[#This Row],[land_extract]]*Lookups!$B$3</f>
        <v>46638.847281240982</v>
      </c>
      <c r="BI2868" s="6">
        <f>IF(Grandview_Inventory[[#This Row],[bldg_style]]="",0,Lookups!$B$2)</f>
        <v>155833.95000000001</v>
      </c>
      <c r="BJ2868" s="6">
        <f>_xlfn.IFNA(VLOOKUP(Grandview_Inventory[[#This Row],[quality]],Lookups!$H$2:$J$14,3,FALSE),0)</f>
        <v>9808</v>
      </c>
      <c r="BK2868" s="6">
        <f>_xlfn.IFNA(VLOOKUP(Grandview_Inventory[[#This Row],[condition]],Lookups!$H$17:$J$24,3,FALSE),0)</f>
        <v>25780</v>
      </c>
      <c r="BL2868" s="6">
        <f>Grandview_Inventory[[#This Row],[Eff_Age]]*Lookups!$B$14</f>
        <v>0</v>
      </c>
      <c r="BM2868" s="6">
        <f>Grandview_Inventory[[#This Row],[living_area]]*Lookups!$B$15</f>
        <v>71862.742656000002</v>
      </c>
      <c r="BN2868" s="6">
        <f>Grandview_Inventory[[#This Row],[Fin BSMT]]*Lookups!$B$16</f>
        <v>0</v>
      </c>
      <c r="BO2868" s="6">
        <f>(Grandview_Inventory[[#This Row],[att_gar]]+Grandview_Inventory[[#This Row],[bltin_gar]])*Lookups!$B$17</f>
        <v>35008.174800000001</v>
      </c>
      <c r="BP2868" s="6">
        <f>Grandview_Inventory[[#This Row],[Plumbing Fixtures]]*Lookups!$B$18</f>
        <v>16083.5344</v>
      </c>
      <c r="BQ2868" s="6">
        <f>Grandview_Inventory[[#This Row],[detatched_value]]*Lookups!$B$19</f>
        <v>0</v>
      </c>
      <c r="BR2868" s="6">
        <f>SUM(Grandview_Inventory[[#This Row],[Intercept]:[det_value]])*Grandview_Inventory[[#This Row],[res_pct]]</f>
        <v>0</v>
      </c>
      <c r="BS2868" s="6">
        <f>Grandview_Inventory[[#This Row],[land_value]]</f>
        <v>46638.847281240982</v>
      </c>
      <c r="BT2868" s="4">
        <f>_xlfn.IFNA(VLOOKUP(Grandview_Inventory[[#This Row],[quality]],Lookups!$A$26:$C$33,3,FALSE),1)</f>
        <v>0.94295468617355149</v>
      </c>
      <c r="BU2868" s="4">
        <f>_xlfn.IFNA(VLOOKUP(Grandview_Inventory[[#This Row],[condition]],Lookups!$A$37:$C$44,3,FALSE),1)</f>
        <v>0.94347925387812148</v>
      </c>
      <c r="BV2868" s="4">
        <f>IF(Grandview_Inventory[[#This Row],[bldg_style]]="",1,_xlfn.IFNA(VLOOKUP(Grandview_Inventory[[#This Row],[decade]],Lookups!$F$29:$H$43,3,FALSE),1))</f>
        <v>0.9413635517371044</v>
      </c>
      <c r="BW2868" s="4">
        <f>_xlfn.IFNA(VLOOKUP(Grandview_Inventory[[#This Row],[living_area_range]],Lookups!$F$47:$H$56,3,FALSE),1)</f>
        <v>0.96135087979789358</v>
      </c>
      <c r="BX2868" s="4">
        <f>AVERAGE(Grandview_Inventory[[#This Row],[qual_adj]:[size_adj]])</f>
        <v>0.94728709289666768</v>
      </c>
      <c r="BY2868" s="6">
        <f>IF(Grandview_Inventory[[#This Row],[pre_res]]&lt;0,0,Grandview_Inventory[[#This Row],[pre_res]]*Grandview_Inventory[[#This Row],[overall_adj]])</f>
        <v>0</v>
      </c>
      <c r="BZ2868" s="6">
        <f>(Grandview_Inventory[[#This Row],[sum_land]]-IF(Grandview_Inventory[[#This Row],[no_utilities]]=1,12000,0))/IF(Grandview_Inventory[[#This Row],[unbuildable]]=1,2,1)</f>
        <v>46638.847281240982</v>
      </c>
      <c r="CA2868">
        <f>IF(ROUND(Grandview_Inventory[[#This Row],[adj_land]]*Lookups!$M$28,-2)&lt;Grandview_Inventory[[#This Row],[min_land]],Grandview_Inventory[[#This Row],[min_land]],ROUND(Grandview_Inventory[[#This Row],[adj_land]]*Lookups!$M$28,-2))</f>
        <v>44300</v>
      </c>
      <c r="CB2868">
        <f>ROUND(Grandview_Inventory[[#This Row],[det_value]]*Lookups!$M$28,-2)</f>
        <v>0</v>
      </c>
      <c r="CC2868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8">
        <f>Grandview_Inventory[[#This Row],[final_det]]+Grandview_Inventory[[#This Row],[final_res]]</f>
        <v>0</v>
      </c>
      <c r="CE2868">
        <f>Grandview_Inventory[[#This Row],[final_land]]+Grandview_Inventory[[#This Row],[final_imp]]+Grandview_Inventory[[#This Row],[crop_value]]</f>
        <v>44300</v>
      </c>
      <c r="CG2868" t="str">
        <f t="shared" si="45"/>
        <v>update valuation set market_land =44300, market_bldg=0, market_total =44300, market_mdno =401, market_date ='9/10/2023' where link_id = (select link_id from parcel where parcel_year = '2024' and parcel_id = '23092221418');</v>
      </c>
    </row>
    <row r="2869" spans="1:85" x14ac:dyDescent="0.25">
      <c r="A2869">
        <v>23092621619</v>
      </c>
      <c r="B2869" t="s">
        <v>129</v>
      </c>
      <c r="C2869">
        <v>8140</v>
      </c>
      <c r="D2869" t="s">
        <v>129</v>
      </c>
      <c r="E2869" t="s">
        <v>53</v>
      </c>
      <c r="F2869" t="s">
        <v>53</v>
      </c>
      <c r="G2869">
        <v>4</v>
      </c>
      <c r="H2869" t="s">
        <v>54</v>
      </c>
      <c r="I2869">
        <v>0</v>
      </c>
      <c r="J2869">
        <v>32500</v>
      </c>
      <c r="K2869">
        <v>0.19</v>
      </c>
      <c r="L2869">
        <f>IF(Grandview_Inventory[[#This Row],[parcel_acres]]-Grandview_Inventory[[#This Row],[non_valued_acres]] =0,0,LN(Grandview_Inventory[[#This Row],[parcel_acres]]-Grandview_Inventory[[#This Row],[non_valued_acres]]))</f>
        <v>-1.6607312068216509</v>
      </c>
      <c r="M2869">
        <v>0</v>
      </c>
      <c r="N2869">
        <v>0</v>
      </c>
      <c r="O2869">
        <v>0</v>
      </c>
      <c r="P2869">
        <v>13398.7528</v>
      </c>
      <c r="Q2869">
        <v>63903</v>
      </c>
      <c r="R2869">
        <f>(Grandview_Inventory[[#This Row],[ln_acres]]*Grandview_Inventory[[#This Row],[coeff]])+Grandview_Inventory[[#This Row],[const]]</f>
        <v>41651.273092551026</v>
      </c>
      <c r="S2869" t="s">
        <v>61</v>
      </c>
      <c r="T2869">
        <v>1</v>
      </c>
      <c r="U2869" t="s">
        <v>62</v>
      </c>
      <c r="V2869" t="s">
        <v>57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2000</v>
      </c>
      <c r="AC2869">
        <v>1560</v>
      </c>
      <c r="AD2869">
        <v>1560</v>
      </c>
      <c r="AE2869">
        <v>0</v>
      </c>
      <c r="AF2869">
        <v>0</v>
      </c>
      <c r="AG2869">
        <v>0</v>
      </c>
      <c r="AH2869">
        <v>0</v>
      </c>
      <c r="AI2869">
        <v>400</v>
      </c>
      <c r="AJ2869">
        <v>0</v>
      </c>
      <c r="AK2869">
        <v>0</v>
      </c>
      <c r="AL2869">
        <v>0</v>
      </c>
      <c r="AM2869">
        <v>0</v>
      </c>
      <c r="AN2869">
        <v>240</v>
      </c>
      <c r="AO2869">
        <v>0</v>
      </c>
      <c r="AP2869">
        <v>9</v>
      </c>
      <c r="AQ2869">
        <v>0</v>
      </c>
      <c r="AR2869">
        <v>0</v>
      </c>
      <c r="AS2869" t="s">
        <v>58</v>
      </c>
      <c r="AT2869">
        <v>1</v>
      </c>
      <c r="AU2869" t="s">
        <v>59</v>
      </c>
      <c r="AV2869" t="s">
        <v>60</v>
      </c>
      <c r="AW2869">
        <v>1</v>
      </c>
      <c r="AX2869">
        <v>3</v>
      </c>
      <c r="AY2869">
        <v>0</v>
      </c>
      <c r="AZ2869">
        <v>0</v>
      </c>
      <c r="BA2869">
        <v>100</v>
      </c>
      <c r="BB2869">
        <v>100</v>
      </c>
      <c r="BC2869">
        <v>100</v>
      </c>
      <c r="BD2869">
        <v>8</v>
      </c>
      <c r="BE2869">
        <v>0</v>
      </c>
      <c r="BF2869">
        <v>15000</v>
      </c>
      <c r="BG2869">
        <v>0</v>
      </c>
      <c r="BH2869" s="6">
        <f>Grandview_Inventory[[#This Row],[land_extract]]*Lookups!$B$3</f>
        <v>48369.510983942157</v>
      </c>
      <c r="BI2869" s="6">
        <f>IF(Grandview_Inventory[[#This Row],[bldg_style]]="",0,Lookups!$B$2)</f>
        <v>155833.95000000001</v>
      </c>
      <c r="BJ2869" s="6">
        <f>_xlfn.IFNA(VLOOKUP(Grandview_Inventory[[#This Row],[quality]],Lookups!$H$2:$J$14,3,FALSE),0)</f>
        <v>9808</v>
      </c>
      <c r="BK2869" s="6">
        <f>_xlfn.IFNA(VLOOKUP(Grandview_Inventory[[#This Row],[condition]],Lookups!$H$17:$J$24,3,FALSE),0)</f>
        <v>25780</v>
      </c>
      <c r="BL2869" s="6">
        <f>Grandview_Inventory[[#This Row],[Eff_Age]]*Lookups!$B$14</f>
        <v>0</v>
      </c>
      <c r="BM2869" s="6">
        <f>Grandview_Inventory[[#This Row],[living_area]]*Lookups!$B$15</f>
        <v>97314.130680000002</v>
      </c>
      <c r="BN2869" s="6">
        <f>Grandview_Inventory[[#This Row],[Fin BSMT]]*Lookups!$B$16</f>
        <v>0</v>
      </c>
      <c r="BO2869" s="6">
        <f>(Grandview_Inventory[[#This Row],[att_gar]]+Grandview_Inventory[[#This Row],[bltin_gar]])*Lookups!$B$17</f>
        <v>35008.174800000001</v>
      </c>
      <c r="BP2869" s="6">
        <f>Grandview_Inventory[[#This Row],[Plumbing Fixtures]]*Lookups!$B$18</f>
        <v>18093.976200000001</v>
      </c>
      <c r="BQ2869" s="6">
        <f>Grandview_Inventory[[#This Row],[detatched_value]]*Lookups!$B$19</f>
        <v>0</v>
      </c>
      <c r="BR2869" s="6">
        <f>SUM(Grandview_Inventory[[#This Row],[Intercept]:[det_value]])*Grandview_Inventory[[#This Row],[res_pct]]</f>
        <v>0</v>
      </c>
      <c r="BS2869" s="6">
        <f>Grandview_Inventory[[#This Row],[land_value]]</f>
        <v>48369.510983942157</v>
      </c>
      <c r="BT2869" s="4">
        <f>_xlfn.IFNA(VLOOKUP(Grandview_Inventory[[#This Row],[quality]],Lookups!$A$26:$C$33,3,FALSE),1)</f>
        <v>0.94295468617355149</v>
      </c>
      <c r="BU2869" s="4">
        <f>_xlfn.IFNA(VLOOKUP(Grandview_Inventory[[#This Row],[condition]],Lookups!$A$37:$C$44,3,FALSE),1)</f>
        <v>0.94347925387812148</v>
      </c>
      <c r="BV2869" s="4">
        <f>IF(Grandview_Inventory[[#This Row],[bldg_style]]="",1,_xlfn.IFNA(VLOOKUP(Grandview_Inventory[[#This Row],[decade]],Lookups!$F$29:$H$43,3,FALSE),1))</f>
        <v>0.9413635517371044</v>
      </c>
      <c r="BW2869" s="4">
        <f>_xlfn.IFNA(VLOOKUP(Grandview_Inventory[[#This Row],[living_area_range]],Lookups!$F$47:$H$56,3,FALSE),1)</f>
        <v>0.96120133463014379</v>
      </c>
      <c r="BX2869" s="4">
        <f>AVERAGE(Grandview_Inventory[[#This Row],[qual_adj]:[size_adj]])</f>
        <v>0.94724970660473029</v>
      </c>
      <c r="BY2869" s="6">
        <f>IF(Grandview_Inventory[[#This Row],[pre_res]]&lt;0,0,Grandview_Inventory[[#This Row],[pre_res]]*Grandview_Inventory[[#This Row],[overall_adj]])</f>
        <v>0</v>
      </c>
      <c r="BZ2869" s="6">
        <f>(Grandview_Inventory[[#This Row],[sum_land]]-IF(Grandview_Inventory[[#This Row],[no_utilities]]=1,12000,0))/IF(Grandview_Inventory[[#This Row],[unbuildable]]=1,2,1)</f>
        <v>48369.510983942157</v>
      </c>
      <c r="CA2869">
        <f>IF(ROUND(Grandview_Inventory[[#This Row],[adj_land]]*Lookups!$M$28,-2)&lt;Grandview_Inventory[[#This Row],[min_land]],Grandview_Inventory[[#This Row],[min_land]],ROUND(Grandview_Inventory[[#This Row],[adj_land]]*Lookups!$M$28,-2))</f>
        <v>46000</v>
      </c>
      <c r="CB2869">
        <f>ROUND(Grandview_Inventory[[#This Row],[det_value]]*Lookups!$M$28,-2)</f>
        <v>0</v>
      </c>
      <c r="CC2869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69">
        <f>Grandview_Inventory[[#This Row],[final_det]]+Grandview_Inventory[[#This Row],[final_res]]</f>
        <v>0</v>
      </c>
      <c r="CE2869">
        <f>Grandview_Inventory[[#This Row],[final_land]]+Grandview_Inventory[[#This Row],[final_imp]]+Grandview_Inventory[[#This Row],[crop_value]]</f>
        <v>46000</v>
      </c>
      <c r="CG2869" t="str">
        <f t="shared" si="45"/>
        <v>update valuation set market_land =46000, market_bldg=0, market_total =46000, market_mdno =401, market_date ='9/10/2023' where link_id = (select link_id from parcel where parcel_year = '2024' and parcel_id = '23092621619');</v>
      </c>
    </row>
    <row r="2870" spans="1:85" x14ac:dyDescent="0.25">
      <c r="A2870">
        <v>23092621626</v>
      </c>
      <c r="B2870" t="s">
        <v>129</v>
      </c>
      <c r="C2870">
        <v>8605</v>
      </c>
      <c r="D2870" t="s">
        <v>129</v>
      </c>
      <c r="E2870" t="s">
        <v>53</v>
      </c>
      <c r="F2870" t="s">
        <v>53</v>
      </c>
      <c r="G2870">
        <v>4</v>
      </c>
      <c r="H2870" t="s">
        <v>54</v>
      </c>
      <c r="I2870">
        <v>0</v>
      </c>
      <c r="J2870">
        <v>32700</v>
      </c>
      <c r="K2870">
        <v>0.2</v>
      </c>
      <c r="L2870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870">
        <v>0</v>
      </c>
      <c r="N2870">
        <v>0</v>
      </c>
      <c r="O2870">
        <v>0</v>
      </c>
      <c r="P2870">
        <v>13398.7528</v>
      </c>
      <c r="Q2870">
        <v>63903</v>
      </c>
      <c r="R2870">
        <f>(Grandview_Inventory[[#This Row],[ln_acres]]*Grandview_Inventory[[#This Row],[coeff]])+Grandview_Inventory[[#This Row],[const]]</f>
        <v>42338.539264347448</v>
      </c>
      <c r="S2870" t="s">
        <v>61</v>
      </c>
      <c r="T2870">
        <v>1</v>
      </c>
      <c r="U2870" t="s">
        <v>62</v>
      </c>
      <c r="V2870" t="s">
        <v>57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1500</v>
      </c>
      <c r="AC2870">
        <v>1460</v>
      </c>
      <c r="AD2870">
        <v>1460</v>
      </c>
      <c r="AE2870">
        <v>0</v>
      </c>
      <c r="AF2870">
        <v>0</v>
      </c>
      <c r="AG2870">
        <v>0</v>
      </c>
      <c r="AH2870">
        <v>0</v>
      </c>
      <c r="AI2870">
        <v>400</v>
      </c>
      <c r="AJ2870">
        <v>0</v>
      </c>
      <c r="AK2870">
        <v>0</v>
      </c>
      <c r="AL2870">
        <v>0</v>
      </c>
      <c r="AM2870">
        <v>0</v>
      </c>
      <c r="AN2870">
        <v>177</v>
      </c>
      <c r="AO2870">
        <v>0</v>
      </c>
      <c r="AP2870">
        <v>9</v>
      </c>
      <c r="AQ2870">
        <v>0</v>
      </c>
      <c r="AR2870">
        <v>0</v>
      </c>
      <c r="AS2870" t="s">
        <v>58</v>
      </c>
      <c r="AT2870">
        <v>1</v>
      </c>
      <c r="AU2870" t="s">
        <v>59</v>
      </c>
      <c r="AV2870" t="s">
        <v>60</v>
      </c>
      <c r="AW2870">
        <v>1</v>
      </c>
      <c r="AX2870">
        <v>3</v>
      </c>
      <c r="AY2870">
        <v>0</v>
      </c>
      <c r="AZ2870">
        <v>0</v>
      </c>
      <c r="BA2870">
        <v>100</v>
      </c>
      <c r="BB2870">
        <v>100</v>
      </c>
      <c r="BC2870">
        <v>100</v>
      </c>
      <c r="BD2870">
        <v>8</v>
      </c>
      <c r="BE2870">
        <v>0</v>
      </c>
      <c r="BF2870">
        <v>15000</v>
      </c>
      <c r="BG2870">
        <v>0</v>
      </c>
      <c r="BH2870" s="6">
        <f>Grandview_Inventory[[#This Row],[land_extract]]*Lookups!$B$3</f>
        <v>49167.631333630678</v>
      </c>
      <c r="BI2870" s="6">
        <f>IF(Grandview_Inventory[[#This Row],[bldg_style]]="",0,Lookups!$B$2)</f>
        <v>155833.95000000001</v>
      </c>
      <c r="BJ2870" s="6">
        <f>_xlfn.IFNA(VLOOKUP(Grandview_Inventory[[#This Row],[quality]],Lookups!$H$2:$J$14,3,FALSE),0)</f>
        <v>9808</v>
      </c>
      <c r="BK2870" s="6">
        <f>_xlfn.IFNA(VLOOKUP(Grandview_Inventory[[#This Row],[condition]],Lookups!$H$17:$J$24,3,FALSE),0)</f>
        <v>25780</v>
      </c>
      <c r="BL2870" s="6">
        <f>Grandview_Inventory[[#This Row],[Eff_Age]]*Lookups!$B$14</f>
        <v>0</v>
      </c>
      <c r="BM2870" s="6">
        <f>Grandview_Inventory[[#This Row],[living_area]]*Lookups!$B$15</f>
        <v>91076.045379999996</v>
      </c>
      <c r="BN2870" s="6">
        <f>Grandview_Inventory[[#This Row],[Fin BSMT]]*Lookups!$B$16</f>
        <v>0</v>
      </c>
      <c r="BO2870" s="6">
        <f>(Grandview_Inventory[[#This Row],[att_gar]]+Grandview_Inventory[[#This Row],[bltin_gar]])*Lookups!$B$17</f>
        <v>35008.174800000001</v>
      </c>
      <c r="BP2870" s="6">
        <f>Grandview_Inventory[[#This Row],[Plumbing Fixtures]]*Lookups!$B$18</f>
        <v>18093.976200000001</v>
      </c>
      <c r="BQ2870" s="6">
        <f>Grandview_Inventory[[#This Row],[detatched_value]]*Lookups!$B$19</f>
        <v>0</v>
      </c>
      <c r="BR2870" s="6">
        <f>SUM(Grandview_Inventory[[#This Row],[Intercept]:[det_value]])*Grandview_Inventory[[#This Row],[res_pct]]</f>
        <v>0</v>
      </c>
      <c r="BS2870" s="6">
        <f>Grandview_Inventory[[#This Row],[land_value]]</f>
        <v>49167.631333630678</v>
      </c>
      <c r="BT2870" s="4">
        <f>_xlfn.IFNA(VLOOKUP(Grandview_Inventory[[#This Row],[quality]],Lookups!$A$26:$C$33,3,FALSE),1)</f>
        <v>0.94295468617355149</v>
      </c>
      <c r="BU2870" s="4">
        <f>_xlfn.IFNA(VLOOKUP(Grandview_Inventory[[#This Row],[condition]],Lookups!$A$37:$C$44,3,FALSE),1)</f>
        <v>0.94347925387812148</v>
      </c>
      <c r="BV2870" s="4">
        <f>IF(Grandview_Inventory[[#This Row],[bldg_style]]="",1,_xlfn.IFNA(VLOOKUP(Grandview_Inventory[[#This Row],[decade]],Lookups!$F$29:$H$43,3,FALSE),1))</f>
        <v>0.9413635517371044</v>
      </c>
      <c r="BW2870" s="4">
        <f>_xlfn.IFNA(VLOOKUP(Grandview_Inventory[[#This Row],[living_area_range]],Lookups!$F$47:$H$56,3,FALSE),1)</f>
        <v>0.96135087979789358</v>
      </c>
      <c r="BX2870" s="4">
        <f>AVERAGE(Grandview_Inventory[[#This Row],[qual_adj]:[size_adj]])</f>
        <v>0.94728709289666768</v>
      </c>
      <c r="BY2870" s="6">
        <f>IF(Grandview_Inventory[[#This Row],[pre_res]]&lt;0,0,Grandview_Inventory[[#This Row],[pre_res]]*Grandview_Inventory[[#This Row],[overall_adj]])</f>
        <v>0</v>
      </c>
      <c r="BZ2870" s="6">
        <f>(Grandview_Inventory[[#This Row],[sum_land]]-IF(Grandview_Inventory[[#This Row],[no_utilities]]=1,12000,0))/IF(Grandview_Inventory[[#This Row],[unbuildable]]=1,2,1)</f>
        <v>49167.631333630678</v>
      </c>
      <c r="CA2870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870">
        <f>ROUND(Grandview_Inventory[[#This Row],[det_value]]*Lookups!$M$28,-2)</f>
        <v>0</v>
      </c>
      <c r="CC2870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70">
        <f>Grandview_Inventory[[#This Row],[final_det]]+Grandview_Inventory[[#This Row],[final_res]]</f>
        <v>0</v>
      </c>
      <c r="CE2870">
        <f>Grandview_Inventory[[#This Row],[final_land]]+Grandview_Inventory[[#This Row],[final_imp]]+Grandview_Inventory[[#This Row],[crop_value]]</f>
        <v>46700</v>
      </c>
      <c r="CG2870" t="str">
        <f t="shared" si="45"/>
        <v>update valuation set market_land =46700, market_bldg=0, market_total =46700, market_mdno =401, market_date ='9/10/2023' where link_id = (select link_id from parcel where parcel_year = '2024' and parcel_id = '23092621626');</v>
      </c>
    </row>
    <row r="2871" spans="1:85" x14ac:dyDescent="0.25">
      <c r="A2871">
        <v>23092621639</v>
      </c>
      <c r="B2871" t="s">
        <v>129</v>
      </c>
      <c r="C2871">
        <v>8029</v>
      </c>
      <c r="D2871" t="s">
        <v>129</v>
      </c>
      <c r="E2871" t="s">
        <v>53</v>
      </c>
      <c r="F2871" t="s">
        <v>53</v>
      </c>
      <c r="G2871">
        <v>4</v>
      </c>
      <c r="H2871" t="s">
        <v>54</v>
      </c>
      <c r="I2871">
        <v>0</v>
      </c>
      <c r="J2871">
        <v>32500</v>
      </c>
      <c r="K2871">
        <v>0.18</v>
      </c>
      <c r="L2871">
        <f>IF(Grandview_Inventory[[#This Row],[parcel_acres]]-Grandview_Inventory[[#This Row],[non_valued_acres]] =0,0,LN(Grandview_Inventory[[#This Row],[parcel_acres]]-Grandview_Inventory[[#This Row],[non_valued_acres]]))</f>
        <v>-1.7147984280919266</v>
      </c>
      <c r="M2871">
        <v>0</v>
      </c>
      <c r="N2871">
        <v>0</v>
      </c>
      <c r="O2871">
        <v>0</v>
      </c>
      <c r="P2871">
        <v>13398.7528</v>
      </c>
      <c r="Q2871">
        <v>63903</v>
      </c>
      <c r="R2871">
        <f>(Grandview_Inventory[[#This Row],[ln_acres]]*Grandview_Inventory[[#This Row],[coeff]])+Grandview_Inventory[[#This Row],[const]]</f>
        <v>40926.839760167699</v>
      </c>
      <c r="S2871" t="s">
        <v>55</v>
      </c>
      <c r="T2871">
        <v>1</v>
      </c>
      <c r="U2871" t="s">
        <v>62</v>
      </c>
      <c r="V2871" t="s">
        <v>57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1500</v>
      </c>
      <c r="AC2871">
        <v>1378</v>
      </c>
      <c r="AD2871">
        <v>1378</v>
      </c>
      <c r="AE2871">
        <v>0</v>
      </c>
      <c r="AF2871">
        <v>0</v>
      </c>
      <c r="AG2871">
        <v>0</v>
      </c>
      <c r="AH2871">
        <v>0</v>
      </c>
      <c r="AI2871">
        <v>400</v>
      </c>
      <c r="AJ2871">
        <v>0</v>
      </c>
      <c r="AK2871">
        <v>0</v>
      </c>
      <c r="AL2871">
        <v>0</v>
      </c>
      <c r="AM2871">
        <v>0</v>
      </c>
      <c r="AN2871">
        <v>84</v>
      </c>
      <c r="AO2871">
        <v>0</v>
      </c>
      <c r="AP2871">
        <v>8</v>
      </c>
      <c r="AQ2871">
        <v>0</v>
      </c>
      <c r="AR2871">
        <v>0</v>
      </c>
      <c r="AS2871" t="s">
        <v>58</v>
      </c>
      <c r="AT2871">
        <v>1</v>
      </c>
      <c r="AU2871" t="s">
        <v>59</v>
      </c>
      <c r="AV2871" t="s">
        <v>60</v>
      </c>
      <c r="AW2871">
        <v>1</v>
      </c>
      <c r="AX2871">
        <v>3</v>
      </c>
      <c r="AY2871">
        <v>0</v>
      </c>
      <c r="AZ2871">
        <v>0</v>
      </c>
      <c r="BA2871">
        <v>100</v>
      </c>
      <c r="BB2871">
        <v>100</v>
      </c>
      <c r="BC2871">
        <v>100</v>
      </c>
      <c r="BD2871">
        <v>8</v>
      </c>
      <c r="BE2871">
        <v>0</v>
      </c>
      <c r="BF2871">
        <v>15000</v>
      </c>
      <c r="BG2871">
        <v>0</v>
      </c>
      <c r="BH2871" s="6">
        <f>Grandview_Inventory[[#This Row],[land_extract]]*Lookups!$B$3</f>
        <v>47528.228511015397</v>
      </c>
      <c r="BI2871" s="6">
        <f>IF(Grandview_Inventory[[#This Row],[bldg_style]]="",0,Lookups!$B$2)</f>
        <v>155833.95000000001</v>
      </c>
      <c r="BJ2871" s="6">
        <f>_xlfn.IFNA(VLOOKUP(Grandview_Inventory[[#This Row],[quality]],Lookups!$H$2:$J$14,3,FALSE),0)</f>
        <v>9808</v>
      </c>
      <c r="BK2871" s="6">
        <f>_xlfn.IFNA(VLOOKUP(Grandview_Inventory[[#This Row],[condition]],Lookups!$H$17:$J$24,3,FALSE),0)</f>
        <v>25780</v>
      </c>
      <c r="BL2871" s="6">
        <f>Grandview_Inventory[[#This Row],[Eff_Age]]*Lookups!$B$14</f>
        <v>0</v>
      </c>
      <c r="BM2871" s="6">
        <f>Grandview_Inventory[[#This Row],[living_area]]*Lookups!$B$15</f>
        <v>85960.815434000004</v>
      </c>
      <c r="BN2871" s="6">
        <f>Grandview_Inventory[[#This Row],[Fin BSMT]]*Lookups!$B$16</f>
        <v>0</v>
      </c>
      <c r="BO2871" s="6">
        <f>(Grandview_Inventory[[#This Row],[att_gar]]+Grandview_Inventory[[#This Row],[bltin_gar]])*Lookups!$B$17</f>
        <v>35008.174800000001</v>
      </c>
      <c r="BP2871" s="6">
        <f>Grandview_Inventory[[#This Row],[Plumbing Fixtures]]*Lookups!$B$18</f>
        <v>16083.5344</v>
      </c>
      <c r="BQ2871" s="6">
        <f>Grandview_Inventory[[#This Row],[detatched_value]]*Lookups!$B$19</f>
        <v>0</v>
      </c>
      <c r="BR2871" s="6">
        <f>SUM(Grandview_Inventory[[#This Row],[Intercept]:[det_value]])*Grandview_Inventory[[#This Row],[res_pct]]</f>
        <v>0</v>
      </c>
      <c r="BS2871" s="6">
        <f>Grandview_Inventory[[#This Row],[land_value]]</f>
        <v>47528.228511015397</v>
      </c>
      <c r="BT2871" s="4">
        <f>_xlfn.IFNA(VLOOKUP(Grandview_Inventory[[#This Row],[quality]],Lookups!$A$26:$C$33,3,FALSE),1)</f>
        <v>0.94295468617355149</v>
      </c>
      <c r="BU2871" s="4">
        <f>_xlfn.IFNA(VLOOKUP(Grandview_Inventory[[#This Row],[condition]],Lookups!$A$37:$C$44,3,FALSE),1)</f>
        <v>0.94347925387812148</v>
      </c>
      <c r="BV2871" s="4">
        <f>IF(Grandview_Inventory[[#This Row],[bldg_style]]="",1,_xlfn.IFNA(VLOOKUP(Grandview_Inventory[[#This Row],[decade]],Lookups!$F$29:$H$43,3,FALSE),1))</f>
        <v>0.9413635517371044</v>
      </c>
      <c r="BW2871" s="4">
        <f>_xlfn.IFNA(VLOOKUP(Grandview_Inventory[[#This Row],[living_area_range]],Lookups!$F$47:$H$56,3,FALSE),1)</f>
        <v>0.96135087979789358</v>
      </c>
      <c r="BX2871" s="4">
        <f>AVERAGE(Grandview_Inventory[[#This Row],[qual_adj]:[size_adj]])</f>
        <v>0.94728709289666768</v>
      </c>
      <c r="BY2871" s="6">
        <f>IF(Grandview_Inventory[[#This Row],[pre_res]]&lt;0,0,Grandview_Inventory[[#This Row],[pre_res]]*Grandview_Inventory[[#This Row],[overall_adj]])</f>
        <v>0</v>
      </c>
      <c r="BZ2871" s="6">
        <f>(Grandview_Inventory[[#This Row],[sum_land]]-IF(Grandview_Inventory[[#This Row],[no_utilities]]=1,12000,0))/IF(Grandview_Inventory[[#This Row],[unbuildable]]=1,2,1)</f>
        <v>47528.228511015397</v>
      </c>
      <c r="CA2871">
        <f>IF(ROUND(Grandview_Inventory[[#This Row],[adj_land]]*Lookups!$M$28,-2)&lt;Grandview_Inventory[[#This Row],[min_land]],Grandview_Inventory[[#This Row],[min_land]],ROUND(Grandview_Inventory[[#This Row],[adj_land]]*Lookups!$M$28,-2))</f>
        <v>45200</v>
      </c>
      <c r="CB2871">
        <f>ROUND(Grandview_Inventory[[#This Row],[det_value]]*Lookups!$M$28,-2)</f>
        <v>0</v>
      </c>
      <c r="CC2871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71">
        <f>Grandview_Inventory[[#This Row],[final_det]]+Grandview_Inventory[[#This Row],[final_res]]</f>
        <v>0</v>
      </c>
      <c r="CE2871">
        <f>Grandview_Inventory[[#This Row],[final_land]]+Grandview_Inventory[[#This Row],[final_imp]]+Grandview_Inventory[[#This Row],[crop_value]]</f>
        <v>45200</v>
      </c>
      <c r="CG2871" t="str">
        <f t="shared" si="45"/>
        <v>update valuation set market_land =45200, market_bldg=0, market_total =45200, market_mdno =401, market_date ='9/10/2023' where link_id = (select link_id from parcel where parcel_year = '2024' and parcel_id = '23092621639');</v>
      </c>
    </row>
    <row r="2872" spans="1:85" x14ac:dyDescent="0.25">
      <c r="A2872">
        <v>23092621654</v>
      </c>
      <c r="B2872" t="s">
        <v>129</v>
      </c>
      <c r="C2872">
        <v>8714</v>
      </c>
      <c r="D2872" t="s">
        <v>129</v>
      </c>
      <c r="E2872" t="s">
        <v>53</v>
      </c>
      <c r="F2872" t="s">
        <v>53</v>
      </c>
      <c r="G2872">
        <v>4</v>
      </c>
      <c r="H2872" t="s">
        <v>54</v>
      </c>
      <c r="I2872">
        <v>0</v>
      </c>
      <c r="J2872">
        <v>32800</v>
      </c>
      <c r="K2872">
        <v>0.2</v>
      </c>
      <c r="L2872">
        <f>IF(Grandview_Inventory[[#This Row],[parcel_acres]]-Grandview_Inventory[[#This Row],[non_valued_acres]] =0,0,LN(Grandview_Inventory[[#This Row],[parcel_acres]]-Grandview_Inventory[[#This Row],[non_valued_acres]]))</f>
        <v>-1.6094379124341003</v>
      </c>
      <c r="M2872">
        <v>0</v>
      </c>
      <c r="N2872">
        <v>0</v>
      </c>
      <c r="O2872">
        <v>0</v>
      </c>
      <c r="P2872">
        <v>13398.7528</v>
      </c>
      <c r="Q2872">
        <v>63903</v>
      </c>
      <c r="R2872">
        <f>(Grandview_Inventory[[#This Row],[ln_acres]]*Grandview_Inventory[[#This Row],[coeff]])+Grandview_Inventory[[#This Row],[const]]</f>
        <v>42338.539264347448</v>
      </c>
      <c r="S2872" t="s">
        <v>55</v>
      </c>
      <c r="T2872">
        <v>2</v>
      </c>
      <c r="U2872" t="s">
        <v>62</v>
      </c>
      <c r="V2872" t="s">
        <v>57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2500</v>
      </c>
      <c r="AC2872">
        <v>2168</v>
      </c>
      <c r="AD2872">
        <v>896</v>
      </c>
      <c r="AE2872">
        <v>1272</v>
      </c>
      <c r="AF2872">
        <v>0</v>
      </c>
      <c r="AG2872">
        <v>0</v>
      </c>
      <c r="AH2872">
        <v>0</v>
      </c>
      <c r="AI2872">
        <v>440</v>
      </c>
      <c r="AJ2872">
        <v>0</v>
      </c>
      <c r="AK2872">
        <v>0</v>
      </c>
      <c r="AL2872">
        <v>0</v>
      </c>
      <c r="AM2872">
        <v>0</v>
      </c>
      <c r="AN2872">
        <v>272</v>
      </c>
      <c r="AO2872">
        <v>0</v>
      </c>
      <c r="AP2872">
        <v>12</v>
      </c>
      <c r="AQ2872">
        <v>0</v>
      </c>
      <c r="AR2872">
        <v>0</v>
      </c>
      <c r="AS2872" t="s">
        <v>58</v>
      </c>
      <c r="AT2872">
        <v>1</v>
      </c>
      <c r="AU2872" t="s">
        <v>59</v>
      </c>
      <c r="AV2872" t="s">
        <v>60</v>
      </c>
      <c r="AW2872">
        <v>1</v>
      </c>
      <c r="AX2872">
        <v>3</v>
      </c>
      <c r="AY2872">
        <v>0</v>
      </c>
      <c r="AZ2872">
        <v>0</v>
      </c>
      <c r="BA2872">
        <v>100</v>
      </c>
      <c r="BB2872">
        <v>100</v>
      </c>
      <c r="BC2872">
        <v>100</v>
      </c>
      <c r="BD2872">
        <v>8</v>
      </c>
      <c r="BE2872">
        <v>0</v>
      </c>
      <c r="BF2872">
        <v>15000</v>
      </c>
      <c r="BG2872">
        <v>0</v>
      </c>
      <c r="BH2872" s="6">
        <f>Grandview_Inventory[[#This Row],[land_extract]]*Lookups!$B$3</f>
        <v>49167.631333630678</v>
      </c>
      <c r="BI2872" s="6">
        <f>IF(Grandview_Inventory[[#This Row],[bldg_style]]="",0,Lookups!$B$2)</f>
        <v>155833.95000000001</v>
      </c>
      <c r="BJ2872" s="6">
        <f>_xlfn.IFNA(VLOOKUP(Grandview_Inventory[[#This Row],[quality]],Lookups!$H$2:$J$14,3,FALSE),0)</f>
        <v>9808</v>
      </c>
      <c r="BK2872" s="6">
        <f>_xlfn.IFNA(VLOOKUP(Grandview_Inventory[[#This Row],[condition]],Lookups!$H$17:$J$24,3,FALSE),0)</f>
        <v>25780</v>
      </c>
      <c r="BL2872" s="6">
        <f>Grandview_Inventory[[#This Row],[Eff_Age]]*Lookups!$B$14</f>
        <v>0</v>
      </c>
      <c r="BM2872" s="6">
        <f>Grandview_Inventory[[#This Row],[living_area]]*Lookups!$B$15</f>
        <v>135241.689304</v>
      </c>
      <c r="BN2872" s="6">
        <f>Grandview_Inventory[[#This Row],[Fin BSMT]]*Lookups!$B$16</f>
        <v>0</v>
      </c>
      <c r="BO2872" s="6">
        <f>(Grandview_Inventory[[#This Row],[att_gar]]+Grandview_Inventory[[#This Row],[bltin_gar]])*Lookups!$B$17</f>
        <v>38508.992279999999</v>
      </c>
      <c r="BP2872" s="6">
        <f>Grandview_Inventory[[#This Row],[Plumbing Fixtures]]*Lookups!$B$18</f>
        <v>24125.301599999999</v>
      </c>
      <c r="BQ2872" s="6">
        <f>Grandview_Inventory[[#This Row],[detatched_value]]*Lookups!$B$19</f>
        <v>0</v>
      </c>
      <c r="BR2872" s="6">
        <f>SUM(Grandview_Inventory[[#This Row],[Intercept]:[det_value]])*Grandview_Inventory[[#This Row],[res_pct]]</f>
        <v>0</v>
      </c>
      <c r="BS2872" s="6">
        <f>Grandview_Inventory[[#This Row],[land_value]]</f>
        <v>49167.631333630678</v>
      </c>
      <c r="BT2872" s="4">
        <f>_xlfn.IFNA(VLOOKUP(Grandview_Inventory[[#This Row],[quality]],Lookups!$A$26:$C$33,3,FALSE),1)</f>
        <v>0.94295468617355149</v>
      </c>
      <c r="BU2872" s="4">
        <f>_xlfn.IFNA(VLOOKUP(Grandview_Inventory[[#This Row],[condition]],Lookups!$A$37:$C$44,3,FALSE),1)</f>
        <v>0.94347925387812148</v>
      </c>
      <c r="BV2872" s="4">
        <f>IF(Grandview_Inventory[[#This Row],[bldg_style]]="",1,_xlfn.IFNA(VLOOKUP(Grandview_Inventory[[#This Row],[decade]],Lookups!$F$29:$H$43,3,FALSE),1))</f>
        <v>0.9413635517371044</v>
      </c>
      <c r="BW2872" s="4">
        <f>_xlfn.IFNA(VLOOKUP(Grandview_Inventory[[#This Row],[living_area_range]],Lookups!$F$47:$H$56,3,FALSE),1)</f>
        <v>0.95799442568048754</v>
      </c>
      <c r="BX2872" s="4">
        <f>AVERAGE(Grandview_Inventory[[#This Row],[qual_adj]:[size_adj]])</f>
        <v>0.94644797936731617</v>
      </c>
      <c r="BY2872" s="6">
        <f>IF(Grandview_Inventory[[#This Row],[pre_res]]&lt;0,0,Grandview_Inventory[[#This Row],[pre_res]]*Grandview_Inventory[[#This Row],[overall_adj]])</f>
        <v>0</v>
      </c>
      <c r="BZ2872" s="6">
        <f>(Grandview_Inventory[[#This Row],[sum_land]]-IF(Grandview_Inventory[[#This Row],[no_utilities]]=1,12000,0))/IF(Grandview_Inventory[[#This Row],[unbuildable]]=1,2,1)</f>
        <v>49167.631333630678</v>
      </c>
      <c r="CA2872">
        <f>IF(ROUND(Grandview_Inventory[[#This Row],[adj_land]]*Lookups!$M$28,-2)&lt;Grandview_Inventory[[#This Row],[min_land]],Grandview_Inventory[[#This Row],[min_land]],ROUND(Grandview_Inventory[[#This Row],[adj_land]]*Lookups!$M$28,-2))</f>
        <v>46700</v>
      </c>
      <c r="CB2872">
        <f>ROUND(Grandview_Inventory[[#This Row],[det_value]]*Lookups!$M$28,-2)</f>
        <v>0</v>
      </c>
      <c r="CC2872">
        <f>IF(ROUND(Grandview_Inventory[[#This Row],[adj_res]]*Lookups!$M$28,-2)&lt;Grandview_Inventory[[#This Row],[min_res]],Grandview_Inventory[[#This Row],[min_res]],ROUND(Grandview_Inventory[[#This Row],[adj_res]]*Lookups!$M$28,-2))</f>
        <v>0</v>
      </c>
      <c r="CD2872">
        <f>Grandview_Inventory[[#This Row],[final_det]]+Grandview_Inventory[[#This Row],[final_res]]</f>
        <v>0</v>
      </c>
      <c r="CE2872">
        <f>Grandview_Inventory[[#This Row],[final_land]]+Grandview_Inventory[[#This Row],[final_imp]]+Grandview_Inventory[[#This Row],[crop_value]]</f>
        <v>46700</v>
      </c>
      <c r="CG2872" t="str">
        <f t="shared" si="45"/>
        <v>update valuation set market_land =46700, market_bldg=0, market_total =46700, market_mdno =401, market_date ='9/10/2023' where link_id = (select link_id from parcel where parcel_year = '2024' and parcel_id = '23092621654');</v>
      </c>
    </row>
  </sheetData>
  <phoneticPr fontId="2" type="noConversion"/>
  <conditionalFormatting sqref="A1:A1048576">
    <cfRule type="duplicateValues" dxfId="5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Sales</vt:lpstr>
      <vt:lpstr>Lookups</vt:lpstr>
      <vt:lpstr>Pivot Tables</vt:lpstr>
      <vt:lpstr>Inventory</vt:lpstr>
    </vt:vector>
  </TitlesOfParts>
  <Company>Yakima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Tate</dc:creator>
  <cp:lastModifiedBy>Jacob Tate</cp:lastModifiedBy>
  <dcterms:created xsi:type="dcterms:W3CDTF">2023-06-05T18:53:20Z</dcterms:created>
  <dcterms:modified xsi:type="dcterms:W3CDTF">2024-01-08T19:22:04Z</dcterms:modified>
</cp:coreProperties>
</file>